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Drives compartilhados\00 GERAL\11 Relatórios Contrato de Gestão\8º Período Avaliatório\"/>
    </mc:Choice>
  </mc:AlternateContent>
  <bookViews>
    <workbookView xWindow="0" yWindow="0" windowWidth="20490" windowHeight="7755" activeTab="14"/>
  </bookViews>
  <sheets>
    <sheet name="Capa" sheetId="1" r:id="rId1"/>
    <sheet name="Análise" sheetId="2" r:id="rId2"/>
    <sheet name="Resumo" sheetId="3" r:id="rId3"/>
    <sheet name="Comparativo" sheetId="4" r:id="rId4"/>
    <sheet name="Gasto das Atividades" sheetId="5" r:id="rId5"/>
    <sheet name="Analítico Cx." sheetId="6" r:id="rId6"/>
    <sheet name="Analítico Cp." sheetId="7" r:id="rId7"/>
    <sheet name="Lista de Pessoal" sheetId="15" state="hidden" r:id="rId8"/>
    <sheet name="Prov. Pessoal" sheetId="10" r:id="rId9"/>
    <sheet name="Bens" sheetId="12" r:id="rId10"/>
    <sheet name="Comp." sheetId="8" r:id="rId11"/>
    <sheet name="Diário 5º PA" sheetId="13" state="hidden" r:id="rId12"/>
    <sheet name="Diário 6º PA" sheetId="14" state="hidden" r:id="rId13"/>
    <sheet name="Diário 7º PA" sheetId="11" state="hidden" r:id="rId14"/>
    <sheet name="Diário 8º PA" sheetId="16" r:id="rId15"/>
    <sheet name="Reserva" sheetId="9" r:id="rId16"/>
    <sheet name="Saldo Contas" sheetId="17" state="hidden" r:id="rId17"/>
    <sheet name="Dec Dir." sheetId="18" r:id="rId18"/>
    <sheet name="Plano" sheetId="19" state="hidden" r:id="rId19"/>
  </sheets>
  <definedNames>
    <definedName name="_xlnm._FilterDatabase" localSheetId="10" hidden="1">'Comp.'!$B$4:$N$316</definedName>
    <definedName name="_xlnm._FilterDatabase" localSheetId="11" hidden="1">'Diário 5º PA'!$A$4:$U$2634</definedName>
    <definedName name="_xlnm._FilterDatabase" localSheetId="12" hidden="1">'Diário 6º PA'!$A$4:$V$2246</definedName>
    <definedName name="_xlnm._FilterDatabase" localSheetId="13" hidden="1">'Diário 7º PA'!$A$4:$V$2271</definedName>
    <definedName name="_xlnm._FilterDatabase" localSheetId="14" hidden="1">'Diário 8º PA'!$A$4:$U$2488</definedName>
    <definedName name="_xlnm._FilterDatabase" localSheetId="15" hidden="1">Reserva!$A$4:$K$54</definedName>
    <definedName name="Aquisição_de_Bens_Permanentes">Plano!$E$2:$E$14</definedName>
    <definedName name="_xlnm.Print_Area" localSheetId="1">Análise!$A$1:$A$7</definedName>
    <definedName name="_xlnm.Print_Area" localSheetId="6">'Analítico Cp.'!$A$2:$P$164</definedName>
    <definedName name="_xlnm.Print_Area" localSheetId="5">'Analítico Cx.'!$A$2:$P$167</definedName>
    <definedName name="_xlnm.Print_Area" localSheetId="9">Bens!$A$1:$I$97</definedName>
    <definedName name="_xlnm.Print_Area" localSheetId="0">Capa!$A$1:$A$11</definedName>
    <definedName name="_xlnm.Print_Area" localSheetId="10">'Comp.'!$A$1:$H$316</definedName>
    <definedName name="_xlnm.Print_Area" localSheetId="3">Comparativo!$A$1:$R$55</definedName>
    <definedName name="_xlnm.Print_Area" localSheetId="17">'Dec Dir.'!$A$1:$A$10</definedName>
    <definedName name="_xlnm.Print_Area" localSheetId="14">'Diário 8º PA'!$A$1:$O$2021</definedName>
    <definedName name="_xlnm.Print_Area" localSheetId="4">'Gasto das Atividades'!$A$1:$H$38</definedName>
    <definedName name="_xlnm.Print_Area" localSheetId="8">'Prov. Pessoal'!$A$1:$O$40</definedName>
    <definedName name="_xlnm.Print_Area" localSheetId="15">Reserva!$A$1:$K$40</definedName>
    <definedName name="_xlnm.Print_Area" localSheetId="2">Resumo!$A$1:$O$52</definedName>
    <definedName name="área_destinada">Plano!$I$2:$I$3</definedName>
    <definedName name="Categorias" localSheetId="7">Plano!$A$1:$F$1</definedName>
    <definedName name="Categorias">Plano!$A$1:$G$1</definedName>
    <definedName name="Contas" localSheetId="7">Resumo!$B$45:$B$51</definedName>
    <definedName name="Contas">Resumo!$B$42:$B$50</definedName>
    <definedName name="Entradas">Plano!$A$1:$B$1</definedName>
    <definedName name="forma_contrataca">#REF!</definedName>
    <definedName name="forma_contratacao">#REF!</definedName>
    <definedName name="Gastos_com_Pessoal">Plano!$C$2:$C$27</definedName>
    <definedName name="Gastos_custeados_por_captação">Plano!$G$2</definedName>
    <definedName name="Gastos_Gerais">Plano!$D$2:$D$91</definedName>
    <definedName name="Ocorrência">Plano!$H$2:$H$3</definedName>
    <definedName name="Receitas">Plano!$A$2:$A$4</definedName>
    <definedName name="Rendimentos_de_Aplicações_Fin.">Plano!$B$1</definedName>
    <definedName name="Reserva" localSheetId="7">Plano!$F$1:$F$3</definedName>
    <definedName name="Reserva">Plano!$F$1:$F$3</definedName>
    <definedName name="Transferência_para_Reserva_de_Recursos">Plano!$F$1</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23" roundtripDataSignature="AMtx7mhIwrJxg1AyAc89jJkgs+3BCb12zw=="/>
    </ext>
  </extLst>
</workbook>
</file>

<file path=xl/calcChain.xml><?xml version="1.0" encoding="utf-8"?>
<calcChain xmlns="http://schemas.openxmlformats.org/spreadsheetml/2006/main">
  <c r="Q313" i="8" l="1"/>
  <c r="Q7" i="8"/>
  <c r="R7" i="8"/>
  <c r="Q8" i="8"/>
  <c r="R8" i="8"/>
  <c r="Q9" i="8"/>
  <c r="R9" i="8"/>
  <c r="Q10" i="8"/>
  <c r="R10" i="8"/>
  <c r="Q11" i="8"/>
  <c r="R11" i="8"/>
  <c r="Q12" i="8"/>
  <c r="R12" i="8"/>
  <c r="Q13" i="8"/>
  <c r="R13" i="8"/>
  <c r="Q14" i="8"/>
  <c r="R14" i="8"/>
  <c r="Q15" i="8"/>
  <c r="R15" i="8"/>
  <c r="Q16" i="8"/>
  <c r="R16" i="8"/>
  <c r="Q17" i="8"/>
  <c r="R17" i="8"/>
  <c r="Q18" i="8"/>
  <c r="R18" i="8"/>
  <c r="Q19" i="8"/>
  <c r="R19" i="8"/>
  <c r="Q20" i="8"/>
  <c r="R20" i="8"/>
  <c r="Q21" i="8"/>
  <c r="R21" i="8"/>
  <c r="Q22" i="8"/>
  <c r="R22" i="8"/>
  <c r="Q23" i="8"/>
  <c r="R23" i="8"/>
  <c r="Q24" i="8"/>
  <c r="R24" i="8"/>
  <c r="Q25" i="8"/>
  <c r="R25" i="8"/>
  <c r="Q26" i="8"/>
  <c r="R26" i="8"/>
  <c r="Q27" i="8"/>
  <c r="R27" i="8"/>
  <c r="Q28" i="8"/>
  <c r="R28" i="8"/>
  <c r="Q29" i="8"/>
  <c r="R29" i="8"/>
  <c r="Q30" i="8"/>
  <c r="R30" i="8"/>
  <c r="Q31" i="8"/>
  <c r="R31" i="8"/>
  <c r="Q32" i="8"/>
  <c r="R32" i="8"/>
  <c r="Q33" i="8"/>
  <c r="R33" i="8"/>
  <c r="Q34" i="8"/>
  <c r="R34" i="8"/>
  <c r="Q35" i="8"/>
  <c r="R35" i="8"/>
  <c r="Q36" i="8"/>
  <c r="R36" i="8"/>
  <c r="Q37" i="8"/>
  <c r="R37" i="8"/>
  <c r="Q38" i="8"/>
  <c r="R38" i="8"/>
  <c r="Q39" i="8"/>
  <c r="R39" i="8"/>
  <c r="Q40" i="8"/>
  <c r="R40" i="8"/>
  <c r="Q41" i="8"/>
  <c r="R41" i="8"/>
  <c r="Q42" i="8"/>
  <c r="R42" i="8"/>
  <c r="Q43" i="8"/>
  <c r="R43" i="8"/>
  <c r="Q44" i="8"/>
  <c r="R44" i="8"/>
  <c r="Q45" i="8"/>
  <c r="R45" i="8"/>
  <c r="Q46" i="8"/>
  <c r="R46" i="8"/>
  <c r="Q47" i="8"/>
  <c r="R47" i="8"/>
  <c r="Q48" i="8"/>
  <c r="R48" i="8"/>
  <c r="Q49" i="8"/>
  <c r="R49" i="8"/>
  <c r="Q50" i="8"/>
  <c r="R50" i="8"/>
  <c r="Q51" i="8"/>
  <c r="R51" i="8"/>
  <c r="Q52" i="8"/>
  <c r="R52" i="8"/>
  <c r="Q53" i="8"/>
  <c r="R53" i="8"/>
  <c r="Q54" i="8"/>
  <c r="R54" i="8"/>
  <c r="Q55" i="8"/>
  <c r="R55" i="8"/>
  <c r="Q56" i="8"/>
  <c r="R56" i="8"/>
  <c r="Q57" i="8"/>
  <c r="R57" i="8"/>
  <c r="Q58" i="8"/>
  <c r="R58" i="8"/>
  <c r="Q59" i="8"/>
  <c r="R59" i="8"/>
  <c r="Q60" i="8"/>
  <c r="R60" i="8"/>
  <c r="Q61" i="8"/>
  <c r="R61" i="8"/>
  <c r="Q62" i="8"/>
  <c r="R62" i="8"/>
  <c r="Q63" i="8"/>
  <c r="R63" i="8"/>
  <c r="Q64" i="8"/>
  <c r="R64" i="8"/>
  <c r="Q65" i="8"/>
  <c r="R65" i="8"/>
  <c r="Q66" i="8"/>
  <c r="R66" i="8"/>
  <c r="Q67" i="8"/>
  <c r="R67" i="8"/>
  <c r="Q68" i="8"/>
  <c r="R68" i="8"/>
  <c r="Q69" i="8"/>
  <c r="R69" i="8"/>
  <c r="Q70" i="8"/>
  <c r="R70" i="8"/>
  <c r="Q71" i="8"/>
  <c r="R71" i="8"/>
  <c r="Q72" i="8"/>
  <c r="R72" i="8"/>
  <c r="Q73" i="8"/>
  <c r="R73" i="8"/>
  <c r="Q74" i="8"/>
  <c r="R74" i="8"/>
  <c r="Q75" i="8"/>
  <c r="R75" i="8"/>
  <c r="Q76" i="8"/>
  <c r="R76" i="8"/>
  <c r="Q77" i="8"/>
  <c r="R77" i="8"/>
  <c r="Q78" i="8"/>
  <c r="R78" i="8"/>
  <c r="Q79" i="8"/>
  <c r="R79" i="8"/>
  <c r="Q80" i="8"/>
  <c r="R80" i="8"/>
  <c r="Q81" i="8"/>
  <c r="R81" i="8"/>
  <c r="Q82" i="8"/>
  <c r="R82" i="8"/>
  <c r="Q83" i="8"/>
  <c r="R83" i="8"/>
  <c r="Q84" i="8"/>
  <c r="R84" i="8"/>
  <c r="Q85" i="8"/>
  <c r="R85" i="8"/>
  <c r="Q86" i="8"/>
  <c r="R86" i="8"/>
  <c r="Q87" i="8"/>
  <c r="R87" i="8"/>
  <c r="Q88" i="8"/>
  <c r="R88" i="8"/>
  <c r="Q89" i="8"/>
  <c r="R89" i="8"/>
  <c r="Q90" i="8"/>
  <c r="R90" i="8"/>
  <c r="Q91" i="8"/>
  <c r="R91" i="8"/>
  <c r="Q92" i="8"/>
  <c r="R92" i="8"/>
  <c r="Q93" i="8"/>
  <c r="R93" i="8"/>
  <c r="Q94" i="8"/>
  <c r="R94" i="8"/>
  <c r="Q95" i="8"/>
  <c r="R95" i="8"/>
  <c r="Q96" i="8"/>
  <c r="R96" i="8"/>
  <c r="Q97" i="8"/>
  <c r="R97" i="8"/>
  <c r="Q98" i="8"/>
  <c r="R98" i="8"/>
  <c r="Q99" i="8"/>
  <c r="R99" i="8"/>
  <c r="Q100" i="8"/>
  <c r="R100" i="8"/>
  <c r="Q101" i="8"/>
  <c r="R101" i="8"/>
  <c r="Q102" i="8"/>
  <c r="R102" i="8"/>
  <c r="Q103" i="8"/>
  <c r="R103" i="8"/>
  <c r="Q104" i="8"/>
  <c r="R104" i="8"/>
  <c r="Q105" i="8"/>
  <c r="R105" i="8"/>
  <c r="Q106" i="8"/>
  <c r="R106" i="8"/>
  <c r="Q107" i="8"/>
  <c r="R107" i="8"/>
  <c r="Q108" i="8"/>
  <c r="R108" i="8"/>
  <c r="Q109" i="8"/>
  <c r="R109" i="8"/>
  <c r="Q110" i="8"/>
  <c r="R110" i="8"/>
  <c r="Q111" i="8"/>
  <c r="R111" i="8"/>
  <c r="Q112" i="8"/>
  <c r="R112" i="8"/>
  <c r="Q113" i="8"/>
  <c r="R113" i="8"/>
  <c r="Q114" i="8"/>
  <c r="R114" i="8"/>
  <c r="Q115" i="8"/>
  <c r="R115" i="8"/>
  <c r="Q116" i="8"/>
  <c r="R116" i="8"/>
  <c r="Q117" i="8"/>
  <c r="R117" i="8"/>
  <c r="Q118" i="8"/>
  <c r="R118" i="8"/>
  <c r="Q119" i="8"/>
  <c r="R119" i="8"/>
  <c r="Q120" i="8"/>
  <c r="R120" i="8"/>
  <c r="Q121" i="8"/>
  <c r="R121" i="8"/>
  <c r="Q122" i="8"/>
  <c r="R122" i="8"/>
  <c r="Q123" i="8"/>
  <c r="R123" i="8"/>
  <c r="Q124" i="8"/>
  <c r="R124" i="8"/>
  <c r="Q125" i="8"/>
  <c r="R125" i="8"/>
  <c r="Q126" i="8"/>
  <c r="R126" i="8"/>
  <c r="Q127" i="8"/>
  <c r="R127" i="8"/>
  <c r="Q128" i="8"/>
  <c r="R128" i="8"/>
  <c r="Q129" i="8"/>
  <c r="R129" i="8"/>
  <c r="Q130" i="8"/>
  <c r="R130" i="8"/>
  <c r="Q131" i="8"/>
  <c r="R131" i="8"/>
  <c r="Q132" i="8"/>
  <c r="R132" i="8"/>
  <c r="Q133" i="8"/>
  <c r="R133" i="8"/>
  <c r="Q134" i="8"/>
  <c r="R134" i="8"/>
  <c r="Q135" i="8"/>
  <c r="R135" i="8"/>
  <c r="Q136" i="8"/>
  <c r="R136" i="8"/>
  <c r="Q137" i="8"/>
  <c r="R137" i="8"/>
  <c r="Q138" i="8"/>
  <c r="R138" i="8"/>
  <c r="Q139" i="8"/>
  <c r="R139" i="8"/>
  <c r="Q140" i="8"/>
  <c r="R140" i="8"/>
  <c r="Q141" i="8"/>
  <c r="R141" i="8"/>
  <c r="Q142" i="8"/>
  <c r="R142" i="8"/>
  <c r="Q143" i="8"/>
  <c r="R143" i="8"/>
  <c r="Q144" i="8"/>
  <c r="R144" i="8"/>
  <c r="Q145" i="8"/>
  <c r="R145" i="8"/>
  <c r="Q146" i="8"/>
  <c r="R146" i="8"/>
  <c r="Q147" i="8"/>
  <c r="R147" i="8"/>
  <c r="Q148" i="8"/>
  <c r="R148" i="8"/>
  <c r="Q149" i="8"/>
  <c r="R149" i="8"/>
  <c r="Q150" i="8"/>
  <c r="R150" i="8"/>
  <c r="Q151" i="8"/>
  <c r="R151" i="8"/>
  <c r="Q152" i="8"/>
  <c r="R152" i="8"/>
  <c r="Q153" i="8"/>
  <c r="R153" i="8"/>
  <c r="Q154" i="8"/>
  <c r="R154" i="8"/>
  <c r="Q155" i="8"/>
  <c r="R155" i="8"/>
  <c r="Q156" i="8"/>
  <c r="R156" i="8"/>
  <c r="Q157" i="8"/>
  <c r="R157" i="8"/>
  <c r="Q158" i="8"/>
  <c r="R158" i="8"/>
  <c r="Q159" i="8"/>
  <c r="R159" i="8"/>
  <c r="Q160" i="8"/>
  <c r="R160" i="8"/>
  <c r="Q161" i="8"/>
  <c r="R161" i="8"/>
  <c r="Q162" i="8"/>
  <c r="R162" i="8"/>
  <c r="Q163" i="8"/>
  <c r="R163" i="8"/>
  <c r="Q164" i="8"/>
  <c r="R164" i="8"/>
  <c r="Q165" i="8"/>
  <c r="R165" i="8"/>
  <c r="Q166" i="8"/>
  <c r="R166" i="8"/>
  <c r="Q167" i="8"/>
  <c r="R167" i="8"/>
  <c r="Q168" i="8"/>
  <c r="R168" i="8"/>
  <c r="Q169" i="8"/>
  <c r="R169" i="8"/>
  <c r="Q170" i="8"/>
  <c r="R170" i="8"/>
  <c r="Q171" i="8"/>
  <c r="R171" i="8"/>
  <c r="Q172" i="8"/>
  <c r="R172" i="8"/>
  <c r="Q173" i="8"/>
  <c r="R173" i="8"/>
  <c r="Q174" i="8"/>
  <c r="R174" i="8"/>
  <c r="Q175" i="8"/>
  <c r="R175" i="8"/>
  <c r="Q176" i="8"/>
  <c r="R176" i="8"/>
  <c r="Q177" i="8"/>
  <c r="R177" i="8"/>
  <c r="Q178" i="8"/>
  <c r="R178" i="8"/>
  <c r="Q179" i="8"/>
  <c r="R179" i="8"/>
  <c r="Q180" i="8"/>
  <c r="R180" i="8"/>
  <c r="Q181" i="8"/>
  <c r="R181" i="8"/>
  <c r="Q182" i="8"/>
  <c r="R182" i="8"/>
  <c r="Q183" i="8"/>
  <c r="R183" i="8"/>
  <c r="Q184" i="8"/>
  <c r="R184" i="8"/>
  <c r="Q185" i="8"/>
  <c r="R185" i="8"/>
  <c r="Q186" i="8"/>
  <c r="R186" i="8"/>
  <c r="Q187" i="8"/>
  <c r="R187" i="8"/>
  <c r="Q188" i="8"/>
  <c r="R188" i="8"/>
  <c r="Q189" i="8"/>
  <c r="R189" i="8"/>
  <c r="Q190" i="8"/>
  <c r="R190" i="8"/>
  <c r="Q191" i="8"/>
  <c r="R191" i="8"/>
  <c r="Q192" i="8"/>
  <c r="R192" i="8"/>
  <c r="Q193" i="8"/>
  <c r="R193" i="8"/>
  <c r="Q194" i="8"/>
  <c r="R194" i="8"/>
  <c r="Q195" i="8"/>
  <c r="R195" i="8"/>
  <c r="Q196" i="8"/>
  <c r="R196" i="8"/>
  <c r="Q197" i="8"/>
  <c r="R197" i="8"/>
  <c r="Q198" i="8"/>
  <c r="R198" i="8"/>
  <c r="Q199" i="8"/>
  <c r="R199" i="8"/>
  <c r="Q200" i="8"/>
  <c r="R200" i="8"/>
  <c r="Q201" i="8"/>
  <c r="R201" i="8"/>
  <c r="Q202" i="8"/>
  <c r="R202" i="8"/>
  <c r="Q203" i="8"/>
  <c r="R203" i="8"/>
  <c r="Q204" i="8"/>
  <c r="R204" i="8"/>
  <c r="Q205" i="8"/>
  <c r="R205" i="8"/>
  <c r="Q206" i="8"/>
  <c r="R206" i="8"/>
  <c r="Q207" i="8"/>
  <c r="R207" i="8"/>
  <c r="Q208" i="8"/>
  <c r="R208" i="8"/>
  <c r="Q209" i="8"/>
  <c r="R209" i="8"/>
  <c r="Q210" i="8"/>
  <c r="R210" i="8"/>
  <c r="Q211" i="8"/>
  <c r="R211" i="8"/>
  <c r="Q212" i="8"/>
  <c r="R212" i="8"/>
  <c r="Q213" i="8"/>
  <c r="R213" i="8"/>
  <c r="Q214" i="8"/>
  <c r="R214" i="8"/>
  <c r="Q215" i="8"/>
  <c r="R215" i="8"/>
  <c r="Q216" i="8"/>
  <c r="R216" i="8"/>
  <c r="Q217" i="8"/>
  <c r="R217" i="8"/>
  <c r="Q218" i="8"/>
  <c r="R218" i="8"/>
  <c r="Q219" i="8"/>
  <c r="R219" i="8"/>
  <c r="Q220" i="8"/>
  <c r="R220" i="8"/>
  <c r="Q221" i="8"/>
  <c r="R221" i="8"/>
  <c r="Q222" i="8"/>
  <c r="R222" i="8"/>
  <c r="Q223" i="8"/>
  <c r="R223" i="8"/>
  <c r="Q224" i="8"/>
  <c r="R224" i="8"/>
  <c r="Q225" i="8"/>
  <c r="R225" i="8"/>
  <c r="Q226" i="8"/>
  <c r="R226" i="8"/>
  <c r="Q227" i="8"/>
  <c r="R227" i="8"/>
  <c r="Q228" i="8"/>
  <c r="R228" i="8"/>
  <c r="Q229" i="8"/>
  <c r="R229" i="8"/>
  <c r="Q230" i="8"/>
  <c r="R230" i="8"/>
  <c r="Q231" i="8"/>
  <c r="R231" i="8"/>
  <c r="Q232" i="8"/>
  <c r="R232" i="8"/>
  <c r="Q233" i="8"/>
  <c r="R233" i="8"/>
  <c r="Q234" i="8"/>
  <c r="R234" i="8"/>
  <c r="Q235" i="8"/>
  <c r="R235" i="8"/>
  <c r="Q236" i="8"/>
  <c r="R236" i="8"/>
  <c r="Q237" i="8"/>
  <c r="R237" i="8"/>
  <c r="Q238" i="8"/>
  <c r="R238" i="8"/>
  <c r="Q239" i="8"/>
  <c r="R239" i="8"/>
  <c r="Q240" i="8"/>
  <c r="R240" i="8"/>
  <c r="Q241" i="8"/>
  <c r="R241" i="8"/>
  <c r="Q242" i="8"/>
  <c r="R242" i="8"/>
  <c r="Q243" i="8"/>
  <c r="R243" i="8"/>
  <c r="Q244" i="8"/>
  <c r="R244" i="8"/>
  <c r="Q245" i="8"/>
  <c r="R245" i="8"/>
  <c r="Q246" i="8"/>
  <c r="R246" i="8"/>
  <c r="Q247" i="8"/>
  <c r="R247" i="8"/>
  <c r="Q248" i="8"/>
  <c r="R248" i="8"/>
  <c r="Q249" i="8"/>
  <c r="R249" i="8"/>
  <c r="Q250" i="8"/>
  <c r="R250" i="8"/>
  <c r="Q251" i="8"/>
  <c r="R251" i="8"/>
  <c r="Q252" i="8"/>
  <c r="R252" i="8"/>
  <c r="Q253" i="8"/>
  <c r="R253" i="8"/>
  <c r="Q254" i="8"/>
  <c r="R254" i="8"/>
  <c r="Q255" i="8"/>
  <c r="R255" i="8"/>
  <c r="Q256" i="8"/>
  <c r="R256" i="8"/>
  <c r="Q257" i="8"/>
  <c r="R257" i="8"/>
  <c r="Q258" i="8"/>
  <c r="R258" i="8"/>
  <c r="Q259" i="8"/>
  <c r="R259" i="8"/>
  <c r="Q260" i="8"/>
  <c r="R260" i="8"/>
  <c r="Q261" i="8"/>
  <c r="R261" i="8"/>
  <c r="Q262" i="8"/>
  <c r="R262" i="8"/>
  <c r="Q263" i="8"/>
  <c r="R263" i="8"/>
  <c r="Q264" i="8"/>
  <c r="R264" i="8"/>
  <c r="Q265" i="8"/>
  <c r="R265" i="8"/>
  <c r="Q266" i="8"/>
  <c r="R266" i="8"/>
  <c r="Q267" i="8"/>
  <c r="R267" i="8"/>
  <c r="Q268" i="8"/>
  <c r="R268" i="8"/>
  <c r="Q269" i="8"/>
  <c r="R269" i="8"/>
  <c r="Q270" i="8"/>
  <c r="R270" i="8"/>
  <c r="Q271" i="8"/>
  <c r="R271" i="8"/>
  <c r="Q272" i="8"/>
  <c r="R272" i="8"/>
  <c r="Q273" i="8"/>
  <c r="R273" i="8"/>
  <c r="Q274" i="8"/>
  <c r="R274" i="8"/>
  <c r="Q275" i="8"/>
  <c r="R275" i="8"/>
  <c r="Q276" i="8"/>
  <c r="R276" i="8"/>
  <c r="Q277" i="8"/>
  <c r="R277" i="8"/>
  <c r="Q278" i="8"/>
  <c r="R278" i="8"/>
  <c r="Q279" i="8"/>
  <c r="R279" i="8"/>
  <c r="Q280" i="8"/>
  <c r="R280" i="8"/>
  <c r="Q281" i="8"/>
  <c r="R281" i="8"/>
  <c r="Q282" i="8"/>
  <c r="R282" i="8"/>
  <c r="Q283" i="8"/>
  <c r="R283" i="8"/>
  <c r="Q284" i="8"/>
  <c r="R284" i="8"/>
  <c r="Q285" i="8"/>
  <c r="R285" i="8"/>
  <c r="Q286" i="8"/>
  <c r="R286" i="8"/>
  <c r="Q287" i="8"/>
  <c r="R287" i="8"/>
  <c r="Q288" i="8"/>
  <c r="R288" i="8"/>
  <c r="Q289" i="8"/>
  <c r="R289" i="8"/>
  <c r="Q290" i="8"/>
  <c r="R290" i="8"/>
  <c r="Q291" i="8"/>
  <c r="R291" i="8"/>
  <c r="Q292" i="8"/>
  <c r="R292" i="8"/>
  <c r="Q293" i="8"/>
  <c r="R293" i="8"/>
  <c r="Q294" i="8"/>
  <c r="R294" i="8"/>
  <c r="Q295" i="8"/>
  <c r="R295" i="8"/>
  <c r="Q296" i="8"/>
  <c r="R296" i="8"/>
  <c r="Q297" i="8"/>
  <c r="R297" i="8"/>
  <c r="Q298" i="8"/>
  <c r="R298" i="8"/>
  <c r="Q299" i="8"/>
  <c r="R299" i="8"/>
  <c r="Q300" i="8"/>
  <c r="R300" i="8"/>
  <c r="Q301" i="8"/>
  <c r="R301" i="8"/>
  <c r="Q302" i="8"/>
  <c r="R302" i="8"/>
  <c r="Q303" i="8"/>
  <c r="R303" i="8"/>
  <c r="Q304" i="8"/>
  <c r="R304" i="8"/>
  <c r="Q305" i="8"/>
  <c r="R305" i="8"/>
  <c r="Q306" i="8"/>
  <c r="R306" i="8"/>
  <c r="Q307" i="8"/>
  <c r="R307" i="8"/>
  <c r="Q308" i="8"/>
  <c r="R308" i="8"/>
  <c r="Q309" i="8"/>
  <c r="R309" i="8"/>
  <c r="Q310" i="8"/>
  <c r="R310" i="8"/>
  <c r="Q311" i="8"/>
  <c r="R311" i="8"/>
  <c r="Q312" i="8"/>
  <c r="R312" i="8"/>
  <c r="R313" i="8"/>
  <c r="M50" i="3"/>
  <c r="A1635" i="16" l="1"/>
  <c r="M43" i="3" l="1"/>
  <c r="E295" i="8" l="1"/>
  <c r="E294" i="8"/>
  <c r="E290" i="8"/>
  <c r="E288" i="8"/>
  <c r="E285" i="8"/>
  <c r="E284" i="8"/>
  <c r="E280" i="8"/>
  <c r="M45" i="3"/>
  <c r="E163" i="8"/>
  <c r="R1635" i="16"/>
  <c r="S1635" i="16"/>
  <c r="M44" i="3" l="1"/>
  <c r="S2017" i="16"/>
  <c r="R2017" i="16"/>
  <c r="S2001" i="16"/>
  <c r="R2001" i="16"/>
  <c r="S2000" i="16"/>
  <c r="R2000" i="16"/>
  <c r="S1999" i="16"/>
  <c r="R1999" i="16"/>
  <c r="M47" i="3" l="1"/>
  <c r="S1998" i="16"/>
  <c r="R1998" i="16"/>
  <c r="S1997" i="16"/>
  <c r="R1997" i="16"/>
  <c r="S1996" i="16"/>
  <c r="R1996" i="16"/>
  <c r="S1995" i="16"/>
  <c r="R1995" i="16"/>
  <c r="S1994" i="16"/>
  <c r="R1994" i="16"/>
  <c r="S1993" i="16"/>
  <c r="R1993" i="16"/>
  <c r="S1992" i="16"/>
  <c r="R1992" i="16"/>
  <c r="S1991" i="16"/>
  <c r="R1991" i="16"/>
  <c r="S1990" i="16"/>
  <c r="R1990" i="16"/>
  <c r="S1973" i="16"/>
  <c r="R1973" i="16"/>
  <c r="S1972" i="16"/>
  <c r="R1972" i="16"/>
  <c r="S1731" i="16"/>
  <c r="R1731" i="16"/>
  <c r="S1730" i="16"/>
  <c r="R1730" i="16"/>
  <c r="S1729" i="16"/>
  <c r="R1729" i="16"/>
  <c r="S1728" i="16"/>
  <c r="R1728" i="16"/>
  <c r="S1727" i="16"/>
  <c r="R1727" i="16"/>
  <c r="S1726" i="16"/>
  <c r="R1726" i="16"/>
  <c r="S1725" i="16"/>
  <c r="R1725" i="16"/>
  <c r="S1724" i="16"/>
  <c r="R1724" i="16"/>
  <c r="S1723" i="16"/>
  <c r="R1723" i="16"/>
  <c r="S1722" i="16"/>
  <c r="R1722" i="16"/>
  <c r="S1721" i="16"/>
  <c r="R1721" i="16"/>
  <c r="S1720" i="16"/>
  <c r="R1720" i="16"/>
  <c r="S1719" i="16"/>
  <c r="R1719" i="16"/>
  <c r="S1691" i="16"/>
  <c r="R1691" i="16"/>
  <c r="S1674" i="16"/>
  <c r="R1674" i="16"/>
  <c r="S1664" i="16"/>
  <c r="R1664" i="16"/>
  <c r="S1634" i="16"/>
  <c r="R1634" i="16"/>
  <c r="S1633" i="16"/>
  <c r="R1633" i="16"/>
  <c r="S1632" i="16"/>
  <c r="R1632" i="16"/>
  <c r="S1503" i="16"/>
  <c r="R1503" i="16"/>
  <c r="S1502" i="16"/>
  <c r="R1502" i="16"/>
  <c r="S1976" i="16" l="1"/>
  <c r="R1976" i="16"/>
  <c r="S1975" i="16"/>
  <c r="R1975" i="16"/>
  <c r="S1974" i="16"/>
  <c r="R1974" i="16"/>
  <c r="S1963" i="16"/>
  <c r="R1963" i="16"/>
  <c r="S1740" i="16"/>
  <c r="R1740" i="16"/>
  <c r="S1739" i="16"/>
  <c r="R1739" i="16"/>
  <c r="S1738" i="16"/>
  <c r="R1738" i="16"/>
  <c r="S1737" i="16"/>
  <c r="R1737" i="16"/>
  <c r="S1736" i="16"/>
  <c r="R1736" i="16"/>
  <c r="S1735" i="16"/>
  <c r="R1735" i="16"/>
  <c r="S1734" i="16"/>
  <c r="R1734" i="16"/>
  <c r="S1733" i="16"/>
  <c r="R1733" i="16"/>
  <c r="S1732" i="16"/>
  <c r="R1732" i="16"/>
  <c r="S1651" i="16"/>
  <c r="R1651" i="16"/>
  <c r="S1650" i="16"/>
  <c r="R1650" i="16"/>
  <c r="S1637" i="16"/>
  <c r="R1637" i="16"/>
  <c r="S1636" i="16"/>
  <c r="R1636" i="16"/>
  <c r="S1549" i="16"/>
  <c r="R1549" i="16"/>
  <c r="S1548" i="16"/>
  <c r="R1548" i="16"/>
  <c r="S1547" i="16"/>
  <c r="R1547" i="16"/>
  <c r="S1546" i="16"/>
  <c r="R1546" i="16"/>
  <c r="S1545" i="16"/>
  <c r="R1545" i="16"/>
  <c r="S1544" i="16"/>
  <c r="R1544" i="16"/>
  <c r="S1543" i="16"/>
  <c r="R1543" i="16"/>
  <c r="S1542" i="16"/>
  <c r="R1542" i="16"/>
  <c r="S1541" i="16"/>
  <c r="R1541" i="16"/>
  <c r="S1540" i="16"/>
  <c r="R1540" i="16"/>
  <c r="S1539" i="16"/>
  <c r="R1539" i="16"/>
  <c r="S1538" i="16"/>
  <c r="R1538" i="16"/>
  <c r="S1537" i="16"/>
  <c r="R1537" i="16"/>
  <c r="S1536" i="16"/>
  <c r="R1536" i="16"/>
  <c r="S1535" i="16"/>
  <c r="R1535" i="16"/>
  <c r="S1534" i="16"/>
  <c r="R1534" i="16"/>
  <c r="S1533" i="16"/>
  <c r="R1533" i="16"/>
  <c r="S1532" i="16"/>
  <c r="R1532" i="16"/>
  <c r="S1505" i="16"/>
  <c r="R1505" i="16"/>
  <c r="S1504" i="16"/>
  <c r="R1504" i="16"/>
  <c r="S1388" i="16"/>
  <c r="R1388" i="16"/>
  <c r="S1387" i="16"/>
  <c r="R1387" i="16"/>
  <c r="S1386" i="16"/>
  <c r="R1386" i="16"/>
  <c r="S1384" i="16"/>
  <c r="R1384" i="16"/>
  <c r="S1385" i="16"/>
  <c r="R1385" i="16"/>
  <c r="S1383" i="16"/>
  <c r="R1383" i="16"/>
  <c r="S1356" i="16"/>
  <c r="R1356" i="16"/>
  <c r="S1355" i="16"/>
  <c r="R1355" i="16"/>
  <c r="R1354" i="16"/>
  <c r="S1354" i="16"/>
  <c r="S1353" i="16"/>
  <c r="R1353" i="16"/>
  <c r="S1352" i="16"/>
  <c r="R1352" i="16"/>
  <c r="S1347" i="16"/>
  <c r="R1347" i="16"/>
  <c r="S1346" i="16"/>
  <c r="R1346" i="16"/>
  <c r="R6" i="16" l="1"/>
  <c r="S6" i="16"/>
  <c r="R7" i="16"/>
  <c r="S7" i="16"/>
  <c r="R8" i="16"/>
  <c r="S8" i="16"/>
  <c r="R9" i="16"/>
  <c r="S9" i="16"/>
  <c r="R10" i="16"/>
  <c r="S10" i="16"/>
  <c r="R11" i="16"/>
  <c r="S11" i="16"/>
  <c r="R12" i="16"/>
  <c r="S12" i="16"/>
  <c r="R13" i="16"/>
  <c r="S13" i="16"/>
  <c r="R14" i="16"/>
  <c r="S14" i="16"/>
  <c r="R15" i="16"/>
  <c r="S15" i="16"/>
  <c r="R16" i="16"/>
  <c r="S16" i="16"/>
  <c r="R17" i="16"/>
  <c r="S17" i="16"/>
  <c r="R18" i="16"/>
  <c r="S18" i="16"/>
  <c r="R19" i="16"/>
  <c r="S19" i="16"/>
  <c r="R20" i="16"/>
  <c r="S20" i="16"/>
  <c r="R21" i="16"/>
  <c r="S21" i="16"/>
  <c r="R22" i="16"/>
  <c r="S22" i="16"/>
  <c r="R23" i="16"/>
  <c r="S23" i="16"/>
  <c r="R24" i="16"/>
  <c r="S24" i="16"/>
  <c r="R25" i="16"/>
  <c r="S25" i="16"/>
  <c r="R26" i="16"/>
  <c r="S26" i="16"/>
  <c r="R27" i="16"/>
  <c r="S27" i="16"/>
  <c r="R28" i="16"/>
  <c r="S28" i="16"/>
  <c r="R29" i="16"/>
  <c r="S29" i="16"/>
  <c r="R30" i="16"/>
  <c r="S30" i="16"/>
  <c r="R31" i="16"/>
  <c r="S31" i="16"/>
  <c r="R32" i="16"/>
  <c r="S32" i="16"/>
  <c r="R33" i="16"/>
  <c r="S33" i="16"/>
  <c r="R34" i="16"/>
  <c r="S34" i="16"/>
  <c r="R35" i="16"/>
  <c r="S35" i="16"/>
  <c r="R36" i="16"/>
  <c r="S36" i="16"/>
  <c r="R37" i="16"/>
  <c r="S37" i="16"/>
  <c r="R38" i="16"/>
  <c r="S38" i="16"/>
  <c r="R39" i="16"/>
  <c r="S39" i="16"/>
  <c r="R40" i="16"/>
  <c r="S40" i="16"/>
  <c r="R41" i="16"/>
  <c r="S41" i="16"/>
  <c r="R42" i="16"/>
  <c r="S42" i="16"/>
  <c r="R43" i="16"/>
  <c r="S43" i="16"/>
  <c r="R44" i="16"/>
  <c r="S44" i="16"/>
  <c r="R45" i="16"/>
  <c r="S45" i="16"/>
  <c r="R46" i="16"/>
  <c r="S46" i="16"/>
  <c r="R47" i="16"/>
  <c r="S47" i="16"/>
  <c r="R48" i="16"/>
  <c r="S48" i="16"/>
  <c r="R49" i="16"/>
  <c r="S49" i="16"/>
  <c r="R50" i="16"/>
  <c r="S50" i="16"/>
  <c r="R51" i="16"/>
  <c r="S51" i="16"/>
  <c r="R52" i="16"/>
  <c r="S52" i="16"/>
  <c r="R53" i="16"/>
  <c r="S53" i="16"/>
  <c r="R54" i="16"/>
  <c r="S54" i="16"/>
  <c r="R55" i="16"/>
  <c r="S55" i="16"/>
  <c r="R56" i="16"/>
  <c r="S56" i="16"/>
  <c r="R57" i="16"/>
  <c r="S57" i="16"/>
  <c r="R58" i="16"/>
  <c r="S58" i="16"/>
  <c r="R59" i="16"/>
  <c r="S59" i="16"/>
  <c r="R60" i="16"/>
  <c r="S60" i="16"/>
  <c r="R61" i="16"/>
  <c r="S61" i="16"/>
  <c r="R62" i="16"/>
  <c r="S62" i="16"/>
  <c r="R63" i="16"/>
  <c r="S63" i="16"/>
  <c r="R64" i="16"/>
  <c r="S64" i="16"/>
  <c r="R65" i="16"/>
  <c r="S65" i="16"/>
  <c r="R66" i="16"/>
  <c r="S66" i="16"/>
  <c r="R67" i="16"/>
  <c r="S67" i="16"/>
  <c r="R68" i="16"/>
  <c r="S68" i="16"/>
  <c r="R69" i="16"/>
  <c r="S69" i="16"/>
  <c r="R70" i="16"/>
  <c r="S70" i="16"/>
  <c r="R71" i="16"/>
  <c r="S71" i="16"/>
  <c r="R72" i="16"/>
  <c r="S72" i="16"/>
  <c r="R73" i="16"/>
  <c r="S73" i="16"/>
  <c r="R74" i="16"/>
  <c r="S74" i="16"/>
  <c r="R75" i="16"/>
  <c r="S75" i="16"/>
  <c r="R76" i="16"/>
  <c r="S76" i="16"/>
  <c r="R77" i="16"/>
  <c r="S77" i="16"/>
  <c r="R78" i="16"/>
  <c r="S78" i="16"/>
  <c r="R79" i="16"/>
  <c r="S79" i="16"/>
  <c r="R80" i="16"/>
  <c r="S80" i="16"/>
  <c r="R81" i="16"/>
  <c r="S81" i="16"/>
  <c r="R82" i="16"/>
  <c r="S82" i="16"/>
  <c r="R83" i="16"/>
  <c r="S83" i="16"/>
  <c r="R84" i="16"/>
  <c r="S84" i="16"/>
  <c r="R85" i="16"/>
  <c r="S85" i="16"/>
  <c r="R86" i="16"/>
  <c r="S86" i="16"/>
  <c r="R87" i="16"/>
  <c r="S87" i="16"/>
  <c r="R88" i="16"/>
  <c r="S88" i="16"/>
  <c r="R89" i="16"/>
  <c r="S89" i="16"/>
  <c r="R90" i="16"/>
  <c r="S90" i="16"/>
  <c r="R91" i="16"/>
  <c r="S91" i="16"/>
  <c r="R92" i="16"/>
  <c r="S92" i="16"/>
  <c r="R93" i="16"/>
  <c r="S93" i="16"/>
  <c r="R94" i="16"/>
  <c r="S94" i="16"/>
  <c r="R95" i="16"/>
  <c r="S95" i="16"/>
  <c r="R96" i="16"/>
  <c r="S96" i="16"/>
  <c r="R97" i="16"/>
  <c r="S97" i="16"/>
  <c r="R98" i="16"/>
  <c r="S98" i="16"/>
  <c r="R99" i="16"/>
  <c r="S99" i="16"/>
  <c r="R100" i="16"/>
  <c r="S100" i="16"/>
  <c r="R101" i="16"/>
  <c r="S101" i="16"/>
  <c r="R102" i="16"/>
  <c r="S102" i="16"/>
  <c r="R103" i="16"/>
  <c r="S103" i="16"/>
  <c r="R104" i="16"/>
  <c r="S104" i="16"/>
  <c r="R105" i="16"/>
  <c r="S105" i="16"/>
  <c r="R106" i="16"/>
  <c r="S106" i="16"/>
  <c r="R107" i="16"/>
  <c r="S107" i="16"/>
  <c r="R108" i="16"/>
  <c r="S108" i="16"/>
  <c r="R109" i="16"/>
  <c r="S109" i="16"/>
  <c r="R110" i="16"/>
  <c r="S110" i="16"/>
  <c r="R111" i="16"/>
  <c r="S111" i="16"/>
  <c r="R112" i="16"/>
  <c r="S112" i="16"/>
  <c r="R113" i="16"/>
  <c r="S113" i="16"/>
  <c r="R114" i="16"/>
  <c r="S114" i="16"/>
  <c r="R115" i="16"/>
  <c r="S115" i="16"/>
  <c r="R116" i="16"/>
  <c r="S116" i="16"/>
  <c r="R117" i="16"/>
  <c r="S117" i="16"/>
  <c r="R118" i="16"/>
  <c r="S118" i="16"/>
  <c r="R119" i="16"/>
  <c r="S119" i="16"/>
  <c r="R120" i="16"/>
  <c r="S120" i="16"/>
  <c r="R121" i="16"/>
  <c r="S121" i="16"/>
  <c r="R122" i="16"/>
  <c r="S122" i="16"/>
  <c r="R123" i="16"/>
  <c r="S123" i="16"/>
  <c r="R124" i="16"/>
  <c r="S124" i="16"/>
  <c r="R125" i="16"/>
  <c r="S125" i="16"/>
  <c r="R126" i="16"/>
  <c r="S126" i="16"/>
  <c r="R127" i="16"/>
  <c r="S127" i="16"/>
  <c r="R128" i="16"/>
  <c r="S128" i="16"/>
  <c r="R129" i="16"/>
  <c r="S129" i="16"/>
  <c r="R130" i="16"/>
  <c r="S130" i="16"/>
  <c r="R131" i="16"/>
  <c r="S131" i="16"/>
  <c r="R132" i="16"/>
  <c r="S132" i="16"/>
  <c r="R133" i="16"/>
  <c r="S133" i="16"/>
  <c r="R134" i="16"/>
  <c r="S134" i="16"/>
  <c r="R135" i="16"/>
  <c r="S135" i="16"/>
  <c r="R136" i="16"/>
  <c r="S136" i="16"/>
  <c r="R137" i="16"/>
  <c r="S137" i="16"/>
  <c r="R138" i="16"/>
  <c r="S138" i="16"/>
  <c r="R139" i="16"/>
  <c r="S139" i="16"/>
  <c r="R140" i="16"/>
  <c r="S140" i="16"/>
  <c r="R141" i="16"/>
  <c r="S141" i="16"/>
  <c r="R142" i="16"/>
  <c r="S142" i="16"/>
  <c r="R143" i="16"/>
  <c r="S143" i="16"/>
  <c r="R144" i="16"/>
  <c r="S144" i="16"/>
  <c r="R145" i="16"/>
  <c r="S145" i="16"/>
  <c r="R146" i="16"/>
  <c r="S146" i="16"/>
  <c r="R147" i="16"/>
  <c r="S147" i="16"/>
  <c r="R148" i="16"/>
  <c r="S148" i="16"/>
  <c r="R149" i="16"/>
  <c r="S149" i="16"/>
  <c r="R150" i="16"/>
  <c r="S150" i="16"/>
  <c r="R151" i="16"/>
  <c r="S151" i="16"/>
  <c r="R152" i="16"/>
  <c r="S152" i="16"/>
  <c r="R153" i="16"/>
  <c r="S153" i="16"/>
  <c r="R154" i="16"/>
  <c r="S154" i="16"/>
  <c r="R155" i="16"/>
  <c r="S155" i="16"/>
  <c r="R156" i="16"/>
  <c r="S156" i="16"/>
  <c r="R157" i="16"/>
  <c r="S157" i="16"/>
  <c r="R158" i="16"/>
  <c r="S158" i="16"/>
  <c r="R159" i="16"/>
  <c r="S159" i="16"/>
  <c r="R160" i="16"/>
  <c r="S160" i="16"/>
  <c r="R161" i="16"/>
  <c r="S161" i="16"/>
  <c r="R162" i="16"/>
  <c r="S162" i="16"/>
  <c r="R163" i="16"/>
  <c r="S163" i="16"/>
  <c r="R164" i="16"/>
  <c r="S164" i="16"/>
  <c r="R165" i="16"/>
  <c r="S165" i="16"/>
  <c r="R166" i="16"/>
  <c r="S166" i="16"/>
  <c r="R167" i="16"/>
  <c r="S167" i="16"/>
  <c r="R168" i="16"/>
  <c r="S168" i="16"/>
  <c r="R169" i="16"/>
  <c r="S169" i="16"/>
  <c r="R170" i="16"/>
  <c r="S170" i="16"/>
  <c r="R171" i="16"/>
  <c r="S171" i="16"/>
  <c r="R172" i="16"/>
  <c r="S172" i="16"/>
  <c r="R173" i="16"/>
  <c r="S173" i="16"/>
  <c r="R174" i="16"/>
  <c r="S174" i="16"/>
  <c r="R175" i="16"/>
  <c r="S175" i="16"/>
  <c r="R176" i="16"/>
  <c r="S176" i="16"/>
  <c r="R177" i="16"/>
  <c r="S177" i="16"/>
  <c r="R178" i="16"/>
  <c r="S178" i="16"/>
  <c r="R179" i="16"/>
  <c r="S179" i="16"/>
  <c r="R180" i="16"/>
  <c r="S180" i="16"/>
  <c r="R181" i="16"/>
  <c r="S181" i="16"/>
  <c r="R182" i="16"/>
  <c r="S182" i="16"/>
  <c r="R183" i="16"/>
  <c r="S183" i="16"/>
  <c r="R184" i="16"/>
  <c r="S184" i="16"/>
  <c r="R185" i="16"/>
  <c r="S185" i="16"/>
  <c r="R186" i="16"/>
  <c r="S186" i="16"/>
  <c r="R187" i="16"/>
  <c r="S187" i="16"/>
  <c r="R188" i="16"/>
  <c r="S188" i="16"/>
  <c r="R189" i="16"/>
  <c r="S189" i="16"/>
  <c r="R190" i="16"/>
  <c r="S190" i="16"/>
  <c r="R191" i="16"/>
  <c r="S191" i="16"/>
  <c r="R192" i="16"/>
  <c r="S192" i="16"/>
  <c r="R193" i="16"/>
  <c r="S193" i="16"/>
  <c r="R194" i="16"/>
  <c r="S194" i="16"/>
  <c r="R195" i="16"/>
  <c r="S195" i="16"/>
  <c r="R196" i="16"/>
  <c r="S196" i="16"/>
  <c r="R197" i="16"/>
  <c r="S197" i="16"/>
  <c r="R198" i="16"/>
  <c r="S198" i="16"/>
  <c r="R199" i="16"/>
  <c r="S199" i="16"/>
  <c r="R200" i="16"/>
  <c r="S200" i="16"/>
  <c r="R201" i="16"/>
  <c r="S201" i="16"/>
  <c r="R202" i="16"/>
  <c r="S202" i="16"/>
  <c r="R203" i="16"/>
  <c r="S203" i="16"/>
  <c r="R204" i="16"/>
  <c r="S204" i="16"/>
  <c r="R205" i="16"/>
  <c r="S205" i="16"/>
  <c r="R206" i="16"/>
  <c r="S206" i="16"/>
  <c r="R207" i="16"/>
  <c r="S207" i="16"/>
  <c r="R208" i="16"/>
  <c r="S208" i="16"/>
  <c r="R209" i="16"/>
  <c r="S209" i="16"/>
  <c r="R210" i="16"/>
  <c r="S210" i="16"/>
  <c r="R211" i="16"/>
  <c r="S211" i="16"/>
  <c r="R212" i="16"/>
  <c r="S212" i="16"/>
  <c r="R213" i="16"/>
  <c r="S213" i="16"/>
  <c r="R214" i="16"/>
  <c r="S214" i="16"/>
  <c r="R215" i="16"/>
  <c r="S215" i="16"/>
  <c r="R216" i="16"/>
  <c r="S216" i="16"/>
  <c r="R217" i="16"/>
  <c r="S217" i="16"/>
  <c r="R218" i="16"/>
  <c r="S218" i="16"/>
  <c r="R219" i="16"/>
  <c r="S219" i="16"/>
  <c r="R220" i="16"/>
  <c r="S220" i="16"/>
  <c r="R221" i="16"/>
  <c r="S221" i="16"/>
  <c r="R222" i="16"/>
  <c r="S222" i="16"/>
  <c r="R223" i="16"/>
  <c r="S223" i="16"/>
  <c r="R224" i="16"/>
  <c r="S224" i="16"/>
  <c r="R225" i="16"/>
  <c r="S225" i="16"/>
  <c r="R226" i="16"/>
  <c r="S226" i="16"/>
  <c r="R227" i="16"/>
  <c r="S227" i="16"/>
  <c r="R228" i="16"/>
  <c r="S228" i="16"/>
  <c r="R229" i="16"/>
  <c r="S229" i="16"/>
  <c r="R230" i="16"/>
  <c r="S230" i="16"/>
  <c r="R231" i="16"/>
  <c r="S231" i="16"/>
  <c r="R232" i="16"/>
  <c r="S232" i="16"/>
  <c r="R233" i="16"/>
  <c r="S233" i="16"/>
  <c r="R234" i="16"/>
  <c r="S234" i="16"/>
  <c r="R235" i="16"/>
  <c r="S235" i="16"/>
  <c r="R236" i="16"/>
  <c r="S236" i="16"/>
  <c r="R237" i="16"/>
  <c r="S237" i="16"/>
  <c r="R238" i="16"/>
  <c r="S238" i="16"/>
  <c r="R239" i="16"/>
  <c r="S239" i="16"/>
  <c r="R240" i="16"/>
  <c r="S240" i="16"/>
  <c r="R241" i="16"/>
  <c r="S241" i="16"/>
  <c r="R242" i="16"/>
  <c r="S242" i="16"/>
  <c r="R243" i="16"/>
  <c r="S243" i="16"/>
  <c r="R244" i="16"/>
  <c r="S244" i="16"/>
  <c r="R245" i="16"/>
  <c r="S245" i="16"/>
  <c r="R246" i="16"/>
  <c r="S246" i="16"/>
  <c r="R247" i="16"/>
  <c r="S247" i="16"/>
  <c r="R248" i="16"/>
  <c r="S248" i="16"/>
  <c r="R249" i="16"/>
  <c r="S249" i="16"/>
  <c r="R250" i="16"/>
  <c r="S250" i="16"/>
  <c r="R251" i="16"/>
  <c r="S251" i="16"/>
  <c r="R252" i="16"/>
  <c r="S252" i="16"/>
  <c r="R253" i="16"/>
  <c r="S253" i="16"/>
  <c r="R254" i="16"/>
  <c r="S254" i="16"/>
  <c r="R255" i="16"/>
  <c r="S255" i="16"/>
  <c r="R256" i="16"/>
  <c r="S256" i="16"/>
  <c r="R257" i="16"/>
  <c r="S257" i="16"/>
  <c r="R258" i="16"/>
  <c r="S258" i="16"/>
  <c r="R259" i="16"/>
  <c r="S259" i="16"/>
  <c r="R260" i="16"/>
  <c r="S260" i="16"/>
  <c r="R261" i="16"/>
  <c r="S261" i="16"/>
  <c r="R262" i="16"/>
  <c r="S262" i="16"/>
  <c r="R263" i="16"/>
  <c r="S263" i="16"/>
  <c r="R264" i="16"/>
  <c r="S264" i="16"/>
  <c r="R265" i="16"/>
  <c r="S265" i="16"/>
  <c r="R266" i="16"/>
  <c r="S266" i="16"/>
  <c r="R267" i="16"/>
  <c r="S267" i="16"/>
  <c r="R268" i="16"/>
  <c r="S268" i="16"/>
  <c r="R269" i="16"/>
  <c r="S269" i="16"/>
  <c r="R270" i="16"/>
  <c r="S270" i="16"/>
  <c r="R271" i="16"/>
  <c r="S271" i="16"/>
  <c r="R272" i="16"/>
  <c r="S272" i="16"/>
  <c r="R273" i="16"/>
  <c r="S273" i="16"/>
  <c r="R274" i="16"/>
  <c r="S274" i="16"/>
  <c r="R275" i="16"/>
  <c r="S275" i="16"/>
  <c r="R276" i="16"/>
  <c r="S276" i="16"/>
  <c r="R277" i="16"/>
  <c r="S277" i="16"/>
  <c r="R278" i="16"/>
  <c r="S278" i="16"/>
  <c r="R279" i="16"/>
  <c r="S279" i="16"/>
  <c r="R280" i="16"/>
  <c r="S280" i="16"/>
  <c r="R281" i="16"/>
  <c r="S281" i="16"/>
  <c r="R282" i="16"/>
  <c r="S282" i="16"/>
  <c r="R283" i="16"/>
  <c r="S283" i="16"/>
  <c r="R284" i="16"/>
  <c r="S284" i="16"/>
  <c r="R285" i="16"/>
  <c r="S285" i="16"/>
  <c r="R286" i="16"/>
  <c r="S286" i="16"/>
  <c r="R287" i="16"/>
  <c r="S287" i="16"/>
  <c r="R288" i="16"/>
  <c r="S288" i="16"/>
  <c r="R289" i="16"/>
  <c r="S289" i="16"/>
  <c r="R290" i="16"/>
  <c r="S290" i="16"/>
  <c r="R291" i="16"/>
  <c r="S291" i="16"/>
  <c r="R292" i="16"/>
  <c r="S292" i="16"/>
  <c r="R293" i="16"/>
  <c r="S293" i="16"/>
  <c r="R294" i="16"/>
  <c r="S294" i="16"/>
  <c r="R295" i="16"/>
  <c r="S295" i="16"/>
  <c r="R296" i="16"/>
  <c r="S296" i="16"/>
  <c r="R297" i="16"/>
  <c r="S297" i="16"/>
  <c r="R298" i="16"/>
  <c r="S298" i="16"/>
  <c r="R299" i="16"/>
  <c r="S299" i="16"/>
  <c r="R300" i="16"/>
  <c r="S300" i="16"/>
  <c r="R301" i="16"/>
  <c r="S301" i="16"/>
  <c r="R302" i="16"/>
  <c r="S302" i="16"/>
  <c r="R303" i="16"/>
  <c r="S303" i="16"/>
  <c r="R304" i="16"/>
  <c r="S304" i="16"/>
  <c r="R305" i="16"/>
  <c r="S305" i="16"/>
  <c r="R306" i="16"/>
  <c r="S306" i="16"/>
  <c r="R307" i="16"/>
  <c r="S307" i="16"/>
  <c r="R308" i="16"/>
  <c r="S308" i="16"/>
  <c r="R309" i="16"/>
  <c r="S309" i="16"/>
  <c r="R310" i="16"/>
  <c r="S310" i="16"/>
  <c r="R311" i="16"/>
  <c r="S311" i="16"/>
  <c r="R312" i="16"/>
  <c r="S312" i="16"/>
  <c r="R313" i="16"/>
  <c r="S313" i="16"/>
  <c r="R314" i="16"/>
  <c r="S314" i="16"/>
  <c r="R315" i="16"/>
  <c r="S315" i="16"/>
  <c r="R316" i="16"/>
  <c r="S316" i="16"/>
  <c r="R317" i="16"/>
  <c r="S317" i="16"/>
  <c r="R318" i="16"/>
  <c r="S318" i="16"/>
  <c r="R319" i="16"/>
  <c r="S319" i="16"/>
  <c r="R320" i="16"/>
  <c r="S320" i="16"/>
  <c r="R321" i="16"/>
  <c r="S321" i="16"/>
  <c r="R322" i="16"/>
  <c r="S322" i="16"/>
  <c r="R323" i="16"/>
  <c r="S323" i="16"/>
  <c r="R324" i="16"/>
  <c r="S324" i="16"/>
  <c r="R325" i="16"/>
  <c r="S325" i="16"/>
  <c r="R326" i="16"/>
  <c r="S326" i="16"/>
  <c r="R327" i="16"/>
  <c r="S327" i="16"/>
  <c r="R328" i="16"/>
  <c r="S328" i="16"/>
  <c r="R329" i="16"/>
  <c r="S329" i="16"/>
  <c r="R330" i="16"/>
  <c r="S330" i="16"/>
  <c r="R331" i="16"/>
  <c r="S331" i="16"/>
  <c r="R332" i="16"/>
  <c r="S332" i="16"/>
  <c r="R333" i="16"/>
  <c r="S333" i="16"/>
  <c r="R334" i="16"/>
  <c r="S334" i="16"/>
  <c r="R335" i="16"/>
  <c r="S335" i="16"/>
  <c r="R336" i="16"/>
  <c r="S336" i="16"/>
  <c r="R337" i="16"/>
  <c r="S337" i="16"/>
  <c r="R338" i="16"/>
  <c r="S338" i="16"/>
  <c r="R339" i="16"/>
  <c r="S339" i="16"/>
  <c r="R340" i="16"/>
  <c r="S340" i="16"/>
  <c r="R341" i="16"/>
  <c r="S341" i="16"/>
  <c r="R342" i="16"/>
  <c r="S342" i="16"/>
  <c r="R343" i="16"/>
  <c r="S343" i="16"/>
  <c r="R344" i="16"/>
  <c r="S344" i="16"/>
  <c r="R345" i="16"/>
  <c r="S345" i="16"/>
  <c r="R346" i="16"/>
  <c r="S346" i="16"/>
  <c r="R347" i="16"/>
  <c r="S347" i="16"/>
  <c r="R348" i="16"/>
  <c r="S348" i="16"/>
  <c r="R349" i="16"/>
  <c r="S349" i="16"/>
  <c r="R350" i="16"/>
  <c r="S350" i="16"/>
  <c r="R351" i="16"/>
  <c r="S351" i="16"/>
  <c r="R352" i="16"/>
  <c r="S352" i="16"/>
  <c r="R353" i="16"/>
  <c r="S353" i="16"/>
  <c r="R354" i="16"/>
  <c r="S354" i="16"/>
  <c r="R355" i="16"/>
  <c r="S355" i="16"/>
  <c r="R356" i="16"/>
  <c r="S356" i="16"/>
  <c r="R357" i="16"/>
  <c r="S357" i="16"/>
  <c r="R358" i="16"/>
  <c r="S358" i="16"/>
  <c r="R359" i="16"/>
  <c r="S359" i="16"/>
  <c r="R360" i="16"/>
  <c r="S360" i="16"/>
  <c r="R361" i="16"/>
  <c r="S361" i="16"/>
  <c r="R362" i="16"/>
  <c r="S362" i="16"/>
  <c r="R363" i="16"/>
  <c r="S363" i="16"/>
  <c r="R364" i="16"/>
  <c r="S364" i="16"/>
  <c r="R365" i="16"/>
  <c r="S365" i="16"/>
  <c r="R366" i="16"/>
  <c r="S366" i="16"/>
  <c r="R367" i="16"/>
  <c r="S367" i="16"/>
  <c r="R368" i="16"/>
  <c r="S368" i="16"/>
  <c r="R369" i="16"/>
  <c r="S369" i="16"/>
  <c r="R370" i="16"/>
  <c r="S370" i="16"/>
  <c r="R371" i="16"/>
  <c r="S371" i="16"/>
  <c r="R372" i="16"/>
  <c r="S372" i="16"/>
  <c r="R373" i="16"/>
  <c r="S373" i="16"/>
  <c r="R374" i="16"/>
  <c r="S374" i="16"/>
  <c r="R375" i="16"/>
  <c r="S375" i="16"/>
  <c r="R376" i="16"/>
  <c r="S376" i="16"/>
  <c r="R377" i="16"/>
  <c r="S377" i="16"/>
  <c r="R378" i="16"/>
  <c r="S378" i="16"/>
  <c r="R379" i="16"/>
  <c r="S379" i="16"/>
  <c r="R380" i="16"/>
  <c r="S380" i="16"/>
  <c r="R381" i="16"/>
  <c r="S381" i="16"/>
  <c r="R382" i="16"/>
  <c r="S382" i="16"/>
  <c r="R383" i="16"/>
  <c r="S383" i="16"/>
  <c r="R384" i="16"/>
  <c r="S384" i="16"/>
  <c r="R385" i="16"/>
  <c r="S385" i="16"/>
  <c r="R386" i="16"/>
  <c r="S386" i="16"/>
  <c r="R387" i="16"/>
  <c r="S387" i="16"/>
  <c r="R388" i="16"/>
  <c r="S388" i="16"/>
  <c r="R389" i="16"/>
  <c r="S389" i="16"/>
  <c r="R390" i="16"/>
  <c r="S390" i="16"/>
  <c r="R391" i="16"/>
  <c r="S391" i="16"/>
  <c r="R392" i="16"/>
  <c r="S392" i="16"/>
  <c r="R393" i="16"/>
  <c r="S393" i="16"/>
  <c r="R394" i="16"/>
  <c r="S394" i="16"/>
  <c r="R395" i="16"/>
  <c r="S395" i="16"/>
  <c r="R396" i="16"/>
  <c r="S396" i="16"/>
  <c r="R397" i="16"/>
  <c r="S397" i="16"/>
  <c r="R398" i="16"/>
  <c r="S398" i="16"/>
  <c r="R399" i="16"/>
  <c r="S399" i="16"/>
  <c r="R400" i="16"/>
  <c r="S400" i="16"/>
  <c r="R401" i="16"/>
  <c r="S401" i="16"/>
  <c r="R402" i="16"/>
  <c r="S402" i="16"/>
  <c r="R403" i="16"/>
  <c r="S403" i="16"/>
  <c r="R404" i="16"/>
  <c r="S404" i="16"/>
  <c r="R405" i="16"/>
  <c r="S405" i="16"/>
  <c r="R406" i="16"/>
  <c r="S406" i="16"/>
  <c r="R407" i="16"/>
  <c r="S407" i="16"/>
  <c r="R408" i="16"/>
  <c r="S408" i="16"/>
  <c r="R409" i="16"/>
  <c r="S409" i="16"/>
  <c r="R410" i="16"/>
  <c r="S410" i="16"/>
  <c r="R411" i="16"/>
  <c r="S411" i="16"/>
  <c r="R412" i="16"/>
  <c r="S412" i="16"/>
  <c r="R413" i="16"/>
  <c r="S413" i="16"/>
  <c r="R414" i="16"/>
  <c r="S414" i="16"/>
  <c r="R415" i="16"/>
  <c r="S415" i="16"/>
  <c r="R416" i="16"/>
  <c r="S416" i="16"/>
  <c r="R417" i="16"/>
  <c r="S417" i="16"/>
  <c r="R418" i="16"/>
  <c r="S418" i="16"/>
  <c r="R419" i="16"/>
  <c r="S419" i="16"/>
  <c r="R420" i="16"/>
  <c r="S420" i="16"/>
  <c r="R421" i="16"/>
  <c r="S421" i="16"/>
  <c r="R422" i="16"/>
  <c r="S422" i="16"/>
  <c r="R423" i="16"/>
  <c r="S423" i="16"/>
  <c r="R424" i="16"/>
  <c r="S424" i="16"/>
  <c r="R425" i="16"/>
  <c r="S425" i="16"/>
  <c r="R426" i="16"/>
  <c r="S426" i="16"/>
  <c r="R427" i="16"/>
  <c r="S427" i="16"/>
  <c r="R428" i="16"/>
  <c r="S428" i="16"/>
  <c r="R429" i="16"/>
  <c r="S429" i="16"/>
  <c r="R430" i="16"/>
  <c r="S430" i="16"/>
  <c r="R431" i="16"/>
  <c r="S431" i="16"/>
  <c r="R432" i="16"/>
  <c r="S432" i="16"/>
  <c r="R433" i="16"/>
  <c r="S433" i="16"/>
  <c r="R434" i="16"/>
  <c r="S434" i="16"/>
  <c r="R435" i="16"/>
  <c r="S435" i="16"/>
  <c r="R436" i="16"/>
  <c r="S436" i="16"/>
  <c r="R437" i="16"/>
  <c r="S437" i="16"/>
  <c r="R438" i="16"/>
  <c r="S438" i="16"/>
  <c r="R439" i="16"/>
  <c r="S439" i="16"/>
  <c r="R440" i="16"/>
  <c r="S440" i="16"/>
  <c r="R441" i="16"/>
  <c r="S441" i="16"/>
  <c r="R442" i="16"/>
  <c r="S442" i="16"/>
  <c r="R443" i="16"/>
  <c r="S443" i="16"/>
  <c r="R444" i="16"/>
  <c r="S444" i="16"/>
  <c r="R445" i="16"/>
  <c r="S445" i="16"/>
  <c r="R446" i="16"/>
  <c r="S446" i="16"/>
  <c r="R447" i="16"/>
  <c r="S447" i="16"/>
  <c r="R448" i="16"/>
  <c r="S448" i="16"/>
  <c r="R449" i="16"/>
  <c r="S449" i="16"/>
  <c r="R450" i="16"/>
  <c r="S450" i="16"/>
  <c r="R451" i="16"/>
  <c r="S451" i="16"/>
  <c r="R452" i="16"/>
  <c r="S452" i="16"/>
  <c r="R453" i="16"/>
  <c r="S453" i="16"/>
  <c r="R454" i="16"/>
  <c r="S454" i="16"/>
  <c r="R455" i="16"/>
  <c r="S455" i="16"/>
  <c r="R456" i="16"/>
  <c r="S456" i="16"/>
  <c r="R457" i="16"/>
  <c r="S457" i="16"/>
  <c r="R458" i="16"/>
  <c r="S458" i="16"/>
  <c r="R459" i="16"/>
  <c r="S459" i="16"/>
  <c r="R460" i="16"/>
  <c r="S460" i="16"/>
  <c r="R461" i="16"/>
  <c r="S461" i="16"/>
  <c r="R462" i="16"/>
  <c r="S462" i="16"/>
  <c r="R463" i="16"/>
  <c r="S463" i="16"/>
  <c r="R464" i="16"/>
  <c r="S464" i="16"/>
  <c r="R465" i="16"/>
  <c r="S465" i="16"/>
  <c r="R466" i="16"/>
  <c r="S466" i="16"/>
  <c r="R467" i="16"/>
  <c r="S467" i="16"/>
  <c r="R468" i="16"/>
  <c r="S468" i="16"/>
  <c r="R469" i="16"/>
  <c r="S469" i="16"/>
  <c r="R470" i="16"/>
  <c r="S470" i="16"/>
  <c r="R471" i="16"/>
  <c r="S471" i="16"/>
  <c r="R472" i="16"/>
  <c r="S472" i="16"/>
  <c r="R473" i="16"/>
  <c r="S473" i="16"/>
  <c r="R474" i="16"/>
  <c r="S474" i="16"/>
  <c r="R475" i="16"/>
  <c r="S475" i="16"/>
  <c r="R476" i="16"/>
  <c r="S476" i="16"/>
  <c r="R477" i="16"/>
  <c r="S477" i="16"/>
  <c r="R478" i="16"/>
  <c r="S478" i="16"/>
  <c r="R479" i="16"/>
  <c r="S479" i="16"/>
  <c r="R480" i="16"/>
  <c r="S480" i="16"/>
  <c r="R481" i="16"/>
  <c r="S481" i="16"/>
  <c r="R482" i="16"/>
  <c r="S482" i="16"/>
  <c r="R483" i="16"/>
  <c r="S483" i="16"/>
  <c r="R484" i="16"/>
  <c r="S484" i="16"/>
  <c r="R485" i="16"/>
  <c r="S485" i="16"/>
  <c r="R486" i="16"/>
  <c r="S486" i="16"/>
  <c r="R487" i="16"/>
  <c r="S487" i="16"/>
  <c r="R488" i="16"/>
  <c r="S488" i="16"/>
  <c r="R489" i="16"/>
  <c r="S489" i="16"/>
  <c r="R490" i="16"/>
  <c r="S490" i="16"/>
  <c r="R491" i="16"/>
  <c r="S491" i="16"/>
  <c r="R492" i="16"/>
  <c r="S492" i="16"/>
  <c r="R493" i="16"/>
  <c r="S493" i="16"/>
  <c r="R494" i="16"/>
  <c r="S494" i="16"/>
  <c r="R495" i="16"/>
  <c r="S495" i="16"/>
  <c r="R496" i="16"/>
  <c r="S496" i="16"/>
  <c r="R497" i="16"/>
  <c r="S497" i="16"/>
  <c r="R498" i="16"/>
  <c r="S498" i="16"/>
  <c r="R499" i="16"/>
  <c r="S499" i="16"/>
  <c r="R500" i="16"/>
  <c r="S500" i="16"/>
  <c r="R501" i="16"/>
  <c r="S501" i="16"/>
  <c r="R502" i="16"/>
  <c r="S502" i="16"/>
  <c r="R503" i="16"/>
  <c r="S503" i="16"/>
  <c r="R504" i="16"/>
  <c r="S504" i="16"/>
  <c r="R505" i="16"/>
  <c r="S505" i="16"/>
  <c r="R506" i="16"/>
  <c r="S506" i="16"/>
  <c r="R507" i="16"/>
  <c r="S507" i="16"/>
  <c r="R508" i="16"/>
  <c r="S508" i="16"/>
  <c r="R509" i="16"/>
  <c r="S509" i="16"/>
  <c r="R510" i="16"/>
  <c r="S510" i="16"/>
  <c r="R511" i="16"/>
  <c r="S511" i="16"/>
  <c r="R512" i="16"/>
  <c r="S512" i="16"/>
  <c r="R513" i="16"/>
  <c r="S513" i="16"/>
  <c r="R514" i="16"/>
  <c r="S514" i="16"/>
  <c r="R515" i="16"/>
  <c r="S515" i="16"/>
  <c r="R516" i="16"/>
  <c r="S516" i="16"/>
  <c r="R517" i="16"/>
  <c r="S517" i="16"/>
  <c r="R518" i="16"/>
  <c r="S518" i="16"/>
  <c r="R519" i="16"/>
  <c r="S519" i="16"/>
  <c r="R520" i="16"/>
  <c r="S520" i="16"/>
  <c r="R521" i="16"/>
  <c r="S521" i="16"/>
  <c r="R522" i="16"/>
  <c r="S522" i="16"/>
  <c r="R523" i="16"/>
  <c r="S523" i="16"/>
  <c r="R524" i="16"/>
  <c r="S524" i="16"/>
  <c r="R525" i="16"/>
  <c r="S525" i="16"/>
  <c r="R526" i="16"/>
  <c r="S526" i="16"/>
  <c r="R527" i="16"/>
  <c r="S527" i="16"/>
  <c r="R528" i="16"/>
  <c r="S528" i="16"/>
  <c r="R529" i="16"/>
  <c r="S529" i="16"/>
  <c r="R530" i="16"/>
  <c r="S530" i="16"/>
  <c r="R531" i="16"/>
  <c r="S531" i="16"/>
  <c r="R532" i="16"/>
  <c r="S532" i="16"/>
  <c r="R533" i="16"/>
  <c r="S533" i="16"/>
  <c r="R534" i="16"/>
  <c r="S534" i="16"/>
  <c r="R535" i="16"/>
  <c r="S535" i="16"/>
  <c r="R536" i="16"/>
  <c r="S536" i="16"/>
  <c r="R537" i="16"/>
  <c r="S537" i="16"/>
  <c r="R538" i="16"/>
  <c r="S538" i="16"/>
  <c r="R539" i="16"/>
  <c r="S539" i="16"/>
  <c r="R540" i="16"/>
  <c r="S540" i="16"/>
  <c r="R541" i="16"/>
  <c r="S541" i="16"/>
  <c r="R542" i="16"/>
  <c r="S542" i="16"/>
  <c r="R543" i="16"/>
  <c r="S543" i="16"/>
  <c r="R544" i="16"/>
  <c r="S544" i="16"/>
  <c r="R545" i="16"/>
  <c r="S545" i="16"/>
  <c r="R546" i="16"/>
  <c r="S546" i="16"/>
  <c r="R547" i="16"/>
  <c r="S547" i="16"/>
  <c r="R548" i="16"/>
  <c r="S548" i="16"/>
  <c r="R549" i="16"/>
  <c r="S549" i="16"/>
  <c r="R550" i="16"/>
  <c r="S550" i="16"/>
  <c r="R551" i="16"/>
  <c r="S551" i="16"/>
  <c r="R552" i="16"/>
  <c r="S552" i="16"/>
  <c r="R553" i="16"/>
  <c r="S553" i="16"/>
  <c r="R554" i="16"/>
  <c r="S554" i="16"/>
  <c r="R555" i="16"/>
  <c r="S555" i="16"/>
  <c r="R556" i="16"/>
  <c r="S556" i="16"/>
  <c r="R557" i="16"/>
  <c r="S557" i="16"/>
  <c r="R558" i="16"/>
  <c r="S558" i="16"/>
  <c r="R559" i="16"/>
  <c r="S559" i="16"/>
  <c r="R560" i="16"/>
  <c r="S560" i="16"/>
  <c r="R561" i="16"/>
  <c r="S561" i="16"/>
  <c r="R562" i="16"/>
  <c r="S562" i="16"/>
  <c r="R563" i="16"/>
  <c r="S563" i="16"/>
  <c r="R564" i="16"/>
  <c r="S564" i="16"/>
  <c r="R565" i="16"/>
  <c r="S565" i="16"/>
  <c r="R566" i="16"/>
  <c r="S566" i="16"/>
  <c r="R567" i="16"/>
  <c r="S567" i="16"/>
  <c r="R568" i="16"/>
  <c r="S568" i="16"/>
  <c r="R569" i="16"/>
  <c r="S569" i="16"/>
  <c r="R570" i="16"/>
  <c r="S570" i="16"/>
  <c r="R571" i="16"/>
  <c r="S571" i="16"/>
  <c r="R572" i="16"/>
  <c r="S572" i="16"/>
  <c r="R573" i="16"/>
  <c r="S573" i="16"/>
  <c r="R574" i="16"/>
  <c r="S574" i="16"/>
  <c r="R575" i="16"/>
  <c r="S575" i="16"/>
  <c r="R576" i="16"/>
  <c r="S576" i="16"/>
  <c r="R577" i="16"/>
  <c r="S577" i="16"/>
  <c r="R578" i="16"/>
  <c r="S578" i="16"/>
  <c r="R579" i="16"/>
  <c r="S579" i="16"/>
  <c r="R580" i="16"/>
  <c r="S580" i="16"/>
  <c r="R581" i="16"/>
  <c r="S581" i="16"/>
  <c r="R582" i="16"/>
  <c r="S582" i="16"/>
  <c r="R583" i="16"/>
  <c r="S583" i="16"/>
  <c r="R584" i="16"/>
  <c r="S584" i="16"/>
  <c r="R585" i="16"/>
  <c r="S585" i="16"/>
  <c r="R586" i="16"/>
  <c r="S586" i="16"/>
  <c r="R587" i="16"/>
  <c r="S587" i="16"/>
  <c r="R588" i="16"/>
  <c r="S588" i="16"/>
  <c r="R589" i="16"/>
  <c r="S589" i="16"/>
  <c r="R590" i="16"/>
  <c r="S590" i="16"/>
  <c r="R591" i="16"/>
  <c r="S591" i="16"/>
  <c r="R592" i="16"/>
  <c r="S592" i="16"/>
  <c r="R593" i="16"/>
  <c r="S593" i="16"/>
  <c r="R594" i="16"/>
  <c r="S594" i="16"/>
  <c r="R595" i="16"/>
  <c r="S595" i="16"/>
  <c r="R596" i="16"/>
  <c r="S596" i="16"/>
  <c r="R597" i="16"/>
  <c r="S597" i="16"/>
  <c r="R598" i="16"/>
  <c r="S598" i="16"/>
  <c r="R599" i="16"/>
  <c r="S599" i="16"/>
  <c r="R600" i="16"/>
  <c r="S600" i="16"/>
  <c r="R601" i="16"/>
  <c r="S601" i="16"/>
  <c r="R602" i="16"/>
  <c r="S602" i="16"/>
  <c r="R603" i="16"/>
  <c r="S603" i="16"/>
  <c r="R604" i="16"/>
  <c r="S604" i="16"/>
  <c r="R605" i="16"/>
  <c r="S605" i="16"/>
  <c r="R606" i="16"/>
  <c r="S606" i="16"/>
  <c r="R607" i="16"/>
  <c r="S607" i="16"/>
  <c r="R608" i="16"/>
  <c r="S608" i="16"/>
  <c r="R609" i="16"/>
  <c r="S609" i="16"/>
  <c r="R610" i="16"/>
  <c r="S610" i="16"/>
  <c r="R611" i="16"/>
  <c r="S611" i="16"/>
  <c r="R612" i="16"/>
  <c r="S612" i="16"/>
  <c r="R613" i="16"/>
  <c r="S613" i="16"/>
  <c r="R614" i="16"/>
  <c r="S614" i="16"/>
  <c r="R615" i="16"/>
  <c r="S615" i="16"/>
  <c r="R616" i="16"/>
  <c r="S616" i="16"/>
  <c r="R617" i="16"/>
  <c r="S617" i="16"/>
  <c r="R618" i="16"/>
  <c r="S618" i="16"/>
  <c r="R619" i="16"/>
  <c r="S619" i="16"/>
  <c r="R620" i="16"/>
  <c r="S620" i="16"/>
  <c r="R621" i="16"/>
  <c r="S621" i="16"/>
  <c r="R622" i="16"/>
  <c r="S622" i="16"/>
  <c r="R623" i="16"/>
  <c r="S623" i="16"/>
  <c r="R624" i="16"/>
  <c r="S624" i="16"/>
  <c r="R625" i="16"/>
  <c r="S625" i="16"/>
  <c r="R626" i="16"/>
  <c r="S626" i="16"/>
  <c r="R627" i="16"/>
  <c r="S627" i="16"/>
  <c r="R628" i="16"/>
  <c r="S628" i="16"/>
  <c r="R629" i="16"/>
  <c r="S629" i="16"/>
  <c r="R630" i="16"/>
  <c r="S630" i="16"/>
  <c r="R631" i="16"/>
  <c r="S631" i="16"/>
  <c r="R632" i="16"/>
  <c r="S632" i="16"/>
  <c r="R633" i="16"/>
  <c r="S633" i="16"/>
  <c r="R634" i="16"/>
  <c r="S634" i="16"/>
  <c r="R635" i="16"/>
  <c r="S635" i="16"/>
  <c r="R636" i="16"/>
  <c r="S636" i="16"/>
  <c r="R637" i="16"/>
  <c r="S637" i="16"/>
  <c r="R638" i="16"/>
  <c r="S638" i="16"/>
  <c r="R639" i="16"/>
  <c r="S639" i="16"/>
  <c r="R640" i="16"/>
  <c r="S640" i="16"/>
  <c r="R641" i="16"/>
  <c r="S641" i="16"/>
  <c r="R642" i="16"/>
  <c r="S642" i="16"/>
  <c r="R643" i="16"/>
  <c r="S643" i="16"/>
  <c r="R644" i="16"/>
  <c r="S644" i="16"/>
  <c r="R645" i="16"/>
  <c r="S645" i="16"/>
  <c r="R646" i="16"/>
  <c r="S646" i="16"/>
  <c r="R647" i="16"/>
  <c r="S647" i="16"/>
  <c r="R648" i="16"/>
  <c r="S648" i="16"/>
  <c r="R649" i="16"/>
  <c r="S649" i="16"/>
  <c r="R650" i="16"/>
  <c r="S650" i="16"/>
  <c r="R651" i="16"/>
  <c r="S651" i="16"/>
  <c r="R652" i="16"/>
  <c r="S652" i="16"/>
  <c r="R653" i="16"/>
  <c r="S653" i="16"/>
  <c r="R654" i="16"/>
  <c r="S654" i="16"/>
  <c r="R655" i="16"/>
  <c r="S655" i="16"/>
  <c r="R656" i="16"/>
  <c r="S656" i="16"/>
  <c r="R657" i="16"/>
  <c r="S657" i="16"/>
  <c r="R658" i="16"/>
  <c r="S658" i="16"/>
  <c r="R659" i="16"/>
  <c r="S659" i="16"/>
  <c r="R660" i="16"/>
  <c r="S660" i="16"/>
  <c r="R661" i="16"/>
  <c r="S661" i="16"/>
  <c r="R662" i="16"/>
  <c r="S662" i="16"/>
  <c r="R663" i="16"/>
  <c r="S663" i="16"/>
  <c r="R664" i="16"/>
  <c r="S664" i="16"/>
  <c r="R665" i="16"/>
  <c r="S665" i="16"/>
  <c r="R666" i="16"/>
  <c r="S666" i="16"/>
  <c r="R667" i="16"/>
  <c r="S667" i="16"/>
  <c r="R668" i="16"/>
  <c r="S668" i="16"/>
  <c r="R669" i="16"/>
  <c r="S669" i="16"/>
  <c r="R670" i="16"/>
  <c r="S670" i="16"/>
  <c r="R671" i="16"/>
  <c r="S671" i="16"/>
  <c r="R672" i="16"/>
  <c r="S672" i="16"/>
  <c r="R673" i="16"/>
  <c r="S673" i="16"/>
  <c r="R674" i="16"/>
  <c r="S674" i="16"/>
  <c r="R675" i="16"/>
  <c r="S675" i="16"/>
  <c r="R676" i="16"/>
  <c r="S676" i="16"/>
  <c r="R677" i="16"/>
  <c r="S677" i="16"/>
  <c r="R678" i="16"/>
  <c r="S678" i="16"/>
  <c r="R679" i="16"/>
  <c r="S679" i="16"/>
  <c r="R680" i="16"/>
  <c r="S680" i="16"/>
  <c r="R681" i="16"/>
  <c r="S681" i="16"/>
  <c r="R682" i="16"/>
  <c r="S682" i="16"/>
  <c r="R683" i="16"/>
  <c r="S683" i="16"/>
  <c r="R684" i="16"/>
  <c r="S684" i="16"/>
  <c r="R685" i="16"/>
  <c r="S685" i="16"/>
  <c r="R686" i="16"/>
  <c r="S686" i="16"/>
  <c r="R687" i="16"/>
  <c r="S687" i="16"/>
  <c r="R688" i="16"/>
  <c r="S688" i="16"/>
  <c r="R689" i="16"/>
  <c r="S689" i="16"/>
  <c r="R690" i="16"/>
  <c r="S690" i="16"/>
  <c r="R691" i="16"/>
  <c r="S691" i="16"/>
  <c r="R692" i="16"/>
  <c r="S692" i="16"/>
  <c r="R693" i="16"/>
  <c r="S693" i="16"/>
  <c r="R694" i="16"/>
  <c r="S694" i="16"/>
  <c r="R695" i="16"/>
  <c r="S695" i="16"/>
  <c r="R696" i="16"/>
  <c r="S696" i="16"/>
  <c r="R697" i="16"/>
  <c r="S697" i="16"/>
  <c r="R698" i="16"/>
  <c r="S698" i="16"/>
  <c r="R699" i="16"/>
  <c r="S699" i="16"/>
  <c r="R700" i="16"/>
  <c r="S700" i="16"/>
  <c r="R701" i="16"/>
  <c r="S701" i="16"/>
  <c r="R702" i="16"/>
  <c r="S702" i="16"/>
  <c r="R703" i="16"/>
  <c r="S703" i="16"/>
  <c r="R704" i="16"/>
  <c r="S704" i="16"/>
  <c r="R705" i="16"/>
  <c r="S705" i="16"/>
  <c r="R706" i="16"/>
  <c r="S706" i="16"/>
  <c r="R707" i="16"/>
  <c r="S707" i="16"/>
  <c r="R708" i="16"/>
  <c r="S708" i="16"/>
  <c r="R709" i="16"/>
  <c r="S709" i="16"/>
  <c r="R710" i="16"/>
  <c r="S710" i="16"/>
  <c r="R711" i="16"/>
  <c r="S711" i="16"/>
  <c r="R712" i="16"/>
  <c r="S712" i="16"/>
  <c r="R713" i="16"/>
  <c r="S713" i="16"/>
  <c r="R714" i="16"/>
  <c r="S714" i="16"/>
  <c r="R715" i="16"/>
  <c r="S715" i="16"/>
  <c r="R716" i="16"/>
  <c r="S716" i="16"/>
  <c r="R717" i="16"/>
  <c r="S717" i="16"/>
  <c r="R718" i="16"/>
  <c r="S718" i="16"/>
  <c r="R719" i="16"/>
  <c r="S719" i="16"/>
  <c r="R720" i="16"/>
  <c r="S720" i="16"/>
  <c r="R721" i="16"/>
  <c r="S721" i="16"/>
  <c r="R722" i="16"/>
  <c r="S722" i="16"/>
  <c r="R723" i="16"/>
  <c r="S723" i="16"/>
  <c r="R724" i="16"/>
  <c r="S724" i="16"/>
  <c r="R725" i="16"/>
  <c r="S725" i="16"/>
  <c r="R726" i="16"/>
  <c r="S726" i="16"/>
  <c r="R727" i="16"/>
  <c r="S727" i="16"/>
  <c r="R728" i="16"/>
  <c r="S728" i="16"/>
  <c r="R729" i="16"/>
  <c r="S729" i="16"/>
  <c r="R730" i="16"/>
  <c r="S730" i="16"/>
  <c r="R731" i="16"/>
  <c r="S731" i="16"/>
  <c r="R732" i="16"/>
  <c r="S732" i="16"/>
  <c r="R733" i="16"/>
  <c r="S733" i="16"/>
  <c r="R734" i="16"/>
  <c r="S734" i="16"/>
  <c r="R735" i="16"/>
  <c r="S735" i="16"/>
  <c r="R736" i="16"/>
  <c r="S736" i="16"/>
  <c r="R737" i="16"/>
  <c r="S737" i="16"/>
  <c r="R738" i="16"/>
  <c r="S738" i="16"/>
  <c r="R739" i="16"/>
  <c r="S739" i="16"/>
  <c r="R740" i="16"/>
  <c r="S740" i="16"/>
  <c r="R741" i="16"/>
  <c r="S741" i="16"/>
  <c r="R742" i="16"/>
  <c r="S742" i="16"/>
  <c r="R743" i="16"/>
  <c r="S743" i="16"/>
  <c r="R744" i="16"/>
  <c r="S744" i="16"/>
  <c r="R745" i="16"/>
  <c r="S745" i="16"/>
  <c r="R746" i="16"/>
  <c r="S746" i="16"/>
  <c r="R747" i="16"/>
  <c r="S747" i="16"/>
  <c r="R748" i="16"/>
  <c r="S748" i="16"/>
  <c r="R749" i="16"/>
  <c r="S749" i="16"/>
  <c r="R750" i="16"/>
  <c r="S750" i="16"/>
  <c r="R751" i="16"/>
  <c r="S751" i="16"/>
  <c r="R752" i="16"/>
  <c r="S752" i="16"/>
  <c r="R753" i="16"/>
  <c r="S753" i="16"/>
  <c r="R754" i="16"/>
  <c r="S754" i="16"/>
  <c r="R755" i="16"/>
  <c r="S755" i="16"/>
  <c r="R756" i="16"/>
  <c r="S756" i="16"/>
  <c r="R757" i="16"/>
  <c r="S757" i="16"/>
  <c r="R758" i="16"/>
  <c r="S758" i="16"/>
  <c r="R759" i="16"/>
  <c r="S759" i="16"/>
  <c r="R760" i="16"/>
  <c r="S760" i="16"/>
  <c r="R761" i="16"/>
  <c r="S761" i="16"/>
  <c r="R762" i="16"/>
  <c r="S762" i="16"/>
  <c r="R763" i="16"/>
  <c r="S763" i="16"/>
  <c r="R764" i="16"/>
  <c r="S764" i="16"/>
  <c r="R765" i="16"/>
  <c r="S765" i="16"/>
  <c r="R766" i="16"/>
  <c r="S766" i="16"/>
  <c r="R767" i="16"/>
  <c r="S767" i="16"/>
  <c r="R768" i="16"/>
  <c r="S768" i="16"/>
  <c r="R769" i="16"/>
  <c r="S769" i="16"/>
  <c r="R770" i="16"/>
  <c r="S770" i="16"/>
  <c r="R771" i="16"/>
  <c r="S771" i="16"/>
  <c r="R772" i="16"/>
  <c r="S772" i="16"/>
  <c r="R773" i="16"/>
  <c r="S773" i="16"/>
  <c r="R774" i="16"/>
  <c r="S774" i="16"/>
  <c r="R775" i="16"/>
  <c r="S775" i="16"/>
  <c r="R776" i="16"/>
  <c r="S776" i="16"/>
  <c r="R777" i="16"/>
  <c r="S777" i="16"/>
  <c r="R778" i="16"/>
  <c r="S778" i="16"/>
  <c r="R779" i="16"/>
  <c r="S779" i="16"/>
  <c r="R780" i="16"/>
  <c r="S780" i="16"/>
  <c r="R781" i="16"/>
  <c r="S781" i="16"/>
  <c r="R782" i="16"/>
  <c r="S782" i="16"/>
  <c r="R783" i="16"/>
  <c r="S783" i="16"/>
  <c r="R784" i="16"/>
  <c r="S784" i="16"/>
  <c r="R785" i="16"/>
  <c r="S785" i="16"/>
  <c r="R786" i="16"/>
  <c r="S786" i="16"/>
  <c r="R787" i="16"/>
  <c r="S787" i="16"/>
  <c r="R788" i="16"/>
  <c r="S788" i="16"/>
  <c r="R789" i="16"/>
  <c r="S789" i="16"/>
  <c r="R790" i="16"/>
  <c r="S790" i="16"/>
  <c r="R791" i="16"/>
  <c r="S791" i="16"/>
  <c r="R792" i="16"/>
  <c r="S792" i="16"/>
  <c r="R793" i="16"/>
  <c r="S793" i="16"/>
  <c r="R794" i="16"/>
  <c r="S794" i="16"/>
  <c r="R795" i="16"/>
  <c r="S795" i="16"/>
  <c r="R796" i="16"/>
  <c r="S796" i="16"/>
  <c r="R797" i="16"/>
  <c r="S797" i="16"/>
  <c r="R798" i="16"/>
  <c r="S798" i="16"/>
  <c r="R799" i="16"/>
  <c r="S799" i="16"/>
  <c r="R800" i="16"/>
  <c r="S800" i="16"/>
  <c r="R801" i="16"/>
  <c r="S801" i="16"/>
  <c r="R802" i="16"/>
  <c r="S802" i="16"/>
  <c r="R803" i="16"/>
  <c r="S803" i="16"/>
  <c r="R804" i="16"/>
  <c r="S804" i="16"/>
  <c r="R805" i="16"/>
  <c r="S805" i="16"/>
  <c r="R806" i="16"/>
  <c r="S806" i="16"/>
  <c r="R807" i="16"/>
  <c r="S807" i="16"/>
  <c r="R808" i="16"/>
  <c r="S808" i="16"/>
  <c r="R809" i="16"/>
  <c r="S809" i="16"/>
  <c r="R810" i="16"/>
  <c r="S810" i="16"/>
  <c r="R811" i="16"/>
  <c r="S811" i="16"/>
  <c r="R812" i="16"/>
  <c r="S812" i="16"/>
  <c r="R813" i="16"/>
  <c r="S813" i="16"/>
  <c r="R814" i="16"/>
  <c r="S814" i="16"/>
  <c r="R815" i="16"/>
  <c r="S815" i="16"/>
  <c r="R816" i="16"/>
  <c r="S816" i="16"/>
  <c r="R817" i="16"/>
  <c r="S817" i="16"/>
  <c r="R818" i="16"/>
  <c r="S818" i="16"/>
  <c r="R819" i="16"/>
  <c r="S819" i="16"/>
  <c r="R820" i="16"/>
  <c r="S820" i="16"/>
  <c r="R821" i="16"/>
  <c r="S821" i="16"/>
  <c r="R822" i="16"/>
  <c r="S822" i="16"/>
  <c r="R823" i="16"/>
  <c r="S823" i="16"/>
  <c r="R824" i="16"/>
  <c r="S824" i="16"/>
  <c r="R825" i="16"/>
  <c r="S825" i="16"/>
  <c r="R826" i="16"/>
  <c r="S826" i="16"/>
  <c r="R827" i="16"/>
  <c r="S827" i="16"/>
  <c r="R828" i="16"/>
  <c r="S828" i="16"/>
  <c r="R829" i="16"/>
  <c r="S829" i="16"/>
  <c r="R830" i="16"/>
  <c r="S830" i="16"/>
  <c r="R831" i="16"/>
  <c r="S831" i="16"/>
  <c r="R832" i="16"/>
  <c r="S832" i="16"/>
  <c r="R833" i="16"/>
  <c r="S833" i="16"/>
  <c r="R834" i="16"/>
  <c r="S834" i="16"/>
  <c r="R835" i="16"/>
  <c r="S835" i="16"/>
  <c r="R836" i="16"/>
  <c r="S836" i="16"/>
  <c r="R837" i="16"/>
  <c r="S837" i="16"/>
  <c r="R838" i="16"/>
  <c r="S838" i="16"/>
  <c r="R839" i="16"/>
  <c r="S839" i="16"/>
  <c r="R840" i="16"/>
  <c r="S840" i="16"/>
  <c r="R841" i="16"/>
  <c r="S841" i="16"/>
  <c r="R842" i="16"/>
  <c r="S842" i="16"/>
  <c r="R843" i="16"/>
  <c r="S843" i="16"/>
  <c r="R844" i="16"/>
  <c r="S844" i="16"/>
  <c r="R845" i="16"/>
  <c r="S845" i="16"/>
  <c r="R846" i="16"/>
  <c r="S846" i="16"/>
  <c r="R847" i="16"/>
  <c r="S847" i="16"/>
  <c r="R848" i="16"/>
  <c r="S848" i="16"/>
  <c r="R849" i="16"/>
  <c r="S849" i="16"/>
  <c r="R850" i="16"/>
  <c r="S850" i="16"/>
  <c r="R851" i="16"/>
  <c r="S851" i="16"/>
  <c r="R852" i="16"/>
  <c r="S852" i="16"/>
  <c r="R853" i="16"/>
  <c r="S853" i="16"/>
  <c r="R854" i="16"/>
  <c r="S854" i="16"/>
  <c r="R855" i="16"/>
  <c r="S855" i="16"/>
  <c r="R856" i="16"/>
  <c r="S856" i="16"/>
  <c r="R857" i="16"/>
  <c r="S857" i="16"/>
  <c r="R858" i="16"/>
  <c r="S858" i="16"/>
  <c r="R859" i="16"/>
  <c r="S859" i="16"/>
  <c r="R860" i="16"/>
  <c r="S860" i="16"/>
  <c r="R861" i="16"/>
  <c r="S861" i="16"/>
  <c r="R862" i="16"/>
  <c r="S862" i="16"/>
  <c r="R863" i="16"/>
  <c r="S863" i="16"/>
  <c r="R864" i="16"/>
  <c r="S864" i="16"/>
  <c r="R865" i="16"/>
  <c r="S865" i="16"/>
  <c r="R866" i="16"/>
  <c r="S866" i="16"/>
  <c r="R867" i="16"/>
  <c r="S867" i="16"/>
  <c r="R868" i="16"/>
  <c r="S868" i="16"/>
  <c r="R869" i="16"/>
  <c r="S869" i="16"/>
  <c r="R870" i="16"/>
  <c r="S870" i="16"/>
  <c r="R871" i="16"/>
  <c r="S871" i="16"/>
  <c r="R872" i="16"/>
  <c r="S872" i="16"/>
  <c r="R873" i="16"/>
  <c r="S873" i="16"/>
  <c r="R874" i="16"/>
  <c r="S874" i="16"/>
  <c r="R875" i="16"/>
  <c r="S875" i="16"/>
  <c r="R876" i="16"/>
  <c r="S876" i="16"/>
  <c r="R877" i="16"/>
  <c r="S877" i="16"/>
  <c r="R878" i="16"/>
  <c r="S878" i="16"/>
  <c r="R879" i="16"/>
  <c r="S879" i="16"/>
  <c r="R880" i="16"/>
  <c r="S880" i="16"/>
  <c r="R881" i="16"/>
  <c r="S881" i="16"/>
  <c r="R882" i="16"/>
  <c r="S882" i="16"/>
  <c r="R883" i="16"/>
  <c r="S883" i="16"/>
  <c r="R884" i="16"/>
  <c r="S884" i="16"/>
  <c r="R885" i="16"/>
  <c r="S885" i="16"/>
  <c r="R886" i="16"/>
  <c r="S886" i="16"/>
  <c r="R887" i="16"/>
  <c r="S887" i="16"/>
  <c r="R888" i="16"/>
  <c r="S888" i="16"/>
  <c r="R889" i="16"/>
  <c r="S889" i="16"/>
  <c r="R890" i="16"/>
  <c r="S890" i="16"/>
  <c r="R891" i="16"/>
  <c r="S891" i="16"/>
  <c r="R892" i="16"/>
  <c r="S892" i="16"/>
  <c r="R893" i="16"/>
  <c r="S893" i="16"/>
  <c r="R894" i="16"/>
  <c r="S894" i="16"/>
  <c r="R895" i="16"/>
  <c r="S895" i="16"/>
  <c r="R896" i="16"/>
  <c r="S896" i="16"/>
  <c r="R897" i="16"/>
  <c r="S897" i="16"/>
  <c r="R898" i="16"/>
  <c r="S898" i="16"/>
  <c r="R899" i="16"/>
  <c r="S899" i="16"/>
  <c r="R900" i="16"/>
  <c r="S900" i="16"/>
  <c r="R901" i="16"/>
  <c r="S901" i="16"/>
  <c r="R902" i="16"/>
  <c r="S902" i="16"/>
  <c r="R903" i="16"/>
  <c r="S903" i="16"/>
  <c r="R904" i="16"/>
  <c r="S904" i="16"/>
  <c r="R905" i="16"/>
  <c r="S905" i="16"/>
  <c r="R906" i="16"/>
  <c r="S906" i="16"/>
  <c r="R907" i="16"/>
  <c r="S907" i="16"/>
  <c r="R908" i="16"/>
  <c r="S908" i="16"/>
  <c r="R909" i="16"/>
  <c r="S909" i="16"/>
  <c r="R910" i="16"/>
  <c r="S910" i="16"/>
  <c r="R911" i="16"/>
  <c r="S911" i="16"/>
  <c r="R912" i="16"/>
  <c r="S912" i="16"/>
  <c r="R913" i="16"/>
  <c r="S913" i="16"/>
  <c r="R914" i="16"/>
  <c r="S914" i="16"/>
  <c r="R915" i="16"/>
  <c r="S915" i="16"/>
  <c r="R916" i="16"/>
  <c r="S916" i="16"/>
  <c r="R917" i="16"/>
  <c r="S917" i="16"/>
  <c r="R918" i="16"/>
  <c r="S918" i="16"/>
  <c r="R919" i="16"/>
  <c r="S919" i="16"/>
  <c r="R920" i="16"/>
  <c r="S920" i="16"/>
  <c r="R921" i="16"/>
  <c r="S921" i="16"/>
  <c r="R922" i="16"/>
  <c r="S922" i="16"/>
  <c r="R923" i="16"/>
  <c r="S923" i="16"/>
  <c r="R924" i="16"/>
  <c r="S924" i="16"/>
  <c r="R925" i="16"/>
  <c r="S925" i="16"/>
  <c r="R926" i="16"/>
  <c r="S926" i="16"/>
  <c r="R927" i="16"/>
  <c r="S927" i="16"/>
  <c r="R928" i="16"/>
  <c r="S928" i="16"/>
  <c r="R929" i="16"/>
  <c r="S929" i="16"/>
  <c r="R930" i="16"/>
  <c r="S930" i="16"/>
  <c r="R931" i="16"/>
  <c r="S931" i="16"/>
  <c r="R932" i="16"/>
  <c r="S932" i="16"/>
  <c r="R933" i="16"/>
  <c r="S933" i="16"/>
  <c r="R934" i="16"/>
  <c r="S934" i="16"/>
  <c r="R935" i="16"/>
  <c r="S935" i="16"/>
  <c r="R936" i="16"/>
  <c r="S936" i="16"/>
  <c r="R937" i="16"/>
  <c r="S937" i="16"/>
  <c r="R938" i="16"/>
  <c r="S938" i="16"/>
  <c r="R939" i="16"/>
  <c r="S939" i="16"/>
  <c r="R940" i="16"/>
  <c r="S940" i="16"/>
  <c r="R941" i="16"/>
  <c r="S941" i="16"/>
  <c r="R942" i="16"/>
  <c r="S942" i="16"/>
  <c r="R943" i="16"/>
  <c r="S943" i="16"/>
  <c r="R944" i="16"/>
  <c r="S944" i="16"/>
  <c r="R945" i="16"/>
  <c r="S945" i="16"/>
  <c r="R946" i="16"/>
  <c r="S946" i="16"/>
  <c r="R947" i="16"/>
  <c r="S947" i="16"/>
  <c r="R948" i="16"/>
  <c r="S948" i="16"/>
  <c r="R949" i="16"/>
  <c r="S949" i="16"/>
  <c r="R950" i="16"/>
  <c r="S950" i="16"/>
  <c r="R951" i="16"/>
  <c r="S951" i="16"/>
  <c r="R952" i="16"/>
  <c r="S952" i="16"/>
  <c r="R953" i="16"/>
  <c r="S953" i="16"/>
  <c r="R954" i="16"/>
  <c r="S954" i="16"/>
  <c r="R955" i="16"/>
  <c r="S955" i="16"/>
  <c r="R956" i="16"/>
  <c r="S956" i="16"/>
  <c r="R957" i="16"/>
  <c r="S957" i="16"/>
  <c r="R958" i="16"/>
  <c r="S958" i="16"/>
  <c r="R959" i="16"/>
  <c r="S959" i="16"/>
  <c r="R960" i="16"/>
  <c r="S960" i="16"/>
  <c r="R961" i="16"/>
  <c r="S961" i="16"/>
  <c r="R962" i="16"/>
  <c r="S962" i="16"/>
  <c r="R963" i="16"/>
  <c r="S963" i="16"/>
  <c r="R964" i="16"/>
  <c r="S964" i="16"/>
  <c r="R965" i="16"/>
  <c r="S965" i="16"/>
  <c r="R966" i="16"/>
  <c r="S966" i="16"/>
  <c r="R967" i="16"/>
  <c r="S967" i="16"/>
  <c r="R968" i="16"/>
  <c r="S968" i="16"/>
  <c r="R969" i="16"/>
  <c r="S969" i="16"/>
  <c r="R970" i="16"/>
  <c r="S970" i="16"/>
  <c r="R971" i="16"/>
  <c r="S971" i="16"/>
  <c r="R972" i="16"/>
  <c r="S972" i="16"/>
  <c r="R973" i="16"/>
  <c r="S973" i="16"/>
  <c r="R974" i="16"/>
  <c r="S974" i="16"/>
  <c r="R975" i="16"/>
  <c r="S975" i="16"/>
  <c r="R976" i="16"/>
  <c r="S976" i="16"/>
  <c r="R977" i="16"/>
  <c r="S977" i="16"/>
  <c r="R978" i="16"/>
  <c r="S978" i="16"/>
  <c r="R979" i="16"/>
  <c r="S979" i="16"/>
  <c r="R980" i="16"/>
  <c r="S980" i="16"/>
  <c r="R981" i="16"/>
  <c r="S981" i="16"/>
  <c r="R982" i="16"/>
  <c r="S982" i="16"/>
  <c r="R983" i="16"/>
  <c r="S983" i="16"/>
  <c r="R984" i="16"/>
  <c r="S984" i="16"/>
  <c r="R985" i="16"/>
  <c r="S985" i="16"/>
  <c r="R986" i="16"/>
  <c r="S986" i="16"/>
  <c r="R987" i="16"/>
  <c r="S987" i="16"/>
  <c r="R988" i="16"/>
  <c r="S988" i="16"/>
  <c r="R989" i="16"/>
  <c r="S989" i="16"/>
  <c r="R990" i="16"/>
  <c r="S990" i="16"/>
  <c r="R991" i="16"/>
  <c r="S991" i="16"/>
  <c r="R992" i="16"/>
  <c r="S992" i="16"/>
  <c r="R993" i="16"/>
  <c r="S993" i="16"/>
  <c r="R994" i="16"/>
  <c r="S994" i="16"/>
  <c r="R995" i="16"/>
  <c r="S995" i="16"/>
  <c r="R996" i="16"/>
  <c r="S996" i="16"/>
  <c r="R997" i="16"/>
  <c r="S997" i="16"/>
  <c r="R998" i="16"/>
  <c r="S998" i="16"/>
  <c r="R999" i="16"/>
  <c r="S999" i="16"/>
  <c r="R1000" i="16"/>
  <c r="S1000" i="16"/>
  <c r="R1001" i="16"/>
  <c r="S1001" i="16"/>
  <c r="R1002" i="16"/>
  <c r="S1002" i="16"/>
  <c r="R1003" i="16"/>
  <c r="S1003" i="16"/>
  <c r="R1004" i="16"/>
  <c r="S1004" i="16"/>
  <c r="R1005" i="16"/>
  <c r="S1005" i="16"/>
  <c r="R1006" i="16"/>
  <c r="S1006" i="16"/>
  <c r="R1007" i="16"/>
  <c r="S1007" i="16"/>
  <c r="R1008" i="16"/>
  <c r="S1008" i="16"/>
  <c r="R1009" i="16"/>
  <c r="S1009" i="16"/>
  <c r="R1010" i="16"/>
  <c r="S1010" i="16"/>
  <c r="R1011" i="16"/>
  <c r="S1011" i="16"/>
  <c r="R1012" i="16"/>
  <c r="S1012" i="16"/>
  <c r="R1013" i="16"/>
  <c r="S1013" i="16"/>
  <c r="R1014" i="16"/>
  <c r="S1014" i="16"/>
  <c r="R1015" i="16"/>
  <c r="S1015" i="16"/>
  <c r="R1016" i="16"/>
  <c r="S1016" i="16"/>
  <c r="R1017" i="16"/>
  <c r="S1017" i="16"/>
  <c r="R1018" i="16"/>
  <c r="S1018" i="16"/>
  <c r="R1019" i="16"/>
  <c r="S1019" i="16"/>
  <c r="R1020" i="16"/>
  <c r="S1020" i="16"/>
  <c r="R1021" i="16"/>
  <c r="S1021" i="16"/>
  <c r="R1022" i="16"/>
  <c r="S1022" i="16"/>
  <c r="R1023" i="16"/>
  <c r="S1023" i="16"/>
  <c r="R1024" i="16"/>
  <c r="S1024" i="16"/>
  <c r="R1025" i="16"/>
  <c r="S1025" i="16"/>
  <c r="R1026" i="16"/>
  <c r="S1026" i="16"/>
  <c r="R1027" i="16"/>
  <c r="S1027" i="16"/>
  <c r="R1028" i="16"/>
  <c r="S1028" i="16"/>
  <c r="R1029" i="16"/>
  <c r="S1029" i="16"/>
  <c r="R1030" i="16"/>
  <c r="S1030" i="16"/>
  <c r="R1031" i="16"/>
  <c r="S1031" i="16"/>
  <c r="R1032" i="16"/>
  <c r="S1032" i="16"/>
  <c r="R1033" i="16"/>
  <c r="S1033" i="16"/>
  <c r="R1034" i="16"/>
  <c r="S1034" i="16"/>
  <c r="R1035" i="16"/>
  <c r="S1035" i="16"/>
  <c r="R1036" i="16"/>
  <c r="S1036" i="16"/>
  <c r="R1037" i="16"/>
  <c r="S1037" i="16"/>
  <c r="R1038" i="16"/>
  <c r="S1038" i="16"/>
  <c r="R1039" i="16"/>
  <c r="S1039" i="16"/>
  <c r="R1040" i="16"/>
  <c r="S1040" i="16"/>
  <c r="R1041" i="16"/>
  <c r="S1041" i="16"/>
  <c r="R1042" i="16"/>
  <c r="S1042" i="16"/>
  <c r="R1043" i="16"/>
  <c r="S1043" i="16"/>
  <c r="R1044" i="16"/>
  <c r="S1044" i="16"/>
  <c r="R1045" i="16"/>
  <c r="S1045" i="16"/>
  <c r="R1046" i="16"/>
  <c r="S1046" i="16"/>
  <c r="R1047" i="16"/>
  <c r="S1047" i="16"/>
  <c r="R1048" i="16"/>
  <c r="S1048" i="16"/>
  <c r="R1049" i="16"/>
  <c r="S1049" i="16"/>
  <c r="R1050" i="16"/>
  <c r="S1050" i="16"/>
  <c r="R1051" i="16"/>
  <c r="S1051" i="16"/>
  <c r="R1052" i="16"/>
  <c r="S1052" i="16"/>
  <c r="R1053" i="16"/>
  <c r="S1053" i="16"/>
  <c r="R1054" i="16"/>
  <c r="S1054" i="16"/>
  <c r="R1055" i="16"/>
  <c r="S1055" i="16"/>
  <c r="R1056" i="16"/>
  <c r="S1056" i="16"/>
  <c r="R1057" i="16"/>
  <c r="S1057" i="16"/>
  <c r="R1058" i="16"/>
  <c r="S1058" i="16"/>
  <c r="R1059" i="16"/>
  <c r="S1059" i="16"/>
  <c r="R1060" i="16"/>
  <c r="S1060" i="16"/>
  <c r="R1061" i="16"/>
  <c r="S1061" i="16"/>
  <c r="R1062" i="16"/>
  <c r="S1062" i="16"/>
  <c r="R1063" i="16"/>
  <c r="S1063" i="16"/>
  <c r="R1064" i="16"/>
  <c r="S1064" i="16"/>
  <c r="R1065" i="16"/>
  <c r="S1065" i="16"/>
  <c r="R1066" i="16"/>
  <c r="S1066" i="16"/>
  <c r="R1067" i="16"/>
  <c r="S1067" i="16"/>
  <c r="R1068" i="16"/>
  <c r="S1068" i="16"/>
  <c r="R1069" i="16"/>
  <c r="S1069" i="16"/>
  <c r="R1070" i="16"/>
  <c r="S1070" i="16"/>
  <c r="R1071" i="16"/>
  <c r="S1071" i="16"/>
  <c r="R1072" i="16"/>
  <c r="S1072" i="16"/>
  <c r="R1073" i="16"/>
  <c r="S1073" i="16"/>
  <c r="R1074" i="16"/>
  <c r="S1074" i="16"/>
  <c r="R1075" i="16"/>
  <c r="S1075" i="16"/>
  <c r="R1076" i="16"/>
  <c r="S1076" i="16"/>
  <c r="R1077" i="16"/>
  <c r="S1077" i="16"/>
  <c r="R1078" i="16"/>
  <c r="S1078" i="16"/>
  <c r="R1079" i="16"/>
  <c r="S1079" i="16"/>
  <c r="R1080" i="16"/>
  <c r="S1080" i="16"/>
  <c r="R1081" i="16"/>
  <c r="S1081" i="16"/>
  <c r="R1082" i="16"/>
  <c r="S1082" i="16"/>
  <c r="R1083" i="16"/>
  <c r="S1083" i="16"/>
  <c r="R1084" i="16"/>
  <c r="S1084" i="16"/>
  <c r="R1085" i="16"/>
  <c r="S1085" i="16"/>
  <c r="R1086" i="16"/>
  <c r="S1086" i="16"/>
  <c r="R1087" i="16"/>
  <c r="S1087" i="16"/>
  <c r="R1088" i="16"/>
  <c r="S1088" i="16"/>
  <c r="R1089" i="16"/>
  <c r="S1089" i="16"/>
  <c r="R1090" i="16"/>
  <c r="S1090" i="16"/>
  <c r="R1091" i="16"/>
  <c r="S1091" i="16"/>
  <c r="R1092" i="16"/>
  <c r="S1092" i="16"/>
  <c r="R1093" i="16"/>
  <c r="S1093" i="16"/>
  <c r="R1094" i="16"/>
  <c r="S1094" i="16"/>
  <c r="R1095" i="16"/>
  <c r="S1095" i="16"/>
  <c r="R1096" i="16"/>
  <c r="S1096" i="16"/>
  <c r="R1097" i="16"/>
  <c r="S1097" i="16"/>
  <c r="R1098" i="16"/>
  <c r="S1098" i="16"/>
  <c r="R1099" i="16"/>
  <c r="S1099" i="16"/>
  <c r="R1100" i="16"/>
  <c r="S1100" i="16"/>
  <c r="R1101" i="16"/>
  <c r="S1101" i="16"/>
  <c r="R1102" i="16"/>
  <c r="S1102" i="16"/>
  <c r="R1103" i="16"/>
  <c r="S1103" i="16"/>
  <c r="R1104" i="16"/>
  <c r="S1104" i="16"/>
  <c r="R1105" i="16"/>
  <c r="S1105" i="16"/>
  <c r="R1106" i="16"/>
  <c r="S1106" i="16"/>
  <c r="R1107" i="16"/>
  <c r="S1107" i="16"/>
  <c r="R1108" i="16"/>
  <c r="S1108" i="16"/>
  <c r="R1109" i="16"/>
  <c r="S1109" i="16"/>
  <c r="R1110" i="16"/>
  <c r="S1110" i="16"/>
  <c r="R1111" i="16"/>
  <c r="S1111" i="16"/>
  <c r="R1112" i="16"/>
  <c r="S1112" i="16"/>
  <c r="R1113" i="16"/>
  <c r="S1113" i="16"/>
  <c r="R1114" i="16"/>
  <c r="S1114" i="16"/>
  <c r="R1115" i="16"/>
  <c r="S1115" i="16"/>
  <c r="R1116" i="16"/>
  <c r="S1116" i="16"/>
  <c r="R1117" i="16"/>
  <c r="S1117" i="16"/>
  <c r="R1118" i="16"/>
  <c r="S1118" i="16"/>
  <c r="R1119" i="16"/>
  <c r="S1119" i="16"/>
  <c r="R1120" i="16"/>
  <c r="S1120" i="16"/>
  <c r="R1121" i="16"/>
  <c r="S1121" i="16"/>
  <c r="R1122" i="16"/>
  <c r="S1122" i="16"/>
  <c r="R1123" i="16"/>
  <c r="S1123" i="16"/>
  <c r="R1124" i="16"/>
  <c r="S1124" i="16"/>
  <c r="R1125" i="16"/>
  <c r="S1125" i="16"/>
  <c r="R1126" i="16"/>
  <c r="S1126" i="16"/>
  <c r="R1127" i="16"/>
  <c r="S1127" i="16"/>
  <c r="R1128" i="16"/>
  <c r="S1128" i="16"/>
  <c r="R1129" i="16"/>
  <c r="S1129" i="16"/>
  <c r="R1130" i="16"/>
  <c r="S1130" i="16"/>
  <c r="R1131" i="16"/>
  <c r="S1131" i="16"/>
  <c r="R1132" i="16"/>
  <c r="S1132" i="16"/>
  <c r="R1133" i="16"/>
  <c r="S1133" i="16"/>
  <c r="R1134" i="16"/>
  <c r="S1134" i="16"/>
  <c r="R1135" i="16"/>
  <c r="S1135" i="16"/>
  <c r="R1136" i="16"/>
  <c r="S1136" i="16"/>
  <c r="R1137" i="16"/>
  <c r="S1137" i="16"/>
  <c r="R1138" i="16"/>
  <c r="S1138" i="16"/>
  <c r="R1139" i="16"/>
  <c r="S1139" i="16"/>
  <c r="R1140" i="16"/>
  <c r="S1140" i="16"/>
  <c r="R1141" i="16"/>
  <c r="S1141" i="16"/>
  <c r="R1142" i="16"/>
  <c r="S1142" i="16"/>
  <c r="R1143" i="16"/>
  <c r="S1143" i="16"/>
  <c r="R1144" i="16"/>
  <c r="S1144" i="16"/>
  <c r="R1145" i="16"/>
  <c r="S1145" i="16"/>
  <c r="R1146" i="16"/>
  <c r="S1146" i="16"/>
  <c r="R1147" i="16"/>
  <c r="S1147" i="16"/>
  <c r="R1148" i="16"/>
  <c r="S1148" i="16"/>
  <c r="R1149" i="16"/>
  <c r="S1149" i="16"/>
  <c r="R1150" i="16"/>
  <c r="S1150" i="16"/>
  <c r="R1151" i="16"/>
  <c r="S1151" i="16"/>
  <c r="R1152" i="16"/>
  <c r="S1152" i="16"/>
  <c r="R1153" i="16"/>
  <c r="S1153" i="16"/>
  <c r="R1154" i="16"/>
  <c r="S1154" i="16"/>
  <c r="R1155" i="16"/>
  <c r="S1155" i="16"/>
  <c r="R1156" i="16"/>
  <c r="S1156" i="16"/>
  <c r="R1157" i="16"/>
  <c r="S1157" i="16"/>
  <c r="R1158" i="16"/>
  <c r="S1158" i="16"/>
  <c r="R1159" i="16"/>
  <c r="S1159" i="16"/>
  <c r="R1160" i="16"/>
  <c r="S1160" i="16"/>
  <c r="R1161" i="16"/>
  <c r="S1161" i="16"/>
  <c r="R1162" i="16"/>
  <c r="S1162" i="16"/>
  <c r="R1163" i="16"/>
  <c r="S1163" i="16"/>
  <c r="R1164" i="16"/>
  <c r="S1164" i="16"/>
  <c r="R1165" i="16"/>
  <c r="S1165" i="16"/>
  <c r="R1166" i="16"/>
  <c r="S1166" i="16"/>
  <c r="R1167" i="16"/>
  <c r="S1167" i="16"/>
  <c r="R1168" i="16"/>
  <c r="S1168" i="16"/>
  <c r="R1169" i="16"/>
  <c r="S1169" i="16"/>
  <c r="R1170" i="16"/>
  <c r="S1170" i="16"/>
  <c r="R1171" i="16"/>
  <c r="S1171" i="16"/>
  <c r="R1172" i="16"/>
  <c r="S1172" i="16"/>
  <c r="R1173" i="16"/>
  <c r="S1173" i="16"/>
  <c r="R1174" i="16"/>
  <c r="S1174" i="16"/>
  <c r="R1175" i="16"/>
  <c r="S1175" i="16"/>
  <c r="R1176" i="16"/>
  <c r="S1176" i="16"/>
  <c r="R1177" i="16"/>
  <c r="S1177" i="16"/>
  <c r="R1178" i="16"/>
  <c r="S1178" i="16"/>
  <c r="R1179" i="16"/>
  <c r="S1179" i="16"/>
  <c r="R1180" i="16"/>
  <c r="S1180" i="16"/>
  <c r="R1181" i="16"/>
  <c r="S1181" i="16"/>
  <c r="R1182" i="16"/>
  <c r="S1182" i="16"/>
  <c r="R1183" i="16"/>
  <c r="S1183" i="16"/>
  <c r="R1184" i="16"/>
  <c r="S1184" i="16"/>
  <c r="R1185" i="16"/>
  <c r="S1185" i="16"/>
  <c r="R1186" i="16"/>
  <c r="S1186" i="16"/>
  <c r="R1187" i="16"/>
  <c r="S1187" i="16"/>
  <c r="R1188" i="16"/>
  <c r="S1188" i="16"/>
  <c r="R1189" i="16"/>
  <c r="S1189" i="16"/>
  <c r="R1190" i="16"/>
  <c r="S1190" i="16"/>
  <c r="R1191" i="16"/>
  <c r="S1191" i="16"/>
  <c r="R1192" i="16"/>
  <c r="S1192" i="16"/>
  <c r="R1193" i="16"/>
  <c r="S1193" i="16"/>
  <c r="R1194" i="16"/>
  <c r="S1194" i="16"/>
  <c r="R1195" i="16"/>
  <c r="S1195" i="16"/>
  <c r="R1196" i="16"/>
  <c r="S1196" i="16"/>
  <c r="R1197" i="16"/>
  <c r="S1197" i="16"/>
  <c r="R1198" i="16"/>
  <c r="S1198" i="16"/>
  <c r="R1199" i="16"/>
  <c r="S1199" i="16"/>
  <c r="R1200" i="16"/>
  <c r="S1200" i="16"/>
  <c r="R1201" i="16"/>
  <c r="S1201" i="16"/>
  <c r="R1202" i="16"/>
  <c r="S1202" i="16"/>
  <c r="R1203" i="16"/>
  <c r="S1203" i="16"/>
  <c r="R1204" i="16"/>
  <c r="S1204" i="16"/>
  <c r="R1205" i="16"/>
  <c r="S1205" i="16"/>
  <c r="R1206" i="16"/>
  <c r="S1206" i="16"/>
  <c r="R1207" i="16"/>
  <c r="S1207" i="16"/>
  <c r="R1208" i="16"/>
  <c r="S1208" i="16"/>
  <c r="R1209" i="16"/>
  <c r="S1209" i="16"/>
  <c r="R1210" i="16"/>
  <c r="S1210" i="16"/>
  <c r="R1211" i="16"/>
  <c r="S1211" i="16"/>
  <c r="R1212" i="16"/>
  <c r="S1212" i="16"/>
  <c r="R1213" i="16"/>
  <c r="S1213" i="16"/>
  <c r="R1214" i="16"/>
  <c r="S1214" i="16"/>
  <c r="R1215" i="16"/>
  <c r="S1215" i="16"/>
  <c r="R1216" i="16"/>
  <c r="S1216" i="16"/>
  <c r="R1217" i="16"/>
  <c r="S1217" i="16"/>
  <c r="R1218" i="16"/>
  <c r="S1218" i="16"/>
  <c r="R1219" i="16"/>
  <c r="S1219" i="16"/>
  <c r="R1220" i="16"/>
  <c r="S1220" i="16"/>
  <c r="R1221" i="16"/>
  <c r="S1221" i="16"/>
  <c r="R1222" i="16"/>
  <c r="S1222" i="16"/>
  <c r="R1223" i="16"/>
  <c r="S1223" i="16"/>
  <c r="R1224" i="16"/>
  <c r="S1224" i="16"/>
  <c r="R1225" i="16"/>
  <c r="S1225" i="16"/>
  <c r="R1226" i="16"/>
  <c r="S1226" i="16"/>
  <c r="R1227" i="16"/>
  <c r="S1227" i="16"/>
  <c r="R1228" i="16"/>
  <c r="S1228" i="16"/>
  <c r="R1229" i="16"/>
  <c r="S1229" i="16"/>
  <c r="R1230" i="16"/>
  <c r="S1230" i="16"/>
  <c r="R1231" i="16"/>
  <c r="S1231" i="16"/>
  <c r="R1232" i="16"/>
  <c r="S1232" i="16"/>
  <c r="R1233" i="16"/>
  <c r="S1233" i="16"/>
  <c r="R1234" i="16"/>
  <c r="S1234" i="16"/>
  <c r="R1235" i="16"/>
  <c r="S1235" i="16"/>
  <c r="R1236" i="16"/>
  <c r="S1236" i="16"/>
  <c r="R1237" i="16"/>
  <c r="S1237" i="16"/>
  <c r="R1238" i="16"/>
  <c r="S1238" i="16"/>
  <c r="R1239" i="16"/>
  <c r="S1239" i="16"/>
  <c r="R1240" i="16"/>
  <c r="S1240" i="16"/>
  <c r="R1241" i="16"/>
  <c r="S1241" i="16"/>
  <c r="R1242" i="16"/>
  <c r="S1242" i="16"/>
  <c r="R1243" i="16"/>
  <c r="S1243" i="16"/>
  <c r="R1244" i="16"/>
  <c r="S1244" i="16"/>
  <c r="R1245" i="16"/>
  <c r="S1245" i="16"/>
  <c r="R1246" i="16"/>
  <c r="S1246" i="16"/>
  <c r="R1247" i="16"/>
  <c r="S1247" i="16"/>
  <c r="R1248" i="16"/>
  <c r="S1248" i="16"/>
  <c r="R1249" i="16"/>
  <c r="S1249" i="16"/>
  <c r="R1250" i="16"/>
  <c r="S1250" i="16"/>
  <c r="R1251" i="16"/>
  <c r="S1251" i="16"/>
  <c r="R1252" i="16"/>
  <c r="S1252" i="16"/>
  <c r="R1253" i="16"/>
  <c r="S1253" i="16"/>
  <c r="R1254" i="16"/>
  <c r="S1254" i="16"/>
  <c r="R1255" i="16"/>
  <c r="S1255" i="16"/>
  <c r="R1256" i="16"/>
  <c r="S1256" i="16"/>
  <c r="R1257" i="16"/>
  <c r="S1257" i="16"/>
  <c r="R1258" i="16"/>
  <c r="S1258" i="16"/>
  <c r="R1259" i="16"/>
  <c r="S1259" i="16"/>
  <c r="R1260" i="16"/>
  <c r="S1260" i="16"/>
  <c r="R1261" i="16"/>
  <c r="S1261" i="16"/>
  <c r="R1262" i="16"/>
  <c r="S1262" i="16"/>
  <c r="R1263" i="16"/>
  <c r="S1263" i="16"/>
  <c r="R1264" i="16"/>
  <c r="S1264" i="16"/>
  <c r="R1265" i="16"/>
  <c r="S1265" i="16"/>
  <c r="R1266" i="16"/>
  <c r="S1266" i="16"/>
  <c r="R1267" i="16"/>
  <c r="S1267" i="16"/>
  <c r="R1268" i="16"/>
  <c r="S1268" i="16"/>
  <c r="R1269" i="16"/>
  <c r="S1269" i="16"/>
  <c r="R1270" i="16"/>
  <c r="S1270" i="16"/>
  <c r="R1271" i="16"/>
  <c r="S1271" i="16"/>
  <c r="R1272" i="16"/>
  <c r="S1272" i="16"/>
  <c r="R1273" i="16"/>
  <c r="S1273" i="16"/>
  <c r="R1274" i="16"/>
  <c r="S1274" i="16"/>
  <c r="R1275" i="16"/>
  <c r="S1275" i="16"/>
  <c r="R1276" i="16"/>
  <c r="S1276" i="16"/>
  <c r="R1277" i="16"/>
  <c r="S1277" i="16"/>
  <c r="R1278" i="16"/>
  <c r="S1278" i="16"/>
  <c r="R1279" i="16"/>
  <c r="S1279" i="16"/>
  <c r="R1280" i="16"/>
  <c r="S1280" i="16"/>
  <c r="R1281" i="16"/>
  <c r="S1281" i="16"/>
  <c r="R1282" i="16"/>
  <c r="S1282" i="16"/>
  <c r="R1283" i="16"/>
  <c r="S1283" i="16"/>
  <c r="R1284" i="16"/>
  <c r="S1284" i="16"/>
  <c r="R1285" i="16"/>
  <c r="S1285" i="16"/>
  <c r="R1286" i="16"/>
  <c r="S1286" i="16"/>
  <c r="R1287" i="16"/>
  <c r="S1287" i="16"/>
  <c r="R1288" i="16"/>
  <c r="S1288" i="16"/>
  <c r="R1289" i="16"/>
  <c r="S1289" i="16"/>
  <c r="R1290" i="16"/>
  <c r="S1290" i="16"/>
  <c r="R1291" i="16"/>
  <c r="S1291" i="16"/>
  <c r="R1292" i="16"/>
  <c r="S1292" i="16"/>
  <c r="R1293" i="16"/>
  <c r="S1293" i="16"/>
  <c r="R1294" i="16"/>
  <c r="S1294" i="16"/>
  <c r="R1295" i="16"/>
  <c r="S1295" i="16"/>
  <c r="R1296" i="16"/>
  <c r="S1296" i="16"/>
  <c r="R1297" i="16"/>
  <c r="S1297" i="16"/>
  <c r="R1298" i="16"/>
  <c r="S1298" i="16"/>
  <c r="R1299" i="16"/>
  <c r="S1299" i="16"/>
  <c r="R1300" i="16"/>
  <c r="S1300" i="16"/>
  <c r="R1301" i="16"/>
  <c r="S1301" i="16"/>
  <c r="R1302" i="16"/>
  <c r="S1302" i="16"/>
  <c r="R1303" i="16"/>
  <c r="S1303" i="16"/>
  <c r="R1304" i="16"/>
  <c r="S1304" i="16"/>
  <c r="R1305" i="16"/>
  <c r="S1305" i="16"/>
  <c r="R1306" i="16"/>
  <c r="S1306" i="16"/>
  <c r="R1307" i="16"/>
  <c r="S1307" i="16"/>
  <c r="R1308" i="16"/>
  <c r="S1308" i="16"/>
  <c r="R1309" i="16"/>
  <c r="S1309" i="16"/>
  <c r="R1310" i="16"/>
  <c r="S1310" i="16"/>
  <c r="R1311" i="16"/>
  <c r="S1311" i="16"/>
  <c r="R1312" i="16"/>
  <c r="S1312" i="16"/>
  <c r="R1313" i="16"/>
  <c r="S1313" i="16"/>
  <c r="R1314" i="16"/>
  <c r="S1314" i="16"/>
  <c r="R1315" i="16"/>
  <c r="S1315" i="16"/>
  <c r="R1316" i="16"/>
  <c r="S1316" i="16"/>
  <c r="R1317" i="16"/>
  <c r="S1317" i="16"/>
  <c r="R1318" i="16"/>
  <c r="S1318" i="16"/>
  <c r="R1319" i="16"/>
  <c r="S1319" i="16"/>
  <c r="R1320" i="16"/>
  <c r="S1320" i="16"/>
  <c r="R1321" i="16"/>
  <c r="S1321" i="16"/>
  <c r="R1322" i="16"/>
  <c r="S1322" i="16"/>
  <c r="R1323" i="16"/>
  <c r="S1323" i="16"/>
  <c r="R1324" i="16"/>
  <c r="S1324" i="16"/>
  <c r="R1325" i="16"/>
  <c r="S1325" i="16"/>
  <c r="R1326" i="16"/>
  <c r="S1326" i="16"/>
  <c r="R1327" i="16"/>
  <c r="S1327" i="16"/>
  <c r="R1328" i="16"/>
  <c r="S1328" i="16"/>
  <c r="R1329" i="16"/>
  <c r="S1329" i="16"/>
  <c r="R1330" i="16"/>
  <c r="S1330" i="16"/>
  <c r="R1331" i="16"/>
  <c r="S1331" i="16"/>
  <c r="R1332" i="16"/>
  <c r="S1332" i="16"/>
  <c r="R1333" i="16"/>
  <c r="S1333" i="16"/>
  <c r="R1334" i="16"/>
  <c r="S1334" i="16"/>
  <c r="R1335" i="16"/>
  <c r="S1335" i="16"/>
  <c r="R1336" i="16"/>
  <c r="S1336" i="16"/>
  <c r="R1337" i="16"/>
  <c r="S1337" i="16"/>
  <c r="R1338" i="16"/>
  <c r="S1338" i="16"/>
  <c r="R1339" i="16"/>
  <c r="S1339" i="16"/>
  <c r="R1340" i="16"/>
  <c r="S1340" i="16"/>
  <c r="R1341" i="16"/>
  <c r="S1341" i="16"/>
  <c r="R1342" i="16"/>
  <c r="S1342" i="16"/>
  <c r="R1343" i="16"/>
  <c r="S1343" i="16"/>
  <c r="R1344" i="16"/>
  <c r="S1344" i="16"/>
  <c r="R1345" i="16"/>
  <c r="S1345" i="16"/>
  <c r="R1348" i="16"/>
  <c r="S1348" i="16"/>
  <c r="R1349" i="16"/>
  <c r="S1349" i="16"/>
  <c r="R1350" i="16"/>
  <c r="S1350" i="16"/>
  <c r="R1351" i="16"/>
  <c r="S1351" i="16"/>
  <c r="R1357" i="16"/>
  <c r="S1357" i="16"/>
  <c r="R1358" i="16"/>
  <c r="S1358" i="16"/>
  <c r="R1359" i="16"/>
  <c r="S1359" i="16"/>
  <c r="R1360" i="16"/>
  <c r="S1360" i="16"/>
  <c r="R1361" i="16"/>
  <c r="S1361" i="16"/>
  <c r="R1362" i="16"/>
  <c r="S1362" i="16"/>
  <c r="R1363" i="16"/>
  <c r="S1363" i="16"/>
  <c r="R1364" i="16"/>
  <c r="S1364" i="16"/>
  <c r="R1365" i="16"/>
  <c r="S1365" i="16"/>
  <c r="R1366" i="16"/>
  <c r="S1366" i="16"/>
  <c r="R1367" i="16"/>
  <c r="S1367" i="16"/>
  <c r="R1368" i="16"/>
  <c r="S1368" i="16"/>
  <c r="R1369" i="16"/>
  <c r="S1369" i="16"/>
  <c r="R1370" i="16"/>
  <c r="S1370" i="16"/>
  <c r="R1371" i="16"/>
  <c r="S1371" i="16"/>
  <c r="R1372" i="16"/>
  <c r="S1372" i="16"/>
  <c r="R1373" i="16"/>
  <c r="S1373" i="16"/>
  <c r="R1374" i="16"/>
  <c r="S1374" i="16"/>
  <c r="R1375" i="16"/>
  <c r="S1375" i="16"/>
  <c r="R1376" i="16"/>
  <c r="S1376" i="16"/>
  <c r="R1377" i="16"/>
  <c r="S1377" i="16"/>
  <c r="R1378" i="16"/>
  <c r="S1378" i="16"/>
  <c r="R1379" i="16"/>
  <c r="S1379" i="16"/>
  <c r="R1380" i="16"/>
  <c r="S1380" i="16"/>
  <c r="R1381" i="16"/>
  <c r="S1381" i="16"/>
  <c r="R1382" i="16"/>
  <c r="S1382" i="16"/>
  <c r="R1389" i="16"/>
  <c r="S1389" i="16"/>
  <c r="R1390" i="16"/>
  <c r="S1390" i="16"/>
  <c r="R1391" i="16"/>
  <c r="S1391" i="16"/>
  <c r="R1392" i="16"/>
  <c r="S1392" i="16"/>
  <c r="R1393" i="16"/>
  <c r="S1393" i="16"/>
  <c r="R1394" i="16"/>
  <c r="S1394" i="16"/>
  <c r="R1395" i="16"/>
  <c r="S1395" i="16"/>
  <c r="R1396" i="16"/>
  <c r="S1396" i="16"/>
  <c r="R1397" i="16"/>
  <c r="S1397" i="16"/>
  <c r="R1398" i="16"/>
  <c r="S1398" i="16"/>
  <c r="R1399" i="16"/>
  <c r="S1399" i="16"/>
  <c r="R1400" i="16"/>
  <c r="S1400" i="16"/>
  <c r="R1401" i="16"/>
  <c r="S1401" i="16"/>
  <c r="R1402" i="16"/>
  <c r="S1402" i="16"/>
  <c r="R1403" i="16"/>
  <c r="S1403" i="16"/>
  <c r="R1404" i="16"/>
  <c r="S1404" i="16"/>
  <c r="R1405" i="16"/>
  <c r="S1405" i="16"/>
  <c r="R1406" i="16"/>
  <c r="S1406" i="16"/>
  <c r="R1407" i="16"/>
  <c r="S1407" i="16"/>
  <c r="R1408" i="16"/>
  <c r="S1408" i="16"/>
  <c r="R1409" i="16"/>
  <c r="S1409" i="16"/>
  <c r="R1410" i="16"/>
  <c r="S1410" i="16"/>
  <c r="R1411" i="16"/>
  <c r="S1411" i="16"/>
  <c r="R1412" i="16"/>
  <c r="S1412" i="16"/>
  <c r="R1413" i="16"/>
  <c r="S1413" i="16"/>
  <c r="R1414" i="16"/>
  <c r="S1414" i="16"/>
  <c r="R1415" i="16"/>
  <c r="S1415" i="16"/>
  <c r="R1416" i="16"/>
  <c r="S1416" i="16"/>
  <c r="R1417" i="16"/>
  <c r="S1417" i="16"/>
  <c r="R1418" i="16"/>
  <c r="S1418" i="16"/>
  <c r="R1419" i="16"/>
  <c r="S1419" i="16"/>
  <c r="R1420" i="16"/>
  <c r="S1420" i="16"/>
  <c r="R1421" i="16"/>
  <c r="S1421" i="16"/>
  <c r="R1422" i="16"/>
  <c r="S1422" i="16"/>
  <c r="R1423" i="16"/>
  <c r="S1423" i="16"/>
  <c r="R1424" i="16"/>
  <c r="S1424" i="16"/>
  <c r="R1425" i="16"/>
  <c r="S1425" i="16"/>
  <c r="R1426" i="16"/>
  <c r="S1426" i="16"/>
  <c r="R1427" i="16"/>
  <c r="S1427" i="16"/>
  <c r="R1428" i="16"/>
  <c r="S1428" i="16"/>
  <c r="R1429" i="16"/>
  <c r="S1429" i="16"/>
  <c r="R1430" i="16"/>
  <c r="S1430" i="16"/>
  <c r="R1431" i="16"/>
  <c r="S1431" i="16"/>
  <c r="R1432" i="16"/>
  <c r="S1432" i="16"/>
  <c r="R1433" i="16"/>
  <c r="S1433" i="16"/>
  <c r="R1434" i="16"/>
  <c r="S1434" i="16"/>
  <c r="R1435" i="16"/>
  <c r="S1435" i="16"/>
  <c r="R1436" i="16"/>
  <c r="S1436" i="16"/>
  <c r="R1437" i="16"/>
  <c r="S1437" i="16"/>
  <c r="R1438" i="16"/>
  <c r="S1438" i="16"/>
  <c r="R1439" i="16"/>
  <c r="S1439" i="16"/>
  <c r="R1440" i="16"/>
  <c r="S1440" i="16"/>
  <c r="R1441" i="16"/>
  <c r="S1441" i="16"/>
  <c r="R1442" i="16"/>
  <c r="S1442" i="16"/>
  <c r="R1443" i="16"/>
  <c r="S1443" i="16"/>
  <c r="R1444" i="16"/>
  <c r="S1444" i="16"/>
  <c r="R1445" i="16"/>
  <c r="S1445" i="16"/>
  <c r="R1446" i="16"/>
  <c r="S1446" i="16"/>
  <c r="R1447" i="16"/>
  <c r="S1447" i="16"/>
  <c r="R1448" i="16"/>
  <c r="S1448" i="16"/>
  <c r="R1449" i="16"/>
  <c r="S1449" i="16"/>
  <c r="R1450" i="16"/>
  <c r="S1450" i="16"/>
  <c r="R1451" i="16"/>
  <c r="S1451" i="16"/>
  <c r="R1452" i="16"/>
  <c r="S1452" i="16"/>
  <c r="R1453" i="16"/>
  <c r="S1453" i="16"/>
  <c r="R1454" i="16"/>
  <c r="S1454" i="16"/>
  <c r="R1455" i="16"/>
  <c r="S1455" i="16"/>
  <c r="R1456" i="16"/>
  <c r="S1456" i="16"/>
  <c r="R1457" i="16"/>
  <c r="S1457" i="16"/>
  <c r="R1458" i="16"/>
  <c r="S1458" i="16"/>
  <c r="R1459" i="16"/>
  <c r="S1459" i="16"/>
  <c r="R1460" i="16"/>
  <c r="S1460" i="16"/>
  <c r="R1461" i="16"/>
  <c r="S1461" i="16"/>
  <c r="R1462" i="16"/>
  <c r="S1462" i="16"/>
  <c r="R1463" i="16"/>
  <c r="S1463" i="16"/>
  <c r="R1464" i="16"/>
  <c r="S1464" i="16"/>
  <c r="R1465" i="16"/>
  <c r="S1465" i="16"/>
  <c r="R1466" i="16"/>
  <c r="S1466" i="16"/>
  <c r="R1467" i="16"/>
  <c r="S1467" i="16"/>
  <c r="R1468" i="16"/>
  <c r="S1468" i="16"/>
  <c r="R1469" i="16"/>
  <c r="S1469" i="16"/>
  <c r="R1470" i="16"/>
  <c r="S1470" i="16"/>
  <c r="R1471" i="16"/>
  <c r="S1471" i="16"/>
  <c r="R1472" i="16"/>
  <c r="S1472" i="16"/>
  <c r="R1473" i="16"/>
  <c r="S1473" i="16"/>
  <c r="R1474" i="16"/>
  <c r="S1474" i="16"/>
  <c r="R1475" i="16"/>
  <c r="S1475" i="16"/>
  <c r="R1476" i="16"/>
  <c r="S1476" i="16"/>
  <c r="R1477" i="16"/>
  <c r="S1477" i="16"/>
  <c r="R1478" i="16"/>
  <c r="S1478" i="16"/>
  <c r="R1479" i="16"/>
  <c r="S1479" i="16"/>
  <c r="R1480" i="16"/>
  <c r="S1480" i="16"/>
  <c r="R1481" i="16"/>
  <c r="S1481" i="16"/>
  <c r="R1482" i="16"/>
  <c r="S1482" i="16"/>
  <c r="R1483" i="16"/>
  <c r="S1483" i="16"/>
  <c r="R1484" i="16"/>
  <c r="S1484" i="16"/>
  <c r="R1485" i="16"/>
  <c r="S1485" i="16"/>
  <c r="R1486" i="16"/>
  <c r="S1486" i="16"/>
  <c r="R1487" i="16"/>
  <c r="S1487" i="16"/>
  <c r="R1488" i="16"/>
  <c r="S1488" i="16"/>
  <c r="R1489" i="16"/>
  <c r="S1489" i="16"/>
  <c r="R1490" i="16"/>
  <c r="S1490" i="16"/>
  <c r="R1491" i="16"/>
  <c r="S1491" i="16"/>
  <c r="R1492" i="16"/>
  <c r="S1492" i="16"/>
  <c r="R1493" i="16"/>
  <c r="S1493" i="16"/>
  <c r="R1494" i="16"/>
  <c r="S1494" i="16"/>
  <c r="R1495" i="16"/>
  <c r="S1495" i="16"/>
  <c r="R1496" i="16"/>
  <c r="S1496" i="16"/>
  <c r="R1497" i="16"/>
  <c r="S1497" i="16"/>
  <c r="R1498" i="16"/>
  <c r="S1498" i="16"/>
  <c r="R1499" i="16"/>
  <c r="S1499" i="16"/>
  <c r="R1500" i="16"/>
  <c r="S1500" i="16"/>
  <c r="R1501" i="16"/>
  <c r="S1501" i="16"/>
  <c r="R1506" i="16"/>
  <c r="S1506" i="16"/>
  <c r="R1507" i="16"/>
  <c r="S1507" i="16"/>
  <c r="R1508" i="16"/>
  <c r="S1508" i="16"/>
  <c r="R1509" i="16"/>
  <c r="S1509" i="16"/>
  <c r="R1510" i="16"/>
  <c r="S1510" i="16"/>
  <c r="R1511" i="16"/>
  <c r="S1511" i="16"/>
  <c r="R1512" i="16"/>
  <c r="S1512" i="16"/>
  <c r="R1513" i="16"/>
  <c r="S1513" i="16"/>
  <c r="R1514" i="16"/>
  <c r="S1514" i="16"/>
  <c r="R1515" i="16"/>
  <c r="S1515" i="16"/>
  <c r="R1516" i="16"/>
  <c r="S1516" i="16"/>
  <c r="R1517" i="16"/>
  <c r="S1517" i="16"/>
  <c r="R1518" i="16"/>
  <c r="S1518" i="16"/>
  <c r="R1519" i="16"/>
  <c r="S1519" i="16"/>
  <c r="R1520" i="16"/>
  <c r="S1520" i="16"/>
  <c r="R1521" i="16"/>
  <c r="S1521" i="16"/>
  <c r="R1522" i="16"/>
  <c r="S1522" i="16"/>
  <c r="R1523" i="16"/>
  <c r="S1523" i="16"/>
  <c r="R1524" i="16"/>
  <c r="S1524" i="16"/>
  <c r="R1525" i="16"/>
  <c r="S1525" i="16"/>
  <c r="R1526" i="16"/>
  <c r="S1526" i="16"/>
  <c r="R1527" i="16"/>
  <c r="S1527" i="16"/>
  <c r="R1528" i="16"/>
  <c r="S1528" i="16"/>
  <c r="R1529" i="16"/>
  <c r="S1529" i="16"/>
  <c r="R1530" i="16"/>
  <c r="S1530" i="16"/>
  <c r="R1531" i="16"/>
  <c r="S1531" i="16"/>
  <c r="R1550" i="16"/>
  <c r="S1550" i="16"/>
  <c r="R1551" i="16"/>
  <c r="S1551" i="16"/>
  <c r="R1552" i="16"/>
  <c r="S1552" i="16"/>
  <c r="R1553" i="16"/>
  <c r="S1553" i="16"/>
  <c r="R1554" i="16"/>
  <c r="S1554" i="16"/>
  <c r="R1555" i="16"/>
  <c r="S1555" i="16"/>
  <c r="R1556" i="16"/>
  <c r="S1556" i="16"/>
  <c r="R1557" i="16"/>
  <c r="S1557" i="16"/>
  <c r="R1558" i="16"/>
  <c r="S1558" i="16"/>
  <c r="R1559" i="16"/>
  <c r="S1559" i="16"/>
  <c r="R1560" i="16"/>
  <c r="S1560" i="16"/>
  <c r="R1561" i="16"/>
  <c r="S1561" i="16"/>
  <c r="R1562" i="16"/>
  <c r="S1562" i="16"/>
  <c r="R1563" i="16"/>
  <c r="S1563" i="16"/>
  <c r="R1564" i="16"/>
  <c r="S1564" i="16"/>
  <c r="R1565" i="16"/>
  <c r="S1565" i="16"/>
  <c r="R1566" i="16"/>
  <c r="S1566" i="16"/>
  <c r="R1567" i="16"/>
  <c r="S1567" i="16"/>
  <c r="R1568" i="16"/>
  <c r="S1568" i="16"/>
  <c r="R1569" i="16"/>
  <c r="S1569" i="16"/>
  <c r="R1570" i="16"/>
  <c r="S1570" i="16"/>
  <c r="R1571" i="16"/>
  <c r="S1571" i="16"/>
  <c r="R1572" i="16"/>
  <c r="S1572" i="16"/>
  <c r="R1573" i="16"/>
  <c r="S1573" i="16"/>
  <c r="R1574" i="16"/>
  <c r="S1574" i="16"/>
  <c r="R1575" i="16"/>
  <c r="S1575" i="16"/>
  <c r="R1576" i="16"/>
  <c r="S1576" i="16"/>
  <c r="R1577" i="16"/>
  <c r="S1577" i="16"/>
  <c r="R1578" i="16"/>
  <c r="S1578" i="16"/>
  <c r="R1579" i="16"/>
  <c r="S1579" i="16"/>
  <c r="R1580" i="16"/>
  <c r="S1580" i="16"/>
  <c r="R1581" i="16"/>
  <c r="S1581" i="16"/>
  <c r="R1582" i="16"/>
  <c r="S1582" i="16"/>
  <c r="R1583" i="16"/>
  <c r="S1583" i="16"/>
  <c r="R1584" i="16"/>
  <c r="S1584" i="16"/>
  <c r="R1585" i="16"/>
  <c r="S1585" i="16"/>
  <c r="R1586" i="16"/>
  <c r="S1586" i="16"/>
  <c r="R1587" i="16"/>
  <c r="S1587" i="16"/>
  <c r="R1588" i="16"/>
  <c r="S1588" i="16"/>
  <c r="R1589" i="16"/>
  <c r="S1589" i="16"/>
  <c r="R1590" i="16"/>
  <c r="S1590" i="16"/>
  <c r="R1591" i="16"/>
  <c r="S1591" i="16"/>
  <c r="R1592" i="16"/>
  <c r="S1592" i="16"/>
  <c r="R1593" i="16"/>
  <c r="S1593" i="16"/>
  <c r="R1594" i="16"/>
  <c r="S1594" i="16"/>
  <c r="R1595" i="16"/>
  <c r="S1595" i="16"/>
  <c r="R1596" i="16"/>
  <c r="S1596" i="16"/>
  <c r="R1597" i="16"/>
  <c r="S1597" i="16"/>
  <c r="R1598" i="16"/>
  <c r="S1598" i="16"/>
  <c r="R1599" i="16"/>
  <c r="S1599" i="16"/>
  <c r="R1600" i="16"/>
  <c r="S1600" i="16"/>
  <c r="R1601" i="16"/>
  <c r="S1601" i="16"/>
  <c r="R1602" i="16"/>
  <c r="S1602" i="16"/>
  <c r="R1603" i="16"/>
  <c r="S1603" i="16"/>
  <c r="R1604" i="16"/>
  <c r="S1604" i="16"/>
  <c r="R1605" i="16"/>
  <c r="S1605" i="16"/>
  <c r="R1606" i="16"/>
  <c r="S1606" i="16"/>
  <c r="R1607" i="16"/>
  <c r="S1607" i="16"/>
  <c r="R1608" i="16"/>
  <c r="S1608" i="16"/>
  <c r="R1609" i="16"/>
  <c r="S1609" i="16"/>
  <c r="R1610" i="16"/>
  <c r="S1610" i="16"/>
  <c r="R1611" i="16"/>
  <c r="S1611" i="16"/>
  <c r="R1612" i="16"/>
  <c r="S1612" i="16"/>
  <c r="R1613" i="16"/>
  <c r="S1613" i="16"/>
  <c r="R1614" i="16"/>
  <c r="S1614" i="16"/>
  <c r="R1615" i="16"/>
  <c r="S1615" i="16"/>
  <c r="R1616" i="16"/>
  <c r="S1616" i="16"/>
  <c r="R1617" i="16"/>
  <c r="S1617" i="16"/>
  <c r="R1618" i="16"/>
  <c r="S1618" i="16"/>
  <c r="R1619" i="16"/>
  <c r="S1619" i="16"/>
  <c r="R1620" i="16"/>
  <c r="S1620" i="16"/>
  <c r="R1621" i="16"/>
  <c r="S1621" i="16"/>
  <c r="R1622" i="16"/>
  <c r="S1622" i="16"/>
  <c r="R1623" i="16"/>
  <c r="S1623" i="16"/>
  <c r="R1624" i="16"/>
  <c r="S1624" i="16"/>
  <c r="R1625" i="16"/>
  <c r="S1625" i="16"/>
  <c r="R1626" i="16"/>
  <c r="S1626" i="16"/>
  <c r="R1627" i="16"/>
  <c r="S1627" i="16"/>
  <c r="R1628" i="16"/>
  <c r="S1628" i="16"/>
  <c r="R1629" i="16"/>
  <c r="S1629" i="16"/>
  <c r="R1630" i="16"/>
  <c r="S1630" i="16"/>
  <c r="R1631" i="16"/>
  <c r="S1631" i="16"/>
  <c r="R1638" i="16"/>
  <c r="S1638" i="16"/>
  <c r="R1639" i="16"/>
  <c r="S1639" i="16"/>
  <c r="R1640" i="16"/>
  <c r="S1640" i="16"/>
  <c r="R1641" i="16"/>
  <c r="S1641" i="16"/>
  <c r="R1642" i="16"/>
  <c r="S1642" i="16"/>
  <c r="R1643" i="16"/>
  <c r="S1643" i="16"/>
  <c r="R1644" i="16"/>
  <c r="S1644" i="16"/>
  <c r="R1645" i="16"/>
  <c r="S1645" i="16"/>
  <c r="R1646" i="16"/>
  <c r="S1646" i="16"/>
  <c r="R1647" i="16"/>
  <c r="S1647" i="16"/>
  <c r="R1648" i="16"/>
  <c r="S1648" i="16"/>
  <c r="R1649" i="16"/>
  <c r="S1649" i="16"/>
  <c r="R1652" i="16"/>
  <c r="S1652" i="16"/>
  <c r="R1653" i="16"/>
  <c r="S1653" i="16"/>
  <c r="R1654" i="16"/>
  <c r="S1654" i="16"/>
  <c r="R1655" i="16"/>
  <c r="S1655" i="16"/>
  <c r="R1656" i="16"/>
  <c r="S1656" i="16"/>
  <c r="R1657" i="16"/>
  <c r="S1657" i="16"/>
  <c r="R1658" i="16"/>
  <c r="S1658" i="16"/>
  <c r="R1659" i="16"/>
  <c r="S1659" i="16"/>
  <c r="R1660" i="16"/>
  <c r="S1660" i="16"/>
  <c r="R1661" i="16"/>
  <c r="S1661" i="16"/>
  <c r="R1662" i="16"/>
  <c r="S1662" i="16"/>
  <c r="R1663" i="16"/>
  <c r="S1663" i="16"/>
  <c r="R1665" i="16"/>
  <c r="S1665" i="16"/>
  <c r="R1666" i="16"/>
  <c r="S1666" i="16"/>
  <c r="R1667" i="16"/>
  <c r="S1667" i="16"/>
  <c r="R1668" i="16"/>
  <c r="S1668" i="16"/>
  <c r="R1669" i="16"/>
  <c r="S1669" i="16"/>
  <c r="R1670" i="16"/>
  <c r="S1670" i="16"/>
  <c r="R1671" i="16"/>
  <c r="S1671" i="16"/>
  <c r="R1672" i="16"/>
  <c r="S1672" i="16"/>
  <c r="R1673" i="16"/>
  <c r="S1673" i="16"/>
  <c r="R1675" i="16"/>
  <c r="S1675" i="16"/>
  <c r="R1676" i="16"/>
  <c r="S1676" i="16"/>
  <c r="R1677" i="16"/>
  <c r="S1677" i="16"/>
  <c r="R1678" i="16"/>
  <c r="S1678" i="16"/>
  <c r="R1679" i="16"/>
  <c r="S1679" i="16"/>
  <c r="R1680" i="16"/>
  <c r="S1680" i="16"/>
  <c r="R1681" i="16"/>
  <c r="S1681" i="16"/>
  <c r="R1682" i="16"/>
  <c r="S1682" i="16"/>
  <c r="R1683" i="16"/>
  <c r="S1683" i="16"/>
  <c r="R1684" i="16"/>
  <c r="S1684" i="16"/>
  <c r="R1685" i="16"/>
  <c r="S1685" i="16"/>
  <c r="R1686" i="16"/>
  <c r="S1686" i="16"/>
  <c r="R1687" i="16"/>
  <c r="S1687" i="16"/>
  <c r="R1688" i="16"/>
  <c r="S1688" i="16"/>
  <c r="R1689" i="16"/>
  <c r="S1689" i="16"/>
  <c r="R1690" i="16"/>
  <c r="S1690" i="16"/>
  <c r="R1692" i="16"/>
  <c r="S1692" i="16"/>
  <c r="R1693" i="16"/>
  <c r="S1693" i="16"/>
  <c r="R1694" i="16"/>
  <c r="S1694" i="16"/>
  <c r="R1695" i="16"/>
  <c r="S1695" i="16"/>
  <c r="R1696" i="16"/>
  <c r="S1696" i="16"/>
  <c r="R1697" i="16"/>
  <c r="S1697" i="16"/>
  <c r="R1698" i="16"/>
  <c r="S1698" i="16"/>
  <c r="R1699" i="16"/>
  <c r="S1699" i="16"/>
  <c r="R1700" i="16"/>
  <c r="S1700" i="16"/>
  <c r="R1701" i="16"/>
  <c r="S1701" i="16"/>
  <c r="R1702" i="16"/>
  <c r="S1702" i="16"/>
  <c r="R1703" i="16"/>
  <c r="S1703" i="16"/>
  <c r="R1704" i="16"/>
  <c r="S1704" i="16"/>
  <c r="R1705" i="16"/>
  <c r="S1705" i="16"/>
  <c r="R1706" i="16"/>
  <c r="S1706" i="16"/>
  <c r="R1707" i="16"/>
  <c r="S1707" i="16"/>
  <c r="R1708" i="16"/>
  <c r="S1708" i="16"/>
  <c r="R1709" i="16"/>
  <c r="S1709" i="16"/>
  <c r="R1710" i="16"/>
  <c r="S1710" i="16"/>
  <c r="R1711" i="16"/>
  <c r="S1711" i="16"/>
  <c r="R1712" i="16"/>
  <c r="S1712" i="16"/>
  <c r="R1713" i="16"/>
  <c r="S1713" i="16"/>
  <c r="R1714" i="16"/>
  <c r="S1714" i="16"/>
  <c r="R1715" i="16"/>
  <c r="S1715" i="16"/>
  <c r="R1716" i="16"/>
  <c r="S1716" i="16"/>
  <c r="R1717" i="16"/>
  <c r="S1717" i="16"/>
  <c r="R1718" i="16"/>
  <c r="S1718" i="16"/>
  <c r="R1741" i="16"/>
  <c r="S1741" i="16"/>
  <c r="R1742" i="16"/>
  <c r="S1742" i="16"/>
  <c r="R1743" i="16"/>
  <c r="S1743" i="16"/>
  <c r="R1744" i="16"/>
  <c r="S1744" i="16"/>
  <c r="R1745" i="16"/>
  <c r="S1745" i="16"/>
  <c r="R1746" i="16"/>
  <c r="S1746" i="16"/>
  <c r="R1747" i="16"/>
  <c r="S1747" i="16"/>
  <c r="R1748" i="16"/>
  <c r="S1748" i="16"/>
  <c r="R1749" i="16"/>
  <c r="S1749" i="16"/>
  <c r="R1750" i="16"/>
  <c r="S1750" i="16"/>
  <c r="R1751" i="16"/>
  <c r="S1751" i="16"/>
  <c r="R1752" i="16"/>
  <c r="S1752" i="16"/>
  <c r="R1753" i="16"/>
  <c r="S1753" i="16"/>
  <c r="R1754" i="16"/>
  <c r="S1754" i="16"/>
  <c r="R1755" i="16"/>
  <c r="S1755" i="16"/>
  <c r="R1756" i="16"/>
  <c r="S1756" i="16"/>
  <c r="R1757" i="16"/>
  <c r="S1757" i="16"/>
  <c r="R1758" i="16"/>
  <c r="S1758" i="16"/>
  <c r="R1759" i="16"/>
  <c r="S1759" i="16"/>
  <c r="R1760" i="16"/>
  <c r="S1760" i="16"/>
  <c r="R1761" i="16"/>
  <c r="S1761" i="16"/>
  <c r="R1762" i="16"/>
  <c r="S1762" i="16"/>
  <c r="R1763" i="16"/>
  <c r="S1763" i="16"/>
  <c r="R1764" i="16"/>
  <c r="S1764" i="16"/>
  <c r="R1765" i="16"/>
  <c r="S1765" i="16"/>
  <c r="R1766" i="16"/>
  <c r="S1766" i="16"/>
  <c r="R1767" i="16"/>
  <c r="S1767" i="16"/>
  <c r="R1768" i="16"/>
  <c r="S1768" i="16"/>
  <c r="R1769" i="16"/>
  <c r="S1769" i="16"/>
  <c r="R1770" i="16"/>
  <c r="S1770" i="16"/>
  <c r="R1771" i="16"/>
  <c r="S1771" i="16"/>
  <c r="R1772" i="16"/>
  <c r="S1772" i="16"/>
  <c r="R1773" i="16"/>
  <c r="S1773" i="16"/>
  <c r="R1774" i="16"/>
  <c r="S1774" i="16"/>
  <c r="R1775" i="16"/>
  <c r="S1775" i="16"/>
  <c r="R1776" i="16"/>
  <c r="S1776" i="16"/>
  <c r="R1777" i="16"/>
  <c r="S1777" i="16"/>
  <c r="R1778" i="16"/>
  <c r="S1778" i="16"/>
  <c r="R1779" i="16"/>
  <c r="S1779" i="16"/>
  <c r="R1780" i="16"/>
  <c r="S1780" i="16"/>
  <c r="R1781" i="16"/>
  <c r="S1781" i="16"/>
  <c r="R1782" i="16"/>
  <c r="S1782" i="16"/>
  <c r="R1783" i="16"/>
  <c r="S1783" i="16"/>
  <c r="R1784" i="16"/>
  <c r="S1784" i="16"/>
  <c r="R1785" i="16"/>
  <c r="S1785" i="16"/>
  <c r="R1786" i="16"/>
  <c r="S1786" i="16"/>
  <c r="R1787" i="16"/>
  <c r="S1787" i="16"/>
  <c r="R1788" i="16"/>
  <c r="S1788" i="16"/>
  <c r="R1789" i="16"/>
  <c r="S1789" i="16"/>
  <c r="R1790" i="16"/>
  <c r="S1790" i="16"/>
  <c r="R1791" i="16"/>
  <c r="S1791" i="16"/>
  <c r="R1792" i="16"/>
  <c r="S1792" i="16"/>
  <c r="R1793" i="16"/>
  <c r="S1793" i="16"/>
  <c r="R1794" i="16"/>
  <c r="S1794" i="16"/>
  <c r="R1795" i="16"/>
  <c r="S1795" i="16"/>
  <c r="R1796" i="16"/>
  <c r="S1796" i="16"/>
  <c r="R1797" i="16"/>
  <c r="S1797" i="16"/>
  <c r="R1798" i="16"/>
  <c r="S1798" i="16"/>
  <c r="R1799" i="16"/>
  <c r="S1799" i="16"/>
  <c r="R1800" i="16"/>
  <c r="S1800" i="16"/>
  <c r="R1801" i="16"/>
  <c r="S1801" i="16"/>
  <c r="R1802" i="16"/>
  <c r="S1802" i="16"/>
  <c r="R1803" i="16"/>
  <c r="S1803" i="16"/>
  <c r="R1804" i="16"/>
  <c r="S1804" i="16"/>
  <c r="R1805" i="16"/>
  <c r="S1805" i="16"/>
  <c r="R1806" i="16"/>
  <c r="S1806" i="16"/>
  <c r="R1807" i="16"/>
  <c r="S1807" i="16"/>
  <c r="R1808" i="16"/>
  <c r="S1808" i="16"/>
  <c r="R1809" i="16"/>
  <c r="S1809" i="16"/>
  <c r="R1810" i="16"/>
  <c r="S1810" i="16"/>
  <c r="R1811" i="16"/>
  <c r="S1811" i="16"/>
  <c r="R1812" i="16"/>
  <c r="S1812" i="16"/>
  <c r="R1813" i="16"/>
  <c r="S1813" i="16"/>
  <c r="R1814" i="16"/>
  <c r="S1814" i="16"/>
  <c r="R1815" i="16"/>
  <c r="S1815" i="16"/>
  <c r="R1816" i="16"/>
  <c r="S1816" i="16"/>
  <c r="R1817" i="16"/>
  <c r="S1817" i="16"/>
  <c r="R1818" i="16"/>
  <c r="S1818" i="16"/>
  <c r="R1819" i="16"/>
  <c r="S1819" i="16"/>
  <c r="R1820" i="16"/>
  <c r="S1820" i="16"/>
  <c r="R1821" i="16"/>
  <c r="S1821" i="16"/>
  <c r="R1822" i="16"/>
  <c r="S1822" i="16"/>
  <c r="R1823" i="16"/>
  <c r="S1823" i="16"/>
  <c r="R1824" i="16"/>
  <c r="S1824" i="16"/>
  <c r="R1825" i="16"/>
  <c r="S1825" i="16"/>
  <c r="R1826" i="16"/>
  <c r="S1826" i="16"/>
  <c r="R1827" i="16"/>
  <c r="S1827" i="16"/>
  <c r="R1828" i="16"/>
  <c r="S1828" i="16"/>
  <c r="R1829" i="16"/>
  <c r="S1829" i="16"/>
  <c r="R1830" i="16"/>
  <c r="S1830" i="16"/>
  <c r="R1831" i="16"/>
  <c r="S1831" i="16"/>
  <c r="R1832" i="16"/>
  <c r="S1832" i="16"/>
  <c r="R1833" i="16"/>
  <c r="S1833" i="16"/>
  <c r="R1834" i="16"/>
  <c r="S1834" i="16"/>
  <c r="R1835" i="16"/>
  <c r="S1835" i="16"/>
  <c r="R1836" i="16"/>
  <c r="S1836" i="16"/>
  <c r="R1837" i="16"/>
  <c r="S1837" i="16"/>
  <c r="R1838" i="16"/>
  <c r="S1838" i="16"/>
  <c r="R1839" i="16"/>
  <c r="S1839" i="16"/>
  <c r="R1840" i="16"/>
  <c r="S1840" i="16"/>
  <c r="R1841" i="16"/>
  <c r="S1841" i="16"/>
  <c r="R1842" i="16"/>
  <c r="S1842" i="16"/>
  <c r="R1843" i="16"/>
  <c r="S1843" i="16"/>
  <c r="R1844" i="16"/>
  <c r="S1844" i="16"/>
  <c r="R1845" i="16"/>
  <c r="S1845" i="16"/>
  <c r="R1846" i="16"/>
  <c r="S1846" i="16"/>
  <c r="R1847" i="16"/>
  <c r="S1847" i="16"/>
  <c r="R1848" i="16"/>
  <c r="S1848" i="16"/>
  <c r="R1849" i="16"/>
  <c r="S1849" i="16"/>
  <c r="R1850" i="16"/>
  <c r="S1850" i="16"/>
  <c r="R1851" i="16"/>
  <c r="S1851" i="16"/>
  <c r="R1852" i="16"/>
  <c r="S1852" i="16"/>
  <c r="R1853" i="16"/>
  <c r="S1853" i="16"/>
  <c r="R1854" i="16"/>
  <c r="S1854" i="16"/>
  <c r="R1855" i="16"/>
  <c r="S1855" i="16"/>
  <c r="R1856" i="16"/>
  <c r="S1856" i="16"/>
  <c r="R1857" i="16"/>
  <c r="S1857" i="16"/>
  <c r="R1858" i="16"/>
  <c r="S1858" i="16"/>
  <c r="R1859" i="16"/>
  <c r="S1859" i="16"/>
  <c r="R1860" i="16"/>
  <c r="S1860" i="16"/>
  <c r="R1861" i="16"/>
  <c r="S1861" i="16"/>
  <c r="R1862" i="16"/>
  <c r="S1862" i="16"/>
  <c r="R1863" i="16"/>
  <c r="S1863" i="16"/>
  <c r="R1864" i="16"/>
  <c r="S1864" i="16"/>
  <c r="R1865" i="16"/>
  <c r="S1865" i="16"/>
  <c r="R1866" i="16"/>
  <c r="S1866" i="16"/>
  <c r="R1867" i="16"/>
  <c r="S1867" i="16"/>
  <c r="R1868" i="16"/>
  <c r="S1868" i="16"/>
  <c r="R1869" i="16"/>
  <c r="S1869" i="16"/>
  <c r="R1870" i="16"/>
  <c r="S1870" i="16"/>
  <c r="R1871" i="16"/>
  <c r="S1871" i="16"/>
  <c r="R1872" i="16"/>
  <c r="S1872" i="16"/>
  <c r="R1873" i="16"/>
  <c r="S1873" i="16"/>
  <c r="R1874" i="16"/>
  <c r="S1874" i="16"/>
  <c r="R1875" i="16"/>
  <c r="S1875" i="16"/>
  <c r="R1876" i="16"/>
  <c r="S1876" i="16"/>
  <c r="R1877" i="16"/>
  <c r="S1877" i="16"/>
  <c r="R1878" i="16"/>
  <c r="S1878" i="16"/>
  <c r="R1879" i="16"/>
  <c r="S1879" i="16"/>
  <c r="R1880" i="16"/>
  <c r="S1880" i="16"/>
  <c r="R1881" i="16"/>
  <c r="S1881" i="16"/>
  <c r="R1882" i="16"/>
  <c r="S1882" i="16"/>
  <c r="R1883" i="16"/>
  <c r="S1883" i="16"/>
  <c r="R1884" i="16"/>
  <c r="S1884" i="16"/>
  <c r="R1885" i="16"/>
  <c r="S1885" i="16"/>
  <c r="R1886" i="16"/>
  <c r="S1886" i="16"/>
  <c r="R1887" i="16"/>
  <c r="S1887" i="16"/>
  <c r="R1888" i="16"/>
  <c r="S1888" i="16"/>
  <c r="R1889" i="16"/>
  <c r="S1889" i="16"/>
  <c r="R1890" i="16"/>
  <c r="S1890" i="16"/>
  <c r="R1891" i="16"/>
  <c r="S1891" i="16"/>
  <c r="R1892" i="16"/>
  <c r="S1892" i="16"/>
  <c r="R1893" i="16"/>
  <c r="S1893" i="16"/>
  <c r="R1894" i="16"/>
  <c r="S1894" i="16"/>
  <c r="R1895" i="16"/>
  <c r="S1895" i="16"/>
  <c r="R1896" i="16"/>
  <c r="S1896" i="16"/>
  <c r="R1897" i="16"/>
  <c r="S1897" i="16"/>
  <c r="R1898" i="16"/>
  <c r="S1898" i="16"/>
  <c r="R1899" i="16"/>
  <c r="S1899" i="16"/>
  <c r="R1900" i="16"/>
  <c r="S1900" i="16"/>
  <c r="R1901" i="16"/>
  <c r="S1901" i="16"/>
  <c r="R1902" i="16"/>
  <c r="S1902" i="16"/>
  <c r="R1903" i="16"/>
  <c r="S1903" i="16"/>
  <c r="R1904" i="16"/>
  <c r="S1904" i="16"/>
  <c r="R1905" i="16"/>
  <c r="S1905" i="16"/>
  <c r="R1906" i="16"/>
  <c r="S1906" i="16"/>
  <c r="R1907" i="16"/>
  <c r="S1907" i="16"/>
  <c r="R1908" i="16"/>
  <c r="S1908" i="16"/>
  <c r="R1909" i="16"/>
  <c r="S1909" i="16"/>
  <c r="R1910" i="16"/>
  <c r="S1910" i="16"/>
  <c r="R1911" i="16"/>
  <c r="S1911" i="16"/>
  <c r="R1912" i="16"/>
  <c r="S1912" i="16"/>
  <c r="R1913" i="16"/>
  <c r="S1913" i="16"/>
  <c r="R1914" i="16"/>
  <c r="S1914" i="16"/>
  <c r="R1915" i="16"/>
  <c r="S1915" i="16"/>
  <c r="R1916" i="16"/>
  <c r="S1916" i="16"/>
  <c r="R1917" i="16"/>
  <c r="S1917" i="16"/>
  <c r="R1918" i="16"/>
  <c r="S1918" i="16"/>
  <c r="R1919" i="16"/>
  <c r="S1919" i="16"/>
  <c r="R1920" i="16"/>
  <c r="S1920" i="16"/>
  <c r="R1921" i="16"/>
  <c r="S1921" i="16"/>
  <c r="R1922" i="16"/>
  <c r="S1922" i="16"/>
  <c r="R1923" i="16"/>
  <c r="S1923" i="16"/>
  <c r="R1924" i="16"/>
  <c r="S1924" i="16"/>
  <c r="R1925" i="16"/>
  <c r="S1925" i="16"/>
  <c r="R1926" i="16"/>
  <c r="S1926" i="16"/>
  <c r="R1927" i="16"/>
  <c r="S1927" i="16"/>
  <c r="R1928" i="16"/>
  <c r="S1928" i="16"/>
  <c r="R1929" i="16"/>
  <c r="S1929" i="16"/>
  <c r="R1930" i="16"/>
  <c r="S1930" i="16"/>
  <c r="R1931" i="16"/>
  <c r="S1931" i="16"/>
  <c r="R1932" i="16"/>
  <c r="S1932" i="16"/>
  <c r="R1933" i="16"/>
  <c r="S1933" i="16"/>
  <c r="R1934" i="16"/>
  <c r="S1934" i="16"/>
  <c r="R1935" i="16"/>
  <c r="S1935" i="16"/>
  <c r="R1936" i="16"/>
  <c r="S1936" i="16"/>
  <c r="R1937" i="16"/>
  <c r="S1937" i="16"/>
  <c r="R1938" i="16"/>
  <c r="S1938" i="16"/>
  <c r="R1939" i="16"/>
  <c r="S1939" i="16"/>
  <c r="R1940" i="16"/>
  <c r="S1940" i="16"/>
  <c r="R1941" i="16"/>
  <c r="S1941" i="16"/>
  <c r="R1942" i="16"/>
  <c r="S1942" i="16"/>
  <c r="R1943" i="16"/>
  <c r="S1943" i="16"/>
  <c r="R1944" i="16"/>
  <c r="S1944" i="16"/>
  <c r="R1945" i="16"/>
  <c r="S1945" i="16"/>
  <c r="R1946" i="16"/>
  <c r="S1946" i="16"/>
  <c r="R1947" i="16"/>
  <c r="S1947" i="16"/>
  <c r="R1948" i="16"/>
  <c r="S1948" i="16"/>
  <c r="R1949" i="16"/>
  <c r="S1949" i="16"/>
  <c r="R1950" i="16"/>
  <c r="S1950" i="16"/>
  <c r="R1951" i="16"/>
  <c r="S1951" i="16"/>
  <c r="R1952" i="16"/>
  <c r="S1952" i="16"/>
  <c r="R1953" i="16"/>
  <c r="S1953" i="16"/>
  <c r="R1954" i="16"/>
  <c r="S1954" i="16"/>
  <c r="R1955" i="16"/>
  <c r="S1955" i="16"/>
  <c r="R1956" i="16"/>
  <c r="S1956" i="16"/>
  <c r="R1957" i="16"/>
  <c r="S1957" i="16"/>
  <c r="R1958" i="16"/>
  <c r="S1958" i="16"/>
  <c r="R1959" i="16"/>
  <c r="S1959" i="16"/>
  <c r="R1960" i="16"/>
  <c r="S1960" i="16"/>
  <c r="R1961" i="16"/>
  <c r="S1961" i="16"/>
  <c r="R1962" i="16"/>
  <c r="S1962" i="16"/>
  <c r="R1964" i="16"/>
  <c r="S1964" i="16"/>
  <c r="R1965" i="16"/>
  <c r="S1965" i="16"/>
  <c r="R1966" i="16"/>
  <c r="S1966" i="16"/>
  <c r="R1967" i="16"/>
  <c r="S1967" i="16"/>
  <c r="R1968" i="16"/>
  <c r="S1968" i="16"/>
  <c r="R1969" i="16"/>
  <c r="S1969" i="16"/>
  <c r="R1970" i="16"/>
  <c r="S1970" i="16"/>
  <c r="R1971" i="16"/>
  <c r="S1971" i="16"/>
  <c r="R1977" i="16"/>
  <c r="S1977" i="16"/>
  <c r="R1978" i="16"/>
  <c r="S1978" i="16"/>
  <c r="R1979" i="16"/>
  <c r="S1979" i="16"/>
  <c r="R1980" i="16"/>
  <c r="S1980" i="16"/>
  <c r="R1981" i="16"/>
  <c r="S1981" i="16"/>
  <c r="R1982" i="16"/>
  <c r="S1982" i="16"/>
  <c r="R1983" i="16"/>
  <c r="S1983" i="16"/>
  <c r="R1984" i="16"/>
  <c r="S1984" i="16"/>
  <c r="R1985" i="16"/>
  <c r="S1985" i="16"/>
  <c r="R1986" i="16"/>
  <c r="S1986" i="16"/>
  <c r="R1987" i="16"/>
  <c r="S1987" i="16"/>
  <c r="R1988" i="16"/>
  <c r="S1988" i="16"/>
  <c r="R1989" i="16"/>
  <c r="S1989" i="16"/>
  <c r="R2002" i="16"/>
  <c r="S2002" i="16"/>
  <c r="R2003" i="16"/>
  <c r="S2003" i="16"/>
  <c r="R2004" i="16"/>
  <c r="S2004" i="16"/>
  <c r="R2005" i="16"/>
  <c r="S2005" i="16"/>
  <c r="R2006" i="16"/>
  <c r="S2006" i="16"/>
  <c r="R2007" i="16"/>
  <c r="S2007" i="16"/>
  <c r="R2008" i="16"/>
  <c r="S2008" i="16"/>
  <c r="R2009" i="16"/>
  <c r="S2009" i="16"/>
  <c r="R2010" i="16"/>
  <c r="S2010" i="16"/>
  <c r="R2011" i="16"/>
  <c r="S2011" i="16"/>
  <c r="R2012" i="16"/>
  <c r="S2012" i="16"/>
  <c r="R2013" i="16"/>
  <c r="S2013" i="16"/>
  <c r="R2014" i="16"/>
  <c r="S2014" i="16"/>
  <c r="R2015" i="16"/>
  <c r="S2015" i="16"/>
  <c r="R2016" i="16"/>
  <c r="S2016" i="16"/>
  <c r="R2018" i="16"/>
  <c r="S2018" i="16"/>
  <c r="R2019" i="16"/>
  <c r="S2019" i="16"/>
  <c r="R2020" i="16"/>
  <c r="S2020" i="16"/>
  <c r="R2021" i="16"/>
  <c r="S2021" i="16"/>
  <c r="P2022" i="16"/>
  <c r="Q2022" i="16"/>
  <c r="R2022" i="16"/>
  <c r="S2022" i="16"/>
  <c r="P2023" i="16"/>
  <c r="Q2023" i="16"/>
  <c r="R2023" i="16"/>
  <c r="S2023" i="16"/>
  <c r="P2024" i="16"/>
  <c r="Q2024" i="16"/>
  <c r="R2024" i="16"/>
  <c r="S2024" i="16"/>
  <c r="P2025" i="16"/>
  <c r="Q2025" i="16"/>
  <c r="R2025" i="16"/>
  <c r="S2025" i="16"/>
  <c r="P2026" i="16"/>
  <c r="Q2026" i="16"/>
  <c r="R2026" i="16"/>
  <c r="S2026" i="16"/>
  <c r="P2027" i="16"/>
  <c r="Q2027" i="16"/>
  <c r="R2027" i="16"/>
  <c r="S2027" i="16"/>
  <c r="P2028" i="16"/>
  <c r="Q2028" i="16"/>
  <c r="R2028" i="16"/>
  <c r="S2028" i="16"/>
  <c r="P2029" i="16"/>
  <c r="Q2029" i="16"/>
  <c r="R2029" i="16"/>
  <c r="S2029" i="16"/>
  <c r="P2030" i="16"/>
  <c r="Q2030" i="16"/>
  <c r="R2030" i="16"/>
  <c r="S2030" i="16"/>
  <c r="P2031" i="16"/>
  <c r="Q2031" i="16"/>
  <c r="R2031" i="16"/>
  <c r="S2031" i="16"/>
  <c r="P2032" i="16"/>
  <c r="Q2032" i="16"/>
  <c r="R2032" i="16"/>
  <c r="S2032" i="16"/>
  <c r="P2033" i="16"/>
  <c r="Q2033" i="16"/>
  <c r="R2033" i="16"/>
  <c r="S2033" i="16"/>
  <c r="P2034" i="16"/>
  <c r="Q2034" i="16"/>
  <c r="R2034" i="16"/>
  <c r="S2034" i="16"/>
  <c r="P2035" i="16"/>
  <c r="Q2035" i="16"/>
  <c r="R2035" i="16"/>
  <c r="S2035" i="16"/>
  <c r="P2036" i="16"/>
  <c r="Q2036" i="16"/>
  <c r="R2036" i="16"/>
  <c r="S2036" i="16"/>
  <c r="P2037" i="16"/>
  <c r="Q2037" i="16"/>
  <c r="R2037" i="16"/>
  <c r="S2037" i="16"/>
  <c r="P2038" i="16"/>
  <c r="Q2038" i="16"/>
  <c r="R2038" i="16"/>
  <c r="S2038" i="16"/>
  <c r="P2039" i="16"/>
  <c r="Q2039" i="16"/>
  <c r="R2039" i="16"/>
  <c r="S2039" i="16"/>
  <c r="P2040" i="16"/>
  <c r="Q2040" i="16"/>
  <c r="R2040" i="16"/>
  <c r="S2040" i="16"/>
  <c r="P2041" i="16"/>
  <c r="Q2041" i="16"/>
  <c r="R2041" i="16"/>
  <c r="S2041" i="16"/>
  <c r="P2042" i="16"/>
  <c r="Q2042" i="16"/>
  <c r="R2042" i="16"/>
  <c r="S2042" i="16"/>
  <c r="P2043" i="16"/>
  <c r="Q2043" i="16"/>
  <c r="R2043" i="16"/>
  <c r="S2043" i="16"/>
  <c r="P2044" i="16"/>
  <c r="Q2044" i="16"/>
  <c r="R2044" i="16"/>
  <c r="S2044" i="16"/>
  <c r="P2045" i="16"/>
  <c r="Q2045" i="16"/>
  <c r="R2045" i="16"/>
  <c r="S2045" i="16"/>
  <c r="P2046" i="16"/>
  <c r="Q2046" i="16"/>
  <c r="R2046" i="16"/>
  <c r="S2046" i="16"/>
  <c r="P2047" i="16"/>
  <c r="Q2047" i="16"/>
  <c r="R2047" i="16"/>
  <c r="S2047" i="16"/>
  <c r="P2048" i="16"/>
  <c r="Q2048" i="16"/>
  <c r="R2048" i="16"/>
  <c r="S2048" i="16"/>
  <c r="P2049" i="16"/>
  <c r="Q2049" i="16"/>
  <c r="R2049" i="16"/>
  <c r="S2049" i="16"/>
  <c r="P2050" i="16"/>
  <c r="Q2050" i="16"/>
  <c r="R2050" i="16"/>
  <c r="S2050" i="16"/>
  <c r="P2051" i="16"/>
  <c r="Q2051" i="16"/>
  <c r="R2051" i="16"/>
  <c r="S2051" i="16"/>
  <c r="P2052" i="16"/>
  <c r="Q2052" i="16"/>
  <c r="R2052" i="16"/>
  <c r="S2052" i="16"/>
  <c r="P2053" i="16"/>
  <c r="Q2053" i="16"/>
  <c r="R2053" i="16"/>
  <c r="S2053" i="16"/>
  <c r="P2054" i="16"/>
  <c r="Q2054" i="16"/>
  <c r="R2054" i="16"/>
  <c r="S2054" i="16"/>
  <c r="P2055" i="16"/>
  <c r="Q2055" i="16"/>
  <c r="R2055" i="16"/>
  <c r="S2055" i="16"/>
  <c r="P2056" i="16"/>
  <c r="Q2056" i="16"/>
  <c r="R2056" i="16"/>
  <c r="S2056" i="16"/>
  <c r="P2057" i="16"/>
  <c r="Q2057" i="16"/>
  <c r="R2057" i="16"/>
  <c r="S2057" i="16"/>
  <c r="P2058" i="16"/>
  <c r="Q2058" i="16"/>
  <c r="R2058" i="16"/>
  <c r="S2058" i="16"/>
  <c r="P2059" i="16"/>
  <c r="Q2059" i="16"/>
  <c r="R2059" i="16"/>
  <c r="S2059" i="16"/>
  <c r="P2060" i="16"/>
  <c r="Q2060" i="16"/>
  <c r="R2060" i="16"/>
  <c r="S2060" i="16"/>
  <c r="P2061" i="16"/>
  <c r="Q2061" i="16"/>
  <c r="R2061" i="16"/>
  <c r="S2061" i="16"/>
  <c r="P2062" i="16"/>
  <c r="Q2062" i="16"/>
  <c r="R2062" i="16"/>
  <c r="S2062" i="16"/>
  <c r="P2063" i="16"/>
  <c r="Q2063" i="16"/>
  <c r="R2063" i="16"/>
  <c r="S2063" i="16"/>
  <c r="P2064" i="16"/>
  <c r="Q2064" i="16"/>
  <c r="R2064" i="16"/>
  <c r="S2064" i="16"/>
  <c r="P2065" i="16"/>
  <c r="Q2065" i="16"/>
  <c r="R2065" i="16"/>
  <c r="S2065" i="16"/>
  <c r="P2066" i="16"/>
  <c r="Q2066" i="16"/>
  <c r="R2066" i="16"/>
  <c r="S2066" i="16"/>
  <c r="P2067" i="16"/>
  <c r="Q2067" i="16"/>
  <c r="R2067" i="16"/>
  <c r="S2067" i="16"/>
  <c r="P2068" i="16"/>
  <c r="Q2068" i="16"/>
  <c r="R2068" i="16"/>
  <c r="S2068" i="16"/>
  <c r="P2069" i="16"/>
  <c r="Q2069" i="16"/>
  <c r="R2069" i="16"/>
  <c r="S2069" i="16"/>
  <c r="P2070" i="16"/>
  <c r="Q2070" i="16"/>
  <c r="R2070" i="16"/>
  <c r="S2070" i="16"/>
  <c r="P2071" i="16"/>
  <c r="Q2071" i="16"/>
  <c r="R2071" i="16"/>
  <c r="S2071" i="16"/>
  <c r="P2072" i="16"/>
  <c r="Q2072" i="16"/>
  <c r="R2072" i="16"/>
  <c r="S2072" i="16"/>
  <c r="P2073" i="16"/>
  <c r="Q2073" i="16"/>
  <c r="R2073" i="16"/>
  <c r="S2073" i="16"/>
  <c r="P2074" i="16"/>
  <c r="Q2074" i="16"/>
  <c r="R2074" i="16"/>
  <c r="S2074" i="16"/>
  <c r="P2075" i="16"/>
  <c r="Q2075" i="16"/>
  <c r="R2075" i="16"/>
  <c r="S2075" i="16"/>
  <c r="P2076" i="16"/>
  <c r="Q2076" i="16"/>
  <c r="R2076" i="16"/>
  <c r="S2076" i="16"/>
  <c r="P2077" i="16"/>
  <c r="Q2077" i="16"/>
  <c r="R2077" i="16"/>
  <c r="S2077" i="16"/>
  <c r="P2078" i="16"/>
  <c r="Q2078" i="16"/>
  <c r="R2078" i="16"/>
  <c r="S2078" i="16"/>
  <c r="P2079" i="16"/>
  <c r="Q2079" i="16"/>
  <c r="R2079" i="16"/>
  <c r="S2079" i="16"/>
  <c r="P2080" i="16"/>
  <c r="Q2080" i="16"/>
  <c r="R2080" i="16"/>
  <c r="S2080" i="16"/>
  <c r="P2081" i="16"/>
  <c r="Q2081" i="16"/>
  <c r="R2081" i="16"/>
  <c r="S2081" i="16"/>
  <c r="P2082" i="16"/>
  <c r="Q2082" i="16"/>
  <c r="R2082" i="16"/>
  <c r="S2082" i="16"/>
  <c r="P2083" i="16"/>
  <c r="Q2083" i="16"/>
  <c r="R2083" i="16"/>
  <c r="S2083" i="16"/>
  <c r="P2084" i="16"/>
  <c r="Q2084" i="16"/>
  <c r="R2084" i="16"/>
  <c r="S2084" i="16"/>
  <c r="P2085" i="16"/>
  <c r="Q2085" i="16"/>
  <c r="R2085" i="16"/>
  <c r="S2085" i="16"/>
  <c r="P2086" i="16"/>
  <c r="Q2086" i="16"/>
  <c r="R2086" i="16"/>
  <c r="S2086" i="16"/>
  <c r="P2087" i="16"/>
  <c r="Q2087" i="16"/>
  <c r="R2087" i="16"/>
  <c r="S2087" i="16"/>
  <c r="P2088" i="16"/>
  <c r="Q2088" i="16"/>
  <c r="R2088" i="16"/>
  <c r="S2088" i="16"/>
  <c r="P2089" i="16"/>
  <c r="Q2089" i="16"/>
  <c r="R2089" i="16"/>
  <c r="S2089" i="16"/>
  <c r="P2090" i="16"/>
  <c r="Q2090" i="16"/>
  <c r="R2090" i="16"/>
  <c r="S2090" i="16"/>
  <c r="P2091" i="16"/>
  <c r="Q2091" i="16"/>
  <c r="R2091" i="16"/>
  <c r="S2091" i="16"/>
  <c r="P2092" i="16"/>
  <c r="Q2092" i="16"/>
  <c r="R2092" i="16"/>
  <c r="S2092" i="16"/>
  <c r="P2093" i="16"/>
  <c r="Q2093" i="16"/>
  <c r="R2093" i="16"/>
  <c r="S2093" i="16"/>
  <c r="P2094" i="16"/>
  <c r="Q2094" i="16"/>
  <c r="R2094" i="16"/>
  <c r="S2094" i="16"/>
  <c r="P2095" i="16"/>
  <c r="Q2095" i="16"/>
  <c r="R2095" i="16"/>
  <c r="S2095" i="16"/>
  <c r="P2096" i="16"/>
  <c r="Q2096" i="16"/>
  <c r="R2096" i="16"/>
  <c r="S2096" i="16"/>
  <c r="P2097" i="16"/>
  <c r="Q2097" i="16"/>
  <c r="R2097" i="16"/>
  <c r="S2097" i="16"/>
  <c r="P2098" i="16"/>
  <c r="Q2098" i="16"/>
  <c r="R2098" i="16"/>
  <c r="S2098" i="16"/>
  <c r="P2099" i="16"/>
  <c r="Q2099" i="16"/>
  <c r="R2099" i="16"/>
  <c r="S2099" i="16"/>
  <c r="P2100" i="16"/>
  <c r="Q2100" i="16"/>
  <c r="R2100" i="16"/>
  <c r="S2100" i="16"/>
  <c r="P2101" i="16"/>
  <c r="Q2101" i="16"/>
  <c r="R2101" i="16"/>
  <c r="S2101" i="16"/>
  <c r="P2102" i="16"/>
  <c r="Q2102" i="16"/>
  <c r="R2102" i="16"/>
  <c r="S2102" i="16"/>
  <c r="P2103" i="16"/>
  <c r="Q2103" i="16"/>
  <c r="R2103" i="16"/>
  <c r="S2103" i="16"/>
  <c r="P2104" i="16"/>
  <c r="Q2104" i="16"/>
  <c r="R2104" i="16"/>
  <c r="S2104" i="16"/>
  <c r="P2105" i="16"/>
  <c r="Q2105" i="16"/>
  <c r="R2105" i="16"/>
  <c r="S2105" i="16"/>
  <c r="P2106" i="16"/>
  <c r="Q2106" i="16"/>
  <c r="R2106" i="16"/>
  <c r="S2106" i="16"/>
  <c r="P2107" i="16"/>
  <c r="Q2107" i="16"/>
  <c r="R2107" i="16"/>
  <c r="S2107" i="16"/>
  <c r="P2108" i="16"/>
  <c r="Q2108" i="16"/>
  <c r="R2108" i="16"/>
  <c r="S2108" i="16"/>
  <c r="P2109" i="16"/>
  <c r="Q2109" i="16"/>
  <c r="R2109" i="16"/>
  <c r="S2109" i="16"/>
  <c r="P2110" i="16"/>
  <c r="Q2110" i="16"/>
  <c r="R2110" i="16"/>
  <c r="S2110" i="16"/>
  <c r="P2111" i="16"/>
  <c r="Q2111" i="16"/>
  <c r="R2111" i="16"/>
  <c r="S2111" i="16"/>
  <c r="P2112" i="16"/>
  <c r="Q2112" i="16"/>
  <c r="R2112" i="16"/>
  <c r="S2112" i="16"/>
  <c r="P2113" i="16"/>
  <c r="Q2113" i="16"/>
  <c r="R2113" i="16"/>
  <c r="S2113" i="16"/>
  <c r="P2114" i="16"/>
  <c r="Q2114" i="16"/>
  <c r="R2114" i="16"/>
  <c r="S2114" i="16"/>
  <c r="P2115" i="16"/>
  <c r="Q2115" i="16"/>
  <c r="R2115" i="16"/>
  <c r="S2115" i="16"/>
  <c r="P2116" i="16"/>
  <c r="Q2116" i="16"/>
  <c r="R2116" i="16"/>
  <c r="S2116" i="16"/>
  <c r="P2117" i="16"/>
  <c r="Q2117" i="16"/>
  <c r="R2117" i="16"/>
  <c r="S2117" i="16"/>
  <c r="P2118" i="16"/>
  <c r="Q2118" i="16"/>
  <c r="R2118" i="16"/>
  <c r="S2118" i="16"/>
  <c r="P2119" i="16"/>
  <c r="Q2119" i="16"/>
  <c r="R2119" i="16"/>
  <c r="S2119" i="16"/>
  <c r="P2120" i="16"/>
  <c r="Q2120" i="16"/>
  <c r="R2120" i="16"/>
  <c r="S2120" i="16"/>
  <c r="P2121" i="16"/>
  <c r="Q2121" i="16"/>
  <c r="R2121" i="16"/>
  <c r="S2121" i="16"/>
  <c r="P2122" i="16"/>
  <c r="Q2122" i="16"/>
  <c r="R2122" i="16"/>
  <c r="S2122" i="16"/>
  <c r="P2123" i="16"/>
  <c r="Q2123" i="16"/>
  <c r="R2123" i="16"/>
  <c r="S2123" i="16"/>
  <c r="P2124" i="16"/>
  <c r="Q2124" i="16"/>
  <c r="R2124" i="16"/>
  <c r="S2124" i="16"/>
  <c r="P2125" i="16"/>
  <c r="Q2125" i="16"/>
  <c r="R2125" i="16"/>
  <c r="S2125" i="16"/>
  <c r="P2126" i="16"/>
  <c r="Q2126" i="16"/>
  <c r="R2126" i="16"/>
  <c r="S2126" i="16"/>
  <c r="P2127" i="16"/>
  <c r="Q2127" i="16"/>
  <c r="R2127" i="16"/>
  <c r="S2127" i="16"/>
  <c r="P2128" i="16"/>
  <c r="Q2128" i="16"/>
  <c r="R2128" i="16"/>
  <c r="S2128" i="16"/>
  <c r="P2129" i="16"/>
  <c r="Q2129" i="16"/>
  <c r="R2129" i="16"/>
  <c r="S2129" i="16"/>
  <c r="P2130" i="16"/>
  <c r="Q2130" i="16"/>
  <c r="R2130" i="16"/>
  <c r="S2130" i="16"/>
  <c r="P2131" i="16"/>
  <c r="Q2131" i="16"/>
  <c r="R2131" i="16"/>
  <c r="S2131" i="16"/>
  <c r="P2132" i="16"/>
  <c r="Q2132" i="16"/>
  <c r="R2132" i="16"/>
  <c r="S2132" i="16"/>
  <c r="P2133" i="16"/>
  <c r="Q2133" i="16"/>
  <c r="R2133" i="16"/>
  <c r="S2133" i="16"/>
  <c r="P2134" i="16"/>
  <c r="Q2134" i="16"/>
  <c r="R2134" i="16"/>
  <c r="S2134" i="16"/>
  <c r="P2135" i="16"/>
  <c r="Q2135" i="16"/>
  <c r="R2135" i="16"/>
  <c r="S2135" i="16"/>
  <c r="P2136" i="16"/>
  <c r="Q2136" i="16"/>
  <c r="R2136" i="16"/>
  <c r="S2136" i="16"/>
  <c r="P2137" i="16"/>
  <c r="Q2137" i="16"/>
  <c r="R2137" i="16"/>
  <c r="S2137" i="16"/>
  <c r="P2138" i="16"/>
  <c r="Q2138" i="16"/>
  <c r="R2138" i="16"/>
  <c r="S2138" i="16"/>
  <c r="P2139" i="16"/>
  <c r="Q2139" i="16"/>
  <c r="R2139" i="16"/>
  <c r="S2139" i="16"/>
  <c r="P2140" i="16"/>
  <c r="Q2140" i="16"/>
  <c r="R2140" i="16"/>
  <c r="S2140" i="16"/>
  <c r="P2141" i="16"/>
  <c r="Q2141" i="16"/>
  <c r="R2141" i="16"/>
  <c r="S2141" i="16"/>
  <c r="P2142" i="16"/>
  <c r="Q2142" i="16"/>
  <c r="R2142" i="16"/>
  <c r="S2142" i="16"/>
  <c r="P2143" i="16"/>
  <c r="Q2143" i="16"/>
  <c r="R2143" i="16"/>
  <c r="S2143" i="16"/>
  <c r="P2144" i="16"/>
  <c r="Q2144" i="16"/>
  <c r="R2144" i="16"/>
  <c r="S2144" i="16"/>
  <c r="P2145" i="16"/>
  <c r="Q2145" i="16"/>
  <c r="R2145" i="16"/>
  <c r="S2145" i="16"/>
  <c r="P2146" i="16"/>
  <c r="Q2146" i="16"/>
  <c r="R2146" i="16"/>
  <c r="S2146" i="16"/>
  <c r="P2147" i="16"/>
  <c r="Q2147" i="16"/>
  <c r="R2147" i="16"/>
  <c r="S2147" i="16"/>
  <c r="P2148" i="16"/>
  <c r="Q2148" i="16"/>
  <c r="R2148" i="16"/>
  <c r="S2148" i="16"/>
  <c r="P2149" i="16"/>
  <c r="Q2149" i="16"/>
  <c r="R2149" i="16"/>
  <c r="S2149" i="16"/>
  <c r="P2150" i="16"/>
  <c r="Q2150" i="16"/>
  <c r="R2150" i="16"/>
  <c r="S2150" i="16"/>
  <c r="P2151" i="16"/>
  <c r="Q2151" i="16"/>
  <c r="R2151" i="16"/>
  <c r="S2151" i="16"/>
  <c r="P2152" i="16"/>
  <c r="Q2152" i="16"/>
  <c r="R2152" i="16"/>
  <c r="S2152" i="16"/>
  <c r="P2153" i="16"/>
  <c r="Q2153" i="16"/>
  <c r="R2153" i="16"/>
  <c r="S2153" i="16"/>
  <c r="P2154" i="16"/>
  <c r="Q2154" i="16"/>
  <c r="R2154" i="16"/>
  <c r="S2154" i="16"/>
  <c r="P2155" i="16"/>
  <c r="Q2155" i="16"/>
  <c r="R2155" i="16"/>
  <c r="S2155" i="16"/>
  <c r="P2156" i="16"/>
  <c r="Q2156" i="16"/>
  <c r="R2156" i="16"/>
  <c r="S2156" i="16"/>
  <c r="P2157" i="16"/>
  <c r="Q2157" i="16"/>
  <c r="R2157" i="16"/>
  <c r="S2157" i="16"/>
  <c r="P2158" i="16"/>
  <c r="Q2158" i="16"/>
  <c r="R2158" i="16"/>
  <c r="S2158" i="16"/>
  <c r="P2159" i="16"/>
  <c r="Q2159" i="16"/>
  <c r="R2159" i="16"/>
  <c r="S2159" i="16"/>
  <c r="P2160" i="16"/>
  <c r="Q2160" i="16"/>
  <c r="R2160" i="16"/>
  <c r="S2160" i="16"/>
  <c r="P2161" i="16"/>
  <c r="Q2161" i="16"/>
  <c r="R2161" i="16"/>
  <c r="S2161" i="16"/>
  <c r="P2162" i="16"/>
  <c r="Q2162" i="16"/>
  <c r="R2162" i="16"/>
  <c r="S2162" i="16"/>
  <c r="P2163" i="16"/>
  <c r="Q2163" i="16"/>
  <c r="R2163" i="16"/>
  <c r="S2163" i="16"/>
  <c r="P2164" i="16"/>
  <c r="Q2164" i="16"/>
  <c r="R2164" i="16"/>
  <c r="S2164" i="16"/>
  <c r="P2165" i="16"/>
  <c r="Q2165" i="16"/>
  <c r="R2165" i="16"/>
  <c r="S2165" i="16"/>
  <c r="P2166" i="16"/>
  <c r="Q2166" i="16"/>
  <c r="R2166" i="16"/>
  <c r="S2166" i="16"/>
  <c r="P2167" i="16"/>
  <c r="Q2167" i="16"/>
  <c r="R2167" i="16"/>
  <c r="S2167" i="16"/>
  <c r="P2168" i="16"/>
  <c r="Q2168" i="16"/>
  <c r="R2168" i="16"/>
  <c r="S2168" i="16"/>
  <c r="P2169" i="16"/>
  <c r="Q2169" i="16"/>
  <c r="R2169" i="16"/>
  <c r="S2169" i="16"/>
  <c r="P2170" i="16"/>
  <c r="Q2170" i="16"/>
  <c r="R2170" i="16"/>
  <c r="S2170" i="16"/>
  <c r="P2171" i="16"/>
  <c r="Q2171" i="16"/>
  <c r="R2171" i="16"/>
  <c r="S2171" i="16"/>
  <c r="P2172" i="16"/>
  <c r="Q2172" i="16"/>
  <c r="R2172" i="16"/>
  <c r="S2172" i="16"/>
  <c r="P2173" i="16"/>
  <c r="Q2173" i="16"/>
  <c r="R2173" i="16"/>
  <c r="S2173" i="16"/>
  <c r="P2174" i="16"/>
  <c r="Q2174" i="16"/>
  <c r="R2174" i="16"/>
  <c r="S2174" i="16"/>
  <c r="P2175" i="16"/>
  <c r="Q2175" i="16"/>
  <c r="R2175" i="16"/>
  <c r="S2175" i="16"/>
  <c r="P2176" i="16"/>
  <c r="Q2176" i="16"/>
  <c r="R2176" i="16"/>
  <c r="S2176" i="16"/>
  <c r="P2177" i="16"/>
  <c r="Q2177" i="16"/>
  <c r="R2177" i="16"/>
  <c r="S2177" i="16"/>
  <c r="P2178" i="16"/>
  <c r="Q2178" i="16"/>
  <c r="R2178" i="16"/>
  <c r="S2178" i="16"/>
  <c r="P2179" i="16"/>
  <c r="Q2179" i="16"/>
  <c r="R2179" i="16"/>
  <c r="S2179" i="16"/>
  <c r="P2180" i="16"/>
  <c r="Q2180" i="16"/>
  <c r="R2180" i="16"/>
  <c r="S2180" i="16"/>
  <c r="P2181" i="16"/>
  <c r="Q2181" i="16"/>
  <c r="R2181" i="16"/>
  <c r="S2181" i="16"/>
  <c r="P2182" i="16"/>
  <c r="Q2182" i="16"/>
  <c r="R2182" i="16"/>
  <c r="S2182" i="16"/>
  <c r="P2183" i="16"/>
  <c r="Q2183" i="16"/>
  <c r="R2183" i="16"/>
  <c r="S2183" i="16"/>
  <c r="P2184" i="16"/>
  <c r="Q2184" i="16"/>
  <c r="R2184" i="16"/>
  <c r="S2184" i="16"/>
  <c r="P2185" i="16"/>
  <c r="Q2185" i="16"/>
  <c r="R2185" i="16"/>
  <c r="S2185" i="16"/>
  <c r="P2186" i="16"/>
  <c r="Q2186" i="16"/>
  <c r="R2186" i="16"/>
  <c r="S2186" i="16"/>
  <c r="P2187" i="16"/>
  <c r="Q2187" i="16"/>
  <c r="R2187" i="16"/>
  <c r="S2187" i="16"/>
  <c r="P2188" i="16"/>
  <c r="Q2188" i="16"/>
  <c r="R2188" i="16"/>
  <c r="S2188" i="16"/>
  <c r="P2189" i="16"/>
  <c r="Q2189" i="16"/>
  <c r="R2189" i="16"/>
  <c r="S2189" i="16"/>
  <c r="P2190" i="16"/>
  <c r="Q2190" i="16"/>
  <c r="R2190" i="16"/>
  <c r="S2190" i="16"/>
  <c r="P2191" i="16"/>
  <c r="Q2191" i="16"/>
  <c r="R2191" i="16"/>
  <c r="S2191" i="16"/>
  <c r="P2192" i="16"/>
  <c r="Q2192" i="16"/>
  <c r="R2192" i="16"/>
  <c r="S2192" i="16"/>
  <c r="P2193" i="16"/>
  <c r="Q2193" i="16"/>
  <c r="R2193" i="16"/>
  <c r="S2193" i="16"/>
  <c r="P2194" i="16"/>
  <c r="Q2194" i="16"/>
  <c r="R2194" i="16"/>
  <c r="S2194" i="16"/>
  <c r="P2195" i="16"/>
  <c r="Q2195" i="16"/>
  <c r="R2195" i="16"/>
  <c r="S2195" i="16"/>
  <c r="P2196" i="16"/>
  <c r="Q2196" i="16"/>
  <c r="R2196" i="16"/>
  <c r="S2196" i="16"/>
  <c r="P2197" i="16"/>
  <c r="Q2197" i="16"/>
  <c r="R2197" i="16"/>
  <c r="S2197" i="16"/>
  <c r="P2198" i="16"/>
  <c r="Q2198" i="16"/>
  <c r="R2198" i="16"/>
  <c r="S2198" i="16"/>
  <c r="P2199" i="16"/>
  <c r="Q2199" i="16"/>
  <c r="R2199" i="16"/>
  <c r="S2199" i="16"/>
  <c r="P2200" i="16"/>
  <c r="Q2200" i="16"/>
  <c r="R2200" i="16"/>
  <c r="S2200" i="16"/>
  <c r="P2201" i="16"/>
  <c r="Q2201" i="16"/>
  <c r="R2201" i="16"/>
  <c r="S2201" i="16"/>
  <c r="P2202" i="16"/>
  <c r="Q2202" i="16"/>
  <c r="R2202" i="16"/>
  <c r="S2202" i="16"/>
  <c r="P2203" i="16"/>
  <c r="Q2203" i="16"/>
  <c r="R2203" i="16"/>
  <c r="S2203" i="16"/>
  <c r="P2204" i="16"/>
  <c r="Q2204" i="16"/>
  <c r="R2204" i="16"/>
  <c r="S2204" i="16"/>
  <c r="P2205" i="16"/>
  <c r="Q2205" i="16"/>
  <c r="R2205" i="16"/>
  <c r="S2205" i="16"/>
  <c r="P2206" i="16"/>
  <c r="Q2206" i="16"/>
  <c r="R2206" i="16"/>
  <c r="S2206" i="16"/>
  <c r="P2207" i="16"/>
  <c r="Q2207" i="16"/>
  <c r="R2207" i="16"/>
  <c r="S2207" i="16"/>
  <c r="P2208" i="16"/>
  <c r="Q2208" i="16"/>
  <c r="R2208" i="16"/>
  <c r="S2208" i="16"/>
  <c r="P2209" i="16"/>
  <c r="Q2209" i="16"/>
  <c r="R2209" i="16"/>
  <c r="S2209" i="16"/>
  <c r="P2210" i="16"/>
  <c r="Q2210" i="16"/>
  <c r="R2210" i="16"/>
  <c r="S2210" i="16"/>
  <c r="P2211" i="16"/>
  <c r="Q2211" i="16"/>
  <c r="R2211" i="16"/>
  <c r="S2211" i="16"/>
  <c r="P2212" i="16"/>
  <c r="Q2212" i="16"/>
  <c r="R2212" i="16"/>
  <c r="S2212" i="16"/>
  <c r="P2213" i="16"/>
  <c r="Q2213" i="16"/>
  <c r="R2213" i="16"/>
  <c r="S2213" i="16"/>
  <c r="P2214" i="16"/>
  <c r="Q2214" i="16"/>
  <c r="R2214" i="16"/>
  <c r="S2214" i="16"/>
  <c r="P2215" i="16"/>
  <c r="Q2215" i="16"/>
  <c r="R2215" i="16"/>
  <c r="S2215" i="16"/>
  <c r="P2216" i="16"/>
  <c r="Q2216" i="16"/>
  <c r="R2216" i="16"/>
  <c r="S2216" i="16"/>
  <c r="P2217" i="16"/>
  <c r="Q2217" i="16"/>
  <c r="R2217" i="16"/>
  <c r="S2217" i="16"/>
  <c r="P2218" i="16"/>
  <c r="Q2218" i="16"/>
  <c r="R2218" i="16"/>
  <c r="S2218" i="16"/>
  <c r="P2219" i="16"/>
  <c r="Q2219" i="16"/>
  <c r="R2219" i="16"/>
  <c r="S2219" i="16"/>
  <c r="P2220" i="16"/>
  <c r="Q2220" i="16"/>
  <c r="R2220" i="16"/>
  <c r="S2220" i="16"/>
  <c r="P2221" i="16"/>
  <c r="Q2221" i="16"/>
  <c r="R2221" i="16"/>
  <c r="S2221" i="16"/>
  <c r="P2222" i="16"/>
  <c r="Q2222" i="16"/>
  <c r="R2222" i="16"/>
  <c r="S2222" i="16"/>
  <c r="P2223" i="16"/>
  <c r="Q2223" i="16"/>
  <c r="R2223" i="16"/>
  <c r="S2223" i="16"/>
  <c r="P2224" i="16"/>
  <c r="Q2224" i="16"/>
  <c r="R2224" i="16"/>
  <c r="S2224" i="16"/>
  <c r="P2225" i="16"/>
  <c r="Q2225" i="16"/>
  <c r="R2225" i="16"/>
  <c r="S2225" i="16"/>
  <c r="P2226" i="16"/>
  <c r="Q2226" i="16"/>
  <c r="R2226" i="16"/>
  <c r="S2226" i="16"/>
  <c r="P2227" i="16"/>
  <c r="Q2227" i="16"/>
  <c r="R2227" i="16"/>
  <c r="S2227" i="16"/>
  <c r="P2228" i="16"/>
  <c r="Q2228" i="16"/>
  <c r="R2228" i="16"/>
  <c r="S2228" i="16"/>
  <c r="P2229" i="16"/>
  <c r="Q2229" i="16"/>
  <c r="R2229" i="16"/>
  <c r="S2229" i="16"/>
  <c r="P2230" i="16"/>
  <c r="Q2230" i="16"/>
  <c r="R2230" i="16"/>
  <c r="S2230" i="16"/>
  <c r="P2231" i="16"/>
  <c r="Q2231" i="16"/>
  <c r="R2231" i="16"/>
  <c r="S2231" i="16"/>
  <c r="P2232" i="16"/>
  <c r="Q2232" i="16"/>
  <c r="R2232" i="16"/>
  <c r="S2232" i="16"/>
  <c r="P2233" i="16"/>
  <c r="Q2233" i="16"/>
  <c r="R2233" i="16"/>
  <c r="S2233" i="16"/>
  <c r="P2234" i="16"/>
  <c r="Q2234" i="16"/>
  <c r="R2234" i="16"/>
  <c r="S2234" i="16"/>
  <c r="P2235" i="16"/>
  <c r="Q2235" i="16"/>
  <c r="R2235" i="16"/>
  <c r="S2235" i="16"/>
  <c r="P2236" i="16"/>
  <c r="Q2236" i="16"/>
  <c r="R2236" i="16"/>
  <c r="S2236" i="16"/>
  <c r="P2237" i="16"/>
  <c r="Q2237" i="16"/>
  <c r="R2237" i="16"/>
  <c r="S2237" i="16"/>
  <c r="P2238" i="16"/>
  <c r="Q2238" i="16"/>
  <c r="R2238" i="16"/>
  <c r="S2238" i="16"/>
  <c r="P2239" i="16"/>
  <c r="Q2239" i="16"/>
  <c r="R2239" i="16"/>
  <c r="S2239" i="16"/>
  <c r="P2240" i="16"/>
  <c r="Q2240" i="16"/>
  <c r="R2240" i="16"/>
  <c r="S2240" i="16"/>
  <c r="P2241" i="16"/>
  <c r="Q2241" i="16"/>
  <c r="R2241" i="16"/>
  <c r="S2241" i="16"/>
  <c r="P2242" i="16"/>
  <c r="Q2242" i="16"/>
  <c r="R2242" i="16"/>
  <c r="S2242" i="16"/>
  <c r="P2243" i="16"/>
  <c r="Q2243" i="16"/>
  <c r="R2243" i="16"/>
  <c r="S2243" i="16"/>
  <c r="P2244" i="16"/>
  <c r="Q2244" i="16"/>
  <c r="R2244" i="16"/>
  <c r="S2244" i="16"/>
  <c r="P2245" i="16"/>
  <c r="Q2245" i="16"/>
  <c r="R2245" i="16"/>
  <c r="S2245" i="16"/>
  <c r="P2246" i="16"/>
  <c r="Q2246" i="16"/>
  <c r="R2246" i="16"/>
  <c r="S2246" i="16"/>
  <c r="P2247" i="16"/>
  <c r="Q2247" i="16"/>
  <c r="R2247" i="16"/>
  <c r="S2247" i="16"/>
  <c r="P2248" i="16"/>
  <c r="Q2248" i="16"/>
  <c r="R2248" i="16"/>
  <c r="S2248" i="16"/>
  <c r="P2249" i="16"/>
  <c r="Q2249" i="16"/>
  <c r="R2249" i="16"/>
  <c r="S2249" i="16"/>
  <c r="P2250" i="16"/>
  <c r="Q2250" i="16"/>
  <c r="R2250" i="16"/>
  <c r="S2250" i="16"/>
  <c r="P2251" i="16"/>
  <c r="Q2251" i="16"/>
  <c r="R2251" i="16"/>
  <c r="S2251" i="16"/>
  <c r="P2252" i="16"/>
  <c r="Q2252" i="16"/>
  <c r="R2252" i="16"/>
  <c r="S2252" i="16"/>
  <c r="P2253" i="16"/>
  <c r="Q2253" i="16"/>
  <c r="R2253" i="16"/>
  <c r="S2253" i="16"/>
  <c r="P2254" i="16"/>
  <c r="Q2254" i="16"/>
  <c r="R2254" i="16"/>
  <c r="S2254" i="16"/>
  <c r="P2255" i="16"/>
  <c r="Q2255" i="16"/>
  <c r="R2255" i="16"/>
  <c r="S2255" i="16"/>
  <c r="P2256" i="16"/>
  <c r="Q2256" i="16"/>
  <c r="R2256" i="16"/>
  <c r="S2256" i="16"/>
  <c r="P2257" i="16"/>
  <c r="Q2257" i="16"/>
  <c r="R2257" i="16"/>
  <c r="S2257" i="16"/>
  <c r="P2258" i="16"/>
  <c r="Q2258" i="16"/>
  <c r="R2258" i="16"/>
  <c r="S2258" i="16"/>
  <c r="P2259" i="16"/>
  <c r="Q2259" i="16"/>
  <c r="R2259" i="16"/>
  <c r="S2259" i="16"/>
  <c r="P2260" i="16"/>
  <c r="Q2260" i="16"/>
  <c r="R2260" i="16"/>
  <c r="S2260" i="16"/>
  <c r="P2261" i="16"/>
  <c r="Q2261" i="16"/>
  <c r="R2261" i="16"/>
  <c r="S2261" i="16"/>
  <c r="P2262" i="16"/>
  <c r="Q2262" i="16"/>
  <c r="R2262" i="16"/>
  <c r="S2262" i="16"/>
  <c r="P2263" i="16"/>
  <c r="Q2263" i="16"/>
  <c r="R2263" i="16"/>
  <c r="S2263" i="16"/>
  <c r="P2264" i="16"/>
  <c r="Q2264" i="16"/>
  <c r="R2264" i="16"/>
  <c r="S2264" i="16"/>
  <c r="P2265" i="16"/>
  <c r="Q2265" i="16"/>
  <c r="R2265" i="16"/>
  <c r="S2265" i="16"/>
  <c r="P2266" i="16"/>
  <c r="Q2266" i="16"/>
  <c r="R2266" i="16"/>
  <c r="S2266" i="16"/>
  <c r="P2267" i="16"/>
  <c r="Q2267" i="16"/>
  <c r="R2267" i="16"/>
  <c r="S2267" i="16"/>
  <c r="P2268" i="16"/>
  <c r="Q2268" i="16"/>
  <c r="R2268" i="16"/>
  <c r="S2268" i="16"/>
  <c r="P2269" i="16"/>
  <c r="Q2269" i="16"/>
  <c r="R2269" i="16"/>
  <c r="S2269" i="16"/>
  <c r="P2270" i="16"/>
  <c r="Q2270" i="16"/>
  <c r="R2270" i="16"/>
  <c r="S2270" i="16"/>
  <c r="P2271" i="16"/>
  <c r="Q2271" i="16"/>
  <c r="R2271" i="16"/>
  <c r="S2271" i="16"/>
  <c r="P2272" i="16"/>
  <c r="Q2272" i="16"/>
  <c r="R2272" i="16"/>
  <c r="S2272" i="16"/>
  <c r="P2273" i="16"/>
  <c r="Q2273" i="16"/>
  <c r="R2273" i="16"/>
  <c r="S2273" i="16"/>
  <c r="P2274" i="16"/>
  <c r="Q2274" i="16"/>
  <c r="R2274" i="16"/>
  <c r="S2274" i="16"/>
  <c r="P2275" i="16"/>
  <c r="Q2275" i="16"/>
  <c r="R2275" i="16"/>
  <c r="S2275" i="16"/>
  <c r="P2276" i="16"/>
  <c r="Q2276" i="16"/>
  <c r="R2276" i="16"/>
  <c r="S2276" i="16"/>
  <c r="P2277" i="16"/>
  <c r="Q2277" i="16"/>
  <c r="R2277" i="16"/>
  <c r="S2277" i="16"/>
  <c r="P2278" i="16"/>
  <c r="Q2278" i="16"/>
  <c r="R2278" i="16"/>
  <c r="S2278" i="16"/>
  <c r="P2279" i="16"/>
  <c r="Q2279" i="16"/>
  <c r="R2279" i="16"/>
  <c r="S2279" i="16"/>
  <c r="P2280" i="16"/>
  <c r="Q2280" i="16"/>
  <c r="R2280" i="16"/>
  <c r="S2280" i="16"/>
  <c r="P2281" i="16"/>
  <c r="Q2281" i="16"/>
  <c r="R2281" i="16"/>
  <c r="S2281" i="16"/>
  <c r="P2282" i="16"/>
  <c r="Q2282" i="16"/>
  <c r="R2282" i="16"/>
  <c r="S2282" i="16"/>
  <c r="P2283" i="16"/>
  <c r="Q2283" i="16"/>
  <c r="R2283" i="16"/>
  <c r="S2283" i="16"/>
  <c r="P2284" i="16"/>
  <c r="Q2284" i="16"/>
  <c r="R2284" i="16"/>
  <c r="S2284" i="16"/>
  <c r="P2285" i="16"/>
  <c r="Q2285" i="16"/>
  <c r="R2285" i="16"/>
  <c r="S2285" i="16"/>
  <c r="P2286" i="16"/>
  <c r="Q2286" i="16"/>
  <c r="R2286" i="16"/>
  <c r="S2286" i="16"/>
  <c r="P2287" i="16"/>
  <c r="Q2287" i="16"/>
  <c r="R2287" i="16"/>
  <c r="S2287" i="16"/>
  <c r="P2288" i="16"/>
  <c r="Q2288" i="16"/>
  <c r="R2288" i="16"/>
  <c r="S2288" i="16"/>
  <c r="P2289" i="16"/>
  <c r="Q2289" i="16"/>
  <c r="R2289" i="16"/>
  <c r="S2289" i="16"/>
  <c r="P2290" i="16"/>
  <c r="Q2290" i="16"/>
  <c r="R2290" i="16"/>
  <c r="S2290" i="16"/>
  <c r="P2291" i="16"/>
  <c r="Q2291" i="16"/>
  <c r="R2291" i="16"/>
  <c r="S2291" i="16"/>
  <c r="P2292" i="16"/>
  <c r="Q2292" i="16"/>
  <c r="R2292" i="16"/>
  <c r="S2292" i="16"/>
  <c r="P2293" i="16"/>
  <c r="Q2293" i="16"/>
  <c r="R2293" i="16"/>
  <c r="S2293" i="16"/>
  <c r="P2294" i="16"/>
  <c r="Q2294" i="16"/>
  <c r="R2294" i="16"/>
  <c r="S2294" i="16"/>
  <c r="P2295" i="16"/>
  <c r="Q2295" i="16"/>
  <c r="R2295" i="16"/>
  <c r="S2295" i="16"/>
  <c r="P2296" i="16"/>
  <c r="Q2296" i="16"/>
  <c r="R2296" i="16"/>
  <c r="S2296" i="16"/>
  <c r="P2297" i="16"/>
  <c r="Q2297" i="16"/>
  <c r="R2297" i="16"/>
  <c r="S2297" i="16"/>
  <c r="P2298" i="16"/>
  <c r="Q2298" i="16"/>
  <c r="R2298" i="16"/>
  <c r="S2298" i="16"/>
  <c r="P2299" i="16"/>
  <c r="Q2299" i="16"/>
  <c r="R2299" i="16"/>
  <c r="S2299" i="16"/>
  <c r="P2300" i="16"/>
  <c r="Q2300" i="16"/>
  <c r="R2300" i="16"/>
  <c r="S2300" i="16"/>
  <c r="P2301" i="16"/>
  <c r="Q2301" i="16"/>
  <c r="R2301" i="16"/>
  <c r="S2301" i="16"/>
  <c r="P2302" i="16"/>
  <c r="Q2302" i="16"/>
  <c r="R2302" i="16"/>
  <c r="S2302" i="16"/>
  <c r="P2303" i="16"/>
  <c r="Q2303" i="16"/>
  <c r="R2303" i="16"/>
  <c r="S2303" i="16"/>
  <c r="P2304" i="16"/>
  <c r="Q2304" i="16"/>
  <c r="R2304" i="16"/>
  <c r="S2304" i="16"/>
  <c r="P2305" i="16"/>
  <c r="Q2305" i="16"/>
  <c r="R2305" i="16"/>
  <c r="S2305" i="16"/>
  <c r="P2306" i="16"/>
  <c r="Q2306" i="16"/>
  <c r="R2306" i="16"/>
  <c r="S2306" i="16"/>
  <c r="P2307" i="16"/>
  <c r="Q2307" i="16"/>
  <c r="R2307" i="16"/>
  <c r="S2307" i="16"/>
  <c r="P2308" i="16"/>
  <c r="Q2308" i="16"/>
  <c r="R2308" i="16"/>
  <c r="S2308" i="16"/>
  <c r="P2309" i="16"/>
  <c r="Q2309" i="16"/>
  <c r="R2309" i="16"/>
  <c r="S2309" i="16"/>
  <c r="P2310" i="16"/>
  <c r="Q2310" i="16"/>
  <c r="R2310" i="16"/>
  <c r="S2310" i="16"/>
  <c r="P2311" i="16"/>
  <c r="Q2311" i="16"/>
  <c r="R2311" i="16"/>
  <c r="S2311" i="16"/>
  <c r="P2312" i="16"/>
  <c r="Q2312" i="16"/>
  <c r="R2312" i="16"/>
  <c r="S2312" i="16"/>
  <c r="P2313" i="16"/>
  <c r="Q2313" i="16"/>
  <c r="R2313" i="16"/>
  <c r="S2313" i="16"/>
  <c r="P2314" i="16"/>
  <c r="Q2314" i="16"/>
  <c r="R2314" i="16"/>
  <c r="S2314" i="16"/>
  <c r="P2315" i="16"/>
  <c r="Q2315" i="16"/>
  <c r="R2315" i="16"/>
  <c r="S2315" i="16"/>
  <c r="P2316" i="16"/>
  <c r="Q2316" i="16"/>
  <c r="R2316" i="16"/>
  <c r="S2316" i="16"/>
  <c r="P2317" i="16"/>
  <c r="Q2317" i="16"/>
  <c r="R2317" i="16"/>
  <c r="S2317" i="16"/>
  <c r="P2318" i="16"/>
  <c r="Q2318" i="16"/>
  <c r="R2318" i="16"/>
  <c r="S2318" i="16"/>
  <c r="P2319" i="16"/>
  <c r="Q2319" i="16"/>
  <c r="R2319" i="16"/>
  <c r="S2319" i="16"/>
  <c r="P2320" i="16"/>
  <c r="Q2320" i="16"/>
  <c r="R2320" i="16"/>
  <c r="S2320" i="16"/>
  <c r="P2321" i="16"/>
  <c r="Q2321" i="16"/>
  <c r="R2321" i="16"/>
  <c r="S2321" i="16"/>
  <c r="P2322" i="16"/>
  <c r="Q2322" i="16"/>
  <c r="R2322" i="16"/>
  <c r="S2322" i="16"/>
  <c r="P2323" i="16"/>
  <c r="Q2323" i="16"/>
  <c r="R2323" i="16"/>
  <c r="S2323" i="16"/>
  <c r="P2324" i="16"/>
  <c r="Q2324" i="16"/>
  <c r="R2324" i="16"/>
  <c r="S2324" i="16"/>
  <c r="P2325" i="16"/>
  <c r="Q2325" i="16"/>
  <c r="R2325" i="16"/>
  <c r="S2325" i="16"/>
  <c r="P2326" i="16"/>
  <c r="Q2326" i="16"/>
  <c r="R2326" i="16"/>
  <c r="S2326" i="16"/>
  <c r="P2327" i="16"/>
  <c r="Q2327" i="16"/>
  <c r="R2327" i="16"/>
  <c r="S2327" i="16"/>
  <c r="P2328" i="16"/>
  <c r="Q2328" i="16"/>
  <c r="R2328" i="16"/>
  <c r="S2328" i="16"/>
  <c r="P2329" i="16"/>
  <c r="Q2329" i="16"/>
  <c r="R2329" i="16"/>
  <c r="S2329" i="16"/>
  <c r="P2330" i="16"/>
  <c r="Q2330" i="16"/>
  <c r="R2330" i="16"/>
  <c r="S2330" i="16"/>
  <c r="P2331" i="16"/>
  <c r="Q2331" i="16"/>
  <c r="R2331" i="16"/>
  <c r="S2331" i="16"/>
  <c r="P2332" i="16"/>
  <c r="Q2332" i="16"/>
  <c r="R2332" i="16"/>
  <c r="S2332" i="16"/>
  <c r="P2333" i="16"/>
  <c r="Q2333" i="16"/>
  <c r="R2333" i="16"/>
  <c r="S2333" i="16"/>
  <c r="P2334" i="16"/>
  <c r="Q2334" i="16"/>
  <c r="R2334" i="16"/>
  <c r="S2334" i="16"/>
  <c r="P2335" i="16"/>
  <c r="Q2335" i="16"/>
  <c r="R2335" i="16"/>
  <c r="S2335" i="16"/>
  <c r="P2336" i="16"/>
  <c r="Q2336" i="16"/>
  <c r="R2336" i="16"/>
  <c r="S2336" i="16"/>
  <c r="P2337" i="16"/>
  <c r="Q2337" i="16"/>
  <c r="R2337" i="16"/>
  <c r="S2337" i="16"/>
  <c r="P2338" i="16"/>
  <c r="Q2338" i="16"/>
  <c r="R2338" i="16"/>
  <c r="S2338" i="16"/>
  <c r="P2339" i="16"/>
  <c r="Q2339" i="16"/>
  <c r="R2339" i="16"/>
  <c r="S2339" i="16"/>
  <c r="P2340" i="16"/>
  <c r="Q2340" i="16"/>
  <c r="R2340" i="16"/>
  <c r="S2340" i="16"/>
  <c r="P2341" i="16"/>
  <c r="Q2341" i="16"/>
  <c r="R2341" i="16"/>
  <c r="S2341" i="16"/>
  <c r="P2342" i="16"/>
  <c r="Q2342" i="16"/>
  <c r="R2342" i="16"/>
  <c r="S2342" i="16"/>
  <c r="P2343" i="16"/>
  <c r="Q2343" i="16"/>
  <c r="R2343" i="16"/>
  <c r="S2343" i="16"/>
  <c r="P2344" i="16"/>
  <c r="Q2344" i="16"/>
  <c r="R2344" i="16"/>
  <c r="S2344" i="16"/>
  <c r="P2345" i="16"/>
  <c r="Q2345" i="16"/>
  <c r="R2345" i="16"/>
  <c r="S2345" i="16"/>
  <c r="P2346" i="16"/>
  <c r="Q2346" i="16"/>
  <c r="R2346" i="16"/>
  <c r="S2346" i="16"/>
  <c r="P2347" i="16"/>
  <c r="Q2347" i="16"/>
  <c r="R2347" i="16"/>
  <c r="S2347" i="16"/>
  <c r="P2348" i="16"/>
  <c r="Q2348" i="16"/>
  <c r="R2348" i="16"/>
  <c r="S2348" i="16"/>
  <c r="P2349" i="16"/>
  <c r="Q2349" i="16"/>
  <c r="R2349" i="16"/>
  <c r="S2349" i="16"/>
  <c r="P2350" i="16"/>
  <c r="Q2350" i="16"/>
  <c r="R2350" i="16"/>
  <c r="S2350" i="16"/>
  <c r="P2351" i="16"/>
  <c r="Q2351" i="16"/>
  <c r="R2351" i="16"/>
  <c r="S2351" i="16"/>
  <c r="P2352" i="16"/>
  <c r="Q2352" i="16"/>
  <c r="R2352" i="16"/>
  <c r="S2352" i="16"/>
  <c r="P2353" i="16"/>
  <c r="Q2353" i="16"/>
  <c r="R2353" i="16"/>
  <c r="S2353" i="16"/>
  <c r="P2354" i="16"/>
  <c r="Q2354" i="16"/>
  <c r="R2354" i="16"/>
  <c r="S2354" i="16"/>
  <c r="P2355" i="16"/>
  <c r="Q2355" i="16"/>
  <c r="R2355" i="16"/>
  <c r="S2355" i="16"/>
  <c r="P2356" i="16"/>
  <c r="Q2356" i="16"/>
  <c r="R2356" i="16"/>
  <c r="S2356" i="16"/>
  <c r="P2357" i="16"/>
  <c r="Q2357" i="16"/>
  <c r="R2357" i="16"/>
  <c r="S2357" i="16"/>
  <c r="P2358" i="16"/>
  <c r="Q2358" i="16"/>
  <c r="R2358" i="16"/>
  <c r="S2358" i="16"/>
  <c r="P2359" i="16"/>
  <c r="Q2359" i="16"/>
  <c r="R2359" i="16"/>
  <c r="S2359" i="16"/>
  <c r="P2360" i="16"/>
  <c r="Q2360" i="16"/>
  <c r="R2360" i="16"/>
  <c r="S2360" i="16"/>
  <c r="P2361" i="16"/>
  <c r="Q2361" i="16"/>
  <c r="R2361" i="16"/>
  <c r="S2361" i="16"/>
  <c r="P2362" i="16"/>
  <c r="Q2362" i="16"/>
  <c r="R2362" i="16"/>
  <c r="S2362" i="16"/>
  <c r="P2363" i="16"/>
  <c r="Q2363" i="16"/>
  <c r="R2363" i="16"/>
  <c r="S2363" i="16"/>
  <c r="P2364" i="16"/>
  <c r="Q2364" i="16"/>
  <c r="R2364" i="16"/>
  <c r="S2364" i="16"/>
  <c r="P2365" i="16"/>
  <c r="Q2365" i="16"/>
  <c r="R2365" i="16"/>
  <c r="S2365" i="16"/>
  <c r="P2366" i="16"/>
  <c r="Q2366" i="16"/>
  <c r="R2366" i="16"/>
  <c r="S2366" i="16"/>
  <c r="P2367" i="16"/>
  <c r="Q2367" i="16"/>
  <c r="R2367" i="16"/>
  <c r="S2367" i="16"/>
  <c r="P2368" i="16"/>
  <c r="Q2368" i="16"/>
  <c r="R2368" i="16"/>
  <c r="S2368" i="16"/>
  <c r="P2369" i="16"/>
  <c r="Q2369" i="16"/>
  <c r="R2369" i="16"/>
  <c r="S2369" i="16"/>
  <c r="P2370" i="16"/>
  <c r="Q2370" i="16"/>
  <c r="R2370" i="16"/>
  <c r="S2370" i="16"/>
  <c r="P2371" i="16"/>
  <c r="Q2371" i="16"/>
  <c r="R2371" i="16"/>
  <c r="S2371" i="16"/>
  <c r="P2372" i="16"/>
  <c r="Q2372" i="16"/>
  <c r="R2372" i="16"/>
  <c r="S2372" i="16"/>
  <c r="P2373" i="16"/>
  <c r="Q2373" i="16"/>
  <c r="R2373" i="16"/>
  <c r="S2373" i="16"/>
  <c r="P2374" i="16"/>
  <c r="Q2374" i="16"/>
  <c r="R2374" i="16"/>
  <c r="S2374" i="16"/>
  <c r="P2375" i="16"/>
  <c r="Q2375" i="16"/>
  <c r="R2375" i="16"/>
  <c r="S2375" i="16"/>
  <c r="P2376" i="16"/>
  <c r="Q2376" i="16"/>
  <c r="R2376" i="16"/>
  <c r="S2376" i="16"/>
  <c r="P2377" i="16"/>
  <c r="Q2377" i="16"/>
  <c r="R2377" i="16"/>
  <c r="S2377" i="16"/>
  <c r="P2378" i="16"/>
  <c r="Q2378" i="16"/>
  <c r="R2378" i="16"/>
  <c r="S2378" i="16"/>
  <c r="P2379" i="16"/>
  <c r="Q2379" i="16"/>
  <c r="R2379" i="16"/>
  <c r="S2379" i="16"/>
  <c r="P2380" i="16"/>
  <c r="Q2380" i="16"/>
  <c r="R2380" i="16"/>
  <c r="S2380" i="16"/>
  <c r="P2381" i="16"/>
  <c r="Q2381" i="16"/>
  <c r="R2381" i="16"/>
  <c r="S2381" i="16"/>
  <c r="P2382" i="16"/>
  <c r="Q2382" i="16"/>
  <c r="R2382" i="16"/>
  <c r="S2382" i="16"/>
  <c r="P2383" i="16"/>
  <c r="Q2383" i="16"/>
  <c r="R2383" i="16"/>
  <c r="S2383" i="16"/>
  <c r="P2384" i="16"/>
  <c r="Q2384" i="16"/>
  <c r="R2384" i="16"/>
  <c r="S2384" i="16"/>
  <c r="P2385" i="16"/>
  <c r="Q2385" i="16"/>
  <c r="R2385" i="16"/>
  <c r="S2385" i="16"/>
  <c r="P2386" i="16"/>
  <c r="Q2386" i="16"/>
  <c r="R2386" i="16"/>
  <c r="S2386" i="16"/>
  <c r="P2387" i="16"/>
  <c r="Q2387" i="16"/>
  <c r="R2387" i="16"/>
  <c r="S2387" i="16"/>
  <c r="P2388" i="16"/>
  <c r="Q2388" i="16"/>
  <c r="R2388" i="16"/>
  <c r="S2388" i="16"/>
  <c r="P2389" i="16"/>
  <c r="Q2389" i="16"/>
  <c r="R2389" i="16"/>
  <c r="S2389" i="16"/>
  <c r="P2390" i="16"/>
  <c r="Q2390" i="16"/>
  <c r="R2390" i="16"/>
  <c r="S2390" i="16"/>
  <c r="P2391" i="16"/>
  <c r="Q2391" i="16"/>
  <c r="R2391" i="16"/>
  <c r="S2391" i="16"/>
  <c r="P2392" i="16"/>
  <c r="Q2392" i="16"/>
  <c r="R2392" i="16"/>
  <c r="S2392" i="16"/>
  <c r="P2393" i="16"/>
  <c r="Q2393" i="16"/>
  <c r="R2393" i="16"/>
  <c r="S2393" i="16"/>
  <c r="P2394" i="16"/>
  <c r="Q2394" i="16"/>
  <c r="R2394" i="16"/>
  <c r="S2394" i="16"/>
  <c r="P2395" i="16"/>
  <c r="Q2395" i="16"/>
  <c r="R2395" i="16"/>
  <c r="S2395" i="16"/>
  <c r="P2396" i="16"/>
  <c r="Q2396" i="16"/>
  <c r="R2396" i="16"/>
  <c r="S2396" i="16"/>
  <c r="P2397" i="16"/>
  <c r="Q2397" i="16"/>
  <c r="R2397" i="16"/>
  <c r="S2397" i="16"/>
  <c r="P2398" i="16"/>
  <c r="Q2398" i="16"/>
  <c r="R2398" i="16"/>
  <c r="S2398" i="16"/>
  <c r="P2399" i="16"/>
  <c r="Q2399" i="16"/>
  <c r="R2399" i="16"/>
  <c r="S2399" i="16"/>
  <c r="P2400" i="16"/>
  <c r="Q2400" i="16"/>
  <c r="R2400" i="16"/>
  <c r="S2400" i="16"/>
  <c r="P2401" i="16"/>
  <c r="Q2401" i="16"/>
  <c r="R2401" i="16"/>
  <c r="S2401" i="16"/>
  <c r="P2402" i="16"/>
  <c r="Q2402" i="16"/>
  <c r="R2402" i="16"/>
  <c r="S2402" i="16"/>
  <c r="P2403" i="16"/>
  <c r="Q2403" i="16"/>
  <c r="R2403" i="16"/>
  <c r="S2403" i="16"/>
  <c r="P2404" i="16"/>
  <c r="Q2404" i="16"/>
  <c r="R2404" i="16"/>
  <c r="S2404" i="16"/>
  <c r="P2405" i="16"/>
  <c r="Q2405" i="16"/>
  <c r="R2405" i="16"/>
  <c r="S2405" i="16"/>
  <c r="P2406" i="16"/>
  <c r="Q2406" i="16"/>
  <c r="R2406" i="16"/>
  <c r="S2406" i="16"/>
  <c r="P2407" i="16"/>
  <c r="Q2407" i="16"/>
  <c r="R2407" i="16"/>
  <c r="S2407" i="16"/>
  <c r="P2408" i="16"/>
  <c r="Q2408" i="16"/>
  <c r="R2408" i="16"/>
  <c r="S2408" i="16"/>
  <c r="P2409" i="16"/>
  <c r="Q2409" i="16"/>
  <c r="R2409" i="16"/>
  <c r="S2409" i="16"/>
  <c r="P2410" i="16"/>
  <c r="Q2410" i="16"/>
  <c r="R2410" i="16"/>
  <c r="S2410" i="16"/>
  <c r="P2411" i="16"/>
  <c r="Q2411" i="16"/>
  <c r="R2411" i="16"/>
  <c r="S2411" i="16"/>
  <c r="P2412" i="16"/>
  <c r="Q2412" i="16"/>
  <c r="R2412" i="16"/>
  <c r="S2412" i="16"/>
  <c r="P2413" i="16"/>
  <c r="Q2413" i="16"/>
  <c r="R2413" i="16"/>
  <c r="S2413" i="16"/>
  <c r="P2414" i="16"/>
  <c r="Q2414" i="16"/>
  <c r="R2414" i="16"/>
  <c r="S2414" i="16"/>
  <c r="P2415" i="16"/>
  <c r="Q2415" i="16"/>
  <c r="R2415" i="16"/>
  <c r="S2415" i="16"/>
  <c r="P2416" i="16"/>
  <c r="Q2416" i="16"/>
  <c r="R2416" i="16"/>
  <c r="S2416" i="16"/>
  <c r="P2417" i="16"/>
  <c r="Q2417" i="16"/>
  <c r="R2417" i="16"/>
  <c r="S2417" i="16"/>
  <c r="P2418" i="16"/>
  <c r="Q2418" i="16"/>
  <c r="R2418" i="16"/>
  <c r="S2418" i="16"/>
  <c r="P2419" i="16"/>
  <c r="Q2419" i="16"/>
  <c r="R2419" i="16"/>
  <c r="S2419" i="16"/>
  <c r="P2420" i="16"/>
  <c r="Q2420" i="16"/>
  <c r="R2420" i="16"/>
  <c r="S2420" i="16"/>
  <c r="P2421" i="16"/>
  <c r="Q2421" i="16"/>
  <c r="R2421" i="16"/>
  <c r="S2421" i="16"/>
  <c r="P2422" i="16"/>
  <c r="Q2422" i="16"/>
  <c r="R2422" i="16"/>
  <c r="S2422" i="16"/>
  <c r="P2423" i="16"/>
  <c r="Q2423" i="16"/>
  <c r="R2423" i="16"/>
  <c r="S2423" i="16"/>
  <c r="P2424" i="16"/>
  <c r="Q2424" i="16"/>
  <c r="R2424" i="16"/>
  <c r="S2424" i="16"/>
  <c r="P2425" i="16"/>
  <c r="Q2425" i="16"/>
  <c r="R2425" i="16"/>
  <c r="S2425" i="16"/>
  <c r="P2426" i="16"/>
  <c r="Q2426" i="16"/>
  <c r="R2426" i="16"/>
  <c r="S2426" i="16"/>
  <c r="P2427" i="16"/>
  <c r="Q2427" i="16"/>
  <c r="R2427" i="16"/>
  <c r="S2427" i="16"/>
  <c r="P2428" i="16"/>
  <c r="Q2428" i="16"/>
  <c r="R2428" i="16"/>
  <c r="S2428" i="16"/>
  <c r="P2429" i="16"/>
  <c r="Q2429" i="16"/>
  <c r="R2429" i="16"/>
  <c r="S2429" i="16"/>
  <c r="P2430" i="16"/>
  <c r="Q2430" i="16"/>
  <c r="R2430" i="16"/>
  <c r="S2430" i="16"/>
  <c r="P2431" i="16"/>
  <c r="Q2431" i="16"/>
  <c r="R2431" i="16"/>
  <c r="S2431" i="16"/>
  <c r="P2432" i="16"/>
  <c r="Q2432" i="16"/>
  <c r="R2432" i="16"/>
  <c r="S2432" i="16"/>
  <c r="P2433" i="16"/>
  <c r="Q2433" i="16"/>
  <c r="R2433" i="16"/>
  <c r="S2433" i="16"/>
  <c r="P2434" i="16"/>
  <c r="Q2434" i="16"/>
  <c r="R2434" i="16"/>
  <c r="S2434" i="16"/>
  <c r="P2435" i="16"/>
  <c r="Q2435" i="16"/>
  <c r="R2435" i="16"/>
  <c r="S2435" i="16"/>
  <c r="P2436" i="16"/>
  <c r="Q2436" i="16"/>
  <c r="R2436" i="16"/>
  <c r="S2436" i="16"/>
  <c r="P2437" i="16"/>
  <c r="Q2437" i="16"/>
  <c r="R2437" i="16"/>
  <c r="S2437" i="16"/>
  <c r="P2438" i="16"/>
  <c r="Q2438" i="16"/>
  <c r="R2438" i="16"/>
  <c r="S2438" i="16"/>
  <c r="P2439" i="16"/>
  <c r="Q2439" i="16"/>
  <c r="R2439" i="16"/>
  <c r="S2439" i="16"/>
  <c r="P2440" i="16"/>
  <c r="Q2440" i="16"/>
  <c r="R2440" i="16"/>
  <c r="S2440" i="16"/>
  <c r="P2441" i="16"/>
  <c r="Q2441" i="16"/>
  <c r="R2441" i="16"/>
  <c r="S2441" i="16"/>
  <c r="P2442" i="16"/>
  <c r="Q2442" i="16"/>
  <c r="R2442" i="16"/>
  <c r="S2442" i="16"/>
  <c r="P2443" i="16"/>
  <c r="Q2443" i="16"/>
  <c r="R2443" i="16"/>
  <c r="S2443" i="16"/>
  <c r="P2444" i="16"/>
  <c r="Q2444" i="16"/>
  <c r="R2444" i="16"/>
  <c r="S2444" i="16"/>
  <c r="P2445" i="16"/>
  <c r="Q2445" i="16"/>
  <c r="R2445" i="16"/>
  <c r="S2445" i="16"/>
  <c r="P2446" i="16"/>
  <c r="Q2446" i="16"/>
  <c r="R2446" i="16"/>
  <c r="S2446" i="16"/>
  <c r="P2447" i="16"/>
  <c r="Q2447" i="16"/>
  <c r="R2447" i="16"/>
  <c r="S2447" i="16"/>
  <c r="P2448" i="16"/>
  <c r="Q2448" i="16"/>
  <c r="R2448" i="16"/>
  <c r="S2448" i="16"/>
  <c r="P2449" i="16"/>
  <c r="Q2449" i="16"/>
  <c r="R2449" i="16"/>
  <c r="S2449" i="16"/>
  <c r="P2450" i="16"/>
  <c r="Q2450" i="16"/>
  <c r="R2450" i="16"/>
  <c r="S2450" i="16"/>
  <c r="P2451" i="16"/>
  <c r="Q2451" i="16"/>
  <c r="R2451" i="16"/>
  <c r="S2451" i="16"/>
  <c r="P2452" i="16"/>
  <c r="Q2452" i="16"/>
  <c r="R2452" i="16"/>
  <c r="S2452" i="16"/>
  <c r="P2453" i="16"/>
  <c r="Q2453" i="16"/>
  <c r="R2453" i="16"/>
  <c r="S2453" i="16"/>
  <c r="P2454" i="16"/>
  <c r="Q2454" i="16"/>
  <c r="R2454" i="16"/>
  <c r="S2454" i="16"/>
  <c r="P2455" i="16"/>
  <c r="Q2455" i="16"/>
  <c r="R2455" i="16"/>
  <c r="S2455" i="16"/>
  <c r="P2456" i="16"/>
  <c r="Q2456" i="16"/>
  <c r="R2456" i="16"/>
  <c r="S2456" i="16"/>
  <c r="P2457" i="16"/>
  <c r="Q2457" i="16"/>
  <c r="R2457" i="16"/>
  <c r="S2457" i="16"/>
  <c r="P2458" i="16"/>
  <c r="Q2458" i="16"/>
  <c r="R2458" i="16"/>
  <c r="S2458" i="16"/>
  <c r="P2459" i="16"/>
  <c r="Q2459" i="16"/>
  <c r="R2459" i="16"/>
  <c r="S2459" i="16"/>
  <c r="P2460" i="16"/>
  <c r="Q2460" i="16"/>
  <c r="R2460" i="16"/>
  <c r="S2460" i="16"/>
  <c r="P2461" i="16"/>
  <c r="Q2461" i="16"/>
  <c r="R2461" i="16"/>
  <c r="S2461" i="16"/>
  <c r="P2462" i="16"/>
  <c r="Q2462" i="16"/>
  <c r="R2462" i="16"/>
  <c r="S2462" i="16"/>
  <c r="P2463" i="16"/>
  <c r="Q2463" i="16"/>
  <c r="R2463" i="16"/>
  <c r="S2463" i="16"/>
  <c r="P2464" i="16"/>
  <c r="Q2464" i="16"/>
  <c r="R2464" i="16"/>
  <c r="S2464" i="16"/>
  <c r="P2465" i="16"/>
  <c r="Q2465" i="16"/>
  <c r="R2465" i="16"/>
  <c r="S2465" i="16"/>
  <c r="P2466" i="16"/>
  <c r="Q2466" i="16"/>
  <c r="R2466" i="16"/>
  <c r="S2466" i="16"/>
  <c r="P2467" i="16"/>
  <c r="Q2467" i="16"/>
  <c r="R2467" i="16"/>
  <c r="S2467" i="16"/>
  <c r="P2468" i="16"/>
  <c r="Q2468" i="16"/>
  <c r="R2468" i="16"/>
  <c r="S2468" i="16"/>
  <c r="P2469" i="16"/>
  <c r="Q2469" i="16"/>
  <c r="R2469" i="16"/>
  <c r="S2469" i="16"/>
  <c r="P2470" i="16"/>
  <c r="Q2470" i="16"/>
  <c r="R2470" i="16"/>
  <c r="S2470" i="16"/>
  <c r="P2471" i="16"/>
  <c r="Q2471" i="16"/>
  <c r="R2471" i="16"/>
  <c r="S2471" i="16"/>
  <c r="P2472" i="16"/>
  <c r="Q2472" i="16"/>
  <c r="R2472" i="16"/>
  <c r="S2472" i="16"/>
  <c r="P2473" i="16"/>
  <c r="Q2473" i="16"/>
  <c r="R2473" i="16"/>
  <c r="S2473" i="16"/>
  <c r="P2474" i="16"/>
  <c r="Q2474" i="16"/>
  <c r="R2474" i="16"/>
  <c r="S2474" i="16"/>
  <c r="P2475" i="16"/>
  <c r="Q2475" i="16"/>
  <c r="R2475" i="16"/>
  <c r="S2475" i="16"/>
  <c r="P2476" i="16"/>
  <c r="Q2476" i="16"/>
  <c r="R2476" i="16"/>
  <c r="S2476" i="16"/>
  <c r="P2477" i="16"/>
  <c r="Q2477" i="16"/>
  <c r="R2477" i="16"/>
  <c r="S2477" i="16"/>
  <c r="P2478" i="16"/>
  <c r="Q2478" i="16"/>
  <c r="R2478" i="16"/>
  <c r="S2478" i="16"/>
  <c r="N42" i="3" l="1"/>
  <c r="M42" i="3"/>
  <c r="M46" i="3" l="1"/>
  <c r="M49" i="3"/>
  <c r="P2479" i="16" l="1"/>
  <c r="Q2479" i="16"/>
  <c r="R2479" i="16"/>
  <c r="S2479" i="16"/>
  <c r="P2480" i="16"/>
  <c r="Q2480" i="16"/>
  <c r="R2480" i="16"/>
  <c r="S2480" i="16"/>
  <c r="P2481" i="16"/>
  <c r="Q2481" i="16"/>
  <c r="R2481" i="16"/>
  <c r="S2481" i="16"/>
  <c r="P2482" i="16"/>
  <c r="Q2482" i="16"/>
  <c r="R2482" i="16"/>
  <c r="S2482" i="16"/>
  <c r="P2483" i="16"/>
  <c r="Q2483" i="16"/>
  <c r="R2483" i="16"/>
  <c r="S2483" i="16"/>
  <c r="P2484" i="16"/>
  <c r="Q2484" i="16"/>
  <c r="R2484" i="16"/>
  <c r="S2484" i="16"/>
  <c r="P2485" i="16"/>
  <c r="Q2485" i="16"/>
  <c r="R2485" i="16"/>
  <c r="S2485" i="16"/>
  <c r="P2486" i="16"/>
  <c r="Q2486" i="16"/>
  <c r="R2486" i="16"/>
  <c r="S2486" i="16"/>
  <c r="P2487" i="16"/>
  <c r="Q2487" i="16"/>
  <c r="R2487" i="16"/>
  <c r="S2487" i="16"/>
  <c r="E146" i="8"/>
  <c r="E150" i="8"/>
  <c r="D42" i="3" l="1"/>
  <c r="E42" i="3"/>
  <c r="F1889" i="16" l="1"/>
  <c r="E148" i="8" l="1"/>
  <c r="E203" i="8" l="1"/>
  <c r="F1182" i="16" l="1"/>
  <c r="E119" i="8" l="1"/>
  <c r="L18" i="4" l="1"/>
  <c r="M18" i="4"/>
  <c r="N18" i="4"/>
  <c r="E7" i="8" l="1"/>
  <c r="F765" i="16" l="1"/>
  <c r="N23" i="4" l="1"/>
  <c r="M23" i="4"/>
  <c r="L23" i="4"/>
  <c r="R5" i="16" l="1"/>
  <c r="J47" i="3" l="1"/>
  <c r="K456" i="16" l="1"/>
  <c r="K455" i="16" l="1"/>
  <c r="K454" i="16" l="1"/>
  <c r="K453" i="16"/>
  <c r="K452" i="16"/>
  <c r="K451" i="16"/>
  <c r="K450" i="16"/>
  <c r="K449" i="16"/>
  <c r="K448" i="16"/>
  <c r="K447" i="16" l="1"/>
  <c r="K446" i="16"/>
  <c r="K445" i="16"/>
  <c r="K444" i="16"/>
  <c r="K443" i="16"/>
  <c r="K442" i="16"/>
  <c r="K441" i="16"/>
  <c r="K440" i="16"/>
  <c r="K439" i="16"/>
  <c r="E127" i="8" l="1"/>
  <c r="J46" i="3" l="1"/>
  <c r="S1308" i="11"/>
  <c r="R1308" i="11"/>
  <c r="S1307" i="11"/>
  <c r="R1307" i="11"/>
  <c r="S1306" i="11"/>
  <c r="R1306" i="11"/>
  <c r="S1305" i="11"/>
  <c r="R1305" i="11"/>
  <c r="S1304" i="11"/>
  <c r="R1304" i="11"/>
  <c r="S1303" i="11"/>
  <c r="R1303" i="11"/>
  <c r="S1302" i="11"/>
  <c r="R1302" i="11"/>
  <c r="S1301" i="11"/>
  <c r="R1301" i="11"/>
  <c r="S1300" i="11"/>
  <c r="R1300" i="11"/>
  <c r="S1299" i="11"/>
  <c r="R1299" i="11"/>
  <c r="S1309" i="11"/>
  <c r="R1309" i="11"/>
  <c r="S1298" i="11"/>
  <c r="R1298" i="11"/>
  <c r="S1297" i="11"/>
  <c r="R1297" i="11"/>
  <c r="S1296" i="11"/>
  <c r="R1296" i="11"/>
  <c r="S1295" i="11"/>
  <c r="R1295" i="11"/>
  <c r="S1294" i="11"/>
  <c r="R1294" i="11"/>
  <c r="S1293" i="11"/>
  <c r="R1293" i="11"/>
  <c r="S1292" i="11"/>
  <c r="R1292" i="11"/>
  <c r="S1291" i="11"/>
  <c r="R1291" i="11"/>
  <c r="S1290" i="11"/>
  <c r="R1290" i="11"/>
  <c r="S1289" i="11"/>
  <c r="R1289" i="11"/>
  <c r="R1169" i="11"/>
  <c r="S1171" i="11"/>
  <c r="R1171" i="11"/>
  <c r="S1170" i="11"/>
  <c r="R1170" i="11"/>
  <c r="S1409" i="11"/>
  <c r="R1409" i="11"/>
  <c r="R5" i="11" l="1"/>
  <c r="E106" i="8" l="1"/>
  <c r="E105" i="8"/>
  <c r="S507" i="11" l="1"/>
  <c r="R507" i="11"/>
  <c r="S1326" i="11"/>
  <c r="R1326" i="11"/>
  <c r="J44" i="3" l="1"/>
  <c r="S1408" i="11"/>
  <c r="R1408" i="11"/>
  <c r="S1407" i="11"/>
  <c r="R1407" i="11"/>
  <c r="S1406" i="11"/>
  <c r="R1406" i="11"/>
  <c r="S1405" i="11"/>
  <c r="R1405" i="11"/>
  <c r="S1329" i="11"/>
  <c r="R1329" i="11"/>
  <c r="S1328" i="11"/>
  <c r="R1328" i="11"/>
  <c r="R1327" i="11"/>
  <c r="S1288" i="11"/>
  <c r="R1288" i="11"/>
  <c r="S1281" i="11"/>
  <c r="R1281" i="11"/>
  <c r="S1287" i="11"/>
  <c r="R1287" i="11"/>
  <c r="S1286" i="11"/>
  <c r="R1286" i="11"/>
  <c r="S1285" i="11"/>
  <c r="R1285" i="11"/>
  <c r="S1284" i="11"/>
  <c r="R1284" i="11"/>
  <c r="S1283" i="11"/>
  <c r="R1283" i="11"/>
  <c r="S1282" i="11"/>
  <c r="R1282" i="11"/>
  <c r="S1240" i="11"/>
  <c r="R1240" i="11"/>
  <c r="S1239" i="11"/>
  <c r="R1239" i="11"/>
  <c r="S1238" i="11"/>
  <c r="R1238" i="11"/>
  <c r="S1237" i="11"/>
  <c r="R1237" i="11"/>
  <c r="S1235" i="11"/>
  <c r="R1235" i="11"/>
  <c r="S1236" i="11"/>
  <c r="R1236" i="11"/>
  <c r="S1234" i="11"/>
  <c r="R1234" i="11"/>
  <c r="S1233" i="11"/>
  <c r="R1233" i="11"/>
  <c r="S1216" i="11"/>
  <c r="R1216" i="11"/>
  <c r="S1204" i="11"/>
  <c r="R1204" i="11"/>
  <c r="S1184" i="11"/>
  <c r="R1184" i="11"/>
  <c r="S1183" i="11"/>
  <c r="R1183" i="11"/>
  <c r="S1182" i="11"/>
  <c r="R1182" i="11"/>
  <c r="S1169" i="11" l="1"/>
  <c r="S1168" i="11"/>
  <c r="R1168" i="11"/>
  <c r="S1167" i="11"/>
  <c r="R1167" i="11"/>
  <c r="S1149" i="11" l="1"/>
  <c r="R1149" i="11"/>
  <c r="S1150" i="11"/>
  <c r="R1150" i="11"/>
  <c r="S1148" i="11"/>
  <c r="R1148" i="11"/>
  <c r="S1147" i="11"/>
  <c r="R1147" i="11"/>
  <c r="S1146" i="11"/>
  <c r="R1146" i="11"/>
  <c r="S1145" i="11"/>
  <c r="R1145" i="11"/>
  <c r="S1144" i="11"/>
  <c r="R1144" i="11"/>
  <c r="S1143" i="11"/>
  <c r="R1143" i="11"/>
  <c r="S1142" i="11"/>
  <c r="R1142" i="11"/>
  <c r="S1141" i="11"/>
  <c r="R1141" i="11"/>
  <c r="S1140" i="11"/>
  <c r="R1140" i="11"/>
  <c r="S1139" i="11"/>
  <c r="R1139" i="11"/>
  <c r="S1032" i="11"/>
  <c r="R1032" i="11"/>
  <c r="S1031" i="11"/>
  <c r="R1031" i="11"/>
  <c r="S1030" i="11"/>
  <c r="R1030" i="11"/>
  <c r="S930" i="11"/>
  <c r="R930" i="11"/>
  <c r="S929" i="11"/>
  <c r="R929" i="11"/>
  <c r="S928" i="11"/>
  <c r="R928" i="11"/>
  <c r="S927" i="11"/>
  <c r="R927" i="11"/>
  <c r="S926" i="11"/>
  <c r="R926" i="11"/>
  <c r="S925" i="11"/>
  <c r="R925" i="11"/>
  <c r="S924" i="11"/>
  <c r="R924" i="11"/>
  <c r="S923" i="11"/>
  <c r="R923" i="11"/>
  <c r="S922" i="11"/>
  <c r="R922" i="11"/>
  <c r="S921" i="11"/>
  <c r="R921" i="11"/>
  <c r="S920" i="11"/>
  <c r="R920" i="11"/>
  <c r="S919" i="11"/>
  <c r="R919" i="11"/>
  <c r="S896" i="11"/>
  <c r="R896" i="11"/>
  <c r="S882" i="11" l="1"/>
  <c r="R882" i="11"/>
  <c r="S881" i="11"/>
  <c r="R881" i="11"/>
  <c r="S880" i="11"/>
  <c r="R880" i="11"/>
  <c r="S879" i="11"/>
  <c r="R879" i="11"/>
  <c r="S864" i="11"/>
  <c r="R864" i="11"/>
  <c r="S863" i="11"/>
  <c r="R863" i="11"/>
  <c r="S857" i="11"/>
  <c r="R857" i="11"/>
  <c r="S856" i="11"/>
  <c r="R856" i="11"/>
  <c r="S830" i="11"/>
  <c r="R830" i="11"/>
  <c r="S829" i="11"/>
  <c r="R829" i="11"/>
  <c r="S828" i="11"/>
  <c r="R828" i="11"/>
  <c r="S818" i="11"/>
  <c r="R818" i="11"/>
  <c r="S817" i="11"/>
  <c r="R817" i="11"/>
  <c r="S752" i="11"/>
  <c r="R752" i="11"/>
  <c r="S751" i="11"/>
  <c r="R751" i="11"/>
  <c r="S750" i="11"/>
  <c r="R750" i="11"/>
  <c r="S749" i="11"/>
  <c r="R749" i="11"/>
  <c r="S748" i="11"/>
  <c r="R748" i="11"/>
  <c r="S734" i="11"/>
  <c r="R734" i="11"/>
  <c r="S736" i="11" l="1"/>
  <c r="R736" i="11"/>
  <c r="S735" i="11"/>
  <c r="R735" i="11"/>
  <c r="S685" i="11"/>
  <c r="R685" i="11"/>
  <c r="S677" i="11" l="1"/>
  <c r="R677" i="11"/>
  <c r="J43" i="3" l="1"/>
  <c r="S1404" i="11"/>
  <c r="R1404" i="11"/>
  <c r="S1403" i="11"/>
  <c r="R1403" i="11"/>
  <c r="S1402" i="11"/>
  <c r="R1402" i="11"/>
  <c r="S1401" i="11"/>
  <c r="R1401" i="11"/>
  <c r="S1400" i="11"/>
  <c r="R1400" i="11"/>
  <c r="S1399" i="11"/>
  <c r="R1399" i="11"/>
  <c r="S1398" i="11"/>
  <c r="R1398" i="11"/>
  <c r="S1397" i="11"/>
  <c r="R1397" i="11"/>
  <c r="S1396" i="11"/>
  <c r="R1396" i="11"/>
  <c r="S1395" i="11"/>
  <c r="R1395" i="11"/>
  <c r="S1394" i="11"/>
  <c r="R1394" i="11"/>
  <c r="S1393" i="11"/>
  <c r="R1393" i="11"/>
  <c r="S1392" i="11"/>
  <c r="R1392" i="11"/>
  <c r="S1391" i="11"/>
  <c r="R1391" i="11"/>
  <c r="S1390" i="11"/>
  <c r="R1390" i="11"/>
  <c r="S1389" i="11"/>
  <c r="R1389" i="11"/>
  <c r="S1388" i="11"/>
  <c r="R1388" i="11"/>
  <c r="S1387" i="11"/>
  <c r="R1387" i="11"/>
  <c r="S1386" i="11"/>
  <c r="R1386" i="11"/>
  <c r="S1385" i="11" l="1"/>
  <c r="R1385" i="11"/>
  <c r="J50" i="3"/>
  <c r="S1384" i="11"/>
  <c r="R1384" i="11"/>
  <c r="S1383" i="11"/>
  <c r="R1383" i="11"/>
  <c r="S506" i="11" l="1"/>
  <c r="R506" i="11"/>
  <c r="S1325" i="11"/>
  <c r="R1325" i="11"/>
  <c r="S1375" i="11"/>
  <c r="R1375" i="11"/>
  <c r="S1413" i="11"/>
  <c r="R1413" i="11"/>
  <c r="Q1413" i="11"/>
  <c r="P1413" i="11"/>
  <c r="R1412" i="11"/>
  <c r="Q1412" i="11"/>
  <c r="P1412" i="11"/>
  <c r="S1382" i="11" l="1"/>
  <c r="R1382" i="11"/>
  <c r="S1381" i="11"/>
  <c r="R1381" i="11"/>
  <c r="S1380" i="11"/>
  <c r="R1380" i="11"/>
  <c r="S1379" i="11"/>
  <c r="R1379" i="11"/>
  <c r="S1378" i="11"/>
  <c r="R1378" i="11"/>
  <c r="S1377" i="11"/>
  <c r="R1377" i="11"/>
  <c r="S1376" i="11"/>
  <c r="R1376" i="11"/>
  <c r="K42" i="3" l="1"/>
  <c r="J42" i="3"/>
  <c r="S1411" i="11"/>
  <c r="R1411" i="11"/>
  <c r="S1410" i="11"/>
  <c r="R1410" i="11"/>
  <c r="S1371" i="11" l="1"/>
  <c r="R1371" i="11"/>
  <c r="S1370" i="11" l="1"/>
  <c r="R1370" i="11"/>
  <c r="S1369" i="11"/>
  <c r="R1369" i="11"/>
  <c r="S1368" i="11"/>
  <c r="R1368" i="11"/>
  <c r="S1367" i="11" l="1"/>
  <c r="R1367" i="11"/>
  <c r="S1359" i="11"/>
  <c r="R1359" i="11"/>
  <c r="S1365" i="11"/>
  <c r="R1365" i="11"/>
  <c r="S1364" i="11"/>
  <c r="R1364" i="11"/>
  <c r="S1363" i="11"/>
  <c r="R1363" i="11"/>
  <c r="S1362" i="11"/>
  <c r="R1362" i="11"/>
  <c r="S1361" i="11"/>
  <c r="R1361" i="11"/>
  <c r="S1360" i="11"/>
  <c r="R1360" i="11"/>
  <c r="S1358" i="11" l="1"/>
  <c r="R1358" i="11"/>
  <c r="S1357" i="11"/>
  <c r="R1357" i="11"/>
  <c r="S1356" i="11"/>
  <c r="R1356" i="11"/>
  <c r="S1355" i="11"/>
  <c r="R1355" i="11"/>
  <c r="S1354" i="11"/>
  <c r="R1354" i="11"/>
  <c r="S1353" i="11"/>
  <c r="R1353" i="11"/>
  <c r="S1352" i="11"/>
  <c r="R1352" i="11"/>
  <c r="S1346" i="11"/>
  <c r="R1346" i="11"/>
  <c r="S1344" i="11"/>
  <c r="R1344" i="11"/>
  <c r="S1343" i="11"/>
  <c r="R1343" i="11"/>
  <c r="S1341" i="11"/>
  <c r="R1341" i="11"/>
  <c r="S1340" i="11"/>
  <c r="R1340" i="11"/>
  <c r="S1280" i="11" l="1"/>
  <c r="R1280" i="11"/>
  <c r="S1232" i="11"/>
  <c r="R1232" i="11"/>
  <c r="S1203" i="11"/>
  <c r="R1203" i="11"/>
  <c r="S1138" i="11"/>
  <c r="R1138" i="11"/>
  <c r="S1137" i="11"/>
  <c r="R1137" i="11"/>
  <c r="S1136" i="11"/>
  <c r="R1136" i="11"/>
  <c r="S1135" i="11"/>
  <c r="R1135" i="11"/>
  <c r="S1134" i="11"/>
  <c r="R1134" i="11"/>
  <c r="S1133" i="11"/>
  <c r="R1133" i="11"/>
  <c r="S1132" i="11" l="1"/>
  <c r="R1132" i="11"/>
  <c r="S1131" i="11"/>
  <c r="R1131" i="11"/>
  <c r="S1130" i="11"/>
  <c r="R1130" i="11"/>
  <c r="S1129" i="11"/>
  <c r="R1129" i="11"/>
  <c r="S1128" i="11"/>
  <c r="R1128" i="11"/>
  <c r="S1127" i="11"/>
  <c r="R1127" i="11"/>
  <c r="S1126" i="11"/>
  <c r="R1126" i="11"/>
  <c r="S1125" i="11"/>
  <c r="R1125" i="11"/>
  <c r="S1124" i="11"/>
  <c r="R1124" i="11"/>
  <c r="S1123" i="11"/>
  <c r="R1123" i="11"/>
  <c r="S1122" i="11"/>
  <c r="R1122" i="11"/>
  <c r="S1121" i="11"/>
  <c r="R1121" i="11"/>
  <c r="S918" i="11"/>
  <c r="R918" i="11"/>
  <c r="J45" i="3"/>
  <c r="S1279" i="11"/>
  <c r="R1279" i="11"/>
  <c r="S1278" i="11"/>
  <c r="R1278" i="11"/>
  <c r="S1277" i="11"/>
  <c r="R1277" i="11"/>
  <c r="S1276" i="11"/>
  <c r="R1276" i="11"/>
  <c r="S1120" i="11"/>
  <c r="R1120" i="11"/>
  <c r="S1119" i="11"/>
  <c r="R1119" i="11"/>
  <c r="S917" i="11"/>
  <c r="R917" i="11"/>
  <c r="S1339" i="11" l="1"/>
  <c r="R1339" i="11"/>
  <c r="S1338" i="11"/>
  <c r="R1338" i="11"/>
  <c r="S1336" i="11"/>
  <c r="R1336" i="11"/>
  <c r="S1334" i="11" l="1"/>
  <c r="R1334" i="11"/>
  <c r="S1333" i="11"/>
  <c r="R1333" i="11"/>
  <c r="Q6" i="8" l="1"/>
  <c r="Q5" i="8"/>
  <c r="S1312" i="11" l="1"/>
  <c r="R1312" i="11"/>
  <c r="S1324" i="11"/>
  <c r="R1324" i="11"/>
  <c r="S1323" i="11"/>
  <c r="R1323" i="11"/>
  <c r="S1322" i="11"/>
  <c r="R1322" i="11"/>
  <c r="S1321" i="11"/>
  <c r="R1321" i="11"/>
  <c r="S1320" i="11"/>
  <c r="R1320" i="11"/>
  <c r="S1319" i="11"/>
  <c r="R1319" i="11"/>
  <c r="R6" i="11" l="1"/>
  <c r="S6" i="11"/>
  <c r="R7" i="11"/>
  <c r="S7" i="11"/>
  <c r="R8" i="11"/>
  <c r="S8" i="11"/>
  <c r="R9" i="11"/>
  <c r="S9" i="11"/>
  <c r="R10" i="11"/>
  <c r="S10" i="11"/>
  <c r="R11" i="11"/>
  <c r="S11" i="11"/>
  <c r="R12" i="11"/>
  <c r="S12" i="11"/>
  <c r="R13" i="11"/>
  <c r="S13" i="11"/>
  <c r="R14" i="11"/>
  <c r="S14" i="11"/>
  <c r="R15" i="11"/>
  <c r="S15" i="11"/>
  <c r="R16" i="11"/>
  <c r="S16" i="11"/>
  <c r="R17" i="11"/>
  <c r="S17" i="11"/>
  <c r="R18" i="11"/>
  <c r="S18" i="11"/>
  <c r="R19" i="11"/>
  <c r="S19" i="11"/>
  <c r="R20" i="11"/>
  <c r="S20" i="11"/>
  <c r="R21" i="11"/>
  <c r="S21" i="11"/>
  <c r="R22" i="11"/>
  <c r="S22" i="11"/>
  <c r="R23" i="11"/>
  <c r="S23" i="11"/>
  <c r="R24" i="11"/>
  <c r="S24" i="11"/>
  <c r="R25" i="11"/>
  <c r="S25" i="11"/>
  <c r="R26" i="11"/>
  <c r="S26" i="11"/>
  <c r="R27" i="11"/>
  <c r="S27" i="11"/>
  <c r="R28" i="11"/>
  <c r="S28" i="11"/>
  <c r="R29" i="11"/>
  <c r="S29" i="11"/>
  <c r="R30" i="11"/>
  <c r="S30" i="11"/>
  <c r="R31" i="11"/>
  <c r="S31" i="11"/>
  <c r="R32" i="11"/>
  <c r="S32" i="11"/>
  <c r="R33" i="11"/>
  <c r="S33" i="11"/>
  <c r="R34" i="11"/>
  <c r="S34" i="11"/>
  <c r="R35" i="11"/>
  <c r="S35" i="11"/>
  <c r="R36" i="11"/>
  <c r="S36" i="11"/>
  <c r="R37" i="11"/>
  <c r="S37" i="11"/>
  <c r="R38" i="11"/>
  <c r="S38" i="11"/>
  <c r="R39" i="11"/>
  <c r="S39" i="11"/>
  <c r="R40" i="11"/>
  <c r="S40" i="11"/>
  <c r="R41" i="11"/>
  <c r="S41" i="11"/>
  <c r="R42" i="11"/>
  <c r="S42" i="11"/>
  <c r="R43" i="11"/>
  <c r="S43" i="11"/>
  <c r="R44" i="11"/>
  <c r="S44" i="11"/>
  <c r="R45" i="11"/>
  <c r="S45" i="11"/>
  <c r="R46" i="11"/>
  <c r="S46" i="11"/>
  <c r="R47" i="11"/>
  <c r="S47" i="11"/>
  <c r="R48" i="11"/>
  <c r="S48" i="11"/>
  <c r="R49" i="11"/>
  <c r="S49" i="11"/>
  <c r="R50" i="11"/>
  <c r="S50" i="11"/>
  <c r="R51" i="11"/>
  <c r="S51" i="11"/>
  <c r="R52" i="11"/>
  <c r="S52" i="11"/>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R91" i="11"/>
  <c r="S91" i="11"/>
  <c r="R92" i="11"/>
  <c r="S92" i="11"/>
  <c r="R93" i="11"/>
  <c r="S93" i="11"/>
  <c r="R94" i="11"/>
  <c r="S94" i="11"/>
  <c r="R95" i="11"/>
  <c r="S95"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R133" i="11"/>
  <c r="S133" i="11"/>
  <c r="R134" i="11"/>
  <c r="S134" i="11"/>
  <c r="R135" i="11"/>
  <c r="S135" i="11"/>
  <c r="R136" i="11"/>
  <c r="S136" i="11"/>
  <c r="R137" i="11"/>
  <c r="S137" i="11"/>
  <c r="R138" i="11"/>
  <c r="S138" i="11"/>
  <c r="R139" i="11"/>
  <c r="S139" i="11"/>
  <c r="R140" i="11"/>
  <c r="S140" i="11"/>
  <c r="R141" i="11"/>
  <c r="S141" i="11"/>
  <c r="R142" i="11"/>
  <c r="S142" i="11"/>
  <c r="R143" i="11"/>
  <c r="S143" i="11"/>
  <c r="R144" i="11"/>
  <c r="S144" i="11"/>
  <c r="R145" i="11"/>
  <c r="S145" i="11"/>
  <c r="R146" i="11"/>
  <c r="S146" i="11"/>
  <c r="R147" i="11"/>
  <c r="S147" i="11"/>
  <c r="R148" i="11"/>
  <c r="S148" i="11"/>
  <c r="R149" i="11"/>
  <c r="S149" i="11"/>
  <c r="R150" i="11"/>
  <c r="S150" i="11"/>
  <c r="R151" i="11"/>
  <c r="S151" i="11"/>
  <c r="R152" i="11"/>
  <c r="S152" i="11"/>
  <c r="R153" i="11"/>
  <c r="S153" i="11"/>
  <c r="R154" i="11"/>
  <c r="S154" i="11"/>
  <c r="R155" i="11"/>
  <c r="S155" i="11"/>
  <c r="R156" i="11"/>
  <c r="S156" i="11"/>
  <c r="R157" i="11"/>
  <c r="S157" i="11"/>
  <c r="R158" i="11"/>
  <c r="S158" i="11"/>
  <c r="R159" i="11"/>
  <c r="S159" i="11"/>
  <c r="R160" i="11"/>
  <c r="S160" i="11"/>
  <c r="R161" i="11"/>
  <c r="S161" i="11"/>
  <c r="R162" i="11"/>
  <c r="S162" i="11"/>
  <c r="R163" i="11"/>
  <c r="S163" i="11"/>
  <c r="R164" i="11"/>
  <c r="S164" i="11"/>
  <c r="R165" i="11"/>
  <c r="S165" i="11"/>
  <c r="R166" i="11"/>
  <c r="S166" i="11"/>
  <c r="R167" i="11"/>
  <c r="S167" i="11"/>
  <c r="R168" i="11"/>
  <c r="S168" i="11"/>
  <c r="R169" i="11"/>
  <c r="S169" i="11"/>
  <c r="R170" i="11"/>
  <c r="S170" i="11"/>
  <c r="R171" i="11"/>
  <c r="S171" i="11"/>
  <c r="R172" i="11"/>
  <c r="S172" i="11"/>
  <c r="R173" i="11"/>
  <c r="S173" i="11"/>
  <c r="R174" i="11"/>
  <c r="S174" i="11"/>
  <c r="R175" i="11"/>
  <c r="S175" i="11"/>
  <c r="R176" i="11"/>
  <c r="S176" i="11"/>
  <c r="R177" i="11"/>
  <c r="S177" i="11"/>
  <c r="R178" i="11"/>
  <c r="S178" i="11"/>
  <c r="R179" i="11"/>
  <c r="S179" i="11"/>
  <c r="R180" i="11"/>
  <c r="S180" i="11"/>
  <c r="R181" i="11"/>
  <c r="S181" i="11"/>
  <c r="R182" i="11"/>
  <c r="S182" i="11"/>
  <c r="R183" i="11"/>
  <c r="S183" i="11"/>
  <c r="R184" i="11"/>
  <c r="S184" i="11"/>
  <c r="R185" i="11"/>
  <c r="S185" i="11"/>
  <c r="R186" i="11"/>
  <c r="S186" i="11"/>
  <c r="R187" i="11"/>
  <c r="S187" i="11"/>
  <c r="R188" i="11"/>
  <c r="S188" i="11"/>
  <c r="R189" i="11"/>
  <c r="S189" i="11"/>
  <c r="R190" i="11"/>
  <c r="S190" i="11"/>
  <c r="R191" i="11"/>
  <c r="S191" i="11"/>
  <c r="R192" i="11"/>
  <c r="S192" i="11"/>
  <c r="R193" i="11"/>
  <c r="S193" i="11"/>
  <c r="R194" i="11"/>
  <c r="S194" i="11"/>
  <c r="R195" i="11"/>
  <c r="S195" i="11"/>
  <c r="R196" i="11"/>
  <c r="S196" i="11"/>
  <c r="R197" i="11"/>
  <c r="S197" i="11"/>
  <c r="R198" i="11"/>
  <c r="S198" i="11"/>
  <c r="R199" i="11"/>
  <c r="S199" i="11"/>
  <c r="R200" i="11"/>
  <c r="S200" i="11"/>
  <c r="R201" i="11"/>
  <c r="S201" i="11"/>
  <c r="R202" i="11"/>
  <c r="S202" i="11"/>
  <c r="R203" i="11"/>
  <c r="S203" i="11"/>
  <c r="R204" i="11"/>
  <c r="S204" i="11"/>
  <c r="R205" i="11"/>
  <c r="S205" i="11"/>
  <c r="R206" i="11"/>
  <c r="S206" i="11"/>
  <c r="R207" i="11"/>
  <c r="S207" i="11"/>
  <c r="R208" i="11"/>
  <c r="S208" i="11"/>
  <c r="R209" i="11"/>
  <c r="S209" i="11"/>
  <c r="R210" i="11"/>
  <c r="S210" i="11"/>
  <c r="R211" i="11"/>
  <c r="S211" i="11"/>
  <c r="R212" i="11"/>
  <c r="S212" i="11"/>
  <c r="R213" i="11"/>
  <c r="S213" i="11"/>
  <c r="R214" i="11"/>
  <c r="S214" i="11"/>
  <c r="R215" i="11"/>
  <c r="S215" i="11"/>
  <c r="R216" i="11"/>
  <c r="S216" i="11"/>
  <c r="R217" i="11"/>
  <c r="S217" i="11"/>
  <c r="R218" i="11"/>
  <c r="S218" i="11"/>
  <c r="R219" i="11"/>
  <c r="S219" i="11"/>
  <c r="R220" i="11"/>
  <c r="S220" i="11"/>
  <c r="R221" i="11"/>
  <c r="S221" i="11"/>
  <c r="R222" i="11"/>
  <c r="S222" i="11"/>
  <c r="R223" i="11"/>
  <c r="S223" i="11"/>
  <c r="R224" i="11"/>
  <c r="S224" i="11"/>
  <c r="R225" i="11"/>
  <c r="S225" i="11"/>
  <c r="R226" i="11"/>
  <c r="S226" i="11"/>
  <c r="R227" i="11"/>
  <c r="S227" i="11"/>
  <c r="R228" i="11"/>
  <c r="S228" i="11"/>
  <c r="R229" i="11"/>
  <c r="S229" i="11"/>
  <c r="R230" i="11"/>
  <c r="S230" i="11"/>
  <c r="R231" i="11"/>
  <c r="S231" i="11"/>
  <c r="R232" i="11"/>
  <c r="S232" i="11"/>
  <c r="R233" i="11"/>
  <c r="S233" i="11"/>
  <c r="R234" i="11"/>
  <c r="S234" i="11"/>
  <c r="R235" i="11"/>
  <c r="S235" i="11"/>
  <c r="R236" i="11"/>
  <c r="S236" i="11"/>
  <c r="R237" i="11"/>
  <c r="S237" i="11"/>
  <c r="R238" i="11"/>
  <c r="S238" i="11"/>
  <c r="R239" i="11"/>
  <c r="S239" i="11"/>
  <c r="R240" i="11"/>
  <c r="S240" i="11"/>
  <c r="R241" i="11"/>
  <c r="S241" i="11"/>
  <c r="R242" i="11"/>
  <c r="S242" i="11"/>
  <c r="R243" i="11"/>
  <c r="S243" i="11"/>
  <c r="R244" i="11"/>
  <c r="S244" i="11"/>
  <c r="R245" i="11"/>
  <c r="S245" i="11"/>
  <c r="R246" i="11"/>
  <c r="S246" i="11"/>
  <c r="R247" i="11"/>
  <c r="S247" i="11"/>
  <c r="R248" i="11"/>
  <c r="S248" i="11"/>
  <c r="R249" i="11"/>
  <c r="S249" i="11"/>
  <c r="R250" i="11"/>
  <c r="S250" i="11"/>
  <c r="R251" i="11"/>
  <c r="S251" i="11"/>
  <c r="R252" i="11"/>
  <c r="S252" i="11"/>
  <c r="R253" i="11"/>
  <c r="S253" i="11"/>
  <c r="R254" i="11"/>
  <c r="S254" i="11"/>
  <c r="R255" i="11"/>
  <c r="S255" i="11"/>
  <c r="R256" i="11"/>
  <c r="S256" i="11"/>
  <c r="R257" i="11"/>
  <c r="S257" i="11"/>
  <c r="R258" i="11"/>
  <c r="S258" i="11"/>
  <c r="R259" i="11"/>
  <c r="S259" i="11"/>
  <c r="R260" i="11"/>
  <c r="S260" i="11"/>
  <c r="R261" i="11"/>
  <c r="S261" i="11"/>
  <c r="R262" i="11"/>
  <c r="S262" i="11"/>
  <c r="R263" i="11"/>
  <c r="S263" i="11"/>
  <c r="R264" i="11"/>
  <c r="S264" i="11"/>
  <c r="R265" i="11"/>
  <c r="S265" i="11"/>
  <c r="R266" i="11"/>
  <c r="S266" i="11"/>
  <c r="R267" i="11"/>
  <c r="S267" i="11"/>
  <c r="R268" i="11"/>
  <c r="S268" i="11"/>
  <c r="R269" i="11"/>
  <c r="S269" i="11"/>
  <c r="R270" i="11"/>
  <c r="S270" i="11"/>
  <c r="R271" i="11"/>
  <c r="S271" i="11"/>
  <c r="R272" i="11"/>
  <c r="S272" i="11"/>
  <c r="R273" i="11"/>
  <c r="S273" i="11"/>
  <c r="R274" i="11"/>
  <c r="S274" i="11"/>
  <c r="R275" i="11"/>
  <c r="S275" i="11"/>
  <c r="R276" i="11"/>
  <c r="S276" i="11"/>
  <c r="R277" i="11"/>
  <c r="S277" i="11"/>
  <c r="R278" i="11"/>
  <c r="S278" i="11"/>
  <c r="R279" i="11"/>
  <c r="S279" i="11"/>
  <c r="R280" i="11"/>
  <c r="S280" i="11"/>
  <c r="R281" i="11"/>
  <c r="S281" i="11"/>
  <c r="R282" i="11"/>
  <c r="S282" i="11"/>
  <c r="R283" i="11"/>
  <c r="S283" i="11"/>
  <c r="R284" i="11"/>
  <c r="S284" i="11"/>
  <c r="R285" i="11"/>
  <c r="S285" i="11"/>
  <c r="R286" i="11"/>
  <c r="S286" i="11"/>
  <c r="R287" i="11"/>
  <c r="S287" i="11"/>
  <c r="R288" i="11"/>
  <c r="S288" i="11"/>
  <c r="R289" i="11"/>
  <c r="S289" i="11"/>
  <c r="R290" i="11"/>
  <c r="S290" i="11"/>
  <c r="R291" i="11"/>
  <c r="S291" i="11"/>
  <c r="R292" i="11"/>
  <c r="S292" i="11"/>
  <c r="R293" i="11"/>
  <c r="S293" i="11"/>
  <c r="R294" i="11"/>
  <c r="S294" i="11"/>
  <c r="R295" i="11"/>
  <c r="S295" i="11"/>
  <c r="R296" i="11"/>
  <c r="S296" i="11"/>
  <c r="R297" i="11"/>
  <c r="S297" i="11"/>
  <c r="R298" i="11"/>
  <c r="S298" i="11"/>
  <c r="R299" i="11"/>
  <c r="S299" i="11"/>
  <c r="R300" i="11"/>
  <c r="S300" i="11"/>
  <c r="R301" i="11"/>
  <c r="S301" i="11"/>
  <c r="R302" i="11"/>
  <c r="S302" i="11"/>
  <c r="R303" i="11"/>
  <c r="S303" i="11"/>
  <c r="R304" i="11"/>
  <c r="S304" i="11"/>
  <c r="R305" i="11"/>
  <c r="S305" i="11"/>
  <c r="R306" i="11"/>
  <c r="S306" i="11"/>
  <c r="R307" i="11"/>
  <c r="S307" i="11"/>
  <c r="R308" i="11"/>
  <c r="S308" i="11"/>
  <c r="R309" i="11"/>
  <c r="S309" i="11"/>
  <c r="R310" i="11"/>
  <c r="S310" i="11"/>
  <c r="R311" i="11"/>
  <c r="S311" i="11"/>
  <c r="R312" i="11"/>
  <c r="S312" i="11"/>
  <c r="R313" i="11"/>
  <c r="S313" i="11"/>
  <c r="R314" i="11"/>
  <c r="S314" i="11"/>
  <c r="R315" i="11"/>
  <c r="S315" i="11"/>
  <c r="R316" i="11"/>
  <c r="S316" i="11"/>
  <c r="R317" i="11"/>
  <c r="S317" i="11"/>
  <c r="R318" i="11"/>
  <c r="S318" i="11"/>
  <c r="R319" i="11"/>
  <c r="S319" i="11"/>
  <c r="R320" i="11"/>
  <c r="S320" i="11"/>
  <c r="R321" i="11"/>
  <c r="S321" i="11"/>
  <c r="R322" i="11"/>
  <c r="S322" i="11"/>
  <c r="R323" i="11"/>
  <c r="S323" i="11"/>
  <c r="R324" i="11"/>
  <c r="S324" i="11"/>
  <c r="R325" i="11"/>
  <c r="S325" i="11"/>
  <c r="R326" i="11"/>
  <c r="S326" i="11"/>
  <c r="R327" i="11"/>
  <c r="S327" i="11"/>
  <c r="R328" i="11"/>
  <c r="S328" i="11"/>
  <c r="R329" i="11"/>
  <c r="S329" i="11"/>
  <c r="R330" i="11"/>
  <c r="S330" i="11"/>
  <c r="R331" i="11"/>
  <c r="S331" i="11"/>
  <c r="R332" i="11"/>
  <c r="S332" i="11"/>
  <c r="R333" i="11"/>
  <c r="S333" i="11"/>
  <c r="R334" i="11"/>
  <c r="S334" i="11"/>
  <c r="R335" i="11"/>
  <c r="S335" i="11"/>
  <c r="R336" i="11"/>
  <c r="S336" i="11"/>
  <c r="R337" i="11"/>
  <c r="S337" i="11"/>
  <c r="R338" i="11"/>
  <c r="S338" i="11"/>
  <c r="R339" i="11"/>
  <c r="S339" i="11"/>
  <c r="R340" i="11"/>
  <c r="S340" i="11"/>
  <c r="R341" i="11"/>
  <c r="S341" i="11"/>
  <c r="R342" i="11"/>
  <c r="S342" i="11"/>
  <c r="R343" i="11"/>
  <c r="S343" i="11"/>
  <c r="R344" i="11"/>
  <c r="S344" i="11"/>
  <c r="R345" i="11"/>
  <c r="S345" i="11"/>
  <c r="R346" i="11"/>
  <c r="S346" i="11"/>
  <c r="R347" i="11"/>
  <c r="S347" i="11"/>
  <c r="R348" i="11"/>
  <c r="S348" i="11"/>
  <c r="R349" i="11"/>
  <c r="S349" i="11"/>
  <c r="R350" i="11"/>
  <c r="S350" i="11"/>
  <c r="R351" i="11"/>
  <c r="S351" i="11"/>
  <c r="R352" i="11"/>
  <c r="S352" i="11"/>
  <c r="R353" i="11"/>
  <c r="S353" i="11"/>
  <c r="R354" i="11"/>
  <c r="S354" i="11"/>
  <c r="R355" i="11"/>
  <c r="S355" i="11"/>
  <c r="R356" i="11"/>
  <c r="S356" i="11"/>
  <c r="R357" i="11"/>
  <c r="S357" i="11"/>
  <c r="R358" i="11"/>
  <c r="S358" i="11"/>
  <c r="R359" i="11"/>
  <c r="S359" i="11"/>
  <c r="R360" i="11"/>
  <c r="S360" i="11"/>
  <c r="R361" i="11"/>
  <c r="S361" i="11"/>
  <c r="R362" i="11"/>
  <c r="S362" i="11"/>
  <c r="R363" i="11"/>
  <c r="S363" i="11"/>
  <c r="R364" i="11"/>
  <c r="S364" i="11"/>
  <c r="R365" i="11"/>
  <c r="S365" i="11"/>
  <c r="R366" i="11"/>
  <c r="S366" i="11"/>
  <c r="R367" i="11"/>
  <c r="S367" i="11"/>
  <c r="R368" i="11"/>
  <c r="S368" i="11"/>
  <c r="R369" i="11"/>
  <c r="S369" i="11"/>
  <c r="R370" i="11"/>
  <c r="S370" i="11"/>
  <c r="R371" i="11"/>
  <c r="S371" i="11"/>
  <c r="R372" i="11"/>
  <c r="S372" i="11"/>
  <c r="R373" i="11"/>
  <c r="S373" i="11"/>
  <c r="R374" i="11"/>
  <c r="S374" i="11"/>
  <c r="R375" i="11"/>
  <c r="S375" i="11"/>
  <c r="R376" i="11"/>
  <c r="S376" i="11"/>
  <c r="R377" i="11"/>
  <c r="S377" i="11"/>
  <c r="R378" i="11"/>
  <c r="S378" i="11"/>
  <c r="R379" i="11"/>
  <c r="S379" i="11"/>
  <c r="R380" i="11"/>
  <c r="S380" i="11"/>
  <c r="R381" i="11"/>
  <c r="S381" i="11"/>
  <c r="R382" i="11"/>
  <c r="S382" i="11"/>
  <c r="R383" i="11"/>
  <c r="S383" i="11"/>
  <c r="R384" i="11"/>
  <c r="S384" i="11"/>
  <c r="R385" i="11"/>
  <c r="S385" i="11"/>
  <c r="R386" i="11"/>
  <c r="S386" i="11"/>
  <c r="R387" i="11"/>
  <c r="S387" i="11"/>
  <c r="R388" i="11"/>
  <c r="S388" i="11"/>
  <c r="R389" i="11"/>
  <c r="S389" i="11"/>
  <c r="R390" i="11"/>
  <c r="S390" i="11"/>
  <c r="R391" i="11"/>
  <c r="S391" i="11"/>
  <c r="R392" i="11"/>
  <c r="S392" i="11"/>
  <c r="R393" i="11"/>
  <c r="S393" i="11"/>
  <c r="R394" i="11"/>
  <c r="S394" i="11"/>
  <c r="R395" i="11"/>
  <c r="S395" i="11"/>
  <c r="R396" i="11"/>
  <c r="S396" i="11"/>
  <c r="R397" i="11"/>
  <c r="S397" i="11"/>
  <c r="R398" i="11"/>
  <c r="S398" i="11"/>
  <c r="R399" i="11"/>
  <c r="S399" i="11"/>
  <c r="R400" i="11"/>
  <c r="S400" i="11"/>
  <c r="R401" i="11"/>
  <c r="S401" i="11"/>
  <c r="R402" i="11"/>
  <c r="S402" i="11"/>
  <c r="R403" i="11"/>
  <c r="S403" i="11"/>
  <c r="R404" i="11"/>
  <c r="S404" i="11"/>
  <c r="R405" i="11"/>
  <c r="S405" i="11"/>
  <c r="R406" i="11"/>
  <c r="S406" i="11"/>
  <c r="R407" i="11"/>
  <c r="S407" i="11"/>
  <c r="R408" i="11"/>
  <c r="S408" i="11"/>
  <c r="R409" i="11"/>
  <c r="S409" i="11"/>
  <c r="R410" i="11"/>
  <c r="S410" i="11"/>
  <c r="R411" i="11"/>
  <c r="S411" i="11"/>
  <c r="R412" i="11"/>
  <c r="S412" i="11"/>
  <c r="R413" i="11"/>
  <c r="S413" i="11"/>
  <c r="R414" i="11"/>
  <c r="S414" i="11"/>
  <c r="R415" i="11"/>
  <c r="S415" i="11"/>
  <c r="R416" i="11"/>
  <c r="S416" i="11"/>
  <c r="R417" i="11"/>
  <c r="S417" i="11"/>
  <c r="R418" i="11"/>
  <c r="S418" i="11"/>
  <c r="R419" i="11"/>
  <c r="S419" i="11"/>
  <c r="R420" i="11"/>
  <c r="S420" i="11"/>
  <c r="R421" i="11"/>
  <c r="S421" i="11"/>
  <c r="R422" i="11"/>
  <c r="S422" i="11"/>
  <c r="R423" i="11"/>
  <c r="S423" i="11"/>
  <c r="R424" i="11"/>
  <c r="S424" i="11"/>
  <c r="R425" i="11"/>
  <c r="S425" i="11"/>
  <c r="R426" i="11"/>
  <c r="S426" i="11"/>
  <c r="R427" i="11"/>
  <c r="S427" i="11"/>
  <c r="R428" i="11"/>
  <c r="S428" i="11"/>
  <c r="R429" i="11"/>
  <c r="S429" i="11"/>
  <c r="R430" i="11"/>
  <c r="S430" i="11"/>
  <c r="R431" i="11"/>
  <c r="S431" i="11"/>
  <c r="R432" i="11"/>
  <c r="S432" i="11"/>
  <c r="R433" i="11"/>
  <c r="S433" i="11"/>
  <c r="R434" i="11"/>
  <c r="S434" i="11"/>
  <c r="R435" i="11"/>
  <c r="S435" i="11"/>
  <c r="R436" i="11"/>
  <c r="S436" i="11"/>
  <c r="R437" i="11"/>
  <c r="S437" i="11"/>
  <c r="R438" i="11"/>
  <c r="S438" i="11"/>
  <c r="R439" i="11"/>
  <c r="S439" i="11"/>
  <c r="R440" i="11"/>
  <c r="S440" i="11"/>
  <c r="R441" i="11"/>
  <c r="S441" i="11"/>
  <c r="R442" i="11"/>
  <c r="S442" i="11"/>
  <c r="R443" i="11"/>
  <c r="S443" i="11"/>
  <c r="R444" i="11"/>
  <c r="S444" i="11"/>
  <c r="R445" i="11"/>
  <c r="S445" i="11"/>
  <c r="R446" i="11"/>
  <c r="S446" i="11"/>
  <c r="R447" i="11"/>
  <c r="S447" i="11"/>
  <c r="R448" i="11"/>
  <c r="S448" i="11"/>
  <c r="R449" i="11"/>
  <c r="S449" i="11"/>
  <c r="R450" i="11"/>
  <c r="S450" i="11"/>
  <c r="R451" i="11"/>
  <c r="S451" i="11"/>
  <c r="R452" i="11"/>
  <c r="S452" i="11"/>
  <c r="R453" i="11"/>
  <c r="S453" i="11"/>
  <c r="R454" i="11"/>
  <c r="S454" i="11"/>
  <c r="R455" i="11"/>
  <c r="S455" i="11"/>
  <c r="R456" i="11"/>
  <c r="S456" i="11"/>
  <c r="R457" i="11"/>
  <c r="S457" i="11"/>
  <c r="R458" i="11"/>
  <c r="S458" i="11"/>
  <c r="R459" i="11"/>
  <c r="S459" i="11"/>
  <c r="R460" i="11"/>
  <c r="S460" i="11"/>
  <c r="R461" i="11"/>
  <c r="S461" i="11"/>
  <c r="R462" i="11"/>
  <c r="S462" i="11"/>
  <c r="R463" i="11"/>
  <c r="S463" i="11"/>
  <c r="R464" i="11"/>
  <c r="S464" i="11"/>
  <c r="R465" i="11"/>
  <c r="S465" i="11"/>
  <c r="R466" i="11"/>
  <c r="S466" i="11"/>
  <c r="R467" i="11"/>
  <c r="S467" i="11"/>
  <c r="R468" i="11"/>
  <c r="S468" i="11"/>
  <c r="R469" i="11"/>
  <c r="S469" i="11"/>
  <c r="R470" i="11"/>
  <c r="S470" i="11"/>
  <c r="R471" i="11"/>
  <c r="S471" i="11"/>
  <c r="R472" i="11"/>
  <c r="S472" i="11"/>
  <c r="R473" i="11"/>
  <c r="S473" i="11"/>
  <c r="R474" i="11"/>
  <c r="S474" i="11"/>
  <c r="R475" i="11"/>
  <c r="S475" i="11"/>
  <c r="R476" i="11"/>
  <c r="S476" i="11"/>
  <c r="R477" i="11"/>
  <c r="S477" i="11"/>
  <c r="R478" i="11"/>
  <c r="S478" i="11"/>
  <c r="R479" i="11"/>
  <c r="S479" i="11"/>
  <c r="R480" i="11"/>
  <c r="S480" i="11"/>
  <c r="R481" i="11"/>
  <c r="S481" i="11"/>
  <c r="R482" i="11"/>
  <c r="S482" i="11"/>
  <c r="R483" i="11"/>
  <c r="S483" i="11"/>
  <c r="R484" i="11"/>
  <c r="S484" i="11"/>
  <c r="R485" i="11"/>
  <c r="S485" i="11"/>
  <c r="R486" i="11"/>
  <c r="S486" i="11"/>
  <c r="R487" i="11"/>
  <c r="S487" i="11"/>
  <c r="R488" i="11"/>
  <c r="S488" i="11"/>
  <c r="R489" i="11"/>
  <c r="S489" i="11"/>
  <c r="R490" i="11"/>
  <c r="S490" i="11"/>
  <c r="R491" i="11"/>
  <c r="S491" i="11"/>
  <c r="R492" i="11"/>
  <c r="S492" i="11"/>
  <c r="R493" i="11"/>
  <c r="S493" i="11"/>
  <c r="R494" i="11"/>
  <c r="S494" i="11"/>
  <c r="R495" i="11"/>
  <c r="S495" i="11"/>
  <c r="R496" i="11"/>
  <c r="S496" i="11"/>
  <c r="R497" i="11"/>
  <c r="S497" i="11"/>
  <c r="R498" i="11"/>
  <c r="S498" i="11"/>
  <c r="R499" i="11"/>
  <c r="S499" i="11"/>
  <c r="R500" i="11"/>
  <c r="S500" i="11"/>
  <c r="R501" i="11"/>
  <c r="S501" i="11"/>
  <c r="R502" i="11"/>
  <c r="S502" i="11"/>
  <c r="R503" i="11"/>
  <c r="S503" i="11"/>
  <c r="R504" i="11"/>
  <c r="S504" i="11"/>
  <c r="R505" i="11"/>
  <c r="S505" i="11"/>
  <c r="R508" i="11"/>
  <c r="S508" i="11"/>
  <c r="R509" i="11"/>
  <c r="S509" i="11"/>
  <c r="R510" i="11"/>
  <c r="S510" i="11"/>
  <c r="R511" i="11"/>
  <c r="S511" i="11"/>
  <c r="R512" i="11"/>
  <c r="S512" i="11"/>
  <c r="R513" i="11"/>
  <c r="S513" i="11"/>
  <c r="R514" i="11"/>
  <c r="S514" i="11"/>
  <c r="R515" i="11"/>
  <c r="S515" i="11"/>
  <c r="R516" i="11"/>
  <c r="S516" i="11"/>
  <c r="R517" i="11"/>
  <c r="S517" i="11"/>
  <c r="R518" i="11"/>
  <c r="S518" i="11"/>
  <c r="R519" i="11"/>
  <c r="S519" i="11"/>
  <c r="R520" i="11"/>
  <c r="S520" i="11"/>
  <c r="R521" i="11"/>
  <c r="S521" i="11"/>
  <c r="R522" i="11"/>
  <c r="S522" i="11"/>
  <c r="R523" i="11"/>
  <c r="S523" i="11"/>
  <c r="R524" i="11"/>
  <c r="S524" i="11"/>
  <c r="R525" i="11"/>
  <c r="S525" i="11"/>
  <c r="R526" i="11"/>
  <c r="S526" i="11"/>
  <c r="R527" i="11"/>
  <c r="S527" i="11"/>
  <c r="R528" i="11"/>
  <c r="S528" i="11"/>
  <c r="R529" i="11"/>
  <c r="S529" i="11"/>
  <c r="R530" i="11"/>
  <c r="S530" i="11"/>
  <c r="R531" i="11"/>
  <c r="S531" i="11"/>
  <c r="R532" i="11"/>
  <c r="S532" i="11"/>
  <c r="R533" i="11"/>
  <c r="S533" i="11"/>
  <c r="R534" i="11"/>
  <c r="S534" i="11"/>
  <c r="R535" i="11"/>
  <c r="S535" i="11"/>
  <c r="R536" i="11"/>
  <c r="S536" i="11"/>
  <c r="R537" i="11"/>
  <c r="S537" i="11"/>
  <c r="R538" i="11"/>
  <c r="S538" i="11"/>
  <c r="R539" i="11"/>
  <c r="S539" i="11"/>
  <c r="R540" i="11"/>
  <c r="S540" i="11"/>
  <c r="R541" i="11"/>
  <c r="S541" i="11"/>
  <c r="R542" i="11"/>
  <c r="S542" i="11"/>
  <c r="R543" i="11"/>
  <c r="S543" i="11"/>
  <c r="R544" i="11"/>
  <c r="S544" i="11"/>
  <c r="R545" i="11"/>
  <c r="S545" i="11"/>
  <c r="R546" i="11"/>
  <c r="S546" i="11"/>
  <c r="R547" i="11"/>
  <c r="S547" i="11"/>
  <c r="R548" i="11"/>
  <c r="S548" i="11"/>
  <c r="R549" i="11"/>
  <c r="S549" i="11"/>
  <c r="R550" i="11"/>
  <c r="S550" i="11"/>
  <c r="R551" i="11"/>
  <c r="S551" i="11"/>
  <c r="R552" i="11"/>
  <c r="S552" i="11"/>
  <c r="R553" i="11"/>
  <c r="S553" i="11"/>
  <c r="R554" i="11"/>
  <c r="S554" i="11"/>
  <c r="R555" i="11"/>
  <c r="S555" i="11"/>
  <c r="R556" i="11"/>
  <c r="S556" i="11"/>
  <c r="R557" i="11"/>
  <c r="S557" i="11"/>
  <c r="R558" i="11"/>
  <c r="S558" i="11"/>
  <c r="R559" i="11"/>
  <c r="S559" i="11"/>
  <c r="R560" i="11"/>
  <c r="S560" i="11"/>
  <c r="R561" i="11"/>
  <c r="S561" i="11"/>
  <c r="R562" i="11"/>
  <c r="S562" i="11"/>
  <c r="R563" i="11"/>
  <c r="S563" i="11"/>
  <c r="R564" i="11"/>
  <c r="S564" i="11"/>
  <c r="R565" i="11"/>
  <c r="S565" i="11"/>
  <c r="R566" i="11"/>
  <c r="S566" i="11"/>
  <c r="R567" i="11"/>
  <c r="S567" i="11"/>
  <c r="R568" i="11"/>
  <c r="S568" i="11"/>
  <c r="R569" i="11"/>
  <c r="S569" i="11"/>
  <c r="R570" i="11"/>
  <c r="S570" i="11"/>
  <c r="R571" i="11"/>
  <c r="S571" i="11"/>
  <c r="R572" i="11"/>
  <c r="S572" i="11"/>
  <c r="R573" i="11"/>
  <c r="S573" i="11"/>
  <c r="R574" i="11"/>
  <c r="S574" i="11"/>
  <c r="R575" i="11"/>
  <c r="S575" i="11"/>
  <c r="R576" i="11"/>
  <c r="S576" i="11"/>
  <c r="R577" i="11"/>
  <c r="S577" i="11"/>
  <c r="R578" i="11"/>
  <c r="S578" i="11"/>
  <c r="R579" i="11"/>
  <c r="S579" i="11"/>
  <c r="R580" i="11"/>
  <c r="S580" i="11"/>
  <c r="R581" i="11"/>
  <c r="S581" i="11"/>
  <c r="R582" i="11"/>
  <c r="S582" i="11"/>
  <c r="R583" i="11"/>
  <c r="S583" i="11"/>
  <c r="R584" i="11"/>
  <c r="S584" i="11"/>
  <c r="R585" i="11"/>
  <c r="S585" i="11"/>
  <c r="R586" i="11"/>
  <c r="S586" i="11"/>
  <c r="R587" i="11"/>
  <c r="S587" i="11"/>
  <c r="R588" i="11"/>
  <c r="S588" i="11"/>
  <c r="R589" i="11"/>
  <c r="S589" i="11"/>
  <c r="R590" i="11"/>
  <c r="S590" i="11"/>
  <c r="R591" i="11"/>
  <c r="S591" i="11"/>
  <c r="R592" i="11"/>
  <c r="S592" i="11"/>
  <c r="R593" i="11"/>
  <c r="S593" i="11"/>
  <c r="R594" i="11"/>
  <c r="S594" i="11"/>
  <c r="R595" i="11"/>
  <c r="S595" i="11"/>
  <c r="R596" i="11"/>
  <c r="S596" i="11"/>
  <c r="R597" i="11"/>
  <c r="S597" i="11"/>
  <c r="R598" i="11"/>
  <c r="S598" i="11"/>
  <c r="R599" i="11"/>
  <c r="S599" i="11"/>
  <c r="R600" i="11"/>
  <c r="S600" i="11"/>
  <c r="R601" i="11"/>
  <c r="S601" i="11"/>
  <c r="R602" i="11"/>
  <c r="S602" i="11"/>
  <c r="R603" i="11"/>
  <c r="S603" i="11"/>
  <c r="R604" i="11"/>
  <c r="S604" i="11"/>
  <c r="R605" i="11"/>
  <c r="S605" i="11"/>
  <c r="R606" i="11"/>
  <c r="S606" i="11"/>
  <c r="R607" i="11"/>
  <c r="S607" i="11"/>
  <c r="R608" i="11"/>
  <c r="S608" i="11"/>
  <c r="R609" i="11"/>
  <c r="S609" i="11"/>
  <c r="R610" i="11"/>
  <c r="S610" i="11"/>
  <c r="R611" i="11"/>
  <c r="S611" i="11"/>
  <c r="R612" i="11"/>
  <c r="S612" i="11"/>
  <c r="R613" i="11"/>
  <c r="S613" i="11"/>
  <c r="R614" i="11"/>
  <c r="S614" i="11"/>
  <c r="R615" i="11"/>
  <c r="S615" i="11"/>
  <c r="R616" i="11"/>
  <c r="S616" i="11"/>
  <c r="R617" i="11"/>
  <c r="S617" i="11"/>
  <c r="R618" i="11"/>
  <c r="S618" i="11"/>
  <c r="R619" i="11"/>
  <c r="S619" i="11"/>
  <c r="R620" i="11"/>
  <c r="S620" i="11"/>
  <c r="R621" i="11"/>
  <c r="S621" i="11"/>
  <c r="R622" i="11"/>
  <c r="S622" i="11"/>
  <c r="R623" i="11"/>
  <c r="S623" i="11"/>
  <c r="R624" i="11"/>
  <c r="S624" i="11"/>
  <c r="R625" i="11"/>
  <c r="S625" i="11"/>
  <c r="R626" i="11"/>
  <c r="S626" i="11"/>
  <c r="R627" i="11"/>
  <c r="S627" i="11"/>
  <c r="R628" i="11"/>
  <c r="S628" i="11"/>
  <c r="R629" i="11"/>
  <c r="S629" i="11"/>
  <c r="R630" i="11"/>
  <c r="S630" i="11"/>
  <c r="R631" i="11"/>
  <c r="S631" i="11"/>
  <c r="R632" i="11"/>
  <c r="S632" i="11"/>
  <c r="R633" i="11"/>
  <c r="S633" i="11"/>
  <c r="R634" i="11"/>
  <c r="S634" i="11"/>
  <c r="R635" i="11"/>
  <c r="S635" i="11"/>
  <c r="R636" i="11"/>
  <c r="S636" i="11"/>
  <c r="R637" i="11"/>
  <c r="S637" i="11"/>
  <c r="R638" i="11"/>
  <c r="S638" i="11"/>
  <c r="R639" i="11"/>
  <c r="S639" i="11"/>
  <c r="R640" i="11"/>
  <c r="S640" i="11"/>
  <c r="R641" i="11"/>
  <c r="S641" i="11"/>
  <c r="R642" i="11"/>
  <c r="S642" i="11"/>
  <c r="R643" i="11"/>
  <c r="S643" i="11"/>
  <c r="R644" i="11"/>
  <c r="S644" i="11"/>
  <c r="R645" i="11"/>
  <c r="S645" i="11"/>
  <c r="R646" i="11"/>
  <c r="S646" i="11"/>
  <c r="R647" i="11"/>
  <c r="S647" i="11"/>
  <c r="R648" i="11"/>
  <c r="S648" i="11"/>
  <c r="R649" i="11"/>
  <c r="S649" i="11"/>
  <c r="R650" i="11"/>
  <c r="S650" i="11"/>
  <c r="R651" i="11"/>
  <c r="S651" i="11"/>
  <c r="R652" i="11"/>
  <c r="S652" i="11"/>
  <c r="R653" i="11"/>
  <c r="S653" i="11"/>
  <c r="R654" i="11"/>
  <c r="S654" i="11"/>
  <c r="R655" i="11"/>
  <c r="S655" i="11"/>
  <c r="R656" i="11"/>
  <c r="S656" i="11"/>
  <c r="R657" i="11"/>
  <c r="S657" i="11"/>
  <c r="R658" i="11"/>
  <c r="S658" i="11"/>
  <c r="R659" i="11"/>
  <c r="S659" i="11"/>
  <c r="R660" i="11"/>
  <c r="S660" i="11"/>
  <c r="R661" i="11"/>
  <c r="S661" i="11"/>
  <c r="R662" i="11"/>
  <c r="S662" i="11"/>
  <c r="R663" i="11"/>
  <c r="S663" i="11"/>
  <c r="R664" i="11"/>
  <c r="S664" i="11"/>
  <c r="R665" i="11"/>
  <c r="S665" i="11"/>
  <c r="R666" i="11"/>
  <c r="S666" i="11"/>
  <c r="R667" i="11"/>
  <c r="S667" i="11"/>
  <c r="R668" i="11"/>
  <c r="S668" i="11"/>
  <c r="R669" i="11"/>
  <c r="S669" i="11"/>
  <c r="R670" i="11"/>
  <c r="S670" i="11"/>
  <c r="R671" i="11"/>
  <c r="S671" i="11"/>
  <c r="R672" i="11"/>
  <c r="S672" i="11"/>
  <c r="R673" i="11"/>
  <c r="S673" i="11"/>
  <c r="R674" i="11"/>
  <c r="S674" i="11"/>
  <c r="R675" i="11"/>
  <c r="S675" i="11"/>
  <c r="R676" i="11"/>
  <c r="S676" i="11"/>
  <c r="R678" i="11"/>
  <c r="S678" i="11"/>
  <c r="R679" i="11"/>
  <c r="S679" i="11"/>
  <c r="R680" i="11"/>
  <c r="S680" i="11"/>
  <c r="R681" i="11"/>
  <c r="S681" i="11"/>
  <c r="R682" i="11"/>
  <c r="S682" i="11"/>
  <c r="R683" i="11"/>
  <c r="S683" i="11"/>
  <c r="R684" i="11"/>
  <c r="S684" i="11"/>
  <c r="R686" i="11"/>
  <c r="S686" i="11"/>
  <c r="R687" i="11"/>
  <c r="S687" i="11"/>
  <c r="R688" i="11"/>
  <c r="S688" i="11"/>
  <c r="R689" i="11"/>
  <c r="S689" i="11"/>
  <c r="R690" i="11"/>
  <c r="S690" i="11"/>
  <c r="R691" i="11"/>
  <c r="S691" i="11"/>
  <c r="R692" i="11"/>
  <c r="S692" i="11"/>
  <c r="R693" i="11"/>
  <c r="S693" i="11"/>
  <c r="R694" i="11"/>
  <c r="S694" i="11"/>
  <c r="R695" i="11"/>
  <c r="S695" i="11"/>
  <c r="R696" i="11"/>
  <c r="S696" i="11"/>
  <c r="R697" i="11"/>
  <c r="S697" i="11"/>
  <c r="R698" i="11"/>
  <c r="S698" i="11"/>
  <c r="R699" i="11"/>
  <c r="S699" i="11"/>
  <c r="R700" i="11"/>
  <c r="S700" i="11"/>
  <c r="R701" i="11"/>
  <c r="S701" i="11"/>
  <c r="R702" i="11"/>
  <c r="S702" i="11"/>
  <c r="R703" i="11"/>
  <c r="S703" i="11"/>
  <c r="R704" i="11"/>
  <c r="S704" i="11"/>
  <c r="R705" i="11"/>
  <c r="S705" i="11"/>
  <c r="R706" i="11"/>
  <c r="S706" i="11"/>
  <c r="R707" i="11"/>
  <c r="S707" i="11"/>
  <c r="R708" i="11"/>
  <c r="S708" i="11"/>
  <c r="R709" i="11"/>
  <c r="S709" i="11"/>
  <c r="R710" i="11"/>
  <c r="S710" i="11"/>
  <c r="R711" i="11"/>
  <c r="S711" i="11"/>
  <c r="R712" i="11"/>
  <c r="S712" i="11"/>
  <c r="R713" i="11"/>
  <c r="S713" i="11"/>
  <c r="R714" i="11"/>
  <c r="S714" i="11"/>
  <c r="R715" i="11"/>
  <c r="S715" i="11"/>
  <c r="R716" i="11"/>
  <c r="S716" i="11"/>
  <c r="R717" i="11"/>
  <c r="S717" i="11"/>
  <c r="R718" i="11"/>
  <c r="S718" i="11"/>
  <c r="R719" i="11"/>
  <c r="S719" i="11"/>
  <c r="R720" i="11"/>
  <c r="S720" i="11"/>
  <c r="R721" i="11"/>
  <c r="S721" i="11"/>
  <c r="R722" i="11"/>
  <c r="S722" i="11"/>
  <c r="R723" i="11"/>
  <c r="S723" i="11"/>
  <c r="R724" i="11"/>
  <c r="S724" i="11"/>
  <c r="R725" i="11"/>
  <c r="S725" i="11"/>
  <c r="R726" i="11"/>
  <c r="S726" i="11"/>
  <c r="R727" i="11"/>
  <c r="S727" i="11"/>
  <c r="R728" i="11"/>
  <c r="S728" i="11"/>
  <c r="R729" i="11"/>
  <c r="S729" i="11"/>
  <c r="R730" i="11"/>
  <c r="S730" i="11"/>
  <c r="R731" i="11"/>
  <c r="S731" i="11"/>
  <c r="R732" i="11"/>
  <c r="S732" i="11"/>
  <c r="R733" i="11"/>
  <c r="S733" i="11"/>
  <c r="R737" i="11"/>
  <c r="S737" i="11"/>
  <c r="R738" i="11"/>
  <c r="S738" i="11"/>
  <c r="R739" i="11"/>
  <c r="S739" i="11"/>
  <c r="R740" i="11"/>
  <c r="S740" i="11"/>
  <c r="R741" i="11"/>
  <c r="S741" i="11"/>
  <c r="R742" i="11"/>
  <c r="S742" i="11"/>
  <c r="R743" i="11"/>
  <c r="S743" i="11"/>
  <c r="R744" i="11"/>
  <c r="S744" i="11"/>
  <c r="R745" i="11"/>
  <c r="S745" i="11"/>
  <c r="R746" i="11"/>
  <c r="S746" i="11"/>
  <c r="R747" i="11"/>
  <c r="S747" i="11"/>
  <c r="R753" i="11"/>
  <c r="S753" i="11"/>
  <c r="R754" i="11"/>
  <c r="S754" i="11"/>
  <c r="R755" i="11"/>
  <c r="S755" i="11"/>
  <c r="R756" i="11"/>
  <c r="S756" i="11"/>
  <c r="R757" i="11"/>
  <c r="S757" i="11"/>
  <c r="R758" i="11"/>
  <c r="S758" i="11"/>
  <c r="R759" i="11"/>
  <c r="S759" i="11"/>
  <c r="R760" i="11"/>
  <c r="S760" i="11"/>
  <c r="R761" i="11"/>
  <c r="S761" i="11"/>
  <c r="R762" i="11"/>
  <c r="S762" i="11"/>
  <c r="R763" i="11"/>
  <c r="S763" i="11"/>
  <c r="R764" i="11"/>
  <c r="S764" i="11"/>
  <c r="R765" i="11"/>
  <c r="S765" i="11"/>
  <c r="R766" i="11"/>
  <c r="S766" i="11"/>
  <c r="R767" i="11"/>
  <c r="S767" i="11"/>
  <c r="R768" i="11"/>
  <c r="S768" i="11"/>
  <c r="R769" i="11"/>
  <c r="S769" i="11"/>
  <c r="R770" i="11"/>
  <c r="S770" i="11"/>
  <c r="R771" i="11"/>
  <c r="S771" i="11"/>
  <c r="R772" i="11"/>
  <c r="S772" i="11"/>
  <c r="R773" i="11"/>
  <c r="S773" i="11"/>
  <c r="R774" i="11"/>
  <c r="S774" i="11"/>
  <c r="R775" i="11"/>
  <c r="S775" i="11"/>
  <c r="R776" i="11"/>
  <c r="S776" i="11"/>
  <c r="R777" i="11"/>
  <c r="S777" i="11"/>
  <c r="R778" i="11"/>
  <c r="S778" i="11"/>
  <c r="R779" i="11"/>
  <c r="S779" i="11"/>
  <c r="R780" i="11"/>
  <c r="S780" i="11"/>
  <c r="R781" i="11"/>
  <c r="S781" i="11"/>
  <c r="R782" i="11"/>
  <c r="S782" i="11"/>
  <c r="R783" i="11"/>
  <c r="S783" i="11"/>
  <c r="R784" i="11"/>
  <c r="S784" i="11"/>
  <c r="R785" i="11"/>
  <c r="S785" i="11"/>
  <c r="R786" i="11"/>
  <c r="S786" i="11"/>
  <c r="R787" i="11"/>
  <c r="S787" i="11"/>
  <c r="R788" i="11"/>
  <c r="S788" i="11"/>
  <c r="R789" i="11"/>
  <c r="S789" i="11"/>
  <c r="R790" i="11"/>
  <c r="S790" i="11"/>
  <c r="R791" i="11"/>
  <c r="S791" i="11"/>
  <c r="R792" i="11"/>
  <c r="S792" i="11"/>
  <c r="R793" i="11"/>
  <c r="S793" i="11"/>
  <c r="R794" i="11"/>
  <c r="S794" i="11"/>
  <c r="R795" i="11"/>
  <c r="S795" i="11"/>
  <c r="R796" i="11"/>
  <c r="S796" i="11"/>
  <c r="R797" i="11"/>
  <c r="S797" i="11"/>
  <c r="R798" i="11"/>
  <c r="S798" i="11"/>
  <c r="R799" i="11"/>
  <c r="S799" i="11"/>
  <c r="R800" i="11"/>
  <c r="S800" i="11"/>
  <c r="R801" i="11"/>
  <c r="S801" i="11"/>
  <c r="R802" i="11"/>
  <c r="S802" i="11"/>
  <c r="R803" i="11"/>
  <c r="S803" i="11"/>
  <c r="R804" i="11"/>
  <c r="S804" i="11"/>
  <c r="R805" i="11"/>
  <c r="S805" i="11"/>
  <c r="R806" i="11"/>
  <c r="S806" i="11"/>
  <c r="R807" i="11"/>
  <c r="S807" i="11"/>
  <c r="R808" i="11"/>
  <c r="S808" i="11"/>
  <c r="R809" i="11"/>
  <c r="S809" i="11"/>
  <c r="R810" i="11"/>
  <c r="S810" i="11"/>
  <c r="R811" i="11"/>
  <c r="S811" i="11"/>
  <c r="R812" i="11"/>
  <c r="S812" i="11"/>
  <c r="R813" i="11"/>
  <c r="S813" i="11"/>
  <c r="R814" i="11"/>
  <c r="S814" i="11"/>
  <c r="R815" i="11"/>
  <c r="S815" i="11"/>
  <c r="R816" i="11"/>
  <c r="S816" i="11"/>
  <c r="R819" i="11"/>
  <c r="S819" i="11"/>
  <c r="R820" i="11"/>
  <c r="S820" i="11"/>
  <c r="R821" i="11"/>
  <c r="S821" i="11"/>
  <c r="R822" i="11"/>
  <c r="S822" i="11"/>
  <c r="R823" i="11"/>
  <c r="S823" i="11"/>
  <c r="R824" i="11"/>
  <c r="S824" i="11"/>
  <c r="R825" i="11"/>
  <c r="S825" i="11"/>
  <c r="R826" i="11"/>
  <c r="S826" i="11"/>
  <c r="R827" i="11"/>
  <c r="S827" i="11"/>
  <c r="R831" i="11"/>
  <c r="S831" i="11"/>
  <c r="R832" i="11"/>
  <c r="S832" i="11"/>
  <c r="R833" i="11"/>
  <c r="S833" i="11"/>
  <c r="R834" i="11"/>
  <c r="S834" i="11"/>
  <c r="R835" i="11"/>
  <c r="S835" i="11"/>
  <c r="R836" i="11"/>
  <c r="S836" i="11"/>
  <c r="R837" i="11"/>
  <c r="S837" i="11"/>
  <c r="R838" i="11"/>
  <c r="S838" i="11"/>
  <c r="R839" i="11"/>
  <c r="S839" i="11"/>
  <c r="R840" i="11"/>
  <c r="S840" i="11"/>
  <c r="R841" i="11"/>
  <c r="S841" i="11"/>
  <c r="R842" i="11"/>
  <c r="S842" i="11"/>
  <c r="R843" i="11"/>
  <c r="S843" i="11"/>
  <c r="R844" i="11"/>
  <c r="S844" i="11"/>
  <c r="R845" i="11"/>
  <c r="S845" i="11"/>
  <c r="R846" i="11"/>
  <c r="S846" i="11"/>
  <c r="R847" i="11"/>
  <c r="S847" i="11"/>
  <c r="R848" i="11"/>
  <c r="S848" i="11"/>
  <c r="R849" i="11"/>
  <c r="S849" i="11"/>
  <c r="R850" i="11"/>
  <c r="S850" i="11"/>
  <c r="R851" i="11"/>
  <c r="S851" i="11"/>
  <c r="R852" i="11"/>
  <c r="S852" i="11"/>
  <c r="R853" i="11"/>
  <c r="S853" i="11"/>
  <c r="R854" i="11"/>
  <c r="S854" i="11"/>
  <c r="R855" i="11"/>
  <c r="S855" i="11"/>
  <c r="R858" i="11"/>
  <c r="S858" i="11"/>
  <c r="R859" i="11"/>
  <c r="S859" i="11"/>
  <c r="R860" i="11"/>
  <c r="S860" i="11"/>
  <c r="R861" i="11"/>
  <c r="S861" i="11"/>
  <c r="R862" i="11"/>
  <c r="S862" i="11"/>
  <c r="R865" i="11"/>
  <c r="S865" i="11"/>
  <c r="R866" i="11"/>
  <c r="S866" i="11"/>
  <c r="R867" i="11"/>
  <c r="S867" i="11"/>
  <c r="R868" i="11"/>
  <c r="S868" i="11"/>
  <c r="R869" i="11"/>
  <c r="S869" i="11"/>
  <c r="R870" i="11"/>
  <c r="S870" i="11"/>
  <c r="R871" i="11"/>
  <c r="S871" i="11"/>
  <c r="R872" i="11"/>
  <c r="S872" i="11"/>
  <c r="R873" i="11"/>
  <c r="S873" i="11"/>
  <c r="R874" i="11"/>
  <c r="S874" i="11"/>
  <c r="R875" i="11"/>
  <c r="S875" i="11"/>
  <c r="R876" i="11"/>
  <c r="S876" i="11"/>
  <c r="R877" i="11"/>
  <c r="S877" i="11"/>
  <c r="R878" i="11"/>
  <c r="S878" i="11"/>
  <c r="R883" i="11"/>
  <c r="S883" i="11"/>
  <c r="R884" i="11"/>
  <c r="S884" i="11"/>
  <c r="R885" i="11"/>
  <c r="S885" i="11"/>
  <c r="R886" i="11"/>
  <c r="S886" i="11"/>
  <c r="R887" i="11"/>
  <c r="S887" i="11"/>
  <c r="R888" i="11"/>
  <c r="S888" i="11"/>
  <c r="R889" i="11"/>
  <c r="S889" i="11"/>
  <c r="R890" i="11"/>
  <c r="S890" i="11"/>
  <c r="R891" i="11"/>
  <c r="S891" i="11"/>
  <c r="R892" i="11"/>
  <c r="S892" i="11"/>
  <c r="R893" i="11"/>
  <c r="S893" i="11"/>
  <c r="R894" i="11"/>
  <c r="S894" i="11"/>
  <c r="R895" i="11"/>
  <c r="S895" i="11"/>
  <c r="R897" i="11"/>
  <c r="S897" i="11"/>
  <c r="R898" i="11"/>
  <c r="S898" i="11"/>
  <c r="R899" i="11"/>
  <c r="S899" i="11"/>
  <c r="R900" i="11"/>
  <c r="S900" i="11"/>
  <c r="R901" i="11"/>
  <c r="S901" i="11"/>
  <c r="R902" i="11"/>
  <c r="S902" i="11"/>
  <c r="R903" i="11"/>
  <c r="S903" i="11"/>
  <c r="R904" i="11"/>
  <c r="S904" i="11"/>
  <c r="R905" i="11"/>
  <c r="S905" i="11"/>
  <c r="R906" i="11"/>
  <c r="S906" i="11"/>
  <c r="R907" i="11"/>
  <c r="S907" i="11"/>
  <c r="R908" i="11"/>
  <c r="S908" i="11"/>
  <c r="R909" i="11"/>
  <c r="S909" i="11"/>
  <c r="R910" i="11"/>
  <c r="S910" i="11"/>
  <c r="R911" i="11"/>
  <c r="S911" i="11"/>
  <c r="R912" i="11"/>
  <c r="S912" i="11"/>
  <c r="R913" i="11"/>
  <c r="S913" i="11"/>
  <c r="R914" i="11"/>
  <c r="S914" i="11"/>
  <c r="R915" i="11"/>
  <c r="S915" i="11"/>
  <c r="R916" i="11"/>
  <c r="S916" i="11"/>
  <c r="R931" i="11"/>
  <c r="S931" i="11"/>
  <c r="R932" i="11"/>
  <c r="S932" i="11"/>
  <c r="R933" i="11"/>
  <c r="S933" i="11"/>
  <c r="R934" i="11"/>
  <c r="S934" i="11"/>
  <c r="R935" i="11"/>
  <c r="S935" i="11"/>
  <c r="R936" i="11"/>
  <c r="S936" i="11"/>
  <c r="R937" i="11"/>
  <c r="S937" i="11"/>
  <c r="R938" i="11"/>
  <c r="S938" i="11"/>
  <c r="R939" i="11"/>
  <c r="S939" i="11"/>
  <c r="R940" i="11"/>
  <c r="S940" i="11"/>
  <c r="R941" i="11"/>
  <c r="S941" i="11"/>
  <c r="R942" i="11"/>
  <c r="S942" i="11"/>
  <c r="R943" i="11"/>
  <c r="S943" i="11"/>
  <c r="R944" i="11"/>
  <c r="S944" i="11"/>
  <c r="R945" i="11"/>
  <c r="S945" i="11"/>
  <c r="R946" i="11"/>
  <c r="S946" i="11"/>
  <c r="R947" i="11"/>
  <c r="S947" i="11"/>
  <c r="R948" i="11"/>
  <c r="S948" i="11"/>
  <c r="R949" i="11"/>
  <c r="S949" i="11"/>
  <c r="R950" i="11"/>
  <c r="S950" i="11"/>
  <c r="R951" i="11"/>
  <c r="S951" i="11"/>
  <c r="R952" i="11"/>
  <c r="S952" i="11"/>
  <c r="R953" i="11"/>
  <c r="S953" i="11"/>
  <c r="R954" i="11"/>
  <c r="S954" i="11"/>
  <c r="R955" i="11"/>
  <c r="S955" i="11"/>
  <c r="R956" i="11"/>
  <c r="S956" i="11"/>
  <c r="R957" i="11"/>
  <c r="S957" i="11"/>
  <c r="R958" i="11"/>
  <c r="S958" i="11"/>
  <c r="R959" i="11"/>
  <c r="S959" i="11"/>
  <c r="R960" i="11"/>
  <c r="S960" i="11"/>
  <c r="R961" i="11"/>
  <c r="S961" i="11"/>
  <c r="R962" i="11"/>
  <c r="S962" i="11"/>
  <c r="R963" i="11"/>
  <c r="S963" i="11"/>
  <c r="R964" i="11"/>
  <c r="S964" i="11"/>
  <c r="R965" i="11"/>
  <c r="S965" i="11"/>
  <c r="R966" i="11"/>
  <c r="S966" i="11"/>
  <c r="R967" i="11"/>
  <c r="S967" i="11"/>
  <c r="R968" i="11"/>
  <c r="S968" i="11"/>
  <c r="R969" i="11"/>
  <c r="S969" i="11"/>
  <c r="R970" i="11"/>
  <c r="S970" i="11"/>
  <c r="R971" i="11"/>
  <c r="S971" i="11"/>
  <c r="R972" i="11"/>
  <c r="S972" i="11"/>
  <c r="R973" i="11"/>
  <c r="S973" i="11"/>
  <c r="R974" i="11"/>
  <c r="S974" i="11"/>
  <c r="R975" i="11"/>
  <c r="S975" i="11"/>
  <c r="R976" i="11"/>
  <c r="S976" i="11"/>
  <c r="R977" i="11"/>
  <c r="S977" i="11"/>
  <c r="R978" i="11"/>
  <c r="S978" i="11"/>
  <c r="R979" i="11"/>
  <c r="S979" i="11"/>
  <c r="R980" i="11"/>
  <c r="S980" i="11"/>
  <c r="R981" i="11"/>
  <c r="S981" i="11"/>
  <c r="R982" i="11"/>
  <c r="S982" i="11"/>
  <c r="R983" i="11"/>
  <c r="S983" i="11"/>
  <c r="R984" i="11"/>
  <c r="S984" i="11"/>
  <c r="R985" i="11"/>
  <c r="S985" i="11"/>
  <c r="R986" i="11"/>
  <c r="S986" i="11"/>
  <c r="R987" i="11"/>
  <c r="S987" i="11"/>
  <c r="R988" i="11"/>
  <c r="S988" i="11"/>
  <c r="R989" i="11"/>
  <c r="S989" i="11"/>
  <c r="R990" i="11"/>
  <c r="S990" i="11"/>
  <c r="R991" i="11"/>
  <c r="S991" i="11"/>
  <c r="R992" i="11"/>
  <c r="S992" i="11"/>
  <c r="R993" i="11"/>
  <c r="S993" i="11"/>
  <c r="R994" i="11"/>
  <c r="S994" i="11"/>
  <c r="R995" i="11"/>
  <c r="S995" i="11"/>
  <c r="R996" i="11"/>
  <c r="S996" i="11"/>
  <c r="R997" i="11"/>
  <c r="S997" i="11"/>
  <c r="R998" i="11"/>
  <c r="S998" i="11"/>
  <c r="R999" i="11"/>
  <c r="S999" i="11"/>
  <c r="R1000" i="11"/>
  <c r="S1000" i="11"/>
  <c r="R1001" i="11"/>
  <c r="S1001" i="11"/>
  <c r="R1002" i="11"/>
  <c r="S1002" i="11"/>
  <c r="R1003" i="11"/>
  <c r="S1003" i="11"/>
  <c r="R1004" i="11"/>
  <c r="S1004" i="11"/>
  <c r="R1005" i="11"/>
  <c r="S1005" i="11"/>
  <c r="R1006" i="11"/>
  <c r="S1006" i="11"/>
  <c r="R1007" i="11"/>
  <c r="S1007" i="11"/>
  <c r="R1008" i="11"/>
  <c r="S1008" i="11"/>
  <c r="R1009" i="11"/>
  <c r="S1009" i="11"/>
  <c r="R1010" i="11"/>
  <c r="S1010" i="11"/>
  <c r="R1011" i="11"/>
  <c r="S1011" i="11"/>
  <c r="R1012" i="11"/>
  <c r="S1012" i="11"/>
  <c r="R1013" i="11"/>
  <c r="S1013" i="11"/>
  <c r="R1014" i="11"/>
  <c r="S1014" i="11"/>
  <c r="R1015" i="11"/>
  <c r="S1015" i="11"/>
  <c r="R1016" i="11"/>
  <c r="S1016" i="11"/>
  <c r="R1017" i="11"/>
  <c r="S1017" i="11"/>
  <c r="R1018" i="11"/>
  <c r="S1018" i="11"/>
  <c r="R1019" i="11"/>
  <c r="S1019" i="11"/>
  <c r="R1020" i="11"/>
  <c r="S1020" i="11"/>
  <c r="R1021" i="11"/>
  <c r="S1021" i="11"/>
  <c r="R1022" i="11"/>
  <c r="S1022" i="11"/>
  <c r="R1023" i="11"/>
  <c r="S1023" i="11"/>
  <c r="R1024" i="11"/>
  <c r="S1024" i="11"/>
  <c r="R1025" i="11"/>
  <c r="S1025" i="11"/>
  <c r="R1026" i="11"/>
  <c r="S1026" i="11"/>
  <c r="R1027" i="11"/>
  <c r="S1027" i="11"/>
  <c r="R1028" i="11"/>
  <c r="S1028" i="11"/>
  <c r="R1029" i="11"/>
  <c r="S1029" i="11"/>
  <c r="R1033" i="11"/>
  <c r="S1033" i="11"/>
  <c r="R1034" i="11"/>
  <c r="S1034" i="11"/>
  <c r="R1035" i="11"/>
  <c r="S1035" i="11"/>
  <c r="R1036" i="11"/>
  <c r="S1036" i="11"/>
  <c r="R1037" i="11"/>
  <c r="S1037" i="11"/>
  <c r="R1038" i="11"/>
  <c r="S1038" i="11"/>
  <c r="R1039" i="11"/>
  <c r="S1039" i="11"/>
  <c r="R1040" i="11"/>
  <c r="S1040" i="11"/>
  <c r="R1041" i="11"/>
  <c r="S1041" i="11"/>
  <c r="R1042" i="11"/>
  <c r="S1042" i="11"/>
  <c r="R1043" i="11"/>
  <c r="S1043" i="11"/>
  <c r="R1044" i="11"/>
  <c r="S1044" i="11"/>
  <c r="R1045" i="11"/>
  <c r="S1045" i="11"/>
  <c r="R1046" i="11"/>
  <c r="S1046" i="11"/>
  <c r="R1047" i="11"/>
  <c r="S1047" i="11"/>
  <c r="R1048" i="11"/>
  <c r="S1048" i="11"/>
  <c r="R1049" i="11"/>
  <c r="S1049" i="11"/>
  <c r="R1050" i="11"/>
  <c r="S1050" i="11"/>
  <c r="R1051" i="11"/>
  <c r="S1051" i="11"/>
  <c r="R1052" i="11"/>
  <c r="S1052" i="11"/>
  <c r="R1053" i="11"/>
  <c r="S1053" i="11"/>
  <c r="R1054" i="11"/>
  <c r="S1054" i="11"/>
  <c r="R1055" i="11"/>
  <c r="S1055" i="11"/>
  <c r="R1056" i="11"/>
  <c r="S1056" i="11"/>
  <c r="R1057" i="11"/>
  <c r="S1057" i="11"/>
  <c r="R1058" i="11"/>
  <c r="S1058" i="11"/>
  <c r="R1059" i="11"/>
  <c r="S1059" i="11"/>
  <c r="R1060" i="11"/>
  <c r="S1060" i="11"/>
  <c r="R1061" i="11"/>
  <c r="S1061" i="11"/>
  <c r="R1062" i="11"/>
  <c r="S1062" i="11"/>
  <c r="R1063" i="11"/>
  <c r="S1063" i="11"/>
  <c r="R1064" i="11"/>
  <c r="S1064" i="11"/>
  <c r="R1065" i="11"/>
  <c r="S1065" i="11"/>
  <c r="R1066" i="11"/>
  <c r="S1066" i="11"/>
  <c r="R1067" i="11"/>
  <c r="S1067" i="11"/>
  <c r="R1068" i="11"/>
  <c r="S1068" i="11"/>
  <c r="R1069" i="11"/>
  <c r="S1069" i="11"/>
  <c r="R1070" i="11"/>
  <c r="S1070" i="11"/>
  <c r="R1071" i="11"/>
  <c r="S1071" i="11"/>
  <c r="R1072" i="11"/>
  <c r="S1072" i="11"/>
  <c r="R1073" i="11"/>
  <c r="S1073" i="11"/>
  <c r="R1074" i="11"/>
  <c r="S1074" i="11"/>
  <c r="R1075" i="11"/>
  <c r="S1075" i="11"/>
  <c r="R1076" i="11"/>
  <c r="S1076" i="11"/>
  <c r="R1077" i="11"/>
  <c r="S1077" i="11"/>
  <c r="R1078" i="11"/>
  <c r="S1078" i="11"/>
  <c r="R1079" i="11"/>
  <c r="S1079" i="11"/>
  <c r="R1080" i="11"/>
  <c r="S1080" i="11"/>
  <c r="R1081" i="11"/>
  <c r="S1081" i="11"/>
  <c r="R1082" i="11"/>
  <c r="S1082" i="11"/>
  <c r="R1083" i="11"/>
  <c r="S1083" i="11"/>
  <c r="R1084" i="11"/>
  <c r="S1084" i="11"/>
  <c r="R1085" i="11"/>
  <c r="S1085" i="11"/>
  <c r="R1086" i="11"/>
  <c r="S1086" i="11"/>
  <c r="R1087" i="11"/>
  <c r="S1087" i="11"/>
  <c r="R1088" i="11"/>
  <c r="S1088" i="11"/>
  <c r="R1089" i="11"/>
  <c r="S1089" i="11"/>
  <c r="R1090" i="11"/>
  <c r="S1090" i="11"/>
  <c r="R1091" i="11"/>
  <c r="S1091" i="11"/>
  <c r="R1092" i="11"/>
  <c r="S1092" i="11"/>
  <c r="R1093" i="11"/>
  <c r="S1093" i="11"/>
  <c r="R1094" i="11"/>
  <c r="S1094" i="11"/>
  <c r="R1095" i="11"/>
  <c r="S1095" i="11"/>
  <c r="R1096" i="11"/>
  <c r="S1096" i="11"/>
  <c r="R1097" i="11"/>
  <c r="S1097" i="11"/>
  <c r="R1098" i="11"/>
  <c r="S1098" i="11"/>
  <c r="R1099" i="11"/>
  <c r="S1099" i="11"/>
  <c r="R1100" i="11"/>
  <c r="S1100" i="11"/>
  <c r="R1101" i="11"/>
  <c r="S1101" i="11"/>
  <c r="R1102" i="11"/>
  <c r="S1102" i="11"/>
  <c r="R1103" i="11"/>
  <c r="S1103" i="11"/>
  <c r="R1104" i="11"/>
  <c r="S1104" i="11"/>
  <c r="R1105" i="11"/>
  <c r="S1105" i="11"/>
  <c r="R1106" i="11"/>
  <c r="S1106" i="11"/>
  <c r="R1107" i="11"/>
  <c r="S1107" i="11"/>
  <c r="R1108" i="11"/>
  <c r="S1108" i="11"/>
  <c r="R1109" i="11"/>
  <c r="S1109" i="11"/>
  <c r="R1110" i="11"/>
  <c r="S1110" i="11"/>
  <c r="R1111" i="11"/>
  <c r="S1111" i="11"/>
  <c r="R1112" i="11"/>
  <c r="S1112" i="11"/>
  <c r="R1113" i="11"/>
  <c r="S1113" i="11"/>
  <c r="R1114" i="11"/>
  <c r="S1114" i="11"/>
  <c r="R1115" i="11"/>
  <c r="S1115" i="11"/>
  <c r="R1116" i="11"/>
  <c r="S1116" i="11"/>
  <c r="R1117" i="11"/>
  <c r="S1117" i="11"/>
  <c r="R1118" i="11"/>
  <c r="S1118" i="11"/>
  <c r="R1151" i="11"/>
  <c r="S1151" i="11"/>
  <c r="R1152" i="11"/>
  <c r="S1152" i="11"/>
  <c r="R1153" i="11"/>
  <c r="S1153" i="11"/>
  <c r="R1154" i="11"/>
  <c r="S1154" i="11"/>
  <c r="R1155" i="11"/>
  <c r="S1155" i="11"/>
  <c r="R1156" i="11"/>
  <c r="S1156" i="11"/>
  <c r="R1157" i="11"/>
  <c r="S1157" i="11"/>
  <c r="R1158" i="11"/>
  <c r="S1158" i="11"/>
  <c r="R1159" i="11"/>
  <c r="S1159" i="11"/>
  <c r="R1160" i="11"/>
  <c r="S1160" i="11"/>
  <c r="R1161" i="11"/>
  <c r="S1161" i="11"/>
  <c r="R1162" i="11"/>
  <c r="S1162" i="11"/>
  <c r="R1163" i="11"/>
  <c r="S1163" i="11"/>
  <c r="R1164" i="11"/>
  <c r="S1164" i="11"/>
  <c r="R1165" i="11"/>
  <c r="S1165" i="11"/>
  <c r="R1166" i="11"/>
  <c r="S1166" i="11"/>
  <c r="R1172" i="11"/>
  <c r="S1172" i="11"/>
  <c r="R1173" i="11"/>
  <c r="S1173" i="11"/>
  <c r="R1174" i="11"/>
  <c r="S1174" i="11"/>
  <c r="R1175" i="11"/>
  <c r="S1175" i="11"/>
  <c r="R1176" i="11"/>
  <c r="S1176" i="11"/>
  <c r="R1177" i="11"/>
  <c r="S1177" i="11"/>
  <c r="R1178" i="11"/>
  <c r="S1178" i="11"/>
  <c r="R1179" i="11"/>
  <c r="S1179" i="11"/>
  <c r="R1180" i="11"/>
  <c r="S1180" i="11"/>
  <c r="R1181" i="11"/>
  <c r="S1181" i="11"/>
  <c r="R1185" i="11"/>
  <c r="S1185" i="11"/>
  <c r="R1186" i="11"/>
  <c r="S1186" i="11"/>
  <c r="R1187" i="11"/>
  <c r="S1187" i="11"/>
  <c r="R1188" i="11"/>
  <c r="S1188" i="11"/>
  <c r="R1189" i="11"/>
  <c r="S1189" i="11"/>
  <c r="R1190" i="11"/>
  <c r="S1190" i="11"/>
  <c r="R1191" i="11"/>
  <c r="S1191" i="11"/>
  <c r="R1192" i="11"/>
  <c r="S1192" i="11"/>
  <c r="R1193" i="11"/>
  <c r="S1193" i="11"/>
  <c r="R1194" i="11"/>
  <c r="S1194" i="11"/>
  <c r="R1195" i="11"/>
  <c r="S1195" i="11"/>
  <c r="R1196" i="11"/>
  <c r="S1196" i="11"/>
  <c r="R1197" i="11"/>
  <c r="S1197" i="11"/>
  <c r="R1198" i="11"/>
  <c r="S1198" i="11"/>
  <c r="R1199" i="11"/>
  <c r="S1199" i="11"/>
  <c r="R1200" i="11"/>
  <c r="S1200" i="11"/>
  <c r="R1201" i="11"/>
  <c r="S1201" i="11"/>
  <c r="R1202" i="11"/>
  <c r="S1202" i="11"/>
  <c r="R1205" i="11"/>
  <c r="S1205" i="11"/>
  <c r="R1206" i="11"/>
  <c r="S1206" i="11"/>
  <c r="R1207" i="11"/>
  <c r="S1207" i="11"/>
  <c r="R1208" i="11"/>
  <c r="S1208" i="11"/>
  <c r="R1209" i="11"/>
  <c r="S1209" i="11"/>
  <c r="R1210" i="11"/>
  <c r="S1210" i="11"/>
  <c r="R1211" i="11"/>
  <c r="S1211" i="11"/>
  <c r="R1212" i="11"/>
  <c r="S1212" i="11"/>
  <c r="R1213" i="11"/>
  <c r="S1213" i="11"/>
  <c r="R1214" i="11"/>
  <c r="S1214" i="11"/>
  <c r="R1215" i="11"/>
  <c r="S1215" i="11"/>
  <c r="R1217" i="11"/>
  <c r="S1217" i="11"/>
  <c r="R1218" i="11"/>
  <c r="S1218" i="11"/>
  <c r="R1219" i="11"/>
  <c r="S1219" i="11"/>
  <c r="R1220" i="11"/>
  <c r="S1220" i="11"/>
  <c r="R1221" i="11"/>
  <c r="S1221" i="11"/>
  <c r="R1222" i="11"/>
  <c r="S1222" i="11"/>
  <c r="R1223" i="11"/>
  <c r="S1223" i="11"/>
  <c r="R1224" i="11"/>
  <c r="S1224" i="11"/>
  <c r="R1225" i="11"/>
  <c r="S1225" i="11"/>
  <c r="R1226" i="11"/>
  <c r="S1226" i="11"/>
  <c r="R1227" i="11"/>
  <c r="S1227" i="11"/>
  <c r="R1228" i="11"/>
  <c r="S1228" i="11"/>
  <c r="R1229" i="11"/>
  <c r="S1229" i="11"/>
  <c r="R1230" i="11"/>
  <c r="S1230" i="11"/>
  <c r="R1231" i="11"/>
  <c r="S1231" i="11"/>
  <c r="R1241" i="11"/>
  <c r="S1241" i="11"/>
  <c r="R1242" i="11"/>
  <c r="S1242" i="11"/>
  <c r="R1243" i="11"/>
  <c r="S1243" i="11"/>
  <c r="R1244" i="11"/>
  <c r="S1244" i="11"/>
  <c r="R1245" i="11"/>
  <c r="S1245" i="11"/>
  <c r="R1246" i="11"/>
  <c r="S1246" i="11"/>
  <c r="R1247" i="11"/>
  <c r="S1247" i="11"/>
  <c r="R1248" i="11"/>
  <c r="S1248" i="11"/>
  <c r="R1249" i="11"/>
  <c r="S1249" i="11"/>
  <c r="R1250" i="11"/>
  <c r="S1250" i="11"/>
  <c r="R1251" i="11"/>
  <c r="S1251" i="11"/>
  <c r="R1252" i="11"/>
  <c r="S1252" i="11"/>
  <c r="R1253" i="11"/>
  <c r="S1253" i="11"/>
  <c r="R1254" i="11"/>
  <c r="S1254" i="11"/>
  <c r="R1255" i="11"/>
  <c r="S1255" i="11"/>
  <c r="R1256" i="11"/>
  <c r="S1256" i="11"/>
  <c r="R1257" i="11"/>
  <c r="S1257" i="11"/>
  <c r="R1258" i="11"/>
  <c r="S1258" i="11"/>
  <c r="R1259" i="11"/>
  <c r="S1259" i="11"/>
  <c r="R1260" i="11"/>
  <c r="S1260" i="11"/>
  <c r="R1261" i="11"/>
  <c r="S1261" i="11"/>
  <c r="R1262" i="11"/>
  <c r="S1262" i="11"/>
  <c r="R1263" i="11"/>
  <c r="S1263" i="11"/>
  <c r="R1264" i="11"/>
  <c r="S1264" i="11"/>
  <c r="R1265" i="11"/>
  <c r="S1265" i="11"/>
  <c r="R1266" i="11"/>
  <c r="S1266" i="11"/>
  <c r="R1267" i="11"/>
  <c r="S1267" i="11"/>
  <c r="R1268" i="11"/>
  <c r="S1268" i="11"/>
  <c r="R1269" i="11"/>
  <c r="S1269" i="11"/>
  <c r="R1270" i="11"/>
  <c r="S1270" i="11"/>
  <c r="R1271" i="11"/>
  <c r="S1271" i="11"/>
  <c r="R1272" i="11"/>
  <c r="S1272" i="11"/>
  <c r="R1273" i="11"/>
  <c r="S1273" i="11"/>
  <c r="R1274" i="11"/>
  <c r="S1274" i="11"/>
  <c r="R1275" i="11"/>
  <c r="S1275" i="11"/>
  <c r="R1310" i="11"/>
  <c r="S1310" i="11"/>
  <c r="R1311" i="11"/>
  <c r="S1311" i="11"/>
  <c r="R1313" i="11"/>
  <c r="S1313" i="11"/>
  <c r="R1314" i="11"/>
  <c r="S1314" i="11"/>
  <c r="R1315" i="11"/>
  <c r="S1315" i="11"/>
  <c r="R1316" i="11"/>
  <c r="S1316" i="11"/>
  <c r="R1317" i="11"/>
  <c r="S1317" i="11"/>
  <c r="R1318" i="11"/>
  <c r="S1318" i="11"/>
  <c r="R1330" i="11"/>
  <c r="S1330" i="11"/>
  <c r="R1331" i="11"/>
  <c r="S1331" i="11"/>
  <c r="R1332" i="11"/>
  <c r="S1332" i="11"/>
  <c r="R1335" i="11"/>
  <c r="S1335" i="11"/>
  <c r="R1337" i="11"/>
  <c r="S1337" i="11"/>
  <c r="R1342" i="11"/>
  <c r="S1342" i="11"/>
  <c r="R1345" i="11"/>
  <c r="S1345" i="11"/>
  <c r="R1347" i="11"/>
  <c r="S1347" i="11"/>
  <c r="R1348" i="11"/>
  <c r="S1348" i="11"/>
  <c r="R1349" i="11"/>
  <c r="S1349" i="11"/>
  <c r="R1350" i="11"/>
  <c r="S1350" i="11"/>
  <c r="R1351" i="11"/>
  <c r="S1351" i="11"/>
  <c r="R1366" i="11"/>
  <c r="S1366" i="11"/>
  <c r="R1372" i="11"/>
  <c r="S1372" i="11"/>
  <c r="R1373" i="11"/>
  <c r="S1373" i="11"/>
  <c r="R1374" i="11"/>
  <c r="S1374" i="11"/>
  <c r="S1412" i="11"/>
  <c r="P1414" i="11"/>
  <c r="Q1414" i="11"/>
  <c r="R1414" i="11"/>
  <c r="S1414" i="11"/>
  <c r="P1415" i="11"/>
  <c r="Q1415" i="11"/>
  <c r="R1415" i="11"/>
  <c r="S1415" i="11"/>
  <c r="P1416" i="11"/>
  <c r="Q1416" i="11"/>
  <c r="R1416" i="11"/>
  <c r="S1416" i="11"/>
  <c r="P1417" i="11"/>
  <c r="Q1417" i="11"/>
  <c r="R1417" i="11"/>
  <c r="S1417" i="11"/>
  <c r="P1418" i="11"/>
  <c r="Q1418" i="11"/>
  <c r="R1418" i="11"/>
  <c r="S1418" i="11"/>
  <c r="P1419" i="11"/>
  <c r="Q1419" i="11"/>
  <c r="R1419" i="11"/>
  <c r="S1419" i="11"/>
  <c r="P1420" i="11"/>
  <c r="Q1420" i="11"/>
  <c r="R1420" i="11"/>
  <c r="S1420" i="11"/>
  <c r="P1421" i="11"/>
  <c r="Q1421" i="11"/>
  <c r="R1421" i="11"/>
  <c r="S1421" i="11"/>
  <c r="P1422" i="11"/>
  <c r="Q1422" i="11"/>
  <c r="R1422" i="11"/>
  <c r="S1422" i="11"/>
  <c r="P1423" i="11"/>
  <c r="Q1423" i="11"/>
  <c r="R1423" i="11"/>
  <c r="S1423" i="11"/>
  <c r="P1424" i="11"/>
  <c r="Q1424" i="11"/>
  <c r="R1424" i="11"/>
  <c r="S1424" i="11"/>
  <c r="P1425" i="11"/>
  <c r="Q1425" i="11"/>
  <c r="R1425" i="11"/>
  <c r="S1425" i="11"/>
  <c r="P1426" i="11"/>
  <c r="Q1426" i="11"/>
  <c r="R1426" i="11"/>
  <c r="S1426" i="11"/>
  <c r="P1427" i="11"/>
  <c r="Q1427" i="11"/>
  <c r="R1427" i="11"/>
  <c r="S1427" i="11"/>
  <c r="P1428" i="11"/>
  <c r="Q1428" i="11"/>
  <c r="R1428" i="11"/>
  <c r="S1428" i="11"/>
  <c r="P1429" i="11"/>
  <c r="Q1429" i="11"/>
  <c r="R1429" i="11"/>
  <c r="S1429" i="11"/>
  <c r="P1430" i="11"/>
  <c r="Q1430" i="11"/>
  <c r="R1430" i="11"/>
  <c r="S1430" i="11"/>
  <c r="P1431" i="11"/>
  <c r="Q1431" i="11"/>
  <c r="R1431" i="11"/>
  <c r="S1431" i="11"/>
  <c r="P1432" i="11"/>
  <c r="Q1432" i="11"/>
  <c r="R1432" i="11"/>
  <c r="S1432" i="11"/>
  <c r="P1433" i="11"/>
  <c r="Q1433" i="11"/>
  <c r="R1433" i="11"/>
  <c r="S1433" i="11"/>
  <c r="P1434" i="11"/>
  <c r="Q1434" i="11"/>
  <c r="R1434" i="11"/>
  <c r="S1434" i="11"/>
  <c r="P1435" i="11"/>
  <c r="Q1435" i="11"/>
  <c r="R1435" i="11"/>
  <c r="S1435" i="11"/>
  <c r="P1436" i="11"/>
  <c r="Q1436" i="11"/>
  <c r="R1436" i="11"/>
  <c r="S1436" i="11"/>
  <c r="P1437" i="11"/>
  <c r="Q1437" i="11"/>
  <c r="R1437" i="11"/>
  <c r="S1437" i="11"/>
  <c r="P1438" i="11"/>
  <c r="Q1438" i="11"/>
  <c r="R1438" i="11"/>
  <c r="S1438" i="11"/>
  <c r="P1439" i="11"/>
  <c r="Q1439" i="11"/>
  <c r="R1439" i="11"/>
  <c r="S1439" i="11"/>
  <c r="P1440" i="11"/>
  <c r="Q1440" i="11"/>
  <c r="R1440" i="11"/>
  <c r="S1440" i="11"/>
  <c r="P1441" i="11"/>
  <c r="Q1441" i="11"/>
  <c r="R1441" i="11"/>
  <c r="S1441" i="11"/>
  <c r="P1442" i="11"/>
  <c r="Q1442" i="11"/>
  <c r="R1442" i="11"/>
  <c r="S1442" i="11"/>
  <c r="P1443" i="11"/>
  <c r="Q1443" i="11"/>
  <c r="R1443" i="11"/>
  <c r="S1443" i="11"/>
  <c r="P1444" i="11"/>
  <c r="Q1444" i="11"/>
  <c r="R1444" i="11"/>
  <c r="S1444" i="11"/>
  <c r="P1445" i="11"/>
  <c r="Q1445" i="11"/>
  <c r="R1445" i="11"/>
  <c r="S1445" i="11"/>
  <c r="P1446" i="11"/>
  <c r="Q1446" i="11"/>
  <c r="R1446" i="11"/>
  <c r="S1446" i="11"/>
  <c r="P1447" i="11"/>
  <c r="Q1447" i="11"/>
  <c r="R1447" i="11"/>
  <c r="S1447" i="11"/>
  <c r="P1448" i="11"/>
  <c r="Q1448" i="11"/>
  <c r="R1448" i="11"/>
  <c r="S1448" i="11"/>
  <c r="P1449" i="11"/>
  <c r="Q1449" i="11"/>
  <c r="R1449" i="11"/>
  <c r="S1449" i="11"/>
  <c r="P1450" i="11"/>
  <c r="Q1450" i="11"/>
  <c r="R1450" i="11"/>
  <c r="S1450" i="11"/>
  <c r="P1451" i="11"/>
  <c r="Q1451" i="11"/>
  <c r="R1451" i="11"/>
  <c r="S1451" i="11"/>
  <c r="P1452" i="11"/>
  <c r="Q1452" i="11"/>
  <c r="R1452" i="11"/>
  <c r="S1452" i="11"/>
  <c r="P1453" i="11"/>
  <c r="Q1453" i="11"/>
  <c r="R1453" i="11"/>
  <c r="S1453" i="11"/>
  <c r="P1454" i="11"/>
  <c r="Q1454" i="11"/>
  <c r="R1454" i="11"/>
  <c r="S1454" i="11"/>
  <c r="P1455" i="11"/>
  <c r="Q1455" i="11"/>
  <c r="R1455" i="11"/>
  <c r="S1455" i="11"/>
  <c r="P1456" i="11"/>
  <c r="Q1456" i="11"/>
  <c r="R1456" i="11"/>
  <c r="S1456" i="11"/>
  <c r="P1457" i="11"/>
  <c r="Q1457" i="11"/>
  <c r="R1457" i="11"/>
  <c r="S1457" i="11"/>
  <c r="P1458" i="11"/>
  <c r="Q1458" i="11"/>
  <c r="R1458" i="11"/>
  <c r="S1458" i="11"/>
  <c r="P1459" i="11"/>
  <c r="Q1459" i="11"/>
  <c r="R1459" i="11"/>
  <c r="S1459" i="11"/>
  <c r="P1460" i="11"/>
  <c r="Q1460" i="11"/>
  <c r="R1460" i="11"/>
  <c r="S1460" i="11"/>
  <c r="P1461" i="11"/>
  <c r="Q1461" i="11"/>
  <c r="R1461" i="11"/>
  <c r="S1461" i="11"/>
  <c r="P1462" i="11"/>
  <c r="Q1462" i="11"/>
  <c r="R1462" i="11"/>
  <c r="S1462" i="11"/>
  <c r="P1463" i="11"/>
  <c r="Q1463" i="11"/>
  <c r="R1463" i="11"/>
  <c r="S1463" i="11"/>
  <c r="P1464" i="11"/>
  <c r="Q1464" i="11"/>
  <c r="R1464" i="11"/>
  <c r="S1464" i="11"/>
  <c r="P1465" i="11"/>
  <c r="Q1465" i="11"/>
  <c r="R1465" i="11"/>
  <c r="S1465" i="11"/>
  <c r="P1466" i="11"/>
  <c r="Q1466" i="11"/>
  <c r="R1466" i="11"/>
  <c r="S1466" i="11"/>
  <c r="P1467" i="11"/>
  <c r="Q1467" i="11"/>
  <c r="R1467" i="11"/>
  <c r="S1467" i="11"/>
  <c r="P1468" i="11"/>
  <c r="Q1468" i="11"/>
  <c r="R1468" i="11"/>
  <c r="S1468" i="11"/>
  <c r="P1469" i="11"/>
  <c r="Q1469" i="11"/>
  <c r="R1469" i="11"/>
  <c r="S1469" i="11"/>
  <c r="P1470" i="11"/>
  <c r="Q1470" i="11"/>
  <c r="R1470" i="11"/>
  <c r="S1470" i="11"/>
  <c r="P1471" i="11"/>
  <c r="Q1471" i="11"/>
  <c r="R1471" i="11"/>
  <c r="S1471" i="11"/>
  <c r="P1472" i="11"/>
  <c r="Q1472" i="11"/>
  <c r="R1472" i="11"/>
  <c r="S1472" i="11"/>
  <c r="P1473" i="11"/>
  <c r="Q1473" i="11"/>
  <c r="R1473" i="11"/>
  <c r="S1473" i="11"/>
  <c r="P1474" i="11"/>
  <c r="Q1474" i="11"/>
  <c r="R1474" i="11"/>
  <c r="S1474" i="11"/>
  <c r="P1475" i="11"/>
  <c r="Q1475" i="11"/>
  <c r="R1475" i="11"/>
  <c r="S1475" i="11"/>
  <c r="P1476" i="11"/>
  <c r="Q1476" i="11"/>
  <c r="R1476" i="11"/>
  <c r="S1476" i="11"/>
  <c r="P1477" i="11"/>
  <c r="Q1477" i="11"/>
  <c r="R1477" i="11"/>
  <c r="S1477" i="11"/>
  <c r="P1478" i="11"/>
  <c r="Q1478" i="11"/>
  <c r="R1478" i="11"/>
  <c r="S1478" i="11"/>
  <c r="P1479" i="11"/>
  <c r="Q1479" i="11"/>
  <c r="R1479" i="11"/>
  <c r="S1479" i="11"/>
  <c r="P1480" i="11"/>
  <c r="Q1480" i="11"/>
  <c r="R1480" i="11"/>
  <c r="S1480" i="11"/>
  <c r="P1481" i="11"/>
  <c r="Q1481" i="11"/>
  <c r="R1481" i="11"/>
  <c r="S1481" i="11"/>
  <c r="P1482" i="11"/>
  <c r="Q1482" i="11"/>
  <c r="R1482" i="11"/>
  <c r="S1482" i="11"/>
  <c r="P1483" i="11"/>
  <c r="Q1483" i="11"/>
  <c r="R1483" i="11"/>
  <c r="S1483" i="11"/>
  <c r="P1484" i="11"/>
  <c r="Q1484" i="11"/>
  <c r="R1484" i="11"/>
  <c r="S1484" i="11"/>
  <c r="P1485" i="11"/>
  <c r="Q1485" i="11"/>
  <c r="R1485" i="11"/>
  <c r="S1485" i="11"/>
  <c r="P1486" i="11"/>
  <c r="Q1486" i="11"/>
  <c r="R1486" i="11"/>
  <c r="S1486" i="11"/>
  <c r="P1487" i="11"/>
  <c r="Q1487" i="11"/>
  <c r="R1487" i="11"/>
  <c r="S1487" i="11"/>
  <c r="P1488" i="11"/>
  <c r="Q1488" i="11"/>
  <c r="R1488" i="11"/>
  <c r="S1488" i="11"/>
  <c r="P1489" i="11"/>
  <c r="Q1489" i="11"/>
  <c r="R1489" i="11"/>
  <c r="S1489" i="11"/>
  <c r="P1490" i="11"/>
  <c r="Q1490" i="11"/>
  <c r="R1490" i="11"/>
  <c r="S1490" i="11"/>
  <c r="P1491" i="11"/>
  <c r="Q1491" i="11"/>
  <c r="R1491" i="11"/>
  <c r="S1491" i="11"/>
  <c r="P1492" i="11"/>
  <c r="Q1492" i="11"/>
  <c r="R1492" i="11"/>
  <c r="S1492" i="11"/>
  <c r="P1493" i="11"/>
  <c r="Q1493" i="11"/>
  <c r="R1493" i="11"/>
  <c r="S1493" i="11"/>
  <c r="P1494" i="11"/>
  <c r="Q1494" i="11"/>
  <c r="R1494" i="11"/>
  <c r="S1494" i="11"/>
  <c r="P1495" i="11"/>
  <c r="Q1495" i="11"/>
  <c r="R1495" i="11"/>
  <c r="S1495" i="11"/>
  <c r="P1496" i="11"/>
  <c r="Q1496" i="11"/>
  <c r="R1496" i="11"/>
  <c r="S1496" i="11"/>
  <c r="P1497" i="11"/>
  <c r="Q1497" i="11"/>
  <c r="R1497" i="11"/>
  <c r="S1497" i="11"/>
  <c r="P1498" i="11"/>
  <c r="Q1498" i="11"/>
  <c r="R1498" i="11"/>
  <c r="S1498" i="11"/>
  <c r="P1499" i="11"/>
  <c r="Q1499" i="11"/>
  <c r="R1499" i="11"/>
  <c r="S1499" i="11"/>
  <c r="P1500" i="11"/>
  <c r="Q1500" i="11"/>
  <c r="R1500" i="11"/>
  <c r="S1500" i="11"/>
  <c r="P1501" i="11"/>
  <c r="Q1501" i="11"/>
  <c r="R1501" i="11"/>
  <c r="S1501" i="11"/>
  <c r="P1502" i="11"/>
  <c r="Q1502" i="11"/>
  <c r="R1502" i="11"/>
  <c r="S1502" i="11"/>
  <c r="P1503" i="11"/>
  <c r="Q1503" i="11"/>
  <c r="R1503" i="11"/>
  <c r="S1503" i="11"/>
  <c r="P1504" i="11"/>
  <c r="Q1504" i="11"/>
  <c r="R1504" i="11"/>
  <c r="S1504" i="11"/>
  <c r="P1505" i="11"/>
  <c r="Q1505" i="11"/>
  <c r="R1505" i="11"/>
  <c r="S1505" i="11"/>
  <c r="P1506" i="11"/>
  <c r="Q1506" i="11"/>
  <c r="R1506" i="11"/>
  <c r="S1506" i="11"/>
  <c r="P1507" i="11"/>
  <c r="Q1507" i="11"/>
  <c r="R1507" i="11"/>
  <c r="S1507" i="11"/>
  <c r="P1508" i="11"/>
  <c r="Q1508" i="11"/>
  <c r="R1508" i="11"/>
  <c r="S1508" i="11"/>
  <c r="P1509" i="11"/>
  <c r="Q1509" i="11"/>
  <c r="R1509" i="11"/>
  <c r="S1509" i="11"/>
  <c r="P1510" i="11"/>
  <c r="Q1510" i="11"/>
  <c r="R1510" i="11"/>
  <c r="S1510" i="11"/>
  <c r="P1511" i="11"/>
  <c r="Q1511" i="11"/>
  <c r="R1511" i="11"/>
  <c r="S1511" i="11"/>
  <c r="P1512" i="11"/>
  <c r="Q1512" i="11"/>
  <c r="R1512" i="11"/>
  <c r="S1512" i="11"/>
  <c r="P1513" i="11"/>
  <c r="Q1513" i="11"/>
  <c r="R1513" i="11"/>
  <c r="S1513" i="11"/>
  <c r="P1514" i="11"/>
  <c r="Q1514" i="11"/>
  <c r="R1514" i="11"/>
  <c r="S1514" i="11"/>
  <c r="P1515" i="11"/>
  <c r="Q1515" i="11"/>
  <c r="R1515" i="11"/>
  <c r="S1515" i="11"/>
  <c r="P1516" i="11"/>
  <c r="Q1516" i="11"/>
  <c r="R1516" i="11"/>
  <c r="S1516" i="11"/>
  <c r="P1517" i="11"/>
  <c r="Q1517" i="11"/>
  <c r="R1517" i="11"/>
  <c r="S1517" i="11"/>
  <c r="P1518" i="11"/>
  <c r="Q1518" i="11"/>
  <c r="R1518" i="11"/>
  <c r="S1518" i="11"/>
  <c r="P1519" i="11"/>
  <c r="Q1519" i="11"/>
  <c r="R1519" i="11"/>
  <c r="S1519" i="11"/>
  <c r="P1520" i="11"/>
  <c r="Q1520" i="11"/>
  <c r="R1520" i="11"/>
  <c r="S1520" i="11"/>
  <c r="P1521" i="11"/>
  <c r="Q1521" i="11"/>
  <c r="R1521" i="11"/>
  <c r="S1521" i="11"/>
  <c r="P1522" i="11"/>
  <c r="Q1522" i="11"/>
  <c r="R1522" i="11"/>
  <c r="S1522" i="11"/>
  <c r="P1523" i="11"/>
  <c r="Q1523" i="11"/>
  <c r="R1523" i="11"/>
  <c r="S1523" i="11"/>
  <c r="P1524" i="11"/>
  <c r="Q1524" i="11"/>
  <c r="R1524" i="11"/>
  <c r="S1524" i="11"/>
  <c r="P1525" i="11"/>
  <c r="Q1525" i="11"/>
  <c r="R1525" i="11"/>
  <c r="S1525" i="11"/>
  <c r="P1526" i="11"/>
  <c r="Q1526" i="11"/>
  <c r="R1526" i="11"/>
  <c r="S1526" i="11"/>
  <c r="P1527" i="11"/>
  <c r="Q1527" i="11"/>
  <c r="R1527" i="11"/>
  <c r="S1527" i="11"/>
  <c r="P1528" i="11"/>
  <c r="Q1528" i="11"/>
  <c r="R1528" i="11"/>
  <c r="S1528" i="11"/>
  <c r="P1529" i="11"/>
  <c r="Q1529" i="11"/>
  <c r="R1529" i="11"/>
  <c r="S1529" i="11"/>
  <c r="P1530" i="11"/>
  <c r="Q1530" i="11"/>
  <c r="R1530" i="11"/>
  <c r="S1530" i="11"/>
  <c r="P1531" i="11"/>
  <c r="Q1531" i="11"/>
  <c r="R1531" i="11"/>
  <c r="S1531" i="11"/>
  <c r="P1532" i="11"/>
  <c r="Q1532" i="11"/>
  <c r="R1532" i="11"/>
  <c r="S1532" i="11"/>
  <c r="P1533" i="11"/>
  <c r="Q1533" i="11"/>
  <c r="R1533" i="11"/>
  <c r="S1533" i="11"/>
  <c r="P1534" i="11"/>
  <c r="Q1534" i="11"/>
  <c r="R1534" i="11"/>
  <c r="S1534" i="11"/>
  <c r="P1535" i="11"/>
  <c r="Q1535" i="11"/>
  <c r="R1535" i="11"/>
  <c r="S1535" i="11"/>
  <c r="P1536" i="11"/>
  <c r="Q1536" i="11"/>
  <c r="R1536" i="11"/>
  <c r="S1536" i="11"/>
  <c r="P1537" i="11"/>
  <c r="Q1537" i="11"/>
  <c r="R1537" i="11"/>
  <c r="S1537" i="11"/>
  <c r="P1538" i="11"/>
  <c r="Q1538" i="11"/>
  <c r="R1538" i="11"/>
  <c r="S1538" i="11"/>
  <c r="P1539" i="11"/>
  <c r="Q1539" i="11"/>
  <c r="R1539" i="11"/>
  <c r="S1539" i="11"/>
  <c r="P1540" i="11"/>
  <c r="Q1540" i="11"/>
  <c r="R1540" i="11"/>
  <c r="S1540" i="11"/>
  <c r="P1541" i="11"/>
  <c r="Q1541" i="11"/>
  <c r="R1541" i="11"/>
  <c r="S1541" i="11"/>
  <c r="P1542" i="11"/>
  <c r="Q1542" i="11"/>
  <c r="R1542" i="11"/>
  <c r="S1542" i="11"/>
  <c r="P1543" i="11"/>
  <c r="Q1543" i="11"/>
  <c r="R1543" i="11"/>
  <c r="S1543" i="11"/>
  <c r="P1544" i="11"/>
  <c r="Q1544" i="11"/>
  <c r="R1544" i="11"/>
  <c r="S1544" i="11"/>
  <c r="P1545" i="11"/>
  <c r="Q1545" i="11"/>
  <c r="R1545" i="11"/>
  <c r="S1545" i="11"/>
  <c r="P1546" i="11"/>
  <c r="Q1546" i="11"/>
  <c r="R1546" i="11"/>
  <c r="S1546" i="11"/>
  <c r="P1547" i="11"/>
  <c r="Q1547" i="11"/>
  <c r="R1547" i="11"/>
  <c r="S1547" i="11"/>
  <c r="P1548" i="11"/>
  <c r="Q1548" i="11"/>
  <c r="R1548" i="11"/>
  <c r="S1548" i="11"/>
  <c r="P1549" i="11"/>
  <c r="Q1549" i="11"/>
  <c r="R1549" i="11"/>
  <c r="S1549" i="11"/>
  <c r="P1550" i="11"/>
  <c r="Q1550" i="11"/>
  <c r="R1550" i="11"/>
  <c r="S1550" i="11"/>
  <c r="P1551" i="11"/>
  <c r="Q1551" i="11"/>
  <c r="R1551" i="11"/>
  <c r="S1551" i="11"/>
  <c r="P1552" i="11"/>
  <c r="Q1552" i="11"/>
  <c r="R1552" i="11"/>
  <c r="S1552" i="11"/>
  <c r="P1553" i="11"/>
  <c r="Q1553" i="11"/>
  <c r="R1553" i="11"/>
  <c r="S1553" i="11"/>
  <c r="P1554" i="11"/>
  <c r="Q1554" i="11"/>
  <c r="R1554" i="11"/>
  <c r="S1554" i="11"/>
  <c r="P1555" i="11"/>
  <c r="Q1555" i="11"/>
  <c r="R1555" i="11"/>
  <c r="S1555" i="11"/>
  <c r="P1556" i="11"/>
  <c r="Q1556" i="11"/>
  <c r="R1556" i="11"/>
  <c r="S1556" i="11"/>
  <c r="P1557" i="11"/>
  <c r="Q1557" i="11"/>
  <c r="R1557" i="11"/>
  <c r="S1557" i="11"/>
  <c r="P1558" i="11"/>
  <c r="Q1558" i="11"/>
  <c r="R1558" i="11"/>
  <c r="S1558" i="11"/>
  <c r="P1559" i="11"/>
  <c r="Q1559" i="11"/>
  <c r="R1559" i="11"/>
  <c r="S1559" i="11"/>
  <c r="P1560" i="11"/>
  <c r="Q1560" i="11"/>
  <c r="R1560" i="11"/>
  <c r="S1560" i="11"/>
  <c r="P1561" i="11"/>
  <c r="Q1561" i="11"/>
  <c r="R1561" i="11"/>
  <c r="S1561" i="11"/>
  <c r="P1562" i="11"/>
  <c r="Q1562" i="11"/>
  <c r="R1562" i="11"/>
  <c r="S1562" i="11"/>
  <c r="P1563" i="11"/>
  <c r="Q1563" i="11"/>
  <c r="R1563" i="11"/>
  <c r="S1563" i="11"/>
  <c r="P1564" i="11"/>
  <c r="Q1564" i="11"/>
  <c r="R1564" i="11"/>
  <c r="S1564" i="11"/>
  <c r="P1565" i="11"/>
  <c r="Q1565" i="11"/>
  <c r="R1565" i="11"/>
  <c r="S1565" i="11"/>
  <c r="P1566" i="11"/>
  <c r="Q1566" i="11"/>
  <c r="R1566" i="11"/>
  <c r="S1566" i="11"/>
  <c r="P1567" i="11"/>
  <c r="Q1567" i="11"/>
  <c r="R1567" i="11"/>
  <c r="S1567" i="11"/>
  <c r="P1568" i="11"/>
  <c r="Q1568" i="11"/>
  <c r="R1568" i="11"/>
  <c r="S1568" i="11"/>
  <c r="P1569" i="11"/>
  <c r="Q1569" i="11"/>
  <c r="R1569" i="11"/>
  <c r="S1569" i="11"/>
  <c r="P1570" i="11"/>
  <c r="Q1570" i="11"/>
  <c r="R1570" i="11"/>
  <c r="S1570" i="11"/>
  <c r="P1571" i="11"/>
  <c r="Q1571" i="11"/>
  <c r="R1571" i="11"/>
  <c r="S1571" i="11"/>
  <c r="P1572" i="11"/>
  <c r="Q1572" i="11"/>
  <c r="R1572" i="11"/>
  <c r="S1572" i="11"/>
  <c r="P1573" i="11"/>
  <c r="Q1573" i="11"/>
  <c r="R1573" i="11"/>
  <c r="S1573" i="11"/>
  <c r="P1574" i="11"/>
  <c r="Q1574" i="11"/>
  <c r="R1574" i="11"/>
  <c r="S1574" i="11"/>
  <c r="P1575" i="11"/>
  <c r="Q1575" i="11"/>
  <c r="R1575" i="11"/>
  <c r="S1575" i="11"/>
  <c r="P1576" i="11"/>
  <c r="Q1576" i="11"/>
  <c r="R1576" i="11"/>
  <c r="S1576" i="11"/>
  <c r="P1577" i="11"/>
  <c r="Q1577" i="11"/>
  <c r="R1577" i="11"/>
  <c r="S1577" i="11"/>
  <c r="P1578" i="11"/>
  <c r="Q1578" i="11"/>
  <c r="R1578" i="11"/>
  <c r="S1578" i="11"/>
  <c r="P1579" i="11"/>
  <c r="Q1579" i="11"/>
  <c r="R1579" i="11"/>
  <c r="S1579" i="11"/>
  <c r="P1580" i="11"/>
  <c r="Q1580" i="11"/>
  <c r="R1580" i="11"/>
  <c r="S1580" i="11"/>
  <c r="P1581" i="11"/>
  <c r="Q1581" i="11"/>
  <c r="R1581" i="11"/>
  <c r="S1581" i="11"/>
  <c r="P1582" i="11"/>
  <c r="Q1582" i="11"/>
  <c r="R1582" i="11"/>
  <c r="S1582" i="11"/>
  <c r="P1583" i="11"/>
  <c r="Q1583" i="11"/>
  <c r="R1583" i="11"/>
  <c r="S1583" i="11"/>
  <c r="P1584" i="11"/>
  <c r="Q1584" i="11"/>
  <c r="R1584" i="11"/>
  <c r="S1584" i="11"/>
  <c r="P1585" i="11"/>
  <c r="Q1585" i="11"/>
  <c r="R1585" i="11"/>
  <c r="S1585" i="11"/>
  <c r="P1586" i="11"/>
  <c r="Q1586" i="11"/>
  <c r="R1586" i="11"/>
  <c r="S1586" i="11"/>
  <c r="P1587" i="11"/>
  <c r="Q1587" i="11"/>
  <c r="R1587" i="11"/>
  <c r="S1587" i="11"/>
  <c r="P1588" i="11"/>
  <c r="Q1588" i="11"/>
  <c r="R1588" i="11"/>
  <c r="S1588" i="11"/>
  <c r="P1589" i="11"/>
  <c r="Q1589" i="11"/>
  <c r="R1589" i="11"/>
  <c r="S1589" i="11"/>
  <c r="P1590" i="11"/>
  <c r="Q1590" i="11"/>
  <c r="R1590" i="11"/>
  <c r="S1590" i="11"/>
  <c r="P1591" i="11"/>
  <c r="Q1591" i="11"/>
  <c r="R1591" i="11"/>
  <c r="S1591" i="11"/>
  <c r="P1592" i="11"/>
  <c r="Q1592" i="11"/>
  <c r="R1592" i="11"/>
  <c r="S1592" i="11"/>
  <c r="P1593" i="11"/>
  <c r="Q1593" i="11"/>
  <c r="R1593" i="11"/>
  <c r="S1593" i="11"/>
  <c r="P1594" i="11"/>
  <c r="Q1594" i="11"/>
  <c r="R1594" i="11"/>
  <c r="S1594" i="11"/>
  <c r="P1595" i="11"/>
  <c r="Q1595" i="11"/>
  <c r="R1595" i="11"/>
  <c r="S1595" i="11"/>
  <c r="P1596" i="11"/>
  <c r="Q1596" i="11"/>
  <c r="R1596" i="11"/>
  <c r="S1596" i="11"/>
  <c r="P1597" i="11"/>
  <c r="Q1597" i="11"/>
  <c r="R1597" i="11"/>
  <c r="S1597" i="11"/>
  <c r="P1598" i="11"/>
  <c r="Q1598" i="11"/>
  <c r="R1598" i="11"/>
  <c r="S1598" i="11"/>
  <c r="P1599" i="11"/>
  <c r="Q1599" i="11"/>
  <c r="R1599" i="11"/>
  <c r="S1599" i="11"/>
  <c r="P1600" i="11"/>
  <c r="Q1600" i="11"/>
  <c r="R1600" i="11"/>
  <c r="S1600" i="11"/>
  <c r="P1601" i="11"/>
  <c r="Q1601" i="11"/>
  <c r="R1601" i="11"/>
  <c r="S1601" i="11"/>
  <c r="P1602" i="11"/>
  <c r="Q1602" i="11"/>
  <c r="R1602" i="11"/>
  <c r="S1602" i="11"/>
  <c r="P1603" i="11"/>
  <c r="Q1603" i="11"/>
  <c r="R1603" i="11"/>
  <c r="S1603" i="11"/>
  <c r="P1604" i="11"/>
  <c r="Q1604" i="11"/>
  <c r="R1604" i="11"/>
  <c r="S1604" i="11"/>
  <c r="P1605" i="11"/>
  <c r="Q1605" i="11"/>
  <c r="R1605" i="11"/>
  <c r="S1605" i="11"/>
  <c r="P1606" i="11"/>
  <c r="Q1606" i="11"/>
  <c r="R1606" i="11"/>
  <c r="S1606" i="11"/>
  <c r="P1607" i="11"/>
  <c r="Q1607" i="11"/>
  <c r="R1607" i="11"/>
  <c r="S1607" i="11"/>
  <c r="P1608" i="11"/>
  <c r="Q1608" i="11"/>
  <c r="R1608" i="11"/>
  <c r="S1608" i="11"/>
  <c r="P1609" i="11"/>
  <c r="Q1609" i="11"/>
  <c r="R1609" i="11"/>
  <c r="S1609" i="11"/>
  <c r="P1610" i="11"/>
  <c r="Q1610" i="11"/>
  <c r="R1610" i="11"/>
  <c r="S1610" i="11"/>
  <c r="P1611" i="11"/>
  <c r="Q1611" i="11"/>
  <c r="R1611" i="11"/>
  <c r="S1611" i="11"/>
  <c r="P1612" i="11"/>
  <c r="Q1612" i="11"/>
  <c r="R1612" i="11"/>
  <c r="S1612" i="11"/>
  <c r="P1613" i="11"/>
  <c r="Q1613" i="11"/>
  <c r="R1613" i="11"/>
  <c r="S1613" i="11"/>
  <c r="P1614" i="11"/>
  <c r="Q1614" i="11"/>
  <c r="R1614" i="11"/>
  <c r="S1614" i="11"/>
  <c r="P1615" i="11"/>
  <c r="Q1615" i="11"/>
  <c r="R1615" i="11"/>
  <c r="S1615" i="11"/>
  <c r="P1616" i="11"/>
  <c r="Q1616" i="11"/>
  <c r="R1616" i="11"/>
  <c r="S1616" i="11"/>
  <c r="P1617" i="11"/>
  <c r="Q1617" i="11"/>
  <c r="R1617" i="11"/>
  <c r="S1617" i="11"/>
  <c r="P1618" i="11"/>
  <c r="Q1618" i="11"/>
  <c r="R1618" i="11"/>
  <c r="S1618" i="11"/>
  <c r="P1619" i="11"/>
  <c r="Q1619" i="11"/>
  <c r="R1619" i="11"/>
  <c r="S1619" i="11"/>
  <c r="P1620" i="11"/>
  <c r="Q1620" i="11"/>
  <c r="R1620" i="11"/>
  <c r="S1620" i="11"/>
  <c r="P1621" i="11"/>
  <c r="Q1621" i="11"/>
  <c r="R1621" i="11"/>
  <c r="S1621" i="11"/>
  <c r="P1622" i="11"/>
  <c r="Q1622" i="11"/>
  <c r="R1622" i="11"/>
  <c r="S1622" i="11"/>
  <c r="P1623" i="11"/>
  <c r="Q1623" i="11"/>
  <c r="R1623" i="11"/>
  <c r="S1623" i="11"/>
  <c r="P1624" i="11"/>
  <c r="Q1624" i="11"/>
  <c r="R1624" i="11"/>
  <c r="S1624" i="11"/>
  <c r="P1625" i="11"/>
  <c r="Q1625" i="11"/>
  <c r="R1625" i="11"/>
  <c r="S1625" i="11"/>
  <c r="P1626" i="11"/>
  <c r="Q1626" i="11"/>
  <c r="R1626" i="11"/>
  <c r="S1626" i="11"/>
  <c r="P1627" i="11"/>
  <c r="Q1627" i="11"/>
  <c r="R1627" i="11"/>
  <c r="S1627" i="11"/>
  <c r="P1628" i="11"/>
  <c r="Q1628" i="11"/>
  <c r="R1628" i="11"/>
  <c r="S1628" i="11"/>
  <c r="P1629" i="11"/>
  <c r="Q1629" i="11"/>
  <c r="R1629" i="11"/>
  <c r="S1629" i="11"/>
  <c r="P1630" i="11"/>
  <c r="Q1630" i="11"/>
  <c r="R1630" i="11"/>
  <c r="S1630" i="11"/>
  <c r="P1631" i="11"/>
  <c r="Q1631" i="11"/>
  <c r="R1631" i="11"/>
  <c r="S1631" i="11"/>
  <c r="P1632" i="11"/>
  <c r="Q1632" i="11"/>
  <c r="R1632" i="11"/>
  <c r="S1632" i="11"/>
  <c r="P1633" i="11"/>
  <c r="Q1633" i="11"/>
  <c r="R1633" i="11"/>
  <c r="S1633" i="11"/>
  <c r="P1634" i="11"/>
  <c r="Q1634" i="11"/>
  <c r="R1634" i="11"/>
  <c r="S1634" i="11"/>
  <c r="P1635" i="11"/>
  <c r="Q1635" i="11"/>
  <c r="R1635" i="11"/>
  <c r="S1635" i="11"/>
  <c r="P1636" i="11"/>
  <c r="Q1636" i="11"/>
  <c r="R1636" i="11"/>
  <c r="S1636" i="11"/>
  <c r="P1637" i="11"/>
  <c r="Q1637" i="11"/>
  <c r="R1637" i="11"/>
  <c r="S1637" i="11"/>
  <c r="P1638" i="11"/>
  <c r="Q1638" i="11"/>
  <c r="R1638" i="11"/>
  <c r="S1638" i="11"/>
  <c r="P1639" i="11"/>
  <c r="Q1639" i="11"/>
  <c r="R1639" i="11"/>
  <c r="S1639" i="11"/>
  <c r="P1640" i="11"/>
  <c r="Q1640" i="11"/>
  <c r="R1640" i="11"/>
  <c r="S1640" i="11"/>
  <c r="P1641" i="11"/>
  <c r="Q1641" i="11"/>
  <c r="R1641" i="11"/>
  <c r="S1641" i="11"/>
  <c r="P1642" i="11"/>
  <c r="Q1642" i="11"/>
  <c r="R1642" i="11"/>
  <c r="S1642" i="11"/>
  <c r="P1643" i="11"/>
  <c r="Q1643" i="11"/>
  <c r="R1643" i="11"/>
  <c r="S1643" i="11"/>
  <c r="P1644" i="11"/>
  <c r="Q1644" i="11"/>
  <c r="R1644" i="11"/>
  <c r="S1644" i="11"/>
  <c r="P1645" i="11"/>
  <c r="Q1645" i="11"/>
  <c r="R1645" i="11"/>
  <c r="S1645" i="11"/>
  <c r="P1646" i="11"/>
  <c r="Q1646" i="11"/>
  <c r="R1646" i="11"/>
  <c r="S1646" i="11"/>
  <c r="P1647" i="11"/>
  <c r="Q1647" i="11"/>
  <c r="R1647" i="11"/>
  <c r="S1647" i="11"/>
  <c r="P1648" i="11"/>
  <c r="Q1648" i="11"/>
  <c r="R1648" i="11"/>
  <c r="S1648" i="11"/>
  <c r="P1649" i="11"/>
  <c r="Q1649" i="11"/>
  <c r="R1649" i="11"/>
  <c r="S1649" i="11"/>
  <c r="P1650" i="11"/>
  <c r="Q1650" i="11"/>
  <c r="R1650" i="11"/>
  <c r="S1650" i="11"/>
  <c r="P1651" i="11"/>
  <c r="Q1651" i="11"/>
  <c r="R1651" i="11"/>
  <c r="S1651" i="11"/>
  <c r="P1652" i="11"/>
  <c r="Q1652" i="11"/>
  <c r="R1652" i="11"/>
  <c r="S1652" i="11"/>
  <c r="P1653" i="11"/>
  <c r="Q1653" i="11"/>
  <c r="R1653" i="11"/>
  <c r="S1653" i="11"/>
  <c r="P1654" i="11"/>
  <c r="Q1654" i="11"/>
  <c r="R1654" i="11"/>
  <c r="S1654" i="11"/>
  <c r="P1655" i="11"/>
  <c r="Q1655" i="11"/>
  <c r="R1655" i="11"/>
  <c r="S1655" i="11"/>
  <c r="P1656" i="11"/>
  <c r="Q1656" i="11"/>
  <c r="R1656" i="11"/>
  <c r="S1656" i="11"/>
  <c r="P1657" i="11"/>
  <c r="Q1657" i="11"/>
  <c r="R1657" i="11"/>
  <c r="S1657" i="11"/>
  <c r="P1658" i="11"/>
  <c r="Q1658" i="11"/>
  <c r="R1658" i="11"/>
  <c r="S1658" i="11"/>
  <c r="P1659" i="11"/>
  <c r="Q1659" i="11"/>
  <c r="R1659" i="11"/>
  <c r="S1659" i="11"/>
  <c r="P1660" i="11"/>
  <c r="Q1660" i="11"/>
  <c r="R1660" i="11"/>
  <c r="S1660" i="11"/>
  <c r="P1661" i="11"/>
  <c r="Q1661" i="11"/>
  <c r="R1661" i="11"/>
  <c r="S1661" i="11"/>
  <c r="P1662" i="11"/>
  <c r="Q1662" i="11"/>
  <c r="R1662" i="11"/>
  <c r="S1662" i="11"/>
  <c r="P1663" i="11"/>
  <c r="Q1663" i="11"/>
  <c r="R1663" i="11"/>
  <c r="S1663" i="11"/>
  <c r="P1664" i="11"/>
  <c r="Q1664" i="11"/>
  <c r="R1664" i="11"/>
  <c r="S1664" i="11"/>
  <c r="P1665" i="11"/>
  <c r="Q1665" i="11"/>
  <c r="R1665" i="11"/>
  <c r="S1665" i="11"/>
  <c r="P1666" i="11"/>
  <c r="Q1666" i="11"/>
  <c r="R1666" i="11"/>
  <c r="S1666" i="11"/>
  <c r="P1667" i="11"/>
  <c r="Q1667" i="11"/>
  <c r="R1667" i="11"/>
  <c r="S1667" i="11"/>
  <c r="P1668" i="11"/>
  <c r="Q1668" i="11"/>
  <c r="R1668" i="11"/>
  <c r="S1668" i="11"/>
  <c r="P1669" i="11"/>
  <c r="Q1669" i="11"/>
  <c r="R1669" i="11"/>
  <c r="S1669" i="11"/>
  <c r="P1670" i="11"/>
  <c r="Q1670" i="11"/>
  <c r="R1670" i="11"/>
  <c r="S1670" i="11"/>
  <c r="P1671" i="11"/>
  <c r="Q1671" i="11"/>
  <c r="R1671" i="11"/>
  <c r="S1671" i="11"/>
  <c r="P1672" i="11"/>
  <c r="Q1672" i="11"/>
  <c r="R1672" i="11"/>
  <c r="S1672" i="11"/>
  <c r="P1673" i="11"/>
  <c r="Q1673" i="11"/>
  <c r="R1673" i="11"/>
  <c r="S1673" i="11"/>
  <c r="P1674" i="11"/>
  <c r="Q1674" i="11"/>
  <c r="R1674" i="11"/>
  <c r="S1674" i="11"/>
  <c r="P1675" i="11"/>
  <c r="Q1675" i="11"/>
  <c r="R1675" i="11"/>
  <c r="S1675" i="11"/>
  <c r="P1676" i="11"/>
  <c r="Q1676" i="11"/>
  <c r="R1676" i="11"/>
  <c r="S1676" i="11"/>
  <c r="P1677" i="11"/>
  <c r="Q1677" i="11"/>
  <c r="R1677" i="11"/>
  <c r="S1677" i="11"/>
  <c r="P1678" i="11"/>
  <c r="Q1678" i="11"/>
  <c r="R1678" i="11"/>
  <c r="S1678" i="11"/>
  <c r="P1679" i="11"/>
  <c r="Q1679" i="11"/>
  <c r="R1679" i="11"/>
  <c r="S1679" i="11"/>
  <c r="P1680" i="11"/>
  <c r="Q1680" i="11"/>
  <c r="R1680" i="11"/>
  <c r="S1680" i="11"/>
  <c r="P1681" i="11"/>
  <c r="Q1681" i="11"/>
  <c r="R1681" i="11"/>
  <c r="S1681" i="11"/>
  <c r="P1682" i="11"/>
  <c r="Q1682" i="11"/>
  <c r="R1682" i="11"/>
  <c r="S1682" i="11"/>
  <c r="P1683" i="11"/>
  <c r="Q1683" i="11"/>
  <c r="R1683" i="11"/>
  <c r="S1683" i="11"/>
  <c r="P1684" i="11"/>
  <c r="Q1684" i="11"/>
  <c r="R1684" i="11"/>
  <c r="S1684" i="11"/>
  <c r="P1685" i="11"/>
  <c r="Q1685" i="11"/>
  <c r="R1685" i="11"/>
  <c r="S1685" i="11"/>
  <c r="P1686" i="11"/>
  <c r="Q1686" i="11"/>
  <c r="R1686" i="11"/>
  <c r="S1686" i="11"/>
  <c r="P1687" i="11"/>
  <c r="Q1687" i="11"/>
  <c r="R1687" i="11"/>
  <c r="S1687" i="11"/>
  <c r="P1688" i="11"/>
  <c r="Q1688" i="11"/>
  <c r="R1688" i="11"/>
  <c r="S1688" i="11"/>
  <c r="P1689" i="11"/>
  <c r="Q1689" i="11"/>
  <c r="R1689" i="11"/>
  <c r="S1689" i="11"/>
  <c r="P1690" i="11"/>
  <c r="Q1690" i="11"/>
  <c r="R1690" i="11"/>
  <c r="S1690" i="11"/>
  <c r="P1691" i="11"/>
  <c r="Q1691" i="11"/>
  <c r="R1691" i="11"/>
  <c r="S1691" i="11"/>
  <c r="P1692" i="11"/>
  <c r="Q1692" i="11"/>
  <c r="R1692" i="11"/>
  <c r="S1692" i="11"/>
  <c r="P1693" i="11"/>
  <c r="Q1693" i="11"/>
  <c r="R1693" i="11"/>
  <c r="S1693" i="11"/>
  <c r="P1694" i="11"/>
  <c r="Q1694" i="11"/>
  <c r="R1694" i="11"/>
  <c r="S1694" i="11"/>
  <c r="P1695" i="11"/>
  <c r="Q1695" i="11"/>
  <c r="R1695" i="11"/>
  <c r="S1695" i="11"/>
  <c r="P1696" i="11"/>
  <c r="Q1696" i="11"/>
  <c r="R1696" i="11"/>
  <c r="S1696" i="11"/>
  <c r="P1697" i="11"/>
  <c r="Q1697" i="11"/>
  <c r="R1697" i="11"/>
  <c r="S1697" i="11"/>
  <c r="P1698" i="11"/>
  <c r="Q1698" i="11"/>
  <c r="R1698" i="11"/>
  <c r="S1698" i="11"/>
  <c r="P1699" i="11"/>
  <c r="Q1699" i="11"/>
  <c r="R1699" i="11"/>
  <c r="S1699" i="11"/>
  <c r="P1700" i="11"/>
  <c r="Q1700" i="11"/>
  <c r="R1700" i="11"/>
  <c r="S1700" i="11"/>
  <c r="P1701" i="11"/>
  <c r="Q1701" i="11"/>
  <c r="R1701" i="11"/>
  <c r="S1701" i="11"/>
  <c r="P1702" i="11"/>
  <c r="Q1702" i="11"/>
  <c r="R1702" i="11"/>
  <c r="S1702" i="11"/>
  <c r="P1703" i="11"/>
  <c r="Q1703" i="11"/>
  <c r="R1703" i="11"/>
  <c r="S1703" i="11"/>
  <c r="P1704" i="11"/>
  <c r="Q1704" i="11"/>
  <c r="R1704" i="11"/>
  <c r="S1704" i="11"/>
  <c r="P1705" i="11"/>
  <c r="Q1705" i="11"/>
  <c r="R1705" i="11"/>
  <c r="S1705" i="11"/>
  <c r="P1706" i="11"/>
  <c r="Q1706" i="11"/>
  <c r="R1706" i="11"/>
  <c r="S1706" i="11"/>
  <c r="P1707" i="11"/>
  <c r="Q1707" i="11"/>
  <c r="R1707" i="11"/>
  <c r="S1707" i="11"/>
  <c r="P1708" i="11"/>
  <c r="Q1708" i="11"/>
  <c r="R1708" i="11"/>
  <c r="S1708" i="11"/>
  <c r="P1709" i="11"/>
  <c r="Q1709" i="11"/>
  <c r="R1709" i="11"/>
  <c r="S1709" i="11"/>
  <c r="P1710" i="11"/>
  <c r="Q1710" i="11"/>
  <c r="R1710" i="11"/>
  <c r="S1710" i="11"/>
  <c r="P1711" i="11"/>
  <c r="Q1711" i="11"/>
  <c r="R1711" i="11"/>
  <c r="S1711" i="11"/>
  <c r="P1712" i="11"/>
  <c r="Q1712" i="11"/>
  <c r="R1712" i="11"/>
  <c r="S1712" i="11"/>
  <c r="P1713" i="11"/>
  <c r="Q1713" i="11"/>
  <c r="R1713" i="11"/>
  <c r="S1713" i="11"/>
  <c r="P1714" i="11"/>
  <c r="Q1714" i="11"/>
  <c r="R1714" i="11"/>
  <c r="S1714" i="11"/>
  <c r="P1715" i="11"/>
  <c r="Q1715" i="11"/>
  <c r="R1715" i="11"/>
  <c r="S1715" i="11"/>
  <c r="P1716" i="11"/>
  <c r="Q1716" i="11"/>
  <c r="R1716" i="11"/>
  <c r="S1716" i="11"/>
  <c r="P1717" i="11"/>
  <c r="Q1717" i="11"/>
  <c r="R1717" i="11"/>
  <c r="S1717" i="11"/>
  <c r="P1718" i="11"/>
  <c r="Q1718" i="11"/>
  <c r="R1718" i="11"/>
  <c r="S1718" i="11"/>
  <c r="P1719" i="11"/>
  <c r="Q1719" i="11"/>
  <c r="R1719" i="11"/>
  <c r="S1719" i="11"/>
  <c r="P1720" i="11"/>
  <c r="Q1720" i="11"/>
  <c r="R1720" i="11"/>
  <c r="S1720" i="11"/>
  <c r="P1721" i="11"/>
  <c r="Q1721" i="11"/>
  <c r="R1721" i="11"/>
  <c r="S1721" i="11"/>
  <c r="P1722" i="11"/>
  <c r="Q1722" i="11"/>
  <c r="R1722" i="11"/>
  <c r="S1722" i="11"/>
  <c r="P1723" i="11"/>
  <c r="Q1723" i="11"/>
  <c r="R1723" i="11"/>
  <c r="S1723" i="11"/>
  <c r="P1724" i="11"/>
  <c r="Q1724" i="11"/>
  <c r="R1724" i="11"/>
  <c r="S1724" i="11"/>
  <c r="P1725" i="11"/>
  <c r="Q1725" i="11"/>
  <c r="R1725" i="11"/>
  <c r="S1725" i="11"/>
  <c r="P1726" i="11"/>
  <c r="Q1726" i="11"/>
  <c r="R1726" i="11"/>
  <c r="S1726" i="11"/>
  <c r="P1727" i="11"/>
  <c r="Q1727" i="11"/>
  <c r="R1727" i="11"/>
  <c r="S1727" i="11"/>
  <c r="P1728" i="11"/>
  <c r="Q1728" i="11"/>
  <c r="R1728" i="11"/>
  <c r="S1728" i="11"/>
  <c r="P1729" i="11"/>
  <c r="Q1729" i="11"/>
  <c r="R1729" i="11"/>
  <c r="S1729" i="11"/>
  <c r="P1730" i="11"/>
  <c r="Q1730" i="11"/>
  <c r="R1730" i="11"/>
  <c r="S1730" i="11"/>
  <c r="P1731" i="11"/>
  <c r="Q1731" i="11"/>
  <c r="R1731" i="11"/>
  <c r="S1731" i="11"/>
  <c r="P1732" i="11"/>
  <c r="Q1732" i="11"/>
  <c r="R1732" i="11"/>
  <c r="S1732" i="11"/>
  <c r="P1733" i="11"/>
  <c r="Q1733" i="11"/>
  <c r="R1733" i="11"/>
  <c r="S1733" i="11"/>
  <c r="P1734" i="11"/>
  <c r="Q1734" i="11"/>
  <c r="R1734" i="11"/>
  <c r="S1734" i="11"/>
  <c r="P1735" i="11"/>
  <c r="Q1735" i="11"/>
  <c r="R1735" i="11"/>
  <c r="S1735" i="11"/>
  <c r="P1736" i="11"/>
  <c r="Q1736" i="11"/>
  <c r="R1736" i="11"/>
  <c r="S1736" i="11"/>
  <c r="P1737" i="11"/>
  <c r="Q1737" i="11"/>
  <c r="R1737" i="11"/>
  <c r="S1737" i="11"/>
  <c r="P1738" i="11"/>
  <c r="Q1738" i="11"/>
  <c r="R1738" i="11"/>
  <c r="S1738" i="11"/>
  <c r="P1739" i="11"/>
  <c r="Q1739" i="11"/>
  <c r="R1739" i="11"/>
  <c r="S1739" i="11"/>
  <c r="P1740" i="11"/>
  <c r="Q1740" i="11"/>
  <c r="R1740" i="11"/>
  <c r="S1740" i="11"/>
  <c r="P1741" i="11"/>
  <c r="Q1741" i="11"/>
  <c r="R1741" i="11"/>
  <c r="S1741" i="11"/>
  <c r="P1742" i="11"/>
  <c r="Q1742" i="11"/>
  <c r="R1742" i="11"/>
  <c r="S1742" i="11"/>
  <c r="P1743" i="11"/>
  <c r="Q1743" i="11"/>
  <c r="R1743" i="11"/>
  <c r="S1743" i="11"/>
  <c r="P1744" i="11"/>
  <c r="Q1744" i="11"/>
  <c r="R1744" i="11"/>
  <c r="S1744" i="11"/>
  <c r="P1745" i="11"/>
  <c r="Q1745" i="11"/>
  <c r="R1745" i="11"/>
  <c r="S1745" i="11"/>
  <c r="P1746" i="11"/>
  <c r="Q1746" i="11"/>
  <c r="R1746" i="11"/>
  <c r="S1746" i="11"/>
  <c r="P1747" i="11"/>
  <c r="Q1747" i="11"/>
  <c r="R1747" i="11"/>
  <c r="S1747" i="11"/>
  <c r="P1748" i="11"/>
  <c r="Q1748" i="11"/>
  <c r="R1748" i="11"/>
  <c r="S1748" i="11"/>
  <c r="P1749" i="11"/>
  <c r="Q1749" i="11"/>
  <c r="R1749" i="11"/>
  <c r="S1749" i="11"/>
  <c r="P1750" i="11"/>
  <c r="Q1750" i="11"/>
  <c r="R1750" i="11"/>
  <c r="S1750" i="11"/>
  <c r="P1751" i="11"/>
  <c r="Q1751" i="11"/>
  <c r="R1751" i="11"/>
  <c r="S1751" i="11"/>
  <c r="P1752" i="11"/>
  <c r="Q1752" i="11"/>
  <c r="R1752" i="11"/>
  <c r="S1752" i="11"/>
  <c r="P1753" i="11"/>
  <c r="Q1753" i="11"/>
  <c r="R1753" i="11"/>
  <c r="S1753" i="11"/>
  <c r="P1754" i="11"/>
  <c r="Q1754" i="11"/>
  <c r="R1754" i="11"/>
  <c r="S1754" i="11"/>
  <c r="P1755" i="11"/>
  <c r="Q1755" i="11"/>
  <c r="R1755" i="11"/>
  <c r="S1755" i="11"/>
  <c r="P1756" i="11"/>
  <c r="Q1756" i="11"/>
  <c r="R1756" i="11"/>
  <c r="S1756" i="11"/>
  <c r="P1757" i="11"/>
  <c r="Q1757" i="11"/>
  <c r="R1757" i="11"/>
  <c r="S1757" i="11"/>
  <c r="P1758" i="11"/>
  <c r="Q1758" i="11"/>
  <c r="R1758" i="11"/>
  <c r="S1758" i="11"/>
  <c r="P1759" i="11"/>
  <c r="Q1759" i="11"/>
  <c r="R1759" i="11"/>
  <c r="S1759" i="11"/>
  <c r="P1760" i="11"/>
  <c r="Q1760" i="11"/>
  <c r="R1760" i="11"/>
  <c r="S1760" i="11"/>
  <c r="P1761" i="11"/>
  <c r="Q1761" i="11"/>
  <c r="R1761" i="11"/>
  <c r="S1761" i="11"/>
  <c r="P1762" i="11"/>
  <c r="Q1762" i="11"/>
  <c r="R1762" i="11"/>
  <c r="S1762" i="11"/>
  <c r="P1763" i="11"/>
  <c r="Q1763" i="11"/>
  <c r="R1763" i="11"/>
  <c r="S1763" i="11"/>
  <c r="P1764" i="11"/>
  <c r="Q1764" i="11"/>
  <c r="R1764" i="11"/>
  <c r="S1764" i="11"/>
  <c r="P1765" i="11"/>
  <c r="Q1765" i="11"/>
  <c r="R1765" i="11"/>
  <c r="S1765" i="11"/>
  <c r="P1766" i="11"/>
  <c r="Q1766" i="11"/>
  <c r="R1766" i="11"/>
  <c r="S1766" i="11"/>
  <c r="P1767" i="11"/>
  <c r="Q1767" i="11"/>
  <c r="R1767" i="11"/>
  <c r="S1767" i="11"/>
  <c r="P1768" i="11"/>
  <c r="Q1768" i="11"/>
  <c r="R1768" i="11"/>
  <c r="S1768" i="11"/>
  <c r="P1769" i="11"/>
  <c r="Q1769" i="11"/>
  <c r="R1769" i="11"/>
  <c r="S1769" i="11"/>
  <c r="P1770" i="11"/>
  <c r="Q1770" i="11"/>
  <c r="R1770" i="11"/>
  <c r="S1770" i="11"/>
  <c r="P1771" i="11"/>
  <c r="Q1771" i="11"/>
  <c r="R1771" i="11"/>
  <c r="S1771" i="11"/>
  <c r="P1772" i="11"/>
  <c r="Q1772" i="11"/>
  <c r="R1772" i="11"/>
  <c r="S1772" i="11"/>
  <c r="P1773" i="11"/>
  <c r="Q1773" i="11"/>
  <c r="R1773" i="11"/>
  <c r="S1773" i="11"/>
  <c r="P1774" i="11"/>
  <c r="Q1774" i="11"/>
  <c r="R1774" i="11"/>
  <c r="S1774" i="11"/>
  <c r="P1775" i="11"/>
  <c r="Q1775" i="11"/>
  <c r="R1775" i="11"/>
  <c r="S1775" i="11"/>
  <c r="P1776" i="11"/>
  <c r="Q1776" i="11"/>
  <c r="R1776" i="11"/>
  <c r="S1776" i="11"/>
  <c r="P1777" i="11"/>
  <c r="Q1777" i="11"/>
  <c r="R1777" i="11"/>
  <c r="S1777" i="11"/>
  <c r="P1778" i="11"/>
  <c r="Q1778" i="11"/>
  <c r="R1778" i="11"/>
  <c r="S1778" i="11"/>
  <c r="P1779" i="11"/>
  <c r="Q1779" i="11"/>
  <c r="R1779" i="11"/>
  <c r="S1779" i="11"/>
  <c r="P1780" i="11"/>
  <c r="Q1780" i="11"/>
  <c r="R1780" i="11"/>
  <c r="S1780" i="11"/>
  <c r="P1781" i="11"/>
  <c r="Q1781" i="11"/>
  <c r="R1781" i="11"/>
  <c r="S1781" i="11"/>
  <c r="P1782" i="11"/>
  <c r="Q1782" i="11"/>
  <c r="R1782" i="11"/>
  <c r="S1782" i="11"/>
  <c r="P1783" i="11"/>
  <c r="Q1783" i="11"/>
  <c r="R1783" i="11"/>
  <c r="S1783" i="11"/>
  <c r="P1784" i="11"/>
  <c r="Q1784" i="11"/>
  <c r="R1784" i="11"/>
  <c r="S1784" i="11"/>
  <c r="P1785" i="11"/>
  <c r="Q1785" i="11"/>
  <c r="R1785" i="11"/>
  <c r="S1785" i="11"/>
  <c r="P1786" i="11"/>
  <c r="Q1786" i="11"/>
  <c r="R1786" i="11"/>
  <c r="S1786" i="11"/>
  <c r="P1787" i="11"/>
  <c r="Q1787" i="11"/>
  <c r="R1787" i="11"/>
  <c r="S1787" i="11"/>
  <c r="P1788" i="11"/>
  <c r="Q1788" i="11"/>
  <c r="R1788" i="11"/>
  <c r="S1788" i="11"/>
  <c r="P1789" i="11"/>
  <c r="Q1789" i="11"/>
  <c r="R1789" i="11"/>
  <c r="S1789" i="11"/>
  <c r="P1790" i="11"/>
  <c r="Q1790" i="11"/>
  <c r="R1790" i="11"/>
  <c r="S1790" i="11"/>
  <c r="P1791" i="11"/>
  <c r="Q1791" i="11"/>
  <c r="R1791" i="11"/>
  <c r="S1791" i="11"/>
  <c r="P1792" i="11"/>
  <c r="Q1792" i="11"/>
  <c r="R1792" i="11"/>
  <c r="S1792" i="11"/>
  <c r="P1793" i="11"/>
  <c r="Q1793" i="11"/>
  <c r="R1793" i="11"/>
  <c r="S1793" i="11"/>
  <c r="P1794" i="11"/>
  <c r="Q1794" i="11"/>
  <c r="R1794" i="11"/>
  <c r="S1794" i="11"/>
  <c r="P1795" i="11"/>
  <c r="Q1795" i="11"/>
  <c r="R1795" i="11"/>
  <c r="S1795" i="11"/>
  <c r="P1796" i="11"/>
  <c r="Q1796" i="11"/>
  <c r="R1796" i="11"/>
  <c r="S1796" i="11"/>
  <c r="P1797" i="11"/>
  <c r="Q1797" i="11"/>
  <c r="R1797" i="11"/>
  <c r="S1797" i="11"/>
  <c r="P1798" i="11"/>
  <c r="Q1798" i="11"/>
  <c r="R1798" i="11"/>
  <c r="S1798" i="11"/>
  <c r="P1799" i="11"/>
  <c r="Q1799" i="11"/>
  <c r="R1799" i="11"/>
  <c r="S1799" i="11"/>
  <c r="P1800" i="11"/>
  <c r="Q1800" i="11"/>
  <c r="R1800" i="11"/>
  <c r="S1800" i="11"/>
  <c r="P1801" i="11"/>
  <c r="Q1801" i="11"/>
  <c r="R1801" i="11"/>
  <c r="S1801" i="11"/>
  <c r="P1802" i="11"/>
  <c r="Q1802" i="11"/>
  <c r="R1802" i="11"/>
  <c r="S1802" i="11"/>
  <c r="P1803" i="11"/>
  <c r="Q1803" i="11"/>
  <c r="R1803" i="11"/>
  <c r="S1803" i="11"/>
  <c r="P1804" i="11"/>
  <c r="Q1804" i="11"/>
  <c r="R1804" i="11"/>
  <c r="S1804" i="11"/>
  <c r="P1805" i="11"/>
  <c r="Q1805" i="11"/>
  <c r="R1805" i="11"/>
  <c r="S1805" i="11"/>
  <c r="P1806" i="11"/>
  <c r="Q1806" i="11"/>
  <c r="R1806" i="11"/>
  <c r="S1806" i="11"/>
  <c r="P1807" i="11"/>
  <c r="Q1807" i="11"/>
  <c r="R1807" i="11"/>
  <c r="S1807" i="11"/>
  <c r="P1808" i="11"/>
  <c r="Q1808" i="11"/>
  <c r="R1808" i="11"/>
  <c r="S1808" i="11"/>
  <c r="P1809" i="11"/>
  <c r="Q1809" i="11"/>
  <c r="R1809" i="11"/>
  <c r="S1809" i="11"/>
  <c r="P1810" i="11"/>
  <c r="Q1810" i="11"/>
  <c r="R1810" i="11"/>
  <c r="S1810" i="11"/>
  <c r="P1811" i="11"/>
  <c r="Q1811" i="11"/>
  <c r="R1811" i="11"/>
  <c r="S1811" i="11"/>
  <c r="P1812" i="11"/>
  <c r="Q1812" i="11"/>
  <c r="R1812" i="11"/>
  <c r="S1812" i="11"/>
  <c r="P1813" i="11"/>
  <c r="Q1813" i="11"/>
  <c r="R1813" i="11"/>
  <c r="S1813" i="11"/>
  <c r="P1814" i="11"/>
  <c r="Q1814" i="11"/>
  <c r="R1814" i="11"/>
  <c r="S1814" i="11"/>
  <c r="P1815" i="11"/>
  <c r="Q1815" i="11"/>
  <c r="R1815" i="11"/>
  <c r="S1815" i="11"/>
  <c r="P1816" i="11"/>
  <c r="Q1816" i="11"/>
  <c r="R1816" i="11"/>
  <c r="S1816" i="11"/>
  <c r="P1817" i="11"/>
  <c r="Q1817" i="11"/>
  <c r="R1817" i="11"/>
  <c r="S1817" i="11"/>
  <c r="P1818" i="11"/>
  <c r="Q1818" i="11"/>
  <c r="R1818" i="11"/>
  <c r="S1818" i="11"/>
  <c r="P1819" i="11"/>
  <c r="Q1819" i="11"/>
  <c r="R1819" i="11"/>
  <c r="S1819" i="11"/>
  <c r="P1820" i="11"/>
  <c r="Q1820" i="11"/>
  <c r="R1820" i="11"/>
  <c r="S1820" i="11"/>
  <c r="P1821" i="11"/>
  <c r="Q1821" i="11"/>
  <c r="R1821" i="11"/>
  <c r="S1821" i="11"/>
  <c r="P1822" i="11"/>
  <c r="Q1822" i="11"/>
  <c r="R1822" i="11"/>
  <c r="S1822" i="11"/>
  <c r="P1823" i="11"/>
  <c r="Q1823" i="11"/>
  <c r="R1823" i="11"/>
  <c r="S1823" i="11"/>
  <c r="P1824" i="11"/>
  <c r="Q1824" i="11"/>
  <c r="R1824" i="11"/>
  <c r="S1824" i="11"/>
  <c r="P1825" i="11"/>
  <c r="Q1825" i="11"/>
  <c r="R1825" i="11"/>
  <c r="S1825" i="11"/>
  <c r="P1826" i="11"/>
  <c r="Q1826" i="11"/>
  <c r="R1826" i="11"/>
  <c r="S1826" i="11"/>
  <c r="P1827" i="11"/>
  <c r="Q1827" i="11"/>
  <c r="R1827" i="11"/>
  <c r="S1827" i="11"/>
  <c r="P1828" i="11"/>
  <c r="Q1828" i="11"/>
  <c r="R1828" i="11"/>
  <c r="S1828" i="11"/>
  <c r="P1829" i="11"/>
  <c r="Q1829" i="11"/>
  <c r="R1829" i="11"/>
  <c r="S1829" i="11"/>
  <c r="P1830" i="11"/>
  <c r="Q1830" i="11"/>
  <c r="R1830" i="11"/>
  <c r="S1830" i="11"/>
  <c r="P1831" i="11"/>
  <c r="Q1831" i="11"/>
  <c r="R1831" i="11"/>
  <c r="S1831" i="11"/>
  <c r="P1832" i="11"/>
  <c r="Q1832" i="11"/>
  <c r="R1832" i="11"/>
  <c r="S1832" i="11"/>
  <c r="P1833" i="11"/>
  <c r="Q1833" i="11"/>
  <c r="R1833" i="11"/>
  <c r="S1833" i="11"/>
  <c r="P1834" i="11"/>
  <c r="Q1834" i="11"/>
  <c r="R1834" i="11"/>
  <c r="S1834" i="11"/>
  <c r="P1835" i="11"/>
  <c r="Q1835" i="11"/>
  <c r="R1835" i="11"/>
  <c r="S1835" i="11"/>
  <c r="P1836" i="11"/>
  <c r="Q1836" i="11"/>
  <c r="R1836" i="11"/>
  <c r="S1836" i="11"/>
  <c r="P1837" i="11"/>
  <c r="Q1837" i="11"/>
  <c r="R1837" i="11"/>
  <c r="S1837" i="11"/>
  <c r="P1838" i="11"/>
  <c r="Q1838" i="11"/>
  <c r="R1838" i="11"/>
  <c r="S1838" i="11"/>
  <c r="P1839" i="11"/>
  <c r="Q1839" i="11"/>
  <c r="R1839" i="11"/>
  <c r="S1839" i="11"/>
  <c r="P1840" i="11"/>
  <c r="Q1840" i="11"/>
  <c r="R1840" i="11"/>
  <c r="S1840" i="11"/>
  <c r="P1841" i="11"/>
  <c r="Q1841" i="11"/>
  <c r="R1841" i="11"/>
  <c r="S1841" i="11"/>
  <c r="P1842" i="11"/>
  <c r="Q1842" i="11"/>
  <c r="R1842" i="11"/>
  <c r="S1842" i="11"/>
  <c r="P1843" i="11"/>
  <c r="Q1843" i="11"/>
  <c r="R1843" i="11"/>
  <c r="S1843" i="11"/>
  <c r="P1844" i="11"/>
  <c r="Q1844" i="11"/>
  <c r="R1844" i="11"/>
  <c r="S1844" i="11"/>
  <c r="P1845" i="11"/>
  <c r="Q1845" i="11"/>
  <c r="R1845" i="11"/>
  <c r="S1845" i="11"/>
  <c r="P1846" i="11"/>
  <c r="Q1846" i="11"/>
  <c r="R1846" i="11"/>
  <c r="S1846" i="11"/>
  <c r="P1847" i="11"/>
  <c r="Q1847" i="11"/>
  <c r="R1847" i="11"/>
  <c r="S1847" i="11"/>
  <c r="P1848" i="11"/>
  <c r="Q1848" i="11"/>
  <c r="R1848" i="11"/>
  <c r="S1848" i="11"/>
  <c r="P1849" i="11"/>
  <c r="Q1849" i="11"/>
  <c r="R1849" i="11"/>
  <c r="S1849" i="11"/>
  <c r="P1850" i="11"/>
  <c r="Q1850" i="11"/>
  <c r="R1850" i="11"/>
  <c r="S1850" i="11"/>
  <c r="P1851" i="11"/>
  <c r="Q1851" i="11"/>
  <c r="R1851" i="11"/>
  <c r="S1851" i="11"/>
  <c r="P1852" i="11"/>
  <c r="Q1852" i="11"/>
  <c r="R1852" i="11"/>
  <c r="S1852" i="11"/>
  <c r="P1853" i="11"/>
  <c r="Q1853" i="11"/>
  <c r="R1853" i="11"/>
  <c r="S1853" i="11"/>
  <c r="P1854" i="11"/>
  <c r="Q1854" i="11"/>
  <c r="R1854" i="11"/>
  <c r="S1854" i="11"/>
  <c r="P1855" i="11"/>
  <c r="Q1855" i="11"/>
  <c r="R1855" i="11"/>
  <c r="S1855" i="11"/>
  <c r="P1856" i="11"/>
  <c r="Q1856" i="11"/>
  <c r="R1856" i="11"/>
  <c r="S1856" i="11"/>
  <c r="P1857" i="11"/>
  <c r="Q1857" i="11"/>
  <c r="R1857" i="11"/>
  <c r="S1857" i="11"/>
  <c r="P1858" i="11"/>
  <c r="Q1858" i="11"/>
  <c r="R1858" i="11"/>
  <c r="S1858" i="11"/>
  <c r="P1859" i="11"/>
  <c r="Q1859" i="11"/>
  <c r="R1859" i="11"/>
  <c r="S1859" i="11"/>
  <c r="P1860" i="11"/>
  <c r="Q1860" i="11"/>
  <c r="R1860" i="11"/>
  <c r="S1860" i="11"/>
  <c r="P1861" i="11"/>
  <c r="Q1861" i="11"/>
  <c r="R1861" i="11"/>
  <c r="S1861" i="11"/>
  <c r="P1862" i="11"/>
  <c r="Q1862" i="11"/>
  <c r="R1862" i="11"/>
  <c r="S1862" i="11"/>
  <c r="P1863" i="11"/>
  <c r="Q1863" i="11"/>
  <c r="R1863" i="11"/>
  <c r="S1863" i="11"/>
  <c r="P1864" i="11"/>
  <c r="Q1864" i="11"/>
  <c r="R1864" i="11"/>
  <c r="S1864" i="11"/>
  <c r="P1865" i="11"/>
  <c r="Q1865" i="11"/>
  <c r="R1865" i="11"/>
  <c r="S1865" i="11"/>
  <c r="P1866" i="11"/>
  <c r="Q1866" i="11"/>
  <c r="R1866" i="11"/>
  <c r="S1866" i="11"/>
  <c r="P1867" i="11"/>
  <c r="Q1867" i="11"/>
  <c r="R1867" i="11"/>
  <c r="S1867" i="11"/>
  <c r="P1868" i="11"/>
  <c r="Q1868" i="11"/>
  <c r="R1868" i="11"/>
  <c r="S1868" i="11"/>
  <c r="P1869" i="11"/>
  <c r="Q1869" i="11"/>
  <c r="R1869" i="11"/>
  <c r="S1869" i="11"/>
  <c r="P1870" i="11"/>
  <c r="Q1870" i="11"/>
  <c r="R1870" i="11"/>
  <c r="S1870" i="11"/>
  <c r="P1871" i="11"/>
  <c r="Q1871" i="11"/>
  <c r="R1871" i="11"/>
  <c r="S1871" i="11"/>
  <c r="P1872" i="11"/>
  <c r="Q1872" i="11"/>
  <c r="R1872" i="11"/>
  <c r="S1872" i="11"/>
  <c r="P1873" i="11"/>
  <c r="Q1873" i="11"/>
  <c r="R1873" i="11"/>
  <c r="S1873" i="11"/>
  <c r="P1874" i="11"/>
  <c r="Q1874" i="11"/>
  <c r="R1874" i="11"/>
  <c r="S1874" i="11"/>
  <c r="P1875" i="11"/>
  <c r="Q1875" i="11"/>
  <c r="R1875" i="11"/>
  <c r="S1875" i="11"/>
  <c r="P1876" i="11"/>
  <c r="Q1876" i="11"/>
  <c r="R1876" i="11"/>
  <c r="S1876" i="11"/>
  <c r="P1877" i="11"/>
  <c r="Q1877" i="11"/>
  <c r="R1877" i="11"/>
  <c r="S1877" i="11"/>
  <c r="P1878" i="11"/>
  <c r="Q1878" i="11"/>
  <c r="R1878" i="11"/>
  <c r="S1878" i="11"/>
  <c r="P1879" i="11"/>
  <c r="Q1879" i="11"/>
  <c r="R1879" i="11"/>
  <c r="S1879" i="11"/>
  <c r="P1880" i="11"/>
  <c r="Q1880" i="11"/>
  <c r="R1880" i="11"/>
  <c r="S1880" i="11"/>
  <c r="P1881" i="11"/>
  <c r="Q1881" i="11"/>
  <c r="R1881" i="11"/>
  <c r="S1881" i="11"/>
  <c r="P1882" i="11"/>
  <c r="Q1882" i="11"/>
  <c r="R1882" i="11"/>
  <c r="S1882" i="11"/>
  <c r="P1883" i="11"/>
  <c r="Q1883" i="11"/>
  <c r="R1883" i="11"/>
  <c r="S1883" i="11"/>
  <c r="P1884" i="11"/>
  <c r="Q1884" i="11"/>
  <c r="R1884" i="11"/>
  <c r="S1884" i="11"/>
  <c r="P1885" i="11"/>
  <c r="Q1885" i="11"/>
  <c r="R1885" i="11"/>
  <c r="S1885" i="11"/>
  <c r="P1886" i="11"/>
  <c r="Q1886" i="11"/>
  <c r="R1886" i="11"/>
  <c r="S1886" i="11"/>
  <c r="P1887" i="11"/>
  <c r="Q1887" i="11"/>
  <c r="R1887" i="11"/>
  <c r="S1887" i="11"/>
  <c r="P1888" i="11"/>
  <c r="Q1888" i="11"/>
  <c r="R1888" i="11"/>
  <c r="S1888" i="11"/>
  <c r="P1889" i="11"/>
  <c r="Q1889" i="11"/>
  <c r="R1889" i="11"/>
  <c r="S1889" i="11"/>
  <c r="P1890" i="11"/>
  <c r="Q1890" i="11"/>
  <c r="R1890" i="11"/>
  <c r="S1890" i="11"/>
  <c r="P1891" i="11"/>
  <c r="Q1891" i="11"/>
  <c r="R1891" i="11"/>
  <c r="S1891" i="11"/>
  <c r="P1892" i="11"/>
  <c r="Q1892" i="11"/>
  <c r="R1892" i="11"/>
  <c r="S1892" i="11"/>
  <c r="P1893" i="11"/>
  <c r="Q1893" i="11"/>
  <c r="R1893" i="11"/>
  <c r="S1893" i="11"/>
  <c r="P1894" i="11"/>
  <c r="Q1894" i="11"/>
  <c r="R1894" i="11"/>
  <c r="S1894" i="11"/>
  <c r="P1895" i="11"/>
  <c r="Q1895" i="11"/>
  <c r="R1895" i="11"/>
  <c r="S1895" i="11"/>
  <c r="P1896" i="11"/>
  <c r="Q1896" i="11"/>
  <c r="R1896" i="11"/>
  <c r="S1896" i="11"/>
  <c r="P1897" i="11"/>
  <c r="Q1897" i="11"/>
  <c r="R1897" i="11"/>
  <c r="S1897" i="11"/>
  <c r="P1898" i="11"/>
  <c r="Q1898" i="11"/>
  <c r="R1898" i="11"/>
  <c r="S1898" i="11"/>
  <c r="P1899" i="11"/>
  <c r="Q1899" i="11"/>
  <c r="R1899" i="11"/>
  <c r="S1899" i="11"/>
  <c r="P1900" i="11"/>
  <c r="Q1900" i="11"/>
  <c r="R1900" i="11"/>
  <c r="S1900" i="11"/>
  <c r="P1901" i="11"/>
  <c r="Q1901" i="11"/>
  <c r="R1901" i="11"/>
  <c r="S1901" i="11"/>
  <c r="P1902" i="11"/>
  <c r="Q1902" i="11"/>
  <c r="R1902" i="11"/>
  <c r="S1902" i="11"/>
  <c r="P1903" i="11"/>
  <c r="Q1903" i="11"/>
  <c r="R1903" i="11"/>
  <c r="S1903" i="11"/>
  <c r="P1904" i="11"/>
  <c r="Q1904" i="11"/>
  <c r="R1904" i="11"/>
  <c r="S1904" i="11"/>
  <c r="P1905" i="11"/>
  <c r="Q1905" i="11"/>
  <c r="R1905" i="11"/>
  <c r="S1905" i="11"/>
  <c r="P1906" i="11"/>
  <c r="Q1906" i="11"/>
  <c r="R1906" i="11"/>
  <c r="S1906" i="11"/>
  <c r="P1907" i="11"/>
  <c r="Q1907" i="11"/>
  <c r="R1907" i="11"/>
  <c r="S1907" i="11"/>
  <c r="P1908" i="11"/>
  <c r="Q1908" i="11"/>
  <c r="R1908" i="11"/>
  <c r="S1908" i="11"/>
  <c r="P1909" i="11"/>
  <c r="Q1909" i="11"/>
  <c r="R1909" i="11"/>
  <c r="S1909" i="11"/>
  <c r="P1910" i="11"/>
  <c r="Q1910" i="11"/>
  <c r="R1910" i="11"/>
  <c r="S1910" i="11"/>
  <c r="P1911" i="11"/>
  <c r="Q1911" i="11"/>
  <c r="R1911" i="11"/>
  <c r="S1911" i="11"/>
  <c r="P1912" i="11"/>
  <c r="Q1912" i="11"/>
  <c r="R1912" i="11"/>
  <c r="S1912" i="11"/>
  <c r="P1913" i="11"/>
  <c r="Q1913" i="11"/>
  <c r="R1913" i="11"/>
  <c r="S1913" i="11"/>
  <c r="P1914" i="11"/>
  <c r="Q1914" i="11"/>
  <c r="R1914" i="11"/>
  <c r="S1914" i="11"/>
  <c r="P1915" i="11"/>
  <c r="Q1915" i="11"/>
  <c r="R1915" i="11"/>
  <c r="S1915" i="11"/>
  <c r="P1916" i="11"/>
  <c r="Q1916" i="11"/>
  <c r="R1916" i="11"/>
  <c r="S1916" i="11"/>
  <c r="P1917" i="11"/>
  <c r="Q1917" i="11"/>
  <c r="R1917" i="11"/>
  <c r="S1917" i="11"/>
  <c r="P1918" i="11"/>
  <c r="Q1918" i="11"/>
  <c r="R1918" i="11"/>
  <c r="S1918" i="11"/>
  <c r="P1919" i="11"/>
  <c r="Q1919" i="11"/>
  <c r="R1919" i="11"/>
  <c r="S1919" i="11"/>
  <c r="P1920" i="11"/>
  <c r="Q1920" i="11"/>
  <c r="R1920" i="11"/>
  <c r="S1920" i="11"/>
  <c r="P1921" i="11"/>
  <c r="Q1921" i="11"/>
  <c r="R1921" i="11"/>
  <c r="S1921" i="11"/>
  <c r="P1922" i="11"/>
  <c r="Q1922" i="11"/>
  <c r="R1922" i="11"/>
  <c r="S1922" i="11"/>
  <c r="P1923" i="11"/>
  <c r="Q1923" i="11"/>
  <c r="R1923" i="11"/>
  <c r="S1923" i="11"/>
  <c r="P1924" i="11"/>
  <c r="Q1924" i="11"/>
  <c r="R1924" i="11"/>
  <c r="S1924" i="11"/>
  <c r="P1925" i="11"/>
  <c r="Q1925" i="11"/>
  <c r="R1925" i="11"/>
  <c r="S1925" i="11"/>
  <c r="P1926" i="11"/>
  <c r="Q1926" i="11"/>
  <c r="R1926" i="11"/>
  <c r="S1926" i="11"/>
  <c r="P1927" i="11"/>
  <c r="Q1927" i="11"/>
  <c r="R1927" i="11"/>
  <c r="S1927" i="11"/>
  <c r="P1928" i="11"/>
  <c r="Q1928" i="11"/>
  <c r="R1928" i="11"/>
  <c r="S1928" i="11"/>
  <c r="P1929" i="11"/>
  <c r="Q1929" i="11"/>
  <c r="R1929" i="11"/>
  <c r="S1929" i="11"/>
  <c r="P1930" i="11"/>
  <c r="Q1930" i="11"/>
  <c r="R1930" i="11"/>
  <c r="S1930" i="11"/>
  <c r="P1931" i="11"/>
  <c r="Q1931" i="11"/>
  <c r="R1931" i="11"/>
  <c r="S1931" i="11"/>
  <c r="P1932" i="11"/>
  <c r="Q1932" i="11"/>
  <c r="R1932" i="11"/>
  <c r="S1932" i="11"/>
  <c r="P1933" i="11"/>
  <c r="Q1933" i="11"/>
  <c r="R1933" i="11"/>
  <c r="S1933" i="11"/>
  <c r="P1934" i="11"/>
  <c r="Q1934" i="11"/>
  <c r="R1934" i="11"/>
  <c r="S1934" i="11"/>
  <c r="P1935" i="11"/>
  <c r="Q1935" i="11"/>
  <c r="R1935" i="11"/>
  <c r="S1935" i="11"/>
  <c r="P1936" i="11"/>
  <c r="Q1936" i="11"/>
  <c r="R1936" i="11"/>
  <c r="S1936" i="11"/>
  <c r="P1937" i="11"/>
  <c r="Q1937" i="11"/>
  <c r="R1937" i="11"/>
  <c r="S1937" i="11"/>
  <c r="P1938" i="11"/>
  <c r="Q1938" i="11"/>
  <c r="R1938" i="11"/>
  <c r="S1938" i="11"/>
  <c r="P1939" i="11"/>
  <c r="Q1939" i="11"/>
  <c r="R1939" i="11"/>
  <c r="S1939" i="11"/>
  <c r="P1940" i="11"/>
  <c r="Q1940" i="11"/>
  <c r="R1940" i="11"/>
  <c r="S1940" i="11"/>
  <c r="P1941" i="11"/>
  <c r="Q1941" i="11"/>
  <c r="R1941" i="11"/>
  <c r="S1941" i="11"/>
  <c r="P1942" i="11"/>
  <c r="Q1942" i="11"/>
  <c r="R1942" i="11"/>
  <c r="S1942" i="11"/>
  <c r="P1943" i="11"/>
  <c r="Q1943" i="11"/>
  <c r="R1943" i="11"/>
  <c r="S1943" i="11"/>
  <c r="P1944" i="11"/>
  <c r="Q1944" i="11"/>
  <c r="R1944" i="11"/>
  <c r="S1944" i="11"/>
  <c r="P1945" i="11"/>
  <c r="Q1945" i="11"/>
  <c r="R1945" i="11"/>
  <c r="S1945" i="11"/>
  <c r="P1946" i="11"/>
  <c r="Q1946" i="11"/>
  <c r="R1946" i="11"/>
  <c r="S1946" i="11"/>
  <c r="P1947" i="11"/>
  <c r="Q1947" i="11"/>
  <c r="R1947" i="11"/>
  <c r="S1947" i="11"/>
  <c r="P1948" i="11"/>
  <c r="Q1948" i="11"/>
  <c r="R1948" i="11"/>
  <c r="S1948" i="11"/>
  <c r="P1949" i="11"/>
  <c r="Q1949" i="11"/>
  <c r="R1949" i="11"/>
  <c r="S1949" i="11"/>
  <c r="P1950" i="11"/>
  <c r="Q1950" i="11"/>
  <c r="R1950" i="11"/>
  <c r="S1950" i="11"/>
  <c r="P1951" i="11"/>
  <c r="Q1951" i="11"/>
  <c r="R1951" i="11"/>
  <c r="S1951" i="11"/>
  <c r="P1952" i="11"/>
  <c r="Q1952" i="11"/>
  <c r="R1952" i="11"/>
  <c r="S1952" i="11"/>
  <c r="P1953" i="11"/>
  <c r="Q1953" i="11"/>
  <c r="R1953" i="11"/>
  <c r="S1953" i="11"/>
  <c r="P1954" i="11"/>
  <c r="Q1954" i="11"/>
  <c r="R1954" i="11"/>
  <c r="S1954" i="11"/>
  <c r="P1955" i="11"/>
  <c r="Q1955" i="11"/>
  <c r="R1955" i="11"/>
  <c r="S1955" i="11"/>
  <c r="P1956" i="11"/>
  <c r="Q1956" i="11"/>
  <c r="R1956" i="11"/>
  <c r="S1956" i="11"/>
  <c r="P1957" i="11"/>
  <c r="Q1957" i="11"/>
  <c r="R1957" i="11"/>
  <c r="S1957" i="11"/>
  <c r="P1958" i="11"/>
  <c r="Q1958" i="11"/>
  <c r="R1958" i="11"/>
  <c r="S1958" i="11"/>
  <c r="P1959" i="11"/>
  <c r="Q1959" i="11"/>
  <c r="R1959" i="11"/>
  <c r="S1959" i="11"/>
  <c r="P1960" i="11"/>
  <c r="Q1960" i="11"/>
  <c r="R1960" i="11"/>
  <c r="S1960" i="11"/>
  <c r="P1961" i="11"/>
  <c r="Q1961" i="11"/>
  <c r="R1961" i="11"/>
  <c r="S1961" i="11"/>
  <c r="P1962" i="11"/>
  <c r="Q1962" i="11"/>
  <c r="R1962" i="11"/>
  <c r="S1962" i="11"/>
  <c r="P1963" i="11"/>
  <c r="Q1963" i="11"/>
  <c r="R1963" i="11"/>
  <c r="S1963" i="11"/>
  <c r="P1964" i="11"/>
  <c r="Q1964" i="11"/>
  <c r="R1964" i="11"/>
  <c r="S1964" i="11"/>
  <c r="P1965" i="11"/>
  <c r="Q1965" i="11"/>
  <c r="R1965" i="11"/>
  <c r="S1965" i="11"/>
  <c r="P1966" i="11"/>
  <c r="Q1966" i="11"/>
  <c r="R1966" i="11"/>
  <c r="S1966" i="11"/>
  <c r="P1967" i="11"/>
  <c r="Q1967" i="11"/>
  <c r="R1967" i="11"/>
  <c r="S1967" i="11"/>
  <c r="P1968" i="11"/>
  <c r="Q1968" i="11"/>
  <c r="R1968" i="11"/>
  <c r="S1968" i="11"/>
  <c r="P1969" i="11"/>
  <c r="Q1969" i="11"/>
  <c r="R1969" i="11"/>
  <c r="S1969" i="11"/>
  <c r="P1970" i="11"/>
  <c r="Q1970" i="11"/>
  <c r="R1970" i="11"/>
  <c r="S1970" i="11"/>
  <c r="P1971" i="11"/>
  <c r="Q1971" i="11"/>
  <c r="R1971" i="11"/>
  <c r="S1971" i="11"/>
  <c r="P1972" i="11"/>
  <c r="Q1972" i="11"/>
  <c r="R1972" i="11"/>
  <c r="S1972" i="11"/>
  <c r="P1973" i="11"/>
  <c r="Q1973" i="11"/>
  <c r="R1973" i="11"/>
  <c r="S1973" i="11"/>
  <c r="P1974" i="11"/>
  <c r="Q1974" i="11"/>
  <c r="R1974" i="11"/>
  <c r="S1974" i="11"/>
  <c r="P1975" i="11"/>
  <c r="Q1975" i="11"/>
  <c r="R1975" i="11"/>
  <c r="S1975" i="11"/>
  <c r="P1976" i="11"/>
  <c r="Q1976" i="11"/>
  <c r="R1976" i="11"/>
  <c r="S1976" i="11"/>
  <c r="P1977" i="11"/>
  <c r="Q1977" i="11"/>
  <c r="R1977" i="11"/>
  <c r="S1977" i="11"/>
  <c r="P1978" i="11"/>
  <c r="Q1978" i="11"/>
  <c r="R1978" i="11"/>
  <c r="S1978" i="11"/>
  <c r="P1979" i="11"/>
  <c r="Q1979" i="11"/>
  <c r="R1979" i="11"/>
  <c r="S1979" i="11"/>
  <c r="P1980" i="11"/>
  <c r="Q1980" i="11"/>
  <c r="R1980" i="11"/>
  <c r="S1980" i="11"/>
  <c r="P1981" i="11"/>
  <c r="Q1981" i="11"/>
  <c r="R1981" i="11"/>
  <c r="S1981" i="11"/>
  <c r="P1982" i="11"/>
  <c r="Q1982" i="11"/>
  <c r="R1982" i="11"/>
  <c r="S1982" i="11"/>
  <c r="P1983" i="11"/>
  <c r="Q1983" i="11"/>
  <c r="R1983" i="11"/>
  <c r="S1983" i="11"/>
  <c r="P1984" i="11"/>
  <c r="Q1984" i="11"/>
  <c r="R1984" i="11"/>
  <c r="S1984" i="11"/>
  <c r="P1985" i="11"/>
  <c r="Q1985" i="11"/>
  <c r="R1985" i="11"/>
  <c r="S1985" i="11"/>
  <c r="P1986" i="11"/>
  <c r="Q1986" i="11"/>
  <c r="R1986" i="11"/>
  <c r="S1986" i="11"/>
  <c r="P1987" i="11"/>
  <c r="Q1987" i="11"/>
  <c r="R1987" i="11"/>
  <c r="S1987" i="11"/>
  <c r="P1988" i="11"/>
  <c r="Q1988" i="11"/>
  <c r="R1988" i="11"/>
  <c r="S1988" i="11"/>
  <c r="P1989" i="11"/>
  <c r="Q1989" i="11"/>
  <c r="R1989" i="11"/>
  <c r="S1989" i="11"/>
  <c r="P1990" i="11"/>
  <c r="Q1990" i="11"/>
  <c r="R1990" i="11"/>
  <c r="S1990" i="11"/>
  <c r="P1991" i="11"/>
  <c r="Q1991" i="11"/>
  <c r="R1991" i="11"/>
  <c r="S1991" i="11"/>
  <c r="P1992" i="11"/>
  <c r="Q1992" i="11"/>
  <c r="R1992" i="11"/>
  <c r="S1992" i="11"/>
  <c r="P1993" i="11"/>
  <c r="Q1993" i="11"/>
  <c r="R1993" i="11"/>
  <c r="S1993" i="11"/>
  <c r="P1994" i="11"/>
  <c r="Q1994" i="11"/>
  <c r="R1994" i="11"/>
  <c r="S1994" i="11"/>
  <c r="P1995" i="11"/>
  <c r="Q1995" i="11"/>
  <c r="R1995" i="11"/>
  <c r="S1995" i="11"/>
  <c r="P1996" i="11"/>
  <c r="Q1996" i="11"/>
  <c r="R1996" i="11"/>
  <c r="S1996" i="11"/>
  <c r="P1997" i="11"/>
  <c r="Q1997" i="11"/>
  <c r="R1997" i="11"/>
  <c r="S1997" i="11"/>
  <c r="P1998" i="11"/>
  <c r="Q1998" i="11"/>
  <c r="R1998" i="11"/>
  <c r="S1998" i="11"/>
  <c r="P1999" i="11"/>
  <c r="Q1999" i="11"/>
  <c r="R1999" i="11"/>
  <c r="S1999" i="11"/>
  <c r="P2000" i="11"/>
  <c r="Q2000" i="11"/>
  <c r="R2000" i="11"/>
  <c r="S2000" i="11"/>
  <c r="P2001" i="11"/>
  <c r="Q2001" i="11"/>
  <c r="R2001" i="11"/>
  <c r="S2001" i="11"/>
  <c r="P2002" i="11"/>
  <c r="Q2002" i="11"/>
  <c r="R2002" i="11"/>
  <c r="S2002" i="11"/>
  <c r="P2003" i="11"/>
  <c r="Q2003" i="11"/>
  <c r="R2003" i="11"/>
  <c r="S2003" i="11"/>
  <c r="P2004" i="11"/>
  <c r="Q2004" i="11"/>
  <c r="R2004" i="11"/>
  <c r="S2004" i="11"/>
  <c r="P2005" i="11"/>
  <c r="Q2005" i="11"/>
  <c r="R2005" i="11"/>
  <c r="S2005" i="11"/>
  <c r="P2006" i="11"/>
  <c r="Q2006" i="11"/>
  <c r="R2006" i="11"/>
  <c r="S2006" i="11"/>
  <c r="P2007" i="11"/>
  <c r="Q2007" i="11"/>
  <c r="R2007" i="11"/>
  <c r="S2007" i="11"/>
  <c r="P2008" i="11"/>
  <c r="Q2008" i="11"/>
  <c r="R2008" i="11"/>
  <c r="S2008" i="11"/>
  <c r="P2009" i="11"/>
  <c r="Q2009" i="11"/>
  <c r="R2009" i="11"/>
  <c r="S2009" i="11"/>
  <c r="P2010" i="11"/>
  <c r="Q2010" i="11"/>
  <c r="R2010" i="11"/>
  <c r="S2010" i="11"/>
  <c r="P2011" i="11"/>
  <c r="Q2011" i="11"/>
  <c r="R2011" i="11"/>
  <c r="S2011" i="11"/>
  <c r="P2012" i="11"/>
  <c r="Q2012" i="11"/>
  <c r="R2012" i="11"/>
  <c r="S2012" i="11"/>
  <c r="P2013" i="11"/>
  <c r="Q2013" i="11"/>
  <c r="R2013" i="11"/>
  <c r="S2013" i="11"/>
  <c r="P2014" i="11"/>
  <c r="Q2014" i="11"/>
  <c r="R2014" i="11"/>
  <c r="S2014" i="11"/>
  <c r="P2015" i="11"/>
  <c r="Q2015" i="11"/>
  <c r="R2015" i="11"/>
  <c r="S2015" i="11"/>
  <c r="P2016" i="11"/>
  <c r="Q2016" i="11"/>
  <c r="R2016" i="11"/>
  <c r="S2016" i="11"/>
  <c r="P2017" i="11"/>
  <c r="Q2017" i="11"/>
  <c r="R2017" i="11"/>
  <c r="S2017" i="11"/>
  <c r="P2018" i="11"/>
  <c r="Q2018" i="11"/>
  <c r="R2018" i="11"/>
  <c r="S2018" i="11"/>
  <c r="P2019" i="11"/>
  <c r="Q2019" i="11"/>
  <c r="R2019" i="11"/>
  <c r="S2019" i="11"/>
  <c r="P2020" i="11"/>
  <c r="Q2020" i="11"/>
  <c r="R2020" i="11"/>
  <c r="S2020" i="11"/>
  <c r="P2021" i="11"/>
  <c r="Q2021" i="11"/>
  <c r="R2021" i="11"/>
  <c r="S2021" i="11"/>
  <c r="P2022" i="11"/>
  <c r="Q2022" i="11"/>
  <c r="R2022" i="11"/>
  <c r="S2022" i="11"/>
  <c r="P2023" i="11"/>
  <c r="Q2023" i="11"/>
  <c r="R2023" i="11"/>
  <c r="S2023" i="11"/>
  <c r="P2024" i="11"/>
  <c r="Q2024" i="11"/>
  <c r="R2024" i="11"/>
  <c r="S2024" i="11"/>
  <c r="P2025" i="11"/>
  <c r="Q2025" i="11"/>
  <c r="R2025" i="11"/>
  <c r="S2025" i="11"/>
  <c r="P2026" i="11"/>
  <c r="Q2026" i="11"/>
  <c r="R2026" i="11"/>
  <c r="S2026" i="11"/>
  <c r="P2027" i="11"/>
  <c r="Q2027" i="11"/>
  <c r="R2027" i="11"/>
  <c r="S2027" i="11"/>
  <c r="P2028" i="11"/>
  <c r="Q2028" i="11"/>
  <c r="R2028" i="11"/>
  <c r="S2028" i="11"/>
  <c r="P2029" i="11"/>
  <c r="Q2029" i="11"/>
  <c r="R2029" i="11"/>
  <c r="S2029" i="11"/>
  <c r="P2030" i="11"/>
  <c r="Q2030" i="11"/>
  <c r="R2030" i="11"/>
  <c r="S2030" i="11"/>
  <c r="P2031" i="11"/>
  <c r="Q2031" i="11"/>
  <c r="R2031" i="11"/>
  <c r="S2031" i="11"/>
  <c r="P2032" i="11"/>
  <c r="Q2032" i="11"/>
  <c r="R2032" i="11"/>
  <c r="S2032" i="11"/>
  <c r="P2033" i="11"/>
  <c r="Q2033" i="11"/>
  <c r="R2033" i="11"/>
  <c r="S2033" i="11"/>
  <c r="P2034" i="11"/>
  <c r="Q2034" i="11"/>
  <c r="R2034" i="11"/>
  <c r="S2034" i="11"/>
  <c r="P2035" i="11"/>
  <c r="Q2035" i="11"/>
  <c r="R2035" i="11"/>
  <c r="S2035" i="11"/>
  <c r="P2036" i="11"/>
  <c r="Q2036" i="11"/>
  <c r="R2036" i="11"/>
  <c r="S2036" i="11"/>
  <c r="P2037" i="11"/>
  <c r="Q2037" i="11"/>
  <c r="R2037" i="11"/>
  <c r="S2037" i="11"/>
  <c r="P2038" i="11"/>
  <c r="Q2038" i="11"/>
  <c r="R2038" i="11"/>
  <c r="S2038" i="11"/>
  <c r="P2039" i="11"/>
  <c r="Q2039" i="11"/>
  <c r="R2039" i="11"/>
  <c r="S2039" i="11"/>
  <c r="P2040" i="11"/>
  <c r="Q2040" i="11"/>
  <c r="R2040" i="11"/>
  <c r="S2040" i="11"/>
  <c r="P2041" i="11"/>
  <c r="Q2041" i="11"/>
  <c r="R2041" i="11"/>
  <c r="S2041" i="11"/>
  <c r="P2042" i="11"/>
  <c r="Q2042" i="11"/>
  <c r="R2042" i="11"/>
  <c r="S2042" i="11"/>
  <c r="P2043" i="11"/>
  <c r="Q2043" i="11"/>
  <c r="R2043" i="11"/>
  <c r="S2043" i="11"/>
  <c r="P2044" i="11"/>
  <c r="Q2044" i="11"/>
  <c r="R2044" i="11"/>
  <c r="S2044" i="11"/>
  <c r="P2045" i="11"/>
  <c r="Q2045" i="11"/>
  <c r="R2045" i="11"/>
  <c r="S2045" i="11"/>
  <c r="P2046" i="11"/>
  <c r="Q2046" i="11"/>
  <c r="R2046" i="11"/>
  <c r="S2046" i="11"/>
  <c r="P2047" i="11"/>
  <c r="Q2047" i="11"/>
  <c r="R2047" i="11"/>
  <c r="S2047" i="11"/>
  <c r="P2048" i="11"/>
  <c r="Q2048" i="11"/>
  <c r="R2048" i="11"/>
  <c r="S2048" i="11"/>
  <c r="P2049" i="11"/>
  <c r="Q2049" i="11"/>
  <c r="R2049" i="11"/>
  <c r="S2049" i="11"/>
  <c r="P2050" i="11"/>
  <c r="Q2050" i="11"/>
  <c r="R2050" i="11"/>
  <c r="S2050" i="11"/>
  <c r="P2051" i="11"/>
  <c r="Q2051" i="11"/>
  <c r="R2051" i="11"/>
  <c r="S2051" i="11"/>
  <c r="P2052" i="11"/>
  <c r="Q2052" i="11"/>
  <c r="R2052" i="11"/>
  <c r="S2052" i="11"/>
  <c r="P2053" i="11"/>
  <c r="Q2053" i="11"/>
  <c r="R2053" i="11"/>
  <c r="S2053" i="11"/>
  <c r="P2054" i="11"/>
  <c r="Q2054" i="11"/>
  <c r="R2054" i="11"/>
  <c r="S2054" i="11"/>
  <c r="P2055" i="11"/>
  <c r="Q2055" i="11"/>
  <c r="R2055" i="11"/>
  <c r="S2055" i="11"/>
  <c r="P2056" i="11"/>
  <c r="Q2056" i="11"/>
  <c r="R2056" i="11"/>
  <c r="S2056" i="11"/>
  <c r="P2057" i="11"/>
  <c r="Q2057" i="11"/>
  <c r="R2057" i="11"/>
  <c r="S2057" i="11"/>
  <c r="P2058" i="11"/>
  <c r="Q2058" i="11"/>
  <c r="R2058" i="11"/>
  <c r="S2058" i="11"/>
  <c r="P2059" i="11"/>
  <c r="Q2059" i="11"/>
  <c r="R2059" i="11"/>
  <c r="S2059" i="11"/>
  <c r="P2060" i="11"/>
  <c r="Q2060" i="11"/>
  <c r="R2060" i="11"/>
  <c r="S2060" i="11"/>
  <c r="A3" i="18" l="1"/>
  <c r="B9" i="17"/>
  <c r="B8" i="17"/>
  <c r="D8" i="17" s="1"/>
  <c r="B7" i="17"/>
  <c r="B6" i="17"/>
  <c r="B5" i="17"/>
  <c r="B4" i="17"/>
  <c r="S2488" i="16"/>
  <c r="Q2488" i="16"/>
  <c r="P2488" i="16"/>
  <c r="A2488" i="16"/>
  <c r="A2487" i="16"/>
  <c r="A2486" i="16"/>
  <c r="A2485" i="16"/>
  <c r="A2484" i="16"/>
  <c r="A2483" i="16"/>
  <c r="A2482" i="16"/>
  <c r="A2481" i="16"/>
  <c r="A2480" i="16"/>
  <c r="A2479" i="16"/>
  <c r="A2478" i="16"/>
  <c r="A2477" i="16"/>
  <c r="A2476" i="16"/>
  <c r="A2475" i="16"/>
  <c r="A2474" i="16"/>
  <c r="A2473" i="16"/>
  <c r="A2472" i="16"/>
  <c r="A2471" i="16"/>
  <c r="A2470" i="16"/>
  <c r="A2469" i="16"/>
  <c r="A2468" i="16"/>
  <c r="A2467" i="16"/>
  <c r="A2466" i="16"/>
  <c r="A2465" i="16"/>
  <c r="A2464" i="16"/>
  <c r="A2463" i="16"/>
  <c r="A2462" i="16"/>
  <c r="A2461" i="16"/>
  <c r="A2460" i="16"/>
  <c r="A2459" i="16"/>
  <c r="A2458" i="16"/>
  <c r="A2457" i="16"/>
  <c r="A2456" i="16"/>
  <c r="A2455" i="16"/>
  <c r="A2454" i="16"/>
  <c r="A2453" i="16"/>
  <c r="A2452" i="16"/>
  <c r="A2451" i="16"/>
  <c r="A2450" i="16"/>
  <c r="A2449" i="16"/>
  <c r="A2448" i="16"/>
  <c r="A2447" i="16"/>
  <c r="A2446" i="16"/>
  <c r="A2445" i="16"/>
  <c r="A2444" i="16"/>
  <c r="A2443" i="16"/>
  <c r="A2442" i="16"/>
  <c r="A2441" i="16"/>
  <c r="A2440" i="16"/>
  <c r="A2439" i="16"/>
  <c r="A2438" i="16"/>
  <c r="A2437" i="16"/>
  <c r="A2436" i="16"/>
  <c r="A2435" i="16"/>
  <c r="A2434" i="16"/>
  <c r="A2433" i="16"/>
  <c r="A2432" i="16"/>
  <c r="A2431" i="16"/>
  <c r="A2430" i="16"/>
  <c r="A2429" i="16"/>
  <c r="A2428" i="16"/>
  <c r="A2427" i="16"/>
  <c r="A2426" i="16"/>
  <c r="A2425" i="16"/>
  <c r="A2424" i="16"/>
  <c r="A2423" i="16"/>
  <c r="A2422" i="16"/>
  <c r="A2421" i="16"/>
  <c r="A2420" i="16"/>
  <c r="A2419" i="16"/>
  <c r="A2418" i="16"/>
  <c r="A2417" i="16"/>
  <c r="A2416" i="16"/>
  <c r="A2415" i="16"/>
  <c r="A2414" i="16"/>
  <c r="A2413" i="16"/>
  <c r="A2412" i="16"/>
  <c r="A2411" i="16"/>
  <c r="A2410" i="16"/>
  <c r="A2409" i="16"/>
  <c r="A2408" i="16"/>
  <c r="A2407" i="16"/>
  <c r="A2406" i="16"/>
  <c r="A2405" i="16"/>
  <c r="A2404" i="16"/>
  <c r="A2403" i="16"/>
  <c r="A2402" i="16"/>
  <c r="A2401" i="16"/>
  <c r="A2400" i="16"/>
  <c r="A2399" i="16"/>
  <c r="A2398" i="16"/>
  <c r="A2397" i="16"/>
  <c r="A2396" i="16"/>
  <c r="A2395" i="16"/>
  <c r="A2394" i="16"/>
  <c r="A2393" i="16"/>
  <c r="A2392" i="16"/>
  <c r="A2391" i="16"/>
  <c r="A2390" i="16"/>
  <c r="A2389" i="16"/>
  <c r="A2388" i="16"/>
  <c r="A2387" i="16"/>
  <c r="A2386" i="16"/>
  <c r="A2385" i="16"/>
  <c r="A2384" i="16"/>
  <c r="A2383" i="16"/>
  <c r="A2382" i="16"/>
  <c r="A2381" i="16"/>
  <c r="A2380" i="16"/>
  <c r="A2379" i="16"/>
  <c r="A2378" i="16"/>
  <c r="A2377" i="16"/>
  <c r="A2376" i="16"/>
  <c r="A2375" i="16"/>
  <c r="A2374" i="16"/>
  <c r="A2373" i="16"/>
  <c r="A2372" i="16"/>
  <c r="A2371" i="16"/>
  <c r="A2370" i="16"/>
  <c r="A2369" i="16"/>
  <c r="A2368" i="16"/>
  <c r="A2367" i="16"/>
  <c r="A2366" i="16"/>
  <c r="A2365" i="16"/>
  <c r="A2364" i="16"/>
  <c r="A2363" i="16"/>
  <c r="A2362" i="16"/>
  <c r="A2361" i="16"/>
  <c r="A2360" i="16"/>
  <c r="A2359" i="16"/>
  <c r="A2358" i="16"/>
  <c r="A2357" i="16"/>
  <c r="A2356" i="16"/>
  <c r="A2355" i="16"/>
  <c r="A2354" i="16"/>
  <c r="A2353" i="16"/>
  <c r="A2352" i="16"/>
  <c r="A2351" i="16"/>
  <c r="A2350" i="16"/>
  <c r="A2349" i="16"/>
  <c r="A2348" i="16"/>
  <c r="A2347" i="16"/>
  <c r="A2346" i="16"/>
  <c r="A2345" i="16"/>
  <c r="A2344" i="16"/>
  <c r="A2343" i="16"/>
  <c r="A2342" i="16"/>
  <c r="A2341" i="16"/>
  <c r="A2340" i="16"/>
  <c r="A2339" i="16"/>
  <c r="A2338" i="16"/>
  <c r="A2337" i="16"/>
  <c r="A2336" i="16"/>
  <c r="A2335" i="16"/>
  <c r="A2334" i="16"/>
  <c r="A2333" i="16"/>
  <c r="A2332" i="16"/>
  <c r="A2331" i="16"/>
  <c r="A2330" i="16"/>
  <c r="A2329" i="16"/>
  <c r="A2328" i="16"/>
  <c r="A2327" i="16"/>
  <c r="A2326" i="16"/>
  <c r="A2325" i="16"/>
  <c r="A2324" i="16"/>
  <c r="A2323" i="16"/>
  <c r="A2322" i="16"/>
  <c r="A2321" i="16"/>
  <c r="A2320" i="16"/>
  <c r="A2319" i="16"/>
  <c r="A2318" i="16"/>
  <c r="A2317" i="16"/>
  <c r="A2316" i="16"/>
  <c r="A2315" i="16"/>
  <c r="A2314" i="16"/>
  <c r="A2313" i="16"/>
  <c r="A2312" i="16"/>
  <c r="A2311" i="16"/>
  <c r="A2310" i="16"/>
  <c r="A2309" i="16"/>
  <c r="A2308" i="16"/>
  <c r="A2307" i="16"/>
  <c r="A2306" i="16"/>
  <c r="A2305" i="16"/>
  <c r="A2304" i="16"/>
  <c r="A2303" i="16"/>
  <c r="A2302" i="16"/>
  <c r="A2301" i="16"/>
  <c r="A2300" i="16"/>
  <c r="A2299" i="16"/>
  <c r="A2298" i="16"/>
  <c r="A2297" i="16"/>
  <c r="A2296" i="16"/>
  <c r="A2295" i="16"/>
  <c r="A2294" i="16"/>
  <c r="A2293" i="16"/>
  <c r="A2292" i="16"/>
  <c r="A2291" i="16"/>
  <c r="A2290" i="16"/>
  <c r="A2289" i="16"/>
  <c r="A2288" i="16"/>
  <c r="A2287" i="16"/>
  <c r="A2286" i="16"/>
  <c r="A2285" i="16"/>
  <c r="A2284" i="16"/>
  <c r="A2283" i="16"/>
  <c r="A2282" i="16"/>
  <c r="A2281" i="16"/>
  <c r="A2280" i="16"/>
  <c r="A2279" i="16"/>
  <c r="A2278" i="16"/>
  <c r="A2277" i="16"/>
  <c r="A2276" i="16"/>
  <c r="A2275" i="16"/>
  <c r="A2274" i="16"/>
  <c r="A2273" i="16"/>
  <c r="A2272" i="16"/>
  <c r="A2271" i="16"/>
  <c r="A2270" i="16"/>
  <c r="A2269" i="16"/>
  <c r="A2268" i="16"/>
  <c r="A2267" i="16"/>
  <c r="A2266" i="16"/>
  <c r="A2265" i="16"/>
  <c r="A2264" i="16"/>
  <c r="A2263" i="16"/>
  <c r="A2262" i="16"/>
  <c r="A2261" i="16"/>
  <c r="A2260" i="16"/>
  <c r="A2259" i="16"/>
  <c r="A2258" i="16"/>
  <c r="A2257" i="16"/>
  <c r="A2256" i="16"/>
  <c r="A2255" i="16"/>
  <c r="A2254" i="16"/>
  <c r="A2253" i="16"/>
  <c r="A2252" i="16"/>
  <c r="A2251" i="16"/>
  <c r="A2250" i="16"/>
  <c r="A2249" i="16"/>
  <c r="A2248" i="16"/>
  <c r="A2247" i="16"/>
  <c r="A2246" i="16"/>
  <c r="A2245" i="16"/>
  <c r="A2244" i="16"/>
  <c r="A2243" i="16"/>
  <c r="A2242" i="16"/>
  <c r="A2241" i="16"/>
  <c r="A2240" i="16"/>
  <c r="A2239" i="16"/>
  <c r="A2238" i="16"/>
  <c r="A2237" i="16"/>
  <c r="A2236" i="16"/>
  <c r="A2235" i="16"/>
  <c r="A2234" i="16"/>
  <c r="A2233" i="16"/>
  <c r="A2232" i="16"/>
  <c r="A2231" i="16"/>
  <c r="A2230" i="16"/>
  <c r="A2229" i="16"/>
  <c r="A2228" i="16"/>
  <c r="A2227" i="16"/>
  <c r="A2226" i="16"/>
  <c r="A2225" i="16"/>
  <c r="A2224" i="16"/>
  <c r="A2223" i="16"/>
  <c r="A2222" i="16"/>
  <c r="A2221" i="16"/>
  <c r="A2220" i="16"/>
  <c r="A2219" i="16"/>
  <c r="A2218" i="16"/>
  <c r="A2217" i="16"/>
  <c r="A2216" i="16"/>
  <c r="A2215" i="16"/>
  <c r="A2214" i="16"/>
  <c r="A2213" i="16"/>
  <c r="A2212" i="16"/>
  <c r="A2211" i="16"/>
  <c r="A2210" i="16"/>
  <c r="A2209" i="16"/>
  <c r="A2208" i="16"/>
  <c r="A2207" i="16"/>
  <c r="A2206" i="16"/>
  <c r="A2205" i="16"/>
  <c r="A2204" i="16"/>
  <c r="A2203" i="16"/>
  <c r="A2202" i="16"/>
  <c r="A2201" i="16"/>
  <c r="A2200" i="16"/>
  <c r="A2199" i="16"/>
  <c r="A2198" i="16"/>
  <c r="A2197" i="16"/>
  <c r="A2196" i="16"/>
  <c r="A2195" i="16"/>
  <c r="A2194" i="16"/>
  <c r="A2193" i="16"/>
  <c r="A2192" i="16"/>
  <c r="A2191" i="16"/>
  <c r="A2190" i="16"/>
  <c r="A2189" i="16"/>
  <c r="A2188" i="16"/>
  <c r="A2187" i="16"/>
  <c r="A2186" i="16"/>
  <c r="A2185" i="16"/>
  <c r="A2184" i="16"/>
  <c r="A2183" i="16"/>
  <c r="A2182" i="16"/>
  <c r="A2181" i="16"/>
  <c r="A2180" i="16"/>
  <c r="A2179" i="16"/>
  <c r="A2178" i="16"/>
  <c r="A2177" i="16"/>
  <c r="A2176" i="16"/>
  <c r="A2175" i="16"/>
  <c r="A2174" i="16"/>
  <c r="A2173" i="16"/>
  <c r="A2172" i="16"/>
  <c r="A2171" i="16"/>
  <c r="A2170" i="16"/>
  <c r="A2169" i="16"/>
  <c r="A2168" i="16"/>
  <c r="A2167" i="16"/>
  <c r="A2166" i="16"/>
  <c r="A2165" i="16"/>
  <c r="A2164" i="16"/>
  <c r="A2163" i="16"/>
  <c r="A2162" i="16"/>
  <c r="A2161" i="16"/>
  <c r="A2160" i="16"/>
  <c r="A2159" i="16"/>
  <c r="A2158" i="16"/>
  <c r="A2157" i="16"/>
  <c r="A2156" i="16"/>
  <c r="A2155" i="16"/>
  <c r="A2154" i="16"/>
  <c r="A2153" i="16"/>
  <c r="A2152" i="16"/>
  <c r="A2151" i="16"/>
  <c r="A2150" i="16"/>
  <c r="A2149" i="16"/>
  <c r="A2148" i="16"/>
  <c r="A2147" i="16"/>
  <c r="A2146" i="16"/>
  <c r="A2145" i="16"/>
  <c r="A2144" i="16"/>
  <c r="A2143" i="16"/>
  <c r="A2142" i="16"/>
  <c r="A2141" i="16"/>
  <c r="A2140" i="16"/>
  <c r="A2139" i="16"/>
  <c r="A2138" i="16"/>
  <c r="A2137" i="16"/>
  <c r="A2136" i="16"/>
  <c r="A2135" i="16"/>
  <c r="A2134" i="16"/>
  <c r="A2133" i="16"/>
  <c r="A2132" i="16"/>
  <c r="A2131" i="16"/>
  <c r="A2130" i="16"/>
  <c r="A2129" i="16"/>
  <c r="A2128" i="16"/>
  <c r="A2127" i="16"/>
  <c r="A2126" i="16"/>
  <c r="A2125" i="16"/>
  <c r="A2124" i="16"/>
  <c r="A2123" i="16"/>
  <c r="A2122" i="16"/>
  <c r="A2121" i="16"/>
  <c r="A2120" i="16"/>
  <c r="A2119" i="16"/>
  <c r="A2118" i="16"/>
  <c r="A2117" i="16"/>
  <c r="A2116" i="16"/>
  <c r="A2115" i="16"/>
  <c r="A2114" i="16"/>
  <c r="A2113" i="16"/>
  <c r="A2112" i="16"/>
  <c r="A2111" i="16"/>
  <c r="A2110" i="16"/>
  <c r="A2109" i="16"/>
  <c r="A2108" i="16"/>
  <c r="A2107" i="16"/>
  <c r="A2106" i="16"/>
  <c r="A2105" i="16"/>
  <c r="A2104" i="16"/>
  <c r="A2103" i="16"/>
  <c r="A2102" i="16"/>
  <c r="A2101" i="16"/>
  <c r="A2100" i="16"/>
  <c r="A2099" i="16"/>
  <c r="A2098" i="16"/>
  <c r="A2097" i="16"/>
  <c r="A2096" i="16"/>
  <c r="A2095" i="16"/>
  <c r="A2094" i="16"/>
  <c r="A2093" i="16"/>
  <c r="A2092" i="16"/>
  <c r="A2091" i="16"/>
  <c r="A2090" i="16"/>
  <c r="A2089" i="16"/>
  <c r="A2088" i="16"/>
  <c r="A2087" i="16"/>
  <c r="A2086" i="16"/>
  <c r="A2085" i="16"/>
  <c r="A2084" i="16"/>
  <c r="A2083" i="16"/>
  <c r="A2082" i="16"/>
  <c r="A2081" i="16"/>
  <c r="A2080" i="16"/>
  <c r="A2079" i="16"/>
  <c r="A2078" i="16"/>
  <c r="A2077" i="16"/>
  <c r="A2076" i="16"/>
  <c r="A2075" i="16"/>
  <c r="A2074" i="16"/>
  <c r="A2073" i="16"/>
  <c r="A2072" i="16"/>
  <c r="A2071" i="16"/>
  <c r="A2070" i="16"/>
  <c r="A2069" i="16"/>
  <c r="A2068" i="16"/>
  <c r="A2067" i="16"/>
  <c r="A2066" i="16"/>
  <c r="A2065" i="16"/>
  <c r="A2064" i="16"/>
  <c r="A2063" i="16"/>
  <c r="A2062" i="16"/>
  <c r="A2061" i="16"/>
  <c r="A2060" i="16"/>
  <c r="A2059" i="16"/>
  <c r="A2058" i="16"/>
  <c r="A2057" i="16"/>
  <c r="A2056" i="16"/>
  <c r="A2055" i="16"/>
  <c r="A2054" i="16"/>
  <c r="A2053" i="16"/>
  <c r="A2052" i="16"/>
  <c r="A2051" i="16"/>
  <c r="A2050" i="16"/>
  <c r="A2049" i="16"/>
  <c r="A2048" i="16"/>
  <c r="A2047" i="16"/>
  <c r="A2046" i="16"/>
  <c r="A2045" i="16"/>
  <c r="A2044" i="16"/>
  <c r="A2043" i="16"/>
  <c r="A2042" i="16"/>
  <c r="A2041" i="16"/>
  <c r="A2040" i="16"/>
  <c r="A2039" i="16"/>
  <c r="A2038" i="16"/>
  <c r="A2037" i="16"/>
  <c r="A2036" i="16"/>
  <c r="A2035" i="16"/>
  <c r="A2034" i="16"/>
  <c r="A2033" i="16"/>
  <c r="A2032" i="16"/>
  <c r="A2031" i="16"/>
  <c r="A2030" i="16"/>
  <c r="A2029" i="16"/>
  <c r="A2028" i="16"/>
  <c r="A2027" i="16"/>
  <c r="A2026" i="16"/>
  <c r="A2025" i="16"/>
  <c r="A2024" i="16"/>
  <c r="A2023" i="16"/>
  <c r="A2022" i="16"/>
  <c r="S5" i="16"/>
  <c r="A2" i="16"/>
  <c r="Q1" i="16"/>
  <c r="P1" i="16"/>
  <c r="A1" i="16"/>
  <c r="A3" i="15"/>
  <c r="A2" i="15"/>
  <c r="S2246" i="14"/>
  <c r="R2246" i="14"/>
  <c r="Q2246" i="14"/>
  <c r="P2246" i="14"/>
  <c r="A2246" i="14"/>
  <c r="S2245" i="14"/>
  <c r="R2245" i="14"/>
  <c r="Q2245" i="14"/>
  <c r="P2245" i="14"/>
  <c r="A2245" i="14"/>
  <c r="S2244" i="14"/>
  <c r="R2244" i="14"/>
  <c r="Q2244" i="14"/>
  <c r="P2244" i="14"/>
  <c r="A2244" i="14"/>
  <c r="S2243" i="14"/>
  <c r="R2243" i="14"/>
  <c r="Q2243" i="14"/>
  <c r="P2243" i="14"/>
  <c r="A2243" i="14"/>
  <c r="S2242" i="14"/>
  <c r="R2242" i="14"/>
  <c r="Q2242" i="14"/>
  <c r="P2242" i="14"/>
  <c r="A2242" i="14"/>
  <c r="S2241" i="14"/>
  <c r="R2241" i="14"/>
  <c r="Q2241" i="14"/>
  <c r="P2241" i="14"/>
  <c r="A2241" i="14"/>
  <c r="S2240" i="14"/>
  <c r="R2240" i="14"/>
  <c r="Q2240" i="14"/>
  <c r="P2240" i="14"/>
  <c r="A2240" i="14"/>
  <c r="S2239" i="14"/>
  <c r="R2239" i="14"/>
  <c r="Q2239" i="14"/>
  <c r="P2239" i="14"/>
  <c r="A2239" i="14"/>
  <c r="S2238" i="14"/>
  <c r="R2238" i="14"/>
  <c r="Q2238" i="14"/>
  <c r="P2238" i="14"/>
  <c r="A2238" i="14"/>
  <c r="S2237" i="14"/>
  <c r="R2237" i="14"/>
  <c r="Q2237" i="14"/>
  <c r="P2237" i="14"/>
  <c r="A2237" i="14"/>
  <c r="S2236" i="14"/>
  <c r="R2236" i="14"/>
  <c r="Q2236" i="14"/>
  <c r="P2236" i="14"/>
  <c r="A2236" i="14"/>
  <c r="S2235" i="14"/>
  <c r="R2235" i="14"/>
  <c r="Q2235" i="14"/>
  <c r="P2235" i="14"/>
  <c r="A2235" i="14"/>
  <c r="S2234" i="14"/>
  <c r="R2234" i="14"/>
  <c r="Q2234" i="14"/>
  <c r="P2234" i="14"/>
  <c r="A2234" i="14"/>
  <c r="S2233" i="14"/>
  <c r="R2233" i="14"/>
  <c r="Q2233" i="14"/>
  <c r="P2233" i="14"/>
  <c r="A2233" i="14"/>
  <c r="S2232" i="14"/>
  <c r="R2232" i="14"/>
  <c r="Q2232" i="14"/>
  <c r="P2232" i="14"/>
  <c r="A2232" i="14"/>
  <c r="S2231" i="14"/>
  <c r="R2231" i="14"/>
  <c r="Q2231" i="14"/>
  <c r="P2231" i="14"/>
  <c r="A2231" i="14"/>
  <c r="S2230" i="14"/>
  <c r="R2230" i="14"/>
  <c r="Q2230" i="14"/>
  <c r="P2230" i="14"/>
  <c r="A2230" i="14"/>
  <c r="S2229" i="14"/>
  <c r="R2229" i="14"/>
  <c r="Q2229" i="14"/>
  <c r="P2229" i="14"/>
  <c r="A2229" i="14"/>
  <c r="S2228" i="14"/>
  <c r="R2228" i="14"/>
  <c r="Q2228" i="14"/>
  <c r="P2228" i="14"/>
  <c r="A2228" i="14"/>
  <c r="S2227" i="14"/>
  <c r="R2227" i="14"/>
  <c r="Q2227" i="14"/>
  <c r="P2227" i="14"/>
  <c r="A2227" i="14"/>
  <c r="S2226" i="14"/>
  <c r="R2226" i="14"/>
  <c r="Q2226" i="14"/>
  <c r="P2226" i="14"/>
  <c r="A2226" i="14"/>
  <c r="S2225" i="14"/>
  <c r="R2225" i="14"/>
  <c r="Q2225" i="14"/>
  <c r="P2225" i="14"/>
  <c r="A2225" i="14"/>
  <c r="S2224" i="14"/>
  <c r="R2224" i="14"/>
  <c r="Q2224" i="14"/>
  <c r="P2224" i="14"/>
  <c r="A2224" i="14"/>
  <c r="S2223" i="14"/>
  <c r="R2223" i="14"/>
  <c r="Q2223" i="14"/>
  <c r="P2223" i="14"/>
  <c r="A2223" i="14"/>
  <c r="S2222" i="14"/>
  <c r="R2222" i="14"/>
  <c r="Q2222" i="14"/>
  <c r="P2222" i="14"/>
  <c r="A2222" i="14"/>
  <c r="S2221" i="14"/>
  <c r="R2221" i="14"/>
  <c r="Q2221" i="14"/>
  <c r="P2221" i="14"/>
  <c r="A2221" i="14"/>
  <c r="S2220" i="14"/>
  <c r="R2220" i="14"/>
  <c r="Q2220" i="14"/>
  <c r="P2220" i="14"/>
  <c r="A2220" i="14"/>
  <c r="S2219" i="14"/>
  <c r="R2219" i="14"/>
  <c r="Q2219" i="14"/>
  <c r="P2219" i="14"/>
  <c r="A2219" i="14"/>
  <c r="S2218" i="14"/>
  <c r="R2218" i="14"/>
  <c r="Q2218" i="14"/>
  <c r="P2218" i="14"/>
  <c r="A2218" i="14"/>
  <c r="S2217" i="14"/>
  <c r="R2217" i="14"/>
  <c r="Q2217" i="14"/>
  <c r="P2217" i="14"/>
  <c r="A2217" i="14"/>
  <c r="S2216" i="14"/>
  <c r="R2216" i="14"/>
  <c r="Q2216" i="14"/>
  <c r="P2216" i="14"/>
  <c r="A2216" i="14"/>
  <c r="S2215" i="14"/>
  <c r="R2215" i="14"/>
  <c r="Q2215" i="14"/>
  <c r="P2215" i="14"/>
  <c r="A2215" i="14"/>
  <c r="S2214" i="14"/>
  <c r="R2214" i="14"/>
  <c r="Q2214" i="14"/>
  <c r="P2214" i="14"/>
  <c r="A2214" i="14"/>
  <c r="S2213" i="14"/>
  <c r="R2213" i="14"/>
  <c r="Q2213" i="14"/>
  <c r="P2213" i="14"/>
  <c r="A2213" i="14"/>
  <c r="S2212" i="14"/>
  <c r="R2212" i="14"/>
  <c r="Q2212" i="14"/>
  <c r="P2212" i="14"/>
  <c r="A2212" i="14"/>
  <c r="S2211" i="14"/>
  <c r="R2211" i="14"/>
  <c r="Q2211" i="14"/>
  <c r="P2211" i="14"/>
  <c r="A2211" i="14"/>
  <c r="S2210" i="14"/>
  <c r="R2210" i="14"/>
  <c r="Q2210" i="14"/>
  <c r="P2210" i="14"/>
  <c r="A2210" i="14"/>
  <c r="S2209" i="14"/>
  <c r="R2209" i="14"/>
  <c r="Q2209" i="14"/>
  <c r="P2209" i="14"/>
  <c r="A2209" i="14"/>
  <c r="S2208" i="14"/>
  <c r="R2208" i="14"/>
  <c r="Q2208" i="14"/>
  <c r="P2208" i="14"/>
  <c r="A2208" i="14"/>
  <c r="S2207" i="14"/>
  <c r="R2207" i="14"/>
  <c r="Q2207" i="14"/>
  <c r="P2207" i="14"/>
  <c r="A2207" i="14"/>
  <c r="S2206" i="14"/>
  <c r="R2206" i="14"/>
  <c r="Q2206" i="14"/>
  <c r="P2206" i="14"/>
  <c r="A2206" i="14"/>
  <c r="S2205" i="14"/>
  <c r="R2205" i="14"/>
  <c r="Q2205" i="14"/>
  <c r="P2205" i="14"/>
  <c r="A2205" i="14"/>
  <c r="S2204" i="14"/>
  <c r="R2204" i="14"/>
  <c r="Q2204" i="14"/>
  <c r="P2204" i="14"/>
  <c r="A2204" i="14"/>
  <c r="S2203" i="14"/>
  <c r="R2203" i="14"/>
  <c r="Q2203" i="14"/>
  <c r="P2203" i="14"/>
  <c r="A2203" i="14"/>
  <c r="S2202" i="14"/>
  <c r="R2202" i="14"/>
  <c r="Q2202" i="14"/>
  <c r="P2202" i="14"/>
  <c r="A2202" i="14"/>
  <c r="S2201" i="14"/>
  <c r="R2201" i="14"/>
  <c r="Q2201" i="14"/>
  <c r="P2201" i="14"/>
  <c r="A2201" i="14"/>
  <c r="S2200" i="14"/>
  <c r="R2200" i="14"/>
  <c r="Q2200" i="14"/>
  <c r="P2200" i="14"/>
  <c r="A2200" i="14"/>
  <c r="S2199" i="14"/>
  <c r="R2199" i="14"/>
  <c r="Q2199" i="14"/>
  <c r="P2199" i="14"/>
  <c r="A2199" i="14"/>
  <c r="S2198" i="14"/>
  <c r="R2198" i="14"/>
  <c r="Q2198" i="14"/>
  <c r="P2198" i="14"/>
  <c r="A2198" i="14"/>
  <c r="S2197" i="14"/>
  <c r="R2197" i="14"/>
  <c r="Q2197" i="14"/>
  <c r="P2197" i="14"/>
  <c r="A2197" i="14"/>
  <c r="S2196" i="14"/>
  <c r="R2196" i="14"/>
  <c r="Q2196" i="14"/>
  <c r="P2196" i="14"/>
  <c r="A2196" i="14"/>
  <c r="S2195" i="14"/>
  <c r="R2195" i="14"/>
  <c r="Q2195" i="14"/>
  <c r="P2195" i="14"/>
  <c r="A2195" i="14"/>
  <c r="S2194" i="14"/>
  <c r="R2194" i="14"/>
  <c r="Q2194" i="14"/>
  <c r="P2194" i="14"/>
  <c r="A2194" i="14"/>
  <c r="S2193" i="14"/>
  <c r="R2193" i="14"/>
  <c r="Q2193" i="14"/>
  <c r="P2193" i="14"/>
  <c r="A2193" i="14"/>
  <c r="S2192" i="14"/>
  <c r="R2192" i="14"/>
  <c r="Q2192" i="14"/>
  <c r="P2192" i="14"/>
  <c r="A2192" i="14"/>
  <c r="S2191" i="14"/>
  <c r="R2191" i="14"/>
  <c r="Q2191" i="14"/>
  <c r="P2191" i="14"/>
  <c r="A2191" i="14"/>
  <c r="S2190" i="14"/>
  <c r="R2190" i="14"/>
  <c r="Q2190" i="14"/>
  <c r="P2190" i="14"/>
  <c r="A2190" i="14"/>
  <c r="S2189" i="14"/>
  <c r="R2189" i="14"/>
  <c r="Q2189" i="14"/>
  <c r="P2189" i="14"/>
  <c r="A2189" i="14"/>
  <c r="S2188" i="14"/>
  <c r="R2188" i="14"/>
  <c r="Q2188" i="14"/>
  <c r="P2188" i="14"/>
  <c r="A2188" i="14"/>
  <c r="S2187" i="14"/>
  <c r="R2187" i="14"/>
  <c r="Q2187" i="14"/>
  <c r="P2187" i="14"/>
  <c r="A2187" i="14"/>
  <c r="S2186" i="14"/>
  <c r="R2186" i="14"/>
  <c r="Q2186" i="14"/>
  <c r="P2186" i="14"/>
  <c r="A2186" i="14"/>
  <c r="S2185" i="14"/>
  <c r="R2185" i="14"/>
  <c r="Q2185" i="14"/>
  <c r="P2185" i="14"/>
  <c r="A2185" i="14"/>
  <c r="S2184" i="14"/>
  <c r="R2184" i="14"/>
  <c r="Q2184" i="14"/>
  <c r="P2184" i="14"/>
  <c r="A2184" i="14"/>
  <c r="S2183" i="14"/>
  <c r="R2183" i="14"/>
  <c r="Q2183" i="14"/>
  <c r="P2183" i="14"/>
  <c r="A2183" i="14"/>
  <c r="S2182" i="14"/>
  <c r="R2182" i="14"/>
  <c r="Q2182" i="14"/>
  <c r="P2182" i="14"/>
  <c r="A2182" i="14"/>
  <c r="S2181" i="14"/>
  <c r="R2181" i="14"/>
  <c r="Q2181" i="14"/>
  <c r="P2181" i="14"/>
  <c r="A2181" i="14"/>
  <c r="S2180" i="14"/>
  <c r="R2180" i="14"/>
  <c r="Q2180" i="14"/>
  <c r="P2180" i="14"/>
  <c r="A2180" i="14"/>
  <c r="S2179" i="14"/>
  <c r="R2179" i="14"/>
  <c r="Q2179" i="14"/>
  <c r="P2179" i="14"/>
  <c r="A2179" i="14"/>
  <c r="S2178" i="14"/>
  <c r="R2178" i="14"/>
  <c r="Q2178" i="14"/>
  <c r="P2178" i="14"/>
  <c r="A2178" i="14"/>
  <c r="S2177" i="14"/>
  <c r="R2177" i="14"/>
  <c r="Q2177" i="14"/>
  <c r="P2177" i="14"/>
  <c r="A2177" i="14"/>
  <c r="S2176" i="14"/>
  <c r="R2176" i="14"/>
  <c r="Q2176" i="14"/>
  <c r="P2176" i="14"/>
  <c r="A2176" i="14"/>
  <c r="S2175" i="14"/>
  <c r="R2175" i="14"/>
  <c r="Q2175" i="14"/>
  <c r="P2175" i="14"/>
  <c r="A2175" i="14"/>
  <c r="S2174" i="14"/>
  <c r="R2174" i="14"/>
  <c r="Q2174" i="14"/>
  <c r="P2174" i="14"/>
  <c r="A2174" i="14"/>
  <c r="S2173" i="14"/>
  <c r="R2173" i="14"/>
  <c r="Q2173" i="14"/>
  <c r="P2173" i="14"/>
  <c r="A2173" i="14"/>
  <c r="S2172" i="14"/>
  <c r="R2172" i="14"/>
  <c r="Q2172" i="14"/>
  <c r="P2172" i="14"/>
  <c r="A2172" i="14"/>
  <c r="S2171" i="14"/>
  <c r="R2171" i="14"/>
  <c r="Q2171" i="14"/>
  <c r="P2171" i="14"/>
  <c r="A2171" i="14"/>
  <c r="S2170" i="14"/>
  <c r="R2170" i="14"/>
  <c r="Q2170" i="14"/>
  <c r="P2170" i="14"/>
  <c r="A2170" i="14"/>
  <c r="S2169" i="14"/>
  <c r="R2169" i="14"/>
  <c r="Q2169" i="14"/>
  <c r="P2169" i="14"/>
  <c r="A2169" i="14"/>
  <c r="S2168" i="14"/>
  <c r="R2168" i="14"/>
  <c r="Q2168" i="14"/>
  <c r="P2168" i="14"/>
  <c r="A2168" i="14"/>
  <c r="S2167" i="14"/>
  <c r="R2167" i="14"/>
  <c r="Q2167" i="14"/>
  <c r="P2167" i="14"/>
  <c r="A2167" i="14"/>
  <c r="S2166" i="14"/>
  <c r="R2166" i="14"/>
  <c r="Q2166" i="14"/>
  <c r="P2166" i="14"/>
  <c r="A2166" i="14"/>
  <c r="S2165" i="14"/>
  <c r="R2165" i="14"/>
  <c r="Q2165" i="14"/>
  <c r="P2165" i="14"/>
  <c r="A2165" i="14"/>
  <c r="S2164" i="14"/>
  <c r="R2164" i="14"/>
  <c r="Q2164" i="14"/>
  <c r="P2164" i="14"/>
  <c r="A2164" i="14"/>
  <c r="S2163" i="14"/>
  <c r="R2163" i="14"/>
  <c r="Q2163" i="14"/>
  <c r="P2163" i="14"/>
  <c r="A2163" i="14"/>
  <c r="S2162" i="14"/>
  <c r="R2162" i="14"/>
  <c r="Q2162" i="14"/>
  <c r="P2162" i="14"/>
  <c r="A2162" i="14"/>
  <c r="S2161" i="14"/>
  <c r="R2161" i="14"/>
  <c r="Q2161" i="14"/>
  <c r="P2161" i="14"/>
  <c r="A2161" i="14"/>
  <c r="S2160" i="14"/>
  <c r="R2160" i="14"/>
  <c r="Q2160" i="14"/>
  <c r="P2160" i="14"/>
  <c r="A2160" i="14"/>
  <c r="S2159" i="14"/>
  <c r="R2159" i="14"/>
  <c r="Q2159" i="14"/>
  <c r="P2159" i="14"/>
  <c r="A2159" i="14"/>
  <c r="S2158" i="14"/>
  <c r="R2158" i="14"/>
  <c r="Q2158" i="14"/>
  <c r="P2158" i="14"/>
  <c r="A2158" i="14"/>
  <c r="S2157" i="14"/>
  <c r="R2157" i="14"/>
  <c r="Q2157" i="14"/>
  <c r="P2157" i="14"/>
  <c r="A2157" i="14"/>
  <c r="S2156" i="14"/>
  <c r="R2156" i="14"/>
  <c r="Q2156" i="14"/>
  <c r="P2156" i="14"/>
  <c r="A2156" i="14"/>
  <c r="S2155" i="14"/>
  <c r="R2155" i="14"/>
  <c r="Q2155" i="14"/>
  <c r="P2155" i="14"/>
  <c r="A2155" i="14"/>
  <c r="S2154" i="14"/>
  <c r="R2154" i="14"/>
  <c r="Q2154" i="14"/>
  <c r="P2154" i="14"/>
  <c r="A2154" i="14"/>
  <c r="S2153" i="14"/>
  <c r="R2153" i="14"/>
  <c r="Q2153" i="14"/>
  <c r="P2153" i="14"/>
  <c r="A2153" i="14"/>
  <c r="S2152" i="14"/>
  <c r="R2152" i="14"/>
  <c r="Q2152" i="14"/>
  <c r="P2152" i="14"/>
  <c r="A2152" i="14"/>
  <c r="S2151" i="14"/>
  <c r="R2151" i="14"/>
  <c r="Q2151" i="14"/>
  <c r="P2151" i="14"/>
  <c r="A2151" i="14"/>
  <c r="S2150" i="14"/>
  <c r="R2150" i="14"/>
  <c r="Q2150" i="14"/>
  <c r="P2150" i="14"/>
  <c r="A2150" i="14"/>
  <c r="S2149" i="14"/>
  <c r="R2149" i="14"/>
  <c r="Q2149" i="14"/>
  <c r="P2149" i="14"/>
  <c r="A2149" i="14"/>
  <c r="S2148" i="14"/>
  <c r="R2148" i="14"/>
  <c r="Q2148" i="14"/>
  <c r="P2148" i="14"/>
  <c r="A2148" i="14"/>
  <c r="S2147" i="14"/>
  <c r="R2147" i="14"/>
  <c r="Q2147" i="14"/>
  <c r="P2147" i="14"/>
  <c r="A2147" i="14"/>
  <c r="S2146" i="14"/>
  <c r="R2146" i="14"/>
  <c r="Q2146" i="14"/>
  <c r="P2146" i="14"/>
  <c r="A2146" i="14"/>
  <c r="S2145" i="14"/>
  <c r="R2145" i="14"/>
  <c r="Q2145" i="14"/>
  <c r="P2145" i="14"/>
  <c r="A2145" i="14"/>
  <c r="S2144" i="14"/>
  <c r="R2144" i="14"/>
  <c r="Q2144" i="14"/>
  <c r="P2144" i="14"/>
  <c r="A2144" i="14"/>
  <c r="S2143" i="14"/>
  <c r="R2143" i="14"/>
  <c r="Q2143" i="14"/>
  <c r="P2143" i="14"/>
  <c r="A2143" i="14"/>
  <c r="S2142" i="14"/>
  <c r="R2142" i="14"/>
  <c r="Q2142" i="14"/>
  <c r="P2142" i="14"/>
  <c r="A2142" i="14"/>
  <c r="S2141" i="14"/>
  <c r="R2141" i="14"/>
  <c r="Q2141" i="14"/>
  <c r="P2141" i="14"/>
  <c r="A2141" i="14"/>
  <c r="S2140" i="14"/>
  <c r="R2140" i="14"/>
  <c r="Q2140" i="14"/>
  <c r="P2140" i="14"/>
  <c r="A2140" i="14"/>
  <c r="S2139" i="14"/>
  <c r="R2139" i="14"/>
  <c r="Q2139" i="14"/>
  <c r="P2139" i="14"/>
  <c r="A2139" i="14"/>
  <c r="S2138" i="14"/>
  <c r="R2138" i="14"/>
  <c r="Q2138" i="14"/>
  <c r="P2138" i="14"/>
  <c r="A2138" i="14"/>
  <c r="S2137" i="14"/>
  <c r="R2137" i="14"/>
  <c r="Q2137" i="14"/>
  <c r="P2137" i="14"/>
  <c r="A2137" i="14"/>
  <c r="S2136" i="14"/>
  <c r="R2136" i="14"/>
  <c r="Q2136" i="14"/>
  <c r="P2136" i="14"/>
  <c r="A2136" i="14"/>
  <c r="S2135" i="14"/>
  <c r="R2135" i="14"/>
  <c r="Q2135" i="14"/>
  <c r="P2135" i="14"/>
  <c r="A2135" i="14"/>
  <c r="S2134" i="14"/>
  <c r="R2134" i="14"/>
  <c r="Q2134" i="14"/>
  <c r="P2134" i="14"/>
  <c r="A2134" i="14"/>
  <c r="S2133" i="14"/>
  <c r="R2133" i="14"/>
  <c r="Q2133" i="14"/>
  <c r="P2133" i="14"/>
  <c r="A2133" i="14"/>
  <c r="S2132" i="14"/>
  <c r="R2132" i="14"/>
  <c r="Q2132" i="14"/>
  <c r="P2132" i="14"/>
  <c r="A2132" i="14"/>
  <c r="S2131" i="14"/>
  <c r="R2131" i="14"/>
  <c r="Q2131" i="14"/>
  <c r="P2131" i="14"/>
  <c r="A2131" i="14"/>
  <c r="S2130" i="14"/>
  <c r="R2130" i="14"/>
  <c r="Q2130" i="14"/>
  <c r="P2130" i="14"/>
  <c r="A2130" i="14"/>
  <c r="S2129" i="14"/>
  <c r="R2129" i="14"/>
  <c r="Q2129" i="14"/>
  <c r="P2129" i="14"/>
  <c r="A2129" i="14"/>
  <c r="S2128" i="14"/>
  <c r="R2128" i="14"/>
  <c r="Q2128" i="14"/>
  <c r="P2128" i="14"/>
  <c r="A2128" i="14"/>
  <c r="S2127" i="14"/>
  <c r="R2127" i="14"/>
  <c r="Q2127" i="14"/>
  <c r="P2127" i="14"/>
  <c r="A2127" i="14"/>
  <c r="S2126" i="14"/>
  <c r="R2126" i="14"/>
  <c r="Q2126" i="14"/>
  <c r="P2126" i="14"/>
  <c r="A2126" i="14"/>
  <c r="S2125" i="14"/>
  <c r="R2125" i="14"/>
  <c r="Q2125" i="14"/>
  <c r="P2125" i="14"/>
  <c r="A2125" i="14"/>
  <c r="S2124" i="14"/>
  <c r="R2124" i="14"/>
  <c r="Q2124" i="14"/>
  <c r="P2124" i="14"/>
  <c r="A2124" i="14"/>
  <c r="S2123" i="14"/>
  <c r="R2123" i="14"/>
  <c r="Q2123" i="14"/>
  <c r="P2123" i="14"/>
  <c r="A2123" i="14"/>
  <c r="S2122" i="14"/>
  <c r="R2122" i="14"/>
  <c r="Q2122" i="14"/>
  <c r="P2122" i="14"/>
  <c r="A2122" i="14"/>
  <c r="S2121" i="14"/>
  <c r="R2121" i="14"/>
  <c r="Q2121" i="14"/>
  <c r="P2121" i="14"/>
  <c r="A2121" i="14"/>
  <c r="S2120" i="14"/>
  <c r="R2120" i="14"/>
  <c r="Q2120" i="14"/>
  <c r="P2120" i="14"/>
  <c r="A2120" i="14"/>
  <c r="S2119" i="14"/>
  <c r="R2119" i="14"/>
  <c r="Q2119" i="14"/>
  <c r="P2119" i="14"/>
  <c r="A2119" i="14"/>
  <c r="S2118" i="14"/>
  <c r="R2118" i="14"/>
  <c r="Q2118" i="14"/>
  <c r="P2118" i="14"/>
  <c r="A2118" i="14"/>
  <c r="S2117" i="14"/>
  <c r="R2117" i="14"/>
  <c r="Q2117" i="14"/>
  <c r="P2117" i="14"/>
  <c r="A2117" i="14"/>
  <c r="S2116" i="14"/>
  <c r="R2116" i="14"/>
  <c r="Q2116" i="14"/>
  <c r="P2116" i="14"/>
  <c r="A2116" i="14"/>
  <c r="S2115" i="14"/>
  <c r="R2115" i="14"/>
  <c r="Q2115" i="14"/>
  <c r="P2115" i="14"/>
  <c r="A2115" i="14"/>
  <c r="S2114" i="14"/>
  <c r="R2114" i="14"/>
  <c r="Q2114" i="14"/>
  <c r="P2114" i="14"/>
  <c r="A2114" i="14"/>
  <c r="S2113" i="14"/>
  <c r="R2113" i="14"/>
  <c r="Q2113" i="14"/>
  <c r="P2113" i="14"/>
  <c r="A2113" i="14"/>
  <c r="S2112" i="14"/>
  <c r="R2112" i="14"/>
  <c r="Q2112" i="14"/>
  <c r="P2112" i="14"/>
  <c r="A2112" i="14"/>
  <c r="S2111" i="14"/>
  <c r="R2111" i="14"/>
  <c r="Q2111" i="14"/>
  <c r="P2111" i="14"/>
  <c r="A2111" i="14"/>
  <c r="S2110" i="14"/>
  <c r="R2110" i="14"/>
  <c r="Q2110" i="14"/>
  <c r="P2110" i="14"/>
  <c r="A2110" i="14"/>
  <c r="S2109" i="14"/>
  <c r="R2109" i="14"/>
  <c r="Q2109" i="14"/>
  <c r="P2109" i="14"/>
  <c r="A2109" i="14"/>
  <c r="S2108" i="14"/>
  <c r="R2108" i="14"/>
  <c r="Q2108" i="14"/>
  <c r="P2108" i="14"/>
  <c r="A2108" i="14"/>
  <c r="S2107" i="14"/>
  <c r="R2107" i="14"/>
  <c r="Q2107" i="14"/>
  <c r="P2107" i="14"/>
  <c r="A2107" i="14"/>
  <c r="S2106" i="14"/>
  <c r="R2106" i="14"/>
  <c r="Q2106" i="14"/>
  <c r="P2106" i="14"/>
  <c r="A2106" i="14"/>
  <c r="S2105" i="14"/>
  <c r="R2105" i="14"/>
  <c r="Q2105" i="14"/>
  <c r="P2105" i="14"/>
  <c r="A2105" i="14"/>
  <c r="S2104" i="14"/>
  <c r="R2104" i="14"/>
  <c r="Q2104" i="14"/>
  <c r="P2104" i="14"/>
  <c r="A2104" i="14"/>
  <c r="S2103" i="14"/>
  <c r="R2103" i="14"/>
  <c r="Q2103" i="14"/>
  <c r="P2103" i="14"/>
  <c r="A2103" i="14"/>
  <c r="S2102" i="14"/>
  <c r="R2102" i="14"/>
  <c r="Q2102" i="14"/>
  <c r="P2102" i="14"/>
  <c r="A2102" i="14"/>
  <c r="S2101" i="14"/>
  <c r="R2101" i="14"/>
  <c r="Q2101" i="14"/>
  <c r="P2101" i="14"/>
  <c r="A2101" i="14"/>
  <c r="S2100" i="14"/>
  <c r="R2100" i="14"/>
  <c r="Q2100" i="14"/>
  <c r="P2100" i="14"/>
  <c r="A2100" i="14"/>
  <c r="S2099" i="14"/>
  <c r="R2099" i="14"/>
  <c r="Q2099" i="14"/>
  <c r="P2099" i="14"/>
  <c r="A2099" i="14"/>
  <c r="S2098" i="14"/>
  <c r="R2098" i="14"/>
  <c r="Q2098" i="14"/>
  <c r="P2098" i="14"/>
  <c r="A2098" i="14"/>
  <c r="S2097" i="14"/>
  <c r="R2097" i="14"/>
  <c r="Q2097" i="14"/>
  <c r="P2097" i="14"/>
  <c r="A2097" i="14"/>
  <c r="S2096" i="14"/>
  <c r="R2096" i="14"/>
  <c r="Q2096" i="14"/>
  <c r="P2096" i="14"/>
  <c r="A2096" i="14"/>
  <c r="S2095" i="14"/>
  <c r="R2095" i="14"/>
  <c r="Q2095" i="14"/>
  <c r="P2095" i="14"/>
  <c r="A2095" i="14"/>
  <c r="S2094" i="14"/>
  <c r="R2094" i="14"/>
  <c r="Q2094" i="14"/>
  <c r="P2094" i="14"/>
  <c r="A2094" i="14"/>
  <c r="S2093" i="14"/>
  <c r="R2093" i="14"/>
  <c r="Q2093" i="14"/>
  <c r="P2093" i="14"/>
  <c r="A2093" i="14"/>
  <c r="S2092" i="14"/>
  <c r="R2092" i="14"/>
  <c r="Q2092" i="14"/>
  <c r="P2092" i="14"/>
  <c r="A2092" i="14"/>
  <c r="S2091" i="14"/>
  <c r="R2091" i="14"/>
  <c r="Q2091" i="14"/>
  <c r="P2091" i="14"/>
  <c r="A2091" i="14"/>
  <c r="S2090" i="14"/>
  <c r="R2090" i="14"/>
  <c r="Q2090" i="14"/>
  <c r="P2090" i="14"/>
  <c r="A2090" i="14"/>
  <c r="S2089" i="14"/>
  <c r="R2089" i="14"/>
  <c r="Q2089" i="14"/>
  <c r="P2089" i="14"/>
  <c r="A2089" i="14"/>
  <c r="S2088" i="14"/>
  <c r="R2088" i="14"/>
  <c r="Q2088" i="14"/>
  <c r="P2088" i="14"/>
  <c r="A2088" i="14"/>
  <c r="S2087" i="14"/>
  <c r="R2087" i="14"/>
  <c r="Q2087" i="14"/>
  <c r="P2087" i="14"/>
  <c r="A2087" i="14"/>
  <c r="S2086" i="14"/>
  <c r="R2086" i="14"/>
  <c r="Q2086" i="14"/>
  <c r="P2086" i="14"/>
  <c r="A2086" i="14"/>
  <c r="S2085" i="14"/>
  <c r="R2085" i="14"/>
  <c r="Q2085" i="14"/>
  <c r="P2085" i="14"/>
  <c r="A2085" i="14"/>
  <c r="S2084" i="14"/>
  <c r="R2084" i="14"/>
  <c r="Q2084" i="14"/>
  <c r="P2084" i="14"/>
  <c r="A2084" i="14"/>
  <c r="S2083" i="14"/>
  <c r="R2083" i="14"/>
  <c r="Q2083" i="14"/>
  <c r="P2083" i="14"/>
  <c r="A2083" i="14"/>
  <c r="S2082" i="14"/>
  <c r="R2082" i="14"/>
  <c r="Q2082" i="14"/>
  <c r="P2082" i="14"/>
  <c r="A2082" i="14"/>
  <c r="S2081" i="14"/>
  <c r="R2081" i="14"/>
  <c r="Q2081" i="14"/>
  <c r="P2081" i="14"/>
  <c r="A2081" i="14"/>
  <c r="S2080" i="14"/>
  <c r="R2080" i="14"/>
  <c r="Q2080" i="14"/>
  <c r="P2080" i="14"/>
  <c r="A2080" i="14"/>
  <c r="S2079" i="14"/>
  <c r="R2079" i="14"/>
  <c r="Q2079" i="14"/>
  <c r="P2079" i="14"/>
  <c r="A2079" i="14"/>
  <c r="S2078" i="14"/>
  <c r="R2078" i="14"/>
  <c r="Q2078" i="14"/>
  <c r="P2078" i="14"/>
  <c r="A2078" i="14"/>
  <c r="S2077" i="14"/>
  <c r="R2077" i="14"/>
  <c r="Q2077" i="14"/>
  <c r="P2077" i="14"/>
  <c r="A2077" i="14"/>
  <c r="S2076" i="14"/>
  <c r="R2076" i="14"/>
  <c r="Q2076" i="14"/>
  <c r="P2076" i="14"/>
  <c r="A2076" i="14"/>
  <c r="S2075" i="14"/>
  <c r="R2075" i="14"/>
  <c r="Q2075" i="14"/>
  <c r="P2075" i="14"/>
  <c r="A2075" i="14"/>
  <c r="S2074" i="14"/>
  <c r="R2074" i="14"/>
  <c r="Q2074" i="14"/>
  <c r="P2074" i="14"/>
  <c r="A2074" i="14"/>
  <c r="S2073" i="14"/>
  <c r="R2073" i="14"/>
  <c r="Q2073" i="14"/>
  <c r="P2073" i="14"/>
  <c r="A2073" i="14"/>
  <c r="S2072" i="14"/>
  <c r="R2072" i="14"/>
  <c r="Q2072" i="14"/>
  <c r="P2072" i="14"/>
  <c r="A2072" i="14"/>
  <c r="S2071" i="14"/>
  <c r="R2071" i="14"/>
  <c r="Q2071" i="14"/>
  <c r="P2071" i="14"/>
  <c r="A2071" i="14"/>
  <c r="S2070" i="14"/>
  <c r="R2070" i="14"/>
  <c r="Q2070" i="14"/>
  <c r="P2070" i="14"/>
  <c r="A2070" i="14"/>
  <c r="S2069" i="14"/>
  <c r="R2069" i="14"/>
  <c r="Q2069" i="14"/>
  <c r="P2069" i="14"/>
  <c r="A2069" i="14"/>
  <c r="S2068" i="14"/>
  <c r="R2068" i="14"/>
  <c r="Q2068" i="14"/>
  <c r="P2068" i="14"/>
  <c r="A2068" i="14"/>
  <c r="S2067" i="14"/>
  <c r="R2067" i="14"/>
  <c r="Q2067" i="14"/>
  <c r="P2067" i="14"/>
  <c r="A2067" i="14"/>
  <c r="S2066" i="14"/>
  <c r="R2066" i="14"/>
  <c r="Q2066" i="14"/>
  <c r="P2066" i="14"/>
  <c r="A2066" i="14"/>
  <c r="S2065" i="14"/>
  <c r="R2065" i="14"/>
  <c r="Q2065" i="14"/>
  <c r="P2065" i="14"/>
  <c r="A2065" i="14"/>
  <c r="S2064" i="14"/>
  <c r="R2064" i="14"/>
  <c r="Q2064" i="14"/>
  <c r="P2064" i="14"/>
  <c r="A2064" i="14"/>
  <c r="S2063" i="14"/>
  <c r="R2063" i="14"/>
  <c r="Q2063" i="14"/>
  <c r="P2063" i="14"/>
  <c r="A2063" i="14"/>
  <c r="S2062" i="14"/>
  <c r="R2062" i="14"/>
  <c r="Q2062" i="14"/>
  <c r="P2062" i="14"/>
  <c r="A2062" i="14"/>
  <c r="S2061" i="14"/>
  <c r="R2061" i="14"/>
  <c r="Q2061" i="14"/>
  <c r="P2061" i="14"/>
  <c r="A2061" i="14"/>
  <c r="S2060" i="14"/>
  <c r="R2060" i="14"/>
  <c r="Q2060" i="14"/>
  <c r="P2060" i="14"/>
  <c r="A2060" i="14"/>
  <c r="S2059" i="14"/>
  <c r="R2059" i="14"/>
  <c r="Q2059" i="14"/>
  <c r="P2059" i="14"/>
  <c r="A2059" i="14"/>
  <c r="S2058" i="14"/>
  <c r="R2058" i="14"/>
  <c r="Q2058" i="14"/>
  <c r="P2058" i="14"/>
  <c r="A2058" i="14"/>
  <c r="S2057" i="14"/>
  <c r="R2057" i="14"/>
  <c r="Q2057" i="14"/>
  <c r="P2057" i="14"/>
  <c r="A2057" i="14"/>
  <c r="S2056" i="14"/>
  <c r="R2056" i="14"/>
  <c r="Q2056" i="14"/>
  <c r="P2056" i="14"/>
  <c r="A2056" i="14"/>
  <c r="S2055" i="14"/>
  <c r="R2055" i="14"/>
  <c r="Q2055" i="14"/>
  <c r="P2055" i="14"/>
  <c r="A2055" i="14"/>
  <c r="S2054" i="14"/>
  <c r="R2054" i="14"/>
  <c r="Q2054" i="14"/>
  <c r="P2054" i="14"/>
  <c r="A2054" i="14"/>
  <c r="S2053" i="14"/>
  <c r="R2053" i="14"/>
  <c r="Q2053" i="14"/>
  <c r="P2053" i="14"/>
  <c r="A2053" i="14"/>
  <c r="S2052" i="14"/>
  <c r="R2052" i="14"/>
  <c r="Q2052" i="14"/>
  <c r="P2052" i="14"/>
  <c r="A2052" i="14"/>
  <c r="S2051" i="14"/>
  <c r="R2051" i="14"/>
  <c r="Q2051" i="14"/>
  <c r="P2051" i="14"/>
  <c r="A2051" i="14"/>
  <c r="S2050" i="14"/>
  <c r="R2050" i="14"/>
  <c r="Q2050" i="14"/>
  <c r="P2050" i="14"/>
  <c r="A2050" i="14"/>
  <c r="S2049" i="14"/>
  <c r="R2049" i="14"/>
  <c r="Q2049" i="14"/>
  <c r="P2049" i="14"/>
  <c r="A2049" i="14"/>
  <c r="S2048" i="14"/>
  <c r="R2048" i="14"/>
  <c r="Q2048" i="14"/>
  <c r="P2048" i="14"/>
  <c r="A2048" i="14"/>
  <c r="S2047" i="14"/>
  <c r="R2047" i="14"/>
  <c r="Q2047" i="14"/>
  <c r="P2047" i="14"/>
  <c r="A2047" i="14"/>
  <c r="S2046" i="14"/>
  <c r="R2046" i="14"/>
  <c r="Q2046" i="14"/>
  <c r="P2046" i="14"/>
  <c r="A2046" i="14"/>
  <c r="S2045" i="14"/>
  <c r="R2045" i="14"/>
  <c r="Q2045" i="14"/>
  <c r="P2045" i="14"/>
  <c r="A2045" i="14"/>
  <c r="S2044" i="14"/>
  <c r="R2044" i="14"/>
  <c r="Q2044" i="14"/>
  <c r="P2044" i="14"/>
  <c r="A2044" i="14"/>
  <c r="S2043" i="14"/>
  <c r="R2043" i="14"/>
  <c r="Q2043" i="14"/>
  <c r="P2043" i="14"/>
  <c r="A2043" i="14"/>
  <c r="S2042" i="14"/>
  <c r="R2042" i="14"/>
  <c r="Q2042" i="14"/>
  <c r="P2042" i="14"/>
  <c r="A2042" i="14"/>
  <c r="S2041" i="14"/>
  <c r="R2041" i="14"/>
  <c r="Q2041" i="14"/>
  <c r="P2041" i="14"/>
  <c r="A2041" i="14"/>
  <c r="S2040" i="14"/>
  <c r="R2040" i="14"/>
  <c r="Q2040" i="14"/>
  <c r="P2040" i="14"/>
  <c r="A2040" i="14"/>
  <c r="S2039" i="14"/>
  <c r="R2039" i="14"/>
  <c r="Q2039" i="14"/>
  <c r="P2039" i="14"/>
  <c r="A2039" i="14"/>
  <c r="S2038" i="14"/>
  <c r="R2038" i="14"/>
  <c r="Q2038" i="14"/>
  <c r="P2038" i="14"/>
  <c r="A2038" i="14"/>
  <c r="S2037" i="14"/>
  <c r="R2037" i="14"/>
  <c r="Q2037" i="14"/>
  <c r="P2037" i="14"/>
  <c r="A2037" i="14"/>
  <c r="S2036" i="14"/>
  <c r="R2036" i="14"/>
  <c r="Q2036" i="14"/>
  <c r="P2036" i="14"/>
  <c r="A2036" i="14"/>
  <c r="S2035" i="14"/>
  <c r="R2035" i="14"/>
  <c r="Q2035" i="14"/>
  <c r="P2035" i="14"/>
  <c r="A2035" i="14"/>
  <c r="S2034" i="14"/>
  <c r="R2034" i="14"/>
  <c r="Q2034" i="14"/>
  <c r="P2034" i="14"/>
  <c r="A2034" i="14"/>
  <c r="S2033" i="14"/>
  <c r="R2033" i="14"/>
  <c r="Q2033" i="14"/>
  <c r="P2033" i="14"/>
  <c r="A2033" i="14"/>
  <c r="S2032" i="14"/>
  <c r="R2032" i="14"/>
  <c r="Q2032" i="14"/>
  <c r="P2032" i="14"/>
  <c r="A2032" i="14"/>
  <c r="S2031" i="14"/>
  <c r="R2031" i="14"/>
  <c r="Q2031" i="14"/>
  <c r="P2031" i="14"/>
  <c r="A2031" i="14"/>
  <c r="S2030" i="14"/>
  <c r="R2030" i="14"/>
  <c r="Q2030" i="14"/>
  <c r="P2030" i="14"/>
  <c r="A2030" i="14"/>
  <c r="S2029" i="14"/>
  <c r="R2029" i="14"/>
  <c r="Q2029" i="14"/>
  <c r="P2029" i="14"/>
  <c r="A2029" i="14"/>
  <c r="S2028" i="14"/>
  <c r="R2028" i="14"/>
  <c r="Q2028" i="14"/>
  <c r="P2028" i="14"/>
  <c r="A2028" i="14"/>
  <c r="S2027" i="14"/>
  <c r="R2027" i="14"/>
  <c r="Q2027" i="14"/>
  <c r="P2027" i="14"/>
  <c r="A2027" i="14"/>
  <c r="S2026" i="14"/>
  <c r="R2026" i="14"/>
  <c r="Q2026" i="14"/>
  <c r="P2026" i="14"/>
  <c r="A2026" i="14"/>
  <c r="S2025" i="14"/>
  <c r="R2025" i="14"/>
  <c r="Q2025" i="14"/>
  <c r="P2025" i="14"/>
  <c r="A2025" i="14"/>
  <c r="S2024" i="14"/>
  <c r="R2024" i="14"/>
  <c r="Q2024" i="14"/>
  <c r="P2024" i="14"/>
  <c r="A2024" i="14"/>
  <c r="S2023" i="14"/>
  <c r="R2023" i="14"/>
  <c r="Q2023" i="14"/>
  <c r="P2023" i="14"/>
  <c r="A2023" i="14"/>
  <c r="S2022" i="14"/>
  <c r="R2022" i="14"/>
  <c r="Q2022" i="14"/>
  <c r="P2022" i="14"/>
  <c r="A2022" i="14"/>
  <c r="S2021" i="14"/>
  <c r="R2021" i="14"/>
  <c r="Q2021" i="14"/>
  <c r="P2021" i="14"/>
  <c r="A2021" i="14"/>
  <c r="S2020" i="14"/>
  <c r="R2020" i="14"/>
  <c r="Q2020" i="14"/>
  <c r="P2020" i="14"/>
  <c r="A2020" i="14"/>
  <c r="S2019" i="14"/>
  <c r="R2019" i="14"/>
  <c r="Q2019" i="14"/>
  <c r="P2019" i="14"/>
  <c r="A2019" i="14"/>
  <c r="S2018" i="14"/>
  <c r="R2018" i="14"/>
  <c r="Q2018" i="14"/>
  <c r="P2018" i="14"/>
  <c r="A2018" i="14"/>
  <c r="S2017" i="14"/>
  <c r="R2017" i="14"/>
  <c r="Q2017" i="14"/>
  <c r="P2017" i="14"/>
  <c r="A2017" i="14"/>
  <c r="S2016" i="14"/>
  <c r="R2016" i="14"/>
  <c r="Q2016" i="14"/>
  <c r="P2016" i="14"/>
  <c r="A2016" i="14"/>
  <c r="S2015" i="14"/>
  <c r="R2015" i="14"/>
  <c r="Q2015" i="14"/>
  <c r="P2015" i="14"/>
  <c r="A2015" i="14"/>
  <c r="S2014" i="14"/>
  <c r="R2014" i="14"/>
  <c r="Q2014" i="14"/>
  <c r="P2014" i="14"/>
  <c r="A2014" i="14"/>
  <c r="S2013" i="14"/>
  <c r="R2013" i="14"/>
  <c r="Q2013" i="14"/>
  <c r="P2013" i="14"/>
  <c r="A2013" i="14"/>
  <c r="S2012" i="14"/>
  <c r="R2012" i="14"/>
  <c r="Q2012" i="14"/>
  <c r="P2012" i="14"/>
  <c r="A2012" i="14"/>
  <c r="S2011" i="14"/>
  <c r="R2011" i="14"/>
  <c r="Q2011" i="14"/>
  <c r="P2011" i="14"/>
  <c r="A2011" i="14"/>
  <c r="S2010" i="14"/>
  <c r="R2010" i="14"/>
  <c r="Q2010" i="14"/>
  <c r="P2010" i="14"/>
  <c r="A2010" i="14"/>
  <c r="S2009" i="14"/>
  <c r="R2009" i="14"/>
  <c r="Q2009" i="14"/>
  <c r="P2009" i="14"/>
  <c r="A2009" i="14"/>
  <c r="S2008" i="14"/>
  <c r="R2008" i="14"/>
  <c r="Q2008" i="14"/>
  <c r="P2008" i="14"/>
  <c r="A2008" i="14"/>
  <c r="S2007" i="14"/>
  <c r="R2007" i="14"/>
  <c r="Q2007" i="14"/>
  <c r="P2007" i="14"/>
  <c r="A2007" i="14"/>
  <c r="S2006" i="14"/>
  <c r="R2006" i="14"/>
  <c r="Q2006" i="14"/>
  <c r="P2006" i="14"/>
  <c r="A2006" i="14"/>
  <c r="S2005" i="14"/>
  <c r="R2005" i="14"/>
  <c r="Q2005" i="14"/>
  <c r="P2005" i="14"/>
  <c r="A2005" i="14"/>
  <c r="S2004" i="14"/>
  <c r="R2004" i="14"/>
  <c r="Q2004" i="14"/>
  <c r="P2004" i="14"/>
  <c r="A2004" i="14"/>
  <c r="S2003" i="14"/>
  <c r="R2003" i="14"/>
  <c r="Q2003" i="14"/>
  <c r="P2003" i="14"/>
  <c r="A2003" i="14"/>
  <c r="S2002" i="14"/>
  <c r="R2002" i="14"/>
  <c r="Q2002" i="14"/>
  <c r="P2002" i="14"/>
  <c r="A2002" i="14"/>
  <c r="S2001" i="14"/>
  <c r="R2001" i="14"/>
  <c r="Q2001" i="14"/>
  <c r="P2001" i="14"/>
  <c r="A2001" i="14"/>
  <c r="S2000" i="14"/>
  <c r="R2000" i="14"/>
  <c r="Q2000" i="14"/>
  <c r="P2000" i="14"/>
  <c r="A2000" i="14"/>
  <c r="S1999" i="14"/>
  <c r="R1999" i="14"/>
  <c r="Q1999" i="14"/>
  <c r="P1999" i="14"/>
  <c r="A1999" i="14"/>
  <c r="S1998" i="14"/>
  <c r="R1998" i="14"/>
  <c r="Q1998" i="14"/>
  <c r="P1998" i="14"/>
  <c r="A1998" i="14"/>
  <c r="S1997" i="14"/>
  <c r="R1997" i="14"/>
  <c r="Q1997" i="14"/>
  <c r="P1997" i="14"/>
  <c r="A1997" i="14"/>
  <c r="S1996" i="14"/>
  <c r="R1996" i="14"/>
  <c r="Q1996" i="14"/>
  <c r="P1996" i="14"/>
  <c r="A1996" i="14"/>
  <c r="S1995" i="14"/>
  <c r="R1995" i="14"/>
  <c r="Q1995" i="14"/>
  <c r="P1995" i="14"/>
  <c r="A1995" i="14"/>
  <c r="S1994" i="14"/>
  <c r="R1994" i="14"/>
  <c r="Q1994" i="14"/>
  <c r="P1994" i="14"/>
  <c r="A1994" i="14"/>
  <c r="S1993" i="14"/>
  <c r="R1993" i="14"/>
  <c r="Q1993" i="14"/>
  <c r="P1993" i="14"/>
  <c r="A1993" i="14"/>
  <c r="S1992" i="14"/>
  <c r="R1992" i="14"/>
  <c r="Q1992" i="14"/>
  <c r="P1992" i="14"/>
  <c r="A1992" i="14"/>
  <c r="S1991" i="14"/>
  <c r="R1991" i="14"/>
  <c r="Q1991" i="14"/>
  <c r="P1991" i="14"/>
  <c r="A1991" i="14"/>
  <c r="S1990" i="14"/>
  <c r="R1990" i="14"/>
  <c r="Q1990" i="14"/>
  <c r="P1990" i="14"/>
  <c r="A1990" i="14"/>
  <c r="S1989" i="14"/>
  <c r="R1989" i="14"/>
  <c r="Q1989" i="14"/>
  <c r="P1989" i="14"/>
  <c r="A1989" i="14"/>
  <c r="S1988" i="14"/>
  <c r="R1988" i="14"/>
  <c r="Q1988" i="14"/>
  <c r="P1988" i="14"/>
  <c r="A1988" i="14"/>
  <c r="S1987" i="14"/>
  <c r="R1987" i="14"/>
  <c r="Q1987" i="14"/>
  <c r="P1987" i="14"/>
  <c r="A1987" i="14"/>
  <c r="S1986" i="14"/>
  <c r="R1986" i="14"/>
  <c r="Q1986" i="14"/>
  <c r="P1986" i="14"/>
  <c r="A1986" i="14"/>
  <c r="S1985" i="14"/>
  <c r="R1985" i="14"/>
  <c r="Q1985" i="14"/>
  <c r="P1985" i="14"/>
  <c r="A1985" i="14"/>
  <c r="S1984" i="14"/>
  <c r="R1984" i="14"/>
  <c r="Q1984" i="14"/>
  <c r="P1984" i="14"/>
  <c r="A1984" i="14"/>
  <c r="S1983" i="14"/>
  <c r="R1983" i="14"/>
  <c r="Q1983" i="14"/>
  <c r="P1983" i="14"/>
  <c r="A1983" i="14"/>
  <c r="S1982" i="14"/>
  <c r="R1982" i="14"/>
  <c r="Q1982" i="14"/>
  <c r="P1982" i="14"/>
  <c r="A1982" i="14"/>
  <c r="S1981" i="14"/>
  <c r="R1981" i="14"/>
  <c r="Q1981" i="14"/>
  <c r="P1981" i="14"/>
  <c r="A1981" i="14"/>
  <c r="S1980" i="14"/>
  <c r="R1980" i="14"/>
  <c r="Q1980" i="14"/>
  <c r="P1980" i="14"/>
  <c r="A1980" i="14"/>
  <c r="S1979" i="14"/>
  <c r="R1979" i="14"/>
  <c r="Q1979" i="14"/>
  <c r="P1979" i="14"/>
  <c r="A1979" i="14"/>
  <c r="S1978" i="14"/>
  <c r="R1978" i="14"/>
  <c r="Q1978" i="14"/>
  <c r="P1978" i="14"/>
  <c r="A1978" i="14"/>
  <c r="S1977" i="14"/>
  <c r="R1977" i="14"/>
  <c r="Q1977" i="14"/>
  <c r="P1977" i="14"/>
  <c r="A1977" i="14"/>
  <c r="S1976" i="14"/>
  <c r="R1976" i="14"/>
  <c r="Q1976" i="14"/>
  <c r="P1976" i="14"/>
  <c r="A1976" i="14"/>
  <c r="S1975" i="14"/>
  <c r="R1975" i="14"/>
  <c r="Q1975" i="14"/>
  <c r="P1975" i="14"/>
  <c r="A1975" i="14"/>
  <c r="S1974" i="14"/>
  <c r="R1974" i="14"/>
  <c r="Q1974" i="14"/>
  <c r="P1974" i="14"/>
  <c r="A1974" i="14"/>
  <c r="S1973" i="14"/>
  <c r="R1973" i="14"/>
  <c r="Q1973" i="14"/>
  <c r="P1973" i="14"/>
  <c r="A1973" i="14"/>
  <c r="S1972" i="14"/>
  <c r="R1972" i="14"/>
  <c r="Q1972" i="14"/>
  <c r="P1972" i="14"/>
  <c r="A1972" i="14"/>
  <c r="S1971" i="14"/>
  <c r="R1971" i="14"/>
  <c r="Q1971" i="14"/>
  <c r="P1971" i="14"/>
  <c r="A1971" i="14"/>
  <c r="S1970" i="14"/>
  <c r="R1970" i="14"/>
  <c r="Q1970" i="14"/>
  <c r="P1970" i="14"/>
  <c r="A1970" i="14"/>
  <c r="S1969" i="14"/>
  <c r="R1969" i="14"/>
  <c r="Q1969" i="14"/>
  <c r="P1969" i="14"/>
  <c r="A1969" i="14"/>
  <c r="S1968" i="14"/>
  <c r="R1968" i="14"/>
  <c r="Q1968" i="14"/>
  <c r="P1968" i="14"/>
  <c r="A1968" i="14"/>
  <c r="S1967" i="14"/>
  <c r="R1967" i="14"/>
  <c r="Q1967" i="14"/>
  <c r="P1967" i="14"/>
  <c r="A1967" i="14"/>
  <c r="S1966" i="14"/>
  <c r="R1966" i="14"/>
  <c r="Q1966" i="14"/>
  <c r="P1966" i="14"/>
  <c r="A1966" i="14"/>
  <c r="S1965" i="14"/>
  <c r="R1965" i="14"/>
  <c r="Q1965" i="14"/>
  <c r="P1965" i="14"/>
  <c r="A1965" i="14"/>
  <c r="S1964" i="14"/>
  <c r="R1964" i="14"/>
  <c r="Q1964" i="14"/>
  <c r="P1964" i="14"/>
  <c r="A1964" i="14"/>
  <c r="S1963" i="14"/>
  <c r="R1963" i="14"/>
  <c r="Q1963" i="14"/>
  <c r="P1963" i="14"/>
  <c r="A1963" i="14"/>
  <c r="S1962" i="14"/>
  <c r="R1962" i="14"/>
  <c r="Q1962" i="14"/>
  <c r="P1962" i="14"/>
  <c r="A1962" i="14"/>
  <c r="S1961" i="14"/>
  <c r="R1961" i="14"/>
  <c r="Q1961" i="14"/>
  <c r="P1961" i="14"/>
  <c r="A1961" i="14"/>
  <c r="S1960" i="14"/>
  <c r="R1960" i="14"/>
  <c r="Q1960" i="14"/>
  <c r="P1960" i="14"/>
  <c r="A1960" i="14"/>
  <c r="S1959" i="14"/>
  <c r="R1959" i="14"/>
  <c r="Q1959" i="14"/>
  <c r="P1959" i="14"/>
  <c r="A1959" i="14"/>
  <c r="S1958" i="14"/>
  <c r="R1958" i="14"/>
  <c r="Q1958" i="14"/>
  <c r="P1958" i="14"/>
  <c r="A1958" i="14"/>
  <c r="S1957" i="14"/>
  <c r="R1957" i="14"/>
  <c r="Q1957" i="14"/>
  <c r="P1957" i="14"/>
  <c r="A1957" i="14"/>
  <c r="S1956" i="14"/>
  <c r="R1956" i="14"/>
  <c r="Q1956" i="14"/>
  <c r="P1956" i="14"/>
  <c r="A1956" i="14"/>
  <c r="S1955" i="14"/>
  <c r="R1955" i="14"/>
  <c r="Q1955" i="14"/>
  <c r="P1955" i="14"/>
  <c r="A1955" i="14"/>
  <c r="S1954" i="14"/>
  <c r="R1954" i="14"/>
  <c r="Q1954" i="14"/>
  <c r="P1954" i="14"/>
  <c r="A1954" i="14"/>
  <c r="S1953" i="14"/>
  <c r="R1953" i="14"/>
  <c r="Q1953" i="14"/>
  <c r="P1953" i="14"/>
  <c r="A1953" i="14"/>
  <c r="S1952" i="14"/>
  <c r="R1952" i="14"/>
  <c r="Q1952" i="14"/>
  <c r="P1952" i="14"/>
  <c r="A1952" i="14"/>
  <c r="S1951" i="14"/>
  <c r="R1951" i="14"/>
  <c r="Q1951" i="14"/>
  <c r="P1951" i="14"/>
  <c r="A1951" i="14"/>
  <c r="S1950" i="14"/>
  <c r="R1950" i="14"/>
  <c r="Q1950" i="14"/>
  <c r="P1950" i="14"/>
  <c r="A1950" i="14"/>
  <c r="S1949" i="14"/>
  <c r="R1949" i="14"/>
  <c r="Q1949" i="14"/>
  <c r="P1949" i="14"/>
  <c r="A1949" i="14"/>
  <c r="S1948" i="14"/>
  <c r="R1948" i="14"/>
  <c r="Q1948" i="14"/>
  <c r="P1948" i="14"/>
  <c r="A1948" i="14"/>
  <c r="S1947" i="14"/>
  <c r="R1947" i="14"/>
  <c r="Q1947" i="14"/>
  <c r="P1947" i="14"/>
  <c r="A1947" i="14"/>
  <c r="S1946" i="14"/>
  <c r="R1946" i="14"/>
  <c r="Q1946" i="14"/>
  <c r="P1946" i="14"/>
  <c r="A1946" i="14"/>
  <c r="S1945" i="14"/>
  <c r="R1945" i="14"/>
  <c r="Q1945" i="14"/>
  <c r="P1945" i="14"/>
  <c r="A1945" i="14"/>
  <c r="S1944" i="14"/>
  <c r="R1944" i="14"/>
  <c r="Q1944" i="14"/>
  <c r="P1944" i="14"/>
  <c r="A1944" i="14"/>
  <c r="S1943" i="14"/>
  <c r="R1943" i="14"/>
  <c r="Q1943" i="14"/>
  <c r="P1943" i="14"/>
  <c r="A1943" i="14"/>
  <c r="S1942" i="14"/>
  <c r="R1942" i="14"/>
  <c r="Q1942" i="14"/>
  <c r="P1942" i="14"/>
  <c r="A1942" i="14"/>
  <c r="S1941" i="14"/>
  <c r="R1941" i="14"/>
  <c r="Q1941" i="14"/>
  <c r="P1941" i="14"/>
  <c r="A1941" i="14"/>
  <c r="S1940" i="14"/>
  <c r="R1940" i="14"/>
  <c r="Q1940" i="14"/>
  <c r="P1940" i="14"/>
  <c r="A1940" i="14"/>
  <c r="S1939" i="14"/>
  <c r="R1939" i="14"/>
  <c r="Q1939" i="14"/>
  <c r="P1939" i="14"/>
  <c r="A1939" i="14"/>
  <c r="S1938" i="14"/>
  <c r="R1938" i="14"/>
  <c r="Q1938" i="14"/>
  <c r="P1938" i="14"/>
  <c r="A1938" i="14"/>
  <c r="S1937" i="14"/>
  <c r="R1937" i="14"/>
  <c r="Q1937" i="14"/>
  <c r="P1937" i="14"/>
  <c r="A1937" i="14"/>
  <c r="S1936" i="14"/>
  <c r="R1936" i="14"/>
  <c r="Q1936" i="14"/>
  <c r="P1936" i="14"/>
  <c r="A1936" i="14"/>
  <c r="S1935" i="14"/>
  <c r="R1935" i="14"/>
  <c r="Q1935" i="14"/>
  <c r="P1935" i="14"/>
  <c r="A1935" i="14"/>
  <c r="S1934" i="14"/>
  <c r="R1934" i="14"/>
  <c r="Q1934" i="14"/>
  <c r="P1934" i="14"/>
  <c r="A1934" i="14"/>
  <c r="S1933" i="14"/>
  <c r="R1933" i="14"/>
  <c r="Q1933" i="14"/>
  <c r="P1933" i="14"/>
  <c r="A1933" i="14"/>
  <c r="S1932" i="14"/>
  <c r="R1932" i="14"/>
  <c r="Q1932" i="14"/>
  <c r="P1932" i="14"/>
  <c r="A1932" i="14"/>
  <c r="S1931" i="14"/>
  <c r="R1931" i="14"/>
  <c r="Q1931" i="14"/>
  <c r="P1931" i="14"/>
  <c r="A1931" i="14"/>
  <c r="S1930" i="14"/>
  <c r="R1930" i="14"/>
  <c r="Q1930" i="14"/>
  <c r="P1930" i="14"/>
  <c r="A1930" i="14"/>
  <c r="S1929" i="14"/>
  <c r="R1929" i="14"/>
  <c r="Q1929" i="14"/>
  <c r="P1929" i="14"/>
  <c r="A1929" i="14"/>
  <c r="S1928" i="14"/>
  <c r="R1928" i="14"/>
  <c r="Q1928" i="14"/>
  <c r="P1928" i="14"/>
  <c r="A1928" i="14"/>
  <c r="S1927" i="14"/>
  <c r="R1927" i="14"/>
  <c r="Q1927" i="14"/>
  <c r="P1927" i="14"/>
  <c r="A1927" i="14"/>
  <c r="S1926" i="14"/>
  <c r="R1926" i="14"/>
  <c r="Q1926" i="14"/>
  <c r="P1926" i="14"/>
  <c r="A1926" i="14"/>
  <c r="S1925" i="14"/>
  <c r="R1925" i="14"/>
  <c r="Q1925" i="14"/>
  <c r="P1925" i="14"/>
  <c r="A1925" i="14"/>
  <c r="S1924" i="14"/>
  <c r="R1924" i="14"/>
  <c r="Q1924" i="14"/>
  <c r="P1924" i="14"/>
  <c r="A1924" i="14"/>
  <c r="S1923" i="14"/>
  <c r="R1923" i="14"/>
  <c r="Q1923" i="14"/>
  <c r="P1923" i="14"/>
  <c r="A1923" i="14"/>
  <c r="S1922" i="14"/>
  <c r="R1922" i="14"/>
  <c r="Q1922" i="14"/>
  <c r="P1922" i="14"/>
  <c r="A1922" i="14"/>
  <c r="S1921" i="14"/>
  <c r="R1921" i="14"/>
  <c r="Q1921" i="14"/>
  <c r="P1921" i="14"/>
  <c r="A1921" i="14"/>
  <c r="S1920" i="14"/>
  <c r="R1920" i="14"/>
  <c r="Q1920" i="14"/>
  <c r="P1920" i="14"/>
  <c r="A1920" i="14"/>
  <c r="S1919" i="14"/>
  <c r="R1919" i="14"/>
  <c r="Q1919" i="14"/>
  <c r="P1919" i="14"/>
  <c r="A1919" i="14"/>
  <c r="S1918" i="14"/>
  <c r="R1918" i="14"/>
  <c r="Q1918" i="14"/>
  <c r="P1918" i="14"/>
  <c r="A1918" i="14"/>
  <c r="S1917" i="14"/>
  <c r="R1917" i="14"/>
  <c r="Q1917" i="14"/>
  <c r="P1917" i="14"/>
  <c r="A1917" i="14"/>
  <c r="S1916" i="14"/>
  <c r="R1916" i="14"/>
  <c r="Q1916" i="14"/>
  <c r="P1916" i="14"/>
  <c r="A1916" i="14"/>
  <c r="S1915" i="14"/>
  <c r="R1915" i="14"/>
  <c r="Q1915" i="14"/>
  <c r="P1915" i="14"/>
  <c r="A1915" i="14"/>
  <c r="S1914" i="14"/>
  <c r="R1914" i="14"/>
  <c r="Q1914" i="14"/>
  <c r="P1914" i="14"/>
  <c r="A1914" i="14"/>
  <c r="S1913" i="14"/>
  <c r="R1913" i="14"/>
  <c r="Q1913" i="14"/>
  <c r="P1913" i="14"/>
  <c r="A1913" i="14"/>
  <c r="S1912" i="14"/>
  <c r="R1912" i="14"/>
  <c r="Q1912" i="14"/>
  <c r="P1912" i="14"/>
  <c r="A1912" i="14"/>
  <c r="S1911" i="14"/>
  <c r="R1911" i="14"/>
  <c r="Q1911" i="14"/>
  <c r="P1911" i="14"/>
  <c r="A1911" i="14"/>
  <c r="S1910" i="14"/>
  <c r="R1910" i="14"/>
  <c r="Q1910" i="14"/>
  <c r="P1910" i="14"/>
  <c r="A1910" i="14"/>
  <c r="S1909" i="14"/>
  <c r="R1909" i="14"/>
  <c r="Q1909" i="14"/>
  <c r="P1909" i="14"/>
  <c r="A1909" i="14"/>
  <c r="S1908" i="14"/>
  <c r="R1908" i="14"/>
  <c r="Q1908" i="14"/>
  <c r="P1908" i="14"/>
  <c r="A1908" i="14"/>
  <c r="S1907" i="14"/>
  <c r="R1907" i="14"/>
  <c r="Q1907" i="14"/>
  <c r="P1907" i="14"/>
  <c r="A1907" i="14"/>
  <c r="S1906" i="14"/>
  <c r="R1906" i="14"/>
  <c r="Q1906" i="14"/>
  <c r="P1906" i="14"/>
  <c r="A1906" i="14"/>
  <c r="S1905" i="14"/>
  <c r="R1905" i="14"/>
  <c r="Q1905" i="14"/>
  <c r="P1905" i="14"/>
  <c r="A1905" i="14"/>
  <c r="S1904" i="14"/>
  <c r="R1904" i="14"/>
  <c r="Q1904" i="14"/>
  <c r="P1904" i="14"/>
  <c r="A1904" i="14"/>
  <c r="S1903" i="14"/>
  <c r="R1903" i="14"/>
  <c r="Q1903" i="14"/>
  <c r="P1903" i="14"/>
  <c r="A1903" i="14"/>
  <c r="S1902" i="14"/>
  <c r="R1902" i="14"/>
  <c r="Q1902" i="14"/>
  <c r="P1902" i="14"/>
  <c r="A1902" i="14"/>
  <c r="S1901" i="14"/>
  <c r="R1901" i="14"/>
  <c r="Q1901" i="14"/>
  <c r="P1901" i="14"/>
  <c r="A1901" i="14"/>
  <c r="S1900" i="14"/>
  <c r="R1900" i="14"/>
  <c r="Q1900" i="14"/>
  <c r="P1900" i="14"/>
  <c r="A1900" i="14"/>
  <c r="S1899" i="14"/>
  <c r="R1899" i="14"/>
  <c r="Q1899" i="14"/>
  <c r="P1899" i="14"/>
  <c r="A1899" i="14"/>
  <c r="S1898" i="14"/>
  <c r="R1898" i="14"/>
  <c r="Q1898" i="14"/>
  <c r="P1898" i="14"/>
  <c r="A1898" i="14"/>
  <c r="S1897" i="14"/>
  <c r="R1897" i="14"/>
  <c r="Q1897" i="14"/>
  <c r="P1897" i="14"/>
  <c r="A1897" i="14"/>
  <c r="S1896" i="14"/>
  <c r="R1896" i="14"/>
  <c r="Q1896" i="14"/>
  <c r="P1896" i="14"/>
  <c r="A1896" i="14"/>
  <c r="S1895" i="14"/>
  <c r="R1895" i="14"/>
  <c r="Q1895" i="14"/>
  <c r="P1895" i="14"/>
  <c r="A1895" i="14"/>
  <c r="S1894" i="14"/>
  <c r="R1894" i="14"/>
  <c r="Q1894" i="14"/>
  <c r="P1894" i="14"/>
  <c r="A1894" i="14"/>
  <c r="S1893" i="14"/>
  <c r="R1893" i="14"/>
  <c r="Q1893" i="14"/>
  <c r="P1893" i="14"/>
  <c r="A1893" i="14"/>
  <c r="S1892" i="14"/>
  <c r="R1892" i="14"/>
  <c r="Q1892" i="14"/>
  <c r="P1892" i="14"/>
  <c r="A1892" i="14"/>
  <c r="S1891" i="14"/>
  <c r="R1891" i="14"/>
  <c r="Q1891" i="14"/>
  <c r="P1891" i="14"/>
  <c r="A1891" i="14"/>
  <c r="S1890" i="14"/>
  <c r="R1890" i="14"/>
  <c r="Q1890" i="14"/>
  <c r="P1890" i="14"/>
  <c r="A1890" i="14"/>
  <c r="S1889" i="14"/>
  <c r="R1889" i="14"/>
  <c r="Q1889" i="14"/>
  <c r="P1889" i="14"/>
  <c r="A1889" i="14"/>
  <c r="S1888" i="14"/>
  <c r="R1888" i="14"/>
  <c r="Q1888" i="14"/>
  <c r="P1888" i="14"/>
  <c r="A1888" i="14"/>
  <c r="S1887" i="14"/>
  <c r="R1887" i="14"/>
  <c r="Q1887" i="14"/>
  <c r="P1887" i="14"/>
  <c r="A1887" i="14"/>
  <c r="S1886" i="14"/>
  <c r="R1886" i="14"/>
  <c r="Q1886" i="14"/>
  <c r="P1886" i="14"/>
  <c r="A1886" i="14"/>
  <c r="S1885" i="14"/>
  <c r="R1885" i="14"/>
  <c r="Q1885" i="14"/>
  <c r="P1885" i="14"/>
  <c r="A1885" i="14"/>
  <c r="S1884" i="14"/>
  <c r="R1884" i="14"/>
  <c r="Q1884" i="14"/>
  <c r="P1884" i="14"/>
  <c r="A1884" i="14"/>
  <c r="S1883" i="14"/>
  <c r="R1883" i="14"/>
  <c r="Q1883" i="14"/>
  <c r="P1883" i="14"/>
  <c r="A1883" i="14"/>
  <c r="S1882" i="14"/>
  <c r="R1882" i="14"/>
  <c r="Q1882" i="14"/>
  <c r="P1882" i="14"/>
  <c r="A1882" i="14"/>
  <c r="S1881" i="14"/>
  <c r="R1881" i="14"/>
  <c r="Q1881" i="14"/>
  <c r="P1881" i="14"/>
  <c r="A1881" i="14"/>
  <c r="S1880" i="14"/>
  <c r="R1880" i="14"/>
  <c r="Q1880" i="14"/>
  <c r="P1880" i="14"/>
  <c r="A1880" i="14"/>
  <c r="S1879" i="14"/>
  <c r="R1879" i="14"/>
  <c r="Q1879" i="14"/>
  <c r="P1879" i="14"/>
  <c r="A1879" i="14"/>
  <c r="S1878" i="14"/>
  <c r="R1878" i="14"/>
  <c r="Q1878" i="14"/>
  <c r="P1878" i="14"/>
  <c r="A1878" i="14"/>
  <c r="S1877" i="14"/>
  <c r="R1877" i="14"/>
  <c r="Q1877" i="14"/>
  <c r="P1877" i="14"/>
  <c r="A1877" i="14"/>
  <c r="S1876" i="14"/>
  <c r="R1876" i="14"/>
  <c r="Q1876" i="14"/>
  <c r="P1876" i="14"/>
  <c r="A1876" i="14"/>
  <c r="S1875" i="14"/>
  <c r="R1875" i="14"/>
  <c r="Q1875" i="14"/>
  <c r="P1875" i="14"/>
  <c r="A1875" i="14"/>
  <c r="S1874" i="14"/>
  <c r="R1874" i="14"/>
  <c r="Q1874" i="14"/>
  <c r="P1874" i="14"/>
  <c r="A1874" i="14"/>
  <c r="S1873" i="14"/>
  <c r="R1873" i="14"/>
  <c r="Q1873" i="14"/>
  <c r="P1873" i="14"/>
  <c r="A1873" i="14"/>
  <c r="S1872" i="14"/>
  <c r="R1872" i="14"/>
  <c r="Q1872" i="14"/>
  <c r="P1872" i="14"/>
  <c r="A1872" i="14"/>
  <c r="S1871" i="14"/>
  <c r="R1871" i="14"/>
  <c r="Q1871" i="14"/>
  <c r="P1871" i="14"/>
  <c r="A1871" i="14"/>
  <c r="S1870" i="14"/>
  <c r="R1870" i="14"/>
  <c r="Q1870" i="14"/>
  <c r="P1870" i="14"/>
  <c r="A1870" i="14"/>
  <c r="S1869" i="14"/>
  <c r="R1869" i="14"/>
  <c r="Q1869" i="14"/>
  <c r="P1869" i="14"/>
  <c r="A1869" i="14"/>
  <c r="S1868" i="14"/>
  <c r="R1868" i="14"/>
  <c r="Q1868" i="14"/>
  <c r="P1868" i="14"/>
  <c r="A1868" i="14"/>
  <c r="S1867" i="14"/>
  <c r="R1867" i="14"/>
  <c r="Q1867" i="14"/>
  <c r="P1867" i="14"/>
  <c r="A1867" i="14"/>
  <c r="S1866" i="14"/>
  <c r="R1866" i="14"/>
  <c r="Q1866" i="14"/>
  <c r="P1866" i="14"/>
  <c r="A1866" i="14"/>
  <c r="S1865" i="14"/>
  <c r="R1865" i="14"/>
  <c r="Q1865" i="14"/>
  <c r="P1865" i="14"/>
  <c r="A1865" i="14"/>
  <c r="S1864" i="14"/>
  <c r="R1864" i="14"/>
  <c r="Q1864" i="14"/>
  <c r="P1864" i="14"/>
  <c r="A1864" i="14"/>
  <c r="S1863" i="14"/>
  <c r="R1863" i="14"/>
  <c r="Q1863" i="14"/>
  <c r="P1863" i="14"/>
  <c r="A1863" i="14"/>
  <c r="S1862" i="14"/>
  <c r="R1862" i="14"/>
  <c r="Q1862" i="14"/>
  <c r="P1862" i="14"/>
  <c r="A1862" i="14"/>
  <c r="S1861" i="14"/>
  <c r="R1861" i="14"/>
  <c r="Q1861" i="14"/>
  <c r="P1861" i="14"/>
  <c r="A1861" i="14"/>
  <c r="S1860" i="14"/>
  <c r="R1860" i="14"/>
  <c r="Q1860" i="14"/>
  <c r="P1860" i="14"/>
  <c r="A1860" i="14"/>
  <c r="S1859" i="14"/>
  <c r="R1859" i="14"/>
  <c r="Q1859" i="14"/>
  <c r="P1859" i="14"/>
  <c r="A1859" i="14"/>
  <c r="S1858" i="14"/>
  <c r="R1858" i="14"/>
  <c r="Q1858" i="14"/>
  <c r="P1858" i="14"/>
  <c r="A1858" i="14"/>
  <c r="S1857" i="14"/>
  <c r="R1857" i="14"/>
  <c r="Q1857" i="14"/>
  <c r="P1857" i="14"/>
  <c r="A1857" i="14"/>
  <c r="S1856" i="14"/>
  <c r="R1856" i="14"/>
  <c r="Q1856" i="14"/>
  <c r="P1856" i="14"/>
  <c r="A1856" i="14"/>
  <c r="S1855" i="14"/>
  <c r="R1855" i="14"/>
  <c r="Q1855" i="14"/>
  <c r="P1855" i="14"/>
  <c r="A1855" i="14"/>
  <c r="S1854" i="14"/>
  <c r="R1854" i="14"/>
  <c r="Q1854" i="14"/>
  <c r="P1854" i="14"/>
  <c r="A1854" i="14"/>
  <c r="S1853" i="14"/>
  <c r="R1853" i="14"/>
  <c r="Q1853" i="14"/>
  <c r="P1853" i="14"/>
  <c r="A1853" i="14"/>
  <c r="S1852" i="14"/>
  <c r="R1852" i="14"/>
  <c r="Q1852" i="14"/>
  <c r="P1852" i="14"/>
  <c r="A1852" i="14"/>
  <c r="S1851" i="14"/>
  <c r="R1851" i="14"/>
  <c r="Q1851" i="14"/>
  <c r="P1851" i="14"/>
  <c r="A1851" i="14"/>
  <c r="S1850" i="14"/>
  <c r="R1850" i="14"/>
  <c r="Q1850" i="14"/>
  <c r="P1850" i="14"/>
  <c r="A1850" i="14"/>
  <c r="S1849" i="14"/>
  <c r="R1849" i="14"/>
  <c r="Q1849" i="14"/>
  <c r="P1849" i="14"/>
  <c r="A1849" i="14"/>
  <c r="S1848" i="14"/>
  <c r="R1848" i="14"/>
  <c r="Q1848" i="14"/>
  <c r="P1848" i="14"/>
  <c r="A1848" i="14"/>
  <c r="S1847" i="14"/>
  <c r="R1847" i="14"/>
  <c r="Q1847" i="14"/>
  <c r="P1847" i="14"/>
  <c r="A1847" i="14"/>
  <c r="S1846" i="14"/>
  <c r="R1846" i="14"/>
  <c r="Q1846" i="14"/>
  <c r="P1846" i="14"/>
  <c r="A1846" i="14"/>
  <c r="S1845" i="14"/>
  <c r="R1845" i="14"/>
  <c r="Q1845" i="14"/>
  <c r="P1845" i="14"/>
  <c r="A1845" i="14"/>
  <c r="S1844" i="14"/>
  <c r="R1844" i="14"/>
  <c r="Q1844" i="14"/>
  <c r="P1844" i="14"/>
  <c r="A1844" i="14"/>
  <c r="S1843" i="14"/>
  <c r="R1843" i="14"/>
  <c r="Q1843" i="14"/>
  <c r="P1843" i="14"/>
  <c r="A1843" i="14"/>
  <c r="S1842" i="14"/>
  <c r="R1842" i="14"/>
  <c r="Q1842" i="14"/>
  <c r="P1842" i="14"/>
  <c r="A1842" i="14"/>
  <c r="S1841" i="14"/>
  <c r="R1841" i="14"/>
  <c r="Q1841" i="14"/>
  <c r="P1841" i="14"/>
  <c r="A1841" i="14"/>
  <c r="S1840" i="14"/>
  <c r="R1840" i="14"/>
  <c r="Q1840" i="14"/>
  <c r="P1840" i="14"/>
  <c r="A1840" i="14"/>
  <c r="S1839" i="14"/>
  <c r="R1839" i="14"/>
  <c r="Q1839" i="14"/>
  <c r="P1839" i="14"/>
  <c r="A1839" i="14"/>
  <c r="S1838" i="14"/>
  <c r="R1838" i="14"/>
  <c r="Q1838" i="14"/>
  <c r="P1838" i="14"/>
  <c r="A1838" i="14"/>
  <c r="S1837" i="14"/>
  <c r="R1837" i="14"/>
  <c r="Q1837" i="14"/>
  <c r="P1837" i="14"/>
  <c r="A1837" i="14"/>
  <c r="S1836" i="14"/>
  <c r="R1836" i="14"/>
  <c r="Q1836" i="14"/>
  <c r="P1836" i="14"/>
  <c r="A1836" i="14"/>
  <c r="S1835" i="14"/>
  <c r="R1835" i="14"/>
  <c r="Q1835" i="14"/>
  <c r="P1835" i="14"/>
  <c r="A1835" i="14"/>
  <c r="S1834" i="14"/>
  <c r="R1834" i="14"/>
  <c r="Q1834" i="14"/>
  <c r="P1834" i="14"/>
  <c r="A1834" i="14"/>
  <c r="S1833" i="14"/>
  <c r="R1833" i="14"/>
  <c r="Q1833" i="14"/>
  <c r="P1833" i="14"/>
  <c r="A1833" i="14"/>
  <c r="S1832" i="14"/>
  <c r="R1832" i="14"/>
  <c r="Q1832" i="14"/>
  <c r="P1832" i="14"/>
  <c r="A1832" i="14"/>
  <c r="S1831" i="14"/>
  <c r="R1831" i="14"/>
  <c r="Q1831" i="14"/>
  <c r="P1831" i="14"/>
  <c r="A1831" i="14"/>
  <c r="S1830" i="14"/>
  <c r="R1830" i="14"/>
  <c r="Q1830" i="14"/>
  <c r="P1830" i="14"/>
  <c r="A1830" i="14"/>
  <c r="S1829" i="14"/>
  <c r="R1829" i="14"/>
  <c r="Q1829" i="14"/>
  <c r="P1829" i="14"/>
  <c r="A1829" i="14"/>
  <c r="S1828" i="14"/>
  <c r="R1828" i="14"/>
  <c r="Q1828" i="14"/>
  <c r="P1828" i="14"/>
  <c r="A1828" i="14"/>
  <c r="S1827" i="14"/>
  <c r="R1827" i="14"/>
  <c r="Q1827" i="14"/>
  <c r="P1827" i="14"/>
  <c r="A1827" i="14"/>
  <c r="S1826" i="14"/>
  <c r="R1826" i="14"/>
  <c r="Q1826" i="14"/>
  <c r="P1826" i="14"/>
  <c r="A1826" i="14"/>
  <c r="S1825" i="14"/>
  <c r="R1825" i="14"/>
  <c r="Q1825" i="14"/>
  <c r="P1825" i="14"/>
  <c r="A1825" i="14"/>
  <c r="S1824" i="14"/>
  <c r="R1824" i="14"/>
  <c r="Q1824" i="14"/>
  <c r="P1824" i="14"/>
  <c r="A1824" i="14"/>
  <c r="S1823" i="14"/>
  <c r="R1823" i="14"/>
  <c r="Q1823" i="14"/>
  <c r="P1823" i="14"/>
  <c r="A1823" i="14"/>
  <c r="S1822" i="14"/>
  <c r="R1822" i="14"/>
  <c r="Q1822" i="14"/>
  <c r="P1822" i="14"/>
  <c r="A1822" i="14"/>
  <c r="S1821" i="14"/>
  <c r="R1821" i="14"/>
  <c r="Q1821" i="14"/>
  <c r="P1821" i="14"/>
  <c r="A1821" i="14"/>
  <c r="S1820" i="14"/>
  <c r="R1820" i="14"/>
  <c r="Q1820" i="14"/>
  <c r="P1820" i="14"/>
  <c r="A1820" i="14"/>
  <c r="S1819" i="14"/>
  <c r="R1819" i="14"/>
  <c r="Q1819" i="14"/>
  <c r="P1819" i="14"/>
  <c r="A1819" i="14"/>
  <c r="S1818" i="14"/>
  <c r="R1818" i="14"/>
  <c r="Q1818" i="14"/>
  <c r="P1818" i="14"/>
  <c r="A1818" i="14"/>
  <c r="S1817" i="14"/>
  <c r="R1817" i="14"/>
  <c r="Q1817" i="14"/>
  <c r="P1817" i="14"/>
  <c r="A1817" i="14"/>
  <c r="S1816" i="14"/>
  <c r="R1816" i="14"/>
  <c r="Q1816" i="14"/>
  <c r="P1816" i="14"/>
  <c r="A1816" i="14"/>
  <c r="S1815" i="14"/>
  <c r="R1815" i="14"/>
  <c r="Q1815" i="14"/>
  <c r="P1815" i="14"/>
  <c r="A1815" i="14"/>
  <c r="S1814" i="14"/>
  <c r="R1814" i="14"/>
  <c r="Q1814" i="14"/>
  <c r="P1814" i="14"/>
  <c r="A1814" i="14"/>
  <c r="S1813" i="14"/>
  <c r="R1813" i="14"/>
  <c r="Q1813" i="14"/>
  <c r="P1813" i="14"/>
  <c r="A1813" i="14"/>
  <c r="S1812" i="14"/>
  <c r="R1812" i="14"/>
  <c r="Q1812" i="14"/>
  <c r="P1812" i="14"/>
  <c r="A1812" i="14"/>
  <c r="S1811" i="14"/>
  <c r="R1811" i="14"/>
  <c r="Q1811" i="14"/>
  <c r="P1811" i="14"/>
  <c r="A1811" i="14"/>
  <c r="S1810" i="14"/>
  <c r="R1810" i="14"/>
  <c r="Q1810" i="14"/>
  <c r="P1810" i="14"/>
  <c r="A1810" i="14"/>
  <c r="S1809" i="14"/>
  <c r="R1809" i="14"/>
  <c r="Q1809" i="14"/>
  <c r="P1809" i="14"/>
  <c r="A1809" i="14"/>
  <c r="S1808" i="14"/>
  <c r="R1808" i="14"/>
  <c r="Q1808" i="14"/>
  <c r="P1808" i="14"/>
  <c r="A1808" i="14"/>
  <c r="S1807" i="14"/>
  <c r="R1807" i="14"/>
  <c r="Q1807" i="14"/>
  <c r="P1807" i="14"/>
  <c r="A1807" i="14"/>
  <c r="S1806" i="14"/>
  <c r="R1806" i="14"/>
  <c r="Q1806" i="14"/>
  <c r="P1806" i="14"/>
  <c r="A1806" i="14"/>
  <c r="S1805" i="14"/>
  <c r="R1805" i="14"/>
  <c r="Q1805" i="14"/>
  <c r="P1805" i="14"/>
  <c r="A1805" i="14"/>
  <c r="S1804" i="14"/>
  <c r="R1804" i="14"/>
  <c r="Q1804" i="14"/>
  <c r="P1804" i="14"/>
  <c r="A1804" i="14"/>
  <c r="S1803" i="14"/>
  <c r="R1803" i="14"/>
  <c r="Q1803" i="14"/>
  <c r="P1803" i="14"/>
  <c r="A1803" i="14"/>
  <c r="S1802" i="14"/>
  <c r="R1802" i="14"/>
  <c r="Q1802" i="14"/>
  <c r="P1802" i="14"/>
  <c r="A1802" i="14"/>
  <c r="S1801" i="14"/>
  <c r="R1801" i="14"/>
  <c r="Q1801" i="14"/>
  <c r="P1801" i="14"/>
  <c r="A1801" i="14"/>
  <c r="S1800" i="14"/>
  <c r="R1800" i="14"/>
  <c r="Q1800" i="14"/>
  <c r="P1800" i="14"/>
  <c r="A1800" i="14"/>
  <c r="S1799" i="14"/>
  <c r="R1799" i="14"/>
  <c r="Q1799" i="14"/>
  <c r="P1799" i="14"/>
  <c r="A1799" i="14"/>
  <c r="S1798" i="14"/>
  <c r="R1798" i="14"/>
  <c r="Q1798" i="14"/>
  <c r="P1798" i="14"/>
  <c r="A1798" i="14"/>
  <c r="S1797" i="14"/>
  <c r="R1797" i="14"/>
  <c r="Q1797" i="14"/>
  <c r="P1797" i="14"/>
  <c r="A1797" i="14"/>
  <c r="S1796" i="14"/>
  <c r="R1796" i="14"/>
  <c r="Q1796" i="14"/>
  <c r="P1796" i="14"/>
  <c r="A1796" i="14"/>
  <c r="S1795" i="14"/>
  <c r="R1795" i="14"/>
  <c r="Q1795" i="14"/>
  <c r="P1795" i="14"/>
  <c r="A1795" i="14"/>
  <c r="S1794" i="14"/>
  <c r="R1794" i="14"/>
  <c r="Q1794" i="14"/>
  <c r="P1794" i="14"/>
  <c r="A1794" i="14"/>
  <c r="S1793" i="14"/>
  <c r="R1793" i="14"/>
  <c r="Q1793" i="14"/>
  <c r="P1793" i="14"/>
  <c r="A1793" i="14"/>
  <c r="S1792" i="14"/>
  <c r="R1792" i="14"/>
  <c r="Q1792" i="14"/>
  <c r="P1792" i="14"/>
  <c r="A1792" i="14"/>
  <c r="S1791" i="14"/>
  <c r="R1791" i="14"/>
  <c r="Q1791" i="14"/>
  <c r="P1791" i="14"/>
  <c r="A1791" i="14"/>
  <c r="S1790" i="14"/>
  <c r="R1790" i="14"/>
  <c r="Q1790" i="14"/>
  <c r="P1790" i="14"/>
  <c r="A1790" i="14"/>
  <c r="S1789" i="14"/>
  <c r="R1789" i="14"/>
  <c r="Q1789" i="14"/>
  <c r="P1789" i="14"/>
  <c r="A1789" i="14"/>
  <c r="S1788" i="14"/>
  <c r="R1788" i="14"/>
  <c r="Q1788" i="14"/>
  <c r="P1788" i="14"/>
  <c r="A1788" i="14"/>
  <c r="S1787" i="14"/>
  <c r="R1787" i="14"/>
  <c r="Q1787" i="14"/>
  <c r="P1787" i="14"/>
  <c r="A1787" i="14"/>
  <c r="S1786" i="14"/>
  <c r="R1786" i="14"/>
  <c r="Q1786" i="14"/>
  <c r="P1786" i="14"/>
  <c r="A1786" i="14"/>
  <c r="S1785" i="14"/>
  <c r="R1785" i="14"/>
  <c r="Q1785" i="14"/>
  <c r="P1785" i="14"/>
  <c r="A1785" i="14"/>
  <c r="S1784" i="14"/>
  <c r="R1784" i="14"/>
  <c r="Q1784" i="14"/>
  <c r="P1784" i="14"/>
  <c r="A1784" i="14"/>
  <c r="S1783" i="14"/>
  <c r="R1783" i="14"/>
  <c r="Q1783" i="14"/>
  <c r="P1783" i="14"/>
  <c r="A1783" i="14"/>
  <c r="S1782" i="14"/>
  <c r="R1782" i="14"/>
  <c r="Q1782" i="14"/>
  <c r="P1782" i="14"/>
  <c r="A1782" i="14"/>
  <c r="S1781" i="14"/>
  <c r="R1781" i="14"/>
  <c r="Q1781" i="14"/>
  <c r="P1781" i="14"/>
  <c r="A1781" i="14"/>
  <c r="S1780" i="14"/>
  <c r="R1780" i="14"/>
  <c r="Q1780" i="14"/>
  <c r="P1780" i="14"/>
  <c r="A1780" i="14"/>
  <c r="S1779" i="14"/>
  <c r="R1779" i="14"/>
  <c r="Q1779" i="14"/>
  <c r="P1779" i="14"/>
  <c r="A1779" i="14"/>
  <c r="S1778" i="14"/>
  <c r="R1778" i="14"/>
  <c r="Q1778" i="14"/>
  <c r="P1778" i="14"/>
  <c r="A1778" i="14"/>
  <c r="S1777" i="14"/>
  <c r="R1777" i="14"/>
  <c r="Q1777" i="14"/>
  <c r="P1777" i="14"/>
  <c r="A1777" i="14"/>
  <c r="S1776" i="14"/>
  <c r="R1776" i="14"/>
  <c r="Q1776" i="14"/>
  <c r="P1776" i="14"/>
  <c r="A1776" i="14"/>
  <c r="S1775" i="14"/>
  <c r="R1775" i="14"/>
  <c r="Q1775" i="14"/>
  <c r="P1775" i="14"/>
  <c r="A1775" i="14"/>
  <c r="S1774" i="14"/>
  <c r="R1774" i="14"/>
  <c r="Q1774" i="14"/>
  <c r="P1774" i="14"/>
  <c r="A1774" i="14"/>
  <c r="S1773" i="14"/>
  <c r="R1773" i="14"/>
  <c r="Q1773" i="14"/>
  <c r="P1773" i="14"/>
  <c r="A1773" i="14"/>
  <c r="S1772" i="14"/>
  <c r="R1772" i="14"/>
  <c r="Q1772" i="14"/>
  <c r="P1772" i="14"/>
  <c r="A1772" i="14"/>
  <c r="S1771" i="14"/>
  <c r="R1771" i="14"/>
  <c r="Q1771" i="14"/>
  <c r="P1771" i="14"/>
  <c r="A1771" i="14"/>
  <c r="S1770" i="14"/>
  <c r="R1770" i="14"/>
  <c r="Q1770" i="14"/>
  <c r="P1770" i="14"/>
  <c r="A1770" i="14"/>
  <c r="S1769" i="14"/>
  <c r="R1769" i="14"/>
  <c r="Q1769" i="14"/>
  <c r="P1769" i="14"/>
  <c r="A1769" i="14"/>
  <c r="S1768" i="14"/>
  <c r="R1768" i="14"/>
  <c r="Q1768" i="14"/>
  <c r="P1768" i="14"/>
  <c r="A1768" i="14"/>
  <c r="S1767" i="14"/>
  <c r="R1767" i="14"/>
  <c r="Q1767" i="14"/>
  <c r="P1767" i="14"/>
  <c r="A1767" i="14"/>
  <c r="S1766" i="14"/>
  <c r="R1766" i="14"/>
  <c r="Q1766" i="14"/>
  <c r="P1766" i="14"/>
  <c r="A1766" i="14"/>
  <c r="S1765" i="14"/>
  <c r="R1765" i="14"/>
  <c r="Q1765" i="14"/>
  <c r="P1765" i="14"/>
  <c r="A1765" i="14"/>
  <c r="S1764" i="14"/>
  <c r="R1764" i="14"/>
  <c r="Q1764" i="14"/>
  <c r="P1764" i="14"/>
  <c r="A1764" i="14"/>
  <c r="S1763" i="14"/>
  <c r="R1763" i="14"/>
  <c r="Q1763" i="14"/>
  <c r="P1763" i="14"/>
  <c r="A1763" i="14"/>
  <c r="S1762" i="14"/>
  <c r="R1762" i="14"/>
  <c r="Q1762" i="14"/>
  <c r="P1762" i="14"/>
  <c r="A1762" i="14"/>
  <c r="S1761" i="14"/>
  <c r="R1761" i="14"/>
  <c r="Q1761" i="14"/>
  <c r="P1761" i="14"/>
  <c r="A1761" i="14"/>
  <c r="S1760" i="14"/>
  <c r="R1760" i="14"/>
  <c r="Q1760" i="14"/>
  <c r="P1760" i="14"/>
  <c r="A1760" i="14"/>
  <c r="S1759" i="14"/>
  <c r="R1759" i="14"/>
  <c r="Q1759" i="14"/>
  <c r="P1759" i="14"/>
  <c r="A1759" i="14"/>
  <c r="S1758" i="14"/>
  <c r="R1758" i="14"/>
  <c r="Q1758" i="14"/>
  <c r="P1758" i="14"/>
  <c r="A1758" i="14"/>
  <c r="S1757" i="14"/>
  <c r="R1757" i="14"/>
  <c r="Q1757" i="14"/>
  <c r="P1757" i="14"/>
  <c r="A1757" i="14"/>
  <c r="S1756" i="14"/>
  <c r="R1756" i="14"/>
  <c r="Q1756" i="14"/>
  <c r="P1756" i="14"/>
  <c r="A1756" i="14"/>
  <c r="S1755" i="14"/>
  <c r="R1755" i="14"/>
  <c r="Q1755" i="14"/>
  <c r="P1755" i="14"/>
  <c r="A1755" i="14"/>
  <c r="S1754" i="14"/>
  <c r="R1754" i="14"/>
  <c r="Q1754" i="14"/>
  <c r="P1754" i="14"/>
  <c r="A1754" i="14"/>
  <c r="S1753" i="14"/>
  <c r="R1753" i="14"/>
  <c r="Q1753" i="14"/>
  <c r="P1753" i="14"/>
  <c r="A1753" i="14"/>
  <c r="S1752" i="14"/>
  <c r="R1752" i="14"/>
  <c r="Q1752" i="14"/>
  <c r="P1752" i="14"/>
  <c r="A1752" i="14"/>
  <c r="S1751" i="14"/>
  <c r="R1751" i="14"/>
  <c r="Q1751" i="14"/>
  <c r="P1751" i="14"/>
  <c r="A1751" i="14"/>
  <c r="S1750" i="14"/>
  <c r="R1750" i="14"/>
  <c r="Q1750" i="14"/>
  <c r="P1750" i="14"/>
  <c r="A1750" i="14"/>
  <c r="S1749" i="14"/>
  <c r="R1749" i="14"/>
  <c r="Q1749" i="14"/>
  <c r="P1749" i="14"/>
  <c r="A1749" i="14"/>
  <c r="S1748" i="14"/>
  <c r="R1748" i="14"/>
  <c r="Q1748" i="14"/>
  <c r="P1748" i="14"/>
  <c r="A1748" i="14"/>
  <c r="S1747" i="14"/>
  <c r="R1747" i="14"/>
  <c r="Q1747" i="14"/>
  <c r="P1747" i="14"/>
  <c r="A1747" i="14"/>
  <c r="S1746" i="14"/>
  <c r="R1746" i="14"/>
  <c r="Q1746" i="14"/>
  <c r="P1746" i="14"/>
  <c r="A1746" i="14"/>
  <c r="S1745" i="14"/>
  <c r="R1745" i="14"/>
  <c r="Q1745" i="14"/>
  <c r="P1745" i="14"/>
  <c r="A1745" i="14"/>
  <c r="S1744" i="14"/>
  <c r="R1744" i="14"/>
  <c r="Q1744" i="14"/>
  <c r="P1744" i="14"/>
  <c r="A1744" i="14"/>
  <c r="S1743" i="14"/>
  <c r="R1743" i="14"/>
  <c r="Q1743" i="14"/>
  <c r="P1743" i="14"/>
  <c r="A1743" i="14"/>
  <c r="S1742" i="14"/>
  <c r="R1742" i="14"/>
  <c r="Q1742" i="14"/>
  <c r="P1742" i="14"/>
  <c r="A1742" i="14"/>
  <c r="S1741" i="14"/>
  <c r="R1741" i="14"/>
  <c r="Q1741" i="14"/>
  <c r="P1741" i="14"/>
  <c r="A1741" i="14"/>
  <c r="S1740" i="14"/>
  <c r="R1740" i="14"/>
  <c r="Q1740" i="14"/>
  <c r="P1740" i="14"/>
  <c r="A1740" i="14"/>
  <c r="S1739" i="14"/>
  <c r="R1739" i="14"/>
  <c r="Q1739" i="14"/>
  <c r="P1739" i="14"/>
  <c r="A1739" i="14"/>
  <c r="S1738" i="14"/>
  <c r="R1738" i="14"/>
  <c r="Q1738" i="14"/>
  <c r="P1738" i="14"/>
  <c r="A1738" i="14"/>
  <c r="S1737" i="14"/>
  <c r="R1737" i="14"/>
  <c r="Q1737" i="14"/>
  <c r="P1737" i="14"/>
  <c r="A1737" i="14"/>
  <c r="S1736" i="14"/>
  <c r="R1736" i="14"/>
  <c r="Q1736" i="14"/>
  <c r="P1736" i="14"/>
  <c r="A1736" i="14"/>
  <c r="S1735" i="14"/>
  <c r="R1735" i="14"/>
  <c r="Q1735" i="14"/>
  <c r="P1735" i="14"/>
  <c r="A1735" i="14"/>
  <c r="S1734" i="14"/>
  <c r="R1734" i="14"/>
  <c r="Q1734" i="14"/>
  <c r="P1734" i="14"/>
  <c r="A1734" i="14"/>
  <c r="S1733" i="14"/>
  <c r="R1733" i="14"/>
  <c r="Q1733" i="14"/>
  <c r="P1733" i="14"/>
  <c r="A1733" i="14"/>
  <c r="S1732" i="14"/>
  <c r="R1732" i="14"/>
  <c r="Q1732" i="14"/>
  <c r="P1732" i="14"/>
  <c r="A1732" i="14"/>
  <c r="S1731" i="14"/>
  <c r="R1731" i="14"/>
  <c r="Q1731" i="14"/>
  <c r="P1731" i="14"/>
  <c r="A1731" i="14"/>
  <c r="S1730" i="14"/>
  <c r="R1730" i="14"/>
  <c r="Q1730" i="14"/>
  <c r="P1730" i="14"/>
  <c r="A1730" i="14"/>
  <c r="S1729" i="14"/>
  <c r="R1729" i="14"/>
  <c r="Q1729" i="14"/>
  <c r="P1729" i="14"/>
  <c r="A1729" i="14"/>
  <c r="S1728" i="14"/>
  <c r="R1728" i="14"/>
  <c r="Q1728" i="14"/>
  <c r="P1728" i="14"/>
  <c r="A1728" i="14"/>
  <c r="S1727" i="14"/>
  <c r="R1727" i="14"/>
  <c r="Q1727" i="14"/>
  <c r="P1727" i="14"/>
  <c r="A1727" i="14"/>
  <c r="S1726" i="14"/>
  <c r="R1726" i="14"/>
  <c r="Q1726" i="14"/>
  <c r="P1726" i="14"/>
  <c r="A1726" i="14"/>
  <c r="S1725" i="14"/>
  <c r="R1725" i="14"/>
  <c r="Q1725" i="14"/>
  <c r="P1725" i="14"/>
  <c r="A1725" i="14"/>
  <c r="S1724" i="14"/>
  <c r="R1724" i="14"/>
  <c r="Q1724" i="14"/>
  <c r="P1724" i="14"/>
  <c r="A1724" i="14"/>
  <c r="S1723" i="14"/>
  <c r="R1723" i="14"/>
  <c r="Q1723" i="14"/>
  <c r="P1723" i="14"/>
  <c r="A1723" i="14"/>
  <c r="S1722" i="14"/>
  <c r="R1722" i="14"/>
  <c r="Q1722" i="14"/>
  <c r="P1722" i="14"/>
  <c r="A1722" i="14"/>
  <c r="S1721" i="14"/>
  <c r="R1721" i="14"/>
  <c r="Q1721" i="14"/>
  <c r="P1721" i="14"/>
  <c r="A1721" i="14"/>
  <c r="S1720" i="14"/>
  <c r="R1720" i="14"/>
  <c r="Q1720" i="14"/>
  <c r="P1720" i="14"/>
  <c r="A1720" i="14"/>
  <c r="S1719" i="14"/>
  <c r="R1719" i="14"/>
  <c r="Q1719" i="14"/>
  <c r="P1719" i="14"/>
  <c r="A1719" i="14"/>
  <c r="S1718" i="14"/>
  <c r="R1718" i="14"/>
  <c r="Q1718" i="14"/>
  <c r="P1718" i="14"/>
  <c r="A1718" i="14"/>
  <c r="S1717" i="14"/>
  <c r="R1717" i="14"/>
  <c r="Q1717" i="14"/>
  <c r="P1717" i="14"/>
  <c r="A1717" i="14"/>
  <c r="S1716" i="14"/>
  <c r="R1716" i="14"/>
  <c r="Q1716" i="14"/>
  <c r="P1716" i="14"/>
  <c r="A1716" i="14"/>
  <c r="S1715" i="14"/>
  <c r="R1715" i="14"/>
  <c r="Q1715" i="14"/>
  <c r="P1715" i="14"/>
  <c r="A1715" i="14"/>
  <c r="S1714" i="14"/>
  <c r="R1714" i="14"/>
  <c r="Q1714" i="14"/>
  <c r="P1714" i="14"/>
  <c r="A1714" i="14"/>
  <c r="S1713" i="14"/>
  <c r="R1713" i="14"/>
  <c r="Q1713" i="14"/>
  <c r="P1713" i="14"/>
  <c r="A1713" i="14"/>
  <c r="S1712" i="14"/>
  <c r="R1712" i="14"/>
  <c r="Q1712" i="14"/>
  <c r="P1712" i="14"/>
  <c r="A1712" i="14"/>
  <c r="S1711" i="14"/>
  <c r="R1711" i="14"/>
  <c r="Q1711" i="14"/>
  <c r="P1711" i="14"/>
  <c r="A1711" i="14"/>
  <c r="S1710" i="14"/>
  <c r="R1710" i="14"/>
  <c r="Q1710" i="14"/>
  <c r="P1710" i="14"/>
  <c r="A1710" i="14"/>
  <c r="S1709" i="14"/>
  <c r="R1709" i="14"/>
  <c r="Q1709" i="14"/>
  <c r="P1709" i="14"/>
  <c r="A1709" i="14"/>
  <c r="S1708" i="14"/>
  <c r="R1708" i="14"/>
  <c r="Q1708" i="14"/>
  <c r="P1708" i="14"/>
  <c r="A1708" i="14"/>
  <c r="S1707" i="14"/>
  <c r="R1707" i="14"/>
  <c r="Q1707" i="14"/>
  <c r="P1707" i="14"/>
  <c r="A1707" i="14"/>
  <c r="S1706" i="14"/>
  <c r="R1706" i="14"/>
  <c r="Q1706" i="14"/>
  <c r="P1706" i="14"/>
  <c r="A1706" i="14"/>
  <c r="S1705" i="14"/>
  <c r="R1705" i="14"/>
  <c r="Q1705" i="14"/>
  <c r="P1705" i="14"/>
  <c r="A1705" i="14"/>
  <c r="S1704" i="14"/>
  <c r="R1704" i="14"/>
  <c r="Q1704" i="14"/>
  <c r="P1704" i="14"/>
  <c r="A1704" i="14"/>
  <c r="S1703" i="14"/>
  <c r="R1703" i="14"/>
  <c r="Q1703" i="14"/>
  <c r="P1703" i="14"/>
  <c r="A1703" i="14"/>
  <c r="S1702" i="14"/>
  <c r="R1702" i="14"/>
  <c r="Q1702" i="14"/>
  <c r="P1702" i="14"/>
  <c r="A1702" i="14"/>
  <c r="S1701" i="14"/>
  <c r="R1701" i="14"/>
  <c r="Q1701" i="14"/>
  <c r="P1701" i="14"/>
  <c r="A1701" i="14"/>
  <c r="S1700" i="14"/>
  <c r="R1700" i="14"/>
  <c r="Q1700" i="14"/>
  <c r="P1700" i="14"/>
  <c r="A1700" i="14"/>
  <c r="S1699" i="14"/>
  <c r="R1699" i="14"/>
  <c r="Q1699" i="14"/>
  <c r="P1699" i="14"/>
  <c r="A1699" i="14"/>
  <c r="S1698" i="14"/>
  <c r="R1698" i="14"/>
  <c r="Q1698" i="14"/>
  <c r="P1698" i="14"/>
  <c r="A1698" i="14"/>
  <c r="S1697" i="14"/>
  <c r="R1697" i="14"/>
  <c r="Q1697" i="14"/>
  <c r="P1697" i="14"/>
  <c r="A1697" i="14"/>
  <c r="S1696" i="14"/>
  <c r="R1696" i="14"/>
  <c r="Q1696" i="14"/>
  <c r="P1696" i="14"/>
  <c r="A1696" i="14"/>
  <c r="S1695" i="14"/>
  <c r="R1695" i="14"/>
  <c r="Q1695" i="14"/>
  <c r="P1695" i="14"/>
  <c r="A1695" i="14"/>
  <c r="S1694" i="14"/>
  <c r="R1694" i="14"/>
  <c r="Q1694" i="14"/>
  <c r="P1694" i="14"/>
  <c r="A1694" i="14"/>
  <c r="S1693" i="14"/>
  <c r="R1693" i="14"/>
  <c r="Q1693" i="14"/>
  <c r="P1693" i="14"/>
  <c r="A1693" i="14"/>
  <c r="S1692" i="14"/>
  <c r="R1692" i="14"/>
  <c r="Q1692" i="14"/>
  <c r="P1692" i="14"/>
  <c r="A1692" i="14"/>
  <c r="S1691" i="14"/>
  <c r="R1691" i="14"/>
  <c r="Q1691" i="14"/>
  <c r="P1691" i="14"/>
  <c r="A1691" i="14"/>
  <c r="S1690" i="14"/>
  <c r="R1690" i="14"/>
  <c r="Q1690" i="14"/>
  <c r="P1690" i="14"/>
  <c r="A1690" i="14"/>
  <c r="S1689" i="14"/>
  <c r="R1689" i="14"/>
  <c r="Q1689" i="14"/>
  <c r="P1689" i="14"/>
  <c r="A1689" i="14"/>
  <c r="S1688" i="14"/>
  <c r="R1688" i="14"/>
  <c r="Q1688" i="14"/>
  <c r="P1688" i="14"/>
  <c r="A1688" i="14"/>
  <c r="S1687" i="14"/>
  <c r="R1687" i="14"/>
  <c r="Q1687" i="14"/>
  <c r="P1687" i="14"/>
  <c r="A1687" i="14"/>
  <c r="S1686" i="14"/>
  <c r="R1686" i="14"/>
  <c r="Q1686" i="14"/>
  <c r="P1686" i="14"/>
  <c r="A1686" i="14"/>
  <c r="S1685" i="14"/>
  <c r="R1685" i="14"/>
  <c r="Q1685" i="14"/>
  <c r="P1685" i="14"/>
  <c r="A1685" i="14"/>
  <c r="S1684" i="14"/>
  <c r="R1684" i="14"/>
  <c r="Q1684" i="14"/>
  <c r="P1684" i="14"/>
  <c r="A1684" i="14"/>
  <c r="S1683" i="14"/>
  <c r="R1683" i="14"/>
  <c r="Q1683" i="14"/>
  <c r="P1683" i="14"/>
  <c r="A1683" i="14"/>
  <c r="S1682" i="14"/>
  <c r="R1682" i="14"/>
  <c r="Q1682" i="14"/>
  <c r="P1682" i="14"/>
  <c r="A1682" i="14"/>
  <c r="S1681" i="14"/>
  <c r="R1681" i="14"/>
  <c r="Q1681" i="14"/>
  <c r="P1681" i="14"/>
  <c r="A1681" i="14"/>
  <c r="S1680" i="14"/>
  <c r="R1680" i="14"/>
  <c r="Q1680" i="14"/>
  <c r="P1680" i="14"/>
  <c r="A1680" i="14"/>
  <c r="S1679" i="14"/>
  <c r="R1679" i="14"/>
  <c r="Q1679" i="14"/>
  <c r="P1679" i="14"/>
  <c r="A1679" i="14"/>
  <c r="S1678" i="14"/>
  <c r="R1678" i="14"/>
  <c r="Q1678" i="14"/>
  <c r="P1678" i="14"/>
  <c r="A1678" i="14"/>
  <c r="S1677" i="14"/>
  <c r="R1677" i="14"/>
  <c r="Q1677" i="14"/>
  <c r="P1677" i="14"/>
  <c r="A1677" i="14"/>
  <c r="S1676" i="14"/>
  <c r="R1676" i="14"/>
  <c r="Q1676" i="14"/>
  <c r="P1676" i="14"/>
  <c r="A1676" i="14"/>
  <c r="S1675" i="14"/>
  <c r="R1675" i="14"/>
  <c r="Q1675" i="14"/>
  <c r="P1675" i="14"/>
  <c r="A1675" i="14"/>
  <c r="S1674" i="14"/>
  <c r="R1674" i="14"/>
  <c r="Q1674" i="14"/>
  <c r="P1674" i="14"/>
  <c r="A1674" i="14"/>
  <c r="S1673" i="14"/>
  <c r="R1673" i="14"/>
  <c r="Q1673" i="14"/>
  <c r="P1673" i="14"/>
  <c r="A1673" i="14"/>
  <c r="S1672" i="14"/>
  <c r="R1672" i="14"/>
  <c r="Q1672" i="14"/>
  <c r="P1672" i="14"/>
  <c r="A1672" i="14"/>
  <c r="S1671" i="14"/>
  <c r="R1671" i="14"/>
  <c r="Q1671" i="14"/>
  <c r="P1671" i="14"/>
  <c r="A1671" i="14"/>
  <c r="S1670" i="14"/>
  <c r="R1670" i="14"/>
  <c r="Q1670" i="14"/>
  <c r="P1670" i="14"/>
  <c r="A1670" i="14"/>
  <c r="S1669" i="14"/>
  <c r="R1669" i="14"/>
  <c r="Q1669" i="14"/>
  <c r="P1669" i="14"/>
  <c r="A1669" i="14"/>
  <c r="S1668" i="14"/>
  <c r="R1668" i="14"/>
  <c r="Q1668" i="14"/>
  <c r="P1668" i="14"/>
  <c r="A1668" i="14"/>
  <c r="S1667" i="14"/>
  <c r="R1667" i="14"/>
  <c r="Q1667" i="14"/>
  <c r="P1667" i="14"/>
  <c r="A1667" i="14"/>
  <c r="S1666" i="14"/>
  <c r="R1666" i="14"/>
  <c r="Q1666" i="14"/>
  <c r="P1666" i="14"/>
  <c r="A1666" i="14"/>
  <c r="S1665" i="14"/>
  <c r="R1665" i="14"/>
  <c r="Q1665" i="14"/>
  <c r="P1665" i="14"/>
  <c r="A1665" i="14"/>
  <c r="S1664" i="14"/>
  <c r="R1664" i="14"/>
  <c r="Q1664" i="14"/>
  <c r="P1664" i="14"/>
  <c r="A1664" i="14"/>
  <c r="S1663" i="14"/>
  <c r="R1663" i="14"/>
  <c r="Q1663" i="14"/>
  <c r="P1663" i="14"/>
  <c r="A1663" i="14"/>
  <c r="S1662" i="14"/>
  <c r="R1662" i="14"/>
  <c r="Q1662" i="14"/>
  <c r="P1662" i="14"/>
  <c r="A1662" i="14"/>
  <c r="S1661" i="14"/>
  <c r="R1661" i="14"/>
  <c r="Q1661" i="14"/>
  <c r="P1661" i="14"/>
  <c r="A1661" i="14"/>
  <c r="S1660" i="14"/>
  <c r="R1660" i="14"/>
  <c r="Q1660" i="14"/>
  <c r="P1660" i="14"/>
  <c r="A1660" i="14"/>
  <c r="S1659" i="14"/>
  <c r="R1659" i="14"/>
  <c r="Q1659" i="14"/>
  <c r="P1659" i="14"/>
  <c r="A1659" i="14"/>
  <c r="S1658" i="14"/>
  <c r="R1658" i="14"/>
  <c r="Q1658" i="14"/>
  <c r="P1658" i="14"/>
  <c r="A1658" i="14"/>
  <c r="S1657" i="14"/>
  <c r="R1657" i="14"/>
  <c r="Q1657" i="14"/>
  <c r="P1657" i="14"/>
  <c r="A1657" i="14"/>
  <c r="S1656" i="14"/>
  <c r="R1656" i="14"/>
  <c r="Q1656" i="14"/>
  <c r="P1656" i="14"/>
  <c r="A1656" i="14"/>
  <c r="S1655" i="14"/>
  <c r="R1655" i="14"/>
  <c r="Q1655" i="14"/>
  <c r="P1655" i="14"/>
  <c r="A1655" i="14"/>
  <c r="S1654" i="14"/>
  <c r="R1654" i="14"/>
  <c r="Q1654" i="14"/>
  <c r="P1654" i="14"/>
  <c r="A1654" i="14"/>
  <c r="S1653" i="14"/>
  <c r="R1653" i="14"/>
  <c r="Q1653" i="14"/>
  <c r="P1653" i="14"/>
  <c r="A1653" i="14"/>
  <c r="S1652" i="14"/>
  <c r="R1652" i="14"/>
  <c r="Q1652" i="14"/>
  <c r="P1652" i="14"/>
  <c r="A1652" i="14"/>
  <c r="S1651" i="14"/>
  <c r="R1651" i="14"/>
  <c r="Q1651" i="14"/>
  <c r="P1651" i="14"/>
  <c r="A1651" i="14"/>
  <c r="S1650" i="14"/>
  <c r="R1650" i="14"/>
  <c r="Q1650" i="14"/>
  <c r="P1650" i="14"/>
  <c r="A1650" i="14"/>
  <c r="S1649" i="14"/>
  <c r="R1649" i="14"/>
  <c r="Q1649" i="14"/>
  <c r="P1649" i="14"/>
  <c r="A1649" i="14"/>
  <c r="S1648" i="14"/>
  <c r="R1648" i="14"/>
  <c r="Q1648" i="14"/>
  <c r="P1648" i="14"/>
  <c r="A1648" i="14"/>
  <c r="S1647" i="14"/>
  <c r="R1647" i="14"/>
  <c r="Q1647" i="14"/>
  <c r="P1647" i="14"/>
  <c r="A1647" i="14"/>
  <c r="S1646" i="14"/>
  <c r="R1646" i="14"/>
  <c r="Q1646" i="14"/>
  <c r="P1646" i="14"/>
  <c r="A1646" i="14"/>
  <c r="S1645" i="14"/>
  <c r="R1645" i="14"/>
  <c r="Q1645" i="14"/>
  <c r="P1645" i="14"/>
  <c r="A1645" i="14"/>
  <c r="S1644" i="14"/>
  <c r="R1644" i="14"/>
  <c r="Q1644" i="14"/>
  <c r="P1644" i="14"/>
  <c r="A1644" i="14"/>
  <c r="S1643" i="14"/>
  <c r="R1643" i="14"/>
  <c r="Q1643" i="14"/>
  <c r="P1643" i="14"/>
  <c r="A1643" i="14"/>
  <c r="S1642" i="14"/>
  <c r="R1642" i="14"/>
  <c r="Q1642" i="14"/>
  <c r="P1642" i="14"/>
  <c r="A1642" i="14"/>
  <c r="S1641" i="14"/>
  <c r="R1641" i="14"/>
  <c r="Q1641" i="14"/>
  <c r="P1641" i="14"/>
  <c r="A1641" i="14"/>
  <c r="S1640" i="14"/>
  <c r="R1640" i="14"/>
  <c r="Q1640" i="14"/>
  <c r="P1640" i="14"/>
  <c r="A1640" i="14"/>
  <c r="S1639" i="14"/>
  <c r="R1639" i="14"/>
  <c r="Q1639" i="14"/>
  <c r="P1639" i="14"/>
  <c r="A1639" i="14"/>
  <c r="S1638" i="14"/>
  <c r="R1638" i="14"/>
  <c r="Q1638" i="14"/>
  <c r="P1638" i="14"/>
  <c r="A1638" i="14"/>
  <c r="S1637" i="14"/>
  <c r="R1637" i="14"/>
  <c r="Q1637" i="14"/>
  <c r="P1637" i="14"/>
  <c r="A1637" i="14"/>
  <c r="S1636" i="14"/>
  <c r="R1636" i="14"/>
  <c r="Q1636" i="14"/>
  <c r="P1636" i="14"/>
  <c r="A1636" i="14"/>
  <c r="S1635" i="14"/>
  <c r="R1635" i="14"/>
  <c r="Q1635" i="14"/>
  <c r="P1635" i="14"/>
  <c r="A1635" i="14"/>
  <c r="S1634" i="14"/>
  <c r="R1634" i="14"/>
  <c r="Q1634" i="14"/>
  <c r="P1634" i="14"/>
  <c r="A1634" i="14"/>
  <c r="S1633" i="14"/>
  <c r="R1633" i="14"/>
  <c r="Q1633" i="14"/>
  <c r="P1633" i="14"/>
  <c r="A1633" i="14"/>
  <c r="S1632" i="14"/>
  <c r="R1632" i="14"/>
  <c r="Q1632" i="14"/>
  <c r="P1632" i="14"/>
  <c r="A1632" i="14"/>
  <c r="S1631" i="14"/>
  <c r="R1631" i="14"/>
  <c r="Q1631" i="14"/>
  <c r="P1631" i="14"/>
  <c r="A1631" i="14"/>
  <c r="S1630" i="14"/>
  <c r="R1630" i="14"/>
  <c r="Q1630" i="14"/>
  <c r="P1630" i="14"/>
  <c r="A1630" i="14"/>
  <c r="S1629" i="14"/>
  <c r="R1629" i="14"/>
  <c r="Q1629" i="14"/>
  <c r="P1629" i="14"/>
  <c r="A1629" i="14"/>
  <c r="S1628" i="14"/>
  <c r="R1628" i="14"/>
  <c r="Q1628" i="14"/>
  <c r="P1628" i="14"/>
  <c r="A1628" i="14"/>
  <c r="S1627" i="14"/>
  <c r="R1627" i="14"/>
  <c r="Q1627" i="14"/>
  <c r="P1627" i="14"/>
  <c r="A1627" i="14"/>
  <c r="S1626" i="14"/>
  <c r="R1626" i="14"/>
  <c r="Q1626" i="14"/>
  <c r="P1626" i="14"/>
  <c r="A1626" i="14"/>
  <c r="S1625" i="14"/>
  <c r="R1625" i="14"/>
  <c r="Q1625" i="14"/>
  <c r="P1625" i="14"/>
  <c r="A1625" i="14"/>
  <c r="S1624" i="14"/>
  <c r="R1624" i="14"/>
  <c r="Q1624" i="14"/>
  <c r="P1624" i="14"/>
  <c r="A1624" i="14"/>
  <c r="S1623" i="14"/>
  <c r="R1623" i="14"/>
  <c r="Q1623" i="14"/>
  <c r="P1623" i="14"/>
  <c r="A1623" i="14"/>
  <c r="S1622" i="14"/>
  <c r="R1622" i="14"/>
  <c r="Q1622" i="14"/>
  <c r="P1622" i="14"/>
  <c r="A1622" i="14"/>
  <c r="S1621" i="14"/>
  <c r="R1621" i="14"/>
  <c r="Q1621" i="14"/>
  <c r="P1621" i="14"/>
  <c r="A1621" i="14"/>
  <c r="S1620" i="14"/>
  <c r="R1620" i="14"/>
  <c r="Q1620" i="14"/>
  <c r="P1620" i="14"/>
  <c r="A1620" i="14"/>
  <c r="S1619" i="14"/>
  <c r="R1619" i="14"/>
  <c r="Q1619" i="14"/>
  <c r="P1619" i="14"/>
  <c r="A1619" i="14"/>
  <c r="S1618" i="14"/>
  <c r="R1618" i="14"/>
  <c r="Q1618" i="14"/>
  <c r="P1618" i="14"/>
  <c r="A1618" i="14"/>
  <c r="S1617" i="14"/>
  <c r="R1617" i="14"/>
  <c r="Q1617" i="14"/>
  <c r="P1617" i="14"/>
  <c r="A1617" i="14"/>
  <c r="S1616" i="14"/>
  <c r="R1616" i="14"/>
  <c r="Q1616" i="14"/>
  <c r="P1616" i="14"/>
  <c r="A1616" i="14"/>
  <c r="S1615" i="14"/>
  <c r="R1615" i="14"/>
  <c r="Q1615" i="14"/>
  <c r="P1615" i="14"/>
  <c r="A1615" i="14"/>
  <c r="S1614" i="14"/>
  <c r="R1614" i="14"/>
  <c r="Q1614" i="14"/>
  <c r="P1614" i="14"/>
  <c r="A1614" i="14"/>
  <c r="S1613" i="14"/>
  <c r="R1613" i="14"/>
  <c r="Q1613" i="14"/>
  <c r="P1613" i="14"/>
  <c r="A1613" i="14"/>
  <c r="S1612" i="14"/>
  <c r="R1612" i="14"/>
  <c r="Q1612" i="14"/>
  <c r="P1612" i="14"/>
  <c r="A1612" i="14"/>
  <c r="S1611" i="14"/>
  <c r="R1611" i="14"/>
  <c r="Q1611" i="14"/>
  <c r="P1611" i="14"/>
  <c r="A1611" i="14"/>
  <c r="S1610" i="14"/>
  <c r="R1610" i="14"/>
  <c r="Q1610" i="14"/>
  <c r="P1610" i="14"/>
  <c r="A1610" i="14"/>
  <c r="S1609" i="14"/>
  <c r="R1609" i="14"/>
  <c r="Q1609" i="14"/>
  <c r="P1609" i="14"/>
  <c r="A1609" i="14"/>
  <c r="S1608" i="14"/>
  <c r="R1608" i="14"/>
  <c r="Q1608" i="14"/>
  <c r="P1608" i="14"/>
  <c r="A1608" i="14"/>
  <c r="S1607" i="14"/>
  <c r="R1607" i="14"/>
  <c r="Q1607" i="14"/>
  <c r="P1607" i="14"/>
  <c r="A1607" i="14"/>
  <c r="S1606" i="14"/>
  <c r="R1606" i="14"/>
  <c r="Q1606" i="14"/>
  <c r="P1606" i="14"/>
  <c r="A1606" i="14"/>
  <c r="S1605" i="14"/>
  <c r="R1605" i="14"/>
  <c r="Q1605" i="14"/>
  <c r="P1605" i="14"/>
  <c r="A1605" i="14"/>
  <c r="S1604" i="14"/>
  <c r="R1604" i="14"/>
  <c r="Q1604" i="14"/>
  <c r="P1604" i="14"/>
  <c r="A1604" i="14"/>
  <c r="S1603" i="14"/>
  <c r="R1603" i="14"/>
  <c r="Q1603" i="14"/>
  <c r="P1603" i="14"/>
  <c r="A1603" i="14"/>
  <c r="S1602" i="14"/>
  <c r="R1602" i="14"/>
  <c r="Q1602" i="14"/>
  <c r="P1602" i="14"/>
  <c r="A1602" i="14"/>
  <c r="S1601" i="14"/>
  <c r="R1601" i="14"/>
  <c r="Q1601" i="14"/>
  <c r="P1601" i="14"/>
  <c r="A1601" i="14"/>
  <c r="S1600" i="14"/>
  <c r="R1600" i="14"/>
  <c r="Q1600" i="14"/>
  <c r="P1600" i="14"/>
  <c r="A1600" i="14"/>
  <c r="S1599" i="14"/>
  <c r="R1599" i="14"/>
  <c r="Q1599" i="14"/>
  <c r="P1599" i="14"/>
  <c r="A1599" i="14"/>
  <c r="S1598" i="14"/>
  <c r="R1598" i="14"/>
  <c r="Q1598" i="14"/>
  <c r="P1598" i="14"/>
  <c r="A1598" i="14"/>
  <c r="S1597" i="14"/>
  <c r="R1597" i="14"/>
  <c r="Q1597" i="14"/>
  <c r="P1597" i="14"/>
  <c r="A1597" i="14"/>
  <c r="S1596" i="14"/>
  <c r="R1596" i="14"/>
  <c r="Q1596" i="14"/>
  <c r="P1596" i="14"/>
  <c r="A1596" i="14"/>
  <c r="S1595" i="14"/>
  <c r="R1595" i="14"/>
  <c r="Q1595" i="14"/>
  <c r="P1595" i="14"/>
  <c r="A1595" i="14"/>
  <c r="S1594" i="14"/>
  <c r="R1594" i="14"/>
  <c r="Q1594" i="14"/>
  <c r="P1594" i="14"/>
  <c r="A1594" i="14"/>
  <c r="S1593" i="14"/>
  <c r="R1593" i="14"/>
  <c r="Q1593" i="14"/>
  <c r="P1593" i="14"/>
  <c r="A1593" i="14"/>
  <c r="S1592" i="14"/>
  <c r="R1592" i="14"/>
  <c r="Q1592" i="14"/>
  <c r="P1592" i="14"/>
  <c r="A1592" i="14"/>
  <c r="S1591" i="14"/>
  <c r="R1591" i="14"/>
  <c r="Q1591" i="14"/>
  <c r="P1591" i="14"/>
  <c r="A1591" i="14"/>
  <c r="S1590" i="14"/>
  <c r="R1590" i="14"/>
  <c r="Q1590" i="14"/>
  <c r="P1590" i="14"/>
  <c r="A1590" i="14"/>
  <c r="S1589" i="14"/>
  <c r="R1589" i="14"/>
  <c r="Q1589" i="14"/>
  <c r="P1589" i="14"/>
  <c r="A1589" i="14"/>
  <c r="S1588" i="14"/>
  <c r="R1588" i="14"/>
  <c r="Q1588" i="14"/>
  <c r="P1588" i="14"/>
  <c r="A1588" i="14"/>
  <c r="S1587" i="14"/>
  <c r="R1587" i="14"/>
  <c r="Q1587" i="14"/>
  <c r="P1587" i="14"/>
  <c r="A1587" i="14"/>
  <c r="S1586" i="14"/>
  <c r="R1586" i="14"/>
  <c r="Q1586" i="14"/>
  <c r="P1586" i="14"/>
  <c r="A1586" i="14"/>
  <c r="S1585" i="14"/>
  <c r="R1585" i="14"/>
  <c r="Q1585" i="14"/>
  <c r="P1585" i="14"/>
  <c r="A1585" i="14"/>
  <c r="S1584" i="14"/>
  <c r="R1584" i="14"/>
  <c r="Q1584" i="14"/>
  <c r="P1584" i="14"/>
  <c r="A1584" i="14"/>
  <c r="S1583" i="14"/>
  <c r="R1583" i="14"/>
  <c r="Q1583" i="14"/>
  <c r="P1583" i="14"/>
  <c r="A1583" i="14"/>
  <c r="S1582" i="14"/>
  <c r="R1582" i="14"/>
  <c r="Q1582" i="14"/>
  <c r="P1582" i="14"/>
  <c r="A1582" i="14"/>
  <c r="S1581" i="14"/>
  <c r="R1581" i="14"/>
  <c r="Q1581" i="14"/>
  <c r="P1581" i="14"/>
  <c r="A1581" i="14"/>
  <c r="S1580" i="14"/>
  <c r="R1580" i="14"/>
  <c r="Q1580" i="14"/>
  <c r="P1580" i="14"/>
  <c r="A1580" i="14"/>
  <c r="S1579" i="14"/>
  <c r="R1579" i="14"/>
  <c r="Q1579" i="14"/>
  <c r="P1579" i="14"/>
  <c r="A1579" i="14"/>
  <c r="S1578" i="14"/>
  <c r="R1578" i="14"/>
  <c r="Q1578" i="14"/>
  <c r="P1578" i="14"/>
  <c r="A1578" i="14"/>
  <c r="S1577" i="14"/>
  <c r="R1577" i="14"/>
  <c r="Q1577" i="14"/>
  <c r="P1577" i="14"/>
  <c r="A1577" i="14"/>
  <c r="S1576" i="14"/>
  <c r="R1576" i="14"/>
  <c r="Q1576" i="14"/>
  <c r="P1576" i="14"/>
  <c r="A1576" i="14"/>
  <c r="S1575" i="14"/>
  <c r="R1575" i="14"/>
  <c r="Q1575" i="14"/>
  <c r="P1575" i="14"/>
  <c r="A1575" i="14"/>
  <c r="S1574" i="14"/>
  <c r="R1574" i="14"/>
  <c r="Q1574" i="14"/>
  <c r="P1574" i="14"/>
  <c r="A1574" i="14"/>
  <c r="S1573" i="14"/>
  <c r="R1573" i="14"/>
  <c r="Q1573" i="14"/>
  <c r="P1573" i="14"/>
  <c r="A1573" i="14"/>
  <c r="S1572" i="14"/>
  <c r="R1572" i="14"/>
  <c r="Q1572" i="14"/>
  <c r="P1572" i="14"/>
  <c r="A1572" i="14"/>
  <c r="S1571" i="14"/>
  <c r="R1571" i="14"/>
  <c r="Q1571" i="14"/>
  <c r="P1571" i="14"/>
  <c r="A1571" i="14"/>
  <c r="S1570" i="14"/>
  <c r="R1570" i="14"/>
  <c r="Q1570" i="14"/>
  <c r="P1570" i="14"/>
  <c r="A1570" i="14"/>
  <c r="S1569" i="14"/>
  <c r="R1569" i="14"/>
  <c r="Q1569" i="14"/>
  <c r="P1569" i="14"/>
  <c r="A1569" i="14"/>
  <c r="S1568" i="14"/>
  <c r="R1568" i="14"/>
  <c r="Q1568" i="14"/>
  <c r="P1568" i="14"/>
  <c r="A1568" i="14"/>
  <c r="S1567" i="14"/>
  <c r="R1567" i="14"/>
  <c r="Q1567" i="14"/>
  <c r="P1567" i="14"/>
  <c r="A1567" i="14"/>
  <c r="S1566" i="14"/>
  <c r="R1566" i="14"/>
  <c r="Q1566" i="14"/>
  <c r="P1566" i="14"/>
  <c r="A1566" i="14"/>
  <c r="S1565" i="14"/>
  <c r="R1565" i="14"/>
  <c r="Q1565" i="14"/>
  <c r="P1565" i="14"/>
  <c r="A1565" i="14"/>
  <c r="S1564" i="14"/>
  <c r="R1564" i="14"/>
  <c r="Q1564" i="14"/>
  <c r="P1564" i="14"/>
  <c r="A1564" i="14"/>
  <c r="S1563" i="14"/>
  <c r="R1563" i="14"/>
  <c r="Q1563" i="14"/>
  <c r="P1563" i="14"/>
  <c r="A1563" i="14"/>
  <c r="S1562" i="14"/>
  <c r="R1562" i="14"/>
  <c r="Q1562" i="14"/>
  <c r="P1562" i="14"/>
  <c r="A1562" i="14"/>
  <c r="S1561" i="14"/>
  <c r="R1561" i="14"/>
  <c r="Q1561" i="14"/>
  <c r="P1561" i="14"/>
  <c r="A1561" i="14"/>
  <c r="S1560" i="14"/>
  <c r="R1560" i="14"/>
  <c r="Q1560" i="14"/>
  <c r="P1560" i="14"/>
  <c r="A1560" i="14"/>
  <c r="S1559" i="14"/>
  <c r="R1559" i="14"/>
  <c r="Q1559" i="14"/>
  <c r="P1559" i="14"/>
  <c r="A1559" i="14"/>
  <c r="S1558" i="14"/>
  <c r="R1558" i="14"/>
  <c r="Q1558" i="14"/>
  <c r="P1558" i="14"/>
  <c r="A1558" i="14"/>
  <c r="S1557" i="14"/>
  <c r="R1557" i="14"/>
  <c r="Q1557" i="14"/>
  <c r="P1557" i="14"/>
  <c r="A1557" i="14"/>
  <c r="S1556" i="14"/>
  <c r="R1556" i="14"/>
  <c r="Q1556" i="14"/>
  <c r="P1556" i="14"/>
  <c r="A1556" i="14"/>
  <c r="S1555" i="14"/>
  <c r="R1555" i="14"/>
  <c r="Q1555" i="14"/>
  <c r="P1555" i="14"/>
  <c r="A1555" i="14"/>
  <c r="S1554" i="14"/>
  <c r="R1554" i="14"/>
  <c r="Q1554" i="14"/>
  <c r="P1554" i="14"/>
  <c r="A1554" i="14"/>
  <c r="S1553" i="14"/>
  <c r="R1553" i="14"/>
  <c r="Q1553" i="14"/>
  <c r="P1553" i="14"/>
  <c r="A1553" i="14"/>
  <c r="S1552" i="14"/>
  <c r="R1552" i="14"/>
  <c r="Q1552" i="14"/>
  <c r="P1552" i="14"/>
  <c r="A1552" i="14"/>
  <c r="S1551" i="14"/>
  <c r="R1551" i="14"/>
  <c r="Q1551" i="14"/>
  <c r="P1551" i="14"/>
  <c r="A1551" i="14"/>
  <c r="S1550" i="14"/>
  <c r="R1550" i="14"/>
  <c r="Q1550" i="14"/>
  <c r="P1550" i="14"/>
  <c r="A1550" i="14"/>
  <c r="S1549" i="14"/>
  <c r="R1549" i="14"/>
  <c r="Q1549" i="14"/>
  <c r="P1549" i="14"/>
  <c r="A1549" i="14"/>
  <c r="S1548" i="14"/>
  <c r="R1548" i="14"/>
  <c r="Q1548" i="14"/>
  <c r="P1548" i="14"/>
  <c r="A1548" i="14"/>
  <c r="S1547" i="14"/>
  <c r="R1547" i="14"/>
  <c r="Q1547" i="14"/>
  <c r="P1547" i="14"/>
  <c r="A1547" i="14"/>
  <c r="S1546" i="14"/>
  <c r="R1546" i="14"/>
  <c r="Q1546" i="14"/>
  <c r="P1546" i="14"/>
  <c r="A1546" i="14"/>
  <c r="S1545" i="14"/>
  <c r="R1545" i="14"/>
  <c r="Q1545" i="14"/>
  <c r="P1545" i="14"/>
  <c r="A1545" i="14"/>
  <c r="S1544" i="14"/>
  <c r="R1544" i="14"/>
  <c r="Q1544" i="14"/>
  <c r="P1544" i="14"/>
  <c r="A1544" i="14"/>
  <c r="S1543" i="14"/>
  <c r="R1543" i="14"/>
  <c r="Q1543" i="14"/>
  <c r="P1543" i="14"/>
  <c r="A1543" i="14"/>
  <c r="S1542" i="14"/>
  <c r="R1542" i="14"/>
  <c r="Q1542" i="14"/>
  <c r="P1542" i="14"/>
  <c r="A1542" i="14"/>
  <c r="S1541" i="14"/>
  <c r="R1541" i="14"/>
  <c r="Q1541" i="14"/>
  <c r="P1541" i="14"/>
  <c r="A1541" i="14"/>
  <c r="S1540" i="14"/>
  <c r="R1540" i="14"/>
  <c r="Q1540" i="14"/>
  <c r="P1540" i="14"/>
  <c r="A1540" i="14"/>
  <c r="S1539" i="14"/>
  <c r="R1539" i="14"/>
  <c r="Q1539" i="14"/>
  <c r="P1539" i="14"/>
  <c r="A1539" i="14"/>
  <c r="S1538" i="14"/>
  <c r="R1538" i="14"/>
  <c r="Q1538" i="14"/>
  <c r="P1538" i="14"/>
  <c r="A1538" i="14"/>
  <c r="S1537" i="14"/>
  <c r="R1537" i="14"/>
  <c r="Q1537" i="14"/>
  <c r="P1537" i="14"/>
  <c r="A1537" i="14"/>
  <c r="S1536" i="14"/>
  <c r="R1536" i="14"/>
  <c r="Q1536" i="14"/>
  <c r="P1536" i="14"/>
  <c r="A1536" i="14"/>
  <c r="S1535" i="14"/>
  <c r="R1535" i="14"/>
  <c r="Q1535" i="14"/>
  <c r="P1535" i="14"/>
  <c r="A1535" i="14"/>
  <c r="S1534" i="14"/>
  <c r="R1534" i="14"/>
  <c r="Q1534" i="14"/>
  <c r="P1534" i="14"/>
  <c r="A1534" i="14"/>
  <c r="S1533" i="14"/>
  <c r="R1533" i="14"/>
  <c r="Q1533" i="14"/>
  <c r="P1533" i="14"/>
  <c r="A1533" i="14"/>
  <c r="S1532" i="14"/>
  <c r="R1532" i="14"/>
  <c r="Q1532" i="14"/>
  <c r="P1532" i="14"/>
  <c r="A1532" i="14"/>
  <c r="S1531" i="14"/>
  <c r="R1531" i="14"/>
  <c r="Q1531" i="14"/>
  <c r="P1531" i="14"/>
  <c r="A1531" i="14"/>
  <c r="S1530" i="14"/>
  <c r="R1530" i="14"/>
  <c r="Q1530" i="14"/>
  <c r="P1530" i="14"/>
  <c r="A1530" i="14"/>
  <c r="S1529" i="14"/>
  <c r="R1529" i="14"/>
  <c r="Q1529" i="14"/>
  <c r="P1529" i="14"/>
  <c r="A1529" i="14"/>
  <c r="S1528" i="14"/>
  <c r="R1528" i="14"/>
  <c r="Q1528" i="14"/>
  <c r="P1528" i="14"/>
  <c r="A1528" i="14"/>
  <c r="S1527" i="14"/>
  <c r="R1527" i="14"/>
  <c r="Q1527" i="14"/>
  <c r="P1527" i="14"/>
  <c r="A1527" i="14"/>
  <c r="S1526" i="14"/>
  <c r="R1526" i="14"/>
  <c r="Q1526" i="14"/>
  <c r="P1526" i="14"/>
  <c r="A1526" i="14"/>
  <c r="S1525" i="14"/>
  <c r="R1525" i="14"/>
  <c r="Q1525" i="14"/>
  <c r="P1525" i="14"/>
  <c r="A1525" i="14"/>
  <c r="S1524" i="14"/>
  <c r="R1524" i="14"/>
  <c r="Q1524" i="14"/>
  <c r="P1524" i="14"/>
  <c r="A1524" i="14"/>
  <c r="S1523" i="14"/>
  <c r="R1523" i="14"/>
  <c r="Q1523" i="14"/>
  <c r="P1523" i="14"/>
  <c r="A1523" i="14"/>
  <c r="S1522" i="14"/>
  <c r="R1522" i="14"/>
  <c r="Q1522" i="14"/>
  <c r="P1522" i="14"/>
  <c r="A1522" i="14"/>
  <c r="S1521" i="14"/>
  <c r="R1521" i="14"/>
  <c r="Q1521" i="14"/>
  <c r="P1521" i="14"/>
  <c r="A1521" i="14"/>
  <c r="S1520" i="14"/>
  <c r="R1520" i="14"/>
  <c r="Q1520" i="14"/>
  <c r="P1520" i="14"/>
  <c r="A1520" i="14"/>
  <c r="S1519" i="14"/>
  <c r="R1519" i="14"/>
  <c r="Q1519" i="14"/>
  <c r="P1519" i="14"/>
  <c r="A1519" i="14"/>
  <c r="S1518" i="14"/>
  <c r="R1518" i="14"/>
  <c r="Q1518" i="14"/>
  <c r="P1518" i="14"/>
  <c r="A1518" i="14"/>
  <c r="S1517" i="14"/>
  <c r="R1517" i="14"/>
  <c r="Q1517" i="14"/>
  <c r="P1517" i="14"/>
  <c r="A1517" i="14"/>
  <c r="S1516" i="14"/>
  <c r="R1516" i="14"/>
  <c r="Q1516" i="14"/>
  <c r="P1516" i="14"/>
  <c r="A1516" i="14"/>
  <c r="S1515" i="14"/>
  <c r="R1515" i="14"/>
  <c r="Q1515" i="14"/>
  <c r="P1515" i="14"/>
  <c r="A1515" i="14"/>
  <c r="S1514" i="14"/>
  <c r="R1514" i="14"/>
  <c r="Q1514" i="14"/>
  <c r="P1514" i="14"/>
  <c r="A1514" i="14"/>
  <c r="S1513" i="14"/>
  <c r="R1513" i="14"/>
  <c r="Q1513" i="14"/>
  <c r="P1513" i="14"/>
  <c r="A1513" i="14"/>
  <c r="S1512" i="14"/>
  <c r="R1512" i="14"/>
  <c r="Q1512" i="14"/>
  <c r="P1512" i="14"/>
  <c r="A1512" i="14"/>
  <c r="S1511" i="14"/>
  <c r="R1511" i="14"/>
  <c r="Q1511" i="14"/>
  <c r="P1511" i="14"/>
  <c r="A1511" i="14"/>
  <c r="S1510" i="14"/>
  <c r="R1510" i="14"/>
  <c r="Q1510" i="14"/>
  <c r="P1510" i="14"/>
  <c r="A1510" i="14"/>
  <c r="S1509" i="14"/>
  <c r="R1509" i="14"/>
  <c r="Q1509" i="14"/>
  <c r="P1509" i="14"/>
  <c r="A1509" i="14"/>
  <c r="S1508" i="14"/>
  <c r="R1508" i="14"/>
  <c r="Q1508" i="14"/>
  <c r="P1508" i="14"/>
  <c r="A1508" i="14"/>
  <c r="S1507" i="14"/>
  <c r="R1507" i="14"/>
  <c r="Q1507" i="14"/>
  <c r="P1507" i="14"/>
  <c r="A1507" i="14"/>
  <c r="S1506" i="14"/>
  <c r="R1506" i="14"/>
  <c r="Q1506" i="14"/>
  <c r="P1506" i="14"/>
  <c r="A1506" i="14"/>
  <c r="S1505" i="14"/>
  <c r="R1505" i="14"/>
  <c r="Q1505" i="14"/>
  <c r="P1505" i="14"/>
  <c r="A1505" i="14"/>
  <c r="S1504" i="14"/>
  <c r="R1504" i="14"/>
  <c r="Q1504" i="14"/>
  <c r="P1504" i="14"/>
  <c r="A1504" i="14"/>
  <c r="S1503" i="14"/>
  <c r="R1503" i="14"/>
  <c r="Q1503" i="14"/>
  <c r="P1503" i="14"/>
  <c r="A1503" i="14"/>
  <c r="S1502" i="14"/>
  <c r="R1502" i="14"/>
  <c r="Q1502" i="14"/>
  <c r="P1502" i="14"/>
  <c r="A1502" i="14"/>
  <c r="S1501" i="14"/>
  <c r="R1501" i="14"/>
  <c r="Q1501" i="14"/>
  <c r="P1501" i="14"/>
  <c r="A1501" i="14"/>
  <c r="S1500" i="14"/>
  <c r="R1500" i="14"/>
  <c r="Q1500" i="14"/>
  <c r="P1500" i="14"/>
  <c r="A1500" i="14"/>
  <c r="S1499" i="14"/>
  <c r="R1499" i="14"/>
  <c r="Q1499" i="14"/>
  <c r="P1499" i="14"/>
  <c r="A1499" i="14"/>
  <c r="S1498" i="14"/>
  <c r="R1498" i="14"/>
  <c r="Q1498" i="14"/>
  <c r="P1498" i="14"/>
  <c r="A1498" i="14"/>
  <c r="S1497" i="14"/>
  <c r="R1497" i="14"/>
  <c r="Q1497" i="14"/>
  <c r="P1497" i="14"/>
  <c r="A1497" i="14"/>
  <c r="S1496" i="14"/>
  <c r="R1496" i="14"/>
  <c r="Q1496" i="14"/>
  <c r="P1496" i="14"/>
  <c r="A1496" i="14"/>
  <c r="S1495" i="14"/>
  <c r="R1495" i="14"/>
  <c r="Q1495" i="14"/>
  <c r="P1495" i="14"/>
  <c r="A1495" i="14"/>
  <c r="S1494" i="14"/>
  <c r="R1494" i="14"/>
  <c r="Q1494" i="14"/>
  <c r="P1494" i="14"/>
  <c r="A1494" i="14"/>
  <c r="S1493" i="14"/>
  <c r="R1493" i="14"/>
  <c r="Q1493" i="14"/>
  <c r="P1493" i="14"/>
  <c r="A1493" i="14"/>
  <c r="S1492" i="14"/>
  <c r="R1492" i="14"/>
  <c r="Q1492" i="14"/>
  <c r="P1492" i="14"/>
  <c r="A1492" i="14"/>
  <c r="S1491" i="14"/>
  <c r="R1491" i="14"/>
  <c r="Q1491" i="14"/>
  <c r="P1491" i="14"/>
  <c r="A1491" i="14"/>
  <c r="S1490" i="14"/>
  <c r="R1490" i="14"/>
  <c r="Q1490" i="14"/>
  <c r="P1490" i="14"/>
  <c r="A1490" i="14"/>
  <c r="S1489" i="14"/>
  <c r="R1489" i="14"/>
  <c r="Q1489" i="14"/>
  <c r="P1489" i="14"/>
  <c r="A1489" i="14"/>
  <c r="S1488" i="14"/>
  <c r="R1488" i="14"/>
  <c r="Q1488" i="14"/>
  <c r="P1488" i="14"/>
  <c r="A1488" i="14"/>
  <c r="S1487" i="14"/>
  <c r="R1487" i="14"/>
  <c r="Q1487" i="14"/>
  <c r="P1487" i="14"/>
  <c r="A1487" i="14"/>
  <c r="S1486" i="14"/>
  <c r="R1486" i="14"/>
  <c r="Q1486" i="14"/>
  <c r="P1486" i="14"/>
  <c r="A1486" i="14"/>
  <c r="S1485" i="14"/>
  <c r="R1485" i="14"/>
  <c r="Q1485" i="14"/>
  <c r="P1485" i="14"/>
  <c r="A1485" i="14"/>
  <c r="S1484" i="14"/>
  <c r="R1484" i="14"/>
  <c r="Q1484" i="14"/>
  <c r="P1484" i="14"/>
  <c r="A1484" i="14"/>
  <c r="S1483" i="14"/>
  <c r="R1483" i="14"/>
  <c r="Q1483" i="14"/>
  <c r="P1483" i="14"/>
  <c r="A1483" i="14"/>
  <c r="S1482" i="14"/>
  <c r="R1482" i="14"/>
  <c r="Q1482" i="14"/>
  <c r="P1482" i="14"/>
  <c r="A1482" i="14"/>
  <c r="S1481" i="14"/>
  <c r="R1481" i="14"/>
  <c r="Q1481" i="14"/>
  <c r="P1481" i="14"/>
  <c r="A1481" i="14"/>
  <c r="S1480" i="14"/>
  <c r="R1480" i="14"/>
  <c r="Q1480" i="14"/>
  <c r="P1480" i="14"/>
  <c r="A1480" i="14"/>
  <c r="S1479" i="14"/>
  <c r="R1479" i="14"/>
  <c r="Q1479" i="14"/>
  <c r="P1479" i="14"/>
  <c r="A1479" i="14"/>
  <c r="S1478" i="14"/>
  <c r="R1478" i="14"/>
  <c r="Q1478" i="14"/>
  <c r="P1478" i="14"/>
  <c r="A1478" i="14"/>
  <c r="S1477" i="14"/>
  <c r="R1477" i="14"/>
  <c r="Q1477" i="14"/>
  <c r="P1477" i="14"/>
  <c r="A1477" i="14"/>
  <c r="S1476" i="14"/>
  <c r="R1476" i="14"/>
  <c r="Q1476" i="14"/>
  <c r="P1476" i="14"/>
  <c r="A1476" i="14"/>
  <c r="S1475" i="14"/>
  <c r="R1475" i="14"/>
  <c r="Q1475" i="14"/>
  <c r="P1475" i="14"/>
  <c r="A1475" i="14"/>
  <c r="S1474" i="14"/>
  <c r="R1474" i="14"/>
  <c r="Q1474" i="14"/>
  <c r="P1474" i="14"/>
  <c r="A1474" i="14"/>
  <c r="S1473" i="14"/>
  <c r="R1473" i="14"/>
  <c r="Q1473" i="14"/>
  <c r="P1473" i="14"/>
  <c r="A1473" i="14"/>
  <c r="S1472" i="14"/>
  <c r="R1472" i="14"/>
  <c r="Q1472" i="14"/>
  <c r="P1472" i="14"/>
  <c r="A1472" i="14"/>
  <c r="S1471" i="14"/>
  <c r="R1471" i="14"/>
  <c r="Q1471" i="14"/>
  <c r="P1471" i="14"/>
  <c r="A1471" i="14"/>
  <c r="S1470" i="14"/>
  <c r="R1470" i="14"/>
  <c r="Q1470" i="14"/>
  <c r="P1470" i="14"/>
  <c r="A1470" i="14"/>
  <c r="S1469" i="14"/>
  <c r="R1469" i="14"/>
  <c r="Q1469" i="14"/>
  <c r="P1469" i="14"/>
  <c r="A1469" i="14"/>
  <c r="S1468" i="14"/>
  <c r="R1468" i="14"/>
  <c r="Q1468" i="14"/>
  <c r="P1468" i="14"/>
  <c r="A1468" i="14"/>
  <c r="S1467" i="14"/>
  <c r="R1467" i="14"/>
  <c r="Q1467" i="14"/>
  <c r="P1467" i="14"/>
  <c r="A1467" i="14"/>
  <c r="S1466" i="14"/>
  <c r="R1466" i="14"/>
  <c r="Q1466" i="14"/>
  <c r="P1466" i="14"/>
  <c r="A1466" i="14"/>
  <c r="S1465" i="14"/>
  <c r="R1465" i="14"/>
  <c r="Q1465" i="14"/>
  <c r="P1465" i="14"/>
  <c r="A1465" i="14"/>
  <c r="S1464" i="14"/>
  <c r="R1464" i="14"/>
  <c r="Q1464" i="14"/>
  <c r="P1464" i="14"/>
  <c r="A1464" i="14"/>
  <c r="S1463" i="14"/>
  <c r="R1463" i="14"/>
  <c r="Q1463" i="14"/>
  <c r="P1463" i="14"/>
  <c r="A1463" i="14"/>
  <c r="S1462" i="14"/>
  <c r="R1462" i="14"/>
  <c r="Q1462" i="14"/>
  <c r="P1462" i="14"/>
  <c r="A1462" i="14"/>
  <c r="S1461" i="14"/>
  <c r="R1461" i="14"/>
  <c r="Q1461" i="14"/>
  <c r="P1461" i="14"/>
  <c r="A1461" i="14"/>
  <c r="S1460" i="14"/>
  <c r="R1460" i="14"/>
  <c r="Q1460" i="14"/>
  <c r="P1460" i="14"/>
  <c r="A1460" i="14"/>
  <c r="S1459" i="14"/>
  <c r="R1459" i="14"/>
  <c r="Q1459" i="14"/>
  <c r="P1459" i="14"/>
  <c r="A1459" i="14"/>
  <c r="S1458" i="14"/>
  <c r="R1458" i="14"/>
  <c r="Q1458" i="14"/>
  <c r="P1458" i="14"/>
  <c r="A1458" i="14"/>
  <c r="S1457" i="14"/>
  <c r="R1457" i="14"/>
  <c r="Q1457" i="14"/>
  <c r="P1457" i="14"/>
  <c r="A1457" i="14"/>
  <c r="S1456" i="14"/>
  <c r="R1456" i="14"/>
  <c r="Q1456" i="14"/>
  <c r="P1456" i="14"/>
  <c r="A1456" i="14"/>
  <c r="S1455" i="14"/>
  <c r="R1455" i="14"/>
  <c r="Q1455" i="14"/>
  <c r="P1455" i="14"/>
  <c r="A1455" i="14"/>
  <c r="S1454" i="14"/>
  <c r="R1454" i="14"/>
  <c r="Q1454" i="14"/>
  <c r="P1454" i="14"/>
  <c r="A1454" i="14"/>
  <c r="S1453" i="14"/>
  <c r="R1453" i="14"/>
  <c r="Q1453" i="14"/>
  <c r="P1453" i="14"/>
  <c r="A1453" i="14"/>
  <c r="S1452" i="14"/>
  <c r="R1452" i="14"/>
  <c r="Q1452" i="14"/>
  <c r="P1452" i="14"/>
  <c r="A1452" i="14"/>
  <c r="S1451" i="14"/>
  <c r="R1451" i="14"/>
  <c r="Q1451" i="14"/>
  <c r="P1451" i="14"/>
  <c r="A1451" i="14"/>
  <c r="S1450" i="14"/>
  <c r="R1450" i="14"/>
  <c r="Q1450" i="14"/>
  <c r="P1450" i="14"/>
  <c r="A1450" i="14"/>
  <c r="S1449" i="14"/>
  <c r="R1449" i="14"/>
  <c r="Q1449" i="14"/>
  <c r="P1449" i="14"/>
  <c r="A1449" i="14"/>
  <c r="S1448" i="14"/>
  <c r="R1448" i="14"/>
  <c r="Q1448" i="14"/>
  <c r="P1448" i="14"/>
  <c r="A1448" i="14"/>
  <c r="S1447" i="14"/>
  <c r="R1447" i="14"/>
  <c r="Q1447" i="14"/>
  <c r="P1447" i="14"/>
  <c r="A1447" i="14"/>
  <c r="S1446" i="14"/>
  <c r="R1446" i="14"/>
  <c r="Q1446" i="14"/>
  <c r="P1446" i="14"/>
  <c r="A1446" i="14"/>
  <c r="S1445" i="14"/>
  <c r="R1445" i="14"/>
  <c r="Q1445" i="14"/>
  <c r="P1445" i="14"/>
  <c r="A1445" i="14"/>
  <c r="S1444" i="14"/>
  <c r="R1444" i="14"/>
  <c r="Q1444" i="14"/>
  <c r="P1444" i="14"/>
  <c r="A1444" i="14"/>
  <c r="S1443" i="14"/>
  <c r="R1443" i="14"/>
  <c r="Q1443" i="14"/>
  <c r="P1443" i="14"/>
  <c r="A1443" i="14"/>
  <c r="S1442" i="14"/>
  <c r="R1442" i="14"/>
  <c r="Q1442" i="14"/>
  <c r="P1442" i="14"/>
  <c r="A1442" i="14"/>
  <c r="S1441" i="14"/>
  <c r="R1441" i="14"/>
  <c r="Q1441" i="14"/>
  <c r="P1441" i="14"/>
  <c r="A1441" i="14"/>
  <c r="S1440" i="14"/>
  <c r="R1440" i="14"/>
  <c r="Q1440" i="14"/>
  <c r="P1440" i="14"/>
  <c r="A1440" i="14"/>
  <c r="S1439" i="14"/>
  <c r="R1439" i="14"/>
  <c r="Q1439" i="14"/>
  <c r="P1439" i="14"/>
  <c r="A1439" i="14"/>
  <c r="S1438" i="14"/>
  <c r="R1438" i="14"/>
  <c r="Q1438" i="14"/>
  <c r="P1438" i="14"/>
  <c r="A1438" i="14"/>
  <c r="S1437" i="14"/>
  <c r="R1437" i="14"/>
  <c r="Q1437" i="14"/>
  <c r="P1437" i="14"/>
  <c r="A1437" i="14"/>
  <c r="S1436" i="14"/>
  <c r="R1436" i="14"/>
  <c r="Q1436" i="14"/>
  <c r="P1436" i="14"/>
  <c r="A1436" i="14"/>
  <c r="S1435" i="14"/>
  <c r="R1435" i="14"/>
  <c r="Q1435" i="14"/>
  <c r="P1435" i="14"/>
  <c r="A1435" i="14"/>
  <c r="S1434" i="14"/>
  <c r="R1434" i="14"/>
  <c r="Q1434" i="14"/>
  <c r="P1434" i="14"/>
  <c r="A1434" i="14"/>
  <c r="S1433" i="14"/>
  <c r="R1433" i="14"/>
  <c r="Q1433" i="14"/>
  <c r="P1433" i="14"/>
  <c r="A1433" i="14"/>
  <c r="S1432" i="14"/>
  <c r="R1432" i="14"/>
  <c r="Q1432" i="14"/>
  <c r="P1432" i="14"/>
  <c r="A1432" i="14"/>
  <c r="S1431" i="14"/>
  <c r="R1431" i="14"/>
  <c r="Q1431" i="14"/>
  <c r="P1431" i="14"/>
  <c r="A1431" i="14"/>
  <c r="S1430" i="14"/>
  <c r="R1430" i="14"/>
  <c r="Q1430" i="14"/>
  <c r="P1430" i="14"/>
  <c r="A1430" i="14"/>
  <c r="S1429" i="14"/>
  <c r="R1429" i="14"/>
  <c r="Q1429" i="14"/>
  <c r="P1429" i="14"/>
  <c r="A1429" i="14"/>
  <c r="S1428" i="14"/>
  <c r="R1428" i="14"/>
  <c r="Q1428" i="14"/>
  <c r="P1428" i="14"/>
  <c r="A1428" i="14"/>
  <c r="S1427" i="14"/>
  <c r="R1427" i="14"/>
  <c r="Q1427" i="14"/>
  <c r="P1427" i="14"/>
  <c r="A1427" i="14"/>
  <c r="S1426" i="14"/>
  <c r="R1426" i="14"/>
  <c r="Q1426" i="14"/>
  <c r="P1426" i="14"/>
  <c r="A1426" i="14"/>
  <c r="S1425" i="14"/>
  <c r="R1425" i="14"/>
  <c r="Q1425" i="14"/>
  <c r="P1425" i="14"/>
  <c r="A1425" i="14"/>
  <c r="S1424" i="14"/>
  <c r="R1424" i="14"/>
  <c r="Q1424" i="14"/>
  <c r="P1424" i="14"/>
  <c r="A1424" i="14"/>
  <c r="S1423" i="14"/>
  <c r="R1423" i="14"/>
  <c r="Q1423" i="14"/>
  <c r="P1423" i="14"/>
  <c r="A1423" i="14"/>
  <c r="S1422" i="14"/>
  <c r="R1422" i="14"/>
  <c r="Q1422" i="14"/>
  <c r="P1422" i="14"/>
  <c r="A1422" i="14"/>
  <c r="S1421" i="14"/>
  <c r="R1421" i="14"/>
  <c r="Q1421" i="14"/>
  <c r="P1421" i="14"/>
  <c r="A1421" i="14"/>
  <c r="S1420" i="14"/>
  <c r="R1420" i="14"/>
  <c r="Q1420" i="14"/>
  <c r="P1420" i="14"/>
  <c r="A1420" i="14"/>
  <c r="S1419" i="14"/>
  <c r="R1419" i="14"/>
  <c r="Q1419" i="14"/>
  <c r="P1419" i="14"/>
  <c r="A1419" i="14"/>
  <c r="S1418" i="14"/>
  <c r="R1418" i="14"/>
  <c r="Q1418" i="14"/>
  <c r="P1418" i="14"/>
  <c r="A1418" i="14"/>
  <c r="S1417" i="14"/>
  <c r="R1417" i="14"/>
  <c r="Q1417" i="14"/>
  <c r="P1417" i="14"/>
  <c r="A1417" i="14"/>
  <c r="S1416" i="14"/>
  <c r="R1416" i="14"/>
  <c r="Q1416" i="14"/>
  <c r="P1416" i="14"/>
  <c r="A1416" i="14"/>
  <c r="S1415" i="14"/>
  <c r="R1415" i="14"/>
  <c r="Q1415" i="14"/>
  <c r="P1415" i="14"/>
  <c r="A1415" i="14"/>
  <c r="S1414" i="14"/>
  <c r="R1414" i="14"/>
  <c r="Q1414" i="14"/>
  <c r="P1414" i="14"/>
  <c r="A1414" i="14"/>
  <c r="S1413" i="14"/>
  <c r="R1413" i="14"/>
  <c r="Q1413" i="14"/>
  <c r="P1413" i="14"/>
  <c r="A1413" i="14"/>
  <c r="S1412" i="14"/>
  <c r="R1412" i="14"/>
  <c r="Q1412" i="14"/>
  <c r="P1412" i="14"/>
  <c r="A1412" i="14"/>
  <c r="S1411" i="14"/>
  <c r="R1411" i="14"/>
  <c r="Q1411" i="14"/>
  <c r="P1411" i="14"/>
  <c r="A1411" i="14"/>
  <c r="S1410" i="14"/>
  <c r="R1410" i="14"/>
  <c r="Q1410" i="14"/>
  <c r="P1410" i="14"/>
  <c r="A1410" i="14"/>
  <c r="S1409" i="14"/>
  <c r="R1409" i="14"/>
  <c r="Q1409" i="14"/>
  <c r="P1409" i="14"/>
  <c r="A1409" i="14"/>
  <c r="S1408" i="14"/>
  <c r="R1408" i="14"/>
  <c r="Q1408" i="14"/>
  <c r="P1408" i="14"/>
  <c r="A1408" i="14"/>
  <c r="S1407" i="14"/>
  <c r="R1407" i="14"/>
  <c r="Q1407" i="14"/>
  <c r="P1407" i="14"/>
  <c r="A1407" i="14"/>
  <c r="S1406" i="14"/>
  <c r="R1406" i="14"/>
  <c r="Q1406" i="14"/>
  <c r="P1406" i="14"/>
  <c r="A1406" i="14"/>
  <c r="S1405" i="14"/>
  <c r="R1405" i="14"/>
  <c r="Q1405" i="14"/>
  <c r="P1405" i="14"/>
  <c r="A1405" i="14"/>
  <c r="S1404" i="14"/>
  <c r="R1404" i="14"/>
  <c r="Q1404" i="14"/>
  <c r="P1404" i="14"/>
  <c r="A1404" i="14"/>
  <c r="S1403" i="14"/>
  <c r="R1403" i="14"/>
  <c r="Q1403" i="14"/>
  <c r="P1403" i="14"/>
  <c r="A1403" i="14"/>
  <c r="S1402" i="14"/>
  <c r="R1402" i="14"/>
  <c r="Q1402" i="14"/>
  <c r="P1402" i="14"/>
  <c r="A1402" i="14"/>
  <c r="S1401" i="14"/>
  <c r="R1401" i="14"/>
  <c r="Q1401" i="14"/>
  <c r="P1401" i="14"/>
  <c r="A1401" i="14"/>
  <c r="S1400" i="14"/>
  <c r="R1400" i="14"/>
  <c r="Q1400" i="14"/>
  <c r="P1400" i="14"/>
  <c r="A1400" i="14"/>
  <c r="S1399" i="14"/>
  <c r="R1399" i="14"/>
  <c r="Q1399" i="14"/>
  <c r="P1399" i="14"/>
  <c r="A1399" i="14"/>
  <c r="S1398" i="14"/>
  <c r="R1398" i="14"/>
  <c r="Q1398" i="14"/>
  <c r="P1398" i="14"/>
  <c r="A1398" i="14"/>
  <c r="S1397" i="14"/>
  <c r="R1397" i="14"/>
  <c r="Q1397" i="14"/>
  <c r="P1397" i="14"/>
  <c r="A1397" i="14"/>
  <c r="S1396" i="14"/>
  <c r="R1396" i="14"/>
  <c r="Q1396" i="14"/>
  <c r="P1396" i="14"/>
  <c r="A1396" i="14"/>
  <c r="S1395" i="14"/>
  <c r="R1395" i="14"/>
  <c r="Q1395" i="14"/>
  <c r="P1395" i="14"/>
  <c r="A1395" i="14"/>
  <c r="S1394" i="14"/>
  <c r="R1394" i="14"/>
  <c r="Q1394" i="14"/>
  <c r="P1394" i="14"/>
  <c r="A1394" i="14"/>
  <c r="S1393" i="14"/>
  <c r="R1393" i="14"/>
  <c r="Q1393" i="14"/>
  <c r="P1393" i="14"/>
  <c r="A1393" i="14"/>
  <c r="S1392" i="14"/>
  <c r="R1392" i="14"/>
  <c r="Q1392" i="14"/>
  <c r="P1392" i="14"/>
  <c r="A1392" i="14"/>
  <c r="S1391" i="14"/>
  <c r="R1391" i="14"/>
  <c r="Q1391" i="14"/>
  <c r="P1391" i="14"/>
  <c r="A1391" i="14"/>
  <c r="S1390" i="14"/>
  <c r="R1390" i="14"/>
  <c r="Q1390" i="14"/>
  <c r="P1390" i="14"/>
  <c r="A1390" i="14"/>
  <c r="S1389" i="14"/>
  <c r="R1389" i="14"/>
  <c r="Q1389" i="14"/>
  <c r="P1389" i="14"/>
  <c r="A1389" i="14"/>
  <c r="S1388" i="14"/>
  <c r="R1388" i="14"/>
  <c r="Q1388" i="14"/>
  <c r="P1388" i="14"/>
  <c r="A1388" i="14"/>
  <c r="S1387" i="14"/>
  <c r="R1387" i="14"/>
  <c r="Q1387" i="14"/>
  <c r="P1387" i="14"/>
  <c r="A1387" i="14"/>
  <c r="S1386" i="14"/>
  <c r="R1386" i="14"/>
  <c r="Q1386" i="14"/>
  <c r="P1386" i="14"/>
  <c r="A1386" i="14"/>
  <c r="S1385" i="14"/>
  <c r="R1385" i="14"/>
  <c r="Q1385" i="14"/>
  <c r="P1385" i="14"/>
  <c r="A1385" i="14"/>
  <c r="S1384" i="14"/>
  <c r="R1384" i="14"/>
  <c r="Q1384" i="14"/>
  <c r="P1384" i="14"/>
  <c r="A1384" i="14"/>
  <c r="S1383" i="14"/>
  <c r="R1383" i="14"/>
  <c r="Q1383" i="14"/>
  <c r="P1383" i="14"/>
  <c r="A1383" i="14"/>
  <c r="S1382" i="14"/>
  <c r="R1382" i="14"/>
  <c r="Q1382" i="14"/>
  <c r="P1382" i="14"/>
  <c r="A1382" i="14"/>
  <c r="S1381" i="14"/>
  <c r="R1381" i="14"/>
  <c r="Q1381" i="14"/>
  <c r="P1381" i="14"/>
  <c r="A1381" i="14"/>
  <c r="S1380" i="14"/>
  <c r="R1380" i="14"/>
  <c r="Q1380" i="14"/>
  <c r="P1380" i="14"/>
  <c r="A1380" i="14"/>
  <c r="S1379" i="14"/>
  <c r="R1379" i="14"/>
  <c r="Q1379" i="14"/>
  <c r="P1379" i="14"/>
  <c r="A1379" i="14"/>
  <c r="S1378" i="14"/>
  <c r="R1378" i="14"/>
  <c r="Q1378" i="14"/>
  <c r="P1378" i="14"/>
  <c r="A1378" i="14"/>
  <c r="S1377" i="14"/>
  <c r="R1377" i="14"/>
  <c r="Q1377" i="14"/>
  <c r="P1377" i="14"/>
  <c r="A1377" i="14"/>
  <c r="S1376" i="14"/>
  <c r="R1376" i="14"/>
  <c r="Q1376" i="14"/>
  <c r="P1376" i="14"/>
  <c r="A1376" i="14"/>
  <c r="S1375" i="14"/>
  <c r="R1375" i="14"/>
  <c r="Q1375" i="14"/>
  <c r="P1375" i="14"/>
  <c r="A1375" i="14"/>
  <c r="S1374" i="14"/>
  <c r="R1374" i="14"/>
  <c r="Q1374" i="14"/>
  <c r="P1374" i="14"/>
  <c r="A1374" i="14"/>
  <c r="S1373" i="14"/>
  <c r="R1373" i="14"/>
  <c r="Q1373" i="14"/>
  <c r="P1373" i="14"/>
  <c r="A1373" i="14"/>
  <c r="S1372" i="14"/>
  <c r="R1372" i="14"/>
  <c r="Q1372" i="14"/>
  <c r="P1372" i="14"/>
  <c r="A1372" i="14"/>
  <c r="S1371" i="14"/>
  <c r="R1371" i="14"/>
  <c r="Q1371" i="14"/>
  <c r="P1371" i="14"/>
  <c r="A1371" i="14"/>
  <c r="S1370" i="14"/>
  <c r="R1370" i="14"/>
  <c r="Q1370" i="14"/>
  <c r="P1370" i="14"/>
  <c r="A1370" i="14"/>
  <c r="S1369" i="14"/>
  <c r="R1369" i="14"/>
  <c r="Q1369" i="14"/>
  <c r="P1369" i="14"/>
  <c r="A1369" i="14"/>
  <c r="S1368" i="14"/>
  <c r="R1368" i="14"/>
  <c r="Q1368" i="14"/>
  <c r="P1368" i="14"/>
  <c r="A1368" i="14"/>
  <c r="S1367" i="14"/>
  <c r="R1367" i="14"/>
  <c r="Q1367" i="14"/>
  <c r="P1367" i="14"/>
  <c r="A1367" i="14"/>
  <c r="S1366" i="14"/>
  <c r="R1366" i="14"/>
  <c r="Q1366" i="14"/>
  <c r="P1366" i="14"/>
  <c r="A1366" i="14"/>
  <c r="S1365" i="14"/>
  <c r="R1365" i="14"/>
  <c r="Q1365" i="14"/>
  <c r="P1365" i="14"/>
  <c r="A1365" i="14"/>
  <c r="S1364" i="14"/>
  <c r="R1364" i="14"/>
  <c r="Q1364" i="14"/>
  <c r="P1364" i="14"/>
  <c r="A1364" i="14"/>
  <c r="S1363" i="14"/>
  <c r="R1363" i="14"/>
  <c r="Q1363" i="14"/>
  <c r="P1363" i="14"/>
  <c r="A1363" i="14"/>
  <c r="S1362" i="14"/>
  <c r="R1362" i="14"/>
  <c r="Q1362" i="14"/>
  <c r="P1362" i="14"/>
  <c r="A1362" i="14"/>
  <c r="S1361" i="14"/>
  <c r="R1361" i="14"/>
  <c r="Q1361" i="14"/>
  <c r="P1361" i="14"/>
  <c r="A1361" i="14"/>
  <c r="S1360" i="14"/>
  <c r="R1360" i="14"/>
  <c r="Q1360" i="14"/>
  <c r="P1360" i="14"/>
  <c r="A1360" i="14"/>
  <c r="S1359" i="14"/>
  <c r="R1359" i="14"/>
  <c r="Q1359" i="14"/>
  <c r="P1359" i="14"/>
  <c r="A1359" i="14"/>
  <c r="S1358" i="14"/>
  <c r="R1358" i="14"/>
  <c r="Q1358" i="14"/>
  <c r="P1358" i="14"/>
  <c r="A1358" i="14"/>
  <c r="S1357" i="14"/>
  <c r="R1357" i="14"/>
  <c r="Q1357" i="14"/>
  <c r="P1357" i="14"/>
  <c r="A1357" i="14"/>
  <c r="S1356" i="14"/>
  <c r="R1356" i="14"/>
  <c r="Q1356" i="14"/>
  <c r="P1356" i="14"/>
  <c r="A1356" i="14"/>
  <c r="S1355" i="14"/>
  <c r="R1355" i="14"/>
  <c r="Q1355" i="14"/>
  <c r="P1355" i="14"/>
  <c r="A1355" i="14"/>
  <c r="S1354" i="14"/>
  <c r="R1354" i="14"/>
  <c r="Q1354" i="14"/>
  <c r="P1354" i="14"/>
  <c r="A1354" i="14"/>
  <c r="S1353" i="14"/>
  <c r="R1353" i="14"/>
  <c r="Q1353" i="14"/>
  <c r="P1353" i="14"/>
  <c r="A1353" i="14"/>
  <c r="S1352" i="14"/>
  <c r="R1352" i="14"/>
  <c r="Q1352" i="14"/>
  <c r="P1352" i="14"/>
  <c r="A1352" i="14"/>
  <c r="S1351" i="14"/>
  <c r="R1351" i="14"/>
  <c r="Q1351" i="14"/>
  <c r="P1351" i="14"/>
  <c r="A1351" i="14"/>
  <c r="S1350" i="14"/>
  <c r="R1350" i="14"/>
  <c r="Q1350" i="14"/>
  <c r="P1350" i="14"/>
  <c r="A1350" i="14"/>
  <c r="S1349" i="14"/>
  <c r="R1349" i="14"/>
  <c r="Q1349" i="14"/>
  <c r="P1349" i="14"/>
  <c r="A1349" i="14"/>
  <c r="S1348" i="14"/>
  <c r="R1348" i="14"/>
  <c r="Q1348" i="14"/>
  <c r="P1348" i="14"/>
  <c r="A1348" i="14"/>
  <c r="S1347" i="14"/>
  <c r="R1347" i="14"/>
  <c r="Q1347" i="14"/>
  <c r="P1347" i="14"/>
  <c r="A1347" i="14"/>
  <c r="S1346" i="14"/>
  <c r="R1346" i="14"/>
  <c r="Q1346" i="14"/>
  <c r="P1346" i="14"/>
  <c r="A1346" i="14"/>
  <c r="S1345" i="14"/>
  <c r="R1345" i="14"/>
  <c r="Q1345" i="14"/>
  <c r="P1345" i="14"/>
  <c r="A1345" i="14"/>
  <c r="S1344" i="14"/>
  <c r="R1344" i="14"/>
  <c r="Q1344" i="14"/>
  <c r="P1344" i="14"/>
  <c r="A1344" i="14"/>
  <c r="S1343" i="14"/>
  <c r="R1343" i="14"/>
  <c r="Q1343" i="14"/>
  <c r="P1343" i="14"/>
  <c r="A1343" i="14"/>
  <c r="S1342" i="14"/>
  <c r="R1342" i="14"/>
  <c r="Q1342" i="14"/>
  <c r="P1342" i="14"/>
  <c r="A1342" i="14"/>
  <c r="S1341" i="14"/>
  <c r="R1341" i="14"/>
  <c r="Q1341" i="14"/>
  <c r="P1341" i="14"/>
  <c r="A1341" i="14"/>
  <c r="S1340" i="14"/>
  <c r="R1340" i="14"/>
  <c r="Q1340" i="14"/>
  <c r="P1340" i="14"/>
  <c r="A1340" i="14"/>
  <c r="S1339" i="14"/>
  <c r="R1339" i="14"/>
  <c r="Q1339" i="14"/>
  <c r="P1339" i="14"/>
  <c r="A1339" i="14"/>
  <c r="S1338" i="14"/>
  <c r="R1338" i="14"/>
  <c r="Q1338" i="14"/>
  <c r="P1338" i="14"/>
  <c r="A1338" i="14"/>
  <c r="S1337" i="14"/>
  <c r="R1337" i="14"/>
  <c r="Q1337" i="14"/>
  <c r="P1337" i="14"/>
  <c r="A1337" i="14"/>
  <c r="S1336" i="14"/>
  <c r="R1336" i="14"/>
  <c r="Q1336" i="14"/>
  <c r="P1336" i="14"/>
  <c r="A1336" i="14"/>
  <c r="S1335" i="14"/>
  <c r="R1335" i="14"/>
  <c r="Q1335" i="14"/>
  <c r="P1335" i="14"/>
  <c r="A1335" i="14"/>
  <c r="S1334" i="14"/>
  <c r="R1334" i="14"/>
  <c r="Q1334" i="14"/>
  <c r="P1334" i="14"/>
  <c r="A1334" i="14"/>
  <c r="S1333" i="14"/>
  <c r="R1333" i="14"/>
  <c r="Q1333" i="14"/>
  <c r="P1333" i="14"/>
  <c r="A1333" i="14"/>
  <c r="S1332" i="14"/>
  <c r="R1332" i="14"/>
  <c r="Q1332" i="14"/>
  <c r="P1332" i="14"/>
  <c r="A1332" i="14"/>
  <c r="S1331" i="14"/>
  <c r="R1331" i="14"/>
  <c r="Q1331" i="14"/>
  <c r="P1331" i="14"/>
  <c r="A1331" i="14"/>
  <c r="S1330" i="14"/>
  <c r="R1330" i="14"/>
  <c r="Q1330" i="14"/>
  <c r="P1330" i="14"/>
  <c r="A1330" i="14"/>
  <c r="S1329" i="14"/>
  <c r="R1329" i="14"/>
  <c r="Q1329" i="14"/>
  <c r="P1329" i="14"/>
  <c r="A1329" i="14"/>
  <c r="S1328" i="14"/>
  <c r="R1328" i="14"/>
  <c r="Q1328" i="14"/>
  <c r="P1328" i="14"/>
  <c r="A1328" i="14"/>
  <c r="S1327" i="14"/>
  <c r="R1327" i="14"/>
  <c r="Q1327" i="14"/>
  <c r="P1327" i="14"/>
  <c r="A1327" i="14"/>
  <c r="S1326" i="14"/>
  <c r="R1326" i="14"/>
  <c r="Q1326" i="14"/>
  <c r="P1326" i="14"/>
  <c r="A1326" i="14"/>
  <c r="S1325" i="14"/>
  <c r="R1325" i="14"/>
  <c r="Q1325" i="14"/>
  <c r="P1325" i="14"/>
  <c r="A1325" i="14"/>
  <c r="S1324" i="14"/>
  <c r="R1324" i="14"/>
  <c r="Q1324" i="14"/>
  <c r="P1324" i="14"/>
  <c r="A1324" i="14"/>
  <c r="S1323" i="14"/>
  <c r="R1323" i="14"/>
  <c r="Q1323" i="14"/>
  <c r="P1323" i="14"/>
  <c r="A1323" i="14"/>
  <c r="S1322" i="14"/>
  <c r="R1322" i="14"/>
  <c r="Q1322" i="14"/>
  <c r="P1322" i="14"/>
  <c r="A1322" i="14"/>
  <c r="S1321" i="14"/>
  <c r="R1321" i="14"/>
  <c r="Q1321" i="14"/>
  <c r="P1321" i="14"/>
  <c r="A1321" i="14"/>
  <c r="S1320" i="14"/>
  <c r="R1320" i="14"/>
  <c r="Q1320" i="14"/>
  <c r="P1320" i="14"/>
  <c r="A1320" i="14"/>
  <c r="S1319" i="14"/>
  <c r="R1319" i="14"/>
  <c r="Q1319" i="14"/>
  <c r="P1319" i="14"/>
  <c r="A1319" i="14"/>
  <c r="S1318" i="14"/>
  <c r="R1318" i="14"/>
  <c r="Q1318" i="14"/>
  <c r="P1318" i="14"/>
  <c r="A1318" i="14"/>
  <c r="S1317" i="14"/>
  <c r="R1317" i="14"/>
  <c r="Q1317" i="14"/>
  <c r="P1317" i="14"/>
  <c r="A1317" i="14"/>
  <c r="S1316" i="14"/>
  <c r="R1316" i="14"/>
  <c r="Q1316" i="14"/>
  <c r="P1316" i="14"/>
  <c r="A1316" i="14"/>
  <c r="S1315" i="14"/>
  <c r="R1315" i="14"/>
  <c r="Q1315" i="14"/>
  <c r="P1315" i="14"/>
  <c r="A1315" i="14"/>
  <c r="S1314" i="14"/>
  <c r="R1314" i="14"/>
  <c r="Q1314" i="14"/>
  <c r="P1314" i="14"/>
  <c r="A1314" i="14"/>
  <c r="S1313" i="14"/>
  <c r="R1313" i="14"/>
  <c r="Q1313" i="14"/>
  <c r="P1313" i="14"/>
  <c r="A1313" i="14"/>
  <c r="S1312" i="14"/>
  <c r="R1312" i="14"/>
  <c r="Q1312" i="14"/>
  <c r="P1312" i="14"/>
  <c r="A1312" i="14"/>
  <c r="S1311" i="14"/>
  <c r="R1311" i="14"/>
  <c r="Q1311" i="14"/>
  <c r="P1311" i="14"/>
  <c r="A1311" i="14"/>
  <c r="S1310" i="14"/>
  <c r="R1310" i="14"/>
  <c r="Q1310" i="14"/>
  <c r="P1310" i="14"/>
  <c r="A1310" i="14"/>
  <c r="S1309" i="14"/>
  <c r="R1309" i="14"/>
  <c r="Q1309" i="14"/>
  <c r="P1309" i="14"/>
  <c r="A1309" i="14"/>
  <c r="S1308" i="14"/>
  <c r="R1308" i="14"/>
  <c r="Q1308" i="14"/>
  <c r="P1308" i="14"/>
  <c r="A1308" i="14"/>
  <c r="S1307" i="14"/>
  <c r="R1307" i="14"/>
  <c r="Q1307" i="14"/>
  <c r="P1307" i="14"/>
  <c r="A1307" i="14"/>
  <c r="S1306" i="14"/>
  <c r="R1306" i="14"/>
  <c r="Q1306" i="14"/>
  <c r="P1306" i="14"/>
  <c r="A1306" i="14"/>
  <c r="S1305" i="14"/>
  <c r="R1305" i="14"/>
  <c r="Q1305" i="14"/>
  <c r="P1305" i="14"/>
  <c r="A1305" i="14"/>
  <c r="S1304" i="14"/>
  <c r="R1304" i="14"/>
  <c r="Q1304" i="14"/>
  <c r="P1304" i="14"/>
  <c r="A1304" i="14"/>
  <c r="S1303" i="14"/>
  <c r="R1303" i="14"/>
  <c r="Q1303" i="14"/>
  <c r="P1303" i="14"/>
  <c r="A1303" i="14"/>
  <c r="S1302" i="14"/>
  <c r="R1302" i="14"/>
  <c r="Q1302" i="14"/>
  <c r="P1302" i="14"/>
  <c r="A1302" i="14"/>
  <c r="S1301" i="14"/>
  <c r="R1301" i="14"/>
  <c r="Q1301" i="14"/>
  <c r="P1301" i="14"/>
  <c r="A1301" i="14"/>
  <c r="S1300" i="14"/>
  <c r="R1300" i="14"/>
  <c r="Q1300" i="14"/>
  <c r="P1300" i="14"/>
  <c r="A1300" i="14"/>
  <c r="S1299" i="14"/>
  <c r="R1299" i="14"/>
  <c r="Q1299" i="14"/>
  <c r="P1299" i="14"/>
  <c r="A1299" i="14"/>
  <c r="S1298" i="14"/>
  <c r="R1298" i="14"/>
  <c r="Q1298" i="14"/>
  <c r="P1298" i="14"/>
  <c r="A1298" i="14"/>
  <c r="S1297" i="14"/>
  <c r="R1297" i="14"/>
  <c r="Q1297" i="14"/>
  <c r="P1297" i="14"/>
  <c r="A1297" i="14"/>
  <c r="S1296" i="14"/>
  <c r="R1296" i="14"/>
  <c r="Q1296" i="14"/>
  <c r="P1296" i="14"/>
  <c r="A1296" i="14"/>
  <c r="S1295" i="14"/>
  <c r="R1295" i="14"/>
  <c r="Q1295" i="14"/>
  <c r="P1295" i="14"/>
  <c r="A1295" i="14"/>
  <c r="S1294" i="14"/>
  <c r="R1294" i="14"/>
  <c r="Q1294" i="14"/>
  <c r="P1294" i="14"/>
  <c r="A1294" i="14"/>
  <c r="S1293" i="14"/>
  <c r="R1293" i="14"/>
  <c r="Q1293" i="14"/>
  <c r="P1293" i="14"/>
  <c r="A1293" i="14"/>
  <c r="S1292" i="14"/>
  <c r="R1292" i="14"/>
  <c r="Q1292" i="14"/>
  <c r="P1292" i="14"/>
  <c r="A1292" i="14"/>
  <c r="S1291" i="14"/>
  <c r="R1291" i="14"/>
  <c r="Q1291" i="14"/>
  <c r="P1291" i="14"/>
  <c r="A1291" i="14"/>
  <c r="S1290" i="14"/>
  <c r="R1290" i="14"/>
  <c r="Q1290" i="14"/>
  <c r="P1290" i="14"/>
  <c r="A1290" i="14"/>
  <c r="S1289" i="14"/>
  <c r="R1289" i="14"/>
  <c r="Q1289" i="14"/>
  <c r="P1289" i="14"/>
  <c r="A1289" i="14"/>
  <c r="S1288" i="14"/>
  <c r="R1288" i="14"/>
  <c r="Q1288" i="14"/>
  <c r="P1288" i="14"/>
  <c r="A1288" i="14"/>
  <c r="S1287" i="14"/>
  <c r="R1287" i="14"/>
  <c r="Q1287" i="14"/>
  <c r="P1287" i="14"/>
  <c r="A1287" i="14"/>
  <c r="S1286" i="14"/>
  <c r="R1286" i="14"/>
  <c r="Q1286" i="14"/>
  <c r="P1286" i="14"/>
  <c r="A1286" i="14"/>
  <c r="S1285" i="14"/>
  <c r="R1285" i="14"/>
  <c r="Q1285" i="14"/>
  <c r="P1285" i="14"/>
  <c r="A1285" i="14"/>
  <c r="S1284" i="14"/>
  <c r="R1284" i="14"/>
  <c r="Q1284" i="14"/>
  <c r="P1284" i="14"/>
  <c r="A1284" i="14"/>
  <c r="S1283" i="14"/>
  <c r="R1283" i="14"/>
  <c r="Q1283" i="14"/>
  <c r="P1283" i="14"/>
  <c r="A1283" i="14"/>
  <c r="S1282" i="14"/>
  <c r="R1282" i="14"/>
  <c r="Q1282" i="14"/>
  <c r="P1282" i="14"/>
  <c r="A1282" i="14"/>
  <c r="S1281" i="14"/>
  <c r="R1281" i="14"/>
  <c r="Q1281" i="14"/>
  <c r="P1281" i="14"/>
  <c r="A1281" i="14"/>
  <c r="S1280" i="14"/>
  <c r="R1280" i="14"/>
  <c r="Q1280" i="14"/>
  <c r="P1280" i="14"/>
  <c r="A1280" i="14"/>
  <c r="S1279" i="14"/>
  <c r="R1279" i="14"/>
  <c r="Q1279" i="14"/>
  <c r="P1279" i="14"/>
  <c r="A1279" i="14"/>
  <c r="S1278" i="14"/>
  <c r="R1278" i="14"/>
  <c r="Q1278" i="14"/>
  <c r="P1278" i="14"/>
  <c r="A1278" i="14"/>
  <c r="S1277" i="14"/>
  <c r="R1277" i="14"/>
  <c r="Q1277" i="14"/>
  <c r="P1277" i="14"/>
  <c r="A1277" i="14"/>
  <c r="S1276" i="14"/>
  <c r="R1276" i="14"/>
  <c r="Q1276" i="14"/>
  <c r="P1276" i="14"/>
  <c r="A1276" i="14"/>
  <c r="S1275" i="14"/>
  <c r="R1275" i="14"/>
  <c r="Q1275" i="14"/>
  <c r="P1275" i="14"/>
  <c r="A1275" i="14"/>
  <c r="S1274" i="14"/>
  <c r="R1274" i="14"/>
  <c r="Q1274" i="14"/>
  <c r="P1274" i="14"/>
  <c r="A1274" i="14"/>
  <c r="S1273" i="14"/>
  <c r="R1273" i="14"/>
  <c r="Q1273" i="14"/>
  <c r="P1273" i="14"/>
  <c r="A1273" i="14"/>
  <c r="S1272" i="14"/>
  <c r="R1272" i="14"/>
  <c r="Q1272" i="14"/>
  <c r="P1272" i="14"/>
  <c r="A1272" i="14"/>
  <c r="S1271" i="14"/>
  <c r="R1271" i="14"/>
  <c r="Q1271" i="14"/>
  <c r="P1271" i="14"/>
  <c r="A1271" i="14"/>
  <c r="S1270" i="14"/>
  <c r="R1270" i="14"/>
  <c r="Q1270" i="14"/>
  <c r="P1270" i="14"/>
  <c r="A1270" i="14"/>
  <c r="S1269" i="14"/>
  <c r="R1269" i="14"/>
  <c r="Q1269" i="14"/>
  <c r="P1269" i="14"/>
  <c r="A1269" i="14"/>
  <c r="S1268" i="14"/>
  <c r="R1268" i="14"/>
  <c r="Q1268" i="14"/>
  <c r="P1268" i="14"/>
  <c r="A1268" i="14"/>
  <c r="S1267" i="14"/>
  <c r="R1267" i="14"/>
  <c r="Q1267" i="14"/>
  <c r="P1267" i="14"/>
  <c r="A1267" i="14"/>
  <c r="S1266" i="14"/>
  <c r="R1266" i="14"/>
  <c r="Q1266" i="14"/>
  <c r="P1266" i="14"/>
  <c r="A1266" i="14"/>
  <c r="S1265" i="14"/>
  <c r="R1265" i="14"/>
  <c r="Q1265" i="14"/>
  <c r="P1265" i="14"/>
  <c r="A1265" i="14"/>
  <c r="S1264" i="14"/>
  <c r="R1264" i="14"/>
  <c r="Q1264" i="14"/>
  <c r="P1264" i="14"/>
  <c r="A1264" i="14"/>
  <c r="S1263" i="14"/>
  <c r="R1263" i="14"/>
  <c r="Q1263" i="14"/>
  <c r="P1263" i="14"/>
  <c r="A1263" i="14"/>
  <c r="S1262" i="14"/>
  <c r="R1262" i="14"/>
  <c r="Q1262" i="14"/>
  <c r="P1262" i="14"/>
  <c r="A1262" i="14"/>
  <c r="S1261" i="14"/>
  <c r="R1261" i="14"/>
  <c r="Q1261" i="14"/>
  <c r="P1261" i="14"/>
  <c r="A1261" i="14"/>
  <c r="S1260" i="14"/>
  <c r="R1260" i="14"/>
  <c r="Q1260" i="14"/>
  <c r="P1260" i="14"/>
  <c r="A1260" i="14"/>
  <c r="S1259" i="14"/>
  <c r="R1259" i="14"/>
  <c r="Q1259" i="14"/>
  <c r="P1259" i="14"/>
  <c r="A1259" i="14"/>
  <c r="S1258" i="14"/>
  <c r="R1258" i="14"/>
  <c r="Q1258" i="14"/>
  <c r="P1258" i="14"/>
  <c r="A1258" i="14"/>
  <c r="S1257" i="14"/>
  <c r="R1257" i="14"/>
  <c r="Q1257" i="14"/>
  <c r="P1257" i="14"/>
  <c r="A1257" i="14"/>
  <c r="S1256" i="14"/>
  <c r="R1256" i="14"/>
  <c r="Q1256" i="14"/>
  <c r="P1256" i="14"/>
  <c r="A1256" i="14"/>
  <c r="S1255" i="14"/>
  <c r="R1255" i="14"/>
  <c r="Q1255" i="14"/>
  <c r="P1255" i="14"/>
  <c r="A1255" i="14"/>
  <c r="S1254" i="14"/>
  <c r="R1254" i="14"/>
  <c r="Q1254" i="14"/>
  <c r="P1254" i="14"/>
  <c r="A1254" i="14"/>
  <c r="S1253" i="14"/>
  <c r="R1253" i="14"/>
  <c r="Q1253" i="14"/>
  <c r="P1253" i="14"/>
  <c r="A1253" i="14"/>
  <c r="S1252" i="14"/>
  <c r="R1252" i="14"/>
  <c r="Q1252" i="14"/>
  <c r="P1252" i="14"/>
  <c r="A1252" i="14"/>
  <c r="S1251" i="14"/>
  <c r="R1251" i="14"/>
  <c r="Q1251" i="14"/>
  <c r="P1251" i="14"/>
  <c r="A1251" i="14"/>
  <c r="S1250" i="14"/>
  <c r="R1250" i="14"/>
  <c r="Q1250" i="14"/>
  <c r="P1250" i="14"/>
  <c r="A1250" i="14"/>
  <c r="S1249" i="14"/>
  <c r="R1249" i="14"/>
  <c r="Q1249" i="14"/>
  <c r="P1249" i="14"/>
  <c r="A1249" i="14"/>
  <c r="S1248" i="14"/>
  <c r="R1248" i="14"/>
  <c r="Q1248" i="14"/>
  <c r="P1248" i="14"/>
  <c r="A1248" i="14"/>
  <c r="S1247" i="14"/>
  <c r="R1247" i="14"/>
  <c r="Q1247" i="14"/>
  <c r="P1247" i="14"/>
  <c r="A1247" i="14"/>
  <c r="S1246" i="14"/>
  <c r="R1246" i="14"/>
  <c r="Q1246" i="14"/>
  <c r="P1246" i="14"/>
  <c r="A1246" i="14"/>
  <c r="S1245" i="14"/>
  <c r="R1245" i="14"/>
  <c r="Q1245" i="14"/>
  <c r="P1245" i="14"/>
  <c r="A1245" i="14"/>
  <c r="S1244" i="14"/>
  <c r="R1244" i="14"/>
  <c r="Q1244" i="14"/>
  <c r="P1244" i="14"/>
  <c r="A1244" i="14"/>
  <c r="S1243" i="14"/>
  <c r="R1243" i="14"/>
  <c r="Q1243" i="14"/>
  <c r="P1243" i="14"/>
  <c r="A1243" i="14"/>
  <c r="S1242" i="14"/>
  <c r="R1242" i="14"/>
  <c r="Q1242" i="14"/>
  <c r="P1242" i="14"/>
  <c r="A1242" i="14"/>
  <c r="S1241" i="14"/>
  <c r="R1241" i="14"/>
  <c r="Q1241" i="14"/>
  <c r="P1241" i="14"/>
  <c r="A1241" i="14"/>
  <c r="S1240" i="14"/>
  <c r="R1240" i="14"/>
  <c r="Q1240" i="14"/>
  <c r="P1240" i="14"/>
  <c r="A1240" i="14"/>
  <c r="S1239" i="14"/>
  <c r="R1239" i="14"/>
  <c r="Q1239" i="14"/>
  <c r="P1239" i="14"/>
  <c r="A1239" i="14"/>
  <c r="S1238" i="14"/>
  <c r="R1238" i="14"/>
  <c r="Q1238" i="14"/>
  <c r="P1238" i="14"/>
  <c r="A1238" i="14"/>
  <c r="S1237" i="14"/>
  <c r="R1237" i="14"/>
  <c r="Q1237" i="14"/>
  <c r="P1237" i="14"/>
  <c r="A1237" i="14"/>
  <c r="S1236" i="14"/>
  <c r="R1236" i="14"/>
  <c r="S1235" i="14"/>
  <c r="R1235" i="14"/>
  <c r="S1234" i="14"/>
  <c r="R1234" i="14"/>
  <c r="S1233" i="14"/>
  <c r="R1233" i="14"/>
  <c r="S1232" i="14"/>
  <c r="R1232" i="14"/>
  <c r="S1231" i="14"/>
  <c r="R1231" i="14"/>
  <c r="S1230" i="14"/>
  <c r="R1230" i="14"/>
  <c r="S1229" i="14"/>
  <c r="R1229" i="14"/>
  <c r="S1228" i="14"/>
  <c r="R1228" i="14"/>
  <c r="S1227" i="14"/>
  <c r="R1227" i="14"/>
  <c r="S1226" i="14"/>
  <c r="R1226" i="14"/>
  <c r="S1225" i="14"/>
  <c r="R1225" i="14"/>
  <c r="S1224" i="14"/>
  <c r="R1224" i="14"/>
  <c r="S1223" i="14"/>
  <c r="R1223" i="14"/>
  <c r="S1222" i="14"/>
  <c r="R1222" i="14"/>
  <c r="S1221" i="14"/>
  <c r="R1221" i="14"/>
  <c r="S1220" i="14"/>
  <c r="R1220" i="14"/>
  <c r="S1219" i="14"/>
  <c r="R1219" i="14"/>
  <c r="S1218" i="14"/>
  <c r="R1218" i="14"/>
  <c r="S1217" i="14"/>
  <c r="R1217" i="14"/>
  <c r="S1216" i="14"/>
  <c r="R1216" i="14"/>
  <c r="S1215" i="14"/>
  <c r="R1215" i="14"/>
  <c r="S1214" i="14"/>
  <c r="R1214" i="14"/>
  <c r="S1213" i="14"/>
  <c r="R1213" i="14"/>
  <c r="S1212" i="14"/>
  <c r="R1212" i="14"/>
  <c r="S1211" i="14"/>
  <c r="R1211" i="14"/>
  <c r="S1210" i="14"/>
  <c r="R1210" i="14"/>
  <c r="S1209" i="14"/>
  <c r="R1209" i="14"/>
  <c r="S1208" i="14"/>
  <c r="R1208" i="14"/>
  <c r="S1207" i="14"/>
  <c r="R1207" i="14"/>
  <c r="S1206" i="14"/>
  <c r="R1206" i="14"/>
  <c r="S1205" i="14"/>
  <c r="R1205" i="14"/>
  <c r="S1204" i="14"/>
  <c r="R1204" i="14"/>
  <c r="S1203" i="14"/>
  <c r="R1203" i="14"/>
  <c r="S1202" i="14"/>
  <c r="R1202" i="14"/>
  <c r="S1201" i="14"/>
  <c r="R1201" i="14"/>
  <c r="S1200" i="14"/>
  <c r="R1200" i="14"/>
  <c r="S1199" i="14"/>
  <c r="R1199" i="14"/>
  <c r="S1198" i="14"/>
  <c r="R1198" i="14"/>
  <c r="S1197" i="14"/>
  <c r="R1197" i="14"/>
  <c r="S1196" i="14"/>
  <c r="R1196" i="14"/>
  <c r="S1195" i="14"/>
  <c r="R1195" i="14"/>
  <c r="S1194" i="14"/>
  <c r="R1194" i="14"/>
  <c r="S1193" i="14"/>
  <c r="R1193" i="14"/>
  <c r="S1192" i="14"/>
  <c r="R1192" i="14"/>
  <c r="S1191" i="14"/>
  <c r="R1191" i="14"/>
  <c r="S1190" i="14"/>
  <c r="R1190" i="14"/>
  <c r="S1189" i="14"/>
  <c r="R1189" i="14"/>
  <c r="S1188" i="14"/>
  <c r="R1188" i="14"/>
  <c r="S1187" i="14"/>
  <c r="R1187" i="14"/>
  <c r="S1186" i="14"/>
  <c r="R1186" i="14"/>
  <c r="S1185" i="14"/>
  <c r="R1185" i="14"/>
  <c r="S1184" i="14"/>
  <c r="R1184" i="14"/>
  <c r="S1183" i="14"/>
  <c r="R1183" i="14"/>
  <c r="S1182" i="14"/>
  <c r="R1182" i="14"/>
  <c r="S1181" i="14"/>
  <c r="R1181" i="14"/>
  <c r="S1180" i="14"/>
  <c r="R1180" i="14"/>
  <c r="S1179" i="14"/>
  <c r="R1179" i="14"/>
  <c r="S1178" i="14"/>
  <c r="R1178" i="14"/>
  <c r="S1177" i="14"/>
  <c r="R1177" i="14"/>
  <c r="S1176" i="14"/>
  <c r="R1176" i="14"/>
  <c r="S1175" i="14"/>
  <c r="R1175" i="14"/>
  <c r="S1174" i="14"/>
  <c r="R1174" i="14"/>
  <c r="S1173" i="14"/>
  <c r="R1173" i="14"/>
  <c r="S1172" i="14"/>
  <c r="R1172" i="14"/>
  <c r="S1171" i="14"/>
  <c r="R1171" i="14"/>
  <c r="S1170" i="14"/>
  <c r="R1170" i="14"/>
  <c r="S1169" i="14"/>
  <c r="R1169" i="14"/>
  <c r="S1168" i="14"/>
  <c r="R1168" i="14"/>
  <c r="S1167" i="14"/>
  <c r="R1167" i="14"/>
  <c r="S1166" i="14"/>
  <c r="R1166" i="14"/>
  <c r="S1165" i="14"/>
  <c r="R1165" i="14"/>
  <c r="S1164" i="14"/>
  <c r="R1164" i="14"/>
  <c r="S1163" i="14"/>
  <c r="R1163" i="14"/>
  <c r="S1162" i="14"/>
  <c r="R1162" i="14"/>
  <c r="S1161" i="14"/>
  <c r="R1161" i="14"/>
  <c r="S1160" i="14"/>
  <c r="R1160" i="14"/>
  <c r="S1159" i="14"/>
  <c r="R1159" i="14"/>
  <c r="S1158" i="14"/>
  <c r="R1158" i="14"/>
  <c r="S1157" i="14"/>
  <c r="R1157" i="14"/>
  <c r="S1156" i="14"/>
  <c r="R1156" i="14"/>
  <c r="S1155" i="14"/>
  <c r="R1155" i="14"/>
  <c r="S1154" i="14"/>
  <c r="R1154" i="14"/>
  <c r="S1153" i="14"/>
  <c r="R1153" i="14"/>
  <c r="S1152" i="14"/>
  <c r="R1152" i="14"/>
  <c r="S1151" i="14"/>
  <c r="R1151" i="14"/>
  <c r="S1150" i="14"/>
  <c r="R1150" i="14"/>
  <c r="S1149" i="14"/>
  <c r="R1149" i="14"/>
  <c r="S1148" i="14"/>
  <c r="R1148" i="14"/>
  <c r="S1147" i="14"/>
  <c r="R1147" i="14"/>
  <c r="S1146" i="14"/>
  <c r="R1146" i="14"/>
  <c r="S1145" i="14"/>
  <c r="R1145" i="14"/>
  <c r="S1144" i="14"/>
  <c r="R1144" i="14"/>
  <c r="S1143" i="14"/>
  <c r="R1143" i="14"/>
  <c r="S1142" i="14"/>
  <c r="R1142" i="14"/>
  <c r="S1141" i="14"/>
  <c r="R1141" i="14"/>
  <c r="S1140" i="14"/>
  <c r="R1140" i="14"/>
  <c r="S1139" i="14"/>
  <c r="R1139" i="14"/>
  <c r="S1138" i="14"/>
  <c r="R1138" i="14"/>
  <c r="S1137" i="14"/>
  <c r="R1137" i="14"/>
  <c r="S1136" i="14"/>
  <c r="R1136" i="14"/>
  <c r="S1135" i="14"/>
  <c r="R1135" i="14"/>
  <c r="S1134" i="14"/>
  <c r="R1134" i="14"/>
  <c r="S1133" i="14"/>
  <c r="R1133" i="14"/>
  <c r="S1132" i="14"/>
  <c r="R1132" i="14"/>
  <c r="S1131" i="14"/>
  <c r="R1131" i="14"/>
  <c r="S1130" i="14"/>
  <c r="R1130" i="14"/>
  <c r="S1129" i="14"/>
  <c r="R1129" i="14"/>
  <c r="S1128" i="14"/>
  <c r="R1128" i="14"/>
  <c r="S1127" i="14"/>
  <c r="R1127" i="14"/>
  <c r="S1126" i="14"/>
  <c r="R1126" i="14"/>
  <c r="S1125" i="14"/>
  <c r="R1125" i="14"/>
  <c r="S1124" i="14"/>
  <c r="R1124" i="14"/>
  <c r="S1123" i="14"/>
  <c r="R1123" i="14"/>
  <c r="S1122" i="14"/>
  <c r="R1122" i="14"/>
  <c r="S1121" i="14"/>
  <c r="R1121" i="14"/>
  <c r="S1120" i="14"/>
  <c r="R1120" i="14"/>
  <c r="S1119" i="14"/>
  <c r="R1119" i="14"/>
  <c r="S1118" i="14"/>
  <c r="R1118" i="14"/>
  <c r="S1117" i="14"/>
  <c r="R1117" i="14"/>
  <c r="S1116" i="14"/>
  <c r="R1116" i="14"/>
  <c r="S1115" i="14"/>
  <c r="R1115" i="14"/>
  <c r="S1114" i="14"/>
  <c r="R1114" i="14"/>
  <c r="S1113" i="14"/>
  <c r="R1113" i="14"/>
  <c r="S1112" i="14"/>
  <c r="R1112" i="14"/>
  <c r="S1111" i="14"/>
  <c r="R1111" i="14"/>
  <c r="S1110" i="14"/>
  <c r="R1110" i="14"/>
  <c r="S1109" i="14"/>
  <c r="R1109" i="14"/>
  <c r="S1108" i="14"/>
  <c r="R1108" i="14"/>
  <c r="S1107" i="14"/>
  <c r="R1107" i="14"/>
  <c r="S1106" i="14"/>
  <c r="R1106" i="14"/>
  <c r="S1105" i="14"/>
  <c r="R1105" i="14"/>
  <c r="S1104" i="14"/>
  <c r="R1104" i="14"/>
  <c r="S1103" i="14"/>
  <c r="R1103" i="14"/>
  <c r="S1102" i="14"/>
  <c r="R1102" i="14"/>
  <c r="S1101" i="14"/>
  <c r="R1101" i="14"/>
  <c r="S1100" i="14"/>
  <c r="R1100" i="14"/>
  <c r="S1099" i="14"/>
  <c r="R1099" i="14"/>
  <c r="S1098" i="14"/>
  <c r="R1098" i="14"/>
  <c r="S1097" i="14"/>
  <c r="R1097" i="14"/>
  <c r="S1096" i="14"/>
  <c r="R1096" i="14"/>
  <c r="S1095" i="14"/>
  <c r="R1095" i="14"/>
  <c r="S1094" i="14"/>
  <c r="R1094" i="14"/>
  <c r="S1093" i="14"/>
  <c r="R1093" i="14"/>
  <c r="S1092" i="14"/>
  <c r="R1092" i="14"/>
  <c r="S1091" i="14"/>
  <c r="R1091" i="14"/>
  <c r="S1090" i="14"/>
  <c r="R1090" i="14"/>
  <c r="S1089" i="14"/>
  <c r="R1089" i="14"/>
  <c r="S1088" i="14"/>
  <c r="R1088" i="14"/>
  <c r="S1087" i="14"/>
  <c r="R1087" i="14"/>
  <c r="S1086" i="14"/>
  <c r="R1086" i="14"/>
  <c r="S1085" i="14"/>
  <c r="R1085" i="14"/>
  <c r="S1084" i="14"/>
  <c r="R1084" i="14"/>
  <c r="S1083" i="14"/>
  <c r="R1083" i="14"/>
  <c r="S1082" i="14"/>
  <c r="R1082" i="14"/>
  <c r="S1081" i="14"/>
  <c r="R1081" i="14"/>
  <c r="S1080" i="14"/>
  <c r="R1080" i="14"/>
  <c r="S1079" i="14"/>
  <c r="R1079" i="14"/>
  <c r="S1078" i="14"/>
  <c r="R1078" i="14"/>
  <c r="S1077" i="14"/>
  <c r="R1077" i="14"/>
  <c r="S1076" i="14"/>
  <c r="R1076" i="14"/>
  <c r="S1075" i="14"/>
  <c r="R1075" i="14"/>
  <c r="S1074" i="14"/>
  <c r="R1074" i="14"/>
  <c r="S1073" i="14"/>
  <c r="R1073" i="14"/>
  <c r="S1072" i="14"/>
  <c r="R1072" i="14"/>
  <c r="S1071" i="14"/>
  <c r="R1071" i="14"/>
  <c r="S1070" i="14"/>
  <c r="R1070" i="14"/>
  <c r="S1069" i="14"/>
  <c r="R1069" i="14"/>
  <c r="S1068" i="14"/>
  <c r="R1068" i="14"/>
  <c r="S1067" i="14"/>
  <c r="R1067" i="14"/>
  <c r="S1066" i="14"/>
  <c r="R1066" i="14"/>
  <c r="S1065" i="14"/>
  <c r="R1065" i="14"/>
  <c r="S1064" i="14"/>
  <c r="R1064" i="14"/>
  <c r="S1063" i="14"/>
  <c r="R1063" i="14"/>
  <c r="S1062" i="14"/>
  <c r="R1062" i="14"/>
  <c r="S1061" i="14"/>
  <c r="R1061" i="14"/>
  <c r="S1060" i="14"/>
  <c r="R1060" i="14"/>
  <c r="S1059" i="14"/>
  <c r="R1059" i="14"/>
  <c r="S1058" i="14"/>
  <c r="R1058" i="14"/>
  <c r="S1057" i="14"/>
  <c r="R1057" i="14"/>
  <c r="S1056" i="14"/>
  <c r="R1056" i="14"/>
  <c r="S1055" i="14"/>
  <c r="R1055" i="14"/>
  <c r="S1054" i="14"/>
  <c r="R1054" i="14"/>
  <c r="S1053" i="14"/>
  <c r="R1053" i="14"/>
  <c r="S1052" i="14"/>
  <c r="R1052" i="14"/>
  <c r="S1051" i="14"/>
  <c r="R1051" i="14"/>
  <c r="S1050" i="14"/>
  <c r="R1050" i="14"/>
  <c r="S1049" i="14"/>
  <c r="R1049" i="14"/>
  <c r="S1048" i="14"/>
  <c r="R1048" i="14"/>
  <c r="S1047" i="14"/>
  <c r="R1047" i="14"/>
  <c r="S1046" i="14"/>
  <c r="R1046" i="14"/>
  <c r="S1045" i="14"/>
  <c r="R1045" i="14"/>
  <c r="S1044" i="14"/>
  <c r="R1044" i="14"/>
  <c r="S1043" i="14"/>
  <c r="R1043" i="14"/>
  <c r="S1042" i="14"/>
  <c r="R1042" i="14"/>
  <c r="S1041" i="14"/>
  <c r="R1041" i="14"/>
  <c r="S1040" i="14"/>
  <c r="R1040" i="14"/>
  <c r="S1039" i="14"/>
  <c r="R1039" i="14"/>
  <c r="S1038" i="14"/>
  <c r="R1038" i="14"/>
  <c r="S1037" i="14"/>
  <c r="R1037" i="14"/>
  <c r="S1036" i="14"/>
  <c r="R1036" i="14"/>
  <c r="S1035" i="14"/>
  <c r="R1035" i="14"/>
  <c r="S1034" i="14"/>
  <c r="R1034" i="14"/>
  <c r="S1033" i="14"/>
  <c r="R1033" i="14"/>
  <c r="S1032" i="14"/>
  <c r="R1032" i="14"/>
  <c r="S1031" i="14"/>
  <c r="R1031" i="14"/>
  <c r="S1030" i="14"/>
  <c r="R1030" i="14"/>
  <c r="S1029" i="14"/>
  <c r="R1029" i="14"/>
  <c r="S1028" i="14"/>
  <c r="R1028" i="14"/>
  <c r="S1027" i="14"/>
  <c r="R1027" i="14"/>
  <c r="S1026" i="14"/>
  <c r="R1026" i="14"/>
  <c r="S1025" i="14"/>
  <c r="R1025" i="14"/>
  <c r="S1024" i="14"/>
  <c r="R1024" i="14"/>
  <c r="S1023" i="14"/>
  <c r="R1023" i="14"/>
  <c r="S1022" i="14"/>
  <c r="R1022" i="14"/>
  <c r="S1021" i="14"/>
  <c r="R1021" i="14"/>
  <c r="S1020" i="14"/>
  <c r="R1020" i="14"/>
  <c r="S1019" i="14"/>
  <c r="R1019" i="14"/>
  <c r="S1018" i="14"/>
  <c r="R1018" i="14"/>
  <c r="S1017" i="14"/>
  <c r="R1017" i="14"/>
  <c r="S1016" i="14"/>
  <c r="R1016" i="14"/>
  <c r="S1015" i="14"/>
  <c r="R1015" i="14"/>
  <c r="S1014" i="14"/>
  <c r="R1014" i="14"/>
  <c r="S1013" i="14"/>
  <c r="R1013" i="14"/>
  <c r="S1012" i="14"/>
  <c r="R1012" i="14"/>
  <c r="S1011" i="14"/>
  <c r="R1011" i="14"/>
  <c r="S1010" i="14"/>
  <c r="R1010" i="14"/>
  <c r="S1009" i="14"/>
  <c r="R1009" i="14"/>
  <c r="S1008" i="14"/>
  <c r="R1008" i="14"/>
  <c r="S1007" i="14"/>
  <c r="R1007" i="14"/>
  <c r="S1006" i="14"/>
  <c r="R1006" i="14"/>
  <c r="S1005" i="14"/>
  <c r="R1005" i="14"/>
  <c r="S1004" i="14"/>
  <c r="R1004" i="14"/>
  <c r="S1003" i="14"/>
  <c r="R1003" i="14"/>
  <c r="S1002" i="14"/>
  <c r="R1002" i="14"/>
  <c r="S1001" i="14"/>
  <c r="R1001" i="14"/>
  <c r="S1000" i="14"/>
  <c r="R1000" i="14"/>
  <c r="S999" i="14"/>
  <c r="R999" i="14"/>
  <c r="S998" i="14"/>
  <c r="R998" i="14"/>
  <c r="S997" i="14"/>
  <c r="R997" i="14"/>
  <c r="S996" i="14"/>
  <c r="R996" i="14"/>
  <c r="S995" i="14"/>
  <c r="R995" i="14"/>
  <c r="S994" i="14"/>
  <c r="R994" i="14"/>
  <c r="S993" i="14"/>
  <c r="R993" i="14"/>
  <c r="S992" i="14"/>
  <c r="R992" i="14"/>
  <c r="S991" i="14"/>
  <c r="R991" i="14"/>
  <c r="S990" i="14"/>
  <c r="R990" i="14"/>
  <c r="S989" i="14"/>
  <c r="R989" i="14"/>
  <c r="S988" i="14"/>
  <c r="R988" i="14"/>
  <c r="S987" i="14"/>
  <c r="R987" i="14"/>
  <c r="S986" i="14"/>
  <c r="R986" i="14"/>
  <c r="S985" i="14"/>
  <c r="R985" i="14"/>
  <c r="S984" i="14"/>
  <c r="R984" i="14"/>
  <c r="S983" i="14"/>
  <c r="R983" i="14"/>
  <c r="S982" i="14"/>
  <c r="R982" i="14"/>
  <c r="S981" i="14"/>
  <c r="R981" i="14"/>
  <c r="S980" i="14"/>
  <c r="R980" i="14"/>
  <c r="S979" i="14"/>
  <c r="R979" i="14"/>
  <c r="S978" i="14"/>
  <c r="R978" i="14"/>
  <c r="S977" i="14"/>
  <c r="R977" i="14"/>
  <c r="S976" i="14"/>
  <c r="R976" i="14"/>
  <c r="S975" i="14"/>
  <c r="R975" i="14"/>
  <c r="S974" i="14"/>
  <c r="R974" i="14"/>
  <c r="S973" i="14"/>
  <c r="R973" i="14"/>
  <c r="S972" i="14"/>
  <c r="R972" i="14"/>
  <c r="S971" i="14"/>
  <c r="R971" i="14"/>
  <c r="S970" i="14"/>
  <c r="R970" i="14"/>
  <c r="S969" i="14"/>
  <c r="R969" i="14"/>
  <c r="S968" i="14"/>
  <c r="R968" i="14"/>
  <c r="S967" i="14"/>
  <c r="R967" i="14"/>
  <c r="S966" i="14"/>
  <c r="R966" i="14"/>
  <c r="S965" i="14"/>
  <c r="R965" i="14"/>
  <c r="S964" i="14"/>
  <c r="R964" i="14"/>
  <c r="S963" i="14"/>
  <c r="R963" i="14"/>
  <c r="S962" i="14"/>
  <c r="R962" i="14"/>
  <c r="S961" i="14"/>
  <c r="R961" i="14"/>
  <c r="S960" i="14"/>
  <c r="R960" i="14"/>
  <c r="S959" i="14"/>
  <c r="R959" i="14"/>
  <c r="S958" i="14"/>
  <c r="R958" i="14"/>
  <c r="S957" i="14"/>
  <c r="R957" i="14"/>
  <c r="S956" i="14"/>
  <c r="R956" i="14"/>
  <c r="S955" i="14"/>
  <c r="R955" i="14"/>
  <c r="S954" i="14"/>
  <c r="R954" i="14"/>
  <c r="S953" i="14"/>
  <c r="R953" i="14"/>
  <c r="S952" i="14"/>
  <c r="R952" i="14"/>
  <c r="S951" i="14"/>
  <c r="R951" i="14"/>
  <c r="S950" i="14"/>
  <c r="R950" i="14"/>
  <c r="S949" i="14"/>
  <c r="R949" i="14"/>
  <c r="S948" i="14"/>
  <c r="R948" i="14"/>
  <c r="S947" i="14"/>
  <c r="R947" i="14"/>
  <c r="S946" i="14"/>
  <c r="R946" i="14"/>
  <c r="S945" i="14"/>
  <c r="R945" i="14"/>
  <c r="S944" i="14"/>
  <c r="R944" i="14"/>
  <c r="S943" i="14"/>
  <c r="R943" i="14"/>
  <c r="S942" i="14"/>
  <c r="R942" i="14"/>
  <c r="S941" i="14"/>
  <c r="R941" i="14"/>
  <c r="S940" i="14"/>
  <c r="R940" i="14"/>
  <c r="S939" i="14"/>
  <c r="R939" i="14"/>
  <c r="S938" i="14"/>
  <c r="R938" i="14"/>
  <c r="S937" i="14"/>
  <c r="R937" i="14"/>
  <c r="S936" i="14"/>
  <c r="R936" i="14"/>
  <c r="S935" i="14"/>
  <c r="R935" i="14"/>
  <c r="S934" i="14"/>
  <c r="R934" i="14"/>
  <c r="S933" i="14"/>
  <c r="R933" i="14"/>
  <c r="S932" i="14"/>
  <c r="R932" i="14"/>
  <c r="S931" i="14"/>
  <c r="R931" i="14"/>
  <c r="S930" i="14"/>
  <c r="R930" i="14"/>
  <c r="S929" i="14"/>
  <c r="R929" i="14"/>
  <c r="S928" i="14"/>
  <c r="R928" i="14"/>
  <c r="S927" i="14"/>
  <c r="R927" i="14"/>
  <c r="S926" i="14"/>
  <c r="R926" i="14"/>
  <c r="S925" i="14"/>
  <c r="R925" i="14"/>
  <c r="S924" i="14"/>
  <c r="R924" i="14"/>
  <c r="S923" i="14"/>
  <c r="R923" i="14"/>
  <c r="S922" i="14"/>
  <c r="R922" i="14"/>
  <c r="S921" i="14"/>
  <c r="R921" i="14"/>
  <c r="S920" i="14"/>
  <c r="R920" i="14"/>
  <c r="S919" i="14"/>
  <c r="R919" i="14"/>
  <c r="S918" i="14"/>
  <c r="R918" i="14"/>
  <c r="S917" i="14"/>
  <c r="R917" i="14"/>
  <c r="S916" i="14"/>
  <c r="R916" i="14"/>
  <c r="S915" i="14"/>
  <c r="R915" i="14"/>
  <c r="S914" i="14"/>
  <c r="R914" i="14"/>
  <c r="S913" i="14"/>
  <c r="R913" i="14"/>
  <c r="S912" i="14"/>
  <c r="R912" i="14"/>
  <c r="S911" i="14"/>
  <c r="R911" i="14"/>
  <c r="S910" i="14"/>
  <c r="R910" i="14"/>
  <c r="S909" i="14"/>
  <c r="R909" i="14"/>
  <c r="S908" i="14"/>
  <c r="R908" i="14"/>
  <c r="S907" i="14"/>
  <c r="R907" i="14"/>
  <c r="S906" i="14"/>
  <c r="R906" i="14"/>
  <c r="S905" i="14"/>
  <c r="R905" i="14"/>
  <c r="S904" i="14"/>
  <c r="R904" i="14"/>
  <c r="S903" i="14"/>
  <c r="R903" i="14"/>
  <c r="S902" i="14"/>
  <c r="R902" i="14"/>
  <c r="S901" i="14"/>
  <c r="R901" i="14"/>
  <c r="S900" i="14"/>
  <c r="R900" i="14"/>
  <c r="S899" i="14"/>
  <c r="R899" i="14"/>
  <c r="S898" i="14"/>
  <c r="R898" i="14"/>
  <c r="S897" i="14"/>
  <c r="R897" i="14"/>
  <c r="S896" i="14"/>
  <c r="R896" i="14"/>
  <c r="S895" i="14"/>
  <c r="R895" i="14"/>
  <c r="S894" i="14"/>
  <c r="R894" i="14"/>
  <c r="S893" i="14"/>
  <c r="R893" i="14"/>
  <c r="S892" i="14"/>
  <c r="R892" i="14"/>
  <c r="S891" i="14"/>
  <c r="R891" i="14"/>
  <c r="S890" i="14"/>
  <c r="R890" i="14"/>
  <c r="S889" i="14"/>
  <c r="R889" i="14"/>
  <c r="S888" i="14"/>
  <c r="R888" i="14"/>
  <c r="S887" i="14"/>
  <c r="R887" i="14"/>
  <c r="S886" i="14"/>
  <c r="R886" i="14"/>
  <c r="S885" i="14"/>
  <c r="R885" i="14"/>
  <c r="S884" i="14"/>
  <c r="R884" i="14"/>
  <c r="S883" i="14"/>
  <c r="R883" i="14"/>
  <c r="S882" i="14"/>
  <c r="R882" i="14"/>
  <c r="S881" i="14"/>
  <c r="R881" i="14"/>
  <c r="S880" i="14"/>
  <c r="R880" i="14"/>
  <c r="S879" i="14"/>
  <c r="R879" i="14"/>
  <c r="S878" i="14"/>
  <c r="R878" i="14"/>
  <c r="S877" i="14"/>
  <c r="R877" i="14"/>
  <c r="S876" i="14"/>
  <c r="R876" i="14"/>
  <c r="S875" i="14"/>
  <c r="R875" i="14"/>
  <c r="S874" i="14"/>
  <c r="R874" i="14"/>
  <c r="S873" i="14"/>
  <c r="R873" i="14"/>
  <c r="S872" i="14"/>
  <c r="R872" i="14"/>
  <c r="S871" i="14"/>
  <c r="R871" i="14"/>
  <c r="S870" i="14"/>
  <c r="R870" i="14"/>
  <c r="S869" i="14"/>
  <c r="R869" i="14"/>
  <c r="S868" i="14"/>
  <c r="R868" i="14"/>
  <c r="S867" i="14"/>
  <c r="R867" i="14"/>
  <c r="S866" i="14"/>
  <c r="R866" i="14"/>
  <c r="S865" i="14"/>
  <c r="R865" i="14"/>
  <c r="S864" i="14"/>
  <c r="R864" i="14"/>
  <c r="S863" i="14"/>
  <c r="R863" i="14"/>
  <c r="S862" i="14"/>
  <c r="R862" i="14"/>
  <c r="S861" i="14"/>
  <c r="R861" i="14"/>
  <c r="S860" i="14"/>
  <c r="R860" i="14"/>
  <c r="S859" i="14"/>
  <c r="R859" i="14"/>
  <c r="S858" i="14"/>
  <c r="R858" i="14"/>
  <c r="S857" i="14"/>
  <c r="R857" i="14"/>
  <c r="S856" i="14"/>
  <c r="R856" i="14"/>
  <c r="S855" i="14"/>
  <c r="R855" i="14"/>
  <c r="S854" i="14"/>
  <c r="R854" i="14"/>
  <c r="S853" i="14"/>
  <c r="R853" i="14"/>
  <c r="S852" i="14"/>
  <c r="R852" i="14"/>
  <c r="S851" i="14"/>
  <c r="R851" i="14"/>
  <c r="S850" i="14"/>
  <c r="R850" i="14"/>
  <c r="S849" i="14"/>
  <c r="R849" i="14"/>
  <c r="S848" i="14"/>
  <c r="R848" i="14"/>
  <c r="S847" i="14"/>
  <c r="R847" i="14"/>
  <c r="S846" i="14"/>
  <c r="R846" i="14"/>
  <c r="S845" i="14"/>
  <c r="R845" i="14"/>
  <c r="S844" i="14"/>
  <c r="R844" i="14"/>
  <c r="S843" i="14"/>
  <c r="R843" i="14"/>
  <c r="S842" i="14"/>
  <c r="R842" i="14"/>
  <c r="S841" i="14"/>
  <c r="R841" i="14"/>
  <c r="S840" i="14"/>
  <c r="R840" i="14"/>
  <c r="S839" i="14"/>
  <c r="R839" i="14"/>
  <c r="S838" i="14"/>
  <c r="R838" i="14"/>
  <c r="S837" i="14"/>
  <c r="R837" i="14"/>
  <c r="S836" i="14"/>
  <c r="R836" i="14"/>
  <c r="S835" i="14"/>
  <c r="R835" i="14"/>
  <c r="S834" i="14"/>
  <c r="R834" i="14"/>
  <c r="S833" i="14"/>
  <c r="R833" i="14"/>
  <c r="S832" i="14"/>
  <c r="R832" i="14"/>
  <c r="S831" i="14"/>
  <c r="R831" i="14"/>
  <c r="S830" i="14"/>
  <c r="R830" i="14"/>
  <c r="S829" i="14"/>
  <c r="R829" i="14"/>
  <c r="S828" i="14"/>
  <c r="R828" i="14"/>
  <c r="S827" i="14"/>
  <c r="R827" i="14"/>
  <c r="S826" i="14"/>
  <c r="R826" i="14"/>
  <c r="S825" i="14"/>
  <c r="R825" i="14"/>
  <c r="S824" i="14"/>
  <c r="R824" i="14"/>
  <c r="S823" i="14"/>
  <c r="R823" i="14"/>
  <c r="S822" i="14"/>
  <c r="R822" i="14"/>
  <c r="S821" i="14"/>
  <c r="R821" i="14"/>
  <c r="S820" i="14"/>
  <c r="R820" i="14"/>
  <c r="S819" i="14"/>
  <c r="R819" i="14"/>
  <c r="S818" i="14"/>
  <c r="R818" i="14"/>
  <c r="S817" i="14"/>
  <c r="R817" i="14"/>
  <c r="S816" i="14"/>
  <c r="R816" i="14"/>
  <c r="S815" i="14"/>
  <c r="R815" i="14"/>
  <c r="S814" i="14"/>
  <c r="R814" i="14"/>
  <c r="S813" i="14"/>
  <c r="R813" i="14"/>
  <c r="S812" i="14"/>
  <c r="R812" i="14"/>
  <c r="S811" i="14"/>
  <c r="R811" i="14"/>
  <c r="S810" i="14"/>
  <c r="R810" i="14"/>
  <c r="S809" i="14"/>
  <c r="R809" i="14"/>
  <c r="S808" i="14"/>
  <c r="R808" i="14"/>
  <c r="S807" i="14"/>
  <c r="R807" i="14"/>
  <c r="S806" i="14"/>
  <c r="R806" i="14"/>
  <c r="S805" i="14"/>
  <c r="R805" i="14"/>
  <c r="S804" i="14"/>
  <c r="R804" i="14"/>
  <c r="S803" i="14"/>
  <c r="R803" i="14"/>
  <c r="S802" i="14"/>
  <c r="R802" i="14"/>
  <c r="S801" i="14"/>
  <c r="R801" i="14"/>
  <c r="S800" i="14"/>
  <c r="R800" i="14"/>
  <c r="S799" i="14"/>
  <c r="R799" i="14"/>
  <c r="S798" i="14"/>
  <c r="R798" i="14"/>
  <c r="S797" i="14"/>
  <c r="R797" i="14"/>
  <c r="S796" i="14"/>
  <c r="R796" i="14"/>
  <c r="S795" i="14"/>
  <c r="R795" i="14"/>
  <c r="S794" i="14"/>
  <c r="R794" i="14"/>
  <c r="S793" i="14"/>
  <c r="R793" i="14"/>
  <c r="S792" i="14"/>
  <c r="R792" i="14"/>
  <c r="S791" i="14"/>
  <c r="R791" i="14"/>
  <c r="S790" i="14"/>
  <c r="R790" i="14"/>
  <c r="S789" i="14"/>
  <c r="R789" i="14"/>
  <c r="S788" i="14"/>
  <c r="R788" i="14"/>
  <c r="S787" i="14"/>
  <c r="R787" i="14"/>
  <c r="S786" i="14"/>
  <c r="R786" i="14"/>
  <c r="S785" i="14"/>
  <c r="R785" i="14"/>
  <c r="S784" i="14"/>
  <c r="R784" i="14"/>
  <c r="S783" i="14"/>
  <c r="R783" i="14"/>
  <c r="S782" i="14"/>
  <c r="R782" i="14"/>
  <c r="S781" i="14"/>
  <c r="R781" i="14"/>
  <c r="S780" i="14"/>
  <c r="R780" i="14"/>
  <c r="S779" i="14"/>
  <c r="R779" i="14"/>
  <c r="S778" i="14"/>
  <c r="R778" i="14"/>
  <c r="S777" i="14"/>
  <c r="R777" i="14"/>
  <c r="S776" i="14"/>
  <c r="R776" i="14"/>
  <c r="S775" i="14"/>
  <c r="R775" i="14"/>
  <c r="S774" i="14"/>
  <c r="R774" i="14"/>
  <c r="S773" i="14"/>
  <c r="R773" i="14"/>
  <c r="S772" i="14"/>
  <c r="R772" i="14"/>
  <c r="S771" i="14"/>
  <c r="R771" i="14"/>
  <c r="S770" i="14"/>
  <c r="R770" i="14"/>
  <c r="S769" i="14"/>
  <c r="R769" i="14"/>
  <c r="S768" i="14"/>
  <c r="R768" i="14"/>
  <c r="S767" i="14"/>
  <c r="R767" i="14"/>
  <c r="S766" i="14"/>
  <c r="R766" i="14"/>
  <c r="S765" i="14"/>
  <c r="R765" i="14"/>
  <c r="S764" i="14"/>
  <c r="R764" i="14"/>
  <c r="S763" i="14"/>
  <c r="R763" i="14"/>
  <c r="S762" i="14"/>
  <c r="R762" i="14"/>
  <c r="S761" i="14"/>
  <c r="R761" i="14"/>
  <c r="S760" i="14"/>
  <c r="R760" i="14"/>
  <c r="S759" i="14"/>
  <c r="R759" i="14"/>
  <c r="S758" i="14"/>
  <c r="R758" i="14"/>
  <c r="S757" i="14"/>
  <c r="R757" i="14"/>
  <c r="S756" i="14"/>
  <c r="R756" i="14"/>
  <c r="S755" i="14"/>
  <c r="R755" i="14"/>
  <c r="S754" i="14"/>
  <c r="R754" i="14"/>
  <c r="S753" i="14"/>
  <c r="R753" i="14"/>
  <c r="S752" i="14"/>
  <c r="R752" i="14"/>
  <c r="S751" i="14"/>
  <c r="R751" i="14"/>
  <c r="S750" i="14"/>
  <c r="R750" i="14"/>
  <c r="S749" i="14"/>
  <c r="R749" i="14"/>
  <c r="S748" i="14"/>
  <c r="R748" i="14"/>
  <c r="S747" i="14"/>
  <c r="R747" i="14"/>
  <c r="S746" i="14"/>
  <c r="R746" i="14"/>
  <c r="S745" i="14"/>
  <c r="R745" i="14"/>
  <c r="S744" i="14"/>
  <c r="R744" i="14"/>
  <c r="S743" i="14"/>
  <c r="R743" i="14"/>
  <c r="S742" i="14"/>
  <c r="R742" i="14"/>
  <c r="S741" i="14"/>
  <c r="R741" i="14"/>
  <c r="S740" i="14"/>
  <c r="R740" i="14"/>
  <c r="S739" i="14"/>
  <c r="R739" i="14"/>
  <c r="S738" i="14"/>
  <c r="R738" i="14"/>
  <c r="S737" i="14"/>
  <c r="R737" i="14"/>
  <c r="S736" i="14"/>
  <c r="R736" i="14"/>
  <c r="S735" i="14"/>
  <c r="R735" i="14"/>
  <c r="S734" i="14"/>
  <c r="R734" i="14"/>
  <c r="S733" i="14"/>
  <c r="R733" i="14"/>
  <c r="S732" i="14"/>
  <c r="R732" i="14"/>
  <c r="S731" i="14"/>
  <c r="R731" i="14"/>
  <c r="S730" i="14"/>
  <c r="R730" i="14"/>
  <c r="S729" i="14"/>
  <c r="R729" i="14"/>
  <c r="S728" i="14"/>
  <c r="R728" i="14"/>
  <c r="S727" i="14"/>
  <c r="R727" i="14"/>
  <c r="S726" i="14"/>
  <c r="R726" i="14"/>
  <c r="S725" i="14"/>
  <c r="R725" i="14"/>
  <c r="S724" i="14"/>
  <c r="R724" i="14"/>
  <c r="S723" i="14"/>
  <c r="R723" i="14"/>
  <c r="S722" i="14"/>
  <c r="R722" i="14"/>
  <c r="S721" i="14"/>
  <c r="R721" i="14"/>
  <c r="S720" i="14"/>
  <c r="R720" i="14"/>
  <c r="S719" i="14"/>
  <c r="R719" i="14"/>
  <c r="S718" i="14"/>
  <c r="R718" i="14"/>
  <c r="S717" i="14"/>
  <c r="R717" i="14"/>
  <c r="S716" i="14"/>
  <c r="R716" i="14"/>
  <c r="S715" i="14"/>
  <c r="R715" i="14"/>
  <c r="S714" i="14"/>
  <c r="R714" i="14"/>
  <c r="S713" i="14"/>
  <c r="R713" i="14"/>
  <c r="S712" i="14"/>
  <c r="R712" i="14"/>
  <c r="S711" i="14"/>
  <c r="R711" i="14"/>
  <c r="S710" i="14"/>
  <c r="R710" i="14"/>
  <c r="S709" i="14"/>
  <c r="R709" i="14"/>
  <c r="S708" i="14"/>
  <c r="R708" i="14"/>
  <c r="S707" i="14"/>
  <c r="R707" i="14"/>
  <c r="S706" i="14"/>
  <c r="R706" i="14"/>
  <c r="S705" i="14"/>
  <c r="R705" i="14"/>
  <c r="S704" i="14"/>
  <c r="R704" i="14"/>
  <c r="S703" i="14"/>
  <c r="R703" i="14"/>
  <c r="S702" i="14"/>
  <c r="R702" i="14"/>
  <c r="S701" i="14"/>
  <c r="R701" i="14"/>
  <c r="S700" i="14"/>
  <c r="R700" i="14"/>
  <c r="S699" i="14"/>
  <c r="R699" i="14"/>
  <c r="S698" i="14"/>
  <c r="R698" i="14"/>
  <c r="S697" i="14"/>
  <c r="R697" i="14"/>
  <c r="S696" i="14"/>
  <c r="R696" i="14"/>
  <c r="S695" i="14"/>
  <c r="R695" i="14"/>
  <c r="S694" i="14"/>
  <c r="R694" i="14"/>
  <c r="S693" i="14"/>
  <c r="R693" i="14"/>
  <c r="S692" i="14"/>
  <c r="R692" i="14"/>
  <c r="S691" i="14"/>
  <c r="R691" i="14"/>
  <c r="S690" i="14"/>
  <c r="R690" i="14"/>
  <c r="S689" i="14"/>
  <c r="R689" i="14"/>
  <c r="S688" i="14"/>
  <c r="R688" i="14"/>
  <c r="S687" i="14"/>
  <c r="R687" i="14"/>
  <c r="S686" i="14"/>
  <c r="R686" i="14"/>
  <c r="S685" i="14"/>
  <c r="R685" i="14"/>
  <c r="S684" i="14"/>
  <c r="R684" i="14"/>
  <c r="S683" i="14"/>
  <c r="R683" i="14"/>
  <c r="S682" i="14"/>
  <c r="R682" i="14"/>
  <c r="S681" i="14"/>
  <c r="R681" i="14"/>
  <c r="S680" i="14"/>
  <c r="R680" i="14"/>
  <c r="S679" i="14"/>
  <c r="R679" i="14"/>
  <c r="S678" i="14"/>
  <c r="R678" i="14"/>
  <c r="S677" i="14"/>
  <c r="R677" i="14"/>
  <c r="S676" i="14"/>
  <c r="R676" i="14"/>
  <c r="S675" i="14"/>
  <c r="R675" i="14"/>
  <c r="S674" i="14"/>
  <c r="R674" i="14"/>
  <c r="S673" i="14"/>
  <c r="R673" i="14"/>
  <c r="S672" i="14"/>
  <c r="R672" i="14"/>
  <c r="S671" i="14"/>
  <c r="R671" i="14"/>
  <c r="S670" i="14"/>
  <c r="R670" i="14"/>
  <c r="S669" i="14"/>
  <c r="R669" i="14"/>
  <c r="S668" i="14"/>
  <c r="R668" i="14"/>
  <c r="S667" i="14"/>
  <c r="R667" i="14"/>
  <c r="S666" i="14"/>
  <c r="R666" i="14"/>
  <c r="S665" i="14"/>
  <c r="R665" i="14"/>
  <c r="S664" i="14"/>
  <c r="R664" i="14"/>
  <c r="S663" i="14"/>
  <c r="R663" i="14"/>
  <c r="S662" i="14"/>
  <c r="R662" i="14"/>
  <c r="S661" i="14"/>
  <c r="R661" i="14"/>
  <c r="S660" i="14"/>
  <c r="R660" i="14"/>
  <c r="S659" i="14"/>
  <c r="R659" i="14"/>
  <c r="S658" i="14"/>
  <c r="R658" i="14"/>
  <c r="S657" i="14"/>
  <c r="R657" i="14"/>
  <c r="S656" i="14"/>
  <c r="R656" i="14"/>
  <c r="S655" i="14"/>
  <c r="R655" i="14"/>
  <c r="S654" i="14"/>
  <c r="R654" i="14"/>
  <c r="S653" i="14"/>
  <c r="R653" i="14"/>
  <c r="S652" i="14"/>
  <c r="R652" i="14"/>
  <c r="S651" i="14"/>
  <c r="R651" i="14"/>
  <c r="S650" i="14"/>
  <c r="R650" i="14"/>
  <c r="S649" i="14"/>
  <c r="R649" i="14"/>
  <c r="S648" i="14"/>
  <c r="R648" i="14"/>
  <c r="S647" i="14"/>
  <c r="R647" i="14"/>
  <c r="S646" i="14"/>
  <c r="R646" i="14"/>
  <c r="S645" i="14"/>
  <c r="R645" i="14"/>
  <c r="S644" i="14"/>
  <c r="R644" i="14"/>
  <c r="S643" i="14"/>
  <c r="R643" i="14"/>
  <c r="S642" i="14"/>
  <c r="R642" i="14"/>
  <c r="S641" i="14"/>
  <c r="R641" i="14"/>
  <c r="S640" i="14"/>
  <c r="R640" i="14"/>
  <c r="S639" i="14"/>
  <c r="R639" i="14"/>
  <c r="S638" i="14"/>
  <c r="R638" i="14"/>
  <c r="S637" i="14"/>
  <c r="R637" i="14"/>
  <c r="S636" i="14"/>
  <c r="R636" i="14"/>
  <c r="S635" i="14"/>
  <c r="R635" i="14"/>
  <c r="S634" i="14"/>
  <c r="R634" i="14"/>
  <c r="S633" i="14"/>
  <c r="R633" i="14"/>
  <c r="S632" i="14"/>
  <c r="R632" i="14"/>
  <c r="S631" i="14"/>
  <c r="R631" i="14"/>
  <c r="S630" i="14"/>
  <c r="R630" i="14"/>
  <c r="S629" i="14"/>
  <c r="R629" i="14"/>
  <c r="S628" i="14"/>
  <c r="R628" i="14"/>
  <c r="S627" i="14"/>
  <c r="R627" i="14"/>
  <c r="S626" i="14"/>
  <c r="R626" i="14"/>
  <c r="S625" i="14"/>
  <c r="R625" i="14"/>
  <c r="S624" i="14"/>
  <c r="R624" i="14"/>
  <c r="S623" i="14"/>
  <c r="R623" i="14"/>
  <c r="S622" i="14"/>
  <c r="R622" i="14"/>
  <c r="S621" i="14"/>
  <c r="R621" i="14"/>
  <c r="S620" i="14"/>
  <c r="R620" i="14"/>
  <c r="S619" i="14"/>
  <c r="R619" i="14"/>
  <c r="S618" i="14"/>
  <c r="R618" i="14"/>
  <c r="S617" i="14"/>
  <c r="R617" i="14"/>
  <c r="S616" i="14"/>
  <c r="R616" i="14"/>
  <c r="S615" i="14"/>
  <c r="R615" i="14"/>
  <c r="S614" i="14"/>
  <c r="R614" i="14"/>
  <c r="S613" i="14"/>
  <c r="R613" i="14"/>
  <c r="S612" i="14"/>
  <c r="R612" i="14"/>
  <c r="S611" i="14"/>
  <c r="R611" i="14"/>
  <c r="S610" i="14"/>
  <c r="R610" i="14"/>
  <c r="S609" i="14"/>
  <c r="R609" i="14"/>
  <c r="S608" i="14"/>
  <c r="R608" i="14"/>
  <c r="S607" i="14"/>
  <c r="R607" i="14"/>
  <c r="S606" i="14"/>
  <c r="R606" i="14"/>
  <c r="S605" i="14"/>
  <c r="R605" i="14"/>
  <c r="S604" i="14"/>
  <c r="R604" i="14"/>
  <c r="S603" i="14"/>
  <c r="R603" i="14"/>
  <c r="S602" i="14"/>
  <c r="R602" i="14"/>
  <c r="S601" i="14"/>
  <c r="R601" i="14"/>
  <c r="S600" i="14"/>
  <c r="R600" i="14"/>
  <c r="S599" i="14"/>
  <c r="R599" i="14"/>
  <c r="S598" i="14"/>
  <c r="R598" i="14"/>
  <c r="S597" i="14"/>
  <c r="R597" i="14"/>
  <c r="S596" i="14"/>
  <c r="R596" i="14"/>
  <c r="S595" i="14"/>
  <c r="R595" i="14"/>
  <c r="S594" i="14"/>
  <c r="R594" i="14"/>
  <c r="S593" i="14"/>
  <c r="R593" i="14"/>
  <c r="S592" i="14"/>
  <c r="R592" i="14"/>
  <c r="S591" i="14"/>
  <c r="R591" i="14"/>
  <c r="S590" i="14"/>
  <c r="R590" i="14"/>
  <c r="S589" i="14"/>
  <c r="R589" i="14"/>
  <c r="S588" i="14"/>
  <c r="R588" i="14"/>
  <c r="S587" i="14"/>
  <c r="R587" i="14"/>
  <c r="S586" i="14"/>
  <c r="R586" i="14"/>
  <c r="S585" i="14"/>
  <c r="R585" i="14"/>
  <c r="S584" i="14"/>
  <c r="R584" i="14"/>
  <c r="S583" i="14"/>
  <c r="R583" i="14"/>
  <c r="S582" i="14"/>
  <c r="R582" i="14"/>
  <c r="S581" i="14"/>
  <c r="R581" i="14"/>
  <c r="S580" i="14"/>
  <c r="R580" i="14"/>
  <c r="S579" i="14"/>
  <c r="R579" i="14"/>
  <c r="S578" i="14"/>
  <c r="R578" i="14"/>
  <c r="S577" i="14"/>
  <c r="R577" i="14"/>
  <c r="S576" i="14"/>
  <c r="R576" i="14"/>
  <c r="S575" i="14"/>
  <c r="R575" i="14"/>
  <c r="S574" i="14"/>
  <c r="R574" i="14"/>
  <c r="S573" i="14"/>
  <c r="R573" i="14"/>
  <c r="S572" i="14"/>
  <c r="R572" i="14"/>
  <c r="S571" i="14"/>
  <c r="R571" i="14"/>
  <c r="S570" i="14"/>
  <c r="R570" i="14"/>
  <c r="S569" i="14"/>
  <c r="R569" i="14"/>
  <c r="S568" i="14"/>
  <c r="R568" i="14"/>
  <c r="S567" i="14"/>
  <c r="R567" i="14"/>
  <c r="S566" i="14"/>
  <c r="R566" i="14"/>
  <c r="S565" i="14"/>
  <c r="R565" i="14"/>
  <c r="S564" i="14"/>
  <c r="R564" i="14"/>
  <c r="S563" i="14"/>
  <c r="R563" i="14"/>
  <c r="S562" i="14"/>
  <c r="R562" i="14"/>
  <c r="S561" i="14"/>
  <c r="R561" i="14"/>
  <c r="S560" i="14"/>
  <c r="R560" i="14"/>
  <c r="S559" i="14"/>
  <c r="R559" i="14"/>
  <c r="S558" i="14"/>
  <c r="R558" i="14"/>
  <c r="S557" i="14"/>
  <c r="R557" i="14"/>
  <c r="S556" i="14"/>
  <c r="R556" i="14"/>
  <c r="S555" i="14"/>
  <c r="R555" i="14"/>
  <c r="S554" i="14"/>
  <c r="R554" i="14"/>
  <c r="S553" i="14"/>
  <c r="R553" i="14"/>
  <c r="S552" i="14"/>
  <c r="R552" i="14"/>
  <c r="S551" i="14"/>
  <c r="R551" i="14"/>
  <c r="S550" i="14"/>
  <c r="R550" i="14"/>
  <c r="S549" i="14"/>
  <c r="R549" i="14"/>
  <c r="S548" i="14"/>
  <c r="R548" i="14"/>
  <c r="S547" i="14"/>
  <c r="R547" i="14"/>
  <c r="S546" i="14"/>
  <c r="R546" i="14"/>
  <c r="S545" i="14"/>
  <c r="R545" i="14"/>
  <c r="S544" i="14"/>
  <c r="R544" i="14"/>
  <c r="S543" i="14"/>
  <c r="R543" i="14"/>
  <c r="S542" i="14"/>
  <c r="R542" i="14"/>
  <c r="S541" i="14"/>
  <c r="R541" i="14"/>
  <c r="S540" i="14"/>
  <c r="R540" i="14"/>
  <c r="S539" i="14"/>
  <c r="R539" i="14"/>
  <c r="S538" i="14"/>
  <c r="R538" i="14"/>
  <c r="S537" i="14"/>
  <c r="R537" i="14"/>
  <c r="S536" i="14"/>
  <c r="R536" i="14"/>
  <c r="S535" i="14"/>
  <c r="R535" i="14"/>
  <c r="S534" i="14"/>
  <c r="R534" i="14"/>
  <c r="S533" i="14"/>
  <c r="R533" i="14"/>
  <c r="S532" i="14"/>
  <c r="R532" i="14"/>
  <c r="S531" i="14"/>
  <c r="R531" i="14"/>
  <c r="S530" i="14"/>
  <c r="R530" i="14"/>
  <c r="S529" i="14"/>
  <c r="R529" i="14"/>
  <c r="S528" i="14"/>
  <c r="R528" i="14"/>
  <c r="S527" i="14"/>
  <c r="R527" i="14"/>
  <c r="S526" i="14"/>
  <c r="R526" i="14"/>
  <c r="S525" i="14"/>
  <c r="R525" i="14"/>
  <c r="S524" i="14"/>
  <c r="R524" i="14"/>
  <c r="S523" i="14"/>
  <c r="R523" i="14"/>
  <c r="S522" i="14"/>
  <c r="R522" i="14"/>
  <c r="S521" i="14"/>
  <c r="R521" i="14"/>
  <c r="S520" i="14"/>
  <c r="R520" i="14"/>
  <c r="S519" i="14"/>
  <c r="R519" i="14"/>
  <c r="S518" i="14"/>
  <c r="R518" i="14"/>
  <c r="S517" i="14"/>
  <c r="R517" i="14"/>
  <c r="S516" i="14"/>
  <c r="R516" i="14"/>
  <c r="S515" i="14"/>
  <c r="R515" i="14"/>
  <c r="S514" i="14"/>
  <c r="R514" i="14"/>
  <c r="S513" i="14"/>
  <c r="R513" i="14"/>
  <c r="S512" i="14"/>
  <c r="R512" i="14"/>
  <c r="S511" i="14"/>
  <c r="R511" i="14"/>
  <c r="S510" i="14"/>
  <c r="R510" i="14"/>
  <c r="S509" i="14"/>
  <c r="R509" i="14"/>
  <c r="S508" i="14"/>
  <c r="R508" i="14"/>
  <c r="S507" i="14"/>
  <c r="R507" i="14"/>
  <c r="S506" i="14"/>
  <c r="R506" i="14"/>
  <c r="S505" i="14"/>
  <c r="R505" i="14"/>
  <c r="S504" i="14"/>
  <c r="R504" i="14"/>
  <c r="S503" i="14"/>
  <c r="R503" i="14"/>
  <c r="S502" i="14"/>
  <c r="R502" i="14"/>
  <c r="S501" i="14"/>
  <c r="R501" i="14"/>
  <c r="S500" i="14"/>
  <c r="R500" i="14"/>
  <c r="S499" i="14"/>
  <c r="R499" i="14"/>
  <c r="S498" i="14"/>
  <c r="R498" i="14"/>
  <c r="S497" i="14"/>
  <c r="R497" i="14"/>
  <c r="S496" i="14"/>
  <c r="R496" i="14"/>
  <c r="S495" i="14"/>
  <c r="R495" i="14"/>
  <c r="S494" i="14"/>
  <c r="R494" i="14"/>
  <c r="S493" i="14"/>
  <c r="R493" i="14"/>
  <c r="S492" i="14"/>
  <c r="R492" i="14"/>
  <c r="S491" i="14"/>
  <c r="R491" i="14"/>
  <c r="S490" i="14"/>
  <c r="R490" i="14"/>
  <c r="S489" i="14"/>
  <c r="R489" i="14"/>
  <c r="S488" i="14"/>
  <c r="R488" i="14"/>
  <c r="S487" i="14"/>
  <c r="R487" i="14"/>
  <c r="S486" i="14"/>
  <c r="R486" i="14"/>
  <c r="S485" i="14"/>
  <c r="R485" i="14"/>
  <c r="S484" i="14"/>
  <c r="R484" i="14"/>
  <c r="S483" i="14"/>
  <c r="R483" i="14"/>
  <c r="S482" i="14"/>
  <c r="R482" i="14"/>
  <c r="S481" i="14"/>
  <c r="R481" i="14"/>
  <c r="S480" i="14"/>
  <c r="R480" i="14"/>
  <c r="S479" i="14"/>
  <c r="R479" i="14"/>
  <c r="S478" i="14"/>
  <c r="R478" i="14"/>
  <c r="S477" i="14"/>
  <c r="R477" i="14"/>
  <c r="S476" i="14"/>
  <c r="R476" i="14"/>
  <c r="S475" i="14"/>
  <c r="R475" i="14"/>
  <c r="S474" i="14"/>
  <c r="R474" i="14"/>
  <c r="S473" i="14"/>
  <c r="R473" i="14"/>
  <c r="S472" i="14"/>
  <c r="R472" i="14"/>
  <c r="S471" i="14"/>
  <c r="R471" i="14"/>
  <c r="S470" i="14"/>
  <c r="R470" i="14"/>
  <c r="S469" i="14"/>
  <c r="R469" i="14"/>
  <c r="S468" i="14"/>
  <c r="R468" i="14"/>
  <c r="S467" i="14"/>
  <c r="R467" i="14"/>
  <c r="S466" i="14"/>
  <c r="R466" i="14"/>
  <c r="S465" i="14"/>
  <c r="R465" i="14"/>
  <c r="S464" i="14"/>
  <c r="R464" i="14"/>
  <c r="S463" i="14"/>
  <c r="R463" i="14"/>
  <c r="S462" i="14"/>
  <c r="R462" i="14"/>
  <c r="S461" i="14"/>
  <c r="R461" i="14"/>
  <c r="S460" i="14"/>
  <c r="R460" i="14"/>
  <c r="S459" i="14"/>
  <c r="R459" i="14"/>
  <c r="S458" i="14"/>
  <c r="R458" i="14"/>
  <c r="S457" i="14"/>
  <c r="R457" i="14"/>
  <c r="S456" i="14"/>
  <c r="R456" i="14"/>
  <c r="S455" i="14"/>
  <c r="R455" i="14"/>
  <c r="S454" i="14"/>
  <c r="R454" i="14"/>
  <c r="S453" i="14"/>
  <c r="R453" i="14"/>
  <c r="S452" i="14"/>
  <c r="R452" i="14"/>
  <c r="S451" i="14"/>
  <c r="R451" i="14"/>
  <c r="S450" i="14"/>
  <c r="R450" i="14"/>
  <c r="S449" i="14"/>
  <c r="R449" i="14"/>
  <c r="S448" i="14"/>
  <c r="R448" i="14"/>
  <c r="S447" i="14"/>
  <c r="R447" i="14"/>
  <c r="S446" i="14"/>
  <c r="R446" i="14"/>
  <c r="S445" i="14"/>
  <c r="R445" i="14"/>
  <c r="S444" i="14"/>
  <c r="R444" i="14"/>
  <c r="S443" i="14"/>
  <c r="R443" i="14"/>
  <c r="S442" i="14"/>
  <c r="R442" i="14"/>
  <c r="S441" i="14"/>
  <c r="R441" i="14"/>
  <c r="S440" i="14"/>
  <c r="R440" i="14"/>
  <c r="S439" i="14"/>
  <c r="R439" i="14"/>
  <c r="S438" i="14"/>
  <c r="R438" i="14"/>
  <c r="S437" i="14"/>
  <c r="R437" i="14"/>
  <c r="S436" i="14"/>
  <c r="R436" i="14"/>
  <c r="S435" i="14"/>
  <c r="R435" i="14"/>
  <c r="S434" i="14"/>
  <c r="R434" i="14"/>
  <c r="S433" i="14"/>
  <c r="R433" i="14"/>
  <c r="S432" i="14"/>
  <c r="R432" i="14"/>
  <c r="S431" i="14"/>
  <c r="R431" i="14"/>
  <c r="S430" i="14"/>
  <c r="R430" i="14"/>
  <c r="S429" i="14"/>
  <c r="R429" i="14"/>
  <c r="S428" i="14"/>
  <c r="R428" i="14"/>
  <c r="S427" i="14"/>
  <c r="R427" i="14"/>
  <c r="S426" i="14"/>
  <c r="R426" i="14"/>
  <c r="S425" i="14"/>
  <c r="R425" i="14"/>
  <c r="S424" i="14"/>
  <c r="R424" i="14"/>
  <c r="S423" i="14"/>
  <c r="R423" i="14"/>
  <c r="S422" i="14"/>
  <c r="R422" i="14"/>
  <c r="S421" i="14"/>
  <c r="R421" i="14"/>
  <c r="S420" i="14"/>
  <c r="R420" i="14"/>
  <c r="S419" i="14"/>
  <c r="R419" i="14"/>
  <c r="S418" i="14"/>
  <c r="R418" i="14"/>
  <c r="S417" i="14"/>
  <c r="R417" i="14"/>
  <c r="S416" i="14"/>
  <c r="R416" i="14"/>
  <c r="S415" i="14"/>
  <c r="R415" i="14"/>
  <c r="S414" i="14"/>
  <c r="R414" i="14"/>
  <c r="S413" i="14"/>
  <c r="R413" i="14"/>
  <c r="S412" i="14"/>
  <c r="R412" i="14"/>
  <c r="S411" i="14"/>
  <c r="R411" i="14"/>
  <c r="S410" i="14"/>
  <c r="R410" i="14"/>
  <c r="S409" i="14"/>
  <c r="R409" i="14"/>
  <c r="S408" i="14"/>
  <c r="R408" i="14"/>
  <c r="S407" i="14"/>
  <c r="R407" i="14"/>
  <c r="S406" i="14"/>
  <c r="R406" i="14"/>
  <c r="S405" i="14"/>
  <c r="R405" i="14"/>
  <c r="S404" i="14"/>
  <c r="R404" i="14"/>
  <c r="S403" i="14"/>
  <c r="R403" i="14"/>
  <c r="S402" i="14"/>
  <c r="R402" i="14"/>
  <c r="S401" i="14"/>
  <c r="R401" i="14"/>
  <c r="S400" i="14"/>
  <c r="R400" i="14"/>
  <c r="S399" i="14"/>
  <c r="R399" i="14"/>
  <c r="S398" i="14"/>
  <c r="R398" i="14"/>
  <c r="S397" i="14"/>
  <c r="R397" i="14"/>
  <c r="S396" i="14"/>
  <c r="R396" i="14"/>
  <c r="S395" i="14"/>
  <c r="R395" i="14"/>
  <c r="S394" i="14"/>
  <c r="R394" i="14"/>
  <c r="S393" i="14"/>
  <c r="R393" i="14"/>
  <c r="S392" i="14"/>
  <c r="R392" i="14"/>
  <c r="S391" i="14"/>
  <c r="R391" i="14"/>
  <c r="S390" i="14"/>
  <c r="R390" i="14"/>
  <c r="S389" i="14"/>
  <c r="R389" i="14"/>
  <c r="S388" i="14"/>
  <c r="R388" i="14"/>
  <c r="S387" i="14"/>
  <c r="R387" i="14"/>
  <c r="S386" i="14"/>
  <c r="R386" i="14"/>
  <c r="S385" i="14"/>
  <c r="R385" i="14"/>
  <c r="S384" i="14"/>
  <c r="R384" i="14"/>
  <c r="S383" i="14"/>
  <c r="R383" i="14"/>
  <c r="S382" i="14"/>
  <c r="R382" i="14"/>
  <c r="S381" i="14"/>
  <c r="R381" i="14"/>
  <c r="S380" i="14"/>
  <c r="R380" i="14"/>
  <c r="S379" i="14"/>
  <c r="R379" i="14"/>
  <c r="S378" i="14"/>
  <c r="R378" i="14"/>
  <c r="S377" i="14"/>
  <c r="R377" i="14"/>
  <c r="S376" i="14"/>
  <c r="R376" i="14"/>
  <c r="S375" i="14"/>
  <c r="R375" i="14"/>
  <c r="S374" i="14"/>
  <c r="R374" i="14"/>
  <c r="S373" i="14"/>
  <c r="R373" i="14"/>
  <c r="S372" i="14"/>
  <c r="R372" i="14"/>
  <c r="S371" i="14"/>
  <c r="R371" i="14"/>
  <c r="S370" i="14"/>
  <c r="R370" i="14"/>
  <c r="S369" i="14"/>
  <c r="R369" i="14"/>
  <c r="S368" i="14"/>
  <c r="R368" i="14"/>
  <c r="S367" i="14"/>
  <c r="R367" i="14"/>
  <c r="S366" i="14"/>
  <c r="R366" i="14"/>
  <c r="S365" i="14"/>
  <c r="R365" i="14"/>
  <c r="S364" i="14"/>
  <c r="R364" i="14"/>
  <c r="S363" i="14"/>
  <c r="R363" i="14"/>
  <c r="S362" i="14"/>
  <c r="R362" i="14"/>
  <c r="S361" i="14"/>
  <c r="R361" i="14"/>
  <c r="S360" i="14"/>
  <c r="R360" i="14"/>
  <c r="S359" i="14"/>
  <c r="R359" i="14"/>
  <c r="S358" i="14"/>
  <c r="R358" i="14"/>
  <c r="S357" i="14"/>
  <c r="R357" i="14"/>
  <c r="S356" i="14"/>
  <c r="R356" i="14"/>
  <c r="S355" i="14"/>
  <c r="R355" i="14"/>
  <c r="S354" i="14"/>
  <c r="R354" i="14"/>
  <c r="S353" i="14"/>
  <c r="R353" i="14"/>
  <c r="S352" i="14"/>
  <c r="R352" i="14"/>
  <c r="S351" i="14"/>
  <c r="R351" i="14"/>
  <c r="S350" i="14"/>
  <c r="R350" i="14"/>
  <c r="S349" i="14"/>
  <c r="R349" i="14"/>
  <c r="S348" i="14"/>
  <c r="R348" i="14"/>
  <c r="S347" i="14"/>
  <c r="R347" i="14"/>
  <c r="S346" i="14"/>
  <c r="R346" i="14"/>
  <c r="S345" i="14"/>
  <c r="R345" i="14"/>
  <c r="S344" i="14"/>
  <c r="R344" i="14"/>
  <c r="S343" i="14"/>
  <c r="R343" i="14"/>
  <c r="S342" i="14"/>
  <c r="R342" i="14"/>
  <c r="S341" i="14"/>
  <c r="R341" i="14"/>
  <c r="S340" i="14"/>
  <c r="R340" i="14"/>
  <c r="S339" i="14"/>
  <c r="R339" i="14"/>
  <c r="S338" i="14"/>
  <c r="R338" i="14"/>
  <c r="S337" i="14"/>
  <c r="R337" i="14"/>
  <c r="S336" i="14"/>
  <c r="R336" i="14"/>
  <c r="S335" i="14"/>
  <c r="R335" i="14"/>
  <c r="S334" i="14"/>
  <c r="R334" i="14"/>
  <c r="S333" i="14"/>
  <c r="R333" i="14"/>
  <c r="S332" i="14"/>
  <c r="R332" i="14"/>
  <c r="S331" i="14"/>
  <c r="R331" i="14"/>
  <c r="S330" i="14"/>
  <c r="R330" i="14"/>
  <c r="S329" i="14"/>
  <c r="R329" i="14"/>
  <c r="S328" i="14"/>
  <c r="R328" i="14"/>
  <c r="S327" i="14"/>
  <c r="R327" i="14"/>
  <c r="S326" i="14"/>
  <c r="R326" i="14"/>
  <c r="S325" i="14"/>
  <c r="R325" i="14"/>
  <c r="S324" i="14"/>
  <c r="R324" i="14"/>
  <c r="S323" i="14"/>
  <c r="R323" i="14"/>
  <c r="S322" i="14"/>
  <c r="R322" i="14"/>
  <c r="S321" i="14"/>
  <c r="R321" i="14"/>
  <c r="S320" i="14"/>
  <c r="R320" i="14"/>
  <c r="S319" i="14"/>
  <c r="R319" i="14"/>
  <c r="S318" i="14"/>
  <c r="R318" i="14"/>
  <c r="S317" i="14"/>
  <c r="R317" i="14"/>
  <c r="S316" i="14"/>
  <c r="R316" i="14"/>
  <c r="S315" i="14"/>
  <c r="R315" i="14"/>
  <c r="S314" i="14"/>
  <c r="R314" i="14"/>
  <c r="S313" i="14"/>
  <c r="R313" i="14"/>
  <c r="S312" i="14"/>
  <c r="R312" i="14"/>
  <c r="S311" i="14"/>
  <c r="R311" i="14"/>
  <c r="S310" i="14"/>
  <c r="R310" i="14"/>
  <c r="S309" i="14"/>
  <c r="R309" i="14"/>
  <c r="S308" i="14"/>
  <c r="R308" i="14"/>
  <c r="S307" i="14"/>
  <c r="R307" i="14"/>
  <c r="S306" i="14"/>
  <c r="R306" i="14"/>
  <c r="S305" i="14"/>
  <c r="R305" i="14"/>
  <c r="S304" i="14"/>
  <c r="R304" i="14"/>
  <c r="S303" i="14"/>
  <c r="R303" i="14"/>
  <c r="S302" i="14"/>
  <c r="R302" i="14"/>
  <c r="S301" i="14"/>
  <c r="R301" i="14"/>
  <c r="S300" i="14"/>
  <c r="R300" i="14"/>
  <c r="S299" i="14"/>
  <c r="R299" i="14"/>
  <c r="S298" i="14"/>
  <c r="R298" i="14"/>
  <c r="S297" i="14"/>
  <c r="R297" i="14"/>
  <c r="S296" i="14"/>
  <c r="R296" i="14"/>
  <c r="S295" i="14"/>
  <c r="R295" i="14"/>
  <c r="S294" i="14"/>
  <c r="R294" i="14"/>
  <c r="S293" i="14"/>
  <c r="R293" i="14"/>
  <c r="S292" i="14"/>
  <c r="R292" i="14"/>
  <c r="S291" i="14"/>
  <c r="R291" i="14"/>
  <c r="S290" i="14"/>
  <c r="R290" i="14"/>
  <c r="S289" i="14"/>
  <c r="R289" i="14"/>
  <c r="S288" i="14"/>
  <c r="R288" i="14"/>
  <c r="S287" i="14"/>
  <c r="R287" i="14"/>
  <c r="S286" i="14"/>
  <c r="R286" i="14"/>
  <c r="S285" i="14"/>
  <c r="R285" i="14"/>
  <c r="S284" i="14"/>
  <c r="R284" i="14"/>
  <c r="S283" i="14"/>
  <c r="R283" i="14"/>
  <c r="S282" i="14"/>
  <c r="R282" i="14"/>
  <c r="S281" i="14"/>
  <c r="R281" i="14"/>
  <c r="S280" i="14"/>
  <c r="R280" i="14"/>
  <c r="S279" i="14"/>
  <c r="R279" i="14"/>
  <c r="S278" i="14"/>
  <c r="R278" i="14"/>
  <c r="S277" i="14"/>
  <c r="R277" i="14"/>
  <c r="S276" i="14"/>
  <c r="R276" i="14"/>
  <c r="S275" i="14"/>
  <c r="R275" i="14"/>
  <c r="S274" i="14"/>
  <c r="R274" i="14"/>
  <c r="S273" i="14"/>
  <c r="R273" i="14"/>
  <c r="S272" i="14"/>
  <c r="R272" i="14"/>
  <c r="S271" i="14"/>
  <c r="R271" i="14"/>
  <c r="S270" i="14"/>
  <c r="R270" i="14"/>
  <c r="S269" i="14"/>
  <c r="R269" i="14"/>
  <c r="S268" i="14"/>
  <c r="R268" i="14"/>
  <c r="S267" i="14"/>
  <c r="R267" i="14"/>
  <c r="S266" i="14"/>
  <c r="R266" i="14"/>
  <c r="S265" i="14"/>
  <c r="R265" i="14"/>
  <c r="S264" i="14"/>
  <c r="R264" i="14"/>
  <c r="S263" i="14"/>
  <c r="R263" i="14"/>
  <c r="S262" i="14"/>
  <c r="R262" i="14"/>
  <c r="S261" i="14"/>
  <c r="R261" i="14"/>
  <c r="S260" i="14"/>
  <c r="R260" i="14"/>
  <c r="S259" i="14"/>
  <c r="R259" i="14"/>
  <c r="S258" i="14"/>
  <c r="R258" i="14"/>
  <c r="S257" i="14"/>
  <c r="R257" i="14"/>
  <c r="S256" i="14"/>
  <c r="R256" i="14"/>
  <c r="S255" i="14"/>
  <c r="R255" i="14"/>
  <c r="S254" i="14"/>
  <c r="R254" i="14"/>
  <c r="S253" i="14"/>
  <c r="R253" i="14"/>
  <c r="S252" i="14"/>
  <c r="R252" i="14"/>
  <c r="S251" i="14"/>
  <c r="R251" i="14"/>
  <c r="S250" i="14"/>
  <c r="R250" i="14"/>
  <c r="S249" i="14"/>
  <c r="R249" i="14"/>
  <c r="S248" i="14"/>
  <c r="R248" i="14"/>
  <c r="S247" i="14"/>
  <c r="R247" i="14"/>
  <c r="S246" i="14"/>
  <c r="R246" i="14"/>
  <c r="S245" i="14"/>
  <c r="R245" i="14"/>
  <c r="S244" i="14"/>
  <c r="R244" i="14"/>
  <c r="S243" i="14"/>
  <c r="R243" i="14"/>
  <c r="S242" i="14"/>
  <c r="R242" i="14"/>
  <c r="S241" i="14"/>
  <c r="R241" i="14"/>
  <c r="S240" i="14"/>
  <c r="R240" i="14"/>
  <c r="S239" i="14"/>
  <c r="R239" i="14"/>
  <c r="S238" i="14"/>
  <c r="R238" i="14"/>
  <c r="S237" i="14"/>
  <c r="R237" i="14"/>
  <c r="S236" i="14"/>
  <c r="R236" i="14"/>
  <c r="S235" i="14"/>
  <c r="R235" i="14"/>
  <c r="S234" i="14"/>
  <c r="R234" i="14"/>
  <c r="S233" i="14"/>
  <c r="R233" i="14"/>
  <c r="S232" i="14"/>
  <c r="R232" i="14"/>
  <c r="S231" i="14"/>
  <c r="R231" i="14"/>
  <c r="S230" i="14"/>
  <c r="R230" i="14"/>
  <c r="S229" i="14"/>
  <c r="R229" i="14"/>
  <c r="S228" i="14"/>
  <c r="R228" i="14"/>
  <c r="S227" i="14"/>
  <c r="R227" i="14"/>
  <c r="S226" i="14"/>
  <c r="R226" i="14"/>
  <c r="S225" i="14"/>
  <c r="R225" i="14"/>
  <c r="S224" i="14"/>
  <c r="R224" i="14"/>
  <c r="S223" i="14"/>
  <c r="R223" i="14"/>
  <c r="S222" i="14"/>
  <c r="R222" i="14"/>
  <c r="S221" i="14"/>
  <c r="R221" i="14"/>
  <c r="S220" i="14"/>
  <c r="R220" i="14"/>
  <c r="S219" i="14"/>
  <c r="R219" i="14"/>
  <c r="S218" i="14"/>
  <c r="R218" i="14"/>
  <c r="S217" i="14"/>
  <c r="R217" i="14"/>
  <c r="S216" i="14"/>
  <c r="R216" i="14"/>
  <c r="S215" i="14"/>
  <c r="R215" i="14"/>
  <c r="S214" i="14"/>
  <c r="R214" i="14"/>
  <c r="S213" i="14"/>
  <c r="R213" i="14"/>
  <c r="S212" i="14"/>
  <c r="R212" i="14"/>
  <c r="S211" i="14"/>
  <c r="R211" i="14"/>
  <c r="S210" i="14"/>
  <c r="R210" i="14"/>
  <c r="S209" i="14"/>
  <c r="R209" i="14"/>
  <c r="S208" i="14"/>
  <c r="R208" i="14"/>
  <c r="S207" i="14"/>
  <c r="R207" i="14"/>
  <c r="S206" i="14"/>
  <c r="R206" i="14"/>
  <c r="S205" i="14"/>
  <c r="R205" i="14"/>
  <c r="S204" i="14"/>
  <c r="R204" i="14"/>
  <c r="S203" i="14"/>
  <c r="R203" i="14"/>
  <c r="S202" i="14"/>
  <c r="R202" i="14"/>
  <c r="S201" i="14"/>
  <c r="R201" i="14"/>
  <c r="S200" i="14"/>
  <c r="R200" i="14"/>
  <c r="S199" i="14"/>
  <c r="R199" i="14"/>
  <c r="S198" i="14"/>
  <c r="R198" i="14"/>
  <c r="S197" i="14"/>
  <c r="R197" i="14"/>
  <c r="S196" i="14"/>
  <c r="R196" i="14"/>
  <c r="S195" i="14"/>
  <c r="R195" i="14"/>
  <c r="S194" i="14"/>
  <c r="R194" i="14"/>
  <c r="S193" i="14"/>
  <c r="R193" i="14"/>
  <c r="S192" i="14"/>
  <c r="R192" i="14"/>
  <c r="S191" i="14"/>
  <c r="R191" i="14"/>
  <c r="S190" i="14"/>
  <c r="R190" i="14"/>
  <c r="S189" i="14"/>
  <c r="R189" i="14"/>
  <c r="S188" i="14"/>
  <c r="R188" i="14"/>
  <c r="S187" i="14"/>
  <c r="R187" i="14"/>
  <c r="S186" i="14"/>
  <c r="R186" i="14"/>
  <c r="S185" i="14"/>
  <c r="R185" i="14"/>
  <c r="S184" i="14"/>
  <c r="R184" i="14"/>
  <c r="S183" i="14"/>
  <c r="R183" i="14"/>
  <c r="S182" i="14"/>
  <c r="R182" i="14"/>
  <c r="S181" i="14"/>
  <c r="R181" i="14"/>
  <c r="S180" i="14"/>
  <c r="R180" i="14"/>
  <c r="S179" i="14"/>
  <c r="R179" i="14"/>
  <c r="S178" i="14"/>
  <c r="R178" i="14"/>
  <c r="S177" i="14"/>
  <c r="R177" i="14"/>
  <c r="S176" i="14"/>
  <c r="R176" i="14"/>
  <c r="S175" i="14"/>
  <c r="R175" i="14"/>
  <c r="S174" i="14"/>
  <c r="R174" i="14"/>
  <c r="S173" i="14"/>
  <c r="R173" i="14"/>
  <c r="S172" i="14"/>
  <c r="R172" i="14"/>
  <c r="S171" i="14"/>
  <c r="R171" i="14"/>
  <c r="S170" i="14"/>
  <c r="R170" i="14"/>
  <c r="S169" i="14"/>
  <c r="R169" i="14"/>
  <c r="S168" i="14"/>
  <c r="R168" i="14"/>
  <c r="S167" i="14"/>
  <c r="R167" i="14"/>
  <c r="S166" i="14"/>
  <c r="R166" i="14"/>
  <c r="S165" i="14"/>
  <c r="R165" i="14"/>
  <c r="S164" i="14"/>
  <c r="R164" i="14"/>
  <c r="S163" i="14"/>
  <c r="R163" i="14"/>
  <c r="S162" i="14"/>
  <c r="R162" i="14"/>
  <c r="S161" i="14"/>
  <c r="R161" i="14"/>
  <c r="S160" i="14"/>
  <c r="R160" i="14"/>
  <c r="S159" i="14"/>
  <c r="R159" i="14"/>
  <c r="S158" i="14"/>
  <c r="R158" i="14"/>
  <c r="S157" i="14"/>
  <c r="R157" i="14"/>
  <c r="S156" i="14"/>
  <c r="R156" i="14"/>
  <c r="S155" i="14"/>
  <c r="R155" i="14"/>
  <c r="S154" i="14"/>
  <c r="R154" i="14"/>
  <c r="S153" i="14"/>
  <c r="R153" i="14"/>
  <c r="S152" i="14"/>
  <c r="R152" i="14"/>
  <c r="S151" i="14"/>
  <c r="R151" i="14"/>
  <c r="S150" i="14"/>
  <c r="R150" i="14"/>
  <c r="S149" i="14"/>
  <c r="R149" i="14"/>
  <c r="S148" i="14"/>
  <c r="R148" i="14"/>
  <c r="S147" i="14"/>
  <c r="R147" i="14"/>
  <c r="S146" i="14"/>
  <c r="R146" i="14"/>
  <c r="S145" i="14"/>
  <c r="R145" i="14"/>
  <c r="S144" i="14"/>
  <c r="R144" i="14"/>
  <c r="S143" i="14"/>
  <c r="R143" i="14"/>
  <c r="S142" i="14"/>
  <c r="R142" i="14"/>
  <c r="S141" i="14"/>
  <c r="R141" i="14"/>
  <c r="S140" i="14"/>
  <c r="R140" i="14"/>
  <c r="S139" i="14"/>
  <c r="R139" i="14"/>
  <c r="S138" i="14"/>
  <c r="R138" i="14"/>
  <c r="S137" i="14"/>
  <c r="R137" i="14"/>
  <c r="S136" i="14"/>
  <c r="R136" i="14"/>
  <c r="S135" i="14"/>
  <c r="R135" i="14"/>
  <c r="S134" i="14"/>
  <c r="R134" i="14"/>
  <c r="S133" i="14"/>
  <c r="R133" i="14"/>
  <c r="S132" i="14"/>
  <c r="R132" i="14"/>
  <c r="S131" i="14"/>
  <c r="R131" i="14"/>
  <c r="S130" i="14"/>
  <c r="R130" i="14"/>
  <c r="S129" i="14"/>
  <c r="R129" i="14"/>
  <c r="S128" i="14"/>
  <c r="R128" i="14"/>
  <c r="S127" i="14"/>
  <c r="R127" i="14"/>
  <c r="S126" i="14"/>
  <c r="R126" i="14"/>
  <c r="S125" i="14"/>
  <c r="R125" i="14"/>
  <c r="S124" i="14"/>
  <c r="R124" i="14"/>
  <c r="S123" i="14"/>
  <c r="R123" i="14"/>
  <c r="S122" i="14"/>
  <c r="R122" i="14"/>
  <c r="S121" i="14"/>
  <c r="R121" i="14"/>
  <c r="S120" i="14"/>
  <c r="R120" i="14"/>
  <c r="S119" i="14"/>
  <c r="R119" i="14"/>
  <c r="S118" i="14"/>
  <c r="R118" i="14"/>
  <c r="S117" i="14"/>
  <c r="R117" i="14"/>
  <c r="S116" i="14"/>
  <c r="R116" i="14"/>
  <c r="S115" i="14"/>
  <c r="R115" i="14"/>
  <c r="S114" i="14"/>
  <c r="R114" i="14"/>
  <c r="S113" i="14"/>
  <c r="R113" i="14"/>
  <c r="S112" i="14"/>
  <c r="R112" i="14"/>
  <c r="S111" i="14"/>
  <c r="R111" i="14"/>
  <c r="S110" i="14"/>
  <c r="R110" i="14"/>
  <c r="S109" i="14"/>
  <c r="R109" i="14"/>
  <c r="S108" i="14"/>
  <c r="R108" i="14"/>
  <c r="S107" i="14"/>
  <c r="R107" i="14"/>
  <c r="S106" i="14"/>
  <c r="R106" i="14"/>
  <c r="S105" i="14"/>
  <c r="R105" i="14"/>
  <c r="S104" i="14"/>
  <c r="R104" i="14"/>
  <c r="S103" i="14"/>
  <c r="R103" i="14"/>
  <c r="S102" i="14"/>
  <c r="R102" i="14"/>
  <c r="S101" i="14"/>
  <c r="R101" i="14"/>
  <c r="S100" i="14"/>
  <c r="R100" i="14"/>
  <c r="S99" i="14"/>
  <c r="R99" i="14"/>
  <c r="S98" i="14"/>
  <c r="R98" i="14"/>
  <c r="S97" i="14"/>
  <c r="R97" i="14"/>
  <c r="S96" i="14"/>
  <c r="R96" i="14"/>
  <c r="S95" i="14"/>
  <c r="R95" i="14"/>
  <c r="S94" i="14"/>
  <c r="R94" i="14"/>
  <c r="S93" i="14"/>
  <c r="R93" i="14"/>
  <c r="S92" i="14"/>
  <c r="R92" i="14"/>
  <c r="S91" i="14"/>
  <c r="R91" i="14"/>
  <c r="S90" i="14"/>
  <c r="R90" i="14"/>
  <c r="S89" i="14"/>
  <c r="R89" i="14"/>
  <c r="S88" i="14"/>
  <c r="R88" i="14"/>
  <c r="S87" i="14"/>
  <c r="R87" i="14"/>
  <c r="S86" i="14"/>
  <c r="R86" i="14"/>
  <c r="S85" i="14"/>
  <c r="R85" i="14"/>
  <c r="S84" i="14"/>
  <c r="R84" i="14"/>
  <c r="S83" i="14"/>
  <c r="R83" i="14"/>
  <c r="S82" i="14"/>
  <c r="R82" i="14"/>
  <c r="S81" i="14"/>
  <c r="R81" i="14"/>
  <c r="S80" i="14"/>
  <c r="R80" i="14"/>
  <c r="S79" i="14"/>
  <c r="R79" i="14"/>
  <c r="S78" i="14"/>
  <c r="R78" i="14"/>
  <c r="S77" i="14"/>
  <c r="R77" i="14"/>
  <c r="S76" i="14"/>
  <c r="R76" i="14"/>
  <c r="S75" i="14"/>
  <c r="R75" i="14"/>
  <c r="S74" i="14"/>
  <c r="R74" i="14"/>
  <c r="S73" i="14"/>
  <c r="R73" i="14"/>
  <c r="S72" i="14"/>
  <c r="R72" i="14"/>
  <c r="S71" i="14"/>
  <c r="R71" i="14"/>
  <c r="S70" i="14"/>
  <c r="R70" i="14"/>
  <c r="S69" i="14"/>
  <c r="R69" i="14"/>
  <c r="S68" i="14"/>
  <c r="R68" i="14"/>
  <c r="S67" i="14"/>
  <c r="R67" i="14"/>
  <c r="S66" i="14"/>
  <c r="R66" i="14"/>
  <c r="S65" i="14"/>
  <c r="R65" i="14"/>
  <c r="S64" i="14"/>
  <c r="R64" i="14"/>
  <c r="S63" i="14"/>
  <c r="R63" i="14"/>
  <c r="S62" i="14"/>
  <c r="R62" i="14"/>
  <c r="S61" i="14"/>
  <c r="R61" i="14"/>
  <c r="S60" i="14"/>
  <c r="R60" i="14"/>
  <c r="S59" i="14"/>
  <c r="R59" i="14"/>
  <c r="S58" i="14"/>
  <c r="R58" i="14"/>
  <c r="S57" i="14"/>
  <c r="R57" i="14"/>
  <c r="S56" i="14"/>
  <c r="R56" i="14"/>
  <c r="S55" i="14"/>
  <c r="R55" i="14"/>
  <c r="S54" i="14"/>
  <c r="R54" i="14"/>
  <c r="S53" i="14"/>
  <c r="R53" i="14"/>
  <c r="S52" i="14"/>
  <c r="R52" i="14"/>
  <c r="S51" i="14"/>
  <c r="R51" i="14"/>
  <c r="S50" i="14"/>
  <c r="R50" i="14"/>
  <c r="S49" i="14"/>
  <c r="R49" i="14"/>
  <c r="S48" i="14"/>
  <c r="R48" i="14"/>
  <c r="S47" i="14"/>
  <c r="R47" i="14"/>
  <c r="S46" i="14"/>
  <c r="R46" i="14"/>
  <c r="S45" i="14"/>
  <c r="R45" i="14"/>
  <c r="S44" i="14"/>
  <c r="R44" i="14"/>
  <c r="S43" i="14"/>
  <c r="R43" i="14"/>
  <c r="S42" i="14"/>
  <c r="R42" i="14"/>
  <c r="S41" i="14"/>
  <c r="R41" i="14"/>
  <c r="S40" i="14"/>
  <c r="R40" i="14"/>
  <c r="S39" i="14"/>
  <c r="R39" i="14"/>
  <c r="S38" i="14"/>
  <c r="R38" i="14"/>
  <c r="S37" i="14"/>
  <c r="R37" i="14"/>
  <c r="S36" i="14"/>
  <c r="R36" i="14"/>
  <c r="S35" i="14"/>
  <c r="R35" i="14"/>
  <c r="S34" i="14"/>
  <c r="R34" i="14"/>
  <c r="S33" i="14"/>
  <c r="R33" i="14"/>
  <c r="S32" i="14"/>
  <c r="R32" i="14"/>
  <c r="S31" i="14"/>
  <c r="R31" i="14"/>
  <c r="S30" i="14"/>
  <c r="R30" i="14"/>
  <c r="S29" i="14"/>
  <c r="R29" i="14"/>
  <c r="S28" i="14"/>
  <c r="R28" i="14"/>
  <c r="S27" i="14"/>
  <c r="R27" i="14"/>
  <c r="S26" i="14"/>
  <c r="R26" i="14"/>
  <c r="S25" i="14"/>
  <c r="R25" i="14"/>
  <c r="S24" i="14"/>
  <c r="R24" i="14"/>
  <c r="S23" i="14"/>
  <c r="R23" i="14"/>
  <c r="S22" i="14"/>
  <c r="R22" i="14"/>
  <c r="S21" i="14"/>
  <c r="R21" i="14"/>
  <c r="S20" i="14"/>
  <c r="R20" i="14"/>
  <c r="S19" i="14"/>
  <c r="R19" i="14"/>
  <c r="S18" i="14"/>
  <c r="R18" i="14"/>
  <c r="S17" i="14"/>
  <c r="R17" i="14"/>
  <c r="S16" i="14"/>
  <c r="R16" i="14"/>
  <c r="S15" i="14"/>
  <c r="R15" i="14"/>
  <c r="S14" i="14"/>
  <c r="R14" i="14"/>
  <c r="S13" i="14"/>
  <c r="R13" i="14"/>
  <c r="S12" i="14"/>
  <c r="R12" i="14"/>
  <c r="S11" i="14"/>
  <c r="R11" i="14"/>
  <c r="S10" i="14"/>
  <c r="R10" i="14"/>
  <c r="S9" i="14"/>
  <c r="R9" i="14"/>
  <c r="S8" i="14"/>
  <c r="R8" i="14"/>
  <c r="S7" i="14"/>
  <c r="R7" i="14"/>
  <c r="S6" i="14"/>
  <c r="R6" i="14"/>
  <c r="S5" i="14"/>
  <c r="R5" i="14"/>
  <c r="A2" i="14"/>
  <c r="Q1" i="14"/>
  <c r="P1" i="14"/>
  <c r="A1" i="14"/>
  <c r="S2634" i="13"/>
  <c r="R2634" i="13"/>
  <c r="Q2634" i="13"/>
  <c r="P2634" i="13"/>
  <c r="A2634" i="13"/>
  <c r="S2633" i="13"/>
  <c r="R2633" i="13"/>
  <c r="Q2633" i="13"/>
  <c r="P2633" i="13"/>
  <c r="A2633" i="13"/>
  <c r="S2632" i="13"/>
  <c r="R2632" i="13"/>
  <c r="Q2632" i="13"/>
  <c r="P2632" i="13"/>
  <c r="A2632" i="13"/>
  <c r="S2631" i="13"/>
  <c r="R2631" i="13"/>
  <c r="Q2631" i="13"/>
  <c r="P2631" i="13"/>
  <c r="A2631" i="13"/>
  <c r="S2630" i="13"/>
  <c r="R2630" i="13"/>
  <c r="Q2630" i="13"/>
  <c r="P2630" i="13"/>
  <c r="A2630" i="13"/>
  <c r="S2629" i="13"/>
  <c r="R2629" i="13"/>
  <c r="Q2629" i="13"/>
  <c r="P2629" i="13"/>
  <c r="A2629" i="13"/>
  <c r="S2628" i="13"/>
  <c r="R2628" i="13"/>
  <c r="Q2628" i="13"/>
  <c r="P2628" i="13"/>
  <c r="A2628" i="13"/>
  <c r="S2627" i="13"/>
  <c r="R2627" i="13"/>
  <c r="Q2627" i="13"/>
  <c r="P2627" i="13"/>
  <c r="A2627" i="13"/>
  <c r="S2626" i="13"/>
  <c r="R2626" i="13"/>
  <c r="Q2626" i="13"/>
  <c r="P2626" i="13"/>
  <c r="A2626" i="13"/>
  <c r="S2625" i="13"/>
  <c r="R2625" i="13"/>
  <c r="Q2625" i="13"/>
  <c r="P2625" i="13"/>
  <c r="A2625" i="13"/>
  <c r="S2624" i="13"/>
  <c r="R2624" i="13"/>
  <c r="Q2624" i="13"/>
  <c r="P2624" i="13"/>
  <c r="A2624" i="13"/>
  <c r="S2623" i="13"/>
  <c r="R2623" i="13"/>
  <c r="Q2623" i="13"/>
  <c r="P2623" i="13"/>
  <c r="A2623" i="13"/>
  <c r="S2622" i="13"/>
  <c r="R2622" i="13"/>
  <c r="Q2622" i="13"/>
  <c r="P2622" i="13"/>
  <c r="A2622" i="13"/>
  <c r="S2621" i="13"/>
  <c r="R2621" i="13"/>
  <c r="Q2621" i="13"/>
  <c r="P2621" i="13"/>
  <c r="A2621" i="13"/>
  <c r="S2620" i="13"/>
  <c r="R2620" i="13"/>
  <c r="Q2620" i="13"/>
  <c r="P2620" i="13"/>
  <c r="A2620" i="13"/>
  <c r="S2619" i="13"/>
  <c r="R2619" i="13"/>
  <c r="Q2619" i="13"/>
  <c r="P2619" i="13"/>
  <c r="A2619" i="13"/>
  <c r="S2618" i="13"/>
  <c r="R2618" i="13"/>
  <c r="Q2618" i="13"/>
  <c r="P2618" i="13"/>
  <c r="A2618" i="13"/>
  <c r="S2617" i="13"/>
  <c r="R2617" i="13"/>
  <c r="Q2617" i="13"/>
  <c r="P2617" i="13"/>
  <c r="A2617" i="13"/>
  <c r="S2616" i="13"/>
  <c r="R2616" i="13"/>
  <c r="Q2616" i="13"/>
  <c r="P2616" i="13"/>
  <c r="A2616" i="13"/>
  <c r="S2615" i="13"/>
  <c r="R2615" i="13"/>
  <c r="Q2615" i="13"/>
  <c r="P2615" i="13"/>
  <c r="A2615" i="13"/>
  <c r="S2614" i="13"/>
  <c r="R2614" i="13"/>
  <c r="Q2614" i="13"/>
  <c r="P2614" i="13"/>
  <c r="A2614" i="13"/>
  <c r="S2613" i="13"/>
  <c r="R2613" i="13"/>
  <c r="Q2613" i="13"/>
  <c r="P2613" i="13"/>
  <c r="A2613" i="13"/>
  <c r="S2612" i="13"/>
  <c r="R2612" i="13"/>
  <c r="Q2612" i="13"/>
  <c r="P2612" i="13"/>
  <c r="A2612" i="13"/>
  <c r="S2611" i="13"/>
  <c r="R2611" i="13"/>
  <c r="Q2611" i="13"/>
  <c r="P2611" i="13"/>
  <c r="A2611" i="13"/>
  <c r="S2610" i="13"/>
  <c r="R2610" i="13"/>
  <c r="Q2610" i="13"/>
  <c r="P2610" i="13"/>
  <c r="A2610" i="13"/>
  <c r="S2609" i="13"/>
  <c r="R2609" i="13"/>
  <c r="Q2609" i="13"/>
  <c r="P2609" i="13"/>
  <c r="A2609" i="13"/>
  <c r="S2608" i="13"/>
  <c r="R2608" i="13"/>
  <c r="Q2608" i="13"/>
  <c r="P2608" i="13"/>
  <c r="A2608" i="13"/>
  <c r="S2607" i="13"/>
  <c r="R2607" i="13"/>
  <c r="Q2607" i="13"/>
  <c r="P2607" i="13"/>
  <c r="A2607" i="13"/>
  <c r="S2606" i="13"/>
  <c r="R2606" i="13"/>
  <c r="Q2606" i="13"/>
  <c r="P2606" i="13"/>
  <c r="A2606" i="13"/>
  <c r="S2605" i="13"/>
  <c r="R2605" i="13"/>
  <c r="Q2605" i="13"/>
  <c r="P2605" i="13"/>
  <c r="A2605" i="13"/>
  <c r="S2604" i="13"/>
  <c r="R2604" i="13"/>
  <c r="Q2604" i="13"/>
  <c r="P2604" i="13"/>
  <c r="A2604" i="13"/>
  <c r="S2603" i="13"/>
  <c r="R2603" i="13"/>
  <c r="Q2603" i="13"/>
  <c r="P2603" i="13"/>
  <c r="A2603" i="13"/>
  <c r="S2602" i="13"/>
  <c r="R2602" i="13"/>
  <c r="Q2602" i="13"/>
  <c r="P2602" i="13"/>
  <c r="A2602" i="13"/>
  <c r="S2601" i="13"/>
  <c r="R2601" i="13"/>
  <c r="Q2601" i="13"/>
  <c r="P2601" i="13"/>
  <c r="A2601" i="13"/>
  <c r="S2600" i="13"/>
  <c r="R2600" i="13"/>
  <c r="Q2600" i="13"/>
  <c r="P2600" i="13"/>
  <c r="A2600" i="13"/>
  <c r="S2599" i="13"/>
  <c r="R2599" i="13"/>
  <c r="Q2599" i="13"/>
  <c r="P2599" i="13"/>
  <c r="A2599" i="13"/>
  <c r="S2598" i="13"/>
  <c r="R2598" i="13"/>
  <c r="Q2598" i="13"/>
  <c r="P2598" i="13"/>
  <c r="A2598" i="13"/>
  <c r="S2597" i="13"/>
  <c r="R2597" i="13"/>
  <c r="Q2597" i="13"/>
  <c r="P2597" i="13"/>
  <c r="A2597" i="13"/>
  <c r="S2596" i="13"/>
  <c r="R2596" i="13"/>
  <c r="Q2596" i="13"/>
  <c r="P2596" i="13"/>
  <c r="A2596" i="13"/>
  <c r="S2595" i="13"/>
  <c r="R2595" i="13"/>
  <c r="Q2595" i="13"/>
  <c r="P2595" i="13"/>
  <c r="A2595" i="13"/>
  <c r="S2594" i="13"/>
  <c r="R2594" i="13"/>
  <c r="Q2594" i="13"/>
  <c r="P2594" i="13"/>
  <c r="A2594" i="13"/>
  <c r="S2593" i="13"/>
  <c r="R2593" i="13"/>
  <c r="Q2593" i="13"/>
  <c r="P2593" i="13"/>
  <c r="A2593" i="13"/>
  <c r="S2592" i="13"/>
  <c r="R2592" i="13"/>
  <c r="Q2592" i="13"/>
  <c r="P2592" i="13"/>
  <c r="A2592" i="13"/>
  <c r="S2591" i="13"/>
  <c r="R2591" i="13"/>
  <c r="Q2591" i="13"/>
  <c r="P2591" i="13"/>
  <c r="A2591" i="13"/>
  <c r="S2590" i="13"/>
  <c r="R2590" i="13"/>
  <c r="Q2590" i="13"/>
  <c r="P2590" i="13"/>
  <c r="A2590" i="13"/>
  <c r="S2589" i="13"/>
  <c r="R2589" i="13"/>
  <c r="Q2589" i="13"/>
  <c r="P2589" i="13"/>
  <c r="A2589" i="13"/>
  <c r="S2588" i="13"/>
  <c r="R2588" i="13"/>
  <c r="Q2588" i="13"/>
  <c r="P2588" i="13"/>
  <c r="A2588" i="13"/>
  <c r="S2587" i="13"/>
  <c r="R2587" i="13"/>
  <c r="Q2587" i="13"/>
  <c r="P2587" i="13"/>
  <c r="A2587" i="13"/>
  <c r="S2586" i="13"/>
  <c r="R2586" i="13"/>
  <c r="Q2586" i="13"/>
  <c r="P2586" i="13"/>
  <c r="A2586" i="13"/>
  <c r="S2585" i="13"/>
  <c r="R2585" i="13"/>
  <c r="Q2585" i="13"/>
  <c r="P2585" i="13"/>
  <c r="A2585" i="13"/>
  <c r="S2584" i="13"/>
  <c r="R2584" i="13"/>
  <c r="Q2584" i="13"/>
  <c r="P2584" i="13"/>
  <c r="A2584" i="13"/>
  <c r="S2583" i="13"/>
  <c r="R2583" i="13"/>
  <c r="Q2583" i="13"/>
  <c r="P2583" i="13"/>
  <c r="A2583" i="13"/>
  <c r="S2582" i="13"/>
  <c r="R2582" i="13"/>
  <c r="Q2582" i="13"/>
  <c r="P2582" i="13"/>
  <c r="A2582" i="13"/>
  <c r="S2581" i="13"/>
  <c r="R2581" i="13"/>
  <c r="Q2581" i="13"/>
  <c r="P2581" i="13"/>
  <c r="A2581" i="13"/>
  <c r="S2580" i="13"/>
  <c r="R2580" i="13"/>
  <c r="Q2580" i="13"/>
  <c r="P2580" i="13"/>
  <c r="A2580" i="13"/>
  <c r="S2579" i="13"/>
  <c r="R2579" i="13"/>
  <c r="Q2579" i="13"/>
  <c r="P2579" i="13"/>
  <c r="A2579" i="13"/>
  <c r="S2578" i="13"/>
  <c r="R2578" i="13"/>
  <c r="Q2578" i="13"/>
  <c r="P2578" i="13"/>
  <c r="A2578" i="13"/>
  <c r="S2577" i="13"/>
  <c r="R2577" i="13"/>
  <c r="Q2577" i="13"/>
  <c r="P2577" i="13"/>
  <c r="A2577" i="13"/>
  <c r="S2576" i="13"/>
  <c r="R2576" i="13"/>
  <c r="Q2576" i="13"/>
  <c r="P2576" i="13"/>
  <c r="A2576" i="13"/>
  <c r="S2575" i="13"/>
  <c r="R2575" i="13"/>
  <c r="Q2575" i="13"/>
  <c r="P2575" i="13"/>
  <c r="A2575" i="13"/>
  <c r="S2574" i="13"/>
  <c r="R2574" i="13"/>
  <c r="Q2574" i="13"/>
  <c r="P2574" i="13"/>
  <c r="A2574" i="13"/>
  <c r="S2573" i="13"/>
  <c r="R2573" i="13"/>
  <c r="Q2573" i="13"/>
  <c r="P2573" i="13"/>
  <c r="A2573" i="13"/>
  <c r="S2572" i="13"/>
  <c r="R2572" i="13"/>
  <c r="Q2572" i="13"/>
  <c r="P2572" i="13"/>
  <c r="A2572" i="13"/>
  <c r="S2571" i="13"/>
  <c r="R2571" i="13"/>
  <c r="Q2571" i="13"/>
  <c r="P2571" i="13"/>
  <c r="A2571" i="13"/>
  <c r="S2570" i="13"/>
  <c r="R2570" i="13"/>
  <c r="Q2570" i="13"/>
  <c r="P2570" i="13"/>
  <c r="A2570" i="13"/>
  <c r="S2569" i="13"/>
  <c r="R2569" i="13"/>
  <c r="Q2569" i="13"/>
  <c r="P2569" i="13"/>
  <c r="A2569" i="13"/>
  <c r="S2568" i="13"/>
  <c r="R2568" i="13"/>
  <c r="Q2568" i="13"/>
  <c r="P2568" i="13"/>
  <c r="A2568" i="13"/>
  <c r="S2567" i="13"/>
  <c r="R2567" i="13"/>
  <c r="Q2567" i="13"/>
  <c r="P2567" i="13"/>
  <c r="A2567" i="13"/>
  <c r="S2566" i="13"/>
  <c r="R2566" i="13"/>
  <c r="Q2566" i="13"/>
  <c r="P2566" i="13"/>
  <c r="A2566" i="13"/>
  <c r="S2565" i="13"/>
  <c r="R2565" i="13"/>
  <c r="Q2565" i="13"/>
  <c r="P2565" i="13"/>
  <c r="A2565" i="13"/>
  <c r="S2564" i="13"/>
  <c r="R2564" i="13"/>
  <c r="Q2564" i="13"/>
  <c r="P2564" i="13"/>
  <c r="A2564" i="13"/>
  <c r="S2563" i="13"/>
  <c r="R2563" i="13"/>
  <c r="Q2563" i="13"/>
  <c r="P2563" i="13"/>
  <c r="A2563" i="13"/>
  <c r="S2562" i="13"/>
  <c r="R2562" i="13"/>
  <c r="Q2562" i="13"/>
  <c r="P2562" i="13"/>
  <c r="A2562" i="13"/>
  <c r="S2561" i="13"/>
  <c r="R2561" i="13"/>
  <c r="Q2561" i="13"/>
  <c r="P2561" i="13"/>
  <c r="A2561" i="13"/>
  <c r="S2560" i="13"/>
  <c r="R2560" i="13"/>
  <c r="Q2560" i="13"/>
  <c r="P2560" i="13"/>
  <c r="A2560" i="13"/>
  <c r="S2559" i="13"/>
  <c r="R2559" i="13"/>
  <c r="Q2559" i="13"/>
  <c r="P2559" i="13"/>
  <c r="A2559" i="13"/>
  <c r="S2558" i="13"/>
  <c r="R2558" i="13"/>
  <c r="Q2558" i="13"/>
  <c r="P2558" i="13"/>
  <c r="A2558" i="13"/>
  <c r="S2557" i="13"/>
  <c r="R2557" i="13"/>
  <c r="Q2557" i="13"/>
  <c r="P2557" i="13"/>
  <c r="A2557" i="13"/>
  <c r="S2556" i="13"/>
  <c r="R2556" i="13"/>
  <c r="Q2556" i="13"/>
  <c r="P2556" i="13"/>
  <c r="A2556" i="13"/>
  <c r="S2555" i="13"/>
  <c r="R2555" i="13"/>
  <c r="Q2555" i="13"/>
  <c r="P2555" i="13"/>
  <c r="A2555" i="13"/>
  <c r="S2554" i="13"/>
  <c r="R2554" i="13"/>
  <c r="Q2554" i="13"/>
  <c r="P2554" i="13"/>
  <c r="A2554" i="13"/>
  <c r="S2553" i="13"/>
  <c r="R2553" i="13"/>
  <c r="Q2553" i="13"/>
  <c r="P2553" i="13"/>
  <c r="A2553" i="13"/>
  <c r="S2552" i="13"/>
  <c r="R2552" i="13"/>
  <c r="Q2552" i="13"/>
  <c r="P2552" i="13"/>
  <c r="A2552" i="13"/>
  <c r="S2551" i="13"/>
  <c r="R2551" i="13"/>
  <c r="Q2551" i="13"/>
  <c r="P2551" i="13"/>
  <c r="A2551" i="13"/>
  <c r="S2550" i="13"/>
  <c r="R2550" i="13"/>
  <c r="Q2550" i="13"/>
  <c r="P2550" i="13"/>
  <c r="A2550" i="13"/>
  <c r="S2549" i="13"/>
  <c r="R2549" i="13"/>
  <c r="Q2549" i="13"/>
  <c r="P2549" i="13"/>
  <c r="A2549" i="13"/>
  <c r="S2548" i="13"/>
  <c r="R2548" i="13"/>
  <c r="Q2548" i="13"/>
  <c r="P2548" i="13"/>
  <c r="A2548" i="13"/>
  <c r="S2547" i="13"/>
  <c r="R2547" i="13"/>
  <c r="Q2547" i="13"/>
  <c r="P2547" i="13"/>
  <c r="A2547" i="13"/>
  <c r="S2546" i="13"/>
  <c r="R2546" i="13"/>
  <c r="Q2546" i="13"/>
  <c r="P2546" i="13"/>
  <c r="A2546" i="13"/>
  <c r="S2545" i="13"/>
  <c r="R2545" i="13"/>
  <c r="Q2545" i="13"/>
  <c r="P2545" i="13"/>
  <c r="A2545" i="13"/>
  <c r="S2544" i="13"/>
  <c r="R2544" i="13"/>
  <c r="Q2544" i="13"/>
  <c r="P2544" i="13"/>
  <c r="A2544" i="13"/>
  <c r="S2543" i="13"/>
  <c r="R2543" i="13"/>
  <c r="Q2543" i="13"/>
  <c r="P2543" i="13"/>
  <c r="A2543" i="13"/>
  <c r="S2542" i="13"/>
  <c r="R2542" i="13"/>
  <c r="Q2542" i="13"/>
  <c r="P2542" i="13"/>
  <c r="A2542" i="13"/>
  <c r="S2541" i="13"/>
  <c r="R2541" i="13"/>
  <c r="Q2541" i="13"/>
  <c r="P2541" i="13"/>
  <c r="A2541" i="13"/>
  <c r="S2540" i="13"/>
  <c r="R2540" i="13"/>
  <c r="Q2540" i="13"/>
  <c r="P2540" i="13"/>
  <c r="A2540" i="13"/>
  <c r="S2539" i="13"/>
  <c r="R2539" i="13"/>
  <c r="Q2539" i="13"/>
  <c r="P2539" i="13"/>
  <c r="A2539" i="13"/>
  <c r="S2538" i="13"/>
  <c r="R2538" i="13"/>
  <c r="Q2538" i="13"/>
  <c r="P2538" i="13"/>
  <c r="A2538" i="13"/>
  <c r="S2537" i="13"/>
  <c r="R2537" i="13"/>
  <c r="Q2537" i="13"/>
  <c r="P2537" i="13"/>
  <c r="A2537" i="13"/>
  <c r="S2536" i="13"/>
  <c r="R2536" i="13"/>
  <c r="Q2536" i="13"/>
  <c r="P2536" i="13"/>
  <c r="A2536" i="13"/>
  <c r="S2535" i="13"/>
  <c r="R2535" i="13"/>
  <c r="Q2535" i="13"/>
  <c r="P2535" i="13"/>
  <c r="A2535" i="13"/>
  <c r="S2534" i="13"/>
  <c r="R2534" i="13"/>
  <c r="Q2534" i="13"/>
  <c r="P2534" i="13"/>
  <c r="A2534" i="13"/>
  <c r="S2533" i="13"/>
  <c r="R2533" i="13"/>
  <c r="Q2533" i="13"/>
  <c r="P2533" i="13"/>
  <c r="A2533" i="13"/>
  <c r="S2532" i="13"/>
  <c r="R2532" i="13"/>
  <c r="Q2532" i="13"/>
  <c r="P2532" i="13"/>
  <c r="A2532" i="13"/>
  <c r="S2531" i="13"/>
  <c r="R2531" i="13"/>
  <c r="Q2531" i="13"/>
  <c r="P2531" i="13"/>
  <c r="A2531" i="13"/>
  <c r="S2530" i="13"/>
  <c r="R2530" i="13"/>
  <c r="Q2530" i="13"/>
  <c r="P2530" i="13"/>
  <c r="A2530" i="13"/>
  <c r="S2529" i="13"/>
  <c r="R2529" i="13"/>
  <c r="Q2529" i="13"/>
  <c r="P2529" i="13"/>
  <c r="A2529" i="13"/>
  <c r="S2528" i="13"/>
  <c r="R2528" i="13"/>
  <c r="Q2528" i="13"/>
  <c r="P2528" i="13"/>
  <c r="A2528" i="13"/>
  <c r="S2527" i="13"/>
  <c r="R2527" i="13"/>
  <c r="Q2527" i="13"/>
  <c r="P2527" i="13"/>
  <c r="A2527" i="13"/>
  <c r="S2526" i="13"/>
  <c r="R2526" i="13"/>
  <c r="Q2526" i="13"/>
  <c r="P2526" i="13"/>
  <c r="A2526" i="13"/>
  <c r="S2525" i="13"/>
  <c r="R2525" i="13"/>
  <c r="Q2525" i="13"/>
  <c r="P2525" i="13"/>
  <c r="A2525" i="13"/>
  <c r="S2524" i="13"/>
  <c r="R2524" i="13"/>
  <c r="Q2524" i="13"/>
  <c r="P2524" i="13"/>
  <c r="A2524" i="13"/>
  <c r="S2523" i="13"/>
  <c r="R2523" i="13"/>
  <c r="Q2523" i="13"/>
  <c r="P2523" i="13"/>
  <c r="A2523" i="13"/>
  <c r="S2522" i="13"/>
  <c r="R2522" i="13"/>
  <c r="Q2522" i="13"/>
  <c r="P2522" i="13"/>
  <c r="A2522" i="13"/>
  <c r="S2521" i="13"/>
  <c r="R2521" i="13"/>
  <c r="Q2521" i="13"/>
  <c r="P2521" i="13"/>
  <c r="A2521" i="13"/>
  <c r="S2520" i="13"/>
  <c r="R2520" i="13"/>
  <c r="Q2520" i="13"/>
  <c r="P2520" i="13"/>
  <c r="A2520" i="13"/>
  <c r="S2519" i="13"/>
  <c r="R2519" i="13"/>
  <c r="Q2519" i="13"/>
  <c r="P2519" i="13"/>
  <c r="A2519" i="13"/>
  <c r="S2518" i="13"/>
  <c r="R2518" i="13"/>
  <c r="Q2518" i="13"/>
  <c r="P2518" i="13"/>
  <c r="A2518" i="13"/>
  <c r="S2517" i="13"/>
  <c r="R2517" i="13"/>
  <c r="Q2517" i="13"/>
  <c r="P2517" i="13"/>
  <c r="A2517" i="13"/>
  <c r="S2516" i="13"/>
  <c r="R2516" i="13"/>
  <c r="Q2516" i="13"/>
  <c r="P2516" i="13"/>
  <c r="A2516" i="13"/>
  <c r="S2515" i="13"/>
  <c r="R2515" i="13"/>
  <c r="Q2515" i="13"/>
  <c r="P2515" i="13"/>
  <c r="A2515" i="13"/>
  <c r="S2514" i="13"/>
  <c r="R2514" i="13"/>
  <c r="Q2514" i="13"/>
  <c r="P2514" i="13"/>
  <c r="A2514" i="13"/>
  <c r="S2513" i="13"/>
  <c r="R2513" i="13"/>
  <c r="Q2513" i="13"/>
  <c r="P2513" i="13"/>
  <c r="A2513" i="13"/>
  <c r="S2512" i="13"/>
  <c r="R2512" i="13"/>
  <c r="Q2512" i="13"/>
  <c r="P2512" i="13"/>
  <c r="A2512" i="13"/>
  <c r="S2511" i="13"/>
  <c r="R2511" i="13"/>
  <c r="Q2511" i="13"/>
  <c r="P2511" i="13"/>
  <c r="A2511" i="13"/>
  <c r="S2510" i="13"/>
  <c r="R2510" i="13"/>
  <c r="Q2510" i="13"/>
  <c r="P2510" i="13"/>
  <c r="A2510" i="13"/>
  <c r="S2509" i="13"/>
  <c r="R2509" i="13"/>
  <c r="Q2509" i="13"/>
  <c r="P2509" i="13"/>
  <c r="A2509" i="13"/>
  <c r="S2508" i="13"/>
  <c r="R2508" i="13"/>
  <c r="Q2508" i="13"/>
  <c r="P2508" i="13"/>
  <c r="A2508" i="13"/>
  <c r="S2507" i="13"/>
  <c r="R2507" i="13"/>
  <c r="Q2507" i="13"/>
  <c r="P2507" i="13"/>
  <c r="A2507" i="13"/>
  <c r="S2506" i="13"/>
  <c r="R2506" i="13"/>
  <c r="Q2506" i="13"/>
  <c r="P2506" i="13"/>
  <c r="A2506" i="13"/>
  <c r="S2505" i="13"/>
  <c r="R2505" i="13"/>
  <c r="Q2505" i="13"/>
  <c r="P2505" i="13"/>
  <c r="A2505" i="13"/>
  <c r="S2504" i="13"/>
  <c r="R2504" i="13"/>
  <c r="Q2504" i="13"/>
  <c r="P2504" i="13"/>
  <c r="A2504" i="13"/>
  <c r="S2503" i="13"/>
  <c r="R2503" i="13"/>
  <c r="Q2503" i="13"/>
  <c r="P2503" i="13"/>
  <c r="A2503" i="13"/>
  <c r="S2502" i="13"/>
  <c r="R2502" i="13"/>
  <c r="Q2502" i="13"/>
  <c r="P2502" i="13"/>
  <c r="A2502" i="13"/>
  <c r="S2501" i="13"/>
  <c r="R2501" i="13"/>
  <c r="Q2501" i="13"/>
  <c r="P2501" i="13"/>
  <c r="A2501" i="13"/>
  <c r="S2500" i="13"/>
  <c r="R2500" i="13"/>
  <c r="Q2500" i="13"/>
  <c r="P2500" i="13"/>
  <c r="A2500" i="13"/>
  <c r="S2499" i="13"/>
  <c r="R2499" i="13"/>
  <c r="Q2499" i="13"/>
  <c r="P2499" i="13"/>
  <c r="A2499" i="13"/>
  <c r="S2498" i="13"/>
  <c r="R2498" i="13"/>
  <c r="Q2498" i="13"/>
  <c r="P2498" i="13"/>
  <c r="A2498" i="13"/>
  <c r="S2497" i="13"/>
  <c r="R2497" i="13"/>
  <c r="Q2497" i="13"/>
  <c r="P2497" i="13"/>
  <c r="A2497" i="13"/>
  <c r="S2496" i="13"/>
  <c r="R2496" i="13"/>
  <c r="Q2496" i="13"/>
  <c r="P2496" i="13"/>
  <c r="A2496" i="13"/>
  <c r="S2495" i="13"/>
  <c r="R2495" i="13"/>
  <c r="Q2495" i="13"/>
  <c r="P2495" i="13"/>
  <c r="A2495" i="13"/>
  <c r="S2494" i="13"/>
  <c r="R2494" i="13"/>
  <c r="Q2494" i="13"/>
  <c r="P2494" i="13"/>
  <c r="A2494" i="13"/>
  <c r="S2493" i="13"/>
  <c r="R2493" i="13"/>
  <c r="Q2493" i="13"/>
  <c r="P2493" i="13"/>
  <c r="A2493" i="13"/>
  <c r="S2492" i="13"/>
  <c r="R2492" i="13"/>
  <c r="Q2492" i="13"/>
  <c r="P2492" i="13"/>
  <c r="A2492" i="13"/>
  <c r="S2491" i="13"/>
  <c r="R2491" i="13"/>
  <c r="Q2491" i="13"/>
  <c r="P2491" i="13"/>
  <c r="A2491" i="13"/>
  <c r="S2490" i="13"/>
  <c r="R2490" i="13"/>
  <c r="Q2490" i="13"/>
  <c r="P2490" i="13"/>
  <c r="A2490" i="13"/>
  <c r="S2489" i="13"/>
  <c r="R2489" i="13"/>
  <c r="Q2489" i="13"/>
  <c r="P2489" i="13"/>
  <c r="A2489" i="13"/>
  <c r="S2488" i="13"/>
  <c r="R2488" i="13"/>
  <c r="Q2488" i="13"/>
  <c r="P2488" i="13"/>
  <c r="A2488" i="13"/>
  <c r="S2487" i="13"/>
  <c r="R2487" i="13"/>
  <c r="Q2487" i="13"/>
  <c r="P2487" i="13"/>
  <c r="A2487" i="13"/>
  <c r="S2486" i="13"/>
  <c r="R2486" i="13"/>
  <c r="Q2486" i="13"/>
  <c r="P2486" i="13"/>
  <c r="A2486" i="13"/>
  <c r="S2485" i="13"/>
  <c r="R2485" i="13"/>
  <c r="Q2485" i="13"/>
  <c r="P2485" i="13"/>
  <c r="A2485" i="13"/>
  <c r="S2484" i="13"/>
  <c r="R2484" i="13"/>
  <c r="Q2484" i="13"/>
  <c r="P2484" i="13"/>
  <c r="A2484" i="13"/>
  <c r="S2483" i="13"/>
  <c r="R2483" i="13"/>
  <c r="Q2483" i="13"/>
  <c r="P2483" i="13"/>
  <c r="A2483" i="13"/>
  <c r="S2482" i="13"/>
  <c r="R2482" i="13"/>
  <c r="Q2482" i="13"/>
  <c r="P2482" i="13"/>
  <c r="A2482" i="13"/>
  <c r="S2481" i="13"/>
  <c r="R2481" i="13"/>
  <c r="Q2481" i="13"/>
  <c r="P2481" i="13"/>
  <c r="A2481" i="13"/>
  <c r="S2480" i="13"/>
  <c r="R2480" i="13"/>
  <c r="Q2480" i="13"/>
  <c r="P2480" i="13"/>
  <c r="A2480" i="13"/>
  <c r="S2479" i="13"/>
  <c r="R2479" i="13"/>
  <c r="Q2479" i="13"/>
  <c r="P2479" i="13"/>
  <c r="A2479" i="13"/>
  <c r="S2478" i="13"/>
  <c r="R2478" i="13"/>
  <c r="Q2478" i="13"/>
  <c r="P2478" i="13"/>
  <c r="A2478" i="13"/>
  <c r="S2477" i="13"/>
  <c r="R2477" i="13"/>
  <c r="Q2477" i="13"/>
  <c r="P2477" i="13"/>
  <c r="A2477" i="13"/>
  <c r="S2476" i="13"/>
  <c r="R2476" i="13"/>
  <c r="Q2476" i="13"/>
  <c r="P2476" i="13"/>
  <c r="A2476" i="13"/>
  <c r="S2475" i="13"/>
  <c r="R2475" i="13"/>
  <c r="Q2475" i="13"/>
  <c r="P2475" i="13"/>
  <c r="A2475" i="13"/>
  <c r="S2474" i="13"/>
  <c r="R2474" i="13"/>
  <c r="Q2474" i="13"/>
  <c r="P2474" i="13"/>
  <c r="A2474" i="13"/>
  <c r="S2473" i="13"/>
  <c r="R2473" i="13"/>
  <c r="Q2473" i="13"/>
  <c r="P2473" i="13"/>
  <c r="A2473" i="13"/>
  <c r="S2472" i="13"/>
  <c r="R2472" i="13"/>
  <c r="Q2472" i="13"/>
  <c r="P2472" i="13"/>
  <c r="A2472" i="13"/>
  <c r="S2471" i="13"/>
  <c r="R2471" i="13"/>
  <c r="Q2471" i="13"/>
  <c r="P2471" i="13"/>
  <c r="A2471" i="13"/>
  <c r="S2470" i="13"/>
  <c r="R2470" i="13"/>
  <c r="Q2470" i="13"/>
  <c r="P2470" i="13"/>
  <c r="A2470" i="13"/>
  <c r="S2469" i="13"/>
  <c r="R2469" i="13"/>
  <c r="Q2469" i="13"/>
  <c r="P2469" i="13"/>
  <c r="A2469" i="13"/>
  <c r="S2468" i="13"/>
  <c r="R2468" i="13"/>
  <c r="Q2468" i="13"/>
  <c r="P2468" i="13"/>
  <c r="A2468" i="13"/>
  <c r="S2467" i="13"/>
  <c r="R2467" i="13"/>
  <c r="Q2467" i="13"/>
  <c r="P2467" i="13"/>
  <c r="A2467" i="13"/>
  <c r="S2466" i="13"/>
  <c r="R2466" i="13"/>
  <c r="Q2466" i="13"/>
  <c r="P2466" i="13"/>
  <c r="A2466" i="13"/>
  <c r="S2465" i="13"/>
  <c r="R2465" i="13"/>
  <c r="Q2465" i="13"/>
  <c r="P2465" i="13"/>
  <c r="A2465" i="13"/>
  <c r="S2464" i="13"/>
  <c r="R2464" i="13"/>
  <c r="Q2464" i="13"/>
  <c r="P2464" i="13"/>
  <c r="A2464" i="13"/>
  <c r="S2463" i="13"/>
  <c r="R2463" i="13"/>
  <c r="Q2463" i="13"/>
  <c r="P2463" i="13"/>
  <c r="A2463" i="13"/>
  <c r="S2462" i="13"/>
  <c r="R2462" i="13"/>
  <c r="Q2462" i="13"/>
  <c r="P2462" i="13"/>
  <c r="A2462" i="13"/>
  <c r="S2461" i="13"/>
  <c r="R2461" i="13"/>
  <c r="Q2461" i="13"/>
  <c r="P2461" i="13"/>
  <c r="A2461" i="13"/>
  <c r="S2460" i="13"/>
  <c r="R2460" i="13"/>
  <c r="Q2460" i="13"/>
  <c r="P2460" i="13"/>
  <c r="A2460" i="13"/>
  <c r="S2459" i="13"/>
  <c r="R2459" i="13"/>
  <c r="Q2459" i="13"/>
  <c r="P2459" i="13"/>
  <c r="A2459" i="13"/>
  <c r="S2458" i="13"/>
  <c r="R2458" i="13"/>
  <c r="Q2458" i="13"/>
  <c r="P2458" i="13"/>
  <c r="A2458" i="13"/>
  <c r="S2457" i="13"/>
  <c r="R2457" i="13"/>
  <c r="Q2457" i="13"/>
  <c r="P2457" i="13"/>
  <c r="A2457" i="13"/>
  <c r="S2456" i="13"/>
  <c r="R2456" i="13"/>
  <c r="Q2456" i="13"/>
  <c r="P2456" i="13"/>
  <c r="A2456" i="13"/>
  <c r="S2455" i="13"/>
  <c r="R2455" i="13"/>
  <c r="Q2455" i="13"/>
  <c r="P2455" i="13"/>
  <c r="A2455" i="13"/>
  <c r="S2454" i="13"/>
  <c r="R2454" i="13"/>
  <c r="Q2454" i="13"/>
  <c r="P2454" i="13"/>
  <c r="A2454" i="13"/>
  <c r="S2453" i="13"/>
  <c r="R2453" i="13"/>
  <c r="Q2453" i="13"/>
  <c r="P2453" i="13"/>
  <c r="A2453" i="13"/>
  <c r="S2452" i="13"/>
  <c r="R2452" i="13"/>
  <c r="Q2452" i="13"/>
  <c r="P2452" i="13"/>
  <c r="A2452" i="13"/>
  <c r="S2451" i="13"/>
  <c r="R2451" i="13"/>
  <c r="Q2451" i="13"/>
  <c r="P2451" i="13"/>
  <c r="A2451" i="13"/>
  <c r="S2450" i="13"/>
  <c r="R2450" i="13"/>
  <c r="Q2450" i="13"/>
  <c r="P2450" i="13"/>
  <c r="A2450" i="13"/>
  <c r="S2449" i="13"/>
  <c r="R2449" i="13"/>
  <c r="Q2449" i="13"/>
  <c r="P2449" i="13"/>
  <c r="A2449" i="13"/>
  <c r="S2448" i="13"/>
  <c r="R2448" i="13"/>
  <c r="Q2448" i="13"/>
  <c r="P2448" i="13"/>
  <c r="A2448" i="13"/>
  <c r="S2447" i="13"/>
  <c r="R2447" i="13"/>
  <c r="Q2447" i="13"/>
  <c r="P2447" i="13"/>
  <c r="A2447" i="13"/>
  <c r="S2446" i="13"/>
  <c r="R2446" i="13"/>
  <c r="Q2446" i="13"/>
  <c r="P2446" i="13"/>
  <c r="A2446" i="13"/>
  <c r="S2445" i="13"/>
  <c r="R2445" i="13"/>
  <c r="Q2445" i="13"/>
  <c r="P2445" i="13"/>
  <c r="A2445" i="13"/>
  <c r="S2444" i="13"/>
  <c r="R2444" i="13"/>
  <c r="Q2444" i="13"/>
  <c r="P2444" i="13"/>
  <c r="A2444" i="13"/>
  <c r="S2443" i="13"/>
  <c r="R2443" i="13"/>
  <c r="Q2443" i="13"/>
  <c r="P2443" i="13"/>
  <c r="A2443" i="13"/>
  <c r="S2442" i="13"/>
  <c r="R2442" i="13"/>
  <c r="Q2442" i="13"/>
  <c r="P2442" i="13"/>
  <c r="A2442" i="13"/>
  <c r="S2441" i="13"/>
  <c r="R2441" i="13"/>
  <c r="Q2441" i="13"/>
  <c r="P2441" i="13"/>
  <c r="A2441" i="13"/>
  <c r="S2440" i="13"/>
  <c r="R2440" i="13"/>
  <c r="Q2440" i="13"/>
  <c r="P2440" i="13"/>
  <c r="A2440" i="13"/>
  <c r="S2439" i="13"/>
  <c r="R2439" i="13"/>
  <c r="Q2439" i="13"/>
  <c r="P2439" i="13"/>
  <c r="A2439" i="13"/>
  <c r="S2438" i="13"/>
  <c r="R2438" i="13"/>
  <c r="Q2438" i="13"/>
  <c r="P2438" i="13"/>
  <c r="A2438" i="13"/>
  <c r="S2437" i="13"/>
  <c r="R2437" i="13"/>
  <c r="Q2437" i="13"/>
  <c r="P2437" i="13"/>
  <c r="A2437" i="13"/>
  <c r="S2436" i="13"/>
  <c r="R2436" i="13"/>
  <c r="Q2436" i="13"/>
  <c r="P2436" i="13"/>
  <c r="A2436" i="13"/>
  <c r="S2435" i="13"/>
  <c r="R2435" i="13"/>
  <c r="Q2435" i="13"/>
  <c r="P2435" i="13"/>
  <c r="A2435" i="13"/>
  <c r="S2434" i="13"/>
  <c r="R2434" i="13"/>
  <c r="Q2434" i="13"/>
  <c r="P2434" i="13"/>
  <c r="A2434" i="13"/>
  <c r="S2433" i="13"/>
  <c r="R2433" i="13"/>
  <c r="Q2433" i="13"/>
  <c r="P2433" i="13"/>
  <c r="A2433" i="13"/>
  <c r="S2432" i="13"/>
  <c r="R2432" i="13"/>
  <c r="Q2432" i="13"/>
  <c r="P2432" i="13"/>
  <c r="A2432" i="13"/>
  <c r="S2431" i="13"/>
  <c r="R2431" i="13"/>
  <c r="Q2431" i="13"/>
  <c r="P2431" i="13"/>
  <c r="A2431" i="13"/>
  <c r="S2430" i="13"/>
  <c r="R2430" i="13"/>
  <c r="Q2430" i="13"/>
  <c r="P2430" i="13"/>
  <c r="A2430" i="13"/>
  <c r="S2429" i="13"/>
  <c r="R2429" i="13"/>
  <c r="Q2429" i="13"/>
  <c r="P2429" i="13"/>
  <c r="A2429" i="13"/>
  <c r="S2428" i="13"/>
  <c r="R2428" i="13"/>
  <c r="Q2428" i="13"/>
  <c r="P2428" i="13"/>
  <c r="A2428" i="13"/>
  <c r="S2427" i="13"/>
  <c r="R2427" i="13"/>
  <c r="Q2427" i="13"/>
  <c r="P2427" i="13"/>
  <c r="A2427" i="13"/>
  <c r="S2426" i="13"/>
  <c r="R2426" i="13"/>
  <c r="Q2426" i="13"/>
  <c r="P2426" i="13"/>
  <c r="A2426" i="13"/>
  <c r="S2425" i="13"/>
  <c r="R2425" i="13"/>
  <c r="Q2425" i="13"/>
  <c r="P2425" i="13"/>
  <c r="A2425" i="13"/>
  <c r="S2424" i="13"/>
  <c r="R2424" i="13"/>
  <c r="Q2424" i="13"/>
  <c r="P2424" i="13"/>
  <c r="A2424" i="13"/>
  <c r="S2423" i="13"/>
  <c r="R2423" i="13"/>
  <c r="Q2423" i="13"/>
  <c r="P2423" i="13"/>
  <c r="A2423" i="13"/>
  <c r="S2422" i="13"/>
  <c r="R2422" i="13"/>
  <c r="Q2422" i="13"/>
  <c r="P2422" i="13"/>
  <c r="A2422" i="13"/>
  <c r="S2421" i="13"/>
  <c r="R2421" i="13"/>
  <c r="Q2421" i="13"/>
  <c r="P2421" i="13"/>
  <c r="A2421" i="13"/>
  <c r="S2420" i="13"/>
  <c r="R2420" i="13"/>
  <c r="Q2420" i="13"/>
  <c r="P2420" i="13"/>
  <c r="A2420" i="13"/>
  <c r="S2419" i="13"/>
  <c r="R2419" i="13"/>
  <c r="Q2419" i="13"/>
  <c r="P2419" i="13"/>
  <c r="A2419" i="13"/>
  <c r="S2418" i="13"/>
  <c r="R2418" i="13"/>
  <c r="Q2418" i="13"/>
  <c r="P2418" i="13"/>
  <c r="A2418" i="13"/>
  <c r="S2417" i="13"/>
  <c r="R2417" i="13"/>
  <c r="Q2417" i="13"/>
  <c r="P2417" i="13"/>
  <c r="A2417" i="13"/>
  <c r="S2416" i="13"/>
  <c r="R2416" i="13"/>
  <c r="Q2416" i="13"/>
  <c r="P2416" i="13"/>
  <c r="A2416" i="13"/>
  <c r="S2415" i="13"/>
  <c r="R2415" i="13"/>
  <c r="Q2415" i="13"/>
  <c r="P2415" i="13"/>
  <c r="A2415" i="13"/>
  <c r="S2414" i="13"/>
  <c r="R2414" i="13"/>
  <c r="Q2414" i="13"/>
  <c r="P2414" i="13"/>
  <c r="A2414" i="13"/>
  <c r="S2413" i="13"/>
  <c r="R2413" i="13"/>
  <c r="Q2413" i="13"/>
  <c r="P2413" i="13"/>
  <c r="A2413" i="13"/>
  <c r="S2412" i="13"/>
  <c r="R2412" i="13"/>
  <c r="Q2412" i="13"/>
  <c r="P2412" i="13"/>
  <c r="A2412" i="13"/>
  <c r="S2411" i="13"/>
  <c r="R2411" i="13"/>
  <c r="Q2411" i="13"/>
  <c r="P2411" i="13"/>
  <c r="A2411" i="13"/>
  <c r="S2410" i="13"/>
  <c r="R2410" i="13"/>
  <c r="Q2410" i="13"/>
  <c r="P2410" i="13"/>
  <c r="A2410" i="13"/>
  <c r="S2409" i="13"/>
  <c r="R2409" i="13"/>
  <c r="Q2409" i="13"/>
  <c r="P2409" i="13"/>
  <c r="A2409" i="13"/>
  <c r="S2408" i="13"/>
  <c r="R2408" i="13"/>
  <c r="Q2408" i="13"/>
  <c r="P2408" i="13"/>
  <c r="A2408" i="13"/>
  <c r="S2407" i="13"/>
  <c r="R2407" i="13"/>
  <c r="Q2407" i="13"/>
  <c r="P2407" i="13"/>
  <c r="A2407" i="13"/>
  <c r="S2406" i="13"/>
  <c r="R2406" i="13"/>
  <c r="Q2406" i="13"/>
  <c r="P2406" i="13"/>
  <c r="A2406" i="13"/>
  <c r="S2405" i="13"/>
  <c r="R2405" i="13"/>
  <c r="Q2405" i="13"/>
  <c r="P2405" i="13"/>
  <c r="A2405" i="13"/>
  <c r="S2404" i="13"/>
  <c r="R2404" i="13"/>
  <c r="Q2404" i="13"/>
  <c r="P2404" i="13"/>
  <c r="A2404" i="13"/>
  <c r="S2403" i="13"/>
  <c r="R2403" i="13"/>
  <c r="Q2403" i="13"/>
  <c r="P2403" i="13"/>
  <c r="A2403" i="13"/>
  <c r="S2402" i="13"/>
  <c r="R2402" i="13"/>
  <c r="Q2402" i="13"/>
  <c r="P2402" i="13"/>
  <c r="A2402" i="13"/>
  <c r="S2401" i="13"/>
  <c r="R2401" i="13"/>
  <c r="Q2401" i="13"/>
  <c r="P2401" i="13"/>
  <c r="A2401" i="13"/>
  <c r="S2400" i="13"/>
  <c r="R2400" i="13"/>
  <c r="Q2400" i="13"/>
  <c r="P2400" i="13"/>
  <c r="A2400" i="13"/>
  <c r="S2399" i="13"/>
  <c r="R2399" i="13"/>
  <c r="Q2399" i="13"/>
  <c r="P2399" i="13"/>
  <c r="A2399" i="13"/>
  <c r="S2398" i="13"/>
  <c r="R2398" i="13"/>
  <c r="Q2398" i="13"/>
  <c r="P2398" i="13"/>
  <c r="A2398" i="13"/>
  <c r="S2397" i="13"/>
  <c r="R2397" i="13"/>
  <c r="Q2397" i="13"/>
  <c r="P2397" i="13"/>
  <c r="A2397" i="13"/>
  <c r="S2396" i="13"/>
  <c r="R2396" i="13"/>
  <c r="Q2396" i="13"/>
  <c r="P2396" i="13"/>
  <c r="A2396" i="13"/>
  <c r="S2395" i="13"/>
  <c r="R2395" i="13"/>
  <c r="Q2395" i="13"/>
  <c r="P2395" i="13"/>
  <c r="A2395" i="13"/>
  <c r="S2394" i="13"/>
  <c r="R2394" i="13"/>
  <c r="Q2394" i="13"/>
  <c r="P2394" i="13"/>
  <c r="A2394" i="13"/>
  <c r="S2393" i="13"/>
  <c r="R2393" i="13"/>
  <c r="Q2393" i="13"/>
  <c r="P2393" i="13"/>
  <c r="A2393" i="13"/>
  <c r="S2392" i="13"/>
  <c r="R2392" i="13"/>
  <c r="Q2392" i="13"/>
  <c r="P2392" i="13"/>
  <c r="A2392" i="13"/>
  <c r="S2391" i="13"/>
  <c r="R2391" i="13"/>
  <c r="Q2391" i="13"/>
  <c r="P2391" i="13"/>
  <c r="A2391" i="13"/>
  <c r="S2390" i="13"/>
  <c r="R2390" i="13"/>
  <c r="Q2390" i="13"/>
  <c r="P2390" i="13"/>
  <c r="A2390" i="13"/>
  <c r="S2389" i="13"/>
  <c r="R2389" i="13"/>
  <c r="Q2389" i="13"/>
  <c r="P2389" i="13"/>
  <c r="A2389" i="13"/>
  <c r="S2388" i="13"/>
  <c r="R2388" i="13"/>
  <c r="Q2388" i="13"/>
  <c r="P2388" i="13"/>
  <c r="A2388" i="13"/>
  <c r="S2387" i="13"/>
  <c r="R2387" i="13"/>
  <c r="Q2387" i="13"/>
  <c r="P2387" i="13"/>
  <c r="A2387" i="13"/>
  <c r="S2386" i="13"/>
  <c r="R2386" i="13"/>
  <c r="Q2386" i="13"/>
  <c r="P2386" i="13"/>
  <c r="A2386" i="13"/>
  <c r="S2385" i="13"/>
  <c r="R2385" i="13"/>
  <c r="Q2385" i="13"/>
  <c r="P2385" i="13"/>
  <c r="A2385" i="13"/>
  <c r="S2384" i="13"/>
  <c r="R2384" i="13"/>
  <c r="Q2384" i="13"/>
  <c r="P2384" i="13"/>
  <c r="A2384" i="13"/>
  <c r="S2383" i="13"/>
  <c r="R2383" i="13"/>
  <c r="Q2383" i="13"/>
  <c r="P2383" i="13"/>
  <c r="A2383" i="13"/>
  <c r="S2382" i="13"/>
  <c r="R2382" i="13"/>
  <c r="Q2382" i="13"/>
  <c r="P2382" i="13"/>
  <c r="A2382" i="13"/>
  <c r="S2381" i="13"/>
  <c r="R2381" i="13"/>
  <c r="Q2381" i="13"/>
  <c r="P2381" i="13"/>
  <c r="A2381" i="13"/>
  <c r="S2380" i="13"/>
  <c r="R2380" i="13"/>
  <c r="Q2380" i="13"/>
  <c r="P2380" i="13"/>
  <c r="A2380" i="13"/>
  <c r="S2379" i="13"/>
  <c r="R2379" i="13"/>
  <c r="Q2379" i="13"/>
  <c r="P2379" i="13"/>
  <c r="A2379" i="13"/>
  <c r="S2378" i="13"/>
  <c r="R2378" i="13"/>
  <c r="Q2378" i="13"/>
  <c r="P2378" i="13"/>
  <c r="A2378" i="13"/>
  <c r="S2377" i="13"/>
  <c r="R2377" i="13"/>
  <c r="Q2377" i="13"/>
  <c r="P2377" i="13"/>
  <c r="A2377" i="13"/>
  <c r="S2376" i="13"/>
  <c r="R2376" i="13"/>
  <c r="Q2376" i="13"/>
  <c r="P2376" i="13"/>
  <c r="A2376" i="13"/>
  <c r="S2375" i="13"/>
  <c r="R2375" i="13"/>
  <c r="Q2375" i="13"/>
  <c r="P2375" i="13"/>
  <c r="A2375" i="13"/>
  <c r="S2374" i="13"/>
  <c r="R2374" i="13"/>
  <c r="Q2374" i="13"/>
  <c r="P2374" i="13"/>
  <c r="A2374" i="13"/>
  <c r="S2373" i="13"/>
  <c r="R2373" i="13"/>
  <c r="Q2373" i="13"/>
  <c r="P2373" i="13"/>
  <c r="A2373" i="13"/>
  <c r="S2372" i="13"/>
  <c r="R2372" i="13"/>
  <c r="Q2372" i="13"/>
  <c r="P2372" i="13"/>
  <c r="A2372" i="13"/>
  <c r="S2371" i="13"/>
  <c r="R2371" i="13"/>
  <c r="Q2371" i="13"/>
  <c r="P2371" i="13"/>
  <c r="A2371" i="13"/>
  <c r="S2370" i="13"/>
  <c r="R2370" i="13"/>
  <c r="Q2370" i="13"/>
  <c r="P2370" i="13"/>
  <c r="A2370" i="13"/>
  <c r="S2369" i="13"/>
  <c r="R2369" i="13"/>
  <c r="Q2369" i="13"/>
  <c r="P2369" i="13"/>
  <c r="A2369" i="13"/>
  <c r="S2368" i="13"/>
  <c r="R2368" i="13"/>
  <c r="Q2368" i="13"/>
  <c r="P2368" i="13"/>
  <c r="A2368" i="13"/>
  <c r="S2367" i="13"/>
  <c r="R2367" i="13"/>
  <c r="Q2367" i="13"/>
  <c r="P2367" i="13"/>
  <c r="A2367" i="13"/>
  <c r="S2366" i="13"/>
  <c r="R2366" i="13"/>
  <c r="Q2366" i="13"/>
  <c r="P2366" i="13"/>
  <c r="A2366" i="13"/>
  <c r="S2365" i="13"/>
  <c r="R2365" i="13"/>
  <c r="Q2365" i="13"/>
  <c r="P2365" i="13"/>
  <c r="A2365" i="13"/>
  <c r="S2364" i="13"/>
  <c r="R2364" i="13"/>
  <c r="Q2364" i="13"/>
  <c r="P2364" i="13"/>
  <c r="A2364" i="13"/>
  <c r="S2363" i="13"/>
  <c r="R2363" i="13"/>
  <c r="Q2363" i="13"/>
  <c r="P2363" i="13"/>
  <c r="A2363" i="13"/>
  <c r="S2362" i="13"/>
  <c r="R2362" i="13"/>
  <c r="Q2362" i="13"/>
  <c r="P2362" i="13"/>
  <c r="A2362" i="13"/>
  <c r="S2361" i="13"/>
  <c r="R2361" i="13"/>
  <c r="Q2361" i="13"/>
  <c r="P2361" i="13"/>
  <c r="A2361" i="13"/>
  <c r="S2360" i="13"/>
  <c r="R2360" i="13"/>
  <c r="Q2360" i="13"/>
  <c r="P2360" i="13"/>
  <c r="A2360" i="13"/>
  <c r="S2359" i="13"/>
  <c r="R2359" i="13"/>
  <c r="Q2359" i="13"/>
  <c r="P2359" i="13"/>
  <c r="A2359" i="13"/>
  <c r="S2358" i="13"/>
  <c r="R2358" i="13"/>
  <c r="Q2358" i="13"/>
  <c r="P2358" i="13"/>
  <c r="A2358" i="13"/>
  <c r="S2357" i="13"/>
  <c r="R2357" i="13"/>
  <c r="Q2357" i="13"/>
  <c r="P2357" i="13"/>
  <c r="A2357" i="13"/>
  <c r="S2356" i="13"/>
  <c r="R2356" i="13"/>
  <c r="Q2356" i="13"/>
  <c r="P2356" i="13"/>
  <c r="A2356" i="13"/>
  <c r="S2355" i="13"/>
  <c r="R2355" i="13"/>
  <c r="Q2355" i="13"/>
  <c r="P2355" i="13"/>
  <c r="A2355" i="13"/>
  <c r="S2354" i="13"/>
  <c r="R2354" i="13"/>
  <c r="Q2354" i="13"/>
  <c r="P2354" i="13"/>
  <c r="A2354" i="13"/>
  <c r="S2353" i="13"/>
  <c r="R2353" i="13"/>
  <c r="Q2353" i="13"/>
  <c r="P2353" i="13"/>
  <c r="A2353" i="13"/>
  <c r="S2352" i="13"/>
  <c r="R2352" i="13"/>
  <c r="Q2352" i="13"/>
  <c r="P2352" i="13"/>
  <c r="A2352" i="13"/>
  <c r="S2351" i="13"/>
  <c r="R2351" i="13"/>
  <c r="Q2351" i="13"/>
  <c r="P2351" i="13"/>
  <c r="A2351" i="13"/>
  <c r="S2350" i="13"/>
  <c r="R2350" i="13"/>
  <c r="Q2350" i="13"/>
  <c r="P2350" i="13"/>
  <c r="A2350" i="13"/>
  <c r="S2349" i="13"/>
  <c r="R2349" i="13"/>
  <c r="Q2349" i="13"/>
  <c r="P2349" i="13"/>
  <c r="A2349" i="13"/>
  <c r="S2348" i="13"/>
  <c r="R2348" i="13"/>
  <c r="Q2348" i="13"/>
  <c r="P2348" i="13"/>
  <c r="A2348" i="13"/>
  <c r="S2347" i="13"/>
  <c r="R2347" i="13"/>
  <c r="Q2347" i="13"/>
  <c r="P2347" i="13"/>
  <c r="A2347" i="13"/>
  <c r="S2346" i="13"/>
  <c r="R2346" i="13"/>
  <c r="Q2346" i="13"/>
  <c r="P2346" i="13"/>
  <c r="A2346" i="13"/>
  <c r="S2345" i="13"/>
  <c r="R2345" i="13"/>
  <c r="Q2345" i="13"/>
  <c r="P2345" i="13"/>
  <c r="A2345" i="13"/>
  <c r="S2344" i="13"/>
  <c r="R2344" i="13"/>
  <c r="Q2344" i="13"/>
  <c r="P2344" i="13"/>
  <c r="A2344" i="13"/>
  <c r="S2343" i="13"/>
  <c r="R2343" i="13"/>
  <c r="Q2343" i="13"/>
  <c r="P2343" i="13"/>
  <c r="A2343" i="13"/>
  <c r="S2342" i="13"/>
  <c r="R2342" i="13"/>
  <c r="Q2342" i="13"/>
  <c r="P2342" i="13"/>
  <c r="A2342" i="13"/>
  <c r="S2341" i="13"/>
  <c r="R2341" i="13"/>
  <c r="Q2341" i="13"/>
  <c r="P2341" i="13"/>
  <c r="A2341" i="13"/>
  <c r="S2340" i="13"/>
  <c r="R2340" i="13"/>
  <c r="Q2340" i="13"/>
  <c r="P2340" i="13"/>
  <c r="A2340" i="13"/>
  <c r="S2339" i="13"/>
  <c r="R2339" i="13"/>
  <c r="Q2339" i="13"/>
  <c r="P2339" i="13"/>
  <c r="A2339" i="13"/>
  <c r="S2338" i="13"/>
  <c r="R2338" i="13"/>
  <c r="Q2338" i="13"/>
  <c r="P2338" i="13"/>
  <c r="A2338" i="13"/>
  <c r="S2337" i="13"/>
  <c r="R2337" i="13"/>
  <c r="Q2337" i="13"/>
  <c r="P2337" i="13"/>
  <c r="A2337" i="13"/>
  <c r="S2336" i="13"/>
  <c r="R2336" i="13"/>
  <c r="Q2336" i="13"/>
  <c r="P2336" i="13"/>
  <c r="A2336" i="13"/>
  <c r="S2335" i="13"/>
  <c r="R2335" i="13"/>
  <c r="Q2335" i="13"/>
  <c r="P2335" i="13"/>
  <c r="A2335" i="13"/>
  <c r="S2334" i="13"/>
  <c r="R2334" i="13"/>
  <c r="Q2334" i="13"/>
  <c r="P2334" i="13"/>
  <c r="A2334" i="13"/>
  <c r="S2333" i="13"/>
  <c r="R2333" i="13"/>
  <c r="Q2333" i="13"/>
  <c r="P2333" i="13"/>
  <c r="A2333" i="13"/>
  <c r="S2332" i="13"/>
  <c r="R2332" i="13"/>
  <c r="Q2332" i="13"/>
  <c r="P2332" i="13"/>
  <c r="A2332" i="13"/>
  <c r="S2331" i="13"/>
  <c r="R2331" i="13"/>
  <c r="Q2331" i="13"/>
  <c r="P2331" i="13"/>
  <c r="A2331" i="13"/>
  <c r="S2330" i="13"/>
  <c r="R2330" i="13"/>
  <c r="Q2330" i="13"/>
  <c r="P2330" i="13"/>
  <c r="A2330" i="13"/>
  <c r="S2329" i="13"/>
  <c r="R2329" i="13"/>
  <c r="Q2329" i="13"/>
  <c r="P2329" i="13"/>
  <c r="A2329" i="13"/>
  <c r="S2328" i="13"/>
  <c r="R2328" i="13"/>
  <c r="Q2328" i="13"/>
  <c r="P2328" i="13"/>
  <c r="A2328" i="13"/>
  <c r="S2327" i="13"/>
  <c r="R2327" i="13"/>
  <c r="Q2327" i="13"/>
  <c r="P2327" i="13"/>
  <c r="A2327" i="13"/>
  <c r="S2326" i="13"/>
  <c r="R2326" i="13"/>
  <c r="Q2326" i="13"/>
  <c r="P2326" i="13"/>
  <c r="A2326" i="13"/>
  <c r="S2325" i="13"/>
  <c r="R2325" i="13"/>
  <c r="Q2325" i="13"/>
  <c r="P2325" i="13"/>
  <c r="A2325" i="13"/>
  <c r="S2324" i="13"/>
  <c r="R2324" i="13"/>
  <c r="Q2324" i="13"/>
  <c r="P2324" i="13"/>
  <c r="A2324" i="13"/>
  <c r="S2323" i="13"/>
  <c r="R2323" i="13"/>
  <c r="Q2323" i="13"/>
  <c r="P2323" i="13"/>
  <c r="A2323" i="13"/>
  <c r="S2322" i="13"/>
  <c r="R2322" i="13"/>
  <c r="Q2322" i="13"/>
  <c r="P2322" i="13"/>
  <c r="A2322" i="13"/>
  <c r="S2321" i="13"/>
  <c r="R2321" i="13"/>
  <c r="Q2321" i="13"/>
  <c r="P2321" i="13"/>
  <c r="A2321" i="13"/>
  <c r="S2320" i="13"/>
  <c r="R2320" i="13"/>
  <c r="Q2320" i="13"/>
  <c r="P2320" i="13"/>
  <c r="A2320" i="13"/>
  <c r="S2319" i="13"/>
  <c r="R2319" i="13"/>
  <c r="Q2319" i="13"/>
  <c r="P2319" i="13"/>
  <c r="A2319" i="13"/>
  <c r="S2318" i="13"/>
  <c r="R2318" i="13"/>
  <c r="Q2318" i="13"/>
  <c r="P2318" i="13"/>
  <c r="A2318" i="13"/>
  <c r="S2317" i="13"/>
  <c r="R2317" i="13"/>
  <c r="Q2317" i="13"/>
  <c r="P2317" i="13"/>
  <c r="A2317" i="13"/>
  <c r="S2316" i="13"/>
  <c r="R2316" i="13"/>
  <c r="Q2316" i="13"/>
  <c r="P2316" i="13"/>
  <c r="A2316" i="13"/>
  <c r="S2315" i="13"/>
  <c r="R2315" i="13"/>
  <c r="Q2315" i="13"/>
  <c r="P2315" i="13"/>
  <c r="A2315" i="13"/>
  <c r="S2314" i="13"/>
  <c r="R2314" i="13"/>
  <c r="Q2314" i="13"/>
  <c r="P2314" i="13"/>
  <c r="A2314" i="13"/>
  <c r="S2313" i="13"/>
  <c r="R2313" i="13"/>
  <c r="Q2313" i="13"/>
  <c r="P2313" i="13"/>
  <c r="A2313" i="13"/>
  <c r="S2312" i="13"/>
  <c r="R2312" i="13"/>
  <c r="Q2312" i="13"/>
  <c r="P2312" i="13"/>
  <c r="A2312" i="13"/>
  <c r="S2311" i="13"/>
  <c r="R2311" i="13"/>
  <c r="Q2311" i="13"/>
  <c r="P2311" i="13"/>
  <c r="A2311" i="13"/>
  <c r="S2310" i="13"/>
  <c r="R2310" i="13"/>
  <c r="Q2310" i="13"/>
  <c r="P2310" i="13"/>
  <c r="A2310" i="13"/>
  <c r="S2309" i="13"/>
  <c r="R2309" i="13"/>
  <c r="Q2309" i="13"/>
  <c r="P2309" i="13"/>
  <c r="A2309" i="13"/>
  <c r="S2308" i="13"/>
  <c r="R2308" i="13"/>
  <c r="Q2308" i="13"/>
  <c r="P2308" i="13"/>
  <c r="A2308" i="13"/>
  <c r="S2307" i="13"/>
  <c r="R2307" i="13"/>
  <c r="Q2307" i="13"/>
  <c r="P2307" i="13"/>
  <c r="A2307" i="13"/>
  <c r="S2306" i="13"/>
  <c r="R2306" i="13"/>
  <c r="Q2306" i="13"/>
  <c r="P2306" i="13"/>
  <c r="A2306" i="13"/>
  <c r="S2305" i="13"/>
  <c r="R2305" i="13"/>
  <c r="Q2305" i="13"/>
  <c r="P2305" i="13"/>
  <c r="A2305" i="13"/>
  <c r="S2304" i="13"/>
  <c r="R2304" i="13"/>
  <c r="Q2304" i="13"/>
  <c r="P2304" i="13"/>
  <c r="A2304" i="13"/>
  <c r="S2303" i="13"/>
  <c r="R2303" i="13"/>
  <c r="Q2303" i="13"/>
  <c r="P2303" i="13"/>
  <c r="A2303" i="13"/>
  <c r="S2302" i="13"/>
  <c r="R2302" i="13"/>
  <c r="Q2302" i="13"/>
  <c r="P2302" i="13"/>
  <c r="A2302" i="13"/>
  <c r="S2301" i="13"/>
  <c r="R2301" i="13"/>
  <c r="Q2301" i="13"/>
  <c r="P2301" i="13"/>
  <c r="A2301" i="13"/>
  <c r="S2300" i="13"/>
  <c r="R2300" i="13"/>
  <c r="Q2300" i="13"/>
  <c r="P2300" i="13"/>
  <c r="A2300" i="13"/>
  <c r="S2299" i="13"/>
  <c r="R2299" i="13"/>
  <c r="Q2299" i="13"/>
  <c r="P2299" i="13"/>
  <c r="A2299" i="13"/>
  <c r="S2298" i="13"/>
  <c r="R2298" i="13"/>
  <c r="Q2298" i="13"/>
  <c r="P2298" i="13"/>
  <c r="A2298" i="13"/>
  <c r="S2297" i="13"/>
  <c r="R2297" i="13"/>
  <c r="Q2297" i="13"/>
  <c r="P2297" i="13"/>
  <c r="A2297" i="13"/>
  <c r="S2296" i="13"/>
  <c r="R2296" i="13"/>
  <c r="Q2296" i="13"/>
  <c r="P2296" i="13"/>
  <c r="A2296" i="13"/>
  <c r="S2295" i="13"/>
  <c r="R2295" i="13"/>
  <c r="Q2295" i="13"/>
  <c r="P2295" i="13"/>
  <c r="A2295" i="13"/>
  <c r="S2294" i="13"/>
  <c r="R2294" i="13"/>
  <c r="Q2294" i="13"/>
  <c r="P2294" i="13"/>
  <c r="A2294" i="13"/>
  <c r="S2293" i="13"/>
  <c r="R2293" i="13"/>
  <c r="Q2293" i="13"/>
  <c r="P2293" i="13"/>
  <c r="A2293" i="13"/>
  <c r="S2292" i="13"/>
  <c r="R2292" i="13"/>
  <c r="Q2292" i="13"/>
  <c r="P2292" i="13"/>
  <c r="A2292" i="13"/>
  <c r="S2291" i="13"/>
  <c r="R2291" i="13"/>
  <c r="Q2291" i="13"/>
  <c r="P2291" i="13"/>
  <c r="A2291" i="13"/>
  <c r="S2290" i="13"/>
  <c r="R2290" i="13"/>
  <c r="Q2290" i="13"/>
  <c r="P2290" i="13"/>
  <c r="A2290" i="13"/>
  <c r="S2289" i="13"/>
  <c r="R2289" i="13"/>
  <c r="Q2289" i="13"/>
  <c r="P2289" i="13"/>
  <c r="A2289" i="13"/>
  <c r="S2288" i="13"/>
  <c r="R2288" i="13"/>
  <c r="Q2288" i="13"/>
  <c r="P2288" i="13"/>
  <c r="A2288" i="13"/>
  <c r="S2287" i="13"/>
  <c r="R2287" i="13"/>
  <c r="Q2287" i="13"/>
  <c r="P2287" i="13"/>
  <c r="A2287" i="13"/>
  <c r="S2286" i="13"/>
  <c r="R2286" i="13"/>
  <c r="Q2286" i="13"/>
  <c r="P2286" i="13"/>
  <c r="A2286" i="13"/>
  <c r="S2285" i="13"/>
  <c r="R2285" i="13"/>
  <c r="Q2285" i="13"/>
  <c r="P2285" i="13"/>
  <c r="A2285" i="13"/>
  <c r="S2284" i="13"/>
  <c r="R2284" i="13"/>
  <c r="Q2284" i="13"/>
  <c r="P2284" i="13"/>
  <c r="A2284" i="13"/>
  <c r="S2283" i="13"/>
  <c r="R2283" i="13"/>
  <c r="Q2283" i="13"/>
  <c r="P2283" i="13"/>
  <c r="A2283" i="13"/>
  <c r="S2282" i="13"/>
  <c r="R2282" i="13"/>
  <c r="Q2282" i="13"/>
  <c r="P2282" i="13"/>
  <c r="A2282" i="13"/>
  <c r="S2281" i="13"/>
  <c r="R2281" i="13"/>
  <c r="Q2281" i="13"/>
  <c r="P2281" i="13"/>
  <c r="A2281" i="13"/>
  <c r="S2280" i="13"/>
  <c r="R2280" i="13"/>
  <c r="Q2280" i="13"/>
  <c r="P2280" i="13"/>
  <c r="A2280" i="13"/>
  <c r="S2279" i="13"/>
  <c r="R2279" i="13"/>
  <c r="Q2279" i="13"/>
  <c r="P2279" i="13"/>
  <c r="A2279" i="13"/>
  <c r="S2278" i="13"/>
  <c r="R2278" i="13"/>
  <c r="Q2278" i="13"/>
  <c r="P2278" i="13"/>
  <c r="A2278" i="13"/>
  <c r="S2277" i="13"/>
  <c r="R2277" i="13"/>
  <c r="Q2277" i="13"/>
  <c r="P2277" i="13"/>
  <c r="A2277" i="13"/>
  <c r="S2276" i="13"/>
  <c r="R2276" i="13"/>
  <c r="Q2276" i="13"/>
  <c r="P2276" i="13"/>
  <c r="A2276" i="13"/>
  <c r="S2275" i="13"/>
  <c r="R2275" i="13"/>
  <c r="Q2275" i="13"/>
  <c r="P2275" i="13"/>
  <c r="A2275" i="13"/>
  <c r="S2274" i="13"/>
  <c r="R2274" i="13"/>
  <c r="Q2274" i="13"/>
  <c r="P2274" i="13"/>
  <c r="A2274" i="13"/>
  <c r="S2273" i="13"/>
  <c r="R2273" i="13"/>
  <c r="Q2273" i="13"/>
  <c r="P2273" i="13"/>
  <c r="A2273" i="13"/>
  <c r="S2272" i="13"/>
  <c r="R2272" i="13"/>
  <c r="Q2272" i="13"/>
  <c r="P2272" i="13"/>
  <c r="A2272" i="13"/>
  <c r="S2271" i="13"/>
  <c r="R2271" i="13"/>
  <c r="Q2271" i="13"/>
  <c r="P2271" i="13"/>
  <c r="A2271" i="13"/>
  <c r="S2270" i="13"/>
  <c r="R2270" i="13"/>
  <c r="Q2270" i="13"/>
  <c r="P2270" i="13"/>
  <c r="A2270" i="13"/>
  <c r="S2269" i="13"/>
  <c r="R2269" i="13"/>
  <c r="Q2269" i="13"/>
  <c r="P2269" i="13"/>
  <c r="A2269" i="13"/>
  <c r="S2268" i="13"/>
  <c r="R2268" i="13"/>
  <c r="Q2268" i="13"/>
  <c r="P2268" i="13"/>
  <c r="A2268" i="13"/>
  <c r="S2267" i="13"/>
  <c r="R2267" i="13"/>
  <c r="Q2267" i="13"/>
  <c r="P2267" i="13"/>
  <c r="A2267" i="13"/>
  <c r="S2266" i="13"/>
  <c r="R2266" i="13"/>
  <c r="Q2266" i="13"/>
  <c r="P2266" i="13"/>
  <c r="A2266" i="13"/>
  <c r="S2265" i="13"/>
  <c r="R2265" i="13"/>
  <c r="Q2265" i="13"/>
  <c r="P2265" i="13"/>
  <c r="A2265" i="13"/>
  <c r="S2264" i="13"/>
  <c r="R2264" i="13"/>
  <c r="Q2264" i="13"/>
  <c r="P2264" i="13"/>
  <c r="A2264" i="13"/>
  <c r="S2263" i="13"/>
  <c r="R2263" i="13"/>
  <c r="Q2263" i="13"/>
  <c r="P2263" i="13"/>
  <c r="A2263" i="13"/>
  <c r="S2262" i="13"/>
  <c r="R2262" i="13"/>
  <c r="Q2262" i="13"/>
  <c r="P2262" i="13"/>
  <c r="A2262" i="13"/>
  <c r="S2261" i="13"/>
  <c r="R2261" i="13"/>
  <c r="Q2261" i="13"/>
  <c r="P2261" i="13"/>
  <c r="A2261" i="13"/>
  <c r="S2260" i="13"/>
  <c r="R2260" i="13"/>
  <c r="Q2260" i="13"/>
  <c r="P2260" i="13"/>
  <c r="A2260" i="13"/>
  <c r="S2259" i="13"/>
  <c r="R2259" i="13"/>
  <c r="Q2259" i="13"/>
  <c r="P2259" i="13"/>
  <c r="A2259" i="13"/>
  <c r="S2258" i="13"/>
  <c r="R2258" i="13"/>
  <c r="Q2258" i="13"/>
  <c r="P2258" i="13"/>
  <c r="A2258" i="13"/>
  <c r="S2257" i="13"/>
  <c r="R2257" i="13"/>
  <c r="Q2257" i="13"/>
  <c r="P2257" i="13"/>
  <c r="A2257" i="13"/>
  <c r="S2256" i="13"/>
  <c r="R2256" i="13"/>
  <c r="Q2256" i="13"/>
  <c r="P2256" i="13"/>
  <c r="A2256" i="13"/>
  <c r="S2255" i="13"/>
  <c r="R2255" i="13"/>
  <c r="Q2255" i="13"/>
  <c r="P2255" i="13"/>
  <c r="A2255" i="13"/>
  <c r="S2254" i="13"/>
  <c r="R2254" i="13"/>
  <c r="Q2254" i="13"/>
  <c r="P2254" i="13"/>
  <c r="A2254" i="13"/>
  <c r="S2253" i="13"/>
  <c r="R2253" i="13"/>
  <c r="Q2253" i="13"/>
  <c r="P2253" i="13"/>
  <c r="A2253" i="13"/>
  <c r="S2252" i="13"/>
  <c r="R2252" i="13"/>
  <c r="Q2252" i="13"/>
  <c r="P2252" i="13"/>
  <c r="A2252" i="13"/>
  <c r="S2251" i="13"/>
  <c r="R2251" i="13"/>
  <c r="Q2251" i="13"/>
  <c r="P2251" i="13"/>
  <c r="A2251" i="13"/>
  <c r="S2250" i="13"/>
  <c r="R2250" i="13"/>
  <c r="Q2250" i="13"/>
  <c r="P2250" i="13"/>
  <c r="A2250" i="13"/>
  <c r="S2249" i="13"/>
  <c r="R2249" i="13"/>
  <c r="Q2249" i="13"/>
  <c r="P2249" i="13"/>
  <c r="A2249" i="13"/>
  <c r="S2248" i="13"/>
  <c r="R2248" i="13"/>
  <c r="Q2248" i="13"/>
  <c r="P2248" i="13"/>
  <c r="A2248" i="13"/>
  <c r="S2247" i="13"/>
  <c r="R2247" i="13"/>
  <c r="Q2247" i="13"/>
  <c r="P2247" i="13"/>
  <c r="A2247" i="13"/>
  <c r="S2246" i="13"/>
  <c r="R2246" i="13"/>
  <c r="Q2246" i="13"/>
  <c r="P2246" i="13"/>
  <c r="A2246" i="13"/>
  <c r="S2245" i="13"/>
  <c r="R2245" i="13"/>
  <c r="Q2245" i="13"/>
  <c r="P2245" i="13"/>
  <c r="A2245" i="13"/>
  <c r="S2244" i="13"/>
  <c r="R2244" i="13"/>
  <c r="Q2244" i="13"/>
  <c r="P2244" i="13"/>
  <c r="A2244" i="13"/>
  <c r="S2243" i="13"/>
  <c r="R2243" i="13"/>
  <c r="Q2243" i="13"/>
  <c r="P2243" i="13"/>
  <c r="A2243" i="13"/>
  <c r="S2242" i="13"/>
  <c r="R2242" i="13"/>
  <c r="Q2242" i="13"/>
  <c r="P2242" i="13"/>
  <c r="A2242" i="13"/>
  <c r="S2241" i="13"/>
  <c r="R2241" i="13"/>
  <c r="Q2241" i="13"/>
  <c r="P2241" i="13"/>
  <c r="A2241" i="13"/>
  <c r="S2240" i="13"/>
  <c r="R2240" i="13"/>
  <c r="Q2240" i="13"/>
  <c r="P2240" i="13"/>
  <c r="A2240" i="13"/>
  <c r="S2239" i="13"/>
  <c r="R2239" i="13"/>
  <c r="Q2239" i="13"/>
  <c r="P2239" i="13"/>
  <c r="A2239" i="13"/>
  <c r="S2238" i="13"/>
  <c r="R2238" i="13"/>
  <c r="Q2238" i="13"/>
  <c r="P2238" i="13"/>
  <c r="A2238" i="13"/>
  <c r="S2237" i="13"/>
  <c r="R2237" i="13"/>
  <c r="Q2237" i="13"/>
  <c r="P2237" i="13"/>
  <c r="A2237" i="13"/>
  <c r="S2236" i="13"/>
  <c r="R2236" i="13"/>
  <c r="Q2236" i="13"/>
  <c r="P2236" i="13"/>
  <c r="A2236" i="13"/>
  <c r="S2235" i="13"/>
  <c r="R2235" i="13"/>
  <c r="Q2235" i="13"/>
  <c r="P2235" i="13"/>
  <c r="A2235" i="13"/>
  <c r="S2234" i="13"/>
  <c r="R2234" i="13"/>
  <c r="Q2234" i="13"/>
  <c r="P2234" i="13"/>
  <c r="A2234" i="13"/>
  <c r="S2233" i="13"/>
  <c r="R2233" i="13"/>
  <c r="Q2233" i="13"/>
  <c r="P2233" i="13"/>
  <c r="A2233" i="13"/>
  <c r="S2232" i="13"/>
  <c r="R2232" i="13"/>
  <c r="Q2232" i="13"/>
  <c r="P2232" i="13"/>
  <c r="A2232" i="13"/>
  <c r="S2231" i="13"/>
  <c r="R2231" i="13"/>
  <c r="Q2231" i="13"/>
  <c r="P2231" i="13"/>
  <c r="A2231" i="13"/>
  <c r="S2230" i="13"/>
  <c r="R2230" i="13"/>
  <c r="Q2230" i="13"/>
  <c r="P2230" i="13"/>
  <c r="A2230" i="13"/>
  <c r="S2229" i="13"/>
  <c r="R2229" i="13"/>
  <c r="Q2229" i="13"/>
  <c r="P2229" i="13"/>
  <c r="A2229" i="13"/>
  <c r="S2228" i="13"/>
  <c r="R2228" i="13"/>
  <c r="Q2228" i="13"/>
  <c r="P2228" i="13"/>
  <c r="A2228" i="13"/>
  <c r="S2227" i="13"/>
  <c r="R2227" i="13"/>
  <c r="Q2227" i="13"/>
  <c r="P2227" i="13"/>
  <c r="A2227" i="13"/>
  <c r="S2226" i="13"/>
  <c r="R2226" i="13"/>
  <c r="Q2226" i="13"/>
  <c r="P2226" i="13"/>
  <c r="A2226" i="13"/>
  <c r="S2225" i="13"/>
  <c r="R2225" i="13"/>
  <c r="Q2225" i="13"/>
  <c r="P2225" i="13"/>
  <c r="A2225" i="13"/>
  <c r="S2224" i="13"/>
  <c r="R2224" i="13"/>
  <c r="Q2224" i="13"/>
  <c r="P2224" i="13"/>
  <c r="A2224" i="13"/>
  <c r="S2223" i="13"/>
  <c r="R2223" i="13"/>
  <c r="Q2223" i="13"/>
  <c r="P2223" i="13"/>
  <c r="A2223" i="13"/>
  <c r="S2222" i="13"/>
  <c r="R2222" i="13"/>
  <c r="Q2222" i="13"/>
  <c r="P2222" i="13"/>
  <c r="A2222" i="13"/>
  <c r="S2221" i="13"/>
  <c r="R2221" i="13"/>
  <c r="Q2221" i="13"/>
  <c r="P2221" i="13"/>
  <c r="A2221" i="13"/>
  <c r="S2220" i="13"/>
  <c r="R2220" i="13"/>
  <c r="Q2220" i="13"/>
  <c r="P2220" i="13"/>
  <c r="A2220" i="13"/>
  <c r="S2219" i="13"/>
  <c r="R2219" i="13"/>
  <c r="Q2219" i="13"/>
  <c r="P2219" i="13"/>
  <c r="A2219" i="13"/>
  <c r="S2218" i="13"/>
  <c r="R2218" i="13"/>
  <c r="Q2218" i="13"/>
  <c r="P2218" i="13"/>
  <c r="A2218" i="13"/>
  <c r="S2217" i="13"/>
  <c r="R2217" i="13"/>
  <c r="Q2217" i="13"/>
  <c r="P2217" i="13"/>
  <c r="A2217" i="13"/>
  <c r="S2216" i="13"/>
  <c r="R2216" i="13"/>
  <c r="Q2216" i="13"/>
  <c r="P2216" i="13"/>
  <c r="A2216" i="13"/>
  <c r="S2215" i="13"/>
  <c r="R2215" i="13"/>
  <c r="Q2215" i="13"/>
  <c r="P2215" i="13"/>
  <c r="A2215" i="13"/>
  <c r="S2214" i="13"/>
  <c r="R2214" i="13"/>
  <c r="Q2214" i="13"/>
  <c r="P2214" i="13"/>
  <c r="A2214" i="13"/>
  <c r="S2213" i="13"/>
  <c r="R2213" i="13"/>
  <c r="Q2213" i="13"/>
  <c r="P2213" i="13"/>
  <c r="A2213" i="13"/>
  <c r="S2212" i="13"/>
  <c r="R2212" i="13"/>
  <c r="Q2212" i="13"/>
  <c r="P2212" i="13"/>
  <c r="A2212" i="13"/>
  <c r="S2211" i="13"/>
  <c r="R2211" i="13"/>
  <c r="Q2211" i="13"/>
  <c r="P2211" i="13"/>
  <c r="A2211" i="13"/>
  <c r="S2210" i="13"/>
  <c r="R2210" i="13"/>
  <c r="Q2210" i="13"/>
  <c r="P2210" i="13"/>
  <c r="A2210" i="13"/>
  <c r="S2209" i="13"/>
  <c r="R2209" i="13"/>
  <c r="Q2209" i="13"/>
  <c r="P2209" i="13"/>
  <c r="A2209" i="13"/>
  <c r="S2208" i="13"/>
  <c r="R2208" i="13"/>
  <c r="Q2208" i="13"/>
  <c r="P2208" i="13"/>
  <c r="A2208" i="13"/>
  <c r="S2207" i="13"/>
  <c r="R2207" i="13"/>
  <c r="Q2207" i="13"/>
  <c r="P2207" i="13"/>
  <c r="A2207" i="13"/>
  <c r="S2206" i="13"/>
  <c r="R2206" i="13"/>
  <c r="Q2206" i="13"/>
  <c r="P2206" i="13"/>
  <c r="A2206" i="13"/>
  <c r="S2205" i="13"/>
  <c r="R2205" i="13"/>
  <c r="Q2205" i="13"/>
  <c r="P2205" i="13"/>
  <c r="A2205" i="13"/>
  <c r="S2204" i="13"/>
  <c r="R2204" i="13"/>
  <c r="Q2204" i="13"/>
  <c r="P2204" i="13"/>
  <c r="A2204" i="13"/>
  <c r="S2203" i="13"/>
  <c r="R2203" i="13"/>
  <c r="Q2203" i="13"/>
  <c r="P2203" i="13"/>
  <c r="A2203" i="13"/>
  <c r="S2202" i="13"/>
  <c r="R2202" i="13"/>
  <c r="Q2202" i="13"/>
  <c r="P2202" i="13"/>
  <c r="A2202" i="13"/>
  <c r="S2201" i="13"/>
  <c r="R2201" i="13"/>
  <c r="Q2201" i="13"/>
  <c r="P2201" i="13"/>
  <c r="A2201" i="13"/>
  <c r="S2200" i="13"/>
  <c r="R2200" i="13"/>
  <c r="Q2200" i="13"/>
  <c r="P2200" i="13"/>
  <c r="A2200" i="13"/>
  <c r="S2199" i="13"/>
  <c r="R2199" i="13"/>
  <c r="Q2199" i="13"/>
  <c r="P2199" i="13"/>
  <c r="A2199" i="13"/>
  <c r="S2198" i="13"/>
  <c r="R2198" i="13"/>
  <c r="Q2198" i="13"/>
  <c r="P2198" i="13"/>
  <c r="A2198" i="13"/>
  <c r="S2197" i="13"/>
  <c r="R2197" i="13"/>
  <c r="Q2197" i="13"/>
  <c r="P2197" i="13"/>
  <c r="A2197" i="13"/>
  <c r="S2196" i="13"/>
  <c r="R2196" i="13"/>
  <c r="Q2196" i="13"/>
  <c r="P2196" i="13"/>
  <c r="A2196" i="13"/>
  <c r="S2195" i="13"/>
  <c r="R2195" i="13"/>
  <c r="Q2195" i="13"/>
  <c r="P2195" i="13"/>
  <c r="A2195" i="13"/>
  <c r="S2194" i="13"/>
  <c r="R2194" i="13"/>
  <c r="Q2194" i="13"/>
  <c r="P2194" i="13"/>
  <c r="A2194" i="13"/>
  <c r="S2193" i="13"/>
  <c r="R2193" i="13"/>
  <c r="Q2193" i="13"/>
  <c r="P2193" i="13"/>
  <c r="A2193" i="13"/>
  <c r="S2192" i="13"/>
  <c r="R2192" i="13"/>
  <c r="Q2192" i="13"/>
  <c r="P2192" i="13"/>
  <c r="A2192" i="13"/>
  <c r="S2191" i="13"/>
  <c r="R2191" i="13"/>
  <c r="Q2191" i="13"/>
  <c r="P2191" i="13"/>
  <c r="A2191" i="13"/>
  <c r="S2190" i="13"/>
  <c r="R2190" i="13"/>
  <c r="Q2190" i="13"/>
  <c r="P2190" i="13"/>
  <c r="A2190" i="13"/>
  <c r="S2189" i="13"/>
  <c r="R2189" i="13"/>
  <c r="Q2189" i="13"/>
  <c r="P2189" i="13"/>
  <c r="A2189" i="13"/>
  <c r="S2188" i="13"/>
  <c r="R2188" i="13"/>
  <c r="Q2188" i="13"/>
  <c r="P2188" i="13"/>
  <c r="A2188" i="13"/>
  <c r="S2187" i="13"/>
  <c r="R2187" i="13"/>
  <c r="Q2187" i="13"/>
  <c r="P2187" i="13"/>
  <c r="A2187" i="13"/>
  <c r="S2186" i="13"/>
  <c r="R2186" i="13"/>
  <c r="Q2186" i="13"/>
  <c r="P2186" i="13"/>
  <c r="A2186" i="13"/>
  <c r="S2185" i="13"/>
  <c r="R2185" i="13"/>
  <c r="Q2185" i="13"/>
  <c r="P2185" i="13"/>
  <c r="A2185" i="13"/>
  <c r="S2184" i="13"/>
  <c r="R2184" i="13"/>
  <c r="Q2184" i="13"/>
  <c r="P2184" i="13"/>
  <c r="A2184" i="13"/>
  <c r="S2183" i="13"/>
  <c r="R2183" i="13"/>
  <c r="Q2183" i="13"/>
  <c r="P2183" i="13"/>
  <c r="A2183" i="13"/>
  <c r="S2182" i="13"/>
  <c r="R2182" i="13"/>
  <c r="Q2182" i="13"/>
  <c r="P2182" i="13"/>
  <c r="A2182" i="13"/>
  <c r="S2181" i="13"/>
  <c r="R2181" i="13"/>
  <c r="Q2181" i="13"/>
  <c r="P2181" i="13"/>
  <c r="A2181" i="13"/>
  <c r="S2180" i="13"/>
  <c r="R2180" i="13"/>
  <c r="Q2180" i="13"/>
  <c r="P2180" i="13"/>
  <c r="A2180" i="13"/>
  <c r="S2179" i="13"/>
  <c r="R2179" i="13"/>
  <c r="Q2179" i="13"/>
  <c r="P2179" i="13"/>
  <c r="A2179" i="13"/>
  <c r="S2178" i="13"/>
  <c r="R2178" i="13"/>
  <c r="Q2178" i="13"/>
  <c r="P2178" i="13"/>
  <c r="A2178" i="13"/>
  <c r="S2177" i="13"/>
  <c r="R2177" i="13"/>
  <c r="Q2177" i="13"/>
  <c r="P2177" i="13"/>
  <c r="A2177" i="13"/>
  <c r="S2176" i="13"/>
  <c r="R2176" i="13"/>
  <c r="Q2176" i="13"/>
  <c r="P2176" i="13"/>
  <c r="A2176" i="13"/>
  <c r="S2175" i="13"/>
  <c r="R2175" i="13"/>
  <c r="Q2175" i="13"/>
  <c r="P2175" i="13"/>
  <c r="A2175" i="13"/>
  <c r="S2174" i="13"/>
  <c r="R2174" i="13"/>
  <c r="Q2174" i="13"/>
  <c r="P2174" i="13"/>
  <c r="A2174" i="13"/>
  <c r="S2173" i="13"/>
  <c r="R2173" i="13"/>
  <c r="Q2173" i="13"/>
  <c r="P2173" i="13"/>
  <c r="A2173" i="13"/>
  <c r="S2172" i="13"/>
  <c r="R2172" i="13"/>
  <c r="Q2172" i="13"/>
  <c r="P2172" i="13"/>
  <c r="A2172" i="13"/>
  <c r="S2171" i="13"/>
  <c r="R2171" i="13"/>
  <c r="Q2171" i="13"/>
  <c r="P2171" i="13"/>
  <c r="A2171" i="13"/>
  <c r="S2170" i="13"/>
  <c r="R2170" i="13"/>
  <c r="Q2170" i="13"/>
  <c r="P2170" i="13"/>
  <c r="A2170" i="13"/>
  <c r="S2169" i="13"/>
  <c r="R2169" i="13"/>
  <c r="Q2169" i="13"/>
  <c r="P2169" i="13"/>
  <c r="A2169" i="13"/>
  <c r="S2168" i="13"/>
  <c r="R2168" i="13"/>
  <c r="Q2168" i="13"/>
  <c r="P2168" i="13"/>
  <c r="A2168" i="13"/>
  <c r="S2167" i="13"/>
  <c r="R2167" i="13"/>
  <c r="Q2167" i="13"/>
  <c r="P2167" i="13"/>
  <c r="A2167" i="13"/>
  <c r="S2166" i="13"/>
  <c r="R2166" i="13"/>
  <c r="Q2166" i="13"/>
  <c r="P2166" i="13"/>
  <c r="A2166" i="13"/>
  <c r="S2165" i="13"/>
  <c r="R2165" i="13"/>
  <c r="Q2165" i="13"/>
  <c r="P2165" i="13"/>
  <c r="A2165" i="13"/>
  <c r="S2164" i="13"/>
  <c r="R2164" i="13"/>
  <c r="Q2164" i="13"/>
  <c r="P2164" i="13"/>
  <c r="A2164" i="13"/>
  <c r="S2163" i="13"/>
  <c r="R2163" i="13"/>
  <c r="Q2163" i="13"/>
  <c r="P2163" i="13"/>
  <c r="A2163" i="13"/>
  <c r="S2162" i="13"/>
  <c r="R2162" i="13"/>
  <c r="Q2162" i="13"/>
  <c r="P2162" i="13"/>
  <c r="A2162" i="13"/>
  <c r="S2161" i="13"/>
  <c r="R2161" i="13"/>
  <c r="Q2161" i="13"/>
  <c r="P2161" i="13"/>
  <c r="A2161" i="13"/>
  <c r="S2160" i="13"/>
  <c r="R2160" i="13"/>
  <c r="Q2160" i="13"/>
  <c r="P2160" i="13"/>
  <c r="A2160" i="13"/>
  <c r="S2159" i="13"/>
  <c r="R2159" i="13"/>
  <c r="Q2159" i="13"/>
  <c r="P2159" i="13"/>
  <c r="A2159" i="13"/>
  <c r="S2158" i="13"/>
  <c r="R2158" i="13"/>
  <c r="Q2158" i="13"/>
  <c r="P2158" i="13"/>
  <c r="A2158" i="13"/>
  <c r="S2157" i="13"/>
  <c r="R2157" i="13"/>
  <c r="Q2157" i="13"/>
  <c r="P2157" i="13"/>
  <c r="A2157" i="13"/>
  <c r="S2156" i="13"/>
  <c r="R2156" i="13"/>
  <c r="Q2156" i="13"/>
  <c r="P2156" i="13"/>
  <c r="A2156" i="13"/>
  <c r="S2155" i="13"/>
  <c r="R2155" i="13"/>
  <c r="Q2155" i="13"/>
  <c r="P2155" i="13"/>
  <c r="A2155" i="13"/>
  <c r="S2154" i="13"/>
  <c r="R2154" i="13"/>
  <c r="Q2154" i="13"/>
  <c r="P2154" i="13"/>
  <c r="A2154" i="13"/>
  <c r="S2153" i="13"/>
  <c r="R2153" i="13"/>
  <c r="Q2153" i="13"/>
  <c r="P2153" i="13"/>
  <c r="A2153" i="13"/>
  <c r="S2152" i="13"/>
  <c r="R2152" i="13"/>
  <c r="Q2152" i="13"/>
  <c r="P2152" i="13"/>
  <c r="A2152" i="13"/>
  <c r="S2151" i="13"/>
  <c r="R2151" i="13"/>
  <c r="Q2151" i="13"/>
  <c r="P2151" i="13"/>
  <c r="A2151" i="13"/>
  <c r="S2150" i="13"/>
  <c r="R2150" i="13"/>
  <c r="Q2150" i="13"/>
  <c r="P2150" i="13"/>
  <c r="A2150" i="13"/>
  <c r="S2149" i="13"/>
  <c r="R2149" i="13"/>
  <c r="Q2149" i="13"/>
  <c r="P2149" i="13"/>
  <c r="A2149" i="13"/>
  <c r="S2148" i="13"/>
  <c r="R2148" i="13"/>
  <c r="Q2148" i="13"/>
  <c r="P2148" i="13"/>
  <c r="A2148" i="13"/>
  <c r="S2147" i="13"/>
  <c r="R2147" i="13"/>
  <c r="Q2147" i="13"/>
  <c r="P2147" i="13"/>
  <c r="A2147" i="13"/>
  <c r="S2146" i="13"/>
  <c r="R2146" i="13"/>
  <c r="Q2146" i="13"/>
  <c r="P2146" i="13"/>
  <c r="A2146" i="13"/>
  <c r="S2145" i="13"/>
  <c r="R2145" i="13"/>
  <c r="Q2145" i="13"/>
  <c r="P2145" i="13"/>
  <c r="A2145" i="13"/>
  <c r="S2144" i="13"/>
  <c r="R2144" i="13"/>
  <c r="Q2144" i="13"/>
  <c r="P2144" i="13"/>
  <c r="A2144" i="13"/>
  <c r="S2143" i="13"/>
  <c r="R2143" i="13"/>
  <c r="Q2143" i="13"/>
  <c r="P2143" i="13"/>
  <c r="A2143" i="13"/>
  <c r="S2142" i="13"/>
  <c r="R2142" i="13"/>
  <c r="Q2142" i="13"/>
  <c r="P2142" i="13"/>
  <c r="A2142" i="13"/>
  <c r="S2141" i="13"/>
  <c r="R2141" i="13"/>
  <c r="Q2141" i="13"/>
  <c r="P2141" i="13"/>
  <c r="A2141" i="13"/>
  <c r="S2140" i="13"/>
  <c r="R2140" i="13"/>
  <c r="Q2140" i="13"/>
  <c r="P2140" i="13"/>
  <c r="A2140" i="13"/>
  <c r="S2139" i="13"/>
  <c r="R2139" i="13"/>
  <c r="Q2139" i="13"/>
  <c r="P2139" i="13"/>
  <c r="A2139" i="13"/>
  <c r="S2138" i="13"/>
  <c r="R2138" i="13"/>
  <c r="Q2138" i="13"/>
  <c r="P2138" i="13"/>
  <c r="A2138" i="13"/>
  <c r="S2137" i="13"/>
  <c r="R2137" i="13"/>
  <c r="Q2137" i="13"/>
  <c r="P2137" i="13"/>
  <c r="A2137" i="13"/>
  <c r="S2136" i="13"/>
  <c r="R2136" i="13"/>
  <c r="Q2136" i="13"/>
  <c r="P2136" i="13"/>
  <c r="A2136" i="13"/>
  <c r="S2135" i="13"/>
  <c r="R2135" i="13"/>
  <c r="Q2135" i="13"/>
  <c r="P2135" i="13"/>
  <c r="A2135" i="13"/>
  <c r="S2134" i="13"/>
  <c r="R2134" i="13"/>
  <c r="Q2134" i="13"/>
  <c r="P2134" i="13"/>
  <c r="A2134" i="13"/>
  <c r="S2133" i="13"/>
  <c r="R2133" i="13"/>
  <c r="Q2133" i="13"/>
  <c r="P2133" i="13"/>
  <c r="A2133" i="13"/>
  <c r="S2132" i="13"/>
  <c r="R2132" i="13"/>
  <c r="Q2132" i="13"/>
  <c r="P2132" i="13"/>
  <c r="A2132" i="13"/>
  <c r="S2131" i="13"/>
  <c r="R2131" i="13"/>
  <c r="Q2131" i="13"/>
  <c r="P2131" i="13"/>
  <c r="A2131" i="13"/>
  <c r="S2130" i="13"/>
  <c r="R2130" i="13"/>
  <c r="Q2130" i="13"/>
  <c r="P2130" i="13"/>
  <c r="A2130" i="13"/>
  <c r="S2129" i="13"/>
  <c r="R2129" i="13"/>
  <c r="Q2129" i="13"/>
  <c r="P2129" i="13"/>
  <c r="A2129" i="13"/>
  <c r="S2128" i="13"/>
  <c r="R2128" i="13"/>
  <c r="Q2128" i="13"/>
  <c r="P2128" i="13"/>
  <c r="A2128" i="13"/>
  <c r="S2127" i="13"/>
  <c r="R2127" i="13"/>
  <c r="Q2127" i="13"/>
  <c r="P2127" i="13"/>
  <c r="A2127" i="13"/>
  <c r="S2126" i="13"/>
  <c r="R2126" i="13"/>
  <c r="Q2126" i="13"/>
  <c r="P2126" i="13"/>
  <c r="A2126" i="13"/>
  <c r="S2125" i="13"/>
  <c r="R2125" i="13"/>
  <c r="Q2125" i="13"/>
  <c r="P2125" i="13"/>
  <c r="A2125" i="13"/>
  <c r="S2124" i="13"/>
  <c r="R2124" i="13"/>
  <c r="Q2124" i="13"/>
  <c r="P2124" i="13"/>
  <c r="A2124" i="13"/>
  <c r="S2123" i="13"/>
  <c r="R2123" i="13"/>
  <c r="Q2123" i="13"/>
  <c r="P2123" i="13"/>
  <c r="A2123" i="13"/>
  <c r="S2122" i="13"/>
  <c r="R2122" i="13"/>
  <c r="Q2122" i="13"/>
  <c r="P2122" i="13"/>
  <c r="A2122" i="13"/>
  <c r="S2121" i="13"/>
  <c r="R2121" i="13"/>
  <c r="Q2121" i="13"/>
  <c r="P2121" i="13"/>
  <c r="A2121" i="13"/>
  <c r="S2120" i="13"/>
  <c r="R2120" i="13"/>
  <c r="Q2120" i="13"/>
  <c r="P2120" i="13"/>
  <c r="A2120" i="13"/>
  <c r="S2119" i="13"/>
  <c r="R2119" i="13"/>
  <c r="Q2119" i="13"/>
  <c r="P2119" i="13"/>
  <c r="A2119" i="13"/>
  <c r="S2118" i="13"/>
  <c r="R2118" i="13"/>
  <c r="Q2118" i="13"/>
  <c r="P2118" i="13"/>
  <c r="A2118" i="13"/>
  <c r="S2117" i="13"/>
  <c r="R2117" i="13"/>
  <c r="Q2117" i="13"/>
  <c r="P2117" i="13"/>
  <c r="A2117" i="13"/>
  <c r="S2116" i="13"/>
  <c r="R2116" i="13"/>
  <c r="Q2116" i="13"/>
  <c r="P2116" i="13"/>
  <c r="A2116" i="13"/>
  <c r="S2115" i="13"/>
  <c r="R2115" i="13"/>
  <c r="Q2115" i="13"/>
  <c r="P2115" i="13"/>
  <c r="A2115" i="13"/>
  <c r="S2114" i="13"/>
  <c r="R2114" i="13"/>
  <c r="Q2114" i="13"/>
  <c r="P2114" i="13"/>
  <c r="A2114" i="13"/>
  <c r="S2113" i="13"/>
  <c r="R2113" i="13"/>
  <c r="Q2113" i="13"/>
  <c r="P2113" i="13"/>
  <c r="A2113" i="13"/>
  <c r="S2112" i="13"/>
  <c r="R2112" i="13"/>
  <c r="Q2112" i="13"/>
  <c r="P2112" i="13"/>
  <c r="A2112" i="13"/>
  <c r="S2111" i="13"/>
  <c r="R2111" i="13"/>
  <c r="Q2111" i="13"/>
  <c r="P2111" i="13"/>
  <c r="A2111" i="13"/>
  <c r="S2110" i="13"/>
  <c r="R2110" i="13"/>
  <c r="Q2110" i="13"/>
  <c r="P2110" i="13"/>
  <c r="A2110" i="13"/>
  <c r="S2109" i="13"/>
  <c r="R2109" i="13"/>
  <c r="Q2109" i="13"/>
  <c r="P2109" i="13"/>
  <c r="A2109" i="13"/>
  <c r="S2108" i="13"/>
  <c r="R2108" i="13"/>
  <c r="Q2108" i="13"/>
  <c r="P2108" i="13"/>
  <c r="A2108" i="13"/>
  <c r="S2107" i="13"/>
  <c r="R2107" i="13"/>
  <c r="Q2107" i="13"/>
  <c r="P2107" i="13"/>
  <c r="A2107" i="13"/>
  <c r="S2106" i="13"/>
  <c r="R2106" i="13"/>
  <c r="Q2106" i="13"/>
  <c r="P2106" i="13"/>
  <c r="A2106" i="13"/>
  <c r="S2105" i="13"/>
  <c r="R2105" i="13"/>
  <c r="Q2105" i="13"/>
  <c r="P2105" i="13"/>
  <c r="A2105" i="13"/>
  <c r="S2104" i="13"/>
  <c r="R2104" i="13"/>
  <c r="Q2104" i="13"/>
  <c r="P2104" i="13"/>
  <c r="A2104" i="13"/>
  <c r="S2103" i="13"/>
  <c r="R2103" i="13"/>
  <c r="Q2103" i="13"/>
  <c r="P2103" i="13"/>
  <c r="A2103" i="13"/>
  <c r="S2102" i="13"/>
  <c r="R2102" i="13"/>
  <c r="Q2102" i="13"/>
  <c r="P2102" i="13"/>
  <c r="A2102" i="13"/>
  <c r="S2101" i="13"/>
  <c r="R2101" i="13"/>
  <c r="Q2101" i="13"/>
  <c r="P2101" i="13"/>
  <c r="A2101" i="13"/>
  <c r="S2100" i="13"/>
  <c r="R2100" i="13"/>
  <c r="Q2100" i="13"/>
  <c r="P2100" i="13"/>
  <c r="A2100" i="13"/>
  <c r="S2099" i="13"/>
  <c r="R2099" i="13"/>
  <c r="Q2099" i="13"/>
  <c r="P2099" i="13"/>
  <c r="A2099" i="13"/>
  <c r="S2098" i="13"/>
  <c r="R2098" i="13"/>
  <c r="Q2098" i="13"/>
  <c r="P2098" i="13"/>
  <c r="A2098" i="13"/>
  <c r="S2097" i="13"/>
  <c r="R2097" i="13"/>
  <c r="Q2097" i="13"/>
  <c r="P2097" i="13"/>
  <c r="A2097" i="13"/>
  <c r="S2096" i="13"/>
  <c r="R2096" i="13"/>
  <c r="Q2096" i="13"/>
  <c r="P2096" i="13"/>
  <c r="A2096" i="13"/>
  <c r="S2095" i="13"/>
  <c r="R2095" i="13"/>
  <c r="Q2095" i="13"/>
  <c r="P2095" i="13"/>
  <c r="A2095" i="13"/>
  <c r="S2094" i="13"/>
  <c r="R2094" i="13"/>
  <c r="Q2094" i="13"/>
  <c r="P2094" i="13"/>
  <c r="A2094" i="13"/>
  <c r="S2093" i="13"/>
  <c r="R2093" i="13"/>
  <c r="Q2093" i="13"/>
  <c r="P2093" i="13"/>
  <c r="A2093" i="13"/>
  <c r="S2092" i="13"/>
  <c r="R2092" i="13"/>
  <c r="Q2092" i="13"/>
  <c r="P2092" i="13"/>
  <c r="A2092" i="13"/>
  <c r="S2091" i="13"/>
  <c r="R2091" i="13"/>
  <c r="Q2091" i="13"/>
  <c r="P2091" i="13"/>
  <c r="A2091" i="13"/>
  <c r="S2090" i="13"/>
  <c r="R2090" i="13"/>
  <c r="Q2090" i="13"/>
  <c r="P2090" i="13"/>
  <c r="A2090" i="13"/>
  <c r="S2089" i="13"/>
  <c r="R2089" i="13"/>
  <c r="Q2089" i="13"/>
  <c r="P2089" i="13"/>
  <c r="A2089" i="13"/>
  <c r="S2088" i="13"/>
  <c r="R2088" i="13"/>
  <c r="Q2088" i="13"/>
  <c r="P2088" i="13"/>
  <c r="A2088" i="13"/>
  <c r="S2087" i="13"/>
  <c r="R2087" i="13"/>
  <c r="Q2087" i="13"/>
  <c r="P2087" i="13"/>
  <c r="A2087" i="13"/>
  <c r="S2086" i="13"/>
  <c r="R2086" i="13"/>
  <c r="Q2086" i="13"/>
  <c r="P2086" i="13"/>
  <c r="A2086" i="13"/>
  <c r="S2085" i="13"/>
  <c r="R2085" i="13"/>
  <c r="Q2085" i="13"/>
  <c r="P2085" i="13"/>
  <c r="A2085" i="13"/>
  <c r="S2084" i="13"/>
  <c r="R2084" i="13"/>
  <c r="Q2084" i="13"/>
  <c r="P2084" i="13"/>
  <c r="A2084" i="13"/>
  <c r="S2083" i="13"/>
  <c r="R2083" i="13"/>
  <c r="Q2083" i="13"/>
  <c r="P2083" i="13"/>
  <c r="A2083" i="13"/>
  <c r="S2082" i="13"/>
  <c r="R2082" i="13"/>
  <c r="Q2082" i="13"/>
  <c r="P2082" i="13"/>
  <c r="A2082" i="13"/>
  <c r="S2081" i="13"/>
  <c r="R2081" i="13"/>
  <c r="Q2081" i="13"/>
  <c r="P2081" i="13"/>
  <c r="A2081" i="13"/>
  <c r="S2080" i="13"/>
  <c r="R2080" i="13"/>
  <c r="Q2080" i="13"/>
  <c r="P2080" i="13"/>
  <c r="A2080" i="13"/>
  <c r="S2079" i="13"/>
  <c r="R2079" i="13"/>
  <c r="Q2079" i="13"/>
  <c r="P2079" i="13"/>
  <c r="A2079" i="13"/>
  <c r="S2078" i="13"/>
  <c r="R2078" i="13"/>
  <c r="Q2078" i="13"/>
  <c r="P2078" i="13"/>
  <c r="A2078" i="13"/>
  <c r="S2077" i="13"/>
  <c r="R2077" i="13"/>
  <c r="Q2077" i="13"/>
  <c r="P2077" i="13"/>
  <c r="A2077" i="13"/>
  <c r="S2076" i="13"/>
  <c r="R2076" i="13"/>
  <c r="Q2076" i="13"/>
  <c r="P2076" i="13"/>
  <c r="A2076" i="13"/>
  <c r="S2075" i="13"/>
  <c r="R2075" i="13"/>
  <c r="Q2075" i="13"/>
  <c r="P2075" i="13"/>
  <c r="A2075" i="13"/>
  <c r="S2074" i="13"/>
  <c r="R2074" i="13"/>
  <c r="Q2074" i="13"/>
  <c r="P2074" i="13"/>
  <c r="A2074" i="13"/>
  <c r="S2073" i="13"/>
  <c r="R2073" i="13"/>
  <c r="Q2073" i="13"/>
  <c r="P2073" i="13"/>
  <c r="A2073" i="13"/>
  <c r="S2072" i="13"/>
  <c r="R2072" i="13"/>
  <c r="Q2072" i="13"/>
  <c r="P2072" i="13"/>
  <c r="A2072" i="13"/>
  <c r="S2071" i="13"/>
  <c r="R2071" i="13"/>
  <c r="Q2071" i="13"/>
  <c r="P2071" i="13"/>
  <c r="A2071" i="13"/>
  <c r="S2070" i="13"/>
  <c r="R2070" i="13"/>
  <c r="Q2070" i="13"/>
  <c r="P2070" i="13"/>
  <c r="A2070" i="13"/>
  <c r="S2069" i="13"/>
  <c r="R2069" i="13"/>
  <c r="Q2069" i="13"/>
  <c r="P2069" i="13"/>
  <c r="A2069" i="13"/>
  <c r="S2068" i="13"/>
  <c r="R2068" i="13"/>
  <c r="Q2068" i="13"/>
  <c r="P2068" i="13"/>
  <c r="A2068" i="13"/>
  <c r="S2067" i="13"/>
  <c r="R2067" i="13"/>
  <c r="Q2067" i="13"/>
  <c r="P2067" i="13"/>
  <c r="A2067" i="13"/>
  <c r="S2066" i="13"/>
  <c r="R2066" i="13"/>
  <c r="Q2066" i="13"/>
  <c r="P2066" i="13"/>
  <c r="A2066" i="13"/>
  <c r="S2065" i="13"/>
  <c r="R2065" i="13"/>
  <c r="Q2065" i="13"/>
  <c r="P2065" i="13"/>
  <c r="A2065" i="13"/>
  <c r="S2064" i="13"/>
  <c r="R2064" i="13"/>
  <c r="Q2064" i="13"/>
  <c r="P2064" i="13"/>
  <c r="A2064" i="13"/>
  <c r="S2063" i="13"/>
  <c r="R2063" i="13"/>
  <c r="Q2063" i="13"/>
  <c r="P2063" i="13"/>
  <c r="A2063" i="13"/>
  <c r="S2062" i="13"/>
  <c r="R2062" i="13"/>
  <c r="Q2062" i="13"/>
  <c r="P2062" i="13"/>
  <c r="A2062" i="13"/>
  <c r="S2061" i="13"/>
  <c r="R2061" i="13"/>
  <c r="Q2061" i="13"/>
  <c r="P2061" i="13"/>
  <c r="A2061" i="13"/>
  <c r="S2060" i="13"/>
  <c r="R2060" i="13"/>
  <c r="Q2060" i="13"/>
  <c r="P2060" i="13"/>
  <c r="A2060" i="13"/>
  <c r="S2059" i="13"/>
  <c r="R2059" i="13"/>
  <c r="Q2059" i="13"/>
  <c r="P2059" i="13"/>
  <c r="A2059" i="13"/>
  <c r="S2058" i="13"/>
  <c r="R2058" i="13"/>
  <c r="Q2058" i="13"/>
  <c r="P2058" i="13"/>
  <c r="A2058" i="13"/>
  <c r="S2057" i="13"/>
  <c r="R2057" i="13"/>
  <c r="Q2057" i="13"/>
  <c r="P2057" i="13"/>
  <c r="A2057" i="13"/>
  <c r="S2056" i="13"/>
  <c r="R2056" i="13"/>
  <c r="Q2056" i="13"/>
  <c r="P2056" i="13"/>
  <c r="A2056" i="13"/>
  <c r="S2055" i="13"/>
  <c r="R2055" i="13"/>
  <c r="Q2055" i="13"/>
  <c r="P2055" i="13"/>
  <c r="A2055" i="13"/>
  <c r="S2054" i="13"/>
  <c r="R2054" i="13"/>
  <c r="Q2054" i="13"/>
  <c r="P2054" i="13"/>
  <c r="A2054" i="13"/>
  <c r="S2053" i="13"/>
  <c r="R2053" i="13"/>
  <c r="Q2053" i="13"/>
  <c r="P2053" i="13"/>
  <c r="A2053" i="13"/>
  <c r="S2052" i="13"/>
  <c r="R2052" i="13"/>
  <c r="Q2052" i="13"/>
  <c r="P2052" i="13"/>
  <c r="A2052" i="13"/>
  <c r="S2051" i="13"/>
  <c r="R2051" i="13"/>
  <c r="Q2051" i="13"/>
  <c r="P2051" i="13"/>
  <c r="A2051" i="13"/>
  <c r="S2050" i="13"/>
  <c r="R2050" i="13"/>
  <c r="Q2050" i="13"/>
  <c r="P2050" i="13"/>
  <c r="A2050" i="13"/>
  <c r="S2049" i="13"/>
  <c r="R2049" i="13"/>
  <c r="Q2049" i="13"/>
  <c r="P2049" i="13"/>
  <c r="A2049" i="13"/>
  <c r="S2048" i="13"/>
  <c r="R2048" i="13"/>
  <c r="Q2048" i="13"/>
  <c r="P2048" i="13"/>
  <c r="A2048" i="13"/>
  <c r="S2047" i="13"/>
  <c r="R2047" i="13"/>
  <c r="Q2047" i="13"/>
  <c r="P2047" i="13"/>
  <c r="A2047" i="13"/>
  <c r="S2046" i="13"/>
  <c r="R2046" i="13"/>
  <c r="Q2046" i="13"/>
  <c r="P2046" i="13"/>
  <c r="A2046" i="13"/>
  <c r="S2045" i="13"/>
  <c r="R2045" i="13"/>
  <c r="Q2045" i="13"/>
  <c r="P2045" i="13"/>
  <c r="A2045" i="13"/>
  <c r="S2044" i="13"/>
  <c r="R2044" i="13"/>
  <c r="Q2044" i="13"/>
  <c r="P2044" i="13"/>
  <c r="A2044" i="13"/>
  <c r="S2043" i="13"/>
  <c r="R2043" i="13"/>
  <c r="Q2043" i="13"/>
  <c r="P2043" i="13"/>
  <c r="A2043" i="13"/>
  <c r="S2042" i="13"/>
  <c r="R2042" i="13"/>
  <c r="Q2042" i="13"/>
  <c r="P2042" i="13"/>
  <c r="A2042" i="13"/>
  <c r="S2041" i="13"/>
  <c r="R2041" i="13"/>
  <c r="Q2041" i="13"/>
  <c r="P2041" i="13"/>
  <c r="A2041" i="13"/>
  <c r="S2040" i="13"/>
  <c r="R2040" i="13"/>
  <c r="Q2040" i="13"/>
  <c r="P2040" i="13"/>
  <c r="A2040" i="13"/>
  <c r="S2039" i="13"/>
  <c r="R2039" i="13"/>
  <c r="Q2039" i="13"/>
  <c r="P2039" i="13"/>
  <c r="A2039" i="13"/>
  <c r="S2038" i="13"/>
  <c r="R2038" i="13"/>
  <c r="Q2038" i="13"/>
  <c r="P2038" i="13"/>
  <c r="A2038" i="13"/>
  <c r="S2037" i="13"/>
  <c r="R2037" i="13"/>
  <c r="Q2037" i="13"/>
  <c r="P2037" i="13"/>
  <c r="A2037" i="13"/>
  <c r="S2036" i="13"/>
  <c r="R2036" i="13"/>
  <c r="Q2036" i="13"/>
  <c r="P2036" i="13"/>
  <c r="A2036" i="13"/>
  <c r="S2035" i="13"/>
  <c r="R2035" i="13"/>
  <c r="Q2035" i="13"/>
  <c r="P2035" i="13"/>
  <c r="A2035" i="13"/>
  <c r="S2034" i="13"/>
  <c r="R2034" i="13"/>
  <c r="Q2034" i="13"/>
  <c r="P2034" i="13"/>
  <c r="A2034" i="13"/>
  <c r="S2033" i="13"/>
  <c r="R2033" i="13"/>
  <c r="Q2033" i="13"/>
  <c r="P2033" i="13"/>
  <c r="A2033" i="13"/>
  <c r="S2032" i="13"/>
  <c r="R2032" i="13"/>
  <c r="Q2032" i="13"/>
  <c r="P2032" i="13"/>
  <c r="A2032" i="13"/>
  <c r="S2031" i="13"/>
  <c r="R2031" i="13"/>
  <c r="Q2031" i="13"/>
  <c r="P2031" i="13"/>
  <c r="A2031" i="13"/>
  <c r="S2030" i="13"/>
  <c r="R2030" i="13"/>
  <c r="Q2030" i="13"/>
  <c r="P2030" i="13"/>
  <c r="A2030" i="13"/>
  <c r="S2029" i="13"/>
  <c r="R2029" i="13"/>
  <c r="Q2029" i="13"/>
  <c r="P2029" i="13"/>
  <c r="A2029" i="13"/>
  <c r="S2028" i="13"/>
  <c r="R2028" i="13"/>
  <c r="Q2028" i="13"/>
  <c r="P2028" i="13"/>
  <c r="A2028" i="13"/>
  <c r="S2027" i="13"/>
  <c r="R2027" i="13"/>
  <c r="Q2027" i="13"/>
  <c r="P2027" i="13"/>
  <c r="A2027" i="13"/>
  <c r="S2026" i="13"/>
  <c r="R2026" i="13"/>
  <c r="Q2026" i="13"/>
  <c r="P2026" i="13"/>
  <c r="A2026" i="13"/>
  <c r="S2025" i="13"/>
  <c r="R2025" i="13"/>
  <c r="Q2025" i="13"/>
  <c r="P2025" i="13"/>
  <c r="A2025" i="13"/>
  <c r="S2024" i="13"/>
  <c r="R2024" i="13"/>
  <c r="Q2024" i="13"/>
  <c r="P2024" i="13"/>
  <c r="A2024" i="13"/>
  <c r="S2023" i="13"/>
  <c r="R2023" i="13"/>
  <c r="Q2023" i="13"/>
  <c r="P2023" i="13"/>
  <c r="A2023" i="13"/>
  <c r="S2022" i="13"/>
  <c r="R2022" i="13"/>
  <c r="Q2022" i="13"/>
  <c r="P2022" i="13"/>
  <c r="A2022" i="13"/>
  <c r="S2021" i="13"/>
  <c r="R2021" i="13"/>
  <c r="Q2021" i="13"/>
  <c r="P2021" i="13"/>
  <c r="A2021" i="13"/>
  <c r="S2020" i="13"/>
  <c r="R2020" i="13"/>
  <c r="Q2020" i="13"/>
  <c r="P2020" i="13"/>
  <c r="A2020" i="13"/>
  <c r="S2019" i="13"/>
  <c r="R2019" i="13"/>
  <c r="Q2019" i="13"/>
  <c r="P2019" i="13"/>
  <c r="A2019" i="13"/>
  <c r="S2018" i="13"/>
  <c r="R2018" i="13"/>
  <c r="Q2018" i="13"/>
  <c r="P2018" i="13"/>
  <c r="A2018" i="13"/>
  <c r="S2017" i="13"/>
  <c r="R2017" i="13"/>
  <c r="Q2017" i="13"/>
  <c r="P2017" i="13"/>
  <c r="A2017" i="13"/>
  <c r="S2016" i="13"/>
  <c r="R2016" i="13"/>
  <c r="Q2016" i="13"/>
  <c r="P2016" i="13"/>
  <c r="A2016" i="13"/>
  <c r="S2015" i="13"/>
  <c r="R2015" i="13"/>
  <c r="Q2015" i="13"/>
  <c r="P2015" i="13"/>
  <c r="A2015" i="13"/>
  <c r="S2014" i="13"/>
  <c r="R2014" i="13"/>
  <c r="Q2014" i="13"/>
  <c r="P2014" i="13"/>
  <c r="A2014" i="13"/>
  <c r="S2013" i="13"/>
  <c r="R2013" i="13"/>
  <c r="Q2013" i="13"/>
  <c r="P2013" i="13"/>
  <c r="A2013" i="13"/>
  <c r="S2012" i="13"/>
  <c r="R2012" i="13"/>
  <c r="Q2012" i="13"/>
  <c r="P2012" i="13"/>
  <c r="A2012" i="13"/>
  <c r="S2011" i="13"/>
  <c r="R2011" i="13"/>
  <c r="Q2011" i="13"/>
  <c r="P2011" i="13"/>
  <c r="A2011" i="13"/>
  <c r="S2010" i="13"/>
  <c r="R2010" i="13"/>
  <c r="Q2010" i="13"/>
  <c r="P2010" i="13"/>
  <c r="A2010" i="13"/>
  <c r="S2009" i="13"/>
  <c r="R2009" i="13"/>
  <c r="Q2009" i="13"/>
  <c r="P2009" i="13"/>
  <c r="A2009" i="13"/>
  <c r="S2008" i="13"/>
  <c r="R2008" i="13"/>
  <c r="Q2008" i="13"/>
  <c r="P2008" i="13"/>
  <c r="A2008" i="13"/>
  <c r="S2007" i="13"/>
  <c r="R2007" i="13"/>
  <c r="Q2007" i="13"/>
  <c r="P2007" i="13"/>
  <c r="A2007" i="13"/>
  <c r="S2006" i="13"/>
  <c r="R2006" i="13"/>
  <c r="Q2006" i="13"/>
  <c r="P2006" i="13"/>
  <c r="A2006" i="13"/>
  <c r="S2005" i="13"/>
  <c r="R2005" i="13"/>
  <c r="Q2005" i="13"/>
  <c r="P2005" i="13"/>
  <c r="A2005" i="13"/>
  <c r="S2004" i="13"/>
  <c r="R2004" i="13"/>
  <c r="Q2004" i="13"/>
  <c r="P2004" i="13"/>
  <c r="A2004" i="13"/>
  <c r="S2003" i="13"/>
  <c r="R2003" i="13"/>
  <c r="Q2003" i="13"/>
  <c r="P2003" i="13"/>
  <c r="A2003" i="13"/>
  <c r="S2002" i="13"/>
  <c r="R2002" i="13"/>
  <c r="Q2002" i="13"/>
  <c r="P2002" i="13"/>
  <c r="A2002" i="13"/>
  <c r="S2001" i="13"/>
  <c r="R2001" i="13"/>
  <c r="Q2001" i="13"/>
  <c r="P2001" i="13"/>
  <c r="A2001" i="13"/>
  <c r="S2000" i="13"/>
  <c r="R2000" i="13"/>
  <c r="Q2000" i="13"/>
  <c r="P2000" i="13"/>
  <c r="A2000" i="13"/>
  <c r="S1999" i="13"/>
  <c r="R1999" i="13"/>
  <c r="Q1999" i="13"/>
  <c r="P1999" i="13"/>
  <c r="A1999" i="13"/>
  <c r="S1998" i="13"/>
  <c r="R1998" i="13"/>
  <c r="Q1998" i="13"/>
  <c r="P1998" i="13"/>
  <c r="A1998" i="13"/>
  <c r="S1997" i="13"/>
  <c r="R1997" i="13"/>
  <c r="Q1997" i="13"/>
  <c r="P1997" i="13"/>
  <c r="A1997" i="13"/>
  <c r="S1996" i="13"/>
  <c r="R1996" i="13"/>
  <c r="Q1996" i="13"/>
  <c r="P1996" i="13"/>
  <c r="A1996" i="13"/>
  <c r="S1995" i="13"/>
  <c r="R1995" i="13"/>
  <c r="Q1995" i="13"/>
  <c r="P1995" i="13"/>
  <c r="A1995" i="13"/>
  <c r="S1994" i="13"/>
  <c r="R1994" i="13"/>
  <c r="Q1994" i="13"/>
  <c r="P1994" i="13"/>
  <c r="A1994" i="13"/>
  <c r="S1993" i="13"/>
  <c r="R1993" i="13"/>
  <c r="Q1993" i="13"/>
  <c r="P1993" i="13"/>
  <c r="A1993" i="13"/>
  <c r="S1992" i="13"/>
  <c r="R1992" i="13"/>
  <c r="Q1992" i="13"/>
  <c r="P1992" i="13"/>
  <c r="A1992" i="13"/>
  <c r="S1991" i="13"/>
  <c r="R1991" i="13"/>
  <c r="Q1991" i="13"/>
  <c r="P1991" i="13"/>
  <c r="A1991" i="13"/>
  <c r="S1990" i="13"/>
  <c r="R1990" i="13"/>
  <c r="Q1990" i="13"/>
  <c r="P1990" i="13"/>
  <c r="A1990" i="13"/>
  <c r="S1989" i="13"/>
  <c r="R1989" i="13"/>
  <c r="Q1989" i="13"/>
  <c r="P1989" i="13"/>
  <c r="A1989" i="13"/>
  <c r="S1988" i="13"/>
  <c r="R1988" i="13"/>
  <c r="Q1988" i="13"/>
  <c r="P1988" i="13"/>
  <c r="A1988" i="13"/>
  <c r="S1987" i="13"/>
  <c r="R1987" i="13"/>
  <c r="Q1987" i="13"/>
  <c r="P1987" i="13"/>
  <c r="A1987" i="13"/>
  <c r="S1986" i="13"/>
  <c r="R1986" i="13"/>
  <c r="Q1986" i="13"/>
  <c r="P1986" i="13"/>
  <c r="A1986" i="13"/>
  <c r="S1985" i="13"/>
  <c r="R1985" i="13"/>
  <c r="Q1985" i="13"/>
  <c r="P1985" i="13"/>
  <c r="A1985" i="13"/>
  <c r="S1984" i="13"/>
  <c r="R1984" i="13"/>
  <c r="Q1984" i="13"/>
  <c r="P1984" i="13"/>
  <c r="A1984" i="13"/>
  <c r="S1983" i="13"/>
  <c r="R1983" i="13"/>
  <c r="Q1983" i="13"/>
  <c r="P1983" i="13"/>
  <c r="A1983" i="13"/>
  <c r="S1982" i="13"/>
  <c r="R1982" i="13"/>
  <c r="Q1982" i="13"/>
  <c r="P1982" i="13"/>
  <c r="A1982" i="13"/>
  <c r="S1981" i="13"/>
  <c r="R1981" i="13"/>
  <c r="Q1981" i="13"/>
  <c r="P1981" i="13"/>
  <c r="A1981" i="13"/>
  <c r="S1980" i="13"/>
  <c r="R1980" i="13"/>
  <c r="Q1980" i="13"/>
  <c r="P1980" i="13"/>
  <c r="A1980" i="13"/>
  <c r="S1979" i="13"/>
  <c r="R1979" i="13"/>
  <c r="Q1979" i="13"/>
  <c r="P1979" i="13"/>
  <c r="A1979" i="13"/>
  <c r="S1978" i="13"/>
  <c r="R1978" i="13"/>
  <c r="Q1978" i="13"/>
  <c r="P1978" i="13"/>
  <c r="A1978" i="13"/>
  <c r="S1977" i="13"/>
  <c r="R1977" i="13"/>
  <c r="Q1977" i="13"/>
  <c r="P1977" i="13"/>
  <c r="A1977" i="13"/>
  <c r="S1976" i="13"/>
  <c r="R1976" i="13"/>
  <c r="Q1976" i="13"/>
  <c r="P1976" i="13"/>
  <c r="A1976" i="13"/>
  <c r="S1975" i="13"/>
  <c r="R1975" i="13"/>
  <c r="Q1975" i="13"/>
  <c r="P1975" i="13"/>
  <c r="A1975" i="13"/>
  <c r="S1974" i="13"/>
  <c r="R1974" i="13"/>
  <c r="Q1974" i="13"/>
  <c r="P1974" i="13"/>
  <c r="A1974" i="13"/>
  <c r="S1973" i="13"/>
  <c r="R1973" i="13"/>
  <c r="Q1973" i="13"/>
  <c r="P1973" i="13"/>
  <c r="A1973" i="13"/>
  <c r="S1972" i="13"/>
  <c r="R1972" i="13"/>
  <c r="Q1972" i="13"/>
  <c r="P1972" i="13"/>
  <c r="A1972" i="13"/>
  <c r="S1971" i="13"/>
  <c r="R1971" i="13"/>
  <c r="Q1971" i="13"/>
  <c r="P1971" i="13"/>
  <c r="A1971" i="13"/>
  <c r="S1970" i="13"/>
  <c r="R1970" i="13"/>
  <c r="Q1970" i="13"/>
  <c r="P1970" i="13"/>
  <c r="A1970" i="13"/>
  <c r="S1969" i="13"/>
  <c r="R1969" i="13"/>
  <c r="Q1969" i="13"/>
  <c r="P1969" i="13"/>
  <c r="A1969" i="13"/>
  <c r="S1968" i="13"/>
  <c r="R1968" i="13"/>
  <c r="Q1968" i="13"/>
  <c r="P1968" i="13"/>
  <c r="A1968" i="13"/>
  <c r="S1967" i="13"/>
  <c r="R1967" i="13"/>
  <c r="Q1967" i="13"/>
  <c r="P1967" i="13"/>
  <c r="A1967" i="13"/>
  <c r="S1966" i="13"/>
  <c r="R1966" i="13"/>
  <c r="Q1966" i="13"/>
  <c r="P1966" i="13"/>
  <c r="A1966" i="13"/>
  <c r="S1965" i="13"/>
  <c r="R1965" i="13"/>
  <c r="Q1965" i="13"/>
  <c r="P1965" i="13"/>
  <c r="A1965" i="13"/>
  <c r="S1964" i="13"/>
  <c r="R1964" i="13"/>
  <c r="Q1964" i="13"/>
  <c r="P1964" i="13"/>
  <c r="A1964" i="13"/>
  <c r="S1963" i="13"/>
  <c r="R1963" i="13"/>
  <c r="Q1963" i="13"/>
  <c r="P1963" i="13"/>
  <c r="A1963" i="13"/>
  <c r="S1962" i="13"/>
  <c r="R1962" i="13"/>
  <c r="Q1962" i="13"/>
  <c r="P1962" i="13"/>
  <c r="A1962" i="13"/>
  <c r="S1961" i="13"/>
  <c r="R1961" i="13"/>
  <c r="Q1961" i="13"/>
  <c r="P1961" i="13"/>
  <c r="A1961" i="13"/>
  <c r="S1960" i="13"/>
  <c r="R1960" i="13"/>
  <c r="Q1960" i="13"/>
  <c r="P1960" i="13"/>
  <c r="A1960" i="13"/>
  <c r="S1959" i="13"/>
  <c r="R1959" i="13"/>
  <c r="Q1959" i="13"/>
  <c r="P1959" i="13"/>
  <c r="A1959" i="13"/>
  <c r="S1958" i="13"/>
  <c r="R1958" i="13"/>
  <c r="Q1958" i="13"/>
  <c r="P1958" i="13"/>
  <c r="A1958" i="13"/>
  <c r="S1957" i="13"/>
  <c r="R1957" i="13"/>
  <c r="Q1957" i="13"/>
  <c r="P1957" i="13"/>
  <c r="A1957" i="13"/>
  <c r="S1956" i="13"/>
  <c r="R1956" i="13"/>
  <c r="Q1956" i="13"/>
  <c r="P1956" i="13"/>
  <c r="A1956" i="13"/>
  <c r="S1955" i="13"/>
  <c r="R1955" i="13"/>
  <c r="Q1955" i="13"/>
  <c r="P1955" i="13"/>
  <c r="A1955" i="13"/>
  <c r="S1954" i="13"/>
  <c r="R1954" i="13"/>
  <c r="Q1954" i="13"/>
  <c r="P1954" i="13"/>
  <c r="A1954" i="13"/>
  <c r="S1953" i="13"/>
  <c r="R1953" i="13"/>
  <c r="Q1953" i="13"/>
  <c r="P1953" i="13"/>
  <c r="A1953" i="13"/>
  <c r="S1952" i="13"/>
  <c r="R1952" i="13"/>
  <c r="Q1952" i="13"/>
  <c r="P1952" i="13"/>
  <c r="A1952" i="13"/>
  <c r="S1951" i="13"/>
  <c r="R1951" i="13"/>
  <c r="Q1951" i="13"/>
  <c r="P1951" i="13"/>
  <c r="A1951" i="13"/>
  <c r="S1950" i="13"/>
  <c r="R1950" i="13"/>
  <c r="Q1950" i="13"/>
  <c r="P1950" i="13"/>
  <c r="A1950" i="13"/>
  <c r="S1949" i="13"/>
  <c r="R1949" i="13"/>
  <c r="Q1949" i="13"/>
  <c r="P1949" i="13"/>
  <c r="A1949" i="13"/>
  <c r="S1948" i="13"/>
  <c r="R1948" i="13"/>
  <c r="Q1948" i="13"/>
  <c r="P1948" i="13"/>
  <c r="A1948" i="13"/>
  <c r="S1947" i="13"/>
  <c r="R1947" i="13"/>
  <c r="Q1947" i="13"/>
  <c r="P1947" i="13"/>
  <c r="A1947" i="13"/>
  <c r="S1946" i="13"/>
  <c r="R1946" i="13"/>
  <c r="Q1946" i="13"/>
  <c r="P1946" i="13"/>
  <c r="A1946" i="13"/>
  <c r="S1945" i="13"/>
  <c r="R1945" i="13"/>
  <c r="Q1945" i="13"/>
  <c r="P1945" i="13"/>
  <c r="A1945" i="13"/>
  <c r="S1944" i="13"/>
  <c r="R1944" i="13"/>
  <c r="Q1944" i="13"/>
  <c r="P1944" i="13"/>
  <c r="A1944" i="13"/>
  <c r="S1943" i="13"/>
  <c r="R1943" i="13"/>
  <c r="Q1943" i="13"/>
  <c r="P1943" i="13"/>
  <c r="A1943" i="13"/>
  <c r="S1942" i="13"/>
  <c r="R1942" i="13"/>
  <c r="Q1942" i="13"/>
  <c r="P1942" i="13"/>
  <c r="A1942" i="13"/>
  <c r="S1941" i="13"/>
  <c r="R1941" i="13"/>
  <c r="Q1941" i="13"/>
  <c r="P1941" i="13"/>
  <c r="A1941" i="13"/>
  <c r="S1940" i="13"/>
  <c r="R1940" i="13"/>
  <c r="Q1940" i="13"/>
  <c r="P1940" i="13"/>
  <c r="A1940" i="13"/>
  <c r="S1939" i="13"/>
  <c r="R1939" i="13"/>
  <c r="Q1939" i="13"/>
  <c r="P1939" i="13"/>
  <c r="A1939" i="13"/>
  <c r="S1938" i="13"/>
  <c r="R1938" i="13"/>
  <c r="Q1938" i="13"/>
  <c r="P1938" i="13"/>
  <c r="A1938" i="13"/>
  <c r="S1937" i="13"/>
  <c r="R1937" i="13"/>
  <c r="Q1937" i="13"/>
  <c r="P1937" i="13"/>
  <c r="A1937" i="13"/>
  <c r="S1936" i="13"/>
  <c r="R1936" i="13"/>
  <c r="Q1936" i="13"/>
  <c r="P1936" i="13"/>
  <c r="A1936" i="13"/>
  <c r="S1935" i="13"/>
  <c r="R1935" i="13"/>
  <c r="Q1935" i="13"/>
  <c r="P1935" i="13"/>
  <c r="A1935" i="13"/>
  <c r="S1934" i="13"/>
  <c r="R1934" i="13"/>
  <c r="Q1934" i="13"/>
  <c r="P1934" i="13"/>
  <c r="A1934" i="13"/>
  <c r="S1933" i="13"/>
  <c r="R1933" i="13"/>
  <c r="Q1933" i="13"/>
  <c r="P1933" i="13"/>
  <c r="A1933" i="13"/>
  <c r="S1932" i="13"/>
  <c r="R1932" i="13"/>
  <c r="Q1932" i="13"/>
  <c r="P1932" i="13"/>
  <c r="A1932" i="13"/>
  <c r="S1931" i="13"/>
  <c r="R1931" i="13"/>
  <c r="Q1931" i="13"/>
  <c r="P1931" i="13"/>
  <c r="A1931" i="13"/>
  <c r="S1930" i="13"/>
  <c r="R1930" i="13"/>
  <c r="Q1930" i="13"/>
  <c r="P1930" i="13"/>
  <c r="A1930" i="13"/>
  <c r="S1929" i="13"/>
  <c r="R1929" i="13"/>
  <c r="Q1929" i="13"/>
  <c r="P1929" i="13"/>
  <c r="A1929" i="13"/>
  <c r="S1928" i="13"/>
  <c r="R1928" i="13"/>
  <c r="Q1928" i="13"/>
  <c r="P1928" i="13"/>
  <c r="A1928" i="13"/>
  <c r="S1927" i="13"/>
  <c r="R1927" i="13"/>
  <c r="Q1927" i="13"/>
  <c r="P1927" i="13"/>
  <c r="A1927" i="13"/>
  <c r="S1926" i="13"/>
  <c r="R1926" i="13"/>
  <c r="Q1926" i="13"/>
  <c r="P1926" i="13"/>
  <c r="A1926" i="13"/>
  <c r="S1925" i="13"/>
  <c r="R1925" i="13"/>
  <c r="Q1925" i="13"/>
  <c r="P1925" i="13"/>
  <c r="A1925" i="13"/>
  <c r="S1924" i="13"/>
  <c r="R1924" i="13"/>
  <c r="Q1924" i="13"/>
  <c r="P1924" i="13"/>
  <c r="A1924" i="13"/>
  <c r="S1923" i="13"/>
  <c r="R1923" i="13"/>
  <c r="Q1923" i="13"/>
  <c r="P1923" i="13"/>
  <c r="A1923" i="13"/>
  <c r="S1922" i="13"/>
  <c r="R1922" i="13"/>
  <c r="Q1922" i="13"/>
  <c r="P1922" i="13"/>
  <c r="A1922" i="13"/>
  <c r="S1921" i="13"/>
  <c r="R1921" i="13"/>
  <c r="Q1921" i="13"/>
  <c r="P1921" i="13"/>
  <c r="A1921" i="13"/>
  <c r="S1920" i="13"/>
  <c r="R1920" i="13"/>
  <c r="Q1920" i="13"/>
  <c r="P1920" i="13"/>
  <c r="A1920" i="13"/>
  <c r="S1919" i="13"/>
  <c r="R1919" i="13"/>
  <c r="Q1919" i="13"/>
  <c r="P1919" i="13"/>
  <c r="A1919" i="13"/>
  <c r="S1918" i="13"/>
  <c r="R1918" i="13"/>
  <c r="Q1918" i="13"/>
  <c r="P1918" i="13"/>
  <c r="A1918" i="13"/>
  <c r="S1917" i="13"/>
  <c r="R1917" i="13"/>
  <c r="Q1917" i="13"/>
  <c r="P1917" i="13"/>
  <c r="A1917" i="13"/>
  <c r="S1916" i="13"/>
  <c r="R1916" i="13"/>
  <c r="Q1916" i="13"/>
  <c r="P1916" i="13"/>
  <c r="A1916" i="13"/>
  <c r="S1915" i="13"/>
  <c r="R1915" i="13"/>
  <c r="Q1915" i="13"/>
  <c r="P1915" i="13"/>
  <c r="A1915" i="13"/>
  <c r="S1914" i="13"/>
  <c r="R1914" i="13"/>
  <c r="Q1914" i="13"/>
  <c r="P1914" i="13"/>
  <c r="A1914" i="13"/>
  <c r="S1913" i="13"/>
  <c r="R1913" i="13"/>
  <c r="Q1913" i="13"/>
  <c r="P1913" i="13"/>
  <c r="A1913" i="13"/>
  <c r="S1912" i="13"/>
  <c r="R1912" i="13"/>
  <c r="Q1912" i="13"/>
  <c r="P1912" i="13"/>
  <c r="A1912" i="13"/>
  <c r="S1911" i="13"/>
  <c r="R1911" i="13"/>
  <c r="Q1911" i="13"/>
  <c r="P1911" i="13"/>
  <c r="A1911" i="13"/>
  <c r="S1910" i="13"/>
  <c r="R1910" i="13"/>
  <c r="Q1910" i="13"/>
  <c r="P1910" i="13"/>
  <c r="A1910" i="13"/>
  <c r="S1909" i="13"/>
  <c r="R1909" i="13"/>
  <c r="Q1909" i="13"/>
  <c r="P1909" i="13"/>
  <c r="A1909" i="13"/>
  <c r="S1908" i="13"/>
  <c r="R1908" i="13"/>
  <c r="Q1908" i="13"/>
  <c r="P1908" i="13"/>
  <c r="A1908" i="13"/>
  <c r="S1907" i="13"/>
  <c r="R1907" i="13"/>
  <c r="Q1907" i="13"/>
  <c r="P1907" i="13"/>
  <c r="A1907" i="13"/>
  <c r="S1906" i="13"/>
  <c r="R1906" i="13"/>
  <c r="Q1906" i="13"/>
  <c r="P1906" i="13"/>
  <c r="A1906" i="13"/>
  <c r="S1905" i="13"/>
  <c r="R1905" i="13"/>
  <c r="Q1905" i="13"/>
  <c r="P1905" i="13"/>
  <c r="A1905" i="13"/>
  <c r="S1904" i="13"/>
  <c r="R1904" i="13"/>
  <c r="Q1904" i="13"/>
  <c r="P1904" i="13"/>
  <c r="A1904" i="13"/>
  <c r="S1903" i="13"/>
  <c r="R1903" i="13"/>
  <c r="Q1903" i="13"/>
  <c r="P1903" i="13"/>
  <c r="A1903" i="13"/>
  <c r="S1902" i="13"/>
  <c r="R1902" i="13"/>
  <c r="Q1902" i="13"/>
  <c r="P1902" i="13"/>
  <c r="A1902" i="13"/>
  <c r="S1901" i="13"/>
  <c r="R1901" i="13"/>
  <c r="Q1901" i="13"/>
  <c r="P1901" i="13"/>
  <c r="A1901" i="13"/>
  <c r="S1900" i="13"/>
  <c r="R1900" i="13"/>
  <c r="Q1900" i="13"/>
  <c r="P1900" i="13"/>
  <c r="A1900" i="13"/>
  <c r="S1899" i="13"/>
  <c r="R1899" i="13"/>
  <c r="Q1899" i="13"/>
  <c r="P1899" i="13"/>
  <c r="A1899" i="13"/>
  <c r="S1898" i="13"/>
  <c r="R1898" i="13"/>
  <c r="Q1898" i="13"/>
  <c r="P1898" i="13"/>
  <c r="A1898" i="13"/>
  <c r="S1897" i="13"/>
  <c r="R1897" i="13"/>
  <c r="Q1897" i="13"/>
  <c r="P1897" i="13"/>
  <c r="A1897" i="13"/>
  <c r="S1896" i="13"/>
  <c r="R1896" i="13"/>
  <c r="Q1896" i="13"/>
  <c r="P1896" i="13"/>
  <c r="A1896" i="13"/>
  <c r="S1895" i="13"/>
  <c r="R1895" i="13"/>
  <c r="Q1895" i="13"/>
  <c r="P1895" i="13"/>
  <c r="A1895" i="13"/>
  <c r="S1894" i="13"/>
  <c r="R1894" i="13"/>
  <c r="Q1894" i="13"/>
  <c r="P1894" i="13"/>
  <c r="A1894" i="13"/>
  <c r="S1893" i="13"/>
  <c r="R1893" i="13"/>
  <c r="Q1893" i="13"/>
  <c r="P1893" i="13"/>
  <c r="A1893" i="13"/>
  <c r="S1892" i="13"/>
  <c r="R1892" i="13"/>
  <c r="Q1892" i="13"/>
  <c r="P1892" i="13"/>
  <c r="A1892" i="13"/>
  <c r="S1891" i="13"/>
  <c r="R1891" i="13"/>
  <c r="Q1891" i="13"/>
  <c r="P1891" i="13"/>
  <c r="A1891" i="13"/>
  <c r="S1890" i="13"/>
  <c r="R1890" i="13"/>
  <c r="Q1890" i="13"/>
  <c r="P1890" i="13"/>
  <c r="A1890" i="13"/>
  <c r="S1889" i="13"/>
  <c r="R1889" i="13"/>
  <c r="Q1889" i="13"/>
  <c r="P1889" i="13"/>
  <c r="A1889" i="13"/>
  <c r="S1888" i="13"/>
  <c r="R1888" i="13"/>
  <c r="Q1888" i="13"/>
  <c r="P1888" i="13"/>
  <c r="A1888" i="13"/>
  <c r="S1887" i="13"/>
  <c r="R1887" i="13"/>
  <c r="Q1887" i="13"/>
  <c r="P1887" i="13"/>
  <c r="A1887" i="13"/>
  <c r="S1886" i="13"/>
  <c r="R1886" i="13"/>
  <c r="Q1886" i="13"/>
  <c r="P1886" i="13"/>
  <c r="A1886" i="13"/>
  <c r="S1885" i="13"/>
  <c r="R1885" i="13"/>
  <c r="Q1885" i="13"/>
  <c r="P1885" i="13"/>
  <c r="A1885" i="13"/>
  <c r="S1884" i="13"/>
  <c r="R1884" i="13"/>
  <c r="Q1884" i="13"/>
  <c r="P1884" i="13"/>
  <c r="A1884" i="13"/>
  <c r="S1883" i="13"/>
  <c r="R1883" i="13"/>
  <c r="Q1883" i="13"/>
  <c r="P1883" i="13"/>
  <c r="A1883" i="13"/>
  <c r="S1882" i="13"/>
  <c r="R1882" i="13"/>
  <c r="Q1882" i="13"/>
  <c r="P1882" i="13"/>
  <c r="A1882" i="13"/>
  <c r="S1881" i="13"/>
  <c r="R1881" i="13"/>
  <c r="Q1881" i="13"/>
  <c r="P1881" i="13"/>
  <c r="A1881" i="13"/>
  <c r="S1880" i="13"/>
  <c r="R1880" i="13"/>
  <c r="Q1880" i="13"/>
  <c r="P1880" i="13"/>
  <c r="A1880" i="13"/>
  <c r="S1879" i="13"/>
  <c r="R1879" i="13"/>
  <c r="Q1879" i="13"/>
  <c r="P1879" i="13"/>
  <c r="A1879" i="13"/>
  <c r="S1878" i="13"/>
  <c r="R1878" i="13"/>
  <c r="Q1878" i="13"/>
  <c r="P1878" i="13"/>
  <c r="A1878" i="13"/>
  <c r="S1877" i="13"/>
  <c r="R1877" i="13"/>
  <c r="Q1877" i="13"/>
  <c r="P1877" i="13"/>
  <c r="A1877" i="13"/>
  <c r="S1876" i="13"/>
  <c r="R1876" i="13"/>
  <c r="Q1876" i="13"/>
  <c r="P1876" i="13"/>
  <c r="A1876" i="13"/>
  <c r="S1875" i="13"/>
  <c r="R1875" i="13"/>
  <c r="Q1875" i="13"/>
  <c r="P1875" i="13"/>
  <c r="A1875" i="13"/>
  <c r="S1874" i="13"/>
  <c r="R1874" i="13"/>
  <c r="Q1874" i="13"/>
  <c r="P1874" i="13"/>
  <c r="A1874" i="13"/>
  <c r="S1873" i="13"/>
  <c r="R1873" i="13"/>
  <c r="Q1873" i="13"/>
  <c r="P1873" i="13"/>
  <c r="A1873" i="13"/>
  <c r="S1872" i="13"/>
  <c r="R1872" i="13"/>
  <c r="Q1872" i="13"/>
  <c r="P1872" i="13"/>
  <c r="A1872" i="13"/>
  <c r="S1871" i="13"/>
  <c r="R1871" i="13"/>
  <c r="Q1871" i="13"/>
  <c r="P1871" i="13"/>
  <c r="A1871" i="13"/>
  <c r="S1870" i="13"/>
  <c r="R1870" i="13"/>
  <c r="Q1870" i="13"/>
  <c r="P1870" i="13"/>
  <c r="A1870" i="13"/>
  <c r="S1869" i="13"/>
  <c r="R1869" i="13"/>
  <c r="Q1869" i="13"/>
  <c r="P1869" i="13"/>
  <c r="A1869" i="13"/>
  <c r="S1868" i="13"/>
  <c r="R1868" i="13"/>
  <c r="Q1868" i="13"/>
  <c r="P1868" i="13"/>
  <c r="A1868" i="13"/>
  <c r="S1867" i="13"/>
  <c r="R1867" i="13"/>
  <c r="Q1867" i="13"/>
  <c r="P1867" i="13"/>
  <c r="A1867" i="13"/>
  <c r="S1866" i="13"/>
  <c r="R1866" i="13"/>
  <c r="Q1866" i="13"/>
  <c r="P1866" i="13"/>
  <c r="A1866" i="13"/>
  <c r="S1865" i="13"/>
  <c r="R1865" i="13"/>
  <c r="Q1865" i="13"/>
  <c r="P1865" i="13"/>
  <c r="A1865" i="13"/>
  <c r="S1864" i="13"/>
  <c r="R1864" i="13"/>
  <c r="Q1864" i="13"/>
  <c r="P1864" i="13"/>
  <c r="A1864" i="13"/>
  <c r="S1863" i="13"/>
  <c r="R1863" i="13"/>
  <c r="Q1863" i="13"/>
  <c r="P1863" i="13"/>
  <c r="A1863" i="13"/>
  <c r="S1862" i="13"/>
  <c r="R1862" i="13"/>
  <c r="Q1862" i="13"/>
  <c r="P1862" i="13"/>
  <c r="A1862" i="13"/>
  <c r="S1861" i="13"/>
  <c r="R1861" i="13"/>
  <c r="Q1861" i="13"/>
  <c r="P1861" i="13"/>
  <c r="A1861" i="13"/>
  <c r="S1860" i="13"/>
  <c r="R1860" i="13"/>
  <c r="Q1860" i="13"/>
  <c r="P1860" i="13"/>
  <c r="A1860" i="13"/>
  <c r="S1859" i="13"/>
  <c r="R1859" i="13"/>
  <c r="Q1859" i="13"/>
  <c r="P1859" i="13"/>
  <c r="A1859" i="13"/>
  <c r="S1858" i="13"/>
  <c r="R1858" i="13"/>
  <c r="Q1858" i="13"/>
  <c r="P1858" i="13"/>
  <c r="A1858" i="13"/>
  <c r="S1857" i="13"/>
  <c r="R1857" i="13"/>
  <c r="Q1857" i="13"/>
  <c r="P1857" i="13"/>
  <c r="A1857" i="13"/>
  <c r="S1856" i="13"/>
  <c r="R1856" i="13"/>
  <c r="Q1856" i="13"/>
  <c r="P1856" i="13"/>
  <c r="A1856" i="13"/>
  <c r="S1855" i="13"/>
  <c r="R1855" i="13"/>
  <c r="Q1855" i="13"/>
  <c r="P1855" i="13"/>
  <c r="A1855" i="13"/>
  <c r="S1854" i="13"/>
  <c r="R1854" i="13"/>
  <c r="Q1854" i="13"/>
  <c r="P1854" i="13"/>
  <c r="A1854" i="13"/>
  <c r="S1853" i="13"/>
  <c r="R1853" i="13"/>
  <c r="Q1853" i="13"/>
  <c r="P1853" i="13"/>
  <c r="A1853" i="13"/>
  <c r="S1852" i="13"/>
  <c r="R1852" i="13"/>
  <c r="Q1852" i="13"/>
  <c r="P1852" i="13"/>
  <c r="A1852" i="13"/>
  <c r="S1851" i="13"/>
  <c r="R1851" i="13"/>
  <c r="Q1851" i="13"/>
  <c r="P1851" i="13"/>
  <c r="A1851" i="13"/>
  <c r="S1850" i="13"/>
  <c r="R1850" i="13"/>
  <c r="Q1850" i="13"/>
  <c r="P1850" i="13"/>
  <c r="A1850" i="13"/>
  <c r="S1849" i="13"/>
  <c r="R1849" i="13"/>
  <c r="Q1849" i="13"/>
  <c r="P1849" i="13"/>
  <c r="A1849" i="13"/>
  <c r="S1848" i="13"/>
  <c r="R1848" i="13"/>
  <c r="Q1848" i="13"/>
  <c r="P1848" i="13"/>
  <c r="A1848" i="13"/>
  <c r="S1847" i="13"/>
  <c r="R1847" i="13"/>
  <c r="Q1847" i="13"/>
  <c r="P1847" i="13"/>
  <c r="A1847" i="13"/>
  <c r="S1846" i="13"/>
  <c r="R1846" i="13"/>
  <c r="Q1846" i="13"/>
  <c r="P1846" i="13"/>
  <c r="A1846" i="13"/>
  <c r="S1845" i="13"/>
  <c r="R1845" i="13"/>
  <c r="Q1845" i="13"/>
  <c r="P1845" i="13"/>
  <c r="A1845" i="13"/>
  <c r="S1844" i="13"/>
  <c r="R1844" i="13"/>
  <c r="Q1844" i="13"/>
  <c r="P1844" i="13"/>
  <c r="A1844" i="13"/>
  <c r="S1843" i="13"/>
  <c r="R1843" i="13"/>
  <c r="Q1843" i="13"/>
  <c r="P1843" i="13"/>
  <c r="A1843" i="13"/>
  <c r="S1842" i="13"/>
  <c r="R1842" i="13"/>
  <c r="Q1842" i="13"/>
  <c r="P1842" i="13"/>
  <c r="A1842" i="13"/>
  <c r="S1841" i="13"/>
  <c r="R1841" i="13"/>
  <c r="Q1841" i="13"/>
  <c r="P1841" i="13"/>
  <c r="A1841" i="13"/>
  <c r="S1840" i="13"/>
  <c r="R1840" i="13"/>
  <c r="Q1840" i="13"/>
  <c r="P1840" i="13"/>
  <c r="A1840" i="13"/>
  <c r="S1839" i="13"/>
  <c r="R1839" i="13"/>
  <c r="Q1839" i="13"/>
  <c r="P1839" i="13"/>
  <c r="A1839" i="13"/>
  <c r="S1838" i="13"/>
  <c r="R1838" i="13"/>
  <c r="Q1838" i="13"/>
  <c r="P1838" i="13"/>
  <c r="A1838" i="13"/>
  <c r="S1837" i="13"/>
  <c r="R1837" i="13"/>
  <c r="Q1837" i="13"/>
  <c r="P1837" i="13"/>
  <c r="A1837" i="13"/>
  <c r="S1836" i="13"/>
  <c r="R1836" i="13"/>
  <c r="Q1836" i="13"/>
  <c r="P1836" i="13"/>
  <c r="A1836" i="13"/>
  <c r="S1835" i="13"/>
  <c r="R1835" i="13"/>
  <c r="Q1835" i="13"/>
  <c r="P1835" i="13"/>
  <c r="A1835" i="13"/>
  <c r="S1834" i="13"/>
  <c r="R1834" i="13"/>
  <c r="Q1834" i="13"/>
  <c r="P1834" i="13"/>
  <c r="A1834" i="13"/>
  <c r="S1833" i="13"/>
  <c r="R1833" i="13"/>
  <c r="Q1833" i="13"/>
  <c r="P1833" i="13"/>
  <c r="A1833" i="13"/>
  <c r="S1832" i="13"/>
  <c r="R1832" i="13"/>
  <c r="Q1832" i="13"/>
  <c r="P1832" i="13"/>
  <c r="A1832" i="13"/>
  <c r="S1831" i="13"/>
  <c r="R1831" i="13"/>
  <c r="Q1831" i="13"/>
  <c r="P1831" i="13"/>
  <c r="A1831" i="13"/>
  <c r="S1830" i="13"/>
  <c r="R1830" i="13"/>
  <c r="Q1830" i="13"/>
  <c r="P1830" i="13"/>
  <c r="A1830" i="13"/>
  <c r="S1829" i="13"/>
  <c r="R1829" i="13"/>
  <c r="Q1829" i="13"/>
  <c r="P1829" i="13"/>
  <c r="A1829" i="13"/>
  <c r="S1828" i="13"/>
  <c r="R1828" i="13"/>
  <c r="Q1828" i="13"/>
  <c r="P1828" i="13"/>
  <c r="A1828" i="13"/>
  <c r="S1827" i="13"/>
  <c r="R1827" i="13"/>
  <c r="Q1827" i="13"/>
  <c r="P1827" i="13"/>
  <c r="A1827" i="13"/>
  <c r="S1826" i="13"/>
  <c r="R1826" i="13"/>
  <c r="Q1826" i="13"/>
  <c r="P1826" i="13"/>
  <c r="A1826" i="13"/>
  <c r="S1825" i="13"/>
  <c r="R1825" i="13"/>
  <c r="Q1825" i="13"/>
  <c r="P1825" i="13"/>
  <c r="A1825" i="13"/>
  <c r="S1824" i="13"/>
  <c r="R1824" i="13"/>
  <c r="Q1824" i="13"/>
  <c r="P1824" i="13"/>
  <c r="A1824" i="13"/>
  <c r="S1823" i="13"/>
  <c r="R1823" i="13"/>
  <c r="Q1823" i="13"/>
  <c r="P1823" i="13"/>
  <c r="A1823" i="13"/>
  <c r="S1822" i="13"/>
  <c r="R1822" i="13"/>
  <c r="Q1822" i="13"/>
  <c r="P1822" i="13"/>
  <c r="A1822" i="13"/>
  <c r="S1821" i="13"/>
  <c r="R1821" i="13"/>
  <c r="Q1821" i="13"/>
  <c r="P1821" i="13"/>
  <c r="A1821" i="13"/>
  <c r="S1820" i="13"/>
  <c r="R1820" i="13"/>
  <c r="Q1820" i="13"/>
  <c r="P1820" i="13"/>
  <c r="A1820" i="13"/>
  <c r="S1819" i="13"/>
  <c r="R1819" i="13"/>
  <c r="Q1819" i="13"/>
  <c r="P1819" i="13"/>
  <c r="A1819" i="13"/>
  <c r="S1818" i="13"/>
  <c r="R1818" i="13"/>
  <c r="Q1818" i="13"/>
  <c r="P1818" i="13"/>
  <c r="A1818" i="13"/>
  <c r="S1817" i="13"/>
  <c r="R1817" i="13"/>
  <c r="Q1817" i="13"/>
  <c r="P1817" i="13"/>
  <c r="A1817" i="13"/>
  <c r="S1816" i="13"/>
  <c r="R1816" i="13"/>
  <c r="Q1816" i="13"/>
  <c r="P1816" i="13"/>
  <c r="A1816" i="13"/>
  <c r="S1815" i="13"/>
  <c r="R1815" i="13"/>
  <c r="Q1815" i="13"/>
  <c r="P1815" i="13"/>
  <c r="A1815" i="13"/>
  <c r="S1814" i="13"/>
  <c r="R1814" i="13"/>
  <c r="Q1814" i="13"/>
  <c r="P1814" i="13"/>
  <c r="A1814" i="13"/>
  <c r="S1813" i="13"/>
  <c r="R1813" i="13"/>
  <c r="Q1813" i="13"/>
  <c r="P1813" i="13"/>
  <c r="A1813" i="13"/>
  <c r="S1812" i="13"/>
  <c r="R1812" i="13"/>
  <c r="Q1812" i="13"/>
  <c r="P1812" i="13"/>
  <c r="A1812" i="13"/>
  <c r="S1811" i="13"/>
  <c r="R1811" i="13"/>
  <c r="Q1811" i="13"/>
  <c r="P1811" i="13"/>
  <c r="A1811" i="13"/>
  <c r="S1810" i="13"/>
  <c r="R1810" i="13"/>
  <c r="Q1810" i="13"/>
  <c r="P1810" i="13"/>
  <c r="A1810" i="13"/>
  <c r="S1809" i="13"/>
  <c r="R1809" i="13"/>
  <c r="Q1809" i="13"/>
  <c r="P1809" i="13"/>
  <c r="A1809" i="13"/>
  <c r="S1808" i="13"/>
  <c r="R1808" i="13"/>
  <c r="Q1808" i="13"/>
  <c r="P1808" i="13"/>
  <c r="A1808" i="13"/>
  <c r="S1807" i="13"/>
  <c r="R1807" i="13"/>
  <c r="Q1807" i="13"/>
  <c r="P1807" i="13"/>
  <c r="A1807" i="13"/>
  <c r="S1806" i="13"/>
  <c r="R1806" i="13"/>
  <c r="Q1806" i="13"/>
  <c r="P1806" i="13"/>
  <c r="A1806" i="13"/>
  <c r="S1805" i="13"/>
  <c r="R1805" i="13"/>
  <c r="Q1805" i="13"/>
  <c r="P1805" i="13"/>
  <c r="A1805" i="13"/>
  <c r="S1804" i="13"/>
  <c r="R1804" i="13"/>
  <c r="Q1804" i="13"/>
  <c r="P1804" i="13"/>
  <c r="A1804" i="13"/>
  <c r="S1803" i="13"/>
  <c r="R1803" i="13"/>
  <c r="Q1803" i="13"/>
  <c r="P1803" i="13"/>
  <c r="A1803" i="13"/>
  <c r="S1802" i="13"/>
  <c r="R1802" i="13"/>
  <c r="Q1802" i="13"/>
  <c r="P1802" i="13"/>
  <c r="A1802" i="13"/>
  <c r="S1801" i="13"/>
  <c r="R1801" i="13"/>
  <c r="Q1801" i="13"/>
  <c r="P1801" i="13"/>
  <c r="A1801" i="13"/>
  <c r="S1800" i="13"/>
  <c r="R1800" i="13"/>
  <c r="Q1800" i="13"/>
  <c r="P1800" i="13"/>
  <c r="A1800" i="13"/>
  <c r="S1799" i="13"/>
  <c r="R1799" i="13"/>
  <c r="Q1799" i="13"/>
  <c r="P1799" i="13"/>
  <c r="A1799" i="13"/>
  <c r="S1798" i="13"/>
  <c r="R1798" i="13"/>
  <c r="Q1798" i="13"/>
  <c r="P1798" i="13"/>
  <c r="A1798" i="13"/>
  <c r="S1797" i="13"/>
  <c r="R1797" i="13"/>
  <c r="Q1797" i="13"/>
  <c r="P1797" i="13"/>
  <c r="A1797" i="13"/>
  <c r="S1796" i="13"/>
  <c r="R1796" i="13"/>
  <c r="Q1796" i="13"/>
  <c r="P1796" i="13"/>
  <c r="A1796" i="13"/>
  <c r="S1795" i="13"/>
  <c r="R1795" i="13"/>
  <c r="Q1795" i="13"/>
  <c r="P1795" i="13"/>
  <c r="A1795" i="13"/>
  <c r="S1794" i="13"/>
  <c r="R1794" i="13"/>
  <c r="Q1794" i="13"/>
  <c r="P1794" i="13"/>
  <c r="A1794" i="13"/>
  <c r="S1793" i="13"/>
  <c r="R1793" i="13"/>
  <c r="Q1793" i="13"/>
  <c r="P1793" i="13"/>
  <c r="A1793" i="13"/>
  <c r="S1792" i="13"/>
  <c r="R1792" i="13"/>
  <c r="Q1792" i="13"/>
  <c r="P1792" i="13"/>
  <c r="A1792" i="13"/>
  <c r="S1791" i="13"/>
  <c r="R1791" i="13"/>
  <c r="Q1791" i="13"/>
  <c r="P1791" i="13"/>
  <c r="A1791" i="13"/>
  <c r="S1790" i="13"/>
  <c r="R1790" i="13"/>
  <c r="Q1790" i="13"/>
  <c r="P1790" i="13"/>
  <c r="A1790" i="13"/>
  <c r="S1789" i="13"/>
  <c r="R1789" i="13"/>
  <c r="Q1789" i="13"/>
  <c r="P1789" i="13"/>
  <c r="A1789" i="13"/>
  <c r="S1788" i="13"/>
  <c r="R1788" i="13"/>
  <c r="Q1788" i="13"/>
  <c r="P1788" i="13"/>
  <c r="A1788" i="13"/>
  <c r="S1787" i="13"/>
  <c r="R1787" i="13"/>
  <c r="Q1787" i="13"/>
  <c r="P1787" i="13"/>
  <c r="A1787" i="13"/>
  <c r="S1786" i="13"/>
  <c r="R1786" i="13"/>
  <c r="Q1786" i="13"/>
  <c r="P1786" i="13"/>
  <c r="A1786" i="13"/>
  <c r="S1785" i="13"/>
  <c r="R1785" i="13"/>
  <c r="Q1785" i="13"/>
  <c r="P1785" i="13"/>
  <c r="A1785" i="13"/>
  <c r="S1784" i="13"/>
  <c r="R1784" i="13"/>
  <c r="Q1784" i="13"/>
  <c r="P1784" i="13"/>
  <c r="A1784" i="13"/>
  <c r="S1783" i="13"/>
  <c r="R1783" i="13"/>
  <c r="Q1783" i="13"/>
  <c r="P1783" i="13"/>
  <c r="A1783" i="13"/>
  <c r="S1782" i="13"/>
  <c r="R1782" i="13"/>
  <c r="Q1782" i="13"/>
  <c r="P1782" i="13"/>
  <c r="A1782" i="13"/>
  <c r="S1781" i="13"/>
  <c r="R1781" i="13"/>
  <c r="Q1781" i="13"/>
  <c r="P1781" i="13"/>
  <c r="A1781" i="13"/>
  <c r="S1780" i="13"/>
  <c r="R1780" i="13"/>
  <c r="Q1780" i="13"/>
  <c r="P1780" i="13"/>
  <c r="A1780" i="13"/>
  <c r="S1779" i="13"/>
  <c r="R1779" i="13"/>
  <c r="Q1779" i="13"/>
  <c r="P1779" i="13"/>
  <c r="A1779" i="13"/>
  <c r="S1778" i="13"/>
  <c r="R1778" i="13"/>
  <c r="Q1778" i="13"/>
  <c r="P1778" i="13"/>
  <c r="A1778" i="13"/>
  <c r="S1777" i="13"/>
  <c r="R1777" i="13"/>
  <c r="Q1777" i="13"/>
  <c r="P1777" i="13"/>
  <c r="A1777" i="13"/>
  <c r="S1776" i="13"/>
  <c r="R1776" i="13"/>
  <c r="Q1776" i="13"/>
  <c r="P1776" i="13"/>
  <c r="A1776" i="13"/>
  <c r="S1775" i="13"/>
  <c r="R1775" i="13"/>
  <c r="Q1775" i="13"/>
  <c r="P1775" i="13"/>
  <c r="A1775" i="13"/>
  <c r="S1774" i="13"/>
  <c r="R1774" i="13"/>
  <c r="Q1774" i="13"/>
  <c r="P1774" i="13"/>
  <c r="A1774" i="13"/>
  <c r="S1773" i="13"/>
  <c r="R1773" i="13"/>
  <c r="Q1773" i="13"/>
  <c r="P1773" i="13"/>
  <c r="A1773" i="13"/>
  <c r="S1772" i="13"/>
  <c r="R1772" i="13"/>
  <c r="Q1772" i="13"/>
  <c r="P1772" i="13"/>
  <c r="A1772" i="13"/>
  <c r="S1771" i="13"/>
  <c r="R1771" i="13"/>
  <c r="Q1771" i="13"/>
  <c r="P1771" i="13"/>
  <c r="A1771" i="13"/>
  <c r="S1770" i="13"/>
  <c r="R1770" i="13"/>
  <c r="Q1770" i="13"/>
  <c r="P1770" i="13"/>
  <c r="A1770" i="13"/>
  <c r="S1769" i="13"/>
  <c r="R1769" i="13"/>
  <c r="Q1769" i="13"/>
  <c r="P1769" i="13"/>
  <c r="A1769" i="13"/>
  <c r="S1768" i="13"/>
  <c r="R1768" i="13"/>
  <c r="Q1768" i="13"/>
  <c r="P1768" i="13"/>
  <c r="A1768" i="13"/>
  <c r="S1767" i="13"/>
  <c r="R1767" i="13"/>
  <c r="Q1767" i="13"/>
  <c r="P1767" i="13"/>
  <c r="A1767" i="13"/>
  <c r="S1766" i="13"/>
  <c r="R1766" i="13"/>
  <c r="Q1766" i="13"/>
  <c r="P1766" i="13"/>
  <c r="A1766" i="13"/>
  <c r="S1765" i="13"/>
  <c r="R1765" i="13"/>
  <c r="Q1765" i="13"/>
  <c r="P1765" i="13"/>
  <c r="A1765" i="13"/>
  <c r="S1764" i="13"/>
  <c r="R1764" i="13"/>
  <c r="Q1764" i="13"/>
  <c r="P1764" i="13"/>
  <c r="A1764" i="13"/>
  <c r="S1763" i="13"/>
  <c r="R1763" i="13"/>
  <c r="Q1763" i="13"/>
  <c r="P1763" i="13"/>
  <c r="A1763" i="13"/>
  <c r="S1762" i="13"/>
  <c r="R1762" i="13"/>
  <c r="Q1762" i="13"/>
  <c r="P1762" i="13"/>
  <c r="A1762" i="13"/>
  <c r="S1761" i="13"/>
  <c r="R1761" i="13"/>
  <c r="Q1761" i="13"/>
  <c r="P1761" i="13"/>
  <c r="A1761" i="13"/>
  <c r="S1760" i="13"/>
  <c r="R1760" i="13"/>
  <c r="Q1760" i="13"/>
  <c r="P1760" i="13"/>
  <c r="A1760" i="13"/>
  <c r="S1759" i="13"/>
  <c r="R1759" i="13"/>
  <c r="Q1759" i="13"/>
  <c r="P1759" i="13"/>
  <c r="A1759" i="13"/>
  <c r="S1758" i="13"/>
  <c r="R1758" i="13"/>
  <c r="Q1758" i="13"/>
  <c r="P1758" i="13"/>
  <c r="A1758" i="13"/>
  <c r="S1757" i="13"/>
  <c r="R1757" i="13"/>
  <c r="Q1757" i="13"/>
  <c r="P1757" i="13"/>
  <c r="A1757" i="13"/>
  <c r="S1756" i="13"/>
  <c r="R1756" i="13"/>
  <c r="Q1756" i="13"/>
  <c r="P1756" i="13"/>
  <c r="A1756" i="13"/>
  <c r="S1755" i="13"/>
  <c r="R1755" i="13"/>
  <c r="Q1755" i="13"/>
  <c r="P1755" i="13"/>
  <c r="A1755" i="13"/>
  <c r="S1754" i="13"/>
  <c r="R1754" i="13"/>
  <c r="Q1754" i="13"/>
  <c r="P1754" i="13"/>
  <c r="A1754" i="13"/>
  <c r="S1753" i="13"/>
  <c r="R1753" i="13"/>
  <c r="Q1753" i="13"/>
  <c r="P1753" i="13"/>
  <c r="A1753" i="13"/>
  <c r="S1752" i="13"/>
  <c r="R1752" i="13"/>
  <c r="Q1752" i="13"/>
  <c r="P1752" i="13"/>
  <c r="A1752" i="13"/>
  <c r="S1751" i="13"/>
  <c r="R1751" i="13"/>
  <c r="Q1751" i="13"/>
  <c r="P1751" i="13"/>
  <c r="A1751" i="13"/>
  <c r="S1750" i="13"/>
  <c r="R1750" i="13"/>
  <c r="Q1750" i="13"/>
  <c r="P1750" i="13"/>
  <c r="A1750" i="13"/>
  <c r="S1749" i="13"/>
  <c r="R1749" i="13"/>
  <c r="Q1749" i="13"/>
  <c r="P1749" i="13"/>
  <c r="A1749" i="13"/>
  <c r="S1748" i="13"/>
  <c r="R1748" i="13"/>
  <c r="Q1748" i="13"/>
  <c r="P1748" i="13"/>
  <c r="A1748" i="13"/>
  <c r="S1747" i="13"/>
  <c r="R1747" i="13"/>
  <c r="Q1747" i="13"/>
  <c r="P1747" i="13"/>
  <c r="A1747" i="13"/>
  <c r="S1746" i="13"/>
  <c r="R1746" i="13"/>
  <c r="Q1746" i="13"/>
  <c r="P1746" i="13"/>
  <c r="A1746" i="13"/>
  <c r="S1745" i="13"/>
  <c r="R1745" i="13"/>
  <c r="Q1745" i="13"/>
  <c r="P1745" i="13"/>
  <c r="A1745" i="13"/>
  <c r="S1744" i="13"/>
  <c r="R1744" i="13"/>
  <c r="Q1744" i="13"/>
  <c r="P1744" i="13"/>
  <c r="A1744" i="13"/>
  <c r="S1743" i="13"/>
  <c r="R1743" i="13"/>
  <c r="Q1743" i="13"/>
  <c r="P1743" i="13"/>
  <c r="A1743" i="13"/>
  <c r="S1742" i="13"/>
  <c r="R1742" i="13"/>
  <c r="Q1742" i="13"/>
  <c r="P1742" i="13"/>
  <c r="A1742" i="13"/>
  <c r="S1741" i="13"/>
  <c r="R1741" i="13"/>
  <c r="Q1741" i="13"/>
  <c r="P1741" i="13"/>
  <c r="A1741" i="13"/>
  <c r="S1740" i="13"/>
  <c r="R1740" i="13"/>
  <c r="Q1740" i="13"/>
  <c r="P1740" i="13"/>
  <c r="A1740" i="13"/>
  <c r="S1739" i="13"/>
  <c r="R1739" i="13"/>
  <c r="Q1739" i="13"/>
  <c r="P1739" i="13"/>
  <c r="A1739" i="13"/>
  <c r="S1738" i="13"/>
  <c r="R1738" i="13"/>
  <c r="Q1738" i="13"/>
  <c r="P1738" i="13"/>
  <c r="A1738" i="13"/>
  <c r="S1737" i="13"/>
  <c r="R1737" i="13"/>
  <c r="Q1737" i="13"/>
  <c r="P1737" i="13"/>
  <c r="A1737" i="13"/>
  <c r="S1736" i="13"/>
  <c r="R1736" i="13"/>
  <c r="Q1736" i="13"/>
  <c r="P1736" i="13"/>
  <c r="A1736" i="13"/>
  <c r="S1735" i="13"/>
  <c r="R1735" i="13"/>
  <c r="Q1735" i="13"/>
  <c r="P1735" i="13"/>
  <c r="A1735" i="13"/>
  <c r="S1734" i="13"/>
  <c r="R1734" i="13"/>
  <c r="Q1734" i="13"/>
  <c r="P1734" i="13"/>
  <c r="A1734" i="13"/>
  <c r="S1733" i="13"/>
  <c r="R1733" i="13"/>
  <c r="Q1733" i="13"/>
  <c r="P1733" i="13"/>
  <c r="A1733" i="13"/>
  <c r="S1732" i="13"/>
  <c r="R1732" i="13"/>
  <c r="Q1732" i="13"/>
  <c r="P1732" i="13"/>
  <c r="A1732" i="13"/>
  <c r="S1731" i="13"/>
  <c r="R1731" i="13"/>
  <c r="Q1731" i="13"/>
  <c r="P1731" i="13"/>
  <c r="A1731" i="13"/>
  <c r="S1730" i="13"/>
  <c r="R1730" i="13"/>
  <c r="Q1730" i="13"/>
  <c r="P1730" i="13"/>
  <c r="A1730" i="13"/>
  <c r="S1729" i="13"/>
  <c r="R1729" i="13"/>
  <c r="Q1729" i="13"/>
  <c r="P1729" i="13"/>
  <c r="A1729" i="13"/>
  <c r="S1728" i="13"/>
  <c r="R1728" i="13"/>
  <c r="Q1728" i="13"/>
  <c r="P1728" i="13"/>
  <c r="A1728" i="13"/>
  <c r="S1727" i="13"/>
  <c r="R1727" i="13"/>
  <c r="Q1727" i="13"/>
  <c r="P1727" i="13"/>
  <c r="A1727" i="13"/>
  <c r="S1726" i="13"/>
  <c r="R1726" i="13"/>
  <c r="Q1726" i="13"/>
  <c r="P1726" i="13"/>
  <c r="A1726" i="13"/>
  <c r="S1725" i="13"/>
  <c r="R1725" i="13"/>
  <c r="Q1725" i="13"/>
  <c r="P1725" i="13"/>
  <c r="A1725" i="13"/>
  <c r="S1724" i="13"/>
  <c r="R1724" i="13"/>
  <c r="Q1724" i="13"/>
  <c r="P1724" i="13"/>
  <c r="A1724" i="13"/>
  <c r="S1723" i="13"/>
  <c r="R1723" i="13"/>
  <c r="Q1723" i="13"/>
  <c r="P1723" i="13"/>
  <c r="A1723" i="13"/>
  <c r="S1722" i="13"/>
  <c r="R1722" i="13"/>
  <c r="Q1722" i="13"/>
  <c r="P1722" i="13"/>
  <c r="A1722" i="13"/>
  <c r="S1721" i="13"/>
  <c r="R1721" i="13"/>
  <c r="Q1721" i="13"/>
  <c r="P1721" i="13"/>
  <c r="A1721" i="13"/>
  <c r="S1720" i="13"/>
  <c r="R1720" i="13"/>
  <c r="Q1720" i="13"/>
  <c r="P1720" i="13"/>
  <c r="A1720" i="13"/>
  <c r="S1719" i="13"/>
  <c r="R1719" i="13"/>
  <c r="Q1719" i="13"/>
  <c r="P1719" i="13"/>
  <c r="A1719" i="13"/>
  <c r="S1718" i="13"/>
  <c r="R1718" i="13"/>
  <c r="Q1718" i="13"/>
  <c r="P1718" i="13"/>
  <c r="A1718" i="13"/>
  <c r="S1717" i="13"/>
  <c r="R1717" i="13"/>
  <c r="Q1717" i="13"/>
  <c r="P1717" i="13"/>
  <c r="A1717" i="13"/>
  <c r="S1716" i="13"/>
  <c r="R1716" i="13"/>
  <c r="Q1716" i="13"/>
  <c r="P1716" i="13"/>
  <c r="A1716" i="13"/>
  <c r="S1715" i="13"/>
  <c r="R1715" i="13"/>
  <c r="Q1715" i="13"/>
  <c r="P1715" i="13"/>
  <c r="A1715" i="13"/>
  <c r="S1714" i="13"/>
  <c r="R1714" i="13"/>
  <c r="Q1714" i="13"/>
  <c r="P1714" i="13"/>
  <c r="A1714" i="13"/>
  <c r="S1713" i="13"/>
  <c r="R1713" i="13"/>
  <c r="Q1713" i="13"/>
  <c r="P1713" i="13"/>
  <c r="A1713" i="13"/>
  <c r="S1712" i="13"/>
  <c r="R1712" i="13"/>
  <c r="Q1712" i="13"/>
  <c r="P1712" i="13"/>
  <c r="A1712" i="13"/>
  <c r="S1711" i="13"/>
  <c r="R1711" i="13"/>
  <c r="Q1711" i="13"/>
  <c r="P1711" i="13"/>
  <c r="A1711" i="13"/>
  <c r="S1710" i="13"/>
  <c r="R1710" i="13"/>
  <c r="Q1710" i="13"/>
  <c r="P1710" i="13"/>
  <c r="A1710" i="13"/>
  <c r="S1709" i="13"/>
  <c r="R1709" i="13"/>
  <c r="Q1709" i="13"/>
  <c r="P1709" i="13"/>
  <c r="A1709" i="13"/>
  <c r="S1708" i="13"/>
  <c r="R1708" i="13"/>
  <c r="Q1708" i="13"/>
  <c r="P1708" i="13"/>
  <c r="A1708" i="13"/>
  <c r="S1707" i="13"/>
  <c r="R1707" i="13"/>
  <c r="Q1707" i="13"/>
  <c r="P1707" i="13"/>
  <c r="A1707" i="13"/>
  <c r="S1706" i="13"/>
  <c r="R1706" i="13"/>
  <c r="Q1706" i="13"/>
  <c r="P1706" i="13"/>
  <c r="A1706" i="13"/>
  <c r="S1705" i="13"/>
  <c r="R1705" i="13"/>
  <c r="Q1705" i="13"/>
  <c r="P1705" i="13"/>
  <c r="A1705" i="13"/>
  <c r="S1704" i="13"/>
  <c r="R1704" i="13"/>
  <c r="Q1704" i="13"/>
  <c r="P1704" i="13"/>
  <c r="A1704" i="13"/>
  <c r="S1703" i="13"/>
  <c r="R1703" i="13"/>
  <c r="Q1703" i="13"/>
  <c r="P1703" i="13"/>
  <c r="A1703" i="13"/>
  <c r="S1702" i="13"/>
  <c r="R1702" i="13"/>
  <c r="Q1702" i="13"/>
  <c r="P1702" i="13"/>
  <c r="A1702" i="13"/>
  <c r="S1701" i="13"/>
  <c r="R1701" i="13"/>
  <c r="Q1701" i="13"/>
  <c r="P1701" i="13"/>
  <c r="A1701" i="13"/>
  <c r="S1700" i="13"/>
  <c r="R1700" i="13"/>
  <c r="Q1700" i="13"/>
  <c r="P1700" i="13"/>
  <c r="A1700" i="13"/>
  <c r="S1699" i="13"/>
  <c r="R1699" i="13"/>
  <c r="Q1699" i="13"/>
  <c r="P1699" i="13"/>
  <c r="A1699" i="13"/>
  <c r="S1698" i="13"/>
  <c r="R1698" i="13"/>
  <c r="Q1698" i="13"/>
  <c r="P1698" i="13"/>
  <c r="A1698" i="13"/>
  <c r="S1697" i="13"/>
  <c r="R1697" i="13"/>
  <c r="Q1697" i="13"/>
  <c r="P1697" i="13"/>
  <c r="A1697" i="13"/>
  <c r="S1696" i="13"/>
  <c r="R1696" i="13"/>
  <c r="Q1696" i="13"/>
  <c r="P1696" i="13"/>
  <c r="A1696" i="13"/>
  <c r="S1695" i="13"/>
  <c r="R1695" i="13"/>
  <c r="Q1695" i="13"/>
  <c r="P1695" i="13"/>
  <c r="A1695" i="13"/>
  <c r="S1694" i="13"/>
  <c r="R1694" i="13"/>
  <c r="Q1694" i="13"/>
  <c r="P1694" i="13"/>
  <c r="A1694" i="13"/>
  <c r="S1693" i="13"/>
  <c r="R1693" i="13"/>
  <c r="Q1693" i="13"/>
  <c r="P1693" i="13"/>
  <c r="A1693" i="13"/>
  <c r="S1692" i="13"/>
  <c r="R1692" i="13"/>
  <c r="Q1692" i="13"/>
  <c r="P1692" i="13"/>
  <c r="A1692" i="13"/>
  <c r="S1691" i="13"/>
  <c r="R1691" i="13"/>
  <c r="Q1691" i="13"/>
  <c r="P1691" i="13"/>
  <c r="A1691" i="13"/>
  <c r="S1690" i="13"/>
  <c r="R1690" i="13"/>
  <c r="Q1690" i="13"/>
  <c r="P1690" i="13"/>
  <c r="A1690" i="13"/>
  <c r="S1689" i="13"/>
  <c r="R1689" i="13"/>
  <c r="Q1689" i="13"/>
  <c r="P1689" i="13"/>
  <c r="A1689" i="13"/>
  <c r="S1688" i="13"/>
  <c r="R1688" i="13"/>
  <c r="Q1688" i="13"/>
  <c r="P1688" i="13"/>
  <c r="A1688" i="13"/>
  <c r="S1687" i="13"/>
  <c r="R1687" i="13"/>
  <c r="Q1687" i="13"/>
  <c r="P1687" i="13"/>
  <c r="A1687" i="13"/>
  <c r="S1686" i="13"/>
  <c r="R1686" i="13"/>
  <c r="Q1686" i="13"/>
  <c r="P1686" i="13"/>
  <c r="A1686" i="13"/>
  <c r="S1685" i="13"/>
  <c r="R1685" i="13"/>
  <c r="Q1685" i="13"/>
  <c r="P1685" i="13"/>
  <c r="A1685" i="13"/>
  <c r="S1684" i="13"/>
  <c r="R1684" i="13"/>
  <c r="Q1684" i="13"/>
  <c r="P1684" i="13"/>
  <c r="A1684" i="13"/>
  <c r="S1683" i="13"/>
  <c r="R1683" i="13"/>
  <c r="Q1683" i="13"/>
  <c r="P1683" i="13"/>
  <c r="A1683" i="13"/>
  <c r="S1682" i="13"/>
  <c r="R1682" i="13"/>
  <c r="Q1682" i="13"/>
  <c r="P1682" i="13"/>
  <c r="A1682" i="13"/>
  <c r="S1681" i="13"/>
  <c r="R1681" i="13"/>
  <c r="Q1681" i="13"/>
  <c r="P1681" i="13"/>
  <c r="A1681" i="13"/>
  <c r="S1680" i="13"/>
  <c r="R1680" i="13"/>
  <c r="Q1680" i="13"/>
  <c r="P1680" i="13"/>
  <c r="A1680" i="13"/>
  <c r="S1679" i="13"/>
  <c r="R1679" i="13"/>
  <c r="Q1679" i="13"/>
  <c r="P1679" i="13"/>
  <c r="A1679" i="13"/>
  <c r="S1678" i="13"/>
  <c r="R1678" i="13"/>
  <c r="Q1678" i="13"/>
  <c r="P1678" i="13"/>
  <c r="A1678" i="13"/>
  <c r="S1677" i="13"/>
  <c r="R1677" i="13"/>
  <c r="Q1677" i="13"/>
  <c r="P1677" i="13"/>
  <c r="A1677" i="13"/>
  <c r="S1676" i="13"/>
  <c r="R1676" i="13"/>
  <c r="Q1676" i="13"/>
  <c r="P1676" i="13"/>
  <c r="A1676" i="13"/>
  <c r="S1675" i="13"/>
  <c r="R1675" i="13"/>
  <c r="Q1675" i="13"/>
  <c r="P1675" i="13"/>
  <c r="A1675" i="13"/>
  <c r="S1674" i="13"/>
  <c r="R1674" i="13"/>
  <c r="Q1674" i="13"/>
  <c r="P1674" i="13"/>
  <c r="A1674" i="13"/>
  <c r="S1673" i="13"/>
  <c r="R1673" i="13"/>
  <c r="Q1673" i="13"/>
  <c r="P1673" i="13"/>
  <c r="A1673" i="13"/>
  <c r="S1672" i="13"/>
  <c r="R1672" i="13"/>
  <c r="Q1672" i="13"/>
  <c r="P1672" i="13"/>
  <c r="A1672" i="13"/>
  <c r="S1671" i="13"/>
  <c r="R1671" i="13"/>
  <c r="Q1671" i="13"/>
  <c r="P1671" i="13"/>
  <c r="A1671" i="13"/>
  <c r="S1670" i="13"/>
  <c r="R1670" i="13"/>
  <c r="Q1670" i="13"/>
  <c r="P1670" i="13"/>
  <c r="A1670" i="13"/>
  <c r="S1669" i="13"/>
  <c r="R1669" i="13"/>
  <c r="Q1669" i="13"/>
  <c r="P1669" i="13"/>
  <c r="A1669" i="13"/>
  <c r="S1668" i="13"/>
  <c r="R1668" i="13"/>
  <c r="Q1668" i="13"/>
  <c r="P1668" i="13"/>
  <c r="A1668" i="13"/>
  <c r="S1667" i="13"/>
  <c r="R1667" i="13"/>
  <c r="Q1667" i="13"/>
  <c r="P1667" i="13"/>
  <c r="A1667" i="13"/>
  <c r="S1666" i="13"/>
  <c r="R1666" i="13"/>
  <c r="Q1666" i="13"/>
  <c r="P1666" i="13"/>
  <c r="A1666" i="13"/>
  <c r="S1665" i="13"/>
  <c r="R1665" i="13"/>
  <c r="Q1665" i="13"/>
  <c r="P1665" i="13"/>
  <c r="A1665" i="13"/>
  <c r="S1664" i="13"/>
  <c r="R1664" i="13"/>
  <c r="Q1664" i="13"/>
  <c r="P1664" i="13"/>
  <c r="A1664" i="13"/>
  <c r="S1663" i="13"/>
  <c r="R1663" i="13"/>
  <c r="Q1663" i="13"/>
  <c r="P1663" i="13"/>
  <c r="A1663" i="13"/>
  <c r="S1662" i="13"/>
  <c r="R1662" i="13"/>
  <c r="Q1662" i="13"/>
  <c r="P1662" i="13"/>
  <c r="A1662" i="13"/>
  <c r="S1661" i="13"/>
  <c r="R1661" i="13"/>
  <c r="Q1661" i="13"/>
  <c r="P1661" i="13"/>
  <c r="A1661" i="13"/>
  <c r="S1660" i="13"/>
  <c r="R1660" i="13"/>
  <c r="Q1660" i="13"/>
  <c r="P1660" i="13"/>
  <c r="A1660" i="13"/>
  <c r="S1659" i="13"/>
  <c r="R1659" i="13"/>
  <c r="Q1659" i="13"/>
  <c r="P1659" i="13"/>
  <c r="A1659" i="13"/>
  <c r="S1658" i="13"/>
  <c r="R1658" i="13"/>
  <c r="Q1658" i="13"/>
  <c r="P1658" i="13"/>
  <c r="A1658" i="13"/>
  <c r="S1657" i="13"/>
  <c r="R1657" i="13"/>
  <c r="Q1657" i="13"/>
  <c r="P1657" i="13"/>
  <c r="A1657" i="13"/>
  <c r="S1656" i="13"/>
  <c r="R1656" i="13"/>
  <c r="Q1656" i="13"/>
  <c r="P1656" i="13"/>
  <c r="A1656" i="13"/>
  <c r="S1655" i="13"/>
  <c r="R1655" i="13"/>
  <c r="Q1655" i="13"/>
  <c r="P1655" i="13"/>
  <c r="A1655" i="13"/>
  <c r="S1654" i="13"/>
  <c r="R1654" i="13"/>
  <c r="Q1654" i="13"/>
  <c r="P1654" i="13"/>
  <c r="A1654" i="13"/>
  <c r="S1653" i="13"/>
  <c r="R1653" i="13"/>
  <c r="Q1653" i="13"/>
  <c r="P1653" i="13"/>
  <c r="A1653" i="13"/>
  <c r="S1652" i="13"/>
  <c r="R1652" i="13"/>
  <c r="Q1652" i="13"/>
  <c r="P1652" i="13"/>
  <c r="A1652" i="13"/>
  <c r="S1651" i="13"/>
  <c r="R1651" i="13"/>
  <c r="Q1651" i="13"/>
  <c r="P1651" i="13"/>
  <c r="A1651" i="13"/>
  <c r="S1650" i="13"/>
  <c r="R1650" i="13"/>
  <c r="Q1650" i="13"/>
  <c r="P1650" i="13"/>
  <c r="A1650" i="13"/>
  <c r="S1649" i="13"/>
  <c r="R1649" i="13"/>
  <c r="Q1649" i="13"/>
  <c r="P1649" i="13"/>
  <c r="A1649" i="13"/>
  <c r="S1648" i="13"/>
  <c r="R1648" i="13"/>
  <c r="Q1648" i="13"/>
  <c r="P1648" i="13"/>
  <c r="A1648" i="13"/>
  <c r="S1647" i="13"/>
  <c r="R1647" i="13"/>
  <c r="Q1647" i="13"/>
  <c r="P1647" i="13"/>
  <c r="A1647" i="13"/>
  <c r="S1646" i="13"/>
  <c r="R1646" i="13"/>
  <c r="Q1646" i="13"/>
  <c r="P1646" i="13"/>
  <c r="A1646" i="13"/>
  <c r="S1645" i="13"/>
  <c r="R1645" i="13"/>
  <c r="Q1645" i="13"/>
  <c r="P1645" i="13"/>
  <c r="A1645" i="13"/>
  <c r="S1644" i="13"/>
  <c r="R1644" i="13"/>
  <c r="Q1644" i="13"/>
  <c r="P1644" i="13"/>
  <c r="A1644" i="13"/>
  <c r="S1643" i="13"/>
  <c r="R1643" i="13"/>
  <c r="Q1643" i="13"/>
  <c r="P1643" i="13"/>
  <c r="A1643" i="13"/>
  <c r="S1642" i="13"/>
  <c r="R1642" i="13"/>
  <c r="Q1642" i="13"/>
  <c r="P1642" i="13"/>
  <c r="A1642" i="13"/>
  <c r="S1641" i="13"/>
  <c r="R1641" i="13"/>
  <c r="Q1641" i="13"/>
  <c r="P1641" i="13"/>
  <c r="A1641" i="13"/>
  <c r="S1640" i="13"/>
  <c r="R1640" i="13"/>
  <c r="Q1640" i="13"/>
  <c r="P1640" i="13"/>
  <c r="A1640" i="13"/>
  <c r="S1639" i="13"/>
  <c r="R1639" i="13"/>
  <c r="Q1639" i="13"/>
  <c r="P1639" i="13"/>
  <c r="A1639" i="13"/>
  <c r="S1638" i="13"/>
  <c r="R1638" i="13"/>
  <c r="Q1638" i="13"/>
  <c r="P1638" i="13"/>
  <c r="A1638" i="13"/>
  <c r="S1637" i="13"/>
  <c r="R1637" i="13"/>
  <c r="Q1637" i="13"/>
  <c r="P1637" i="13"/>
  <c r="A1637" i="13"/>
  <c r="S1636" i="13"/>
  <c r="R1636" i="13"/>
  <c r="Q1636" i="13"/>
  <c r="P1636" i="13"/>
  <c r="A1636" i="13"/>
  <c r="S1635" i="13"/>
  <c r="R1635" i="13"/>
  <c r="Q1635" i="13"/>
  <c r="P1635" i="13"/>
  <c r="A1635" i="13"/>
  <c r="S1634" i="13"/>
  <c r="R1634" i="13"/>
  <c r="Q1634" i="13"/>
  <c r="P1634" i="13"/>
  <c r="A1634" i="13"/>
  <c r="S1633" i="13"/>
  <c r="R1633" i="13"/>
  <c r="Q1633" i="13"/>
  <c r="P1633" i="13"/>
  <c r="A1633" i="13"/>
  <c r="S1632" i="13"/>
  <c r="R1632" i="13"/>
  <c r="Q1632" i="13"/>
  <c r="P1632" i="13"/>
  <c r="A1632" i="13"/>
  <c r="S1631" i="13"/>
  <c r="R1631" i="13"/>
  <c r="Q1631" i="13"/>
  <c r="P1631" i="13"/>
  <c r="A1631" i="13"/>
  <c r="S1630" i="13"/>
  <c r="R1630" i="13"/>
  <c r="Q1630" i="13"/>
  <c r="P1630" i="13"/>
  <c r="A1630" i="13"/>
  <c r="S1629" i="13"/>
  <c r="R1629" i="13"/>
  <c r="Q1629" i="13"/>
  <c r="P1629" i="13"/>
  <c r="A1629" i="13"/>
  <c r="S1628" i="13"/>
  <c r="R1628" i="13"/>
  <c r="Q1628" i="13"/>
  <c r="P1628" i="13"/>
  <c r="A1628" i="13"/>
  <c r="S1627" i="13"/>
  <c r="R1627" i="13"/>
  <c r="Q1627" i="13"/>
  <c r="P1627" i="13"/>
  <c r="A1627" i="13"/>
  <c r="S1626" i="13"/>
  <c r="R1626" i="13"/>
  <c r="Q1626" i="13"/>
  <c r="P1626" i="13"/>
  <c r="A1626" i="13"/>
  <c r="S1625" i="13"/>
  <c r="R1625" i="13"/>
  <c r="Q1625" i="13"/>
  <c r="P1625" i="13"/>
  <c r="A1625" i="13"/>
  <c r="S1624" i="13"/>
  <c r="R1624" i="13"/>
  <c r="Q1624" i="13"/>
  <c r="P1624" i="13"/>
  <c r="A1624" i="13"/>
  <c r="S1623" i="13"/>
  <c r="R1623" i="13"/>
  <c r="Q1623" i="13"/>
  <c r="P1623" i="13"/>
  <c r="A1623" i="13"/>
  <c r="S1622" i="13"/>
  <c r="R1622" i="13"/>
  <c r="Q1622" i="13"/>
  <c r="P1622" i="13"/>
  <c r="A1622" i="13"/>
  <c r="S1621" i="13"/>
  <c r="R1621" i="13"/>
  <c r="Q1621" i="13"/>
  <c r="P1621" i="13"/>
  <c r="A1621" i="13"/>
  <c r="S1620" i="13"/>
  <c r="R1620" i="13"/>
  <c r="Q1620" i="13"/>
  <c r="P1620" i="13"/>
  <c r="A1620" i="13"/>
  <c r="S1619" i="13"/>
  <c r="R1619" i="13"/>
  <c r="Q1619" i="13"/>
  <c r="P1619" i="13"/>
  <c r="A1619" i="13"/>
  <c r="S1618" i="13"/>
  <c r="R1618" i="13"/>
  <c r="Q1618" i="13"/>
  <c r="P1618" i="13"/>
  <c r="A1618" i="13"/>
  <c r="S1617" i="13"/>
  <c r="R1617" i="13"/>
  <c r="Q1617" i="13"/>
  <c r="P1617" i="13"/>
  <c r="A1617" i="13"/>
  <c r="S1616" i="13"/>
  <c r="R1616" i="13"/>
  <c r="Q1616" i="13"/>
  <c r="P1616" i="13"/>
  <c r="A1616" i="13"/>
  <c r="S1615" i="13"/>
  <c r="R1615" i="13"/>
  <c r="Q1615" i="13"/>
  <c r="P1615" i="13"/>
  <c r="A1615" i="13"/>
  <c r="S1614" i="13"/>
  <c r="R1614" i="13"/>
  <c r="Q1614" i="13"/>
  <c r="P1614" i="13"/>
  <c r="A1614" i="13"/>
  <c r="S1613" i="13"/>
  <c r="R1613" i="13"/>
  <c r="Q1613" i="13"/>
  <c r="P1613" i="13"/>
  <c r="A1613" i="13"/>
  <c r="S1612" i="13"/>
  <c r="R1612" i="13"/>
  <c r="Q1612" i="13"/>
  <c r="P1612" i="13"/>
  <c r="A1612" i="13"/>
  <c r="S1611" i="13"/>
  <c r="R1611" i="13"/>
  <c r="Q1611" i="13"/>
  <c r="P1611" i="13"/>
  <c r="A1611" i="13"/>
  <c r="S1610" i="13"/>
  <c r="R1610" i="13"/>
  <c r="Q1610" i="13"/>
  <c r="P1610" i="13"/>
  <c r="A1610" i="13"/>
  <c r="S1609" i="13"/>
  <c r="R1609" i="13"/>
  <c r="Q1609" i="13"/>
  <c r="P1609" i="13"/>
  <c r="A1609" i="13"/>
  <c r="S1608" i="13"/>
  <c r="R1608" i="13"/>
  <c r="Q1608" i="13"/>
  <c r="P1608" i="13"/>
  <c r="A1608" i="13"/>
  <c r="S1607" i="13"/>
  <c r="R1607" i="13"/>
  <c r="Q1607" i="13"/>
  <c r="P1607" i="13"/>
  <c r="A1607" i="13"/>
  <c r="S1606" i="13"/>
  <c r="R1606" i="13"/>
  <c r="Q1606" i="13"/>
  <c r="P1606" i="13"/>
  <c r="A1606" i="13"/>
  <c r="S1605" i="13"/>
  <c r="R1605" i="13"/>
  <c r="Q1605" i="13"/>
  <c r="P1605" i="13"/>
  <c r="A1605" i="13"/>
  <c r="S1604" i="13"/>
  <c r="R1604" i="13"/>
  <c r="Q1604" i="13"/>
  <c r="P1604" i="13"/>
  <c r="A1604" i="13"/>
  <c r="S1603" i="13"/>
  <c r="R1603" i="13"/>
  <c r="Q1603" i="13"/>
  <c r="P1603" i="13"/>
  <c r="A1603" i="13"/>
  <c r="S1602" i="13"/>
  <c r="R1602" i="13"/>
  <c r="Q1602" i="13"/>
  <c r="P1602" i="13"/>
  <c r="A1602" i="13"/>
  <c r="S1601" i="13"/>
  <c r="R1601" i="13"/>
  <c r="Q1601" i="13"/>
  <c r="P1601" i="13"/>
  <c r="A1601" i="13"/>
  <c r="S1600" i="13"/>
  <c r="R1600" i="13"/>
  <c r="Q1600" i="13"/>
  <c r="P1600" i="13"/>
  <c r="A1600" i="13"/>
  <c r="S1599" i="13"/>
  <c r="R1599" i="13"/>
  <c r="Q1599" i="13"/>
  <c r="P1599" i="13"/>
  <c r="A1599" i="13"/>
  <c r="S1598" i="13"/>
  <c r="R1598" i="13"/>
  <c r="Q1598" i="13"/>
  <c r="P1598" i="13"/>
  <c r="A1598" i="13"/>
  <c r="S1597" i="13"/>
  <c r="R1597" i="13"/>
  <c r="Q1597" i="13"/>
  <c r="P1597" i="13"/>
  <c r="A1597" i="13"/>
  <c r="S1596" i="13"/>
  <c r="R1596" i="13"/>
  <c r="Q1596" i="13"/>
  <c r="P1596" i="13"/>
  <c r="A1596" i="13"/>
  <c r="S1595" i="13"/>
  <c r="R1595" i="13"/>
  <c r="Q1595" i="13"/>
  <c r="P1595" i="13"/>
  <c r="A1595" i="13"/>
  <c r="S1594" i="13"/>
  <c r="R1594" i="13"/>
  <c r="Q1594" i="13"/>
  <c r="P1594" i="13"/>
  <c r="A1594" i="13"/>
  <c r="S1593" i="13"/>
  <c r="R1593" i="13"/>
  <c r="Q1593" i="13"/>
  <c r="P1593" i="13"/>
  <c r="A1593" i="13"/>
  <c r="S1592" i="13"/>
  <c r="R1592" i="13"/>
  <c r="Q1592" i="13"/>
  <c r="P1592" i="13"/>
  <c r="A1592" i="13"/>
  <c r="S1591" i="13"/>
  <c r="R1591" i="13"/>
  <c r="Q1591" i="13"/>
  <c r="P1591" i="13"/>
  <c r="A1591" i="13"/>
  <c r="S1590" i="13"/>
  <c r="R1590" i="13"/>
  <c r="Q1590" i="13"/>
  <c r="P1590" i="13"/>
  <c r="A1590" i="13"/>
  <c r="S1589" i="13"/>
  <c r="R1589" i="13"/>
  <c r="Q1589" i="13"/>
  <c r="P1589" i="13"/>
  <c r="A1589" i="13"/>
  <c r="S1588" i="13"/>
  <c r="R1588" i="13"/>
  <c r="Q1588" i="13"/>
  <c r="P1588" i="13"/>
  <c r="A1588" i="13"/>
  <c r="S1587" i="13"/>
  <c r="R1587" i="13"/>
  <c r="Q1587" i="13"/>
  <c r="P1587" i="13"/>
  <c r="A1587" i="13"/>
  <c r="S1586" i="13"/>
  <c r="R1586" i="13"/>
  <c r="Q1586" i="13"/>
  <c r="P1586" i="13"/>
  <c r="A1586" i="13"/>
  <c r="S1585" i="13"/>
  <c r="R1585" i="13"/>
  <c r="Q1585" i="13"/>
  <c r="P1585" i="13"/>
  <c r="A1585" i="13"/>
  <c r="S1584" i="13"/>
  <c r="R1584" i="13"/>
  <c r="Q1584" i="13"/>
  <c r="P1584" i="13"/>
  <c r="A1584" i="13"/>
  <c r="S1583" i="13"/>
  <c r="R1583" i="13"/>
  <c r="Q1583" i="13"/>
  <c r="P1583" i="13"/>
  <c r="A1583" i="13"/>
  <c r="S1582" i="13"/>
  <c r="R1582" i="13"/>
  <c r="Q1582" i="13"/>
  <c r="P1582" i="13"/>
  <c r="A1582" i="13"/>
  <c r="S1581" i="13"/>
  <c r="R1581" i="13"/>
  <c r="Q1581" i="13"/>
  <c r="P1581" i="13"/>
  <c r="A1581" i="13"/>
  <c r="S1580" i="13"/>
  <c r="R1580" i="13"/>
  <c r="Q1580" i="13"/>
  <c r="P1580" i="13"/>
  <c r="A1580" i="13"/>
  <c r="S1579" i="13"/>
  <c r="R1579" i="13"/>
  <c r="Q1579" i="13"/>
  <c r="P1579" i="13"/>
  <c r="A1579" i="13"/>
  <c r="S1578" i="13"/>
  <c r="R1578" i="13"/>
  <c r="Q1578" i="13"/>
  <c r="P1578" i="13"/>
  <c r="A1578" i="13"/>
  <c r="S1577" i="13"/>
  <c r="R1577" i="13"/>
  <c r="Q1577" i="13"/>
  <c r="P1577" i="13"/>
  <c r="A1577" i="13"/>
  <c r="S1576" i="13"/>
  <c r="R1576" i="13"/>
  <c r="Q1576" i="13"/>
  <c r="P1576" i="13"/>
  <c r="A1576" i="13"/>
  <c r="S1575" i="13"/>
  <c r="R1575" i="13"/>
  <c r="Q1575" i="13"/>
  <c r="P1575" i="13"/>
  <c r="A1575" i="13"/>
  <c r="S1574" i="13"/>
  <c r="R1574" i="13"/>
  <c r="Q1574" i="13"/>
  <c r="P1574" i="13"/>
  <c r="A1574" i="13"/>
  <c r="S1573" i="13"/>
  <c r="R1573" i="13"/>
  <c r="Q1573" i="13"/>
  <c r="P1573" i="13"/>
  <c r="A1573" i="13"/>
  <c r="S1572" i="13"/>
  <c r="R1572" i="13"/>
  <c r="Q1572" i="13"/>
  <c r="P1572" i="13"/>
  <c r="A1572" i="13"/>
  <c r="S1571" i="13"/>
  <c r="R1571" i="13"/>
  <c r="Q1571" i="13"/>
  <c r="P1571" i="13"/>
  <c r="A1571" i="13"/>
  <c r="S1570" i="13"/>
  <c r="R1570" i="13"/>
  <c r="Q1570" i="13"/>
  <c r="P1570" i="13"/>
  <c r="A1570" i="13"/>
  <c r="S1569" i="13"/>
  <c r="R1569" i="13"/>
  <c r="Q1569" i="13"/>
  <c r="P1569" i="13"/>
  <c r="A1569" i="13"/>
  <c r="S1568" i="13"/>
  <c r="R1568" i="13"/>
  <c r="Q1568" i="13"/>
  <c r="P1568" i="13"/>
  <c r="A1568" i="13"/>
  <c r="S1567" i="13"/>
  <c r="R1567" i="13"/>
  <c r="Q1567" i="13"/>
  <c r="P1567" i="13"/>
  <c r="A1567" i="13"/>
  <c r="S1566" i="13"/>
  <c r="R1566" i="13"/>
  <c r="Q1566" i="13"/>
  <c r="P1566" i="13"/>
  <c r="A1566" i="13"/>
  <c r="S1565" i="13"/>
  <c r="R1565" i="13"/>
  <c r="Q1565" i="13"/>
  <c r="P1565" i="13"/>
  <c r="A1565" i="13"/>
  <c r="S1564" i="13"/>
  <c r="R1564" i="13"/>
  <c r="Q1564" i="13"/>
  <c r="P1564" i="13"/>
  <c r="A1564" i="13"/>
  <c r="S1563" i="13"/>
  <c r="R1563" i="13"/>
  <c r="Q1563" i="13"/>
  <c r="P1563" i="13"/>
  <c r="A1563" i="13"/>
  <c r="S1562" i="13"/>
  <c r="R1562" i="13"/>
  <c r="Q1562" i="13"/>
  <c r="P1562" i="13"/>
  <c r="A1562" i="13"/>
  <c r="S1561" i="13"/>
  <c r="R1561" i="13"/>
  <c r="Q1561" i="13"/>
  <c r="P1561" i="13"/>
  <c r="A1561" i="13"/>
  <c r="S1560" i="13"/>
  <c r="R1560" i="13"/>
  <c r="Q1560" i="13"/>
  <c r="P1560" i="13"/>
  <c r="A1560" i="13"/>
  <c r="S1559" i="13"/>
  <c r="R1559" i="13"/>
  <c r="Q1559" i="13"/>
  <c r="P1559" i="13"/>
  <c r="A1559" i="13"/>
  <c r="S1558" i="13"/>
  <c r="R1558" i="13"/>
  <c r="Q1558" i="13"/>
  <c r="P1558" i="13"/>
  <c r="A1558" i="13"/>
  <c r="S1557" i="13"/>
  <c r="R1557" i="13"/>
  <c r="Q1557" i="13"/>
  <c r="P1557" i="13"/>
  <c r="A1557" i="13"/>
  <c r="S1556" i="13"/>
  <c r="R1556" i="13"/>
  <c r="Q1556" i="13"/>
  <c r="P1556" i="13"/>
  <c r="A1556" i="13"/>
  <c r="S1555" i="13"/>
  <c r="R1555" i="13"/>
  <c r="Q1555" i="13"/>
  <c r="P1555" i="13"/>
  <c r="A1555" i="13"/>
  <c r="S1554" i="13"/>
  <c r="R1554" i="13"/>
  <c r="Q1554" i="13"/>
  <c r="P1554" i="13"/>
  <c r="A1554" i="13"/>
  <c r="S1553" i="13"/>
  <c r="R1553" i="13"/>
  <c r="Q1553" i="13"/>
  <c r="P1553" i="13"/>
  <c r="A1553" i="13"/>
  <c r="S1552" i="13"/>
  <c r="R1552" i="13"/>
  <c r="Q1552" i="13"/>
  <c r="P1552" i="13"/>
  <c r="A1552" i="13"/>
  <c r="S1551" i="13"/>
  <c r="R1551" i="13"/>
  <c r="Q1551" i="13"/>
  <c r="P1551" i="13"/>
  <c r="A1551" i="13"/>
  <c r="S1550" i="13"/>
  <c r="R1550" i="13"/>
  <c r="Q1550" i="13"/>
  <c r="P1550" i="13"/>
  <c r="A1550" i="13"/>
  <c r="S1549" i="13"/>
  <c r="R1549" i="13"/>
  <c r="Q1549" i="13"/>
  <c r="P1549" i="13"/>
  <c r="A1549" i="13"/>
  <c r="S1548" i="13"/>
  <c r="R1548" i="13"/>
  <c r="Q1548" i="13"/>
  <c r="P1548" i="13"/>
  <c r="A1548" i="13"/>
  <c r="S1547" i="13"/>
  <c r="R1547" i="13"/>
  <c r="Q1547" i="13"/>
  <c r="P1547" i="13"/>
  <c r="A1547" i="13"/>
  <c r="S1546" i="13"/>
  <c r="R1546" i="13"/>
  <c r="Q1546" i="13"/>
  <c r="P1546" i="13"/>
  <c r="A1546" i="13"/>
  <c r="S1545" i="13"/>
  <c r="R1545" i="13"/>
  <c r="Q1545" i="13"/>
  <c r="P1545" i="13"/>
  <c r="A1545" i="13"/>
  <c r="S1544" i="13"/>
  <c r="R1544" i="13"/>
  <c r="Q1544" i="13"/>
  <c r="P1544" i="13"/>
  <c r="A1544" i="13"/>
  <c r="S1543" i="13"/>
  <c r="R1543" i="13"/>
  <c r="Q1543" i="13"/>
  <c r="P1543" i="13"/>
  <c r="A1543" i="13"/>
  <c r="S1542" i="13"/>
  <c r="R1542" i="13"/>
  <c r="Q1542" i="13"/>
  <c r="P1542" i="13"/>
  <c r="A1542" i="13"/>
  <c r="S1541" i="13"/>
  <c r="R1541" i="13"/>
  <c r="Q1541" i="13"/>
  <c r="P1541" i="13"/>
  <c r="A1541" i="13"/>
  <c r="S1540" i="13"/>
  <c r="R1540" i="13"/>
  <c r="Q1540" i="13"/>
  <c r="P1540" i="13"/>
  <c r="A1540" i="13"/>
  <c r="S1539" i="13"/>
  <c r="R1539" i="13"/>
  <c r="Q1539" i="13"/>
  <c r="P1539" i="13"/>
  <c r="A1539" i="13"/>
  <c r="S1538" i="13"/>
  <c r="R1538" i="13"/>
  <c r="Q1538" i="13"/>
  <c r="P1538" i="13"/>
  <c r="A1538" i="13"/>
  <c r="S1537" i="13"/>
  <c r="R1537" i="13"/>
  <c r="Q1537" i="13"/>
  <c r="P1537" i="13"/>
  <c r="A1537" i="13"/>
  <c r="S1536" i="13"/>
  <c r="R1536" i="13"/>
  <c r="Q1536" i="13"/>
  <c r="P1536" i="13"/>
  <c r="A1536" i="13"/>
  <c r="S1535" i="13"/>
  <c r="R1535" i="13"/>
  <c r="Q1535" i="13"/>
  <c r="P1535" i="13"/>
  <c r="A1535" i="13"/>
  <c r="S1534" i="13"/>
  <c r="R1534" i="13"/>
  <c r="Q1534" i="13"/>
  <c r="P1534" i="13"/>
  <c r="A1534" i="13"/>
  <c r="S1533" i="13"/>
  <c r="R1533" i="13"/>
  <c r="Q1533" i="13"/>
  <c r="P1533" i="13"/>
  <c r="A1533" i="13"/>
  <c r="S1532" i="13"/>
  <c r="R1532" i="13"/>
  <c r="Q1532" i="13"/>
  <c r="P1532" i="13"/>
  <c r="A1532" i="13"/>
  <c r="S1531" i="13"/>
  <c r="R1531" i="13"/>
  <c r="Q1531" i="13"/>
  <c r="P1531" i="13"/>
  <c r="A1531" i="13"/>
  <c r="S1530" i="13"/>
  <c r="R1530" i="13"/>
  <c r="Q1530" i="13"/>
  <c r="P1530" i="13"/>
  <c r="A1530" i="13"/>
  <c r="S1529" i="13"/>
  <c r="R1529" i="13"/>
  <c r="Q1529" i="13"/>
  <c r="P1529" i="13"/>
  <c r="A1529" i="13"/>
  <c r="S1528" i="13"/>
  <c r="R1528" i="13"/>
  <c r="Q1528" i="13"/>
  <c r="P1528" i="13"/>
  <c r="A1528" i="13"/>
  <c r="S1527" i="13"/>
  <c r="R1527" i="13"/>
  <c r="Q1527" i="13"/>
  <c r="P1527" i="13"/>
  <c r="A1527" i="13"/>
  <c r="S1526" i="13"/>
  <c r="R1526" i="13"/>
  <c r="Q1526" i="13"/>
  <c r="P1526" i="13"/>
  <c r="A1526" i="13"/>
  <c r="S1525" i="13"/>
  <c r="R1525" i="13"/>
  <c r="Q1525" i="13"/>
  <c r="P1525" i="13"/>
  <c r="A1525" i="13"/>
  <c r="S1524" i="13"/>
  <c r="R1524" i="13"/>
  <c r="Q1524" i="13"/>
  <c r="P1524" i="13"/>
  <c r="A1524" i="13"/>
  <c r="S1523" i="13"/>
  <c r="R1523" i="13"/>
  <c r="Q1523" i="13"/>
  <c r="P1523" i="13"/>
  <c r="A1523" i="13"/>
  <c r="S1522" i="13"/>
  <c r="R1522" i="13"/>
  <c r="Q1522" i="13"/>
  <c r="P1522" i="13"/>
  <c r="A1522" i="13"/>
  <c r="S1521" i="13"/>
  <c r="R1521" i="13"/>
  <c r="Q1521" i="13"/>
  <c r="P1521" i="13"/>
  <c r="A1521" i="13"/>
  <c r="S1520" i="13"/>
  <c r="R1520" i="13"/>
  <c r="Q1520" i="13"/>
  <c r="P1520" i="13"/>
  <c r="A1520" i="13"/>
  <c r="S1519" i="13"/>
  <c r="R1519" i="13"/>
  <c r="Q1519" i="13"/>
  <c r="P1519" i="13"/>
  <c r="A1519" i="13"/>
  <c r="S1518" i="13"/>
  <c r="R1518" i="13"/>
  <c r="Q1518" i="13"/>
  <c r="P1518" i="13"/>
  <c r="A1518" i="13"/>
  <c r="S1517" i="13"/>
  <c r="R1517" i="13"/>
  <c r="Q1517" i="13"/>
  <c r="P1517" i="13"/>
  <c r="A1517" i="13"/>
  <c r="S1516" i="13"/>
  <c r="R1516" i="13"/>
  <c r="Q1516" i="13"/>
  <c r="P1516" i="13"/>
  <c r="A1516" i="13"/>
  <c r="S1515" i="13"/>
  <c r="R1515" i="13"/>
  <c r="Q1515" i="13"/>
  <c r="P1515" i="13"/>
  <c r="A1515" i="13"/>
  <c r="S1514" i="13"/>
  <c r="R1514" i="13"/>
  <c r="Q1514" i="13"/>
  <c r="P1514" i="13"/>
  <c r="A1514" i="13"/>
  <c r="S1513" i="13"/>
  <c r="R1513" i="13"/>
  <c r="Q1513" i="13"/>
  <c r="P1513" i="13"/>
  <c r="A1513" i="13"/>
  <c r="S1512" i="13"/>
  <c r="R1512" i="13"/>
  <c r="Q1512" i="13"/>
  <c r="P1512" i="13"/>
  <c r="A1512" i="13"/>
  <c r="S1511" i="13"/>
  <c r="R1511" i="13"/>
  <c r="Q1511" i="13"/>
  <c r="P1511" i="13"/>
  <c r="A1511" i="13"/>
  <c r="S1510" i="13"/>
  <c r="R1510" i="13"/>
  <c r="Q1510" i="13"/>
  <c r="P1510" i="13"/>
  <c r="A1510" i="13"/>
  <c r="S1509" i="13"/>
  <c r="R1509" i="13"/>
  <c r="Q1509" i="13"/>
  <c r="P1509" i="13"/>
  <c r="A1509" i="13"/>
  <c r="S1508" i="13"/>
  <c r="R1508" i="13"/>
  <c r="Q1508" i="13"/>
  <c r="P1508" i="13"/>
  <c r="A1508" i="13"/>
  <c r="S1507" i="13"/>
  <c r="R1507" i="13"/>
  <c r="Q1507" i="13"/>
  <c r="P1507" i="13"/>
  <c r="A1507" i="13"/>
  <c r="S1506" i="13"/>
  <c r="R1506" i="13"/>
  <c r="Q1506" i="13"/>
  <c r="P1506" i="13"/>
  <c r="A1506" i="13"/>
  <c r="S1505" i="13"/>
  <c r="R1505" i="13"/>
  <c r="Q1505" i="13"/>
  <c r="P1505" i="13"/>
  <c r="A1505" i="13"/>
  <c r="S1504" i="13"/>
  <c r="R1504" i="13"/>
  <c r="Q1504" i="13"/>
  <c r="P1504" i="13"/>
  <c r="A1504" i="13"/>
  <c r="S1503" i="13"/>
  <c r="R1503" i="13"/>
  <c r="Q1503" i="13"/>
  <c r="P1503" i="13"/>
  <c r="A1503" i="13"/>
  <c r="S1502" i="13"/>
  <c r="R1502" i="13"/>
  <c r="Q1502" i="13"/>
  <c r="P1502" i="13"/>
  <c r="A1502" i="13"/>
  <c r="S1501" i="13"/>
  <c r="R1501" i="13"/>
  <c r="Q1501" i="13"/>
  <c r="P1501" i="13"/>
  <c r="A1501" i="13"/>
  <c r="S1500" i="13"/>
  <c r="R1500" i="13"/>
  <c r="Q1500" i="13"/>
  <c r="P1500" i="13"/>
  <c r="A1500" i="13"/>
  <c r="S1499" i="13"/>
  <c r="R1499" i="13"/>
  <c r="Q1499" i="13"/>
  <c r="P1499" i="13"/>
  <c r="A1499" i="13"/>
  <c r="S1498" i="13"/>
  <c r="R1498" i="13"/>
  <c r="Q1498" i="13"/>
  <c r="P1498" i="13"/>
  <c r="A1498" i="13"/>
  <c r="S1497" i="13"/>
  <c r="R1497" i="13"/>
  <c r="Q1497" i="13"/>
  <c r="P1497" i="13"/>
  <c r="A1497" i="13"/>
  <c r="S1496" i="13"/>
  <c r="R1496" i="13"/>
  <c r="Q1496" i="13"/>
  <c r="P1496" i="13"/>
  <c r="A1496" i="13"/>
  <c r="S1495" i="13"/>
  <c r="R1495" i="13"/>
  <c r="Q1495" i="13"/>
  <c r="P1495" i="13"/>
  <c r="A1495" i="13"/>
  <c r="S1494" i="13"/>
  <c r="R1494" i="13"/>
  <c r="Q1494" i="13"/>
  <c r="P1494" i="13"/>
  <c r="A1494" i="13"/>
  <c r="S1493" i="13"/>
  <c r="R1493" i="13"/>
  <c r="Q1493" i="13"/>
  <c r="P1493" i="13"/>
  <c r="A1493" i="13"/>
  <c r="S1492" i="13"/>
  <c r="R1492" i="13"/>
  <c r="Q1492" i="13"/>
  <c r="P1492" i="13"/>
  <c r="A1492" i="13"/>
  <c r="S1491" i="13"/>
  <c r="R1491" i="13"/>
  <c r="Q1491" i="13"/>
  <c r="P1491" i="13"/>
  <c r="A1491" i="13"/>
  <c r="S1490" i="13"/>
  <c r="R1490" i="13"/>
  <c r="Q1490" i="13"/>
  <c r="P1490" i="13"/>
  <c r="A1490" i="13"/>
  <c r="S1489" i="13"/>
  <c r="R1489" i="13"/>
  <c r="Q1489" i="13"/>
  <c r="P1489" i="13"/>
  <c r="A1489" i="13"/>
  <c r="S1488" i="13"/>
  <c r="R1488" i="13"/>
  <c r="Q1488" i="13"/>
  <c r="P1488" i="13"/>
  <c r="A1488" i="13"/>
  <c r="S1487" i="13"/>
  <c r="R1487" i="13"/>
  <c r="Q1487" i="13"/>
  <c r="P1487" i="13"/>
  <c r="A1487" i="13"/>
  <c r="S1486" i="13"/>
  <c r="R1486" i="13"/>
  <c r="Q1486" i="13"/>
  <c r="P1486" i="13"/>
  <c r="A1486" i="13"/>
  <c r="S1485" i="13"/>
  <c r="R1485" i="13"/>
  <c r="Q1485" i="13"/>
  <c r="P1485" i="13"/>
  <c r="A1485" i="13"/>
  <c r="S1484" i="13"/>
  <c r="R1484" i="13"/>
  <c r="Q1484" i="13"/>
  <c r="P1484" i="13"/>
  <c r="A1484" i="13"/>
  <c r="S1483" i="13"/>
  <c r="R1483" i="13"/>
  <c r="Q1483" i="13"/>
  <c r="P1483" i="13"/>
  <c r="A1483" i="13"/>
  <c r="S1482" i="13"/>
  <c r="R1482" i="13"/>
  <c r="Q1482" i="13"/>
  <c r="P1482" i="13"/>
  <c r="A1482" i="13"/>
  <c r="S1481" i="13"/>
  <c r="R1481" i="13"/>
  <c r="Q1481" i="13"/>
  <c r="P1481" i="13"/>
  <c r="A1481" i="13"/>
  <c r="S1480" i="13"/>
  <c r="R1480" i="13"/>
  <c r="Q1480" i="13"/>
  <c r="P1480" i="13"/>
  <c r="A1480" i="13"/>
  <c r="S1479" i="13"/>
  <c r="R1479" i="13"/>
  <c r="Q1479" i="13"/>
  <c r="P1479" i="13"/>
  <c r="A1479" i="13"/>
  <c r="S1478" i="13"/>
  <c r="R1478" i="13"/>
  <c r="Q1478" i="13"/>
  <c r="P1478" i="13"/>
  <c r="A1478" i="13"/>
  <c r="S1477" i="13"/>
  <c r="R1477" i="13"/>
  <c r="Q1477" i="13"/>
  <c r="P1477" i="13"/>
  <c r="A1477" i="13"/>
  <c r="S1476" i="13"/>
  <c r="R1476" i="13"/>
  <c r="Q1476" i="13"/>
  <c r="P1476" i="13"/>
  <c r="A1476" i="13"/>
  <c r="S1475" i="13"/>
  <c r="R1475" i="13"/>
  <c r="Q1475" i="13"/>
  <c r="P1475" i="13"/>
  <c r="A1475" i="13"/>
  <c r="S1474" i="13"/>
  <c r="R1474" i="13"/>
  <c r="Q1474" i="13"/>
  <c r="P1474" i="13"/>
  <c r="A1474" i="13"/>
  <c r="S1473" i="13"/>
  <c r="R1473" i="13"/>
  <c r="Q1473" i="13"/>
  <c r="P1473" i="13"/>
  <c r="A1473" i="13"/>
  <c r="S1472" i="13"/>
  <c r="R1472" i="13"/>
  <c r="Q1472" i="13"/>
  <c r="P1472" i="13"/>
  <c r="A1472" i="13"/>
  <c r="S1471" i="13"/>
  <c r="R1471" i="13"/>
  <c r="Q1471" i="13"/>
  <c r="P1471" i="13"/>
  <c r="A1471" i="13"/>
  <c r="S1470" i="13"/>
  <c r="R1470" i="13"/>
  <c r="Q1470" i="13"/>
  <c r="P1470" i="13"/>
  <c r="A1470" i="13"/>
  <c r="S1469" i="13"/>
  <c r="R1469" i="13"/>
  <c r="Q1469" i="13"/>
  <c r="P1469" i="13"/>
  <c r="A1469" i="13"/>
  <c r="S1468" i="13"/>
  <c r="R1468" i="13"/>
  <c r="Q1468" i="13"/>
  <c r="P1468" i="13"/>
  <c r="A1468" i="13"/>
  <c r="S1467" i="13"/>
  <c r="R1467" i="13"/>
  <c r="Q1467" i="13"/>
  <c r="P1467" i="13"/>
  <c r="A1467" i="13"/>
  <c r="S1466" i="13"/>
  <c r="R1466" i="13"/>
  <c r="Q1466" i="13"/>
  <c r="P1466" i="13"/>
  <c r="A1466" i="13"/>
  <c r="S1465" i="13"/>
  <c r="R1465" i="13"/>
  <c r="Q1465" i="13"/>
  <c r="P1465" i="13"/>
  <c r="A1465" i="13"/>
  <c r="S1464" i="13"/>
  <c r="R1464" i="13"/>
  <c r="Q1464" i="13"/>
  <c r="P1464" i="13"/>
  <c r="A1464" i="13"/>
  <c r="S1463" i="13"/>
  <c r="R1463" i="13"/>
  <c r="Q1463" i="13"/>
  <c r="P1463" i="13"/>
  <c r="A1463" i="13"/>
  <c r="S1462" i="13"/>
  <c r="R1462" i="13"/>
  <c r="Q1462" i="13"/>
  <c r="P1462" i="13"/>
  <c r="A1462" i="13"/>
  <c r="S1461" i="13"/>
  <c r="R1461" i="13"/>
  <c r="Q1461" i="13"/>
  <c r="P1461" i="13"/>
  <c r="A1461" i="13"/>
  <c r="S1460" i="13"/>
  <c r="R1460" i="13"/>
  <c r="Q1460" i="13"/>
  <c r="P1460" i="13"/>
  <c r="A1460" i="13"/>
  <c r="S1459" i="13"/>
  <c r="R1459" i="13"/>
  <c r="Q1459" i="13"/>
  <c r="P1459" i="13"/>
  <c r="A1459" i="13"/>
  <c r="S1458" i="13"/>
  <c r="R1458" i="13"/>
  <c r="Q1458" i="13"/>
  <c r="P1458" i="13"/>
  <c r="A1458" i="13"/>
  <c r="S1457" i="13"/>
  <c r="R1457" i="13"/>
  <c r="Q1457" i="13"/>
  <c r="P1457" i="13"/>
  <c r="A1457" i="13"/>
  <c r="S1456" i="13"/>
  <c r="R1456" i="13"/>
  <c r="Q1456" i="13"/>
  <c r="P1456" i="13"/>
  <c r="A1456" i="13"/>
  <c r="S1455" i="13"/>
  <c r="R1455" i="13"/>
  <c r="Q1455" i="13"/>
  <c r="P1455" i="13"/>
  <c r="A1455" i="13"/>
  <c r="S1454" i="13"/>
  <c r="R1454" i="13"/>
  <c r="Q1454" i="13"/>
  <c r="P1454" i="13"/>
  <c r="A1454" i="13"/>
  <c r="S1453" i="13"/>
  <c r="R1453" i="13"/>
  <c r="Q1453" i="13"/>
  <c r="P1453" i="13"/>
  <c r="A1453" i="13"/>
  <c r="S1452" i="13"/>
  <c r="R1452" i="13"/>
  <c r="Q1452" i="13"/>
  <c r="P1452" i="13"/>
  <c r="A1452" i="13"/>
  <c r="S1451" i="13"/>
  <c r="R1451" i="13"/>
  <c r="Q1451" i="13"/>
  <c r="P1451" i="13"/>
  <c r="A1451" i="13"/>
  <c r="S1450" i="13"/>
  <c r="R1450" i="13"/>
  <c r="Q1450" i="13"/>
  <c r="P1450" i="13"/>
  <c r="A1450" i="13"/>
  <c r="S1449" i="13"/>
  <c r="R1449" i="13"/>
  <c r="Q1449" i="13"/>
  <c r="P1449" i="13"/>
  <c r="A1449" i="13"/>
  <c r="S1448" i="13"/>
  <c r="R1448" i="13"/>
  <c r="Q1448" i="13"/>
  <c r="P1448" i="13"/>
  <c r="A1448" i="13"/>
  <c r="S1447" i="13"/>
  <c r="R1447" i="13"/>
  <c r="Q1447" i="13"/>
  <c r="P1447" i="13"/>
  <c r="A1447" i="13"/>
  <c r="S1446" i="13"/>
  <c r="R1446" i="13"/>
  <c r="Q1446" i="13"/>
  <c r="P1446" i="13"/>
  <c r="A1446" i="13"/>
  <c r="S1445" i="13"/>
  <c r="R1445" i="13"/>
  <c r="Q1445" i="13"/>
  <c r="P1445" i="13"/>
  <c r="A1445" i="13"/>
  <c r="S1444" i="13"/>
  <c r="R1444" i="13"/>
  <c r="Q1444" i="13"/>
  <c r="P1444" i="13"/>
  <c r="A1444" i="13"/>
  <c r="S1443" i="13"/>
  <c r="R1443" i="13"/>
  <c r="Q1443" i="13"/>
  <c r="P1443" i="13"/>
  <c r="A1443" i="13"/>
  <c r="S1442" i="13"/>
  <c r="R1442" i="13"/>
  <c r="Q1442" i="13"/>
  <c r="P1442" i="13"/>
  <c r="A1442" i="13"/>
  <c r="S1441" i="13"/>
  <c r="R1441" i="13"/>
  <c r="Q1441" i="13"/>
  <c r="P1441" i="13"/>
  <c r="A1441" i="13"/>
  <c r="S1440" i="13"/>
  <c r="R1440" i="13"/>
  <c r="Q1440" i="13"/>
  <c r="P1440" i="13"/>
  <c r="A1440" i="13"/>
  <c r="S1439" i="13"/>
  <c r="R1439" i="13"/>
  <c r="Q1439" i="13"/>
  <c r="P1439" i="13"/>
  <c r="A1439" i="13"/>
  <c r="S1438" i="13"/>
  <c r="R1438" i="13"/>
  <c r="Q1438" i="13"/>
  <c r="P1438" i="13"/>
  <c r="A1438" i="13"/>
  <c r="S1437" i="13"/>
  <c r="R1437" i="13"/>
  <c r="Q1437" i="13"/>
  <c r="P1437" i="13"/>
  <c r="A1437" i="13"/>
  <c r="S1436" i="13"/>
  <c r="R1436" i="13"/>
  <c r="Q1436" i="13"/>
  <c r="P1436" i="13"/>
  <c r="A1436" i="13"/>
  <c r="S1435" i="13"/>
  <c r="R1435" i="13"/>
  <c r="Q1435" i="13"/>
  <c r="P1435" i="13"/>
  <c r="A1435" i="13"/>
  <c r="S1434" i="13"/>
  <c r="R1434" i="13"/>
  <c r="Q1434" i="13"/>
  <c r="P1434" i="13"/>
  <c r="A1434" i="13"/>
  <c r="S1433" i="13"/>
  <c r="R1433" i="13"/>
  <c r="Q1433" i="13"/>
  <c r="P1433" i="13"/>
  <c r="A1433" i="13"/>
  <c r="S1432" i="13"/>
  <c r="R1432" i="13"/>
  <c r="Q1432" i="13"/>
  <c r="P1432" i="13"/>
  <c r="A1432" i="13"/>
  <c r="S1431" i="13"/>
  <c r="R1431" i="13"/>
  <c r="Q1431" i="13"/>
  <c r="P1431" i="13"/>
  <c r="A1431" i="13"/>
  <c r="S1430" i="13"/>
  <c r="R1430" i="13"/>
  <c r="Q1430" i="13"/>
  <c r="P1430" i="13"/>
  <c r="A1430" i="13"/>
  <c r="S1429" i="13"/>
  <c r="R1429" i="13"/>
  <c r="Q1429" i="13"/>
  <c r="P1429" i="13"/>
  <c r="A1429" i="13"/>
  <c r="S1428" i="13"/>
  <c r="R1428" i="13"/>
  <c r="Q1428" i="13"/>
  <c r="P1428" i="13"/>
  <c r="A1428" i="13"/>
  <c r="S1427" i="13"/>
  <c r="R1427" i="13"/>
  <c r="Q1427" i="13"/>
  <c r="P1427" i="13"/>
  <c r="A1427" i="13"/>
  <c r="S1426" i="13"/>
  <c r="R1426" i="13"/>
  <c r="Q1426" i="13"/>
  <c r="P1426" i="13"/>
  <c r="A1426" i="13"/>
  <c r="S1425" i="13"/>
  <c r="R1425" i="13"/>
  <c r="Q1425" i="13"/>
  <c r="P1425" i="13"/>
  <c r="A1425" i="13"/>
  <c r="S1424" i="13"/>
  <c r="R1424" i="13"/>
  <c r="Q1424" i="13"/>
  <c r="P1424" i="13"/>
  <c r="A1424" i="13"/>
  <c r="S1423" i="13"/>
  <c r="R1423" i="13"/>
  <c r="Q1423" i="13"/>
  <c r="P1423" i="13"/>
  <c r="A1423" i="13"/>
  <c r="S1422" i="13"/>
  <c r="R1422" i="13"/>
  <c r="Q1422" i="13"/>
  <c r="P1422" i="13"/>
  <c r="A1422" i="13"/>
  <c r="S1421" i="13"/>
  <c r="R1421" i="13"/>
  <c r="Q1421" i="13"/>
  <c r="P1421" i="13"/>
  <c r="A1421" i="13"/>
  <c r="S1420" i="13"/>
  <c r="R1420" i="13"/>
  <c r="Q1420" i="13"/>
  <c r="P1420" i="13"/>
  <c r="A1420" i="13"/>
  <c r="S1419" i="13"/>
  <c r="R1419" i="13"/>
  <c r="Q1419" i="13"/>
  <c r="P1419" i="13"/>
  <c r="A1419" i="13"/>
  <c r="S1418" i="13"/>
  <c r="R1418" i="13"/>
  <c r="Q1418" i="13"/>
  <c r="P1418" i="13"/>
  <c r="A1418" i="13"/>
  <c r="S1417" i="13"/>
  <c r="R1417" i="13"/>
  <c r="Q1417" i="13"/>
  <c r="P1417" i="13"/>
  <c r="A1417" i="13"/>
  <c r="S1416" i="13"/>
  <c r="R1416" i="13"/>
  <c r="Q1416" i="13"/>
  <c r="P1416" i="13"/>
  <c r="A1416" i="13"/>
  <c r="S1415" i="13"/>
  <c r="R1415" i="13"/>
  <c r="Q1415" i="13"/>
  <c r="P1415" i="13"/>
  <c r="A1415" i="13"/>
  <c r="S1414" i="13"/>
  <c r="R1414" i="13"/>
  <c r="Q1414" i="13"/>
  <c r="P1414" i="13"/>
  <c r="A1414" i="13"/>
  <c r="S1413" i="13"/>
  <c r="R1413" i="13"/>
  <c r="Q1413" i="13"/>
  <c r="P1413" i="13"/>
  <c r="A1413" i="13"/>
  <c r="S1412" i="13"/>
  <c r="R1412" i="13"/>
  <c r="Q1412" i="13"/>
  <c r="P1412" i="13"/>
  <c r="A1412" i="13"/>
  <c r="S1411" i="13"/>
  <c r="R1411" i="13"/>
  <c r="Q1411" i="13"/>
  <c r="P1411" i="13"/>
  <c r="A1411" i="13"/>
  <c r="S1410" i="13"/>
  <c r="R1410" i="13"/>
  <c r="Q1410" i="13"/>
  <c r="P1410" i="13"/>
  <c r="A1410" i="13"/>
  <c r="S1409" i="13"/>
  <c r="R1409" i="13"/>
  <c r="Q1409" i="13"/>
  <c r="P1409" i="13"/>
  <c r="A1409" i="13"/>
  <c r="S1408" i="13"/>
  <c r="R1408" i="13"/>
  <c r="Q1408" i="13"/>
  <c r="P1408" i="13"/>
  <c r="A1408" i="13"/>
  <c r="S1407" i="13"/>
  <c r="R1407" i="13"/>
  <c r="Q1407" i="13"/>
  <c r="P1407" i="13"/>
  <c r="A1407" i="13"/>
  <c r="S1406" i="13"/>
  <c r="R1406" i="13"/>
  <c r="Q1406" i="13"/>
  <c r="P1406" i="13"/>
  <c r="A1406" i="13"/>
  <c r="S1405" i="13"/>
  <c r="R1405" i="13"/>
  <c r="Q1405" i="13"/>
  <c r="P1405" i="13"/>
  <c r="A1405" i="13"/>
  <c r="S1404" i="13"/>
  <c r="R1404" i="13"/>
  <c r="Q1404" i="13"/>
  <c r="P1404" i="13"/>
  <c r="A1404" i="13"/>
  <c r="S1403" i="13"/>
  <c r="R1403" i="13"/>
  <c r="Q1403" i="13"/>
  <c r="P1403" i="13"/>
  <c r="A1403" i="13"/>
  <c r="S1402" i="13"/>
  <c r="R1402" i="13"/>
  <c r="Q1402" i="13"/>
  <c r="P1402" i="13"/>
  <c r="A1402" i="13"/>
  <c r="S1401" i="13"/>
  <c r="R1401" i="13"/>
  <c r="Q1401" i="13"/>
  <c r="P1401" i="13"/>
  <c r="A1401" i="13"/>
  <c r="S1400" i="13"/>
  <c r="R1400" i="13"/>
  <c r="Q1400" i="13"/>
  <c r="P1400" i="13"/>
  <c r="A1400" i="13"/>
  <c r="S1399" i="13"/>
  <c r="R1399" i="13"/>
  <c r="Q1399" i="13"/>
  <c r="P1399" i="13"/>
  <c r="A1399" i="13"/>
  <c r="S1398" i="13"/>
  <c r="R1398" i="13"/>
  <c r="Q1398" i="13"/>
  <c r="P1398" i="13"/>
  <c r="A1398" i="13"/>
  <c r="S1397" i="13"/>
  <c r="R1397" i="13"/>
  <c r="Q1397" i="13"/>
  <c r="P1397" i="13"/>
  <c r="A1397" i="13"/>
  <c r="S1396" i="13"/>
  <c r="R1396" i="13"/>
  <c r="Q1396" i="13"/>
  <c r="P1396" i="13"/>
  <c r="A1396" i="13"/>
  <c r="S1395" i="13"/>
  <c r="R1395" i="13"/>
  <c r="Q1395" i="13"/>
  <c r="P1395" i="13"/>
  <c r="A1395" i="13"/>
  <c r="S1394" i="13"/>
  <c r="R1394" i="13"/>
  <c r="Q1394" i="13"/>
  <c r="P1394" i="13"/>
  <c r="A1394" i="13"/>
  <c r="S1393" i="13"/>
  <c r="R1393" i="13"/>
  <c r="Q1393" i="13"/>
  <c r="P1393" i="13"/>
  <c r="A1393" i="13"/>
  <c r="S1392" i="13"/>
  <c r="R1392" i="13"/>
  <c r="Q1392" i="13"/>
  <c r="P1392" i="13"/>
  <c r="A1392" i="13"/>
  <c r="S1391" i="13"/>
  <c r="R1391" i="13"/>
  <c r="Q1391" i="13"/>
  <c r="P1391" i="13"/>
  <c r="A1391" i="13"/>
  <c r="S1390" i="13"/>
  <c r="R1390" i="13"/>
  <c r="Q1390" i="13"/>
  <c r="P1390" i="13"/>
  <c r="A1390" i="13"/>
  <c r="S1389" i="13"/>
  <c r="R1389" i="13"/>
  <c r="Q1389" i="13"/>
  <c r="P1389" i="13"/>
  <c r="A1389" i="13"/>
  <c r="S1388" i="13"/>
  <c r="R1388" i="13"/>
  <c r="Q1388" i="13"/>
  <c r="P1388" i="13"/>
  <c r="A1388" i="13"/>
  <c r="S1387" i="13"/>
  <c r="R1387" i="13"/>
  <c r="Q1387" i="13"/>
  <c r="P1387" i="13"/>
  <c r="A1387" i="13"/>
  <c r="S1386" i="13"/>
  <c r="R1386" i="13"/>
  <c r="Q1386" i="13"/>
  <c r="P1386" i="13"/>
  <c r="A1386" i="13"/>
  <c r="S1385" i="13"/>
  <c r="R1385" i="13"/>
  <c r="Q1385" i="13"/>
  <c r="P1385" i="13"/>
  <c r="A1385" i="13"/>
  <c r="S1384" i="13"/>
  <c r="R1384" i="13"/>
  <c r="Q1384" i="13"/>
  <c r="P1384" i="13"/>
  <c r="A1384" i="13"/>
  <c r="S1383" i="13"/>
  <c r="R1383" i="13"/>
  <c r="Q1383" i="13"/>
  <c r="P1383" i="13"/>
  <c r="A1383" i="13"/>
  <c r="S1382" i="13"/>
  <c r="R1382" i="13"/>
  <c r="Q1382" i="13"/>
  <c r="P1382" i="13"/>
  <c r="A1382" i="13"/>
  <c r="S1381" i="13"/>
  <c r="R1381" i="13"/>
  <c r="Q1381" i="13"/>
  <c r="P1381" i="13"/>
  <c r="A1381" i="13"/>
  <c r="S1380" i="13"/>
  <c r="R1380" i="13"/>
  <c r="Q1380" i="13"/>
  <c r="P1380" i="13"/>
  <c r="A1380" i="13"/>
  <c r="S1379" i="13"/>
  <c r="R1379" i="13"/>
  <c r="Q1379" i="13"/>
  <c r="P1379" i="13"/>
  <c r="A1379" i="13"/>
  <c r="S1378" i="13"/>
  <c r="R1378" i="13"/>
  <c r="Q1378" i="13"/>
  <c r="P1378" i="13"/>
  <c r="A1378" i="13"/>
  <c r="S1377" i="13"/>
  <c r="R1377" i="13"/>
  <c r="Q1377" i="13"/>
  <c r="P1377" i="13"/>
  <c r="A1377" i="13"/>
  <c r="S1376" i="13"/>
  <c r="R1376" i="13"/>
  <c r="Q1376" i="13"/>
  <c r="P1376" i="13"/>
  <c r="A1376" i="13"/>
  <c r="S1375" i="13"/>
  <c r="R1375" i="13"/>
  <c r="Q1375" i="13"/>
  <c r="P1375" i="13"/>
  <c r="A1375" i="13"/>
  <c r="S1374" i="13"/>
  <c r="R1374" i="13"/>
  <c r="Q1374" i="13"/>
  <c r="P1374" i="13"/>
  <c r="A1374" i="13"/>
  <c r="S1373" i="13"/>
  <c r="R1373" i="13"/>
  <c r="Q1373" i="13"/>
  <c r="P1373" i="13"/>
  <c r="A1373" i="13"/>
  <c r="S1372" i="13"/>
  <c r="R1372" i="13"/>
  <c r="Q1372" i="13"/>
  <c r="P1372" i="13"/>
  <c r="A1372" i="13"/>
  <c r="S1371" i="13"/>
  <c r="R1371" i="13"/>
  <c r="Q1371" i="13"/>
  <c r="P1371" i="13"/>
  <c r="A1371" i="13"/>
  <c r="S1370" i="13"/>
  <c r="R1370" i="13"/>
  <c r="Q1370" i="13"/>
  <c r="P1370" i="13"/>
  <c r="A1370" i="13"/>
  <c r="S1369" i="13"/>
  <c r="R1369" i="13"/>
  <c r="Q1369" i="13"/>
  <c r="P1369" i="13"/>
  <c r="A1369" i="13"/>
  <c r="S1368" i="13"/>
  <c r="R1368" i="13"/>
  <c r="Q1368" i="13"/>
  <c r="P1368" i="13"/>
  <c r="A1368" i="13"/>
  <c r="S1367" i="13"/>
  <c r="R1367" i="13"/>
  <c r="Q1367" i="13"/>
  <c r="P1367" i="13"/>
  <c r="A1367" i="13"/>
  <c r="S1366" i="13"/>
  <c r="R1366" i="13"/>
  <c r="Q1366" i="13"/>
  <c r="P1366" i="13"/>
  <c r="A1366" i="13"/>
  <c r="S1365" i="13"/>
  <c r="R1365" i="13"/>
  <c r="Q1365" i="13"/>
  <c r="P1365" i="13"/>
  <c r="A1365" i="13"/>
  <c r="S1364" i="13"/>
  <c r="R1364" i="13"/>
  <c r="Q1364" i="13"/>
  <c r="P1364" i="13"/>
  <c r="A1364" i="13"/>
  <c r="S1363" i="13"/>
  <c r="R1363" i="13"/>
  <c r="Q1363" i="13"/>
  <c r="P1363" i="13"/>
  <c r="A1363" i="13"/>
  <c r="S1362" i="13"/>
  <c r="R1362" i="13"/>
  <c r="Q1362" i="13"/>
  <c r="P1362" i="13"/>
  <c r="A1362" i="13"/>
  <c r="S1361" i="13"/>
  <c r="R1361" i="13"/>
  <c r="Q1361" i="13"/>
  <c r="P1361" i="13"/>
  <c r="A1361" i="13"/>
  <c r="S1360" i="13"/>
  <c r="R1360" i="13"/>
  <c r="Q1360" i="13"/>
  <c r="P1360" i="13"/>
  <c r="A1360" i="13"/>
  <c r="S1359" i="13"/>
  <c r="R1359" i="13"/>
  <c r="Q1359" i="13"/>
  <c r="P1359" i="13"/>
  <c r="A1359" i="13"/>
  <c r="S1358" i="13"/>
  <c r="R1358" i="13"/>
  <c r="Q1358" i="13"/>
  <c r="P1358" i="13"/>
  <c r="A1358" i="13"/>
  <c r="S1357" i="13"/>
  <c r="R1357" i="13"/>
  <c r="Q1357" i="13"/>
  <c r="P1357" i="13"/>
  <c r="A1357" i="13"/>
  <c r="S1356" i="13"/>
  <c r="R1356" i="13"/>
  <c r="Q1356" i="13"/>
  <c r="P1356" i="13"/>
  <c r="A1356" i="13"/>
  <c r="S1355" i="13"/>
  <c r="R1355" i="13"/>
  <c r="Q1355" i="13"/>
  <c r="P1355" i="13"/>
  <c r="A1355" i="13"/>
  <c r="S1354" i="13"/>
  <c r="R1354" i="13"/>
  <c r="Q1354" i="13"/>
  <c r="P1354" i="13"/>
  <c r="A1354" i="13"/>
  <c r="S1353" i="13"/>
  <c r="R1353" i="13"/>
  <c r="Q1353" i="13"/>
  <c r="P1353" i="13"/>
  <c r="A1353" i="13"/>
  <c r="S1352" i="13"/>
  <c r="R1352" i="13"/>
  <c r="Q1352" i="13"/>
  <c r="P1352" i="13"/>
  <c r="A1352" i="13"/>
  <c r="S1351" i="13"/>
  <c r="R1351" i="13"/>
  <c r="Q1351" i="13"/>
  <c r="P1351" i="13"/>
  <c r="A1351" i="13"/>
  <c r="S1350" i="13"/>
  <c r="R1350" i="13"/>
  <c r="Q1350" i="13"/>
  <c r="P1350" i="13"/>
  <c r="A1350" i="13"/>
  <c r="S1349" i="13"/>
  <c r="R1349" i="13"/>
  <c r="Q1349" i="13"/>
  <c r="P1349" i="13"/>
  <c r="A1349" i="13"/>
  <c r="S1348" i="13"/>
  <c r="R1348" i="13"/>
  <c r="Q1348" i="13"/>
  <c r="P1348" i="13"/>
  <c r="A1348" i="13"/>
  <c r="S1347" i="13"/>
  <c r="R1347" i="13"/>
  <c r="Q1347" i="13"/>
  <c r="P1347" i="13"/>
  <c r="A1347" i="13"/>
  <c r="S1346" i="13"/>
  <c r="R1346" i="13"/>
  <c r="Q1346" i="13"/>
  <c r="P1346" i="13"/>
  <c r="A1346" i="13"/>
  <c r="S1345" i="13"/>
  <c r="R1345" i="13"/>
  <c r="Q1345" i="13"/>
  <c r="P1345" i="13"/>
  <c r="A1345" i="13"/>
  <c r="S1344" i="13"/>
  <c r="R1344" i="13"/>
  <c r="Q1344" i="13"/>
  <c r="P1344" i="13"/>
  <c r="A1344" i="13"/>
  <c r="S1343" i="13"/>
  <c r="R1343" i="13"/>
  <c r="Q1343" i="13"/>
  <c r="P1343" i="13"/>
  <c r="A1343" i="13"/>
  <c r="S1342" i="13"/>
  <c r="R1342" i="13"/>
  <c r="Q1342" i="13"/>
  <c r="P1342" i="13"/>
  <c r="A1342" i="13"/>
  <c r="S1341" i="13"/>
  <c r="R1341" i="13"/>
  <c r="Q1341" i="13"/>
  <c r="P1341" i="13"/>
  <c r="A1341" i="13"/>
  <c r="S1340" i="13"/>
  <c r="R1340" i="13"/>
  <c r="Q1340" i="13"/>
  <c r="P1340" i="13"/>
  <c r="A1340" i="13"/>
  <c r="S1339" i="13"/>
  <c r="R1339" i="13"/>
  <c r="Q1339" i="13"/>
  <c r="P1339" i="13"/>
  <c r="A1339" i="13"/>
  <c r="S1338" i="13"/>
  <c r="R1338" i="13"/>
  <c r="Q1338" i="13"/>
  <c r="P1338" i="13"/>
  <c r="A1338" i="13"/>
  <c r="S1337" i="13"/>
  <c r="R1337" i="13"/>
  <c r="Q1337" i="13"/>
  <c r="P1337" i="13"/>
  <c r="A1337" i="13"/>
  <c r="S1336" i="13"/>
  <c r="R1336" i="13"/>
  <c r="Q1336" i="13"/>
  <c r="P1336" i="13"/>
  <c r="A1336" i="13"/>
  <c r="S1335" i="13"/>
  <c r="R1335" i="13"/>
  <c r="Q1335" i="13"/>
  <c r="P1335" i="13"/>
  <c r="A1335" i="13"/>
  <c r="S1334" i="13"/>
  <c r="R1334" i="13"/>
  <c r="Q1334" i="13"/>
  <c r="P1334" i="13"/>
  <c r="A1334" i="13"/>
  <c r="S1333" i="13"/>
  <c r="R1333" i="13"/>
  <c r="Q1333" i="13"/>
  <c r="P1333" i="13"/>
  <c r="A1333" i="13"/>
  <c r="S1332" i="13"/>
  <c r="R1332" i="13"/>
  <c r="Q1332" i="13"/>
  <c r="P1332" i="13"/>
  <c r="A1332" i="13"/>
  <c r="S1331" i="13"/>
  <c r="R1331" i="13"/>
  <c r="Q1331" i="13"/>
  <c r="P1331" i="13"/>
  <c r="A1331" i="13"/>
  <c r="S1330" i="13"/>
  <c r="R1330" i="13"/>
  <c r="Q1330" i="13"/>
  <c r="P1330" i="13"/>
  <c r="A1330" i="13"/>
  <c r="S1329" i="13"/>
  <c r="R1329" i="13"/>
  <c r="Q1329" i="13"/>
  <c r="P1329" i="13"/>
  <c r="A1329" i="13"/>
  <c r="S1328" i="13"/>
  <c r="R1328" i="13"/>
  <c r="Q1328" i="13"/>
  <c r="P1328" i="13"/>
  <c r="A1328" i="13"/>
  <c r="S1327" i="13"/>
  <c r="R1327" i="13"/>
  <c r="Q1327" i="13"/>
  <c r="P1327" i="13"/>
  <c r="A1327" i="13"/>
  <c r="S1326" i="13"/>
  <c r="R1326" i="13"/>
  <c r="Q1326" i="13"/>
  <c r="P1326" i="13"/>
  <c r="A1326" i="13"/>
  <c r="S1325" i="13"/>
  <c r="R1325" i="13"/>
  <c r="Q1325" i="13"/>
  <c r="P1325" i="13"/>
  <c r="A1325" i="13"/>
  <c r="S1324" i="13"/>
  <c r="R1324" i="13"/>
  <c r="Q1324" i="13"/>
  <c r="P1324" i="13"/>
  <c r="A1324" i="13"/>
  <c r="S1323" i="13"/>
  <c r="R1323" i="13"/>
  <c r="Q1323" i="13"/>
  <c r="P1323" i="13"/>
  <c r="A1323" i="13"/>
  <c r="S1322" i="13"/>
  <c r="R1322" i="13"/>
  <c r="Q1322" i="13"/>
  <c r="P1322" i="13"/>
  <c r="A1322" i="13"/>
  <c r="S1321" i="13"/>
  <c r="R1321" i="13"/>
  <c r="Q1321" i="13"/>
  <c r="P1321" i="13"/>
  <c r="A1321" i="13"/>
  <c r="S1320" i="13"/>
  <c r="R1320" i="13"/>
  <c r="Q1320" i="13"/>
  <c r="P1320" i="13"/>
  <c r="A1320" i="13"/>
  <c r="S1319" i="13"/>
  <c r="R1319" i="13"/>
  <c r="Q1319" i="13"/>
  <c r="P1319" i="13"/>
  <c r="A1319" i="13"/>
  <c r="S1318" i="13"/>
  <c r="R1318" i="13"/>
  <c r="Q1318" i="13"/>
  <c r="P1318" i="13"/>
  <c r="A1318" i="13"/>
  <c r="S1317" i="13"/>
  <c r="R1317" i="13"/>
  <c r="Q1317" i="13"/>
  <c r="P1317" i="13"/>
  <c r="A1317" i="13"/>
  <c r="S1316" i="13"/>
  <c r="R1316" i="13"/>
  <c r="Q1316" i="13"/>
  <c r="P1316" i="13"/>
  <c r="A1316" i="13"/>
  <c r="S1315" i="13"/>
  <c r="R1315" i="13"/>
  <c r="A1315" i="13"/>
  <c r="S1314" i="13"/>
  <c r="R1314" i="13"/>
  <c r="A1314" i="13"/>
  <c r="S1313" i="13"/>
  <c r="R1313" i="13"/>
  <c r="A1313" i="13"/>
  <c r="S1312" i="13"/>
  <c r="R1312" i="13"/>
  <c r="A1312" i="13"/>
  <c r="S1311" i="13"/>
  <c r="R1311" i="13"/>
  <c r="A1311" i="13"/>
  <c r="S1310" i="13"/>
  <c r="R1310" i="13"/>
  <c r="A1310" i="13"/>
  <c r="S1309" i="13"/>
  <c r="R1309" i="13"/>
  <c r="A1309" i="13"/>
  <c r="S1308" i="13"/>
  <c r="R1308" i="13"/>
  <c r="A1308" i="13"/>
  <c r="S1307" i="13"/>
  <c r="R1307" i="13"/>
  <c r="A1307" i="13"/>
  <c r="S1306" i="13"/>
  <c r="R1306" i="13"/>
  <c r="A1306" i="13"/>
  <c r="S1305" i="13"/>
  <c r="R1305" i="13"/>
  <c r="A1305" i="13"/>
  <c r="S1304" i="13"/>
  <c r="R1304" i="13"/>
  <c r="A1304" i="13"/>
  <c r="S1303" i="13"/>
  <c r="R1303" i="13"/>
  <c r="A1303" i="13"/>
  <c r="S1302" i="13"/>
  <c r="R1302" i="13"/>
  <c r="A1302" i="13"/>
  <c r="S1301" i="13"/>
  <c r="R1301" i="13"/>
  <c r="A1301" i="13"/>
  <c r="S1300" i="13"/>
  <c r="R1300" i="13"/>
  <c r="A1300" i="13"/>
  <c r="S1299" i="13"/>
  <c r="R1299" i="13"/>
  <c r="A1299" i="13"/>
  <c r="S1298" i="13"/>
  <c r="R1298" i="13"/>
  <c r="A1298" i="13"/>
  <c r="S1297" i="13"/>
  <c r="R1297" i="13"/>
  <c r="A1297" i="13"/>
  <c r="S1296" i="13"/>
  <c r="R1296" i="13"/>
  <c r="A1296" i="13"/>
  <c r="S1295" i="13"/>
  <c r="R1295" i="13"/>
  <c r="A1295" i="13"/>
  <c r="S1294" i="13"/>
  <c r="R1294" i="13"/>
  <c r="A1294" i="13"/>
  <c r="S1293" i="13"/>
  <c r="R1293" i="13"/>
  <c r="A1293" i="13"/>
  <c r="S1292" i="13"/>
  <c r="R1292" i="13"/>
  <c r="A1292" i="13"/>
  <c r="S1291" i="13"/>
  <c r="R1291" i="13"/>
  <c r="A1291" i="13"/>
  <c r="S1290" i="13"/>
  <c r="R1290" i="13"/>
  <c r="A1290" i="13"/>
  <c r="S1289" i="13"/>
  <c r="R1289" i="13"/>
  <c r="A1289" i="13"/>
  <c r="S1288" i="13"/>
  <c r="R1288" i="13"/>
  <c r="A1288" i="13"/>
  <c r="S1287" i="13"/>
  <c r="R1287" i="13"/>
  <c r="A1287" i="13"/>
  <c r="S1286" i="13"/>
  <c r="R1286" i="13"/>
  <c r="A1286" i="13"/>
  <c r="S1285" i="13"/>
  <c r="R1285" i="13"/>
  <c r="A1285" i="13"/>
  <c r="S1284" i="13"/>
  <c r="R1284" i="13"/>
  <c r="A1284" i="13"/>
  <c r="S1283" i="13"/>
  <c r="R1283" i="13"/>
  <c r="A1283" i="13"/>
  <c r="S1282" i="13"/>
  <c r="R1282" i="13"/>
  <c r="A1282" i="13"/>
  <c r="S1281" i="13"/>
  <c r="R1281" i="13"/>
  <c r="A1281" i="13"/>
  <c r="S1280" i="13"/>
  <c r="R1280" i="13"/>
  <c r="A1280" i="13"/>
  <c r="S1279" i="13"/>
  <c r="R1279" i="13"/>
  <c r="A1279" i="13"/>
  <c r="S1278" i="13"/>
  <c r="R1278" i="13"/>
  <c r="A1278" i="13"/>
  <c r="S1277" i="13"/>
  <c r="R1277" i="13"/>
  <c r="A1277" i="13"/>
  <c r="S1276" i="13"/>
  <c r="R1276" i="13"/>
  <c r="A1276" i="13"/>
  <c r="S1275" i="13"/>
  <c r="R1275" i="13"/>
  <c r="A1275" i="13"/>
  <c r="S1274" i="13"/>
  <c r="R1274" i="13"/>
  <c r="A1274" i="13"/>
  <c r="S1273" i="13"/>
  <c r="R1273" i="13"/>
  <c r="A1273" i="13"/>
  <c r="S1272" i="13"/>
  <c r="R1272" i="13"/>
  <c r="A1272" i="13"/>
  <c r="S1271" i="13"/>
  <c r="R1271" i="13"/>
  <c r="A1271" i="13"/>
  <c r="S1270" i="13"/>
  <c r="R1270" i="13"/>
  <c r="A1270" i="13"/>
  <c r="S1269" i="13"/>
  <c r="R1269" i="13"/>
  <c r="A1269" i="13"/>
  <c r="S1268" i="13"/>
  <c r="R1268" i="13"/>
  <c r="A1268" i="13"/>
  <c r="S1267" i="13"/>
  <c r="R1267" i="13"/>
  <c r="A1267" i="13"/>
  <c r="S1266" i="13"/>
  <c r="R1266" i="13"/>
  <c r="A1266" i="13"/>
  <c r="S1265" i="13"/>
  <c r="R1265" i="13"/>
  <c r="A1265" i="13"/>
  <c r="S1264" i="13"/>
  <c r="R1264" i="13"/>
  <c r="A1264" i="13"/>
  <c r="S1263" i="13"/>
  <c r="R1263" i="13"/>
  <c r="A1263" i="13"/>
  <c r="S1262" i="13"/>
  <c r="R1262" i="13"/>
  <c r="A1262" i="13"/>
  <c r="S1261" i="13"/>
  <c r="R1261" i="13"/>
  <c r="A1261" i="13"/>
  <c r="S1260" i="13"/>
  <c r="R1260" i="13"/>
  <c r="A1260" i="13"/>
  <c r="S1259" i="13"/>
  <c r="R1259" i="13"/>
  <c r="A1259" i="13"/>
  <c r="S1258" i="13"/>
  <c r="R1258" i="13"/>
  <c r="A1258" i="13"/>
  <c r="S1257" i="13"/>
  <c r="R1257" i="13"/>
  <c r="A1257" i="13"/>
  <c r="S1256" i="13"/>
  <c r="R1256" i="13"/>
  <c r="A1256" i="13"/>
  <c r="S1255" i="13"/>
  <c r="R1255" i="13"/>
  <c r="A1255" i="13"/>
  <c r="S1254" i="13"/>
  <c r="R1254" i="13"/>
  <c r="A1254" i="13"/>
  <c r="S1253" i="13"/>
  <c r="R1253" i="13"/>
  <c r="A1253" i="13"/>
  <c r="S1252" i="13"/>
  <c r="R1252" i="13"/>
  <c r="A1252" i="13"/>
  <c r="S1251" i="13"/>
  <c r="R1251" i="13"/>
  <c r="A1251" i="13"/>
  <c r="S1250" i="13"/>
  <c r="R1250" i="13"/>
  <c r="A1250" i="13"/>
  <c r="S1249" i="13"/>
  <c r="R1249" i="13"/>
  <c r="A1249" i="13"/>
  <c r="S1248" i="13"/>
  <c r="R1248" i="13"/>
  <c r="A1248" i="13"/>
  <c r="S1247" i="13"/>
  <c r="R1247" i="13"/>
  <c r="A1247" i="13"/>
  <c r="S1246" i="13"/>
  <c r="R1246" i="13"/>
  <c r="A1246" i="13"/>
  <c r="S1245" i="13"/>
  <c r="R1245" i="13"/>
  <c r="A1245" i="13"/>
  <c r="S1244" i="13"/>
  <c r="R1244" i="13"/>
  <c r="A1244" i="13"/>
  <c r="S1243" i="13"/>
  <c r="R1243" i="13"/>
  <c r="A1243" i="13"/>
  <c r="S1242" i="13"/>
  <c r="R1242" i="13"/>
  <c r="A1242" i="13"/>
  <c r="S1241" i="13"/>
  <c r="R1241" i="13"/>
  <c r="A1241" i="13"/>
  <c r="S1240" i="13"/>
  <c r="R1240" i="13"/>
  <c r="A1240" i="13"/>
  <c r="S1239" i="13"/>
  <c r="R1239" i="13"/>
  <c r="A1239" i="13"/>
  <c r="S1238" i="13"/>
  <c r="R1238" i="13"/>
  <c r="A1238" i="13"/>
  <c r="S1237" i="13"/>
  <c r="R1237" i="13"/>
  <c r="A1237" i="13"/>
  <c r="S1236" i="13"/>
  <c r="R1236" i="13"/>
  <c r="A1236" i="13"/>
  <c r="S1235" i="13"/>
  <c r="R1235" i="13"/>
  <c r="A1235" i="13"/>
  <c r="S1234" i="13"/>
  <c r="R1234" i="13"/>
  <c r="A1234" i="13"/>
  <c r="S1233" i="13"/>
  <c r="R1233" i="13"/>
  <c r="A1233" i="13"/>
  <c r="S1232" i="13"/>
  <c r="R1232" i="13"/>
  <c r="A1232" i="13"/>
  <c r="S1231" i="13"/>
  <c r="R1231" i="13"/>
  <c r="A1231" i="13"/>
  <c r="S1230" i="13"/>
  <c r="R1230" i="13"/>
  <c r="A1230" i="13"/>
  <c r="S1229" i="13"/>
  <c r="R1229" i="13"/>
  <c r="A1229" i="13"/>
  <c r="S1228" i="13"/>
  <c r="R1228" i="13"/>
  <c r="A1228" i="13"/>
  <c r="S1227" i="13"/>
  <c r="R1227" i="13"/>
  <c r="A1227" i="13"/>
  <c r="S1226" i="13"/>
  <c r="R1226" i="13"/>
  <c r="A1226" i="13"/>
  <c r="S1225" i="13"/>
  <c r="R1225" i="13"/>
  <c r="A1225" i="13"/>
  <c r="S1224" i="13"/>
  <c r="R1224" i="13"/>
  <c r="A1224" i="13"/>
  <c r="S1223" i="13"/>
  <c r="R1223" i="13"/>
  <c r="A1223" i="13"/>
  <c r="S1222" i="13"/>
  <c r="R1222" i="13"/>
  <c r="A1222" i="13"/>
  <c r="S1221" i="13"/>
  <c r="R1221" i="13"/>
  <c r="A1221" i="13"/>
  <c r="S1220" i="13"/>
  <c r="R1220" i="13"/>
  <c r="A1220" i="13"/>
  <c r="S1219" i="13"/>
  <c r="R1219" i="13"/>
  <c r="A1219" i="13"/>
  <c r="S1218" i="13"/>
  <c r="R1218" i="13"/>
  <c r="A1218" i="13"/>
  <c r="S1217" i="13"/>
  <c r="R1217" i="13"/>
  <c r="A1217" i="13"/>
  <c r="S1216" i="13"/>
  <c r="R1216" i="13"/>
  <c r="A1216" i="13"/>
  <c r="S1215" i="13"/>
  <c r="R1215" i="13"/>
  <c r="A1215" i="13"/>
  <c r="S1214" i="13"/>
  <c r="R1214" i="13"/>
  <c r="A1214" i="13"/>
  <c r="S1213" i="13"/>
  <c r="R1213" i="13"/>
  <c r="A1213" i="13"/>
  <c r="S1212" i="13"/>
  <c r="R1212" i="13"/>
  <c r="A1212" i="13"/>
  <c r="S1211" i="13"/>
  <c r="R1211" i="13"/>
  <c r="A1211" i="13"/>
  <c r="S1210" i="13"/>
  <c r="R1210" i="13"/>
  <c r="A1210" i="13"/>
  <c r="S1209" i="13"/>
  <c r="R1209" i="13"/>
  <c r="A1209" i="13"/>
  <c r="S1208" i="13"/>
  <c r="R1208" i="13"/>
  <c r="A1208" i="13"/>
  <c r="S1207" i="13"/>
  <c r="R1207" i="13"/>
  <c r="A1207" i="13"/>
  <c r="S1206" i="13"/>
  <c r="R1206" i="13"/>
  <c r="A1206" i="13"/>
  <c r="S1205" i="13"/>
  <c r="R1205" i="13"/>
  <c r="A1205" i="13"/>
  <c r="S1204" i="13"/>
  <c r="R1204" i="13"/>
  <c r="A1204" i="13"/>
  <c r="S1203" i="13"/>
  <c r="R1203" i="13"/>
  <c r="A1203" i="13"/>
  <c r="S1202" i="13"/>
  <c r="R1202" i="13"/>
  <c r="A1202" i="13"/>
  <c r="S1201" i="13"/>
  <c r="R1201" i="13"/>
  <c r="A1201" i="13"/>
  <c r="S1200" i="13"/>
  <c r="R1200" i="13"/>
  <c r="A1200" i="13"/>
  <c r="S1199" i="13"/>
  <c r="R1199" i="13"/>
  <c r="A1199" i="13"/>
  <c r="S1198" i="13"/>
  <c r="R1198" i="13"/>
  <c r="A1198" i="13"/>
  <c r="S1197" i="13"/>
  <c r="R1197" i="13"/>
  <c r="A1197" i="13"/>
  <c r="S1196" i="13"/>
  <c r="R1196" i="13"/>
  <c r="A1196" i="13"/>
  <c r="S1195" i="13"/>
  <c r="R1195" i="13"/>
  <c r="A1195" i="13"/>
  <c r="S1194" i="13"/>
  <c r="R1194" i="13"/>
  <c r="A1194" i="13"/>
  <c r="S1193" i="13"/>
  <c r="R1193" i="13"/>
  <c r="A1193" i="13"/>
  <c r="S1192" i="13"/>
  <c r="R1192" i="13"/>
  <c r="A1192" i="13"/>
  <c r="S1191" i="13"/>
  <c r="R1191" i="13"/>
  <c r="A1191" i="13"/>
  <c r="S1190" i="13"/>
  <c r="R1190" i="13"/>
  <c r="A1190" i="13"/>
  <c r="S1189" i="13"/>
  <c r="R1189" i="13"/>
  <c r="A1189" i="13"/>
  <c r="S1188" i="13"/>
  <c r="R1188" i="13"/>
  <c r="A1188" i="13"/>
  <c r="S1187" i="13"/>
  <c r="R1187" i="13"/>
  <c r="A1187" i="13"/>
  <c r="S1186" i="13"/>
  <c r="R1186" i="13"/>
  <c r="A1186" i="13"/>
  <c r="S1185" i="13"/>
  <c r="R1185" i="13"/>
  <c r="A1185" i="13"/>
  <c r="S1184" i="13"/>
  <c r="R1184" i="13"/>
  <c r="A1184" i="13"/>
  <c r="S1183" i="13"/>
  <c r="R1183" i="13"/>
  <c r="A1183" i="13"/>
  <c r="S1182" i="13"/>
  <c r="R1182" i="13"/>
  <c r="A1182" i="13"/>
  <c r="S1181" i="13"/>
  <c r="R1181" i="13"/>
  <c r="A1181" i="13"/>
  <c r="S1180" i="13"/>
  <c r="R1180" i="13"/>
  <c r="A1180" i="13"/>
  <c r="S1179" i="13"/>
  <c r="R1179" i="13"/>
  <c r="A1179" i="13"/>
  <c r="S1178" i="13"/>
  <c r="R1178" i="13"/>
  <c r="A1178" i="13"/>
  <c r="S1177" i="13"/>
  <c r="R1177" i="13"/>
  <c r="A1177" i="13"/>
  <c r="S1176" i="13"/>
  <c r="R1176" i="13"/>
  <c r="A1176" i="13"/>
  <c r="S1175" i="13"/>
  <c r="R1175" i="13"/>
  <c r="A1175" i="13"/>
  <c r="S1174" i="13"/>
  <c r="R1174" i="13"/>
  <c r="A1174" i="13"/>
  <c r="S1173" i="13"/>
  <c r="R1173" i="13"/>
  <c r="A1173" i="13"/>
  <c r="S1172" i="13"/>
  <c r="R1172" i="13"/>
  <c r="A1172" i="13"/>
  <c r="S1171" i="13"/>
  <c r="R1171" i="13"/>
  <c r="A1171" i="13"/>
  <c r="S1170" i="13"/>
  <c r="R1170" i="13"/>
  <c r="A1170" i="13"/>
  <c r="S1169" i="13"/>
  <c r="R1169" i="13"/>
  <c r="A1169" i="13"/>
  <c r="S1168" i="13"/>
  <c r="R1168" i="13"/>
  <c r="A1168" i="13"/>
  <c r="S1167" i="13"/>
  <c r="R1167" i="13"/>
  <c r="A1167" i="13"/>
  <c r="S1166" i="13"/>
  <c r="R1166" i="13"/>
  <c r="A1166" i="13"/>
  <c r="S1165" i="13"/>
  <c r="R1165" i="13"/>
  <c r="A1165" i="13"/>
  <c r="S1164" i="13"/>
  <c r="R1164" i="13"/>
  <c r="A1164" i="13"/>
  <c r="S1163" i="13"/>
  <c r="R1163" i="13"/>
  <c r="A1163" i="13"/>
  <c r="S1162" i="13"/>
  <c r="R1162" i="13"/>
  <c r="A1162" i="13"/>
  <c r="S1161" i="13"/>
  <c r="R1161" i="13"/>
  <c r="A1161" i="13"/>
  <c r="S1160" i="13"/>
  <c r="R1160" i="13"/>
  <c r="A1160" i="13"/>
  <c r="S1159" i="13"/>
  <c r="R1159" i="13"/>
  <c r="A1159" i="13"/>
  <c r="S1158" i="13"/>
  <c r="R1158" i="13"/>
  <c r="A1158" i="13"/>
  <c r="S1157" i="13"/>
  <c r="R1157" i="13"/>
  <c r="A1157" i="13"/>
  <c r="S1156" i="13"/>
  <c r="R1156" i="13"/>
  <c r="A1156" i="13"/>
  <c r="S1155" i="13"/>
  <c r="R1155" i="13"/>
  <c r="A1155" i="13"/>
  <c r="S1154" i="13"/>
  <c r="R1154" i="13"/>
  <c r="A1154" i="13"/>
  <c r="S1153" i="13"/>
  <c r="R1153" i="13"/>
  <c r="A1153" i="13"/>
  <c r="S1152" i="13"/>
  <c r="R1152" i="13"/>
  <c r="A1152" i="13"/>
  <c r="S1151" i="13"/>
  <c r="R1151" i="13"/>
  <c r="A1151" i="13"/>
  <c r="S1150" i="13"/>
  <c r="R1150" i="13"/>
  <c r="A1150" i="13"/>
  <c r="S1149" i="13"/>
  <c r="R1149" i="13"/>
  <c r="A1149" i="13"/>
  <c r="S1148" i="13"/>
  <c r="R1148" i="13"/>
  <c r="A1148" i="13"/>
  <c r="S1147" i="13"/>
  <c r="R1147" i="13"/>
  <c r="A1147" i="13"/>
  <c r="S1146" i="13"/>
  <c r="R1146" i="13"/>
  <c r="A1146" i="13"/>
  <c r="S1145" i="13"/>
  <c r="R1145" i="13"/>
  <c r="A1145" i="13"/>
  <c r="S1144" i="13"/>
  <c r="R1144" i="13"/>
  <c r="A1144" i="13"/>
  <c r="S1143" i="13"/>
  <c r="R1143" i="13"/>
  <c r="A1143" i="13"/>
  <c r="S1142" i="13"/>
  <c r="R1142" i="13"/>
  <c r="A1142" i="13"/>
  <c r="S1141" i="13"/>
  <c r="R1141" i="13"/>
  <c r="A1141" i="13"/>
  <c r="S1140" i="13"/>
  <c r="R1140" i="13"/>
  <c r="A1140" i="13"/>
  <c r="S1139" i="13"/>
  <c r="R1139" i="13"/>
  <c r="A1139" i="13"/>
  <c r="S1138" i="13"/>
  <c r="R1138" i="13"/>
  <c r="A1138" i="13"/>
  <c r="S1137" i="13"/>
  <c r="R1137" i="13"/>
  <c r="A1137" i="13"/>
  <c r="S1136" i="13"/>
  <c r="R1136" i="13"/>
  <c r="A1136" i="13"/>
  <c r="S1135" i="13"/>
  <c r="R1135" i="13"/>
  <c r="A1135" i="13"/>
  <c r="S1134" i="13"/>
  <c r="R1134" i="13"/>
  <c r="A1134" i="13"/>
  <c r="S1133" i="13"/>
  <c r="R1133" i="13"/>
  <c r="A1133" i="13"/>
  <c r="S1132" i="13"/>
  <c r="R1132" i="13"/>
  <c r="A1132" i="13"/>
  <c r="S1131" i="13"/>
  <c r="R1131" i="13"/>
  <c r="A1131" i="13"/>
  <c r="S1130" i="13"/>
  <c r="R1130" i="13"/>
  <c r="A1130" i="13"/>
  <c r="S1129" i="13"/>
  <c r="R1129" i="13"/>
  <c r="A1129" i="13"/>
  <c r="S1128" i="13"/>
  <c r="R1128" i="13"/>
  <c r="A1128" i="13"/>
  <c r="S1127" i="13"/>
  <c r="R1127" i="13"/>
  <c r="A1127" i="13"/>
  <c r="S1126" i="13"/>
  <c r="R1126" i="13"/>
  <c r="A1126" i="13"/>
  <c r="S1125" i="13"/>
  <c r="R1125" i="13"/>
  <c r="A1125" i="13"/>
  <c r="S1124" i="13"/>
  <c r="R1124" i="13"/>
  <c r="A1124" i="13"/>
  <c r="S1123" i="13"/>
  <c r="R1123" i="13"/>
  <c r="A1123" i="13"/>
  <c r="S1122" i="13"/>
  <c r="R1122" i="13"/>
  <c r="A1122" i="13"/>
  <c r="S1121" i="13"/>
  <c r="R1121" i="13"/>
  <c r="A1121" i="13"/>
  <c r="S1120" i="13"/>
  <c r="R1120" i="13"/>
  <c r="A1120" i="13"/>
  <c r="S1119" i="13"/>
  <c r="R1119" i="13"/>
  <c r="A1119" i="13"/>
  <c r="S1118" i="13"/>
  <c r="R1118" i="13"/>
  <c r="A1118" i="13"/>
  <c r="S1117" i="13"/>
  <c r="R1117" i="13"/>
  <c r="A1117" i="13"/>
  <c r="S1116" i="13"/>
  <c r="R1116" i="13"/>
  <c r="A1116" i="13"/>
  <c r="S1115" i="13"/>
  <c r="R1115" i="13"/>
  <c r="A1115" i="13"/>
  <c r="S1114" i="13"/>
  <c r="R1114" i="13"/>
  <c r="A1114" i="13"/>
  <c r="S1113" i="13"/>
  <c r="R1113" i="13"/>
  <c r="A1113" i="13"/>
  <c r="S1112" i="13"/>
  <c r="R1112" i="13"/>
  <c r="A1112" i="13"/>
  <c r="S1111" i="13"/>
  <c r="R1111" i="13"/>
  <c r="A1111" i="13"/>
  <c r="S1110" i="13"/>
  <c r="R1110" i="13"/>
  <c r="A1110" i="13"/>
  <c r="S1109" i="13"/>
  <c r="R1109" i="13"/>
  <c r="A1109" i="13"/>
  <c r="S1108" i="13"/>
  <c r="R1108" i="13"/>
  <c r="A1108" i="13"/>
  <c r="S1107" i="13"/>
  <c r="R1107" i="13"/>
  <c r="A1107" i="13"/>
  <c r="S1106" i="13"/>
  <c r="R1106" i="13"/>
  <c r="A1106" i="13"/>
  <c r="S1105" i="13"/>
  <c r="R1105" i="13"/>
  <c r="A1105" i="13"/>
  <c r="S1104" i="13"/>
  <c r="R1104" i="13"/>
  <c r="A1104" i="13"/>
  <c r="S1103" i="13"/>
  <c r="R1103" i="13"/>
  <c r="A1103" i="13"/>
  <c r="S1102" i="13"/>
  <c r="R1102" i="13"/>
  <c r="A1102" i="13"/>
  <c r="S1101" i="13"/>
  <c r="R1101" i="13"/>
  <c r="A1101" i="13"/>
  <c r="S1100" i="13"/>
  <c r="R1100" i="13"/>
  <c r="A1100" i="13"/>
  <c r="S1099" i="13"/>
  <c r="R1099" i="13"/>
  <c r="A1099" i="13"/>
  <c r="S1098" i="13"/>
  <c r="R1098" i="13"/>
  <c r="A1098" i="13"/>
  <c r="S1097" i="13"/>
  <c r="R1097" i="13"/>
  <c r="A1097" i="13"/>
  <c r="S1096" i="13"/>
  <c r="R1096" i="13"/>
  <c r="A1096" i="13"/>
  <c r="S1095" i="13"/>
  <c r="R1095" i="13"/>
  <c r="A1095" i="13"/>
  <c r="S1094" i="13"/>
  <c r="R1094" i="13"/>
  <c r="A1094" i="13"/>
  <c r="S1093" i="13"/>
  <c r="R1093" i="13"/>
  <c r="A1093" i="13"/>
  <c r="S1092" i="13"/>
  <c r="R1092" i="13"/>
  <c r="A1092" i="13"/>
  <c r="S1091" i="13"/>
  <c r="R1091" i="13"/>
  <c r="A1091" i="13"/>
  <c r="S1090" i="13"/>
  <c r="R1090" i="13"/>
  <c r="A1090" i="13"/>
  <c r="S1089" i="13"/>
  <c r="R1089" i="13"/>
  <c r="A1089" i="13"/>
  <c r="S1088" i="13"/>
  <c r="R1088" i="13"/>
  <c r="A1088" i="13"/>
  <c r="S1087" i="13"/>
  <c r="R1087" i="13"/>
  <c r="A1087" i="13"/>
  <c r="S1086" i="13"/>
  <c r="R1086" i="13"/>
  <c r="A1086" i="13"/>
  <c r="S1085" i="13"/>
  <c r="R1085" i="13"/>
  <c r="A1085" i="13"/>
  <c r="S1084" i="13"/>
  <c r="R1084" i="13"/>
  <c r="A1084" i="13"/>
  <c r="S1083" i="13"/>
  <c r="R1083" i="13"/>
  <c r="A1083" i="13"/>
  <c r="S1082" i="13"/>
  <c r="R1082" i="13"/>
  <c r="A1082" i="13"/>
  <c r="S1081" i="13"/>
  <c r="R1081" i="13"/>
  <c r="A1081" i="13"/>
  <c r="S1080" i="13"/>
  <c r="R1080" i="13"/>
  <c r="A1080" i="13"/>
  <c r="S1079" i="13"/>
  <c r="R1079" i="13"/>
  <c r="A1079" i="13"/>
  <c r="S1078" i="13"/>
  <c r="R1078" i="13"/>
  <c r="A1078" i="13"/>
  <c r="S1077" i="13"/>
  <c r="R1077" i="13"/>
  <c r="A1077" i="13"/>
  <c r="S1076" i="13"/>
  <c r="R1076" i="13"/>
  <c r="A1076" i="13"/>
  <c r="S1075" i="13"/>
  <c r="R1075" i="13"/>
  <c r="A1075" i="13"/>
  <c r="S1074" i="13"/>
  <c r="R1074" i="13"/>
  <c r="A1074" i="13"/>
  <c r="S1073" i="13"/>
  <c r="R1073" i="13"/>
  <c r="A1073" i="13"/>
  <c r="S1072" i="13"/>
  <c r="R1072" i="13"/>
  <c r="A1072" i="13"/>
  <c r="S1071" i="13"/>
  <c r="R1071" i="13"/>
  <c r="A1071" i="13"/>
  <c r="S1070" i="13"/>
  <c r="R1070" i="13"/>
  <c r="A1070" i="13"/>
  <c r="S1069" i="13"/>
  <c r="R1069" i="13"/>
  <c r="A1069" i="13"/>
  <c r="S1068" i="13"/>
  <c r="R1068" i="13"/>
  <c r="A1068" i="13"/>
  <c r="S1067" i="13"/>
  <c r="R1067" i="13"/>
  <c r="A1067" i="13"/>
  <c r="S1066" i="13"/>
  <c r="R1066" i="13"/>
  <c r="A1066" i="13"/>
  <c r="S1065" i="13"/>
  <c r="R1065" i="13"/>
  <c r="A1065" i="13"/>
  <c r="S1064" i="13"/>
  <c r="R1064" i="13"/>
  <c r="A1064" i="13"/>
  <c r="S1063" i="13"/>
  <c r="R1063" i="13"/>
  <c r="A1063" i="13"/>
  <c r="S1062" i="13"/>
  <c r="R1062" i="13"/>
  <c r="A1062" i="13"/>
  <c r="S1061" i="13"/>
  <c r="R1061" i="13"/>
  <c r="A1061" i="13"/>
  <c r="S1060" i="13"/>
  <c r="R1060" i="13"/>
  <c r="A1060" i="13"/>
  <c r="S1059" i="13"/>
  <c r="R1059" i="13"/>
  <c r="A1059" i="13"/>
  <c r="S1058" i="13"/>
  <c r="R1058" i="13"/>
  <c r="A1058" i="13"/>
  <c r="S1057" i="13"/>
  <c r="R1057" i="13"/>
  <c r="A1057" i="13"/>
  <c r="S1056" i="13"/>
  <c r="R1056" i="13"/>
  <c r="A1056" i="13"/>
  <c r="S1055" i="13"/>
  <c r="R1055" i="13"/>
  <c r="A1055" i="13"/>
  <c r="S1054" i="13"/>
  <c r="R1054" i="13"/>
  <c r="A1054" i="13"/>
  <c r="S1053" i="13"/>
  <c r="R1053" i="13"/>
  <c r="A1053" i="13"/>
  <c r="S1052" i="13"/>
  <c r="R1052" i="13"/>
  <c r="A1052" i="13"/>
  <c r="S1051" i="13"/>
  <c r="R1051" i="13"/>
  <c r="A1051" i="13"/>
  <c r="S1050" i="13"/>
  <c r="R1050" i="13"/>
  <c r="A1050" i="13"/>
  <c r="S1049" i="13"/>
  <c r="R1049" i="13"/>
  <c r="A1049" i="13"/>
  <c r="S1048" i="13"/>
  <c r="R1048" i="13"/>
  <c r="A1048" i="13"/>
  <c r="S1047" i="13"/>
  <c r="R1047" i="13"/>
  <c r="A1047" i="13"/>
  <c r="S1046" i="13"/>
  <c r="R1046" i="13"/>
  <c r="A1046" i="13"/>
  <c r="S1045" i="13"/>
  <c r="R1045" i="13"/>
  <c r="A1045" i="13"/>
  <c r="S1044" i="13"/>
  <c r="R1044" i="13"/>
  <c r="A1044" i="13"/>
  <c r="S1043" i="13"/>
  <c r="R1043" i="13"/>
  <c r="A1043" i="13"/>
  <c r="S1042" i="13"/>
  <c r="R1042" i="13"/>
  <c r="A1042" i="13"/>
  <c r="S1041" i="13"/>
  <c r="R1041" i="13"/>
  <c r="A1041" i="13"/>
  <c r="S1040" i="13"/>
  <c r="R1040" i="13"/>
  <c r="A1040" i="13"/>
  <c r="S1039" i="13"/>
  <c r="R1039" i="13"/>
  <c r="A1039" i="13"/>
  <c r="S1038" i="13"/>
  <c r="R1038" i="13"/>
  <c r="A1038" i="13"/>
  <c r="S1037" i="13"/>
  <c r="R1037" i="13"/>
  <c r="A1037" i="13"/>
  <c r="S1036" i="13"/>
  <c r="R1036" i="13"/>
  <c r="A1036" i="13"/>
  <c r="S1035" i="13"/>
  <c r="R1035" i="13"/>
  <c r="A1035" i="13"/>
  <c r="S1034" i="13"/>
  <c r="R1034" i="13"/>
  <c r="A1034" i="13"/>
  <c r="S1033" i="13"/>
  <c r="R1033" i="13"/>
  <c r="A1033" i="13"/>
  <c r="S1032" i="13"/>
  <c r="R1032" i="13"/>
  <c r="A1032" i="13"/>
  <c r="S1031" i="13"/>
  <c r="R1031" i="13"/>
  <c r="A1031" i="13"/>
  <c r="S1030" i="13"/>
  <c r="R1030" i="13"/>
  <c r="A1030" i="13"/>
  <c r="S1029" i="13"/>
  <c r="R1029" i="13"/>
  <c r="A1029" i="13"/>
  <c r="S1028" i="13"/>
  <c r="R1028" i="13"/>
  <c r="A1028" i="13"/>
  <c r="S1027" i="13"/>
  <c r="R1027" i="13"/>
  <c r="A1027" i="13"/>
  <c r="S1026" i="13"/>
  <c r="R1026" i="13"/>
  <c r="A1026" i="13"/>
  <c r="S1025" i="13"/>
  <c r="R1025" i="13"/>
  <c r="A1025" i="13"/>
  <c r="S1024" i="13"/>
  <c r="R1024" i="13"/>
  <c r="A1024" i="13"/>
  <c r="S1023" i="13"/>
  <c r="R1023" i="13"/>
  <c r="A1023" i="13"/>
  <c r="S1022" i="13"/>
  <c r="R1022" i="13"/>
  <c r="A1022" i="13"/>
  <c r="S1021" i="13"/>
  <c r="R1021" i="13"/>
  <c r="A1021" i="13"/>
  <c r="S1020" i="13"/>
  <c r="R1020" i="13"/>
  <c r="A1020" i="13"/>
  <c r="S1019" i="13"/>
  <c r="R1019" i="13"/>
  <c r="A1019" i="13"/>
  <c r="S1018" i="13"/>
  <c r="R1018" i="13"/>
  <c r="A1018" i="13"/>
  <c r="S1017" i="13"/>
  <c r="R1017" i="13"/>
  <c r="A1017" i="13"/>
  <c r="S1016" i="13"/>
  <c r="R1016" i="13"/>
  <c r="A1016" i="13"/>
  <c r="S1015" i="13"/>
  <c r="R1015" i="13"/>
  <c r="A1015" i="13"/>
  <c r="S1014" i="13"/>
  <c r="R1014" i="13"/>
  <c r="A1014" i="13"/>
  <c r="S1013" i="13"/>
  <c r="R1013" i="13"/>
  <c r="A1013" i="13"/>
  <c r="S1012" i="13"/>
  <c r="R1012" i="13"/>
  <c r="A1012" i="13"/>
  <c r="S1011" i="13"/>
  <c r="R1011" i="13"/>
  <c r="A1011" i="13"/>
  <c r="S1010" i="13"/>
  <c r="R1010" i="13"/>
  <c r="A1010" i="13"/>
  <c r="S1009" i="13"/>
  <c r="R1009" i="13"/>
  <c r="A1009" i="13"/>
  <c r="S1008" i="13"/>
  <c r="R1008" i="13"/>
  <c r="A1008" i="13"/>
  <c r="S1007" i="13"/>
  <c r="R1007" i="13"/>
  <c r="A1007" i="13"/>
  <c r="S1006" i="13"/>
  <c r="R1006" i="13"/>
  <c r="A1006" i="13"/>
  <c r="S1005" i="13"/>
  <c r="R1005" i="13"/>
  <c r="A1005" i="13"/>
  <c r="S1004" i="13"/>
  <c r="R1004" i="13"/>
  <c r="A1004" i="13"/>
  <c r="S1003" i="13"/>
  <c r="R1003" i="13"/>
  <c r="A1003" i="13"/>
  <c r="S1002" i="13"/>
  <c r="R1002" i="13"/>
  <c r="A1002" i="13"/>
  <c r="S1001" i="13"/>
  <c r="R1001" i="13"/>
  <c r="A1001" i="13"/>
  <c r="S1000" i="13"/>
  <c r="R1000" i="13"/>
  <c r="A1000" i="13"/>
  <c r="S999" i="13"/>
  <c r="R999" i="13"/>
  <c r="A999" i="13"/>
  <c r="S998" i="13"/>
  <c r="R998" i="13"/>
  <c r="A998" i="13"/>
  <c r="S997" i="13"/>
  <c r="R997" i="13"/>
  <c r="A997" i="13"/>
  <c r="S996" i="13"/>
  <c r="R996" i="13"/>
  <c r="A996" i="13"/>
  <c r="S995" i="13"/>
  <c r="R995" i="13"/>
  <c r="A995" i="13"/>
  <c r="S994" i="13"/>
  <c r="R994" i="13"/>
  <c r="A994" i="13"/>
  <c r="S993" i="13"/>
  <c r="R993" i="13"/>
  <c r="A993" i="13"/>
  <c r="S992" i="13"/>
  <c r="R992" i="13"/>
  <c r="A992" i="13"/>
  <c r="S991" i="13"/>
  <c r="R991" i="13"/>
  <c r="A991" i="13"/>
  <c r="S990" i="13"/>
  <c r="R990" i="13"/>
  <c r="A990" i="13"/>
  <c r="S989" i="13"/>
  <c r="R989" i="13"/>
  <c r="A989" i="13"/>
  <c r="S988" i="13"/>
  <c r="R988" i="13"/>
  <c r="A988" i="13"/>
  <c r="S987" i="13"/>
  <c r="R987" i="13"/>
  <c r="A987" i="13"/>
  <c r="S986" i="13"/>
  <c r="R986" i="13"/>
  <c r="A986" i="13"/>
  <c r="S985" i="13"/>
  <c r="R985" i="13"/>
  <c r="A985" i="13"/>
  <c r="S984" i="13"/>
  <c r="R984" i="13"/>
  <c r="A984" i="13"/>
  <c r="S983" i="13"/>
  <c r="R983" i="13"/>
  <c r="A983" i="13"/>
  <c r="S982" i="13"/>
  <c r="R982" i="13"/>
  <c r="A982" i="13"/>
  <c r="S981" i="13"/>
  <c r="R981" i="13"/>
  <c r="A981" i="13"/>
  <c r="S980" i="13"/>
  <c r="R980" i="13"/>
  <c r="A980" i="13"/>
  <c r="S979" i="13"/>
  <c r="R979" i="13"/>
  <c r="A979" i="13"/>
  <c r="S978" i="13"/>
  <c r="R978" i="13"/>
  <c r="A978" i="13"/>
  <c r="S977" i="13"/>
  <c r="R977" i="13"/>
  <c r="F977" i="13"/>
  <c r="A977" i="13"/>
  <c r="S976" i="13"/>
  <c r="R976" i="13"/>
  <c r="A976" i="13"/>
  <c r="S975" i="13"/>
  <c r="R975" i="13"/>
  <c r="A975" i="13"/>
  <c r="S974" i="13"/>
  <c r="R974" i="13"/>
  <c r="A974" i="13"/>
  <c r="S973" i="13"/>
  <c r="R973" i="13"/>
  <c r="A973" i="13"/>
  <c r="S972" i="13"/>
  <c r="R972" i="13"/>
  <c r="A972" i="13"/>
  <c r="S971" i="13"/>
  <c r="R971" i="13"/>
  <c r="A971" i="13"/>
  <c r="S970" i="13"/>
  <c r="R970" i="13"/>
  <c r="A970" i="13"/>
  <c r="S969" i="13"/>
  <c r="R969" i="13"/>
  <c r="A969" i="13"/>
  <c r="S968" i="13"/>
  <c r="R968" i="13"/>
  <c r="A968" i="13"/>
  <c r="S967" i="13"/>
  <c r="R967" i="13"/>
  <c r="A967" i="13"/>
  <c r="S966" i="13"/>
  <c r="R966" i="13"/>
  <c r="A966" i="13"/>
  <c r="S965" i="13"/>
  <c r="R965" i="13"/>
  <c r="A965" i="13"/>
  <c r="S964" i="13"/>
  <c r="R964" i="13"/>
  <c r="A964" i="13"/>
  <c r="S963" i="13"/>
  <c r="R963" i="13"/>
  <c r="A963" i="13"/>
  <c r="S962" i="13"/>
  <c r="R962" i="13"/>
  <c r="A962" i="13"/>
  <c r="S961" i="13"/>
  <c r="R961" i="13"/>
  <c r="A961" i="13"/>
  <c r="S960" i="13"/>
  <c r="R960" i="13"/>
  <c r="A960" i="13"/>
  <c r="S959" i="13"/>
  <c r="R959" i="13"/>
  <c r="A959" i="13"/>
  <c r="S958" i="13"/>
  <c r="R958" i="13"/>
  <c r="A958" i="13"/>
  <c r="S957" i="13"/>
  <c r="R957" i="13"/>
  <c r="A957" i="13"/>
  <c r="S956" i="13"/>
  <c r="R956" i="13"/>
  <c r="A956" i="13"/>
  <c r="S955" i="13"/>
  <c r="R955" i="13"/>
  <c r="A955" i="13"/>
  <c r="S954" i="13"/>
  <c r="R954" i="13"/>
  <c r="A954" i="13"/>
  <c r="S953" i="13"/>
  <c r="R953" i="13"/>
  <c r="A953" i="13"/>
  <c r="S952" i="13"/>
  <c r="R952" i="13"/>
  <c r="A952" i="13"/>
  <c r="S951" i="13"/>
  <c r="R951" i="13"/>
  <c r="A951" i="13"/>
  <c r="S950" i="13"/>
  <c r="R950" i="13"/>
  <c r="A950" i="13"/>
  <c r="S949" i="13"/>
  <c r="R949" i="13"/>
  <c r="A949" i="13"/>
  <c r="S948" i="13"/>
  <c r="R948" i="13"/>
  <c r="A948" i="13"/>
  <c r="S947" i="13"/>
  <c r="R947" i="13"/>
  <c r="A947" i="13"/>
  <c r="S946" i="13"/>
  <c r="R946" i="13"/>
  <c r="A946" i="13"/>
  <c r="S945" i="13"/>
  <c r="R945" i="13"/>
  <c r="A945" i="13"/>
  <c r="S944" i="13"/>
  <c r="R944" i="13"/>
  <c r="A944" i="13"/>
  <c r="S943" i="13"/>
  <c r="R943" i="13"/>
  <c r="A943" i="13"/>
  <c r="S942" i="13"/>
  <c r="R942" i="13"/>
  <c r="A942" i="13"/>
  <c r="S941" i="13"/>
  <c r="R941" i="13"/>
  <c r="A941" i="13"/>
  <c r="S940" i="13"/>
  <c r="R940" i="13"/>
  <c r="A940" i="13"/>
  <c r="S939" i="13"/>
  <c r="R939" i="13"/>
  <c r="A939" i="13"/>
  <c r="S938" i="13"/>
  <c r="R938" i="13"/>
  <c r="A938" i="13"/>
  <c r="S937" i="13"/>
  <c r="R937" i="13"/>
  <c r="A937" i="13"/>
  <c r="S936" i="13"/>
  <c r="R936" i="13"/>
  <c r="A936" i="13"/>
  <c r="S935" i="13"/>
  <c r="R935" i="13"/>
  <c r="A935" i="13"/>
  <c r="S934" i="13"/>
  <c r="R934" i="13"/>
  <c r="A934" i="13"/>
  <c r="S933" i="13"/>
  <c r="R933" i="13"/>
  <c r="A933" i="13"/>
  <c r="S932" i="13"/>
  <c r="R932" i="13"/>
  <c r="A932" i="13"/>
  <c r="S931" i="13"/>
  <c r="R931" i="13"/>
  <c r="A931" i="13"/>
  <c r="S930" i="13"/>
  <c r="R930" i="13"/>
  <c r="A930" i="13"/>
  <c r="S929" i="13"/>
  <c r="R929" i="13"/>
  <c r="A929" i="13"/>
  <c r="S928" i="13"/>
  <c r="R928" i="13"/>
  <c r="A928" i="13"/>
  <c r="S927" i="13"/>
  <c r="R927" i="13"/>
  <c r="A927" i="13"/>
  <c r="S926" i="13"/>
  <c r="R926" i="13"/>
  <c r="A926" i="13"/>
  <c r="S925" i="13"/>
  <c r="R925" i="13"/>
  <c r="A925" i="13"/>
  <c r="S924" i="13"/>
  <c r="R924" i="13"/>
  <c r="A924" i="13"/>
  <c r="S923" i="13"/>
  <c r="R923" i="13"/>
  <c r="A923" i="13"/>
  <c r="S922" i="13"/>
  <c r="R922" i="13"/>
  <c r="A922" i="13"/>
  <c r="S921" i="13"/>
  <c r="R921" i="13"/>
  <c r="A921" i="13"/>
  <c r="S920" i="13"/>
  <c r="R920" i="13"/>
  <c r="A920" i="13"/>
  <c r="S919" i="13"/>
  <c r="R919" i="13"/>
  <c r="A919" i="13"/>
  <c r="S918" i="13"/>
  <c r="R918" i="13"/>
  <c r="A918" i="13"/>
  <c r="S917" i="13"/>
  <c r="R917" i="13"/>
  <c r="A917" i="13"/>
  <c r="S916" i="13"/>
  <c r="R916" i="13"/>
  <c r="A916" i="13"/>
  <c r="S915" i="13"/>
  <c r="R915" i="13"/>
  <c r="A915" i="13"/>
  <c r="S914" i="13"/>
  <c r="R914" i="13"/>
  <c r="A914" i="13"/>
  <c r="S913" i="13"/>
  <c r="R913" i="13"/>
  <c r="A913" i="13"/>
  <c r="S912" i="13"/>
  <c r="R912" i="13"/>
  <c r="A912" i="13"/>
  <c r="S911" i="13"/>
  <c r="R911" i="13"/>
  <c r="A911" i="13"/>
  <c r="S910" i="13"/>
  <c r="R910" i="13"/>
  <c r="A910" i="13"/>
  <c r="S909" i="13"/>
  <c r="R909" i="13"/>
  <c r="A909" i="13"/>
  <c r="S908" i="13"/>
  <c r="R908" i="13"/>
  <c r="A908" i="13"/>
  <c r="S907" i="13"/>
  <c r="R907" i="13"/>
  <c r="A907" i="13"/>
  <c r="S906" i="13"/>
  <c r="R906" i="13"/>
  <c r="A906" i="13"/>
  <c r="S905" i="13"/>
  <c r="R905" i="13"/>
  <c r="A905" i="13"/>
  <c r="S904" i="13"/>
  <c r="R904" i="13"/>
  <c r="A904" i="13"/>
  <c r="S903" i="13"/>
  <c r="R903" i="13"/>
  <c r="A903" i="13"/>
  <c r="S902" i="13"/>
  <c r="R902" i="13"/>
  <c r="A902" i="13"/>
  <c r="S901" i="13"/>
  <c r="R901" i="13"/>
  <c r="A901" i="13"/>
  <c r="S900" i="13"/>
  <c r="R900" i="13"/>
  <c r="A900" i="13"/>
  <c r="S899" i="13"/>
  <c r="R899" i="13"/>
  <c r="A899" i="13"/>
  <c r="S898" i="13"/>
  <c r="R898" i="13"/>
  <c r="A898" i="13"/>
  <c r="S897" i="13"/>
  <c r="R897" i="13"/>
  <c r="A897" i="13"/>
  <c r="S896" i="13"/>
  <c r="R896" i="13"/>
  <c r="A896" i="13"/>
  <c r="S895" i="13"/>
  <c r="R895" i="13"/>
  <c r="A895" i="13"/>
  <c r="S894" i="13"/>
  <c r="R894" i="13"/>
  <c r="A894" i="13"/>
  <c r="S893" i="13"/>
  <c r="R893" i="13"/>
  <c r="A893" i="13"/>
  <c r="S892" i="13"/>
  <c r="R892" i="13"/>
  <c r="A892" i="13"/>
  <c r="S891" i="13"/>
  <c r="R891" i="13"/>
  <c r="A891" i="13"/>
  <c r="S890" i="13"/>
  <c r="R890" i="13"/>
  <c r="A890" i="13"/>
  <c r="S889" i="13"/>
  <c r="R889" i="13"/>
  <c r="A889" i="13"/>
  <c r="S888" i="13"/>
  <c r="R888" i="13"/>
  <c r="A888" i="13"/>
  <c r="S887" i="13"/>
  <c r="R887" i="13"/>
  <c r="A887" i="13"/>
  <c r="S886" i="13"/>
  <c r="R886" i="13"/>
  <c r="A886" i="13"/>
  <c r="S885" i="13"/>
  <c r="R885" i="13"/>
  <c r="A885" i="13"/>
  <c r="S884" i="13"/>
  <c r="R884" i="13"/>
  <c r="A884" i="13"/>
  <c r="S883" i="13"/>
  <c r="R883" i="13"/>
  <c r="A883" i="13"/>
  <c r="S882" i="13"/>
  <c r="R882" i="13"/>
  <c r="A882" i="13"/>
  <c r="S881" i="13"/>
  <c r="R881" i="13"/>
  <c r="A881" i="13"/>
  <c r="S880" i="13"/>
  <c r="R880" i="13"/>
  <c r="A880" i="13"/>
  <c r="S879" i="13"/>
  <c r="R879" i="13"/>
  <c r="A879" i="13"/>
  <c r="S878" i="13"/>
  <c r="R878" i="13"/>
  <c r="A878" i="13"/>
  <c r="S877" i="13"/>
  <c r="R877" i="13"/>
  <c r="A877" i="13"/>
  <c r="S876" i="13"/>
  <c r="R876" i="13"/>
  <c r="A876" i="13"/>
  <c r="S875" i="13"/>
  <c r="R875" i="13"/>
  <c r="A875" i="13"/>
  <c r="S874" i="13"/>
  <c r="R874" i="13"/>
  <c r="A874" i="13"/>
  <c r="S873" i="13"/>
  <c r="R873" i="13"/>
  <c r="A873" i="13"/>
  <c r="S872" i="13"/>
  <c r="R872" i="13"/>
  <c r="A872" i="13"/>
  <c r="S871" i="13"/>
  <c r="R871" i="13"/>
  <c r="A871" i="13"/>
  <c r="S870" i="13"/>
  <c r="R870" i="13"/>
  <c r="A870" i="13"/>
  <c r="S869" i="13"/>
  <c r="R869" i="13"/>
  <c r="A869" i="13"/>
  <c r="S868" i="13"/>
  <c r="R868" i="13"/>
  <c r="A868" i="13"/>
  <c r="S867" i="13"/>
  <c r="R867" i="13"/>
  <c r="A867" i="13"/>
  <c r="S866" i="13"/>
  <c r="R866" i="13"/>
  <c r="A866" i="13"/>
  <c r="S865" i="13"/>
  <c r="R865" i="13"/>
  <c r="A865" i="13"/>
  <c r="S864" i="13"/>
  <c r="R864" i="13"/>
  <c r="A864" i="13"/>
  <c r="S863" i="13"/>
  <c r="R863" i="13"/>
  <c r="A863" i="13"/>
  <c r="S862" i="13"/>
  <c r="R862" i="13"/>
  <c r="A862" i="13"/>
  <c r="S861" i="13"/>
  <c r="R861" i="13"/>
  <c r="A861" i="13"/>
  <c r="S860" i="13"/>
  <c r="R860" i="13"/>
  <c r="A860" i="13"/>
  <c r="S859" i="13"/>
  <c r="R859" i="13"/>
  <c r="A859" i="13"/>
  <c r="S858" i="13"/>
  <c r="R858" i="13"/>
  <c r="A858" i="13"/>
  <c r="S857" i="13"/>
  <c r="R857" i="13"/>
  <c r="A857" i="13"/>
  <c r="S856" i="13"/>
  <c r="R856" i="13"/>
  <c r="A856" i="13"/>
  <c r="S855" i="13"/>
  <c r="R855" i="13"/>
  <c r="A855" i="13"/>
  <c r="S854" i="13"/>
  <c r="R854" i="13"/>
  <c r="A854" i="13"/>
  <c r="S853" i="13"/>
  <c r="R853" i="13"/>
  <c r="A853" i="13"/>
  <c r="S852" i="13"/>
  <c r="R852" i="13"/>
  <c r="A852" i="13"/>
  <c r="S851" i="13"/>
  <c r="R851" i="13"/>
  <c r="A851" i="13"/>
  <c r="S850" i="13"/>
  <c r="R850" i="13"/>
  <c r="A850" i="13"/>
  <c r="S849" i="13"/>
  <c r="R849" i="13"/>
  <c r="A849" i="13"/>
  <c r="S848" i="13"/>
  <c r="R848" i="13"/>
  <c r="A848" i="13"/>
  <c r="S847" i="13"/>
  <c r="R847" i="13"/>
  <c r="A847" i="13"/>
  <c r="S846" i="13"/>
  <c r="R846" i="13"/>
  <c r="A846" i="13"/>
  <c r="S845" i="13"/>
  <c r="R845" i="13"/>
  <c r="A845" i="13"/>
  <c r="S844" i="13"/>
  <c r="R844" i="13"/>
  <c r="A844" i="13"/>
  <c r="S843" i="13"/>
  <c r="R843" i="13"/>
  <c r="A843" i="13"/>
  <c r="S842" i="13"/>
  <c r="R842" i="13"/>
  <c r="A842" i="13"/>
  <c r="S841" i="13"/>
  <c r="R841" i="13"/>
  <c r="A841" i="13"/>
  <c r="S840" i="13"/>
  <c r="R840" i="13"/>
  <c r="A840" i="13"/>
  <c r="S839" i="13"/>
  <c r="R839" i="13"/>
  <c r="A839" i="13"/>
  <c r="S838" i="13"/>
  <c r="R838" i="13"/>
  <c r="A838" i="13"/>
  <c r="S837" i="13"/>
  <c r="R837" i="13"/>
  <c r="A837" i="13"/>
  <c r="S836" i="13"/>
  <c r="R836" i="13"/>
  <c r="A836" i="13"/>
  <c r="S835" i="13"/>
  <c r="R835" i="13"/>
  <c r="A835" i="13"/>
  <c r="S834" i="13"/>
  <c r="R834" i="13"/>
  <c r="A834" i="13"/>
  <c r="S833" i="13"/>
  <c r="R833" i="13"/>
  <c r="A833" i="13"/>
  <c r="S832" i="13"/>
  <c r="R832" i="13"/>
  <c r="A832" i="13"/>
  <c r="S831" i="13"/>
  <c r="R831" i="13"/>
  <c r="A831" i="13"/>
  <c r="S830" i="13"/>
  <c r="R830" i="13"/>
  <c r="A830" i="13"/>
  <c r="S829" i="13"/>
  <c r="R829" i="13"/>
  <c r="A829" i="13"/>
  <c r="S828" i="13"/>
  <c r="R828" i="13"/>
  <c r="A828" i="13"/>
  <c r="S827" i="13"/>
  <c r="R827" i="13"/>
  <c r="A827" i="13"/>
  <c r="S826" i="13"/>
  <c r="R826" i="13"/>
  <c r="A826" i="13"/>
  <c r="S825" i="13"/>
  <c r="R825" i="13"/>
  <c r="A825" i="13"/>
  <c r="S824" i="13"/>
  <c r="R824" i="13"/>
  <c r="A824" i="13"/>
  <c r="S823" i="13"/>
  <c r="R823" i="13"/>
  <c r="A823" i="13"/>
  <c r="S822" i="13"/>
  <c r="R822" i="13"/>
  <c r="A822" i="13"/>
  <c r="S821" i="13"/>
  <c r="R821" i="13"/>
  <c r="A821" i="13"/>
  <c r="S820" i="13"/>
  <c r="R820" i="13"/>
  <c r="A820" i="13"/>
  <c r="S819" i="13"/>
  <c r="R819" i="13"/>
  <c r="A819" i="13"/>
  <c r="S818" i="13"/>
  <c r="R818" i="13"/>
  <c r="A818" i="13"/>
  <c r="S817" i="13"/>
  <c r="R817" i="13"/>
  <c r="A817" i="13"/>
  <c r="S816" i="13"/>
  <c r="R816" i="13"/>
  <c r="A816" i="13"/>
  <c r="S815" i="13"/>
  <c r="R815" i="13"/>
  <c r="A815" i="13"/>
  <c r="S814" i="13"/>
  <c r="R814" i="13"/>
  <c r="A814" i="13"/>
  <c r="S813" i="13"/>
  <c r="R813" i="13"/>
  <c r="A813" i="13"/>
  <c r="S812" i="13"/>
  <c r="R812" i="13"/>
  <c r="A812" i="13"/>
  <c r="S811" i="13"/>
  <c r="R811" i="13"/>
  <c r="A811" i="13"/>
  <c r="S810" i="13"/>
  <c r="R810" i="13"/>
  <c r="A810" i="13"/>
  <c r="S809" i="13"/>
  <c r="R809" i="13"/>
  <c r="A809" i="13"/>
  <c r="S808" i="13"/>
  <c r="R808" i="13"/>
  <c r="A808" i="13"/>
  <c r="S807" i="13"/>
  <c r="R807" i="13"/>
  <c r="A807" i="13"/>
  <c r="S806" i="13"/>
  <c r="R806" i="13"/>
  <c r="A806" i="13"/>
  <c r="S805" i="13"/>
  <c r="R805" i="13"/>
  <c r="A805" i="13"/>
  <c r="S804" i="13"/>
  <c r="R804" i="13"/>
  <c r="A804" i="13"/>
  <c r="S803" i="13"/>
  <c r="R803" i="13"/>
  <c r="A803" i="13"/>
  <c r="S802" i="13"/>
  <c r="R802" i="13"/>
  <c r="A802" i="13"/>
  <c r="S801" i="13"/>
  <c r="R801" i="13"/>
  <c r="A801" i="13"/>
  <c r="S800" i="13"/>
  <c r="R800" i="13"/>
  <c r="A800" i="13"/>
  <c r="S799" i="13"/>
  <c r="R799" i="13"/>
  <c r="A799" i="13"/>
  <c r="S798" i="13"/>
  <c r="R798" i="13"/>
  <c r="A798" i="13"/>
  <c r="S797" i="13"/>
  <c r="R797" i="13"/>
  <c r="A797" i="13"/>
  <c r="S796" i="13"/>
  <c r="R796" i="13"/>
  <c r="A796" i="13"/>
  <c r="S795" i="13"/>
  <c r="R795" i="13"/>
  <c r="A795" i="13"/>
  <c r="S794" i="13"/>
  <c r="R794" i="13"/>
  <c r="A794" i="13"/>
  <c r="S793" i="13"/>
  <c r="R793" i="13"/>
  <c r="A793" i="13"/>
  <c r="S792" i="13"/>
  <c r="R792" i="13"/>
  <c r="A792" i="13"/>
  <c r="S791" i="13"/>
  <c r="R791" i="13"/>
  <c r="A791" i="13"/>
  <c r="S790" i="13"/>
  <c r="R790" i="13"/>
  <c r="A790" i="13"/>
  <c r="S789" i="13"/>
  <c r="R789" i="13"/>
  <c r="A789" i="13"/>
  <c r="S788" i="13"/>
  <c r="R788" i="13"/>
  <c r="A788" i="13"/>
  <c r="S787" i="13"/>
  <c r="R787" i="13"/>
  <c r="A787" i="13"/>
  <c r="S786" i="13"/>
  <c r="R786" i="13"/>
  <c r="A786" i="13"/>
  <c r="S785" i="13"/>
  <c r="R785" i="13"/>
  <c r="A785" i="13"/>
  <c r="S784" i="13"/>
  <c r="R784" i="13"/>
  <c r="A784" i="13"/>
  <c r="S783" i="13"/>
  <c r="R783" i="13"/>
  <c r="A783" i="13"/>
  <c r="S782" i="13"/>
  <c r="R782" i="13"/>
  <c r="A782" i="13"/>
  <c r="S781" i="13"/>
  <c r="R781" i="13"/>
  <c r="A781" i="13"/>
  <c r="S780" i="13"/>
  <c r="R780" i="13"/>
  <c r="A780" i="13"/>
  <c r="S779" i="13"/>
  <c r="R779" i="13"/>
  <c r="A779" i="13"/>
  <c r="S778" i="13"/>
  <c r="R778" i="13"/>
  <c r="A778" i="13"/>
  <c r="S777" i="13"/>
  <c r="R777" i="13"/>
  <c r="A777" i="13"/>
  <c r="S776" i="13"/>
  <c r="R776" i="13"/>
  <c r="A776" i="13"/>
  <c r="S775" i="13"/>
  <c r="R775" i="13"/>
  <c r="A775" i="13"/>
  <c r="S774" i="13"/>
  <c r="R774" i="13"/>
  <c r="A774" i="13"/>
  <c r="S773" i="13"/>
  <c r="R773" i="13"/>
  <c r="A773" i="13"/>
  <c r="S772" i="13"/>
  <c r="R772" i="13"/>
  <c r="A772" i="13"/>
  <c r="S771" i="13"/>
  <c r="R771" i="13"/>
  <c r="A771" i="13"/>
  <c r="S770" i="13"/>
  <c r="R770" i="13"/>
  <c r="A770" i="13"/>
  <c r="S769" i="13"/>
  <c r="R769" i="13"/>
  <c r="A769" i="13"/>
  <c r="S768" i="13"/>
  <c r="R768" i="13"/>
  <c r="A768" i="13"/>
  <c r="S767" i="13"/>
  <c r="R767" i="13"/>
  <c r="A767" i="13"/>
  <c r="S766" i="13"/>
  <c r="R766" i="13"/>
  <c r="A766" i="13"/>
  <c r="S765" i="13"/>
  <c r="R765" i="13"/>
  <c r="A765" i="13"/>
  <c r="S764" i="13"/>
  <c r="R764" i="13"/>
  <c r="A764" i="13"/>
  <c r="S763" i="13"/>
  <c r="R763" i="13"/>
  <c r="A763" i="13"/>
  <c r="S762" i="13"/>
  <c r="R762" i="13"/>
  <c r="A762" i="13"/>
  <c r="S761" i="13"/>
  <c r="R761" i="13"/>
  <c r="A761" i="13"/>
  <c r="S760" i="13"/>
  <c r="R760" i="13"/>
  <c r="A760" i="13"/>
  <c r="S759" i="13"/>
  <c r="R759" i="13"/>
  <c r="A759" i="13"/>
  <c r="S758" i="13"/>
  <c r="R758" i="13"/>
  <c r="A758" i="13"/>
  <c r="S757" i="13"/>
  <c r="R757" i="13"/>
  <c r="A757" i="13"/>
  <c r="S756" i="13"/>
  <c r="R756" i="13"/>
  <c r="A756" i="13"/>
  <c r="S755" i="13"/>
  <c r="R755" i="13"/>
  <c r="A755" i="13"/>
  <c r="S754" i="13"/>
  <c r="R754" i="13"/>
  <c r="A754" i="13"/>
  <c r="S753" i="13"/>
  <c r="R753" i="13"/>
  <c r="A753" i="13"/>
  <c r="S752" i="13"/>
  <c r="R752" i="13"/>
  <c r="A752" i="13"/>
  <c r="S751" i="13"/>
  <c r="R751" i="13"/>
  <c r="A751" i="13"/>
  <c r="S750" i="13"/>
  <c r="R750" i="13"/>
  <c r="A750" i="13"/>
  <c r="S749" i="13"/>
  <c r="R749" i="13"/>
  <c r="A749" i="13"/>
  <c r="S748" i="13"/>
  <c r="R748" i="13"/>
  <c r="A748" i="13"/>
  <c r="S747" i="13"/>
  <c r="R747" i="13"/>
  <c r="A747" i="13"/>
  <c r="S746" i="13"/>
  <c r="R746" i="13"/>
  <c r="A746" i="13"/>
  <c r="S745" i="13"/>
  <c r="R745" i="13"/>
  <c r="A745" i="13"/>
  <c r="S744" i="13"/>
  <c r="R744" i="13"/>
  <c r="A744" i="13"/>
  <c r="S743" i="13"/>
  <c r="R743" i="13"/>
  <c r="A743" i="13"/>
  <c r="S742" i="13"/>
  <c r="R742" i="13"/>
  <c r="A742" i="13"/>
  <c r="S741" i="13"/>
  <c r="R741" i="13"/>
  <c r="A741" i="13"/>
  <c r="S740" i="13"/>
  <c r="R740" i="13"/>
  <c r="A740" i="13"/>
  <c r="S739" i="13"/>
  <c r="R739" i="13"/>
  <c r="A739" i="13"/>
  <c r="S738" i="13"/>
  <c r="R738" i="13"/>
  <c r="A738" i="13"/>
  <c r="S737" i="13"/>
  <c r="R737" i="13"/>
  <c r="A737" i="13"/>
  <c r="S736" i="13"/>
  <c r="R736" i="13"/>
  <c r="A736" i="13"/>
  <c r="S735" i="13"/>
  <c r="R735" i="13"/>
  <c r="A735" i="13"/>
  <c r="S734" i="13"/>
  <c r="R734" i="13"/>
  <c r="A734" i="13"/>
  <c r="S733" i="13"/>
  <c r="R733" i="13"/>
  <c r="A733" i="13"/>
  <c r="S732" i="13"/>
  <c r="R732" i="13"/>
  <c r="A732" i="13"/>
  <c r="S731" i="13"/>
  <c r="R731" i="13"/>
  <c r="A731" i="13"/>
  <c r="S730" i="13"/>
  <c r="R730" i="13"/>
  <c r="A730" i="13"/>
  <c r="S729" i="13"/>
  <c r="R729" i="13"/>
  <c r="A729" i="13"/>
  <c r="S728" i="13"/>
  <c r="R728" i="13"/>
  <c r="A728" i="13"/>
  <c r="S727" i="13"/>
  <c r="R727" i="13"/>
  <c r="A727" i="13"/>
  <c r="S726" i="13"/>
  <c r="R726" i="13"/>
  <c r="A726" i="13"/>
  <c r="S725" i="13"/>
  <c r="R725" i="13"/>
  <c r="A725" i="13"/>
  <c r="S724" i="13"/>
  <c r="R724" i="13"/>
  <c r="A724" i="13"/>
  <c r="S723" i="13"/>
  <c r="R723" i="13"/>
  <c r="A723" i="13"/>
  <c r="S722" i="13"/>
  <c r="R722" i="13"/>
  <c r="A722" i="13"/>
  <c r="S721" i="13"/>
  <c r="R721" i="13"/>
  <c r="A721" i="13"/>
  <c r="S720" i="13"/>
  <c r="R720" i="13"/>
  <c r="A720" i="13"/>
  <c r="S719" i="13"/>
  <c r="R719" i="13"/>
  <c r="A719" i="13"/>
  <c r="S718" i="13"/>
  <c r="R718" i="13"/>
  <c r="A718" i="13"/>
  <c r="S717" i="13"/>
  <c r="R717" i="13"/>
  <c r="A717" i="13"/>
  <c r="S716" i="13"/>
  <c r="R716" i="13"/>
  <c r="A716" i="13"/>
  <c r="S715" i="13"/>
  <c r="R715" i="13"/>
  <c r="A715" i="13"/>
  <c r="S714" i="13"/>
  <c r="R714" i="13"/>
  <c r="A714" i="13"/>
  <c r="S713" i="13"/>
  <c r="R713" i="13"/>
  <c r="A713" i="13"/>
  <c r="S712" i="13"/>
  <c r="R712" i="13"/>
  <c r="A712" i="13"/>
  <c r="S711" i="13"/>
  <c r="R711" i="13"/>
  <c r="A711" i="13"/>
  <c r="S710" i="13"/>
  <c r="R710" i="13"/>
  <c r="A710" i="13"/>
  <c r="S709" i="13"/>
  <c r="R709" i="13"/>
  <c r="A709" i="13"/>
  <c r="S708" i="13"/>
  <c r="R708" i="13"/>
  <c r="A708" i="13"/>
  <c r="S707" i="13"/>
  <c r="R707" i="13"/>
  <c r="A707" i="13"/>
  <c r="S706" i="13"/>
  <c r="R706" i="13"/>
  <c r="A706" i="13"/>
  <c r="S705" i="13"/>
  <c r="R705" i="13"/>
  <c r="A705" i="13"/>
  <c r="S704" i="13"/>
  <c r="R704" i="13"/>
  <c r="A704" i="13"/>
  <c r="S703" i="13"/>
  <c r="R703" i="13"/>
  <c r="A703" i="13"/>
  <c r="S702" i="13"/>
  <c r="R702" i="13"/>
  <c r="A702" i="13"/>
  <c r="S701" i="13"/>
  <c r="R701" i="13"/>
  <c r="A701" i="13"/>
  <c r="S700" i="13"/>
  <c r="R700" i="13"/>
  <c r="A700" i="13"/>
  <c r="S699" i="13"/>
  <c r="R699" i="13"/>
  <c r="A699" i="13"/>
  <c r="S698" i="13"/>
  <c r="R698" i="13"/>
  <c r="A698" i="13"/>
  <c r="S697" i="13"/>
  <c r="R697" i="13"/>
  <c r="A697" i="13"/>
  <c r="S696" i="13"/>
  <c r="R696" i="13"/>
  <c r="A696" i="13"/>
  <c r="S695" i="13"/>
  <c r="R695" i="13"/>
  <c r="A695" i="13"/>
  <c r="S694" i="13"/>
  <c r="R694" i="13"/>
  <c r="A694" i="13"/>
  <c r="S693" i="13"/>
  <c r="R693" i="13"/>
  <c r="A693" i="13"/>
  <c r="S692" i="13"/>
  <c r="R692" i="13"/>
  <c r="A692" i="13"/>
  <c r="S691" i="13"/>
  <c r="R691" i="13"/>
  <c r="A691" i="13"/>
  <c r="S690" i="13"/>
  <c r="R690" i="13"/>
  <c r="A690" i="13"/>
  <c r="S689" i="13"/>
  <c r="R689" i="13"/>
  <c r="A689" i="13"/>
  <c r="S688" i="13"/>
  <c r="R688" i="13"/>
  <c r="A688" i="13"/>
  <c r="S687" i="13"/>
  <c r="R687" i="13"/>
  <c r="A687" i="13"/>
  <c r="S686" i="13"/>
  <c r="R686" i="13"/>
  <c r="A686" i="13"/>
  <c r="S685" i="13"/>
  <c r="R685" i="13"/>
  <c r="A685" i="13"/>
  <c r="S684" i="13"/>
  <c r="R684" i="13"/>
  <c r="A684" i="13"/>
  <c r="S683" i="13"/>
  <c r="R683" i="13"/>
  <c r="A683" i="13"/>
  <c r="S682" i="13"/>
  <c r="R682" i="13"/>
  <c r="A682" i="13"/>
  <c r="S681" i="13"/>
  <c r="R681" i="13"/>
  <c r="A681" i="13"/>
  <c r="S680" i="13"/>
  <c r="R680" i="13"/>
  <c r="A680" i="13"/>
  <c r="S679" i="13"/>
  <c r="R679" i="13"/>
  <c r="A679" i="13"/>
  <c r="S678" i="13"/>
  <c r="R678" i="13"/>
  <c r="A678" i="13"/>
  <c r="S677" i="13"/>
  <c r="R677" i="13"/>
  <c r="A677" i="13"/>
  <c r="S676" i="13"/>
  <c r="R676" i="13"/>
  <c r="A676" i="13"/>
  <c r="S675" i="13"/>
  <c r="R675" i="13"/>
  <c r="A675" i="13"/>
  <c r="S674" i="13"/>
  <c r="R674" i="13"/>
  <c r="A674" i="13"/>
  <c r="S673" i="13"/>
  <c r="R673" i="13"/>
  <c r="A673" i="13"/>
  <c r="S672" i="13"/>
  <c r="R672" i="13"/>
  <c r="A672" i="13"/>
  <c r="S671" i="13"/>
  <c r="R671" i="13"/>
  <c r="A671" i="13"/>
  <c r="S670" i="13"/>
  <c r="R670" i="13"/>
  <c r="A670" i="13"/>
  <c r="S669" i="13"/>
  <c r="R669" i="13"/>
  <c r="A669" i="13"/>
  <c r="S668" i="13"/>
  <c r="R668" i="13"/>
  <c r="A668" i="13"/>
  <c r="S667" i="13"/>
  <c r="R667" i="13"/>
  <c r="A667" i="13"/>
  <c r="S666" i="13"/>
  <c r="R666" i="13"/>
  <c r="A666" i="13"/>
  <c r="S665" i="13"/>
  <c r="R665" i="13"/>
  <c r="A665" i="13"/>
  <c r="S664" i="13"/>
  <c r="R664" i="13"/>
  <c r="A664" i="13"/>
  <c r="S663" i="13"/>
  <c r="R663" i="13"/>
  <c r="A663" i="13"/>
  <c r="S662" i="13"/>
  <c r="R662" i="13"/>
  <c r="A662" i="13"/>
  <c r="S661" i="13"/>
  <c r="R661" i="13"/>
  <c r="A661" i="13"/>
  <c r="S660" i="13"/>
  <c r="R660" i="13"/>
  <c r="A660" i="13"/>
  <c r="S659" i="13"/>
  <c r="R659" i="13"/>
  <c r="A659" i="13"/>
  <c r="S658" i="13"/>
  <c r="R658" i="13"/>
  <c r="A658" i="13"/>
  <c r="S657" i="13"/>
  <c r="R657" i="13"/>
  <c r="A657" i="13"/>
  <c r="S656" i="13"/>
  <c r="R656" i="13"/>
  <c r="A656" i="13"/>
  <c r="S655" i="13"/>
  <c r="R655" i="13"/>
  <c r="A655" i="13"/>
  <c r="S654" i="13"/>
  <c r="R654" i="13"/>
  <c r="A654" i="13"/>
  <c r="S653" i="13"/>
  <c r="R653" i="13"/>
  <c r="A653" i="13"/>
  <c r="S652" i="13"/>
  <c r="R652" i="13"/>
  <c r="A652" i="13"/>
  <c r="S651" i="13"/>
  <c r="R651" i="13"/>
  <c r="A651" i="13"/>
  <c r="S650" i="13"/>
  <c r="R650" i="13"/>
  <c r="A650" i="13"/>
  <c r="S649" i="13"/>
  <c r="R649" i="13"/>
  <c r="A649" i="13"/>
  <c r="S648" i="13"/>
  <c r="R648" i="13"/>
  <c r="A648" i="13"/>
  <c r="S647" i="13"/>
  <c r="R647" i="13"/>
  <c r="A647" i="13"/>
  <c r="S646" i="13"/>
  <c r="R646" i="13"/>
  <c r="A646" i="13"/>
  <c r="S645" i="13"/>
  <c r="R645" i="13"/>
  <c r="A645" i="13"/>
  <c r="S644" i="13"/>
  <c r="R644" i="13"/>
  <c r="A644" i="13"/>
  <c r="S643" i="13"/>
  <c r="R643" i="13"/>
  <c r="A643" i="13"/>
  <c r="S642" i="13"/>
  <c r="R642" i="13"/>
  <c r="A642" i="13"/>
  <c r="S641" i="13"/>
  <c r="R641" i="13"/>
  <c r="A641" i="13"/>
  <c r="S640" i="13"/>
  <c r="R640" i="13"/>
  <c r="A640" i="13"/>
  <c r="S639" i="13"/>
  <c r="R639" i="13"/>
  <c r="A639" i="13"/>
  <c r="S638" i="13"/>
  <c r="R638" i="13"/>
  <c r="A638" i="13"/>
  <c r="S637" i="13"/>
  <c r="R637" i="13"/>
  <c r="A637" i="13"/>
  <c r="S636" i="13"/>
  <c r="R636" i="13"/>
  <c r="A636" i="13"/>
  <c r="S635" i="13"/>
  <c r="R635" i="13"/>
  <c r="A635" i="13"/>
  <c r="S634" i="13"/>
  <c r="R634" i="13"/>
  <c r="A634" i="13"/>
  <c r="S633" i="13"/>
  <c r="R633" i="13"/>
  <c r="A633" i="13"/>
  <c r="S632" i="13"/>
  <c r="R632" i="13"/>
  <c r="A632" i="13"/>
  <c r="S631" i="13"/>
  <c r="R631" i="13"/>
  <c r="A631" i="13"/>
  <c r="S630" i="13"/>
  <c r="R630" i="13"/>
  <c r="A630" i="13"/>
  <c r="S629" i="13"/>
  <c r="R629" i="13"/>
  <c r="A629" i="13"/>
  <c r="S628" i="13"/>
  <c r="R628" i="13"/>
  <c r="A628" i="13"/>
  <c r="S627" i="13"/>
  <c r="R627" i="13"/>
  <c r="A627" i="13"/>
  <c r="S626" i="13"/>
  <c r="R626" i="13"/>
  <c r="A626" i="13"/>
  <c r="S625" i="13"/>
  <c r="R625" i="13"/>
  <c r="A625" i="13"/>
  <c r="S624" i="13"/>
  <c r="R624" i="13"/>
  <c r="A624" i="13"/>
  <c r="S623" i="13"/>
  <c r="R623" i="13"/>
  <c r="A623" i="13"/>
  <c r="S622" i="13"/>
  <c r="R622" i="13"/>
  <c r="A622" i="13"/>
  <c r="S621" i="13"/>
  <c r="R621" i="13"/>
  <c r="A621" i="13"/>
  <c r="S620" i="13"/>
  <c r="R620" i="13"/>
  <c r="A620" i="13"/>
  <c r="S619" i="13"/>
  <c r="R619" i="13"/>
  <c r="A619" i="13"/>
  <c r="S618" i="13"/>
  <c r="R618" i="13"/>
  <c r="A618" i="13"/>
  <c r="S617" i="13"/>
  <c r="R617" i="13"/>
  <c r="A617" i="13"/>
  <c r="S616" i="13"/>
  <c r="R616" i="13"/>
  <c r="A616" i="13"/>
  <c r="S615" i="13"/>
  <c r="R615" i="13"/>
  <c r="A615" i="13"/>
  <c r="S614" i="13"/>
  <c r="R614" i="13"/>
  <c r="A614" i="13"/>
  <c r="S613" i="13"/>
  <c r="R613" i="13"/>
  <c r="A613" i="13"/>
  <c r="S612" i="13"/>
  <c r="R612" i="13"/>
  <c r="A612" i="13"/>
  <c r="S611" i="13"/>
  <c r="R611" i="13"/>
  <c r="A611" i="13"/>
  <c r="S610" i="13"/>
  <c r="R610" i="13"/>
  <c r="A610" i="13"/>
  <c r="S609" i="13"/>
  <c r="R609" i="13"/>
  <c r="A609" i="13"/>
  <c r="S608" i="13"/>
  <c r="R608" i="13"/>
  <c r="A608" i="13"/>
  <c r="S607" i="13"/>
  <c r="R607" i="13"/>
  <c r="A607" i="13"/>
  <c r="S606" i="13"/>
  <c r="R606" i="13"/>
  <c r="A606" i="13"/>
  <c r="S605" i="13"/>
  <c r="R605" i="13"/>
  <c r="A605" i="13"/>
  <c r="S604" i="13"/>
  <c r="R604" i="13"/>
  <c r="A604" i="13"/>
  <c r="S603" i="13"/>
  <c r="R603" i="13"/>
  <c r="A603" i="13"/>
  <c r="S602" i="13"/>
  <c r="R602" i="13"/>
  <c r="A602" i="13"/>
  <c r="S601" i="13"/>
  <c r="R601" i="13"/>
  <c r="A601" i="13"/>
  <c r="S600" i="13"/>
  <c r="R600" i="13"/>
  <c r="A600" i="13"/>
  <c r="S599" i="13"/>
  <c r="R599" i="13"/>
  <c r="A599" i="13"/>
  <c r="S598" i="13"/>
  <c r="R598" i="13"/>
  <c r="A598" i="13"/>
  <c r="S597" i="13"/>
  <c r="R597" i="13"/>
  <c r="A597" i="13"/>
  <c r="S596" i="13"/>
  <c r="R596" i="13"/>
  <c r="A596" i="13"/>
  <c r="S595" i="13"/>
  <c r="R595" i="13"/>
  <c r="A595" i="13"/>
  <c r="S594" i="13"/>
  <c r="R594" i="13"/>
  <c r="A594" i="13"/>
  <c r="S593" i="13"/>
  <c r="R593" i="13"/>
  <c r="A593" i="13"/>
  <c r="S592" i="13"/>
  <c r="R592" i="13"/>
  <c r="A592" i="13"/>
  <c r="S591" i="13"/>
  <c r="R591" i="13"/>
  <c r="A591" i="13"/>
  <c r="S590" i="13"/>
  <c r="R590" i="13"/>
  <c r="A590" i="13"/>
  <c r="S589" i="13"/>
  <c r="R589" i="13"/>
  <c r="A589" i="13"/>
  <c r="S588" i="13"/>
  <c r="R588" i="13"/>
  <c r="A588" i="13"/>
  <c r="S587" i="13"/>
  <c r="R587" i="13"/>
  <c r="A587" i="13"/>
  <c r="S586" i="13"/>
  <c r="R586" i="13"/>
  <c r="A586" i="13"/>
  <c r="S585" i="13"/>
  <c r="R585" i="13"/>
  <c r="A585" i="13"/>
  <c r="S584" i="13"/>
  <c r="R584" i="13"/>
  <c r="A584" i="13"/>
  <c r="S583" i="13"/>
  <c r="R583" i="13"/>
  <c r="A583" i="13"/>
  <c r="S582" i="13"/>
  <c r="R582" i="13"/>
  <c r="A582" i="13"/>
  <c r="S581" i="13"/>
  <c r="R581" i="13"/>
  <c r="A581" i="13"/>
  <c r="S580" i="13"/>
  <c r="R580" i="13"/>
  <c r="A580" i="13"/>
  <c r="S579" i="13"/>
  <c r="R579" i="13"/>
  <c r="A579" i="13"/>
  <c r="S578" i="13"/>
  <c r="R578" i="13"/>
  <c r="A578" i="13"/>
  <c r="S577" i="13"/>
  <c r="R577" i="13"/>
  <c r="A577" i="13"/>
  <c r="S576" i="13"/>
  <c r="R576" i="13"/>
  <c r="A576" i="13"/>
  <c r="S575" i="13"/>
  <c r="R575" i="13"/>
  <c r="A575" i="13"/>
  <c r="S574" i="13"/>
  <c r="R574" i="13"/>
  <c r="A574" i="13"/>
  <c r="S573" i="13"/>
  <c r="R573" i="13"/>
  <c r="A573" i="13"/>
  <c r="S572" i="13"/>
  <c r="R572" i="13"/>
  <c r="A572" i="13"/>
  <c r="S571" i="13"/>
  <c r="R571" i="13"/>
  <c r="A571" i="13"/>
  <c r="S570" i="13"/>
  <c r="R570" i="13"/>
  <c r="A570" i="13"/>
  <c r="S569" i="13"/>
  <c r="R569" i="13"/>
  <c r="A569" i="13"/>
  <c r="S568" i="13"/>
  <c r="R568" i="13"/>
  <c r="A568" i="13"/>
  <c r="S567" i="13"/>
  <c r="R567" i="13"/>
  <c r="A567" i="13"/>
  <c r="S566" i="13"/>
  <c r="R566" i="13"/>
  <c r="A566" i="13"/>
  <c r="S565" i="13"/>
  <c r="R565" i="13"/>
  <c r="A565" i="13"/>
  <c r="S564" i="13"/>
  <c r="R564" i="13"/>
  <c r="A564" i="13"/>
  <c r="S563" i="13"/>
  <c r="R563" i="13"/>
  <c r="A563" i="13"/>
  <c r="S562" i="13"/>
  <c r="R562" i="13"/>
  <c r="A562" i="13"/>
  <c r="S561" i="13"/>
  <c r="R561" i="13"/>
  <c r="A561" i="13"/>
  <c r="S560" i="13"/>
  <c r="R560" i="13"/>
  <c r="A560" i="13"/>
  <c r="S559" i="13"/>
  <c r="R559" i="13"/>
  <c r="A559" i="13"/>
  <c r="S558" i="13"/>
  <c r="R558" i="13"/>
  <c r="A558" i="13"/>
  <c r="S557" i="13"/>
  <c r="R557" i="13"/>
  <c r="A557" i="13"/>
  <c r="S556" i="13"/>
  <c r="R556" i="13"/>
  <c r="A556" i="13"/>
  <c r="S555" i="13"/>
  <c r="R555" i="13"/>
  <c r="A555" i="13"/>
  <c r="S554" i="13"/>
  <c r="R554" i="13"/>
  <c r="A554" i="13"/>
  <c r="S553" i="13"/>
  <c r="R553" i="13"/>
  <c r="A553" i="13"/>
  <c r="S552" i="13"/>
  <c r="R552" i="13"/>
  <c r="A552" i="13"/>
  <c r="S551" i="13"/>
  <c r="R551" i="13"/>
  <c r="A551" i="13"/>
  <c r="S550" i="13"/>
  <c r="R550" i="13"/>
  <c r="A550" i="13"/>
  <c r="S549" i="13"/>
  <c r="R549" i="13"/>
  <c r="A549" i="13"/>
  <c r="S548" i="13"/>
  <c r="R548" i="13"/>
  <c r="A548" i="13"/>
  <c r="S547" i="13"/>
  <c r="R547" i="13"/>
  <c r="A547" i="13"/>
  <c r="S546" i="13"/>
  <c r="R546" i="13"/>
  <c r="A546" i="13"/>
  <c r="S545" i="13"/>
  <c r="R545" i="13"/>
  <c r="A545" i="13"/>
  <c r="S544" i="13"/>
  <c r="R544" i="13"/>
  <c r="A544" i="13"/>
  <c r="S543" i="13"/>
  <c r="R543" i="13"/>
  <c r="A543" i="13"/>
  <c r="S542" i="13"/>
  <c r="R542" i="13"/>
  <c r="A542" i="13"/>
  <c r="S541" i="13"/>
  <c r="R541" i="13"/>
  <c r="A541" i="13"/>
  <c r="S540" i="13"/>
  <c r="R540" i="13"/>
  <c r="A540" i="13"/>
  <c r="S539" i="13"/>
  <c r="R539" i="13"/>
  <c r="A539" i="13"/>
  <c r="S538" i="13"/>
  <c r="R538" i="13"/>
  <c r="A538" i="13"/>
  <c r="S537" i="13"/>
  <c r="R537" i="13"/>
  <c r="A537" i="13"/>
  <c r="S536" i="13"/>
  <c r="R536" i="13"/>
  <c r="A536" i="13"/>
  <c r="S535" i="13"/>
  <c r="R535" i="13"/>
  <c r="A535" i="13"/>
  <c r="S534" i="13"/>
  <c r="R534" i="13"/>
  <c r="A534" i="13"/>
  <c r="S533" i="13"/>
  <c r="R533" i="13"/>
  <c r="A533" i="13"/>
  <c r="S532" i="13"/>
  <c r="R532" i="13"/>
  <c r="A532" i="13"/>
  <c r="S531" i="13"/>
  <c r="R531" i="13"/>
  <c r="A531" i="13"/>
  <c r="S530" i="13"/>
  <c r="R530" i="13"/>
  <c r="A530" i="13"/>
  <c r="S529" i="13"/>
  <c r="R529" i="13"/>
  <c r="A529" i="13"/>
  <c r="S528" i="13"/>
  <c r="R528" i="13"/>
  <c r="A528" i="13"/>
  <c r="S527" i="13"/>
  <c r="R527" i="13"/>
  <c r="A527" i="13"/>
  <c r="S526" i="13"/>
  <c r="R526" i="13"/>
  <c r="A526" i="13"/>
  <c r="S525" i="13"/>
  <c r="R525" i="13"/>
  <c r="A525" i="13"/>
  <c r="S524" i="13"/>
  <c r="R524" i="13"/>
  <c r="A524" i="13"/>
  <c r="S523" i="13"/>
  <c r="R523" i="13"/>
  <c r="A523" i="13"/>
  <c r="S522" i="13"/>
  <c r="R522" i="13"/>
  <c r="A522" i="13"/>
  <c r="S521" i="13"/>
  <c r="R521" i="13"/>
  <c r="A521" i="13"/>
  <c r="S520" i="13"/>
  <c r="R520" i="13"/>
  <c r="A520" i="13"/>
  <c r="S519" i="13"/>
  <c r="R519" i="13"/>
  <c r="A519" i="13"/>
  <c r="S518" i="13"/>
  <c r="R518" i="13"/>
  <c r="A518" i="13"/>
  <c r="S517" i="13"/>
  <c r="R517" i="13"/>
  <c r="A517" i="13"/>
  <c r="S516" i="13"/>
  <c r="R516" i="13"/>
  <c r="A516" i="13"/>
  <c r="S515" i="13"/>
  <c r="R515" i="13"/>
  <c r="A515" i="13"/>
  <c r="S514" i="13"/>
  <c r="R514" i="13"/>
  <c r="A514" i="13"/>
  <c r="S513" i="13"/>
  <c r="R513" i="13"/>
  <c r="A513" i="13"/>
  <c r="S512" i="13"/>
  <c r="R512" i="13"/>
  <c r="A512" i="13"/>
  <c r="S511" i="13"/>
  <c r="R511" i="13"/>
  <c r="A511" i="13"/>
  <c r="S510" i="13"/>
  <c r="R510" i="13"/>
  <c r="A510" i="13"/>
  <c r="S509" i="13"/>
  <c r="R509" i="13"/>
  <c r="A509" i="13"/>
  <c r="S508" i="13"/>
  <c r="R508" i="13"/>
  <c r="A508" i="13"/>
  <c r="S507" i="13"/>
  <c r="R507" i="13"/>
  <c r="A507" i="13"/>
  <c r="S506" i="13"/>
  <c r="R506" i="13"/>
  <c r="A506" i="13"/>
  <c r="S505" i="13"/>
  <c r="R505" i="13"/>
  <c r="A505" i="13"/>
  <c r="S504" i="13"/>
  <c r="R504" i="13"/>
  <c r="A504" i="13"/>
  <c r="S503" i="13"/>
  <c r="R503" i="13"/>
  <c r="A503" i="13"/>
  <c r="S502" i="13"/>
  <c r="R502" i="13"/>
  <c r="A502" i="13"/>
  <c r="S501" i="13"/>
  <c r="R501" i="13"/>
  <c r="A501" i="13"/>
  <c r="S500" i="13"/>
  <c r="R500" i="13"/>
  <c r="A500" i="13"/>
  <c r="S499" i="13"/>
  <c r="R499" i="13"/>
  <c r="A499" i="13"/>
  <c r="S498" i="13"/>
  <c r="R498" i="13"/>
  <c r="A498" i="13"/>
  <c r="S497" i="13"/>
  <c r="R497" i="13"/>
  <c r="A497" i="13"/>
  <c r="S496" i="13"/>
  <c r="R496" i="13"/>
  <c r="A496" i="13"/>
  <c r="S495" i="13"/>
  <c r="R495" i="13"/>
  <c r="A495" i="13"/>
  <c r="S494" i="13"/>
  <c r="R494" i="13"/>
  <c r="A494" i="13"/>
  <c r="S493" i="13"/>
  <c r="R493" i="13"/>
  <c r="A493" i="13"/>
  <c r="S492" i="13"/>
  <c r="R492" i="13"/>
  <c r="A492" i="13"/>
  <c r="S491" i="13"/>
  <c r="R491" i="13"/>
  <c r="A491" i="13"/>
  <c r="S490" i="13"/>
  <c r="R490" i="13"/>
  <c r="A490" i="13"/>
  <c r="S489" i="13"/>
  <c r="R489" i="13"/>
  <c r="A489" i="13"/>
  <c r="S488" i="13"/>
  <c r="R488" i="13"/>
  <c r="A488" i="13"/>
  <c r="S487" i="13"/>
  <c r="R487" i="13"/>
  <c r="A487" i="13"/>
  <c r="S486" i="13"/>
  <c r="R486" i="13"/>
  <c r="A486" i="13"/>
  <c r="S485" i="13"/>
  <c r="R485" i="13"/>
  <c r="A485" i="13"/>
  <c r="S484" i="13"/>
  <c r="R484" i="13"/>
  <c r="A484" i="13"/>
  <c r="S483" i="13"/>
  <c r="R483" i="13"/>
  <c r="A483" i="13"/>
  <c r="S482" i="13"/>
  <c r="R482" i="13"/>
  <c r="A482" i="13"/>
  <c r="S481" i="13"/>
  <c r="R481" i="13"/>
  <c r="A481" i="13"/>
  <c r="S480" i="13"/>
  <c r="R480" i="13"/>
  <c r="A480" i="13"/>
  <c r="S479" i="13"/>
  <c r="R479" i="13"/>
  <c r="A479" i="13"/>
  <c r="S478" i="13"/>
  <c r="R478" i="13"/>
  <c r="A478" i="13"/>
  <c r="S477" i="13"/>
  <c r="R477" i="13"/>
  <c r="A477" i="13"/>
  <c r="S476" i="13"/>
  <c r="R476" i="13"/>
  <c r="A476" i="13"/>
  <c r="S475" i="13"/>
  <c r="R475" i="13"/>
  <c r="A475" i="13"/>
  <c r="S474" i="13"/>
  <c r="R474" i="13"/>
  <c r="A474" i="13"/>
  <c r="S473" i="13"/>
  <c r="R473" i="13"/>
  <c r="A473" i="13"/>
  <c r="S472" i="13"/>
  <c r="R472" i="13"/>
  <c r="A472" i="13"/>
  <c r="S471" i="13"/>
  <c r="R471" i="13"/>
  <c r="A471" i="13"/>
  <c r="S470" i="13"/>
  <c r="R470" i="13"/>
  <c r="A470" i="13"/>
  <c r="S469" i="13"/>
  <c r="R469" i="13"/>
  <c r="A469" i="13"/>
  <c r="S468" i="13"/>
  <c r="R468" i="13"/>
  <c r="A468" i="13"/>
  <c r="S467" i="13"/>
  <c r="R467" i="13"/>
  <c r="A467" i="13"/>
  <c r="S466" i="13"/>
  <c r="R466" i="13"/>
  <c r="A466" i="13"/>
  <c r="S465" i="13"/>
  <c r="R465" i="13"/>
  <c r="A465" i="13"/>
  <c r="S464" i="13"/>
  <c r="R464" i="13"/>
  <c r="A464" i="13"/>
  <c r="S463" i="13"/>
  <c r="R463" i="13"/>
  <c r="A463" i="13"/>
  <c r="S462" i="13"/>
  <c r="R462" i="13"/>
  <c r="A462" i="13"/>
  <c r="S461" i="13"/>
  <c r="R461" i="13"/>
  <c r="A461" i="13"/>
  <c r="S460" i="13"/>
  <c r="R460" i="13"/>
  <c r="A460" i="13"/>
  <c r="S459" i="13"/>
  <c r="R459" i="13"/>
  <c r="A459" i="13"/>
  <c r="S458" i="13"/>
  <c r="R458" i="13"/>
  <c r="A458" i="13"/>
  <c r="S457" i="13"/>
  <c r="R457" i="13"/>
  <c r="A457" i="13"/>
  <c r="S456" i="13"/>
  <c r="R456" i="13"/>
  <c r="A456" i="13"/>
  <c r="S455" i="13"/>
  <c r="R455" i="13"/>
  <c r="A455" i="13"/>
  <c r="S454" i="13"/>
  <c r="R454" i="13"/>
  <c r="A454" i="13"/>
  <c r="S453" i="13"/>
  <c r="R453" i="13"/>
  <c r="A453" i="13"/>
  <c r="S452" i="13"/>
  <c r="R452" i="13"/>
  <c r="A452" i="13"/>
  <c r="S451" i="13"/>
  <c r="R451" i="13"/>
  <c r="A451" i="13"/>
  <c r="S450" i="13"/>
  <c r="R450" i="13"/>
  <c r="A450" i="13"/>
  <c r="S449" i="13"/>
  <c r="R449" i="13"/>
  <c r="A449" i="13"/>
  <c r="S448" i="13"/>
  <c r="R448" i="13"/>
  <c r="A448" i="13"/>
  <c r="S447" i="13"/>
  <c r="R447" i="13"/>
  <c r="A447" i="13"/>
  <c r="S446" i="13"/>
  <c r="R446" i="13"/>
  <c r="A446" i="13"/>
  <c r="S445" i="13"/>
  <c r="R445" i="13"/>
  <c r="A445" i="13"/>
  <c r="S444" i="13"/>
  <c r="R444" i="13"/>
  <c r="A444" i="13"/>
  <c r="S443" i="13"/>
  <c r="R443" i="13"/>
  <c r="A443" i="13"/>
  <c r="S442" i="13"/>
  <c r="R442" i="13"/>
  <c r="A442" i="13"/>
  <c r="S441" i="13"/>
  <c r="R441" i="13"/>
  <c r="A441" i="13"/>
  <c r="S440" i="13"/>
  <c r="R440" i="13"/>
  <c r="A440" i="13"/>
  <c r="S439" i="13"/>
  <c r="R439" i="13"/>
  <c r="A439" i="13"/>
  <c r="S438" i="13"/>
  <c r="R438" i="13"/>
  <c r="A438" i="13"/>
  <c r="S437" i="13"/>
  <c r="R437" i="13"/>
  <c r="A437" i="13"/>
  <c r="S436" i="13"/>
  <c r="R436" i="13"/>
  <c r="A436" i="13"/>
  <c r="S435" i="13"/>
  <c r="R435" i="13"/>
  <c r="A435" i="13"/>
  <c r="S434" i="13"/>
  <c r="R434" i="13"/>
  <c r="A434" i="13"/>
  <c r="S433" i="13"/>
  <c r="R433" i="13"/>
  <c r="A433" i="13"/>
  <c r="S432" i="13"/>
  <c r="R432" i="13"/>
  <c r="A432" i="13"/>
  <c r="S431" i="13"/>
  <c r="R431" i="13"/>
  <c r="A431" i="13"/>
  <c r="S430" i="13"/>
  <c r="R430" i="13"/>
  <c r="A430" i="13"/>
  <c r="S429" i="13"/>
  <c r="R429" i="13"/>
  <c r="A429" i="13"/>
  <c r="S428" i="13"/>
  <c r="R428" i="13"/>
  <c r="A428" i="13"/>
  <c r="S427" i="13"/>
  <c r="R427" i="13"/>
  <c r="A427" i="13"/>
  <c r="S426" i="13"/>
  <c r="R426" i="13"/>
  <c r="A426" i="13"/>
  <c r="S425" i="13"/>
  <c r="R425" i="13"/>
  <c r="A425" i="13"/>
  <c r="S424" i="13"/>
  <c r="R424" i="13"/>
  <c r="A424" i="13"/>
  <c r="S423" i="13"/>
  <c r="R423" i="13"/>
  <c r="A423" i="13"/>
  <c r="S422" i="13"/>
  <c r="R422" i="13"/>
  <c r="A422" i="13"/>
  <c r="S421" i="13"/>
  <c r="R421" i="13"/>
  <c r="A421" i="13"/>
  <c r="S420" i="13"/>
  <c r="R420" i="13"/>
  <c r="A420" i="13"/>
  <c r="S419" i="13"/>
  <c r="R419" i="13"/>
  <c r="A419" i="13"/>
  <c r="S418" i="13"/>
  <c r="R418" i="13"/>
  <c r="A418" i="13"/>
  <c r="S417" i="13"/>
  <c r="R417" i="13"/>
  <c r="A417" i="13"/>
  <c r="S416" i="13"/>
  <c r="R416" i="13"/>
  <c r="A416" i="13"/>
  <c r="S415" i="13"/>
  <c r="R415" i="13"/>
  <c r="A415" i="13"/>
  <c r="S414" i="13"/>
  <c r="R414" i="13"/>
  <c r="A414" i="13"/>
  <c r="S413" i="13"/>
  <c r="R413" i="13"/>
  <c r="A413" i="13"/>
  <c r="S412" i="13"/>
  <c r="R412" i="13"/>
  <c r="A412" i="13"/>
  <c r="S411" i="13"/>
  <c r="R411" i="13"/>
  <c r="A411" i="13"/>
  <c r="S410" i="13"/>
  <c r="R410" i="13"/>
  <c r="A410" i="13"/>
  <c r="S409" i="13"/>
  <c r="R409" i="13"/>
  <c r="A409" i="13"/>
  <c r="S408" i="13"/>
  <c r="R408" i="13"/>
  <c r="A408" i="13"/>
  <c r="S407" i="13"/>
  <c r="R407" i="13"/>
  <c r="A407" i="13"/>
  <c r="S406" i="13"/>
  <c r="R406" i="13"/>
  <c r="A406" i="13"/>
  <c r="S405" i="13"/>
  <c r="R405" i="13"/>
  <c r="A405" i="13"/>
  <c r="S404" i="13"/>
  <c r="R404" i="13"/>
  <c r="A404" i="13"/>
  <c r="S403" i="13"/>
  <c r="R403" i="13"/>
  <c r="A403" i="13"/>
  <c r="S402" i="13"/>
  <c r="R402" i="13"/>
  <c r="A402" i="13"/>
  <c r="S401" i="13"/>
  <c r="R401" i="13"/>
  <c r="A401" i="13"/>
  <c r="S400" i="13"/>
  <c r="R400" i="13"/>
  <c r="A400" i="13"/>
  <c r="S399" i="13"/>
  <c r="R399" i="13"/>
  <c r="A399" i="13"/>
  <c r="S398" i="13"/>
  <c r="R398" i="13"/>
  <c r="A398" i="13"/>
  <c r="S397" i="13"/>
  <c r="R397" i="13"/>
  <c r="A397" i="13"/>
  <c r="S396" i="13"/>
  <c r="R396" i="13"/>
  <c r="A396" i="13"/>
  <c r="S395" i="13"/>
  <c r="R395" i="13"/>
  <c r="A395" i="13"/>
  <c r="S394" i="13"/>
  <c r="R394" i="13"/>
  <c r="A394" i="13"/>
  <c r="S393" i="13"/>
  <c r="R393" i="13"/>
  <c r="A393" i="13"/>
  <c r="S392" i="13"/>
  <c r="R392" i="13"/>
  <c r="A392" i="13"/>
  <c r="S391" i="13"/>
  <c r="R391" i="13"/>
  <c r="A391" i="13"/>
  <c r="S390" i="13"/>
  <c r="R390" i="13"/>
  <c r="A390" i="13"/>
  <c r="S389" i="13"/>
  <c r="R389" i="13"/>
  <c r="A389" i="13"/>
  <c r="S388" i="13"/>
  <c r="R388" i="13"/>
  <c r="A388" i="13"/>
  <c r="S387" i="13"/>
  <c r="R387" i="13"/>
  <c r="A387" i="13"/>
  <c r="S386" i="13"/>
  <c r="R386" i="13"/>
  <c r="A386" i="13"/>
  <c r="S385" i="13"/>
  <c r="R385" i="13"/>
  <c r="A385" i="13"/>
  <c r="S384" i="13"/>
  <c r="R384" i="13"/>
  <c r="A384" i="13"/>
  <c r="S383" i="13"/>
  <c r="R383" i="13"/>
  <c r="A383" i="13"/>
  <c r="S382" i="13"/>
  <c r="R382" i="13"/>
  <c r="A382" i="13"/>
  <c r="S381" i="13"/>
  <c r="R381" i="13"/>
  <c r="A381" i="13"/>
  <c r="S380" i="13"/>
  <c r="R380" i="13"/>
  <c r="A380" i="13"/>
  <c r="S379" i="13"/>
  <c r="R379" i="13"/>
  <c r="A379" i="13"/>
  <c r="S378" i="13"/>
  <c r="R378" i="13"/>
  <c r="A378" i="13"/>
  <c r="S377" i="13"/>
  <c r="R377" i="13"/>
  <c r="A377" i="13"/>
  <c r="S376" i="13"/>
  <c r="R376" i="13"/>
  <c r="A376" i="13"/>
  <c r="S375" i="13"/>
  <c r="R375" i="13"/>
  <c r="A375" i="13"/>
  <c r="S374" i="13"/>
  <c r="R374" i="13"/>
  <c r="A374" i="13"/>
  <c r="S373" i="13"/>
  <c r="R373" i="13"/>
  <c r="A373" i="13"/>
  <c r="S372" i="13"/>
  <c r="R372" i="13"/>
  <c r="A372" i="13"/>
  <c r="S371" i="13"/>
  <c r="R371" i="13"/>
  <c r="A371" i="13"/>
  <c r="S370" i="13"/>
  <c r="R370" i="13"/>
  <c r="A370" i="13"/>
  <c r="S369" i="13"/>
  <c r="R369" i="13"/>
  <c r="A369" i="13"/>
  <c r="S368" i="13"/>
  <c r="R368" i="13"/>
  <c r="A368" i="13"/>
  <c r="S367" i="13"/>
  <c r="R367" i="13"/>
  <c r="A367" i="13"/>
  <c r="S366" i="13"/>
  <c r="R366" i="13"/>
  <c r="A366" i="13"/>
  <c r="S365" i="13"/>
  <c r="R365" i="13"/>
  <c r="A365" i="13"/>
  <c r="S364" i="13"/>
  <c r="R364" i="13"/>
  <c r="A364" i="13"/>
  <c r="S363" i="13"/>
  <c r="R363" i="13"/>
  <c r="A363" i="13"/>
  <c r="S362" i="13"/>
  <c r="R362" i="13"/>
  <c r="A362" i="13"/>
  <c r="S361" i="13"/>
  <c r="R361" i="13"/>
  <c r="A361" i="13"/>
  <c r="S360" i="13"/>
  <c r="R360" i="13"/>
  <c r="A360" i="13"/>
  <c r="S359" i="13"/>
  <c r="R359" i="13"/>
  <c r="A359" i="13"/>
  <c r="S358" i="13"/>
  <c r="R358" i="13"/>
  <c r="A358" i="13"/>
  <c r="S357" i="13"/>
  <c r="R357" i="13"/>
  <c r="A357" i="13"/>
  <c r="S356" i="13"/>
  <c r="R356" i="13"/>
  <c r="A356" i="13"/>
  <c r="S355" i="13"/>
  <c r="R355" i="13"/>
  <c r="A355" i="13"/>
  <c r="S354" i="13"/>
  <c r="R354" i="13"/>
  <c r="A354" i="13"/>
  <c r="S353" i="13"/>
  <c r="R353" i="13"/>
  <c r="A353" i="13"/>
  <c r="S352" i="13"/>
  <c r="R352" i="13"/>
  <c r="A352" i="13"/>
  <c r="S351" i="13"/>
  <c r="R351" i="13"/>
  <c r="A351" i="13"/>
  <c r="S350" i="13"/>
  <c r="R350" i="13"/>
  <c r="A350" i="13"/>
  <c r="S349" i="13"/>
  <c r="R349" i="13"/>
  <c r="A349" i="13"/>
  <c r="S348" i="13"/>
  <c r="R348" i="13"/>
  <c r="A348" i="13"/>
  <c r="S347" i="13"/>
  <c r="R347" i="13"/>
  <c r="A347" i="13"/>
  <c r="S346" i="13"/>
  <c r="R346" i="13"/>
  <c r="A346" i="13"/>
  <c r="S345" i="13"/>
  <c r="R345" i="13"/>
  <c r="A345" i="13"/>
  <c r="S344" i="13"/>
  <c r="R344" i="13"/>
  <c r="A344" i="13"/>
  <c r="S343" i="13"/>
  <c r="R343" i="13"/>
  <c r="A343" i="13"/>
  <c r="S342" i="13"/>
  <c r="R342" i="13"/>
  <c r="A342" i="13"/>
  <c r="S341" i="13"/>
  <c r="R341" i="13"/>
  <c r="A341" i="13"/>
  <c r="S340" i="13"/>
  <c r="R340" i="13"/>
  <c r="A340" i="13"/>
  <c r="S339" i="13"/>
  <c r="R339" i="13"/>
  <c r="A339" i="13"/>
  <c r="S338" i="13"/>
  <c r="R338" i="13"/>
  <c r="A338" i="13"/>
  <c r="S337" i="13"/>
  <c r="R337" i="13"/>
  <c r="A337" i="13"/>
  <c r="S336" i="13"/>
  <c r="R336" i="13"/>
  <c r="A336" i="13"/>
  <c r="S335" i="13"/>
  <c r="R335" i="13"/>
  <c r="A335" i="13"/>
  <c r="S334" i="13"/>
  <c r="R334" i="13"/>
  <c r="A334" i="13"/>
  <c r="S333" i="13"/>
  <c r="R333" i="13"/>
  <c r="A333" i="13"/>
  <c r="S332" i="13"/>
  <c r="R332" i="13"/>
  <c r="A332" i="13"/>
  <c r="S331" i="13"/>
  <c r="R331" i="13"/>
  <c r="A331" i="13"/>
  <c r="S330" i="13"/>
  <c r="R330" i="13"/>
  <c r="A330" i="13"/>
  <c r="S329" i="13"/>
  <c r="R329" i="13"/>
  <c r="A329" i="13"/>
  <c r="S328" i="13"/>
  <c r="R328" i="13"/>
  <c r="A328" i="13"/>
  <c r="S327" i="13"/>
  <c r="R327" i="13"/>
  <c r="A327" i="13"/>
  <c r="S326" i="13"/>
  <c r="R326" i="13"/>
  <c r="A326" i="13"/>
  <c r="S325" i="13"/>
  <c r="R325" i="13"/>
  <c r="A325" i="13"/>
  <c r="S324" i="13"/>
  <c r="R324" i="13"/>
  <c r="A324" i="13"/>
  <c r="S323" i="13"/>
  <c r="R323" i="13"/>
  <c r="A323" i="13"/>
  <c r="S322" i="13"/>
  <c r="R322" i="13"/>
  <c r="A322" i="13"/>
  <c r="S321" i="13"/>
  <c r="R321" i="13"/>
  <c r="A321" i="13"/>
  <c r="S320" i="13"/>
  <c r="R320" i="13"/>
  <c r="A320" i="13"/>
  <c r="S319" i="13"/>
  <c r="R319" i="13"/>
  <c r="A319" i="13"/>
  <c r="S318" i="13"/>
  <c r="R318" i="13"/>
  <c r="A318" i="13"/>
  <c r="S317" i="13"/>
  <c r="R317" i="13"/>
  <c r="A317" i="13"/>
  <c r="S316" i="13"/>
  <c r="R316" i="13"/>
  <c r="A316" i="13"/>
  <c r="S315" i="13"/>
  <c r="R315" i="13"/>
  <c r="A315" i="13"/>
  <c r="S314" i="13"/>
  <c r="R314" i="13"/>
  <c r="A314" i="13"/>
  <c r="S313" i="13"/>
  <c r="R313" i="13"/>
  <c r="A313" i="13"/>
  <c r="S312" i="13"/>
  <c r="R312" i="13"/>
  <c r="A312" i="13"/>
  <c r="S311" i="13"/>
  <c r="R311" i="13"/>
  <c r="A311" i="13"/>
  <c r="S310" i="13"/>
  <c r="R310" i="13"/>
  <c r="A310" i="13"/>
  <c r="S309" i="13"/>
  <c r="R309" i="13"/>
  <c r="A309" i="13"/>
  <c r="S308" i="13"/>
  <c r="R308" i="13"/>
  <c r="A308" i="13"/>
  <c r="S307" i="13"/>
  <c r="R307" i="13"/>
  <c r="A307" i="13"/>
  <c r="S306" i="13"/>
  <c r="R306" i="13"/>
  <c r="A306" i="13"/>
  <c r="S305" i="13"/>
  <c r="R305" i="13"/>
  <c r="A305" i="13"/>
  <c r="S304" i="13"/>
  <c r="R304" i="13"/>
  <c r="A304" i="13"/>
  <c r="S303" i="13"/>
  <c r="R303" i="13"/>
  <c r="A303" i="13"/>
  <c r="S302" i="13"/>
  <c r="R302" i="13"/>
  <c r="A302" i="13"/>
  <c r="S301" i="13"/>
  <c r="R301" i="13"/>
  <c r="A301" i="13"/>
  <c r="S300" i="13"/>
  <c r="R300" i="13"/>
  <c r="A300" i="13"/>
  <c r="S299" i="13"/>
  <c r="R299" i="13"/>
  <c r="A299" i="13"/>
  <c r="S298" i="13"/>
  <c r="R298" i="13"/>
  <c r="A298" i="13"/>
  <c r="S297" i="13"/>
  <c r="R297" i="13"/>
  <c r="A297" i="13"/>
  <c r="S296" i="13"/>
  <c r="R296" i="13"/>
  <c r="A296" i="13"/>
  <c r="S295" i="13"/>
  <c r="R295" i="13"/>
  <c r="A295" i="13"/>
  <c r="S294" i="13"/>
  <c r="R294" i="13"/>
  <c r="A294" i="13"/>
  <c r="S293" i="13"/>
  <c r="R293" i="13"/>
  <c r="A293" i="13"/>
  <c r="S292" i="13"/>
  <c r="R292" i="13"/>
  <c r="A292" i="13"/>
  <c r="S291" i="13"/>
  <c r="R291" i="13"/>
  <c r="A291" i="13"/>
  <c r="S290" i="13"/>
  <c r="R290" i="13"/>
  <c r="A290" i="13"/>
  <c r="S289" i="13"/>
  <c r="R289" i="13"/>
  <c r="A289" i="13"/>
  <c r="S288" i="13"/>
  <c r="R288" i="13"/>
  <c r="A288" i="13"/>
  <c r="S287" i="13"/>
  <c r="R287" i="13"/>
  <c r="A287" i="13"/>
  <c r="S286" i="13"/>
  <c r="R286" i="13"/>
  <c r="A286" i="13"/>
  <c r="S285" i="13"/>
  <c r="R285" i="13"/>
  <c r="A285" i="13"/>
  <c r="S284" i="13"/>
  <c r="R284" i="13"/>
  <c r="A284" i="13"/>
  <c r="S283" i="13"/>
  <c r="R283" i="13"/>
  <c r="A283" i="13"/>
  <c r="S282" i="13"/>
  <c r="R282" i="13"/>
  <c r="A282" i="13"/>
  <c r="S281" i="13"/>
  <c r="R281" i="13"/>
  <c r="A281" i="13"/>
  <c r="S280" i="13"/>
  <c r="R280" i="13"/>
  <c r="A280" i="13"/>
  <c r="S279" i="13"/>
  <c r="R279" i="13"/>
  <c r="A279" i="13"/>
  <c r="S278" i="13"/>
  <c r="R278" i="13"/>
  <c r="A278" i="13"/>
  <c r="S277" i="13"/>
  <c r="R277" i="13"/>
  <c r="A277" i="13"/>
  <c r="S276" i="13"/>
  <c r="R276" i="13"/>
  <c r="A276" i="13"/>
  <c r="S275" i="13"/>
  <c r="R275" i="13"/>
  <c r="A275" i="13"/>
  <c r="S274" i="13"/>
  <c r="R274" i="13"/>
  <c r="A274" i="13"/>
  <c r="S273" i="13"/>
  <c r="R273" i="13"/>
  <c r="A273" i="13"/>
  <c r="S272" i="13"/>
  <c r="R272" i="13"/>
  <c r="A272" i="13"/>
  <c r="S271" i="13"/>
  <c r="R271" i="13"/>
  <c r="A271" i="13"/>
  <c r="S270" i="13"/>
  <c r="R270" i="13"/>
  <c r="A270" i="13"/>
  <c r="S269" i="13"/>
  <c r="R269" i="13"/>
  <c r="A269" i="13"/>
  <c r="S268" i="13"/>
  <c r="R268" i="13"/>
  <c r="A268" i="13"/>
  <c r="S267" i="13"/>
  <c r="R267" i="13"/>
  <c r="A267" i="13"/>
  <c r="S266" i="13"/>
  <c r="R266" i="13"/>
  <c r="A266" i="13"/>
  <c r="S265" i="13"/>
  <c r="R265" i="13"/>
  <c r="A265" i="13"/>
  <c r="S264" i="13"/>
  <c r="R264" i="13"/>
  <c r="A264" i="13"/>
  <c r="S263" i="13"/>
  <c r="R263" i="13"/>
  <c r="A263" i="13"/>
  <c r="S262" i="13"/>
  <c r="R262" i="13"/>
  <c r="A262" i="13"/>
  <c r="S261" i="13"/>
  <c r="R261" i="13"/>
  <c r="A261" i="13"/>
  <c r="S260" i="13"/>
  <c r="R260" i="13"/>
  <c r="A260" i="13"/>
  <c r="S259" i="13"/>
  <c r="R259" i="13"/>
  <c r="A259" i="13"/>
  <c r="S258" i="13"/>
  <c r="R258" i="13"/>
  <c r="A258" i="13"/>
  <c r="S257" i="13"/>
  <c r="R257" i="13"/>
  <c r="A257" i="13"/>
  <c r="S256" i="13"/>
  <c r="R256" i="13"/>
  <c r="A256" i="13"/>
  <c r="S255" i="13"/>
  <c r="R255" i="13"/>
  <c r="A255" i="13"/>
  <c r="S254" i="13"/>
  <c r="R254" i="13"/>
  <c r="A254" i="13"/>
  <c r="S253" i="13"/>
  <c r="R253" i="13"/>
  <c r="A253" i="13"/>
  <c r="S252" i="13"/>
  <c r="R252" i="13"/>
  <c r="A252" i="13"/>
  <c r="S251" i="13"/>
  <c r="R251" i="13"/>
  <c r="A251" i="13"/>
  <c r="S250" i="13"/>
  <c r="R250" i="13"/>
  <c r="A250" i="13"/>
  <c r="S249" i="13"/>
  <c r="R249" i="13"/>
  <c r="A249" i="13"/>
  <c r="S248" i="13"/>
  <c r="R248" i="13"/>
  <c r="A248" i="13"/>
  <c r="S247" i="13"/>
  <c r="R247" i="13"/>
  <c r="A247" i="13"/>
  <c r="S246" i="13"/>
  <c r="R246" i="13"/>
  <c r="A246" i="13"/>
  <c r="S245" i="13"/>
  <c r="R245" i="13"/>
  <c r="A245" i="13"/>
  <c r="S244" i="13"/>
  <c r="R244" i="13"/>
  <c r="A244" i="13"/>
  <c r="S243" i="13"/>
  <c r="R243" i="13"/>
  <c r="A243" i="13"/>
  <c r="S242" i="13"/>
  <c r="R242" i="13"/>
  <c r="A242" i="13"/>
  <c r="S241" i="13"/>
  <c r="R241" i="13"/>
  <c r="A241" i="13"/>
  <c r="S240" i="13"/>
  <c r="R240" i="13"/>
  <c r="A240" i="13"/>
  <c r="S239" i="13"/>
  <c r="R239" i="13"/>
  <c r="A239" i="13"/>
  <c r="S238" i="13"/>
  <c r="R238" i="13"/>
  <c r="A238" i="13"/>
  <c r="S237" i="13"/>
  <c r="R237" i="13"/>
  <c r="A237" i="13"/>
  <c r="S236" i="13"/>
  <c r="R236" i="13"/>
  <c r="A236" i="13"/>
  <c r="S235" i="13"/>
  <c r="R235" i="13"/>
  <c r="A235" i="13"/>
  <c r="S234" i="13"/>
  <c r="R234" i="13"/>
  <c r="A234" i="13"/>
  <c r="S233" i="13"/>
  <c r="R233" i="13"/>
  <c r="A233" i="13"/>
  <c r="S232" i="13"/>
  <c r="R232" i="13"/>
  <c r="A232" i="13"/>
  <c r="S231" i="13"/>
  <c r="R231" i="13"/>
  <c r="A231" i="13"/>
  <c r="S230" i="13"/>
  <c r="R230" i="13"/>
  <c r="A230" i="13"/>
  <c r="S229" i="13"/>
  <c r="R229" i="13"/>
  <c r="A229" i="13"/>
  <c r="S228" i="13"/>
  <c r="R228" i="13"/>
  <c r="A228" i="13"/>
  <c r="S227" i="13"/>
  <c r="R227" i="13"/>
  <c r="A227" i="13"/>
  <c r="S226" i="13"/>
  <c r="R226" i="13"/>
  <c r="A226" i="13"/>
  <c r="S225" i="13"/>
  <c r="R225" i="13"/>
  <c r="A225" i="13"/>
  <c r="S224" i="13"/>
  <c r="R224" i="13"/>
  <c r="A224" i="13"/>
  <c r="S223" i="13"/>
  <c r="R223" i="13"/>
  <c r="A223" i="13"/>
  <c r="S222" i="13"/>
  <c r="R222" i="13"/>
  <c r="A222" i="13"/>
  <c r="S221" i="13"/>
  <c r="R221" i="13"/>
  <c r="A221" i="13"/>
  <c r="S220" i="13"/>
  <c r="R220" i="13"/>
  <c r="A220" i="13"/>
  <c r="S219" i="13"/>
  <c r="R219" i="13"/>
  <c r="A219" i="13"/>
  <c r="S218" i="13"/>
  <c r="R218" i="13"/>
  <c r="A218" i="13"/>
  <c r="S217" i="13"/>
  <c r="R217" i="13"/>
  <c r="A217" i="13"/>
  <c r="S216" i="13"/>
  <c r="R216" i="13"/>
  <c r="A216" i="13"/>
  <c r="S215" i="13"/>
  <c r="R215" i="13"/>
  <c r="A215" i="13"/>
  <c r="S214" i="13"/>
  <c r="R214" i="13"/>
  <c r="A214" i="13"/>
  <c r="S213" i="13"/>
  <c r="R213" i="13"/>
  <c r="A213" i="13"/>
  <c r="S212" i="13"/>
  <c r="R212" i="13"/>
  <c r="A212" i="13"/>
  <c r="S211" i="13"/>
  <c r="R211" i="13"/>
  <c r="A211" i="13"/>
  <c r="S210" i="13"/>
  <c r="R210" i="13"/>
  <c r="A210" i="13"/>
  <c r="S209" i="13"/>
  <c r="R209" i="13"/>
  <c r="A209" i="13"/>
  <c r="S208" i="13"/>
  <c r="R208" i="13"/>
  <c r="A208" i="13"/>
  <c r="S207" i="13"/>
  <c r="R207" i="13"/>
  <c r="A207" i="13"/>
  <c r="S206" i="13"/>
  <c r="R206" i="13"/>
  <c r="A206" i="13"/>
  <c r="S205" i="13"/>
  <c r="R205" i="13"/>
  <c r="A205" i="13"/>
  <c r="S204" i="13"/>
  <c r="R204" i="13"/>
  <c r="A204" i="13"/>
  <c r="S203" i="13"/>
  <c r="R203" i="13"/>
  <c r="A203" i="13"/>
  <c r="S202" i="13"/>
  <c r="R202" i="13"/>
  <c r="A202" i="13"/>
  <c r="S201" i="13"/>
  <c r="R201" i="13"/>
  <c r="A201" i="13"/>
  <c r="S200" i="13"/>
  <c r="R200" i="13"/>
  <c r="A200" i="13"/>
  <c r="S199" i="13"/>
  <c r="R199" i="13"/>
  <c r="A199" i="13"/>
  <c r="S198" i="13"/>
  <c r="R198" i="13"/>
  <c r="A198" i="13"/>
  <c r="S197" i="13"/>
  <c r="R197" i="13"/>
  <c r="A197" i="13"/>
  <c r="S196" i="13"/>
  <c r="R196" i="13"/>
  <c r="A196" i="13"/>
  <c r="S195" i="13"/>
  <c r="R195" i="13"/>
  <c r="A195" i="13"/>
  <c r="S194" i="13"/>
  <c r="R194" i="13"/>
  <c r="A194" i="13"/>
  <c r="S193" i="13"/>
  <c r="R193" i="13"/>
  <c r="A193" i="13"/>
  <c r="S192" i="13"/>
  <c r="R192" i="13"/>
  <c r="A192" i="13"/>
  <c r="S191" i="13"/>
  <c r="R191" i="13"/>
  <c r="A191" i="13"/>
  <c r="S190" i="13"/>
  <c r="R190" i="13"/>
  <c r="A190" i="13"/>
  <c r="S189" i="13"/>
  <c r="R189" i="13"/>
  <c r="A189" i="13"/>
  <c r="S188" i="13"/>
  <c r="R188" i="13"/>
  <c r="A188" i="13"/>
  <c r="S187" i="13"/>
  <c r="R187" i="13"/>
  <c r="A187" i="13"/>
  <c r="S186" i="13"/>
  <c r="R186" i="13"/>
  <c r="A186" i="13"/>
  <c r="S185" i="13"/>
  <c r="R185" i="13"/>
  <c r="A185" i="13"/>
  <c r="S184" i="13"/>
  <c r="R184" i="13"/>
  <c r="A184" i="13"/>
  <c r="S183" i="13"/>
  <c r="R183" i="13"/>
  <c r="A183" i="13"/>
  <c r="S182" i="13"/>
  <c r="R182" i="13"/>
  <c r="A182" i="13"/>
  <c r="S181" i="13"/>
  <c r="R181" i="13"/>
  <c r="A181" i="13"/>
  <c r="S180" i="13"/>
  <c r="R180" i="13"/>
  <c r="A180" i="13"/>
  <c r="S179" i="13"/>
  <c r="R179" i="13"/>
  <c r="A179" i="13"/>
  <c r="S178" i="13"/>
  <c r="R178" i="13"/>
  <c r="A178" i="13"/>
  <c r="S177" i="13"/>
  <c r="R177" i="13"/>
  <c r="A177" i="13"/>
  <c r="S176" i="13"/>
  <c r="R176" i="13"/>
  <c r="A176" i="13"/>
  <c r="S175" i="13"/>
  <c r="R175" i="13"/>
  <c r="A175" i="13"/>
  <c r="S174" i="13"/>
  <c r="R174" i="13"/>
  <c r="A174" i="13"/>
  <c r="S173" i="13"/>
  <c r="R173" i="13"/>
  <c r="A173" i="13"/>
  <c r="S172" i="13"/>
  <c r="R172" i="13"/>
  <c r="A172" i="13"/>
  <c r="S171" i="13"/>
  <c r="R171" i="13"/>
  <c r="A171" i="13"/>
  <c r="S170" i="13"/>
  <c r="R170" i="13"/>
  <c r="A170" i="13"/>
  <c r="S169" i="13"/>
  <c r="R169" i="13"/>
  <c r="A169" i="13"/>
  <c r="S168" i="13"/>
  <c r="R168" i="13"/>
  <c r="A168" i="13"/>
  <c r="S167" i="13"/>
  <c r="R167" i="13"/>
  <c r="A167" i="13"/>
  <c r="S166" i="13"/>
  <c r="R166" i="13"/>
  <c r="A166" i="13"/>
  <c r="S165" i="13"/>
  <c r="R165" i="13"/>
  <c r="A165" i="13"/>
  <c r="S164" i="13"/>
  <c r="R164" i="13"/>
  <c r="A164" i="13"/>
  <c r="S163" i="13"/>
  <c r="R163" i="13"/>
  <c r="A163" i="13"/>
  <c r="S162" i="13"/>
  <c r="R162" i="13"/>
  <c r="A162" i="13"/>
  <c r="S161" i="13"/>
  <c r="R161" i="13"/>
  <c r="A161" i="13"/>
  <c r="S160" i="13"/>
  <c r="R160" i="13"/>
  <c r="A160" i="13"/>
  <c r="S159" i="13"/>
  <c r="R159" i="13"/>
  <c r="A159" i="13"/>
  <c r="S158" i="13"/>
  <c r="R158" i="13"/>
  <c r="A158" i="13"/>
  <c r="S157" i="13"/>
  <c r="R157" i="13"/>
  <c r="A157" i="13"/>
  <c r="S156" i="13"/>
  <c r="R156" i="13"/>
  <c r="A156" i="13"/>
  <c r="S155" i="13"/>
  <c r="R155" i="13"/>
  <c r="A155" i="13"/>
  <c r="S154" i="13"/>
  <c r="R154" i="13"/>
  <c r="A154" i="13"/>
  <c r="S153" i="13"/>
  <c r="R153" i="13"/>
  <c r="A153" i="13"/>
  <c r="S152" i="13"/>
  <c r="R152" i="13"/>
  <c r="A152" i="13"/>
  <c r="S151" i="13"/>
  <c r="R151" i="13"/>
  <c r="A151" i="13"/>
  <c r="S150" i="13"/>
  <c r="R150" i="13"/>
  <c r="A150" i="13"/>
  <c r="S149" i="13"/>
  <c r="R149" i="13"/>
  <c r="A149" i="13"/>
  <c r="S148" i="13"/>
  <c r="R148" i="13"/>
  <c r="A148" i="13"/>
  <c r="S147" i="13"/>
  <c r="R147" i="13"/>
  <c r="A147" i="13"/>
  <c r="S146" i="13"/>
  <c r="R146" i="13"/>
  <c r="A146" i="13"/>
  <c r="S145" i="13"/>
  <c r="R145" i="13"/>
  <c r="A145" i="13"/>
  <c r="S144" i="13"/>
  <c r="R144" i="13"/>
  <c r="A144" i="13"/>
  <c r="S143" i="13"/>
  <c r="R143" i="13"/>
  <c r="A143" i="13"/>
  <c r="S142" i="13"/>
  <c r="R142" i="13"/>
  <c r="A142" i="13"/>
  <c r="S141" i="13"/>
  <c r="R141" i="13"/>
  <c r="A141" i="13"/>
  <c r="S140" i="13"/>
  <c r="R140" i="13"/>
  <c r="A140" i="13"/>
  <c r="S139" i="13"/>
  <c r="R139" i="13"/>
  <c r="A139" i="13"/>
  <c r="S138" i="13"/>
  <c r="R138" i="13"/>
  <c r="A138" i="13"/>
  <c r="S137" i="13"/>
  <c r="R137" i="13"/>
  <c r="A137" i="13"/>
  <c r="S136" i="13"/>
  <c r="R136" i="13"/>
  <c r="A136" i="13"/>
  <c r="S135" i="13"/>
  <c r="R135" i="13"/>
  <c r="A135" i="13"/>
  <c r="S134" i="13"/>
  <c r="R134" i="13"/>
  <c r="A134" i="13"/>
  <c r="S133" i="13"/>
  <c r="R133" i="13"/>
  <c r="A133" i="13"/>
  <c r="S132" i="13"/>
  <c r="R132" i="13"/>
  <c r="A132" i="13"/>
  <c r="S131" i="13"/>
  <c r="R131" i="13"/>
  <c r="A131" i="13"/>
  <c r="S130" i="13"/>
  <c r="R130" i="13"/>
  <c r="A130" i="13"/>
  <c r="S129" i="13"/>
  <c r="R129" i="13"/>
  <c r="A129" i="13"/>
  <c r="S128" i="13"/>
  <c r="R128" i="13"/>
  <c r="A128" i="13"/>
  <c r="S127" i="13"/>
  <c r="R127" i="13"/>
  <c r="A127" i="13"/>
  <c r="S126" i="13"/>
  <c r="R126" i="13"/>
  <c r="A126" i="13"/>
  <c r="S125" i="13"/>
  <c r="R125" i="13"/>
  <c r="A125" i="13"/>
  <c r="S124" i="13"/>
  <c r="R124" i="13"/>
  <c r="A124" i="13"/>
  <c r="S123" i="13"/>
  <c r="R123" i="13"/>
  <c r="A123" i="13"/>
  <c r="S122" i="13"/>
  <c r="R122" i="13"/>
  <c r="A122" i="13"/>
  <c r="S121" i="13"/>
  <c r="R121" i="13"/>
  <c r="A121" i="13"/>
  <c r="S120" i="13"/>
  <c r="R120" i="13"/>
  <c r="A120" i="13"/>
  <c r="S119" i="13"/>
  <c r="R119" i="13"/>
  <c r="A119" i="13"/>
  <c r="S118" i="13"/>
  <c r="R118" i="13"/>
  <c r="A118" i="13"/>
  <c r="S117" i="13"/>
  <c r="R117" i="13"/>
  <c r="A117" i="13"/>
  <c r="S116" i="13"/>
  <c r="R116" i="13"/>
  <c r="A116" i="13"/>
  <c r="S115" i="13"/>
  <c r="R115" i="13"/>
  <c r="A115" i="13"/>
  <c r="S114" i="13"/>
  <c r="R114" i="13"/>
  <c r="A114" i="13"/>
  <c r="S113" i="13"/>
  <c r="R113" i="13"/>
  <c r="A113" i="13"/>
  <c r="S112" i="13"/>
  <c r="R112" i="13"/>
  <c r="A112" i="13"/>
  <c r="S111" i="13"/>
  <c r="R111" i="13"/>
  <c r="A111" i="13"/>
  <c r="S110" i="13"/>
  <c r="R110" i="13"/>
  <c r="A110" i="13"/>
  <c r="S109" i="13"/>
  <c r="R109" i="13"/>
  <c r="A109" i="13"/>
  <c r="S108" i="13"/>
  <c r="R108" i="13"/>
  <c r="A108" i="13"/>
  <c r="S107" i="13"/>
  <c r="R107" i="13"/>
  <c r="A107" i="13"/>
  <c r="S106" i="13"/>
  <c r="R106" i="13"/>
  <c r="A106" i="13"/>
  <c r="S105" i="13"/>
  <c r="R105" i="13"/>
  <c r="A105" i="13"/>
  <c r="S104" i="13"/>
  <c r="R104" i="13"/>
  <c r="A104" i="13"/>
  <c r="S103" i="13"/>
  <c r="R103" i="13"/>
  <c r="A103" i="13"/>
  <c r="S102" i="13"/>
  <c r="R102" i="13"/>
  <c r="A102" i="13"/>
  <c r="S101" i="13"/>
  <c r="R101" i="13"/>
  <c r="A101" i="13"/>
  <c r="S100" i="13"/>
  <c r="R100" i="13"/>
  <c r="A100" i="13"/>
  <c r="S99" i="13"/>
  <c r="R99" i="13"/>
  <c r="A99" i="13"/>
  <c r="S98" i="13"/>
  <c r="R98" i="13"/>
  <c r="A98" i="13"/>
  <c r="S97" i="13"/>
  <c r="R97" i="13"/>
  <c r="A97" i="13"/>
  <c r="S96" i="13"/>
  <c r="R96" i="13"/>
  <c r="A96" i="13"/>
  <c r="S95" i="13"/>
  <c r="R95" i="13"/>
  <c r="A95" i="13"/>
  <c r="S94" i="13"/>
  <c r="R94" i="13"/>
  <c r="A94" i="13"/>
  <c r="S93" i="13"/>
  <c r="R93" i="13"/>
  <c r="A93" i="13"/>
  <c r="S92" i="13"/>
  <c r="R92" i="13"/>
  <c r="A92" i="13"/>
  <c r="S91" i="13"/>
  <c r="R91" i="13"/>
  <c r="A91" i="13"/>
  <c r="S90" i="13"/>
  <c r="R90" i="13"/>
  <c r="A90" i="13"/>
  <c r="S89" i="13"/>
  <c r="R89" i="13"/>
  <c r="A89" i="13"/>
  <c r="S88" i="13"/>
  <c r="R88" i="13"/>
  <c r="A88" i="13"/>
  <c r="S87" i="13"/>
  <c r="R87" i="13"/>
  <c r="A87" i="13"/>
  <c r="S86" i="13"/>
  <c r="R86" i="13"/>
  <c r="A86" i="13"/>
  <c r="S85" i="13"/>
  <c r="R85" i="13"/>
  <c r="A85" i="13"/>
  <c r="S84" i="13"/>
  <c r="R84" i="13"/>
  <c r="A84" i="13"/>
  <c r="S83" i="13"/>
  <c r="R83" i="13"/>
  <c r="A83" i="13"/>
  <c r="S82" i="13"/>
  <c r="R82" i="13"/>
  <c r="A82" i="13"/>
  <c r="S81" i="13"/>
  <c r="R81" i="13"/>
  <c r="A81" i="13"/>
  <c r="S80" i="13"/>
  <c r="R80" i="13"/>
  <c r="A80" i="13"/>
  <c r="S79" i="13"/>
  <c r="R79" i="13"/>
  <c r="A79" i="13"/>
  <c r="S78" i="13"/>
  <c r="R78" i="13"/>
  <c r="A78" i="13"/>
  <c r="S77" i="13"/>
  <c r="R77" i="13"/>
  <c r="A77" i="13"/>
  <c r="S76" i="13"/>
  <c r="R76" i="13"/>
  <c r="A76" i="13"/>
  <c r="S75" i="13"/>
  <c r="R75" i="13"/>
  <c r="A75" i="13"/>
  <c r="S74" i="13"/>
  <c r="R74" i="13"/>
  <c r="A74" i="13"/>
  <c r="S73" i="13"/>
  <c r="R73" i="13"/>
  <c r="A73" i="13"/>
  <c r="S72" i="13"/>
  <c r="R72" i="13"/>
  <c r="A72" i="13"/>
  <c r="S71" i="13"/>
  <c r="R71" i="13"/>
  <c r="A71" i="13"/>
  <c r="S70" i="13"/>
  <c r="R70" i="13"/>
  <c r="A70" i="13"/>
  <c r="S69" i="13"/>
  <c r="R69" i="13"/>
  <c r="A69" i="13"/>
  <c r="S68" i="13"/>
  <c r="R68" i="13"/>
  <c r="A68" i="13"/>
  <c r="S67" i="13"/>
  <c r="R67" i="13"/>
  <c r="A67" i="13"/>
  <c r="S66" i="13"/>
  <c r="R66" i="13"/>
  <c r="A66" i="13"/>
  <c r="S65" i="13"/>
  <c r="R65" i="13"/>
  <c r="A65" i="13"/>
  <c r="S64" i="13"/>
  <c r="R64" i="13"/>
  <c r="A64" i="13"/>
  <c r="S63" i="13"/>
  <c r="R63" i="13"/>
  <c r="A63" i="13"/>
  <c r="S62" i="13"/>
  <c r="R62" i="13"/>
  <c r="A62" i="13"/>
  <c r="S61" i="13"/>
  <c r="R61" i="13"/>
  <c r="A61" i="13"/>
  <c r="S60" i="13"/>
  <c r="R60" i="13"/>
  <c r="A60" i="13"/>
  <c r="S59" i="13"/>
  <c r="R59" i="13"/>
  <c r="A59" i="13"/>
  <c r="S58" i="13"/>
  <c r="R58" i="13"/>
  <c r="A58" i="13"/>
  <c r="S57" i="13"/>
  <c r="R57" i="13"/>
  <c r="A57" i="13"/>
  <c r="S56" i="13"/>
  <c r="R56" i="13"/>
  <c r="A56" i="13"/>
  <c r="S55" i="13"/>
  <c r="R55" i="13"/>
  <c r="A55" i="13"/>
  <c r="S54" i="13"/>
  <c r="R54" i="13"/>
  <c r="A54" i="13"/>
  <c r="S53" i="13"/>
  <c r="R53" i="13"/>
  <c r="A53" i="13"/>
  <c r="S52" i="13"/>
  <c r="R52" i="13"/>
  <c r="A52" i="13"/>
  <c r="S51" i="13"/>
  <c r="R51" i="13"/>
  <c r="A51" i="13"/>
  <c r="S50" i="13"/>
  <c r="R50" i="13"/>
  <c r="A50" i="13"/>
  <c r="S49" i="13"/>
  <c r="R49" i="13"/>
  <c r="A49" i="13"/>
  <c r="S48" i="13"/>
  <c r="R48" i="13"/>
  <c r="A48" i="13"/>
  <c r="S47" i="13"/>
  <c r="R47" i="13"/>
  <c r="A47" i="13"/>
  <c r="S46" i="13"/>
  <c r="R46" i="13"/>
  <c r="A46" i="13"/>
  <c r="S45" i="13"/>
  <c r="R45" i="13"/>
  <c r="A45" i="13"/>
  <c r="S44" i="13"/>
  <c r="R44" i="13"/>
  <c r="A44" i="13"/>
  <c r="S43" i="13"/>
  <c r="R43" i="13"/>
  <c r="A43" i="13"/>
  <c r="S42" i="13"/>
  <c r="R42" i="13"/>
  <c r="A42" i="13"/>
  <c r="S41" i="13"/>
  <c r="R41" i="13"/>
  <c r="A41" i="13"/>
  <c r="S40" i="13"/>
  <c r="R40" i="13"/>
  <c r="A40" i="13"/>
  <c r="S39" i="13"/>
  <c r="R39" i="13"/>
  <c r="A39" i="13"/>
  <c r="S38" i="13"/>
  <c r="R38" i="13"/>
  <c r="A38" i="13"/>
  <c r="S37" i="13"/>
  <c r="R37" i="13"/>
  <c r="A37" i="13"/>
  <c r="S36" i="13"/>
  <c r="R36" i="13"/>
  <c r="A36" i="13"/>
  <c r="S35" i="13"/>
  <c r="R35" i="13"/>
  <c r="A35" i="13"/>
  <c r="S34" i="13"/>
  <c r="R34" i="13"/>
  <c r="A34" i="13"/>
  <c r="S33" i="13"/>
  <c r="R33" i="13"/>
  <c r="A33" i="13"/>
  <c r="S32" i="13"/>
  <c r="R32" i="13"/>
  <c r="A32" i="13"/>
  <c r="S31" i="13"/>
  <c r="R31" i="13"/>
  <c r="A31" i="13"/>
  <c r="S30" i="13"/>
  <c r="R30" i="13"/>
  <c r="A30" i="13"/>
  <c r="S29" i="13"/>
  <c r="R29" i="13"/>
  <c r="A29" i="13"/>
  <c r="S28" i="13"/>
  <c r="R28" i="13"/>
  <c r="A28" i="13"/>
  <c r="S27" i="13"/>
  <c r="R27" i="13"/>
  <c r="A27" i="13"/>
  <c r="S26" i="13"/>
  <c r="R26" i="13"/>
  <c r="A26" i="13"/>
  <c r="S25" i="13"/>
  <c r="R25" i="13"/>
  <c r="A25" i="13"/>
  <c r="S24" i="13"/>
  <c r="R24" i="13"/>
  <c r="A24" i="13"/>
  <c r="S23" i="13"/>
  <c r="R23" i="13"/>
  <c r="A23" i="13"/>
  <c r="S22" i="13"/>
  <c r="R22" i="13"/>
  <c r="A22" i="13"/>
  <c r="S21" i="13"/>
  <c r="R21" i="13"/>
  <c r="A21" i="13"/>
  <c r="S20" i="13"/>
  <c r="R20" i="13"/>
  <c r="A20" i="13"/>
  <c r="S19" i="13"/>
  <c r="R19" i="13"/>
  <c r="A19" i="13"/>
  <c r="S18" i="13"/>
  <c r="R18" i="13"/>
  <c r="A18" i="13"/>
  <c r="S17" i="13"/>
  <c r="R17" i="13"/>
  <c r="A17" i="13"/>
  <c r="S16" i="13"/>
  <c r="R16" i="13"/>
  <c r="A16" i="13"/>
  <c r="S15" i="13"/>
  <c r="R15" i="13"/>
  <c r="A15" i="13"/>
  <c r="S14" i="13"/>
  <c r="R14" i="13"/>
  <c r="A14" i="13"/>
  <c r="S13" i="13"/>
  <c r="R13" i="13"/>
  <c r="A13" i="13"/>
  <c r="S12" i="13"/>
  <c r="R12" i="13"/>
  <c r="A12" i="13"/>
  <c r="S11" i="13"/>
  <c r="R11" i="13"/>
  <c r="A11" i="13"/>
  <c r="S10" i="13"/>
  <c r="R10" i="13"/>
  <c r="A10" i="13"/>
  <c r="S9" i="13"/>
  <c r="R9" i="13"/>
  <c r="A9" i="13"/>
  <c r="S8" i="13"/>
  <c r="R8" i="13"/>
  <c r="A8" i="13"/>
  <c r="S7" i="13"/>
  <c r="R7" i="13"/>
  <c r="A7" i="13"/>
  <c r="S6" i="13"/>
  <c r="R6" i="13"/>
  <c r="A6" i="13"/>
  <c r="S5" i="13"/>
  <c r="A5" i="13"/>
  <c r="A2" i="13"/>
  <c r="Q1" i="13"/>
  <c r="P1" i="13"/>
  <c r="A1" i="13"/>
  <c r="D95" i="12"/>
  <c r="A2" i="12"/>
  <c r="A1" i="12"/>
  <c r="S2271" i="11"/>
  <c r="Q2271" i="11"/>
  <c r="P2271" i="11"/>
  <c r="A2271" i="11"/>
  <c r="S2270" i="11"/>
  <c r="Q2270" i="11"/>
  <c r="P2270" i="11"/>
  <c r="A2270" i="11"/>
  <c r="S2269" i="11"/>
  <c r="Q2269" i="11"/>
  <c r="P2269" i="11"/>
  <c r="A2269" i="11"/>
  <c r="S2268" i="11"/>
  <c r="Q2268" i="11"/>
  <c r="P2268" i="11"/>
  <c r="A2268" i="11"/>
  <c r="S2267" i="11"/>
  <c r="Q2267" i="11"/>
  <c r="P2267" i="11"/>
  <c r="A2267" i="11"/>
  <c r="S2266" i="11"/>
  <c r="Q2266" i="11"/>
  <c r="P2266" i="11"/>
  <c r="A2266" i="11"/>
  <c r="S2265" i="11"/>
  <c r="Q2265" i="11"/>
  <c r="P2265" i="11"/>
  <c r="A2265" i="11"/>
  <c r="S2264" i="11"/>
  <c r="Q2264" i="11"/>
  <c r="P2264" i="11"/>
  <c r="A2264" i="11"/>
  <c r="S2263" i="11"/>
  <c r="Q2263" i="11"/>
  <c r="P2263" i="11"/>
  <c r="A2263" i="11"/>
  <c r="S2262" i="11"/>
  <c r="Q2262" i="11"/>
  <c r="P2262" i="11"/>
  <c r="A2262" i="11"/>
  <c r="S2261" i="11"/>
  <c r="Q2261" i="11"/>
  <c r="P2261" i="11"/>
  <c r="A2261" i="11"/>
  <c r="S2260" i="11"/>
  <c r="Q2260" i="11"/>
  <c r="P2260" i="11"/>
  <c r="A2260" i="11"/>
  <c r="S2259" i="11"/>
  <c r="Q2259" i="11"/>
  <c r="P2259" i="11"/>
  <c r="A2259" i="11"/>
  <c r="S2258" i="11"/>
  <c r="Q2258" i="11"/>
  <c r="P2258" i="11"/>
  <c r="A2258" i="11"/>
  <c r="S2257" i="11"/>
  <c r="Q2257" i="11"/>
  <c r="P2257" i="11"/>
  <c r="A2257" i="11"/>
  <c r="S2256" i="11"/>
  <c r="Q2256" i="11"/>
  <c r="P2256" i="11"/>
  <c r="A2256" i="11"/>
  <c r="S2255" i="11"/>
  <c r="Q2255" i="11"/>
  <c r="P2255" i="11"/>
  <c r="A2255" i="11"/>
  <c r="S2254" i="11"/>
  <c r="Q2254" i="11"/>
  <c r="P2254" i="11"/>
  <c r="A2254" i="11"/>
  <c r="S2253" i="11"/>
  <c r="Q2253" i="11"/>
  <c r="P2253" i="11"/>
  <c r="A2253" i="11"/>
  <c r="S2252" i="11"/>
  <c r="Q2252" i="11"/>
  <c r="P2252" i="11"/>
  <c r="A2252" i="11"/>
  <c r="S2251" i="11"/>
  <c r="Q2251" i="11"/>
  <c r="P2251" i="11"/>
  <c r="A2251" i="11"/>
  <c r="S2250" i="11"/>
  <c r="Q2250" i="11"/>
  <c r="P2250" i="11"/>
  <c r="A2250" i="11"/>
  <c r="S2249" i="11"/>
  <c r="Q2249" i="11"/>
  <c r="P2249" i="11"/>
  <c r="A2249" i="11"/>
  <c r="S2248" i="11"/>
  <c r="Q2248" i="11"/>
  <c r="P2248" i="11"/>
  <c r="A2248" i="11"/>
  <c r="S2247" i="11"/>
  <c r="Q2247" i="11"/>
  <c r="P2247" i="11"/>
  <c r="A2247" i="11"/>
  <c r="S2246" i="11"/>
  <c r="Q2246" i="11"/>
  <c r="P2246" i="11"/>
  <c r="A2246" i="11"/>
  <c r="S2245" i="11"/>
  <c r="Q2245" i="11"/>
  <c r="P2245" i="11"/>
  <c r="A2245" i="11"/>
  <c r="S2244" i="11"/>
  <c r="Q2244" i="11"/>
  <c r="P2244" i="11"/>
  <c r="A2244" i="11"/>
  <c r="S2243" i="11"/>
  <c r="Q2243" i="11"/>
  <c r="P2243" i="11"/>
  <c r="A2243" i="11"/>
  <c r="S2242" i="11"/>
  <c r="Q2242" i="11"/>
  <c r="P2242" i="11"/>
  <c r="A2242" i="11"/>
  <c r="S2241" i="11"/>
  <c r="Q2241" i="11"/>
  <c r="P2241" i="11"/>
  <c r="A2241" i="11"/>
  <c r="S2240" i="11"/>
  <c r="Q2240" i="11"/>
  <c r="P2240" i="11"/>
  <c r="A2240" i="11"/>
  <c r="S2239" i="11"/>
  <c r="Q2239" i="11"/>
  <c r="P2239" i="11"/>
  <c r="A2239" i="11"/>
  <c r="S2238" i="11"/>
  <c r="Q2238" i="11"/>
  <c r="P2238" i="11"/>
  <c r="A2238" i="11"/>
  <c r="S2237" i="11"/>
  <c r="Q2237" i="11"/>
  <c r="P2237" i="11"/>
  <c r="A2237" i="11"/>
  <c r="S2236" i="11"/>
  <c r="Q2236" i="11"/>
  <c r="P2236" i="11"/>
  <c r="A2236" i="11"/>
  <c r="S2235" i="11"/>
  <c r="Q2235" i="11"/>
  <c r="P2235" i="11"/>
  <c r="A2235" i="11"/>
  <c r="S2234" i="11"/>
  <c r="Q2234" i="11"/>
  <c r="P2234" i="11"/>
  <c r="A2234" i="11"/>
  <c r="S2233" i="11"/>
  <c r="Q2233" i="11"/>
  <c r="P2233" i="11"/>
  <c r="A2233" i="11"/>
  <c r="S2232" i="11"/>
  <c r="Q2232" i="11"/>
  <c r="P2232" i="11"/>
  <c r="A2232" i="11"/>
  <c r="S2231" i="11"/>
  <c r="Q2231" i="11"/>
  <c r="P2231" i="11"/>
  <c r="A2231" i="11"/>
  <c r="S2230" i="11"/>
  <c r="Q2230" i="11"/>
  <c r="P2230" i="11"/>
  <c r="A2230" i="11"/>
  <c r="S2229" i="11"/>
  <c r="Q2229" i="11"/>
  <c r="P2229" i="11"/>
  <c r="A2229" i="11"/>
  <c r="S2228" i="11"/>
  <c r="Q2228" i="11"/>
  <c r="P2228" i="11"/>
  <c r="A2228" i="11"/>
  <c r="S2227" i="11"/>
  <c r="Q2227" i="11"/>
  <c r="P2227" i="11"/>
  <c r="A2227" i="11"/>
  <c r="S2226" i="11"/>
  <c r="Q2226" i="11"/>
  <c r="P2226" i="11"/>
  <c r="A2226" i="11"/>
  <c r="S2225" i="11"/>
  <c r="Q2225" i="11"/>
  <c r="P2225" i="11"/>
  <c r="A2225" i="11"/>
  <c r="S2224" i="11"/>
  <c r="Q2224" i="11"/>
  <c r="P2224" i="11"/>
  <c r="A2224" i="11"/>
  <c r="S2223" i="11"/>
  <c r="Q2223" i="11"/>
  <c r="P2223" i="11"/>
  <c r="A2223" i="11"/>
  <c r="S2222" i="11"/>
  <c r="Q2222" i="11"/>
  <c r="P2222" i="11"/>
  <c r="A2222" i="11"/>
  <c r="S2221" i="11"/>
  <c r="Q2221" i="11"/>
  <c r="P2221" i="11"/>
  <c r="A2221" i="11"/>
  <c r="S2220" i="11"/>
  <c r="Q2220" i="11"/>
  <c r="P2220" i="11"/>
  <c r="A2220" i="11"/>
  <c r="S2219" i="11"/>
  <c r="Q2219" i="11"/>
  <c r="P2219" i="11"/>
  <c r="A2219" i="11"/>
  <c r="S2218" i="11"/>
  <c r="Q2218" i="11"/>
  <c r="P2218" i="11"/>
  <c r="A2218" i="11"/>
  <c r="S2217" i="11"/>
  <c r="Q2217" i="11"/>
  <c r="P2217" i="11"/>
  <c r="A2217" i="11"/>
  <c r="S2216" i="11"/>
  <c r="Q2216" i="11"/>
  <c r="P2216" i="11"/>
  <c r="A2216" i="11"/>
  <c r="S2215" i="11"/>
  <c r="Q2215" i="11"/>
  <c r="P2215" i="11"/>
  <c r="A2215" i="11"/>
  <c r="S2214" i="11"/>
  <c r="Q2214" i="11"/>
  <c r="P2214" i="11"/>
  <c r="A2214" i="11"/>
  <c r="S2213" i="11"/>
  <c r="Q2213" i="11"/>
  <c r="P2213" i="11"/>
  <c r="A2213" i="11"/>
  <c r="S2212" i="11"/>
  <c r="Q2212" i="11"/>
  <c r="P2212" i="11"/>
  <c r="A2212" i="11"/>
  <c r="S2211" i="11"/>
  <c r="Q2211" i="11"/>
  <c r="P2211" i="11"/>
  <c r="A2211" i="11"/>
  <c r="S2210" i="11"/>
  <c r="Q2210" i="11"/>
  <c r="P2210" i="11"/>
  <c r="A2210" i="11"/>
  <c r="S2209" i="11"/>
  <c r="Q2209" i="11"/>
  <c r="P2209" i="11"/>
  <c r="A2209" i="11"/>
  <c r="S2208" i="11"/>
  <c r="Q2208" i="11"/>
  <c r="P2208" i="11"/>
  <c r="A2208" i="11"/>
  <c r="S2207" i="11"/>
  <c r="Q2207" i="11"/>
  <c r="P2207" i="11"/>
  <c r="A2207" i="11"/>
  <c r="S2206" i="11"/>
  <c r="Q2206" i="11"/>
  <c r="P2206" i="11"/>
  <c r="A2206" i="11"/>
  <c r="S2205" i="11"/>
  <c r="Q2205" i="11"/>
  <c r="P2205" i="11"/>
  <c r="A2205" i="11"/>
  <c r="S2204" i="11"/>
  <c r="Q2204" i="11"/>
  <c r="P2204" i="11"/>
  <c r="A2204" i="11"/>
  <c r="S2203" i="11"/>
  <c r="Q2203" i="11"/>
  <c r="P2203" i="11"/>
  <c r="A2203" i="11"/>
  <c r="S2202" i="11"/>
  <c r="Q2202" i="11"/>
  <c r="P2202" i="11"/>
  <c r="A2202" i="11"/>
  <c r="S2201" i="11"/>
  <c r="Q2201" i="11"/>
  <c r="P2201" i="11"/>
  <c r="A2201" i="11"/>
  <c r="S2200" i="11"/>
  <c r="Q2200" i="11"/>
  <c r="P2200" i="11"/>
  <c r="A2200" i="11"/>
  <c r="S2199" i="11"/>
  <c r="Q2199" i="11"/>
  <c r="P2199" i="11"/>
  <c r="A2199" i="11"/>
  <c r="S2198" i="11"/>
  <c r="Q2198" i="11"/>
  <c r="P2198" i="11"/>
  <c r="A2198" i="11"/>
  <c r="S2197" i="11"/>
  <c r="Q2197" i="11"/>
  <c r="P2197" i="11"/>
  <c r="A2197" i="11"/>
  <c r="S2196" i="11"/>
  <c r="Q2196" i="11"/>
  <c r="P2196" i="11"/>
  <c r="A2196" i="11"/>
  <c r="S2195" i="11"/>
  <c r="Q2195" i="11"/>
  <c r="P2195" i="11"/>
  <c r="A2195" i="11"/>
  <c r="S2194" i="11"/>
  <c r="Q2194" i="11"/>
  <c r="P2194" i="11"/>
  <c r="A2194" i="11"/>
  <c r="S2193" i="11"/>
  <c r="Q2193" i="11"/>
  <c r="P2193" i="11"/>
  <c r="A2193" i="11"/>
  <c r="S2192" i="11"/>
  <c r="Q2192" i="11"/>
  <c r="P2192" i="11"/>
  <c r="A2192" i="11"/>
  <c r="S2191" i="11"/>
  <c r="Q2191" i="11"/>
  <c r="P2191" i="11"/>
  <c r="A2191" i="11"/>
  <c r="S2190" i="11"/>
  <c r="Q2190" i="11"/>
  <c r="P2190" i="11"/>
  <c r="A2190" i="11"/>
  <c r="S2189" i="11"/>
  <c r="Q2189" i="11"/>
  <c r="P2189" i="11"/>
  <c r="A2189" i="11"/>
  <c r="S2188" i="11"/>
  <c r="Q2188" i="11"/>
  <c r="P2188" i="11"/>
  <c r="A2188" i="11"/>
  <c r="S2187" i="11"/>
  <c r="Q2187" i="11"/>
  <c r="P2187" i="11"/>
  <c r="A2187" i="11"/>
  <c r="S2186" i="11"/>
  <c r="Q2186" i="11"/>
  <c r="P2186" i="11"/>
  <c r="A2186" i="11"/>
  <c r="S2185" i="11"/>
  <c r="Q2185" i="11"/>
  <c r="P2185" i="11"/>
  <c r="A2185" i="11"/>
  <c r="S2184" i="11"/>
  <c r="Q2184" i="11"/>
  <c r="P2184" i="11"/>
  <c r="A2184" i="11"/>
  <c r="S2183" i="11"/>
  <c r="Q2183" i="11"/>
  <c r="P2183" i="11"/>
  <c r="A2183" i="11"/>
  <c r="S2182" i="11"/>
  <c r="Q2182" i="11"/>
  <c r="P2182" i="11"/>
  <c r="A2182" i="11"/>
  <c r="S2181" i="11"/>
  <c r="Q2181" i="11"/>
  <c r="P2181" i="11"/>
  <c r="A2181" i="11"/>
  <c r="S2180" i="11"/>
  <c r="Q2180" i="11"/>
  <c r="P2180" i="11"/>
  <c r="A2180" i="11"/>
  <c r="S2179" i="11"/>
  <c r="Q2179" i="11"/>
  <c r="P2179" i="11"/>
  <c r="A2179" i="11"/>
  <c r="S2178" i="11"/>
  <c r="Q2178" i="11"/>
  <c r="P2178" i="11"/>
  <c r="A2178" i="11"/>
  <c r="S2177" i="11"/>
  <c r="Q2177" i="11"/>
  <c r="P2177" i="11"/>
  <c r="A2177" i="11"/>
  <c r="S2176" i="11"/>
  <c r="Q2176" i="11"/>
  <c r="P2176" i="11"/>
  <c r="A2176" i="11"/>
  <c r="S2175" i="11"/>
  <c r="Q2175" i="11"/>
  <c r="P2175" i="11"/>
  <c r="A2175" i="11"/>
  <c r="S2174" i="11"/>
  <c r="Q2174" i="11"/>
  <c r="P2174" i="11"/>
  <c r="A2174" i="11"/>
  <c r="S2173" i="11"/>
  <c r="Q2173" i="11"/>
  <c r="P2173" i="11"/>
  <c r="A2173" i="11"/>
  <c r="S2172" i="11"/>
  <c r="Q2172" i="11"/>
  <c r="P2172" i="11"/>
  <c r="A2172" i="11"/>
  <c r="S2171" i="11"/>
  <c r="Q2171" i="11"/>
  <c r="P2171" i="11"/>
  <c r="A2171" i="11"/>
  <c r="S2170" i="11"/>
  <c r="Q2170" i="11"/>
  <c r="P2170" i="11"/>
  <c r="A2170" i="11"/>
  <c r="S2169" i="11"/>
  <c r="Q2169" i="11"/>
  <c r="P2169" i="11"/>
  <c r="A2169" i="11"/>
  <c r="S2168" i="11"/>
  <c r="Q2168" i="11"/>
  <c r="P2168" i="11"/>
  <c r="A2168" i="11"/>
  <c r="S2167" i="11"/>
  <c r="Q2167" i="11"/>
  <c r="P2167" i="11"/>
  <c r="A2167" i="11"/>
  <c r="S2166" i="11"/>
  <c r="Q2166" i="11"/>
  <c r="P2166" i="11"/>
  <c r="A2166" i="11"/>
  <c r="S2165" i="11"/>
  <c r="Q2165" i="11"/>
  <c r="P2165" i="11"/>
  <c r="A2165" i="11"/>
  <c r="S2164" i="11"/>
  <c r="Q2164" i="11"/>
  <c r="P2164" i="11"/>
  <c r="A2164" i="11"/>
  <c r="S2163" i="11"/>
  <c r="Q2163" i="11"/>
  <c r="P2163" i="11"/>
  <c r="A2163" i="11"/>
  <c r="S2162" i="11"/>
  <c r="Q2162" i="11"/>
  <c r="P2162" i="11"/>
  <c r="A2162" i="11"/>
  <c r="S2161" i="11"/>
  <c r="Q2161" i="11"/>
  <c r="P2161" i="11"/>
  <c r="A2161" i="11"/>
  <c r="S2160" i="11"/>
  <c r="Q2160" i="11"/>
  <c r="P2160" i="11"/>
  <c r="A2160" i="11"/>
  <c r="S2159" i="11"/>
  <c r="Q2159" i="11"/>
  <c r="P2159" i="11"/>
  <c r="A2159" i="11"/>
  <c r="S2158" i="11"/>
  <c r="Q2158" i="11"/>
  <c r="P2158" i="11"/>
  <c r="A2158" i="11"/>
  <c r="S2157" i="11"/>
  <c r="Q2157" i="11"/>
  <c r="P2157" i="11"/>
  <c r="A2157" i="11"/>
  <c r="S2156" i="11"/>
  <c r="Q2156" i="11"/>
  <c r="P2156" i="11"/>
  <c r="A2156" i="11"/>
  <c r="S2155" i="11"/>
  <c r="Q2155" i="11"/>
  <c r="P2155" i="11"/>
  <c r="A2155" i="11"/>
  <c r="S2154" i="11"/>
  <c r="Q2154" i="11"/>
  <c r="P2154" i="11"/>
  <c r="A2154" i="11"/>
  <c r="S2153" i="11"/>
  <c r="Q2153" i="11"/>
  <c r="P2153" i="11"/>
  <c r="A2153" i="11"/>
  <c r="S2152" i="11"/>
  <c r="Q2152" i="11"/>
  <c r="P2152" i="11"/>
  <c r="A2152" i="11"/>
  <c r="S2151" i="11"/>
  <c r="Q2151" i="11"/>
  <c r="P2151" i="11"/>
  <c r="A2151" i="11"/>
  <c r="S2150" i="11"/>
  <c r="Q2150" i="11"/>
  <c r="P2150" i="11"/>
  <c r="A2150" i="11"/>
  <c r="S2149" i="11"/>
  <c r="Q2149" i="11"/>
  <c r="P2149" i="11"/>
  <c r="A2149" i="11"/>
  <c r="S2148" i="11"/>
  <c r="Q2148" i="11"/>
  <c r="P2148" i="11"/>
  <c r="A2148" i="11"/>
  <c r="S2147" i="11"/>
  <c r="Q2147" i="11"/>
  <c r="P2147" i="11"/>
  <c r="A2147" i="11"/>
  <c r="S2146" i="11"/>
  <c r="Q2146" i="11"/>
  <c r="P2146" i="11"/>
  <c r="A2146" i="11"/>
  <c r="S2145" i="11"/>
  <c r="Q2145" i="11"/>
  <c r="P2145" i="11"/>
  <c r="A2145" i="11"/>
  <c r="S2144" i="11"/>
  <c r="Q2144" i="11"/>
  <c r="P2144" i="11"/>
  <c r="A2144" i="11"/>
  <c r="S2143" i="11"/>
  <c r="Q2143" i="11"/>
  <c r="P2143" i="11"/>
  <c r="A2143" i="11"/>
  <c r="S2142" i="11"/>
  <c r="Q2142" i="11"/>
  <c r="P2142" i="11"/>
  <c r="A2142" i="11"/>
  <c r="S2141" i="11"/>
  <c r="Q2141" i="11"/>
  <c r="P2141" i="11"/>
  <c r="A2141" i="11"/>
  <c r="S2140" i="11"/>
  <c r="Q2140" i="11"/>
  <c r="P2140" i="11"/>
  <c r="A2140" i="11"/>
  <c r="S2139" i="11"/>
  <c r="Q2139" i="11"/>
  <c r="P2139" i="11"/>
  <c r="A2139" i="11"/>
  <c r="S2138" i="11"/>
  <c r="Q2138" i="11"/>
  <c r="P2138" i="11"/>
  <c r="A2138" i="11"/>
  <c r="S2137" i="11"/>
  <c r="Q2137" i="11"/>
  <c r="P2137" i="11"/>
  <c r="A2137" i="11"/>
  <c r="S2136" i="11"/>
  <c r="Q2136" i="11"/>
  <c r="P2136" i="11"/>
  <c r="A2136" i="11"/>
  <c r="S2135" i="11"/>
  <c r="Q2135" i="11"/>
  <c r="P2135" i="11"/>
  <c r="A2135" i="11"/>
  <c r="S2134" i="11"/>
  <c r="Q2134" i="11"/>
  <c r="P2134" i="11"/>
  <c r="A2134" i="11"/>
  <c r="S2133" i="11"/>
  <c r="Q2133" i="11"/>
  <c r="P2133" i="11"/>
  <c r="A2133" i="11"/>
  <c r="S2132" i="11"/>
  <c r="Q2132" i="11"/>
  <c r="P2132" i="11"/>
  <c r="A2132" i="11"/>
  <c r="S2131" i="11"/>
  <c r="Q2131" i="11"/>
  <c r="P2131" i="11"/>
  <c r="A2131" i="11"/>
  <c r="S2130" i="11"/>
  <c r="Q2130" i="11"/>
  <c r="P2130" i="11"/>
  <c r="A2130" i="11"/>
  <c r="S2129" i="11"/>
  <c r="Q2129" i="11"/>
  <c r="P2129" i="11"/>
  <c r="A2129" i="11"/>
  <c r="S2128" i="11"/>
  <c r="Q2128" i="11"/>
  <c r="P2128" i="11"/>
  <c r="A2128" i="11"/>
  <c r="S2127" i="11"/>
  <c r="Q2127" i="11"/>
  <c r="P2127" i="11"/>
  <c r="A2127" i="11"/>
  <c r="S2126" i="11"/>
  <c r="Q2126" i="11"/>
  <c r="P2126" i="11"/>
  <c r="A2126" i="11"/>
  <c r="S2125" i="11"/>
  <c r="Q2125" i="11"/>
  <c r="P2125" i="11"/>
  <c r="A2125" i="11"/>
  <c r="S2124" i="11"/>
  <c r="Q2124" i="11"/>
  <c r="P2124" i="11"/>
  <c r="A2124" i="11"/>
  <c r="S2123" i="11"/>
  <c r="Q2123" i="11"/>
  <c r="P2123" i="11"/>
  <c r="A2123" i="11"/>
  <c r="S2122" i="11"/>
  <c r="Q2122" i="11"/>
  <c r="P2122" i="11"/>
  <c r="A2122" i="11"/>
  <c r="S2121" i="11"/>
  <c r="Q2121" i="11"/>
  <c r="P2121" i="11"/>
  <c r="A2121" i="11"/>
  <c r="S2120" i="11"/>
  <c r="Q2120" i="11"/>
  <c r="P2120" i="11"/>
  <c r="A2120" i="11"/>
  <c r="S2119" i="11"/>
  <c r="Q2119" i="11"/>
  <c r="P2119" i="11"/>
  <c r="A2119" i="11"/>
  <c r="S2118" i="11"/>
  <c r="Q2118" i="11"/>
  <c r="P2118" i="11"/>
  <c r="A2118" i="11"/>
  <c r="S2117" i="11"/>
  <c r="Q2117" i="11"/>
  <c r="P2117" i="11"/>
  <c r="A2117" i="11"/>
  <c r="S2116" i="11"/>
  <c r="Q2116" i="11"/>
  <c r="P2116" i="11"/>
  <c r="A2116" i="11"/>
  <c r="S2115" i="11"/>
  <c r="Q2115" i="11"/>
  <c r="P2115" i="11"/>
  <c r="A2115" i="11"/>
  <c r="S2114" i="11"/>
  <c r="Q2114" i="11"/>
  <c r="P2114" i="11"/>
  <c r="A2114" i="11"/>
  <c r="S2113" i="11"/>
  <c r="Q2113" i="11"/>
  <c r="P2113" i="11"/>
  <c r="A2113" i="11"/>
  <c r="S2112" i="11"/>
  <c r="Q2112" i="11"/>
  <c r="P2112" i="11"/>
  <c r="A2112" i="11"/>
  <c r="S2111" i="11"/>
  <c r="Q2111" i="11"/>
  <c r="P2111" i="11"/>
  <c r="A2111" i="11"/>
  <c r="S2110" i="11"/>
  <c r="Q2110" i="11"/>
  <c r="P2110" i="11"/>
  <c r="A2110" i="11"/>
  <c r="S2109" i="11"/>
  <c r="Q2109" i="11"/>
  <c r="P2109" i="11"/>
  <c r="A2109" i="11"/>
  <c r="S2108" i="11"/>
  <c r="Q2108" i="11"/>
  <c r="P2108" i="11"/>
  <c r="A2108" i="11"/>
  <c r="S2107" i="11"/>
  <c r="Q2107" i="11"/>
  <c r="P2107" i="11"/>
  <c r="A2107" i="11"/>
  <c r="S2106" i="11"/>
  <c r="Q2106" i="11"/>
  <c r="P2106" i="11"/>
  <c r="A2106" i="11"/>
  <c r="S2105" i="11"/>
  <c r="Q2105" i="11"/>
  <c r="P2105" i="11"/>
  <c r="A2105" i="11"/>
  <c r="S2104" i="11"/>
  <c r="Q2104" i="11"/>
  <c r="P2104" i="11"/>
  <c r="A2104" i="11"/>
  <c r="S2103" i="11"/>
  <c r="Q2103" i="11"/>
  <c r="P2103" i="11"/>
  <c r="A2103" i="11"/>
  <c r="S2102" i="11"/>
  <c r="Q2102" i="11"/>
  <c r="P2102" i="11"/>
  <c r="A2102" i="11"/>
  <c r="S2101" i="11"/>
  <c r="Q2101" i="11"/>
  <c r="P2101" i="11"/>
  <c r="A2101" i="11"/>
  <c r="S2100" i="11"/>
  <c r="Q2100" i="11"/>
  <c r="P2100" i="11"/>
  <c r="A2100" i="11"/>
  <c r="S2099" i="11"/>
  <c r="Q2099" i="11"/>
  <c r="P2099" i="11"/>
  <c r="A2099" i="11"/>
  <c r="S2098" i="11"/>
  <c r="Q2098" i="11"/>
  <c r="P2098" i="11"/>
  <c r="A2098" i="11"/>
  <c r="S2097" i="11"/>
  <c r="Q2097" i="11"/>
  <c r="P2097" i="11"/>
  <c r="A2097" i="11"/>
  <c r="S2096" i="11"/>
  <c r="Q2096" i="11"/>
  <c r="P2096" i="11"/>
  <c r="A2096" i="11"/>
  <c r="S2095" i="11"/>
  <c r="Q2095" i="11"/>
  <c r="P2095" i="11"/>
  <c r="A2095" i="11"/>
  <c r="S2094" i="11"/>
  <c r="Q2094" i="11"/>
  <c r="P2094" i="11"/>
  <c r="A2094" i="11"/>
  <c r="S2093" i="11"/>
  <c r="Q2093" i="11"/>
  <c r="P2093" i="11"/>
  <c r="A2093" i="11"/>
  <c r="S2092" i="11"/>
  <c r="Q2092" i="11"/>
  <c r="P2092" i="11"/>
  <c r="A2092" i="11"/>
  <c r="S2091" i="11"/>
  <c r="Q2091" i="11"/>
  <c r="P2091" i="11"/>
  <c r="A2091" i="11"/>
  <c r="S2090" i="11"/>
  <c r="Q2090" i="11"/>
  <c r="P2090" i="11"/>
  <c r="A2090" i="11"/>
  <c r="S2089" i="11"/>
  <c r="Q2089" i="11"/>
  <c r="P2089" i="11"/>
  <c r="A2089" i="11"/>
  <c r="S2088" i="11"/>
  <c r="Q2088" i="11"/>
  <c r="P2088" i="11"/>
  <c r="A2088" i="11"/>
  <c r="S2087" i="11"/>
  <c r="Q2087" i="11"/>
  <c r="P2087" i="11"/>
  <c r="A2087" i="11"/>
  <c r="S2086" i="11"/>
  <c r="Q2086" i="11"/>
  <c r="P2086" i="11"/>
  <c r="A2086" i="11"/>
  <c r="S2085" i="11"/>
  <c r="Q2085" i="11"/>
  <c r="P2085" i="11"/>
  <c r="A2085" i="11"/>
  <c r="S2084" i="11"/>
  <c r="Q2084" i="11"/>
  <c r="P2084" i="11"/>
  <c r="A2084" i="11"/>
  <c r="S2083" i="11"/>
  <c r="Q2083" i="11"/>
  <c r="P2083" i="11"/>
  <c r="A2083" i="11"/>
  <c r="S2082" i="11"/>
  <c r="Q2082" i="11"/>
  <c r="P2082" i="11"/>
  <c r="A2082" i="11"/>
  <c r="S2081" i="11"/>
  <c r="Q2081" i="11"/>
  <c r="P2081" i="11"/>
  <c r="A2081" i="11"/>
  <c r="S2080" i="11"/>
  <c r="Q2080" i="11"/>
  <c r="P2080" i="11"/>
  <c r="A2080" i="11"/>
  <c r="S2079" i="11"/>
  <c r="Q2079" i="11"/>
  <c r="P2079" i="11"/>
  <c r="A2079" i="11"/>
  <c r="S2078" i="11"/>
  <c r="Q2078" i="11"/>
  <c r="P2078" i="11"/>
  <c r="A2078" i="11"/>
  <c r="S2077" i="11"/>
  <c r="Q2077" i="11"/>
  <c r="P2077" i="11"/>
  <c r="A2077" i="11"/>
  <c r="S2076" i="11"/>
  <c r="Q2076" i="11"/>
  <c r="P2076" i="11"/>
  <c r="A2076" i="11"/>
  <c r="S2075" i="11"/>
  <c r="Q2075" i="11"/>
  <c r="P2075" i="11"/>
  <c r="A2075" i="11"/>
  <c r="S2074" i="11"/>
  <c r="Q2074" i="11"/>
  <c r="P2074" i="11"/>
  <c r="A2074" i="11"/>
  <c r="S2073" i="11"/>
  <c r="Q2073" i="11"/>
  <c r="P2073" i="11"/>
  <c r="A2073" i="11"/>
  <c r="S2072" i="11"/>
  <c r="Q2072" i="11"/>
  <c r="P2072" i="11"/>
  <c r="A2072" i="11"/>
  <c r="S2071" i="11"/>
  <c r="Q2071" i="11"/>
  <c r="P2071" i="11"/>
  <c r="A2071" i="11"/>
  <c r="S2070" i="11"/>
  <c r="Q2070" i="11"/>
  <c r="P2070" i="11"/>
  <c r="A2070" i="11"/>
  <c r="S2069" i="11"/>
  <c r="Q2069" i="11"/>
  <c r="P2069" i="11"/>
  <c r="A2069" i="11"/>
  <c r="S2068" i="11"/>
  <c r="Q2068" i="11"/>
  <c r="P2068" i="11"/>
  <c r="A2068" i="11"/>
  <c r="S2067" i="11"/>
  <c r="Q2067" i="11"/>
  <c r="P2067" i="11"/>
  <c r="A2067" i="11"/>
  <c r="S2066" i="11"/>
  <c r="Q2066" i="11"/>
  <c r="P2066" i="11"/>
  <c r="A2066" i="11"/>
  <c r="S2065" i="11"/>
  <c r="Q2065" i="11"/>
  <c r="P2065" i="11"/>
  <c r="A2065" i="11"/>
  <c r="S2064" i="11"/>
  <c r="Q2064" i="11"/>
  <c r="P2064" i="11"/>
  <c r="A2064" i="11"/>
  <c r="S2063" i="11"/>
  <c r="Q2063" i="11"/>
  <c r="P2063" i="11"/>
  <c r="A2063" i="11"/>
  <c r="S2062" i="11"/>
  <c r="Q2062" i="11"/>
  <c r="P2062" i="11"/>
  <c r="A2062" i="11"/>
  <c r="S2061" i="11"/>
  <c r="Q2061" i="11"/>
  <c r="P2061"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S5" i="11"/>
  <c r="A2" i="11"/>
  <c r="Q1" i="11"/>
  <c r="P1" i="11"/>
  <c r="A1" i="11"/>
  <c r="N28" i="10"/>
  <c r="M28" i="10"/>
  <c r="L28" i="10"/>
  <c r="K28" i="10"/>
  <c r="J28" i="10"/>
  <c r="I28" i="10"/>
  <c r="H28" i="10"/>
  <c r="G28" i="10"/>
  <c r="F28" i="10"/>
  <c r="E28" i="10"/>
  <c r="D28" i="10"/>
  <c r="C28" i="10"/>
  <c r="O27" i="10"/>
  <c r="O26" i="10"/>
  <c r="O25" i="10"/>
  <c r="O24" i="10"/>
  <c r="O23" i="10"/>
  <c r="O22" i="10"/>
  <c r="O21" i="10"/>
  <c r="O20" i="10"/>
  <c r="N18" i="10"/>
  <c r="M18" i="10"/>
  <c r="L18" i="10"/>
  <c r="K18" i="10"/>
  <c r="J18" i="10"/>
  <c r="I18" i="10"/>
  <c r="H18" i="10"/>
  <c r="G18" i="10"/>
  <c r="F18" i="10"/>
  <c r="D18" i="10"/>
  <c r="E17" i="10"/>
  <c r="E38" i="7" s="1"/>
  <c r="C17" i="10"/>
  <c r="C18" i="10" s="1"/>
  <c r="O16" i="10"/>
  <c r="O15" i="10"/>
  <c r="O14" i="10"/>
  <c r="O13" i="10"/>
  <c r="O12" i="10"/>
  <c r="O11" i="10"/>
  <c r="O10" i="10"/>
  <c r="N7" i="10"/>
  <c r="M7" i="10"/>
  <c r="L7" i="10"/>
  <c r="K7" i="10"/>
  <c r="J7" i="10"/>
  <c r="I7" i="10"/>
  <c r="H7" i="10"/>
  <c r="G7" i="10"/>
  <c r="F7" i="10"/>
  <c r="E7" i="10"/>
  <c r="D7" i="10"/>
  <c r="C7" i="10"/>
  <c r="N6" i="10"/>
  <c r="M6" i="10"/>
  <c r="L6" i="10"/>
  <c r="K6" i="10"/>
  <c r="J6" i="10"/>
  <c r="I6" i="10"/>
  <c r="H6" i="10"/>
  <c r="G6" i="10"/>
  <c r="F6" i="10"/>
  <c r="E6" i="10"/>
  <c r="D6" i="10"/>
  <c r="C6" i="10"/>
  <c r="N5" i="10"/>
  <c r="M5" i="10"/>
  <c r="L5" i="10"/>
  <c r="K5" i="10"/>
  <c r="J5" i="10"/>
  <c r="I5" i="10"/>
  <c r="H5" i="10"/>
  <c r="G5" i="10"/>
  <c r="F5" i="10"/>
  <c r="E5" i="10"/>
  <c r="D5" i="10"/>
  <c r="C5" i="10"/>
  <c r="N4" i="10"/>
  <c r="M4" i="10"/>
  <c r="L4" i="10"/>
  <c r="K4" i="10"/>
  <c r="J4" i="10"/>
  <c r="I4" i="10"/>
  <c r="H4" i="10"/>
  <c r="G4" i="10"/>
  <c r="F4" i="10"/>
  <c r="E4" i="10"/>
  <c r="D4" i="10"/>
  <c r="C4" i="10"/>
  <c r="A2" i="10"/>
  <c r="A1" i="10"/>
  <c r="L54" i="9"/>
  <c r="L53" i="9"/>
  <c r="L52" i="9"/>
  <c r="L51" i="9"/>
  <c r="L50" i="9"/>
  <c r="L49" i="9"/>
  <c r="L48" i="9"/>
  <c r="L47" i="9"/>
  <c r="L46" i="9"/>
  <c r="L45" i="9"/>
  <c r="L44" i="9"/>
  <c r="L43" i="9"/>
  <c r="L42" i="9"/>
  <c r="L41" i="9"/>
  <c r="A2" i="9"/>
  <c r="L1" i="9"/>
  <c r="L27" i="9" s="1"/>
  <c r="A1" i="9"/>
  <c r="E103" i="8"/>
  <c r="E35" i="8"/>
  <c r="R5" i="8"/>
  <c r="A2" i="8"/>
  <c r="A1" i="8"/>
  <c r="N38" i="7"/>
  <c r="M38" i="7"/>
  <c r="L38" i="7"/>
  <c r="K38" i="7"/>
  <c r="J38" i="7"/>
  <c r="I38" i="7"/>
  <c r="H38" i="7"/>
  <c r="G38" i="7"/>
  <c r="F38" i="7"/>
  <c r="D38" i="7"/>
  <c r="N37" i="7"/>
  <c r="M37" i="7"/>
  <c r="L37" i="7"/>
  <c r="K37" i="7"/>
  <c r="J37" i="7"/>
  <c r="I37" i="7"/>
  <c r="H37" i="7"/>
  <c r="G37" i="7"/>
  <c r="F37" i="7"/>
  <c r="E37" i="7"/>
  <c r="D37" i="7"/>
  <c r="C37" i="7"/>
  <c r="N36" i="7"/>
  <c r="M36" i="7"/>
  <c r="L36" i="7"/>
  <c r="K36" i="7"/>
  <c r="J36" i="7"/>
  <c r="I36" i="7"/>
  <c r="H36" i="7"/>
  <c r="G36" i="7"/>
  <c r="F36" i="7"/>
  <c r="E36" i="7"/>
  <c r="D36" i="7"/>
  <c r="C36" i="7"/>
  <c r="N35" i="7"/>
  <c r="M35" i="7"/>
  <c r="L35" i="7"/>
  <c r="K35" i="7"/>
  <c r="J35" i="7"/>
  <c r="I35" i="7"/>
  <c r="H35" i="7"/>
  <c r="G35" i="7"/>
  <c r="F35" i="7"/>
  <c r="E35" i="7"/>
  <c r="D35" i="7"/>
  <c r="C35" i="7"/>
  <c r="N34" i="7"/>
  <c r="M34" i="7"/>
  <c r="L34" i="7"/>
  <c r="K34" i="7"/>
  <c r="J34" i="7"/>
  <c r="I34" i="7"/>
  <c r="H34" i="7"/>
  <c r="G34" i="7"/>
  <c r="F34" i="7"/>
  <c r="E34" i="7"/>
  <c r="D34" i="7"/>
  <c r="C34" i="7"/>
  <c r="N33" i="7"/>
  <c r="M33" i="7"/>
  <c r="L33" i="7"/>
  <c r="K33" i="7"/>
  <c r="J33" i="7"/>
  <c r="I33" i="7"/>
  <c r="H33" i="7"/>
  <c r="G33" i="7"/>
  <c r="F33" i="7"/>
  <c r="E33" i="7"/>
  <c r="D33" i="7"/>
  <c r="C33" i="7"/>
  <c r="N32" i="7"/>
  <c r="M32" i="7"/>
  <c r="L32" i="7"/>
  <c r="K32" i="7"/>
  <c r="J32" i="7"/>
  <c r="I32" i="7"/>
  <c r="H32" i="7"/>
  <c r="G32" i="7"/>
  <c r="F32" i="7"/>
  <c r="E32" i="7"/>
  <c r="D32" i="7"/>
  <c r="C32" i="7"/>
  <c r="N31" i="7"/>
  <c r="M31" i="7"/>
  <c r="L31" i="7"/>
  <c r="K31" i="7"/>
  <c r="J31" i="7"/>
  <c r="I31" i="7"/>
  <c r="H31" i="7"/>
  <c r="G31" i="7"/>
  <c r="F31" i="7"/>
  <c r="E31" i="7"/>
  <c r="D31" i="7"/>
  <c r="C31" i="7"/>
  <c r="N8" i="7"/>
  <c r="M8" i="7"/>
  <c r="L8" i="7"/>
  <c r="K8" i="7"/>
  <c r="J8" i="7"/>
  <c r="I8" i="7"/>
  <c r="H8" i="7"/>
  <c r="G8" i="7"/>
  <c r="F8" i="7"/>
  <c r="E8" i="7"/>
  <c r="D8" i="7"/>
  <c r="C8" i="7"/>
  <c r="N7" i="7"/>
  <c r="M7" i="7"/>
  <c r="L7" i="7"/>
  <c r="K7" i="7"/>
  <c r="J7" i="7"/>
  <c r="I7" i="7"/>
  <c r="H7" i="7"/>
  <c r="G7" i="7"/>
  <c r="F7" i="7"/>
  <c r="E7" i="7"/>
  <c r="D7" i="7"/>
  <c r="C7" i="7"/>
  <c r="N6" i="7"/>
  <c r="M6" i="7"/>
  <c r="L6" i="7"/>
  <c r="K6" i="7"/>
  <c r="J6" i="7"/>
  <c r="I6" i="7"/>
  <c r="H6" i="7"/>
  <c r="G6" i="7"/>
  <c r="F6" i="7"/>
  <c r="E6" i="7"/>
  <c r="D6" i="7"/>
  <c r="C6" i="7"/>
  <c r="N5" i="7"/>
  <c r="M5" i="7"/>
  <c r="L5" i="7"/>
  <c r="K5" i="7"/>
  <c r="J5" i="7"/>
  <c r="I5" i="7"/>
  <c r="H5" i="7"/>
  <c r="G5" i="7"/>
  <c r="F5" i="7"/>
  <c r="E5" i="7"/>
  <c r="D5" i="7"/>
  <c r="C5" i="7"/>
  <c r="A3" i="7"/>
  <c r="A2" i="7"/>
  <c r="N8" i="6"/>
  <c r="M8" i="6"/>
  <c r="L8" i="6"/>
  <c r="K8" i="6"/>
  <c r="J8" i="6"/>
  <c r="I8" i="6"/>
  <c r="H8" i="6"/>
  <c r="G8" i="6"/>
  <c r="F8" i="6"/>
  <c r="E8" i="6"/>
  <c r="D8" i="6"/>
  <c r="C8" i="6"/>
  <c r="N7" i="6"/>
  <c r="M7" i="6"/>
  <c r="L7" i="6"/>
  <c r="K7" i="6"/>
  <c r="J7" i="6"/>
  <c r="I7" i="6"/>
  <c r="H7" i="6"/>
  <c r="G7" i="6"/>
  <c r="F7" i="6"/>
  <c r="E7" i="6"/>
  <c r="D7" i="6"/>
  <c r="C7" i="6"/>
  <c r="N6" i="6"/>
  <c r="M6" i="6"/>
  <c r="L6" i="6"/>
  <c r="K6" i="6"/>
  <c r="J6" i="6"/>
  <c r="I6" i="6"/>
  <c r="H6" i="6"/>
  <c r="G6" i="6"/>
  <c r="F6" i="6"/>
  <c r="E6" i="6"/>
  <c r="D6" i="6"/>
  <c r="C6" i="6"/>
  <c r="N5" i="6"/>
  <c r="M5" i="6"/>
  <c r="L5" i="6"/>
  <c r="K5" i="6"/>
  <c r="J5" i="6"/>
  <c r="I5" i="6"/>
  <c r="H5" i="6"/>
  <c r="G5" i="6"/>
  <c r="F5" i="6"/>
  <c r="E5" i="6"/>
  <c r="D5" i="6"/>
  <c r="C5" i="6"/>
  <c r="A3" i="6"/>
  <c r="A2" i="6"/>
  <c r="C38" i="5"/>
  <c r="E5" i="5"/>
  <c r="A2" i="5"/>
  <c r="A1" i="5"/>
  <c r="R44" i="4"/>
  <c r="Q44" i="4"/>
  <c r="O44" i="4"/>
  <c r="N36" i="4"/>
  <c r="M36" i="4"/>
  <c r="L36" i="4"/>
  <c r="K36" i="4"/>
  <c r="J36" i="4"/>
  <c r="I36" i="4"/>
  <c r="H36" i="4"/>
  <c r="G36" i="4"/>
  <c r="F36" i="4"/>
  <c r="E36" i="4"/>
  <c r="D36" i="4"/>
  <c r="C36" i="4"/>
  <c r="N35" i="4"/>
  <c r="M35" i="4"/>
  <c r="L35" i="4"/>
  <c r="K35" i="4"/>
  <c r="J35" i="4"/>
  <c r="I35" i="4"/>
  <c r="H35" i="4"/>
  <c r="G35" i="4"/>
  <c r="F35" i="4"/>
  <c r="E35" i="4"/>
  <c r="D35" i="4"/>
  <c r="C35" i="4"/>
  <c r="N34" i="4"/>
  <c r="M34" i="4"/>
  <c r="L34" i="4"/>
  <c r="K34" i="4"/>
  <c r="J34" i="4"/>
  <c r="I34" i="4"/>
  <c r="H34" i="4"/>
  <c r="G34" i="4"/>
  <c r="F34" i="4"/>
  <c r="E34" i="4"/>
  <c r="D34" i="4"/>
  <c r="C34" i="4"/>
  <c r="N33" i="4"/>
  <c r="N44" i="4" s="1"/>
  <c r="M33" i="4"/>
  <c r="M44" i="4" s="1"/>
  <c r="L33" i="4"/>
  <c r="L44" i="4" s="1"/>
  <c r="K33" i="4"/>
  <c r="K44" i="4" s="1"/>
  <c r="J33" i="4"/>
  <c r="J44" i="4" s="1"/>
  <c r="I33" i="4"/>
  <c r="I44" i="4" s="1"/>
  <c r="H33" i="4"/>
  <c r="H44" i="4" s="1"/>
  <c r="G33" i="4"/>
  <c r="G44" i="4" s="1"/>
  <c r="F33" i="4"/>
  <c r="F44" i="4" s="1"/>
  <c r="E33" i="4"/>
  <c r="E44" i="4" s="1"/>
  <c r="D33" i="4"/>
  <c r="D44" i="4" s="1"/>
  <c r="C33" i="4"/>
  <c r="C44" i="4" s="1"/>
  <c r="O26" i="4"/>
  <c r="O25" i="4"/>
  <c r="Q53" i="4" s="1"/>
  <c r="O24" i="4"/>
  <c r="Q52" i="4" s="1"/>
  <c r="O23" i="4"/>
  <c r="N22" i="4"/>
  <c r="N27" i="4" s="1"/>
  <c r="M22" i="4"/>
  <c r="M27" i="4" s="1"/>
  <c r="L22" i="4"/>
  <c r="L27" i="4" s="1"/>
  <c r="K22" i="4"/>
  <c r="K27" i="4" s="1"/>
  <c r="J22" i="4"/>
  <c r="J27" i="4" s="1"/>
  <c r="I22" i="4"/>
  <c r="I27" i="4" s="1"/>
  <c r="H22" i="4"/>
  <c r="H27" i="4" s="1"/>
  <c r="G22" i="4"/>
  <c r="G27" i="4" s="1"/>
  <c r="F22" i="4"/>
  <c r="F27" i="4" s="1"/>
  <c r="E22" i="4"/>
  <c r="E27" i="4" s="1"/>
  <c r="D22" i="4"/>
  <c r="D27" i="4" s="1"/>
  <c r="C22" i="4"/>
  <c r="O21" i="4"/>
  <c r="O20" i="4"/>
  <c r="O19" i="4"/>
  <c r="O18" i="4"/>
  <c r="O16" i="4"/>
  <c r="N14" i="4"/>
  <c r="M14" i="4"/>
  <c r="L14" i="4"/>
  <c r="K14" i="4"/>
  <c r="J14" i="4"/>
  <c r="I14" i="4"/>
  <c r="H14" i="4"/>
  <c r="G14" i="4"/>
  <c r="F14" i="4"/>
  <c r="E14" i="4"/>
  <c r="D14" i="4"/>
  <c r="C14" i="4"/>
  <c r="O13" i="4"/>
  <c r="O12" i="4"/>
  <c r="Q40" i="4" s="1"/>
  <c r="O11" i="4"/>
  <c r="O10" i="4"/>
  <c r="N8" i="4"/>
  <c r="M8" i="4"/>
  <c r="L8" i="4"/>
  <c r="K8" i="4"/>
  <c r="J8" i="4"/>
  <c r="I8" i="4"/>
  <c r="H8" i="4"/>
  <c r="G8" i="4"/>
  <c r="F8" i="4"/>
  <c r="E8" i="4"/>
  <c r="D8" i="4"/>
  <c r="C8" i="4"/>
  <c r="N7" i="4"/>
  <c r="M7" i="4"/>
  <c r="L7" i="4"/>
  <c r="K7" i="4"/>
  <c r="J7" i="4"/>
  <c r="I7" i="4"/>
  <c r="H7" i="4"/>
  <c r="G7" i="4"/>
  <c r="F7" i="4"/>
  <c r="E7" i="4"/>
  <c r="D7" i="4"/>
  <c r="C7" i="4"/>
  <c r="N6" i="4"/>
  <c r="M6" i="4"/>
  <c r="L6" i="4"/>
  <c r="K6" i="4"/>
  <c r="J6" i="4"/>
  <c r="I6" i="4"/>
  <c r="H6" i="4"/>
  <c r="G6" i="4"/>
  <c r="F6" i="4"/>
  <c r="E6" i="4"/>
  <c r="D6" i="4"/>
  <c r="C6" i="4"/>
  <c r="N5" i="4"/>
  <c r="N16" i="4" s="1"/>
  <c r="M5" i="4"/>
  <c r="M16" i="4" s="1"/>
  <c r="L5" i="4"/>
  <c r="L16" i="4" s="1"/>
  <c r="K5" i="4"/>
  <c r="K16" i="4" s="1"/>
  <c r="J5" i="4"/>
  <c r="J16" i="4" s="1"/>
  <c r="I5" i="4"/>
  <c r="I16" i="4" s="1"/>
  <c r="H5" i="4"/>
  <c r="H16" i="4" s="1"/>
  <c r="G5" i="4"/>
  <c r="G16" i="4" s="1"/>
  <c r="F5" i="4"/>
  <c r="F16" i="4" s="1"/>
  <c r="E5" i="4"/>
  <c r="E16" i="4" s="1"/>
  <c r="D5" i="4"/>
  <c r="D16" i="4" s="1"/>
  <c r="C5" i="4"/>
  <c r="C16" i="4" s="1"/>
  <c r="A2" i="4"/>
  <c r="A1" i="4"/>
  <c r="N51" i="3"/>
  <c r="M51" i="3"/>
  <c r="L51" i="3"/>
  <c r="F24" i="3" s="1"/>
  <c r="K51" i="3"/>
  <c r="I51" i="3"/>
  <c r="E24" i="3" s="1"/>
  <c r="F51" i="3"/>
  <c r="D24" i="3" s="1"/>
  <c r="C51" i="3"/>
  <c r="C24" i="3" s="1"/>
  <c r="G50" i="3"/>
  <c r="D50" i="3"/>
  <c r="G47" i="3"/>
  <c r="D47" i="3"/>
  <c r="G46" i="3"/>
  <c r="D46" i="3"/>
  <c r="G45" i="3"/>
  <c r="D45" i="3"/>
  <c r="H42" i="3"/>
  <c r="H51" i="3" s="1"/>
  <c r="G42" i="3"/>
  <c r="E51" i="3"/>
  <c r="C36" i="3"/>
  <c r="C35" i="3"/>
  <c r="C34" i="3"/>
  <c r="C33" i="3"/>
  <c r="C8" i="3"/>
  <c r="A2" i="3"/>
  <c r="A1" i="3"/>
  <c r="B2" i="2"/>
  <c r="A2" i="2"/>
  <c r="B1" i="2"/>
  <c r="A1" i="2"/>
  <c r="Q1635" i="16" l="1"/>
  <c r="P1635" i="16"/>
  <c r="Q2017" i="16"/>
  <c r="P2017" i="16"/>
  <c r="P2001" i="16"/>
  <c r="P2000" i="16"/>
  <c r="P1999" i="16"/>
  <c r="Q2001" i="16"/>
  <c r="Q1999" i="16"/>
  <c r="Q2000" i="16"/>
  <c r="P1998" i="16"/>
  <c r="P1997" i="16"/>
  <c r="P1996" i="16"/>
  <c r="P1995" i="16"/>
  <c r="P1994" i="16"/>
  <c r="P1993" i="16"/>
  <c r="P1992" i="16"/>
  <c r="P1991" i="16"/>
  <c r="P1990" i="16"/>
  <c r="Q1998" i="16"/>
  <c r="Q1997" i="16"/>
  <c r="Q1996" i="16"/>
  <c r="Q1995" i="16"/>
  <c r="Q1994" i="16"/>
  <c r="Q1993" i="16"/>
  <c r="Q1992" i="16"/>
  <c r="Q1991" i="16"/>
  <c r="Q1990" i="16"/>
  <c r="Q934" i="16"/>
  <c r="Q1973" i="16"/>
  <c r="Q1972" i="16"/>
  <c r="P1973" i="16"/>
  <c r="P1972" i="16"/>
  <c r="Q1731" i="16"/>
  <c r="Q1730" i="16"/>
  <c r="Q1729" i="16"/>
  <c r="Q1728" i="16"/>
  <c r="Q1727" i="16"/>
  <c r="Q1726" i="16"/>
  <c r="Q1725" i="16"/>
  <c r="Q1724" i="16"/>
  <c r="Q1723" i="16"/>
  <c r="Q1722" i="16"/>
  <c r="Q1721" i="16"/>
  <c r="Q1720" i="16"/>
  <c r="Q1719" i="16"/>
  <c r="P1731" i="16"/>
  <c r="P1730" i="16"/>
  <c r="P1729" i="16"/>
  <c r="P1728" i="16"/>
  <c r="P1727" i="16"/>
  <c r="P1726" i="16"/>
  <c r="P1725" i="16"/>
  <c r="P1724" i="16"/>
  <c r="P1723" i="16"/>
  <c r="P1722" i="16"/>
  <c r="P1721" i="16"/>
  <c r="P1720" i="16"/>
  <c r="P1719" i="16"/>
  <c r="Q1691" i="16"/>
  <c r="P1691" i="16"/>
  <c r="Q1674" i="16"/>
  <c r="P1674" i="16"/>
  <c r="Q1664" i="16"/>
  <c r="P1664" i="16"/>
  <c r="P1632" i="16"/>
  <c r="Q1634" i="16"/>
  <c r="Q1633" i="16"/>
  <c r="P1634" i="16"/>
  <c r="P1633" i="16"/>
  <c r="Q1632" i="16"/>
  <c r="Q1503" i="16"/>
  <c r="P1503" i="16"/>
  <c r="Q1502" i="16"/>
  <c r="P1502" i="16"/>
  <c r="P1976" i="16"/>
  <c r="P1963" i="16"/>
  <c r="Q1976" i="16"/>
  <c r="Q1975" i="16"/>
  <c r="Q1974" i="16"/>
  <c r="Q1963" i="16"/>
  <c r="P1975" i="16"/>
  <c r="P1974" i="16"/>
  <c r="Q1740" i="16"/>
  <c r="Q1738" i="16"/>
  <c r="Q1736" i="16"/>
  <c r="Q1734" i="16"/>
  <c r="Q1732" i="16"/>
  <c r="Q1739" i="16"/>
  <c r="Q1737" i="16"/>
  <c r="Q1733" i="16"/>
  <c r="P1740" i="16"/>
  <c r="P1738" i="16"/>
  <c r="P1736" i="16"/>
  <c r="P1734" i="16"/>
  <c r="P1732" i="16"/>
  <c r="Q1735" i="16"/>
  <c r="P1739" i="16"/>
  <c r="P1735" i="16"/>
  <c r="P1733" i="16"/>
  <c r="P1737" i="16"/>
  <c r="Q1651" i="16"/>
  <c r="P1651" i="16"/>
  <c r="Q1650" i="16"/>
  <c r="P1650" i="16"/>
  <c r="Q1637" i="16"/>
  <c r="P1637" i="16"/>
  <c r="P1636" i="16"/>
  <c r="Q1636" i="16"/>
  <c r="Q1549" i="16"/>
  <c r="Q1547" i="16"/>
  <c r="Q1545" i="16"/>
  <c r="Q1543" i="16"/>
  <c r="Q1541" i="16"/>
  <c r="Q1539" i="16"/>
  <c r="Q1537" i="16"/>
  <c r="Q1535" i="16"/>
  <c r="Q1533" i="16"/>
  <c r="P1549" i="16"/>
  <c r="P1547" i="16"/>
  <c r="P1545" i="16"/>
  <c r="P1543" i="16"/>
  <c r="P1541" i="16"/>
  <c r="P1539" i="16"/>
  <c r="P1537" i="16"/>
  <c r="P1535" i="16"/>
  <c r="P1533" i="16"/>
  <c r="Q1548" i="16"/>
  <c r="Q1546" i="16"/>
  <c r="Q1544" i="16"/>
  <c r="Q1542" i="16"/>
  <c r="Q1540" i="16"/>
  <c r="Q1538" i="16"/>
  <c r="Q1536" i="16"/>
  <c r="Q1534" i="16"/>
  <c r="Q1532" i="16"/>
  <c r="P1548" i="16"/>
  <c r="P1546" i="16"/>
  <c r="P1544" i="16"/>
  <c r="P1542" i="16"/>
  <c r="P1540" i="16"/>
  <c r="P1538" i="16"/>
  <c r="P1536" i="16"/>
  <c r="P1534" i="16"/>
  <c r="P1532" i="16"/>
  <c r="Q1505" i="16"/>
  <c r="P1505" i="16"/>
  <c r="Q1504" i="16"/>
  <c r="P1504" i="16"/>
  <c r="Q1388" i="16"/>
  <c r="Q1386" i="16"/>
  <c r="P1388" i="16"/>
  <c r="P1386" i="16"/>
  <c r="P1387" i="16"/>
  <c r="Q1387" i="16"/>
  <c r="Q1384" i="16"/>
  <c r="P1384" i="16"/>
  <c r="Q1383" i="16"/>
  <c r="P1383" i="16"/>
  <c r="Q1385" i="16"/>
  <c r="P1385" i="16"/>
  <c r="P1347" i="16"/>
  <c r="P1354" i="16"/>
  <c r="Q1352" i="16"/>
  <c r="P1355" i="16"/>
  <c r="P1353" i="16"/>
  <c r="Q1354" i="16"/>
  <c r="Q1356" i="16"/>
  <c r="P1356" i="16"/>
  <c r="P1352" i="16"/>
  <c r="Q1353" i="16"/>
  <c r="Q1355" i="16"/>
  <c r="Q1346" i="16"/>
  <c r="P1346" i="16"/>
  <c r="Q1347" i="16"/>
  <c r="L40" i="9"/>
  <c r="P7" i="16"/>
  <c r="P9" i="16"/>
  <c r="P11" i="16"/>
  <c r="P13" i="16"/>
  <c r="P15" i="16"/>
  <c r="P17" i="16"/>
  <c r="P19" i="16"/>
  <c r="P21" i="16"/>
  <c r="P23" i="16"/>
  <c r="P25" i="16"/>
  <c r="P28" i="16"/>
  <c r="P30" i="16"/>
  <c r="P32" i="16"/>
  <c r="P34" i="16"/>
  <c r="P36" i="16"/>
  <c r="P38" i="16"/>
  <c r="P40" i="16"/>
  <c r="P42" i="16"/>
  <c r="P44" i="16"/>
  <c r="P46" i="16"/>
  <c r="P48" i="16"/>
  <c r="P50" i="16"/>
  <c r="P52" i="16"/>
  <c r="P54" i="16"/>
  <c r="P56" i="16"/>
  <c r="P58" i="16"/>
  <c r="P60" i="16"/>
  <c r="P62" i="16"/>
  <c r="P64" i="16"/>
  <c r="P66" i="16"/>
  <c r="Q7" i="16"/>
  <c r="Q9" i="16"/>
  <c r="Q11" i="16"/>
  <c r="Q13" i="16"/>
  <c r="Q15" i="16"/>
  <c r="Q17" i="16"/>
  <c r="Q19" i="16"/>
  <c r="Q21" i="16"/>
  <c r="Q23" i="16"/>
  <c r="Q25"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6" i="16"/>
  <c r="Q8" i="16"/>
  <c r="Q10" i="16"/>
  <c r="Q12" i="16"/>
  <c r="Q14" i="16"/>
  <c r="Q16" i="16"/>
  <c r="Q18" i="16"/>
  <c r="Q20" i="16"/>
  <c r="Q22" i="16"/>
  <c r="Q24" i="16"/>
  <c r="Q26"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P14" i="16"/>
  <c r="P41" i="16"/>
  <c r="P57" i="16"/>
  <c r="P72" i="16"/>
  <c r="P80" i="16"/>
  <c r="P88" i="16"/>
  <c r="P96" i="16"/>
  <c r="P104" i="16"/>
  <c r="P109" i="16"/>
  <c r="P111" i="16"/>
  <c r="P113" i="16"/>
  <c r="P115" i="16"/>
  <c r="P117" i="16"/>
  <c r="P119" i="16"/>
  <c r="P121" i="16"/>
  <c r="P123" i="16"/>
  <c r="P125" i="16"/>
  <c r="P127" i="16"/>
  <c r="P129" i="16"/>
  <c r="P131" i="16"/>
  <c r="P133" i="16"/>
  <c r="P135" i="16"/>
  <c r="P137" i="16"/>
  <c r="P139" i="16"/>
  <c r="P141" i="16"/>
  <c r="P143" i="16"/>
  <c r="P145" i="16"/>
  <c r="P147" i="16"/>
  <c r="P149" i="16"/>
  <c r="P151" i="16"/>
  <c r="P153" i="16"/>
  <c r="P155" i="16"/>
  <c r="P157" i="16"/>
  <c r="P159" i="16"/>
  <c r="P161" i="16"/>
  <c r="P163" i="16"/>
  <c r="P165" i="16"/>
  <c r="P167" i="16"/>
  <c r="P169" i="16"/>
  <c r="P171" i="16"/>
  <c r="P173" i="16"/>
  <c r="P175" i="16"/>
  <c r="P177" i="16"/>
  <c r="P179" i="16"/>
  <c r="P181" i="16"/>
  <c r="P183" i="16"/>
  <c r="P185" i="16"/>
  <c r="P187" i="16"/>
  <c r="P189" i="16"/>
  <c r="P191" i="16"/>
  <c r="P193" i="16"/>
  <c r="P195" i="16"/>
  <c r="P197" i="16"/>
  <c r="P199" i="16"/>
  <c r="P201" i="16"/>
  <c r="P203" i="16"/>
  <c r="P205" i="16"/>
  <c r="P207" i="16"/>
  <c r="P209" i="16"/>
  <c r="P211" i="16"/>
  <c r="P213" i="16"/>
  <c r="P215" i="16"/>
  <c r="P217" i="16"/>
  <c r="P219" i="16"/>
  <c r="P221" i="16"/>
  <c r="P223" i="16"/>
  <c r="P225" i="16"/>
  <c r="P227" i="16"/>
  <c r="P229" i="16"/>
  <c r="P231" i="16"/>
  <c r="P233" i="16"/>
  <c r="P8" i="16"/>
  <c r="P24" i="16"/>
  <c r="P35" i="16"/>
  <c r="P51" i="16"/>
  <c r="P67" i="16"/>
  <c r="P75" i="16"/>
  <c r="P83" i="16"/>
  <c r="P91" i="16"/>
  <c r="P99" i="16"/>
  <c r="P107" i="16"/>
  <c r="Q109" i="16"/>
  <c r="Q111" i="16"/>
  <c r="Q113" i="16"/>
  <c r="Q115" i="16"/>
  <c r="Q117" i="16"/>
  <c r="Q119" i="16"/>
  <c r="Q121" i="16"/>
  <c r="Q123" i="16"/>
  <c r="Q125" i="16"/>
  <c r="Q127" i="16"/>
  <c r="Q129" i="16"/>
  <c r="Q131" i="16"/>
  <c r="Q133" i="16"/>
  <c r="Q135" i="16"/>
  <c r="Q137" i="16"/>
  <c r="Q139" i="16"/>
  <c r="Q141" i="16"/>
  <c r="Q143" i="16"/>
  <c r="Q145" i="16"/>
  <c r="Q147" i="16"/>
  <c r="Q149" i="16"/>
  <c r="Q151" i="16"/>
  <c r="Q153" i="16"/>
  <c r="Q155" i="16"/>
  <c r="Q157" i="16"/>
  <c r="Q159" i="16"/>
  <c r="Q161" i="16"/>
  <c r="Q163" i="16"/>
  <c r="Q165" i="16"/>
  <c r="Q167" i="16"/>
  <c r="Q169" i="16"/>
  <c r="Q171" i="16"/>
  <c r="Q173" i="16"/>
  <c r="Q175" i="16"/>
  <c r="Q177" i="16"/>
  <c r="Q179" i="16"/>
  <c r="Q181" i="16"/>
  <c r="Q183" i="16"/>
  <c r="Q185" i="16"/>
  <c r="Q187" i="16"/>
  <c r="Q189" i="16"/>
  <c r="Q191" i="16"/>
  <c r="Q193" i="16"/>
  <c r="Q195" i="16"/>
  <c r="Q197" i="16"/>
  <c r="Q199" i="16"/>
  <c r="Q201" i="16"/>
  <c r="Q203" i="16"/>
  <c r="Q205" i="16"/>
  <c r="Q207" i="16"/>
  <c r="Q209" i="16"/>
  <c r="Q211" i="16"/>
  <c r="Q213" i="16"/>
  <c r="Q215" i="16"/>
  <c r="Q217" i="16"/>
  <c r="Q219" i="16"/>
  <c r="Q221" i="16"/>
  <c r="Q223" i="16"/>
  <c r="Q225" i="16"/>
  <c r="Q227" i="16"/>
  <c r="Q229" i="16"/>
  <c r="Q231" i="16"/>
  <c r="Q233" i="16"/>
  <c r="P18" i="16"/>
  <c r="P29" i="16"/>
  <c r="P45" i="16"/>
  <c r="P61" i="16"/>
  <c r="P70" i="16"/>
  <c r="P78" i="16"/>
  <c r="P86" i="16"/>
  <c r="P94" i="16"/>
  <c r="P102" i="16"/>
  <c r="P12" i="16"/>
  <c r="P39" i="16"/>
  <c r="P55" i="16"/>
  <c r="P73" i="16"/>
  <c r="P81" i="16"/>
  <c r="P89" i="16"/>
  <c r="P97" i="16"/>
  <c r="P105" i="16"/>
  <c r="P6" i="16"/>
  <c r="P22" i="16"/>
  <c r="P33" i="16"/>
  <c r="P49" i="16"/>
  <c r="P65" i="16"/>
  <c r="P68" i="16"/>
  <c r="P76" i="16"/>
  <c r="P84" i="16"/>
  <c r="P92" i="16"/>
  <c r="P100" i="16"/>
  <c r="P108" i="16"/>
  <c r="P110" i="16"/>
  <c r="P112" i="16"/>
  <c r="P114" i="16"/>
  <c r="P116" i="16"/>
  <c r="P118" i="16"/>
  <c r="P120" i="16"/>
  <c r="P122" i="16"/>
  <c r="P124" i="16"/>
  <c r="P126" i="16"/>
  <c r="P128" i="16"/>
  <c r="P130" i="16"/>
  <c r="P132" i="16"/>
  <c r="P134" i="16"/>
  <c r="P136" i="16"/>
  <c r="P138" i="16"/>
  <c r="P140" i="16"/>
  <c r="P142" i="16"/>
  <c r="P144" i="16"/>
  <c r="P146" i="16"/>
  <c r="P148" i="16"/>
  <c r="P150" i="16"/>
  <c r="P152" i="16"/>
  <c r="P154" i="16"/>
  <c r="P156" i="16"/>
  <c r="P158" i="16"/>
  <c r="P160" i="16"/>
  <c r="P162" i="16"/>
  <c r="P164" i="16"/>
  <c r="P166" i="16"/>
  <c r="P168" i="16"/>
  <c r="P170" i="16"/>
  <c r="P172" i="16"/>
  <c r="P174" i="16"/>
  <c r="P176" i="16"/>
  <c r="P178" i="16"/>
  <c r="P180" i="16"/>
  <c r="P182" i="16"/>
  <c r="P184" i="16"/>
  <c r="P186" i="16"/>
  <c r="P188" i="16"/>
  <c r="P190" i="16"/>
  <c r="P192" i="16"/>
  <c r="P194" i="16"/>
  <c r="P196" i="16"/>
  <c r="P198" i="16"/>
  <c r="P200" i="16"/>
  <c r="P202" i="16"/>
  <c r="P204" i="16"/>
  <c r="P206" i="16"/>
  <c r="P208" i="16"/>
  <c r="P210" i="16"/>
  <c r="P212" i="16"/>
  <c r="P214" i="16"/>
  <c r="P216" i="16"/>
  <c r="P218" i="16"/>
  <c r="P220" i="16"/>
  <c r="P222" i="16"/>
  <c r="P224" i="16"/>
  <c r="P226" i="16"/>
  <c r="P228" i="16"/>
  <c r="P230" i="16"/>
  <c r="P232" i="16"/>
  <c r="P234" i="16"/>
  <c r="P16" i="16"/>
  <c r="P27" i="16"/>
  <c r="P43" i="16"/>
  <c r="P59" i="16"/>
  <c r="P71" i="16"/>
  <c r="P79" i="16"/>
  <c r="P87" i="16"/>
  <c r="P95" i="16"/>
  <c r="P103" i="16"/>
  <c r="Q108" i="16"/>
  <c r="Q110" i="16"/>
  <c r="Q112" i="16"/>
  <c r="Q114" i="16"/>
  <c r="Q116" i="16"/>
  <c r="Q118" i="16"/>
  <c r="Q120" i="16"/>
  <c r="Q122" i="16"/>
  <c r="Q124" i="16"/>
  <c r="Q126" i="16"/>
  <c r="Q128" i="16"/>
  <c r="Q130" i="16"/>
  <c r="Q132" i="16"/>
  <c r="Q134" i="16"/>
  <c r="Q136" i="16"/>
  <c r="Q138" i="16"/>
  <c r="Q140" i="16"/>
  <c r="Q142" i="16"/>
  <c r="Q144" i="16"/>
  <c r="Q146" i="16"/>
  <c r="Q148" i="16"/>
  <c r="Q150" i="16"/>
  <c r="Q152" i="16"/>
  <c r="Q154" i="16"/>
  <c r="Q156" i="16"/>
  <c r="Q158" i="16"/>
  <c r="Q160" i="16"/>
  <c r="Q162" i="16"/>
  <c r="Q164" i="16"/>
  <c r="Q166" i="16"/>
  <c r="Q168" i="16"/>
  <c r="Q170" i="16"/>
  <c r="Q172" i="16"/>
  <c r="Q174" i="16"/>
  <c r="Q176" i="16"/>
  <c r="Q178" i="16"/>
  <c r="Q180" i="16"/>
  <c r="Q182" i="16"/>
  <c r="Q184" i="16"/>
  <c r="Q186" i="16"/>
  <c r="Q188" i="16"/>
  <c r="Q190" i="16"/>
  <c r="Q192" i="16"/>
  <c r="Q194" i="16"/>
  <c r="Q196" i="16"/>
  <c r="Q198" i="16"/>
  <c r="Q200" i="16"/>
  <c r="Q202" i="16"/>
  <c r="Q204" i="16"/>
  <c r="Q206" i="16"/>
  <c r="Q208" i="16"/>
  <c r="Q210" i="16"/>
  <c r="Q212" i="16"/>
  <c r="Q214" i="16"/>
  <c r="Q216" i="16"/>
  <c r="Q218" i="16"/>
  <c r="Q220" i="16"/>
  <c r="Q222" i="16"/>
  <c r="Q224" i="16"/>
  <c r="Q226" i="16"/>
  <c r="Q228" i="16"/>
  <c r="Q230" i="16"/>
  <c r="Q232" i="16"/>
  <c r="Q234" i="16"/>
  <c r="P10" i="16"/>
  <c r="P26" i="16"/>
  <c r="P37" i="16"/>
  <c r="P53" i="16"/>
  <c r="P74" i="16"/>
  <c r="P82" i="16"/>
  <c r="P90" i="16"/>
  <c r="P98" i="16"/>
  <c r="P106" i="16"/>
  <c r="P20" i="16"/>
  <c r="P69" i="16"/>
  <c r="P31" i="16"/>
  <c r="P77" i="16"/>
  <c r="P235" i="16"/>
  <c r="P237" i="16"/>
  <c r="P239" i="16"/>
  <c r="P241" i="16"/>
  <c r="P243" i="16"/>
  <c r="P245" i="16"/>
  <c r="P247" i="16"/>
  <c r="P249" i="16"/>
  <c r="P251" i="16"/>
  <c r="P253" i="16"/>
  <c r="P255" i="16"/>
  <c r="P257" i="16"/>
  <c r="P259" i="16"/>
  <c r="P261" i="16"/>
  <c r="P263" i="16"/>
  <c r="P265" i="16"/>
  <c r="P267" i="16"/>
  <c r="P269" i="16"/>
  <c r="P271" i="16"/>
  <c r="P273" i="16"/>
  <c r="P275" i="16"/>
  <c r="P277" i="16"/>
  <c r="P279" i="16"/>
  <c r="P281" i="16"/>
  <c r="P283" i="16"/>
  <c r="P285" i="16"/>
  <c r="P287" i="16"/>
  <c r="P289" i="16"/>
  <c r="P291" i="16"/>
  <c r="P293" i="16"/>
  <c r="P295" i="16"/>
  <c r="P297" i="16"/>
  <c r="P299" i="16"/>
  <c r="P301" i="16"/>
  <c r="P303" i="16"/>
  <c r="P305" i="16"/>
  <c r="P307" i="16"/>
  <c r="P309" i="16"/>
  <c r="P311" i="16"/>
  <c r="P313" i="16"/>
  <c r="P315" i="16"/>
  <c r="P317" i="16"/>
  <c r="P319" i="16"/>
  <c r="P321" i="16"/>
  <c r="P323" i="16"/>
  <c r="P325" i="16"/>
  <c r="P327" i="16"/>
  <c r="P329" i="16"/>
  <c r="P331" i="16"/>
  <c r="P333" i="16"/>
  <c r="P335" i="16"/>
  <c r="P337" i="16"/>
  <c r="P339" i="16"/>
  <c r="P341" i="16"/>
  <c r="P343" i="16"/>
  <c r="P345" i="16"/>
  <c r="P347" i="16"/>
  <c r="P349" i="16"/>
  <c r="P350" i="16"/>
  <c r="P352" i="16"/>
  <c r="P354" i="16"/>
  <c r="P356" i="16"/>
  <c r="P358" i="16"/>
  <c r="P360" i="16"/>
  <c r="P362" i="16"/>
  <c r="P364" i="16"/>
  <c r="P366" i="16"/>
  <c r="P368" i="16"/>
  <c r="P370" i="16"/>
  <c r="P372" i="16"/>
  <c r="P374" i="16"/>
  <c r="P376" i="16"/>
  <c r="P378" i="16"/>
  <c r="P380" i="16"/>
  <c r="P382" i="16"/>
  <c r="P384" i="16"/>
  <c r="P386" i="16"/>
  <c r="P388" i="16"/>
  <c r="P390" i="16"/>
  <c r="P392" i="16"/>
  <c r="P394" i="16"/>
  <c r="P396" i="16"/>
  <c r="P398" i="16"/>
  <c r="P400" i="16"/>
  <c r="P402" i="16"/>
  <c r="P404" i="16"/>
  <c r="P406" i="16"/>
  <c r="P408" i="16"/>
  <c r="P410" i="16"/>
  <c r="P412" i="16"/>
  <c r="P414" i="16"/>
  <c r="P416" i="16"/>
  <c r="P418" i="16"/>
  <c r="P420" i="16"/>
  <c r="P422" i="16"/>
  <c r="P424" i="16"/>
  <c r="P426" i="16"/>
  <c r="P428" i="16"/>
  <c r="P430" i="16"/>
  <c r="P432" i="16"/>
  <c r="P434" i="16"/>
  <c r="P436" i="16"/>
  <c r="P438" i="16"/>
  <c r="P440" i="16"/>
  <c r="P442" i="16"/>
  <c r="P444" i="16"/>
  <c r="P446" i="16"/>
  <c r="P448" i="16"/>
  <c r="P450" i="16"/>
  <c r="P452" i="16"/>
  <c r="P454" i="16"/>
  <c r="P456" i="16"/>
  <c r="P458" i="16"/>
  <c r="P460" i="16"/>
  <c r="P462" i="16"/>
  <c r="P464" i="16"/>
  <c r="P466" i="16"/>
  <c r="P468" i="16"/>
  <c r="P470" i="16"/>
  <c r="P472" i="16"/>
  <c r="P474" i="16"/>
  <c r="P476" i="16"/>
  <c r="P478" i="16"/>
  <c r="P480" i="16"/>
  <c r="P482" i="16"/>
  <c r="P484" i="16"/>
  <c r="P486" i="16"/>
  <c r="P488" i="16"/>
  <c r="P490" i="16"/>
  <c r="P492" i="16"/>
  <c r="P494" i="16"/>
  <c r="P496" i="16"/>
  <c r="P498" i="16"/>
  <c r="P500" i="16"/>
  <c r="P502" i="16"/>
  <c r="P504" i="16"/>
  <c r="P506" i="16"/>
  <c r="P508" i="16"/>
  <c r="P510" i="16"/>
  <c r="P512" i="16"/>
  <c r="P514" i="16"/>
  <c r="P516" i="16"/>
  <c r="P518" i="16"/>
  <c r="P520" i="16"/>
  <c r="P522" i="16"/>
  <c r="P524" i="16"/>
  <c r="P526" i="16"/>
  <c r="P528" i="16"/>
  <c r="P530" i="16"/>
  <c r="P532" i="16"/>
  <c r="P534" i="16"/>
  <c r="P536" i="16"/>
  <c r="P538" i="16"/>
  <c r="P47" i="16"/>
  <c r="P85" i="16"/>
  <c r="Q235" i="16"/>
  <c r="Q237" i="16"/>
  <c r="Q239" i="16"/>
  <c r="Q241" i="16"/>
  <c r="Q243" i="16"/>
  <c r="Q245" i="16"/>
  <c r="Q247" i="16"/>
  <c r="Q249" i="16"/>
  <c r="Q251" i="16"/>
  <c r="Q253" i="16"/>
  <c r="Q255" i="16"/>
  <c r="Q257" i="16"/>
  <c r="Q259" i="16"/>
  <c r="Q261" i="16"/>
  <c r="Q263" i="16"/>
  <c r="Q265" i="16"/>
  <c r="Q267" i="16"/>
  <c r="Q269" i="16"/>
  <c r="Q271" i="16"/>
  <c r="Q273" i="16"/>
  <c r="Q275" i="16"/>
  <c r="Q277" i="16"/>
  <c r="Q279" i="16"/>
  <c r="Q281" i="16"/>
  <c r="Q283" i="16"/>
  <c r="Q285" i="16"/>
  <c r="Q287" i="16"/>
  <c r="Q289" i="16"/>
  <c r="Q291" i="16"/>
  <c r="Q293" i="16"/>
  <c r="Q295" i="16"/>
  <c r="Q297" i="16"/>
  <c r="Q299" i="16"/>
  <c r="Q301" i="16"/>
  <c r="Q303" i="16"/>
  <c r="Q305" i="16"/>
  <c r="Q307" i="16"/>
  <c r="Q309" i="16"/>
  <c r="Q311" i="16"/>
  <c r="Q313" i="16"/>
  <c r="Q315" i="16"/>
  <c r="Q317" i="16"/>
  <c r="Q319" i="16"/>
  <c r="Q321" i="16"/>
  <c r="Q323" i="16"/>
  <c r="Q325" i="16"/>
  <c r="Q327" i="16"/>
  <c r="Q329" i="16"/>
  <c r="Q331" i="16"/>
  <c r="Q333" i="16"/>
  <c r="Q335" i="16"/>
  <c r="Q337" i="16"/>
  <c r="Q339" i="16"/>
  <c r="Q341" i="16"/>
  <c r="Q343" i="16"/>
  <c r="Q345" i="16"/>
  <c r="Q347" i="16"/>
  <c r="Q349" i="16"/>
  <c r="Q350" i="16"/>
  <c r="Q352" i="16"/>
  <c r="Q354" i="16"/>
  <c r="Q356" i="16"/>
  <c r="Q358" i="16"/>
  <c r="Q360" i="16"/>
  <c r="Q362" i="16"/>
  <c r="Q364" i="16"/>
  <c r="Q366" i="16"/>
  <c r="Q368" i="16"/>
  <c r="Q370" i="16"/>
  <c r="Q372" i="16"/>
  <c r="Q374" i="16"/>
  <c r="Q376" i="16"/>
  <c r="Q378" i="16"/>
  <c r="Q380" i="16"/>
  <c r="Q382" i="16"/>
  <c r="Q384" i="16"/>
  <c r="Q386" i="16"/>
  <c r="Q388" i="16"/>
  <c r="Q390" i="16"/>
  <c r="Q392" i="16"/>
  <c r="Q394" i="16"/>
  <c r="Q396" i="16"/>
  <c r="Q398" i="16"/>
  <c r="Q400" i="16"/>
  <c r="Q402" i="16"/>
  <c r="Q404" i="16"/>
  <c r="Q406" i="16"/>
  <c r="Q408" i="16"/>
  <c r="Q410" i="16"/>
  <c r="Q412" i="16"/>
  <c r="Q414" i="16"/>
  <c r="Q416" i="16"/>
  <c r="Q418" i="16"/>
  <c r="Q420" i="16"/>
  <c r="Q422" i="16"/>
  <c r="Q424" i="16"/>
  <c r="Q426" i="16"/>
  <c r="Q428" i="16"/>
  <c r="Q430" i="16"/>
  <c r="Q432" i="16"/>
  <c r="Q434" i="16"/>
  <c r="Q436" i="16"/>
  <c r="Q438" i="16"/>
  <c r="Q440" i="16"/>
  <c r="Q442" i="16"/>
  <c r="Q444" i="16"/>
  <c r="Q446" i="16"/>
  <c r="Q448" i="16"/>
  <c r="Q450" i="16"/>
  <c r="Q452" i="16"/>
  <c r="Q454" i="16"/>
  <c r="Q456" i="16"/>
  <c r="Q458" i="16"/>
  <c r="Q460" i="16"/>
  <c r="Q462" i="16"/>
  <c r="Q464" i="16"/>
  <c r="Q466" i="16"/>
  <c r="Q468" i="16"/>
  <c r="Q470" i="16"/>
  <c r="Q472" i="16"/>
  <c r="Q474" i="16"/>
  <c r="Q476" i="16"/>
  <c r="Q478" i="16"/>
  <c r="Q480" i="16"/>
  <c r="Q482" i="16"/>
  <c r="Q484" i="16"/>
  <c r="Q486" i="16"/>
  <c r="Q488" i="16"/>
  <c r="Q490" i="16"/>
  <c r="Q492" i="16"/>
  <c r="Q494" i="16"/>
  <c r="Q496" i="16"/>
  <c r="Q498" i="16"/>
  <c r="Q500" i="16"/>
  <c r="Q502" i="16"/>
  <c r="Q504" i="16"/>
  <c r="Q506" i="16"/>
  <c r="Q508" i="16"/>
  <c r="Q510" i="16"/>
  <c r="Q512" i="16"/>
  <c r="Q514" i="16"/>
  <c r="Q516" i="16"/>
  <c r="Q518" i="16"/>
  <c r="Q520" i="16"/>
  <c r="Q522" i="16"/>
  <c r="Q524" i="16"/>
  <c r="Q526" i="16"/>
  <c r="Q528" i="16"/>
  <c r="Q530" i="16"/>
  <c r="Q532" i="16"/>
  <c r="Q534" i="16"/>
  <c r="Q536" i="16"/>
  <c r="Q538" i="16"/>
  <c r="Q540" i="16"/>
  <c r="Q542" i="16"/>
  <c r="Q544" i="16"/>
  <c r="Q546" i="16"/>
  <c r="Q548" i="16"/>
  <c r="Q550" i="16"/>
  <c r="Q552" i="16"/>
  <c r="Q554" i="16"/>
  <c r="Q556" i="16"/>
  <c r="Q558" i="16"/>
  <c r="Q560" i="16"/>
  <c r="Q562" i="16"/>
  <c r="Q564" i="16"/>
  <c r="Q566" i="16"/>
  <c r="Q568" i="16"/>
  <c r="P63" i="16"/>
  <c r="P93" i="16"/>
  <c r="P101" i="16"/>
  <c r="P238" i="16"/>
  <c r="P246" i="16"/>
  <c r="P254" i="16"/>
  <c r="P262" i="16"/>
  <c r="P270" i="16"/>
  <c r="P278" i="16"/>
  <c r="P286" i="16"/>
  <c r="P294" i="16"/>
  <c r="P302" i="16"/>
  <c r="P310" i="16"/>
  <c r="P318" i="16"/>
  <c r="P326" i="16"/>
  <c r="P334" i="16"/>
  <c r="P342" i="16"/>
  <c r="P357" i="16"/>
  <c r="P365" i="16"/>
  <c r="P373" i="16"/>
  <c r="P381" i="16"/>
  <c r="P389" i="16"/>
  <c r="P397" i="16"/>
  <c r="P405" i="16"/>
  <c r="P413" i="16"/>
  <c r="P421" i="16"/>
  <c r="P429" i="16"/>
  <c r="P437" i="16"/>
  <c r="P445" i="16"/>
  <c r="P453" i="16"/>
  <c r="P461" i="16"/>
  <c r="P469" i="16"/>
  <c r="P477" i="16"/>
  <c r="P485" i="16"/>
  <c r="P493" i="16"/>
  <c r="P501" i="16"/>
  <c r="P509" i="16"/>
  <c r="P517" i="16"/>
  <c r="P525" i="16"/>
  <c r="P533" i="16"/>
  <c r="P543" i="16"/>
  <c r="Q545" i="16"/>
  <c r="P552" i="16"/>
  <c r="P559" i="16"/>
  <c r="Q561" i="16"/>
  <c r="P568" i="16"/>
  <c r="Q570" i="16"/>
  <c r="Q572" i="16"/>
  <c r="Q574" i="16"/>
  <c r="Q576" i="16"/>
  <c r="Q578" i="16"/>
  <c r="Q580" i="16"/>
  <c r="Q582" i="16"/>
  <c r="Q584" i="16"/>
  <c r="Q586" i="16"/>
  <c r="Q588" i="16"/>
  <c r="Q590" i="16"/>
  <c r="Q592" i="16"/>
  <c r="Q594" i="16"/>
  <c r="Q596" i="16"/>
  <c r="Q598" i="16"/>
  <c r="Q600" i="16"/>
  <c r="Q602" i="16"/>
  <c r="Q604" i="16"/>
  <c r="Q606" i="16"/>
  <c r="Q608" i="16"/>
  <c r="Q610" i="16"/>
  <c r="Q612" i="16"/>
  <c r="Q614" i="16"/>
  <c r="Q616" i="16"/>
  <c r="Q618" i="16"/>
  <c r="Q620" i="16"/>
  <c r="Q622" i="16"/>
  <c r="Q624" i="16"/>
  <c r="Q626" i="16"/>
  <c r="Q628" i="16"/>
  <c r="Q630" i="16"/>
  <c r="Q632" i="16"/>
  <c r="Q634" i="16"/>
  <c r="Q636" i="16"/>
  <c r="Q638" i="16"/>
  <c r="Q640" i="16"/>
  <c r="Q642" i="16"/>
  <c r="Q644" i="16"/>
  <c r="Q646" i="16"/>
  <c r="Q648" i="16"/>
  <c r="Q650" i="16"/>
  <c r="Q238" i="16"/>
  <c r="Q246" i="16"/>
  <c r="Q254" i="16"/>
  <c r="Q262" i="16"/>
  <c r="Q270" i="16"/>
  <c r="Q278" i="16"/>
  <c r="Q286" i="16"/>
  <c r="Q294" i="16"/>
  <c r="Q302" i="16"/>
  <c r="Q310" i="16"/>
  <c r="Q318" i="16"/>
  <c r="Q326" i="16"/>
  <c r="Q334" i="16"/>
  <c r="Q342" i="16"/>
  <c r="Q357" i="16"/>
  <c r="Q365" i="16"/>
  <c r="Q373" i="16"/>
  <c r="Q381" i="16"/>
  <c r="Q389" i="16"/>
  <c r="Q397" i="16"/>
  <c r="Q405" i="16"/>
  <c r="Q413" i="16"/>
  <c r="Q421" i="16"/>
  <c r="Q429" i="16"/>
  <c r="Q437" i="16"/>
  <c r="Q445" i="16"/>
  <c r="Q453" i="16"/>
  <c r="Q461" i="16"/>
  <c r="Q469" i="16"/>
  <c r="Q477" i="16"/>
  <c r="Q485" i="16"/>
  <c r="Q493" i="16"/>
  <c r="Q501" i="16"/>
  <c r="Q509" i="16"/>
  <c r="Q517" i="16"/>
  <c r="Q525" i="16"/>
  <c r="Q533" i="16"/>
  <c r="P541" i="16"/>
  <c r="Q543" i="16"/>
  <c r="P550" i="16"/>
  <c r="P557" i="16"/>
  <c r="Q559" i="16"/>
  <c r="P566" i="16"/>
  <c r="P236" i="16"/>
  <c r="P244" i="16"/>
  <c r="P252" i="16"/>
  <c r="P260" i="16"/>
  <c r="P268" i="16"/>
  <c r="P276" i="16"/>
  <c r="P284" i="16"/>
  <c r="P292" i="16"/>
  <c r="P300" i="16"/>
  <c r="P308" i="16"/>
  <c r="P316" i="16"/>
  <c r="P324" i="16"/>
  <c r="P332" i="16"/>
  <c r="P340" i="16"/>
  <c r="P348" i="16"/>
  <c r="P355" i="16"/>
  <c r="P363" i="16"/>
  <c r="P371" i="16"/>
  <c r="P379" i="16"/>
  <c r="P387" i="16"/>
  <c r="P395" i="16"/>
  <c r="P403" i="16"/>
  <c r="P411" i="16"/>
  <c r="P419" i="16"/>
  <c r="P427" i="16"/>
  <c r="P435" i="16"/>
  <c r="P443" i="16"/>
  <c r="P451" i="16"/>
  <c r="P459" i="16"/>
  <c r="P467" i="16"/>
  <c r="P475" i="16"/>
  <c r="P483" i="16"/>
  <c r="P491" i="16"/>
  <c r="P499" i="16"/>
  <c r="P507" i="16"/>
  <c r="P515" i="16"/>
  <c r="P523" i="16"/>
  <c r="P531" i="16"/>
  <c r="P539" i="16"/>
  <c r="Q541" i="16"/>
  <c r="P548" i="16"/>
  <c r="P555" i="16"/>
  <c r="Q557" i="16"/>
  <c r="P564" i="16"/>
  <c r="Q236" i="16"/>
  <c r="Q244" i="16"/>
  <c r="Q252" i="16"/>
  <c r="Q260" i="16"/>
  <c r="Q268" i="16"/>
  <c r="Q276" i="16"/>
  <c r="Q284" i="16"/>
  <c r="Q292" i="16"/>
  <c r="Q300" i="16"/>
  <c r="Q308" i="16"/>
  <c r="Q316" i="16"/>
  <c r="Q324" i="16"/>
  <c r="Q332" i="16"/>
  <c r="Q340" i="16"/>
  <c r="Q348" i="16"/>
  <c r="Q355" i="16"/>
  <c r="Q363" i="16"/>
  <c r="Q371" i="16"/>
  <c r="Q379" i="16"/>
  <c r="Q387" i="16"/>
  <c r="Q395" i="16"/>
  <c r="Q403" i="16"/>
  <c r="Q411" i="16"/>
  <c r="Q419" i="16"/>
  <c r="Q427" i="16"/>
  <c r="Q435" i="16"/>
  <c r="Q443" i="16"/>
  <c r="Q451" i="16"/>
  <c r="Q459" i="16"/>
  <c r="Q467" i="16"/>
  <c r="Q475" i="16"/>
  <c r="Q483" i="16"/>
  <c r="Q491" i="16"/>
  <c r="Q499" i="16"/>
  <c r="Q507" i="16"/>
  <c r="Q515" i="16"/>
  <c r="Q523" i="16"/>
  <c r="Q531" i="16"/>
  <c r="Q539" i="16"/>
  <c r="P546" i="16"/>
  <c r="P553" i="16"/>
  <c r="Q555" i="16"/>
  <c r="P562" i="16"/>
  <c r="P242" i="16"/>
  <c r="P250" i="16"/>
  <c r="P258" i="16"/>
  <c r="P266" i="16"/>
  <c r="P274" i="16"/>
  <c r="P282" i="16"/>
  <c r="P290" i="16"/>
  <c r="P298" i="16"/>
  <c r="P306" i="16"/>
  <c r="P314" i="16"/>
  <c r="P322" i="16"/>
  <c r="P330" i="16"/>
  <c r="P338" i="16"/>
  <c r="P346" i="16"/>
  <c r="P353" i="16"/>
  <c r="P361" i="16"/>
  <c r="P369" i="16"/>
  <c r="P377" i="16"/>
  <c r="P385" i="16"/>
  <c r="P393" i="16"/>
  <c r="P401" i="16"/>
  <c r="P409" i="16"/>
  <c r="P417" i="16"/>
  <c r="P425" i="16"/>
  <c r="P433" i="16"/>
  <c r="P441" i="16"/>
  <c r="P449" i="16"/>
  <c r="P457" i="16"/>
  <c r="P465" i="16"/>
  <c r="P473" i="16"/>
  <c r="P481" i="16"/>
  <c r="P489" i="16"/>
  <c r="P497" i="16"/>
  <c r="P505" i="16"/>
  <c r="P513" i="16"/>
  <c r="P521" i="16"/>
  <c r="P529" i="16"/>
  <c r="P537" i="16"/>
  <c r="P544" i="16"/>
  <c r="P551" i="16"/>
  <c r="Q553" i="16"/>
  <c r="P560" i="16"/>
  <c r="P567" i="16"/>
  <c r="Q569" i="16"/>
  <c r="Q571" i="16"/>
  <c r="Q573" i="16"/>
  <c r="Q575" i="16"/>
  <c r="Q577" i="16"/>
  <c r="Q579" i="16"/>
  <c r="Q581" i="16"/>
  <c r="Q583" i="16"/>
  <c r="Q585" i="16"/>
  <c r="Q587" i="16"/>
  <c r="Q589" i="16"/>
  <c r="Q591" i="16"/>
  <c r="Q593" i="16"/>
  <c r="Q595" i="16"/>
  <c r="Q597" i="16"/>
  <c r="Q599" i="16"/>
  <c r="Q601" i="16"/>
  <c r="Q603" i="16"/>
  <c r="Q605" i="16"/>
  <c r="Q607" i="16"/>
  <c r="Q609" i="16"/>
  <c r="Q611" i="16"/>
  <c r="Q613" i="16"/>
  <c r="Q615" i="16"/>
  <c r="Q617" i="16"/>
  <c r="Q619" i="16"/>
  <c r="Q621" i="16"/>
  <c r="Q623" i="16"/>
  <c r="Q625" i="16"/>
  <c r="Q627" i="16"/>
  <c r="Q629" i="16"/>
  <c r="Q631" i="16"/>
  <c r="Q633" i="16"/>
  <c r="Q635" i="16"/>
  <c r="Q637" i="16"/>
  <c r="Q639" i="16"/>
  <c r="Q641" i="16"/>
  <c r="Q643" i="16"/>
  <c r="Q645" i="16"/>
  <c r="Q647" i="16"/>
  <c r="Q649" i="16"/>
  <c r="Q651" i="16"/>
  <c r="Q242" i="16"/>
  <c r="Q250" i="16"/>
  <c r="Q258" i="16"/>
  <c r="Q266" i="16"/>
  <c r="Q274" i="16"/>
  <c r="Q282" i="16"/>
  <c r="Q290" i="16"/>
  <c r="Q298" i="16"/>
  <c r="Q306" i="16"/>
  <c r="Q314" i="16"/>
  <c r="Q322" i="16"/>
  <c r="Q330" i="16"/>
  <c r="Q338" i="16"/>
  <c r="Q346" i="16"/>
  <c r="Q353" i="16"/>
  <c r="Q361" i="16"/>
  <c r="Q369" i="16"/>
  <c r="Q377" i="16"/>
  <c r="Q385" i="16"/>
  <c r="Q393" i="16"/>
  <c r="P240" i="16"/>
  <c r="P248" i="16"/>
  <c r="P256" i="16"/>
  <c r="P264" i="16"/>
  <c r="P272" i="16"/>
  <c r="P280" i="16"/>
  <c r="P288" i="16"/>
  <c r="P296" i="16"/>
  <c r="P304" i="16"/>
  <c r="P312" i="16"/>
  <c r="P320" i="16"/>
  <c r="P328" i="16"/>
  <c r="P336" i="16"/>
  <c r="P344" i="16"/>
  <c r="P351" i="16"/>
  <c r="P359" i="16"/>
  <c r="P367" i="16"/>
  <c r="P375" i="16"/>
  <c r="P383" i="16"/>
  <c r="P391" i="16"/>
  <c r="P399" i="16"/>
  <c r="P407" i="16"/>
  <c r="P415" i="16"/>
  <c r="P423" i="16"/>
  <c r="P431" i="16"/>
  <c r="P439" i="16"/>
  <c r="P447" i="16"/>
  <c r="P455" i="16"/>
  <c r="P463" i="16"/>
  <c r="P471" i="16"/>
  <c r="P479" i="16"/>
  <c r="P487" i="16"/>
  <c r="P495" i="16"/>
  <c r="P503" i="16"/>
  <c r="P511" i="16"/>
  <c r="P519" i="16"/>
  <c r="P527" i="16"/>
  <c r="P535" i="16"/>
  <c r="P540" i="16"/>
  <c r="P547" i="16"/>
  <c r="Q549" i="16"/>
  <c r="P556" i="16"/>
  <c r="Q248" i="16"/>
  <c r="Q312" i="16"/>
  <c r="Q375" i="16"/>
  <c r="Q401" i="16"/>
  <c r="Q433" i="16"/>
  <c r="Q465" i="16"/>
  <c r="Q497" i="16"/>
  <c r="Q529" i="16"/>
  <c r="Q563" i="16"/>
  <c r="P569" i="16"/>
  <c r="P577" i="16"/>
  <c r="P585" i="16"/>
  <c r="P593" i="16"/>
  <c r="P601" i="16"/>
  <c r="P609" i="16"/>
  <c r="P617" i="16"/>
  <c r="P625" i="16"/>
  <c r="P633" i="16"/>
  <c r="Q256" i="16"/>
  <c r="Q320" i="16"/>
  <c r="Q383" i="16"/>
  <c r="Q423" i="16"/>
  <c r="Q455" i="16"/>
  <c r="Q487" i="16"/>
  <c r="Q519" i="16"/>
  <c r="Q547" i="16"/>
  <c r="P572" i="16"/>
  <c r="P580" i="16"/>
  <c r="P588" i="16"/>
  <c r="P596" i="16"/>
  <c r="P604" i="16"/>
  <c r="P612" i="16"/>
  <c r="P620" i="16"/>
  <c r="P628" i="16"/>
  <c r="P636" i="16"/>
  <c r="P644" i="16"/>
  <c r="P652" i="16"/>
  <c r="P654" i="16"/>
  <c r="P656" i="16"/>
  <c r="P658" i="16"/>
  <c r="P660" i="16"/>
  <c r="P662" i="16"/>
  <c r="P664" i="16"/>
  <c r="P666" i="16"/>
  <c r="P668" i="16"/>
  <c r="P670" i="16"/>
  <c r="P672" i="16"/>
  <c r="P674" i="16"/>
  <c r="P676" i="16"/>
  <c r="P678" i="16"/>
  <c r="P680" i="16"/>
  <c r="P682" i="16"/>
  <c r="P684" i="16"/>
  <c r="P686" i="16"/>
  <c r="P688" i="16"/>
  <c r="P690" i="16"/>
  <c r="P692" i="16"/>
  <c r="P694" i="16"/>
  <c r="P696" i="16"/>
  <c r="P698" i="16"/>
  <c r="P700" i="16"/>
  <c r="P702" i="16"/>
  <c r="P704" i="16"/>
  <c r="P706" i="16"/>
  <c r="P708" i="16"/>
  <c r="P710" i="16"/>
  <c r="P712" i="16"/>
  <c r="P714" i="16"/>
  <c r="P716" i="16"/>
  <c r="P718" i="16"/>
  <c r="P720" i="16"/>
  <c r="P722" i="16"/>
  <c r="P724" i="16"/>
  <c r="P726" i="16"/>
  <c r="P728" i="16"/>
  <c r="P730" i="16"/>
  <c r="P732" i="16"/>
  <c r="P734" i="16"/>
  <c r="P736" i="16"/>
  <c r="P738" i="16"/>
  <c r="P740" i="16"/>
  <c r="P742" i="16"/>
  <c r="P744" i="16"/>
  <c r="P746" i="16"/>
  <c r="P748" i="16"/>
  <c r="P750" i="16"/>
  <c r="P752" i="16"/>
  <c r="P754" i="16"/>
  <c r="P756" i="16"/>
  <c r="P758" i="16"/>
  <c r="P760" i="16"/>
  <c r="P762" i="16"/>
  <c r="P764" i="16"/>
  <c r="P766" i="16"/>
  <c r="P768" i="16"/>
  <c r="P770" i="16"/>
  <c r="P772" i="16"/>
  <c r="P774" i="16"/>
  <c r="P776" i="16"/>
  <c r="P778" i="16"/>
  <c r="P780" i="16"/>
  <c r="P782" i="16"/>
  <c r="P784" i="16"/>
  <c r="Q264" i="16"/>
  <c r="Q328" i="16"/>
  <c r="Q391" i="16"/>
  <c r="Q409" i="16"/>
  <c r="Q441" i="16"/>
  <c r="Q473" i="16"/>
  <c r="Q505" i="16"/>
  <c r="Q537" i="16"/>
  <c r="P554" i="16"/>
  <c r="P561" i="16"/>
  <c r="P575" i="16"/>
  <c r="P583" i="16"/>
  <c r="P591" i="16"/>
  <c r="P599" i="16"/>
  <c r="P607" i="16"/>
  <c r="P615" i="16"/>
  <c r="P623" i="16"/>
  <c r="P631" i="16"/>
  <c r="P639" i="16"/>
  <c r="P647" i="16"/>
  <c r="Q272" i="16"/>
  <c r="Q336" i="16"/>
  <c r="Q399" i="16"/>
  <c r="Q431" i="16"/>
  <c r="Q463" i="16"/>
  <c r="Q495" i="16"/>
  <c r="Q527" i="16"/>
  <c r="Q551" i="16"/>
  <c r="P558" i="16"/>
  <c r="Q567" i="16"/>
  <c r="P570" i="16"/>
  <c r="P578" i="16"/>
  <c r="P586" i="16"/>
  <c r="P594" i="16"/>
  <c r="P602" i="16"/>
  <c r="P610" i="16"/>
  <c r="P618" i="16"/>
  <c r="P626" i="16"/>
  <c r="P634" i="16"/>
  <c r="P642" i="16"/>
  <c r="P650" i="16"/>
  <c r="Q280" i="16"/>
  <c r="Q344" i="16"/>
  <c r="Q417" i="16"/>
  <c r="Q449" i="16"/>
  <c r="Q481" i="16"/>
  <c r="Q513" i="16"/>
  <c r="P545" i="16"/>
  <c r="P573" i="16"/>
  <c r="P581" i="16"/>
  <c r="P589" i="16"/>
  <c r="P597" i="16"/>
  <c r="P605" i="16"/>
  <c r="P613" i="16"/>
  <c r="P621" i="16"/>
  <c r="P629" i="16"/>
  <c r="P637" i="16"/>
  <c r="P645" i="16"/>
  <c r="Q288" i="16"/>
  <c r="Q351" i="16"/>
  <c r="Q407" i="16"/>
  <c r="Q439" i="16"/>
  <c r="Q471" i="16"/>
  <c r="Q503" i="16"/>
  <c r="Q535" i="16"/>
  <c r="P542" i="16"/>
  <c r="P565" i="16"/>
  <c r="P576" i="16"/>
  <c r="P584" i="16"/>
  <c r="P592" i="16"/>
  <c r="P600" i="16"/>
  <c r="P608" i="16"/>
  <c r="P616" i="16"/>
  <c r="P624" i="16"/>
  <c r="P632" i="16"/>
  <c r="P640" i="16"/>
  <c r="P648" i="16"/>
  <c r="P653" i="16"/>
  <c r="P655" i="16"/>
  <c r="P657" i="16"/>
  <c r="P659" i="16"/>
  <c r="P661" i="16"/>
  <c r="P663" i="16"/>
  <c r="P665" i="16"/>
  <c r="P667" i="16"/>
  <c r="P669" i="16"/>
  <c r="P671" i="16"/>
  <c r="P673" i="16"/>
  <c r="P675" i="16"/>
  <c r="P677" i="16"/>
  <c r="P679" i="16"/>
  <c r="P681" i="16"/>
  <c r="P683" i="16"/>
  <c r="P685" i="16"/>
  <c r="P687" i="16"/>
  <c r="P689" i="16"/>
  <c r="P691" i="16"/>
  <c r="P693" i="16"/>
  <c r="P695" i="16"/>
  <c r="P697" i="16"/>
  <c r="P699" i="16"/>
  <c r="P701" i="16"/>
  <c r="P703" i="16"/>
  <c r="P705" i="16"/>
  <c r="P707" i="16"/>
  <c r="P709" i="16"/>
  <c r="P711" i="16"/>
  <c r="P713" i="16"/>
  <c r="P715" i="16"/>
  <c r="P717" i="16"/>
  <c r="P719" i="16"/>
  <c r="P721" i="16"/>
  <c r="P723" i="16"/>
  <c r="P725" i="16"/>
  <c r="P727" i="16"/>
  <c r="P729" i="16"/>
  <c r="P731" i="16"/>
  <c r="P733" i="16"/>
  <c r="P735" i="16"/>
  <c r="P737" i="16"/>
  <c r="P739" i="16"/>
  <c r="P741" i="16"/>
  <c r="P743" i="16"/>
  <c r="P745" i="16"/>
  <c r="P747" i="16"/>
  <c r="P749" i="16"/>
  <c r="P751" i="16"/>
  <c r="P753" i="16"/>
  <c r="P755" i="16"/>
  <c r="P757" i="16"/>
  <c r="P759" i="16"/>
  <c r="P761" i="16"/>
  <c r="P763" i="16"/>
  <c r="P765" i="16"/>
  <c r="P767" i="16"/>
  <c r="P769" i="16"/>
  <c r="P771" i="16"/>
  <c r="P773" i="16"/>
  <c r="P775" i="16"/>
  <c r="P777" i="16"/>
  <c r="P779" i="16"/>
  <c r="P781" i="16"/>
  <c r="P783" i="16"/>
  <c r="Q304" i="16"/>
  <c r="Q425" i="16"/>
  <c r="P579" i="16"/>
  <c r="P611" i="16"/>
  <c r="P646" i="16"/>
  <c r="Q655" i="16"/>
  <c r="Q663" i="16"/>
  <c r="Q671" i="16"/>
  <c r="Q679" i="16"/>
  <c r="Q687" i="16"/>
  <c r="Q695" i="16"/>
  <c r="Q703" i="16"/>
  <c r="Q711" i="16"/>
  <c r="Q719" i="16"/>
  <c r="Q727" i="16"/>
  <c r="Q735" i="16"/>
  <c r="Q743" i="16"/>
  <c r="Q751" i="16"/>
  <c r="Q759" i="16"/>
  <c r="Q767" i="16"/>
  <c r="Q775" i="16"/>
  <c r="Q783" i="16"/>
  <c r="Q359" i="16"/>
  <c r="Q511" i="16"/>
  <c r="Q565" i="16"/>
  <c r="P590" i="16"/>
  <c r="P622" i="16"/>
  <c r="P643" i="16"/>
  <c r="Q658" i="16"/>
  <c r="Q666" i="16"/>
  <c r="Q674" i="16"/>
  <c r="Q682" i="16"/>
  <c r="Q690" i="16"/>
  <c r="Q698" i="16"/>
  <c r="Q706" i="16"/>
  <c r="Q714" i="16"/>
  <c r="Q722" i="16"/>
  <c r="Q730" i="16"/>
  <c r="Q738" i="16"/>
  <c r="Q746" i="16"/>
  <c r="Q754" i="16"/>
  <c r="Q762" i="16"/>
  <c r="Q770" i="16"/>
  <c r="Q778" i="16"/>
  <c r="Q367" i="16"/>
  <c r="Q457" i="16"/>
  <c r="P587" i="16"/>
  <c r="P619" i="16"/>
  <c r="Q653" i="16"/>
  <c r="Q661" i="16"/>
  <c r="Q669" i="16"/>
  <c r="Q677" i="16"/>
  <c r="Q685" i="16"/>
  <c r="Q693" i="16"/>
  <c r="Q701" i="16"/>
  <c r="Q709" i="16"/>
  <c r="Q717" i="16"/>
  <c r="Q725" i="16"/>
  <c r="Q733" i="16"/>
  <c r="Q741" i="16"/>
  <c r="Q749" i="16"/>
  <c r="Q757" i="16"/>
  <c r="Q765" i="16"/>
  <c r="Q773" i="16"/>
  <c r="Q781" i="16"/>
  <c r="P786" i="16"/>
  <c r="P788" i="16"/>
  <c r="P790" i="16"/>
  <c r="P792" i="16"/>
  <c r="P794" i="16"/>
  <c r="P796" i="16"/>
  <c r="P798" i="16"/>
  <c r="P800" i="16"/>
  <c r="P802" i="16"/>
  <c r="P804" i="16"/>
  <c r="P806" i="16"/>
  <c r="P808" i="16"/>
  <c r="P810" i="16"/>
  <c r="P812" i="16"/>
  <c r="P814" i="16"/>
  <c r="P816" i="16"/>
  <c r="P818" i="16"/>
  <c r="P820" i="16"/>
  <c r="P822" i="16"/>
  <c r="P824" i="16"/>
  <c r="P826" i="16"/>
  <c r="P828" i="16"/>
  <c r="P830" i="16"/>
  <c r="P832" i="16"/>
  <c r="P834" i="16"/>
  <c r="P836" i="16"/>
  <c r="P838" i="16"/>
  <c r="P840" i="16"/>
  <c r="P842" i="16"/>
  <c r="P844" i="16"/>
  <c r="P846" i="16"/>
  <c r="P848" i="16"/>
  <c r="P850" i="16"/>
  <c r="P852" i="16"/>
  <c r="P854" i="16"/>
  <c r="P856" i="16"/>
  <c r="P858" i="16"/>
  <c r="P860" i="16"/>
  <c r="P862" i="16"/>
  <c r="P864" i="16"/>
  <c r="P866" i="16"/>
  <c r="P868" i="16"/>
  <c r="P870" i="16"/>
  <c r="P872" i="16"/>
  <c r="P874" i="16"/>
  <c r="P876" i="16"/>
  <c r="P878" i="16"/>
  <c r="P880" i="16"/>
  <c r="P882" i="16"/>
  <c r="P884" i="16"/>
  <c r="P886" i="16"/>
  <c r="P888" i="16"/>
  <c r="P890" i="16"/>
  <c r="P892" i="16"/>
  <c r="P894" i="16"/>
  <c r="P896" i="16"/>
  <c r="P898" i="16"/>
  <c r="P900" i="16"/>
  <c r="P902" i="16"/>
  <c r="P904" i="16"/>
  <c r="P906" i="16"/>
  <c r="P908" i="16"/>
  <c r="P910" i="16"/>
  <c r="P912" i="16"/>
  <c r="P914" i="16"/>
  <c r="P916" i="16"/>
  <c r="P918" i="16"/>
  <c r="P920" i="16"/>
  <c r="P922" i="16"/>
  <c r="P924" i="16"/>
  <c r="P926" i="16"/>
  <c r="P928" i="16"/>
  <c r="P930" i="16"/>
  <c r="P932" i="16"/>
  <c r="P934" i="16"/>
  <c r="P936" i="16"/>
  <c r="P938" i="16"/>
  <c r="P940" i="16"/>
  <c r="P942" i="16"/>
  <c r="P944" i="16"/>
  <c r="P946" i="16"/>
  <c r="P948" i="16"/>
  <c r="P950" i="16"/>
  <c r="P952" i="16"/>
  <c r="P954" i="16"/>
  <c r="P956" i="16"/>
  <c r="P958" i="16"/>
  <c r="P960" i="16"/>
  <c r="P962" i="16"/>
  <c r="P964" i="16"/>
  <c r="P966" i="16"/>
  <c r="P968" i="16"/>
  <c r="P970" i="16"/>
  <c r="P972" i="16"/>
  <c r="P974" i="16"/>
  <c r="P976" i="16"/>
  <c r="P978" i="16"/>
  <c r="P980" i="16"/>
  <c r="P982" i="16"/>
  <c r="P984" i="16"/>
  <c r="P986" i="16"/>
  <c r="P988" i="16"/>
  <c r="P990" i="16"/>
  <c r="P992" i="16"/>
  <c r="P994" i="16"/>
  <c r="P996" i="16"/>
  <c r="P998" i="16"/>
  <c r="P1000" i="16"/>
  <c r="P1002" i="16"/>
  <c r="P1004" i="16"/>
  <c r="P1006" i="16"/>
  <c r="P1008" i="16"/>
  <c r="P1010" i="16"/>
  <c r="P1012" i="16"/>
  <c r="P1014" i="16"/>
  <c r="P1016" i="16"/>
  <c r="P1018" i="16"/>
  <c r="P1020" i="16"/>
  <c r="P1022" i="16"/>
  <c r="P1024" i="16"/>
  <c r="P1026" i="16"/>
  <c r="P1028" i="16"/>
  <c r="P1030" i="16"/>
  <c r="P1032" i="16"/>
  <c r="P1034" i="16"/>
  <c r="P1036" i="16"/>
  <c r="P1038" i="16"/>
  <c r="P1040" i="16"/>
  <c r="P1042" i="16"/>
  <c r="P1044" i="16"/>
  <c r="P1046" i="16"/>
  <c r="P1048" i="16"/>
  <c r="P1050" i="16"/>
  <c r="P1052" i="16"/>
  <c r="P1054" i="16"/>
  <c r="P1056" i="16"/>
  <c r="P1058" i="16"/>
  <c r="P1060" i="16"/>
  <c r="P1062" i="16"/>
  <c r="P1064" i="16"/>
  <c r="P1066" i="16"/>
  <c r="P1068" i="16"/>
  <c r="P1070" i="16"/>
  <c r="P1072" i="16"/>
  <c r="P1074" i="16"/>
  <c r="P1076" i="16"/>
  <c r="P1078" i="16"/>
  <c r="P1080" i="16"/>
  <c r="P1082" i="16"/>
  <c r="Q415" i="16"/>
  <c r="P598" i="16"/>
  <c r="P630" i="16"/>
  <c r="Q656" i="16"/>
  <c r="Q664" i="16"/>
  <c r="Q672" i="16"/>
  <c r="Q680" i="16"/>
  <c r="Q688" i="16"/>
  <c r="Q696" i="16"/>
  <c r="Q704" i="16"/>
  <c r="Q712" i="16"/>
  <c r="Q720" i="16"/>
  <c r="Q728" i="16"/>
  <c r="Q736" i="16"/>
  <c r="Q744" i="16"/>
  <c r="Q752" i="16"/>
  <c r="Q760" i="16"/>
  <c r="Q768" i="16"/>
  <c r="Q776" i="16"/>
  <c r="Q784" i="16"/>
  <c r="Q786" i="16"/>
  <c r="Q788" i="16"/>
  <c r="Q790" i="16"/>
  <c r="Q792" i="16"/>
  <c r="Q794" i="16"/>
  <c r="Q796" i="16"/>
  <c r="Q798" i="16"/>
  <c r="Q800" i="16"/>
  <c r="Q802" i="16"/>
  <c r="Q804" i="16"/>
  <c r="Q806" i="16"/>
  <c r="Q808" i="16"/>
  <c r="Q810" i="16"/>
  <c r="Q812" i="16"/>
  <c r="Q814" i="16"/>
  <c r="Q816" i="16"/>
  <c r="Q818" i="16"/>
  <c r="Q820" i="16"/>
  <c r="Q822" i="16"/>
  <c r="Q824" i="16"/>
  <c r="Q826" i="16"/>
  <c r="Q828" i="16"/>
  <c r="Q830" i="16"/>
  <c r="Q832" i="16"/>
  <c r="Q834" i="16"/>
  <c r="Q836" i="16"/>
  <c r="Q838" i="16"/>
  <c r="Q840" i="16"/>
  <c r="Q842" i="16"/>
  <c r="Q844" i="16"/>
  <c r="Q846" i="16"/>
  <c r="Q848" i="16"/>
  <c r="Q850" i="16"/>
  <c r="Q852" i="16"/>
  <c r="Q854" i="16"/>
  <c r="Q856" i="16"/>
  <c r="Q858" i="16"/>
  <c r="Q860" i="16"/>
  <c r="Q862" i="16"/>
  <c r="Q864" i="16"/>
  <c r="Q866" i="16"/>
  <c r="Q868" i="16"/>
  <c r="Q870" i="16"/>
  <c r="Q872" i="16"/>
  <c r="Q874" i="16"/>
  <c r="Q876" i="16"/>
  <c r="Q878" i="16"/>
  <c r="Q880" i="16"/>
  <c r="Q882" i="16"/>
  <c r="Q884" i="16"/>
  <c r="Q886" i="16"/>
  <c r="Q888" i="16"/>
  <c r="Q890" i="16"/>
  <c r="Q892" i="16"/>
  <c r="Q894" i="16"/>
  <c r="Q896" i="16"/>
  <c r="Q898" i="16"/>
  <c r="Q900" i="16"/>
  <c r="Q902" i="16"/>
  <c r="Q904" i="16"/>
  <c r="Q906" i="16"/>
  <c r="Q908" i="16"/>
  <c r="Q910" i="16"/>
  <c r="Q912" i="16"/>
  <c r="Q914" i="16"/>
  <c r="Q916" i="16"/>
  <c r="Q918" i="16"/>
  <c r="Q920" i="16"/>
  <c r="Q922" i="16"/>
  <c r="Q924" i="16"/>
  <c r="Q926" i="16"/>
  <c r="Q928" i="16"/>
  <c r="Q930" i="16"/>
  <c r="Q932" i="16"/>
  <c r="Q936" i="16"/>
  <c r="Q938" i="16"/>
  <c r="Q940" i="16"/>
  <c r="Q942" i="16"/>
  <c r="Q944" i="16"/>
  <c r="Q946" i="16"/>
  <c r="Q948" i="16"/>
  <c r="Q950" i="16"/>
  <c r="Q952" i="16"/>
  <c r="Q954" i="16"/>
  <c r="Q956" i="16"/>
  <c r="Q958" i="16"/>
  <c r="Q960" i="16"/>
  <c r="Q962" i="16"/>
  <c r="Q964" i="16"/>
  <c r="Q966" i="16"/>
  <c r="Q968" i="16"/>
  <c r="Q970" i="16"/>
  <c r="Q972" i="16"/>
  <c r="Q974" i="16"/>
  <c r="Q976" i="16"/>
  <c r="Q978" i="16"/>
  <c r="Q980" i="16"/>
  <c r="Q982" i="16"/>
  <c r="Q984" i="16"/>
  <c r="Q986" i="16"/>
  <c r="Q988" i="16"/>
  <c r="Q990" i="16"/>
  <c r="Q992" i="16"/>
  <c r="Q994" i="16"/>
  <c r="Q996" i="16"/>
  <c r="Q998" i="16"/>
  <c r="Q1000" i="16"/>
  <c r="Q1002" i="16"/>
  <c r="Q1004" i="16"/>
  <c r="Q1006" i="16"/>
  <c r="Q1008" i="16"/>
  <c r="Q1010" i="16"/>
  <c r="Q1012" i="16"/>
  <c r="Q1014" i="16"/>
  <c r="Q1016" i="16"/>
  <c r="Q1018" i="16"/>
  <c r="Q1020" i="16"/>
  <c r="Q1022" i="16"/>
  <c r="Q1024" i="16"/>
  <c r="Q1026" i="16"/>
  <c r="Q1028" i="16"/>
  <c r="Q1030" i="16"/>
  <c r="Q1032" i="16"/>
  <c r="Q1034" i="16"/>
  <c r="Q1036" i="16"/>
  <c r="Q1038" i="16"/>
  <c r="Q1040" i="16"/>
  <c r="Q1042" i="16"/>
  <c r="Q1044" i="16"/>
  <c r="Q1046" i="16"/>
  <c r="Q1048" i="16"/>
  <c r="Q1050" i="16"/>
  <c r="Q1052" i="16"/>
  <c r="Q1054" i="16"/>
  <c r="Q1056" i="16"/>
  <c r="Q1058" i="16"/>
  <c r="Q1060" i="16"/>
  <c r="Q1062" i="16"/>
  <c r="Q1064" i="16"/>
  <c r="Q1066" i="16"/>
  <c r="Q1068" i="16"/>
  <c r="Q1070" i="16"/>
  <c r="Q1072" i="16"/>
  <c r="Q1074" i="16"/>
  <c r="Q1076" i="16"/>
  <c r="Q1078" i="16"/>
  <c r="Q1080" i="16"/>
  <c r="Q1082" i="16"/>
  <c r="Q1084" i="16"/>
  <c r="Q489" i="16"/>
  <c r="P563" i="16"/>
  <c r="P595" i="16"/>
  <c r="P627" i="16"/>
  <c r="P641" i="16"/>
  <c r="P651" i="16"/>
  <c r="Q659" i="16"/>
  <c r="Q667" i="16"/>
  <c r="Q675" i="16"/>
  <c r="Q683" i="16"/>
  <c r="Q691" i="16"/>
  <c r="Q699" i="16"/>
  <c r="Q707" i="16"/>
  <c r="Q715" i="16"/>
  <c r="Q723" i="16"/>
  <c r="Q731" i="16"/>
  <c r="Q739" i="16"/>
  <c r="Q747" i="16"/>
  <c r="Q755" i="16"/>
  <c r="Q763" i="16"/>
  <c r="Q771" i="16"/>
  <c r="Q779" i="16"/>
  <c r="Q447" i="16"/>
  <c r="P574" i="16"/>
  <c r="P606" i="16"/>
  <c r="P638" i="16"/>
  <c r="Q654" i="16"/>
  <c r="Q662" i="16"/>
  <c r="Q670" i="16"/>
  <c r="Q678" i="16"/>
  <c r="Q686" i="16"/>
  <c r="Q694" i="16"/>
  <c r="Q702" i="16"/>
  <c r="Q710" i="16"/>
  <c r="Q718" i="16"/>
  <c r="Q726" i="16"/>
  <c r="Q734" i="16"/>
  <c r="Q742" i="16"/>
  <c r="Q750" i="16"/>
  <c r="Q758" i="16"/>
  <c r="Q766" i="16"/>
  <c r="Q774" i="16"/>
  <c r="Q782" i="16"/>
  <c r="Q240" i="16"/>
  <c r="Q521" i="16"/>
  <c r="P571" i="16"/>
  <c r="P603" i="16"/>
  <c r="P635" i="16"/>
  <c r="Q657" i="16"/>
  <c r="Q665" i="16"/>
  <c r="Q673" i="16"/>
  <c r="Q681" i="16"/>
  <c r="Q689" i="16"/>
  <c r="Q697" i="16"/>
  <c r="Q705" i="16"/>
  <c r="Q713" i="16"/>
  <c r="Q721" i="16"/>
  <c r="Q729" i="16"/>
  <c r="Q737" i="16"/>
  <c r="Q745" i="16"/>
  <c r="Q753" i="16"/>
  <c r="Q761" i="16"/>
  <c r="Q769" i="16"/>
  <c r="Q777" i="16"/>
  <c r="P785" i="16"/>
  <c r="P787" i="16"/>
  <c r="P789" i="16"/>
  <c r="P791" i="16"/>
  <c r="P793" i="16"/>
  <c r="P795" i="16"/>
  <c r="P797" i="16"/>
  <c r="P799" i="16"/>
  <c r="P801" i="16"/>
  <c r="P803" i="16"/>
  <c r="P805" i="16"/>
  <c r="P807" i="16"/>
  <c r="P809" i="16"/>
  <c r="P811" i="16"/>
  <c r="P813" i="16"/>
  <c r="P815" i="16"/>
  <c r="P817" i="16"/>
  <c r="P819" i="16"/>
  <c r="P821" i="16"/>
  <c r="P823" i="16"/>
  <c r="P825" i="16"/>
  <c r="P827" i="16"/>
  <c r="P829" i="16"/>
  <c r="P831" i="16"/>
  <c r="P833" i="16"/>
  <c r="P835" i="16"/>
  <c r="P837" i="16"/>
  <c r="P839" i="16"/>
  <c r="P841" i="16"/>
  <c r="P843" i="16"/>
  <c r="P845" i="16"/>
  <c r="P847" i="16"/>
  <c r="P849" i="16"/>
  <c r="P851" i="16"/>
  <c r="P853" i="16"/>
  <c r="P855" i="16"/>
  <c r="P857" i="16"/>
  <c r="P859" i="16"/>
  <c r="P861" i="16"/>
  <c r="P863" i="16"/>
  <c r="P865" i="16"/>
  <c r="P867" i="16"/>
  <c r="P869" i="16"/>
  <c r="P871" i="16"/>
  <c r="P873" i="16"/>
  <c r="P875" i="16"/>
  <c r="P877" i="16"/>
  <c r="P879" i="16"/>
  <c r="P614" i="16"/>
  <c r="Q668" i="16"/>
  <c r="Q732" i="16"/>
  <c r="Q791" i="16"/>
  <c r="Q807" i="16"/>
  <c r="Q823" i="16"/>
  <c r="Q839" i="16"/>
  <c r="Q855" i="16"/>
  <c r="Q871" i="16"/>
  <c r="Q883" i="16"/>
  <c r="Q891" i="16"/>
  <c r="Q899" i="16"/>
  <c r="Q907" i="16"/>
  <c r="Q915" i="16"/>
  <c r="Q923" i="16"/>
  <c r="Q931" i="16"/>
  <c r="P939" i="16"/>
  <c r="P947" i="16"/>
  <c r="P955" i="16"/>
  <c r="P963" i="16"/>
  <c r="P971" i="16"/>
  <c r="P979" i="16"/>
  <c r="P987" i="16"/>
  <c r="P995" i="16"/>
  <c r="P1003" i="16"/>
  <c r="P1011" i="16"/>
  <c r="P1019" i="16"/>
  <c r="P1027" i="16"/>
  <c r="P1035" i="16"/>
  <c r="P1043" i="16"/>
  <c r="P1051" i="16"/>
  <c r="P1059" i="16"/>
  <c r="P1067" i="16"/>
  <c r="P1075" i="16"/>
  <c r="P1083" i="16"/>
  <c r="Q1085" i="16"/>
  <c r="Q1087" i="16"/>
  <c r="Q1089" i="16"/>
  <c r="Q1091" i="16"/>
  <c r="Q1093" i="16"/>
  <c r="Q1095" i="16"/>
  <c r="Q1097" i="16"/>
  <c r="Q1099" i="16"/>
  <c r="Q1101" i="16"/>
  <c r="Q676" i="16"/>
  <c r="Q740" i="16"/>
  <c r="Q785" i="16"/>
  <c r="Q801" i="16"/>
  <c r="Q817" i="16"/>
  <c r="Q833" i="16"/>
  <c r="Q849" i="16"/>
  <c r="Q865" i="16"/>
  <c r="P881" i="16"/>
  <c r="P889" i="16"/>
  <c r="P897" i="16"/>
  <c r="P905" i="16"/>
  <c r="P913" i="16"/>
  <c r="P921" i="16"/>
  <c r="P929" i="16"/>
  <c r="Q939" i="16"/>
  <c r="Q947" i="16"/>
  <c r="Q955" i="16"/>
  <c r="Q963" i="16"/>
  <c r="Q971" i="16"/>
  <c r="Q979" i="16"/>
  <c r="Q987" i="16"/>
  <c r="Q995" i="16"/>
  <c r="Q1003" i="16"/>
  <c r="Q1011" i="16"/>
  <c r="Q1019" i="16"/>
  <c r="Q1027" i="16"/>
  <c r="Q1035" i="16"/>
  <c r="Q1043" i="16"/>
  <c r="Q1051" i="16"/>
  <c r="Q1059" i="16"/>
  <c r="Q1067" i="16"/>
  <c r="Q684" i="16"/>
  <c r="Q748" i="16"/>
  <c r="Q795" i="16"/>
  <c r="Q811" i="16"/>
  <c r="Q827" i="16"/>
  <c r="Q843" i="16"/>
  <c r="Q859" i="16"/>
  <c r="Q875" i="16"/>
  <c r="Q881" i="16"/>
  <c r="Q889" i="16"/>
  <c r="Q897" i="16"/>
  <c r="Q905" i="16"/>
  <c r="Q913" i="16"/>
  <c r="Q921" i="16"/>
  <c r="Q929" i="16"/>
  <c r="P937" i="16"/>
  <c r="P945" i="16"/>
  <c r="P953" i="16"/>
  <c r="P961" i="16"/>
  <c r="P969" i="16"/>
  <c r="P977" i="16"/>
  <c r="P985" i="16"/>
  <c r="P993" i="16"/>
  <c r="P1001" i="16"/>
  <c r="P1009" i="16"/>
  <c r="P1017" i="16"/>
  <c r="P1025" i="16"/>
  <c r="P1033" i="16"/>
  <c r="P1041" i="16"/>
  <c r="P1049" i="16"/>
  <c r="P1057" i="16"/>
  <c r="P1065" i="16"/>
  <c r="P1073" i="16"/>
  <c r="P1081" i="16"/>
  <c r="Q692" i="16"/>
  <c r="Q756" i="16"/>
  <c r="Q789" i="16"/>
  <c r="Q805" i="16"/>
  <c r="Q821" i="16"/>
  <c r="Q837" i="16"/>
  <c r="Q853" i="16"/>
  <c r="Q869" i="16"/>
  <c r="P887" i="16"/>
  <c r="P895" i="16"/>
  <c r="P903" i="16"/>
  <c r="P911" i="16"/>
  <c r="P919" i="16"/>
  <c r="P927" i="16"/>
  <c r="Q937" i="16"/>
  <c r="Q945" i="16"/>
  <c r="Q953" i="16"/>
  <c r="Q961" i="16"/>
  <c r="Q969" i="16"/>
  <c r="Q977" i="16"/>
  <c r="Q985" i="16"/>
  <c r="Q993" i="16"/>
  <c r="Q1001" i="16"/>
  <c r="Q1009" i="16"/>
  <c r="Q1017" i="16"/>
  <c r="Q1025" i="16"/>
  <c r="Q1033" i="16"/>
  <c r="Q1041" i="16"/>
  <c r="Q1049" i="16"/>
  <c r="Q1057" i="16"/>
  <c r="Q1065" i="16"/>
  <c r="Q1073" i="16"/>
  <c r="Q1081" i="16"/>
  <c r="P1086" i="16"/>
  <c r="P1088" i="16"/>
  <c r="P1090" i="16"/>
  <c r="P1092" i="16"/>
  <c r="P1094" i="16"/>
  <c r="P1096" i="16"/>
  <c r="P1098" i="16"/>
  <c r="P1100" i="16"/>
  <c r="P1102" i="16"/>
  <c r="P1104" i="16"/>
  <c r="P1106" i="16"/>
  <c r="P1108" i="16"/>
  <c r="P1110" i="16"/>
  <c r="P1112" i="16"/>
  <c r="P1114" i="16"/>
  <c r="P1116" i="16"/>
  <c r="P1118" i="16"/>
  <c r="P1120" i="16"/>
  <c r="P1122" i="16"/>
  <c r="P1124" i="16"/>
  <c r="P1126" i="16"/>
  <c r="P1128" i="16"/>
  <c r="P1130" i="16"/>
  <c r="P1132" i="16"/>
  <c r="P1134" i="16"/>
  <c r="P1136" i="16"/>
  <c r="P1138" i="16"/>
  <c r="P549" i="16"/>
  <c r="Q700" i="16"/>
  <c r="Q764" i="16"/>
  <c r="Q799" i="16"/>
  <c r="Q815" i="16"/>
  <c r="Q831" i="16"/>
  <c r="Q847" i="16"/>
  <c r="Q863" i="16"/>
  <c r="Q879" i="16"/>
  <c r="Q887" i="16"/>
  <c r="Q895" i="16"/>
  <c r="Q903" i="16"/>
  <c r="Q911" i="16"/>
  <c r="Q919" i="16"/>
  <c r="Q927" i="16"/>
  <c r="P935" i="16"/>
  <c r="P943" i="16"/>
  <c r="P951" i="16"/>
  <c r="P959" i="16"/>
  <c r="P967" i="16"/>
  <c r="P975" i="16"/>
  <c r="P983" i="16"/>
  <c r="P991" i="16"/>
  <c r="P999" i="16"/>
  <c r="P1007" i="16"/>
  <c r="P1015" i="16"/>
  <c r="P1023" i="16"/>
  <c r="P1031" i="16"/>
  <c r="P1039" i="16"/>
  <c r="P1047" i="16"/>
  <c r="P1055" i="16"/>
  <c r="P1063" i="16"/>
  <c r="P1071" i="16"/>
  <c r="P1079" i="16"/>
  <c r="P1084" i="16"/>
  <c r="Q1086" i="16"/>
  <c r="Q1088" i="16"/>
  <c r="Q1090" i="16"/>
  <c r="Q1092" i="16"/>
  <c r="Q1094" i="16"/>
  <c r="Q1096" i="16"/>
  <c r="Q1098" i="16"/>
  <c r="Q1100" i="16"/>
  <c r="Q1102" i="16"/>
  <c r="Q1104" i="16"/>
  <c r="Q1106" i="16"/>
  <c r="Q1108" i="16"/>
  <c r="Q1110" i="16"/>
  <c r="Q1112" i="16"/>
  <c r="Q1114" i="16"/>
  <c r="Q1116" i="16"/>
  <c r="Q1118" i="16"/>
  <c r="Q1120" i="16"/>
  <c r="Q1122" i="16"/>
  <c r="Q1124" i="16"/>
  <c r="Q1126" i="16"/>
  <c r="Q1128" i="16"/>
  <c r="Q1130" i="16"/>
  <c r="Q1132" i="16"/>
  <c r="Q1134" i="16"/>
  <c r="Q1136" i="16"/>
  <c r="Q1138" i="16"/>
  <c r="Q1140" i="16"/>
  <c r="Q1142" i="16"/>
  <c r="Q1144" i="16"/>
  <c r="Q1146" i="16"/>
  <c r="Q1148" i="16"/>
  <c r="Q1150" i="16"/>
  <c r="Q1152" i="16"/>
  <c r="Q1154" i="16"/>
  <c r="Q1156" i="16"/>
  <c r="Q1158" i="16"/>
  <c r="Q1160" i="16"/>
  <c r="Q1162" i="16"/>
  <c r="Q1164" i="16"/>
  <c r="Q1166" i="16"/>
  <c r="Q1168" i="16"/>
  <c r="Q1170" i="16"/>
  <c r="Q1172" i="16"/>
  <c r="Q1174" i="16"/>
  <c r="Q1176" i="16"/>
  <c r="Q1178" i="16"/>
  <c r="Q1180" i="16"/>
  <c r="Q1182" i="16"/>
  <c r="Q1184" i="16"/>
  <c r="Q708" i="16"/>
  <c r="Q772" i="16"/>
  <c r="Q793" i="16"/>
  <c r="Q809" i="16"/>
  <c r="Q825" i="16"/>
  <c r="Q841" i="16"/>
  <c r="Q857" i="16"/>
  <c r="Q873" i="16"/>
  <c r="P885" i="16"/>
  <c r="P893" i="16"/>
  <c r="P901" i="16"/>
  <c r="P909" i="16"/>
  <c r="P917" i="16"/>
  <c r="P925" i="16"/>
  <c r="P933" i="16"/>
  <c r="Q935" i="16"/>
  <c r="Q943" i="16"/>
  <c r="Q951" i="16"/>
  <c r="Q959" i="16"/>
  <c r="Q967" i="16"/>
  <c r="Q975" i="16"/>
  <c r="Q983" i="16"/>
  <c r="Q991" i="16"/>
  <c r="Q999" i="16"/>
  <c r="Q1007" i="16"/>
  <c r="Q1015" i="16"/>
  <c r="Q1023" i="16"/>
  <c r="Q1031" i="16"/>
  <c r="Q1039" i="16"/>
  <c r="Q296" i="16"/>
  <c r="Q652" i="16"/>
  <c r="Q716" i="16"/>
  <c r="Q780" i="16"/>
  <c r="Q787" i="16"/>
  <c r="Q803" i="16"/>
  <c r="Q819" i="16"/>
  <c r="Q835" i="16"/>
  <c r="Q851" i="16"/>
  <c r="Q867" i="16"/>
  <c r="Q885" i="16"/>
  <c r="Q893" i="16"/>
  <c r="Q901" i="16"/>
  <c r="Q909" i="16"/>
  <c r="Q917" i="16"/>
  <c r="Q925" i="16"/>
  <c r="Q933" i="16"/>
  <c r="P941" i="16"/>
  <c r="P949" i="16"/>
  <c r="P957" i="16"/>
  <c r="P965" i="16"/>
  <c r="P973" i="16"/>
  <c r="P981" i="16"/>
  <c r="P989" i="16"/>
  <c r="P997" i="16"/>
  <c r="P1005" i="16"/>
  <c r="P1013" i="16"/>
  <c r="P1021" i="16"/>
  <c r="P1029" i="16"/>
  <c r="P1037" i="16"/>
  <c r="P1045" i="16"/>
  <c r="P1053" i="16"/>
  <c r="P1061" i="16"/>
  <c r="P1069" i="16"/>
  <c r="P1077" i="16"/>
  <c r="Q813" i="16"/>
  <c r="Q965" i="16"/>
  <c r="Q1029" i="16"/>
  <c r="Q1069" i="16"/>
  <c r="Q1079" i="16"/>
  <c r="P1089" i="16"/>
  <c r="Q1107" i="16"/>
  <c r="Q1115" i="16"/>
  <c r="Q1123" i="16"/>
  <c r="Q1131" i="16"/>
  <c r="Q1139" i="16"/>
  <c r="P1146" i="16"/>
  <c r="P1153" i="16"/>
  <c r="Q1155" i="16"/>
  <c r="P1162" i="16"/>
  <c r="P1169" i="16"/>
  <c r="Q1171" i="16"/>
  <c r="P1178" i="16"/>
  <c r="P1185" i="16"/>
  <c r="P1187" i="16"/>
  <c r="P1189" i="16"/>
  <c r="P1191" i="16"/>
  <c r="P1193" i="16"/>
  <c r="P1195" i="16"/>
  <c r="P1197" i="16"/>
  <c r="P1199" i="16"/>
  <c r="P1201" i="16"/>
  <c r="P1203" i="16"/>
  <c r="P1205" i="16"/>
  <c r="P1207" i="16"/>
  <c r="P1209" i="16"/>
  <c r="P1211" i="16"/>
  <c r="P1213" i="16"/>
  <c r="P1215" i="16"/>
  <c r="P1217" i="16"/>
  <c r="P1219" i="16"/>
  <c r="P1221" i="16"/>
  <c r="P1223" i="16"/>
  <c r="P1225" i="16"/>
  <c r="P1227" i="16"/>
  <c r="P1229" i="16"/>
  <c r="P1231" i="16"/>
  <c r="P1233" i="16"/>
  <c r="P1235" i="16"/>
  <c r="P1237" i="16"/>
  <c r="P1239" i="16"/>
  <c r="P1241" i="16"/>
  <c r="P1243" i="16"/>
  <c r="P1245" i="16"/>
  <c r="P1247" i="16"/>
  <c r="P1249" i="16"/>
  <c r="P1251" i="16"/>
  <c r="P1253" i="16"/>
  <c r="P1255" i="16"/>
  <c r="P1257" i="16"/>
  <c r="P1259" i="16"/>
  <c r="P1261" i="16"/>
  <c r="P1263" i="16"/>
  <c r="P1265" i="16"/>
  <c r="P1267" i="16"/>
  <c r="P1269" i="16"/>
  <c r="P1271" i="16"/>
  <c r="P1273" i="16"/>
  <c r="P1275" i="16"/>
  <c r="P1277" i="16"/>
  <c r="P1279" i="16"/>
  <c r="P1281" i="16"/>
  <c r="P1283" i="16"/>
  <c r="P1285" i="16"/>
  <c r="P1287" i="16"/>
  <c r="P1289" i="16"/>
  <c r="P1291" i="16"/>
  <c r="P1293" i="16"/>
  <c r="P1295" i="16"/>
  <c r="P1297" i="16"/>
  <c r="P1299" i="16"/>
  <c r="P1301" i="16"/>
  <c r="P1303" i="16"/>
  <c r="P1305" i="16"/>
  <c r="P1307" i="16"/>
  <c r="P1309" i="16"/>
  <c r="P1311" i="16"/>
  <c r="P1313" i="16"/>
  <c r="P1315" i="16"/>
  <c r="P1317" i="16"/>
  <c r="P1319" i="16"/>
  <c r="P1321" i="16"/>
  <c r="P1323" i="16"/>
  <c r="P1325" i="16"/>
  <c r="P1327" i="16"/>
  <c r="P1329" i="16"/>
  <c r="P1331" i="16"/>
  <c r="P1333" i="16"/>
  <c r="P1335" i="16"/>
  <c r="P1337" i="16"/>
  <c r="P1339" i="16"/>
  <c r="P1341" i="16"/>
  <c r="P1343" i="16"/>
  <c r="P1345" i="16"/>
  <c r="P1348" i="16"/>
  <c r="P1350" i="16"/>
  <c r="P1357" i="16"/>
  <c r="P1359" i="16"/>
  <c r="P1361" i="16"/>
  <c r="P1363" i="16"/>
  <c r="P1365" i="16"/>
  <c r="P1367" i="16"/>
  <c r="P1369" i="16"/>
  <c r="P1371" i="16"/>
  <c r="P1373" i="16"/>
  <c r="P1375" i="16"/>
  <c r="P1377" i="16"/>
  <c r="P1379" i="16"/>
  <c r="P1381" i="16"/>
  <c r="P1389" i="16"/>
  <c r="P1391" i="16"/>
  <c r="P1393" i="16"/>
  <c r="P1395" i="16"/>
  <c r="P1397" i="16"/>
  <c r="P1399" i="16"/>
  <c r="P1401" i="16"/>
  <c r="P1403" i="16"/>
  <c r="P1405" i="16"/>
  <c r="P1407" i="16"/>
  <c r="P1409" i="16"/>
  <c r="P1411" i="16"/>
  <c r="P1413" i="16"/>
  <c r="P1415" i="16"/>
  <c r="P1417" i="16"/>
  <c r="P1419" i="16"/>
  <c r="P1421" i="16"/>
  <c r="P1423" i="16"/>
  <c r="P1425" i="16"/>
  <c r="P1427" i="16"/>
  <c r="P1429" i="16"/>
  <c r="P1431" i="16"/>
  <c r="P1433" i="16"/>
  <c r="P1435" i="16"/>
  <c r="P1437" i="16"/>
  <c r="P1439" i="16"/>
  <c r="P1441" i="16"/>
  <c r="P1443" i="16"/>
  <c r="P1445" i="16"/>
  <c r="P1447" i="16"/>
  <c r="P1449" i="16"/>
  <c r="P1451" i="16"/>
  <c r="P1453" i="16"/>
  <c r="Q829" i="16"/>
  <c r="P883" i="16"/>
  <c r="Q973" i="16"/>
  <c r="Q1037" i="16"/>
  <c r="Q1055" i="16"/>
  <c r="Q1083" i="16"/>
  <c r="P1099" i="16"/>
  <c r="P1105" i="16"/>
  <c r="P1113" i="16"/>
  <c r="P1121" i="16"/>
  <c r="P1129" i="16"/>
  <c r="P1137" i="16"/>
  <c r="P1144" i="16"/>
  <c r="P1151" i="16"/>
  <c r="Q1153" i="16"/>
  <c r="P1160" i="16"/>
  <c r="P1167" i="16"/>
  <c r="Q1169" i="16"/>
  <c r="P1176" i="16"/>
  <c r="P1183" i="16"/>
  <c r="Q1185" i="16"/>
  <c r="Q1187" i="16"/>
  <c r="Q1189" i="16"/>
  <c r="Q1191" i="16"/>
  <c r="Q1193" i="16"/>
  <c r="Q1195" i="16"/>
  <c r="Q1197" i="16"/>
  <c r="Q1199" i="16"/>
  <c r="Q1201" i="16"/>
  <c r="Q1203" i="16"/>
  <c r="Q1205" i="16"/>
  <c r="Q1207" i="16"/>
  <c r="Q1209" i="16"/>
  <c r="Q1211" i="16"/>
  <c r="Q1213" i="16"/>
  <c r="Q1215" i="16"/>
  <c r="Q1217" i="16"/>
  <c r="Q1219" i="16"/>
  <c r="Q1221" i="16"/>
  <c r="Q1223" i="16"/>
  <c r="Q1225" i="16"/>
  <c r="Q1227" i="16"/>
  <c r="Q1229" i="16"/>
  <c r="Q1231" i="16"/>
  <c r="Q1233" i="16"/>
  <c r="Q1235" i="16"/>
  <c r="Q1237" i="16"/>
  <c r="Q1239" i="16"/>
  <c r="Q1241" i="16"/>
  <c r="Q1243" i="16"/>
  <c r="Q1245" i="16"/>
  <c r="Q1247" i="16"/>
  <c r="Q1249" i="16"/>
  <c r="Q1251" i="16"/>
  <c r="Q1253" i="16"/>
  <c r="Q1255" i="16"/>
  <c r="Q1257" i="16"/>
  <c r="Q1259" i="16"/>
  <c r="Q1261" i="16"/>
  <c r="Q1263" i="16"/>
  <c r="Q1265" i="16"/>
  <c r="Q1267" i="16"/>
  <c r="Q1269" i="16"/>
  <c r="Q1271" i="16"/>
  <c r="Q1273" i="16"/>
  <c r="Q1275" i="16"/>
  <c r="Q1277" i="16"/>
  <c r="Q1279" i="16"/>
  <c r="Q1281" i="16"/>
  <c r="Q1283" i="16"/>
  <c r="Q1285" i="16"/>
  <c r="Q1287" i="16"/>
  <c r="Q1289" i="16"/>
  <c r="Q1291" i="16"/>
  <c r="Q1293" i="16"/>
  <c r="Q1295" i="16"/>
  <c r="Q1297" i="16"/>
  <c r="Q1299" i="16"/>
  <c r="Q1301" i="16"/>
  <c r="Q1303" i="16"/>
  <c r="Q1305" i="16"/>
  <c r="Q1307" i="16"/>
  <c r="Q1309" i="16"/>
  <c r="Q1311" i="16"/>
  <c r="Q1313" i="16"/>
  <c r="Q1315" i="16"/>
  <c r="Q1317" i="16"/>
  <c r="Q1319" i="16"/>
  <c r="Q1321" i="16"/>
  <c r="Q1323" i="16"/>
  <c r="Q1325" i="16"/>
  <c r="Q1327" i="16"/>
  <c r="Q1329" i="16"/>
  <c r="Q1331" i="16"/>
  <c r="Q1333" i="16"/>
  <c r="Q1335" i="16"/>
  <c r="Q1337" i="16"/>
  <c r="Q1339" i="16"/>
  <c r="Q1341" i="16"/>
  <c r="Q1343" i="16"/>
  <c r="Q1345" i="16"/>
  <c r="Q1348" i="16"/>
  <c r="Q1350" i="16"/>
  <c r="Q1357" i="16"/>
  <c r="Q1359" i="16"/>
  <c r="Q1361" i="16"/>
  <c r="Q1363" i="16"/>
  <c r="Q1365" i="16"/>
  <c r="Q1367" i="16"/>
  <c r="Q1369" i="16"/>
  <c r="Q1371" i="16"/>
  <c r="Q1373" i="16"/>
  <c r="Q1375" i="16"/>
  <c r="Q1377" i="16"/>
  <c r="Q1379" i="16"/>
  <c r="Q1381" i="16"/>
  <c r="Q1389" i="16"/>
  <c r="Q1391" i="16"/>
  <c r="Q1393" i="16"/>
  <c r="Q1395" i="16"/>
  <c r="Q1397" i="16"/>
  <c r="Q1399" i="16"/>
  <c r="Q1401" i="16"/>
  <c r="Q1403" i="16"/>
  <c r="Q1405" i="16"/>
  <c r="Q1407" i="16"/>
  <c r="Q1409" i="16"/>
  <c r="Q1411" i="16"/>
  <c r="Q1413" i="16"/>
  <c r="Q1415" i="16"/>
  <c r="Q1417" i="16"/>
  <c r="Q1419" i="16"/>
  <c r="Q1421" i="16"/>
  <c r="Q1423" i="16"/>
  <c r="Q1425" i="16"/>
  <c r="Q1427" i="16"/>
  <c r="Q1429" i="16"/>
  <c r="Q1431" i="16"/>
  <c r="Q1433" i="16"/>
  <c r="Q1435" i="16"/>
  <c r="Q1437" i="16"/>
  <c r="Q1439" i="16"/>
  <c r="Q1441" i="16"/>
  <c r="Q1443" i="16"/>
  <c r="Q1445" i="16"/>
  <c r="Q1447" i="16"/>
  <c r="Q1449" i="16"/>
  <c r="Q1451" i="16"/>
  <c r="Q1453" i="16"/>
  <c r="Q1455" i="16"/>
  <c r="Q1457" i="16"/>
  <c r="Q1459" i="16"/>
  <c r="Q1461" i="16"/>
  <c r="Q1463" i="16"/>
  <c r="Q1465" i="16"/>
  <c r="Q1467" i="16"/>
  <c r="Q1469" i="16"/>
  <c r="Q1471" i="16"/>
  <c r="Q1473" i="16"/>
  <c r="Q1475" i="16"/>
  <c r="Q1477" i="16"/>
  <c r="Q1479" i="16"/>
  <c r="Q1481" i="16"/>
  <c r="Q1483" i="16"/>
  <c r="Q1485" i="16"/>
  <c r="Q1487" i="16"/>
  <c r="Q1489" i="16"/>
  <c r="Q1491" i="16"/>
  <c r="Q1493" i="16"/>
  <c r="Q1495" i="16"/>
  <c r="Q845" i="16"/>
  <c r="P891" i="16"/>
  <c r="Q981" i="16"/>
  <c r="Q1045" i="16"/>
  <c r="P1093" i="16"/>
  <c r="Q1105" i="16"/>
  <c r="Q1113" i="16"/>
  <c r="Q1121" i="16"/>
  <c r="Q1129" i="16"/>
  <c r="Q1137" i="16"/>
  <c r="P1142" i="16"/>
  <c r="P1149" i="16"/>
  <c r="Q1151" i="16"/>
  <c r="P1158" i="16"/>
  <c r="P1165" i="16"/>
  <c r="Q1167" i="16"/>
  <c r="P1174" i="16"/>
  <c r="P1181" i="16"/>
  <c r="Q1183" i="16"/>
  <c r="Q660" i="16"/>
  <c r="Q861" i="16"/>
  <c r="P899" i="16"/>
  <c r="Q989" i="16"/>
  <c r="Q1063" i="16"/>
  <c r="Q1077" i="16"/>
  <c r="P1087" i="16"/>
  <c r="P1103" i="16"/>
  <c r="P1111" i="16"/>
  <c r="P1119" i="16"/>
  <c r="P1127" i="16"/>
  <c r="P1135" i="16"/>
  <c r="P1140" i="16"/>
  <c r="P1147" i="16"/>
  <c r="Q1149" i="16"/>
  <c r="P1156" i="16"/>
  <c r="P1163" i="16"/>
  <c r="Q1165" i="16"/>
  <c r="P1172" i="16"/>
  <c r="P1179" i="16"/>
  <c r="Q1181" i="16"/>
  <c r="P649" i="16"/>
  <c r="Q724" i="16"/>
  <c r="Q877" i="16"/>
  <c r="P907" i="16"/>
  <c r="Q997" i="16"/>
  <c r="Q1053" i="16"/>
  <c r="P1097" i="16"/>
  <c r="Q1103" i="16"/>
  <c r="Q1111" i="16"/>
  <c r="Q1119" i="16"/>
  <c r="Q1127" i="16"/>
  <c r="Q1135" i="16"/>
  <c r="P1145" i="16"/>
  <c r="Q1147" i="16"/>
  <c r="P1154" i="16"/>
  <c r="P1161" i="16"/>
  <c r="Q1163" i="16"/>
  <c r="P1170" i="16"/>
  <c r="P1177" i="16"/>
  <c r="Q1179" i="16"/>
  <c r="P1186" i="16"/>
  <c r="P1188" i="16"/>
  <c r="P1190" i="16"/>
  <c r="P1192" i="16"/>
  <c r="P1194" i="16"/>
  <c r="P1196" i="16"/>
  <c r="P1198" i="16"/>
  <c r="P1200" i="16"/>
  <c r="P1202" i="16"/>
  <c r="P1204" i="16"/>
  <c r="P1206" i="16"/>
  <c r="P1208" i="16"/>
  <c r="P1210" i="16"/>
  <c r="P1212" i="16"/>
  <c r="P1214" i="16"/>
  <c r="P1216" i="16"/>
  <c r="P1218" i="16"/>
  <c r="P1220" i="16"/>
  <c r="P1222" i="16"/>
  <c r="P1224" i="16"/>
  <c r="P1226" i="16"/>
  <c r="P1228" i="16"/>
  <c r="P1230" i="16"/>
  <c r="P1232" i="16"/>
  <c r="P1234" i="16"/>
  <c r="P1236" i="16"/>
  <c r="P1238" i="16"/>
  <c r="P1240" i="16"/>
  <c r="P1242" i="16"/>
  <c r="P1244" i="16"/>
  <c r="P1246" i="16"/>
  <c r="P1248" i="16"/>
  <c r="P1250" i="16"/>
  <c r="P1252" i="16"/>
  <c r="P1254" i="16"/>
  <c r="P1256" i="16"/>
  <c r="P1258" i="16"/>
  <c r="P1260" i="16"/>
  <c r="P1262" i="16"/>
  <c r="P1264" i="16"/>
  <c r="P1266" i="16"/>
  <c r="P1268" i="16"/>
  <c r="P1270" i="16"/>
  <c r="P1272" i="16"/>
  <c r="P1274" i="16"/>
  <c r="P1276" i="16"/>
  <c r="P1278" i="16"/>
  <c r="P1280" i="16"/>
  <c r="P1282" i="16"/>
  <c r="P1284" i="16"/>
  <c r="P1286" i="16"/>
  <c r="P1288" i="16"/>
  <c r="P1290" i="16"/>
  <c r="P1292" i="16"/>
  <c r="P1294" i="16"/>
  <c r="P1296" i="16"/>
  <c r="P1298" i="16"/>
  <c r="P1300" i="16"/>
  <c r="P1302" i="16"/>
  <c r="P1304" i="16"/>
  <c r="P1306" i="16"/>
  <c r="P1308" i="16"/>
  <c r="P1310" i="16"/>
  <c r="P1312" i="16"/>
  <c r="P1314" i="16"/>
  <c r="P1316" i="16"/>
  <c r="P1318" i="16"/>
  <c r="P1320" i="16"/>
  <c r="P1322" i="16"/>
  <c r="P1324" i="16"/>
  <c r="P1326" i="16"/>
  <c r="P1328" i="16"/>
  <c r="P1330" i="16"/>
  <c r="P1332" i="16"/>
  <c r="P1334" i="16"/>
  <c r="P1336" i="16"/>
  <c r="P1338" i="16"/>
  <c r="P1340" i="16"/>
  <c r="P1342" i="16"/>
  <c r="P1344" i="16"/>
  <c r="P1349" i="16"/>
  <c r="P1351" i="16"/>
  <c r="P1358" i="16"/>
  <c r="P1360" i="16"/>
  <c r="P1362" i="16"/>
  <c r="P1364" i="16"/>
  <c r="P1366" i="16"/>
  <c r="P1368" i="16"/>
  <c r="P1370" i="16"/>
  <c r="P1372" i="16"/>
  <c r="P1374" i="16"/>
  <c r="P1376" i="16"/>
  <c r="P1378" i="16"/>
  <c r="P1380" i="16"/>
  <c r="P1382" i="16"/>
  <c r="P1390" i="16"/>
  <c r="P1392" i="16"/>
  <c r="P1394" i="16"/>
  <c r="P1396" i="16"/>
  <c r="P1398" i="16"/>
  <c r="P1400" i="16"/>
  <c r="P1402" i="16"/>
  <c r="P1404" i="16"/>
  <c r="P1406" i="16"/>
  <c r="P1408" i="16"/>
  <c r="P1410" i="16"/>
  <c r="P1412" i="16"/>
  <c r="P1414" i="16"/>
  <c r="P1416" i="16"/>
  <c r="P1418" i="16"/>
  <c r="P1420" i="16"/>
  <c r="P1422" i="16"/>
  <c r="P1424" i="16"/>
  <c r="P1426" i="16"/>
  <c r="P1428" i="16"/>
  <c r="P1430" i="16"/>
  <c r="P1432" i="16"/>
  <c r="P1434" i="16"/>
  <c r="P1436" i="16"/>
  <c r="P1438" i="16"/>
  <c r="P1440" i="16"/>
  <c r="P1442" i="16"/>
  <c r="P1444" i="16"/>
  <c r="P1446" i="16"/>
  <c r="P1448" i="16"/>
  <c r="P1450" i="16"/>
  <c r="P1452" i="16"/>
  <c r="P1454" i="16"/>
  <c r="P1456" i="16"/>
  <c r="P1458" i="16"/>
  <c r="P1460" i="16"/>
  <c r="P1462" i="16"/>
  <c r="P1464" i="16"/>
  <c r="P1466" i="16"/>
  <c r="P1468" i="16"/>
  <c r="P1470" i="16"/>
  <c r="P1472" i="16"/>
  <c r="P1474" i="16"/>
  <c r="P1476" i="16"/>
  <c r="P1478" i="16"/>
  <c r="P1480" i="16"/>
  <c r="P1482" i="16"/>
  <c r="P1484" i="16"/>
  <c r="P1486" i="16"/>
  <c r="P1488" i="16"/>
  <c r="P582" i="16"/>
  <c r="P915" i="16"/>
  <c r="Q941" i="16"/>
  <c r="Q1005" i="16"/>
  <c r="Q1071" i="16"/>
  <c r="P1091" i="16"/>
  <c r="P1109" i="16"/>
  <c r="P1117" i="16"/>
  <c r="P1125" i="16"/>
  <c r="P1133" i="16"/>
  <c r="P1143" i="16"/>
  <c r="Q1145" i="16"/>
  <c r="P1152" i="16"/>
  <c r="P1159" i="16"/>
  <c r="Q1161" i="16"/>
  <c r="P1168" i="16"/>
  <c r="P1175" i="16"/>
  <c r="Q1177" i="16"/>
  <c r="P1184" i="16"/>
  <c r="Q1186" i="16"/>
  <c r="Q1188" i="16"/>
  <c r="Q1190" i="16"/>
  <c r="Q1192" i="16"/>
  <c r="Q1194" i="16"/>
  <c r="Q1196" i="16"/>
  <c r="Q1198" i="16"/>
  <c r="Q1200" i="16"/>
  <c r="Q1202" i="16"/>
  <c r="Q1204" i="16"/>
  <c r="Q1206" i="16"/>
  <c r="Q1208" i="16"/>
  <c r="Q1210" i="16"/>
  <c r="Q1212" i="16"/>
  <c r="Q1214" i="16"/>
  <c r="Q1216" i="16"/>
  <c r="Q1218" i="16"/>
  <c r="Q1220" i="16"/>
  <c r="Q1222" i="16"/>
  <c r="Q1224" i="16"/>
  <c r="Q1226" i="16"/>
  <c r="Q1228" i="16"/>
  <c r="Q1230" i="16"/>
  <c r="Q1232" i="16"/>
  <c r="Q1234" i="16"/>
  <c r="Q1236" i="16"/>
  <c r="Q1238" i="16"/>
  <c r="Q1240" i="16"/>
  <c r="Q1242" i="16"/>
  <c r="Q1244" i="16"/>
  <c r="Q1246" i="16"/>
  <c r="Q1248" i="16"/>
  <c r="Q1250" i="16"/>
  <c r="Q1252" i="16"/>
  <c r="Q1254" i="16"/>
  <c r="Q1256" i="16"/>
  <c r="Q1258" i="16"/>
  <c r="Q1260" i="16"/>
  <c r="Q1262" i="16"/>
  <c r="Q1264" i="16"/>
  <c r="Q1266" i="16"/>
  <c r="Q1268" i="16"/>
  <c r="Q1270" i="16"/>
  <c r="Q1272" i="16"/>
  <c r="Q1274" i="16"/>
  <c r="Q1276" i="16"/>
  <c r="Q1278" i="16"/>
  <c r="Q1280" i="16"/>
  <c r="Q1282" i="16"/>
  <c r="Q1284" i="16"/>
  <c r="Q1286" i="16"/>
  <c r="Q1288" i="16"/>
  <c r="Q1290" i="16"/>
  <c r="Q1292" i="16"/>
  <c r="Q1294" i="16"/>
  <c r="Q1296" i="16"/>
  <c r="Q1298" i="16"/>
  <c r="Q1300" i="16"/>
  <c r="Q1302" i="16"/>
  <c r="Q1304" i="16"/>
  <c r="Q1306" i="16"/>
  <c r="Q1308" i="16"/>
  <c r="Q1310" i="16"/>
  <c r="Q1312" i="16"/>
  <c r="Q1314" i="16"/>
  <c r="Q1316" i="16"/>
  <c r="Q1318" i="16"/>
  <c r="Q1320" i="16"/>
  <c r="Q1322" i="16"/>
  <c r="Q1324" i="16"/>
  <c r="Q1326" i="16"/>
  <c r="Q1328" i="16"/>
  <c r="Q1330" i="16"/>
  <c r="Q1332" i="16"/>
  <c r="Q1334" i="16"/>
  <c r="Q1336" i="16"/>
  <c r="Q1338" i="16"/>
  <c r="Q1340" i="16"/>
  <c r="Q1342" i="16"/>
  <c r="Q1344" i="16"/>
  <c r="Q1349" i="16"/>
  <c r="Q1351" i="16"/>
  <c r="Q1358" i="16"/>
  <c r="Q1360" i="16"/>
  <c r="Q1362" i="16"/>
  <c r="Q1364" i="16"/>
  <c r="Q1366" i="16"/>
  <c r="Q1368" i="16"/>
  <c r="Q1370" i="16"/>
  <c r="Q1372" i="16"/>
  <c r="Q1374" i="16"/>
  <c r="Q1376" i="16"/>
  <c r="Q1378" i="16"/>
  <c r="Q1380" i="16"/>
  <c r="Q1382" i="16"/>
  <c r="Q1390" i="16"/>
  <c r="Q1392" i="16"/>
  <c r="Q1394" i="16"/>
  <c r="Q1396" i="16"/>
  <c r="Q1398" i="16"/>
  <c r="Q1400" i="16"/>
  <c r="Q1402" i="16"/>
  <c r="Q1404" i="16"/>
  <c r="Q1406" i="16"/>
  <c r="Q1408" i="16"/>
  <c r="Q1410" i="16"/>
  <c r="Q1412" i="16"/>
  <c r="Q1414" i="16"/>
  <c r="Q1416" i="16"/>
  <c r="Q1418" i="16"/>
  <c r="Q1420" i="16"/>
  <c r="Q1422" i="16"/>
  <c r="Q1424" i="16"/>
  <c r="Q1426" i="16"/>
  <c r="Q1428" i="16"/>
  <c r="Q1430" i="16"/>
  <c r="Q1432" i="16"/>
  <c r="Q1434" i="16"/>
  <c r="Q1436" i="16"/>
  <c r="Q1438" i="16"/>
  <c r="Q1440" i="16"/>
  <c r="Q1442" i="16"/>
  <c r="Q1444" i="16"/>
  <c r="Q1446" i="16"/>
  <c r="Q1448" i="16"/>
  <c r="Q1450" i="16"/>
  <c r="Q1452" i="16"/>
  <c r="Q1454" i="16"/>
  <c r="Q1456" i="16"/>
  <c r="Q1458" i="16"/>
  <c r="Q1460" i="16"/>
  <c r="Q1462" i="16"/>
  <c r="Q1464" i="16"/>
  <c r="Q1466" i="16"/>
  <c r="Q1468" i="16"/>
  <c r="Q1470" i="16"/>
  <c r="Q1472" i="16"/>
  <c r="Q1474" i="16"/>
  <c r="Q1476" i="16"/>
  <c r="Q1478" i="16"/>
  <c r="Q1480" i="16"/>
  <c r="Q1482" i="16"/>
  <c r="Q1484" i="16"/>
  <c r="Q1486" i="16"/>
  <c r="Q1488" i="16"/>
  <c r="Q1490" i="16"/>
  <c r="Q479" i="16"/>
  <c r="P923" i="16"/>
  <c r="Q949" i="16"/>
  <c r="Q1013" i="16"/>
  <c r="Q1061" i="16"/>
  <c r="Q1075" i="16"/>
  <c r="P1085" i="16"/>
  <c r="P1101" i="16"/>
  <c r="Q1109" i="16"/>
  <c r="Q1117" i="16"/>
  <c r="Q1125" i="16"/>
  <c r="Q1133" i="16"/>
  <c r="P1141" i="16"/>
  <c r="Q1143" i="16"/>
  <c r="P1150" i="16"/>
  <c r="P1157" i="16"/>
  <c r="Q1159" i="16"/>
  <c r="P1166" i="16"/>
  <c r="Q797" i="16"/>
  <c r="P931" i="16"/>
  <c r="Q957" i="16"/>
  <c r="Q1021" i="16"/>
  <c r="Q1047" i="16"/>
  <c r="P1095" i="16"/>
  <c r="P1107" i="16"/>
  <c r="P1123" i="16"/>
  <c r="P1171" i="16"/>
  <c r="P1459" i="16"/>
  <c r="P1475" i="16"/>
  <c r="P1493" i="16"/>
  <c r="P1131" i="16"/>
  <c r="P1164" i="16"/>
  <c r="P1469" i="16"/>
  <c r="P1485" i="16"/>
  <c r="P1491" i="16"/>
  <c r="P1139" i="16"/>
  <c r="Q1157" i="16"/>
  <c r="P1463" i="16"/>
  <c r="P1479" i="16"/>
  <c r="P1496" i="16"/>
  <c r="P1498" i="16"/>
  <c r="P1500" i="16"/>
  <c r="P1506" i="16"/>
  <c r="P1508" i="16"/>
  <c r="P1510" i="16"/>
  <c r="P1512" i="16"/>
  <c r="P1514" i="16"/>
  <c r="P1516" i="16"/>
  <c r="P1518" i="16"/>
  <c r="P1520" i="16"/>
  <c r="P1522" i="16"/>
  <c r="P1524" i="16"/>
  <c r="P1526" i="16"/>
  <c r="P1528" i="16"/>
  <c r="P1530" i="16"/>
  <c r="P1550" i="16"/>
  <c r="P1552" i="16"/>
  <c r="P1554" i="16"/>
  <c r="P1556" i="16"/>
  <c r="P1558" i="16"/>
  <c r="P1560" i="16"/>
  <c r="P1562" i="16"/>
  <c r="P1564" i="16"/>
  <c r="P1566" i="16"/>
  <c r="P1568" i="16"/>
  <c r="P1570" i="16"/>
  <c r="P1572" i="16"/>
  <c r="P1574" i="16"/>
  <c r="P1576" i="16"/>
  <c r="P1578" i="16"/>
  <c r="P1580" i="16"/>
  <c r="P1582" i="16"/>
  <c r="P1584" i="16"/>
  <c r="P1586" i="16"/>
  <c r="P1588" i="16"/>
  <c r="P1590" i="16"/>
  <c r="P1592" i="16"/>
  <c r="P1594" i="16"/>
  <c r="P1596" i="16"/>
  <c r="P1598" i="16"/>
  <c r="P1600" i="16"/>
  <c r="P1602" i="16"/>
  <c r="P1604" i="16"/>
  <c r="P1606" i="16"/>
  <c r="P1608" i="16"/>
  <c r="P1610" i="16"/>
  <c r="P1612" i="16"/>
  <c r="P1614" i="16"/>
  <c r="P1616" i="16"/>
  <c r="P1618" i="16"/>
  <c r="P1620" i="16"/>
  <c r="P1622" i="16"/>
  <c r="P1624" i="16"/>
  <c r="P1626" i="16"/>
  <c r="P1628" i="16"/>
  <c r="P1630" i="16"/>
  <c r="P1638" i="16"/>
  <c r="P1640" i="16"/>
  <c r="P1642" i="16"/>
  <c r="P1644" i="16"/>
  <c r="P1646" i="16"/>
  <c r="P1648" i="16"/>
  <c r="P1652" i="16"/>
  <c r="P1654" i="16"/>
  <c r="P1656" i="16"/>
  <c r="P1658" i="16"/>
  <c r="P1660" i="16"/>
  <c r="P1662" i="16"/>
  <c r="P1665" i="16"/>
  <c r="P1667" i="16"/>
  <c r="P1669" i="16"/>
  <c r="P1671" i="16"/>
  <c r="P1673" i="16"/>
  <c r="P1676" i="16"/>
  <c r="P1678" i="16"/>
  <c r="P1680" i="16"/>
  <c r="P1682" i="16"/>
  <c r="P1684" i="16"/>
  <c r="P1686" i="16"/>
  <c r="P1688" i="16"/>
  <c r="P1690" i="16"/>
  <c r="P1693" i="16"/>
  <c r="P1695" i="16"/>
  <c r="P1697" i="16"/>
  <c r="P1699" i="16"/>
  <c r="P1701" i="16"/>
  <c r="P1703" i="16"/>
  <c r="P1705" i="16"/>
  <c r="P1707" i="16"/>
  <c r="P1709" i="16"/>
  <c r="P1711" i="16"/>
  <c r="P1713" i="16"/>
  <c r="P1715" i="16"/>
  <c r="P1717" i="16"/>
  <c r="P1741" i="16"/>
  <c r="P1743" i="16"/>
  <c r="P1745" i="16"/>
  <c r="P1747" i="16"/>
  <c r="P1749" i="16"/>
  <c r="P1751" i="16"/>
  <c r="P1753" i="16"/>
  <c r="P1755" i="16"/>
  <c r="P1757" i="16"/>
  <c r="P1759" i="16"/>
  <c r="P1761" i="16"/>
  <c r="P1763" i="16"/>
  <c r="P1765" i="16"/>
  <c r="P1767" i="16"/>
  <c r="P1769" i="16"/>
  <c r="P1771" i="16"/>
  <c r="P1773" i="16"/>
  <c r="P1775" i="16"/>
  <c r="P1777" i="16"/>
  <c r="P1779" i="16"/>
  <c r="P1781" i="16"/>
  <c r="P1783" i="16"/>
  <c r="P1785" i="16"/>
  <c r="P1787" i="16"/>
  <c r="P1789" i="16"/>
  <c r="Q1175" i="16"/>
  <c r="P1182" i="16"/>
  <c r="P1457" i="16"/>
  <c r="P1473" i="16"/>
  <c r="P1489" i="16"/>
  <c r="P1494" i="16"/>
  <c r="Q1496" i="16"/>
  <c r="Q1498" i="16"/>
  <c r="Q1500" i="16"/>
  <c r="Q1506" i="16"/>
  <c r="Q1508" i="16"/>
  <c r="Q1510" i="16"/>
  <c r="Q1512" i="16"/>
  <c r="Q1514" i="16"/>
  <c r="Q1516" i="16"/>
  <c r="Q1518" i="16"/>
  <c r="Q1520" i="16"/>
  <c r="Q1522" i="16"/>
  <c r="Q1524" i="16"/>
  <c r="Q1526" i="16"/>
  <c r="Q1528" i="16"/>
  <c r="Q1530" i="16"/>
  <c r="Q1550" i="16"/>
  <c r="Q1552" i="16"/>
  <c r="Q1554" i="16"/>
  <c r="Q1556" i="16"/>
  <c r="Q1558" i="16"/>
  <c r="Q1560" i="16"/>
  <c r="Q1562" i="16"/>
  <c r="Q1564" i="16"/>
  <c r="Q1566" i="16"/>
  <c r="Q1568" i="16"/>
  <c r="Q1570" i="16"/>
  <c r="Q1572" i="16"/>
  <c r="Q1574" i="16"/>
  <c r="Q1576" i="16"/>
  <c r="Q1578" i="16"/>
  <c r="Q1580" i="16"/>
  <c r="Q1582" i="16"/>
  <c r="Q1584" i="16"/>
  <c r="Q1586" i="16"/>
  <c r="Q1588" i="16"/>
  <c r="Q1590" i="16"/>
  <c r="P1467" i="16"/>
  <c r="P1483" i="16"/>
  <c r="P1492" i="16"/>
  <c r="Q1494" i="16"/>
  <c r="P1155" i="16"/>
  <c r="P1173" i="16"/>
  <c r="P1461" i="16"/>
  <c r="P1477" i="16"/>
  <c r="Q1492" i="16"/>
  <c r="P1148" i="16"/>
  <c r="Q1173" i="16"/>
  <c r="P1180" i="16"/>
  <c r="P1455" i="16"/>
  <c r="P1471" i="16"/>
  <c r="P1487" i="16"/>
  <c r="P1490" i="16"/>
  <c r="P1497" i="16"/>
  <c r="P1499" i="16"/>
  <c r="P1501" i="16"/>
  <c r="P1507" i="16"/>
  <c r="P1509" i="16"/>
  <c r="P1511" i="16"/>
  <c r="P1513" i="16"/>
  <c r="P1515" i="16"/>
  <c r="P1517" i="16"/>
  <c r="P1519" i="16"/>
  <c r="P1521" i="16"/>
  <c r="P1523" i="16"/>
  <c r="P1525" i="16"/>
  <c r="P1527" i="16"/>
  <c r="P1529" i="16"/>
  <c r="P1531" i="16"/>
  <c r="P1551" i="16"/>
  <c r="P1553" i="16"/>
  <c r="P1555" i="16"/>
  <c r="P1557" i="16"/>
  <c r="P1559" i="16"/>
  <c r="P1561" i="16"/>
  <c r="P1563" i="16"/>
  <c r="P1565" i="16"/>
  <c r="P1567" i="16"/>
  <c r="P1569" i="16"/>
  <c r="P1571" i="16"/>
  <c r="P1573" i="16"/>
  <c r="P1575" i="16"/>
  <c r="P1577" i="16"/>
  <c r="P1579" i="16"/>
  <c r="P1581" i="16"/>
  <c r="P1583" i="16"/>
  <c r="P1585" i="16"/>
  <c r="P1587" i="16"/>
  <c r="P1589" i="16"/>
  <c r="P1591" i="16"/>
  <c r="P1593" i="16"/>
  <c r="P1595" i="16"/>
  <c r="P1597" i="16"/>
  <c r="P1599" i="16"/>
  <c r="P1601" i="16"/>
  <c r="P1603" i="16"/>
  <c r="P1605" i="16"/>
  <c r="P1607" i="16"/>
  <c r="P1609" i="16"/>
  <c r="P1611" i="16"/>
  <c r="P1613" i="16"/>
  <c r="P1615" i="16"/>
  <c r="P1617" i="16"/>
  <c r="P1619" i="16"/>
  <c r="P1621" i="16"/>
  <c r="P1623" i="16"/>
  <c r="P1625" i="16"/>
  <c r="P1627" i="16"/>
  <c r="P1629" i="16"/>
  <c r="P1631" i="16"/>
  <c r="P1639" i="16"/>
  <c r="P1641" i="16"/>
  <c r="P1643" i="16"/>
  <c r="P1645" i="16"/>
  <c r="P1647" i="16"/>
  <c r="P1649" i="16"/>
  <c r="P1653" i="16"/>
  <c r="P1655" i="16"/>
  <c r="P1657" i="16"/>
  <c r="P1659" i="16"/>
  <c r="P1661" i="16"/>
  <c r="P1663" i="16"/>
  <c r="P1666" i="16"/>
  <c r="P1668" i="16"/>
  <c r="P1670" i="16"/>
  <c r="P1672" i="16"/>
  <c r="P1675" i="16"/>
  <c r="P1677" i="16"/>
  <c r="P1679" i="16"/>
  <c r="P1681" i="16"/>
  <c r="P1683" i="16"/>
  <c r="P1115" i="16"/>
  <c r="Q1141" i="16"/>
  <c r="P1465" i="16"/>
  <c r="P1481" i="16"/>
  <c r="P1495" i="16"/>
  <c r="Q1497" i="16"/>
  <c r="Q1499" i="16"/>
  <c r="Q1501" i="16"/>
  <c r="Q1507" i="16"/>
  <c r="Q1509" i="16"/>
  <c r="Q1511" i="16"/>
  <c r="Q1513" i="16"/>
  <c r="Q1515" i="16"/>
  <c r="Q1517" i="16"/>
  <c r="Q1519" i="16"/>
  <c r="Q1521" i="16"/>
  <c r="Q1523" i="16"/>
  <c r="Q1525" i="16"/>
  <c r="Q1527" i="16"/>
  <c r="Q1529" i="16"/>
  <c r="Q1531" i="16"/>
  <c r="Q1551" i="16"/>
  <c r="Q1553" i="16"/>
  <c r="Q1555" i="16"/>
  <c r="Q1557" i="16"/>
  <c r="Q1559" i="16"/>
  <c r="Q1561" i="16"/>
  <c r="Q1563" i="16"/>
  <c r="Q1565" i="16"/>
  <c r="Q1569" i="16"/>
  <c r="Q1585" i="16"/>
  <c r="Q1594" i="16"/>
  <c r="Q1602" i="16"/>
  <c r="Q1610" i="16"/>
  <c r="Q1618" i="16"/>
  <c r="Q1626" i="16"/>
  <c r="Q1640" i="16"/>
  <c r="Q1648" i="16"/>
  <c r="Q1658" i="16"/>
  <c r="Q1667" i="16"/>
  <c r="Q1676" i="16"/>
  <c r="Q1684" i="16"/>
  <c r="P1692" i="16"/>
  <c r="Q1694" i="16"/>
  <c r="Q1701" i="16"/>
  <c r="P1708" i="16"/>
  <c r="Q1710" i="16"/>
  <c r="Q1717" i="16"/>
  <c r="P1746" i="16"/>
  <c r="Q1748" i="16"/>
  <c r="Q1755" i="16"/>
  <c r="P1762" i="16"/>
  <c r="Q1764" i="16"/>
  <c r="Q1771" i="16"/>
  <c r="P1778" i="16"/>
  <c r="Q1780" i="16"/>
  <c r="Q1787" i="16"/>
  <c r="Q1579" i="16"/>
  <c r="Q1597" i="16"/>
  <c r="Q1605" i="16"/>
  <c r="Q1613" i="16"/>
  <c r="Q1621" i="16"/>
  <c r="Q1629" i="16"/>
  <c r="Q1643" i="16"/>
  <c r="Q1653" i="16"/>
  <c r="Q1661" i="16"/>
  <c r="Q1670" i="16"/>
  <c r="Q1679" i="16"/>
  <c r="P1689" i="16"/>
  <c r="Q1692" i="16"/>
  <c r="Q1699" i="16"/>
  <c r="P1706" i="16"/>
  <c r="Q1708" i="16"/>
  <c r="Q1715" i="16"/>
  <c r="P1744" i="16"/>
  <c r="Q1746" i="16"/>
  <c r="Q1753" i="16"/>
  <c r="P1760" i="16"/>
  <c r="Q1762" i="16"/>
  <c r="Q1769" i="16"/>
  <c r="P1776" i="16"/>
  <c r="Q1778" i="16"/>
  <c r="Q1785" i="16"/>
  <c r="Q1573" i="16"/>
  <c r="Q1589" i="16"/>
  <c r="Q1592" i="16"/>
  <c r="Q1600" i="16"/>
  <c r="Q1608" i="16"/>
  <c r="Q1616" i="16"/>
  <c r="Q1624" i="16"/>
  <c r="Q1638" i="16"/>
  <c r="Q1646" i="16"/>
  <c r="Q1656" i="16"/>
  <c r="Q1665" i="16"/>
  <c r="Q1673" i="16"/>
  <c r="Q1682" i="16"/>
  <c r="P1687" i="16"/>
  <c r="Q1689" i="16"/>
  <c r="Q1697" i="16"/>
  <c r="P1704" i="16"/>
  <c r="Q1706" i="16"/>
  <c r="Q1713" i="16"/>
  <c r="P1742" i="16"/>
  <c r="Q1744" i="16"/>
  <c r="Q1751" i="16"/>
  <c r="P1758" i="16"/>
  <c r="Q1760" i="16"/>
  <c r="Q1767" i="16"/>
  <c r="P1774" i="16"/>
  <c r="Q1776" i="16"/>
  <c r="Q1783" i="16"/>
  <c r="P1790" i="16"/>
  <c r="P1792" i="16"/>
  <c r="P1794" i="16"/>
  <c r="P1796" i="16"/>
  <c r="P1798" i="16"/>
  <c r="P1800" i="16"/>
  <c r="P1802" i="16"/>
  <c r="P1804" i="16"/>
  <c r="P1806" i="16"/>
  <c r="P1808" i="16"/>
  <c r="P1810" i="16"/>
  <c r="P1812" i="16"/>
  <c r="P1814" i="16"/>
  <c r="P1816" i="16"/>
  <c r="P1818" i="16"/>
  <c r="P1820" i="16"/>
  <c r="P1822" i="16"/>
  <c r="P1824" i="16"/>
  <c r="P1826" i="16"/>
  <c r="P1828" i="16"/>
  <c r="P1830" i="16"/>
  <c r="P1832" i="16"/>
  <c r="P1834" i="16"/>
  <c r="P1836" i="16"/>
  <c r="P1838" i="16"/>
  <c r="P1840" i="16"/>
  <c r="P1842" i="16"/>
  <c r="P1844" i="16"/>
  <c r="P1846" i="16"/>
  <c r="P1848" i="16"/>
  <c r="P1850" i="16"/>
  <c r="P1852" i="16"/>
  <c r="P1854" i="16"/>
  <c r="P1856" i="16"/>
  <c r="P1858" i="16"/>
  <c r="P1860" i="16"/>
  <c r="P1862" i="16"/>
  <c r="P1864" i="16"/>
  <c r="P1866" i="16"/>
  <c r="P1868" i="16"/>
  <c r="P1870" i="16"/>
  <c r="P1872" i="16"/>
  <c r="P1874" i="16"/>
  <c r="P1876" i="16"/>
  <c r="P1878" i="16"/>
  <c r="P1880" i="16"/>
  <c r="P1882" i="16"/>
  <c r="P1884" i="16"/>
  <c r="P1886" i="16"/>
  <c r="P1888" i="16"/>
  <c r="P1890" i="16"/>
  <c r="P1892" i="16"/>
  <c r="P1894" i="16"/>
  <c r="P1896" i="16"/>
  <c r="P1898" i="16"/>
  <c r="P1900" i="16"/>
  <c r="P1902" i="16"/>
  <c r="P1904" i="16"/>
  <c r="P1906" i="16"/>
  <c r="P1908" i="16"/>
  <c r="P1910" i="16"/>
  <c r="P1912" i="16"/>
  <c r="P1914" i="16"/>
  <c r="P1916" i="16"/>
  <c r="P1918" i="16"/>
  <c r="P1920" i="16"/>
  <c r="P1922" i="16"/>
  <c r="P1924" i="16"/>
  <c r="P1926" i="16"/>
  <c r="P1928" i="16"/>
  <c r="P1930" i="16"/>
  <c r="P1932" i="16"/>
  <c r="P1934" i="16"/>
  <c r="P1936" i="16"/>
  <c r="P1938" i="16"/>
  <c r="P1940" i="16"/>
  <c r="P1942" i="16"/>
  <c r="P1944" i="16"/>
  <c r="P1946" i="16"/>
  <c r="P1948" i="16"/>
  <c r="P1950" i="16"/>
  <c r="P1952" i="16"/>
  <c r="P1954" i="16"/>
  <c r="P1956" i="16"/>
  <c r="P1958" i="16"/>
  <c r="P1960" i="16"/>
  <c r="P1962" i="16"/>
  <c r="P1965" i="16"/>
  <c r="P1967" i="16"/>
  <c r="P1969" i="16"/>
  <c r="P1971" i="16"/>
  <c r="P1978" i="16"/>
  <c r="P1980" i="16"/>
  <c r="P1982" i="16"/>
  <c r="P1984" i="16"/>
  <c r="P1986" i="16"/>
  <c r="P1988" i="16"/>
  <c r="P2002" i="16"/>
  <c r="P2004" i="16"/>
  <c r="P2006" i="16"/>
  <c r="P2008" i="16"/>
  <c r="P2010" i="16"/>
  <c r="P2012" i="16"/>
  <c r="P2014" i="16"/>
  <c r="P2016" i="16"/>
  <c r="P2019" i="16"/>
  <c r="P2021" i="16"/>
  <c r="Q1623" i="16"/>
  <c r="Q1712" i="16"/>
  <c r="Q1791" i="16"/>
  <c r="Q1801" i="16"/>
  <c r="Q1811" i="16"/>
  <c r="Q1821" i="16"/>
  <c r="Q1833" i="16"/>
  <c r="Q1843" i="16"/>
  <c r="Q1853" i="16"/>
  <c r="Q1863" i="16"/>
  <c r="Q1873" i="16"/>
  <c r="Q1885" i="16"/>
  <c r="Q1895" i="16"/>
  <c r="Q1903" i="16"/>
  <c r="Q1913" i="16"/>
  <c r="Q1923" i="16"/>
  <c r="Q1933" i="16"/>
  <c r="Q1943" i="16"/>
  <c r="Q1953" i="16"/>
  <c r="Q1961" i="16"/>
  <c r="Q1567" i="16"/>
  <c r="Q1583" i="16"/>
  <c r="Q1595" i="16"/>
  <c r="Q1603" i="16"/>
  <c r="Q1611" i="16"/>
  <c r="Q1619" i="16"/>
  <c r="Q1627" i="16"/>
  <c r="Q1641" i="16"/>
  <c r="Q1649" i="16"/>
  <c r="Q1659" i="16"/>
  <c r="Q1668" i="16"/>
  <c r="Q1677" i="16"/>
  <c r="P1685" i="16"/>
  <c r="Q1687" i="16"/>
  <c r="Q1695" i="16"/>
  <c r="P1702" i="16"/>
  <c r="Q1704" i="16"/>
  <c r="Q1711" i="16"/>
  <c r="P1718" i="16"/>
  <c r="Q1742" i="16"/>
  <c r="Q1749" i="16"/>
  <c r="P1756" i="16"/>
  <c r="Q1758" i="16"/>
  <c r="Q1765" i="16"/>
  <c r="P1772" i="16"/>
  <c r="Q1774" i="16"/>
  <c r="Q1781" i="16"/>
  <c r="P1788" i="16"/>
  <c r="Q1790" i="16"/>
  <c r="Q1792" i="16"/>
  <c r="Q1794" i="16"/>
  <c r="Q1796" i="16"/>
  <c r="Q1798" i="16"/>
  <c r="Q1800" i="16"/>
  <c r="Q1802" i="16"/>
  <c r="Q1804" i="16"/>
  <c r="Q1806" i="16"/>
  <c r="Q1808" i="16"/>
  <c r="Q1810" i="16"/>
  <c r="Q1812" i="16"/>
  <c r="Q1814" i="16"/>
  <c r="Q1816" i="16"/>
  <c r="Q1818" i="16"/>
  <c r="Q1820" i="16"/>
  <c r="Q1822" i="16"/>
  <c r="Q1824" i="16"/>
  <c r="Q1826" i="16"/>
  <c r="Q1828" i="16"/>
  <c r="Q1830" i="16"/>
  <c r="Q1832" i="16"/>
  <c r="Q1834" i="16"/>
  <c r="Q1836" i="16"/>
  <c r="Q1838" i="16"/>
  <c r="Q1840" i="16"/>
  <c r="Q1842" i="16"/>
  <c r="Q1844" i="16"/>
  <c r="Q1846" i="16"/>
  <c r="Q1848" i="16"/>
  <c r="Q1850" i="16"/>
  <c r="Q1852" i="16"/>
  <c r="Q1854" i="16"/>
  <c r="Q1856" i="16"/>
  <c r="Q1858" i="16"/>
  <c r="Q1860" i="16"/>
  <c r="Q1862" i="16"/>
  <c r="Q1864" i="16"/>
  <c r="Q1866" i="16"/>
  <c r="Q1868" i="16"/>
  <c r="Q1870" i="16"/>
  <c r="Q1872" i="16"/>
  <c r="Q1874" i="16"/>
  <c r="Q1876" i="16"/>
  <c r="Q1878" i="16"/>
  <c r="Q1880" i="16"/>
  <c r="Q1882" i="16"/>
  <c r="Q1884" i="16"/>
  <c r="Q1886" i="16"/>
  <c r="Q1888" i="16"/>
  <c r="Q1890" i="16"/>
  <c r="Q1892" i="16"/>
  <c r="Q1894" i="16"/>
  <c r="Q1896" i="16"/>
  <c r="Q1898" i="16"/>
  <c r="Q1900" i="16"/>
  <c r="Q1902" i="16"/>
  <c r="Q1904" i="16"/>
  <c r="Q1906" i="16"/>
  <c r="Q1908" i="16"/>
  <c r="Q1910" i="16"/>
  <c r="Q1912" i="16"/>
  <c r="Q1914" i="16"/>
  <c r="Q1916" i="16"/>
  <c r="Q1918" i="16"/>
  <c r="Q1920" i="16"/>
  <c r="Q1922" i="16"/>
  <c r="Q1924" i="16"/>
  <c r="Q1926" i="16"/>
  <c r="Q1928" i="16"/>
  <c r="Q1930" i="16"/>
  <c r="Q1932" i="16"/>
  <c r="Q1934" i="16"/>
  <c r="Q1936" i="16"/>
  <c r="Q1938" i="16"/>
  <c r="Q1940" i="16"/>
  <c r="Q1942" i="16"/>
  <c r="Q1944" i="16"/>
  <c r="Q1946" i="16"/>
  <c r="Q1948" i="16"/>
  <c r="Q1950" i="16"/>
  <c r="Q1952" i="16"/>
  <c r="Q1954" i="16"/>
  <c r="Q1956" i="16"/>
  <c r="Q1958" i="16"/>
  <c r="Q1960" i="16"/>
  <c r="Q1962" i="16"/>
  <c r="Q1965" i="16"/>
  <c r="Q1967" i="16"/>
  <c r="Q1969" i="16"/>
  <c r="Q1971" i="16"/>
  <c r="Q1978" i="16"/>
  <c r="Q1980" i="16"/>
  <c r="Q1982" i="16"/>
  <c r="Q1984" i="16"/>
  <c r="Q1986" i="16"/>
  <c r="Q1988" i="16"/>
  <c r="Q2002" i="16"/>
  <c r="Q2004" i="16"/>
  <c r="Q2006" i="16"/>
  <c r="Q2008" i="16"/>
  <c r="Q2010" i="16"/>
  <c r="Q2012" i="16"/>
  <c r="Q2014" i="16"/>
  <c r="Q2016" i="16"/>
  <c r="Q2019" i="16"/>
  <c r="Q2021" i="16"/>
  <c r="P1694" i="16"/>
  <c r="Q1703" i="16"/>
  <c r="P1710" i="16"/>
  <c r="Q1741" i="16"/>
  <c r="P1748" i="16"/>
  <c r="Q1782" i="16"/>
  <c r="Q1789" i="16"/>
  <c r="Q1797" i="16"/>
  <c r="Q1803" i="16"/>
  <c r="Q1809" i="16"/>
  <c r="Q1819" i="16"/>
  <c r="Q1829" i="16"/>
  <c r="Q1837" i="16"/>
  <c r="Q1847" i="16"/>
  <c r="Q1855" i="16"/>
  <c r="Q1865" i="16"/>
  <c r="Q1875" i="16"/>
  <c r="Q1883" i="16"/>
  <c r="Q1893" i="16"/>
  <c r="Q1901" i="16"/>
  <c r="Q1911" i="16"/>
  <c r="Q1921" i="16"/>
  <c r="Q1931" i="16"/>
  <c r="Q1939" i="16"/>
  <c r="Q1947" i="16"/>
  <c r="Q1955" i="16"/>
  <c r="Q1966" i="16"/>
  <c r="Q1577" i="16"/>
  <c r="Q1598" i="16"/>
  <c r="Q1606" i="16"/>
  <c r="Q1614" i="16"/>
  <c r="Q1622" i="16"/>
  <c r="Q1630" i="16"/>
  <c r="Q1644" i="16"/>
  <c r="Q1654" i="16"/>
  <c r="Q1662" i="16"/>
  <c r="Q1671" i="16"/>
  <c r="Q1680" i="16"/>
  <c r="Q1685" i="16"/>
  <c r="Q1693" i="16"/>
  <c r="P1700" i="16"/>
  <c r="Q1702" i="16"/>
  <c r="Q1709" i="16"/>
  <c r="P1716" i="16"/>
  <c r="Q1718" i="16"/>
  <c r="Q1747" i="16"/>
  <c r="P1754" i="16"/>
  <c r="Q1756" i="16"/>
  <c r="Q1763" i="16"/>
  <c r="P1770" i="16"/>
  <c r="Q1772" i="16"/>
  <c r="Q1779" i="16"/>
  <c r="P1786" i="16"/>
  <c r="Q1788" i="16"/>
  <c r="Q1615" i="16"/>
  <c r="Q1686" i="16"/>
  <c r="Q1696" i="16"/>
  <c r="P1764" i="16"/>
  <c r="Q1773" i="16"/>
  <c r="P1780" i="16"/>
  <c r="Q1799" i="16"/>
  <c r="Q1807" i="16"/>
  <c r="Q1817" i="16"/>
  <c r="Q1825" i="16"/>
  <c r="Q1835" i="16"/>
  <c r="Q1845" i="16"/>
  <c r="Q1857" i="16"/>
  <c r="Q1871" i="16"/>
  <c r="Q1881" i="16"/>
  <c r="Q1891" i="16"/>
  <c r="Q1905" i="16"/>
  <c r="Q1915" i="16"/>
  <c r="Q1925" i="16"/>
  <c r="Q1935" i="16"/>
  <c r="Q1945" i="16"/>
  <c r="Q1957" i="16"/>
  <c r="Q1571" i="16"/>
  <c r="Q1587" i="16"/>
  <c r="Q1593" i="16"/>
  <c r="Q1601" i="16"/>
  <c r="Q1609" i="16"/>
  <c r="Q1617" i="16"/>
  <c r="Q1625" i="16"/>
  <c r="Q1639" i="16"/>
  <c r="Q1647" i="16"/>
  <c r="Q1657" i="16"/>
  <c r="Q1666" i="16"/>
  <c r="Q1675" i="16"/>
  <c r="Q1683" i="16"/>
  <c r="Q1690" i="16"/>
  <c r="P1698" i="16"/>
  <c r="Q1700" i="16"/>
  <c r="Q1707" i="16"/>
  <c r="P1714" i="16"/>
  <c r="Q1716" i="16"/>
  <c r="Q1745" i="16"/>
  <c r="P1752" i="16"/>
  <c r="Q1754" i="16"/>
  <c r="Q1761" i="16"/>
  <c r="P1768" i="16"/>
  <c r="Q1770" i="16"/>
  <c r="Q1777" i="16"/>
  <c r="P1784" i="16"/>
  <c r="Q1786" i="16"/>
  <c r="Q1793" i="16"/>
  <c r="Q1815" i="16"/>
  <c r="Q1827" i="16"/>
  <c r="Q1839" i="16"/>
  <c r="Q1849" i="16"/>
  <c r="Q1859" i="16"/>
  <c r="Q1869" i="16"/>
  <c r="Q1879" i="16"/>
  <c r="Q1889" i="16"/>
  <c r="Q1899" i="16"/>
  <c r="Q1909" i="16"/>
  <c r="Q1917" i="16"/>
  <c r="Q1929" i="16"/>
  <c r="Q1941" i="16"/>
  <c r="Q1951" i="16"/>
  <c r="Q1964" i="16"/>
  <c r="Q1581" i="16"/>
  <c r="Q1596" i="16"/>
  <c r="Q1604" i="16"/>
  <c r="Q1612" i="16"/>
  <c r="Q1620" i="16"/>
  <c r="Q1628" i="16"/>
  <c r="Q1642" i="16"/>
  <c r="Q1652" i="16"/>
  <c r="Q1660" i="16"/>
  <c r="Q1669" i="16"/>
  <c r="Q1678" i="16"/>
  <c r="Q1688" i="16"/>
  <c r="P1696" i="16"/>
  <c r="Q1698" i="16"/>
  <c r="Q1705" i="16"/>
  <c r="P1712" i="16"/>
  <c r="Q1714" i="16"/>
  <c r="Q1743" i="16"/>
  <c r="P1750" i="16"/>
  <c r="Q1752" i="16"/>
  <c r="Q1759" i="16"/>
  <c r="P1766" i="16"/>
  <c r="Q1768" i="16"/>
  <c r="Q1775" i="16"/>
  <c r="P1782" i="16"/>
  <c r="Q1784" i="16"/>
  <c r="P1791" i="16"/>
  <c r="P1793" i="16"/>
  <c r="P1795" i="16"/>
  <c r="P1797" i="16"/>
  <c r="P1799" i="16"/>
  <c r="P1801" i="16"/>
  <c r="P1803" i="16"/>
  <c r="P1805" i="16"/>
  <c r="P1807" i="16"/>
  <c r="P1809" i="16"/>
  <c r="P1811" i="16"/>
  <c r="P1813" i="16"/>
  <c r="P1815" i="16"/>
  <c r="P1817" i="16"/>
  <c r="P1819" i="16"/>
  <c r="P1821" i="16"/>
  <c r="P1823" i="16"/>
  <c r="P1825" i="16"/>
  <c r="P1827" i="16"/>
  <c r="P1829" i="16"/>
  <c r="P1831" i="16"/>
  <c r="P1833" i="16"/>
  <c r="P1835" i="16"/>
  <c r="P1837" i="16"/>
  <c r="P1839" i="16"/>
  <c r="P1841" i="16"/>
  <c r="P1843" i="16"/>
  <c r="P1845" i="16"/>
  <c r="P1847" i="16"/>
  <c r="P1849" i="16"/>
  <c r="P1851" i="16"/>
  <c r="P1853" i="16"/>
  <c r="P1855" i="16"/>
  <c r="P1857" i="16"/>
  <c r="P1859" i="16"/>
  <c r="P1861" i="16"/>
  <c r="P1863" i="16"/>
  <c r="P1865" i="16"/>
  <c r="P1867" i="16"/>
  <c r="P1869" i="16"/>
  <c r="P1871" i="16"/>
  <c r="P1873" i="16"/>
  <c r="P1875" i="16"/>
  <c r="P1877" i="16"/>
  <c r="P1879" i="16"/>
  <c r="P1881" i="16"/>
  <c r="P1883" i="16"/>
  <c r="P1885" i="16"/>
  <c r="P1887" i="16"/>
  <c r="P1889" i="16"/>
  <c r="P1891" i="16"/>
  <c r="P1893" i="16"/>
  <c r="P1895" i="16"/>
  <c r="P1897" i="16"/>
  <c r="P1899" i="16"/>
  <c r="P1901" i="16"/>
  <c r="P1903" i="16"/>
  <c r="P1905" i="16"/>
  <c r="P1907" i="16"/>
  <c r="P1909" i="16"/>
  <c r="P1911" i="16"/>
  <c r="P1913" i="16"/>
  <c r="P1915" i="16"/>
  <c r="P1917" i="16"/>
  <c r="P1919" i="16"/>
  <c r="P1921" i="16"/>
  <c r="P1923" i="16"/>
  <c r="P1925" i="16"/>
  <c r="P1927" i="16"/>
  <c r="P1929" i="16"/>
  <c r="P1931" i="16"/>
  <c r="P1933" i="16"/>
  <c r="P1935" i="16"/>
  <c r="P1937" i="16"/>
  <c r="P1939" i="16"/>
  <c r="P1941" i="16"/>
  <c r="P1943" i="16"/>
  <c r="P1945" i="16"/>
  <c r="P1947" i="16"/>
  <c r="P1949" i="16"/>
  <c r="P1951" i="16"/>
  <c r="P1953" i="16"/>
  <c r="P1955" i="16"/>
  <c r="P1957" i="16"/>
  <c r="P1959" i="16"/>
  <c r="P1961" i="16"/>
  <c r="P1964" i="16"/>
  <c r="P1966" i="16"/>
  <c r="P1968" i="16"/>
  <c r="P1970" i="16"/>
  <c r="P1977" i="16"/>
  <c r="P1979" i="16"/>
  <c r="P1981" i="16"/>
  <c r="P1983" i="16"/>
  <c r="P1985" i="16"/>
  <c r="P1987" i="16"/>
  <c r="P1989" i="16"/>
  <c r="P2003" i="16"/>
  <c r="P2005" i="16"/>
  <c r="P2007" i="16"/>
  <c r="P2009" i="16"/>
  <c r="P2011" i="16"/>
  <c r="P2013" i="16"/>
  <c r="P2015" i="16"/>
  <c r="P2018" i="16"/>
  <c r="P2020" i="16"/>
  <c r="Q1575" i="16"/>
  <c r="Q1591" i="16"/>
  <c r="Q1599" i="16"/>
  <c r="Q1607" i="16"/>
  <c r="Q1631" i="16"/>
  <c r="Q1645" i="16"/>
  <c r="Q1655" i="16"/>
  <c r="Q1663" i="16"/>
  <c r="Q1672" i="16"/>
  <c r="Q1681" i="16"/>
  <c r="Q1750" i="16"/>
  <c r="Q1757" i="16"/>
  <c r="Q1766" i="16"/>
  <c r="Q1795" i="16"/>
  <c r="Q1805" i="16"/>
  <c r="Q1813" i="16"/>
  <c r="Q1823" i="16"/>
  <c r="Q1831" i="16"/>
  <c r="Q1841" i="16"/>
  <c r="Q1851" i="16"/>
  <c r="Q1861" i="16"/>
  <c r="Q1867" i="16"/>
  <c r="Q1877" i="16"/>
  <c r="Q1887" i="16"/>
  <c r="Q1897" i="16"/>
  <c r="Q1907" i="16"/>
  <c r="Q1919" i="16"/>
  <c r="Q1927" i="16"/>
  <c r="Q1937" i="16"/>
  <c r="Q1949" i="16"/>
  <c r="Q1959" i="16"/>
  <c r="Q1979" i="16"/>
  <c r="Q2007" i="16"/>
  <c r="Q1968" i="16"/>
  <c r="Q1989" i="16"/>
  <c r="Q2018" i="16"/>
  <c r="Q2011" i="16"/>
  <c r="Q1983" i="16"/>
  <c r="Q1977" i="16"/>
  <c r="Q2005" i="16"/>
  <c r="Q1987" i="16"/>
  <c r="Q2015" i="16"/>
  <c r="Q1981" i="16"/>
  <c r="Q2009" i="16"/>
  <c r="Q2013" i="16"/>
  <c r="Q1970" i="16"/>
  <c r="Q2003" i="16"/>
  <c r="Q2020" i="16"/>
  <c r="Q1985" i="16"/>
  <c r="D37" i="5" a="1"/>
  <c r="D37" i="5" s="1"/>
  <c r="L39" i="9"/>
  <c r="L36" i="9"/>
  <c r="L38" i="9"/>
  <c r="L33" i="9"/>
  <c r="L37" i="9"/>
  <c r="L32" i="9"/>
  <c r="L34" i="9"/>
  <c r="P1308" i="11"/>
  <c r="P1307" i="11"/>
  <c r="P1306" i="11"/>
  <c r="P1305" i="11"/>
  <c r="P1304" i="11"/>
  <c r="P1303" i="11"/>
  <c r="P1302" i="11"/>
  <c r="P1301" i="11"/>
  <c r="P1300" i="11"/>
  <c r="P1299" i="11"/>
  <c r="Q1308" i="11"/>
  <c r="Q1306" i="11"/>
  <c r="Q1305" i="11"/>
  <c r="Q1303" i="11"/>
  <c r="Q1302" i="11"/>
  <c r="Q1300" i="11"/>
  <c r="Q1307" i="11"/>
  <c r="Q1304" i="11"/>
  <c r="Q1301" i="11"/>
  <c r="Q1299" i="11"/>
  <c r="L35" i="9"/>
  <c r="P5" i="16"/>
  <c r="Q5" i="16"/>
  <c r="Q1309" i="11"/>
  <c r="Q1298" i="11"/>
  <c r="Q1297" i="11"/>
  <c r="Q1296" i="11"/>
  <c r="Q1295" i="11"/>
  <c r="Q1294" i="11"/>
  <c r="Q1293" i="11"/>
  <c r="Q1292" i="11"/>
  <c r="Q1291" i="11"/>
  <c r="Q1290" i="11"/>
  <c r="Q1289" i="11"/>
  <c r="P1309" i="11"/>
  <c r="P1298" i="11"/>
  <c r="P1297" i="11"/>
  <c r="P1296" i="11"/>
  <c r="P1295" i="11"/>
  <c r="P1294" i="11"/>
  <c r="P1293" i="11"/>
  <c r="P1292" i="11"/>
  <c r="P1291" i="11"/>
  <c r="P1290" i="11"/>
  <c r="P1289" i="11"/>
  <c r="P1171" i="11"/>
  <c r="P1170" i="11"/>
  <c r="Q1171" i="11"/>
  <c r="Q1170" i="11"/>
  <c r="P1409" i="11"/>
  <c r="Q1409" i="11"/>
  <c r="P507" i="11"/>
  <c r="Q507" i="11"/>
  <c r="Q1326" i="11"/>
  <c r="P1326" i="11"/>
  <c r="C38" i="7"/>
  <c r="O38" i="7" s="1"/>
  <c r="L30" i="9"/>
  <c r="O17" i="10"/>
  <c r="P1407" i="11"/>
  <c r="P1405" i="11"/>
  <c r="Q1407" i="11"/>
  <c r="Q1405" i="11"/>
  <c r="Q1408" i="11"/>
  <c r="Q1406" i="11"/>
  <c r="P1408" i="11"/>
  <c r="P1406" i="11"/>
  <c r="P1329" i="11"/>
  <c r="P1328" i="11"/>
  <c r="P1327" i="11"/>
  <c r="Q1327" i="11"/>
  <c r="Q1329" i="11"/>
  <c r="Q1328" i="11"/>
  <c r="P1288" i="11"/>
  <c r="P1281" i="11"/>
  <c r="P1287" i="11"/>
  <c r="P1286" i="11"/>
  <c r="P1285" i="11"/>
  <c r="P1284" i="11"/>
  <c r="P1283" i="11"/>
  <c r="P1282" i="11"/>
  <c r="Q1288" i="11"/>
  <c r="Q1281" i="11"/>
  <c r="Q1287" i="11"/>
  <c r="Q1286" i="11"/>
  <c r="Q1285" i="11"/>
  <c r="Q1284" i="11"/>
  <c r="Q1283" i="11"/>
  <c r="Q1282" i="11"/>
  <c r="P1240" i="11"/>
  <c r="P1239" i="11"/>
  <c r="P1238" i="11"/>
  <c r="P1237" i="11"/>
  <c r="P1235" i="11"/>
  <c r="Q1236" i="11"/>
  <c r="Q1234" i="11"/>
  <c r="Q1233" i="11"/>
  <c r="P1236" i="11"/>
  <c r="P1234" i="11"/>
  <c r="P1233" i="11"/>
  <c r="Q1240" i="11"/>
  <c r="Q1239" i="11"/>
  <c r="Q1238" i="11"/>
  <c r="Q1237" i="11"/>
  <c r="Q1235" i="11"/>
  <c r="P1216" i="11"/>
  <c r="Q1216" i="11"/>
  <c r="Q1204" i="11"/>
  <c r="P1204" i="11"/>
  <c r="P1184" i="11"/>
  <c r="P1183" i="11"/>
  <c r="Q1182" i="11"/>
  <c r="P1182" i="11"/>
  <c r="Q1184" i="11"/>
  <c r="Q1183" i="11"/>
  <c r="P1169" i="11"/>
  <c r="P1168" i="11"/>
  <c r="P1167" i="11"/>
  <c r="Q1169" i="11"/>
  <c r="Q1168" i="11"/>
  <c r="Q1167" i="11"/>
  <c r="Q1149" i="11"/>
  <c r="Q1150" i="11"/>
  <c r="Q1148" i="11"/>
  <c r="Q1147" i="11"/>
  <c r="Q1146" i="11"/>
  <c r="Q1145" i="11"/>
  <c r="Q1144" i="11"/>
  <c r="Q1143" i="11"/>
  <c r="Q1142" i="11"/>
  <c r="Q1141" i="11"/>
  <c r="Q1140" i="11"/>
  <c r="Q1139" i="11"/>
  <c r="P1149" i="11"/>
  <c r="P1150" i="11"/>
  <c r="P1148" i="11"/>
  <c r="P1147" i="11"/>
  <c r="P1145" i="11"/>
  <c r="P1144" i="11"/>
  <c r="P1143" i="11"/>
  <c r="P1142" i="11"/>
  <c r="P1141" i="11"/>
  <c r="P1140" i="11"/>
  <c r="P1139" i="11"/>
  <c r="P1146" i="11"/>
  <c r="P1032" i="11"/>
  <c r="P1031" i="11"/>
  <c r="P1030" i="11"/>
  <c r="Q1032" i="11"/>
  <c r="Q1031" i="11"/>
  <c r="Q1030" i="11"/>
  <c r="P930" i="11"/>
  <c r="P929" i="11"/>
  <c r="P928" i="11"/>
  <c r="P927" i="11"/>
  <c r="Q926" i="11"/>
  <c r="Q925" i="11"/>
  <c r="Q924" i="11"/>
  <c r="Q923" i="11"/>
  <c r="Q922" i="11"/>
  <c r="Q921" i="11"/>
  <c r="Q920" i="11"/>
  <c r="Q919" i="11"/>
  <c r="P926" i="11"/>
  <c r="P925" i="11"/>
  <c r="P924" i="11"/>
  <c r="P923" i="11"/>
  <c r="P922" i="11"/>
  <c r="P921" i="11"/>
  <c r="P920" i="11"/>
  <c r="P919" i="11"/>
  <c r="Q930" i="11"/>
  <c r="Q929" i="11"/>
  <c r="Q928" i="11"/>
  <c r="Q927" i="11"/>
  <c r="P896" i="11"/>
  <c r="Q896" i="11"/>
  <c r="P882" i="11"/>
  <c r="P881" i="11"/>
  <c r="P880" i="11"/>
  <c r="P879" i="11"/>
  <c r="Q882" i="11"/>
  <c r="Q881" i="11"/>
  <c r="Q880" i="11"/>
  <c r="Q879" i="11"/>
  <c r="P864" i="11"/>
  <c r="P863" i="11"/>
  <c r="Q864" i="11"/>
  <c r="Q863" i="11"/>
  <c r="P857" i="11"/>
  <c r="P856" i="11"/>
  <c r="Q857" i="11"/>
  <c r="Q856" i="11"/>
  <c r="Q829" i="11"/>
  <c r="Q828" i="11"/>
  <c r="P830" i="11"/>
  <c r="P828" i="11"/>
  <c r="Q830" i="11"/>
  <c r="P829" i="11"/>
  <c r="Q818" i="11"/>
  <c r="P818" i="11"/>
  <c r="Q817" i="11"/>
  <c r="P817" i="11"/>
  <c r="P752" i="11"/>
  <c r="P751" i="11"/>
  <c r="P750" i="11"/>
  <c r="P749" i="11"/>
  <c r="P748" i="11"/>
  <c r="Q752" i="11"/>
  <c r="Q751" i="11"/>
  <c r="Q750" i="11"/>
  <c r="Q749" i="11"/>
  <c r="Q748" i="11"/>
  <c r="P734" i="11"/>
  <c r="Q734" i="11"/>
  <c r="P736" i="11"/>
  <c r="P735" i="11"/>
  <c r="Q736" i="11"/>
  <c r="Q735" i="11"/>
  <c r="Q685" i="11"/>
  <c r="P685" i="11"/>
  <c r="Q677" i="11"/>
  <c r="P677" i="11"/>
  <c r="P1404" i="11"/>
  <c r="P1403" i="11"/>
  <c r="P1402" i="11"/>
  <c r="Q1403" i="11"/>
  <c r="Q1402" i="11"/>
  <c r="Q1404" i="11"/>
  <c r="Q1387" i="11"/>
  <c r="Q1386" i="11"/>
  <c r="P1392" i="11"/>
  <c r="P1388" i="11"/>
  <c r="P1387" i="11"/>
  <c r="P1386" i="11"/>
  <c r="Q1398" i="11"/>
  <c r="Q1394" i="11"/>
  <c r="Q1392" i="11"/>
  <c r="Q1389" i="11"/>
  <c r="P1400" i="11"/>
  <c r="P1398" i="11"/>
  <c r="P1396" i="11"/>
  <c r="P1394" i="11"/>
  <c r="P1391" i="11"/>
  <c r="P1389" i="11"/>
  <c r="Q1401" i="11"/>
  <c r="Q1400" i="11"/>
  <c r="Q1399" i="11"/>
  <c r="Q1397" i="11"/>
  <c r="Q1396" i="11"/>
  <c r="Q1395" i="11"/>
  <c r="Q1393" i="11"/>
  <c r="Q1391" i="11"/>
  <c r="Q1390" i="11"/>
  <c r="Q1388" i="11"/>
  <c r="P1401" i="11"/>
  <c r="P1399" i="11"/>
  <c r="P1397" i="11"/>
  <c r="P1395" i="11"/>
  <c r="P1393" i="11"/>
  <c r="P1390" i="11"/>
  <c r="Q1385" i="11"/>
  <c r="P1385" i="11"/>
  <c r="P1384" i="11"/>
  <c r="P1383" i="11"/>
  <c r="Q1383" i="11"/>
  <c r="Q1384" i="11"/>
  <c r="P506" i="11"/>
  <c r="Q506" i="11"/>
  <c r="Q1325" i="11"/>
  <c r="P1325" i="11"/>
  <c r="Q1375" i="11"/>
  <c r="P1375" i="11"/>
  <c r="Q1382" i="11"/>
  <c r="Q1381" i="11"/>
  <c r="Q1380" i="11"/>
  <c r="Q1379" i="11"/>
  <c r="Q1378" i="11"/>
  <c r="Q1377" i="11"/>
  <c r="Q1376" i="11"/>
  <c r="P1382" i="11"/>
  <c r="P1381" i="11"/>
  <c r="P1380" i="11"/>
  <c r="P1379" i="11"/>
  <c r="P1378" i="11"/>
  <c r="P1377" i="11"/>
  <c r="P1376" i="11"/>
  <c r="L31" i="9"/>
  <c r="Q1411" i="11"/>
  <c r="Q1410" i="11"/>
  <c r="P1411" i="11"/>
  <c r="P1410" i="11"/>
  <c r="Q1371" i="11"/>
  <c r="P1371" i="11"/>
  <c r="P1372" i="11"/>
  <c r="P1373" i="11"/>
  <c r="P1374" i="11"/>
  <c r="Q1372" i="11"/>
  <c r="Q1373" i="11"/>
  <c r="Q1374" i="11"/>
  <c r="L29" i="9"/>
  <c r="L21" i="9"/>
  <c r="L10" i="9"/>
  <c r="F25" i="3"/>
  <c r="F27" i="3" s="1"/>
  <c r="R6" i="8"/>
  <c r="P1028" i="14"/>
  <c r="Q79" i="14"/>
  <c r="Q300" i="14"/>
  <c r="L16" i="9"/>
  <c r="Q1370" i="11"/>
  <c r="Q1369" i="11"/>
  <c r="Q1368" i="11"/>
  <c r="P1368" i="11"/>
  <c r="P1370" i="11"/>
  <c r="P1369" i="11"/>
  <c r="Q428" i="14"/>
  <c r="Q13" i="14"/>
  <c r="P598" i="14"/>
  <c r="L5" i="9"/>
  <c r="L26" i="9"/>
  <c r="Q29" i="14"/>
  <c r="Q176" i="14"/>
  <c r="Q177" i="14"/>
  <c r="Q301" i="14"/>
  <c r="Q429" i="14"/>
  <c r="Q16" i="14"/>
  <c r="P232" i="14"/>
  <c r="Q364" i="14"/>
  <c r="P85" i="14"/>
  <c r="Q221" i="14"/>
  <c r="Q333" i="14"/>
  <c r="C37" i="3"/>
  <c r="P113" i="14"/>
  <c r="Q148" i="14"/>
  <c r="Q268" i="14"/>
  <c r="Q396" i="14"/>
  <c r="P534" i="14"/>
  <c r="Q708" i="14"/>
  <c r="P919" i="14"/>
  <c r="P556" i="13"/>
  <c r="Q17" i="14"/>
  <c r="Q52" i="14"/>
  <c r="Q125" i="14"/>
  <c r="P245" i="14"/>
  <c r="Q365" i="14"/>
  <c r="Q1359" i="11"/>
  <c r="Q1364" i="11"/>
  <c r="Q1362" i="11"/>
  <c r="Q1360" i="11"/>
  <c r="P1359" i="11"/>
  <c r="P1364" i="11"/>
  <c r="P1362" i="11"/>
  <c r="P1360" i="11"/>
  <c r="Q1365" i="11"/>
  <c r="Q1367" i="11"/>
  <c r="Q1363" i="11"/>
  <c r="Q1361" i="11"/>
  <c r="P1367" i="11"/>
  <c r="P1365" i="11"/>
  <c r="P1363" i="11"/>
  <c r="P1361" i="11"/>
  <c r="Q1358" i="11"/>
  <c r="Q1356" i="11"/>
  <c r="Q1354" i="11"/>
  <c r="Q1352" i="11"/>
  <c r="Q1344" i="11"/>
  <c r="Q1341" i="11"/>
  <c r="P1358" i="11"/>
  <c r="P1356" i="11"/>
  <c r="P1354" i="11"/>
  <c r="P1352" i="11"/>
  <c r="P1344" i="11"/>
  <c r="P1341" i="11"/>
  <c r="Q1357" i="11"/>
  <c r="Q1355" i="11"/>
  <c r="Q1353" i="11"/>
  <c r="Q1346" i="11"/>
  <c r="Q1343" i="11"/>
  <c r="Q1340" i="11"/>
  <c r="P1357" i="11"/>
  <c r="P1355" i="11"/>
  <c r="P1353" i="11"/>
  <c r="P1346" i="11"/>
  <c r="P1343" i="11"/>
  <c r="P1340" i="11"/>
  <c r="Q1280" i="11"/>
  <c r="P1280" i="11"/>
  <c r="P1345" i="11"/>
  <c r="P1348" i="11"/>
  <c r="P1350" i="11"/>
  <c r="P1366" i="11"/>
  <c r="Q1342" i="11"/>
  <c r="Q1345" i="11"/>
  <c r="Q1348" i="11"/>
  <c r="Q1350" i="11"/>
  <c r="Q1366" i="11"/>
  <c r="Q1349" i="11"/>
  <c r="Q1351" i="11"/>
  <c r="P1342" i="11"/>
  <c r="P1347" i="11"/>
  <c r="P1349" i="11"/>
  <c r="P1351" i="11"/>
  <c r="Q1347" i="11"/>
  <c r="P72" i="14"/>
  <c r="P161" i="14"/>
  <c r="Q269" i="14"/>
  <c r="Q397" i="14"/>
  <c r="Q587" i="14"/>
  <c r="P618" i="14"/>
  <c r="Q725" i="14"/>
  <c r="P920" i="14"/>
  <c r="P1206" i="14"/>
  <c r="P65" i="14"/>
  <c r="P184" i="14"/>
  <c r="Q332" i="14"/>
  <c r="Q1232" i="11"/>
  <c r="P1232" i="11"/>
  <c r="Q1203" i="11"/>
  <c r="P1203" i="11"/>
  <c r="P1138" i="11"/>
  <c r="P1137" i="11"/>
  <c r="P1136" i="11"/>
  <c r="P1135" i="11"/>
  <c r="P1134" i="11"/>
  <c r="P1133" i="11"/>
  <c r="Q1138" i="11"/>
  <c r="Q1137" i="11"/>
  <c r="Q1136" i="11"/>
  <c r="Q1135" i="11"/>
  <c r="Q1134" i="11"/>
  <c r="Q1133" i="11"/>
  <c r="P1132" i="11"/>
  <c r="P1131" i="11"/>
  <c r="P1130" i="11"/>
  <c r="P1129" i="11"/>
  <c r="P1128" i="11"/>
  <c r="P1127" i="11"/>
  <c r="P1126" i="11"/>
  <c r="P1125" i="11"/>
  <c r="P1124" i="11"/>
  <c r="P1123" i="11"/>
  <c r="P1122" i="11"/>
  <c r="P1121" i="11"/>
  <c r="Q1132" i="11"/>
  <c r="Q1131" i="11"/>
  <c r="Q1130" i="11"/>
  <c r="Q1129" i="11"/>
  <c r="Q1128" i="11"/>
  <c r="Q1127" i="11"/>
  <c r="Q1126" i="11"/>
  <c r="Q1125" i="11"/>
  <c r="Q1124" i="11"/>
  <c r="Q1123" i="11"/>
  <c r="Q1122" i="11"/>
  <c r="Q1121" i="11"/>
  <c r="P918" i="11"/>
  <c r="Q918" i="11"/>
  <c r="P1279" i="11"/>
  <c r="P1278" i="11"/>
  <c r="P1277" i="11"/>
  <c r="P1276" i="11"/>
  <c r="Q1279" i="11"/>
  <c r="Q1278" i="11"/>
  <c r="Q1277" i="11"/>
  <c r="Q1276" i="11"/>
  <c r="Q1120" i="11"/>
  <c r="Q1119" i="11"/>
  <c r="P1120" i="11"/>
  <c r="P1119" i="11"/>
  <c r="P917" i="11"/>
  <c r="Q917" i="11"/>
  <c r="Q1338" i="11"/>
  <c r="P1338" i="11"/>
  <c r="Q1339" i="11"/>
  <c r="Q1336" i="11"/>
  <c r="P1336" i="11"/>
  <c r="P1339" i="11"/>
  <c r="P1333" i="11"/>
  <c r="Q1334" i="11"/>
  <c r="Q1333" i="11"/>
  <c r="P1334" i="11"/>
  <c r="Q1331" i="11"/>
  <c r="Q1330" i="11"/>
  <c r="Q1335" i="11"/>
  <c r="Q1337" i="11"/>
  <c r="P1330" i="11"/>
  <c r="P1331" i="11"/>
  <c r="P1332" i="11"/>
  <c r="P1335" i="11"/>
  <c r="P1337" i="11"/>
  <c r="Q1332" i="11"/>
  <c r="Q1312" i="11"/>
  <c r="P1312" i="11"/>
  <c r="Q1324" i="11"/>
  <c r="Q1323" i="11"/>
  <c r="Q1322" i="11"/>
  <c r="Q1321" i="11"/>
  <c r="Q1320" i="11"/>
  <c r="Q1319" i="11"/>
  <c r="P1324" i="11"/>
  <c r="P1323" i="11"/>
  <c r="P1322" i="11"/>
  <c r="P1321" i="11"/>
  <c r="P1320" i="11"/>
  <c r="P1319"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Q6" i="11"/>
  <c r="Q10" i="11"/>
  <c r="Q14" i="11"/>
  <c r="Q18" i="11"/>
  <c r="Q22" i="11"/>
  <c r="Q26" i="11"/>
  <c r="Q30" i="11"/>
  <c r="Q34" i="11"/>
  <c r="Q38" i="11"/>
  <c r="Q42" i="11"/>
  <c r="Q46" i="11"/>
  <c r="Q50" i="11"/>
  <c r="Q54" i="11"/>
  <c r="Q58" i="11"/>
  <c r="Q62" i="11"/>
  <c r="Q66" i="11"/>
  <c r="Q70" i="11"/>
  <c r="Q74" i="11"/>
  <c r="Q78" i="11"/>
  <c r="Q82" i="11"/>
  <c r="Q86"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9" i="11"/>
  <c r="Q12" i="11"/>
  <c r="Q15" i="11"/>
  <c r="Q25" i="11"/>
  <c r="Q28" i="11"/>
  <c r="Q31" i="11"/>
  <c r="Q41" i="11"/>
  <c r="Q44" i="11"/>
  <c r="Q47" i="11"/>
  <c r="Q57" i="11"/>
  <c r="Q60" i="11"/>
  <c r="Q63" i="11"/>
  <c r="Q73" i="11"/>
  <c r="Q76" i="11"/>
  <c r="Q79" i="11"/>
  <c r="Q89" i="11"/>
  <c r="P92" i="11"/>
  <c r="P96" i="11"/>
  <c r="P100" i="11"/>
  <c r="P104" i="11"/>
  <c r="P108" i="11"/>
  <c r="P112" i="11"/>
  <c r="P116" i="11"/>
  <c r="P120" i="11"/>
  <c r="P124" i="11"/>
  <c r="P128" i="11"/>
  <c r="P132" i="11"/>
  <c r="P136" i="11"/>
  <c r="P140" i="11"/>
  <c r="P144" i="11"/>
  <c r="P148" i="11"/>
  <c r="P152" i="11"/>
  <c r="P156" i="11"/>
  <c r="P160" i="11"/>
  <c r="P164" i="11"/>
  <c r="P168" i="11"/>
  <c r="P172" i="11"/>
  <c r="P176" i="11"/>
  <c r="P180" i="11"/>
  <c r="P184" i="11"/>
  <c r="P188" i="11"/>
  <c r="P192" i="11"/>
  <c r="P196" i="11"/>
  <c r="P200" i="11"/>
  <c r="P204" i="11"/>
  <c r="P208" i="11"/>
  <c r="P212" i="11"/>
  <c r="P216" i="11"/>
  <c r="P220" i="11"/>
  <c r="P224" i="11"/>
  <c r="P228" i="11"/>
  <c r="P232" i="11"/>
  <c r="P236" i="11"/>
  <c r="Q8" i="11"/>
  <c r="Q7" i="11"/>
  <c r="Q17" i="11"/>
  <c r="Q20" i="11"/>
  <c r="Q23" i="11"/>
  <c r="Q33" i="11"/>
  <c r="Q36" i="11"/>
  <c r="Q39" i="11"/>
  <c r="Q49" i="11"/>
  <c r="Q52" i="11"/>
  <c r="Q55" i="11"/>
  <c r="Q65" i="11"/>
  <c r="Q68" i="11"/>
  <c r="Q71" i="11"/>
  <c r="Q81" i="11"/>
  <c r="Q84" i="11"/>
  <c r="Q87" i="11"/>
  <c r="P94" i="11"/>
  <c r="P98" i="11"/>
  <c r="P102" i="11"/>
  <c r="P106" i="11"/>
  <c r="P110" i="11"/>
  <c r="P114" i="11"/>
  <c r="P118" i="11"/>
  <c r="P122" i="11"/>
  <c r="P126" i="11"/>
  <c r="P130" i="11"/>
  <c r="P134" i="11"/>
  <c r="P138" i="11"/>
  <c r="P142" i="11"/>
  <c r="P146" i="11"/>
  <c r="P150" i="11"/>
  <c r="P154" i="11"/>
  <c r="P158" i="11"/>
  <c r="P162" i="11"/>
  <c r="P166" i="11"/>
  <c r="P170" i="11"/>
  <c r="P174" i="11"/>
  <c r="P178" i="11"/>
  <c r="P182" i="11"/>
  <c r="P186" i="11"/>
  <c r="P190" i="11"/>
  <c r="P194" i="11"/>
  <c r="P198" i="11"/>
  <c r="P202" i="11"/>
  <c r="P206" i="11"/>
  <c r="P210" i="11"/>
  <c r="P214" i="11"/>
  <c r="P218" i="11"/>
  <c r="P222" i="11"/>
  <c r="P226" i="11"/>
  <c r="P230" i="11"/>
  <c r="P234" i="11"/>
  <c r="P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19" i="11"/>
  <c r="Q24" i="11"/>
  <c r="Q29" i="11"/>
  <c r="Q51" i="11"/>
  <c r="Q56" i="11"/>
  <c r="Q61" i="11"/>
  <c r="Q83" i="11"/>
  <c r="Q88" i="11"/>
  <c r="P93" i="11"/>
  <c r="P101" i="11"/>
  <c r="P109" i="11"/>
  <c r="P117" i="11"/>
  <c r="P125" i="11"/>
  <c r="P133" i="11"/>
  <c r="P141" i="11"/>
  <c r="P149" i="11"/>
  <c r="P157" i="11"/>
  <c r="P165" i="11"/>
  <c r="P173" i="11"/>
  <c r="P181" i="11"/>
  <c r="P189" i="11"/>
  <c r="P197" i="11"/>
  <c r="P205" i="11"/>
  <c r="P213" i="11"/>
  <c r="P221" i="11"/>
  <c r="P229" i="11"/>
  <c r="P237" i="11"/>
  <c r="P240" i="11"/>
  <c r="P244" i="11"/>
  <c r="P248" i="11"/>
  <c r="P252" i="11"/>
  <c r="P256" i="11"/>
  <c r="P260" i="11"/>
  <c r="P264" i="11"/>
  <c r="P268" i="11"/>
  <c r="Q11" i="11"/>
  <c r="Q16" i="11"/>
  <c r="Q21" i="11"/>
  <c r="Q43" i="11"/>
  <c r="Q48" i="11"/>
  <c r="Q53" i="11"/>
  <c r="Q75" i="11"/>
  <c r="Q80" i="11"/>
  <c r="Q85" i="11"/>
  <c r="P95" i="11"/>
  <c r="P103" i="11"/>
  <c r="P111" i="11"/>
  <c r="P119" i="11"/>
  <c r="P127" i="11"/>
  <c r="P135" i="11"/>
  <c r="P143" i="11"/>
  <c r="P151" i="11"/>
  <c r="P159" i="11"/>
  <c r="P167" i="11"/>
  <c r="P175" i="11"/>
  <c r="P183" i="11"/>
  <c r="P191" i="11"/>
  <c r="P199" i="11"/>
  <c r="P207" i="11"/>
  <c r="P215" i="11"/>
  <c r="P223" i="11"/>
  <c r="P231" i="11"/>
  <c r="P239" i="11"/>
  <c r="P243" i="11"/>
  <c r="P247" i="11"/>
  <c r="P251" i="11"/>
  <c r="P255" i="11"/>
  <c r="P259" i="11"/>
  <c r="P263" i="11"/>
  <c r="P267"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Q45" i="11"/>
  <c r="Q64" i="11"/>
  <c r="Q69" i="11"/>
  <c r="P97" i="11"/>
  <c r="P113" i="11"/>
  <c r="P129" i="11"/>
  <c r="P145" i="11"/>
  <c r="P161" i="11"/>
  <c r="P177" i="11"/>
  <c r="P193" i="11"/>
  <c r="P209" i="11"/>
  <c r="P225" i="11"/>
  <c r="P241" i="11"/>
  <c r="P249" i="11"/>
  <c r="P257" i="11"/>
  <c r="P265" i="11"/>
  <c r="Q271" i="11"/>
  <c r="Q275" i="11"/>
  <c r="Q279" i="11"/>
  <c r="Q282" i="11"/>
  <c r="Q286" i="11"/>
  <c r="Q290" i="11"/>
  <c r="Q294" i="11"/>
  <c r="Q298" i="11"/>
  <c r="Q302" i="11"/>
  <c r="Q306" i="11"/>
  <c r="Q310" i="11"/>
  <c r="Q314" i="11"/>
  <c r="Q318" i="11"/>
  <c r="Q322" i="11"/>
  <c r="Q326" i="11"/>
  <c r="Q330" i="11"/>
  <c r="Q334" i="11"/>
  <c r="Q338" i="11"/>
  <c r="Q342" i="11"/>
  <c r="Q346" i="11"/>
  <c r="Q350" i="11"/>
  <c r="Q354" i="11"/>
  <c r="Q358" i="11"/>
  <c r="Q362" i="11"/>
  <c r="Q366" i="11"/>
  <c r="Q370" i="11"/>
  <c r="Q374" i="11"/>
  <c r="Q378" i="11"/>
  <c r="Q382" i="11"/>
  <c r="Q386" i="11"/>
  <c r="Q390" i="11"/>
  <c r="Q394" i="11"/>
  <c r="Q398" i="11"/>
  <c r="Q402" i="11"/>
  <c r="Q35" i="11"/>
  <c r="Q40" i="11"/>
  <c r="Q59" i="11"/>
  <c r="P99" i="11"/>
  <c r="P115" i="11"/>
  <c r="P131" i="11"/>
  <c r="P147" i="11"/>
  <c r="P163" i="11"/>
  <c r="P179" i="11"/>
  <c r="P195" i="11"/>
  <c r="P211" i="11"/>
  <c r="P227" i="11"/>
  <c r="P246" i="11"/>
  <c r="P254" i="11"/>
  <c r="P262" i="11"/>
  <c r="P270" i="11"/>
  <c r="Q274" i="11"/>
  <c r="Q278" i="11"/>
  <c r="Q281" i="11"/>
  <c r="Q285" i="11"/>
  <c r="Q289" i="11"/>
  <c r="Q293" i="11"/>
  <c r="Q297" i="11"/>
  <c r="Q301" i="11"/>
  <c r="Q305" i="11"/>
  <c r="Q309" i="11"/>
  <c r="Q313" i="11"/>
  <c r="Q317" i="11"/>
  <c r="Q321" i="11"/>
  <c r="Q325" i="11"/>
  <c r="Q329" i="11"/>
  <c r="Q333" i="11"/>
  <c r="Q337" i="11"/>
  <c r="Q341" i="11"/>
  <c r="Q345" i="11"/>
  <c r="Q349" i="11"/>
  <c r="Q353" i="11"/>
  <c r="Q357" i="11"/>
  <c r="Q361" i="11"/>
  <c r="Q365" i="11"/>
  <c r="Q369" i="11"/>
  <c r="Q373" i="11"/>
  <c r="Q377" i="11"/>
  <c r="Q381" i="11"/>
  <c r="Q385" i="11"/>
  <c r="Q389" i="11"/>
  <c r="Q393" i="11"/>
  <c r="Q397" i="11"/>
  <c r="Q401"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Q77" i="11"/>
  <c r="P121" i="11"/>
  <c r="P153" i="11"/>
  <c r="P185" i="11"/>
  <c r="P217" i="11"/>
  <c r="P250" i="11"/>
  <c r="P266" i="11"/>
  <c r="Q276" i="11"/>
  <c r="Q283" i="11"/>
  <c r="Q291" i="11"/>
  <c r="Q299" i="11"/>
  <c r="Q307" i="11"/>
  <c r="Q315" i="11"/>
  <c r="Q323" i="11"/>
  <c r="Q331" i="11"/>
  <c r="Q339" i="11"/>
  <c r="Q347" i="11"/>
  <c r="Q355" i="11"/>
  <c r="Q363" i="11"/>
  <c r="Q371" i="11"/>
  <c r="Q379" i="11"/>
  <c r="Q387" i="11"/>
  <c r="Q395" i="11"/>
  <c r="Q403" i="11"/>
  <c r="Q407" i="11"/>
  <c r="Q411" i="11"/>
  <c r="Q415" i="11"/>
  <c r="Q419" i="11"/>
  <c r="Q423" i="11"/>
  <c r="Q427" i="11"/>
  <c r="Q431" i="11"/>
  <c r="Q435" i="11"/>
  <c r="Q439" i="11"/>
  <c r="Q37" i="11"/>
  <c r="Q72" i="11"/>
  <c r="P91" i="11"/>
  <c r="P123" i="11"/>
  <c r="P155" i="11"/>
  <c r="P187" i="11"/>
  <c r="P219" i="11"/>
  <c r="P245" i="11"/>
  <c r="P261" i="11"/>
  <c r="Q273" i="11"/>
  <c r="Q288" i="11"/>
  <c r="Q296" i="11"/>
  <c r="Q304" i="11"/>
  <c r="Q312" i="11"/>
  <c r="Q320" i="11"/>
  <c r="Q328" i="11"/>
  <c r="Q336" i="11"/>
  <c r="Q344" i="11"/>
  <c r="Q352" i="11"/>
  <c r="Q360" i="11"/>
  <c r="Q368" i="11"/>
  <c r="Q376" i="11"/>
  <c r="Q384" i="11"/>
  <c r="Q392" i="11"/>
  <c r="Q400" i="11"/>
  <c r="Q406" i="11"/>
  <c r="Q410" i="11"/>
  <c r="Q414" i="11"/>
  <c r="Q418" i="11"/>
  <c r="Q422" i="11"/>
  <c r="Q426" i="11"/>
  <c r="Q430" i="11"/>
  <c r="Q434" i="11"/>
  <c r="Q438" i="11"/>
  <c r="Q13" i="11"/>
  <c r="Q32" i="11"/>
  <c r="Q67" i="11"/>
  <c r="P105" i="11"/>
  <c r="P137" i="11"/>
  <c r="P169" i="11"/>
  <c r="P201" i="11"/>
  <c r="P233" i="11"/>
  <c r="P242" i="11"/>
  <c r="P258" i="11"/>
  <c r="Q272" i="11"/>
  <c r="Q280" i="11"/>
  <c r="Q287" i="11"/>
  <c r="Q295" i="11"/>
  <c r="Q303" i="11"/>
  <c r="Q311" i="11"/>
  <c r="Q319" i="11"/>
  <c r="Q327" i="11"/>
  <c r="Q335" i="11"/>
  <c r="Q343" i="11"/>
  <c r="Q351" i="11"/>
  <c r="Q359" i="11"/>
  <c r="Q367" i="11"/>
  <c r="Q375" i="11"/>
  <c r="Q383" i="11"/>
  <c r="Q391" i="11"/>
  <c r="Q399" i="11"/>
  <c r="Q405" i="11"/>
  <c r="Q409" i="11"/>
  <c r="Q413" i="11"/>
  <c r="Q417" i="11"/>
  <c r="Q421" i="11"/>
  <c r="Q425" i="11"/>
  <c r="Q429" i="11"/>
  <c r="Q433" i="11"/>
  <c r="Q437"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8" i="11"/>
  <c r="P679" i="11"/>
  <c r="P680" i="11"/>
  <c r="P681" i="11"/>
  <c r="P682" i="11"/>
  <c r="P683" i="11"/>
  <c r="P684"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7" i="11"/>
  <c r="P738" i="11"/>
  <c r="P739" i="11"/>
  <c r="P740" i="11"/>
  <c r="P741" i="11"/>
  <c r="P742" i="11"/>
  <c r="P743" i="11"/>
  <c r="P744" i="11"/>
  <c r="P745" i="11"/>
  <c r="P746" i="11"/>
  <c r="P747" i="11"/>
  <c r="P753" i="11"/>
  <c r="P754" i="11"/>
  <c r="P755" i="11"/>
  <c r="P756" i="11"/>
  <c r="P139" i="11"/>
  <c r="P253" i="11"/>
  <c r="Q292" i="11"/>
  <c r="Q324" i="11"/>
  <c r="Q356" i="11"/>
  <c r="Q388" i="11"/>
  <c r="Q412" i="11"/>
  <c r="Q428" i="11"/>
  <c r="Q443" i="11"/>
  <c r="Q447" i="11"/>
  <c r="Q451" i="11"/>
  <c r="Q455" i="11"/>
  <c r="Q459" i="11"/>
  <c r="Q463" i="11"/>
  <c r="Q467" i="11"/>
  <c r="Q471" i="11"/>
  <c r="Q475" i="11"/>
  <c r="Q479" i="11"/>
  <c r="Q483" i="11"/>
  <c r="Q487" i="11"/>
  <c r="Q491" i="11"/>
  <c r="Q495" i="11"/>
  <c r="Q499" i="11"/>
  <c r="Q503" i="11"/>
  <c r="Q509" i="11"/>
  <c r="Q513" i="11"/>
  <c r="Q517" i="11"/>
  <c r="Q521" i="11"/>
  <c r="Q525" i="11"/>
  <c r="Q529" i="11"/>
  <c r="Q533" i="11"/>
  <c r="Q537" i="11"/>
  <c r="Q541" i="11"/>
  <c r="Q545" i="11"/>
  <c r="Q549" i="11"/>
  <c r="Q553" i="11"/>
  <c r="Q557" i="11"/>
  <c r="Q561" i="11"/>
  <c r="Q565" i="11"/>
  <c r="Q569" i="11"/>
  <c r="Q573" i="11"/>
  <c r="Q577" i="11"/>
  <c r="Q581" i="11"/>
  <c r="Q585" i="11"/>
  <c r="Q589" i="11"/>
  <c r="Q593" i="11"/>
  <c r="Q597" i="11"/>
  <c r="Q601" i="11"/>
  <c r="Q605" i="11"/>
  <c r="Q609" i="11"/>
  <c r="Q613" i="11"/>
  <c r="Q617" i="11"/>
  <c r="Q621" i="11"/>
  <c r="Q625" i="11"/>
  <c r="Q629" i="11"/>
  <c r="Q633" i="11"/>
  <c r="Q637" i="11"/>
  <c r="Q641" i="11"/>
  <c r="Q645" i="11"/>
  <c r="Q649" i="11"/>
  <c r="Q653" i="11"/>
  <c r="Q657" i="11"/>
  <c r="Q661" i="11"/>
  <c r="Q665" i="11"/>
  <c r="Q669" i="11"/>
  <c r="Q673" i="11"/>
  <c r="Q678" i="11"/>
  <c r="Q682" i="11"/>
  <c r="Q687" i="11"/>
  <c r="Q691" i="11"/>
  <c r="Q695" i="11"/>
  <c r="Q699" i="11"/>
  <c r="Q703" i="11"/>
  <c r="Q707" i="11"/>
  <c r="Q711" i="11"/>
  <c r="Q715" i="11"/>
  <c r="Q719" i="11"/>
  <c r="Q723" i="11"/>
  <c r="Q727" i="11"/>
  <c r="Q730" i="11"/>
  <c r="Q737" i="11"/>
  <c r="Q741" i="11"/>
  <c r="Q745" i="11"/>
  <c r="Q754" i="11"/>
  <c r="P171" i="11"/>
  <c r="P269" i="11"/>
  <c r="Q300" i="11"/>
  <c r="Q332" i="11"/>
  <c r="Q364" i="11"/>
  <c r="Q396" i="11"/>
  <c r="Q416" i="11"/>
  <c r="Q432" i="11"/>
  <c r="Q442" i="11"/>
  <c r="Q446" i="11"/>
  <c r="Q450" i="11"/>
  <c r="Q454" i="11"/>
  <c r="Q458" i="11"/>
  <c r="Q462" i="11"/>
  <c r="Q466" i="11"/>
  <c r="Q470" i="11"/>
  <c r="Q474" i="11"/>
  <c r="Q478" i="11"/>
  <c r="Q482" i="11"/>
  <c r="Q486" i="11"/>
  <c r="Q490" i="11"/>
  <c r="Q494" i="11"/>
  <c r="Q498" i="11"/>
  <c r="Q502" i="11"/>
  <c r="Q508" i="11"/>
  <c r="Q512" i="11"/>
  <c r="Q516" i="11"/>
  <c r="Q520" i="11"/>
  <c r="Q524" i="11"/>
  <c r="Q528" i="11"/>
  <c r="Q532" i="11"/>
  <c r="Q536" i="11"/>
  <c r="Q540" i="11"/>
  <c r="Q544" i="11"/>
  <c r="Q548" i="11"/>
  <c r="Q552" i="11"/>
  <c r="Q556" i="11"/>
  <c r="Q560" i="11"/>
  <c r="Q564" i="11"/>
  <c r="Q568" i="11"/>
  <c r="Q572" i="11"/>
  <c r="Q576" i="11"/>
  <c r="Q580" i="11"/>
  <c r="Q584" i="11"/>
  <c r="Q588" i="11"/>
  <c r="Q592" i="11"/>
  <c r="Q596" i="11"/>
  <c r="Q600" i="11"/>
  <c r="Q604" i="11"/>
  <c r="Q608" i="11"/>
  <c r="Q612" i="11"/>
  <c r="Q616" i="11"/>
  <c r="Q620" i="11"/>
  <c r="Q624" i="11"/>
  <c r="Q628" i="11"/>
  <c r="Q632" i="11"/>
  <c r="Q636" i="11"/>
  <c r="Q640" i="11"/>
  <c r="Q644" i="11"/>
  <c r="Q648" i="11"/>
  <c r="Q652" i="11"/>
  <c r="Q656" i="11"/>
  <c r="Q660" i="11"/>
  <c r="Q664" i="11"/>
  <c r="Q668" i="11"/>
  <c r="Q672" i="11"/>
  <c r="Q676" i="11"/>
  <c r="Q681" i="11"/>
  <c r="Q686" i="11"/>
  <c r="Q690" i="11"/>
  <c r="Q694" i="11"/>
  <c r="Q698" i="11"/>
  <c r="Q702" i="11"/>
  <c r="Q706" i="11"/>
  <c r="Q710" i="11"/>
  <c r="Q714" i="11"/>
  <c r="Q718" i="11"/>
  <c r="Q722" i="11"/>
  <c r="Q726" i="11"/>
  <c r="Q729" i="11"/>
  <c r="Q733" i="11"/>
  <c r="Q740" i="11"/>
  <c r="Q744" i="11"/>
  <c r="Q753"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9" i="11"/>
  <c r="P820" i="11"/>
  <c r="P821" i="11"/>
  <c r="P822" i="11"/>
  <c r="P823" i="11"/>
  <c r="P824" i="11"/>
  <c r="P825" i="11"/>
  <c r="P826" i="11"/>
  <c r="P827" i="11"/>
  <c r="P831" i="11"/>
  <c r="P832" i="11"/>
  <c r="P833" i="11"/>
  <c r="P834" i="11"/>
  <c r="P835" i="11"/>
  <c r="P836" i="11"/>
  <c r="P837" i="11"/>
  <c r="P838" i="11"/>
  <c r="P839" i="11"/>
  <c r="P840" i="11"/>
  <c r="P841" i="11"/>
  <c r="P842" i="11"/>
  <c r="P843" i="11"/>
  <c r="P844" i="11"/>
  <c r="P845" i="11"/>
  <c r="P846" i="11"/>
  <c r="P847" i="11"/>
  <c r="Q27" i="11"/>
  <c r="P203" i="11"/>
  <c r="Q277" i="11"/>
  <c r="Q308" i="11"/>
  <c r="Q340" i="11"/>
  <c r="Q372" i="11"/>
  <c r="Q404" i="11"/>
  <c r="Q420" i="11"/>
  <c r="Q436" i="11"/>
  <c r="Q441" i="11"/>
  <c r="Q445" i="11"/>
  <c r="Q449" i="11"/>
  <c r="Q453" i="11"/>
  <c r="Q457" i="11"/>
  <c r="Q461" i="11"/>
  <c r="Q465" i="11"/>
  <c r="Q469" i="11"/>
  <c r="Q473" i="11"/>
  <c r="Q477" i="11"/>
  <c r="Q481" i="11"/>
  <c r="Q485" i="11"/>
  <c r="Q489" i="11"/>
  <c r="Q493" i="11"/>
  <c r="Q497" i="11"/>
  <c r="Q501" i="11"/>
  <c r="Q505" i="11"/>
  <c r="Q511" i="11"/>
  <c r="Q515" i="11"/>
  <c r="Q519" i="11"/>
  <c r="Q523" i="11"/>
  <c r="Q527" i="11"/>
  <c r="Q531" i="11"/>
  <c r="Q535" i="11"/>
  <c r="Q539" i="11"/>
  <c r="Q543" i="11"/>
  <c r="Q547" i="11"/>
  <c r="Q551" i="11"/>
  <c r="Q555" i="11"/>
  <c r="Q559" i="11"/>
  <c r="Q563" i="11"/>
  <c r="Q567" i="11"/>
  <c r="Q571" i="11"/>
  <c r="Q575" i="11"/>
  <c r="Q579" i="11"/>
  <c r="Q583" i="11"/>
  <c r="Q587" i="11"/>
  <c r="Q591" i="11"/>
  <c r="Q595" i="11"/>
  <c r="Q599" i="11"/>
  <c r="Q603" i="11"/>
  <c r="Q607" i="11"/>
  <c r="Q611" i="11"/>
  <c r="Q615" i="11"/>
  <c r="Q619" i="11"/>
  <c r="Q623" i="11"/>
  <c r="Q627" i="11"/>
  <c r="Q631" i="11"/>
  <c r="Q635" i="11"/>
  <c r="Q639" i="11"/>
  <c r="Q643" i="11"/>
  <c r="Q647" i="11"/>
  <c r="Q651" i="11"/>
  <c r="Q655" i="11"/>
  <c r="Q659" i="11"/>
  <c r="Q663" i="11"/>
  <c r="Q667" i="11"/>
  <c r="Q671" i="11"/>
  <c r="Q675" i="11"/>
  <c r="Q680" i="11"/>
  <c r="Q684" i="11"/>
  <c r="Q689" i="11"/>
  <c r="Q693" i="11"/>
  <c r="Q697" i="11"/>
  <c r="Q701" i="11"/>
  <c r="Q705" i="11"/>
  <c r="Q709" i="11"/>
  <c r="Q713" i="11"/>
  <c r="Q717" i="11"/>
  <c r="Q721" i="11"/>
  <c r="Q725" i="11"/>
  <c r="Q728" i="11"/>
  <c r="Q732" i="11"/>
  <c r="Q739" i="11"/>
  <c r="Q743" i="11"/>
  <c r="Q747" i="11"/>
  <c r="Q756" i="11"/>
  <c r="Q757" i="11"/>
  <c r="Q758" i="11"/>
  <c r="Q759" i="11"/>
  <c r="Q760" i="11"/>
  <c r="Q761" i="11"/>
  <c r="Q762" i="11"/>
  <c r="Q763" i="11"/>
  <c r="Q764" i="11"/>
  <c r="Q765" i="11"/>
  <c r="Q766" i="11"/>
  <c r="Q767" i="11"/>
  <c r="Q768" i="11"/>
  <c r="Q769" i="11"/>
  <c r="Q770" i="11"/>
  <c r="Q771" i="11"/>
  <c r="Q772" i="11"/>
  <c r="Q773" i="11"/>
  <c r="Q774" i="11"/>
  <c r="Q775" i="11"/>
  <c r="Q776" i="11"/>
  <c r="Q777" i="11"/>
  <c r="Q778" i="11"/>
  <c r="Q779" i="11"/>
  <c r="Q780" i="11"/>
  <c r="Q781" i="11"/>
  <c r="Q782" i="11"/>
  <c r="Q783" i="11"/>
  <c r="Q784" i="11"/>
  <c r="Q785" i="11"/>
  <c r="Q786" i="11"/>
  <c r="Q787" i="11"/>
  <c r="Q788" i="11"/>
  <c r="Q789" i="11"/>
  <c r="Q790" i="11"/>
  <c r="Q791" i="11"/>
  <c r="Q792" i="11"/>
  <c r="Q793" i="11"/>
  <c r="Q794" i="11"/>
  <c r="Q795" i="11"/>
  <c r="Q796" i="11"/>
  <c r="Q797" i="11"/>
  <c r="Q798" i="11"/>
  <c r="Q799" i="11"/>
  <c r="Q800" i="11"/>
  <c r="Q801" i="11"/>
  <c r="Q802" i="11"/>
  <c r="Q803" i="11"/>
  <c r="Q804" i="11"/>
  <c r="Q805" i="11"/>
  <c r="Q806" i="11"/>
  <c r="Q807" i="11"/>
  <c r="Q808" i="11"/>
  <c r="Q809" i="11"/>
  <c r="Q810" i="11"/>
  <c r="Q811" i="11"/>
  <c r="Q812" i="11"/>
  <c r="Q813" i="11"/>
  <c r="Q814" i="11"/>
  <c r="Q815" i="11"/>
  <c r="Q816" i="11"/>
  <c r="Q819" i="11"/>
  <c r="Q820" i="11"/>
  <c r="Q821" i="11"/>
  <c r="Q822" i="11"/>
  <c r="Q823" i="11"/>
  <c r="Q824" i="11"/>
  <c r="Q825" i="11"/>
  <c r="Q826" i="11"/>
  <c r="Q827" i="11"/>
  <c r="Q831" i="11"/>
  <c r="Q832" i="11"/>
  <c r="Q833" i="11"/>
  <c r="Q834" i="11"/>
  <c r="Q835" i="11"/>
  <c r="Q836" i="11"/>
  <c r="Q837" i="11"/>
  <c r="Q838" i="11"/>
  <c r="Q839" i="11"/>
  <c r="Q840" i="11"/>
  <c r="Q841" i="11"/>
  <c r="Q842" i="11"/>
  <c r="Q843" i="11"/>
  <c r="Q844" i="11"/>
  <c r="Q845" i="11"/>
  <c r="Q846" i="11"/>
  <c r="Q847" i="11"/>
  <c r="Q848" i="11"/>
  <c r="Q284" i="11"/>
  <c r="Q408" i="11"/>
  <c r="Q448" i="11"/>
  <c r="Q464" i="11"/>
  <c r="Q480" i="11"/>
  <c r="Q496" i="11"/>
  <c r="Q514" i="11"/>
  <c r="Q530" i="11"/>
  <c r="Q546" i="11"/>
  <c r="Q562" i="11"/>
  <c r="Q578" i="11"/>
  <c r="Q594" i="11"/>
  <c r="Q610" i="11"/>
  <c r="Q626" i="11"/>
  <c r="Q642" i="11"/>
  <c r="Q658" i="11"/>
  <c r="Q674" i="11"/>
  <c r="Q692" i="11"/>
  <c r="Q708" i="11"/>
  <c r="Q724" i="11"/>
  <c r="Q742" i="11"/>
  <c r="P1011" i="11"/>
  <c r="P1042" i="11"/>
  <c r="P1044" i="11"/>
  <c r="P1046" i="11"/>
  <c r="P1048" i="11"/>
  <c r="P1049" i="11"/>
  <c r="P1051" i="11"/>
  <c r="P1052" i="11"/>
  <c r="P1054" i="11"/>
  <c r="P1056" i="11"/>
  <c r="P1057" i="11"/>
  <c r="P1059" i="11"/>
  <c r="P1062" i="11"/>
  <c r="P1063" i="11"/>
  <c r="P1065" i="11"/>
  <c r="P1068" i="11"/>
  <c r="P1070" i="11"/>
  <c r="P1072" i="11"/>
  <c r="P1075" i="11"/>
  <c r="P1077" i="11"/>
  <c r="P1079" i="11"/>
  <c r="P1082" i="11"/>
  <c r="P1084" i="11"/>
  <c r="P1085" i="11"/>
  <c r="P1087" i="11"/>
  <c r="P1089" i="11"/>
  <c r="P1090" i="11"/>
  <c r="P1091" i="11"/>
  <c r="P1094" i="11"/>
  <c r="P1095" i="11"/>
  <c r="P1098" i="11"/>
  <c r="P1101" i="11"/>
  <c r="P1102" i="11"/>
  <c r="P1105" i="11"/>
  <c r="P1108" i="11"/>
  <c r="P1109" i="11"/>
  <c r="P1112" i="11"/>
  <c r="P1115" i="11"/>
  <c r="P1116" i="11"/>
  <c r="P1151" i="11"/>
  <c r="P1154" i="11"/>
  <c r="P1155" i="11"/>
  <c r="P1158" i="11"/>
  <c r="P1160" i="11"/>
  <c r="P1162" i="11"/>
  <c r="P1165" i="11"/>
  <c r="P1172" i="11"/>
  <c r="P1174" i="11"/>
  <c r="P1177" i="11"/>
  <c r="P1179" i="11"/>
  <c r="P1181" i="11"/>
  <c r="P1187" i="11"/>
  <c r="P1189" i="11"/>
  <c r="P1191" i="11"/>
  <c r="P1194" i="11"/>
  <c r="P1197" i="11"/>
  <c r="P1198" i="11"/>
  <c r="P1201" i="11"/>
  <c r="P1206" i="11"/>
  <c r="P1207" i="11"/>
  <c r="P1210" i="11"/>
  <c r="P1212" i="11"/>
  <c r="P1214" i="11"/>
  <c r="P1218" i="11"/>
  <c r="P1220" i="11"/>
  <c r="P1222" i="11"/>
  <c r="P1225" i="11"/>
  <c r="P1227" i="11"/>
  <c r="P1229" i="11"/>
  <c r="P1241" i="11"/>
  <c r="P1243" i="11"/>
  <c r="P1245" i="11"/>
  <c r="P1248" i="11"/>
  <c r="P1249" i="11"/>
  <c r="P1252" i="11"/>
  <c r="P1255" i="11"/>
  <c r="P1256" i="11"/>
  <c r="P1259" i="11"/>
  <c r="P1262" i="11"/>
  <c r="P1263" i="11"/>
  <c r="P1266" i="11"/>
  <c r="P1268" i="11"/>
  <c r="P1270" i="11"/>
  <c r="P1272" i="11"/>
  <c r="P1274" i="11"/>
  <c r="P1310" i="11"/>
  <c r="P1314" i="11"/>
  <c r="P1316" i="11"/>
  <c r="P1317" i="11"/>
  <c r="Q858" i="11"/>
  <c r="Q865" i="11"/>
  <c r="Q868" i="11"/>
  <c r="Q871" i="11"/>
  <c r="Q872" i="11"/>
  <c r="Q875" i="11"/>
  <c r="Q878" i="11"/>
  <c r="Q883" i="11"/>
  <c r="Q886" i="11"/>
  <c r="Q889" i="11"/>
  <c r="Q890" i="11"/>
  <c r="Q893" i="11"/>
  <c r="Q897" i="11"/>
  <c r="Q898" i="11"/>
  <c r="Q901" i="11"/>
  <c r="Q904" i="11"/>
  <c r="Q905" i="11"/>
  <c r="Q908" i="11"/>
  <c r="Q911" i="11"/>
  <c r="Q912" i="11"/>
  <c r="Q915" i="11"/>
  <c r="Q932" i="11"/>
  <c r="Q933" i="11"/>
  <c r="Q936" i="11"/>
  <c r="Q939" i="11"/>
  <c r="Q941" i="11"/>
  <c r="Q943" i="11"/>
  <c r="Q946" i="11"/>
  <c r="Q948" i="11"/>
  <c r="Q950" i="11"/>
  <c r="Q953" i="11"/>
  <c r="Q954" i="11"/>
  <c r="Q957" i="11"/>
  <c r="Q960" i="11"/>
  <c r="Q961" i="11"/>
  <c r="Q964" i="11"/>
  <c r="Q967" i="11"/>
  <c r="Q968" i="11"/>
  <c r="Q971" i="11"/>
  <c r="Q974" i="11"/>
  <c r="Q975" i="11"/>
  <c r="Q978" i="11"/>
  <c r="Q979" i="11"/>
  <c r="Q982" i="11"/>
  <c r="Q985" i="11"/>
  <c r="Q986" i="11"/>
  <c r="Q989" i="11"/>
  <c r="Q992" i="11"/>
  <c r="Q993" i="11"/>
  <c r="Q996" i="11"/>
  <c r="Q999" i="11"/>
  <c r="Q1000" i="11"/>
  <c r="Q1003" i="11"/>
  <c r="Q1006" i="11"/>
  <c r="Q1007" i="11"/>
  <c r="Q1010" i="11"/>
  <c r="Q1011" i="11"/>
  <c r="Q1014" i="11"/>
  <c r="Q1017" i="11"/>
  <c r="Q1018" i="11"/>
  <c r="Q1021" i="11"/>
  <c r="Q1024" i="11"/>
  <c r="Q1025" i="11"/>
  <c r="Q1028" i="11"/>
  <c r="Q1034" i="11"/>
  <c r="Q1035" i="11"/>
  <c r="Q1038" i="11"/>
  <c r="Q1041" i="11"/>
  <c r="Q1042" i="11"/>
  <c r="Q1045" i="11"/>
  <c r="Q1048" i="11"/>
  <c r="Q1049" i="11"/>
  <c r="Q1052" i="11"/>
  <c r="Q1054" i="11"/>
  <c r="Q1056" i="11"/>
  <c r="Q1059" i="11"/>
  <c r="Q1060" i="11"/>
  <c r="Q1063" i="11"/>
  <c r="Q1066" i="11"/>
  <c r="Q1067" i="11"/>
  <c r="Q1070" i="11"/>
  <c r="Q1073" i="11"/>
  <c r="Q1074" i="11"/>
  <c r="Q1077" i="11"/>
  <c r="Q1080" i="11"/>
  <c r="Q1081" i="11"/>
  <c r="Q1084" i="11"/>
  <c r="Q1087" i="11"/>
  <c r="Q1088" i="11"/>
  <c r="Q1091" i="11"/>
  <c r="Q1094" i="11"/>
  <c r="Q1095" i="11"/>
  <c r="Q1098" i="11"/>
  <c r="Q1101" i="11"/>
  <c r="Q1102" i="11"/>
  <c r="Q1105" i="11"/>
  <c r="Q1106" i="11"/>
  <c r="Q1109" i="11"/>
  <c r="Q1112" i="11"/>
  <c r="Q1113" i="11"/>
  <c r="Q1116" i="11"/>
  <c r="Q1151" i="11"/>
  <c r="Q1152" i="11"/>
  <c r="Q1155" i="11"/>
  <c r="Q1156" i="11"/>
  <c r="Q1159" i="11"/>
  <c r="Q1162" i="11"/>
  <c r="Q1163" i="11"/>
  <c r="Q1166" i="11"/>
  <c r="Q1174" i="11"/>
  <c r="Q1175" i="11"/>
  <c r="Q1178" i="11"/>
  <c r="Q1180" i="11"/>
  <c r="Q1185" i="11"/>
  <c r="Q1188" i="11"/>
  <c r="Q1190" i="11"/>
  <c r="Q1192" i="11"/>
  <c r="Q1195" i="11"/>
  <c r="Q1196" i="11"/>
  <c r="Q1199" i="11"/>
  <c r="Q1202" i="11"/>
  <c r="Q1205" i="11"/>
  <c r="Q1208" i="11"/>
  <c r="Q1211" i="11"/>
  <c r="Q1212" i="11"/>
  <c r="Q1215" i="11"/>
  <c r="Q1218" i="11"/>
  <c r="Q1220" i="11"/>
  <c r="Q1223" i="11"/>
  <c r="Q1224" i="11"/>
  <c r="Q1227" i="11"/>
  <c r="Q1230" i="11"/>
  <c r="Q1231" i="11"/>
  <c r="Q1243" i="11"/>
  <c r="Q1246" i="11"/>
  <c r="Q1247" i="11"/>
  <c r="Q1250" i="11"/>
  <c r="Q1253" i="11"/>
  <c r="Q1254" i="11"/>
  <c r="Q1257" i="11"/>
  <c r="Q1260" i="11"/>
  <c r="Q1261" i="11"/>
  <c r="Q1264" i="11"/>
  <c r="Q1267" i="11"/>
  <c r="Q1268" i="11"/>
  <c r="Q1271" i="11"/>
  <c r="Q1272" i="11"/>
  <c r="Q1275" i="11"/>
  <c r="Q1313" i="11"/>
  <c r="Q1314" i="11"/>
  <c r="Q316" i="11"/>
  <c r="Q424" i="11"/>
  <c r="Q452" i="11"/>
  <c r="Q468" i="11"/>
  <c r="Q484" i="11"/>
  <c r="Q500" i="11"/>
  <c r="Q518" i="11"/>
  <c r="Q534" i="11"/>
  <c r="Q550" i="11"/>
  <c r="Q566" i="11"/>
  <c r="Q582" i="11"/>
  <c r="Q598" i="11"/>
  <c r="Q614" i="11"/>
  <c r="Q630" i="11"/>
  <c r="Q646" i="11"/>
  <c r="Q662" i="11"/>
  <c r="Q679" i="11"/>
  <c r="Q696" i="11"/>
  <c r="Q712" i="11"/>
  <c r="Q746" i="11"/>
  <c r="P1010" i="11"/>
  <c r="P1060" i="11"/>
  <c r="P1066" i="11"/>
  <c r="P1069" i="11"/>
  <c r="P1073" i="11"/>
  <c r="P1076" i="11"/>
  <c r="P1080" i="11"/>
  <c r="P1083" i="11"/>
  <c r="P1086" i="11"/>
  <c r="P1088" i="11"/>
  <c r="P1092" i="11"/>
  <c r="P1096" i="11"/>
  <c r="P1099" i="11"/>
  <c r="P1103" i="11"/>
  <c r="P1106" i="11"/>
  <c r="P1110" i="11"/>
  <c r="P1113" i="11"/>
  <c r="P1117" i="11"/>
  <c r="P1152" i="11"/>
  <c r="P1156" i="11"/>
  <c r="P1159" i="11"/>
  <c r="P1163" i="11"/>
  <c r="P1166" i="11"/>
  <c r="P1175" i="11"/>
  <c r="P1178" i="11"/>
  <c r="P1185" i="11"/>
  <c r="P1188" i="11"/>
  <c r="P1192" i="11"/>
  <c r="P1196" i="11"/>
  <c r="P1200" i="11"/>
  <c r="P1202" i="11"/>
  <c r="P1208" i="11"/>
  <c r="P1211" i="11"/>
  <c r="P1215" i="11"/>
  <c r="P1219" i="11"/>
  <c r="P1223" i="11"/>
  <c r="P1226" i="11"/>
  <c r="P1230" i="11"/>
  <c r="P1242" i="11"/>
  <c r="P1246" i="11"/>
  <c r="P1250" i="11"/>
  <c r="P1253" i="11"/>
  <c r="P1257" i="11"/>
  <c r="P1260" i="11"/>
  <c r="P1264" i="11"/>
  <c r="P1267" i="11"/>
  <c r="P1271" i="11"/>
  <c r="P1275" i="11"/>
  <c r="P1313" i="11"/>
  <c r="P235" i="11"/>
  <c r="Q444" i="11"/>
  <c r="Q476" i="11"/>
  <c r="Q510" i="11"/>
  <c r="Q542" i="11"/>
  <c r="Q574" i="11"/>
  <c r="Q606" i="11"/>
  <c r="Q638" i="11"/>
  <c r="Q670" i="11"/>
  <c r="Q704" i="11"/>
  <c r="Q738" i="11"/>
  <c r="P848" i="11"/>
  <c r="Q850" i="11"/>
  <c r="Q852" i="11"/>
  <c r="Q854" i="11"/>
  <c r="Q859" i="11"/>
  <c r="Q861" i="11"/>
  <c r="Q866" i="11"/>
  <c r="Q869" i="11"/>
  <c r="Q873" i="11"/>
  <c r="Q876" i="11"/>
  <c r="Q884" i="11"/>
  <c r="Q888" i="11"/>
  <c r="Q892" i="11"/>
  <c r="Q895" i="11"/>
  <c r="Q900" i="11"/>
  <c r="Q903" i="11"/>
  <c r="Q906" i="11"/>
  <c r="Q910" i="11"/>
  <c r="Q914" i="11"/>
  <c r="Q931" i="11"/>
  <c r="Q935" i="11"/>
  <c r="Q938" i="11"/>
  <c r="Q942" i="11"/>
  <c r="Q945" i="11"/>
  <c r="Q947" i="11"/>
  <c r="Q951" i="11"/>
  <c r="Q955" i="11"/>
  <c r="Q958" i="11"/>
  <c r="Q962" i="11"/>
  <c r="Q965" i="11"/>
  <c r="Q969" i="11"/>
  <c r="Q972" i="11"/>
  <c r="Q977" i="11"/>
  <c r="Q981" i="11"/>
  <c r="Q984" i="11"/>
  <c r="Q987" i="11"/>
  <c r="Q990" i="11"/>
  <c r="Q994" i="11"/>
  <c r="Q997" i="11"/>
  <c r="Q1001" i="11"/>
  <c r="Q1004" i="11"/>
  <c r="Q1009" i="11"/>
  <c r="Q1013" i="11"/>
  <c r="Q1015" i="11"/>
  <c r="Q1020" i="11"/>
  <c r="Q1023" i="11"/>
  <c r="Q1027" i="11"/>
  <c r="Q1033" i="11"/>
  <c r="Q1037" i="11"/>
  <c r="Q1040" i="11"/>
  <c r="Q1044" i="11"/>
  <c r="Q1047" i="11"/>
  <c r="Q1051" i="11"/>
  <c r="Q1055" i="11"/>
  <c r="Q1058" i="11"/>
  <c r="Q1062" i="11"/>
  <c r="Q1065" i="11"/>
  <c r="Q1069" i="11"/>
  <c r="Q1071" i="11"/>
  <c r="Q1076" i="11"/>
  <c r="Q1079" i="11"/>
  <c r="Q1082" i="11"/>
  <c r="Q1085" i="11"/>
  <c r="Q1089" i="11"/>
  <c r="Q1092" i="11"/>
  <c r="Q1097" i="11"/>
  <c r="Q1099" i="11"/>
  <c r="Q1103" i="11"/>
  <c r="Q1108" i="11"/>
  <c r="Q1111" i="11"/>
  <c r="Q1115" i="11"/>
  <c r="Q1118" i="11"/>
  <c r="Q1154" i="11"/>
  <c r="Q1158" i="11"/>
  <c r="Q1161" i="11"/>
  <c r="Q1165" i="11"/>
  <c r="Q1173" i="11"/>
  <c r="Q1177" i="11"/>
  <c r="Q1181" i="11"/>
  <c r="Q1187" i="11"/>
  <c r="Q1191" i="11"/>
  <c r="Q1194" i="11"/>
  <c r="Q1198" i="11"/>
  <c r="Q1201" i="11"/>
  <c r="Q1206" i="11"/>
  <c r="Q1209" i="11"/>
  <c r="Q1213" i="11"/>
  <c r="Q1219" i="11"/>
  <c r="Q1222" i="11"/>
  <c r="Q1226" i="11"/>
  <c r="Q1229" i="11"/>
  <c r="Q1242" i="11"/>
  <c r="Q1244" i="11"/>
  <c r="Q1248" i="11"/>
  <c r="Q1251" i="11"/>
  <c r="Q1255" i="11"/>
  <c r="Q1258" i="11"/>
  <c r="Q1262" i="11"/>
  <c r="Q1265" i="11"/>
  <c r="Q1269" i="11"/>
  <c r="Q1273" i="11"/>
  <c r="Q1310" i="11"/>
  <c r="Q1315" i="11"/>
  <c r="Q1317" i="11"/>
  <c r="P107" i="11"/>
  <c r="Q348" i="11"/>
  <c r="Q440" i="11"/>
  <c r="Q456" i="11"/>
  <c r="Q472" i="11"/>
  <c r="Q488" i="11"/>
  <c r="Q504" i="11"/>
  <c r="Q522" i="11"/>
  <c r="Q538" i="11"/>
  <c r="Q554" i="11"/>
  <c r="Q570" i="11"/>
  <c r="Q586" i="11"/>
  <c r="Q602" i="11"/>
  <c r="Q618" i="11"/>
  <c r="Q634" i="11"/>
  <c r="Q650" i="11"/>
  <c r="Q666" i="11"/>
  <c r="Q683" i="11"/>
  <c r="Q700" i="11"/>
  <c r="Q716" i="11"/>
  <c r="Q731" i="11"/>
  <c r="Q755" i="11"/>
  <c r="P849" i="11"/>
  <c r="P850" i="11"/>
  <c r="P851" i="11"/>
  <c r="P852" i="11"/>
  <c r="P853" i="11"/>
  <c r="P854" i="11"/>
  <c r="P855" i="11"/>
  <c r="P858" i="11"/>
  <c r="P859" i="11"/>
  <c r="P860" i="11"/>
  <c r="P861" i="11"/>
  <c r="P862" i="11"/>
  <c r="P865" i="11"/>
  <c r="P866" i="11"/>
  <c r="P867" i="11"/>
  <c r="P868" i="11"/>
  <c r="P869" i="11"/>
  <c r="P870" i="11"/>
  <c r="P871" i="11"/>
  <c r="P872" i="11"/>
  <c r="P873" i="11"/>
  <c r="P874" i="11"/>
  <c r="P875" i="11"/>
  <c r="P876" i="11"/>
  <c r="P877" i="11"/>
  <c r="P878" i="11"/>
  <c r="P883" i="11"/>
  <c r="P884" i="11"/>
  <c r="P885" i="11"/>
  <c r="P886" i="11"/>
  <c r="P887" i="11"/>
  <c r="P888" i="11"/>
  <c r="P889" i="11"/>
  <c r="P890" i="11"/>
  <c r="P891" i="11"/>
  <c r="P892" i="11"/>
  <c r="P893" i="11"/>
  <c r="P894" i="11"/>
  <c r="P895" i="11"/>
  <c r="P897" i="11"/>
  <c r="P898" i="11"/>
  <c r="P899" i="11"/>
  <c r="P900" i="11"/>
  <c r="P901" i="11"/>
  <c r="P902" i="11"/>
  <c r="P903" i="11"/>
  <c r="P904" i="11"/>
  <c r="P905" i="11"/>
  <c r="P906" i="11"/>
  <c r="P907" i="11"/>
  <c r="P908" i="11"/>
  <c r="P909" i="11"/>
  <c r="P910" i="11"/>
  <c r="P911" i="11"/>
  <c r="P912" i="11"/>
  <c r="P913" i="11"/>
  <c r="P914" i="11"/>
  <c r="P915" i="11"/>
  <c r="P916" i="11"/>
  <c r="P931" i="11"/>
  <c r="P932" i="11"/>
  <c r="P933" i="11"/>
  <c r="P934" i="11"/>
  <c r="P935" i="11"/>
  <c r="P936" i="11"/>
  <c r="P937" i="11"/>
  <c r="P938" i="11"/>
  <c r="P939" i="11"/>
  <c r="P940" i="11"/>
  <c r="P941" i="11"/>
  <c r="P942" i="11"/>
  <c r="P943" i="11"/>
  <c r="P944" i="11"/>
  <c r="P945" i="11"/>
  <c r="P946" i="11"/>
  <c r="P947" i="11"/>
  <c r="P948" i="11"/>
  <c r="P949" i="11"/>
  <c r="P950" i="11"/>
  <c r="P951" i="11"/>
  <c r="P952" i="11"/>
  <c r="P953" i="11"/>
  <c r="P954" i="11"/>
  <c r="P955" i="11"/>
  <c r="P956" i="11"/>
  <c r="P957" i="11"/>
  <c r="P958" i="11"/>
  <c r="P959" i="11"/>
  <c r="P960" i="11"/>
  <c r="P961" i="11"/>
  <c r="P962" i="11"/>
  <c r="P963" i="11"/>
  <c r="P964" i="11"/>
  <c r="P965" i="11"/>
  <c r="P966" i="11"/>
  <c r="P967" i="11"/>
  <c r="P968" i="11"/>
  <c r="P969" i="11"/>
  <c r="P970" i="11"/>
  <c r="P971" i="11"/>
  <c r="P972" i="11"/>
  <c r="P973" i="11"/>
  <c r="P974" i="11"/>
  <c r="P975" i="11"/>
  <c r="P976" i="11"/>
  <c r="P977" i="11"/>
  <c r="P978" i="11"/>
  <c r="P979" i="11"/>
  <c r="P980" i="11"/>
  <c r="P981" i="11"/>
  <c r="P982" i="11"/>
  <c r="P983" i="11"/>
  <c r="P984" i="11"/>
  <c r="P985" i="11"/>
  <c r="P986" i="11"/>
  <c r="P987" i="11"/>
  <c r="P988" i="11"/>
  <c r="P989" i="11"/>
  <c r="P990" i="11"/>
  <c r="P991" i="11"/>
  <c r="P992" i="11"/>
  <c r="P993" i="11"/>
  <c r="P994" i="11"/>
  <c r="P995" i="11"/>
  <c r="P996" i="11"/>
  <c r="P997" i="11"/>
  <c r="P998" i="11"/>
  <c r="P999" i="11"/>
  <c r="P1000" i="11"/>
  <c r="P1001" i="11"/>
  <c r="P1002" i="11"/>
  <c r="P1003" i="11"/>
  <c r="P1004" i="11"/>
  <c r="P1005" i="11"/>
  <c r="P1006" i="11"/>
  <c r="P1007" i="11"/>
  <c r="P1008" i="11"/>
  <c r="P1009" i="11"/>
  <c r="P1012" i="11"/>
  <c r="P1013" i="11"/>
  <c r="P1014" i="11"/>
  <c r="P1015" i="11"/>
  <c r="P1016" i="11"/>
  <c r="P1017" i="11"/>
  <c r="P1018" i="11"/>
  <c r="P1019" i="11"/>
  <c r="P1020" i="11"/>
  <c r="P1021" i="11"/>
  <c r="P1022" i="11"/>
  <c r="P1023" i="11"/>
  <c r="P1024" i="11"/>
  <c r="P1025" i="11"/>
  <c r="P1026" i="11"/>
  <c r="P1027" i="11"/>
  <c r="P1028" i="11"/>
  <c r="P1029" i="11"/>
  <c r="P1033" i="11"/>
  <c r="P1034" i="11"/>
  <c r="P1035" i="11"/>
  <c r="P1036" i="11"/>
  <c r="P1037" i="11"/>
  <c r="P1038" i="11"/>
  <c r="P1039" i="11"/>
  <c r="P1040" i="11"/>
  <c r="P1041" i="11"/>
  <c r="P1043" i="11"/>
  <c r="P1045" i="11"/>
  <c r="P1047" i="11"/>
  <c r="P1050" i="11"/>
  <c r="P1053" i="11"/>
  <c r="P1055" i="11"/>
  <c r="P1058" i="11"/>
  <c r="P1061" i="11"/>
  <c r="P1064" i="11"/>
  <c r="P1067" i="11"/>
  <c r="P1071" i="11"/>
  <c r="P1074" i="11"/>
  <c r="P1078" i="11"/>
  <c r="P1081" i="11"/>
  <c r="P1093" i="11"/>
  <c r="P1097" i="11"/>
  <c r="P1100" i="11"/>
  <c r="P1104" i="11"/>
  <c r="P1107" i="11"/>
  <c r="P1111" i="11"/>
  <c r="P1114" i="11"/>
  <c r="P1118" i="11"/>
  <c r="P1153" i="11"/>
  <c r="P1157" i="11"/>
  <c r="P1161" i="11"/>
  <c r="P1164" i="11"/>
  <c r="P1173" i="11"/>
  <c r="P1176" i="11"/>
  <c r="P1180" i="11"/>
  <c r="P1186" i="11"/>
  <c r="P1190" i="11"/>
  <c r="P1193" i="11"/>
  <c r="P1195" i="11"/>
  <c r="P1199" i="11"/>
  <c r="P1205" i="11"/>
  <c r="P1209" i="11"/>
  <c r="P1213" i="11"/>
  <c r="P1217" i="11"/>
  <c r="P1221" i="11"/>
  <c r="P1224" i="11"/>
  <c r="P1228" i="11"/>
  <c r="P1231" i="11"/>
  <c r="P1244" i="11"/>
  <c r="P1247" i="11"/>
  <c r="P1251" i="11"/>
  <c r="P1254" i="11"/>
  <c r="P1258" i="11"/>
  <c r="P1261" i="11"/>
  <c r="P1265" i="11"/>
  <c r="P1269" i="11"/>
  <c r="P1273" i="11"/>
  <c r="P1311" i="11"/>
  <c r="P1315" i="11"/>
  <c r="P1318" i="11"/>
  <c r="Q380" i="11"/>
  <c r="Q460" i="11"/>
  <c r="Q492" i="11"/>
  <c r="Q526" i="11"/>
  <c r="Q558" i="11"/>
  <c r="Q590" i="11"/>
  <c r="Q622" i="11"/>
  <c r="Q654" i="11"/>
  <c r="Q688" i="11"/>
  <c r="Q720" i="11"/>
  <c r="Q849" i="11"/>
  <c r="Q851" i="11"/>
  <c r="Q853" i="11"/>
  <c r="Q855" i="11"/>
  <c r="Q860" i="11"/>
  <c r="Q862" i="11"/>
  <c r="Q867" i="11"/>
  <c r="Q870" i="11"/>
  <c r="Q874" i="11"/>
  <c r="Q877" i="11"/>
  <c r="Q885" i="11"/>
  <c r="Q887" i="11"/>
  <c r="Q891" i="11"/>
  <c r="Q894" i="11"/>
  <c r="Q899" i="11"/>
  <c r="Q902" i="11"/>
  <c r="Q907" i="11"/>
  <c r="Q909" i="11"/>
  <c r="Q913" i="11"/>
  <c r="Q916" i="11"/>
  <c r="Q934" i="11"/>
  <c r="Q937" i="11"/>
  <c r="Q940" i="11"/>
  <c r="Q944" i="11"/>
  <c r="Q949" i="11"/>
  <c r="Q952" i="11"/>
  <c r="Q956" i="11"/>
  <c r="Q959" i="11"/>
  <c r="Q963" i="11"/>
  <c r="Q966" i="11"/>
  <c r="Q970" i="11"/>
  <c r="Q973" i="11"/>
  <c r="Q976" i="11"/>
  <c r="Q980" i="11"/>
  <c r="Q983" i="11"/>
  <c r="Q988" i="11"/>
  <c r="Q991" i="11"/>
  <c r="Q995" i="11"/>
  <c r="Q998" i="11"/>
  <c r="Q1002" i="11"/>
  <c r="Q1005" i="11"/>
  <c r="Q1008" i="11"/>
  <c r="Q1012" i="11"/>
  <c r="Q1016" i="11"/>
  <c r="Q1019" i="11"/>
  <c r="Q1022" i="11"/>
  <c r="Q1026" i="11"/>
  <c r="Q1029" i="11"/>
  <c r="Q1036" i="11"/>
  <c r="Q1039" i="11"/>
  <c r="Q1043" i="11"/>
  <c r="Q1046" i="11"/>
  <c r="Q1050" i="11"/>
  <c r="Q1053" i="11"/>
  <c r="Q1057" i="11"/>
  <c r="Q1061" i="11"/>
  <c r="Q1064" i="11"/>
  <c r="Q1068" i="11"/>
  <c r="Q1072" i="11"/>
  <c r="Q1075" i="11"/>
  <c r="Q1078" i="11"/>
  <c r="Q1083" i="11"/>
  <c r="Q1086" i="11"/>
  <c r="Q1090" i="11"/>
  <c r="Q1093" i="11"/>
  <c r="Q1096" i="11"/>
  <c r="Q1100" i="11"/>
  <c r="Q1104" i="11"/>
  <c r="Q1107" i="11"/>
  <c r="Q1110" i="11"/>
  <c r="Q1114" i="11"/>
  <c r="Q1117" i="11"/>
  <c r="Q1153" i="11"/>
  <c r="Q1157" i="11"/>
  <c r="Q1160" i="11"/>
  <c r="Q1164" i="11"/>
  <c r="Q1172" i="11"/>
  <c r="Q1176" i="11"/>
  <c r="Q1179" i="11"/>
  <c r="Q1186" i="11"/>
  <c r="Q1189" i="11"/>
  <c r="Q1193" i="11"/>
  <c r="Q1197" i="11"/>
  <c r="Q1200" i="11"/>
  <c r="Q1207" i="11"/>
  <c r="Q1210" i="11"/>
  <c r="Q1214" i="11"/>
  <c r="Q1217" i="11"/>
  <c r="Q1221" i="11"/>
  <c r="Q1225" i="11"/>
  <c r="Q1228" i="11"/>
  <c r="Q1241" i="11"/>
  <c r="Q1245" i="11"/>
  <c r="Q1249" i="11"/>
  <c r="Q1252" i="11"/>
  <c r="Q1256" i="11"/>
  <c r="Q1259" i="11"/>
  <c r="Q1263" i="11"/>
  <c r="Q1266" i="11"/>
  <c r="Q1270" i="11"/>
  <c r="Q1274" i="11"/>
  <c r="Q1311" i="11"/>
  <c r="Q1316" i="11"/>
  <c r="Q1318" i="11"/>
  <c r="J51" i="3"/>
  <c r="E25" i="3" s="1"/>
  <c r="E27" i="3" s="1"/>
  <c r="O22" i="4"/>
  <c r="C27" i="4"/>
  <c r="O27" i="4" s="1"/>
  <c r="L6" i="9"/>
  <c r="L12" i="9"/>
  <c r="L17" i="9"/>
  <c r="L22" i="9"/>
  <c r="L28" i="9"/>
  <c r="E18" i="10"/>
  <c r="O14" i="4"/>
  <c r="O32" i="7"/>
  <c r="O33" i="7"/>
  <c r="O34" i="7"/>
  <c r="O35" i="7"/>
  <c r="O36" i="7"/>
  <c r="O37" i="7"/>
  <c r="L8" i="9"/>
  <c r="L13" i="9"/>
  <c r="L18" i="9"/>
  <c r="L24" i="9"/>
  <c r="L9" i="9"/>
  <c r="L14" i="9"/>
  <c r="L20" i="9"/>
  <c r="L25" i="9"/>
  <c r="A1235" i="14"/>
  <c r="A25" i="14"/>
  <c r="A666" i="14"/>
  <c r="A639" i="14"/>
  <c r="A165" i="14"/>
  <c r="A99" i="14"/>
  <c r="A231" i="14"/>
  <c r="A848" i="14"/>
  <c r="Q11" i="13"/>
  <c r="P12" i="13"/>
  <c r="Q19" i="13"/>
  <c r="P20" i="13"/>
  <c r="Q27" i="13"/>
  <c r="P28" i="13"/>
  <c r="Q35" i="13"/>
  <c r="P36" i="13"/>
  <c r="Q43" i="13"/>
  <c r="P44" i="13"/>
  <c r="Q51" i="13"/>
  <c r="P52" i="13"/>
  <c r="Q59" i="13"/>
  <c r="P60" i="13"/>
  <c r="Q67" i="13"/>
  <c r="P68" i="13"/>
  <c r="Q75" i="13"/>
  <c r="P76" i="13"/>
  <c r="Q83" i="13"/>
  <c r="P84" i="13"/>
  <c r="Q91" i="13"/>
  <c r="P92" i="13"/>
  <c r="Q99" i="13"/>
  <c r="P100" i="13"/>
  <c r="Q107" i="13"/>
  <c r="P108" i="13"/>
  <c r="Q123" i="13"/>
  <c r="P124" i="13"/>
  <c r="Q139" i="13"/>
  <c r="P140" i="13"/>
  <c r="Q155" i="13"/>
  <c r="P156" i="13"/>
  <c r="Q171" i="13"/>
  <c r="P172" i="13"/>
  <c r="Q187" i="13"/>
  <c r="P188" i="13"/>
  <c r="Q203" i="13"/>
  <c r="P204" i="13"/>
  <c r="Q219" i="13"/>
  <c r="P220" i="13"/>
  <c r="Q235" i="13"/>
  <c r="P236" i="13"/>
  <c r="Q251" i="13"/>
  <c r="P252" i="13"/>
  <c r="Q267" i="13"/>
  <c r="P268" i="13"/>
  <c r="Q283" i="13"/>
  <c r="P284" i="13"/>
  <c r="Q299" i="13"/>
  <c r="P300" i="13"/>
  <c r="Q315" i="13"/>
  <c r="P316" i="13"/>
  <c r="Q331" i="13"/>
  <c r="P332" i="13"/>
  <c r="Q347" i="13"/>
  <c r="P348" i="13"/>
  <c r="Q363" i="13"/>
  <c r="P364" i="13"/>
  <c r="Q379" i="13"/>
  <c r="P380" i="13"/>
  <c r="Q395" i="13"/>
  <c r="P396" i="13"/>
  <c r="Q411" i="13"/>
  <c r="P412" i="13"/>
  <c r="Q427" i="13"/>
  <c r="P428" i="13"/>
  <c r="Q443" i="13"/>
  <c r="P444" i="13"/>
  <c r="Q459" i="13"/>
  <c r="P460" i="13"/>
  <c r="Q475" i="13"/>
  <c r="P476" i="13"/>
  <c r="Q491" i="13"/>
  <c r="P492" i="13"/>
  <c r="Q507" i="13"/>
  <c r="P508" i="13"/>
  <c r="Q523" i="13"/>
  <c r="P524" i="13"/>
  <c r="Q539" i="13"/>
  <c r="P540" i="13"/>
  <c r="Q555" i="13"/>
  <c r="P1314" i="13"/>
  <c r="P1301" i="13"/>
  <c r="P1298" i="13"/>
  <c r="Q1297" i="13"/>
  <c r="P1282" i="13"/>
  <c r="Q1281" i="13"/>
  <c r="P1266" i="13"/>
  <c r="Q1265" i="13"/>
  <c r="P1250" i="13"/>
  <c r="Q1249" i="13"/>
  <c r="P1234" i="13"/>
  <c r="Q1233" i="13"/>
  <c r="P1218" i="13"/>
  <c r="Q1217" i="13"/>
  <c r="P1202" i="13"/>
  <c r="Q1201" i="13"/>
  <c r="P1186" i="13"/>
  <c r="Q1185" i="13"/>
  <c r="P1170" i="13"/>
  <c r="Q1169" i="13"/>
  <c r="P1154" i="13"/>
  <c r="Q1153" i="13"/>
  <c r="P1138" i="13"/>
  <c r="Q1137" i="13"/>
  <c r="P1122" i="13"/>
  <c r="Q1121" i="13"/>
  <c r="P1106" i="13"/>
  <c r="Q1105" i="13"/>
  <c r="P1090" i="13"/>
  <c r="Q1089" i="13"/>
  <c r="P1074" i="13"/>
  <c r="Q1073" i="13"/>
  <c r="P1058" i="13"/>
  <c r="Q1057" i="13"/>
  <c r="P1042" i="13"/>
  <c r="Q1041" i="13"/>
  <c r="P1026" i="13"/>
  <c r="Q1025" i="13"/>
  <c r="P1010" i="13"/>
  <c r="Q1009" i="13"/>
  <c r="P994" i="13"/>
  <c r="Q993" i="13"/>
  <c r="P978" i="13"/>
  <c r="Q977" i="13"/>
  <c r="P975" i="13"/>
  <c r="Q974" i="13"/>
  <c r="P959" i="13"/>
  <c r="Q958" i="13"/>
  <c r="P943" i="13"/>
  <c r="Q942" i="13"/>
  <c r="P927" i="13"/>
  <c r="Q926" i="13"/>
  <c r="P911" i="13"/>
  <c r="Q910" i="13"/>
  <c r="P895" i="13"/>
  <c r="Q894" i="13"/>
  <c r="P879" i="13"/>
  <c r="Q878" i="13"/>
  <c r="P863" i="13"/>
  <c r="Q862" i="13"/>
  <c r="P847" i="13"/>
  <c r="Q846" i="13"/>
  <c r="P831" i="13"/>
  <c r="Q830" i="13"/>
  <c r="P815" i="13"/>
  <c r="Q814" i="13"/>
  <c r="P799" i="13"/>
  <c r="Q798" i="13"/>
  <c r="P783" i="13"/>
  <c r="Q782" i="13"/>
  <c r="P1274" i="13"/>
  <c r="Q1273" i="13"/>
  <c r="P1242" i="13"/>
  <c r="Q1241" i="13"/>
  <c r="P1210" i="13"/>
  <c r="Q1209" i="13"/>
  <c r="P1178" i="13"/>
  <c r="Q1177" i="13"/>
  <c r="P1146" i="13"/>
  <c r="Q1145" i="13"/>
  <c r="P1114" i="13"/>
  <c r="Q1113" i="13"/>
  <c r="P1082" i="13"/>
  <c r="Q1081" i="13"/>
  <c r="P1050" i="13"/>
  <c r="Q1049" i="13"/>
  <c r="P1018" i="13"/>
  <c r="Q1017" i="13"/>
  <c r="P986" i="13"/>
  <c r="Q985" i="13"/>
  <c r="P967" i="13"/>
  <c r="Q966" i="13"/>
  <c r="P935" i="13"/>
  <c r="Q934" i="13"/>
  <c r="P903" i="13"/>
  <c r="Q902" i="13"/>
  <c r="P871" i="13"/>
  <c r="Q870" i="13"/>
  <c r="P839" i="13"/>
  <c r="Q838" i="13"/>
  <c r="P807" i="13"/>
  <c r="Q806" i="13"/>
  <c r="P775" i="13"/>
  <c r="Q774" i="13"/>
  <c r="P759" i="13"/>
  <c r="Q758" i="13"/>
  <c r="P743" i="13"/>
  <c r="Q742" i="13"/>
  <c r="P727" i="13"/>
  <c r="Q726" i="13"/>
  <c r="P711" i="13"/>
  <c r="Q710" i="13"/>
  <c r="P695" i="13"/>
  <c r="Q694" i="13"/>
  <c r="P679" i="13"/>
  <c r="Q678" i="13"/>
  <c r="P663" i="13"/>
  <c r="Q662" i="13"/>
  <c r="P647" i="13"/>
  <c r="Q646" i="13"/>
  <c r="P631" i="13"/>
  <c r="Q630" i="13"/>
  <c r="P615" i="13"/>
  <c r="Q614" i="13"/>
  <c r="P599" i="13"/>
  <c r="Q598" i="13"/>
  <c r="P583" i="13"/>
  <c r="Q582" i="13"/>
  <c r="P577" i="13"/>
  <c r="Q576" i="13"/>
  <c r="P573" i="13"/>
  <c r="Q572" i="13"/>
  <c r="P569" i="13"/>
  <c r="Q568" i="13"/>
  <c r="P565" i="13"/>
  <c r="Q564" i="13"/>
  <c r="P561" i="13"/>
  <c r="Q560" i="13"/>
  <c r="P557" i="13"/>
  <c r="Q556" i="13"/>
  <c r="P553" i="13"/>
  <c r="Q552" i="13"/>
  <c r="P549" i="13"/>
  <c r="Q548" i="13"/>
  <c r="P545" i="13"/>
  <c r="Q544" i="13"/>
  <c r="P541" i="13"/>
  <c r="Q540" i="13"/>
  <c r="P537" i="13"/>
  <c r="Q536" i="13"/>
  <c r="P533" i="13"/>
  <c r="Q532" i="13"/>
  <c r="P529" i="13"/>
  <c r="Q528" i="13"/>
  <c r="P525" i="13"/>
  <c r="Q524" i="13"/>
  <c r="P521" i="13"/>
  <c r="Q520" i="13"/>
  <c r="P517" i="13"/>
  <c r="Q516" i="13"/>
  <c r="P513" i="13"/>
  <c r="Q512" i="13"/>
  <c r="P509" i="13"/>
  <c r="Q508" i="13"/>
  <c r="P505" i="13"/>
  <c r="Q504" i="13"/>
  <c r="P501" i="13"/>
  <c r="Q500" i="13"/>
  <c r="P497" i="13"/>
  <c r="Q496" i="13"/>
  <c r="P493" i="13"/>
  <c r="Q492" i="13"/>
  <c r="P489" i="13"/>
  <c r="Q488" i="13"/>
  <c r="P485" i="13"/>
  <c r="Q484" i="13"/>
  <c r="P481" i="13"/>
  <c r="Q480" i="13"/>
  <c r="P477" i="13"/>
  <c r="Q476" i="13"/>
  <c r="P473" i="13"/>
  <c r="Q472" i="13"/>
  <c r="P469" i="13"/>
  <c r="Q468" i="13"/>
  <c r="P465" i="13"/>
  <c r="Q464" i="13"/>
  <c r="P461" i="13"/>
  <c r="Q460" i="13"/>
  <c r="P457" i="13"/>
  <c r="Q456" i="13"/>
  <c r="P453" i="13"/>
  <c r="Q452" i="13"/>
  <c r="P449" i="13"/>
  <c r="Q448" i="13"/>
  <c r="P445" i="13"/>
  <c r="Q444" i="13"/>
  <c r="P441" i="13"/>
  <c r="Q440" i="13"/>
  <c r="P437" i="13"/>
  <c r="Q436" i="13"/>
  <c r="P433" i="13"/>
  <c r="Q432" i="13"/>
  <c r="P429" i="13"/>
  <c r="Q428" i="13"/>
  <c r="P425" i="13"/>
  <c r="Q424" i="13"/>
  <c r="P421" i="13"/>
  <c r="Q420" i="13"/>
  <c r="P417" i="13"/>
  <c r="Q416" i="13"/>
  <c r="P413" i="13"/>
  <c r="Q412" i="13"/>
  <c r="P409" i="13"/>
  <c r="Q408" i="13"/>
  <c r="P405" i="13"/>
  <c r="Q404" i="13"/>
  <c r="P401" i="13"/>
  <c r="Q400" i="13"/>
  <c r="P397" i="13"/>
  <c r="Q396" i="13"/>
  <c r="P393" i="13"/>
  <c r="Q392" i="13"/>
  <c r="P389" i="13"/>
  <c r="Q388" i="13"/>
  <c r="P385" i="13"/>
  <c r="Q384" i="13"/>
  <c r="P381" i="13"/>
  <c r="Q380" i="13"/>
  <c r="P377" i="13"/>
  <c r="Q376" i="13"/>
  <c r="P373" i="13"/>
  <c r="Q372" i="13"/>
  <c r="P369" i="13"/>
  <c r="Q368" i="13"/>
  <c r="P365" i="13"/>
  <c r="Q364" i="13"/>
  <c r="P361" i="13"/>
  <c r="Q360" i="13"/>
  <c r="P357" i="13"/>
  <c r="Q356" i="13"/>
  <c r="Q1300" i="13"/>
  <c r="P1299" i="13"/>
  <c r="Q1298" i="13"/>
  <c r="P1293" i="13"/>
  <c r="Q1292" i="13"/>
  <c r="P1291" i="13"/>
  <c r="Q1290" i="13"/>
  <c r="P1253" i="13"/>
  <c r="Q1252" i="13"/>
  <c r="P1251" i="13"/>
  <c r="Q1250" i="13"/>
  <c r="P1245" i="13"/>
  <c r="Q1244" i="13"/>
  <c r="P1243" i="13"/>
  <c r="Q1242" i="13"/>
  <c r="P1237" i="13"/>
  <c r="Q1236" i="13"/>
  <c r="P1235" i="13"/>
  <c r="Q1234" i="13"/>
  <c r="P1229" i="13"/>
  <c r="Q1228" i="13"/>
  <c r="P1227" i="13"/>
  <c r="Q1226" i="13"/>
  <c r="P1189" i="13"/>
  <c r="Q1188" i="13"/>
  <c r="P1187" i="13"/>
  <c r="Q1186" i="13"/>
  <c r="P1181" i="13"/>
  <c r="Q1180" i="13"/>
  <c r="P1179" i="13"/>
  <c r="Q1178" i="13"/>
  <c r="P1173" i="13"/>
  <c r="Q1172" i="13"/>
  <c r="P1171" i="13"/>
  <c r="Q1170" i="13"/>
  <c r="P1165" i="13"/>
  <c r="Q1164" i="13"/>
  <c r="P1163" i="13"/>
  <c r="Q1162" i="13"/>
  <c r="P1125" i="13"/>
  <c r="Q1124" i="13"/>
  <c r="P1123" i="13"/>
  <c r="Q1122" i="13"/>
  <c r="P1117" i="13"/>
  <c r="Q1116" i="13"/>
  <c r="P1115" i="13"/>
  <c r="Q1114" i="13"/>
  <c r="P1109" i="13"/>
  <c r="Q1108" i="13"/>
  <c r="P1107" i="13"/>
  <c r="Q1106" i="13"/>
  <c r="P1101" i="13"/>
  <c r="Q1100" i="13"/>
  <c r="P1099" i="13"/>
  <c r="Q1098" i="13"/>
  <c r="P1061" i="13"/>
  <c r="Q1060" i="13"/>
  <c r="P1059" i="13"/>
  <c r="Q1058" i="13"/>
  <c r="P1053" i="13"/>
  <c r="Q1052" i="13"/>
  <c r="P1051" i="13"/>
  <c r="Q1050" i="13"/>
  <c r="P1045" i="13"/>
  <c r="Q1044" i="13"/>
  <c r="P1043" i="13"/>
  <c r="Q1042" i="13"/>
  <c r="P1037" i="13"/>
  <c r="Q1036" i="13"/>
  <c r="P1035" i="13"/>
  <c r="Q1034" i="13"/>
  <c r="P997" i="13"/>
  <c r="Q996" i="13"/>
  <c r="P995" i="13"/>
  <c r="Q994" i="13"/>
  <c r="P989" i="13"/>
  <c r="Q988" i="13"/>
  <c r="P987" i="13"/>
  <c r="Q986" i="13"/>
  <c r="P981" i="13"/>
  <c r="Q980" i="13"/>
  <c r="P979" i="13"/>
  <c r="Q978" i="13"/>
  <c r="P950" i="13"/>
  <c r="Q949" i="13"/>
  <c r="P948" i="13"/>
  <c r="Q947" i="13"/>
  <c r="P942" i="13"/>
  <c r="Q941" i="13"/>
  <c r="P940" i="13"/>
  <c r="Q939" i="13"/>
  <c r="P934" i="13"/>
  <c r="Q933" i="13"/>
  <c r="P932" i="13"/>
  <c r="Q931" i="13"/>
  <c r="P926" i="13"/>
  <c r="Q925" i="13"/>
  <c r="P924" i="13"/>
  <c r="Q923" i="13"/>
  <c r="P886" i="13"/>
  <c r="Q885" i="13"/>
  <c r="P884" i="13"/>
  <c r="Q883" i="13"/>
  <c r="P878" i="13"/>
  <c r="Q877" i="13"/>
  <c r="P876" i="13"/>
  <c r="Q875" i="13"/>
  <c r="P870" i="13"/>
  <c r="Q869" i="13"/>
  <c r="P868" i="13"/>
  <c r="Q867" i="13"/>
  <c r="P862" i="13"/>
  <c r="Q861" i="13"/>
  <c r="P860" i="13"/>
  <c r="Q859" i="13"/>
  <c r="P822" i="13"/>
  <c r="Q821" i="13"/>
  <c r="P820" i="13"/>
  <c r="Q819" i="13"/>
  <c r="P814" i="13"/>
  <c r="Q813" i="13"/>
  <c r="P812" i="13"/>
  <c r="Q811" i="13"/>
  <c r="P806" i="13"/>
  <c r="Q805" i="13"/>
  <c r="P804" i="13"/>
  <c r="Q803" i="13"/>
  <c r="P798" i="13"/>
  <c r="Q797" i="13"/>
  <c r="P796" i="13"/>
  <c r="Q795" i="13"/>
  <c r="P766" i="13"/>
  <c r="Q765" i="13"/>
  <c r="P764" i="13"/>
  <c r="Q763" i="13"/>
  <c r="P758" i="13"/>
  <c r="Q757" i="13"/>
  <c r="P756" i="13"/>
  <c r="Q755" i="13"/>
  <c r="P734" i="13"/>
  <c r="Q733" i="13"/>
  <c r="P732" i="13"/>
  <c r="Q731" i="13"/>
  <c r="P726" i="13"/>
  <c r="Q725" i="13"/>
  <c r="P724" i="13"/>
  <c r="Q723" i="13"/>
  <c r="P702" i="13"/>
  <c r="Q701" i="13"/>
  <c r="P700" i="13"/>
  <c r="Q699" i="13"/>
  <c r="P694" i="13"/>
  <c r="Q693" i="13"/>
  <c r="P692" i="13"/>
  <c r="Q691" i="13"/>
  <c r="P670" i="13"/>
  <c r="Q669" i="13"/>
  <c r="P668" i="13"/>
  <c r="Q667" i="13"/>
  <c r="P662" i="13"/>
  <c r="Q661" i="13"/>
  <c r="P660" i="13"/>
  <c r="Q659" i="13"/>
  <c r="P638" i="13"/>
  <c r="Q637" i="13"/>
  <c r="P636" i="13"/>
  <c r="Q635" i="13"/>
  <c r="P630" i="13"/>
  <c r="Q629" i="13"/>
  <c r="P628" i="13"/>
  <c r="Q627" i="13"/>
  <c r="P606" i="13"/>
  <c r="Q605" i="13"/>
  <c r="P604" i="13"/>
  <c r="Q603" i="13"/>
  <c r="P598" i="13"/>
  <c r="Q597" i="13"/>
  <c r="P596" i="13"/>
  <c r="Q595" i="13"/>
  <c r="P576" i="13"/>
  <c r="Q575" i="13"/>
  <c r="P568" i="13"/>
  <c r="Q567" i="13"/>
  <c r="P1290" i="13"/>
  <c r="Q1289" i="13"/>
  <c r="P1226" i="13"/>
  <c r="Q1225" i="13"/>
  <c r="P1162" i="13"/>
  <c r="Q1161" i="13"/>
  <c r="P1098" i="13"/>
  <c r="Q1097" i="13"/>
  <c r="P1034" i="13"/>
  <c r="Q1033" i="13"/>
  <c r="P919" i="13"/>
  <c r="Q918" i="13"/>
  <c r="P855" i="13"/>
  <c r="Q854" i="13"/>
  <c r="P791" i="13"/>
  <c r="Q790" i="13"/>
  <c r="P751" i="13"/>
  <c r="Q750" i="13"/>
  <c r="P719" i="13"/>
  <c r="Q718" i="13"/>
  <c r="P687" i="13"/>
  <c r="Q686" i="13"/>
  <c r="P655" i="13"/>
  <c r="Q654" i="13"/>
  <c r="P623" i="13"/>
  <c r="Q622" i="13"/>
  <c r="P591" i="13"/>
  <c r="Q590" i="13"/>
  <c r="P353" i="13"/>
  <c r="Q352" i="13"/>
  <c r="P349" i="13"/>
  <c r="Q348" i="13"/>
  <c r="P345" i="13"/>
  <c r="Q344" i="13"/>
  <c r="P341" i="13"/>
  <c r="Q340" i="13"/>
  <c r="P337" i="13"/>
  <c r="Q336" i="13"/>
  <c r="P333" i="13"/>
  <c r="Q332" i="13"/>
  <c r="P329" i="13"/>
  <c r="Q328" i="13"/>
  <c r="P325" i="13"/>
  <c r="Q324" i="13"/>
  <c r="P321" i="13"/>
  <c r="Q320" i="13"/>
  <c r="P317" i="13"/>
  <c r="Q316" i="13"/>
  <c r="P313" i="13"/>
  <c r="Q312" i="13"/>
  <c r="P309" i="13"/>
  <c r="Q308" i="13"/>
  <c r="P305" i="13"/>
  <c r="Q304" i="13"/>
  <c r="P301" i="13"/>
  <c r="Q300" i="13"/>
  <c r="P297" i="13"/>
  <c r="Q296" i="13"/>
  <c r="P293" i="13"/>
  <c r="Q292" i="13"/>
  <c r="P289" i="13"/>
  <c r="Q288" i="13"/>
  <c r="P285" i="13"/>
  <c r="Q284" i="13"/>
  <c r="P281" i="13"/>
  <c r="Q280" i="13"/>
  <c r="P277" i="13"/>
  <c r="Q276" i="13"/>
  <c r="P273" i="13"/>
  <c r="Q272" i="13"/>
  <c r="P269" i="13"/>
  <c r="Q268" i="13"/>
  <c r="P265" i="13"/>
  <c r="Q264" i="13"/>
  <c r="P261" i="13"/>
  <c r="Q260" i="13"/>
  <c r="P257" i="13"/>
  <c r="Q256" i="13"/>
  <c r="P253" i="13"/>
  <c r="Q252" i="13"/>
  <c r="P249" i="13"/>
  <c r="Q248" i="13"/>
  <c r="P245" i="13"/>
  <c r="Q244" i="13"/>
  <c r="P241" i="13"/>
  <c r="Q240" i="13"/>
  <c r="P237" i="13"/>
  <c r="Q236" i="13"/>
  <c r="P233" i="13"/>
  <c r="Q232" i="13"/>
  <c r="P229" i="13"/>
  <c r="Q228" i="13"/>
  <c r="P225" i="13"/>
  <c r="Q224" i="13"/>
  <c r="P221" i="13"/>
  <c r="Q220" i="13"/>
  <c r="P217" i="13"/>
  <c r="Q216" i="13"/>
  <c r="P213" i="13"/>
  <c r="Q212" i="13"/>
  <c r="P209" i="13"/>
  <c r="Q208" i="13"/>
  <c r="P205" i="13"/>
  <c r="Q204" i="13"/>
  <c r="P201" i="13"/>
  <c r="Q200" i="13"/>
  <c r="P197" i="13"/>
  <c r="Q196" i="13"/>
  <c r="P193" i="13"/>
  <c r="Q192" i="13"/>
  <c r="P189" i="13"/>
  <c r="Q188" i="13"/>
  <c r="P185" i="13"/>
  <c r="Q184" i="13"/>
  <c r="P181" i="13"/>
  <c r="Q180" i="13"/>
  <c r="P177" i="13"/>
  <c r="Q176" i="13"/>
  <c r="P173" i="13"/>
  <c r="Q172" i="13"/>
  <c r="P169" i="13"/>
  <c r="Q168" i="13"/>
  <c r="P165" i="13"/>
  <c r="Q164" i="13"/>
  <c r="P161" i="13"/>
  <c r="Q160" i="13"/>
  <c r="P157" i="13"/>
  <c r="Q156" i="13"/>
  <c r="P153" i="13"/>
  <c r="Q152" i="13"/>
  <c r="P149" i="13"/>
  <c r="Q148" i="13"/>
  <c r="P145" i="13"/>
  <c r="Q144" i="13"/>
  <c r="P141" i="13"/>
  <c r="Q140" i="13"/>
  <c r="P137" i="13"/>
  <c r="Q136" i="13"/>
  <c r="P133" i="13"/>
  <c r="Q132" i="13"/>
  <c r="P129" i="13"/>
  <c r="Q128" i="13"/>
  <c r="P125" i="13"/>
  <c r="Q124" i="13"/>
  <c r="P121" i="13"/>
  <c r="Q120" i="13"/>
  <c r="P117" i="13"/>
  <c r="Q116" i="13"/>
  <c r="P113" i="13"/>
  <c r="Q112" i="13"/>
  <c r="P109" i="13"/>
  <c r="Q108" i="13"/>
  <c r="P105" i="13"/>
  <c r="Q104" i="13"/>
  <c r="P101" i="13"/>
  <c r="Q100" i="13"/>
  <c r="P97" i="13"/>
  <c r="Q96" i="13"/>
  <c r="P93" i="13"/>
  <c r="Q92" i="13"/>
  <c r="P89" i="13"/>
  <c r="Q88" i="13"/>
  <c r="P85" i="13"/>
  <c r="Q84" i="13"/>
  <c r="P81" i="13"/>
  <c r="Q80" i="13"/>
  <c r="P77" i="13"/>
  <c r="Q76" i="13"/>
  <c r="P73" i="13"/>
  <c r="Q72" i="13"/>
  <c r="P1285" i="13"/>
  <c r="Q1284" i="13"/>
  <c r="P1283" i="13"/>
  <c r="Q1282" i="13"/>
  <c r="P1277" i="13"/>
  <c r="Q1276" i="13"/>
  <c r="P1275" i="13"/>
  <c r="Q1274" i="13"/>
  <c r="P1269" i="13"/>
  <c r="Q1268" i="13"/>
  <c r="P1267" i="13"/>
  <c r="Q1266" i="13"/>
  <c r="P1261" i="13"/>
  <c r="Q1260" i="13"/>
  <c r="P1259" i="13"/>
  <c r="Q1258" i="13"/>
  <c r="P1194" i="13"/>
  <c r="Q1193" i="13"/>
  <c r="P1066" i="13"/>
  <c r="Q1065" i="13"/>
  <c r="P887" i="13"/>
  <c r="Q886" i="13"/>
  <c r="P767" i="13"/>
  <c r="Q766" i="13"/>
  <c r="P703" i="13"/>
  <c r="Q702" i="13"/>
  <c r="P639" i="13"/>
  <c r="Q638" i="13"/>
  <c r="P69" i="13"/>
  <c r="Q68" i="13"/>
  <c r="P65" i="13"/>
  <c r="Q64" i="13"/>
  <c r="P61" i="13"/>
  <c r="Q60" i="13"/>
  <c r="P57" i="13"/>
  <c r="Q56" i="13"/>
  <c r="P53" i="13"/>
  <c r="Q52" i="13"/>
  <c r="P49" i="13"/>
  <c r="Q48" i="13"/>
  <c r="P45" i="13"/>
  <c r="Q44" i="13"/>
  <c r="P41" i="13"/>
  <c r="Q40" i="13"/>
  <c r="P37" i="13"/>
  <c r="Q36" i="13"/>
  <c r="P33" i="13"/>
  <c r="Q32" i="13"/>
  <c r="P29" i="13"/>
  <c r="Q28" i="13"/>
  <c r="P25" i="13"/>
  <c r="Q24" i="13"/>
  <c r="P21" i="13"/>
  <c r="Q20" i="13"/>
  <c r="P17" i="13"/>
  <c r="Q16" i="13"/>
  <c r="P13" i="13"/>
  <c r="Q12" i="13"/>
  <c r="P9" i="13"/>
  <c r="Q8" i="13"/>
  <c r="P1157" i="13"/>
  <c r="Q1156" i="13"/>
  <c r="P1155" i="13"/>
  <c r="Q1154" i="13"/>
  <c r="P1149" i="13"/>
  <c r="Q1148" i="13"/>
  <c r="P1147" i="13"/>
  <c r="Q1146" i="13"/>
  <c r="P1141" i="13"/>
  <c r="Q1140" i="13"/>
  <c r="P1139" i="13"/>
  <c r="Q1138" i="13"/>
  <c r="P1133" i="13"/>
  <c r="Q1132" i="13"/>
  <c r="P1131" i="13"/>
  <c r="Q1130" i="13"/>
  <c r="P1029" i="13"/>
  <c r="Q1028" i="13"/>
  <c r="P1027" i="13"/>
  <c r="Q1026" i="13"/>
  <c r="P1021" i="13"/>
  <c r="Q1020" i="13"/>
  <c r="P1019" i="13"/>
  <c r="Q1018" i="13"/>
  <c r="P1013" i="13"/>
  <c r="Q1012" i="13"/>
  <c r="P1011" i="13"/>
  <c r="Q1010" i="13"/>
  <c r="P1005" i="13"/>
  <c r="Q1004" i="13"/>
  <c r="P1003" i="13"/>
  <c r="Q1002" i="13"/>
  <c r="P974" i="13"/>
  <c r="Q973" i="13"/>
  <c r="P972" i="13"/>
  <c r="Q971" i="13"/>
  <c r="P966" i="13"/>
  <c r="Q965" i="13"/>
  <c r="P964" i="13"/>
  <c r="Q963" i="13"/>
  <c r="P958" i="13"/>
  <c r="Q957" i="13"/>
  <c r="P956" i="13"/>
  <c r="Q955" i="13"/>
  <c r="P854" i="13"/>
  <c r="Q853" i="13"/>
  <c r="P852" i="13"/>
  <c r="Q851" i="13"/>
  <c r="P846" i="13"/>
  <c r="Q845" i="13"/>
  <c r="P844" i="13"/>
  <c r="Q843" i="13"/>
  <c r="P838" i="13"/>
  <c r="Q837" i="13"/>
  <c r="P836" i="13"/>
  <c r="Q835" i="13"/>
  <c r="P830" i="13"/>
  <c r="Q829" i="13"/>
  <c r="P828" i="13"/>
  <c r="Q827" i="13"/>
  <c r="P750" i="13"/>
  <c r="Q749" i="13"/>
  <c r="P748" i="13"/>
  <c r="Q747" i="13"/>
  <c r="P742" i="13"/>
  <c r="Q741" i="13"/>
  <c r="P740" i="13"/>
  <c r="Q739" i="13"/>
  <c r="P686" i="13"/>
  <c r="Q685" i="13"/>
  <c r="P684" i="13"/>
  <c r="Q683" i="13"/>
  <c r="P678" i="13"/>
  <c r="Q677" i="13"/>
  <c r="P676" i="13"/>
  <c r="Q675" i="13"/>
  <c r="P622" i="13"/>
  <c r="Q621" i="13"/>
  <c r="P620" i="13"/>
  <c r="Q619" i="13"/>
  <c r="P614" i="13"/>
  <c r="Q613" i="13"/>
  <c r="P612" i="13"/>
  <c r="Q611" i="13"/>
  <c r="P572" i="13"/>
  <c r="Q571" i="13"/>
  <c r="P560" i="13"/>
  <c r="Q559" i="13"/>
  <c r="P552" i="13"/>
  <c r="Q551" i="13"/>
  <c r="P544" i="13"/>
  <c r="Q543" i="13"/>
  <c r="P536" i="13"/>
  <c r="Q535" i="13"/>
  <c r="P528" i="13"/>
  <c r="Q527" i="13"/>
  <c r="P520" i="13"/>
  <c r="Q519" i="13"/>
  <c r="P512" i="13"/>
  <c r="Q511" i="13"/>
  <c r="P504" i="13"/>
  <c r="Q503" i="13"/>
  <c r="P496" i="13"/>
  <c r="Q495" i="13"/>
  <c r="P488" i="13"/>
  <c r="Q487" i="13"/>
  <c r="P480" i="13"/>
  <c r="Q479" i="13"/>
  <c r="P472" i="13"/>
  <c r="Q471" i="13"/>
  <c r="P464" i="13"/>
  <c r="Q463" i="13"/>
  <c r="P456" i="13"/>
  <c r="Q455" i="13"/>
  <c r="P448" i="13"/>
  <c r="Q447" i="13"/>
  <c r="P440" i="13"/>
  <c r="Q439" i="13"/>
  <c r="P432" i="13"/>
  <c r="Q431" i="13"/>
  <c r="P424" i="13"/>
  <c r="Q423" i="13"/>
  <c r="P416" i="13"/>
  <c r="Q415" i="13"/>
  <c r="P408" i="13"/>
  <c r="Q407" i="13"/>
  <c r="P400" i="13"/>
  <c r="Q399" i="13"/>
  <c r="P392" i="13"/>
  <c r="Q391" i="13"/>
  <c r="P384" i="13"/>
  <c r="Q383" i="13"/>
  <c r="P376" i="13"/>
  <c r="Q375" i="13"/>
  <c r="P368" i="13"/>
  <c r="Q367" i="13"/>
  <c r="P360" i="13"/>
  <c r="Q359" i="13"/>
  <c r="P352" i="13"/>
  <c r="Q351" i="13"/>
  <c r="P344" i="13"/>
  <c r="Q343" i="13"/>
  <c r="P336" i="13"/>
  <c r="Q335" i="13"/>
  <c r="P328" i="13"/>
  <c r="Q327" i="13"/>
  <c r="P320" i="13"/>
  <c r="Q319" i="13"/>
  <c r="P312" i="13"/>
  <c r="Q311" i="13"/>
  <c r="P304" i="13"/>
  <c r="Q303" i="13"/>
  <c r="P296" i="13"/>
  <c r="Q295" i="13"/>
  <c r="P288" i="13"/>
  <c r="Q287" i="13"/>
  <c r="P280" i="13"/>
  <c r="Q279" i="13"/>
  <c r="P272" i="13"/>
  <c r="Q271" i="13"/>
  <c r="P264" i="13"/>
  <c r="Q263" i="13"/>
  <c r="P256" i="13"/>
  <c r="Q255" i="13"/>
  <c r="P248" i="13"/>
  <c r="Q247" i="13"/>
  <c r="P240" i="13"/>
  <c r="Q239" i="13"/>
  <c r="P232" i="13"/>
  <c r="Q231" i="13"/>
  <c r="P224" i="13"/>
  <c r="Q223" i="13"/>
  <c r="P216" i="13"/>
  <c r="Q215" i="13"/>
  <c r="P208" i="13"/>
  <c r="Q207" i="13"/>
  <c r="P200" i="13"/>
  <c r="Q199" i="13"/>
  <c r="P192" i="13"/>
  <c r="Q191" i="13"/>
  <c r="P184" i="13"/>
  <c r="Q183" i="13"/>
  <c r="P176" i="13"/>
  <c r="Q175" i="13"/>
  <c r="P168" i="13"/>
  <c r="Q167" i="13"/>
  <c r="P160" i="13"/>
  <c r="Q159" i="13"/>
  <c r="P152" i="13"/>
  <c r="Q151" i="13"/>
  <c r="P144" i="13"/>
  <c r="Q143" i="13"/>
  <c r="P136" i="13"/>
  <c r="Q135" i="13"/>
  <c r="P128" i="13"/>
  <c r="Q127" i="13"/>
  <c r="P120" i="13"/>
  <c r="Q119" i="13"/>
  <c r="P112" i="13"/>
  <c r="Q111" i="13"/>
  <c r="P1258" i="13"/>
  <c r="Q1257" i="13"/>
  <c r="P1130" i="13"/>
  <c r="Q1129" i="13"/>
  <c r="P1002" i="13"/>
  <c r="Q1001" i="13"/>
  <c r="P951" i="13"/>
  <c r="Q950" i="13"/>
  <c r="P823" i="13"/>
  <c r="Q822" i="13"/>
  <c r="P735" i="13"/>
  <c r="Q734" i="13"/>
  <c r="P671" i="13"/>
  <c r="Q670" i="13"/>
  <c r="P607" i="13"/>
  <c r="Q606" i="13"/>
  <c r="P1221" i="13"/>
  <c r="Q1220" i="13"/>
  <c r="P1219" i="13"/>
  <c r="Q1218" i="13"/>
  <c r="P1213" i="13"/>
  <c r="Q1212" i="13"/>
  <c r="P1211" i="13"/>
  <c r="Q1210" i="13"/>
  <c r="P1205" i="13"/>
  <c r="Q1204" i="13"/>
  <c r="P1203" i="13"/>
  <c r="Q1202" i="13"/>
  <c r="P1197" i="13"/>
  <c r="Q1196" i="13"/>
  <c r="P1195" i="13"/>
  <c r="Q1194" i="13"/>
  <c r="P1093" i="13"/>
  <c r="Q1092" i="13"/>
  <c r="P1091" i="13"/>
  <c r="Q1090" i="13"/>
  <c r="P1085" i="13"/>
  <c r="Q1084" i="13"/>
  <c r="P1083" i="13"/>
  <c r="Q1082" i="13"/>
  <c r="P1077" i="13"/>
  <c r="Q1076" i="13"/>
  <c r="P1075" i="13"/>
  <c r="Q1074" i="13"/>
  <c r="P1069" i="13"/>
  <c r="Q1068" i="13"/>
  <c r="P1067" i="13"/>
  <c r="Q1066" i="13"/>
  <c r="P918" i="13"/>
  <c r="Q917" i="13"/>
  <c r="P916" i="13"/>
  <c r="Q915" i="13"/>
  <c r="P910" i="13"/>
  <c r="Q909" i="13"/>
  <c r="P908" i="13"/>
  <c r="Q907" i="13"/>
  <c r="P902" i="13"/>
  <c r="Q901" i="13"/>
  <c r="P900" i="13"/>
  <c r="Q899" i="13"/>
  <c r="P894" i="13"/>
  <c r="Q893" i="13"/>
  <c r="P892" i="13"/>
  <c r="Q891" i="13"/>
  <c r="P790" i="13"/>
  <c r="Q789" i="13"/>
  <c r="P788" i="13"/>
  <c r="Q787" i="13"/>
  <c r="P782" i="13"/>
  <c r="Q781" i="13"/>
  <c r="P780" i="13"/>
  <c r="Q779" i="13"/>
  <c r="P774" i="13"/>
  <c r="Q773" i="13"/>
  <c r="P772" i="13"/>
  <c r="Q771" i="13"/>
  <c r="P718" i="13"/>
  <c r="Q717" i="13"/>
  <c r="P716" i="13"/>
  <c r="Q715" i="13"/>
  <c r="P710" i="13"/>
  <c r="Q709" i="13"/>
  <c r="P708" i="13"/>
  <c r="Q707" i="13"/>
  <c r="P654" i="13"/>
  <c r="Q653" i="13"/>
  <c r="P652" i="13"/>
  <c r="Q651" i="13"/>
  <c r="P646" i="13"/>
  <c r="Q645" i="13"/>
  <c r="P644" i="13"/>
  <c r="Q643" i="13"/>
  <c r="P590" i="13"/>
  <c r="Q589" i="13"/>
  <c r="P588" i="13"/>
  <c r="Q587" i="13"/>
  <c r="P582" i="13"/>
  <c r="Q581" i="13"/>
  <c r="P580" i="13"/>
  <c r="Q579" i="13"/>
  <c r="P564" i="13"/>
  <c r="Q7" i="13"/>
  <c r="P8" i="13"/>
  <c r="Q15" i="13"/>
  <c r="P16" i="13"/>
  <c r="Q23" i="13"/>
  <c r="P24" i="13"/>
  <c r="Q31" i="13"/>
  <c r="P32" i="13"/>
  <c r="Q39" i="13"/>
  <c r="P40" i="13"/>
  <c r="Q47" i="13"/>
  <c r="P48" i="13"/>
  <c r="Q55" i="13"/>
  <c r="P56" i="13"/>
  <c r="Q63" i="13"/>
  <c r="P64" i="13"/>
  <c r="Q71" i="13"/>
  <c r="P72" i="13"/>
  <c r="Q79" i="13"/>
  <c r="P80" i="13"/>
  <c r="Q87" i="13"/>
  <c r="P88" i="13"/>
  <c r="Q95" i="13"/>
  <c r="P96" i="13"/>
  <c r="Q103" i="13"/>
  <c r="P104" i="13"/>
  <c r="Q115" i="13"/>
  <c r="P116" i="13"/>
  <c r="Q131" i="13"/>
  <c r="P132" i="13"/>
  <c r="Q147" i="13"/>
  <c r="P148" i="13"/>
  <c r="Q163" i="13"/>
  <c r="P164" i="13"/>
  <c r="Q179" i="13"/>
  <c r="P180" i="13"/>
  <c r="Q195" i="13"/>
  <c r="P196" i="13"/>
  <c r="Q211" i="13"/>
  <c r="P212" i="13"/>
  <c r="Q227" i="13"/>
  <c r="P228" i="13"/>
  <c r="Q243" i="13"/>
  <c r="P244" i="13"/>
  <c r="Q259" i="13"/>
  <c r="P260" i="13"/>
  <c r="Q275" i="13"/>
  <c r="P276" i="13"/>
  <c r="Q291" i="13"/>
  <c r="P292" i="13"/>
  <c r="Q307" i="13"/>
  <c r="P308" i="13"/>
  <c r="Q323" i="13"/>
  <c r="P324" i="13"/>
  <c r="Q339" i="13"/>
  <c r="P340" i="13"/>
  <c r="Q355" i="13"/>
  <c r="P356" i="13"/>
  <c r="Q371" i="13"/>
  <c r="P372" i="13"/>
  <c r="Q387" i="13"/>
  <c r="P388" i="13"/>
  <c r="Q403" i="13"/>
  <c r="P404" i="13"/>
  <c r="Q419" i="13"/>
  <c r="P420" i="13"/>
  <c r="Q435" i="13"/>
  <c r="P436" i="13"/>
  <c r="Q451" i="13"/>
  <c r="P452" i="13"/>
  <c r="Q467" i="13"/>
  <c r="P468" i="13"/>
  <c r="Q483" i="13"/>
  <c r="P484" i="13"/>
  <c r="Q499" i="13"/>
  <c r="P500" i="13"/>
  <c r="Q515" i="13"/>
  <c r="P516" i="13"/>
  <c r="Q531" i="13"/>
  <c r="P532" i="13"/>
  <c r="Q547" i="13"/>
  <c r="P548" i="13"/>
  <c r="Q563" i="13"/>
  <c r="P210" i="14"/>
  <c r="P244" i="14"/>
  <c r="P257" i="14"/>
  <c r="Q285" i="14"/>
  <c r="Q317" i="14"/>
  <c r="Q349" i="14"/>
  <c r="Q381" i="14"/>
  <c r="Q413" i="14"/>
  <c r="Q445" i="14"/>
  <c r="P470" i="14"/>
  <c r="Q523" i="14"/>
  <c r="P554" i="14"/>
  <c r="P654" i="14"/>
  <c r="Q693" i="14"/>
  <c r="P805" i="14"/>
  <c r="Q882" i="14"/>
  <c r="P868" i="14"/>
  <c r="Q771" i="14"/>
  <c r="Q752" i="14"/>
  <c r="Q648" i="14"/>
  <c r="P624" i="14"/>
  <c r="P604" i="14"/>
  <c r="Q583" i="14"/>
  <c r="P560" i="14"/>
  <c r="P540" i="14"/>
  <c r="Q519" i="14"/>
  <c r="P496" i="14"/>
  <c r="P476" i="14"/>
  <c r="Q455" i="14"/>
  <c r="Q253" i="14"/>
  <c r="P242" i="14"/>
  <c r="P241" i="14"/>
  <c r="P228" i="14"/>
  <c r="Q223" i="14"/>
  <c r="P213" i="14"/>
  <c r="P212" i="14"/>
  <c r="Q207" i="14"/>
  <c r="P200" i="14"/>
  <c r="P193" i="14"/>
  <c r="P190" i="14"/>
  <c r="Q180" i="14"/>
  <c r="Q179" i="14"/>
  <c r="P152" i="14"/>
  <c r="Q145" i="14"/>
  <c r="Q144" i="14"/>
  <c r="Q141" i="14"/>
  <c r="P132" i="14"/>
  <c r="Q127" i="14"/>
  <c r="P117" i="14"/>
  <c r="P116" i="14"/>
  <c r="Q111" i="14"/>
  <c r="P104" i="14"/>
  <c r="Q93" i="14"/>
  <c r="P82" i="14"/>
  <c r="P81" i="14"/>
  <c r="P56" i="14"/>
  <c r="Q49" i="14"/>
  <c r="Q48" i="14"/>
  <c r="Q45" i="14"/>
  <c r="P36" i="14"/>
  <c r="Q31" i="14"/>
  <c r="Q20" i="14"/>
  <c r="Q19" i="14"/>
  <c r="P24" i="14"/>
  <c r="Q51" i="14"/>
  <c r="P62" i="14"/>
  <c r="P84" i="14"/>
  <c r="Q95" i="14"/>
  <c r="P114" i="14"/>
  <c r="Q147" i="14"/>
  <c r="P158" i="14"/>
  <c r="Q173" i="14"/>
  <c r="P209" i="14"/>
  <c r="Q239" i="14"/>
  <c r="Q284" i="14"/>
  <c r="Q316" i="14"/>
  <c r="Q348" i="14"/>
  <c r="Q380" i="14"/>
  <c r="Q412" i="14"/>
  <c r="Q444" i="14"/>
  <c r="Q459" i="14"/>
  <c r="P490" i="14"/>
  <c r="Q676" i="14"/>
  <c r="Q740" i="14"/>
  <c r="P977" i="14"/>
  <c r="P8" i="14"/>
  <c r="Q15" i="14"/>
  <c r="P20" i="14"/>
  <c r="P21" i="14"/>
  <c r="P49" i="14"/>
  <c r="P50" i="14"/>
  <c r="Q61" i="14"/>
  <c r="Q83" i="14"/>
  <c r="Q84" i="14"/>
  <c r="P94" i="14"/>
  <c r="P97" i="14"/>
  <c r="P100" i="14"/>
  <c r="Q109" i="14"/>
  <c r="Q112" i="14"/>
  <c r="Q113" i="14"/>
  <c r="P120" i="14"/>
  <c r="P145" i="14"/>
  <c r="P146" i="14"/>
  <c r="Q157" i="14"/>
  <c r="P168" i="14"/>
  <c r="Q175" i="14"/>
  <c r="P180" i="14"/>
  <c r="P181" i="14"/>
  <c r="Q191" i="14"/>
  <c r="P196" i="14"/>
  <c r="Q205" i="14"/>
  <c r="Q208" i="14"/>
  <c r="Q209" i="14"/>
  <c r="P216" i="14"/>
  <c r="Q243" i="14"/>
  <c r="Q244" i="14"/>
  <c r="P254" i="14"/>
  <c r="Q456" i="14"/>
  <c r="Q489" i="14"/>
  <c r="Q501" i="14"/>
  <c r="Q520" i="14"/>
  <c r="Q553" i="14"/>
  <c r="Q565" i="14"/>
  <c r="Q584" i="14"/>
  <c r="Q617" i="14"/>
  <c r="Q629" i="14"/>
  <c r="Q651" i="14"/>
  <c r="P673" i="14"/>
  <c r="P686" i="14"/>
  <c r="P705" i="14"/>
  <c r="P718" i="14"/>
  <c r="P737" i="14"/>
  <c r="P871" i="14"/>
  <c r="Q918" i="14"/>
  <c r="Q919" i="14"/>
  <c r="P968" i="14"/>
  <c r="P916" i="14"/>
  <c r="P917" i="14"/>
  <c r="P17" i="14"/>
  <c r="P18" i="14"/>
  <c r="P30" i="14"/>
  <c r="P33" i="14"/>
  <c r="P40" i="14"/>
  <c r="Q47" i="14"/>
  <c r="P52" i="14"/>
  <c r="P53" i="14"/>
  <c r="Q63" i="14"/>
  <c r="P68" i="14"/>
  <c r="Q77" i="14"/>
  <c r="Q80" i="14"/>
  <c r="Q81" i="14"/>
  <c r="P88" i="14"/>
  <c r="Q115" i="14"/>
  <c r="Q116" i="14"/>
  <c r="P126" i="14"/>
  <c r="P129" i="14"/>
  <c r="P136" i="14"/>
  <c r="Q143" i="14"/>
  <c r="P148" i="14"/>
  <c r="P149" i="14"/>
  <c r="Q159" i="14"/>
  <c r="P164" i="14"/>
  <c r="P177" i="14"/>
  <c r="P178" i="14"/>
  <c r="Q189" i="14"/>
  <c r="Q211" i="14"/>
  <c r="Q212" i="14"/>
  <c r="P222" i="14"/>
  <c r="P225" i="14"/>
  <c r="Q237" i="14"/>
  <c r="Q240" i="14"/>
  <c r="Q241" i="14"/>
  <c r="P248" i="14"/>
  <c r="P260" i="14"/>
  <c r="P269" i="14"/>
  <c r="P270" i="14"/>
  <c r="P285" i="14"/>
  <c r="P286" i="14"/>
  <c r="P301" i="14"/>
  <c r="P302" i="14"/>
  <c r="P317" i="14"/>
  <c r="P318" i="14"/>
  <c r="P333" i="14"/>
  <c r="P334" i="14"/>
  <c r="P349" i="14"/>
  <c r="P350" i="14"/>
  <c r="P365" i="14"/>
  <c r="P366" i="14"/>
  <c r="P381" i="14"/>
  <c r="P382" i="14"/>
  <c r="P397" i="14"/>
  <c r="P398" i="14"/>
  <c r="P413" i="14"/>
  <c r="P414" i="14"/>
  <c r="P429" i="14"/>
  <c r="P430" i="14"/>
  <c r="P445" i="14"/>
  <c r="P446" i="14"/>
  <c r="Q460" i="14"/>
  <c r="P473" i="14"/>
  <c r="P493" i="14"/>
  <c r="Q524" i="14"/>
  <c r="P537" i="14"/>
  <c r="P557" i="14"/>
  <c r="Q588" i="14"/>
  <c r="P601" i="14"/>
  <c r="P621" i="14"/>
  <c r="Q647" i="14"/>
  <c r="Q661" i="14"/>
  <c r="P747" i="14"/>
  <c r="Q770" i="14"/>
  <c r="P785" i="14"/>
  <c r="P808" i="14"/>
  <c r="P849" i="14"/>
  <c r="Q915" i="14"/>
  <c r="Q916" i="14"/>
  <c r="E314" i="8"/>
  <c r="E316" i="8" s="1"/>
  <c r="C18" i="3" s="1"/>
  <c r="G51" i="3"/>
  <c r="D25" i="3" s="1"/>
  <c r="D27" i="3" s="1"/>
  <c r="D51" i="3"/>
  <c r="C25" i="3" s="1"/>
  <c r="C27" i="3" s="1"/>
  <c r="Q41" i="4"/>
  <c r="Q47" i="4"/>
  <c r="D8" i="5" a="1"/>
  <c r="D8" i="5" s="1"/>
  <c r="D10" i="5" a="1"/>
  <c r="D10" i="5" s="1"/>
  <c r="D12" i="5" a="1"/>
  <c r="D12" i="5" s="1"/>
  <c r="D14" i="5" a="1"/>
  <c r="D14" i="5" s="1"/>
  <c r="D16" i="5" a="1"/>
  <c r="D16" i="5" s="1"/>
  <c r="D18" i="5" a="1"/>
  <c r="D18" i="5" s="1"/>
  <c r="D20" i="5" a="1"/>
  <c r="D20" i="5" s="1"/>
  <c r="D22" i="5" a="1"/>
  <c r="D22" i="5" s="1"/>
  <c r="D24" i="5" a="1"/>
  <c r="D24" i="5" s="1"/>
  <c r="D26" i="5" a="1"/>
  <c r="D26" i="5" s="1"/>
  <c r="D28" i="5" a="1"/>
  <c r="D28" i="5" s="1"/>
  <c r="D30" i="5" a="1"/>
  <c r="D30" i="5" s="1"/>
  <c r="D32" i="5" a="1"/>
  <c r="D32" i="5" s="1"/>
  <c r="D34" i="5" a="1"/>
  <c r="D34" i="5" s="1"/>
  <c r="D36" i="5" a="1"/>
  <c r="D36" i="5" s="1"/>
  <c r="C10" i="6"/>
  <c r="D7" i="5" a="1"/>
  <c r="D7" i="5" s="1"/>
  <c r="D9" i="5" a="1"/>
  <c r="D9" i="5" s="1"/>
  <c r="D11" i="5" a="1"/>
  <c r="D11" i="5" s="1"/>
  <c r="D13" i="5" a="1"/>
  <c r="D13" i="5" s="1"/>
  <c r="D15" i="5" a="1"/>
  <c r="D15" i="5" s="1"/>
  <c r="D17" i="5" a="1"/>
  <c r="D17" i="5" s="1"/>
  <c r="D19" i="5" a="1"/>
  <c r="D19" i="5" s="1"/>
  <c r="D21" i="5" a="1"/>
  <c r="D21" i="5" s="1"/>
  <c r="D23" i="5" a="1"/>
  <c r="D23" i="5" s="1"/>
  <c r="D25" i="5" a="1"/>
  <c r="D25" i="5" s="1"/>
  <c r="D27" i="5" a="1"/>
  <c r="D27" i="5" s="1"/>
  <c r="D29" i="5" a="1"/>
  <c r="D29" i="5" s="1"/>
  <c r="D31" i="5" a="1"/>
  <c r="D31" i="5" s="1"/>
  <c r="D33" i="5" a="1"/>
  <c r="D33" i="5" s="1"/>
  <c r="D35" i="5" a="1"/>
  <c r="D35" i="5" s="1"/>
  <c r="O31" i="7"/>
  <c r="P5" i="11"/>
  <c r="O18" i="10"/>
  <c r="O28" i="10"/>
  <c r="A1234" i="14"/>
  <c r="A1230" i="14"/>
  <c r="A1226" i="14"/>
  <c r="A1222" i="14"/>
  <c r="A1218" i="14"/>
  <c r="A1214" i="14"/>
  <c r="A1210" i="14"/>
  <c r="A1206" i="14"/>
  <c r="A1202" i="14"/>
  <c r="A1198" i="14"/>
  <c r="A1194" i="14"/>
  <c r="A1190" i="14"/>
  <c r="A1186" i="14"/>
  <c r="A1182" i="14"/>
  <c r="A1178" i="14"/>
  <c r="A1174" i="14"/>
  <c r="A1170" i="14"/>
  <c r="A1166" i="14"/>
  <c r="A1162" i="14"/>
  <c r="A1158" i="14"/>
  <c r="A1154" i="14"/>
  <c r="A1150" i="14"/>
  <c r="A1146" i="14"/>
  <c r="A1142" i="14"/>
  <c r="A1138" i="14"/>
  <c r="A1134" i="14"/>
  <c r="A1233" i="14"/>
  <c r="A1229" i="14"/>
  <c r="A1225" i="14"/>
  <c r="A1221" i="14"/>
  <c r="A1217" i="14"/>
  <c r="A1213" i="14"/>
  <c r="A1209" i="14"/>
  <c r="A1205" i="14"/>
  <c r="A1201" i="14"/>
  <c r="A1197" i="14"/>
  <c r="A1193" i="14"/>
  <c r="A1189" i="14"/>
  <c r="A1185" i="14"/>
  <c r="A1181" i="14"/>
  <c r="A1177" i="14"/>
  <c r="A1173" i="14"/>
  <c r="A1169" i="14"/>
  <c r="A1165" i="14"/>
  <c r="A1236" i="14"/>
  <c r="A1232" i="14"/>
  <c r="A1228" i="14"/>
  <c r="A1224" i="14"/>
  <c r="A1220" i="14"/>
  <c r="A1216" i="14"/>
  <c r="A1212" i="14"/>
  <c r="A1208" i="14"/>
  <c r="A1204" i="14"/>
  <c r="A1200" i="14"/>
  <c r="A1196" i="14"/>
  <c r="A1192" i="14"/>
  <c r="A1188" i="14"/>
  <c r="A1184" i="14"/>
  <c r="A1180" i="14"/>
  <c r="A1176" i="14"/>
  <c r="A1172" i="14"/>
  <c r="A1168" i="14"/>
  <c r="A1164" i="14"/>
  <c r="A1223" i="14"/>
  <c r="A1207" i="14"/>
  <c r="A1191" i="14"/>
  <c r="A1175" i="14"/>
  <c r="A1161" i="14"/>
  <c r="A1160" i="14"/>
  <c r="A1147" i="14"/>
  <c r="A1145" i="14"/>
  <c r="A1144" i="14"/>
  <c r="A1132" i="14"/>
  <c r="A1128" i="14"/>
  <c r="A1124" i="14"/>
  <c r="A1120" i="14"/>
  <c r="A1116" i="14"/>
  <c r="A1112" i="14"/>
  <c r="A1108" i="14"/>
  <c r="A1104" i="14"/>
  <c r="A1100" i="14"/>
  <c r="A1096" i="14"/>
  <c r="A1092" i="14"/>
  <c r="A1088" i="14"/>
  <c r="A1084" i="14"/>
  <c r="A1080" i="14"/>
  <c r="A1076" i="14"/>
  <c r="A1072" i="14"/>
  <c r="A1068" i="14"/>
  <c r="A1064" i="14"/>
  <c r="A1227" i="14"/>
  <c r="A1211" i="14"/>
  <c r="A1195" i="14"/>
  <c r="A1179" i="14"/>
  <c r="A1163" i="14"/>
  <c r="A1159" i="14"/>
  <c r="A1157" i="14"/>
  <c r="A1156" i="14"/>
  <c r="A1143" i="14"/>
  <c r="A1141" i="14"/>
  <c r="A1140" i="14"/>
  <c r="A1131" i="14"/>
  <c r="A1127" i="14"/>
  <c r="A1123" i="14"/>
  <c r="A1119" i="14"/>
  <c r="A1115" i="14"/>
  <c r="A1111" i="14"/>
  <c r="A1107" i="14"/>
  <c r="A1103" i="14"/>
  <c r="A1099" i="14"/>
  <c r="A1095" i="14"/>
  <c r="A1091" i="14"/>
  <c r="A1087" i="14"/>
  <c r="A1083" i="14"/>
  <c r="A1079" i="14"/>
  <c r="A1075" i="14"/>
  <c r="A1071" i="14"/>
  <c r="A1067" i="14"/>
  <c r="A1063" i="14"/>
  <c r="A1059" i="14"/>
  <c r="A1055" i="14"/>
  <c r="A1051" i="14"/>
  <c r="A1047" i="14"/>
  <c r="A1043" i="14"/>
  <c r="A1136" i="14"/>
  <c r="A1135" i="14"/>
  <c r="A1133" i="14"/>
  <c r="A1126" i="14"/>
  <c r="A1125" i="14"/>
  <c r="A1118" i="14"/>
  <c r="A1117" i="14"/>
  <c r="A1110" i="14"/>
  <c r="A1109" i="14"/>
  <c r="A1231" i="14"/>
  <c r="A1219" i="14"/>
  <c r="A1199" i="14"/>
  <c r="A1187" i="14"/>
  <c r="A1167" i="14"/>
  <c r="A1155" i="14"/>
  <c r="A1137" i="14"/>
  <c r="A1152" i="14"/>
  <c r="A1151" i="14"/>
  <c r="A1149" i="14"/>
  <c r="A1148" i="14"/>
  <c r="A1130" i="14"/>
  <c r="A1129" i="14"/>
  <c r="A1122" i="14"/>
  <c r="A1121" i="14"/>
  <c r="A1114" i="14"/>
  <c r="A1113" i="14"/>
  <c r="A1106" i="14"/>
  <c r="A1105" i="14"/>
  <c r="A1098" i="14"/>
  <c r="A1097" i="14"/>
  <c r="A1090" i="14"/>
  <c r="A1089" i="14"/>
  <c r="A1082" i="14"/>
  <c r="A1081" i="14"/>
  <c r="A1074" i="14"/>
  <c r="A1073" i="14"/>
  <c r="A1066" i="14"/>
  <c r="A1065" i="14"/>
  <c r="A1056" i="14"/>
  <c r="A1054" i="14"/>
  <c r="A1053" i="14"/>
  <c r="A1040" i="14"/>
  <c r="A1036" i="14"/>
  <c r="A1032" i="14"/>
  <c r="A1028" i="14"/>
  <c r="A1024" i="14"/>
  <c r="A1020" i="14"/>
  <c r="A1016" i="14"/>
  <c r="A1012" i="14"/>
  <c r="A1008" i="14"/>
  <c r="A1004" i="14"/>
  <c r="A1000" i="14"/>
  <c r="A1215" i="14"/>
  <c r="A1139" i="14"/>
  <c r="A1086" i="14"/>
  <c r="A1085" i="14"/>
  <c r="A1060" i="14"/>
  <c r="A1058" i="14"/>
  <c r="A1057" i="14"/>
  <c r="A1037" i="14"/>
  <c r="A1035" i="14"/>
  <c r="A1034" i="14"/>
  <c r="A1021" i="14"/>
  <c r="A1019" i="14"/>
  <c r="A1018" i="14"/>
  <c r="A1005" i="14"/>
  <c r="A1003" i="14"/>
  <c r="A1002" i="14"/>
  <c r="A996" i="14"/>
  <c r="A992" i="14"/>
  <c r="A988" i="14"/>
  <c r="A984" i="14"/>
  <c r="A980" i="14"/>
  <c r="A976" i="14"/>
  <c r="A972" i="14"/>
  <c r="A968" i="14"/>
  <c r="A964" i="14"/>
  <c r="A960" i="14"/>
  <c r="A1171" i="14"/>
  <c r="A1078" i="14"/>
  <c r="A1077" i="14"/>
  <c r="A1052" i="14"/>
  <c r="A1033" i="14"/>
  <c r="A1031" i="14"/>
  <c r="A1030" i="14"/>
  <c r="A1017" i="14"/>
  <c r="A1015" i="14"/>
  <c r="A1014" i="14"/>
  <c r="A1001" i="14"/>
  <c r="A999" i="14"/>
  <c r="A995" i="14"/>
  <c r="A991" i="14"/>
  <c r="A987" i="14"/>
  <c r="A983" i="14"/>
  <c r="A979" i="14"/>
  <c r="A975" i="14"/>
  <c r="A971" i="14"/>
  <c r="A967" i="14"/>
  <c r="A963" i="14"/>
  <c r="A959" i="14"/>
  <c r="A955" i="14"/>
  <c r="A951" i="14"/>
  <c r="A947" i="14"/>
  <c r="A943" i="14"/>
  <c r="A939" i="14"/>
  <c r="A935" i="14"/>
  <c r="A931" i="14"/>
  <c r="A927" i="14"/>
  <c r="A923" i="14"/>
  <c r="A919" i="14"/>
  <c r="A915" i="14"/>
  <c r="A911" i="14"/>
  <c r="A907" i="14"/>
  <c r="A903" i="14"/>
  <c r="A899" i="14"/>
  <c r="A895" i="14"/>
  <c r="A891" i="14"/>
  <c r="A887" i="14"/>
  <c r="A883" i="14"/>
  <c r="A879" i="14"/>
  <c r="A875" i="14"/>
  <c r="A871" i="14"/>
  <c r="A867" i="14"/>
  <c r="A863" i="14"/>
  <c r="A859" i="14"/>
  <c r="A855" i="14"/>
  <c r="A851" i="14"/>
  <c r="A847" i="14"/>
  <c r="A843" i="14"/>
  <c r="A839" i="14"/>
  <c r="A835" i="14"/>
  <c r="A1153" i="14"/>
  <c r="A1070" i="14"/>
  <c r="A1062" i="14"/>
  <c r="A1061" i="14"/>
  <c r="A1026" i="14"/>
  <c r="A1025" i="14"/>
  <c r="A1023" i="14"/>
  <c r="A1022" i="14"/>
  <c r="A948" i="14"/>
  <c r="A946" i="14"/>
  <c r="A945" i="14"/>
  <c r="A932" i="14"/>
  <c r="A930" i="14"/>
  <c r="A929" i="14"/>
  <c r="A916" i="14"/>
  <c r="A914" i="14"/>
  <c r="A913" i="14"/>
  <c r="A900" i="14"/>
  <c r="A898" i="14"/>
  <c r="A897" i="14"/>
  <c r="A884" i="14"/>
  <c r="A882" i="14"/>
  <c r="A881" i="14"/>
  <c r="A868" i="14"/>
  <c r="A866" i="14"/>
  <c r="A865" i="14"/>
  <c r="A852" i="14"/>
  <c r="A850" i="14"/>
  <c r="A849" i="14"/>
  <c r="A836" i="14"/>
  <c r="A831" i="14"/>
  <c r="A827" i="14"/>
  <c r="A823" i="14"/>
  <c r="A819" i="14"/>
  <c r="A815" i="14"/>
  <c r="A811" i="14"/>
  <c r="A807" i="14"/>
  <c r="A803" i="14"/>
  <c r="A799" i="14"/>
  <c r="A795" i="14"/>
  <c r="A791" i="14"/>
  <c r="A787" i="14"/>
  <c r="A783" i="14"/>
  <c r="A779" i="14"/>
  <c r="A775" i="14"/>
  <c r="A771" i="14"/>
  <c r="A767" i="14"/>
  <c r="A763" i="14"/>
  <c r="A759" i="14"/>
  <c r="A755" i="14"/>
  <c r="A751" i="14"/>
  <c r="A747" i="14"/>
  <c r="A1203" i="14"/>
  <c r="A1101" i="14"/>
  <c r="A1048" i="14"/>
  <c r="A1027" i="14"/>
  <c r="A1013" i="14"/>
  <c r="A998" i="14"/>
  <c r="A997" i="14"/>
  <c r="A990" i="14"/>
  <c r="A989" i="14"/>
  <c r="A982" i="14"/>
  <c r="A981" i="14"/>
  <c r="A974" i="14"/>
  <c r="A973" i="14"/>
  <c r="A966" i="14"/>
  <c r="A965" i="14"/>
  <c r="A958" i="14"/>
  <c r="A957" i="14"/>
  <c r="A944" i="14"/>
  <c r="A942" i="14"/>
  <c r="A941" i="14"/>
  <c r="A928" i="14"/>
  <c r="A926" i="14"/>
  <c r="A925" i="14"/>
  <c r="A912" i="14"/>
  <c r="A910" i="14"/>
  <c r="A909" i="14"/>
  <c r="A1102" i="14"/>
  <c r="A1050" i="14"/>
  <c r="A1044" i="14"/>
  <c r="A1029" i="14"/>
  <c r="A1010" i="14"/>
  <c r="A1006" i="14"/>
  <c r="A994" i="14"/>
  <c r="A993" i="14"/>
  <c r="A978" i="14"/>
  <c r="A977" i="14"/>
  <c r="A962" i="14"/>
  <c r="A961" i="14"/>
  <c r="A954" i="14"/>
  <c r="A940" i="14"/>
  <c r="A922" i="14"/>
  <c r="A908" i="14"/>
  <c r="A894" i="14"/>
  <c r="A888" i="14"/>
  <c r="A886" i="14"/>
  <c r="A885" i="14"/>
  <c r="A864" i="14"/>
  <c r="A845" i="14"/>
  <c r="A844" i="14"/>
  <c r="A842" i="14"/>
  <c r="A841" i="14"/>
  <c r="A834" i="14"/>
  <c r="A833" i="14"/>
  <c r="A820" i="14"/>
  <c r="A818" i="14"/>
  <c r="A817" i="14"/>
  <c r="A804" i="14"/>
  <c r="A802" i="14"/>
  <c r="A801" i="14"/>
  <c r="A788" i="14"/>
  <c r="A786" i="14"/>
  <c r="A785" i="14"/>
  <c r="A772" i="14"/>
  <c r="A770" i="14"/>
  <c r="A769" i="14"/>
  <c r="A756" i="14"/>
  <c r="A754" i="14"/>
  <c r="A753" i="14"/>
  <c r="A745" i="14"/>
  <c r="A741" i="14"/>
  <c r="A737" i="14"/>
  <c r="A733" i="14"/>
  <c r="A729" i="14"/>
  <c r="A725" i="14"/>
  <c r="A721" i="14"/>
  <c r="A717" i="14"/>
  <c r="A713" i="14"/>
  <c r="A709" i="14"/>
  <c r="A705" i="14"/>
  <c r="A701" i="14"/>
  <c r="A697" i="14"/>
  <c r="A693" i="14"/>
  <c r="A689" i="14"/>
  <c r="A685" i="14"/>
  <c r="A681" i="14"/>
  <c r="A677" i="14"/>
  <c r="A673" i="14"/>
  <c r="A669" i="14"/>
  <c r="A665" i="14"/>
  <c r="A661" i="14"/>
  <c r="A657" i="14"/>
  <c r="A653" i="14"/>
  <c r="A1183" i="14"/>
  <c r="A1093" i="14"/>
  <c r="A1045" i="14"/>
  <c r="A1041" i="14"/>
  <c r="A1011" i="14"/>
  <c r="A1007" i="14"/>
  <c r="A937" i="14"/>
  <c r="A936" i="14"/>
  <c r="A934" i="14"/>
  <c r="A933" i="14"/>
  <c r="A905" i="14"/>
  <c r="A904" i="14"/>
  <c r="A902" i="14"/>
  <c r="A901" i="14"/>
  <c r="A880" i="14"/>
  <c r="A861" i="14"/>
  <c r="A860" i="14"/>
  <c r="A858" i="14"/>
  <c r="A857" i="14"/>
  <c r="A846" i="14"/>
  <c r="A840" i="14"/>
  <c r="A838" i="14"/>
  <c r="A837" i="14"/>
  <c r="A832" i="14"/>
  <c r="A830" i="14"/>
  <c r="A829" i="14"/>
  <c r="A816" i="14"/>
  <c r="A814" i="14"/>
  <c r="A813" i="14"/>
  <c r="A800" i="14"/>
  <c r="A798" i="14"/>
  <c r="A797" i="14"/>
  <c r="A784" i="14"/>
  <c r="A782" i="14"/>
  <c r="A781" i="14"/>
  <c r="A768" i="14"/>
  <c r="A766" i="14"/>
  <c r="A765" i="14"/>
  <c r="A752" i="14"/>
  <c r="A750" i="14"/>
  <c r="A749" i="14"/>
  <c r="A744" i="14"/>
  <c r="A740" i="14"/>
  <c r="A736" i="14"/>
  <c r="A732" i="14"/>
  <c r="A728" i="14"/>
  <c r="A724" i="14"/>
  <c r="A720" i="14"/>
  <c r="A716" i="14"/>
  <c r="A712" i="14"/>
  <c r="A708" i="14"/>
  <c r="A704" i="14"/>
  <c r="A700" i="14"/>
  <c r="A696" i="14"/>
  <c r="A692" i="14"/>
  <c r="A688" i="14"/>
  <c r="A684" i="14"/>
  <c r="A680" i="14"/>
  <c r="A676" i="14"/>
  <c r="A672" i="14"/>
  <c r="A668" i="14"/>
  <c r="A664" i="14"/>
  <c r="A660" i="14"/>
  <c r="A656" i="14"/>
  <c r="A652" i="14"/>
  <c r="A648" i="14"/>
  <c r="A644" i="14"/>
  <c r="A640" i="14"/>
  <c r="A636" i="14"/>
  <c r="A632" i="14"/>
  <c r="A628" i="14"/>
  <c r="A624" i="14"/>
  <c r="A620" i="14"/>
  <c r="A616" i="14"/>
  <c r="A612" i="14"/>
  <c r="A608" i="14"/>
  <c r="A604" i="14"/>
  <c r="A600" i="14"/>
  <c r="A596" i="14"/>
  <c r="A592" i="14"/>
  <c r="A588" i="14"/>
  <c r="A584" i="14"/>
  <c r="A580" i="14"/>
  <c r="A576" i="14"/>
  <c r="A572" i="14"/>
  <c r="A568" i="14"/>
  <c r="A564" i="14"/>
  <c r="A560" i="14"/>
  <c r="A556" i="14"/>
  <c r="A552" i="14"/>
  <c r="A548" i="14"/>
  <c r="A544" i="14"/>
  <c r="A540" i="14"/>
  <c r="A536" i="14"/>
  <c r="A532" i="14"/>
  <c r="A528" i="14"/>
  <c r="A524" i="14"/>
  <c r="A520" i="14"/>
  <c r="A516" i="14"/>
  <c r="A512" i="14"/>
  <c r="A508" i="14"/>
  <c r="A504" i="14"/>
  <c r="A500" i="14"/>
  <c r="A496" i="14"/>
  <c r="A492" i="14"/>
  <c r="A488" i="14"/>
  <c r="A484" i="14"/>
  <c r="A480" i="14"/>
  <c r="A476" i="14"/>
  <c r="A472" i="14"/>
  <c r="A468" i="14"/>
  <c r="A464" i="14"/>
  <c r="A460" i="14"/>
  <c r="A456" i="14"/>
  <c r="A452" i="14"/>
  <c r="A448" i="14"/>
  <c r="A970" i="14"/>
  <c r="A924" i="14"/>
  <c r="A878" i="14"/>
  <c r="A874" i="14"/>
  <c r="A856" i="14"/>
  <c r="A809" i="14"/>
  <c r="A808" i="14"/>
  <c r="A806" i="14"/>
  <c r="A805" i="14"/>
  <c r="A777" i="14"/>
  <c r="A776" i="14"/>
  <c r="A774" i="14"/>
  <c r="A773" i="14"/>
  <c r="A743" i="14"/>
  <c r="A742" i="14"/>
  <c r="A735" i="14"/>
  <c r="A734" i="14"/>
  <c r="A727" i="14"/>
  <c r="A726" i="14"/>
  <c r="A719" i="14"/>
  <c r="A718" i="14"/>
  <c r="A711" i="14"/>
  <c r="A710" i="14"/>
  <c r="A703" i="14"/>
  <c r="A702" i="14"/>
  <c r="A695" i="14"/>
  <c r="A694" i="14"/>
  <c r="A687" i="14"/>
  <c r="A686" i="14"/>
  <c r="A679" i="14"/>
  <c r="A678" i="14"/>
  <c r="A671" i="14"/>
  <c r="A670" i="14"/>
  <c r="A663" i="14"/>
  <c r="A662" i="14"/>
  <c r="A655" i="14"/>
  <c r="A654" i="14"/>
  <c r="A649" i="14"/>
  <c r="A647" i="14"/>
  <c r="A646" i="14"/>
  <c r="A633" i="14"/>
  <c r="A631" i="14"/>
  <c r="A630" i="14"/>
  <c r="A617" i="14"/>
  <c r="A615" i="14"/>
  <c r="A614" i="14"/>
  <c r="A601" i="14"/>
  <c r="A599" i="14"/>
  <c r="A598" i="14"/>
  <c r="A585" i="14"/>
  <c r="A583" i="14"/>
  <c r="A582" i="14"/>
  <c r="A569" i="14"/>
  <c r="A567" i="14"/>
  <c r="A566" i="14"/>
  <c r="A553" i="14"/>
  <c r="A551" i="14"/>
  <c r="A550" i="14"/>
  <c r="A537" i="14"/>
  <c r="A535" i="14"/>
  <c r="A534" i="14"/>
  <c r="A521" i="14"/>
  <c r="A519" i="14"/>
  <c r="A518" i="14"/>
  <c r="A505" i="14"/>
  <c r="A503" i="14"/>
  <c r="A502" i="14"/>
  <c r="A489" i="14"/>
  <c r="A487" i="14"/>
  <c r="A486" i="14"/>
  <c r="A473" i="14"/>
  <c r="A471" i="14"/>
  <c r="A470" i="14"/>
  <c r="A457" i="14"/>
  <c r="A455" i="14"/>
  <c r="A454" i="14"/>
  <c r="A445" i="14"/>
  <c r="A441" i="14"/>
  <c r="A437" i="14"/>
  <c r="A433" i="14"/>
  <c r="A429" i="14"/>
  <c r="A425" i="14"/>
  <c r="A421" i="14"/>
  <c r="A417" i="14"/>
  <c r="A413" i="14"/>
  <c r="A409" i="14"/>
  <c r="A405" i="14"/>
  <c r="A401" i="14"/>
  <c r="A397" i="14"/>
  <c r="A393" i="14"/>
  <c r="A389" i="14"/>
  <c r="A385" i="14"/>
  <c r="A381" i="14"/>
  <c r="A377" i="14"/>
  <c r="A373" i="14"/>
  <c r="A369" i="14"/>
  <c r="A365" i="14"/>
  <c r="A361" i="14"/>
  <c r="A357" i="14"/>
  <c r="A353" i="14"/>
  <c r="A349" i="14"/>
  <c r="A345" i="14"/>
  <c r="A341" i="14"/>
  <c r="A337" i="14"/>
  <c r="A333" i="14"/>
  <c r="A329" i="14"/>
  <c r="A325" i="14"/>
  <c r="A321" i="14"/>
  <c r="A317" i="14"/>
  <c r="A313" i="14"/>
  <c r="A309" i="14"/>
  <c r="A305" i="14"/>
  <c r="A301" i="14"/>
  <c r="A297" i="14"/>
  <c r="A293" i="14"/>
  <c r="A289" i="14"/>
  <c r="A285" i="14"/>
  <c r="A281" i="14"/>
  <c r="A277" i="14"/>
  <c r="A273" i="14"/>
  <c r="A269" i="14"/>
  <c r="A1094" i="14"/>
  <c r="A1046" i="14"/>
  <c r="A1038" i="14"/>
  <c r="A1009" i="14"/>
  <c r="A985" i="14"/>
  <c r="A953" i="14"/>
  <c r="A952" i="14"/>
  <c r="A950" i="14"/>
  <c r="A949" i="14"/>
  <c r="A938" i="14"/>
  <c r="A893" i="14"/>
  <c r="A892" i="14"/>
  <c r="A890" i="14"/>
  <c r="A889" i="14"/>
  <c r="A853" i="14"/>
  <c r="A828" i="14"/>
  <c r="A810" i="14"/>
  <c r="A796" i="14"/>
  <c r="A778" i="14"/>
  <c r="A764" i="14"/>
  <c r="A645" i="14"/>
  <c r="A643" i="14"/>
  <c r="A642" i="14"/>
  <c r="A629" i="14"/>
  <c r="A627" i="14"/>
  <c r="A626" i="14"/>
  <c r="A613" i="14"/>
  <c r="A611" i="14"/>
  <c r="A610" i="14"/>
  <c r="A597" i="14"/>
  <c r="A595" i="14"/>
  <c r="A594" i="14"/>
  <c r="A581" i="14"/>
  <c r="A579" i="14"/>
  <c r="A578" i="14"/>
  <c r="A565" i="14"/>
  <c r="A563" i="14"/>
  <c r="A562" i="14"/>
  <c r="A549" i="14"/>
  <c r="A547" i="14"/>
  <c r="A546" i="14"/>
  <c r="A533" i="14"/>
  <c r="A531" i="14"/>
  <c r="A530" i="14"/>
  <c r="A517" i="14"/>
  <c r="A515" i="14"/>
  <c r="A514" i="14"/>
  <c r="A501" i="14"/>
  <c r="A499" i="14"/>
  <c r="A498" i="14"/>
  <c r="A485" i="14"/>
  <c r="A483" i="14"/>
  <c r="A482" i="14"/>
  <c r="A469" i="14"/>
  <c r="A467" i="14"/>
  <c r="A466" i="14"/>
  <c r="A453" i="14"/>
  <c r="A451" i="14"/>
  <c r="A450" i="14"/>
  <c r="A444" i="14"/>
  <c r="A440" i="14"/>
  <c r="A436" i="14"/>
  <c r="A432" i="14"/>
  <c r="A428" i="14"/>
  <c r="A424" i="14"/>
  <c r="A420" i="14"/>
  <c r="A416" i="14"/>
  <c r="A412" i="14"/>
  <c r="A408" i="14"/>
  <c r="A404" i="14"/>
  <c r="A400" i="14"/>
  <c r="A396" i="14"/>
  <c r="A392" i="14"/>
  <c r="A388" i="14"/>
  <c r="A384" i="14"/>
  <c r="A380" i="14"/>
  <c r="A376" i="14"/>
  <c r="A372" i="14"/>
  <c r="A368" i="14"/>
  <c r="A364" i="14"/>
  <c r="A360" i="14"/>
  <c r="A356" i="14"/>
  <c r="A352" i="14"/>
  <c r="A348" i="14"/>
  <c r="A344" i="14"/>
  <c r="A340" i="14"/>
  <c r="A336" i="14"/>
  <c r="A332" i="14"/>
  <c r="A328" i="14"/>
  <c r="A324" i="14"/>
  <c r="A320" i="14"/>
  <c r="A316" i="14"/>
  <c r="A312" i="14"/>
  <c r="A308" i="14"/>
  <c r="A304" i="14"/>
  <c r="A300" i="14"/>
  <c r="A296" i="14"/>
  <c r="A292" i="14"/>
  <c r="A288" i="14"/>
  <c r="A284" i="14"/>
  <c r="A280" i="14"/>
  <c r="A276" i="14"/>
  <c r="A272" i="14"/>
  <c r="A268" i="14"/>
  <c r="A264" i="14"/>
  <c r="A260" i="14"/>
  <c r="A256" i="14"/>
  <c r="A252" i="14"/>
  <c r="A248" i="14"/>
  <c r="A244" i="14"/>
  <c r="A240" i="14"/>
  <c r="A236" i="14"/>
  <c r="A232" i="14"/>
  <c r="A228" i="14"/>
  <c r="A224" i="14"/>
  <c r="A220" i="14"/>
  <c r="A216" i="14"/>
  <c r="A212" i="14"/>
  <c r="A208" i="14"/>
  <c r="A204" i="14"/>
  <c r="A200" i="14"/>
  <c r="A196" i="14"/>
  <c r="A192" i="14"/>
  <c r="A188" i="14"/>
  <c r="A184" i="14"/>
  <c r="A180" i="14"/>
  <c r="A176" i="14"/>
  <c r="A172" i="14"/>
  <c r="A168" i="14"/>
  <c r="A164" i="14"/>
  <c r="A160" i="14"/>
  <c r="A156" i="14"/>
  <c r="A152" i="14"/>
  <c r="A148" i="14"/>
  <c r="A144" i="14"/>
  <c r="A140" i="14"/>
  <c r="A136" i="14"/>
  <c r="A132" i="14"/>
  <c r="A128" i="14"/>
  <c r="A124" i="14"/>
  <c r="A120" i="14"/>
  <c r="A116" i="14"/>
  <c r="A112" i="14"/>
  <c r="A108" i="14"/>
  <c r="A104" i="14"/>
  <c r="A100" i="14"/>
  <c r="A96" i="14"/>
  <c r="A92" i="14"/>
  <c r="A88" i="14"/>
  <c r="A84" i="14"/>
  <c r="A80" i="14"/>
  <c r="A76" i="14"/>
  <c r="A72" i="14"/>
  <c r="A68" i="14"/>
  <c r="A64" i="14"/>
  <c r="A60" i="14"/>
  <c r="A56" i="14"/>
  <c r="A52" i="14"/>
  <c r="A48" i="14"/>
  <c r="A44" i="14"/>
  <c r="A40" i="14"/>
  <c r="A36" i="14"/>
  <c r="A32" i="14"/>
  <c r="A28" i="14"/>
  <c r="A24" i="14"/>
  <c r="A20" i="14"/>
  <c r="A16" i="14"/>
  <c r="A12" i="14"/>
  <c r="A8" i="14"/>
  <c r="A1042" i="14"/>
  <c r="A969" i="14"/>
  <c r="A876" i="14"/>
  <c r="A812" i="14"/>
  <c r="A793" i="14"/>
  <c r="A789" i="14"/>
  <c r="A748" i="14"/>
  <c r="A738" i="14"/>
  <c r="A722" i="14"/>
  <c r="A706" i="14"/>
  <c r="A690" i="14"/>
  <c r="A674" i="14"/>
  <c r="A658" i="14"/>
  <c r="A651" i="14"/>
  <c r="A650" i="14"/>
  <c r="A622" i="14"/>
  <c r="A621" i="14"/>
  <c r="A619" i="14"/>
  <c r="A618" i="14"/>
  <c r="A590" i="14"/>
  <c r="A589" i="14"/>
  <c r="A587" i="14"/>
  <c r="A586" i="14"/>
  <c r="A558" i="14"/>
  <c r="A557" i="14"/>
  <c r="A555" i="14"/>
  <c r="A554" i="14"/>
  <c r="A526" i="14"/>
  <c r="A525" i="14"/>
  <c r="A523" i="14"/>
  <c r="A522" i="14"/>
  <c r="A494" i="14"/>
  <c r="A493" i="14"/>
  <c r="A491" i="14"/>
  <c r="A490" i="14"/>
  <c r="A462" i="14"/>
  <c r="A461" i="14"/>
  <c r="A459" i="14"/>
  <c r="A458" i="14"/>
  <c r="A257" i="14"/>
  <c r="A255" i="14"/>
  <c r="A254" i="14"/>
  <c r="A241" i="14"/>
  <c r="A239" i="14"/>
  <c r="A238" i="14"/>
  <c r="A225" i="14"/>
  <c r="A223" i="14"/>
  <c r="A222" i="14"/>
  <c r="A209" i="14"/>
  <c r="A207" i="14"/>
  <c r="A206" i="14"/>
  <c r="A193" i="14"/>
  <c r="A191" i="14"/>
  <c r="A190" i="14"/>
  <c r="A177" i="14"/>
  <c r="A175" i="14"/>
  <c r="A174" i="14"/>
  <c r="A161" i="14"/>
  <c r="A159" i="14"/>
  <c r="A158" i="14"/>
  <c r="A145" i="14"/>
  <c r="A143" i="14"/>
  <c r="A142" i="14"/>
  <c r="A129" i="14"/>
  <c r="A127" i="14"/>
  <c r="A126" i="14"/>
  <c r="A113" i="14"/>
  <c r="A111" i="14"/>
  <c r="A110" i="14"/>
  <c r="A97" i="14"/>
  <c r="A95" i="14"/>
  <c r="A94" i="14"/>
  <c r="A81" i="14"/>
  <c r="A79" i="14"/>
  <c r="A78" i="14"/>
  <c r="A65" i="14"/>
  <c r="A63" i="14"/>
  <c r="A62" i="14"/>
  <c r="A49" i="14"/>
  <c r="A47" i="14"/>
  <c r="A46" i="14"/>
  <c r="A33" i="14"/>
  <c r="A31" i="14"/>
  <c r="A30" i="14"/>
  <c r="A17" i="14"/>
  <c r="A15" i="14"/>
  <c r="A14" i="14"/>
  <c r="A1049" i="14"/>
  <c r="A956" i="14"/>
  <c r="A906" i="14"/>
  <c r="A877" i="14"/>
  <c r="A862" i="14"/>
  <c r="A824" i="14"/>
  <c r="A794" i="14"/>
  <c r="A790" i="14"/>
  <c r="A760" i="14"/>
  <c r="A739" i="14"/>
  <c r="A723" i="14"/>
  <c r="A707" i="14"/>
  <c r="A691" i="14"/>
  <c r="A675" i="14"/>
  <c r="A659" i="14"/>
  <c r="A641" i="14"/>
  <c r="A623" i="14"/>
  <c r="A609" i="14"/>
  <c r="A591" i="14"/>
  <c r="A577" i="14"/>
  <c r="A559" i="14"/>
  <c r="A545" i="14"/>
  <c r="A527" i="14"/>
  <c r="A513" i="14"/>
  <c r="A495" i="14"/>
  <c r="A481" i="14"/>
  <c r="A463" i="14"/>
  <c r="A449" i="14"/>
  <c r="A443" i="14"/>
  <c r="A442" i="14"/>
  <c r="A435" i="14"/>
  <c r="A434" i="14"/>
  <c r="A427" i="14"/>
  <c r="A426" i="14"/>
  <c r="A419" i="14"/>
  <c r="A418" i="14"/>
  <c r="A411" i="14"/>
  <c r="A410" i="14"/>
  <c r="A403" i="14"/>
  <c r="A402" i="14"/>
  <c r="A395" i="14"/>
  <c r="A394" i="14"/>
  <c r="A387" i="14"/>
  <c r="A386" i="14"/>
  <c r="A379" i="14"/>
  <c r="A378" i="14"/>
  <c r="A371" i="14"/>
  <c r="A370" i="14"/>
  <c r="A363" i="14"/>
  <c r="A362" i="14"/>
  <c r="A355" i="14"/>
  <c r="A354" i="14"/>
  <c r="A347" i="14"/>
  <c r="A346" i="14"/>
  <c r="A339" i="14"/>
  <c r="A338" i="14"/>
  <c r="A331" i="14"/>
  <c r="A330" i="14"/>
  <c r="A323" i="14"/>
  <c r="A322" i="14"/>
  <c r="A315" i="14"/>
  <c r="A314" i="14"/>
  <c r="A307" i="14"/>
  <c r="A306" i="14"/>
  <c r="A299" i="14"/>
  <c r="A298" i="14"/>
  <c r="A291" i="14"/>
  <c r="A290" i="14"/>
  <c r="A283" i="14"/>
  <c r="A282" i="14"/>
  <c r="A275" i="14"/>
  <c r="A274" i="14"/>
  <c r="A267" i="14"/>
  <c r="A266" i="14"/>
  <c r="A253" i="14"/>
  <c r="A251" i="14"/>
  <c r="A250" i="14"/>
  <c r="A237" i="14"/>
  <c r="A235" i="14"/>
  <c r="A234" i="14"/>
  <c r="A221" i="14"/>
  <c r="A219" i="14"/>
  <c r="A218" i="14"/>
  <c r="A205" i="14"/>
  <c r="A203" i="14"/>
  <c r="A202" i="14"/>
  <c r="A189" i="14"/>
  <c r="A187" i="14"/>
  <c r="A186" i="14"/>
  <c r="A173" i="14"/>
  <c r="A171" i="14"/>
  <c r="A170" i="14"/>
  <c r="A157" i="14"/>
  <c r="A155" i="14"/>
  <c r="A154" i="14"/>
  <c r="A141" i="14"/>
  <c r="A139" i="14"/>
  <c r="A138" i="14"/>
  <c r="A125" i="14"/>
  <c r="A123" i="14"/>
  <c r="A122" i="14"/>
  <c r="A109" i="14"/>
  <c r="A107" i="14"/>
  <c r="A106" i="14"/>
  <c r="A93" i="14"/>
  <c r="A91" i="14"/>
  <c r="A90" i="14"/>
  <c r="A77" i="14"/>
  <c r="A75" i="14"/>
  <c r="A74" i="14"/>
  <c r="A61" i="14"/>
  <c r="A59" i="14"/>
  <c r="A58" i="14"/>
  <c r="A45" i="14"/>
  <c r="A43" i="14"/>
  <c r="A42" i="14"/>
  <c r="A29" i="14"/>
  <c r="A27" i="14"/>
  <c r="A26" i="14"/>
  <c r="A13" i="14"/>
  <c r="A11" i="14"/>
  <c r="A10" i="14"/>
  <c r="A986" i="14"/>
  <c r="A854" i="14"/>
  <c r="A825" i="14"/>
  <c r="A757" i="14"/>
  <c r="A731" i="14"/>
  <c r="A699" i="14"/>
  <c r="A667" i="14"/>
  <c r="A625" i="14"/>
  <c r="A606" i="14"/>
  <c r="A602" i="14"/>
  <c r="A561" i="14"/>
  <c r="A542" i="14"/>
  <c r="A538" i="14"/>
  <c r="A497" i="14"/>
  <c r="A478" i="14"/>
  <c r="A474" i="14"/>
  <c r="A246" i="14"/>
  <c r="A245" i="14"/>
  <c r="A243" i="14"/>
  <c r="A242" i="14"/>
  <c r="A214" i="14"/>
  <c r="A213" i="14"/>
  <c r="A211" i="14"/>
  <c r="A210" i="14"/>
  <c r="A182" i="14"/>
  <c r="A181" i="14"/>
  <c r="A179" i="14"/>
  <c r="A178" i="14"/>
  <c r="A150" i="14"/>
  <c r="A149" i="14"/>
  <c r="A147" i="14"/>
  <c r="A146" i="14"/>
  <c r="A118" i="14"/>
  <c r="A117" i="14"/>
  <c r="A115" i="14"/>
  <c r="A114" i="14"/>
  <c r="A86" i="14"/>
  <c r="A85" i="14"/>
  <c r="A83" i="14"/>
  <c r="A82" i="14"/>
  <c r="A54" i="14"/>
  <c r="A53" i="14"/>
  <c r="A51" i="14"/>
  <c r="A50" i="14"/>
  <c r="A22" i="14"/>
  <c r="A21" i="14"/>
  <c r="A19" i="14"/>
  <c r="A18" i="14"/>
  <c r="A1069" i="14"/>
  <c r="A896" i="14"/>
  <c r="A826" i="14"/>
  <c r="A758" i="14"/>
  <c r="A746" i="14"/>
  <c r="A714" i="14"/>
  <c r="A682" i="14"/>
  <c r="A637" i="14"/>
  <c r="A607" i="14"/>
  <c r="A603" i="14"/>
  <c r="A573" i="14"/>
  <c r="A543" i="14"/>
  <c r="A539" i="14"/>
  <c r="A509" i="14"/>
  <c r="A479" i="14"/>
  <c r="A475" i="14"/>
  <c r="A439" i="14"/>
  <c r="A438" i="14"/>
  <c r="A423" i="14"/>
  <c r="A422" i="14"/>
  <c r="A407" i="14"/>
  <c r="A406" i="14"/>
  <c r="A391" i="14"/>
  <c r="A390" i="14"/>
  <c r="A375" i="14"/>
  <c r="A374" i="14"/>
  <c r="A359" i="14"/>
  <c r="A358" i="14"/>
  <c r="A343" i="14"/>
  <c r="A342" i="14"/>
  <c r="A327" i="14"/>
  <c r="A326" i="14"/>
  <c r="A311" i="14"/>
  <c r="A310" i="14"/>
  <c r="A295" i="14"/>
  <c r="A294" i="14"/>
  <c r="A279" i="14"/>
  <c r="A278" i="14"/>
  <c r="A265" i="14"/>
  <c r="A247" i="14"/>
  <c r="A233" i="14"/>
  <c r="A215" i="14"/>
  <c r="A201" i="14"/>
  <c r="A183" i="14"/>
  <c r="A169" i="14"/>
  <c r="A151" i="14"/>
  <c r="A137" i="14"/>
  <c r="A119" i="14"/>
  <c r="A105" i="14"/>
  <c r="A87" i="14"/>
  <c r="A73" i="14"/>
  <c r="A55" i="14"/>
  <c r="A41" i="14"/>
  <c r="A23" i="14"/>
  <c r="A9" i="14"/>
  <c r="A822" i="14"/>
  <c r="A792" i="14"/>
  <c r="A761" i="14"/>
  <c r="A715" i="14"/>
  <c r="A634" i="14"/>
  <c r="A605" i="14"/>
  <c r="A593" i="14"/>
  <c r="A574" i="14"/>
  <c r="A506" i="14"/>
  <c r="A477" i="14"/>
  <c r="A465" i="14"/>
  <c r="A262" i="14"/>
  <c r="A258" i="14"/>
  <c r="A197" i="14"/>
  <c r="A185" i="14"/>
  <c r="A166" i="14"/>
  <c r="A162" i="14"/>
  <c r="A135" i="14"/>
  <c r="A131" i="14"/>
  <c r="A69" i="14"/>
  <c r="A57" i="14"/>
  <c r="A38" i="14"/>
  <c r="A34" i="14"/>
  <c r="A7" i="14"/>
  <c r="A1039" i="14"/>
  <c r="A921" i="14"/>
  <c r="A920" i="14"/>
  <c r="A918" i="14"/>
  <c r="A917" i="14"/>
  <c r="A872" i="14"/>
  <c r="A762" i="14"/>
  <c r="A698" i="14"/>
  <c r="A635" i="14"/>
  <c r="A575" i="14"/>
  <c r="A507" i="14"/>
  <c r="A447" i="14"/>
  <c r="A446" i="14"/>
  <c r="A415" i="14"/>
  <c r="A414" i="14"/>
  <c r="A383" i="14"/>
  <c r="A382" i="14"/>
  <c r="A351" i="14"/>
  <c r="A350" i="14"/>
  <c r="A319" i="14"/>
  <c r="A318" i="14"/>
  <c r="A287" i="14"/>
  <c r="A286" i="14"/>
  <c r="A263" i="14"/>
  <c r="A259" i="14"/>
  <c r="A229" i="14"/>
  <c r="A217" i="14"/>
  <c r="A198" i="14"/>
  <c r="A194" i="14"/>
  <c r="A167" i="14"/>
  <c r="A163" i="14"/>
  <c r="A101" i="14"/>
  <c r="A89" i="14"/>
  <c r="A70" i="14"/>
  <c r="A66" i="14"/>
  <c r="A39" i="14"/>
  <c r="A35" i="14"/>
  <c r="A873" i="14"/>
  <c r="A869" i="14"/>
  <c r="A780" i="14"/>
  <c r="A683" i="14"/>
  <c r="A638" i="14"/>
  <c r="A570" i="14"/>
  <c r="A541" i="14"/>
  <c r="A529" i="14"/>
  <c r="A510" i="14"/>
  <c r="A249" i="14"/>
  <c r="A230" i="14"/>
  <c r="A226" i="14"/>
  <c r="A199" i="14"/>
  <c r="A195" i="14"/>
  <c r="A133" i="14"/>
  <c r="A121" i="14"/>
  <c r="A102" i="14"/>
  <c r="A98" i="14"/>
  <c r="A71" i="14"/>
  <c r="A67" i="14"/>
  <c r="A5" i="14"/>
  <c r="A6" i="14"/>
  <c r="A130" i="14"/>
  <c r="A261" i="14"/>
  <c r="A302" i="14"/>
  <c r="A303" i="14"/>
  <c r="A366" i="14"/>
  <c r="A367" i="14"/>
  <c r="A430" i="14"/>
  <c r="A431" i="14"/>
  <c r="A730" i="14"/>
  <c r="A821" i="14"/>
  <c r="A37" i="14"/>
  <c r="A103" i="14"/>
  <c r="A153" i="14"/>
  <c r="A227" i="14"/>
  <c r="A511" i="14"/>
  <c r="A134" i="14"/>
  <c r="A270" i="14"/>
  <c r="A271" i="14"/>
  <c r="A334" i="14"/>
  <c r="A335" i="14"/>
  <c r="A398" i="14"/>
  <c r="A399" i="14"/>
  <c r="A571" i="14"/>
  <c r="A870" i="14"/>
  <c r="L7" i="9"/>
  <c r="L11" i="9"/>
  <c r="L15" i="9"/>
  <c r="L19" i="9"/>
  <c r="L23" i="9"/>
  <c r="Q5" i="11"/>
  <c r="P5" i="13"/>
  <c r="P6" i="13"/>
  <c r="Q9" i="13"/>
  <c r="P10" i="13"/>
  <c r="Q13" i="13"/>
  <c r="P14" i="13"/>
  <c r="Q17" i="13"/>
  <c r="P18" i="13"/>
  <c r="Q21" i="13"/>
  <c r="P22" i="13"/>
  <c r="Q25" i="13"/>
  <c r="P26" i="13"/>
  <c r="Q29" i="13"/>
  <c r="P30" i="13"/>
  <c r="Q33" i="13"/>
  <c r="P34" i="13"/>
  <c r="Q37" i="13"/>
  <c r="P38" i="13"/>
  <c r="Q41" i="13"/>
  <c r="P42" i="13"/>
  <c r="Q45" i="13"/>
  <c r="P46" i="13"/>
  <c r="Q49" i="13"/>
  <c r="P50" i="13"/>
  <c r="Q53" i="13"/>
  <c r="P54" i="13"/>
  <c r="Q57" i="13"/>
  <c r="P58" i="13"/>
  <c r="Q61" i="13"/>
  <c r="P62" i="13"/>
  <c r="Q65" i="13"/>
  <c r="P66" i="13"/>
  <c r="Q69" i="13"/>
  <c r="P70" i="13"/>
  <c r="Q73" i="13"/>
  <c r="P74" i="13"/>
  <c r="Q77" i="13"/>
  <c r="P78" i="13"/>
  <c r="Q81" i="13"/>
  <c r="P82" i="13"/>
  <c r="Q85" i="13"/>
  <c r="P86" i="13"/>
  <c r="Q89" i="13"/>
  <c r="P90" i="13"/>
  <c r="Q93" i="13"/>
  <c r="P94" i="13"/>
  <c r="Q97" i="13"/>
  <c r="P98" i="13"/>
  <c r="Q101" i="13"/>
  <c r="P102" i="13"/>
  <c r="Q105" i="13"/>
  <c r="P106" i="13"/>
  <c r="Q109" i="13"/>
  <c r="P110" i="13"/>
  <c r="Q113" i="13"/>
  <c r="P114" i="13"/>
  <c r="Q117" i="13"/>
  <c r="P118" i="13"/>
  <c r="Q121" i="13"/>
  <c r="P122" i="13"/>
  <c r="Q125" i="13"/>
  <c r="P126" i="13"/>
  <c r="Q129" i="13"/>
  <c r="P130" i="13"/>
  <c r="Q133" i="13"/>
  <c r="P134" i="13"/>
  <c r="Q137" i="13"/>
  <c r="P138" i="13"/>
  <c r="Q141" i="13"/>
  <c r="P142" i="13"/>
  <c r="Q145" i="13"/>
  <c r="P146" i="13"/>
  <c r="Q149" i="13"/>
  <c r="P150" i="13"/>
  <c r="Q153" i="13"/>
  <c r="P154" i="13"/>
  <c r="Q157" i="13"/>
  <c r="P158" i="13"/>
  <c r="Q161" i="13"/>
  <c r="P162" i="13"/>
  <c r="Q165" i="13"/>
  <c r="P166" i="13"/>
  <c r="Q169" i="13"/>
  <c r="P170" i="13"/>
  <c r="Q173" i="13"/>
  <c r="P174" i="13"/>
  <c r="Q177" i="13"/>
  <c r="P178" i="13"/>
  <c r="Q181" i="13"/>
  <c r="P182" i="13"/>
  <c r="Q185" i="13"/>
  <c r="P186" i="13"/>
  <c r="Q189" i="13"/>
  <c r="P190" i="13"/>
  <c r="Q193" i="13"/>
  <c r="P194" i="13"/>
  <c r="Q197" i="13"/>
  <c r="P198" i="13"/>
  <c r="Q201" i="13"/>
  <c r="P202" i="13"/>
  <c r="Q205" i="13"/>
  <c r="P206" i="13"/>
  <c r="Q209" i="13"/>
  <c r="P210" i="13"/>
  <c r="Q213" i="13"/>
  <c r="P214" i="13"/>
  <c r="Q217" i="13"/>
  <c r="P218" i="13"/>
  <c r="Q221" i="13"/>
  <c r="P222" i="13"/>
  <c r="Q225" i="13"/>
  <c r="P226" i="13"/>
  <c r="Q229" i="13"/>
  <c r="P230" i="13"/>
  <c r="Q233" i="13"/>
  <c r="P234" i="13"/>
  <c r="Q237" i="13"/>
  <c r="P238" i="13"/>
  <c r="Q241" i="13"/>
  <c r="P242" i="13"/>
  <c r="Q245" i="13"/>
  <c r="P246" i="13"/>
  <c r="Q249" i="13"/>
  <c r="P250" i="13"/>
  <c r="Q253" i="13"/>
  <c r="P254" i="13"/>
  <c r="Q257" i="13"/>
  <c r="P258" i="13"/>
  <c r="Q261" i="13"/>
  <c r="P262" i="13"/>
  <c r="Q265" i="13"/>
  <c r="P266" i="13"/>
  <c r="Q269" i="13"/>
  <c r="P270" i="13"/>
  <c r="Q273" i="13"/>
  <c r="P274" i="13"/>
  <c r="Q277" i="13"/>
  <c r="P278" i="13"/>
  <c r="Q281" i="13"/>
  <c r="P282" i="13"/>
  <c r="Q285" i="13"/>
  <c r="P286" i="13"/>
  <c r="Q289" i="13"/>
  <c r="P290" i="13"/>
  <c r="Q293" i="13"/>
  <c r="P294" i="13"/>
  <c r="Q297" i="13"/>
  <c r="P298" i="13"/>
  <c r="Q301" i="13"/>
  <c r="P302" i="13"/>
  <c r="Q305" i="13"/>
  <c r="P306" i="13"/>
  <c r="Q309" i="13"/>
  <c r="P310" i="13"/>
  <c r="Q313" i="13"/>
  <c r="P314" i="13"/>
  <c r="Q317" i="13"/>
  <c r="P318" i="13"/>
  <c r="Q321" i="13"/>
  <c r="P322" i="13"/>
  <c r="Q325" i="13"/>
  <c r="P326" i="13"/>
  <c r="Q329" i="13"/>
  <c r="P330" i="13"/>
  <c r="Q333" i="13"/>
  <c r="P334" i="13"/>
  <c r="Q337" i="13"/>
  <c r="P338" i="13"/>
  <c r="Q341" i="13"/>
  <c r="P342" i="13"/>
  <c r="Q345" i="13"/>
  <c r="P346" i="13"/>
  <c r="Q349" i="13"/>
  <c r="P350" i="13"/>
  <c r="Q353" i="13"/>
  <c r="P354" i="13"/>
  <c r="Q357" i="13"/>
  <c r="P358" i="13"/>
  <c r="Q361" i="13"/>
  <c r="P362" i="13"/>
  <c r="Q365" i="13"/>
  <c r="P366" i="13"/>
  <c r="Q369" i="13"/>
  <c r="P370" i="13"/>
  <c r="Q373" i="13"/>
  <c r="P374" i="13"/>
  <c r="Q377" i="13"/>
  <c r="P378" i="13"/>
  <c r="Q381" i="13"/>
  <c r="P382" i="13"/>
  <c r="Q385" i="13"/>
  <c r="P386" i="13"/>
  <c r="Q389" i="13"/>
  <c r="P390" i="13"/>
  <c r="Q393" i="13"/>
  <c r="P394" i="13"/>
  <c r="Q397" i="13"/>
  <c r="P398" i="13"/>
  <c r="Q401" i="13"/>
  <c r="P402" i="13"/>
  <c r="Q405" i="13"/>
  <c r="P406" i="13"/>
  <c r="Q409" i="13"/>
  <c r="P410" i="13"/>
  <c r="Q413" i="13"/>
  <c r="P414" i="13"/>
  <c r="Q417" i="13"/>
  <c r="P418" i="13"/>
  <c r="Q421" i="13"/>
  <c r="P422" i="13"/>
  <c r="Q425" i="13"/>
  <c r="P426" i="13"/>
  <c r="Q429" i="13"/>
  <c r="P430" i="13"/>
  <c r="Q433" i="13"/>
  <c r="P434" i="13"/>
  <c r="Q437" i="13"/>
  <c r="P438" i="13"/>
  <c r="Q441" i="13"/>
  <c r="P442" i="13"/>
  <c r="Q445" i="13"/>
  <c r="P446" i="13"/>
  <c r="Q449" i="13"/>
  <c r="P450" i="13"/>
  <c r="Q453" i="13"/>
  <c r="P454" i="13"/>
  <c r="Q457" i="13"/>
  <c r="P458" i="13"/>
  <c r="Q461" i="13"/>
  <c r="P462" i="13"/>
  <c r="Q465" i="13"/>
  <c r="P466" i="13"/>
  <c r="Q469" i="13"/>
  <c r="P470" i="13"/>
  <c r="Q473" i="13"/>
  <c r="P474" i="13"/>
  <c r="Q477" i="13"/>
  <c r="P478" i="13"/>
  <c r="Q481" i="13"/>
  <c r="P482" i="13"/>
  <c r="Q485" i="13"/>
  <c r="P486" i="13"/>
  <c r="Q489" i="13"/>
  <c r="P490" i="13"/>
  <c r="Q493" i="13"/>
  <c r="P494" i="13"/>
  <c r="Q497" i="13"/>
  <c r="P498" i="13"/>
  <c r="Q501" i="13"/>
  <c r="P502" i="13"/>
  <c r="Q505" i="13"/>
  <c r="P506" i="13"/>
  <c r="Q509" i="13"/>
  <c r="P510" i="13"/>
  <c r="Q513" i="13"/>
  <c r="P514" i="13"/>
  <c r="Q517" i="13"/>
  <c r="P518" i="13"/>
  <c r="Q521" i="13"/>
  <c r="P522" i="13"/>
  <c r="Q525" i="13"/>
  <c r="P526" i="13"/>
  <c r="Q529" i="13"/>
  <c r="P530" i="13"/>
  <c r="Q533" i="13"/>
  <c r="P534" i="13"/>
  <c r="Q537" i="13"/>
  <c r="P538" i="13"/>
  <c r="Q541" i="13"/>
  <c r="P542" i="13"/>
  <c r="Q545" i="13"/>
  <c r="P546" i="13"/>
  <c r="Q549" i="13"/>
  <c r="P550" i="13"/>
  <c r="Q553" i="13"/>
  <c r="P554" i="13"/>
  <c r="Q557" i="13"/>
  <c r="P558" i="13"/>
  <c r="Q561" i="13"/>
  <c r="P562" i="13"/>
  <c r="Q565" i="13"/>
  <c r="P566" i="13"/>
  <c r="Q569" i="13"/>
  <c r="P570" i="13"/>
  <c r="Q573" i="13"/>
  <c r="P574" i="13"/>
  <c r="Q577" i="13"/>
  <c r="P578" i="13"/>
  <c r="Q583" i="13"/>
  <c r="P584" i="13"/>
  <c r="Q585" i="13"/>
  <c r="P586" i="13"/>
  <c r="Q591" i="13"/>
  <c r="P592" i="13"/>
  <c r="Q593" i="13"/>
  <c r="P594" i="13"/>
  <c r="Q599" i="13"/>
  <c r="P600" i="13"/>
  <c r="Q601" i="13"/>
  <c r="P602" i="13"/>
  <c r="Q607" i="13"/>
  <c r="P608" i="13"/>
  <c r="Q609" i="13"/>
  <c r="P610" i="13"/>
  <c r="Q615" i="13"/>
  <c r="P616" i="13"/>
  <c r="Q617" i="13"/>
  <c r="P618" i="13"/>
  <c r="Q623" i="13"/>
  <c r="P624" i="13"/>
  <c r="Q625" i="13"/>
  <c r="P626" i="13"/>
  <c r="Q631" i="13"/>
  <c r="P632" i="13"/>
  <c r="Q633" i="13"/>
  <c r="P634" i="13"/>
  <c r="Q639" i="13"/>
  <c r="P640" i="13"/>
  <c r="Q641" i="13"/>
  <c r="P642" i="13"/>
  <c r="Q647" i="13"/>
  <c r="P648" i="13"/>
  <c r="Q649" i="13"/>
  <c r="P650" i="13"/>
  <c r="Q655" i="13"/>
  <c r="P656" i="13"/>
  <c r="Q657" i="13"/>
  <c r="P658" i="13"/>
  <c r="Q663" i="13"/>
  <c r="P664" i="13"/>
  <c r="Q665" i="13"/>
  <c r="P666" i="13"/>
  <c r="Q671" i="13"/>
  <c r="P672" i="13"/>
  <c r="Q673" i="13"/>
  <c r="P674" i="13"/>
  <c r="Q679" i="13"/>
  <c r="P680" i="13"/>
  <c r="Q681" i="13"/>
  <c r="P682" i="13"/>
  <c r="Q687" i="13"/>
  <c r="P688" i="13"/>
  <c r="Q689" i="13"/>
  <c r="P690" i="13"/>
  <c r="Q695" i="13"/>
  <c r="P696" i="13"/>
  <c r="Q697" i="13"/>
  <c r="P698" i="13"/>
  <c r="Q703" i="13"/>
  <c r="P704" i="13"/>
  <c r="Q705" i="13"/>
  <c r="P706" i="13"/>
  <c r="Q711" i="13"/>
  <c r="P712" i="13"/>
  <c r="Q713" i="13"/>
  <c r="P714" i="13"/>
  <c r="Q719" i="13"/>
  <c r="P720" i="13"/>
  <c r="Q721" i="13"/>
  <c r="P722" i="13"/>
  <c r="Q727" i="13"/>
  <c r="P728" i="13"/>
  <c r="Q729" i="13"/>
  <c r="P730" i="13"/>
  <c r="Q735" i="13"/>
  <c r="P736" i="13"/>
  <c r="Q737" i="13"/>
  <c r="P738" i="13"/>
  <c r="Q743" i="13"/>
  <c r="P744" i="13"/>
  <c r="Q745" i="13"/>
  <c r="P746" i="13"/>
  <c r="Q751" i="13"/>
  <c r="P752" i="13"/>
  <c r="Q753" i="13"/>
  <c r="P754" i="13"/>
  <c r="Q759" i="13"/>
  <c r="P760" i="13"/>
  <c r="Q761" i="13"/>
  <c r="P762" i="13"/>
  <c r="Q767" i="13"/>
  <c r="P768" i="13"/>
  <c r="Q769" i="13"/>
  <c r="P770" i="13"/>
  <c r="Q775" i="13"/>
  <c r="P776" i="13"/>
  <c r="Q777" i="13"/>
  <c r="P778" i="13"/>
  <c r="Q783" i="13"/>
  <c r="P784" i="13"/>
  <c r="Q785" i="13"/>
  <c r="P786" i="13"/>
  <c r="Q791" i="13"/>
  <c r="P792" i="13"/>
  <c r="Q793" i="13"/>
  <c r="P794" i="13"/>
  <c r="Q799" i="13"/>
  <c r="P800" i="13"/>
  <c r="Q801" i="13"/>
  <c r="P802" i="13"/>
  <c r="Q807" i="13"/>
  <c r="P808" i="13"/>
  <c r="Q809" i="13"/>
  <c r="P810" i="13"/>
  <c r="Q815" i="13"/>
  <c r="P816" i="13"/>
  <c r="Q817" i="13"/>
  <c r="P818" i="13"/>
  <c r="Q823" i="13"/>
  <c r="P824" i="13"/>
  <c r="Q825" i="13"/>
  <c r="P826" i="13"/>
  <c r="Q831" i="13"/>
  <c r="P832" i="13"/>
  <c r="Q833" i="13"/>
  <c r="P834" i="13"/>
  <c r="Q839" i="13"/>
  <c r="P840" i="13"/>
  <c r="Q841" i="13"/>
  <c r="P842" i="13"/>
  <c r="Q847" i="13"/>
  <c r="P848" i="13"/>
  <c r="Q849" i="13"/>
  <c r="P850" i="13"/>
  <c r="Q855" i="13"/>
  <c r="P856" i="13"/>
  <c r="Q857" i="13"/>
  <c r="P858" i="13"/>
  <c r="Q863" i="13"/>
  <c r="P864" i="13"/>
  <c r="Q865" i="13"/>
  <c r="P866" i="13"/>
  <c r="Q871" i="13"/>
  <c r="P872" i="13"/>
  <c r="Q873" i="13"/>
  <c r="P874" i="13"/>
  <c r="Q879" i="13"/>
  <c r="P880" i="13"/>
  <c r="Q881" i="13"/>
  <c r="P882" i="13"/>
  <c r="Q887" i="13"/>
  <c r="P888" i="13"/>
  <c r="Q889" i="13"/>
  <c r="P890" i="13"/>
  <c r="Q895" i="13"/>
  <c r="P896" i="13"/>
  <c r="Q897" i="13"/>
  <c r="P898" i="13"/>
  <c r="Q903" i="13"/>
  <c r="P904" i="13"/>
  <c r="Q905" i="13"/>
  <c r="P906" i="13"/>
  <c r="Q911" i="13"/>
  <c r="P912" i="13"/>
  <c r="Q913" i="13"/>
  <c r="P914" i="13"/>
  <c r="Q919" i="13"/>
  <c r="P920" i="13"/>
  <c r="Q921" i="13"/>
  <c r="P922" i="13"/>
  <c r="Q927" i="13"/>
  <c r="P928" i="13"/>
  <c r="Q929" i="13"/>
  <c r="P930" i="13"/>
  <c r="Q935" i="13"/>
  <c r="P936" i="13"/>
  <c r="Q937" i="13"/>
  <c r="P938" i="13"/>
  <c r="Q943" i="13"/>
  <c r="P944" i="13"/>
  <c r="Q945" i="13"/>
  <c r="P946" i="13"/>
  <c r="Q951" i="13"/>
  <c r="P952" i="13"/>
  <c r="Q953" i="13"/>
  <c r="P954" i="13"/>
  <c r="Q959" i="13"/>
  <c r="P960" i="13"/>
  <c r="Q961" i="13"/>
  <c r="P962" i="13"/>
  <c r="Q967" i="13"/>
  <c r="P968" i="13"/>
  <c r="Q969" i="13"/>
  <c r="P970" i="13"/>
  <c r="Q975" i="13"/>
  <c r="P976" i="13"/>
  <c r="Q981" i="13"/>
  <c r="P982" i="13"/>
  <c r="Q989" i="13"/>
  <c r="P990" i="13"/>
  <c r="Q997" i="13"/>
  <c r="P998" i="13"/>
  <c r="Q1005" i="13"/>
  <c r="P1006" i="13"/>
  <c r="Q1013" i="13"/>
  <c r="P1014" i="13"/>
  <c r="Q1021" i="13"/>
  <c r="P1022" i="13"/>
  <c r="Q1029" i="13"/>
  <c r="P1030" i="13"/>
  <c r="Q1037" i="13"/>
  <c r="P1038" i="13"/>
  <c r="Q1045" i="13"/>
  <c r="P1046" i="13"/>
  <c r="Q1053" i="13"/>
  <c r="P1054" i="13"/>
  <c r="Q1061" i="13"/>
  <c r="P1062" i="13"/>
  <c r="Q1069" i="13"/>
  <c r="P1070" i="13"/>
  <c r="Q1077" i="13"/>
  <c r="P1078" i="13"/>
  <c r="Q1085" i="13"/>
  <c r="P1086" i="13"/>
  <c r="Q1093" i="13"/>
  <c r="P1094" i="13"/>
  <c r="Q1101" i="13"/>
  <c r="P1102" i="13"/>
  <c r="Q1109" i="13"/>
  <c r="P1110" i="13"/>
  <c r="Q1117" i="13"/>
  <c r="P1118" i="13"/>
  <c r="Q1125" i="13"/>
  <c r="P1126" i="13"/>
  <c r="Q1133" i="13"/>
  <c r="P1134" i="13"/>
  <c r="Q1141" i="13"/>
  <c r="P1142" i="13"/>
  <c r="Q1149" i="13"/>
  <c r="P1150" i="13"/>
  <c r="Q1157" i="13"/>
  <c r="P1158" i="13"/>
  <c r="Q1165" i="13"/>
  <c r="P1166" i="13"/>
  <c r="Q1173" i="13"/>
  <c r="P1174" i="13"/>
  <c r="Q1181" i="13"/>
  <c r="P1182" i="13"/>
  <c r="Q1189" i="13"/>
  <c r="P1190" i="13"/>
  <c r="Q1197" i="13"/>
  <c r="P1198" i="13"/>
  <c r="Q1205" i="13"/>
  <c r="P1206" i="13"/>
  <c r="Q1213" i="13"/>
  <c r="P1214" i="13"/>
  <c r="Q1221" i="13"/>
  <c r="P1222" i="13"/>
  <c r="Q1229" i="13"/>
  <c r="P1230" i="13"/>
  <c r="Q1237" i="13"/>
  <c r="P1238" i="13"/>
  <c r="Q1245" i="13"/>
  <c r="P1246" i="13"/>
  <c r="Q1253" i="13"/>
  <c r="P1254" i="13"/>
  <c r="Q1261" i="13"/>
  <c r="P1262" i="13"/>
  <c r="Q1269" i="13"/>
  <c r="P1270" i="13"/>
  <c r="Q1277" i="13"/>
  <c r="P1278" i="13"/>
  <c r="Q1285" i="13"/>
  <c r="P1286" i="13"/>
  <c r="Q1293" i="13"/>
  <c r="P1294" i="13"/>
  <c r="Q1301" i="13"/>
  <c r="P1302" i="13"/>
  <c r="Q1305" i="13"/>
  <c r="P1306" i="13"/>
  <c r="Q1309" i="13"/>
  <c r="P1310" i="13"/>
  <c r="Q1313" i="13"/>
  <c r="P274" i="14"/>
  <c r="Q273" i="14"/>
  <c r="Q272" i="14"/>
  <c r="P266" i="14"/>
  <c r="Q265" i="14"/>
  <c r="P256" i="14"/>
  <c r="P253" i="14"/>
  <c r="Q252" i="14"/>
  <c r="Q251" i="14"/>
  <c r="P250" i="14"/>
  <c r="Q249" i="14"/>
  <c r="P240" i="14"/>
  <c r="P237" i="14"/>
  <c r="Q236" i="14"/>
  <c r="Q235" i="14"/>
  <c r="P234" i="14"/>
  <c r="Q233" i="14"/>
  <c r="P224" i="14"/>
  <c r="P221" i="14"/>
  <c r="Q220" i="14"/>
  <c r="Q219" i="14"/>
  <c r="P218" i="14"/>
  <c r="Q217" i="14"/>
  <c r="P208" i="14"/>
  <c r="P205" i="14"/>
  <c r="Q204" i="14"/>
  <c r="Q203" i="14"/>
  <c r="P202" i="14"/>
  <c r="Q201" i="14"/>
  <c r="P192" i="14"/>
  <c r="P189" i="14"/>
  <c r="Q188" i="14"/>
  <c r="Q187" i="14"/>
  <c r="P186" i="14"/>
  <c r="Q185" i="14"/>
  <c r="P176" i="14"/>
  <c r="P173" i="14"/>
  <c r="Q172" i="14"/>
  <c r="Q171" i="14"/>
  <c r="P170" i="14"/>
  <c r="Q169" i="14"/>
  <c r="P160" i="14"/>
  <c r="P157" i="14"/>
  <c r="Q156" i="14"/>
  <c r="Q155" i="14"/>
  <c r="P154" i="14"/>
  <c r="Q153" i="14"/>
  <c r="P144" i="14"/>
  <c r="P141" i="14"/>
  <c r="Q140" i="14"/>
  <c r="Q139" i="14"/>
  <c r="P138" i="14"/>
  <c r="Q137" i="14"/>
  <c r="P128" i="14"/>
  <c r="P125" i="14"/>
  <c r="Q124" i="14"/>
  <c r="Q123" i="14"/>
  <c r="P122" i="14"/>
  <c r="Q121" i="14"/>
  <c r="P112" i="14"/>
  <c r="P109" i="14"/>
  <c r="Q108" i="14"/>
  <c r="Q107" i="14"/>
  <c r="P106" i="14"/>
  <c r="Q105" i="14"/>
  <c r="P96" i="14"/>
  <c r="P93" i="14"/>
  <c r="Q92" i="14"/>
  <c r="Q91" i="14"/>
  <c r="P90" i="14"/>
  <c r="Q89" i="14"/>
  <c r="P80" i="14"/>
  <c r="P77" i="14"/>
  <c r="Q76" i="14"/>
  <c r="Q75" i="14"/>
  <c r="P74" i="14"/>
  <c r="Q73" i="14"/>
  <c r="P64" i="14"/>
  <c r="P61" i="14"/>
  <c r="Q60" i="14"/>
  <c r="Q59" i="14"/>
  <c r="P58" i="14"/>
  <c r="Q57" i="14"/>
  <c r="P48" i="14"/>
  <c r="P45" i="14"/>
  <c r="Q44" i="14"/>
  <c r="Q43" i="14"/>
  <c r="P42" i="14"/>
  <c r="Q41" i="14"/>
  <c r="P32" i="14"/>
  <c r="P29" i="14"/>
  <c r="Q28" i="14"/>
  <c r="Q27" i="14"/>
  <c r="P26" i="14"/>
  <c r="Q25" i="14"/>
  <c r="P16" i="14"/>
  <c r="P13" i="14"/>
  <c r="Q12" i="14"/>
  <c r="Q11" i="14"/>
  <c r="P10" i="14"/>
  <c r="Q9" i="14"/>
  <c r="P5" i="14"/>
  <c r="P14" i="14"/>
  <c r="Q32" i="14"/>
  <c r="Q33" i="14"/>
  <c r="P34" i="14"/>
  <c r="Q35" i="14"/>
  <c r="Q36" i="14"/>
  <c r="P37" i="14"/>
  <c r="P46" i="14"/>
  <c r="Q64" i="14"/>
  <c r="Q65" i="14"/>
  <c r="P66" i="14"/>
  <c r="Q67" i="14"/>
  <c r="Q68" i="14"/>
  <c r="P69" i="14"/>
  <c r="P78" i="14"/>
  <c r="Q96" i="14"/>
  <c r="Q97" i="14"/>
  <c r="P98" i="14"/>
  <c r="Q99" i="14"/>
  <c r="Q100" i="14"/>
  <c r="P101" i="14"/>
  <c r="P110" i="14"/>
  <c r="Q128" i="14"/>
  <c r="Q129" i="14"/>
  <c r="P130" i="14"/>
  <c r="Q131" i="14"/>
  <c r="Q132" i="14"/>
  <c r="P133" i="14"/>
  <c r="P142" i="14"/>
  <c r="Q160" i="14"/>
  <c r="Q161" i="14"/>
  <c r="P162" i="14"/>
  <c r="Q163" i="14"/>
  <c r="Q164" i="14"/>
  <c r="P165" i="14"/>
  <c r="P174" i="14"/>
  <c r="Q192" i="14"/>
  <c r="Q193" i="14"/>
  <c r="P194" i="14"/>
  <c r="Q195" i="14"/>
  <c r="Q196" i="14"/>
  <c r="P197" i="14"/>
  <c r="P206" i="14"/>
  <c r="Q224" i="14"/>
  <c r="Q225" i="14"/>
  <c r="P226" i="14"/>
  <c r="Q227" i="14"/>
  <c r="Q228" i="14"/>
  <c r="P229" i="14"/>
  <c r="P238" i="14"/>
  <c r="Q256" i="14"/>
  <c r="Q257" i="14"/>
  <c r="P258" i="14"/>
  <c r="Q259" i="14"/>
  <c r="Q260" i="14"/>
  <c r="P261" i="14"/>
  <c r="P277" i="14"/>
  <c r="P293" i="14"/>
  <c r="P309" i="14"/>
  <c r="P325" i="14"/>
  <c r="P341" i="14"/>
  <c r="P357" i="14"/>
  <c r="P373" i="14"/>
  <c r="P389" i="14"/>
  <c r="P405" i="14"/>
  <c r="P421" i="14"/>
  <c r="P437" i="14"/>
  <c r="P458" i="14"/>
  <c r="P464" i="14"/>
  <c r="Q469" i="14"/>
  <c r="Q488" i="14"/>
  <c r="Q492" i="14"/>
  <c r="P505" i="14"/>
  <c r="P522" i="14"/>
  <c r="P528" i="14"/>
  <c r="Q533" i="14"/>
  <c r="Q552" i="14"/>
  <c r="Q556" i="14"/>
  <c r="P569" i="14"/>
  <c r="P586" i="14"/>
  <c r="P592" i="14"/>
  <c r="Q597" i="14"/>
  <c r="Q616" i="14"/>
  <c r="Q620" i="14"/>
  <c r="P633" i="14"/>
  <c r="P650" i="14"/>
  <c r="Q660" i="14"/>
  <c r="P670" i="14"/>
  <c r="Q692" i="14"/>
  <c r="P702" i="14"/>
  <c r="Q724" i="14"/>
  <c r="P734" i="14"/>
  <c r="Q775" i="14"/>
  <c r="P791" i="14"/>
  <c r="Q804" i="14"/>
  <c r="Q816" i="14"/>
  <c r="P841" i="14"/>
  <c r="Q867" i="14"/>
  <c r="Q868" i="14"/>
  <c r="P869" i="14"/>
  <c r="Q870" i="14"/>
  <c r="Q871" i="14"/>
  <c r="P872" i="14"/>
  <c r="Q959" i="14"/>
  <c r="P1005" i="14"/>
  <c r="P1313" i="13"/>
  <c r="Q1312" i="13"/>
  <c r="P1309" i="13"/>
  <c r="Q1308" i="13"/>
  <c r="P1305" i="13"/>
  <c r="Q1304" i="13"/>
  <c r="Q1315" i="13"/>
  <c r="P1312" i="13"/>
  <c r="Q1311" i="13"/>
  <c r="P1308" i="13"/>
  <c r="Q1307" i="13"/>
  <c r="P1304" i="13"/>
  <c r="Q1303" i="13"/>
  <c r="P1300" i="13"/>
  <c r="Q1299" i="13"/>
  <c r="P1296" i="13"/>
  <c r="Q1295" i="13"/>
  <c r="P1292" i="13"/>
  <c r="Q1291" i="13"/>
  <c r="P1288" i="13"/>
  <c r="Q1287" i="13"/>
  <c r="P1284" i="13"/>
  <c r="Q1283" i="13"/>
  <c r="P1280" i="13"/>
  <c r="Q1279" i="13"/>
  <c r="P1276" i="13"/>
  <c r="Q1275" i="13"/>
  <c r="P1272" i="13"/>
  <c r="Q1271" i="13"/>
  <c r="P1268" i="13"/>
  <c r="Q1267" i="13"/>
  <c r="P1264" i="13"/>
  <c r="Q1263" i="13"/>
  <c r="P1260" i="13"/>
  <c r="Q1259" i="13"/>
  <c r="P1256" i="13"/>
  <c r="Q1255" i="13"/>
  <c r="P1252" i="13"/>
  <c r="Q1251" i="13"/>
  <c r="P1248" i="13"/>
  <c r="Q1247" i="13"/>
  <c r="P1244" i="13"/>
  <c r="Q1243" i="13"/>
  <c r="P1240" i="13"/>
  <c r="Q1239" i="13"/>
  <c r="P1236" i="13"/>
  <c r="Q1235" i="13"/>
  <c r="P1232" i="13"/>
  <c r="Q1231" i="13"/>
  <c r="P1228" i="13"/>
  <c r="Q1227" i="13"/>
  <c r="P1224" i="13"/>
  <c r="Q1223" i="13"/>
  <c r="P1220" i="13"/>
  <c r="Q1219" i="13"/>
  <c r="P1216" i="13"/>
  <c r="Q1215" i="13"/>
  <c r="P1212" i="13"/>
  <c r="Q1211" i="13"/>
  <c r="P1208" i="13"/>
  <c r="Q1207" i="13"/>
  <c r="P1204" i="13"/>
  <c r="Q1203" i="13"/>
  <c r="P1200" i="13"/>
  <c r="Q1199" i="13"/>
  <c r="P1196" i="13"/>
  <c r="Q1195" i="13"/>
  <c r="P1192" i="13"/>
  <c r="Q1191" i="13"/>
  <c r="P1188" i="13"/>
  <c r="Q1187" i="13"/>
  <c r="P1184" i="13"/>
  <c r="Q1183" i="13"/>
  <c r="P1180" i="13"/>
  <c r="Q1179" i="13"/>
  <c r="P1176" i="13"/>
  <c r="Q1175" i="13"/>
  <c r="P1172" i="13"/>
  <c r="Q1171" i="13"/>
  <c r="P1168" i="13"/>
  <c r="Q1167" i="13"/>
  <c r="P1164" i="13"/>
  <c r="Q1163" i="13"/>
  <c r="P1160" i="13"/>
  <c r="Q1159" i="13"/>
  <c r="P1156" i="13"/>
  <c r="Q1155" i="13"/>
  <c r="P1152" i="13"/>
  <c r="Q1151" i="13"/>
  <c r="P1148" i="13"/>
  <c r="Q1147" i="13"/>
  <c r="P1144" i="13"/>
  <c r="Q1143" i="13"/>
  <c r="P1140" i="13"/>
  <c r="Q1139" i="13"/>
  <c r="P1136" i="13"/>
  <c r="Q1135" i="13"/>
  <c r="P1132" i="13"/>
  <c r="Q1131" i="13"/>
  <c r="P1128" i="13"/>
  <c r="Q1127" i="13"/>
  <c r="P1124" i="13"/>
  <c r="Q1123" i="13"/>
  <c r="P1120" i="13"/>
  <c r="Q1119" i="13"/>
  <c r="P1116" i="13"/>
  <c r="Q1115" i="13"/>
  <c r="P1112" i="13"/>
  <c r="Q1111" i="13"/>
  <c r="P1108" i="13"/>
  <c r="Q1107" i="13"/>
  <c r="P1104" i="13"/>
  <c r="Q1103" i="13"/>
  <c r="P1100" i="13"/>
  <c r="Q1099" i="13"/>
  <c r="P1096" i="13"/>
  <c r="Q1095" i="13"/>
  <c r="P1092" i="13"/>
  <c r="Q1091" i="13"/>
  <c r="P1088" i="13"/>
  <c r="Q1087" i="13"/>
  <c r="P1084" i="13"/>
  <c r="Q1083" i="13"/>
  <c r="P1080" i="13"/>
  <c r="Q1079" i="13"/>
  <c r="P1076" i="13"/>
  <c r="Q1075" i="13"/>
  <c r="P1072" i="13"/>
  <c r="Q1071" i="13"/>
  <c r="P1068" i="13"/>
  <c r="Q1067" i="13"/>
  <c r="P1064" i="13"/>
  <c r="Q1063" i="13"/>
  <c r="P1060" i="13"/>
  <c r="Q1059" i="13"/>
  <c r="P1056" i="13"/>
  <c r="Q1055" i="13"/>
  <c r="P1052" i="13"/>
  <c r="Q1051" i="13"/>
  <c r="P1048" i="13"/>
  <c r="Q1047" i="13"/>
  <c r="P1044" i="13"/>
  <c r="Q1043" i="13"/>
  <c r="P1040" i="13"/>
  <c r="Q1039" i="13"/>
  <c r="P1036" i="13"/>
  <c r="Q1035" i="13"/>
  <c r="P1032" i="13"/>
  <c r="Q1031" i="13"/>
  <c r="P1028" i="13"/>
  <c r="Q1027" i="13"/>
  <c r="P1024" i="13"/>
  <c r="Q1023" i="13"/>
  <c r="P1020" i="13"/>
  <c r="Q1019" i="13"/>
  <c r="P1016" i="13"/>
  <c r="Q1015" i="13"/>
  <c r="P1012" i="13"/>
  <c r="Q1011" i="13"/>
  <c r="P1008" i="13"/>
  <c r="Q1007" i="13"/>
  <c r="P1004" i="13"/>
  <c r="Q1003" i="13"/>
  <c r="P1000" i="13"/>
  <c r="Q999" i="13"/>
  <c r="P996" i="13"/>
  <c r="Q995" i="13"/>
  <c r="P992" i="13"/>
  <c r="Q991" i="13"/>
  <c r="P988" i="13"/>
  <c r="Q987" i="13"/>
  <c r="P984" i="13"/>
  <c r="Q983" i="13"/>
  <c r="P980" i="13"/>
  <c r="Q979" i="13"/>
  <c r="Q976" i="13"/>
  <c r="P973" i="13"/>
  <c r="Q972" i="13"/>
  <c r="P969" i="13"/>
  <c r="Q968" i="13"/>
  <c r="P965" i="13"/>
  <c r="Q964" i="13"/>
  <c r="P961" i="13"/>
  <c r="Q960" i="13"/>
  <c r="P957" i="13"/>
  <c r="Q956" i="13"/>
  <c r="P953" i="13"/>
  <c r="Q952" i="13"/>
  <c r="P949" i="13"/>
  <c r="Q948" i="13"/>
  <c r="P945" i="13"/>
  <c r="Q944" i="13"/>
  <c r="P941" i="13"/>
  <c r="Q940" i="13"/>
  <c r="P937" i="13"/>
  <c r="Q936" i="13"/>
  <c r="P933" i="13"/>
  <c r="Q932" i="13"/>
  <c r="P929" i="13"/>
  <c r="Q928" i="13"/>
  <c r="P925" i="13"/>
  <c r="Q924" i="13"/>
  <c r="P921" i="13"/>
  <c r="Q920" i="13"/>
  <c r="P917" i="13"/>
  <c r="Q916" i="13"/>
  <c r="P913" i="13"/>
  <c r="Q912" i="13"/>
  <c r="P909" i="13"/>
  <c r="Q908" i="13"/>
  <c r="P905" i="13"/>
  <c r="Q904" i="13"/>
  <c r="P901" i="13"/>
  <c r="Q900" i="13"/>
  <c r="P897" i="13"/>
  <c r="Q896" i="13"/>
  <c r="P893" i="13"/>
  <c r="Q892" i="13"/>
  <c r="P889" i="13"/>
  <c r="Q888" i="13"/>
  <c r="P885" i="13"/>
  <c r="Q884" i="13"/>
  <c r="P881" i="13"/>
  <c r="Q880" i="13"/>
  <c r="P877" i="13"/>
  <c r="Q876" i="13"/>
  <c r="P873" i="13"/>
  <c r="Q872" i="13"/>
  <c r="P869" i="13"/>
  <c r="Q868" i="13"/>
  <c r="P865" i="13"/>
  <c r="Q864" i="13"/>
  <c r="P861" i="13"/>
  <c r="Q860" i="13"/>
  <c r="P857" i="13"/>
  <c r="Q856" i="13"/>
  <c r="P853" i="13"/>
  <c r="Q852" i="13"/>
  <c r="P849" i="13"/>
  <c r="Q848" i="13"/>
  <c r="P845" i="13"/>
  <c r="Q844" i="13"/>
  <c r="P841" i="13"/>
  <c r="Q840" i="13"/>
  <c r="P837" i="13"/>
  <c r="Q836" i="13"/>
  <c r="P833" i="13"/>
  <c r="Q832" i="13"/>
  <c r="P829" i="13"/>
  <c r="Q828" i="13"/>
  <c r="P825" i="13"/>
  <c r="Q824" i="13"/>
  <c r="P821" i="13"/>
  <c r="Q820" i="13"/>
  <c r="P817" i="13"/>
  <c r="Q816" i="13"/>
  <c r="P813" i="13"/>
  <c r="Q812" i="13"/>
  <c r="P809" i="13"/>
  <c r="Q808" i="13"/>
  <c r="P805" i="13"/>
  <c r="Q804" i="13"/>
  <c r="P801" i="13"/>
  <c r="Q800" i="13"/>
  <c r="P797" i="13"/>
  <c r="Q796" i="13"/>
  <c r="P793" i="13"/>
  <c r="Q792" i="13"/>
  <c r="P789" i="13"/>
  <c r="Q788" i="13"/>
  <c r="P785" i="13"/>
  <c r="Q784" i="13"/>
  <c r="P781" i="13"/>
  <c r="Q780" i="13"/>
  <c r="P777" i="13"/>
  <c r="Q776" i="13"/>
  <c r="P773" i="13"/>
  <c r="Q772" i="13"/>
  <c r="P769" i="13"/>
  <c r="Q768" i="13"/>
  <c r="P765" i="13"/>
  <c r="Q764" i="13"/>
  <c r="P761" i="13"/>
  <c r="Q760" i="13"/>
  <c r="P757" i="13"/>
  <c r="Q756" i="13"/>
  <c r="P753" i="13"/>
  <c r="Q752" i="13"/>
  <c r="P749" i="13"/>
  <c r="Q748" i="13"/>
  <c r="P745" i="13"/>
  <c r="Q744" i="13"/>
  <c r="P741" i="13"/>
  <c r="Q740" i="13"/>
  <c r="P737" i="13"/>
  <c r="Q736" i="13"/>
  <c r="P733" i="13"/>
  <c r="Q732" i="13"/>
  <c r="P729" i="13"/>
  <c r="Q728" i="13"/>
  <c r="P725" i="13"/>
  <c r="Q724" i="13"/>
  <c r="P721" i="13"/>
  <c r="Q720" i="13"/>
  <c r="P717" i="13"/>
  <c r="Q716" i="13"/>
  <c r="P713" i="13"/>
  <c r="Q712" i="13"/>
  <c r="P709" i="13"/>
  <c r="Q708" i="13"/>
  <c r="P705" i="13"/>
  <c r="Q704" i="13"/>
  <c r="P701" i="13"/>
  <c r="Q700" i="13"/>
  <c r="P697" i="13"/>
  <c r="Q696" i="13"/>
  <c r="P693" i="13"/>
  <c r="Q692" i="13"/>
  <c r="P689" i="13"/>
  <c r="Q688" i="13"/>
  <c r="P685" i="13"/>
  <c r="Q684" i="13"/>
  <c r="P681" i="13"/>
  <c r="Q680" i="13"/>
  <c r="P677" i="13"/>
  <c r="Q676" i="13"/>
  <c r="P673" i="13"/>
  <c r="Q672" i="13"/>
  <c r="P669" i="13"/>
  <c r="Q668" i="13"/>
  <c r="P665" i="13"/>
  <c r="Q664" i="13"/>
  <c r="P661" i="13"/>
  <c r="Q660" i="13"/>
  <c r="P657" i="13"/>
  <c r="Q656" i="13"/>
  <c r="P653" i="13"/>
  <c r="Q652" i="13"/>
  <c r="P649" i="13"/>
  <c r="Q648" i="13"/>
  <c r="P645" i="13"/>
  <c r="Q644" i="13"/>
  <c r="P641" i="13"/>
  <c r="Q640" i="13"/>
  <c r="P637" i="13"/>
  <c r="Q636" i="13"/>
  <c r="P633" i="13"/>
  <c r="Q632" i="13"/>
  <c r="P629" i="13"/>
  <c r="Q628" i="13"/>
  <c r="P625" i="13"/>
  <c r="Q624" i="13"/>
  <c r="P621" i="13"/>
  <c r="Q620" i="13"/>
  <c r="P617" i="13"/>
  <c r="Q616" i="13"/>
  <c r="P613" i="13"/>
  <c r="Q612" i="13"/>
  <c r="P609" i="13"/>
  <c r="Q608" i="13"/>
  <c r="P605" i="13"/>
  <c r="Q604" i="13"/>
  <c r="P601" i="13"/>
  <c r="Q600" i="13"/>
  <c r="P597" i="13"/>
  <c r="Q596" i="13"/>
  <c r="P593" i="13"/>
  <c r="Q592" i="13"/>
  <c r="P589" i="13"/>
  <c r="Q588" i="13"/>
  <c r="P585" i="13"/>
  <c r="Q584" i="13"/>
  <c r="P581" i="13"/>
  <c r="Q580" i="13"/>
  <c r="Q5" i="13"/>
  <c r="Q6" i="13"/>
  <c r="P7" i="13"/>
  <c r="Q10" i="13"/>
  <c r="P11" i="13"/>
  <c r="Q14" i="13"/>
  <c r="P15" i="13"/>
  <c r="Q18" i="13"/>
  <c r="P19" i="13"/>
  <c r="Q22" i="13"/>
  <c r="P23" i="13"/>
  <c r="Q26" i="13"/>
  <c r="P27" i="13"/>
  <c r="Q30" i="13"/>
  <c r="P31" i="13"/>
  <c r="Q34" i="13"/>
  <c r="P35" i="13"/>
  <c r="Q38" i="13"/>
  <c r="P39" i="13"/>
  <c r="Q42" i="13"/>
  <c r="P43" i="13"/>
  <c r="Q46" i="13"/>
  <c r="P47" i="13"/>
  <c r="Q50" i="13"/>
  <c r="P51" i="13"/>
  <c r="Q54" i="13"/>
  <c r="P55" i="13"/>
  <c r="Q58" i="13"/>
  <c r="P59" i="13"/>
  <c r="Q62" i="13"/>
  <c r="P63" i="13"/>
  <c r="Q66" i="13"/>
  <c r="P67" i="13"/>
  <c r="Q70" i="13"/>
  <c r="P71" i="13"/>
  <c r="Q74" i="13"/>
  <c r="P75" i="13"/>
  <c r="Q78" i="13"/>
  <c r="P79" i="13"/>
  <c r="Q82" i="13"/>
  <c r="P83" i="13"/>
  <c r="Q86" i="13"/>
  <c r="P87" i="13"/>
  <c r="Q90" i="13"/>
  <c r="P91" i="13"/>
  <c r="Q94" i="13"/>
  <c r="P95" i="13"/>
  <c r="Q98" i="13"/>
  <c r="P99" i="13"/>
  <c r="Q102" i="13"/>
  <c r="P103" i="13"/>
  <c r="Q106" i="13"/>
  <c r="P107" i="13"/>
  <c r="Q110" i="13"/>
  <c r="P111" i="13"/>
  <c r="Q114" i="13"/>
  <c r="P115" i="13"/>
  <c r="Q118" i="13"/>
  <c r="P119" i="13"/>
  <c r="Q122" i="13"/>
  <c r="P123" i="13"/>
  <c r="Q126" i="13"/>
  <c r="P127" i="13"/>
  <c r="Q130" i="13"/>
  <c r="P131" i="13"/>
  <c r="Q134" i="13"/>
  <c r="P135" i="13"/>
  <c r="Q138" i="13"/>
  <c r="P139" i="13"/>
  <c r="Q142" i="13"/>
  <c r="P143" i="13"/>
  <c r="Q146" i="13"/>
  <c r="P147" i="13"/>
  <c r="Q150" i="13"/>
  <c r="P151" i="13"/>
  <c r="Q154" i="13"/>
  <c r="P155" i="13"/>
  <c r="Q158" i="13"/>
  <c r="P159" i="13"/>
  <c r="Q162" i="13"/>
  <c r="P163" i="13"/>
  <c r="Q166" i="13"/>
  <c r="P167" i="13"/>
  <c r="Q170" i="13"/>
  <c r="P171" i="13"/>
  <c r="Q174" i="13"/>
  <c r="P175" i="13"/>
  <c r="Q178" i="13"/>
  <c r="P179" i="13"/>
  <c r="Q182" i="13"/>
  <c r="P183" i="13"/>
  <c r="Q186" i="13"/>
  <c r="P187" i="13"/>
  <c r="Q190" i="13"/>
  <c r="P191" i="13"/>
  <c r="Q194" i="13"/>
  <c r="P195" i="13"/>
  <c r="Q198" i="13"/>
  <c r="P199" i="13"/>
  <c r="Q202" i="13"/>
  <c r="P203" i="13"/>
  <c r="Q206" i="13"/>
  <c r="P207" i="13"/>
  <c r="Q210" i="13"/>
  <c r="P211" i="13"/>
  <c r="Q214" i="13"/>
  <c r="P215" i="13"/>
  <c r="Q218" i="13"/>
  <c r="P219" i="13"/>
  <c r="Q222" i="13"/>
  <c r="P223" i="13"/>
  <c r="Q226" i="13"/>
  <c r="P227" i="13"/>
  <c r="Q230" i="13"/>
  <c r="P231" i="13"/>
  <c r="Q234" i="13"/>
  <c r="P235" i="13"/>
  <c r="Q238" i="13"/>
  <c r="P239" i="13"/>
  <c r="Q242" i="13"/>
  <c r="P243" i="13"/>
  <c r="Q246" i="13"/>
  <c r="P247" i="13"/>
  <c r="Q250" i="13"/>
  <c r="P251" i="13"/>
  <c r="Q254" i="13"/>
  <c r="P255" i="13"/>
  <c r="Q258" i="13"/>
  <c r="P259" i="13"/>
  <c r="Q262" i="13"/>
  <c r="P263" i="13"/>
  <c r="Q266" i="13"/>
  <c r="P267" i="13"/>
  <c r="Q270" i="13"/>
  <c r="P271" i="13"/>
  <c r="Q274" i="13"/>
  <c r="P275" i="13"/>
  <c r="Q278" i="13"/>
  <c r="P279" i="13"/>
  <c r="Q282" i="13"/>
  <c r="P283" i="13"/>
  <c r="Q286" i="13"/>
  <c r="P287" i="13"/>
  <c r="Q290" i="13"/>
  <c r="P291" i="13"/>
  <c r="Q294" i="13"/>
  <c r="P295" i="13"/>
  <c r="Q298" i="13"/>
  <c r="P299" i="13"/>
  <c r="Q302" i="13"/>
  <c r="P303" i="13"/>
  <c r="Q306" i="13"/>
  <c r="P307" i="13"/>
  <c r="Q310" i="13"/>
  <c r="P311" i="13"/>
  <c r="Q314" i="13"/>
  <c r="P315" i="13"/>
  <c r="Q318" i="13"/>
  <c r="P319" i="13"/>
  <c r="Q322" i="13"/>
  <c r="P323" i="13"/>
  <c r="Q326" i="13"/>
  <c r="P327" i="13"/>
  <c r="Q330" i="13"/>
  <c r="P331" i="13"/>
  <c r="Q334" i="13"/>
  <c r="P335" i="13"/>
  <c r="Q338" i="13"/>
  <c r="P339" i="13"/>
  <c r="Q342" i="13"/>
  <c r="P343" i="13"/>
  <c r="Q346" i="13"/>
  <c r="P347" i="13"/>
  <c r="Q350" i="13"/>
  <c r="P351" i="13"/>
  <c r="Q354" i="13"/>
  <c r="P355" i="13"/>
  <c r="Q358" i="13"/>
  <c r="P359" i="13"/>
  <c r="Q362" i="13"/>
  <c r="P363" i="13"/>
  <c r="Q366" i="13"/>
  <c r="P367" i="13"/>
  <c r="Q370" i="13"/>
  <c r="P371" i="13"/>
  <c r="Q374" i="13"/>
  <c r="P375" i="13"/>
  <c r="Q378" i="13"/>
  <c r="P379" i="13"/>
  <c r="Q382" i="13"/>
  <c r="P383" i="13"/>
  <c r="Q386" i="13"/>
  <c r="P387" i="13"/>
  <c r="Q390" i="13"/>
  <c r="P391" i="13"/>
  <c r="Q394" i="13"/>
  <c r="P395" i="13"/>
  <c r="Q398" i="13"/>
  <c r="P399" i="13"/>
  <c r="Q402" i="13"/>
  <c r="P403" i="13"/>
  <c r="Q406" i="13"/>
  <c r="P407" i="13"/>
  <c r="Q410" i="13"/>
  <c r="P411" i="13"/>
  <c r="Q414" i="13"/>
  <c r="P415" i="13"/>
  <c r="Q418" i="13"/>
  <c r="P419" i="13"/>
  <c r="Q422" i="13"/>
  <c r="P423" i="13"/>
  <c r="Q426" i="13"/>
  <c r="P427" i="13"/>
  <c r="Q430" i="13"/>
  <c r="P431" i="13"/>
  <c r="Q434" i="13"/>
  <c r="P435" i="13"/>
  <c r="Q438" i="13"/>
  <c r="P439" i="13"/>
  <c r="Q442" i="13"/>
  <c r="P443" i="13"/>
  <c r="Q446" i="13"/>
  <c r="P447" i="13"/>
  <c r="Q450" i="13"/>
  <c r="P451" i="13"/>
  <c r="Q454" i="13"/>
  <c r="P455" i="13"/>
  <c r="Q458" i="13"/>
  <c r="P459" i="13"/>
  <c r="Q462" i="13"/>
  <c r="P463" i="13"/>
  <c r="Q466" i="13"/>
  <c r="P467" i="13"/>
  <c r="Q470" i="13"/>
  <c r="P471" i="13"/>
  <c r="Q474" i="13"/>
  <c r="P475" i="13"/>
  <c r="Q478" i="13"/>
  <c r="P479" i="13"/>
  <c r="Q482" i="13"/>
  <c r="P483" i="13"/>
  <c r="Q486" i="13"/>
  <c r="P487" i="13"/>
  <c r="Q490" i="13"/>
  <c r="P491" i="13"/>
  <c r="Q494" i="13"/>
  <c r="P495" i="13"/>
  <c r="Q498" i="13"/>
  <c r="P499" i="13"/>
  <c r="Q502" i="13"/>
  <c r="P503" i="13"/>
  <c r="Q506" i="13"/>
  <c r="P507" i="13"/>
  <c r="Q510" i="13"/>
  <c r="P511" i="13"/>
  <c r="Q514" i="13"/>
  <c r="P515" i="13"/>
  <c r="Q518" i="13"/>
  <c r="P519" i="13"/>
  <c r="Q522" i="13"/>
  <c r="P523" i="13"/>
  <c r="Q526" i="13"/>
  <c r="P527" i="13"/>
  <c r="Q530" i="13"/>
  <c r="P531" i="13"/>
  <c r="Q534" i="13"/>
  <c r="P535" i="13"/>
  <c r="Q538" i="13"/>
  <c r="P539" i="13"/>
  <c r="Q542" i="13"/>
  <c r="P543" i="13"/>
  <c r="Q546" i="13"/>
  <c r="P547" i="13"/>
  <c r="Q550" i="13"/>
  <c r="P551" i="13"/>
  <c r="Q554" i="13"/>
  <c r="P555" i="13"/>
  <c r="Q558" i="13"/>
  <c r="P559" i="13"/>
  <c r="Q562" i="13"/>
  <c r="P563" i="13"/>
  <c r="Q566" i="13"/>
  <c r="P567" i="13"/>
  <c r="Q570" i="13"/>
  <c r="P571" i="13"/>
  <c r="Q574" i="13"/>
  <c r="P575" i="13"/>
  <c r="Q578" i="13"/>
  <c r="P579" i="13"/>
  <c r="Q586" i="13"/>
  <c r="P587" i="13"/>
  <c r="Q594" i="13"/>
  <c r="P595" i="13"/>
  <c r="Q602" i="13"/>
  <c r="P603" i="13"/>
  <c r="Q610" i="13"/>
  <c r="P611" i="13"/>
  <c r="Q618" i="13"/>
  <c r="P619" i="13"/>
  <c r="Q626" i="13"/>
  <c r="P627" i="13"/>
  <c r="Q634" i="13"/>
  <c r="P635" i="13"/>
  <c r="Q642" i="13"/>
  <c r="P643" i="13"/>
  <c r="Q650" i="13"/>
  <c r="P651" i="13"/>
  <c r="Q658" i="13"/>
  <c r="P659" i="13"/>
  <c r="Q666" i="13"/>
  <c r="P667" i="13"/>
  <c r="Q674" i="13"/>
  <c r="P675" i="13"/>
  <c r="Q682" i="13"/>
  <c r="P683" i="13"/>
  <c r="Q690" i="13"/>
  <c r="P691" i="13"/>
  <c r="Q698" i="13"/>
  <c r="P699" i="13"/>
  <c r="Q706" i="13"/>
  <c r="P707" i="13"/>
  <c r="Q714" i="13"/>
  <c r="P715" i="13"/>
  <c r="Q722" i="13"/>
  <c r="P723" i="13"/>
  <c r="Q730" i="13"/>
  <c r="P731" i="13"/>
  <c r="Q738" i="13"/>
  <c r="P739" i="13"/>
  <c r="Q746" i="13"/>
  <c r="P747" i="13"/>
  <c r="Q754" i="13"/>
  <c r="P755" i="13"/>
  <c r="Q762" i="13"/>
  <c r="P763" i="13"/>
  <c r="Q770" i="13"/>
  <c r="P771" i="13"/>
  <c r="Q778" i="13"/>
  <c r="P779" i="13"/>
  <c r="Q786" i="13"/>
  <c r="P787" i="13"/>
  <c r="Q794" i="13"/>
  <c r="P795" i="13"/>
  <c r="Q802" i="13"/>
  <c r="P803" i="13"/>
  <c r="Q810" i="13"/>
  <c r="P811" i="13"/>
  <c r="Q818" i="13"/>
  <c r="P819" i="13"/>
  <c r="Q826" i="13"/>
  <c r="P827" i="13"/>
  <c r="Q834" i="13"/>
  <c r="P835" i="13"/>
  <c r="Q842" i="13"/>
  <c r="P843" i="13"/>
  <c r="Q850" i="13"/>
  <c r="P851" i="13"/>
  <c r="Q858" i="13"/>
  <c r="P859" i="13"/>
  <c r="Q866" i="13"/>
  <c r="P867" i="13"/>
  <c r="Q874" i="13"/>
  <c r="P875" i="13"/>
  <c r="Q882" i="13"/>
  <c r="P883" i="13"/>
  <c r="Q890" i="13"/>
  <c r="P891" i="13"/>
  <c r="Q898" i="13"/>
  <c r="P899" i="13"/>
  <c r="Q906" i="13"/>
  <c r="P907" i="13"/>
  <c r="Q914" i="13"/>
  <c r="P915" i="13"/>
  <c r="Q922" i="13"/>
  <c r="P923" i="13"/>
  <c r="Q930" i="13"/>
  <c r="P931" i="13"/>
  <c r="Q938" i="13"/>
  <c r="P939" i="13"/>
  <c r="Q946" i="13"/>
  <c r="P947" i="13"/>
  <c r="Q954" i="13"/>
  <c r="P955" i="13"/>
  <c r="Q962" i="13"/>
  <c r="P963" i="13"/>
  <c r="Q970" i="13"/>
  <c r="P971" i="13"/>
  <c r="P977" i="13"/>
  <c r="Q982" i="13"/>
  <c r="P983" i="13"/>
  <c r="Q984" i="13"/>
  <c r="P985" i="13"/>
  <c r="Q990" i="13"/>
  <c r="P991" i="13"/>
  <c r="Q992" i="13"/>
  <c r="P993" i="13"/>
  <c r="Q998" i="13"/>
  <c r="P999" i="13"/>
  <c r="Q1000" i="13"/>
  <c r="P1001" i="13"/>
  <c r="Q1006" i="13"/>
  <c r="P1007" i="13"/>
  <c r="Q1008" i="13"/>
  <c r="P1009" i="13"/>
  <c r="Q1014" i="13"/>
  <c r="P1015" i="13"/>
  <c r="Q1016" i="13"/>
  <c r="P1017" i="13"/>
  <c r="Q1022" i="13"/>
  <c r="P1023" i="13"/>
  <c r="Q1024" i="13"/>
  <c r="P1025" i="13"/>
  <c r="Q1030" i="13"/>
  <c r="P1031" i="13"/>
  <c r="Q1032" i="13"/>
  <c r="P1033" i="13"/>
  <c r="Q1038" i="13"/>
  <c r="P1039" i="13"/>
  <c r="Q1040" i="13"/>
  <c r="P1041" i="13"/>
  <c r="Q1046" i="13"/>
  <c r="P1047" i="13"/>
  <c r="Q1048" i="13"/>
  <c r="P1049" i="13"/>
  <c r="Q1054" i="13"/>
  <c r="P1055" i="13"/>
  <c r="Q1056" i="13"/>
  <c r="P1057" i="13"/>
  <c r="Q1062" i="13"/>
  <c r="P1063" i="13"/>
  <c r="Q1064" i="13"/>
  <c r="P1065" i="13"/>
  <c r="Q1070" i="13"/>
  <c r="P1071" i="13"/>
  <c r="Q1072" i="13"/>
  <c r="P1073" i="13"/>
  <c r="Q1078" i="13"/>
  <c r="P1079" i="13"/>
  <c r="Q1080" i="13"/>
  <c r="P1081" i="13"/>
  <c r="Q1086" i="13"/>
  <c r="P1087" i="13"/>
  <c r="Q1088" i="13"/>
  <c r="P1089" i="13"/>
  <c r="Q1094" i="13"/>
  <c r="P1095" i="13"/>
  <c r="Q1096" i="13"/>
  <c r="P1097" i="13"/>
  <c r="Q1102" i="13"/>
  <c r="P1103" i="13"/>
  <c r="Q1104" i="13"/>
  <c r="P1105" i="13"/>
  <c r="Q1110" i="13"/>
  <c r="P1111" i="13"/>
  <c r="Q1112" i="13"/>
  <c r="P1113" i="13"/>
  <c r="Q1118" i="13"/>
  <c r="P1119" i="13"/>
  <c r="Q1120" i="13"/>
  <c r="P1121" i="13"/>
  <c r="Q1126" i="13"/>
  <c r="P1127" i="13"/>
  <c r="Q1128" i="13"/>
  <c r="P1129" i="13"/>
  <c r="Q1134" i="13"/>
  <c r="P1135" i="13"/>
  <c r="Q1136" i="13"/>
  <c r="P1137" i="13"/>
  <c r="Q1142" i="13"/>
  <c r="P1143" i="13"/>
  <c r="Q1144" i="13"/>
  <c r="P1145" i="13"/>
  <c r="Q1150" i="13"/>
  <c r="P1151" i="13"/>
  <c r="Q1152" i="13"/>
  <c r="P1153" i="13"/>
  <c r="Q1158" i="13"/>
  <c r="P1159" i="13"/>
  <c r="Q1160" i="13"/>
  <c r="P1161" i="13"/>
  <c r="Q1166" i="13"/>
  <c r="P1167" i="13"/>
  <c r="Q1168" i="13"/>
  <c r="P1169" i="13"/>
  <c r="Q1174" i="13"/>
  <c r="P1175" i="13"/>
  <c r="Q1176" i="13"/>
  <c r="P1177" i="13"/>
  <c r="Q1182" i="13"/>
  <c r="P1183" i="13"/>
  <c r="Q1184" i="13"/>
  <c r="P1185" i="13"/>
  <c r="Q1190" i="13"/>
  <c r="P1191" i="13"/>
  <c r="Q1192" i="13"/>
  <c r="P1193" i="13"/>
  <c r="Q1198" i="13"/>
  <c r="P1199" i="13"/>
  <c r="Q1200" i="13"/>
  <c r="P1201" i="13"/>
  <c r="Q1206" i="13"/>
  <c r="P1207" i="13"/>
  <c r="Q1208" i="13"/>
  <c r="P1209" i="13"/>
  <c r="Q1214" i="13"/>
  <c r="P1215" i="13"/>
  <c r="Q1216" i="13"/>
  <c r="P1217" i="13"/>
  <c r="Q1222" i="13"/>
  <c r="P1223" i="13"/>
  <c r="Q1224" i="13"/>
  <c r="P1225" i="13"/>
  <c r="Q1230" i="13"/>
  <c r="P1231" i="13"/>
  <c r="Q1232" i="13"/>
  <c r="P1233" i="13"/>
  <c r="Q1238" i="13"/>
  <c r="P1239" i="13"/>
  <c r="Q1240" i="13"/>
  <c r="P1241" i="13"/>
  <c r="Q1246" i="13"/>
  <c r="P1247" i="13"/>
  <c r="Q1248" i="13"/>
  <c r="P1249" i="13"/>
  <c r="Q1254" i="13"/>
  <c r="P1255" i="13"/>
  <c r="Q1256" i="13"/>
  <c r="P1257" i="13"/>
  <c r="Q1262" i="13"/>
  <c r="P1263" i="13"/>
  <c r="Q1264" i="13"/>
  <c r="P1265" i="13"/>
  <c r="Q1270" i="13"/>
  <c r="P1271" i="13"/>
  <c r="Q1272" i="13"/>
  <c r="P1273" i="13"/>
  <c r="Q1278" i="13"/>
  <c r="P1279" i="13"/>
  <c r="Q1280" i="13"/>
  <c r="P1281" i="13"/>
  <c r="Q1286" i="13"/>
  <c r="P1287" i="13"/>
  <c r="Q1288" i="13"/>
  <c r="P1289" i="13"/>
  <c r="Q1294" i="13"/>
  <c r="P1295" i="13"/>
  <c r="Q1296" i="13"/>
  <c r="P1297" i="13"/>
  <c r="Q1302" i="13"/>
  <c r="P1303" i="13"/>
  <c r="Q1306" i="13"/>
  <c r="P1307" i="13"/>
  <c r="Q1310" i="13"/>
  <c r="P1311" i="13"/>
  <c r="Q1314" i="13"/>
  <c r="P1315" i="13"/>
  <c r="Q255" i="14"/>
  <c r="P264" i="14"/>
  <c r="Q276" i="14"/>
  <c r="Q277" i="14"/>
  <c r="P278" i="14"/>
  <c r="Q292" i="14"/>
  <c r="Q293" i="14"/>
  <c r="P294" i="14"/>
  <c r="Q308" i="14"/>
  <c r="Q309" i="14"/>
  <c r="P310" i="14"/>
  <c r="Q324" i="14"/>
  <c r="Q325" i="14"/>
  <c r="P326" i="14"/>
  <c r="Q340" i="14"/>
  <c r="Q341" i="14"/>
  <c r="P342" i="14"/>
  <c r="Q356" i="14"/>
  <c r="Q357" i="14"/>
  <c r="P358" i="14"/>
  <c r="Q372" i="14"/>
  <c r="Q373" i="14"/>
  <c r="P374" i="14"/>
  <c r="Q388" i="14"/>
  <c r="Q389" i="14"/>
  <c r="P390" i="14"/>
  <c r="Q404" i="14"/>
  <c r="Q405" i="14"/>
  <c r="P406" i="14"/>
  <c r="Q420" i="14"/>
  <c r="Q421" i="14"/>
  <c r="P422" i="14"/>
  <c r="Q436" i="14"/>
  <c r="Q437" i="14"/>
  <c r="P438" i="14"/>
  <c r="Q457" i="14"/>
  <c r="P461" i="14"/>
  <c r="Q487" i="14"/>
  <c r="Q491" i="14"/>
  <c r="P502" i="14"/>
  <c r="P508" i="14"/>
  <c r="Q521" i="14"/>
  <c r="P525" i="14"/>
  <c r="Q551" i="14"/>
  <c r="Q555" i="14"/>
  <c r="P566" i="14"/>
  <c r="P572" i="14"/>
  <c r="Q585" i="14"/>
  <c r="P589" i="14"/>
  <c r="Q615" i="14"/>
  <c r="Q619" i="14"/>
  <c r="P630" i="14"/>
  <c r="P636" i="14"/>
  <c r="Q649" i="14"/>
  <c r="P657" i="14"/>
  <c r="Q677" i="14"/>
  <c r="P689" i="14"/>
  <c r="Q709" i="14"/>
  <c r="P721" i="14"/>
  <c r="Q741" i="14"/>
  <c r="Q774" i="14"/>
  <c r="P788" i="14"/>
  <c r="P811" i="14"/>
  <c r="Q834" i="14"/>
  <c r="P885" i="14"/>
  <c r="Q944" i="14"/>
  <c r="Q1054" i="14"/>
  <c r="Q1236" i="14"/>
  <c r="P1233" i="14"/>
  <c r="Q1232" i="14"/>
  <c r="P1229" i="14"/>
  <c r="Q1228" i="14"/>
  <c r="P1225" i="14"/>
  <c r="Q1224" i="14"/>
  <c r="P1221" i="14"/>
  <c r="Q1220" i="14"/>
  <c r="P1217" i="14"/>
  <c r="Q1216" i="14"/>
  <c r="P1213" i="14"/>
  <c r="Q1212" i="14"/>
  <c r="P1209" i="14"/>
  <c r="Q1208" i="14"/>
  <c r="P1205" i="14"/>
  <c r="Q1204" i="14"/>
  <c r="P1201" i="14"/>
  <c r="Q1200" i="14"/>
  <c r="P1197" i="14"/>
  <c r="Q1196" i="14"/>
  <c r="P1193" i="14"/>
  <c r="Q1192" i="14"/>
  <c r="P1189" i="14"/>
  <c r="Q1188" i="14"/>
  <c r="P1185" i="14"/>
  <c r="Q1184" i="14"/>
  <c r="P1181" i="14"/>
  <c r="Q1180" i="14"/>
  <c r="P1177" i="14"/>
  <c r="Q1176" i="14"/>
  <c r="P1173" i="14"/>
  <c r="Q1172" i="14"/>
  <c r="P1169" i="14"/>
  <c r="Q1168" i="14"/>
  <c r="P1165" i="14"/>
  <c r="Q1164" i="14"/>
  <c r="P1161" i="14"/>
  <c r="Q1160" i="14"/>
  <c r="P1157" i="14"/>
  <c r="Q1156" i="14"/>
  <c r="P1153" i="14"/>
  <c r="Q1152" i="14"/>
  <c r="P1149" i="14"/>
  <c r="Q1148" i="14"/>
  <c r="P1145" i="14"/>
  <c r="Q1144" i="14"/>
  <c r="P1141" i="14"/>
  <c r="Q1140" i="14"/>
  <c r="P1137" i="14"/>
  <c r="Q1136" i="14"/>
  <c r="P1133" i="14"/>
  <c r="P1236" i="14"/>
  <c r="Q1235" i="14"/>
  <c r="P1232" i="14"/>
  <c r="Q1231" i="14"/>
  <c r="P1228" i="14"/>
  <c r="Q1227" i="14"/>
  <c r="P1224" i="14"/>
  <c r="Q1223" i="14"/>
  <c r="P1220" i="14"/>
  <c r="Q1219" i="14"/>
  <c r="P1216" i="14"/>
  <c r="Q1215" i="14"/>
  <c r="P1212" i="14"/>
  <c r="Q1211" i="14"/>
  <c r="P1208" i="14"/>
  <c r="Q1207" i="14"/>
  <c r="P1204" i="14"/>
  <c r="Q1203" i="14"/>
  <c r="P1200" i="14"/>
  <c r="Q1199" i="14"/>
  <c r="P1196" i="14"/>
  <c r="Q1195" i="14"/>
  <c r="P1192" i="14"/>
  <c r="Q1191" i="14"/>
  <c r="P1188" i="14"/>
  <c r="Q1187" i="14"/>
  <c r="P1184" i="14"/>
  <c r="Q1183" i="14"/>
  <c r="P1180" i="14"/>
  <c r="Q1179" i="14"/>
  <c r="P1176" i="14"/>
  <c r="Q1175" i="14"/>
  <c r="P1172" i="14"/>
  <c r="Q1171" i="14"/>
  <c r="P1168" i="14"/>
  <c r="Q1167" i="14"/>
  <c r="P1164" i="14"/>
  <c r="Q1163" i="14"/>
  <c r="P1235" i="14"/>
  <c r="Q1234" i="14"/>
  <c r="P1231" i="14"/>
  <c r="Q1230" i="14"/>
  <c r="P1227" i="14"/>
  <c r="Q1226" i="14"/>
  <c r="P1223" i="14"/>
  <c r="Q1222" i="14"/>
  <c r="P1219" i="14"/>
  <c r="Q1218" i="14"/>
  <c r="P1215" i="14"/>
  <c r="Q1214" i="14"/>
  <c r="P1211" i="14"/>
  <c r="Q1210" i="14"/>
  <c r="P1207" i="14"/>
  <c r="Q1206" i="14"/>
  <c r="P1203" i="14"/>
  <c r="Q1202" i="14"/>
  <c r="P1199" i="14"/>
  <c r="Q1198" i="14"/>
  <c r="P1195" i="14"/>
  <c r="Q1194" i="14"/>
  <c r="P1191" i="14"/>
  <c r="Q1190" i="14"/>
  <c r="P1187" i="14"/>
  <c r="Q1186" i="14"/>
  <c r="P1183" i="14"/>
  <c r="Q1182" i="14"/>
  <c r="P1179" i="14"/>
  <c r="Q1178" i="14"/>
  <c r="P1175" i="14"/>
  <c r="Q1174" i="14"/>
  <c r="P1171" i="14"/>
  <c r="Q1170" i="14"/>
  <c r="P1167" i="14"/>
  <c r="Q1166" i="14"/>
  <c r="P1163" i="14"/>
  <c r="Q1162" i="14"/>
  <c r="Q1229" i="14"/>
  <c r="P1226" i="14"/>
  <c r="Q1213" i="14"/>
  <c r="P1210" i="14"/>
  <c r="Q1197" i="14"/>
  <c r="P1194" i="14"/>
  <c r="Q1181" i="14"/>
  <c r="P1178" i="14"/>
  <c r="Q1165" i="14"/>
  <c r="P1162" i="14"/>
  <c r="P1159" i="14"/>
  <c r="Q1158" i="14"/>
  <c r="Q1157" i="14"/>
  <c r="P1156" i="14"/>
  <c r="Q1155" i="14"/>
  <c r="P1146" i="14"/>
  <c r="P1143" i="14"/>
  <c r="Q1142" i="14"/>
  <c r="Q1141" i="14"/>
  <c r="P1140" i="14"/>
  <c r="Q1139" i="14"/>
  <c r="P1131" i="14"/>
  <c r="Q1130" i="14"/>
  <c r="P1127" i="14"/>
  <c r="Q1126" i="14"/>
  <c r="P1123" i="14"/>
  <c r="Q1122" i="14"/>
  <c r="P1119" i="14"/>
  <c r="Q1118" i="14"/>
  <c r="P1115" i="14"/>
  <c r="Q1114" i="14"/>
  <c r="P1111" i="14"/>
  <c r="Q1110" i="14"/>
  <c r="P1107" i="14"/>
  <c r="Q1106" i="14"/>
  <c r="P1103" i="14"/>
  <c r="Q1102" i="14"/>
  <c r="P1099" i="14"/>
  <c r="Q1098" i="14"/>
  <c r="P1095" i="14"/>
  <c r="Q1094" i="14"/>
  <c r="P1091" i="14"/>
  <c r="Q1090" i="14"/>
  <c r="P1087" i="14"/>
  <c r="Q1086" i="14"/>
  <c r="P1083" i="14"/>
  <c r="Q1082" i="14"/>
  <c r="P1079" i="14"/>
  <c r="Q1078" i="14"/>
  <c r="P1075" i="14"/>
  <c r="Q1074" i="14"/>
  <c r="P1071" i="14"/>
  <c r="Q1070" i="14"/>
  <c r="P1067" i="14"/>
  <c r="Q1066" i="14"/>
  <c r="P1063" i="14"/>
  <c r="Q1062" i="14"/>
  <c r="Q1233" i="14"/>
  <c r="P1230" i="14"/>
  <c r="Q1217" i="14"/>
  <c r="P1214" i="14"/>
  <c r="Q1201" i="14"/>
  <c r="P1198" i="14"/>
  <c r="Q1185" i="14"/>
  <c r="P1182" i="14"/>
  <c r="Q1169" i="14"/>
  <c r="P1166" i="14"/>
  <c r="P1158" i="14"/>
  <c r="P1155" i="14"/>
  <c r="Q1154" i="14"/>
  <c r="Q1153" i="14"/>
  <c r="P1152" i="14"/>
  <c r="Q1151" i="14"/>
  <c r="P1142" i="14"/>
  <c r="P1139" i="14"/>
  <c r="Q1138" i="14"/>
  <c r="Q1137" i="14"/>
  <c r="P1136" i="14"/>
  <c r="Q1135" i="14"/>
  <c r="P1130" i="14"/>
  <c r="Q1129" i="14"/>
  <c r="P1126" i="14"/>
  <c r="Q1125" i="14"/>
  <c r="P1122" i="14"/>
  <c r="Q1121" i="14"/>
  <c r="P1118" i="14"/>
  <c r="Q1117" i="14"/>
  <c r="P1114" i="14"/>
  <c r="Q1113" i="14"/>
  <c r="P1110" i="14"/>
  <c r="Q1109" i="14"/>
  <c r="P1106" i="14"/>
  <c r="Q1105" i="14"/>
  <c r="P1102" i="14"/>
  <c r="Q1101" i="14"/>
  <c r="P1098" i="14"/>
  <c r="Q1097" i="14"/>
  <c r="P1094" i="14"/>
  <c r="Q1093" i="14"/>
  <c r="P1090" i="14"/>
  <c r="Q1089" i="14"/>
  <c r="P1086" i="14"/>
  <c r="Q1085" i="14"/>
  <c r="P1082" i="14"/>
  <c r="Q1081" i="14"/>
  <c r="P1078" i="14"/>
  <c r="Q1077" i="14"/>
  <c r="P1074" i="14"/>
  <c r="Q1073" i="14"/>
  <c r="P1070" i="14"/>
  <c r="Q1069" i="14"/>
  <c r="P1066" i="14"/>
  <c r="Q1065" i="14"/>
  <c r="P1062" i="14"/>
  <c r="Q1061" i="14"/>
  <c r="P1058" i="14"/>
  <c r="Q1057" i="14"/>
  <c r="P1054" i="14"/>
  <c r="Q1053" i="14"/>
  <c r="P1050" i="14"/>
  <c r="Q1049" i="14"/>
  <c r="P1046" i="14"/>
  <c r="Q1045" i="14"/>
  <c r="P1042" i="14"/>
  <c r="Q1041" i="14"/>
  <c r="Q1221" i="14"/>
  <c r="P1218" i="14"/>
  <c r="Q1209" i="14"/>
  <c r="Q1189" i="14"/>
  <c r="P1186" i="14"/>
  <c r="Q1177" i="14"/>
  <c r="Q1159" i="14"/>
  <c r="P1154" i="14"/>
  <c r="Q1145" i="14"/>
  <c r="P1134" i="14"/>
  <c r="P1132" i="14"/>
  <c r="P1124" i="14"/>
  <c r="P1116" i="14"/>
  <c r="P1108" i="14"/>
  <c r="P1222" i="14"/>
  <c r="P1190" i="14"/>
  <c r="P1160" i="14"/>
  <c r="P1151" i="14"/>
  <c r="Q1150" i="14"/>
  <c r="Q1149" i="14"/>
  <c r="P1148" i="14"/>
  <c r="Q1147" i="14"/>
  <c r="Q1146" i="14"/>
  <c r="P1129" i="14"/>
  <c r="Q1128" i="14"/>
  <c r="Q1127" i="14"/>
  <c r="P1121" i="14"/>
  <c r="Q1120" i="14"/>
  <c r="Q1119" i="14"/>
  <c r="P1113" i="14"/>
  <c r="Q1112" i="14"/>
  <c r="Q1111" i="14"/>
  <c r="P1105" i="14"/>
  <c r="Q1104" i="14"/>
  <c r="P1234" i="14"/>
  <c r="Q1225" i="14"/>
  <c r="Q1205" i="14"/>
  <c r="P1202" i="14"/>
  <c r="Q1193" i="14"/>
  <c r="Q1173" i="14"/>
  <c r="P1170" i="14"/>
  <c r="Q1161" i="14"/>
  <c r="P1150" i="14"/>
  <c r="P1147" i="14"/>
  <c r="Q1143" i="14"/>
  <c r="P1138" i="14"/>
  <c r="P1128" i="14"/>
  <c r="P1120" i="14"/>
  <c r="P1112" i="14"/>
  <c r="P1104" i="14"/>
  <c r="P1096" i="14"/>
  <c r="P1088" i="14"/>
  <c r="P1080" i="14"/>
  <c r="P1072" i="14"/>
  <c r="P1064" i="14"/>
  <c r="P1055" i="14"/>
  <c r="P1052" i="14"/>
  <c r="Q1051" i="14"/>
  <c r="Q1050" i="14"/>
  <c r="P1049" i="14"/>
  <c r="Q1048" i="14"/>
  <c r="P1039" i="14"/>
  <c r="Q1038" i="14"/>
  <c r="P1035" i="14"/>
  <c r="Q1034" i="14"/>
  <c r="P1031" i="14"/>
  <c r="Q1030" i="14"/>
  <c r="P1027" i="14"/>
  <c r="Q1026" i="14"/>
  <c r="P1023" i="14"/>
  <c r="Q1022" i="14"/>
  <c r="P1019" i="14"/>
  <c r="Q1018" i="14"/>
  <c r="P1015" i="14"/>
  <c r="Q1014" i="14"/>
  <c r="P1011" i="14"/>
  <c r="Q1010" i="14"/>
  <c r="P1007" i="14"/>
  <c r="Q1006" i="14"/>
  <c r="P1003" i="14"/>
  <c r="Q1002" i="14"/>
  <c r="P999" i="14"/>
  <c r="Q1134" i="14"/>
  <c r="Q1123" i="14"/>
  <c r="Q1116" i="14"/>
  <c r="P1109" i="14"/>
  <c r="Q1095" i="14"/>
  <c r="P1084" i="14"/>
  <c r="P1081" i="14"/>
  <c r="P1077" i="14"/>
  <c r="Q1076" i="14"/>
  <c r="Q1075" i="14"/>
  <c r="Q1072" i="14"/>
  <c r="Q1063" i="14"/>
  <c r="P1059" i="14"/>
  <c r="P1056" i="14"/>
  <c r="Q1052" i="14"/>
  <c r="P1051" i="14"/>
  <c r="P1036" i="14"/>
  <c r="P1033" i="14"/>
  <c r="Q1032" i="14"/>
  <c r="Q1031" i="14"/>
  <c r="P1030" i="14"/>
  <c r="Q1029" i="14"/>
  <c r="P1020" i="14"/>
  <c r="P1017" i="14"/>
  <c r="Q1016" i="14"/>
  <c r="Q1015" i="14"/>
  <c r="P1014" i="14"/>
  <c r="Q1013" i="14"/>
  <c r="P1004" i="14"/>
  <c r="P1001" i="14"/>
  <c r="Q1000" i="14"/>
  <c r="Q999" i="14"/>
  <c r="Q998" i="14"/>
  <c r="P995" i="14"/>
  <c r="Q994" i="14"/>
  <c r="P991" i="14"/>
  <c r="Q990" i="14"/>
  <c r="P987" i="14"/>
  <c r="Q986" i="14"/>
  <c r="P983" i="14"/>
  <c r="Q982" i="14"/>
  <c r="P979" i="14"/>
  <c r="Q978" i="14"/>
  <c r="P975" i="14"/>
  <c r="Q974" i="14"/>
  <c r="P971" i="14"/>
  <c r="Q970" i="14"/>
  <c r="P967" i="14"/>
  <c r="Q966" i="14"/>
  <c r="P963" i="14"/>
  <c r="Q962" i="14"/>
  <c r="P959" i="14"/>
  <c r="Q958" i="14"/>
  <c r="P1144" i="14"/>
  <c r="P1135" i="14"/>
  <c r="Q1131" i="14"/>
  <c r="Q1124" i="14"/>
  <c r="P1117" i="14"/>
  <c r="P1101" i="14"/>
  <c r="Q1100" i="14"/>
  <c r="Q1099" i="14"/>
  <c r="Q1096" i="14"/>
  <c r="Q1087" i="14"/>
  <c r="P1076" i="14"/>
  <c r="P1073" i="14"/>
  <c r="P1069" i="14"/>
  <c r="Q1068" i="14"/>
  <c r="Q1067" i="14"/>
  <c r="Q1064" i="14"/>
  <c r="P1053" i="14"/>
  <c r="P1048" i="14"/>
  <c r="Q1047" i="14"/>
  <c r="Q1046" i="14"/>
  <c r="P1045" i="14"/>
  <c r="Q1044" i="14"/>
  <c r="P1032" i="14"/>
  <c r="P1029" i="14"/>
  <c r="Q1028" i="14"/>
  <c r="Q1027" i="14"/>
  <c r="P1026" i="14"/>
  <c r="Q1025" i="14"/>
  <c r="P1016" i="14"/>
  <c r="P1013" i="14"/>
  <c r="Q1012" i="14"/>
  <c r="Q1011" i="14"/>
  <c r="P1010" i="14"/>
  <c r="Q1009" i="14"/>
  <c r="P1000" i="14"/>
  <c r="P998" i="14"/>
  <c r="Q997" i="14"/>
  <c r="P994" i="14"/>
  <c r="Q993" i="14"/>
  <c r="P990" i="14"/>
  <c r="Q989" i="14"/>
  <c r="P986" i="14"/>
  <c r="Q985" i="14"/>
  <c r="P982" i="14"/>
  <c r="Q981" i="14"/>
  <c r="P978" i="14"/>
  <c r="Q977" i="14"/>
  <c r="P974" i="14"/>
  <c r="Q973" i="14"/>
  <c r="P970" i="14"/>
  <c r="Q969" i="14"/>
  <c r="P966" i="14"/>
  <c r="Q965" i="14"/>
  <c r="P962" i="14"/>
  <c r="Q961" i="14"/>
  <c r="P958" i="14"/>
  <c r="Q957" i="14"/>
  <c r="P954" i="14"/>
  <c r="Q953" i="14"/>
  <c r="P950" i="14"/>
  <c r="Q949" i="14"/>
  <c r="P946" i="14"/>
  <c r="Q945" i="14"/>
  <c r="P942" i="14"/>
  <c r="Q941" i="14"/>
  <c r="P938" i="14"/>
  <c r="Q937" i="14"/>
  <c r="P934" i="14"/>
  <c r="Q933" i="14"/>
  <c r="P930" i="14"/>
  <c r="Q929" i="14"/>
  <c r="P926" i="14"/>
  <c r="Q925" i="14"/>
  <c r="P922" i="14"/>
  <c r="Q921" i="14"/>
  <c r="P918" i="14"/>
  <c r="Q917" i="14"/>
  <c r="P914" i="14"/>
  <c r="Q913" i="14"/>
  <c r="P910" i="14"/>
  <c r="Q909" i="14"/>
  <c r="P906" i="14"/>
  <c r="Q905" i="14"/>
  <c r="P902" i="14"/>
  <c r="Q901" i="14"/>
  <c r="P898" i="14"/>
  <c r="Q897" i="14"/>
  <c r="P894" i="14"/>
  <c r="Q893" i="14"/>
  <c r="P890" i="14"/>
  <c r="Q889" i="14"/>
  <c r="P886" i="14"/>
  <c r="Q885" i="14"/>
  <c r="P882" i="14"/>
  <c r="Q881" i="14"/>
  <c r="P878" i="14"/>
  <c r="Q877" i="14"/>
  <c r="P874" i="14"/>
  <c r="Q873" i="14"/>
  <c r="P870" i="14"/>
  <c r="Q869" i="14"/>
  <c r="P866" i="14"/>
  <c r="Q865" i="14"/>
  <c r="P862" i="14"/>
  <c r="Q861" i="14"/>
  <c r="P858" i="14"/>
  <c r="Q857" i="14"/>
  <c r="P854" i="14"/>
  <c r="Q853" i="14"/>
  <c r="P850" i="14"/>
  <c r="Q849" i="14"/>
  <c r="P846" i="14"/>
  <c r="Q845" i="14"/>
  <c r="P842" i="14"/>
  <c r="Q841" i="14"/>
  <c r="P838" i="14"/>
  <c r="Q837" i="14"/>
  <c r="Q1132" i="14"/>
  <c r="Q1115" i="14"/>
  <c r="P1100" i="14"/>
  <c r="P1085" i="14"/>
  <c r="Q1079" i="14"/>
  <c r="P1060" i="14"/>
  <c r="Q1056" i="14"/>
  <c r="P1047" i="14"/>
  <c r="Q1035" i="14"/>
  <c r="P1024" i="14"/>
  <c r="P1021" i="14"/>
  <c r="Q1017" i="14"/>
  <c r="P1012" i="14"/>
  <c r="Q1003" i="14"/>
  <c r="P997" i="14"/>
  <c r="Q996" i="14"/>
  <c r="Q995" i="14"/>
  <c r="P989" i="14"/>
  <c r="Q988" i="14"/>
  <c r="Q987" i="14"/>
  <c r="P981" i="14"/>
  <c r="Q980" i="14"/>
  <c r="Q979" i="14"/>
  <c r="P973" i="14"/>
  <c r="Q972" i="14"/>
  <c r="Q971" i="14"/>
  <c r="P965" i="14"/>
  <c r="Q964" i="14"/>
  <c r="Q963" i="14"/>
  <c r="P957" i="14"/>
  <c r="Q956" i="14"/>
  <c r="P947" i="14"/>
  <c r="P944" i="14"/>
  <c r="Q943" i="14"/>
  <c r="Q942" i="14"/>
  <c r="P941" i="14"/>
  <c r="Q940" i="14"/>
  <c r="P931" i="14"/>
  <c r="P928" i="14"/>
  <c r="Q927" i="14"/>
  <c r="Q926" i="14"/>
  <c r="P925" i="14"/>
  <c r="Q924" i="14"/>
  <c r="P915" i="14"/>
  <c r="P912" i="14"/>
  <c r="Q911" i="14"/>
  <c r="Q910" i="14"/>
  <c r="P909" i="14"/>
  <c r="Q908" i="14"/>
  <c r="P899" i="14"/>
  <c r="P896" i="14"/>
  <c r="Q895" i="14"/>
  <c r="Q894" i="14"/>
  <c r="P893" i="14"/>
  <c r="Q892" i="14"/>
  <c r="P883" i="14"/>
  <c r="P880" i="14"/>
  <c r="Q879" i="14"/>
  <c r="Q878" i="14"/>
  <c r="P877" i="14"/>
  <c r="Q876" i="14"/>
  <c r="P867" i="14"/>
  <c r="P864" i="14"/>
  <c r="Q863" i="14"/>
  <c r="Q862" i="14"/>
  <c r="P861" i="14"/>
  <c r="Q860" i="14"/>
  <c r="P851" i="14"/>
  <c r="P848" i="14"/>
  <c r="Q847" i="14"/>
  <c r="Q846" i="14"/>
  <c r="P845" i="14"/>
  <c r="Q844" i="14"/>
  <c r="P835" i="14"/>
  <c r="P834" i="14"/>
  <c r="Q833" i="14"/>
  <c r="P830" i="14"/>
  <c r="Q829" i="14"/>
  <c r="P826" i="14"/>
  <c r="Q825" i="14"/>
  <c r="P822" i="14"/>
  <c r="Q821" i="14"/>
  <c r="P818" i="14"/>
  <c r="Q817" i="14"/>
  <c r="P814" i="14"/>
  <c r="Q813" i="14"/>
  <c r="P810" i="14"/>
  <c r="Q809" i="14"/>
  <c r="P806" i="14"/>
  <c r="Q805" i="14"/>
  <c r="P802" i="14"/>
  <c r="Q801" i="14"/>
  <c r="P798" i="14"/>
  <c r="Q797" i="14"/>
  <c r="P794" i="14"/>
  <c r="Q793" i="14"/>
  <c r="P790" i="14"/>
  <c r="Q789" i="14"/>
  <c r="P786" i="14"/>
  <c r="Q785" i="14"/>
  <c r="P782" i="14"/>
  <c r="Q781" i="14"/>
  <c r="P778" i="14"/>
  <c r="Q777" i="14"/>
  <c r="P774" i="14"/>
  <c r="Q773" i="14"/>
  <c r="P770" i="14"/>
  <c r="Q769" i="14"/>
  <c r="P766" i="14"/>
  <c r="Q765" i="14"/>
  <c r="P762" i="14"/>
  <c r="Q761" i="14"/>
  <c r="P758" i="14"/>
  <c r="Q757" i="14"/>
  <c r="P754" i="14"/>
  <c r="Q753" i="14"/>
  <c r="P750" i="14"/>
  <c r="Q749" i="14"/>
  <c r="P1174" i="14"/>
  <c r="Q1133" i="14"/>
  <c r="P1093" i="14"/>
  <c r="Q1092" i="14"/>
  <c r="Q1091" i="14"/>
  <c r="Q1088" i="14"/>
  <c r="Q1080" i="14"/>
  <c r="Q1071" i="14"/>
  <c r="P1065" i="14"/>
  <c r="P1057" i="14"/>
  <c r="P1044" i="14"/>
  <c r="Q1043" i="14"/>
  <c r="Q1042" i="14"/>
  <c r="P1041" i="14"/>
  <c r="Q1040" i="14"/>
  <c r="Q1039" i="14"/>
  <c r="P1038" i="14"/>
  <c r="Q1037" i="14"/>
  <c r="Q1036" i="14"/>
  <c r="P1018" i="14"/>
  <c r="P1009" i="14"/>
  <c r="Q1008" i="14"/>
  <c r="Q1007" i="14"/>
  <c r="P1006" i="14"/>
  <c r="Q1005" i="14"/>
  <c r="Q1004" i="14"/>
  <c r="P996" i="14"/>
  <c r="P988" i="14"/>
  <c r="P980" i="14"/>
  <c r="P972" i="14"/>
  <c r="P964" i="14"/>
  <c r="P956" i="14"/>
  <c r="Q955" i="14"/>
  <c r="Q954" i="14"/>
  <c r="P953" i="14"/>
  <c r="Q952" i="14"/>
  <c r="P943" i="14"/>
  <c r="P940" i="14"/>
  <c r="Q939" i="14"/>
  <c r="Q938" i="14"/>
  <c r="P937" i="14"/>
  <c r="Q936" i="14"/>
  <c r="P927" i="14"/>
  <c r="P924" i="14"/>
  <c r="Q923" i="14"/>
  <c r="Q922" i="14"/>
  <c r="P921" i="14"/>
  <c r="Q920" i="14"/>
  <c r="P911" i="14"/>
  <c r="P908" i="14"/>
  <c r="Q907" i="14"/>
  <c r="Q906" i="14"/>
  <c r="P905" i="14"/>
  <c r="Q904" i="14"/>
  <c r="Q1107" i="14"/>
  <c r="P1092" i="14"/>
  <c r="P1061" i="14"/>
  <c r="Q1055" i="14"/>
  <c r="P1040" i="14"/>
  <c r="P1034" i="14"/>
  <c r="Q1023" i="14"/>
  <c r="Q1019" i="14"/>
  <c r="P992" i="14"/>
  <c r="P976" i="14"/>
  <c r="P960" i="14"/>
  <c r="P945" i="14"/>
  <c r="P936" i="14"/>
  <c r="Q935" i="14"/>
  <c r="Q934" i="14"/>
  <c r="P933" i="14"/>
  <c r="Q932" i="14"/>
  <c r="Q931" i="14"/>
  <c r="P913" i="14"/>
  <c r="P904" i="14"/>
  <c r="Q903" i="14"/>
  <c r="Q902" i="14"/>
  <c r="P901" i="14"/>
  <c r="Q900" i="14"/>
  <c r="Q899" i="14"/>
  <c r="P887" i="14"/>
  <c r="P884" i="14"/>
  <c r="Q880" i="14"/>
  <c r="P879" i="14"/>
  <c r="P865" i="14"/>
  <c r="P860" i="14"/>
  <c r="Q859" i="14"/>
  <c r="Q858" i="14"/>
  <c r="P857" i="14"/>
  <c r="Q856" i="14"/>
  <c r="Q850" i="14"/>
  <c r="P843" i="14"/>
  <c r="P840" i="14"/>
  <c r="Q839" i="14"/>
  <c r="Q838" i="14"/>
  <c r="P837" i="14"/>
  <c r="Q836" i="14"/>
  <c r="Q835" i="14"/>
  <c r="P832" i="14"/>
  <c r="Q831" i="14"/>
  <c r="Q830" i="14"/>
  <c r="P829" i="14"/>
  <c r="Q828" i="14"/>
  <c r="P819" i="14"/>
  <c r="P816" i="14"/>
  <c r="Q815" i="14"/>
  <c r="Q814" i="14"/>
  <c r="P813" i="14"/>
  <c r="Q812" i="14"/>
  <c r="P803" i="14"/>
  <c r="P800" i="14"/>
  <c r="Q799" i="14"/>
  <c r="Q798" i="14"/>
  <c r="P797" i="14"/>
  <c r="Q796" i="14"/>
  <c r="P787" i="14"/>
  <c r="P784" i="14"/>
  <c r="Q783" i="14"/>
  <c r="Q782" i="14"/>
  <c r="P781" i="14"/>
  <c r="Q780" i="14"/>
  <c r="P771" i="14"/>
  <c r="P768" i="14"/>
  <c r="Q767" i="14"/>
  <c r="Q766" i="14"/>
  <c r="P765" i="14"/>
  <c r="Q764" i="14"/>
  <c r="P755" i="14"/>
  <c r="P752" i="14"/>
  <c r="Q751" i="14"/>
  <c r="Q750" i="14"/>
  <c r="P749" i="14"/>
  <c r="Q748" i="14"/>
  <c r="P744" i="14"/>
  <c r="Q743" i="14"/>
  <c r="P740" i="14"/>
  <c r="Q739" i="14"/>
  <c r="P736" i="14"/>
  <c r="Q735" i="14"/>
  <c r="P732" i="14"/>
  <c r="Q731" i="14"/>
  <c r="P728" i="14"/>
  <c r="Q727" i="14"/>
  <c r="P724" i="14"/>
  <c r="Q723" i="14"/>
  <c r="P720" i="14"/>
  <c r="Q719" i="14"/>
  <c r="P716" i="14"/>
  <c r="Q715" i="14"/>
  <c r="P712" i="14"/>
  <c r="Q711" i="14"/>
  <c r="P708" i="14"/>
  <c r="Q707" i="14"/>
  <c r="P704" i="14"/>
  <c r="Q703" i="14"/>
  <c r="P700" i="14"/>
  <c r="Q699" i="14"/>
  <c r="P696" i="14"/>
  <c r="Q695" i="14"/>
  <c r="P692" i="14"/>
  <c r="Q691" i="14"/>
  <c r="P688" i="14"/>
  <c r="Q687" i="14"/>
  <c r="P684" i="14"/>
  <c r="Q683" i="14"/>
  <c r="P680" i="14"/>
  <c r="Q679" i="14"/>
  <c r="P676" i="14"/>
  <c r="Q675" i="14"/>
  <c r="P672" i="14"/>
  <c r="Q671" i="14"/>
  <c r="P668" i="14"/>
  <c r="Q667" i="14"/>
  <c r="P664" i="14"/>
  <c r="Q663" i="14"/>
  <c r="P660" i="14"/>
  <c r="Q659" i="14"/>
  <c r="P656" i="14"/>
  <c r="Q655" i="14"/>
  <c r="P652" i="14"/>
  <c r="Q1108" i="14"/>
  <c r="Q1103" i="14"/>
  <c r="Q1083" i="14"/>
  <c r="P1068" i="14"/>
  <c r="Q1058" i="14"/>
  <c r="P1037" i="14"/>
  <c r="Q1024" i="14"/>
  <c r="Q1020" i="14"/>
  <c r="Q1001" i="14"/>
  <c r="P985" i="14"/>
  <c r="Q984" i="14"/>
  <c r="Q983" i="14"/>
  <c r="P969" i="14"/>
  <c r="Q968" i="14"/>
  <c r="Q967" i="14"/>
  <c r="P955" i="14"/>
  <c r="Q946" i="14"/>
  <c r="P935" i="14"/>
  <c r="P932" i="14"/>
  <c r="Q928" i="14"/>
  <c r="P923" i="14"/>
  <c r="Q914" i="14"/>
  <c r="P903" i="14"/>
  <c r="P900" i="14"/>
  <c r="Q896" i="14"/>
  <c r="P895" i="14"/>
  <c r="P881" i="14"/>
  <c r="P876" i="14"/>
  <c r="Q875" i="14"/>
  <c r="Q874" i="14"/>
  <c r="P873" i="14"/>
  <c r="Q872" i="14"/>
  <c r="Q866" i="14"/>
  <c r="P859" i="14"/>
  <c r="P856" i="14"/>
  <c r="Q855" i="14"/>
  <c r="Q854" i="14"/>
  <c r="P853" i="14"/>
  <c r="Q852" i="14"/>
  <c r="Q851" i="14"/>
  <c r="P839" i="14"/>
  <c r="P836" i="14"/>
  <c r="P831" i="14"/>
  <c r="P828" i="14"/>
  <c r="Q827" i="14"/>
  <c r="Q826" i="14"/>
  <c r="P825" i="14"/>
  <c r="Q824" i="14"/>
  <c r="P815" i="14"/>
  <c r="P812" i="14"/>
  <c r="Q811" i="14"/>
  <c r="Q810" i="14"/>
  <c r="P809" i="14"/>
  <c r="Q808" i="14"/>
  <c r="P799" i="14"/>
  <c r="P796" i="14"/>
  <c r="Q795" i="14"/>
  <c r="Q794" i="14"/>
  <c r="P793" i="14"/>
  <c r="Q792" i="14"/>
  <c r="P783" i="14"/>
  <c r="P780" i="14"/>
  <c r="Q779" i="14"/>
  <c r="Q778" i="14"/>
  <c r="P777" i="14"/>
  <c r="Q776" i="14"/>
  <c r="P767" i="14"/>
  <c r="P764" i="14"/>
  <c r="Q763" i="14"/>
  <c r="Q762" i="14"/>
  <c r="P761" i="14"/>
  <c r="Q760" i="14"/>
  <c r="P751" i="14"/>
  <c r="P748" i="14"/>
  <c r="Q747" i="14"/>
  <c r="Q746" i="14"/>
  <c r="P743" i="14"/>
  <c r="Q742" i="14"/>
  <c r="P739" i="14"/>
  <c r="Q738" i="14"/>
  <c r="P735" i="14"/>
  <c r="Q734" i="14"/>
  <c r="P731" i="14"/>
  <c r="Q730" i="14"/>
  <c r="P727" i="14"/>
  <c r="Q726" i="14"/>
  <c r="P723" i="14"/>
  <c r="Q722" i="14"/>
  <c r="P719" i="14"/>
  <c r="Q718" i="14"/>
  <c r="P715" i="14"/>
  <c r="Q714" i="14"/>
  <c r="P711" i="14"/>
  <c r="Q710" i="14"/>
  <c r="P707" i="14"/>
  <c r="Q706" i="14"/>
  <c r="P703" i="14"/>
  <c r="Q702" i="14"/>
  <c r="P699" i="14"/>
  <c r="Q698" i="14"/>
  <c r="P695" i="14"/>
  <c r="Q694" i="14"/>
  <c r="P691" i="14"/>
  <c r="Q690" i="14"/>
  <c r="P687" i="14"/>
  <c r="Q686" i="14"/>
  <c r="P683" i="14"/>
  <c r="Q682" i="14"/>
  <c r="P679" i="14"/>
  <c r="Q678" i="14"/>
  <c r="P675" i="14"/>
  <c r="Q674" i="14"/>
  <c r="P671" i="14"/>
  <c r="Q670" i="14"/>
  <c r="P667" i="14"/>
  <c r="Q666" i="14"/>
  <c r="P663" i="14"/>
  <c r="Q662" i="14"/>
  <c r="P659" i="14"/>
  <c r="Q658" i="14"/>
  <c r="P655" i="14"/>
  <c r="Q654" i="14"/>
  <c r="P651" i="14"/>
  <c r="Q650" i="14"/>
  <c r="P647" i="14"/>
  <c r="Q646" i="14"/>
  <c r="P643" i="14"/>
  <c r="Q642" i="14"/>
  <c r="P639" i="14"/>
  <c r="Q638" i="14"/>
  <c r="P635" i="14"/>
  <c r="Q634" i="14"/>
  <c r="P631" i="14"/>
  <c r="Q630" i="14"/>
  <c r="P627" i="14"/>
  <c r="Q626" i="14"/>
  <c r="P623" i="14"/>
  <c r="Q622" i="14"/>
  <c r="P619" i="14"/>
  <c r="Q618" i="14"/>
  <c r="P615" i="14"/>
  <c r="Q614" i="14"/>
  <c r="P611" i="14"/>
  <c r="Q610" i="14"/>
  <c r="P607" i="14"/>
  <c r="Q606" i="14"/>
  <c r="P603" i="14"/>
  <c r="Q602" i="14"/>
  <c r="P599" i="14"/>
  <c r="Q598" i="14"/>
  <c r="P595" i="14"/>
  <c r="Q594" i="14"/>
  <c r="P591" i="14"/>
  <c r="Q590" i="14"/>
  <c r="P587" i="14"/>
  <c r="Q586" i="14"/>
  <c r="P583" i="14"/>
  <c r="Q582" i="14"/>
  <c r="P579" i="14"/>
  <c r="Q578" i="14"/>
  <c r="P575" i="14"/>
  <c r="Q574" i="14"/>
  <c r="P571" i="14"/>
  <c r="Q570" i="14"/>
  <c r="P567" i="14"/>
  <c r="Q566" i="14"/>
  <c r="P563" i="14"/>
  <c r="Q562" i="14"/>
  <c r="P559" i="14"/>
  <c r="Q558" i="14"/>
  <c r="P555" i="14"/>
  <c r="Q554" i="14"/>
  <c r="P551" i="14"/>
  <c r="Q550" i="14"/>
  <c r="P547" i="14"/>
  <c r="Q546" i="14"/>
  <c r="P543" i="14"/>
  <c r="Q542" i="14"/>
  <c r="P539" i="14"/>
  <c r="Q538" i="14"/>
  <c r="P535" i="14"/>
  <c r="Q534" i="14"/>
  <c r="P531" i="14"/>
  <c r="Q530" i="14"/>
  <c r="P527" i="14"/>
  <c r="Q526" i="14"/>
  <c r="P523" i="14"/>
  <c r="Q522" i="14"/>
  <c r="P519" i="14"/>
  <c r="Q518" i="14"/>
  <c r="P515" i="14"/>
  <c r="Q514" i="14"/>
  <c r="P511" i="14"/>
  <c r="Q510" i="14"/>
  <c r="P507" i="14"/>
  <c r="Q506" i="14"/>
  <c r="P503" i="14"/>
  <c r="Q502" i="14"/>
  <c r="P499" i="14"/>
  <c r="Q498" i="14"/>
  <c r="P495" i="14"/>
  <c r="Q494" i="14"/>
  <c r="P491" i="14"/>
  <c r="Q490" i="14"/>
  <c r="P487" i="14"/>
  <c r="Q486" i="14"/>
  <c r="P483" i="14"/>
  <c r="Q482" i="14"/>
  <c r="P479" i="14"/>
  <c r="Q478" i="14"/>
  <c r="P475" i="14"/>
  <c r="Q474" i="14"/>
  <c r="P471" i="14"/>
  <c r="Q470" i="14"/>
  <c r="P467" i="14"/>
  <c r="Q466" i="14"/>
  <c r="P463" i="14"/>
  <c r="Q462" i="14"/>
  <c r="P459" i="14"/>
  <c r="Q458" i="14"/>
  <c r="P455" i="14"/>
  <c r="Q454" i="14"/>
  <c r="P451" i="14"/>
  <c r="Q450" i="14"/>
  <c r="P447" i="14"/>
  <c r="P1089" i="14"/>
  <c r="Q1059" i="14"/>
  <c r="P1043" i="14"/>
  <c r="Q1033" i="14"/>
  <c r="Q1021" i="14"/>
  <c r="P1008" i="14"/>
  <c r="Q992" i="14"/>
  <c r="P984" i="14"/>
  <c r="Q960" i="14"/>
  <c r="P952" i="14"/>
  <c r="Q951" i="14"/>
  <c r="Q950" i="14"/>
  <c r="P949" i="14"/>
  <c r="Q948" i="14"/>
  <c r="Q947" i="14"/>
  <c r="P907" i="14"/>
  <c r="Q898" i="14"/>
  <c r="P892" i="14"/>
  <c r="Q891" i="14"/>
  <c r="Q890" i="14"/>
  <c r="P889" i="14"/>
  <c r="Q888" i="14"/>
  <c r="Q887" i="14"/>
  <c r="Q883" i="14"/>
  <c r="P863" i="14"/>
  <c r="P852" i="14"/>
  <c r="Q843" i="14"/>
  <c r="Q832" i="14"/>
  <c r="P827" i="14"/>
  <c r="Q818" i="14"/>
  <c r="P807" i="14"/>
  <c r="P804" i="14"/>
  <c r="Q800" i="14"/>
  <c r="P795" i="14"/>
  <c r="Q786" i="14"/>
  <c r="P775" i="14"/>
  <c r="P772" i="14"/>
  <c r="Q768" i="14"/>
  <c r="P763" i="14"/>
  <c r="Q754" i="14"/>
  <c r="P741" i="14"/>
  <c r="P733" i="14"/>
  <c r="P725" i="14"/>
  <c r="P717" i="14"/>
  <c r="P709" i="14"/>
  <c r="P701" i="14"/>
  <c r="P693" i="14"/>
  <c r="P685" i="14"/>
  <c r="P677" i="14"/>
  <c r="P669" i="14"/>
  <c r="P661" i="14"/>
  <c r="P653" i="14"/>
  <c r="P648" i="14"/>
  <c r="P645" i="14"/>
  <c r="Q644" i="14"/>
  <c r="Q643" i="14"/>
  <c r="P642" i="14"/>
  <c r="Q641" i="14"/>
  <c r="P632" i="14"/>
  <c r="P629" i="14"/>
  <c r="Q628" i="14"/>
  <c r="Q627" i="14"/>
  <c r="P626" i="14"/>
  <c r="Q625" i="14"/>
  <c r="P616" i="14"/>
  <c r="P613" i="14"/>
  <c r="Q612" i="14"/>
  <c r="Q611" i="14"/>
  <c r="P610" i="14"/>
  <c r="Q609" i="14"/>
  <c r="P600" i="14"/>
  <c r="P597" i="14"/>
  <c r="Q596" i="14"/>
  <c r="Q595" i="14"/>
  <c r="P594" i="14"/>
  <c r="Q593" i="14"/>
  <c r="P584" i="14"/>
  <c r="P581" i="14"/>
  <c r="Q580" i="14"/>
  <c r="Q579" i="14"/>
  <c r="P578" i="14"/>
  <c r="Q577" i="14"/>
  <c r="P568" i="14"/>
  <c r="P565" i="14"/>
  <c r="Q564" i="14"/>
  <c r="Q563" i="14"/>
  <c r="P562" i="14"/>
  <c r="Q561" i="14"/>
  <c r="P552" i="14"/>
  <c r="P549" i="14"/>
  <c r="Q548" i="14"/>
  <c r="Q547" i="14"/>
  <c r="P546" i="14"/>
  <c r="Q545" i="14"/>
  <c r="P536" i="14"/>
  <c r="P533" i="14"/>
  <c r="Q532" i="14"/>
  <c r="Q531" i="14"/>
  <c r="P530" i="14"/>
  <c r="Q529" i="14"/>
  <c r="P520" i="14"/>
  <c r="P517" i="14"/>
  <c r="Q516" i="14"/>
  <c r="Q515" i="14"/>
  <c r="P514" i="14"/>
  <c r="Q513" i="14"/>
  <c r="P504" i="14"/>
  <c r="P501" i="14"/>
  <c r="Q500" i="14"/>
  <c r="Q499" i="14"/>
  <c r="P498" i="14"/>
  <c r="Q497" i="14"/>
  <c r="P488" i="14"/>
  <c r="P485" i="14"/>
  <c r="Q484" i="14"/>
  <c r="Q483" i="14"/>
  <c r="P482" i="14"/>
  <c r="Q481" i="14"/>
  <c r="P472" i="14"/>
  <c r="P469" i="14"/>
  <c r="Q468" i="14"/>
  <c r="Q467" i="14"/>
  <c r="P466" i="14"/>
  <c r="Q465" i="14"/>
  <c r="P456" i="14"/>
  <c r="P453" i="14"/>
  <c r="Q452" i="14"/>
  <c r="Q451" i="14"/>
  <c r="P450" i="14"/>
  <c r="Q449" i="14"/>
  <c r="P444" i="14"/>
  <c r="Q443" i="14"/>
  <c r="P440" i="14"/>
  <c r="Q439" i="14"/>
  <c r="P436" i="14"/>
  <c r="Q435" i="14"/>
  <c r="P432" i="14"/>
  <c r="Q431" i="14"/>
  <c r="P428" i="14"/>
  <c r="Q427" i="14"/>
  <c r="P424" i="14"/>
  <c r="Q423" i="14"/>
  <c r="P420" i="14"/>
  <c r="Q419" i="14"/>
  <c r="P416" i="14"/>
  <c r="Q415" i="14"/>
  <c r="P412" i="14"/>
  <c r="Q411" i="14"/>
  <c r="P408" i="14"/>
  <c r="Q407" i="14"/>
  <c r="P404" i="14"/>
  <c r="Q403" i="14"/>
  <c r="P400" i="14"/>
  <c r="Q399" i="14"/>
  <c r="P396" i="14"/>
  <c r="Q395" i="14"/>
  <c r="P392" i="14"/>
  <c r="Q391" i="14"/>
  <c r="P388" i="14"/>
  <c r="Q387" i="14"/>
  <c r="P384" i="14"/>
  <c r="Q383" i="14"/>
  <c r="P380" i="14"/>
  <c r="Q379" i="14"/>
  <c r="P376" i="14"/>
  <c r="Q375" i="14"/>
  <c r="P372" i="14"/>
  <c r="Q371" i="14"/>
  <c r="P368" i="14"/>
  <c r="Q367" i="14"/>
  <c r="P364" i="14"/>
  <c r="Q363" i="14"/>
  <c r="P360" i="14"/>
  <c r="Q359" i="14"/>
  <c r="P356" i="14"/>
  <c r="Q355" i="14"/>
  <c r="P352" i="14"/>
  <c r="Q351" i="14"/>
  <c r="P348" i="14"/>
  <c r="Q347" i="14"/>
  <c r="P344" i="14"/>
  <c r="Q343" i="14"/>
  <c r="P340" i="14"/>
  <c r="Q339" i="14"/>
  <c r="P336" i="14"/>
  <c r="Q335" i="14"/>
  <c r="P332" i="14"/>
  <c r="Q331" i="14"/>
  <c r="P328" i="14"/>
  <c r="Q327" i="14"/>
  <c r="P324" i="14"/>
  <c r="Q323" i="14"/>
  <c r="P320" i="14"/>
  <c r="Q319" i="14"/>
  <c r="P316" i="14"/>
  <c r="Q315" i="14"/>
  <c r="P312" i="14"/>
  <c r="Q311" i="14"/>
  <c r="P308" i="14"/>
  <c r="Q307" i="14"/>
  <c r="P304" i="14"/>
  <c r="Q303" i="14"/>
  <c r="P300" i="14"/>
  <c r="Q299" i="14"/>
  <c r="P296" i="14"/>
  <c r="Q295" i="14"/>
  <c r="P292" i="14"/>
  <c r="Q291" i="14"/>
  <c r="P288" i="14"/>
  <c r="Q287" i="14"/>
  <c r="P284" i="14"/>
  <c r="Q283" i="14"/>
  <c r="P280" i="14"/>
  <c r="Q279" i="14"/>
  <c r="P276" i="14"/>
  <c r="Q275" i="14"/>
  <c r="P272" i="14"/>
  <c r="Q271" i="14"/>
  <c r="P268" i="14"/>
  <c r="Q267" i="14"/>
  <c r="P1125" i="14"/>
  <c r="Q1060" i="14"/>
  <c r="P1022" i="14"/>
  <c r="P993" i="14"/>
  <c r="Q975" i="14"/>
  <c r="P961" i="14"/>
  <c r="P951" i="14"/>
  <c r="P948" i="14"/>
  <c r="P929" i="14"/>
  <c r="Q912" i="14"/>
  <c r="P891" i="14"/>
  <c r="P888" i="14"/>
  <c r="Q884" i="14"/>
  <c r="P875" i="14"/>
  <c r="Q864" i="14"/>
  <c r="P844" i="14"/>
  <c r="Q840" i="14"/>
  <c r="P833" i="14"/>
  <c r="P824" i="14"/>
  <c r="Q823" i="14"/>
  <c r="Q822" i="14"/>
  <c r="P821" i="14"/>
  <c r="Q820" i="14"/>
  <c r="Q819" i="14"/>
  <c r="P801" i="14"/>
  <c r="P792" i="14"/>
  <c r="Q791" i="14"/>
  <c r="Q790" i="14"/>
  <c r="P789" i="14"/>
  <c r="Q788" i="14"/>
  <c r="Q787" i="14"/>
  <c r="P769" i="14"/>
  <c r="P760" i="14"/>
  <c r="Q759" i="14"/>
  <c r="Q758" i="14"/>
  <c r="P757" i="14"/>
  <c r="Q756" i="14"/>
  <c r="Q755" i="14"/>
  <c r="P746" i="14"/>
  <c r="Q745" i="14"/>
  <c r="Q744" i="14"/>
  <c r="P738" i="14"/>
  <c r="Q737" i="14"/>
  <c r="Q736" i="14"/>
  <c r="P730" i="14"/>
  <c r="Q729" i="14"/>
  <c r="Q728" i="14"/>
  <c r="P722" i="14"/>
  <c r="Q721" i="14"/>
  <c r="Q720" i="14"/>
  <c r="P714" i="14"/>
  <c r="Q713" i="14"/>
  <c r="Q712" i="14"/>
  <c r="P706" i="14"/>
  <c r="Q705" i="14"/>
  <c r="Q704" i="14"/>
  <c r="P698" i="14"/>
  <c r="Q697" i="14"/>
  <c r="Q696" i="14"/>
  <c r="P690" i="14"/>
  <c r="Q689" i="14"/>
  <c r="Q688" i="14"/>
  <c r="P682" i="14"/>
  <c r="Q681" i="14"/>
  <c r="Q680" i="14"/>
  <c r="P674" i="14"/>
  <c r="Q673" i="14"/>
  <c r="Q672" i="14"/>
  <c r="P666" i="14"/>
  <c r="Q665" i="14"/>
  <c r="Q664" i="14"/>
  <c r="P658" i="14"/>
  <c r="Q657" i="14"/>
  <c r="Q656" i="14"/>
  <c r="P644" i="14"/>
  <c r="P641" i="14"/>
  <c r="Q640" i="14"/>
  <c r="Q639" i="14"/>
  <c r="P638" i="14"/>
  <c r="Q637" i="14"/>
  <c r="P628" i="14"/>
  <c r="P625" i="14"/>
  <c r="Q624" i="14"/>
  <c r="Q623" i="14"/>
  <c r="P622" i="14"/>
  <c r="Q621" i="14"/>
  <c r="P612" i="14"/>
  <c r="P609" i="14"/>
  <c r="Q608" i="14"/>
  <c r="Q607" i="14"/>
  <c r="P606" i="14"/>
  <c r="Q605" i="14"/>
  <c r="P596" i="14"/>
  <c r="P593" i="14"/>
  <c r="Q592" i="14"/>
  <c r="Q591" i="14"/>
  <c r="P590" i="14"/>
  <c r="Q589" i="14"/>
  <c r="P580" i="14"/>
  <c r="P577" i="14"/>
  <c r="Q576" i="14"/>
  <c r="Q575" i="14"/>
  <c r="P574" i="14"/>
  <c r="Q573" i="14"/>
  <c r="P564" i="14"/>
  <c r="P561" i="14"/>
  <c r="Q560" i="14"/>
  <c r="Q559" i="14"/>
  <c r="P558" i="14"/>
  <c r="Q557" i="14"/>
  <c r="P548" i="14"/>
  <c r="P545" i="14"/>
  <c r="Q544" i="14"/>
  <c r="Q543" i="14"/>
  <c r="P542" i="14"/>
  <c r="Q541" i="14"/>
  <c r="P532" i="14"/>
  <c r="P529" i="14"/>
  <c r="Q528" i="14"/>
  <c r="Q527" i="14"/>
  <c r="P526" i="14"/>
  <c r="Q525" i="14"/>
  <c r="P516" i="14"/>
  <c r="P513" i="14"/>
  <c r="Q512" i="14"/>
  <c r="Q511" i="14"/>
  <c r="P510" i="14"/>
  <c r="Q509" i="14"/>
  <c r="P500" i="14"/>
  <c r="P497" i="14"/>
  <c r="Q496" i="14"/>
  <c r="Q495" i="14"/>
  <c r="P494" i="14"/>
  <c r="Q493" i="14"/>
  <c r="P484" i="14"/>
  <c r="P481" i="14"/>
  <c r="Q480" i="14"/>
  <c r="Q479" i="14"/>
  <c r="P478" i="14"/>
  <c r="Q477" i="14"/>
  <c r="P468" i="14"/>
  <c r="P465" i="14"/>
  <c r="Q464" i="14"/>
  <c r="Q463" i="14"/>
  <c r="P462" i="14"/>
  <c r="Q461" i="14"/>
  <c r="P452" i="14"/>
  <c r="P449" i="14"/>
  <c r="Q448" i="14"/>
  <c r="Q447" i="14"/>
  <c r="Q446" i="14"/>
  <c r="P443" i="14"/>
  <c r="Q442" i="14"/>
  <c r="P439" i="14"/>
  <c r="Q438" i="14"/>
  <c r="P435" i="14"/>
  <c r="Q434" i="14"/>
  <c r="P431" i="14"/>
  <c r="Q430" i="14"/>
  <c r="P427" i="14"/>
  <c r="Q426" i="14"/>
  <c r="P423" i="14"/>
  <c r="Q422" i="14"/>
  <c r="P419" i="14"/>
  <c r="Q418" i="14"/>
  <c r="P415" i="14"/>
  <c r="Q414" i="14"/>
  <c r="P411" i="14"/>
  <c r="Q410" i="14"/>
  <c r="P407" i="14"/>
  <c r="Q406" i="14"/>
  <c r="P403" i="14"/>
  <c r="Q402" i="14"/>
  <c r="P399" i="14"/>
  <c r="Q398" i="14"/>
  <c r="P395" i="14"/>
  <c r="Q394" i="14"/>
  <c r="P391" i="14"/>
  <c r="Q390" i="14"/>
  <c r="P387" i="14"/>
  <c r="Q386" i="14"/>
  <c r="P383" i="14"/>
  <c r="Q382" i="14"/>
  <c r="P379" i="14"/>
  <c r="Q378" i="14"/>
  <c r="P375" i="14"/>
  <c r="Q374" i="14"/>
  <c r="P371" i="14"/>
  <c r="Q370" i="14"/>
  <c r="P367" i="14"/>
  <c r="Q366" i="14"/>
  <c r="P363" i="14"/>
  <c r="Q362" i="14"/>
  <c r="P359" i="14"/>
  <c r="Q358" i="14"/>
  <c r="P355" i="14"/>
  <c r="Q354" i="14"/>
  <c r="P351" i="14"/>
  <c r="Q350" i="14"/>
  <c r="P347" i="14"/>
  <c r="Q346" i="14"/>
  <c r="P343" i="14"/>
  <c r="Q342" i="14"/>
  <c r="P339" i="14"/>
  <c r="Q338" i="14"/>
  <c r="P335" i="14"/>
  <c r="Q334" i="14"/>
  <c r="P331" i="14"/>
  <c r="Q330" i="14"/>
  <c r="P327" i="14"/>
  <c r="Q326" i="14"/>
  <c r="P323" i="14"/>
  <c r="Q322" i="14"/>
  <c r="P319" i="14"/>
  <c r="Q318" i="14"/>
  <c r="P315" i="14"/>
  <c r="Q314" i="14"/>
  <c r="P311" i="14"/>
  <c r="Q310" i="14"/>
  <c r="P307" i="14"/>
  <c r="Q306" i="14"/>
  <c r="P303" i="14"/>
  <c r="Q302" i="14"/>
  <c r="P299" i="14"/>
  <c r="Q298" i="14"/>
  <c r="P295" i="14"/>
  <c r="Q294" i="14"/>
  <c r="P291" i="14"/>
  <c r="Q290" i="14"/>
  <c r="P287" i="14"/>
  <c r="Q286" i="14"/>
  <c r="P283" i="14"/>
  <c r="Q282" i="14"/>
  <c r="P279" i="14"/>
  <c r="Q278" i="14"/>
  <c r="P275" i="14"/>
  <c r="Q274" i="14"/>
  <c r="P271" i="14"/>
  <c r="Q270" i="14"/>
  <c r="P267" i="14"/>
  <c r="Q266" i="14"/>
  <c r="P263" i="14"/>
  <c r="Q262" i="14"/>
  <c r="P259" i="14"/>
  <c r="Q258" i="14"/>
  <c r="P255" i="14"/>
  <c r="Q254" i="14"/>
  <c r="P251" i="14"/>
  <c r="Q250" i="14"/>
  <c r="P247" i="14"/>
  <c r="Q246" i="14"/>
  <c r="P243" i="14"/>
  <c r="Q242" i="14"/>
  <c r="P239" i="14"/>
  <c r="Q238" i="14"/>
  <c r="P235" i="14"/>
  <c r="Q234" i="14"/>
  <c r="P231" i="14"/>
  <c r="Q230" i="14"/>
  <c r="P227" i="14"/>
  <c r="Q226" i="14"/>
  <c r="P223" i="14"/>
  <c r="Q222" i="14"/>
  <c r="P219" i="14"/>
  <c r="Q218" i="14"/>
  <c r="P215" i="14"/>
  <c r="Q214" i="14"/>
  <c r="P211" i="14"/>
  <c r="Q210" i="14"/>
  <c r="P207" i="14"/>
  <c r="Q206" i="14"/>
  <c r="P203" i="14"/>
  <c r="Q202" i="14"/>
  <c r="P199" i="14"/>
  <c r="Q198" i="14"/>
  <c r="P195" i="14"/>
  <c r="Q194" i="14"/>
  <c r="P191" i="14"/>
  <c r="Q190" i="14"/>
  <c r="P187" i="14"/>
  <c r="Q186" i="14"/>
  <c r="P183" i="14"/>
  <c r="Q182" i="14"/>
  <c r="P179" i="14"/>
  <c r="Q178" i="14"/>
  <c r="P175" i="14"/>
  <c r="Q174" i="14"/>
  <c r="P171" i="14"/>
  <c r="Q170" i="14"/>
  <c r="P167" i="14"/>
  <c r="Q166" i="14"/>
  <c r="P163" i="14"/>
  <c r="Q162" i="14"/>
  <c r="P159" i="14"/>
  <c r="Q158" i="14"/>
  <c r="P155" i="14"/>
  <c r="Q154" i="14"/>
  <c r="P151" i="14"/>
  <c r="Q150" i="14"/>
  <c r="P147" i="14"/>
  <c r="Q146" i="14"/>
  <c r="P143" i="14"/>
  <c r="Q142" i="14"/>
  <c r="P139" i="14"/>
  <c r="Q138" i="14"/>
  <c r="P135" i="14"/>
  <c r="Q134" i="14"/>
  <c r="P131" i="14"/>
  <c r="Q130" i="14"/>
  <c r="P127" i="14"/>
  <c r="Q126" i="14"/>
  <c r="P123" i="14"/>
  <c r="Q122" i="14"/>
  <c r="P119" i="14"/>
  <c r="Q118" i="14"/>
  <c r="P115" i="14"/>
  <c r="Q114" i="14"/>
  <c r="P111" i="14"/>
  <c r="Q110" i="14"/>
  <c r="P107" i="14"/>
  <c r="Q106" i="14"/>
  <c r="P103" i="14"/>
  <c r="Q102" i="14"/>
  <c r="P99" i="14"/>
  <c r="Q98" i="14"/>
  <c r="P95" i="14"/>
  <c r="Q94" i="14"/>
  <c r="P91" i="14"/>
  <c r="Q90" i="14"/>
  <c r="P87" i="14"/>
  <c r="Q86" i="14"/>
  <c r="P83" i="14"/>
  <c r="Q82" i="14"/>
  <c r="P79" i="14"/>
  <c r="Q78" i="14"/>
  <c r="P75" i="14"/>
  <c r="Q74" i="14"/>
  <c r="P71" i="14"/>
  <c r="Q70" i="14"/>
  <c r="P67" i="14"/>
  <c r="Q66" i="14"/>
  <c r="P63" i="14"/>
  <c r="Q62" i="14"/>
  <c r="P59" i="14"/>
  <c r="Q58" i="14"/>
  <c r="P55" i="14"/>
  <c r="Q54" i="14"/>
  <c r="P51" i="14"/>
  <c r="Q50" i="14"/>
  <c r="P47" i="14"/>
  <c r="Q46" i="14"/>
  <c r="P43" i="14"/>
  <c r="Q42" i="14"/>
  <c r="P39" i="14"/>
  <c r="Q38" i="14"/>
  <c r="P35" i="14"/>
  <c r="Q34" i="14"/>
  <c r="P31" i="14"/>
  <c r="Q30" i="14"/>
  <c r="P27" i="14"/>
  <c r="Q26" i="14"/>
  <c r="P23" i="14"/>
  <c r="Q22" i="14"/>
  <c r="P19" i="14"/>
  <c r="Q18" i="14"/>
  <c r="P15" i="14"/>
  <c r="Q14" i="14"/>
  <c r="P11" i="14"/>
  <c r="Q10" i="14"/>
  <c r="P7" i="14"/>
  <c r="Q6" i="14"/>
  <c r="Q5" i="14"/>
  <c r="P6" i="14"/>
  <c r="Q7" i="14"/>
  <c r="Q8" i="14"/>
  <c r="P9" i="14"/>
  <c r="P12" i="14"/>
  <c r="Q21" i="14"/>
  <c r="P22" i="14"/>
  <c r="Q23" i="14"/>
  <c r="Q24" i="14"/>
  <c r="P25" i="14"/>
  <c r="P28" i="14"/>
  <c r="Q37" i="14"/>
  <c r="P38" i="14"/>
  <c r="Q39" i="14"/>
  <c r="Q40" i="14"/>
  <c r="P41" i="14"/>
  <c r="P44" i="14"/>
  <c r="Q53" i="14"/>
  <c r="P54" i="14"/>
  <c r="Q55" i="14"/>
  <c r="Q56" i="14"/>
  <c r="P57" i="14"/>
  <c r="P60" i="14"/>
  <c r="Q69" i="14"/>
  <c r="P70" i="14"/>
  <c r="Q71" i="14"/>
  <c r="Q72" i="14"/>
  <c r="P73" i="14"/>
  <c r="P76" i="14"/>
  <c r="Q85" i="14"/>
  <c r="P86" i="14"/>
  <c r="Q87" i="14"/>
  <c r="Q88" i="14"/>
  <c r="P89" i="14"/>
  <c r="P92" i="14"/>
  <c r="Q101" i="14"/>
  <c r="P102" i="14"/>
  <c r="Q103" i="14"/>
  <c r="Q104" i="14"/>
  <c r="P105" i="14"/>
  <c r="P108" i="14"/>
  <c r="Q117" i="14"/>
  <c r="P118" i="14"/>
  <c r="Q119" i="14"/>
  <c r="Q120" i="14"/>
  <c r="P121" i="14"/>
  <c r="P124" i="14"/>
  <c r="Q133" i="14"/>
  <c r="P134" i="14"/>
  <c r="Q135" i="14"/>
  <c r="Q136" i="14"/>
  <c r="P137" i="14"/>
  <c r="P140" i="14"/>
  <c r="Q149" i="14"/>
  <c r="P150" i="14"/>
  <c r="Q151" i="14"/>
  <c r="Q152" i="14"/>
  <c r="P153" i="14"/>
  <c r="P156" i="14"/>
  <c r="Q165" i="14"/>
  <c r="P166" i="14"/>
  <c r="Q167" i="14"/>
  <c r="Q168" i="14"/>
  <c r="P169" i="14"/>
  <c r="P172" i="14"/>
  <c r="Q181" i="14"/>
  <c r="P182" i="14"/>
  <c r="Q183" i="14"/>
  <c r="Q184" i="14"/>
  <c r="P185" i="14"/>
  <c r="P188" i="14"/>
  <c r="Q197" i="14"/>
  <c r="P198" i="14"/>
  <c r="Q199" i="14"/>
  <c r="Q200" i="14"/>
  <c r="P201" i="14"/>
  <c r="P204" i="14"/>
  <c r="Q213" i="14"/>
  <c r="P214" i="14"/>
  <c r="Q215" i="14"/>
  <c r="Q216" i="14"/>
  <c r="P217" i="14"/>
  <c r="P220" i="14"/>
  <c r="Q229" i="14"/>
  <c r="P230" i="14"/>
  <c r="Q231" i="14"/>
  <c r="Q232" i="14"/>
  <c r="P233" i="14"/>
  <c r="P236" i="14"/>
  <c r="Q245" i="14"/>
  <c r="P246" i="14"/>
  <c r="Q247" i="14"/>
  <c r="Q248" i="14"/>
  <c r="P249" i="14"/>
  <c r="P252" i="14"/>
  <c r="Q261" i="14"/>
  <c r="P262" i="14"/>
  <c r="Q263" i="14"/>
  <c r="Q264" i="14"/>
  <c r="P265" i="14"/>
  <c r="P273" i="14"/>
  <c r="P281" i="14"/>
  <c r="P289" i="14"/>
  <c r="P297" i="14"/>
  <c r="P305" i="14"/>
  <c r="P313" i="14"/>
  <c r="P321" i="14"/>
  <c r="P329" i="14"/>
  <c r="P337" i="14"/>
  <c r="P345" i="14"/>
  <c r="P353" i="14"/>
  <c r="P361" i="14"/>
  <c r="P369" i="14"/>
  <c r="P377" i="14"/>
  <c r="P385" i="14"/>
  <c r="P393" i="14"/>
  <c r="P401" i="14"/>
  <c r="P409" i="14"/>
  <c r="P417" i="14"/>
  <c r="P425" i="14"/>
  <c r="P433" i="14"/>
  <c r="P441" i="14"/>
  <c r="P454" i="14"/>
  <c r="Q472" i="14"/>
  <c r="Q473" i="14"/>
  <c r="P474" i="14"/>
  <c r="Q475" i="14"/>
  <c r="Q476" i="14"/>
  <c r="P477" i="14"/>
  <c r="P486" i="14"/>
  <c r="Q504" i="14"/>
  <c r="Q505" i="14"/>
  <c r="P506" i="14"/>
  <c r="Q507" i="14"/>
  <c r="Q508" i="14"/>
  <c r="P509" i="14"/>
  <c r="P518" i="14"/>
  <c r="Q536" i="14"/>
  <c r="Q537" i="14"/>
  <c r="P538" i="14"/>
  <c r="Q539" i="14"/>
  <c r="Q540" i="14"/>
  <c r="P541" i="14"/>
  <c r="P550" i="14"/>
  <c r="Q568" i="14"/>
  <c r="Q569" i="14"/>
  <c r="P570" i="14"/>
  <c r="Q571" i="14"/>
  <c r="Q572" i="14"/>
  <c r="P573" i="14"/>
  <c r="P582" i="14"/>
  <c r="Q600" i="14"/>
  <c r="Q601" i="14"/>
  <c r="P602" i="14"/>
  <c r="Q603" i="14"/>
  <c r="Q604" i="14"/>
  <c r="P605" i="14"/>
  <c r="P614" i="14"/>
  <c r="Q632" i="14"/>
  <c r="Q633" i="14"/>
  <c r="P634" i="14"/>
  <c r="Q635" i="14"/>
  <c r="Q636" i="14"/>
  <c r="P637" i="14"/>
  <c r="P646" i="14"/>
  <c r="Q653" i="14"/>
  <c r="P665" i="14"/>
  <c r="Q669" i="14"/>
  <c r="P681" i="14"/>
  <c r="Q685" i="14"/>
  <c r="P697" i="14"/>
  <c r="Q701" i="14"/>
  <c r="P713" i="14"/>
  <c r="Q717" i="14"/>
  <c r="P729" i="14"/>
  <c r="Q733" i="14"/>
  <c r="P745" i="14"/>
  <c r="P756" i="14"/>
  <c r="P773" i="14"/>
  <c r="P779" i="14"/>
  <c r="Q784" i="14"/>
  <c r="Q803" i="14"/>
  <c r="Q807" i="14"/>
  <c r="P820" i="14"/>
  <c r="P847" i="14"/>
  <c r="Q848" i="14"/>
  <c r="P939" i="14"/>
  <c r="Q976" i="14"/>
  <c r="P1002" i="14"/>
  <c r="P1025" i="14"/>
  <c r="P1097" i="14"/>
  <c r="Q280" i="14"/>
  <c r="Q281" i="14"/>
  <c r="P282" i="14"/>
  <c r="Q288" i="14"/>
  <c r="Q289" i="14"/>
  <c r="P290" i="14"/>
  <c r="Q296" i="14"/>
  <c r="Q297" i="14"/>
  <c r="P298" i="14"/>
  <c r="Q304" i="14"/>
  <c r="Q305" i="14"/>
  <c r="P306" i="14"/>
  <c r="Q312" i="14"/>
  <c r="Q313" i="14"/>
  <c r="P314" i="14"/>
  <c r="Q320" i="14"/>
  <c r="Q321" i="14"/>
  <c r="P322" i="14"/>
  <c r="Q328" i="14"/>
  <c r="Q329" i="14"/>
  <c r="P330" i="14"/>
  <c r="Q336" i="14"/>
  <c r="Q337" i="14"/>
  <c r="P338" i="14"/>
  <c r="Q344" i="14"/>
  <c r="Q345" i="14"/>
  <c r="P346" i="14"/>
  <c r="Q352" i="14"/>
  <c r="Q353" i="14"/>
  <c r="P354" i="14"/>
  <c r="Q360" i="14"/>
  <c r="Q361" i="14"/>
  <c r="P362" i="14"/>
  <c r="Q368" i="14"/>
  <c r="Q369" i="14"/>
  <c r="P370" i="14"/>
  <c r="Q376" i="14"/>
  <c r="Q377" i="14"/>
  <c r="P378" i="14"/>
  <c r="Q384" i="14"/>
  <c r="Q385" i="14"/>
  <c r="P386" i="14"/>
  <c r="Q392" i="14"/>
  <c r="Q393" i="14"/>
  <c r="P394" i="14"/>
  <c r="Q400" i="14"/>
  <c r="Q401" i="14"/>
  <c r="P402" i="14"/>
  <c r="Q408" i="14"/>
  <c r="Q409" i="14"/>
  <c r="P410" i="14"/>
  <c r="Q416" i="14"/>
  <c r="Q417" i="14"/>
  <c r="P418" i="14"/>
  <c r="Q424" i="14"/>
  <c r="Q425" i="14"/>
  <c r="P426" i="14"/>
  <c r="Q432" i="14"/>
  <c r="Q433" i="14"/>
  <c r="P434" i="14"/>
  <c r="Q440" i="14"/>
  <c r="Q441" i="14"/>
  <c r="P442" i="14"/>
  <c r="P448" i="14"/>
  <c r="Q453" i="14"/>
  <c r="P457" i="14"/>
  <c r="P460" i="14"/>
  <c r="Q471" i="14"/>
  <c r="P480" i="14"/>
  <c r="Q485" i="14"/>
  <c r="P489" i="14"/>
  <c r="P492" i="14"/>
  <c r="Q503" i="14"/>
  <c r="P512" i="14"/>
  <c r="Q517" i="14"/>
  <c r="P521" i="14"/>
  <c r="P524" i="14"/>
  <c r="Q535" i="14"/>
  <c r="P544" i="14"/>
  <c r="Q549" i="14"/>
  <c r="P553" i="14"/>
  <c r="P556" i="14"/>
  <c r="Q567" i="14"/>
  <c r="P576" i="14"/>
  <c r="Q581" i="14"/>
  <c r="P585" i="14"/>
  <c r="P588" i="14"/>
  <c r="Q599" i="14"/>
  <c r="P608" i="14"/>
  <c r="Q613" i="14"/>
  <c r="P617" i="14"/>
  <c r="P620" i="14"/>
  <c r="Q631" i="14"/>
  <c r="P640" i="14"/>
  <c r="Q645" i="14"/>
  <c r="P649" i="14"/>
  <c r="Q652" i="14"/>
  <c r="P662" i="14"/>
  <c r="Q668" i="14"/>
  <c r="P678" i="14"/>
  <c r="Q684" i="14"/>
  <c r="P694" i="14"/>
  <c r="Q700" i="14"/>
  <c r="P710" i="14"/>
  <c r="Q716" i="14"/>
  <c r="P726" i="14"/>
  <c r="Q732" i="14"/>
  <c r="P742" i="14"/>
  <c r="P753" i="14"/>
  <c r="P759" i="14"/>
  <c r="Q772" i="14"/>
  <c r="P776" i="14"/>
  <c r="Q802" i="14"/>
  <c r="Q806" i="14"/>
  <c r="P817" i="14"/>
  <c r="P823" i="14"/>
  <c r="Q842" i="14"/>
  <c r="P855" i="14"/>
  <c r="Q886" i="14"/>
  <c r="P897" i="14"/>
  <c r="Q930" i="14"/>
  <c r="Q991" i="14"/>
  <c r="Q1084" i="14"/>
  <c r="D4" i="17"/>
  <c r="D7" i="17"/>
  <c r="D5" i="17"/>
  <c r="D9" i="17"/>
  <c r="D6" i="17"/>
  <c r="C4" i="17"/>
  <c r="C5" i="17"/>
  <c r="C6" i="17"/>
  <c r="C7" i="17"/>
  <c r="C8" i="17"/>
  <c r="E8" i="17" s="1"/>
  <c r="C9" i="17"/>
  <c r="A1299" i="11" l="1"/>
  <c r="A1306" i="11"/>
  <c r="A1305" i="11"/>
  <c r="A1171" i="11"/>
  <c r="A1300" i="11"/>
  <c r="A1170" i="11"/>
  <c r="A1297" i="11"/>
  <c r="A1302" i="11"/>
  <c r="A1301" i="11"/>
  <c r="A1409" i="11"/>
  <c r="A1298" i="11"/>
  <c r="A1307" i="11"/>
  <c r="A1293" i="11"/>
  <c r="A1296" i="11"/>
  <c r="A1295" i="11"/>
  <c r="A1308" i="11"/>
  <c r="A1294" i="11"/>
  <c r="A1304" i="11"/>
  <c r="A1303" i="11"/>
  <c r="A1291" i="11"/>
  <c r="A1292" i="11"/>
  <c r="A1290" i="11"/>
  <c r="A1289" i="11"/>
  <c r="A507" i="11"/>
  <c r="A1326" i="11"/>
  <c r="A1407" i="11"/>
  <c r="A735" i="11"/>
  <c r="A863" i="11"/>
  <c r="A856" i="11"/>
  <c r="A830" i="11"/>
  <c r="A881" i="11"/>
  <c r="A882" i="11"/>
  <c r="A1031" i="11"/>
  <c r="A921" i="11"/>
  <c r="A1140" i="11"/>
  <c r="A922" i="11"/>
  <c r="A1145" i="11"/>
  <c r="A927" i="11"/>
  <c r="A1150" i="11"/>
  <c r="A1184" i="11"/>
  <c r="A1283" i="11"/>
  <c r="A1240" i="11"/>
  <c r="A1182" i="11"/>
  <c r="A1285" i="11"/>
  <c r="A1216" i="11"/>
  <c r="A1286" i="11"/>
  <c r="A736" i="11"/>
  <c r="A750" i="11"/>
  <c r="A879" i="11"/>
  <c r="A857" i="11"/>
  <c r="A749" i="11"/>
  <c r="A920" i="11"/>
  <c r="A1139" i="11"/>
  <c r="A925" i="11"/>
  <c r="A1144" i="11"/>
  <c r="A926" i="11"/>
  <c r="A1149" i="11"/>
  <c r="A1030" i="11"/>
  <c r="A1168" i="11"/>
  <c r="A1204" i="11"/>
  <c r="A1287" i="11"/>
  <c r="A1284" i="11"/>
  <c r="A1233" i="11"/>
  <c r="A1327" i="11"/>
  <c r="A1234" i="11"/>
  <c r="A1328" i="11"/>
  <c r="A677" i="11"/>
  <c r="A734" i="11"/>
  <c r="A818" i="11"/>
  <c r="A751" i="11"/>
  <c r="A880" i="11"/>
  <c r="A828" i="11"/>
  <c r="A924" i="11"/>
  <c r="A1143" i="11"/>
  <c r="A929" i="11"/>
  <c r="A1148" i="11"/>
  <c r="A930" i="11"/>
  <c r="A919" i="11"/>
  <c r="A1142" i="11"/>
  <c r="A1169" i="11"/>
  <c r="A1235" i="11"/>
  <c r="A1329" i="11"/>
  <c r="A1288" i="11"/>
  <c r="A1237" i="11"/>
  <c r="A1405" i="11"/>
  <c r="A1238" i="11"/>
  <c r="A1406" i="11"/>
  <c r="A685" i="11"/>
  <c r="A752" i="11"/>
  <c r="A829" i="11"/>
  <c r="A817" i="11"/>
  <c r="A748" i="11"/>
  <c r="A864" i="11"/>
  <c r="A928" i="11"/>
  <c r="A1147" i="11"/>
  <c r="A1032" i="11"/>
  <c r="A896" i="11"/>
  <c r="A1141" i="11"/>
  <c r="A923" i="11"/>
  <c r="A1146" i="11"/>
  <c r="A1167" i="11"/>
  <c r="A1239" i="11"/>
  <c r="A1236" i="11"/>
  <c r="A1408" i="11"/>
  <c r="A1281" i="11"/>
  <c r="A1183" i="11"/>
  <c r="A1282" i="11"/>
  <c r="A1401" i="11"/>
  <c r="A1404" i="11"/>
  <c r="A1403" i="11"/>
  <c r="A1402" i="11"/>
  <c r="A1389" i="11"/>
  <c r="A1384" i="11"/>
  <c r="A1385" i="11"/>
  <c r="A1390" i="11"/>
  <c r="A1394" i="11"/>
  <c r="A1387" i="11"/>
  <c r="A1392" i="11"/>
  <c r="A1393" i="11"/>
  <c r="A506" i="11"/>
  <c r="A1400" i="11"/>
  <c r="A1395" i="11"/>
  <c r="A1388" i="11"/>
  <c r="A1398" i="11"/>
  <c r="A1383" i="11"/>
  <c r="A1397" i="11"/>
  <c r="A1399" i="11"/>
  <c r="A1396" i="11"/>
  <c r="A1391" i="11"/>
  <c r="A1386" i="11"/>
  <c r="A1380" i="11"/>
  <c r="A1325" i="11"/>
  <c r="A1375" i="11"/>
  <c r="A1382" i="11"/>
  <c r="A1377" i="11"/>
  <c r="A1379" i="11"/>
  <c r="A1381" i="11"/>
  <c r="A1376" i="11"/>
  <c r="A1378" i="11"/>
  <c r="A1374" i="11"/>
  <c r="A1368" i="11"/>
  <c r="A1410" i="11"/>
  <c r="A1371" i="11"/>
  <c r="A1411" i="11"/>
  <c r="A1369" i="11"/>
  <c r="A1373" i="11"/>
  <c r="A1372" i="11"/>
  <c r="A1370" i="11"/>
  <c r="E14" i="5" a="1"/>
  <c r="E14" i="5" s="1"/>
  <c r="F14" i="5" s="1"/>
  <c r="H14" i="5" s="1"/>
  <c r="E30" i="5" a="1"/>
  <c r="E30" i="5" s="1"/>
  <c r="F30" i="5" s="1"/>
  <c r="H30" i="5" s="1"/>
  <c r="E7" i="5" a="1"/>
  <c r="E7" i="5" s="1"/>
  <c r="F7" i="5" s="1"/>
  <c r="E33" i="5" a="1"/>
  <c r="E33" i="5" s="1"/>
  <c r="F33" i="5" s="1"/>
  <c r="H33" i="5" s="1"/>
  <c r="E22" i="5" a="1"/>
  <c r="E22" i="5" s="1"/>
  <c r="F22" i="5" s="1"/>
  <c r="H22" i="5" s="1"/>
  <c r="E25" i="5" a="1"/>
  <c r="E25" i="5" s="1"/>
  <c r="F25" i="5" s="1"/>
  <c r="H25" i="5" s="1"/>
  <c r="E37" i="5" a="1"/>
  <c r="E37" i="5" s="1"/>
  <c r="F37" i="5" s="1"/>
  <c r="H37" i="5" s="1"/>
  <c r="E29" i="5" a="1"/>
  <c r="E29" i="5" s="1"/>
  <c r="F29" i="5" s="1"/>
  <c r="H29" i="5" s="1"/>
  <c r="E21" i="5" a="1"/>
  <c r="E21" i="5" s="1"/>
  <c r="F21" i="5" s="1"/>
  <c r="H21" i="5" s="1"/>
  <c r="E13" i="5" a="1"/>
  <c r="E13" i="5" s="1"/>
  <c r="F13" i="5" s="1"/>
  <c r="H13" i="5" s="1"/>
  <c r="E36" i="5" a="1"/>
  <c r="E36" i="5" s="1"/>
  <c r="F36" i="5" s="1"/>
  <c r="H36" i="5" s="1"/>
  <c r="E28" i="5" a="1"/>
  <c r="E28" i="5" s="1"/>
  <c r="F28" i="5" s="1"/>
  <c r="H28" i="5" s="1"/>
  <c r="E20" i="5" a="1"/>
  <c r="E20" i="5" s="1"/>
  <c r="F20" i="5" s="1"/>
  <c r="H20" i="5" s="1"/>
  <c r="E12" i="5" a="1"/>
  <c r="E12" i="5" s="1"/>
  <c r="F12" i="5" s="1"/>
  <c r="H12" i="5" s="1"/>
  <c r="E35" i="5" a="1"/>
  <c r="E35" i="5" s="1"/>
  <c r="F35" i="5" s="1"/>
  <c r="H35" i="5" s="1"/>
  <c r="E27" i="5" a="1"/>
  <c r="E27" i="5" s="1"/>
  <c r="F27" i="5" s="1"/>
  <c r="H27" i="5" s="1"/>
  <c r="E19" i="5" a="1"/>
  <c r="E19" i="5" s="1"/>
  <c r="F19" i="5" s="1"/>
  <c r="H19" i="5" s="1"/>
  <c r="E11" i="5" a="1"/>
  <c r="E11" i="5" s="1"/>
  <c r="F11" i="5" s="1"/>
  <c r="H11" i="5" s="1"/>
  <c r="E34" i="5" a="1"/>
  <c r="E34" i="5" s="1"/>
  <c r="F34" i="5" s="1"/>
  <c r="H34" i="5" s="1"/>
  <c r="E26" i="5" a="1"/>
  <c r="E26" i="5" s="1"/>
  <c r="F26" i="5" s="1"/>
  <c r="H26" i="5" s="1"/>
  <c r="E18" i="5" a="1"/>
  <c r="E18" i="5" s="1"/>
  <c r="F18" i="5" s="1"/>
  <c r="H18" i="5" s="1"/>
  <c r="E10" i="5" a="1"/>
  <c r="E10" i="5" s="1"/>
  <c r="F10" i="5" s="1"/>
  <c r="H10" i="5" s="1"/>
  <c r="E17" i="5" a="1"/>
  <c r="E17" i="5" s="1"/>
  <c r="F17" i="5" s="1"/>
  <c r="H17" i="5" s="1"/>
  <c r="E9" i="5" a="1"/>
  <c r="E9" i="5" s="1"/>
  <c r="F9" i="5" s="1"/>
  <c r="H9" i="5" s="1"/>
  <c r="E32" i="5" a="1"/>
  <c r="E32" i="5" s="1"/>
  <c r="F32" i="5" s="1"/>
  <c r="H32" i="5" s="1"/>
  <c r="E24" i="5" a="1"/>
  <c r="E24" i="5" s="1"/>
  <c r="F24" i="5" s="1"/>
  <c r="H24" i="5" s="1"/>
  <c r="E16" i="5" a="1"/>
  <c r="E16" i="5" s="1"/>
  <c r="F16" i="5" s="1"/>
  <c r="H16" i="5" s="1"/>
  <c r="E8" i="5" a="1"/>
  <c r="E8" i="5" s="1"/>
  <c r="F8" i="5" s="1"/>
  <c r="H8" i="5" s="1"/>
  <c r="E31" i="5" a="1"/>
  <c r="E31" i="5" s="1"/>
  <c r="F31" i="5" s="1"/>
  <c r="H31" i="5" s="1"/>
  <c r="E23" i="5" a="1"/>
  <c r="E23" i="5" s="1"/>
  <c r="F23" i="5" s="1"/>
  <c r="H23" i="5" s="1"/>
  <c r="E15" i="5" a="1"/>
  <c r="E15" i="5" s="1"/>
  <c r="F15" i="5" s="1"/>
  <c r="H15" i="5" s="1"/>
  <c r="A1206" i="11"/>
  <c r="A1311" i="11"/>
  <c r="A1246" i="11"/>
  <c r="A1357" i="11"/>
  <c r="A1270" i="11"/>
  <c r="A1365" i="11"/>
  <c r="A1262" i="11"/>
  <c r="A1320" i="11"/>
  <c r="A1229" i="11"/>
  <c r="A1333" i="11"/>
  <c r="A1221" i="11"/>
  <c r="A1341" i="11"/>
  <c r="A1254" i="11"/>
  <c r="A1349" i="11"/>
  <c r="A1264" i="11"/>
  <c r="A1127" i="11"/>
  <c r="A1120" i="11"/>
  <c r="A1137" i="11"/>
  <c r="A1313" i="11"/>
  <c r="A1332" i="11"/>
  <c r="A1220" i="11"/>
  <c r="A1363" i="11"/>
  <c r="A1260" i="11"/>
  <c r="A1267" i="11"/>
  <c r="A1274" i="11"/>
  <c r="A1273" i="11"/>
  <c r="A1359" i="11"/>
  <c r="A1256" i="11"/>
  <c r="A1276" i="11"/>
  <c r="A1128" i="11"/>
  <c r="A1131" i="11"/>
  <c r="A1138" i="11"/>
  <c r="A1232" i="11"/>
  <c r="A1271" i="11"/>
  <c r="A1319" i="11"/>
  <c r="A1355" i="11"/>
  <c r="A1252" i="11"/>
  <c r="A1362" i="11"/>
  <c r="A1259" i="11"/>
  <c r="A1266" i="11"/>
  <c r="A1265" i="11"/>
  <c r="A1351" i="11"/>
  <c r="A1248" i="11"/>
  <c r="A1124" i="11"/>
  <c r="A1135" i="11"/>
  <c r="A1366" i="11"/>
  <c r="A1263" i="11"/>
  <c r="A1310" i="11"/>
  <c r="A1347" i="11"/>
  <c r="A1244" i="11"/>
  <c r="A1354" i="11"/>
  <c r="A1251" i="11"/>
  <c r="A1361" i="11"/>
  <c r="A1258" i="11"/>
  <c r="A1360" i="11"/>
  <c r="A1257" i="11"/>
  <c r="A1343" i="11"/>
  <c r="A1231" i="11"/>
  <c r="A1277" i="11"/>
  <c r="A1119" i="11"/>
  <c r="A918" i="11"/>
  <c r="A1133" i="11"/>
  <c r="A1358" i="11"/>
  <c r="A1255" i="11"/>
  <c r="A1269" i="11"/>
  <c r="A1339" i="11"/>
  <c r="A1227" i="11"/>
  <c r="A1346" i="11"/>
  <c r="A1243" i="11"/>
  <c r="A1353" i="11"/>
  <c r="A1250" i="11"/>
  <c r="A1352" i="11"/>
  <c r="A1249" i="11"/>
  <c r="A1335" i="11"/>
  <c r="A1223" i="11"/>
  <c r="A1121" i="11"/>
  <c r="A1278" i="11"/>
  <c r="A1125" i="11"/>
  <c r="A1280" i="11"/>
  <c r="A1350" i="11"/>
  <c r="A1247" i="11"/>
  <c r="A1364" i="11"/>
  <c r="A1261" i="11"/>
  <c r="A1331" i="11"/>
  <c r="A1219" i="11"/>
  <c r="A1338" i="11"/>
  <c r="A1226" i="11"/>
  <c r="A1345" i="11"/>
  <c r="A1242" i="11"/>
  <c r="A1344" i="11"/>
  <c r="A1241" i="11"/>
  <c r="A1322" i="11"/>
  <c r="A1312" i="11"/>
  <c r="A1129" i="11"/>
  <c r="A1122" i="11"/>
  <c r="A1134" i="11"/>
  <c r="A1342" i="11"/>
  <c r="A1230" i="11"/>
  <c r="A1356" i="11"/>
  <c r="A1253" i="11"/>
  <c r="A1318" i="11"/>
  <c r="A1330" i="11"/>
  <c r="A1218" i="11"/>
  <c r="A1337" i="11"/>
  <c r="A1225" i="11"/>
  <c r="A1336" i="11"/>
  <c r="A1224" i="11"/>
  <c r="A1314" i="11"/>
  <c r="A1123" i="11"/>
  <c r="A1130" i="11"/>
  <c r="A1132" i="11"/>
  <c r="A1203" i="11"/>
  <c r="A1334" i="11"/>
  <c r="A1222" i="11"/>
  <c r="A1348" i="11"/>
  <c r="A1245" i="11"/>
  <c r="A1309" i="11"/>
  <c r="A1317" i="11"/>
  <c r="A1324" i="11"/>
  <c r="A1217" i="11"/>
  <c r="A1323" i="11"/>
  <c r="A1272" i="11"/>
  <c r="A917" i="11"/>
  <c r="A1279" i="11"/>
  <c r="A1126" i="11"/>
  <c r="A1136" i="11"/>
  <c r="A1321" i="11"/>
  <c r="A1340" i="11"/>
  <c r="A1228" i="11"/>
  <c r="A1268" i="11"/>
  <c r="A1275" i="11"/>
  <c r="A1316" i="11"/>
  <c r="A1315" i="11"/>
  <c r="A1367" i="11"/>
  <c r="E5" i="17"/>
  <c r="A1179" i="11"/>
  <c r="A789" i="11"/>
  <c r="E9" i="17"/>
  <c r="E7" i="17"/>
  <c r="K165" i="6"/>
  <c r="G165" i="6"/>
  <c r="C165" i="6"/>
  <c r="M164" i="6"/>
  <c r="I164" i="6"/>
  <c r="E164" i="6"/>
  <c r="M162" i="6"/>
  <c r="I162" i="6"/>
  <c r="E162" i="6"/>
  <c r="K161" i="6"/>
  <c r="G161" i="6"/>
  <c r="C161" i="6"/>
  <c r="M160" i="6"/>
  <c r="I160" i="6"/>
  <c r="E160" i="6"/>
  <c r="K159" i="6"/>
  <c r="G159" i="6"/>
  <c r="C159" i="6"/>
  <c r="M158" i="6"/>
  <c r="I158" i="6"/>
  <c r="E158" i="6"/>
  <c r="K157" i="6"/>
  <c r="G157" i="6"/>
  <c r="C157" i="6"/>
  <c r="M156" i="6"/>
  <c r="I156" i="6"/>
  <c r="E156" i="6"/>
  <c r="K155" i="6"/>
  <c r="G155" i="6"/>
  <c r="C155" i="6"/>
  <c r="M154" i="6"/>
  <c r="I154" i="6"/>
  <c r="E154" i="6"/>
  <c r="N165" i="6"/>
  <c r="J165" i="6"/>
  <c r="F165" i="6"/>
  <c r="L164" i="6"/>
  <c r="H164" i="6"/>
  <c r="D164" i="6"/>
  <c r="L162" i="6"/>
  <c r="H162" i="6"/>
  <c r="D162" i="6"/>
  <c r="N161" i="6"/>
  <c r="J161" i="6"/>
  <c r="F161" i="6"/>
  <c r="L160" i="6"/>
  <c r="H160" i="6"/>
  <c r="D160" i="6"/>
  <c r="N159" i="6"/>
  <c r="M165" i="6"/>
  <c r="I165" i="6"/>
  <c r="E165" i="6"/>
  <c r="K164" i="6"/>
  <c r="G164" i="6"/>
  <c r="C164" i="6"/>
  <c r="K162" i="6"/>
  <c r="G162" i="6"/>
  <c r="C162" i="6"/>
  <c r="M161" i="6"/>
  <c r="I161" i="6"/>
  <c r="E161" i="6"/>
  <c r="K160" i="6"/>
  <c r="G160" i="6"/>
  <c r="C160" i="6"/>
  <c r="M159" i="6"/>
  <c r="I159" i="6"/>
  <c r="E159" i="6"/>
  <c r="K158" i="6"/>
  <c r="G158" i="6"/>
  <c r="C158" i="6"/>
  <c r="M157" i="6"/>
  <c r="I157" i="6"/>
  <c r="E157" i="6"/>
  <c r="K156" i="6"/>
  <c r="G156" i="6"/>
  <c r="C156" i="6"/>
  <c r="M155" i="6"/>
  <c r="I155" i="6"/>
  <c r="E155" i="6"/>
  <c r="L165" i="6"/>
  <c r="H165" i="6"/>
  <c r="D165" i="6"/>
  <c r="N164" i="6"/>
  <c r="J164" i="6"/>
  <c r="F164" i="6"/>
  <c r="N162" i="6"/>
  <c r="J162" i="6"/>
  <c r="F162" i="6"/>
  <c r="L161" i="6"/>
  <c r="H161" i="6"/>
  <c r="D161" i="6"/>
  <c r="N160" i="6"/>
  <c r="J160" i="6"/>
  <c r="F160" i="6"/>
  <c r="L159" i="6"/>
  <c r="H159" i="6"/>
  <c r="D159" i="6"/>
  <c r="N158" i="6"/>
  <c r="J158" i="6"/>
  <c r="F158" i="6"/>
  <c r="L157" i="6"/>
  <c r="H157" i="6"/>
  <c r="D157" i="6"/>
  <c r="N156" i="6"/>
  <c r="J156" i="6"/>
  <c r="F156" i="6"/>
  <c r="L155" i="6"/>
  <c r="H155" i="6"/>
  <c r="N157" i="6"/>
  <c r="L156" i="6"/>
  <c r="J155" i="6"/>
  <c r="J154" i="6"/>
  <c r="D154" i="6"/>
  <c r="M153" i="6"/>
  <c r="I153" i="6"/>
  <c r="E153" i="6"/>
  <c r="K152" i="6"/>
  <c r="G152" i="6"/>
  <c r="C152" i="6"/>
  <c r="M151" i="6"/>
  <c r="I151" i="6"/>
  <c r="E151" i="6"/>
  <c r="K150" i="6"/>
  <c r="G150" i="6"/>
  <c r="C150" i="6"/>
  <c r="K147" i="6"/>
  <c r="G147" i="6"/>
  <c r="C147" i="6"/>
  <c r="M146" i="6"/>
  <c r="I146" i="6"/>
  <c r="E146" i="6"/>
  <c r="K145" i="6"/>
  <c r="G145" i="6"/>
  <c r="C145" i="6"/>
  <c r="M144" i="6"/>
  <c r="I144" i="6"/>
  <c r="E144" i="6"/>
  <c r="K143" i="6"/>
  <c r="G143" i="6"/>
  <c r="C143" i="6"/>
  <c r="M142" i="6"/>
  <c r="I142" i="6"/>
  <c r="E142" i="6"/>
  <c r="K141" i="6"/>
  <c r="G141" i="6"/>
  <c r="C141" i="6"/>
  <c r="M140" i="6"/>
  <c r="I140" i="6"/>
  <c r="E140" i="6"/>
  <c r="K139" i="6"/>
  <c r="G139" i="6"/>
  <c r="C139" i="6"/>
  <c r="M138" i="6"/>
  <c r="I138" i="6"/>
  <c r="E138" i="6"/>
  <c r="K137" i="6"/>
  <c r="G137" i="6"/>
  <c r="C137" i="6"/>
  <c r="M136" i="6"/>
  <c r="I136" i="6"/>
  <c r="E136" i="6"/>
  <c r="K135" i="6"/>
  <c r="G135" i="6"/>
  <c r="C135" i="6"/>
  <c r="M134" i="6"/>
  <c r="I134" i="6"/>
  <c r="E134" i="6"/>
  <c r="K133" i="6"/>
  <c r="G133" i="6"/>
  <c r="C133" i="6"/>
  <c r="M132" i="6"/>
  <c r="I132" i="6"/>
  <c r="E132" i="6"/>
  <c r="K131" i="6"/>
  <c r="G131" i="6"/>
  <c r="C131" i="6"/>
  <c r="M130" i="6"/>
  <c r="I130" i="6"/>
  <c r="E130" i="6"/>
  <c r="K129" i="6"/>
  <c r="G129" i="6"/>
  <c r="C129" i="6"/>
  <c r="M128" i="6"/>
  <c r="I128" i="6"/>
  <c r="E128" i="6"/>
  <c r="K127" i="6"/>
  <c r="G127" i="6"/>
  <c r="C127" i="6"/>
  <c r="M126" i="6"/>
  <c r="I126" i="6"/>
  <c r="E126" i="6"/>
  <c r="K125" i="6"/>
  <c r="G125" i="6"/>
  <c r="C125" i="6"/>
  <c r="M124" i="6"/>
  <c r="I124" i="6"/>
  <c r="E124" i="6"/>
  <c r="K123" i="6"/>
  <c r="G123" i="6"/>
  <c r="C123" i="6"/>
  <c r="M122" i="6"/>
  <c r="I122" i="6"/>
  <c r="E122" i="6"/>
  <c r="K121" i="6"/>
  <c r="G121" i="6"/>
  <c r="C121" i="6"/>
  <c r="M120" i="6"/>
  <c r="I120" i="6"/>
  <c r="E120" i="6"/>
  <c r="K119" i="6"/>
  <c r="G119" i="6"/>
  <c r="C119" i="6"/>
  <c r="M118" i="6"/>
  <c r="I118" i="6"/>
  <c r="E118" i="6"/>
  <c r="K117" i="6"/>
  <c r="G117" i="6"/>
  <c r="C117" i="6"/>
  <c r="M116" i="6"/>
  <c r="I116" i="6"/>
  <c r="E116" i="6"/>
  <c r="K115" i="6"/>
  <c r="G115" i="6"/>
  <c r="C115" i="6"/>
  <c r="M114" i="6"/>
  <c r="I114" i="6"/>
  <c r="E114" i="6"/>
  <c r="K113" i="6"/>
  <c r="G113" i="6"/>
  <c r="C113" i="6"/>
  <c r="M112" i="6"/>
  <c r="I112" i="6"/>
  <c r="E112" i="6"/>
  <c r="K111" i="6"/>
  <c r="G111" i="6"/>
  <c r="C111" i="6"/>
  <c r="M110" i="6"/>
  <c r="I110" i="6"/>
  <c r="E110" i="6"/>
  <c r="K109" i="6"/>
  <c r="G109" i="6"/>
  <c r="C109" i="6"/>
  <c r="M108" i="6"/>
  <c r="I108" i="6"/>
  <c r="E108" i="6"/>
  <c r="K107" i="6"/>
  <c r="G107" i="6"/>
  <c r="C107" i="6"/>
  <c r="M106" i="6"/>
  <c r="I106" i="6"/>
  <c r="E106" i="6"/>
  <c r="K105" i="6"/>
  <c r="G105" i="6"/>
  <c r="C105" i="6"/>
  <c r="M104" i="6"/>
  <c r="I104" i="6"/>
  <c r="E104" i="6"/>
  <c r="K103" i="6"/>
  <c r="G103" i="6"/>
  <c r="C103" i="6"/>
  <c r="M102" i="6"/>
  <c r="I102" i="6"/>
  <c r="E102" i="6"/>
  <c r="K101" i="6"/>
  <c r="G101" i="6"/>
  <c r="C101" i="6"/>
  <c r="M100" i="6"/>
  <c r="I100" i="6"/>
  <c r="E100" i="6"/>
  <c r="K99" i="6"/>
  <c r="G99" i="6"/>
  <c r="C99" i="6"/>
  <c r="M98" i="6"/>
  <c r="I98" i="6"/>
  <c r="E98" i="6"/>
  <c r="K97" i="6"/>
  <c r="G97" i="6"/>
  <c r="C97" i="6"/>
  <c r="M96" i="6"/>
  <c r="I96" i="6"/>
  <c r="E96" i="6"/>
  <c r="K95" i="6"/>
  <c r="G95" i="6"/>
  <c r="C95" i="6"/>
  <c r="M94" i="6"/>
  <c r="I94" i="6"/>
  <c r="E94" i="6"/>
  <c r="K93" i="6"/>
  <c r="G93" i="6"/>
  <c r="C93" i="6"/>
  <c r="M92" i="6"/>
  <c r="I92" i="6"/>
  <c r="E92" i="6"/>
  <c r="K91" i="6"/>
  <c r="G91" i="6"/>
  <c r="C91" i="6"/>
  <c r="M90" i="6"/>
  <c r="I90" i="6"/>
  <c r="E90" i="6"/>
  <c r="K89" i="6"/>
  <c r="G89" i="6"/>
  <c r="C89" i="6"/>
  <c r="M88" i="6"/>
  <c r="I88" i="6"/>
  <c r="E88" i="6"/>
  <c r="K87" i="6"/>
  <c r="G87" i="6"/>
  <c r="C87" i="6"/>
  <c r="M86" i="6"/>
  <c r="I86" i="6"/>
  <c r="E86" i="6"/>
  <c r="K85" i="6"/>
  <c r="G85" i="6"/>
  <c r="C85" i="6"/>
  <c r="M84" i="6"/>
  <c r="I84" i="6"/>
  <c r="E84" i="6"/>
  <c r="K83" i="6"/>
  <c r="G83" i="6"/>
  <c r="C83" i="6"/>
  <c r="M82" i="6"/>
  <c r="I82" i="6"/>
  <c r="E82" i="6"/>
  <c r="K81" i="6"/>
  <c r="G81" i="6"/>
  <c r="C81" i="6"/>
  <c r="M80" i="6"/>
  <c r="I80" i="6"/>
  <c r="E80" i="6"/>
  <c r="K79" i="6"/>
  <c r="G79" i="6"/>
  <c r="C79" i="6"/>
  <c r="M78" i="6"/>
  <c r="I78" i="6"/>
  <c r="E78" i="6"/>
  <c r="K77" i="6"/>
  <c r="G77" i="6"/>
  <c r="C77" i="6"/>
  <c r="M76" i="6"/>
  <c r="I76" i="6"/>
  <c r="E76" i="6"/>
  <c r="K75" i="6"/>
  <c r="G75" i="6"/>
  <c r="C75" i="6"/>
  <c r="M74" i="6"/>
  <c r="I74" i="6"/>
  <c r="E74" i="6"/>
  <c r="K73" i="6"/>
  <c r="G73" i="6"/>
  <c r="C73" i="6"/>
  <c r="M72" i="6"/>
  <c r="I72" i="6"/>
  <c r="E72" i="6"/>
  <c r="K71" i="6"/>
  <c r="G71" i="6"/>
  <c r="C71" i="6"/>
  <c r="M70" i="6"/>
  <c r="I70" i="6"/>
  <c r="E70" i="6"/>
  <c r="K69" i="6"/>
  <c r="G69" i="6"/>
  <c r="C69" i="6"/>
  <c r="M68" i="6"/>
  <c r="I68" i="6"/>
  <c r="E68" i="6"/>
  <c r="K67" i="6"/>
  <c r="G67" i="6"/>
  <c r="C67" i="6"/>
  <c r="M66" i="6"/>
  <c r="I66" i="6"/>
  <c r="E66" i="6"/>
  <c r="K65" i="6"/>
  <c r="G65" i="6"/>
  <c r="C65" i="6"/>
  <c r="M64" i="6"/>
  <c r="I64" i="6"/>
  <c r="E64" i="6"/>
  <c r="K63" i="6"/>
  <c r="G63" i="6"/>
  <c r="C63" i="6"/>
  <c r="M62" i="6"/>
  <c r="I62" i="6"/>
  <c r="E62" i="6"/>
  <c r="K61" i="6"/>
  <c r="G61" i="6"/>
  <c r="C61" i="6"/>
  <c r="M60" i="6"/>
  <c r="I60" i="6"/>
  <c r="E60" i="6"/>
  <c r="K59" i="6"/>
  <c r="G59" i="6"/>
  <c r="C59" i="6"/>
  <c r="M58" i="6"/>
  <c r="I58" i="6"/>
  <c r="E58" i="6"/>
  <c r="K54" i="6"/>
  <c r="G54" i="6"/>
  <c r="C54" i="6"/>
  <c r="M53" i="6"/>
  <c r="I53" i="6"/>
  <c r="E53" i="6"/>
  <c r="K52" i="6"/>
  <c r="G52" i="6"/>
  <c r="C52" i="6"/>
  <c r="M51" i="6"/>
  <c r="I51" i="6"/>
  <c r="E51" i="6"/>
  <c r="K50" i="6"/>
  <c r="G50" i="6"/>
  <c r="C50" i="6"/>
  <c r="M49" i="6"/>
  <c r="I49" i="6"/>
  <c r="E49" i="6"/>
  <c r="K48" i="6"/>
  <c r="G48" i="6"/>
  <c r="C48" i="6"/>
  <c r="L45" i="6"/>
  <c r="H45" i="6"/>
  <c r="D45" i="6"/>
  <c r="N44" i="6"/>
  <c r="J44" i="6"/>
  <c r="F44" i="6"/>
  <c r="L43" i="6"/>
  <c r="H43" i="6"/>
  <c r="D43" i="6"/>
  <c r="N42" i="6"/>
  <c r="J42" i="6"/>
  <c r="F42" i="6"/>
  <c r="L41" i="6"/>
  <c r="L37" i="10" s="1"/>
  <c r="H41" i="6"/>
  <c r="H37" i="10" s="1"/>
  <c r="D41" i="6"/>
  <c r="D37" i="10" s="1"/>
  <c r="N40" i="6"/>
  <c r="N36" i="10" s="1"/>
  <c r="J40" i="6"/>
  <c r="J36" i="10" s="1"/>
  <c r="F40" i="6"/>
  <c r="F36" i="10" s="1"/>
  <c r="L39" i="6"/>
  <c r="L35" i="10" s="1"/>
  <c r="H39" i="6"/>
  <c r="H35" i="10" s="1"/>
  <c r="D39" i="6"/>
  <c r="D35" i="10" s="1"/>
  <c r="N38" i="6"/>
  <c r="N34" i="10" s="1"/>
  <c r="J38" i="6"/>
  <c r="J34" i="10" s="1"/>
  <c r="F38" i="6"/>
  <c r="F34" i="10" s="1"/>
  <c r="L37" i="6"/>
  <c r="L33" i="10" s="1"/>
  <c r="H37" i="6"/>
  <c r="H33" i="10" s="1"/>
  <c r="D37" i="6"/>
  <c r="D33" i="10" s="1"/>
  <c r="N36" i="6"/>
  <c r="N32" i="10" s="1"/>
  <c r="J36" i="6"/>
  <c r="J32" i="10" s="1"/>
  <c r="F36" i="6"/>
  <c r="F32" i="10" s="1"/>
  <c r="L35" i="6"/>
  <c r="L31" i="10" s="1"/>
  <c r="H35" i="6"/>
  <c r="H31" i="10" s="1"/>
  <c r="D35" i="6"/>
  <c r="D31" i="10" s="1"/>
  <c r="N34" i="6"/>
  <c r="J34" i="6"/>
  <c r="F34" i="6"/>
  <c r="N31" i="6"/>
  <c r="J31" i="6"/>
  <c r="F31" i="6"/>
  <c r="L30" i="6"/>
  <c r="H30" i="6"/>
  <c r="D30" i="6"/>
  <c r="L27" i="6"/>
  <c r="H27" i="6"/>
  <c r="D27" i="6"/>
  <c r="N26" i="6"/>
  <c r="J26" i="6"/>
  <c r="F26" i="6"/>
  <c r="L25" i="6"/>
  <c r="H25" i="6"/>
  <c r="D25" i="6"/>
  <c r="N24" i="6"/>
  <c r="J24" i="6"/>
  <c r="F24" i="6"/>
  <c r="L23" i="6"/>
  <c r="H23" i="6"/>
  <c r="D23" i="6"/>
  <c r="L17" i="6"/>
  <c r="H17" i="6"/>
  <c r="D17" i="6"/>
  <c r="N16" i="6"/>
  <c r="J16" i="6"/>
  <c r="F16" i="6"/>
  <c r="L15" i="6"/>
  <c r="H15" i="6"/>
  <c r="D15" i="6"/>
  <c r="N14" i="6"/>
  <c r="J14" i="6"/>
  <c r="F14" i="6"/>
  <c r="E23" i="6"/>
  <c r="E17" i="6"/>
  <c r="C16" i="6"/>
  <c r="M15" i="6"/>
  <c r="G14" i="6"/>
  <c r="L158" i="6"/>
  <c r="J157" i="6"/>
  <c r="H156" i="6"/>
  <c r="F155" i="6"/>
  <c r="N154" i="6"/>
  <c r="H154" i="6"/>
  <c r="C154" i="6"/>
  <c r="L153" i="6"/>
  <c r="H153" i="6"/>
  <c r="D153" i="6"/>
  <c r="N152" i="6"/>
  <c r="J152" i="6"/>
  <c r="F152" i="6"/>
  <c r="L151" i="6"/>
  <c r="H151" i="6"/>
  <c r="D151" i="6"/>
  <c r="N150" i="6"/>
  <c r="J150" i="6"/>
  <c r="F150" i="6"/>
  <c r="N147" i="6"/>
  <c r="J147" i="6"/>
  <c r="F147" i="6"/>
  <c r="L146" i="6"/>
  <c r="H146" i="6"/>
  <c r="D146" i="6"/>
  <c r="N145" i="6"/>
  <c r="J145" i="6"/>
  <c r="F145" i="6"/>
  <c r="L144" i="6"/>
  <c r="H144" i="6"/>
  <c r="D144" i="6"/>
  <c r="N143" i="6"/>
  <c r="J143" i="6"/>
  <c r="F143" i="6"/>
  <c r="L142" i="6"/>
  <c r="H142" i="6"/>
  <c r="D142" i="6"/>
  <c r="N141" i="6"/>
  <c r="J141" i="6"/>
  <c r="F141" i="6"/>
  <c r="L140" i="6"/>
  <c r="H140" i="6"/>
  <c r="D140" i="6"/>
  <c r="N139" i="6"/>
  <c r="J139" i="6"/>
  <c r="F139" i="6"/>
  <c r="L138" i="6"/>
  <c r="H138" i="6"/>
  <c r="D138" i="6"/>
  <c r="N137" i="6"/>
  <c r="J137" i="6"/>
  <c r="F137" i="6"/>
  <c r="L136" i="6"/>
  <c r="H136" i="6"/>
  <c r="D136" i="6"/>
  <c r="N135" i="6"/>
  <c r="J135" i="6"/>
  <c r="F135" i="6"/>
  <c r="L134" i="6"/>
  <c r="H134" i="6"/>
  <c r="D134" i="6"/>
  <c r="N133" i="6"/>
  <c r="J133" i="6"/>
  <c r="F133" i="6"/>
  <c r="L132" i="6"/>
  <c r="H132" i="6"/>
  <c r="D132" i="6"/>
  <c r="N131" i="6"/>
  <c r="J131" i="6"/>
  <c r="F131" i="6"/>
  <c r="L130" i="6"/>
  <c r="H130" i="6"/>
  <c r="D130" i="6"/>
  <c r="N129" i="6"/>
  <c r="J129" i="6"/>
  <c r="F129" i="6"/>
  <c r="L128" i="6"/>
  <c r="H128" i="6"/>
  <c r="D128" i="6"/>
  <c r="N127" i="6"/>
  <c r="J127" i="6"/>
  <c r="F127" i="6"/>
  <c r="L126" i="6"/>
  <c r="H126" i="6"/>
  <c r="D126" i="6"/>
  <c r="N125" i="6"/>
  <c r="J125" i="6"/>
  <c r="F125" i="6"/>
  <c r="L124" i="6"/>
  <c r="H124" i="6"/>
  <c r="D124" i="6"/>
  <c r="N123" i="6"/>
  <c r="J123" i="6"/>
  <c r="F123" i="6"/>
  <c r="L122" i="6"/>
  <c r="H122" i="6"/>
  <c r="D122" i="6"/>
  <c r="N121" i="6"/>
  <c r="J121" i="6"/>
  <c r="F121" i="6"/>
  <c r="L120" i="6"/>
  <c r="H120" i="6"/>
  <c r="D120" i="6"/>
  <c r="N119" i="6"/>
  <c r="J119" i="6"/>
  <c r="F119" i="6"/>
  <c r="L118" i="6"/>
  <c r="H118" i="6"/>
  <c r="D118" i="6"/>
  <c r="N117" i="6"/>
  <c r="J117" i="6"/>
  <c r="F117" i="6"/>
  <c r="L116" i="6"/>
  <c r="H116" i="6"/>
  <c r="D116" i="6"/>
  <c r="N115" i="6"/>
  <c r="J115" i="6"/>
  <c r="F115" i="6"/>
  <c r="L114" i="6"/>
  <c r="H114" i="6"/>
  <c r="D114" i="6"/>
  <c r="N113" i="6"/>
  <c r="J113" i="6"/>
  <c r="F113" i="6"/>
  <c r="L112" i="6"/>
  <c r="H112" i="6"/>
  <c r="D112" i="6"/>
  <c r="N111" i="6"/>
  <c r="J111" i="6"/>
  <c r="F111" i="6"/>
  <c r="L110" i="6"/>
  <c r="H110" i="6"/>
  <c r="D110" i="6"/>
  <c r="N109" i="6"/>
  <c r="J109" i="6"/>
  <c r="F109" i="6"/>
  <c r="L108" i="6"/>
  <c r="H108" i="6"/>
  <c r="D108" i="6"/>
  <c r="N107" i="6"/>
  <c r="J107" i="6"/>
  <c r="F107" i="6"/>
  <c r="L106" i="6"/>
  <c r="H106" i="6"/>
  <c r="D106" i="6"/>
  <c r="N105" i="6"/>
  <c r="J105" i="6"/>
  <c r="F105" i="6"/>
  <c r="L104" i="6"/>
  <c r="H104" i="6"/>
  <c r="D104" i="6"/>
  <c r="N103" i="6"/>
  <c r="J103" i="6"/>
  <c r="F103" i="6"/>
  <c r="L102" i="6"/>
  <c r="H102" i="6"/>
  <c r="D102" i="6"/>
  <c r="N101" i="6"/>
  <c r="J101" i="6"/>
  <c r="F101" i="6"/>
  <c r="L100" i="6"/>
  <c r="H100" i="6"/>
  <c r="D100" i="6"/>
  <c r="N99" i="6"/>
  <c r="J99" i="6"/>
  <c r="F99" i="6"/>
  <c r="L98" i="6"/>
  <c r="H98" i="6"/>
  <c r="D98" i="6"/>
  <c r="N97" i="6"/>
  <c r="J97" i="6"/>
  <c r="F97" i="6"/>
  <c r="L96" i="6"/>
  <c r="H96" i="6"/>
  <c r="D96" i="6"/>
  <c r="N95" i="6"/>
  <c r="J95" i="6"/>
  <c r="F95" i="6"/>
  <c r="L94" i="6"/>
  <c r="H94" i="6"/>
  <c r="D94" i="6"/>
  <c r="N93" i="6"/>
  <c r="J93" i="6"/>
  <c r="F93" i="6"/>
  <c r="L92" i="6"/>
  <c r="H92" i="6"/>
  <c r="D92" i="6"/>
  <c r="N91" i="6"/>
  <c r="J91" i="6"/>
  <c r="F91" i="6"/>
  <c r="L90" i="6"/>
  <c r="H90" i="6"/>
  <c r="D90" i="6"/>
  <c r="N89" i="6"/>
  <c r="J89" i="6"/>
  <c r="F89" i="6"/>
  <c r="L88" i="6"/>
  <c r="H88" i="6"/>
  <c r="D88" i="6"/>
  <c r="N87" i="6"/>
  <c r="J87" i="6"/>
  <c r="F87" i="6"/>
  <c r="L86" i="6"/>
  <c r="H86" i="6"/>
  <c r="D86" i="6"/>
  <c r="N85" i="6"/>
  <c r="J85" i="6"/>
  <c r="F85" i="6"/>
  <c r="L84" i="6"/>
  <c r="H84" i="6"/>
  <c r="D84" i="6"/>
  <c r="N83" i="6"/>
  <c r="J83" i="6"/>
  <c r="F83" i="6"/>
  <c r="L82" i="6"/>
  <c r="H82" i="6"/>
  <c r="D82" i="6"/>
  <c r="N81" i="6"/>
  <c r="J81" i="6"/>
  <c r="F81" i="6"/>
  <c r="L80" i="6"/>
  <c r="H80" i="6"/>
  <c r="D80" i="6"/>
  <c r="N79" i="6"/>
  <c r="J79" i="6"/>
  <c r="F79" i="6"/>
  <c r="L78" i="6"/>
  <c r="H78" i="6"/>
  <c r="D78" i="6"/>
  <c r="N77" i="6"/>
  <c r="J77" i="6"/>
  <c r="F77" i="6"/>
  <c r="L76" i="6"/>
  <c r="H76" i="6"/>
  <c r="D76" i="6"/>
  <c r="N75" i="6"/>
  <c r="J75" i="6"/>
  <c r="F75" i="6"/>
  <c r="L74" i="6"/>
  <c r="H74" i="6"/>
  <c r="D74" i="6"/>
  <c r="N73" i="6"/>
  <c r="J73" i="6"/>
  <c r="F73" i="6"/>
  <c r="L72" i="6"/>
  <c r="H72" i="6"/>
  <c r="D72" i="6"/>
  <c r="N71" i="6"/>
  <c r="J71" i="6"/>
  <c r="F71" i="6"/>
  <c r="L70" i="6"/>
  <c r="H70" i="6"/>
  <c r="D70" i="6"/>
  <c r="N69" i="6"/>
  <c r="J69" i="6"/>
  <c r="F69" i="6"/>
  <c r="L68" i="6"/>
  <c r="H68" i="6"/>
  <c r="D68" i="6"/>
  <c r="N67" i="6"/>
  <c r="J67" i="6"/>
  <c r="F67" i="6"/>
  <c r="L66" i="6"/>
  <c r="H66" i="6"/>
  <c r="D66" i="6"/>
  <c r="N65" i="6"/>
  <c r="J65" i="6"/>
  <c r="F65" i="6"/>
  <c r="L64" i="6"/>
  <c r="H64" i="6"/>
  <c r="D64" i="6"/>
  <c r="N63" i="6"/>
  <c r="J63" i="6"/>
  <c r="F63" i="6"/>
  <c r="L62" i="6"/>
  <c r="H62" i="6"/>
  <c r="D62" i="6"/>
  <c r="N61" i="6"/>
  <c r="J61" i="6"/>
  <c r="F61" i="6"/>
  <c r="L60" i="6"/>
  <c r="H60" i="6"/>
  <c r="D60" i="6"/>
  <c r="N59" i="6"/>
  <c r="J59" i="6"/>
  <c r="F59" i="6"/>
  <c r="L58" i="6"/>
  <c r="H58" i="6"/>
  <c r="D58" i="6"/>
  <c r="N54" i="6"/>
  <c r="J54" i="6"/>
  <c r="F54" i="6"/>
  <c r="L53" i="6"/>
  <c r="H53" i="6"/>
  <c r="D53" i="6"/>
  <c r="N52" i="6"/>
  <c r="J52" i="6"/>
  <c r="F52" i="6"/>
  <c r="L51" i="6"/>
  <c r="H51" i="6"/>
  <c r="D51" i="6"/>
  <c r="N50" i="6"/>
  <c r="J50" i="6"/>
  <c r="F50" i="6"/>
  <c r="L49" i="6"/>
  <c r="H49" i="6"/>
  <c r="D49" i="6"/>
  <c r="N48" i="6"/>
  <c r="J48" i="6"/>
  <c r="F48" i="6"/>
  <c r="K45" i="6"/>
  <c r="G45" i="6"/>
  <c r="C45" i="6"/>
  <c r="M44" i="6"/>
  <c r="I44" i="6"/>
  <c r="E44" i="6"/>
  <c r="K43" i="6"/>
  <c r="G43" i="6"/>
  <c r="C43" i="6"/>
  <c r="M42" i="6"/>
  <c r="I42" i="6"/>
  <c r="E42" i="6"/>
  <c r="K41" i="6"/>
  <c r="K37" i="10" s="1"/>
  <c r="G41" i="6"/>
  <c r="G37" i="10" s="1"/>
  <c r="C41" i="6"/>
  <c r="M40" i="6"/>
  <c r="M36" i="10" s="1"/>
  <c r="I40" i="6"/>
  <c r="I36" i="10" s="1"/>
  <c r="E40" i="6"/>
  <c r="E36" i="10" s="1"/>
  <c r="K39" i="6"/>
  <c r="K35" i="10" s="1"/>
  <c r="G39" i="6"/>
  <c r="G35" i="10" s="1"/>
  <c r="C39" i="6"/>
  <c r="M38" i="6"/>
  <c r="M34" i="10" s="1"/>
  <c r="I38" i="6"/>
  <c r="I34" i="10" s="1"/>
  <c r="E38" i="6"/>
  <c r="E34" i="10" s="1"/>
  <c r="K37" i="6"/>
  <c r="K33" i="10" s="1"/>
  <c r="G37" i="6"/>
  <c r="G33" i="10" s="1"/>
  <c r="C37" i="6"/>
  <c r="M36" i="6"/>
  <c r="M32" i="10" s="1"/>
  <c r="I36" i="6"/>
  <c r="I32" i="10" s="1"/>
  <c r="E36" i="6"/>
  <c r="E32" i="10" s="1"/>
  <c r="K35" i="6"/>
  <c r="K31" i="10" s="1"/>
  <c r="G35" i="6"/>
  <c r="G31" i="10" s="1"/>
  <c r="C35" i="6"/>
  <c r="M34" i="6"/>
  <c r="I34" i="6"/>
  <c r="E34" i="6"/>
  <c r="M31" i="6"/>
  <c r="I31" i="6"/>
  <c r="E31" i="6"/>
  <c r="K30" i="6"/>
  <c r="G30" i="6"/>
  <c r="C30" i="6"/>
  <c r="K27" i="6"/>
  <c r="G27" i="6"/>
  <c r="C27" i="6"/>
  <c r="M26" i="6"/>
  <c r="I26" i="6"/>
  <c r="E26" i="6"/>
  <c r="K25" i="6"/>
  <c r="G25" i="6"/>
  <c r="C25" i="6"/>
  <c r="M24" i="6"/>
  <c r="I24" i="6"/>
  <c r="E24" i="6"/>
  <c r="K23" i="6"/>
  <c r="G23" i="6"/>
  <c r="C23" i="6"/>
  <c r="K17" i="6"/>
  <c r="G17" i="6"/>
  <c r="C17" i="6"/>
  <c r="M16" i="6"/>
  <c r="I16" i="6"/>
  <c r="E16" i="6"/>
  <c r="K15" i="6"/>
  <c r="G15" i="6"/>
  <c r="C15" i="6"/>
  <c r="M14" i="6"/>
  <c r="I14" i="6"/>
  <c r="E14" i="6"/>
  <c r="I23" i="6"/>
  <c r="I17" i="6"/>
  <c r="K16" i="6"/>
  <c r="E15" i="6"/>
  <c r="K14" i="6"/>
  <c r="J159" i="6"/>
  <c r="H158" i="6"/>
  <c r="F157" i="6"/>
  <c r="D156" i="6"/>
  <c r="D155" i="6"/>
  <c r="L154" i="6"/>
  <c r="G154" i="6"/>
  <c r="K153" i="6"/>
  <c r="G153" i="6"/>
  <c r="C153" i="6"/>
  <c r="M152" i="6"/>
  <c r="I152" i="6"/>
  <c r="E152" i="6"/>
  <c r="K151" i="6"/>
  <c r="G151" i="6"/>
  <c r="C151" i="6"/>
  <c r="M150" i="6"/>
  <c r="I150" i="6"/>
  <c r="E150" i="6"/>
  <c r="M147" i="6"/>
  <c r="I147" i="6"/>
  <c r="E147" i="6"/>
  <c r="K146" i="6"/>
  <c r="G146" i="6"/>
  <c r="C146" i="6"/>
  <c r="M145" i="6"/>
  <c r="I145" i="6"/>
  <c r="E145" i="6"/>
  <c r="K144" i="6"/>
  <c r="G144" i="6"/>
  <c r="C144" i="6"/>
  <c r="M143" i="6"/>
  <c r="I143" i="6"/>
  <c r="E143" i="6"/>
  <c r="K142" i="6"/>
  <c r="G142" i="6"/>
  <c r="C142" i="6"/>
  <c r="M141" i="6"/>
  <c r="I141" i="6"/>
  <c r="E141" i="6"/>
  <c r="K140" i="6"/>
  <c r="G140" i="6"/>
  <c r="C140" i="6"/>
  <c r="M139" i="6"/>
  <c r="I139" i="6"/>
  <c r="E139" i="6"/>
  <c r="K138" i="6"/>
  <c r="G138" i="6"/>
  <c r="C138" i="6"/>
  <c r="M137" i="6"/>
  <c r="I137" i="6"/>
  <c r="E137" i="6"/>
  <c r="K136" i="6"/>
  <c r="G136" i="6"/>
  <c r="C136" i="6"/>
  <c r="M135" i="6"/>
  <c r="I135" i="6"/>
  <c r="E135" i="6"/>
  <c r="K134" i="6"/>
  <c r="G134" i="6"/>
  <c r="C134" i="6"/>
  <c r="M133" i="6"/>
  <c r="I133" i="6"/>
  <c r="E133" i="6"/>
  <c r="K132" i="6"/>
  <c r="G132" i="6"/>
  <c r="C132" i="6"/>
  <c r="M131" i="6"/>
  <c r="I131" i="6"/>
  <c r="E131" i="6"/>
  <c r="K130" i="6"/>
  <c r="G130" i="6"/>
  <c r="C130" i="6"/>
  <c r="M129" i="6"/>
  <c r="I129" i="6"/>
  <c r="E129" i="6"/>
  <c r="K128" i="6"/>
  <c r="G128" i="6"/>
  <c r="C128" i="6"/>
  <c r="M127" i="6"/>
  <c r="I127" i="6"/>
  <c r="E127" i="6"/>
  <c r="K126" i="6"/>
  <c r="G126" i="6"/>
  <c r="C126" i="6"/>
  <c r="M125" i="6"/>
  <c r="I125" i="6"/>
  <c r="E125" i="6"/>
  <c r="K124" i="6"/>
  <c r="G124" i="6"/>
  <c r="C124" i="6"/>
  <c r="M123" i="6"/>
  <c r="I123" i="6"/>
  <c r="E123" i="6"/>
  <c r="K122" i="6"/>
  <c r="G122" i="6"/>
  <c r="C122" i="6"/>
  <c r="M121" i="6"/>
  <c r="I121" i="6"/>
  <c r="E121" i="6"/>
  <c r="K120" i="6"/>
  <c r="G120" i="6"/>
  <c r="C120" i="6"/>
  <c r="M119" i="6"/>
  <c r="I119" i="6"/>
  <c r="E119" i="6"/>
  <c r="K118" i="6"/>
  <c r="G118" i="6"/>
  <c r="C118" i="6"/>
  <c r="M117" i="6"/>
  <c r="I117" i="6"/>
  <c r="E117" i="6"/>
  <c r="K116" i="6"/>
  <c r="G116" i="6"/>
  <c r="C116" i="6"/>
  <c r="M115" i="6"/>
  <c r="I115" i="6"/>
  <c r="E115" i="6"/>
  <c r="K114" i="6"/>
  <c r="G114" i="6"/>
  <c r="C114" i="6"/>
  <c r="M113" i="6"/>
  <c r="I113" i="6"/>
  <c r="E113" i="6"/>
  <c r="K112" i="6"/>
  <c r="G112" i="6"/>
  <c r="C112" i="6"/>
  <c r="M111" i="6"/>
  <c r="I111" i="6"/>
  <c r="E111" i="6"/>
  <c r="K110" i="6"/>
  <c r="G110" i="6"/>
  <c r="C110" i="6"/>
  <c r="M109" i="6"/>
  <c r="I109" i="6"/>
  <c r="E109" i="6"/>
  <c r="K108" i="6"/>
  <c r="G108" i="6"/>
  <c r="C108" i="6"/>
  <c r="M107" i="6"/>
  <c r="I107" i="6"/>
  <c r="E107" i="6"/>
  <c r="K106" i="6"/>
  <c r="G106" i="6"/>
  <c r="C106" i="6"/>
  <c r="M105" i="6"/>
  <c r="I105" i="6"/>
  <c r="E105" i="6"/>
  <c r="K104" i="6"/>
  <c r="G104" i="6"/>
  <c r="C104" i="6"/>
  <c r="M103" i="6"/>
  <c r="I103" i="6"/>
  <c r="E103" i="6"/>
  <c r="K102" i="6"/>
  <c r="G102" i="6"/>
  <c r="C102" i="6"/>
  <c r="M101" i="6"/>
  <c r="I101" i="6"/>
  <c r="E101" i="6"/>
  <c r="K100" i="6"/>
  <c r="G100" i="6"/>
  <c r="C100" i="6"/>
  <c r="M99" i="6"/>
  <c r="I99" i="6"/>
  <c r="E99" i="6"/>
  <c r="K98" i="6"/>
  <c r="G98" i="6"/>
  <c r="C98" i="6"/>
  <c r="M97" i="6"/>
  <c r="I97" i="6"/>
  <c r="E97" i="6"/>
  <c r="K96" i="6"/>
  <c r="G96" i="6"/>
  <c r="C96" i="6"/>
  <c r="M95" i="6"/>
  <c r="I95" i="6"/>
  <c r="E95" i="6"/>
  <c r="K94" i="6"/>
  <c r="G94" i="6"/>
  <c r="C94" i="6"/>
  <c r="M93" i="6"/>
  <c r="I93" i="6"/>
  <c r="E93" i="6"/>
  <c r="K92" i="6"/>
  <c r="G92" i="6"/>
  <c r="C92" i="6"/>
  <c r="M91" i="6"/>
  <c r="I91" i="6"/>
  <c r="E91" i="6"/>
  <c r="K90" i="6"/>
  <c r="G90" i="6"/>
  <c r="C90" i="6"/>
  <c r="M89" i="6"/>
  <c r="I89" i="6"/>
  <c r="E89" i="6"/>
  <c r="K88" i="6"/>
  <c r="G88" i="6"/>
  <c r="C88" i="6"/>
  <c r="M87" i="6"/>
  <c r="I87" i="6"/>
  <c r="E87" i="6"/>
  <c r="K86" i="6"/>
  <c r="G86" i="6"/>
  <c r="C86" i="6"/>
  <c r="M85" i="6"/>
  <c r="I85" i="6"/>
  <c r="E85" i="6"/>
  <c r="K84" i="6"/>
  <c r="G84" i="6"/>
  <c r="C84" i="6"/>
  <c r="M83" i="6"/>
  <c r="I83" i="6"/>
  <c r="E83" i="6"/>
  <c r="K82" i="6"/>
  <c r="G82" i="6"/>
  <c r="C82" i="6"/>
  <c r="M81" i="6"/>
  <c r="I81" i="6"/>
  <c r="E81" i="6"/>
  <c r="K80" i="6"/>
  <c r="G80" i="6"/>
  <c r="C80" i="6"/>
  <c r="M79" i="6"/>
  <c r="I79" i="6"/>
  <c r="E79" i="6"/>
  <c r="K78" i="6"/>
  <c r="G78" i="6"/>
  <c r="C78" i="6"/>
  <c r="M77" i="6"/>
  <c r="I77" i="6"/>
  <c r="E77" i="6"/>
  <c r="K76" i="6"/>
  <c r="G76" i="6"/>
  <c r="C76" i="6"/>
  <c r="M75" i="6"/>
  <c r="I75" i="6"/>
  <c r="E75" i="6"/>
  <c r="K74" i="6"/>
  <c r="G74" i="6"/>
  <c r="C74" i="6"/>
  <c r="M73" i="6"/>
  <c r="I73" i="6"/>
  <c r="E73" i="6"/>
  <c r="K72" i="6"/>
  <c r="G72" i="6"/>
  <c r="C72" i="6"/>
  <c r="M71" i="6"/>
  <c r="I71" i="6"/>
  <c r="E71" i="6"/>
  <c r="K70" i="6"/>
  <c r="G70" i="6"/>
  <c r="C70" i="6"/>
  <c r="M69" i="6"/>
  <c r="I69" i="6"/>
  <c r="E69" i="6"/>
  <c r="K68" i="6"/>
  <c r="G68" i="6"/>
  <c r="C68" i="6"/>
  <c r="M67" i="6"/>
  <c r="I67" i="6"/>
  <c r="E67" i="6"/>
  <c r="K66" i="6"/>
  <c r="G66" i="6"/>
  <c r="C66" i="6"/>
  <c r="M65" i="6"/>
  <c r="I65" i="6"/>
  <c r="E65" i="6"/>
  <c r="K64" i="6"/>
  <c r="G64" i="6"/>
  <c r="C64" i="6"/>
  <c r="M63" i="6"/>
  <c r="I63" i="6"/>
  <c r="E63" i="6"/>
  <c r="K62" i="6"/>
  <c r="G62" i="6"/>
  <c r="C62" i="6"/>
  <c r="M61" i="6"/>
  <c r="I61" i="6"/>
  <c r="E61" i="6"/>
  <c r="K60" i="6"/>
  <c r="G60" i="6"/>
  <c r="C60" i="6"/>
  <c r="M59" i="6"/>
  <c r="I59" i="6"/>
  <c r="E59" i="6"/>
  <c r="K58" i="6"/>
  <c r="G58" i="6"/>
  <c r="C58" i="6"/>
  <c r="M54" i="6"/>
  <c r="I54" i="6"/>
  <c r="E54" i="6"/>
  <c r="K53" i="6"/>
  <c r="G53" i="6"/>
  <c r="C53" i="6"/>
  <c r="M52" i="6"/>
  <c r="I52" i="6"/>
  <c r="E52" i="6"/>
  <c r="K51" i="6"/>
  <c r="G51" i="6"/>
  <c r="C51" i="6"/>
  <c r="M50" i="6"/>
  <c r="I50" i="6"/>
  <c r="E50" i="6"/>
  <c r="K49" i="6"/>
  <c r="G49" i="6"/>
  <c r="C49" i="6"/>
  <c r="M48" i="6"/>
  <c r="I48" i="6"/>
  <c r="E48" i="6"/>
  <c r="N45" i="6"/>
  <c r="J45" i="6"/>
  <c r="F45" i="6"/>
  <c r="L44" i="6"/>
  <c r="H44" i="6"/>
  <c r="D44" i="6"/>
  <c r="N43" i="6"/>
  <c r="J43" i="6"/>
  <c r="F43" i="6"/>
  <c r="L42" i="6"/>
  <c r="H42" i="6"/>
  <c r="D42" i="6"/>
  <c r="N41" i="6"/>
  <c r="N37" i="10" s="1"/>
  <c r="J41" i="6"/>
  <c r="F41" i="6"/>
  <c r="F37" i="10" s="1"/>
  <c r="L40" i="6"/>
  <c r="L36" i="10" s="1"/>
  <c r="H40" i="6"/>
  <c r="H36" i="10" s="1"/>
  <c r="D40" i="6"/>
  <c r="D36" i="10" s="1"/>
  <c r="N39" i="6"/>
  <c r="N35" i="10" s="1"/>
  <c r="J39" i="6"/>
  <c r="F39" i="6"/>
  <c r="F35" i="10" s="1"/>
  <c r="L38" i="6"/>
  <c r="L34" i="10" s="1"/>
  <c r="H38" i="6"/>
  <c r="H34" i="10" s="1"/>
  <c r="D38" i="6"/>
  <c r="D34" i="10" s="1"/>
  <c r="N37" i="6"/>
  <c r="N33" i="10" s="1"/>
  <c r="J37" i="6"/>
  <c r="J33" i="10" s="1"/>
  <c r="F37" i="6"/>
  <c r="F33" i="10" s="1"/>
  <c r="L36" i="6"/>
  <c r="L32" i="10" s="1"/>
  <c r="H36" i="6"/>
  <c r="H32" i="10" s="1"/>
  <c r="D36" i="6"/>
  <c r="D32" i="10" s="1"/>
  <c r="N35" i="6"/>
  <c r="N31" i="10" s="1"/>
  <c r="J35" i="6"/>
  <c r="J31" i="10" s="1"/>
  <c r="F35" i="6"/>
  <c r="F31" i="10" s="1"/>
  <c r="L34" i="6"/>
  <c r="H34" i="6"/>
  <c r="D34" i="6"/>
  <c r="L31" i="6"/>
  <c r="H31" i="6"/>
  <c r="D31" i="6"/>
  <c r="N30" i="6"/>
  <c r="J30" i="6"/>
  <c r="F30" i="6"/>
  <c r="N27" i="6"/>
  <c r="J27" i="6"/>
  <c r="F27" i="6"/>
  <c r="L26" i="6"/>
  <c r="H26" i="6"/>
  <c r="D26" i="6"/>
  <c r="N25" i="6"/>
  <c r="J25" i="6"/>
  <c r="F25" i="6"/>
  <c r="L24" i="6"/>
  <c r="H24" i="6"/>
  <c r="D24" i="6"/>
  <c r="N23" i="6"/>
  <c r="J23" i="6"/>
  <c r="F23" i="6"/>
  <c r="N17" i="6"/>
  <c r="J17" i="6"/>
  <c r="F17" i="6"/>
  <c r="L16" i="6"/>
  <c r="H16" i="6"/>
  <c r="D16" i="6"/>
  <c r="N15" i="6"/>
  <c r="J15" i="6"/>
  <c r="F15" i="6"/>
  <c r="L14" i="6"/>
  <c r="H14" i="6"/>
  <c r="D14" i="6"/>
  <c r="G24" i="6"/>
  <c r="C24" i="6"/>
  <c r="M17" i="6"/>
  <c r="G16" i="6"/>
  <c r="I15" i="6"/>
  <c r="C14" i="6"/>
  <c r="F159" i="6"/>
  <c r="D158" i="6"/>
  <c r="N155" i="6"/>
  <c r="K154" i="6"/>
  <c r="F154" i="6"/>
  <c r="N153" i="6"/>
  <c r="J153" i="6"/>
  <c r="F153" i="6"/>
  <c r="L152" i="6"/>
  <c r="H152" i="6"/>
  <c r="D152" i="6"/>
  <c r="N151" i="6"/>
  <c r="J151" i="6"/>
  <c r="F151" i="6"/>
  <c r="L150" i="6"/>
  <c r="H150" i="6"/>
  <c r="D150" i="6"/>
  <c r="L147" i="6"/>
  <c r="H147" i="6"/>
  <c r="D147" i="6"/>
  <c r="N146" i="6"/>
  <c r="J146" i="6"/>
  <c r="F146" i="6"/>
  <c r="L145" i="6"/>
  <c r="H145" i="6"/>
  <c r="D145" i="6"/>
  <c r="N144" i="6"/>
  <c r="J144" i="6"/>
  <c r="F144" i="6"/>
  <c r="L143" i="6"/>
  <c r="H143" i="6"/>
  <c r="D143" i="6"/>
  <c r="N142" i="6"/>
  <c r="J142" i="6"/>
  <c r="F142" i="6"/>
  <c r="L141" i="6"/>
  <c r="H141" i="6"/>
  <c r="D141" i="6"/>
  <c r="N140" i="6"/>
  <c r="J140" i="6"/>
  <c r="F140" i="6"/>
  <c r="L139" i="6"/>
  <c r="H139" i="6"/>
  <c r="D139" i="6"/>
  <c r="N138" i="6"/>
  <c r="J138" i="6"/>
  <c r="F138" i="6"/>
  <c r="L137" i="6"/>
  <c r="H137" i="6"/>
  <c r="D137" i="6"/>
  <c r="N136" i="6"/>
  <c r="J136" i="6"/>
  <c r="F136" i="6"/>
  <c r="L135" i="6"/>
  <c r="H135" i="6"/>
  <c r="D135" i="6"/>
  <c r="N134" i="6"/>
  <c r="J134" i="6"/>
  <c r="F134" i="6"/>
  <c r="L133" i="6"/>
  <c r="H133" i="6"/>
  <c r="D133" i="6"/>
  <c r="N132" i="6"/>
  <c r="J132" i="6"/>
  <c r="F132" i="6"/>
  <c r="L131" i="6"/>
  <c r="H131" i="6"/>
  <c r="D131" i="6"/>
  <c r="N130" i="6"/>
  <c r="J130" i="6"/>
  <c r="F130" i="6"/>
  <c r="L129" i="6"/>
  <c r="H129" i="6"/>
  <c r="D129" i="6"/>
  <c r="N128" i="6"/>
  <c r="J128" i="6"/>
  <c r="F128" i="6"/>
  <c r="L127" i="6"/>
  <c r="H127" i="6"/>
  <c r="D127" i="6"/>
  <c r="N126" i="6"/>
  <c r="J126" i="6"/>
  <c r="F126" i="6"/>
  <c r="L125" i="6"/>
  <c r="H125" i="6"/>
  <c r="D125" i="6"/>
  <c r="N124" i="6"/>
  <c r="J124" i="6"/>
  <c r="F124" i="6"/>
  <c r="L123" i="6"/>
  <c r="H123" i="6"/>
  <c r="D123" i="6"/>
  <c r="N122" i="6"/>
  <c r="J122" i="6"/>
  <c r="F122" i="6"/>
  <c r="L121" i="6"/>
  <c r="H121" i="6"/>
  <c r="D121" i="6"/>
  <c r="N120" i="6"/>
  <c r="J120" i="6"/>
  <c r="F120" i="6"/>
  <c r="L119" i="6"/>
  <c r="H119" i="6"/>
  <c r="D119" i="6"/>
  <c r="N118" i="6"/>
  <c r="J118" i="6"/>
  <c r="F118" i="6"/>
  <c r="L117" i="6"/>
  <c r="H117" i="6"/>
  <c r="D117" i="6"/>
  <c r="N116" i="6"/>
  <c r="J116" i="6"/>
  <c r="F116" i="6"/>
  <c r="L115" i="6"/>
  <c r="H115" i="6"/>
  <c r="D115" i="6"/>
  <c r="N114" i="6"/>
  <c r="J114" i="6"/>
  <c r="F114" i="6"/>
  <c r="L113" i="6"/>
  <c r="H113" i="6"/>
  <c r="D113" i="6"/>
  <c r="N112" i="6"/>
  <c r="J112" i="6"/>
  <c r="F112" i="6"/>
  <c r="L111" i="6"/>
  <c r="H111" i="6"/>
  <c r="D111" i="6"/>
  <c r="N110" i="6"/>
  <c r="J110" i="6"/>
  <c r="F110" i="6"/>
  <c r="L109" i="6"/>
  <c r="H109" i="6"/>
  <c r="D109" i="6"/>
  <c r="N108" i="6"/>
  <c r="J108" i="6"/>
  <c r="F108" i="6"/>
  <c r="L107" i="6"/>
  <c r="H107" i="6"/>
  <c r="D107" i="6"/>
  <c r="N106" i="6"/>
  <c r="J106" i="6"/>
  <c r="F106" i="6"/>
  <c r="L105" i="6"/>
  <c r="H105" i="6"/>
  <c r="D105" i="6"/>
  <c r="N104" i="6"/>
  <c r="J104" i="6"/>
  <c r="F104" i="6"/>
  <c r="L103" i="6"/>
  <c r="H103" i="6"/>
  <c r="D103" i="6"/>
  <c r="N102" i="6"/>
  <c r="J102" i="6"/>
  <c r="F102" i="6"/>
  <c r="L101" i="6"/>
  <c r="H101" i="6"/>
  <c r="D101" i="6"/>
  <c r="N100" i="6"/>
  <c r="J100" i="6"/>
  <c r="F100" i="6"/>
  <c r="L99" i="6"/>
  <c r="H99" i="6"/>
  <c r="D99" i="6"/>
  <c r="N98" i="6"/>
  <c r="J98" i="6"/>
  <c r="F98" i="6"/>
  <c r="L97" i="6"/>
  <c r="H97" i="6"/>
  <c r="D97" i="6"/>
  <c r="N96" i="6"/>
  <c r="J96" i="6"/>
  <c r="F96" i="6"/>
  <c r="L95" i="6"/>
  <c r="H95" i="6"/>
  <c r="D95" i="6"/>
  <c r="N94" i="6"/>
  <c r="J94" i="6"/>
  <c r="F94" i="6"/>
  <c r="L93" i="6"/>
  <c r="H93" i="6"/>
  <c r="D93" i="6"/>
  <c r="N92" i="6"/>
  <c r="J92" i="6"/>
  <c r="F92" i="6"/>
  <c r="L91" i="6"/>
  <c r="H91" i="6"/>
  <c r="D91" i="6"/>
  <c r="N90" i="6"/>
  <c r="J90" i="6"/>
  <c r="F90" i="6"/>
  <c r="L89" i="6"/>
  <c r="H89" i="6"/>
  <c r="D89" i="6"/>
  <c r="N88" i="6"/>
  <c r="J88" i="6"/>
  <c r="F88" i="6"/>
  <c r="L87" i="6"/>
  <c r="H87" i="6"/>
  <c r="D87" i="6"/>
  <c r="N86" i="6"/>
  <c r="J86" i="6"/>
  <c r="F86" i="6"/>
  <c r="L85" i="6"/>
  <c r="H85" i="6"/>
  <c r="D85" i="6"/>
  <c r="N84" i="6"/>
  <c r="J84" i="6"/>
  <c r="F84" i="6"/>
  <c r="L83" i="6"/>
  <c r="H83" i="6"/>
  <c r="D83" i="6"/>
  <c r="N82" i="6"/>
  <c r="J82" i="6"/>
  <c r="F82" i="6"/>
  <c r="L81" i="6"/>
  <c r="H81" i="6"/>
  <c r="D81" i="6"/>
  <c r="N80" i="6"/>
  <c r="J80" i="6"/>
  <c r="F80" i="6"/>
  <c r="L79" i="6"/>
  <c r="H79" i="6"/>
  <c r="D79" i="6"/>
  <c r="N78" i="6"/>
  <c r="J78" i="6"/>
  <c r="F78" i="6"/>
  <c r="L77" i="6"/>
  <c r="H77" i="6"/>
  <c r="D77" i="6"/>
  <c r="N76" i="6"/>
  <c r="J76" i="6"/>
  <c r="F76" i="6"/>
  <c r="L75" i="6"/>
  <c r="H75" i="6"/>
  <c r="D75" i="6"/>
  <c r="N74" i="6"/>
  <c r="J74" i="6"/>
  <c r="F74" i="6"/>
  <c r="L73" i="6"/>
  <c r="H73" i="6"/>
  <c r="D73" i="6"/>
  <c r="N72" i="6"/>
  <c r="J72" i="6"/>
  <c r="F72" i="6"/>
  <c r="L71" i="6"/>
  <c r="H71" i="6"/>
  <c r="D71" i="6"/>
  <c r="N70" i="6"/>
  <c r="J70" i="6"/>
  <c r="F70" i="6"/>
  <c r="L69" i="6"/>
  <c r="H69" i="6"/>
  <c r="D69" i="6"/>
  <c r="N68" i="6"/>
  <c r="J68" i="6"/>
  <c r="F68" i="6"/>
  <c r="L67" i="6"/>
  <c r="H67" i="6"/>
  <c r="D67" i="6"/>
  <c r="N66" i="6"/>
  <c r="J66" i="6"/>
  <c r="F66" i="6"/>
  <c r="L65" i="6"/>
  <c r="H65" i="6"/>
  <c r="D65" i="6"/>
  <c r="N64" i="6"/>
  <c r="J64" i="6"/>
  <c r="F64" i="6"/>
  <c r="L63" i="6"/>
  <c r="H63" i="6"/>
  <c r="D63" i="6"/>
  <c r="N62" i="6"/>
  <c r="J62" i="6"/>
  <c r="F62" i="6"/>
  <c r="L61" i="6"/>
  <c r="H61" i="6"/>
  <c r="D61" i="6"/>
  <c r="N60" i="6"/>
  <c r="J60" i="6"/>
  <c r="F60" i="6"/>
  <c r="L59" i="6"/>
  <c r="H59" i="6"/>
  <c r="D59" i="6"/>
  <c r="N58" i="6"/>
  <c r="J58" i="6"/>
  <c r="F58" i="6"/>
  <c r="L54" i="6"/>
  <c r="H54" i="6"/>
  <c r="D54" i="6"/>
  <c r="N53" i="6"/>
  <c r="J53" i="6"/>
  <c r="F53" i="6"/>
  <c r="L52" i="6"/>
  <c r="H52" i="6"/>
  <c r="D52" i="6"/>
  <c r="N51" i="6"/>
  <c r="J51" i="6"/>
  <c r="F51" i="6"/>
  <c r="L50" i="6"/>
  <c r="H50" i="6"/>
  <c r="D50" i="6"/>
  <c r="N49" i="6"/>
  <c r="J49" i="6"/>
  <c r="F49" i="6"/>
  <c r="L48" i="6"/>
  <c r="H48" i="6"/>
  <c r="D48" i="6"/>
  <c r="M45" i="6"/>
  <c r="I45" i="6"/>
  <c r="E45" i="6"/>
  <c r="K44" i="6"/>
  <c r="G44" i="6"/>
  <c r="C44" i="6"/>
  <c r="M43" i="6"/>
  <c r="I43" i="6"/>
  <c r="E43" i="6"/>
  <c r="K42" i="6"/>
  <c r="G42" i="6"/>
  <c r="C42" i="6"/>
  <c r="M41" i="6"/>
  <c r="M37" i="10" s="1"/>
  <c r="I41" i="6"/>
  <c r="I37" i="10" s="1"/>
  <c r="E41" i="6"/>
  <c r="E37" i="10" s="1"/>
  <c r="K40" i="6"/>
  <c r="K36" i="10" s="1"/>
  <c r="G40" i="6"/>
  <c r="G36" i="10" s="1"/>
  <c r="C40" i="6"/>
  <c r="M39" i="6"/>
  <c r="M35" i="10" s="1"/>
  <c r="I39" i="6"/>
  <c r="I35" i="10" s="1"/>
  <c r="E39" i="6"/>
  <c r="E35" i="10" s="1"/>
  <c r="K38" i="6"/>
  <c r="K34" i="10" s="1"/>
  <c r="G38" i="6"/>
  <c r="G34" i="10" s="1"/>
  <c r="C38" i="6"/>
  <c r="M37" i="6"/>
  <c r="M33" i="10" s="1"/>
  <c r="I37" i="6"/>
  <c r="I33" i="10" s="1"/>
  <c r="E37" i="6"/>
  <c r="E33" i="10" s="1"/>
  <c r="K36" i="6"/>
  <c r="K32" i="10" s="1"/>
  <c r="G36" i="6"/>
  <c r="G32" i="10" s="1"/>
  <c r="C36" i="6"/>
  <c r="M35" i="6"/>
  <c r="M31" i="10" s="1"/>
  <c r="I35" i="6"/>
  <c r="I31" i="10" s="1"/>
  <c r="E35" i="6"/>
  <c r="E31" i="10" s="1"/>
  <c r="K34" i="6"/>
  <c r="G34" i="6"/>
  <c r="C34" i="6"/>
  <c r="K31" i="6"/>
  <c r="G31" i="6"/>
  <c r="C31" i="6"/>
  <c r="M30" i="6"/>
  <c r="I30" i="6"/>
  <c r="E30" i="6"/>
  <c r="M27" i="6"/>
  <c r="I27" i="6"/>
  <c r="E27" i="6"/>
  <c r="K26" i="6"/>
  <c r="G26" i="6"/>
  <c r="C26" i="6"/>
  <c r="M25" i="6"/>
  <c r="I25" i="6"/>
  <c r="E25" i="6"/>
  <c r="K24" i="6"/>
  <c r="M23" i="6"/>
  <c r="A769" i="11"/>
  <c r="A886" i="11"/>
  <c r="A916" i="11"/>
  <c r="A947" i="11"/>
  <c r="A965" i="11"/>
  <c r="A994" i="11"/>
  <c r="A1011" i="11"/>
  <c r="A1029" i="11"/>
  <c r="A1061" i="11"/>
  <c r="A1078" i="11"/>
  <c r="A1096" i="11"/>
  <c r="A1157" i="11"/>
  <c r="A719" i="11"/>
  <c r="A718" i="11"/>
  <c r="A716" i="11"/>
  <c r="A715" i="11"/>
  <c r="A704" i="11"/>
  <c r="A698" i="11"/>
  <c r="A696" i="11"/>
  <c r="A695" i="11"/>
  <c r="A672" i="11"/>
  <c r="A653" i="11"/>
  <c r="A652" i="11"/>
  <c r="A650" i="11"/>
  <c r="A649" i="11"/>
  <c r="A638" i="11"/>
  <c r="A632" i="11"/>
  <c r="A630" i="11"/>
  <c r="A629" i="11"/>
  <c r="A608" i="11"/>
  <c r="A589" i="11"/>
  <c r="A588" i="11"/>
  <c r="A586" i="11"/>
  <c r="A585" i="11"/>
  <c r="A574" i="11"/>
  <c r="A568" i="11"/>
  <c r="A566" i="11"/>
  <c r="A565" i="11"/>
  <c r="A544" i="11"/>
  <c r="A525" i="11"/>
  <c r="A524" i="11"/>
  <c r="A522" i="11"/>
  <c r="A521" i="11"/>
  <c r="A510" i="11"/>
  <c r="A502" i="11"/>
  <c r="A500" i="11"/>
  <c r="A499" i="11"/>
  <c r="A478" i="11"/>
  <c r="A459" i="11"/>
  <c r="A458" i="11"/>
  <c r="A456" i="11"/>
  <c r="A455" i="11"/>
  <c r="A444" i="11"/>
  <c r="A438" i="11"/>
  <c r="A436" i="11"/>
  <c r="A435" i="11"/>
  <c r="A414" i="11"/>
  <c r="A395" i="11"/>
  <c r="A394" i="11"/>
  <c r="A392" i="11"/>
  <c r="A391" i="11"/>
  <c r="A375" i="11"/>
  <c r="A373" i="11"/>
  <c r="A372" i="11"/>
  <c r="A359" i="11"/>
  <c r="A357" i="11"/>
  <c r="A356" i="11"/>
  <c r="A343" i="11"/>
  <c r="A341" i="11"/>
  <c r="A340" i="11"/>
  <c r="A327" i="11"/>
  <c r="A325" i="11"/>
  <c r="A324" i="11"/>
  <c r="A311" i="11"/>
  <c r="A309" i="11"/>
  <c r="A308" i="11"/>
  <c r="A295" i="11"/>
  <c r="A293" i="11"/>
  <c r="A292" i="11"/>
  <c r="A280" i="11"/>
  <c r="A278" i="11"/>
  <c r="A277" i="11"/>
  <c r="A264" i="11"/>
  <c r="A262" i="11"/>
  <c r="A261" i="11"/>
  <c r="A248" i="11"/>
  <c r="A246" i="11"/>
  <c r="A245" i="11"/>
  <c r="A232" i="11"/>
  <c r="A230" i="11"/>
  <c r="A229" i="11"/>
  <c r="A216" i="11"/>
  <c r="A214" i="11"/>
  <c r="A213" i="11"/>
  <c r="A200" i="11"/>
  <c r="A198" i="11"/>
  <c r="A197" i="11"/>
  <c r="A184" i="11"/>
  <c r="A1201" i="11"/>
  <c r="A1196" i="11"/>
  <c r="A1175" i="11"/>
  <c r="A1156" i="11"/>
  <c r="A1106" i="11"/>
  <c r="A1092" i="11"/>
  <c r="A1074" i="11"/>
  <c r="A1060" i="11"/>
  <c r="A1042" i="11"/>
  <c r="A1025" i="11"/>
  <c r="A1007" i="11"/>
  <c r="A993" i="11"/>
  <c r="A975" i="11"/>
  <c r="A961" i="11"/>
  <c r="A943" i="11"/>
  <c r="A915" i="11"/>
  <c r="A897" i="11"/>
  <c r="A883" i="11"/>
  <c r="A878" i="11"/>
  <c r="A876" i="11"/>
  <c r="A875" i="11"/>
  <c r="A862" i="11"/>
  <c r="A854" i="11"/>
  <c r="A852" i="11"/>
  <c r="A851" i="11"/>
  <c r="A827" i="11"/>
  <c r="A806" i="11"/>
  <c r="A805" i="11"/>
  <c r="A803" i="11"/>
  <c r="A802" i="11"/>
  <c r="A791" i="11"/>
  <c r="A785" i="11"/>
  <c r="A783" i="11"/>
  <c r="A782" i="11"/>
  <c r="A761" i="11"/>
  <c r="A737" i="11"/>
  <c r="A733" i="11"/>
  <c r="A731" i="11"/>
  <c r="A730" i="11"/>
  <c r="A720" i="11"/>
  <c r="A714" i="11"/>
  <c r="A712" i="11"/>
  <c r="A711" i="11"/>
  <c r="A690" i="11"/>
  <c r="A669" i="11"/>
  <c r="A668" i="11"/>
  <c r="A666" i="11"/>
  <c r="A665" i="11"/>
  <c r="A654" i="11"/>
  <c r="A648" i="11"/>
  <c r="A646" i="11"/>
  <c r="A645" i="11"/>
  <c r="A624" i="11"/>
  <c r="A605" i="11"/>
  <c r="A604" i="11"/>
  <c r="A602" i="11"/>
  <c r="A601" i="11"/>
  <c r="A590" i="11"/>
  <c r="A584" i="11"/>
  <c r="A582" i="11"/>
  <c r="A581" i="11"/>
  <c r="A560" i="11"/>
  <c r="A541" i="11"/>
  <c r="A540" i="11"/>
  <c r="A538" i="11"/>
  <c r="A537" i="11"/>
  <c r="A526" i="11"/>
  <c r="A520" i="11"/>
  <c r="A518" i="11"/>
  <c r="A517" i="11"/>
  <c r="A494" i="11"/>
  <c r="A475" i="11"/>
  <c r="A474" i="11"/>
  <c r="A472" i="11"/>
  <c r="A471" i="11"/>
  <c r="A460" i="11"/>
  <c r="A454" i="11"/>
  <c r="A1202" i="11"/>
  <c r="A1193" i="11"/>
  <c r="A1192" i="11"/>
  <c r="A1190" i="11"/>
  <c r="A1189" i="11"/>
  <c r="A1153" i="11"/>
  <c r="A1152" i="11"/>
  <c r="A1118" i="11"/>
  <c r="A1117" i="11"/>
  <c r="A1089" i="11"/>
  <c r="A1088" i="11"/>
  <c r="A1086" i="11"/>
  <c r="A1085" i="11"/>
  <c r="A1057" i="11"/>
  <c r="A1056" i="11"/>
  <c r="A1054" i="11"/>
  <c r="A1053" i="11"/>
  <c r="A1022" i="11"/>
  <c r="A1021" i="11"/>
  <c r="A1019" i="11"/>
  <c r="A1018" i="11"/>
  <c r="A990" i="11"/>
  <c r="A989" i="11"/>
  <c r="A987" i="11"/>
  <c r="A986" i="11"/>
  <c r="A958" i="11"/>
  <c r="A957" i="11"/>
  <c r="A955" i="11"/>
  <c r="A954" i="11"/>
  <c r="A912" i="11"/>
  <c r="A911" i="11"/>
  <c r="A909" i="11"/>
  <c r="A908" i="11"/>
  <c r="A884" i="11"/>
  <c r="A874" i="11"/>
  <c r="A872" i="11"/>
  <c r="A871" i="11"/>
  <c r="A846" i="11"/>
  <c r="A824" i="11"/>
  <c r="A823" i="11"/>
  <c r="A821" i="11"/>
  <c r="A820" i="11"/>
  <c r="A807" i="11"/>
  <c r="A801" i="11"/>
  <c r="A799" i="11"/>
  <c r="A798" i="11"/>
  <c r="A777" i="11"/>
  <c r="A758" i="11"/>
  <c r="A757" i="11"/>
  <c r="A755" i="11"/>
  <c r="A754" i="11"/>
  <c r="A738" i="11"/>
  <c r="A729" i="11"/>
  <c r="A727" i="11"/>
  <c r="A706" i="11"/>
  <c r="A687" i="11"/>
  <c r="A686" i="11"/>
  <c r="A683" i="11"/>
  <c r="A682" i="11"/>
  <c r="A670" i="11"/>
  <c r="A664" i="11"/>
  <c r="A662" i="11"/>
  <c r="A661" i="11"/>
  <c r="A640" i="11"/>
  <c r="A621" i="11"/>
  <c r="A620" i="11"/>
  <c r="A618" i="11"/>
  <c r="A617" i="11"/>
  <c r="A606" i="11"/>
  <c r="A600" i="11"/>
  <c r="A598" i="11"/>
  <c r="A597" i="11"/>
  <c r="A576" i="11"/>
  <c r="A557" i="11"/>
  <c r="A556" i="11"/>
  <c r="A554" i="11"/>
  <c r="A553" i="11"/>
  <c r="A542" i="11"/>
  <c r="A536" i="11"/>
  <c r="A534" i="11"/>
  <c r="A533" i="11"/>
  <c r="A512" i="11"/>
  <c r="A491" i="11"/>
  <c r="A490" i="11"/>
  <c r="A488" i="11"/>
  <c r="A487" i="11"/>
  <c r="A476" i="11"/>
  <c r="A470" i="11"/>
  <c r="A468" i="11"/>
  <c r="A467" i="11"/>
  <c r="A446" i="11"/>
  <c r="A427" i="11"/>
  <c r="A426" i="11"/>
  <c r="A424" i="11"/>
  <c r="A423" i="11"/>
  <c r="A412" i="11"/>
  <c r="A406" i="11"/>
  <c r="A404" i="11"/>
  <c r="A403" i="11"/>
  <c r="A383" i="11"/>
  <c r="A381" i="11"/>
  <c r="A380" i="11"/>
  <c r="A367" i="11"/>
  <c r="A365" i="11"/>
  <c r="A364" i="11"/>
  <c r="A351" i="11"/>
  <c r="A349" i="11"/>
  <c r="A348" i="11"/>
  <c r="A335" i="11"/>
  <c r="A333" i="11"/>
  <c r="A332" i="11"/>
  <c r="A319" i="11"/>
  <c r="A317" i="11"/>
  <c r="A316" i="11"/>
  <c r="A303" i="11"/>
  <c r="A301" i="11"/>
  <c r="A300" i="11"/>
  <c r="A287" i="11"/>
  <c r="A285" i="11"/>
  <c r="A284" i="11"/>
  <c r="A1154" i="11"/>
  <c r="A1044" i="11"/>
  <c r="A991" i="11"/>
  <c r="A899" i="11"/>
  <c r="A819" i="11"/>
  <c r="A793" i="11"/>
  <c r="A773" i="11"/>
  <c r="A745" i="11"/>
  <c r="A703" i="11"/>
  <c r="A699" i="11"/>
  <c r="A679" i="11"/>
  <c r="A634" i="11"/>
  <c r="A622" i="11"/>
  <c r="A552" i="11"/>
  <c r="A528" i="11"/>
  <c r="A508" i="11"/>
  <c r="A483" i="11"/>
  <c r="A430" i="11"/>
  <c r="A419" i="11"/>
  <c r="A410" i="11"/>
  <c r="A396" i="11"/>
  <c r="A388" i="11"/>
  <c r="A384" i="11"/>
  <c r="A379" i="11"/>
  <c r="A361" i="11"/>
  <c r="A352" i="11"/>
  <c r="A347" i="11"/>
  <c r="A329" i="11"/>
  <c r="A320" i="11"/>
  <c r="A315" i="11"/>
  <c r="A297" i="11"/>
  <c r="A288" i="11"/>
  <c r="A274" i="11"/>
  <c r="A268" i="11"/>
  <c r="A266" i="11"/>
  <c r="A265" i="11"/>
  <c r="A244" i="11"/>
  <c r="A225" i="11"/>
  <c r="A224" i="11"/>
  <c r="A222" i="11"/>
  <c r="A221" i="11"/>
  <c r="A210" i="11"/>
  <c r="A204" i="11"/>
  <c r="A202" i="11"/>
  <c r="A201" i="11"/>
  <c r="A180" i="11"/>
  <c r="A178" i="11"/>
  <c r="A177" i="11"/>
  <c r="A164" i="11"/>
  <c r="A162" i="11"/>
  <c r="A161" i="11"/>
  <c r="A148" i="11"/>
  <c r="A146" i="11"/>
  <c r="A145" i="11"/>
  <c r="A132" i="11"/>
  <c r="A130" i="11"/>
  <c r="A129" i="11"/>
  <c r="A116" i="11"/>
  <c r="A114" i="11"/>
  <c r="A113" i="11"/>
  <c r="A100" i="11"/>
  <c r="A98" i="11"/>
  <c r="A97" i="11"/>
  <c r="A84" i="11"/>
  <c r="A82" i="11"/>
  <c r="A81" i="11"/>
  <c r="A68" i="11"/>
  <c r="A66" i="11"/>
  <c r="A65" i="11"/>
  <c r="A52" i="11"/>
  <c r="A50" i="11"/>
  <c r="A49" i="11"/>
  <c r="A36" i="11"/>
  <c r="A34" i="11"/>
  <c r="A33" i="11"/>
  <c r="A20" i="11"/>
  <c r="A18" i="11"/>
  <c r="A17" i="11"/>
  <c r="A1177" i="11"/>
  <c r="A1090" i="11"/>
  <c r="A1009" i="11"/>
  <c r="A959" i="11"/>
  <c r="A866" i="11"/>
  <c r="A842" i="11"/>
  <c r="A814" i="11"/>
  <c r="A774" i="11"/>
  <c r="A770" i="11"/>
  <c r="A746" i="11"/>
  <c r="A700" i="11"/>
  <c r="A688" i="11"/>
  <c r="A616" i="11"/>
  <c r="A592" i="11"/>
  <c r="A572" i="11"/>
  <c r="A549" i="11"/>
  <c r="A509" i="11"/>
  <c r="A503" i="11"/>
  <c r="A484" i="11"/>
  <c r="A451" i="11"/>
  <c r="A442" i="11"/>
  <c r="A428" i="11"/>
  <c r="A420" i="11"/>
  <c r="A411" i="11"/>
  <c r="A407" i="11"/>
  <c r="A385" i="11"/>
  <c r="A376" i="11"/>
  <c r="A371" i="11"/>
  <c r="A353" i="11"/>
  <c r="A344" i="11"/>
  <c r="A339" i="11"/>
  <c r="A321" i="11"/>
  <c r="A312" i="11"/>
  <c r="A307" i="11"/>
  <c r="A289" i="11"/>
  <c r="A283" i="11"/>
  <c r="A281" i="11"/>
  <c r="A260" i="11"/>
  <c r="A241" i="11"/>
  <c r="A240" i="11"/>
  <c r="A238" i="11"/>
  <c r="A237" i="11"/>
  <c r="A226" i="11"/>
  <c r="A220" i="11"/>
  <c r="A218" i="11"/>
  <c r="A217" i="11"/>
  <c r="A196" i="11"/>
  <c r="A176" i="11"/>
  <c r="A174" i="11"/>
  <c r="A173" i="11"/>
  <c r="A160" i="11"/>
  <c r="A158" i="11"/>
  <c r="A157" i="11"/>
  <c r="A144" i="11"/>
  <c r="A142" i="11"/>
  <c r="A141" i="11"/>
  <c r="A128" i="11"/>
  <c r="A126" i="11"/>
  <c r="A125" i="11"/>
  <c r="A112" i="11"/>
  <c r="A110" i="11"/>
  <c r="A109" i="11"/>
  <c r="A96" i="11"/>
  <c r="A94" i="11"/>
  <c r="A93" i="11"/>
  <c r="A80" i="11"/>
  <c r="A78" i="11"/>
  <c r="A77" i="11"/>
  <c r="A64" i="11"/>
  <c r="A62" i="11"/>
  <c r="A61" i="11"/>
  <c r="A48" i="11"/>
  <c r="A46" i="11"/>
  <c r="A45" i="11"/>
  <c r="A32" i="11"/>
  <c r="A30" i="11"/>
  <c r="A29" i="11"/>
  <c r="A16" i="11"/>
  <c r="A14" i="11"/>
  <c r="A13" i="11"/>
  <c r="A1108" i="11"/>
  <c r="A1058" i="11"/>
  <c r="A977" i="11"/>
  <c r="A913" i="11"/>
  <c r="A843" i="11"/>
  <c r="A839" i="11"/>
  <c r="A815" i="11"/>
  <c r="A771" i="11"/>
  <c r="A759" i="11"/>
  <c r="A681" i="11"/>
  <c r="A656" i="11"/>
  <c r="A636" i="11"/>
  <c r="A613" i="11"/>
  <c r="A573" i="11"/>
  <c r="A569" i="11"/>
  <c r="A550" i="11"/>
  <c r="A504" i="11"/>
  <c r="A492" i="11"/>
  <c r="A452" i="11"/>
  <c r="A443" i="11"/>
  <c r="A439" i="11"/>
  <c r="A408" i="11"/>
  <c r="A390" i="11"/>
  <c r="A377" i="11"/>
  <c r="A368" i="11"/>
  <c r="A363" i="11"/>
  <c r="A345" i="11"/>
  <c r="A336" i="11"/>
  <c r="A331" i="11"/>
  <c r="A313" i="11"/>
  <c r="A304" i="11"/>
  <c r="A299" i="11"/>
  <c r="A276" i="11"/>
  <c r="A257" i="11"/>
  <c r="A256" i="11"/>
  <c r="A254" i="11"/>
  <c r="A253" i="11"/>
  <c r="A242" i="11"/>
  <c r="A236" i="11"/>
  <c r="A234" i="11"/>
  <c r="A233" i="11"/>
  <c r="A212" i="11"/>
  <c r="A193" i="11"/>
  <c r="A192" i="11"/>
  <c r="A190" i="11"/>
  <c r="A189" i="11"/>
  <c r="A172" i="11"/>
  <c r="A170" i="11"/>
  <c r="A169" i="11"/>
  <c r="A156" i="11"/>
  <c r="A154" i="11"/>
  <c r="A153" i="11"/>
  <c r="A140" i="11"/>
  <c r="A138" i="11"/>
  <c r="A137" i="11"/>
  <c r="A124" i="11"/>
  <c r="A122" i="11"/>
  <c r="A121" i="11"/>
  <c r="A108" i="11"/>
  <c r="A106" i="11"/>
  <c r="A105" i="11"/>
  <c r="A92" i="11"/>
  <c r="A90" i="11"/>
  <c r="A89" i="11"/>
  <c r="A76" i="11"/>
  <c r="A74" i="11"/>
  <c r="A73" i="11"/>
  <c r="A60" i="11"/>
  <c r="A58" i="11"/>
  <c r="A57" i="11"/>
  <c r="A44" i="11"/>
  <c r="A42" i="11"/>
  <c r="A41" i="11"/>
  <c r="A28" i="11"/>
  <c r="A26" i="11"/>
  <c r="A25" i="11"/>
  <c r="A12" i="11"/>
  <c r="A10" i="11"/>
  <c r="A9" i="11"/>
  <c r="A1212" i="11"/>
  <c r="A1194" i="11"/>
  <c r="A1076" i="11"/>
  <c r="A1023" i="11"/>
  <c r="A945" i="11"/>
  <c r="A840" i="11"/>
  <c r="A825" i="11"/>
  <c r="A753" i="11"/>
  <c r="A722" i="11"/>
  <c r="A702" i="11"/>
  <c r="A678" i="11"/>
  <c r="A637" i="11"/>
  <c r="A633" i="11"/>
  <c r="A614" i="11"/>
  <c r="A570" i="11"/>
  <c r="A558" i="11"/>
  <c r="A486" i="11"/>
  <c r="A462" i="11"/>
  <c r="A440" i="11"/>
  <c r="A422" i="11"/>
  <c r="A398" i="11"/>
  <c r="A387" i="11"/>
  <c r="A369" i="11"/>
  <c r="A360" i="11"/>
  <c r="A355" i="11"/>
  <c r="A337" i="11"/>
  <c r="A328" i="11"/>
  <c r="A323" i="11"/>
  <c r="A305" i="11"/>
  <c r="A296" i="11"/>
  <c r="A291" i="11"/>
  <c r="A273" i="11"/>
  <c r="A272" i="11"/>
  <c r="A270" i="11"/>
  <c r="A269" i="11"/>
  <c r="A258" i="11"/>
  <c r="A252" i="11"/>
  <c r="A250" i="11"/>
  <c r="A249" i="11"/>
  <c r="A228" i="11"/>
  <c r="A209" i="11"/>
  <c r="A208" i="11"/>
  <c r="A206" i="11"/>
  <c r="A205" i="11"/>
  <c r="A194" i="11"/>
  <c r="A188" i="11"/>
  <c r="A186" i="11"/>
  <c r="A185" i="11"/>
  <c r="A182" i="11"/>
  <c r="A181" i="11"/>
  <c r="A168" i="11"/>
  <c r="A166" i="11"/>
  <c r="A165" i="11"/>
  <c r="A152" i="11"/>
  <c r="A150" i="11"/>
  <c r="A149" i="11"/>
  <c r="A136" i="11"/>
  <c r="A134" i="11"/>
  <c r="A133" i="11"/>
  <c r="A120" i="11"/>
  <c r="A118" i="11"/>
  <c r="A117" i="11"/>
  <c r="A104" i="11"/>
  <c r="A102" i="11"/>
  <c r="A101" i="11"/>
  <c r="A88" i="11"/>
  <c r="A86" i="11"/>
  <c r="A85" i="11"/>
  <c r="A72" i="11"/>
  <c r="A70" i="11"/>
  <c r="A69" i="11"/>
  <c r="A56" i="11"/>
  <c r="A54" i="11"/>
  <c r="A53" i="11"/>
  <c r="A40" i="11"/>
  <c r="A38" i="11"/>
  <c r="A37" i="11"/>
  <c r="A24" i="11"/>
  <c r="A22" i="11"/>
  <c r="A21" i="11"/>
  <c r="A8" i="11"/>
  <c r="A6" i="11"/>
  <c r="A5" i="11"/>
  <c r="A19" i="11"/>
  <c r="A35" i="11"/>
  <c r="A51" i="11"/>
  <c r="A67" i="11"/>
  <c r="A83" i="11"/>
  <c r="A99" i="11"/>
  <c r="A115" i="11"/>
  <c r="A131" i="11"/>
  <c r="A147" i="11"/>
  <c r="A163" i="11"/>
  <c r="A179" i="11"/>
  <c r="A195" i="11"/>
  <c r="A211" i="11"/>
  <c r="A227" i="11"/>
  <c r="A243" i="11"/>
  <c r="A259" i="11"/>
  <c r="A275" i="11"/>
  <c r="A290" i="11"/>
  <c r="A306" i="11"/>
  <c r="A322" i="11"/>
  <c r="A338" i="11"/>
  <c r="A354" i="11"/>
  <c r="A370" i="11"/>
  <c r="A386" i="11"/>
  <c r="A415" i="11"/>
  <c r="A432" i="11"/>
  <c r="A450" i="11"/>
  <c r="A479" i="11"/>
  <c r="A496" i="11"/>
  <c r="A516" i="11"/>
  <c r="A545" i="11"/>
  <c r="A562" i="11"/>
  <c r="A580" i="11"/>
  <c r="A609" i="11"/>
  <c r="A626" i="11"/>
  <c r="A644" i="11"/>
  <c r="A673" i="11"/>
  <c r="A692" i="11"/>
  <c r="A710" i="11"/>
  <c r="A741" i="11"/>
  <c r="A763" i="11"/>
  <c r="A781" i="11"/>
  <c r="A810" i="11"/>
  <c r="A832" i="11"/>
  <c r="A850" i="11"/>
  <c r="A887" i="11"/>
  <c r="A905" i="11"/>
  <c r="A937" i="11"/>
  <c r="A966" i="11"/>
  <c r="A983" i="11"/>
  <c r="A1001" i="11"/>
  <c r="A1033" i="11"/>
  <c r="A1050" i="11"/>
  <c r="A1068" i="11"/>
  <c r="A1097" i="11"/>
  <c r="A1114" i="11"/>
  <c r="A1164" i="11"/>
  <c r="A1208" i="11"/>
  <c r="A393" i="11"/>
  <c r="A409" i="11"/>
  <c r="A425" i="11"/>
  <c r="A441" i="11"/>
  <c r="A457" i="11"/>
  <c r="A473" i="11"/>
  <c r="A489" i="11"/>
  <c r="A505" i="11"/>
  <c r="A523" i="11"/>
  <c r="A539" i="11"/>
  <c r="A555" i="11"/>
  <c r="A571" i="11"/>
  <c r="A587" i="11"/>
  <c r="A603" i="11"/>
  <c r="A619" i="11"/>
  <c r="A635" i="11"/>
  <c r="A651" i="11"/>
  <c r="A667" i="11"/>
  <c r="A684" i="11"/>
  <c r="A701" i="11"/>
  <c r="A717" i="11"/>
  <c r="A732" i="11"/>
  <c r="A756" i="11"/>
  <c r="A772" i="11"/>
  <c r="A788" i="11"/>
  <c r="A804" i="11"/>
  <c r="A822" i="11"/>
  <c r="A841" i="11"/>
  <c r="A859" i="11"/>
  <c r="A877" i="11"/>
  <c r="A898" i="11"/>
  <c r="A914" i="11"/>
  <c r="A944" i="11"/>
  <c r="A960" i="11"/>
  <c r="A976" i="11"/>
  <c r="A992" i="11"/>
  <c r="A1008" i="11"/>
  <c r="A1024" i="11"/>
  <c r="A1043" i="11"/>
  <c r="A1059" i="11"/>
  <c r="A1075" i="11"/>
  <c r="A1091" i="11"/>
  <c r="A1107" i="11"/>
  <c r="A1155" i="11"/>
  <c r="A1176" i="11"/>
  <c r="A1195" i="11"/>
  <c r="A1214" i="11"/>
  <c r="A1200" i="11"/>
  <c r="D38" i="5"/>
  <c r="A1166" i="11"/>
  <c r="A1102" i="11"/>
  <c r="A1070" i="11"/>
  <c r="A1038" i="11"/>
  <c r="A1003" i="11"/>
  <c r="A971" i="11"/>
  <c r="A939" i="11"/>
  <c r="A892" i="11"/>
  <c r="A858" i="11"/>
  <c r="A836" i="11"/>
  <c r="E4" i="17"/>
  <c r="A1213" i="11"/>
  <c r="A1165" i="11"/>
  <c r="A1101" i="11"/>
  <c r="A1069" i="11"/>
  <c r="A1037" i="11"/>
  <c r="A1002" i="11"/>
  <c r="A970" i="11"/>
  <c r="A938" i="11"/>
  <c r="A891" i="11"/>
  <c r="A855" i="11"/>
  <c r="A835" i="11"/>
  <c r="A787" i="11"/>
  <c r="A767" i="11"/>
  <c r="A900" i="11"/>
  <c r="A931" i="11"/>
  <c r="A949" i="11"/>
  <c r="A978" i="11"/>
  <c r="A995" i="11"/>
  <c r="A1013" i="11"/>
  <c r="A1045" i="11"/>
  <c r="A1062" i="11"/>
  <c r="A1080" i="11"/>
  <c r="A1109" i="11"/>
  <c r="A1158" i="11"/>
  <c r="A1181" i="11"/>
  <c r="A7" i="11"/>
  <c r="A23" i="11"/>
  <c r="A39" i="11"/>
  <c r="A55" i="11"/>
  <c r="A71" i="11"/>
  <c r="A87" i="11"/>
  <c r="A103" i="11"/>
  <c r="A119" i="11"/>
  <c r="A135" i="11"/>
  <c r="A151" i="11"/>
  <c r="A167" i="11"/>
  <c r="A183" i="11"/>
  <c r="A199" i="11"/>
  <c r="A215" i="11"/>
  <c r="A231" i="11"/>
  <c r="A247" i="11"/>
  <c r="A263" i="11"/>
  <c r="A279" i="11"/>
  <c r="A294" i="11"/>
  <c r="A310" i="11"/>
  <c r="A326" i="11"/>
  <c r="A342" i="11"/>
  <c r="A358" i="11"/>
  <c r="A374" i="11"/>
  <c r="A399" i="11"/>
  <c r="A416" i="11"/>
  <c r="A434" i="11"/>
  <c r="A463" i="11"/>
  <c r="A480" i="11"/>
  <c r="A498" i="11"/>
  <c r="A529" i="11"/>
  <c r="A546" i="11"/>
  <c r="A564" i="11"/>
  <c r="A593" i="11"/>
  <c r="A610" i="11"/>
  <c r="A628" i="11"/>
  <c r="A657" i="11"/>
  <c r="A674" i="11"/>
  <c r="A694" i="11"/>
  <c r="A723" i="11"/>
  <c r="A742" i="11"/>
  <c r="A765" i="11"/>
  <c r="A794" i="11"/>
  <c r="A811" i="11"/>
  <c r="A834" i="11"/>
  <c r="A867" i="11"/>
  <c r="A888" i="11"/>
  <c r="A907" i="11"/>
  <c r="A950" i="11"/>
  <c r="A967" i="11"/>
  <c r="A985" i="11"/>
  <c r="A1014" i="11"/>
  <c r="A1034" i="11"/>
  <c r="A1052" i="11"/>
  <c r="A1081" i="11"/>
  <c r="A1098" i="11"/>
  <c r="A1116" i="11"/>
  <c r="A1185" i="11"/>
  <c r="A1209" i="11"/>
  <c r="A397" i="11"/>
  <c r="A413" i="11"/>
  <c r="A429" i="11"/>
  <c r="A445" i="11"/>
  <c r="A461" i="11"/>
  <c r="A477" i="11"/>
  <c r="A493" i="11"/>
  <c r="A511" i="11"/>
  <c r="A527" i="11"/>
  <c r="A543" i="11"/>
  <c r="A559" i="11"/>
  <c r="A575" i="11"/>
  <c r="A591" i="11"/>
  <c r="A607" i="11"/>
  <c r="A623" i="11"/>
  <c r="A639" i="11"/>
  <c r="A655" i="11"/>
  <c r="A671" i="11"/>
  <c r="A689" i="11"/>
  <c r="A705" i="11"/>
  <c r="A721" i="11"/>
  <c r="A739" i="11"/>
  <c r="A760" i="11"/>
  <c r="A776" i="11"/>
  <c r="A792" i="11"/>
  <c r="A808" i="11"/>
  <c r="A826" i="11"/>
  <c r="A845" i="11"/>
  <c r="A865" i="11"/>
  <c r="A885" i="11"/>
  <c r="A902" i="11"/>
  <c r="A932" i="11"/>
  <c r="A948" i="11"/>
  <c r="A964" i="11"/>
  <c r="A980" i="11"/>
  <c r="A996" i="11"/>
  <c r="A1012" i="11"/>
  <c r="A1028" i="11"/>
  <c r="A1047" i="11"/>
  <c r="A1063" i="11"/>
  <c r="A1079" i="11"/>
  <c r="A1095" i="11"/>
  <c r="A1111" i="11"/>
  <c r="A1159" i="11"/>
  <c r="A1180" i="11"/>
  <c r="A1199" i="11"/>
  <c r="A1207" i="11"/>
  <c r="A1174" i="11"/>
  <c r="A1073" i="11"/>
  <c r="A1006" i="11"/>
  <c r="A942" i="11"/>
  <c r="A861" i="11"/>
  <c r="A809" i="11"/>
  <c r="A766" i="11"/>
  <c r="A933" i="11"/>
  <c r="A979" i="11"/>
  <c r="A1026" i="11"/>
  <c r="A1064" i="11"/>
  <c r="A1110" i="11"/>
  <c r="A1160" i="11"/>
  <c r="A1197" i="11"/>
  <c r="A11" i="11"/>
  <c r="A27" i="11"/>
  <c r="A43" i="11"/>
  <c r="A59" i="11"/>
  <c r="A75" i="11"/>
  <c r="A91" i="11"/>
  <c r="A107" i="11"/>
  <c r="A123" i="11"/>
  <c r="A139" i="11"/>
  <c r="A155" i="11"/>
  <c r="A171" i="11"/>
  <c r="A187" i="11"/>
  <c r="A203" i="11"/>
  <c r="A219" i="11"/>
  <c r="A235" i="11"/>
  <c r="A251" i="11"/>
  <c r="A267" i="11"/>
  <c r="A282" i="11"/>
  <c r="A298" i="11"/>
  <c r="A314" i="11"/>
  <c r="A330" i="11"/>
  <c r="A346" i="11"/>
  <c r="A362" i="11"/>
  <c r="A378" i="11"/>
  <c r="A400" i="11"/>
  <c r="A418" i="11"/>
  <c r="A447" i="11"/>
  <c r="A464" i="11"/>
  <c r="A482" i="11"/>
  <c r="A513" i="11"/>
  <c r="A530" i="11"/>
  <c r="A548" i="11"/>
  <c r="A577" i="11"/>
  <c r="A594" i="11"/>
  <c r="A612" i="11"/>
  <c r="A641" i="11"/>
  <c r="A658" i="11"/>
  <c r="A676" i="11"/>
  <c r="A707" i="11"/>
  <c r="A724" i="11"/>
  <c r="A744" i="11"/>
  <c r="A778" i="11"/>
  <c r="A795" i="11"/>
  <c r="A813" i="11"/>
  <c r="A847" i="11"/>
  <c r="A868" i="11"/>
  <c r="A890" i="11"/>
  <c r="A934" i="11"/>
  <c r="A951" i="11"/>
  <c r="A969" i="11"/>
  <c r="A998" i="11"/>
  <c r="A1015" i="11"/>
  <c r="A1036" i="11"/>
  <c r="A1065" i="11"/>
  <c r="A1082" i="11"/>
  <c r="A1100" i="11"/>
  <c r="A1161" i="11"/>
  <c r="A1186" i="11"/>
  <c r="A401" i="11"/>
  <c r="A417" i="11"/>
  <c r="A433" i="11"/>
  <c r="A449" i="11"/>
  <c r="A465" i="11"/>
  <c r="A481" i="11"/>
  <c r="A497" i="11"/>
  <c r="A515" i="11"/>
  <c r="A531" i="11"/>
  <c r="A547" i="11"/>
  <c r="A563" i="11"/>
  <c r="A579" i="11"/>
  <c r="A595" i="11"/>
  <c r="A611" i="11"/>
  <c r="A627" i="11"/>
  <c r="A643" i="11"/>
  <c r="A659" i="11"/>
  <c r="A675" i="11"/>
  <c r="A693" i="11"/>
  <c r="A709" i="11"/>
  <c r="A725" i="11"/>
  <c r="A743" i="11"/>
  <c r="A764" i="11"/>
  <c r="A780" i="11"/>
  <c r="A796" i="11"/>
  <c r="A812" i="11"/>
  <c r="A833" i="11"/>
  <c r="A849" i="11"/>
  <c r="A869" i="11"/>
  <c r="A889" i="11"/>
  <c r="A906" i="11"/>
  <c r="A936" i="11"/>
  <c r="A952" i="11"/>
  <c r="A968" i="11"/>
  <c r="A984" i="11"/>
  <c r="A1000" i="11"/>
  <c r="A1016" i="11"/>
  <c r="A1035" i="11"/>
  <c r="A1051" i="11"/>
  <c r="A1067" i="11"/>
  <c r="A1083" i="11"/>
  <c r="A1099" i="11"/>
  <c r="A1115" i="11"/>
  <c r="A1163" i="11"/>
  <c r="A1187" i="11"/>
  <c r="A1205" i="11"/>
  <c r="A1211" i="11"/>
  <c r="M162" i="7"/>
  <c r="M54" i="4" s="1"/>
  <c r="K162" i="7"/>
  <c r="K54" i="4" s="1"/>
  <c r="G162" i="7"/>
  <c r="G54" i="4" s="1"/>
  <c r="C162" i="7"/>
  <c r="M161" i="7"/>
  <c r="M53" i="4" s="1"/>
  <c r="I161" i="7"/>
  <c r="I53" i="4" s="1"/>
  <c r="E161" i="7"/>
  <c r="E53" i="4" s="1"/>
  <c r="M159" i="7"/>
  <c r="I159" i="7"/>
  <c r="J162" i="7"/>
  <c r="J54" i="4" s="1"/>
  <c r="F162" i="7"/>
  <c r="F54" i="4" s="1"/>
  <c r="L161" i="7"/>
  <c r="L53" i="4" s="1"/>
  <c r="H161" i="7"/>
  <c r="H53" i="4" s="1"/>
  <c r="D161" i="7"/>
  <c r="D53" i="4" s="1"/>
  <c r="L159" i="7"/>
  <c r="N162" i="7"/>
  <c r="N54" i="4" s="1"/>
  <c r="I162" i="7"/>
  <c r="I54" i="4" s="1"/>
  <c r="E162" i="7"/>
  <c r="E54" i="4" s="1"/>
  <c r="K161" i="7"/>
  <c r="K53" i="4" s="1"/>
  <c r="H162" i="7"/>
  <c r="H54" i="4" s="1"/>
  <c r="G161" i="7"/>
  <c r="G53" i="4" s="1"/>
  <c r="K159" i="7"/>
  <c r="F159" i="7"/>
  <c r="L158" i="7"/>
  <c r="H158" i="7"/>
  <c r="D158" i="7"/>
  <c r="N157" i="7"/>
  <c r="J157" i="7"/>
  <c r="F157" i="7"/>
  <c r="L156" i="7"/>
  <c r="H156" i="7"/>
  <c r="D156" i="7"/>
  <c r="N155" i="7"/>
  <c r="J155" i="7"/>
  <c r="F155" i="7"/>
  <c r="L154" i="7"/>
  <c r="H154" i="7"/>
  <c r="D154" i="7"/>
  <c r="N153" i="7"/>
  <c r="J153" i="7"/>
  <c r="F153" i="7"/>
  <c r="L152" i="7"/>
  <c r="H152" i="7"/>
  <c r="D152" i="7"/>
  <c r="N151" i="7"/>
  <c r="J151" i="7"/>
  <c r="F151" i="7"/>
  <c r="L150" i="7"/>
  <c r="H150" i="7"/>
  <c r="D150" i="7"/>
  <c r="N149" i="7"/>
  <c r="J149" i="7"/>
  <c r="F149" i="7"/>
  <c r="L148" i="7"/>
  <c r="H148" i="7"/>
  <c r="D148" i="7"/>
  <c r="N147" i="7"/>
  <c r="J147" i="7"/>
  <c r="F147" i="7"/>
  <c r="N144" i="7"/>
  <c r="J144" i="7"/>
  <c r="F144" i="7"/>
  <c r="L143" i="7"/>
  <c r="H143" i="7"/>
  <c r="D143" i="7"/>
  <c r="N142" i="7"/>
  <c r="J142" i="7"/>
  <c r="F142" i="7"/>
  <c r="L141" i="7"/>
  <c r="H141" i="7"/>
  <c r="D141" i="7"/>
  <c r="N140" i="7"/>
  <c r="J140" i="7"/>
  <c r="F140" i="7"/>
  <c r="L139" i="7"/>
  <c r="H139" i="7"/>
  <c r="D139" i="7"/>
  <c r="N138" i="7"/>
  <c r="J138" i="7"/>
  <c r="F138" i="7"/>
  <c r="L137" i="7"/>
  <c r="H137" i="7"/>
  <c r="D137" i="7"/>
  <c r="N136" i="7"/>
  <c r="J136" i="7"/>
  <c r="F136" i="7"/>
  <c r="L135" i="7"/>
  <c r="H135" i="7"/>
  <c r="D135" i="7"/>
  <c r="N134" i="7"/>
  <c r="J134" i="7"/>
  <c r="F134" i="7"/>
  <c r="L133" i="7"/>
  <c r="H133" i="7"/>
  <c r="D133" i="7"/>
  <c r="N132" i="7"/>
  <c r="J132" i="7"/>
  <c r="F132" i="7"/>
  <c r="L131" i="7"/>
  <c r="H131" i="7"/>
  <c r="D131" i="7"/>
  <c r="N130" i="7"/>
  <c r="J130" i="7"/>
  <c r="F130" i="7"/>
  <c r="L129" i="7"/>
  <c r="H129" i="7"/>
  <c r="D129" i="7"/>
  <c r="N128" i="7"/>
  <c r="J128" i="7"/>
  <c r="F128" i="7"/>
  <c r="L127" i="7"/>
  <c r="H127" i="7"/>
  <c r="D127" i="7"/>
  <c r="N126" i="7"/>
  <c r="J126" i="7"/>
  <c r="F126" i="7"/>
  <c r="L125" i="7"/>
  <c r="H125" i="7"/>
  <c r="D125" i="7"/>
  <c r="N124" i="7"/>
  <c r="J124" i="7"/>
  <c r="F124" i="7"/>
  <c r="L123" i="7"/>
  <c r="H123" i="7"/>
  <c r="D123" i="7"/>
  <c r="N122" i="7"/>
  <c r="J122" i="7"/>
  <c r="F122" i="7"/>
  <c r="L121" i="7"/>
  <c r="H121" i="7"/>
  <c r="D121" i="7"/>
  <c r="N120" i="7"/>
  <c r="J120" i="7"/>
  <c r="F120" i="7"/>
  <c r="L119" i="7"/>
  <c r="H119" i="7"/>
  <c r="D119" i="7"/>
  <c r="N118" i="7"/>
  <c r="J118" i="7"/>
  <c r="F118" i="7"/>
  <c r="L117" i="7"/>
  <c r="H117" i="7"/>
  <c r="D117" i="7"/>
  <c r="N116" i="7"/>
  <c r="J116" i="7"/>
  <c r="F116" i="7"/>
  <c r="L115" i="7"/>
  <c r="H115" i="7"/>
  <c r="D115" i="7"/>
  <c r="N114" i="7"/>
  <c r="J114" i="7"/>
  <c r="F114" i="7"/>
  <c r="L113" i="7"/>
  <c r="H113" i="7"/>
  <c r="D113" i="7"/>
  <c r="N112" i="7"/>
  <c r="J112" i="7"/>
  <c r="F112" i="7"/>
  <c r="L111" i="7"/>
  <c r="H111" i="7"/>
  <c r="D162" i="7"/>
  <c r="D54" i="4" s="1"/>
  <c r="F161" i="7"/>
  <c r="F53" i="4" s="1"/>
  <c r="J159" i="7"/>
  <c r="E159" i="7"/>
  <c r="K158" i="7"/>
  <c r="G158" i="7"/>
  <c r="C158" i="7"/>
  <c r="M157" i="7"/>
  <c r="I157" i="7"/>
  <c r="E157" i="7"/>
  <c r="K156" i="7"/>
  <c r="G156" i="7"/>
  <c r="C156" i="7"/>
  <c r="M155" i="7"/>
  <c r="I155" i="7"/>
  <c r="E155" i="7"/>
  <c r="K154" i="7"/>
  <c r="G154" i="7"/>
  <c r="C154" i="7"/>
  <c r="M153" i="7"/>
  <c r="I153" i="7"/>
  <c r="E153" i="7"/>
  <c r="K152" i="7"/>
  <c r="G152" i="7"/>
  <c r="C152" i="7"/>
  <c r="M151" i="7"/>
  <c r="I151" i="7"/>
  <c r="E151" i="7"/>
  <c r="K150" i="7"/>
  <c r="G150" i="7"/>
  <c r="C150" i="7"/>
  <c r="M149" i="7"/>
  <c r="I149" i="7"/>
  <c r="E149" i="7"/>
  <c r="K148" i="7"/>
  <c r="G148" i="7"/>
  <c r="C148" i="7"/>
  <c r="M147" i="7"/>
  <c r="I147" i="7"/>
  <c r="E147" i="7"/>
  <c r="M144" i="7"/>
  <c r="I144" i="7"/>
  <c r="E144" i="7"/>
  <c r="K143" i="7"/>
  <c r="G143" i="7"/>
  <c r="C143" i="7"/>
  <c r="M142" i="7"/>
  <c r="I142" i="7"/>
  <c r="E142" i="7"/>
  <c r="K141" i="7"/>
  <c r="G141" i="7"/>
  <c r="C141" i="7"/>
  <c r="M140" i="7"/>
  <c r="I140" i="7"/>
  <c r="E140" i="7"/>
  <c r="K139" i="7"/>
  <c r="G139" i="7"/>
  <c r="C139" i="7"/>
  <c r="M138" i="7"/>
  <c r="I138" i="7"/>
  <c r="E138" i="7"/>
  <c r="K137" i="7"/>
  <c r="G137" i="7"/>
  <c r="C137" i="7"/>
  <c r="M136" i="7"/>
  <c r="I136" i="7"/>
  <c r="E136" i="7"/>
  <c r="K135" i="7"/>
  <c r="G135" i="7"/>
  <c r="C135" i="7"/>
  <c r="M134" i="7"/>
  <c r="I134" i="7"/>
  <c r="E134" i="7"/>
  <c r="K133" i="7"/>
  <c r="G133" i="7"/>
  <c r="C133" i="7"/>
  <c r="M132" i="7"/>
  <c r="I132" i="7"/>
  <c r="E132" i="7"/>
  <c r="K131" i="7"/>
  <c r="G131" i="7"/>
  <c r="C131" i="7"/>
  <c r="M130" i="7"/>
  <c r="I130" i="7"/>
  <c r="E130" i="7"/>
  <c r="K129" i="7"/>
  <c r="G129" i="7"/>
  <c r="C129" i="7"/>
  <c r="M128" i="7"/>
  <c r="I128" i="7"/>
  <c r="E128" i="7"/>
  <c r="K127" i="7"/>
  <c r="G127" i="7"/>
  <c r="C127" i="7"/>
  <c r="M126" i="7"/>
  <c r="I126" i="7"/>
  <c r="E126" i="7"/>
  <c r="K125" i="7"/>
  <c r="G125" i="7"/>
  <c r="C125" i="7"/>
  <c r="M124" i="7"/>
  <c r="I124" i="7"/>
  <c r="E124" i="7"/>
  <c r="K123" i="7"/>
  <c r="G123" i="7"/>
  <c r="C123" i="7"/>
  <c r="M122" i="7"/>
  <c r="I122" i="7"/>
  <c r="E122" i="7"/>
  <c r="K121" i="7"/>
  <c r="G121" i="7"/>
  <c r="C121" i="7"/>
  <c r="M120" i="7"/>
  <c r="I120" i="7"/>
  <c r="E120" i="7"/>
  <c r="K119" i="7"/>
  <c r="G119" i="7"/>
  <c r="C119" i="7"/>
  <c r="M118" i="7"/>
  <c r="I118" i="7"/>
  <c r="E118" i="7"/>
  <c r="K117" i="7"/>
  <c r="G117" i="7"/>
  <c r="C117" i="7"/>
  <c r="M116" i="7"/>
  <c r="I116" i="7"/>
  <c r="E116" i="7"/>
  <c r="K115" i="7"/>
  <c r="G115" i="7"/>
  <c r="C115" i="7"/>
  <c r="M114" i="7"/>
  <c r="I114" i="7"/>
  <c r="E114" i="7"/>
  <c r="K113" i="7"/>
  <c r="G113" i="7"/>
  <c r="C113" i="7"/>
  <c r="M112" i="7"/>
  <c r="I112" i="7"/>
  <c r="E112" i="7"/>
  <c r="K111" i="7"/>
  <c r="G111" i="7"/>
  <c r="N161" i="7"/>
  <c r="N53" i="4" s="1"/>
  <c r="C161" i="7"/>
  <c r="H159" i="7"/>
  <c r="D159" i="7"/>
  <c r="N158" i="7"/>
  <c r="J158" i="7"/>
  <c r="F158" i="7"/>
  <c r="L157" i="7"/>
  <c r="H157" i="7"/>
  <c r="D157" i="7"/>
  <c r="N156" i="7"/>
  <c r="J156" i="7"/>
  <c r="F156" i="7"/>
  <c r="L155" i="7"/>
  <c r="H155" i="7"/>
  <c r="D155" i="7"/>
  <c r="N154" i="7"/>
  <c r="J154" i="7"/>
  <c r="F154" i="7"/>
  <c r="L153" i="7"/>
  <c r="H153" i="7"/>
  <c r="D153" i="7"/>
  <c r="N152" i="7"/>
  <c r="J152" i="7"/>
  <c r="F152" i="7"/>
  <c r="L151" i="7"/>
  <c r="H151" i="7"/>
  <c r="D151" i="7"/>
  <c r="N150" i="7"/>
  <c r="J150" i="7"/>
  <c r="F150" i="7"/>
  <c r="L149" i="7"/>
  <c r="H149" i="7"/>
  <c r="D149" i="7"/>
  <c r="N148" i="7"/>
  <c r="J148" i="7"/>
  <c r="F148" i="7"/>
  <c r="L147" i="7"/>
  <c r="H147" i="7"/>
  <c r="D147" i="7"/>
  <c r="L144" i="7"/>
  <c r="H144" i="7"/>
  <c r="D144" i="7"/>
  <c r="N143" i="7"/>
  <c r="J143" i="7"/>
  <c r="F143" i="7"/>
  <c r="L142" i="7"/>
  <c r="H142" i="7"/>
  <c r="D142" i="7"/>
  <c r="N141" i="7"/>
  <c r="J141" i="7"/>
  <c r="F141" i="7"/>
  <c r="L140" i="7"/>
  <c r="H140" i="7"/>
  <c r="D140" i="7"/>
  <c r="N139" i="7"/>
  <c r="J139" i="7"/>
  <c r="F139" i="7"/>
  <c r="L138" i="7"/>
  <c r="H138" i="7"/>
  <c r="D138" i="7"/>
  <c r="N137" i="7"/>
  <c r="J137" i="7"/>
  <c r="F137" i="7"/>
  <c r="L136" i="7"/>
  <c r="H136" i="7"/>
  <c r="D136" i="7"/>
  <c r="N135" i="7"/>
  <c r="J135" i="7"/>
  <c r="F135" i="7"/>
  <c r="L134" i="7"/>
  <c r="H134" i="7"/>
  <c r="D134" i="7"/>
  <c r="N133" i="7"/>
  <c r="J133" i="7"/>
  <c r="F133" i="7"/>
  <c r="L132" i="7"/>
  <c r="H132" i="7"/>
  <c r="D132" i="7"/>
  <c r="N131" i="7"/>
  <c r="J131" i="7"/>
  <c r="F131" i="7"/>
  <c r="L130" i="7"/>
  <c r="H130" i="7"/>
  <c r="D130" i="7"/>
  <c r="N129" i="7"/>
  <c r="J129" i="7"/>
  <c r="F129" i="7"/>
  <c r="L128" i="7"/>
  <c r="H128" i="7"/>
  <c r="D128" i="7"/>
  <c r="N127" i="7"/>
  <c r="J127" i="7"/>
  <c r="F127" i="7"/>
  <c r="L126" i="7"/>
  <c r="H126" i="7"/>
  <c r="D126" i="7"/>
  <c r="N125" i="7"/>
  <c r="J125" i="7"/>
  <c r="F125" i="7"/>
  <c r="L124" i="7"/>
  <c r="H124" i="7"/>
  <c r="D124" i="7"/>
  <c r="N123" i="7"/>
  <c r="J123" i="7"/>
  <c r="F123" i="7"/>
  <c r="L122" i="7"/>
  <c r="H122" i="7"/>
  <c r="D122" i="7"/>
  <c r="N121" i="7"/>
  <c r="J121" i="7"/>
  <c r="F121" i="7"/>
  <c r="L120" i="7"/>
  <c r="H120" i="7"/>
  <c r="D120" i="7"/>
  <c r="N119" i="7"/>
  <c r="J119" i="7"/>
  <c r="F119" i="7"/>
  <c r="L118" i="7"/>
  <c r="H118" i="7"/>
  <c r="D118" i="7"/>
  <c r="N117" i="7"/>
  <c r="J117" i="7"/>
  <c r="F117" i="7"/>
  <c r="L116" i="7"/>
  <c r="H116" i="7"/>
  <c r="D116" i="7"/>
  <c r="N115" i="7"/>
  <c r="J115" i="7"/>
  <c r="F115" i="7"/>
  <c r="L114" i="7"/>
  <c r="H114" i="7"/>
  <c r="D114" i="7"/>
  <c r="N113" i="7"/>
  <c r="J113" i="7"/>
  <c r="F113" i="7"/>
  <c r="L112" i="7"/>
  <c r="H112" i="7"/>
  <c r="D112" i="7"/>
  <c r="N111" i="7"/>
  <c r="J111" i="7"/>
  <c r="L162" i="7"/>
  <c r="L54" i="4" s="1"/>
  <c r="J161" i="7"/>
  <c r="J53" i="4" s="1"/>
  <c r="N159" i="7"/>
  <c r="G159" i="7"/>
  <c r="C159" i="7"/>
  <c r="M158" i="7"/>
  <c r="I158" i="7"/>
  <c r="E158" i="7"/>
  <c r="K157" i="7"/>
  <c r="G157" i="7"/>
  <c r="C157" i="7"/>
  <c r="M156" i="7"/>
  <c r="I156" i="7"/>
  <c r="E156" i="7"/>
  <c r="K155" i="7"/>
  <c r="G155" i="7"/>
  <c r="C155" i="7"/>
  <c r="M154" i="7"/>
  <c r="I154" i="7"/>
  <c r="E154" i="7"/>
  <c r="K153" i="7"/>
  <c r="G153" i="7"/>
  <c r="C153" i="7"/>
  <c r="M152" i="7"/>
  <c r="I152" i="7"/>
  <c r="E152" i="7"/>
  <c r="K151" i="7"/>
  <c r="G151" i="7"/>
  <c r="C151" i="7"/>
  <c r="M150" i="7"/>
  <c r="I150" i="7"/>
  <c r="E150" i="7"/>
  <c r="K149" i="7"/>
  <c r="G149" i="7"/>
  <c r="C149" i="7"/>
  <c r="M148" i="7"/>
  <c r="I148" i="7"/>
  <c r="E148" i="7"/>
  <c r="K147" i="7"/>
  <c r="G147" i="7"/>
  <c r="C147" i="7"/>
  <c r="K144" i="7"/>
  <c r="G144" i="7"/>
  <c r="C144" i="7"/>
  <c r="M143" i="7"/>
  <c r="I143" i="7"/>
  <c r="E143" i="7"/>
  <c r="K142" i="7"/>
  <c r="G142" i="7"/>
  <c r="C142" i="7"/>
  <c r="M141" i="7"/>
  <c r="I141" i="7"/>
  <c r="E141" i="7"/>
  <c r="K140" i="7"/>
  <c r="G140" i="7"/>
  <c r="C140" i="7"/>
  <c r="M139" i="7"/>
  <c r="I139" i="7"/>
  <c r="E139" i="7"/>
  <c r="K138" i="7"/>
  <c r="G138" i="7"/>
  <c r="C138" i="7"/>
  <c r="M137" i="7"/>
  <c r="I137" i="7"/>
  <c r="E137" i="7"/>
  <c r="K136" i="7"/>
  <c r="G136" i="7"/>
  <c r="C136" i="7"/>
  <c r="M135" i="7"/>
  <c r="I135" i="7"/>
  <c r="E135" i="7"/>
  <c r="K134" i="7"/>
  <c r="G134" i="7"/>
  <c r="C134" i="7"/>
  <c r="M133" i="7"/>
  <c r="I133" i="7"/>
  <c r="E133" i="7"/>
  <c r="K132" i="7"/>
  <c r="G132" i="7"/>
  <c r="C132" i="7"/>
  <c r="M131" i="7"/>
  <c r="I131" i="7"/>
  <c r="E131" i="7"/>
  <c r="K130" i="7"/>
  <c r="G130" i="7"/>
  <c r="C130" i="7"/>
  <c r="M129" i="7"/>
  <c r="I129" i="7"/>
  <c r="E129" i="7"/>
  <c r="K128" i="7"/>
  <c r="G128" i="7"/>
  <c r="C128" i="7"/>
  <c r="M127" i="7"/>
  <c r="I127" i="7"/>
  <c r="E127" i="7"/>
  <c r="K126" i="7"/>
  <c r="G126" i="7"/>
  <c r="C126" i="7"/>
  <c r="M125" i="7"/>
  <c r="I125" i="7"/>
  <c r="E125" i="7"/>
  <c r="K124" i="7"/>
  <c r="G124" i="7"/>
  <c r="C124" i="7"/>
  <c r="M123" i="7"/>
  <c r="I123" i="7"/>
  <c r="E123" i="7"/>
  <c r="K122" i="7"/>
  <c r="G122" i="7"/>
  <c r="C122" i="7"/>
  <c r="M121" i="7"/>
  <c r="I121" i="7"/>
  <c r="E121" i="7"/>
  <c r="K120" i="7"/>
  <c r="G120" i="7"/>
  <c r="C120" i="7"/>
  <c r="M119" i="7"/>
  <c r="I119" i="7"/>
  <c r="E119" i="7"/>
  <c r="K118" i="7"/>
  <c r="G118" i="7"/>
  <c r="C118" i="7"/>
  <c r="M117" i="7"/>
  <c r="I117" i="7"/>
  <c r="E117" i="7"/>
  <c r="K116" i="7"/>
  <c r="G116" i="7"/>
  <c r="C116" i="7"/>
  <c r="M115" i="7"/>
  <c r="I115" i="7"/>
  <c r="E115" i="7"/>
  <c r="K114" i="7"/>
  <c r="G114" i="7"/>
  <c r="C114" i="7"/>
  <c r="M113" i="7"/>
  <c r="I113" i="7"/>
  <c r="E113" i="7"/>
  <c r="C112" i="7"/>
  <c r="E111" i="7"/>
  <c r="K110" i="7"/>
  <c r="G110" i="7"/>
  <c r="C110" i="7"/>
  <c r="M109" i="7"/>
  <c r="I109" i="7"/>
  <c r="E109" i="7"/>
  <c r="K108" i="7"/>
  <c r="G108" i="7"/>
  <c r="C108" i="7"/>
  <c r="M107" i="7"/>
  <c r="I107" i="7"/>
  <c r="E107" i="7"/>
  <c r="K106" i="7"/>
  <c r="G106" i="7"/>
  <c r="C106" i="7"/>
  <c r="M105" i="7"/>
  <c r="I105" i="7"/>
  <c r="E105" i="7"/>
  <c r="K104" i="7"/>
  <c r="G104" i="7"/>
  <c r="C104" i="7"/>
  <c r="M103" i="7"/>
  <c r="I103" i="7"/>
  <c r="E103" i="7"/>
  <c r="K102" i="7"/>
  <c r="G102" i="7"/>
  <c r="C102" i="7"/>
  <c r="M101" i="7"/>
  <c r="I101" i="7"/>
  <c r="E101" i="7"/>
  <c r="K100" i="7"/>
  <c r="G100" i="7"/>
  <c r="C100" i="7"/>
  <c r="M99" i="7"/>
  <c r="I99" i="7"/>
  <c r="E99" i="7"/>
  <c r="K98" i="7"/>
  <c r="G98" i="7"/>
  <c r="C98" i="7"/>
  <c r="M97" i="7"/>
  <c r="I97" i="7"/>
  <c r="E97" i="7"/>
  <c r="K96" i="7"/>
  <c r="G96" i="7"/>
  <c r="C96" i="7"/>
  <c r="M95" i="7"/>
  <c r="I95" i="7"/>
  <c r="E95" i="7"/>
  <c r="K94" i="7"/>
  <c r="G94" i="7"/>
  <c r="C94" i="7"/>
  <c r="M93" i="7"/>
  <c r="I93" i="7"/>
  <c r="E93" i="7"/>
  <c r="K92" i="7"/>
  <c r="G92" i="7"/>
  <c r="C92" i="7"/>
  <c r="M91" i="7"/>
  <c r="I91" i="7"/>
  <c r="E91" i="7"/>
  <c r="K90" i="7"/>
  <c r="G90" i="7"/>
  <c r="C90" i="7"/>
  <c r="M89" i="7"/>
  <c r="I89" i="7"/>
  <c r="E89" i="7"/>
  <c r="K88" i="7"/>
  <c r="G88" i="7"/>
  <c r="C88" i="7"/>
  <c r="M87" i="7"/>
  <c r="I87" i="7"/>
  <c r="E87" i="7"/>
  <c r="K86" i="7"/>
  <c r="G86" i="7"/>
  <c r="C86" i="7"/>
  <c r="M85" i="7"/>
  <c r="I85" i="7"/>
  <c r="E85" i="7"/>
  <c r="K84" i="7"/>
  <c r="G84" i="7"/>
  <c r="C84" i="7"/>
  <c r="M83" i="7"/>
  <c r="I83" i="7"/>
  <c r="E83" i="7"/>
  <c r="K82" i="7"/>
  <c r="G82" i="7"/>
  <c r="C82" i="7"/>
  <c r="M81" i="7"/>
  <c r="I81" i="7"/>
  <c r="E81" i="7"/>
  <c r="K80" i="7"/>
  <c r="G80" i="7"/>
  <c r="C80" i="7"/>
  <c r="M79" i="7"/>
  <c r="I79" i="7"/>
  <c r="E79" i="7"/>
  <c r="K78" i="7"/>
  <c r="G78" i="7"/>
  <c r="C78" i="7"/>
  <c r="M77" i="7"/>
  <c r="I77" i="7"/>
  <c r="E77" i="7"/>
  <c r="K76" i="7"/>
  <c r="G76" i="7"/>
  <c r="C76" i="7"/>
  <c r="M75" i="7"/>
  <c r="I75" i="7"/>
  <c r="E75" i="7"/>
  <c r="K74" i="7"/>
  <c r="G74" i="7"/>
  <c r="C74" i="7"/>
  <c r="M73" i="7"/>
  <c r="I73" i="7"/>
  <c r="E73" i="7"/>
  <c r="K72" i="7"/>
  <c r="G72" i="7"/>
  <c r="C72" i="7"/>
  <c r="M71" i="7"/>
  <c r="I71" i="7"/>
  <c r="E71" i="7"/>
  <c r="K70" i="7"/>
  <c r="G70" i="7"/>
  <c r="C70" i="7"/>
  <c r="M69" i="7"/>
  <c r="I69" i="7"/>
  <c r="E69" i="7"/>
  <c r="K68" i="7"/>
  <c r="G68" i="7"/>
  <c r="C68" i="7"/>
  <c r="M67" i="7"/>
  <c r="I67" i="7"/>
  <c r="E67" i="7"/>
  <c r="K66" i="7"/>
  <c r="G66" i="7"/>
  <c r="C66" i="7"/>
  <c r="M65" i="7"/>
  <c r="I65" i="7"/>
  <c r="E65" i="7"/>
  <c r="K64" i="7"/>
  <c r="G64" i="7"/>
  <c r="C64" i="7"/>
  <c r="M63" i="7"/>
  <c r="I63" i="7"/>
  <c r="E63" i="7"/>
  <c r="K62" i="7"/>
  <c r="G62" i="7"/>
  <c r="C62" i="7"/>
  <c r="M61" i="7"/>
  <c r="I61" i="7"/>
  <c r="E61" i="7"/>
  <c r="K60" i="7"/>
  <c r="G60" i="7"/>
  <c r="C60" i="7"/>
  <c r="M59" i="7"/>
  <c r="I59" i="7"/>
  <c r="E59" i="7"/>
  <c r="K58" i="7"/>
  <c r="G58" i="7"/>
  <c r="C58" i="7"/>
  <c r="M57" i="7"/>
  <c r="I57" i="7"/>
  <c r="E57" i="7"/>
  <c r="K56" i="7"/>
  <c r="G56" i="7"/>
  <c r="C56" i="7"/>
  <c r="M55" i="7"/>
  <c r="I55" i="7"/>
  <c r="E55" i="7"/>
  <c r="K51" i="7"/>
  <c r="G51" i="7"/>
  <c r="C51" i="7"/>
  <c r="M50" i="7"/>
  <c r="I50" i="7"/>
  <c r="E50" i="7"/>
  <c r="K49" i="7"/>
  <c r="G49" i="7"/>
  <c r="C49" i="7"/>
  <c r="M48" i="7"/>
  <c r="I48" i="7"/>
  <c r="E48" i="7"/>
  <c r="K47" i="7"/>
  <c r="G47" i="7"/>
  <c r="C47" i="7"/>
  <c r="M46" i="7"/>
  <c r="I46" i="7"/>
  <c r="E46" i="7"/>
  <c r="K45" i="7"/>
  <c r="G45" i="7"/>
  <c r="C45" i="7"/>
  <c r="K42" i="7"/>
  <c r="G42" i="7"/>
  <c r="C42" i="7"/>
  <c r="M41" i="7"/>
  <c r="I41" i="7"/>
  <c r="E41" i="7"/>
  <c r="K40" i="7"/>
  <c r="G40" i="7"/>
  <c r="C40" i="7"/>
  <c r="M39" i="7"/>
  <c r="I39" i="7"/>
  <c r="E39" i="7"/>
  <c r="M28" i="7"/>
  <c r="I28" i="7"/>
  <c r="E28" i="7"/>
  <c r="K27" i="7"/>
  <c r="G27" i="7"/>
  <c r="C27" i="7"/>
  <c r="K24" i="7"/>
  <c r="G24" i="7"/>
  <c r="C24" i="7"/>
  <c r="M23" i="7"/>
  <c r="I23" i="7"/>
  <c r="E23" i="7"/>
  <c r="K22" i="7"/>
  <c r="G22" i="7"/>
  <c r="C22" i="7"/>
  <c r="M21" i="7"/>
  <c r="I21" i="7"/>
  <c r="E21" i="7"/>
  <c r="K20" i="7"/>
  <c r="G20" i="7"/>
  <c r="C20" i="7"/>
  <c r="K14" i="7"/>
  <c r="K41" i="4" s="1"/>
  <c r="G14" i="7"/>
  <c r="G41" i="4" s="1"/>
  <c r="C14" i="7"/>
  <c r="M13" i="7"/>
  <c r="M40" i="4" s="1"/>
  <c r="I13" i="7"/>
  <c r="I40" i="4" s="1"/>
  <c r="E13" i="7"/>
  <c r="E40" i="4" s="1"/>
  <c r="K12" i="7"/>
  <c r="K39" i="4" s="1"/>
  <c r="G12" i="7"/>
  <c r="G39" i="4" s="1"/>
  <c r="C12" i="7"/>
  <c r="M11" i="7"/>
  <c r="I11" i="7"/>
  <c r="E11" i="7"/>
  <c r="M111" i="7"/>
  <c r="D111" i="7"/>
  <c r="N110" i="7"/>
  <c r="J110" i="7"/>
  <c r="F110" i="7"/>
  <c r="L109" i="7"/>
  <c r="H109" i="7"/>
  <c r="D109" i="7"/>
  <c r="N108" i="7"/>
  <c r="J108" i="7"/>
  <c r="F108" i="7"/>
  <c r="L107" i="7"/>
  <c r="H107" i="7"/>
  <c r="D107" i="7"/>
  <c r="N106" i="7"/>
  <c r="J106" i="7"/>
  <c r="F106" i="7"/>
  <c r="L105" i="7"/>
  <c r="H105" i="7"/>
  <c r="D105" i="7"/>
  <c r="N104" i="7"/>
  <c r="J104" i="7"/>
  <c r="F104" i="7"/>
  <c r="L103" i="7"/>
  <c r="H103" i="7"/>
  <c r="D103" i="7"/>
  <c r="N102" i="7"/>
  <c r="J102" i="7"/>
  <c r="F102" i="7"/>
  <c r="L101" i="7"/>
  <c r="H101" i="7"/>
  <c r="D101" i="7"/>
  <c r="N100" i="7"/>
  <c r="J100" i="7"/>
  <c r="F100" i="7"/>
  <c r="L99" i="7"/>
  <c r="H99" i="7"/>
  <c r="D99" i="7"/>
  <c r="N98" i="7"/>
  <c r="J98" i="7"/>
  <c r="F98" i="7"/>
  <c r="L97" i="7"/>
  <c r="H97" i="7"/>
  <c r="D97" i="7"/>
  <c r="N96" i="7"/>
  <c r="J96" i="7"/>
  <c r="F96" i="7"/>
  <c r="L95" i="7"/>
  <c r="H95" i="7"/>
  <c r="D95" i="7"/>
  <c r="N94" i="7"/>
  <c r="J94" i="7"/>
  <c r="F94" i="7"/>
  <c r="L93" i="7"/>
  <c r="H93" i="7"/>
  <c r="D93" i="7"/>
  <c r="N92" i="7"/>
  <c r="J92" i="7"/>
  <c r="F92" i="7"/>
  <c r="L91" i="7"/>
  <c r="H91" i="7"/>
  <c r="D91" i="7"/>
  <c r="N90" i="7"/>
  <c r="J90" i="7"/>
  <c r="F90" i="7"/>
  <c r="L89" i="7"/>
  <c r="H89" i="7"/>
  <c r="D89" i="7"/>
  <c r="N88" i="7"/>
  <c r="J88" i="7"/>
  <c r="F88" i="7"/>
  <c r="L87" i="7"/>
  <c r="H87" i="7"/>
  <c r="D87" i="7"/>
  <c r="N86" i="7"/>
  <c r="J86" i="7"/>
  <c r="F86" i="7"/>
  <c r="L85" i="7"/>
  <c r="H85" i="7"/>
  <c r="D85" i="7"/>
  <c r="N84" i="7"/>
  <c r="J84" i="7"/>
  <c r="F84" i="7"/>
  <c r="L83" i="7"/>
  <c r="H83" i="7"/>
  <c r="D83" i="7"/>
  <c r="N82" i="7"/>
  <c r="J82" i="7"/>
  <c r="F82" i="7"/>
  <c r="L81" i="7"/>
  <c r="H81" i="7"/>
  <c r="D81" i="7"/>
  <c r="N80" i="7"/>
  <c r="J80" i="7"/>
  <c r="F80" i="7"/>
  <c r="L79" i="7"/>
  <c r="H79" i="7"/>
  <c r="D79" i="7"/>
  <c r="N78" i="7"/>
  <c r="J78" i="7"/>
  <c r="F78" i="7"/>
  <c r="L77" i="7"/>
  <c r="H77" i="7"/>
  <c r="D77" i="7"/>
  <c r="N76" i="7"/>
  <c r="J76" i="7"/>
  <c r="F76" i="7"/>
  <c r="L75" i="7"/>
  <c r="H75" i="7"/>
  <c r="D75" i="7"/>
  <c r="N74" i="7"/>
  <c r="J74" i="7"/>
  <c r="F74" i="7"/>
  <c r="L73" i="7"/>
  <c r="H73" i="7"/>
  <c r="D73" i="7"/>
  <c r="N72" i="7"/>
  <c r="J72" i="7"/>
  <c r="F72" i="7"/>
  <c r="L71" i="7"/>
  <c r="H71" i="7"/>
  <c r="D71" i="7"/>
  <c r="N70" i="7"/>
  <c r="J70" i="7"/>
  <c r="F70" i="7"/>
  <c r="L69" i="7"/>
  <c r="H69" i="7"/>
  <c r="D69" i="7"/>
  <c r="N68" i="7"/>
  <c r="J68" i="7"/>
  <c r="F68" i="7"/>
  <c r="L67" i="7"/>
  <c r="H67" i="7"/>
  <c r="D67" i="7"/>
  <c r="N66" i="7"/>
  <c r="J66" i="7"/>
  <c r="F66" i="7"/>
  <c r="L65" i="7"/>
  <c r="H65" i="7"/>
  <c r="D65" i="7"/>
  <c r="N64" i="7"/>
  <c r="J64" i="7"/>
  <c r="F64" i="7"/>
  <c r="L63" i="7"/>
  <c r="H63" i="7"/>
  <c r="D63" i="7"/>
  <c r="N62" i="7"/>
  <c r="J62" i="7"/>
  <c r="F62" i="7"/>
  <c r="L61" i="7"/>
  <c r="H61" i="7"/>
  <c r="D61" i="7"/>
  <c r="N60" i="7"/>
  <c r="J60" i="7"/>
  <c r="F60" i="7"/>
  <c r="L59" i="7"/>
  <c r="H59" i="7"/>
  <c r="D59" i="7"/>
  <c r="N58" i="7"/>
  <c r="J58" i="7"/>
  <c r="F58" i="7"/>
  <c r="L57" i="7"/>
  <c r="H57" i="7"/>
  <c r="D57" i="7"/>
  <c r="N56" i="7"/>
  <c r="J56" i="7"/>
  <c r="F56" i="7"/>
  <c r="L55" i="7"/>
  <c r="H55" i="7"/>
  <c r="D55" i="7"/>
  <c r="N51" i="7"/>
  <c r="J51" i="7"/>
  <c r="F51" i="7"/>
  <c r="L50" i="7"/>
  <c r="H50" i="7"/>
  <c r="D50" i="7"/>
  <c r="N49" i="7"/>
  <c r="J49" i="7"/>
  <c r="F49" i="7"/>
  <c r="L48" i="7"/>
  <c r="H48" i="7"/>
  <c r="D48" i="7"/>
  <c r="N47" i="7"/>
  <c r="J47" i="7"/>
  <c r="F47" i="7"/>
  <c r="L46" i="7"/>
  <c r="H46" i="7"/>
  <c r="D46" i="7"/>
  <c r="N45" i="7"/>
  <c r="J45" i="7"/>
  <c r="F45" i="7"/>
  <c r="N42" i="7"/>
  <c r="J42" i="7"/>
  <c r="F42" i="7"/>
  <c r="L41" i="7"/>
  <c r="H41" i="7"/>
  <c r="D41" i="7"/>
  <c r="N40" i="7"/>
  <c r="J40" i="7"/>
  <c r="F40" i="7"/>
  <c r="L39" i="7"/>
  <c r="H39" i="7"/>
  <c r="D39" i="7"/>
  <c r="L28" i="7"/>
  <c r="H28" i="7"/>
  <c r="D28" i="7"/>
  <c r="N27" i="7"/>
  <c r="J27" i="7"/>
  <c r="F27" i="7"/>
  <c r="N24" i="7"/>
  <c r="J24" i="7"/>
  <c r="F24" i="7"/>
  <c r="L23" i="7"/>
  <c r="H23" i="7"/>
  <c r="D23" i="7"/>
  <c r="N22" i="7"/>
  <c r="J22" i="7"/>
  <c r="F22" i="7"/>
  <c r="L21" i="7"/>
  <c r="H21" i="7"/>
  <c r="D21" i="7"/>
  <c r="N20" i="7"/>
  <c r="J20" i="7"/>
  <c r="F20" i="7"/>
  <c r="N14" i="7"/>
  <c r="N41" i="4" s="1"/>
  <c r="J14" i="7"/>
  <c r="J41" i="4" s="1"/>
  <c r="F14" i="7"/>
  <c r="F41" i="4" s="1"/>
  <c r="L13" i="7"/>
  <c r="L40" i="4" s="1"/>
  <c r="H13" i="7"/>
  <c r="H40" i="4" s="1"/>
  <c r="D13" i="7"/>
  <c r="D40" i="4" s="1"/>
  <c r="N12" i="7"/>
  <c r="N39" i="4" s="1"/>
  <c r="J12" i="7"/>
  <c r="J39" i="4" s="1"/>
  <c r="F12" i="7"/>
  <c r="F39" i="4" s="1"/>
  <c r="L11" i="7"/>
  <c r="H11" i="7"/>
  <c r="D11" i="7"/>
  <c r="K112" i="7"/>
  <c r="I111" i="7"/>
  <c r="C111" i="7"/>
  <c r="M110" i="7"/>
  <c r="I110" i="7"/>
  <c r="E110" i="7"/>
  <c r="K109" i="7"/>
  <c r="G109" i="7"/>
  <c r="C109" i="7"/>
  <c r="M108" i="7"/>
  <c r="I108" i="7"/>
  <c r="E108" i="7"/>
  <c r="K107" i="7"/>
  <c r="G107" i="7"/>
  <c r="C107" i="7"/>
  <c r="M106" i="7"/>
  <c r="I106" i="7"/>
  <c r="E106" i="7"/>
  <c r="K105" i="7"/>
  <c r="G105" i="7"/>
  <c r="C105" i="7"/>
  <c r="M104" i="7"/>
  <c r="I104" i="7"/>
  <c r="E104" i="7"/>
  <c r="K103" i="7"/>
  <c r="G103" i="7"/>
  <c r="C103" i="7"/>
  <c r="M102" i="7"/>
  <c r="I102" i="7"/>
  <c r="E102" i="7"/>
  <c r="K101" i="7"/>
  <c r="G101" i="7"/>
  <c r="C101" i="7"/>
  <c r="M100" i="7"/>
  <c r="I100" i="7"/>
  <c r="E100" i="7"/>
  <c r="K99" i="7"/>
  <c r="G99" i="7"/>
  <c r="C99" i="7"/>
  <c r="M98" i="7"/>
  <c r="I98" i="7"/>
  <c r="E98" i="7"/>
  <c r="K97" i="7"/>
  <c r="G97" i="7"/>
  <c r="C97" i="7"/>
  <c r="M96" i="7"/>
  <c r="I96" i="7"/>
  <c r="E96" i="7"/>
  <c r="K95" i="7"/>
  <c r="G95" i="7"/>
  <c r="C95" i="7"/>
  <c r="M94" i="7"/>
  <c r="I94" i="7"/>
  <c r="E94" i="7"/>
  <c r="K93" i="7"/>
  <c r="G93" i="7"/>
  <c r="C93" i="7"/>
  <c r="M92" i="7"/>
  <c r="I92" i="7"/>
  <c r="E92" i="7"/>
  <c r="K91" i="7"/>
  <c r="G91" i="7"/>
  <c r="C91" i="7"/>
  <c r="M90" i="7"/>
  <c r="I90" i="7"/>
  <c r="E90" i="7"/>
  <c r="K89" i="7"/>
  <c r="G89" i="7"/>
  <c r="C89" i="7"/>
  <c r="M88" i="7"/>
  <c r="I88" i="7"/>
  <c r="E88" i="7"/>
  <c r="K87" i="7"/>
  <c r="G87" i="7"/>
  <c r="C87" i="7"/>
  <c r="M86" i="7"/>
  <c r="I86" i="7"/>
  <c r="E86" i="7"/>
  <c r="K85" i="7"/>
  <c r="G85" i="7"/>
  <c r="C85" i="7"/>
  <c r="M84" i="7"/>
  <c r="I84" i="7"/>
  <c r="E84" i="7"/>
  <c r="K83" i="7"/>
  <c r="G83" i="7"/>
  <c r="C83" i="7"/>
  <c r="M82" i="7"/>
  <c r="I82" i="7"/>
  <c r="E82" i="7"/>
  <c r="K81" i="7"/>
  <c r="G81" i="7"/>
  <c r="C81" i="7"/>
  <c r="M80" i="7"/>
  <c r="I80" i="7"/>
  <c r="E80" i="7"/>
  <c r="K79" i="7"/>
  <c r="G79" i="7"/>
  <c r="C79" i="7"/>
  <c r="M78" i="7"/>
  <c r="I78" i="7"/>
  <c r="E78" i="7"/>
  <c r="K77" i="7"/>
  <c r="G77" i="7"/>
  <c r="C77" i="7"/>
  <c r="M76" i="7"/>
  <c r="I76" i="7"/>
  <c r="E76" i="7"/>
  <c r="K75" i="7"/>
  <c r="G75" i="7"/>
  <c r="C75" i="7"/>
  <c r="M74" i="7"/>
  <c r="I74" i="7"/>
  <c r="E74" i="7"/>
  <c r="K73" i="7"/>
  <c r="G73" i="7"/>
  <c r="C73" i="7"/>
  <c r="M72" i="7"/>
  <c r="I72" i="7"/>
  <c r="E72" i="7"/>
  <c r="K71" i="7"/>
  <c r="G71" i="7"/>
  <c r="C71" i="7"/>
  <c r="M70" i="7"/>
  <c r="I70" i="7"/>
  <c r="E70" i="7"/>
  <c r="K69" i="7"/>
  <c r="G69" i="7"/>
  <c r="C69" i="7"/>
  <c r="M68" i="7"/>
  <c r="I68" i="7"/>
  <c r="E68" i="7"/>
  <c r="K67" i="7"/>
  <c r="G67" i="7"/>
  <c r="C67" i="7"/>
  <c r="M66" i="7"/>
  <c r="I66" i="7"/>
  <c r="E66" i="7"/>
  <c r="K65" i="7"/>
  <c r="G65" i="7"/>
  <c r="C65" i="7"/>
  <c r="M64" i="7"/>
  <c r="I64" i="7"/>
  <c r="E64" i="7"/>
  <c r="K63" i="7"/>
  <c r="G63" i="7"/>
  <c r="C63" i="7"/>
  <c r="M62" i="7"/>
  <c r="I62" i="7"/>
  <c r="E62" i="7"/>
  <c r="K61" i="7"/>
  <c r="G61" i="7"/>
  <c r="C61" i="7"/>
  <c r="M60" i="7"/>
  <c r="I60" i="7"/>
  <c r="E60" i="7"/>
  <c r="K59" i="7"/>
  <c r="G59" i="7"/>
  <c r="C59" i="7"/>
  <c r="M58" i="7"/>
  <c r="I58" i="7"/>
  <c r="E58" i="7"/>
  <c r="K57" i="7"/>
  <c r="G57" i="7"/>
  <c r="C57" i="7"/>
  <c r="M56" i="7"/>
  <c r="I56" i="7"/>
  <c r="E56" i="7"/>
  <c r="K55" i="7"/>
  <c r="G55" i="7"/>
  <c r="C55" i="7"/>
  <c r="M51" i="7"/>
  <c r="I51" i="7"/>
  <c r="E51" i="7"/>
  <c r="K50" i="7"/>
  <c r="G50" i="7"/>
  <c r="C50" i="7"/>
  <c r="M49" i="7"/>
  <c r="I49" i="7"/>
  <c r="E49" i="7"/>
  <c r="K48" i="7"/>
  <c r="G48" i="7"/>
  <c r="C48" i="7"/>
  <c r="M47" i="7"/>
  <c r="I47" i="7"/>
  <c r="E47" i="7"/>
  <c r="K46" i="7"/>
  <c r="G46" i="7"/>
  <c r="C46" i="7"/>
  <c r="M45" i="7"/>
  <c r="I45" i="7"/>
  <c r="E45" i="7"/>
  <c r="M42" i="7"/>
  <c r="I42" i="7"/>
  <c r="E42" i="7"/>
  <c r="K41" i="7"/>
  <c r="G41" i="7"/>
  <c r="C41" i="7"/>
  <c r="M40" i="7"/>
  <c r="I40" i="7"/>
  <c r="E40" i="7"/>
  <c r="K39" i="7"/>
  <c r="G39" i="7"/>
  <c r="C39" i="7"/>
  <c r="K28" i="7"/>
  <c r="G28" i="7"/>
  <c r="C28" i="7"/>
  <c r="M27" i="7"/>
  <c r="M29" i="7" s="1"/>
  <c r="M47" i="4" s="1"/>
  <c r="I27" i="7"/>
  <c r="I29" i="7" s="1"/>
  <c r="I47" i="4" s="1"/>
  <c r="E27" i="7"/>
  <c r="E29" i="7" s="1"/>
  <c r="E47" i="4" s="1"/>
  <c r="M24" i="7"/>
  <c r="I24" i="7"/>
  <c r="E24" i="7"/>
  <c r="K23" i="7"/>
  <c r="G23" i="7"/>
  <c r="C23" i="7"/>
  <c r="M22" i="7"/>
  <c r="I22" i="7"/>
  <c r="E22" i="7"/>
  <c r="K21" i="7"/>
  <c r="G21" i="7"/>
  <c r="C21" i="7"/>
  <c r="M20" i="7"/>
  <c r="I20" i="7"/>
  <c r="E20" i="7"/>
  <c r="M14" i="7"/>
  <c r="M41" i="4" s="1"/>
  <c r="I14" i="7"/>
  <c r="I41" i="4" s="1"/>
  <c r="E14" i="7"/>
  <c r="E41" i="4" s="1"/>
  <c r="K13" i="7"/>
  <c r="K40" i="4" s="1"/>
  <c r="G13" i="7"/>
  <c r="G40" i="4" s="1"/>
  <c r="C13" i="7"/>
  <c r="M12" i="7"/>
  <c r="M39" i="4" s="1"/>
  <c r="I12" i="7"/>
  <c r="I39" i="4" s="1"/>
  <c r="E12" i="7"/>
  <c r="E39" i="4" s="1"/>
  <c r="K11" i="7"/>
  <c r="G11" i="7"/>
  <c r="C11" i="7"/>
  <c r="G112" i="7"/>
  <c r="F111" i="7"/>
  <c r="L110" i="7"/>
  <c r="H110" i="7"/>
  <c r="D110" i="7"/>
  <c r="N109" i="7"/>
  <c r="J109" i="7"/>
  <c r="F109" i="7"/>
  <c r="L108" i="7"/>
  <c r="H108" i="7"/>
  <c r="D108" i="7"/>
  <c r="N107" i="7"/>
  <c r="J107" i="7"/>
  <c r="F107" i="7"/>
  <c r="L106" i="7"/>
  <c r="H106" i="7"/>
  <c r="D106" i="7"/>
  <c r="N105" i="7"/>
  <c r="J105" i="7"/>
  <c r="F105" i="7"/>
  <c r="L104" i="7"/>
  <c r="H104" i="7"/>
  <c r="D104" i="7"/>
  <c r="N103" i="7"/>
  <c r="J103" i="7"/>
  <c r="F103" i="7"/>
  <c r="L102" i="7"/>
  <c r="H102" i="7"/>
  <c r="D102" i="7"/>
  <c r="N101" i="7"/>
  <c r="J101" i="7"/>
  <c r="F101" i="7"/>
  <c r="L100" i="7"/>
  <c r="H100" i="7"/>
  <c r="D100" i="7"/>
  <c r="N99" i="7"/>
  <c r="J99" i="7"/>
  <c r="F99" i="7"/>
  <c r="L98" i="7"/>
  <c r="H98" i="7"/>
  <c r="D98" i="7"/>
  <c r="N97" i="7"/>
  <c r="J97" i="7"/>
  <c r="F97" i="7"/>
  <c r="L96" i="7"/>
  <c r="H96" i="7"/>
  <c r="D96" i="7"/>
  <c r="N95" i="7"/>
  <c r="J95" i="7"/>
  <c r="F95" i="7"/>
  <c r="L94" i="7"/>
  <c r="H94" i="7"/>
  <c r="D94" i="7"/>
  <c r="N93" i="7"/>
  <c r="J93" i="7"/>
  <c r="F93" i="7"/>
  <c r="L92" i="7"/>
  <c r="H92" i="7"/>
  <c r="D92" i="7"/>
  <c r="N91" i="7"/>
  <c r="J91" i="7"/>
  <c r="F91" i="7"/>
  <c r="L90" i="7"/>
  <c r="H90" i="7"/>
  <c r="D90" i="7"/>
  <c r="N89" i="7"/>
  <c r="J89" i="7"/>
  <c r="F89" i="7"/>
  <c r="L88" i="7"/>
  <c r="H88" i="7"/>
  <c r="D88" i="7"/>
  <c r="N87" i="7"/>
  <c r="J87" i="7"/>
  <c r="F87" i="7"/>
  <c r="L86" i="7"/>
  <c r="H86" i="7"/>
  <c r="D86" i="7"/>
  <c r="N85" i="7"/>
  <c r="J85" i="7"/>
  <c r="F85" i="7"/>
  <c r="L84" i="7"/>
  <c r="H84" i="7"/>
  <c r="D84" i="7"/>
  <c r="N83" i="7"/>
  <c r="J83" i="7"/>
  <c r="F83" i="7"/>
  <c r="L82" i="7"/>
  <c r="H82" i="7"/>
  <c r="D82" i="7"/>
  <c r="N81" i="7"/>
  <c r="J81" i="7"/>
  <c r="F81" i="7"/>
  <c r="L80" i="7"/>
  <c r="H80" i="7"/>
  <c r="D80" i="7"/>
  <c r="N79" i="7"/>
  <c r="J79" i="7"/>
  <c r="F79" i="7"/>
  <c r="L78" i="7"/>
  <c r="H78" i="7"/>
  <c r="D78" i="7"/>
  <c r="N77" i="7"/>
  <c r="J77" i="7"/>
  <c r="F77" i="7"/>
  <c r="L76" i="7"/>
  <c r="H76" i="7"/>
  <c r="D76" i="7"/>
  <c r="N75" i="7"/>
  <c r="J75" i="7"/>
  <c r="F75" i="7"/>
  <c r="L74" i="7"/>
  <c r="H74" i="7"/>
  <c r="D74" i="7"/>
  <c r="N73" i="7"/>
  <c r="J73" i="7"/>
  <c r="F73" i="7"/>
  <c r="L72" i="7"/>
  <c r="H72" i="7"/>
  <c r="D72" i="7"/>
  <c r="N71" i="7"/>
  <c r="J71" i="7"/>
  <c r="F71" i="7"/>
  <c r="L70" i="7"/>
  <c r="H70" i="7"/>
  <c r="D70" i="7"/>
  <c r="N69" i="7"/>
  <c r="J69" i="7"/>
  <c r="F69" i="7"/>
  <c r="L68" i="7"/>
  <c r="H68" i="7"/>
  <c r="D68" i="7"/>
  <c r="N67" i="7"/>
  <c r="J67" i="7"/>
  <c r="F67" i="7"/>
  <c r="L66" i="7"/>
  <c r="H66" i="7"/>
  <c r="D66" i="7"/>
  <c r="N65" i="7"/>
  <c r="J65" i="7"/>
  <c r="F65" i="7"/>
  <c r="L64" i="7"/>
  <c r="H64" i="7"/>
  <c r="D64" i="7"/>
  <c r="N63" i="7"/>
  <c r="J63" i="7"/>
  <c r="F63" i="7"/>
  <c r="L62" i="7"/>
  <c r="H62" i="7"/>
  <c r="D62" i="7"/>
  <c r="N61" i="7"/>
  <c r="J61" i="7"/>
  <c r="F61" i="7"/>
  <c r="L60" i="7"/>
  <c r="H60" i="7"/>
  <c r="D60" i="7"/>
  <c r="N59" i="7"/>
  <c r="J59" i="7"/>
  <c r="F59" i="7"/>
  <c r="L58" i="7"/>
  <c r="H58" i="7"/>
  <c r="D58" i="7"/>
  <c r="N57" i="7"/>
  <c r="J57" i="7"/>
  <c r="F57" i="7"/>
  <c r="L56" i="7"/>
  <c r="H56" i="7"/>
  <c r="D56" i="7"/>
  <c r="N55" i="7"/>
  <c r="J55" i="7"/>
  <c r="F55" i="7"/>
  <c r="L51" i="7"/>
  <c r="H51" i="7"/>
  <c r="D51" i="7"/>
  <c r="N50" i="7"/>
  <c r="J50" i="7"/>
  <c r="F50" i="7"/>
  <c r="L49" i="7"/>
  <c r="H49" i="7"/>
  <c r="D49" i="7"/>
  <c r="N48" i="7"/>
  <c r="J48" i="7"/>
  <c r="F48" i="7"/>
  <c r="L47" i="7"/>
  <c r="H47" i="7"/>
  <c r="D47" i="7"/>
  <c r="N46" i="7"/>
  <c r="J46" i="7"/>
  <c r="F46" i="7"/>
  <c r="L45" i="7"/>
  <c r="H45" i="7"/>
  <c r="D45" i="7"/>
  <c r="L42" i="7"/>
  <c r="H42" i="7"/>
  <c r="D42" i="7"/>
  <c r="N41" i="7"/>
  <c r="J41" i="7"/>
  <c r="F41" i="7"/>
  <c r="L40" i="7"/>
  <c r="H40" i="7"/>
  <c r="D40" i="7"/>
  <c r="N39" i="7"/>
  <c r="J39" i="7"/>
  <c r="F39" i="7"/>
  <c r="N28" i="7"/>
  <c r="J28" i="7"/>
  <c r="F28" i="7"/>
  <c r="L27" i="7"/>
  <c r="L29" i="7" s="1"/>
  <c r="L47" i="4" s="1"/>
  <c r="H27" i="7"/>
  <c r="H29" i="7" s="1"/>
  <c r="H47" i="4" s="1"/>
  <c r="D27" i="7"/>
  <c r="L24" i="7"/>
  <c r="H24" i="7"/>
  <c r="D24" i="7"/>
  <c r="N23" i="7"/>
  <c r="J23" i="7"/>
  <c r="F23" i="7"/>
  <c r="L22" i="7"/>
  <c r="H22" i="7"/>
  <c r="D22" i="7"/>
  <c r="N21" i="7"/>
  <c r="J21" i="7"/>
  <c r="F21" i="7"/>
  <c r="L20" i="7"/>
  <c r="H20" i="7"/>
  <c r="D20" i="7"/>
  <c r="L14" i="7"/>
  <c r="L41" i="4" s="1"/>
  <c r="H14" i="7"/>
  <c r="H41" i="4" s="1"/>
  <c r="D14" i="7"/>
  <c r="D41" i="4" s="1"/>
  <c r="N13" i="7"/>
  <c r="N40" i="4" s="1"/>
  <c r="J13" i="7"/>
  <c r="J40" i="4" s="1"/>
  <c r="F13" i="7"/>
  <c r="F40" i="4" s="1"/>
  <c r="L12" i="7"/>
  <c r="L39" i="4" s="1"/>
  <c r="H12" i="7"/>
  <c r="H39" i="4" s="1"/>
  <c r="D12" i="7"/>
  <c r="D39" i="4" s="1"/>
  <c r="N11" i="7"/>
  <c r="J11" i="7"/>
  <c r="F11" i="7"/>
  <c r="A1105" i="11"/>
  <c r="A1041" i="11"/>
  <c r="A974" i="11"/>
  <c r="A895" i="11"/>
  <c r="A844" i="11"/>
  <c r="A786" i="11"/>
  <c r="A901" i="11"/>
  <c r="A962" i="11"/>
  <c r="A997" i="11"/>
  <c r="A1046" i="11"/>
  <c r="A1093" i="11"/>
  <c r="E6" i="17"/>
  <c r="A1173" i="11"/>
  <c r="A1104" i="11"/>
  <c r="A1072" i="11"/>
  <c r="A1040" i="11"/>
  <c r="A1005" i="11"/>
  <c r="A973" i="11"/>
  <c r="A941" i="11"/>
  <c r="A894" i="11"/>
  <c r="A860" i="11"/>
  <c r="A838" i="11"/>
  <c r="A790" i="11"/>
  <c r="A775" i="11"/>
  <c r="A740" i="11"/>
  <c r="A903" i="11"/>
  <c r="A946" i="11"/>
  <c r="A963" i="11"/>
  <c r="A981" i="11"/>
  <c r="A1010" i="11"/>
  <c r="A1027" i="11"/>
  <c r="A1048" i="11"/>
  <c r="A1077" i="11"/>
  <c r="A1094" i="11"/>
  <c r="A1112" i="11"/>
  <c r="A1178" i="11"/>
  <c r="A1198" i="11"/>
  <c r="A15" i="11"/>
  <c r="A31" i="11"/>
  <c r="A47" i="11"/>
  <c r="A63" i="11"/>
  <c r="A79" i="11"/>
  <c r="A95" i="11"/>
  <c r="A111" i="11"/>
  <c r="A127" i="11"/>
  <c r="A143" i="11"/>
  <c r="A159" i="11"/>
  <c r="A175" i="11"/>
  <c r="A191" i="11"/>
  <c r="A207" i="11"/>
  <c r="A223" i="11"/>
  <c r="A239" i="11"/>
  <c r="A255" i="11"/>
  <c r="A271" i="11"/>
  <c r="A286" i="11"/>
  <c r="A302" i="11"/>
  <c r="A318" i="11"/>
  <c r="A334" i="11"/>
  <c r="A350" i="11"/>
  <c r="A366" i="11"/>
  <c r="A382" i="11"/>
  <c r="A402" i="11"/>
  <c r="A431" i="11"/>
  <c r="A448" i="11"/>
  <c r="A466" i="11"/>
  <c r="A495" i="11"/>
  <c r="A514" i="11"/>
  <c r="A532" i="11"/>
  <c r="A561" i="11"/>
  <c r="A578" i="11"/>
  <c r="A596" i="11"/>
  <c r="A625" i="11"/>
  <c r="A642" i="11"/>
  <c r="A660" i="11"/>
  <c r="A691" i="11"/>
  <c r="A708" i="11"/>
  <c r="A726" i="11"/>
  <c r="A762" i="11"/>
  <c r="A779" i="11"/>
  <c r="A797" i="11"/>
  <c r="A831" i="11"/>
  <c r="A848" i="11"/>
  <c r="A870" i="11"/>
  <c r="A904" i="11"/>
  <c r="A935" i="11"/>
  <c r="A953" i="11"/>
  <c r="A982" i="11"/>
  <c r="A999" i="11"/>
  <c r="A1017" i="11"/>
  <c r="A1049" i="11"/>
  <c r="A1066" i="11"/>
  <c r="A1084" i="11"/>
  <c r="A1113" i="11"/>
  <c r="A1162" i="11"/>
  <c r="A1188" i="11"/>
  <c r="A389" i="11"/>
  <c r="A405" i="11"/>
  <c r="A421" i="11"/>
  <c r="A437" i="11"/>
  <c r="A453" i="11"/>
  <c r="A469" i="11"/>
  <c r="A485" i="11"/>
  <c r="A501" i="11"/>
  <c r="A519" i="11"/>
  <c r="A535" i="11"/>
  <c r="A551" i="11"/>
  <c r="A567" i="11"/>
  <c r="A583" i="11"/>
  <c r="A599" i="11"/>
  <c r="A615" i="11"/>
  <c r="A631" i="11"/>
  <c r="A647" i="11"/>
  <c r="A663" i="11"/>
  <c r="A680" i="11"/>
  <c r="A697" i="11"/>
  <c r="A713" i="11"/>
  <c r="A728" i="11"/>
  <c r="A747" i="11"/>
  <c r="A768" i="11"/>
  <c r="A784" i="11"/>
  <c r="A800" i="11"/>
  <c r="A816" i="11"/>
  <c r="A837" i="11"/>
  <c r="A853" i="11"/>
  <c r="A873" i="11"/>
  <c r="A893" i="11"/>
  <c r="A910" i="11"/>
  <c r="A940" i="11"/>
  <c r="A956" i="11"/>
  <c r="A972" i="11"/>
  <c r="A988" i="11"/>
  <c r="A1004" i="11"/>
  <c r="A1020" i="11"/>
  <c r="A1039" i="11"/>
  <c r="A1055" i="11"/>
  <c r="A1071" i="11"/>
  <c r="A1087" i="11"/>
  <c r="A1103" i="11"/>
  <c r="A1151" i="11"/>
  <c r="A1172" i="11"/>
  <c r="A1191" i="11"/>
  <c r="A1210" i="11"/>
  <c r="A1215" i="11"/>
  <c r="A1719" i="16" l="1"/>
  <c r="A1634" i="16"/>
  <c r="A1503" i="16"/>
  <c r="A1632" i="16"/>
  <c r="A1726" i="16"/>
  <c r="A1674" i="16"/>
  <c r="A1999" i="16"/>
  <c r="A1731" i="16"/>
  <c r="A1990" i="16"/>
  <c r="A1721" i="16"/>
  <c r="A1728" i="16"/>
  <c r="A1720" i="16"/>
  <c r="A1729" i="16"/>
  <c r="A1722" i="16"/>
  <c r="A1725" i="16"/>
  <c r="A1995" i="16"/>
  <c r="A1727" i="16"/>
  <c r="A1633" i="16"/>
  <c r="A2001" i="16"/>
  <c r="A1991" i="16"/>
  <c r="A1972" i="16"/>
  <c r="A1664" i="16"/>
  <c r="A1691" i="16"/>
  <c r="A1502" i="16"/>
  <c r="A1997" i="16"/>
  <c r="A1992" i="16"/>
  <c r="A1724" i="16"/>
  <c r="A1730" i="16"/>
  <c r="A1993" i="16"/>
  <c r="A2017" i="16"/>
  <c r="A1723" i="16"/>
  <c r="A1998" i="16"/>
  <c r="A2000" i="16"/>
  <c r="A1996" i="16"/>
  <c r="A1994" i="16"/>
  <c r="A1973" i="16"/>
  <c r="A1239" i="16"/>
  <c r="A1247" i="16"/>
  <c r="A1255" i="16"/>
  <c r="A1263" i="16"/>
  <c r="A1271" i="16"/>
  <c r="A1279" i="16"/>
  <c r="A1287" i="16"/>
  <c r="A1295" i="16"/>
  <c r="A1303" i="16"/>
  <c r="A1311" i="16"/>
  <c r="A1319" i="16"/>
  <c r="A1327" i="16"/>
  <c r="A1335" i="16"/>
  <c r="A1343" i="16"/>
  <c r="A1351" i="16"/>
  <c r="A1359" i="16"/>
  <c r="A1367" i="16"/>
  <c r="A1375" i="16"/>
  <c r="A1383" i="16"/>
  <c r="A1391" i="16"/>
  <c r="A1399" i="16"/>
  <c r="A1407" i="16"/>
  <c r="A1415" i="16"/>
  <c r="A1423" i="16"/>
  <c r="A1431" i="16"/>
  <c r="A1439" i="16"/>
  <c r="A1447" i="16"/>
  <c r="A1455" i="16"/>
  <c r="A1463" i="16"/>
  <c r="A1471" i="16"/>
  <c r="A1479" i="16"/>
  <c r="A1487" i="16"/>
  <c r="A1495" i="16"/>
  <c r="A1505" i="16"/>
  <c r="A1513" i="16"/>
  <c r="A1521" i="16"/>
  <c r="A1529" i="16"/>
  <c r="A1537" i="16"/>
  <c r="A1545" i="16"/>
  <c r="A1553" i="16"/>
  <c r="A1561" i="16"/>
  <c r="A1569" i="16"/>
  <c r="A1577" i="16"/>
  <c r="A1585" i="16"/>
  <c r="A1593" i="16"/>
  <c r="A1601" i="16"/>
  <c r="A1609" i="16"/>
  <c r="A1617" i="16"/>
  <c r="A1625" i="16"/>
  <c r="A1637" i="16"/>
  <c r="A1645" i="16"/>
  <c r="A1653" i="16"/>
  <c r="A1661" i="16"/>
  <c r="A1670" i="16"/>
  <c r="A1679" i="16"/>
  <c r="A1687" i="16"/>
  <c r="A1696" i="16"/>
  <c r="A1704" i="16"/>
  <c r="A1712" i="16"/>
  <c r="A1733" i="16"/>
  <c r="A1741" i="16"/>
  <c r="A1749" i="16"/>
  <c r="A1757" i="16"/>
  <c r="A1765" i="16"/>
  <c r="A1773" i="16"/>
  <c r="A1781" i="16"/>
  <c r="A1789" i="16"/>
  <c r="A1797" i="16"/>
  <c r="A1805" i="16"/>
  <c r="A1813" i="16"/>
  <c r="A1821" i="16"/>
  <c r="A1829" i="16"/>
  <c r="A1837" i="16"/>
  <c r="A1845" i="16"/>
  <c r="A1853" i="16"/>
  <c r="A1861" i="16"/>
  <c r="A1869" i="16"/>
  <c r="A1877" i="16"/>
  <c r="A1232" i="16"/>
  <c r="A1240" i="16"/>
  <c r="A1248" i="16"/>
  <c r="A1256" i="16"/>
  <c r="A1264" i="16"/>
  <c r="A1272" i="16"/>
  <c r="A1280" i="16"/>
  <c r="A1288" i="16"/>
  <c r="A1296" i="16"/>
  <c r="A1304" i="16"/>
  <c r="A1312" i="16"/>
  <c r="A1320" i="16"/>
  <c r="A1328" i="16"/>
  <c r="A1336" i="16"/>
  <c r="A1344" i="16"/>
  <c r="A1352" i="16"/>
  <c r="A1360" i="16"/>
  <c r="A1368" i="16"/>
  <c r="A1376" i="16"/>
  <c r="A1384" i="16"/>
  <c r="A1392" i="16"/>
  <c r="A1400" i="16"/>
  <c r="A1408" i="16"/>
  <c r="A1416" i="16"/>
  <c r="A1424" i="16"/>
  <c r="A1432" i="16"/>
  <c r="A1440" i="16"/>
  <c r="A1448" i="16"/>
  <c r="A1456" i="16"/>
  <c r="A1464" i="16"/>
  <c r="A1472" i="16"/>
  <c r="A1480" i="16"/>
  <c r="A1488" i="16"/>
  <c r="A1496" i="16"/>
  <c r="A1506" i="16"/>
  <c r="A1514" i="16"/>
  <c r="A1522" i="16"/>
  <c r="A1530" i="16"/>
  <c r="A1538" i="16"/>
  <c r="A1546" i="16"/>
  <c r="A1554" i="16"/>
  <c r="A1562" i="16"/>
  <c r="A1570" i="16"/>
  <c r="A1578" i="16"/>
  <c r="A1586" i="16"/>
  <c r="A1594" i="16"/>
  <c r="A1602" i="16"/>
  <c r="A1610" i="16"/>
  <c r="A1618" i="16"/>
  <c r="A1626" i="16"/>
  <c r="A1638" i="16"/>
  <c r="A1646" i="16"/>
  <c r="A1654" i="16"/>
  <c r="A1662" i="16"/>
  <c r="A1671" i="16"/>
  <c r="A1680" i="16"/>
  <c r="A1688" i="16"/>
  <c r="A1697" i="16"/>
  <c r="A1705" i="16"/>
  <c r="A1713" i="16"/>
  <c r="A1734" i="16"/>
  <c r="A1742" i="16"/>
  <c r="A1750" i="16"/>
  <c r="A1758" i="16"/>
  <c r="A1766" i="16"/>
  <c r="A1774" i="16"/>
  <c r="A1782" i="16"/>
  <c r="A1790" i="16"/>
  <c r="A1798" i="16"/>
  <c r="A1806" i="16"/>
  <c r="A1814" i="16"/>
  <c r="A1822" i="16"/>
  <c r="A1830" i="16"/>
  <c r="A1838" i="16"/>
  <c r="A1846" i="16"/>
  <c r="A1854" i="16"/>
  <c r="A1862" i="16"/>
  <c r="A1870" i="16"/>
  <c r="A1878" i="16"/>
  <c r="A1886" i="16"/>
  <c r="A1894" i="16"/>
  <c r="A1902" i="16"/>
  <c r="A1910" i="16"/>
  <c r="A1918" i="16"/>
  <c r="A1926" i="16"/>
  <c r="A1233" i="16"/>
  <c r="A1241" i="16"/>
  <c r="A1249" i="16"/>
  <c r="A1257" i="16"/>
  <c r="A1265" i="16"/>
  <c r="A1273" i="16"/>
  <c r="A1281" i="16"/>
  <c r="A1289" i="16"/>
  <c r="A1297" i="16"/>
  <c r="A1305" i="16"/>
  <c r="A1313" i="16"/>
  <c r="A1321" i="16"/>
  <c r="A1329" i="16"/>
  <c r="A1337" i="16"/>
  <c r="A1345" i="16"/>
  <c r="A1353" i="16"/>
  <c r="A1361" i="16"/>
  <c r="A1369" i="16"/>
  <c r="A1377" i="16"/>
  <c r="A1385" i="16"/>
  <c r="A1393" i="16"/>
  <c r="A1401" i="16"/>
  <c r="A1409" i="16"/>
  <c r="A1417" i="16"/>
  <c r="A1425" i="16"/>
  <c r="A1433" i="16"/>
  <c r="A1441" i="16"/>
  <c r="A1449" i="16"/>
  <c r="A1457" i="16"/>
  <c r="A1465" i="16"/>
  <c r="A1473" i="16"/>
  <c r="A1481" i="16"/>
  <c r="A1489" i="16"/>
  <c r="A1497" i="16"/>
  <c r="A1507" i="16"/>
  <c r="A1515" i="16"/>
  <c r="A1523" i="16"/>
  <c r="A1531" i="16"/>
  <c r="A1539" i="16"/>
  <c r="A1547" i="16"/>
  <c r="A1555" i="16"/>
  <c r="A1563" i="16"/>
  <c r="A1571" i="16"/>
  <c r="A1579" i="16"/>
  <c r="A1587" i="16"/>
  <c r="A1595" i="16"/>
  <c r="A1603" i="16"/>
  <c r="A1611" i="16"/>
  <c r="A1619" i="16"/>
  <c r="A1627" i="16"/>
  <c r="A1639" i="16"/>
  <c r="A1647" i="16"/>
  <c r="A1655" i="16"/>
  <c r="A1663" i="16"/>
  <c r="A1672" i="16"/>
  <c r="A1681" i="16"/>
  <c r="A1689" i="16"/>
  <c r="A1698" i="16"/>
  <c r="A1706" i="16"/>
  <c r="A1714" i="16"/>
  <c r="A1735" i="16"/>
  <c r="A1743" i="16"/>
  <c r="A1751" i="16"/>
  <c r="A1759" i="16"/>
  <c r="A1767" i="16"/>
  <c r="A1775" i="16"/>
  <c r="A1783" i="16"/>
  <c r="A1791" i="16"/>
  <c r="A1799" i="16"/>
  <c r="A1807" i="16"/>
  <c r="A1815" i="16"/>
  <c r="A1823" i="16"/>
  <c r="A1831" i="16"/>
  <c r="A1839" i="16"/>
  <c r="A1234" i="16"/>
  <c r="A1242" i="16"/>
  <c r="A1250" i="16"/>
  <c r="A1258" i="16"/>
  <c r="A1266" i="16"/>
  <c r="A1274" i="16"/>
  <c r="A1282" i="16"/>
  <c r="A1290" i="16"/>
  <c r="A1298" i="16"/>
  <c r="A1306" i="16"/>
  <c r="A1314" i="16"/>
  <c r="A1322" i="16"/>
  <c r="A1330" i="16"/>
  <c r="A1338" i="16"/>
  <c r="A1346" i="16"/>
  <c r="A1354" i="16"/>
  <c r="A1362" i="16"/>
  <c r="A1370" i="16"/>
  <c r="A1378" i="16"/>
  <c r="A1386" i="16"/>
  <c r="A1394" i="16"/>
  <c r="A1402" i="16"/>
  <c r="A1410" i="16"/>
  <c r="A1418" i="16"/>
  <c r="A1426" i="16"/>
  <c r="A1434" i="16"/>
  <c r="A1442" i="16"/>
  <c r="A1450" i="16"/>
  <c r="A1458" i="16"/>
  <c r="A1466" i="16"/>
  <c r="A1474" i="16"/>
  <c r="A1482" i="16"/>
  <c r="A1490" i="16"/>
  <c r="A1498" i="16"/>
  <c r="A1508" i="16"/>
  <c r="A1516" i="16"/>
  <c r="A1524" i="16"/>
  <c r="A1532" i="16"/>
  <c r="A1540" i="16"/>
  <c r="A1548" i="16"/>
  <c r="A1556" i="16"/>
  <c r="A1564" i="16"/>
  <c r="A1572" i="16"/>
  <c r="A1580" i="16"/>
  <c r="A1588" i="16"/>
  <c r="A1596" i="16"/>
  <c r="A1604" i="16"/>
  <c r="A1612" i="16"/>
  <c r="A1620" i="16"/>
  <c r="A1628" i="16"/>
  <c r="A1640" i="16"/>
  <c r="A1648" i="16"/>
  <c r="A1656" i="16"/>
  <c r="A1665" i="16"/>
  <c r="A1673" i="16"/>
  <c r="A1682" i="16"/>
  <c r="A1690" i="16"/>
  <c r="A1699" i="16"/>
  <c r="A1707" i="16"/>
  <c r="A1715" i="16"/>
  <c r="A1736" i="16"/>
  <c r="A1744" i="16"/>
  <c r="A1752" i="16"/>
  <c r="A1760" i="16"/>
  <c r="A1768" i="16"/>
  <c r="A1776" i="16"/>
  <c r="A1784" i="16"/>
  <c r="A1792" i="16"/>
  <c r="A1235" i="16"/>
  <c r="A1243" i="16"/>
  <c r="A1251" i="16"/>
  <c r="A1259" i="16"/>
  <c r="A1267" i="16"/>
  <c r="A1275" i="16"/>
  <c r="A1283" i="16"/>
  <c r="A1291" i="16"/>
  <c r="A1299" i="16"/>
  <c r="A1307" i="16"/>
  <c r="A1315" i="16"/>
  <c r="A1323" i="16"/>
  <c r="A1331" i="16"/>
  <c r="A1339" i="16"/>
  <c r="A1347" i="16"/>
  <c r="A1355" i="16"/>
  <c r="A1363" i="16"/>
  <c r="A1371" i="16"/>
  <c r="A1379" i="16"/>
  <c r="A1387" i="16"/>
  <c r="A1395" i="16"/>
  <c r="A1403" i="16"/>
  <c r="A1411" i="16"/>
  <c r="A1419" i="16"/>
  <c r="A1427" i="16"/>
  <c r="A1435" i="16"/>
  <c r="A1443" i="16"/>
  <c r="A1451" i="16"/>
  <c r="A1459" i="16"/>
  <c r="A1467" i="16"/>
  <c r="A1475" i="16"/>
  <c r="A1483" i="16"/>
  <c r="A1491" i="16"/>
  <c r="A1499" i="16"/>
  <c r="A1509" i="16"/>
  <c r="A1517" i="16"/>
  <c r="A1525" i="16"/>
  <c r="A1533" i="16"/>
  <c r="A1541" i="16"/>
  <c r="A1549" i="16"/>
  <c r="A1557" i="16"/>
  <c r="A1565" i="16"/>
  <c r="A1573" i="16"/>
  <c r="A1581" i="16"/>
  <c r="A1589" i="16"/>
  <c r="A1597" i="16"/>
  <c r="A1605" i="16"/>
  <c r="A1613" i="16"/>
  <c r="A1621" i="16"/>
  <c r="A1629" i="16"/>
  <c r="A1641" i="16"/>
  <c r="A1649" i="16"/>
  <c r="A1657" i="16"/>
  <c r="A1666" i="16"/>
  <c r="A1675" i="16"/>
  <c r="A1683" i="16"/>
  <c r="A1692" i="16"/>
  <c r="A1700" i="16"/>
  <c r="A1708" i="16"/>
  <c r="A1716" i="16"/>
  <c r="A1737" i="16"/>
  <c r="A1745" i="16"/>
  <c r="A1753" i="16"/>
  <c r="A1761" i="16"/>
  <c r="A1769" i="16"/>
  <c r="A1777" i="16"/>
  <c r="A1785" i="16"/>
  <c r="A1793" i="16"/>
  <c r="A1801" i="16"/>
  <c r="A1809" i="16"/>
  <c r="A1817" i="16"/>
  <c r="A1825" i="16"/>
  <c r="A1833" i="16"/>
  <c r="A1841" i="16"/>
  <c r="A1849" i="16"/>
  <c r="A1857" i="16"/>
  <c r="A1865" i="16"/>
  <c r="A1873" i="16"/>
  <c r="A1881" i="16"/>
  <c r="A1889" i="16"/>
  <c r="A1897" i="16"/>
  <c r="A1905" i="16"/>
  <c r="A1913" i="16"/>
  <c r="A1921" i="16"/>
  <c r="A1929" i="16"/>
  <c r="A1236" i="16"/>
  <c r="A1237" i="16"/>
  <c r="A1238" i="16"/>
  <c r="A1246" i="16"/>
  <c r="A1254" i="16"/>
  <c r="A1262" i="16"/>
  <c r="A1270" i="16"/>
  <c r="A1278" i="16"/>
  <c r="A1286" i="16"/>
  <c r="A1294" i="16"/>
  <c r="A1302" i="16"/>
  <c r="A1310" i="16"/>
  <c r="A1318" i="16"/>
  <c r="A1326" i="16"/>
  <c r="A1334" i="16"/>
  <c r="A1342" i="16"/>
  <c r="A1350" i="16"/>
  <c r="A1358" i="16"/>
  <c r="A1366" i="16"/>
  <c r="A1374" i="16"/>
  <c r="A1382" i="16"/>
  <c r="A1390" i="16"/>
  <c r="A1398" i="16"/>
  <c r="A1406" i="16"/>
  <c r="A1414" i="16"/>
  <c r="A1422" i="16"/>
  <c r="A1430" i="16"/>
  <c r="A1438" i="16"/>
  <c r="A1446" i="16"/>
  <c r="A1454" i="16"/>
  <c r="A1462" i="16"/>
  <c r="A1470" i="16"/>
  <c r="A1478" i="16"/>
  <c r="A1486" i="16"/>
  <c r="A1494" i="16"/>
  <c r="A1504" i="16"/>
  <c r="A1512" i="16"/>
  <c r="A1520" i="16"/>
  <c r="A1528" i="16"/>
  <c r="A1536" i="16"/>
  <c r="A1544" i="16"/>
  <c r="A1552" i="16"/>
  <c r="A1560" i="16"/>
  <c r="A1568" i="16"/>
  <c r="A1576" i="16"/>
  <c r="A1584" i="16"/>
  <c r="A1592" i="16"/>
  <c r="A1600" i="16"/>
  <c r="A1608" i="16"/>
  <c r="A1616" i="16"/>
  <c r="A1624" i="16"/>
  <c r="A1636" i="16"/>
  <c r="A1644" i="16"/>
  <c r="A1652" i="16"/>
  <c r="A1660" i="16"/>
  <c r="A1669" i="16"/>
  <c r="A1678" i="16"/>
  <c r="A1686" i="16"/>
  <c r="A1695" i="16"/>
  <c r="A1703" i="16"/>
  <c r="A1711" i="16"/>
  <c r="A1732" i="16"/>
  <c r="A1740" i="16"/>
  <c r="A1748" i="16"/>
  <c r="A1269" i="16"/>
  <c r="A1301" i="16"/>
  <c r="A1333" i="16"/>
  <c r="A1365" i="16"/>
  <c r="A1397" i="16"/>
  <c r="A1429" i="16"/>
  <c r="A1461" i="16"/>
  <c r="A1493" i="16"/>
  <c r="A1527" i="16"/>
  <c r="A1559" i="16"/>
  <c r="A1591" i="16"/>
  <c r="A1623" i="16"/>
  <c r="A1659" i="16"/>
  <c r="A1694" i="16"/>
  <c r="A1739" i="16"/>
  <c r="A1764" i="16"/>
  <c r="A1787" i="16"/>
  <c r="A1804" i="16"/>
  <c r="A1820" i="16"/>
  <c r="A1836" i="16"/>
  <c r="A1851" i="16"/>
  <c r="A1864" i="16"/>
  <c r="A1876" i="16"/>
  <c r="A1888" i="16"/>
  <c r="A1899" i="16"/>
  <c r="A1909" i="16"/>
  <c r="A1920" i="16"/>
  <c r="A1931" i="16"/>
  <c r="A1939" i="16"/>
  <c r="A1947" i="16"/>
  <c r="A1955" i="16"/>
  <c r="A1963" i="16"/>
  <c r="A1971" i="16"/>
  <c r="A1981" i="16"/>
  <c r="A1989" i="16"/>
  <c r="A2009" i="16"/>
  <c r="A2018" i="16"/>
  <c r="A2002" i="16"/>
  <c r="A2019" i="16"/>
  <c r="A1930" i="16"/>
  <c r="A1980" i="16"/>
  <c r="A1244" i="16"/>
  <c r="A1276" i="16"/>
  <c r="A1308" i="16"/>
  <c r="A1340" i="16"/>
  <c r="A1372" i="16"/>
  <c r="A1404" i="16"/>
  <c r="A1436" i="16"/>
  <c r="A1468" i="16"/>
  <c r="A1500" i="16"/>
  <c r="A1534" i="16"/>
  <c r="A1566" i="16"/>
  <c r="A1598" i="16"/>
  <c r="A1630" i="16"/>
  <c r="A1667" i="16"/>
  <c r="A1701" i="16"/>
  <c r="A1746" i="16"/>
  <c r="A1770" i="16"/>
  <c r="A1788" i="16"/>
  <c r="A1808" i="16"/>
  <c r="A1824" i="16"/>
  <c r="A1840" i="16"/>
  <c r="A1852" i="16"/>
  <c r="A1866" i="16"/>
  <c r="A1879" i="16"/>
  <c r="A1890" i="16"/>
  <c r="A1900" i="16"/>
  <c r="A1911" i="16"/>
  <c r="A1922" i="16"/>
  <c r="A1932" i="16"/>
  <c r="A1940" i="16"/>
  <c r="A1948" i="16"/>
  <c r="A1956" i="16"/>
  <c r="A1964" i="16"/>
  <c r="A1974" i="16"/>
  <c r="A1982" i="16"/>
  <c r="A2010" i="16"/>
  <c r="A1887" i="16"/>
  <c r="A1970" i="16"/>
  <c r="A1245" i="16"/>
  <c r="A1277" i="16"/>
  <c r="A1309" i="16"/>
  <c r="A1341" i="16"/>
  <c r="A1373" i="16"/>
  <c r="A1405" i="16"/>
  <c r="A1437" i="16"/>
  <c r="A1469" i="16"/>
  <c r="A1501" i="16"/>
  <c r="A1535" i="16"/>
  <c r="A1567" i="16"/>
  <c r="A1599" i="16"/>
  <c r="A1631" i="16"/>
  <c r="A1668" i="16"/>
  <c r="A1702" i="16"/>
  <c r="A1747" i="16"/>
  <c r="A1771" i="16"/>
  <c r="A1794" i="16"/>
  <c r="A1810" i="16"/>
  <c r="A1826" i="16"/>
  <c r="A1842" i="16"/>
  <c r="A1855" i="16"/>
  <c r="A1867" i="16"/>
  <c r="A1880" i="16"/>
  <c r="A1891" i="16"/>
  <c r="A1901" i="16"/>
  <c r="A1912" i="16"/>
  <c r="A1923" i="16"/>
  <c r="A1933" i="16"/>
  <c r="A1941" i="16"/>
  <c r="A1949" i="16"/>
  <c r="A1957" i="16"/>
  <c r="A1965" i="16"/>
  <c r="A1975" i="16"/>
  <c r="A1983" i="16"/>
  <c r="A2003" i="16"/>
  <c r="A2011" i="16"/>
  <c r="A2020" i="16"/>
  <c r="A1976" i="16"/>
  <c r="A2004" i="16"/>
  <c r="A2021" i="16"/>
  <c r="A1946" i="16"/>
  <c r="A2016" i="16"/>
  <c r="A1252" i="16"/>
  <c r="A1284" i="16"/>
  <c r="A1316" i="16"/>
  <c r="A1348" i="16"/>
  <c r="A1380" i="16"/>
  <c r="A1412" i="16"/>
  <c r="A1444" i="16"/>
  <c r="A1476" i="16"/>
  <c r="A1510" i="16"/>
  <c r="A1542" i="16"/>
  <c r="A1574" i="16"/>
  <c r="A1606" i="16"/>
  <c r="A1642" i="16"/>
  <c r="A1676" i="16"/>
  <c r="A1709" i="16"/>
  <c r="A1754" i="16"/>
  <c r="A1772" i="16"/>
  <c r="A1795" i="16"/>
  <c r="A1811" i="16"/>
  <c r="A1827" i="16"/>
  <c r="A1843" i="16"/>
  <c r="A1856" i="16"/>
  <c r="A1868" i="16"/>
  <c r="A1882" i="16"/>
  <c r="A1892" i="16"/>
  <c r="A1903" i="16"/>
  <c r="A1914" i="16"/>
  <c r="A1924" i="16"/>
  <c r="A1934" i="16"/>
  <c r="A1942" i="16"/>
  <c r="A1950" i="16"/>
  <c r="A1958" i="16"/>
  <c r="A1966" i="16"/>
  <c r="A1984" i="16"/>
  <c r="A2012" i="16"/>
  <c r="A1919" i="16"/>
  <c r="A1988" i="16"/>
  <c r="A1253" i="16"/>
  <c r="A1285" i="16"/>
  <c r="A1317" i="16"/>
  <c r="A1349" i="16"/>
  <c r="A1381" i="16"/>
  <c r="A1413" i="16"/>
  <c r="A1445" i="16"/>
  <c r="A1477" i="16"/>
  <c r="A1511" i="16"/>
  <c r="A1543" i="16"/>
  <c r="A1575" i="16"/>
  <c r="A1607" i="16"/>
  <c r="A1643" i="16"/>
  <c r="A1677" i="16"/>
  <c r="A1710" i="16"/>
  <c r="A1755" i="16"/>
  <c r="A1778" i="16"/>
  <c r="A1796" i="16"/>
  <c r="A1812" i="16"/>
  <c r="A1828" i="16"/>
  <c r="A1844" i="16"/>
  <c r="A1858" i="16"/>
  <c r="A1871" i="16"/>
  <c r="A1883" i="16"/>
  <c r="A1893" i="16"/>
  <c r="A1904" i="16"/>
  <c r="A1915" i="16"/>
  <c r="A1925" i="16"/>
  <c r="A1935" i="16"/>
  <c r="A1943" i="16"/>
  <c r="A1951" i="16"/>
  <c r="A1959" i="16"/>
  <c r="A1967" i="16"/>
  <c r="A1977" i="16"/>
  <c r="A1985" i="16"/>
  <c r="A2005" i="16"/>
  <c r="A2013" i="16"/>
  <c r="A1986" i="16"/>
  <c r="A2014" i="16"/>
  <c r="A2007" i="16"/>
  <c r="A1835" i="16"/>
  <c r="A1875" i="16"/>
  <c r="A1938" i="16"/>
  <c r="A2008" i="16"/>
  <c r="A1260" i="16"/>
  <c r="A1292" i="16"/>
  <c r="A1324" i="16"/>
  <c r="A1356" i="16"/>
  <c r="A1388" i="16"/>
  <c r="A1420" i="16"/>
  <c r="A1452" i="16"/>
  <c r="A1484" i="16"/>
  <c r="A1518" i="16"/>
  <c r="A1550" i="16"/>
  <c r="A1582" i="16"/>
  <c r="A1614" i="16"/>
  <c r="A1650" i="16"/>
  <c r="A1684" i="16"/>
  <c r="A1717" i="16"/>
  <c r="A1756" i="16"/>
  <c r="A1779" i="16"/>
  <c r="A1800" i="16"/>
  <c r="A1816" i="16"/>
  <c r="A1832" i="16"/>
  <c r="A1847" i="16"/>
  <c r="A1859" i="16"/>
  <c r="A1872" i="16"/>
  <c r="A1884" i="16"/>
  <c r="A1895" i="16"/>
  <c r="A1906" i="16"/>
  <c r="A1916" i="16"/>
  <c r="A1927" i="16"/>
  <c r="A1936" i="16"/>
  <c r="A1944" i="16"/>
  <c r="A1952" i="16"/>
  <c r="A1960" i="16"/>
  <c r="A1968" i="16"/>
  <c r="A1978" i="16"/>
  <c r="A2006" i="16"/>
  <c r="A1979" i="16"/>
  <c r="A2015" i="16"/>
  <c r="A1850" i="16"/>
  <c r="A1898" i="16"/>
  <c r="A1954" i="16"/>
  <c r="A1261" i="16"/>
  <c r="A1293" i="16"/>
  <c r="A1325" i="16"/>
  <c r="A1357" i="16"/>
  <c r="A1389" i="16"/>
  <c r="A1421" i="16"/>
  <c r="A1453" i="16"/>
  <c r="A1485" i="16"/>
  <c r="A1519" i="16"/>
  <c r="A1551" i="16"/>
  <c r="A1583" i="16"/>
  <c r="A1615" i="16"/>
  <c r="A1651" i="16"/>
  <c r="A1685" i="16"/>
  <c r="A1718" i="16"/>
  <c r="A1762" i="16"/>
  <c r="A1780" i="16"/>
  <c r="A1802" i="16"/>
  <c r="A1818" i="16"/>
  <c r="A1834" i="16"/>
  <c r="A1848" i="16"/>
  <c r="A1860" i="16"/>
  <c r="A1874" i="16"/>
  <c r="A1885" i="16"/>
  <c r="A1896" i="16"/>
  <c r="A1907" i="16"/>
  <c r="A1917" i="16"/>
  <c r="A1928" i="16"/>
  <c r="A1937" i="16"/>
  <c r="A1945" i="16"/>
  <c r="A1953" i="16"/>
  <c r="A1961" i="16"/>
  <c r="A1969" i="16"/>
  <c r="A1987" i="16"/>
  <c r="A1803" i="16"/>
  <c r="A1863" i="16"/>
  <c r="A1908" i="16"/>
  <c r="A1962" i="16"/>
  <c r="A1268" i="16"/>
  <c r="A1300" i="16"/>
  <c r="A1332" i="16"/>
  <c r="A1364" i="16"/>
  <c r="A1396" i="16"/>
  <c r="A1428" i="16"/>
  <c r="A1460" i="16"/>
  <c r="A1492" i="16"/>
  <c r="A1526" i="16"/>
  <c r="A1558" i="16"/>
  <c r="A1590" i="16"/>
  <c r="A1622" i="16"/>
  <c r="A1658" i="16"/>
  <c r="A1693" i="16"/>
  <c r="A1738" i="16"/>
  <c r="A1763" i="16"/>
  <c r="A1786" i="16"/>
  <c r="A1819" i="16"/>
  <c r="A1110" i="16"/>
  <c r="A922" i="16"/>
  <c r="A895" i="16"/>
  <c r="A885" i="16"/>
  <c r="A936" i="16"/>
  <c r="A760" i="16"/>
  <c r="A1224" i="16"/>
  <c r="A1113" i="16"/>
  <c r="A880" i="16"/>
  <c r="A757" i="16"/>
  <c r="A1223" i="16"/>
  <c r="A886" i="16"/>
  <c r="A878" i="16"/>
  <c r="A937" i="16"/>
  <c r="A902" i="16"/>
  <c r="A893" i="16"/>
  <c r="A1107" i="16"/>
  <c r="A1108" i="16"/>
  <c r="A755" i="16"/>
  <c r="A900" i="16"/>
  <c r="A877" i="16"/>
  <c r="A1222" i="16"/>
  <c r="A892" i="16"/>
  <c r="A901" i="16"/>
  <c r="A1178" i="16"/>
  <c r="A919" i="16"/>
  <c r="A882" i="16"/>
  <c r="A1103" i="16"/>
  <c r="A1115" i="16"/>
  <c r="A891" i="16"/>
  <c r="A883" i="16"/>
  <c r="A759" i="16"/>
  <c r="A1116" i="16"/>
  <c r="A899" i="16"/>
  <c r="A890" i="16"/>
  <c r="A1104" i="16"/>
  <c r="A898" i="16"/>
  <c r="A758" i="16"/>
  <c r="A889" i="16"/>
  <c r="A1109" i="16"/>
  <c r="A542" i="16"/>
  <c r="A897" i="16"/>
  <c r="A879" i="16"/>
  <c r="A627" i="16"/>
  <c r="A881" i="16"/>
  <c r="A1219" i="16"/>
  <c r="A756" i="16"/>
  <c r="A876" i="16"/>
  <c r="A1117" i="16"/>
  <c r="A920" i="16"/>
  <c r="A921" i="16"/>
  <c r="A888" i="16"/>
  <c r="A1105" i="16"/>
  <c r="A903" i="16"/>
  <c r="A894" i="16"/>
  <c r="A1221" i="16"/>
  <c r="A1218" i="16"/>
  <c r="A1217" i="16"/>
  <c r="A1216" i="16"/>
  <c r="A1220" i="16"/>
  <c r="A1111" i="16"/>
  <c r="A884" i="16"/>
  <c r="A1112" i="16"/>
  <c r="A1114" i="16"/>
  <c r="A1106" i="16"/>
  <c r="A918" i="16"/>
  <c r="A896" i="16"/>
  <c r="A887" i="16"/>
  <c r="A1099" i="16"/>
  <c r="A1007" i="16"/>
  <c r="A1019" i="16"/>
  <c r="A1100" i="16"/>
  <c r="A1102" i="16"/>
  <c r="A1020" i="16"/>
  <c r="A1101" i="16"/>
  <c r="A1006" i="16"/>
  <c r="A975" i="16"/>
  <c r="A952" i="16"/>
  <c r="A974" i="16"/>
  <c r="A951" i="16"/>
  <c r="A973" i="16"/>
  <c r="A972" i="16"/>
  <c r="A875" i="16"/>
  <c r="A871" i="16"/>
  <c r="A752" i="16"/>
  <c r="A748" i="16"/>
  <c r="A744" i="16"/>
  <c r="A740" i="16"/>
  <c r="A1177" i="16"/>
  <c r="A1149" i="16"/>
  <c r="A917" i="16"/>
  <c r="A874" i="16"/>
  <c r="A870" i="16"/>
  <c r="A751" i="16"/>
  <c r="A747" i="16"/>
  <c r="A743" i="16"/>
  <c r="A1148" i="16"/>
  <c r="A971" i="16"/>
  <c r="A873" i="16"/>
  <c r="A869" i="16"/>
  <c r="A754" i="16"/>
  <c r="A750" i="16"/>
  <c r="A746" i="16"/>
  <c r="A742" i="16"/>
  <c r="A1147" i="16"/>
  <c r="A1018" i="16"/>
  <c r="A872" i="16"/>
  <c r="A753" i="16"/>
  <c r="A749" i="16"/>
  <c r="A745" i="16"/>
  <c r="A741" i="16"/>
  <c r="A1150" i="16"/>
  <c r="A1146" i="16"/>
  <c r="A868" i="16"/>
  <c r="A1214" i="16"/>
  <c r="A867" i="16"/>
  <c r="A1213" i="16"/>
  <c r="A1215" i="16"/>
  <c r="A1207" i="16"/>
  <c r="A1203" i="16"/>
  <c r="A1206" i="16"/>
  <c r="A1202" i="16"/>
  <c r="A1209" i="16"/>
  <c r="A1205" i="16"/>
  <c r="A1201" i="16"/>
  <c r="A1204" i="16"/>
  <c r="A1208" i="16"/>
  <c r="A1200" i="16"/>
  <c r="A1176" i="16"/>
  <c r="A1143" i="16"/>
  <c r="A1135" i="16"/>
  <c r="A1144" i="16"/>
  <c r="A1136" i="16"/>
  <c r="A1175" i="16"/>
  <c r="A1142" i="16"/>
  <c r="A1145" i="16"/>
  <c r="A1141" i="16"/>
  <c r="A970" i="16"/>
  <c r="A943" i="16"/>
  <c r="A865" i="16"/>
  <c r="A864" i="16"/>
  <c r="A935" i="16"/>
  <c r="A1097" i="16"/>
  <c r="A950" i="16"/>
  <c r="A863" i="16"/>
  <c r="A861" i="16"/>
  <c r="A1096" i="16"/>
  <c r="A1098" i="16"/>
  <c r="A934" i="16"/>
  <c r="A866" i="16"/>
  <c r="A862" i="16"/>
  <c r="A1134" i="16"/>
  <c r="A572" i="16"/>
  <c r="A587" i="16"/>
  <c r="A612" i="16"/>
  <c r="A585" i="16"/>
  <c r="A611" i="16"/>
  <c r="A610" i="16"/>
  <c r="A588" i="16"/>
  <c r="A586" i="16"/>
  <c r="A589" i="16"/>
  <c r="A499" i="16"/>
  <c r="A375" i="16"/>
  <c r="A513" i="16"/>
  <c r="A405" i="16"/>
  <c r="A607" i="16"/>
  <c r="A422" i="16"/>
  <c r="A606" i="16"/>
  <c r="A541" i="16"/>
  <c r="A318" i="16"/>
  <c r="A566" i="16"/>
  <c r="A605" i="16"/>
  <c r="A571" i="16"/>
  <c r="A213" i="16"/>
  <c r="A496" i="16"/>
  <c r="A573" i="16"/>
  <c r="A604" i="16"/>
  <c r="A574" i="16"/>
  <c r="A66" i="16"/>
  <c r="A570" i="16"/>
  <c r="A497" i="16"/>
  <c r="A603" i="16"/>
  <c r="A495" i="16"/>
  <c r="A67" i="16"/>
  <c r="A498" i="16"/>
  <c r="A404" i="16"/>
  <c r="A477" i="16"/>
  <c r="A539" i="16"/>
  <c r="A608" i="16"/>
  <c r="A569" i="16"/>
  <c r="A317" i="16"/>
  <c r="A568" i="16"/>
  <c r="A540" i="16"/>
  <c r="A609" i="16"/>
  <c r="A567" i="16"/>
  <c r="A316" i="16"/>
  <c r="A421" i="16"/>
  <c r="A319" i="16"/>
  <c r="D29" i="7"/>
  <c r="D47" i="4" s="1"/>
  <c r="A600" i="16"/>
  <c r="A476" i="16"/>
  <c r="A472" i="16"/>
  <c r="A374" i="16"/>
  <c r="A332" i="16"/>
  <c r="A312" i="16"/>
  <c r="A308" i="16"/>
  <c r="A304" i="16"/>
  <c r="A300" i="16"/>
  <c r="A302" i="16"/>
  <c r="A538" i="16"/>
  <c r="A473" i="16"/>
  <c r="A469" i="16"/>
  <c r="A313" i="16"/>
  <c r="A305" i="16"/>
  <c r="A475" i="16"/>
  <c r="A471" i="16"/>
  <c r="A420" i="16"/>
  <c r="A315" i="16"/>
  <c r="A311" i="16"/>
  <c r="A307" i="16"/>
  <c r="A303" i="16"/>
  <c r="A314" i="16"/>
  <c r="A310" i="16"/>
  <c r="A306" i="16"/>
  <c r="A601" i="16"/>
  <c r="A478" i="16"/>
  <c r="A331" i="16"/>
  <c r="A301" i="16"/>
  <c r="A602" i="16"/>
  <c r="A512" i="16"/>
  <c r="A474" i="16"/>
  <c r="A470" i="16"/>
  <c r="A309" i="16"/>
  <c r="A182" i="16"/>
  <c r="A183" i="16"/>
  <c r="A212" i="16"/>
  <c r="A598" i="16"/>
  <c r="A537" i="16"/>
  <c r="A493" i="16"/>
  <c r="A400" i="16"/>
  <c r="A351" i="16"/>
  <c r="A297" i="16"/>
  <c r="A293" i="16"/>
  <c r="A289" i="16"/>
  <c r="A211" i="16"/>
  <c r="A207" i="16"/>
  <c r="A178" i="16"/>
  <c r="A65" i="16"/>
  <c r="A61" i="16"/>
  <c r="A57" i="16"/>
  <c r="A206" i="16"/>
  <c r="A177" i="16"/>
  <c r="A64" i="16"/>
  <c r="A56" i="16"/>
  <c r="A209" i="16"/>
  <c r="A180" i="16"/>
  <c r="A55" i="16"/>
  <c r="A599" i="16"/>
  <c r="A401" i="16"/>
  <c r="A352" i="16"/>
  <c r="A294" i="16"/>
  <c r="A179" i="16"/>
  <c r="A62" i="16"/>
  <c r="A54" i="16"/>
  <c r="A597" i="16"/>
  <c r="A536" i="16"/>
  <c r="A403" i="16"/>
  <c r="A350" i="16"/>
  <c r="A330" i="16"/>
  <c r="A296" i="16"/>
  <c r="A292" i="16"/>
  <c r="A288" i="16"/>
  <c r="A210" i="16"/>
  <c r="A181" i="16"/>
  <c r="A60" i="16"/>
  <c r="A291" i="16"/>
  <c r="A59" i="16"/>
  <c r="A494" i="16"/>
  <c r="A298" i="16"/>
  <c r="A208" i="16"/>
  <c r="A58" i="16"/>
  <c r="A535" i="16"/>
  <c r="A402" i="16"/>
  <c r="A299" i="16"/>
  <c r="A295" i="16"/>
  <c r="A205" i="16"/>
  <c r="A63" i="16"/>
  <c r="A290" i="16"/>
  <c r="A28" i="16"/>
  <c r="A27" i="16"/>
  <c r="A26" i="16"/>
  <c r="A1037" i="16"/>
  <c r="A992" i="16"/>
  <c r="A995" i="16"/>
  <c r="A976" i="16"/>
  <c r="A928" i="16"/>
  <c r="A819" i="16"/>
  <c r="A821" i="16"/>
  <c r="A817" i="16"/>
  <c r="A818" i="16"/>
  <c r="A820" i="16"/>
  <c r="A1229" i="16"/>
  <c r="A1225" i="16"/>
  <c r="A1199" i="16"/>
  <c r="A1195" i="16"/>
  <c r="A1191" i="16"/>
  <c r="A1187" i="16"/>
  <c r="A1183" i="16"/>
  <c r="A1179" i="16"/>
  <c r="A1171" i="16"/>
  <c r="A1167" i="16"/>
  <c r="A1163" i="16"/>
  <c r="A1159" i="16"/>
  <c r="A1155" i="16"/>
  <c r="A1151" i="16"/>
  <c r="A1137" i="16"/>
  <c r="A1130" i="16"/>
  <c r="A1126" i="16"/>
  <c r="A1122" i="16"/>
  <c r="A1118" i="16"/>
  <c r="A1092" i="16"/>
  <c r="A1088" i="16"/>
  <c r="A1084" i="16"/>
  <c r="A1080" i="16"/>
  <c r="A1076" i="16"/>
  <c r="A1072" i="16"/>
  <c r="A1068" i="16"/>
  <c r="A1064" i="16"/>
  <c r="A1060" i="16"/>
  <c r="A1056" i="16"/>
  <c r="A1052" i="16"/>
  <c r="A1048" i="16"/>
  <c r="A1044" i="16"/>
  <c r="A1040" i="16"/>
  <c r="A1035" i="16"/>
  <c r="A1031" i="16"/>
  <c r="A1027" i="16"/>
  <c r="A1023" i="16"/>
  <c r="A1016" i="16"/>
  <c r="A1228" i="16"/>
  <c r="A1212" i="16"/>
  <c r="A1198" i="16"/>
  <c r="A1194" i="16"/>
  <c r="A1190" i="16"/>
  <c r="A1186" i="16"/>
  <c r="A1182" i="16"/>
  <c r="A1174" i="16"/>
  <c r="A1170" i="16"/>
  <c r="A1166" i="16"/>
  <c r="A1162" i="16"/>
  <c r="A1158" i="16"/>
  <c r="A1154" i="16"/>
  <c r="A1140" i="16"/>
  <c r="A1133" i="16"/>
  <c r="A1129" i="16"/>
  <c r="A1125" i="16"/>
  <c r="A1121" i="16"/>
  <c r="A1095" i="16"/>
  <c r="A1091" i="16"/>
  <c r="A1087" i="16"/>
  <c r="A1083" i="16"/>
  <c r="A1079" i="16"/>
  <c r="A1075" i="16"/>
  <c r="A1071" i="16"/>
  <c r="A1067" i="16"/>
  <c r="A1063" i="16"/>
  <c r="A1059" i="16"/>
  <c r="A1055" i="16"/>
  <c r="A1051" i="16"/>
  <c r="A1047" i="16"/>
  <c r="A1043" i="16"/>
  <c r="A1039" i="16"/>
  <c r="A1034" i="16"/>
  <c r="A1030" i="16"/>
  <c r="A1026" i="16"/>
  <c r="A1022" i="16"/>
  <c r="A1015" i="16"/>
  <c r="A1231" i="16"/>
  <c r="A1227" i="16"/>
  <c r="A1211" i="16"/>
  <c r="A1197" i="16"/>
  <c r="A1193" i="16"/>
  <c r="A1189" i="16"/>
  <c r="A1185" i="16"/>
  <c r="A1181" i="16"/>
  <c r="A1173" i="16"/>
  <c r="A1169" i="16"/>
  <c r="A1165" i="16"/>
  <c r="A1161" i="16"/>
  <c r="A1157" i="16"/>
  <c r="A1153" i="16"/>
  <c r="A1139" i="16"/>
  <c r="A1132" i="16"/>
  <c r="A1128" i="16"/>
  <c r="A1124" i="16"/>
  <c r="A1120" i="16"/>
  <c r="A1094" i="16"/>
  <c r="A1090" i="16"/>
  <c r="A1086" i="16"/>
  <c r="A1082" i="16"/>
  <c r="A1078" i="16"/>
  <c r="A1074" i="16"/>
  <c r="A1070" i="16"/>
  <c r="A1066" i="16"/>
  <c r="A1062" i="16"/>
  <c r="A1058" i="16"/>
  <c r="A1054" i="16"/>
  <c r="A1050" i="16"/>
  <c r="A1046" i="16"/>
  <c r="A1042" i="16"/>
  <c r="A1038" i="16"/>
  <c r="A1033" i="16"/>
  <c r="A1029" i="16"/>
  <c r="A1025" i="16"/>
  <c r="A1021" i="16"/>
  <c r="A1230" i="16"/>
  <c r="A1226" i="16"/>
  <c r="A1210" i="16"/>
  <c r="A1196" i="16"/>
  <c r="A1192" i="16"/>
  <c r="A1188" i="16"/>
  <c r="A1184" i="16"/>
  <c r="A1180" i="16"/>
  <c r="A1172" i="16"/>
  <c r="A1168" i="16"/>
  <c r="A1164" i="16"/>
  <c r="A1160" i="16"/>
  <c r="A1156" i="16"/>
  <c r="A1152" i="16"/>
  <c r="A1138" i="16"/>
  <c r="A1131" i="16"/>
  <c r="A1127" i="16"/>
  <c r="A1123" i="16"/>
  <c r="A1119" i="16"/>
  <c r="A1093" i="16"/>
  <c r="A1089" i="16"/>
  <c r="A1085" i="16"/>
  <c r="A1081" i="16"/>
  <c r="A1077" i="16"/>
  <c r="A1073" i="16"/>
  <c r="A1069" i="16"/>
  <c r="A1065" i="16"/>
  <c r="A1061" i="16"/>
  <c r="A1057" i="16"/>
  <c r="A1053" i="16"/>
  <c r="A1049" i="16"/>
  <c r="A1045" i="16"/>
  <c r="A1041" i="16"/>
  <c r="A1036" i="16"/>
  <c r="A1032" i="16"/>
  <c r="A1028" i="16"/>
  <c r="A1014" i="16"/>
  <c r="A1010" i="16"/>
  <c r="A1004" i="16"/>
  <c r="A1000" i="16"/>
  <c r="A996" i="16"/>
  <c r="A990" i="16"/>
  <c r="A986" i="16"/>
  <c r="A982" i="16"/>
  <c r="A978" i="16"/>
  <c r="A967" i="16"/>
  <c r="A963" i="16"/>
  <c r="A959" i="16"/>
  <c r="A955" i="16"/>
  <c r="A948" i="16"/>
  <c r="A944" i="16"/>
  <c r="A939" i="16"/>
  <c r="A931" i="16"/>
  <c r="A926" i="16"/>
  <c r="A916" i="16"/>
  <c r="A912" i="16"/>
  <c r="A908" i="16"/>
  <c r="A904" i="16"/>
  <c r="A857" i="16"/>
  <c r="A853" i="16"/>
  <c r="A849" i="16"/>
  <c r="A845" i="16"/>
  <c r="A841" i="16"/>
  <c r="A837" i="16"/>
  <c r="A833" i="16"/>
  <c r="A829" i="16"/>
  <c r="A825" i="16"/>
  <c r="A816" i="16"/>
  <c r="A812" i="16"/>
  <c r="A808" i="16"/>
  <c r="A804" i="16"/>
  <c r="A800" i="16"/>
  <c r="A796" i="16"/>
  <c r="A792" i="16"/>
  <c r="A788" i="16"/>
  <c r="A784" i="16"/>
  <c r="A780" i="16"/>
  <c r="A776" i="16"/>
  <c r="A1013" i="16"/>
  <c r="A1009" i="16"/>
  <c r="A1003" i="16"/>
  <c r="A999" i="16"/>
  <c r="A994" i="16"/>
  <c r="A989" i="16"/>
  <c r="A985" i="16"/>
  <c r="A981" i="16"/>
  <c r="A977" i="16"/>
  <c r="A966" i="16"/>
  <c r="A962" i="16"/>
  <c r="A958" i="16"/>
  <c r="A954" i="16"/>
  <c r="A947" i="16"/>
  <c r="A942" i="16"/>
  <c r="A938" i="16"/>
  <c r="A930" i="16"/>
  <c r="A925" i="16"/>
  <c r="A915" i="16"/>
  <c r="A911" i="16"/>
  <c r="A907" i="16"/>
  <c r="A860" i="16"/>
  <c r="A856" i="16"/>
  <c r="A852" i="16"/>
  <c r="A848" i="16"/>
  <c r="A844" i="16"/>
  <c r="A840" i="16"/>
  <c r="A836" i="16"/>
  <c r="A832" i="16"/>
  <c r="A828" i="16"/>
  <c r="A824" i="16"/>
  <c r="A815" i="16"/>
  <c r="A811" i="16"/>
  <c r="A807" i="16"/>
  <c r="A803" i="16"/>
  <c r="A799" i="16"/>
  <c r="A795" i="16"/>
  <c r="A791" i="16"/>
  <c r="A787" i="16"/>
  <c r="A783" i="16"/>
  <c r="A779" i="16"/>
  <c r="A1024" i="16"/>
  <c r="A1012" i="16"/>
  <c r="A1008" i="16"/>
  <c r="A1002" i="16"/>
  <c r="A998" i="16"/>
  <c r="A993" i="16"/>
  <c r="A988" i="16"/>
  <c r="A984" i="16"/>
  <c r="A980" i="16"/>
  <c r="A969" i="16"/>
  <c r="A965" i="16"/>
  <c r="A961" i="16"/>
  <c r="A957" i="16"/>
  <c r="A953" i="16"/>
  <c r="A946" i="16"/>
  <c r="A941" i="16"/>
  <c r="A933" i="16"/>
  <c r="A929" i="16"/>
  <c r="A924" i="16"/>
  <c r="A914" i="16"/>
  <c r="A910" i="16"/>
  <c r="A906" i="16"/>
  <c r="A859" i="16"/>
  <c r="A855" i="16"/>
  <c r="A851" i="16"/>
  <c r="A847" i="16"/>
  <c r="A843" i="16"/>
  <c r="A839" i="16"/>
  <c r="A835" i="16"/>
  <c r="A831" i="16"/>
  <c r="A827" i="16"/>
  <c r="A823" i="16"/>
  <c r="A814" i="16"/>
  <c r="A810" i="16"/>
  <c r="A806" i="16"/>
  <c r="A802" i="16"/>
  <c r="A798" i="16"/>
  <c r="A794" i="16"/>
  <c r="A790" i="16"/>
  <c r="A786" i="16"/>
  <c r="A782" i="16"/>
  <c r="A778" i="16"/>
  <c r="A1017" i="16"/>
  <c r="A1011" i="16"/>
  <c r="A1005" i="16"/>
  <c r="A1001" i="16"/>
  <c r="A997" i="16"/>
  <c r="A991" i="16"/>
  <c r="A987" i="16"/>
  <c r="A983" i="16"/>
  <c r="A979" i="16"/>
  <c r="A968" i="16"/>
  <c r="A964" i="16"/>
  <c r="A960" i="16"/>
  <c r="A956" i="16"/>
  <c r="A949" i="16"/>
  <c r="A945" i="16"/>
  <c r="A940" i="16"/>
  <c r="A932" i="16"/>
  <c r="A927" i="16"/>
  <c r="A923" i="16"/>
  <c r="A913" i="16"/>
  <c r="A909" i="16"/>
  <c r="A905" i="16"/>
  <c r="A858" i="16"/>
  <c r="A854" i="16"/>
  <c r="A850" i="16"/>
  <c r="A846" i="16"/>
  <c r="A842" i="16"/>
  <c r="A838" i="16"/>
  <c r="A834" i="16"/>
  <c r="A830" i="16"/>
  <c r="A826" i="16"/>
  <c r="A822" i="16"/>
  <c r="A813" i="16"/>
  <c r="A809" i="16"/>
  <c r="A805" i="16"/>
  <c r="A801" i="16"/>
  <c r="A797" i="16"/>
  <c r="A793" i="16"/>
  <c r="A789" i="16"/>
  <c r="A785" i="16"/>
  <c r="A781" i="16"/>
  <c r="A777" i="16"/>
  <c r="N32" i="6"/>
  <c r="A763" i="16"/>
  <c r="A625" i="16"/>
  <c r="A624" i="16"/>
  <c r="A594" i="16"/>
  <c r="A593" i="16"/>
  <c r="A772" i="16"/>
  <c r="A768" i="16"/>
  <c r="A764" i="16"/>
  <c r="A770" i="16"/>
  <c r="A769" i="16"/>
  <c r="A765" i="16"/>
  <c r="A775" i="16"/>
  <c r="A771" i="16"/>
  <c r="A767" i="16"/>
  <c r="A762" i="16"/>
  <c r="A766" i="16"/>
  <c r="A773" i="16"/>
  <c r="A774" i="16"/>
  <c r="A761" i="16"/>
  <c r="A738" i="16"/>
  <c r="A734" i="16"/>
  <c r="A730" i="16"/>
  <c r="A726" i="16"/>
  <c r="A722" i="16"/>
  <c r="A718" i="16"/>
  <c r="A714" i="16"/>
  <c r="A710" i="16"/>
  <c r="A706" i="16"/>
  <c r="A702" i="16"/>
  <c r="A698" i="16"/>
  <c r="A694" i="16"/>
  <c r="A690" i="16"/>
  <c r="A686" i="16"/>
  <c r="A682" i="16"/>
  <c r="A678" i="16"/>
  <c r="A674" i="16"/>
  <c r="A670" i="16"/>
  <c r="A666" i="16"/>
  <c r="A662" i="16"/>
  <c r="A658" i="16"/>
  <c r="A654" i="16"/>
  <c r="A650" i="16"/>
  <c r="A646" i="16"/>
  <c r="A643" i="16"/>
  <c r="A639" i="16"/>
  <c r="A635" i="16"/>
  <c r="A631" i="16"/>
  <c r="A737" i="16"/>
  <c r="A733" i="16"/>
  <c r="A729" i="16"/>
  <c r="A725" i="16"/>
  <c r="A721" i="16"/>
  <c r="A717" i="16"/>
  <c r="A713" i="16"/>
  <c r="A709" i="16"/>
  <c r="A705" i="16"/>
  <c r="A701" i="16"/>
  <c r="A697" i="16"/>
  <c r="A693" i="16"/>
  <c r="A689" i="16"/>
  <c r="A685" i="16"/>
  <c r="A681" i="16"/>
  <c r="A677" i="16"/>
  <c r="A673" i="16"/>
  <c r="A669" i="16"/>
  <c r="A665" i="16"/>
  <c r="A661" i="16"/>
  <c r="A657" i="16"/>
  <c r="A653" i="16"/>
  <c r="A649" i="16"/>
  <c r="A645" i="16"/>
  <c r="A642" i="16"/>
  <c r="A638" i="16"/>
  <c r="A634" i="16"/>
  <c r="A630" i="16"/>
  <c r="A736" i="16"/>
  <c r="A732" i="16"/>
  <c r="A728" i="16"/>
  <c r="A724" i="16"/>
  <c r="A720" i="16"/>
  <c r="A716" i="16"/>
  <c r="A712" i="16"/>
  <c r="A708" i="16"/>
  <c r="A704" i="16"/>
  <c r="A700" i="16"/>
  <c r="A696" i="16"/>
  <c r="A692" i="16"/>
  <c r="A688" i="16"/>
  <c r="A684" i="16"/>
  <c r="A680" i="16"/>
  <c r="A676" i="16"/>
  <c r="A672" i="16"/>
  <c r="A668" i="16"/>
  <c r="A664" i="16"/>
  <c r="A660" i="16"/>
  <c r="A656" i="16"/>
  <c r="A652" i="16"/>
  <c r="A648" i="16"/>
  <c r="A641" i="16"/>
  <c r="A637" i="16"/>
  <c r="A633" i="16"/>
  <c r="A739" i="16"/>
  <c r="A735" i="16"/>
  <c r="A731" i="16"/>
  <c r="A727" i="16"/>
  <c r="A723" i="16"/>
  <c r="A719" i="16"/>
  <c r="A715" i="16"/>
  <c r="A711" i="16"/>
  <c r="A707" i="16"/>
  <c r="A703" i="16"/>
  <c r="A699" i="16"/>
  <c r="A695" i="16"/>
  <c r="A691" i="16"/>
  <c r="A687" i="16"/>
  <c r="A683" i="16"/>
  <c r="A679" i="16"/>
  <c r="A675" i="16"/>
  <c r="A671" i="16"/>
  <c r="A663" i="16"/>
  <c r="A659" i="16"/>
  <c r="A655" i="16"/>
  <c r="A651" i="16"/>
  <c r="A647" i="16"/>
  <c r="A644" i="16"/>
  <c r="A640" i="16"/>
  <c r="A636" i="16"/>
  <c r="A632" i="16"/>
  <c r="A667" i="16"/>
  <c r="A629" i="16"/>
  <c r="A628" i="16"/>
  <c r="A626" i="16"/>
  <c r="A622" i="16"/>
  <c r="A621" i="16"/>
  <c r="A623" i="16"/>
  <c r="A618" i="16"/>
  <c r="A614" i="16"/>
  <c r="A592" i="16"/>
  <c r="A583" i="16"/>
  <c r="A579" i="16"/>
  <c r="A575" i="16"/>
  <c r="A596" i="16"/>
  <c r="A577" i="16"/>
  <c r="A617" i="16"/>
  <c r="A613" i="16"/>
  <c r="A591" i="16"/>
  <c r="A582" i="16"/>
  <c r="A578" i="16"/>
  <c r="A616" i="16"/>
  <c r="A620" i="16"/>
  <c r="A590" i="16"/>
  <c r="A581" i="16"/>
  <c r="A619" i="16"/>
  <c r="A615" i="16"/>
  <c r="A595" i="16"/>
  <c r="A584" i="16"/>
  <c r="A580" i="16"/>
  <c r="A576" i="16"/>
  <c r="A372" i="16"/>
  <c r="A202" i="16"/>
  <c r="A285" i="16"/>
  <c r="A53" i="16"/>
  <c r="A203" i="16"/>
  <c r="A490" i="16"/>
  <c r="A50" i="16"/>
  <c r="A492" i="16"/>
  <c r="A373" i="16"/>
  <c r="A201" i="16"/>
  <c r="A52" i="16"/>
  <c r="A468" i="16"/>
  <c r="A286" i="16"/>
  <c r="A491" i="16"/>
  <c r="A204" i="16"/>
  <c r="A200" i="16"/>
  <c r="A287" i="16"/>
  <c r="A51" i="16"/>
  <c r="A176" i="16"/>
  <c r="A349" i="16"/>
  <c r="A465" i="16"/>
  <c r="A549" i="16"/>
  <c r="A560" i="16"/>
  <c r="A521" i="16"/>
  <c r="A510" i="16"/>
  <c r="A515" i="16"/>
  <c r="A519" i="16"/>
  <c r="A556" i="16"/>
  <c r="A553" i="16"/>
  <c r="A525" i="16"/>
  <c r="A516" i="16"/>
  <c r="A533" i="16"/>
  <c r="A501" i="16"/>
  <c r="A483" i="16"/>
  <c r="A488" i="16"/>
  <c r="A467" i="16"/>
  <c r="A551" i="16"/>
  <c r="A532" i="16"/>
  <c r="A563" i="16"/>
  <c r="A545" i="16"/>
  <c r="A524" i="16"/>
  <c r="A559" i="16"/>
  <c r="A557" i="16"/>
  <c r="A479" i="16"/>
  <c r="A482" i="16"/>
  <c r="A547" i="16"/>
  <c r="A528" i="16"/>
  <c r="A552" i="16"/>
  <c r="A543" i="16"/>
  <c r="A511" i="16"/>
  <c r="A522" i="16"/>
  <c r="A489" i="16"/>
  <c r="A480" i="16"/>
  <c r="A554" i="16"/>
  <c r="A503" i="16"/>
  <c r="A508" i="16"/>
  <c r="A481" i="16"/>
  <c r="A561" i="16"/>
  <c r="A546" i="16"/>
  <c r="A502" i="16"/>
  <c r="A506" i="16"/>
  <c r="A507" i="16"/>
  <c r="A514" i="16"/>
  <c r="A485" i="16"/>
  <c r="A565" i="16"/>
  <c r="A550" i="16"/>
  <c r="A282" i="16"/>
  <c r="A484" i="16"/>
  <c r="A529" i="16"/>
  <c r="A548" i="16"/>
  <c r="A517" i="16"/>
  <c r="A504" i="16"/>
  <c r="A487" i="16"/>
  <c r="A523" i="16"/>
  <c r="A530" i="16"/>
  <c r="A284" i="16"/>
  <c r="A505" i="16"/>
  <c r="A486" i="16"/>
  <c r="A558" i="16"/>
  <c r="A526" i="16"/>
  <c r="A49" i="16"/>
  <c r="A520" i="16"/>
  <c r="A527" i="16"/>
  <c r="A534" i="16"/>
  <c r="A466" i="16"/>
  <c r="A509" i="16"/>
  <c r="A500" i="16"/>
  <c r="A562" i="16"/>
  <c r="A544" i="16"/>
  <c r="A555" i="16"/>
  <c r="A283" i="16"/>
  <c r="A531" i="16"/>
  <c r="A518" i="16"/>
  <c r="A564" i="16"/>
  <c r="A459" i="16"/>
  <c r="A460" i="16"/>
  <c r="A456" i="16"/>
  <c r="A462" i="16"/>
  <c r="A463" i="16"/>
  <c r="A461" i="16"/>
  <c r="A464" i="16"/>
  <c r="A457" i="16"/>
  <c r="A458" i="16"/>
  <c r="A455" i="16"/>
  <c r="A454" i="16"/>
  <c r="A452" i="16"/>
  <c r="A442" i="16"/>
  <c r="A440" i="16"/>
  <c r="A446" i="16"/>
  <c r="A444" i="16"/>
  <c r="A450" i="16"/>
  <c r="A448" i="16"/>
  <c r="A439" i="16"/>
  <c r="A437" i="16"/>
  <c r="A424" i="16"/>
  <c r="A426" i="16"/>
  <c r="A431" i="16"/>
  <c r="A428" i="16"/>
  <c r="A435" i="16"/>
  <c r="A433" i="16"/>
  <c r="A429" i="16"/>
  <c r="A453" i="16"/>
  <c r="A443" i="16"/>
  <c r="A441" i="16"/>
  <c r="A447" i="16"/>
  <c r="A445" i="16"/>
  <c r="A451" i="16"/>
  <c r="A449" i="16"/>
  <c r="A438" i="16"/>
  <c r="A436" i="16"/>
  <c r="A425" i="16"/>
  <c r="A423" i="16"/>
  <c r="A430" i="16"/>
  <c r="A427" i="16"/>
  <c r="A434" i="16"/>
  <c r="A432" i="16"/>
  <c r="A5" i="16"/>
  <c r="A278" i="16"/>
  <c r="A237" i="16"/>
  <c r="A333" i="16"/>
  <c r="A406" i="16"/>
  <c r="A94" i="16"/>
  <c r="A338" i="16"/>
  <c r="A389" i="16"/>
  <c r="A221" i="16"/>
  <c r="A277" i="16"/>
  <c r="A418" i="16"/>
  <c r="A78" i="16"/>
  <c r="A376" i="16"/>
  <c r="A238" i="16"/>
  <c r="A191" i="16"/>
  <c r="A261" i="16"/>
  <c r="A395" i="16"/>
  <c r="A42" i="16"/>
  <c r="A30" i="16"/>
  <c r="A166" i="16"/>
  <c r="A245" i="16"/>
  <c r="A371" i="16"/>
  <c r="A22" i="16"/>
  <c r="A83" i="16"/>
  <c r="A274" i="16"/>
  <c r="A362" i="16"/>
  <c r="A334" i="16"/>
  <c r="A10" i="16"/>
  <c r="A98" i="16"/>
  <c r="A163" i="16"/>
  <c r="A251" i="16"/>
  <c r="A361" i="16"/>
  <c r="A407" i="16"/>
  <c r="A80" i="16"/>
  <c r="A145" i="16"/>
  <c r="A232" i="16"/>
  <c r="A337" i="16"/>
  <c r="A416" i="16"/>
  <c r="A89" i="16"/>
  <c r="A154" i="16"/>
  <c r="A242" i="16"/>
  <c r="A354" i="16"/>
  <c r="A272" i="16"/>
  <c r="A197" i="16"/>
  <c r="A33" i="16"/>
  <c r="A121" i="16"/>
  <c r="A192" i="16"/>
  <c r="A271" i="16"/>
  <c r="A385" i="16"/>
  <c r="A12" i="16"/>
  <c r="A100" i="16"/>
  <c r="A165" i="16"/>
  <c r="A253" i="16"/>
  <c r="A357" i="16"/>
  <c r="A21" i="16"/>
  <c r="A110" i="16"/>
  <c r="A174" i="16"/>
  <c r="A262" i="16"/>
  <c r="A370" i="16"/>
  <c r="A104" i="16"/>
  <c r="A168" i="16"/>
  <c r="A252" i="16"/>
  <c r="A260" i="16"/>
  <c r="A18" i="16"/>
  <c r="A109" i="16"/>
  <c r="A171" i="16"/>
  <c r="A259" i="16"/>
  <c r="A367" i="16"/>
  <c r="A415" i="16"/>
  <c r="A88" i="16"/>
  <c r="A153" i="16"/>
  <c r="A241" i="16"/>
  <c r="A343" i="16"/>
  <c r="A11" i="16"/>
  <c r="A97" i="16"/>
  <c r="A162" i="16"/>
  <c r="A250" i="16"/>
  <c r="A360" i="16"/>
  <c r="A240" i="16"/>
  <c r="A150" i="16"/>
  <c r="A228" i="16"/>
  <c r="A359" i="16"/>
  <c r="A6" i="16"/>
  <c r="A116" i="16"/>
  <c r="A134" i="16"/>
  <c r="A198" i="16"/>
  <c r="A335" i="16"/>
  <c r="A91" i="16"/>
  <c r="A148" i="16"/>
  <c r="A118" i="16"/>
  <c r="A173" i="16"/>
  <c r="A279" i="16"/>
  <c r="A156" i="16"/>
  <c r="A188" i="16"/>
  <c r="A101" i="16"/>
  <c r="A157" i="16"/>
  <c r="A263" i="16"/>
  <c r="A244" i="16"/>
  <c r="A235" i="16"/>
  <c r="A219" i="16"/>
  <c r="A248" i="16"/>
  <c r="A227" i="16"/>
  <c r="A29" i="16"/>
  <c r="A117" i="16"/>
  <c r="A187" i="16"/>
  <c r="A267" i="16"/>
  <c r="A379" i="16"/>
  <c r="A8" i="16"/>
  <c r="A96" i="16"/>
  <c r="A161" i="16"/>
  <c r="A249" i="16"/>
  <c r="A355" i="16"/>
  <c r="A17" i="16"/>
  <c r="A106" i="16"/>
  <c r="A170" i="16"/>
  <c r="A258" i="16"/>
  <c r="A368" i="16"/>
  <c r="A193" i="16"/>
  <c r="A124" i="16"/>
  <c r="A70" i="16"/>
  <c r="A135" i="16"/>
  <c r="A222" i="16"/>
  <c r="A323" i="16"/>
  <c r="A410" i="16"/>
  <c r="A31" i="16"/>
  <c r="A115" i="16"/>
  <c r="A189" i="16"/>
  <c r="A269" i="16"/>
  <c r="A381" i="16"/>
  <c r="A40" i="16"/>
  <c r="A126" i="16"/>
  <c r="A199" i="16"/>
  <c r="A320" i="16"/>
  <c r="A392" i="16"/>
  <c r="A41" i="16"/>
  <c r="A103" i="16"/>
  <c r="A164" i="16"/>
  <c r="A215" i="16"/>
  <c r="A172" i="16"/>
  <c r="A37" i="16"/>
  <c r="A125" i="16"/>
  <c r="A196" i="16"/>
  <c r="A275" i="16"/>
  <c r="A391" i="16"/>
  <c r="A16" i="16"/>
  <c r="A102" i="16"/>
  <c r="A169" i="16"/>
  <c r="A257" i="16"/>
  <c r="A365" i="16"/>
  <c r="A25" i="16"/>
  <c r="A114" i="16"/>
  <c r="A186" i="16"/>
  <c r="A266" i="16"/>
  <c r="A378" i="16"/>
  <c r="A69" i="16"/>
  <c r="A152" i="16"/>
  <c r="A85" i="16"/>
  <c r="A141" i="16"/>
  <c r="A247" i="16"/>
  <c r="A326" i="16"/>
  <c r="A268" i="16"/>
  <c r="A409" i="16"/>
  <c r="A68" i="16"/>
  <c r="A123" i="16"/>
  <c r="A230" i="16"/>
  <c r="A23" i="16"/>
  <c r="A280" i="16"/>
  <c r="A382" i="16"/>
  <c r="A32" i="16"/>
  <c r="A107" i="16"/>
  <c r="A214" i="16"/>
  <c r="A79" i="16"/>
  <c r="A356" i="16"/>
  <c r="A363" i="16"/>
  <c r="A13" i="16"/>
  <c r="A92" i="16"/>
  <c r="A175" i="16"/>
  <c r="A112" i="16"/>
  <c r="A380" i="16"/>
  <c r="A132" i="16"/>
  <c r="A160" i="16"/>
  <c r="A140" i="16"/>
  <c r="A46" i="16"/>
  <c r="A133" i="16"/>
  <c r="A218" i="16"/>
  <c r="A321" i="16"/>
  <c r="A399" i="16"/>
  <c r="A24" i="16"/>
  <c r="A111" i="16"/>
  <c r="A185" i="16"/>
  <c r="A265" i="16"/>
  <c r="A377" i="16"/>
  <c r="A36" i="16"/>
  <c r="A122" i="16"/>
  <c r="A195" i="16"/>
  <c r="A276" i="16"/>
  <c r="A386" i="16"/>
  <c r="A190" i="16"/>
  <c r="A120" i="16"/>
  <c r="A38" i="16"/>
  <c r="A86" i="16"/>
  <c r="A151" i="16"/>
  <c r="A239" i="16"/>
  <c r="A345" i="16"/>
  <c r="A394" i="16"/>
  <c r="A48" i="16"/>
  <c r="A131" i="16"/>
  <c r="A220" i="16"/>
  <c r="A325" i="16"/>
  <c r="A397" i="16"/>
  <c r="A77" i="16"/>
  <c r="A142" i="16"/>
  <c r="A229" i="16"/>
  <c r="A340" i="16"/>
  <c r="A417" i="16"/>
  <c r="A346" i="16"/>
  <c r="A15" i="16"/>
  <c r="A99" i="16"/>
  <c r="A128" i="16"/>
  <c r="A108" i="16"/>
  <c r="A74" i="16"/>
  <c r="A139" i="16"/>
  <c r="A226" i="16"/>
  <c r="A327" i="16"/>
  <c r="A414" i="16"/>
  <c r="A35" i="16"/>
  <c r="A119" i="16"/>
  <c r="A194" i="16"/>
  <c r="A273" i="16"/>
  <c r="A383" i="16"/>
  <c r="A45" i="16"/>
  <c r="A130" i="16"/>
  <c r="A217" i="16"/>
  <c r="A324" i="16"/>
  <c r="A398" i="16"/>
  <c r="A364" i="16"/>
  <c r="A87" i="16"/>
  <c r="A384" i="16"/>
  <c r="A348" i="16"/>
  <c r="A412" i="16"/>
  <c r="A76" i="16"/>
  <c r="A159" i="16"/>
  <c r="A144" i="16"/>
  <c r="A71" i="16"/>
  <c r="A328" i="16"/>
  <c r="A387" i="16"/>
  <c r="A39" i="16"/>
  <c r="A143" i="16"/>
  <c r="A184" i="16"/>
  <c r="A136" i="16"/>
  <c r="A270" i="16"/>
  <c r="A369" i="16"/>
  <c r="A20" i="16"/>
  <c r="A129" i="16"/>
  <c r="A231" i="16"/>
  <c r="A223" i="16"/>
  <c r="A254" i="16"/>
  <c r="A347" i="16"/>
  <c r="A419" i="16"/>
  <c r="A113" i="16"/>
  <c r="A264" i="16"/>
  <c r="A366" i="16"/>
  <c r="A47" i="16"/>
  <c r="A95" i="16"/>
  <c r="A75" i="16"/>
  <c r="A82" i="16"/>
  <c r="A147" i="16"/>
  <c r="A234" i="16"/>
  <c r="A339" i="16"/>
  <c r="A390" i="16"/>
  <c r="A44" i="16"/>
  <c r="A127" i="16"/>
  <c r="A216" i="16"/>
  <c r="A281" i="16"/>
  <c r="A393" i="16"/>
  <c r="A73" i="16"/>
  <c r="A138" i="16"/>
  <c r="A225" i="16"/>
  <c r="A336" i="16"/>
  <c r="A413" i="16"/>
  <c r="A388" i="16"/>
  <c r="A34" i="16"/>
  <c r="A14" i="16"/>
  <c r="A105" i="16"/>
  <c r="A167" i="16"/>
  <c r="A255" i="16"/>
  <c r="A411" i="16"/>
  <c r="A84" i="16"/>
  <c r="A149" i="16"/>
  <c r="A236" i="16"/>
  <c r="A341" i="16"/>
  <c r="A9" i="16"/>
  <c r="A93" i="16"/>
  <c r="A158" i="16"/>
  <c r="A246" i="16"/>
  <c r="A358" i="16"/>
  <c r="A256" i="16"/>
  <c r="A342" i="16"/>
  <c r="A7" i="16"/>
  <c r="A43" i="16"/>
  <c r="A19" i="16"/>
  <c r="A90" i="16"/>
  <c r="A155" i="16"/>
  <c r="A243" i="16"/>
  <c r="A353" i="16"/>
  <c r="A396" i="16"/>
  <c r="A72" i="16"/>
  <c r="A137" i="16"/>
  <c r="A224" i="16"/>
  <c r="A329" i="16"/>
  <c r="A408" i="16"/>
  <c r="A81" i="16"/>
  <c r="A146" i="16"/>
  <c r="A233" i="16"/>
  <c r="A344" i="16"/>
  <c r="A322" i="16"/>
  <c r="M32" i="6"/>
  <c r="F32" i="6"/>
  <c r="E32" i="6"/>
  <c r="E38" i="5"/>
  <c r="J32" i="6"/>
  <c r="I32" i="6"/>
  <c r="M163" i="6"/>
  <c r="D55" i="6"/>
  <c r="H163" i="6"/>
  <c r="L18" i="6"/>
  <c r="L10" i="3" s="1"/>
  <c r="I55" i="6"/>
  <c r="C16" i="3"/>
  <c r="L163" i="6"/>
  <c r="H55" i="6"/>
  <c r="F148" i="6"/>
  <c r="M55" i="6"/>
  <c r="G148" i="6"/>
  <c r="K18" i="6"/>
  <c r="K10" i="3" s="1"/>
  <c r="O31" i="6"/>
  <c r="H160" i="7"/>
  <c r="H52" i="4" s="1"/>
  <c r="I163" i="6"/>
  <c r="N145" i="7"/>
  <c r="N51" i="4" s="1"/>
  <c r="K145" i="7"/>
  <c r="K51" i="4" s="1"/>
  <c r="O114" i="7"/>
  <c r="O118" i="7"/>
  <c r="O122" i="7"/>
  <c r="O126" i="7"/>
  <c r="O130" i="7"/>
  <c r="O134" i="7"/>
  <c r="O138" i="7"/>
  <c r="O142" i="7"/>
  <c r="N43" i="7"/>
  <c r="N48" i="4" s="1"/>
  <c r="L52" i="7"/>
  <c r="L49" i="4" s="1"/>
  <c r="J145" i="7"/>
  <c r="J51" i="4" s="1"/>
  <c r="K43" i="7"/>
  <c r="K48" i="4" s="1"/>
  <c r="M52" i="7"/>
  <c r="M49" i="4" s="1"/>
  <c r="K160" i="7"/>
  <c r="K52" i="4" s="1"/>
  <c r="D160" i="7"/>
  <c r="D52" i="4" s="1"/>
  <c r="C15" i="7"/>
  <c r="O11" i="7"/>
  <c r="C38" i="4"/>
  <c r="E25" i="7"/>
  <c r="E46" i="4" s="1"/>
  <c r="O61" i="7"/>
  <c r="N15" i="7"/>
  <c r="N38" i="4"/>
  <c r="N42" i="4" s="1"/>
  <c r="L25" i="7"/>
  <c r="L46" i="4" s="1"/>
  <c r="H52" i="7"/>
  <c r="H49" i="4" s="1"/>
  <c r="K15" i="7"/>
  <c r="K38" i="4"/>
  <c r="K42" i="4" s="1"/>
  <c r="O13" i="7"/>
  <c r="C40" i="4"/>
  <c r="O40" i="4" s="1"/>
  <c r="R40" i="4" s="1"/>
  <c r="M25" i="7"/>
  <c r="M46" i="4" s="1"/>
  <c r="O28" i="7"/>
  <c r="G43" i="7"/>
  <c r="G48" i="4" s="1"/>
  <c r="I52" i="7"/>
  <c r="I49" i="4" s="1"/>
  <c r="O48" i="7"/>
  <c r="C145" i="7"/>
  <c r="C51" i="4" s="1"/>
  <c r="O55" i="7"/>
  <c r="O59" i="7"/>
  <c r="O63" i="7"/>
  <c r="O67" i="7"/>
  <c r="O71" i="7"/>
  <c r="O75" i="7"/>
  <c r="O79" i="7"/>
  <c r="O83" i="7"/>
  <c r="O87" i="7"/>
  <c r="O91" i="7"/>
  <c r="O95" i="7"/>
  <c r="O99" i="7"/>
  <c r="O103" i="7"/>
  <c r="O107" i="7"/>
  <c r="O111" i="7"/>
  <c r="H15" i="7"/>
  <c r="H38" i="4"/>
  <c r="H42" i="4" s="1"/>
  <c r="J25" i="7"/>
  <c r="J46" i="4" s="1"/>
  <c r="N29" i="7"/>
  <c r="N47" i="4" s="1"/>
  <c r="D43" i="7"/>
  <c r="D48" i="4" s="1"/>
  <c r="F52" i="7"/>
  <c r="F49" i="4" s="1"/>
  <c r="I15" i="7"/>
  <c r="I38" i="4"/>
  <c r="I42" i="4" s="1"/>
  <c r="O14" i="7"/>
  <c r="C41" i="4"/>
  <c r="O41" i="4" s="1"/>
  <c r="R41" i="4" s="1"/>
  <c r="G25" i="7"/>
  <c r="G46" i="4" s="1"/>
  <c r="K29" i="7"/>
  <c r="K47" i="4" s="1"/>
  <c r="E43" i="7"/>
  <c r="E48" i="4" s="1"/>
  <c r="O45" i="7"/>
  <c r="C52" i="7"/>
  <c r="C49" i="4" s="1"/>
  <c r="O49" i="7"/>
  <c r="O56" i="7"/>
  <c r="O60" i="7"/>
  <c r="O64" i="7"/>
  <c r="O68" i="7"/>
  <c r="O72" i="7"/>
  <c r="O76" i="7"/>
  <c r="O80" i="7"/>
  <c r="O84" i="7"/>
  <c r="O88" i="7"/>
  <c r="O92" i="7"/>
  <c r="O96" i="7"/>
  <c r="O100" i="7"/>
  <c r="O104" i="7"/>
  <c r="O108" i="7"/>
  <c r="O116" i="7"/>
  <c r="O120" i="7"/>
  <c r="O124" i="7"/>
  <c r="O128" i="7"/>
  <c r="O132" i="7"/>
  <c r="O136" i="7"/>
  <c r="O140" i="7"/>
  <c r="O144" i="7"/>
  <c r="G160" i="7"/>
  <c r="G52" i="4" s="1"/>
  <c r="O115" i="7"/>
  <c r="O119" i="7"/>
  <c r="O123" i="7"/>
  <c r="O127" i="7"/>
  <c r="O131" i="7"/>
  <c r="O135" i="7"/>
  <c r="O139" i="7"/>
  <c r="O143" i="7"/>
  <c r="M160" i="7"/>
  <c r="M52" i="4" s="1"/>
  <c r="J160" i="7"/>
  <c r="J52" i="4" s="1"/>
  <c r="F38" i="5"/>
  <c r="H7" i="5"/>
  <c r="M28" i="6"/>
  <c r="N148" i="6"/>
  <c r="D163" i="6"/>
  <c r="H18" i="6"/>
  <c r="H10" i="3" s="1"/>
  <c r="J28" i="6"/>
  <c r="D30" i="10"/>
  <c r="D38" i="10" s="1"/>
  <c r="D46" i="6"/>
  <c r="E55" i="6"/>
  <c r="O153" i="6"/>
  <c r="I18" i="6"/>
  <c r="I10" i="3" s="1"/>
  <c r="O17" i="6"/>
  <c r="G28" i="6"/>
  <c r="K32" i="6"/>
  <c r="E30" i="10"/>
  <c r="E38" i="10" s="1"/>
  <c r="E46" i="6"/>
  <c r="F55" i="6"/>
  <c r="J163" i="6"/>
  <c r="O16" i="6"/>
  <c r="J18" i="6"/>
  <c r="J10" i="3" s="1"/>
  <c r="H28" i="6"/>
  <c r="L32" i="6"/>
  <c r="F30" i="10"/>
  <c r="F38" i="10" s="1"/>
  <c r="F46" i="6"/>
  <c r="O48" i="6"/>
  <c r="C55" i="6"/>
  <c r="O52" i="6"/>
  <c r="O59" i="6"/>
  <c r="O63" i="6"/>
  <c r="O67" i="6"/>
  <c r="O71" i="6"/>
  <c r="O75" i="6"/>
  <c r="O79" i="6"/>
  <c r="O83" i="6"/>
  <c r="O87" i="6"/>
  <c r="O91" i="6"/>
  <c r="O95" i="6"/>
  <c r="O99" i="6"/>
  <c r="O103" i="6"/>
  <c r="O107" i="6"/>
  <c r="O111" i="6"/>
  <c r="O115" i="6"/>
  <c r="O119" i="6"/>
  <c r="O123" i="6"/>
  <c r="O127" i="6"/>
  <c r="O131" i="6"/>
  <c r="O135" i="6"/>
  <c r="O139" i="6"/>
  <c r="O143" i="6"/>
  <c r="O147" i="6"/>
  <c r="G163" i="6"/>
  <c r="O156" i="6"/>
  <c r="O160" i="6"/>
  <c r="O157" i="6"/>
  <c r="O161" i="6"/>
  <c r="F15" i="7"/>
  <c r="F38" i="4"/>
  <c r="F42" i="4" s="1"/>
  <c r="D25" i="7"/>
  <c r="D46" i="4" s="1"/>
  <c r="O65" i="7"/>
  <c r="J43" i="7"/>
  <c r="J48" i="4" s="1"/>
  <c r="F145" i="7"/>
  <c r="F51" i="4" s="1"/>
  <c r="O21" i="7"/>
  <c r="O41" i="7"/>
  <c r="G145" i="7"/>
  <c r="G51" i="4" s="1"/>
  <c r="L15" i="7"/>
  <c r="L38" i="4"/>
  <c r="L42" i="4" s="1"/>
  <c r="N25" i="7"/>
  <c r="N46" i="4" s="1"/>
  <c r="H43" i="7"/>
  <c r="H48" i="4" s="1"/>
  <c r="J52" i="7"/>
  <c r="J49" i="4" s="1"/>
  <c r="D145" i="7"/>
  <c r="D51" i="4" s="1"/>
  <c r="M15" i="7"/>
  <c r="M38" i="4"/>
  <c r="M42" i="4" s="1"/>
  <c r="K25" i="7"/>
  <c r="K46" i="4" s="1"/>
  <c r="O22" i="7"/>
  <c r="I43" i="7"/>
  <c r="I48" i="4" s="1"/>
  <c r="O42" i="7"/>
  <c r="G52" i="7"/>
  <c r="G49" i="4" s="1"/>
  <c r="E145" i="7"/>
  <c r="E51" i="4" s="1"/>
  <c r="O149" i="7"/>
  <c r="O153" i="7"/>
  <c r="O157" i="7"/>
  <c r="O148" i="7"/>
  <c r="O152" i="7"/>
  <c r="O156" i="7"/>
  <c r="N160" i="7"/>
  <c r="N52" i="4" s="1"/>
  <c r="O26" i="6"/>
  <c r="C30" i="10"/>
  <c r="C46" i="6"/>
  <c r="O34" i="6"/>
  <c r="C34" i="10"/>
  <c r="O34" i="10" s="1"/>
  <c r="O38" i="6"/>
  <c r="O42" i="6"/>
  <c r="O14" i="6"/>
  <c r="C18" i="6"/>
  <c r="O24" i="6"/>
  <c r="N28" i="6"/>
  <c r="H30" i="10"/>
  <c r="H38" i="10" s="1"/>
  <c r="H46" i="6"/>
  <c r="O51" i="6"/>
  <c r="C148" i="6"/>
  <c r="O58" i="6"/>
  <c r="O62" i="6"/>
  <c r="O66" i="6"/>
  <c r="O70" i="6"/>
  <c r="O74" i="6"/>
  <c r="O78" i="6"/>
  <c r="O82" i="6"/>
  <c r="O86" i="6"/>
  <c r="O90" i="6"/>
  <c r="O94" i="6"/>
  <c r="O98" i="6"/>
  <c r="O102" i="6"/>
  <c r="O106" i="6"/>
  <c r="O110" i="6"/>
  <c r="O114" i="6"/>
  <c r="O118" i="6"/>
  <c r="O122" i="6"/>
  <c r="O126" i="6"/>
  <c r="O130" i="6"/>
  <c r="O134" i="6"/>
  <c r="O138" i="6"/>
  <c r="O142" i="6"/>
  <c r="O146" i="6"/>
  <c r="M18" i="6"/>
  <c r="M10" i="3" s="1"/>
  <c r="K28" i="6"/>
  <c r="O25" i="6"/>
  <c r="I30" i="10"/>
  <c r="I38" i="10" s="1"/>
  <c r="I46" i="6"/>
  <c r="C33" i="10"/>
  <c r="O33" i="10" s="1"/>
  <c r="O37" i="6"/>
  <c r="C37" i="10"/>
  <c r="O37" i="10" s="1"/>
  <c r="O41" i="6"/>
  <c r="O45" i="6"/>
  <c r="J55" i="6"/>
  <c r="D148" i="6"/>
  <c r="N163" i="6"/>
  <c r="N18" i="6"/>
  <c r="N10" i="3" s="1"/>
  <c r="L28" i="6"/>
  <c r="J30" i="10"/>
  <c r="J38" i="10" s="1"/>
  <c r="J46" i="6"/>
  <c r="G55" i="6"/>
  <c r="E148" i="6"/>
  <c r="K163" i="6"/>
  <c r="O152" i="6"/>
  <c r="O164" i="6"/>
  <c r="O165" i="6"/>
  <c r="O77" i="7"/>
  <c r="O89" i="7"/>
  <c r="O97" i="7"/>
  <c r="O105" i="7"/>
  <c r="O109" i="7"/>
  <c r="F29" i="7"/>
  <c r="F47" i="4" s="1"/>
  <c r="L43" i="7"/>
  <c r="L48" i="4" s="1"/>
  <c r="N52" i="7"/>
  <c r="N49" i="4" s="1"/>
  <c r="H145" i="7"/>
  <c r="H51" i="4" s="1"/>
  <c r="O12" i="7"/>
  <c r="C39" i="4"/>
  <c r="O39" i="4" s="1"/>
  <c r="C29" i="7"/>
  <c r="C47" i="4" s="1"/>
  <c r="O27" i="7"/>
  <c r="M43" i="7"/>
  <c r="M48" i="4" s="1"/>
  <c r="K52" i="7"/>
  <c r="K49" i="4" s="1"/>
  <c r="O47" i="7"/>
  <c r="O51" i="7"/>
  <c r="I145" i="7"/>
  <c r="I51" i="4" s="1"/>
  <c r="O58" i="7"/>
  <c r="O62" i="7"/>
  <c r="O66" i="7"/>
  <c r="O70" i="7"/>
  <c r="O74" i="7"/>
  <c r="O78" i="7"/>
  <c r="O82" i="7"/>
  <c r="O86" i="7"/>
  <c r="O90" i="7"/>
  <c r="O94" i="7"/>
  <c r="O98" i="7"/>
  <c r="O102" i="7"/>
  <c r="O106" i="7"/>
  <c r="O110" i="7"/>
  <c r="O112" i="7"/>
  <c r="O113" i="7"/>
  <c r="O117" i="7"/>
  <c r="O121" i="7"/>
  <c r="O125" i="7"/>
  <c r="O129" i="7"/>
  <c r="O133" i="7"/>
  <c r="O137" i="7"/>
  <c r="O141" i="7"/>
  <c r="E160" i="7"/>
  <c r="E52" i="4" s="1"/>
  <c r="O162" i="7"/>
  <c r="C54" i="4"/>
  <c r="O54" i="4" s="1"/>
  <c r="E10" i="17"/>
  <c r="G30" i="10"/>
  <c r="G38" i="10" s="1"/>
  <c r="G46" i="6"/>
  <c r="L30" i="10"/>
  <c r="L38" i="10" s="1"/>
  <c r="L46" i="6"/>
  <c r="O151" i="6"/>
  <c r="I28" i="6"/>
  <c r="O15" i="6"/>
  <c r="C32" i="6"/>
  <c r="O30" i="6"/>
  <c r="M30" i="10"/>
  <c r="M38" i="10" s="1"/>
  <c r="M46" i="6"/>
  <c r="N55" i="6"/>
  <c r="H148" i="6"/>
  <c r="G18" i="6"/>
  <c r="G10" i="3" s="1"/>
  <c r="E28" i="6"/>
  <c r="D32" i="6"/>
  <c r="N30" i="10"/>
  <c r="N38" i="10" s="1"/>
  <c r="N46" i="6"/>
  <c r="K55" i="6"/>
  <c r="O50" i="6"/>
  <c r="O54" i="6"/>
  <c r="I148" i="6"/>
  <c r="O61" i="6"/>
  <c r="O65" i="6"/>
  <c r="O69" i="6"/>
  <c r="O73" i="6"/>
  <c r="O77" i="6"/>
  <c r="O81" i="6"/>
  <c r="O85" i="6"/>
  <c r="O89" i="6"/>
  <c r="O93" i="6"/>
  <c r="O97" i="6"/>
  <c r="O101" i="6"/>
  <c r="O105" i="6"/>
  <c r="O109" i="6"/>
  <c r="O113" i="6"/>
  <c r="O117" i="6"/>
  <c r="O121" i="6"/>
  <c r="O125" i="6"/>
  <c r="O129" i="6"/>
  <c r="O133" i="6"/>
  <c r="O137" i="6"/>
  <c r="O141" i="6"/>
  <c r="O145" i="6"/>
  <c r="O158" i="6"/>
  <c r="O162" i="6"/>
  <c r="O155" i="6"/>
  <c r="O159" i="6"/>
  <c r="O46" i="7"/>
  <c r="O50" i="7"/>
  <c r="O57" i="7"/>
  <c r="O69" i="7"/>
  <c r="O73" i="7"/>
  <c r="O81" i="7"/>
  <c r="O85" i="7"/>
  <c r="O93" i="7"/>
  <c r="O101" i="7"/>
  <c r="J15" i="7"/>
  <c r="J38" i="4"/>
  <c r="J42" i="4" s="1"/>
  <c r="H25" i="7"/>
  <c r="H46" i="4" s="1"/>
  <c r="F43" i="7"/>
  <c r="F48" i="4" s="1"/>
  <c r="D52" i="7"/>
  <c r="D49" i="4" s="1"/>
  <c r="G15" i="7"/>
  <c r="G38" i="4"/>
  <c r="G42" i="4" s="1"/>
  <c r="I25" i="7"/>
  <c r="I46" i="4" s="1"/>
  <c r="O23" i="7"/>
  <c r="O39" i="7"/>
  <c r="C43" i="7"/>
  <c r="C48" i="4" s="1"/>
  <c r="E52" i="7"/>
  <c r="E49" i="4" s="1"/>
  <c r="D15" i="7"/>
  <c r="D38" i="4"/>
  <c r="D42" i="4" s="1"/>
  <c r="F25" i="7"/>
  <c r="F46" i="4" s="1"/>
  <c r="J29" i="7"/>
  <c r="J47" i="4" s="1"/>
  <c r="L145" i="7"/>
  <c r="L51" i="4" s="1"/>
  <c r="E15" i="7"/>
  <c r="E38" i="4"/>
  <c r="E42" i="4" s="1"/>
  <c r="O20" i="7"/>
  <c r="C25" i="7"/>
  <c r="C46" i="4" s="1"/>
  <c r="O24" i="7"/>
  <c r="G29" i="7"/>
  <c r="G47" i="4" s="1"/>
  <c r="O40" i="7"/>
  <c r="M145" i="7"/>
  <c r="M51" i="4" s="1"/>
  <c r="C160" i="7"/>
  <c r="C52" i="4" s="1"/>
  <c r="O147" i="7"/>
  <c r="O151" i="7"/>
  <c r="O155" i="7"/>
  <c r="O159" i="7"/>
  <c r="L160" i="7"/>
  <c r="L52" i="4" s="1"/>
  <c r="O161" i="7"/>
  <c r="C53" i="4"/>
  <c r="O53" i="4" s="1"/>
  <c r="R53" i="4" s="1"/>
  <c r="I160" i="7"/>
  <c r="I52" i="4" s="1"/>
  <c r="O150" i="7"/>
  <c r="O154" i="7"/>
  <c r="O158" i="7"/>
  <c r="F160" i="7"/>
  <c r="F52" i="4" s="1"/>
  <c r="K30" i="10"/>
  <c r="K38" i="10" s="1"/>
  <c r="K46" i="6"/>
  <c r="C32" i="10"/>
  <c r="O32" i="10" s="1"/>
  <c r="O36" i="6"/>
  <c r="C36" i="10"/>
  <c r="O36" i="10" s="1"/>
  <c r="O40" i="6"/>
  <c r="O44" i="6"/>
  <c r="L55" i="6"/>
  <c r="J148" i="6"/>
  <c r="D18" i="6"/>
  <c r="D10" i="3" s="1"/>
  <c r="F28" i="6"/>
  <c r="O49" i="6"/>
  <c r="O53" i="6"/>
  <c r="K148" i="6"/>
  <c r="O60" i="6"/>
  <c r="O64" i="6"/>
  <c r="O68" i="6"/>
  <c r="O72" i="6"/>
  <c r="O76" i="6"/>
  <c r="O80" i="6"/>
  <c r="O84" i="6"/>
  <c r="O88" i="6"/>
  <c r="O92" i="6"/>
  <c r="O96" i="6"/>
  <c r="O100" i="6"/>
  <c r="O104" i="6"/>
  <c r="O108" i="6"/>
  <c r="O112" i="6"/>
  <c r="O116" i="6"/>
  <c r="O120" i="6"/>
  <c r="O124" i="6"/>
  <c r="O128" i="6"/>
  <c r="O132" i="6"/>
  <c r="O136" i="6"/>
  <c r="O140" i="6"/>
  <c r="O144" i="6"/>
  <c r="E163" i="6"/>
  <c r="E18" i="6"/>
  <c r="E10" i="3" s="1"/>
  <c r="O23" i="6"/>
  <c r="C28" i="6"/>
  <c r="O27" i="6"/>
  <c r="G32" i="6"/>
  <c r="C31" i="10"/>
  <c r="O31" i="10" s="1"/>
  <c r="O35" i="6"/>
  <c r="C35" i="10"/>
  <c r="O35" i="10" s="1"/>
  <c r="O39" i="6"/>
  <c r="O43" i="6"/>
  <c r="L148" i="6"/>
  <c r="F163" i="6"/>
  <c r="O154" i="6"/>
  <c r="F18" i="6"/>
  <c r="F10" i="3" s="1"/>
  <c r="D28" i="6"/>
  <c r="H32" i="6"/>
  <c r="M148" i="6"/>
  <c r="C163" i="6"/>
  <c r="O150" i="6"/>
  <c r="O29" i="7" l="1"/>
  <c r="F56" i="6"/>
  <c r="F166" i="6" s="1"/>
  <c r="F11" i="3" s="1"/>
  <c r="E56" i="6"/>
  <c r="E166" i="6" s="1"/>
  <c r="E11" i="3" s="1"/>
  <c r="O32" i="6"/>
  <c r="K56" i="6"/>
  <c r="K166" i="6" s="1"/>
  <c r="K11" i="3" s="1"/>
  <c r="I50" i="4"/>
  <c r="I55" i="4" s="1"/>
  <c r="H50" i="4"/>
  <c r="H55" i="4" s="1"/>
  <c r="N56" i="6"/>
  <c r="N166" i="6" s="1"/>
  <c r="N11" i="3" s="1"/>
  <c r="D56" i="6"/>
  <c r="D166" i="6" s="1"/>
  <c r="D11" i="3" s="1"/>
  <c r="C56" i="6"/>
  <c r="C166" i="6" s="1"/>
  <c r="C11" i="3" s="1"/>
  <c r="C53" i="7"/>
  <c r="C163" i="7" s="1"/>
  <c r="I53" i="7"/>
  <c r="I163" i="7" s="1"/>
  <c r="M56" i="6"/>
  <c r="M166" i="6" s="1"/>
  <c r="M11" i="3" s="1"/>
  <c r="O43" i="7"/>
  <c r="I56" i="6"/>
  <c r="I166" i="6" s="1"/>
  <c r="I11" i="3" s="1"/>
  <c r="Q54" i="4"/>
  <c r="R54" i="4"/>
  <c r="O47" i="4"/>
  <c r="R47" i="4" s="1"/>
  <c r="L56" i="6"/>
  <c r="L166" i="6" s="1"/>
  <c r="L11" i="3" s="1"/>
  <c r="K53" i="7"/>
  <c r="K163" i="7" s="1"/>
  <c r="N53" i="7"/>
  <c r="N163" i="7" s="1"/>
  <c r="G56" i="6"/>
  <c r="G166" i="6" s="1"/>
  <c r="G11" i="3" s="1"/>
  <c r="J56" i="6"/>
  <c r="J166" i="6" s="1"/>
  <c r="J11" i="3" s="1"/>
  <c r="J53" i="7"/>
  <c r="J163" i="7" s="1"/>
  <c r="M53" i="7"/>
  <c r="M163" i="7" s="1"/>
  <c r="L53" i="7"/>
  <c r="L163" i="7" s="1"/>
  <c r="O52" i="4"/>
  <c r="R52" i="4" s="1"/>
  <c r="C50" i="4"/>
  <c r="O46" i="4"/>
  <c r="F50" i="4"/>
  <c r="F55" i="4" s="1"/>
  <c r="H53" i="7"/>
  <c r="H163" i="7" s="1"/>
  <c r="R39" i="4"/>
  <c r="Q39" i="4"/>
  <c r="O148" i="6"/>
  <c r="C38" i="10"/>
  <c r="O30" i="10"/>
  <c r="O55" i="6"/>
  <c r="H56" i="6"/>
  <c r="H166" i="6" s="1"/>
  <c r="H11" i="3" s="1"/>
  <c r="O49" i="4"/>
  <c r="G50" i="4"/>
  <c r="G55" i="4" s="1"/>
  <c r="M50" i="4"/>
  <c r="M55" i="4" s="1"/>
  <c r="L50" i="4"/>
  <c r="L55" i="4" s="1"/>
  <c r="C42" i="4"/>
  <c r="O42" i="4" s="1"/>
  <c r="O38" i="4"/>
  <c r="O28" i="6"/>
  <c r="O163" i="6"/>
  <c r="O25" i="7"/>
  <c r="F53" i="7"/>
  <c r="F163" i="7" s="1"/>
  <c r="C10" i="3"/>
  <c r="D53" i="7"/>
  <c r="D163" i="7" s="1"/>
  <c r="O52" i="7"/>
  <c r="G53" i="7"/>
  <c r="G163" i="7" s="1"/>
  <c r="O145" i="7"/>
  <c r="E53" i="7"/>
  <c r="E163" i="7" s="1"/>
  <c r="O15" i="7"/>
  <c r="O160" i="7"/>
  <c r="O48" i="4"/>
  <c r="O18" i="6"/>
  <c r="O46" i="6"/>
  <c r="K50" i="4"/>
  <c r="K55" i="4" s="1"/>
  <c r="N50" i="4"/>
  <c r="N55" i="4" s="1"/>
  <c r="D50" i="4"/>
  <c r="D55" i="4" s="1"/>
  <c r="J50" i="4"/>
  <c r="J55" i="4" s="1"/>
  <c r="O51" i="4"/>
  <c r="E50" i="4"/>
  <c r="E55" i="4" s="1"/>
  <c r="D10" i="6" l="1"/>
  <c r="D8" i="3" s="1"/>
  <c r="D13" i="3" s="1"/>
  <c r="C13" i="3"/>
  <c r="O53" i="7"/>
  <c r="O163" i="7" s="1"/>
  <c r="O56" i="6"/>
  <c r="O166" i="6" s="1"/>
  <c r="P15" i="7"/>
  <c r="P13" i="7"/>
  <c r="P11" i="7"/>
  <c r="P14" i="7"/>
  <c r="P12" i="7"/>
  <c r="Q49" i="4"/>
  <c r="R49" i="4"/>
  <c r="Q48" i="4"/>
  <c r="R48" i="4"/>
  <c r="Q46" i="4"/>
  <c r="R46" i="4"/>
  <c r="O38" i="10"/>
  <c r="C39" i="10"/>
  <c r="D8" i="10" s="1"/>
  <c r="D39" i="10" s="1"/>
  <c r="E8" i="10" s="1"/>
  <c r="E39" i="10" s="1"/>
  <c r="F8" i="10" s="1"/>
  <c r="F39" i="10" s="1"/>
  <c r="G8" i="10" s="1"/>
  <c r="G39" i="10" s="1"/>
  <c r="H8" i="10" s="1"/>
  <c r="H39" i="10" s="1"/>
  <c r="I8" i="10" s="1"/>
  <c r="I39" i="10" s="1"/>
  <c r="J8" i="10" s="1"/>
  <c r="J39" i="10" s="1"/>
  <c r="K8" i="10" s="1"/>
  <c r="K39" i="10" s="1"/>
  <c r="L8" i="10" s="1"/>
  <c r="L39" i="10" s="1"/>
  <c r="M8" i="10" s="1"/>
  <c r="M39" i="10" s="1"/>
  <c r="N8" i="10" s="1"/>
  <c r="N39" i="10" s="1"/>
  <c r="C17" i="3" s="1"/>
  <c r="C55" i="4"/>
  <c r="O55" i="4" s="1"/>
  <c r="O50" i="4"/>
  <c r="P17" i="6"/>
  <c r="P15" i="6"/>
  <c r="P18" i="6"/>
  <c r="P16" i="6"/>
  <c r="P14" i="6"/>
  <c r="Q38" i="4"/>
  <c r="R38" i="4"/>
  <c r="R51" i="4"/>
  <c r="Q51" i="4"/>
  <c r="Q42" i="4"/>
  <c r="R42" i="4"/>
  <c r="E10" i="6" l="1"/>
  <c r="F10" i="6" s="1"/>
  <c r="P162" i="6"/>
  <c r="P164" i="6"/>
  <c r="P159" i="6"/>
  <c r="P43" i="6"/>
  <c r="P32" i="6"/>
  <c r="P148" i="6"/>
  <c r="P138" i="6"/>
  <c r="P128" i="6"/>
  <c r="P116" i="6"/>
  <c r="P106" i="6"/>
  <c r="P96" i="6"/>
  <c r="P84" i="6"/>
  <c r="P74" i="6"/>
  <c r="P64" i="6"/>
  <c r="P51" i="6"/>
  <c r="P44" i="6"/>
  <c r="P34" i="6"/>
  <c r="P154" i="6"/>
  <c r="P143" i="6"/>
  <c r="P133" i="6"/>
  <c r="P121" i="6"/>
  <c r="P111" i="6"/>
  <c r="P101" i="6"/>
  <c r="P89" i="6"/>
  <c r="P79" i="6"/>
  <c r="P69" i="6"/>
  <c r="P56" i="6"/>
  <c r="P160" i="6"/>
  <c r="P146" i="6"/>
  <c r="P124" i="6"/>
  <c r="P104" i="6"/>
  <c r="P82" i="6"/>
  <c r="P49" i="6"/>
  <c r="P152" i="6"/>
  <c r="P119" i="6"/>
  <c r="P97" i="6"/>
  <c r="P65" i="6"/>
  <c r="P155" i="6"/>
  <c r="P25" i="6"/>
  <c r="P132" i="6"/>
  <c r="P112" i="6"/>
  <c r="P90" i="6"/>
  <c r="P68" i="6"/>
  <c r="P47" i="6"/>
  <c r="P26" i="6"/>
  <c r="P137" i="6"/>
  <c r="P117" i="6"/>
  <c r="P95" i="6"/>
  <c r="P73" i="6"/>
  <c r="P52" i="6"/>
  <c r="P41" i="6"/>
  <c r="P27" i="6"/>
  <c r="P136" i="6"/>
  <c r="P114" i="6"/>
  <c r="P72" i="6"/>
  <c r="P42" i="6"/>
  <c r="P141" i="6"/>
  <c r="P87" i="6"/>
  <c r="P165" i="6"/>
  <c r="P37" i="6"/>
  <c r="P144" i="6"/>
  <c r="P122" i="6"/>
  <c r="P100" i="6"/>
  <c r="P80" i="6"/>
  <c r="P58" i="6"/>
  <c r="P38" i="6"/>
  <c r="P150" i="6"/>
  <c r="P127" i="6"/>
  <c r="P105" i="6"/>
  <c r="P85" i="6"/>
  <c r="P63" i="6"/>
  <c r="P166" i="6"/>
  <c r="P163" i="6"/>
  <c r="P45" i="6"/>
  <c r="P35" i="6"/>
  <c r="P23" i="6"/>
  <c r="P140" i="6"/>
  <c r="P130" i="6"/>
  <c r="P120" i="6"/>
  <c r="P108" i="6"/>
  <c r="P98" i="6"/>
  <c r="P88" i="6"/>
  <c r="P76" i="6"/>
  <c r="P66" i="6"/>
  <c r="P55" i="6"/>
  <c r="P46" i="6"/>
  <c r="P36" i="6"/>
  <c r="P24" i="6"/>
  <c r="P145" i="6"/>
  <c r="P135" i="6"/>
  <c r="P125" i="6"/>
  <c r="P113" i="6"/>
  <c r="P103" i="6"/>
  <c r="P93" i="6"/>
  <c r="P81" i="6"/>
  <c r="P71" i="6"/>
  <c r="P61" i="6"/>
  <c r="P48" i="6"/>
  <c r="P157" i="6"/>
  <c r="P92" i="6"/>
  <c r="P60" i="6"/>
  <c r="P28" i="6"/>
  <c r="P129" i="6"/>
  <c r="P109" i="6"/>
  <c r="P77" i="6"/>
  <c r="P54" i="6"/>
  <c r="P50" i="6"/>
  <c r="P59" i="6"/>
  <c r="P67" i="6"/>
  <c r="P75" i="6"/>
  <c r="P83" i="6"/>
  <c r="P91" i="6"/>
  <c r="P99" i="6"/>
  <c r="P107" i="6"/>
  <c r="P115" i="6"/>
  <c r="P123" i="6"/>
  <c r="P131" i="6"/>
  <c r="P139" i="6"/>
  <c r="P147" i="6"/>
  <c r="P156" i="6"/>
  <c r="P31" i="6"/>
  <c r="P40" i="6"/>
  <c r="P153" i="6"/>
  <c r="P53" i="6"/>
  <c r="P62" i="6"/>
  <c r="P70" i="6"/>
  <c r="P78" i="6"/>
  <c r="P86" i="6"/>
  <c r="P94" i="6"/>
  <c r="P102" i="6"/>
  <c r="P110" i="6"/>
  <c r="P118" i="6"/>
  <c r="P126" i="6"/>
  <c r="P134" i="6"/>
  <c r="P142" i="6"/>
  <c r="P151" i="6"/>
  <c r="P30" i="6"/>
  <c r="P39" i="6"/>
  <c r="P158" i="6"/>
  <c r="P161" i="6"/>
  <c r="D42" i="5"/>
  <c r="C47" i="5" s="1"/>
  <c r="D43" i="5"/>
  <c r="C48" i="5" s="1"/>
  <c r="Q50" i="4"/>
  <c r="R50" i="4"/>
  <c r="R55" i="4"/>
  <c r="Q55" i="4"/>
  <c r="P162" i="7"/>
  <c r="P161" i="7"/>
  <c r="P159" i="7"/>
  <c r="P163" i="7"/>
  <c r="P158" i="7"/>
  <c r="P156" i="7"/>
  <c r="P154" i="7"/>
  <c r="P152" i="7"/>
  <c r="P150" i="7"/>
  <c r="P148" i="7"/>
  <c r="P145" i="7"/>
  <c r="P143" i="7"/>
  <c r="P141" i="7"/>
  <c r="P139" i="7"/>
  <c r="P137" i="7"/>
  <c r="P135" i="7"/>
  <c r="P133" i="7"/>
  <c r="P131" i="7"/>
  <c r="P129" i="7"/>
  <c r="P127" i="7"/>
  <c r="P125" i="7"/>
  <c r="P123" i="7"/>
  <c r="P121" i="7"/>
  <c r="P119" i="7"/>
  <c r="P117" i="7"/>
  <c r="P115" i="7"/>
  <c r="P113" i="7"/>
  <c r="P111" i="7"/>
  <c r="P157" i="7"/>
  <c r="P155" i="7"/>
  <c r="P153" i="7"/>
  <c r="P151" i="7"/>
  <c r="P149" i="7"/>
  <c r="P147" i="7"/>
  <c r="P144" i="7"/>
  <c r="P142" i="7"/>
  <c r="P140" i="7"/>
  <c r="P138" i="7"/>
  <c r="P136" i="7"/>
  <c r="P134" i="7"/>
  <c r="P132" i="7"/>
  <c r="P130" i="7"/>
  <c r="P128" i="7"/>
  <c r="P126" i="7"/>
  <c r="P124" i="7"/>
  <c r="P122" i="7"/>
  <c r="P120" i="7"/>
  <c r="P118" i="7"/>
  <c r="P116" i="7"/>
  <c r="P114" i="7"/>
  <c r="P112" i="7"/>
  <c r="P160" i="7"/>
  <c r="P109" i="7"/>
  <c r="P107" i="7"/>
  <c r="P105" i="7"/>
  <c r="P103" i="7"/>
  <c r="P101" i="7"/>
  <c r="P99" i="7"/>
  <c r="P97" i="7"/>
  <c r="P95" i="7"/>
  <c r="P93" i="7"/>
  <c r="P91" i="7"/>
  <c r="P89" i="7"/>
  <c r="P87" i="7"/>
  <c r="P85" i="7"/>
  <c r="P83" i="7"/>
  <c r="P81" i="7"/>
  <c r="P79" i="7"/>
  <c r="P77" i="7"/>
  <c r="P75" i="7"/>
  <c r="P73" i="7"/>
  <c r="P71" i="7"/>
  <c r="P69" i="7"/>
  <c r="P67" i="7"/>
  <c r="P65" i="7"/>
  <c r="P63" i="7"/>
  <c r="P61" i="7"/>
  <c r="P59" i="7"/>
  <c r="P57" i="7"/>
  <c r="P55" i="7"/>
  <c r="P52" i="7"/>
  <c r="P50" i="7"/>
  <c r="P48" i="7"/>
  <c r="P46" i="7"/>
  <c r="P43" i="7"/>
  <c r="P41" i="7"/>
  <c r="P39" i="7"/>
  <c r="P37" i="7"/>
  <c r="P35" i="7"/>
  <c r="P33" i="7"/>
  <c r="P31" i="7"/>
  <c r="P28" i="7"/>
  <c r="P25" i="7"/>
  <c r="P23" i="7"/>
  <c r="P21" i="7"/>
  <c r="P110" i="7"/>
  <c r="P108" i="7"/>
  <c r="P106" i="7"/>
  <c r="P104" i="7"/>
  <c r="P102" i="7"/>
  <c r="P100" i="7"/>
  <c r="P98" i="7"/>
  <c r="P96" i="7"/>
  <c r="P94" i="7"/>
  <c r="P92" i="7"/>
  <c r="P90" i="7"/>
  <c r="P88" i="7"/>
  <c r="P86" i="7"/>
  <c r="P84" i="7"/>
  <c r="P82" i="7"/>
  <c r="P80" i="7"/>
  <c r="P78" i="7"/>
  <c r="P76" i="7"/>
  <c r="P74" i="7"/>
  <c r="P72" i="7"/>
  <c r="P70" i="7"/>
  <c r="P68" i="7"/>
  <c r="P66" i="7"/>
  <c r="P64" i="7"/>
  <c r="P62" i="7"/>
  <c r="P60" i="7"/>
  <c r="P58" i="7"/>
  <c r="P56" i="7"/>
  <c r="P53" i="7"/>
  <c r="P51" i="7"/>
  <c r="P49" i="7"/>
  <c r="P47" i="7"/>
  <c r="P45" i="7"/>
  <c r="P42" i="7"/>
  <c r="P40" i="7"/>
  <c r="P38" i="7"/>
  <c r="P36" i="7"/>
  <c r="P34" i="7"/>
  <c r="P32" i="7"/>
  <c r="P29" i="7"/>
  <c r="P27" i="7"/>
  <c r="P24" i="7"/>
  <c r="P22" i="7"/>
  <c r="P20" i="7"/>
  <c r="E8" i="3" l="1"/>
  <c r="E13" i="3" s="1"/>
  <c r="C29" i="3" s="1"/>
  <c r="G10" i="6"/>
  <c r="F8" i="3"/>
  <c r="F13" i="3" s="1"/>
  <c r="H10" i="6" l="1"/>
  <c r="G8" i="3"/>
  <c r="G13" i="3" s="1"/>
  <c r="I10" i="6" l="1"/>
  <c r="H8" i="3"/>
  <c r="H13" i="3" s="1"/>
  <c r="D29" i="3" s="1"/>
  <c r="J10" i="6" l="1"/>
  <c r="I8" i="3"/>
  <c r="I13" i="3" s="1"/>
  <c r="K10" i="6" l="1"/>
  <c r="J8" i="3"/>
  <c r="J13" i="3" s="1"/>
  <c r="L10" i="6" l="1"/>
  <c r="K8" i="3"/>
  <c r="K13" i="3" s="1"/>
  <c r="E29" i="3" s="1"/>
  <c r="M10" i="6" l="1"/>
  <c r="L8" i="3"/>
  <c r="L13" i="3" s="1"/>
  <c r="N10" i="6" l="1"/>
  <c r="M8" i="3"/>
  <c r="M13" i="3" s="1"/>
  <c r="N8" i="3" l="1"/>
  <c r="N13" i="3" s="1"/>
  <c r="F29" i="3" s="1"/>
  <c r="O10" i="6"/>
  <c r="P10" i="6" s="1"/>
  <c r="F10" i="17" l="1"/>
  <c r="C19" i="3"/>
  <c r="R2271" i="11"/>
  <c r="R2270" i="11"/>
  <c r="R2269" i="11"/>
  <c r="R2268" i="11"/>
  <c r="R2267" i="11"/>
  <c r="R2266" i="11"/>
  <c r="R2265" i="11"/>
  <c r="R2264" i="11"/>
  <c r="R2263" i="11"/>
  <c r="R2262" i="11"/>
  <c r="R2261" i="11"/>
  <c r="R2260" i="11"/>
  <c r="R2259" i="11"/>
  <c r="R2258" i="11"/>
  <c r="R2257" i="11"/>
  <c r="R2256" i="11"/>
  <c r="R2255" i="11"/>
  <c r="R2254" i="11"/>
  <c r="R2253" i="11"/>
  <c r="R2252" i="11"/>
  <c r="R2251" i="11"/>
  <c r="R2250" i="11"/>
  <c r="R2249" i="11"/>
  <c r="R2248" i="11"/>
  <c r="R2247" i="11"/>
  <c r="R2246" i="11"/>
  <c r="R2245" i="11"/>
  <c r="R2244" i="11"/>
  <c r="R2243" i="11"/>
  <c r="R2242" i="11"/>
  <c r="R2241" i="11"/>
  <c r="R2240" i="11"/>
  <c r="R2239" i="11"/>
  <c r="R2238" i="11"/>
  <c r="R2237" i="11"/>
  <c r="R2236" i="11"/>
  <c r="R2235" i="11"/>
  <c r="R2234" i="11"/>
  <c r="R2233" i="11"/>
  <c r="R2232" i="11"/>
  <c r="R2231" i="11"/>
  <c r="R2230" i="11"/>
  <c r="R2229" i="11"/>
  <c r="R2228" i="11"/>
  <c r="R2227" i="11"/>
  <c r="R2226" i="11"/>
  <c r="R2225" i="11"/>
  <c r="R2224" i="11"/>
  <c r="R2223" i="11"/>
  <c r="R2222" i="11"/>
  <c r="R2221" i="11"/>
  <c r="R2220" i="11"/>
  <c r="R2219" i="11"/>
  <c r="R2218" i="11"/>
  <c r="R2217" i="11"/>
  <c r="R2216" i="11"/>
  <c r="R2215" i="11"/>
  <c r="R2214" i="11"/>
  <c r="R2213" i="11"/>
  <c r="R2212" i="11"/>
  <c r="R2211" i="11"/>
  <c r="R2210" i="11"/>
  <c r="R2209" i="11"/>
  <c r="R2208" i="11"/>
  <c r="R2207" i="11"/>
  <c r="R2206" i="11"/>
  <c r="R2205" i="11"/>
  <c r="R2204" i="11"/>
  <c r="R2203" i="11"/>
  <c r="R2202" i="11"/>
  <c r="R2201" i="11"/>
  <c r="R2200" i="11"/>
  <c r="R2199" i="11"/>
  <c r="R2198" i="11"/>
  <c r="R2197" i="11"/>
  <c r="R2196" i="11"/>
  <c r="R2195" i="11"/>
  <c r="R2194" i="11"/>
  <c r="R2193" i="11"/>
  <c r="R2192" i="11"/>
  <c r="R2191" i="11"/>
  <c r="R2190" i="11"/>
  <c r="R2189" i="11"/>
  <c r="R2188" i="11"/>
  <c r="R2187" i="11"/>
  <c r="R2186" i="11"/>
  <c r="R2185" i="11"/>
  <c r="R2184" i="11"/>
  <c r="R2183" i="11"/>
  <c r="R2182" i="11"/>
  <c r="R2181" i="11"/>
  <c r="R2180" i="11"/>
  <c r="R2179" i="11"/>
  <c r="R2178" i="11"/>
  <c r="R2177" i="11"/>
  <c r="R2176" i="11"/>
  <c r="R2175" i="11"/>
  <c r="R2174" i="11"/>
  <c r="R2173" i="11"/>
  <c r="R2172" i="11"/>
  <c r="R2171" i="11"/>
  <c r="R2170" i="11"/>
  <c r="R2169" i="11"/>
  <c r="R2168" i="11"/>
  <c r="R2167" i="11"/>
  <c r="R2166" i="11"/>
  <c r="R2165" i="11"/>
  <c r="R2164" i="11"/>
  <c r="R2163" i="11"/>
  <c r="R2162" i="11"/>
  <c r="R2161" i="11"/>
  <c r="R2160" i="11"/>
  <c r="R2159" i="11"/>
  <c r="R2158" i="11"/>
  <c r="R2157" i="11"/>
  <c r="R2156" i="11"/>
  <c r="R2155" i="11"/>
  <c r="R2154" i="11"/>
  <c r="R2153" i="11"/>
  <c r="R2152" i="11"/>
  <c r="R2151" i="11"/>
  <c r="R2150" i="11"/>
  <c r="R2149" i="11"/>
  <c r="R2148" i="11"/>
  <c r="R2147" i="11"/>
  <c r="R2146" i="11"/>
  <c r="R2145" i="11"/>
  <c r="R2144" i="11"/>
  <c r="R2143" i="11"/>
  <c r="R2142" i="11"/>
  <c r="R2141" i="11"/>
  <c r="R2140" i="11"/>
  <c r="R2139" i="11"/>
  <c r="R2138" i="11"/>
  <c r="R2137" i="11"/>
  <c r="R2136" i="11"/>
  <c r="R2135" i="11"/>
  <c r="R2134" i="11"/>
  <c r="R2133" i="11"/>
  <c r="R2132" i="11"/>
  <c r="R2131" i="11"/>
  <c r="R2130" i="11"/>
  <c r="R2129" i="11"/>
  <c r="R2128" i="11"/>
  <c r="R2127" i="11"/>
  <c r="R2126" i="11"/>
  <c r="R2125" i="11"/>
  <c r="R2124" i="11"/>
  <c r="R2123" i="11"/>
  <c r="R2122" i="11"/>
  <c r="R2121" i="11"/>
  <c r="R2120" i="11"/>
  <c r="R2119" i="11"/>
  <c r="R2118" i="11"/>
  <c r="R2117" i="11"/>
  <c r="R2116" i="11"/>
  <c r="R2115" i="11"/>
  <c r="R2114" i="11"/>
  <c r="R2113" i="11"/>
  <c r="R2112" i="11"/>
  <c r="R2111" i="11"/>
  <c r="R2110" i="11"/>
  <c r="R2109" i="11"/>
  <c r="R2108" i="11"/>
  <c r="R2107" i="11"/>
  <c r="R2106" i="11"/>
  <c r="R2105" i="11"/>
  <c r="R2104" i="11"/>
  <c r="R2103" i="11"/>
  <c r="R2102" i="11"/>
  <c r="R2101" i="11"/>
  <c r="R2100" i="11"/>
  <c r="R2099" i="11"/>
  <c r="R2098" i="11"/>
  <c r="R2097" i="11"/>
  <c r="R2096" i="11"/>
  <c r="R2095" i="11"/>
  <c r="R2094" i="11"/>
  <c r="R2093" i="11"/>
  <c r="R2092" i="11"/>
  <c r="R2091" i="11"/>
  <c r="R2090" i="11"/>
  <c r="R2089" i="11"/>
  <c r="R2088" i="11"/>
  <c r="R2087" i="11"/>
  <c r="R2086" i="11"/>
  <c r="R2085" i="11"/>
  <c r="R2084" i="11"/>
  <c r="R2083" i="11"/>
  <c r="R2082" i="11"/>
  <c r="R2081" i="11"/>
  <c r="R2080" i="11"/>
  <c r="R2079" i="11"/>
  <c r="R2078" i="11"/>
  <c r="R2077" i="11"/>
  <c r="R2076" i="11"/>
  <c r="R2075" i="11"/>
  <c r="R2074" i="11"/>
  <c r="R2073" i="11"/>
  <c r="R2072" i="11"/>
  <c r="R2071" i="11"/>
  <c r="R2070" i="11"/>
  <c r="R2069" i="11"/>
  <c r="R2068" i="11"/>
  <c r="R2067" i="11"/>
  <c r="R2066" i="11"/>
  <c r="R2065" i="11"/>
  <c r="R2064" i="11"/>
  <c r="R2063" i="11"/>
  <c r="R2062" i="11"/>
  <c r="R2061" i="11"/>
  <c r="R2488" i="16"/>
</calcChain>
</file>

<file path=xl/comments1.xml><?xml version="1.0" encoding="utf-8"?>
<comments xmlns="http://schemas.openxmlformats.org/spreadsheetml/2006/main">
  <authors>
    <author>Andreia Santos</author>
  </authors>
  <commentList>
    <comment ref="D20" authorId="0" shapeId="0">
      <text>
        <r>
          <rPr>
            <b/>
            <sz val="9"/>
            <color indexed="81"/>
            <rFont val="Segoe UI"/>
            <family val="2"/>
          </rPr>
          <t>Andreia Santos:</t>
        </r>
        <r>
          <rPr>
            <sz val="9"/>
            <color indexed="81"/>
            <rFont val="Segoe UI"/>
            <family val="2"/>
          </rPr>
          <t xml:space="preserve">
Aguardando readequação</t>
        </r>
      </text>
    </comment>
    <comment ref="C25" authorId="0" shapeId="0">
      <text>
        <r>
          <rPr>
            <b/>
            <sz val="9"/>
            <color indexed="81"/>
            <rFont val="Segoe UI"/>
            <family val="2"/>
          </rPr>
          <t>Andreia Santos:</t>
        </r>
        <r>
          <rPr>
            <sz val="9"/>
            <color indexed="81"/>
            <rFont val="Segoe UI"/>
            <family val="2"/>
          </rPr>
          <t xml:space="preserve">
Aguardando readequação</t>
        </r>
      </text>
    </comment>
    <comment ref="E119" authorId="0" shapeId="0">
      <text>
        <r>
          <rPr>
            <b/>
            <sz val="9"/>
            <color indexed="81"/>
            <rFont val="Segoe UI"/>
            <family val="2"/>
          </rPr>
          <t>Andreia Santos:</t>
        </r>
        <r>
          <rPr>
            <sz val="9"/>
            <color indexed="81"/>
            <rFont val="Segoe UI"/>
            <family val="2"/>
          </rPr>
          <t xml:space="preserve">
Verificar quanto a este valor comprometido pelo CG</t>
        </r>
      </text>
    </comment>
  </commentList>
  <extLst>
    <ext xmlns:r="http://schemas.openxmlformats.org/officeDocument/2006/relationships" uri="GoogleSheetsCustomDataVersion1">
      <go:sheetsCustomData xmlns:go="http://customooxmlschemas.google.com/" r:id="rId1" roundtripDataSignature="AMtx7mibIilGDyc7cLiI0NCKV6LVO69gIQ=="/>
    </ext>
  </extLst>
</comments>
</file>

<file path=xl/sharedStrings.xml><?xml version="1.0" encoding="utf-8"?>
<sst xmlns="http://schemas.openxmlformats.org/spreadsheetml/2006/main" count="72155" uniqueCount="7438">
  <si>
    <t>Contrato de Gestão nº. 05/20 celebrado entre a Fundação Clóvis Salgado e a Associação Pró-Cultura e Promoção das Artes</t>
  </si>
  <si>
    <t>7º Relatório Gerencial Financeiro</t>
  </si>
  <si>
    <t>Período Avaliatório</t>
  </si>
  <si>
    <t xml:space="preserve">Data de entrega à Comissão de Monitoramento: </t>
  </si>
  <si>
    <t>Relatório Gerencial Financeiro | Belo Horizonte | Versão 1.4 | Março | 2021 |</t>
  </si>
  <si>
    <t>5º Relatório Gerencial Financeiro</t>
  </si>
  <si>
    <t>6º Relatório Gerencial Financeiro</t>
  </si>
  <si>
    <t>8º Relatório Gerencial Financeiro</t>
  </si>
  <si>
    <t>Análise das Despesas e Receitas do Período</t>
  </si>
  <si>
    <t>Tabela 1 - Resumo das Movimentações Financeiras no Período em Regime de Caixa</t>
  </si>
  <si>
    <t>Mês 1</t>
  </si>
  <si>
    <t>Mês 2</t>
  </si>
  <si>
    <t>Mês 3</t>
  </si>
  <si>
    <t>Mês 4</t>
  </si>
  <si>
    <t>Mês 5</t>
  </si>
  <si>
    <t>Mês 6</t>
  </si>
  <si>
    <t>Mês 7</t>
  </si>
  <si>
    <t>Mês 8</t>
  </si>
  <si>
    <t>Mês 9</t>
  </si>
  <si>
    <t>Mês 10</t>
  </si>
  <si>
    <t>Mês 11</t>
  </si>
  <si>
    <t>Mês 12</t>
  </si>
  <si>
    <t>a</t>
  </si>
  <si>
    <t>(T)</t>
  </si>
  <si>
    <t>Transporte de Saldo Acumulado Anterior</t>
  </si>
  <si>
    <t>(E)</t>
  </si>
  <si>
    <t>Total de Entradas de Recursos</t>
  </si>
  <si>
    <t>(S)</t>
  </si>
  <si>
    <t>Total de Saídas de Recursos</t>
  </si>
  <si>
    <t>(SA)</t>
  </si>
  <si>
    <t>Saldo Acumulado (T+E-S)</t>
  </si>
  <si>
    <t>(TA)</t>
  </si>
  <si>
    <t>Transporte de Saldo de Recursos Arrecadados do CG</t>
  </si>
  <si>
    <t>(A)</t>
  </si>
  <si>
    <t>Saldo de Recursos Arrecadados do CG</t>
  </si>
  <si>
    <t>(PP)</t>
  </si>
  <si>
    <t>Provisonamentos de Pessoal</t>
  </si>
  <si>
    <t>(C)</t>
  </si>
  <si>
    <t>Recursos Comprometidos</t>
  </si>
  <si>
    <t>(SR)</t>
  </si>
  <si>
    <t>Saldo Remanescente (SA-A-PP-C)</t>
  </si>
  <si>
    <t>Composição Financeira do Saldo Acumulado (SF)</t>
  </si>
  <si>
    <t>5º PA</t>
  </si>
  <si>
    <t>6º PA</t>
  </si>
  <si>
    <t>7º PA</t>
  </si>
  <si>
    <t>8º PA</t>
  </si>
  <si>
    <t>Saldo Extrato C/C no período</t>
  </si>
  <si>
    <t>Saldo Extrato CI no período</t>
  </si>
  <si>
    <t>Saldo Fundo Fixo no período</t>
  </si>
  <si>
    <t>(SF)</t>
  </si>
  <si>
    <t>( = ) Saldo Financeiro no período</t>
  </si>
  <si>
    <t>(G)</t>
  </si>
  <si>
    <t>CONFERENCIA (SA) - (SF) = 0,00</t>
  </si>
  <si>
    <t xml:space="preserve">                                                                                                                                                                    </t>
  </si>
  <si>
    <t>Movimentação Financeira da Reserva de Recursos</t>
  </si>
  <si>
    <t xml:space="preserve">                                                                                                    </t>
  </si>
  <si>
    <t>Transporte de Saldo da Reserva de Recursos</t>
  </si>
  <si>
    <t>Transferência para Reserva de Recursos</t>
  </si>
  <si>
    <t>Rendimentos Financeiros da Reserva de Recursos</t>
  </si>
  <si>
    <t>Gastos da Reserva de Recursos</t>
  </si>
  <si>
    <t>Saldo da Reserva de Recursos</t>
  </si>
  <si>
    <t>Extratos Contas Bancárias</t>
  </si>
  <si>
    <t>Conta Bancária</t>
  </si>
  <si>
    <t>C/C</t>
  </si>
  <si>
    <t>CI 1</t>
  </si>
  <si>
    <t>CI 2</t>
  </si>
  <si>
    <t>Total</t>
  </si>
  <si>
    <t>16121-7 - Contrato de Gestão</t>
  </si>
  <si>
    <t>15556-x - Manutenção das Atividades Corpo Artísticos Pronac: 18.5397</t>
  </si>
  <si>
    <t>16375-9 - Programa de Artes Visuais da Fundação Clóvis Salgado Pronac: 17.7912</t>
  </si>
  <si>
    <t>16185-3 - Cine Humberto Mauro - Programação e Fomento 2018 Pronac: 17.8919</t>
  </si>
  <si>
    <t>16517-4 - Área Meio - Projetos Meta do Contrato de Gestão</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</si>
  <si>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</si>
  <si>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</si>
  <si>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</si>
  <si>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</si>
  <si>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</si>
  <si>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</si>
  <si>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</si>
  <si>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</si>
  <si>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</si>
  <si>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</si>
  <si>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</si>
  <si>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</si>
  <si>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</si>
  <si>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</si>
  <si>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</si>
  <si>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</si>
  <si>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</si>
  <si>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</si>
  <si>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</si>
  <si>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</si>
  <si>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</si>
  <si>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</si>
  <si>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</si>
  <si>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</si>
  <si>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</si>
  <si>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</si>
  <si>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</si>
  <si>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</si>
  <si>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</si>
  <si>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</si>
  <si>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</si>
  <si>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2.5</t>
  </si>
  <si>
    <t>Gastos custeados por captação</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</si>
  <si>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</si>
  <si>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</si>
  <si>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</si>
  <si>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</si>
  <si>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</si>
  <si>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</si>
  <si>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</si>
  <si>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Valor</t>
  </si>
  <si>
    <t>Acumulado
dos Períodos Anteriores</t>
  </si>
  <si>
    <t>N/A</t>
  </si>
  <si>
    <t>Área Meio - Atividades e Gastos</t>
  </si>
  <si>
    <t>DIART Apoio à produção artística da Orquestra Sinfônica de Minas Gerais</t>
  </si>
  <si>
    <t>DIART Apoio à produção artística do Coral Lírico de Minas Gerais</t>
  </si>
  <si>
    <t>DIART Apoio à produção artística da Cia de Dança Palácio das Artes</t>
  </si>
  <si>
    <t>DIART Apresentações da série Sinfônica Pop</t>
  </si>
  <si>
    <t>DIART Récitas de Óperas</t>
  </si>
  <si>
    <t>CEFART Apoio aos Cursos Regulares</t>
  </si>
  <si>
    <t>CEFART Apoio à formação e extensão da Escola de Artes Visuais</t>
  </si>
  <si>
    <t>CEFART Apoio à formação e extensão da Escola de Dança</t>
  </si>
  <si>
    <t>CEFART Apoio à formação e extensão da Escola de Música</t>
  </si>
  <si>
    <t>CEFART Apoio à formação e extensão da Escola de Teatro</t>
  </si>
  <si>
    <t>CEFART Apoio à formação e extensão da Escola de Tecnologia do Espetáculo</t>
  </si>
  <si>
    <t>CEFART Apoio à formação e pesquisa do Programa de Residência em Pesquisas Artísticas</t>
  </si>
  <si>
    <t>CEFART Apoio às ações culturais formativas e de extensão</t>
  </si>
  <si>
    <t>Gestão do CTP Marzagão</t>
  </si>
  <si>
    <t>CEFART Apoio às ações do CTP</t>
  </si>
  <si>
    <t>DIPRO Apoio à realização das exposições da FCS</t>
  </si>
  <si>
    <t>DIPRO Mostras Especiais</t>
  </si>
  <si>
    <t>DIPRO História Permanente do Cinema</t>
  </si>
  <si>
    <t xml:space="preserve">Estudos Estratégicos </t>
  </si>
  <si>
    <t>Comunicação dos programas e atividades (condicionada à captação)</t>
  </si>
  <si>
    <t>Destinação dos Gastos do Termo de Parceria com Pessoal</t>
  </si>
  <si>
    <t>Destinação</t>
  </si>
  <si>
    <t>%</t>
  </si>
  <si>
    <t>Área Meio</t>
  </si>
  <si>
    <t>Área Fim</t>
  </si>
  <si>
    <t>Destinação dos Gastos do Termo de Parceria</t>
  </si>
  <si>
    <t>Número do Mês</t>
  </si>
  <si>
    <t>Tabela 4 - Demonstrativo Analítico das Receitas e Gastos Mensais em Regime de Caixa</t>
  </si>
  <si>
    <t>% do TOTAL</t>
  </si>
  <si>
    <t>T</t>
  </si>
  <si>
    <t>Transporte de Saldo Acumulado (SA)</t>
  </si>
  <si>
    <t>Receita Arrecadada Prevista no CG</t>
  </si>
  <si>
    <t>1.2</t>
  </si>
  <si>
    <t>(E) Total de Entradas</t>
  </si>
  <si>
    <t>Salários e Remunerações</t>
  </si>
  <si>
    <t>2.1.1.1</t>
  </si>
  <si>
    <t>2.1.1.2</t>
  </si>
  <si>
    <t>Adicional Noturno</t>
  </si>
  <si>
    <t>2.1.1.3</t>
  </si>
  <si>
    <t>Hora Extra</t>
  </si>
  <si>
    <t>2.1.1.4</t>
  </si>
  <si>
    <t>DSR sobre Hora Extra/Adic. Noturno</t>
  </si>
  <si>
    <t>2.1.1.5</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</si>
  <si>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</si>
  <si>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</si>
  <si>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</si>
  <si>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</si>
  <si>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</si>
  <si>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</si>
  <si>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</si>
  <si>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</si>
  <si>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</si>
  <si>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</si>
  <si>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</si>
  <si>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</si>
  <si>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</si>
  <si>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</si>
  <si>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</si>
  <si>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</si>
  <si>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</si>
  <si>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</si>
  <si>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</si>
  <si>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</si>
  <si>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</si>
  <si>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</si>
  <si>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</si>
  <si>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</si>
  <si>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</si>
  <si>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</si>
  <si>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</si>
  <si>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</si>
  <si>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</si>
  <si>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</si>
  <si>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</si>
  <si>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</si>
  <si>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</si>
  <si>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</si>
  <si>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</si>
  <si>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</si>
  <si>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</si>
  <si>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</si>
  <si>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</si>
  <si>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</si>
  <si>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</si>
  <si>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</si>
  <si>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</si>
  <si>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</si>
  <si>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</si>
  <si>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</si>
  <si>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</si>
  <si>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</si>
  <si>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</si>
  <si>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</si>
  <si>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</si>
  <si>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</si>
  <si>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</si>
  <si>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</si>
  <si>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</si>
  <si>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</si>
  <si>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</si>
  <si>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</si>
  <si>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</si>
  <si>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</si>
  <si>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</si>
  <si>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</si>
  <si>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</si>
  <si>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</si>
  <si>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</si>
  <si>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</si>
  <si>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</si>
  <si>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</si>
  <si>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</si>
  <si>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</si>
  <si>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</si>
  <si>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</si>
  <si>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</si>
  <si>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</si>
  <si>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</si>
  <si>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</si>
  <si>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</si>
  <si>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</si>
  <si>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</si>
  <si>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</si>
  <si>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</si>
  <si>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</si>
  <si>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</si>
  <si>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</si>
  <si>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</si>
  <si>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</si>
  <si>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</si>
  <si>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</si>
  <si>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</si>
  <si>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</si>
  <si>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</si>
  <si>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</si>
  <si>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</si>
  <si>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</si>
  <si>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</si>
  <si>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</si>
  <si>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</si>
  <si>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</si>
  <si>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</si>
  <si>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</si>
  <si>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</si>
  <si>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</si>
  <si>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</si>
  <si>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</si>
  <si>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</si>
  <si>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</si>
  <si>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</si>
  <si>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</si>
  <si>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</si>
  <si>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</si>
  <si>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</si>
  <si>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</si>
  <si>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</si>
  <si>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</si>
  <si>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</si>
  <si>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</si>
  <si>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</si>
  <si>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</si>
  <si>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</si>
  <si>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</si>
  <si>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</si>
  <si>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</si>
  <si>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</si>
  <si>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</si>
  <si>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</si>
  <si>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</si>
  <si>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</si>
  <si>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</si>
  <si>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</si>
  <si>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</si>
  <si>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</si>
  <si>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</si>
  <si>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</si>
  <si>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</si>
  <si>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</si>
  <si>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</si>
  <si>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</si>
  <si>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</si>
  <si>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</si>
  <si>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</si>
  <si>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</si>
  <si>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</si>
  <si>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</si>
  <si>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</si>
  <si>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</si>
  <si>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</si>
  <si>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</si>
  <si>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</si>
  <si>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</si>
  <si>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</si>
  <si>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</si>
  <si>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</si>
  <si>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</si>
  <si>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</si>
  <si>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</si>
  <si>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</si>
  <si>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</si>
  <si>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</si>
  <si>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</si>
  <si>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</si>
  <si>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</si>
  <si>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</si>
  <si>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</si>
  <si>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</si>
  <si>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</si>
  <si>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</si>
  <si>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</si>
  <si>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</si>
  <si>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</si>
  <si>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</si>
  <si>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</si>
  <si>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</si>
  <si>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</si>
  <si>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Aquisição de Partituras</t>
  </si>
  <si>
    <t>2.2.64</t>
  </si>
  <si>
    <t>Autoração</t>
  </si>
  <si>
    <t>2.2.65</t>
  </si>
  <si>
    <t>Cachê de Artistas e Convidados</t>
  </si>
  <si>
    <t>2.2.66</t>
  </si>
  <si>
    <t>Camareira</t>
  </si>
  <si>
    <t>2.2.67</t>
  </si>
  <si>
    <t>Cenografia</t>
  </si>
  <si>
    <t>2.2.68</t>
  </si>
  <si>
    <t>Comitês de Seleção</t>
  </si>
  <si>
    <t>2.2.69</t>
  </si>
  <si>
    <t>Criação e Confecção de Cenário</t>
  </si>
  <si>
    <t>2.2.70</t>
  </si>
  <si>
    <t>Criação e Confecção de Figurino</t>
  </si>
  <si>
    <t>2.2.71</t>
  </si>
  <si>
    <t>Curadoria</t>
  </si>
  <si>
    <t>2.2.72</t>
  </si>
  <si>
    <t>Direitos Autorais e de Exibição</t>
  </si>
  <si>
    <t>2.2.73</t>
  </si>
  <si>
    <t>Equipe para Produção e Coordenação de Eventos</t>
  </si>
  <si>
    <t>2.2.74</t>
  </si>
  <si>
    <t>Figurino</t>
  </si>
  <si>
    <t>2.2.75</t>
  </si>
  <si>
    <t>Iluminação</t>
  </si>
  <si>
    <t>2.2.76</t>
  </si>
  <si>
    <t>Instrutores, Oficineiros e Palestrantes</t>
  </si>
  <si>
    <t>2.2.77</t>
  </si>
  <si>
    <t>Locação de Equipamentos e Máquinas para Eventos</t>
  </si>
  <si>
    <t>2.2.78</t>
  </si>
  <si>
    <t>Material de consumo</t>
  </si>
  <si>
    <t>2.2.79</t>
  </si>
  <si>
    <t>Outros Gastos para Produção de Eventos</t>
  </si>
  <si>
    <t>2.2.80</t>
  </si>
  <si>
    <t>Registro videográfico ou fotográfico</t>
  </si>
  <si>
    <t>2.2.81</t>
  </si>
  <si>
    <t>Seguros</t>
  </si>
  <si>
    <t>2.2.82</t>
  </si>
  <si>
    <t>Serviços de Direção Artística</t>
  </si>
  <si>
    <t>2.2.83</t>
  </si>
  <si>
    <t>Serviços de Higienização de Figurinos</t>
  </si>
  <si>
    <t>2.2.84</t>
  </si>
  <si>
    <t>Serviços de Manutenção em Equipamentos de Produção de Eventos</t>
  </si>
  <si>
    <t>2.2.85</t>
  </si>
  <si>
    <t>Serviços de Montagem e Desmontagem de Eventos</t>
  </si>
  <si>
    <t>2.2.86</t>
  </si>
  <si>
    <t xml:space="preserve">Serviços de Tradução, Legendagem e Revisão de Texto </t>
  </si>
  <si>
    <t>2.2.87</t>
  </si>
  <si>
    <t>Serviços e Materiais de Maquiagem</t>
  </si>
  <si>
    <t>2.2.88</t>
  </si>
  <si>
    <t>Serviços Gráficos para Realização de Eventos</t>
  </si>
  <si>
    <t>2.2.89</t>
  </si>
  <si>
    <t>Serviços para Produção e Coordenação de Eventos</t>
  </si>
  <si>
    <t>2.2.90</t>
  </si>
  <si>
    <t>Sonorização</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</si>
  <si>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</si>
  <si>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</si>
  <si>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</si>
  <si>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</si>
  <si>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</si>
  <si>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</si>
  <si>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</si>
  <si>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</si>
  <si>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</si>
  <si>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</si>
  <si>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</si>
  <si>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</si>
  <si>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</si>
  <si>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</si>
  <si>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</si>
  <si>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</si>
  <si>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</si>
  <si>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</si>
  <si>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</si>
  <si>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</si>
  <si>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</si>
  <si>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</si>
  <si>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</si>
  <si>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</si>
  <si>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</si>
  <si>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</si>
  <si>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Outros Materiais Permanentes</t>
  </si>
  <si>
    <t>(S) Total de Saídas</t>
  </si>
  <si>
    <t>Tabela 5 - Demonstrativo Analítico das Receitas e Gastos Mensais em Regime de Competência</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</si>
  <si>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</si>
  <si>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</si>
  <si>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</si>
  <si>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</si>
  <si>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</si>
  <si>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</si>
  <si>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</si>
  <si>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</si>
  <si>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 xml:space="preserve">CNPJ - CPF                             </t>
  </si>
  <si>
    <t>Forma de Pagamento</t>
  </si>
  <si>
    <t>Tipo de Documento</t>
  </si>
  <si>
    <t>Nº do Documento</t>
  </si>
  <si>
    <t>Data do Documento</t>
  </si>
  <si>
    <t>Vencimento</t>
  </si>
  <si>
    <t>Mês
Comp.</t>
  </si>
  <si>
    <t>Contratação de profissional para Gestão do Sistema de Processos da Appa. Faz-se necessária a contratação de profissional para a Gestão do Sistema de Processos da Appa, em especial para desenvolvimento evolutivo do sistema de compras, criação de módulos e funcionalidades, resolução preventiva e evolutiva de demandas internas relacionadas a Tecnologia de Informação da Appa.</t>
  </si>
  <si>
    <t>Processo  564/2020 - Cub3 Inteligência Web Ltda</t>
  </si>
  <si>
    <t>14.975.725/0001-00</t>
  </si>
  <si>
    <t>Aquisição de pacote pré-pago para acesso à internet de alunos matriculados nos cursos regulares do Cefart. (140 chips de telefone).A Fundação Clóvis Salgado, por meio do Centro de Formação Artística e Tecnológica lançou, a partir de agosto, o Programa de Inclusão Digital para estudantes matriculadosnos cursos de Produção em Artes Visuais; Básico em Dança, Técnico em Dança; Coral Infantojuvenil, Básico em Música; Técnico em Teatro; e Tecnologia da Cena. Para garantir o acesso digital, faz-se necessária a aquisição de pacote de dados para internet móvel.</t>
  </si>
  <si>
    <t>Processo 528/2020 - Oi móvel S.A</t>
  </si>
  <si>
    <t>05.423.963/0001-11</t>
  </si>
  <si>
    <t>Contratação de profissional para afinação de todos os Pianos do Cefart. São 11 no total, incluindo os pianos do Cefart Liberdade.Atividade deve ser programada para o periodo de retorno das atividades presenciais em outubro.Para tanto, justifica-se a contratação de afinação de pianos para as aulas regulares.</t>
  </si>
  <si>
    <t>12.674.806/0001-44</t>
  </si>
  <si>
    <t>Contratação de empresa de motoboy para serviços de entrega e retirada de documentos.Contratação de empresa de motoboy para serviços de entrega e retirada de documentos.</t>
  </si>
  <si>
    <t>Processo 1142 -  Loggi Tecnologia LTDA</t>
  </si>
  <si>
    <t>18.277.493/0001-77</t>
  </si>
  <si>
    <t>Impressão de adesivo vinil fosco para plotagem na Grande Galeria Alberto da Veiga Guignard, formato: 30 cm x 30 cm. Incluir impressão, instalação e retirada dos adesivos. Data de instalação: até 03/11/2020, até as 12h00 / Retirada: a partir de 24/01/2021.</t>
  </si>
  <si>
    <t>Processo 907/2020 - Flag Impressão Digital Ltda</t>
  </si>
  <si>
    <t>10.356.504/0001-00</t>
  </si>
  <si>
    <t>Contratação de empresa de Telecomunicação para locação e suporte em PABX utilizado pelos colaboradores da Appa em atendimento às demandas.Contratação de uma empresa para a locação e suporte técnico em Central telefônica PABX, com aparelho digital. Tal contratação faz-se necessária para atendimento dos colaboradores e compreende a disponibilidade de central para 06 linhas analógicas , 32 ramais e 01 aparelho digital para os mesmos. A locação será aditivada nas mesmas condições comerciais.</t>
  </si>
  <si>
    <t>Processo 1117/2020 - Tms Telecomunicações Ltda</t>
  </si>
  <si>
    <t xml:space="preserve">00.072.675/0001-46
</t>
  </si>
  <si>
    <t>Contratação de servicos de locação de impressoras multifuncionais em atendimento as demandas administrativas na sede da Appa - ano 2021.O serviço em questão é primordial para o bom andamento das demandas administrativas: elaboração de cópias para montagem dos processos, digitalizações diversas, cópias de contratos, relatórios diversos, etc. O valor total mensal poderá sofrer alteções caso ocorra excedente na quantidade de cópias. Os serviços serão aditivados nas mesmas condições comerciais.</t>
  </si>
  <si>
    <t xml:space="preserve">Processo 1143/2020 - Up Print Comercio E Locacao De Equipamentos Eireli
</t>
  </si>
  <si>
    <t xml:space="preserve">26.433.663/0001-93
</t>
  </si>
  <si>
    <t>Contratação de suporte TI para utilização das ferramentas do G Suite.O serviço de suporte G Suite faz o acompanhamento em tempo real do desempenho dos produtos da Google e a intervenção imediata em caso de dúvida ou eventualidade.</t>
  </si>
  <si>
    <t xml:space="preserve">08.314.044/0001-06
</t>
  </si>
  <si>
    <t>Contratação de empresa de gestão de hardware e Redes - ano 2021.Prestação de serviços técnicos de manutenção de hardware e redes, preventiva, preditiva e corretiva, visando garantia de melhor desempenho do servidor e estações de trabalho em atendimento às necessidades do trabalho, com acesso remoto ilimitado.</t>
  </si>
  <si>
    <t>Processo 1144/2020 - Denilson Goulart Duarte 01454119667</t>
  </si>
  <si>
    <t>35.205.413/0001-97</t>
  </si>
  <si>
    <t>Contratação de designer gráfico para atuação na divulgação das atividades da Fundação Clóvis Salgado - ano 2021.Faz-se necessária a contratação de um designer gráfico para desenvolvimento de um padrão e qualidade nas repostagens das atividades de criação do setor de comunicação da APPA, em especial ao projeto</t>
  </si>
  <si>
    <t>Processo 1138/2020 - Cintya Juliana Souza Santos Dias</t>
  </si>
  <si>
    <t>114.772.006-14</t>
  </si>
  <si>
    <t>18.866.960/0001-02</t>
  </si>
  <si>
    <t>Serviço de plotagem para o Prêmio Décio Noviello dosprojetos em artes visuais e fotografia para ocupação das galerias da FCS e CamaraSete - Casa da Fotografia de Minas Gerias. As plotagens são necessárias para portas, vidros, escada e banners para a composição de divulgação das exposições.</t>
  </si>
  <si>
    <t>Processo 1064/2020 - Flag Impressao Digital Ltda</t>
  </si>
  <si>
    <t>Montador do Cefart -Atividades: Atender as demandas diárias das montagens de sala de aula para os professores, como: montagem de equipamentos, mesas de som, desmontagem e montagem de instrumentos musicais, barras de dança, equipamentos multimídia, etc. Contrato de novembro até março de 2021, ou seja, 5 meses.Os cursos regulares das Escolas tem entrada dos estudantes por meio de processo seletivo, com periodicidade semestral ou anual. Para garantia da disponibilização das vagas, da realização do processo seletivo, da efetivação de matrículas e da capacidade formativa do curso, faz-se necessário assegurar o atendimento escolar do corpo discente, por meio de serviços educacionais, a produção legal de toda a escrituração escolar e a participação em todas as atividades curriculares e extracurriculares.</t>
  </si>
  <si>
    <t>Processo 1267 - Eduardo Muller Carvalho dos Reis 09247861675</t>
  </si>
  <si>
    <t>36.319.159/0001-10</t>
  </si>
  <si>
    <t>Prefeitura de Belo Horizonte</t>
  </si>
  <si>
    <t>Imposto</t>
  </si>
  <si>
    <t>Guia de ISSQN</t>
  </si>
  <si>
    <t>Produtor Cultural - contratação de profissional na área de produção cultural, encarregado de viabilizar toda a estrutura material necessária para a realização das obras artísticas do Cefart , providenciar os espaços de ensaio e sua infraestrutura; providenciar os espaços de montagem e de apresentação, acompanhar e agir como interlocutor de todos os profissionais envolvidos, como iluminador, cenógrafo, assistente de direção e o todo restante da equipe de criação; acompanhar todas as instâncias que envolvam a realização cênica. A carga horária diária de trabalho será de 08 horas/dia</t>
  </si>
  <si>
    <t>Processo 1269 - Mylene Youssef A Vieira - Produções E Eventos Epp</t>
  </si>
  <si>
    <t>08.769.496/0001-74</t>
  </si>
  <si>
    <t>Prestação de serviços Técnicos em Higienização: prestação de serviços na lavanderia do Centro Técnico de Produção e Formação (CTPF) para higienização dos figurinos e acondicionamento do acervo da Fundação.Faz-se necessária a contratação de prestação de serviços na lavanderia do Centro Técnico de Produção e Formação (CTPF) para higienização dos figurinos e acondicionamento do acervo do Contrato de Gestão 05/2019 - CEFART Andradas. Os serviços serão prestados no horário de 8h às 17h, de segunda a sexta e em finais de semana, conforme demanda.</t>
  </si>
  <si>
    <t>Processo 1275 - Ivete Maria De Oliveira 76363481600</t>
  </si>
  <si>
    <t xml:space="preserve">20.273.014/0001-96
</t>
  </si>
  <si>
    <t>Prestação de serviços Técnicos em Acervo: Acompanhamento e acondicionamento do acervo do Centro Técnico de Produção e Formação – CTPF.Faz-se necessária a contratação de prestação de serviçosdigitação e transcrição de formulários de controle de materiais, bem como preenchimento de fichas de cadastramento de usuários do espaço para fins de controle, acompanhamento e acondicionamento do acervo do Centro Técnico de Produção e Formação - CTPFdo Contrato de Gestão 05/2019 - CEFART Andradas. Os serviços serão prestados no horário de 8h às 17h, de segunda a sexta e em finais de semana, conforme demanda.</t>
  </si>
  <si>
    <t>Processo 1273 - Marcela Silva Moreira 06326086680</t>
  </si>
  <si>
    <t>28.817.968/0001-24</t>
  </si>
  <si>
    <t>Montador/Carregador - contratação de profissionais montadores/carregadores para acompanhamento das atividades complementares e regulares do CEFART, bem como montar eventos e salas de aulas, entregar chaves, em especial para as atividades de extensão. A carga horária diária de trabalho para cada profissional selecionado será de 08 horas/dia.</t>
  </si>
  <si>
    <t>Processo 1268 - Lucas Alexandre Teixeira 13035532605</t>
  </si>
  <si>
    <t>36.420.881/0001-47</t>
  </si>
  <si>
    <t>Contratação de empresa de segurança eletrônica para atender a demandas da sede administrativa - ano 2021.Contratação de empresa especializada em sistema de segurança eletrônica para atender a sede administrativa da APPA, onde os termos de Parceria estão alocados para realização das atividades dos mesmos.</t>
  </si>
  <si>
    <t>Processo 1133 - Patrulha Eletrônica Ltda</t>
  </si>
  <si>
    <t>01.216.839/0001-24</t>
  </si>
  <si>
    <t xml:space="preserve">Guia de ISSQN referente a nota fiscal 2021/87 - Dolabella Advocacia e Consultoria </t>
  </si>
  <si>
    <t>Serviços de assessoria jurídica - ano 2021. Contratação de assessoria jurídica para fornecer consultoria destinada a análise de questões jurídicas relacionada à legislação do Terceiro Setor, propriedade intelectual/orientação sobre aspectos relacionados a celebração e execução do Contrato de Gestão. Os serviços prestados são para atendimento de até 32h de consultoria por mês, prestados de segunda a sexta-feira, em horário comercial útil (9h as 18h), dentro da Comarca de Belo Horizonte.</t>
  </si>
  <si>
    <t xml:space="preserve">Dolabella Advocacia e Consultoria </t>
  </si>
  <si>
    <t>08.215.660/0001-00</t>
  </si>
  <si>
    <t>DARF/PCC referente a nota fiscal 2021/997 -  Krypton Serviços Contábeis S/s</t>
  </si>
  <si>
    <t>Ministério da Fazenda</t>
  </si>
  <si>
    <t>DARF</t>
  </si>
  <si>
    <t xml:space="preserve">Guia de DARF/IR referente a nota fiscal 2021/1207 - Krypton Serviços Contábeis S. S. </t>
  </si>
  <si>
    <t>DARF/PCC referente a nota fiscal 2021/1207 -  Krypton Serviços Contábeis S/S</t>
  </si>
  <si>
    <t>Serviços de assessoria contábil ano 2021. Contratação de empresa para assessoria contábil especializada em terceiro setor para acompanhamento mensal de fatos e eventos contábeis ocorridos na instituição em decorrência da execução do Contrato de Gestão, em conformidade com a legislação aplicável</t>
  </si>
  <si>
    <t xml:space="preserve">Krypton Serviços Contábeis S. S. </t>
  </si>
  <si>
    <t>42.784.421/0001-09</t>
  </si>
  <si>
    <t>Contratação de um profissional para edição de vídeos, realização de lives e webinários. Serviços previstos para 11 meses dias, a contar da assinatura do contrato.Com a necessidade de interromper as ações presenciais e com demanda por edição de vídeos e realização de lives e webinários, sendo essas ferramentas que, atualmente, a FCS mantém a comunicação com o seu público, faz-se necessário a contratação de um profissional da área para dar agilidade às ações.</t>
  </si>
  <si>
    <t xml:space="preserve">23.082.168/0001-99
</t>
  </si>
  <si>
    <t>Contratação de um profissional de serviço administrativo, para atuar na estruturação de cronograma para garantia de que as demandas sejam executadas no prazo e de acordo com o planejamento; relacionamento com as pessoas / áreas demandantes; elaboração mapas de custos e acompanhamento da realização de compras e/ou contratações de outros fornecedores de serviços; administração de compromissos, entre outras atividades correlatas. Os serviços serão prestados por 10 meses, a partir da assinatura do contrato.</t>
  </si>
  <si>
    <t>41.073.558/0001-84</t>
  </si>
  <si>
    <t>Contratação de profissional para apoio no setor de processos em atendimento as atividades do Projeto - ano 2021.Faz-se necessário a contratação de um profissional para apoiar o setor de processos de compras e contratações, tais como conferência da documentação, consulta de harmonia fiscal e montagem dos processos.</t>
  </si>
  <si>
    <t xml:space="preserve">34.271.279/0001-60
</t>
  </si>
  <si>
    <t>Contratação de profissional pra digitação de controles financeiros, preenchimento de planilhas, bem como auxiliar de manuseio e preparo de documentos para prestação de contas e arquivamento interno. Ano 2021. Faz a contratação de um profissional para apoiar o setor administrativo e financeiro, baixar notas na contabilidade, verificar impostos retidos, dentre outras funções administrativas.</t>
  </si>
  <si>
    <t xml:space="preserve">Processo 1136 - Thales Henrique Vieira Sabino 09440374616
</t>
  </si>
  <si>
    <t xml:space="preserve">35.234.565/0001-18
</t>
  </si>
  <si>
    <t>Contratação de profissional para digitação e edição de processos de compras e contratações, de cadastros para base de dados e controles do projeto. Ano 2021. Faz-se necessária a contratação de um profissional para apoiar o setor de compras. Esse apoio se dará na elaboração dos processos de compras, cadastro de novos fornecedores, cotações, solicitação de documentação.</t>
  </si>
  <si>
    <t>Processo 1135 - Patrícia Cláudia Pereira Lima Bernardi 03978862689</t>
  </si>
  <si>
    <t xml:space="preserve">38.230.957/0001-05
</t>
  </si>
  <si>
    <t>Contratação de serviços para reestruturação do layout e funcionalidades do site da APPA.Faz-se necessário contratar um desenvolvedor para reestruturar o site. Com a assinatura de novos contratos e com a necessidade de implementação de novas funcionalidades, isso se torna imprescindível. Árvore do site construída pelo Setor de Comunicação</t>
  </si>
  <si>
    <t xml:space="preserve">Processo 839 - Castelli E Machado Tecnologia Da Informacao Ltda
</t>
  </si>
  <si>
    <t>33.385.910/0001-99</t>
  </si>
  <si>
    <t>Contratação de profissional para apoio na digitação e edição de processos de compras e contratações, de cadastros para base de dados e controles do projeto.Faz-se necessária a contratação de um profissional para para apoiar o setor de compras. Esse apoio se dará na elaboração dos processos de compras, cadastro de novos fornecedores, cotações, solicitação de documentação.</t>
  </si>
  <si>
    <t>Processo 1235 - Maria Luiza Luz Alves Mendonca 14841323600</t>
  </si>
  <si>
    <t>40.274.941/0001-38</t>
  </si>
  <si>
    <t>Cemig Distribuição S.A</t>
  </si>
  <si>
    <t>06.981.180/0001-16</t>
  </si>
  <si>
    <t xml:space="preserve">Companhia de Saneamento de Minas Gerais </t>
  </si>
  <si>
    <t>17.281.106/0001-03</t>
  </si>
  <si>
    <t>DARF/IR referente ao aluguel da sede da Appa</t>
  </si>
  <si>
    <t>VHSR Imóveis Eireli</t>
  </si>
  <si>
    <t>023.226.843/0001-06</t>
  </si>
  <si>
    <t>Guia de ITPU - Parcela 09</t>
  </si>
  <si>
    <t>Telefone Fixo da sede da Appa referente ao mês 09/2021</t>
  </si>
  <si>
    <t>Telefônica Brasil S.A</t>
  </si>
  <si>
    <t>02.558.157/0001-62</t>
  </si>
  <si>
    <t>Telefone móvel para os funcionários a serviço do Contrato de Gestão</t>
  </si>
  <si>
    <t>TIM S.A</t>
  </si>
  <si>
    <t>Internet para sede da Appa referente ao mês 08/2021</t>
  </si>
  <si>
    <t>Internet para sede da Appa referente ao mês 09/2021</t>
  </si>
  <si>
    <t>IR retido em folha do mês 07/2021</t>
  </si>
  <si>
    <t>IR retido em folha do mês 08/2021</t>
  </si>
  <si>
    <t xml:space="preserve">Ministério da Previdência Social </t>
  </si>
  <si>
    <t>Funcionários a serviço do CG</t>
  </si>
  <si>
    <t>Alelo S.A</t>
  </si>
  <si>
    <t>Seguro de vida dos funcionários a serviço do Contrato de Gestão e Termo de Parceria</t>
  </si>
  <si>
    <t>Metropolitan Life Seguros e Previdência Privada S.A</t>
  </si>
  <si>
    <t>02.102.498/0001-29</t>
  </si>
  <si>
    <t xml:space="preserve">Valor referente a Medicina do Trabalho do mês 09/2021 - PPRA </t>
  </si>
  <si>
    <t xml:space="preserve">Ocupacional Medicina do Trabalho Ltda </t>
  </si>
  <si>
    <t>26.231.266/0001-39</t>
  </si>
  <si>
    <t xml:space="preserve">Valor referente a Medicina do Trabalho do mês 10/2021 - PPRA </t>
  </si>
  <si>
    <t xml:space="preserve">Valor referente a Medicina do Trabalho do mês 12/2021 - PPRA </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</si>
  <si>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t>
  </si>
  <si>
    <t>Unimed Belo Horizonte Cooperativa de Trabalho Médico</t>
  </si>
  <si>
    <t>16.513.178/0001-76</t>
  </si>
  <si>
    <t>Guia de ISSQN referente ao RPA 1255 - Angela Peres De Oliveira</t>
  </si>
  <si>
    <t>DARF/IR  referente ao RPA 1255 - Angela Peres De Oliveira</t>
  </si>
  <si>
    <t>INSS e INSS Patronal referente ao RPA 1255 - Angela Peres De Oliveira</t>
  </si>
  <si>
    <t>GPS</t>
  </si>
  <si>
    <t>Contratação de um designer gráficovcom experiência comprovada na área. Os serviços serão prestados por 11 meses, a partir da assinatura do contrato.Com a necessidade de interromper as ações presenciais as demandas do Núcleo de Design (criação gráfica/web) aumentou consideravelmente. Para tanto, faz-se necessário a contratação de um profissional para apoio as ações dos projetos, imediata e em caráter emergencial, para suprir a demanda de peças gráficas e web.</t>
  </si>
  <si>
    <t>Processo 1301 - Angela Peres De Oliveira</t>
  </si>
  <si>
    <t xml:space="preserve">118.436.746-96
</t>
  </si>
  <si>
    <t>Guia de ISSQN referente ao RPA 1254 -  Ana Dos Anjos Camarano Cardoso</t>
  </si>
  <si>
    <t>DARF/IR referente ao RPA 1254 -  Ana Dos Anjos Camarano Cardoso</t>
  </si>
  <si>
    <t>INSS e INSS Patronal referente ao RPA 1254 -  Ana Dos Anjos Camarano Cardoso</t>
  </si>
  <si>
    <t>Contratação de plataforma web para reuniões online em formato de transmissão de conteúdo. (videoconferência). A partir da realidade da Pandemia do COVID-19, a Diretoria do Cefart conjuntamente com a APPA estão buscando alternativas para o atendimento aos alunos da Escola de forma não presencial. Com isso, faz-se necessária a contratação de um canal de transmissão on-line dos conteúdos desenvolvidos pelos professores, como forma de bate-papo, transmissão ao vivo de atividades práticas, desenvolvimento de fóruns, dentre outras ações.</t>
  </si>
  <si>
    <t>Processo 1336 -Zoom Vídeo  communication</t>
  </si>
  <si>
    <t>01.505.648/0001-82</t>
  </si>
  <si>
    <t>Aluguel do mês de setembro/2021 do CTP</t>
  </si>
  <si>
    <t>JMMX Imovéis Ltda</t>
  </si>
  <si>
    <t>09.422.638/0001-95</t>
  </si>
  <si>
    <t>Pagamento de Boleto</t>
  </si>
  <si>
    <t>Aluguel do mês de outubro/2021 do CTP</t>
  </si>
  <si>
    <t>Aluguel do mês de novembro/2021 do CTP</t>
  </si>
  <si>
    <t>Aluguel do mês de dezembro/2021 do CTP</t>
  </si>
  <si>
    <t>Contratação de produtor para atuar durante as etapas de pré-produção, produção e pós produção das exposições de artes visuais que ocorrerão ao longo do ano de 2021 nos espaços expositivos da FCS.</t>
  </si>
  <si>
    <t>30.347.716/0001-20</t>
  </si>
  <si>
    <t>Guia de ISSQN referente a nota fiscal 2021/14 - Luiza Leandro Martins Fonseca 10287238652</t>
  </si>
  <si>
    <t>29.832.209/0001-01</t>
  </si>
  <si>
    <t>Contratação de serviços de levantamento de dados contendo relatório de mídia, textos, gráficos, planilhas e destaques. Relatório anual compilando todo o material publicado na imprensa e constantes dos relatórios mensais, contemplando de forma mais detalhada os eventos e patrocinadores. Sendo: 50 anos FCS, Palácio em sua companhia, Temporada de Ópera on-line, FestCurtasBH, Caminhos das Artes, Mostra Japonesa, além de atividades do Cefart e outros eventos/ações que se destacaram na mídia durante o ano. Vivo, Unimed, Cemig, Usiminas, Itaú Cultural, além de Cartepilar e Instituto Sotreq relativos ao Caminho das Artes. Forma de pagamento 5 DFM.</t>
  </si>
  <si>
    <t>07.290.137/0001-77</t>
  </si>
  <si>
    <t>Programação e autoração pra atender as demandas relativas às mostras especiais de cinema produzidas ao longo do ano de 2021 no Cine Humberto Mauro - FCS. As mostras especiais de cinema compõem a programação anual do Cine Humberto Mauro - FCS. Para a realização das mesmas, faz-se necessária a contratação de profissionais para suporte na programação e autoração de filmes que serão exibidos ao longo do ano de 2021.</t>
  </si>
  <si>
    <t>Processo 1339 - Hatari Filmes Ltda</t>
  </si>
  <si>
    <t>22.204.920/0001-64</t>
  </si>
  <si>
    <t>INSS e INSS Patronal referente ao RPA 1262 - Michelle Aparecida Silva Barreto</t>
  </si>
  <si>
    <t>Contratação de profissional encarregado de dar assistência à secretaria escolar quanto ao acompanhamento das atividades diárias da secretaria; atendimento ao público; orientações gerais aos alunos esobre processos pedagógicos; prestar apoio ao atendimento virtual dos alunos; recepcionar, informar e esclarecer dúvidas; diagnosticar necessidades de diferentes públicos da escola. Os cursos regulares das Escolas tem entrada dos estudantes por meio de processo seletivo, com periodicidade semestral ou anual. Para garantia da disponibilização das vagas, da realização do processo seletivo, da efetivação de matrículas e da capacidade formativa do curso, faz-se necessário assegurar o atendimento escolar do corpo discente, por meio de serviços educacionais, a produção legal de toda a escrituração escolar e a participação em todas as atividades curriculares e extracurriculares.</t>
  </si>
  <si>
    <t>Processo 1350 - Michelle Aparecida Silva Barreto</t>
  </si>
  <si>
    <t>086.515.596-82</t>
  </si>
  <si>
    <t>Guia de ISSQN referente a nota fiscal 2021/15  - Excelencia Organizacao E Promocao De Eventos Ltda</t>
  </si>
  <si>
    <t>Guia de ISSQN referente a nota fiscal 2021/29  - Girassolina Produções Ltda</t>
  </si>
  <si>
    <t>As mostras especiais de cinema compõem a programação anual do Cine Humberto Mauro - FCS. Para a realização das mesmas, faz-se necessária a contratação de profissional para a organização e suporte para as demandas relativas à logística de produção, das mostras especiais de cinema produzidas ao longo do ano de 2021 no Cine Humberto Mauro - FCS, acompanhando as execuções das mostras em todas as etapas de realização,incluindo finalização e pós-evento.</t>
  </si>
  <si>
    <t>Processo 1338 - Girassolina Produções Ltda</t>
  </si>
  <si>
    <t>36.717.152/0001-57</t>
  </si>
  <si>
    <t>Contratação de montador especializado em montagem de exposições de obras de arte para montagem e desmontagem do FIF - Festival Internacional de Fotografia, que acontecerá nas galerias da FCS Arlinda Corrêa Lima, Genesco Murta, Amilcar de Castro e CâmaraSete - Casa da Fotografia de Minas Gerais, assim que retomada as atividades presenciais na FCS. Montagem: de 15 a 18 de março de 2021 / Desmontagem: após 02 de maio de 2021 (à combinar).</t>
  </si>
  <si>
    <t>33.339.017/0001-27</t>
  </si>
  <si>
    <t>Guia de DARF/PCC referente a nota fiscal 2021/367969 - Unimed Belo Horizonte Cooperativa de Trabalho Médico</t>
  </si>
  <si>
    <t>Guia de INSS referente a nota fiscal 2021/57 -  Logus Protection Patrimonial Ltda</t>
  </si>
  <si>
    <t>Contratação de vigilante para guarda do patrimônio na unidade Câmara Sete localizado na Av Afonso Pena, nº 737, Belo Horizonte e galerias de arte no Palácio das Artes localizado na Av Afonso Pena, nº 1.537. Faz-se necessário a contratação de dois vigilantes noturno para o prédio Câmara Sete e espaços da Fundação Clóvis Salgado devido a necessidade de guarda de patrimônio e obras de artes nos locais; podendo ser estendido esse prazo conforme necessidade.</t>
  </si>
  <si>
    <t>17.939.552/0001-62</t>
  </si>
  <si>
    <t>INSS e INSS Patronal referente ao RPA 1275 - Celina Figueiredo Lage</t>
  </si>
  <si>
    <t>Processo 1434 - Renata Fonseca Felicissimo 10665267614</t>
  </si>
  <si>
    <t>41.215.577/0001-06</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</si>
  <si>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2021.4º  parcela</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</si>
  <si>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5º parcela</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</si>
  <si>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6º parcela</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</si>
  <si>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8º parcela</t>
  </si>
  <si>
    <t>INSS e INSS Patronal referente ao RPA 1263 - Ewelyn Felice Da Silva</t>
  </si>
  <si>
    <t>Contratação de fornecedor que execute ou disponibilize profissional especialista em TI capacitado no sistema Moodle e outras ferramentas de ensino a distância para auxiliar os professores do Cefart na gestão das aulas virtuais; elaboração de relatórios, e gestão de informações do sistema para comprovação das atividades à inspetora escolar; orientações técnicas sobre o Moodle; acompanhamento dos conteúdos postados promovendo a manutenção preventiva, corretiva e evolutiva da plataforma; instalação e desenvolvimento de plugins para atender necessidades específicas.</t>
  </si>
  <si>
    <t>Processo 1466 - Ewelyn Felice Da Silva</t>
  </si>
  <si>
    <t>405.654.508-16</t>
  </si>
  <si>
    <t>Plotagem da identidade visual da exposição "Acervo FCS - Retratos" na PQNA Galeria Pedro Moraleida - FCS, conforme especificações e arquivos anexos.</t>
  </si>
  <si>
    <t>Processo 1340 - Flag Impressao Digital Ltda</t>
  </si>
  <si>
    <t>13.794.450/0001-45</t>
  </si>
  <si>
    <t>Plotagem da identidade visual, textos curatoriais e institucionais, legendas das obras e ficha técnica do FIF - Festival Internacional de Fotografia que será realizado nas galerias Arlinda Corrêa Lima, Genesco Murta, Galeria Aberta Amilcar de Castro (Palácio das Artes) e CâmaraSete - Casa da Fotografia de Minas Gerais, logo que retomada as atividades presenciais na FCS. Especificação técnica do serviço anexa ao processo.</t>
  </si>
  <si>
    <t>04.099.931/0001-40</t>
  </si>
  <si>
    <t>064.282.066-09</t>
  </si>
  <si>
    <t>Contratação de fornecedor de serviços para assessoria de projetos para a Fundação Clóvis Salgado.  3º parcela aditivo</t>
  </si>
  <si>
    <t>Contratação de fornecedor de serviços de Assessoria de Imprensa para realização de resultados, redação de textos, divulgação junto à mídia, cobertura de pós-evento, seleção de fotos e imagens para divulgação, apoio em redes sociais, entre outras.</t>
  </si>
  <si>
    <t>Processo 1413 - Movimento Comunicacao Integrada Ltda</t>
  </si>
  <si>
    <t>23.108.151/0001-63</t>
  </si>
  <si>
    <t xml:space="preserve">Concepção, desenvolvimento e acompanhamento da execução de projeto expográfico para a exposição comemorativa dos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t>
  </si>
  <si>
    <t>23.109.346/0001-28</t>
  </si>
  <si>
    <t xml:space="preserve">Serviços de audiodescrição é a realização de gravação em áudio descrevendo os itens de uma exposição de arte. Tem por objetivo aumentar a acessibilidade dos trabalhos disponíveis.Apresentações são ações didático-pedagógicas que permitam aos alunos a percepção e a vivência da dinâmica entre o espaço de apresentação, o público, e a atuação - elementos fundamentais para a formação artística. </t>
  </si>
  <si>
    <t>037.714.656-05</t>
  </si>
  <si>
    <t>Contratação de um sistema de gestão acadêmica com, hospedagem em nuvem, para monitoramento e acompanhamento das atividades complementares e demais atividades de Secretaria Acadêmica do CEFART no ano de 2021. Parcela 06</t>
  </si>
  <si>
    <t>Processo 1501 - Softwares De Gestão Ltda</t>
  </si>
  <si>
    <t>08.173.813/0001-95</t>
  </si>
  <si>
    <t>Contratação de um sistema de gestão acadêmica com, hospedagem em nuvem, para monitoramento e acompanhamento das atividades complementares e demais atividades de Secretaria Acadêmica do CEFART no ano de 2021. Parcela 07</t>
  </si>
  <si>
    <t>Contratação de um sistema de gestão acadêmica com, hospedagem em nuvem, para monitoramento e acompanhamento das atividades complementares e demais atividades de Secretaria Acadêmica do CEFART no ano de 2021. Parcela 08</t>
  </si>
  <si>
    <t>Contratação de um sistema de gestão acadêmica com, hospedagem em nuvem, para monitoramento e acompanhamento das atividades complementares e demais atividades de Secretaria Acadêmica do CEFART no ano de 2021. Parcela 09</t>
  </si>
  <si>
    <t>Contratação de um sistema de gestão acadêmica com, hospedagem em nuvem, para monitoramento e acompanhamento das atividades complementares e demais atividades de Secretaria Acadêmica do CEFART no ano de 2021. Parcela 10</t>
  </si>
  <si>
    <t>Guia de ISSQN referente a nota fiscal 2021/43 - Arco Cultural Ltda</t>
  </si>
  <si>
    <t>Contratação de empresa de setor administrativo especializada em entidades do terceiro setor - ano 2021.Contratação de empresa de setor administrativo especializada em entidades do terceiro setor, para atuar na gestão de impostos, consolidação fiscal, controle de faturas, acompanhamento de planilhas financeiras, instrução em decorrência da execução do Contrato de Gestão, em conformidade com a legislação aplicável.</t>
  </si>
  <si>
    <t>Processo  1134 - Arco Cultural Ltda</t>
  </si>
  <si>
    <t>13.711.589/0001-88</t>
  </si>
  <si>
    <t>Guia de ISSQN referente a nota fiscal 2021/42 -  Arco Cultural Ltda</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</si>
  <si>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06</t>
  </si>
  <si>
    <t>Processo 1458 - Arco Cultural Ltda</t>
  </si>
  <si>
    <t xml:space="preserve">13.711.589/0001-88
</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</si>
  <si>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09</t>
  </si>
  <si>
    <t>TFLF/TFS</t>
  </si>
  <si>
    <t>Taxas de Fiscalização de Localização e Funcionamento  e Taxa de Fiscalização Sanitária . Favorecido: Prefeitura Muncipal de Belo Horizonte - 07º Parcela</t>
  </si>
  <si>
    <t>Contratação para prestação de serviços de Assessoria Administrativa. Contratação de profissional para assessoria administrativa para apoiar e definir encaminhamento de documentos; acompanhar e secretariar reuniões; administrar compromissos e horários de reuniões; ler documentos, levantar informações; cobrar ações, respostas, elaborar relatórios; controlar cronogramas, acompanhar processos; reproduzir documentos.</t>
  </si>
  <si>
    <t>Contratação de fornecedor de serviços para gestão de mídias sociais.Para que o setor de comunicação cumpra às demandas de todos os projetos, faz-se necessária a contratação desse fornecedor de serviço. Esse profissional será imprescindível para planejar novos projetos e implantar a transformação digital da instituição.</t>
  </si>
  <si>
    <t>121.027.156-71</t>
  </si>
  <si>
    <t>Contratação de profissional habilitado para desenvolver atividades no setor de Contratos.Contratação de profissional para contribuir com a gestão do setor de contratos, como acompanhamento e preenchimento dos contratos com os prestadores de serviços, interlocução entre o setor jurídico da Appa e a empresa contratada de assessoria, elaboração e acompanhamento das minutas de patrocínio, análise dos editais das áreas e demais questões ligadas ao setor.</t>
  </si>
  <si>
    <t>Processo 1457 - Sinara Araujo Costa Sociedade Individual De Advocacia</t>
  </si>
  <si>
    <t>41.308.133/0001-07</t>
  </si>
  <si>
    <t>Contratação de Apoio na preparação de documentos e serviços de apoio administrativo para promoção, edição e acompanhamento junto ao setor de projetos referentes às metas de aprovação de projetos nas leis de incentivo à cultura.Faz-se necessária a contratação de profissional responsável pela comunicação e interface junto proponente, FCS e secretarias para organização, arquivamento e gerenciamento de documentos do projeto.</t>
  </si>
  <si>
    <t>Processo 1473 - Heider Carlo Rezende 07184223683</t>
  </si>
  <si>
    <t>40.090.079/0001-03</t>
  </si>
  <si>
    <t>Guia de ISSQN referente ao RPA 1298 - Davi Machado De Castro Fonseca</t>
  </si>
  <si>
    <t>INSS e INSS Patronal referente ao RPA 1298 - Davi Machado De Castro Fonseca</t>
  </si>
  <si>
    <t>Renovação de linha telefônica para o CEFART Andradas com acréscimo de internet (fibra óptica) 30 MB para utilização do sistema de catalogação do acervo. A renovação do contrato faz-se necessária para manter um mínimo de estrutura no espaço. O contrato atual não possuí plano de internet. No entanto, iremos cotar para a contratação de internet - fibra óptica - 30MB para atendimento às novas demandas do Contrato de Gestão 05-2019 no local do CTPF (Andradas). O contrato deverá ser de apuração mensal onde já utilizamos linha telefônica. O serviço será uma composição do pacote de telefonia para atendimento das demandas locais.</t>
  </si>
  <si>
    <t>Processo 277 -Claro S.A.</t>
  </si>
  <si>
    <t>40.432.544/0112-62</t>
  </si>
  <si>
    <t>Contratação de serviço de e-mail marketing para envio de 100mil e-mails / mensais. Parcela 06</t>
  </si>
  <si>
    <t>02.351.877/0001-52</t>
  </si>
  <si>
    <t>Contratação de serviço de e-mail marketing para envio de 100mil e-mails / mensais. Parcela 07</t>
  </si>
  <si>
    <t>Contratação de serviço de e-mail marketing para envio de 100mil e-mails / mensais. Parcela 08</t>
  </si>
  <si>
    <t>Contratação de serviço de e-mail marketing para envio de 100mil e-mails / mensais. Parcela 09</t>
  </si>
  <si>
    <t>INSS e INSS Patronal referente ao RPA 1280 - Fabiano Fonseca Freitas</t>
  </si>
  <si>
    <t>Locação de notebooks para atender as demandas de colaboradores a serviço da Appa. - Cotação por computador e configuração. Ano 2021.Faz-se necessária a locação de notebooks para colaboradores em atendimento às demandas da Appa. A locação será realizada com apuração mensal, dentro das necessidades dos colaboradores.</t>
  </si>
  <si>
    <t>13.254.493/0001-38</t>
  </si>
  <si>
    <t>Processo 1139 -BH Notebooks Ltda</t>
  </si>
  <si>
    <t>DARF/IR  referente ao RPA 1278 - Guilherme Cruz Lessa</t>
  </si>
  <si>
    <t>INSS e INSS Patronal referente ao RPA 1278 - Guilherme Cruz Lessa</t>
  </si>
  <si>
    <t>INSS e INSS Patronal referente ao RPA 1279 - Pedro Henrique Jacome</t>
  </si>
  <si>
    <t>DARF/IR referente ao RPA 1281 - Cleber José Leão De Almeida</t>
  </si>
  <si>
    <t>INSS e INSS Patronal referente ao RPA 1281 - Cleber José Leão De Almeida</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</si>
  <si>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03</t>
  </si>
  <si>
    <t>011.991.226-02</t>
  </si>
  <si>
    <t>41.521.334/0001-98</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</si>
  <si>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04</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</si>
  <si>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05</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</si>
  <si>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06</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</si>
  <si>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07</t>
  </si>
  <si>
    <t>Restauro da obra "Maquete de Teatro Italiano - de Raul Belém Machado" incluindo os seguintes serviços:1. Analisar tecnicamente as condições físicas da obra, levantar o estado de degradação decorrentes do tempo, infestação de cupins, etc;2. Imunizar a obra;3. Reverter a ação dos cupins que comprometeram grande parte das peças de madeira, refazendo as peças já destruídas;4. Restabelecer a funcionalidade da maquinaria teatral;5. Renovar o estofamento das cadeiras da plateia; 6. Renovar a pintura que for necessária. A exposição comemorativa dos 50 anos do Palácio das Artes "50 anos em 5 atos" acontecerá na Grande Galeria Alberto da Veiga Guignard durante o ano de 2021, com período expositivo a ser definido após a retomada das atividades presenciais na FCS devido ao protocolo de segurança do programa Minas Consciente. 2º Parcela</t>
  </si>
  <si>
    <t xml:space="preserve">15.193.136/0001-32
</t>
  </si>
  <si>
    <t>Realização do Seminário "Encontros com a Cultura Popular" no mês de junho, proposta de Formação dos alunos do Centro de Formação Artística e Tecnológica (CEFART), neste momento na modalidade virtual.Os seminários e cursos propostos ampliam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</si>
  <si>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Processo 1628 - Associação Histórico Cultural Mucury</t>
  </si>
  <si>
    <t>09.432.891/0001-20</t>
  </si>
  <si>
    <t>Curso complementar "Violino", necessário para complementar os conhecimentos ministrados nas aulas regulares do curso deste instrumento, da Escola de Música do Cefart. O curso terá uma carga horária total de 20 horas.Cursos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</si>
  <si>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17.567.163/0001-53</t>
  </si>
  <si>
    <t>Contratação de assistentede produção para acompanhamento geral e logístico do 23º FestCurtasBH. Atua desde os segmentos internos de organização e acompanhamento de cronograma, como nos processos de negociação de direitos, contratação de prestadores de serviço, acompanhamento de processos necessários para a realização do evento em formato virtual e presencial - 3º parcela</t>
  </si>
  <si>
    <t>41.722.212/0001-60</t>
  </si>
  <si>
    <t>INSS e INSS Patronal referente ao RPA 1332 - Fabrício Alves Farias</t>
  </si>
  <si>
    <t>Guia de ISSQN referente ao RPA 1332 - Fabrício Alves Farias</t>
  </si>
  <si>
    <t>INSS e INSS Patronal referente ao RPA 1265 - Álvaro Bruno Amaral Carriello Teixeira</t>
  </si>
  <si>
    <t>INSS e INSS Patronal referente ao RPA 1274 - Yara Tupynambá</t>
  </si>
  <si>
    <t>INSS e INSS Patronal referente ao RPA 1260 - Priscila Alencastre Lopes Santos Souza</t>
  </si>
  <si>
    <t>Curadoria e Pesquisa da Mostra de Cinema e Ópera da Temporada de Ópera online 2021. 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Esta contratação se faz necessária pois o profissional assumirá o trabalho de curadoria e pesquisa para dar início à produção do evento. 1º parcela</t>
  </si>
  <si>
    <t xml:space="preserve">Processo 1686 - Iluminuras Producoes Artistico-culturais Ltda
</t>
  </si>
  <si>
    <t>16.757.524/0001-61</t>
  </si>
  <si>
    <t>Guia de ISSQN referente a nota fiscal 2021/24 - Rosa De Areia Produções Ltda</t>
  </si>
  <si>
    <t>Guia de ISSQN referente a nota fiscal 2021/18 - Chão Da Feira Ltda</t>
  </si>
  <si>
    <t xml:space="preserve">Contratação de produtor para o 23º Festcurtas BH responsável pela produção e desenvolvimento dos trabalhos de logística e suporte de execução geral do evento. O trabalho incluia negociação de conteúdo e direitos de exibição das obras convidadas para a composição das Mostras Especiais, bem como, produção das demais atividades paralelas como oficinas, seminários, debates, e atrações artísticas que compõe a programação do festival. Período proposto: junho de 2021 a janeiro de 2022. </t>
  </si>
  <si>
    <t xml:space="preserve">41.521.334/0001-98
</t>
  </si>
  <si>
    <t>Guia de ISSQN referente a nota fiscal 2021/5 -  Javali Do Mar Experimentações Artisticas Ltda</t>
  </si>
  <si>
    <t>Guia de ISSQN referente a nota fiscal 2021/13 - Leben 108 Produtora De Filmes Ltda</t>
  </si>
  <si>
    <t>Guia de ISSQN referente a nota fiscal 2021/541 - BH Fotocópias Digital Ltda.</t>
  </si>
  <si>
    <t xml:space="preserve">Restauro da obra “Retrato do Deputado Camilo Filinto Prates”, do artista Genesco Murta, incluindo os serviços descritos no termo de referência anexo, transporte de coleta e devolução da obra na Fundação Clóvis Salgado. </t>
  </si>
  <si>
    <t>565.573.616-00</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</si>
  <si>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ponto.aboradores da Appa - ano 2021.</t>
  </si>
  <si>
    <t>Automatizações Século XXl Tratamento de Dados Ltda</t>
  </si>
  <si>
    <t>20.617.386/0001-92</t>
  </si>
  <si>
    <t>Consumo de energia elétrica do mês 09/2021</t>
  </si>
  <si>
    <t>Pagamento Conta Luz</t>
  </si>
  <si>
    <t>Fatura</t>
  </si>
  <si>
    <t>Consumo de água e esgosto referente ao mês 09/2021</t>
  </si>
  <si>
    <t xml:space="preserve">17.281.106/0001-03 </t>
  </si>
  <si>
    <t>Pagamento Conta Água</t>
  </si>
  <si>
    <t>Contratação de agência de comunicação para gestão das mídias digitais(Facebook e Instagram)da Fundação Clóvis Salgado, durante dois meses.</t>
  </si>
  <si>
    <t>36.368.476/0001-27</t>
  </si>
  <si>
    <t>Guia de ISSQN referente a nota fiscal 2021/43 - Neliane Maria Batista Dare</t>
  </si>
  <si>
    <t>Contratação de Profissional especializado para capitação de imagem e edição de vídeo.Faz-se necessário a contratação de profissional especializado Cinegrafista para captação de imagens com equipamento especializado e editor artístico de vídeo para criação do vídeo coletivo/Documentário do espetáculo Primeira Pessoa do Plural. O vídeos tem programação de ser publicados nas redes sociais dia 29/08/2021.</t>
  </si>
  <si>
    <t xml:space="preserve">28.293.370/0001-83
</t>
  </si>
  <si>
    <t>Profissional para adaptação e transposição da obra literária para o libreto de uma pequena ópera, referente ao módulo: Criação dos libretos e composição das óperas do Ateliê de Criação da Temporada de Ópera online 2021.</t>
  </si>
  <si>
    <t>287.584.588-83</t>
  </si>
  <si>
    <t>Profissional para adaptação e transposição da obra literária para o libreto de uma pequenaópera, referente ao módulo: Criação dos libretos e composição das óperas do Ateliê de Criação da Temporada de Ópera online 2021.</t>
  </si>
  <si>
    <t>04.998.580/0001-09</t>
  </si>
  <si>
    <t>Contratação de Profissional especializado para captação de imagem. Captação das imagens de entrevistas com bailarinos referente a montagem do espetáculo Primeira Pessoa do Plural. Será gerada um Documentário com imagens e explicações sobre o processo criativo desse espetáculo da Cia de Dança. Equipamentos profissionais de filmagem e drone com acompanhamento de um cinegrafista com olhar artístico.</t>
  </si>
  <si>
    <t>28.293.370/0001-83</t>
  </si>
  <si>
    <t xml:space="preserve">Contratação de Profissional especializado para edição de vídeo. Considerar acompanhamento das reuniões e inserção de legendas, capa (frame), inclusão de ficha técnica, créditos e logomarcas para o vídeo/documentário do espetáculo Primeira Pessoa do Plural. Será gerada um Documentário com imagens e explicações sobre o processo criativo desse espetáculo da Cia de Dança a partir da captação das imagens. </t>
  </si>
  <si>
    <t>Contratação de Profissional especializado para edição de vídeo. Considerar acompanhamento das reuniões e inserção de legendas, capa (frame), inclusão de ficha técnica, créditos e logomarcas para o vídeo/documentário do espetáculo Primeira Pessoa do Plural. Será gerada um Documentário com imagens e explicações sobre o processo criativo desse espetáculo da Cia de Dança a partir da captação das imagens.</t>
  </si>
  <si>
    <t>29.867.004/0001-53</t>
  </si>
  <si>
    <t>Contratação de Profissional especializado para edição de vídeo. Considerar acompanhamento das reuniões e inserção de legendas, capa (frame), inclusão de ficha técnica, créditos e logomarcas para o vídeo/documentário do espetáculo Primeira Pessoa do Plural. Será gerada um Documentário com imagens e explicações sobre o processo criativo desse espetáculo da Cia de Dança a partir da captação das imagens</t>
  </si>
  <si>
    <t>41.663.644/0001-47</t>
  </si>
  <si>
    <t>Contratação de equipe de profissional em montagem fina especializada, para a montagem e desmontagem da exposição "50 anos em 5 atos" que acontecerá na Grande Galeria Alberto da Veiga Guignard no Palácio das Artes. A exposição comemorativa dos 50 anos do Palácio das Artes acontecerá na Grande Galeria Alberto da Veiga Guignard entre os dias 12 de agosto a 14 de novembro de 2021.</t>
  </si>
  <si>
    <t>Processo 1867 - Sergio Arruda Felicio</t>
  </si>
  <si>
    <t>Guia de INSS referente a RPA 1329 - Themis Cristina Lobato De Lima</t>
  </si>
  <si>
    <t>Guia de ISSQN referente a RPA 1329 - Themis Cristina Lobato De Lima</t>
  </si>
  <si>
    <t>DARF/IR referente a RPA 1329 - Themis Cristina Lobato De Lima</t>
  </si>
  <si>
    <t>Contratação de instrutor/monitora Themis Lobato para acompanhamento do público durante a visitação na "Exposição de 50 anos em 5 atos", que acontecerá de 12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02</t>
  </si>
  <si>
    <t>605.952.721-34</t>
  </si>
  <si>
    <t>Contratação de instrutor/monitora Themis Lobato para acompanhamento do público durante a visitação na "Exposição de 50 anos em 5 atos", que acontecerá de 12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03</t>
  </si>
  <si>
    <t>Guia de INSS referente ao RPA 1330 - Lívia Beatriz Ferreira Lopes</t>
  </si>
  <si>
    <t>Guia de ISSQN referente ao RPA 1330 - Lívia Beatriz Ferreira Lopes</t>
  </si>
  <si>
    <t>DARF/IR referente ao RPA 1330 - Lívia Beatriz Ferreira Lopes</t>
  </si>
  <si>
    <t>Contratação de instrutor/monitora Lívia Beatriz Ferreira para acompanhamento do público durante a visitação na "Exposição de 50 anos em 5 atos", que acontecerá de 12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02</t>
  </si>
  <si>
    <t>012.631.956-10</t>
  </si>
  <si>
    <t>Guia de INSS referente ao RPA 1328 - Adriano Maciel Canabrava</t>
  </si>
  <si>
    <t>Guia de ISSQN referente ao RPA 1328 - Adriano Maciel Canabrava</t>
  </si>
  <si>
    <t>DARF/IR referente ao RPA 1328 - Adriano Maciel Canabrava</t>
  </si>
  <si>
    <t>Contratação de instrutor/monitora Adriano Maciel Canabrava para acompanhamento do público durante a visitação na "Exposição de 50 anos em 5 atos", que acontecerá de 12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02</t>
  </si>
  <si>
    <t>055.805.506-00</t>
  </si>
  <si>
    <t xml:space="preserve">Contratação de um professor para ministrar o Curso Complementar de "Trompete" para a escola de Música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
</t>
  </si>
  <si>
    <t>19.663.213/0001-21</t>
  </si>
  <si>
    <t>Contratação de professora para ministrar o curso complementar "Escrita de Projetos Culturais" para Escola de Teatro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</si>
  <si>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 xml:space="preserve">39.785.818/0001-00
</t>
  </si>
  <si>
    <t>Contratação do instrutor/monitor Leonardo Brunopara acompanhamento do público durante a visitação na "Exposição de 50 anos em 5 atos", que acontecerá de 17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</si>
  <si>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065.757.446-56</t>
  </si>
  <si>
    <t>Contratação do instrutor/monitorLeonardo Brunopara acompanhamento do público durante a visitação na "Exposição de 50 anos em 5 atos", que acontecerá de 17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</si>
  <si>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Contratação do instrutor/monitor Victor Hugo Marquespara acompanhamento do público durante a visitação na "Exposição de 50 anos em 5 atos", que acontecerá de 17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</si>
  <si>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106.805.716-55</t>
  </si>
  <si>
    <t>Contratação do instrutor/monitora Laís Flor Oliveira para acompanhamento do público durante a visitação na "Exposição de 50 anos em 5 atos", que acontecerá de 17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</si>
  <si>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117.743.936-03</t>
  </si>
  <si>
    <t>Contratação de uma professora para ministrar o curso complementar de "Produção Cultural" na Escola de Teatro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</si>
  <si>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34.593.345/0001-18</t>
  </si>
  <si>
    <t>Coordenação e supervisão de programa educativo durante 3 meses para a exposição comemorativa de 50 anos do Palácio das Artes “50 anos em 5 atos”, que acontecerá na Grande Galeria Alberto da Veiga Guignard / FCS, de 12 de agosto a 14 de novembro de 2021. O serviço inclui treinamento e supervisão da equipe de monitores (6 pessoas), montagem e acompanhamento de escala de trabalho e visitas mediadas, divulgação de todas as ações educativas da exposição para escolas e instituições de ensino via mailing e redes sociais, prospecção de público, agendamento e coordenação de visitas mediadas, durante todo o período da exposição. 2º Parcela</t>
  </si>
  <si>
    <t>Processo 1851 - Carolina Nascimento Valadares Santana 07016003655</t>
  </si>
  <si>
    <t>33.556.383/0001-38</t>
  </si>
  <si>
    <t>Concepção de Projeto Educativo para a exposição comemorativa de 50 anos do Palácio das Artes "50 anos em 5 atos" que acontecerá na Grande Galeria Alberto da Veiga Guignard / FCS, de 12 de agosto de 2021 a 14 de novembro de 2021 - 2º parcela</t>
  </si>
  <si>
    <t>Concepção de Projeto Educativo para a exposição comemorativa de 50 anos do Palácio das Artes "50 anos em 5 atos" que acontecerá na Grande Galeria Alberto da Veiga Guignard / FCS, de 12 de agosto de 2021 a 14 de novembro de 2021 - 3 º parcela</t>
  </si>
  <si>
    <t>Contratação de profissional para edição de vídeos que seja responsável por pegar um material de professores e alunos produzidos nas escolas e editá-los.Justifica-se a contratação de um profissional, pois sua atuação impacta as atividades dos cursos complementares e atividades artísticas, uma vez que os vídeos editados servirão como documento e complemento pedagógico às aulas. O profissional realizará edição de apresentações artísticas, referentes às metas no Contrato de Gestão, e os vídeosde aulas abertas, rodas de conversa, aulas inaugurais e outras atividades do Cefart que são direcionadas para as redes sociais da FCS.</t>
  </si>
  <si>
    <t>Processo 1876 - Gilberto De Lima Goulart 08401043670</t>
  </si>
  <si>
    <t>23.500.129/0001-64</t>
  </si>
  <si>
    <t>Contratação do bonequeiro Antônio Lima, criador do boneco 'Hari", para desmontagem, transporte e remontagem do boneco no espaço adequado ser exposto durante a exposição comemorativa de 50 anos do Palácio das Artes "50 Anos em 5 Atos".novembro de 2021, o boneco "Hari" - personagem criado para o espetáculo de formatura da turma de Teatro do Cefart - integra a exposição e precisa ser instalado no espaço adequado durante o período expositivo. Para o manuseio - desmontagem, transporte e remontagem - do boneco, faz-se necessária a contratação do bonequeiro Antônio Lima, criador do boneco "Hari".</t>
  </si>
  <si>
    <t>056.410.586-45</t>
  </si>
  <si>
    <t>Locação de projetor acima de 15.000 Ansi Lumens para projeção de filme a ser exibido durante concerto. 01 Projetor 15000. Kit de Cabos de Ac. Kit de Cabos de Sinal. Técnico. Projeções de imagens e filmes durante a apresentação do Concerto Stabat Mater, dia 28/08 no Grande Teatro Palácio das Artes.</t>
  </si>
  <si>
    <t>10.762.571/0001-17</t>
  </si>
  <si>
    <t>Aquisição de licença de um sistema de gestão financeira e gestão de compras para os projetos da Appa.A Appa no ano de 2020 e 2021 contratou um desenvolvedor para a criação de um sistema customizado para o setor de compras. O sistema está em execução, com algumas limitações. Para tanto, será necessário procurar no mercado algumas opções de sistemas prontos (de prateleira) que apresentassem ferramentas de gestão, integrando tanto o setor de compras e projetos quanto o setor de contratos e compras. Para tanto, justifica-se a aquisição (aluguel) da licença de um sistema de gestão.</t>
  </si>
  <si>
    <t>Processo 1873 - Ongsys Sistema Ltda</t>
  </si>
  <si>
    <t>29.335.055/0001-34</t>
  </si>
  <si>
    <t>Direito de Exibição do filme A NOIVA DA CIDADE, dirigido por Alex Viany (BRA, 1978). O filme integra a programação da mostra Exagerados, e será exibido, durante a mostra entre os dias 09 e 29 de setembro de 2021 de forma presencial no Cine Humberto Mauro e também na plataforma virtual CineHumbertoMauroMais.com.</t>
  </si>
  <si>
    <t>460.302.808-30</t>
  </si>
  <si>
    <t>Contratação de professora para ministrar o curso Complementar de “Dramaturgias do corpo: tecendo narrativas e memórias a partir dos cantos das lavadeiras de Almenara/Vale do Jequitinhonha", no Programa de Residência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</si>
  <si>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33.741.659/0001-58</t>
  </si>
  <si>
    <t xml:space="preserve">Contratação de serviço de comunicação visual, sendo impressão e instalação de adesivos como textos, legendas, comunicação diversa e construção de lightbox personalizado, para compor da Exposição "50 anos em 5 atos" do Palácio das Artes. Detalhamento do material anexo no termo de referência.A exposição comemorativa dos 50 anos do Palácio das Artes acontecerá na Grande Galeria Alberto da Veiga Guignard entre os dias 12 de agosto a 14 de novembro de 2021. </t>
  </si>
  <si>
    <t>Processo 1866 - Ctrl P Impressão Digital Ltda</t>
  </si>
  <si>
    <t>10.199.466/0001-11</t>
  </si>
  <si>
    <t>Contratação de serviço de comunicação visual, sendo impressão e instalação de adesivos como textos, legendas, comunicação diversa e construção de lightbox personalizado, para compor da Exposição "50 anos em 5 atos" do Palácio das Artes. (Termo Aditivo)</t>
  </si>
  <si>
    <t>DARF/IR referente ao recibo de Direito de Exibição - Francisco De Paula Dutra Rodrigues Pereira</t>
  </si>
  <si>
    <t xml:space="preserve">Contratação de professor para ministrar Curso Complementar"Dança Moderna" para a Escola de Dança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t>
  </si>
  <si>
    <t>022.320.766-79</t>
  </si>
  <si>
    <t xml:space="preserve">Contratação de professor para ministrar o curso Complementar de “Cenotecnia" na Escola de Tecnologia da Cena do Cefart.formatos e cronogramas são desenvolvidos pela Diretoria, Gerência de Ensino e pela Coordenação da Escola, que definem a carga horária e a quantidade de vagas para atendimento ao público interno e ao público externo (quando houver vagas). </t>
  </si>
  <si>
    <t>Contratação da instrutora/monitora Nathália Araújo Marques para acompanhamento do público durante a visitação na "Exposição de 50 anos em 5 atos", que acontecerá de 13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</si>
  <si>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122.426.726-57</t>
  </si>
  <si>
    <t>059.914.566-82</t>
  </si>
  <si>
    <t>Serviço para contratação de espaço para a guarda de documentos da sede administrativos - 2º semestre de 2021.O serviço contempla a contratação de espaço para a guarda de documentos escriturais referente ao segundo semestre de 2021.</t>
  </si>
  <si>
    <t>26.171.295/0001-52</t>
  </si>
  <si>
    <t>Guia de ISSQN referennte ao RPA 1270 - Diogo Vieira De Melo</t>
  </si>
  <si>
    <t>INSS e INSS Patronal referennte ao RPA 1270 - Diogo Vieira De Melo</t>
  </si>
  <si>
    <t>Guia de ISSQN referente a nota fiscal 2021/12 - Carolina Nascimento Valadares Santana 07016003655</t>
  </si>
  <si>
    <t>Desenvolvimento de website a partir de roteiro pré-elaborado, para exposição comemorativa de 50 anos do Palácio das Artes "50 Anos em 5 Atos", que acontecerá de 12 de agosto a 14 de novembro de 2021. A exposição comemorativa aos 50 anos do Palácio das Artes será realizada nos meses de agosto a novembro de 2021 na Grande Galeria Alberto da Veiga Guignard / FCS terá um escopo interativo abordando a história da instituição nos seus anos. 2º parcela</t>
  </si>
  <si>
    <t>Compra de 6 folhas de Gelatina Supergel, cores:#21 Âmbar Dourado (Goldem Amber)#22 Âmbar Escuro (Deep Amber)#388 Verde Luz de Gás (Gaslight Green)#93 Azul Esverdeado (Blue Green)#383 Azul Safira (Sapphire)#343 Rosa Neon (Neon Pink). Necessário a compra de 6 gelatinas para iluminação do Concerto Stabat Mater, dia 28/08 no Grande Teatro Cemig Palácio das Artes.</t>
  </si>
  <si>
    <t>Processo 1939 - Acrópoluz Comercial Ltda</t>
  </si>
  <si>
    <t>13.450.692/0001-11</t>
  </si>
  <si>
    <t>Guia de ISSQN referennte ao RPA 1267 - Isabela Rocha Leão Magalhães</t>
  </si>
  <si>
    <t>INSS e INSS Patronal referennte ao RPA 1267 - Isabela Rocha Leão Magalhães</t>
  </si>
  <si>
    <t xml:space="preserve">Guia de ISSQN referennte ao RPA 1268 - Brenno Theotonio de Castro </t>
  </si>
  <si>
    <t xml:space="preserve">INSS e INSS Patronal referennte ao RPA 1268 - Brenno Theotonio de Castro </t>
  </si>
  <si>
    <t>Guia de ISSQN referennte ao RPA 1269 - Alberto Gusmão da Silva</t>
  </si>
  <si>
    <t>INSS e INSS Patronal referennte ao RPA 1269 - Alberto Gusmão da Silva</t>
  </si>
  <si>
    <t>Guia de ISSQN referennte ao RPA 1271 - Isabella Andrade Oliveira Mello Proença</t>
  </si>
  <si>
    <t>INSS e INSS Patronal referennte ao RPA 1271 - Isabella Andrade Oliveira Mello Proença</t>
  </si>
  <si>
    <t>Guia de ISSQN referennte ao RPA 1272 - Jéssica Chaves Moreira Garcia</t>
  </si>
  <si>
    <t>INSS e INSS Patronal referennte ao RPA 1272 - Jéssica Chaves Moreira Garcia</t>
  </si>
  <si>
    <t>Guia de ISSQN referennte ao RPA 1273 - Luciana Campos Horta</t>
  </si>
  <si>
    <t>INSS e INSS Patronal referennte ao RPA 1273 - Luciana Campos Horta</t>
  </si>
  <si>
    <t>Direito de exibição do filme ABOLIÇÃO, dirigido por Zózimo Bulbul (BRA, 1988). O filme integra a programação da mostra Exagerados, que acontecerá entre os dias 09 e 29 de setembro no Cine Humberto Mauro e na plataforma virtual CineHumbertoMauroMais.com.</t>
  </si>
  <si>
    <t>667.141.927-20</t>
  </si>
  <si>
    <t>Contratação da profissional "Maria de Fátima Augusto" para comentar, em live, o filme "Roma, Cidade Aberta", de Roberto Rossellini, que será exibido a partir do dia 13/07/2021, às 19h através da plataforma CineHumbertoMauroMais. O comentário será transmitido pelo canal do Youtube da FCS e retransmitido pela plataforma supracitada. O comentário ficará permanentemente disponível online.</t>
  </si>
  <si>
    <t>678.976.736-34</t>
  </si>
  <si>
    <t>Contratação de professor para ministrar curso de "Cacuriá e Tambor de Crioula" na Escola de Dança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</si>
  <si>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031.739.323-58</t>
  </si>
  <si>
    <t>Guia de ISSQN referente ao RPA 1317 - Tatiana Barros Cavinato</t>
  </si>
  <si>
    <t>DARF/IR referente ao RPA 1317 - Tatiana Barros Cavinato</t>
  </si>
  <si>
    <t>INSS e INSS Patronal referente ao RPA 1317 - Tatiana Barros Cavinato</t>
  </si>
  <si>
    <t>Contratação de professor para o curso Complementar "A critica de arte a partir do século XVIII" para a escola de Artes Visuais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</si>
  <si>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075.937.887-84</t>
  </si>
  <si>
    <t>06 serviços de edições de vídeos para os meses de setembro, outubro, novembro e dezembro/2021, referente aos eventos dos Saraus Líricos e Pequenos Grupos OSMG/CLMG. Necessário capa (frame), inclusão de ficha técnica, créditos e logomarcas, com entrega de um vídeo com minutagem de aproximadamente 4''min a partir de vários vídeos dos coralistas.</t>
  </si>
  <si>
    <t>Processo 1935 - Hanna Mussi Dias 14995811737</t>
  </si>
  <si>
    <t>41.928.617/0001-59</t>
  </si>
  <si>
    <t>INSS e INSS Patronal  referente ao RPA 1333 - Eliezer Sampaio Dos Santos Junior</t>
  </si>
  <si>
    <t>Guia de ISSQN referente ao RPA 1333 - Eliezer Sampaio Dos Santos Junior</t>
  </si>
  <si>
    <t>Direito de Exibição do filme O HOMEM DO PAU BRASIL, dirigido por Joaquim Pedro de Andrade (BRA, 1981).O filme integra a programação da mostra Exagerados, e será exibido, durante a mostra entre os dias 09 e 29 de setembro de 2021 de forma presencial no Cine Humberto Mauro e também na plataforma virtual CineHumbertoMauroMais.com.</t>
  </si>
  <si>
    <t>Processo 1837 - Filmes Do Serro Ltda.</t>
  </si>
  <si>
    <t>33.451.113/0001-62</t>
  </si>
  <si>
    <t>Guia de ISSQN referente ao RPA 1316 - Carolina Ruoso</t>
  </si>
  <si>
    <t>DARF/IR  referente ao RPA 1316 - Carolina Ruoso</t>
  </si>
  <si>
    <t>INSS e INSS Patronal  referente ao RPA 1316 - Carolina Ruoso</t>
  </si>
  <si>
    <t>Contratação de profissionais para realização do processo seletivo das escolas de Artes Visuais, Música, Teatro e Dança. A Banca de Processo Seletivo será constituída por membros titulares, todos possuidores de notório saber e experiênciana área, sendo acompanhados e orientados por professores do Cefart e pelos coordenadores de cada Escola.</t>
  </si>
  <si>
    <t>071.836.066-43</t>
  </si>
  <si>
    <t>014.629.566-88</t>
  </si>
  <si>
    <t>475.759.438-03</t>
  </si>
  <si>
    <t>105.888.896-01</t>
  </si>
  <si>
    <t>074.517.466-31</t>
  </si>
  <si>
    <t>137.028.086-63</t>
  </si>
  <si>
    <t>788.556.596-34</t>
  </si>
  <si>
    <t>134.947.726-57</t>
  </si>
  <si>
    <t>160.412.967-08</t>
  </si>
  <si>
    <t xml:space="preserve">Guia de ISSQN referente a nota fiscal 2021/411 - Flag Impressao Digital Ltda
</t>
  </si>
  <si>
    <t>Contratação de profissional para Criação de trilha sonora para o vídeo Intervenção da Dança com acompanhamento de todo o processo criativo durante as reuniões da Cia de Dança. Faz-se necessário contratação de profissional para Criação de trilha sonora e acompanhamento do processo criativo durante as reuniões de criação da Cia de Dança e de acordo com as solicitações orientadas pela Direção Artística para o vídeo Intervenção da Dança.</t>
  </si>
  <si>
    <t>10.461.414/0001-71</t>
  </si>
  <si>
    <t>Compra de HD externo .Compra de HD para armazenar e transportar imagens de processos de criações da Cia de Dança, necessáriopara preservar memória e para uso durante os trabalhos de criação e edição.</t>
  </si>
  <si>
    <t>10.388.905/0002-15</t>
  </si>
  <si>
    <t>42.951.643/0001-60</t>
  </si>
  <si>
    <t xml:space="preserve">Contratação de professora para ministrar o curso complementar de"Figurino", da Escola de Tecnologia da Cena da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t>
  </si>
  <si>
    <t>058.686.546-25</t>
  </si>
  <si>
    <t xml:space="preserve">Contratação de profissionais externos para as bancas examinadoras dos editais de 2021/2 de Artes Visuais.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t>
  </si>
  <si>
    <t>13.606.139/0001-25</t>
  </si>
  <si>
    <t>Contratação de profissionais externos para as bancas examinadoras dos editais de 2021/2 de Artes Visuais.Atribuições:-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O turno de realização das entrevistas será noturno no caso da Escola de Artes Visuais e, para as demais escolas, ainda a definir pelo coordenador.- Na escola de dança, ao invés das Entrevistas, haverá a participação do profissional contratado na avaliação da prova prática, que reunirá vários candidatos aprovados para esta 2a. etapa num mesmo dia/horário, via Zoom.</t>
  </si>
  <si>
    <t>075.783.736-09</t>
  </si>
  <si>
    <t>Aquisição de plano de internet fixa para o espaço CTPF Andradas.Com o retorno das atividades presenciais e as ações de catalogação, faz-se necessária a instalação de uma internet no CTPF Andradas.</t>
  </si>
  <si>
    <t>Processo 1997 - Claro S.A</t>
  </si>
  <si>
    <t>Direito de exibição do filme AMOR MALDITO, dirigido por Adelia Sampaio (BRA, 1985). O filme integra a programação da mostra Exagerados, que acontecerá entre os dias 09 e 29 de setembro no Cine Humberto Mauro e na plataforma virtual CineHumbertoMauroMais.com.</t>
  </si>
  <si>
    <t>274.510.547-72</t>
  </si>
  <si>
    <t xml:space="preserve">Contratação de Jacyara Araújo, profissional externa para as bancas examinadoras dos editais de 2021/2 de Dança.Atribuições:-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t>
  </si>
  <si>
    <t>664.099.426-72</t>
  </si>
  <si>
    <t>Transferência para Conta Reserva referente aos rendimentos de aplicações financeiras do mês 08/2021</t>
  </si>
  <si>
    <t>70.945.209/0001-03</t>
  </si>
  <si>
    <t>Contratação de empresa especializada para prestação de serviço de TV CORPORATIVA / MURAL ELETRÔNICO. aContratação será licenças do Software de Digital Signage (4YouSee, plano Enterprise), para gerenciamento e exibição de conteúdos em vídeos e informativos</t>
  </si>
  <si>
    <t>Processo 1371 - F6 Sistemas De Informatica Ltda</t>
  </si>
  <si>
    <t>07.029.586/0001-66</t>
  </si>
  <si>
    <t>Direito de exibição do filme "As Bellas da Billings, de Ozualdo Ribeiro Candeias (BRA, 1987)". O filme integra a programação da mostra Exagerados, que acontecerá entre os dias 09 e 29 de setembro no Cine Humberto Mauro e na plataforma virtual CineHumbertoMauroMais.com. Porém a exibição desse filme, será em versão restaurada, exclusivamente no Cine Humberto Mauro (apenas em exibição presencial). Serão realizadas 4 exibições.</t>
  </si>
  <si>
    <t xml:space="preserve">00.205.194/0001-61
</t>
  </si>
  <si>
    <t xml:space="preserve">Contratação de transporte de cópias em 35mm (para exibição presencial) e HD (para exibição online) dos filmes integrantes da programação da mostra Exagerados, Cinema Contra o Baixo Astral, que acontecerá entre os dias 09 e 29/09/2021 no Cine Humberto Mauro e na plataforma virtual CineHumbertoMauroMais. </t>
  </si>
  <si>
    <t>Processo 2003 - Gesani Poggianella Transporte De Cargas Ltda</t>
  </si>
  <si>
    <t>07.577.114/0001-48</t>
  </si>
  <si>
    <t xml:space="preserve">31.964.548/0001-85
</t>
  </si>
  <si>
    <t xml:space="preserve">Contratação de Fabiana Brasil, profissional externo, para as bancas examinadoras dos editais de 2021/2 de Teatro.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t>
  </si>
  <si>
    <t>32.675.823/0001-03</t>
  </si>
  <si>
    <t>Contratação de profissionais externos para as bancas examinadoras dos editais de 2021/2 de Artes Visuais.Atribuições:-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t>
  </si>
  <si>
    <t>33.681.320/0001-03</t>
  </si>
  <si>
    <t xml:space="preserve">Contratação de Paulo Falabella, profissional externo para as bancas examinadoras dos editais de 2021/2 de Artes Visuais.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t>
  </si>
  <si>
    <t xml:space="preserve">13.606.139/0001-25
</t>
  </si>
  <si>
    <t>051.466.438-06</t>
  </si>
  <si>
    <t>Impressão e plotagem de adesivo da programação da mostra Exagerados na Vitrine do Cine Humberto Mauro, e impressão e instalação da lona no placão próximo à entrada da Fundação Clóvis Salgado.</t>
  </si>
  <si>
    <t xml:space="preserve">04.099.931/0001-40
</t>
  </si>
  <si>
    <t>Contratação de Produtor Executivo para gravação de vídeo coletivo em gravação externa da OSMG e CLMG.</t>
  </si>
  <si>
    <t>956.318.446-72</t>
  </si>
  <si>
    <t>Contratação de um profissional para captação de som de entrevistas e ruídos com microfone. Este trabalho será para acompanhar captação de imagem e edição do vídeo coletivo da Cia de Dança para o dia 10 de outubro.</t>
  </si>
  <si>
    <t>Processo 2010 - Glaydson Da Silva Mendes 01418291684</t>
  </si>
  <si>
    <t>15.803.282/0001-32</t>
  </si>
  <si>
    <t xml:space="preserve">Confecção de camisas personalizadas, que serão usadas pelos monitores que estarão em trabalho na Grande Galeria Aberto da Veiga, durante a exposição de 50 anos do Palácio das Artes. </t>
  </si>
  <si>
    <t>34.739.047/0001-93</t>
  </si>
  <si>
    <t>Contratação Manacés Morais, profissional externo para as bancas examinadoras dos editais de 2021/2 de Música.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t>
  </si>
  <si>
    <t>15.406.084/0001-35</t>
  </si>
  <si>
    <t>Direito de exibição do filme NOITES DO SERTÃO, dirigido por Carlos Alberto Prates Correia (BRA, 1984). O filme integra a programação da mostra Exagerados, que acontecerá entre os dias 09 e 29 de setembro no Cine Humberto Mauro e na plataforma virtual CineHumbertoMauroMais.com.</t>
  </si>
  <si>
    <t>12.515.906/0001-28</t>
  </si>
  <si>
    <t>Guia de ISSQN referente a nota fiscal 2021/97 - Elisete Gomes Joaquim De Oliveira-me</t>
  </si>
  <si>
    <t>Guia de ISSQN referente a nota fiscal 2021/98 - Elisete Gomes Joaquim De Oliveira-me</t>
  </si>
  <si>
    <t>Guia de ISSQN referente a nota fiscal 2021/99 - Elisete Gomes Joaquim De Oliveira-me</t>
  </si>
  <si>
    <t>Guia de ISSQN referente a nota fiscal 2021/100 - Elisete Gomes Joaquim De Oliveira-me</t>
  </si>
  <si>
    <t>Guia de ISSQN referente a nota fiscal 2021/101 - Elisete Gomes Joaquim De Oliveira-me</t>
  </si>
  <si>
    <t>Guia de ISSQN referente a nota fiscal 2021/102 - Elisete Gomes Joaquim De Oliveira-me</t>
  </si>
  <si>
    <t>Guia de ISSQN referente a nota fiscal 2021/103 - Elisete Gomes Joaquim De Oliveira-me</t>
  </si>
  <si>
    <t>Guia de ISSQN referente a nota fiscal 2021/104 - Elisete Gomes Joaquim De Oliveira-me</t>
  </si>
  <si>
    <t>Guia de ISSQN referente a nota fiscal 2021/105 - Elisete Gomes Joaquim De Oliveira-me</t>
  </si>
  <si>
    <t>Guia de ISSQN referente a nota fiscal 2021/106 - Elisete Gomes Joaquim De Oliveira-me</t>
  </si>
  <si>
    <t>Guia de ISSQN referente a nota fiscal 187 - Christoffer Produções Artísticas Ltda</t>
  </si>
  <si>
    <t>Guia de ISSQN referente a nota fiscal 2021/24 - Delegascia Produções Artísticas Ltda</t>
  </si>
  <si>
    <t>Guia de ISSQN referente a nota fiscal 2021/107 -  Elisete Gomes Joaquim De Oliveira-me</t>
  </si>
  <si>
    <t>Guia de ISSQN referente ao RPA 1266 - Daniella Gonçalves Caixeta</t>
  </si>
  <si>
    <t>DARF referente ao  RPA 1266 - Daniella Gonçalves Caixeta</t>
  </si>
  <si>
    <t>INSS e INSS Patronal referente ao  RPA 1266 - Daniella Gonçalves Caixeta</t>
  </si>
  <si>
    <t>Guia de ISSQN referente ao RPA 1282- Luiza Poeira Amorim</t>
  </si>
  <si>
    <t>DARF referente ao  RPA 1282 - Luiza Poeira Amorim</t>
  </si>
  <si>
    <t>INSS e INSS Patronal referente ao  RPA 1282 - Luiza Poeira Amorim</t>
  </si>
  <si>
    <t>Contratação de professora para preparação dos bailarinos da Cia de Dança para setembro.</t>
  </si>
  <si>
    <t>690.529.306-78</t>
  </si>
  <si>
    <t>Aquisiçãode uma peça Driver JBL D 220 TI ou 2500, integrante da caixa direita que fica atrás da tela do Cine Humberto Mauro. A Mostra Exagerados tem como fio condutor o cinema brasileiro realizado na década de 80 e será realizada no Cine Humberto Mauro e através da plataforma CineHumbertoMauroMais.com entre os dias 09 e 29 de setembro, integrando a programação da mostra. Por ser filme nacional, faz-se necessária a compra da peça para boa apreciação e entendimento das obras</t>
  </si>
  <si>
    <t>05.466.209/0001-69</t>
  </si>
  <si>
    <t xml:space="preserve">Contratação de Tenison Santana, profissional externo para as bancas examinadoras dos editais de 2021/2 de Música.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t>
  </si>
  <si>
    <t xml:space="preserve">033.429.375-80
</t>
  </si>
  <si>
    <t>Captação de imagens das coreografias de 15 bailarinos individualmente in loco (casa ou lugares externos de acordo com a necessidade de cada bailarino) com utilização de Equipamentos profissionais de filmagem e drone com acompanhamento de um cinegrafista com olhar artístico. Conteúdo de cada bailarino. Edição de vídeos a partir de 15 vídeos gerados pelos bailarinos da CDPA. Nesta mesma edição deve-se considerar acompanhamento das reuniões de criações dos bailarinos diárias e inserção de legendas, capa (frame), inclusão de ficha técnica, créditos e logomarcas.Entrega do conteúdo deve ser finalizado e entregue em 10 dias úteis antes da data prevista para exibição, para chancela e conferência da Diretoria Cultural e ASCOM da FCS.</t>
  </si>
  <si>
    <t>34.436.277/0001-83</t>
  </si>
  <si>
    <t>Contratação de Rodrigo James para edição de 5 podcasts que integram a Temporada de Ópera online. Profissional especializado e com experiência em entretenimento e cultura, com foco na cena de Belo Horizonte usando programas profissionais de edição, tratamento de áudio, criação da experiência audível e de trilha sonora para edição dos 5 podcasts com disponibilização dos arquivos para veiculação. O podcast é uma mídia que está revolucionando o marketing digital e resgatando a proximidade que veículos como o rádio trazem ao ouvinte, com uma linguagem mais acessível.</t>
  </si>
  <si>
    <t>26.986.642/0001-03</t>
  </si>
  <si>
    <t>Contratação de Soraya Martins para participação de uma live "Perspectivas da prática teatral em Belo Horizonte" com os professores e alunos do CEFART, que será transmitida no Youtube da FCS.</t>
  </si>
  <si>
    <t>068.382.216-08</t>
  </si>
  <si>
    <t>Contratação de Taciano Soares , Atelie 23, para participação de uma live "Poéticas e Processos - Pedagogia de Grupo" com os professores e alunos do CEFART, que será transmitida no Youtube da FCS.</t>
  </si>
  <si>
    <t>Processo 2050 - Atelie 23 Produções Culturais Ltda</t>
  </si>
  <si>
    <t>18.266.432/0001-04</t>
  </si>
  <si>
    <t>Direitos autorais para publicação do texto critico Mitos sobre o início-fim e ficções do Brasil, escrito pela pesquisadora e crítica de cinema Maria Horta, que utiliza o nome artístico de Maria Trika para o trabalho de critica cinematográfica. Este texto é sobre os filmes O Homem que virou Suco (1981), de João Batista de Andrade; Tabu (1982), de Julio Bressane; Um filme 100% Brasileiro (1985), de José Sette; Filme Demência (1986), de Carlos Reichenbach; As Bellas das Billings (1987), de Ozualdo Candeias, que serão exibidos na mostra Exagerados Cinema Contra o Baixo Astral. Este texto poderá ser publicado em formato impresso ou em qualquer site relacionado à programação da FCS, APPA e Cine Humberto Mauro. Esta ação será um importante gesto de mediação de conteúdo, esclarecendo o público sobre aspectos estéticos e históricos acerca da filmografia a ser exibida na referida mostra.</t>
  </si>
  <si>
    <t>149.962.316-02</t>
  </si>
  <si>
    <t xml:space="preserve">Contratação de profissional para ministrar a Aula Aberta "Construindo um programa de auditório", pela Escola de Tecnologia da Cena do CEFART. Cursos que ampliem a formação artística e profissional dos alunos, complementando os conteúdos curriculares oferecidos. </t>
  </si>
  <si>
    <t>28.075.959/0001-05</t>
  </si>
  <si>
    <t>Contratação da Trupe de Truões, para participação de uma live "Poéticas e Processos - Pedagogia de Grupo" com os professores e alunos do CEFART, que será transmitida no Youtube da FCS. Cursos que ampliem a formação artística e profissional dos alunos, complementando os conteúdos curriculares oferecidos.</t>
  </si>
  <si>
    <t>11.628.426/0001-00</t>
  </si>
  <si>
    <t>Contratação de Josué Guigs, profissional externo, para as bancas examinadoras dos editais de 2021/2 de Artes Visuais.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O turno de realização das entrevistas será noturno no caso da Escola de Artes Visuais e, para as demais escolas, ainda a definir pelo coordenador.- Na escola de dança, ao invés das Entrevistas, haverá a participação do profissional contratado na avaliação da prova prática, que reunirá vários candidatos aprovados para esta 2a. etapa num mesmo dia/horário, via Zoom. A prova será de dia.- Além das entrevistas, os profissionais deverão encaminhar à Gerência de Ensino as planilhas com as notas atribuídas aos candidatos e resultados preliminares.</t>
  </si>
  <si>
    <t>37.922.363/0001-94</t>
  </si>
  <si>
    <t>Direito de uso de cópia em BETA DIGITAL do filme "Um filme 100% Brasileiro", dirigido pelo cineasta Jose Sette Barros para ser exibido no Cine Humberto Mauro. Esta cópia possui a qualidade necessária para a exibição do filme no Cinema. Uma cópia em Beta Digital normalmente é utilizada para acervo, pois é a forma mais segura de manter o original digitalizado do arquivo do filme, por isso, costuma ser a melhor versão de som e imagem do filme. Visando substituir a cópia anteriormente disponibilizada, que estava com uma qualidade baixa e não funcionou no projetor 4k do Cine Humberto Mauro, solicitamos ao produtor Tarcísio Vidigal a direito de usar essa cópia, o que representa um outro custo para ele que é detentor do direito autoral do filme e possui a guarda desta cópia para fins de preservação.</t>
  </si>
  <si>
    <t>Impressão de material gráfico institucional da Appa para futuras captações. Faz-se necessária a impressão do material para utilização em apresentação sobre a APPA e parceiros em visitas institucionais para futuras captações.</t>
  </si>
  <si>
    <t>29.032.573/0001-89</t>
  </si>
  <si>
    <t>41.761.932/0001-34</t>
  </si>
  <si>
    <t>Compra de 50 balões vermelhos tamanho médio. Compra de objeto de cenas para gravação de vídeo 50 anos da CDPA dia 21/09 à partir de 8 horas no Palácio das Artes.</t>
  </si>
  <si>
    <t>25.289.804/0001-83</t>
  </si>
  <si>
    <t>Direção Artística Áudio e Visual de cantores do CLMG e músicos Instrumentistas da OSMG, para elaboração do vídeo coletivo e dos grupos de câmera. Conteúdos gerados pelos artistas em formato de vídeo para exibição na internet do vídeo coletivo OSMG e CLMG. Vídeo com os integrantes da OSMG e CLMG, para o projeto Palácio em sua Companhia , que será exibido no dia 29 de Setembro pelas redes sociais da Fundação Clóvis Salgado.</t>
  </si>
  <si>
    <t>19.178.475/0001-09</t>
  </si>
  <si>
    <t>Contratação de Fernando Yamamoto para participação de uma live "Poéticas e Processos - Pedagogia de Grupos" com os professores e alunos do CEFART, que será transmitida no Youtube da FCS. 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</si>
  <si>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39.620.126/0001-02</t>
  </si>
  <si>
    <t>Compra de 20 escovas de dentes mais baratas de diversas cores. Compra de objeto de cenas para gravação de vídeo 50 anos da CDPA dia 21/09 à partir de 8 horas no Palácio das Artes.</t>
  </si>
  <si>
    <t>10.981.068/0001-52</t>
  </si>
  <si>
    <t>Soma:</t>
  </si>
  <si>
    <t>Gastos do Próximo Período Cobertos pelo Repasse Anterior:</t>
  </si>
  <si>
    <t>(C) Total de Recursos comprometidos no período:</t>
  </si>
  <si>
    <t>Tabela 10 - Diário de Entradas e Saídas da Reserva de Recursos</t>
  </si>
  <si>
    <t>Nº Lançto</t>
  </si>
  <si>
    <t>Data
Pgto</t>
  </si>
  <si>
    <t>Valor (R$)</t>
  </si>
  <si>
    <t>CNPJ - CPF (Favorecido)</t>
  </si>
  <si>
    <t>Tipo do Documento</t>
  </si>
  <si>
    <t>MÊS
Pgto</t>
  </si>
  <si>
    <t>Rendimentos de aplicações financeiras do mês 12/2020</t>
  </si>
  <si>
    <t>Associação Pró-Cultura e Promoção das Artes - Contrato de Gestão 05/2019 (Conta Reserva)</t>
  </si>
  <si>
    <t>Transferência Recebida</t>
  </si>
  <si>
    <t>Extrato Bancário</t>
  </si>
  <si>
    <t>Tarifa Pacote de Serviços</t>
  </si>
  <si>
    <t>Banco do Brasil S/A</t>
  </si>
  <si>
    <t>00.000.000/0001-91</t>
  </si>
  <si>
    <t>Débito em Conta</t>
  </si>
  <si>
    <t>Rendimento líquido de aplicação financeira do mês 01/2021</t>
  </si>
  <si>
    <t>Rendimentos de aplicações financeiras do mês 01/2021</t>
  </si>
  <si>
    <t>Rendimento líquido de aplicação financeira do mês 02/2021.</t>
  </si>
  <si>
    <t>Rendimento líquido de aplicação financeira do mês 03/2021.</t>
  </si>
  <si>
    <t>Rendimentos de aplicações financeiras do mês 02/2021</t>
  </si>
  <si>
    <t>Rendimentos de aplicações financeiras do mês 03/2021</t>
  </si>
  <si>
    <t>Rendimento líquido de aplicação financeira do mês 04/2021.</t>
  </si>
  <si>
    <t>Rendimentos de aplicações financeiras do mês 04/2021</t>
  </si>
  <si>
    <t>Rendimento líquido de aplicação financeira do mês 05/2021.</t>
  </si>
  <si>
    <t>Rendimentos de aplicações financeiras do mês 05/2021</t>
  </si>
  <si>
    <t>Rendimento líquido de aplicação financeira do mês 06/2021.</t>
  </si>
  <si>
    <t>Rendimentos de aplicações financeiras do mês 06/2021</t>
  </si>
  <si>
    <t>Rendimento líquido de aplicação financeira do mês 07/2021.</t>
  </si>
  <si>
    <t>Rendimentos de aplicações financeiras do mês 07/2021</t>
  </si>
  <si>
    <t>Rendimento líquido de aplicação financeira do mês 08/2021.</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</si>
  <si>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</si>
  <si>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</si>
  <si>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</si>
  <si>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</si>
  <si>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</si>
  <si>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</si>
  <si>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</si>
  <si>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</si>
  <si>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</si>
  <si>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9 - Diário de Entradas e Saídas do Contrato de Gestão - 3º Período Avaliatório</t>
  </si>
  <si>
    <t>Origem do Recurso</t>
  </si>
  <si>
    <t>MÊS
Comp.</t>
  </si>
  <si>
    <t>Tipos de Processo</t>
  </si>
  <si>
    <t>Nº do Processo</t>
  </si>
  <si>
    <t>Nº Contrato</t>
  </si>
  <si>
    <t xml:space="preserve">Reembolso realizado pela conta da Appa referente ao valor proporcional do seguro de vida </t>
  </si>
  <si>
    <t>Associação Pró-Cultura e Promoção das Artes (Contrato de Gestão 005/2019)</t>
  </si>
  <si>
    <t>Reembolso realizado pela conta da Appa referente ao valor proporcional - Medicina do Trabalho dos funcionários a serviço do Projetos Pronac</t>
  </si>
  <si>
    <t xml:space="preserve">Reembolso realizado pela conta Projeto Anglo referente ao valor proporcional do seguro de vida </t>
  </si>
  <si>
    <t>Reembolso realizado pela conta do Termo de Parceria 50/2020 referente ao valor proporcional - Medicina do Trabalho dos funcionários a serviço do Termo</t>
  </si>
  <si>
    <t xml:space="preserve">Reembolso realizado pelo Termo de Parceria 50/2020 - Iepha referente ao valor proporcional do seguro de vida dos funcionários a serviço do termo. </t>
  </si>
  <si>
    <t>Impressão Fine Art de 92 imagens fotográficas de acordo com as especificações anexas ao processo. O FIF - Festival Internacional de Fotografia - será realizado nas galerias da Arlinda Correia Lima e Genesco Murta, no Palácio das Artes, e no CamaraSete - Casa da Fotografia de Minas Gerais e tem abertura prevista para 04 de março de 2021. Para a realização do mesmo faz-se necessária a impressão fine art de 92 fotografias que compõem as exposições.</t>
  </si>
  <si>
    <t xml:space="preserve"> Luiz Rodrigo Cerqueira De Sousa</t>
  </si>
  <si>
    <t>15.376.792/0001-70</t>
  </si>
  <si>
    <t>TED Transferência Eletrônica</t>
  </si>
  <si>
    <t xml:space="preserve">Nota Fiscal </t>
  </si>
  <si>
    <t>2021/91</t>
  </si>
  <si>
    <t>CS</t>
  </si>
  <si>
    <t>Valor referente a Medicina do Trabalho do mês 06/2021 - PCMSO</t>
  </si>
  <si>
    <t>2021/6855</t>
  </si>
  <si>
    <t xml:space="preserve">Valor referente a Medicina do Trabalho do mês 06/2021 - PPRA </t>
  </si>
  <si>
    <t>Assiste Saúde do Trabalhador e Medicina do Trabalho Ltda</t>
  </si>
  <si>
    <t>03.053.305/0001-50</t>
  </si>
  <si>
    <t>2021/4811</t>
  </si>
  <si>
    <t xml:space="preserve">81.34322
</t>
  </si>
  <si>
    <t>Curso Complementar "CENAS DA DIFERENÇA: REPRESENTAÇÕES E REPRESENTATIVIDADES NA CENA CONTEMPORÂNEA" a ser ministrado para a Escola de Teatro do Cefart, com duração de 10 horas/aula.Cursos são destinados a ampliar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Este curso visa complementar o conteúdo ministrado nas disciplinas regulares da Escola de Teatro do Cefart</t>
  </si>
  <si>
    <t>Ave Alves Ferreira 40155065882</t>
  </si>
  <si>
    <t>26.547.041/0001-96</t>
  </si>
  <si>
    <t>Palestra - aula inaugural, no formato de aula aberta da meta de cursos complementares, a ser realizada no dia 18 de junho. A artista convidada terá de 40 a 60 minutos para expor um tema sobre "teatro", previamente "briffado" com o coordenador Rogério Araújo, e em seguida teremos um bate papo com os professores e alunos do Cefart. A atividade acontecerá no Zoom, e será gravada para futura disponibilização para os alunos que não estiveram presentes.</t>
  </si>
  <si>
    <t>Elisabete Mendes Coelho Representações Artisticas Ltda</t>
  </si>
  <si>
    <t>05.785.261/0001-88</t>
  </si>
  <si>
    <t>Compra de 18 seringas descartáveis transparentes de 3 ml sem agulha.Necessário compra de material para ser utilizado como material de cena para gravação do vídeo de Intervenção de Dança para o Projeto "Palácio das Artes em sua Companhia.</t>
  </si>
  <si>
    <t xml:space="preserve"> Drogaria Araújo S.A</t>
  </si>
  <si>
    <t>17.256.512/0001-16</t>
  </si>
  <si>
    <t>CO</t>
  </si>
  <si>
    <t>Contratação do profissional "Diego Silva Souza" para comentar, em live, o filme "Jejum de Amor",de Howard Hawks (His Girl Friday, EUA, 1940), que será exibido a partir do dia 15/06/2021 através da plataforma CineHumbertoMauroMais. O comentário será transmitido pelo canal do Youtube da FCS e retransmitido pela plataforma supracitada.</t>
  </si>
  <si>
    <t>Diego Silva Souza 13617304630</t>
  </si>
  <si>
    <t>41.746.752/0001-83</t>
  </si>
  <si>
    <t>Transferência Enviada</t>
  </si>
  <si>
    <t>Nota Fiscal</t>
  </si>
  <si>
    <t>2021/2</t>
  </si>
  <si>
    <t>Contratação da profissional Larissa Muniz para comentar, em live, o filmeAmor à Terra, de Jean Renoir (The Southerner, EUA, 1945), que será exibido a partir do dia 15/06/2021 através da plataforma CineHumbertoMauroMais. O comentário será transmitido pelo canal do Youtube da FCS e retransmitido pela plataforma supracitada.</t>
  </si>
  <si>
    <t xml:space="preserve"> Larissa De Freitas Muniz 12653185652</t>
  </si>
  <si>
    <t>36.595.503/0001-02</t>
  </si>
  <si>
    <t>Criação de trilha sonora e acompanhamento do processo criativo durante as reuniões de criação da Cia de Dança .Faz-se necessário contratação de profissional para Criação de trilha sonora e acompanhamento do processo criativo durante as reuniões de criação da Cia de Dança e de acordo com as solicitações orientas pela Direção Artística para o vídeo coletivo de junho do projeto "Palácio em sua Companhia.</t>
  </si>
  <si>
    <t>Formidável Produções Artísticas Ltda. - Me</t>
  </si>
  <si>
    <t xml:space="preserve">Contratação de profissional para Criação de trilha sonora e acompanhamento de todo o processo criativo durante as reuniões da Cia de Dança .Faz-se necessário contratação de profissional para Criação de trilha sonora e acompanhamento do processo criativo durante as reuniões de criação da Cia de Dança e de acordo com as solicitações orientas pela Direção Artística para o vídeo Encontro com a Cia: Encontro a Céu aberto (parte II/elas) de junho. </t>
  </si>
  <si>
    <t>Compra de 6 unidades de sombra para olhos, 4 unidades debatom e 4 unidades deglitter para ser usado no rosto, todos no tom dourado. O glitter pode ser sombra com glitter.Necessário compra de material para ser utilizado como material de cena para gravação do vídeo de Intervenção de Dança para o Projeto "Palácio das Artes em sua Companhia.</t>
  </si>
  <si>
    <t>Fama Distr. De Cosméticos Eireli</t>
  </si>
  <si>
    <t>Artística de um músico instrumentista Flautista para participação nos vídeos coletivos da OSMG e CLMG dos meses de maio e junho de 2021.</t>
  </si>
  <si>
    <t>Alef Caetano Silva</t>
  </si>
  <si>
    <t>016.727.396-59</t>
  </si>
  <si>
    <t>RPA</t>
  </si>
  <si>
    <t>Compra de 5 folhas de papel laminado dourado.Necessário compra de material para ser utilizado como material de cena para gravação do vídeo de Intervenção de Dança para o Projeto "Palácio das Artes em sua Companhia.</t>
  </si>
  <si>
    <t>Duisa Papelaria, Livraria E Uniformes Ltda</t>
  </si>
  <si>
    <t>Cons Oper Tr Col Pass Onib BH</t>
  </si>
  <si>
    <t>04.398.505/0001­07</t>
  </si>
  <si>
    <t>2021/152140</t>
  </si>
  <si>
    <t>2021/152387</t>
  </si>
  <si>
    <t xml:space="preserve"> Contratação do Maestro Roberto Tibiriça como convidado se faz necessária para presidir e compor a banca examinadora das audições presenciais que acontecerão nos dias 29 e 30/06/2021 na Fundação Clóvis Salgado. Referente ao Edital nº 13/2021 - EDITAL DE PROCESSO SELETIVO PARA PREENCHIMENTO DE VAGA DE MÚSICOS INSTRUMENTISTAS.</t>
  </si>
  <si>
    <t>Nova Filarmonia Produções Musicais Eireli</t>
  </si>
  <si>
    <t>02.455.045/0001-86</t>
  </si>
  <si>
    <t>Compra de2 kg de pó de argila ou argila em pó.Necessário compra de material para ser utilizado como material de cena para gravação do vídeo de Intervenção de Dança para o Projeto "Palácio das Artes em sua Companhia.</t>
  </si>
  <si>
    <t>Armazem Da Arte Eireli</t>
  </si>
  <si>
    <t>04.498.140/0001-92</t>
  </si>
  <si>
    <t>1 Serviço | Elaboração de arranjos de partituras da obra ''Verano Porteno'' do compositor Argentino Astor Piazzolla com tempo de música de 4''min.Contratação arranjador orquestral para elaboração das partituras da obra "Verano Porteno" do músico e compositor Argentino Astor Piazzolla, para o vídeo coletivo da OSMG e CLMG em homenagem ao referido artista. O vídeo tem programação de ser publicado no dia 27 de junho de 2021 nas redes sociais da FCS.</t>
  </si>
  <si>
    <t>Frederico Carlos Natalino 06822245618</t>
  </si>
  <si>
    <t>20.994.643/0001-05</t>
  </si>
  <si>
    <t>2021/21</t>
  </si>
  <si>
    <t>Contratação de serviço para edição de vídeo coletivo dos contratados CLMG no Projeto "Palácio em Sua Companhia".</t>
  </si>
  <si>
    <t>Ariadna Fernandes 07694579676</t>
  </si>
  <si>
    <t>26.336.510/0001-28</t>
  </si>
  <si>
    <t>2021/11</t>
  </si>
  <si>
    <t>Contratação de profissional especializado Cinegrafista para captação de imagens com equipamento especializado e editor artístico de vídeo para criação de 04 vídeos dança para a Cia de Dança Palácio das Artes ( Coletivo CDPA, Intervenção de Dança ou Encontro com Cia de Dança) os vídeos serão publicados nas redes sociais dias 23 e 30 de maio e 13 e 30 de junho de 2021. Parcela 02</t>
  </si>
  <si>
    <t>Kleber De Jesus Bispo 10663043603</t>
  </si>
  <si>
    <t>2021/22</t>
  </si>
  <si>
    <t>Tarifa Bancária referente a transferência eletrônica pagamento fornecedor:Nova Filarmonia Produções Musicais Eireli - Processo 1706</t>
  </si>
  <si>
    <t>Tarifa Bancária referente a transferência eletrônica pagamento fornecedor: Armazem Da Arte Eireli - Processo 1731</t>
  </si>
  <si>
    <t>Tarifa Bancária referente a transferência eletrônica pagamento fornecedor:  Frederico Carlos Natalino 06822245618 - Processo 1567</t>
  </si>
  <si>
    <t>Tarifa Bancária referente a transferência eletrônica pagamento fornecedor:  Ariadna Fernandes 07694579676 - Processo 1629</t>
  </si>
  <si>
    <t>Sergio Arruda Felicio</t>
  </si>
  <si>
    <t>2021/8</t>
  </si>
  <si>
    <t>Parcela</t>
  </si>
  <si>
    <t xml:space="preserve"> Marco Tulio De Sousa Ulhoa 06283026656</t>
  </si>
  <si>
    <t>2021/10</t>
  </si>
  <si>
    <t>Contratação do profissional João Campos para comentar, em live, o filmeAlmas Perversas, de Fritz Lang (Scarlet Street, EUA, 1945), que será exibido a partir do dia 15/06/2021 através da plataforma CineHumbertoMauroMais. O comentário será transmitido pelo canal do Youtube da FCS e retransmitido pela plataforma supracitada.</t>
  </si>
  <si>
    <t>João Paulo De Freitas Campos</t>
  </si>
  <si>
    <t>097.931.237-02</t>
  </si>
  <si>
    <t>Reembolso a conta do Contrato de Gestão - 05/2019  ref aquisição de sistema de ponto para utilização pelos colaboradores da Appa  (Anglo)- ano 2021. Referente ao mês 06/2021</t>
  </si>
  <si>
    <t>Reembolso a conta do Contrato de Gestão - 05/2019  ref aquisição de sistema de ponto para utilização pelos colaboradores da Appa  - ano 2021. Referente ao mês 06/2021</t>
  </si>
  <si>
    <t>Reembolso a conta do Contrato de Gestão - 05/2019 Aquisição de sistema de ponto para utilização pelos colaboradores do TP 50/2020 IEPHA - ano 2021. Referente ao mês 06/2021</t>
  </si>
  <si>
    <t>Reembolso realizado pelo Termo de Parceria 50/2020 - IEPHA  referente ao percentual (26,41% do valor total), assessoria contábil para o Contrato de Gestão 05/2019 e Termo de Parceria referente ao mês 06/2021</t>
  </si>
  <si>
    <t>Transferência Agendada</t>
  </si>
  <si>
    <t xml:space="preserve">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06/2021) - 26,41% do valor total - </t>
  </si>
  <si>
    <t xml:space="preserve">Reembolso parcial da conta do Termo de Parceria 50/2020 - IEPHA, referente contratação de empresa de setor administrativo especializada em entidades do terceiro setor  para o Contrato de Gestão 05/2019 e Termo de Parceria 50/2020 (mês 06/2021) - 26,41% do valor total - </t>
  </si>
  <si>
    <t>Curso complementar "Critica de Arte "para a escola de Artes Visuais., com carga de 10 horas/aula.O curso ora em oferta visa dar aos alunos da Escola de Artes Visuais do Cefart uma visão mais ampla sobre o que vem a ser a crítica de arte e suas nuances. Cursos que ampliem a formação artística e profissional dos alunos, complementando os conteúdos curriculares oferecidos.</t>
  </si>
  <si>
    <t>Rizzia Soares Rocha</t>
  </si>
  <si>
    <t xml:space="preserve">075.937.887-84
</t>
  </si>
  <si>
    <t>Palestra - aula inaugural, no formato de aula aberta da meta de cursos complementares.A artista convidada terá de 40 a 60 minutos para expor um tema sobre "artes visuais", previamente "briffado" com o coordenador Geraldo Octaviano, e em seguida teremos um bate papo com os professores e alunos do Cefart.A atividade acontecerá no Zoom, e será gravada para futura disponibilização para os alunos que não estiveram presente.</t>
  </si>
  <si>
    <t>José Carlos Serroni</t>
  </si>
  <si>
    <t>760.463.548-20</t>
  </si>
  <si>
    <t>Arco Cultural Ltda</t>
  </si>
  <si>
    <t>2021/37</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</si>
  <si>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03</t>
  </si>
  <si>
    <t>2021/38</t>
  </si>
  <si>
    <t xml:space="preserve">Parcela </t>
  </si>
  <si>
    <t>Guia de ISSQN referente a nota fiscal 61 - Jupyra Producoes Ltda</t>
  </si>
  <si>
    <t xml:space="preserve">Guia de ISSQN referente a nota 179 - Christoffer Produções Artísticas Ltda
</t>
  </si>
  <si>
    <t>Guia de ISSQN referente a nota fiscal 232 - Aquela Cia Produções Artísticas Ltda</t>
  </si>
  <si>
    <t>Guia de ISSQN referente ao RPA 1173 - Heitor Pinheiro</t>
  </si>
  <si>
    <t>Guia de ISSQN referente ao RPA 1174 - Alef Caetano Silva</t>
  </si>
  <si>
    <t>Guia de ISSQN referente ao RPA 1175 - Rosangela De Mendonça Guimarães</t>
  </si>
  <si>
    <t xml:space="preserve">Guia de ISSQN referente ao RPA 1176 - Arthur Versiani Velloso Neto
</t>
  </si>
  <si>
    <t>Guia de ISSQN referente ao RPA 1177 -  Andre Lodi Rocha</t>
  </si>
  <si>
    <t>ISSQN referente ao RPA 1178 - Alberto Lopes Cancado</t>
  </si>
  <si>
    <t>Guia de ISSQN referente ao RPA 1179 - Geraldo Peixoto De Freitas Neto</t>
  </si>
  <si>
    <t>Guia de ISSQN referente ao RPA 1180- Michelle Aparecida Silva Barreto</t>
  </si>
  <si>
    <t>Guia de ISSQN referente ao RPA 1181 - Ewelyn Felice Da Silva</t>
  </si>
  <si>
    <t>Guia de ISSQN referente ao RPA 1182 -  Carlos Aleixo Dos Reis</t>
  </si>
  <si>
    <t>Guia de ISSQN referente ao RPA 1183 - Augusto Mário Goulart Pimenta</t>
  </si>
  <si>
    <t>Guia de ISSQN referente ao RPA 1187 - Robert Avelino Camilo</t>
  </si>
  <si>
    <t>Guia de ISSQN referente ao RPA 1188 - Marise Dinis Sousa</t>
  </si>
  <si>
    <t>Guia de ISSQN referente ao RPA 1195 -  Luiz Antônio Dias Pereira</t>
  </si>
  <si>
    <t>Guia de ISSQN referente ao RPA 1198 - Dionilson Aparecido Moura Dias</t>
  </si>
  <si>
    <t>Guia de ISSQN referente ao RPA 1200 - Cleber José Leão De Almeida</t>
  </si>
  <si>
    <t>Guia de ISSQN referente ao RPA 1204 - Oscar Alberto Nardi</t>
  </si>
  <si>
    <t>Guia de ISSQN referente ao RPA 1206 -  Andre Lodi Rocha</t>
  </si>
  <si>
    <t>Guia de ISSQN referente ao RPA 1210 - Roberto Tibiriçá Passos</t>
  </si>
  <si>
    <t>Guia de ISSQN referente a nota fiscal 2021/2 - Cenario Oscar 2019 Serviços De Montagem Eireli</t>
  </si>
  <si>
    <t>Guia de ISSQN referente a nota fiscal 2021/3 - Javali Do Mar Experimentações Artisticas Ltda</t>
  </si>
  <si>
    <t>Guia de ISSQN referente a nota fiscal 2021/4 - Estúdio 739 De Publicidade E Propaganda Ltda</t>
  </si>
  <si>
    <t>Guia de ISSQN referente a nota fiscal 2021/5 - Renata Fonseca Felicissimo 10665267614</t>
  </si>
  <si>
    <t>Guia de ISSQN referente a nota fiscal 2021/6 - Ricelli Piva Dos Santos - Me</t>
  </si>
  <si>
    <t>Guia de ISSQN referente a nota fiscal 2021/8 - Mylene Youssef A Vieira - Produções E Eventos Epp</t>
  </si>
  <si>
    <t>Guia de ISSQN referente a nota fiscal 2021/10 - Rafael Bruno De Oliveira Ferreira Eireli</t>
  </si>
  <si>
    <t>Guia de ISSQN referente a nota fiscal 2021/10 -  Leben 108 Produtora De Filmes Ltda</t>
  </si>
  <si>
    <t>Guia de ISSQN referente a nota fiscal 2021/11 -  Luiza Leandro Martins Fonseca 10287238652</t>
  </si>
  <si>
    <t>Guia de ISSQN referente a nota fiscal 2021/19 - Travessia Cinematografica Ltda</t>
  </si>
  <si>
    <t>Guia de ISSQN referente a nota fiscal 2021/20 - Girassolina Produções Ltda</t>
  </si>
  <si>
    <t>Guia de ISSQN referente a nota fiscal 2021/22 - Devora Filmes Ltda</t>
  </si>
  <si>
    <t>Guia de ISSQN referente a nota fiscal 2021/25 - Hatari Filmes Ltda</t>
  </si>
  <si>
    <t>Guia de ISSQN referente a nota fiscal 2021/33 - Arco Cultural Ltda</t>
  </si>
  <si>
    <t>Guia de ISSQN referente a nota fiscal 2021/34 - Arco Cultural Ltda</t>
  </si>
  <si>
    <t>ISSQN referente a nota fiscal 2021/43 -  Logus Protection Patrimonial Ltda</t>
  </si>
  <si>
    <t>Guia de ISSQN referente a nota fiscal 2021/65 - Elisete Gomes Joaquim De Oliveira-me</t>
  </si>
  <si>
    <t>Guia de ISSQN referente a nota fiscal 2021/68 - Elisete Gomes Joaquim De Oliveira-me</t>
  </si>
  <si>
    <t>Guia de ISSQN referente a nota fiscal 2021/69 - Elisete Gomes Joaquim De Oliveira-me</t>
  </si>
  <si>
    <t>Guia de ISSQN referente a nota fiscal 2021/91 - Luiz Rodrigo Cerqueira De Sousa</t>
  </si>
  <si>
    <t>Guia de ISSQN referente a nota fiscal 2021/149 - Softwares De Gestão Ltda</t>
  </si>
  <si>
    <t>Guia de ISSQN referente a nota fiscal 2021/291 - Krypton Tech Desenvolvimento De Software Ltda</t>
  </si>
  <si>
    <t xml:space="preserve">Guia de ISSQN referente a nota fiscal 2021/918- Patrulha Eletrônica Ltda </t>
  </si>
  <si>
    <t>Guia de ISSQN referente a nota fiscal 2021/4811 - Assiste Saúde do Trabalhador e Medicina do Trabalho Ltda</t>
  </si>
  <si>
    <t>Guia de ISSQN referente a nota fiscal 2021/6855- Ocupacional Medicina do Trabalho Ltda</t>
  </si>
  <si>
    <t>Guia de ISSQN referente a nota 2021/137598 - Cons Oper Transporte Coletivo</t>
  </si>
  <si>
    <t>Guia de ISSQN referente a nota 2021/138689- Cons Oper Transporte Coletivo</t>
  </si>
  <si>
    <t>Guia de ISSQN referente a nota fiscal 2021/307271- Unimed Cooperativa de Trabalho Médico</t>
  </si>
  <si>
    <t>Guia de ISSQN referente a nota fiscal 2021/311292 - Unimed Cooperativa de Trabalho Médico</t>
  </si>
  <si>
    <t>Aluguel do mês de junho/2021 do CTP</t>
  </si>
  <si>
    <t>BH Notebooks Ltda</t>
  </si>
  <si>
    <t xml:space="preserve">Recibo </t>
  </si>
  <si>
    <t xml:space="preserve">42.784.421/0001-09
</t>
  </si>
  <si>
    <t>2021/892</t>
  </si>
  <si>
    <t>Contratação do Maestro Silvio Viegas se faz necessária para presidir e compor a banca examinadora das audições presenciais que acontecerão nos dias 29 e 30/06/2021 na Fundação Clóvis Salgado. Referente ao Editalnº 13/2021 - EDITAL DE PROCESSO SELETIVO PARA PREENCHIMENTO DE VAGA DE MÚSICOS INSTRUMENTISTAS.</t>
  </si>
  <si>
    <t>Christoffer Produções Artísticas Ltda</t>
  </si>
  <si>
    <t>Contratação de 4 cachês artísticos de Maestro titular na Direção e desenvolvimento dos repertórios artísticos para os eventos da OSMG sendo presenciais ou virtuais. Devido a questão da Pandemia, a Orquestra pode participar de projetos como o "Palácio em sua Cia", parte da programação de Mediação Cultural da FCS, que contempla a realização de apresentações em vídeo, gerando conteúdos de programação para o ambiente virtual.</t>
  </si>
  <si>
    <t>Curso Complementar "Dança Moderna"para a escola de Dança.O curso ora em oferta visa proporcionar aos alunos da Escola de Dança do Cefart novas perspectivas acerca da dança, especialmente a dança moderna, em complemento ao conteúdo ministrado nas disciplinas específicas do curso. Os conteúdos programáticos, formatos e cronogramas dos cursos complementares são desenvolvidos pela Diretoria, Gerência de Ensino e pela Coordenação da Escola, que definem a carga horária e a quantidade de vagas para atendimento ao público interno e ao público externo (quando houver vagas).</t>
  </si>
  <si>
    <t>Andréia Dias Marques</t>
  </si>
  <si>
    <t>703.991.621-51</t>
  </si>
  <si>
    <t>Palestra - aula inaugural, a ser realizada no dia 18 de junho, no formato de aula aberta da meta de cursos complementares.A artista convidada terá de 40 a 60 minutos para expor um tema sobre "canto", previamente "briffado" com a coordenadora interina Maria Cezarina, e em seguida teremos um bate papo com os professores e alunos do Cefart.A atividade acontecerá no Zoom, e será gravada para futura disponibilização para os alunos que não estiverem presentes.</t>
  </si>
  <si>
    <t>Fabíola Araújo Protzner De Oliveira 01521155607</t>
  </si>
  <si>
    <t>26.770.614/0001-46</t>
  </si>
  <si>
    <t>2021/3</t>
  </si>
  <si>
    <t>Tarifa Bancária referente a transferência eletrônica pagamento fornecedor: BH Notebooks Ltda - Processo 1139</t>
  </si>
  <si>
    <t>Tarifa Bancária referente a transferência eletrônica pagamento fornecedor: Krypton Serviços Contábeis S. S.  -  Processo  1114</t>
  </si>
  <si>
    <t>Tarifa Bancária referente a transferência eletrônica pagamento fornecedor:  Christoffer Produções Artísticas Ltda - Processo 1705</t>
  </si>
  <si>
    <t>Tarifa Bancária referente a transferência eletrônica pagamento fornecedor:  Christoffer Produções Artísticas Ltda - Processo 1380</t>
  </si>
  <si>
    <t>Tarifa Bancária referente a transferência eletrônica pagamento fornecedor:  Andréia Dias Marques - Processo 1523</t>
  </si>
  <si>
    <t>Tarifa Bancária referente a transferência eletrônica pagamento fornecedor: Fabíola Araújo Protzner De Oliveira 01521155607- Processo 1668</t>
  </si>
  <si>
    <t>Tarifa Bancária referente a transferência eletrônica pagamento fornecedor: Arco Cultural Ltda - Processo 1134</t>
  </si>
  <si>
    <t>Tarifa Bancária referente a transferência eletrônica pagamento fornecedor: Arco Cultural Ltda - Processo 1458</t>
  </si>
  <si>
    <t xml:space="preserve">Tarifa Pacote de Serviços </t>
  </si>
  <si>
    <t>Guia de ISSQN referente a nota fiscal 180 - Christoffer Produções Artísticas Ltda</t>
  </si>
  <si>
    <t>Guia de ISSQN referente ao RPA 1189 -  Ana Dos Anjos Camarano Cardoso</t>
  </si>
  <si>
    <t>Guia de ISSQN referente ao RPA 1190 -  Angela Peres De Oliveira</t>
  </si>
  <si>
    <t xml:space="preserve">Guia de ISSQN referente ao RPA 1192 - Juliana De Sousa Martins Pereira </t>
  </si>
  <si>
    <t>Maria Izabel Correa De Oliveira 06085003641</t>
  </si>
  <si>
    <t>Contratação de profissional para analista de mídia. Os serviços serão inicialmente para 11 meses, a contar da assinatura do contrato.Com a necessidade de interromper as ações presenciais, o processo de transformação digital da FCS também foi acelerado. Assim, o Núcleo de Mídias Digitais passou a ter novas demandas, adequando-se às exigências do mercado. Para que o setor cumpra às demandas de todos os projetos sob sua responsabilidade, é necessária a contratação, desse fornecedor de serviço. Esse profissional será imprescindível para planejar novos projetos e implantar a transformação digital da instituição.</t>
  </si>
  <si>
    <t xml:space="preserve"> Ana Dos Anjos Camarano Cardoso</t>
  </si>
  <si>
    <t xml:space="preserve">049.086.615-88
</t>
  </si>
  <si>
    <t xml:space="preserve"> Angela Peres De Oliveira</t>
  </si>
  <si>
    <t>Guia de ISSQN referente ao RPA 1191 -  Luciana Monteiro Campello</t>
  </si>
  <si>
    <t>Contratação de um designer gráfico, com experiência comprovada na área. Os serviços serão prestados por 11 meses, a partir da assinatura do contrato.Com a necessidade de interromper as ações presenciais as demandas do Núcleo de Design (criação gráfica/web) aumentou consideravelmente. Para tanto, faz-se necessário a contratação de um profissional para apoio as ações dos projetos, imediata e em caráter emergencial, para suprir a demanda de peças gráficas e web.</t>
  </si>
  <si>
    <t>Luciana Monteiro Campello</t>
  </si>
  <si>
    <t>097.410.426-47</t>
  </si>
  <si>
    <t>Guia de ISSQN referente ao RPA 1193 - Allan Ferreira Calisto</t>
  </si>
  <si>
    <t>Guia de ISSQN referente a nota fiscal 2021/11 - Rosa De Areia Produções Ltda</t>
  </si>
  <si>
    <t>Guia de ISSQN referente a nota fiscal 2021/14 - Chão Da Feira Ltda</t>
  </si>
  <si>
    <t>Pagamento de prêmio para o melhor curta metragem da mostra competitiva Brasil do 22º Festcurtas BH, escolhido pelo júri oficial.O filme vencedor foi "Minha História É Outra", dirigido por Mariana Campos.</t>
  </si>
  <si>
    <t>Timoneira Produções Artísticas Ltda</t>
  </si>
  <si>
    <t xml:space="preserve">14.446.838/0001-18
</t>
  </si>
  <si>
    <t>Recibo</t>
  </si>
  <si>
    <t>Contratação de fornecedor de serviços para assessoria de projetos para a Fundação Clóvis Salgado. 1º parcela aditivo</t>
  </si>
  <si>
    <t xml:space="preserve"> Allan Ferreira Calisto</t>
  </si>
  <si>
    <t>Salário do Superintendente de Auditoria, referente ao mês 06/2021</t>
  </si>
  <si>
    <t>Agostinho Resende Neves</t>
  </si>
  <si>
    <t>827.810.796-34</t>
  </si>
  <si>
    <t>Recibo de Pagamento de Salário</t>
  </si>
  <si>
    <t>Salário da Analista Financeiro Pleno, referente ao mês 06/2021</t>
  </si>
  <si>
    <t>Andréia Simões Santos</t>
  </si>
  <si>
    <t>060.635.676-23</t>
  </si>
  <si>
    <t>Salário do Montador Diart, referente ao mês 06/2021</t>
  </si>
  <si>
    <t>Carlos Natanael Brito da Silva</t>
  </si>
  <si>
    <t>034.603.595-36</t>
  </si>
  <si>
    <t>Salário do Coordenador de Comunicação, referente ao mês 06/2021</t>
  </si>
  <si>
    <t>Daniel de Araújo Moreira</t>
  </si>
  <si>
    <t>015.238.326-30</t>
  </si>
  <si>
    <t>Salário do Gerente de Projetos, referente ao mês 06/2021</t>
  </si>
  <si>
    <t>Fernando Antonio Costa de Assis</t>
  </si>
  <si>
    <t>504.353.456-72</t>
  </si>
  <si>
    <t>Salário do Diretor Financeiro, referente ao mês 06/2021</t>
  </si>
  <si>
    <t>Guilherme Domingos de Oliveira</t>
  </si>
  <si>
    <t>030.761.766-17</t>
  </si>
  <si>
    <t>Salário da Produtora Cultural: Produção Artística, referente ao mês 06/2021</t>
  </si>
  <si>
    <t>Kênia Regina de Mendonça Perdigão</t>
  </si>
  <si>
    <t>000.061.956-60</t>
  </si>
  <si>
    <t>Salário da Auxiliar de serviços Gerais, referente ao mês 06/2021</t>
  </si>
  <si>
    <t>Renivalda Cândida da Silva Santana</t>
  </si>
  <si>
    <t>024.550.206-81</t>
  </si>
  <si>
    <t>Salário do Montador Dipro, referente ao mês 06/2021</t>
  </si>
  <si>
    <t>Wilton Bernardino Marques</t>
  </si>
  <si>
    <t>051.877.056-79</t>
  </si>
  <si>
    <t>Fernanda Aparecida Elias Batista</t>
  </si>
  <si>
    <t>067.000.236-45</t>
  </si>
  <si>
    <t xml:space="preserve"> Luiza Leandro Martins Fonseca 10287238652</t>
  </si>
  <si>
    <t>2021/12</t>
  </si>
  <si>
    <t>Curso complementar "Direção de Cena" para a escola de Teatro.O curso ora em solicitação visa ampliar a capacitação e o conhecimento dos alunos da Escola de Teatro do Cefart em detalhes do aspecto da direção e concepção da cena em espetáculos teatrais. Cursos que ampliem a formação artística e profissional dos alunos, complementando os conteúdos curriculares oferecidos.</t>
  </si>
  <si>
    <t xml:space="preserve">Jefferson Da Fonseca Coutinho
</t>
  </si>
  <si>
    <t>586.004.696-00</t>
  </si>
  <si>
    <t>Consumo de energia elétrica do mês 06/2021</t>
  </si>
  <si>
    <t>Compra de testes rápidos para reabertura das atividades na FCS. Ocorrerá no dia 06/07 uma apresentação no Fundação Clóvis Salgado. Seguindo os protocolos sanitários de BH, será preciso fazer uma testagem no local.</t>
  </si>
  <si>
    <t xml:space="preserve"> Laboratóro Murad, Casali E Carneiro Ltda</t>
  </si>
  <si>
    <t>25.279.249/0001-09</t>
  </si>
  <si>
    <t>2021/613</t>
  </si>
  <si>
    <t>Salário da Assessora Pedagógica: Formação Artística e Tecnológica, referente ao mês 06/2021</t>
  </si>
  <si>
    <t>Priscila Ramos Toledo Ferreira</t>
  </si>
  <si>
    <t>031.269.666-32</t>
  </si>
  <si>
    <t>Salário da Gerente de Projetos Dipro , referente ao mês 06/2021</t>
  </si>
  <si>
    <t>Luciana Soares Veloso</t>
  </si>
  <si>
    <t>055.473.976-36</t>
  </si>
  <si>
    <t>Alexandre de Oliveira Santos</t>
  </si>
  <si>
    <t>044.537.996-08</t>
  </si>
  <si>
    <t>Salário do Presidente referente ao mês 06/2021</t>
  </si>
  <si>
    <t>Felipe Vieira Xavier</t>
  </si>
  <si>
    <t>067.186.996-59</t>
  </si>
  <si>
    <t>Salário do Coordenador Administrativo referente ao mês 06/2021</t>
  </si>
  <si>
    <t>Flávio César Pereira</t>
  </si>
  <si>
    <t>044.218.046-22</t>
  </si>
  <si>
    <t>Salário do Gerente de Projetos: Programação Artística referente ao mês 06/2021</t>
  </si>
  <si>
    <t>Priscila Fiorini Maia Bittencourt</t>
  </si>
  <si>
    <t>014.275.836-17</t>
  </si>
  <si>
    <t>Tarifa Bancária referente a transferência eletrônica salário do Superintendente de Auditoria</t>
  </si>
  <si>
    <t xml:space="preserve">Tarifa Bancária referente a transferência eletrônica salário da Analista Financeiro Pleno </t>
  </si>
  <si>
    <t xml:space="preserve">Tarifa Bancária referente a transferência eletrônica salário do Montador </t>
  </si>
  <si>
    <t xml:space="preserve">Tarifa Bancária referente a transferência eletrônica salário do Coordenador de Comunicação </t>
  </si>
  <si>
    <t>Tarifa Bancária referente a transferência eletrônica salário da Gerente de Projetos</t>
  </si>
  <si>
    <t>Tarifa Bancária referente a transferência eletrônica salário do Gerente de Projetos</t>
  </si>
  <si>
    <t>Tarifa Bancária referente a transferência eletrônica salário do Diretor de Projetos</t>
  </si>
  <si>
    <t>Tarifa Bancária referente a transferência eletrônica salário da Produtora Cultural</t>
  </si>
  <si>
    <t>Tarifa Bancária referente a transferência eletrônica salário da Auxiliar de Serviços Gerais</t>
  </si>
  <si>
    <t>Tarifa Bancária referente a transferência eletrônica pagamento fornecedor:  Luiza Leandro Martins Fonseca 10287238652 - Processo 1279</t>
  </si>
  <si>
    <t>Tarifa Bancária referente a transferência eletrônica pagamento fornecedor: Jefferson Da Fonseca Coutinho
- Processo 1522</t>
  </si>
  <si>
    <t>Tarifa Bancária referente a transferência eletrônica pagamento fornecedor:  Laboratóro Murad, Casali E Carneiro Ltda - Processo 1747</t>
  </si>
  <si>
    <t>Reembolso realizado pelo Termo de Parceria 50/2020 - IEPHA referente ao percentual (26,41% do valor total), assessoria jurídica para o Contrato de Gestão e Termo de Parceria referente ao mês 06/2021.</t>
  </si>
  <si>
    <t>Reembolso realizado pelo Termo de Parceria 50/2020 - Iepha a conta do Contra de Gestão 005/2019 referente ao pagamento de guia de FGTS - Valor proporcional aos funcionários a serviço do TP 50/2020 - 06/2021</t>
  </si>
  <si>
    <t xml:space="preserve">Reembolso realizado pela Appa - Projeto Pronac  a conta do Contrato de Gestão referente ao pagamento de guia de FGTS </t>
  </si>
  <si>
    <t>Participação naRoda de Conversa " Música Sinfônica e Políticas Culturais no Brasil de hoje".A Roda de Conversa acontecerá no dia 17 de junho.Cursos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</si>
  <si>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Raul Martinho Sá D'oliveira</t>
  </si>
  <si>
    <t>043.554.217-67</t>
  </si>
  <si>
    <t xml:space="preserve">08.215.660/0001-00
</t>
  </si>
  <si>
    <t>2021/14</t>
  </si>
  <si>
    <t>Marcela Silva Moreira 06326086680</t>
  </si>
  <si>
    <t>FGTS referente a folha de pagamento do mês 06/2021</t>
  </si>
  <si>
    <t>Fundo de Garantia do Tempo de Serviço</t>
  </si>
  <si>
    <t>Vale Alimentação dos funcionários a serviço do Contrato de Gestão</t>
  </si>
  <si>
    <t>04.740.876/0001-25</t>
  </si>
  <si>
    <t>Contratação de 6 cachês artísticos para bailarino (a) na participação em 6 apresentações ou repertórios artísticos desenvolvidos para os eventos da CDPA sendo presenciais ou virtuais. Contratação de Amanda Santana como bailarina, representada por sua empresária Elisete Gomes Joaquim de Oliveira conforme contrato de representação artístico anexo.</t>
  </si>
  <si>
    <t>Elisete Gomes Joaquim De Oliveira-me</t>
  </si>
  <si>
    <t>31.964.548/0001-85</t>
  </si>
  <si>
    <t>2021/71</t>
  </si>
  <si>
    <t>Contratação de 6 cachês artísticos para bailarino (a) na participação em 6 apresentações ou repertórios artísticos desenvolvidos para os eventos da CDPA sendo presenciais ou virtuais. Contratação de Silvia Maia como bailarina, representado por sua empresária Elisete Gomes Joaquim de Oliveira conforme contrato de representação artístico anexo.</t>
  </si>
  <si>
    <t xml:space="preserve"> Elisete Gomes Joaquim De Oliveira-me</t>
  </si>
  <si>
    <t>2021/72</t>
  </si>
  <si>
    <t>Contratação de 6 cachês artísticos para bailarino (a) na participação em 6 apresentações ou repertórios artísticos desenvolvidos para os eventos da CDPA sendo presenciais ou virtuais. Contratação de Anahi Poty como bailarina, representado por sua empresária Elisete Gomes Joaquim de Oliveira conforme contrato de representação artístico anexo.</t>
  </si>
  <si>
    <t>2021/73</t>
  </si>
  <si>
    <t>Contratação de 6 cachês artísticos para bailarino (a) na participação em 6 apresentações ou repertórios artísticos desenvolvidos para os eventos da CDPA sendo presenciais ou virtuais. Contratação de Maíra Campos como bailarina, representado por sua empresária Elisete Gomes Joaquim de Oliveira conforme contrato de representação artístico anexo.</t>
  </si>
  <si>
    <t>2021/74</t>
  </si>
  <si>
    <t>Contratação de 6 cachês artísticos para bailarino (a) na participação em 6 apresentações ou repertórios artísticos desenvolvidos para os eventos da CDPA sendo presenciais ou virtuais. Contratação de Leandro Garcia como bailarino, representado por sua empresária Elisete Gomes Joaquim de Oliveira conforme contrato de representação artístico anexo.</t>
  </si>
  <si>
    <t>2021/75</t>
  </si>
  <si>
    <t>Contratação de 6 cachês artísticos para bailarino (a) na participação em 6 apresentações ou repertórios artísticos desenvolvidos para os eventos da CDPA sendo presenciais ou virtuais. Contratação de Lucas Resende como bailarino, representado por sua empresária Elisete Gomes Joaquim de Oliveira conforme contrato de representação artístico anexo.</t>
  </si>
  <si>
    <t>2021/76</t>
  </si>
  <si>
    <t>Contratação de 6 cachês artísticos para bailarino (a) na participação em 6 apresentações ou repertórios artísticos desenvolvidos para os eventos da CDPA sendo presenciais ou virtuais. Contratação de Paulo Wesley como bailarino, representado por sua empresária Elisete Gomes Joaquim de Oliveira conforme contrato de representação artístico anexo.</t>
  </si>
  <si>
    <t>2021/77</t>
  </si>
  <si>
    <t>Contratação de 6 cachês artísticos para bailarino (a) na participação em 6 apresentações ou repertórios artísticos desenvolvidos para os eventos da CDPA sendo presenciais ou virtuais. Contratação de Jorge Luiz como bailarino, representado por sua empresária Elisete Gomes Joaquim de Oliveira conforme contrato de representação artístico anexo.</t>
  </si>
  <si>
    <t>2021/78</t>
  </si>
  <si>
    <t>Contratação de 6 cachês artísticos para bailarino (a) na participação em 6 apresentações ou repertórios artísticos desenvolvidos para os eventos da CDPA sendo presenciais ou virtuais. Contratação de Renato Augusto como bailarino, representado por sua empresária Elisete Gomes Joaquim de Oliveira conforme contrato de representação artístico anexo.</t>
  </si>
  <si>
    <t>2021/79</t>
  </si>
  <si>
    <t>Contratação de 6 cachês artísticos para bailarino (a) na participação em 6 apresentações ou repertórios artísticos desenvolvidos para os eventos da CDPA sendo presenciais ou virtuais. Contratação de Pablo Garcia como bailarino, representado por sua empresária Elisete Gomes Joaquim de Oliveira conforme contrato de representação artístico anexo.</t>
  </si>
  <si>
    <t>2021/80</t>
  </si>
  <si>
    <t>Ivete Maria De Oliveira 76363481600</t>
  </si>
  <si>
    <t>Contratação de Raquel Carneiro para compor a banca de avaliação das audições presenciais do processo seletivo das vagas de músicos instrumentistas.</t>
  </si>
  <si>
    <t>Raquel Santos Carneiro</t>
  </si>
  <si>
    <t>033.955.396-01</t>
  </si>
  <si>
    <t>Compra de 1 língua de boi. Necessário compra de material para ser utilizado como material de cena para gravação do vídeo de Intervenção de Dança para o Projeto "Palácio das Artes em sua Companhia.</t>
  </si>
  <si>
    <t>Frigorifico Montalvania Ltda</t>
  </si>
  <si>
    <t>38.467.528/0001-48</t>
  </si>
  <si>
    <t>000.085.318</t>
  </si>
  <si>
    <t>Lucas Alexandre Teixeira 13035532605</t>
  </si>
  <si>
    <t>2021/7</t>
  </si>
  <si>
    <t>Mylene Youssef A Vieira - Produções E Eventos Epp</t>
  </si>
  <si>
    <t>2021/9</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</si>
  <si>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2º Parcela</t>
  </si>
  <si>
    <t>Renata Fonseca Felicissimo 10665267614</t>
  </si>
  <si>
    <t>2021/6</t>
  </si>
  <si>
    <t>Hatari Filmes Ltda</t>
  </si>
  <si>
    <t>2021/26</t>
  </si>
  <si>
    <t xml:space="preserve"> Transporte executivo em atendimento ao Maestro Roberto Tibiriçá, convidado a compor a banca examinadora das audições presenciais que acontecerão nos dias 29 e 30/06/2021 na Fundação Clóvis Salgado. Referente ao Edital nº 13/2021 - EDITAL DE PROCESSO SELETIVO PARA PREENCHIMENTO DE VAGA DE MÚSICOS INSTRUMENTISTAS. Previsão de chegada no aeroporto dia 28/06 na parte da manhã e retorno dia 01/07 na parte da manhã.</t>
  </si>
  <si>
    <t>Jairo Dos Santos Braga 01460303628</t>
  </si>
  <si>
    <t>22.412.356/0001-75</t>
  </si>
  <si>
    <t>2021/1</t>
  </si>
  <si>
    <t>Compra das passagens aéreas para a presença dos convidados nas audições que acontecerão nos dias 29 e 30/06/2021 na Fundação Clóvis Salgado. Referente ao Edital nº 13/2021 - EDITAL DE PROCESSO SELETIVO PARA PREENCHIMENTO DE VAGA DE MÚSICOS INSTRUMENTISTAS.</t>
  </si>
  <si>
    <t xml:space="preserve">Mw Viagens Inteligentes Operadora E Agência Digital Eireli - Me
</t>
  </si>
  <si>
    <t>27.282.282/0001-13</t>
  </si>
  <si>
    <t>2021/50</t>
  </si>
  <si>
    <t>Tarifa Bancária referente a transferência eletrônica pagamento fornecedor: Elisete Gomes Joaquim De Oliveira-me
- Processo 1613</t>
  </si>
  <si>
    <t>Tarifa Bancária referente a transferência eletrônica pagamento fornecedor: Elisete Gomes Joaquim De Oliveira-me
- Processo 1614</t>
  </si>
  <si>
    <t>Tarifa Bancária referente a transferência eletrônica pagamento fornecedor: Elisete Gomes Joaquim De Oliveira-me
- Processo 1615</t>
  </si>
  <si>
    <t>Tarifa Bancária referente a transferência eletrônica pagamento fornecedor: Elisete Gomes Joaquim De Oliveira-me
- Processo 1616</t>
  </si>
  <si>
    <t>Tarifa Bancária referente a transferência eletrônica pagamento fornecedor: Elisete Gomes Joaquim De Oliveira-me
- Processo 1617</t>
  </si>
  <si>
    <t>Tarifa Bancária referente a transferência eletrônica pagamento fornecedor: Elisete Gomes Joaquim De Oliveira-me
- Processo 1618</t>
  </si>
  <si>
    <t>Tarifa Bancária referente a transferência eletrônica pagamento fornecedor: Elisete Gomes Joaquim De Oliveira-me
- Processo 1619</t>
  </si>
  <si>
    <t>Tarifa Bancária referente a transferência eletrônica pagamento fornecedor: Elisete Gomes Joaquim De Oliveira-me
- Processo 1620</t>
  </si>
  <si>
    <t>Tarifa Bancária referente a transferência eletrônica pagamento fornecedor: Elisete Gomes Joaquim De Oliveira-me
- Processo 1621</t>
  </si>
  <si>
    <t>Tarifa Bancária referente a transferência eletrônica pagamento fornecedor: Elisete Gomes Joaquim De Oliveira-me
- Processo 1622</t>
  </si>
  <si>
    <t>Tarifa Bancária referente a transferência eletrônica pagamento fornecedor: Ivete Maria De Oliveira 76363481600 - Processo 1275</t>
  </si>
  <si>
    <t>Tarifa Bancária referente a transferência eletrônica pagamento fornecedor:Raquel Santos Carneiro - Processo 1711</t>
  </si>
  <si>
    <t>Tarifa Bancária referente a transferência eletrônica pagamento fornecedor:Frigorifico Montalvania Ltda - Processo 1734</t>
  </si>
  <si>
    <t>Tarifa Bancária referente a transferência eletrônica pagamento fornecedor: Lucas Alexandre Teixeira 13035532605 - Processo 1268</t>
  </si>
  <si>
    <t>Tarifa Bancária referente a transferência eletrônica pagamento fornecedor: Mylene Youssef A Vieira - Produções E Eventos Epp - Processo 1269</t>
  </si>
  <si>
    <t>Tarifa Bancária referente a transferência eletrônica pagamento fornecedor: Renata Fonseca Felicissimo 10665267614 -  Processo 1434</t>
  </si>
  <si>
    <t>Tarifa Bancária referente a transferência eletrônica pagamento fornecedor:    Hatari Filmes Ltda - Processo 1339</t>
  </si>
  <si>
    <t>Tarifa Bancária referente a transferência eletrônica pagamento fornecedor:    Jairo Dos Santos Braga 01460303628  - Processo 1709</t>
  </si>
  <si>
    <t>Girassolina Produções Ltda</t>
  </si>
  <si>
    <t>2021/24</t>
  </si>
  <si>
    <t>2021/631</t>
  </si>
  <si>
    <t>Eduardo Muller Carvalho dos Reis 09247861675</t>
  </si>
  <si>
    <t>Rafael Bruno De Oliveira Ferreira Eireli</t>
  </si>
  <si>
    <t>Curso Complementar "Recursos on-line e edição de vídeos". O curso, realizado em ambiente virtual, visa proporcionar conhecimentos de recursos de edição on-line de vídeo, complementando a formação recebida pelos alunos da Escola de Tecnologia do Espetáculo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</si>
  <si>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Gilberto De Lima Goulart 08401043670</t>
  </si>
  <si>
    <t xml:space="preserve">23.500.129/0001-64
</t>
  </si>
  <si>
    <t>2021/29</t>
  </si>
  <si>
    <t xml:space="preserve">04.740.876/0001-25 </t>
  </si>
  <si>
    <t xml:space="preserve">Iluminuras Producoes Artistico-culturais Ltda
</t>
  </si>
  <si>
    <t>Tarifa Bancária referente a transferência eletrônica pagamento fornecedor:    Girassolina Produções Ltda - Processo 1338</t>
  </si>
  <si>
    <t>Tarifa Bancária referente a transferência eletrônica pagamento fornecedor:     Laboratóro Murad, Casali E Carneiro Ltda - Processo 1747</t>
  </si>
  <si>
    <t>Tarifa Bancária referente a transferência eletrônica pagamento fornecedor:    Eduardo Muller Carvalho dos Reis 09247861675  - Processo 1267</t>
  </si>
  <si>
    <t>Tarifa Bancária referente a transferência eletrônica pagamento fornecedor:    Rafael Bruno De Oliveira Ferreira Eireli - Processo 1280</t>
  </si>
  <si>
    <t>Tarifa Bancária referente a transferência eletrônica pagamento fornecedor:    Gilberto De Lima Goulart 08401043670  - Processo 1587</t>
  </si>
  <si>
    <t>Reembolso realizado pelo Termo de Parceria 50/2020 - IEPHA referente ao percentual (26,41% do valor total ) do aluguel da sede da Appa referente ao mês 06/2021</t>
  </si>
  <si>
    <t>Reembolso realizado pelo Termo de Parceria 50/2020 - IEPHA referente ao percentual (26,41% do valor total ) guia de IPTU - 06º parcela</t>
  </si>
  <si>
    <t>Férias da Assessora Pedagógica: Formação Artística e Tecnológica</t>
  </si>
  <si>
    <t>Recibo de Pagamento de Férias</t>
  </si>
  <si>
    <t>Ewelyn Felice Da Silva</t>
  </si>
  <si>
    <t>Aluguel da sede da Appa referente ao período de 10/06 a 09/07/2021</t>
  </si>
  <si>
    <t>Guia de ITPU - Parcela 06</t>
  </si>
  <si>
    <t>Rescisão Contratual do Gerente de Projetos</t>
  </si>
  <si>
    <t>Rescisão de Trabalho</t>
  </si>
  <si>
    <t>FGTS rescisório do Gerente de Projetos - Fernando Antonio Costa de Assis</t>
  </si>
  <si>
    <t>Michelle Aparecida Silva Barreto</t>
  </si>
  <si>
    <t>Criação, projeção e operação de iluminação durante as gravações para a Mostra de Formatura da Escola de Música do Cefart. Apresentações são ações didático-pedagógicas que permitam aos alunos a percepção e a vivência da dinâmica entre o espaço de apresentação, o público, e a atuação - elementos fundamentais para a formação artística.</t>
  </si>
  <si>
    <t>Cleverson Eduardo Rodrigues 01475521685</t>
  </si>
  <si>
    <t>15.783.728/0001-04</t>
  </si>
  <si>
    <t>Tarifa Bancária referente a transferência eletrônica rescisão de Gerente de Projetos</t>
  </si>
  <si>
    <t>Tarifa Bancária referente a transferência eletrônica pagamento fornecedor:   Michelle Aparecida Silva Barreto  - Processo 1350</t>
  </si>
  <si>
    <t>Tarifa Bancária referente a transferência eletrônica pagamento fornecedor:    Cleverson Eduardo Rodrigues 01475521685  - Processo 1561</t>
  </si>
  <si>
    <t>Reembolso realizado pelo Termo de Parceria 50/2020 - IEPHA referente ao percentual (26,41% do valor total), Manutenção de redes e computadores da sede da Appa - mês 06/2021</t>
  </si>
  <si>
    <t xml:space="preserve">Reembolso realizado pelo Termo de Parceria 50/2020 - Iepha referente ao uso de telefone fixo da sede da Appa - consumo do mês 06/2021 - Percentual de  26,41% do valor total </t>
  </si>
  <si>
    <t>Reembolso realizado pelo Termo de Parceria 50/2020 - IEPHA referente ao percentual (26,41% do valor total ) aluguel de impressoras da sede da Appa - Mês 06/2021.</t>
  </si>
  <si>
    <t>Reembolso realizado pelo Termo de Parceria 50/2020 - IEPHA referente ao percentual (26,41% do valor total) Contratação de ferramenta para crescimento de perfil no Instagram.Faz-se necessário a contratação de ferramenta de automatização de processos, além de possibilitar o agendamento de postagens</t>
  </si>
  <si>
    <t>Reembolso realizado pelo Termo de Parceria 50/2020 - IEPHA referente ao percentual (26,41% do valor total) Serviço para contratação de espaço para a guarda de documentos da sede administrativos - 1º semestre de 2021. O serviço contempla a contratação de espaço para a guarda de documentos escriturais referente ao primeiro semestre de 2021.</t>
  </si>
  <si>
    <t>Reembolso realizado pelo Termo de Parceria 50/2020 - IEPHA referente ao percentual (26,41% do valor total), Segurança Eletrônica da Sede da APPA - mês 06/2021</t>
  </si>
  <si>
    <t>Serviço para contratação de espaço para a guarda de documentos da sede administrativos - 1º semestre de 2021. O serviço contempla a contratação de espaço para a guarda de documentos escriturais referente ao primeiro semestre de 2021.</t>
  </si>
  <si>
    <t>Guard - Gerenciamento De Documentos Ltda</t>
  </si>
  <si>
    <t>Contratação de empresa de gestão de hardware e Redes - ano 2021. Prestação de serviços técnicos de manutenção de hardware e redes, preventiva, preditiva e corretiva, visando garantia de melhor desempenho do servidor e estações de trabalho em atendimento às necessidades do trabalho, com acesso remoto ilimitado.</t>
  </si>
  <si>
    <t>GE Duarte - ME</t>
  </si>
  <si>
    <t xml:space="preserve"> 23.446.767/0001-44 </t>
  </si>
  <si>
    <t>Patrulha Eletrônica Ltda</t>
  </si>
  <si>
    <t>2021/918</t>
  </si>
  <si>
    <t>Claro S.A.</t>
  </si>
  <si>
    <t>Pagamento Conta Telefone</t>
  </si>
  <si>
    <t>UP Print Comércio e Locação de Equipamentos Eireli</t>
  </si>
  <si>
    <t xml:space="preserve">26.433.663/0001-93 
</t>
  </si>
  <si>
    <t xml:space="preserve">Fatura de Locação </t>
  </si>
  <si>
    <t>U04300</t>
  </si>
  <si>
    <t>Telefone Fixo da sede da Appa referente ao mês 06/2021</t>
  </si>
  <si>
    <t>10779804- MG</t>
  </si>
  <si>
    <t>2021/158055</t>
  </si>
  <si>
    <t>2021/158052</t>
  </si>
  <si>
    <t>Contratação de ferramenta para crescimento de perfil no Instagram.Faz-se necessário a contratação de ferramenta de automatização de processos, além de possibilitar o agendamento de postagens, o que será possível enviar mensagens para toda a base de seguidores, cerca de 9.000 (atualmente), publica mais detalhes sobre o que é o Instagram e controla o número de seguidores de forma segmentada, tendo em vista, principalmente, como ações digitais do projeto. Ao alcançar 10.000 seguidores, novos recursos são "liberados" ao perfil.</t>
  </si>
  <si>
    <t>Pagar.me Pagamentos S.A</t>
  </si>
  <si>
    <t>18.727.053/0001-74</t>
  </si>
  <si>
    <t>??</t>
  </si>
  <si>
    <t xml:space="preserve">Coordenação de produção para o 23º Festcurtas BH. O prestador de serviços será responsável por coordenar a logística e desenho de produção para a realização da 23ª edição do festival, incluindo a finalização e pós-evento. 03 parcela  </t>
  </si>
  <si>
    <t>Javali Do Mar Experimentações Artisticas Ltda</t>
  </si>
  <si>
    <t>Tarifa Bancária referente a transferência eletrônica pagamento fornecedor: Javali Do Mar Experimentações Artisticas Ltda - Processo 1486</t>
  </si>
  <si>
    <t>Produção de programação para o 23º Festcurtas BH. O prestador de serviços será responsável pelo controle das inscrições de filmes e do processo de seleção para a programação do festival e deverá ser contratado pelo período de nove meses. Parcela 03</t>
  </si>
  <si>
    <t xml:space="preserve">Rosa De Areia Produções Ltda
</t>
  </si>
  <si>
    <t>26.306.390/0001-16</t>
  </si>
  <si>
    <t>2021/17</t>
  </si>
  <si>
    <t>Reembolso realizado pela conta da Appa referente ao pagamento de juros/multa da guia de ISSQN referente a nota fiscal 2021/50 - Mw Viagens Inteligentes Operadora E Agência Digital Eireli - Me</t>
  </si>
  <si>
    <t>Direito Autoral da instalação artística digital "Partículas em Unity", de autoria de Rafael Fernandes de Carvalho "Rafael Ski", que irá integrar a exposição comemorativa de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2º parcela</t>
  </si>
  <si>
    <t>Rafael Fernandes De Carvalho</t>
  </si>
  <si>
    <t>069.481.886-05</t>
  </si>
  <si>
    <t>Roteirista para desenvolver a narrativa audiovisual da exposição comemorativa de 50 anos do Palácio das Artes a partir da pesquisa em memória realizada.A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02</t>
  </si>
  <si>
    <t xml:space="preserve"> Guilherme Cruz Lessa</t>
  </si>
  <si>
    <t>057.708.656-10</t>
  </si>
  <si>
    <t>Guia de ISSQN referente a nota fiscal 2021/50 - Mw Viagens Inteligentes Operadora E Agência Digital Eireli - Me</t>
  </si>
  <si>
    <t>Tarifa Bancária referente a transferência eletrônica pagamento fornecedor:  Guilherme Cruz Lessa -  Processo  1496</t>
  </si>
  <si>
    <t>Coordenação de programação e curadoria para o 23º Festcurtas BH. A prestadora de serviços será responsável pela organização geral da dinâmica da comissão de seleção, que seleciona os filmes a serem exibidos no23º Festcurtas BH e deverá ser contratada pelo período de nove meses. Parcela 03</t>
  </si>
  <si>
    <t>Chão Da Feira Ltda</t>
  </si>
  <si>
    <t>17.125.729/0001-97</t>
  </si>
  <si>
    <t>2021/16</t>
  </si>
  <si>
    <t>Reembolso realizado pelo Termo de Parceria 50/2020 - IEPHA referente ao percentual (26,41% do valor total) Compra dos seguintes materiais de limpeza: 03 unid. água sanitária de 5L, 03unid. desinfetante de 5L, 01 unid. detergente de 5L, 05unid. pano de chão, 02 pct. papel higiênico com 24 unid., 04 unid. multiuso, 04 unid. de esponja, 05 unid. flanela, 02 pct. com 100 unid. de saco de lixo de 100L, 02 pct com 100 unid. de saco de lixo de 50L, 04 uni de álcool líquido, 03 unid. álcool em gel, 01 unid. limpa vidros (vidrex).</t>
  </si>
  <si>
    <t>Contratação de cenógrafo, cenotécnico e construção de cenário, comperíodo de atuação entre abril a junho de 2021 e local de atuação no Cefart. Esta contratação contempla o chamamento de profissional para a criação de elefante cenotécnico, em tamanho real e com estética realista para construção do espetáculo.O tema desta nova montagem perpassa uma circunstância fantástica que ocorre em uma capital: um grupo de transeuntes se depara com um elefante ferido, no meio da rua/avenida. 2º parcela</t>
  </si>
  <si>
    <t>Eduardo Félix De Miranda Leite - Me</t>
  </si>
  <si>
    <t>10.849.885/0001-51</t>
  </si>
  <si>
    <t>Contratação de profissional para ministrar o Curso Complementar " Palavra Poética: sua Largura, sua profundidade" para o Programa de Residência para Pesquisas Artísticas do Cefart. O curso terá carga horária de 20 horas a ser realizado no mês de junho. ( 7 a 18 de junho).</t>
  </si>
  <si>
    <t>112.318.476-38</t>
  </si>
  <si>
    <t>Compra dos seguintes materiais de limpeza: 03 unid. água sanitária de 5L, 03unid. desinfetante de 5L, 01 unid. detergente de 5L, 05unid. pano de chão, 02 pct. papel higiênico com 24 unid., 04 unid. multiuso, 04 unid. de esponja, 05 unid. flanela, 02 pct. com 100 unid. de saco de lixo de 100L, 02 pct com 100 unid. de saco de lixo de 50L, 04 uni de álcool líquido, 03 unid. álcool em gel, 01 unid. limpa vidros (vidrex).</t>
  </si>
  <si>
    <t>Arte Group Ltda</t>
  </si>
  <si>
    <t>03.922.845/0001-22</t>
  </si>
  <si>
    <t xml:space="preserve">CO </t>
  </si>
  <si>
    <t xml:space="preserve">Reembolso realizado pelo projeto MINC Pronac 17 referente ao pagamento do Plano de Saúde dos Funcionários </t>
  </si>
  <si>
    <t xml:space="preserve">Reembolso realizado pelo Termo de Parceria 50/2020 - IEPHA referente ao pagamento do Plano de Saúde dos Funcionários a serviço do Termo </t>
  </si>
  <si>
    <t xml:space="preserve">Reembolso realizado pelo Termo de Parceria 50/2020 - IEPHA referente ao pagamento do Plano de Saúde dos Funcionários a serviço do Termo - Co- Participação </t>
  </si>
  <si>
    <t>Loggi Tecnologia LTDA</t>
  </si>
  <si>
    <t>2021/311292</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</si>
  <si>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 CO PARTICIPAÇÃO</t>
  </si>
  <si>
    <t>2021/307271</t>
  </si>
  <si>
    <t>Serviço de transporte, ida e volta de objetos cenográficos para serem utilizados na montagem da formatura da turma da Escola de Teatro do Cefart. Apresentações são ações didático-pedagógicas que permitam aos alunos a percepção e a vivência da dinâmica entre o espaço de apresentação, o público, e a atuação - elementos fundamentais para a formação artística</t>
  </si>
  <si>
    <t xml:space="preserve">Translevar Mudanças Ltda
</t>
  </si>
  <si>
    <t xml:space="preserve">04.826.601/0001-09
</t>
  </si>
  <si>
    <t>DACTE</t>
  </si>
  <si>
    <t>Tarifa Bancária referente a transferência eletrônica pagamento fornecedor:  Translevar Mudanças Ltda-  Processo  1679</t>
  </si>
  <si>
    <t>Zoom Vídeo  communication</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</si>
  <si>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02</t>
  </si>
  <si>
    <t>Moncalvo Comunicacao Ltda</t>
  </si>
  <si>
    <t xml:space="preserve">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06/2021 - </t>
  </si>
  <si>
    <t>Reembolso realizado pelo Termo de Parceria 50/2020 - IEPHA referente ao percentual (26,41% do valor total ) consumo de água da sede da Appa- mês 06/2021</t>
  </si>
  <si>
    <t>Reembolso realizado pelo Termo de Parceria 50/2020 - IEPHA referente ao percentual (26,41% do valor total), referente ao telefone móvel da sede da Appa- mês 06/2021.</t>
  </si>
  <si>
    <t>Reembolso realizado pelo Termo de Parceria 50/2020 - IEPHA referente ao percentual (26,41% do valor total) consumo de energia elétrica da sede da Appa- mês 06/2021</t>
  </si>
  <si>
    <t>Consumo de água e esgosto referente ao mês 06/2021</t>
  </si>
  <si>
    <t>001.2.389978859-6</t>
  </si>
  <si>
    <t>2021/161774</t>
  </si>
  <si>
    <t>Contratação da profissional Maria Eduarda Gambogi para comentar, em live, o filmeO Mundo Odeia-Me, de Ida Lupino (The Hitch-Hiker, EUA, 1953), que será exibido a partir do dia 15/06/2021 através da plataforma CineHumbertoMauroMais. O comentário será transmitido pelo canal do Youtube da FCS e retransmitido pela plataforma supracitada.</t>
  </si>
  <si>
    <t>Maria Eduarda Martins Gambogi Alvarenga 10220307601</t>
  </si>
  <si>
    <t>37.761.809/0001-46</t>
  </si>
  <si>
    <t>2021/4</t>
  </si>
  <si>
    <t>Reembolso realizado pelo Termo de Parceria 50/2020 - IEPHA referente ao percentual 26,41% do valor total ) ao consumo de internet da Appa do mês 06/2021</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</si>
  <si>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02</t>
  </si>
  <si>
    <t>Cleber José Leão De Almeida</t>
  </si>
  <si>
    <t>Logus Protection Patrimonial Ltda</t>
  </si>
  <si>
    <t>2021/51</t>
  </si>
  <si>
    <t>Contratação de profissionais para produção, filmagem, edição e finalização de vídeo de formatura da Escola de Dança do CEFART.O serviço abrange todo o serviço de produção (concepção, pré-produção, planejamento, execução, edição e finalização de vídeo) de 14 bailarinos, com entrega de um único vídeo final com duração de aproximadamente 20 minutos, finalizado em formato para ser veiculado na internet.Já incluídos todos os gastos dos profissionais envolvidos e despesas de produção como compra de consumíveis para os dias de projeto, estrutura e logística para que a filmagem ocorra com os matérias necessários. 2º parcela</t>
  </si>
  <si>
    <t>Devora Filmes Ltda</t>
  </si>
  <si>
    <t>21.371.633/0001-86</t>
  </si>
  <si>
    <t>2021/28</t>
  </si>
  <si>
    <t xml:space="preserve">Serviço de direção, roteiro, captação de imagens, iluminação e aluguel de câmera e acessórios para filmagem de formatura do CEFART.Criação de conceito e roteiro, iluminação, direção e execução de filmagem, aluguel de equipamentos inclusos.Apresentações da formatura do terceiro ano da escola Técnica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 2º parcela </t>
  </si>
  <si>
    <t>Travessia Cinematografica Ltda</t>
  </si>
  <si>
    <t xml:space="preserve">33.796.331/0001-39
</t>
  </si>
  <si>
    <t>DARF/IR  referente ao RPA 1206 -  Andre Lodi Rocha</t>
  </si>
  <si>
    <t>DARF/IR  referente ao RPA 1177 -  Andre Lodi Rocha</t>
  </si>
  <si>
    <t xml:space="preserve">DARF/IR referente ao RPA 1176 - Arthur Versiani Velloso Neto
</t>
  </si>
  <si>
    <t>DARF/IR referente ao RPA 1183 -  Augusto Mário Goulart Pimenta</t>
  </si>
  <si>
    <t>DARF/IR referente ao RPA 1200 - Cleber José Leão De Almeida</t>
  </si>
  <si>
    <t>DARF/IR  referente ao RPA 1198 -  Dionilson Aparecido Moura Dias</t>
  </si>
  <si>
    <t>DARF/IR  referente ao RPA 1181 - Ewelyn Felice Da Silva</t>
  </si>
  <si>
    <t>DARF/IR referente ao RPA 1195 -  Luiz Antônio Dias Pereira</t>
  </si>
  <si>
    <t>DARF/IR referente ao RPA 1204 - Oscar Alberto Nardi</t>
  </si>
  <si>
    <t>DARF/R referente ao RPA 1175 - Rosangela De Mendonça Guimarães</t>
  </si>
  <si>
    <t>INSS e INSS Patronal referente ao RPA 1178 - Alberto Lopes Cancado</t>
  </si>
  <si>
    <t>INSS e INSS Patronal referente ao RPA 1174 - Alef Caetano Silva</t>
  </si>
  <si>
    <t>INSS e INSS Patronal referente ao RPA 1177 -  Andre Lodi Rocha</t>
  </si>
  <si>
    <t>INSS e INSS Patronal referente ao RPA 1206 -  Andre Lodi Rocha</t>
  </si>
  <si>
    <t xml:space="preserve">INSS e  INSS Patronal  referente ao RPA 1176 - Arthur Versiani Velloso Neto
</t>
  </si>
  <si>
    <t>INSS e INSS Patronal referente ao RPA 1183 -  Augusto Mário Goulart Pimenta</t>
  </si>
  <si>
    <t>INSS e INSS Patronal referente ao RPA 1182 -  Carlos Aleixo Dos Reis</t>
  </si>
  <si>
    <t>INSS e INSS Patronal referente ao RPA 1200 - Cleber José Leão De Almeida</t>
  </si>
  <si>
    <t>INSS e INSS Patronal referente ao RPA 1198 -  Dionilson Aparecido Moura Dias</t>
  </si>
  <si>
    <t>INSS e INSS Patronal  referente ao RPA 1181 - Ewelyn Felice Da Silva</t>
  </si>
  <si>
    <t>INSS e INSS Patronal referente ao RPA 1196 -  Flávia Albuquerque Drumond Gomes</t>
  </si>
  <si>
    <t>INSS e INSS Patronal referente ao RPA 1179 - Geraldo Peixoto De Freitas Neto</t>
  </si>
  <si>
    <t>INSS e INSS Patronal referente ao RPA 1173 - Heitor Pinheiro</t>
  </si>
  <si>
    <t>INSS e INSS Patronal referente ao RPA 1195 -  Luiz Antônio Dias Pereira</t>
  </si>
  <si>
    <t>INSS e INSS Patronal referente ao RPA 1188 - Marise Dinis Sousa</t>
  </si>
  <si>
    <t>INSS e INSS Patronal referente ao RPA 1180 - Michelle Aparecida Silva Barreto</t>
  </si>
  <si>
    <t>INSS e INSS Patronal referente ao RPA 1204 - Oscar Alberto Nardi</t>
  </si>
  <si>
    <t>INSS e INSS Patronal referente ao RPA 1187 - Robert Avelino Camilo</t>
  </si>
  <si>
    <t>INSS e INSS Patronal  referente ao RPA 1210 - Roberto Tibiriçá Passos</t>
  </si>
  <si>
    <t>INSS e INSS Patronal referente ao RPA 1175 - Rosangela De Mendonça Guimarães</t>
  </si>
  <si>
    <t>Guia de INSS referente a nota fiscal 2021/43 -  Logus Protection Patrimonial Ltda</t>
  </si>
  <si>
    <t>Internet para sede da Appa referente ao mês 06/2021</t>
  </si>
  <si>
    <t>10862555-MG</t>
  </si>
  <si>
    <t>Contratação de um sistema de gestão acadêmica com, hospedagem em nuvem, para monitoramento e acompanhamento das atividades complementares e demais atividades de Secretaria Acadêmica do CEFART no ano de 2021. Parcela 04</t>
  </si>
  <si>
    <t>Softwares De Gestão Ltda</t>
  </si>
  <si>
    <t>2021/160</t>
  </si>
  <si>
    <t>INSS retido em folha do mês 06/2021</t>
  </si>
  <si>
    <t>INSS Patronal referente ao mês 06/2021</t>
  </si>
  <si>
    <t>DARF/PCC referente a nota fiscal 2021/741 - Krypton Serviços Contábeis S/s</t>
  </si>
  <si>
    <t>DARF/IR referente ao Direito Autoral a instalação artística digital "Partículas em Unity", de autoria de Rafael Fernandes de Carvalho</t>
  </si>
  <si>
    <t>DARF/IR referente a nota fiscal 2021/892 -  Krypton Serviços Contábeis S/s</t>
  </si>
  <si>
    <t>IR retido em folha do mês 05/2021</t>
  </si>
  <si>
    <t>IR retido rescisão de Fabíola Couto ex Gerente de Projetos</t>
  </si>
  <si>
    <t>Tarifa Bancária referente a transferência eletrônica pagamento fornecedor :  Cleber José Leão De Almeida - Processo: 1559</t>
  </si>
  <si>
    <t>Tarifa Bancária referente a transferência eletrônica pagamento fornecedor:    Logus Protection Patrimonial Ltda - Processo 1441</t>
  </si>
  <si>
    <t>Tarifa Bancária referente a transferência eletrônica pagamento fornecedor:    Devora Filmes Ltda - Processo 1594</t>
  </si>
  <si>
    <t>Tarifa Bancária referente a transferência eletrônica pagamento fornecedor:    Travessia Cinematografica Ltda - Processo 1597</t>
  </si>
  <si>
    <t>DARF/IR  referente ao RPA 1189 -  Ana Dos Anjos Camarano Cardoso</t>
  </si>
  <si>
    <t>DARF/IR referente ao RPA 1190 -  Angela Peres De Oliveira</t>
  </si>
  <si>
    <t xml:space="preserve">DARF/IR referente ao RPA 1192 - Juliana De Sousa Martins Pereira </t>
  </si>
  <si>
    <t>INSS e INSS Patronal referente ao RPA 1189 -  Ana Dos Anjos Camarano Cardoso</t>
  </si>
  <si>
    <t>INSS e INSS Patronal referente ao RPA 1190 -  Angela Peres De Oliveira</t>
  </si>
  <si>
    <t xml:space="preserve">INSS e INSS Patronal referente ao RPA 1192 - Juliana De Sousa Martins Pereira </t>
  </si>
  <si>
    <t>INSS e INSS Patronal referente ao RPA 1191 -  Luciana Monteiro Campello</t>
  </si>
  <si>
    <t>DARF/IR  referente ao RPA 1191 -  Luciana Monteiro Campello</t>
  </si>
  <si>
    <t>Pagamento de prêmio para o melhor curta metragem da categoria Júri Popular (definido a partir da votação do público) do 22º Festcurtas BH. O filme vencedorfoi"O que pode um corpo?", dirigido por Márcio Picoli e Victor Di Marco.O FestCurtas BH é um evento de grande extensão realizado anualmente no Cine Humberto Mauro. O pagamento do prêmio aos filmes vencedores das mostras competitivas da edição de 2020 do festival foi estipulado no 22º Festival Internacional de Curtas de Belo Horizonte (Festcurtas BH) - REGULAMENTO 2020 (item 8 do edital anexo). O filme eleito pelo Júri Popular foi definido a partir da votação realizada pela plataforma oficial cinehumbertomauromais.com; considerando um voto por email informado no momento da votação.</t>
  </si>
  <si>
    <t>Balde De Tinta Filmes, Producao Audiovisual Ltda</t>
  </si>
  <si>
    <t xml:space="preserve">38.560.433/0001-74
</t>
  </si>
  <si>
    <t>DARF/IR referente ao RPA 1193 - Allan Ferreira Calisto</t>
  </si>
  <si>
    <t>INSS e INSS Patronal referente ao RPA 1193 - Allan Ferreira Calisto</t>
  </si>
  <si>
    <t>Criação e concepção artística da trilha sonora para montagem da formatura da Escola de Dança do Cefart, dirigida por Anna Vitória. O serviço inclui a criação da trilha, acompanhamento nos ensaios, aluguel do estúdio para gravação e operação de trilha.Apresentações da formatura do terceiro ano da escola Tecnica em Dança. Os espetaculos são ações didático-pedagógicas que permitem aos alunos a percepção e a vivência da dinâmica entre o espaço de apresentação, o público, e a sua atuação; - elementos fundamentais para a formação técnica</t>
  </si>
  <si>
    <t>Frederico Magalhães Mucci Daniel</t>
  </si>
  <si>
    <t xml:space="preserve">057.496.736-26
</t>
  </si>
  <si>
    <t>Tarifa Bancária referente a transferência eletrônica pagamento fornecedor:    Frederico Magalhães Mucci Daniel - Processo 1577</t>
  </si>
  <si>
    <t xml:space="preserve">Valor recebido da Prefeitura de Mariana - MG  - CNPJ: 18.295.303/0001-44, referente à locação de figurinos </t>
  </si>
  <si>
    <t>Figurinista e cenógrafo para auxiliar na criação, concepção e desenvolvimento e montagem do espetáculo teatral do 3o ano da Escola de Teatro - turno da manhã, com temporada prevista para junho de 2021. As atividades acontecerão presencialmente no Cefart e remotamente, via Internet.</t>
  </si>
  <si>
    <t>Miriam Beatriz Dos Santos Menezes</t>
  </si>
  <si>
    <t>025.889.966-20</t>
  </si>
  <si>
    <t>Compra de Kits Lanches em carater emergencial, com a aprovação da presidência da FCS, para alimentação da equipe técnica e elenco do espetáculo Incomoda, Incomoda, Incomoda, nos dias 07 a 11 de julho/2021</t>
  </si>
  <si>
    <t>Panificadora Andreia Ltda</t>
  </si>
  <si>
    <t>19.679.752/0001-59</t>
  </si>
  <si>
    <t>Ocorrerá no dia 06 de julho, no Grande Teatro da Fundação Clóvis Salgado, o ensaio aberto da apresentação dos alunos formandos do Curso de Teatro do Cefarto - Espetáculo Incomoda, Incomoda.  Faz-se necessária a aquisição do 35 sanduíches para lanche da equipe técnica e elenco do espetáculo que estarão desenvolvendo a apresentação.</t>
  </si>
  <si>
    <t xml:space="preserve">19.679.752/0001-59
</t>
  </si>
  <si>
    <t>Apresentações são ações didático-pedagógicas que permitam aos alunos a percepção e a vivência da dinâmica entre o espaço de apresentação, o público, e a atuação - elementos fundamentais para a formação artística.Tradicionalmente, poder-se-ia dizer que direção teatral seria o ato e/ ou o efeito resultante do trabalho teatral destes coordenadores do espetáculo cênico num “movimento criativo” de transpor à cena uma peça deteatro, cuja encenação seria o resultado desse mesmo “gestoteatral”. Já adramaturgia é o ofício de elaborar um texto com o objetivo de transportá-lo para os palcos, apresentando diante de um público as ideias contidas nesta obra. A palavra drama vem do grego e significa ação. Portanto, solicita-se aqui a contratação do diretor do espetáculo, que também irá atuar como dramaturgo.</t>
  </si>
  <si>
    <t>Rita Clemente Producoes Artisticas Ltda</t>
  </si>
  <si>
    <t>13.317.317/0001-06</t>
  </si>
  <si>
    <t>2021/13</t>
  </si>
  <si>
    <t>Apresentações são ações didático-pedagógicas que permitam aos alunos a percepção e a vivência da dinâmica entre o espaço de apresentação, o público, e a atuação - elementos fundamentais para a formação artística.Tradicionalmente, poder-se-ia dizer que direção teatral seria o ato e/ ou o efeito resultante do trabalho teatral destes coordenadores do espetáculo cênico num “movimento criativo” de transpor à cena uma peça deteatro, cuja encenação seria o resultado desse mesmo “gestoteatral”. Já adramaturgia é o ofício de elaborar um texto com o objetivo de transportá-lo para os palcos, apresentando diante de um público as ideias contidas nesta obra. A palavra drama vem do grego e significa ação. Portanto, solicita-se aqui a contratação do diretor do espetáculo, que também irá atuar como dramaturgo. Aditivo</t>
  </si>
  <si>
    <t>Contratação de profissional convidado para Direção artística de vídeo e preparação corporal para processo de criação dos bailarinos em acordo com a necessidade dos bailarinos criadores e a própria CDPA.</t>
  </si>
  <si>
    <t>Heitor Pinheiro</t>
  </si>
  <si>
    <t>435.095.336-15</t>
  </si>
  <si>
    <t>Serviços de concepção, criação e operação da trilha sonora para o espetáculo do Teatro. O serviço servirá de apoio para a montagem do 3o ano da turma de Teatro cuja temporada está prevista para realização em junho de 2021. A trilha sonora é um recurso fundamental para qualquer obra teatral. É o elemento que dá ritmo à peça, faz o espectador se emocionar, ficar com medo ou empolgar-se. A música certa ajuda na narrativa e na composição de cena de um personagem ou estória.</t>
  </si>
  <si>
    <t>Marcio Jose De Sousa 06104936636</t>
  </si>
  <si>
    <t>29.560.852/0001-15</t>
  </si>
  <si>
    <t>2021/5</t>
  </si>
  <si>
    <t>Tarifa Bancária referente a transferência eletrônica pagamento fornecedor:    Heitor Pinheiro - Processo 1724</t>
  </si>
  <si>
    <t>Tarifa Bancária referente a transferência eletrônica pagamento fornecedor:    Marcio Jose De Sousa 06104936636  - Processo 1263</t>
  </si>
  <si>
    <t>PIS referente a folha de pagamento do mês 06/2021.</t>
  </si>
  <si>
    <t>Cofins referente aos rendimentos de aplicações financeiras do mês 06/2021.</t>
  </si>
  <si>
    <t>Serviços de direção de fotografia e filmagem para o espetáculo do Teatro. A filmagem e captação de imagens se deve à necessidade de o espetáculo ser transmitido via Internet, em virtude da não presença de público. A temporada ocorrerá no mês de junho/2021 e as atividades do profissional serão exercidas presencialmente no Cefart ou remotamente, via Internet. 2 parcela</t>
  </si>
  <si>
    <t>2021/25</t>
  </si>
  <si>
    <t>Contratação de músico para execução de performance da música "Quando a luz dos Olhos seus" de Tom Jobim, em versão instrumental ao violão. A gravação será utilizada no video produzido pela escola de dança em homenagem aos profissionais da área de saúde. O audio deve ser entregue em versão MP3 ou similar para edição do vídeo.Realização de apresentações dos Núcleos Extensionistas do CEFART (meta do Contrato de Gestão) no formato de um vídeo com a escola Básica de Dança, com trilha sonora tocada pelo Gustavo Henrique Batista Zanandrez (violão).</t>
  </si>
  <si>
    <t>Gustavo Henrique Batista Zanandrez</t>
  </si>
  <si>
    <t>154.035.896-86</t>
  </si>
  <si>
    <t>Transferência para Conta Reserva referente aos rendimentos de aplicações financeiras do mês 06/2021</t>
  </si>
  <si>
    <t>Tarifa Bancária referente a transferência eletrônica pagamento fornecedor:  Kleber De Jesus Bispo 10663043603 - Processo 1265</t>
  </si>
  <si>
    <t>Tarifa Bancária referente a transferência eletrônica pagamento fornecedor:    Gustavo Henrique Batista Zanandrez - Processo 1692</t>
  </si>
  <si>
    <t>COFINS ref. 06/2021</t>
  </si>
  <si>
    <t>Contratação de assistentede produção para acompanhamento geral e logístico do 23º FestCurtasBH. Atua desde os segmentos internos de organização e acompanhamento de cronograma, como nos processos de negociação de direitos, contratação de prestadores de serviço, acompanhamento de processos necessários para a realização do evento em formato virtual e presencial - 1º parcela</t>
  </si>
  <si>
    <t>Ori Produtora De Filmes Ltda</t>
  </si>
  <si>
    <t xml:space="preserve">Serviço de desenvolvimento, criação de layout, gerenciamento e adaptação constante de Plataforma Virtual que terá o domínio CineHumbertoMauroMais, para realização de mostras e festivais criados e/ou abrigados pela Gerência de Cinema da Fundação Clóvis Salgado e APPA, a partir de diretrizes específicas encaminhadas pelas mesmas; para abrigar e realizar a transmissão via streaming direto, de obras audiovisuais, performances, debates ao vivo, em diversos formatos e duração, pelo período de 01 ano. </t>
  </si>
  <si>
    <t>Leben 108 Produtora De Filmes Ltda</t>
  </si>
  <si>
    <t>12.709.052/0001-10</t>
  </si>
  <si>
    <t>Reembolso realizado pelo Termo de Parceria 50/2020 - IEPHA referente ao percentual (26,41% do valor total), telefone móvel para os funcionários a serviço do IEPHA, referente ao mês 06/2021.</t>
  </si>
  <si>
    <t>Reembolso realizado pelo Termo de Parceria 50/2020 - IEPHA referente ao percentual (26,41% do valor total ) aluguel de PABX da sede da Appa- mês 06/2021.</t>
  </si>
  <si>
    <t xml:space="preserve">Serviços de Assistente de dramaturgia e criação para o espetáculo de formatura da Escola de Teatro do Cefart, que ocorrerá entre os dias 06 a 11 de julho de 2021.Apresentações são ações didático-pedagógicas que permitam aos alunos a percepção e a vivência da dinâmica entre o espaço de apresentação, o público, e a atuação - elementos fundamentais para a formação artística.Atividade: Montagem da Escola de Teatro. </t>
  </si>
  <si>
    <t>Priscila Natany Resende</t>
  </si>
  <si>
    <t>111.772.896-01</t>
  </si>
  <si>
    <t>Produção de dois vídeos "motion design" a partir de roteiro pré-elaborado, sendo: 01 (um) vídeo de animação de máscaras e gráficos usando keyframes, com duração de 12 minutos; e 01 (um) vídeo utilizandorecursos como mosaicos animados, expansão e diminuição de imagens,animação e inserção de letterings, com duração de 15 minutos. A exposição comemorativa dos 50 anos do Palácio das Artes "50 anos em 5 atos" acontecerá na Grande Galeria Alberto da Veiga Guignard durante o ano de 2021, com período expositivo a ser definido após a retomada das atividades presenciais na FCS devido ao protocolo de segurança do programa Minas Consciente</t>
  </si>
  <si>
    <t>Estalo Criativo Ltda</t>
  </si>
  <si>
    <t>16.481.402/0001-95</t>
  </si>
  <si>
    <t>Consumo de telefone móvel para os funcionários a serviço do Contrato de Gestão  e Termo de Parceria IEPHA referente ao mês 06/2021.</t>
  </si>
  <si>
    <t>02.421.421/0020-84</t>
  </si>
  <si>
    <t>Contratação de serviço de e-mail marketing para envio de 100mil e-mails / mensais. Parcela 04</t>
  </si>
  <si>
    <t>Locaweb Serviços De Internet S.A</t>
  </si>
  <si>
    <t>Consumo de água e esgosto referente ao mês 07/2021</t>
  </si>
  <si>
    <t>001.21.40959656-5</t>
  </si>
  <si>
    <t>TMS Telecomunicações Ltda</t>
  </si>
  <si>
    <t>00.072.675/0001-46</t>
  </si>
  <si>
    <t>Férias do Superintendente de Auditoria</t>
  </si>
  <si>
    <t>Aluguel de 4 microfones de lapelae transmissores, do dia 06 ao 11 de julho, para realização do Espetáculo de Teatro.</t>
  </si>
  <si>
    <t>Antônio Rufino Da Silva 01450550606</t>
  </si>
  <si>
    <t xml:space="preserve">20.676.737/0001-36
</t>
  </si>
  <si>
    <t>contratação de profissional convidado para Direção artística de vídeo e preparo corporal para processo de criação dos bailarinos em acordo com a necessidade dos bailarinos criadores e a própria CDPA.</t>
  </si>
  <si>
    <t xml:space="preserve">Jorge Garcia Producoes Artisticas Ltda
</t>
  </si>
  <si>
    <t>26.221.632/0001-79</t>
  </si>
  <si>
    <t>Contratação de profissional convidado para Direção artística de vídeo e preparo corporal para processo de criação dos bailarinos em acordo com a necessidade dos bailarinos criadores e a própria CDPA.</t>
  </si>
  <si>
    <t xml:space="preserve">Rescisão Contratual da Assessora Pedagógica </t>
  </si>
  <si>
    <t xml:space="preserve">Aretha Marçal de Macedo Menezes </t>
  </si>
  <si>
    <t>Tarifa Bancária referente a transferência eletrônica pagamento fornecedor: Tms Telecomunicações Ltda - Processo 1117</t>
  </si>
  <si>
    <t>Tarifa Bancária referente a transferência eletrônica férias do Superintendente de Auditoria</t>
  </si>
  <si>
    <t>Tarifa Bancária referente a transferência eletrônica pagamento fornecedor: Antônio Rufino Da Silva 01450550606 - Processo 1750</t>
  </si>
  <si>
    <t>Tarifa Bancária referente a transferência eletrônica pagamento fornecedor: Jorge Garcia Producoes Artisticas Ltda - Processo 1564</t>
  </si>
  <si>
    <t>Tarifa Bancária referente a transferência eletrônica pagamento fornecedor: Jorge Garcia Producoes Artisticas Ltda - Processo 1726</t>
  </si>
  <si>
    <t>Tarifa Bancária referente a transferência eletrônica rescisão  da Assessora Pedagógica</t>
  </si>
  <si>
    <t xml:space="preserve">Curso complementar "Atuação para o Cinema" para a escola de Teatro, que será ministrado pelo Cefart Virtual. O curso terá uma carga horária total de 10 horas.Este curso, em específico, visa ampliar a capacitação dos alunos da Escola de Teatro do Cefart para a atuação em Cinema. Portanto, são oferecidos cursos que ampliem a formação artística e profissional dos alunos, complementando os conteúdos curriculares oferecidos. </t>
  </si>
  <si>
    <t xml:space="preserve"> César Bento Raphael</t>
  </si>
  <si>
    <t>077.544.336-05</t>
  </si>
  <si>
    <t>Contratação deStephen Andrew BronkBassbaritone como convidado para compor a banca de avaliação das audições presenciais do processo seletivo das vagas de músico cantor.A contratação de Stephen Andrew como convidado se faz necessária para compor a banca examinadora da audição presencial que acontecerá no dia 26/07/2021 na Fundação Clóvis Salgado. Referente ao Edital nº 21/2021 - EDITAL DE PROCESSO SELETIVO PARA PREENCHIMENTO DE VAGA DE MÚSICO CANTOR</t>
  </si>
  <si>
    <t>Stephen Andrew Bronk</t>
  </si>
  <si>
    <t>016.056.766-16</t>
  </si>
  <si>
    <t xml:space="preserve">Serviços de criação e concepção artística e operação da Iluminação da montagem do 3º ano do Teatro - turno manhã .Previsão da Temporada: junho. Local de atuação: presencial no Cefart e remotamente via internet. 2 parcela </t>
  </si>
  <si>
    <t>Regelles Tadeu Queiroz Da Silva10092467636</t>
  </si>
  <si>
    <t xml:space="preserve">28.035.613/0001-83
</t>
  </si>
  <si>
    <t>2021/18</t>
  </si>
  <si>
    <t xml:space="preserve">Coordenação Editorial para edição de Livro - acompanhamento, gerenciamento e coordenação da execução de trabalhos editoriais relativos ao 23º FestCurtas BH, sendo: coordenação de pesquisa de conteúdo textual e imagético, de autores e teóricos com obras e trabalhos publicados no campo do cinema e das artes, que estejam em consonância com as propostas e diretrizes de pesquisa de programação da edição deste ano do festival. </t>
  </si>
  <si>
    <t>Rosa De Areia Produções Ltda</t>
  </si>
  <si>
    <t>Tarifa Bancária referente a transferência eletrônica pagamento fornecedor:  César Bento Raphael - Processo 1521</t>
  </si>
  <si>
    <t>Tarifa Bancária referente a transferência eletrônica pagamento fornecedor: Stephen Andrew Bronk - Processo 1804</t>
  </si>
  <si>
    <t>Tarifa Bancária referente a transferência eletrônica pagamento fornecedor: Regelles Tadeu Queiroz Da Silva10092467636  - Processo 1262</t>
  </si>
  <si>
    <t>Tarifa Bancária referente a transferência eletrônica pagamento fornecedor: Rosa De Areia Produções Ltda  - Processo 1626</t>
  </si>
  <si>
    <t>Contratação da profissional "Glaura Aparecida Siqueira Cardoso Vale" para comentar, em live (virtual - ao vivo), o filme "Ladrões de Bicicleta", de que será exibido no Cine Humberto Mauro Mais. O debate será realizado dia 20/07/2021, às 19h através da plataforma CineHumbertoMauroMais e do canal canal do Youtube da FCS. O comentário ficará permanentemente disponível online.</t>
  </si>
  <si>
    <t>2021/23</t>
  </si>
  <si>
    <t>Vale Refeição dos funcionários a serviço do Contrato de Gestão</t>
  </si>
  <si>
    <t>6 (seis) baterias 12V / 9A / Unipower para Nobreak do projetor DCP do Cine Humberto Mauro / FCS.Com a retomada das atividades presenciais no Cine Humberto Mauro / FCS, o nobreak do projetor DCP apresentou defeito e conforme avaliação técnica da empresa que faz manutenção dos equipamentos do CHM, é necessário trocar as baterias do equipamento. O equipamento de DCP não pode ficar ligado diretamente na corrente elétrica pois é muito frágil às flutuações de rede, dessa forma faz-se necessária a compra de 6 baterias para garantir o funcionamento e a preservação do equipamento essencial para as exibições de filme no Cine Humberto Mauro.</t>
  </si>
  <si>
    <t>Tempo Desenvolvimento E Comunicacao Ltda</t>
  </si>
  <si>
    <t>00.124.779/0001-57</t>
  </si>
  <si>
    <t>Tarifa Bancária referente a transferência eletrônica pagamento fornecedor: Tempo Desenvolvimento E Comunicacao Ltda  - Processo 1814</t>
  </si>
  <si>
    <t>Reembolso de juros e multas realizado pela Conta da Appa referente ao pagamento em atraso da guia de DARF/IR - Aluguel</t>
  </si>
  <si>
    <t>Aquisição de testes rápidos para alunos e equipe do Cefart - Montagem de Formatura da escola de Teatro - turno noite. Alunos formandos do Cefart, em ensaio presencial de espetáculo.Faz-se necessária a aquisição dos teste porque uma aluna presente nos ensaios testou positivo. Todos as pessoas que tiveram contato com a mesma deverão realizar o teste. Apresentações são ações didático-pedagógicas que permitam aos alunos a percepção e a vivência da dinâmica entre o espaço de apresentação, o público, e a atuação - elementos fundamentais para a formação artística</t>
  </si>
  <si>
    <t>2021/747</t>
  </si>
  <si>
    <t>Tarifa Bancária referente a transferência eletrônica pagamento fornecedor:  Laboratóro Murad, Casali E Carneiro Ltda  - Processo 1803</t>
  </si>
  <si>
    <t xml:space="preserve">Reembolso realizado pelo Termo de Parceria 50/2020 - IEPHA referente ao percentual (26,41% do valor total), Taxas de Fiscalização de Localização e Funcionamento  e Taxa de Fiscalização Sanitária . </t>
  </si>
  <si>
    <t>Contratação de 4 cachês artísticos para músico (a) coralista na participação em 4 apresentações ou repertórios desenvolvidos para os eventos do CLMG, sendo presenciais ou virtuais.</t>
  </si>
  <si>
    <t>Maria Da Penha Vasconcelos Batista Sabeti 06015686480</t>
  </si>
  <si>
    <t xml:space="preserve">18.981.366/0001-54
</t>
  </si>
  <si>
    <t xml:space="preserve">Contratação de 4 cachês artísticos para músico (a) coralista na participação em 4 apresentações ou repertórios desenvolvidos para os eventos do CLMG, sendo presenciais ou virtuais. </t>
  </si>
  <si>
    <t>Andréia Aparecida De Paula 03788933607</t>
  </si>
  <si>
    <t xml:space="preserve">25.424.150/0001-53
</t>
  </si>
  <si>
    <t>Elias Magalhaes Moreira 13922374670</t>
  </si>
  <si>
    <t xml:space="preserve">32.517.791/0001-18
</t>
  </si>
  <si>
    <t xml:space="preserve">Cristiano Gomes Da Rocha 03223635602 
</t>
  </si>
  <si>
    <t xml:space="preserve">15.609.026/0001-09
</t>
  </si>
  <si>
    <t xml:space="preserve">Silvia Maurício De Souza Campos Neves 95475702691
</t>
  </si>
  <si>
    <t>18.206.415/0001-81</t>
  </si>
  <si>
    <t>Thiago Roussin Borges 05616608670</t>
  </si>
  <si>
    <t>23.068.501/0001-05</t>
  </si>
  <si>
    <t>Barbara Augusta Brasil Nicolau 10256250642</t>
  </si>
  <si>
    <t>28.491.861/0001-39</t>
  </si>
  <si>
    <t>Contratação de 01 serviço de edição de vídeo para elaboração de conteúdo gerado pelos músicos cantores contratados para o mês julho de 2021, em formato de vídeo coletivo para exibição nas redes sociais da FCS, de"Madrigal", de Gabriel Fauré programado para 16/07/2021.A entrega do serviço deverá ser efetuada com 10 dias de antecedência à exibição do vídeo nas redes sociais da FCS.</t>
  </si>
  <si>
    <t xml:space="preserve">26.336.510/0001-28
</t>
  </si>
  <si>
    <t xml:space="preserve"> Ariadna Fernandes 07694579676</t>
  </si>
  <si>
    <t>Jessica Cristina Soares 09400878630</t>
  </si>
  <si>
    <t xml:space="preserve">35.214.228/0001-69
</t>
  </si>
  <si>
    <t>Qinetwork Solucoes Tecnologicas Ltda</t>
  </si>
  <si>
    <t>Taxas de Fiscalização de Localização e Funcionamento  e Taxa de Fiscalização Sanitária .Favorecido: Prefeitura Muncipal de Belo Horizonte - 02º Parcela</t>
  </si>
  <si>
    <t>02.21.1104031.13</t>
  </si>
  <si>
    <t>Diárias em hotel para Maestro Roberto Tibiriçá, convidado para compor a banca examinadora das audições presenciais que acontecerão nos dias 29 e 30/06/2021 na Fundação Clóvis Salgado. Referente ao Edital nº 13/2021 - EDITAL DE PROCESSO SELETIVO PARA PREENCHIMENTO DE VAGA DE MÚSICOS INSTRUMENTISTAS.</t>
  </si>
  <si>
    <t>Tryp Belo Horizonte Hotel Ltda</t>
  </si>
  <si>
    <t>33.203.749/0001-95</t>
  </si>
  <si>
    <t>2021/3973</t>
  </si>
  <si>
    <t>Indaiara Silva Dos Santos Patrocínio 05823798652</t>
  </si>
  <si>
    <t>16.577.945/0001-00</t>
  </si>
  <si>
    <t>Tarifa Bancária referente a transferência eletrônica pagamento fornecedor: Maria Da Penha Vasconcelos Batista Sabeti 06015686480  - Processo 1607</t>
  </si>
  <si>
    <t>Tarifa Bancária referente a transferência eletrônica pagamento fornecedor: Andréia Aparecida De Paula 03788933607 - Processo 1599</t>
  </si>
  <si>
    <t>Tarifa Bancária referente a transferência eletrônica pagamento fornecedor: Elias Magalhaes Moreira 13922374670 - Processo 1604</t>
  </si>
  <si>
    <t>Tarifa Bancária referente a transferência eletrônica pagamento fornecedor: Cristiano Gomes Da Rocha 03223635602 
 - Processo 1603</t>
  </si>
  <si>
    <t>Tarifa Bancária referente a transferência eletrônica pagamento fornecedor: Silvia Maurício De Souza Campos Neves 95475702691- Processo 1608</t>
  </si>
  <si>
    <t>Tarifa Bancária referente a transferência eletrônica pagamento fornecedor: Thiago Roussin Borges 05616608670  - Processo 1609</t>
  </si>
  <si>
    <t>Tarifa Bancária referente a transferência eletrônica pagamento fornecedor: Barbara Augusta Brasil Nicolau 10256250642  - Processo 1602</t>
  </si>
  <si>
    <t>Tarifa Bancária referente a transferência eletrônica pagamento fornecedor: Ariadna Fernandes 07694579676 - Processo 1720</t>
  </si>
  <si>
    <t>Tarifa Bancária referente a transferência eletrônica pagamento fornecedor: Ariadna Fernandes 07694579676 - Processo 1600</t>
  </si>
  <si>
    <t>Tarifa Bancária referente a transferência eletrônica pagamento fornecedor: Jessica Cristina Soares 09400878630 - Processo 1606</t>
  </si>
  <si>
    <t>Tarifa Bancária referente a transferência eletrônica pagamento fornecedor: Tryp Belo Horizonte Hotel Ltda - Processo 1708</t>
  </si>
  <si>
    <t>Tarifa Bancária referente a transferência eletrônica pagamento fornecedor: Indaiara Silva Dos Santos Patrocínio 05823798652 - Processo 1605</t>
  </si>
  <si>
    <t>Rendimentos de aplicações financeiras do mês 07/2021.</t>
  </si>
  <si>
    <t>Imposto de Renda referente aos rendimentos de aplicações financeiras do mês 07/2021.</t>
  </si>
  <si>
    <t>Valor referente a Medicina do Trabalho do mês 07/2021 - PCMSO</t>
  </si>
  <si>
    <t>2021/8328</t>
  </si>
  <si>
    <t xml:space="preserve">Valor referente a Medicina do Trabalho do mês 07/2021 - PPRA </t>
  </si>
  <si>
    <t>2021/5668</t>
  </si>
  <si>
    <t>Vale Alimentação para nova funcionária - Assessor Pedagógico: Formação Artística e Tecnológica</t>
  </si>
  <si>
    <t>Consumo de energia elétrica do mês 07/2021</t>
  </si>
  <si>
    <t>Contratação de um profissional para participação na Roda de Conversa " Música Sinfônica e Políticas Culturais no Brasil de hoje", que acontecerá no dia 17 de junho de 2021 destinado aos alunos do programa de residência artística do Cefart.</t>
  </si>
  <si>
    <t>Priscila Alencastre Lopes Santos Souza</t>
  </si>
  <si>
    <t>056.845.547-92</t>
  </si>
  <si>
    <t>Contratação de prestação de serviços de desinfecção de ambientes, na FCS conforme metragem abaixo especificada.Palco - 651m²,Camarim direito - 63m²,Camarim esquerdo - 40m²,Sala preta - 80m²,Estudio A - 163m²,Pequeno Estúdio - 148m²,Grande teatro e Foyer - 4047m². Faz-se necessária a contratação de prestação de serviços de desinfecção de ambientes porque uma aluna presente nos ensaios testou positivo. Todos as pessoas que tiveram contato com a mesma realizaram testes e 02 alunos testaram positivo. Apresentações são ações didático-pedagógicas que permitam aos alunos a percepção e a vivência da dinâmica entre o espaço de apresentação, o público, e a atuação - elementos fundamentais para a formação artística. Entrada</t>
  </si>
  <si>
    <t>Neliane Maria Batista Dare</t>
  </si>
  <si>
    <t>31.078.045/0001-02</t>
  </si>
  <si>
    <t>2021/34</t>
  </si>
  <si>
    <t>Profissional para elaboração de arranjos de partituras musicais para OSMG e CLMG da obra ISMALIA do Escritor Alphonsus Guimarães.</t>
  </si>
  <si>
    <t>Inconfidentes Produções Produções Artísticas Ltda</t>
  </si>
  <si>
    <t>34.967.609/0001-56</t>
  </si>
  <si>
    <t>Contratação de 6 cachês artísticos para bailarino (a) na participação em 6 apresentações ou repertórios artísticos desenvolvidos para os eventos da CDPA sendo presenciais ou virtuais. Contratação de Amanda Santana como bailarina, representada por sua empresária Elisete Gomes Joaquim de Oliveira</t>
  </si>
  <si>
    <t>2021/85</t>
  </si>
  <si>
    <t>Contratação de 6 cachês artísticos para bailarino (a) na participação em 6 apresentações ou repertórios artísticos desenvolvidos para os eventos da CDPA sendo presenciais ou virtuais. Contratação de Silvia Maia como bailarina, representado por sua empresária Elisete Gomes Joaquim de Oliveira</t>
  </si>
  <si>
    <t>2021/86</t>
  </si>
  <si>
    <t xml:space="preserve">Contratação de 6 cachês artísticos para bailarino (a) na participação em 6 apresentações ou repertórios artísticos desenvolvidos para os eventos da CDPA sendo presenciais ou virtuais. Contratação de Anahi Poty como bailarina, representado por sua empresária Elisete Gomes Joaquim de Oliveira </t>
  </si>
  <si>
    <t>2021/87</t>
  </si>
  <si>
    <t xml:space="preserve">Contratação de 6 cachês artísticos para bailarino (a) na participação em 6 apresentações ou repertórios artísticos desenvolvidos para os eventos da CDPA sendo presenciais ou virtuais. Contratação de Maíra Campos como bailarina, representado por sua empresária Elisete Gomes Joaquim de Oliveira </t>
  </si>
  <si>
    <t>2021/88</t>
  </si>
  <si>
    <t>Contratação de 6 cachês artísticos para bailarino (a) na participação em 6 apresentações ou repertórios artísticos desenvolvidos para os eventos da CDPA sendo presenciais ou virtuais. Contratação de Leandro Garcia como bailarino, representado por sua empresária Elisete Gomes Joaquim de Oliveira</t>
  </si>
  <si>
    <t>2021/89</t>
  </si>
  <si>
    <t xml:space="preserve">Contratação de 6 cachês artísticos para bailarino (a) na participação em 6 apresentações ou repertórios artísticos desenvolvidos para os eventos da CDPA sendo presenciais ou virtuais. Contratação de Lucas Resende como bailarino, representado por sua empresária Elisete Gomes Joaquim de Oliveira </t>
  </si>
  <si>
    <t>2021/90</t>
  </si>
  <si>
    <t xml:space="preserve">Contratação de 6 cachês artísticos para bailarino (a) na participação em 6 apresentações ou repertórios artísticos desenvolvidos para os eventos da CDPA sendo presenciais ou virtuais. Contratação de Paulo Wesley como bailarino, representado por sua empresária Elisete Gomes Joaquim de Oliveira </t>
  </si>
  <si>
    <t xml:space="preserve">Contratação de 6 cachês artísticos para bailarino (a) na participação em 6 apresentações ou repertórios artísticos desenvolvidos para os eventos da CDPA sendo presenciais ou virtuais. Contratação de Jorge Luiz como bailarino, representado por sua empresária Elisete Gomes Joaquim de Oliveira </t>
  </si>
  <si>
    <t>2021/92</t>
  </si>
  <si>
    <t xml:space="preserve">Contratação de Músico instrumentista.Necessário contratação de músico instrumentista fagotista para tocar o primeiro fagote e compor o naipe de madeiras nas gravações do vídeo coletivo do CLMG e OSMG e do vídeo Institucional dos 50 anos PA.
</t>
  </si>
  <si>
    <t>2021/95</t>
  </si>
  <si>
    <t>Contratação de 6 cachês artísticos para bailarino (a) na participação em 6 apresentações ou repertórios artísticos desenvolvidos para os eventos da CDPA sendo presenciais ou virtuais. Contratação de Renato Augusto como bailarino, representado por sua empresária Elisete Gomes Joaquim de Oliveira</t>
  </si>
  <si>
    <t>2021/93</t>
  </si>
  <si>
    <t xml:space="preserve">Contratação de 6 cachês artísticos para bailarino (a) na participação em 6 apresentações ou repertórios artísticos desenvolvidos para os eventos da CDPA sendo presenciais ou virtuais. Contratação de Pablo Garcia como bailarino, representado por sua empresária Elisete Gomes Joaquim de Oliveira </t>
  </si>
  <si>
    <t>2021/94</t>
  </si>
  <si>
    <t>Tarifa Bancária referente a transferência eletrônica pagamento fornecedor: Elisete Gomes Joaquim De Oliveira-me
- Processo 1809</t>
  </si>
  <si>
    <t>Devido a reabertura, se faz necessário a compra de 20 unidades lâmpadas LED para substituição nas galerias Genesco Murta e Arlinda Correia que faz parte do FIF, no Palácio das Artes.Especificação das lâmpadas: Par20, 7W, 240V, 4000k.</t>
  </si>
  <si>
    <t>Central Lâmpadas Ltda</t>
  </si>
  <si>
    <t>17.646.971/0001-61</t>
  </si>
  <si>
    <t>Contratação de empresa para retirada e instalação de plotagem de novos patrocinadores e nova logo da Fundação Clóvis Salgado na placa do Foyer. As medidas são: Altura: 195,5 cm /Largura: 159,5 cm.Devido a inclusão de novo patrocinador master, será necessário alteração da plotagem do placão do Foyer para inclusão deste novo patrocinador e alteração das logos da Fundação Clóvis Salgado 50 anos e do selo Circuito Liberdade.</t>
  </si>
  <si>
    <t>BH Fotocópias Digital Ltda.</t>
  </si>
  <si>
    <t xml:space="preserve">29.032.573/0001-89
</t>
  </si>
  <si>
    <t>2021/541</t>
  </si>
  <si>
    <t>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07/2021) - 26,41% do valor total</t>
  </si>
  <si>
    <t xml:space="preserve">Reembolso parcial da conta do Termo de Parceria 50/2020 - IEPHA, referente contratação de empresa de setor administrativo especializada em entidades do terceiro setor  para o Contrato de Gestão 05/2019 e Termo de Parceria 50/2020 (mês 07/2021) - 26,41% do valor total </t>
  </si>
  <si>
    <t>Reembolso realizado pelo Termo de Parceria 50/2020 - IEPHA referente ao percentual (26,41% do valor total), assessoria jurídica para o Contrato de Gestão e Termo de Parceria referente ao mês 07/2021.</t>
  </si>
  <si>
    <t>Reembolso realizado pelo Termo de Parceria 50/2020 - IEPHA  referente ao percentual (26,41% do valor total), assessoria contábil para o Contrato de Gestão 05/2019 e Termo de Parceria referente ao mês 07/2021</t>
  </si>
  <si>
    <t xml:space="preserve">Participação na Roda de Conversa " Música Sinfônica e Políticas Culturais no Brasil de hoje", que acontecerá no dia 17 de junho de 2021. 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t>
  </si>
  <si>
    <t>Álvaro Bruno Amaral Carriello Teixeira</t>
  </si>
  <si>
    <t>101.500.797-02</t>
  </si>
  <si>
    <t>2021/40</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</si>
  <si>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04</t>
  </si>
  <si>
    <t xml:space="preserve"> Arco Cultural Ltda</t>
  </si>
  <si>
    <t>2021/39</t>
  </si>
  <si>
    <t>2021/997</t>
  </si>
  <si>
    <t>Aluguel do mês de julho/2021 do CTP</t>
  </si>
  <si>
    <t>Produção editorial para edição de livro - produção e desenvolvimento dos trabalhos editoriais relativos ao 23º Festcurtas BH, sendo produção e negociação de conteúdo e direitos de textos e imagens, a partir de pesquisas comandadas pela coordenação editorial, buscando em acervos e instituições nacionais e internacionais, todo e qualquer material textual e gráfico relacionado aos temas apontados pela curadoria para as mostras especiais, acompanhamento de contratação e desenvolvimento de textos inéditos para publicação, bem como, de todo o trabalho de tradução e revisão realizado por empresa contratada para este segmento, garantindo a disponibilização de todo o material textual em idioma português e inglês.</t>
  </si>
  <si>
    <t>Layla Caroline Braz 11264841647</t>
  </si>
  <si>
    <t>28.923.750/0001-54</t>
  </si>
  <si>
    <t>Contratação de cachês artísticos de Maestro titular na Direção e desenvolvimento dos repertórios artísticos para os eventos da OSMG sendo presenciais ou virtuais.Faz-se necessário a contratação de Maestro para desenvolvimento dos repertórios artísticos da OSMG que podem ser presenciais ou virtuais. Devido a questão da Pandemia, a Orquestra pode participar de projetos como o "Palácio em sua Cia", parte da programação de Mediação Cultural da FCS, que contempla a realização de apresentações em vídeo, gerando conteúdos de programação para o ambiente virtual.</t>
  </si>
  <si>
    <t>Transporte em caminhão baú da obra "Maquete Teatro Italiano" para restauro, incluindo 4 carregadores para manuseio da obra. A obra "Maquete Teatro Italiano" será exposta na exposição comemorativa de 50 anos do Palácio das Artes, queacontecerá na Grande Galeria Alberto da Veiga Guignard durante o ano de 2021, com período expositivo a ser definido após a retomada das atividades presenciais na FCS devido ao protocolo de segurança do programa Minas Consciente. Entrada</t>
  </si>
  <si>
    <t>Patrick Hermany Ferreira Souza 06224225613</t>
  </si>
  <si>
    <t>Serviço de cenotécnica para estruturação, limpeza e adequação dos objetos e figurinos que serão expostos na exposição comemorativa de 50 anos do Palácio das Artes. Será necessário limpeza, ajustes e adequação nas peças escolhidas pela curadoria da exposição, sendo 6 figurinos e cerca de 100 objetos (relação anexa). O serviço será realizado no CTP Andradas conforme cronograma estabelecido pela produção juntamente com a empresa selecionada. A entrega e montagem final dos objetos na galeria será realizada até o dia 09 de agosto. Entrada</t>
  </si>
  <si>
    <t xml:space="preserve"> Damasco Comunicação Eirelli</t>
  </si>
  <si>
    <t>30.688.005/0001-10</t>
  </si>
  <si>
    <t>2021/33</t>
  </si>
  <si>
    <t>Contratação de Profissional especializado para capitação de imagem e edição do vídeo Intervenção de Dança. Considerar acompanhamento das reuniões de criações dos bailarinos diárias e inserção de legendas, capa (frame), inclusão de ficha técnica, créditos e logomarcas. Captação das imagens das coreografias dos bailarinos individualmente in loco (casa, teatro ou lugares externos de acordo com a necessidade de cada bailarino e do Diretor). Equipamentos profissionais de filmagem e drone com acompanhamento de um cinegrafista com olhar artístico. Entrega do conteúdo deve ser finalizado e entregue em 10 dias úteis antes da data prevista para exibição, para chancela e conferência da Diretoria Cultural e ASCOM da FCS. Entrega de 01 vídeo editado com conteúdos de aproximadamente 20'' min.</t>
  </si>
  <si>
    <t>2021/47</t>
  </si>
  <si>
    <t>Tarifa Bancária referente a transferência eletrônica pagamento fornecedor: Layla Caroline Braz 11264841647  - Processo 1627</t>
  </si>
  <si>
    <t>Tarifa Bancária referente a transferência eletrônica pagamento fornecedor: Christoffer Produções Artísticas Ltda  - Processo 1843</t>
  </si>
  <si>
    <t>Tarifa Bancária referente a transferência eletrônica pagamento fornecedor: Patrick Hermany Ferreira Souza 06224225613 - Processo 1721</t>
  </si>
  <si>
    <t>Tarifa Bancária referente a transferência eletrônica pagamento fornecedor: Damasco Comunicação Eirelli  - Processo 1815</t>
  </si>
  <si>
    <t>Tarifa Bancária referente a transferência eletrônica pagamento fornecedor: Kleber De Jesus Bispo 10663043603 - Processo 1705</t>
  </si>
  <si>
    <t>Ana Dos Anjos Camarano Cardoso</t>
  </si>
  <si>
    <t>Angela Peres De Oliveira</t>
  </si>
  <si>
    <t>Luiza Leandro Martins Fonseca 10287238652</t>
  </si>
  <si>
    <t>Produção de programação para o 23º Festcurtas BH. O prestador de serviços será responsável pelo controle das inscrições de filmes e do processo de seleção para a programação do festival e deverá ser contratado pelo período de nove meses.Parcela 04</t>
  </si>
  <si>
    <t>Reembolso a conta do Contrato de Gestão - 05/2019  ref aquisição de sistema de ponto para utilização pelos colaboradores da Appa  (Anglo)- ano 2021. Referente ao mês 07/2021</t>
  </si>
  <si>
    <t>Reembolso a conta do Contrato de Gestão - 05/2019  ref aquisição de sistema de ponto para utilização pelos colaboradores da Appa  - ano 2021. Referente ao mês 07/2021</t>
  </si>
  <si>
    <t>Reembolso realizado pelo Termo de Parceria 50/2020 - Iepha a conta do Contra de Gestão 005/2019 referente ao pagamento de guia de FGTS - Valor proporcional aos funcionários a serviço do TP 50/2020 - 07/2021</t>
  </si>
  <si>
    <t>Reembolso a conta do Contrato de Gestão - 05/2019 Aquisição de sistema de ponto para utilização pelos colaboradores do TP 50/2020 IEPHA - ano 2021. Referente ao mês 07/2021</t>
  </si>
  <si>
    <t>Contratação de profissional para Criação de trilha sonora para o vídeo Intervenção da Dança com acompanhamento de todo o processo criativo durante as reuniões da Cia de Dança .</t>
  </si>
  <si>
    <t xml:space="preserve">10.461.414/0001-71
</t>
  </si>
  <si>
    <t>Salário do Superintendente de Auditoria, referente ao mês 07/2021</t>
  </si>
  <si>
    <t>Salário da Analista Financeiro Pleno, referente ao mês 07/2021</t>
  </si>
  <si>
    <t>Salário do Montador Diart, referente ao mês 07/2021</t>
  </si>
  <si>
    <t>Salário do Coordenador de Comunicação, referente ao mês 07/2021</t>
  </si>
  <si>
    <t>Salário da Produtora Cultural: Produção Artística, referente ao mês 07/2021</t>
  </si>
  <si>
    <t>Salário do Diretor Financeiro, referente ao mês 07/2021</t>
  </si>
  <si>
    <t>Salário da Auxiliar de serviços Gerais, referente ao mês 07/2021</t>
  </si>
  <si>
    <t>Salário do Montador Dipro, referente ao mês 07/2021</t>
  </si>
  <si>
    <t>Salário do Músico Instrumentista, referente ao mês 07/2021</t>
  </si>
  <si>
    <t xml:space="preserve">Aldo César da Silva </t>
  </si>
  <si>
    <t>067.774.056-58</t>
  </si>
  <si>
    <t>Salário do Regente Assistente, referente ao mês 07/2021</t>
  </si>
  <si>
    <t xml:space="preserve">Augusto Mário Goulart Pimenta </t>
  </si>
  <si>
    <t>001.836.186-29</t>
  </si>
  <si>
    <t>Salário do Músico Intrumentista, referente ao mês 07/2021</t>
  </si>
  <si>
    <t>Felllip Matheus dos Santos Lopes</t>
  </si>
  <si>
    <t>148.464.986-97</t>
  </si>
  <si>
    <t xml:space="preserve">Hozana Martins de Barros Santos </t>
  </si>
  <si>
    <t>126.443.966-03</t>
  </si>
  <si>
    <t xml:space="preserve">Leandro Lino da Cunha </t>
  </si>
  <si>
    <t>113.321.226-39</t>
  </si>
  <si>
    <t>Leise Rodrigues Toledo Renhe</t>
  </si>
  <si>
    <t>070.864.116-47</t>
  </si>
  <si>
    <t xml:space="preserve">Leonardo Brasilino Rodrigues da Cunha </t>
  </si>
  <si>
    <t>040.390.166-96</t>
  </si>
  <si>
    <t>Rafael Ribeiro</t>
  </si>
  <si>
    <t>105.605.686-06</t>
  </si>
  <si>
    <t>Salário do Arquivista, referente ao mês 07/2021</t>
  </si>
  <si>
    <t>Robert Avelino Camilo</t>
  </si>
  <si>
    <t>013.263.696-44</t>
  </si>
  <si>
    <t>Rosana Guedes de Oliveira Carneiro</t>
  </si>
  <si>
    <t>095.047.226-36</t>
  </si>
  <si>
    <t xml:space="preserve">Simone Poliana de Jeses Martins e Silva </t>
  </si>
  <si>
    <t>074.691.586-18</t>
  </si>
  <si>
    <t>Vitor Dutra Oliveira</t>
  </si>
  <si>
    <t>004.627.916-17</t>
  </si>
  <si>
    <t>Lucas Roberto de Souza Sodré</t>
  </si>
  <si>
    <t>109.570.336-64</t>
  </si>
  <si>
    <t>Aquisição de materiais diversos para utilização na manutenção física do CTPF. Faz-se necessária a aquisição de materiais diversos para utilização no CTPF, para a higienização e limpeza de figurinos e adereços, como para ações diárias no espaço.</t>
  </si>
  <si>
    <t xml:space="preserve"> Magazine Luiza S/A</t>
  </si>
  <si>
    <t>47.960.950/0449-27</t>
  </si>
  <si>
    <t>FGTS referente a folha de pagamento do mês 07/2021</t>
  </si>
  <si>
    <t>Direito de exibição dos filmes O MINEIRO E O QUEIJO e PÃO DE QUEIJO DA ROMILDA,dirigidos por Helvécio Ratton (BRA, 2011). O filme integra a programação da mostra Cinema e Patrimônio: Cozinha Mineira que acontecerá de forma presencial, entre os dias 13 e 22 de agosto no Cine Humberto Mauro e online na plataforma virtual CineHumbertoMauroMais.com.</t>
  </si>
  <si>
    <t>Quimera Filmes Ltda</t>
  </si>
  <si>
    <t>22.331.409/0001-23</t>
  </si>
  <si>
    <t>Salário da Assessora Pedagógica: Formação Artística e Tecnológica, referente ao mês 07/2021</t>
  </si>
  <si>
    <t>Weverton dos Santos Araújo</t>
  </si>
  <si>
    <t>121.574.766-79</t>
  </si>
  <si>
    <t>Salário do Pianista, referente ao mês 07/2021</t>
  </si>
  <si>
    <t xml:space="preserve">Frederico Carlos Natalino </t>
  </si>
  <si>
    <t>068.222.456-18</t>
  </si>
  <si>
    <t xml:space="preserve">Luis Fernando Umbelino da Silva </t>
  </si>
  <si>
    <t>111.879.576-82</t>
  </si>
  <si>
    <t xml:space="preserve">Patrick Messias Silva </t>
  </si>
  <si>
    <t>108.603.796-04</t>
  </si>
  <si>
    <t>Ravel Munaier Lanza Conceição</t>
  </si>
  <si>
    <t>084.063.176-63</t>
  </si>
  <si>
    <t>Salário da Gerente de Projetos Dipro , referente ao mês 07/2021</t>
  </si>
  <si>
    <t xml:space="preserve">Igor de Lima Pereira </t>
  </si>
  <si>
    <t>115.495.356-41</t>
  </si>
  <si>
    <t xml:space="preserve">Alef Caetano Silva </t>
  </si>
  <si>
    <t>Salário do Presidente referente ao mês 07/2021</t>
  </si>
  <si>
    <t>André Lodi Rocha</t>
  </si>
  <si>
    <t>075.500.986-03</t>
  </si>
  <si>
    <t>Salário do Coordenador Administrativo referente ao mês 07/2021</t>
  </si>
  <si>
    <t>Salário do Gerente de Projetos: Programação Artística referente ao mês 07/2021</t>
  </si>
  <si>
    <t>Tarifa Bancária referente a transferência eletrônica salário do Diretor Financeiro</t>
  </si>
  <si>
    <t>Tarifa Bancária referente a transferência eletrônica salário do  Músico</t>
  </si>
  <si>
    <t xml:space="preserve">Tarifa Bancária referente a transferência eletrônica salário do  Assistente Regente </t>
  </si>
  <si>
    <t>Tarifa Bancária referente a transferência eletrônica salário do  Arquivista</t>
  </si>
  <si>
    <t>Devido a reabertura, se faz necessário a compra de 20 unidades lâmpadas tubulares LED para substituição na galeria Camerasete que faz parte do FIF.Especificação:20 lâmpadas tubulares LED,Tubular T8 20W 4000K luz neutra</t>
  </si>
  <si>
    <t>Coordenação de programação e curadoria para o 23º Festcurtas BH. A prestadora de serviços será responsável pela organização geral da dinâmica da comissão de seleção, que seleciona os filmes a serem exibidos no23º Festcurtas BH e deverá ser contratada pelo período de nove meses. Parcela 04</t>
  </si>
  <si>
    <t>Reembolso realizado pela conta do Projeto Programação Artística referente ao pagamento indevido pela conta do CG do Produtor Cultural - contratação de profissional na área de produção cultural - Mylene Youssef A Vieira - Produções E Eventos Epp</t>
  </si>
  <si>
    <t>Reembolso realizado pelo Termo de Parceria 50/2020 - IEPHA referente ao percentual (26,41% do valor total ) do aluguel da sede da Appa referente ao mês 07/2021</t>
  </si>
  <si>
    <t>Reembolso realizado pelo Termo de Parceria 50/2020 - IEPHA referente ao percentual (26,41% do valor total ) guia de IPTU - 07º parcela</t>
  </si>
  <si>
    <t>Compra de 1 lata de tinta, de 18L, marca Eucatex super Piso Acrílica – Preto (código 008). Se faz necessário ser especificamente esta tinta, pois é a mesma que já estava sendo usada para pintar as paredes da exposição na Grande Galeria. A exposição comemorativa dos 50 anos do Palácio das Artes acontecerá na Grande Galeria Alberto da Veiga Guignard durante os dias 12/08 a 14/novembro de 2021. Para a realização da mesma, faz-se necessário a compra uma lata de tinta com as características descritas acima, para finalizar a pintura das paredes que serão usadas para a exposição na Grande Galeria.</t>
  </si>
  <si>
    <t>Rodrigues E Cybelle Tintas Ltda</t>
  </si>
  <si>
    <t>13.259.966/0001-90</t>
  </si>
  <si>
    <t>000.001.327</t>
  </si>
  <si>
    <t>Compra de 4 rolos de fitas dupla face para carpete, nas medidas 48mmx30m e na cor branca.A exposição comemorativa dos 50 anos do Palácio das Artes acontecerá na Grande Galeria Alberto da Veiga Guignard durante os dias 12/08 a 14/novembro de 2021. Para a realização da mesma, faz-se necessário a compra das fitas nas características descritas acima, para fixar os carpetes que serão usados para a exposição na Grande Galeria.</t>
  </si>
  <si>
    <t>Casa Das Lonas Ltda</t>
  </si>
  <si>
    <t>18.850.040/0001-98</t>
  </si>
  <si>
    <t>Aluguel da sede da Appa referente ao período de 10/07 a 09/08/2021</t>
  </si>
  <si>
    <t>Guia de ITPU - Parcela 07</t>
  </si>
  <si>
    <t>2021/183901</t>
  </si>
  <si>
    <t>Guia de ISSQN referente a nota fiscal 2021/71 - Elisete Gomes Joaquim De Oliveira-me</t>
  </si>
  <si>
    <t>Guia de ISSQN referente a nota fiscal 2021/72 - Elisete Gomes Joaquim De Oliveira-me</t>
  </si>
  <si>
    <t>Guia de ISSQN referente a nota fiscal 2021/73 - Elisete Gomes Joaquim De Oliveira-me</t>
  </si>
  <si>
    <t>Guia de ISSQN referente a nota fiscal 2021/74 - Elisete Gomes Joaquim De Oliveira-me</t>
  </si>
  <si>
    <t>Guia de ISSQN referente a nota fiscal 2021/75 - Elisete Gomes Joaquim De Oliveira-me</t>
  </si>
  <si>
    <t>Guia de ISSQN referente a nota fiscal 2021/76 - Elisete Gomes Joaquim De Oliveira-me</t>
  </si>
  <si>
    <t>Guia de ISSQN referente a nota fiscal 2021/77 - Elisete Gomes Joaquim De Oliveira-me</t>
  </si>
  <si>
    <t>Guia de ISSQN referente a nota fiscal 2021/78 - Elisete Gomes Joaquim De Oliveira-me</t>
  </si>
  <si>
    <t>Guia de ISSQN referente a nota fiscal 2021/79 - Elisete Gomes Joaquim De Oliveira-me</t>
  </si>
  <si>
    <t>Guia de ISSQN referente a nota fiscal 2021/80 - Elisete Gomes Joaquim De Oliveira-me</t>
  </si>
  <si>
    <t>Guia de ISSQN referente a nota fiscal 2021/613 - Laboratóro Murad, Casali E Carneiro Ltda</t>
  </si>
  <si>
    <t>Guia de ISSQN referente a nota fiscal 2021/631 - Laboratóro Murad, Casali E Carneiro Ltda</t>
  </si>
  <si>
    <t>Guia de ISSQN referente a nota fiscal 2021/3973 - Tryp Belo Horizonte Hotel Ltda</t>
  </si>
  <si>
    <t xml:space="preserve">Guia de ISSQN referente a nota fiscal 2021/8328 - Ocupacional Medicina do Trabalho Ltda </t>
  </si>
  <si>
    <t>Guia de ISSQN referente a nota fiscal 2021/1149268 - Cons. Operacional de Transporte Coletivo.</t>
  </si>
  <si>
    <t>Guia de ISSQN referente a nota fiscal 2021/152140 - Cons. Operacional de Transporte Coletivo.</t>
  </si>
  <si>
    <t>Guia de ISSQN referente a nota fiscal 2021/152387 - Cons. Operacional de Transporte Coletivo.</t>
  </si>
  <si>
    <t>Guia de ISSQN referente a nota fiscal 2021/158052 - Cons. Operacional de Transporte Coletivo.</t>
  </si>
  <si>
    <t>Guia de ISSQN referente a nota fiscal 2021/158055 - Cons. Operacional de Transporte Coletivo.</t>
  </si>
  <si>
    <t>Guia de ISSQN referente a nota fiscal 2021/161774 - Cons. Operacional de Transporte Coletivo.</t>
  </si>
  <si>
    <t>Guia de ISSQN referente a nota fiscal 2021/367969 - Unimed Cooperativa de Trabalho Médico</t>
  </si>
  <si>
    <t>Guia de ISSQN referente a nota fiscal 2021/370943 - Unimed Cooperativa de Trabalho Médico</t>
  </si>
  <si>
    <t>Guia de ISSQN referente a nota fiscal 2021/181 -  Christoffer Produções Artísticas Ltda</t>
  </si>
  <si>
    <t>Guia de ISSQN referente a nota fiscal 2021/183 - Christoffer Produções Artísticas Ltda</t>
  </si>
  <si>
    <t xml:space="preserve">Guia de ISSQN referente a  nota fiscal 252 - Iluminuras Producoes Artistico-culturais Ltda
</t>
  </si>
  <si>
    <t>Guia de ISSQN referente ao RPA 1213 - Alef Caetano Silva</t>
  </si>
  <si>
    <t>Guia de ISSQN referente ao RPA 1214 - Raquel Santos Carneiro</t>
  </si>
  <si>
    <t>Guia de ISSQN referente ao RPA 1219 - José Carlos Serroni</t>
  </si>
  <si>
    <t>Guia de ISSQN referente ao RPA 1221 - Raul Martinho Sá D'oliveira</t>
  </si>
  <si>
    <t>Guia de ISSQN referente ao RPA 1232 - Michelle Aparecida Silva Barreto</t>
  </si>
  <si>
    <t>Guia de ISSQN referente ao RPA 1233 - Ewelyn Felice Da Silva</t>
  </si>
  <si>
    <t>Guia de ISSQN referente ao RPA 1234 - Guilherme Cruz Lessa</t>
  </si>
  <si>
    <t xml:space="preserve">Guia de ISSQN referente ao RPA 1236 - Serena Mendes Rocha
</t>
  </si>
  <si>
    <t>Guia de ISSQN referente ao RPA 1238 -  Cleber José Leão De Almeida</t>
  </si>
  <si>
    <t>Guia de ISSQN referente ao RPA 1239 -  Miriam Beatriz Dos Santos Menezes</t>
  </si>
  <si>
    <t>Guia de ISSQN referente ao RPA 1240 - Frederico Magalhães Mucci Daniel</t>
  </si>
  <si>
    <t>Guia de ISSQN referente ao RPA 1241 - Priscila Natany Resende</t>
  </si>
  <si>
    <t>Guia de ISSQN referente ao RPA 1243 - Heitor Pinheiro</t>
  </si>
  <si>
    <t>Guia de ISSQN referente ao RPA 1247 - Gustavo Henrique Batista Zanandrez</t>
  </si>
  <si>
    <t>Guia de ISSQN referente ao RPA 1248 - Stephen Andrew Bronk</t>
  </si>
  <si>
    <t>Guia de ISSQN referente a nota fiscal 2021/4 - Javali Do Mar Experimentações Artisticas Ltda</t>
  </si>
  <si>
    <t>Guia de ISSQN referente a nota fiscal 2021/6 - Estalo Criativo Ltda</t>
  </si>
  <si>
    <t>Guia de ISSQN referente a nota fiscal 2021/6 - Renata Fonseca Felicissimo 10665267614</t>
  </si>
  <si>
    <t>Guia de ISSQN referente a nota fiscal 2021/9 - Eduardo Félix De Miranda Leite - Me</t>
  </si>
  <si>
    <t>Guia de ISSQN referente a nota fiscal 2021/9 - Mylene Youssef A Vieira - Produções E Eventos Epp</t>
  </si>
  <si>
    <t>Guia de ISSQN referente a nota fiscal 2021/11 -  Rafael Bruno De Oliveira Ferreira Eireli</t>
  </si>
  <si>
    <t>Guia de ISSQN referente a nota fiscal 2021/12 - Luiza Leandro Martins Fonseca 10287238652</t>
  </si>
  <si>
    <t>Guia de ISSQN referente a nota fiscal 2021/13 - Rita Clemente Producoes Artisticas Ltda</t>
  </si>
  <si>
    <t xml:space="preserve">Guia de ISSQN referente a nota fiscal 2021/14 - Dollabela Advocacia E Consultoria
</t>
  </si>
  <si>
    <t>Guia de ISSQN referente a nota fiscal 2021/14 - Rita Clemente Producoes Artisticas Ltda</t>
  </si>
  <si>
    <t>Guia de ISSQN referente a nota fiscal 2021/22 -  Rosa De Areia Produções Ltda</t>
  </si>
  <si>
    <t>Guia de ISSQN referente a nota fiscal 2021/24 - Girassolina Produções Ltda</t>
  </si>
  <si>
    <t>Guia de ISSQN referente a nota fiscal 2021/26 - Hatari Filmes Ltda</t>
  </si>
  <si>
    <t>Guia de ISSQN referente a nota fiscal 2021/28 - Devora Filmes Ltda</t>
  </si>
  <si>
    <t>Guia de ISSQN referente a nota fiscal 2021/28 - Travessia Cinematografica Ltda</t>
  </si>
  <si>
    <t>Guia de ISSQN referente a nota fiscal 2021/37 - Arco Cultural Ltda</t>
  </si>
  <si>
    <t>Guia de ISSQN referente a nota fiscal 2021/38 - Arco Cultural Ltda</t>
  </si>
  <si>
    <t>Guia de ISSQN referente a nota fiscal 2021/51 -  Logus Protection Patrimonial Ltda</t>
  </si>
  <si>
    <t>Guia de ISSQN referente a nota fiscal 2021/160 -  Softwares De Gestão Ltda</t>
  </si>
  <si>
    <t>Guia de ISSQN referente a nota fiscal 2021/747 - Laboratóro Murad, Casali E Carneiro Ltda</t>
  </si>
  <si>
    <t xml:space="preserve">Guia de ISSQN referente a nota fiscal 2021/1093- Patrulha Eletrônica Ltda </t>
  </si>
  <si>
    <t>Guia de ISSQN referente a nota fiscal 2021/5668 - Assiste Saúde do Trabalhador e Medicina do Trabalho Ltda</t>
  </si>
  <si>
    <t>Vale Alimentação para os novos funcionários a serviço do CG</t>
  </si>
  <si>
    <t>Tarifa Bancária referente a transferência eletrônica pagamento fornecedor: Casa Das Lonas Ltda - Processo  1879</t>
  </si>
  <si>
    <t>Guia de ISSQN referente ao RPA 1220 - Ana Dos Anjos Camarano Cardoso</t>
  </si>
  <si>
    <t>Guia de ISSQN referente ao RPA 1223 -  Angela Peres De Oliveira</t>
  </si>
  <si>
    <t xml:space="preserve">Contratação de instrutor/monitor para acompanhamento do público durante a visitação na exposição "Festival Internacional de Fotografia - FIF" que está em período expositivo do dia 08/07/2021 à 05/09/2021, na Galeria Arlinda Correia Lima /FCS.
</t>
  </si>
  <si>
    <t>Diogo Vieira De Melo</t>
  </si>
  <si>
    <t xml:space="preserve">RPA </t>
  </si>
  <si>
    <t xml:space="preserve">Isabela Rocha Leão Magalhães </t>
  </si>
  <si>
    <t xml:space="preserve">Brenno Theotonio de Castro </t>
  </si>
  <si>
    <t>Alberto Gusmão da Silva</t>
  </si>
  <si>
    <t>Isabella Andrade Oliveira Mello Proença</t>
  </si>
  <si>
    <t>103.735.366-82</t>
  </si>
  <si>
    <t>Jéssica Chaves Moreira Garcia</t>
  </si>
  <si>
    <t>Luciana Campos Horta</t>
  </si>
  <si>
    <t>Guia de ISSQN referente a nota fiscal 2021/337 - Plotacad Impressão Digital Ltda. - Me</t>
  </si>
  <si>
    <t>Guia de ISSQN referente ao RPA 1225 - Luciana Monteiro Campello</t>
  </si>
  <si>
    <t>Guia de ISSQN referente a nota fiscal 2021/8 - Sergio Arruda Felicio</t>
  </si>
  <si>
    <t>Guia de ISSQN referente a nota fiscal 2021/346 - Flag Impressão Digital Ltda</t>
  </si>
  <si>
    <t>Guia de ISSQN referente a nota fiscal 2021/1160 - Artes Gráficas Formato Ltda</t>
  </si>
  <si>
    <t>Guia de ISSQN referente a nota fiscal 2021/12 - Leben 108 Produtora De Filmes Ltda</t>
  </si>
  <si>
    <t xml:space="preserve">Guia de ISSQN referente a nota fiscal 2021/17 - Rosa De Areia Produções Ltda
</t>
  </si>
  <si>
    <t>Guia de ISSQN referente ao RPA 1211 - João Paulo De Freitas Campos</t>
  </si>
  <si>
    <t>Guia de ISSQN referente ao RPA 1227 - Allan Ferreira Calisto</t>
  </si>
  <si>
    <t>Guia de ISSQN referente ao RPA 14246 - Maria de Fátima Augusto</t>
  </si>
  <si>
    <t>Guia de ISSQN referente a nota fiscal 2021/2 - Ori Produtora De Filmes Ltda</t>
  </si>
  <si>
    <t>Guia de ISSQN referente a nota fiscal 2021/16 - Chão Da Feira Ltda</t>
  </si>
  <si>
    <t>Guia de ISSQN referente a nota fiscal 2021/23 - Rosa De Areia Produções Ltda</t>
  </si>
  <si>
    <t>Reembolso realizado pelo Termo de Parceria 50/2020 - IEPHA referente ao percentual (26,41% do valor total), Manutenção de redes e computadores da sede da Appa - mês 07/2021</t>
  </si>
  <si>
    <t>Dois perfis em UDC enrijecido, 6 metros de comprimento cada. Dimensões: 7,5 x 4 x 17cm / 2 mm.A exposição comemorativa dos 50 anos do Palácio das Artes acontecerá na Grande Galeria Alberto da Veiga Guignard entre os dias 12 de agosto a 14 de novembro de 2021. Para a realização da mesma, faz-se necessário a a compra de dois perfis conforme especificações acima para montagem da estrutura no "aquário" onde ficará instalado o boneco Hari, que integra a exposição.</t>
  </si>
  <si>
    <t>Ferro E Aço Takono S.A</t>
  </si>
  <si>
    <t>17.431.354/0001-93</t>
  </si>
  <si>
    <t>2021/1093</t>
  </si>
  <si>
    <t>Tarifa Bancária referente a transferência eletrônica pagamento fornecedor: Ferro E Aço Takono S.A  - Processo 1883</t>
  </si>
  <si>
    <t>Impressão de adesivo vinil fosco no tamanho140cm de largura por 110 cm de altura, com instalação da ficha técnicada exposição na PQNA Galeria Pedro Moraleida.</t>
  </si>
  <si>
    <t>Flag Impressao Digital Ltda</t>
  </si>
  <si>
    <t>2021/346</t>
  </si>
  <si>
    <t>Contratação de 01 (um) fornecedor de equipamentos para projeção de vídeo para atender as demandas de montagem da exposição comemorativa de 50 anos do Palácio das Artes denominada “50 anos em 5 atos”, com previsão de abertura para o mês de julho de 2021, na Grande Galeria Alberto da Veiga Guignard / Fundação Clóvis Salgado. A exposição comemorativa dos 50 anos do Palácio das Artes "50 anos em 5 atos" acontecerá na Grande Galeria Alberto da Veiga Guignard durante o ano de 2021,</t>
  </si>
  <si>
    <t>On Projetos Audiovisuais Eireli</t>
  </si>
  <si>
    <t>18.779.048/0001-05</t>
  </si>
  <si>
    <t>Tarifa Bancária referente a transferência eletrônica pagamento fornecedor: On Projetos Audiovisuais Eireli - Processo 1727</t>
  </si>
  <si>
    <t>Reembolso realizado pelo Termo de Parceria 50/2020 - IEPHA referente ao percentual (26,41% do valor total), Segurança Eletrônica da Sede da APPA - mês 07/2021</t>
  </si>
  <si>
    <t xml:space="preserve">Reembolso realizado pelo Termo de Parceria 50/2020 - Iepha referente ao uso de telefone fixo da sede da Appa - consumo do mês 07/2021 - Percentual de  26,41% do valor total </t>
  </si>
  <si>
    <t>Reembolso realizado pelo Termo de Parceria 50/2020 - IEPHA referente ao percentual (26,41% do valor total ) aluguel de impressoras da sede da Appa - Mês 07/2021.</t>
  </si>
  <si>
    <t>Reembolso de valor referente ao não envio de mercadoria adquirida quanto processo 1859 (panos) -  Magazine Luiza S/A - CNPJ: 47.960.950/0449-27</t>
  </si>
  <si>
    <t>U04421</t>
  </si>
  <si>
    <t>Telefone Fixo da sede da Appa referente ao mês 07/2021</t>
  </si>
  <si>
    <t>11103649-MG</t>
  </si>
  <si>
    <t>Vale Alimentação para nova funcionária - Analista de RH</t>
  </si>
  <si>
    <t>Contratação de diretor de cena e de operação de câmeras para a montagem referente à formatura da Escola de Dança do Cefart dirigida por Anna Vitória. O contrato inclui uso de equipamentos profissionais de captação de áudio e vídeo, com duas câmeras e equipamentos de iluminação.Apresentações da formatura do terceiro ano da escola Tecnica em Dança. Os espetaculos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t>
  </si>
  <si>
    <t>2021/32</t>
  </si>
  <si>
    <t>Tarifa Bancária referente a transferência eletrônica pagamento fornecedor: Gilberto De Lima Goulart 08401043670 - Processo 1580</t>
  </si>
  <si>
    <t>Coordenação artística incluindo orientação pedagógica dos alunos e coordenação dos professores oferecendo apoio e conhecimento que possibilitem a participação na mostra proposta, a saber, a Mostra Chama! da Escola de Artes Visuais do Cefart. As mostras e apresentações são ações didático-pedagógicas que permitam aos alunos a percepção e a vivência da dinâmica entre o espaço de apresentação, o público, e a atuação - elementos fundamentais para a formação artística.</t>
  </si>
  <si>
    <t>Celina Figueiredo Lage</t>
  </si>
  <si>
    <t>956.009.066-68</t>
  </si>
  <si>
    <t>Contratação para montagem de vídeos do trecho do espetáculo dirigido por Anna Vitória, um dos dois espetáculos que comporão esta Mostra da Escola de Dança do Cefart. A contratação inclui no acompanhamento dos ensaios, na direção de cena, e construção dramaturgia do espetáculo em conjunto com a diretora/coreografa. 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t>
  </si>
  <si>
    <t>Luísa Cunha Machala 11300055693</t>
  </si>
  <si>
    <t xml:space="preserve">40.847.954/0001-59
</t>
  </si>
  <si>
    <t>Serviços de design sonoro para espetáculo teatral, a se realizar no Palacete Dantas, localizado à praça da Liberdade, 312, nos meses de janeiro e fevereiro de 2021.</t>
  </si>
  <si>
    <t>Andre Veloso Junqueira 04504427648</t>
  </si>
  <si>
    <t>15.267.259/0001-70</t>
  </si>
  <si>
    <t>Tarifa Bancária referente a transferência eletrônica pagamento fornecedor: Luísa Cunha Machala 11300055693 - Processo 1578</t>
  </si>
  <si>
    <t>Tarifa Bancária referente a transferência eletrônica pagamento fornecedor: Andre Veloso Junqueira 04504427648 - Processo 1173</t>
  </si>
  <si>
    <t>Reembolso realizado para conta do projeto MINC Pronac 17 referente ao pagamento realizado a maior no mês de julho/2021 (Saída da funcionária Andréia Gonçalves)</t>
  </si>
  <si>
    <t xml:space="preserve">Associação Pró-Cultura e Promoção das Artes (Contrato de Gestão - Anglo </t>
  </si>
  <si>
    <t>Compra de 02 tranças de alho grandes.Necessário compra de material para ser utilizado como material de cena para gravação do vídeo de Intervenção de Dança para o Projeto "Palácio das Artes em sua Companhia.</t>
  </si>
  <si>
    <t>Empório Andrade Ltda-me</t>
  </si>
  <si>
    <t>21.935.510/0001-20</t>
  </si>
  <si>
    <t>Pagamento Cartão de Crédito Appa</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</si>
  <si>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03</t>
  </si>
  <si>
    <t>2021/370943</t>
  </si>
  <si>
    <t>2021/367969</t>
  </si>
  <si>
    <t>Direito de exibição do filme ESTRADA REAL DA CACHAÇA, dirigido por Pedro Urano (BRA, 2014). O filme integra a programação da mostra Cinema e Patrimônio: Cozinha Mineira que acontecerá entre os dias 13 e 22 de agosto de forma presencial no Cine Humberto Mauro e online na plataforma virtual CineHumbertoMauroMais.com.</t>
  </si>
  <si>
    <t>Pedro Urano De Carvalho</t>
  </si>
  <si>
    <t>085.468.797-10</t>
  </si>
  <si>
    <t>Tarifa Bancária referente a transferência eletrônica pagamento fornecedor: Pedro Urano De Carvalho - Processo 1842</t>
  </si>
  <si>
    <t>Reembolso realizado pelo Termo de Parceria 50/2020 - IEPHA referente ao percentual (26,41% do valor total), referente ao telefone móvel da sede da Appa- mês 07/2021.</t>
  </si>
  <si>
    <t>Reembolso realizado pelo Termo de Parceria 50/2020 - IEPHA referente ao percentual (26,41% do valor total) consumo de energia elétrica da sede da Appa- mês 07/2021</t>
  </si>
  <si>
    <t>Reembolso realizado pelo Termo de Parceria 50/2020 - IEPHA referente ao percentual (26,41% do valor total ) consumo de água da sede da Appa- mês 07/2021</t>
  </si>
  <si>
    <t>2021/189635</t>
  </si>
  <si>
    <t>001.21.45443679-2</t>
  </si>
  <si>
    <t>2021/57</t>
  </si>
  <si>
    <t>Contratação do serviço de transporte para os objetos que se encontram no CTP Marzagão e deverão ser manipulados no CTP Andradas para adequações e posteriormente encaminhados para a Galeria Alberto Da Veiga Guignard no Palácio das Artes. A exposição comemorativa aos 50 anos tem previsão de realização nos meses de agosto a novembro de 2021 na Grande Galeria Alberto da Veiga Guignard terá um escopo interativo abordando a história da instituição nos seus anos</t>
  </si>
  <si>
    <t xml:space="preserve">Serviço de Produção, Edição e animação de vídeo Artístico de cantores e músicos instrumentistas para elaboração do conteúdo gerado pelos artistas em formato de vídeo para exibição nas redes sociais da Fundação. Necessário profissional especializado para produção, cinegrafia, edição e animação de vídeo a partir da participação dos coralistas e músicos instrumentistas. </t>
  </si>
  <si>
    <t>Imago Filmes Eireli</t>
  </si>
  <si>
    <t xml:space="preserve">01.879.093/0001-39
</t>
  </si>
  <si>
    <t>Tarifa Bancária referente a transferência eletrônica pagamento fornecedor: Logus Protection Patrimonial Ltda - Processo 1441</t>
  </si>
  <si>
    <t>Tarifa Bancária referente a transferência eletrônica pagamento fornecedor: Patrick Hermany Ferreira Souza 06224225613 - Processo 1812</t>
  </si>
  <si>
    <t>Tarifa Bancária referente a transferência eletrônica pagamento fornecedor:Imago Filmes Eireli  - Processo 1737</t>
  </si>
  <si>
    <t>Arte Em Impressão Digital Ltda</t>
  </si>
  <si>
    <t>Criação de trilhas e paisagens sonoras para a exposição comemorativa dos 50 anos do Palácio das Artes. Sendo, criação de paisagem sonora a partir de sons de teatro e plateia para a sonorização da Sala 1; criação de trilha sonora para sonorização da sala 3; criação de trilha sonora para sonorização da sala imersiva.A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02</t>
  </si>
  <si>
    <t>Pedro Henrique Jacome</t>
  </si>
  <si>
    <t xml:space="preserve">064.427.886-28
</t>
  </si>
  <si>
    <t>Criação de trilhas e paisagens sonoras para a exposição comemorativa dos 50 anos do Palácio das Artes. Sendo, criação de paisagem sonora a partir de sons de teatro e plateia para a sonorização da Sala 1; criação de trilha sonora para sonorização da sala 3; criação de trilha sonora para sonorização da sala imersiva.A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2º parcela</t>
  </si>
  <si>
    <t>Fabiano Fonseca Freitas</t>
  </si>
  <si>
    <t>032.254.076-31</t>
  </si>
  <si>
    <t>Tarifa Bancária referente a transferência eletrônica pagamento fornecedor: Guilherme Cruz Lessa - Processo: 1496</t>
  </si>
  <si>
    <t>Tarifa Bancária referente a transferência eletrônica pagamento fornecedor: Pedro Henrique Jacome - Processo 1498</t>
  </si>
  <si>
    <t>Tarifa Bancária referente a transferência eletrônica pagamento fornecedor: Fabiano Fonseca Freitas  - Processo 1554</t>
  </si>
  <si>
    <t>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07/2021</t>
  </si>
  <si>
    <t>Direito Autoral da instalação artística digital "Partículas em Unity", de autoria de Rafael Fernandes de Carvalho "Rafael Ski", que irá integrar a exposição comemorativa de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3º parcela</t>
  </si>
  <si>
    <t>Locação de 01 computador, conforme termo anexo. Previsão da locação: inicio de julho, com permanência de uso de 90 dias.A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Para a realização da mesma, faz-se necessário a locação de computadores com as características descritas no termo anexo, para recepção dos softwares das instalações imersivas das salas que receberão as exposições.</t>
  </si>
  <si>
    <t>Eventos Gv Eireli</t>
  </si>
  <si>
    <t>14.003.167/0001-10</t>
  </si>
  <si>
    <t xml:space="preserve"> Cleber José Leão De Almeida</t>
  </si>
  <si>
    <t>Transporte de material - dois perfis em UDC enrijecido, 6 metros de comprimento cada. Dimensões: 7,5 x 4 x 17cm / 2 mm - para montagem de estrutura para instalação da exposição comemorativa de 50 anos do Palácio das Artes no espaço "aquário. A exposição comemorativa dos 50 anos do Palácio das Artes acontecerá na Grande Galeria Alberto da Veiga Guignard entre os dias 12 de agosto a 14 de novembro de 2021. Para a realização da mesma, faz-se necessário o transporte do material comprado para montagem da estrutura no "aquário" onde ficará instalado o boneco Hari, que integra a exposição.</t>
  </si>
  <si>
    <t>Pedro Ivo Abreu Pereira 11410478610</t>
  </si>
  <si>
    <t>24.307.581/0001-77</t>
  </si>
  <si>
    <t>2021/27</t>
  </si>
  <si>
    <t>Roteirista para desenvolver a narrativa audiovisual da exposição comemorativa de 50 anos do Palácio das Artes a partir da pesquisa em memória realizada.A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03</t>
  </si>
  <si>
    <t>Guilherme Cruz Lessa</t>
  </si>
  <si>
    <t>Tarifa Bancária referente a transferência eletrônica pagamento fornecedor: Eventos Gv Eireli - Processo: 1717</t>
  </si>
  <si>
    <t>Tarifa Bancária referente a transferência eletrônica pagamento fornecedor:  Cleber José Leão De Almeida - Processo: 1559</t>
  </si>
  <si>
    <t>Tarifa Bancária referente a transferência eletrônica pagamento fornecedor: Pedro Ivo Abreu Pereira 11410478610  - Processo: 1884</t>
  </si>
  <si>
    <t>Daniella Gonçalves Caixeta</t>
  </si>
  <si>
    <t>109.204.216-44</t>
  </si>
  <si>
    <t xml:space="preserve">Repasse restante referente a 06º parcela </t>
  </si>
  <si>
    <t>Reembolso realizado pelo Termo de Parceria 50/2020 - IEPHA referente ao percentual 26,41% do valor total ) ao consumo de internet da Appa do mês 07/2021</t>
  </si>
  <si>
    <t>Direito de Exibição do filme AREIAS ESCALDANTES, longa metragem dirigido por Francisco de Paula (BRA, 1985).O filme integra a programação da mostra Exagerados, e será exibido, durante a mostra entre os dias 09 e 29 de setembro de 2021 de forma presencial no Cine Humberto Mauro e também na plataforma virtual CineHumbertoMauroMais.com.</t>
  </si>
  <si>
    <t>Francisco De Paula Dutra Rodrigues Pereira</t>
  </si>
  <si>
    <t>094.001.358-40</t>
  </si>
  <si>
    <t>Compra de HD externo para arquivo de todo conteúdo da Temporada online 2021.</t>
  </si>
  <si>
    <t>Off. Comp. Comércio E Serviços De Informática Ltda</t>
  </si>
  <si>
    <t xml:space="preserve">10.388.905/0001-34
</t>
  </si>
  <si>
    <t>000.000.254</t>
  </si>
  <si>
    <t>Contratação de um sistema de gestão acadêmica com, hospedagem em nuvem, para monitoramento e acompanhamento das atividades complementares e demais atividades de Secretaria Acadêmica do CEFART no ano de 2021. Parcela 05</t>
  </si>
  <si>
    <t>2021/179</t>
  </si>
  <si>
    <t>Internet para sede da Appa referente ao mês 07/2021</t>
  </si>
  <si>
    <t>11189090-MG</t>
  </si>
  <si>
    <t>DARF/IR referente a nota fiscal 2021/613 - Laboratóro Murad, Casali E Carneiro Ltda</t>
  </si>
  <si>
    <t>DARF/IR referente a nota fiscal 2021/631 - Laboratóro Murad, Casali E Carneiro Ltda</t>
  </si>
  <si>
    <t>DARF/IR referente a nota fiscal 2021/747 - Laboratóro Murad, Casali E Carneiro Ltda</t>
  </si>
  <si>
    <t xml:space="preserve">DARF/IR referente a nota fiscal 2021/997 - Krypton Serviços Contábeis S. S. </t>
  </si>
  <si>
    <t>DARF/IR referente ao direito autoral de Rafael Fernandes De Carvalho</t>
  </si>
  <si>
    <t>DARF/PCC referente a nota fiscal 2021/631 - Laboratóro Murad, Casali E Carneiro Ltda</t>
  </si>
  <si>
    <t>DARF/PCC referente a nota fiscal 2021/747 - Laboratóro Murad, Casali E Carneiro Ltda</t>
  </si>
  <si>
    <t>DARF/PCC referente a nota fiscal 2021/613 - Laboratóro Murad, Casali E Carneiro Ltda</t>
  </si>
  <si>
    <t>DARF/PCC referente a nota fiscal 2021/892 -  Krypton Serviços Contábeis S/s</t>
  </si>
  <si>
    <t>Taxas de Fiscalização de Localização e Funcionamento  e Taxa de Fiscalização Sanitária .Favorecido: Prefeitura Muncipal de Belo Horizonte - 03º Parcela</t>
  </si>
  <si>
    <t>02.21.1553214.69</t>
  </si>
  <si>
    <t>2021/192741</t>
  </si>
  <si>
    <t>INSS e INSS Patronal referente ao RPA 1213 - Alef Caetano Silva</t>
  </si>
  <si>
    <t>INSS eINSS Patronal referente ao RPA 1222 - Andréia Dias Marques</t>
  </si>
  <si>
    <t>INSS e INSS Patronal referente ao RPA 1242 - César Bento Raphael</t>
  </si>
  <si>
    <t>INSS e INSS Patronal referente ao RPA 1238 - Cleber José Leão De Almeida</t>
  </si>
  <si>
    <t>INSS e INSS Patronal  referente ao RPA 1233 - Ewelyn Felice Da Silva</t>
  </si>
  <si>
    <t>INSS e INSS Patronal referente ao RPA 1240 - Frederico Magalhães Mucci Daniel</t>
  </si>
  <si>
    <t>INSS e INSS Patronal referente ao RPA 1234 - Guilherme Cruz Lessa</t>
  </si>
  <si>
    <t>INSS e INSS Patronal referente ao RPA 1247 - Gustavo Henrique Batista Zanandrez</t>
  </si>
  <si>
    <t>INSS e INSS Patronal  referente ao RPA 1243 - Heitor Pinheiro</t>
  </si>
  <si>
    <t xml:space="preserve">INSS e INSS Patronal referente ao RPA 1228 - Jefferson Da Fonseca Coutinho
</t>
  </si>
  <si>
    <t>INSS e INSS Patronal referente ao RPA 1219 - José Carlos Serroni</t>
  </si>
  <si>
    <t>INSS e INSS patronal referente ao RPA 1232 - Michelle Aparecida Silva Barreto</t>
  </si>
  <si>
    <t>INSS e INSS referente ao RPA 1239 -  Miriam Beatriz Dos Santos Menezes</t>
  </si>
  <si>
    <t>INSS e INSS Patronal referente ao RPA 1241 - Priscila Natany Resende</t>
  </si>
  <si>
    <t>INSS e INSS Patronal referente ao RPA 1214 - Raquel Santos Carneiro</t>
  </si>
  <si>
    <t>INSS e INSS Patronal referente ao RPA 1221 - Raul Martinho Sá D'oliveira</t>
  </si>
  <si>
    <t>INSS e INSS Patronal referente ao RPA 1224 - Rizzia Soares Rocha</t>
  </si>
  <si>
    <t xml:space="preserve">INSS e INSS Patronal  referente ao RPA 1236 - Serena Mendes Rocha
</t>
  </si>
  <si>
    <t>INSS e INSS Patronal referente ao RPA 1248 - Stephen Andrew Bronk</t>
  </si>
  <si>
    <t>DARF/IR referente ao RPA 1238 - Cleber José Leão De Almeida</t>
  </si>
  <si>
    <t>DARF/IR referente ao RPA 1233 - Ewelyn Felice Da Silva</t>
  </si>
  <si>
    <t>DARF/IR  referente ao RPA 1240 - Frederico Magalhães Mucci Daniel</t>
  </si>
  <si>
    <t>DARF/IR referente ao RPA 1234 - Guilherme Cruz Lessa</t>
  </si>
  <si>
    <t xml:space="preserve">DARF/IR referente ao RPA 1236 - Serena Mendes Rocha
</t>
  </si>
  <si>
    <t>Serviço de Edição de áudio para o vídeo do Coral Lírico e Orquestra Sinfônica de Minas Gerais a partir de 70 vídeos feitos pelos músicos, incluindo serviço de mixagem e masterização.Necessário profissional para Edição de áudio de coralistas e músicos instrumentistas para vídeo em Homenagem ao de Centenário do escritor Alphonsus Guimarães, que tem programação de ser publicado no dia 28 de Julho nas redes sociais da Fundação Clóvis Salgado</t>
  </si>
  <si>
    <t>Murillo Correa E Cia Som E Luz Ltda</t>
  </si>
  <si>
    <t xml:space="preserve">00.099.221/0001-69
</t>
  </si>
  <si>
    <t>2021/42</t>
  </si>
  <si>
    <t>INSS retido em folha do mês 07/2021</t>
  </si>
  <si>
    <t>INSS Patronal referente ao mês 07/2021</t>
  </si>
  <si>
    <t>IR retido em folha do mês 06/2021</t>
  </si>
  <si>
    <t>DARF/IR referente a rescisão de trabalho Gerente de Projetos</t>
  </si>
  <si>
    <t>IR retido de férias Superintendente de Auditoria</t>
  </si>
  <si>
    <t>IR retido de férias da Assessora Pedagógica</t>
  </si>
  <si>
    <t>Guia de INSS referente a nota fiscal 2021/51 -  Logus Protection Patrimonial Ltda</t>
  </si>
  <si>
    <t>Tarifa Bancária referente a transferência eletrônica pagamento fornecedor: Murillo Correa E Cia Som E Luz Ltda - Processo: 1738</t>
  </si>
  <si>
    <t>INSS e INSS Patronal referente ao RPA 1220 - Ana Dos Anjos Camarano Cardoso</t>
  </si>
  <si>
    <t>INSS e INSS Patronal referente ao RPA 1223 -  Angela Peres De Oliveira</t>
  </si>
  <si>
    <t>DARF/IR referente ao RPA 1220 - Ana Dos Anjos Camarano Cardoso</t>
  </si>
  <si>
    <t>DARF/IR referente ao RPA 1223 -  Angela Peres De Oliveira</t>
  </si>
  <si>
    <t>Guilherme Dias Da Silva Barreto</t>
  </si>
  <si>
    <t>INSS e INSS Patronal referente ao RPA 1225 -  Luciana Monteiro Campello</t>
  </si>
  <si>
    <t>DARF/IR  referente ao RPA 1225 -  Luciana Monteiro Campello</t>
  </si>
  <si>
    <t>INSS e INSS Patronal referente ao RPA 1227 - Allan Ferreira Calisto</t>
  </si>
  <si>
    <t>INSS e INSS Patronal referente ao RPA 1211 - João Paulo De Freitas Campos</t>
  </si>
  <si>
    <t>INSS e INSS Patronal referente ao RPA 1246 -  Maria De Fátima Augusto</t>
  </si>
  <si>
    <t>DARF/IR referente ao RPA 1227 - Allan Ferreira Calisto</t>
  </si>
  <si>
    <t>Contratação do profissional "Luiz Flores" para comentar, em live (virtual), o filme "A Terra Treme (Luchino Visconti, 1948)", que será exibido no dia 15/07/2021, às 19h através da plataforma CineHumbertoMauroMais. O comentário será transmitido pelo canal do Youtube da FCS e retransmitido pela plataforma supracitada. O comentário ficará permanentemente disponível online.</t>
  </si>
  <si>
    <t>Luis Felipe Duarte Flores 08821389600</t>
  </si>
  <si>
    <t>35.841.971/0001-49</t>
  </si>
  <si>
    <t>Palestra - aula inaugural, no formato de aula aberta da meta de cursos complementares.A artista convidada terá de 40 a 60 minutos para expor um tema sobre "artes visuais", previamente "briffado" com a coordenadora mariana Rodrigues, e em sequida teremos um bate papo com os professores e alunos do Cefart.A atividade acontecerá no Zoom, e será gravada para futura disponibilização para os alunos que não estiveram presentes.</t>
  </si>
  <si>
    <t>Yara Tupynambá</t>
  </si>
  <si>
    <t>001.934.966-15</t>
  </si>
  <si>
    <t>Contratação de serviço de Impulsionamento de redes sociais referente ao site da Mostra Isolamento (https://fcs.mg.gov.br/eventos/segunda-edicao-da-mostra-labirinto-conta-com-tour-virtual-exclusivo) permitindo que a postagem seja exibido para mais possíveis interessados no conteúdo.A Mostra Labirinto, composta por uma incursão virtual em instalações artísticas e pílulas performáticas que tem como mote a mitologia do labirinto. Para divulgar os trabalhos realizados pelos alunos durante o curso, a segunda edição da Mostra acontece a partir do dia 1º de agosto de 2021 (domingo) na página da Fundação.</t>
  </si>
  <si>
    <t>Facebook Serviços Online Do Brasil Ltda.</t>
  </si>
  <si>
    <t>13.347.016/0001-17</t>
  </si>
  <si>
    <t xml:space="preserve"> BH Notebooks Ltda</t>
  </si>
  <si>
    <t>Contratação de assistentede produção para acompanhamento geral e logístico do 23º FestCurtasBH. Atua desde os segmentos internos de organização e acompanhamento de cronograma, como nos processos de negociação de direitos, contratação de prestadores de serviço, acompanhamento de processos necessários para a realização do evento em formato virtual e presencial - 2º parcela</t>
  </si>
  <si>
    <t>Tarifa Bancária referente a transferência eletrônica pagamento fornecedor:  BH Notebooks Ltda  - Processo: 1139</t>
  </si>
  <si>
    <t>Tarifa Bancária referente a transferência eletrônica pagamento fornecedor: Ori Produtora De Filmes Ltda - Processo: 1659</t>
  </si>
  <si>
    <t>Luiza Poeira Amorim</t>
  </si>
  <si>
    <t>Plotacad Impressão Digital Ltda. - Me</t>
  </si>
  <si>
    <t>2021/338</t>
  </si>
  <si>
    <t>Reembolso de valor referente ao não envio de mercadoria adquirida quanto processo 1859 (álccol) -  Magazine Luiza S/A - CNPJ: 47.960.950/0449-27</t>
  </si>
  <si>
    <t>Curso Complementar "Segurança no Trabalho em Altura NR35 8h"Curso de 8h para Escola de Tecnologia da Cena- 2 módulos para 15 pessoas cada, a ser ministrado aos alunos da Escola de Tecnologia da Cena, do Cefart/FCS. Este curso tem por objetivo, entre outros, proporcionar conhecimentos específicossobre a NR 35, que trata da segurança do trabalho em altura. Os cursos complementaresvisam ampliar a formação artística e profissional dos alunos, complementando os conteúdos curriculares oferecidos</t>
  </si>
  <si>
    <t xml:space="preserve">Servico Nacional De Aprendizagem Industrial - Departamento Regional De Minas Gerais
</t>
  </si>
  <si>
    <t>03.773.700/0003-79</t>
  </si>
  <si>
    <t>2021/244</t>
  </si>
  <si>
    <t>Compra de produtos iluminação e material de manutenção para o espaço da FCS (Grande Teatro CEMIG Palácio das Artes) que receberá a temporada de Teatro do Cefart.Apresentações são ações didático-pedagógicas que permitam aos alunos a percepção e a vivência da dinâmica entre o espaço de apresentação, o público, e a atuação - elementos fundamentais para a formação artística - 1º parcela</t>
  </si>
  <si>
    <t>Contratação de profissional para direção artística e dramaturgia bem como preparação corporal do elenco na criação da montagem do espetáculo de teatro do CEFART. Os espetáculos são ações didático-pedagógicas que permitem aos alunos e percepção e a vivência da dinâmica entre o espaço de apresentação, o público e a sua atuação, elementos fundamentais para a formação técnica. Parcela 03</t>
  </si>
  <si>
    <t>Aquela Cia Produções Artísticas Ltda</t>
  </si>
  <si>
    <t>24.884.872/0001-28</t>
  </si>
  <si>
    <t>Contratação de empresa para prestação de serviços de concepção artística, produção teatral, coordenação e acompanhamento da montagem do espetáculo de teatro dos alunos do Cefart - turma da noite. Os espetáculos são ações didático-pedagógicas que permitem aos alunos e percepção e a vivência da dinâmica entre o espaço de apresentação, o público e a sua atuação, elementos fundamentais para a formação técnica. Parcela 03</t>
  </si>
  <si>
    <t>Ricelli Piva Dos Santos - Me</t>
  </si>
  <si>
    <t>18.435.507/0001-33</t>
  </si>
  <si>
    <t>Editor de vídeos -Contratação de profissional responsável por edição de vídeo, isto é, pegarmaterial bruto de vídeo produzido na Escola de Artes Visuais e editá-lo,segundo instruções. Nesse processo, ele elimina as falhas, corta os excessos eestrutura a sequência de cenas para que o vídeo faça sentido; tenhacontinuidade e seja mantido o contexto de cada produção. Parcela 03</t>
  </si>
  <si>
    <t>2021/35</t>
  </si>
  <si>
    <t>Contratação de serviços de direção de fotografia, captação de imagens para transmissão, gravação e edição das apresentações da formatura do 3o ano do turno noturno da Escola de Teatro do Cefart. Local de atuação será presencial no Cefart e/ou via Internet. O profissional especialista na área em questão contratada deverá, juntamente com o Diretor do espetáculo, alinhar o formato, dentro das percepções artísticas, o que será captado, editado e transmitido na forma de imagens, para as apresentações das formaturas da Escola de Teatro - turno da noite. Parcela 02</t>
  </si>
  <si>
    <t>Tarifa Bancária referente a transferência eletrônica pagamento fornecedor: Aquela Cia Produções Artísticas Ltda - Processo: 1508</t>
  </si>
  <si>
    <t>Tarifa Bancária referente a transferência eletrônica pagamento fornecedor: Ricelli Piva Dos Santos - Me - Processo: 1507</t>
  </si>
  <si>
    <t>Tarifa Bancária referente a transferência eletrônica pagamento fornecedor: Gilberto De Lima Goulart 08401043670 - Processo: 1252</t>
  </si>
  <si>
    <t>Tarifa Bancária referente a transferência eletrônica pagamento fornecedor: Kleber De Jesus Bispo 10663043603 - Processo: 1517</t>
  </si>
  <si>
    <t>Reembolso realizado pelo Termo de Parceria 50/2020 - IEPHA referente ao percentual (26,41% do valor total ) aluguel de PABX da sede da Appa- mês 07/2021.</t>
  </si>
  <si>
    <t>Reembolso realizado pelo Termo de Parceria 50/2020 - IEPHA referente ao percentual (26,41% do valor total), telefone móvel para os funcionários a serviço do IEPHA, referente ao mês 07/2021.</t>
  </si>
  <si>
    <t>Direito de exibição dos filmes IDOLATRADA e UM FILME 100% BRASILEIRO, ambos dirigido por Paulo Augusto Gomes (BRA, 1982). Os filmes integram a programação da mostra Exagerados, e será exibido, durante a mostra entre os dias 09 e 29 de setembro de 2021 de forma presencial no Cine Humberto Mauro e também na plataforma virtual CineHumbertoMauroMais.com.</t>
  </si>
  <si>
    <t>Filmes De Minas Ltda</t>
  </si>
  <si>
    <t>Transferência para Conta Reserva referente aos rendimentos de aplicações financeiras do mês 07/2021</t>
  </si>
  <si>
    <t>PIS referente a folha de pagamento do mês 07/2021.</t>
  </si>
  <si>
    <t>Consumo de água e esgosto referente ao mês 08/2021</t>
  </si>
  <si>
    <t>001.21.47447777-0</t>
  </si>
  <si>
    <t>Contratação de serviço de e-mail marketing para envio de 100mil e-mails / mensais. Parcela 05</t>
  </si>
  <si>
    <t>Consumo de telefone móvel para os funcionários a serviço do Contrato de Gestão  e Termo de Parceria IEPHA referente ao mês 07/2021.</t>
  </si>
  <si>
    <t>Cofins referente aos rendimentos de aplicações financeiras do mês 07/2021.</t>
  </si>
  <si>
    <t>COFINS ref. 07/2021</t>
  </si>
  <si>
    <t>Serviço de cenotécnica para estruturação, limpeza e adequação dos objetos e figurinos que serão expostos na exposição comemorativa de 50 anos do Palácio das Artes. Será necessário limpeza, ajustes e adequação nas peças escolhidas pela curadoria da exposição, sendo 6 figurinos e cerca de 100 objetos (relação anexa). O serviço será realizado no CTP Andradas conforme cronograma estabelecido pela produção juntamente com a empresa selecionada. A entrega e montagem final dos objetos na galeria será realizada até o dia 09 de agosto. 2º parcela</t>
  </si>
  <si>
    <t>Direito de Exibição do filme CIDADE OCULTA, dirigido por Chico Botelho (BRA, 1986).O filme integra a programação da mostra Exagerados, e será exibido, durante a mostra entre os dias 09 e 29 de setembro de 2021 de forma presencial no Cine Humberto Mauro e também na plataforma virtual CineHumbertoMauroMais.com.</t>
  </si>
  <si>
    <t>Orion Produções Audiovisuais Ltda</t>
  </si>
  <si>
    <t>54.489.604/0001-72</t>
  </si>
  <si>
    <t>Coordenação e supervisão de programa educativo durante 3 meses para a exposição comemorativa de 50 anos do Palácio das Artes “50 anos em 5 atos”, que acontecerá na Grande Galeria Alberto da Veiga Guignard / FCS, de 12 de agosto a 14 de novembro de 2021. O serviço inclui treinamento e supervisão da equipe de monitores (6 pessoas), montagem e acompanhamento de escala de trabalho e visitas mediadas, divulgação de todas as ações educativas da exposição para escolas e instituições de ensino via mailing e redes sociais, prospecção de público, agendamento e coordenação de visitas mediadas, durante todo o período da exposição. 1º Parcela</t>
  </si>
  <si>
    <t>Carolina Nascimento Valadares Santana 07016003655</t>
  </si>
  <si>
    <t>Tarifa Bancária referente a transferência eletrônica pagamento fornecedor: Orion Produções Audiovisuais Ltda   - Processo 1869</t>
  </si>
  <si>
    <t>Tarifa Bancária referente a transferência eletrônica pagamento fornecedor: Carolina Nascimento Valadares Santana 07016003655  - Processo 1851</t>
  </si>
  <si>
    <t>Impressão de cartazes, para divulgação do 2º Prêmio Décio Noviello, seguindo as especificações a seguir:50 unidades, tamanhoA3 (297x420mm),4 x 0 cores, papel couchê fosco - 200 gramas.</t>
  </si>
  <si>
    <t>Artes Gráficas Formato Ltda</t>
  </si>
  <si>
    <t>42.914.408/0001-19</t>
  </si>
  <si>
    <t>2021/1160</t>
  </si>
  <si>
    <t>Serviço de internet de link dedicado com as seguintes especificações: mínimo 60 mpbs / SLA de 99,9% / redundância crítica no Grande Teatro Cemig Palácio das Artes Instalação: 26/08/2021Disponibilidade do serviço: 27 e 28/08/2021. Serviço necessário para a transmissão online do Concerto.</t>
  </si>
  <si>
    <t>Aloltech Telecom Ltda</t>
  </si>
  <si>
    <t>05.021.797/0001-27</t>
  </si>
  <si>
    <t>2021/213</t>
  </si>
  <si>
    <t>Tarifa Bancária referente a transferência eletrônica pagamento fornecedor: Aloltech Telecom Ltda  - Processo 1911</t>
  </si>
  <si>
    <t>Impressão de crachás/credenciais para educadores da exposição 50 anos do Palácio das Artes. Informações abaixo:Formato do crachá:10x15, 4x0,polietileno1mmAcabamento:Furo para Crachá, Jacaré, Cordão.Quantidade: 15 unidades do crachá + cordinha preta. A exposição comemorativa dos 50 anos do Palácio das Artes acontecerá na Grande Galeria Alberto da Veiga Guignard entre os dias 12 de agosto a 14 de novembro de 2021. Para a realização da mesma, faz-se necessário impressão de crachás, para educadores que acompanharão inloco a exposição.</t>
  </si>
  <si>
    <t>Futura Express Solucoes Digitais Ltda</t>
  </si>
  <si>
    <t>04.125.446/0001-01</t>
  </si>
  <si>
    <t>2021/953</t>
  </si>
  <si>
    <t>Contratação de serviços de profissional especializado para criação e concepção artística da iluminação da segunda montagem da escola de Teatro do Cefart bem como sua operação, execução durante as apresentações. Local de atuação: presencialmente no CEFART e/ou remotamente. Parcela 02</t>
  </si>
  <si>
    <t>28.035.613/0001-83</t>
  </si>
  <si>
    <t>2021/20</t>
  </si>
  <si>
    <t>Concepção de Projeto Educativo para a exposição comemorativa de 50 anos do Palácio das Artes "50 anos em 5 atos" que acontecerá na Grande Galeria Alberto da Veiga Guignard / FCS, de 12 de agosto de 2021 a 14 de novembro de 2021 - 1º parcela</t>
  </si>
  <si>
    <t xml:space="preserve"> Carolina Nascimento Valadares Santana 07016003655</t>
  </si>
  <si>
    <t>Tarifa Bancária referente a transferência eletrônica pagamento fornecedor: Regelles Tadeu Queiroz Da Silva10092467636 - Processo 1516</t>
  </si>
  <si>
    <t>Tarifa Bancária referente a transferência eletrônica pagamento fornecedor:  Carolina Nascimento Valadares Santana 07016003655  - Processo 1850</t>
  </si>
  <si>
    <t>Direito de Exibição do filme O HOMEM QUE VIROU SUCO, dirigido por João Batista de Andrade (BRA, 1981).O filme integra a programação da mostra Exagerados, e será exibido, durante a mostra entre os dias 09 e 29 de setembro de 2021 de forma presencial no Cine Humberto Mauro e também na plataforma virtual CineHumbertoMauroMais.com.</t>
  </si>
  <si>
    <t>Raiz Ditribuidora Audiovisual Ltda.</t>
  </si>
  <si>
    <t>08.331.280/0001-22</t>
  </si>
  <si>
    <t>Compra de materais diversos para a mostra Labirinto que terá um passeio virtual pelos espaços cênicos da Fundação Clovis Salgados, com visitas a cochia, camarins, e salas técnicas, além dos palcos, onde o público verá performances artísticas que contarão com o trabalho de iluminação, sonoplastia, cenografia e figurino dos alunos e alunas da escola de Tecnologia da Cena, para isso, justifica-se a compra acima citada.</t>
  </si>
  <si>
    <t>Loja Eletrica Ltda</t>
  </si>
  <si>
    <t>17.155.342/0011-55</t>
  </si>
  <si>
    <t>000.332.502</t>
  </si>
  <si>
    <t>Transporte em caminhão baú da obra "Maquete Teatro Italiano" para restauro, incluindo 4 carregadores para manuseio da obra. A obra "Maquete Teatro Italiano" será exposta na exposição comemorativa de 50 anos do Palácio das Artes, queacontecerá na Grande Galeria Alberto da Veiga Guignard durante o ano de 2021, com período expositivo a ser definido após a retomada das atividades presenciais na FCS devido ao protocolo de segurança do programa Minas Consciente</t>
  </si>
  <si>
    <t xml:space="preserve">ompra de produtos iluminação e material de manutenção para o espaço da FCS (Grande Teatro CEMIG Palácio das Artes) que receberá a temporada de Teatro do Cefart. O material necessário para compra são:5 LÂMPADAS PAR 64 FOCO </t>
  </si>
  <si>
    <t>Tarifa Bancária referente a transferência eletrônica pagamento fornecedor:  Patrick Hermany Ferreira Souza 06224225613  - Processo 1721</t>
  </si>
  <si>
    <t>Rendimentos de aplicações financeiras do mês 08/2021.</t>
  </si>
  <si>
    <t>Imposto de Renda referente aos rendimentos de aplicações financeiras do mês 08/2021.</t>
  </si>
  <si>
    <t>Reembolso realizado pela conta da Appa referente ao valor proporcional - Seguro de Vida o dos funcionários a serviço do Projetos Pronac</t>
  </si>
  <si>
    <t>Valor referente a Medicina do Trabalho do mês 08/2021 - PCMSO</t>
  </si>
  <si>
    <t>2021/9787</t>
  </si>
  <si>
    <t xml:space="preserve">Valor referente a Medicina do Trabalho do mês 08/2021 - PPRA </t>
  </si>
  <si>
    <t>2021/6550</t>
  </si>
  <si>
    <t>Direitos Autorais para publicação do texto crítico: Miragens Urbanas, de autoria do pesquisador João Camposa, sobre os filmes "Cidade Oculta", "Anjos da Noite" e "Areias Escaldantes" que serão exibidos na mostra Exagerados. Este texto poderá ser publicado em sites vinculados à programação do Cine Humberto Mauro. Sua publicação poderá ser virtual ou impressa.</t>
  </si>
  <si>
    <t>Direito de Exibição do filme ANJOS DA NOITE, dirigido por Wilson de Barros (BRA, 1987). O filme integra a programação da mostra Exagerados, e será exibido, durante a mostra entre os dias 09 e 29 de setembro de 2021 de forma presencial no Cine Humberto Mauro e também na plataforma virtual CineHumbertoMauroMais.com.</t>
  </si>
  <si>
    <t>Bras Filmes Ltda.</t>
  </si>
  <si>
    <t xml:space="preserve">02.920.962/0001-94
</t>
  </si>
  <si>
    <t>Direitos Autorais para publicação do texto crítico: Vestígios, de autoria do Professor Ataídes Braga, sobre o filme "A Noiva da Cidade", que será exibido na mostra Exagerados. Este texto poderá ser publicado em sites vinculados à programação do Cine Humberto Mauro. Sua publicação poderá ser virtual ou impressa.</t>
  </si>
  <si>
    <t>Ataídes Freitas Braga</t>
  </si>
  <si>
    <t>631.558.936-72</t>
  </si>
  <si>
    <t>Reembolso realizado pela Appa referente ao pagamento de juros/multado fornecedor:  Qinetwork Solucoes Tecnologicas Ltda - Processo 1672</t>
  </si>
  <si>
    <t>Reembolso realizado pelo Termo de Parceria 50/2020 - IEPHA referente ao percentual (26,41% do valor total), assessoria jurídica para o Contrato de Gestão e Termo de Parceria referente ao mês 08/2021.</t>
  </si>
  <si>
    <t>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08/2021) - 26,41% do valor total</t>
  </si>
  <si>
    <t xml:space="preserve">Reembolso parcial da conta do Termo de Parceria 50/2020 - IEPHA, referente contratação de empresa de setor administrativo especializada em entidades do terceiro setor  para o Contrato de Gestão 05/2019 e Termo de Parceria 50/2020 (mês 08/2021) - 26,41% do valor total - </t>
  </si>
  <si>
    <t xml:space="preserve"> Marcela Silva Moreira 06326086680</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</si>
  <si>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05</t>
  </si>
  <si>
    <t>2021/43</t>
  </si>
  <si>
    <t>303/11</t>
  </si>
  <si>
    <t>Direitos Autorais para publicação do texto crítico: A história de “Idolatrada”, de autoria do diretor Paulo Augusto Gomes, sobre o filme Idolatrada que será exibido na mostra Exagerados. Este texto poderá ser publicado em sites vinculados à programação do Cine Humberto Mauro. Sua publicação poderá ser virtual ou impressa.</t>
  </si>
  <si>
    <t>Paulo Augusto De Mello Gomes</t>
  </si>
  <si>
    <t>156.067.406-72</t>
  </si>
  <si>
    <t>Contratação de serviços de Direção artística para produção de 5 vídeos coletivos da OSMG e CLMG e OSMG para o projeto Palácio em sua Companhia em apoio a produção artística.</t>
  </si>
  <si>
    <t>Contratação de fotografo para a montagem da formatura do teatro. Atividade: Segunda montagem da Escola de Teatro Turno: noite Período de Atuação: Julho a agosto/ 2021Escola: Técnico em Teatro - 3* ano - Local de atuação: CEFART e internet.Funções: Fotografar os alunos e as apresentações da peça de formatura.</t>
  </si>
  <si>
    <t>Patrick Arley De Rezende 04149516626</t>
  </si>
  <si>
    <t>28.528.783/0001-08</t>
  </si>
  <si>
    <t>Impressão de 2 Banners de lona 0,90X 1,63 com acabamento em cabo de madeira e cordão.Material necessário para divulgação do Concerto Stabat Mater - O Drama do Barroco Italiano | Temporada de Ópera 2021.</t>
  </si>
  <si>
    <t xml:space="preserve">Flag Impressao Digital Ltda
</t>
  </si>
  <si>
    <t xml:space="preserve">10.356.504/0001-00
</t>
  </si>
  <si>
    <t>2021/411</t>
  </si>
  <si>
    <t>Contratação de músico instrumentista para participação no vídeo coletivo da OSMG e CLMG, em homenagem a Vander Lee.</t>
  </si>
  <si>
    <t>Delegascia Produções Artísticas Ltda</t>
  </si>
  <si>
    <t>16.768.253/0001-40</t>
  </si>
  <si>
    <t>Contratação de serviços de concepção artística para criação e operação de trilha sonora desenvolvidas para o espetáculo de formatura dos alunos da Escola de Teatro do Cefart.Trata-se da contratação de serviços de criação, concepção e operação de trilha sonora para a formatura da escola técnica em teatro, turno noite. Os espetáculos são ações didático-pedagógicas que permitem aos alunos e percepção e a vivência da dinâmica entre o espaço de apresentação, o público e a sua atuação, elementos fundamentais para a formação técnica. Essa ação é desenvolvida diretamente com os alunos e professores, cujo objetivos são: estimular a criação e execução de projetos artísticos</t>
  </si>
  <si>
    <t>Davi Machado De Castro Fonseca</t>
  </si>
  <si>
    <t>096.820.446-50</t>
  </si>
  <si>
    <t>Tarifa Bancária referente a transferência eletrônica pagamento fornecedor:  Arco Cultural Ltda - Processo 1134</t>
  </si>
  <si>
    <t>Tarifa Bancária referente a transferência eletrônica pagamento fornecedor:  Arco Cultural Ltda - Processo 1458</t>
  </si>
  <si>
    <t>Tarifa Bancária referente a transferência eletrônica pagamento fornecedor:  Paulo Augusto De Mello Gomes  - Processo 1977</t>
  </si>
  <si>
    <t>Tarifa Bancária referente a transferência eletrônica pagamento fornecedor:  Christoffer Produções Artísticas Ltda  - Processo 1890</t>
  </si>
  <si>
    <t>Tarifa Bancária referente a transferência eletrônica pagamento fornecedor:  Patrick Arley De Rezende 04149516626 - Processo 1829</t>
  </si>
  <si>
    <t>Reembolso realizado pelo Termo de Parceria 50/2020 - Iepha a conta do Contra de Gestão 005/2019 referente ao pagamento de guia de FGTS - Valor proporcional aos funcionários a serviço do TP 50/2020 - 08/2021</t>
  </si>
  <si>
    <t>Reembolso realizado pelo Termo de Parceria 50/2020 - IEPHA  referente ao percentual (26,41% do valor total), assessoria contábil para o Contrato de Gestão 05/2019 e Termo de Parceria referente ao mês 08/2021</t>
  </si>
  <si>
    <t>FGTS referente a folha de pagamento do mês 08/2021</t>
  </si>
  <si>
    <t>Consumo de energia elétrica do mês 08/2021</t>
  </si>
  <si>
    <t>Aluguel do mês de agosto/2021 do CTP</t>
  </si>
  <si>
    <t>2021/1207</t>
  </si>
  <si>
    <t xml:space="preserve">Férias Auxiliar de serviços Gerais, </t>
  </si>
  <si>
    <t>Salário do Superintendente de Auditoria, referente ao mês 08/2021</t>
  </si>
  <si>
    <t>Salário do Músico Instrumentista, referente ao mês 08/2021</t>
  </si>
  <si>
    <t>Salário da Analista Financeiro Pleno, referente ao mês 08/2021</t>
  </si>
  <si>
    <t>Salário do Músico Cantora, referente ao mês 08/2021</t>
  </si>
  <si>
    <t xml:space="preserve">Andréia Aparecida  de Paula </t>
  </si>
  <si>
    <t>037.889.336-07</t>
  </si>
  <si>
    <t>Analista de RH , referente ao mês 08/2021</t>
  </si>
  <si>
    <t>Andreza Silva Nunes</t>
  </si>
  <si>
    <t>057.552.146-54</t>
  </si>
  <si>
    <t>Salário do Músico, referente ao mês 08/2021</t>
  </si>
  <si>
    <t xml:space="preserve">Ariadna Fernandes </t>
  </si>
  <si>
    <t>076.945.796-76</t>
  </si>
  <si>
    <t>Salário do Regente Assistente, referente ao mês 08/2021</t>
  </si>
  <si>
    <t>Salário do Músico cantora, referente ao mês 08/2021</t>
  </si>
  <si>
    <t>Bárbara Augusta Brasil Nicolau</t>
  </si>
  <si>
    <t>Salário do Montador Diart, referente ao mês 08/2021</t>
  </si>
  <si>
    <t>Salário da Músico Cantor, referente ao mês 08/2021</t>
  </si>
  <si>
    <t xml:space="preserve">Cristiano Gomes da Rocha   </t>
  </si>
  <si>
    <t>032.236.356-02</t>
  </si>
  <si>
    <t>Salário do Coordenador de Comunicação, referente ao mês 08/2021</t>
  </si>
  <si>
    <t>Elias Magalhães Moreira</t>
  </si>
  <si>
    <t>139.223.746-70</t>
  </si>
  <si>
    <t>Salário da Produtora Cultural: Produção Artística, referente ao mês 08/2021</t>
  </si>
  <si>
    <t>Salário do Diretor Financeiro, referente ao mês 08/2021</t>
  </si>
  <si>
    <t xml:space="preserve">Indaiara Silva Dos Santos Patrocínio </t>
  </si>
  <si>
    <t>058.237.986-52</t>
  </si>
  <si>
    <t xml:space="preserve">Maria da Penha Vasconcelos Batista Sabeti </t>
  </si>
  <si>
    <t>060.156.864-80</t>
  </si>
  <si>
    <t>Salário da Auxiliar de serviços Gerais, referente ao mês 08/2021</t>
  </si>
  <si>
    <t>Salário do Arquivista, referente ao mês 08/2021</t>
  </si>
  <si>
    <t xml:space="preserve">Silvia Maurício De Souza Campos Neves 
</t>
  </si>
  <si>
    <t>Salário do Músico Cantor, referente ao mês 08/2021</t>
  </si>
  <si>
    <t>Thiago Roussin Borges</t>
  </si>
  <si>
    <t>056.166.086-70</t>
  </si>
  <si>
    <t>954.757.026-91</t>
  </si>
  <si>
    <t>Salário do Montador Dipro, referente ao mês 08/2021</t>
  </si>
  <si>
    <t>Contratação de 01 (um) fornecedor paraexecução de projeto cenográfico, com fornecimento de mão de obra, equipamentos e insumos, paraprestar serviços em dias e horários a serem determinados, para atender as demandas de montageme desmontagem da exposição comemorativa de 50 anos do Palácio das Artes denominada “50 anosem 5 atos”, com previsão de abertura para o mês de julho de 2021, na Grande Galeria Alberto daVeiga Guignard / Fundação Clóvis Salgado. Informações gerais sobre o serviço no termo de referência / edital de concorrência anexo ao processo.Aditivo</t>
  </si>
  <si>
    <t xml:space="preserve"> Cenario Oscar 2019 Serviços De Montagem Eireli</t>
  </si>
  <si>
    <t>35.810.363/0001-77</t>
  </si>
  <si>
    <t>Salário da Assessora Pedagógica, referente ao mês 08/2021</t>
  </si>
  <si>
    <t>Erika Fabíola Aniceto Marques</t>
  </si>
  <si>
    <t>075.296.186-10</t>
  </si>
  <si>
    <t>Jéssica Cristina Soares</t>
  </si>
  <si>
    <t>094.008.786-30</t>
  </si>
  <si>
    <t>Gerentes de Projetos , referente ao mês 08/2021</t>
  </si>
  <si>
    <t>Salário do Pianista, referente ao mês 08/2021</t>
  </si>
  <si>
    <t xml:space="preserve">Férias  Gerente de Projetos Dipro </t>
  </si>
  <si>
    <t>Salário Gerente de Projetos Dipro, referente ao mês 08/2021</t>
  </si>
  <si>
    <t>Mariana Corrêa de Oliveira</t>
  </si>
  <si>
    <t>077.655.896-01</t>
  </si>
  <si>
    <t>Salário do Presidente referente ao mês 08/2021</t>
  </si>
  <si>
    <t>Salário do Coordenador Administrativo referente ao mês 08/2021</t>
  </si>
  <si>
    <t>Salário do Gerente de Projetos: Programação Artística referente ao mês 08/2021</t>
  </si>
  <si>
    <t>Tarifa Bancária referente a transferência eletrônica férias Auxiliar de Serviços Gerais</t>
  </si>
  <si>
    <t>Tarifa Bancária referente a transferência eletrônica salário Superitendente de Auditoria</t>
  </si>
  <si>
    <t xml:space="preserve">Tarifa Bancária referente a transferência eletrônica salário Músico </t>
  </si>
  <si>
    <t>Tarifa Bancária referente a transferência eletrônica salário Analista Financeiro Pleno</t>
  </si>
  <si>
    <t>Tarifa Bancária referente a transferência eletrônica salário Analista de RH</t>
  </si>
  <si>
    <t>Tarifa Bancária referente a transferência eletrônica salário Assistente Regente</t>
  </si>
  <si>
    <t>Tarifa Bancária referente a transferência eletrônica salário Montador</t>
  </si>
  <si>
    <t>Tarifa Bancária referente a transferência eletrônica salário Coordenador de Comunicação</t>
  </si>
  <si>
    <t>Tarifa Bancária referente a transferência eletrônica salário Produtora Cultural Dipro</t>
  </si>
  <si>
    <t>Tarifa Bancária referente a transferência eletrônica salário Diretor Financeiro</t>
  </si>
  <si>
    <t>Tarifa Bancária referente a transferência eletrônica salário Produtora Cultural Diart</t>
  </si>
  <si>
    <t xml:space="preserve">Tarifa Bancária referente a transferência eletrônica salário Auxiliar de Serviços Gerais </t>
  </si>
  <si>
    <t>Tarifa Bancária referente a transferência eletrônica salário Arquivista</t>
  </si>
  <si>
    <t>Tarifa Bancária referente a transferência eletrônica salário Montador Dipro</t>
  </si>
  <si>
    <t>Tarifa Bancária referente a transferência eletrônica pagamento fornecedor:  Cenario Oscar 2019 Serviços De Montagem Eireli  -  Processo  1661</t>
  </si>
  <si>
    <t>Tarifa Bancária referente a transferência eletrônica salário Assessora Pedagógica</t>
  </si>
  <si>
    <t>Reembolso a conta do Contrato de Gestão - 05/2019  ref aquisição de sistema de ponto para utilização pelos colaboradores da Appa  (Anglo)- ano 2021. Referente ao mês 08/2021</t>
  </si>
  <si>
    <t>Reembolso a conta do Contrato de Gestão - 05/2019  ref aquisição de sistema de ponto para utilização pelos colaboradores da Appa  - ano 2021. Referente ao mês 08/2021</t>
  </si>
  <si>
    <t>Reembolso a conta do Contrato de Gestão - 05/2019 Aquisição de sistema de ponto para utilização pelos colaboradores do TP 50/2020 IEPHA - ano 2021. Referente ao mês 08/2021</t>
  </si>
  <si>
    <t>Reembolso a conta do Contrato de Gestão - 05/2019 uso de táxi pelos colaboradores a serviço do TP 50/2020 IEPHA - ano 2021. Referente ao mês 07/2021</t>
  </si>
  <si>
    <t>Reembolso a conta do Contrato de Gestão - 05/2019 uso de táxi pelos colaboradores a serviço do TP 50/2020 IEPHA - ano 2021. Referente ao mês 08/2021</t>
  </si>
  <si>
    <t>Contratação da profissional Tatiana Cavinato, para ser um dos membros da banca de seleção para julgamento dos projetos inscritos no Prêmio Décio Noviello 2021.Prêmio Décio Noviello é o Edital de seleção de projetos de Artes Visuais e Fotografia para a ocupação das galerias do Palácio das Artes e CâmeraSete - Casa da Fotografia de Minas Gerais. Para a realização da segunda edição, em 2021, faz-se necessária a contratação de uma comissão de seleção composta por três membros com renomado conhecimento nas respectivas áreas.</t>
  </si>
  <si>
    <t>Tatiana Barros Cavinato</t>
  </si>
  <si>
    <t>041.282.896-04</t>
  </si>
  <si>
    <t>Aquisição de materiais diversos para utilização na manutenção física do CTPF. Sendo:10 PANOS DE CHÃO OU SACO ALVEJADO. Faz-se necessária a aquisição de materiais diversos para utilização no CTPF, para a higienização e limpeza de figurinos e adereços, como para ações diárias no espaço.</t>
  </si>
  <si>
    <t>Compra de produtos iluminação e material de manutenção para o espaço da FCS (Grande Teatro CEMIG Palácio das Artes) que receberá a temporada de Teatro do Cefart.Apresentações são ações didático-pedagógicas que permitam aos alunos a percepção e a vivência da dinâmica entre o espaço de apresentação, o público, e a atuação - elementos fundamentais para a formação artística. 2º parcela</t>
  </si>
  <si>
    <t>Guia de ISSQN referente a nota fiscal 184 - Christoffer Produções Artísticas Ltda</t>
  </si>
  <si>
    <t>Guia de ISSQN referente a nota fiscal 238 - Aquela Cia Produções Artísticas Ltda</t>
  </si>
  <si>
    <t>Guia de ISSQN referente ao RPA 1260 - Priscila Alencastre Lopes Santos Souza</t>
  </si>
  <si>
    <t>Guia de ISSQN referente ao RPA 1262 - Michelle Aparecida Silva Barreto</t>
  </si>
  <si>
    <t>Guia de ISSQN referente ao RPA 1263 - Ewelyn Felice Da Silva</t>
  </si>
  <si>
    <t>Guia de ISSQN referente ao RPA 1265 - Álvaro Bruno Amaral Carriello Teixeira</t>
  </si>
  <si>
    <t>Guia de ISSQN referente ao RPA 1274 - Yara Tupynambá</t>
  </si>
  <si>
    <t>Guia de ISSQN referente ao RPA 1275 - Celina Figueiredo Lage</t>
  </si>
  <si>
    <t>Guia de ISSQN referente ao RPA 1276 - Michelle Domingas Correia De Oliveira</t>
  </si>
  <si>
    <t>Guia de ISSQN referente ao RPA 1278 - Guilherme Cruz Lessa</t>
  </si>
  <si>
    <t>Guia de ISSQN referente ao RPA 1279 -  Pedro Henrique Jacome</t>
  </si>
  <si>
    <t>Guia de ISSQN referente ao RPA 1280 - Fabiano Fonseca Freitas</t>
  </si>
  <si>
    <t>Guia de ISSQN referente a nota fiscal 2021/4 - Ori Produtora De Filmes Ltda</t>
  </si>
  <si>
    <t>Guia de ISSQN referente a nota fiscal 2021/5 - Inconfidentes Produções Produções Artísticas Ltda</t>
  </si>
  <si>
    <t>Guia de ISSQN referente a nota fiscal 2021/7 - Ricelli Piva Dos Santos - Me</t>
  </si>
  <si>
    <t>Guia de ISSQN referente a nota fiscal 2021/10 - Carolina Nascimento Valadares Santana 07016003655</t>
  </si>
  <si>
    <t>Guia de ISSQN referente a nota fiscal 2021/11 -  Carolina Nascimento Valadares Santana 07016003655</t>
  </si>
  <si>
    <t>Guia de ISSQN referente a nota fiscal 2021/26 - Eventos Gv Eireli</t>
  </si>
  <si>
    <t>Guia de ISSQN referente a nota fiscal 2021/29 - Imago Filmes Eireli</t>
  </si>
  <si>
    <t>Guia de ISSQN referente a nota fiscal 2021/33 - Damasco Comunicação Eirelli</t>
  </si>
  <si>
    <t>Guia de ISSQN referente a nota fiscal 2021/34 - Neliane Maria Batista Dare</t>
  </si>
  <si>
    <t>Guia de ISSQN referente a nota fiscal 2021/38 - Damasco Comunicação Eirelli</t>
  </si>
  <si>
    <t>Guia de ISSQN referente a nota fiscal 2021/39 - Arco Cultural Ltda</t>
  </si>
  <si>
    <t>Guia de ISSQN referente a nota fiscal 2021/40 - Arco Cultural Ltda</t>
  </si>
  <si>
    <t>Guia de ISSQN referente a nota fiscal 2021/42 -  Murillo Correa E Cia Som E Luz Ltda</t>
  </si>
  <si>
    <t xml:space="preserve">Guia de ISSQN referente a guia de ISSQN referente a nota fiscal 2021/47 - Dolabella Advocacia e Consultoria </t>
  </si>
  <si>
    <t>Guia de ISSQN referente a nota fiscal 2021/57 -  Logus Protection Patrimonial Ltda</t>
  </si>
  <si>
    <t>Guia de ISSQN referente a nota fiscal 2021/85 - Elisete Gomes Joaquim De Oliveira-me</t>
  </si>
  <si>
    <t>Guia de ISSQN referente a nota fiscal 2021/86 - Elisete Gomes Joaquim De Oliveira-me</t>
  </si>
  <si>
    <t>Guia de ISSQN referente a nota fiscal 2021/87 - Elisete Gomes Joaquim De Oliveira-me</t>
  </si>
  <si>
    <t>Guia de ISSQN referente a nota fiscal 2021/88 - Elisete Gomes Joaquim De Oliveira-me</t>
  </si>
  <si>
    <t>Guia de ISSQN referente a nota fiscal 2021/89 - Elisete Gomes Joaquim De Oliveira-me</t>
  </si>
  <si>
    <t>Guia de ISSQN referente a nota fiscal 2021/90 - Elisete Gomes Joaquim De Oliveira-me</t>
  </si>
  <si>
    <t>Guia de ISSQN referente a nota fiscal 2021/91 - Elisete Gomes Joaquim De Oliveira-me</t>
  </si>
  <si>
    <t>Guia de ISSQN referente a nota fiscal 2021/92 - Elisete Gomes Joaquim De Oliveira-me</t>
  </si>
  <si>
    <t>Guia de ISSQN referente a nota fiscal 2021/93 - Elisete Gomes Joaquim De Oliveira-me</t>
  </si>
  <si>
    <t>Guia de ISSQN referente a nota fiscal 2021/94 - Elisete Gomes Joaquim De Oliveira-me</t>
  </si>
  <si>
    <t>Guia de ISSQN referente a nota fiscal 2021/95 - Elisete Gomes Joaquim De Oliveira-me</t>
  </si>
  <si>
    <t>Guia de ISSQN referente a nota fiscal 2021/179 - Softwares De Gestão Ltda</t>
  </si>
  <si>
    <t>Guia de ISSQN referente a nota fiscal 2021/213 - Aloltech Telecom Ltda</t>
  </si>
  <si>
    <t>Guia de ISSQN referente a nota fiscal 2021/953 - Futura Express Solucoes Digitais Ltda</t>
  </si>
  <si>
    <t xml:space="preserve">Guia de ISSQN referente a nota fiscal 2021/1274- Patrulha Eletrônica Ltda </t>
  </si>
  <si>
    <t>Guia de ISSQN referente a nota fiscal - 2021/12294 - Gráfica Central Editora E Digital Ltda</t>
  </si>
  <si>
    <t>Guia de ISSQN referente a nota fiscal 2021/6550 - Assiste Saúde do Trabalhador e Medicina do Trabalho Ltda</t>
  </si>
  <si>
    <t xml:space="preserve">Guia de ISSQN referente a nota fiscal 2021/9787 - Ocupacional Medicina do Trabalho Ltda </t>
  </si>
  <si>
    <t xml:space="preserve">Guia de ISSQN referente a nota fiscal 2021/183901 - Cons Oper de Transporte Coletivo </t>
  </si>
  <si>
    <t xml:space="preserve">Guia de ISSQN referente a nota fiscal 2021/189635- Cons Oper de Transporte Coletivo </t>
  </si>
  <si>
    <t xml:space="preserve">Guia de ISSQN referente a nota fiscal 2021/192741- Cons Oper de Transporte Coletivo </t>
  </si>
  <si>
    <t>Guia de ISSQN referente a nota fiscal 2021/427915 - Unimed Cooperativa Médica</t>
  </si>
  <si>
    <t>Guia de ISSQN referente a nota fiscal 2021/463280- Unimed Cooperativa Médica</t>
  </si>
  <si>
    <t>Contratação de músico fagotista. Necessário contratação de músico instrumentista fagotista para tocar o primeiro fagote e compor o naipe das mateiras na gravação do video coletivo OSMG e CLMG - vídeo Música e Futebol nos 100 anos do clássico Galo e Cruzeiro - uma homenagem a Vander Lee e para o vídeo Quinteto de madeiras da OSMG.</t>
  </si>
  <si>
    <t>2021/107</t>
  </si>
  <si>
    <t>2021/97</t>
  </si>
  <si>
    <t>2021/98</t>
  </si>
  <si>
    <t>2021/99</t>
  </si>
  <si>
    <t>2021/100</t>
  </si>
  <si>
    <t>2021/101</t>
  </si>
  <si>
    <t>2021/102</t>
  </si>
  <si>
    <t>2021/103</t>
  </si>
  <si>
    <t>2021/104</t>
  </si>
  <si>
    <t>Uso de táxi pelos funcionários a serviço do Contrato de Gestão e Termo de Parceria - Competência: 07/2021</t>
  </si>
  <si>
    <t>Cooperativa Mista de Transporte de Passageiros Taxi BH Ltda</t>
  </si>
  <si>
    <t>25.298.969/0001-11</t>
  </si>
  <si>
    <t>2021/1519</t>
  </si>
  <si>
    <t>2021/1520</t>
  </si>
  <si>
    <t>Desenvolvimento de website a partir de roteiro pré-elaborado, para exposição comemorativa de 50 anos do Palácio das Artes "50 Anos em 5 Atos", que acontecerá de 12 de agosto a 14 de novembro de 2021. A exposição comemorativa aos 50 anos do Palácio das Artes será realizada nos meses de agosto a novembro de 2021 na Grande Galeria Alberto da Veiga Guignard / FCS terá um escopo interativo abordando a história da instituição nos seus anos. 1º parcela</t>
  </si>
  <si>
    <t>2021/105</t>
  </si>
  <si>
    <t>2021/106</t>
  </si>
  <si>
    <t xml:space="preserve">Tarifa Bancária referente a transferência eletrônica pagamento fornecedor: Carolina Ruoso - Processo 1962
</t>
  </si>
  <si>
    <t>Reembolso realizado pelo Termo de Parceria 50/2020 - IEPHA referente ao percentual (26,41% do valor total ) do aluguel da sede da Appa referente ao mês 08/2021</t>
  </si>
  <si>
    <t>Reembolso realizado pelo Termo de Parceria 50/2020 - IEPHA referente ao percentual (26,41% do valor total ) guia de IPTU - 08º parcela</t>
  </si>
  <si>
    <t>Contratação do profissional Carolina Ruoso, para ser um dos membros da banca de seleção para julgamento dos projetos inscritos no Prêmio Décio Noviello 2021. O evento acontecerá entre os dias: 31/08, 01/09 e 02/09/2021.Prêmio Décio Noviello é o Edital de seleção de projetos de Artes Visuais e Fotografia para a ocupação das galerias do Palácio das Artes e CâmeraSete - Casa da Fotografia de Minas Gerais. Para a realização da segunda edição, em 2021, faz-se necessária a contratação de uma comissão de seleção composta por três membros com renomado conhecimento nas respectivas áreas.</t>
  </si>
  <si>
    <t>Carolina Ruoso</t>
  </si>
  <si>
    <t>816.100.253-34</t>
  </si>
  <si>
    <t>Contratação de professor para ministrar o curso complementar de "Introdução à Produção de Trilhas Sonoras para Games", na escola de Tecnologia da Cena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</si>
  <si>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Tharcisio Vaz Da Costa De Moraes 02939173532</t>
  </si>
  <si>
    <t>22.283.624/0001-04</t>
  </si>
  <si>
    <t>Contratação do profissional Lucas Dupindo, para ser um dos membros da banca de seleção para julgamento dos projetos inscritos no Prêmio Décio Noviello 2021.Prêmio Décio Noviello é o Edital de seleção de projetos de Artes Visuais e Fotografia para a ocupação das galerias do Palácio das Artes e CâmeraSete - Casa da Fotografia de Minas Gerais. Para a realização da segunda edição, em 2021, faz-se necessária a contratação de uma comissão de seleção composta por três membros com renomado conhecimento nas respectivas áreas.</t>
  </si>
  <si>
    <t>Lucas Dupin Melo 07401023628</t>
  </si>
  <si>
    <t>15.764.506/0001-44</t>
  </si>
  <si>
    <t>Contratação de prestação de serviços de desinfecção de ambientes, na FCS conforme metragem abaixo especificada.Palco - 651m²,Camarim direito - 63m²,Camarim esquerdo - 40m²,Sala preta - 80m²,Estudio A - 163m²,Pequeno Estúdio - 148m²,Grande teatro e Foyer - 4047m². Faz-se necessária a contratação de prestação de serviços de desinfecção de ambientes porque uma aluna presente nos ensaios testou positivo. Todos as pessoas que tiveram contato com a mesma realizaram testes e 02 alunos testaram positivo. Apresentações são ações didático-pedagógicas que permitam aos alunos a percepção e a vivência da dinâmica entre o espaço de apresentação, o público, e a atuação - elementos fundamentais para a formação artística.</t>
  </si>
  <si>
    <t>Impulsionamento de postagens no Facebook/Instagram, referente a Mostra Exagerados que acontecerá entre os dias 09 e 29/09/2021.</t>
  </si>
  <si>
    <t>Licenciamento de arranjo orquestral da obra musical Galo e Cruzeiro do compositor Mineiro Vander Lee com tempo de música de 4''min.Necessário licenciamento de arranjo orquestral de Frederico Natalino da obra ''Galo e Cruzeiro'' do compositor Vander Lee.</t>
  </si>
  <si>
    <t>Aluguel de 3 notebooks para viabilizar o processo de seleção da comissão do Prêmio Décio Noviello.O evento acontecerá entre os dias: 31/08, 01/09 e 02/09/2021.</t>
  </si>
  <si>
    <t>Aluguel da sede da Appa referente ao período de 10/08 a 09/09/2021</t>
  </si>
  <si>
    <t>Guia de ITPU - Parcela 08</t>
  </si>
  <si>
    <t>Tarifa Bancária referente a transferência eletrônica pagamento fornecedor: Tharcisio Vaz Da Costa De Moraes 02939173532 - Processo 1948</t>
  </si>
  <si>
    <t>Tarifa Bancária referente a transferência eletrônica pagamento fornecedor: Lucas Dupin Melo 07401023628 - Processo 1958</t>
  </si>
  <si>
    <t>Tarifa Bancária referente a transferência eletrônica pagamento fornecedor: Neliane Maria Batista Dare - Processo 1828</t>
  </si>
  <si>
    <t>Tarifa Bancária referente a transferência eletrônica pagamento fornecedor: Frederico Carlos Natalino 06822245618 - Processo 1953</t>
  </si>
  <si>
    <t>Reembolso realizado pelo Termo de Parceria 50/2020 - IEPHA referente ao percentual (26,41% do valor total), Manutenção de redes e computadores da sede da Appa - mês 08/2021</t>
  </si>
  <si>
    <t>Reembolso realizado pelo Termo de Parceria 50/2020 - IEPHA referente ao percentual (26,41% do valor total), Segurança Eletrônica da Sede da APPA - mês 08/2021</t>
  </si>
  <si>
    <t>Aquisição de materiais diversos para utilização na manutenção física do CTPF. Sendo: 05 LITROS DE ÁLCOOL 70. Faz-se necessária a aquisição de materiais diversos para utilização no CTPF, para a higienização e limpeza de figurinos e adereços, como para ações diárias no espaço.</t>
  </si>
  <si>
    <t>2021/1274</t>
  </si>
  <si>
    <t>Férias Analista Financeiro Pleno</t>
  </si>
  <si>
    <t>Tarifa Bancária referente a transferência eletrônico de salário de férias: Andréia Simões Santos</t>
  </si>
  <si>
    <t xml:space="preserve">Reembolso realizado pelo Termo de Parceria 50/2020 - Iepha referente ao uso de telefone fixo da sede da Appa - consumo do mês 08/2021 - Percentual de  26,41% do valor total </t>
  </si>
  <si>
    <t>Telefone Fixo da sede da Appa referente ao mês 08/2021</t>
  </si>
  <si>
    <t>11445003-MG</t>
  </si>
  <si>
    <t>Reembolso realizado pelo Termo de Parceria 50/2020 - IEPHA referente ao percentual (26,41% do valor total ) consumo de água da sede da Appa- mês 08/2021</t>
  </si>
  <si>
    <t>Contratação de instrutor/monitora Themis Lobato para acompanhamento do público durante a visitação na "Exposição de 50 anos em 5 atos", que acontecerá de 12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01</t>
  </si>
  <si>
    <t>Themis Cristina Lobato De Lima</t>
  </si>
  <si>
    <t>001.21.51980714-5</t>
  </si>
  <si>
    <t xml:space="preserve">Aquisição para o CEFART de 7 HD Externos: HD Seagate Externo Expansion 6TB, USB 3.0 ou7 HD Externos: HD Seagate Externo Expansion 5TB, USB 3.0. Justifica-se a compra de 2 HD Externo para armazenar os documentos da secretaria e 1 HD para cada uma das Escolas. Com a migração par o ambiente virtual, rapidamente ocupamos todo o espaço de armazenamento virtual. É preciso arquivar os arquivos e atividades de 2020 em m HD para liberar mais espaços para as atividades de 2021
</t>
  </si>
  <si>
    <t>Reembolso a conta do Contrato de Gestão - 05/2019, referente a CO-Participação plano de saúde de Carolina Santos Ribeiro a serviço do Termo de Parceria Iepha. Mês 07/2021</t>
  </si>
  <si>
    <t>Criação de uma composição de bateria e precursão que será sobreposto sobre as performances filmadas nos dias 01 a 04/06. Esses áudios devem ser sincronizados no vídeo dança, dialogando com os movimentos realizados pelo elenco do espetáculo de formatura da dança, sob a orientação da prof. Anna Vitória.</t>
  </si>
  <si>
    <t>Fabrício Alves Farias</t>
  </si>
  <si>
    <t>062.072.576-18</t>
  </si>
  <si>
    <t>Impressão de programas para portfólio dos alunos formandos e equipe.Apresentações da escola de Teatro representam ações didático-pedagógicas que permitem aos alunos a percepção e a vivência da dinâmica entre o espaço de apresentação, o público, e a atuação - elementos fundamentais para a formação artística. Essa ação é desenvolvida diretamente com os alunos e professores, e objetivam estimular a criação e execução de projetos artísticos com alunos de todos os cursos da Escola.</t>
  </si>
  <si>
    <t>Gráfica Central Editora E Digital Ltda</t>
  </si>
  <si>
    <t>07.943.881/0001-23</t>
  </si>
  <si>
    <t>2021/2294</t>
  </si>
  <si>
    <t>2021/463280</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</si>
  <si>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Co- Participação</t>
  </si>
  <si>
    <t>2021/427915</t>
  </si>
  <si>
    <t>Contratação de instrutor/monitor Adriano Maciel para acompanhamento do público durante a visitação na "Exposição de 50 anos em 5 atos", que acontecerá de 12 de agosto a 14 de novembro de 2021, na Grande Galeria Alberto da Veiga Guignard /FCS. 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01.</t>
  </si>
  <si>
    <t>Adriano Maciel Canabrava</t>
  </si>
  <si>
    <t>Contratação de instrutor/monitora Livia Beatriz para acompanhamento do público durante a visitação na "Exposição de 50 anos em 5 atos", que acontecerá de 12 de agosto a 14 de novembro de 2021, na Grande Galeria Alberto da Veiga Guignard /FCS. 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 Parcela 01</t>
  </si>
  <si>
    <t>Lívia Beatriz Ferreira Lopes</t>
  </si>
  <si>
    <t>Tarifa Bancária referente a transferência eletrônica pagamento fornecedor: Adriano Maciel Canabrava - Processo 1893</t>
  </si>
  <si>
    <t>Tarifa Bancária referente a transferência eletrônica pagamento fornecedor: Lívia Beatriz Ferreira Lopes - Processo 1895</t>
  </si>
  <si>
    <t>Associação Pró-Cultura e Promoção das Artes</t>
  </si>
  <si>
    <t>Vale transporte para despesas de passagem com serviços externos. Cartão de passagem da DIPRO.</t>
  </si>
  <si>
    <t>Contratação de professor para ministrar o Curso Complementar de"Iluminação" da escola de Tecnologia da Cena do Cefart.Cursos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</si>
  <si>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Eliezer Sampaio Dos Santos Junior</t>
  </si>
  <si>
    <t>709.920.296-00</t>
  </si>
  <si>
    <t>Compra de 04 cebolas, 10 bananas, 6 maçãs, 06 laranjas, 2 abacaxis, 2 pepinos, 4 mangas, 4 batatas inglesas, 1 repolho roxo. Tamanho: médio, para serem utilizados como objeto de cena. Compra de objeto de cenas para gravação de vídeo 50 anos da CDPA dia 21/09 à partir de 8 horas no Palácio das Artes.</t>
  </si>
  <si>
    <t>Comercial Dahana Ltda</t>
  </si>
  <si>
    <t>00.070.509/0011-82</t>
  </si>
  <si>
    <t>Locação de equipamentos de vídeo e som, sendo: 04 projetores com sistema de player multimedia (entrada em USB) e sistema de sonorização conforme especificações anexas ao processo. O FIF - Festival Internacional de Fotografia - será realizado nas galerias da Arlinda Correia Lima e Genesco Murta, no Palácio das Artes, e no CamaraSete - Casa da Fotografia de Minas Gerais e tem abertura prevista para 18 de março de 2021. Para a realização do mesmo faz-se necessária a locação de equipamentos de som e vídeo para a montagem das salas de vídeos nas galerias onde será realizada a exposição.</t>
  </si>
  <si>
    <t>Excelencia Organizacao E Promocao De Eventos Ltda</t>
  </si>
  <si>
    <t>10.422.983/0001-08</t>
  </si>
  <si>
    <t>2021/15</t>
  </si>
  <si>
    <t xml:space="preserve">Tarifa Bancária referente a transferência eletrônica pagamento fornecedor: Layla Caroline Braz 11264841647 - Processo 1627 </t>
  </si>
  <si>
    <t>Tarifa Bancária referente a transferência eletrônica pagamento fornecedor: Eliezer Sampaio Dos Santos Junior - Processo 1920</t>
  </si>
  <si>
    <t>Tarifa Bancária referente a transferência eletrônica pagamento fornecedor: Comercial Dahama Ltda - Processo 2073</t>
  </si>
  <si>
    <t xml:space="preserve">Tarifa Bancária referente a transferência eletrônica pagamento fornecedor: Excelencia Organizacao E Promocao De Eventos Ltda - Processo 1331 </t>
  </si>
  <si>
    <t>Tabela 7 - Lista de Bens Permanentes Adquiridos</t>
  </si>
  <si>
    <t>Número do Patrimônio</t>
  </si>
  <si>
    <t>Descrição Completa</t>
  </si>
  <si>
    <t>Valor de Aquisição</t>
  </si>
  <si>
    <t>Data de Aquisição</t>
  </si>
  <si>
    <t>Fornecedor</t>
  </si>
  <si>
    <t>Localização do Bem</t>
  </si>
  <si>
    <t>Justificativa para a aquisição</t>
  </si>
  <si>
    <t>0000.1</t>
  </si>
  <si>
    <t>NOTEBOOK DELL 3583 AS80P CI5/8GB/256SSD/2GB/15.6/W10</t>
  </si>
  <si>
    <t>Via Varejo S.A</t>
  </si>
  <si>
    <t>CEFART</t>
  </si>
  <si>
    <t>Compra de Notebook para montagem de uma estúdio de filmagem e edição de vídeos.A aquisição de notebook com capacidade de edição de som/vídeo visa completar a necessidade do registro em foto/vídeo dos cursos regulares das escolas têm função pedagógica no processo formativo dos egressos do Cefart.</t>
  </si>
  <si>
    <t>0000.2</t>
  </si>
  <si>
    <t>CELULAR ASUS ZB555 VML 64GB/PORTARIA 1260, DE 06/12/2013 DOU 09/12/2013 MEI: 354543092565721</t>
  </si>
  <si>
    <t>Magazine Luiza S/A</t>
  </si>
  <si>
    <t>Aquisição de telefone que ficará na secretaria escolar para contato direto com alunos dos cursos complementares e de extensão (lista de transmissão e atendimento para alunos da secretaria).</t>
  </si>
  <si>
    <t>0000.3</t>
  </si>
  <si>
    <t>CELULAR ASUS ZB555 VML 64GB/PORTARIA 1260, DE 06/12/2013 DOU 09/12/2013 MEI: 354543092371005</t>
  </si>
  <si>
    <t>0000.4</t>
  </si>
  <si>
    <t>SMART TV LED 50 4K UHD LG 50UN731C3 HDMI 2 USB WI-FI ASSISTENTE VIRTUAL BLUETOOTH LOTE: 5150U010ALD68882374541 N: DE SERIE-010 AZXCD6842</t>
  </si>
  <si>
    <t>Compra de SmartTV para colocação em sala de aula do Cefart. Propõem-se e espera-se que no momento da reabertura das aulas, os professores de situação de risco devido à ocorrência da pandemia da Covid-19 possam ministrar aulas pela SmartTV de suas casas para os alunos em sala de aula</t>
  </si>
  <si>
    <t>0000.5</t>
  </si>
  <si>
    <t xml:space="preserve"> SMART TV LED 50 4K UHD LG 50UN731C3 HDMI 2 USB WI-FI ASSISTENTE VIRTUAL BLUETOOTH LOTE: 5150U010XCD68422374541 N: DE SERIE-010 AZALD6888</t>
  </si>
  <si>
    <t>0000.6</t>
  </si>
  <si>
    <t>KIT ILUMINAÇÃO AGATA II SOFT BOX 50X70</t>
  </si>
  <si>
    <t>Pedro Cine Foto Ltda</t>
  </si>
  <si>
    <t>Compra de Kit de filmagens para montar o Estúdio Cefart. Nele serão gravadas as aulas abertas e algumas atividades artísticas. Itens: kit iluminação, 1 Iluminador ring light com suporte.A necessidade do registro em foto/vídeo dos cursos regulares das escolas têm função pedagógica no processo formativo dos egressos do Cefart.</t>
  </si>
  <si>
    <t>0000.7</t>
  </si>
  <si>
    <t>ILUMINADOR RING LED LIGHT CL 18</t>
  </si>
  <si>
    <t>0000.8</t>
  </si>
  <si>
    <t>SUPORTE FUNDO INFINITO GREIKA 3,0M PARA FOTOGRAFIA YS300/YS504</t>
  </si>
  <si>
    <t xml:space="preserve"> B2w Companhia Digital</t>
  </si>
  <si>
    <t>Compra de Kit de filmagens para montar o Estúdio Cefart. Nele serão gravadas as aulas abertas e algumas atividades artísticas. Itens: fundo infinito com suporte para fundo infinito, com as seguintes descrições: 01 - Fundo Infinito em Tecido TNT branco, com suporte de Barra (Alumínio) de 3,00 m, fracionada em 03 seções de 1,00 m, com eixos de emenda, jogo de encostos (para travar o tubo de papelão), polias e correntes e suporte de Fundo com Tripé Cadete II 0,94/2,70 m.</t>
  </si>
  <si>
    <t>Tabela 9 - Diário de Entradas e Saídas do Contrato de Gestão - 1º Período Avaliatório</t>
  </si>
  <si>
    <t>Reembolso realizado pela conta da Appa referente a multa/juros do pagamento em atraso da fatura da Cemig</t>
  </si>
  <si>
    <t>Gastos_Gerais</t>
  </si>
  <si>
    <t>Reembolso realizado pela conta da Appa referente ao valor proporcional do seguro de vida dos funcionários a serviço do Projetos Pronac</t>
  </si>
  <si>
    <t xml:space="preserve">Valor referente a Medicina do Trabalho do mês 12/2020 - PPRA </t>
  </si>
  <si>
    <t>2020/8581</t>
  </si>
  <si>
    <t>Valor referente a Medicina do Trabalho do mês 12/2020 - PCMSO</t>
  </si>
  <si>
    <t>Ocupacional Medicina do Trabalho Ltda</t>
  </si>
  <si>
    <t>2020/13701</t>
  </si>
  <si>
    <t>Consumo de energia elétrica do mês 12/2020</t>
  </si>
  <si>
    <t>Apólice de Seguro</t>
  </si>
  <si>
    <t>Contratação de profissional para analista de mídia. Os serviços serão inicialmente para 90 dias, a contar da assinatura do contrato. Excedente.Com a necessidade de interromper as ações presenciais, o processo de transformação digital da FCS também foi acelerado. Assim, o Núcleo de Mídias Digitais passou a ter novas demandas, para melhor se adequar às exigências do mercado. Para que o setor cumpra às demandas de todos os projetos sob responsabilidade é necessária a contratação, imediata e em caráter emergencial, de um o Analista de Mídias Sociais Jr. Esse profissional será imprescindível para que consigamos planejar novos projetos e implantar a transformação digital que estamos construindo nesse momento. Processo 645</t>
  </si>
  <si>
    <t>Juliana Soares Rocha</t>
  </si>
  <si>
    <t>896.800.906-63</t>
  </si>
  <si>
    <t xml:space="preserve">Reembolso realizado pelo Termo de Parceria 50/2020 - Iepha referente ao uso de telefone fixo da sede da Appa - consumo do mês 12/2020 - Percentual de  28,57% do valor total </t>
  </si>
  <si>
    <t>Contratação de instrutor/monitor para acompanhamento do público durante a visitação na exposição "Ópera em Cartaz" que tem período expositivo previsto entre 03 de novembro de 2020 e 13 de dezembro de 2020, na Pequena Galeria Pedro Moraleida / FCS.Faz-se necessária a contratação de instrutor/monitor para realizar o processo educativo com o público durante a visitação da exposição "Ópera em Cartaz" e também orientar os frequentadores sobre as medidas de segurança de acordo com o protocolo sanitário de prevenção ao coronavírus. Aditivo</t>
  </si>
  <si>
    <t xml:space="preserve"> Camila Santos Cardoso</t>
  </si>
  <si>
    <t>101.581.496-45</t>
  </si>
  <si>
    <t>Contratação de 06 cachês artísticos para músico (a) instrumentista participar de apresentações e eventos da OSMG organizadas em série e/ou programas de difusão, formação e mediação cultural.Faz-se necessária a contratação de músico (a) instrumentista para a realização de 06 (seis)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</si>
  <si>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 xml:space="preserve"> Luis Fernando Umbelino da Silva 11187957682</t>
  </si>
  <si>
    <t>34.961.442/0001-16</t>
  </si>
  <si>
    <t xml:space="preserve">Contratação de prestação de serviços de acompanhamento e acondicionamento do acervo do Centro Técnico de Produção e Formação (CTPF) do Contrato de Gestão 05/2019 - CEFART Andradas.Faz-se necessária a contratação de prestação de serviços de acompanhamento e acondicionamento do acervo do Centro Técnico de Produção e Formação (CTPF) do Contrato de Gestão 05/2019 - CEFART Andradas.  Os serviços serão prestados no horário de 8h às 17h, de segunda a sexta e em finais de semana, conforme demanda. Parcela 10/10        
                         </t>
  </si>
  <si>
    <t>Ferramenta para conversão, compressão, divisão e junção de arquivos em PDF.</t>
  </si>
  <si>
    <t xml:space="preserve"> I Love Pdf</t>
  </si>
  <si>
    <t>Contratação de 06 cachês artísticos para coralista participar de apresentações e eventos do CLMG organizadas em série e/ou programas de difusão, formação e mediação cultural.Faz-se necessária a contratação de coralista para a realização de 06 (seis) cachês artísticos referente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</si>
  <si>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Cristiano Gomes Da Rocha 03223635602</t>
  </si>
  <si>
    <t>15.609.026/0001-09</t>
  </si>
  <si>
    <t xml:space="preserve"> Aldo Cesar da Silva 06777405658</t>
  </si>
  <si>
    <t>21.005.662/0001-24</t>
  </si>
  <si>
    <t>Serviço para contratação de espaço para a guarda de documentos da sede administrativos - 2º semestre de 2020.O serviço contempla a contratação de espaço para a guarda de documentos escriturais referente ao segundo semestre de 2020.</t>
  </si>
  <si>
    <t xml:space="preserve"> Guard Gerenciamento e Guarda de Documentos Ltda</t>
  </si>
  <si>
    <t>Conta de telefone da sede da Appa referente ao mês 12/2020</t>
  </si>
  <si>
    <t>8923943-MG</t>
  </si>
  <si>
    <t>Contratação de ferramenta para crescimento de perfil no Instagram.Faz-se necessário a contratação de ferramenta de automatização de processos, além de possibilitar o agendamento de postagens, o que será possível enviar mensagens para toda a base de seguidores, cerca de 7.000 (atualmente), publica mais detalhes sobre o que é o Instagram e controla o número de seguidores de forma segmentada, tendo em vista, principalmente, como ações digitais do projeto.</t>
  </si>
  <si>
    <t>Dl Web Eireli</t>
  </si>
  <si>
    <t>20.873.739/0001-15</t>
  </si>
  <si>
    <t xml:space="preserve">Guia de ISSQN referente a nota fiscal 31 -Paulo Henrique Szot Produções Me </t>
  </si>
  <si>
    <t xml:space="preserve">Guia de ISSQN </t>
  </si>
  <si>
    <t>Guia de ISSQN referente a nota fiscal 143 -  Oi Locadora  de Caçamba Ltda</t>
  </si>
  <si>
    <t>Guia de ISSQN referente a nota fiscal 167- Christoffer Produções Artísticas LTDA</t>
  </si>
  <si>
    <t xml:space="preserve">Guia de ISSQN referente a nota fiscal 168 -Christoffer Produções Artísticas Ltda </t>
  </si>
  <si>
    <t xml:space="preserve">Guia de ISSQN referente a nota fiscal 170 -Christoffer Produções Artísticas Ltda </t>
  </si>
  <si>
    <t>Guia de ISSQN referente ao RPA 924 - André Lodi Rocha</t>
  </si>
  <si>
    <t>Guia de ISSQN referente ao RPA 925 - Augusto Mário Goulart Pimenta</t>
  </si>
  <si>
    <t>Guia de ISSQN referente ao RPA 926 - Robert Avelino Camilo</t>
  </si>
  <si>
    <t>Guia de ISSQN referente ao RPA 927 - Angela Peres de Oliveira</t>
  </si>
  <si>
    <t>Guia de ISSQN referente ao RPA 934 - Gilberto Amâncio de Almeida</t>
  </si>
  <si>
    <t>Guia de ISSQN referente ao RPA 935 - Rui Moreira dos Santos</t>
  </si>
  <si>
    <t>Guia de ISSQN referente ao RPA  937 -  Alexandre Augusto Roxo Félix</t>
  </si>
  <si>
    <t>Guia de ISSQN referente ao RPA 938 - Michel De Souza</t>
  </si>
  <si>
    <t>Guia de ISSQN referente ao RPA 939 - Camila Santos Cardoso</t>
  </si>
  <si>
    <t>guia de ISSQN referente ao RPA 940 - Laís  Flor Oliveira</t>
  </si>
  <si>
    <t>Guia de ISSQN referente ao RPA 941 - Tiffany Maria Almeida de Castro</t>
  </si>
  <si>
    <t>Guia de ISSQN referente ao RPA 943 - João Paulo de Freitas Campos</t>
  </si>
  <si>
    <t>Guia de ISSQN referente ao RPA 947 - Izabel de Fatima Cruz Melo</t>
  </si>
  <si>
    <t>Guia de ISSQN referente ao RPA 948 - Alberto Gusmão da Silva</t>
  </si>
  <si>
    <t>Guia de ISSQM referente ao RPA 949 - Juliana Pinto Dos Santos</t>
  </si>
  <si>
    <t>Guia de ISSQN referente ao RPA 950 -  Robson Caitano Dos Santos</t>
  </si>
  <si>
    <t>Guia de ISSQN referente ao RPA 951 - Irineu Franco Perpetuo</t>
  </si>
  <si>
    <t>Guia de ISSQN referente ao RPA 953 -  Sarah Higino Vives</t>
  </si>
  <si>
    <t>Guia de ISSQN referente ao RPA 954 - Antonio Lincoln Campos De Andrade</t>
  </si>
  <si>
    <t>Guia de ISSQN referente ao RPA 955 - Priscila Lopes Bomfim Muniz</t>
  </si>
  <si>
    <t>Guia de ISSQN referente ao RPA 956 - Maicon Jefferson Da Cruz</t>
  </si>
  <si>
    <t>Guia de ISSQN referente ao RPA 963 - Cristiano Cezarino Rodrigues</t>
  </si>
  <si>
    <t>Guia de ISSQN referente ao RPA 964 - Lucas Gabriel Ataide da Costa</t>
  </si>
  <si>
    <t>Guia de ISSQN referente ao RPA 965 - Adriana Candida de Souza</t>
  </si>
  <si>
    <t>Guia de ISSQN referente ao RPA 967 - Juliana Coelho Gontijo</t>
  </si>
  <si>
    <t xml:space="preserve">Guia de ISSQN referente ao RPA 968 - Evandro Dos Passos Xavier </t>
  </si>
  <si>
    <t>Guia de ISSQN referente ao RPA 974 - Camila Santos Cardoso</t>
  </si>
  <si>
    <t>Guia de ISSQN referente ao RPA 975 - Daniella Gonçalves Caixeta</t>
  </si>
  <si>
    <t xml:space="preserve">Guia de ISSQN referente ao RPA 978 - Mario Jacinto </t>
  </si>
  <si>
    <t>Guia de ISSQN referente ao RPA 979 - Edna Maria Alves De Oliveira</t>
  </si>
  <si>
    <t>Guia de ISSQN referente ao RPA  985 - Norberto Fernandes Damasceno</t>
  </si>
  <si>
    <t>Guia de ISSQN referente ao RPA 986 - Paula Ziviani</t>
  </si>
  <si>
    <t>Guia de ISSQN referente ao RPA 990 - Paula Libéria Camargos</t>
  </si>
  <si>
    <t xml:space="preserve">Guia de ISSQN referente ao RPA 991 - Raquel Semedo Cabaneco </t>
  </si>
  <si>
    <t>Guia de ISSQN referente a nota fiscal 2020/11 - Associação Cultural Pigmalião</t>
  </si>
  <si>
    <t>Guia de ISSQN referente a nota fiscal 2020/13 - Luiza Leandro Martins Fonseca</t>
  </si>
  <si>
    <t>Guia de ISSQN referente a nota fiscal 2020/13 - Mylene Youssef A. Vieira - Produções e Eventos</t>
  </si>
  <si>
    <t>Guia de ISSQN referente a nota fiscal 2020/16 - Sérgio Arruda Felicio</t>
  </si>
  <si>
    <t>Guia de ISSQN referente a nota fiscal 2020/18 -  Rosa de Areia Produções Ltda</t>
  </si>
  <si>
    <t>Guia de ISSQN referente a nota fiscal 2020/19 - Tia Vivi Buffet Saudável Ltda</t>
  </si>
  <si>
    <t>Guia de ISSQN referente a nota fiscal 2020/20 - Cub3 Inteligência Web Ltda</t>
  </si>
  <si>
    <t>Guia de ISSQN referente a nota fiscal 2020/22 - Damasco Comunicação Eirelli</t>
  </si>
  <si>
    <t>Guia de ISSQN referente a nota fiscal 2020/23 - Chão da Feira Ltda</t>
  </si>
  <si>
    <t>Guia de ISSQN referente a nota fiscal 2020/23 - Ana Helena de Sousa Campos</t>
  </si>
  <si>
    <t xml:space="preserve">Guia de ISSQN referente a nota fiscal 2020/25 -Girassolina Produções Ltdaa </t>
  </si>
  <si>
    <t>Guia de ISSQN referente a nota fiscal 2020/27 - Mare Áudio Criativo LTDA - ME</t>
  </si>
  <si>
    <t>Guia de ISSQN referente a nota fiscal 2020/47 - Unicusto Limpeza Em Eventos Ltda</t>
  </si>
  <si>
    <t>Guia de ISSQN referente a nota fiscal 2020/48 - Unicusto Limpeza Em Eventos Ltda</t>
  </si>
  <si>
    <t>Guia de ISSQN referente a nota fiscal 2020/56 - Logus Protection Patrimonial LTDA</t>
  </si>
  <si>
    <t>Guia de ISSQN referente a nota fiscal 2020/57  - Arco Cultura Ltda - ME</t>
  </si>
  <si>
    <t>Guia de ISSQN referente a nota fiscal 2020/78 - Atovariado Producoes Culturais Ltda</t>
  </si>
  <si>
    <t>Guia de ISSQN referente a nota fiscal 2020/94 - Elisete Gomes Joaquim de Oliveira-ME</t>
  </si>
  <si>
    <t>Guia de ISSQN referente a nota fiscal 2020/95 - Elisete Gomes Joaquim de Oliveira-ME</t>
  </si>
  <si>
    <t>Guia de ISSQN referente a nota fiscal 2020/96 - Elisete Gomes Joaquim de Oliveira-ME</t>
  </si>
  <si>
    <t>Guia de ISSQN referente a nota fiscal 2020/97 - Elisete Gomes Joaquim de Oliveira-ME</t>
  </si>
  <si>
    <t>Guia de ISSQN referente a nota fiscal 2020/98 - Elisete Gomes Joaquim de Oliveira-ME</t>
  </si>
  <si>
    <t>Guia de ISSQN referente a nota fiscal 2020/99 - Elisete Gomes Joaquim de Oliveira-ME</t>
  </si>
  <si>
    <t>Guia de ISSQN referente a nota fiscal 2020/100 -  Elisete Gomes Joaquim de Oliveira-ME</t>
  </si>
  <si>
    <t>Guia de ISSQN referente a nota fiscal 2020/101-  Elisete Gomes Joaquim de Oliveira-ME</t>
  </si>
  <si>
    <t xml:space="preserve">Guia de ISSQN referente a nota fiscal 2020/102 - Eliste Gomes Joaquim de Oliveira </t>
  </si>
  <si>
    <t>Guia de ISSQN referente a nota fiscal 2020/103 - Elisete Gomes Joaquim de Oliveira-ME</t>
  </si>
  <si>
    <t>Guia de ISSQN referente a nota fiscal 2020/104 -  Elisete Gomes Joaquim de Oliveira-ME</t>
  </si>
  <si>
    <t>Guia de ISSQN referente a nota fiscal 2020/105 - Elisete Gomes Joaquim de Oliveira-ME</t>
  </si>
  <si>
    <t>Guia de ISSQN referente a nota fiscal 2020/292 - Softwares de Gestão LTDA</t>
  </si>
  <si>
    <t>Guia de ISSQN referente a nota fiscal 2020/293 - Softwares de Gestão LTDA</t>
  </si>
  <si>
    <t>Guia de ISSQN referente a nota fiscal 2020/294 -  Softwares de Gestão LTDA</t>
  </si>
  <si>
    <t>Guia de ISSQN referente a nota fiscal 2020/295 - Softwares de Gestão LTDA</t>
  </si>
  <si>
    <t>Guia de ISSQN referente a nota fiscal 2020/1875 - Patrulha Eletrônica Ltda</t>
  </si>
  <si>
    <t>Guia de ISSQN referente a nota fiscal 2020/7333 -  Link Serviços de Certificação Digital Ltda</t>
  </si>
  <si>
    <t>Guia de ISSQN referente a nota fiscal 2020/8581 - Assiste Saúde do Trabalhador e Medicina do Trabalho</t>
  </si>
  <si>
    <t>Guia de ISSQN referente a nota fiscal 2020/13701 - Ocupacional Medicina do Trabalho</t>
  </si>
  <si>
    <t>Guia de ISSQN referente a nota fiscal 2020/252853- Consórcio Ótimo de Bilhetagem Eletrônica</t>
  </si>
  <si>
    <t xml:space="preserve">Guia de ISSQN referente a nota fiscal 2020/267797 - Cons Operacional do Transporte de Passageiros  </t>
  </si>
  <si>
    <t>Guia de ISSQN referente a nota fiscal 2020/616846 - Unimed Belo Horizonte Cooperativa de Médica</t>
  </si>
  <si>
    <t>Guia de ISSQN referente a nota fiscal 2020/650649 - Unimed Belo Horizonte Cooperativa de Médica</t>
  </si>
  <si>
    <t xml:space="preserve">Guia de ISSQN referente a nota fiscal 169 -Christoffer Produções Artísticas Ltda </t>
  </si>
  <si>
    <t>Guia de ISSQN referente ao RPA 957 - Vaneli Waleske Falci Carvalho Silva</t>
  </si>
  <si>
    <t>Guia de ISSQN referente ao RPA 966 - Maria Izabel Correa De Oliveira</t>
  </si>
  <si>
    <t xml:space="preserve">Guia de ISSQN referente ao RPA 976 - Maíra Campos de  Freitas </t>
  </si>
  <si>
    <t>Guia de ISSQN referente ao RPA 988 - Ana dos Anjos Camarano Cardoso</t>
  </si>
  <si>
    <t>Guia de ISSQN referente ao RPA 989 -  Lígia Pawlow de Paula</t>
  </si>
  <si>
    <t>Guia de ISSQN referente a nota fiscal 2020/11 - Diego Júnio Costa de Oliveira Neves</t>
  </si>
  <si>
    <t>Guia de ISSQN referente a nota fiscal 2020/166 - Movimento e Comunicação Integrada - Daniel Helvécio</t>
  </si>
  <si>
    <t xml:space="preserve">Guia de ISSQN referente a nota fiscal 2020/653 -Oliveira Andrade Serviços de Monitoramento de Informações LTDA </t>
  </si>
  <si>
    <t>Contratação de 1 (um) produtor executivo para acompanhamento das montagens das exposições da FCS para auxilio às montagens, acompanhamento diário das galerias e desmontagem.A contratação se faz necessária, uma vez que o produtor executivo é essencial à execução das demandas práticas durante os períodos de montagem, permanência e desmontagem das exposições que irão ocupar as Galerias Alberto da veiga Guinard, Mari'Stella Tristão, Genesco Murta, Arlinda Correia, PQNA Galeria PedroMoraleida, Galeria Aberta Amilcar de Castro e CâmeraSete - Casa de Fotografia de Minas Gerais, durante o segundo semestre de 2020. Processo 600</t>
  </si>
  <si>
    <t xml:space="preserve"> Rafael Bruno de Oliveira Ferreira Eireli</t>
  </si>
  <si>
    <t>Assessoria Contábil referente ao mês 12/2020</t>
  </si>
  <si>
    <t>2020/1589</t>
  </si>
  <si>
    <t>Guia de ISSQN referente ao RPA 944 - Junia Pertence Barbosa Santos</t>
  </si>
  <si>
    <t>Guia de ISSQN referente ao RPA 945 - Cintya Juliana Souza Santos Dias</t>
  </si>
  <si>
    <t xml:space="preserve">Guia de ISSQN referente ao RPA 977 - Marco Tulio de Sousa Ulhoa </t>
  </si>
  <si>
    <t>Guia de ISSQN referente a nota fiscal 2020/8 - Uaua Estudio Ltda</t>
  </si>
  <si>
    <t xml:space="preserve">Guia de ISSQN referente a nota fiscal 2020/45 -  Emer-som Ltda
</t>
  </si>
  <si>
    <t>Guia de ISSQN referente a nota fiscal 2020/58 - Arco Cultura Ltda - ME</t>
  </si>
  <si>
    <t>Guia de ISSQN referente a nota fiscal 2020/481 - Atual Placas Ltda</t>
  </si>
  <si>
    <t>Guia de ISSQN referente a nota fiscal 2020/503 - Flag Impressão Digital Ltda</t>
  </si>
  <si>
    <t>Guia de ISSQN referente a nota fiscal 2020/511 - Flag Impressão Digital Ltda</t>
  </si>
  <si>
    <t xml:space="preserve">Guia de ISSQN referente a nota fiscal 2020/535 - Flag Impressão Digital </t>
  </si>
  <si>
    <t>Criação de Trilha Sonora para vídeo.Criação de Trilha Sonora para o vídeo "Casa Vertigem" / Intervenção da Cia de Dança para o projeto "Palácio em sua Companhia"</t>
  </si>
  <si>
    <t>Weverton Dos Santos Araújo 12157476679</t>
  </si>
  <si>
    <t>25.376.638/0001-52</t>
  </si>
  <si>
    <t>Assessoria Contábil mês 12/2020</t>
  </si>
  <si>
    <t>2020/1590</t>
  </si>
  <si>
    <t>32.517.791/0001-18</t>
  </si>
  <si>
    <t>Leandro Lino da Cunha 11332122639</t>
  </si>
  <si>
    <t>21.002.287/0001-69</t>
  </si>
  <si>
    <t xml:space="preserve"> Patrick Messias Silva 10860379604</t>
  </si>
  <si>
    <t>20.520.633/0001-38</t>
  </si>
  <si>
    <t>Andréia Aparecida de Paula 03788933607</t>
  </si>
  <si>
    <t>25.424.150/0001-53</t>
  </si>
  <si>
    <t xml:space="preserve">Contratação de prestação de serviços na lavanderia do Centro Técnico de Produção e Formação (CTPF) para higienização dos figurinos e acondicionamento do acervo do Contrato de Gestão 05/2019 - CEFART Andradas.Faz-se necessária a contratação de prestação de serviços na lavanderia do Centro Técnico de Produção e Formação (CTPF) para higienização dos figurinos e acondicionamento do acervo do Contrato de Gestão 05/2019 - CEFART Andradas. Os serviços serão prestados no horário de 8h às 17h, de segunda a sexta e em finais de semana, conforme demanda. Parcela 10/10     
                         </t>
  </si>
  <si>
    <t>20.273.014/0001-96</t>
  </si>
  <si>
    <t>Direção de atuação para a montagem da turma da noite.Direção de atuação para os alunos da escola de teatro do Cefart - turma noturna em prol da montagem do espetáculo do segundo semestre de 2020. A profissional fará um acompanhamento dos ensaios e demais atividades pertinentes à direção de um espetáculo teatral.As montagens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Cenário, figurino, projeto de iluminação e sonorização são concebidos de forma coletiva, a partir de intervenções dos próprios alunos, diretor convidado, professores do curso e coordenador.</t>
  </si>
  <si>
    <t xml:space="preserve"> Raquel Castro De Souza</t>
  </si>
  <si>
    <t>050.718.886-10</t>
  </si>
  <si>
    <t>Solicitação de transporte - detalhamento em anexo -Serviços de transporte de passageiros para alunos do CEFART que irão participar da montagem (nome do espetáculo ou evento). O serviços contemplam ida e volta - buscar os alunos em casa e depois levá-los de volta, pelo período de outubro a dezembro.Devido a pandemia COVID 19, a contratação de transporte é necessária para segurança e saúde dos alunos do Cefart. Será uma Van executiva que irá transportar 3 a 4 alunos por dia, deixando os alunos no lugar X as 8h e retornado as 12h.Os trajetos encontram-se anexo ao processo</t>
  </si>
  <si>
    <t>Ana Helena de Sousa Campos</t>
  </si>
  <si>
    <t>12.974.756/0001-10</t>
  </si>
  <si>
    <t>Contratação de profissional para criação de Vinheta Artística para difusão e apresentação do 22º FestCurtasBH 2020.O Festcurtas BH é um evento de grande extensão realizado anualmente no Cine Humberto Mauro e para a realização da 22ª edição no ano de 2020, faz-se necessária a contratação dos serviços artísticos de Criação de Vinheta Artística, para difusão e divulgação das atividades do festival. Anualmente, o FestCurtasBH, convida artistas locais, com forte experimentação na linguagem videográfica, para a composição de vídeos artísticos de divulgação do evento, com durações aproximadas de 20, 40 e 80 minutos. Essas peças visuais são difundidas nas redes de comunicação do festival, bem como, exibidas antes das sessões.</t>
  </si>
  <si>
    <t>Claryssa Christina Figueiredo De Almeida 08742916666</t>
  </si>
  <si>
    <t>38.377.650/0001-23</t>
  </si>
  <si>
    <t>Hozana Martins de Barros Santos 12644396603</t>
  </si>
  <si>
    <t>20.176.212/0001-31</t>
  </si>
  <si>
    <t xml:space="preserve"> Igor de Lima Pereira 11549535641</t>
  </si>
  <si>
    <t>22.639.339/0001-75</t>
  </si>
  <si>
    <t xml:space="preserve">Contratação de 06 cachês artísticos para músico (a) instrumentista participar de apresentações e eventos da OSMG organizadas em série e/ou programas de difusão, formação e mediação cultural.Faz-se necessária a contratação de músico (a) instrumentista para a realização de 06 (seis)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
</t>
  </si>
  <si>
    <t>Leonardo Brasilino Rodrigues da Cunha 04039016696</t>
  </si>
  <si>
    <t>18.159.498/0001-03</t>
  </si>
  <si>
    <t xml:space="preserve">Contratação de prestação de serviços de montador/carregador para acompanhamento das atividades complementares e regulares do Contrato de Gestão 05/2019 - CEFART. Faz-se necessária a contratação de profissional para acompanhar as demandas do CEFART, bem como montar eventos e salas de aulas, entregar chaves, em especial as atividades da Escola de Artes Visuais. Os serviços serão prestados de fevereiro a dezembro de 2020, no horário de 7h às 16h, de segunda a sexta e em finais de semana, conforme demanda.Parcela 11/11
                         </t>
  </si>
  <si>
    <t xml:space="preserve"> Lucas Alexandre Teixeira 13035532605</t>
  </si>
  <si>
    <t>Ravel Munaier Lanza Conceição 08406317663</t>
  </si>
  <si>
    <t>29.888.413/0001-36</t>
  </si>
  <si>
    <t xml:space="preserve"> Vitor Dutra Oliveira 00462792617</t>
  </si>
  <si>
    <t>22.766.733/0001-16</t>
  </si>
  <si>
    <t>Contratação de profissional especializado em serviços de gestão de impostos, inclusive assessoria contábil no tocante a incidências e retenções de impostos e contribuições, consolidação fiscal e contábil, controle de faturas e vencimentos, acompanhamento das planilhas financeiras, além de realizar operações bancárias, bem como fornecer suporte/instrução spbre a preparação de documentos pertinentes às prestações de contas.</t>
  </si>
  <si>
    <t>Arco Cultura Ltda - ME</t>
  </si>
  <si>
    <t>Produção executiva, com fornecimento de mão-de-obra, para atendimento das atividades regulares e complementares do CEFART. Serviços para acompanhar todas as atividades do Centro de Formação Artística e Tecnológica - CEFART, bem como nas atividades de formação e extensão da Escola de Artes Visuais, da Escola de Dança, da Escola de Música, da Escola de Teatro, da Escola de Tecnologia do Espetáculo, do Programa de Residência em Pesquisas Artísticas, ações culturais formativas e de extensão. Parcela 11/11.</t>
  </si>
  <si>
    <t xml:space="preserve"> Mylene Youssef A Vieira - Produções E Eventos Epp</t>
  </si>
  <si>
    <t xml:space="preserve">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Amanda Santana Silva como bailarina, representada pela empresária Elisete Gomes Joaquim de Oliveira, </t>
  </si>
  <si>
    <t>Elisete Gomes Joaquim de Oliveira-ME</t>
  </si>
  <si>
    <t>31.954.548/0001-85</t>
  </si>
  <si>
    <t xml:space="preserve">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Jorge Luiz A. Ferreira como bailarino, representado pela empresária Elisete Gomes Joaquim de Oliveir
</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</si>
  <si>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Anahí Poty Corteletti Jimenez como bailarina, representada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</si>
  <si>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Leandro Garcia como bailarino, representado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</si>
  <si>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Paulo Wesley</t>
  </si>
  <si>
    <t>Contratação de 06 cachês artísticos para músico (a) instrumentista participar de apresentações e eventos da OSMG organizadas em série e/ou programas de difusão, formação e mediação cultural.Faz-se necessária a contratação de músico (a) instrumentista para a realização de 06 (seis)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 Contratação de Raquel Carneiro representada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</si>
  <si>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Maíra Campos como bailarina, representada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</si>
  <si>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Pablo Garcia do Carmo</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</si>
  <si>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Lucas Resende como bailarino, representado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</si>
  <si>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Renato Augusto como bailarino, representado pela empresária Elisete Gomes Joaquim de Oliveira</t>
  </si>
  <si>
    <t>Contratação de 06 cachês artísticos para bailarino (a) participar de apresentações e eventos da CDPA organizadas em série e/ou programas de difusão, formação e mediação cultural.Faz-se necessária a contratação de bailarino (a) para a realização de 06 (seis) cachês artísticos referente aos repertórios desenvolvidos para os eventos da CDPA. Devido a questão da Pandemia, os bailarinos participarão do projeto "Palácio em sua Cia", parte da programação de Mediação Cultural da FCS, que contempla a participação de apresentações em vídeo da CDPA, gerando conteúdos de programação para o ambiente virtual. Contratação de Silvia Guedes como bailarina, representada pela empresária Elisete Gomes Joaquim de Oliveira</t>
  </si>
  <si>
    <t>Simone Poliana de Jesus Martins e Silva 07469158618</t>
  </si>
  <si>
    <t>15.382.378/0001-74</t>
  </si>
  <si>
    <t>Contratação de 06 cachês artísticos de Arquivista em atendimento as apresentações e eventos do CLMG organizadas em série e/ou programas de difusão, formação e mediação cultural.Faz-se necessária a contratação de Arquivista em atendimento as demandas de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</si>
  <si>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Contratação de 06 cachês artísticos para Maestro na regência de apresentações e eventos da OSMG organizadas em série e/ou programas de difusão, formação e mediação cultural.Faz-se necessária a contratação de Maestro para a realização de 06 (seis) cachês artísticos em atendimento a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</si>
  <si>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Christoffer Produções Artísticas LTDA</t>
  </si>
  <si>
    <t>Despesas com cartório</t>
  </si>
  <si>
    <t>1º Tabelionato de Notas de Belo Horizonte</t>
  </si>
  <si>
    <t>38.147.446/0001-16</t>
  </si>
  <si>
    <t>Ferramenta paraconversão, compressão, divisão e junção de arquivos em PDF. Valor complementar</t>
  </si>
  <si>
    <t>I Love Pdf</t>
  </si>
  <si>
    <t>Serviços de criação e concepção artística da iluminação teatral para a montagem do espetáculo de final de ano dos alunos da escola de teatro do Cefart.As apresentações de final de ano servem como eventos de formatura dos alunos e os serviços ora contratados fazem parte da composição completa de um espetáculo teatral. Apresentações, neste caso, são ações didático-pedagógicas que permitam aos alunos a percepção e a vivência da dinâmica entre o espaço de apresentação, o público, e a atuação - elementos fundamentais para a formação artística. A iluminação é parte do espetáculo.</t>
  </si>
  <si>
    <t>Lucas Roberto de Souza Sodré 10957033664</t>
  </si>
  <si>
    <t>35.546.248/0001-37</t>
  </si>
  <si>
    <t>Contratação de Jornalista para divulgação da Temporada de Ópera em nível nacionalNecessário contratação de profissional qualificado com atuação em assessoria de imprensa para o setor cultura e, especialmente, de música erudita. Será dedicada ao projeto Temporada de Ópera no contato com Jornalistas dos principais veículos de comunicação do país que faz cobertura de eventos eruditos,dando conta de eventuais pautas pós-atividades (menos comuns, mas possíveis)..</t>
  </si>
  <si>
    <t>Alexandre Augusto Roxo Félix</t>
  </si>
  <si>
    <t>142.444.868-95</t>
  </si>
  <si>
    <t>Caminhão baú , com dois ajudantes, para transporte de materiais cenicos do CTP Marzagão, passando no CTP Andradas e entregando-os no Palacete Dantas, com dois carregadores.Endereços: CTP Marzagão: Rua do Cartório, 120 - Marzagão (10.363,52 km) 34585650 Sabará, MGCTP Andradas : Avenida dos Andradas 723, Centro BHPalacete Dantas: Praça da Liberdade, 312 - Funcionários, Belo Horizonte - MG.Apresentações são ações didático-pedagógicas que permitam aos alunos a percepção e a vivência da dinâmica entre o espaço de apresentação, o público, e a atuação - elementos fundamentais para a formação artística.</t>
  </si>
  <si>
    <t>Translevar Mudanças Ltda</t>
  </si>
  <si>
    <t>04.826.601/0001-09</t>
  </si>
  <si>
    <t>Contratação de um designer de comunicação para elaborar as peças gráficas de todas as atividades regulares e complementares do CEFART, em especial para a Escola de Artes Visuais. Vigência do Contrato - de março a dezembro de 2020. Acontecerão no Centro de Formação Artística e Tecnológica - CEFART - diversas atividades como a Mostra da Escola de Artes Visuais, Ações Afirmativas, MeMostra, Espetáculo do Terceiro Ano do Teatro, Apresentações da Escola de Dança, dentre outras. Para tanto, faremos a contratação de um profissional para desenvolver todas as peças gráficas. O profissional contratado fará a aprovação das peças junto ao setor de comunicação da Fundação e com a diretoria do Cefart.</t>
  </si>
  <si>
    <t xml:space="preserve"> Angela Peres de Oliveira</t>
  </si>
  <si>
    <t>118.436.746-96</t>
  </si>
  <si>
    <t xml:space="preserve"> Barbara Augusta Brasil Nicolau 10256250642</t>
  </si>
  <si>
    <t xml:space="preserve">Tarifa Bancária referente a transferência eletrônica pagamento fornecedor: Krypton Serviços Contábeis S. S. </t>
  </si>
  <si>
    <t>Tarifa Bancária referente a transferência eletrônica pagamento fornecedor: Elias Magalhaes Moreira 13922374670 - Processo 587/2020</t>
  </si>
  <si>
    <t>Tarifa Bancária referente a transferência eletrônica pagamento fornecedor:  Leandro Lino da Cunha 11332122639- Processo: 629/2020</t>
  </si>
  <si>
    <t>Tarifa Bancária referente a transferência eletrônica pagamento fornecedor:  Patrick Messias Silva 10860379604- Processo: 628/2020</t>
  </si>
  <si>
    <t>Tarifa Bancária referente a transferência eletrônica pagamento fornecedor:   Andréia Aparecida de Paula 03788933607 - Processo: 591/2020</t>
  </si>
  <si>
    <t>Tarifa Bancária referente a transferência eletrônica pagamento fornecedor:  Ivete Maria de Oliveira - Processo 113/2020</t>
  </si>
  <si>
    <t>Tarifa Bancária referente a transferência eletrônica pagamento fornecedor:  Raquel Castro De Souza - Processo 769</t>
  </si>
  <si>
    <t>Tarifa Bancária referente a transferência eletrônica pagamento fornecedor:  Ana Helena de Sousa Campos - Processo: 809/2020</t>
  </si>
  <si>
    <t>Tarifa Bancária referente a transferência eletrônica pagamento fornecedor: Claryssa Christina Figueiredo De Almeida 08742916666 - Processo 902</t>
  </si>
  <si>
    <t>Tarifa Bancária referente a transferência eletrônica pagamento fornecedor:   Hozana Martins de Barros Santos 12644396603  - Processo: 610/2020</t>
  </si>
  <si>
    <t>Tarifa Bancária referente a transferência eletrônica pagamento fornecedor: Igor de Lima Pereira 11549535641- Processo 640/2020</t>
  </si>
  <si>
    <t>Tarifa Bancária referente a transferência eletrônica pagamento fornecedor: Lucas Alexandre Teixeira- Processo 103/2020</t>
  </si>
  <si>
    <t>Tarifa Bancária referente a transferência eletrônica pagamento fornecedor:   Ravel Munaier Lanza Conceição 08406317663 - Processo: 631/2020</t>
  </si>
  <si>
    <t>Tarifa Bancária referente a transferência eletrônica pagamento fornecedor:   Vitor Dutra Oliveira  - Processo: 633/2020</t>
  </si>
  <si>
    <t>Tarifa Bancária referente a transferência eletrônica pagamento fornecedor: Arco Cultura Ltda - ME</t>
  </si>
  <si>
    <t>Tarifa Bancária referente a transferência eletrônica pagamento fornecedor: Mylene Youssef A. Vieira - Produções e Eventos - Processo 105/2020</t>
  </si>
  <si>
    <t>Tarifa Bancária referente a transferência eletrônica pagamento fornecedor:Elisete Gomes Joaquim de Oliveira-ME - Processo 623/2020</t>
  </si>
  <si>
    <t>Tarifa Bancária referente a transferência eletrônica pagamento fornecedor:Elisete Gomes Joaquim de Oliveira-ME - Processo 626/2020</t>
  </si>
  <si>
    <t>Tarifa Bancária referente a transferência eletrônica pagamento fornecedor:Elisete Gomes Joaquim de Oliveira-ME - Processo 618/2020</t>
  </si>
  <si>
    <t>Tarifa Bancária referente a transferência eletrônica pagamento fornecedor:Elisete Gomes Joaquim de Oliveira-ME - Processo 611/2020</t>
  </si>
  <si>
    <t>Tarifa Bancária referente a transferência eletrônica pagamento fornecedor:Elisete Gomes Joaquim de Oliveira-ME - Processo 624/2020</t>
  </si>
  <si>
    <t>Tarifa Bancária referente a transferência eletrônica pagamento fornecedor:Elisete Gomes Joaquim de Oliveira-ME - Processo 625/2020</t>
  </si>
  <si>
    <t>Tarifa Bancária referente a transferência eletrônica pagamento fornecedor:Elisete Gomes Joaquim de Oliveira-ME - Processo 619/2020</t>
  </si>
  <si>
    <t>Tarifa Bancária referente a transferência eletrônica pagamento fornecedor:Elisete Gomes Joaquim de Oliveira-ME - Processo 622/2020</t>
  </si>
  <si>
    <t>Tarifa Bancária referente a transferência eletrônica pagamento fornecedor:Elisete Gomes Joaquim de Oliveira-ME - Processo 627/2020</t>
  </si>
  <si>
    <t>Tarifa Bancária referente a transferência eletrônica pagamento fornecedor:Elisete Gomes Joaquim de Oliveira-ME - Processo 621/2020</t>
  </si>
  <si>
    <t>Tarifa Bancária referente a transferência eletrônica pagamento fornecedor:Elisete Gomes Joaquim de Oliveira-ME - Processo 637/2020</t>
  </si>
  <si>
    <t>Tarifa Bancária referente a transferência eletrônica pagamento fornecedor:   Lucas Roberto de Souza Sodré 10957033664  - Processo: 638/2020</t>
  </si>
  <si>
    <t>Tarifa Bancária referente a transferência eletrônica pagamento fornecedor:  Christoffer Produções Artísticas LTDA - Processo: 643/2020</t>
  </si>
  <si>
    <t>Tarifa Bancária referente a transferência eletrônica pagamento fornecedor:  1º Tabelionato de Notas de Belo Horizonte</t>
  </si>
  <si>
    <t>Tarifa Bancária referente a transferência eletrônica pagamento fornecedor:   I Love Pdf - Processo: 1106</t>
  </si>
  <si>
    <t>Tarifa Bancária referente a transferência eletrônica pagamento fornecedor: Regelles Tadeu Queiroz Da Silva10092467636 - Processo 1018</t>
  </si>
  <si>
    <t>Tarifa Bancária referente a transferência eletrônica pagamento fornecedor: Alexandre Augusto Roxo Félix- Processo 665/2020</t>
  </si>
  <si>
    <t>Tarifa Bancária referente a transferência eletrônica pagamento fornecedor: Translevar Mudanças Ltda- Processo 981</t>
  </si>
  <si>
    <t>Tarifa Bancária referente a transferência eletrônica pagamento fornecedor:Angela Peres de Oliveira  - Processo: 271/2020</t>
  </si>
  <si>
    <t>Tarifa Pacote de serviços</t>
  </si>
  <si>
    <t>Contratação de apoio administrativo para o setor de processos de compras e contratações, de cadastros para base de dados e controles do projeto.Faz-se necessária a contratação de um profissional para para apoiar o setor de compras. Esse apoio se dará na elaboração dos processos de compras, cadastro de novos fornecedores, cotações, solicitação de documentação. Processo 868</t>
  </si>
  <si>
    <t xml:space="preserve"> Paola Samora de Faria Campos</t>
  </si>
  <si>
    <t>088.174.356-94</t>
  </si>
  <si>
    <t>Contratação de profissional pra digitação de controles financeiros, preenchimento de planilhas, bem como auxiliar de manuseio e preparo de documentos para prestação de contas e arquivamento interno.Faz a contratação de um profissional para apoiar o setor administrativo e financeiro, baixar notas na contabilidade, verificar impostos retidos, dentre outras funções administrativas. Processo 555</t>
  </si>
  <si>
    <t>Thales Henrique Vieira Sabino 09440374616</t>
  </si>
  <si>
    <t>35.234.565/0001-18</t>
  </si>
  <si>
    <t>Contratação de profissional para apoio no setor de processos em atendimento as atividades do Projeto.Faz-se necessário a contratação de um profissional para apoiar o setor de processos de compras e contratações, tais como conferência da documentação, consulta de harmonia fiscal e montagem dos processos. Processo 554</t>
  </si>
  <si>
    <t>Diego Júnio Costa de Oliveira Neves</t>
  </si>
  <si>
    <t>34.271.279/0001-60</t>
  </si>
  <si>
    <t>Assistente Administrativo e de Produção de Compras para o Projeto Manutenção das Atividades dos Corpos Artísticos da Fubdação Clóvis Salgado 2019 - Pronac: 18.5397</t>
  </si>
  <si>
    <t xml:space="preserve">Registro videográfico para produção de vídeos para as exposições do Prêmio Décio Noviello de Artes Visuais e Fotografia 2020 incluindo roteiro, captação, edição e finalização. Sendo: - 4 vídeos teaser com os artistas apresentando a exposição e convidando para o evento com duração aproximada de 1 minuto; - 4 vídeos de entrevistas com os artistas e imagens da montagem das exposições - 2 versões: a primeira com duração entre 3 e 5 minutos para youtube e a segunda vídeos curtos de até 15 segundos para Instagram; - 8 vídeos com imagens das exposições com duração aproximada de 10 minutos. Processo 910 </t>
  </si>
  <si>
    <t>Piranha Filmes Ltda</t>
  </si>
  <si>
    <t>33.538.493/0001-77</t>
  </si>
  <si>
    <t>Contratação para prestação de serviços de Assessoria Administrativa. Contratação de profissional para assessoria administrativa para apoiar e definir encaminhamento de documentos; acompanhar e secretariar reuniões; administrar compromissos e horários de reuniões; ler documentos, levantar informações; cobrar ações, respostas, elaborar relatórios; controlar cronogramas, acompanhar processos; reproduzir documentos. Processo 552</t>
  </si>
  <si>
    <t>Junia Pertence Barbosa Santos</t>
  </si>
  <si>
    <t>866.934.096-87</t>
  </si>
  <si>
    <t>Contratação de designer gráfico para atuação na divulgação das atividades da Fundação Clóvis Salgado.Faz-se necessária a contratação de um designer gráfico para desenvolvimento de um padrão e qualidade nas repostagens das atividades de criação do setor de comunicação da APPA, em especial ao projeto. Parcela 06 Processo 366</t>
  </si>
  <si>
    <t xml:space="preserve"> Cintya Juliana Souza Santos Dias</t>
  </si>
  <si>
    <t xml:space="preserve">Reembolso realizado pela Appa -Projeto Pronac  a conta do Contrato de Gestão referente ao pagamento de guia de FGTS </t>
  </si>
  <si>
    <t>Reembolso realizado pela Appa -Projeto Pronac  a conta do Contrato de Gestão referente ao pagamento de guia de FGTS - 13º salário</t>
  </si>
  <si>
    <t xml:space="preserve">Reembolso realizado pelo Termo de Parceria 50/2020 - Iepha  a conta do Contrato de Gestão referente ao pagamento de guia de FGTS </t>
  </si>
  <si>
    <t>Reembolso realizado pelo Termo de Parceria 50/2020 - Iepha  a conta do Contrato de Gestão referente ao pagamento de guia de FGTS  - FGTS</t>
  </si>
  <si>
    <t>Preparação corporal, com tecnica Suzuki para a montagem do 3° ano Noite.O profissional contratado deverá realizar um curso de preparação corporal com a técnica Suzuki para o elenco. Devido ao momento atual em condição de distanciamento social e suas reverberações na vida de cada envolvido com a encenação, opta-se por realizar a peça de modo semi-virtual, operando com as limitações e potencialidades desse momento e dos recursos de conexão online. A contratada deve prever esse trabalho remoto em seu planejamento de atividades.</t>
  </si>
  <si>
    <t>Luciana do Espirito Santo Brandão</t>
  </si>
  <si>
    <t>095.410.856-60</t>
  </si>
  <si>
    <t>Rafael Ribeiro 10560568606</t>
  </si>
  <si>
    <t>27.071.338/0001-90</t>
  </si>
  <si>
    <t>Contratação de 06 cachês artísticos para músico instrumentista participar de apresentações e eventos da OSMG organizadas em série e / ou programas de difusão, formação e mediação cultural.Faz-se necessária a contratação de músico instrumentista para a realização de 06 (seis) cachês artísticos referente aos repertórios desenvolvidos para os eventos da OSMG. Devido a questão da Pandemia, os instrumentistas participarão do projeto "Palácio em sua Cia", parte da programação de Mediação Cultural da FCS, que contempla a participação de apresentações em vídeo da OSMG, gerando conteúdos de programação para o ambiente virtual.</t>
  </si>
  <si>
    <t xml:space="preserve"> Andre Lodi Rocha</t>
  </si>
  <si>
    <t xml:space="preserve">041.141.936-69  </t>
  </si>
  <si>
    <t>Salário do Superintendente de Auditoria referente ao mês 12/2020</t>
  </si>
  <si>
    <t>Salário da Analista Financeiro Pleno referente ao mês 12/2020</t>
  </si>
  <si>
    <t>Salário do Montador referente ao mês 12/2020</t>
  </si>
  <si>
    <t>Salário do Coordenador de Comunicação referente ao mês 12/2020</t>
  </si>
  <si>
    <t>Salário do Diretor Financeiro referente ao mês 12/2020</t>
  </si>
  <si>
    <t>Salário do Gerente de Projetos referente ao mês 12/2020</t>
  </si>
  <si>
    <t>Fabíola Bruno do Couto</t>
  </si>
  <si>
    <t>714.928.106-06</t>
  </si>
  <si>
    <t>Salário da Auxiliar de serviços Gerais referente ao mês 12/2020</t>
  </si>
  <si>
    <t>Salário da Produtora Cultural referente ao mês 12/2020</t>
  </si>
  <si>
    <t>Fabrício de Paula Silva</t>
  </si>
  <si>
    <t>045.377.216-18</t>
  </si>
  <si>
    <t>Aulas para preparação corporal e técnica para bailarinos da Cia de Dança, preparando-os técnicamente para criação de vídeos coletivos para o projeto "Palácio em sua Cia". Aulas de balé Contemporâneo para Cia de Dança no mês de novembro e dezembro.</t>
  </si>
  <si>
    <t xml:space="preserve"> Clarice Braga Barbosa Lima</t>
  </si>
  <si>
    <t>638.396.953-68</t>
  </si>
  <si>
    <t xml:space="preserve">Licença de uso do sistema de ponto (Ponto Certo), que possibilitará o acompanhamento das horas trabalhadas dos colaboradores da APPA. </t>
  </si>
  <si>
    <t>FGTS referente a folha do mês 12/2020</t>
  </si>
  <si>
    <t>FGTS referente a 2º parcela do 13º salário</t>
  </si>
  <si>
    <t xml:space="preserve">Locação de 01 notebooks para atender as demandas de colaborador a serviço do Contrato de Gestão 05-2019. Faz-se necessária a locação de 01 notebook para colaborador em atendimento às demandas do Contrato de Gestão. A locação será realizada com apuração mensal, dentro das necessidades dos colaboradores. Início da vigência Março/2020 previsão de término Dezembro/2020. Parcela 10           
                         </t>
  </si>
  <si>
    <t xml:space="preserve">Locação de 01 notebooks para atender as demandas de colaborador a serviço do Contrato de Gestão 05-2019. Faz-se necessária a locação de 02 notebook para colaborador em atendimento às demandas do Contrato de Gestão. A locação será realizada com apuração mensal, dentro das necessidades dos colaboradores. Início da vigência Março/2020 previsão de término Dezembro/2020. Parcela 10
                         </t>
  </si>
  <si>
    <t>Maria da Penha Vasconcelos Batista Sabeti 06015686480</t>
  </si>
  <si>
    <t>18.981.366/0001-54</t>
  </si>
  <si>
    <t>Serviço de autoração, edição, finalização e preparação dos filmes a serem exibidos na mostra "Cinema e Patrimônio Histórico em Minas Gerais" através da plataforma cinehumbertomauromais.com.br. Serão aproximadamente 25 filmes nacionais a serem exibidos. A mostra"Cinema e Patrimônio Histórico em Minas Gerais"irá reunir filmes que dialogam com o patrimônio material e imaterial de Minas Gerais colocando em evidência práticas culturais, saberes, formas de expressão, ritos e celebrações e outras experiências culturais do estado. Além das exibições, serão realizados debates sobre cinema, difusão e preservação do patrimônio histórico em parceria com outras instituições culturais de Minas Gerais. Para a realização da mesma faz-se necessário a contratação de serviço para autoração, edição, finalização e preparação dos filmes que serão exibidos.</t>
  </si>
  <si>
    <t>Silvia Maurício de Souza Campos Neves 95475702691</t>
  </si>
  <si>
    <t>encenação, opta-se por realizar a peça de modo semi-virtual, A contratada deve prever esse trabalho remoto em seu planejamento de atividades.As montagens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Cenário, figurino, projeto de iluminação e sonorização são concebidos de forma coletiva, a partir de intervenções dos próprios alunos, diretor convidado, professores do curso e coordenador.</t>
  </si>
  <si>
    <t xml:space="preserve"> Pâmella de Oliveira Rosa</t>
  </si>
  <si>
    <t>079.094.676-99</t>
  </si>
  <si>
    <t>Contratação de estúdio multimídia para produção, gravação, edição e finalização de 07 áudios para episódios de podcast, mais criação de vinheta de abertura e trilha sonora da série. As gravações serão feitas em estúdio com a locutora e de forma remota com os artistas convidados. Duração de cada episódio: 40 minutos.Para a substituição das ações formativas presenciais das exposições da Fundação Clóvis Salgado foram propostas algumas atividades com suporte online, entre elas uma série em "podcast" para a exposição do 7º Premio Industria Nacional Marcantonio Vilaça, que ocupa a Grande Galeria Alberto da Veiga Guignard a partir de 03 de novembro de 2020. Serão ao todo 7 episódios, com os convidados Marcus Lontra, Anna Bella Geiger e os 5 artistas premiados.</t>
  </si>
  <si>
    <t>Ima Conteudo E Estrategia Ltda</t>
  </si>
  <si>
    <t>39.535.306/0001-88</t>
  </si>
  <si>
    <t>Salário da Assessora Pedagógica referente ao mês 12/2020</t>
  </si>
  <si>
    <t>Salário da Produtora Cultural da Dipro referente ao mês 12/2020</t>
  </si>
  <si>
    <t>Salário do Presidente referente ao mês 12/2020</t>
  </si>
  <si>
    <t>Salário do Coordenador Administrativo referente ao mês 12/2020</t>
  </si>
  <si>
    <t>Tarifa Bancária referente a transferência eletrônica pagamento fornecedor: Kátia Aracelle Gonçalves 06125724638 - Processo 1077</t>
  </si>
  <si>
    <t>Tarifa Bancária referente a transferência eletrônica pagamento fornecedor:  - Brenno Theotonio De Castro - Processo 1011</t>
  </si>
  <si>
    <t>Tarifa Bancária referente a transferência eletrônica pagamento fornecedor:  - Valciene Ribeiro De Farias - Processo 782</t>
  </si>
  <si>
    <t xml:space="preserve">Tarifa Bancária referente a transferência eletrônica pagamento salário - Superintedente de Auditoria </t>
  </si>
  <si>
    <t>Tarifa Bancária referente a transferência eletrônica pagamento salário - Analista Financeiro Pleno</t>
  </si>
  <si>
    <t>Tarifa Bancária referente a transferência eletrônica pagamento salário - Montador</t>
  </si>
  <si>
    <t>Tarifa Bancária referente a transferência eletrônica pagamento salário - Coordenador de Comunicação</t>
  </si>
  <si>
    <t>Tarifa Bancária referente a transferência eletrônica pagamento salário - Diretor Financeiro</t>
  </si>
  <si>
    <t>Tarifa Bancária referente a transferência eletrônica pagamento salário - Gerente de Projetos</t>
  </si>
  <si>
    <t>Tarifa Bancária referente a transferência eletrônica pagamento salário - Auxiliar de Serviços Gerais</t>
  </si>
  <si>
    <t>Tarifa Bancária referente a transferência eletrônica pagamento salário -  Montador</t>
  </si>
  <si>
    <t>Tarifa Bancária referente a transferência eletrônica pagamento salário -  Produtora</t>
  </si>
  <si>
    <t>Tarifa Bancária referente a transferência eletrônica pagamento salário -  Gerente de Projetos</t>
  </si>
  <si>
    <t>Tarifa Bancária referente a transferência eletrônica pagamento fornecedor:  Clarice Braga Barbosa Lima - Processo 964</t>
  </si>
  <si>
    <t>Tarifa Bancária referente a transferência eletrônica pagamento fornecedor:  Zoom Vídeo  communication - Processo: 301/2020</t>
  </si>
  <si>
    <t>Tarifa Bancária referente a transferência eletrônica pagamento fornecedor:   BH Notebooks Ltda - Processo: 192</t>
  </si>
  <si>
    <t>Tarifa Bancária referente a transferência eletrônica pagamento fornecedor:  Zoom Vídeo  communication - Processo: 276</t>
  </si>
  <si>
    <t>Tarifa Bancária referente a transferência eletrônica pagamento fornecedor: Maria da Penha Vasconcelos Batista Sabeti 06015686480 - Processo 585/2020</t>
  </si>
  <si>
    <t>Tarifa Bancária referente a transferência eletrônica pagamento fornecedor: Hatari Filmes Ltda - Processo 989</t>
  </si>
  <si>
    <t>Tarifa Bancária referente a transferência eletrônica pagamento fornecedor:   Silvia Maurício de Souza Campos Neves 95475702691 - Processo:508/2020</t>
  </si>
  <si>
    <t>Tarifa Bancária referente a transferência eletrônica pagamento fornecedor:  - Pâmella de Oliveira Rosa - Processo 803</t>
  </si>
  <si>
    <t>Tarifa Bancária referente a transferência eletrônica pagamento fornecedor:  - Ima Conteudo E Estrategia Ltda- Processo 909</t>
  </si>
  <si>
    <t>Bolsa estágio do mês 12/2020</t>
  </si>
  <si>
    <t xml:space="preserve">Bruna Reis Pimenta </t>
  </si>
  <si>
    <t xml:space="preserve">041.573.372-39
</t>
  </si>
  <si>
    <t>Direção Artística de vídeo. Necessário para direção dos vídeos coletivos do CLMG e OSMG, Concerto de Natal e concerto Nona Sinfonia de Beethoven. Ações que integram o projeto “Palácio em sua Companhia”. Processo 1113</t>
  </si>
  <si>
    <t>Registro viodeográfico para edição de vídeo conforme solicitação. Serviço de edição de vídeo a partir de compilamento de vídeos. Entrega de 1 vídeo editadode aproximadamente 2 a 4 minutos com inclusão de legenda, capa (frame), inclusão de ficha técnica, créditos e marcas / logos. Processo 1148</t>
  </si>
  <si>
    <t>Patrick Vilar Ferreira Goncalves</t>
  </si>
  <si>
    <t xml:space="preserve">117.518.246-08
</t>
  </si>
  <si>
    <t>Contratação de profissional para digitação e edição de processos de compras e contratações, de cadastros para base de dados e controles do projeto.Faz-se necessária a contratação de um profissional para apoiar o setor de compras. Esse apoio se dará na elaboração dos processos de compras, cadastro de novos fornecedores, cotações, solicitação de documentação. Processo 553</t>
  </si>
  <si>
    <t xml:space="preserve"> Patrícia Cláudia Pereira Lima Bernardi 03978862689</t>
  </si>
  <si>
    <t>38.230.957/0001-05</t>
  </si>
  <si>
    <t>Assessoria de imprensa. Processo 72</t>
  </si>
  <si>
    <t>Movimento Comunicacao Integrada Ltda</t>
  </si>
  <si>
    <t>23.108.151/0001-43</t>
  </si>
  <si>
    <t>Clara Sampaio Diniz</t>
  </si>
  <si>
    <t>103.589.906-02</t>
  </si>
  <si>
    <t>Davds Nunes Lacerda</t>
  </si>
  <si>
    <t>118.656.856-90</t>
  </si>
  <si>
    <t>Contratação de instrutor/monitor para acompanhamento do público durante a visitação na exposição "Prêmio Marcantonio Vilaça" que tem período expositivo previsto entre 22 de outubro de 2020 e 31 de janeiro de 2021, na Grande Galeria Alberto da Veiga Guignard / FCS.Faz-se necessária a contratação de instrutor/monitor para realizar o processo educativo com o público durante a visitação da exposição "Prêmio Marcantonio Vilaça" e também orientar os frequentadores sobre as medidas de segurança de acordo com o protocolo sanitário de prevenção ao coronavírus, Processo 842</t>
  </si>
  <si>
    <t xml:space="preserve"> Laís  Flor Oliveira</t>
  </si>
  <si>
    <t xml:space="preserve">Contratação de instrutor/monitor para acompanhamento do público durante a visitação na exposição "Prêmio Marcantonio Vilaça" que tem período expositivo previsto entre 03 de novembro de 2020 e 31 de janeiro de 2021, na Grande Galeria Alberto da Veiga Guignard / FCS.Faz-se necessária a contratação de instrutor/monitor para realizar o processo educativo com o público durante a visitação da exposição "Prêmio Marcantonio Vilaça" e também orientar os frequentadores sobre as medidas de segurança de acordo com o protocolo sanitário de prevenção ao coronavírus, Processo 843 </t>
  </si>
  <si>
    <t xml:space="preserve"> Tiffany Maria Almeida de Castro</t>
  </si>
  <si>
    <t>105.518.316-77</t>
  </si>
  <si>
    <t>Contratação de instrutor/monitor para acompanhamento do público durante a visitação nas exposições "Inventário Verde da Boa Esperança" e "É Verão o Ano Inteiro", selecionadas pelo Prêmio Décio Noviello de Fotografia 2020, que tem período expositivo previsto de 03 de dezembro de 2020 a 6 de fevereiro de 2021, no CamaraSete - Casa da Fotografia de Minas Gerais / FCS.Faz-se necessária a contratação de instrutor/monitor para realizar o processo educativo com o público durante a visitação das exposições"Inventário Verde da Boa Esperança" e "É Verão o Ano Inteiro"e também orientar os frequentadores sobre as medidas de segurança de acordo com o protocolo sanitário de prevenção ao coronavírus. Processo 1013</t>
  </si>
  <si>
    <t>Maicon Jefferson Da Cruz</t>
  </si>
  <si>
    <t>118.852.136-54</t>
  </si>
  <si>
    <t>Reembolso realizado pela conta do Termo de Parceria 50/2020 - Iepha referente a impressão de material gráfico e encadernações.Faz-se necessária a impressão de materiais ligados ao Contrato de Gestão 05/2019 com a Fundação Clóvis Salgado e ao Termo de Parceria 50/2020 com o Iepha/MG. Percentual 19,34% do valor total</t>
  </si>
  <si>
    <t>Serviços de Assistente de Produção - necessários à montagem do espetáculo de final de ano dos alunos da escola de teatro do Cefart, a se realizar na Casa do Conde -Av. do Contorno - Colégio Batista, Belo Horizonte - MG, 30110-009. As apresentações de final de ano servem como eventos de formatura dos alunos e os serviços ora contratados fazem parte da composição completa de um espetáculo teatral. Apresentações, neste caso, são ações didático-pedagógicas que permitam aos alunos a percepção e a vivência da dinâmica entre o espaço de apresentação, o público, e a atuação - elementos fundamentais para a formação artística. O serviço de produção, e seu auxílio, ajudam a montar o espetáculo.</t>
  </si>
  <si>
    <t xml:space="preserve"> Ana Gabi Sousa Novais</t>
  </si>
  <si>
    <t>079.389.136-18</t>
  </si>
  <si>
    <t>Assessoria juridica mês 12/2020</t>
  </si>
  <si>
    <t>Palestra para o Webseminar Webnário Artes Afirmativas "Ancestralidades: ressignificação da história, arte e cultura negra para a construção de 300 anos de Minas Gerais"O evento acontece nos dias 20 a 22 de novembro e será 100% virtual.A curadora Rosália Diogo já entrou em contato com o palestrante e fez um briefing sobre a atividade e valores.O Webnário Artes Afirmativas "Ancestralidades: ressignificação da história, arte e cultura negra para a construção de 300 anos de Minas Gerais" reconhece a riqueza e a importância da Cultura Negra no processo de consolidação de uma sociedade diversa e plural. E é um pouco desse legado que será exposto nesse encontro virtual. Serão 3 dias com mesas redondas e oficinas debatendo e reconhecendo o papel da cultura negra para Minas.</t>
  </si>
  <si>
    <t xml:space="preserve"> Maria Mazarello Rodrigues</t>
  </si>
  <si>
    <t>007.020.136-68</t>
  </si>
  <si>
    <t>Contratação de debatedor convidado para comentar o filme: "Cabaret Mineiro",dirigido por Carlos Alberto Prates Correia que será exibido nodia 09/12, às 19h30 na História Permanente do Cinema Especial: Cinema e Patrimônio Histórico em Minas Geraisatravés da plataforma online cinehumbertomauromais.com.br.</t>
  </si>
  <si>
    <t>Mateus Araujo Silva</t>
  </si>
  <si>
    <t>850.712.346-53</t>
  </si>
  <si>
    <t>Aluguel do mês de dezembro/2020 do CTP</t>
  </si>
  <si>
    <t>Solicitamos lista de materiais para o desenvolvimento do projeto de iluminação da Montagem do Teatro, noite, que acontecerá no espaço "A Gruta" no Horto e será transmitido pela internet. - materiais necessários:01 pacote de de refil de cola quente; 05 face shields; 01 rolo de saco de lixo de 50 litros; 01 chamequinho; 01 pacote de abraçadeiras.Apresentações são ações didático-pedagógicas que permitam aos alunos a percepção e a vivência da dinâmica entre o espaço de apresentação, o público, e a atuação - elementos fundamentais para a formação artística.</t>
  </si>
  <si>
    <t>Kalunga Comércio E Indústria Gráfica Ltda</t>
  </si>
  <si>
    <t>43.283.811/0034-18</t>
  </si>
  <si>
    <t xml:space="preserve">Serviços de filmagem, captação de imagens e coordenação técnica teatral para a montagem do espetáculo de final de ano dos alunos da escola de teatro do Cefart. A captação de imagens é parte do espetáculo, na forma de registro.As apresentações de final de ano servem como eventos de formatura dos alunos e os serviços ora contratados fazem parte da composição completa de um espetáculo teatral. Apresentações, neste caso, são ações didático-pedagógicas que permitam aos alunos a percepção e a vivência da dinâmica entre o espaço de apresentação, o público, e a atuação - elementos fundamentais para a formação artística. A captação de imagens é parte do espetáculo, na forma de registro. As apresentações ocorrerão na Casa do Conde av. do Contorno - Colégio Batista, Belo Horizonte - MG, 30110-009
</t>
  </si>
  <si>
    <t>Impressão de material gráfico e encadernações.Faz-se necessária a impressão de materiais ligados ao Contrato de Gestão 05/2019 com a Fundação Clóvis Salgado e ao Termo de Parceria 50/2020 com o Iepha/MG.</t>
  </si>
  <si>
    <t>Contratação de 06 cachês artísticos para Regente participar de apresentações e eventos do CLMG organizadas em série e/ou programas de difusão, formação e mediação cultural.Faz-se necessária a contratação de Regente para a realização de 06 (seis) cachês artísticos referente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</si>
  <si>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Augusto Mário Goulart Pimenta</t>
  </si>
  <si>
    <t>Contratação de 06 cachês artísticos para pianista participar de apresentações e eventos do CLMG organizadas em série e/ou programas de difusão, formação e mediação cultural.Contratação de 06 cachês artísticos para pianista participar de apresentações e eventos do CLMG organizadas em série e/ou programas de difusão, formação e mediação cultural.</t>
  </si>
  <si>
    <t>23.336.510/0001-28</t>
  </si>
  <si>
    <t>Tarifa Bancária referente a transferência eletrônica pagamento fornecedor:  - Elissandra Flávia  Santos 03407482655 - Processo 878</t>
  </si>
  <si>
    <t>Tarifa Bancária referente a transferência eletrônica pagamento fornecedor:  - BH Fotocópias Digital Ltda.- Processo 1240</t>
  </si>
  <si>
    <t>Tarifa Bancária referente a transferência eletrônica pagamento fornecedor:  - BH Fotocópias Digital Ltda.- Processo 1241</t>
  </si>
  <si>
    <t>Tarifa Bancária referente a transferência eletrônica pagamento fornecedor:  Augusto Mário Goulart Pimenta - Processo: 593</t>
  </si>
  <si>
    <t>Tarifa Bancária referente a transferência eletrônica pagamento fornecedor:  Frederico Carlos Natalino 06822245618 - Processo: 592</t>
  </si>
  <si>
    <t>Tarifa Bancária referente a transferência eletrônica pagamento fornecedor:   Ariadna Fernandes 07694579676- Processo: 590</t>
  </si>
  <si>
    <t>Tarifa Bancária referente a transferência eletrônica pagamento fornecedor:   Kleber De Jesus Bispo 10663043603 - Processo: 1029</t>
  </si>
  <si>
    <t>Contratação de profissional Revisor(a) de Textos e conteúdo gráfico e web para revisão das peças web.Contratação de um Revisor (a) de Textos e conteúdo gráfico e web para suprir a grande demanda de peças web de toda a produção do projeto Palácio em Sua Companhia. Processo 917</t>
  </si>
  <si>
    <t>Fernanda Cristina Campos 40979477883</t>
  </si>
  <si>
    <t>26.288.618/0001-92</t>
  </si>
  <si>
    <t>Assessoria Jurídica para o contrato de gestão referente ao mês 12/2020.</t>
  </si>
  <si>
    <t>Serviço de locução e mediação de 07 episódios para série em podcast e gravação da vinheta de abertura e locução de 01 VT institucional sobre a reabertura do Palácio das Artes. Para a substituição das ações formativas presenciais das exposições da Fundação Clóvis Salgado foram propostas algumas atividades com suporte online, entre elas uma série em "podcast" para a exposição do 7º Premio Industria Nacional Marcantonio Vilaça, que ocupa a Grande Galeria Alberto da Veiga Guignard a partir de 03 de novembro de 2020. Serão ao todo 7 episódios, com os convidados Marcus Lontra, Anna Bella Geiger e os 5 artistas premiados.Para isso será necessário a contratação da locutora e radialista Waleska Falci para gravação dos episódios. Processo 908</t>
  </si>
  <si>
    <t xml:space="preserve"> Vaneli Waleska Falci Carvalho E Silva</t>
  </si>
  <si>
    <t>549.678.486-72</t>
  </si>
  <si>
    <t>Contratação de produtor executivo para atuar durante as etapas de pré-produção, produção e pós produção das exposições de artes visuais que ocorrerão ao longo do ano de 2020 nos espaços expositivos da FCS. A contratação se faz necessária, uma vez que o produtor executivo é essencial à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os meses de março a dezembro de 2020. Processo 233</t>
  </si>
  <si>
    <t>Contratação de instrutor/monitor para acompanhamento do público durante a visitação nas exposições "Inventário Verde da Boa Esperança" e "É Verão o Ano Inteiro", selecionadas pelo Prêmio Décio Noviello de Fotografia 2020, que tem período expositivo previsto de 03 de dezembro de 2020 a 6 de fevereiro de 2021, no CamaraSete - Casa da Fotografia de Minas Gerais / FCS.Faz-se necessária a contratação de instrutor/monitor para realizar o processo educativo com o público durante a visitação das exposições"Inventário Verde da Boa Esperança" e "É Verão o Ano Inteiro"e também orientar os frequentadores sobre as medidas de segurança de acordo com o protocolo sanitário de prevenção ao coronavírus. Processo 1012</t>
  </si>
  <si>
    <t>Alberto Gusmão Da Silva</t>
  </si>
  <si>
    <t>Reembolso realizado pelo Termo de Parceria 50/2020 - IEPHA referente ao percentual (29,41% do valor total ) manutenção de redes e computadores da sede da Appa - mês 12/2020</t>
  </si>
  <si>
    <t>Reembolso realizado pelo Termo de Parceria 50/2020 - IEPHA referente ao percentual (16,867% do valor total ) do aluguel da sede da Appa referente ao mês 12/2020</t>
  </si>
  <si>
    <t xml:space="preserve">Contratação de serviços de produção para organização e suporte das demandas relativas à logística de produção das mostras especiais de cinema produzidas ao longo do ano de 2020 no Cine Humberto Mauro - FCS.As mostras especiais de cinema compõem a programação anual do Cine Humberto Mauro - FCS. Para a realização das mesmas, faz-se necessária a contratação de profissional para a organização e suporte para as demandas relativas à logística de produção, acompanhando as execuções das mostras em todas as etapas de realização,incluindo finalização e pós-evento. </t>
  </si>
  <si>
    <t>Aluguel da sede da Appa referente ao período de  10/12 a 09/01/2021</t>
  </si>
  <si>
    <t>Boleto Bancário</t>
  </si>
  <si>
    <t>A E-goi é uma empresa que desenvolve soluções e produtos para que as marcas melhorem a relação com a sua audiência. O seu produto principal consiste numSaaS(Software as a Service) de Automação de Marketing Multicanal.Ela abrange todo o Ciclo de vendas, desde a Atração e Geração de tráfego, através do E-goi e dos canais de comunicação existentes</t>
  </si>
  <si>
    <t>E-goi Digital Brasil Ltda</t>
  </si>
  <si>
    <t>32.258.465/0001-33</t>
  </si>
  <si>
    <t xml:space="preserve">Contratação de empresa especializada em sistema de segurança eletrônica para atender a sede administrativa da APPA, onde os termos de Parceria estão alocados para realização das atividades dos mesmos. Os serviços serão aditivados nas mesmas condições comerciais.                         
                         </t>
  </si>
  <si>
    <t>2020/1875</t>
  </si>
  <si>
    <t xml:space="preserve">Contratação de empresa de TI e Redes.Prestação de serviços técnicos de manutenção de hardware à softwares, preventiva, preditiva e corretiva, visando garantia de melhor desempenho do servidor e estações de trabalho em atendimento às necessidades do trabalho, com acesso remoto ilimitado e  os serviços serão aditivados nas mesmas condições comerciais.                         
                         </t>
  </si>
  <si>
    <t>23.446.767/0001-44</t>
  </si>
  <si>
    <t>Contratação de instrutor/monitor para acompanhamento do público durante a visitação na exposição "Tornar o Impossível Possível", de Marcela Cantuária, selecionada pelo Prêmio Décio Noviello de Artes Visuais 2020, com período expositivo previsto de 19 de novembro de 2020 a 31 de janeiro de 2021, na Galeria Arlinda Correa Lima / FCS.Faz-se necessária a contratação de instrutor/monitor para realizar o processo educativo com o público durante a visitação da exposição"Tornar o Impossível Possível", de Marcela Cantuária, selecionada pelo Prêmio Décio Noviello de Artes Visuais 2020e também orientar os frequentadores sobre as medidas de segurança de acordo com o protocolo sanitário de prevenção ao coronavírus.</t>
  </si>
  <si>
    <t>Brenno Theotonio De Castro</t>
  </si>
  <si>
    <t>Contratação de Mediador para Webinar # ÓPERAHOJE - Temporada de Ópera on-line.Pensando nas urgentes acerca do presente e futuro do mercado operístico no Brasil, a Fundação Clóvis Salgado realiza o Webinar # ÓPERAHOJE . As mesas de hipnotizarão das temáticas: Patrimônio e contemporaneidade ; Como compor ópera hoje ; Políticas públicas e trabalho em rede ; Novas ações, novos públicos, novos teatros ; Teatros e orquestras em tempos de pandemia ; Academias de ópera e formação ; Mulheres na ópera ; Diversidade racial na ópera ; e Como anda o jornalismo cultural? ;Diante disso faz-se necessária a contratação do Mediador(a).</t>
  </si>
  <si>
    <t>Valciene Ribeiro De Farias</t>
  </si>
  <si>
    <t>746.795.382-87</t>
  </si>
  <si>
    <t>Preparação de uma aula aberta, com 60 min de duração, filmada, sobre as irmandades do Rosário e a contribuição dos povos tradicionais de Matriz Ancestral Africana, que será divulgada no canal do Youtube da Fundação Cóvis Salgado.Aulas abertas são cursos que ampliam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são ministrados por profissionais atuantes, de forma a ampliar o repertório dos alunos.</t>
  </si>
  <si>
    <t xml:space="preserve"> Kátia Aracelle Gonçalves 06125724638</t>
  </si>
  <si>
    <t>32.159.837/0001-74</t>
  </si>
  <si>
    <t>35.214.228/0001-69</t>
  </si>
  <si>
    <t>Leise Rodrigues Toledo Renhe 07086411647</t>
  </si>
  <si>
    <t>Serviços de produção executiva da montagem do espetáculo de teatro dos alunos do turno da manhã.Apresentações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do último ano do curso técnico, com a direção de professor da Escola de Teatro, no 1º Semestre, e de um profissional sugerido pelo corpo discente e definido pelo corpo docente e pela Coordenação da Escola de Teatro.</t>
  </si>
  <si>
    <t xml:space="preserve">Marco Túlio Zertolini da Silva </t>
  </si>
  <si>
    <t>760.491.166-87</t>
  </si>
  <si>
    <t>Tarifa Bancária referente a transferência eletrônica pagamento fornecedor: Jessica Cristina Soares 09400878630 - Processo: 582</t>
  </si>
  <si>
    <t>Tarifa Bancária referente a transferência eletrônica pagamento fornecedor: Leise Rodrigues Toledo Renhe 07086411647 - Processo: 634</t>
  </si>
  <si>
    <t>Tarifa Bancária referente a transferência eletrônica pagamento fornecedor: Thiago Roussin Borges 05616608670 - Processo: 583</t>
  </si>
  <si>
    <t>Tarifa Bancária referente a transferência eletrônica pagamento fornecedor: Marco Túlio Zertolini da Silva - Processo: 652</t>
  </si>
  <si>
    <t>Contratação de Restaurador/Conservador para confecção e conferência de laudos técnicos das obras de artes que integram as exposições"Tornar o impossível possível", de Marcela Cantuária, "Inventário Verde da Boa Esperança", de Maurício Soares, e "É verão o ano inteiro", de Dalila Coelho,selecionadas no edital Prêmio Décio Noviello de Artes Visuais e Fotografia 2020. Serão necessárias seis diárias de serviço em Belo Horizonte/MG, sendo quatro na montagem (entrega das obras) e duas na desmontagem (para devolução das obras). Lista de obras e endereços em anexo. Processo 737</t>
  </si>
  <si>
    <t>Alice Almeida Gontijo 09331535627</t>
  </si>
  <si>
    <t>36.361.101/0001-35</t>
  </si>
  <si>
    <t>Direito de Exibição do filme "O Padre e a Moça", de Joaquim Pedro de Andrade (BRA, 1965) | Livre | 90’, de 04 a 20 de dezembro de 2020, na plataforma cinehumbertomauromais.com, dentro da programação da mostra "Cinema e Patrimônio Histórico em Minas Gerais".A mostra "Cinema e Patrimônio Histórico em Minas Gerais" irá reunir filmes que dialogam com o patrimônio material e imaterial de Minas Gerais colocando em evidência práticas culturais, saberes, formas de expressão, ritos e celebrações e outras experiências culturais do estado. Para a realização da mesma, faz-se necessário o licenciamento do direito de exibição do filme "O Padre e a Moça" que integra a programação da mostra.</t>
  </si>
  <si>
    <t>Filmes Do Serro Ltda.</t>
  </si>
  <si>
    <t>Direitos de exibição do filme "Yãmi?Yhex: As Mulheres-Espírito", de Sueli Maxakali e Isael Maxakali (MG, 2019) | Livre | 76’, pelo período de 04 a 20 de dezembro, na plataforma cinehumbertomauromais.com, dentro da programação da mostra "Cinema e Patrimônio Histórico em Minas Gerais.A mostra "Cinema e Patrimônio Histórico em Minas Gerais" irá reunir filmes que dialogam com o patrimônio material e imaterial de Minas Gerais colocando em evidência práticas culturais, saberes, formas de expressão, ritos e celebrações e outras experiências culturais do estado. Para a realização da mesma, faz-se necessário o licenciamento do direito de exibição do filme "Yãmi?Yhex: As Mulheres-Espírito" que integra a programação da mostra.</t>
  </si>
  <si>
    <t>Roberto Romero Ribeiro Junior</t>
  </si>
  <si>
    <t>099.109.686-06</t>
  </si>
  <si>
    <t>Contratação de caçambas para retirada de entulhos decorrentes de limpeza na área externa do CTPF Andradas.Faz se necessário a contratação em formato de locação de caçambas para retirada de entulhos decorrentes da limpeza das áreas externas do CTPF Andradas situado naAvenida dos Andradas 723, Centro, Belo Horizonte.</t>
  </si>
  <si>
    <t>Oi Locadora  de Caçamba Ltda</t>
  </si>
  <si>
    <t>36.567.323/0001-09</t>
  </si>
  <si>
    <t>Compra de Notebook para montagem de uma estúdio de filmagem e edição de vídeos.A aquisição de notebook com capacidade de edição de som/vídeo visa completar a necessidade do registro em foto/vídeo dos cursos regulares das escolas têm função pedagógica no processo formativo dos egressos do Cefart. Faz-se necessário assegurar a qualidade acadêmica e o bom atendimento escolar do corpo discente, por meio de serviços educacionais como o solicitado neste processo,</t>
  </si>
  <si>
    <t>Via Varejo S.a</t>
  </si>
  <si>
    <t>33.041.260/0652-90</t>
  </si>
  <si>
    <t>Palestra para o Webseminar Webnário Artes Afirmativas "Ancestralidades: ressignificação da história, arte e cultura negra para a construção de 300 anos de Minas Gerais".O evento acontece nos dias 20 a 22 de novembro e será 100% virtual.A curadora Rosália Diogo já entrou em contato com o palestrante e fez um briefing sobre a atividade e valores.O Webnário Artes Afirmativas "Ancestralidades: ressignificação da história, arte e cultura negra para a construção de 300 anos de Minas Gerais" reconhece a riqueza e a importância da Cultura Negra no processo de consolidação de uma sociedade diversa e plural. E é um pouco desse legado que será exposto nesse encontro virtual. Serão 3 dias com mesas redondas e oficinas debatendo e reconhecendo o papel da cultura negra para Minas.</t>
  </si>
  <si>
    <t>Isabel Casimira Gasparino</t>
  </si>
  <si>
    <t>988.564.136-04</t>
  </si>
  <si>
    <t>Indaiara Silva dos Santos Patrocínio 05823798652</t>
  </si>
  <si>
    <t>Direito de exibição do filme "Cabaré Mineiro", de Carlos Alberto Prates Correira (Brasil, 1980), pelo período de 04 a 20 de dezembro de 2020, na plataforma cinehumbertomauromais.com,dentro da programação da mostra "Cinema e Patrimônio Histórico em Minas Gerais".A mostra "Cinema e Patrimônio Histórico em Minas Gerais" irá reunir filmes que dialogam com o patrimônio material e imaterial de Minas Gerais colocando em evidência práticas culturais, saberes, formas de expressão, ritos e celebrações e outras experiências culturais do estado. Para a realização da mesma, faz-se necessário o licenciamento do direito de exibição do filme "Cabaré Mineiro" que integra a programação da mostra.</t>
  </si>
  <si>
    <t xml:space="preserve"> Carlos Alberto Prates Correia</t>
  </si>
  <si>
    <t>345.159.177-49</t>
  </si>
  <si>
    <t>Contratação de profissional para compor a mesa de Júri da Competitiva Minas Gerais dos filmes do 22º Festcurtas BH a ser realizado de 23 a 30 de outubro de 2020.O FestCurtasBH é um evento de grande extensão realizado anualmente no Cine Humberto Mauro e para a realização da 22ª edição no ano de 2020, faz-se necessária a contratação de um profissional para integrar o júri da Competitiva Minas, que avaliará e escolherá o melhor filme da Competitiva Minas.</t>
  </si>
  <si>
    <t xml:space="preserve"> Lagunas Filmes &amp; Fitas LTDA</t>
  </si>
  <si>
    <t>36.242.039/0001-62</t>
  </si>
  <si>
    <t>Rosana Guedes de Oliveira Carneiro 09504722636</t>
  </si>
  <si>
    <t>27.137.933/0001-81</t>
  </si>
  <si>
    <t>Pesquisa para texto crítico contextualizando a história das montagens de óperas na Fundação Clóvis Salgado para a exposição "Ópera em Cartaz", que estará em período expositivo de 03 de novembro a 13 de dezembro de 2020.A exposição "Ópera em Cartaz" integra a programação da Temporada de Óperas da FCS, para a realização da mesma faz-se necessária a produção de texto crítico contextualizando a história das montagens de óperas na Fundação Clóvis Salgado visando aprimorar a experiência do público da exposição</t>
  </si>
  <si>
    <t xml:space="preserve"> Cr Jornalismo E Apoio Administrativo Ltda</t>
  </si>
  <si>
    <t>14.475.804/0001-51</t>
  </si>
  <si>
    <t>Produtor musical para alinhamento técnico do Recital de Encerramento - Temporada de Ópera online.Faz-se necessário a contratação de Produtor musical para alinhamento técnico do Recital de Encerramento - Temporada de Ópera Online. O profissional fará a produção com alinhamento técnico e preparação de roteiro com os fornecedores de Sonorização, Iluminação, Captação e edição de vídeo - Streaming. Levantamento de informações e acompanhamento para letras (músicas, autores e protagonistas da transmissão), chancelas e máscara de transmissão; agendamento de transmissão e alinhamento das plataformas de stream utilizadas; avaliação e ajustes de conteúdos gravados a escolhas.</t>
  </si>
  <si>
    <t>Zbm Produções Artísitcas E Sonorização Ltda</t>
  </si>
  <si>
    <t xml:space="preserve">01.251.682/0001-78
</t>
  </si>
  <si>
    <t>Tarifa Bancária referente a transferência eletrônica pagamento fornecedor: Indaiara Silva dos Santos Patrocínio 05823798652- Processo: 586</t>
  </si>
  <si>
    <t>Tarifa Bancária referente a transferência eletrônica pagamento fornecedor:  Carlos Alberto Prates Correia- Processo: 1050</t>
  </si>
  <si>
    <t>Tarifa Bancária referente a transferência eletrônica pagamento fornecedor:   Lagunas Filmes &amp; Fitas LTDA - Processo: 859</t>
  </si>
  <si>
    <t>Tarifa Bancária referente a transferência eletrônica pagamento fornecedor:    Cr Jornalismo E Apoio Administrativo Ltda - Processo: 1060</t>
  </si>
  <si>
    <t>Tarifa Bancária referente a transferência eletrônica pagamento fornecedor: Rosana Guedes de Oliveira Carneiro 09504722636 Processo: 635</t>
  </si>
  <si>
    <t>Tarifa Bancária referente a transferência eletrônica pagamento fornecedor: Zbm Produções Artísitcas E Sonorização Ltda -Processo: 1007</t>
  </si>
  <si>
    <t>Registro viodeográfico para edição de vídeo conforme solicitação. Serviço de edição de vídeo a partir de compilamento de vídeos. Entrega de 1 vídeo editadode aproximadamente 2 a 4 minutos com inclusão de legenda, capa (frame), inclusão de ficha técnica, créditos e marcas / logos. Processo 1088</t>
  </si>
  <si>
    <t>Cartazista para colagem de materiais gráficos (lambes) em painéis na montagem de projeto expográfico da exposição "Inventário Verde da Boa Esperança", de Maurício Soares (Maurício Pokemon), selecionado no Prêmio Décio Noviello de Fotografia 2020. Estão previstas três diárias de montagem dos painéis nos dias: 26, 27, 28 de novembro de 2020.O Prêmio Décio Noviello é o edital da FCS que seleciona projetos em artes visuais e fotografia para ocupação das galerias do Palácio das Artes e CamaraSete - Casa da Fotografia de Minas Gerais. Para realização da exposição"Inventário Verde da Boa Esperança", de Maurício Soares (Maurício Pokemon), selecionado na edição 2020, faz-se necessário a contratação decartazistapara aplicação de materiais gráficos (lambes) em painéis para compor projeto expográfico da exposição. Processo 1058</t>
  </si>
  <si>
    <t>Camila Lacerda Lopes 07900541675</t>
  </si>
  <si>
    <t>21.076.844/0001-96</t>
  </si>
  <si>
    <t>Nota  Fiscal</t>
  </si>
  <si>
    <t>Serviço de produção e logística para o 22º Festcurtas BH.O Festcurtas BH é um evento de grande extensão realizado anualmente no Cine Humberto Mauro e para a realização da 22ª edição no ano de 2020, faz-se necessária a contratação de um profissional para acompanhar a produção em todas as etapas de realização do evento, incluindo a finalização e pós-evento. Processo 672</t>
  </si>
  <si>
    <t xml:space="preserve"> Girassolina Produções Ltda</t>
  </si>
  <si>
    <t xml:space="preserve">Repasse 04º parcela </t>
  </si>
  <si>
    <t xml:space="preserve">Contratação de servicos de locação de impressoras multifuncionais em atendimento as demandas administrativas na sede da Appa.O serviço em questão é primordial para o bom andamento das demandas administrativas: elaboração de cópias para montagem dos processos, digitalizações diversas, cópias de contratos, relatórios diversos, etc. O valor total mensal poderá sofrer alteções caso ocorra excedente na quantidade de cópias. Os serviços serão aditivados nas mesmas condições comerciais.                         
                         </t>
  </si>
  <si>
    <t>26.433.663/0001-93</t>
  </si>
  <si>
    <t>U03542</t>
  </si>
  <si>
    <t>Contratação de instrutor/monitor para acompanhamento do público durante a visitação na exposição "Prêmio Marcantonio Vilaça" que tem período expositivo previsto entre 22 de outubro de 2020 e 31 de janeiro de 2021, na Grande Galeria Alberto da Veiga Guignard / FCS.Faz-se necessária a contratação de instrutor/monitor para realizar o processo educativo com o público durante a visitação da exposição "Prêmio Marcantonio Vilaça" e também orientar os frequentadores sobre as medidas de segurança de acordo com o protocolo sanitário de prevenção ao coronavírus,</t>
  </si>
  <si>
    <t>Laís  Flor Oliveira</t>
  </si>
  <si>
    <t>Contratação de instrutor/monitor para acompanhamento do público durante a visitação na exposição "Prêmio Marcantonio Vilaça" que tem período expositivo previsto entre 03 de novembro de 2020 e 31 de janeiro de 2021, na Grande Galeria Alberto da Veiga Guignard / FCS.Faz-se necessária a contratação de instrutor/monitor para realizar o processo educativo com o público durante a visitação da exposição "Prêmio Marcantonio Vilaça" e também orientar os frequentadores sobre as medidas de segurança de acordo com o protocolo sanitário de prevenção ao coronavírus,</t>
  </si>
  <si>
    <t>Tiffany Maria Almeida de Castro</t>
  </si>
  <si>
    <t>Contratação de instrutor/monitor para acompanhamento do público durante a visitação nas exposições "Inventário Verde da Boa Esperança" e "É Verão o Ano Inteiro", selecionadas pelo Prêmio Décio Noviello de Fotografia 2020, que tem período expositivo previsto de 03 de dezembro de 2020 a 6 de fevereiro de 2021, no CamaraSete - Casa da Fotografia de Minas Gerais / FCS.Faz-se necessária a contratação de instrutor/monitor para realizar o processo educativo com o público durante a visitação das exposições"Inventário Verde da Boa Esperança" e "É Verão o Ano Inteiro"e também orientar os frequentadores sobre as medidas de segurança de acordo com o protocolo sanitário de prevenção ao coronavírus.</t>
  </si>
  <si>
    <t xml:space="preserve"> Maicon Jefferson Da Cruz</t>
  </si>
  <si>
    <t>Solicitamos lista de materiais para o desenvolvimento do projeto de iluminação da Montagem do Teatro, noite, que acontecerá no espaço "A Gruta" no Horto e será transmitido pela internet. (01 rolo de 5 metros de fita de led branco quente, 04 rolos de fita isolante, 01 rolo de 100 metros de fio paralelo 1,5 mm preto, 10 plugs macho e 10 plugs fêmea).Apresentações são ações didático-pedagógicas que permitam aos alunos a percepção e a vivência da dinâmica entre o espaço de apresentação, o público, e a atuação - elementos fundamentais para a formação artística.</t>
  </si>
  <si>
    <t>17.646.970/0001-61</t>
  </si>
  <si>
    <t>Tarifa Bancária referente a transferência eletrônica pagamento fornecedor: Laís  Flor Oliveira -Processo: 842</t>
  </si>
  <si>
    <t>Tarifa Bancária referente a transferência eletrônica pagamento fornecedor: Tiffany Maria Almeida de Castro  -Processo: 843</t>
  </si>
  <si>
    <t>Tarifa Bancária referente a transferência eletrônica pagamento fornecedor:  Maicon Jefferson Da Cruz  -Processo: 1013</t>
  </si>
  <si>
    <t>Registro viodeográfico para edição de 2 vídeos conforme solicitação. Serviço de edição de 2 vídeos a partir de compilamento de vídeos. Entrega de vídeos editados de aproximadamente 4 minutos com inclusão de legenda, capa (frame), inclusão de ficha técnica, créditos e marcas / logos.</t>
  </si>
  <si>
    <t>Anahi Poty Corteletti Jimenez 09015823952</t>
  </si>
  <si>
    <t>Contratação de instrutor/monitor para acompanhamento do público durante a visitação na exposição "Tornar o Impossível Possível", de Marcela Cantuária, selecionada pelo Prêmio Décio Noviello de Artes Visuais 2020, com período expositivo previsto de 19 de novembro de 2020 a 31 de janeiro de 2021, na Galeria Arlinda Correa Lima / FCS.Faz-se necessária a contratação de instrutor/monitor para realizar o processo educativo com o público durante a visitação da exposição"Tornar o Impossível Possível", de Marcela Cantuária, selecionada pelo Prêmio Décio Noviello de Artes Visuais 2020e também orientar os frequentadores sobre as medidas de segurança de acordo com o protocolo sanitário de prevenção ao coronavírus Processo 1011</t>
  </si>
  <si>
    <t xml:space="preserve"> Brenno Theotonio De Castro</t>
  </si>
  <si>
    <t>Contratação de profissional para compor a Comissão de Seleção de Filmes Internacionais do 22º Festcurtas BH a ser realizado de 23 a 30 de outubro de 2020. Processo 852</t>
  </si>
  <si>
    <t xml:space="preserve">Vanessa Sonia Santos 04687877630
</t>
  </si>
  <si>
    <t xml:space="preserve">22.626.441/0001-36
</t>
  </si>
  <si>
    <t>Contratação de profissional para compor a Comissão de Seleção de Filmes Internacionais do 22º Festcurtas BH a ser realizado de 23 a 30 de outubro de 2020. Processo 850</t>
  </si>
  <si>
    <t>Julia Gonçalves Declie Fagioli</t>
  </si>
  <si>
    <t xml:space="preserve">077.107.996-63
</t>
  </si>
  <si>
    <t>Contratação de profissional para compor a Comissão de Seleção de Filmes Nacionais do 22º Festcurtas BH a ser realizado de 23 a 30 de outubro de 2020. Processo 845</t>
  </si>
  <si>
    <t>Fabio Rodrigues Da Silva Filho</t>
  </si>
  <si>
    <t>045.621.425-96</t>
  </si>
  <si>
    <t xml:space="preserve">Serviço de assistência de produção para o 22º Festcurtas BH.O Festcurtas BH é um evento de grande extensão realizado anualmente no Cine Humberto Mauro e para a realização da 22ª edição no ano de 2020, faz-se necessária a contratação de um profissional para assistência de produção e acompanhamento em todas as etapas de realização do evento, incluindo a finalização e pós-evento. Processo 673 </t>
  </si>
  <si>
    <t xml:space="preserve"> Piranha Filmes Ltda</t>
  </si>
  <si>
    <t>Reembolso realizado pelo Termo de Parceria 50/2020 - IEPHA referente ao percentual (20% do valor total ) ao consumo de internet  da Appa do mês 12/2020</t>
  </si>
  <si>
    <t>Reembolso realizado pelo Termo de Parceria 50/2020 - IEPHA referente ao percentual (21,10% do valor total ) aluguel de impressoras da sede da Appa- mês 12/2020</t>
  </si>
  <si>
    <t xml:space="preserve">  Loggi Tecnologia LTDA</t>
  </si>
  <si>
    <t>Consumo de internet referente ao mês 12/2020</t>
  </si>
  <si>
    <t xml:space="preserve">Fatura  </t>
  </si>
  <si>
    <t>9102499-MG</t>
  </si>
  <si>
    <t>Férias do Diretor Financeiro</t>
  </si>
  <si>
    <t xml:space="preserve">Aquisição de 2 telefones que ficarão na secretaria escolar para contato direto com alunos dos cursos complementares e de extensão (lista de transmissão e atendimento para alunos da secretaria). A aquisição de telefones celulares se deve ao fato de, muitas vezes, os alunos terem como única forma de comunicação o uso de aplicativos de mensagem de texto (WhatsApp), justificando a aquisição dos aparelhos. Contudo, os aparelhos deverão ficar baseados na Secretaria Escolar.
</t>
  </si>
  <si>
    <t xml:space="preserve">Magazine Luiza S/A
</t>
  </si>
  <si>
    <t xml:space="preserve">47.960.950/0449-27
</t>
  </si>
  <si>
    <t xml:space="preserve">Pagamento frete referente aquisição de 2 telefones que ficarão na secretaria escolar para contato direto com alunos dos cursos complementares e de extensão.
</t>
  </si>
  <si>
    <t>Compra de 2 SmartTV para colocação em salas de aula do Cefart.Propõem-se e espera-se que no momento da reabertura das aulas, os professores de situação de risco devido à ocorrência da pandemia da Covid-19 possam ministrar aulas pela SmartTV de suas casas para os alunos em sala de aula. As TV também poderão ser utilizadas como recurso pedagógico normal.</t>
  </si>
  <si>
    <t>Pagamento frete referente compra de 2 SmartTV para colocação em salas de aula do Cefart.</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</si>
  <si>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Competência 01/2021</t>
  </si>
  <si>
    <t>15.513.178/0001-76</t>
  </si>
  <si>
    <t>2020/650649</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</si>
  <si>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 CO- Participação</t>
  </si>
  <si>
    <t>2020/616846</t>
  </si>
  <si>
    <t>Serviço de Criação de Vídeos de Abertura e Transmissão de Lives, com o trabalho de agendamento, monitoramento, realização e supervisionamento de todas as lives de seminários, debates e demais atividades ao vivo realizadas pelo 22º Festcurtas BH.O FestCurtas BH é um evento de grande extensão realizado anualmente no Cine Humberto Mauro e para a realização da 22ª edição no ano de 2020, faz-se necessária a contratação de serviço de Cobertura Audiovisual para a Criação de Vídeos de Abertura, Premiação e Transmissão de Lives; uma vez que, agora em ambiente online, grande parte da programação que já era recorrente no ambiente presencial, passa a demandar o uso de tecnologias de transmissão dos debates, seminários, master class e outras.</t>
  </si>
  <si>
    <t xml:space="preserve"> Hatari Filmes Ltda</t>
  </si>
  <si>
    <t>Contratação de profissional para Desenvolvimento de Identidade Visual &amp;amp; Criação Gráfica do 22º Festcurtas BH 2020.O Festcurtas BH é um evento de grande extensão realizado anualmente no Cine Humberto Mauro e para a realização da 22ª edição no ano de 2020, faz-se necessária a contratação de uma empresa que será responsável pelo pensamento e criação artística da Identidade Visual que norteará a comunicação, divulgação e ambientação (mesmo que online) do festival. Anualmente, o festival busca criar obras visuais de comunicação que não apenas sirvam como peças de divulgação do evento, como também, se alinhem e possas exprimir artisticamente a programação, refletindo a partir das obras escolhidas que compõe a Mostra Especial, deste ano dedicada a cineasta franco-suiça Carole Roussopoulos. Deste modo, a indicação é de que a contratação segue o processo de inexigibilidade.</t>
  </si>
  <si>
    <t xml:space="preserve"> Uaua Estudio Ltda</t>
  </si>
  <si>
    <t>Contratação de Serviço de Assistente Editorial &amp;amp; Diagramação para o 22º Festcurtas BH 2020.O Festcurtas BH é um evento de grande extensão realizado anualmente no Cine Humberto Mauro e para a realização da 22ª edição no ano de 2020, faz-se necessária a contratação de um profissional para Assistente Editorial &amp;amp; Diagramação, vinculado à empresa desenvolvedora da Identidade Visual, para a preparação, diagramação, cotejamento e correções do material aplicado ao Catálogo-Livro desta edição.</t>
  </si>
  <si>
    <t>Tarifa Bancária referente a transferência eletrônica pagamento fornecedor:   Hatari Filmes Ltda  - Processo: 927</t>
  </si>
  <si>
    <t>Tarifa Bancária referente a transferência eletrônica pagamento fornecedor:  Uaua Estudio Ltda -Processo: 900</t>
  </si>
  <si>
    <t>Tarifa Bancária referente a transferência eletrônica pagamento fornecedor:  Uaua Estudio Ltda -Processo: 901</t>
  </si>
  <si>
    <t>Tarifa Bancária referente a transferência eletrônica férias Diretor Financeiro</t>
  </si>
  <si>
    <t>Contratação de profissional para compor a Comissão de Seleção de Filmes Internacionais do 22º Festcurtas BH a ser realizado de 23 a 30 de outubro de 2020. Processo 848</t>
  </si>
  <si>
    <t xml:space="preserve"> A F D Salles Serviços De Audiovisual E Publicações</t>
  </si>
  <si>
    <t xml:space="preserve">34.676.829/0001-20
</t>
  </si>
  <si>
    <t>Contratação de profissional para compor a Comissão de Seleção de Filmes Internacionais do 22º Festcurtas BH a ser realizado de 23 a 30 de outubro de 2020. Processo 851</t>
  </si>
  <si>
    <t xml:space="preserve"> Leticia Morais Bispo
</t>
  </si>
  <si>
    <t>022.095.761-31</t>
  </si>
  <si>
    <t>Legendagem do vídeo "entrevista com Jackie Buet" para o 22º Festcurtas BH, com duração de 38 minutos, envolvendo a tradução do francês para o português. Processo 975</t>
  </si>
  <si>
    <t xml:space="preserve"> Frames Ltda.</t>
  </si>
  <si>
    <t>22.498.465/0001-57</t>
  </si>
  <si>
    <t>Reembolso realizado pelo projeto MINC Pronac 17 referente ao pagamento do Plano de Saúde dos Funcionários  - Co Participação</t>
  </si>
  <si>
    <t>Associação Pró-Cultura e Promoção das Artes - Contrato de Gestão 05/2019</t>
  </si>
  <si>
    <t xml:space="preserve">Reembolso realizado pela Appa referente ao pagamento do Plano de Saúde dos Funcionários </t>
  </si>
  <si>
    <t>Reembolso realizado pelo Termo de Parceria 50/2020 - IEPHA referente ao percentual (12,5% do valor total ) consumo de água da sede da Appa- mês 12/2020</t>
  </si>
  <si>
    <t>Reembolso pela conta da Appa referente ao juros e multa pagamento fatura energia elétrica</t>
  </si>
  <si>
    <t>Reembolso realizado pelo Termo de Parceria 50/2020 - IEPHA referente ao percentual (13,33% do valor total ) telefone móvel da sede da Appa- mês 12/2020</t>
  </si>
  <si>
    <t>Reembolso realizado pelo Termo de Parceria 50/2020 - IEPHA referente ao percentual (6,67% do valor total ) consumo de energia elétrica da sede da Appa- mês 12/2020</t>
  </si>
  <si>
    <t>Aluguel de TV 42' LED com entrada para pen drive para transmissão de ópera na PQNA galeria Pedro Moraleida para transmissão de ópera durante o período expositivo da exposição "Ópera em Cartaz". Instalação: 29 de outubro de 2020 / Retirada: 15 de dezembro de 2020.A exposição "Ópera em Cartaz" integra a programação da inédita Temporada de Ópera on-line da FCS e estará aberta na PQNA galeria Pedro Moraleida / FCS de 03 de novembro de 2020 a 13 de dezembro de 2020. Para a realização da mesma, faz-se necessário o aluguel de uma TV 24' LED com entrada para pen drive para a transmissão de vídeos de óperas.</t>
  </si>
  <si>
    <t>Emer-som Ltda</t>
  </si>
  <si>
    <t>02.028.930/0001-89</t>
  </si>
  <si>
    <t>Consumo de energia elétrica referente ao mês 12/2020</t>
  </si>
  <si>
    <t>Consumo de telefone móvel para os funcionários a serviço do Contrato de Gestão  e Termo de Parceria Iepha referente ao mês 12/2020</t>
  </si>
  <si>
    <t>Consumo de água e esgosto referente ao mês 12/2020</t>
  </si>
  <si>
    <t>001-21.00233821-1</t>
  </si>
  <si>
    <t>Tarifa Bancária referente a transferência eletrônica pagamento fornecedor:  Eduardo Muller Carvalho dos Reis 09247861675  -Processo: 956</t>
  </si>
  <si>
    <t>Contratação de vigilante para guarda do patrimônio na unidade Câmara Sete localizado na Av Afonso Pena, nº 737, Belo Horizonte e galerias de arte no Palácio das Artes localizado na Av Afonso Pena, nº 1.537. O período de trabalho deverá iniciar no dia 15/12/2020 com duração inicial de 30 dias, podendo ser prorrogado. O horário de trabalho será de 19h às 07h. O prédio CâmeraSete conta com 03 andares e o posto de trabalho deverá ser dentro do prédio, com rondas entre os andares e portaria principal. As galerias de arte do Palácio das Artes conta com 07 galerias e o posto de trabalho deverá ser dentro do prédio.Faz-se necessário a contratação de dois vigilantes noturno para o prédio Câmara Sete e espaços da Fundação Clóvis Salgado devido a necessidade de guarda de patrimônio e obras de artes nos locais; podendo ser estendido esse prazo conforme necessidade.</t>
  </si>
  <si>
    <t xml:space="preserve">17.939.552/0001-62
</t>
  </si>
  <si>
    <t>Edição de vídeos.Profissional responsável por pegar um material bruto produzido na escola e editá-lo. Nesse processo, ele elimina as falhas, corta os excessos e estrutura a sequência de cenas para que o vídeo faça sentido, tenha continuidade e seja mantido o contexto de cada produção. Ex. Aulas abertas, vídeos da escola de dança e música, podcasts da escola de teatro e tecnologia da cena, etc.Sua atuação impacta as atividades dos cursos complementares e atividades artísticas, uma vez que os vídeos editados servirão como documento e complemento pedagógico às aulas, possibilitando a observação de detalhes e aperfeiçoamento da técnica artística - além da divulgação do trabalho da Escola de Dança e de seus alunos.</t>
  </si>
  <si>
    <t>Serviço de Assessoria de Impensa e Redes Sociais. O Festcurtas BH é um evento de grande extensão realizado anualmente no Cine Humberto Mauro e para a realização da 22ª edição no ano de 2020, faz-se necessária a contratação de uma equipe responsável pela Assessoria de Imprensa e Redes Sociais, garantindo o acompanhamento de publicações, e a entrega de um balanço final.</t>
  </si>
  <si>
    <t>Produções Grãos Da Imagem Ltda</t>
  </si>
  <si>
    <t>21.470.213/0001-57</t>
  </si>
  <si>
    <t>Tarifa Bancária referente a transferência eletrônica pagamento fornecedor: Logus Protection Patrimonial Ltda  - Processo: 1108</t>
  </si>
  <si>
    <t>Tarifa Bancária referente a transferência eletrônica pagamento fornecedor:  Gilberto De Lima Goulart 08401043670 - Processo: 1119</t>
  </si>
  <si>
    <t>Tarifa Bancária referente a transferência eletrônica pagamento fornecedor:  Produções Grãos Da Imagem Ltda  - Processo: 892</t>
  </si>
  <si>
    <t xml:space="preserve">Contratação de debatedora para a mesa de debate"Perceber a forma de outras vidas, perceber a vida de outras formas" que integra a programação do 22º Festcurtas BH. Processo 1082 </t>
  </si>
  <si>
    <t xml:space="preserve"> Juliana Fausto De Souza Coutinho
</t>
  </si>
  <si>
    <t>084.691.447-66</t>
  </si>
  <si>
    <t>Contratação de profissional para compor a Comissão de Seleção de Filmes Internacionais do 22º Festcurtas BH a ser realizado de 23 a 30 de outubro de 2020. Processo 898</t>
  </si>
  <si>
    <t xml:space="preserve"> Felipe Carnevalli De Brot 08939194624</t>
  </si>
  <si>
    <t>35.792.108/0001-49</t>
  </si>
  <si>
    <t xml:space="preserve">Serviço de Autoração e Projeção para o 22º Festcurtas BH. Processo 893 </t>
  </si>
  <si>
    <t xml:space="preserve">22.204.920/0001-64
</t>
  </si>
  <si>
    <t xml:space="preserve">Pagamento de cachê de atriz para vídeos de Contação de História / Narração de História para crianças, pensadas e trabalhadas à partir das sessões da Mostra Infantil do 22º Festcurtas BH, os vídeo serão disponibilizadas durante as exibições da mostra na programação do Festival. Processo 928 </t>
  </si>
  <si>
    <t>Fabiana Oliveira De Jesus 06426632627</t>
  </si>
  <si>
    <t>Contratação de professor para Oficina online - Corpo Crítico dentro da programação do Festcurtas BH. Processo 897</t>
  </si>
  <si>
    <t xml:space="preserve"> Kenia Cardoso Vilaca De Freitas 09774680707</t>
  </si>
  <si>
    <t xml:space="preserve">35.796.136/0001-34
</t>
  </si>
  <si>
    <t>Contratação de novos módulos e serviços pela AIX para as seguintes atividades: Módulo Matrícula, Rematrícula e Interessados, (licença, treinamento emensalidade) eMódulo Processo de Seleção (licença e mensalidade) etreinamento para o curso de extensão e Complementares para os professores no sistema Moodle.</t>
  </si>
  <si>
    <t>Softwares de Gestão LTDA</t>
  </si>
  <si>
    <t>08.173.813/00001-95</t>
  </si>
  <si>
    <t>Contratação de empresa para serviços de integração da Plataforma Moodle com integração do Sistema Acadêmico AIX. A partir da realidade da Pandemia do COVID-19, a Diretoria do Cefart conjuntamente com a APPA estão buscando alternativas para o atendimento aos alunos da Escola de forma não presencial. Com isso, a empresa contratada para a licença e acompanhamento do sistema acadêmico, nos apresentou um interface entre o sistema atual e a plataforma Moodle (que é gratuita). O investimento seria na personalização básica, integração do sistema da AIX com a plataforma e hospedagem em servidor compartilhado. Esse servidor não hospedará vídeos, apenas conteúdo em texto.</t>
  </si>
  <si>
    <t>08.173.813/001-95</t>
  </si>
  <si>
    <t xml:space="preserve">Contratação de serviço de hospedagem para um sistema de gestão acadêmica do CEFART no ano de2020.Contratação de serviço de hospedagem para um sistema de gestão acadêmica para monitoramento e acompanhamento das atividades complementares do CEFART no ano de2020.                         
                         </t>
  </si>
  <si>
    <t xml:space="preserve">Contratação de um sistema de gestão acadêmica do CEFART no ano de2020.  Contratação de um sistema de gestão acadêmica para monitoramento e acompanhamento das atividades complementares do CEFART no ano de2020.                         
                         </t>
  </si>
  <si>
    <t xml:space="preserve">Guia de IR referente a nota fiscal 2020/20 -Cub3 Inteligência Web Ltda </t>
  </si>
  <si>
    <t xml:space="preserve">DARF/IR referente a nota fiscal 2152 - Cooperativa Paulista De Trabalho Dos Profissionais De Danca
</t>
  </si>
  <si>
    <t xml:space="preserve">DARF/IR referente a nota fiscal 2154 - Cooperativa Paulista De Trabalho Dos Profissionais De Danca
</t>
  </si>
  <si>
    <t xml:space="preserve">IR referente a nota fiscal 2020/1590 - Krypton Serviços Contábeis S. S. </t>
  </si>
  <si>
    <t>Guia de DARF/IR referente ao RPA 965 - Adriana Candida de Souza</t>
  </si>
  <si>
    <t>DARF/IR referente ao RPA  937-  Alexandre Augusto Roxo Félix</t>
  </si>
  <si>
    <t>DARF/IR referente ao RPA 924 - André Lodi Rocha</t>
  </si>
  <si>
    <t>Guia de DARF/IR referente ao RPA 925 - Augusto Mário Goulart Pimenta</t>
  </si>
  <si>
    <t>DARF/IR referente ao RPA 963 - Cristiano Cezarino Rodrigues</t>
  </si>
  <si>
    <t>IR referente ao RPA 990 - Paula Libéria Camargos</t>
  </si>
  <si>
    <t>IR referente ao RPA 986 - Paula Ziviani</t>
  </si>
  <si>
    <t>Guia de INSS e INSS Patronal referente ao RPA 965 - Adriana Candida de Souza</t>
  </si>
  <si>
    <t>Guia de INSS e INSS Patronal referente ao RPA 948 - Alberto Gusmão da Silva</t>
  </si>
  <si>
    <t>Guia de INSS e INSS Patronal referente ao RPA 937 -  Alexandre Augusto Roxo Félix</t>
  </si>
  <si>
    <t>Guia de INSS e INSS Patronal referente ao RPA 927 - Angela Peres de Oliveira</t>
  </si>
  <si>
    <t>Guia de INSS e INSS Patronal referente ao RPA 954- Antonio Lincoln Campos De Andrade</t>
  </si>
  <si>
    <t>Guia de INSS e INSS Patronal referente ao RPA 925 - Augusto Mário Goulart Pimenta</t>
  </si>
  <si>
    <t>Guia de INSS e INSS Patronal referente ao RPA 939 - Camila Santos Cardoso</t>
  </si>
  <si>
    <t>Guia de INSS e INSS Patronal referente ao RPA 974 - Camila Santos Cardoso</t>
  </si>
  <si>
    <t>Guia de INSS e INSS Patronal referente ao RPA 933 - Carlos Antonio De Araujo</t>
  </si>
  <si>
    <t>Guia de INSS e INSS Patronal  referente ao RPA Clarice Braga Barbosa Lima</t>
  </si>
  <si>
    <t>Guia de INSS e INSS Patronal referente ao RPA 963 - Cristiano Cezarino Rodrigues</t>
  </si>
  <si>
    <t>Guia de INSS e INSS Patronal referente ao RPA 975 - Daniella Gonçalves Caixeta</t>
  </si>
  <si>
    <t>Guia de INSS e INSS Patronal referente ao RPA 979 - Edna Maria Alves de Oliveira</t>
  </si>
  <si>
    <t xml:space="preserve">Guia de INSS e INSS Patronal referente ao RPA 968 - Evandro Dos Passos Xavier </t>
  </si>
  <si>
    <t>Guia de INSS e INSS Patronal referente ao RPA 934 - Gilberto Amâncio de Almeida</t>
  </si>
  <si>
    <t>Guia de INSS e INSS Patronal referente ao RPA 951 - Irineu Franco Perpetuo</t>
  </si>
  <si>
    <t>Guia de INSS e INSS Patronal referente ao RPA 970 -  Isabele Alves da Silva Guimarães</t>
  </si>
  <si>
    <t>Guia de INSS e INSS Patronal referente ao RPA 947 - Izabel de Fatima Cruz Melo</t>
  </si>
  <si>
    <t>Guia de INSS e INSS Patronal referente ao RPA 932 - Jéssica Lilian De Jesus Schetino</t>
  </si>
  <si>
    <t>Guia de INSS e INSS Patronal referente ao RPA 943 - João Paulo de Freitas Campos</t>
  </si>
  <si>
    <t>Guia de INSS e INSS Patronal referente ao RPA 967 - Juliana Coelho Gontijo</t>
  </si>
  <si>
    <t>Guia de INSS e INSS Patronal referente ao RPA 949 - Juliana Pinto Dos Santos</t>
  </si>
  <si>
    <t>Guia de INSS e INSS Patronal referente ao RPA 940 - Laís  Flor Oliveira</t>
  </si>
  <si>
    <t>Guia de INSS e INSS Patronal referente ao RPA 964 - Lucas Gabriel Ataide da Costa</t>
  </si>
  <si>
    <t>Guia de INSS e INSS Patronal referente ao RPA 956 - Maicon Jefferson Da Cruz</t>
  </si>
  <si>
    <t>Guia de INSS e INSS Patronal referente ao RPA 978 - Mario Jacinto</t>
  </si>
  <si>
    <t>Guia de INSS e INSS Patronal referente ao RPA 938 - Michel De Souza</t>
  </si>
  <si>
    <t>Guia de INSS e INSS Patronal referente ao RPA 985 - Norberto Fernandes Damasceno</t>
  </si>
  <si>
    <t>INSS e INSS Patronal referente ao RPA 990 -  Paula Libéria Camargos</t>
  </si>
  <si>
    <t>INSS e INSS Patronal referente ao RPA 986 - Paula Ziviani</t>
  </si>
  <si>
    <t>Guia de INSS e INSS Patronal referente ao RPA 984 -  Pedrina De Lourdes Santos</t>
  </si>
  <si>
    <t>Guia de INSS e INSS Patronal referente ao RPA 955 - Priscila Lopes Bomfim Muniz</t>
  </si>
  <si>
    <t xml:space="preserve">Guia de INSS e INSS Patronal  referente ao RPA 991 - Raquel Semedo Cabaneco </t>
  </si>
  <si>
    <t xml:space="preserve">Guia de INSS e INSS Patronal referente ao RPA 926 - Robert Avelino Camilo </t>
  </si>
  <si>
    <t>Guia de INSS e INSS Patronal referente ao RPA 950 - Robson Caitano Dos Santos</t>
  </si>
  <si>
    <t>Guia de INSS e INSS Patronal referente ao RPA 935 - Rui Moreira dos Santos</t>
  </si>
  <si>
    <t>Guia de INSS e INSS Patronal referente ao RPA 953 - Sarah Higino Vives</t>
  </si>
  <si>
    <t>Guia de INSS e INSS Patronal referente ao RPA 941 - Tiffany Maria Almeida de Castro</t>
  </si>
  <si>
    <t xml:space="preserve">Guia de INSS e INSS Patronal refefente ao RPA 924 - André Lodi Rocha </t>
  </si>
  <si>
    <t>IR retido folha do mês 11/2020</t>
  </si>
  <si>
    <t>IR retido em férias</t>
  </si>
  <si>
    <t>IR retido 13º salário</t>
  </si>
  <si>
    <t>Guia de INSS referente a nota fiscal 2020/56 - Logus Protection Patrimonial LTDA</t>
  </si>
  <si>
    <t>Guia de INSS referente a nota fiscal 2020/48 - Unicusto Limpeza Em Eventos Ltda</t>
  </si>
  <si>
    <t>Guia de INSS referente a nota fiscal 2020/47 - Unicusto Limpeza Em Eventos Ltda</t>
  </si>
  <si>
    <t>INSS retido dos funcionários, referente a folha de pagamento do mês 12/2020</t>
  </si>
  <si>
    <t>Inss Patronal referente ao mês 12/2020</t>
  </si>
  <si>
    <t>Compra de HD externo de 2 teras. Compra de HD externo para arquivo das palestras, aulas, webinários e apresentação do Recital de encerramento da Temporada de Ópera online 2020.</t>
  </si>
  <si>
    <t>10.389.905/0001-34</t>
  </si>
  <si>
    <t>000.037.495</t>
  </si>
  <si>
    <t>DARF/IR referente ao RPA 988 - Ana dos Anjos Camarano Cardoso</t>
  </si>
  <si>
    <t>DARF/IR referente ao RPA 989 - Lígia Pawlow de Paula</t>
  </si>
  <si>
    <t>DARF/IR referente ao RPA 966 - Maria Izabel Correa De Oliveira</t>
  </si>
  <si>
    <t>DARF/IR referente ao RPA 957 - Vaneli Waleske Falci Carvalho Silva</t>
  </si>
  <si>
    <t>Guia de INSS e INSS Patronal referente ao RPA 988 - Ana dos Anjos Camarano Cardoso</t>
  </si>
  <si>
    <t>Guia de INSS e INSS Patronal referente ao RPA 989 -  Ligia Pawlow de Paula</t>
  </si>
  <si>
    <t xml:space="preserve">Guia de INSS e INSS Patronal referente ao RPA 976 - Maíra Campos de  Freitas </t>
  </si>
  <si>
    <t>Guia de INSS e INSS Patronal referente ao RPA 966 - Maria Izabel Correa De Oliveira</t>
  </si>
  <si>
    <t>Guia de INSS e INSS Patronal referente ao RPA 957 - Vaneli Waleske Falci Carvalho Silva</t>
  </si>
  <si>
    <t>DARF/IR referente a nota fiscal 2020/1589 - Krypton Serviços Contábeis S. S</t>
  </si>
  <si>
    <t>Guia de INSS e INSS Patronal referente ao RPA 945 - Cintya Juliana Souza Santos Dias</t>
  </si>
  <si>
    <t>INSS e INSS patronal  referente ao RPA 944 - Junia Pertence Barbosa Santos</t>
  </si>
  <si>
    <t xml:space="preserve">Guia de INSS e INSS Patronal referente ao RPA 977 - Marco Tulio de Sousa Ulhoa </t>
  </si>
  <si>
    <t>DARF/IR referente ao RPA 944 - Junia Pertence Barbosa Santos</t>
  </si>
  <si>
    <t xml:space="preserve">DARF/IR referente ao RPA 977 - Marco Tulio de Sousa Ulhoa </t>
  </si>
  <si>
    <t>Direito de exibição do filme "Assiste meu sucesso + Faces", de Bixarte, |2020, para a programação do 22º FestCurtas BH. Processo 926</t>
  </si>
  <si>
    <t>Emanuel Felipe Mendes Moreira</t>
  </si>
  <si>
    <t>709.831.504-43</t>
  </si>
  <si>
    <t>Contratação de debatedor para a mesa de debate"Perceber a forma de outras vidas, perceber a vida de outras formas" que integra a programação do 22º Festcurtas BH. Processo 1079</t>
  </si>
  <si>
    <t xml:space="preserve"> Wellington Cancado Coelho</t>
  </si>
  <si>
    <t xml:space="preserve">921.084.746-68
</t>
  </si>
  <si>
    <t>Palestra/ mediação para o Webnário Artes Afirmativas "Ancestralidades: ressignificação da história, arte e cultura negra para a construção de 300 anos de Minas Gerais" .O evento acontece nos dias 20 a 22 de novembro e será 100% virtual.O Webnário Artes Afirmativas "Ancestralidades: ressignificação da história, arte e cultura negra para a construção de 300 anos de Minas Gerais" reconhece a riqueza e a importância da Cultura Negra no processo de consolidação de uma sociedade diversa e plural. E é um pouco desse legado que será exposto nesse encontro virtual. Serão 3 dias com mesas redondas e oficinas debatendo e reconhecendo o papel da cultura negra para Minas.</t>
  </si>
  <si>
    <t xml:space="preserve"> Elissandra Flávia  Santos 03407482655</t>
  </si>
  <si>
    <t>22.984.077/0001-86</t>
  </si>
  <si>
    <t>Contratação de link dedicado de Internet para transmissão do espetáculo de teatro com as seguintes especificações:Link Dedicado 50MbFull Duplex Cabeado,Wi-fi em 6 ambientes.Fornecimento de IPs fixos e válidosEsta instalação será realizada no Palacete Dantas, localizado à praça da Liberdade, 312, BH/MG. Apresentações são ações didático-pedagógicas que permitam aos alunos a percepção e a vivência da dinâmica entre o espaço de apresentação, o público, e a atuação - elementos fundamentais para a formação artística. Em função da ocorrência da pandemia de CoronaVírus, os espetáculos presenciais estão proibidos devido aos decretos municipais que determinaram o fechamento de espaços públicos. Por esta razão, esta montagem será feita e transmitida por Internet.</t>
  </si>
  <si>
    <t xml:space="preserve">05.021.797/0001-27
</t>
  </si>
  <si>
    <t>Tarifa Bancária referente a transferência eletrônica pagamento fornecedor:   Elissandra Flávia  Santos 03407482655 - Processo: 878</t>
  </si>
  <si>
    <t>Tarifa Bancária referente a transferência eletrônica pagamento fornecedor:  Aloltech Telecom Ltda  - Processo: 1256</t>
  </si>
  <si>
    <t>Contratação de um profissional para edição de vídeos, realização de lives e webinários. Serviços previstos para 90 dias, a contar da assinatura do contrato.Com a necessidade de interromper as ações presenciais e com demanda por edição de vídeos e realização de lives e webinários, sendo essas ferramentas que, atualmente, a FCS mantém a comunicação com o seu público, faz-se necessário a contratação de um profissional da área para dar agilidade às ações. Como o palco das atividades artísticas do Palácio das Artes tem sido os meios digitais nesse momento de isolamento social, é preciso um profissional que possa garantir maior qualidade no produto final disponibilizado nas redes sociais da FCS. Além disso, esse profissional deverá também ter experiência em filmagem. Possivelmente, será necessário registrar os possíveis eventos dos Corpos Artísticos no Grande Teatro, sem plateia, para exibição nos meios</t>
  </si>
  <si>
    <t xml:space="preserve"> Marco Tulio de Sousa Ulhoa </t>
  </si>
  <si>
    <t>069.830.266-56</t>
  </si>
  <si>
    <t xml:space="preserve">Contratação de um designer gráfico e/ou produtor editorial, com experiência comprovada na área. Os serviços serão inicialmente por 90 dias, a partir da assinatura do contrato.Com a necessidade de interromper as ações presenciais as demandas do Núcleo de Design (criação gráfica/web) aumentou consideravelmente. Para tanto, faz-se necessário a contratação de um profissional para apoio as ações dos projetos, imediata e em caráter emergencial, para suprir a crescente demanda de peças gráficas e web. Processo 395
</t>
  </si>
  <si>
    <t xml:space="preserve"> Lígia Pawlow de Paula</t>
  </si>
  <si>
    <t>063.658.616-21</t>
  </si>
  <si>
    <t>Contratação de profissional para analista de mídia. Os serviços serão inicialmente para 90 dias, a contar da assinatura do contrato.Com a necessidade de interromper as ações presenciais, o processo de transformação digital da FCS também foi acelerado. Assim, o Núcleo de Mídias Digitais passou a ter novas demandas, para melhor se adequar às exigências do mercado. Para que o setor cumpra às demandas de todos os projetos sob responsabilidade é necessária a contratação, imediata e em caráter emergencial, de um o Analista de Mídias Sociais Jr. Esse profissional será imprescindível para que consigamos planejar novos projetos e implantar a transformação digital que estamos construindo nesse momento. Processo 398</t>
  </si>
  <si>
    <t>Ana dos Anjos Camarano Cardoso</t>
  </si>
  <si>
    <t>049.086.615-88</t>
  </si>
  <si>
    <t xml:space="preserve">Reembolso de juros e multa referente a DARF/IR  nota fiscal 2020/1530 -Krypton Serviços Contábeis S. S.   </t>
  </si>
  <si>
    <t>Reembolso de juros e multa referente DARF/PCC nota fiscal 2020/3484 - Samba Mobile Multimídia S/A</t>
  </si>
  <si>
    <t xml:space="preserve">Reembolso de juros e multa referente PCC nota fiscal 2020/20 - Cub3 Inteligência Web Ltda </t>
  </si>
  <si>
    <t>Registro fotográfico das 04 exposições que integram o Prêmio Décio Noviello de Artes Visuais e Fotografia 2020. As fotos deverão ser realizadas nos dias 21 e 22 de dezembro e a entrega das fotos até o dia 04 de janeiro, tratadas e em alta qualidade. Descritivo de obras para fotografar em cada exposição anexo ao processo.O Prêmio Décio Noviello é o edital da FCS que seleciona projetos em Artes Visuais e Fotografia para ocupação das galerias Arlinda Corrêa Lima e Genesco Murta (Palácio das Artes) e dos espaços expositivos do CamaraSete - Casa da Fotografia de Minas Gerais. Faz-se necessário registro fotográfico das exposições selecionadas pelo edital 2020 e estão em período expositivo nas galerias Arlinda Correa Lima e Genesco Murta, no Palacio das Artes, e na Camerasete - Casa da Fotografia de Minas Gerais, para posterior confecção do catalogo das mostras.</t>
  </si>
  <si>
    <t>Daniela Tavares Paoliello 07731733661</t>
  </si>
  <si>
    <t>17.987.624/0001-47</t>
  </si>
  <si>
    <t>Pagamentode direito autoral do texto, "O cinema operário e feminista de Carole Roussopoulos", de Julia Fagioli, para publicação em site e catálogo do 22º Festcurtas BH.O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</si>
  <si>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Júlia Gonçalves Declie Fagioli</t>
  </si>
  <si>
    <t>077.107.996-63</t>
  </si>
  <si>
    <t>Vale transporte para os funcionários a serviço do Contrato de Gestão para uso em 02/2021</t>
  </si>
  <si>
    <t>04.398.505/0001-07</t>
  </si>
  <si>
    <t>2021/13825</t>
  </si>
  <si>
    <t xml:space="preserve">PCC referente a nota fiscal 2020/20 - Cub3 Inteligência Web Ltda </t>
  </si>
  <si>
    <t xml:space="preserve">DARF/IR referente a nota fiscal 2020/1530 -Krypton Serviços Contábeis S. S.   </t>
  </si>
  <si>
    <t>DARF/PCC referente a nota fiscal 2020/3484 - Samba Mobile Multimídia S/A</t>
  </si>
  <si>
    <t>Limpeza da caixa d´agua do Palacete Dantas.O 3 ano (teatro manhã) está ocupando o Palacete Dantas para montagem de espetáculo e a instalação hidráulica do local está com alguns problemas. A FCS já forneceu técnicos para cuidar dessas questões. Só falta limpar e lavar a caixa d'água para terminar a manutenção, mas esse serviço não é realizado pelos técnicos da FCS. Assim torna-se necessário a contratação de uma pessoa externa.</t>
  </si>
  <si>
    <t>Claudionor Silva Dos Reis</t>
  </si>
  <si>
    <t>000.791.686-80</t>
  </si>
  <si>
    <t>Tarifa Bancária referente a transferência eletrônica pagamento fornecedor:  Claudionor Silva Dos Reis  - Processo: 1255</t>
  </si>
  <si>
    <t>Tarifa Bancária referente a transferência eletrônica pagamento fornecedor: Alberto Gusmão Da Silva  - Processo: 1012</t>
  </si>
  <si>
    <t xml:space="preserve"> Reembolso recebido referente multa do pagamento em atraso do DARF PCC NF 20201529 - Krypton</t>
  </si>
  <si>
    <t xml:space="preserve">Associação Pró-Cultura e Promoção das Artes </t>
  </si>
  <si>
    <t>PCC REF. NF-e 2020/1529 KRYPTON SERVIÇOS</t>
  </si>
  <si>
    <t>Contratação de Apoio na preparação de documentos e serviços de apoio administrativo para promoção, edição e acompanhamento junto ao setor de projetos referentes às metas de aprovação de projetos nas leis de incentivo à cultura. Processo 1239</t>
  </si>
  <si>
    <t>Heider Carlo Rezende 07184223683</t>
  </si>
  <si>
    <t>Reembolso realizado pelo Termo de Parceria 50/2020 - IEPHA referente ao percentual (21,10% do valor total ) aluguel de PABX da sede da Appa- mês 12/2020</t>
  </si>
  <si>
    <t>Pagamento de direito autoral do texto, "Essas insubmissas companheiras de luta: notas sobre S.C.U.M. Manifesto (1976)", de Carla Italiano, para publicação em site e catálogo do 22º Festcurtas BH.O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</si>
  <si>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 xml:space="preserve"> Carla Alice Apolinario Italiano 34371526888</t>
  </si>
  <si>
    <t>16.914.419/0001-99</t>
  </si>
  <si>
    <t>Transferência para Conta Reserva referente aos rendimentos de aplicações financeiras do mês 12/2020</t>
  </si>
  <si>
    <t>Associação Pró-Cultura e Promoção das Artes (Conta Reserva -Contrato de Gestão 005/2019)</t>
  </si>
  <si>
    <t>Pagamento de direito autoral do texto, "A dança engajada entre a rua e o rosto", de Carol Almeida, para publicação em site e catálogo do 22º Festcurtas BH.O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</si>
  <si>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 xml:space="preserve"> Ana Caroline De Almeida</t>
  </si>
  <si>
    <t>026.977.794-69</t>
  </si>
  <si>
    <t>Cofins referente aos rendimentos de aplicações financeiras do mês 12/2020</t>
  </si>
  <si>
    <t>PIS referente a folha do mês 12/2020</t>
  </si>
  <si>
    <t>Internet Móvel  - Conta: 0362806069</t>
  </si>
  <si>
    <t>Consumo de água e esgosto referente ao mês 01/2021</t>
  </si>
  <si>
    <t>Pagamento conta água</t>
  </si>
  <si>
    <t>001.2101834109-7</t>
  </si>
  <si>
    <t>PIS referente ao 13º salário</t>
  </si>
  <si>
    <t>Contratação de empresa de Telecomunicação para locação e suporte em PABX utilizado pelos colaboradores da APPA em atendimento às demandas. Contratação de uma empresa para a locação e suporte técnico em Central telefônica PABX, com aparelho digital. Tal contratação faz-se necessária para atendimento dos colaboradores e compreende a disponibilidade de central para 06 linhas analógicas, 32 ramais e 01 aparelho digital para os mesmos. A locação será aditivada nas mesmas condições comerciais.</t>
  </si>
  <si>
    <t>Fatura Locação</t>
  </si>
  <si>
    <t>Solicitamos uma lista de materiais para o desenvolvimento do projeto de caracterização e maquiagem da Montagem do Teatro, noite, que acontecerá no espaço Palacete Dantas e será transmitido pela internet. Os materiais solicitados estão em lista anexa. Apresentações são ações didático-pedagógicas que permitam aos alunos a percepção e a vivência da dinâmica entre o espaço de apresentação, o público, e a atuação - elementos fundamentais para a formação artística. A caracterização e a maquiagem dos atores é parte integrante e importante da estória a ser contada e pode ajudar a explicar detalhes do que estiver sendo encenado naquele momento.</t>
  </si>
  <si>
    <t>Distribuidora Jcf Variedades Eireli</t>
  </si>
  <si>
    <t xml:space="preserve">23.633.105/0001-83
</t>
  </si>
  <si>
    <t>Látex Natural Pré-Vulcanizado - 1L-Indicado para produção de artigos por imersão ou pincelamento, em moldes pré-aquecidos ou não, para a produção de máscaras, luvas, bonecos, chupetas, toucas de natação, etc. Pode também ser usado na moldagem de peças diversas em moldes de gesso (positivos ou negativos) sem uso de contra moldes, sendo que a espessura da película pode ser controlada por deposição de camadas ou pela porosidade e tempo de contato com o gesso.</t>
  </si>
  <si>
    <t xml:space="preserve">
Siquiplas Industria E Comercio De Produtos Para Artesanatos Ltda.</t>
  </si>
  <si>
    <t>55.715.767/0001-99</t>
  </si>
  <si>
    <t>000.030.353</t>
  </si>
  <si>
    <t>Tarifa Bancária referente a transferência eletrônica pagamento fornecedor:    Ana Caroline De Almeida  - Processo: 1000</t>
  </si>
  <si>
    <t xml:space="preserve">Tarifa Bancária referente a transferência eletrônica pagamento fornecedor:    TMS Telecomunicações Ltda  </t>
  </si>
  <si>
    <t>Pagamento de cachê de ator para a realização da performance audiovisual inédita "Papiamento" (2020), no 22º FestCurtasBH.</t>
  </si>
  <si>
    <t xml:space="preserve"> Felipe Baptista Soares 01616818670</t>
  </si>
  <si>
    <t>23.036.907/0001-06</t>
  </si>
  <si>
    <t xml:space="preserve"> E-mail marketing IV</t>
  </si>
  <si>
    <t>Locaweb Serviços de Internet S.A</t>
  </si>
  <si>
    <t>Contratação de profissional para compor a Comissão de Seleção de Filmes Internacionais do 22º Festcurtas BH a ser realizado de 23 a 30 de outubro de 2020. Processo 849</t>
  </si>
  <si>
    <t xml:space="preserve">Leonardo Mont Alverne Camara 06069213386
</t>
  </si>
  <si>
    <t>29.627.912/0001-70</t>
  </si>
  <si>
    <t>Contratação de debatedora para a mesa de debate"Cinema militante de mulheres, com mulheres" que integra a programação do 22º Festcurtas BH. Processo 1080</t>
  </si>
  <si>
    <t xml:space="preserve"> Amaranta Emília César Dos Santos</t>
  </si>
  <si>
    <t>885.747.335-04</t>
  </si>
  <si>
    <t>Direito Autoral da obra site specific "Retrato de Maria". Processo 1278</t>
  </si>
  <si>
    <t>Artemis Garrido Dias</t>
  </si>
  <si>
    <t xml:space="preserve">052.485.725-33
</t>
  </si>
  <si>
    <t xml:space="preserve"> Afinação de pianos - Processo 1112</t>
  </si>
  <si>
    <t>Guido Odilon Franco 29373891634</t>
  </si>
  <si>
    <t>Pagamento de direito autoral para publicação do texto, "Em meio ao abismo do não-saber Genet parle d’Angela Davis (1971), de Carole Roussopoulos", de Lorenna Rocha, em site e catálogo do 22º Festcurtas BH.O FestCurtas BH é um evento de grande extensão realizado anualmente no Cine Humberto Mauro e para a realização da 22ª edição no ano de 2020, faz-se necessária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</si>
  <si>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Lorenna Rocha Da Silva</t>
  </si>
  <si>
    <t>26.493.894/0001-92</t>
  </si>
  <si>
    <t>Pagamentode direito autoral do texto, "Onde fica o coração da multidão?", de Ingá, para publicação em site e catálogo do 22º Festcurtas BH.O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</si>
  <si>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 xml:space="preserve"> Ingá Maria Lima Patriota</t>
  </si>
  <si>
    <t>117.703.654-19</t>
  </si>
  <si>
    <t>Produção executiva para a Montagem da turma da noite. As montagens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Cenário, figurino, projeto de iluminação e sonorização são concebidos de forma coletiva, a partir de intervenções dos próprios alunos, diretor convidado, professores do curso e coordenador.</t>
  </si>
  <si>
    <t>Paula Libéria Camargos</t>
  </si>
  <si>
    <t>126.615.086-27</t>
  </si>
  <si>
    <t>Tarifa Bancária referente a transferência eletrônica pagamento fornecedor:    Paula Libéria Camargos - Processo: 770</t>
  </si>
  <si>
    <t>Imposto de Renda referente aos rendimentos de aplicações financeiras do mês 01/2021</t>
  </si>
  <si>
    <t>IOF referente aos rendimentos de aplicações financeiras do mês 01/2021</t>
  </si>
  <si>
    <t>Contratação de suporte TI para utilização das ferramentas do G Suite - ano 2021.O serviço de suporte G Suite faz o acompanhamento em tempo real do desempenho dos produtos da Google e a intervenção imediata em caso de dúvida ou eventualidade.</t>
  </si>
  <si>
    <t xml:space="preserve">Valor referente a Medicina do Trabalho do mês 01/2021 - PPRA </t>
  </si>
  <si>
    <t>2021/376</t>
  </si>
  <si>
    <t>Valor referente a Medicina do Trabalho do mês 01/2021- PCMSO</t>
  </si>
  <si>
    <t>2021/662</t>
  </si>
  <si>
    <t>Contratação de 12 diárias para transporte para alunos da montagem noite para o local de ensaios, devido a questões de falta de segurança sanitária (Covid-19) no transporte público -A van deverá pegar os alunos em suas casas e leva-los ao Palacete Dantas no endereço:Praça da Liberdade, 312 - Funcionários, Belo Horizonte. E ao final da manha, leva-los de volta. Parcela 01</t>
  </si>
  <si>
    <t>Ana Helena De Sousa Campos</t>
  </si>
  <si>
    <t>Compra de Kit de filmagens para montar o Estúdio Cefart. Nele serão gravadas as aulas abertas e algumas atividades artísticas. Itens: kit iluminação, 1 Iluminador ring light com suporte.A necessidade do registro em foto/vídeo dos cursos regulares das escolas têm função pedagógica no processo formativo dos egressos do Cefart. Faz-se necessário assegurar a qualidade acadêmica e o bom atendimento escolar do corpo discente, por meio de serviços educacionais como o solicitado neste processo,</t>
  </si>
  <si>
    <t>17.227.448/0001-45</t>
  </si>
  <si>
    <t>Pagamento frete referente compra de Kit de filmagens para montar o Estúdio Cefart.</t>
  </si>
  <si>
    <t xml:space="preserve">Contratação de profissional para ministrar o Curso Complementar "A Dança através do Método Klauss Vianna" com carga horária de 12h nas dependências da Fundação Clóvis Salgado. O curso acontecerá entre os dias 10 e 26 de março de 2020.Faz-se necessária a contratação de um profissional para lecionar o Curso Complementar "A Dança através do Método Klauss Vianna". O curso terá carga horária total de 12h, nas dependências da Fundação Clóvis Salgado.                         
                         </t>
  </si>
  <si>
    <t xml:space="preserve"> Maria Izabel dos Santos Costa</t>
  </si>
  <si>
    <t>200.173.836-68</t>
  </si>
  <si>
    <t xml:space="preserve">Uso de telefone fixo - Embratel </t>
  </si>
  <si>
    <t>Embratel</t>
  </si>
  <si>
    <t>33.530.486/0001-29</t>
  </si>
  <si>
    <t>18.601.527/0001-37</t>
  </si>
  <si>
    <t xml:space="preserve"> Junia Pertence Barbosa Santos</t>
  </si>
  <si>
    <t>Contratação de profissional (trafego) para organização das demandas alinhadas à Assessora de Comunicação, sendo: planejar, organizar, setorizar as ações, definir prioridades, acompanhar prazos e entregas referente aos Projetos. Obrigatória experiência com planilhas de Excel e pacote Office.Contratação de um profissional para as demandas administrativas e operacional da parte de Comunicação dos Projetos (Trafego). Este profissional é essencial para a organização das demandas alinhadas à Assessora de Comunicação, sendo: planejar, organizar, setorizar as ações, definir prioridades, 918</t>
  </si>
  <si>
    <t>Maria Izabel Correa De Oliveira</t>
  </si>
  <si>
    <t>060.850.036-41</t>
  </si>
  <si>
    <t>Reembolso através da conta do Termo de Parceria 50/2020 referente a contratação de profissional para apoio ao setor financeiro da Appa, em especial, na parte de Departamento Pessoal. 19,34% do valor total</t>
  </si>
  <si>
    <t>Reembolso através da conta do Termo de Parceria 50/2020 referente a contratação de empresa de setor administrativo especializada em entidades do terceiro setor  19,34% do valor total</t>
  </si>
  <si>
    <t>Palestra para o Webseminar Webnário Artes Afirmativas "Ancestralidades: ressignificação da história, arte e cultura negra para a construção de 300 anos de Minas Gerais" O evento acontece nos dias 20 a 22 de novembro e será 100% virtual.O Webnário Artes Afirmativas "Ancestralidades: ressignificação da história, arte e cultura negra para a construção de 300 anos de Minas Gerais" reconhece a riqueza e a importância da Cultura Negra no processo de consolidação de uma sociedade diversa e plural. E é um pouco desse legado que será exposto nesse encontro virtual. Serão 3 dias com mesas redondas e oficinas debatendo e reconhecendo o papel da cultura negra para Minas.</t>
  </si>
  <si>
    <t>Napele Produções Artísticas Ltda. - ME</t>
  </si>
  <si>
    <t>08.686.004/0001-87</t>
  </si>
  <si>
    <t>Serviço de manutenção e adaptação de layout e programação da plataforma online cinehumbertomauroMAIS.com.br para a realização da mostra "Cinema e Ópera: diálogos".</t>
  </si>
  <si>
    <t xml:space="preserve"> Diego Júnio Costa De Oliveira Neves</t>
  </si>
  <si>
    <t>Serviço de Edição de Livro para o 22º FestCurtasBH. O Festcurtas BH é um evento de grande extensão realizado anualmente no Cine Humberto Mauro e para a realização da 22ª edição no ano de 2020, faz-se necessária a contratação de um profissional de Edição de Livros, para realizar os trabalhos relativos à edição, organização, e acompanhamento da pesquisa e aquisição de textos inéditos e não-inéditos, para a publicação do catálogo-livro anual do festival.</t>
  </si>
  <si>
    <t>Maria Luiza Luz Alves Mendonca 14841323600</t>
  </si>
  <si>
    <t>Contratação de profissional para apoio ao setor financeiro da Appa, em especial, na parte de Departamento Pessoal.Faz-se necessária a contratação de profissional para apoiar o setor financeiro da Appa, em especial ao Departamento de Pessoal, como acompanhamento do ponto, preenchimento de planilhas de benefícios, preenchimento de planilhas de co-participação no plano de saúde, acompanhamento no programa de capacitação da Appa, treinamentos, interlocução com a equipe e elaboração de editais e acompanhamento nas contratações.</t>
  </si>
  <si>
    <t>Impressão de material gráfico e encadernações.az-se necessária a impressão de materiais ligados ao Contrato de Gestão 05/2019 com a Fundação Clóvis Salgado.</t>
  </si>
  <si>
    <t>Serviço de criação e operação de uma plataforma de streaming, que possibilite a exibição dos filmes selecionados pelo festival, incluindo a manutenção e gestão da plataforma durante o período de realização do evento, de acordo com a grade de programação definida e apresentada pela coordenação e curadoria do festival. O serviço engloba todos os gastos e despesas com armazenamento, servidores, e afins, para um volume médio de 100 filmes. A plataforma possui uma estrutura específica, criada e programada a partir das determinações da Gerência de Cinema, resultando em uma programação criptografada, segura e exclusiva. Desta forma, o processo deverá ser feito por inexigibilidade.O Festcurtas BH é um evento de grande extensão realizado anualmente no Cine Humberto Mauro e para a realização da 22ª edição no ano de 2020, faz-senecessário acontratação de um profissional de webdesign para manutenção, alimentação e reformulação do website oficial do eventoo desenvolvimento de uma plataforma exclusiva para abrigar as ações do FestCurtasBH online, intitulada de cineHumbertoMauroMAIS.</t>
  </si>
  <si>
    <t xml:space="preserve"> Leben 108 Produtora De Filmes Ltda</t>
  </si>
  <si>
    <t>Serviço de manutenção e adaptação de layout e programação da plataforma cinehumbertomauroMAIS.com.br para a realização da mostra "Cinema e Patrimônio Histórico em Minas Gerais".</t>
  </si>
  <si>
    <t>Tarifa Bancária referente a transferência eletrônica pagamento fornecedor:  Thales Henrique Vieira Sabino 09440374616 - Processo:1136</t>
  </si>
  <si>
    <t>Tarifa Bancária referente a transferência eletrônica pagamento fornecedor:  Patrícia Cláudia Pereira Lima Bernardi 03978862689 - Processo: 1135</t>
  </si>
  <si>
    <t>Tarifa Bancária referente a transferência eletrônica pagamento fornecedor: Leben 108 Produtora De Filmes Ltda - Processo: 942</t>
  </si>
  <si>
    <t>Tarifa Bancária referente a transferência eletrônica pagamento fornecedor:  Diego Júnio Costa De Oliveira Neves- Processo: 1137</t>
  </si>
  <si>
    <t>Tarifa Bancária referente a transferência eletrônica pagamento fornecedor: Rosa De Areia Produções Ltda - Processo: 891</t>
  </si>
  <si>
    <t>Tarifa Bancária referente a transferência eletrônica pagamento fornecedor: Maria Luiza Luz Alves Mendonca 14841323600 - Processo: 1235</t>
  </si>
  <si>
    <t>Tarifa Bancária referente a transferência eletrônica pagamento fornecedor:  Arco Cultural Ltda - Processo: 1191</t>
  </si>
  <si>
    <t xml:space="preserve">Nota fiscal </t>
  </si>
  <si>
    <t>Tarifa Bancária referente a transferência eletrônica pagamento fornecedor:   Mylene Youssef A Vieira - Produções E Eventos Epp - Processo: 1269</t>
  </si>
  <si>
    <t>Tarifa Bancária referente a transferência eletrônica pagamento fornecedor:  Lucas Alexandre Teixeira 13035532605 - Processo: 1268</t>
  </si>
  <si>
    <t>Tarifa Bancária referente a transferência eletrônica pagamento fornecedor:  Ivete Maria De Oliveira 76363481600 - Processo: 1275</t>
  </si>
  <si>
    <t xml:space="preserve"> Soares Rocha</t>
  </si>
  <si>
    <t>Contratação de profissional Revisor(a) de Textos e conteúdo gráfico e web para revisão das peças web.Contratação de um Revisor (a) de Textos e conteúdo gráfico e web para suprir a grande demanda de peças web de toda a produção do projeto Palácio em Sua Companhia. 917</t>
  </si>
  <si>
    <t>Contratação de empresa para realizar serviço de clipping impresso e online (pesquisa e relatório), conforme especificações a seguir:-Coleta de clipping referenteao período de janeiro a julho de 2020e envio de relatório referentea esse período em 15 de agosto de 2020.-Coleta de clippinge envio de relatório mensal, de setembro adezembro de 2020.
Dentre os serviços propostos estão: Coletar, organizar, quantificar e valorar a cobertura dos veículos de acerca da Fundação Clóvis Salgado, equipamentos culturais, corpos artísticos (Cia. de Dança Palácio das Artes, Coral Lírico de Minas Gerais e Orquestra Sinfônica de Minas Gerais) e suas respectivas atividades / eventos. 355</t>
  </si>
  <si>
    <t>Oliveira Andrade Serviços de Monitoramento de Informações LTDA</t>
  </si>
  <si>
    <t>2020/653</t>
  </si>
  <si>
    <t>Contratação de profissional para compor a Comissão de Seleção de Filmes Nacionais do 22º Festcurtas BH a ser realizado de 23 a 30 de outubro de 2020.  Proocesso 847</t>
  </si>
  <si>
    <t xml:space="preserve"> Ponta De Areia Ltda. - Me</t>
  </si>
  <si>
    <t>23.280.146/0001-33</t>
  </si>
  <si>
    <t>Reembolso realizado pelo Termo de Parceria 50/2020 - IEPHA referente ao percentual (21,74% do valor total ) assessoria contábil para o Contrato de Gestão e Termo de Parceria referente ao mês 01/2021</t>
  </si>
  <si>
    <t xml:space="preserve">Reembolso realizado pelo Termo de Parceria 50/2020 - Iepha referente ao uso de telefone fixo da sede da Appa - consumo do mês 01/2021 - Percentual de  28,57% do valor total </t>
  </si>
  <si>
    <t xml:space="preserve">Reembolso realizado pelo Termo de Parceria 50/2020 - Iepha referente  aquisição de sistema de ponto para utilização pelos colaboradores a serviço do Contrato de Gestão e Termo de Parceria - mês 01/2021 - Percentual de  19,34% do valor total . </t>
  </si>
  <si>
    <t>Reembolso realizado pelo Termo de Parceria 50/2020 - IEPHA referente ao percentual (21,98% do valor total ) assessoria jurídica para o Contrato de Gestão e Termo de Parceria referente ao mês 01/2021</t>
  </si>
  <si>
    <t>Assessoria juridica mês 01/2021</t>
  </si>
  <si>
    <t>Salário do Superintendente de Auditoria referente ao mês 01/2021</t>
  </si>
  <si>
    <t>Salário da Analista Financeiro Pleno referente ao mês 01/2021</t>
  </si>
  <si>
    <t>Salário do Montador referente ao mês 01/2021</t>
  </si>
  <si>
    <t>Salário do Coordenador de Comunicação referente ao mês 01/2021</t>
  </si>
  <si>
    <t>Salário do Gerente de Projetos referente ao mês 01/2021</t>
  </si>
  <si>
    <t>Salário do Diretor Financeiro referente ao mês 01/2021</t>
  </si>
  <si>
    <t>Salário da Produtora Cultural referente ao mês 01/2021</t>
  </si>
  <si>
    <t>Salário da Auxiliar de serviços Gerais referente ao mês 01/2021</t>
  </si>
  <si>
    <t xml:space="preserve">Guia de ISSQN referente a nota fiscal 171 -Christoffer Produções Artísticas LTDA </t>
  </si>
  <si>
    <t>Guia de ISSQN referente ao RPA 992 - Paula Libéria Camargos</t>
  </si>
  <si>
    <t>Guia de ISSQN referente ao RPA 993 -  Raquel Castro De Souza</t>
  </si>
  <si>
    <t xml:space="preserve">Guia de ISSQN referente ao RPA 995 - Augusto Mário Goulart Pimenta </t>
  </si>
  <si>
    <t>Guia de ISSQN referente ao RPA 996 -  Robert Avelino Camilo</t>
  </si>
  <si>
    <t xml:space="preserve">Guia de ISSQN referente ao RPA 997 - Andre Lodi Rocha </t>
  </si>
  <si>
    <t>Guia de ISSQN referente ao RPA 998 - Alexandre Augusto Roxo Félix</t>
  </si>
  <si>
    <t>Guia de ISSQN referente ao RPA 1000 - Camila Santos Cardoso</t>
  </si>
  <si>
    <t>Guia de ISSQN referente ao RPA 1007 - Valciene Ribeiro De Farias</t>
  </si>
  <si>
    <t>Guia de ISSQN referente ao RPA 1008 - Angela Peres de Oliveira</t>
  </si>
  <si>
    <t>Guia de ISSQN referente ao RPA 1012 - Pâmella de Oliveira Rosa</t>
  </si>
  <si>
    <t>Guia de ISSQN referente ao RPA 1017 - Isabel Casimira Gasparino</t>
  </si>
  <si>
    <t>Guia de ISSQN referente ao RPA 1018 - Ana Gabi Sousa Novais</t>
  </si>
  <si>
    <t>Guia de ISSQN referente ao RPA 1020 -  Brenno Theotonio De Castro</t>
  </si>
  <si>
    <t>Guia de ISSQN referente ao RPA 1026 - Maria Mazarello Rodrigues</t>
  </si>
  <si>
    <t xml:space="preserve">Guia de ISSQN referente ao RPA 1027  -  Mateus Araujo Silva </t>
  </si>
  <si>
    <t xml:space="preserve">Guia de ISSQN refernte ao RPA 1031 - Marco Túlio Zertolini da Silva </t>
  </si>
  <si>
    <t>Guia de ISSQN referente ao RPA 1034 - Camila Santos Cardoso</t>
  </si>
  <si>
    <t>Guia de ISSQN referente ao RPA 1035 - Laís  Flor Oliveira</t>
  </si>
  <si>
    <t>Guia de ISSQN referente ao RPA 1036 - Tiffany Maria Almeida de Castro</t>
  </si>
  <si>
    <t>Guia de ISSQN referente ao RPA 1038 - Maicon Jefferson Da Cruz</t>
  </si>
  <si>
    <t>Guia de ISSQN referente ao RPA 1040 -  Claudionor Silva Dos Reis</t>
  </si>
  <si>
    <t>Guia de ISSQN referente ao RPA 1043 - Alberto Gusmão Da Silva</t>
  </si>
  <si>
    <t>Guia de ISSQN referente a nota fiscal 2021/1  - Arco Cultura Ltda - ME</t>
  </si>
  <si>
    <t>Guia de ISSQN referente a nota fiscal 2021/1 - Elisete Gomes Joaquim de Oliveira-ME</t>
  </si>
  <si>
    <t>Guia de ISSQN referente a nota fiscal 2021/1 - Translevar Mudanças Ltda</t>
  </si>
  <si>
    <t>Guia de ISSQN referente a nota fiscal 2021/1 - Ima Conteudo E Estrategia Ltda</t>
  </si>
  <si>
    <t>Guia de ISSQN referente a nota fiscal 2021/1 - Mylene Youssef A. Vieira - Produções e Eventos</t>
  </si>
  <si>
    <t>Guia de ISSQN referente a nota fiscal 2021/1 -  Produções Grãos Da Imagem Ltda</t>
  </si>
  <si>
    <t>Guia de ISSQN referente a nota fiscal 2021/1 - Ana Helena de Sousa Campos</t>
  </si>
  <si>
    <t>Guia de ISSQN referente a nota fiscal 2021/1 -  Girassolina Produções Ltda</t>
  </si>
  <si>
    <t>Guia de ISSQN referente a nota fiscal 2021/2 -  Ana Helena De Sousa Campos</t>
  </si>
  <si>
    <t>Guia de ISSQN referente a nota fiscal 2021/2 - Elisete Gomes Joaquim de Oliveira-ME</t>
  </si>
  <si>
    <t>Guia de ISSQN referente a nota fiscal 2021/4 - Lagunas Filmes &amp; Fitas LTDA</t>
  </si>
  <si>
    <t>Guia de ISSQN referente a nota fiscal 2021/5 - Hatari Filmes Ltda</t>
  </si>
  <si>
    <t xml:space="preserve">Guia de ISSQN referente a nota fiscal 2021/4 - Aruan Mattos Lopes </t>
  </si>
  <si>
    <t>Guia de ISSQN referente a nota fiscal 2021/4 - Elisete Gomes Joaquim de Oliveira-ME</t>
  </si>
  <si>
    <t>Guia de ISSQN referente a nota fiscal 2021/5 - Elisete Gomes Joaquim de Oliveira-ME</t>
  </si>
  <si>
    <t>Guia de ISSQN referente a nota fiscal 2021/5  -  Uaua Estudio Ltda</t>
  </si>
  <si>
    <t>Guia de ISSQN referente a nota fiscal 2021/6 -  Softwares de Gestão LTDA</t>
  </si>
  <si>
    <t>Guia de ISSQN referente a nota fiscal 2021/6 - Elisete Gomes Joaquim de Oliveira-ME</t>
  </si>
  <si>
    <t>Guia de ISSQN referente a nota fiscal 2021/7 - Emer-som Ltda</t>
  </si>
  <si>
    <t>Guia de ISSQN referente a nota fiscal 2021/7 - Elisete Gomes Joaquim de Oliveira-ME</t>
  </si>
  <si>
    <t>Guia de ISSQN referente a nota fiscal 2021/7  - Hatari Filmes Ltda</t>
  </si>
  <si>
    <t>Guia de ISSQN referente a nota fiscal 2021/8 - Softwares de Gestão LTDA</t>
  </si>
  <si>
    <t>Guia de ISSQN referente a nota fiscal 2021/9 - Elisete Gomes Joaquim de Oliveira-ME</t>
  </si>
  <si>
    <t>Guia de ISSQN referente a nota fiscal 2021/9 - Softwares de Gestão LTDA</t>
  </si>
  <si>
    <t>Guia de ISSSQN referente a nota fiscal 2021/9 -  Logus Protection Patrimonial Ltda</t>
  </si>
  <si>
    <t>Guia de ISSQN referente a nota fiscal 2021/10 - Elisete Gomes Joaquim de Oliveira-ME</t>
  </si>
  <si>
    <t>Guia de ISSQN referente a nota fiscal 2021/10 -   Softwares de Gestão LTDA</t>
  </si>
  <si>
    <t>Guia de ISSQN referente a nota fiscal 2021/11 - Elisete Gomes Joaquim de Oliveira-ME</t>
  </si>
  <si>
    <t>Guia de ISSQN referente a nota fiscal 2021/12 - Elisete Gomes Joaquim de Oliveira-ME</t>
  </si>
  <si>
    <t>Guia de ISSQN referente a nota fiscal 2021/13 - Elisete Gomes Joaquim de Oliveira-ME</t>
  </si>
  <si>
    <t>Guia de ISSQN referente a nota fiscal 2021/20 - Aloltech Telecom Ltda</t>
  </si>
  <si>
    <t>Guia de ISSQN referente a nota fiscal 2021/5 - Patrulha Eletrônica Ltda</t>
  </si>
  <si>
    <t>Guia de ISSQN referente a nota fiscal 2021/27 - BH Fotocopias Ltda</t>
  </si>
  <si>
    <t>Guia de ISSQN referente a nota fiscal 2021/28 - BH Fotocopias Ltda</t>
  </si>
  <si>
    <t>Guia de ISSQN referente a nota fiscal 2021/376 - Assiste Saúde do Trabalhador</t>
  </si>
  <si>
    <t>Guia de ISSQN referente a nota fiscal 2021/662 - Ocupacional Medicina do Trabalho</t>
  </si>
  <si>
    <t>Guia de ISSQN referente a nota fiscal 2021/13825 - Cons Ope Transporte Coletivo Passageiros</t>
  </si>
  <si>
    <t>Guia de ISSQN referente a nota fiscal 2021/21063 - Unimed Cooperativa de Médico</t>
  </si>
  <si>
    <t>Guia de ISSQN referente a nota fiscal 2021/24476- Unimed Cooperativa de Médico</t>
  </si>
  <si>
    <t xml:space="preserve">Guia de ISSQN referente a nota fiscal 857 -Zbm Produções Artísitcas E Sonorização Ltda </t>
  </si>
  <si>
    <t>FGTS referente a folha do mês 01/2021</t>
  </si>
  <si>
    <t>Conta de telefone da sede da Appa referente ao mês 01/2021</t>
  </si>
  <si>
    <t>9227417-MG</t>
  </si>
  <si>
    <t>Assessoria Contábil mês 01/2021</t>
  </si>
  <si>
    <t>2021/130</t>
  </si>
  <si>
    <t>Contratação de designer gráfico para atuação na divulgação das atividades da Fundação Clóvis Salgado - ano 2021.Faz-se necessária a contratação de um designer gráfico para desenvolvimento de um padrão e qualidade nas repostagens das atividades de criação do setor de comunicação da APPA, em especial ao projeto. Parcela 01</t>
  </si>
  <si>
    <t>Cintya Juliana Souza Santos Dias</t>
  </si>
  <si>
    <t xml:space="preserve">Serviços de cartório </t>
  </si>
  <si>
    <t>Cartório do Primeiro Ofício de Notas  BH</t>
  </si>
  <si>
    <t>Salário da Assessora Pedagógica referente ao mês 01/2021</t>
  </si>
  <si>
    <t>Salário da Produtora Cultural da Dipro referente ao mês 01/2021</t>
  </si>
  <si>
    <t>Salário do Presidente referente ao mês 01/2021</t>
  </si>
  <si>
    <t>Salário do Coordenador Administrativo referente ao mês 01/2021</t>
  </si>
  <si>
    <t>Tarifa Bancária referente a transferência eletrônica pagamento fornecedor: Cintya Juliana Souza Santos Dias - Processo 1138</t>
  </si>
  <si>
    <t>Tarifa Bancária referente a transferência eletrônica pagamento fornecedor: Cartório do Primeiro Ofício de Notas  BH</t>
  </si>
  <si>
    <t>Bolsa estágio do mês 01/2021</t>
  </si>
  <si>
    <t xml:space="preserve">103.589.906-02 </t>
  </si>
  <si>
    <t xml:space="preserve"> 118.656.856-90 </t>
  </si>
  <si>
    <t>Guia de ISSQN referente ao RPA 994 - Juliana Soares Rocha</t>
  </si>
  <si>
    <t>Guia de ISSQN referente ao RPA 1004 - Cintya Juliana Souza Santos Dias</t>
  </si>
  <si>
    <t>Guia de ISSQN referente ao RPA 1005 - Junia Pertence Barbosa Santos</t>
  </si>
  <si>
    <t>Guia de ISSQN referente ao RPA 1011 - Laís  Flor Oliveira</t>
  </si>
  <si>
    <t>Guia de ISSQN referente ao RPA 1013 - Tiffany Maria Almeida de Castro</t>
  </si>
  <si>
    <t>Guia de ISSQN referente ao RPA 1014 - Vaneli Waleska Falci Carvalho E Silva</t>
  </si>
  <si>
    <t>Guia de ISSQN referente ao RPA 1015 - Maicon Jefferson Da Cruz</t>
  </si>
  <si>
    <t>Guia de ISSQN referente ao RPA 1016 -  Alberto Gusmão Da Silva</t>
  </si>
  <si>
    <t>Guia ISSQN referente ao RPA 1037 - Brenno Theotonio De Castro</t>
  </si>
  <si>
    <t xml:space="preserve">Guia de ISSQN referente ao RPA 1044 - Marco Tulio de Sousa Ulhoa </t>
  </si>
  <si>
    <t>Guia de ISSQN referente a nota fiscal 2021/1 - Rafael Bruno de Oliveira Ferreira Eireli</t>
  </si>
  <si>
    <t>Guia de ISSQN referente a nota fiscal 2021/1 - Piranha Filmes Ltda</t>
  </si>
  <si>
    <t>Guia de ISSQN referente a nota fiscal 2021/1 - Luiza Leandro Martins Fonseca</t>
  </si>
  <si>
    <t>Guia de ISSQN referente a nota fiscal 2021/2 - Arco Cultura Ltda - ME</t>
  </si>
  <si>
    <t xml:space="preserve">041.573.372-39 </t>
  </si>
  <si>
    <t>Guia de ISSQN referente a nota fiscal 172 - Christoffer Produções Artísticas Ltda</t>
  </si>
  <si>
    <t>Guia de ISSQN referente ao RPA 1006 - Paola Samora de Faria Campos</t>
  </si>
  <si>
    <t>Guia de ISSQN referente ao RPA 1009 - Patrick Vilar Ferreira Goncalves</t>
  </si>
  <si>
    <t>Guia de ISSQN referente ao RPA 1029 - Patrick Vilar Ferreira Goncalves</t>
  </si>
  <si>
    <t>Guia de ISSQN referente ao RPA 1045 - Lígia Pawlow de Paula</t>
  </si>
  <si>
    <t>Guia de ISSQN referente ao RPA 1046 - Ana dos Anjos Camarano Cardoso</t>
  </si>
  <si>
    <t>Guia de ISSQN referente a nota fiscal 2021/1 - Diego Júnio Costa de Oliveira Neves</t>
  </si>
  <si>
    <t>Guia de ISSQN referente a nota fiscal 2021/6 - Movimento e Comunicação Integrada - Daniel Helvécio</t>
  </si>
  <si>
    <t xml:space="preserve">Contratação de um designer gráfico e/ou produtor editorial, com experiência comprovada na área. Os serviços serão inicialmente por 90 dias, a partir da assinatura do contrato.Com a necessidade de interromper as ações presenciais as demandas do Núcleo de Design (criação gráfica/web) aumentou consideravelmente. Para tanto, faz-se necessário a contratação de um profissional para apoio as ações dos projetos, imediata e em caráter emergencial, para suprir a crescente demanda de peças gráficas e web. 395
</t>
  </si>
  <si>
    <t>Lígia Pawlow de Paula</t>
  </si>
  <si>
    <t>Contratação de profissional para analista de mídia. Os serviços serão inicialmente para 90 dias, a contar da assinatura do contrato.Com a necessidade de interromper as ações presenciais, o processo de transformação digital da FCS também foi acelerado. Assim, o Núcleo de Mídias Digitais passou a ter novas demandas, para melhor se adequar às exigências do mercado. Para que o setor cumpra às demandas de todos os projetos sob responsabilidade é necessária a contratação, imediata e em caráter emergencial, de um o Analista de Mídias Sociais Jr. Esse profissional será imprescindível para que consigamos planejar novos projetos e implantar a transformação digital que estamos construindo nesse momento. 398</t>
  </si>
  <si>
    <t>Guia de ISSQN referente ao RPA 1032 - Fabio Rodrigues Da Silva Filho</t>
  </si>
  <si>
    <t>Guia de ISSQN referente ao RPA 1033 - Julia Gonçalves Declie Fagioli</t>
  </si>
  <si>
    <t>Guia de ISSQN referente ao RPA 1039 - Leticia Morais Bispo</t>
  </si>
  <si>
    <t>Guia de ISSQN referente ao RPA 1041 - Wellington Cancado Coelho</t>
  </si>
  <si>
    <t xml:space="preserve">Guia de ISSQN referente ao RPA 1042 - Juliana Fausto De Souza Coutinho
</t>
  </si>
  <si>
    <t>Guia de ISSQN referente ao RPA 1047 -  Amaranta Emília César Dos Santos</t>
  </si>
  <si>
    <t xml:space="preserve">Guia de ISSQN referente ao RPA 1048 -  Alessandra Pereira Brito </t>
  </si>
  <si>
    <t>Guia de ISSQN referente ao RPA 1049 -  Antônio Bispo dos Santos</t>
  </si>
  <si>
    <t>Guia de ISSQN referente a nota fiscal 2021/1 - A F D Salles Serviços De Audiovisual E Publicações</t>
  </si>
  <si>
    <t>Guia de ISSQN referente a nota fiscal 2021/2 - Girassolina Produções Ltda</t>
  </si>
  <si>
    <t>Guia de ISSQN referente a nota fiscal 2021/2 - Frames Ltda.</t>
  </si>
  <si>
    <t>Guia de ISSQN referente a nota fiscal 2021/7 - Piranha Filmes Ltda</t>
  </si>
  <si>
    <t>Guia de ISSQN referente a nota fiscal 2021/9 - Hatari Filmes Ltda</t>
  </si>
  <si>
    <t>Contratação de montadores (02 montadores; 16 diárias cada montador) para montagem e desmontagem das exposições do Prêmio Décio Noviello nas galerias que receberãoFaz se necessário a contratação de montadores para a montagem das exposições do Prêmio Decio Noviello 2020 no Palácio das Artes e no Camerasete dos artistas selecionados. Sendo necessário a contratação de serviço especializado de montagem para auxiliar a montagem fina das obras. as exposições de Artes Visuais. Processo 837</t>
  </si>
  <si>
    <t xml:space="preserve">Coordenadora de programação para o 22º Festcurtas BH.O FestCurtasBH é um evento de grande extensão pelo qual se faz necessário a contratação de profissional cuja formação abrange conhecimentos específicos em cinema. Para a 22ª edição do evento faz-se necessária a contratação da coordenadora de programação e curadoria, Ana Luiza Siqueira, representada pela empresa Chão da Feira LTDA,para atuar na pós-produção da edição de 2020 do Festival Internacional de Curtas de BH, bem como para avaliações da edição finalizada e planejamento da próxima. </t>
  </si>
  <si>
    <t xml:space="preserve">17.125.729/0001-97
</t>
  </si>
  <si>
    <t>Reembolso realizado pelo Termo de Parceria 50/2020 - IEPHA referente ao percentual (16,867% do valor total ) do aluguel da sede da Appa referente ao mês 01/2021</t>
  </si>
  <si>
    <t>Reembolso realizado pelo Termo de Parceria 50/2020 - IEPHA referente ao percentual (16,867% do valor total ) IPTU 1º Parceça do aluguel da sede da Appa referente ao mês 01/2021</t>
  </si>
  <si>
    <t>Aluguel da sede da Appa referente ao período de 10/01 a 09/02/2021</t>
  </si>
  <si>
    <t>Guia de ITPU - Parcela 01</t>
  </si>
  <si>
    <t xml:space="preserve">Tarifa Bancária referente a transferência eletrônica pagamento fornecedor: BH Notebooks Ltda - Processo </t>
  </si>
  <si>
    <t xml:space="preserve">Reembolso realizado pelo Termo de Parceria 50/2020 - IEPHA referente ao percentual (49,50% do valor total ) Segurança Eletrônica da Sede da APPA </t>
  </si>
  <si>
    <t>Reembolso realizado pelo Termo de Parceria 50/2020 - IEPHA referente ao percentual (29,41% do valor total ) manutenção de redes e computadores da sede da Appa - mês 01/2021</t>
  </si>
  <si>
    <t>Consumo de energia elétrica do mês 01/2021</t>
  </si>
  <si>
    <t>Contratação de profissional que execute as atividades produção executiva em projetos das áreas artística e pedagógica do Cefart, que compreendem o ensino de artes cênicas, a atividade de instituições que oferecem cursos independentes para ensino, desenvolvimento e aprimoramento de técnicas expressivas de voz, corpo, movimento e gesto. O profissional coordenará as atividades e projetos relacionados com a criação, produção, montagem e direção de espetáculos e peças teatrais da Escola. A carga horária diária de trabalho será de 08 horas/dia.</t>
  </si>
  <si>
    <t>Fabrício Martins Batista 04680467630</t>
  </si>
  <si>
    <t>36.685.827/0001-23</t>
  </si>
  <si>
    <t>Tarifa Bancária referente a transferência eletrônica pagamento fornecedor: Fabrício Martins Batista 04680467630 - Processo 1270</t>
  </si>
  <si>
    <t>Pagamentode direito autoral do texto, "Romper a clausura, desmontar o teatro", de Camila Vieira, para publicação em site e catálogo do 22º Festcurtas BH. 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</si>
  <si>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Camila Vieira Da Silva</t>
  </si>
  <si>
    <t xml:space="preserve">953.052.203-78
</t>
  </si>
  <si>
    <t>Angela Peres de Oliveira</t>
  </si>
  <si>
    <t>Contratação de profissional para compor a mesa de Júri da Competitiva Internacional dos filmes do 22º Festcurtas BH a ser realizado de 23 a 30 de outubro de 2020.O FestCurtasBH é um evento de grande extensão realizado anualmente no Cine Humberto Mauro e para a realização da 22ª edição no ano de 2020, faz-se necessária a contratação de um profissional para integrar o júri da Competitiva Internacional, que avaliará e escolherá o melhor filme da Competitiva Internacional</t>
  </si>
  <si>
    <t>Andre Luiz Cordeiro Vieira 09741665458</t>
  </si>
  <si>
    <t>27.207.610/0001-17</t>
  </si>
  <si>
    <t>Tarifa Bancária referente a transferência eletrônica pagamento fornecedor: Angela Peres de Oliveira - Processo 271</t>
  </si>
  <si>
    <t>Tarifa Bancária referente a transferência eletrônica pagamento fornecedor: Andre Luiz Cordeiro Vieira 09741665458 - Processo 854</t>
  </si>
  <si>
    <t>Contratação de profissional para compor a Comissão de Seleção de Filmes Nacionais do 22º Festcurtas BH a ser realizado de 23 a 30 de outubro de 2020.</t>
  </si>
  <si>
    <t>Anavilhana Filmes Ltda. - Me</t>
  </si>
  <si>
    <t>07.525.577/0001-66</t>
  </si>
  <si>
    <t>Reembolso realizado pelo Termo de Parceria 50/2020 - IEPHA referente ao percentual (21,10% do valor total ) aluguel de impressoras da sede da Appa- mês 01/2021</t>
  </si>
  <si>
    <t>Férias do Gerente de Projetos: Produção Artística</t>
  </si>
  <si>
    <t>U03672</t>
  </si>
  <si>
    <t>Tarifa Bancária referente a transferência eletrônica pagamento férias : Fabíola Bruno do Couto</t>
  </si>
  <si>
    <t>Tarifa Bancária referente a transferência eletrônica pagamento fornecedor: Up Print Comercio e Locacao De Equipamentos Eireli - Processo 1143</t>
  </si>
  <si>
    <t xml:space="preserve">Edição de áudio e vídeo do vídeo coletivo do CLMG - Laudate Dominum - WAMozart. Entre tantas preciosidades elevadas por Mozart, Laudate Dominum é uma obra sacra que foi composta em 1780 para a Igreja de Salzburg, na Áustria. Um sopro de cores junta-se para retratar o universo de filhos que esta peça nos traz. </t>
  </si>
  <si>
    <t>Andre Durval Pereira Fonseca 01562795686</t>
  </si>
  <si>
    <t>24.136.191/0001-81</t>
  </si>
  <si>
    <t xml:space="preserve">O Festcurtas BH é um evento de grande extensão realizado anualmente no Cine Humberto Mauro e para a realização da 22ª edição no ano de 2020, faz-se necessária a contratação de um produtor executivo para coordenar a logística e desenho de produção em todas as etapas de realização do evento, incluindo a finalização e pós-evento. </t>
  </si>
  <si>
    <t>Reembolso realizado pelo Termo de Parceria 50/2020 - IEPHA referente ao percentual (13,33% do valor total ) telefone móvel da sede da Appa- mês 01/2021</t>
  </si>
  <si>
    <t>Reembolso realizado pelo Termo de Parceria 50/2020 - IEPHA referente ao percentual (9,51% do valor total ) consumo de energia elétrica da sede da Appa- mês 01/2021</t>
  </si>
  <si>
    <t>Reembolso realizado pelo Termo de Parceria 50/2020 - IEPHA referente ao percentual (20% do valor total ) ao consumo de internet da Appa do mês 01/2021</t>
  </si>
  <si>
    <t>Camila Santos Cardoso</t>
  </si>
  <si>
    <t>Cenógrafos para a Montagem da turma da manhã.Apresentações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do último ano do curso técnico, com a direção de professor da Escola de Teatro, no 1º Semestre, e de um profissional sugerido pelo corpo discente e definido pelo corpo docente e pela Coordenação da Escola de Teatro, no 2º Semestre.</t>
  </si>
  <si>
    <t>Cristiano Cezarino Rodrigues</t>
  </si>
  <si>
    <t>027.700.996-04</t>
  </si>
  <si>
    <t>Internet para sede da Appa referente ao mês 01/2021</t>
  </si>
  <si>
    <t xml:space="preserve">9406144-MG </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</si>
  <si>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CO PARTICIPAÇÃO</t>
  </si>
  <si>
    <t>2021/21063</t>
  </si>
  <si>
    <t>2021/24476</t>
  </si>
  <si>
    <t>Serviços de criação e concepção artística e operação da Iluminação da montagem do 3º ano do Teatro - turno manhã .Previsão da Temporada: junho. Local de atuação: presencial no Cefart e remotamente via internet.</t>
  </si>
  <si>
    <t xml:space="preserve">Transporte de obras de arte em caixa de madeira e material cenográfico conforme especificações e logística anexas à pasta do processo. Coleta: 07 de fevereiro de 2020; devolução: 06 de abril de 2020.Faz-se necessário a contratação de transportadora para coleta e devolução das obras de arte e material cenográfico para a exposição "Retratistas do Morro", que acontece de 06 de fevereiro a 04 de abril no CamaraSete - Casa da Fotografia de Minas Gerais - FCS. Parcela 02/02                         </t>
  </si>
  <si>
    <t xml:space="preserve">Patrick Hermany Ferreira Souza </t>
  </si>
  <si>
    <t>Atuação como segurança para a montagem de 3° ano da NoiteWoyzeck 3D, que será transmitida online. A montagem acontece na Gruta!, de 15 a 19 de dezembro.Local: Gruta!R. Pitangui, 3613 - Horto, Belo Horizonte. Apresentações são ações didático-pedagógicas que permitam aos alunos a percepção e a vivência da dinâmica entre o espaço de apresentação, o público, e a atuação - elementos fundamentais para a formação artística. Há a necessidade de aparato de segurança, dado que o espetáculo ocorrerá em horário noturno.</t>
  </si>
  <si>
    <t>Pessoa responsável por realizar serviços de filmagem, edição e supervisão na transmissão do espetáculo teatral a se realizar nos meses de janeiro e fevereiro no Palacete Dantas, localizado à praça da Liberdade, 312, BH/MG. Apresentações teatrais são ações didático-pedagógicas que permitem aos alunos a percepção e a vivência da dinâmica entre o espaço de apresentação, o público, e a atuação - elementos fundamentais para a formação artística. A captação das imagens faz parte do espetáculo, especialmente neste caso, que será transmitido via Internet.</t>
  </si>
  <si>
    <t>Leandro Silva Lopes 77761693587</t>
  </si>
  <si>
    <t>31.918.714/0001-07</t>
  </si>
  <si>
    <t>Serviços de Iluminação teatral para a montagem de formatura da turma de Teatro do Cefart - turno da manhã. Os trabalhos se realização no Palacete Dantas, à praça da Liberdade, 312, BH/MG, entre os meses de janeiro e fevereiro de 2021.Apresentações são ações didático-pedagógicas que permitam aos alunos a percepção e a vivência da dinâmica entre o espaço de apresentação, o público, e a atuação - elementos fundamentais para a formação artística. A iluminação é parte importante das montagens teatrais, proporcionando o clima necessário para a ação descrita em cena.</t>
  </si>
  <si>
    <t xml:space="preserve">Cleverson Eduardo Rodrigues 01475521685
</t>
  </si>
  <si>
    <t>Atividade: Figurinista da Montagem da Escola de Teatro para o turno da manhã. Locais de atuação: Cefart, Palacete Dantas (Alameda Travessia 312 - praça da Liberdade, BH/MG) e, eventualmente, por internet. Apresentações são ações didático-pedagógicas que permitam aos alunos a percepção e a vivência da dinâmica entre o espaço de apresentação, o público, e a atuação - elementos fundamentais para a formação artística. O figurinista é peça importante nas montagens teatrais e tem como função, entre outras:criar figurino para o elenco,visitar o CTP e avaliar os figurinos para adequação às demandas do espetáculo,customizar figurinos, construir historias e características dos personagens através do figurino, acompanhar o processo de criação com a direção.</t>
  </si>
  <si>
    <t>Tereza Bruzzi De Carvalho</t>
  </si>
  <si>
    <t>850.753.296-91</t>
  </si>
  <si>
    <t>Direção Musical para concepção artística, supervisão e montagem do espetáculo de Teatro da turma da manhã da Escola de Teatro do CEFART.Apresentações são ações didático-pedagógicas que permitam aos alunos a percepção e a vivência da dinâmica entre o espaço de apresentação, o público, e a atuação - elementos fundamentais para a formação artística. A cada temporada é encenada uma obra cênica desenvolvida ao longo do semestre pelos alunos do último ano do curso técnico, com a direção de professor da Escola de Teatro, no 1º Semestre, e de um profissional sugerido pelo corpo discente e definido pelo corpo docente e pela Coordenação da Escola de Teatro, no 2º Semestre. Cenário, figurino, projeto de iluminação e sonorização são concebidos de forma coletiva, a partir de intervenções dos próprios alunos, diretor convidado, professores do curso e coordenador.</t>
  </si>
  <si>
    <t>Energia Elétrica da Sede da Appa mês 01/2021</t>
  </si>
  <si>
    <t>Consumo de telefone móvel para os funcionários a serviço do Contrato de Gestão  e Termo de Parceria Iepha referente ao mês 01/2021</t>
  </si>
  <si>
    <t>Tarifa Bancária referente a transferência eletrônica pagamento fornecedor: Regelles Tadeu Queiroz Da Silva 10092467636 - Processo 1262</t>
  </si>
  <si>
    <t xml:space="preserve">Tarifa Bancária referente a transferência eletrônica pagamento fornecedor: Eduardo Muller Carvalho dos Reis 09247861675 - Processo 956 </t>
  </si>
  <si>
    <t>Tarifa Bancária referente a transferência eletrônica pagamento fornecedor: Patrick Hermany Ferreira Souza - Processo 41</t>
  </si>
  <si>
    <t>Tarifa Bancária referente a transferência eletrônica pagamento fornecedor: Logus Protection Patrimonial Ltda - Processo 1118</t>
  </si>
  <si>
    <t>Tarifa Bancária referente a transferência eletrônica pagamento fornecedor: Luiza Leandro Martins Fonseca 10287238652 - Processo 1279</t>
  </si>
  <si>
    <t>Tarifa Bancária referente a transferência eletrônica pagamento fornecedor: Brenno Theotonio De Castro - Processo 1011</t>
  </si>
  <si>
    <t xml:space="preserve">Tarifa Bancária referente a transferência eletrônica pagamento fornecedor: Maicon Jefferson Da Cruz - Processo 1013  </t>
  </si>
  <si>
    <t>Tarifa Bancária referente a transferência eletrônica pagamento fornecedor:  Laís  Flor Oliveira - Processo 842</t>
  </si>
  <si>
    <t>Tarifa Bancária referente a transferência eletrônica pagamento fornecedor: Alberto Gusmão Da Silva - Processo 1012</t>
  </si>
  <si>
    <t xml:space="preserve">Tarifa Bancária referente a transferência eletrônica pagamento fornecedor: Leandro Silva Lopes 77761693587 - Processo 1178 </t>
  </si>
  <si>
    <t>Tarifa Bancária referente a transferência eletrônica pagamento fornecedor:  Cleverson Eduardo Rodrigues 01475521685 - Processo 1172</t>
  </si>
  <si>
    <t>Tarifa Bancária referente a transferência eletrônica pagamento fornecedor: Tereza Bruzzi De Carvalho - Processo 1066</t>
  </si>
  <si>
    <t>Tarifa Bancária referente a transferência eletrônica pagamento fornecedor: Elisete Gomes Joaquim de Oliveira-ME - Processo 651</t>
  </si>
  <si>
    <t xml:space="preserve">Tarifa Bancária referente a transferência eletrônica pagamento fornecedor: Rafael Bruno De Oliveira Ferreira Eireli - Processo 1280 </t>
  </si>
  <si>
    <t>Tarifa Bancária referente a transferência eletrônica pagamento fornecedor: Marco Túlio Zertolini da Silva - Processo 652</t>
  </si>
  <si>
    <t>Aulas para preparação corporal e técnica para bailarinos da Cia de Dança, preparando-os técnicamente para criação de vídeos coletivos para o projeto "Palácio em sua Cia".Contratação de Professor de Dança Clássica para atender demanda da Cia de Dança PA nos meses de novembro e dezembro.</t>
  </si>
  <si>
    <t xml:space="preserve">Cooperativa Paulista De Trabalho Dos Profissionais De Danca </t>
  </si>
  <si>
    <t>07.953.804/0001-54</t>
  </si>
  <si>
    <t>Contratação de 12 diárias para transporte para alunos da montagem noite para o local de ensaios, devido a questões de falta de segurança sanitária (Covid-19) no transporte público -A van deverá pegar os alunos em suas casas e leva-los ao Palacete Dantas no endereço:Praça da Liberdade, 312 - Funcionários, Belo Horizonte. E ao final da manha, leva-los de volta.</t>
  </si>
  <si>
    <t>Locação de equipamentos necessários para a captação de áudio e vídeo, que serão utilizados durante os ensaios técnicos e as transmissões das apresentações da temporada, estando disponíveis de dezembro de 2020 a fevereiro de 2021. Local de atuação: Cefart, Palacete Dantas, praça da Liberdade, 312 - BH/MG.Apresentações são ações didático-pedagógicas que permitam aos alunos a percepção e a vivência da dinâmica entre o espaço de apresentação, o público, e a atuação - elementos fundamentais para a formação artística. OS equipamentos solicitados farão parte da transmissão do evento via Internet e devem estar disponíveis na parte final dos ensaios para ajustes de posicionamento e funcionamento.</t>
  </si>
  <si>
    <t>Bils Cinema &amp; Vídeo - Locação E Transportes De Equipamentos Eireli</t>
  </si>
  <si>
    <t>13.250.869/0001-72</t>
  </si>
  <si>
    <t xml:space="preserve">Nota de Locação </t>
  </si>
  <si>
    <t>Tarifa Bancária referente a transferência eletrônica pagamento fornecedor: Ana Helena De Sousa Campos - Processo 1258</t>
  </si>
  <si>
    <t>Tarifa Bancária referente a transferência eletrônica pagamento fornecedor: Bils Cinema &amp; Vídeo - Locação E Transportes De Equipamentos Eireli - Processo 1171</t>
  </si>
  <si>
    <t>Contratação de seguro de obras allrisk a serem coletados e transportados dos atelieres de origem até o locais de exposição do Prêmio Décio Noviello e posteriormente coleta e transporte de retorno das mesmas. Contemplar a partir das datas de coleta de obras que se iniciam no dia 21 de outubro. Aditivo</t>
  </si>
  <si>
    <t>Almeida Gomes Assessoria Ltda</t>
  </si>
  <si>
    <t>05.568.017/0001-63</t>
  </si>
  <si>
    <t>Certificado de Endosso</t>
  </si>
  <si>
    <t>INSS retido dos funcionário, referente a folha de pgamento do mês 01/2021</t>
  </si>
  <si>
    <t>INSS Patronal referente ao mês 01/2021</t>
  </si>
  <si>
    <t>Serviços de direção de fotografia e filmagem para o espetáculo do Teatro. A filmagem e captação de imagens se deve à necessidade de o espetáculo ser transmitido via Internet, em virtude da não presença de público. A temporada ocorrerá no mês de junho/2021 e as atividades do profissional serão exercidas presencialmente no Cefart ou remotamente, via Internet.</t>
  </si>
  <si>
    <t>IR referente ao RPA 998 - Alexandre Augusto Roxo Félix</t>
  </si>
  <si>
    <t>DARF/IR referente ao RPA 997 - André Lodi Rocha</t>
  </si>
  <si>
    <t xml:space="preserve">IR  referente ao RPA 995 - Augusto Mário Goulart Pimenta </t>
  </si>
  <si>
    <t>IR referente ao RPA 1035 - Laís  Flor Oliveira</t>
  </si>
  <si>
    <t>IR referente ao RPA 1036 - Tiffany Maria Almeida de Castro</t>
  </si>
  <si>
    <t>Guia de INSS e INSS Patronal  referente ao RPA 1043 - Alberto Gusmão Da Silva</t>
  </si>
  <si>
    <t>Guia de INSS e INSS Patronal referente ao RPA 998 - Alexandre Augusto Roxo Félix</t>
  </si>
  <si>
    <t>Guia de INSS e INSS Patronal referente ao RPA 1018 - Ana Gabi Sousa Novais</t>
  </si>
  <si>
    <t xml:space="preserve">Guia de INSS e INSS Patronal refefente ao RPA 997 - André Lodi Rocha </t>
  </si>
  <si>
    <t>Guia de INSS e INSS Patronal referente ao RPA 1008 - Angela Peres de Oliveira</t>
  </si>
  <si>
    <t xml:space="preserve">Guia de INSS e INSS Patronal referente ao RPA 995 - Augusto Mário Goulart Pimenta </t>
  </si>
  <si>
    <t>Guia de INSS e INSS Patronal referente ao RPA 1020 - Brenno Theotonio De Castro</t>
  </si>
  <si>
    <t>Guia de INSS e INSS patronal referente ao RPA 1034 - Camila Santos Cardoso</t>
  </si>
  <si>
    <t>Guia de INSS e INSS Patronal referente ao RPA 1000 - Camila Santos Cardoso</t>
  </si>
  <si>
    <t>Guia de INSS e INSS Patronal referente ao RPA 999 - Clarice Braga Barbosa Lima</t>
  </si>
  <si>
    <t>Guia de INSS e INSS Patronal referente ao RPA 1040 -  Claudionor Silva Dos Reis</t>
  </si>
  <si>
    <t>Guia de INSS e INSS Patronal referente ao RPA 1017 - Isabel Casimira Gasparino</t>
  </si>
  <si>
    <t>Guia de INSS e INSS patronal referente ao RPA 1035 - Laís  Flor Oliveira</t>
  </si>
  <si>
    <t>Guia de INSS e INSS Patronal referente ao RPA 1001 - Luciana do Espirito Santo Brandão</t>
  </si>
  <si>
    <t>Guia de INSS e INSS patronal referente ao RPA 1038 - Maicon Jefferson Da Cruz</t>
  </si>
  <si>
    <t xml:space="preserve">Guia de INSS e INSS Patronal referente ao RPA 1031 - Marco Túlio Zertolini da Silva </t>
  </si>
  <si>
    <t>Guia de INSS e INSS Patronal referente ao RPA 1026 - Maria Mazarello Rodrigues</t>
  </si>
  <si>
    <t>Guia de INSS e INSS Patronal referente ao RPA 1027 - Mateus Araujo Silva</t>
  </si>
  <si>
    <t>Guia de INSS e INSS Patronal referente ao RPA 1012 - Pâmella de Oliveira Rosa</t>
  </si>
  <si>
    <t>Guia de INSS e INSS Patronal referente ao RPA 992 - Paula Libéria Camargos</t>
  </si>
  <si>
    <t>Guia de INSS e INSS Patronal referente ao RPA 993 - Raquel Castro de Souza</t>
  </si>
  <si>
    <t>Guia de INSS e INSS Patronal referente ao RPA 996 - Robert Avelino Camilo</t>
  </si>
  <si>
    <t>Guia de INSS e INSS  referente ao RPA 1036 - Tiffany Maria Almeida de Castro</t>
  </si>
  <si>
    <t>Guia de INSS e INSS Patronal referente ao RPA 1007 - Valciene Ribeiro De Farias</t>
  </si>
  <si>
    <t>IR retido folha do mês 12/2020</t>
  </si>
  <si>
    <t xml:space="preserve">IR retido em férias do Diretor Financeiro </t>
  </si>
  <si>
    <t>DARF/PCC referente a nota fiscal 2020/616846 - Unimed Belo Horizonte Cooperativa de Trabalho Médico</t>
  </si>
  <si>
    <t>DARF/PCC referente a nota fiscal 2020/1590 - Krypton Serviços Contábeis S/s</t>
  </si>
  <si>
    <t>Guia de INSS referente a nota fiscal 2021/9 -  Logus Protection Patrimonial Ltda</t>
  </si>
  <si>
    <t>DARF/IR referente a nota fiscal 2021/130 - Krypton Serviços Contábeis S/s</t>
  </si>
  <si>
    <t>Tarifa Bancária referente a transferência eletrônica pagamento fornecedor: Kleber De Jesus Bispo 10663043603 - Processo 1265</t>
  </si>
  <si>
    <t>DARF/IR referente ao RPA 1048 - Alessandra Pereira Brito</t>
  </si>
  <si>
    <t>DARF/IR referente ao RPA 1032 - Fabio Rodrigues Da Silva Filho</t>
  </si>
  <si>
    <t>DARF/IR  referente ao RPA 1033 - Julia Gonçalves Declie Fagioli</t>
  </si>
  <si>
    <t>DARF/IR referente ao RPA 1039 - Leticia Morais Bispo</t>
  </si>
  <si>
    <t>Guia de INSS e INSS Patronal referente ao RPA 1048 - Alessandra Pereira Brito</t>
  </si>
  <si>
    <t>Guia de INSS e INSS Patronal referente ao RPA 1047 -  Amaranta Emília César Dos Santos</t>
  </si>
  <si>
    <t>Guia de INSS e INSS Patronal referente ao RPA 1049 -  Antônio Bispo Dos Santos</t>
  </si>
  <si>
    <t>Guia de INSS e INSS Patronal  referente ao RPA 1032 - Fabio Rodrigues Da Silva Filho</t>
  </si>
  <si>
    <t>Guia de INSS e INSS Patronal  referente ao RPA 1033 - Julia Gonçalves Declie Fagioli</t>
  </si>
  <si>
    <t>Guia de INSS e INSS Patronal  referente ao RPA 1042 - Juliana Fausto De Souza Coutinho</t>
  </si>
  <si>
    <t>Guia de INSS e INSS Patronal referente ao RPA 1039 - Leticia Morais Bispo</t>
  </si>
  <si>
    <t>Guia de INSS e INSS Patronal referente ao RPA 1041 - Wellington Cancado Coelho</t>
  </si>
  <si>
    <t>DARF/IR referente ao recibo de Emanuel Felipe Mendes Moreira</t>
  </si>
  <si>
    <t>Registro viodeográfico para edição de vídeo. Faz-se necessário a edição / montagem de vídeo. Os bailarinos da CDPA se reunirão de forma remota em um Encontro com a Cia. com a ex-Diretora da Cia Sônia Motta, evento já tradicional queneste cenário de pandemia, foi adaptado para o universo on-line. Na oportunidade, serão discutidas as participações, as contribuições e os desafios dosbailarinos e criadores da dança, que acontecerá no final de dezembro pelo Youtube da Fundação Clovis Salgado.</t>
  </si>
  <si>
    <t>DARF/IR referente ao RPA 1046 - Ana dos Anjos Camarano Cardoso</t>
  </si>
  <si>
    <t>DARF/IR referente ao RPA 1045 - Lígia Pawlow de Paula</t>
  </si>
  <si>
    <t>Guia de INSS e INSS Patronal referente ao RPA 1046 - Ana dos Anjos Camarano Cardoso</t>
  </si>
  <si>
    <t>Guia de INSS e INSS Patronal referente ao RPA 1045 - Lígia Pawlow de Paula</t>
  </si>
  <si>
    <t>Guia de INSS e INSS Patronal referente ao RPA 1006 - Paola Samora de Faria Campos</t>
  </si>
  <si>
    <t>Guia de INSS e INSS Patronal referente ao RPA 1009 - Patrick Vilar Ferreira Goncalves</t>
  </si>
  <si>
    <t>Guia de INSS e INSS Patronal referente ao RPA 1029 - Patrick Vilar Ferreira Goncalves</t>
  </si>
  <si>
    <t>DARF/PCC referente a nota fiscal 2020/1589 - Krypton Serviços Contábeis S. S</t>
  </si>
  <si>
    <t>Guia de INSS e INSS Patronal referente ao RPA 1004 - Cintya Juliana Souza Santos Dias</t>
  </si>
  <si>
    <t>Guia de INSS e INSS patronal  referente ao RPA 994 - Juliana Soares Rocha</t>
  </si>
  <si>
    <t>Guia de INSS e INSS patronal  referente ao RPA 1005 - Junia Pertence Barbosa Santos</t>
  </si>
  <si>
    <t>Guia de INSS e INSS Patronal referente ao RPA 1011 - Laís  Flor Oliveira</t>
  </si>
  <si>
    <t>Guia de INSS e INSS Patronal referente ao RPA 1015 - Maicon Jefferson Da Cruz</t>
  </si>
  <si>
    <t>Guia de INSS e INSS Patronal referente ao RPA 1013 - Tiffany Maria Almeida de Castro</t>
  </si>
  <si>
    <t>Guia de INSS e INSS Patronal referente ao RPA 1016 -  Alberto Gusmão Da Silva</t>
  </si>
  <si>
    <t>Guia de INSS e INSS Patronal  referente ao RPA 1037 - Brenno Theotonio De Castro</t>
  </si>
  <si>
    <t xml:space="preserve">Guia de INSS e INSS Patronal referente ao RPA 1044 - Marco Tulio de Sousa Ulhoa </t>
  </si>
  <si>
    <t>Guia de INSS e INSS Patronal referente ao RPA 1014 - Vaneli Waleska Falci Carvalho E Silva</t>
  </si>
  <si>
    <t>DARF/IR referente ao RPA 1037 - Brenno Theotonio De Castro</t>
  </si>
  <si>
    <t xml:space="preserve">DARF/IR referente ao RPA 1044 - Marco Tulio de Sousa Ulhoa </t>
  </si>
  <si>
    <t>DARF/IR referente ao RPA 1014 - Vaneli Waleska Falci Carvalho E Silva</t>
  </si>
  <si>
    <t>DARF referente ao RPA 994 - Juliana Soares Rocha</t>
  </si>
  <si>
    <t>DARF/IR referente ao RPA 1005 - Junia Pertence Barbosa Santos</t>
  </si>
  <si>
    <t> 08.173.813/0001-95</t>
  </si>
  <si>
    <t xml:space="preserve">Contratação de serviço de hospedagem para um sistema de gestão acadêmica do CEFART no ano de2020.Contratação de serviço de hospedagem para um sistema de gestão acadêmica para monitoramento e acompanhamento das atividades complementares do CEFART no ano de 2021               
                         </t>
  </si>
  <si>
    <t xml:space="preserve">Contratação de um sistema de gestão acadêmica do CEFART no ano de2020.  Contratação de um sistema de gestão acadêmica para monitoramento e acompanhamento das atividades complementares do CEFART no ano de 2021.                         
                         </t>
  </si>
  <si>
    <t>Vale transporte para os funcionários a serviço do Contrato de Gestão para uso em 03/2021</t>
  </si>
  <si>
    <t>Consórcio Ótimo de Bilhetagem Eletrônica</t>
  </si>
  <si>
    <t>10.426.715/0001-64</t>
  </si>
  <si>
    <t>2021/34601</t>
  </si>
  <si>
    <t>2021/39312</t>
  </si>
  <si>
    <t>Caminhão pequeno para transporte de diversos itens do CTP Marzagão para a Gruta, referente a montagem do Teatro do período da noite.Endereços: - ORIGEM -Rua do Cartório, 120 –Marzagão(7.462,40 km) 34585650 Sabará, MG. DESTINO -R. Pitangui, 3613 - Horto, Belo Horizonte - MG, 31030-065. Apresentações são ações didático-pedagógicas que permitam aos alunos a percepção e a vivência da dinâmica entre o espaço de apresentação, o público, e a atuação - elementos fundamentais para a formação artística.</t>
  </si>
  <si>
    <t>Dacte</t>
  </si>
  <si>
    <t>Contratação de Profissional para edição do vídeo ao vivo do projeto Intervenção da Dança - CDPA.No mês de setembro, o projeto Intervenção de Dança da CDPA acontecerá com a Focus Cia de Dança do Rio de janeiro. O convite da Focus veio através do diretor da Cia Alex Neoral, que criou um trabalho que tem como temática a nossa atual “Espera” em tempos de pandemia. | “Corações em Espera” - Criado de forma a refletir a situação em que nos encontramos no hoje, o trabalho e será apresentado AO VIVO / ONLINE, dia 19 de setembro de 2020. O profissional fará o acompanhamento e edição online com projeção de fotos e vídeos, inserção de ficha técnica, capa, contracapa.</t>
  </si>
  <si>
    <t>André Di Franco Michell de Paula</t>
  </si>
  <si>
    <t>107.659.696-70</t>
  </si>
  <si>
    <t>Tarifa Bancária referente a transferência eletrônica pagamento fornecedor: Translevar Mudanças Ltda - Processo 1085</t>
  </si>
  <si>
    <t>Tarifa Bancária referente a transferência eletrônica pagamento fornecedor: André Di Franco Michell de Paula - Processo 615</t>
  </si>
  <si>
    <t>Contratação de profissional para compor a Comissão de Seleção de Filmes Nacionais do 22º Festcurtas BH a ser realizado de 23 a 30 de outubro de 2020.O Festcurtas BH é um evento de grande extensão realizado anualmente no Cine Humberto Mauro e para a realização da 22ª edição no ano de 2020, faz-se necessária a contratação de um profissional para integrar a equipe de Comissão de Seleção de obras nacionais, responsável pelo processo de avaliação, escolha e criação da programação, a partir dos filmes inscritos para esta edição.</t>
  </si>
  <si>
    <t>Alessandra Pereira Brito</t>
  </si>
  <si>
    <t xml:space="preserve"> 024.509.481-47 </t>
  </si>
  <si>
    <t>Tradução de textos para inglês e português e revisão de texto em português para o 22º Festcurtas BH. O FestCurtas BH é um evento de grande extensão realizado anualmente no Cine Humberto Mauro e para a realização da 22ª edição no ano de 2020, faz-se necessária a contratação de serviço de tradução e revisão de texto para o conteúdo do catálogo do festival: sinopses (mostras competitivas, mostras paralelas e especiais); textos de apresentação; textos técnicos de debates, mesas, conferências, oficinas, intervenções artísticas, etc.</t>
  </si>
  <si>
    <t>Ever Better Language Services Eirelli</t>
  </si>
  <si>
    <t xml:space="preserve">29.089.912/0001-63 </t>
  </si>
  <si>
    <t>Contratação de ferramenta de gerenciamento de mídias sociais (MLabs) com o seguinte escopo: agendamento de postagens com personalizações, áreas de mensagens - SAC social, fluxo de trabalho, interação com seguidores, relatórios de mídias sociais, visões para otimização, monitoramento de status, usuários múltiplos, calendário de postagens. O serviço de plataforma que entrega todas essas funcionalidades é o pacote completo. Com o aumento da demanda de serviços de comunicação e tendo as mídias sociais como principal palco de ações do projeto Caminhos da Arte (CDA), torna-se necessário o uso de uma ferramenta de automação e gerenciamento dos seus perfis.</t>
  </si>
  <si>
    <t>Mlabs Software Ltda</t>
  </si>
  <si>
    <t>23.465.964/0001-00</t>
  </si>
  <si>
    <t>553730/E</t>
  </si>
  <si>
    <t>Solicitamos uma lista de materiais para o desenvolvimento do projeto de iluminação da Montagem, que acontecerá no espaço Palacete Dantas e será transmitido pela internet. Ositens solicitados estão em lista anexa a este processo.Apresentações são ações didático-pedagógicas que permitam aos alunos a percepção e a vivência da dinâmica entre o espaço de apresentação, o público, e a atuação - elementos fundamentais para a formação artística. A iluminação do espaço cênico é parte importante do espetáculo, podendo transmitir a quem assiste emoções e indicações sobre o desenvolvimento da estória a ser contada.</t>
  </si>
  <si>
    <t xml:space="preserve">17.155.342/0011-55
</t>
  </si>
  <si>
    <t>Contratação de vigilante para guarda do patrimônio na unidade Câmara Sete localizado na Av Afonso Pena, nº 737, Belo Horizonte e galerias de arte no Palácio das Artes localizado na Av Afonso Pena, nº 1.537. O período de trabalho deverá iniciar no dia 15/12/2020 com duração inicial de 30 dias, podendo ser prorrogado. O horário de trabalho será de 19h às 07h. O prédio CâmeraSete conta com 03 andares e o posto de trabalho deverá ser dentro do prédio, com rondas entre os andares e portaria principal. As galerias de arte do Palácio das Artes conta com 07 galerias e o posto de trabalho deverá ser dentro do prédio.Faz-se necessário a contratação de dois vigilantes noturno para o prédio Câmara Sete e espaços da Fundação Clóvis Salgado devido a necessidade de guarda de patrimônio e obras de artes nos locais; podendo ser estendido esse prazo conforme necessidade. Aditivo</t>
  </si>
  <si>
    <t xml:space="preserve">2021/14 </t>
  </si>
  <si>
    <t>Contratação de caminhão pequeno para transporte de itens de cenário e adereços diversos do CTPF Andradas para o CTPF Marzagão, referente a devolução e guarda desses materiais no local de guarda. Apresentações são ações didático-pedagógicas que permitam aos alunos a percepção e a vivência da dinâmica entre o espaço de apresentação, o público, e a atuação - elementos fundamentais para a formação artística. A necessidade de itens de cenário e demais componentes cenográficos para a realização do espetáculo fez uso do acervo da FCS/CEFART/CTPF e os elementos devem ser devolvidos a seus locais de origem para emprego futuro.</t>
  </si>
  <si>
    <t xml:space="preserve">Tarifa Bancária referente a transferência eletrônica pagamento fornecedor: Logus Protection Patrimonial Ltda - Processo 1108 </t>
  </si>
  <si>
    <t>Tarifa Bancária referente a transferência eletrônica pagamento fornecedor: Translevar Mudanças Ltda - Processo 1337</t>
  </si>
  <si>
    <t>Produção, edição e diagramação de 600 cartazes em Risografia, com 3 artes diferentes (200 impressões de cada modelo) para o 22º Festcurtas BH.Especificações: 2 cores, em 4 tipos de papéis diferentes (Color Plus Rio e Janeiro, Madrid, Jamaica e Fidji 180g)</t>
  </si>
  <si>
    <t>Entrecampo Design Ltda</t>
  </si>
  <si>
    <t>25.298.559/0001-44</t>
  </si>
  <si>
    <t>Plotagem da identidade visual da exposição "Acervo FCS - Retratos" na PQNA Galeria Pedro Moraleida - FCS. "Acervo FCS - Retratos" é a exposição elaborada pela Gerência de Artes Visuais da FCS com obras do acervo da instituição com o recorte "retratos" e que irá ocupar a PQNA Galeria Pedro Moraleida de 22 de fevereiro a 18 de abril de 2021. Para a realização da mesma, faz-se a plotagem da identidade visual da exposição na galeria onde será realizada.</t>
  </si>
  <si>
    <t xml:space="preserve"> 10.356.504/0001-00 </t>
  </si>
  <si>
    <t xml:space="preserve">2021/67 </t>
  </si>
  <si>
    <t>Plotagem das identidades visuais, textos, legendas e ficha técnica das exposições "É hora da onça beber água", de Adeilson Willian da Silva, e "Tornar o Impossível Possível", de Marcela Cantuária, selecionadas no Prêmio Décio Noviello de Artes Visuais 2020. As exposições estarão em período de visitação aberto ao público de 19 de novembro de 2020 a 31 de janeiro de 2021, nas galerias Genesco Murta e Arlinda Corrêa Lima da FCS.</t>
  </si>
  <si>
    <t xml:space="preserve">2021/68 </t>
  </si>
  <si>
    <t>Reembolso realizado pelo Termo de Parceria 50/2020 - IEPHA referente ao percentual (21,10% do valor total ) aluguel de PABX da sede da Appa- mês 01/2021</t>
  </si>
  <si>
    <t>Reembolso realizado pelo Termo de Parceria 50/2020 - IEPHA referente ao percentual (21,85% do valor total ) telefone móvel para os funcionários a serviço do Iepha, referente ao mês 01/2021</t>
  </si>
  <si>
    <t>Transferência para Conta Reserva referente aos rendimentos de aplicações financeiras do mês 01/2021</t>
  </si>
  <si>
    <t>Consumo de energia elétrica do mês 02/2021</t>
  </si>
  <si>
    <t>PIS referente a folha do mês 01/2021</t>
  </si>
  <si>
    <t>Cofins referente ao rendimento de aplicações financeiras do mês 01/2021</t>
  </si>
  <si>
    <t>Aluguel do mês de janeiro/2021 do CTP</t>
  </si>
  <si>
    <t>Consumo de telefone móvel para os funcionários a serviço do Contrato de Gestão e Termo de Parceria IEPHA referente ao mês 01/2021.</t>
  </si>
  <si>
    <t>Cofins referente aos rendimentos de aplicações financeiras do mês 01/2021</t>
  </si>
  <si>
    <t xml:space="preserve"> E-mail marketing</t>
  </si>
  <si>
    <t xml:space="preserve">02.351.877/0001-52 </t>
  </si>
  <si>
    <t>Execução do projeto expográfico do FIF - Festival Internacional de Fotografia:construção, montagem e desmontagem de paredes divisórias nas galerias Arlinda Corrêa Lima e Genesco Murta. O FIF - Festival Internacional de Fotografia - será realizado nas galerias da Arlinda Correia Lima e Genesco Murta, no Palácio das Artes, e no CamaraSete - Casa da Fotografia de Minas Gerais e tem abertura prevista para 04 de março de 2021. Para a realização do mesmo faz-se necessária a execução do projeto expográfico que inclui paredes divisórias nas galerias Arlinda Corrêa Lima e Genesco Murta.</t>
  </si>
  <si>
    <t>Fala Comercio De Cenario Ltda</t>
  </si>
  <si>
    <t xml:space="preserve"> 07.900.263/0001-04 </t>
  </si>
  <si>
    <t>Férias da Analista Financeiro Pleno</t>
  </si>
  <si>
    <t>Rescisão de Contrato de Trabalho: Gerente de Projetos: Programação Artística</t>
  </si>
  <si>
    <t xml:space="preserve">045.377.216-18 </t>
  </si>
  <si>
    <t>Termo de Rescisão</t>
  </si>
  <si>
    <t>FGTS referente ao FGTS Rescisório</t>
  </si>
  <si>
    <t>Tela plástica tipo viveiro galinheiro rolo de 1,50m X 50 mts ou 1,00m X 50 mts. Necessário para proteção da grade do fundo de palco onde ficam guardadas as cases de instrumentos pois os gatos estão fazendo ninho e necessidades fisiológicas.</t>
  </si>
  <si>
    <t xml:space="preserve">Empresas.americanas.com-B2W Companhia Digital
</t>
  </si>
  <si>
    <t xml:space="preserve"> 00.776.574/0001-56 </t>
  </si>
  <si>
    <t>000.012.629</t>
  </si>
  <si>
    <t>Pagamento de direito autoral do texto,"Da terra ao ar: a privação e a leveza em dois fotogramas de Munich (1972, Carole e Paul Roussopoulos)", de Patricia Machado, para publicação em site e catálogo do 22º Festcurtas BH.O FestCurtas BH é um evento de grande extensão realizado anualmente no Cine Humberto Mauro e para a realização da 22ª edição no ano de 2020, faz-se necessário o pagamento de direito autoral de texto para publicação no catálogo desta edição, bem como no site do festival. Os textos que compõe o conteúdo de ensaios e entrevistas do catálogo, referentes à mostra especial e temática desta edição, foram produzidos por pesquisadoras e críticas da cinematografia nacional.</t>
  </si>
  <si>
    <t>Patricia Furtado Mendes Machado 07508488717</t>
  </si>
  <si>
    <t>Professor para Módulo 3 - Articulação do italiano cantadoAulas sobre a língua italiana. Suas dificuldades, particularidades e necessidade para o canto. Regras gerais de fonética do idioma e apoio às necessidades específicas de cada um dos cantores.Carga horária - 4hDados: 24/10 e 7/11 (sábados)Hora: 10h às 12h. Academia da Ópera integra a programação da inédita Temporada de Ópera on-line. Oferece atividades variadas com o objetivo de fomentar uma grande troca de conhecimentos e experiências entre os profissionais da ópera no Brasil - e estes com todo o público. A proposta é melhorar o aprimoramento de profissionais do teatro lírico e promover o compartilhamento de informações do mais alto nível entre a comunidade do gênero - artistas, profissionais e público. A programação oferta um curso de aperfeiçoamento para cantores líricos pré-selecionados e Oficinas técnicas direcionadas a vários profissionais do setor. Diante disso, faz-se necessário a contratação de profissional citado na descrição do processo.</t>
  </si>
  <si>
    <t>Rafael Andrade de Oliveira Abreu</t>
  </si>
  <si>
    <t>339.792.208-93</t>
  </si>
  <si>
    <t>Tarifa Bancária referente a transferência eletrônica pagamento fornecedor:  Andréia Simões Santos</t>
  </si>
  <si>
    <t>Tarifa Bancária referente a transferência eletrônica pagamento fornecedor: Fabrício de Paula Silva</t>
  </si>
  <si>
    <t>Tarifa Bancária referente a transferência eletrônica pagamento fornecedor: Patricia Furtado Mendes Machado 07508488717  - Processo 1086</t>
  </si>
  <si>
    <t>Tarifa Bancária referente a transferência eletrônica pagamento fornecedor: Rafael Andrade de Oliveira Abreu - Processo 818</t>
  </si>
  <si>
    <t>Imposto de Renda referente aos rendimentos de aplicações financeiras do mês 02/2021</t>
  </si>
  <si>
    <t>IOF referente aos rendimentos de aplicações financeiras do mês 02/2021</t>
  </si>
  <si>
    <t>Locação de equipamentos com montagem e ajuste de som para utilização no Prêmio Décio Noviello de Artes Visuais 2020, que ocupará a Galeria Genesco Murta.</t>
  </si>
  <si>
    <t xml:space="preserve">02.028.930/0001-89 </t>
  </si>
  <si>
    <t>Compra de tinta e material de pintura. "Acervo FCS - Retratos" é a exposição elaborada pela Gerência de Artes Visuais da FCS com obras do acervo da instituição com o recorte "retratos" e que irá ocupar a PQNA Galeria Pedro Moraleida de 18 de fevereiro a 18 de abril de 2021. Para a realização da mesma, faz-se necessáriaa compra de tintas e material de pintura para pintura do teto da galeria e mobiliário expositivo.</t>
  </si>
  <si>
    <t>Osmar Tintas Ltda</t>
  </si>
  <si>
    <t>23.938.210/0003-92</t>
  </si>
  <si>
    <t>Referentes a honorários por trabalhos acima do teto - Aditivo</t>
  </si>
  <si>
    <t>Recibo Fiscal</t>
  </si>
  <si>
    <t xml:space="preserve">DANFPS-E </t>
  </si>
  <si>
    <t xml:space="preserve">Valor referente a Medicina do Trabalho do mês 02/2021 - PPRA </t>
  </si>
  <si>
    <t>Valor referente a Medicina do Trabalho do mês 02/2021- PCMSO</t>
  </si>
  <si>
    <t>2021/1874</t>
  </si>
  <si>
    <t>20 caixas de papelão na medida 60x60x50cm, papelão duplo, reforçadas destinadas a transportar e acondicionar itens do acervo do CTPF Andradas para o CTPF Marzagão,10 rolos de fita crepe (larga) e10 rolos de fita transparente para empacotamento.</t>
  </si>
  <si>
    <t>Redpel Comércio E Distrb. De Papéis E Embalagens Eireli</t>
  </si>
  <si>
    <t>02.396.228/0001-78</t>
  </si>
  <si>
    <t>Contratação de serviço de transporte para coleta e devolução do material que será usado na montagem da obra de arte site specific na galeria Genesco Murta / FCS.O Prêmio Décio Noviello é o edital que seleciona projeto em Artes Visuais e Fotografia para ocupação das galerias da FCS. Para a realização da exposição"É hora da onça beber água", de Adeilson Willian da Silva, artista selecionado na edição de 2020, faz-se necessário o transporte - coleta e devolução - do material que será usado na montagem da obra de arte site specific na galeria Genesco Murta.</t>
  </si>
  <si>
    <t>O FestCurtas BH é um evento de grande extensão realizado anualmente no Cine Humberto Mauro e para a realização da 22ª edição no ano de 2020, faz-se necessária a fabricação de 7 exemplares do Troféu Capivara desta ediçãopara premiação dos ganhadores das mostras competitivas do Festival.</t>
  </si>
  <si>
    <t>Eduardo Leonel Soares De Melo 06716684638</t>
  </si>
  <si>
    <t>19.079.955/0001-04</t>
  </si>
  <si>
    <t>Contratação de produtor para atuar durante as etapas de pré-produção, produção e pós produção das exposições de artes visuais que ocorrerão ao longo do ano de 2021 nos espaços expositivos da FCS. - Aditivo</t>
  </si>
  <si>
    <t>Contratação de 4 cachês artísticos para coralista participar de apresentações e eventos do CLMG organizadas em série e / ou programas de difusão, formação e mediação cultural.Faz-se necessária a contratação de coralista para a realização de 04 (quatro) cachês artísticos referentes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</si>
  <si>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Contratação de 04 cachês artísticos para músico (a) instrumentista participar de apresentações e eventos da OSMG organizadas em série e / ou programas de difusão, formação e mediação cultural.</t>
  </si>
  <si>
    <t>Leandro Lino Da Cunha 11332122639</t>
  </si>
  <si>
    <t xml:space="preserve">21.002.287/0001-69
</t>
  </si>
  <si>
    <t>Contratação de 4 cachês artísticos para coralista participar de apresentações e eventos do CLMG organizadas em série e / ou programas de difusão, formação e mediação cultural.az-se necessária a contratação de coralista para a realização de 04 (quatro) cachês artísticos referentes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</si>
  <si>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 xml:space="preserve">2021/2 </t>
  </si>
  <si>
    <t>Compra de lanche para reunião gerencial de planejamento das atividades do Período Avaliatório do Contrato de Gestão. No dia 19 de fevereiro de 2021, na sede a Appa, ocorrerá a primeira reunião de planejamento do ano de 2021. Neste momento, serão apresentados os resultados de 2020 e a proposta de ações para o 5º Período Avaliatório. Para tanto, faz-se necessária a compra de um lanche para aproximadamente 10 pessoas e compor a reunião de planejamento.</t>
  </si>
  <si>
    <t>Contratação de Restaurador/Conservador para confecção e conferência de laudos técnicos das obras de artes que integram as exposições"Tornar o impossível possível", de Marcela Cantuária, "Inventário Verde da Boa Esperança", de Maurício Soares, e "É verão o ano inteiro", de Dalila Coelho,selecionadas no edital Prêmio Décio Noviello de Artes Visuais e Fotografia 2020. Serão necessárias seis diárias de serviço em Belo Horizonte/MG, sendo quatro na montagem (entrega das obras) e duas na desmontagem (para devolução das obras). Lista de obras e endereços em anexo.</t>
  </si>
  <si>
    <t>Coordenação Geral - CHM PROGRAMAÇÃO E FOMENTO 2018 - ref. 09/2020 - CHM PROGRAMAÇÃO E FOMENTO 2018 - ref. 09/2020 - Transferencia para a conta 16517-4 - Projetos Meta do Contrato de Gestão</t>
  </si>
  <si>
    <t xml:space="preserve">018-021 </t>
  </si>
  <si>
    <t>Coordenação Geral - CHM PROGRAMAÇÃO E FOMENTO 2018 - ref. 10/2020 - Transferencia para a conta 16517-4 - Projetos Meta do Contrato de Gestão</t>
  </si>
  <si>
    <t>020-021</t>
  </si>
  <si>
    <t>Coordenação Geral - CHM PROGRAMAÇÃO E FOMENTO 2018 - ref. 11/2020 - Transferencia para a conta 16517-4 - Projetos Meta do Contrato de Gestão</t>
  </si>
  <si>
    <t>022-021</t>
  </si>
  <si>
    <t>Coordenação Técnica - CHM PROGRAMAÇÃO E FOMENTO 2018 - ref. 09/2020 - Transferencia para a conta 16517-4 - Projetos Meta do Contrato de Gestão</t>
  </si>
  <si>
    <t>019-021</t>
  </si>
  <si>
    <t>Coordenação Geral - CHM PROGRAMAÇÃO E FOMENTO 2018 - ref. 12/2020 - Transferencia para a conta 16517-4 - Projetos Meta do Contrato de Gestão</t>
  </si>
  <si>
    <t>024-021</t>
  </si>
  <si>
    <t>Coordenação Geral - CHM PROGRAMAÇÃO E FOMENTO 2018 - ref. 01/2021 - Transferencia para a conta 16517-4 - Projetos Meta do Contrato de Gestão</t>
  </si>
  <si>
    <t>026-021</t>
  </si>
  <si>
    <t>Coordenação Técnica - CHM PROGRAMAÇÃO E FOMENTO 2018 - ref. 10/2020 - Transferencia para a conta 16517-4 - Projetos Meta do Contrato de Gestão</t>
  </si>
  <si>
    <t>021-021</t>
  </si>
  <si>
    <t>Coordenação Técnica - CHM PROGRAMAÇÃO E FOMENTO 2018 - ref. 11/2020 - Transferencia para a conta 16517-4 - Projetos Meta do Contrato de Gestão</t>
  </si>
  <si>
    <t>023-021</t>
  </si>
  <si>
    <t>Coordenação Técnica - CHM PROGRAMAÇÃO E FOMENTO 2018 - ref. 12/2020 - Transferencia para a conta 16517-4 - Projetos Meta do Contrato de Gestão</t>
  </si>
  <si>
    <t>025-021</t>
  </si>
  <si>
    <t>Coordenação Técnica - CHM PROGRAMAÇÃO E FOMENTO 2018 - ref. 01/2021 - Transferencia para a conta 16517-4 - Projetos Meta do Contrato de Gestão</t>
  </si>
  <si>
    <t>027-021</t>
  </si>
  <si>
    <t>Faz-se necessária a contratação de músico (a) instrumentista para a realização de 04 (quatro) cachês artísticos referentes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</si>
  <si>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Luis Fernando Umbelino Da Silva 11187957682</t>
  </si>
  <si>
    <t>Contratação de 04 cachês artísticos para Maestro participar de apresentações e eventos da OSMG organizadas em série e / ou programas de difusão, formação e mediação cultural.</t>
  </si>
  <si>
    <t>Contratação de 04 cachês artísticos para músico (a) instrumentista participar de apresentações e eventos da OSMG organizadas em série e / ou programas de difusão, formação e mediação cultural.Faz-se necessária a contratação de músico (a) instrumentista para a realização de 04 (quatro) cachês artísticos referentes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</si>
  <si>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Patrick Messias Silva 10860379604</t>
  </si>
  <si>
    <t xml:space="preserve">20.520.633/0001-38
</t>
  </si>
  <si>
    <t>Faz-se necessária a contratação de músico (a) instrumentista para a realização de 04 (quatro)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</si>
  <si>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Aldo Cesar Da Silva 06777405658</t>
  </si>
  <si>
    <t>Contratação de 4 cachês artísticos para coralista participar de apresentações e eventos do CLMG organizadas em série e / ou programas de difusão, formação e mediação cultural.Faz-se necessária a contratação de coralista para a realização de 04 (quatro) cachês artísticos referentes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</si>
  <si>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 xml:space="preserve"> 29.888.413/0001-36 </t>
  </si>
  <si>
    <t>Silvia Maurício De Souza Campos Neves 95475702691</t>
  </si>
  <si>
    <t>Simone Poliana De Jesus Martins E Silva 07469158618</t>
  </si>
  <si>
    <t>Vitor Dutra Oliveira 00462792617</t>
  </si>
  <si>
    <t>Contratação de 4 cachês artísticos de pianista para apresentações e eventos do CLMG organizadas em série e / ou programas de difusão, formação e mediação cultural.Faz-se necessária a contratação de pianista para realização de 04 (quatro) cachês artísticos referentes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</si>
  <si>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 xml:space="preserve">2021/5 </t>
  </si>
  <si>
    <t>Hozana Martins De Barros Santos 12644396603</t>
  </si>
  <si>
    <t>Igor De Lima Pereira 11549535641</t>
  </si>
  <si>
    <t>Coordenação Geral - CHM PROGRAMAÇÃO E FOMENTO 2018 - ref. 09/2020 - Transferencia conta Cine Humberto Mauro</t>
  </si>
  <si>
    <t>018-021</t>
  </si>
  <si>
    <t>Coordenação Geral - CHM PROGRAMAÇÃO E FOMENTO 2018 - ref. 10/2020 - CHM PROGRAMAÇÃO E FOMENTO 2018 - ref. 09/2020 - Transferencia conta Cine Humberto Mauro</t>
  </si>
  <si>
    <t>Coordenação Geral - CHM PROGRAMAÇÃO E FOMENTO 2018 - ref. 11/2020 - CHM PROGRAMAÇÃO E FOMENTO 2018 - ref. 09/2020 - Transferencia conta Cine Humberto Mauro</t>
  </si>
  <si>
    <t>Coordenação Técnica - CHM PROGRAMAÇÃO E FOMENTO 2018 - ref. 09/2020 - CHM PROGRAMAÇÃO E FOMENTO 2018 - ref. 09/2020 - Transferencia conta Cine Humberto Mauro</t>
  </si>
  <si>
    <t>Coordenação Geral - CHM PROGRAMAÇÃO E FOMENTO 2018 - ref. 12/2020 - CHM PROGRAMAÇÃO E FOMENTO 2018 - ref. 09/2020 - Transferencia conta Cine Humberto Mauro</t>
  </si>
  <si>
    <t>Coordenação Geral - CHM PROGRAMAÇÃO E FOMENTO 2018 - ref. 01/2021 - CHM PROGRAMAÇÃO E FOMENTO 2018 - ref. 09/2020 - Transferencia conta Cine Humberto Mauro</t>
  </si>
  <si>
    <t>Coordenação Técnica - CHM PROGRAMAÇÃO E FOMENTO 2018 - ref. 10/2020 - CHM PROGRAMAÇÃO E FOMENTO 2018 - ref. 09/2020 - Transferencia conta Cine Humberto Mauro</t>
  </si>
  <si>
    <t>Coordenação Técnica - CHM PROGRAMAÇÃO E FOMENTO 2018 - ref. 11/2020 - CHM PROGRAMAÇÃO E FOMENTO 2018 - ref. 09/2020 - Transferencia conta Cine Humberto Mauro</t>
  </si>
  <si>
    <t>Coordenação Técnica - CHM PROGRAMAÇÃO E FOMENTO 2018 - ref. 12/2020 - CHM PROGRAMAÇÃO E FOMENTO 2018 - ref. 09/2020 - Transferencia conta Cine Humberto Mauro</t>
  </si>
  <si>
    <t>Coordenação Técnica - CHM PROGRAMAÇÃO E FOMENTO 2018 - ref. 01/2021 - CHM PROGRAMAÇÃO E FOMENTO 2018 - ref. 09/2020 - Transferencia conta Cine Humberto Mauro</t>
  </si>
  <si>
    <t>Reembolso realizado pelo Termo de Parceria 50/2020 - IEPHA referente ao percentual (21,88% do valor total ) consumo de água da sede da Appa- mês 01/2021</t>
  </si>
  <si>
    <t>Contratação para criação de Trilha Sonora para Vídeo Coletivo da CDPA. Necessário para criação da trilha sonora para vídeo coletivo de fevereiro da Cia de Dança. Iniciando as comemorações de 50 anos da CDPA, a proposta da apresentação é embarcar numa viagem ao tempo, revisitando as memórias, recordações e lembranças que ecoam nos corpos, nas paredes, nos espaços e nos caminhos percorridos até aqui nesses 50 anos de uma trajetória forte, sólida e de qualidade técnica e artística de alto nível, escrevendo a própria história e a história da Dança mineira e brasileira. Instigados com o início dessa “viagem ao tempo”, foram convidados artistas que já fizeram parte dessa história para dialogar com o elenco nas criações e para essa criação trouxemos Tuca Pinheiro, que dirigiu duas importantes obras coreográficas da Cia, Coreografia de Cordel (2204) e PPP (Primeirapessoadoplural) 2015 onde dividiu a direção com Jorge Garcia. O vídeo tem programação de ser publicado em 27/02 nas redes sociais da FCS e essa ação integra o projeto "Palácio em sua Companhia".</t>
  </si>
  <si>
    <t>001-21.06350232-1</t>
  </si>
  <si>
    <t>Consumo de água e esgosto referente ao mês 02/2021.</t>
  </si>
  <si>
    <t>001.2108386494-5</t>
  </si>
  <si>
    <t>Caminhão pequeno para transporte de diversos itens do CTP Marzagão para a Gruta, e sua devolução, referentes a montagem do Teatro do período da noite.  Apresentações são ações didático-pedagógicas que permitam aos alunos a percepção e a vivência da dinâmica entre o espaço de apresentação, o público, e a atuação - elementos fundamentais para a formação artística. O transporte de itens cenográficos é necessário para que haja a composição de cena e ajudam a contar a estória. Este processo está em complemento ao processo #1085, segundo print de comunicação em anexo.</t>
  </si>
  <si>
    <t>Contratação de profissional para criar trilha original para o vídeo coletivo da Cia de Dança dentro do Projeto "Palácio em sua Companhia". Faz-se necessário contratação de profissional para composição, produção, execução de instrumentos, gravação, mixagem,masterização de trilha sonora de vídeo da Companhia de Dança do Palácio das Artes que será publicado nas mídias sociais.</t>
  </si>
  <si>
    <t>Contratação de 04 cachês artísticos para músico (a) instrumentista participar de apresentações e eventos da OSMG organizadas em série e/ou programas de difusão, formação e mediação cultural.Faz-se necessária a contratação de músico (a) instrumentista para a realização de 04 (quatro)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</si>
  <si>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Andre Lodi Rocha</t>
  </si>
  <si>
    <t>041.141.936-69</t>
  </si>
  <si>
    <t>Contratação de arquivista em atendimento as apresentações e eventos do CLMG organizadas em série e / ou programas de difusão, formação e mediação cultural.Faz-se necessária a contratação de arquivista em atendimento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 Parcela 01</t>
  </si>
  <si>
    <t>Contratação de profissional (trafego) para organização das demandas alinhadas à Assessora de Comunicação, sendo: planejar, organizar, setorizar as ações, definir prioridades, acompanhar prazos e entregas referente aos Projetos. Obrigatória experiência com planilhas de Excel e pacote Office.Contratação de um profissional para as demandas administrativas e operacional da parte de Comunicação dos Projetos (Trafego). Este profissional é essencial para a organização das demandas alinhadas à Assessora de Comunicação, sendo: planejar, organizar, setorizar as ações, definir prioridades. Aditivo</t>
  </si>
  <si>
    <t xml:space="preserve">2021/3 </t>
  </si>
  <si>
    <t>Leonardo Brasilino Rodrigues Da Cunha 04039016696</t>
  </si>
  <si>
    <t>Faz-se necessário a contratação de arranjador para elaboração de partituras musicais para o vídeo coletivo OSMG e CLMG - Esquentando os Tamborins.Neste mês de fevereiro, a Fundação Clóvis Salgado faz uma homenagem ao Carnaval de Belo Horizonte, atualmente considerado um dos maiores do país, mas que teve que ser cancelado devido à pandemia. Para não deixar essa importante data passar em branco, a Orquestra Sinfônica e o Coral Lírico de Minas Gerais apresentam “Pra quando o Carnaval voltar”, vídeo que será apresentado na Internet que consta com um belo arranjo com músicas de alguns do principais blocos carnavalescos da capital.</t>
  </si>
  <si>
    <t>Reembolso a conta do Contrato de Gestão - 05/2019 Aquisição de sistema de ponto para utilização pelos colaboradores da Appa - ano 2021. Referente ao mês 02/2021</t>
  </si>
  <si>
    <t>Reembolso realizado pelo Termo de Parceria 50/2020 - Iepha a conta do Contra de Gestão 005/2019 referente ao pagamento de guia de FGTS - Valor proporcional aos funcionários a serviço do TP 50/2020 - 02/2021</t>
  </si>
  <si>
    <t>Reembolso realizado pelo Termo de Parceria 50/2020 - Iepha referente  aquisição de sistema de ponto para utilização pelos colaboradores a serviço do Contrato de Gestão e Termo de Parceria - mês 02/2021.</t>
  </si>
  <si>
    <t xml:space="preserve">Reembolso realizado pela Appa - Projeto Pronac 203641 a conta do Contrato de Gestão referente ao pagamento de guia de FGTS. </t>
  </si>
  <si>
    <t>Reembolso realizado pelo Termo de Parceria 50/2020 - IEPHA  referente ao percentual (24,63% do valor total), assessoria contábil para o Contrato de Gestão 05/2019 e Termo de Parceria referente ao mês 02/2021</t>
  </si>
  <si>
    <t xml:space="preserve">Reembolso através da conta do Termo de Parceria 50/2020 - IEPHA, referente a contratação de profissional para apoio ao setor financeiro da Appa, em especial, na parte de Departamento Pessoal para o Contrato de Gestão 05/2019 e Termo de Parceria 50/2020 (mês 02/2021) - 26,41% do valor total </t>
  </si>
  <si>
    <t xml:space="preserve">Reembolso parcial da conta do Termo de Parceria 50/2020 - IEPHA, referente contratação de empresa de setor administrativo especializada em entidades do terceiro setor  para o Contrato de Gestão 05/2019 e Termo de Parceria 50/2020 (mês 02/2021) - 26,41% do valor total </t>
  </si>
  <si>
    <t>Reembolso realizado pelo Termo de Parceria 50/2020 - IEPHA referente ao percentual (24,89% do valor total), assessoria jurídica para o Contrato de Gestão e Termo de Parceria referente ao mês 02/2021.</t>
  </si>
  <si>
    <t>Salário da Assessora Pedagógica: Formação Artística e Tecnológica, referente ao mês 02/2021</t>
  </si>
  <si>
    <t>Salário da Produtora Cultural, referente ao mês 02/2021</t>
  </si>
  <si>
    <t>Salário do Montador Diart, referente ao mês 02/2021</t>
  </si>
  <si>
    <t>Salário do Presidente referente ao mês 02/2021</t>
  </si>
  <si>
    <t>Salário do Coordenador Administrativo referente ao mês 02/2021</t>
  </si>
  <si>
    <t>Salário do Gerente de Projetos: Programação Artística, referente a 02/2021</t>
  </si>
  <si>
    <t xml:space="preserve">2021/16 </t>
  </si>
  <si>
    <t xml:space="preserve">2021/15 </t>
  </si>
  <si>
    <t>Férias da Produtora Cultural: Produção Artística</t>
  </si>
  <si>
    <t xml:space="preserve">2021/247 </t>
  </si>
  <si>
    <t>Aluguel do mês de fevereiro/2021 do CTP</t>
  </si>
  <si>
    <t>Salário do Superintendente de Auditoria, referente ao mês 02/2021</t>
  </si>
  <si>
    <t>Salário da Analista Financeiro Pleno, referente ao mês 02/2021</t>
  </si>
  <si>
    <t>Salário do Coordenador de Comunicação, referente ao mês 02/2021</t>
  </si>
  <si>
    <t>Salário do Gerente de Projetos: Produção Artística, referente ao mês 02/2021</t>
  </si>
  <si>
    <t>Salário do Gerente de Projetos, referente ao mês 02/2021</t>
  </si>
  <si>
    <t>Salário do Diretor Financeiro, referente ao mês 02/2021</t>
  </si>
  <si>
    <t>Salário da Produtora Cultural: Produção Artística, referente ao mês 02/2021</t>
  </si>
  <si>
    <t>Salário da Auxiliar de serviços Gerais, referente ao mês 02/2021</t>
  </si>
  <si>
    <t>Salário do Montador Dipro, referente ao mês 02/2021</t>
  </si>
  <si>
    <t>Guia de ISSQN referente a nota fiscal 487 - Napele Produções Artísticas Ltda. - ME</t>
  </si>
  <si>
    <t>Guia de ISSQN referente ao RPA 1055 - Cintya Juliana Souza Santos Dias</t>
  </si>
  <si>
    <t>Guia de ISSQN referente ao RPA 1061 -  Angela Peres de Oliveira</t>
  </si>
  <si>
    <t>Guia de ISSQN referente ao RPA 1076 - Cristiano Cezarino Rodrigues</t>
  </si>
  <si>
    <t>Guia de ISSQN referente ao RPA 1077 - Camila Santos Cardoso</t>
  </si>
  <si>
    <t>Guia de ISSQN referente ao RPA 1078 - Brenno Theotonio De Castro</t>
  </si>
  <si>
    <t>Guia de ISSQN referente ao RPA 1079 - Maicon Jefferson Da Cruz</t>
  </si>
  <si>
    <t>Guia de ISSQN referente ao RPA 1080 - Laís  Flor Oliveira</t>
  </si>
  <si>
    <t>Guia de ISSQN referente ao RPA 1082 - Tereza Bruzzi De Carvalho</t>
  </si>
  <si>
    <t>Guia de ISSQN referente ao RPA 1083 - Alberto Gusmão Da Silva</t>
  </si>
  <si>
    <t xml:space="preserve">Guia de ISSQN referente ao RPA 1084 - Marco Túlio Zertolini da Silva </t>
  </si>
  <si>
    <t>ISSQN  referente ao RPA 1085  - André Di Franco Michell de Paula</t>
  </si>
  <si>
    <t>Guia de ISSQN referente a nota fiscal 2021/2 - Luiza Leandro Martins Fonseca 10287238652</t>
  </si>
  <si>
    <t>Guia de ISSQN referente a nota fiscal 2021/2 - Diego Júnio Costa De Oliveira Neves</t>
  </si>
  <si>
    <t>Guia de ISSQN referente a nota fiscal 2021/3 - Leben 108 Produtora De Filmes Ltda</t>
  </si>
  <si>
    <t>ISSQN referente a nota fiscal 2021/3 - Rafael Bruno De Oliveira Ferreira Eireli</t>
  </si>
  <si>
    <t>Guia de ISSQN referente a nota fiscal 2021/3 - Mylene Youssef A Vieira - Produções E Eventos Epp</t>
  </si>
  <si>
    <t>Guia de ISSQN referente a nota fiscal 2021/15 -  Fabrício Martins Batista 04680467630</t>
  </si>
  <si>
    <t>Guia de ISSQN referente a nota fiscal 2021/11 - Arco Cultural Ltda</t>
  </si>
  <si>
    <t>ISSQN referente a nota fiscal 2021/4 - Ana Helena De Sousa Campos</t>
  </si>
  <si>
    <t>Guia de ISSQN referente a nota fiscal 2021/4 - Leben 108 Produtora De Filmes Ltda</t>
  </si>
  <si>
    <t>Guia de ISSQN referente a nota fiscal 2021/5 - Leben 108 Produtora De Filmes Ltda</t>
  </si>
  <si>
    <t>Guia de ISSQN referente a nota fiscal 2021/6- Rosa De Areia Produções Ltda</t>
  </si>
  <si>
    <t>Guia de ISSQN referente a nota fiscal 2021/11 -  Logus Protection Patrimonial Ltda</t>
  </si>
  <si>
    <t>Guia de ISSQN referente a nota fiscal 2021/12 - Arco Cultural Ltda</t>
  </si>
  <si>
    <t>Guia de ISSQN referente a nota fiscal 2021/14 -  Logus Protection Patrimonial Ltda</t>
  </si>
  <si>
    <t>ISSQN referente a nota fiscal 2021/32 - Softwares de Gestão LTDA</t>
  </si>
  <si>
    <t>ISSQN referente a nota fiscal 2021/33 - Softwares de Gestão LTDA</t>
  </si>
  <si>
    <t>Guia de ISSQN  referente a nota fiscal 2021/34 - Softwares de Gestão LTDA</t>
  </si>
  <si>
    <t>ISSQN referente a nota fiscal 2021/35 - Softwares de Gestão LTDA</t>
  </si>
  <si>
    <t>Guia de ISSQN referente a nota fiscal 2021/89 - BH Fotocópias Digital Ltda.</t>
  </si>
  <si>
    <t>Guia de ISSQn referente a nota fiscal 2021/199 - Patrulha Eletrônica Ltda</t>
  </si>
  <si>
    <t>Guia de ISSQN referente a nota fiscal 2021/1274 - Assiste Saúde do Trabalhador e Medicina do Trabalho Ltda</t>
  </si>
  <si>
    <t>Guia de ISSQN referente a nota fiscal 2021/1874 - Ocupacional Medicina do Trabalho Ltda</t>
  </si>
  <si>
    <t>Guia de ISSQN referente a nota fiscal 2021/34601 - Cons Otimo de Bilhetagem Eletrônica</t>
  </si>
  <si>
    <t xml:space="preserve">Guia de ISSQN referente a nota fiscal 2021/39312 - Cons Operacional do Transporte de Passageiros  </t>
  </si>
  <si>
    <t>Guia de ISSQN referente a nota fiscal 2021/77389 - Unimed Belo Horizonte Cooperativa de Médica</t>
  </si>
  <si>
    <t>Guia de ISSQN referente a nota fiscal 2021/80995 - Unimed Belo Horizonte Cooperativa de Médica</t>
  </si>
  <si>
    <t>ISSQN  referente a nota fiscal 2021/14 - Elisete Gomes Joaquim de Oliveira-ME</t>
  </si>
  <si>
    <t>Automatizações Século Xxi Tratamento De Dados Ltda</t>
  </si>
  <si>
    <t xml:space="preserve">20.617.386/0001-92
</t>
  </si>
  <si>
    <t>FGTS referente a folha de pagamento do mês 02/2021</t>
  </si>
  <si>
    <t>Contratação de profissional para fazer captação, edição de som e vídeo para a Intervenção da Cia de Dança e também trilha sonora. A Cia. de Dança Palácio das Artes também está de volta para fazer um 2021 cheio de movimento e repleto de comemoração, uma vez que, neste ano, o grupo vai celebrar 50 anos de história. Para dar início oficialmente à agenda de 2021, apresentamos a performance Casa Vertigem em novo formato, que tem como proposta expor a relação humana com o tempo e as diferentes formas de percebê-lo e atravessá-lo. A performance possui direção de Christiano Castro, Jorge Ferreira e Lucas Resende – bailarinos da CDPA. Já a direção e a edição do vídeo ficaram por conta do videomaker Kleber Bassa. "Casa Vertigem" será exibida neste domingo, dia 21, às 16h, aqui no canal da Fundação Clóvis Salgado no Youtube.</t>
  </si>
  <si>
    <t xml:space="preserve">2021/8 </t>
  </si>
  <si>
    <t>Direção artística e musical de vídeo. O vídeo tem programação de ser publicado nas redes sociais da FCS dia 28/02/2021. Necessário Direção artística e musical do vídeo coletivo da OSMG e CLMG - Esquentando os Tamborins.Neste mês de fevereiro, a Fundação Clóvis Salgado faz uma homenagem ao Carnaval de Belo Horizonte, atualmente considerado um dos maiores do país, mas que teve que ser cancelado devido à pandemia. Para não deixar essa importante data passar em branco, a Orquestra Sinfônica e o Coral Lírico de Minas Gerais apresentam “Pra quando o Carnaval voltar”, vídeo que será apresentado na Internet que consta com um belo arranjo com músicas de alguns do principais blocos carnavalescos da capital.</t>
  </si>
  <si>
    <t>Tarifa Bancária referente a transferência eletrônica pagamento fornecedor: Arco Cultural Ltda - Processo 1191</t>
  </si>
  <si>
    <t>Tarifa Bancária referente a transferência eletrônica salário de férias da Produtora Cultural: Produção Artística</t>
  </si>
  <si>
    <t>Tarifa Bancária referente a transferência eletrônica pagamento fornecedor: Krypton Serviços Contábeis S/S - Processo 1114</t>
  </si>
  <si>
    <t>Tarifa Bancária referente a transferência eletrônica salário da Analista Financeiro Pleno</t>
  </si>
  <si>
    <t>Tarifa Bancária referente a transferência eletrônica salário Montador Diart</t>
  </si>
  <si>
    <t>Tarifa Bancária referente a transferência eletrônica salário do Gerente de Projetos: Produção Artística</t>
  </si>
  <si>
    <t>Tarifa Bancária referente a transferência eletrônica da Auxiliar de Serviços Gerais</t>
  </si>
  <si>
    <t>Tarifa Bancária referente a transferência eletrônica do salário Montador Dipro</t>
  </si>
  <si>
    <t>Tarifa Bancária referente a transferência eletrônica pagamento fornecedor: Kleber De Jesus Bispo 10663043603 - Processo 1367</t>
  </si>
  <si>
    <t>Tarifa Bancária referente a transferência eletrônica pagamento fornecedor: Christoffer Produções Artísticas Ltda - Processo 1361</t>
  </si>
  <si>
    <t>Tarifa Bancária referente a transferência eletrônica pagamento fornecedor: Rita Clemente Producoes Artisticas Ltda - Processo 1261</t>
  </si>
  <si>
    <t>ISSQN referente ao RPA 1053 - Junia Pertence Barbosa Santos</t>
  </si>
  <si>
    <t>ISSQN  referente ao RPA 1056 - Juliana Soares Rocha</t>
  </si>
  <si>
    <t>Guia de ISSQN referente a nota fiscal 2021/1 - Sergio Arruda Felicio</t>
  </si>
  <si>
    <t>Guia de ISSQN referente a nota fiscal 2021/7 - Fala Comércio de Cenário Ltda</t>
  </si>
  <si>
    <t>Guia de ISSQN referente a nota fiscal 2021/22 - Emer-som Ltda</t>
  </si>
  <si>
    <t>Guia de ISSQN referente a nota fiscal 2021/67 - Flag Impressao Digital Ltda</t>
  </si>
  <si>
    <t>Guia de ISSQN referente a nota fiscal 2021/68 - Flag Impressao Digital Ltda</t>
  </si>
  <si>
    <t>Guia de ISSQN referente a nota fiscal 2021/1 - Ponta De Areia Ltda. - Me</t>
  </si>
  <si>
    <t>Guia de ISSQN referente a nota fiscal 2021/2 - Chão Da Feira Ltda</t>
  </si>
  <si>
    <t>Guia de ISSQN referente a nota fiscal 2021/3 - Anavilhana Filmes Ltda. - Me</t>
  </si>
  <si>
    <t>ISSQN referente a nota fiscal 2021/5 - Ever Better Language Services Eirelli</t>
  </si>
  <si>
    <t>Guia de ISSQN referente a nota fiscal 2021/7 - Leben 108 Produtora De Filmes Ltda</t>
  </si>
  <si>
    <t>ISSQN referente a nota fiscal 2021/18 - Entrecampo Design Ltda</t>
  </si>
  <si>
    <t>Diego Júnio Costa De Oliveira Neves</t>
  </si>
  <si>
    <t>Patrícia Cláudia Pereira Lima Bernardi 03978862689</t>
  </si>
  <si>
    <t>Bolsa estágio do mês 02/2021</t>
  </si>
  <si>
    <t>041.573.372-39</t>
  </si>
  <si>
    <t>Guia de ISSQN referente ao RPA 1054 - Maria Izabel Correa De Oliveira</t>
  </si>
  <si>
    <t>ISSQN referente ao RPA 1058 - ao RPA 1057 - Lígia Pawlow de Paula</t>
  </si>
  <si>
    <t>ISSQN referente ao RPA 1058 - Ana dos Anjos Camarano Cardoso</t>
  </si>
  <si>
    <t>Guia de ISSQN referente a nota fiscal 2021/21 - Movimento e Comunicação Integrada - Daniel Helvécio</t>
  </si>
  <si>
    <t>Contratação de 04 cachês artísticos para bailarino (a) participar de apresentações e eventos da CDPA organizadas em série e/ou programas de difusão, formação e mediação cultural. Contratação de Amanda Santana como bailarina, representada por sua empresária Elisete Gomes Joaquim de Oliveira, através do contrato de representação anexo</t>
  </si>
  <si>
    <t xml:space="preserve">31.964.548/0001-85 </t>
  </si>
  <si>
    <t>Contratação de 04 cachês artísticos para bailarino (a) participar de apresentações e eventos da CDPA organizadas em série e/ou programas de difusão, formação e mediação cultural. Contratação de Pablo Garcia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</si>
  <si>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Anahí Poty como bailarina, representado por sua empresária Elisete Gomes Joaquim de Oliveira conforme contrato de representação artístico anexo</t>
  </si>
  <si>
    <t>2021/19</t>
  </si>
  <si>
    <t>Contratação de 04 cachês artísticos para bailarino (a) participar de apresentações e eventos da CDPA organizadas em série e/ou programas de difusão, formação e mediação cultural. Contratação de Maíra Campos como bailarina, representado pela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</si>
  <si>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Leonardo Garcia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</si>
  <si>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Lucas Resende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</si>
  <si>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Paulo Wesley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</si>
  <si>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Jorge Luiz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</si>
  <si>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 Contratação de Renato Augusto como bailarino, representado por sua empresária Elisete Gomes Joaquim de Oliveira conforme contrato de representação artístico anexo.</t>
  </si>
  <si>
    <t>Reembolso realizado pelo Termo de Parceria 50/2020 - Iepha  referente ao percentual (11,56% do valor total), despesas com cartório referente ao mês 02/2021</t>
  </si>
  <si>
    <t>Reembolso restante da conta do Termo de Parceria 50/2020 referente contratação de empresa de setor administrativo especializada em entidades do terceiro setor  para o Contrato de Gestão 05/2019 e Termo de Parceria 50/2020 (mês 02/2021) - 26,41% do valor total - Parcela 02/02</t>
  </si>
  <si>
    <t xml:space="preserve">38.147.446/0001-16 </t>
  </si>
  <si>
    <t>Tarifa Bancária referente a transferência eletrônica do pagamento ao fornecedor: 1º Tabelionato de Notas de Belo Horizonte</t>
  </si>
  <si>
    <t>Compra de duas molduras e um vidro de moldura para três obras selecionadas no acervo de obras de arte da Fundação Clóvis Salgado para a exposição "Acervo FCS - Retratos". "Acervo FCS - Retratos" é a exposição elaborada pela Gerência de Artes Visuais da FCS com obras do acervo da instituição com o recorte "retratos" e que irá ocupar a PQNA Galeria Pedro Moraleida no primeiro trimestre de 2012, logo que retomada as atividades presenciais.</t>
  </si>
  <si>
    <t>Van Gogh Molduras Ltda</t>
  </si>
  <si>
    <t>21.168.174/0002-19</t>
  </si>
  <si>
    <t>Tarifa Bancária referente a transferência eletrônica no dia 05/03/2021.</t>
  </si>
  <si>
    <t>Contratação de 4 cachês artísticos para coralista participar de apresentações e eventos do CLMG organizadas em série e / ou programas de difusão, formação e mediação cultural. Faz-se necessária a contratação de coralista para a realização de 04 (quatro) cachês artísticos referentes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</si>
  <si>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Contratação de 04 aulas de dança contemporânea para a preparação para criação do Vídeo Coletivo de fevereiro. Iniciando as comemorações de 50 anos da CDPA, a proposta da apresentação é embarcar numa viagem ao tempo, revisitando as memórias, recordações e lembranças que ecoam nos corpos, nas paredes, nos espaços e nos caminhos percorridos até aqui nesses 50 anos de uma trajetória forte, sólida e de qualidade técnica e artística de alto nível, escrevendo a própria história e a história da Dança mineira e brasileira. Instigados com o início dessa “viagem ao tempo”, foram convidados artistas que já fizeram parte dessa história para dialogar com o elenco nas criações e para essa criação trouxemos Tuca Pinheiro, que dirigiu duas importantes obras coreográficas da Cia, Coreografia de Cordel (2204) e PPP (Primeirapessoadoplural) 2015 onde dividiu a direção com Jorge Garcia. O vídeo tem programação de ser publicado em 27/02 nas redes sociais da FCS e essa ação integra o projeto "Palácio em sua Companhia".</t>
  </si>
  <si>
    <t>Reembolso realizado pelo Termo de Parceria 50/2020 - IEPHA referente ao percentual (20,22% do valor total ) do aluguel da sede da Appa referente ao mês 02/2021</t>
  </si>
  <si>
    <t>Aluguel da sede da Appa referente ao período de 10/02 a 09/03/2021</t>
  </si>
  <si>
    <t>Guia de ITPU - Parcela 02</t>
  </si>
  <si>
    <t>Upgrade do serviço de otimização conteúdo nas mídias sociais.</t>
  </si>
  <si>
    <t xml:space="preserve">030.761.766-17 </t>
  </si>
  <si>
    <t>Justificativa</t>
  </si>
  <si>
    <t>Tarifa Bancária referente a transferência eletrônica pagamento fornecedor: Guilherme Domingos de Oliveira - Processo 1253</t>
  </si>
  <si>
    <t>Contratação de Restaurador/Conservador para confecção e conferência de laudos técnicos de conservação das obras de arte que integram a exposição "Tornar o impossível possível", de Marcela Cantuária, selecionada pelo Prêmio Décio Noviello de Artes Visuais 2020. Serão necessárias quatro diárias de serviço no Rio de Janeiro/RJ, sendo duas na coleta e duas na devolução das obras. Lista de obras e endereços anexos ao processo.</t>
  </si>
  <si>
    <t>Maria Pierro Gripp 14722791740</t>
  </si>
  <si>
    <t>24.628.582/0001-13</t>
  </si>
  <si>
    <t>O FIF - Festival Internacional de Fotografia - será realizado nas galerias da Arlinda Correia Lima e Genesco Murta, no Palácio das Artes, e no CamaraSete - Casa da Fotografia de Minas Gerais e tem abertura prevista para 04 de março de 2021. Para a realização do mesmo faz-se necessária a compra de tintas para preparação e pintura das galerias conforme projeto expográfico da exposição.</t>
  </si>
  <si>
    <t>Atacadão Das Tintas Ltda</t>
  </si>
  <si>
    <t>00.830.498/0001-10</t>
  </si>
  <si>
    <t>O FIF - Festival Internacional de Fotografia - será realizado nas galerias da Arlinda Correia Lima e Genesco Murta, no Palácio das Artes, e no CamaraSete - Casa da Fotografia de Minas Gerais e tem abertura prevista para 04 de março de 2021. Para a realização do mesmo faz-se necessária a compra de argamassa para preparação e pintura das galerias conforme projeto expográfico da exposição.</t>
  </si>
  <si>
    <t>Contratação de 04 cachês artísticos para bailarino (a) participar de apresentações e eventos da CDPA organizadas em série e/ou programas de difusão, formação e mediação cultural.Contratação de Silvia Guedes como bailarina, representado por sua empresária Elisete Gomes Joaquim de Oliveira conforme contrato de representação artístico anexo</t>
  </si>
  <si>
    <t xml:space="preserve"> Rosana Guedes De Oliveira Carneiro 09504722636</t>
  </si>
  <si>
    <t>Reembolso realizado pelo Termo de Parceria 50/2020 - IEPHA referente ao percentual (42,53% do valor total), Segurança Eletrônica da Sede da APPA - mês 02/2021</t>
  </si>
  <si>
    <t>Reembolso realizado pelo Termo de Parceria 50/2020 - IEPHA referente ao percentual (32,89% do valor total), Manutenção de redes e computadores da sede da Appa - mês 02/2021</t>
  </si>
  <si>
    <t xml:space="preserve"> 18/02/2021 </t>
  </si>
  <si>
    <t xml:space="preserve">2021/199 </t>
  </si>
  <si>
    <t xml:space="preserve">2021/24 </t>
  </si>
  <si>
    <t>Contratação de Mediador para Webinar # ÓPERAHOJE - Temporada de Ópera on-line. Pensando nas urgentes acerca do presente e futuro do mercado operístico no Brasil, a Fundação Clóvis Salgado realiza o Webinar # ÓPERAHOJE . As mesas de hipnotizarão das temáticas: Patrimônio e contemporaneidade ; Como compor ópera hoje ; Políticas públicas e trabalho em rede ; Novas ações, novos públicos, novos teatros ; Teatros e orquestras em tempos de pandemia ; Academias de ópera e formação ; Mulheres na ópera ; Diversidade racial na ópera ; e Como anda o jornalismo cultural? ;Diante disso faz-se necessária a contratação do Mediador (a).</t>
  </si>
  <si>
    <t>Aldo Mussi Lopes Teixeira</t>
  </si>
  <si>
    <t>826.053.607-25</t>
  </si>
  <si>
    <t>Contratação de debatedora para compor a mesa de debate"O Corpo é um campo de batalha" na programação do 22º Festcurtas BH.O FestCurtas BH é um evento de grande extensão realizado anualmente no Cine Humberto Mauro e para a realização da 22ª edição no ano de 2020, faz-se necessária a contratação de debatedores para compor a mesa de debate "O Corpo é um campo de batalha", fruto da mostra especial "Carole Roussopoulos: Câmera na mão, corpo na luta", com mediação de Roberta Veiga.</t>
  </si>
  <si>
    <t>Rayanne Layssa Batista Da Silva 07166136464</t>
  </si>
  <si>
    <t>38.127.698/0001-83</t>
  </si>
  <si>
    <t>Tarifa Bancária referente a transferência eletrônica pagamento fornecedor: Aldo Mussi Lopes Teixeira - Processo 778</t>
  </si>
  <si>
    <t>Tarifa Bancária referente a transferência eletrônica pagamento fornecedor: Rayanne Layssa Batista Da Silva 07166136464 - Processo 1022</t>
  </si>
  <si>
    <t>Reembolso realizado pelo Termo de Parceria 50/2020 - IEPHA referente ao percentual (59,48% do valor total ) aluguel de impressoras da sede da Appa - Mês 02/2021.</t>
  </si>
  <si>
    <t>Contratação de Mediador para Webinar # ÓPERAHOJE - Temporada de Ópera on-line. Pensando nas urgentes acerca do presente e futuro do mercado operístico no Brasil, a Fundação Clóvis Salgado realiza o Webinar # ÓPERAHOJE . As mesas de hipnotizarão das temáticas: Patrimônio e contemporaneidade ; Como compor ópera hoje ; Políticas públicas e trabalho em rede ; Novas ações, novos públicos, novos teatros ; Teatros e orquestras em tempos de pandemia ; Academias de ópera e formação ; Mulheres na ópera ; Diversidade racial na ópera ; e Como anda o jornalismo cultural</t>
  </si>
  <si>
    <t>André Luiz De Campello Duarte Cardoso</t>
  </si>
  <si>
    <t>849.048.107-59</t>
  </si>
  <si>
    <t xml:space="preserve">
09/03/2021
</t>
  </si>
  <si>
    <t>U03780</t>
  </si>
  <si>
    <t>Contratação de serviços de vigia para o CTPF Marzagão, localizado à rua do Cartório 120 - Marzagão - Sabará/MG - CEP 34585-650. O serviço deverá ser prestado entre as 18:00h e 06:00h do dia seguinte, todos os dias da semana - inclusive sábado e domingo. Solicita-se que o serviço seja durante 60 dias. Parcela 01 - Referente ao total de 30 plantões do 05/02/2021 ao dia 06/03/2021 - Parcela 01</t>
  </si>
  <si>
    <t>Tarifa Bancária referente a transferência eletrônica pagamento fornecedor: Logus Protection Patrimonial Ltda - Processo 1309</t>
  </si>
  <si>
    <t xml:space="preserve">Tarifa Bancária referente a transferência eletrônica pagamento fornecedor: Marcio Jose De Sousa 06104936636 - Processo 1263 </t>
  </si>
  <si>
    <t>Reembolso realizado pelo Termo de Parceria 50/2020 - IEPHA referente ao percentual (20,22% do valor total) da taxa de emissão de boleto referente ao mês 02/2021</t>
  </si>
  <si>
    <t xml:space="preserve">Reembolso realizado pelo Termo de Parceria 50/2020 - Iepha referente ao uso de telefone fixo da sede da Appa - consumo do mês 02/2021 - Percentual de  28,17% do valor total </t>
  </si>
  <si>
    <t>Telefone Fixo da sede da Appa referente ao mês 02/2021</t>
  </si>
  <si>
    <t xml:space="preserve">9522130-MG </t>
  </si>
  <si>
    <t>Reembolso realizado pela Appa referente ao pagamento do Plano de Saúde dos Funcionários - Anglo</t>
  </si>
  <si>
    <t>Reembolso realizado pelo projeto MINC Pronac 17 referente ao pagamento do Plano de Saúde dos Funcionários  - CO PARTICIPAÇÃO</t>
  </si>
  <si>
    <t>Reembolso realizado pelo Termo de Parceria Iepha referente ao pagamento do Plano de Saúde dos Funcionários  - CO PARTICIPAÇÃO</t>
  </si>
  <si>
    <t>Edição e finalização de imagens/vídeos para disponibilização de material digital referente ao vídeo coletivo de fevereiro da CDPA. Necessário para edição de imagem para vídeo coletivo de fevereiro da Cia de Dança. Iniciando as comemorações de 50 anos da CDPA, a proposta da apresentação é embarcar numa viagem ao tempo, revisitando as memórias, recordações e lembranças que ecoam nos corpos, nas paredes, nos espaços e nos caminhos percorridos até aqui nesses 50 anos de uma trajetória forte, sólida e de qualidade técnica e artística de alto nível, escrevendo a própria história e a história da Dança mineira e brasileira. Instigados com o início dessa “viagem ao tempo”, foram convidados artistas que já fizeram parte dessa história para dialogar com o elenco nas criações e para essa criação trouxemos Tuca Pinheiro, que dirigiu duas importantes obras coreográficas da Cia, Coreografia de Cordel (2204) e PPP (Primeirapessoadoplural) 2015 onde dividiu a direção com Jorge Garcia. O vídeo tem programação de ser publicado em 27/02 nas redes sociais da FCS e essa ação integra o projeto "Palácio em sua Companhia".</t>
  </si>
  <si>
    <t xml:space="preserve"> 29.867.004/0001-53 </t>
  </si>
  <si>
    <t xml:space="preserve">22.204.920/0001-64 </t>
  </si>
  <si>
    <t>2021/80995</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</si>
  <si>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 CO PARTICIPAÇÂO</t>
  </si>
  <si>
    <t>2021/77389</t>
  </si>
  <si>
    <t>Tarifa Bancária referente a transferência eletrônica pagamento fornecedor: Hatari Filmes Ltda - Processo 1339</t>
  </si>
  <si>
    <t>Curadoria para pesquisa, criação, concepção de projeto expográfico, estudo de viabilidade, seleção de obras e contato com os artistas selecionados para a realização do FIF - Festival Internacional de Fotografia nas galerias Arlinda Corrêa Lima, Genesco Murta da FCS e CamaraSete - Casa da Fotografia de Minas Gerais, com abertura prevista para 18 de março de 2021.</t>
  </si>
  <si>
    <t>Guilherme Vieira Pinto Da Cunha 05515352610</t>
  </si>
  <si>
    <t>16.809.951/0001-46</t>
  </si>
  <si>
    <t>Marco Tulio De Sousa Ulhoa 06283026656</t>
  </si>
  <si>
    <t>Bruno Vilela De Oliveira</t>
  </si>
  <si>
    <t>09.590.327/0001-35</t>
  </si>
  <si>
    <t>Plotagem da identidade visual da exposição "Acervo FCS - Retratos" na PQNA Galeria Pedro Moraleida - FCS. "Acervo FCS - Retratos" é a exposição elaborada pela Gerência de Artes Visuais da FCS com obras do acervo da instituição com o recorte "retratos" e que irá ocupar a PQNA Galeria Pedro Moraleida de 22 de fevereiro a 18 de abril de 2021. Para a realização da mesma, faz-se a plotagem da identidade visual da exposição na galeria onde será realizada. Referente ao pagamento complementar</t>
  </si>
  <si>
    <t>2021/67</t>
  </si>
  <si>
    <t>Reembolso realizado pelo Contrato de Gestão 005/2019 - para Ag: 1614-4, Cc: nº 2462-7 do Banco do Brasil, de titularidade da APPA, referentes à ressarcimento das despesas de assinaturas da plataforma Zoom, processo 1336 (5 contas) e 1336 (2 contas) pagas pelo proponente</t>
  </si>
  <si>
    <t>Associação Pró-Cultura e Promoção das Artes - Agência 1614-4, conta corrente nº 2462-7 do Banco do Brasil, de titularidade da APPA.</t>
  </si>
  <si>
    <t>Reembolso realizado pelo Termo de Parceria 50/2020 - IEPHA referente ao percentual (21,88% do valor total ) consumo de água da sede da Appa- mês 02/2021</t>
  </si>
  <si>
    <t>Reembolso realizado pelo Termo de Parceria 50/2020 - IEPHA referente ao percentual (9,51% do valor total) consumo de energia elétrica da sede da Appa- mês 02/2021</t>
  </si>
  <si>
    <t>Reembolso realizado pelo Termo de Parceria 50/2020 - IEPHA referente ao percentual (21,35% do valor total), referente ao telefone móvel da sede da Appa- mês 02/2021.</t>
  </si>
  <si>
    <t>Consumo de água e esgoto referente ao mês de 02/2021</t>
  </si>
  <si>
    <t>001.21.12800369-2</t>
  </si>
  <si>
    <t>Energia Elétrica da Sede da Appa mês 02/2021</t>
  </si>
  <si>
    <t>Contratação de fornecedor de serviços de assessoria de imprensa para realização de resultados, redação de textos, divulgação junto à mídia, cobertura de pós-evento, seleção de fotos e imagens para divulgação, apoio em redes sociais, entre outras.</t>
  </si>
  <si>
    <t>Contratação de instrutor/monitor para realizar o processo educativo com o público durante a visitação da exposição "Acervo FCS - Retratos" e também orientar os frequentadores sobre as medidas de segurança de acordo com o protocolo sanitário de prevenção ao coronavírus.</t>
  </si>
  <si>
    <t>Fabiana Soares Da Silva</t>
  </si>
  <si>
    <t>075.827.436-01</t>
  </si>
  <si>
    <t>3 pacotes de Papel Sulfite 75g 210x297 A4 500 FL para uso em folhas de ponto dos colaboradores. As folhas de papel A4 são utilizadas para a confecção de folha de ponto dos colaboradores lotados no Cefart e para outros usos da Secretaria Acadêmica.</t>
  </si>
  <si>
    <t>Raízes Livraria Ltda</t>
  </si>
  <si>
    <t>30.044.862/0001-87</t>
  </si>
  <si>
    <t xml:space="preserve">Tarifa Bancária referente a transferência eletrônica pagamento fornecedor: Raízes Livraria Ltda - Processo 1432 </t>
  </si>
  <si>
    <t>Reembolso realizado pela APPA, referente a guia de ISSQN paga no mesmo valor nesse dia. A nota fiscal do Fabricio 2021/4 foi substituída porque ele emitiu como Simples porém ele não é do Simples mais. A nota fiscal, 2021/15, o ISSQN é a maior do que o que tinha sido pago.
O prestador de serviços reembolsou a APPA os valores e APPA reembolsou o CG o pagamento.</t>
  </si>
  <si>
    <t>IR Retido, referente aos salários do mês 01/2021</t>
  </si>
  <si>
    <t>IR Retido Férias Gerentes de Projetos - Fabiola Bruno do Couto</t>
  </si>
  <si>
    <t>IR Retido em férias Analista Financeiro Pleno - Andréia Simões Santos</t>
  </si>
  <si>
    <t>INSS retido dos funcionário, referente a folha de pagamento do mês 02/2021</t>
  </si>
  <si>
    <t>INSS retido em férias - Fabiola Bruno Couto e Guilherme Domingues</t>
  </si>
  <si>
    <t>INSS retido 13° salário rescisão - Fabrício de Paula Silva</t>
  </si>
  <si>
    <t>INSS Patronal referente ao mês 02/2021</t>
  </si>
  <si>
    <t>DARF/IR referente RPA 1061 - Angela Peres de Oliveira</t>
  </si>
  <si>
    <t>DARF/IR referente ao RPA1076 - Cristiano Cezarino Rodrigues</t>
  </si>
  <si>
    <t xml:space="preserve">DARF/IR referente ao RPA 1084 - Marco Túlio Zertolini da Silva </t>
  </si>
  <si>
    <t>DARF/IR referente ao RPA 1082 - Tereza Bruzzi De Carvalho</t>
  </si>
  <si>
    <t>Guia de INSS e INSS Patronal referente ao RPA 1083 - Alberto Gusmão Da Silva</t>
  </si>
  <si>
    <t>Guia de INSS e INSS Patronal referente ao RPA 1085  - André Di Franco Michell de Paula</t>
  </si>
  <si>
    <t>Guia de INSS e INSS Patronal referente ao RPA 1061 - Angela Peres de Oliveira</t>
  </si>
  <si>
    <t>Guia de INSS e INSS Patronal referente ao RPA 1078 - Brenno Theotonio De Castro</t>
  </si>
  <si>
    <t>Guia de INSS e INSS Patronal referente ao RPA 1077 - Camila Santos Cardoso</t>
  </si>
  <si>
    <t>Guia de INSS e INSS Patronal referente ao RPA 1055 - Cintya Juliana Souza Santos Dias</t>
  </si>
  <si>
    <t>Guia de INSS e INSS Patronal referente ao RPA1076 - Cristiano Cezarino Rodrigues</t>
  </si>
  <si>
    <t>Guia de INSS e INSS Patronal referente ao RPA 1080 - Laís  Flor Oliveira</t>
  </si>
  <si>
    <t>Guia de INSS e INSS Patronal referente ao RPA 1079 - Maicon Jefferson Da Cruz</t>
  </si>
  <si>
    <t xml:space="preserve">Guia de INSS e INSS Patronal referente ao RPA 1084 - Marco Túlio Zertolini da Silva </t>
  </si>
  <si>
    <t>Guia de INSS e INSS Patronal referente ao RPA 1082 - Tereza Bruzzi De Carvalho</t>
  </si>
  <si>
    <t>Guia de INSS referente a nota fiscal 2021/11 -  Logus Protection Patrimonial Ltda</t>
  </si>
  <si>
    <t>Guia de INSS referente a nota fiscal 2021/14 -  Logus Protection Patrimonial Ltda</t>
  </si>
  <si>
    <t xml:space="preserve">DARF/IR referente a nota fiscal 2156 - Cooperativa Paulista De Trabalho Dos Profissionais De Danca </t>
  </si>
  <si>
    <t>DARF/PCC referente a nota fiscal 2021/21063 - Unimed Belo Horizonte Cooperativa de Trabalho Médico</t>
  </si>
  <si>
    <t>DARF/IR referente a nota fiscal 2021/247 - Krypton Serviços Contábeis S/S</t>
  </si>
  <si>
    <t>DARF/PCC referente a nota fiscal 2021/130 - Krypton Serviços Contábeis S/s</t>
  </si>
  <si>
    <t xml:space="preserve">Guia de ISSQN gerada referente a diferença a recolher do ISS da NF-e 2021/15, pois a NF-e 2021/4 foi emitida em 10/02/2021 incorretamente. O Prestador Fabrício Martins Batista - CNPJ: 36.685.827/0001-23 emitiu a nota como Optante do Simples Nacional, alíquota de ISS 2.01% sendo que a partir de 01/2021 a empresa não é Optante do Simples Nacional.
</t>
  </si>
  <si>
    <t>Contratação de debatedor para a mesa de debate"Perceber a forma de outras vidas, perceber a vida de outras formas" que integra a programação do 22º Festcurtas BH.</t>
  </si>
  <si>
    <t>Antônio Bispo Dos Santos</t>
  </si>
  <si>
    <t>547.024.967-00</t>
  </si>
  <si>
    <t>DARF/IR referente ao RPA 1056 - Juliana Soares Rocha</t>
  </si>
  <si>
    <t>DARF/IR referente ao RPA 1053 - Junia Pertence Barbosa Santos</t>
  </si>
  <si>
    <t>Guia de INSS e INSS Patronal referente ao RPA 1056 - Juliana Soares Rocha</t>
  </si>
  <si>
    <t>Guia de INSS e INSS Patronal referente ao RPA 1053 - Junia Pertence Barbosa Santos</t>
  </si>
  <si>
    <t>Contratação de serviço especializado de coleta, transporte e devolução de obras de arte para exposições do Prêmio Décio Noviello.  As obras devem ser embaladas em softpack.A contratação de transporte especializado em obras de arte faz-se necessário para garantir a preservação e segurança de seu conteúdo desde a saída do atelier do artista até o local de exposição e posteriormente sua devolução até o local de origem.</t>
  </si>
  <si>
    <t>Millenium Fine Arts Serviços e Transportes Ltda</t>
  </si>
  <si>
    <t>04.526.924/0001-87</t>
  </si>
  <si>
    <t>51094.21 - NF 539 - CT-e  275, 276 e 277</t>
  </si>
  <si>
    <t>Confecção e instalação de moldura-chassi para 57 impressões fotográficas em tecido - grande formato - sendo 51 para ambiente interno e 06 para ambiente externo, de acordo com as especificações anexas ao processo.</t>
  </si>
  <si>
    <t>José Geraldo Martins 29566975600</t>
  </si>
  <si>
    <t>31.169.970/0001-49</t>
  </si>
  <si>
    <t>Execução do projeto expográfico do FIF - Festival Internacional de Fotografia:confecção, montagem e desmontagem de 12 totens expositivos para aplicação de imagens em grande formato, sendo 09 totens internos e 03 externos, conforme especificações e projeto anexos ao processo.</t>
  </si>
  <si>
    <t>DARF referente ao RPA 1054 - Maria Izabel Correa De Oliveira</t>
  </si>
  <si>
    <t>Guia de INSS e INSS patronal  referente ao RPA 1054 - Maria Izabel Correa De Oliveira</t>
  </si>
  <si>
    <t>Guia de INSS e INSS Patronal referente ao RPA 1057 - Lígia Pawlow de Paula</t>
  </si>
  <si>
    <t>Guia de INSS e INSS Patronal referente ao RPA 1058 - Ana dos Anjos Camarano Cardoso</t>
  </si>
  <si>
    <t xml:space="preserve">Contratação de 04 cachês artísticos para músico (a) instrumentista participar de apresentações e eventos da OSMG organizadas em série e / ou programas de difusão, formação e mediação cultural.Contratação de Raquel Carneirocomo músico instrumentista, representado por sua empresária Elisete Gomes Joaquim de Oliveira. </t>
  </si>
  <si>
    <t>Reembolso realizado pelo Termo de Parceria 50/2020 - IEPHA referente ao percentual (26,41% do valor total ) ao consumo de internet da Appa do mês 02/2021</t>
  </si>
  <si>
    <t>2021/62</t>
  </si>
  <si>
    <t xml:space="preserve">Contratação de serviço de hospedagem para um sistema de gestão acadêmica do CEFART no ano de 2020. Contratação de serviço de hospedagem para um sistema de gestão acadêmica para monitoramento e acompanhamento das atividades complementares do CEFART no ano de 2021               
                         </t>
  </si>
  <si>
    <t>2021/61</t>
  </si>
  <si>
    <t xml:space="preserve">Contratação de um sistema de gestão acadêmica do CEFART no ano de 2020.  Contratação de um sistema de gestão acadêmica para monitoramento e acompanhamento das atividades complementares do CEFART no ano de 2021.                         
                         </t>
  </si>
  <si>
    <t>2021/60</t>
  </si>
  <si>
    <t xml:space="preserve">2021/55 </t>
  </si>
  <si>
    <t>Internet para sede da Appa referente ao mês 02/2021</t>
  </si>
  <si>
    <t xml:space="preserve">1238024247-0 </t>
  </si>
  <si>
    <t>Consumo de energia elétrica do mês 03/2021</t>
  </si>
  <si>
    <t>Vale transporte para os funcionários a serviço do Contrato de Gestão para uso em 04/2021</t>
  </si>
  <si>
    <t>2021/64467</t>
  </si>
  <si>
    <t>Contratação de restaurador/conservador para confecção e conferência de laudos técnicos de conservação das obras de arte da exposição "Inventário Verde da Boa Esperança" de Maurício Soares, selecionado pelo edital Prêmio Décio Noviello de Fotografia 2020 após a devolução pela transportadora.</t>
  </si>
  <si>
    <t>Instituto Campo Gestão e Criação em Arte Contemporânea</t>
  </si>
  <si>
    <t>24.016.359/0001-15</t>
  </si>
  <si>
    <t>Transporte de obras de arte e material cenográfico conforme especificações e logística anexas ao processo. Faz-se necessária a contratação de transportadora para coleta e devolução de obras de arte e material cenográfico para a realização do "FIF - Festival Internacional de Fotografia", que acontecerá a partir de 18 de março de 2021, logo que retomada as atividades presencias, nas galeriasArlinda Correia Lima, Genesco Murta e Amilcar de Castro, no Palácio das Artes, e no CamaraSete - Casa da Fotografia de Minas Gerais / FCS.</t>
  </si>
  <si>
    <t>Reembolso realizado pelo Termo de Parceria 50/2020 - IEPHA referente ao percentual (26,41% do valor total ) aluguel de PABX da sede da Appa- mês 02/2021.</t>
  </si>
  <si>
    <t>Reembolso realizado pelo Termo de Parceria 50/2020 - IEPHA referente ao percentual (26,41% do valor total), telefone móvel para os funcionários a serviço do IEPHA, referente ao mês 02/2021.</t>
  </si>
  <si>
    <t xml:space="preserve">Internet Móvel  - Conta: 0362806069 </t>
  </si>
  <si>
    <t>Consumo de telefone móvel para os funcionários a serviço do Contrato de Gestão  e Termo de Parceria IEPHA referente ao mês 02/2021.</t>
  </si>
  <si>
    <t>PIS referente a folha de pagamento do mês 02/2021.</t>
  </si>
  <si>
    <t>Cofins referente aos rendimentos de aplicações financeiras do mês 02/2021.</t>
  </si>
  <si>
    <t>Tarifa Bancária referente a transferência eletrônica pagamento fornecedor: TMS Telecomunicações Ltda - Processo 1117</t>
  </si>
  <si>
    <t>400 abraçadeiras em nylon - tamanho de 20 cm (fita hellerman) na cor preta. Necessário para amarrar a proteção da grade do fundo de palco onde ficam guardadas como casos de instrumentos pois os gatos estão fazendo ninho e necessidade fisiológica.</t>
  </si>
  <si>
    <t>Contratação de Regente para participar de apresentações e eventos do CLMG organizadas em série e / ou programas de difusão, formação e mediação cultural.Faz-se necessária a contratação de Regente em atendimento as demandas dos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t>
  </si>
  <si>
    <t>Tarifa Bancária referente a transferência eletrônica pagamento fornecedor: Augusto Mário Goulart Pimenta - Processo 1202</t>
  </si>
  <si>
    <t>Consumo de água e esgosto referente ao mês 03/2021.</t>
  </si>
  <si>
    <t>001.21.14805700-3</t>
  </si>
  <si>
    <t xml:space="preserve"> 23/03/2021</t>
  </si>
  <si>
    <t>O FIF - Festival Internacional de Fotografia - será realizado nas galerias da Arlinda Correia Lima e Genesco Murta, no Palácio das Artes, e no CamaraSete - Casa da Fotografia de Minas Gerais e tem abertura prevista para 04 de março de 2021. Para a realização do mesmo faz-se necessária a impressão de 57 fotografias em grande formato que irão compor os ambientes externos e internos das exposições.</t>
  </si>
  <si>
    <t>Deumup Comunicacao Visual Ltda</t>
  </si>
  <si>
    <t xml:space="preserve">
 24.541.703/0001-95
</t>
  </si>
  <si>
    <t>Tarifa Bancária referente a transferência eletrônica pagamento fornecedor: Deumup Comunicacao Visual Ltda - Processo 1311</t>
  </si>
  <si>
    <t xml:space="preserve"> 02/03/2021 </t>
  </si>
  <si>
    <t>Imposto de Renda referente aos rendimentos de aplicações financeiras do mês 03/2021.</t>
  </si>
  <si>
    <t>IOF referente aos rendimentos de aplicações financeiras do mês 03/2021.</t>
  </si>
  <si>
    <t>Rendimentos de aplicações financeiras do mês 03/2021.</t>
  </si>
  <si>
    <t>Tabela 9 - Diário de Entradas e Saídas do Contrato de Gestão - 2º Período Avaliatório</t>
  </si>
  <si>
    <t>NA</t>
  </si>
  <si>
    <t xml:space="preserve">Repasse parcial referente a 04º parcela </t>
  </si>
  <si>
    <t>Transferência para Conta Reserva referente aos rendimentos de aplicações financeiras do mês 02/2021</t>
  </si>
  <si>
    <t>Necessário 4 afinações de pianos. Contratação de profissional para afinação dos pianos das salas de ensaio do CLMG e OSMG necessário para o vídeo Esquentando os Tamborins, ação que integra o projeto "Palácio em sua Companhia".O vídeo tem programação de ir para plataforma da FCS, Instagram e/ou youtube dia 28/02/2021. Datas e horários a combinar com os Gerentes das áreas OSMG e CLMG.</t>
  </si>
  <si>
    <t xml:space="preserve"> Guido Odilon Franco 29373891634</t>
  </si>
  <si>
    <t xml:space="preserve">Valor referente a Medicina do Trabalho do mês 03/2021 - PPRA </t>
  </si>
  <si>
    <t>2021/2253</t>
  </si>
  <si>
    <t>Valor referente a Medicina do Trabalho do mês 03/2021- PCMSO</t>
  </si>
  <si>
    <t>2021/3151</t>
  </si>
  <si>
    <t xml:space="preserve">Contratação de caminhão pequeno para transporte de itens de cenário e adereços diversos do CTPF Andradas para o CTPF Marzagão, referente a devolução e guarda desses materiais no local de origem.Faz-se necessário a contratação do serviço para devolução e guarda dos materiais para seu local de origem para cumprimento das ações do plano de trabalho destinado à gestão dos espaços do CTPF sob cuidados da APPA. </t>
  </si>
  <si>
    <t xml:space="preserve">Reembolso parcial da conta do Termo de Parceria 50/2020 - IEPHA, referente contratação de empresa de setor administrativo especializada em entidades do terceiro setor  para o Contrato de Gestão 05/2019 e Termo de Parceria 50/2020 (mês 03/2021) - 26,41% do valor total - </t>
  </si>
  <si>
    <t>Reembolso parcial da conta do Termo de Parceria 50/2020 - IEPHA, referente a contratação de auditoria externa para as contas do Contrato de Gestão e Termo de Parceria</t>
  </si>
  <si>
    <t>Reembolso realizado pelo Termo de Parceria 50/2020 - IEPHA  referente ao percentual (26,41% do valor total), assessoria contábil para o Contrato de Gestão 05/2019 e Termo de Parceria referente ao mês 03/2021</t>
  </si>
  <si>
    <t>Guia de ISSQN referente a nota fiscal 174 - Christoffer Produções Artísticas Ltda</t>
  </si>
  <si>
    <t>ISSQN referente ao RPA 1089 - Augusto Mário Goulart Pimenta</t>
  </si>
  <si>
    <t>Guia de ISSQN referente ao RPA 1098 - André Luiz De Campello Duarte Cardoso</t>
  </si>
  <si>
    <t>Guia de ISSQN referente ao RPA 1099 -  Aldo Mussi Lopes Teixeira</t>
  </si>
  <si>
    <t>Guia de ISSQN referente a nota fiscal 2021/4 - Mylene Youssef A Vieira - Produções E Eventos EPP</t>
  </si>
  <si>
    <t>ISSQN referente a nota fiscal 2021/4 - Rafael Bruno De Oliveira Ferreira Eireli</t>
  </si>
  <si>
    <t>Guia de ISSQN referente a nota fiscal 2021/5 - Rita Clemente Producoes Artisticas Ltda</t>
  </si>
  <si>
    <t>ISSQN referente a nota fiscal 2021/5 - Rafael Bruno De Oliveira Ferreira Eireli</t>
  </si>
  <si>
    <t>Guia de ISSQN referente a nota fiscal 2021/6 - Luiza Leandro Martins Fonseca 10287238652</t>
  </si>
  <si>
    <t>Guia de ISSQN referente a nota fiscal 2021/8 - Girassolina Produções Ltda</t>
  </si>
  <si>
    <t>Guia de ISSQN referente a nota fiscal 2021/12 - Hatari Filmes Ltda</t>
  </si>
  <si>
    <t>Guia de ISSQN referente a nota fiscal 2021/15 - Arco Cultural Ltda</t>
  </si>
  <si>
    <t>Guia de ISSQN referente a nota fiscal 2021/16 - Fabrício Martins Batista 04680467630</t>
  </si>
  <si>
    <t>Guia de ISSQN referente a nota fiscal 2021/16 - Arco Cultural Ltda</t>
  </si>
  <si>
    <t>Guia de ISSQN referente a nota fiscal 2021/55 - Softwares de Gestão LTDA</t>
  </si>
  <si>
    <t>Guia de ISSQN referente a nota fiscal 2021/60 - Softwares de Gestão LTDA</t>
  </si>
  <si>
    <t>Guia de ISSQN referente a nota fiscal 2021/61 - Softwares de Gestão LTDA</t>
  </si>
  <si>
    <t>Guia de ISSQN referente a nota fiscal 2021/67 - Softwares de Gestão LTDA</t>
  </si>
  <si>
    <t xml:space="preserve">Guia de ISSQN referente a nota fiscal 2021/374 - Patrulha Eletrônica Ltda </t>
  </si>
  <si>
    <t xml:space="preserve">Guia de ISSQN referente a nota fiscal 2021/2253 - Assiste Saúde do Trabalhador e Medicina do Trabalho Ltda </t>
  </si>
  <si>
    <t xml:space="preserve">Guia de ISSQN referente a nota fiscal 2021/3151 - Ocupacional Medicina do Trabalho Ltda </t>
  </si>
  <si>
    <t>Guia de ISSQN referente a nota fiscal 2021/64467 - Cons Oper Transporte Coletivo</t>
  </si>
  <si>
    <t>Guia de ISSQN referente a nota fiscal 2021/134501 - Unimed Cooperativa de Trabalho Médico</t>
  </si>
  <si>
    <t>Guia de ISSQN referente a nota fiscal 2021/137363 - Unimed Cooperativa de Trabalho Médico</t>
  </si>
  <si>
    <t>2021/342</t>
  </si>
  <si>
    <t>Guia de ISSQN referente a nota fiscal 173 - Christoffer Produções Artísticas Ltda</t>
  </si>
  <si>
    <t>ISSQN referente ao RPA 1087 - Andre Lodi Rocha</t>
  </si>
  <si>
    <t>ISSQN referente ao RPA 1088 -  Robert Avelino Camilo</t>
  </si>
  <si>
    <t>ISS  referente ao RPA 1090 - Maria Izabel Correa De Oliveira</t>
  </si>
  <si>
    <t>Guia de ISSQN referente ao RPA 1093 - Ana dos Anjos Camarano Cardoso</t>
  </si>
  <si>
    <t>Guia de ISSQN referente ao RPA 1094 - Angela Peres de Oliveira</t>
  </si>
  <si>
    <t>Guia de ISSQN referente a nota fiscal 2021/15 - Elisete Gomes Joaquim De Oliveira</t>
  </si>
  <si>
    <t>Guia de ISSQN referente a nota fiscal 2021/17 - Elisete Gomes Joaquim De Oliveira</t>
  </si>
  <si>
    <t>Guia de ISSQN referente a nota fiscal 2021/18 - Elisete Gomes Joaquim De Oliveira</t>
  </si>
  <si>
    <t>Guia de ISSQN referente a nota fiscal 2021/19 - Elisete Gomes Joaquim De Oliveira</t>
  </si>
  <si>
    <t>Guia de ISSQN referente a nota fiscal 2021/20 - Elisete Gomes Joaquim De Oliveira</t>
  </si>
  <si>
    <t>Guia de ISSQN referente a nota fiscal 2021/21 - Elisete Gomes Joaquim De Oliveira</t>
  </si>
  <si>
    <t>Guia de ISSQN referente a nota fiscal 2021/22 - Elisete Gomes Joaquim De Oliveira</t>
  </si>
  <si>
    <t>Guia de ISSQN referente a nota fiscal 2021/23 - Elisete Gomes Joaquim De Oliveira</t>
  </si>
  <si>
    <t>Guia de ISSQN referente a nota fiscal 2021/24 - Elisete Gomes Joaquim De Oliveira</t>
  </si>
  <si>
    <t>Guia de ISSQN referente a nota fiscal 2021/25 - Elisete Gomes Joaquim De Oliveira</t>
  </si>
  <si>
    <t>Guia de ISSQN referente a nota fiscal 2021/26 - Elisete Gomes Joaquim De Oliveira</t>
  </si>
  <si>
    <t>Guia de ISSQN referente a nota fiscal 2021/32 - Movimento Comunicacao Integrada Ltda</t>
  </si>
  <si>
    <t>Guia de ISSQN referente a fatura 593 - Millenium Fine Arts Serviços e Transportes Ltda</t>
  </si>
  <si>
    <t>ISSQN referente ao RPA 1091 - Junia Pertence Barbosa Santos</t>
  </si>
  <si>
    <t>ISSQN referente ao RPA 1096 - Luciana Monteiro Campello</t>
  </si>
  <si>
    <t>Guia de ISSQN referente ao RPA 1100 -  Fabiana Soares Da Silva</t>
  </si>
  <si>
    <t xml:space="preserve">Guia de ISSQN referente ao RPA 1101 -  Daniella Gonçalves Caixeta </t>
  </si>
  <si>
    <t>Guia de ISSQN referente a nota fiscal 2021/8 - Fala Comércio de Cenário Ltda</t>
  </si>
  <si>
    <t>ISSQN referente ao RPA 1092 - Cintya Juliana Souza Santos Dias</t>
  </si>
  <si>
    <t>Guia de ISSQN referente a nota fiscal 2021/3 - Diego Júnio Costa De Oliveira Neves</t>
  </si>
  <si>
    <t xml:space="preserve">Thales Henrique Vieira Sabino 09440374616
</t>
  </si>
  <si>
    <t xml:space="preserve"> Maria Luiza Luz Alves Mendonca 14841323600</t>
  </si>
  <si>
    <t xml:space="preserve">Repasse restante referente a 04º parcela </t>
  </si>
  <si>
    <t>Contratação de serviço para Criação de trilha sonora para video coletivo da CDPA que será publicado no mês de março nas redes sociais da FCS. A trilha será criada de acordo as com a criação artística do grupo e orientadas pelo Regente da Cia de Dança. O trabalho será realizado diariamente, junto com o processo criativo dos bailarinos através de reuniões on-line.</t>
  </si>
  <si>
    <t xml:space="preserve"> Formidável Produções Artísticas Ltda. - Me</t>
  </si>
  <si>
    <t>Impressão de material gráfico e encadernações ligadas  as demandas do Contrato de Gestão 05/2019.</t>
  </si>
  <si>
    <t>BH Fotocópias Digital Ltda</t>
  </si>
  <si>
    <t>2021/235</t>
  </si>
  <si>
    <t>Contratação de auditoria externa para as contas do Contrato de Gestão e Termo de Parceria.Faz-se necessário a contratação de uma auditoria externa para acompanhar as contas do contrato de gestão e termo de parceria. Dentre a legislação, a auditoria externa irá compor as prestações de contas: "Para os casos em que o contrato de gestão assim dispuser, a prestação de contas deverá ser acompanhada de parecer da auditoria externa independente sobre a aplicação dos recursos das contas vinculadas ao contrato de gestão" e "Para os casos em que o termo de parceria assim dispuser, a prestação de contas deverá ser acompanhada de parecer da auditoria externa independente sobre a aplicação dos recursos das contas de recursos vinculados ao termo de parceria".</t>
  </si>
  <si>
    <t>Ovalle Leão Auditoria E Consultoria Ltda</t>
  </si>
  <si>
    <t>04.807.110/0001-10</t>
  </si>
  <si>
    <t>Tarifa Bancária referente a transferência eletrônica pagamento fornecedor: Formidável Produções Artísticas Ltda - Processo 1445</t>
  </si>
  <si>
    <t>Tarifa Bancária referente a transferência eletrônica pagamento fornecedor:Ovalle Leão Auditoria E Consultoria Ltda - Processo 670</t>
  </si>
  <si>
    <t xml:space="preserve"> Christoffer Produções Artísticas Ltda</t>
  </si>
  <si>
    <t>Contratação de 04 cachês artísticos para músico (a) instrumentista participar de apresentações e eventos da OSMG organizadas em série e / ou programas de difusão, formação e mediação cultural. Faz-se necessária a contratação de músico (a) instrumentista para a realização de 04 (quatro) cachês artísticos referente aos repertórios desenvolvidos para os eventos da OSMG. Devido a questão da Pandemia, os músicos participarão do projeto "Palácio em sua Cia", parte da programação de Mediação Cultural da FCS, que contempla a participação de apresentações em vídeo da OSMG, gerando conteúdos de programação para o ambiente virtual.</t>
  </si>
  <si>
    <t xml:space="preserve"> Aldo Cesar Da Silva 06777405658</t>
  </si>
  <si>
    <t xml:space="preserve"> Andréia Aparecida De Paula 03788933607</t>
  </si>
  <si>
    <t xml:space="preserve">Lucas Roberto De Souza Sodré 10957033664
</t>
  </si>
  <si>
    <t xml:space="preserve"> Hozana Martins De Barros Santos 12644396603</t>
  </si>
  <si>
    <t xml:space="preserve"> Ravel Munaier Lanza Conceição 08406317663</t>
  </si>
  <si>
    <t xml:space="preserve">29.888.413/0001-36
</t>
  </si>
  <si>
    <t xml:space="preserve"> Simone Poliana De Jesus Martins E Silva 07469158618</t>
  </si>
  <si>
    <t xml:space="preserve">15.382.378/0001-74
</t>
  </si>
  <si>
    <t xml:space="preserve"> Frederico Carlos Natalino 06822245618</t>
  </si>
  <si>
    <t xml:space="preserve"> Indaiara Silva Dos Santos Patrocínio 05823798652
</t>
  </si>
  <si>
    <t>Coordenação Geral - CHM PROGRAMAÇÃO E FOMENTO 2018 - ref. 02/2021 - CHM PROGRAMAÇÃO E FOMENTO 2018 - ref. 02/2020 - Transferencia para a conta 16517-4 - Projetos Meta do Contrato de Gestão</t>
  </si>
  <si>
    <t>37-021</t>
  </si>
  <si>
    <t>Coordenação Geral - CHM PROGRAMAÇÃO E FOMENTO 2018 - ref. 02/2021 - Transferencia para a conta 16517-4 - Projetos Meta do Contrato de Gestão</t>
  </si>
  <si>
    <t>36-021</t>
  </si>
  <si>
    <t>Coordenação Geral - CHM PROGRAMAÇÃO E FOMENTO 2018 - ref. 03/2021 - Transferencia para a conta 16517-4 - Projetos Meta do Contrato de Gestão</t>
  </si>
  <si>
    <t>39-021</t>
  </si>
  <si>
    <t>Coordenação Técnica - CHM PROGRAMAÇÃO E FOMENTO 2018 - ref. 03/2021 - Transferencia para a conta 16517-4 - Projetos Meta do Contrato de Gestão</t>
  </si>
  <si>
    <t>38-021</t>
  </si>
  <si>
    <t>Coordenação Geral - CHM PROGRAMAÇÃO E FOMENTO 2018 - ref. 02/2021 - Transferencia conta Cine Humberto Mauro</t>
  </si>
  <si>
    <t>Coordenação Geral - CHM PROGRAMAÇÃO E FOMENTO 2018 - ref. 02/2021 - CHM PROGRAMAÇÃO E FOMENTO 2018 - ref. 09/2020 - Transferencia conta Cine Humberto Mauro</t>
  </si>
  <si>
    <t>Coordenação Geral - CHM PROGRAMAÇÃO E FOMENTO 2018 - ref. 03/2021 - CHM PROGRAMAÇÃO E FOMENTO 2018 - ref. 03/2021 - Transferencia conta Cine Humberto Mauro</t>
  </si>
  <si>
    <t>Coordenação Técnica - CHM PROGRAMAÇÃO E FOMENTO 2018 - ref. 03/2021 - CHM PROGRAMAÇÃO E FOMENTO 2018 - ref. 003/2021 - Transferencia conta Cine Humberto Mauro</t>
  </si>
  <si>
    <t>Contratação para prestação de serviços de Assessoria Administrativa</t>
  </si>
  <si>
    <t xml:space="preserve">Tarifa Bancária referente a transferência eletrônica </t>
  </si>
  <si>
    <t>Reembolso a conta do Contrato de Gestão - 05/2019 Aquisição de sistema de ponto para utilização pelos colaboradores da Appa - ano 2021. Referente ao mês 03/2021</t>
  </si>
  <si>
    <t>Reembolso a conta do Contrato de Gestão - 05/2019 Aquisição de sistema de ponto para utilização pelos colaboradores do TP 50/2020 IEPHA - ano 2021. Referente ao mês 03/2021</t>
  </si>
  <si>
    <t>Reembolso realizado pelo Termo de Parceria 50/2020 - Iepha  referente ao percentual (26,41% do valor total), despesas com cartório referente ao mês 03/2021</t>
  </si>
  <si>
    <t xml:space="preserve">Reembolso através da conta do Termo de Parceria 50/2020 - IEPHA, referente a contratação de profissional para apoio ao setor financeiro da Appa, em especial, na parte de Departamento Pessoal para o Contrato de Gestão 05/2019 e Termo de Parceria 50/2020 (mês 03/2021) - 26,41% do valor total </t>
  </si>
  <si>
    <t>Reembolso realizado pelo Termo de Parceria 50/2020 - Iepha a conta do Contra de Gestão 005/2019 referente ao pagamento de guia de FGTS - Valor proporcional aos funcionários a serviço do TP 50/2020 - 03/2021</t>
  </si>
  <si>
    <t>Faz -se necessário a contratação de um editor de imagens e som para o vídeo coletivo do projeto Palácio em sua Cia. O profissional fará edição de várias imagens de criações dos bailarinos da Cia de Dança gravadas individuamente.</t>
  </si>
  <si>
    <t xml:space="preserve"> Anahi Poty Corteletti Jimenez 09015823952</t>
  </si>
  <si>
    <t>Salário do Superintendente de Auditoria, referente ao mês 03/2021</t>
  </si>
  <si>
    <t>Salário da Analista Financeiro Pleno, referente ao mês 03/2021</t>
  </si>
  <si>
    <t>Salário do Montador Diart, referente ao mês 03/2021</t>
  </si>
  <si>
    <t>Salário do Coordenador de Comunicação, referente ao mês 03/2021</t>
  </si>
  <si>
    <t>Salário do Gerente de Projetos: Produção Artística, referente ao mês 03/2021</t>
  </si>
  <si>
    <t>Salário do Gerente de Projetos, referente ao mês 03/2021</t>
  </si>
  <si>
    <t>Salário do Diretor Financeiro, referente ao mês 03/2021</t>
  </si>
  <si>
    <t>Salário da Produtora Cultural: Produção Artística, referente ao mês 03/2021</t>
  </si>
  <si>
    <t>Salário do Montador Dipro, referente ao mês 03/2021</t>
  </si>
  <si>
    <t>Salário da Auxiliar de serviços Gerais, referente ao mês 03/2021</t>
  </si>
  <si>
    <t>FGTS referente a folha de pagamento do mês 03/2021</t>
  </si>
  <si>
    <t>Aluguel do mês de março/2021 do CTP</t>
  </si>
  <si>
    <t>Contratação de serviços de vigia para o CTPF Marzagão, localizado à rua do Cartório 120 - Marzagão - Sabará/MG - CEP 34585-650. O serviço deverá ser prestado entre as 18:00h e 06:00h do dia seguinte, todos os dias da semana - inclusive sábado e domingo. Solicita-se que o serviço seja durante 60 dias. Parcela 02</t>
  </si>
  <si>
    <t>Contratação de produtor para atuar durante as etapas de pré-produção, produção e pós produção das exposições de artes visuais que ocorrerão ao longo do ano de 2021 nos espaços expositivos da FCS. (Termo Aditivo)</t>
  </si>
  <si>
    <t>Salário da Assessora Pedagógica: Formação Artística e Tecnológica, referente ao mês 03/2021</t>
  </si>
  <si>
    <t>Salário da Produtora Cultural, referente ao mês 03/2021</t>
  </si>
  <si>
    <t>Salário do Presidente referente ao mês 03/2021</t>
  </si>
  <si>
    <t>Salário do Coordenador Administrativo referente ao mês 03/2021</t>
  </si>
  <si>
    <t>Salário do Gerente de Projetos: Programação Artística referente ao mês 03/2021</t>
  </si>
  <si>
    <t>Contratação de fornecedor de serviços para assessoria de projetos para apoiar o acompanhamento de projetos, contribuindo para que cumpram seu escopo e não    extrapolem    orçamento    e    prazos    acordados; monitorar  a  entrega  de  contrapartidas  /  reciprocidades às   partes   interessadas,   gerenciando   conflitos   e   se orientando pelo cumprimento dos objetivos propostos</t>
  </si>
  <si>
    <t xml:space="preserve">Juliana De Sousa Martins Pereira </t>
  </si>
  <si>
    <t>059.290.536-50</t>
  </si>
  <si>
    <t xml:space="preserve"> Silvia Maurício De Souza Campos Neves 95475702691</t>
  </si>
  <si>
    <t xml:space="preserve">Maria Da Penha Vasconcelos Batista Sabeti 06015686480
</t>
  </si>
  <si>
    <t>Bolsa estágio do mês 03/2021</t>
  </si>
  <si>
    <t>Materiais de consumo e água para uso no CTPF Andradas. O material ora solicitado destina-se a dar apoio às atividades normais de administração, limpeza e conservação do acervo do CTPF Andradas.</t>
  </si>
  <si>
    <t xml:space="preserve"> Arte De Limpar Ltda</t>
  </si>
  <si>
    <t xml:space="preserve"> Ivete Maria De Oliveira 76363481600</t>
  </si>
  <si>
    <t xml:space="preserve"> Eduardo Muller Carvalho dos Reis 09247861675</t>
  </si>
  <si>
    <t>Contratação de profissional para realização de captação de imagens e edição de vídeos dos bailarinos da CDPA, com capacidade técnica e artística, conhecimento artístico de dança, equipamentos especiais (câmeras, drones) em apoio ao número de apresentações da CDPA. Faz se necessária a contratação do profissional em questão em apoio ao número de apresentações da CDPA organizadas em séries em função da concepção e montagens de vídeos e imagens com olhar artístico para serem exibidos em evento virtual.</t>
  </si>
  <si>
    <t>Tarifa Bancária referente a transferência eletrônica pagamento fornecedor: Kleber De Jesus Bispo 10663043603 - Processo 1459</t>
  </si>
  <si>
    <t>Contratação de 04 cachês artísticos para músico (a) instrumentista participar de apresentações e eventos da OSMG organizadas em série e / ou programas de difusão, formação e mediação cultural.Contratação de Raquel Carneirocomo músico instrumentista, representado por sua empresária Elisete Gomes Joaquim de Oliveira conforme contrato de representação artístico anexo</t>
  </si>
  <si>
    <t>2021/30</t>
  </si>
  <si>
    <t>2021/31</t>
  </si>
  <si>
    <t>Contratação de 04 cachês artísticos para bailarino (a) participar de apresentações e eventos da CDPA organizadas em série e/ou programas de difusão, formação e mediação cultural.Contratação de Leandro Garcia como bailarino, representado por sua empresária Elisete Gomes Joaquim de Oliveira conforme contrato de representação artístico anexo.</t>
  </si>
  <si>
    <t>2021/36</t>
  </si>
  <si>
    <t xml:space="preserve"> Leise Rodrigues Toledo Renhe 07086411647</t>
  </si>
  <si>
    <t>Contratação de arquivista em atendimento as apresentações e eventos do CLMG organizadas em série e / ou programas de difusão, formação e mediação cultural.Faz-se necessária a contratação de arquivista em atendimento aos repertórios desenvolvidos para os eventos do CLMG. Devido a questão da Pandemia, os coralistas participarão do projeto "Palácio em sua Cia", parte da programação de Mediação Cultural da FCS, que contempla a participação de apresentações em vídeo do CLMG, gerando conteúdos de programação para o ambiente virtual. Parcela 02</t>
  </si>
  <si>
    <t>Contratação de fornecedor de serviços para assessoria de projetos para a Fundação Clóvis Salgado.</t>
  </si>
  <si>
    <t>Contratação de fornecedor de serviços para gestão de mídias sociais.</t>
  </si>
  <si>
    <t>Gabriela Cristina Silva Ferreira</t>
  </si>
  <si>
    <t>Reembolso realizado pelo Termo de Parceria 50/2020 - IEPHA referente ao percentual (26,41% do valor total ) do aluguel da sede da Appa referente ao mês 03/2021</t>
  </si>
  <si>
    <t>Reembolso realizado pelo Termo de Parceria 50/2020 - IEPHA referente ao percentual (26,41% do valor total ) guia de IPTU - 03º parcela</t>
  </si>
  <si>
    <t>Serviços de pós-produção da direção e construção de dramaturgia para espetáculo de teatro, tendo em vista as técnicas utilizadas no espetáculo Sharing the Night. Montagem da Escola de Teatro, turno manhã, com data de temporada em fevereiro/2021.Local de atuação: Cefart (presencial) e via internet (remotamente). Apresentações são ações didático-pedagógicas que permitam aos alunos a percepção e a vivência da dinâmica entre o espaço de apresentação, o público, e a atuação - elementos fundamentais para a formação artística.</t>
  </si>
  <si>
    <t>Júlio César Viana Saraiva</t>
  </si>
  <si>
    <t>001.360.306-02</t>
  </si>
  <si>
    <t>Aluguel da sede da Appa referente ao período de 10/03 a 09/04/2021</t>
  </si>
  <si>
    <t>Guia de ITPU - Parcela 03</t>
  </si>
  <si>
    <t>Serviços de assessoria para os serviços de instalação de equipamentos de transmissão de dados da internet e rede wi-fi para espetáculo de teatro a se realizar no Palacete Dantas, localizado à praça da Liberdade, 312 - BH/MG. Período de atuação: dezembro de 2020 a fevereiro de 2021.</t>
  </si>
  <si>
    <t>Luiz Chopin Cruz De Oliveira</t>
  </si>
  <si>
    <t>086.168.137-13</t>
  </si>
  <si>
    <t>Contração Artística da cantora Mônica Salmaso, para interpretação da canção ''Corta Jaca'' de Chiquinha Gonzaga, através de vídeo gerado pela própria artista.</t>
  </si>
  <si>
    <t>Turmalina Producoes Musicais E Artisticas Ltda</t>
  </si>
  <si>
    <t>09.086.606/0001-66</t>
  </si>
  <si>
    <t xml:space="preserve"> Rita Clemente Producoes Artisticas Ltda</t>
  </si>
  <si>
    <t>Tarifa Bancária referente a transferência eletrônica pagamento fornecedor: Miriam Beatriz Dos Santos Menezes- Processo 1264</t>
  </si>
  <si>
    <t>Tarifa Bancária referente a transferência eletrônica pagamento fornecedor: Luiz Chopin Cruz De Oliveira - Processo 1254</t>
  </si>
  <si>
    <t>Tarifa Bancária referente a transferência eletrônica pagamento fornecedor: Júlio César Viana Saraiva  - Processo 1382</t>
  </si>
  <si>
    <t>Tarifa Bancária referente a transferência eletrônica pagamento fornecedor: Turmalina Producoes Musicais E Artisticas Ltda - Processo 1461</t>
  </si>
  <si>
    <t>Tarifa Bancária referente a transferência eletrônica pagamento fornecedor:  Rita Clemente Producoes Artisticas Ltda - Processo 1261</t>
  </si>
  <si>
    <t>Rosana Guedes De Oliveira Carneiro 09504722636</t>
  </si>
  <si>
    <t>Execução do projeto expográfico do FIF - Festival Internacional de Fotografia: confecçãode 04 estruturas de madeira pendular no formato de caixa para fixação de equipamento sonoro nas salas de vídeo,conforme especificações e projeto anexos ao processo.</t>
  </si>
  <si>
    <t xml:space="preserve">Reembolso realizado pelo Termo de Parceria 50/2020 - Iepha referente ao uso de telefone fixo da sede da Appa - consumo do mês 03/2021 - Percentual de  26,41% do valor total </t>
  </si>
  <si>
    <t>Reembolso realizado pelo Termo de Parceria 50/2020 - IEPHA referente ao percentual (26,41% do valor total ) aluguel de impressoras da sede da Appa - Mês 03/2021.</t>
  </si>
  <si>
    <t>Reembolso realizado pelo Termo de Parceria 50/2020 - IEPHA referente ao percentual (26,41% do valor total), Manutenção de redes e computadores da sede da Appa - mês 03/2021</t>
  </si>
  <si>
    <t>Contratação do artista Sérgio Pererê para participar da elaboração do videoclipe com artistas (alunos e professores) do Cefart interpretando a obra Bandeira do Divino, de Ivan Lins. O vídeo contará com a participação da Banda Sinfônica Coro do Cefart Coro Infanto-juvenil e Núcleo de danças populares.Apresentações que representam ações didático pedagógicas que permitam aos alunos integrantes dos núcleos extensionistas apercepção e vivência da dinâmica da produção e apresentação artística, elementos fundamentais para a formação no Cefart.</t>
  </si>
  <si>
    <t>José Sérgio Pereira 95507566615</t>
  </si>
  <si>
    <t>27.763.018/0001-00</t>
  </si>
  <si>
    <t>Performance de dança durante a canção, com os ritmos do maxixi ou tango brasileiro, para a música ''Corta Jaca'' de Chiquinha Gonzaga com participação dos corpos Artísticos OSMG e CLMG para inclusão no vídeo que será exibido em homenagem ao mês das Mulheres no dia 31 de março 2021.</t>
  </si>
  <si>
    <t xml:space="preserve"> Raquel Da Silva Aranha</t>
  </si>
  <si>
    <t>268.193.568-70</t>
  </si>
  <si>
    <t>2021/374</t>
  </si>
  <si>
    <t>U03914</t>
  </si>
  <si>
    <t>2021/41</t>
  </si>
  <si>
    <t>Telefone Fixo da sede da Appa referente ao mês 03/2021</t>
  </si>
  <si>
    <t>9831307-MG</t>
  </si>
  <si>
    <t>Materiais de limpeza e higienização para uso no CTPF Andradas. O material ora solicitado destina-se a dar andamento às atividades normais de limpeza e conservação do acervo do CTPF Andradas.</t>
  </si>
  <si>
    <t xml:space="preserve"> Rafael Bruno De Oliveira Ferreira Eireli</t>
  </si>
  <si>
    <t>Participação no Colóquio de Pesquisas Artísticas: Crítica e Contemporaneidade, na modalidade virtual, acontecerá no Zoom e será transmitida pelo Youtube, entre os dias 23 a 26 de março. Cursos que ampliem a formação artística e profissional dos alunos, complementando os conteúdos curriculares oferecidos.</t>
  </si>
  <si>
    <t xml:space="preserve"> Priscila Alencastre Lopes Santos Souza</t>
  </si>
  <si>
    <t>Tarifa Bancária referente a transferência eletrônica pagamento fornecedor:   Arte De Limpar Ltda - Processo 1425</t>
  </si>
  <si>
    <t>Tarifa Bancária referente a transferência eletrônica pagamento fornecedor:     Rafael Bruno De Oliveira Ferreira Eireli- Processo 1280</t>
  </si>
  <si>
    <t>Tarifa Bancária referente a transferência eletrônica pagamento fornecedor:      Priscila Alencastre Lopes Santos Souza- Processo 1438</t>
  </si>
  <si>
    <t>Tarifa Bancária referente a transferência eletrônica pagamento fornecedor:     Michelle Aparecida Silva Barreto- Processo 1350</t>
  </si>
  <si>
    <t xml:space="preserve"> Miriam Beatriz Dos Santos Menezes</t>
  </si>
  <si>
    <t>Curso Complementar" A arte contemporânea e os limites da história", de10h com Raquel Cecilia. Tal curso complementar visa contribuir para o aperfeiçoamento didático dos conhecimentos dos alunos da Escola de Artes Visuais do Cefart</t>
  </si>
  <si>
    <t>Vale Refeição dos funcionários a serviço do Contrato de Gestão -  Presidente</t>
  </si>
  <si>
    <t>Participação no Colóquio de Pesquisas Artísticas: Crítica e Contemporaneidade, na modalidade virtual, e será transmitida pelo Youtube, entre os dias 23 a 26 de março.</t>
  </si>
  <si>
    <t>Diego Fernandes Garcia Moschikovich</t>
  </si>
  <si>
    <t>349.291.038-60</t>
  </si>
  <si>
    <t xml:space="preserve">Palestra "Fetiche e utopia na pós-modernidade: a estética da singularidade". Participação no Colóquio de Pesquisas Artísticas: Crítica e Contemporaneidade, na modalidade virtual e será transmitida pelo Youtube, e, entre os dias 23 a 26 de março. Cursos que ampliem a formação artística e profissional dos alunos, complementando os conteúdos curriculares oferecidos. </t>
  </si>
  <si>
    <t>Lindberg Souza Campos Filho</t>
  </si>
  <si>
    <t>329.095.778-05</t>
  </si>
  <si>
    <t>Cub3 Inteligência Web Ltda</t>
  </si>
  <si>
    <t>Curso Complementar "Da Percepção Corporal ao Despertar das Forças Expressivas" nesse momento na modalidade virtual, com carga horária de 10h. 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 curso aqui oferecido tem por objetivo complementar o conteúdo oferecido nas disciplinas regulares dos cursos da Escola de Teatro do Cefart.</t>
  </si>
  <si>
    <t xml:space="preserve"> Camila Silveira Duarte</t>
  </si>
  <si>
    <t>370.336.988-44</t>
  </si>
  <si>
    <t>Locação de equipamentos de vídeo e som, sendo: 04 projetores com sistema de player multimedia (entrada em USB) e sistema de sonorização conforme especificações anexas ao processo. O FIF - Festival Internacional de Fotografia - será realizado nas galerias da Arlinda Correia Lima e Genesco Murta, no Palácio das Artes, e no CamaraSete - Casa da Fotografia de Minas Gerais e tem abertura prevista para 18 de março de 2021. Para a realização do mesmo faz-se necessária a locação de equipamentos de som e vídeo para a montagem das salas de vídeos nas galerias onde será realizada a exposição. Parcela 01</t>
  </si>
  <si>
    <t>Tarifa Bancária referente a transferência eletrônica pagamento fornecedor:  Diego Fernandes Garcia Moschikovich - Processo 1439</t>
  </si>
  <si>
    <t>Tarifa Bancária referente a transferência eletrônica pagamento fornecedor: Lindberg Souza Campos Filho - Processo 1437</t>
  </si>
  <si>
    <t>Tarifa Bancária referente a transferência eletrônica pagamento fornecedor: Cub3 Inteligência Web Ltda - Processo 564</t>
  </si>
  <si>
    <t>Tarifa Bancária referente a transferência eletrônica pagamento fornecedor:  Camila Silveira Duarte  - Processo 1345</t>
  </si>
  <si>
    <t>Tarifa Bancária referente a transferência eletrônica pagamento fornecedor:  Excelencia Organizacao E Promocao De Eventos Ltda  - Processo 1331</t>
  </si>
  <si>
    <t>CursoComplementar" Curadoria Educativa'', de 10h com Rachel Viana (Guignard). Este curso, destinado a complementar a formação dos alunos da Escola de Artes Visuais do Cefart, visa acrescentar o conteúdo regular do projeto pedagógico da escola.</t>
  </si>
  <si>
    <t xml:space="preserve"> Rachel De Sousa Vianna</t>
  </si>
  <si>
    <t>569.010.626-72</t>
  </si>
  <si>
    <t>Curso Complementar "Ensino Musical a Distância" nesse momento na modalidade virtual. O curso ora solicitado integra o complemento das disciplinas de Harmonia e Improvisação da Escola de Música do Cefart. Cursos como este visam ampliar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</si>
  <si>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Flávio Gabriel Parro Da Silva</t>
  </si>
  <si>
    <t>283.122.778-03</t>
  </si>
  <si>
    <t xml:space="preserve">Projeto Educativo - Contratação de professor para aulas de técnica clássica para os bailarinos da Cia de Dança para a preparação na criação do Vídeo Coletivo de março. O vídeo tem programação de ser publicado em 28/03 nas redes sociais da FCS. </t>
  </si>
  <si>
    <t>Serviço de manutenção e adaptação de layout e programação da plataforma cinehumbertomauroMAIS.com.br para a realização da mostra "Instante Suspenso" que inclui em sua programação quatro sessões de filmes comentadas integrando a mostra "História Permanente do Cinema".</t>
  </si>
  <si>
    <t>Tarifa Bancária referente a transferência eletrônica pagamento fornecedor:  Flávio Gabriel Parro Da Silva - Processo 1372</t>
  </si>
  <si>
    <t>Tarifa Bancária referente a transferência eletrônica pagamento fornecedor:  Heitor Pinheiro - Processo 1407</t>
  </si>
  <si>
    <t>Tarifa Bancária referente a transferência eletrônica pagamento fornecedor: Leben 108 Produtora De Filmes Ltda- Processo 1467</t>
  </si>
  <si>
    <t>2021/137363</t>
  </si>
  <si>
    <t>2021/134501</t>
  </si>
  <si>
    <t>Pensando nas urgentes acerca do presente e futuro do mercado operístico no Brasil, a Fundação Clóvis Salgado realiza o Webinar # ÓPERAHOJE . As mesas de hipnotizarão das temáticas: Patrimônio e contemporaneidade ; Como compor ópera hoje ; Políticas públicas e trabalho em rede ; Novas ações, novos públicos, novos teatros ; Teatros e orquestras em tempos de pandemia ; Academias de ópera e formação ; Mulheres na ópera ; Diversidade racial na ópera ; e Como anda o jornalismo cultural? Diante disso faz-se necessária a contratação do Mediador (a).</t>
  </si>
  <si>
    <t>O Dragao De Sao Jorge Producoes Culturais Eireli</t>
  </si>
  <si>
    <t>17.518.277/0001-03</t>
  </si>
  <si>
    <t>Tarifa Bancária referente a transferência eletrônica pagamento fornecedor: O Dragao De Sao Jorge Producoes Culturais Eireli- Processo 776</t>
  </si>
  <si>
    <t>Pesquisadora para desenvolvimento do eixo temático para a concepção da exposição comemorativa dos 50 anos do Palácio das Artes. O serviço inclui coleta de dados em fonte primária e secundária objetivando encontrar dados que revelem os principais momentos da trajetória de 50 anos da instituição, selecionar documentação literária, iconográfica, sonora e audiovisual e organizar o material para a produção da exposição. 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t>
  </si>
  <si>
    <t>Rosangela De Mendonça Guimarães</t>
  </si>
  <si>
    <t>344.592.356-68</t>
  </si>
  <si>
    <t>Molduras desassambláveis e com madeira tratada para 92 fotografias impressas em processo Fine Art, aplicada com adesivo e Foam Board neutros de acordo com as especificações anexas ao processo.</t>
  </si>
  <si>
    <t>Francisco Carlos Baumecker 31740855604</t>
  </si>
  <si>
    <t>19.049.481/0001-58</t>
  </si>
  <si>
    <t>Reembolso realizado pelo Termo de Parceria 50/2020 - IEPHA referente ao percentual (26,41% do valor total), assessoria jurídica para o Contrato de Gestão e Termo de Parceria referente ao mês 03/2021.</t>
  </si>
  <si>
    <t>Reembolso realizado pelo Termo de Parceria 50/2020 - IEPHA referente ao percentual (26,41% do valor total), referente ao telefone móvel da sede da Appa- mês 03/2021.</t>
  </si>
  <si>
    <t>Reembolso realizado pelo Termo de Parceria 50/2020 - IEPHA referente ao percentual (26,41% do valor total ) consumo de água da sede da Appa- mês 03/2021</t>
  </si>
  <si>
    <t>Reembolso realizado pelo Termo de Parceria 50/2020 - IEPHA referente ao percentual (26,41% do valor total) consumo de energia elétrica da sede da Appa- mês 03/2021</t>
  </si>
  <si>
    <t>Energia Elétrica da Sede da Appa mês 03/2021</t>
  </si>
  <si>
    <t>Consumo de água e esgosto referente ao mês 03/2021</t>
  </si>
  <si>
    <t>001.2119834773-1</t>
  </si>
  <si>
    <t>Contratação de profissional para compor a mesa de Júri da Competitiva Brasil dos filmes do 22º Festcurtas BH. Contratação de profissional para compor a mesa de Júri da Competitiva Brasil dos filmes do 22º Festcurtas BH</t>
  </si>
  <si>
    <t xml:space="preserve"> Untitled Serviços Empresariais Ltda</t>
  </si>
  <si>
    <t xml:space="preserve">37.334.830/0001-65
</t>
  </si>
  <si>
    <t>Tarifa Bancária referente a transferência eletrônica pagamento fornecedor:  Untitled Serviços Empresariais Ltda -  Processo 858</t>
  </si>
  <si>
    <t>Pagamento de prêmio para o melhor curta metragem da mostra competitiva Minas do 22º Festcurtas BH, escolhido pelo júri oficial. O filme vencedorl foi "Diz Que É Verdade", dirigido por Claryssa Almeida e Pedro Estrada. O FestCurtas BH é um evento de grande extensão realizado anualmente no Cine Humberto Mauro. O pagamento do prêmio aos filmes vencedores das mostras competitivas da edição de 2020 do festival foi estipulado no 22º Festival Internacional de Curtas de Belo Horizonte (Festcurtas BH) - REGULAMENTO 2020 (item 8 do edital anexo). Como no ano de 2020 não foi possível a reunião presencial do júri oficial para deliberação da ata de seleção, segue link para acessar o vídeo com a divulgação dos vencedores pelos membros do júri: youtube</t>
  </si>
  <si>
    <t>087.429.166-66</t>
  </si>
  <si>
    <t>Reembolso realizado pelo Termo de Parceria 50/2020 - IEPHA referente ao percentual (26,41% do valor total), Segurança Eletrônica da Sede da APPA - mês 03/2021</t>
  </si>
  <si>
    <t>Reembolso realizado pelo Termo de Parceria 50/2020 - IEPHA referente ao percentual 26,41% do valor total ) ao consumo de internet da Appa do mês 03/2021</t>
  </si>
  <si>
    <t>Contratação de um sistema de gestão acadêmica com, hospedagem em nuvem, para monitoramento e acompanhamento das atividades complementares e demais atividades de Secretaria Acadêmica do CEFART no ano de 2021. Parcela 01</t>
  </si>
  <si>
    <t xml:space="preserve"> Softwares de Gestão LTDA</t>
  </si>
  <si>
    <t>Internet para sede da Appa referente ao mês 03/2021</t>
  </si>
  <si>
    <t>9981282-MG</t>
  </si>
  <si>
    <t>DARF/PCC referente a nota fiscal 2021/247 - Krypton Serviços Contábeis S/S</t>
  </si>
  <si>
    <t>Guia de IR referente a nota fiscal 2021/342 -  Krypton Serviços Contábeis S/s</t>
  </si>
  <si>
    <t>Guia de ISSQN referente a nota fiscal 2021/18 - Logus Protection Patrimonial Ltda</t>
  </si>
  <si>
    <t>Prefeitura Municipal de Sabará</t>
  </si>
  <si>
    <t>Guia de INSS e INSS Patronal referente ao RPA 1099 -  Aldo Mussi Lopes Teixeira</t>
  </si>
  <si>
    <t>Guia de INSS e INSS Patronal referente ao RPA 1098 - André Luiz De Campello Duarte Cardoso</t>
  </si>
  <si>
    <t>Guia de INSS e INSS Patronal referente ao RPA 1089 - Augusto Mário Goulart Pimenta</t>
  </si>
  <si>
    <t>DARF/IR referente ao RPA 1089 - Augusto Mário Goulart Pimenta</t>
  </si>
  <si>
    <t>IR retido dos funcionários referente a folha do mês 02/2021</t>
  </si>
  <si>
    <t xml:space="preserve">IR retido férias Produtora Cultural </t>
  </si>
  <si>
    <t>INSS retido dos funcionário, referente a folha de pagamento do mês 03/2021</t>
  </si>
  <si>
    <t>INSS Patronal referente ao mês 03/2021</t>
  </si>
  <si>
    <t>INSS referente a nota fiscal 2021/18 - Logus Protection Patrimonial Ltda</t>
  </si>
  <si>
    <t>Tarifa Bancária referente a transferência eletrônica pagamento fornecedor:   Ricelli Piva Dos Santos - Me -  Processo 1507</t>
  </si>
  <si>
    <t>Guia de INSS e INSS Patronal referente ao RPA 1093  - Ana Dos Anjos Camarano Cardoso</t>
  </si>
  <si>
    <t>Guia de INSS e INSS Patronal referente ao RPA 1087 - Andre Lodi Rocha</t>
  </si>
  <si>
    <t>Guia de INSS e INSS Patronal referente ao RPA 1094  - Angela Peres de Oliveira</t>
  </si>
  <si>
    <t xml:space="preserve">Guia de INSS e INSS Patronal referente ao RPA 1102  - Benedikt Michael Justus </t>
  </si>
  <si>
    <t>Guia de INSS e INSS Patronal referente ao RPA 1095 - Heitor Pinheiro</t>
  </si>
  <si>
    <t>Guia de INSS e INSS patronal  referente ao RPA 1090 - Maria Izabel Correa De Oliveira</t>
  </si>
  <si>
    <t>Guia de INSS e INSS Patronal referente ao RPA 1088 - Robert Avelino Camilo</t>
  </si>
  <si>
    <t>DARF/IR referente ao RPA 1093 - Ana dos Anjos Camarano Cardoso</t>
  </si>
  <si>
    <t>DARF/IR referente ao RPA 1087 - Andre Lodi Rocha</t>
  </si>
  <si>
    <t>DARF/IR referente ao RPA 1094 - Angela Peres de Oliveira</t>
  </si>
  <si>
    <t>DARF/IR referente ao RPA 1090 - Maria Izabel Correa De Oliveira</t>
  </si>
  <si>
    <t xml:space="preserve">Guia de INSS e INSS Patronal referente ao RPA 1101 -  Daniella Gonçalves Caixeta </t>
  </si>
  <si>
    <t>Guia de INSS e INSS Patronal referente ao RPA 1100 -  Fabiana Soares Da Silva</t>
  </si>
  <si>
    <t>Guia de INSS e INSS Patronal referente ao RPA 1091 - Junia Pertence Barbosa Santos</t>
  </si>
  <si>
    <t>Guia de INSS e INSS Patronal referente ao RPA 1096 - Luciana Monteiro Campello</t>
  </si>
  <si>
    <t>DARF/IR referente ao RPA 1091 - Junia Pertence Barbosa Santos</t>
  </si>
  <si>
    <t>DARF/IR referente ao RPA 1096 - Luciana Monteiro Campello</t>
  </si>
  <si>
    <t>INSS e INSS Patronal referente ao RPA 1092 - Cintya Juliana Souza Santos Dias</t>
  </si>
  <si>
    <t>Contratação de fornecedor especialista em TI capacitado no sistema Moodle e outras ferramentas de ensino a distância para auxiliar os professores do Cefart na gestão das aulas virtuais para atender necessidades específicas, em atendimento pontual.O profissional em questão ajudará no processo formativo dos alunos, na medida que auxiliará na realização ou preparação de atividades virtuais das diversas escolas do Cefart, sob o ponto de vista de apoio técnico de TI.</t>
  </si>
  <si>
    <t xml:space="preserve"> Ewelyn Felice Da Silva</t>
  </si>
  <si>
    <t>Serviços de coreógrafo para concepção de espetáculo de Dança para os alunos formandos 2° semestre 2020.O espetáculo de formatura do Técnico em Dança do CEFART é um evento onde os estudantes têm a oportunidade de compartilhar com as famílias e comunidade em geral, parte do processo de ensino-aprendizagem realizado na escola. Para este espetáculo contamos com a participação de artistas convidados que contribuíram com o processo formativo em dança e com a Escola de Tecnologia da Cena, que fará toda a criação da luz, sonoplastia e cenografia da apresentação. Contratação de Leandro Garcia, representado pela empresária Elisete Gomes Joaquim de Oliveira, conforme contrato de representação artístico anexo.</t>
  </si>
  <si>
    <t>Manutenção corretiva do equipamento CP750, responsável pelo gerenciamento e processamento de som do Cine Humberto Mauro / FCS. Faz-se necessária a troca de uma peça da fonte do equipamento CP750 que queimou devido à uma instabilidade elétrica na FCS, o serviço é essencial para garantir o imediato retorno das atividades do Cine Humberto Mauro tão logo seja possível realizar atividades presenciais, atendendo a toda programação do espaço.</t>
  </si>
  <si>
    <t xml:space="preserve"> D &amp; L Digital Ltda</t>
  </si>
  <si>
    <t xml:space="preserve">14.940.426/0001-30
</t>
  </si>
  <si>
    <t>Contratação de empresa para prestação de serviços de concepção artística, produção teatral, coordenação e acompanhamento da montagem do espetáculo de teatro dos alunos do Cefart - turma da noite. Os espetáculos são ações didático-pedagógicas que permitem aos alunos e percepção e a vivência da dinâmica entre o espaço de apresentação, o público e a sua atuação, elementos fundamentais para a formação técnica. Parcela 01</t>
  </si>
  <si>
    <t xml:space="preserve"> Ricelli Piva Dos Santos - Me</t>
  </si>
  <si>
    <t>Tarifa Bancária referente a transferência eletrônica pagamento fornecedor:    Elisete Gomes Joaquim de Oliveira-ME -  Processo 650</t>
  </si>
  <si>
    <t>Tarifa Bancária referente a transferência eletrônica pagamento fornecedor:     D &amp; L Digital Ltda -  Processo 1510</t>
  </si>
  <si>
    <t>Contratação de montadores (02 montadores; 16 diárias cada montador) para montagem e desmontagem das exposições do Prêmio Décio Noviello nas galerias que receberão. Faz se necessário a contratação de montadores para a montagem das exposições do Prêmio Decio Noviello 2020 no Palácio das Artes e no Camerasete dos artistas selecionados. Sendo necessário a contratação de serviço especializado de montagem para auxiliar a montagem fina das obras. as exposições de Artes Visuais.</t>
  </si>
  <si>
    <t xml:space="preserve">Contratação de designer gráfico para atuação na divulgação das atividades da Fundação Clóvis Salgado - ano 2021.Faz-se necessária a contratação de um designer gráfico para desenvolvimento de um padrão e qualidade nas repostagens das atividades de criação do setor de comunicação da APPA, em especial ao projeto. Complementação de valor </t>
  </si>
  <si>
    <t>Tarifa Bancária referente a transferência eletrônica pagamento fornecedor:  Cintya Juliana Souza Santos Dias - Processo 1138</t>
  </si>
  <si>
    <t>PIS referente a folha de pagamento do mês 03/2021.</t>
  </si>
  <si>
    <t>Cofins referente aos rendimentos de aplicações financeiras do mês 03/2021.</t>
  </si>
  <si>
    <t>Contratação de serviços de profissional especializado para criação e concepção artística da iluminação da segunda montagem da escola de Teatro do Cefart bem como sua operação, execução durante as apresentações. Local de atuação: presencialmente no CEFART e/ou remotamente. Parcela 01</t>
  </si>
  <si>
    <t xml:space="preserve"> Regelles Tadeu Queiroz Da Silva10092467636</t>
  </si>
  <si>
    <t>Tarifa Bancária referente a transferência eletrônica pagamento fornecedor:  Regelles Tadeu Queiroz Da Silva10092467636-  Processo 1516</t>
  </si>
  <si>
    <t>Reembolso realizado pelo Termo de Parceria 50/2020 - IEPHA referente ao percentual (26,41% do valor total), telefone móvel para os funcionários a serviço do IEPHA, referente ao mês 03/2021.</t>
  </si>
  <si>
    <t>Reembolso realizado pelo Termo de Parceria 50/2020 - IEPHA referente ao percentual (26,41% do valor total ) aluguel de PABX da sede da Appa- mês 03/2021.</t>
  </si>
  <si>
    <t>Transferência para Conta Reserva referente aos rendimentos de aplicações financeiras do mês 03/2021</t>
  </si>
  <si>
    <t>Consumo de telefone móvel para os funcionários a serviço do Contrato de Gestão  e Termo de Parceria IEPHA referente ao mês 03/2021.</t>
  </si>
  <si>
    <t>Contratação de serviço de e-mail marketing para envio de 100mil e-mails / mensais. Parcela 01</t>
  </si>
  <si>
    <t>Consumo de água e esgosto referente ao mês 04/2021</t>
  </si>
  <si>
    <t>001.2121803181-4</t>
  </si>
  <si>
    <t>Vale refeição dos funcionários a serviço do Contrato de Gestão</t>
  </si>
  <si>
    <t>Concepção, desenvolvimento e acompanhamento da execução de projeto expográfico para a exposição comemorativa dos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01</t>
  </si>
  <si>
    <t xml:space="preserve"> Micropolis Ltda</t>
  </si>
  <si>
    <t>Tarifa Bancária referente a transferência eletrônica pagamento fornecedor:  Micropolis Ltda - Processo 1494</t>
  </si>
  <si>
    <t>Contratação de debatedora para a mesa de debate"Cinema militante de mulheres, com mulheres" que integra a programação do 22º Festcurtas BH.</t>
  </si>
  <si>
    <t>Carla Ludmila Maia Martins 04344876601</t>
  </si>
  <si>
    <t>043.448.766-01</t>
  </si>
  <si>
    <t>Intérprete de libras para tradução simultânea dos debates da mostra "História Permanente do Cinema", serão 7 debates com duração média de 1h30 cada um deles. Os debates fazem parte da programação da mostra "Cults do Terror"com programação de 16 de abril de 2021 à 16 de maio de 2021 e sessões comentadas nos dias16/04, 20/04, 22/04, 27/04, 30/04, 06/05 e 13/05.</t>
  </si>
  <si>
    <t>Gabriela Balieiro De Oliveira</t>
  </si>
  <si>
    <t xml:space="preserve">140.566.196-89
</t>
  </si>
  <si>
    <t>Tarifa de IOF referente ao câmbio - Processo 856 - Lynne Alice Sachs</t>
  </si>
  <si>
    <t>O FestCurtasBH é um evento de grande extensão realizado anualmente no Cine Humberto Mauro e para a realização da 22ª edição no ano de 2020, faz-se necessária a contratação de um profissional para integrar o júri da Competitiva Brasil, que avaliará e escolherá o melhor filme da Competitiva Brasil.</t>
  </si>
  <si>
    <t>Lynne Alice Sachs</t>
  </si>
  <si>
    <t>506.032.417-00</t>
  </si>
  <si>
    <t>Câmbio</t>
  </si>
  <si>
    <t>Tarifa Ordem de Pagamento referente ao câmbio - Processo 856 - Lynne Alice Sachs</t>
  </si>
  <si>
    <t>DARF/IR referente ao câmbio - Processo 856 - Lynne Alice Sachs</t>
  </si>
  <si>
    <t>DARF/PIS referente ao câmbio - Processo 856 - Lynne Alice Sachs</t>
  </si>
  <si>
    <t>DARF/Cofins referente ao câmbio - Processo 856 - Lynne Alice Sachs</t>
  </si>
  <si>
    <t>IOF referente ao câmbio - Processo 1474 - Processo 1474 - Laura Huertas Millian</t>
  </si>
  <si>
    <t>Pagamento de prêmio para o melhor curta metragem da mostra competitiva internacional do 22º Festcurtas BH, escolhido pelo júri oficial. O filme vencedor foi "Jíibie", dirigido por Laura Huertas Milan. O FestCurtas BH é um evento de grande extensão realizado anualmente no Cine Humberto Mauro. O pagamento do prêmio aos filmes vencedores das mostras competitivas da edição de 2020 do festival foi estipulado no 22º Festival Internacional de Curtas de Belo Horizonte (Festcurtas BH) - REGULAMENTO 2020 (item 8 do edital anexo). Como no ano de 2020 não foi possível a reunião presencial do júri oficial para deliberação da ata de seleção, segue link para acessar o vídeo com a divulgação dos vencedores pelos membros do júri: youtube</t>
  </si>
  <si>
    <t>Laura Huertas Millian</t>
  </si>
  <si>
    <t>Tarifa Ordem de Pagamento referente ao câmbio -  Processo 1474 - Processo 1474 - Laura Huertas Millian</t>
  </si>
  <si>
    <t>DARF/IR referente ao câmbio -  Processo 1474 - Processo 1474 - Laura Huertas Millian</t>
  </si>
  <si>
    <t>Rendimentos de aplicações financeiras do mês 04/2021.</t>
  </si>
  <si>
    <t>Imposto de Renda referente aos rendimentos de aplicações financeiras do mês 04/2021.</t>
  </si>
  <si>
    <t>IOF referente aos rendimentos de aplicações financeiras do mês 04/2021.</t>
  </si>
  <si>
    <t>Criação de trilhas sonoras de acordo com as solicitações das criações artísticas orientadas pela Direção do bailarinos e Regente da Cia de Dança. Necessita que o profissional acompanhe dia a dia as reuniões de criações junto com os bailarinos, referente aos vídeos Coletivo e Intervenção da Dança.</t>
  </si>
  <si>
    <t>Valor referente a Medicina do Trabalho do mês 04/2021- PCMSO</t>
  </si>
  <si>
    <t>2021/4332</t>
  </si>
  <si>
    <t xml:space="preserve">Valor referente a Medicina do Trabalho do mês 04/2021 - PPRA </t>
  </si>
  <si>
    <t>2021/3096</t>
  </si>
  <si>
    <t>Direção artística e musical para captação de áudio e vídeo com a participação dos corpos Artísticos, Orquestra Sinfônica de Minas Gerais e Coral Lírico de Minas Gerais, cantora Popular Monica Salmaso e uma intervenção da dançarina Raquel Aranha, formatação do conteúdo para exibição nas redes sociais da Fundação Clóvis Salgado em homenagem ao mês das Mulheres.</t>
  </si>
  <si>
    <t>Contratação de caminhão pequeno para transporte de itens de cenário e adereços diversos do CTPF Andradas para o CTPF Marzagão, referente a devolução e guarda desses materiais no local de origem. Previsão de 08 viagens. Faz-se necessário a contratação do serviço para devolução e guarda dos materiais para seu local de origem para cumprimento das ações do plano de trabalho destinado à gestão dos espaços do CTPF sob cuidados da APPA.</t>
  </si>
  <si>
    <t xml:space="preserve"> Translevar Mudanças Ltda</t>
  </si>
  <si>
    <t>Contratação de 4 cachês artísticos para músico (a) coralista na participação em 4 apresentações ou repertórios desenvolvidos para os eventos do CLMG, sendo presenciais ou virtuais. Devido a questão da Pandemia, os coralistas participarão do projeto "Palácio em sua Cia", parte da programação de Mediação Cultural da FCS, que contempla a participação de apresentações em vídeo do CLMG, gerando conteúdos de programação para o ambiente virtual.</t>
  </si>
  <si>
    <t>Faz-se necessária a contratação de músico (a) instrumentista para a realização de 4 apresentações de acordo com os repertórios desenvolvidos para os eventos da OSMG. Devido a questão da Pandemia, os músicos participarão do projeto "Palácio em sua Cia", parte da programação de Mediação Cultural da FCS, que contempla a participação de apresentações em vídeo do OSMG, gerando conteúdos de programação para o ambiente virtual.</t>
  </si>
  <si>
    <t xml:space="preserve">Reembolso parcial da conta do Termo de Parceria 50/2020 - IEPHA, referente contratação de empresa de setor administrativo especializada em entidades do terceiro setor  para o Contrato de Gestão 05/2019 e Termo de Parceria 50/2020 (mês 04/2021) - 26,41% do valor total - </t>
  </si>
  <si>
    <t>Elaboração de edição de vídeo à partir de vários vídeos criados pelos bailarinos da Cia de Dança com o tempo de 1h cada um. Faz -se necessário a contratação de editor de imagens e som para o vídeo coletivo do projeto Palácio em sua Cia. Serviço realizado em conjunto com Maíra Campos. As profissionais farão edição de várias imagens de criações dos bailarinos da Cia de Dança gravadas individualmente.</t>
  </si>
  <si>
    <t>Direção artística e musical de produção de vídeo com a participação de Orquestra Sinfônica de Minas Gerais e Coral Lírico de Minas Gerais. Formatação do conteúdo para exibição nas redes sociais da Fundação Clóvis Salgado.Entrega do conteúdo deve ser finalizado e entregue em 5 dias úteis antes da data prevista para exibição, para chancela e conferência da Diretoria Cultural e ASCOM.</t>
  </si>
  <si>
    <t xml:space="preserve">19.178.475/0001-09
</t>
  </si>
  <si>
    <t>Curso Complementar "Preparação Física para Bailarinos 1 e 2" nesse momento na modalidade virtual. 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Este curso visa complementar a formação dos alunos da Escola de Dança do Cefart.</t>
  </si>
  <si>
    <t>Jéssica Lilian De Jesus Schetino</t>
  </si>
  <si>
    <t>094.853.156-86</t>
  </si>
  <si>
    <t>Contratação de Regente assistente para auxílio na Direção e desenvolvimento dos repertórios artísticos para os eventos do CLMG sendo presenciais ou virtuais. Devido a questão da Pandemia, os coralistas participam do projeto "Palácio em sua Cia", parte da programação de Mediação Cultural da FCS, que contempla a participação de apresentações em vídeo do CLMG, gerando conteúdos de programação para o ambiente virtual.</t>
  </si>
  <si>
    <t>Tarifa Bancária referente a transferência eletrônica pagamento fornecedor:  Christoffer Produções Artísticas Ltda-  Processo 1529</t>
  </si>
  <si>
    <t>Tarifa Bancária referente a transferência eletrônica pagamento fornecedor:  Jéssica Lilian De Jesus Schetino -  Processo 1346</t>
  </si>
  <si>
    <t>Tarifa Bancária referente a transferência eletrônica pagamento fornecedor:  Thales Henrique Vieira Sabino 09440374616 -
  Processo 1136</t>
  </si>
  <si>
    <t>Tarifa Bancária referente a transferência eletrônica pagamento fornecedor:  Diego Júnio Costa De Oliveira Neves -   Processo 1137</t>
  </si>
  <si>
    <t>Tarifa Bancária referente a transferência eletrônica pagamento fornecedor:  Patrícia Cláudia Pereira Lima Bernardi 03978862689 -  Processo 1135</t>
  </si>
  <si>
    <t>Tarifa Bancária referente a transferência eletrônica pagamento fornecedor:  Augusto Mário Goulart Pimenta -   Processo 1403</t>
  </si>
  <si>
    <t>Coordenação Geral - CHM PROGRAMAÇÃO E FOMENTO 2018 - ref. 04/2021 - CHM PROGRAMAÇÃO E FOMENTO 2018 - ref. 02/2020 - Transferencia para a conta 16517-4 - Projetos Meta do Contrato de Gestão</t>
  </si>
  <si>
    <t>48-021</t>
  </si>
  <si>
    <t>Coordenação Geral - CHM PROGRAMAÇÃO E FOMENTO 2018 - ref. 04/2021 - Transferencia para a conta 16517-4 - Projetos Meta do Contrato de Gestão</t>
  </si>
  <si>
    <t>47-021</t>
  </si>
  <si>
    <t>Allan Ferreira Calisto</t>
  </si>
  <si>
    <t>Coordenação Geral - CHM PROGRAMAÇÃO E FOMENTO 2018 - ref. 04/2021 - CHM PROGRAMAÇÃO E FOMENTO 2018 - ref. 03/2021 - Transferencia conta Cine Humberto Mauro</t>
  </si>
  <si>
    <t>048-021</t>
  </si>
  <si>
    <t>Coordenação Técnica - CHM PROGRAMAÇÃO E FOMENTO 2018 - ref. 04/2021 - CHM PROGRAMAÇÃO E FOMENTO 2018 - ref. 003/2021 - Transferencia conta Cine Humberto Mauro</t>
  </si>
  <si>
    <t>047-021</t>
  </si>
  <si>
    <t xml:space="preserve">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04/2021) - 26,41% do valor total - </t>
  </si>
  <si>
    <t>Pesquisador para levantamento de conteúdo para a concepção da exposição comemorativa dos 50 anos do Palácio das Artes Essa exposição  acontecerá na Grande Galeria Alberto da Veiga Guignard durante o ano de 2021, com período expositivo a ser definido após a retomada das atividades presenciais na FCS devido ao protocolo de segurança do programa Minas Consciente. Parcela 01</t>
  </si>
  <si>
    <t xml:space="preserve">Arthur Versiani Velloso Neto
</t>
  </si>
  <si>
    <t xml:space="preserve">355.463.606-15
</t>
  </si>
  <si>
    <t>ISSQN  referente ao câmbio - Processo 856 - Lynne Alice Sachs</t>
  </si>
  <si>
    <t>Guia de ISSQN referente a nota fiscal 126 - O Dragao De Sao Jorge Producoes Culturais Eireli</t>
  </si>
  <si>
    <t>Guia de ISSQN referente a nota fiscal 156 - Turmalina Producoes Musicais E Artisticas Ltda</t>
  </si>
  <si>
    <t>Guia de ISSQN referente ao RPA 1115 - Luiz Chopin Cruz De Oliveira</t>
  </si>
  <si>
    <t>Guia de ISSQN referente ao RPA 1116 - Miriam Beatriz Dos Santos Menezes</t>
  </si>
  <si>
    <t>Guia de ISSQN referente ao RPA 1117 - Júlio César Viana Saraiva</t>
  </si>
  <si>
    <t>Guia de ISSQN referente ao RPA 1119 - Raquel Da Silva Aranha</t>
  </si>
  <si>
    <t>Guia de ISSQN referente ao RPA 1120 - Michelle Aparecida Silva Barreto</t>
  </si>
  <si>
    <t>Guia de ISSQN referente ao RPA 1121 - Diego Fernandes Garcia Moschikovich</t>
  </si>
  <si>
    <t>Guia de ISSQN referente ao RPA 1122 - Lindberg Souza Campos Filho</t>
  </si>
  <si>
    <t>Guia de ISSQN referente ao RPA 1130 - Rosangela De Mendonça Guimarães</t>
  </si>
  <si>
    <t>Guia de ISSQN referente ao RPA 1131 - Ewelyn Felice Da Silva</t>
  </si>
  <si>
    <t>Guia de ISSQN referente a nota fiscal 2021/1 - Cub3 Inteligência Web Ltda</t>
  </si>
  <si>
    <t>Guia de ISSQN referente a nota fiscal 2021/5 - Ricelli Piva Dos Santos - Me</t>
  </si>
  <si>
    <t>Guia de ISSQN referente a nota fiscal 2021/5 - Mylene Youssef A Vieira - Produções E Eventos Epp</t>
  </si>
  <si>
    <t>Guia de ISSQN referente a nota fiscal 2021/6 - Rafael Bruno De Oliveira Ferreira Eireli</t>
  </si>
  <si>
    <t>Guia de ISSQN referente a nota fiscal 2021/7 - Rita Clemente Producoes Artisticas Ltda</t>
  </si>
  <si>
    <t>Guia de ISSQN referente a nota fiscal 2021/8 - Luiza Leandro Martins Fonseca 10287238652</t>
  </si>
  <si>
    <t>Guia de ISSQN referente a nota fiscal 2021/9 - Excelencia Organizacao E Promocao De Eventos Ltda</t>
  </si>
  <si>
    <t>Guia de ISSQN referente a nota fiscal 2021/9 - Leben 108 Produtora De Filmes Ltda</t>
  </si>
  <si>
    <t>Guia de ISSQN referente a nota fiscal 2021/9 - Luiza Leandro Martins Fonseca 10287238652</t>
  </si>
  <si>
    <t>Guia de ISSQN referente a nota fiscal 2021/12 - D &amp; L Digital Ltda</t>
  </si>
  <si>
    <t>Guia de ISSQN referente a nota fiscal 2021/12 - Micropolis Ltda</t>
  </si>
  <si>
    <t>Guia de ISSQN referente a nota fiscal 2021/14 -  Girassolina Produções Ltda</t>
  </si>
  <si>
    <t>Guia de ISSQN referente a nota fiscal 2021/17 -  Hatari Filmes Ltda</t>
  </si>
  <si>
    <t>Guia de ISSQN referente a nota fiscal 2021/17 -  Fabrício Martins Batista 04680467630</t>
  </si>
  <si>
    <t>Guia de ISSQN referente a nota fiscal 2021/24 - Arco Cultural Ltda</t>
  </si>
  <si>
    <t>Guia de ISSQN referente a nota fiscal 2021/25 -  Arco Cultural Ltda</t>
  </si>
  <si>
    <t>Guia de ISSQN referente a nota fiscal 2021/39 - Elisete Gomes Joaquim de Oliveira-ME</t>
  </si>
  <si>
    <t>Guia de ISSQN referente a nota fiscal 2021/91 - Softwares de Gestão LTDA</t>
  </si>
  <si>
    <t>Guia de ISSQN referente a nota fiscal 2021/92 -  Softwares de Gestão LTDA</t>
  </si>
  <si>
    <t>Guia de ISSQN referente a nota fiscal 2021/93 - Softwares de Gestão LTDA</t>
  </si>
  <si>
    <t>Guia de ISSQN referente a nota fiscal 2021/94 -  Softwares de Gestão LTDA</t>
  </si>
  <si>
    <t>Guia de ISSQN referente a nota fiscal 2021/235 - BH Fotocópias Digital Ltda.</t>
  </si>
  <si>
    <t xml:space="preserve">Guia de ISSQN referente a nota fiscal 2021/685 - Patrulha Eletrônica Ltda </t>
  </si>
  <si>
    <t>Guia de ISSQN referente a nota fiscal 2021/3096 -Assiste Saúde do Trabalhador e Medicina do Trabalho Ltda</t>
  </si>
  <si>
    <t>Guia de ISSQN referente a nota fiscal 2021/4332 - Ocupacional Medicina do Trabalho Ltda</t>
  </si>
  <si>
    <t>Guia de ISSQN referente a nota fiscal 2021/190639 - Unimed Cooperativa de Trabalho Médico</t>
  </si>
  <si>
    <t>Guia de ISSQN referente a nota fiscal 2021/227121 - Unimed Cooperativa de Trabalho Médico</t>
  </si>
  <si>
    <t>Aluguel do mês de abril/2021 do CTP</t>
  </si>
  <si>
    <t>Contratação de arquivista em atendimento as atividades do CLMG, apresentações ou repertórios desenvolvidos, sendo presenciais ou virtuais. Faz-se necessária a contratação de arquivista em atendimento aos repertórios desenvolvidos para os eventos do CLMG. Devido a questão da Pandemia, os coralistas participam do projeto "Palácio em sua Cia", parte da programação de Mediação Cultural da FCS, que contempla a participação de apresentações em vídeo do CLMG, gerando conteúdos de programação para o ambiente virtual.</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</si>
  <si>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01</t>
  </si>
  <si>
    <t>Tarifa Bancária referente a transferência eletrônica pagamento fornecedor: Robert Avelino Camilo  - Processo 1405</t>
  </si>
  <si>
    <t>Guia de ISSQN referente a nota fiscal 175 - Christoffer Produções Artísticas Ltda</t>
  </si>
  <si>
    <t>Guia de ISSQN referente ao RPA 1103 -  Robert Avelino Camilo</t>
  </si>
  <si>
    <t>Guia de ISSQN referente ao RPA 1106 - Andre Lodi Rocha</t>
  </si>
  <si>
    <t>Guia de ISSQN referente ao RPA 1108 - Ana Dos Anjos Camarano Cardoso</t>
  </si>
  <si>
    <t>Guia de ISSQN referente ao RPA 1109 - Angela Peres De Oliveira</t>
  </si>
  <si>
    <t xml:space="preserve">Guia de ISSQN referente ao RPA 1112 - Juliana de Sousa Martins Pereira </t>
  </si>
  <si>
    <t>Guia de ISSQN referente a nota fiscal 2021/28 - Elisete Gomes Joaquim De Oliveira-me</t>
  </si>
  <si>
    <t>Guia de ISSQN referente a nota fiscal 2021/29 -  Elisete Gomes Joaquim De Oliveira-me</t>
  </si>
  <si>
    <t>Guia de ISSQN referente a nota fiscal 2021/30 - Elisete Gomes Joaquim De Oliveira-me</t>
  </si>
  <si>
    <t>Guia de ISSQN referente a nota fiscal 2021/31 - Elisete Gomes Joaquim De Oliveira-me</t>
  </si>
  <si>
    <t>Guia de ISSQN referente a nota fiscal 2021/32 -  Elisete Gomes Joaquim De Oliveira-me</t>
  </si>
  <si>
    <t>Guia de ISSQN referente a nota fiscal 2021/33 - Elisete Gomes Joaquim De Oliveira-me</t>
  </si>
  <si>
    <t>Guia de ISSQN referente a nota fiscal 2021/34 - Elisete Gomes Joaquim De Oliveira-me</t>
  </si>
  <si>
    <t>Guia de ISSQN referente a nota fiscal 2021/35 -  Elisete Gomes Joaquim De Oliveira-me</t>
  </si>
  <si>
    <t>Guia de ISSQN referente a nota fiscal 2021/36 - Elisete Gomes Joaquim De Oliveira</t>
  </si>
  <si>
    <t>Guia de ISSQN referente a nota fiscal 2021/37 - Elisete Gomes Joaquim De Oliveira-me</t>
  </si>
  <si>
    <t>Guia de ISSQN referente a nota fiscal 2021/38 - Elisete Gomes Joaquim De Oliveira-me</t>
  </si>
  <si>
    <t xml:space="preserve"> Leonardo Brasilino Rodrigues Da Cunha 04039016696</t>
  </si>
  <si>
    <t>Guia de ISSQN referente ao RPA 1110 - Luciana Monteiro Campello</t>
  </si>
  <si>
    <t>Guia de ISSQN referente a nota fiscal 2021/2 - Sergio Arruda Felicio</t>
  </si>
  <si>
    <t>Guia de ISSQN referente a nota fiscal 2021/11 - Francisco Carlos Baumecker 31740855604</t>
  </si>
  <si>
    <t>Guia de ISSQN referente a nota fiscal 2021/31 -  Logus Protection Patrimonial Ltda</t>
  </si>
  <si>
    <t>Guia de ISSQN referente ao RPA 1113 - Allan Ferreira Calisto</t>
  </si>
  <si>
    <t xml:space="preserve">Guia de ISSQN referente ao RPA 1134 -  Carla Ludmila Maia Martins </t>
  </si>
  <si>
    <t>Guia de ISSQN referente ao RPA 1135 - Gabriela Balieiro De Oliveira</t>
  </si>
  <si>
    <t>Guia de ISSQN referente ao RPA 1104 - Junia Pertence Barbosa Santos</t>
  </si>
  <si>
    <t>Guia de ISSQN referente ao RPA 1107 - Cintya Juliana Souza Santos Dias</t>
  </si>
  <si>
    <t>Guia de ISSQN referente ao RPA 1111- Gabriela Cristina Silva Ferreira</t>
  </si>
  <si>
    <t>Guia de ISSQN referente ao RPA 1132 - Cintya Juliana Souza Santos Dias</t>
  </si>
  <si>
    <t>Guia de ISSQN referente a nota fiscal 2021/5 -Diego Júnio Costa De Oliveira Neves</t>
  </si>
  <si>
    <t>Contratação de solista Aníbal Mancini para participação em vídeo do Sanctus das Missa Solennelle (Santa Cecilia) de Charles Gounod, junto com Coral Lírico de Minas Gerais e Orquestra Sinfônica de Minas Gerais. Vídeo será exibido no dia 30 de abril pelas redes sociais da Fundação Clovis Salgado.</t>
  </si>
  <si>
    <t xml:space="preserve"> Aníbal Camargo Xavier Mancini</t>
  </si>
  <si>
    <t>112.262.617-79</t>
  </si>
  <si>
    <t>Serviço de atuação na concepção e realização artística do espetáculo "Woyzeck 3g" e serviços de pós produção dos formandos nas apresentações do turno noite da escola teatro do CEFART.Apresentações são ações didático-pedagógicas que permitam aos alunos a percepção e a vivência da dinâmica entre o espaço de apresentação, o público, e a atuação - elementos fundamentais para a formação artística.</t>
  </si>
  <si>
    <t>Janaina Mendes Rolla</t>
  </si>
  <si>
    <t>098.893.086-22</t>
  </si>
  <si>
    <t>Serviço de profissional especializado para Captação de imagens e edição de vídeo artístico com acompanhamento nas reuniões dia a dia para conhecer o processo criativo. A edição inclui serviço de inclusão de legenda, capa (frame), inclusão de ficha técnica, créditos e logomarcas. Programação de aproximadamente 1 hora de vídeo da Intervenção da Dança.</t>
  </si>
  <si>
    <t xml:space="preserve"> Kleber De Jesus Bispo 10663043603</t>
  </si>
  <si>
    <t>Tarifa Bancária referente a transferência eletrônica pagamento fornecedor:  Aníbal Camargo Xavier Mancini - Processo 1528</t>
  </si>
  <si>
    <t>Tarifa Bancária referente a transferência eletrônica pagamento fornecedor: Janaina Mendes Rolla - Processo 1431</t>
  </si>
  <si>
    <t>Tarifa Bancária referente a transferência eletrônica pagamento fornecedor:     Michelle Aparecida Silva Barreto - Processo 1350</t>
  </si>
  <si>
    <t>Tarifa Bancária referente a transferência eletrônica pagamento fornecedor:   Kleber De Jesus Bispo 10663043603 -  Processo 1515</t>
  </si>
  <si>
    <t>Tarifa Bancária referente a transferência eletrônica pagamento fornecedor:  Heider Carlo Rezende 07184223683 -  Processo 1473</t>
  </si>
  <si>
    <t>Contratação de 04 cachês artísticos para bailarino (a) participar de apresentações e eventos da CDPA organizadas em série e/ou programas de difusão, formação e mediação cultural.Contratação de Leandro Garcia como bailarino,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</si>
  <si>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Amanda Santana como bailarina, representado por sua empresária Elisete Gomes Joaquim de Oliveira conforme contrato de representação artístico anexo</t>
  </si>
  <si>
    <t>Contratação de 04 cachês artísticos para bailarino (a) participar de apresentações e eventos da CDPA organizadas em série e/ou programas de difusão, formação e mediação cultural.Contratação de Maíra Campos como bailarina, representado por sua empresária Elisete Gomes Joaquim de Oliveira conforme contrato de representação artístico anexo</t>
  </si>
  <si>
    <t>2021/44</t>
  </si>
  <si>
    <t>Contratação de 04 cachês artísticos para bailarino (a) participar de apresentações e eventos da CDPA organizadas em série e/ou programas de difusão, formação e mediação cultural.Contratação de Anahi Poty como bailarina, representado por sua empresária Elisete Gomes Joaquim de Oliveira conforme contrato de representação artístico anexo</t>
  </si>
  <si>
    <t>2021/46</t>
  </si>
  <si>
    <t>2021/48</t>
  </si>
  <si>
    <t>Contratação de 04 cachês artísticos para bailarino (a) participar de apresentações e eventos da CDPA organizadas em série e/ou programas de difusão, formação e mediação cultural.Contratação de Pablo Garcia como bailarino, representado por sua empresária Elisete Gomes Joaquim de Oliveira conforme contrato de representação artístico anexo</t>
  </si>
  <si>
    <t>2021/49</t>
  </si>
  <si>
    <t>Contratação de 4 cachês artísticos para músico (a) instrumentista na participação em 4 apresentações ou repertórios desenvolvidos para os eventos da OSMG, sendo presenciais ou virtuais. Contratação de Raquel Carneiro como músico instrumentista, representado por sua empresária Elisete Gomes Joaquim de Oliveira conforme contrato de representação artístico anexo. Devido a questão da Pandemia, os coralistas participarão do projeto "Palácio em sua Cia", parte da programação de Mediação Cultural da FCS, que contempla a participação de apresentações em vídeo do CLMG, gerando conteúdos de programação para o ambiente virtual.</t>
  </si>
  <si>
    <t>Contratação de curadoria para a concepção do projeto de ocupação da fachada do Palácio das Artes pelo FIF - Festival Internacional de Fotografia.</t>
  </si>
  <si>
    <t>Bruno Vilela De Oliveira - Me</t>
  </si>
  <si>
    <t>Reembolso a conta do Contrato de Gestão - 05/2019 Aquisição de sistema de ponto para utilização pelos colaboradores do TP 50/2020 IEPHA - ano 2021. Referente ao mês 04/2021</t>
  </si>
  <si>
    <t>Reembolso realizado pelo Termo de Parceria 50/2020 - Iepha a conta do Contra de Gestão 005/2019 referente ao pagamento de guia de FGTS - Valor proporcional aos funcionários a serviço do TP 50/2020 - 04/2021</t>
  </si>
  <si>
    <t>Reembolso a conta do Contrato de Gestão - 05/2019 Aquisição de sistema de ponto para utilização pelos colaboradores da Appa - ano 2021. Referente ao mês 04/2021</t>
  </si>
  <si>
    <t>Contratação de cenógrafo, cenotécnico e construção de cenário, comperíodo de atuação entre abril a junho de 2021 e local de atuação no Cefart. Esta contratação contempla o chamamento de profissional para a criação de elefante cenotécnico, em tamanho real e com estética realista para construção do espetáculo.O tema desta nova montagem perpassa uma circunstância fantástica que ocorre em uma capital: um grupo de transeuntes se depara com um elefante ferido, no meio da rua/avenida. 1º parcela</t>
  </si>
  <si>
    <t>Salário do Superintendente de Auditoria, referente ao mês 04/2021</t>
  </si>
  <si>
    <t>Salário da Analista Financeiro Pleno, referente ao mês 04/2021</t>
  </si>
  <si>
    <t>Salário do Montador Diart, referente ao mês 04/2021</t>
  </si>
  <si>
    <t>Salário do Coordenador de Comunicação, referente ao mês 04/2021</t>
  </si>
  <si>
    <t>Salário do Gerente de Projetos: Produção Artística, referente ao mês 04/2021</t>
  </si>
  <si>
    <t>Salário do Gerente de Projetos, referente ao mês 04/2021</t>
  </si>
  <si>
    <t>Salário do Diretor Financeiro, referente ao mês 04/2021</t>
  </si>
  <si>
    <t>Salário da Produtora Cultural: Produção Artística, referente ao mês 04/2021</t>
  </si>
  <si>
    <t>Salário da Auxiliar de serviços Gerais, referente ao mês 04/2021</t>
  </si>
  <si>
    <t>Salário do Montador Dipro, referente ao mês 04/2021</t>
  </si>
  <si>
    <t>FGTS referente a folha de pagamento do mês 04/2021</t>
  </si>
  <si>
    <t>Sinara Araujo Costa Sociedade Individual De Advocacia</t>
  </si>
  <si>
    <t>Salário da Assessora Pedagógica: Formação Artística e Tecnológica, referente ao mês 04/2021</t>
  </si>
  <si>
    <t>Salário da Produtora Cultural, referente ao mês 04/2021</t>
  </si>
  <si>
    <t>Salário do Presidente referente ao mês 042021</t>
  </si>
  <si>
    <t>Salário do Coordenador Administrativo referente ao mês 04/2021</t>
  </si>
  <si>
    <t>Salário do Gerente de Projetos: Programação Artística referente ao mês 04/2021</t>
  </si>
  <si>
    <t>Tarifa Bancária referente a transferência eletrônica pagamento fornecedor:  Sinara Araujo Costa Sociedade Individual De Advocacia -  Processo 1457</t>
  </si>
  <si>
    <t>Debatedor convidado para comentar o filme "A Garota que Sabia Demais", dirigido por Mario Bava,de 16/04/2021 a 16/05/2021 na plataforma cinehumbertomauroMAIS.com.br . O debate será realizado no dia 22/04/2021, às 19h, no canal do Youtube da Fundação Clóvis Salgado e retransmitido pela plataforma do cinema.</t>
  </si>
  <si>
    <t>Fábio Feldman Dos Santos Freitas</t>
  </si>
  <si>
    <t>060.876.276-85</t>
  </si>
  <si>
    <t>Reembolso ref. Ponto Eletrônico</t>
  </si>
  <si>
    <t>Bolsa Estágio ref. 04/2021</t>
  </si>
  <si>
    <t>Reembolso realizado pelo Termo de Parceria 50/2020 - IEPHA referente ao percentual (26,41% do valor total), Segurança Eletrônica da Sede da APPA - mês 04/2021</t>
  </si>
  <si>
    <t>Reembolso realizado pelo Termo de Parceria 50/2020 - IEPHA referente ao percentual (26,41% do valor total), Manutenção de redes e computadores da sede da Appa - mês 04/2021</t>
  </si>
  <si>
    <t>Reembolso realizado pelo Termo de Parceria 50/2020 - IEPHA referente ao percentual (26,41% do valor total ) do aluguel da sede da Appa referente ao mês 04/2021</t>
  </si>
  <si>
    <t>Reembolso realizado pelo Termo de Parceria 50/2020 - IEPHA referente ao percentual (26,41% do valor total ) guia de IPTU - 04º parcela</t>
  </si>
  <si>
    <t>Aluguel da sede da Appa referente ao período de 10/04 a 09/05/2021</t>
  </si>
  <si>
    <t>Guia de ITPU - Parcela 04</t>
  </si>
  <si>
    <t>2021/685</t>
  </si>
  <si>
    <t>Taxas de Fiscalização de Localização e Funcionamento  e Taxa de Fiscalização Sanitária . Favorecido: Prefeitura Muncipal de Belo Horizonte - 01º Parcela</t>
  </si>
  <si>
    <t>02.21.0674987-15</t>
  </si>
  <si>
    <t>Curadoria para concepção da exposição comemorativa de 50 anos do Palácio das Artes a partir da pesquisa em memória realizada.A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t>
  </si>
  <si>
    <t>Brayhan Hawryliszyn E Silva - Me</t>
  </si>
  <si>
    <t>14.918.518/0001-13</t>
  </si>
  <si>
    <t>Contratação de serviços de direção de fotografia, captação de imagens para transmissão, gravação e edição das apresentações da formatura do 3o ano do turno noturno da Escola de Teatro do Cefart. Local de atuação será presencial no Cefart e/ou via Internet. O profissional especialista na área em questão contratada deverá, juntamente com o Diretor do espetáculo, alinhar o formato, dentro das percepções artísticas, o que será captado, editado e transmitido na forma de imagens, para as apresentações das formaturas da Escola de Teatro - turno da noite. Parcela 01</t>
  </si>
  <si>
    <t>Contratação de empresa para adequar e corrigir espaço de ligação do padrão de energia do CTPF - Marzagão, com recolocação de medidor de energia. Será necessária a execução da parte de alvenaria, além da instalação de um novo padrão, em local a ser definido. Faz-se necessária a contratação supracitada uma vez que o padrão foi alvo de vandalismo e teve cabos e equipamentos furtados, ocorrendo a necessidade da reconstrução do padrão e religação da energia para que o CTPF Marzagão possa voltar ao seu pleno funcionamento. Para diminuir a quantidade de cabos devido o distanciamento entre o padrão e o galpão, a nova instalação ocorrerá em local mais próximo da entrada do galpão, diminuindo a quantidade de cabos e, consequentemente, diminuindo o interesse de vândalos.</t>
  </si>
  <si>
    <t>Reforlar Soluções Em Engenharia Eireli</t>
  </si>
  <si>
    <t>28.074.559/0001-85</t>
  </si>
  <si>
    <t>Tarifa Bancária referente a transferência eletrônica pagamento fornecedor:  Brayhan Hawryliszyn E Silva - Me -  Processo 1495</t>
  </si>
  <si>
    <t>Tarifa Bancária referente a transferência eletrônica pagamento fornecedor: Kleber De Jesus Bispo 10663043603 -  Processo 1517</t>
  </si>
  <si>
    <t>Tarifa Bancária referente a transferência eletrônica pagamento fornecedor: Reforlar Soluções Em Engenharia Eireli -  Processo  1440</t>
  </si>
  <si>
    <t>Reembolo realizado pela conta da Asppa referente ao pagamento de  guia ISSQN  em atraso câmbio - Processo 856 - Lynne Alice Sachs</t>
  </si>
  <si>
    <t>Mediação da roda de conversa: Flávio Venturini e Coral Infanto Juvenil do Palácio das Artes, para acontecer no dia 29 de abril, às14h no Youtube da Fundação Clóvis Salgado.Atividades como a Roda de Conversas são ações que ampliam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t>
  </si>
  <si>
    <t>Breno Rodrigo Bartolomeu Da Silva</t>
  </si>
  <si>
    <t>118.473.656-12</t>
  </si>
  <si>
    <t>Contratação de músico para Criação de Arranjo Musical para Orquestra composta por todos seus naipes (cordas, madeiras, metais e percussão) e coral Lírico, da música de Chiquinha Gonzaga intitulada "Corta Jaca" com duração de de aproximadamente 03 minutos e 30 segundos. Faz-se necessário a contratação de um músico compositor para criação de Arranjo Musical exclusivo para Orquestra, Coral e solista na música de Chiquinha Gonzaga intitulada Corta Jaca. Arranjo musical para gravação de áudio e vídeo dos corpos artísticos no Projeto Palácio em sua Companhia com exibição nas redes sociais no dia 31 de março.</t>
  </si>
  <si>
    <t>ISSQN Complementar referente ao câmbio - Processo 856 - Lynne Alice Sachs</t>
  </si>
  <si>
    <t>Tarifa Bancária referente a transferência eletrônica pagamento fornecedor: Breno Rodrigo Bartolomeu Da Silva -  Processo  1550</t>
  </si>
  <si>
    <t>Tarifa Bancária referente a transferência eletrônica pagamento fornecedor: Frederico Carlos Natalino 06822245618 -  Processo  1464</t>
  </si>
  <si>
    <t>Tarifa Bancária referente a transferência eletrônica pagamento fornecedor:Eduardo Muller Carvalho dos Reis 09247861675 -  Processo  1267</t>
  </si>
  <si>
    <t>Debatedor convidado para comentar o filme "A Noite do Demônio", dirigido por Jacques Tourneur, que será exibido de 16/04/2021 a 16/05/2021 na plataforma cinehumbertomauroMAIS.com.br . O debate será realizado no dia 20/04/2021, às 19h, no canal do Youtube da Fundação Clóvis Salgado e retransmitido pela plataforma do cinema.</t>
  </si>
  <si>
    <t>Paulo Martins Filho</t>
  </si>
  <si>
    <t>470.305.208-31</t>
  </si>
  <si>
    <t xml:space="preserve">Reembolso realizado pelo Termo de Parceria 50/2020 - Iepha referente ao uso de telefone fixo da sede da Appa - consumo do mês 04/2021 - Percentual de  26,41% do valor total </t>
  </si>
  <si>
    <t>Telefone Fixo da sede da Appa referente ao mês 04/2021</t>
  </si>
  <si>
    <t>10144560-MG</t>
  </si>
  <si>
    <t>Contratação de profissional para direção artística e dramaturgia bem como preparação corporal do elenco na criação da montagem do espetáculo de teatro do CEFART. Os espetáculos são ações didático-pedagógicas que permitem aos alunos e percepção e a vivência da dinâmica entre o espaço de apresentação, o público e a sua atuação, elementos fundamentais para a formação técnica. Parcela 01</t>
  </si>
  <si>
    <t>01 Serviço l Elaboração de edição de vídeo à partir de vários vídeos criados pelos bailarinos da Cia de Dança com o tempo de 1h cada um. Nesta mesma edição deve-se considerar inserção de legendas, capa (frame), inclusão de ficha técnica, créditos e logomarcas. Entrega de 01 vídeo editado com estes conteúdos de aproximadamente 4 minutos.</t>
  </si>
  <si>
    <t>Maira Campos De Freitas Lucas 69443017172</t>
  </si>
  <si>
    <t>Tarifa Bancária referente a transferência eletrônica pagamento fornecedor: Aquela Cia Produções Artísticas Ltda -  Processo  1508</t>
  </si>
  <si>
    <t>Tarifa Bancária referente a transferência eletrônica pagamento fornecedor: Maira Campos De Freitas Lucas 69443017172 -  Processo  1542</t>
  </si>
  <si>
    <t>Contratação de 4 cachês artísticos para pianista na participação em 4 apresentações ou repertórios desenvolvidos para os eventos do CLMG, sendo presenciais ou virtuais. Devido a questão da Pandemia, os músicos e coralistas participam do projeto "Palácio em sua Cia", parte da programação de Mediação Cultural da FCS, que contempla a participação de apresentações em vídeo do CLMG, gerando conteúdos de programação para o ambiente virtual.</t>
  </si>
  <si>
    <t>Contratação de 04 cachês artísticos para bailarino (a) participar de apresentações e eventos da CDPA organizadas em série e/ou programas de difusão, formação e mediação cultural.Contratação de Renato Augusto como bailarino, representado por sua empresária Elisete Gomes Joaquim de Oliveira conforme contrato de representação artístico anexo</t>
  </si>
  <si>
    <t>Contratação de fornecedor que execute ou disponibilize profissional para dar assistência aos bibliotecários, encarregado do atendimento, empréstimos, devolução, renovação e organização de livros do acervo; fazer cadastros e controles; dar apoio ao núcleo pedagógico; atender alunos e professores e preparar materiais para empréstimo.</t>
  </si>
  <si>
    <t>Igor Cerqueira De Aguiar</t>
  </si>
  <si>
    <t>119.018.856-23</t>
  </si>
  <si>
    <t>Tarifa Bancária referente a transferência eletrônica pagamento fornecedor: Igor Cerqueira De Aguiar -  Processo  1465</t>
  </si>
  <si>
    <t>Tarida Pacote de Serviços</t>
  </si>
  <si>
    <t>Reembolso realizado pelo Termo de Parceria 50/2020 - IEPHA  referente ao percentual (26,41% do valor total), assessoria contábil para o Contrato de Gestão 05/2019 e Termo de Parceria referente ao mês 04/2021</t>
  </si>
  <si>
    <t>DARF/Cide Importação referente ao câmbio - Processo 856 - Lynne Alice Sachs</t>
  </si>
  <si>
    <t>Consultoria sobre acessibilidade para produção dos materiais propostos pensando no ambiente virtual para aumentar a acessibilidade inclusiva da Mostra Chama, que ocorrerá entre os dias 01 e 30 de junho de 2021. O profissional deverá elaborar a redação de 25 textos com descrição das obras de arte p serem gravadas em áudio-descrição e consultoria em geral no desenvolvimento de um projeto de exposição virtual.A acessibilidade em ambiente virtual é importante para que se permita o aproveitamento completo da experiência de participação em uma Mostra Virtual. Parcela 01</t>
  </si>
  <si>
    <t>Estúdio 739 De Publicidade E Propaganda Ltda</t>
  </si>
  <si>
    <t>2021/496</t>
  </si>
  <si>
    <t>Criação de trilhas e paisagens sonoras para a exposição comemorativa dos 50 anos do Palácio das Artes. Sendo, criação de paisagem sonora a partir de sons de teatro e plateia para a sonorização da Sala 1; criação de trilha sonora para sonorização da sala 3; criação de trilha sonora para sonorização da sala imersiva.A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01</t>
  </si>
  <si>
    <t>Ministração de Curso complementar "Músicas do Clube da Esquina" em apoio à escola de Música do Cefart, com a duração de 16 horas/aula. Plataforma virtual.  O curso aqui em oferta tem por objetivo principal proporcionar aos alunos das Escola de Música do Cefart a ampliação de seus conhecimentos na área de improvisação e orquestração no âmbito da música popular. Cursos que ampliem a formação artística e profissional dos alunos, complementando os conteúdos curriculares oferecidos. Parcela 01</t>
  </si>
  <si>
    <t>Alberto Lopes Cancado</t>
  </si>
  <si>
    <t>551.436.106-30</t>
  </si>
  <si>
    <t xml:space="preserve">Férias do Presidente </t>
  </si>
  <si>
    <t>Tarifa Bancária referente a transferência eletrônica pagamento fornecedor: Estúdio 739 De Publicidade E Propaganda Ltda - Processo 1552</t>
  </si>
  <si>
    <t>Tarifa Bancária referente a transferência eletrônica pagamento fornecedor:Pedro Henrique Jacome -  Processo  1498</t>
  </si>
  <si>
    <t>Tarifa Bancária referente a transferência eletrônica pagamento fornecedor :Alberto Lopes Cancado -  Processo  1537</t>
  </si>
  <si>
    <t xml:space="preserve">Reembolso realizado pela conta da Appa  referente ao pagamento do Plano de Saúde dos Funcionários a serviço do Termo - Co- Participação </t>
  </si>
  <si>
    <t>Reembolso realizado pelo Termo de Parceria 50/2020 - IEPHA referente ao percentual (26,41% do valor total), referente ao telefone móvel da sede da Appa- mês 04/2021.</t>
  </si>
  <si>
    <t>Reembolso realizado pelo Termo de Parceria 50/2020 - IEPHA referente ao percentual (26,41% do valor total) consumo de energia elétrica da sede da Appa- mês 04/2021</t>
  </si>
  <si>
    <t>Reembolso realizado pelo Termo de Parceria 50/2020 - IEPHA referente ao percentual (26,41% do valor total ) aluguel de impressoras da sede da Appa - Mês 04/2021.</t>
  </si>
  <si>
    <t>Contratação de 5 contas do Zoom para processo de seleção. As salas são necessárias para a realização de até 5 salas simultâneas. De acordo com o publicado no edital,as provas específicas de cada curso serão realizadas a partir de 27 de abril até 7 de maio de 2021.</t>
  </si>
  <si>
    <t xml:space="preserve">01.505.648/0001-82
</t>
  </si>
  <si>
    <t>Energia Elétrica da Sede da Appa mês 04/2021</t>
  </si>
  <si>
    <t>U04052</t>
  </si>
  <si>
    <t>2021/227121</t>
  </si>
  <si>
    <t>2021/190639</t>
  </si>
  <si>
    <t>Curso complementares "Práticas para Montagem de Exposição"para a escola de Artes Visuais, comcarga horária total de10 horas.O curso ora em oferta visa complementar a capacitação dos alunos da Escola de Artes Visuais nos processos necessários e fundamentaria para a montagem de exposições e outros tipos de mostras. Cursos que ampliem a formação artística e profissional dos alunos, complementando os conteúdos curriculares oferecidos. Parcela 01</t>
  </si>
  <si>
    <t>Geraldo Peixoto De Freitas Neto</t>
  </si>
  <si>
    <t xml:space="preserve">014.807.776-50
</t>
  </si>
  <si>
    <t>Criação de trilhas e paisagens sonoras para a exposição comemorativa dos 50 anos do Palácio das Artes. Sendo, criação de paisagem sonora a partir de sons de teatro e plateia para a sonorização da Sala 1; criação de trilha sonora para sonorização da sala 3; criação de trilha sonora para sonorização da sala imersiva.A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1º parcela</t>
  </si>
  <si>
    <t>Roteirista para desenvolver a narrativa audiovisual da exposição comemorativa de 50 anos do Palácio das Artes a partir da pesquisa em memória realizada.A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Parcela 01</t>
  </si>
  <si>
    <t>Tarifa Bancária referente a transferência eletrônica pagamento fornecedor : Geraldo Peixoto De Freitas Neto -  Processo  1535</t>
  </si>
  <si>
    <t>Tarifa Bancária referente a transferência eletrônica pagamento fornecedor :Fabiano Fonseca Freitas  -  Processo  1554</t>
  </si>
  <si>
    <t>Tarifa Bancária referente a transferência eletrônica pagamento fornecedor :Guilherme Cruz Lessa  -  Processo  1496</t>
  </si>
  <si>
    <t>Tarifa Bancária referente a transferência eletrônica pagamento fornecedor : Marcelo Padovani Macieira - Processo: 1556</t>
  </si>
  <si>
    <t>Intérprete de libras para tradução simultânea dos debates da mostra "História Permanente do Cinema", serão 7 debates com duração média de 1h30 cada um deles. Os debates fazem parte da programação da mostra "Cults do Terror"com programação de 16 de abril de 2021 à 16 de maio de 2021 e sessões comentadas nos dias16/04, 20/04, 22/04, 27/04, 30/04, 06/05 e 13/05. Parcela 02</t>
  </si>
  <si>
    <t>140.566.196-89</t>
  </si>
  <si>
    <t>Coordenação de programação e curadoria para o 23º Festcurtas BH. A prestadora de serviços será responsável pela organização geral da dinâmica da comissão de seleção, que seleciona os filmes a serem exibidos no23º Festcurtas BH e deverá ser contratada pelo período de nove meses.</t>
  </si>
  <si>
    <t>Produção de programação para o 23º Festcurtas BH. O prestador de serviços será responsável pelo controle das inscrições de filmes e do processo de seleção para a programação do festival e deverá ser contratado pelo período de nove meses.</t>
  </si>
  <si>
    <t>Reembolso realizado pelo Termo de Parceria 50/2020 - IEPHA referente ao percentual (26,41% do valor total), assessoria jurídica para o Contrato de Gestão e Termo de Parceria referente ao mês 04/2021.</t>
  </si>
  <si>
    <t>Consumo de energia elétrica do mês 04/2021</t>
  </si>
  <si>
    <t>Direito autoral da instalação artística digital com iluminação interativa de autoria de Sandro Miccoli e Marcelo Padovani, que irá integrar a exposição comemorativa de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1º parcela</t>
  </si>
  <si>
    <t>Marcelo Padovani Macieira</t>
  </si>
  <si>
    <t>090.050.016-66</t>
  </si>
  <si>
    <t>Tarifa Bancária referente a transferência eletrônica pagamento fornecedor : Augusto Mário Goulart Pimenta  -  Processo  1202</t>
  </si>
  <si>
    <t>Sandro Miccoli Alves</t>
  </si>
  <si>
    <t>091.042.036-07</t>
  </si>
  <si>
    <t>Vale transporte para os funcionários a serviço do Contrato de Gestão para uso em 05/2021</t>
  </si>
  <si>
    <t>2021/107487</t>
  </si>
  <si>
    <t>Debatedora convidada para comentar o filme "O Parque Macabro", dirigido por Herk Harvey,que será exibido de 16/04/2021 a 16/05/2021 na plataforma cinehumbertomauroMAIS.com.br . O debate será realizado no dia 13/05/2021, às 19h, no canal do Youtube da Fundação Clóvis Salgado e retransmitido pela plataforma do cinema.</t>
  </si>
  <si>
    <t>Thaiz Araujo Freitas</t>
  </si>
  <si>
    <t>437.525.808-01</t>
  </si>
  <si>
    <t>Debatedora convidada para comentar os filmes "Almas Mortas" e "Com a Maldade na Alma", dirigidos por William Castlee Robert Aldrich - respectivamente, que serão exibidos de 16/04/2021 a 16/05/2021 na plataforma cinehumbertomauroMAIS.com.br. O debate será realizado no dia 06/05/2021, às 19h, no canal do Youtube da Fundação Clóvis Salgado e retransmitido pela plataforma do cinema.</t>
  </si>
  <si>
    <t>Yasmine Paula Evaristo</t>
  </si>
  <si>
    <t>068.729.186-08</t>
  </si>
  <si>
    <t>Reembolso realizado pelo Termo de Parceria 50/2020 - IEPHA referente ao percentual 26,41% do valor total ) ao consumo de internet da Appa do mês 04/2021</t>
  </si>
  <si>
    <t xml:space="preserve">Repasse parcial referente a 05º parcela </t>
  </si>
  <si>
    <t>Contratação de apoio em informática para configurar registro de domínio, hospedagem e suporte técnico dos sites da Fundação Clóvis Salgado, que são geridos pela APPA.Tendo em vista a existência de domínios de sites da FCS em nome da APPA, mas com gestão feita por diferentes pessoas e em diferentes plataformas, fez-se necessária a contratação de prestador de serviços para a alteração da propriedade desses domínios, hospedagens e registros para as mesmas plataformas e, consequentemente,contas da APPA.</t>
  </si>
  <si>
    <t>Contratação de um sistema de gestão acadêmica com, hospedagem em nuvem, para monitoramento e acompanhamento das atividades complementares e demais atividades de Secretaria Acadêmica do CEFART no ano de 2021. Parcela 02</t>
  </si>
  <si>
    <t>Contratação de um sistema de gestão acadêmica com, hospedagem em nuvem, para monitoramento e acompanhamento das atividades complementares e demais atividades de Secretaria Acadêmica do CEFART no ano de 2021. Valor complementar 1º parcela</t>
  </si>
  <si>
    <t>2021/136</t>
  </si>
  <si>
    <t>Internet para sede da Appa referente ao mês 04/2021</t>
  </si>
  <si>
    <t xml:space="preserve">10292496-MG </t>
  </si>
  <si>
    <t>DARF/IR referente ao RPA 1129 - Jéssica Lilian De Jesus Schetino</t>
  </si>
  <si>
    <t>DARF referente ao RPA 1117 - Júlio César Viana Saraiva</t>
  </si>
  <si>
    <t>DARF/IR referente ao RPA 1130 - Rosangela De Mendonça Guimarães</t>
  </si>
  <si>
    <t>Guia de INSS e INSS Patronal referente ao RPA 1124 - Camila Silveira Duarte</t>
  </si>
  <si>
    <t>Guia de INSS e INSS Patronal referente ao RPA 1121 - Diego Fernandes Garcia Moschikovich</t>
  </si>
  <si>
    <t>INSS e INSS Patronal referente ao RPA 1131 - Ewelyn Felice Da Silva</t>
  </si>
  <si>
    <t>Guia de INSS e INSS Patronal referente ao RPA 1128 - Flávio Gabriel Parro Da Silva</t>
  </si>
  <si>
    <t>Guia de INSS e INSS Patronal referente ao RPA 1127 - Heitor Pinheiro</t>
  </si>
  <si>
    <t>INSS e INSS Patronal  referente ao RPA 1129 - Jéssica Lilian De Jesus Schetino</t>
  </si>
  <si>
    <t>INSS e INSS Patrronal  referente ao RPA 1117 - Júlio César Viana Saraiva</t>
  </si>
  <si>
    <t>Guia de INSS e INSS Patronal referente ao RPA 1122 - Lindberg Souza Campos Filho</t>
  </si>
  <si>
    <t>Guia de INSS e INSS patronal  referente ao RPA 1115 - Luiz Chopin Cruz De Oliveira</t>
  </si>
  <si>
    <t>Guia de INSS e INSS Patronal  referente ao RPA 1120 - Michelle Aparecida Silva Barreto</t>
  </si>
  <si>
    <t>Guia de INSS e INSS Patronal referente ao RPA 1116 - Miriam Beatriz Dos Santos Menezes</t>
  </si>
  <si>
    <t>Guia de INSS e INSS Patronal referente ao RPA 1123 - Priscila Alencastre Lopes Santos Souza</t>
  </si>
  <si>
    <t>Guia de INSS e INSS Patronal referente ao RPA 1126 - Rachel De Sousa Vianna</t>
  </si>
  <si>
    <t>Guia de INSS e INSS Patronal referente ao RPA 1119 - Raquel Da Silva Aranha</t>
  </si>
  <si>
    <t>Guia de INSS e INSS Patronal referente ao RPA 1125 - Rizzia Soares Rocha</t>
  </si>
  <si>
    <t>INSS e INSS Patronal referente ao RPA 1130 - Rosangela De Mendonça Guimarães</t>
  </si>
  <si>
    <t>DARF/IR referente a nota fiscal 2021/496 -  Krypton Serviços Contábeis S/s</t>
  </si>
  <si>
    <t>DARF/IR referente a nota fiscal 2021/12 - Micropolis Ltda</t>
  </si>
  <si>
    <t>DARF/IR referente a nota fiscal 2021/10 - Ovalle Leão Auditoria E Consultoria Ltda</t>
  </si>
  <si>
    <t>DARF/IR referente a nota fiscal 2021/1 - Cub3 Inteligência Web Ltda</t>
  </si>
  <si>
    <t>Guia de ISSQN referente a nota fiscal 2021/26 -  Logus Protection Patrimonial Ltda</t>
  </si>
  <si>
    <t>DARF/PCC referente a nota fiscal 2021/1 - Cub3 Inteligência Web Ltda</t>
  </si>
  <si>
    <t>DARF/PCC referente a nota fiscal 2021/134501 - Unimed Belo Horizonte</t>
  </si>
  <si>
    <t>DARF/PCC referente a nota fiscal 2021/10 - Ovalle Leão Auditoria E Consultoria Ltda</t>
  </si>
  <si>
    <t>DARF/PCC referente a nota fiscal 2021/342 - Krypton Serviços Contábeis S/S</t>
  </si>
  <si>
    <t>DARF/PCC referente a nota fiscal 2021/12 - Micropolis Ltda</t>
  </si>
  <si>
    <t>IR retido em folha do mês 03/2021</t>
  </si>
  <si>
    <t>IR retido férias Diretor Financeiro</t>
  </si>
  <si>
    <t>Guia de INSS referente a nota fiscal 2021/26 -  Logus Protection Patrimonial Ltda</t>
  </si>
  <si>
    <t>INSS retido dos funcionário, referente a folha de pagamento do mês 04/2021</t>
  </si>
  <si>
    <t>INSS Patronal referente ao mês 04/2021</t>
  </si>
  <si>
    <t>Tarifa Bancária referente a transferência eletrônica pagamento fornecedor :  Cleber José Leão De Almeida - Processo: 1565</t>
  </si>
  <si>
    <t>DARF/IR referente ao RPA 1108 - Ana Dos Anjos Camarano Cardoso</t>
  </si>
  <si>
    <t>DARF/IR referente ao RPA 1106 - Andre Lodi Rocha</t>
  </si>
  <si>
    <t>DARF/IR referente ao RPA 1109 - Angela Peres De Oliveira</t>
  </si>
  <si>
    <t xml:space="preserve">DARF/IR referente ao RPA 1112 - Juliana de Sousa Martins Pereira </t>
  </si>
  <si>
    <t>Guia de INSS e INSS Patronal referente ao RPA 1108 - Ana Dos Anjos Camarano Cardoso</t>
  </si>
  <si>
    <t>Guia de INSS e INSS Patronal referente ao RPA 1106 - Andre Lodi Rocha</t>
  </si>
  <si>
    <t>Guia de INSS e INSS Patronal referente ao RPA 1109 -  Angela Peres De Oliveira</t>
  </si>
  <si>
    <t xml:space="preserve">Guia de INSS e INSS Patronal referente ao RPA 1112 - Juliana de Sousa Martins Pereira </t>
  </si>
  <si>
    <t>Guia de INSS e INSS Patronal referente ao RPA 1103 - Robert Avelino Camilo</t>
  </si>
  <si>
    <t>DARF/IR  referente ao RPA 1110 - Luciana Monteiro Campello</t>
  </si>
  <si>
    <t>INSS e INSS Patronal referente ao RPA 1110 - Luciana Monteiro Campello</t>
  </si>
  <si>
    <t>Guia de INSS referente a nota fiscal 2021/31 -  Logus Protection Patrimonial Ltda</t>
  </si>
  <si>
    <t>DARF/IR referente ao RPA 1113 - Allan Ferreira Calisto</t>
  </si>
  <si>
    <t>Guia de INSS e INSS Patronal  referente ao RPA 1113 - Allan Ferreira Calisto</t>
  </si>
  <si>
    <t xml:space="preserve">Guia de INSS e INSS Patronal  referente ao RPA 1134 -  Carla Ludmila Maia Martins </t>
  </si>
  <si>
    <t>INSS e INSS patronal  referente ao RPA 1135 - Gabriela Balieiro De Oliveira</t>
  </si>
  <si>
    <t>DARF/IR referente ao recibo - Claryssa Christina Figueiredo De Almeida 08742916666</t>
  </si>
  <si>
    <t>DARF/IR referente ap RPA 1107 - Cintya Juliana Souza Santos Dias</t>
  </si>
  <si>
    <t>DARF/IR referente ao RPA 1111 - Gabriela Cristina Silva Ferreira</t>
  </si>
  <si>
    <t>DARF/IR referente ao RPA 1104 - Junia Pertence Barbosa Santos</t>
  </si>
  <si>
    <t>Guia de INSS e INSS Patronal referente ap RPA 1107 - Cintya Juliana Souza Santos Dias</t>
  </si>
  <si>
    <t>Guia de INSS e INSS Patronal referente ap RPA 1132 - Cintya Juliana Souza Santos Dias</t>
  </si>
  <si>
    <t>INSS e INSS Patronal referente ao RPA 1111 - Gabriela Cristina Silva Ferreira</t>
  </si>
  <si>
    <t>Guia de INSS e INSS Patronal referente ao RPA 1104 - Junia Pertence Barbosa Santos</t>
  </si>
  <si>
    <t>Plotagem da fachada da grande Galeria Alberto da Veiga Guignard (Palácio das Artes) e impressão e instalação de imagem em grande formato nos espaços para divulgação externa do PA ("placões") conforme projeto curatorial para ocupação da fachada do Palácio das Artes pelo FIF – Festival Internacional de Fotografia.O serviço inclui a remoção dos adesivos que estão instalados no local, impressão e instalação dos adesivos a serem impressos conforme arquivo e especificações anexas, posterior retirada dos adesivos, impressão e instalação de imagem em grande formato para ocupar o "placão" (impressão em lona com acabamento em ilhós).</t>
  </si>
  <si>
    <t>00.752.643/0001-91</t>
  </si>
  <si>
    <t>2021/298</t>
  </si>
  <si>
    <t>Reembolso realizado pelo Termo de Parceria 50/2020 - IEPHA referente ao percentual (26,41% do valor total ) aluguel de PABX da sede da Appa- mês 04/2021.</t>
  </si>
  <si>
    <t>Reembolso realizado pelo Termo de Parceria 50/2020 - IEPHA referente ao percentual (26,41% do valor total ) consumo de água da sede da Appa- mês 04/2021</t>
  </si>
  <si>
    <t>Reembolso realizado pelo Termo de Parceria 50/2020 - IEPHA referente ao percentual (26,41% do valor total), telefone móvel para os funcionários a serviço do IEPHA, referente ao mês 04/2021.</t>
  </si>
  <si>
    <t>Transferência para Conta Reserva referente aos rendimentos de aplicações financeiras do mês 04/2021</t>
  </si>
  <si>
    <t>Consumo de telefone móvel para os funcionários a serviço do Contrato de Gestão  e Termo de Parceria IEPHA referente ao mês 04/2021.</t>
  </si>
  <si>
    <t>Consumo de internet móvel - conta 0362806069</t>
  </si>
  <si>
    <t>PIS referente a folha de pagamento do mês 04/2021.</t>
  </si>
  <si>
    <t>Contratação de serviço de e-mail marketing para envio de 100mil e-mails / mensais. Parcela 02</t>
  </si>
  <si>
    <t>Cofins referente aos rendimentos de aplicações financeiras do mês 04/2021.</t>
  </si>
  <si>
    <t>001.21.26208326-3</t>
  </si>
  <si>
    <t xml:space="preserve">Coordenação de produção para o 23º Festcurtas BH. O prestador de serviços será responsável por coordenar a logística e desenho de produção para a realização da 23ª edição do festival, incluindo a finalização e pós-evento. 01 parcela  </t>
  </si>
  <si>
    <t>Assistência de produção para atuar na pesquisa para desenvolvimento de tema e levantamento de conteúdo para concepção da exposição comemorativa de 50 anos do Palácio das Artes. O profissional deverá auxiliar os pesquisadores na catalogação do material de pesquisa, digitalização de textos, imagens e outros documentos e fazer o intermédio entre os pesquisadores e a curadoria do evento.</t>
  </si>
  <si>
    <t>Pira Arte E Cultural Ltda</t>
  </si>
  <si>
    <t>26.462.370/0001-34</t>
  </si>
  <si>
    <t>Tarifa Bancária referente a transferência eletrônica pagamento fornecedor: JPira Arte E Cultural Ltda - Processo 1493</t>
  </si>
  <si>
    <t>Editor de vídeos -Contratação de profissional responsável por edição de vídeo, isto é, pegarmaterial bruto de vídeo produzido na Escola de Artes Visuais e editá-lo,segundo instruções. Nesse processo, ele elimina as falhas, corta os excessos eestrutura a sequência de cenas para que o vídeo faça sentido; tenhacontinuidade e seja mantido o contexto de cada produção. 1 parcela</t>
  </si>
  <si>
    <t xml:space="preserve"> Gilberto De Lima Goulart 08401043670</t>
  </si>
  <si>
    <t>Adesivação em vinil 71x140cm. Adesivo informativo sobre medidas contra covid-19 nos espaços da FCS.</t>
  </si>
  <si>
    <t>2021/347</t>
  </si>
  <si>
    <t>Adesivação dos totens de sinalização da Fundação Clóvis Salgado e CâmeraSete. Tais adesivos ajudarão aos visitantes se localizarem nos espaços internos da FCS, em especial nas diversas galerias do Palácio das Artes.</t>
  </si>
  <si>
    <t>Tarifa Bancária referente a transferência eletrônica pagamento fornecedor:  Gilberto De Lima Goulart 08401043670 - Processo 1252</t>
  </si>
  <si>
    <t>Tarifa Bancária referente a transferência eletrônica pagamento fornecedor:  BH Fotocópias Digital Ltda - Processo 1576</t>
  </si>
  <si>
    <t>Tarifa Bancária referente a transferência eletrônica pagamento fornecedor:  BH Fotocópias Digital Ltda - Processo 1451</t>
  </si>
  <si>
    <t xml:space="preserve">2 faixas elásticasplanas, 2 cm, de 25 metros cada.Faixa elástica plana feita de borracha de tecido.Elas serão usadas em uma cena do espetáculo, onde os alunos farão performances com o elástico, puxando e interagindo com eles.Apresentações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 </t>
  </si>
  <si>
    <t>Fonseca Couros Eireli</t>
  </si>
  <si>
    <t>71.411.862/0001-55</t>
  </si>
  <si>
    <t xml:space="preserve">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Entrada </t>
  </si>
  <si>
    <t>1m² de vidro canelado com espessura de de 4mm aproximados.Será usado como filtro na frente da câmera de uma cena do Espetáculo de Dança.Apresentações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t>
  </si>
  <si>
    <t xml:space="preserve"> Vifer Vidros E Ferragens Ltda</t>
  </si>
  <si>
    <t>20.148.151/0001-07</t>
  </si>
  <si>
    <t>000.001.685</t>
  </si>
  <si>
    <t xml:space="preserve">Compra de figurino para a coreografia da profa. Anna Vitóriapara a formatura da escola de dança do CEFART. Apresentações da formatura do terceiro ano da escola Técnica em Dança. Os espetáculos são ações didático-pedagógicas que permitem aos alunos a percepção e a vivência da dinâmica entre o espaço de apresentação, o público, e a sua atuação; - elementos fundamentais para a formação técnica. </t>
  </si>
  <si>
    <t xml:space="preserve"> La Dance Ltda</t>
  </si>
  <si>
    <t xml:space="preserve">18.716.894/0001-86
</t>
  </si>
  <si>
    <t>Tarifa Bancária referente a transferência eletrônica pagamento fornecedor: Fonseca Couros Eireli - Processo 1592</t>
  </si>
  <si>
    <t>Tarifa Bancária referente a transferência eletrônica pagamento fornecedor:  Renata Fonseca Felicissimo 10665267614 - Processo 1434</t>
  </si>
  <si>
    <t>Tarifa Bancária referente a transferência eletrônica pagamento fornecedor:  Vifer Vidros E Ferragens Ltda - Processo 1591</t>
  </si>
  <si>
    <t>Tarifa Bancária referente a transferência eletrônica pagamento fornecedor:   La Dance Ltda - Processo 1595</t>
  </si>
  <si>
    <t>Live"Direito Autoral (ECAD)", com Marina Florentino, advogada, ecom os professores e alunos do CEFART, a ser realizada pelas plataformas Zoom e Youtube.A Live acontecerá no dia 25 de fevereiro de 2021.</t>
  </si>
  <si>
    <t>Marina Florentino Garcia</t>
  </si>
  <si>
    <t>084.333.756-79</t>
  </si>
  <si>
    <t>Rendimentos de aplicações financeiras do mês 05/2021.</t>
  </si>
  <si>
    <t>Imposto de Renda referente aos rendimentos de aplicações financeiras do mês 05/2021.</t>
  </si>
  <si>
    <t>IOF referente aos rendimentos de aplicações financeiras do mês 05/2021.</t>
  </si>
  <si>
    <t>Reembolso realizado pela conta do TP 50/2020 Iepha  referente a contratação de serviços para reestruturação do layout e funcionalidades do site da APPA.</t>
  </si>
  <si>
    <t xml:space="preserve">Criação de trilhas sonoras de acordo com as solicitações das criações artísticas orientadas pela Direção do bailarinos. Necessita que o profissional acompanhe dia a dia as reuniões de criações junto com os bailarinos, referente ao vídeo Intervenção da Dança. </t>
  </si>
  <si>
    <t>Transferência Online</t>
  </si>
  <si>
    <t xml:space="preserve">Valor referente a Medicina do Trabalho do mês 05/2021 - PPRA </t>
  </si>
  <si>
    <t>2021/3931</t>
  </si>
  <si>
    <t>2021/5573</t>
  </si>
  <si>
    <t xml:space="preserve">Castelli E Machado Tecnologia Da Informacao Ltda
</t>
  </si>
  <si>
    <t>Debatedor convidado para comentar o filme "A Noite dos Mortos Vivos", dirigido por George Romero,de 16/04/2021 a 16/05/2021 na plataforma cinehumbertomauroMAIS.com.br . O debate será realizado no dia 27/04/2021, às 19h, no canal do Youtube da Fundação Clóvis Salgado e retransmitido pela plataforma do cinema.</t>
  </si>
  <si>
    <t>Breno Henrique De Almeida Rocha</t>
  </si>
  <si>
    <t>087.246.466-01</t>
  </si>
  <si>
    <t xml:space="preserve">Reembolso parcial da conta do Termo de Parceria 50/2020 - IEPHA, referente contratação de empresa de setor administrativo especializada em entidades do terceiro setor  para o Contrato de Gestão 05/2019 e Termo de Parceria 50/2020 (mês 05/2021) - 26,41% do valor total - </t>
  </si>
  <si>
    <t>01 Serviço contratação de profissional convidado para Direção artística dos vídeos e preparação corporal para processo de criação dos bailarinos em acordo com a necessidade dos bailarinos criadores e a própria CDPA.Faz-se necessário a contratação de profissional para Direção artística do vídeo e preparação corporal dos bailarinos para a criação do Vídeo Coletivo da CDPA de maio para o projeto Palácio em sua Companhia.</t>
  </si>
  <si>
    <t>Curso complementares "Práticas para Montagem de Exposição"para a escola de Artes Visuais, comcarga horária total de10 horas.O curso ora em oferta visa complementar a capacitação dos alunos da Escola de Artes Visuais nos processos necessários e fundamentaria para a montagem de exposições e outros tipos de mostras. Cursos que ampliem a formação artística e profissional dos alunos, complementando os conteúdos curriculares oferecidos. Parcela 02</t>
  </si>
  <si>
    <t>Contratação de serviços de Direção artística de vídeo para produção de 2 vídeos coletivos da OSMG e CLMG para o projeto Palácio em sua Companhia em apoio a produção artística.Necessário profissional para Direção artística dos vídeos coletivos da OSMG e CLMG.Um vídeo relativo às comemorações de 150 anos da estreia da ópera Aída do compositor Verdi que será exibido nos dias 28 de maio e outro vídeo com edição de áudio de banda complementar em homenagem ao compositor e instrumentista Argentino Astor Piazzolla que será exibido dia 27 de junho nas redes sociais da Fundação Clóvis Salgado.01 parcela</t>
  </si>
  <si>
    <t>Musico instrumentista Trompetista -Músico para gravação do vídeo coletivo da OSMG e CLMG, na execução do terceiro trompete do trecho "Gloria all' Egitto" da Ópera Aída de Giuseppe Verdi. Entrega do vídeo no dia 19 de maio 2021.</t>
  </si>
  <si>
    <t>Renzo Albierre Da Costa 08570962658</t>
  </si>
  <si>
    <t>20.637.165/0001-86</t>
  </si>
  <si>
    <t>Tarifa Bancária referente a transferência eletrônica pagamento fornecedor:  Patrick Messias Silva 10860379604 - Processo 1417</t>
  </si>
  <si>
    <t>Tarifa Bancária referente a transferência eletrônica pagamento fornecedor:   Aldo Cesar Da Silva 06777405658 - Processo 1406</t>
  </si>
  <si>
    <t>Tarifa Bancária referente a transferência eletrônica pagamento fornecedor:  Heitor Pinheiro - Processo 1563</t>
  </si>
  <si>
    <t>Tarifa Bancária referente a transferência eletrônica pagamento fornecedor:  Geraldo Peixoto De Freitas Neto - Processo 1535</t>
  </si>
  <si>
    <t>Tarifa Bancária referente a transferência eletrônica pagamento fornecedor:  Christoffer Produções Artísticas Ltda - Processo 1570</t>
  </si>
  <si>
    <t>Tarifa Bancária referente a transferência eletrônica pagamento fornecedor:  Renzo Albierre Da Costa 08570962658 - Processo 1569</t>
  </si>
  <si>
    <t>Tarifa Bancária referente a transferência eletrônica pagamento fornecedor:  Vitor Dutra Oliveira 00462792617 - Processo 1423</t>
  </si>
  <si>
    <t>Tarifa Bancária referente a transferência eletrônica pagamento fornecedor:  Rafael Ribeiro 10560568606 - Processo 1418</t>
  </si>
  <si>
    <t>Tarifa Bancária referente a transferência eletrônica pagamento fornecedor:  Ravel Munaier Lanza Conceição 08406317663 - Processo 1419</t>
  </si>
  <si>
    <t>Tarifa Bancária referente a transferência eletrônica pagamento fornecedor:  Leonardo Brasilino Rodrigues Da Cunha 04039016696 - Processo 1414</t>
  </si>
  <si>
    <t>Reembolso a conta do Contrato de Gestão - 05/2019  ref aquisição de sistema de ponto para utilização pelos colaboradores da Appa  (Anglo)- ano 2021. Referente ao mês 05/2021</t>
  </si>
  <si>
    <t>Reembolso a conta do Contrato de Gestão - 05/2019 Aquisição de sistema de ponto para utilização pelos colaboradores do TP 50/2020 IEPHA - ano 2021. Referente ao mês 05/2021</t>
  </si>
  <si>
    <t xml:space="preserve">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05/2021) - 26,41% do valor total - </t>
  </si>
  <si>
    <t>Reembolso parcial da conta do Termo de Parceria 50/2020 - IEPHA, referente a aquisição dos seguintes materiais de escritório: 20 unid. papel A4; 04 pac. saco plástico ofício com furos; 20 unid. pasta preta AZ; 16 unid. pilha AA e 16 unid. pilha AAA, esses materiais serão para uso do termo de parceria e contrato de gestão.</t>
  </si>
  <si>
    <t>Reembolso realizado pelo Termo de Parceria 50/2020 - IEPHA  referente ao percentual (26,41% do valor total), assessoria contábil para o Contrato de Gestão 05/2019 e Termo de Parceria referente ao mês 05/2021</t>
  </si>
  <si>
    <t>Reembolso realizado pelo Termo de Parceria 50/2020 - Iepha a conta do Contra de Gestão 005/2019 referente ao pagamento de guia de FGTS - Valor proporcional aos funcionários a serviço do TP 50/2020 - 05/2021</t>
  </si>
  <si>
    <t>Curso Complementar "Teatro e Cosmofagias" para Escola de Teatro, com carga horária de 10 horas/aula. 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 Os cursos complementares devem ser ministrados por profissionais atuantes, de forma a ampliar o repertório dos alunos.</t>
  </si>
  <si>
    <t>Cabra Eireli</t>
  </si>
  <si>
    <t>04.279.460/0001-51</t>
  </si>
  <si>
    <t>Salário do Superintendente de Auditoria, referente ao mês 05/2021</t>
  </si>
  <si>
    <t>Salário da Analista Financeiro Pleno, referente ao mês 05/2021</t>
  </si>
  <si>
    <t>Salário do Montador Diart, referente ao mês 05/2021</t>
  </si>
  <si>
    <t>Salário do Coordenador de Comunicação, referente ao mês 05/2021</t>
  </si>
  <si>
    <t>Salário do Gerente de Projetos: Produção Artística, referente ao mês 05/2021</t>
  </si>
  <si>
    <t>Salário do Gerente de Projetos, referente ao mês 05/2021</t>
  </si>
  <si>
    <t>Salário do Diretor Financeiro, referente ao mês 05/2021</t>
  </si>
  <si>
    <t>Salário da Produtora Cultural: Produção Artística, referente ao mês 05/2021</t>
  </si>
  <si>
    <t>Salário da Auxiliar de serviços Gerais, referente ao mês 05/2021</t>
  </si>
  <si>
    <t>Salário do Montador Dipro, referente ao mês 05/2021</t>
  </si>
  <si>
    <t>2021/741</t>
  </si>
  <si>
    <t>Aquisição dos seguintes materiais de escritório: 20 unid. papel A4; 04 pac. saco plástico ofício com furos; 20 unid. pasta preta AZ; 16 unid. pilha AA e 16 unid. pilha AAA, esses materiais serão para uso do termo de parceria e contrato de gestão.</t>
  </si>
  <si>
    <t>FGTS referente a folha de pagamento do mês 05/2021</t>
  </si>
  <si>
    <t>Aluguel do mês de maio/2021 do CTP</t>
  </si>
  <si>
    <t xml:space="preserve">Cursos complementares "PRINCÍPIOS TÉCNICOS EM DANÇA CONTEMPORÂNEA E CRIAÇÃO" e "LABORATÓRIO DE CRIAÇÃO E IMPROVISAÇÃO PARA A CENA" (para a escola de Dança a serem ministrados na plataforma Cefart Virtual. Cursos propostos visam complementar ampliar a formação artística e profissional dos alunos, ultrapassandoos conteúdos curriculares oferecidos. </t>
  </si>
  <si>
    <t>Marise Dinis Sousa</t>
  </si>
  <si>
    <t>Compra de 1 vidro como material de cena para ser usado na gravação do vídeo coletivo de junho. Vidro simples medida 40 x 40 cm espessura fina pois o vidro será quebrado em cena.</t>
  </si>
  <si>
    <t>Vifer Vidros E Ferragens Ltda</t>
  </si>
  <si>
    <t>000.001.686</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</si>
  <si>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02</t>
  </si>
  <si>
    <t>Contratação de profissional especializado Cinegrafista para captação de imagens com equipamento especializado e editor artístico de vídeo para criação de 04 vídeos dança para a Cia de Dança Palácio das Artes ( Coletivo CDPA, Intervenção de Dança ou Encontro com Cia de Dança) os vídeos serão publicados nas redes sociais dias 23 e 30 de maio e 13 e 30 de junho de 2021. Parcela 01</t>
  </si>
  <si>
    <t>2021/65</t>
  </si>
  <si>
    <t>Guia de ISSQN referente a nota fiscal 177 - Christoffer Produções Artísticas Ltda</t>
  </si>
  <si>
    <t>Guia de ISSQN referente a nota fiscal 178 - Christoffer Produções Artísticas Ltda</t>
  </si>
  <si>
    <t>Guia de ISSQN referente a nota fiscal 230 - Aquela Cia Produções Artísticas Ltda</t>
  </si>
  <si>
    <t>Guia de ISSQN referente ao RPA 1142 - Robert Avelino Camilo</t>
  </si>
  <si>
    <t>ISSQN referente ao RPA 1143 -  Augusto Mário Goulart Pimenta</t>
  </si>
  <si>
    <t>Guia de ISSQN referente ao RPA 1144 - Aníbal Camargo Xavier Mancini</t>
  </si>
  <si>
    <t xml:space="preserve">Guia de ISSQN referente ao RPA 1149 - Arthur Versiani Velloso Neto
</t>
  </si>
  <si>
    <t>Guia de ISSQN referente ao RPA 1151 - Davi Machado De Castro Fonseca</t>
  </si>
  <si>
    <t>Guia de ISSQN referente ao RPA 1153 - Ewelyn Felice Da Silva</t>
  </si>
  <si>
    <t>Guia de ISSQN referente ao RPA 1154 - Janaina Mendes Rolla</t>
  </si>
  <si>
    <t>Guia de ISSQN referente ao RPA 1155 -  Igor Cerqueira De Aguiar</t>
  </si>
  <si>
    <t>Guia de ISSQN referente ao RPA 1156 -  Alberto Lopes Cancado</t>
  </si>
  <si>
    <t>Guia de ISSQN referente ao RPA 1157 - Noemia da Luz Silva ( Breno Rodrigo Bartolomeu Da Silva)</t>
  </si>
  <si>
    <t>Guia de ISSQN referente ao RPA 1160 - Marina Florentino Garcia</t>
  </si>
  <si>
    <t>Guia de ISSQN referente ao RPA 1162 - Augusto Mário Goulart Pimenta</t>
  </si>
  <si>
    <t>Guia de ISSQN referente ao RPA 1163 - Guilherme Cruz Lessa</t>
  </si>
  <si>
    <t>Guia de ISSQN referente ao RPA 1164 -  Pedro Henrique Jacome</t>
  </si>
  <si>
    <t>Guia de ISSQN referente ao RPA 1165 - Fabiano Fonseca Freitas</t>
  </si>
  <si>
    <t>Guia de ISSQN referente ao RPA 1167 - Geraldo Peixoto De Freitas Neto</t>
  </si>
  <si>
    <t>Guia de ISSQN referente ao RPA 1171 -  Cleber José Leão De Almeida</t>
  </si>
  <si>
    <t>Guia de ISSQN referente ao RPA 1172 - Michelle Aparecida Silva Barreto</t>
  </si>
  <si>
    <t>Guia de ISSQN referente a nota fiscal 2021/2 -  Estúdio 739 De Publicidade E Propaganda Ltda</t>
  </si>
  <si>
    <t>Guia de ISSQN referente a nota fiscal 2021/2 - Javali Do Mar Experimentações Artisticas Ltda</t>
  </si>
  <si>
    <t>Guia de ISSQN referente a nota fiscal 2021/2 - Sinara Araujo Costa Sociedade Individual De Advocacia</t>
  </si>
  <si>
    <t>Guia de ISSQN referente a nota fiscal 2021/3 - Renata Fonseca Felicissimo 10665267614</t>
  </si>
  <si>
    <t>Guia de ISSQN referente a nota fiscal 2021/5 - Eduardo Félix De Miranda Leite - Me</t>
  </si>
  <si>
    <t>Guia de ISSQN referente a nota fiscal 2021/7 -Diego Júnio Costa De Oliveira Neves</t>
  </si>
  <si>
    <t>Guia de ISSQN referente a nota fiscal 2021/7 - Mylene Youssef A Vieira - Produções E Eventos Epp</t>
  </si>
  <si>
    <t xml:space="preserve">Guia de ISSQN referente a nota fiscal 2021/8 - Castelli E Machado Tecnologia Da Informacao Ltda
</t>
  </si>
  <si>
    <t>Guia de ISSQN referente a nota fiscal 2021/9 - Rafael Bruno De Oliveira Ferreira Eireli</t>
  </si>
  <si>
    <t>Guia de ISSQN referente a nota fiscal 2021/10 -  Luiza Leandro Martins Fonseca 10287238652</t>
  </si>
  <si>
    <t>Guia de ISSQN referente a nota fiscal 2021/10 - Pira Arte E Cultural Ltda</t>
  </si>
  <si>
    <t>Guia de ISSQN referente a nota fiscal 2021/12 - Brayhan Hawryliszyn E Silva - Me</t>
  </si>
  <si>
    <t>Guia de ISSQN referente a nota fiscal 2021/18 - Girassolina Produções Ltda</t>
  </si>
  <si>
    <t>Guia de ISSQN referente a nota fiscal 2021/18 - Hatari Filmes Ltda</t>
  </si>
  <si>
    <t>Guia de ISSQN referente a nota fiscal 2021/18 - Fabrício Martins Batista 04680467630</t>
  </si>
  <si>
    <t>Guia de ISSQN referente a nota fiscal 2021/26 -  Arco Cultural Ltda</t>
  </si>
  <si>
    <t>Guia de ISSQN referente a nota fiscal 2021/27 - Arco Cultural Ltda</t>
  </si>
  <si>
    <t>Guia de ISSQN referente a nota fiscal 2021/130 - Softwares De Gestão Ltda</t>
  </si>
  <si>
    <t>Guia de ISSQN referente a nota fiscal 2021/136 - Softwares De Gestão Ltda</t>
  </si>
  <si>
    <t>Guia de ISSQN referente a nota fiscal 2021/346 - BH Fotocópias Digital Ltda</t>
  </si>
  <si>
    <t>Guia de ISSQN referente a nota fiscal 2021/347 - BH Fotocópias Digital Ltda.</t>
  </si>
  <si>
    <t xml:space="preserve">Guia de ISSQN referente a nota fiscal 2021/741- Patrulha Eletrônica Ltda </t>
  </si>
  <si>
    <t>Guia de ISSQN referente a nota fiscal 2021/3931 - Assiste Saúde do Trabalhador e Medicina do Trabalho Ltda</t>
  </si>
  <si>
    <t>Guia de ISSQN referente a nota fiscal 2021/5573 - Ocupacional Medicina do Trabalho Ltda</t>
  </si>
  <si>
    <t>Guia de ISSQN referente a nota fiscal 2021/107487- Cons Oper de Transportes Coletivo</t>
  </si>
  <si>
    <t>Guia de ISSQN referente a nota fiscal 2021/1121223 Cons Oper de Transportes Coletivo</t>
  </si>
  <si>
    <t>Guia de ISSQN referente a nota fiscal 2021/249628 - Unimed Cooperativa de Médicos</t>
  </si>
  <si>
    <t>Guia de ISSQN referente a nota fiscal 2021/252652 - Unimed Cooperativa de Médicos</t>
  </si>
  <si>
    <t>Salário da Assessora Pedagógica: Formação Artística e Tecnológica, referente ao mês 05/2021</t>
  </si>
  <si>
    <t>Salário da Produtora Cultural, referente ao mês 05/2021</t>
  </si>
  <si>
    <t>Salário do Presidente referente ao mês 05/2021</t>
  </si>
  <si>
    <t>Salário do Coordenador Administrativo referente ao mês 05/2021</t>
  </si>
  <si>
    <t>Salário do Gerente de Projetos: Programação Artística referente ao mês 05/2021</t>
  </si>
  <si>
    <t>Tarifa Bancária referente a transferência eletrônica pagamento fornecedor:     Carlos Aleixo Dos Reis - Processo 1447</t>
  </si>
  <si>
    <t>Tarifa Bancária referente a transferência eletrônica pagamento fornecedor: Marise Dinis Sousa - Processo 1520</t>
  </si>
  <si>
    <t>Tarifa Bancária referente a transferência eletrônica pagamento fornecedor: Vifer Vidros E Ferragens Ltda -   Processo 1264</t>
  </si>
  <si>
    <t>Tarifa Bancária referente a transferência eletrônica pagamento fornecedor :Rosana Guedes De Oliveira Carneiro 09504722636 - Processo 1421</t>
  </si>
  <si>
    <t>Tarifa Bancária referente a transferência eletrônica pagamento fornecedor: Kleber De Jesus Bispo 10663043603 -  Processo  1562</t>
  </si>
  <si>
    <t>Tarifa Bancária referente a transferência eletrônica pagamento fornecedor: Elisete Gomes Joaquim De Oliveira-me - Processo 1420</t>
  </si>
  <si>
    <t>Guia de ISSQN referente a nota fiscal 176 - Christoffer Produções Artísticas Ltda</t>
  </si>
  <si>
    <t xml:space="preserve">Guia de ISSQN referente ao RPA 1137 - Juliana De Sousa Martins Pereira </t>
  </si>
  <si>
    <t>Guia de ISSQN referente ao RPA 1139 -  Angela Peres De Oliveira</t>
  </si>
  <si>
    <t>Guia de ISSQN referente ao RPA 1140 - Ana Dos Anjos Camarano Cardoso</t>
  </si>
  <si>
    <t>Guia de ISSQN referente ao RPA 1141 - Andre Lodi Rocha</t>
  </si>
  <si>
    <t>Guia de ISSQN referente a nota fiscal 2021/40 - Elisete Gomes Joaquim De Oliveira-me</t>
  </si>
  <si>
    <t>Guia de ISSQN referente a nota fiscal 2021/41 - Elisete Gomes Joaquim De Oliveira-me</t>
  </si>
  <si>
    <t>Guia de ISSQN referente a nota fiscal 2021/42 - Elisete Gomes Joaquim De Oliveira-me</t>
  </si>
  <si>
    <t>Guia de ISSQN referente a nota fiscal 2021/43 -  Elisete Gomes Joaquim De Oliveira-me</t>
  </si>
  <si>
    <t>Guia de ISSQN referente a nota fiscal 2021/44 - Elisete Gomes Joaquim De Oliveira-me</t>
  </si>
  <si>
    <t>Guia de ISSQN referente a nota fiscal 2021/45 - Elisete Gomes Joaquim De Oliveira-me</t>
  </si>
  <si>
    <t>Guia de ISSQN referente a nota fiscal 2021/46 - Elisete Gomes Joaquim De Oliveira-me</t>
  </si>
  <si>
    <t>Guia de ISSQN referente a nota fiscal 2021/47 - Elisete Gomes Joaquim De Oliveira-me</t>
  </si>
  <si>
    <t>Guia de ISSQN referente a nota fiscal 2021/48 - Elisete Gomes Joaquim De Oliveira-me</t>
  </si>
  <si>
    <t>Guia de ISSQN referente a nota fiscal 2021/49 - Elisete Gomes Joaquim De Oliveira-me</t>
  </si>
  <si>
    <t>Guia de ISSQN referente a nota fiscal 2021/50 -  Elisete Gomes Joaquim De Oliveira-me</t>
  </si>
  <si>
    <t>Guia de ISSQN referente ao RPA 1138 -  Luciana Monteiro Campello</t>
  </si>
  <si>
    <t>Guia de ISSQN referente a nota fiscal 2021/36 - Logus Protection Patrimonial Ltda</t>
  </si>
  <si>
    <t xml:space="preserve">Guia de ISSQN referente a nota fiscal 2021/298 - Arte em Impressão Digital Ltda </t>
  </si>
  <si>
    <t>Guia de ISSQN referente ao RPA 1136 - Allan Ferreira Calisto</t>
  </si>
  <si>
    <t>Guia de ISSQN referente ao RPA 1158 - Fábio Feldman Dos Santos Freitas</t>
  </si>
  <si>
    <t>Guia de ISSQN referente ao RPA 1159 -  Breno Henrique De Almeida Rocha</t>
  </si>
  <si>
    <t>Guia de ISSQN referente ao RPA 1161 - Paulo Martins Filho</t>
  </si>
  <si>
    <t>Guia de ISSQN referente ao RPA 1166 - Gabriela Balieiro De Oliveira</t>
  </si>
  <si>
    <t>Guia de ISSQN referente ao RPA 1169 - Thaiz Araujo Freitas</t>
  </si>
  <si>
    <t>Guia de ISSQN referente ao RPA 1170 - Yasmine Paula Evaristo</t>
  </si>
  <si>
    <t>Guia de ISSQN referente a nota fiscal 2021/11 -  Rosa de Areia Produções Ltda</t>
  </si>
  <si>
    <t xml:space="preserve">Guia de ISSQN referente a nota fiscal 2021/11 -  Chão da Feira Ltda </t>
  </si>
  <si>
    <t>Guia de ISSQN referente ao RPA 1146 -  Cintya Juliana Souza Santos Dias</t>
  </si>
  <si>
    <t>Guia de ISSQN referente ao RPA 1147 - Junia Pertence Barbosa Santos</t>
  </si>
  <si>
    <t>Guia de ISSQN referente ao RPA 1148 - Gabriela Cristina Silva Ferreira</t>
  </si>
  <si>
    <t>Reembolso realizado pelo Termo de Parceria 50/2020 - IEPHA referente ao percentual (26,41% do valor total), assessoria jurídica para o Contrato de Gestão e Termo de Parceria referente ao mês 05/2021.</t>
  </si>
  <si>
    <t>Aula de Canto, orientação profissional necessária para a preparação do elencoem cenas com elenco que envolverão canto e dança. 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t>
  </si>
  <si>
    <t>Flávia Albuquerque Drumond Gomes</t>
  </si>
  <si>
    <t xml:space="preserve">072.323.896-04
</t>
  </si>
  <si>
    <t>Curso Complementar "Prática de Conjunto e Música de Câmara" a ser ministrado na modalidade virtual. Será uma aula aberta filmada e editada postada no Youtube, no canal da Fundação Clóvis Salgado.Cursos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</si>
  <si>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Carlos Aleixo Dos Reis</t>
  </si>
  <si>
    <t>417.613.596-49</t>
  </si>
  <si>
    <t>Consumo de água e esgosto referente ao mês 05/2021</t>
  </si>
  <si>
    <t>001.2128184119-4</t>
  </si>
  <si>
    <t xml:space="preserve">Contratação de profissional para criação da sonoplastia (trilha sonora) da Mostra de Formatura da Escola de Dança do Cefart, coreografado/dirigido por Leo Garcia e Naline. 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 </t>
  </si>
  <si>
    <t>Luiz Antônio Dias Pereira</t>
  </si>
  <si>
    <t>131.937.376-31</t>
  </si>
  <si>
    <t>Ministração de Curso complementar "Músicas do Clube da Esquina" em apoio à escola de Música do Cefart, com a duração de 16 horas/aula. Plataforma virtual.  O curso aqui em oferta tem por objetivo principal proporcionar aos alunos das Escola de Música do Cefart a ampliação de seus conhecimentos na área de improvisação e orquestração no âmbito da música popular. Cursos que ampliem a formação artística e profissional dos alunos, complementando os conteúdos curriculares oferecidos. Parcela 02</t>
  </si>
  <si>
    <t>Tarifa Bancária referente a transferência eletrônica pagamento fornecedor: Luiz Antônio Dias Pereira - Processo 1584</t>
  </si>
  <si>
    <t>Tarifa Bancária referente a transferência eletrônica pagamento fornecedor: Alberto Lopes Cancado - Processo 1537</t>
  </si>
  <si>
    <t>Reembolso realizado pelo Termo de Parceria 50/2020 - IEPHA referente ao percentual (26,41% do valor total), Segurança Eletrônica da Sede da APPA - mês 05/2021</t>
  </si>
  <si>
    <t>Pesquisador para levantamento de conteúdo para a concepção da exposição comemorativa dos 50 anos do Palácio das Artes Essa exposição  acontecerá na Grande Galeria Alberto da Veiga Guignard durante o ano de 2021, com período expositivo a ser definido após a retomada das atividades presenciais na FCS devido ao protocolo de segurança do programa Minas Consciente. Parcela 02</t>
  </si>
  <si>
    <t xml:space="preserve">FGTS rescisório de Fábiola Bruno de Couto </t>
  </si>
  <si>
    <t>Reembolso realizado pelo Termo de Parceria 50/2020 - IEPHA referente ao percentual (26,41% do valor total), Manutenção de redes e computadores da sede da Appa - mês 05/2021</t>
  </si>
  <si>
    <t>2021/70</t>
  </si>
  <si>
    <t>Contratação de empresa para prestação de serviços de concepção artística, produção teatral, coordenação e acompanhamento da montagem do espetáculo de teatro dos alunos do Cefart - turma da noite. Os espetáculos são ações didático-pedagógicas que permitem aos alunos e percepção e a vivência da dinâmica entre o espaço de apresentação, o público e a sua atuação, elementos fundamentais para a formação técnica. Parcela 02</t>
  </si>
  <si>
    <t>Contratação de profissional para direção artística e dramaturgia bem como preparação corporal do elenco na criação da montagem do espetáculo de teatro do CEFART. Os espetáculos são ações didático-pedagógicas que permitem aos alunos e percepção e a vivência da dinâmica entre o espaço de apresentação, o público e a sua atuação, elementos fundamentais para a formação técnica. Parcela 02</t>
  </si>
  <si>
    <t>Contratação de profissionais para produção, filmagem, edição e finalização de vídeo de formatura da Escola de Dança do CEFART.O serviço abrange todo o serviço de produção (concepção, pré-produção, planejamento, execução, edição e finalização de vídeo) de 14 bailarinos, com entrega de um único vídeo final com duração de aproximadamente 20 minutos, finalizado em formato para ser veiculado na internet.Já incluídos todos os gastos dos profissionais envolvidos e despesas de produção como compra de consumíveis para os dias de projeto, estrutura e logística para que a filmagem ocorra com os matérias necessários. 1º parcela</t>
  </si>
  <si>
    <t>Tarifa Bancária referente a transferência eletrônica pagamento fornecedor:  Leise Rodrigues Toledo Renhe 07086411647 - Processo 1412</t>
  </si>
  <si>
    <t>Tarifa Bancária referente a transferência eletrônica pagamento fornecedor:   Devora Filmes Ltda -  Processo 1594</t>
  </si>
  <si>
    <t>Reembolso realizado pela conta da Appa referente ao uso de táxi do mês 05/2021</t>
  </si>
  <si>
    <t>Reembolso realizado pelo Termo de Parceria 50/2020 - IEPHA referente ao percentual (26,41% do valor total ) do aluguel da sede da Appa referente ao mês 05/2021</t>
  </si>
  <si>
    <t>Reembolso realizado pelo Termo de Parceria 50/2020 - IEPHA referente ao percentual (26,41% do valor total ) guia de IPTU - 05º parcela</t>
  </si>
  <si>
    <t>Reembolso realizado pela conta do Termo de Parceria 50/2020 - Iepha referente ao uso de táxi do mês 05/2021</t>
  </si>
  <si>
    <t xml:space="preserve">Reembolso realizado pelo Termo de Parceria 50/2020 - Iepha referente ao uso de telefone fixo da sede da Appa - consumo do mês 05/2021 - Percentual de  26,41% do valor total </t>
  </si>
  <si>
    <t>Reembolso realizado pelo Termo de Parceria 50/2020 - IEPHA referente ao percentual (26,41% do valor total ) aluguel de impressoras da sede da Appa - Mês 05/2021.</t>
  </si>
  <si>
    <t xml:space="preserve">Repasse restante referente a 05º parcela </t>
  </si>
  <si>
    <t>Serviço de manutenção e adaptação de layout e programação da plataforma cinehumbertomauroMAIS.com.br para a realização da mostra "Cults de Terror", com programação de 16 de abril  a 16 de maio de 2021, e inclui em sua programação dez filmes do gênero terror e sete sessões de filmes comentadas integrando a mostra "História Permanente do Cinema".</t>
  </si>
  <si>
    <t xml:space="preserve">Coordenação de produção para o 23º Festcurtas BH. O prestador de serviços será responsável por coordenar a logística e desenho de produção para a realização da 23ª edição do festival, incluindo a finalização e pós-evento. 02 parcela  </t>
  </si>
  <si>
    <t>Uso de táxi referente ao mês 05/2021</t>
  </si>
  <si>
    <t>Cooperativa Mista de Transporte de Passageiros Taxi BH</t>
  </si>
  <si>
    <t>2021/964</t>
  </si>
  <si>
    <t>U04172</t>
  </si>
  <si>
    <t>Consumo de energia elétrica do mês 05/2021</t>
  </si>
  <si>
    <t>Telefone Fixo da sede da Appa referente ao mês 05/2021</t>
  </si>
  <si>
    <t>10459947-MG</t>
  </si>
  <si>
    <t>Aluguel da sede da Appa referente ao período de 10/05 a 09/06/2021</t>
  </si>
  <si>
    <t>Guia de ITPU - Parcela 05</t>
  </si>
  <si>
    <t>Edição de vídeo para elaboração do conteúdo gerado pelos músicos cantor, contratados, em formato de vídeo coletivo para exibição na internet. Faz-se necessário a contratação de serviço de edição de vídeo a partir de vídeos gerados pelos contratados do Coral Lírico de Minas Gerais. O Vídeo The Lord Bless You and Keep You(John Rutter) será publicado dia25/04 nas redes sociais da Fundação Clóvis Salgado.</t>
  </si>
  <si>
    <t xml:space="preserve">Contratação de figurinista para criação das roupas a serem usadas pelo elenco da mostra de formatura. O contrato inclui reuniões e acompanhamento de ensaios para criação de figurino e contratação de costureiras para fazer ajustes das peças.Apresentações da formatura do terceiro ano da escola Tecnica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 </t>
  </si>
  <si>
    <t>Dionilson Aparecido Moura Dias</t>
  </si>
  <si>
    <t>099.907.926-31</t>
  </si>
  <si>
    <t>Tarifa Bancária referente a transferência eletrônica pagamento fornecedor:   Leben 108 Produtora De Filmes Ltda -  Processo 1505</t>
  </si>
  <si>
    <t>Tarifa Bancária referente a transferência eletrônica pagamento fornecedor:   Javali Do Mar Experimentações Artisticas Ltda -  Processo 1486</t>
  </si>
  <si>
    <t>Tarifa Bancária referente a transferência eletrônica pagamento fornecedor: Ariadna Fernandes 07694579676
-  Processo 1546</t>
  </si>
  <si>
    <t>Tarifa Bancária referente a transferência eletrônica pagamento fornecedor:  Dyony Moura -  Processo 1583</t>
  </si>
  <si>
    <t>Reembolso realizado pelo Termo de Parceria 50/2020 - IEPHA referente ao percentual (26,41% do valor total ) do aluguel da sede da Appa referente ao mês 05/2021 - Valor complementar</t>
  </si>
  <si>
    <t>Rescisão de Trabalho -  Gerente de Projetos: Produção Artística</t>
  </si>
  <si>
    <t>2021/249628</t>
  </si>
  <si>
    <t>2021/252652</t>
  </si>
  <si>
    <t>Tarifa Bancária referente a transferência eletrônica rescisão de trabalho  da Gerente de Projetos</t>
  </si>
  <si>
    <t xml:space="preserve">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05/2021 - </t>
  </si>
  <si>
    <t>Restauro da obra "Maquete de Teatro Italiano - de Raul Belém Machado" incluindo os seguintes serviços:1. Analisar tecnicamente as condições físicas da obra, levantar o estado de degradação decorrentes do tempo, infestação de cupins, etc;2. Imunizar a obra;3. Reverter a ação dos cupins que comprometeram grande parte das peças de madeira, refazendo as peças já destruídas;4. Restabelecer a funcionalidade da maquinaria teatral;5. Renovar o estofamento das cadeiras da plateia; 6. Renovar a pintura que for necessária. A exposição comemorativa dos 50 anos do Palácio das Artes "50 anos em 5 atos" acontecerá na Grande Galeria Alberto da Veiga Guignard durante o ano de 2021, com período expositivo a ser definido após a retomada das atividades presenciais na FCS devido ao protocolo de segurança do programa Minas Consciente. 1º Parcela</t>
  </si>
  <si>
    <t>Miriam Beatriz Dos Santos Menezes 02588996620</t>
  </si>
  <si>
    <t>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Parcela 01</t>
  </si>
  <si>
    <t>Aquisição de um suporte de parede para TV. A Fundação Clóvis Salgado, com o objetivo de otimizar a comunicação interna, fará a instalação de diversas tvs, em pontos estratégicos, tendo como público-alvo, prioritário, os visitantes e os servidores que adentram nas unidades. Essas TVs farão a divulgação dos eventos internos da FCS por meio de transmissão corporativa de conteúdo, veiculando notícias e eventos da FCS em tempo real, servindo como um canal de entretenimento e informação para o público que percorre seus ambientes.</t>
  </si>
  <si>
    <t>Kalunga S.A</t>
  </si>
  <si>
    <t>43.283.811/0123-28</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</si>
  <si>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01</t>
  </si>
  <si>
    <t>Tarifa Bancária referente a transferência eletrônica pagamento fornecedor:   Cleber José Leão De Almeida -  Processo 1559</t>
  </si>
  <si>
    <t>Reembolso realizado pelo Termo de Parceria 50/2020 - IEPHA referente ao percentual (26,41% do valor total) consumo de energia elétrica da sede da Appa- mês 05/2021</t>
  </si>
  <si>
    <t xml:space="preserve">Reembolso realizado pela fornecedora: Arianda Fernandes - Processo 1546, devido ao pagamento realizado a maior indevidamente. </t>
  </si>
  <si>
    <t>Energia Elétrica da Sede da Appa mês 05/2021</t>
  </si>
  <si>
    <t xml:space="preserve">Serviço de direção, roteiro, captação de imagens, iluminação e aluguel de câmera e acessórios para filmagem de formatura do CEFART.Criação de conceito e roteiro, iluminação, direção e execução de filmagem, aluguel de equipamentos inclusos.Apresentações da formatura do terceiro ano da escola Técnica em Dança. Os espetáculos são ações didático-pedagógicas que permitem aos alunos a percepção e a vivência da dinâmica entre o espaço de apresentação, o público, e a sua atuação; - elementos fundamentais para a formação técnica. Essa ação é desenvolvida diretamente com os alunos e professores, cujo objetivos são: estimular a criação e execução de projetos artísticos. 1º parcela </t>
  </si>
  <si>
    <t>Vale Alimentação da nova funconária Fernanda Aparecida</t>
  </si>
  <si>
    <t>Tarifa Bancária referente a transferência eletrônica pagamento fornecedor:   Travessia Cinematografica Ltda -  Processo 1597</t>
  </si>
  <si>
    <t>contratação de serviços para maquiagem artística para 14 bailarinos/artistas voltados para o Espetáculo de Formatura da Escola de Dança. O espetáculo abordará a estética do psicodelismo e surrealismo, movimento artístico que fala do subconsciente e explora isso em suas criações. A maquiagem dialoga diretamente com essa estética, também acompanhada com a trilha, luz e movimentos propostos. O contrato inclui o fornecimento de materiais.</t>
  </si>
  <si>
    <t xml:space="preserve">Indianara Paula Araújo
</t>
  </si>
  <si>
    <t>37.800.774/0001-07</t>
  </si>
  <si>
    <t xml:space="preserve">DARF/IR referente ao RPA 1149 - Arthur Versiani Velloso Neto
</t>
  </si>
  <si>
    <t>DARF/IR referente ao RPA 1162 - Augusto Mário Goulart Pimenta</t>
  </si>
  <si>
    <t>DARF/IR referente ao RPA 1143 -  Augusto Mário Goulart Pimenta</t>
  </si>
  <si>
    <t>DARF/IR referente ao RPA 1153 - Ewelyn Felice Da Silva</t>
  </si>
  <si>
    <t>DARF/IR referente ao RPA 1165 - Fabiano Fonseca Freitas</t>
  </si>
  <si>
    <t>DARF/IR referente ao RPA 1163 - Guilherme Cruz Lessa</t>
  </si>
  <si>
    <t>DARF/IR referente ao RPA 1154 - Janaina Mendes Rolla</t>
  </si>
  <si>
    <t>DARF/IR referente ao RPA 1164 -  Pedro Henrique Jacome</t>
  </si>
  <si>
    <t>INSS e INSS Patronal referente ao RPA 1156 -  Alberto Lopes Cancado</t>
  </si>
  <si>
    <t>INSS e INSS patronal referente ao RPA 1144 - Aníbal Camargo Xavier Mancini</t>
  </si>
  <si>
    <t xml:space="preserve">INSS e  INSS Patronal  referente ao RPA 1149 - Arthur Versiani Velloso Neto
</t>
  </si>
  <si>
    <t>INSS e INSS Patronal referente ao RPA 1162 - Augusto Mário Goulart Pimenta</t>
  </si>
  <si>
    <t>INSS e INSS Patronal referente ao RPA 1143 -  Augusto Mário Goulart Pimenta</t>
  </si>
  <si>
    <t>INSS e INSS Patronal referente ao RPA 1171 -  Cleber José Leão De Almeida</t>
  </si>
  <si>
    <t>INSS e INSS Patronal referente ao RPA 1151 - Davi Machado De Castro Fonseca</t>
  </si>
  <si>
    <t>INSS eINSS Patronal referente ao RPA 1153 - Ewelyn Felice Da Silva</t>
  </si>
  <si>
    <t>INSS e INSS Patronal referente ao RPA 1165 - Fabiano Fonseca Freitas</t>
  </si>
  <si>
    <t>INSS e INSS Patronal referente ao RPA 1167 - Geraldo Peixoto De Freitas Neto</t>
  </si>
  <si>
    <t>INSS e INSS Patronal referente ao RPA 1163 - Guilherme Cruz Lessa</t>
  </si>
  <si>
    <t>INSS e INSS Patronal  referente ao RPA 1155 -  Igor Cerqueira De Aguiar</t>
  </si>
  <si>
    <t>INSS e INSS Patronal referente ao RPA 1154 - Janaina Mendes Rolla</t>
  </si>
  <si>
    <t>INSS e INSS Patronal referente ao RPA 1160 - Marina Florentino Garcia</t>
  </si>
  <si>
    <t>INSS e INSS Patronal referente ao RPA 1172 - Michelle Aparecida Silva Barreto</t>
  </si>
  <si>
    <t>INSS e INSS Patronal referente ao RPA 1157 - Noemia da Luz Silva ( Breno Rodrigo Bartolomeu Da Silva)</t>
  </si>
  <si>
    <t>INSS e INSS Patronal referente ao RPA 1164 -  Pedro Henrique Jacome</t>
  </si>
  <si>
    <t>INSS e INSS Patronal referente ao RPA 1142 - Robert Avelino Camilo</t>
  </si>
  <si>
    <t>INSS retido em folha do mês 05/2021</t>
  </si>
  <si>
    <t>INSS Patronal referente ao mês 05/2021</t>
  </si>
  <si>
    <t>DARF/IR referente ao recibo -  Marcelo Padovani Macieira</t>
  </si>
  <si>
    <t>DARF/IR referente ao recibo - Sandro Miccoli Alves</t>
  </si>
  <si>
    <t>DARF/IR referente a nota fiscal 2021/741 - Krypton Serviços Contábeis S/s</t>
  </si>
  <si>
    <t>DARF/PCC referente a nota fiscal 2021/496 - Krypton Serviços Contábeis S/S</t>
  </si>
  <si>
    <t>DARF/PCC referente a nota fiscal 2021/190639</t>
  </si>
  <si>
    <t>IR retido em folha do mês 04/2021</t>
  </si>
  <si>
    <t>Tarifa Bancária referente a transferência eletrônica pagamento fornecedor:   Indianara Paula Araújo -  Processo 1581</t>
  </si>
  <si>
    <t>DARF/IR  referente ao RPA 1140 - Ana Dos Anjos Camarano Cardoso</t>
  </si>
  <si>
    <t>DARF/IR  referente ao RPA 1141 - Andre Lodi Rocha</t>
  </si>
  <si>
    <t>DARF/IR referente ao RPA 1139 -  Angela Peres De Oliveira</t>
  </si>
  <si>
    <t xml:space="preserve">DARF/IR referente ao RPA 1137 - Juliana De Sousa Martins Pereira </t>
  </si>
  <si>
    <t>INSS e INSS Patronal referente ao RPA 1140 - Ana Dos Anjos Camarano Cardoso</t>
  </si>
  <si>
    <t>INSS e INSS patronal referente ao RPA 1141 - Andre Lodi Rocha</t>
  </si>
  <si>
    <t>INSS e INSS Patronal referente ao RPA 1139 -  Angela Peres De Oliveira</t>
  </si>
  <si>
    <t xml:space="preserve">INSS e INSS Patronal  referente ao RPA 1137 - Juliana De Sousa Martins Pereira </t>
  </si>
  <si>
    <t>DARF/IR referente ao RPA 1138 -  Luciana Monteiro Campello</t>
  </si>
  <si>
    <t>INSS e INSS Patronal referente ao RPA 1138 -  Luciana Monteiro Campello</t>
  </si>
  <si>
    <t>INSS Patronal referente a nota fiscal 2021/36 - Logus Protection Patrimonial Ltda</t>
  </si>
  <si>
    <t>DARF/IR referente ao RPA 1136 - Allan Ferreira Calisto</t>
  </si>
  <si>
    <t>INSS e INSS Patronal referente ao RPA 1136 - Allan Ferreira Calisto</t>
  </si>
  <si>
    <t>INSS e INSS Patronal referente ao RPA 1159 -  Breno Henrique De Almeida Rocha</t>
  </si>
  <si>
    <t>INSS e INSS Patronal referente ao RPA 1158 - Fábio Feldman Dos Santos Freitas</t>
  </si>
  <si>
    <t>INSS e INSS Patronal referente ao RPA 1166 - Gabriela Balieiro De Oliveira</t>
  </si>
  <si>
    <t>INSS e INSS Patronal referente ao RPA 1161 - Paulo Martins Filho</t>
  </si>
  <si>
    <t>INSS e INSS Patronal referente ao RPA 1169 - Thaiz Araujo Freitas</t>
  </si>
  <si>
    <t>INSS e INSS Patronal referente ao RPA 1170 - Yasmine Paula Evaristo</t>
  </si>
  <si>
    <t>DARF/IR  referente ao RPA 1146 -  Cintya Juliana Souza Santos Dias</t>
  </si>
  <si>
    <t>DARF/IR  referente ao RPA 1148 - Gabriela Cristina Silva Ferreira</t>
  </si>
  <si>
    <t>DARF/IR  referente ao RPA 1147 - Junia Pertence Barbosa Santos</t>
  </si>
  <si>
    <t>INSS e INSS Patronal  referente ao RPA 1146 -  Cintya Juliana Souza Santos Dias</t>
  </si>
  <si>
    <t>INSS e INSS Patronal referente ao RPA 1148 - Gabriela Cristina Silva Ferreira</t>
  </si>
  <si>
    <t>INSS e INSS Patronal referente ao RPA 1147 - Junia Pertence Barbosa Santos</t>
  </si>
  <si>
    <t>Reembolso realizado pelo Termo de Parceria 50/2020 - IEPHA referente ao percentual (26,41% do valor total), referente ao telefone móvel da sede da Appa- mês 05/2021.</t>
  </si>
  <si>
    <t>Reembolso realizado pelo Termo de Parceria 50/2020 - IEPHA referente ao percentual 26,41% do valor total ) ao consumo de internet da Appa do mês 05/2021</t>
  </si>
  <si>
    <t>Reembolso realizado pelo Termo de Parceria 50/2020 - IEPHA referente ao percentual (26,41% do valor total ) consumo de água da sede da Appa- mês 05/2021</t>
  </si>
  <si>
    <t>Guia de ISSQN referente a nota fiscal 108 - Reforlar Soluções Em Engenharia Eireli</t>
  </si>
  <si>
    <t>DAM</t>
  </si>
  <si>
    <t>Contratação de um sistema de gestão acadêmica com, hospedagem em nuvem, para monitoramento e acompanhamento das atividades complementares e demais atividades de Secretaria Acadêmica do CEFART no ano de 2021. Parcela 03</t>
  </si>
  <si>
    <t>2021/149</t>
  </si>
  <si>
    <t>001.21.32668441-6</t>
  </si>
  <si>
    <t>Internet para sede da Appa referente ao mês 05/2021</t>
  </si>
  <si>
    <t>10609861-MG</t>
  </si>
  <si>
    <t xml:space="preserve">Serviços de coreógrafo para concepção de espetáculo de Dança para os alunos formandos 2° semestre 2021.A filmagem do espetáculo acontecerá no Grande Teatro Cemig Palácio das Artes no período de 01 a 04/06/2021. Contratação de Leandro Garcia como coreógrafo, representado por sua empresária Elisete Gomes Joaquim de Oliveira. </t>
  </si>
  <si>
    <t>2021/68</t>
  </si>
  <si>
    <t>Treinamento (Curso) : Recursos Tecnológicos para o Ensino Remoto. A proposta é ensinar aos professores do cefart a usarem alguns recursos tecnológicos com base nos objetivos de aprendizagem propostos para uma aula. Algumas das ferramentas que serão apresentadas e discutidas: jamboard, mentimeter, kahoot, padlet e easyretro. No treinamento, haverá atividade para compreender a aplicação das ferramentas. Este curso visa apresentar aos professores do Cefart ferramentas que possam ser usadas em sua prática pedagógica, uma vez que o fenômeno da pandemia transformou os métodos de ensino. Além da apresentação de novas ferramentas, o curso visa capacitar o corpo docente do Cefart a utilizar novos métodos de ensino mais adequados ao ambiente virtual.</t>
  </si>
  <si>
    <t>Juliana Lopes De Almeida Souza 08686780660</t>
  </si>
  <si>
    <t>40.264.226/0001-14</t>
  </si>
  <si>
    <t>Tarifa Bancária referente a transferência eletrônica pagamento fornecedor: Elisete Gomes Joaquim De Oliveira-me -  Processo 1598</t>
  </si>
  <si>
    <t>Tarifa Bancária referente a transferência eletrônica pagamento fornecedor:Logus Protection Patrimonial Ltda -  Processo 1441</t>
  </si>
  <si>
    <t>Tarifa Bancária referente a transferência eletrônica pagamento fornecedor: Juliana Lopes De Almeida Souza 08686780660 -  Processo 1658</t>
  </si>
  <si>
    <t>Contratação de serviço para edição de vídeo coletivo dos contratados CLMG. Serviço de edição de vídeo: Cantique de Jean Racine - Gabriel Fouré - Vídeo Coletivo dos Contratados CLMG</t>
  </si>
  <si>
    <t>Consultoria sobre acessibilidade para produção dos materiais propostos pensando no ambiente virtual para aumentar a acessibilidade inclusiva da Mostra Chama, que ocorrerá entre os dias 01 e 30 de junho de 2021. O profissional deverá elaborar a redação de 25 textos com descrição das obras de arte p serem gravadas em áudio-descrição e consultoria em geral no desenvolvimento de um projeto de exposição virtual.A acessibilidade em ambiente virtual é importante para que se permita o aproveitamento completo da experiência de participação em uma Mostra Virtual. Parcela 02</t>
  </si>
  <si>
    <t xml:space="preserve"> Estúdio 739 De Publicidade E Propaganda Ltda</t>
  </si>
  <si>
    <t>Contratação de assistente de produção para atuar durante as etapas de pré-produção, produção e pós produção das exposições de artes visuais que ocorrerão ao longo do ano de 2021 nos espaços expositivos da FCS. A contratação se faz necessária, uma vez que o assistente de produção irá atuar em apoio aos produtores da gerência de artes visuais para execução das demandas durante os períodos de montagem, permanência e desmontagem das exposições. Incluindo logística, cronogramas, necessidades técnicas, auxilio a gerência, contato com curadores e artistas, acompanhamento de restauros, manutenções e retorno de demandas externas de público e fornecedores. As exposições ocupam as Galerias Alberto da veiga Guinard, Mari'Stella Tristão, Genesco Murta, Arlinda Correia, PQNA Galeria Perdro Moraleida, Galeria Aberta Amilcar de Castro e CâmeraSete - Casa de Fotografia de Minas Gerais, durante o ano de 2021. 1º Parcela</t>
  </si>
  <si>
    <t>Tarifa Bancária referente a transferência eletrônica pagamento fornecedor: Ariadna Fernandes 07694579676 -  Processo 1553</t>
  </si>
  <si>
    <t>Tarifa Bancária referente a transferência eletrônica pagamento fornecedor:  Estúdio 739 De Publicidade E Propaganda Ltda -  Processo 1552</t>
  </si>
  <si>
    <t>Profissional marionetista que fará participação com manipulação do boneco característico do compositor Astor Piazzolla no vídeo em homenagem ao mesmo.</t>
  </si>
  <si>
    <t>Oscar Alberto Nardi</t>
  </si>
  <si>
    <t>012.664.916-27</t>
  </si>
  <si>
    <t>Vale transporte para os funcionários a serviço do Contrato de Gestão para uso em 06/2021</t>
  </si>
  <si>
    <t>2021/137598</t>
  </si>
  <si>
    <t>Tarifa Bancária referente a transferência eletrônica pagamento fornecedor: Oscar Alberto Nardi -  Processo 1571</t>
  </si>
  <si>
    <t>2021/138689</t>
  </si>
  <si>
    <t>Pensando nas urgentes acerca do presente e futuro do mercado operístico no Brasil, a Fundação Clóvis Salgado realiza o Webinar # ÓPERAHOJE . As mesas de hipnotizarão das temáticas: Patrimônio e contemporaneidade ; Como compor ópera hoje ; Políticas públicas e trabalho em rede ; Novas ações, novos públicos, novos teatros ; Teatros e orquestras em tempos de pandemia ; Academias de ópera e formação ; Mulheres na ópera ; Diversidade racial na ópera ; e Como anda o jornalismo cultural? ;Diante disso faz-se necessária a contratação do Mediador (a).</t>
  </si>
  <si>
    <t>Jupyra Producoes Ltda</t>
  </si>
  <si>
    <t>01.800.278/0001-06</t>
  </si>
  <si>
    <t>Tarifa Bancária referente a transferência eletrônica pagamento fornecedor:  Cenario Oscar 2019 Serviços De Montagem Eireli -  Processo 1661</t>
  </si>
  <si>
    <t>Tarifa Bancária referente a transferência eletrônica pagamento fornecedor: Jupyra Producoes Ltda -  Processo 777</t>
  </si>
  <si>
    <t>Reembolso realizado pelo Termo de Parceria 50/2020 - IEPHA referente ao percentual (26,41% do valor total), telefone móvel para os funcionários a serviço do IEPHA, referente ao mês 05/2021.</t>
  </si>
  <si>
    <t>Reembolso realizado pelo Termo de Parceria 50/2020 - IEPHA referente ao percentual (26,41% do valor total ) aluguel de PABX da sede da Appa- mês 05/2021.</t>
  </si>
  <si>
    <t>Transferência para Conta Reserva referente aos rendimentos de aplicações financeiras do mês 05/2021</t>
  </si>
  <si>
    <t>Contratação de 01 (um) fornecedor paraexecução de projeto cenográfico, com fornecimento de mão de obra, equipamentos e insumos, paraprestar serviços em dias e horários a serem determinados, para atender as demandas de montageme desmontagem da exposição comemorativa de 50 anos do Palácio das Artes denominada “50 anosem 5 atos”, com previsão de abertura para o mês de julho de 2021, na Grande Galeria Alberto daVeiga Guignard / Fundação Clóvis Salgado. Informações gerais sobre o serviço no termo de referência / edital de concorrência anexo ao processo. 1º parcela</t>
  </si>
  <si>
    <t>Cenario Oscar 2019 Serviços De Montagem Eireli</t>
  </si>
  <si>
    <t>Consumo de telefone móvel para os funcionários a serviço do Contrato de Gestão  e Termo de Parceria IEPHA referente ao mês 05/2021.</t>
  </si>
  <si>
    <t>Contratação de serviço de e-mail marketing para envio de 100mil e-mails / mensais. Parcela 03</t>
  </si>
  <si>
    <t>PIS referente a folha de pagamento do mês 05/2021.</t>
  </si>
  <si>
    <t>Cofins referente aos rendimentos de aplicações financeiras do mês 05/2021.</t>
  </si>
  <si>
    <t>001.21.34562466-1</t>
  </si>
  <si>
    <t>Reembolso realizado pelo Termo de Parceria 50/2020 - IEPHA referente ao percentual (26,41% do valor total), aquisição de 1000 assinaturas virtuais (link assinador virtual)</t>
  </si>
  <si>
    <t>Direito Autoral da instalação artística digital "Partículas em Unity", de autoria de Rafael Fernandes de Carvalho "Rafael Ski", que irá integrar a exposição comemorativa de 50 anos do Palácio das Artes.A exposição comemorativa dos 50 anos do Palácio das Artes acontecerá na Grande Galeria Alberto da Veiga Guignard durante o ano de 2021, com período expositivo a ser definido após a retomada das atividades presenciais na FCS devido ao protocolo de segurança do programa Minas Consciente. 1º parcela</t>
  </si>
  <si>
    <t>Aquisição de 1000 assinaturas virtuais (link assinador virtual).Com o intuito de agilizar os processos internos, a APPA buscou no mercado empresa que possibilitou a assinatura digital, tanto para processos internos, quanto para contratos junto à fornecedores. Esse processo foi implantado de acordo com a legislação vigente, acompanhando as particularidades de cada instrumento utilizado pela OS.</t>
  </si>
  <si>
    <t>Krypton Tech Desenvolvimento De Software Ltda</t>
  </si>
  <si>
    <t>40.569.411/0001-17</t>
  </si>
  <si>
    <t>2021/291</t>
  </si>
  <si>
    <t>Editor de vídeos -Contratação de profissional responsável por edição de vídeo, isto é, pegarmaterial bruto de vídeo produzido na Escola de Artes Visuais e editá-lo,segundo instruções. Nesse processo, ele elimina as falhas, corta os excessos eestrutura a sequência de cenas para que o vídeo faça sentido; tenhacontinuidade e seja mantido o contexto de cada produção. Parcela 02</t>
  </si>
  <si>
    <t>Captação Projeto:  Cine Humberto Mauro - Programação e Fomento 2018 Pronac: 17.8919- TECAR TRILHAS AUTOMÓVEIS E SERVIÇOS LTDA</t>
  </si>
  <si>
    <t>Faz-se necessária a contratação de músico (a) instrumentista para a realização de 4 apresentações de acordo com os repertórios desenvolvidos para os eventos da OSMG. Devido a questão da Pandemia, os músicos participarão do projeto "Palácio em sua Cia", parte da programação de Mediação Cultural da FCS, que contempla a participação de apresentações em vídeo do OSMG, gerando conteúdos de programação para o ambiente virtual. Aditivo</t>
  </si>
  <si>
    <t>Contratação de 4 cachês artísticos para músico (a) instrumentista na participação em 4 apresentações ou repertórios desenvolvidos para os eventos da OSMG, sendo presenciais ou virtuais. Contratação de Raquel Carneiro como músico instrumentista, representado por sua empresária Elisete Gomes Joaquim de Oliveira conforme contrato de representação artístico anexo. Devido a questão da Pandemia, os coralistas participarão do projeto "Palácio em sua Cia", parte da programação de Mediação Cultural da FCS, que contempla a participação de apresentações em vídeo do CLMG, gerando conteúdos de programação para o ambiente virtual. Aditivo</t>
  </si>
  <si>
    <t>2021/69</t>
  </si>
  <si>
    <t>Palestra - aula inaugural, no formato de aula aberta da meta de cursos complementares, a ser realizado no dia 18 de junho.O artista convidado terá de 40 a 60 minutos para expor um tema sobre "música", previamente "briffado" com a coordenadora interina Maria Cezarina, e em seguida teremos um bate papo com os professores e alunos do Cefart.A atividade acontecerá no Zoom, e será gravada para futura disponibilização para os alunos que não estiverem presentes.</t>
  </si>
  <si>
    <t>Roberto Tibiriçá Passos</t>
  </si>
  <si>
    <t>688.622.458-15</t>
  </si>
  <si>
    <t>Vale Refeição para nova funcionária - Assessora Pedagógica</t>
  </si>
  <si>
    <t>2021/149268</t>
  </si>
  <si>
    <t xml:space="preserve"> Luis Fernando Umbelino Da Silva 11187957682</t>
  </si>
  <si>
    <t>Tarifa Bancária referente a transferência eletrônica pagamento fornecedor: Leandro Lino Da Cunha 11332122639 -  Processo 1411</t>
  </si>
  <si>
    <t>Tarifa Bancária referente a transferência eletrônica pagamento fornecedor: Elisete Gomes Joaquim De Oliveira-me - Processo 1410</t>
  </si>
  <si>
    <t>Tarifa Bancária referente a transferência eletrônica pagamento fornecedor: Hozana Martins De Barros Santos 12644396603- Processo 1409</t>
  </si>
  <si>
    <t>Tarifa Bancária referente a transferência eletrônica pagamento fornecedor: Simone Poliana De Jesus Martins E Silva 07469158618- Processo 1422</t>
  </si>
  <si>
    <t>Tarifa Bancária referente a transferência eletrônica pagamento fornecedor:  Lucas Roberto De Souza Sodré 10957033664 - Processo 1415</t>
  </si>
  <si>
    <t>Tarifa Bancária referente a transferência eletrônica pagamento fornecedor: Roberto Tibiriçá Passos - Processo 1667</t>
  </si>
  <si>
    <t>Rendimentos de aplicações financeiras do mês 06/2021.</t>
  </si>
  <si>
    <t>Imposto de Renda referente aos rendimentos de aplicações financeiras do mês 06/2021.</t>
  </si>
  <si>
    <t>Atenção: Não publicar esta Tabela nos sítios eletrônicos devido à Lei Geral de Proteção de Dados</t>
  </si>
  <si>
    <t>Tabela 11 - Lista de Trabalhadores e Estagiários com Vínculo ao Contrato de Gestão em 2021</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</si>
  <si>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</si>
  <si>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</si>
  <si>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</si>
  <si>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</si>
  <si>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</si>
  <si>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</si>
  <si>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</si>
  <si>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</si>
  <si>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</si>
  <si>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</si>
  <si>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</si>
  <si>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</si>
  <si>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 xml:space="preserve">Presidente </t>
  </si>
  <si>
    <t xml:space="preserve">40 hs </t>
  </si>
  <si>
    <t>Appa</t>
  </si>
  <si>
    <t>Diretor Financeiro</t>
  </si>
  <si>
    <t>Superintendente de Auditoria</t>
  </si>
  <si>
    <t>Coordenador Administrativo</t>
  </si>
  <si>
    <t>Coordenador de Comunicação</t>
  </si>
  <si>
    <t>Analista Financeiro Pleno</t>
  </si>
  <si>
    <t>Auxiliar de Serviços Gerais</t>
  </si>
  <si>
    <t>Gerente de Projetos: Produção Artística</t>
  </si>
  <si>
    <t>Produtor Cultural: Produção Artística</t>
  </si>
  <si>
    <t>Montador DIART</t>
  </si>
  <si>
    <t>FCS</t>
  </si>
  <si>
    <t>Gerente de Projetos: Programação Artística</t>
  </si>
  <si>
    <t>Produtor Cultural: Programação Artística</t>
  </si>
  <si>
    <t>Montador DIPRO</t>
  </si>
  <si>
    <t>Gerente de Projetos: Formação Artística e Tecnológica</t>
  </si>
  <si>
    <t>Assessor Pedagógico: Formação Artística e Tecnológica</t>
  </si>
  <si>
    <t xml:space="preserve">014.275.836-17 </t>
  </si>
  <si>
    <t>Músico</t>
  </si>
  <si>
    <t>30 hs</t>
  </si>
  <si>
    <t xml:space="preserve">Regente Assistente </t>
  </si>
  <si>
    <t>20 hs</t>
  </si>
  <si>
    <t>Pianista</t>
  </si>
  <si>
    <t>Arquivista</t>
  </si>
  <si>
    <t>Tabela 9 - Diário de Entradas e Saídas do Contrato de Gestão - 4º Período Avaliatório</t>
  </si>
  <si>
    <t>Cálculo do saldo das contas</t>
  </si>
  <si>
    <t>entrada</t>
  </si>
  <si>
    <t>saída</t>
  </si>
  <si>
    <t>saldo</t>
  </si>
  <si>
    <t>Conferência</t>
  </si>
  <si>
    <t>DECLARAÇÃO DO DIRIGENTE DA OS</t>
  </si>
  <si>
    <t>__________________________________</t>
  </si>
  <si>
    <t>Presidente</t>
  </si>
  <si>
    <t>CPF 067.186.996-59</t>
  </si>
  <si>
    <t>Arranjo musical da obra Sol de Primavera do compositor Beto Guedes. Partituras para orquestra e coral e guia de mídia. Elaboração de arranjos de partituras para o vídeo coletivo da orquestra Sinfônica de Minas Gerais e coral Lírico de Minas Gerais, que será exibido no dia 29 de setembro de 2021. Obra musical Sol de primavera do compositor Mineiro Beto Guedes .Tempo de música aproximadamente de 4''min.</t>
  </si>
  <si>
    <t>Compra de18 metros de Borracha para perfil U 8mm x 6mm x 1mm.Compra de material essencial para cumprir o Protocolo de Segurança Sanitária, visando o retorno das atividades do Cefart e Cefart Liberadade) com o objetivo de estabelecer o distanciamento adequado nas suas atividades.</t>
  </si>
  <si>
    <t>17.244.864/0001-51</t>
  </si>
  <si>
    <t>Contratação de Ridalvo Felix, Rio Bantu, para participação de uma live "A cena em diálogo com tradições afrobrasileiras" com os professores e alunos do CEFART, que será transmitida no Youtube da FCS</t>
  </si>
  <si>
    <t xml:space="preserve">936.001.783-34
</t>
  </si>
  <si>
    <t>Reembolso realizado pelo Termo de Parceria 50/2020 - IEPHA referente ao percentual (26,41% do valor total ) Impressão de material gráfico institucional da Appa para futuras captações. Faz-se necessária a impressão do material para utilização em apresentação sobre a APPA e parceiros em visitas institucionais para futuras captações.</t>
  </si>
  <si>
    <t>Reembolso realizado pelo Termo de Parceria 50/2020 - IEPHA referente ao percentual (26,41% do valor total) consumo de energia elétrica da sede da Appa- mês 08/2021</t>
  </si>
  <si>
    <t>Reembolso realizado pelo Termo de Parceria 50/2020 - IEPHA referente ao percentual (26,41% do valor total), referente ao telefone móvel da sede da Appa- mês 08/2021.</t>
  </si>
  <si>
    <t xml:space="preserve">Consórcio Ótimo de Bilhetagem Eletrônica </t>
  </si>
  <si>
    <t>2021/672</t>
  </si>
  <si>
    <t xml:space="preserve">Guia de ISSQN referente a nota fiscal 2021/672 - BH Fotocópias Digital Ltda.
</t>
  </si>
  <si>
    <t>Laís Flor Oliveira</t>
  </si>
  <si>
    <t>Guia de ISSQN referente ao RPA 1335 - Laís Flor Oliveira</t>
  </si>
  <si>
    <t>DARF/IR referente ao RPA 1335 - Laís Flor Oliveira</t>
  </si>
  <si>
    <t>INSS e INSS Patrona referente ao RPA 1335 - Laís Flor Oliveira</t>
  </si>
  <si>
    <t>Tarifa Bancária referente a transferência eletrônica pagamento fornecedor: Kleber De Jesus Bispo 10663043603 - Processo 1807</t>
  </si>
  <si>
    <t>Tarifa Bancária referente a transferência eletrônica pagamento fornecedor: Duisa Papelaria, Livraria E Uniformes Ltda - Processo 2071</t>
  </si>
  <si>
    <t>Tarifa Bancária referente a transferência eletrônica pagamento fornecedor:  BH Fotocópias Digital Ltda - Processo 2016</t>
  </si>
  <si>
    <t>Tarifa Bancária referente a transferência eletrônica pagamento fornecedor: Laís Flor Oliveira - Processo 1916</t>
  </si>
  <si>
    <t>02 Captações de imagens externas para efeitos visuais do vídeo coletivo da OSMG e CLMG , Sol da Primavera.Necessário contratação de profissional para captações de imagens externas para efeitos visuais na composição do vídeo coletivo da OSMG e CLMG , Sol da Primavera.</t>
  </si>
  <si>
    <t xml:space="preserve">26.309.574/0001-30
</t>
  </si>
  <si>
    <t>Compra de perfil de canto (perfil U) para montagem das placas de acrílico: - 06 (seis) perfil U de seis mm sendo seis metros cada um (Cefart) - 06 (seis) perfil U de seis mm sendo seis metros cada um (Coral).Compra de material essencial para cumprir o Protocolo de Segurança Sanitária, visando o retorno das atividades do Coral Lírico de Minas Gerais (sala de ensaio) e Cefart (FCS e Cefart Liberdade), com o objetivo de estabelecer o distanciamento adequado nas suas atividades.</t>
  </si>
  <si>
    <t>Contratação de vigilância noturna para salvaguarda predial para os aparelhos culturais da FCS - Camerasete, Palácio das Artes - pelo período de 3 meses.Fiscalização noturna Local: Casa de Fotografia Câmera Sete localizada à Av. Afonso Pena, 737, Centro - BeloHorizonte-MGPeríodo: 1 profissional 12h de trabalho, de 21h as 09hDuração da contratação: 3 meses</t>
  </si>
  <si>
    <t>Contratação de Luciana Requião para participação do "Seminário Temático - A Política Cultural na Nova República", com a palestra "A música enquanto profissão: reinvenção ou adaptação ao novo normal?" Atendendo a demanda do Programa de Residência Artística.</t>
  </si>
  <si>
    <t>911.889.117-91</t>
  </si>
  <si>
    <t xml:space="preserve">19.663.213/0001-21
</t>
  </si>
  <si>
    <t xml:space="preserve">Contratação de Marcos Ferreira, para ministrar o curso complementar"Trompete Módulo II",na Escola de Música do Cefart.Cursos que ampliem a formação artística e profissional dos alunos, complementando os conteúdos curriculares oferecidos.
</t>
  </si>
  <si>
    <t>Reembolso realizado pelo Termo de Parceria 50/2020 - IEPHA referente ao percentual 26,41% do valor total ) ao consumo de internet da Appa do mês 08/2021</t>
  </si>
  <si>
    <t>Reembolso realizado pelo Termo de Parceria 50/2020 - IEPHA referente ao percentual (26,41% do valor total ) aluguel de impressoras da sede da Appa - Mês 08/2021.</t>
  </si>
  <si>
    <t>Leonardo Bruno Ferreira</t>
  </si>
  <si>
    <t>Guia de ISSQN referente ao RPA 1336 - Leonardo Bruno Ferreira</t>
  </si>
  <si>
    <t>DARF/IR  referente ao RPA 1336 - Leonardo Bruno Ferreira</t>
  </si>
  <si>
    <t>INSS e INSS Patronal referente ao RPA 1336 - Leonardo Bruno Ferreira</t>
  </si>
  <si>
    <t>Simone Da Silva 03963452633</t>
  </si>
  <si>
    <t>Victor Hugo Marques</t>
  </si>
  <si>
    <t>Guia de ISSQN referente ao RPA 1337 - Victor Hugo Marques</t>
  </si>
  <si>
    <t>DARF/IR  referente ao RPA 1337 - Victor Hugo Marques</t>
  </si>
  <si>
    <t>INSS e INSS Patronal referente ao RPA 1337 - Victor Hugo Marques</t>
  </si>
  <si>
    <t>U04570</t>
  </si>
  <si>
    <t>111586042-MG</t>
  </si>
  <si>
    <t>INSS e INSS Patronal referente ao RPA 1276 - Michelle Domingas Correia De Oliveira</t>
  </si>
  <si>
    <t>2021/221</t>
  </si>
  <si>
    <t>Guia de ISSQN referente a nota fiscal 2021/221 - Softwares De Gestão Ltda</t>
  </si>
  <si>
    <t>DARF/IR  referente ao RPA 1263 - Ewelyn Felice Da Silva</t>
  </si>
  <si>
    <t>DARF/IR referente ao RPA 1280 - Fabiano Fonseca Freitas</t>
  </si>
  <si>
    <t>DARF/IR  referente ao RPA 1276 - Michelle Domingas Correia De Oliveira</t>
  </si>
  <si>
    <t>DARF/IR referente ao RPA 1279 - Pedro Henrique Jacome</t>
  </si>
  <si>
    <t>INSS retido em folha do mês 08/2021</t>
  </si>
  <si>
    <t>INSS Patronal referente ao mês 08/2021</t>
  </si>
  <si>
    <t>Compra de material essencial para cumprir o Protocolo de Segurança Sanitária, visando o retorno das atividades do Coral Lírico de Minas Gerais (sala de ensaio) e Cefart (FCS e Cefart Liberdade), com o objetivo de estabelecer o distanciamento adequado nas suas atividades.</t>
  </si>
  <si>
    <t>04.626.152/0001-55</t>
  </si>
  <si>
    <t xml:space="preserve">Contratação de artista para ministrar oficina de técnicas teatrais com o objetivo de auxiliar no processo de montagem do espetáculo de formatura da Escola de Teatro. Justifica-se a contratação de um oficina com técnicas teatrais com o objetivo de auxiliar o processo de montagem para o espetáculo de teatro dos alunos do Cefart - turma da noite. </t>
  </si>
  <si>
    <t xml:space="preserve">22.090.985/0001-26
</t>
  </si>
  <si>
    <t>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08/2021</t>
  </si>
  <si>
    <t>Contratação de equipe de profissional em montagem fina especializada, para a montagem e desmontagem da exposição "50 anos em 5 atos" que acontecerá na Grande Galeria Alberto da Veiga Guignard no Palácio das Artes. A exposição comemorativa dos 50 anos do Palácio das Artes acontecerá na Grande Galeria Alberto da Veiga Guignard entre os dias 12 de agosto a 14 de novembro de 2021. 1º parcela</t>
  </si>
  <si>
    <t>Guia de ISSQN referente a nota fiscal 2021/13 - Sergio Arruda Felicio</t>
  </si>
  <si>
    <t xml:space="preserve"> Minas Borracha Ltda</t>
  </si>
  <si>
    <t>000.015.851</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</si>
  <si>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04</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</si>
  <si>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05</t>
  </si>
  <si>
    <t>Contratação de profissional especialista em TI para atendimento de demandas específicas da Appa.ontratação de profissional auxiliar de TI em apoio das atividades do sistema e sites da Appa. O profissional apoiará todas as demandas internas da Appa, como acompanhamento do sistema, criação de emails, acompanhamento do Google, sites, etc. Apresentação de serviços deverá apoiar na manutenção dos servidores em nuvem, backups, consultoria em implantação de requisitos funcionais ou não funcionais, assim como demais atendimentos de acordo com as demandas estabelecidas. Parcela 06</t>
  </si>
  <si>
    <t>Guia de ISSQN referente ao RPA 1338 - Cleber José Leão De Almeida</t>
  </si>
  <si>
    <t>DARF/IR referente ao RPA 1338 - Cleber José Leão De Almeida</t>
  </si>
  <si>
    <t>INSS e INSS Patronal referente ao RPA 1338 - Cleber José Leão De Almeida</t>
  </si>
  <si>
    <t>06 serviços de edições de vídeos para os meses de setembro, outubro, novembro e dezembro/2021, referente aos eventos dos Saraus Líricos e Pequenos Grupos OSMG/CLMG. Necessário capa (frame), inclusão de ficha técnica, créditos e logomarcas, com entrega de um vídeo com minutagem de aproximadamente 4''min a partir de vários vídeos dos coralistas. 1º parcela</t>
  </si>
  <si>
    <t>Hanna Mussi Dias 14995811737</t>
  </si>
  <si>
    <t>A Casa Do Policarbonato Eireli</t>
  </si>
  <si>
    <t>Guia de ISSQN referente a nota fiscal 2021/69 - Logus Protection Patrimonial Ltda</t>
  </si>
  <si>
    <t>Guia de INSS referente a nota fiscal 2021/69 - Logus Protection Patrimonial Ltda</t>
  </si>
  <si>
    <t>Tarifa Bancária referente a transferência eletrônica pagamento fornecedor: Leise Rodrigues Toledo Renhe 07086411647 - Processo 1675</t>
  </si>
  <si>
    <t>Tarifa Bancária referente a transferência eletrônica pagamento fornecedor: Hanna Mussi Dias 14995811737 - Processo 1935</t>
  </si>
  <si>
    <t>Tarifa Bancária referente a transferência eletrônica pagamento fornecedor: Anahi Poty Corteletti Jimenez 09015823952  - Processo 1862</t>
  </si>
  <si>
    <t>Contratação de Suely Machado para compor a banca de avaliação das audições presenciais do processo seletivo das vagas de bailarinos.</t>
  </si>
  <si>
    <t>20.446.332/0001-01</t>
  </si>
  <si>
    <t>Contratação de Carlos Arão para ministrar as aulas de dança contemporânea nas audições presenciais do processo seletivo das vagas de bailarinos.</t>
  </si>
  <si>
    <t>343.639.044-53</t>
  </si>
  <si>
    <t xml:space="preserve">DF Produções E Prestação De Serviços - Eireli
</t>
  </si>
  <si>
    <t xml:space="preserve">Guia de ISSQN referente a nota fiscal 2021/17 - D F Produções E Prestação De Serviços - Eireli
</t>
  </si>
  <si>
    <t>Tarifa Bancária referente a transferência eletrônica pagamento fornecedor:  DF Produções E Prestação De Serviços - Eireli - Processo 1913</t>
  </si>
  <si>
    <t>Tarifa Bancária referente a transferência eletrônica pagamento fornecedor:    Maira Campos De Freitas Lucas 69443017172 - Processo 1861</t>
  </si>
  <si>
    <t>Processo 1918 - Guard Gerenciamento De Documentos Ltda</t>
  </si>
  <si>
    <t>Contratação de Dadier Aguilera para ministrar as aulas de dança contemporânea nas aduções do processo seletivo das vagas de bailarinos.</t>
  </si>
  <si>
    <t>013.103.266-65</t>
  </si>
  <si>
    <t>Contratação de Priscila Alencastre para participação do "Seminário Temático - A Política Cultural na Nova República", com a palestraMinistérioCelso Furtado e a isenção fiscal como fundamento da política de cultura noBrasil da Nova República: um balanço crítico" e também como mediadora, nos demais dias. Atendendo a demanda do Programa de Residência Artística.</t>
  </si>
  <si>
    <t>Contratação da instrutor/monitor Alexandre Taveira Batista para acompanhamento do público durante a visitação na "Exposição de 50 anos em 5 atos", que acontecerá de 13 de agosto a 14 de novembro de 2021, na Grande Galeria Alberto da Veiga Guignard /FCS.Faz-se necessária a contratação de instrutor/monitor para realizar o processo educativo com o público durante a visitação da exposição "Exposição de 50 anos em 5 atos" e também orientar os frequentadores sobre as medidas de segurança de acordo com o protocolo sanitário de prevenção ao Coronavírus.</t>
  </si>
  <si>
    <t>Elisabeta Veiga Fialho</t>
  </si>
  <si>
    <t>DARF/IR referente ao recibo -  Elisabeta Veiga Fialho</t>
  </si>
  <si>
    <t>Nathália Araújo Marques</t>
  </si>
  <si>
    <t>Guia de ISSQN referente ao RPA 1343 - Nathália Araújo Marques</t>
  </si>
  <si>
    <t>DARF/IR referente ao RPA 1343 - Nathália Araújo Marques</t>
  </si>
  <si>
    <t>INSS e INSS Patronal referente ao RPA 1343 - Nathália Araújo Marques</t>
  </si>
  <si>
    <t>Tarifa Bancária referente a transferência eletrônica pagamento fornecedor: Elisabeta Veiga Fialho - Processo 1868</t>
  </si>
  <si>
    <t>Tarifa Bancária referente a transferência eletrônica pagamento fornecedor:   Nathália Araújo Marques - Processo 1942</t>
  </si>
  <si>
    <t>Guia de ISSQN referente ao RPA 1303 - Angela Peres De Oliveira</t>
  </si>
  <si>
    <t>DARF/IR referente ao RPA 1303 - Angela Peres De Oliveira</t>
  </si>
  <si>
    <t>INSS e INSS Patronal referente ao RPA 1303 - Angela Peres De Oliveira</t>
  </si>
  <si>
    <t>Natália Maria Barbosa De Assis</t>
  </si>
  <si>
    <t>Guia de ISSQN referente ao RPA 1297 - Natália Maria Barbosa De Assis</t>
  </si>
  <si>
    <t>DARF/IR referente ao RPA 1297 - Natália Maria Barbosa De Assis</t>
  </si>
  <si>
    <t>Guia de ISSQN referente ao RPA 1283- Guilherme Dias Da Silva Barreto</t>
  </si>
  <si>
    <t>DARF referente ao  RPA 1283 - Guilherme Dias Da Silva Barreto</t>
  </si>
  <si>
    <t>INSS e INSS Patronal referente ao  RPA 1283 - Guilherme Dias Da Silva Barreto</t>
  </si>
  <si>
    <t>Guia de ISSQN referente a nota fiscal 2021/14 - Rafael Bruno De Oliveira Ferreira Eireli</t>
  </si>
  <si>
    <t xml:space="preserve">Contratação de profissional para serviços de criação do mapa de luz e Operação para a montagem da turma do 3º ano da Escola de Teatro - noite.Justifica-se a contratação de empresa para prestação de serviços de concepção artística, produção teatral, coordenação e acompanhamento da montagem do espetáculo de teatro dos alunos do Cefart - turma da noite. Os espetáculos são ações didático-pedagógicas que permitem aos alunos e percepção e a vivência da dinâmica entre o espaço de apresentação, o público e a sua atuação, elementos fundamentais para a formação técnica. </t>
  </si>
  <si>
    <t>Contratação de Valéria Pilão para participação do "Seminário Temático - A Política Cultural na Nova República", com a palestra “A participação da cultura nos processos de acumulação de capital: análise do caso brasileiro (2003 a 2013)” Atendendo a demanda do Programa de Residência Artística.</t>
  </si>
  <si>
    <t>303.333.998-03</t>
  </si>
  <si>
    <t>Legendagem em vídeo com duração de 1h e 52 minutos. O vídeo é uma entrevista com a curadora da mostra especial do 22º Festcurtas BH, Helene Fleckinger, mediada pela coordenadora de programação do evento, Ana Siqueira.</t>
  </si>
  <si>
    <t>Frames Ltda.</t>
  </si>
  <si>
    <t>Guia de ISSQN referente a nota fiscal 2021/20 - Frames Ltda.</t>
  </si>
  <si>
    <t>Guia de ISSQN referente a nota fiscal 2021/16 - Leben 108 Produtora De Filmes Ltda</t>
  </si>
  <si>
    <t>Guia de ISSQN referente a nota fiscal 2021/13 - Javali Do Mar Experimentações Artisticas Ltda</t>
  </si>
  <si>
    <t>Reembolso realizado pelo Termo de Parceria 50/2020 - IEPHA referente ao percentual (26,41% do valor total ) aluguel de PABX da sede da Appa- mês 08/2021.</t>
  </si>
  <si>
    <t>Soraya Martins Patrocínio</t>
  </si>
  <si>
    <t>PIS referente a folha de pagamento do mês 08/2021.</t>
  </si>
  <si>
    <t>Cofins referente aos rendimentos de aplicações financeiras do mês 08/2021.</t>
  </si>
  <si>
    <t>Eletronica Agm Ltda - Epp</t>
  </si>
  <si>
    <t>000.023.910</t>
  </si>
  <si>
    <t>Alexandre Taveira Batista</t>
  </si>
  <si>
    <t>Guia de ISSQN referente ao RPA 1344 - Alexandre Taveira Batista</t>
  </si>
  <si>
    <t>DARF referente ao RPA 1344 - Alexandre Taveira Batista</t>
  </si>
  <si>
    <t>INSS e INSS Patronal referente ao RPA 1344 - Alexandre Taveira Batista</t>
  </si>
  <si>
    <t>000.000.373</t>
  </si>
  <si>
    <t>Guia de ISSQN referente a nota fiscal 2021/5 -  Ori Produtora De Filmes Ltda</t>
  </si>
  <si>
    <t>Sunshine Fotografia E Locução Ltda</t>
  </si>
  <si>
    <t>Guia de ISSQN referente a nota fiscal 2021/23 - Sunshine Fotografia E Locução Ltda</t>
  </si>
  <si>
    <t>Tarifa Bancária referente a transferência eletrônica pagamento fornecedor:Eletronica Agm Ltda - Epp - Processo 2013</t>
  </si>
  <si>
    <t>Tarifa Bancária referente a transferência eletrônica pagamento fornecedor: Alexandre Taveira Batista - Processo 1943</t>
  </si>
  <si>
    <t>Cristiane Moreira Pinto 07224694622</t>
  </si>
  <si>
    <t>Tarifa Bancária referente a transferência eletrônica pagamento fornecedor: Off. Comp. Comércio E Serviços De Informática Ltda - Processo 1982</t>
  </si>
  <si>
    <t>Tarifa Bancária referente a transferência eletrônica pagamento fornecedor: Cristiane Moreira Pinto 07224694622  - Processo 1887</t>
  </si>
  <si>
    <t>Tarifa Bancária referente a transferência eletrônica pagamento fornecedor: Ori Produtora De Filmes Ltda  - Processo 1659</t>
  </si>
  <si>
    <t>Tarifa Bancária referente a transferência eletrônica pagamento fornecedor: Sunshine Fotografia E Locução Ltda - Processo 2036</t>
  </si>
  <si>
    <t>Músico Cantor</t>
  </si>
  <si>
    <t>Andréia Aparecida de Paula</t>
  </si>
  <si>
    <t>Ariadna Fernandes</t>
  </si>
  <si>
    <t>102.562.506-42</t>
  </si>
  <si>
    <t>Cristiano Gomes da Rocha</t>
  </si>
  <si>
    <t xml:space="preserve">Elias Magalhães Moreira </t>
  </si>
  <si>
    <t>Indaiara Silva Santos Patrocínio</t>
  </si>
  <si>
    <t>Maria da Penha Vasconcelos Batista Sabeti</t>
  </si>
  <si>
    <t>Mariana Correa de Oliveira</t>
  </si>
  <si>
    <t>Silvia Maurício de Souza Neves</t>
  </si>
  <si>
    <t>Analista de RH</t>
  </si>
  <si>
    <t>137.664.358-84</t>
  </si>
  <si>
    <t>Contratação de Livia Sabag para coordenação artístico-pedagógico e supervisão dos três eixos da Academia de Ópera de 2021. (acompanhamennto, ação, produção).A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Parcela 01</t>
  </si>
  <si>
    <t>Contratação de Livia Sabag para coordenação artístico-pedagógico e supervisão dos três eixos da Academia de Ópera de 2021. (acompanhamennto, ação, produção).A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Parcela 02</t>
  </si>
  <si>
    <t>Contratação de Livia Sabag para coordenação artístico-pedagógico e supervisão dos três eixos da Academia de Ópera de 2021. (acompanhamennto, ação, produção).A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Parcela 03</t>
  </si>
  <si>
    <t>Contratação de instrutora/monitora TIFFANY MARIA ALMEIDA DE CASTRO para acompanhamento do público durante a visitação na exposição Arte do barro, arte da vida - Cerâmica de Caraí.Faz-se necessária a contratação de instrutor/monitor para realizar o processo educativo com o público durante a visitação da exposição “Arte do barro, arte da vida - Cerâmica de Caraí,” em parceria com a CEART, será realizada na PQNA Galeria Pedro Moraleida no período de 24/09 a 31/10/2021.</t>
  </si>
  <si>
    <t>Contratação da Professora Doutora Angélica Lovatto, para participação do "Seminário Temático - A Política Cultural na Nova República", com a palestra "Hegemonia historiográfica na Nova República: que opções foram deixadas para a cultura?" Atendendo a demanda do Programa de Residência Artística.Cursos que ampliem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</si>
  <si>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032.176.348-37</t>
  </si>
  <si>
    <t>Contratação de instrutor/monitor Sirlan Monteiro Caldeira para acompanhamento do público durante a visitação na exposição Arte do barro, arte da vida - Cerâmica de Caraí.Faz-se necessária a contratação de instrutor/monitor para realizar o processo educativo com o público durante a visitação da exposição “Arte do barro, arte da vida - Cerâmica de Caraí,” em parceria com a CEART, será realizada na PQNA Galeria Pedro Moraleida no período de 24/09 a 31/10/2021.</t>
  </si>
  <si>
    <t>090.407.646-62</t>
  </si>
  <si>
    <t>33.829.537/0001-18</t>
  </si>
  <si>
    <t>Contratação de GabrielRhein-Schirato para coordenação artístico-pedagógica e supervisão artística dos três eixos da academia de óperas de 2021. 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Parcela 03</t>
  </si>
  <si>
    <t>Reembolso realizado pelo Termo de Parceria 50/2020 - IEPHA referente ao percentual (26,41% do valor total), telefone móvel para os funcionários a serviço do IEPHA, referente ao mês 08/2021.</t>
  </si>
  <si>
    <t>Consumo de telefone móvel para os funcionários a serviço do Contrato de Gestão  e Termo de Parceria IEPHA referente ao mês 08/2021.</t>
  </si>
  <si>
    <t>001.21.53917298-6</t>
  </si>
  <si>
    <t>Reembolso realizado pela conta da Appa referente ao pagamento ao fornecedor : Locaweb Serviços De Internet S.A (processo 2069) que veio no mesmo boleto do processo 1551</t>
  </si>
  <si>
    <t>Maria Luiza Ferreira Vianna</t>
  </si>
  <si>
    <t>DARF/IR referente ao recibo de Maria Luiza Ferreira Vianna</t>
  </si>
  <si>
    <t>Tarifa Bancária referente a transferência eletrônica pagamento fornecedor: Maria Luiza Ferreira Vianna - Processo 1924</t>
  </si>
  <si>
    <t xml:space="preserve">Contratação de empresa para prestação de serviços de concepção artística, produção teatral, coordenação e acompanhamento da montagem do espetáculo de teatro dos alunos do Cefart. </t>
  </si>
  <si>
    <t>17.859.416/0001-62</t>
  </si>
  <si>
    <t>Contratação de Assistente de Direção para a montagem da formatura dos alunos do 3º ano da turma da Escola de Teatro - noite.</t>
  </si>
  <si>
    <t xml:space="preserve">103.908.756-60
</t>
  </si>
  <si>
    <t>Contratação de fagotista para o vídeo coletivo da OSMG e CLMG (vídeo Sol de Primavera) e vídeo do quinteto de madeiras da OSMG. Contratação de Raquel Carneiro, representado pela empresária Elisete Gomes Joaquim de Oliveira,</t>
  </si>
  <si>
    <t>Contratação de profissional para criação e concepção da trilha e operação de som nas apresentações para a montagem da formatura da turma do 3º ano do Teatro - noite</t>
  </si>
  <si>
    <t xml:space="preserve">079.094.676-99
</t>
  </si>
  <si>
    <t>Contratação de Samuel Gomide, professor para ministrar o Curso Complementar "Violino - Módulo II" para a Escola de Música do Cefart.</t>
  </si>
  <si>
    <t>Processo 2096 - Samuel Gomide Freitas 07314317666</t>
  </si>
  <si>
    <t>14.810.429/0001-59</t>
  </si>
  <si>
    <t>Contratação de artista para ministrar oficina de musicalização, para complementar e auxiliar o processo de montagem do espetáculo de formatura da Escola de Teatro.</t>
  </si>
  <si>
    <t xml:space="preserve">20.129.991/0001-14
</t>
  </si>
  <si>
    <t xml:space="preserve">345.159.177-49
</t>
  </si>
  <si>
    <t>Compra de 06 buquês para homenageados da formatura do 3º ano da Escola de Teatro.</t>
  </si>
  <si>
    <t>Processo 2122 - Tropicália Ltda</t>
  </si>
  <si>
    <t>42.947.214/0001-10</t>
  </si>
  <si>
    <t>Contratação de serviço de curadoria para a exposição "Assim como os jardins..." da artista Mariana Palma.A curadoria ser realizada pelo curador Wagner Nardi que fará a interlocução entre a FCS, a artista e a galeria que a representa cuidando de todos os trâmites necessários sobre as obras e montagem.</t>
  </si>
  <si>
    <t>063.979.626-52</t>
  </si>
  <si>
    <t>Taxas de Fiscalização de Localização e Funcionamento  e Taxa de Fiscalização Sanitária .Favorecido: Prefeitura Muncipal de Belo Horizonte - 04º Parcela</t>
  </si>
  <si>
    <t>02.2.1908320.67</t>
  </si>
  <si>
    <t>Contratação deserviços de diretor teatral para elaborar, criar e dirigir a formatura da escola técnica em teatro, turno noite.Período de Atuação: Setembro a Outubro/ 2021</t>
  </si>
  <si>
    <t>095.149.866-52</t>
  </si>
  <si>
    <t>19.514.622/0001-66</t>
  </si>
  <si>
    <t>Contratação de design para desenvolver a identidade visual da exposição"Assim como os jardins..." da artista paulistana Mariana Palma,e acompanhamento de plotagem na galeria das peças de adesivação. Abaixo descrição dos serviços:- Criação de identidade visual- Criação de peças web para divulgação da exposição (cerca de 30 peças)- Criação e acompanhamento das peças de plotagem (textos, legendas, portas e vitrines</t>
  </si>
  <si>
    <t>Direção coreográfica - Montagem turma noite. Justifica-se a contratação de profissional para prestação de serviços de apoio a concepção artística, e ministração de tais conhecimentos supracitados para os alunos do curso de Teatro.</t>
  </si>
  <si>
    <t>23.124.603/0001-09</t>
  </si>
  <si>
    <t>Conservador/ Restaurador (laudista) para confecção e conferência de laudo técnico de estado de conservação na cidade de Belo Horizonte/ MG, na chegada e saída para devolução das obras da artista Mariana Palma, que integram a exposição "Assim como os jardins..." que será realizada de 04 de outubro a 12 de dezembro de 2021 na galeria Arlinda Correa Lima, Palácio das Artes / FCS.</t>
  </si>
  <si>
    <t xml:space="preserve">Processo 2128 - Alice Almeida Gontijo 09331535627
</t>
  </si>
  <si>
    <t xml:space="preserve">Conservador/ Restaurador (laudista) para confecção e conferência de laudo técnico de estado de conservação na cidade de São Paulo/ SP, na coleta e após devolução das obras da artista Mariana Palma, que integram a exposição "Assim como os jardins..." que será realizada de 04 de outubro a 12 de dezembro de 2021 na galeria Arlinda Correa Lima, Palácio das Artes / FCS. </t>
  </si>
  <si>
    <t>16.947.813/0001-23</t>
  </si>
  <si>
    <t>2021/219471</t>
  </si>
  <si>
    <t>Guia de ISSQN referente a nota fiscal 2021/21941 - Cons Oper Transporte Coletivo</t>
  </si>
  <si>
    <t>2021/195737</t>
  </si>
  <si>
    <t>Guia de ISSQN referente a nota fiscal 2021/195737 - Consórcio Ótimo de Bilhetagem Eletrônica</t>
  </si>
  <si>
    <t xml:space="preserve">Contratação de 10 diárias da equipe de profissional em montagem fina especializada, para a montagem e desmontagem da exposição "Luz do Norte do Foto em Pauta" que acontecerá naCamerasete. </t>
  </si>
  <si>
    <t>Contratação de artista para ministrar oficina de mascaramento, para complementar e auxiliar o processo de montagem do espetáculo de formatura da Escola de Teatro.</t>
  </si>
  <si>
    <t>19.656.025/0001-76</t>
  </si>
  <si>
    <t>Contratação de dramaturgo para a montagem da formatura do teatro - 3º ano do turno da Noite, durante o mês de setembro e outubro de 2021.</t>
  </si>
  <si>
    <t xml:space="preserve">113.935.596-11
</t>
  </si>
  <si>
    <t>Carlos Alberto Prates Correia</t>
  </si>
  <si>
    <t>Tarifa Bancária referente a transferência eletrônica pagamento fornecedor: Carlos Alberto Prates Correia  - Processo 1871</t>
  </si>
  <si>
    <t>Rendimentos de aplicações financeiras do mês 09/2021.</t>
  </si>
  <si>
    <t>Imposto de Renda referente aos rendimentos de aplicações financeiras do mês 09/2021.</t>
  </si>
  <si>
    <t>Rendimentos de aplicações financeiras do mês 08/2021</t>
  </si>
  <si>
    <t>Rendimento líquido de aplicação financeira do mês 09/2021.</t>
  </si>
  <si>
    <t xml:space="preserve">Vale transporte para os funcionários a serviço do Contrato de Gestão </t>
  </si>
  <si>
    <t>Contratação de professor para ministrar o curso complementar de"Curadoria: acervos e narrativas", na Escola de Artes Visuais do Cefart.</t>
  </si>
  <si>
    <t xml:space="preserve">33.708.661/0001-25
</t>
  </si>
  <si>
    <t xml:space="preserve">Contratação de serviços de direção de fotografia, captação de imagens para transmissão, gravação e edição das apresentações da formatura do 3o ano do turno noturno da Escola de Teatro do Cefart. </t>
  </si>
  <si>
    <t>Contratação de seguro permanência para as obras da exposição "assim como os jardins.." de Mariana Palma. A lista de obras estão em anexo e o valor total do seguro fornecido pela galeria da artista é de 2.700.000,00.Período do seguro: 04 de outubro a 18 de dezembro de 2021</t>
  </si>
  <si>
    <t>33.822.131/0001-03</t>
  </si>
  <si>
    <t xml:space="preserve">138522                       113154     000.008.184     000.000.713                   </t>
  </si>
  <si>
    <t>07/08/2021   08/08/2021  09/08/2021 09/08/2021</t>
  </si>
  <si>
    <t>15845-3  - Programa Artístico da Fundação Clóvis Salgado - CA 2018.13609.0061</t>
  </si>
  <si>
    <t>Coordenação Técnica - Programação Artística (15845-3)</t>
  </si>
  <si>
    <t>Captação Projeto:  Programa Artístico da Fundação Clóvis Salgado - CA 2018.13609.0061- CEMIG</t>
  </si>
  <si>
    <t>2021/223559</t>
  </si>
  <si>
    <t>Guia de ISSQN referente a nota fiscal 2021/223559 - Cons Oper Transporte Coletivo</t>
  </si>
  <si>
    <t>2021/232330</t>
  </si>
  <si>
    <t>Guia de ISSQN referente a nota fiscal 2021/232330 - Cons Oper Transporte Coletivo</t>
  </si>
  <si>
    <t>15949-2 - Complemento da Programação Artística da Fundação Clóvis Salgado - CA 2018.13609.0068</t>
  </si>
  <si>
    <t>Captação Projeto:  Complemento da Programação Artística da Fundação Clóvis Salgado - CA 2018.13609.0068 - TELEFÔNICA</t>
  </si>
  <si>
    <t>Contratação da instrutora/monitora Luciana Campos Horta para acompanhamento do público durante a visitação na "Exposição de 50 anos em 5 atos", pelo período de 05 de outubro a 14 de novembro de 2021, na Grande Galeria Alberto da Veiga Guignard /FCS. 1º parcela</t>
  </si>
  <si>
    <t>Contratação da instrutora/monitora Luciana Campos Horta para acompanhamento do público durante a visitação na "Exposição de 50 anos em 5 atos", pelo período de 05 de outubro a 14 de novembro de 2021, na Grande Galeria Alberto da Veiga Guignard /FCS. 2º parcela</t>
  </si>
  <si>
    <t>Contratação de Direção Artística Áudio e Visual de cantores do CLMG e músicos Instrumentistas da OSMG, para elaboração do vídeo coletivo. Conteúdos gerados pelos artistas em formato de vídeo para exibição nas redes sociais da Fundação Clovis Salgado.</t>
  </si>
  <si>
    <t>Contratação de empresa para 02 Captações de imagens externas para efeitos visuais do vídeo coletivo da OSMG e CLMG , para a obra O Grande Circo Místico</t>
  </si>
  <si>
    <t>Construção de parede em MDF para fechamento da porta entre as Galeria Arlinda Correa Lima e Genesco Murta, emassada e finalizada para pintura.</t>
  </si>
  <si>
    <t>07.900.263/0001-04</t>
  </si>
  <si>
    <t>Tarifa Pacote de Serviço - Parcial ref. 08/2021</t>
  </si>
  <si>
    <t>Tarifa Pacote de Serviço</t>
  </si>
  <si>
    <t>2021/108</t>
  </si>
  <si>
    <t>2021/111</t>
  </si>
  <si>
    <t>Contratação de 6 cachês artísticos para bailarino (a) na participação em 6 apresentações ou repertórios artísticos desenvolvidos para os eventos da CDPA sendo presenciais ou virtuais. Contratação de Maíra campos como bailarina, representada por sua empresária Elisete Gomes Joaquim de Oliveira</t>
  </si>
  <si>
    <t>2021/112</t>
  </si>
  <si>
    <t>Contratação de 6 cachês artísticos para bailarino (a) na participação em 6 apresentações ou repertórios artísticos desenvolvidos para os eventos da CDPA sendo presenciais ou virtuais. Contratação de Leandro Garccia como bailarino, representada por sua empresária Elisete Gomes Joaquim de Oliveira</t>
  </si>
  <si>
    <t>2021/113</t>
  </si>
  <si>
    <t>Contratação de 6 cachês artísticos para bailarino (a) na participação em 6 apresentações ou repertórios artísticos desenvolvidos para os eventos da CDPA sendo presenciais ou virtuais. Contratação de Lucas Resende  como bailarino, representada por sua empresária Elisete Gomes Joaquim de Oliveira</t>
  </si>
  <si>
    <t>2021/114</t>
  </si>
  <si>
    <t>Contratação de 6 cachês artísticos para bailarino (a) na participação em 6 apresentações ou repertórios artísticos desenvolvidos para os eventos da CDPA sendo presenciais ou virtuais. Contratação de Paulo Wesley  como bailarino, representada por sua empresária Elisete Gomes Joaquim de Oliveira</t>
  </si>
  <si>
    <t>2021/115</t>
  </si>
  <si>
    <t>Contratação de 6 cachês artísticos para bailarino (a) na participação em 6 apresentações ou repertórios artísticos desenvolvidos para os eventos da CDPA sendo presenciais ou virtuais. Contratação de Renato Augusto como bailarino, representada por sua empresária Elisete Gomes Joaquim de Oliveira</t>
  </si>
  <si>
    <t>2021/116</t>
  </si>
  <si>
    <t>Contratação de 6 cachês artísticos para bailarino (a) na participação em 6 apresentações ou repertórios artísticos desenvolvidos para os eventos da CDPA sendo presenciais ou virtuais. Contratação de Pablo Garcia como bailarino, representada por sua empresária Elisete Gomes Joaquim de Oliveira</t>
  </si>
  <si>
    <t>2021/117</t>
  </si>
  <si>
    <t>Contratação de 6 cachês artísticos para bailarino (a) na participação em 6 apresentações ou repertórios artísticos desenvolvidos para os eventos da CDPA sendo presenciais ou virtuais. Contratação de Maxmiler Junio como bailarino, representada por sua empresária Elisete Gomes Joaquim de Oliveira</t>
  </si>
  <si>
    <t>2021/118</t>
  </si>
  <si>
    <t>Guia de ISSQN referente a nota fiscal 2021/108 - Elisete Gomes Joaquim De Oliveira-me</t>
  </si>
  <si>
    <t>Guia de ISSQN referente a nota fiscal 2021/109 - Elisete Gomes Joaquim De Oliveira-me</t>
  </si>
  <si>
    <t>Guia de ISSQN referente a nota fiscal 2021/111 - Elisete Gomes Joaquim De Oliveira-me</t>
  </si>
  <si>
    <t>Guia de ISSQN referente a nota fiscal 2021/112 - Elisete Gomes Joaquim De Oliveira-me</t>
  </si>
  <si>
    <t>Guia de ISSQN referente a nota fiscal 2021/113 - Elisete Gomes Joaquim De Oliveira-me</t>
  </si>
  <si>
    <t>Guia de ISSQN referente a nota fiscal 2021/114 - Elisete Gomes Joaquim De Oliveira-me</t>
  </si>
  <si>
    <t>Guia de ISSQN referente a nota fiscal 2021/115 - Elisete Gomes Joaquim De Oliveira-me</t>
  </si>
  <si>
    <t>Guia de ISSQN referente a nota fiscal 2021/116 - Elisete Gomes Joaquim De Oliveira-me</t>
  </si>
  <si>
    <t>Guia de ISSQN referente a nota fiscal 2021/117 - Elisete Gomes Joaquim De Oliveira-me</t>
  </si>
  <si>
    <t>Guia de ISSQN referente a nota fiscal 2021/118 - Elisete Gomes Joaquim De Oliveira-me</t>
  </si>
  <si>
    <t>Tarifa Bancária referente a transferência eletrônica pagamento fornecedor</t>
  </si>
  <si>
    <t>Direção Artística de vídeo em Homenagem ao Servidor Público para a SEPLAG e Projeto "Palácio em sua Companhia" que será exibido na plataforma digita e redes sociais da SEPLAG e redes sociais da FCS,</t>
  </si>
  <si>
    <t>Contratação de 01 (um) fornecedor de equipamentos para projeção de vídeo para atender as demandas de montagem da exposição comemorativa de 50 anos do Palácio das Artes denominada “50 anos em 5 atos”, com previsão de abertura para o mês de julho de 2021, na Grande Galeria Alberto da Veiga Guignard / Fundação Clóvis Salgado</t>
  </si>
  <si>
    <t>Processo 1727 - On Projetos Audiovisuais Eireli</t>
  </si>
  <si>
    <t>Locação 2 tablets de 10 polegadas, 32GB de memória interna e wi-fi cada um, com instalação na Galeria Aberto da Veiga Guignard. Deverá ser entregue em agosto/2021 (data ainda a confirmar) com permanência no local de locação durante 3 meses.</t>
  </si>
  <si>
    <t>Processo 1799 - Hba Tecnologia Consultoria E Serviços Em Tecnologia Da Informática Ltda</t>
  </si>
  <si>
    <t>07.639.569/0001-40</t>
  </si>
  <si>
    <t>Curadoria para concepção da exposição comemorativa de 50 anos do Palácio das Artes a partir da pesquisa em memória realizada.</t>
  </si>
  <si>
    <t>Aquisição de testes/exames de covid para turma de formatura da escola de teatro noite - 29 pessoas no dia 18/08/2021.Horário: 12 as 18 horas</t>
  </si>
  <si>
    <t>Produção de 01 vídeo editado e finalizado, com duração de até 8 minutos, imagens em steadicam, composto de diversas cenas com movimentos de câmera lentos, retratando artistas dos corpos artísticos do Palácio das Artes (ballet, coro e orquestra)em espaços do Palácio das Artes, Parque Municipal, CâmeraSete e Serraria Souza Pinto.</t>
  </si>
  <si>
    <t xml:space="preserve">34.436.277/0001-83
</t>
  </si>
  <si>
    <t>ontratação de produtor executivo para atuar na pré produção e produção da exposição "50 anos em 5 atos" comemorativa de 50 anos do Palácio das Artes. O profissional deverá atuar na elaboração de cronogramas, orçamentos e desenvolvimento e execução do projeto na galeria Alberto da Veiga Guignard, em suporte da equipe da FCS e da curadoria da MIR. O orçamento deverá ser realizado pelo serviço e estabeleceremos o prazo de contrato assim que tenhamos a data de abertura da mesma.</t>
  </si>
  <si>
    <t>Guia de ISSQN referente a nota fiscal 2021/78 - Movimento Comunicacao Integrada Ltda</t>
  </si>
  <si>
    <t>DARF/IR referente a nota fiscal 2021/78 - Movimento Comunicacao Integrada Ltda</t>
  </si>
  <si>
    <t>DARF/PCC referente a nota fiscal 2021/78 - Movimento Comunicacao Integrada Ltda</t>
  </si>
  <si>
    <t>Serviço Artista Circense para compor as filmagens do vídeo coletivo da OSMG e CLMG, da obra O Grande Circo Místico, que será exibido no dia 31 de outubro pelas redes sócias da Fundação Clovis Salgado. As filmagens serão feitas entre os dias 05 e 06 de outubro de 2021.</t>
  </si>
  <si>
    <t>Montagem/desmontagem especializada em exposições de obras de arte para a exposição "Assim como os jardins..." da artista Mariana Palma.</t>
  </si>
  <si>
    <t>Processo 2161 - Sergio Arruda Felicio</t>
  </si>
  <si>
    <t>Licenciamento de arranjo de partitura para o vídeo em Homenagem ao Servidor Público para a SEPLAG e Projeto "Palácio m sua Companhia" que será exibido na plataforma digita e redes sociais da SEPLAG e redes sociais da FCS, gerando conteúdo de programação em ambiente virtual.</t>
  </si>
  <si>
    <t>ISSQN - PIRA ARTE E CULTURA LTDA NF: 202118</t>
  </si>
  <si>
    <t>F6 Sistemas De Informatica Ltda</t>
  </si>
  <si>
    <t>2021/3289</t>
  </si>
  <si>
    <t>ISSQN - F6 SISTEMAS DE INFORMATICA LTDA NF: 20213289</t>
  </si>
  <si>
    <t>Serviços de clipping de mídiaimpressa, online e relatório de mídia, com textos, gráficos, planilhas e destaques.</t>
  </si>
  <si>
    <t>Oliveira Andrade Serviços De Monitoramento De Informações Ltda</t>
  </si>
  <si>
    <t>Nota Fsical</t>
  </si>
  <si>
    <t>2021/444</t>
  </si>
  <si>
    <t>Direito autoral da instalação artística digital com iluminação interativa de autoria de Sandro Miccoli e Marcelo Padovani, que irá integrar a exposição comemorativa de 50 anos do Palácio das Artes.</t>
  </si>
  <si>
    <t>IRRF EXIBIÇÃO 08/2021 - SANDRO MICCOLI ALVES</t>
  </si>
  <si>
    <t>ISSQN - MICROPOLIS LTDA NF: 202124</t>
  </si>
  <si>
    <t>IRRF REF. NFS 202124 - MICROPOLIS</t>
  </si>
  <si>
    <t>PCC REF. NFS 202124 - MICROPOLIS</t>
  </si>
  <si>
    <t>ISSQN - CENARIO OSCAR 2019 SERVICOS DE MONTAGEM EIRELI NF: 20213</t>
  </si>
  <si>
    <t>ISSQN - CENARIO OSCAR 2019 SERVICOS DE MONTAGEM EIRELI NF: 20214</t>
  </si>
  <si>
    <t>IRRF EXIBIÇÃO 08/2021 - MARCELO PADOVANI MACIEIRA</t>
  </si>
  <si>
    <t>Prestação de serviços de relacionamento com a imprensa e mensuração de resultados da divulgação da programação em comemoração aos 50 anos da FCS.</t>
  </si>
  <si>
    <t>Romano Comunicação Ltda.</t>
  </si>
  <si>
    <t>ISSQN - ROMANO COMUNICACAO LTDA NF: 202178</t>
  </si>
  <si>
    <t>Tarifa DOC/TED</t>
  </si>
  <si>
    <t>Laboratóro Murad, Casali E Carneiro Ltda</t>
  </si>
  <si>
    <t>2021/841</t>
  </si>
  <si>
    <t>ISSQN - OLIVEIRA ANDRADE SERVICOS DE MONITORAMENTO DE INFORMACOES LTDA NF: 2021444</t>
  </si>
  <si>
    <t>ISSQN - BRAYHAN HAWRYLISZYN E SILVA NF: 202125</t>
  </si>
  <si>
    <t>Area De Servico Comunicacao Digital Ltda</t>
  </si>
  <si>
    <t>ISSQN - AREA DE SERVICO COMUNICACAO DIGITAL LTDA NF: 202130</t>
  </si>
  <si>
    <t>ISSQN Christoffer Produções Artísticas Ltda  NF: 186</t>
  </si>
  <si>
    <t>Guia de ISSQN referente a nota fiscal 2021/15 - Luiza Leandro Martins Fonseca 10287238652</t>
  </si>
  <si>
    <t>Guia de ISSQN referente a nota fiscal 2021/16 - Rafael Bruno De Oliveira Ferreira Eireli</t>
  </si>
  <si>
    <t>Guia de ISSQN referente ao RPA 1302 - Allan Ferreira Calisto</t>
  </si>
  <si>
    <t>DARF/IR  referente ao RPA 1302 - Allan Ferreira Calisto</t>
  </si>
  <si>
    <t>INSS e INSS Patronal referente ao RPA 1302 - Allan Ferreira Calisto</t>
  </si>
  <si>
    <t>Guia de ISSQN referente a nota fiscal 2021/8 -  Renata Fonseca Felicissimo 10665267614</t>
  </si>
  <si>
    <t>Guia de ISSQN referente ao RPA 1300 - Ewelyn Felice Da Silva</t>
  </si>
  <si>
    <t>DARF/IR  referente ao RPA 1300 - Ewelyn Felice Da Silva</t>
  </si>
  <si>
    <t>INSS e INSS Patronal referente ao RPA 1300 - Ewelyn Felice Da Silva</t>
  </si>
  <si>
    <t>Aquisição de 08 (oito) botões de DOCOL TECLA DE PLASTICO P/ VALVULA.</t>
  </si>
  <si>
    <t>Comercial Obradec Materiais Para Construção Ltda.</t>
  </si>
  <si>
    <t>05.583.664/0001-44</t>
  </si>
  <si>
    <t>Guia de ISSQN referente a nota fiscal 2021/29 - Hatari Filmes Ltda</t>
  </si>
  <si>
    <t>ISSQN - ESTALO CRIATIVO LTDA NF: 202111</t>
  </si>
  <si>
    <t>ISSQN - LABORATORIO MURAD CASALI E CARNEIRO LTDA NF: 2021841</t>
  </si>
  <si>
    <t>Guia de ISSQN referente a noat fiscal 2021/32 - Girassolina Produções Ltda</t>
  </si>
  <si>
    <t>Guia de ISSQN referente a nota fiscal 2021/88 - Movimento Comunicacao Integrada Ltda</t>
  </si>
  <si>
    <t>DARF/IR referente a nota fiscal 2021/88 - Movimento Comunicacao Integrada Ltda</t>
  </si>
  <si>
    <t>DARF/PCC referente a nota fiscal 2021/88 - Movimento Comunicacao Integrada Ltda</t>
  </si>
  <si>
    <t>Guia de ISSQN referente ao RPA 1299 - Michelle Aparecida Silva Barreto</t>
  </si>
  <si>
    <t>Guia de INSS e INSS Patronal referente ao RPA 1299 - Michelle Aparecida Silva Barreto</t>
  </si>
  <si>
    <t>2021/3469</t>
  </si>
  <si>
    <t>Guia de ISSQN referente a nota fiscal 2021/469 - F6 Sistemas De Informatica Ltda</t>
  </si>
  <si>
    <t>Locação de equipamentos de iluminação e som, que serão instalados na fachada externa do Palácio das Artes e nas Salas / ambientes internos da Grande Galeria Alberto da Veiga Guignard em exposição comemorativa aos 50 anos do Palácio das Artes denominada "50 anos em 5 atos".Informações gerais sobre o serviço no termo de referência / edital de concorrência anexo ao processo.</t>
  </si>
  <si>
    <t>Global Sight Ltda</t>
  </si>
  <si>
    <t>05.305.048/0001-21</t>
  </si>
  <si>
    <t>Guia de ISSQN referente a nota fiscal 22 - Global Sight Ltda</t>
  </si>
  <si>
    <t xml:space="preserve">Instalação de 09 adesivos de sinalização dos espaços da Fundação Clóvis Salgado. Especificações: Adesivos em vinil / texto cor preta / fundo cinza / Tamanho: 30cm x 15cm </t>
  </si>
  <si>
    <t>2021/669</t>
  </si>
  <si>
    <t>Guia de ISSQN referente a nota fiscal 2021/669 - Bh Fotocópias Digital Ltda.</t>
  </si>
  <si>
    <t>Ctrl P Impressão Digital Ltda</t>
  </si>
  <si>
    <t>2021/879</t>
  </si>
  <si>
    <t>Guia de ISSQN referente a nota fiscal 2021/879- Ctrl P Impressão Digital Ltda</t>
  </si>
  <si>
    <t>2021/887</t>
  </si>
  <si>
    <t>Guia de ISSQN referente a nota fiscal 2021/887- Ctrl P Impressão Digital Ltda</t>
  </si>
  <si>
    <t>Compra de 25 máscaras para toda equipe e bailarinos para o dia da gravação. 12 cor nude e 13 cor preta.</t>
  </si>
  <si>
    <t>Maria Jose De Andrade Pinto 58579290678</t>
  </si>
  <si>
    <t xml:space="preserve">33.436.010/0001-23
</t>
  </si>
  <si>
    <t>PCC REF. NFS 2021841 - LABORATORIO MURAD</t>
  </si>
  <si>
    <t>IRRF REF. NFS 2021841 - LABORATORIO MURAD</t>
  </si>
  <si>
    <t>Locação de 02 computadores, conforme termo anexo, com previsão da locação: inicio de julho, com permanência de uso de 90 dias.</t>
  </si>
  <si>
    <t>Bh Notebooks Ltda</t>
  </si>
  <si>
    <t>Coordenação Financeira - Complemento da Programação Artística (15949-2)</t>
  </si>
  <si>
    <t>Coordenação Técnica - Complemento da Programação Artística (15949-2)</t>
  </si>
  <si>
    <t>Coordenação Geral - Complemento da Programação Artística (15949-2)</t>
  </si>
  <si>
    <t>Bold Participacoes As</t>
  </si>
  <si>
    <t>16376-7 - Cinquentenário Operístico da Fundação Clóvis Salgado - Pronac: 20.3579</t>
  </si>
  <si>
    <t>Processo 1719 - Global Sight Ltda</t>
  </si>
  <si>
    <t>Contratação de 01 (um) fornecedor paraexecução de projeto cenográfico, com fornecimento de mão de obra, equipamentos e insumos, paraprestar serviços em dias e horários a serem determinados, para atender as demandas de montageme desmontagem da exposição comemorativa de 50 anos do Palácio das Artes denominada “50 anosem 5 atos”, com previsão de abertura para o mês de julho de 2021, na Grande Galeria Alberto daVeiga Guignard / Fundação Clóvis Salgado. Informações gerais sobre o serviço no termo de referência / edital de concorrência anexo ao processo.</t>
  </si>
  <si>
    <t>Contratação de uma professora de curso para ministrar a masterclass: Cinema Brasileiro nos anos 80, que fará um apanhado geral sobre o cinema realizado no período, enfatizando características estéticas, conceituais e temáticas recorrentes. O curso será realizado no dia 23 de setembro, às 19h, na plataforma CineHumbertoMauroMais.com.</t>
  </si>
  <si>
    <t>Contratação de um profissional de designer para concepção de identidade visual MOSTRA EXAGERADOS - CINEMA BRASILEIRO ANOS 80, o serviço inclui ainda a confecção e disponibilização de peças gráficas com formatos diversos, para garantir uma ampla divulgação em ambiente virtual, bem como, a concepção e formatação de um caderno virtual de crítica em formato pdf.</t>
  </si>
  <si>
    <t>Contratação de debator para comentar o filme A Noiva da Cidade, de Alex Viany (BRA, 1978) junto ao público durante a Mostra Exagerados. Estes debates serão feitos de forma online. A proposta é que estes debates cumpram o restante das ações que faltam para as metas da História Permanente do Cinema no Contrato de Gestão para o período (Julho, Agosto, Setembro). História Permanente do Cinema Especial: Exagerados.</t>
  </si>
  <si>
    <t>Contratação de debator João Campos para comentar sobre os filmes Cidade Oculta, de Chico Botelho, Anjos da Noite, de Wilson de Barros e Areias Escaldantes, de Francisco de Paula.junto ao público. Estes debates serão feitos de forma online. A proposta é que estes debates cumpram o restante das ações que faltam para as metas da História Permanente do Cinema no Contrato de Gestão para o período (Julho, Agosto, Setembro). História Permanente do Cinema Especial: Exagerados. O debate acontece no dia 20/09, na plataforma Cine Humberto Mauro Mais às 19h.</t>
  </si>
  <si>
    <t>Contratação de debator para comentar o filme Abolição, de Zozimo Bulbul junto ao público. Estes debates serão feitos de forma online. A proposta é que estes debates cumpram o restante das ações que faltam para as metas da História Permanente do Cinema no Contrato de Gestão para o período (Julho, Agosto, Setembro). História Permanente do Cinema Especial: Exagerados. O debate acontece no dia 27/09 às 19h.</t>
  </si>
  <si>
    <t>41.154.078/0001-48</t>
  </si>
  <si>
    <t>Contratação de uma professora que conduzirá a mediação da masterclass: Cinema Brasileiro nos anos 80, que fará um apanhado geral sobre o cinema realizado no período, enfatizando características estéticas, conceituais e temáticas recorrentes. O curso será realizado no dia 23 de setembro, às 19h, na plataforma CineHumbertoMauroMais.com.</t>
  </si>
  <si>
    <t xml:space="preserve">08.311.130/0001-57
</t>
  </si>
  <si>
    <t>Contratação de profissional para ser membro da equipe de curadoria da mostra especial do 23º Festcurtas BH a ser realizado de 04 a 14 de novembro de 2021. O profissional irá integrar a equipe de curadoria da mostra especial composta por 3 membros, que durante os meses citados irão realizar a pesquisa e proposta de obras nacionais e/ou estrangeiras que serão exibidas na edição deste ano.</t>
  </si>
  <si>
    <t xml:space="preserve">33.869.147/0001-71
</t>
  </si>
  <si>
    <t>Processo 1703 -  Bh Notebooks Ltda</t>
  </si>
  <si>
    <t>08.311.130/0001-57</t>
  </si>
  <si>
    <t>04.681.858/0001-10</t>
  </si>
  <si>
    <t>Coordenação de projetos educativos de arte e educação integrados do Cefart. O profissional coordenará e orientará as atividades dos projetos integrados com as demais áreas de produção da Fundação Clóvis Salgado.</t>
  </si>
  <si>
    <t xml:space="preserve">24.711.232/0001-16
</t>
  </si>
  <si>
    <t>Contratação de Diretor de Arte para a montagem da formatura do Curso Técnico de Teatro- turno da noite.</t>
  </si>
  <si>
    <t>057.231.096-00</t>
  </si>
  <si>
    <t>3000 impressões em papel de sementes de plantas com texto curatorial que integra a exposição "Assim como os jardins..." da artista Mariana Palma- Plantas nos papeis: preferencialmente margaridas</t>
  </si>
  <si>
    <t xml:space="preserve">10.888.515/0001-23
</t>
  </si>
  <si>
    <t>-</t>
  </si>
  <si>
    <t>INSS retido em folha do mês 09/2021</t>
  </si>
  <si>
    <t>IR retido em folha do mês 09/2021</t>
  </si>
  <si>
    <t>Contratação do instrutor/monitor Guilherme Dias para acompanhamento do público durante a visitação na exposição "Assim como os jardins..." da artista Mariana Palma e curadoria de Wagner Nardi, durante o período expositivo, 08 de outubro a 12 de dezembro de 2021, na Galeria Arlinda Correa Lima /FCS.</t>
  </si>
  <si>
    <t xml:space="preserve">Processo 2168 - Guilherme Dias Da Silva Barreto
</t>
  </si>
  <si>
    <t xml:space="preserve">133.903.445-69
</t>
  </si>
  <si>
    <t xml:space="preserve">Contratação de  serviço de assessoria de imprensa com gerenciamento de redes sociais trabalhará estrategicamente para garantir a boa divulgação do festival, se dividindo entre a atuação junto à imprensa e jornalistas e demais serviços de assessoria de imprensa, desde o planejamento de comunicação </t>
  </si>
  <si>
    <t>042.422.533-62</t>
  </si>
  <si>
    <t>Tarifa Bancária referente a transferência eletrônica pagamento fornecedor:    Rita Clemente Producoes Artisticas Ltdal - Processo 1261</t>
  </si>
  <si>
    <t>Tarifa Bancária referente a transferência eletrônica pagamento fornecedor:    Rita Clemente Producoes Artisticas Ltda- Processo 1261</t>
  </si>
  <si>
    <t>Reembolso realizado pela conta da Appa referente ao pagamento realizado indevidamente a maior para a fornecedora: Rita Clemente Producoes Artisticas Ltda - Processo 1261</t>
  </si>
  <si>
    <t>Impressão, plotagem e retirada de adesivos para exposição “Assim como os jardins…” de Mariana Palma, conforme descrição abaixo:Item 1 – texto institucional – 2 adesivos vinil leitoso fosco – 88 x 55cmItem 2 – ficha técnica – 2 adesivos vinil leitoso fosco – 88 x 55cmItem 3 - adesivo porta - adesivo recorte fosco rosa - 115 X 125 cmItem 4 - adesivo porta - adesivo recorte fosco rosa - 63,25 X 54,5 cmItem 5 - adesivo porta - adesivo recorte fosco rosa - 65 X 68,25 cmItem 6 - vitrine – adesivo vinil leitoso fosco - 300 x104cm</t>
  </si>
  <si>
    <t>Processo 2179 - Ctrl P Impressão Digital Ltda</t>
  </si>
  <si>
    <t>15 esticadores de cabo de aço, com gancho, 1/4 polegada, 6mm15 sapatasA entrega do material deverá acontecer hoje na galeria arlinda correia lima.</t>
  </si>
  <si>
    <t>3 Afinações nos pianos do palco e 01 afinação no piano da sala de ensaios OSMG.</t>
  </si>
  <si>
    <t>29.782.437/0001-06</t>
  </si>
  <si>
    <t>Guia de ISSQN referente a nota 2021/21 - Uaua Estudio Ltda</t>
  </si>
  <si>
    <t xml:space="preserve">Serena Mendes Rocha
</t>
  </si>
  <si>
    <t>Reposição de 07 galões de água com 25 litros.</t>
  </si>
  <si>
    <t>08.846.102/0001-34</t>
  </si>
  <si>
    <t>Complemento da contratação de Maria Pompeia, pianista acompanhadora par as aulas de técnica clássica das audições presenciais do processo seletivo de bailarinos.</t>
  </si>
  <si>
    <t xml:space="preserve">Processo 2238 - Maria Pompéia De Melo Sant'anna Dutra 27760200668
</t>
  </si>
  <si>
    <t>Contratação da instrutora / monitora Camila Pinho para acompanhamento do público durante a visitação na exposição "Assim como os jardins..." da artista Mariana Palma e curadoria de Wagner Nardi, durante o período expositivo, 08 de outubro a 12 de dezembro de 2021, na Galeria Arlinda Correa Lima / FCS.</t>
  </si>
  <si>
    <t>Processo 2248 - Camila Araújo De Oliveira Pinho</t>
  </si>
  <si>
    <t>126.424.776-14</t>
  </si>
  <si>
    <t>16432-1 - Plano Anual da Fundação Clóvis Salgado - Ano I Pronac: 20.4460</t>
  </si>
  <si>
    <t>Rendimentos financeiros Conta Projeto 16375-9 - Programa de Artes Visuais da Fundação Clóvis Salgado Pronac: 17.7912</t>
  </si>
  <si>
    <t>Transferência para conta  Projeto: Cinquentenário Operístico da Fundação Clóvis Salgado - Pronac: 20.3579</t>
  </si>
  <si>
    <t>Capatção Projeto: Cinquentenário Operístico da Fundação Clóvis Salgado - PRONAC 203579</t>
  </si>
  <si>
    <t>DARF/IR  referente ao RPA 1273 - Luciana Campos Horta</t>
  </si>
  <si>
    <t>DARF/IR   referente ao RPA 1272 - Jéssica Chaves Moreira Garcia</t>
  </si>
  <si>
    <t>DARF/IR referente ao RPA 1271 - Isabella Andrade Oliveira Mello Proença</t>
  </si>
  <si>
    <t>DARF/IR  referente ao RPA 1269 - Alberto Gusmão da Silva</t>
  </si>
  <si>
    <t xml:space="preserve">DARF/Ir referente ao RPA 1268 - Brenno Theotonio de Castro </t>
  </si>
  <si>
    <t>DARF/IR  referente ao RPA 1267 - Isabela Rocha Leão Magalhães</t>
  </si>
  <si>
    <t>DARF/IR referente ao RPA 1270 - Diogo Vieira De Melo</t>
  </si>
  <si>
    <t>Contratação de profissional para ministrar a oficina de Arte para Crianças, para o Dia do Pequeno Artista.</t>
  </si>
  <si>
    <t>34.094.352/0001-75</t>
  </si>
  <si>
    <t>Contratação de profissional para realizar trabalho de captação, transmissão e produção de vídeos artísticos dos espetáculos que ocorrerão na Sala João Ceschiatti no dia do Pequeno Artista - 23/10/2021.</t>
  </si>
  <si>
    <t>Contratação da professora Denise Fantini para ministrar o Curso Complementar "Dança Moderna Módulo II", da escola de Dança do Cefart.</t>
  </si>
  <si>
    <t>Contratação da profissional Camila Lacerda para ministração de Curso Complementar "Vídeo Performance e Fotoperformance para Plataformas Virtuais" em apoio a Escola de Artes Visuais do Cefart.</t>
  </si>
  <si>
    <t>Contratação de Produção do evento e ambientação para o dia do Pequeno Artista.O Dia do Pequeno artista acontecerá em três ambientes: Galeria Maristela Tristão, João Cheschiatti e Cinema Humberto Mauro. A produção será responsável pelo desenvolvimento de atividade planejamento, logística ecompra de materiais de decoração e ambientação dos espaços de acordo com aProgramação e Conceito do Evento. A decoração deve constar de balões, puffs, cadeiras, mesas, Origamis, luzes etc para tornar o espaço mais atrativo para pais e crianças.</t>
  </si>
  <si>
    <t>Elaboração de arranjos de partituras para orquestra e coral da obra musical O Grande Circo Místico. Tempo de música aproximadamente 4''minutos. O arranjo tem que ser finalizado e entregue até o dia 13 de outubro para ensaios com os grupos artísticos.</t>
  </si>
  <si>
    <t>129.023.448-56</t>
  </si>
  <si>
    <t>Contratação de profissional para ministração de "Oficina de Circo para Crianças" com o objetivo de levar aos alunos a vivência de um verdadeiro ambiente de aula circense, com preparação corporal através de exercícios de alongamento e aquecimento, introdução básica de cada modalidade circense (malabares, perna-de-pau, acrobacias, equilibrismo).Além da diversão e do aprendizado, todos poderão ter seu primeiro contato com a arte circense praticando habilidades de coordenação, equilíbrio e elasticidade para o Dia do Pequeno Artista.</t>
  </si>
  <si>
    <t>13.473.361/0001-05</t>
  </si>
  <si>
    <t xml:space="preserve"> 01 de outubro de 2021 a 31 de dezembro de 2021</t>
  </si>
  <si>
    <t xml:space="preserve">Reembolso realizado pela conta do projeto Anglo referente ao valor proporcional do seguro de vida </t>
  </si>
  <si>
    <t>Guia de ISSQN referente a nota fiscal 2021/15 - Carolina Nascimento Valadares Santana 07016003655</t>
  </si>
  <si>
    <t>Guia de ISSQN referente a nota fiscal 2021/16 - Carolina Nascimento Valadares Santana 07016003655</t>
  </si>
  <si>
    <t>Guia de ISSQN referente a nota fiscal 2021/17 - Carolina Nascimento Valadares Santana 07016003655</t>
  </si>
  <si>
    <t>2021/7469</t>
  </si>
  <si>
    <t>Valor referente a Medicina do Trabalho do mês 09/2021 - PCMSO</t>
  </si>
  <si>
    <t>2021/11244</t>
  </si>
  <si>
    <t xml:space="preserve">DARF/PCC referente a nota fiscal 2021/7469 - Assiste Saúde do Trabalhador </t>
  </si>
  <si>
    <t xml:space="preserve">Guia de ISSQN referente a nota fiscal 2021/7469 - Assiste Saúde do Trabalhador </t>
  </si>
  <si>
    <t xml:space="preserve">DARF/PCC referente a nota fiscal 2021/11244 - Ocupacional Medicina do Trabalho Ltda  </t>
  </si>
  <si>
    <t xml:space="preserve">ISSQN  referente a nota fiscal 2021/11244 - Ocupacional Medicina do Trabalho Ltda  </t>
  </si>
  <si>
    <t>Retenção IOF a recolher referente ao pagamento de câmbio do processo 1699 - Sauve Qui Peut Le Court Métrage</t>
  </si>
  <si>
    <t xml:space="preserve">Câmbio referente ao Licenciamento para utilização da plataforma 'Short Film Depot" para inscrições de filmes nacionais e internacionais no 23º Festcurtas BH. ( shortfilmdepot.com O FestCurtas BH é um evento de grande extensão realizado anualmente no Cine Humberto Mauro e para a realização da 23ª edição no ano de 2021, faz-se necessário o licenciamento para utilização da plataforma online internacional "Shortfilmdepot" para recebimento, gerenciamento e download de filmes inscritos. </t>
  </si>
  <si>
    <t xml:space="preserve"> Sauve Qui Peut Le Court Métrage</t>
  </si>
  <si>
    <t>Invoice</t>
  </si>
  <si>
    <t>Tarifa Envio OPE</t>
  </si>
  <si>
    <t>DARF/IR referente ao câmbio do processo 1699 - Sauve Qui Peut Le Court Métrage</t>
  </si>
  <si>
    <t>Gesani Poggianella Transporte De Cargas Ltda</t>
  </si>
  <si>
    <t xml:space="preserve">Fernando Minicuci Yamamoto 02690662418
</t>
  </si>
  <si>
    <t>Marina Seif Farah</t>
  </si>
  <si>
    <t>Guia de ISSQN referente ao RPA 1345 - Marina Seif Farah</t>
  </si>
  <si>
    <t>INSS e INSS Patronal  referente ao RPA 1345 - Marina Seif Farah</t>
  </si>
  <si>
    <t>Adélia Ferreira Sampaio</t>
  </si>
  <si>
    <t>Ana Luíza Teixeira Neves 06027964669</t>
  </si>
  <si>
    <t>Tarifa Bancária referente a transferência eletrônica pagamento fornecedor: Fernando Minicuci Yamamoto 02690662418 - Processo: 2065</t>
  </si>
  <si>
    <t>Tarifa Bancária referente a transferência eletrônica pagamento fornecedor: Marina Seif Farah - Processo: 1919</t>
  </si>
  <si>
    <t>Reembolso realizado pelo Termo de Parceria 50/2020 - IEPHA referente ao percentual (26,41% do valor total), assessoria jurídica para o Contrato de Gestão e Termo de Parceria referente ao mês 09/2021.</t>
  </si>
  <si>
    <t xml:space="preserve">Reembolso parcial da conta do Termo de Parceria 50/2020 - IEPHA, referente contratação de empresa de setor administrativo especializada em entidades do terceiro setor  para o Contrato de Gestão 05/2019 e Termo de Parceria 50/2020 (mês 09/2021) - 26,41% do valor total </t>
  </si>
  <si>
    <t>Reembolso realizado pelo Termo de Parceria 50/2020 - IEPHA  referente ao percentual (26,41% do valor total), assessoria contábil para o Contrato de Gestão 05/2019 e Termo de Parceria referente ao mês 09/2021</t>
  </si>
  <si>
    <t>Jéssica Parreiras Marroques 11808626605</t>
  </si>
  <si>
    <t>2021/126</t>
  </si>
  <si>
    <t xml:space="preserve">Guia de ISSQN referente a nota fiscal 2021/26 - Dolabella Advocacia e Consultoria </t>
  </si>
  <si>
    <t>Heco Produções Ltda</t>
  </si>
  <si>
    <t xml:space="preserve">DARF/IR referente a nota fiscal 2021/1262 - Krypton Serviços Contábeis S. S. </t>
  </si>
  <si>
    <t xml:space="preserve">DARF/PCC referente a nota fiscal 2021/1262 - Krypton Serviços Contábeis S. S. </t>
  </si>
  <si>
    <t>Sebastiao Junio Silva Nunes 04697356608</t>
  </si>
  <si>
    <t>2021/449</t>
  </si>
  <si>
    <t>Guia de ISSQN referente a nota fiscal 2021/449 - Plotacad Impressão Digital Ltda. - Me</t>
  </si>
  <si>
    <t>Guia de ISSQN referente ao RPA 1354 -  Valéria Pilão</t>
  </si>
  <si>
    <t>INSS e INSS Patronal referente ao RPA 1354 -  Valéria Pilão</t>
  </si>
  <si>
    <t>Tarifa Bancária referente a transferência eletrônica pagamento fornecedor: Arco Cultural Ltda - Processo: 1134</t>
  </si>
  <si>
    <t>Tarifa Bancária referente a transferência eletrônica pagamento fornecedor: Heco Produções Ltda -  Processo: 1968</t>
  </si>
  <si>
    <t>Tarifa Bancária referente a transferência eletrônica pagamento fornecedor:Krypton Serviços Contábeis S. S.  -  Processo: 1114</t>
  </si>
  <si>
    <t>Tarifa Bancária referente a transferência eletrônica pagamento fornecedor : Adélia Ferreira Sampaio.  -  Processo: 1996</t>
  </si>
  <si>
    <t>Tarifa Bancária referente a transferência eletrônica pagamento fornecedor : Ivete Maria De Oliveira 76363481600 -  Processo: 1275</t>
  </si>
  <si>
    <t>Reembolso a conta do Contrato de Gestão - 05/2019  ref aquisição de sistema de ponto para utilização pelos colaboradores da Appa - ano 2021. Referente ao mês 09/2021</t>
  </si>
  <si>
    <t>Reembolso a conta do Contrato de Gestão - 05/2019  ref aquisição de sistema de ponto para utilização pelos colaboradores do Projeto Anglo - ano 2021. Referente ao mês 09/2021</t>
  </si>
  <si>
    <t>Reembolso a conta do Contrato de Gestão - 05/2019 Aquisição de sistema de ponto para utilização pelos colaboradores do TP 50/2020 IEPHA - ano 2021. Referente ao mês 09/2021</t>
  </si>
  <si>
    <t>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09/2021) - 26,41% do valor total</t>
  </si>
  <si>
    <t>Gerentes de Projetos , referente ao mês 09/2021</t>
  </si>
  <si>
    <t>Salário do Músico Instrumentista, referente ao mês 09/2021</t>
  </si>
  <si>
    <t>Salário do Pianista, referente ao mês 09/2021</t>
  </si>
  <si>
    <t>Salário Gerente de Projetos Dipro, referente ao mês 09/2021</t>
  </si>
  <si>
    <t>Contratação de Maria Pompéia como Pianista acompanhador clássicodas audições presenciais do processo seletivo das vagas de bailarinos.</t>
  </si>
  <si>
    <t xml:space="preserve">Maria Pompéia De Melo Sant'anna Dutra 27760200668
</t>
  </si>
  <si>
    <t>Salário do Montador Diart, referente ao mês 09/2021</t>
  </si>
  <si>
    <t>Salário do Músico Cantora, referente ao mês 09/2021</t>
  </si>
  <si>
    <t>Marcos José Ferreira Rodrigues 08213762681</t>
  </si>
  <si>
    <t>Ridalvo Felix De Araújo</t>
  </si>
  <si>
    <t>Guia de ISSQN referente ao RPA 1365 - Ridalvo Felix De Araújo</t>
  </si>
  <si>
    <t>INSS e INSS Patronal referente ao RPA 1365 - Ridalvo Felix De Araújo</t>
  </si>
  <si>
    <t>Renato Guterres</t>
  </si>
  <si>
    <t>INSS e INSS Patronal referente ao RPA 1346 - Renato Guterres</t>
  </si>
  <si>
    <t>Salário do Presidente referente ao mês 09/2021</t>
  </si>
  <si>
    <t>Salário do Coordenador Administrativo referente ao mês 09/2021</t>
  </si>
  <si>
    <t>Salário do Gerente de Projetos: Programação Artística referente ao mês 09/2021</t>
  </si>
  <si>
    <t>Salário do Superintendente de Auditoria, referente ao mês 09/2021</t>
  </si>
  <si>
    <t>Salário da Analista Financeiro Pleno, referente ao mês 09/2021</t>
  </si>
  <si>
    <t>Analista de RH , referente ao mês 09/2021</t>
  </si>
  <si>
    <t>Salário do Músico, referente ao mês 09/2021</t>
  </si>
  <si>
    <t>Salário do Regente Assistente, referente ao mês 09/2021</t>
  </si>
  <si>
    <t>Salário do Músico cantora, referente ao mês 09/2021</t>
  </si>
  <si>
    <t>Salário da Músico Cantor, referente ao mês 09/2021</t>
  </si>
  <si>
    <t>Salário do Coordenador de Comunicação, referente ao mês 09/2021</t>
  </si>
  <si>
    <t>Salário da Produtora Cultural: Produção Artística, referente ao mês 09/2021</t>
  </si>
  <si>
    <t>Salário da Assessora Pedagógica, referente ao mês 09/2021</t>
  </si>
  <si>
    <t>Salário do Diretor Financeiro, referente ao mês 09/2021</t>
  </si>
  <si>
    <t>Salário da Auxiliar de serviços Gerais, referente ao mês 09/2021</t>
  </si>
  <si>
    <t>Salário do Arquivista, referente ao mês 09/2021</t>
  </si>
  <si>
    <t>Salário do Músico Cantor, referente ao mês 09/2021</t>
  </si>
  <si>
    <t>Salário do Montador Dipro, referente ao mês 09/2021</t>
  </si>
  <si>
    <t>Fernando Evangelista</t>
  </si>
  <si>
    <t>Guia de ISSQN referente ao RPA 1359 - Fernando Evangelista</t>
  </si>
  <si>
    <t>INSS e INSS Patronal referente ao RPA 1359 - Fernando Evangelista</t>
  </si>
  <si>
    <t>Guia de ISSQN referente ao RPA 1360 -  Marise Dinis Sousa</t>
  </si>
  <si>
    <t>INSS e INSS Patronal referente ao RPA 1360 -  Marise Dinis Sousa</t>
  </si>
  <si>
    <t>2021/45</t>
  </si>
  <si>
    <t>Guia de ISSQN referente a nota fiscal 2021/45 -  Arco Cultural Ltda</t>
  </si>
  <si>
    <t>Glaydson Da Silva Mendes 01418291684</t>
  </si>
  <si>
    <t>Tarifa Bancária referente a transferência eletrônica pagamento fornecedor : Marise Dinis Sousa -  Processo: 2009</t>
  </si>
  <si>
    <t>Tarifa Bancária referente a transferência eletrônica pagamento fornecedor : Fernando Evangelista -  Processo: 2004</t>
  </si>
  <si>
    <t>Tarifa Bancária referente a transferência eletrônica pagamento fornecedor : Gilberto De Lima Goulart 08401043670 -  Processo: 1876</t>
  </si>
  <si>
    <t>Tarifa Bancária referente a transferência eletrônica pagamento fornecedor :  Arco Cultural Ltda -  Processo: 1458</t>
  </si>
  <si>
    <t>Tarifa Bancária referente a transferência eletrônica pagamento fornecedor : Kleber De Jesus Bispo 10663043603 -  Processo: 1857</t>
  </si>
  <si>
    <t>Tarifa Bancária referente a transferência eletrônica pagamento fornecedor : Kleber De Jesus Bispo 10663043603 -  Processo: 1858</t>
  </si>
  <si>
    <t>Reembolso realizado pelo Termo de Parceria 50/2020 - Iepha a conta do Contra de Gestão 005/2019 referente ao pagamento de guia de FGTS - Valor proporcional aos funcionários a serviço do TP 50/2020 - 09/2021</t>
  </si>
  <si>
    <t>Reembolso realizado pela Appa - Projeto Pronac  a conta do Contrato de Gestão referente ao pagamento de guia de FGTS  - 09/2021</t>
  </si>
  <si>
    <t>Angélica Lovatto</t>
  </si>
  <si>
    <t>Michelle Domingas Correia De Oliveira</t>
  </si>
  <si>
    <t xml:space="preserve"> Valéria Pilão </t>
  </si>
  <si>
    <t>Denise Fantini</t>
  </si>
  <si>
    <t>Guia de ISSQN referente ao RPA 1367 - Denise Fantini</t>
  </si>
  <si>
    <t>INSS e INSS Patronal referente ao RPA 1367 - Denise Fantini</t>
  </si>
  <si>
    <t>Guia de ISSQN referente ao RPA 1356 - Angélica Lovatto</t>
  </si>
  <si>
    <t>INSS e INSS Patronal referente ao RPA 1356 - Angélica Lovatto</t>
  </si>
  <si>
    <t>Carlos Arão Martins De Araújo</t>
  </si>
  <si>
    <t>Guia de ISSQN referente ao RPA 1363 - Carlos Arão Martins De Araújo</t>
  </si>
  <si>
    <t>INSS e INSS Patronal referente ao RPA 1363 - Carlos Arão Martins De Araújo</t>
  </si>
  <si>
    <t>FGTS referente a folha de pagamento do mês 09/2021</t>
  </si>
  <si>
    <t>Papel Semente Indústria E Comércio Ltda</t>
  </si>
  <si>
    <t>000.007.578</t>
  </si>
  <si>
    <t>Antônio Arildo Martins Lima</t>
  </si>
  <si>
    <t>Guia de ISSQN referente ao RPA 1319 - Antônio Arildo Martins Lima</t>
  </si>
  <si>
    <t>INSS e INSS Patronal referente ao RPA 1319 - Antônio Arildo Martins Lima</t>
  </si>
  <si>
    <t>Tarifa Bancária referente a transferência eletrônica pagamento fornecedor : Michelle Domingas Correia De Oliveira -  Processo: 1480</t>
  </si>
  <si>
    <t>Tarifa Bancária referente a transferência eletrônica pagamento fornecedor : Valéria Pilão  -  Processo: 2089</t>
  </si>
  <si>
    <t>Tarifa Bancária referente a transferência eletrônica pagamento fornecedor : Denise Fantini -  Processo: 1885</t>
  </si>
  <si>
    <t>Tarifa Bancária referente a transferência eletrônica pagamento fornecedor :  Carlos Arão Martins De Araújo -  Processo: 2099</t>
  </si>
  <si>
    <t>Tarifa Bancária referente a transferência eletrônica pagamento fornecedor : Papel Semente Indústria E Comércio Ltda -  Processo: 2159</t>
  </si>
  <si>
    <t>Tarifa Bancária referente a transferência eletrônica pagamento fornecedor : Antônio Arildo Martins Lima-  Processo: 1923</t>
  </si>
  <si>
    <t>Contratação de serviço de transporte (ida e volta) do CTPF Marzagão/ CEFART/ CTPF Marzagão de cenários para a peça Alice da turma de formatura da escola de teatro - turma noite.</t>
  </si>
  <si>
    <t>Contratação de Marise Dinis como professora para preparação dos bailarinos e Direção de Vídeos da criação dos bailarinos em acordo com a necessidade dos bailarinos criadores e a Direção artística da CDPA.</t>
  </si>
  <si>
    <t>Contratação do Espetáculo "Na Roda -Brincadeira de roda" de atores brincantes em contínuo diálogo com o público que, ao final, entra na roda e brinca também. Espetáculo brincante com repertório de canções colhidas no Vale do Jequitinhonha e no norte de Minas, que acontecerá no dia 23 de outubro de 2021.</t>
  </si>
  <si>
    <t xml:space="preserve">11.979.062/0001-03
</t>
  </si>
  <si>
    <t>Contratação de profissional Micheline Monteiro como palestrante e mediadora nas ações de Conscientização sobre Segurança Sanitária com Palhaços -Participação de Palhaços doutores para orientar os participantes presenciais do Dia do Pequeno Artista (Crianças e familiares), sobre as normas de segurança do COVID de forma lúdica e divertida.</t>
  </si>
  <si>
    <t xml:space="preserve">33.702.798/0001-72
</t>
  </si>
  <si>
    <t>Impressão, plotagem e retirada de adesivo com legenda de obra da exposição "Assim como os jardins...", da artista Mariana Palma, que será realizada de 8 de outubro de 2021 a 12 de dezembro de 2021 na galeria Arlinda Correa Lima / FCS.</t>
  </si>
  <si>
    <t>Guia de ISSQN referente ao RPA 1374 - Rizzia Soares Rocha</t>
  </si>
  <si>
    <t>Guia de ISSQN referente ao RPA 1293 - Antônio Arildo Martins Lima</t>
  </si>
  <si>
    <t>Guia de ISSQN referente ao RPA 1342 - Soraya Martins Patrocínio</t>
  </si>
  <si>
    <t>INSS e INSS Patronal referente ao RPA 1342  - Soraya Martins Patrocínio</t>
  </si>
  <si>
    <t>Guia de ISSQN referente a nota fiscal 2021/6 -  Cenario Oscar 2019 Serviços De Montagem Eireli</t>
  </si>
  <si>
    <t>Guia de ISSQN referente a nota fiscal 2021/1482 - Patrulha Eletrônica</t>
  </si>
  <si>
    <t>Guia de ISSQN referente a nota fiscal 2021/489118 - Unimed Coperativa Médica</t>
  </si>
  <si>
    <t>Guia de ISSQN referente a nota fiscal 2021/524577 - Unimed Coperativa Médica</t>
  </si>
  <si>
    <t>Guia de ISSQN referente ao RPA 1364 - Dadyer Rangit Aguilera Ramos</t>
  </si>
  <si>
    <t>INSS e INSS Patronal referente ao RPA 1364 - Dadyer Rangit Aguilera Ramos</t>
  </si>
  <si>
    <t>Vale Alimentação  dos funcionários a serviço do Contrato de Gestão - Bailarinos</t>
  </si>
  <si>
    <t>Vale Refeição dos funcionários a serviço do Contrato de Gestão - Bailarino</t>
  </si>
  <si>
    <t>Marilia Palhares Fernandes 22210703808</t>
  </si>
  <si>
    <t xml:space="preserve">Regelles Tadeu Queiroz Da Silva10092467636
</t>
  </si>
  <si>
    <t>Tarifa Bancária referente a transferência eletrônica pagamento fornecedor : Dadyer Rangit Aguilera Ramos -  Processo: 2100</t>
  </si>
  <si>
    <t>Tarifa Bancária referente a transferência eletrônica pagamento fornecedor : Marilia Palhares Fernandes 22210703808-  Processo: 2106</t>
  </si>
  <si>
    <t>Tarifa Bancária referente a transferência eletrônica pagamento fornecedor : Regelles Tadeu Queiroz Da Silva10092467636-  Processo: 2017</t>
  </si>
  <si>
    <t>Reembolso realizado pelo Termo de Parceria 50/2020 - IEPHA referente ao percentual (26,41% do valor total ) do aluguel da sede da Appa referente ao mês 09/2021</t>
  </si>
  <si>
    <t>Reembolso realizado pelo Termo de Parceria 50/2020 - IEPHA referente ao percentual (26,41% do valor total ) guia de IPTU - 09º parcela</t>
  </si>
  <si>
    <t>Reembolso realizado pelo Termo de Parceria 50/2020 - IEPHA referente ao percentual (26,41% do valor total), Manutenção de redes e computadores da sede da Appa - mês 09/2021</t>
  </si>
  <si>
    <t>Reembolso realizado pelo Termo de Parceria 50/2020 - IEPHA referente ao percentual (26,41% do valor total), Segurança Eletrônica da Sede da APPA - mês 09/2021</t>
  </si>
  <si>
    <t>Guia de ITPU - Parcela 10</t>
  </si>
  <si>
    <t>Guia de ITPU - Parcela 11</t>
  </si>
  <si>
    <t>Claro S.A</t>
  </si>
  <si>
    <t>Contratação de músico instrumentista fagotista, para tocar o primeiro fagote e compor o naipe das madeiras na gravação do vídeo coletivo OSMG e CLMG "O Grande Circo Místico" e coordenação do naipe. Período l De 08 a 25 de outubro de 2021. Contratação de Raquel Carneiro, representado pela sua empresária Elisete Gomes Joaquim de Oliveira,</t>
  </si>
  <si>
    <t>Compra de 150 Máscaras Cirúrgica Tripla Com Antiviral (48 Horas de Duração) - Descartável e compra de Luva Descartável Látex com Pó Tam G 100 unidades para uso de segurança para atividade do dia do pequeno artista, do Cefart.</t>
  </si>
  <si>
    <t xml:space="preserve">11.065.582/0001-00
</t>
  </si>
  <si>
    <t>Contratação de profissional para Criação de trilha sonora para vídeos da CDPA com acompanhamento de todo o processo criativo durante as reuniões da Cia de Dança.</t>
  </si>
  <si>
    <t>Contratação de Gabriel Coupe para Coordenação artística do Dia do Pequeno Artista englobando a Criação artística da programação e produção em conjunto com a Diretoria e Gerência de Extensão. A primeira versão do projeto/programação será encaminhado para a presidência e outras diretorias para compartilhamento.</t>
  </si>
  <si>
    <t>21.103.300/0001-76</t>
  </si>
  <si>
    <t>Energia Elétrica da Sede da Appa, referente ao mês 12/2021.</t>
  </si>
  <si>
    <t>Água e Esgoto da Sede da Appa mês 12/2021</t>
  </si>
  <si>
    <t>Telefone Fixo da sede da Appa referente ao mês 10/2021</t>
  </si>
  <si>
    <t>Telefone Fixo da sede da Appa referente ao mês 11/2021</t>
  </si>
  <si>
    <t>Telefone Fixo da sede da Appa referente ao mês 12/2021</t>
  </si>
  <si>
    <t>Internet para sede da Appa referente ao mês 10/2021</t>
  </si>
  <si>
    <t>Internet para sede da Appa referente ao mês 11/2021</t>
  </si>
  <si>
    <t>Internet para sede da Appa referente ao mês 12/2021</t>
  </si>
  <si>
    <t>Aluguel da sede da Appa referente ao período de 10/11 a 09/12/2021</t>
  </si>
  <si>
    <t>Aluguel da sede da Appa referente ao período de 10/12 a 09/01/2022</t>
  </si>
  <si>
    <t>Consumo de energia elétrica do mês 10/2021</t>
  </si>
  <si>
    <t>Consumo de energia elétrica do mês 11/2021</t>
  </si>
  <si>
    <t>Consumo de energia elétrica do mês 12/2021</t>
  </si>
  <si>
    <t>Contratação de serviço de impulsionamento de redes sociais, referente àsatividades da Temporada de Ópera: lives da Academia de Ópera e Mostra Cinema e Ópera,permitindo que a postagem seja exibida para mais possíveis interessados no conteúdo.</t>
  </si>
  <si>
    <t xml:space="preserve">Reembolso realizado pelo Termo de Parceria 50/2020 - Iepha referente ao uso de telefone fixo da sede da Appa - consumo do mês 09/2021 - Percentual de  26,41% do valor total </t>
  </si>
  <si>
    <t>Guia de ISSQN referente ao RPA 1371 -  Themis Cristina Lobato De Lima</t>
  </si>
  <si>
    <t>DARF/IR referente ao RPA 1371 -  Themis Cristina Lobato De Lima</t>
  </si>
  <si>
    <t>INSS e INSS Patronal referente ao RPA 1371 -  Themis Cristina Lobato De Lima</t>
  </si>
  <si>
    <t>11762015-MG</t>
  </si>
  <si>
    <t>Rodrigo Ferreira Do Nascimento Ltda - ME</t>
  </si>
  <si>
    <t>000.015.242</t>
  </si>
  <si>
    <t>INSS e INSS Patronal referente ao RPA 1293 - Antônio Arildo Martins Lima</t>
  </si>
  <si>
    <t>Maria Horta Maciel Rodrigues Alves</t>
  </si>
  <si>
    <t>Guia de ISSQN referente ao RPA 1369 - Lívia Beatriz Ferreira Lopes</t>
  </si>
  <si>
    <t>DARF/IR referente ao RPA 1369 - Lívia Beatriz Ferreira Lopes</t>
  </si>
  <si>
    <t>INSS e INSS Patronal referente ao RPA 1369 - Lívia Beatriz Ferreira Lopes</t>
  </si>
  <si>
    <t>Guia de ISSQN referente ao RPA 1370 - Adriano Maciel Canabrava</t>
  </si>
  <si>
    <t>DARF/IR referente ao RPA 1370 - Adriano Maciel Canabrava</t>
  </si>
  <si>
    <t>Guia de INSS e INSS Patronal referente ao RPA 1370 - Adriano Maciel Canabrava</t>
  </si>
  <si>
    <t>Guia de ISSQN referente ao RPA 1376 - Priscila Alencastre Lopes Santos Souza</t>
  </si>
  <si>
    <t>INSS e INSS Patronal referente ao RPA 1376 - Priscila Alencastre Lopes Santos Souza</t>
  </si>
  <si>
    <t>Pâmella De Oliveira Rosa</t>
  </si>
  <si>
    <t>Guia de ISSQN referente ao RPA 1373 - Pâmella De Oliveira Rosa</t>
  </si>
  <si>
    <t>DARF/IR  referente ao RPA 1373 - Pâmella De Oliveira Rosa</t>
  </si>
  <si>
    <t>INSS e INSS Patronal referente ao RPA 1373 - Pâmella De Oliveira Rosa</t>
  </si>
  <si>
    <t>Tarifa Bancária referente a transferência eletrônica pagamento fornecedor : Rodrigo Ferreira Do Nascimento Ltda - ME -  Processo: 2220</t>
  </si>
  <si>
    <t>Tarifa Bancária referente a transferência eletrônica pagamento fornecedor : Antônio Arildo Martins Lima  -  Processo: 1907</t>
  </si>
  <si>
    <t>Tarifa Bancária referente a transferência eletrônica pagamento fornecedor :Maria Horta Maciel Rodrigues Alves -  Processo: 2033</t>
  </si>
  <si>
    <t>Tarifa Bancária referente a transferência eletrônica pagamento fornecedor : Lívia Beatriz Ferreira Lopes -  Processo: 1895</t>
  </si>
  <si>
    <t>Tarifa Bancária referente a transferência eletrônica pagamento fornecedor : Adriano Maciel Canabrava -  Processo 1893</t>
  </si>
  <si>
    <t>Tarifa Bancária referente a transferência eletrônica pagamento fornecedor : Priscila Alencastre Lopes Santos Souza -  Processo: 2093</t>
  </si>
  <si>
    <t>Tarifa Bancária referente a transferência eletrônica pagamento fornecedor :Pâmella De Oliveira Rosa -  Processo: 2101</t>
  </si>
  <si>
    <t>Luciana Pires De Sá Requião</t>
  </si>
  <si>
    <t>Guia de ISSQN referente ao RPA 1377 -  Luciana Pires De Sá Requião</t>
  </si>
  <si>
    <t>INSS e INSS Patronal referente ao RPA 1377 -  Luciana Pires De Sá Requião</t>
  </si>
  <si>
    <t>Guia de ISSQN referente a nota fiscal 2021/7 - Inconfidentes Produções Produções Artísticas Ltda</t>
  </si>
  <si>
    <t>Tarifa Bancária referente a transferência eletrônica pagamento fornecedor : Gesani Poggianella Transporte De Cargas Ltda -  Processo: 2003</t>
  </si>
  <si>
    <t>Tarifa Bancária referente a transferência eletrônica pagamento fornecedor :Luciana Pires De Sá Requião -  Processo: 2090</t>
  </si>
  <si>
    <t>Tarifa Bancária referente a transferência eletrônica pagamento fornecedor : Inconfidentes Produções Produções Artísticas Ltda -  Processo: 2076</t>
  </si>
  <si>
    <t xml:space="preserve"> Loggi Tecnologia LTDA</t>
  </si>
  <si>
    <t>2021/524577</t>
  </si>
  <si>
    <t>2021/489118</t>
  </si>
  <si>
    <t>Jacyara Edwirges Rosa De Araújo</t>
  </si>
  <si>
    <t>Guia de ISSQN referente ao RPA 1379 - Jacyara Edwirges Rosa De Araújo</t>
  </si>
  <si>
    <t>INSS e INSS Patronal referente ao RPA 1379 - Jacyara Edwirges Rosa De Araújo</t>
  </si>
  <si>
    <t>Thales Alisson Brener Diego Rodrigues De Oliveira 09514986652</t>
  </si>
  <si>
    <t>Tarifa Bancária referente a transferência eletrônica pagamento fornecedor :Jacyara Edwirges Rosa De Araújo  -  Processo: 2007</t>
  </si>
  <si>
    <t>Tarifa Bancária referente a transferência eletrônica pagamento fornecedor : Fabiana Oliveira De Jesus 06426632627 -  Processo: 1985</t>
  </si>
  <si>
    <t>Tarifa Bancária referente a transferência eletrônica pagamento fornecedor : Thales Alisson Brener Diego Rodrigues De Oliveira 09514986652  -  Processo: 2106</t>
  </si>
  <si>
    <t>Compras de material de cozinha e copa, para manutenção da sede em atendimento aos trabalhadores do termo de parceria; sendo: 10 uni de pano de chão, 10 unid de flanelas, 15L de desinfetante, 02 unid de vassoura piaçava, 05 unid de multiuso limpeza pesada e 01 pact de açúcar de 5kg</t>
  </si>
  <si>
    <t xml:space="preserve">03.922.845/0001-22
</t>
  </si>
  <si>
    <t>Captação de imagens das coreografias de 18 bailarinos individualmente in loco (casa ou lugares externos de acordo com a necessidade de cada bailarino e do processo criativo). Equipamentos profissionais de filmagem e drone com acompanhamento de um cinegrafista com olhar artístico. Conteúdo de cada bailarino gerado será em torno de 1h de filmagem para cada vídeo. As entregas devem ser em 15 dias úteis antes da data prevista para exibição, para chancela e conferência da Diretoria Cultural e ASCOM da FCS.</t>
  </si>
  <si>
    <t>40.847.954/0001-59</t>
  </si>
  <si>
    <t>Contratação de Consultoria da artistaYara Tupinambá para participação na Mostra Chama.</t>
  </si>
  <si>
    <t>Contratação de Bárbara Flor, para contação de histórias: EU E TU PUXA O RABO DO TATU -Eu e tu puxa o rabo do tatu é uma performance brincante que reúne teatro, contação de histórias, mamulengo, artes marciais e música. Crianças pequenas adoram e crianças grandes também.</t>
  </si>
  <si>
    <t>42.078.233/0001-57</t>
  </si>
  <si>
    <t>Contratação de Chico de Paula, profissional especializado com olhar artístico para edição de vídeos. Considerar acompanhamento das reuniões e inserção de legendas, capa (frame), inclusão de ficha técnica, créditos e logomarcas para entrega de 2 vídeos a partir de gravações geradas pelos bailarinos da Cia de Dança com o tempo de 20min cada.</t>
  </si>
  <si>
    <t>01.853.325/0001-80</t>
  </si>
  <si>
    <t>Contratação do artista Rodrigo Santos, para a realização do espetáculo "O CATADOR DE RISOS" -Espetáculo de mímica e palhaçaria para todas as idades! O personagem BAMBU não mede esforços para recriar a magia da própria vida em cena. Objetivo: voltar a ser criança!!!</t>
  </si>
  <si>
    <t xml:space="preserve">17.131.499/0001-79
</t>
  </si>
  <si>
    <t>Reembolso realizado pelo Termo de Parceria 50/2020 - IEPHA referente ao percentual (26,41% do valor total ) consumo de água da sede da Appa- mês 09/2021</t>
  </si>
  <si>
    <t>Reembolso realizado pelo Termo de Parceria 50/2020 - IEPHA referente ao percentual (26,41% do valor total) consumo de energia elétrica da sede da Appa- mês 09/2021</t>
  </si>
  <si>
    <t>Reembolso realizado pelo Termo de Parceria 50/2020 - IEPHA referente ao percentual (26,41% do valor total), referente ao telefone móvel da sede da Appa- mês 09/2021.</t>
  </si>
  <si>
    <t>Reembolso realizado pelo Termo de Parceria 50/2020 - IEPHA referente ao percentual (26,41% do valor total ) aluguel de impressoras da sede da Appa - Mês 09/2021.</t>
  </si>
  <si>
    <t>Livia Sabbag Da Silva Ramos</t>
  </si>
  <si>
    <t>Guia de ISSQN referente ao RPA 1384 -  Livia Sabbag Da Silva Ramos</t>
  </si>
  <si>
    <t>DARF/IR referente ao RPA 1384 -  Livia Sabbag Da Silva Ramos</t>
  </si>
  <si>
    <t>INSS e INSS Patronal referente ao RPA 1384 -  Livia Sabbag Da Silva Ramos</t>
  </si>
  <si>
    <t>Contratação deserviços de diretor teatral para elaborar, criar e dirigir a formatura da escola técnica em teatro, turno noite.Período de Atuação: Setembro a Outubro/ 2021 - Parcela 01</t>
  </si>
  <si>
    <t xml:space="preserve">Thales Alisson Brener Diego Rodrigues De Oliveira </t>
  </si>
  <si>
    <t xml:space="preserve">Guia de ISSQN referente ao RPA 1383 - Thales Alisson Brener Diego Rodrigues De Oliveira </t>
  </si>
  <si>
    <t xml:space="preserve">INSS e INSS Patronal referente ao RPA 1383 - Thales Alisson Brener Diego Rodrigues De Oliveira </t>
  </si>
  <si>
    <t>Luiz Dias Simões Neto</t>
  </si>
  <si>
    <t>Guia de ISSQN referente ao RPA 1378 - Luiz Dias Simões Neto</t>
  </si>
  <si>
    <t>INSS e INSS Patronal  referente ao RPA 1378 - Luiz Dias Simões Neto</t>
  </si>
  <si>
    <t>001.21.58500964-2</t>
  </si>
  <si>
    <t>Dadyer Rangit Aguilera Ramos</t>
  </si>
  <si>
    <t xml:space="preserve">Fatura </t>
  </si>
  <si>
    <t>Grupo De Dança 1 Ato</t>
  </si>
  <si>
    <t>Guia de ISSQN referente a nota fiscal 2021/12 - Grupo De Dança 1 Ato</t>
  </si>
  <si>
    <t>Tenison Santana Dos Santos</t>
  </si>
  <si>
    <t>Guia de ISSQN referente ao RPA 1380 -  Tenison Santana Dos Santos</t>
  </si>
  <si>
    <t>INSS e INSS Patronal referente ao RPA 1380 -  Tenison Santana Dos Santos</t>
  </si>
  <si>
    <t xml:space="preserve">Kleber De Jesus Bispo 10663043603
</t>
  </si>
  <si>
    <t>Estrupicios Producoes Artisticas Ltda</t>
  </si>
  <si>
    <t>Guia de ISSQN referente a nota fiscal 359 - Estrupicios Producoes Artisticas Ltda</t>
  </si>
  <si>
    <t>Tarifa Bancária referente a transferência eletrônica pagamento fornecedor : Dadyer Rangit Aguilera Ramos  -  Processo: 2100</t>
  </si>
  <si>
    <t>Tarifa Bancária referente a transferência eletrônica pagamento fornecedor : Grupo De Dança 1 Ato  -  Processo: 2102</t>
  </si>
  <si>
    <t>Tarifa Bancária referente a transferência eletrônica pagamento fornecedor : Tenison Santana Dos Santos  -  Processo: 2008</t>
  </si>
  <si>
    <t>Tarifa Bancária referente a transferência eletrônica pagamento fornecedor : Kleber De Jesus Bispo 10663043603
  -  Processo: 2109</t>
  </si>
  <si>
    <t>Tarifa Bancária referente a transferência eletrônica pagamento fornecedor : Estrupicios Producoes Artisticas Ltda -  Processo: 2049</t>
  </si>
  <si>
    <t xml:space="preserve">Up Print Comercio E Locacao De Equipamentos Eireli
</t>
  </si>
  <si>
    <t>U04683</t>
  </si>
  <si>
    <t>impressão de 02 banners (um de cada) conforme arquivo anexo.Formato: 100 x 150 cm - Cor: 4x0. Faz se necessária a contratação do serviço em apoio à ação do "DIA DO PEQUENO ARTISTA" - Os Banners (arquivos anexo) servirão de apoio para informar as atividades do dia e o mapa das salas.</t>
  </si>
  <si>
    <t>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09/2021</t>
  </si>
  <si>
    <t>Guia de ISSQN referente ao RPA 1387 - Leonardo Bruno Ferreira</t>
  </si>
  <si>
    <t>DARF/IR referente ao RPA 1387 - Leonardo Bruno Ferreira</t>
  </si>
  <si>
    <t>INSS e INSS Patronal referente ao RPA 1387 - Leonardo Bruno Ferreira</t>
  </si>
  <si>
    <t>Guia de ISSQN referente ao RPA 1386 - Victor Hugo Marques</t>
  </si>
  <si>
    <t>DARF/IR  referente ao RPA 1386 - Victor Hugo Marques</t>
  </si>
  <si>
    <t>INSS e INSS Patronal  referente ao RPA 1386 - Victor Hugo Marques</t>
  </si>
  <si>
    <t>Guia de ISSQN referente ao RPA 1388 -  Laís Flor Oliveira</t>
  </si>
  <si>
    <t>DARF/IR  referente ao RPA 1388 -  Laís Flor Oliveira</t>
  </si>
  <si>
    <t>INSS e INSS Patronal referente ao RPA 1388 -  Laís Flor Oliveira</t>
  </si>
  <si>
    <t>Mateus Helio De Araujo</t>
  </si>
  <si>
    <t>Guia de ISSQN referente ao RPA 1385 - Mateus Helio De Araujo</t>
  </si>
  <si>
    <t>DARF/IR referente ao RPA 1385 - Mateus Helio De Araujo</t>
  </si>
  <si>
    <t>INSS e INSS Patronal referente ao RPA 1385 - Mateus Helio De Araujo</t>
  </si>
  <si>
    <t>Guia de ISSQN referente ao RPA 1390 -  Cleber José Leão De Almeida</t>
  </si>
  <si>
    <t>DARF/IR referente ao RPA 1390 -  Cleber José Leão De Almeida</t>
  </si>
  <si>
    <t>INSS e INSS Patronal referente ao RPA 1390 -  Cleber José Leão De Almeida</t>
  </si>
  <si>
    <t>Guia de ISSQN referente a nota fiscal 191 - Christoffer Produções Artísticas Ltda</t>
  </si>
  <si>
    <t>Tarifa Bancária referente a transferência eletrônica pagamento fornecedor : Laís Flor Oliveira -  Processo: 1916</t>
  </si>
  <si>
    <t>Tarifa Bancária referente a transferência eletrônica pagamento fornecedor : Mateus Helio De Araujo -  Processo: 2173</t>
  </si>
  <si>
    <t>Tarifa Bancária referente a transferência eletrônica pagamento fornecedor : Hanna Mussi Dias 14995811737 -  Processo: 2067</t>
  </si>
  <si>
    <t>Tarifa Bancária referente a transferência eletrônica pagamento fornecedor :Cleber José Leão De Almeida  -  Processo: 1559</t>
  </si>
  <si>
    <t>Tarifa Bancária referente a transferência eletrônica pagamento fornecedor : Christoffer Produções Artísticas Ltda  -  Processo: 2066</t>
  </si>
  <si>
    <t>Contratação de profissional para captação e edição de filmagem da exposição, incluindo entrevista com a artista e o curador. 1 diária de direção e captação com equipamentos- 1 serviço de edição e finalização de imagens. Composição de video de 15 a 20 minutos e disponibilização de material</t>
  </si>
  <si>
    <t>20.874.123/0001-69</t>
  </si>
  <si>
    <t>Contratação de Técnico de palco para atuar na gravação e edição dos áudios do espetáculo ALICE.Necessário que o profissional tenha conhecimento na área teatral, gravação e edição de vídeo e captação de som.</t>
  </si>
  <si>
    <t>38.627.878/0001-24</t>
  </si>
  <si>
    <t>Plano de saúde - Coparticipação</t>
  </si>
  <si>
    <t>Compra de 35 kits Lanches, por dia (durante 04 dias) . Contratação de serviço para atendimento e fornecimento de kit lanches, para elenco, núcleo de criação e direção do espetáculo que estarão em gravação durante 4 dias.Dias:25-26-27e28de outubro de 2021.</t>
  </si>
  <si>
    <t>Reembolso realizado pelo Termo de Parceria 50/2020 - IEPHA referente ao percentual 26,41% do valor total ) ao consumo de internet da Appa do mês 09/2021</t>
  </si>
  <si>
    <t>2021/225</t>
  </si>
  <si>
    <t>Guia de ISSQN referente a nota fiscal 2021/225 -  Softwares De Gestão Ltda</t>
  </si>
  <si>
    <t>11918304-MG</t>
  </si>
  <si>
    <t>IR retido férias Gerente de Projetos - Luciana Veloso</t>
  </si>
  <si>
    <t xml:space="preserve">DARF/PCC referente a nota fiscal 2021/6550 - Assiste Saúde do Trabalhador </t>
  </si>
  <si>
    <t xml:space="preserve">DARF/PCC referente a nota fiscal 2021/9787 - Ocupacional Medicina do Trabalho Ltda  </t>
  </si>
  <si>
    <t>INSS Patronal referente ao mês 09/2021</t>
  </si>
  <si>
    <t xml:space="preserve">Tarifa Bancária referente a transferência eletrônica pagamento fornecedor : Oliveira Andrade Serviços De Monitoramento De Informações Ltda-  Processo: 1317 </t>
  </si>
  <si>
    <t>Júlia Dias Lino Moreira 01583139680</t>
  </si>
  <si>
    <t xml:space="preserve">Alice Almeida Gontijo 09331535627
</t>
  </si>
  <si>
    <t>Rafael Bottaro Costa Fragoso 08236454606</t>
  </si>
  <si>
    <t>Contratação de Camila Lacerda, profissional externo para as bancas examinadoras dos editais de 2021/2 de Artes Visuais. Atribuições:- Compor em conjunto com a Gerência de Ensino e os coordenadores das escolas, os cronogramas das entrevistas/provas práticas (2a. etapas), com base nos candidatos aprovados nas 1as. etapas de seleção</t>
  </si>
  <si>
    <t>Guia de ISSQN referente a nota fiscal 2021/41 - Area De Servico Comunicacao Digital Ltda</t>
  </si>
  <si>
    <t>Nickary Felipe Dos Santos 06409971630</t>
  </si>
  <si>
    <t>Tarifa Bancária referente a transferência eletrônica pagamento fornecedor :Rafael Bottaro Costa Fragoso 08236454606  -  Processo: 2110</t>
  </si>
  <si>
    <t>Tarifa Bancária referente a transferência eletrônica pagamento fornecedor :Camila Lacerda Lopes 07900541675  -  Processo: 1987</t>
  </si>
  <si>
    <t>Tarifa Bancária referente a transferência eletrônica pagamento fornecedor:  Area De Servico Comunicacao Digital Ltda -  Processo: 1983</t>
  </si>
  <si>
    <t>Tarifa Bancária referente a transferência eletrônica pagamento fornecedor : Nickary Felipe Dos Santos 06409971630  -  Processo: 2112</t>
  </si>
  <si>
    <t>Guia de ISSQN referente ao RPA 1389 - Nathália Araújo Marques</t>
  </si>
  <si>
    <t>DARF/IR  referente ao RPA 1389 - Nathália Araújo Marques</t>
  </si>
  <si>
    <t>INSS e INSS Patronal referente ao RPA 1389 - Nathália Araújo Marques</t>
  </si>
  <si>
    <t>Dominick Lattuada Abreu Barbosa</t>
  </si>
  <si>
    <t>Guia de ISSQN referente ao RPA 1392 - Dominick Lattuada Abreu Barbosa</t>
  </si>
  <si>
    <t>INSS e INSS Patronal referente ao RPA 1392 - Dominick Lattuada Abreu Barbosa</t>
  </si>
  <si>
    <t xml:space="preserve">Guia de ISSQN referente a nota fiscal 2021/21 -  Mylene Youssef A Vieira - Produções E Eventos Epp
</t>
  </si>
  <si>
    <t>2021/552</t>
  </si>
  <si>
    <t>Guia de ISSQN referente a nota fiscal 2021/552 -  Oliveira Andrade Serviços De Monitoramento De Informações Ltda</t>
  </si>
  <si>
    <t>Tarifa Bancária referente a transferência eletrônica pagamento fornecedor : Nathália Araújo Marques  -  Processo: 1942</t>
  </si>
  <si>
    <t>Tarifa Bancária referente a transferência eletrônica pagamento fornecedor : Dominick Lattuada Abreu Barbosa  -  Processo: 1984</t>
  </si>
  <si>
    <t>Tarifa Bancária referente a transferência eletrônica pagamento fornecedor : Hanna Mussi Dias 14995811737  -  Processo: 1935</t>
  </si>
  <si>
    <t>Tarifa Bancária referente a transferência eletrônica pagamento fornecedor : Mylene Youssef A Vieira - Produções E Eventos Epp
  -  Processo: 2239</t>
  </si>
  <si>
    <t>Tarifa Bancária referente a transferência eletrônica pagamento fornecedor : Oliveira Andrade Serviços De Monitoramento De Informações Ltda  -  Processo: 1317</t>
  </si>
  <si>
    <t xml:space="preserve">Tarifa Bancária referente a transferência eletrônica pagamento fornecedor : Consórcio Ótimo de Bilhetagem Eletrônica </t>
  </si>
  <si>
    <t>Pagamento referente a tarifa para emissão de cartões Ótimo</t>
  </si>
  <si>
    <t>Contratação de Cenógrafo para prestação de serviços de concepção artística, sendo dele a responsabilidade naconstrução e montagem de cenários e objetos de cena para a montagem de Alice (espetáculo de formatura dos alunos do 3º ano da escola de teatro - CEFART).</t>
  </si>
  <si>
    <t>077.437.246-03</t>
  </si>
  <si>
    <t>Contratação do professor Dr. Lindberg Campos para ministrar o Curso complementar "O Pagador de Promessas", para atender a demanda do Programa de Residência Artística do Cefart.</t>
  </si>
  <si>
    <t>Reembolso realizado pelo Termo de Parceria 50/2020 - IEPHA referente ao percentual (26,41% do valor total ) aluguel de PABX da sede da Appa- mês 09/2021.</t>
  </si>
  <si>
    <t>Transferência para Conta Reserva referente aos rendimentos de aplicações financeiras do mês 09/2021</t>
  </si>
  <si>
    <t>Wagner Luiz Nardi</t>
  </si>
  <si>
    <t>Guia de ISSQN referente ao RPA 1396 - Wagner Luiz Nardi</t>
  </si>
  <si>
    <t>DARF/IR referente ao RPA 1396 - Wagner Luiz Nardi</t>
  </si>
  <si>
    <t>INSS e INSS Patronal referente ao RPA 1396 - Wagner Luiz Nardi</t>
  </si>
  <si>
    <t>Cofins referente aos rendimentos de aplicações financeiras do mês 09/2021.</t>
  </si>
  <si>
    <t>PIS referente a folha de pagamento do mês 09/2021.</t>
  </si>
  <si>
    <t>Bernardo Rocha De Souza</t>
  </si>
  <si>
    <t>ISSQN referente ao RPA 1395 - Bernardo Rocha De Souza</t>
  </si>
  <si>
    <t>INSS e INSS Patronal referente ao RPA 1395 - Bernardo Rocha De Souza</t>
  </si>
  <si>
    <t>Stephanie Joyce Correa Cunha 09712424618</t>
  </si>
  <si>
    <t>Josué Sales Barbosa 06756282611</t>
  </si>
  <si>
    <t>Guia de ISSQN referente a nota fiscal 2021/12 - Estúdio 739 De Publicidade E Propaganda Ltda</t>
  </si>
  <si>
    <t xml:space="preserve">Logus Protection Patrimonial Ltda
</t>
  </si>
  <si>
    <t>INSS referente a nota fiscal 2021/77 -  Logus Protection Patrimonial Ltda</t>
  </si>
  <si>
    <t>ISSQN referente a nota fiscal 2021/77 -  Logus Protection Patrimonial Ltda</t>
  </si>
  <si>
    <t>Tarifa Bancária referente a transferência eletrônica pagamento fornecedor : TMS Telecomunicações Ltda  -  Processo: 1117</t>
  </si>
  <si>
    <t>Tarifa Bancária referente a transferência eletrônica pagamento fornecedor : Bernardo Rocha De Souza  -  Processo: 2103</t>
  </si>
  <si>
    <t>Tarifa Bancária referente a transferência eletrônica pagamento fornecedor : Stephanie Joyce Correa Cunha 09712424618  -  Processo: 1988</t>
  </si>
  <si>
    <t>Tarifa Bancária referente a transferência eletrônica pagamento fornecedor : Josué Sales Barbosa 06756282611  -  Processo: 1986</t>
  </si>
  <si>
    <t>Tarifa Bancária referente a transferência eletrônica pagamento fornecedor :Estúdio 739 De Publicidade E Propaganda Ltda -  Processo: 1949</t>
  </si>
  <si>
    <t>Tarifa Bancária referente a transferência eletrônica pagamento fornecedor : Kleber De Jesus Bispo 10663043603  -  Processo: 2226</t>
  </si>
  <si>
    <t xml:space="preserve">Tarifa Bancária referente a transferência eletrônica pagamento fornecedor : Logus Protection Patrimonial Ltda -  Processo: 2083
 </t>
  </si>
  <si>
    <t>Contratação de ferramenta para automatização de processos em mídias sociais - Instagram.</t>
  </si>
  <si>
    <t xml:space="preserve">13.347.016/0001-17
</t>
  </si>
  <si>
    <t xml:space="preserve">Direitos autorais para publicação do texto critico“Meu Deus, nada mudou neste país” Conversas possíveis a partir de Abolição (1988), de Zózimo Bulbul, que será exibido na mostra Exagerados Cinema Contra o Baixo Astral. Este texto poderá ser publicado em formato impresso ou em qualquer site relacionado à programação da FCS, APPA e Cine Humberto Mauro. Esta ação será um importante gesto de mediação de conteúdo, esclarecendo o público sobre aspectos estéticos e históricos acerca da filmografia a ser exibida na referida mostra.
</t>
  </si>
  <si>
    <t>Contratação de ferramenta para impulsionamento em mídias sociais - Instagram.</t>
  </si>
  <si>
    <t>Reembolso realizado pelo Termo de Parceria 50/2020 - IEPHA referente ao percentual (26,41% do valor total), telefone móvel para os funcionários a serviço do IEPHA, referente ao mês 09/2021.</t>
  </si>
  <si>
    <t>Gabriel Couto Pereira 08089583644</t>
  </si>
  <si>
    <t>Pagamento referente a vale transporte para uso dos funcionários a serviço do CG</t>
  </si>
  <si>
    <t>Consumo de telefone móvel para os funcionários a serviço do Contrato de Gestão  e Termo de Parceria IEPHA referente ao mês 09/2021.</t>
  </si>
  <si>
    <t xml:space="preserve">Contratação de Nairza guigs, profissional externo para as bancas examinadoras dos editais de 2021/2 de Artes Visuais. Atribuições:- Compor em conjunto com a Gerência de Ensino e os coordenadores das escolas, os cronogramas das entrevistas/provas práticas (2a. etapas), com base nos candidatos aprovados nas 1as. etapas de seleção.- Conduzir as entrevistas síncronas com cada candidato aprovado para a 2a. etapa. Elas serão realizadas virtualmente, pelo zoom, com 15 a 20 minutos reservados para cada candidato. O turno de realização das entrevistas será noturno no caso da Escola de Artes Visuais e, para as demais escolas, ainda a definir pelo coordenador.- Na escola de dança, ao invés das Entrevistas, haverá a participação do profissional contratado na avaliação da prova prática, que reunirá vários candidatos aprovados para esta 2a. etapa num mesmo dia/horário, via Zoom. </t>
  </si>
  <si>
    <t>Nairza Santana De Almeida Silva 78696755553</t>
  </si>
  <si>
    <t>Barbara Christie Nery Mendes 10356631630</t>
  </si>
  <si>
    <t>Micheline De Paula Monteiro 11434413624</t>
  </si>
  <si>
    <t>Rodrigo Almeida Santos 35970612812</t>
  </si>
  <si>
    <t>Rafael Mourão Nitzsche 07346241665</t>
  </si>
  <si>
    <t>Maria Cutia Produções Culturais Ltda</t>
  </si>
  <si>
    <t>Guia de ISSQN referente a nota fiscal 2021/28 - Maria Cutia Produções Culturais Ltda</t>
  </si>
  <si>
    <t>Elisete Gomes Joaquim De Oliveira- ME</t>
  </si>
  <si>
    <t>2021/122</t>
  </si>
  <si>
    <t>Guia de ISSQN referente a nota fiscal 2021/122 -  Elisete Gomes Joaquim De Oliveira- ME</t>
  </si>
  <si>
    <t>2021/535</t>
  </si>
  <si>
    <t>Guia de ISSQN referente a nota fiscal 2021/535 - Flag Impressao Digital Ltda</t>
  </si>
  <si>
    <t>Tarifa Bancária referente a transferência eletrônica pagamento fornecedor :Nairza Santana De Almeida Silva 78696755553  -  Processo: 1989</t>
  </si>
  <si>
    <t>Tarifa Bancária referente a transferência eletrônica pagamento fornecedor :Barbara Christie Nery Mendes 10356631630  -  Processo: 2234</t>
  </si>
  <si>
    <t>Tarifa Bancária referente a transferência eletrônica pagamento fornecedor : Micheline De Paula Monteiro 11434413624  -  Processo: 2233</t>
  </si>
  <si>
    <t>Tarifa Bancária referente a transferência eletrônica pagamento fornecedor : Rodrigo Almeida Santos 35970612812  -  Processo: 2236</t>
  </si>
  <si>
    <t>Tarifa Bancária referente a transferência eletrônica pagamento fornecedor : Rafael Mourão Nitzsche 07346241665 -  Processo: 2232</t>
  </si>
  <si>
    <t>Tarifa Bancária referente a transferência eletrônica pagamento fornecedor : Maria Cutia Produções Culturais Ltda  -  Processo: 2230</t>
  </si>
  <si>
    <t>Tarifa Bancária referente a transferência eletrônica pagamento fornecedor : Kleber De Jesus Bispo 10663043603 -  Processo: 2226</t>
  </si>
  <si>
    <t>Tarifa Bancária referente a transferência eletrônica pagamento fornecedor : Elisete Gomes Joaquim De Oliveira- ME  -  Processo: 2074</t>
  </si>
  <si>
    <t>Tarifa Bancária referente a transferência eletrônica pagamento fornecedor : Flag Impressao Digital Ltda -  Processo: 2286</t>
  </si>
  <si>
    <t>Guia de ISSQN referente ao RPA 1351 - Angela Peres De Oliveira</t>
  </si>
  <si>
    <t>DARF/IR  referente ao RPA 1351 - Angela Peres De Oliveira</t>
  </si>
  <si>
    <t xml:space="preserve">05.583.664/0001-44
</t>
  </si>
  <si>
    <t>Guia de ISSQN referente ao RPA 1353 - Cintya Juliana Souza Santos Dias</t>
  </si>
  <si>
    <t>DARF/IR referente ao RPA 1353 - Cintya Juliana Souza Santos Dias</t>
  </si>
  <si>
    <t xml:space="preserve">Impressão de Livreto- Catálogo do 22º FestCurtas BH que aconteceu em 2020, serão aproximadamente 500 unidades para distribuição institucional, parceiros e afins. </t>
  </si>
  <si>
    <t>2021/1464</t>
  </si>
  <si>
    <t>Guia de ISSQN referente a nota 2021/1464 - Artes Gráficas Formato Ltda</t>
  </si>
  <si>
    <t>Serviço de desenvolvimento, criação de layout, gerenciamento e adaptação constante de Plataforma Virtual que terá o domínio CineHumbertoMauroMais, para realização de mostras e festivais criados e/ou abrigados pela Gerência de Cinema da Fundação Clóvis Salgado e APPA, a partir de diretrizes específicas encaminhadas pelas mesmas; para abrigar e realizar a transmissão via streaming direto, de obras audiovisuais, performances, debates ao vivo, em diversos formatos e duração, pelo período de 01 ano.</t>
  </si>
  <si>
    <t>Guia de ISSQN referente a nota fiscal 2021/18 - Leben 108 Produtora De Filmes Ltda</t>
  </si>
  <si>
    <t>Contratação de serviços de produção de conteúdo para canais digitais, especialista em SEO. A estimativa é que sejam escritas até 15.300 palavras no total do período. (Redator, revisor);</t>
  </si>
  <si>
    <t>Iuri Franca Dos Santos</t>
  </si>
  <si>
    <t>138.384.036-90</t>
  </si>
  <si>
    <t>Guia de ISSQN referente ao RPA 1366 - Iuri Franca Dos Santos</t>
  </si>
  <si>
    <t>Contratação de profissional para apoio na digitação e edição de processos de compras e contratações, de cadastros para base de dados e controles do projeto.</t>
  </si>
  <si>
    <t>Marcela De Oliveira Rodrigues 08714767627</t>
  </si>
  <si>
    <t>42.225.713/0001-01</t>
  </si>
  <si>
    <t>Guia de ISSQN referente a nota fiscal 2021/13 -  Estúdio 739 De Publicidade E Propaganda Ltda</t>
  </si>
  <si>
    <t>Vitória Cristina Lima Armanelli 12804530604</t>
  </si>
  <si>
    <t>Taxas de Fiscalização de Localização e Funcionamento  e Taxa de Fiscalização Sanitária .Favorecido: Prefeitura Muncipal de Belo Horizonte - 05º Parcela</t>
  </si>
  <si>
    <t>02.21.2138563.07</t>
  </si>
  <si>
    <t>Tarifa Bancária referente a transferência eletrônica pagamento fornecedor : Estúdio 739 De Publicidade E Propaganda Ltda -  Processo: 1990</t>
  </si>
  <si>
    <t>Tarifa Bancária referente a transferência eletrônica pagamento fornecedor : Vitória Cristina Lima Armanelli 12804530604 -  Processo: 2227</t>
  </si>
  <si>
    <t>Contratação da masterclass"Sub-versão: viver e resistir em modo menor", uma composição criada e proposta por Dénètem Touam Bona, que será apresentada na programação do FestCurtasBH de 2021. O evento será realizado em formato on-line, ao-vivo, e transmitido via youtube e cineHumbertoMauro/MAIS. A masterclass será realizada em francês e contará com tradução simultânea para o português.</t>
  </si>
  <si>
    <t xml:space="preserve">Contratação da musicista fagotista Raquel Carneiro, representado por seu empresária Elisete Gomes Joaquim de Oliveira - ME, conforme contrato de representação artístico </t>
  </si>
  <si>
    <t>2021/1482</t>
  </si>
  <si>
    <t>2021/109</t>
  </si>
  <si>
    <t>Contratação de Christoffer Produções Artísticas para Direção musical do vídeo coletivo da OSMG e CLMG em novembro.</t>
  </si>
  <si>
    <t>Contratação de Curadoria e Pesquisa de orientação pedagógica aos alunos que irão apresentar seus trabalhos do semestre na Mostra Chama da Escola de Artes Visuais.</t>
  </si>
  <si>
    <t>Processo 2259 - Marcilene Ferreira Da Silva 05133402627</t>
  </si>
  <si>
    <t>31.395.134/0001-82</t>
  </si>
  <si>
    <t>Manassés Morais De Arruda 01188938665</t>
  </si>
  <si>
    <t>Tarifa Bancária referente a transferência eletrônica pagamento fornecedor :Manassés Morais De Arruda 01188938665 -  Processo :1992</t>
  </si>
  <si>
    <t>Direito de exibição do filme A HORA DA ESTRELA, dirigido por Suzana Amaral, 1985, BRA. Filme a ser exibido na programação da Mostra Exagerados que acontecerá entre os dias 09 e 29 de setembro de 2021, no Cine Humberto Mauro.</t>
  </si>
  <si>
    <t>Rendimentos de aplicações financeiras do mês 10/2021.</t>
  </si>
  <si>
    <t>Imposto de Renda referente aos rendimentos de aplicações financeiras do mês 10/2021.</t>
  </si>
  <si>
    <t>Rendimentos de aplicações financeiras do mês 09/2021</t>
  </si>
  <si>
    <t>Rendimento líquido de aplicação financeira do mês 10/2021.</t>
  </si>
  <si>
    <t>Direção artística de fotografia, Produção e Edição por Xande Pires para o vídeo coletivo OSMG e CLMG de novembro.Faz-se necessário a contratação do profissional supracitado na Direção artística de fotografia, produção e edição do vídeo em homenagem ao dia da Consciência Negra com Coral Lírico e Orquestra Sinfônica de Minas Gerais de novembro que tem programação de ser publicado em 28/11/2021.</t>
  </si>
  <si>
    <t>01.879.093/0001-39</t>
  </si>
  <si>
    <t>Contratação da professora Luciana Campos para ministrar o Curso Complementar "Iniciação a Escrita Dramatúrgica", atendendo a demanda da Escola de Teatro do Cefart.</t>
  </si>
  <si>
    <t>32.148.160/0001-19</t>
  </si>
  <si>
    <t>Contratação de van ou microonibus para 17 pessoas partindo da Fundação Clóvis Salgado, dia 04/11 às 06:30 hs da manhã com destino ao Quilombola Mangueiras, às margens da rodovia para Santa Luzia, quilômetro 13,5 da MG-20, no bairro Novo Aarão Reis.Cotar diária com quantidade de horas dessa diária e também hora extra. A Van irá retornar com 6 pessoas no horário entre 12h e 12h30 e retornará com o restante da equipe entre 16h30 e 17h.</t>
  </si>
  <si>
    <t>23.444.923/0001-38</t>
  </si>
  <si>
    <t>Valor referente a Medicina do Trabalho do mês 10/2021 - PCMSO</t>
  </si>
  <si>
    <t>2021/12597</t>
  </si>
  <si>
    <t>2021/8339</t>
  </si>
  <si>
    <t>DARF/PCC referente a nota fiscal 2021/12597 - Ocupacional Medicina do Trabalho</t>
  </si>
  <si>
    <t>ISSQN  referente a nota fiscal 2021/12597 - Ocupacional Medicina do Trabalho</t>
  </si>
  <si>
    <t>DARF/PCC referente a nota fiscal 2021/8339 - Assiste Saúde do Trabalho</t>
  </si>
  <si>
    <t>ISSQN referente a nota fiscal 2021/8339 - Assiste Saúde do Trabalho</t>
  </si>
  <si>
    <t>Rescisão  de Trabalho da Produtora Cultural: Produção Artística</t>
  </si>
  <si>
    <t>Reembolso através da conta de projetos referente ao pagamento indevido  de compra de tinta para pintura da galeria PQNA Galeria Pedro Moraleida, conforme: 02 Latas de 16L - Tinta acrílica fosca preferencialmente da cor "Lado Negro".</t>
  </si>
  <si>
    <t>000.040.550</t>
  </si>
  <si>
    <t>IR retido em folha do mês 10/2021</t>
  </si>
  <si>
    <t>Contratação de Júnia Bertolino para participação de performance artística, como canto e interpretação, no vídeo coletivo da OSMG e CLMG, de acordo com o cronograma da Diretoria. Para a performance será necessário um pesquisa de campo com grupos populares além da pesquisa de repertório afrobrasileiro.</t>
  </si>
  <si>
    <t xml:space="preserve">15.791.121/0001-76
</t>
  </si>
  <si>
    <t>Reembolso realizado pelo Termo de Parceria 50/2020 - Iepha a conta do Contra de Gestão 005/2019 referente ao pagamento de guia de FGTS - Valor proporcional aos funcionários a serviço do TP 50/2020 - 10/2021</t>
  </si>
  <si>
    <t>Reembolso realizado pela Appa - Projeto Pronac  a conta do Contrato de Gestão referente ao pagamento de guia de FGTS  - 10/2021</t>
  </si>
  <si>
    <t xml:space="preserve">Repasse restante referente a 07º parcela </t>
  </si>
  <si>
    <t>Arquipelago Audiovisual</t>
  </si>
  <si>
    <t>Guia de ISSQN referente a nota fiscal 2021/26 - Arquipelago Audiovisual</t>
  </si>
  <si>
    <t xml:space="preserve"> Luiz Dias Simões Neto</t>
  </si>
  <si>
    <t>Guia de ISSQN referente ao RPA 1410 - Luiz Dias Simões Neto</t>
  </si>
  <si>
    <t>INSS e INSS Patronal referente ao RPA 1410 - Luiz Dias Simões Neto</t>
  </si>
  <si>
    <t>Salário do Superintendente de Auditoria, referente ao mês 10/2021</t>
  </si>
  <si>
    <t>Salário do Músico Instrumentista, referente ao mês 10/2021</t>
  </si>
  <si>
    <t>Salário do Bailarina, referente ao mês 10/2021</t>
  </si>
  <si>
    <t>Amanda Pessoa Soares</t>
  </si>
  <si>
    <t>119.017.367-09</t>
  </si>
  <si>
    <t>Anahí Poty Corteletti Jimenez</t>
  </si>
  <si>
    <t>090.158.239-52</t>
  </si>
  <si>
    <t>Salário do Músico Cantora, referente ao mês 10/2021</t>
  </si>
  <si>
    <t>Salário da Analista Financeiro Pleno, referente ao mês 10/2021</t>
  </si>
  <si>
    <t>Analista de RH , referente ao mês 10/2021</t>
  </si>
  <si>
    <t>Salário do Músico, referente ao mês 10/2021</t>
  </si>
  <si>
    <t>Salário do Regente Assistente, referente ao mês 10/2021</t>
  </si>
  <si>
    <t>Salário do Músico cantora, referente ao mês 10/2021</t>
  </si>
  <si>
    <t>Salário do Montador Diart, referente ao mês 10/2021</t>
  </si>
  <si>
    <t>Salário do Bailarino, referente ao mês 10/2021</t>
  </si>
  <si>
    <t>Cristhyan Barbosa Pimentel</t>
  </si>
  <si>
    <t>122.395.787-00</t>
  </si>
  <si>
    <t>Salário da Músico Cantor, referente ao mês 10/2021</t>
  </si>
  <si>
    <t>Salário do Coordenador de Comunicação, referente ao mês 10/2021</t>
  </si>
  <si>
    <t>Salário da Assessora Pedagógica, referente ao mês 10/2021</t>
  </si>
  <si>
    <t>Salário do Diretor Financeiro, referente ao mês 10/2021</t>
  </si>
  <si>
    <t>Isadora Franca Franco Brandão</t>
  </si>
  <si>
    <t>138.356.276-86</t>
  </si>
  <si>
    <t>Salário da Produtora Cultural: Produção Artística, referente ao mês 10/2021</t>
  </si>
  <si>
    <t>Salário do Músico Instrumentista, referente ao mês 102021</t>
  </si>
  <si>
    <t>Salário do Produtora Cultural da Dipro, referente ao mês 10/2021</t>
  </si>
  <si>
    <t>Luiza Freitas Therezo</t>
  </si>
  <si>
    <t>117.576.736-01</t>
  </si>
  <si>
    <t>Maxmiler Junio Santos de Deus</t>
  </si>
  <si>
    <t>114.620.816-22</t>
  </si>
  <si>
    <t>Pablo Garcia do Carmo</t>
  </si>
  <si>
    <t>121.017.896-63</t>
  </si>
  <si>
    <t>Paulo Wesley Barbosa Ferreira</t>
  </si>
  <si>
    <t>610.279.193-24</t>
  </si>
  <si>
    <t>Renato Augusto Silva</t>
  </si>
  <si>
    <t>142.229.636-90</t>
  </si>
  <si>
    <t>Salário da Auxiliar de serviços Gerais, referente ao mês 10/2021</t>
  </si>
  <si>
    <t>Salário do Arquivista, referente ao mês 10/2021</t>
  </si>
  <si>
    <t>Salário do Músico Cantor, referente ao mês 10/2021</t>
  </si>
  <si>
    <t>Salário do Montador Dipro, referente ao mês 10/2021</t>
  </si>
  <si>
    <t>Salário do Bailarina, referente ao mês 102021</t>
  </si>
  <si>
    <t>Maíra Campos de Freitas Lucas</t>
  </si>
  <si>
    <t>FGTS referente a folha de pagamento do mês 10/2021</t>
  </si>
  <si>
    <t>Guia de ISSQN referente a nota fiscal 193 -  Christoffer Produções Artísticas Ltda</t>
  </si>
  <si>
    <t>Gerentes de Projetos , referente ao mês 10/2021</t>
  </si>
  <si>
    <t>Salário do Pianista, referente ao mês 10/2021</t>
  </si>
  <si>
    <t>Salário Gerente de Projetos Dipro, referente ao mês 10/2021</t>
  </si>
  <si>
    <t>Salário Bailarina, referente ao mês 10/2021</t>
  </si>
  <si>
    <t>Eliatrice Gischewski Souza</t>
  </si>
  <si>
    <t>086.132.186-36</t>
  </si>
  <si>
    <t>Salário do Presidente referente ao mês 10/2021</t>
  </si>
  <si>
    <t>Salário do Coordenador Administrativo referente ao mês 10/2021</t>
  </si>
  <si>
    <t>Salário do Gerente de Projetos: Programação Artística referente ao mês 10/2021</t>
  </si>
  <si>
    <t>Ministéiro da Previência Social</t>
  </si>
  <si>
    <t>INSS retido em folha do mês 10/2021</t>
  </si>
  <si>
    <t>Tarifa Bancária referente a transferência eletrônica salário Superintendente de Auditoria</t>
  </si>
  <si>
    <t>Tarifa Bancária referente a transferência eletrônica salário Bailarina</t>
  </si>
  <si>
    <t>Tarifa Bancária referente a transferência eletrônica salário Bailarino</t>
  </si>
  <si>
    <t>Capatção Projeto: Cinquentenário Operístico da Fundação Clóvis Salgado - PRONAC 203579 -  BELGO BEKAERT ARAMES LTDA</t>
  </si>
  <si>
    <t>Capatção Projeto: C Programa de Artes Visuais da Fundação Clóvis Salgado Pronac: 17.7912  -  ArcelorMittal Brasil S.A.</t>
  </si>
  <si>
    <t>Reembolso a conta do Contrato de Gestão - 05/2019  ref aquisição de sistema de ponto para utilização pelos colaboradores da Appa - ano 2021. Referente ao mês 10/2021</t>
  </si>
  <si>
    <t>Reembolso a conta do Contrato de Gestão - 05/2019  ref aquisição de sistema de ponto para utilização pelos colaboradores do Projeto Anglo - ano 2021. Referente ao mês 10/2021</t>
  </si>
  <si>
    <t>Reembolso a conta do Contrato de Gestão - 05/2019 Aquisição de sistema de ponto para utilização pelos colaboradores do TP 50/2020 IEPHA - ano 2021. Referente ao mês 10/2021</t>
  </si>
  <si>
    <t>Reembolso a conta do Contrato de Gestão - 05/2019 - Despesas com cartório - 26,41% do valor total</t>
  </si>
  <si>
    <t>Tiffany Maria Almeida De Castro</t>
  </si>
  <si>
    <t>ISSQN referente ao RPA 1409 - Tiffany Maria Almeida De Castro</t>
  </si>
  <si>
    <t>DARF/IR referente ao RPA 1409 - Tiffany Maria Almeida De Castro</t>
  </si>
  <si>
    <t>INSS e INSS Patronal referente ao RPA 1409 - Tiffany Maria Almeida De Castro</t>
  </si>
  <si>
    <t>ISSQN referente ao RPA 1412 - Marise Dinis Sousa</t>
  </si>
  <si>
    <t>DARF/IR referente ao RPA 1412 - Marise Dinis Sousa</t>
  </si>
  <si>
    <t>INSS e INSS Patronal referente ao RPA 1412 - Marise Dinis Sousa</t>
  </si>
  <si>
    <t>Translevar Mudanças Ltda - ME</t>
  </si>
  <si>
    <t>ISSQN referente ao RPA 1413 - Luciana Campos Horta</t>
  </si>
  <si>
    <t>DARF/IR referente ao RPA 1413 - Luciana Campos Horta</t>
  </si>
  <si>
    <t>INSS e INSS Patronal referente ao RPA 1413 - Luciana Campos Horta</t>
  </si>
  <si>
    <t>Sirlan Monteira Caldeira</t>
  </si>
  <si>
    <t>ISSQN referente ao RPA 1414 - Sirlan Monteira Caldeira</t>
  </si>
  <si>
    <t>DARF/IR  referente ao RPA 1414 - Sirlan Monteira Caldeira</t>
  </si>
  <si>
    <t>INSS e INSS Patronal  referente ao RPA 1414 - Sirlan Monteira Caldeira</t>
  </si>
  <si>
    <t>Locação de projetor acima de 15.000 Ansi Lumens para projeção de filme a ser exibido durante concerto. 01 Projetor 15000. Kit de Cabos de Ac. Kit de Cabos de Sinal. Técnico. Projeções de imagens e filmes durante a apresentação do Concerto Stabat Mater, dia 28/08 no Grande Teatro Palácio das Artes. Aditivo</t>
  </si>
  <si>
    <t>ISSQN referente a nota fiscal 2021/31 - D F Produções e Prestações de Serviços</t>
  </si>
  <si>
    <t>Bernardo Brandão De Oliveira 05319440693</t>
  </si>
  <si>
    <t>Érica Hoffmann Soares - ME</t>
  </si>
  <si>
    <t>ISSQN referente a nota fiscal 2021/23 - Érica Hoffmann Soares - ME</t>
  </si>
  <si>
    <t>ISSQN referente a nota fiscal 2021/22 - Érica Hoffmann Soares - ME</t>
  </si>
  <si>
    <t>Vinicius Pereira Alves 34942118840</t>
  </si>
  <si>
    <t>Uaua Estudio Ltda</t>
  </si>
  <si>
    <t>ISSQN referente a nota fiscal 2021/27 - Uaua Estudio Ltda</t>
  </si>
  <si>
    <t>2021/123</t>
  </si>
  <si>
    <t>ISSQN referente a nota fiscal 2021/23 - Elisete Gomes Joaquim De Oliveira-me</t>
  </si>
  <si>
    <t xml:space="preserve">Despesas cartoriais </t>
  </si>
  <si>
    <t>Cartório do Primeiro Ofício de Notas de BH</t>
  </si>
  <si>
    <t>21.856.661/0001-93</t>
  </si>
  <si>
    <t>Guia de ISSQN referente ao RPA 1391 -  Lourdes Isabel Miranda</t>
  </si>
  <si>
    <t>Guia de ISSQN referente a nota fiscal 2021/44 - Arco Cultural Ltda</t>
  </si>
  <si>
    <t>Registro de domínio do Site - ctpfcs.com.brreferente ao sistema de Gestão do CTP.</t>
  </si>
  <si>
    <t xml:space="preserve">Nucleo De Informação E Coordenação Do Ponto Br - Nic .br
</t>
  </si>
  <si>
    <t>05.506.560/0001-36</t>
  </si>
  <si>
    <t>Contratação de um curador que irá trabalhar pedagogicamente na construção da programação das Ações Afirmativas, sendo especializado nas questões de acessibilidade.</t>
  </si>
  <si>
    <t xml:space="preserve">28.130.729/0001-00
</t>
  </si>
  <si>
    <t>Contratação de Fernanda Amaral para ministrar a Oficina de"Introdução à metodologia de criação da Cia Dança sem Fronteiras e ao método de DanceAbility", como parte da programação do Projeto Ações Afirmativas - Acessibilidade.</t>
  </si>
  <si>
    <t>073.699.818-78</t>
  </si>
  <si>
    <t>Guia de ISSQN referente a nota fiscal 2021/1648 -Patrulha Eletrônica Ltda</t>
  </si>
  <si>
    <t>Guia de ISSQN referente a nota fiscal 2021/56683 - Consórcio Operacional Transporte Coletivo</t>
  </si>
  <si>
    <t>Guia de ISSQN referente a nota fiscal 2021/227217 - Consórcio Ótimo de Bilhetagem</t>
  </si>
  <si>
    <t>Guia de ISSQN referente a nota fiscal 2021/549334 - Unimed Coperativa Médica</t>
  </si>
  <si>
    <t>Guia de ISSQN referente a nota fiscal 2021/552743 - Unimed Coperativa Médica</t>
  </si>
  <si>
    <t>Tarifa Bancária referente a transferência eletrônica pagamento fornecedor : Tiffany Maria Almeida De Castro -  Processo: 2124</t>
  </si>
  <si>
    <t>Tarifa Bancária referente a transferência eletrônica pagamento fornecedor : Marise Dinis Sousa -  Processo: 2204</t>
  </si>
  <si>
    <t>Tarifa Bancária referente a transferência eletrônica pagamento fornecedor : Translevar Mudanças Ltda - ME -  Processo: 2257</t>
  </si>
  <si>
    <t>Tarifa Bancária referente a transferência eletrônica pagamento fornecedor : Hanna Mussi Dias 14995811737 -  Processo: 2175</t>
  </si>
  <si>
    <t>Tarifa Bancária referente a transferência eletrônica pagamento fornecedor : Gilberto De Lima Goulart 08401043670  -  Processo: 1876</t>
  </si>
  <si>
    <t>Tarifa Bancária referente a transferência eletrônica pagamento fornecedor : Luciana Campos Horta -  Processo: 2166</t>
  </si>
  <si>
    <t>Tarifa Bancária referente a transferência eletrônica pagamento fornecedor : Sirlan Monteira Caldeira -  Processo: 2125</t>
  </si>
  <si>
    <t>Tarifa Bancária referente a transferência eletrônica pagamento fornecedor : DF Produções E Prestação De Serviços - Eireli
 -  Processo: 1913</t>
  </si>
  <si>
    <t>Tarifa Bancária referente a transferência eletrônica pagamento fornecedor : Thales Alisson Brener Diego Rodrigues De Oliveira 09514986652 -  Processo: 2100</t>
  </si>
  <si>
    <t>Tarifa Bancária referente a transferência eletrônica pagamento fornecedor : Bernardo Brandão De Oliveira 05319440693 -  Processo: 2178</t>
  </si>
  <si>
    <t>Tarifa Bancária referente a transferência eletrônica pagamento fornecedor : Érica Hoffmann Soares - ME -  Processo: 2104</t>
  </si>
  <si>
    <t>Tarifa Bancária referente a transferência eletrônica pagamento fornecedor : Vinicius Pereira Alves 34942118840 -  Processo: 2284</t>
  </si>
  <si>
    <t>Tarifa Bancária referente a transferência eletrônica pagamento fornecedor : Uaua Estudio Ltda  -  Processo: 2131</t>
  </si>
  <si>
    <t>Tarifa Bancária referente a transferência eletrônica pagamento fornecedor :Elisete Gomes Joaquim De Oliveira-me  -  Processo: 2177</t>
  </si>
  <si>
    <t>Tarifa Bancária referente a transferência eletrônica pagamento fornecedor : Cartório do Primeiro Ofício de Notas de BH</t>
  </si>
  <si>
    <t>Tarifa Bancária referente a transferência eletrônica salário do mês 10/2021 - Bailarino</t>
  </si>
  <si>
    <t>Tarifa Bancária referente a transferência eletrônica pagamento fornecedor : Gabriel Augusto Reis De Araújo 13236166673 -  Processo: 2303</t>
  </si>
  <si>
    <t>Contratação deDesirée Nobre como palestrante do 2º debate com o tema " Acessibilidade e Cidadania Cultural", parte da programação do Ações Afirmativas - Acessibilidade 2021.</t>
  </si>
  <si>
    <t>020.510.960-82</t>
  </si>
  <si>
    <t>Contratação deViviane Sarraf como palestrante no 2º debate com o tema " Acessibilidade e Cidade Cultural", como parte da programação do Ações Afirmativas - Acessibilidade 2021.</t>
  </si>
  <si>
    <t xml:space="preserve">08.229.204/0001-00
</t>
  </si>
  <si>
    <t>Cachê Artistico para Show Musical de EncerramentoO artista indicado, o togoles Elom 20ce irá realizar a performance musical com duração média de 45 minutos, que será exibida no evento de encerramento do FestCurtasBH, em 14 de novembro.O material gravado pelo artista, deverá ser enviado para que a produção do evento providencie a finalização para sua plena exibição em nossos canais de exibição.</t>
  </si>
  <si>
    <t>Reembolso realizado pelo Termo de Parceria 50/2020 - IEPHA referente ao percentual (26,41% do valor total ) do aluguel da sede da Appa referente ao mês 10/2021</t>
  </si>
  <si>
    <t>Reembolso realizado pelo Termo de Parceria 50/2020 - IEPHA referente ao percentual (26,41% do valor total ) guia de IPTU - 10º parcela</t>
  </si>
  <si>
    <t xml:space="preserve">Guilherme Dias Da Silva Barreto
</t>
  </si>
  <si>
    <t xml:space="preserve">ISSQN referente ao RPA 1422 - Guilherme Dias Da Silva Barreto
</t>
  </si>
  <si>
    <t xml:space="preserve">DARF/IR referente ao RPA 1422 - Guilherme Dias Da Silva Barreto
</t>
  </si>
  <si>
    <t xml:space="preserve">INSS e INSS Patronal referente ao RPA 1422 - Guilherme Dias Da Silva Barreto
</t>
  </si>
  <si>
    <t xml:space="preserve">ISSQN referente ao RPA 1420 - Thales Alisson Brener Diego Rodrigues De Oliveira </t>
  </si>
  <si>
    <t xml:space="preserve">INSS e INSS Patronal  referente ao RPA 1420 - Thales Alisson Brener Diego Rodrigues De Oliveira </t>
  </si>
  <si>
    <t>Aluguel da sede da Appa referente ao período de 10/09 a 09/10/2021</t>
  </si>
  <si>
    <t>ISSQN referente ao RPA 1425 - Bernardo Rocha De Souza</t>
  </si>
  <si>
    <t>INSS e INSS Patronal referente ao RPA 1425 - Bernardo Rocha De Souza</t>
  </si>
  <si>
    <t>Guia de ISSQN referente  nota fiscal 2021/34 - Fala Comercio De Cenario Ltda</t>
  </si>
  <si>
    <t>Tarifa Bancária referente a transferência eletrônica pagamento fornecedor : Gabriel Rhein Schirato - Me -  Processo: 1955</t>
  </si>
  <si>
    <t>Tarifa Bancária referente a transferência eletrônica pagamento fornecedor : Regelles Tadeu Queiroz Da Silva10092467636
 - Processo 2107</t>
  </si>
  <si>
    <t xml:space="preserve">Tarifa Bancária referente a transferência eletrônica pagamento fornecedor : Fala Comercio De Cenario Ltda - Processo 2156
</t>
  </si>
  <si>
    <t>Reembolso realizado pelo Termo de Parceria 50/2020 - IEPHA referente ao percentual (26,41% do valor total), Segurança Eletrônica da Sede da APPA - mês 10/2021</t>
  </si>
  <si>
    <t>Lucas Fernando Morais Ferreira</t>
  </si>
  <si>
    <t>ISSQN referente ao RPA 1428 - Lucas Fernando Morais Ferreira</t>
  </si>
  <si>
    <t>INSS e INSS Patronal referente ao RPA 1428 - Lucas Fernando Morais Ferreira</t>
  </si>
  <si>
    <t>Camila Araújo De Oliveira Pinho</t>
  </si>
  <si>
    <t>ISSQN referente ao RPA 1423 - Camila Araújo De Oliveira Pinho</t>
  </si>
  <si>
    <t>DARF/IR referente ao RPA 1423 - Camila Araújo De Oliveira Pinho</t>
  </si>
  <si>
    <t>INSS e INSS Patronal  referente ao RPA 1423 - Camila Araújo De Oliveira Pinho</t>
  </si>
  <si>
    <t>Tarifa Bancária referente a transferência eletrônica pagamento fornecedor : Camila Araújo De Oliveira Pinho -  Processo: 2248</t>
  </si>
  <si>
    <t>2021/1648</t>
  </si>
  <si>
    <t>Contratação de Fatine Oliveira para mediação do debate "Educar para a Diversidade", parte da programação do Ações Afirmativas - Acessibilidade 2021.</t>
  </si>
  <si>
    <t>077.186.796-40</t>
  </si>
  <si>
    <t>Compra de duas unidades de cabos para caixa de som: cabo: 1 cabo P2 P2, tamanho 5 metros e 1 cabo 2RCA x 2RCA 10 metros. Necessário a compra do material especificado para as caixas de som para atender as aulas e ensaios da Cia de Dança na retomada das atividades presenciais.</t>
  </si>
  <si>
    <t>07.868.103/0001-17</t>
  </si>
  <si>
    <t>Exibição do espetáculo Ciranda de Retina e Cristalino, Fernanda Amaral / Dança sem Fronteiras - documentário já gravado e de suma importância que fará a finalização dessa edição do Ações Afirmativas - acessibilidade.</t>
  </si>
  <si>
    <t>Idylla Silva Silmarov Ferreira</t>
  </si>
  <si>
    <t>ISSQN referente ao RPA 1421 - Idylla Silva Silmarov Ferreira</t>
  </si>
  <si>
    <t>DARF/IR referente ao RPA 1421 - Idylla Silva Silmarov Ferreira</t>
  </si>
  <si>
    <t>INSS e INSS Patronal referente ao RPA 1421 - Idylla Silva Silmarov Ferreira</t>
  </si>
  <si>
    <t>Tarifa Bancária referente a transferência eletrônica pagamento fornecedor :BH Notebooks Ltda -  Processo: 1139</t>
  </si>
  <si>
    <t>Contratação de Marina Viana para ministrar Aula Aberta "Semana da Arte Moderna: Antropafagia e Tropicalismo, para atender a demanda a Escola de Tecnologia da Cena do Cefart.</t>
  </si>
  <si>
    <t>16.916.962/0001-25</t>
  </si>
  <si>
    <t>Contratação de serviço de audiodescrição -Adaptação do material produzido para faixa narrativa adicional para pessoas com deficiência visual, intelectual, dislexia e idosos, consumidores de meios de comunicação visual.</t>
  </si>
  <si>
    <t>Processo 2291 - Michelle Domingas Correia De Oliveira</t>
  </si>
  <si>
    <t>Utilização do espaço quilombola para demostrar a cultura do Quilombo Mangabeiras para o vídeo, às margens da rodovia para Santa Luzia, quilômetro 13,5 da MG-20, no bairro Novo Aarão Reis para gravação do vídeo coletivo CMLG e OSMG de novembro.</t>
  </si>
  <si>
    <t>Contratação deMany Pereira para mediação do 2º debate com tema " Acessibilidade e Cidadania Cultural" parte da programação do Ações Afirmativas - Acessibilidade 2021.</t>
  </si>
  <si>
    <t xml:space="preserve">18.452.969/0001-69
</t>
  </si>
  <si>
    <t>Contratação de Leonardo Gontijo para palestra de abertura da programação do Ações Afirmativas - Acessibilidade 2021 - "Palestra-show - Afinal, onde está a deficiência?"</t>
  </si>
  <si>
    <t>Processo 2357 - Instituto Mano Down - Demais</t>
  </si>
  <si>
    <t>23.684.121/0001-03</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</si>
  <si>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t>
  </si>
  <si>
    <t>Processo 2397 - Damasco Comunicação Eirelli</t>
  </si>
  <si>
    <t>Profissional convidado para participar como compositor de uma ópera de câmara com duração aproximada de 8 (oito) minutos e conforme o cronograma apresentado pela curadoria da Temporada de Ópera online. A ação faz parte do módulo de Criação dos libretos e composição das óperas do Ateliê de Criação da Temporada de Ópera online 2021. Segundo o cronograma, além da composição da ópera, fará participação no módulo 4 do Ateliê de Criação</t>
  </si>
  <si>
    <t>Contratação de um orientador especialista em acessibilidade para o evento e com ênfase no apoio à comunicação: responsável pela audiodescrição das peças gráficas para redes sociais,legendagem de documentário-espetáculo.</t>
  </si>
  <si>
    <t xml:space="preserve">30.201.025/0001-14
</t>
  </si>
  <si>
    <t>Contratação de técnico de palco para auxiliar nas atividades de iluminação da montagem das cenas e ensaios do Concerto da OSMG presencial.</t>
  </si>
  <si>
    <t>Processo 2394 - Elias Do Carmo - Me</t>
  </si>
  <si>
    <t>15.800.532/0001-80</t>
  </si>
  <si>
    <t>42.278.218/0001-52</t>
  </si>
  <si>
    <t>Contratação de técnico de palco para auxiliar na montagem das cenas e ensaios do Concerto da OSMG presencial.</t>
  </si>
  <si>
    <t>713.281.731-00</t>
  </si>
  <si>
    <t xml:space="preserve">Reembolso realizado pelo Termo de Parceria 50/2020 - Iepha referente ao uso de telefone fixo da sede da Appa - consumo do mês 10/2021 - Percentual de  26,41% do valor total </t>
  </si>
  <si>
    <t>Contratação de GabrielRhein-Schirato para coordenação artístico-pedagógica e supervisão artística dos três eixos da academia de óperas de 2021. 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Parcela 01 e 02</t>
  </si>
  <si>
    <t>Gabriel Rhein Schirato - Me</t>
  </si>
  <si>
    <t>Guia de ISSQN referente a nota fiscal 30 - Gabriel Rhein Schirato - Me</t>
  </si>
  <si>
    <t>Cirilo Cabos Imp Exp Eireli</t>
  </si>
  <si>
    <t>000.255.511</t>
  </si>
  <si>
    <t>12095790-MG</t>
  </si>
  <si>
    <t>Reembolso realizado pelo Termo de Parceria 50/2020 - IEPHA referente ao percentual (26,41% do valor total ) consumo de água da sede da Appa- mês 10/2021</t>
  </si>
  <si>
    <t>Reembolso realizado pelo Termo de Parceria 50/2020 - IEPHA referente ao percentual (26,41% do valor total ) aluguel de impressoras da sede da Appa - Mês 10/2021.</t>
  </si>
  <si>
    <t>Reembolso realizado pelo Termo de Parceria 50/2020 - IEPHA referente ao percentual (26,41% do valor total ) compra de material de limpeza para uso na sede da Appa</t>
  </si>
  <si>
    <t>Reembolso realizado pelo Termo de Parceria 50/2020 - IEPHA referente ao percentual (26,41% do valor total), Manutenção de redes e computadores da sede da Appa - mês 10/2021</t>
  </si>
  <si>
    <t>2021/549334</t>
  </si>
  <si>
    <t>DARF/PCC referente a nota fiscal 2021/549334 - Unimed Belo Horizonte Cooperativa de Trabalho Médico</t>
  </si>
  <si>
    <t>2021/552743</t>
  </si>
  <si>
    <t>B&amp;C Produtos De Limpeza E Embalagens Ltda</t>
  </si>
  <si>
    <t>U04807</t>
  </si>
  <si>
    <t>Consumo de água e esgosto referente ao mês 10/2021</t>
  </si>
  <si>
    <t>001.21.6512290-6</t>
  </si>
  <si>
    <t>Contratação de Andréa Werner, como uma das palestrantes do primeiro debate das Ações Afirmativas - Acessibilidade com o tema "Educar para Diversidade".</t>
  </si>
  <si>
    <t>029.256.846-02</t>
  </si>
  <si>
    <t>Reembolso realizado pelo Termo de Parceria 50/2020 - IEPHA referente ao percentual (26,41% do valor total) consumo de energia elétrica da sede da Appa- mês 10/2021</t>
  </si>
  <si>
    <t>Reembolso realizado pelo Termo de Parceria 50/2020 - IEPHA referente ao percentual (26,41% do valor total), referente ao telefone móvel da sede da Appa- mês 102021.</t>
  </si>
  <si>
    <t>ISSQN referente ao RPA 1440 - Victor Hugo Marques</t>
  </si>
  <si>
    <t>DARF/IR referente ao RPA 1440 - Victor Hugo Marques</t>
  </si>
  <si>
    <t>ISSQN referente ao RPA 1439 - Victor Hugo Marques</t>
  </si>
  <si>
    <t>ISSQN referente ao RPA 1443 -  Themis Cristina Lobato De Lima</t>
  </si>
  <si>
    <t>DARF/IR referente ao RPA 1443 -  Themis Cristina Lobato De Lima</t>
  </si>
  <si>
    <t>INSS e INSS Patronal referente ao RPA 1443 -  Themis Cristina Lobato De Lima</t>
  </si>
  <si>
    <t>Frederico Carlos Natalino</t>
  </si>
  <si>
    <t>Rescsião contratual do Coordenador de Comunicação</t>
  </si>
  <si>
    <t>IR retido rescisão Daniel Moreira</t>
  </si>
  <si>
    <t>IR retido 13º salário rescisão Daniel Moreira</t>
  </si>
  <si>
    <t xml:space="preserve">FGTS rescisório de Daniel Moreira </t>
  </si>
  <si>
    <t>ISSQN referente ao RPA 1436 - Luciana Campos Horta</t>
  </si>
  <si>
    <t>DARF referente ao RPA 1436 - Luciana Campos Horta</t>
  </si>
  <si>
    <t>INSS e INSS Patronal referente ao RPA 1436 - Luciana Campos Horta</t>
  </si>
  <si>
    <t>ISSQN referente ao RPA 1437 - Nathália Araújo Marques</t>
  </si>
  <si>
    <t>INSS e INSS Patronal referente ao RPA 1437 - Nathália Araújo Marques</t>
  </si>
  <si>
    <t>DARF/IR  ISSQN referente ao RPA 1438 - Laís Flor Oliveira</t>
  </si>
  <si>
    <t>ISSQN referente ao RPA 1438 - Laís Flor Oliveira</t>
  </si>
  <si>
    <t>INSS e INSS Patronal  ISSQN referente ao RPA 1438 - Laís Flor Oliveira</t>
  </si>
  <si>
    <t>ISSQN referente ao RPA 1441 - Lívia Beatriz Ferreira Lopes</t>
  </si>
  <si>
    <t>DARF/IR referente ao RPA 1441 - Lívia Beatriz Ferreira Lopes</t>
  </si>
  <si>
    <t>INSS e INSS Patronal referente ao RPA 1441 - Lívia Beatriz Ferreira Lopes</t>
  </si>
  <si>
    <t>Guia de ISSQN referente ao RPA 1442 - Adriano Maciel Canabrava</t>
  </si>
  <si>
    <t>DARF/IR referente ao RPA 1442 - Adriano Maciel Canabrava</t>
  </si>
  <si>
    <t>INSS e INSS Patronal referente ao RPA 1442 - Adriano Maciel Canabrava</t>
  </si>
  <si>
    <t>Marcilene Ferreira Da Silva 05133402627</t>
  </si>
  <si>
    <t>ISSQN referente a nota fiscal 2021/25 - Carolina Nascimento Valadares Santana 07016003655</t>
  </si>
  <si>
    <t>ISSQN referente a nota fiscal 2021/24 - Carolina Nascimento Valadares Santana 07016003655</t>
  </si>
  <si>
    <t>Desenvolvimento de website a partir de roteiro pré-elaborado, para exposição comemorativa de 50 anos do Palácio das Artes "50 Anos em 5 Atos", que acontecerá de 12 de agosto a 14 de novembro de 2021. A exposição comemorativa aos 50 anos do Palácio das Artes será realizada nos meses de agosto a novembro de 2021 na Grande Galeria Alberto da Veiga Guignard / FCS terá um escopo interativo abordando a história da instituição nos seus anos. 3º parcela</t>
  </si>
  <si>
    <t>ISSQN referente a nota fiscal 2021/23 - Carolina Nascimento Valadares Santana 07016003655</t>
  </si>
  <si>
    <t>Coordenação e supervisão de programa educativo durante 3 meses para a exposição comemorativa de 50 anos do Palácio das Artes “50 anos em 5 atos”, que acontecerá na Grande Galeria Alberto da Veiga Guignard / FCS, de 12 de agosto a 14 de novembro de 2021. O serviço inclui treinamento e supervisão da equipe de monitores (6 pessoas), montagem e acompanhamento de escala de trabalho e visitas mediadas, divulgação de todas as ações educativas da exposição para escolas e instituições de ensino via mailing e redes sociais, prospecção de público, agendamento e coordenação de visitas mediadas, durante todo o período da exposição. 3º Parcela</t>
  </si>
  <si>
    <t>Tarifa Bancária referente a transferência eletrônica pagamento fornecedor : Marcilene Ferreira Da Silva 05133402627 -  Processo 2259</t>
  </si>
  <si>
    <t>Tarifa Bancária referente a transferência eletrônica pagamento fornecedor : Carolina Nascimento Valadares Santana 07016003655 -  Processo : 1850</t>
  </si>
  <si>
    <t>Tarifa Bancária referente a transferência eletrônica pagamento fornecedor : Carolina Nascimento Valadares Santana 07016003655 -  Processo : 1851</t>
  </si>
  <si>
    <t>Tarifa Bancária referente a transferência eletrônica pagamento fornecedor : Carolina Nascimento Valadares Santana 07016003655 -  Processo : 1852</t>
  </si>
  <si>
    <t>Tarifa Bancária referente a transferência eletrônica pagamento fornecedor : Frederico Carlos Natalino  -  Processo: 2188</t>
  </si>
  <si>
    <t>Tarifa Bancária referente a transferência eletrônica rescisão  Daniel Moreira</t>
  </si>
  <si>
    <t>Contratação deMariana Rosa para participar do 1º debate com tema "Educar para Diversidade", como parte da programação do Ações Afirmativas - Acessibilidade 2021.</t>
  </si>
  <si>
    <t>34.352.749/0001-10</t>
  </si>
  <si>
    <t>2021/227217</t>
  </si>
  <si>
    <t>2021/256683</t>
  </si>
  <si>
    <t>Contratação de músico instrumentista Trompetista para ensaiar e tocar no concerto dos dias 24 e 25 de novembro de 2021.</t>
  </si>
  <si>
    <t>Reembolso realizado pelo Termo de Parceria 50/2020 - IEPHA referente ao percentual (26,41% do valor total ) - Contratação de profissional especialista em TI para atendimento de demandas específicas da Appa.Contratação de profissional auxiliar de TI em apoio das atividades do sistema e sites da Appa - referente ao mês 10/2021</t>
  </si>
  <si>
    <t>Maurício Funcia De Bonis</t>
  </si>
  <si>
    <t>ISSQN referente ao RPA 1444 - Maurício Funcia De Bonis</t>
  </si>
  <si>
    <t>DARF/IR referente ao RPA 1444 - Maurício Funcia De Bonis</t>
  </si>
  <si>
    <t>INSS e INSS Patronal referente ao RPA 1444 - Maurício Funcia De Bonis</t>
  </si>
  <si>
    <t>ISSQN referente ao RPA 1446 - Cleber José Leão De Almeida</t>
  </si>
  <si>
    <t>DARF/IR referente ao RPA 1446 - Cleber José Leão De Almeida</t>
  </si>
  <si>
    <t>INSS e INSS Patronal referente ao RPA 1446 - Cleber José Leão De Almeida</t>
  </si>
  <si>
    <t>Mariana De Oliveira Costa Borges 06782627647</t>
  </si>
  <si>
    <t>Contratação de profissional para captação e edição de filmagem da exposição, incluindo entrevista com a artista e o curador. 1 diária de direção e captação com equipamentos- 1 serviço de edição e finalização de imagens. Composição de video de 15 a 20 minutos e disponibilização de material - Aditivo</t>
  </si>
  <si>
    <t>Tarifa Bancária referente a transferência eletrônica pagamento fornecedor : Kleber De Jesus Bispo 10663043603 -  Processo : 2109</t>
  </si>
  <si>
    <t>Tarifa Bancária referente a transferência eletrônica pagamento fornecedor :Cleber José Leão De Almeida -  Processo : 1559</t>
  </si>
  <si>
    <t>Tarifa Bancária referente a transferência eletrônica pagamento fornecedor : Mariana De Oliveira Costa Borges 06782627647 -  Processo : 2244</t>
  </si>
  <si>
    <t>Contratação de empresa para captação de imagens. Necessário diárias de captação de imagens, divididas da seguinte forma: captação dos ensaios e registros da retomada das atividades presenciais da Orquestra Sinfônica de Minas Gerais, diária para entrevistas com os músicos, diária para coletar imagens da plateia no dia do concerto e depoimento do público. Edição de vídeo.</t>
  </si>
  <si>
    <t>Processo 2453 - Hanna Mussi Dias 14995811737</t>
  </si>
  <si>
    <t xml:space="preserve">41.928.617/0001-59
</t>
  </si>
  <si>
    <t>01 Serviço de legendagem para o vídeo coletivo de novembro de 50 anos da Cia de Dança . Entrega do conteúdo deve ser finalizado e entregue em 10 dias úteis antes da data prevista para exibição, para chancela e conferência da Diretoria Cultural e ASCOM da FCS.</t>
  </si>
  <si>
    <t xml:space="preserve">Processo 2458 - Area De Servico Comunicacao Digital Ltda
</t>
  </si>
  <si>
    <t>Contratação de seguro empresarial para cobertura de itens constantes nos nossos prédios dos acervos e bens do CTPF - Centro Técnico de Produção e Formação da Fundação Clóvis Salgado - localizados em dois endereços:-Marzagão: Av. do Cartório, 140 - Sabará e Av. Andradas, Nº 723 - Centro Belo Horizonte</t>
  </si>
  <si>
    <t>Processo 2414 - Allianz Seguros S.A</t>
  </si>
  <si>
    <t>61.573.796/0001-66</t>
  </si>
  <si>
    <t>Reembolso realizado pela conta Recusos Próprios (114073) referente ao pagamento da guia de GPS do mês 10/2021</t>
  </si>
  <si>
    <t>Reembolso realizado pela conta Manutenção Corpo Artístico (15556-X) referente ao pagamento da guia de GPS do mês 10/2021</t>
  </si>
  <si>
    <t>Reembolso realizado pela conta Programa Artístico da Fundação Clóvis Salgado - CA  (15845-3 ) referente ao pagamento da guia de GPS do mês 10/2021</t>
  </si>
  <si>
    <t>Reembolso realizado pela conta do Termo de Parceria 50/2020 - Iepha referente ao pagamento da guia de GPS (funcionários) do mês 10/2021</t>
  </si>
  <si>
    <t>Reembolso realizado pela conta do Termo de Parceria 50/2020 - Iepha referente ao pagamento da guia de GPS (autônomo) do mês 10/2021</t>
  </si>
  <si>
    <t>Reembolso realizado pela conta Programa de Artes Visuais da Fundação Clóvis Salgado (16375-9) referente ao pagamento da guia de GPS do mês 10/2021</t>
  </si>
  <si>
    <t>Reembolso realizado pela conta Cinquentenário Operístico da Fundação Clóvis Salgado  (16376-7) referente ao pagamento da guia de GPS do mês 10/2021</t>
  </si>
  <si>
    <t>Reembolso realizado pela conta Projeto Morro Velho Anglo Gold referente ao pagamento da guia de GPS do mês 10/2021</t>
  </si>
  <si>
    <t>Reembolso realizado pela Área Meio - Projetos Meta do Contrato de Gestão( 16517-4) referente ao pagamento da guia de GPS do mês 10/2021</t>
  </si>
  <si>
    <t xml:space="preserve">Licenciamento de Direitos autorias da Obra de Fernando Sabino (O Grande Mentecapto). Serão criados 5 libretos pelos alunos do Ateliê de Criação da Academia de Ópera da FCS, tendo como referência a obra "O Grande Mentecapto", de Fernando Sabino. Esses libretos serão encenados essas pequenas montagens de ópera, com duração aproximada de 5 a 8 minutos cada, e apresentados em uma único espetáculo com duração aproximada de 50 minutos, no palco do Grande Teatro Cemig Palácio das Artes, nos dias 19 e 20 de dezembro de 2021. </t>
  </si>
  <si>
    <t>INSS Patronal referente ao mês 10/2021</t>
  </si>
  <si>
    <t>INSS e INSS Patronal referente ao RPA 1391 -  Lourdes Isabel Miranda</t>
  </si>
  <si>
    <t>Bem - Te - Vi Filmes E Projetos Literarios Ltda</t>
  </si>
  <si>
    <t>Tarifa Bancária referente a transferência eletrônica pagamento fornecedor :Bem - Te - Vi Filmes E Projetos Literarios Ltda -  Processo : 2302</t>
  </si>
  <si>
    <t xml:space="preserve"> Guia de GPS do mês 10/2021 referente a conta Recusos Próprios </t>
  </si>
  <si>
    <t>Guia de GPS do mês 10/2021 referente a conta Manutenção Corpo Artístico (15556-X)</t>
  </si>
  <si>
    <t>Guia de GPS  do mês 10/2021 referente a conta Programa Artístico da Fundação Clóvis Salgado - (15845-3 )</t>
  </si>
  <si>
    <t xml:space="preserve">Guia de GPS  do mês 10/2021 referente ao Termo de Parceria 50/2020 - Iepha (funcionários) </t>
  </si>
  <si>
    <t xml:space="preserve">Guia de GPS do mês 10/2021 do Termo de Parceria 50/2020 - Iepha da guia de GPS (autônomo) </t>
  </si>
  <si>
    <t>Guia de GPS do mês 10/2021 referente a  conta Programa de Artes Visuais da Fundação Clóvis Salgado (16375-9)</t>
  </si>
  <si>
    <t xml:space="preserve">Guia de GPS do mês 10/2021 referente a   conta Cinquentenário Operístico da Fundação Clóvis Salgado  (16376-7) </t>
  </si>
  <si>
    <t xml:space="preserve">Guia de GPS do mês 10/2021 referente a conta Projeto Morro Velho Anglo Gold </t>
  </si>
  <si>
    <t xml:space="preserve">Guia de GPS do mês 10/2021 referente a  Cconta Área Meio - Projetos Meta do Contrato de Gestão    (16517-4) </t>
  </si>
  <si>
    <t xml:space="preserve">Reembolso realizado por Fernanda Aparecida Elias ex- funcionária da Appa (Contrato de Gestão) referente a utilização do plano de saúde (co-participação) </t>
  </si>
  <si>
    <t>Tarifa Bancária referente a transferência eletrônica pagamento fornecedor : Associação Quilombo da Comunidade  -  Processo : 2350</t>
  </si>
  <si>
    <t>Produtor Cultural - contratação de profissional na área de produção cultural, encarregado de viabilizar toda a estrutura material necessária para a realização das obras artísticas do Cefart , providenciar os espaços de ensaio e sua infraestrutura; providenciar os espaços de montagem e de apresentação, acompanhar e agir como interlocutor de todos os profissionais envolvidos, como iluminador, cenógrafo, assistente de direção e o todo restante da equipe de criação; acompanhar todas as instâncias que envolvam a realização cênica. A carga horária diária de trabalho será de 08 horas/dia. Aditivo</t>
  </si>
  <si>
    <t>Reembolso realizado pelo Termo de Parceria 50/2020 - IEPHA referente ao percentual 26,41% do valor total ) ao consumo de internet da Appa do mês 10/2021</t>
  </si>
  <si>
    <t>Estudio Monteverdi Ltda</t>
  </si>
  <si>
    <t>Guia de ISSQN referente ao RPA 1450 - Livia Sabbag Da Silva Ramos</t>
  </si>
  <si>
    <t>DARF/IR referente ao RPA 1450 - Livia Sabbag Da Silva Ramos</t>
  </si>
  <si>
    <t>INSS e INSS Patronal referente ao RPA 1450 - Livia Sabbag Da Silva Ramos</t>
  </si>
  <si>
    <t>Denise Hortencia Lopes Garcia</t>
  </si>
  <si>
    <t>Guia de ISSQN referente ao RPA 1448 - Denise Hortencia Lopes Garcia</t>
  </si>
  <si>
    <t>DARF/IR referente ao RPA 1448 - Denise Hortencia Lopes Garcia</t>
  </si>
  <si>
    <t>INSS e INSS Patronal referente ao RPA 1448 - Denise Hortencia Lopes Garcia</t>
  </si>
  <si>
    <t>2021/255</t>
  </si>
  <si>
    <t>Guia de ISSQN referente a nota fiscal 2021/255 -  Softwares De Gestão Ltda</t>
  </si>
  <si>
    <t>11253300-MG</t>
  </si>
  <si>
    <t xml:space="preserve">Guia de ISSQN referente a nota fiscal 2021/89 - Logus Protection Patrimonial Ltda
</t>
  </si>
  <si>
    <t xml:space="preserve">INSS e INSS Patronal referente a nota fiscal 2021/89 - Logus Protection Patrimonial Ltda
</t>
  </si>
  <si>
    <t>2021/1030</t>
  </si>
  <si>
    <t>Guia de ISSQN referente a nota fiscal 2021/1030 - Ctrl P Impressão Digital Ltda</t>
  </si>
  <si>
    <t>Gabriel Augusto Reis De Araújo 13236166673</t>
  </si>
  <si>
    <t>Tarifa Bancária referente a transferência eletrônica pagamento fornecedor :Logus Protection Patrimonial Ltda
 -  Processo : 2083</t>
  </si>
  <si>
    <t>Tarifa Bancária referente a transferência eletrônica pagamento fornecedor : Ctrl P Impressão Digital Ltda  -  Processo : 1866</t>
  </si>
  <si>
    <t>Tarifa Bancária referente a transferência eletrônica pagamento fornecedor : Gabriel Augusto Reis De Araújo 13236166673  -  Processo :2303</t>
  </si>
  <si>
    <t>Tarifa Bancária referente a transferência eletrônica pagamento fornecedor : Denise Fantini  -  Processo : 2185</t>
  </si>
  <si>
    <t xml:space="preserve">Prestação de serviços Técnicos em Higienização: prestação de serviços na lavanderia do Centro Técnico de Produção e Formação (CTPF) para higienização dos figurinos e acondicionamento do acervo da Fundação.Faz-se necessária a contratação de prestação de serviços na lavanderia do Centro Técnico de Produção e Formação (CTPF) para higienização dos figurinos e acondicionamento do acervo do Contrato de Gestão 05/2019 - CEFART Andradas. Os serviços serão prestados no horário de 8h às 17h, de segunda a sexta e em finais de semana, conforme demanda. Aditivo </t>
  </si>
  <si>
    <t>Prestação de serviços Técnicos em Acervo: Acompanhamento e acondicionamento do acervo do Centro Técnico de Produção e Formação – CTPF.Faz-se necessária a contratação de prestação de serviçosdigitação e transcrição de formulários de controle de materiais, bem como preenchimento de fichas de cadastramento de usuários do espaço para fins de controle, acompanhamento e acondicionamento do acervo do Centro Técnico de Produção e Formação - CTPFdo Contrato de Gestão 05/2019 - CEFART Andradas. Os serviços serão prestados no horário de 8h às 17h, de segunda a sexta e em finais de semana, conforme demanda. Aditivo</t>
  </si>
  <si>
    <t>Licenciamento de arranjo musical de Frederico Natalino.Licenciamento de arranjo de partitura da música "Quenda", música folclórica africana para o vídeo em homenagem ao dia da Consciência Negra, com a participação da Cia Baobá Minas com Coral Lírico e Orquestra Sinfônica de Minas Gerais</t>
  </si>
  <si>
    <t>Contratação de um profissional que faça a revisão de texto com um olhar pedagógico do material da Mostra Chama na quantidade de:Palavras 24421Caracteres 154380Caracteres excluindo espaços 130668Segue link com o material a ser revisado:docs.google.com</t>
  </si>
  <si>
    <t>035.699.656-51</t>
  </si>
  <si>
    <t>Contratação de profissional para a coordenação geral e curadoria da Mostra Tátil, desenvolvendo, acompanhando e adequando os trabalhos dos 19 residentes, em diferentes áreas, para criar uma proposta uniforme para dialogar com o público-alvo. Acompanhar as montagens cênicas nos dias 01 e 2 de dezembro, coordenando o trabalho dos artistas com a equipe técnica dos teatro. Produção de briefing e material de divulgação junto a Ascom. Coordenação e organização de publicação com os trabalhos dos residentes. Orientação e acompanhamento da curadoria específica da exposição dos residentes das artes visuais na Galeria Maris´tela Tristão entre o dia 10 de dezembro a 10 de janeiro.</t>
  </si>
  <si>
    <t>Processo 2485 - Gabriel Couto Pereira 08089583644</t>
  </si>
  <si>
    <t>Aquisição de materiais de limpeza, higienização e copa para atender as demandas do CTPF Andradas e Marzagão</t>
  </si>
  <si>
    <t>Locação de TV LED – 32 pol ou maior, com entrada para pen drive e HDMI, bivolt, com suporte de parede.Incluir instalação imediata e desinstalação após o fim da exposição.Período de locação: até 20/12</t>
  </si>
  <si>
    <t>Processo 2455 - Emer-som Ltda</t>
  </si>
  <si>
    <t>Contratação de 03 pessoas recepção, para espetáculo no Grande Teatro Cemig do Palácio das Arte. Evento: Sinfônica Ao Vivo Realização: 25/11/2021 às 20h30 no Grande Teatro Cemig Palácio das Artes.</t>
  </si>
  <si>
    <t>Necessário compra de 2 pares de luvas para os montadores da OSMG utilizarem na montagem e carregamento dos equipamentos e instrumentos.</t>
  </si>
  <si>
    <t>22.202.833/0001-78</t>
  </si>
  <si>
    <t>Contratação de profissional para realizar a elaboração de tradução e roteiro audiodescritivo para as quatro obras da Mostra Chama - semestre 2 de 2021.</t>
  </si>
  <si>
    <t>Museus Acessíveis Treinamento E Desenvolvimento De Acessibilidade Ltda</t>
  </si>
  <si>
    <t>Laís Tercariol Vitral 05443965611</t>
  </si>
  <si>
    <t>001.21.67211273-5</t>
  </si>
  <si>
    <t>Tarifa Bancária referente a transferência eletrônica pagamento fornecedor : Laís Tercariol Vitral 05443965611  -  Processo : 2359</t>
  </si>
  <si>
    <t>Confecção de um banner com QR code, para direcionar o público à programação do evento "Sinfônica ao vivo", a realizar-se dia 25/11. O banner será colocado no Foyer do Grande Teatro.</t>
  </si>
  <si>
    <t>Aquisição de 1000 assinaturas virtuais (link assinador virtual).</t>
  </si>
  <si>
    <t>Contratação de Curadoria e Pesquisa de orientação pedagógica aos residentes que irão apresentar seus trabalhos na Mostra Tátil, o profissional trabalhará no acompanhamento pedagógico daprodução do texto curatorial, acompanhamento do processo de construção da exposição para seleção dos projetos e criação de um percurso expositivo.</t>
  </si>
  <si>
    <t>Processo 2496 - Marcilene Ferreira Da Silva 05133402627</t>
  </si>
  <si>
    <t xml:space="preserve">31.395.134/0001-82
</t>
  </si>
  <si>
    <t>Contratação de profissional para captar e editar áudio para a formatura do curso de Percussão do CEFART. O evento acontecerá nos dias 29 e 30 de novembro. O profissional irá acompanhar as gravações nos dois dias do evento e realizar a edição pós evento.</t>
  </si>
  <si>
    <t>Produção de adesivo ploter fosco verde - 225 x 80 cm com impressão do grid de marcas em branco . O adesivo faz parte da sinalização da exposição que está no espaço Mari'Stella Tritão.</t>
  </si>
  <si>
    <t>Processo 2507 - Flag Impressao Digital Ltda</t>
  </si>
  <si>
    <t>Aquisição de Fitas de Linóleo rosco pretas - Fita adesiva para Linóleo Roscotape Preta - Rosco 48mm x 50mpara profissionais de teatro, dança, televisão, cinema e fotografia e pode ser utilizada em diversas aplicações em salas de aulas, montagens externas e teatros.</t>
  </si>
  <si>
    <t>Contratação de Rodrigo Brasil, para ministrar o CursoComplementar"Direção de Palco", atendendo a demanda da Escola de Tecnologia da Cena do Cefart.</t>
  </si>
  <si>
    <t>Processo 2470 - Rodrigo Gomes De Almeida Bras</t>
  </si>
  <si>
    <t>043.582.256-08</t>
  </si>
  <si>
    <t>Consumo de água e esgosto referente ao mês 11/2021</t>
  </si>
  <si>
    <t>Reembolso realizado pela Appa referente ao pagamento ao Consumo de água e esgosto referente ao mês 11/2021 - CTP Marzagão</t>
  </si>
  <si>
    <t>Reembolso realizado pelo Termo de Parceria 50/2020 - IEPHA referente ao percentual (26,41% do valor total ) aluguel de PABX da sede da Appa- mês 10/2021.</t>
  </si>
  <si>
    <t>Reembolso realizado pelo Termo de Parceria 50/2020 - IEPHA referente ao percentual (26,41% do valor total), telefone móvel para os funcionários a serviço do IEPHA, referente ao mês 10/2021.</t>
  </si>
  <si>
    <t>Transferência para Conta Reserva referente aos rendimentos de aplicações financeiras do mês 10/2021</t>
  </si>
  <si>
    <t xml:space="preserve"> Desirée Nobre Salasar</t>
  </si>
  <si>
    <t>Guia de ISSQN referente ao RPA 1453 - Desirée Nobre Salasar</t>
  </si>
  <si>
    <t>INSS e INSS Patronal referente ao RPA 1453 - Desirée Nobre Salasar</t>
  </si>
  <si>
    <t>Fernanda Amaral</t>
  </si>
  <si>
    <t>Guia de ISSQN referente ao RPA 1452- Fernanda Amaral</t>
  </si>
  <si>
    <t>INSS e INSS Patronal referente ao RPA 1452- Fernanda Amaral</t>
  </si>
  <si>
    <t xml:space="preserve">Junia Bertolina Da Silva 36605689534
</t>
  </si>
  <si>
    <t>BH Seg Equipamentos De Proteção Individual Ltda</t>
  </si>
  <si>
    <t>Cofins referente aos rendimentos de aplicações financeiras do mês 10/2021.</t>
  </si>
  <si>
    <t>PIS referente a folha de pagamento do mês 10/2021.</t>
  </si>
  <si>
    <t>Many Pereira Dos Santos 03792660750</t>
  </si>
  <si>
    <t>Fatine Conceição Oliveira</t>
  </si>
  <si>
    <t>Guia de ISSQN referente ao RPA 1451 - Fatine Conceição Oliveira</t>
  </si>
  <si>
    <t>INSS e INSS Patronal referente ao RPA 1451 - Fatine Conceição Oliveira</t>
  </si>
  <si>
    <t xml:space="preserve">Grupo Tramprulin </t>
  </si>
  <si>
    <t>08.799.194/0001-49</t>
  </si>
  <si>
    <t>Consumo de telefone móvel para os funcionários a serviço do Contrato de Gestão  e Termo de Parceria IEPHA referente ao mês 10/2021.</t>
  </si>
  <si>
    <t>001.21.60561902-5</t>
  </si>
  <si>
    <t>Thaís Montanari Cabral 07746043607</t>
  </si>
  <si>
    <t>Tarifa Bancária referente a transferência eletrônica pagamento fornecedor : BH Seg Equipamentos De Proteção Individual Ltda  -  Processo: 2498</t>
  </si>
  <si>
    <t>Tarifa Bancária referente a transferência eletrônica pagamento fornecedor : Thaís Montanari Cabral 07746043607  -  Processo: 1827</t>
  </si>
  <si>
    <t>Tarifa Bancária referente a transferência eletrônica pagamento fornecedor : Grupo Tramprulin   -  Processo: 2176</t>
  </si>
  <si>
    <t>Tarifa Bancária referente a transferência eletrônica pagamento fornecedor : Fatine Conceição Oliveira  -  Processo: 2362</t>
  </si>
  <si>
    <t>Tarifa Bancária referente a transferência eletrônica pagamento fornecedor : Many Pereira Dos Santos 03792660750 -  Processo: 2366</t>
  </si>
  <si>
    <t>Contratação de Pianista - Organista Rafael Alves para ensaiar e tocar no concerto do dia 24 e 25 de novembro de 2021.</t>
  </si>
  <si>
    <t>22.347.234/0001-42</t>
  </si>
  <si>
    <t>Compra de fita adesiva multiuso 48mmx50m preta para montagens externas e construção de cenários para as montagens.</t>
  </si>
  <si>
    <t>04.098.359/0001-02</t>
  </si>
  <si>
    <t>Contratação de Waneska Cezar, professora para preparação dos bailarinos da Cia de Dança para novembro e dezembro sendo 12 aulas com horários a serem definidos</t>
  </si>
  <si>
    <t>Processo 2504 - Waneska Torres De Oliveira Cezar</t>
  </si>
  <si>
    <t>584.054.965-72</t>
  </si>
  <si>
    <t>Reembolso realizado pelo Termo de Parceria 50/2020 - IEPHA referente ao percentual (26,41% do valor total), Aquisição de 1000 assinaturas virtuais (link assinador virtual).</t>
  </si>
  <si>
    <t>Reembolso  realizado pelo fornecedor  referente ao pagamento indevido</t>
  </si>
  <si>
    <t>Cs</t>
  </si>
  <si>
    <t>Lourdes Isabel Miranda</t>
  </si>
  <si>
    <t>Mariana Lúcia Agnese Costa E Rosa 69052786100</t>
  </si>
  <si>
    <t>Fábio De Paula Fiorini 48373214615</t>
  </si>
  <si>
    <t>DARF/IR referente ao recibo de Fernanda Amaral</t>
  </si>
  <si>
    <t>Guia de ISSQN referente ao RPA 1454 - Yara Tupynambá</t>
  </si>
  <si>
    <t>DARF/IR referente ao RPA 1454 - Yara Tupynambá</t>
  </si>
  <si>
    <t>INSS e INSS Patronal  referente ao RPA 1454 - Yara Tupynambá</t>
  </si>
  <si>
    <t>Taxas de Fiscalização de Localização e Funcionamento  e Taxa de Fiscalização Sanitária .Favorecido: Prefeitura Muncipal de Belo Horizonte - 06º Parcela</t>
  </si>
  <si>
    <t>02.21.2346632.73</t>
  </si>
  <si>
    <t>Marina Viana Pereira05396068639</t>
  </si>
  <si>
    <t>Guia de ISSQN referente a nota fiscal 2021/32 -  Imago Filmes Eireli</t>
  </si>
  <si>
    <t xml:space="preserve">Christoffer Produções Artísticas Ltda
</t>
  </si>
  <si>
    <t xml:space="preserve">Guia de ISSQN referente a nota fiscal 198 - Christoffer Produções Artísticas Ltda
</t>
  </si>
  <si>
    <t>2021/896</t>
  </si>
  <si>
    <t>Guia de ISSQN referente a nota fiscal 2021/896 -  Krypton Tech Desenvolvimento De Software Ltda</t>
  </si>
  <si>
    <t>M2 Comunicação e Produções Eireli</t>
  </si>
  <si>
    <t>00.595.976/0001-54</t>
  </si>
  <si>
    <t>Tarifa Bancária referente a transferência eletrônica pagamento fornecedor : Marina Viana Pereira05396068639  -  Processo: 2371</t>
  </si>
  <si>
    <t>Tarifa Bancária referente a transferência eletrônica pagamento fornecedor : Imago Filmes Eireli  -  Processo: 2317</t>
  </si>
  <si>
    <t xml:space="preserve">Tarifa Bancária referente a transferência eletrônica pagamento fornecedor : Christoffer Produções Artísticas Ltda -   -  Processo: 2319
</t>
  </si>
  <si>
    <t>Tarifa Bancária referente a transferência eletrônica pagamento fornecedor : M2 Comunicação e Produções Eireli -  Processo: 2176</t>
  </si>
  <si>
    <t>Contratação de um profissional de filmagem que irá realizar tanto a gravação quanto a direção de câmera do recital de escola de Música (incluindo equipe de filmagens, steadycam, estabilizador de imagem e drone).</t>
  </si>
  <si>
    <t>Contratação de um profissional para realizar as filmagens da Mostra, incluindo 4 diárias para filmagem da Mostra, incluindo Mostra cênica, show da apresentação musical e da exposição. Dias 01, 02, 03 e 10 de dezembro, incluindo acompanhamento das montagens para making off</t>
  </si>
  <si>
    <t>Processo 2486 - Gilberto De Lima Goulart 08401043670</t>
  </si>
  <si>
    <t>Guia de ISSQN referente a nota fiscal 33 - Gabriel Rhein Schirato - Me</t>
  </si>
  <si>
    <t>Tarifa Bancária referente a transferência eletrônica pagamento fornecedor : Gabriel Rhein Schirato - Me-  Processo: 1955</t>
  </si>
  <si>
    <t>O Centro Técnico de Produção e Formação possui diversos acervos em dois espaços - CTPF Andradas e CTPF Marzagão. Devido problemas na fechadura do CTPF Andradas, foi preciso provisoriamente fazer uma amarração no portão para manter o espaço com um mínimo de segurança para uma futura troca, o que justifica-se a compra para manutenção do portão de entrada principal do CTPF Andradas. Não haverá inicialmente despesas com a instalação, visto que a equipe de manutenção da FCS fará a instalação.</t>
  </si>
  <si>
    <t xml:space="preserve">Processo 2502 - Comercial Obradec Materiais Para Construção Ltda.
</t>
  </si>
  <si>
    <t>Coordenação e supervisão de programa educativo durante 3 meses para a exposição comemorativa de 50 anos do Palácio das Artes “50 anos em 5 atos”, que acontecerá na Grande Galeria Alberto da Veiga Guignard / FCS, de 12 de agosto a 14 de novembro de 2021. O serviço inclui treinamento e supervisão da equipe de monitores (6 pessoas), montagem e acompanhamento de escala de trabalho e visitas mediadas, divulgação de todas as ações educativas da exposição para escolas e instituições de ensino via mailing e redes sociais, prospecção de público, agendamento e coordenação de visitas mediadas, durante todo o período da exposição. Aditivo</t>
  </si>
  <si>
    <t>Concepção de Projeto Educativo para a exposição comemorativa de 50 anos do Palácio das Artes "50 anos em 5 atos" que acontecerá na Grande Galeria Alberto da Veiga Guignard / FCS, de 12 de agosto de 2021 a 14 de novembro de 2021 - Aditivo</t>
  </si>
  <si>
    <t>Processo 1850 - Carolina Nascimento Valadares Santana 07016003655</t>
  </si>
  <si>
    <t xml:space="preserve">Contratação de empresa de dedetização de cupim de cenário que será reutilizado na montagem das operetas do Ateliê de Óperas. </t>
  </si>
  <si>
    <t>32.224.364/0001-41</t>
  </si>
  <si>
    <t>Locação de TV LED – 32 pol ou maior, com entrada para pen drive e HDMI, bivolt, com suporte de parede para obra do artista Victor Galvão - nova doação do Acervo FCS. Duração: período expositivo - 30/11 a 26/12Instalação: 02/12/2021Retirada: 03/01/2022</t>
  </si>
  <si>
    <t>Processo 2534 - Emer-som Ltda</t>
  </si>
  <si>
    <t>Anita Menezes Rezende 04291516673</t>
  </si>
  <si>
    <t>1º parcela do 13º salário - Superintendente de Auditoria</t>
  </si>
  <si>
    <t>1º parcela do 13º salário  - Músico Instrumentista</t>
  </si>
  <si>
    <t>1º parcela do 13º salário -  Bailarina</t>
  </si>
  <si>
    <t>1º parcela do 13º salário - Bailarina</t>
  </si>
  <si>
    <t>1º parcela do 13º salário - Músico Cantora</t>
  </si>
  <si>
    <t>1º parcela do 13º salário - Analista Financeiro Pleno</t>
  </si>
  <si>
    <t>1º parcela do 13º salário - Montador Diart</t>
  </si>
  <si>
    <t>1º parcela do 13º salário -Músico cantora</t>
  </si>
  <si>
    <t>1º parcela do 13º salário - Regente Assistente</t>
  </si>
  <si>
    <t xml:space="preserve">1º parcela do 13º salário - Analista de RH </t>
  </si>
  <si>
    <t>1º parcela do 13º salário - Bailarino</t>
  </si>
  <si>
    <t>1º parcela do 13º salário  - Músico Cantor</t>
  </si>
  <si>
    <t>1º parcela do 13º salário - Músico</t>
  </si>
  <si>
    <t>1º parcela do 13º salário - Músico Cantor</t>
  </si>
  <si>
    <t>1º parcela do 13º salário - Assessora Pedagógica</t>
  </si>
  <si>
    <t>1º parcela do 13º salário - Músico Instrumentista</t>
  </si>
  <si>
    <t>1º parcela do 13º salário - Diretor Financeiro</t>
  </si>
  <si>
    <t>1º parcela do 13º salário - Produtora Cultural</t>
  </si>
  <si>
    <t>1º parcela do 13º salário -  Músico Instrumentista</t>
  </si>
  <si>
    <t>1º parcela do 13º salário - Produtora Cultural da Dipro</t>
  </si>
  <si>
    <t>1º parcela do 13º salário-  Bailarina</t>
  </si>
  <si>
    <t>1º parcela do 13º salário Músico</t>
  </si>
  <si>
    <t>1º parcela do 13º salário -  Bailarino</t>
  </si>
  <si>
    <t>1º parcela do 13º salário  - Auxiliar de serviços Gerais</t>
  </si>
  <si>
    <t>1º parcela do 13º salário -  Arquivista</t>
  </si>
  <si>
    <t>1º parcela do 13º salário -  Músico Cantor</t>
  </si>
  <si>
    <t>1º parcela do 13º salário - Montador Dipro</t>
  </si>
  <si>
    <t>2021/934</t>
  </si>
  <si>
    <t>Guia de ISSQN referente a nota fiscal 2021/934 - BH Fotocópias Digital Ltda.</t>
  </si>
  <si>
    <t xml:space="preserve">1º parcela do 13º salário  - Gerentes de Projetos </t>
  </si>
  <si>
    <t>1º parcela do 13º salário  -  Pianista</t>
  </si>
  <si>
    <t>1º parcela do 13º salário  -  Músico Instrumentista</t>
  </si>
  <si>
    <t>1º parcela do 13º salário  -  Gerente de Projetos Dipro</t>
  </si>
  <si>
    <t>1º parcela do 13º salário  - Montador Diart</t>
  </si>
  <si>
    <t>1º parcela do 13º salário  - Músico Cantora</t>
  </si>
  <si>
    <t>1º parcela do 13º salário  -  Bailarina</t>
  </si>
  <si>
    <t>1º parcela do 13º salário  -  Presidente</t>
  </si>
  <si>
    <t xml:space="preserve">1º parcela do 13º salário  - Coordenador Administrativo </t>
  </si>
  <si>
    <t xml:space="preserve">1º parcela do 13º salário - Gerente de Projetos: Programação Artística </t>
  </si>
  <si>
    <t>Tarifa Bancária referente a transferência eletrônica 13º salário Bailarino</t>
  </si>
  <si>
    <t>Tarifa Bancária referente a transferência eletrônica 13º   salário Bailarino</t>
  </si>
  <si>
    <t>Tarifa Bancária referente a transferência eletrônica  13º salário Superintendente de Auditoria</t>
  </si>
  <si>
    <t xml:space="preserve">Tarifa Bancária referente a transferência eletrônica  13º salário Músico </t>
  </si>
  <si>
    <t>Tarifa Bancária referente a transferência eletrônica  13º salário Analista Financeiro Pleno</t>
  </si>
  <si>
    <t xml:space="preserve">Tarifa Bancária referente a transferência eletrônica 13º  salário Músico </t>
  </si>
  <si>
    <t>Tarifa Bancária referente a transferência eletrônica  13º  salário Analista de RH</t>
  </si>
  <si>
    <t xml:space="preserve">Tarifa Bancária referente a transferência eletrônica  13º  salário Músico </t>
  </si>
  <si>
    <t>Tarifa Bancária referente a transferência eletrônica 13º   salário Assistente Regente</t>
  </si>
  <si>
    <t>Tarifa Bancária referente a transferência eletrônica  13º  salário Montador</t>
  </si>
  <si>
    <t xml:space="preserve">Tarifa Bancária referente a transferência eletrônica 13º   salário Músico </t>
  </si>
  <si>
    <t>Tarifa Bancária referente a transferência eletrônica  13º salário Coordenador de Comunicação</t>
  </si>
  <si>
    <t>Tarifa Bancária referente a transferência eletrônica  13º  salário Produtora Cultural Dipro</t>
  </si>
  <si>
    <t>Tarifa Bancária referente a transferência eletrônica  13º  salário Diretor Financeiro</t>
  </si>
  <si>
    <t>Tarifa Bancária referente a transferência eletrônica  13º  salário Produtora Cultural Diart</t>
  </si>
  <si>
    <t xml:space="preserve">Tarifa Bancária referente a transferência eletrônica  13º  salário Auxiliar de Serviços Gerais </t>
  </si>
  <si>
    <t>Tarifa Bancária referente a transferência eletrônica   13º  salário Arquivista</t>
  </si>
  <si>
    <t xml:space="preserve">Tarifa Bancária referente a transferência eletrônica   13º salário Músico </t>
  </si>
  <si>
    <t>Tarifa Bancária referente a transferência eletrônica  13º  salário Montador Dipro</t>
  </si>
  <si>
    <t>Tarifa Bancária referente a transferência eletrônica 13º  salário Assessora Pedagógica</t>
  </si>
  <si>
    <t>Tarifa Bancária referente a transferência eletrônica 13º  salário Bailarina</t>
  </si>
  <si>
    <t>Tarifa Bancária referente a transferência eletrônica  13º  salário Bailarina</t>
  </si>
  <si>
    <t>Tarifa Bancária referente a transferência eletrônica 13º  salário Bailarino</t>
  </si>
  <si>
    <t>Rendimentos de aplicações financeiras do mês 11/2021.</t>
  </si>
  <si>
    <t>Imposto de Renda referente aos rendimentos de aplicações financeiras do mês 11/2021.</t>
  </si>
  <si>
    <t>Rendimentos de aplicações financeiras do mês 10/2021</t>
  </si>
  <si>
    <t>Rendimento líquido de aplicação financeira do mês 11/2021.</t>
  </si>
  <si>
    <t>Associação Pró-Cultura e Promoção das Artes ( Conta Reserva)</t>
  </si>
  <si>
    <t>Rendimentos de Aplicações Financeiras do mês 11/2021</t>
  </si>
  <si>
    <t>Contratação de profissional para realização do projeto expográfico, luminotécnico e coordenação de montagem, incluindo compra, transporte e aluguel de materiais necessários para a montagem, manutenção e desmontagem da Exposição.</t>
  </si>
  <si>
    <t>Processo 2487 - Jéssica Parreiras Marroques</t>
  </si>
  <si>
    <t>118.086.266-05</t>
  </si>
  <si>
    <t>Contratação de profissional para manutenção do maquinário de costura, sendo:- 10 máquinas de costura reta;- 03 máquinas de overloque.- 01 máquina de interloque.Solicito em caráter prioritário a manutenção das máquinas de costura do CTPF, em virtude da demanda de produção de figurinos prevista para início desta semana. O maquinário necessita revisão pois esteve durante muito tempo sem uso, dessa maneira pode comprometer o desenvolvimento das atividades.</t>
  </si>
  <si>
    <t xml:space="preserve">04.081.144/0001-70
</t>
  </si>
  <si>
    <t>Direito autoral da obra site especific "Estâncias", de Bel Morada | 2021 |técnica mista, desenho, pintura em acrílica e materiais diversos sobre parede, para a exposição "Acervo FCS - Cidade Imaginária" que será realizada na PQNA Galeria do Palácio das Artes, de 03 a 26 de dezembro de 2021.</t>
  </si>
  <si>
    <t>090.222.226-08</t>
  </si>
  <si>
    <t>Contratação de profissional responsável pela Montagem e Desmontagem da exposição, incluindo pintura de galeria, fixação de obras em paredes e varas.A mostra propõe o compartilhamento de trabalhos finais das pesquisas realizadas ao longo de um ano pelos residentes do programa, e por isso faz-se necessária a contratação de um profissional para montagem e desmontagem da mostra. Trata-se do resultado de uma parceria entre a Fundação Clóvis Salgado, a Fundação de Amparo à Pesquisa de Minas Gerais – Fapemig – e a Secretaria de Desenvolvimento Econômico, Ciência, Tecnológica e Ensino Superior – Sedectes.</t>
  </si>
  <si>
    <t>Processo 2489 - Geraldo Peixoto De Freitas Neto</t>
  </si>
  <si>
    <t>014.807.776-50</t>
  </si>
  <si>
    <t>Processo 2513 - Cabos Gemini - Cabos De Aco E Acessorios Ltda</t>
  </si>
  <si>
    <t>01.133.643/0001-76</t>
  </si>
  <si>
    <t>Aquisição de cabos, grampos e esticadores para construção de varal no CTPF: 60 metros de cabo de aço revestido 3/16, 4 esticadores ,4 chumbadores com argola ou gancho. A montagem do varal será de responsabilidade da equipe de manutenção da Fundação Clóvis Salgado.ustifica-se a construção de varal de roupas, para atender à demanda de higienização/secagem de figurinos do acervo do CTPF.</t>
  </si>
  <si>
    <t>Reposição de 07 galões de água mineral - 20L. Faz necessário reposição de água para uso dos colaboradores (equipe permanente e contratados temporários em função das atividades extras de final de ano) e visitantes do CTPF.</t>
  </si>
  <si>
    <t>2021/9301</t>
  </si>
  <si>
    <t>DARF/PCC referente a nota fiscal 2021/9301 - Assiste Saúde do Trabalho</t>
  </si>
  <si>
    <t>ISSQN referente a nota fiscal 2021/9301 - Assiste Saúde do Trabalho</t>
  </si>
  <si>
    <t>2021/14136</t>
  </si>
  <si>
    <t>ISSQN referente a nota fiscal 2021/14136 - Ocupacional Medicina do Trabalho</t>
  </si>
  <si>
    <t>DARF/PCC referente a nota fiscal 2021/14136 - Ocupacional Medicina do Trabalho</t>
  </si>
  <si>
    <t>Rodrigo Ferreira Do Nascimento Ltda - Me</t>
  </si>
  <si>
    <t>000.015.520</t>
  </si>
  <si>
    <t>Rafael Alves Soares De Souza 06638314661</t>
  </si>
  <si>
    <t>Guia de ISSQN referente a nota fiscal 2021/27 - Mylene Youssef A Vieira - Produções E Eventos Epp</t>
  </si>
  <si>
    <t>Rodrigo Alves Moreira 91460212649</t>
  </si>
  <si>
    <t>Guia de ISSQN referente a nota fiscal 2021/38 -  Rodrigo Alves Moreira 91460212649</t>
  </si>
  <si>
    <t>Fábio Silva Martins De Jesus</t>
  </si>
  <si>
    <t>Guia de ISSQN referente ao RPA 1471 - Fábio Silva Martins De Jesus</t>
  </si>
  <si>
    <t>DARF/IR referente ao RPA 1471 - Fábio Silva Martins De Jesus</t>
  </si>
  <si>
    <t>INSS e INSS Patronal referente ao RPA 1471 - Fábio Silva Martins De Jesus</t>
  </si>
  <si>
    <t>Guia de ISSQN referente ao RPA 1477 - Adriano Maciel Canabrava</t>
  </si>
  <si>
    <t>INSS e INS Patronal referente ao RPA 1477 - Adriano Maciel Canabrava</t>
  </si>
  <si>
    <t xml:space="preserve">Gilberto De Lima Goulart 08401043670
</t>
  </si>
  <si>
    <t>Contratação da instrutora/monitora Luciana Campos Horta para acompanhamento do público durante a visitação na "Exposição de 50 anos em 5 atos", pelo período de 05 de outubro a 14 de novembro de 2021, na Grande Galeria Alberto da Veiga Guignard /FCS. Aditivo</t>
  </si>
  <si>
    <t>Guia de ISSQN referente ao RPA 1475 - Luciana Campos Horta</t>
  </si>
  <si>
    <t>INSs e INSS Patronal referente ao RPA 1475 - Luciana Campos Horta</t>
  </si>
  <si>
    <t xml:space="preserve">Tarifa Bancária referente a transferência eletrônica pagamento fornecedor : Elias Do Carmo - Me- Processo: 2394
</t>
  </si>
  <si>
    <t xml:space="preserve">Tarifa Bancária referente a transferência eletrônica pagamento fornecedor :Fábio Silva Martins De Jesus   -  Processo: 2392
</t>
  </si>
  <si>
    <t xml:space="preserve">Tarifa Bancária referente a transferência eletrônica pagamento fornecedor : Adriano Maciel Canabrava  -  Processo:1893
</t>
  </si>
  <si>
    <t xml:space="preserve">Tarifa Bancária referente a transferência eletrônica pagamento fornecedor : Vinicius Pereira Alves 34942118840 -  Processo: 2483
</t>
  </si>
  <si>
    <t xml:space="preserve">Tarifa Bancária referente a transferência eletrônica pagamento fornecedor : Ivete Maria De Oliveira 76363481600 -  Processo: 1275
</t>
  </si>
  <si>
    <t xml:space="preserve">Tarifa Bancária referente a transferência eletrônica pagamento fornecedor : Gilberto De Lima Goulart 08401043670-   -  Processo:1876
</t>
  </si>
  <si>
    <t xml:space="preserve">Tarifa Bancária referente a transferência eletrônica pagamento fornecedor : Gilberto De Lima Goulart 08401043670  -  Processo: 2484
</t>
  </si>
  <si>
    <t>Tinta para preparação da Pequena Galeria do Palácio das artes para realização da exposição "Acervo FCS - Cidade Imaginária".- 01 Lata de 18 litros de tinta misturada na cor Pantone "Cool Gray 2 U" (em anexo)- 02 Latas de 18 litros de tinta branca fosca para parede.</t>
  </si>
  <si>
    <t>Processo 2568 - Atacadao Das Tintas Ltda</t>
  </si>
  <si>
    <t>Contratação da monitoraVictória Sofia Lúcio Silvapara acompanhamento do público durante a visitação na exposição "Acervo FCS - Cidade Imaginária", durante o período expositivo, 03 de dezembro a 31 de dezembro de 2021, na Pequena Galeria /FCS.</t>
  </si>
  <si>
    <t>Processo 2550 - Victória Sofia Lúcio Silva</t>
  </si>
  <si>
    <t>138.634.206-83</t>
  </si>
  <si>
    <t>ontratação de profissional para serviços de Instrutor/Monitoria quer fará o acompanhamento de público para Exposição da Mostra Tátil do programa de Residência Artística, que ocorrerá entre os dias 10 de dezembro a 10 de janeiro. O contratado precisa ter conhecimento do programa de Residência Artística e seus parceiros. Por ser tratar de uma mostra que para além de acompanhar o público exigirá do monitor uma interação com os bolsistas residentes para explicação de cada trabalho sugere-se a contratação de Maria do Rosário que já participa do programa de residência.</t>
  </si>
  <si>
    <t>Processo 2539 - Maria Do Rosário Gomes Da Silva</t>
  </si>
  <si>
    <t>077.480.716-40</t>
  </si>
  <si>
    <t xml:space="preserve">Plotagem de sinalização da exposição Cidades Imaginárias na Pequena Galeria do Palácio das Artes. Fornecedor deve produzir, instalar e retirar os adesivos. A plotagem deve ser feita no local na quinta-feira 02/12. </t>
  </si>
  <si>
    <t>Processo 2532 - Flag Impressao Digital Ltda</t>
  </si>
  <si>
    <t>Contratação de profissional convidada Kênia Dias para preparação corporal nos processos criativos e direção de vídeo da criação dos bailarinos de acordo com a necessidade dos bailarinos da CDPA.</t>
  </si>
  <si>
    <t>634.774.241-15</t>
  </si>
  <si>
    <t>Contratação da monitora Luiza Poeiras Amorim para acompanhamento do público durante a visitação na exposição "Acervo FCS - Cidade Imaginária", durante o período expositivo, 03 de dezembro a 31 de dezembro de 2021, na Pequena Galeria /FCS.</t>
  </si>
  <si>
    <t>Processo 2551 - Luiza Poeiras Amorim</t>
  </si>
  <si>
    <t>Contratação de profissional para Criação de trilha sonora do vídeo da CDPA com acompanhamento de todo o processo criativo durante as reuniões da Cia de Dança</t>
  </si>
  <si>
    <t>Reembolso realizado pelo Termo de Parceria 50/2020 - IEPHA referente ao percentual (26,41% do valor total), Aquisição de licença de um sistema de gestão financeira e gestão de compras para os projetos da Appa</t>
  </si>
  <si>
    <t>Gerentes de Projetos , referente ao mês 11/2021</t>
  </si>
  <si>
    <t>Salário do Músico Instrumentista, referente ao mês 11/2021</t>
  </si>
  <si>
    <t>Salário do Pianista, referente ao mês 11/2021</t>
  </si>
  <si>
    <t>Salário Gerente de Projetos Dipro, referente ao mês 11/2021</t>
  </si>
  <si>
    <t>Salário do Montador Diart, referente ao mês 11/2021</t>
  </si>
  <si>
    <t>Salário do Músico Cantora, referente ao mês 11/2021</t>
  </si>
  <si>
    <t>Guia de ISSQN referente ao RPA 1478 - Victor Hugo Marques</t>
  </si>
  <si>
    <t>INSS e INSS Patronal referente ao RPA 1478 - Victor Hugo Marques</t>
  </si>
  <si>
    <t>Salário Bailarina, referente ao mês 11/2021</t>
  </si>
  <si>
    <t>Salário do Presidente referente ao mês 11/2021</t>
  </si>
  <si>
    <t>Salário do Coordenador Administrativo referente ao mês 11/2021</t>
  </si>
  <si>
    <t>Salário do Gerente de Projetos: Programação Artística referente ao mês 11/2021</t>
  </si>
  <si>
    <t>Salário do Superintendente de Auditoria, referente ao mês 11/2021</t>
  </si>
  <si>
    <t>Salário do Bailarina, referente ao mês 11/2021</t>
  </si>
  <si>
    <t>Salário da Analista Financeiro Pleno, referente ao mês 11/2021</t>
  </si>
  <si>
    <t>Analista de RH , referente ao mês 11/2021</t>
  </si>
  <si>
    <t>Salário do Músico, referente ao mês 11/2021</t>
  </si>
  <si>
    <t>Salário do Regente Assistente, referente ao mês 11/2021</t>
  </si>
  <si>
    <t>Salário do Músico cantora, referente ao mês 11/2021</t>
  </si>
  <si>
    <t>Salário do Bailarino, referente ao mês 11/2021</t>
  </si>
  <si>
    <t>Salário da Músico Cantor, referente ao mês 11/2021</t>
  </si>
  <si>
    <t>Salário da Assessora Pedagógica, referente ao mês 11/2021</t>
  </si>
  <si>
    <t>Salário do Diretor Financeiro, referente ao mês 11/2021</t>
  </si>
  <si>
    <t>Salário da Produtora Cultural: Produção Artística, referente ao mês 11/2021</t>
  </si>
  <si>
    <t>Salário do Músico Instrumentista, referente ao mês 112021</t>
  </si>
  <si>
    <t>Salário do Produtora Cultural da Dipro, referente ao mês 11/2021</t>
  </si>
  <si>
    <t>Salário  Bailarino, referente ao mês 11/2021</t>
  </si>
  <si>
    <t xml:space="preserve"> Salário   Auxiliar de serviços Gerais, referente ao mês 11/2021</t>
  </si>
  <si>
    <t xml:space="preserve"> Salário  Arquivista, referente ao mês 11/2021</t>
  </si>
  <si>
    <t xml:space="preserve"> Salário  Músico Instrumentista, referente ao mês 11/2021</t>
  </si>
  <si>
    <t>Salário Músico Cantora, referente ao mês 11/2021</t>
  </si>
  <si>
    <t>Salário Músico Instrumentista, referente ao mês 11/2021</t>
  </si>
  <si>
    <t>Salário  Músico Cantor, referente ao mês 11/2021</t>
  </si>
  <si>
    <t>Salário  Músico Instrumentista, referente ao mês 11/2021</t>
  </si>
  <si>
    <t>Salário Montador Dipro, referente ao mês 11/2021</t>
  </si>
  <si>
    <t>Ongsys Sistema Ltda</t>
  </si>
  <si>
    <t xml:space="preserve"> Lívia Beatriz Ferreira Lopes</t>
  </si>
  <si>
    <t>Guia de ISSQN referente ao RPA 1476 - Lívia Beatriz Ferreira Lopes</t>
  </si>
  <si>
    <t>INSS e INSS Patronal referente ao RPA 1476 - Lívia Beatriz Ferreira Lopes</t>
  </si>
  <si>
    <t xml:space="preserve">Tarifa Bancária referente a transferência eletrônica pagamento fornecedor :  Lívia Beatriz Ferreira Lopes - Processo: 1895
</t>
  </si>
  <si>
    <t>IR retido em folha do mês 11/2021</t>
  </si>
  <si>
    <t>Contratação de técnico de palco para os eventos da Orquestra Sinfônica de Minas Gerais em dezembro 2021.</t>
  </si>
  <si>
    <t>Processo 2561 - Elias Do Carmo - ME</t>
  </si>
  <si>
    <t xml:space="preserve">Contratação da instrutora / monitora Camila Pinho para acompanhamento do público durante a visitação na exposição "Assim como os jardins..." da artista Mariana Palma e curadoria de Wagner Nardi, durante o período expositivo, 08 de outubro a 12 de dezembro de 2021, na Galeria Arlinda Correa Lima / FCS. Aditivo </t>
  </si>
  <si>
    <t xml:space="preserve">Contratação do instrutor/monitor Guilherme Dias para acompanhamento do público durante a visitação na exposição "Assim como os jardins..." da artista Mariana Palma e curadoria de Wagner Nardi, durante o período expositivo, 08 de outubro a 12 de dezembro de 2021, na Galeria Arlinda Correa Lima /FCS. Aditivo </t>
  </si>
  <si>
    <t>182.148.986-17</t>
  </si>
  <si>
    <t>Contratação de 07 pessoas para o serviço de recepção, para a Ópera Viramundo no Grande Teatro Cemig do Palácio das Artes que ocorrerá no dia 21 de dezembro de 2021. Os profissionais ficarão sob Coordenação da Chefe de Eventos do setor da Fundação Clóvis Salgado.</t>
  </si>
  <si>
    <t>Processo 2553 - Mylene Youssef A Vieira - Produções E Eventos Epp</t>
  </si>
  <si>
    <t>Reembolso a conta do Contrato de Gestão - 05/2019  ref aquisição de sistema de ponto para utilização pelos colaboradores do Projeto Anglo - ano 2021. Referente ao mês 11/2021</t>
  </si>
  <si>
    <t>Reembolso a conta do Contrato de Gestão - 05/2019  ref aquisição de sistema de ponto para utilização pelos colaboradores da Appa - ano 2021. Referente ao mês 11/2021</t>
  </si>
  <si>
    <t>Reembolso a conta do Contrato de Gestão - 05/2019 Aquisição de sistema de ponto para utilização pelos colaboradores do TP 50/2020 IEPHA - ano 2021. Referente ao mês 11/2021</t>
  </si>
  <si>
    <t>Reembolso realizado pelo Termo de Parceria 50/2020 - Iepha a conta do Contra de Gestão 005/2019 referente ao pagamento de guia de FGTS - Valor proporcional aos funcionários a serviço do TP 50/2020 - 11/2021</t>
  </si>
  <si>
    <t xml:space="preserve">Reembolso realizado pelo Termo de Parceria 50/2020 - Iepha a conta do Contra de Gestão 005/2019 referente ao pagamento de guia de FGTS - Valor proporcional aos funcionários a serviço do TP 50/2020 - 1º parcela do 13º </t>
  </si>
  <si>
    <t>Reembolso realizado pela Appa - Projeto Pronac  a conta do Contrato de Gestão referente ao pagamento de guia de FGTS  - 11/2021</t>
  </si>
  <si>
    <t xml:space="preserve">Reembolso realizado pela Appa - Projeto Pronac  a conta do Contrato de Gestão referente ao pagamento de guia de FGTS  - 1º parcela do 13º </t>
  </si>
  <si>
    <t>Retenção IOF a recolher referente ao pagamento de câmbio do processo 2325 - Dénètem Touam Bona</t>
  </si>
  <si>
    <t>Dénètem Touam Bona</t>
  </si>
  <si>
    <t>Pagamento de Câmbio</t>
  </si>
  <si>
    <t>DARF/IR referente ao pagamento de câmbio do processo 2325 - Dénètem Touam Bona</t>
  </si>
  <si>
    <t>Férias  Auxiliar de serviços Gerais</t>
  </si>
  <si>
    <t>ISSQN referente ao RPA 1482 - Marise Dinis Sousa</t>
  </si>
  <si>
    <t>INSS e INSS Patronal  referente ao RPA 1482 - Marise Dinis Sousa</t>
  </si>
  <si>
    <t>FGTS 1º parcela do 13º salário</t>
  </si>
  <si>
    <t>Biotec Controle Ambiental Ltda</t>
  </si>
  <si>
    <t>ISSQN referente a nota fiscal 350 -  Biotec Controle Ambiental Ltda</t>
  </si>
  <si>
    <t>DARF/PIS referente ao pagamento de câmbio do processo 2325 - Dénètem Touam Bona</t>
  </si>
  <si>
    <t>DARF/COFINS referente ao pagamento de câmbio do processo 2325 - Dénètem Touam Bona</t>
  </si>
  <si>
    <t>ISSQN  referente ao pagamento de câmbio do processo 2325 - Dénètem Touam Bona</t>
  </si>
  <si>
    <t>CIDE  referente ao pagamento de câmbio do processo 2325 - Dénètem Touam Bona</t>
  </si>
  <si>
    <t xml:space="preserve">Tarifa Bancária referente a transferência eletrônica Férias Auxiliar de Serviços Gerais </t>
  </si>
  <si>
    <t>Tarifa Bancária referente a transferência eletrônica pagamento fornecedor : Biotec Controle Ambiental Ltda-  Processo: 2515</t>
  </si>
  <si>
    <t>Associacao Quilombola Da Comunidade De Mangueiras</t>
  </si>
  <si>
    <t xml:space="preserve">16.842.293/0001-94
</t>
  </si>
  <si>
    <t>Cheque 850.006</t>
  </si>
  <si>
    <t>gastos gerais</t>
  </si>
  <si>
    <t>Contratação de Cenografia para preparação e montagem da exposição do vídeo "Os Ajudantes" da artista Sara Ramo na Galeria Genesco Murta. Elementos cenográficos</t>
  </si>
  <si>
    <t>Processo 2574 - Fala Comercio De Cenario Ltda</t>
  </si>
  <si>
    <t>Aluguel de equipamentos de som e projeção para a exposição "Sara Ramo - Os Ajudantes".</t>
  </si>
  <si>
    <t>Processo 2571 - Emer-som Ltda</t>
  </si>
  <si>
    <t>Reembolso realizado pelo Termo de Parceria 50/2020 - IEPHA referente ao percentual (26,41% do valor total ) do aluguel da sede da Appa referente ao mês 11/2021</t>
  </si>
  <si>
    <t>Reembolso realizado pelo Termo de Parceria 50/2020 - IEPHA referente ao percentual (26,41% do valor total ) guia de IPTU - 11º parcela</t>
  </si>
  <si>
    <t>Aluguel da sede da Appa referente ao período de 10/10 a 09/11/2021</t>
  </si>
  <si>
    <t xml:space="preserve">Debatedor do filme "Funan" (França, 2017), longa-metragem de animação dirigido por Danis Do, no dia 15/12/2021 às 16h, presencialmente, no Cine Humberto Mauro. </t>
  </si>
  <si>
    <t>Processo 2471 - Leite Filmes Ltda</t>
  </si>
  <si>
    <t>37.040.206/0001-55</t>
  </si>
  <si>
    <t>Contratação de Tande Campos, profissional com olhar artístico para edição de vídeo. Considerar acompanhamento das reuniões e inserção de legendas, capa (frame), inclusão de ficha técnica, créditos e logomarcas para entrega de vídeo a partir de gravações geradas pelos bailarinos da Cia de Dança.</t>
  </si>
  <si>
    <t xml:space="preserve">589.200.306-00
</t>
  </si>
  <si>
    <t xml:space="preserve">Guia de ISSQN referente a nota fiscal 2021/34  - M2 Comunicação e Produções Eireli </t>
  </si>
  <si>
    <t>Guia de ISSQN referente a nota fiscal 2021/1832 -Patrulha Eletrônica Ltda</t>
  </si>
  <si>
    <t>Guia de ISSQN referente a nota fiscal 2021/609618 - Unimed Coperativa Médica</t>
  </si>
  <si>
    <t>Guia de ISSQN referente a nota fiscal 2021/612582 - Unimed Coperativa Médica</t>
  </si>
  <si>
    <t>Guia de ISSQN referente a nota fiscal 192 -  Christoffer Produções Artísticas Ltda</t>
  </si>
  <si>
    <t>Guia de ISSQN referente a nota fiscal 2021/1092 - Ctrl P Impressão Digital Ltda</t>
  </si>
  <si>
    <t>ISSQN referente a nota fiscal 2021/243022- Consórcio Ótimo de Bilhetagem Eletrônica</t>
  </si>
  <si>
    <t>ISSQN referente a nota fiscal 2021/261216- Consórcio Ótimo de Bilhetagem Eletrônica</t>
  </si>
  <si>
    <t>ISSQN referente a nota fiscal 2021/272778 - Consórcio Operacional de Transporte</t>
  </si>
  <si>
    <t>ISSQN referente a nota fiscal 20212021/275000 - Consórcio Operacional de Transporte</t>
  </si>
  <si>
    <t>ISSQN referente a nota fiscal 2021/275039 - Consórcio Operacional de Transporte</t>
  </si>
  <si>
    <t xml:space="preserve">Tarifa Bancária referente a transferência eletrônica pagamento fornecedor : Renzo Albierre Da Costa 08570962658 s - Processo: 2451
</t>
  </si>
  <si>
    <t xml:space="preserve">Contratação de serviço de impressão e instalação de plotagem para os textos institucionais da exposição da Mostra Tátil da Residência. </t>
  </si>
  <si>
    <t>Processo 2604 - Ctrl P Impressão Digital Ltda</t>
  </si>
  <si>
    <t xml:space="preserve">Impressão, plotagem e retirada de adesivos para a exposição"Los Ayudantes" da Artista Sara Ramo, que acontece na Galeria Genesco Murta de 10 a 31 de dezembro de 2021. </t>
  </si>
  <si>
    <t>Processo 2599 - Ctrl P Impressão Digital Ltda</t>
  </si>
  <si>
    <t>Júri Oficial - Competitiva Minas:Integrante do corpo de jurados oficiais para a competitiva minas, que irá avaliar os 10 filmes apresentados nesta seleção, escolhendo ao final do evento, o melhor filme da competitiva.</t>
  </si>
  <si>
    <t>013.901.591-40</t>
  </si>
  <si>
    <t>Reembolso realizado pelo Termo de Parceria 50/2020 - IEPHA referente ao percentual (26,41% do valor total), Manutenção de redes e computadores da sede da Appa - mês 11/2021</t>
  </si>
  <si>
    <t>Guia de ISSQN referente a nota fiscal 2021/19 - Sergio Arruda Felicio</t>
  </si>
  <si>
    <t>Guia de ISSQN referente a nota fiscal 2021/17 - Sergio Arruda Felicio</t>
  </si>
  <si>
    <t>2021/127</t>
  </si>
  <si>
    <t>Guia de ISSQN referente a nota fiscal 2021/127 -  Elisete Gomes Joaquim De Oliveira-me</t>
  </si>
  <si>
    <t>2021/135</t>
  </si>
  <si>
    <t>2021/1832</t>
  </si>
  <si>
    <t>2021/1092</t>
  </si>
  <si>
    <t xml:space="preserve">Tarifa Bancária referente a transferência eletrônica pagamento fornecedor :  Elisete Gomes Joaquim De Oliveira-me  - Processo: 2327
</t>
  </si>
  <si>
    <t xml:space="preserve">Tarifa Bancária referente a transferência eletrônica pagamento fornecedor : Ctrl P Impressão Digital Ltda  - Processo: 2252
</t>
  </si>
  <si>
    <t xml:space="preserve">ontratação de profissional para serviços de Instrutor/Monitoria quer fará o acompanhamento de público para Exposição da Mostra Tátil do programa de Residência Artística, que ocorrerá entre os dias 10 de dezembro a 10 de janeiro. </t>
  </si>
  <si>
    <t>Processo 2549 - Brenno Theotônio De Castro 10588889601</t>
  </si>
  <si>
    <t>41.037.681/0001-40</t>
  </si>
  <si>
    <t>Reposição de 07 Galões (20L) de água mineral.Aquisição de água para uso da equipe do CTPF (equipe fixa e contratada de figurino e cenário), em período de produção da ópera Viramundo.</t>
  </si>
  <si>
    <t>Compra de material de consumo / higiene e copa, para atender a equipe do CTPF, em demanda especial de produção de ópera:Café - equipe da ópera Viramundo</t>
  </si>
  <si>
    <t>08.608.007/0001-00</t>
  </si>
  <si>
    <t xml:space="preserve">Processo 2598 - M&amp;M Suprimentos Para Informática Ltda
</t>
  </si>
  <si>
    <t>Contratação de auditoria externa para as contas do Contrato de Gestão e Termo de Parceria.</t>
  </si>
  <si>
    <t>Processo 2473 - Orplan Auditores Independentes</t>
  </si>
  <si>
    <t xml:space="preserve">17.171.307/0001-58
</t>
  </si>
  <si>
    <t>Compra dos  materias diversos para atender a equipe do CTPF, em demanda especial de produção de ópera.</t>
  </si>
  <si>
    <t>Processo 2627 - Arte Group Ltda</t>
  </si>
  <si>
    <t>Reembolso a conta do Contrato de Gestão - 05/2019 uso de táxi pelos colaboradores a serviço do TP 50/2020 IEPHA - ano 2021. Referente ao mês 11/2021</t>
  </si>
  <si>
    <t xml:space="preserve">Reembolso realizado pelo Termo de Parceria 50/2020 - Iepha referente ao uso de telefone fixo da sede da Appa - consumo do mês 11/2021 - Percentual de  26,41% do valor total </t>
  </si>
  <si>
    <t>Reembolso realizado pelo Termo de Parceria 50/2020 - IEPHA referente ao percentual (26,41% do valor total ) aluguel de impressoras da sede da Appa - Mês 11/2021.</t>
  </si>
  <si>
    <t>Jéssica Parreiras Marroques</t>
  </si>
  <si>
    <t>ISSQN referente ao RPA 1486 - Jéssica Parreiras Marroques</t>
  </si>
  <si>
    <t>INSS e INSS Patronal referente ao RPA 1486 - Jéssica Parreiras Marroques</t>
  </si>
  <si>
    <t>Uso de táxi pelos funcionários a serviço do Contrato de Gestão e Termo de Parceria - Competência: 11/2021</t>
  </si>
  <si>
    <t>2021/2214</t>
  </si>
  <si>
    <t>12431789-MG</t>
  </si>
  <si>
    <t>U04928</t>
  </si>
  <si>
    <t>Contratação de Helena de Jorge Portela para ministrar a oficina de "Teatro Audiodescritivo"como parte da programação do Projeto Ações Afirmativas - Acessibilidade.</t>
  </si>
  <si>
    <t>039.134.329-73</t>
  </si>
  <si>
    <t>Gmi Distribuidora Ltda</t>
  </si>
  <si>
    <t>ISSQN referente a nota fiscal 2021/16 - Estúdio 739 De Publicidade E Propaganda Ltda</t>
  </si>
  <si>
    <t>Andrea Werner Silva Bonoli</t>
  </si>
  <si>
    <t>ISSQN referente ao RPA 1468 - Andrea Werner Silva Bonoli</t>
  </si>
  <si>
    <t>INSS e INSS Patronal referente ao RPA 1468 - Andrea Werner Silva Bonoli</t>
  </si>
  <si>
    <t xml:space="preserve">Plotagem de sinalização da exposição Cidades Imaginárias na Pequena Galeria do Palácio das Artes. Fornecedor deve produzir, instalar e retirar os adesivos. </t>
  </si>
  <si>
    <t>2021/651</t>
  </si>
  <si>
    <t>ISSQN referente a nota fiscal 2021/651 - Flag Impressao Digital Ltda</t>
  </si>
  <si>
    <t xml:space="preserve">Tarifa Bancária referente a transferência eletrônica pagamento fornecedor : Estúdio 739 De Publicidade E Propaganda Ltda  - Processo: 2643
</t>
  </si>
  <si>
    <t xml:space="preserve">Tarifa Bancária referente a transferência eletrônica pagamento fornecedor :Andrea Werner Silva Bonoli  - Processo: 2361
</t>
  </si>
  <si>
    <t>Tarifa Bancária referente a transferência eletrônica pagamento fornecedor : Flag Impressao Digital Ltda  - Processo: 2532</t>
  </si>
  <si>
    <t>Contratação de seguro empresarial para cobertura predial do CTPF - Centro Técnico de Produção e Formação da Fundação Clóvis Salgado - localizado:-Marzagão: Av. do Cartório, 140 - Sabará</t>
  </si>
  <si>
    <t>61.383.493/0001-80</t>
  </si>
  <si>
    <t>Contratação de Fotógrafo para realizar registro fotográfico dos figurinos no Palácio das Artes, nos dias 20 e 21 de dezembro (datas do evento).O profissional deverá possuir equipamento fotográfico e/de iluminação e posteriormente entregar as imagens tratadas e salvas em CD para arquivo do CTPF.</t>
  </si>
  <si>
    <t>44.572.228/0001-21</t>
  </si>
  <si>
    <t>Processo 2614 - Cassio Moreira Dos Santos 09492794632</t>
  </si>
  <si>
    <t xml:space="preserve">Reembolso a conta do Contrato de Gestão - 05/2019, referente a CO-Participação plano de saúde de dos funcionários a serviço do Termo de Parceria Iepha. Mês 10/2021 </t>
  </si>
  <si>
    <t xml:space="preserve">Reembolso a conta do Contrato de Gestão - 05/2019, referente a CO-Participação plano de saúde de dos funcionários a serviço do Termo de Parceria Iepha. Mês 08/2021 </t>
  </si>
  <si>
    <t xml:space="preserve">Reembolso a conta do Contrato de Gestão - 05/2019, referente a CO-Participação plano de saúde dos funcionários a serviço  do Termo de Parceria Iepha. Mês 092021 </t>
  </si>
  <si>
    <t>Reembolso realizado pelo Termo de Parceria 50/2020 - IEPHA referente ao percentual (26,41% do valor total ) consumo de água da sede da Appa- mês 11/2021</t>
  </si>
  <si>
    <t xml:space="preserve">ISSQN referente ao RPA 1492 - Guilherme Dias Da Silva Barreto
</t>
  </si>
  <si>
    <t xml:space="preserve">INSS e INSS Patronal referente ao RPA 1492 - Guilherme Dias Da Silva Barreto
</t>
  </si>
  <si>
    <t xml:space="preserve">DARF/IR referente ao RPA 1492 - Guilherme Dias Da Silva Barreto
</t>
  </si>
  <si>
    <t>Isabel Saraiva Gaspar Guedes</t>
  </si>
  <si>
    <t>000.015.613</t>
  </si>
  <si>
    <t>Contratação de serviço para criação de roteiro e elaboração de vídeo com depoimento do Fernando Sabino sobre sua obra, que irá compor o espetáculo " Viramundo - Uma ópera contemporânea (Montagem do Ateliê de Criação - Academia de Ópera 2021).</t>
  </si>
  <si>
    <t>20.656.919/0001-45</t>
  </si>
  <si>
    <t>ISSQN referente ao RPA 1493 - Camila Araújo De Oliveira Pinho</t>
  </si>
  <si>
    <t>DARF/IR referente ao RPA 1493 - Camila Araújo De Oliveira Pinho</t>
  </si>
  <si>
    <t>INSS e INSS Patronal  referente ao RPA 1493 - Camila Araújo De Oliveira Pinho</t>
  </si>
  <si>
    <t>2021/609618</t>
  </si>
  <si>
    <t>2021/612582</t>
  </si>
  <si>
    <t>001.21.71866865-0</t>
  </si>
  <si>
    <t>Tarifa Bancária referente a transferência eletrônica pagamento fornecedor : Rodrigo Ferreira Do Nascimento Ltda - Me  - Processo: 2623</t>
  </si>
  <si>
    <t>Tarifa Bancária referente a transferência eletrônica pagamento fornecedor : Luísa Cunha Machala 11300055693 - Processo: 2263</t>
  </si>
  <si>
    <t>Tarifa Bancária referente a transferência eletrônica pagamento fornecedor : Camila Araújo De Oliveira Pinho  - Processo: 2248</t>
  </si>
  <si>
    <t>Guia de ISSQN referente a nota fiscal 2021/20 - Sergio Arruda Felicio</t>
  </si>
  <si>
    <t>ISSQN referente ao RPA 1495 - Wagner Luiz Nardi</t>
  </si>
  <si>
    <t>DARF/IR referente ao RPA 1495 - Wagner Luiz Nardi</t>
  </si>
  <si>
    <t>INSS e INSS Patrona referente ao RPA 1495 - Wagner Luiz Nardi</t>
  </si>
  <si>
    <t>Eduardo Assis Martins</t>
  </si>
  <si>
    <t>ISSQN referente ao RPA 1485 - Eduardo Assis Martins</t>
  </si>
  <si>
    <t>INSS e INSS Patronal referente ao RPA 1485 - Eduardo Assis Martins</t>
  </si>
  <si>
    <t xml:space="preserve">Acropoluz Lampadas Especiais E Iluminação Ltda
</t>
  </si>
  <si>
    <t>Tarifa Bancária referente a transferência eletrônica pagamento fornecedor : Camila Lacerda Lopes 07900541675  - Processo: 2216</t>
  </si>
  <si>
    <t>Tarifa Bancária referente a transferência eletrônica pagamento fornecedor :Eduardo Assis Martins  - Processo: 2460</t>
  </si>
  <si>
    <t>Conversão para Blue Ray da obra " Los ayudantes", de Sara Ramos. O vídeo fornecido pela artista está em um formato não suportado pelo projetor da exposição e se faz necessária esta conversão em caráter URGENTE.- Serviço: conversão do arquivo que está em .mov para Bue-Ray.- Tamanho do arquivo original: 25GB- Áudio: 5.1</t>
  </si>
  <si>
    <t>00.141.206/0001-31</t>
  </si>
  <si>
    <t>Retenção IOF a recolher referente ao pagamento de câmbio do processo 1865 - Leonardo Garzon Ortiz</t>
  </si>
  <si>
    <t>Contratação de cachês artísticos de Maestro titular na Direção e desenvolvimento dos repertórios artísticos para os eventos da OSMG sendo presenciais ou virtuais.</t>
  </si>
  <si>
    <t>ISSQN referente a nota fiscal 2021/80 - Entrecampo Design Ltda</t>
  </si>
  <si>
    <t>Reembolso realizado pelo Termo de Parceria 50/2020 - IEPHA referente ao percentual (26,41% do valor total), referente ao telefone móvel da sede da Appa- mês 11/2021.</t>
  </si>
  <si>
    <t>Reembolso realizado pelo Termo de Parceria 50/2020 - IEPHA referente ao percentual (26,41% do valor total) consumo de energia elétrica da sede da Appa- mês 11/2021</t>
  </si>
  <si>
    <t>Graciela Pereira De Souza</t>
  </si>
  <si>
    <t>Guia de ISSQN referente ao RPA 1499 - Graciela Pereira De Souza</t>
  </si>
  <si>
    <t>INSS e INSS Patronal  referente ao RPA 1499 - Graciela Pereira De Souza</t>
  </si>
  <si>
    <t>Almac Máquinas De Costuras Ltda</t>
  </si>
  <si>
    <t xml:space="preserve">CS </t>
  </si>
  <si>
    <t>Luciana Cristina Campos 22466957833</t>
  </si>
  <si>
    <t>Tarifa Bancária referente a transferência eletrônica pagamento fornecedor : Paulo Ricardo Botelho Cordeiro  - Processo: 2560</t>
  </si>
  <si>
    <t>Tarifa Bancária referente a transferência eletrônica pagamento fornecedor : Graciela Pereira De Souza  - Processo: 2512</t>
  </si>
  <si>
    <t>Tarifa Bancária referente a transferência eletrônica pagamento fornecedor : Luciana Cristina Campos 22466957833  - Processo: 2324</t>
  </si>
  <si>
    <t>INSS retido em folha do mês 11/2021</t>
  </si>
  <si>
    <t>Contratação de Antonio Ribeiro, profissional para adaptação e transposição da obra literária para o libreto de uma pequena ópera, referente ao módulo: Criação dos libretos e composição das óperas do Ateliê de Criação da Temporada de Ópera online 2021.</t>
  </si>
  <si>
    <t>Processo 1826 - Antonio Tavares Ribeiro</t>
  </si>
  <si>
    <t>185.876.778-45</t>
  </si>
  <si>
    <t>Reembolso realizado pela conta Recusos Próprios (2462-7) referente ao pagamento da guia de GPS do mês 11/2021</t>
  </si>
  <si>
    <t>Reembolso realizado pela conta Recusos Próprios (114073) referente ao pagamento da guia de GPS do mês 11/2021</t>
  </si>
  <si>
    <t>Reembolso realizado pela conta Manutenção Corpo Artístico (15556-X) referente ao pagamento da guia de GPS do mês 11/2021</t>
  </si>
  <si>
    <t>Reembolso realizado pela conta Programa Artístico da Fundação Clóvis Salgado - CA  (15845-3 ) referente ao pagamento da guia de GPS do mês 11/2021</t>
  </si>
  <si>
    <t>Reembolso realizado pela conta Programa Artístico da Fundação Clóvis Salgado - CA  (15949-2 ) referente ao pagamento da guia de GPS do mês 11/2021</t>
  </si>
  <si>
    <t>Reembolso realizado pelo Termo de Parceria 50/2020 - IEPHA referente ao percentual 26,41% do valor total ) ao consumo de internet da Appa do mês 11/2021</t>
  </si>
  <si>
    <t>Reembolso realizado pela conta do Termo de Parceria 50/2020 - Iepha referente ao pagamento da guia de GPS (autônomo) do mês 11/2021</t>
  </si>
  <si>
    <t>Reembolso realizado pela conta do Termo de Parceria 50/2020 - Iepha referente ao pagamento da guia de GPS (empresas) do mês 11/2021</t>
  </si>
  <si>
    <t>Reembolso realizado pela conta Programa de Artes Visuais da Fundação Clóvis Salgado (16375-9) referente ao pagamento da guia de GPS do mês 11/2021</t>
  </si>
  <si>
    <t>Reembolso realizado pela conta Cinquentenário Operístico da Fundação Clóvis Salgado  (16376-7) referente ao pagamento da guia de GPS do mês 11/2021</t>
  </si>
  <si>
    <t>Reembolso realizado pela conta Projeto Morro Velho Anglo Gold referente ao pagamento da guia de GPS do mês 11/2021</t>
  </si>
  <si>
    <t>Reembolso realizado pela conta Projeto Morro Velho Anglo Gold referente ao pagamento da guia de GPS do 13º salário</t>
  </si>
  <si>
    <t>Reembolso realizado pela Área Meio - Projetos Meta do Contrato de Gestão( 16517-4) referente ao pagamento da guia de GPS do mês 11/2021</t>
  </si>
  <si>
    <t xml:space="preserve">2º parcela do 13º salário  - Gerentes de Projetos </t>
  </si>
  <si>
    <t>2º parcela do 13º salário  - Músico Instrumentista</t>
  </si>
  <si>
    <t>2º parcela do 13º salário  -  Pianista</t>
  </si>
  <si>
    <t>2º parcela do 13º salário  -  Músico Instrumentista</t>
  </si>
  <si>
    <t>2º parcela do 13º salário  -  Gerente de Projetos Dipro</t>
  </si>
  <si>
    <t>2º parcela do 13º salário  - Montador Diart</t>
  </si>
  <si>
    <t>2º parcela do 13º salário  - Músico Cantora</t>
  </si>
  <si>
    <t>2º parcela do 13º salário  -  Bailarina</t>
  </si>
  <si>
    <t>2º parcela do 13º salário  -  Presidente</t>
  </si>
  <si>
    <t xml:space="preserve">2º parcela do 13º salário  - Coordenador Administrativo </t>
  </si>
  <si>
    <t xml:space="preserve">2º parcela do 13º salário - Gerente de Projetos: Programação Artística </t>
  </si>
  <si>
    <t>2º parcela do 13º salário - Superintendente de Auditoria</t>
  </si>
  <si>
    <t>2º parcela do 13º salário -  Bailarina</t>
  </si>
  <si>
    <t>2º parcela do 13º salário - Bailarina</t>
  </si>
  <si>
    <t>2º parcela do 13º salário - Músico Cantora</t>
  </si>
  <si>
    <t>2º parcela do 13º salário - Analista Financeiro Pleno</t>
  </si>
  <si>
    <t xml:space="preserve">2º parcela do 13º salário - Analista de RH </t>
  </si>
  <si>
    <t>2º parcela do 13º salário - Músico</t>
  </si>
  <si>
    <t>2º parcela do 13º salário - Regente Assistente</t>
  </si>
  <si>
    <t>2º parcela do 13º salário -Músico cantora</t>
  </si>
  <si>
    <t>2º parcela do 13º salário - Montador Diart</t>
  </si>
  <si>
    <t>2º parcela do 13º salário - Bailarino</t>
  </si>
  <si>
    <t>2º parcela do 13º salário  - Músico Cantor</t>
  </si>
  <si>
    <t>2º parcela do 13º salário - Músico Cantor</t>
  </si>
  <si>
    <t>2º parcela do 13º salário - Assessora Pedagógica</t>
  </si>
  <si>
    <t>2º parcela do 13º salário - Músico Instrumentista</t>
  </si>
  <si>
    <t>2º parcela do 13º salário - Diretor Financeiro</t>
  </si>
  <si>
    <t>2º parcela do 13º salário - Produtora Cultural</t>
  </si>
  <si>
    <t>2º parcela do 13º salário -  Músico Instrumentista</t>
  </si>
  <si>
    <t>2º parcela do 13º salário - Produtora Cultural da Dipro</t>
  </si>
  <si>
    <t>2º parcela do 13º salário-  Bailarina</t>
  </si>
  <si>
    <t>2º parcela do 13º salário Músico</t>
  </si>
  <si>
    <t>2º parcela do 13º salário -  Bailarino</t>
  </si>
  <si>
    <t>2º parcela do 13º salário  - Auxiliar de serviços Gerais</t>
  </si>
  <si>
    <t>2º parcela do 13º salário -  Arquivista</t>
  </si>
  <si>
    <t>2º parcela do 13º salário -  Músico Cantor</t>
  </si>
  <si>
    <t>2º parcela do 13º salário - Montador Dipro</t>
  </si>
  <si>
    <t>2021/288</t>
  </si>
  <si>
    <t>ISSQN referente a nota fiscal 2021/288 - Softwares De Gestão Ltda</t>
  </si>
  <si>
    <t>12517877-MG</t>
  </si>
  <si>
    <t>Axa Xl Seguros S.A</t>
  </si>
  <si>
    <t>Apólice</t>
  </si>
  <si>
    <t>DARF/IR  ISSQN referente ao RPA 1440- Leonardo Bruno Ferreira</t>
  </si>
  <si>
    <t>INSS e INSS Patronal referente ao 13º salário</t>
  </si>
  <si>
    <t xml:space="preserve">IR retido 13º salário </t>
  </si>
  <si>
    <t>Paulo Ricardo Botelho Cordeiro</t>
  </si>
  <si>
    <t>ISSQN referente ao RPA 1496 - Paulo Ricardo Botelho Cordeiro</t>
  </si>
  <si>
    <t>INSS e INSS Patronal  referente ao RPA 1496 - Paulo Ricardo Botelho Cordeiro</t>
  </si>
  <si>
    <t>INSS e INSS Patronal referente ao RPA 1449 - Denise Fantini</t>
  </si>
  <si>
    <t>INSS e INSS Patronal  referente ao RPA 1411 - Marise Dinis Sousa</t>
  </si>
  <si>
    <t>INSS e INSS Patronal referente ao RPA 1439- Victor Hugo Marques</t>
  </si>
  <si>
    <t>INSS Patronal referente ao mês 11/2021</t>
  </si>
  <si>
    <t>DARF/PCC referente a nota fiscal 2021/609618 - Unimed Coperativa Médica</t>
  </si>
  <si>
    <t xml:space="preserve">PIS 13º salário </t>
  </si>
  <si>
    <t>Serviço de restauração em obra danificada durante o período expositivo de " Assim como os Jardins.." da artista Mariana Palma. O quadro, que ficou exposto de 04 a 12 de dezembro na Galeria Arlinda Correa Lima, recebeu uma mancha e precisou de ser avaliado e reparado por uma laudista especialista em conservação e restauração</t>
  </si>
  <si>
    <t>Processo 2659 - Alice Almeida Gontijo 09331535627</t>
  </si>
  <si>
    <t xml:space="preserve">Reembolso realizado pela conta do Termo de Parceria 50/2020 - Iepha referente ao pagamento da guia de GPS (funcionários) </t>
  </si>
  <si>
    <t>Helena Cristina Pereira Jorge</t>
  </si>
  <si>
    <t>ISSQN referente ao RPA 1505 - Helena Cristina Pereira Jorge</t>
  </si>
  <si>
    <t>INSS e INSS Patronal referente ao RPA 1505 - Helena Cristina Pereira Jorge</t>
  </si>
  <si>
    <t>Instituto Fernando Sabino</t>
  </si>
  <si>
    <t>ISSQN referente a nota fiscal 2021/1 - Instituto Fernando Sabino</t>
  </si>
  <si>
    <t xml:space="preserve">ISSQN referente a nota fiscal 2021/95 - Logus Protection Patrimonial Ltda
</t>
  </si>
  <si>
    <t xml:space="preserve">INSS e INSS Patronal referente a nota fiscal 2021/95 - Logus Protection Patrimonial Ltda
</t>
  </si>
  <si>
    <t>Tarifa Bancária referente a transferência eletrônica pagamento fornecedor : Instituto Fernando Sabino  - Processo: 2633</t>
  </si>
  <si>
    <t xml:space="preserve">Tarifa Bancária referente a transferência eletrônica pagamento fornecedor : Logus Protection Patrimonial Ltda - Processo: 2083
</t>
  </si>
  <si>
    <t>Contratação de profissional especializado em diagramação e Arte Gráfica Publicação Final (Dossiê Programa de Residência em Pesquisas Artísticas - Cefart/FCS - 2021). A mostra propõe o compartilhamento de trabalhos finais das pesquisas realizadas ao longo de um ano pelos residentes do programa, e também será publicada no formato virtual, por isso justifica-se a contratação de um profissional capacitado para produzir todo esse material.</t>
  </si>
  <si>
    <t>Processo 2622 - Gladston Da Costa Almeida 04368862600</t>
  </si>
  <si>
    <t>44.570.266/0001-45</t>
  </si>
  <si>
    <t>2021/272778</t>
  </si>
  <si>
    <t>2021/243022</t>
  </si>
  <si>
    <t>2021/275000</t>
  </si>
  <si>
    <t>2021/275039</t>
  </si>
  <si>
    <t>2021/261216</t>
  </si>
  <si>
    <t>Reembolso realizado pela conta do Termo de Parceria 50/2020 - Iepha referente ao pagamento da guia de GPS (funcionários) 13º salário</t>
  </si>
  <si>
    <t xml:space="preserve">Guia de GPS  do mês 11/2021 -Termo de parceria 50/2020 - Iepha </t>
  </si>
  <si>
    <t xml:space="preserve">Guia de GPS do mês 11/2021 -  Projeto Morro Velho Anglo Gold </t>
  </si>
  <si>
    <t xml:space="preserve">Guia de GPS do mês 11/2021 - Recusos Próprios (2462-7) </t>
  </si>
  <si>
    <t xml:space="preserve">Guia de GPS do mês 11/2021 - conta Recusos Próprios (114073) </t>
  </si>
  <si>
    <t xml:space="preserve">Guia de GPS do mês 11/2021 -  Manutenção Corpo Artístico (15556-X) </t>
  </si>
  <si>
    <t>Guia de GPS do mês 11/2021 - Programa Artístico da Fundação Clóvis Salgado - CA  (15845-3)</t>
  </si>
  <si>
    <t xml:space="preserve">Guia de GPS do mês 11/2021  - Programa Artístico da Fundação Clóvis Salgado - CA  (15949-2 ) </t>
  </si>
  <si>
    <t xml:space="preserve">Guia de GPS do mês 11/2021  - Termo de Parceria 50/2020 - Iepha </t>
  </si>
  <si>
    <t xml:space="preserve">Guia de GPS do mês 11/2021 - Programa de Artes Visuais da Fundação Clóvis Salgado (16375-9) </t>
  </si>
  <si>
    <t xml:space="preserve">Guia de GPS do mês 11/2021 - Cinquentenário Operístico da Fundação Clóvis Salgado  (16376-7) </t>
  </si>
  <si>
    <t xml:space="preserve">Guia de GPS do mês 11/2021 -  Área Meio - Projetos Meta do Contrato de Gestão( 16517-4) </t>
  </si>
  <si>
    <t>Contratação de Maria Pompeia pianista acompanhadora das aulas de balé clássico para preparo técnico dos bailarinos.</t>
  </si>
  <si>
    <t>Processo 2655 - Maria Pompéia De Melo Sant'anna Dutra 27760200668</t>
  </si>
  <si>
    <t xml:space="preserve">19.514.622/0001-66
</t>
  </si>
  <si>
    <t>Kênia E Silva Dias</t>
  </si>
  <si>
    <t>ISSQN referente ao RPA 1506 - Kênia E Silva Dias</t>
  </si>
  <si>
    <t>DARF/IR referente ao RPA 1506 - Kênia E Silva Dias</t>
  </si>
  <si>
    <t>INSS e INSS Patronal referente ao RPA 1506 - Kênia E Silva Dias</t>
  </si>
  <si>
    <t>DARF/IR referente ao RPA 1508 -  Lindberg Souza Campos Filho</t>
  </si>
  <si>
    <t>INSS e INSS Patronal referente ao RPA 1508 -  Lindberg Souza Campos Filho</t>
  </si>
  <si>
    <t>Contorno Áudio E Vídeo Ltda</t>
  </si>
  <si>
    <t>2021/168</t>
  </si>
  <si>
    <t>ISSQN referente a nota fiscal 2021/168 - Contorno Áudio E Vídeo Ltda</t>
  </si>
  <si>
    <t>Tarifa Bancária referente a transferência eletrônica pagamento fornecedor : Lindberg Souza Campos Filho - Processo: 2290</t>
  </si>
  <si>
    <t>Tarifa Bancária referente a transferência eletrônica pagamento fornecedor : Contorno Áudio E Vídeo Ltda  - Processo: 2619</t>
  </si>
  <si>
    <t>ISSQN referente ao RPA 1350 - Ewelyn Felice Da Silva</t>
  </si>
  <si>
    <t>DARF/IR referente ao RPA 1350 - Ewelyn Felice Da Silva</t>
  </si>
  <si>
    <t xml:space="preserve"> Michelle Aparecida Silva Barreto</t>
  </si>
  <si>
    <t>ISSQN referente ao RPA 1349 - Michelle Aparecida Silva Barreto</t>
  </si>
  <si>
    <t>ISSQN referente a nota fiscal 2021/20 - Mylene Youssef A Vieira - Produções E Eventos Epp</t>
  </si>
  <si>
    <t>Tetris Lab Projetos Ltda</t>
  </si>
  <si>
    <t>ISSQN referente a nota fiscal 2021/38 - Girassolina Produções Ltda</t>
  </si>
  <si>
    <t>ISSQN referente ao RPA 1355 - João Paulo De Freitas Campos</t>
  </si>
  <si>
    <t>ISSQN referente ao RPA 1357 - Ataídes Freitas Braga</t>
  </si>
  <si>
    <t>Guia de ISSQN referente a nota fiscal 2021/16 - Luiza Leandro Martins Fonseca 10287238652</t>
  </si>
  <si>
    <t>ISSQN referente a nota fiscal 2021/18 - Rafael Bruno De Oliveira Ferreira Eireli</t>
  </si>
  <si>
    <t>ISSQN referente a nota fiscal 2021/9 -  Renata Fonseca Felicissimo 10665267614</t>
  </si>
  <si>
    <t>ISSQN referente a nota fiscal 2021/30 - Hatari Filmes Ltda</t>
  </si>
  <si>
    <t>ISSQN referente ao RPA 1358 - Paulo Augusto De Mello Gomes</t>
  </si>
  <si>
    <t>Tarifa Bancária</t>
  </si>
  <si>
    <t xml:space="preserve"> Assistente de Projetos na assessoria em
planejamento e implantação de projetos da FCS</t>
  </si>
  <si>
    <t>ALLAN FERREIRA CALISTO</t>
  </si>
  <si>
    <t>Assistente de Projetos na assessoria em
planejamento e implantação de projetos para a FCS</t>
  </si>
  <si>
    <t>JULIANA DE SOUSA MARTINS PEREIRA</t>
  </si>
  <si>
    <t>COFINS ref. 09/2021</t>
  </si>
  <si>
    <t>Tatiana Alves De Carvalho Costa</t>
  </si>
  <si>
    <t>ISSQN referente a nota fiscal 2021/22 - Tatiana Alves De Carvalho Costa</t>
  </si>
  <si>
    <t>Coordenação Financeira - Programação Artística (15845-3)</t>
  </si>
  <si>
    <t>Coordenação Geral - Programação Artística (15845-3)</t>
  </si>
  <si>
    <t>DARF/IR referente a nota fiscal 2021/98 - Movimento Comunicacao Integrada Ltda</t>
  </si>
  <si>
    <t>DARF/PCC referente a nota fiscal 2021/98 - Movimento Comunicacao Integrada Ltda</t>
  </si>
  <si>
    <t>Capatção Projeto: Complemento da Programação Artística da Fundação Clóvis Salgado - CA 2018.13609.0068</t>
  </si>
  <si>
    <t>2021/3825</t>
  </si>
  <si>
    <t>Romano Comunicação Ltda</t>
  </si>
  <si>
    <t>Tarifa DOC/TEDServiço de Impressão de 02 mouse pad</t>
  </si>
  <si>
    <t>HIPER GRAPHIC DIGITAL LTDA</t>
  </si>
  <si>
    <t>05.027.658/0001-00</t>
  </si>
  <si>
    <t>2021/3113</t>
  </si>
  <si>
    <t>Edição de vídeos, realização de lives e webinários - Custos de Divulgação</t>
  </si>
  <si>
    <t>MARCO TULIO DE SOUSA ULHOA 06283026656</t>
  </si>
  <si>
    <t>23.082.168/0001-99</t>
  </si>
  <si>
    <t>Design Gráfico - Custo de Divulgação</t>
  </si>
  <si>
    <t>LUCIANA MONTEIRO CAMPELLO</t>
  </si>
  <si>
    <t>Veiculação de anúncio na Revista CONCERTO</t>
  </si>
  <si>
    <t>CLÁSSICOS EDITORIAL LTDA.</t>
  </si>
  <si>
    <t>00.723.345/0001-73</t>
  </si>
  <si>
    <t>Retenção IOF a Recolher ref. Câmbio Invisibile Film Srl</t>
  </si>
  <si>
    <t xml:space="preserve"> Direito de exibição da obra Casa Verdi</t>
  </si>
  <si>
    <t>Invisibile Film Srl</t>
  </si>
  <si>
    <t>DARF/IR referente ao câmbio  Câmbio Invisibile Film Srl</t>
  </si>
  <si>
    <t>650 Unidades de pulseiras de identificação para evento que integra temporada de ópera</t>
  </si>
  <si>
    <t>BH BAND - IDENTIFICACAO E CONTROLE DE PUBLICO</t>
  </si>
  <si>
    <t>16.746.465/0001-26</t>
  </si>
  <si>
    <t>Compra de materiais em apoio às ações que integram a Temporada de Óperas de 2021</t>
  </si>
  <si>
    <t>FAMA DISTRIBUIDORA DE COSMETICOS EIRELI</t>
  </si>
  <si>
    <t xml:space="preserve">Hospedagem para Pablo Rossi, Lina Mendes e Juliana Taino, solistas convidados no Concerto Stabat Master. </t>
  </si>
  <si>
    <t>INTERCONTINENTAL HOTELS GROUP DO BRASIL LTDA</t>
  </si>
  <si>
    <t>20215906; 20215907; 20215908</t>
  </si>
  <si>
    <t>42.289.025/0005-20</t>
  </si>
  <si>
    <t>Compra de 2 kits de 1kg cada de poliuretano expandido para fixação/restauro de peça de cenário</t>
  </si>
  <si>
    <t>CASA DA RESINA LTDA - EPP</t>
  </si>
  <si>
    <t>21.107.024/0001-14</t>
  </si>
  <si>
    <t>Isabella &amp; Pedro Comércio de Maquiagem Ltda.</t>
  </si>
  <si>
    <t>2 blush cor marrom e dois trios de contorno facial - para caracterização dos personagens da Ópera.</t>
  </si>
  <si>
    <t>31.742.952/0001-04</t>
  </si>
  <si>
    <t>SIMONE GALLO PIMENTA 81396716653</t>
  </si>
  <si>
    <t>Produtora Executiva da Temporada de Ópera on-line 2021</t>
  </si>
  <si>
    <t>38.046.863/0001-72</t>
  </si>
  <si>
    <t>TNT 100 X 1,40 PRETO M. BRASIL</t>
  </si>
  <si>
    <t>FONSECA COUROS EIRELI</t>
  </si>
  <si>
    <t>MW VIAGENS INTELIGENTES OPERADORA E AGENCIA DIGITAL EIRELI</t>
  </si>
  <si>
    <t>Compra de 01 passagem terrestre em ônibus para convidada solista do elenco do espetáculo</t>
  </si>
  <si>
    <t>SIGNUMWEB COMUNICACAO INCLUSIVA LTDA - ME</t>
  </si>
  <si>
    <t>27.785.481/0001-44</t>
  </si>
  <si>
    <t xml:space="preserve"> Interprete de libras para evento presencial - Concerto Stabat Mater</t>
  </si>
  <si>
    <t>B&amp;C PRODUTOS DE LIMPEZA E
EMBALAGENS LTDA</t>
  </si>
  <si>
    <t>11.065.582/0001-00</t>
  </si>
  <si>
    <t>MASCARA CIRURGICA TRIPLA C/ELASTICO C/50</t>
  </si>
  <si>
    <t>UNICUSTO LIMPEZA EM EVENTOS LTDA</t>
  </si>
  <si>
    <t>ELIAS DO CARMO ME</t>
  </si>
  <si>
    <t>D.F PRODUCOES E PRESTACAO DE SERVICOS - EIRELI</t>
  </si>
  <si>
    <t>10.451.580/0001-97</t>
  </si>
  <si>
    <t>Carregadores (10 diárias) para a preparação e produção do espetáculo Tolomeu e Alessandro</t>
  </si>
  <si>
    <t xml:space="preserve"> Locação de equipamento de Iluminação</t>
  </si>
  <si>
    <t>Locação de equipamentos de projeção - legendas em placa de Led, projeção e transmissão on-line</t>
  </si>
  <si>
    <t>ESPONJA BELLIZ DESIGNER</t>
  </si>
  <si>
    <t xml:space="preserve"> Pulseiras de identificação</t>
  </si>
  <si>
    <t xml:space="preserve"> Locação de equipamentos de sonorização, captação de áudio e masterização de mídia na montagem e apresentação da ópera Tolomeu e Alessandro</t>
  </si>
  <si>
    <t>MURILLO CORREA E CIA SOM E LUZ LTDA</t>
  </si>
  <si>
    <t>00.099.221/0001-69</t>
  </si>
  <si>
    <t>DAMASCO COMUNICACAO EIRELI</t>
  </si>
  <si>
    <t>FLAG IMPRESSAO DIGITAL LTDA</t>
  </si>
  <si>
    <t xml:space="preserve"> Locação de equipamentos de projeção - legendas em placa de Led, projeção e transmissão on-line</t>
  </si>
  <si>
    <t xml:space="preserve"> Equipe técnica de produção para montagem da ópera Tolomeu e Alessandro - Camareira</t>
  </si>
  <si>
    <t xml:space="preserve"> Equipe técnica de produção para montagem da ópera Tolomeu e Alessandro - Cenotécnico</t>
  </si>
  <si>
    <t xml:space="preserve"> Equipe técnica de produção para montagem da ópera Tolomeu e Alessandro - Maquiador</t>
  </si>
  <si>
    <t>Equipe técnica de produção para montagem da ópera Tolomeu e Alessandro - Aderecista</t>
  </si>
  <si>
    <t xml:space="preserve"> Equipe técnica de produção para montagem da ópera Tolomeu e Alessandro - Contra-regra</t>
  </si>
  <si>
    <t xml:space="preserve"> Equipe técnica de produção para montagem da ópera Tolomeu e Alessandro - Costureira</t>
  </si>
  <si>
    <t>Equipe técnica de produção para montagem da ópera Tolomeu e Alessandro - Cabeleleiro</t>
  </si>
  <si>
    <t xml:space="preserve"> Impressão de 1 Banner 100 x 150 e 1 Placão em lona 150 x 500 da ópera Tolomeu e Alessandro</t>
  </si>
  <si>
    <t>Direção Artística musical dos áudios dos cantores do CLMG e músicos Instrumentistas da OSMG, para elaboração do video coletivo da OSMG e Coral Lírico de Minas Gerais. Conteúdos gerados pelos artistas em formato de audio para exibição na internet do video coletivo OSMG e CLMG</t>
  </si>
  <si>
    <t>Processo 2696 - Christoffer Produções Artísticas Ltda</t>
  </si>
  <si>
    <t>Processo 2575 - Sara Ramo Affonso</t>
  </si>
  <si>
    <t>Licenciamento da obra "Os Ajudantes" da artista Sara Ramo para exibição em exposição de mesmo nome que acontecerá no Palácio das Artes, na Galeria Genesco Murta, de 10 a 31 de dezembro de 2021. Título da obra:'Os Ajudantes (Los Ayudantes)', 2015./ Técnica: Video HD, color, audio 5.1. / Duração:19’26”.</t>
  </si>
  <si>
    <t>056.631.786-94</t>
  </si>
  <si>
    <t>Processo 2656 - Waneska Torres De Oliveira Cezar</t>
  </si>
  <si>
    <t>Contratação de Waneska Cezar, professora para preparação dos bailarinos da CDPA em janeiro de 2022, sendo 6 aulas com horários a serem definidos.</t>
  </si>
  <si>
    <t>Processo 2688 - Distribuidora Triângulo Ltda</t>
  </si>
  <si>
    <t>17.498.163/0001-49</t>
  </si>
  <si>
    <t>Compra de 2 Rolos de Plástico Bolha-1,30mtrs x 100 Metros -Cor: transparente -Medida: 1,30m x 100 Metros. Material necessário para proteção, manutenção e transporte do Elefante Cênico HARI que fez parte da exposição de 50 anos da FCS.Plástico bolha para repor o material emprestado com a GEAVI para a desmontagem da exposição do HARI.</t>
  </si>
  <si>
    <t>Processo 2678 - Elisete Gomes Joaquim De Oliveira-ME</t>
  </si>
  <si>
    <t>Contratação de Músico instrumentista fagotista para tocar o primeiro fagote e compor o naipe das mateiras na gravação do video coletivo OSMG e CLMG, para APRESENTAÇÕES E ENSAIOS NO MÊS DE DEZEMBRO de 2021 e ensaios e apresentações no mês de FEVEREIRO DE 2022.</t>
  </si>
  <si>
    <t>INSS e INSS Patronal referente ao RPA 1504 - Livia Sabbag Da Silva Ramos</t>
  </si>
  <si>
    <t>Guia de ISSQN referente ao RPA1504 - Livia Sabbag Da Silva Ramos</t>
  </si>
  <si>
    <t>DARF/IR referente RPA1504 - Livia Sabbag Da Silva Ramos</t>
  </si>
  <si>
    <t>Férias Coordenador Administrativo</t>
  </si>
  <si>
    <t>Alexandre Guilherme De Rabelo Campos</t>
  </si>
  <si>
    <t>ISSQN referente ao RPA 1507 - Alexandre Guilherme De Rabelo Campos</t>
  </si>
  <si>
    <t>INSS e INSS Patronal  referente ao RPA 1507 - Alexandre Guilherme De Rabelo Campos</t>
  </si>
  <si>
    <t>Tarifa Bancária referente a transferência eletrônica pagamento fornecedor: Alexandre Guilherme De Rabelo Campos - Processo 2602</t>
  </si>
  <si>
    <t>Tarifa Bancária referente a transferência eletrônica pagamento fornecedor: Maria Pompéia De Melo Sant'anna Dutra 27760200668 - Processo 2238</t>
  </si>
  <si>
    <t>Depósito On line</t>
  </si>
  <si>
    <t>Tms Telecomunicações Ltda</t>
  </si>
  <si>
    <t>Tarifa Bancária referente a transferência eletrônica pagamento fornecedor: Tms Telecomunicações Ltda - Processo 1117/2020</t>
  </si>
  <si>
    <t>Reembolso realizado pelo Termo de Parceria 50/2020 - IEPHA referente ao percentual (26,41% do valor total ) aluguel de PABX da sede da Appa- mês 11/2021.</t>
  </si>
  <si>
    <t>Cofins referente aos rendimentos de aplicações financeiras do mês 11/2021.</t>
  </si>
  <si>
    <t>Processo 2701 - Unicusto Limpeza Em Eventos Ltda</t>
  </si>
  <si>
    <t>Contratação de diária de carregador para executar a limpeza dos entulhos deixados em ocasião da produção da ópera "Viramundo", no CTPF Andradas. Retirada de entulhos de madeira, caixas de papelão e outros resíduos.</t>
  </si>
  <si>
    <t>Reembolso realizado pelo Termo de Parceria 50/2020 - IEPHA referente ao percentual (26,41% do valor total), telefone móvel para os funcionários a serviço do IEPHA, referente ao mês 11/2021.</t>
  </si>
  <si>
    <t>Consumo de telefone móvel para os funcionários a serviço do Contrato de Gestão  e Termo de Parceria IEPHA referente ao mês 11/2021.</t>
  </si>
  <si>
    <t>02.21.2676958.40</t>
  </si>
  <si>
    <t>Sompo Seguros S.A</t>
  </si>
  <si>
    <t>Processo 2700 - Lafaete Gestão Ambiental Ltda</t>
  </si>
  <si>
    <t>22.101.690/0001-08</t>
  </si>
  <si>
    <t xml:space="preserve"> Locação de 01 caçamba para executar a limpeza dos entulhos deixados em ocasião da produção da ópera "Viramundo", no CTPF Andradas. Retirada de entulhos de madeira, caixas de papelão e outros resíduos.</t>
  </si>
  <si>
    <t>JAMES FENSTERSEIFER</t>
  </si>
  <si>
    <t>PEDRO ZANATTA MIRANDA HORN</t>
  </si>
  <si>
    <t>ISABELE ALVES DA SILVA GUIMARAES 03261876697</t>
  </si>
  <si>
    <t>SAVIO ALVES OLIVEIRA 12045391620</t>
  </si>
  <si>
    <t>BORRACHAS IMPERIO LTDA</t>
  </si>
  <si>
    <t>374.799.621-34</t>
  </si>
  <si>
    <t>151.964.416-70</t>
  </si>
  <si>
    <t>39.242.943/0001-66</t>
  </si>
  <si>
    <t>43.227.117/0001-15</t>
  </si>
  <si>
    <t>19.234.491/0001-63</t>
  </si>
  <si>
    <t>Iluminador cênico, na montagem e apresentação da ópera Tolomeu e Alessandro</t>
  </si>
  <si>
    <t>04 afinações de instrumento ''cravo'' para os
ensaios e apresentações da ópera Tolomeu e Alessandro</t>
  </si>
  <si>
    <t xml:space="preserve"> Musicista instrumentista barroca na montagem, gravação e apresentação da ópera Tolomeu e Alessandro</t>
  </si>
  <si>
    <t>Cantor Solista na montagem, gravação e apresentação da ópera Tolomeu e Alessandro</t>
  </si>
  <si>
    <t>Compra das borrachas para montagem das estruturas de acrílicos de proteção</t>
  </si>
  <si>
    <t>Coordenação Administrativo-Financeira - Cinquentenário Operístico da FCS</t>
  </si>
  <si>
    <t>TIA VIVI BUFFET SAUDAVEL LTDA</t>
  </si>
  <si>
    <t>HENRIQUE PASSINI</t>
  </si>
  <si>
    <t>32.584.996/0001-16</t>
  </si>
  <si>
    <t>054.697.646-80</t>
  </si>
  <si>
    <t xml:space="preserve"> Fornecimento de kit lanches para elenco, núcleo de criação e músicos do espetáculo</t>
  </si>
  <si>
    <t xml:space="preserve"> Assistente de direção de cena na montagem e apresentação da ópera Tolomeu e Alessandro</t>
  </si>
  <si>
    <t>Devolução realizada pelo fornecedor  referente ao ISSQN que é devido e foi pago o valor brutoda NF 69 - Almac Máquinas De Costuras Ltda - Processo 2516</t>
  </si>
  <si>
    <t>Reembolso de juros referente ao pagamento em atraso do PIS referente a folha de pagamento do mês 11/2021.</t>
  </si>
  <si>
    <t>PIS referente a folha de pagamento do mês 11/2021.</t>
  </si>
  <si>
    <t>INSS retido férias Coordenador Administrativo - Flávio César Pereira</t>
  </si>
  <si>
    <t>IR retido férias Coordenador Administrativo - Flávio César Pereira</t>
  </si>
  <si>
    <t>ISSQN - ROMANO COMUNICACAO LTDA NF: 2021102</t>
  </si>
  <si>
    <t>ISSQN - HIPER GRAPHIC DIGITAL LTDA NF: 20213113</t>
  </si>
  <si>
    <t>ISSQN - MOVIMENTO COMUNICACAO INTEGRADA LTDA NF: 202198</t>
  </si>
  <si>
    <t>ISSQN - F6 SISTEMAS DE INFORMATICA LTDA NF: 20213825</t>
  </si>
  <si>
    <t>YANNICK FALISSE</t>
  </si>
  <si>
    <t>OLIVEIRA ANDRADE SERVICOS DE MONITORAMENTO DE INFORMACOES LTDA</t>
  </si>
  <si>
    <t>749.701.351-34</t>
  </si>
  <si>
    <t>18.715.383/0001-40</t>
  </si>
  <si>
    <t>Criação, concepção e execução de identidade visual da exposição “50 anos em 5 atos”</t>
  </si>
  <si>
    <t>Serviços de clipagem das atividades da FCS</t>
  </si>
  <si>
    <t>PCachê Comissão de Seleção - Ajuizador de filme na comissão de seleção de filmes Nacionais do 23º FestCurtasBH</t>
  </si>
  <si>
    <t>ÉRICO OLIVEIRA DE ARAúJO LIMA</t>
  </si>
  <si>
    <t xml:space="preserve"> Bh Notebooks Ltda</t>
  </si>
  <si>
    <t>Etc Comunicação Empresarial Ltda</t>
  </si>
  <si>
    <t>2021/4284</t>
  </si>
  <si>
    <t xml:space="preserve">Capatção Projeto: 16185-3 - Cine Humberto Mauro - Programação e Fomento 2018 Pronac: 17.8919  -  Belgo Bekaert </t>
  </si>
  <si>
    <t xml:space="preserve">Capatção Projeto: 16185-3 - Cine Humberto Mauro - Programação e Fomento 2018 Pronac: 17.8919  -  Arcelormittal </t>
  </si>
  <si>
    <t>Capatção Projeto: 15949-2 - Complemento da Programação Artística da Fundação Clóvis Salgado - CA 2018.13609.0068  -  Cemig</t>
  </si>
  <si>
    <t>Capatção Projeto:  16376-7 - Cinquentenário Operístico da Fundação Clóvis Salgado - Pronac: 20.3579</t>
  </si>
  <si>
    <t>Capatção Projeto: 16375-9 - Programa de Artes Visuais da Fundação Clóvis Salgado Pronac: 17.7912</t>
  </si>
  <si>
    <t>Hba Tecnologia Consultoria E Serviços Em Tecnologia Da Informática Ltda</t>
  </si>
  <si>
    <t>2021/450</t>
  </si>
  <si>
    <t>Locação de 01 computador, conforme termo anexo. Previsão da locação: inicio de julho, com permanência de uso de 90 dias.</t>
  </si>
  <si>
    <t>Atacadão das Tintas Ltda.</t>
  </si>
  <si>
    <t>Compra de tinta verde sertão</t>
  </si>
  <si>
    <t>COFINS ref. 10/2021</t>
  </si>
  <si>
    <t xml:space="preserve"> Direito Autoral de imagens para publicação em catálogo e reprodução na exposição imersiva
Cosmopoéticas do (In)Visível</t>
  </si>
  <si>
    <t>737.226.506-15</t>
  </si>
  <si>
    <t>Ricardo Jose Aleixo De Brito</t>
  </si>
  <si>
    <t xml:space="preserve"> Khaunbiow Elom Kossi</t>
  </si>
  <si>
    <t>Retenção IOF a recolher referente ao pagamento de câmbio do processo 2380  -  Khaunbiow Elom Kossi</t>
  </si>
  <si>
    <t>DARF/IR referente ao câmbio do processo 2380  -  Khaunbiow Elom Kossi</t>
  </si>
  <si>
    <t>DARF/COFINS referente ao câmbio do processo 2380  -  Khaunbiow Elom Kossi</t>
  </si>
  <si>
    <t>DARF/PIS referente ao câmbio do processo 2380  -  Khaunbiow Elom Kossi</t>
  </si>
  <si>
    <t>058.906.876-89</t>
  </si>
  <si>
    <t>363.470.888-35</t>
  </si>
  <si>
    <t>062.446.827-50</t>
  </si>
  <si>
    <t>14.519.786/0001-62</t>
  </si>
  <si>
    <t>DENISE FERREIRA DA COSTA CRUZ</t>
  </si>
  <si>
    <t>RAFAEL RODRIGUES GOMES DA SILVA</t>
  </si>
  <si>
    <t>SEBASTIAN ALEXI WIEDEMANN CABALLERO</t>
  </si>
  <si>
    <t>LEONARDO SANTOS FRANCELINO GONÇALVES 87000571691</t>
  </si>
  <si>
    <t>ISSQN referente ao RPA 1457 - DENISE FERREIRA DA COSTA CRUZ</t>
  </si>
  <si>
    <t>INSS e INSS Patronal referente ao RPA 1457 - DENISE FERREIRA DA COSTA CRUZ</t>
  </si>
  <si>
    <t>Júri Nacional Oficial - Competitiva Minas</t>
  </si>
  <si>
    <t xml:space="preserve"> Debatedor dentro do programa da mostra especial titulada Cosmopoéticas do (in)visível</t>
  </si>
  <si>
    <t>ISSQN referente ao RPA 1456 - RAFAEL RODRIGUES GOMES DA SILVA</t>
  </si>
  <si>
    <t>INSS e INSS Patronal  referente ao RPA 1456 - RAFAEL RODRIGUES GOMES DA SILVA</t>
  </si>
  <si>
    <t xml:space="preserve"> Debatedor para a programação do 23º FestcurtasBH</t>
  </si>
  <si>
    <t>Debatedor para programação do 23º FestCurtasBH</t>
  </si>
  <si>
    <t>INSS e INSS Patronal ao RPA 1460 - SEBASTIAN ALEXI WIEDEMANN CABALLERO</t>
  </si>
  <si>
    <t>ISSQN referente ao RPA 1460 - SEBASTIAN ALEXI WIEDEMANN CABALLERO</t>
  </si>
  <si>
    <t>IZABEL DE FATIMA CRUZ MELO</t>
  </si>
  <si>
    <t>GABRIEL AUGUSTO REIS DE ARAUJO</t>
  </si>
  <si>
    <t>JULIA KATHARINE OKADA 24549802820</t>
  </si>
  <si>
    <t>778.196.755-00</t>
  </si>
  <si>
    <t>132.361.666-73</t>
  </si>
  <si>
    <t>30.625.506/0001-57</t>
  </si>
  <si>
    <t>Debatedor para a programação do 23º FestcurtasBH</t>
  </si>
  <si>
    <t>ISSQN referente ao RPA 1459 - IZABEL DE FATIMA CRUZ MELO</t>
  </si>
  <si>
    <t>INSS e INSS Patronal referente ao RPA 1459 - IZABEL DE FATIMA CRUZ MELO</t>
  </si>
  <si>
    <t xml:space="preserve"> Júri Nacional Oficial - Competitiva Minas</t>
  </si>
  <si>
    <t>ISSQN referente ao RPA 1458 - GABRIEL AUGUSTO REIS DE ARAUJO</t>
  </si>
  <si>
    <t>INSS e INSS Patronal referente ao RPA 1458 - GABRIEL AUGUSTO REIS DE ARAUJO</t>
  </si>
  <si>
    <t>Júri Nacional Oficial - Competitiva Internacional</t>
  </si>
  <si>
    <t>DRAM 0221221676797</t>
  </si>
  <si>
    <t>DRAM 0221221677416</t>
  </si>
  <si>
    <t>Maria De Fátima Augusto</t>
  </si>
  <si>
    <t>Anthony Ribeiro Dos Santos 05986534573</t>
  </si>
  <si>
    <t>ISSQN referente a nota fiscal 2021/24 - Tatiana Alves De Carvalho Costa</t>
  </si>
  <si>
    <t>Banco do Brasil S.A</t>
  </si>
  <si>
    <t>Walli Sedix Fall</t>
  </si>
  <si>
    <t>IOF ref. Câmbio - Walli Sedix Fall</t>
  </si>
  <si>
    <t>Câmbio referente a prestação de serviço de Curadoria para a mostra
especial do 23º Festcurtas BH</t>
  </si>
  <si>
    <t>IRRF ref. Câmbio - Walli Sedix Fall</t>
  </si>
  <si>
    <t>COFINS IMPORTAÇÃO 11/2021 - WALLI SEDIX FALL</t>
  </si>
  <si>
    <t>PIS IMPORTAÇÃO 11/2021 - WALLI SEDIX FALL</t>
  </si>
  <si>
    <t>ISSQN referente ao câmbio - Processo 2380 - Khaunbiow Elom Kossi</t>
  </si>
  <si>
    <t xml:space="preserve"> Thales Henrique Vieira Sabino 09440374616
</t>
  </si>
  <si>
    <t>Processo 1137 - BD SERVICOS E CONSULTORIA LTDA</t>
  </si>
  <si>
    <t>ISSQN referente a nota fiscal 2021/14 - BD SERVICOS E CONSULTORIA LTDA</t>
  </si>
  <si>
    <t>BD SERVICOS E CONSULTORIA LTDA</t>
  </si>
  <si>
    <t>Guia de ISSQN referente a nota fiscal 2021/13 - BD SERVICOS E CONSULTORIA LTDA</t>
  </si>
  <si>
    <t>Apoio às demandas administrativas do Setor de Comunicação</t>
  </si>
  <si>
    <t>40.415.688/0001-95</t>
  </si>
  <si>
    <t>PAOLA SAMORA DE FARIA CAMPOS 08817435694</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</si>
  <si>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07</t>
  </si>
  <si>
    <t>ISSQN referente a nota fiscal 2021/47 - Arco Cultural Ltda</t>
  </si>
  <si>
    <t>ISSQN referente a nota fiscal 2021/46 - Arco Cultural Ltda</t>
  </si>
  <si>
    <t>ISSQN referente ao RPA 1417 - Cintya Juliana Souza Santos Dias</t>
  </si>
  <si>
    <t>DARF/IR referente ao RPA 1417 - Cintya Juliana Souza Santos Dias</t>
  </si>
  <si>
    <t>2021/1403</t>
  </si>
  <si>
    <t xml:space="preserve">DARF/IR referente a nota fiscal 2021/1403 - Krypton Serviços Contábeis S. S. </t>
  </si>
  <si>
    <t xml:space="preserve">DARF/PCC referente a nota fiscal 2021/1403 - Krypton Serviços Contábeis S. S. </t>
  </si>
  <si>
    <t>2021/163</t>
  </si>
  <si>
    <t xml:space="preserve">ISSQN referente a nota fiscal 2021/163 - Dolabella Advocacia e Consultoria </t>
  </si>
  <si>
    <t>ISSQN referente a nota fiscal 2021/8 - Sinara Araujo Costa Sociedade Individual De Advocacia</t>
  </si>
  <si>
    <t>Guia de ISSQN referente a nota fiscal 2021/7 - Sinara Araujo Costa Sociedade Individual De Advocacia</t>
  </si>
  <si>
    <t>Apoio na Produção Executiva e supervisão de ações e projetos da APPA</t>
  </si>
  <si>
    <t xml:space="preserve">Arreda Producoes E Eventos Ltda
</t>
  </si>
  <si>
    <t>40.017.090/0001-48</t>
  </si>
  <si>
    <t xml:space="preserve">ISSQN referente a nota fiscal 2021/17 - Arreda Producoes E Eventos Ltda
</t>
  </si>
  <si>
    <t>Coordenação Administrativo-Financeira (16376-7)</t>
  </si>
  <si>
    <t>Digitação e edição de processos de compras e contratações</t>
  </si>
  <si>
    <t>Contratação de profissional para prestação de serviços de gestão de projetos</t>
  </si>
  <si>
    <t>PEREZ BERTACHINI TRADUCOES E PROJETOS LTDA</t>
  </si>
  <si>
    <t>19.272.759/0001-51</t>
  </si>
  <si>
    <t>ISSQN referente a nota fiscal 2021/17 - PEREZ BERTACHINI TRADUCOES E PROJETOS LTDA</t>
  </si>
  <si>
    <t>Contratação de profissional para suporte ao setor de compras e contratações</t>
  </si>
  <si>
    <t>ARTELIVRE PRODUCAO E COMUNICACAO LTDA</t>
  </si>
  <si>
    <t>04.161.336/0001-97</t>
  </si>
  <si>
    <t>ISSQN referente a nota fiscal 2021/20 - ARTELIVRE PRODUCAO E COMUNICACAO LTDA</t>
  </si>
  <si>
    <t>Férias do Montador Diart</t>
  </si>
  <si>
    <t>Rendimentos de aplicações financeiras do mês 12/2021</t>
  </si>
  <si>
    <t>Imposto de Renda referente aos rendimentos de aplicações financeiras do mês 12/2021</t>
  </si>
  <si>
    <t>Rendimento líquido de aplicação financeira do mês 12/2021.</t>
  </si>
  <si>
    <t>Rendimentos de Aplicações Financeiras do mês 12/2021</t>
  </si>
  <si>
    <t xml:space="preserve">Associação Pró-Cultura e Promoção das Artes (Conta Reserva) </t>
  </si>
  <si>
    <t>Cofins referente aos rendimentos de Aplicações Financerias do mês 12/2021</t>
  </si>
  <si>
    <t xml:space="preserve">2158 - Erika Ziller 02932115669 - Arreda Produções </t>
  </si>
  <si>
    <t>Processo 2716 - Ewelyn Felice Da Silva</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</si>
  <si>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03</t>
  </si>
  <si>
    <t>2021/273138</t>
  </si>
  <si>
    <t>ISSQN referente a nota fiscal 2021/273138 - Consórcio Ótimo de Bilhetagem Eletrônica</t>
  </si>
  <si>
    <t>2021/309931</t>
  </si>
  <si>
    <t>2021/296189</t>
  </si>
  <si>
    <t>ISSQN referente a nota fiscal 2021/309931 - Consórcio Operacional Transporte Coletivo</t>
  </si>
  <si>
    <t>ISSQN referente a nota fiscal 2021/296189 - Consórcio Operacional Transporte Coletivo</t>
  </si>
  <si>
    <t>Contratação de profissional selecionado no edital de monitoria da APPA para acompanhamento do público durante a exposição "Magister Raffaello" na Grande Galeria Alberto da Veiga Guignard.</t>
  </si>
  <si>
    <t>Processo 2734 - Suellen Silva Araújo Magalhães</t>
  </si>
  <si>
    <t xml:space="preserve">097.529.656-50
</t>
  </si>
  <si>
    <t>Contratação de profissional selecionado no edital de monitoria da APPApara acompanhamento da exposição "Magister Raffaello" na Grande Galeria Alberto da Veiga Guignard</t>
  </si>
  <si>
    <t>Processo 2736 - Fabricio Eduardo De Brito</t>
  </si>
  <si>
    <t>117.922.866-94</t>
  </si>
  <si>
    <t>ISSQN referente ao RPA 1404 -  Angela Peres De Oliveira</t>
  </si>
  <si>
    <t>DARF referente ao RPA 1404 -  Angela Peres De Oliveira</t>
  </si>
  <si>
    <t>MARIA IZABEL CORREA DE OLIVEIRA 06085003641</t>
  </si>
  <si>
    <t>Digitação de textos, planilhas, mapas de custos, controles</t>
  </si>
  <si>
    <t>ISSQN referente ao RPA 1465 -  Angela Peres De Oliveira</t>
  </si>
  <si>
    <t>DARF referente ao RPA 1465 -  Angela Peres De Oliveira</t>
  </si>
  <si>
    <t>INSS e INSS Patronal referente ao RPA 1465 -  Angela Peres De Oliveira</t>
  </si>
  <si>
    <t>COFINS ref. 11/2021</t>
  </si>
  <si>
    <t>MLABS SOFTWARE S.A.</t>
  </si>
  <si>
    <t>Contratação de ferramenta de gerenciamento de mídias sociais (Mlabs) com o seguinte escopo: - Agendamento de posts com customizações- Gestão de mensagens - SAC social- Workflow- Interação com seguidores- Relatórios de redes sociais- Insights para otimização- Monitoramento de concorrentes- Múltiplos usuários- Calendário de posts. Plano anual, pacote completo: 1 perfil profissional</t>
  </si>
  <si>
    <t>ISSQN referente a nota fiscal 2021/48 - Arco Cultural Ltda</t>
  </si>
  <si>
    <t>ISSQN referente ao RPA 1466 - Cintya Juliana Souza Santos Dias</t>
  </si>
  <si>
    <t>DARF/IR referente ao RPA 1466 - Cintya Juliana Souza Santos Dias</t>
  </si>
  <si>
    <t>INSS e INSS Patronal referente ao RPA 1466 - Cintya Juliana Souza Santos Dias</t>
  </si>
  <si>
    <t>ISSQN referente a nota fiscal 2021/49 - Arco Cultural Ltda</t>
  </si>
  <si>
    <t xml:space="preserve"> BD SERVICOS E CONSULTORIA LTDA</t>
  </si>
  <si>
    <t>ISSQN referente a nota fiscal 2021/15 - BD SERVICOS E CONSULTORIA LTDA</t>
  </si>
  <si>
    <t xml:space="preserve"> Licenciamento de ferramenta para gerenciamento de um perfil profissional no LinkedIn</t>
  </si>
  <si>
    <t>ARTES GRAFICAS FORMATO LTDA</t>
  </si>
  <si>
    <t>Impressão de material gráfico institucional da APPA</t>
  </si>
  <si>
    <t>2021/1736</t>
  </si>
  <si>
    <t xml:space="preserve">ISSQN referente a nota fiscal 2021/1736 - ARTES GRAFICAS FORMATO LTDA </t>
  </si>
  <si>
    <t xml:space="preserve">ISSQN referente a nota fiscal 2021/18 - Arreda Produções </t>
  </si>
  <si>
    <t>ISSQN referente a nota fiscal 2021/9 - Sinara Araujo Costa Sociedade Individual De Advocacia</t>
  </si>
  <si>
    <t>ISSQN referente a nota fiscal 2021/23 - ARTELIVRE PRODUCAO E COMUNICACAO LTDA</t>
  </si>
  <si>
    <t>Guia de ISSQN referente ao RPA 1500 - Cleber José Leão</t>
  </si>
  <si>
    <t>DARF/IR  referente ao RPA 1500 - Cleber José Leão</t>
  </si>
  <si>
    <t>INSS e INSS Patronal referente ao RPA 1500 - Cleber José Leão</t>
  </si>
  <si>
    <t>Compra de toner HP</t>
  </si>
  <si>
    <t>DOMINE INFORMATICA LTDA - ME</t>
  </si>
  <si>
    <t>06.106.910/0001-30</t>
  </si>
  <si>
    <t>Compra de materiais de escritório</t>
  </si>
  <si>
    <t>DUISA PAPELARIA, LIVRARIA E UNIFORM - PAPELARIA BIKAS</t>
  </si>
  <si>
    <t>ISSQN referente a nota fiscal 2021/23 - PEREZ BERTACHINI TRADUCOES E PROJETOS LTDA</t>
  </si>
  <si>
    <t>ISSQN referente a nota fiscal 195 - Christoffer Produções Artísticas Ltda</t>
  </si>
  <si>
    <t>ISSQN referente a nota fiscal 190 - Christoffer Produções Artísticas Ltda</t>
  </si>
  <si>
    <t>ISSQN - ALLAN FERREIRA CALISTO RPA: 1381</t>
  </si>
  <si>
    <t>ISSQN - JULIANA DE SOUSA MARTINS PEREIRA RPA 1382</t>
  </si>
  <si>
    <t>ISSQN - TETRIS LAB PROJETOS LTDA NF: 20217</t>
  </si>
  <si>
    <t>ISSQN referente a nota fiscal 2021/34 - Hatari Filmes Ltda</t>
  </si>
  <si>
    <t>ISSQN referente a nota fiscal 2021/46 - Girassolina Produções Ltda</t>
  </si>
  <si>
    <t>IRRF ref. RPA 1381 - ALLAN FERREIRA CALISTO</t>
  </si>
  <si>
    <t>IRRF ref. RPA 1382 - JULIANA DE SOUSA MARTINS PEREIRA</t>
  </si>
  <si>
    <t xml:space="preserve">Uso de táxi pelos funcionários a serviço do Contrato de Gestão </t>
  </si>
  <si>
    <t xml:space="preserve">Coopertaxi </t>
  </si>
  <si>
    <t>ISSQN referente a RPA 1406 - Michelle Aparecida da Silva Barreto</t>
  </si>
  <si>
    <t>ISSQN referente a RPA 1407 - Ewelyn Felice da Silva</t>
  </si>
  <si>
    <t>ISSQN referente a RPA 1415 - Juliana de Souza Martins Pereira</t>
  </si>
  <si>
    <t xml:space="preserve">ISSQN referente a RPA 1416 - Allan  Ferreira Calisto </t>
  </si>
  <si>
    <t>ISSQN referente a nota fiscal 2021/8 - Tetris Lab Projetos Ltda.</t>
  </si>
  <si>
    <t>ISSQN referente a nota fiscal 2021/10 - Renata Fonseca Felicissimo</t>
  </si>
  <si>
    <t>ISSQN referente a nota fiscal 2021/19 - Rafael Bruno de Oliveira  Ferreira</t>
  </si>
  <si>
    <t>ISSQN referente a nota fiscal 2021/23 - Mylene Youssef A. Vieira Produções e Eventos</t>
  </si>
  <si>
    <t>ISSQN referente a nota fiscal 2021/24 - Luiza Leandro Martins Fonseca</t>
  </si>
  <si>
    <t>ISSQN referente a nota fiscal 2021/106 - Movimento Comunicação Integrada Ltda</t>
  </si>
  <si>
    <t>2021/52</t>
  </si>
  <si>
    <t xml:space="preserve">PCC REF. NFS 2021/106 - Movimento Comunicação Integrada </t>
  </si>
  <si>
    <t>IRRF REF. NFS 2021/106 - Movimento Comunicação Integrada</t>
  </si>
  <si>
    <t>IRRF ref. RPA 1407 - Ewelyn Felice da Silva</t>
  </si>
  <si>
    <t>IRRF ref. RPA 1415 - Juliana de Sousa Martins Pereira</t>
  </si>
  <si>
    <t xml:space="preserve">IRRF ref. RPA 1416 - Allan Ferreira Calisto </t>
  </si>
  <si>
    <t>15845-3  - Programação Artística da Fundação Clóvis Salgado - CA 2018.13609.0061</t>
  </si>
  <si>
    <t xml:space="preserve">Allan Ferreira Calisto </t>
  </si>
  <si>
    <t>Juliana de Sousa Martins Pereira</t>
  </si>
  <si>
    <t>Direito de Exibição do Filme:"Aurora", de Everlane Moraes (16', 2018)</t>
  </si>
  <si>
    <t>Everlane Moraes Santos</t>
  </si>
  <si>
    <t>026.339.175-26</t>
  </si>
  <si>
    <t>Direito de Exibição do Filme"Obatala Film", de Sebastian Wiedmann (7', 2019)</t>
  </si>
  <si>
    <t>Sebastian Alexi Wiedemann Caballero</t>
  </si>
  <si>
    <t>Paulete Lindacelva Silva Dos Santos</t>
  </si>
  <si>
    <t>108.718.934-95</t>
  </si>
  <si>
    <t>Direito de Exibição do Filme"Cômpito", de Paulete Lindacelva (3', 2021)</t>
  </si>
  <si>
    <t>ISSQN - WALLI SEDIX FALL NF: 25112021</t>
  </si>
  <si>
    <t>Direito de Exibição do Filme"Fartura", de Kulumym-Açu (3', 2020)</t>
  </si>
  <si>
    <t>Ronaldo Horácio Rodrigues Da Silva</t>
  </si>
  <si>
    <t>060.416.263-41</t>
  </si>
  <si>
    <t>Lucrécia De Moura Dias</t>
  </si>
  <si>
    <t>052.167.981-88</t>
  </si>
  <si>
    <t>Direito de Exibição do Filme:"A Sússia", de Lucrécia Moura (17', 2018)</t>
  </si>
  <si>
    <t>CIDE IMPORTAÇÃO 11/2021 - Câmbio WALLI SEDIX FALL</t>
  </si>
  <si>
    <t>Lucas Antônio Pereira Morais</t>
  </si>
  <si>
    <t>SIMONE LAGRAND</t>
  </si>
  <si>
    <t>KATIA HELENE CAFE-FEBRISSY</t>
  </si>
  <si>
    <t>ELOM KOSSI KHAUNBIOW</t>
  </si>
  <si>
    <t>JOEL MATTHEW WANEK</t>
  </si>
  <si>
    <t>Retenção IOF a Recolher ref. Câmbio - SIMONE LAGRAND</t>
  </si>
  <si>
    <t>Retenção IRRF ref. Câmbio - SIMONE LAGRAND</t>
  </si>
  <si>
    <t>Retenção IOF a Recolher ref. Câmbio - KATIA HELENE CAFE-FEBRISSY</t>
  </si>
  <si>
    <t>Retenção IRRF ref. Câmbio - KATIA HELENE CAFE-FEBRISSY</t>
  </si>
  <si>
    <t>Retenção IOF a Recolher ref. Câmbio - ELOM KOSSI KHAUNBIOW</t>
  </si>
  <si>
    <t>Retenção IRRF ref. Câmbio - ELOM KOSSI KHAUNBIOW</t>
  </si>
  <si>
    <t>Retenção IOF a Recolher ref. Câmbio - JOEL MATTHEW WANEK</t>
  </si>
  <si>
    <t>Retenção IRRF ref. Câmbio - JOEL MATTHEW WANEK</t>
  </si>
  <si>
    <t>080.130.076-26</t>
  </si>
  <si>
    <t>Direito de exibição de Obra Cinematográfica - Filme "Dobra"</t>
  </si>
  <si>
    <t>DARF/IR referente ao recibo de - Lucas Antônio Pereira Morais</t>
  </si>
  <si>
    <t>Direitos de
exibição de Obra Cinematográfica - "Démayé" - Câmbio</t>
  </si>
  <si>
    <t>Direitos de exibição de Obra Cinematográfica - "À la racine" - Câmbio</t>
  </si>
  <si>
    <t>Direitos de exibição de Obra Cinematográfica - "La Mémoire du Sang" - Câmbio</t>
  </si>
  <si>
    <t xml:space="preserve"> Direitos de exibição de Obra Cinematográfica - "Phace Space Ano: 2021” - Cãmbio</t>
  </si>
  <si>
    <t>Licenciamento de direitos autorais - licença guarda-chuva</t>
  </si>
  <si>
    <t>Alda Aliança De Direitos Audiovisuais Ltda</t>
  </si>
  <si>
    <t>30.710.421/0001-77</t>
  </si>
  <si>
    <t>Retenção IOF a Recolher ref. Câmbio - KWZ</t>
  </si>
  <si>
    <t>Retenção IRRF ref. Câmbio - KWZ</t>
  </si>
  <si>
    <t>Retenção IOF a Recolher ref. Câmbio - ARJUNA SAMUEL NEUMAN</t>
  </si>
  <si>
    <t>Retenção IRRF ref. Câmbio - ARJUNA SAMUEL NEUMAN</t>
  </si>
  <si>
    <t>Retenção IOF a Recolher ref. Câmbio - CECILIA INES BENGOLEA</t>
  </si>
  <si>
    <t>Retenção IRRF ref. Câmbio - CECILIA INES BENGOLEA</t>
  </si>
  <si>
    <t>KWZ</t>
  </si>
  <si>
    <t>ARJUNA SAMUEL NEUMAN</t>
  </si>
  <si>
    <t>CECILIA INES BENGOLEA</t>
  </si>
  <si>
    <t>Direitos de exibição de Obra Cinematográfica - "MADA, ou
l'Históire du Premier Homme, de Laurent Pantaléon (10') Ano: 2021” - Câmbio</t>
  </si>
  <si>
    <t>Direitos de exibição de Obra Cinematográfica - "Serpent Rain (30') Ano: 2016" - Câmbio</t>
  </si>
  <si>
    <t>Direitos de exibição de Obra Cinematográfica - “Lightning Dance” (2018) e "Shelly Belly Inna Real Life" - Câmbio</t>
  </si>
  <si>
    <t>Devolução recebida referente o pagamento realizado a maior, em 26/11/2021, da NF 81 - Processo 2433 - Debatedor para programação do 23º FestCurtasBH. Foi emitida uma nova NF, nº 82, substituindo para o valor correto.</t>
  </si>
  <si>
    <t>ISSQN referente a nota fiscal 2021/28 - Mylene Youssef A Vieira - Produções E Eventos Epp</t>
  </si>
  <si>
    <t>ISSQN referente ao RPA 1469 - Ewelyn Felice Da Silva</t>
  </si>
  <si>
    <t>DARF/IR referente ao RPA 1469 - Ewelyn Felice Da Silva</t>
  </si>
  <si>
    <t>INSS e INSS Patronal referente ao RPA 1469- Ewelyn Felice Da Silva</t>
  </si>
  <si>
    <t>ISSQN referente a nota fiscal 2021/9 - Tetris Lab Projetos Ltda</t>
  </si>
  <si>
    <t>ISSQN referente a nota fiscal 199 - Christoffer Produções Artísticas Ltda</t>
  </si>
  <si>
    <t>ISSQN referente ao RPA 1474 - Michelle Aparecida Silva Barreto</t>
  </si>
  <si>
    <t>INSS e INSS Patronal referente ao RPA 1474 - Michelle Aparecida Silva Barreto</t>
  </si>
  <si>
    <t>ISSQN referente ao RPA 1480 -ALLAN FERREIRA CALISTO</t>
  </si>
  <si>
    <t>DARF/IR referente ao RPA 1480 -ALLAN FERREIRA CALISTO</t>
  </si>
  <si>
    <t>INSS e INSS Patronal referente ao RPA 1480 -ALLAN FERREIRA CALISTO</t>
  </si>
  <si>
    <t>ISSQN referente ao RPA 1479 - JULIANA DE SOUSA MARTINS PEREIRA</t>
  </si>
  <si>
    <t>DARF/IR referente ao RPA 1479 - JULIANA DE SOUSA MARTINS PEREIRA</t>
  </si>
  <si>
    <t>INSS e INSS Patronal  referente ao RPA 1479 - JULIANA DE SOUSA MARTINS PEREIRA</t>
  </si>
  <si>
    <t>ISSQN referente a nota fiscal 2021/12 - Renata Fonseca Felicissimo 10665267614</t>
  </si>
  <si>
    <t>ISSQN referente a nota fiscal 2021/20 - Rafael Bruno De Oliveira Ferreira Eireli</t>
  </si>
  <si>
    <t>ISSQN referente a nota fiscal 2021/38 - Hatari Filmes Ltda</t>
  </si>
  <si>
    <t>ISSQN referente a nota fiscal 2021/52 - Girassolina Produções Ltda</t>
  </si>
  <si>
    <t>ISSQN referente a nota fiscal 2021/117 - Movimento Comunicacao Integrada Ltda</t>
  </si>
  <si>
    <t>DARF/IR  referente a nota fiscal 2021/117 - Movimento Comunicacao Integrada Ltda</t>
  </si>
  <si>
    <t>DARF/PCC referente a nota fiscal 2021/117 - Movimento Comunicacao Integrada Ltda</t>
  </si>
  <si>
    <t>INSS retido em folha do mês 12/2021</t>
  </si>
  <si>
    <t>IR retido em folha do mês 12/2021</t>
  </si>
  <si>
    <t>Produtor Cultural - contratação de profissional na área de produção cultural, encarregado de viabilizar toda a estrutura material necessária para a realização das obras artísticas do Cefart , providenciar os espaços de ensaio e sua infraestrutura; providenciar os espaços de montagem e de apresentação, acompanhar e agir como interlocutor de todos os profissionais envolvidos, como iluminador, cenógrafo, assistente de direção e o todo restante da equipe de criação; acompanhar todas as instâncias que envolvam a realização cênica. A carga horária diária de trabalho será de 08 horas/dia. ADITIVO</t>
  </si>
  <si>
    <t>Bailarina</t>
  </si>
  <si>
    <t>Anahi poty Corteletti Jimenez</t>
  </si>
  <si>
    <t>Bailarino</t>
  </si>
  <si>
    <t>Eliatrice Gisschewski Souza</t>
  </si>
  <si>
    <t xml:space="preserve">Produtora Cultural </t>
  </si>
  <si>
    <t>Maira Campos de Freitas Lucas</t>
  </si>
  <si>
    <t>694.430.171-72</t>
  </si>
  <si>
    <t xml:space="preserve">Valor recebido da Pas de Quatre Centro de Dança Ltda   - CNPJ: 21.657.448/0001-03 ,referente à locação de figurinos </t>
  </si>
  <si>
    <t>Processo 1303 - Maria Izabel Correa de Oliveira 06085003641</t>
  </si>
  <si>
    <t>Arquipelago Ltda</t>
  </si>
  <si>
    <t>ISSQN referente a NF 202128 - Arquipelago Ltda</t>
  </si>
  <si>
    <t>Contratação do profissional Régelles Queiroz como iluminador para criação do mapa de luz e operação juntamente com a Diretora do espetáculo de montagem das operetas inéditas, Rita Clemente.</t>
  </si>
  <si>
    <t>Contratação de equipe de carregadores para atender a demanda no período de montagem e desmontagem do espetáculo de 5 óperas.</t>
  </si>
  <si>
    <t>Contratação de caminhão baú com altura do baú de aproximadamente 2,80 m para transportar materiais, tais como, cenários, figurinos e adereços cênicos, considerando os trechos:-&amp;gt; CTP Marzagão x FCS-&amp;gt; CTP Andradas x FCS-&amp;gt; FCS x CTP Andradas x Marzagão</t>
  </si>
  <si>
    <t>Contratação de Maestro Gabriel Rhein-Schirato para Direção Musical e Regência de ensaios e apresentações da montagem de 5 óperas criadas no Ateliê de Criação da Academia de Ópera - Temporada de Ópera On-line 2021 .</t>
  </si>
  <si>
    <t>Contratação de Sylvia Klein, como solista para participar da Temporada de Óperas Online 2021.</t>
  </si>
  <si>
    <t>Contratação de Ramon Mundin como solista para apoio as ações que integram a Temporada de Óperas de 2021.</t>
  </si>
  <si>
    <t>Contratação de Giovanni Tristacci, cantor solista para compor o elenco do espetáculo que integram a Temporada de Óperas de 2021.</t>
  </si>
  <si>
    <t>Contratação de serviço artístico de grupo de dança Associação Ballet Jovem Minas Gerais.</t>
  </si>
  <si>
    <t>Contratação de anúncio da Fundação Clóvis Salgado na edição bimestral janeiro-fevereiro 2022 da Revista CONCERTO. Umanúncio página inteira 4 cores posição indeterminada na Revista CONCERTO período: edição especial bimestral de janeiro-fevereiro de 2022.Além do anúncio a revista concerto vai oferecer um banner digital na seção roteiro do Site CONCERTO, com veiculação durante os dois meses de janeiro-fevereiro de 2022.</t>
  </si>
  <si>
    <t>Contratação de assistente de figurinista em atendimento à produção dos figurinos da montagem das operetas do Ateliê.</t>
  </si>
  <si>
    <t>Contratação de Cibele Lauria como assistente de Direção de Encenação para temporada de óperas de 2021</t>
  </si>
  <si>
    <t>Locação de - 15 Canhão Refletor Pls Parled 54 Leds Rgbw 5w- 15 Cabos dmx pra ligar os par led- 02 Máquinas de fumaça haze 1200w-08 mini brute 6 lâmpadas - 220 V.</t>
  </si>
  <si>
    <t>Contratação de serviço de captação e sonorização de áudio, conforme cronograma e rider anexo.·Dia 13- Montagem do sistema às 14:00 Horas·Dia 14- Ensaio orquestra e elencos às 08:30 às 11:00 Horas·Dia 15- Ensaio orquestra e elencos às 08:30 às 11:00 Horas·Dia 16- Ensaio orquestra e elencos às 08:30 às 11:00 Horas·Dia 17 -Ensaio Pré Geral orquestra e elencos às 08:30 às 11:00 Horas·Dia 20- Ensaio Geral e Gravação no horário de 19:00 às 22:00 Horas·Dia 21- Apresentação do espetáculo às 20:30hs</t>
  </si>
  <si>
    <t>Contratação de profissional maquinista encarregado de operar os maquinismos do palco do Grande Teatro Palácio das Artes.</t>
  </si>
  <si>
    <t>Impressão de 2 Banners de Lona QRCODE Programa e Impressão e instalação de 1 placão.</t>
  </si>
  <si>
    <t xml:space="preserve">Contratação de profissional maquinista encarregado de operar os maquinismos do palco do Grande Teatro Palácio das Artes.
</t>
  </si>
  <si>
    <t>Locação de rádio comunicador para atender as necessidades técnicas de produção e logistica de bastidores, sendo: 25 Unidades x 6 dias Rádio comunicador portátil, 16 canais programáveis. Acompanha cada rádio: 01 Carregador, baterias extras recarregáveis, 01 Antena, 01 Fone ouvido com microfone, 01 Regua de energia</t>
  </si>
  <si>
    <t>Contratação de Marcelo Cordeiro na Direçãode Palco do espetáculo na montagem inédita do encerramento da ''Temporada de Ópera On-line 2021'' daFundação Clóvis Salgado.</t>
  </si>
  <si>
    <t>Contratação de profissional para elaboração e a partir de partitura musical e operação de legenda do espetáculo, sendo: -&amp;gt; 04 Diárias - 02 Ensaios e 02 Apresentações, dias 17 e 18, 20 e 21/12,.</t>
  </si>
  <si>
    <t>Impressão de postal,formato é 150 x 100 mm, colorido, frente de verso e sugerimos o papel Triplex 280 ou 370 gramas. Quantidade: 2.000 exemplares.- Impressão de placas para porta dos camarins, tamanho 4. Pode ser papel ofício normal mas com impressão colorida e de boa qualidade.</t>
  </si>
  <si>
    <t>Imagem de São Sebastião - medida: 30x40 (referência da imagem em anexo). Material necessário para adereço de cena.</t>
  </si>
  <si>
    <t>Contratação de costureira responsável por costurar todos os trajes do espetáculo a partir do comando da contramestra do espetáculo Viramundo - montagem do Ateliê de Criação,Temporada de ópera online 2021.</t>
  </si>
  <si>
    <t>Contratação de contramestra costureira responsável por modelar, cortar, marcar e provar todos os trajes do espetáculo. Responsável por supervisionar a equipe de costura orientando a confecção para o espetáculo Viramundo - montagem do Ateliê de Criação,Temporada de ópera online 2021.</t>
  </si>
  <si>
    <t>Contratação de cantor lírico Jordani Messias, para Temporada de Óperas de 2021.</t>
  </si>
  <si>
    <t>Contratação de contramestra costureira responsável por modelar, cortar, marcar e provar todos os trajes do espetáculo. Responsável por supervisionar a equipe de costura orientando a confecção.</t>
  </si>
  <si>
    <t>Contratação de equipe de carregadores para atender a demanda que se fez necessária porque o fornecedor contratado anteriormente não conseguia atender as demandas da produção do espetáculo Viramundo.</t>
  </si>
  <si>
    <t>Contratação de costureira responsável por costurar todos os trajes do espetáculo a partir do comando da contramestrado espetáculo Viramundo - montagem do Ateliê de Criação,Temporada de ópera online 2021.</t>
  </si>
  <si>
    <t>Compra de 180 unidades de kit lanches para cada dia 20 e 21/12, total de 360 kits. Kit em embalagem descartável, contendo todos os conteúdos embalados em plástico filme, sendo: Sugestão - 01 sanduiche, 01 suco ou mini-refrigerante, 01 fruta e 01 tipo de doce</t>
  </si>
  <si>
    <t>Processo 2521 - Regelles Tadeu Queiroz Da Silva10092467636</t>
  </si>
  <si>
    <t>Processo 2525 - Rf LocaÇÃo &amp; Filmagem Ltda</t>
  </si>
  <si>
    <t>Processo 2526 - Translevar Mudanças Ltda</t>
  </si>
  <si>
    <t>Processo 2522 - Gabriel Rhein Schirato - Me</t>
  </si>
  <si>
    <t>Processo 2501 - Sylvia De Barros Klein 77940580663</t>
  </si>
  <si>
    <t>Processo 2401 - Ramon Nascimento Mundin</t>
  </si>
  <si>
    <t>Processo 2492 - Giovanni Tristacci 00550746005</t>
  </si>
  <si>
    <t>Processo 2592 - Associacao Ballet Jovem Minas Gerais</t>
  </si>
  <si>
    <t>Processo 2584 - Clássicos Editorial Ltda</t>
  </si>
  <si>
    <t>Processo 2570 - Kathleen Karine Ferreira Poncio</t>
  </si>
  <si>
    <t>Processo 2593 - Cibele Lauria Silva</t>
  </si>
  <si>
    <t>Processo 2616 - Elias Do Carmo - Me</t>
  </si>
  <si>
    <t>Processo 2619 - Murillo Correa E Cia Som E Luz Ltda</t>
  </si>
  <si>
    <t>Processo 2634 - Helvécio Alves Izabel</t>
  </si>
  <si>
    <t>Processo 2603 - Flag Impressao Digital Ltda</t>
  </si>
  <si>
    <t>Processo 2643 - Paulo Ricardo Botelho Cordeiro</t>
  </si>
  <si>
    <t>Processo 2649 - Mr Telecom Ltda</t>
  </si>
  <si>
    <t>Processo 2647 - Marcelo Cordeiro</t>
  </si>
  <si>
    <t>Processo 2626 - Camila Correa</t>
  </si>
  <si>
    <t>Processo 2639 - Túlio Márcio Carvalho De Rezende</t>
  </si>
  <si>
    <t>Processo 2638 - Fábio Silva Martins De Jesus</t>
  </si>
  <si>
    <t>Processo 2637 - Artes Gráficas Formato Ltda</t>
  </si>
  <si>
    <t>Processo 2653 - Flag Impressao Digital Ltda</t>
  </si>
  <si>
    <t>Processo 2589 - Maria Vieira Lima 01196915660</t>
  </si>
  <si>
    <t>Processo 2586 - Maria Antonia Ferreira Santos 67263909634</t>
  </si>
  <si>
    <t>Processo 2590 - Idaléia Do Carmo Dias 70391726668</t>
  </si>
  <si>
    <t>Processo 2650 - Jordane Morais Messias 08125649603</t>
  </si>
  <si>
    <t>Processo 2591 - Edilene Pucinni Cunha 70685681653</t>
  </si>
  <si>
    <t>Processo 2585 - Taires Borzani Scatolin Santana 00131469630</t>
  </si>
  <si>
    <t>Processo 2682 - Gold Service Organizaação De Eventos Ltda</t>
  </si>
  <si>
    <t>Processo 2681 - Unicusto Limpeza Em Eventos Ltda</t>
  </si>
  <si>
    <t>Processo 2588 - Maria Das Graças De Sousa Morais 02621402682</t>
  </si>
  <si>
    <t>Processo 2680 - Tia Vivi Buffet Saudável Ltda</t>
  </si>
  <si>
    <t>12.233.251/0001-03</t>
  </si>
  <si>
    <t>32.849.441/0001-59</t>
  </si>
  <si>
    <t>419.296.548-80</t>
  </si>
  <si>
    <t>43.841.435/0001-71</t>
  </si>
  <si>
    <t>25.299.077/0001-35</t>
  </si>
  <si>
    <t>126.855.286-01</t>
  </si>
  <si>
    <t>730.969.706-53</t>
  </si>
  <si>
    <t>315.104.186-87</t>
  </si>
  <si>
    <t>07.834.141/0001-59</t>
  </si>
  <si>
    <t>767.973.096-20</t>
  </si>
  <si>
    <t>37.494.209/0001-69</t>
  </si>
  <si>
    <t>403.515.806-20</t>
  </si>
  <si>
    <t>18.980.684/0001-09</t>
  </si>
  <si>
    <t>16.512.925/0001-51</t>
  </si>
  <si>
    <t>23.396.293/0001-73</t>
  </si>
  <si>
    <t>29.293.868/0001-09</t>
  </si>
  <si>
    <t>24.839.996/0001-91</t>
  </si>
  <si>
    <t>17.904.708/0001-70</t>
  </si>
  <si>
    <t>09.162.834/0001-78</t>
  </si>
  <si>
    <t>18.969.186/0001-57</t>
  </si>
  <si>
    <t xml:space="preserve">Contratação de profissional para apoio na digitação e edição de processos de compras e contratações, de cadastros para base de dados e controles do projeto. Aditivo </t>
  </si>
  <si>
    <t xml:space="preserve">Processo 2240 - Arte Livre Produção E Comunicação Ltda
</t>
  </si>
  <si>
    <t xml:space="preserve">04.161.336/0001-97
</t>
  </si>
  <si>
    <t>Contratação de profissional para apoio na digitação e edição de processos de compras e contratações, de cadastros para base de dados e controles do projeto.Aditivo</t>
  </si>
  <si>
    <t>Processo 1648 - Marcela De Oliveira Rodrigues 08714767627</t>
  </si>
  <si>
    <t xml:space="preserve">Neste ano de 2021 foi repassado para a conta do Contrato de Gestão 05/2019 o valor de R$ 5.486.566,88 (cinco milhões, quatrocentos e oitenta e seis mil, quinhentos e sessenta e seis reais e oitenta e oito centavos), realizados através de 04 parcelas. Em julho de 2021, tivemos o segundo aditivo no Contrato de Gestão 05/2019. Neste novo instrumento, foram realizados alguns remanejamentos financeiros; utilizando saldos remanecentes de ações que aconteceram de forma virtual, em função da pandemia, foi possível custear parte dos novos valores, viabilizando, inclusive, a contratação dos corpos artísticos como celetistas. Neste 4º período avaliatório, registrou-se uma receita no valor de R$ 560,00 (quinhentos e sessenta reais) referente a locação de alguns figurinos do CTPF Marzagão. A locação foi feita para Pas de Quatre Centro de Dança Ltda , inseridos no relatório como outras receitas. Quanto às captações, aconteceram oito aportes totalizando o valor R$ 4.228.057,40 (quatro milhões, duzentos e vinte e oito mil, cinquenta e sete reais e quarenta centavos); captações referentes aos projetos: Complemento da Programação Artística da Fundação Clóvis Salgado - CA 2018.13609.0068, Cinquentenário Operístico da Fundação Clóvis Salgado - Pronac: 20.3579, Programa de Artes Visuais da Fundação Clóvis Salgado Pronac: 17.7912,  Cine Humberto Mauro - Programação e Fomento 2018 Pronac: 17.8919. Com exceção do projeto Cinquentenário Operístico da Fundação Clóvis Salgado - Pronac: 20.3579, os projetos foram inscritos e aprovados nos anos de 2018 e 2019, período anterior ao Contrato de Gestão e possuíam saldo captado em suas contas. Justifica-se, assim, o fato de alguns pagamentos realizados pelas contas destes projetos, não estarem lançados neste relatório. Os rendimentos de aplicações financeiras desde o início do Contrato de Gestão, até o momento, acumulam valor de R$ 43.213,44 (quarenta e três mil, duzentos e treze reais e quarenta e quatro centavos), conforme consta na conta  reserva deste relatório. Tais rendimentos são lançados pelo valor bruto mensal e são deduzidos todos os impostos incidentes - IRRF, IOF, COFINS sobre aplicações financeiras e o valor líquido é transferido posteriormente, para a Conta Reserva para compor os recursos financeiros do período.                                                                                                                                                                                              Como informado no relatório do período anterior, tivemos a alteração dos Corpos Artísticos anteriormente contratados como pessoas jurídicas e agora para o regime CLT. 
As equipes de profissionais que atuam diretamente na parte finalística das áreas da Fundação, tais como montadores, produtores, iluminadores, técnica em Acervo e técnica em Higienização dentre outros, foram mantidas, além da contratação de prestadores de serviços em atendimento aos indicadores e metas.Tivemos neste período uma exposição em comemoração aos 50 Anos da Fundação Clóvis Salgado com alguns gastos custeados pelo Contrato de Gestão e outros pelo projeto Complemento da Programação Artística da Fundação Clóvis Salgado - CA 2018.13609.0068. Fizemos uma correção quanto ao relatório entregue anteriormente referente ao 7º PA;  na saída do valor de projetos de R$ 1.493.000,00 - dia 09/09/2021 (lançamento 3709), onde constava na coluna "Apropriação das Atividades", Gastos Custeados por Projetos, alteramos N/A, uma vez que, tal laçamento se refere a uma transferência de captação entre projetos e não um gasto. O lançamento como estava sugeriria que já houvesse gastos maiores que os realizados. Também no acompanhamento deste período avaliatório, identificamos um erro de fórmula na aba Gastos das Atividades: os valores pagos ou comprometidos de competência de anos anteriores e posteriores, estão sendo somados em duplicidade. Imediatamente a identificação, informamos e solicitamos à seplag a correção da fórmula mas até a data da entrega deste relatório não tivemos acesso à versão corrigida. Para controle real dos gastos, fizemos um arquivo à parte, onde deletamos os valores dos anos de 2020 e 2022, assim, obtivemos os valores exatos dos gastos das atividades do Contrato de Gestão referente ao ano de 2021. Abaixo print da aba corrigida para registro. 
</t>
  </si>
  <si>
    <t>Reembolso a conta do Contrato de Gestão 05/2019 referente ao pagamento INSS e INSS Patronal referente ao RPA 1417 - Cintya Juliana Souza Santos Dias</t>
  </si>
  <si>
    <t>Reembolso a conta do Contrato de Gestão 05/2019 referente ao pagamento INSS e INSS Patronal referente ao RPA 1404 -  Angela Peres De Oliveira</t>
  </si>
  <si>
    <t>Reembolso a conta do Contrato de Gestão 05/2019 referente ao pagamento INSS e INSS Patronal do RPA 1416 - Allan Ferreira Calisto</t>
  </si>
  <si>
    <t xml:space="preserve">Reembolso a conta do Contrato de Gestão 05/2019 referente ao pagamento INSS e INSS Patronal do RPA 1415 - Juliana de Sousa Martins Pereira </t>
  </si>
  <si>
    <t>Reembolso a conta do Contrato de Gestão 05/2019 referente ao pagamento INSS e INSS Patronal do RPA 1407 - Ewelyn Felice da Silva</t>
  </si>
  <si>
    <t>Reembolso a conta do Contrato de Gestão 05/2019 referente ao pagamento INSS e INSS Patronal do RPA 1406 - Michelle Aparecida da Silva Barreto</t>
  </si>
  <si>
    <t>Reembolso a conta do Contrato de Gestão 05/2019 referente ao pagamento INSS e  INSS Patronal referente ao RPA 1366 - Iuri Franca Dos Santos</t>
  </si>
  <si>
    <t>Reembolso a conta do Contrato de Gestão 05/2019 referente ao pagamento INSS e INSS Patronal referente ao RPA 1351 - Angela Peres De Oliveira</t>
  </si>
  <si>
    <t>Reembolso a conta do Contrato de Gestão 05/2019 referente ao pagamento de INSS e INSS Patronal referente ao RPA 1347 - Adélia Ferreira Sampaio</t>
  </si>
  <si>
    <t>Reembolso a conta do Contrato de Gestão 05/2019 referente ao pagamento de INSS e INSS Patronal - RPA 1381 - ALLAN FERREIRA CALISTO</t>
  </si>
  <si>
    <t>Reembolso a conta do Contrato de Gestão 05/2019 referente ao pagamento INSS e INSS Patronal referente ao RPA 1357 - Ataídes Freitas Braga</t>
  </si>
  <si>
    <t>Reembolso a conta do Contrato de Gestão 05/2019 referente ao pagamento INSS e INSS Patronal referente ao RPA 1350 - Ewelyn Felice Da Silva</t>
  </si>
  <si>
    <t>Reembolso a conta do Contrato de Gestão 05/2019 referente ao pagamento INSS e INSS Patronal  referente ao RPA 1355 - João Paulo De Freitas Campos</t>
  </si>
  <si>
    <t>Reembolso a conta do Contrato de Gestão 05/2019 referente ao pagamento Reembolso ref. INSS e INSS Patronal - RPA 1382 - JULIANA DE SOUSA MARTINS PEREIRA</t>
  </si>
  <si>
    <t>Reembolso a conta do Contrato de Gestão 05/2019 referente ao pagamento INSS e INSS Patronal referente ao RPA 1349 - Michelle Aparecida Silva Barreto</t>
  </si>
  <si>
    <t>Reembolso a conta do Contrato de Gestão 05/2019 referente ao pagamento INSS e INSS Patronal referente ao RPA 1358 - Paulo Augusto De Mello Gomes</t>
  </si>
  <si>
    <t>Reembolso a conta do Contrato de Gestão 05/2019 referente ao pagamento INSS e INSS patronal referente ao RPA 1353 - Cintya Juliana Souza Santos Dias</t>
  </si>
  <si>
    <t xml:space="preserve">Valor de ISSQN a complementar referente a nota fiscal  2021/163 - Dolabella Advocacia e Consultoria </t>
  </si>
  <si>
    <t xml:space="preserve">Valor de ISSQN a complementar referente a 2021/1736 - ARTES GRAFICAS FORMATO LTDA </t>
  </si>
  <si>
    <t>Belo Horizonte, 24 de janeiro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</si>
</sst>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416]mmm\-yy"/>
    <numFmt numFmtId="166" formatCode="_-* #,##0.00_-;\-* #,##0.00_-;_-* &quot;-&quot;??_-;_-@"/>
    <numFmt numFmtId="167" formatCode="dd/mm/yy"/>
    <numFmt numFmtId="168" formatCode="00000"/>
    <numFmt numFmtId="169" formatCode="[$-416]mmm\-yy;@"/>
  </numFmts>
  <fonts count="36" x14ac:knownFonts="1">
    <font>
      <sz val="10"/>
      <color rgb="FF000000"/>
      <name val="Arial"/>
    </font>
    <font>
      <b/>
      <sz val="16"/>
      <color theme="1"/>
      <name val="Arial"/>
      <family val="2"/>
    </font>
    <font>
      <sz val="10"/>
      <color theme="1"/>
      <name val="Arial"/>
      <family val="2"/>
    </font>
    <font>
      <b/>
      <sz val="12"/>
      <color theme="1"/>
      <name val="Arial"/>
      <family val="2"/>
    </font>
    <font>
      <b/>
      <sz val="14"/>
      <color theme="1"/>
      <name val="Arial"/>
      <family val="2"/>
    </font>
    <font>
      <sz val="14"/>
      <color theme="1"/>
      <name val="Arial"/>
      <family val="2"/>
    </font>
    <font>
      <i/>
      <sz val="16"/>
      <color rgb="FFFF0000"/>
      <name val="Arial"/>
      <family val="2"/>
    </font>
    <font>
      <sz val="11"/>
      <color rgb="FFFF0000"/>
      <name val="Times New Roman"/>
      <family val="1"/>
    </font>
    <font>
      <sz val="10"/>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sz val="9"/>
      <color theme="1"/>
      <name val="Arial"/>
      <family val="2"/>
    </font>
    <font>
      <sz val="8"/>
      <color theme="1"/>
      <name val="Arial"/>
      <family val="2"/>
    </font>
    <font>
      <b/>
      <sz val="7"/>
      <color theme="1"/>
      <name val="Arial"/>
      <family val="2"/>
    </font>
    <font>
      <b/>
      <sz val="8"/>
      <color theme="1"/>
      <name val="Arial"/>
      <family val="2"/>
    </font>
    <font>
      <sz val="7"/>
      <color theme="1"/>
      <name val="Arial"/>
      <family val="2"/>
    </font>
    <font>
      <sz val="12"/>
      <color theme="1"/>
      <name val="Arial"/>
      <family val="2"/>
    </font>
    <font>
      <b/>
      <i/>
      <sz val="8"/>
      <color theme="1"/>
      <name val="Arial"/>
      <family val="2"/>
    </font>
    <font>
      <b/>
      <sz val="9"/>
      <color theme="1"/>
      <name val="Arial"/>
      <family val="2"/>
    </font>
    <font>
      <sz val="10"/>
      <color theme="1"/>
      <name val="Arial Narrow"/>
      <family val="2"/>
    </font>
    <font>
      <b/>
      <sz val="12"/>
      <color theme="1"/>
      <name val="Arial Narrow"/>
      <family val="2"/>
    </font>
    <font>
      <sz val="9"/>
      <color rgb="FF000000"/>
      <name val="Arial"/>
      <family val="2"/>
    </font>
    <font>
      <b/>
      <sz val="10"/>
      <color theme="1"/>
      <name val="Times New Roman"/>
      <family val="1"/>
    </font>
    <font>
      <sz val="11"/>
      <color theme="1"/>
      <name val="Calibri"/>
      <family val="2"/>
    </font>
    <font>
      <b/>
      <sz val="9"/>
      <color theme="0"/>
      <name val="Arial"/>
      <family val="2"/>
    </font>
    <font>
      <sz val="10"/>
      <color theme="1"/>
      <name val="Calibri"/>
      <family val="2"/>
    </font>
    <font>
      <b/>
      <u/>
      <sz val="14"/>
      <color theme="1"/>
      <name val="Arial"/>
      <family val="2"/>
    </font>
    <font>
      <b/>
      <u/>
      <sz val="10"/>
      <color theme="1"/>
      <name val="Arial"/>
      <family val="2"/>
    </font>
    <font>
      <sz val="10"/>
      <color theme="1"/>
      <name val="Arial"/>
      <family val="2"/>
    </font>
    <font>
      <sz val="9"/>
      <color theme="1"/>
      <name val="Arial"/>
      <family val="2"/>
    </font>
    <font>
      <sz val="10"/>
      <color rgb="FF000000"/>
      <name val="Arial"/>
      <family val="2"/>
    </font>
    <font>
      <sz val="9"/>
      <color indexed="81"/>
      <name val="Segoe UI"/>
      <family val="2"/>
    </font>
    <font>
      <b/>
      <sz val="9"/>
      <color indexed="81"/>
      <name val="Segoe UI"/>
      <family val="2"/>
    </font>
    <font>
      <sz val="10"/>
      <color rgb="FF000000"/>
      <name val="Arial"/>
      <family val="2"/>
    </font>
  </fonts>
  <fills count="21">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EECE1"/>
        <bgColor rgb="FFEEECE1"/>
      </patternFill>
    </fill>
    <fill>
      <patternFill patternType="solid">
        <fgColor rgb="FFFFFF00"/>
        <bgColor rgb="FFFFFF00"/>
      </patternFill>
    </fill>
    <fill>
      <patternFill patternType="solid">
        <fgColor rgb="FFBFBFBF"/>
        <bgColor rgb="FFBFBFBF"/>
      </patternFill>
    </fill>
    <fill>
      <patternFill patternType="solid">
        <fgColor theme="0"/>
        <bgColor rgb="FFBFBFBF"/>
      </patternFill>
    </fill>
    <fill>
      <patternFill patternType="solid">
        <fgColor theme="0" tint="-0.249977111117893"/>
        <bgColor rgb="FFFFFFFF"/>
      </patternFill>
    </fill>
    <fill>
      <patternFill patternType="solid">
        <fgColor theme="0"/>
        <bgColor indexed="64"/>
      </patternFill>
    </fill>
    <fill>
      <patternFill patternType="solid">
        <fgColor theme="0"/>
        <bgColor rgb="FF00B0F0"/>
      </patternFill>
    </fill>
    <fill>
      <patternFill patternType="solid">
        <fgColor theme="2" tint="-0.249977111117893"/>
        <bgColor rgb="FFFFFFFF"/>
      </patternFill>
    </fill>
    <fill>
      <patternFill patternType="solid">
        <fgColor theme="0"/>
        <bgColor rgb="FFFFFF00"/>
      </patternFill>
    </fill>
    <fill>
      <patternFill patternType="solid">
        <fgColor theme="0"/>
        <bgColor rgb="FFFFFFFF"/>
      </patternFill>
    </fill>
    <fill>
      <patternFill patternType="solid">
        <fgColor theme="0" tint="-0.249977111117893"/>
        <bgColor theme="0"/>
      </patternFill>
    </fill>
    <fill>
      <patternFill patternType="solid">
        <fgColor rgb="FFFFFF00"/>
        <bgColor rgb="FFBFBFBF"/>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0" tint="-0.14999847407452621"/>
        <bgColor rgb="FFBFBFBF"/>
      </patternFill>
    </fill>
    <fill>
      <patternFill patternType="solid">
        <fgColor theme="0" tint="-0.249977111117893"/>
        <bgColor rgb="FFBFBFBF"/>
      </patternFill>
    </fill>
    <fill>
      <patternFill patternType="solid">
        <fgColor theme="0" tint="-0.249977111117893"/>
        <bgColor indexed="64"/>
      </patternFill>
    </fill>
  </fills>
  <borders count="91">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style="double">
        <color rgb="FF000000"/>
      </top>
      <bottom/>
      <diagonal/>
    </border>
    <border>
      <left/>
      <right/>
      <top style="double">
        <color rgb="FF000000"/>
      </top>
      <bottom/>
      <diagonal/>
    </border>
    <border>
      <left/>
      <right/>
      <top/>
      <bottom/>
      <diagonal/>
    </border>
    <border>
      <left/>
      <right/>
      <top/>
      <bottom style="double">
        <color rgb="FF000000"/>
      </bottom>
      <diagonal/>
    </border>
    <border>
      <left/>
      <right/>
      <top/>
      <bottom style="double">
        <color rgb="FF000000"/>
      </bottom>
      <diagonal/>
    </border>
    <border>
      <left/>
      <right/>
      <top style="double">
        <color rgb="FF000000"/>
      </top>
      <bottom style="double">
        <color rgb="FF000000"/>
      </bottom>
      <diagonal/>
    </border>
    <border>
      <left/>
      <right/>
      <top style="thin">
        <color rgb="FF000000"/>
      </top>
      <bottom/>
      <diagonal/>
    </border>
    <border>
      <left/>
      <right/>
      <top style="thin">
        <color rgb="FF000000"/>
      </top>
      <bottom style="double">
        <color rgb="FF000000"/>
      </bottom>
      <diagonal/>
    </border>
    <border>
      <left/>
      <right/>
      <top/>
      <bottom style="double">
        <color rgb="FF000000"/>
      </bottom>
      <diagonal/>
    </border>
    <border>
      <left/>
      <right/>
      <top/>
      <bottom style="double">
        <color rgb="FF000000"/>
      </bottom>
      <diagonal/>
    </border>
    <border>
      <left/>
      <right/>
      <top style="double">
        <color rgb="FF000000"/>
      </top>
      <bottom style="thin">
        <color rgb="FF000000"/>
      </bottom>
      <diagonal/>
    </border>
    <border>
      <left/>
      <right/>
      <top/>
      <bottom style="double">
        <color rgb="FF000000"/>
      </bottom>
      <diagonal/>
    </border>
    <border>
      <left/>
      <right style="hair">
        <color rgb="FF000000"/>
      </right>
      <top style="double">
        <color rgb="FF000000"/>
      </top>
      <bottom style="double">
        <color rgb="FF000000"/>
      </bottom>
      <diagonal/>
    </border>
    <border>
      <left/>
      <right style="hair">
        <color rgb="FF000000"/>
      </right>
      <top/>
      <bottom style="thin">
        <color rgb="FF000000"/>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top style="medium">
        <color rgb="FF000000"/>
      </top>
      <bottom/>
      <diagonal/>
    </border>
    <border>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medium">
        <color rgb="FF000000"/>
      </top>
      <bottom/>
      <diagonal/>
    </border>
    <border>
      <left/>
      <right style="double">
        <color rgb="FF000000"/>
      </right>
      <top/>
      <bottom/>
      <diagonal/>
    </border>
    <border>
      <left/>
      <right style="double">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medium">
        <color rgb="FF000000"/>
      </bottom>
      <diagonal/>
    </border>
    <border>
      <left/>
      <right/>
      <top style="medium">
        <color rgb="FF000000"/>
      </top>
      <bottom/>
      <diagonal/>
    </border>
    <border>
      <left style="thin">
        <color rgb="FF000000"/>
      </left>
      <right/>
      <top style="medium">
        <color rgb="FF000000"/>
      </top>
      <bottom/>
      <diagonal/>
    </border>
    <border>
      <left style="hair">
        <color rgb="FF000000"/>
      </left>
      <right style="hair">
        <color rgb="FF000000"/>
      </right>
      <top style="medium">
        <color rgb="FF000000"/>
      </top>
      <bottom/>
      <diagonal/>
    </border>
    <border>
      <left/>
      <right style="thin">
        <color rgb="FF000000"/>
      </right>
      <top/>
      <bottom/>
      <diagonal/>
    </border>
    <border>
      <left/>
      <right style="hair">
        <color rgb="FF000000"/>
      </right>
      <top style="medium">
        <color rgb="FF000000"/>
      </top>
      <bottom/>
      <diagonal/>
    </border>
    <border>
      <left/>
      <right style="thin">
        <color rgb="FF000000"/>
      </right>
      <top style="medium">
        <color rgb="FF000000"/>
      </top>
      <bottom/>
      <diagonal/>
    </border>
    <border>
      <left style="thin">
        <color rgb="FF000000"/>
      </left>
      <right style="hair">
        <color rgb="FF000000"/>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hair">
        <color rgb="FF000000"/>
      </right>
      <top/>
      <bottom/>
      <diagonal/>
    </border>
    <border>
      <left/>
      <right style="hair">
        <color rgb="FF000000"/>
      </right>
      <top/>
      <bottom/>
      <diagonal/>
    </border>
    <border>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rgb="FF000000"/>
      </left>
      <right style="medium">
        <color indexed="64"/>
      </right>
      <top style="medium">
        <color indexed="64"/>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indexed="64"/>
      </bottom>
      <diagonal/>
    </border>
  </borders>
  <cellStyleXfs count="2">
    <xf numFmtId="0" fontId="0" fillId="0" borderId="0"/>
    <xf numFmtId="43" fontId="35" fillId="0" borderId="0" applyFont="0" applyFill="0" applyBorder="0" applyAlignment="0" applyProtection="0"/>
  </cellStyleXfs>
  <cellXfs count="754">
    <xf numFmtId="0" fontId="0" fillId="0" borderId="0" xfId="0" applyFont="1" applyAlignment="1"/>
    <xf numFmtId="0" fontId="1" fillId="2" borderId="1" xfId="0"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xf>
    <xf numFmtId="0" fontId="4" fillId="2" borderId="1" xfId="0" applyFont="1" applyFill="1" applyBorder="1" applyAlignment="1">
      <alignment horizontal="center"/>
    </xf>
    <xf numFmtId="0" fontId="5" fillId="3" borderId="1" xfId="0" applyFont="1" applyFill="1" applyBorder="1" applyAlignment="1">
      <alignment horizontal="center"/>
    </xf>
    <xf numFmtId="0" fontId="3" fillId="2" borderId="1" xfId="0" applyFont="1" applyFill="1" applyBorder="1"/>
    <xf numFmtId="0" fontId="6" fillId="2" borderId="1" xfId="0" applyFont="1" applyFill="1" applyBorder="1" applyAlignment="1">
      <alignment horizontal="center" vertical="center"/>
    </xf>
    <xf numFmtId="0" fontId="3" fillId="2" borderId="1" xfId="0" applyFont="1" applyFill="1" applyBorder="1" applyAlignment="1">
      <alignment horizontal="left" vertical="top"/>
    </xf>
    <xf numFmtId="0" fontId="2" fillId="2" borderId="1" xfId="0" applyFont="1" applyFill="1" applyBorder="1" applyAlignment="1">
      <alignment horizontal="left" vertical="top"/>
    </xf>
    <xf numFmtId="0" fontId="3" fillId="2" borderId="2" xfId="0" applyFont="1" applyFill="1" applyBorder="1" applyAlignment="1">
      <alignment horizontal="center" vertical="center"/>
    </xf>
    <xf numFmtId="0" fontId="7" fillId="2" borderId="1" xfId="0" applyFont="1" applyFill="1" applyBorder="1"/>
    <xf numFmtId="0" fontId="3" fillId="3" borderId="1" xfId="0" applyFont="1" applyFill="1" applyBorder="1" applyAlignment="1">
      <alignment horizontal="center" vertical="center" wrapText="1"/>
    </xf>
    <xf numFmtId="0" fontId="2" fillId="3" borderId="1" xfId="0" applyFont="1" applyFill="1" applyBorder="1"/>
    <xf numFmtId="0" fontId="3" fillId="3" borderId="1"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xf numFmtId="0" fontId="10" fillId="3" borderId="1" xfId="0" applyFont="1" applyFill="1" applyBorder="1"/>
    <xf numFmtId="4" fontId="9" fillId="3" borderId="7" xfId="0" applyNumberFormat="1" applyFont="1" applyFill="1" applyBorder="1" applyAlignment="1">
      <alignment horizontal="right" vertical="center"/>
    </xf>
    <xf numFmtId="14" fontId="9" fillId="3" borderId="1" xfId="0" applyNumberFormat="1" applyFont="1" applyFill="1" applyBorder="1" applyAlignment="1">
      <alignment horizontal="right" vertical="center"/>
    </xf>
    <xf numFmtId="0" fontId="9" fillId="3" borderId="1" xfId="0" applyFont="1" applyFill="1" applyBorder="1" applyAlignment="1">
      <alignment horizontal="right" vertical="center"/>
    </xf>
    <xf numFmtId="14" fontId="9" fillId="3" borderId="10" xfId="0" applyNumberFormat="1" applyFont="1" applyFill="1" applyBorder="1" applyAlignment="1">
      <alignment horizontal="right" vertical="center" wrapText="1"/>
    </xf>
    <xf numFmtId="0" fontId="9" fillId="3" borderId="1" xfId="0" applyFont="1" applyFill="1" applyBorder="1" applyAlignment="1">
      <alignment horizontal="center" vertical="center"/>
    </xf>
    <xf numFmtId="0" fontId="11" fillId="3" borderId="11" xfId="0" applyFont="1" applyFill="1" applyBorder="1" applyAlignment="1">
      <alignment horizontal="left" vertical="center"/>
    </xf>
    <xf numFmtId="164" fontId="11" fillId="3" borderId="11" xfId="0" applyNumberFormat="1" applyFont="1" applyFill="1" applyBorder="1" applyAlignment="1">
      <alignment horizontal="right" vertical="center"/>
    </xf>
    <xf numFmtId="0" fontId="12" fillId="3" borderId="1" xfId="0" applyFont="1" applyFill="1" applyBorder="1" applyAlignment="1">
      <alignment vertical="center"/>
    </xf>
    <xf numFmtId="164" fontId="12" fillId="3" borderId="1" xfId="0" applyNumberFormat="1" applyFont="1" applyFill="1" applyBorder="1" applyAlignment="1">
      <alignment horizontal="right" vertical="center"/>
    </xf>
    <xf numFmtId="0" fontId="11" fillId="3" borderId="7" xfId="0" applyFont="1" applyFill="1" applyBorder="1" applyAlignment="1">
      <alignment horizontal="left" vertical="center"/>
    </xf>
    <xf numFmtId="164" fontId="11" fillId="3" borderId="7" xfId="0" applyNumberFormat="1" applyFont="1" applyFill="1" applyBorder="1" applyAlignment="1">
      <alignment horizontal="right" vertical="center"/>
    </xf>
    <xf numFmtId="0" fontId="11" fillId="3" borderId="10" xfId="0" applyFont="1" applyFill="1" applyBorder="1" applyAlignment="1">
      <alignment horizontal="left" vertical="center"/>
    </xf>
    <xf numFmtId="164" fontId="11" fillId="3" borderId="10" xfId="0" applyNumberFormat="1" applyFont="1" applyFill="1" applyBorder="1" applyAlignment="1">
      <alignment horizontal="right" vertical="center"/>
    </xf>
    <xf numFmtId="0" fontId="11" fillId="3" borderId="1" xfId="0" applyFont="1" applyFill="1" applyBorder="1" applyAlignment="1">
      <alignment horizontal="left" vertical="center"/>
    </xf>
    <xf numFmtId="164" fontId="11" fillId="3" borderId="1" xfId="0" applyNumberFormat="1" applyFont="1" applyFill="1" applyBorder="1" applyAlignment="1">
      <alignment horizontal="right" vertical="center"/>
    </xf>
    <xf numFmtId="0" fontId="2" fillId="3" borderId="1" xfId="0" applyFont="1" applyFill="1" applyBorder="1" applyAlignment="1">
      <alignment vertical="center"/>
    </xf>
    <xf numFmtId="4" fontId="11" fillId="3" borderId="1" xfId="0" applyNumberFormat="1" applyFont="1" applyFill="1" applyBorder="1" applyAlignment="1">
      <alignment horizontal="center" vertical="center"/>
    </xf>
    <xf numFmtId="0" fontId="11" fillId="3" borderId="12" xfId="0" applyFont="1" applyFill="1" applyBorder="1" applyAlignment="1">
      <alignment horizontal="left" vertical="center"/>
    </xf>
    <xf numFmtId="164" fontId="2" fillId="3" borderId="12" xfId="0" applyNumberFormat="1" applyFont="1" applyFill="1" applyBorder="1" applyAlignment="1">
      <alignment horizontal="right" vertical="center"/>
    </xf>
    <xf numFmtId="164" fontId="2" fillId="3" borderId="1" xfId="0" applyNumberFormat="1" applyFont="1" applyFill="1" applyBorder="1"/>
    <xf numFmtId="0" fontId="11" fillId="3" borderId="13" xfId="0" applyFont="1" applyFill="1" applyBorder="1" applyAlignment="1">
      <alignment horizontal="left" vertical="center"/>
    </xf>
    <xf numFmtId="164" fontId="2" fillId="3" borderId="13" xfId="0" applyNumberFormat="1" applyFont="1" applyFill="1" applyBorder="1" applyAlignment="1">
      <alignment horizontal="right" vertical="center"/>
    </xf>
    <xf numFmtId="164" fontId="2" fillId="3" borderId="1" xfId="0" applyNumberFormat="1" applyFont="1" applyFill="1" applyBorder="1" applyAlignment="1">
      <alignment vertical="center"/>
    </xf>
    <xf numFmtId="164" fontId="2" fillId="3" borderId="13" xfId="0" applyNumberFormat="1" applyFont="1" applyFill="1" applyBorder="1" applyAlignment="1">
      <alignment vertical="center"/>
    </xf>
    <xf numFmtId="164" fontId="2" fillId="3" borderId="16" xfId="0" applyNumberFormat="1" applyFont="1" applyFill="1" applyBorder="1" applyAlignment="1">
      <alignment horizontal="right" vertical="center"/>
    </xf>
    <xf numFmtId="0" fontId="11" fillId="3" borderId="2" xfId="0" applyFont="1" applyFill="1" applyBorder="1" applyAlignment="1">
      <alignment horizontal="left" vertical="center"/>
    </xf>
    <xf numFmtId="0" fontId="11" fillId="3" borderId="2" xfId="0" applyFont="1" applyFill="1" applyBorder="1" applyAlignment="1">
      <alignment horizontal="left" vertical="center" wrapText="1"/>
    </xf>
    <xf numFmtId="0" fontId="9" fillId="3" borderId="10" xfId="0" applyFont="1" applyFill="1" applyBorder="1" applyAlignment="1">
      <alignment horizontal="center" vertical="center"/>
    </xf>
    <xf numFmtId="0" fontId="11" fillId="3" borderId="10" xfId="0" applyFont="1" applyFill="1" applyBorder="1" applyAlignment="1">
      <alignment vertical="center"/>
    </xf>
    <xf numFmtId="0" fontId="11" fillId="3" borderId="10"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16" xfId="0" applyFont="1" applyFill="1" applyBorder="1" applyAlignment="1">
      <alignment vertical="center"/>
    </xf>
    <xf numFmtId="164" fontId="2" fillId="3" borderId="2" xfId="0" applyNumberFormat="1" applyFont="1" applyFill="1" applyBorder="1" applyAlignment="1">
      <alignment horizontal="right" vertical="center"/>
    </xf>
    <xf numFmtId="164" fontId="2" fillId="3" borderId="19" xfId="0" applyNumberFormat="1" applyFont="1" applyFill="1" applyBorder="1" applyAlignment="1">
      <alignment horizontal="right" vertical="center"/>
    </xf>
    <xf numFmtId="164" fontId="2" fillId="2" borderId="2" xfId="0" applyNumberFormat="1" applyFont="1" applyFill="1" applyBorder="1" applyAlignment="1">
      <alignment horizontal="right" vertical="center"/>
    </xf>
    <xf numFmtId="164" fontId="2" fillId="3" borderId="20" xfId="0" applyNumberFormat="1" applyFont="1" applyFill="1" applyBorder="1" applyAlignment="1">
      <alignment horizontal="right" vertical="center"/>
    </xf>
    <xf numFmtId="0" fontId="11" fillId="3" borderId="2" xfId="0" applyFont="1" applyFill="1" applyBorder="1" applyAlignment="1">
      <alignment vertical="center"/>
    </xf>
    <xf numFmtId="0" fontId="11" fillId="3" borderId="11" xfId="0" applyFont="1" applyFill="1" applyBorder="1" applyAlignment="1">
      <alignment vertical="center"/>
    </xf>
    <xf numFmtId="164" fontId="2" fillId="3" borderId="11" xfId="0" applyNumberFormat="1" applyFont="1" applyFill="1" applyBorder="1" applyAlignment="1">
      <alignment horizontal="right" vertical="center"/>
    </xf>
    <xf numFmtId="164" fontId="2" fillId="3" borderId="1" xfId="0" applyNumberFormat="1" applyFont="1" applyFill="1" applyBorder="1" applyAlignment="1">
      <alignment horizontal="right" vertical="center"/>
    </xf>
    <xf numFmtId="0" fontId="3" fillId="2" borderId="1" xfId="0" applyFont="1" applyFill="1" applyBorder="1" applyAlignment="1">
      <alignment vertical="center" wrapText="1"/>
    </xf>
    <xf numFmtId="0" fontId="9" fillId="2" borderId="1" xfId="0" applyFont="1" applyFill="1" applyBorder="1" applyAlignment="1">
      <alignment vertical="center" wrapText="1"/>
    </xf>
    <xf numFmtId="0" fontId="9" fillId="3" borderId="24" xfId="0" applyFont="1" applyFill="1" applyBorder="1" applyAlignment="1">
      <alignment horizontal="center" vertical="center" wrapText="1"/>
    </xf>
    <xf numFmtId="0" fontId="14" fillId="3" borderId="1" xfId="0" applyFont="1" applyFill="1" applyBorder="1" applyAlignment="1">
      <alignment vertical="center"/>
    </xf>
    <xf numFmtId="4" fontId="16" fillId="3" borderId="1" xfId="0" applyNumberFormat="1" applyFont="1" applyFill="1" applyBorder="1" applyAlignment="1">
      <alignment horizontal="right" vertical="center" wrapText="1"/>
    </xf>
    <xf numFmtId="14" fontId="14" fillId="3" borderId="1" xfId="0" applyNumberFormat="1" applyFont="1" applyFill="1" applyBorder="1" applyAlignment="1">
      <alignment horizontal="right" vertical="center" wrapText="1"/>
    </xf>
    <xf numFmtId="0" fontId="14" fillId="3" borderId="1" xfId="0" applyFont="1" applyFill="1" applyBorder="1" applyAlignment="1">
      <alignment horizontal="right" vertical="center" wrapText="1"/>
    </xf>
    <xf numFmtId="14" fontId="14" fillId="0" borderId="31" xfId="0" applyNumberFormat="1" applyFont="1" applyBorder="1" applyAlignment="1">
      <alignment horizontal="right" vertical="center" wrapText="1"/>
    </xf>
    <xf numFmtId="0" fontId="16" fillId="0" borderId="0" xfId="0" applyFont="1" applyAlignment="1">
      <alignment vertical="center"/>
    </xf>
    <xf numFmtId="0" fontId="14" fillId="0" borderId="0" xfId="0" applyFont="1" applyAlignment="1">
      <alignment vertical="center"/>
    </xf>
    <xf numFmtId="4" fontId="14" fillId="0" borderId="0" xfId="0" applyNumberFormat="1" applyFont="1" applyAlignment="1">
      <alignment vertical="center"/>
    </xf>
    <xf numFmtId="0" fontId="17" fillId="3" borderId="1" xfId="0" applyFont="1" applyFill="1" applyBorder="1" applyAlignment="1">
      <alignment horizontal="left" vertical="center"/>
    </xf>
    <xf numFmtId="0" fontId="14" fillId="2" borderId="1" xfId="0" applyFont="1" applyFill="1" applyBorder="1" applyAlignment="1">
      <alignment horizontal="left" vertical="center" wrapText="1"/>
    </xf>
    <xf numFmtId="164" fontId="17" fillId="2" borderId="1" xfId="0" applyNumberFormat="1" applyFont="1" applyFill="1" applyBorder="1" applyAlignment="1">
      <alignment horizontal="right" vertical="center" wrapText="1"/>
    </xf>
    <xf numFmtId="0" fontId="16" fillId="3" borderId="1" xfId="0" applyFont="1" applyFill="1" applyBorder="1" applyAlignment="1">
      <alignment horizontal="center" vertical="center" wrapText="1"/>
    </xf>
    <xf numFmtId="164" fontId="15" fillId="3" borderId="1" xfId="0" applyNumberFormat="1" applyFont="1" applyFill="1" applyBorder="1" applyAlignment="1">
      <alignment horizontal="right" vertical="center" wrapText="1"/>
    </xf>
    <xf numFmtId="164" fontId="17" fillId="2" borderId="20" xfId="0" applyNumberFormat="1" applyFont="1" applyFill="1" applyBorder="1" applyAlignment="1">
      <alignment horizontal="right" vertical="center" wrapText="1"/>
    </xf>
    <xf numFmtId="0" fontId="17" fillId="3" borderId="32" xfId="0" applyFont="1" applyFill="1" applyBorder="1" applyAlignment="1">
      <alignment horizontal="left" vertical="center"/>
    </xf>
    <xf numFmtId="0" fontId="14" fillId="2" borderId="32" xfId="0" applyFont="1" applyFill="1" applyBorder="1" applyAlignment="1">
      <alignment horizontal="left" vertical="center" wrapText="1"/>
    </xf>
    <xf numFmtId="164" fontId="15" fillId="3" borderId="32" xfId="0" applyNumberFormat="1" applyFont="1" applyFill="1" applyBorder="1" applyAlignment="1">
      <alignment horizontal="right" vertical="center" wrapText="1"/>
    </xf>
    <xf numFmtId="164" fontId="15" fillId="3" borderId="24" xfId="0" applyNumberFormat="1" applyFont="1" applyFill="1" applyBorder="1" applyAlignment="1">
      <alignment horizontal="right" vertical="center" wrapText="1"/>
    </xf>
    <xf numFmtId="0" fontId="16" fillId="3" borderId="24" xfId="0" applyFont="1" applyFill="1" applyBorder="1" applyAlignment="1">
      <alignment horizontal="left" vertical="center"/>
    </xf>
    <xf numFmtId="0" fontId="16" fillId="3" borderId="24" xfId="0" applyFont="1" applyFill="1" applyBorder="1" applyAlignment="1">
      <alignment horizontal="right" vertical="center" wrapText="1"/>
    </xf>
    <xf numFmtId="164" fontId="16" fillId="3" borderId="24" xfId="0" applyNumberFormat="1" applyFont="1" applyFill="1" applyBorder="1" applyAlignment="1">
      <alignment horizontal="right" vertical="center" wrapText="1"/>
    </xf>
    <xf numFmtId="0" fontId="15" fillId="3" borderId="33" xfId="0" applyFont="1" applyFill="1" applyBorder="1" applyAlignment="1">
      <alignment horizontal="left" vertical="center" wrapText="1"/>
    </xf>
    <xf numFmtId="0" fontId="16" fillId="3" borderId="33" xfId="0" applyFont="1" applyFill="1" applyBorder="1" applyAlignment="1">
      <alignment horizontal="left" vertical="center" wrapText="1"/>
    </xf>
    <xf numFmtId="4" fontId="16" fillId="3" borderId="33" xfId="0" applyNumberFormat="1" applyFont="1" applyFill="1" applyBorder="1" applyAlignment="1">
      <alignment horizontal="right" vertical="center" wrapText="1"/>
    </xf>
    <xf numFmtId="4" fontId="16" fillId="3" borderId="33" xfId="0" applyNumberFormat="1" applyFont="1" applyFill="1" applyBorder="1" applyAlignment="1">
      <alignment horizontal="center" vertical="center" wrapText="1"/>
    </xf>
    <xf numFmtId="0" fontId="14" fillId="3" borderId="1" xfId="0" applyFont="1" applyFill="1" applyBorder="1" applyAlignment="1">
      <alignment horizontal="right" vertical="center"/>
    </xf>
    <xf numFmtId="0" fontId="17" fillId="3" borderId="1" xfId="0" applyFont="1" applyFill="1" applyBorder="1" applyAlignment="1">
      <alignment horizontal="right" vertical="center"/>
    </xf>
    <xf numFmtId="164" fontId="17" fillId="3" borderId="1" xfId="0" applyNumberFormat="1" applyFont="1" applyFill="1" applyBorder="1" applyAlignment="1">
      <alignment horizontal="right" vertical="center" wrapText="1"/>
    </xf>
    <xf numFmtId="164" fontId="15" fillId="3" borderId="2" xfId="0" applyNumberFormat="1" applyFont="1" applyFill="1" applyBorder="1" applyAlignment="1">
      <alignment horizontal="right" vertical="center" wrapText="1"/>
    </xf>
    <xf numFmtId="0" fontId="17" fillId="3" borderId="12" xfId="0" applyFont="1" applyFill="1" applyBorder="1" applyAlignment="1">
      <alignment horizontal="left" vertical="center"/>
    </xf>
    <xf numFmtId="0" fontId="14" fillId="2" borderId="12" xfId="0" applyFont="1" applyFill="1" applyBorder="1" applyAlignment="1">
      <alignment horizontal="left" vertical="center" wrapText="1"/>
    </xf>
    <xf numFmtId="164" fontId="17" fillId="3" borderId="12" xfId="0" applyNumberFormat="1" applyFont="1" applyFill="1" applyBorder="1" applyAlignment="1">
      <alignment horizontal="right" vertical="center" wrapText="1"/>
    </xf>
    <xf numFmtId="164" fontId="15" fillId="3" borderId="12" xfId="0" applyNumberFormat="1" applyFont="1" applyFill="1" applyBorder="1" applyAlignment="1">
      <alignment horizontal="right" vertical="center" wrapText="1"/>
    </xf>
    <xf numFmtId="0" fontId="16" fillId="2" borderId="24" xfId="0" applyFont="1" applyFill="1" applyBorder="1" applyAlignment="1">
      <alignment horizontal="left" vertical="center"/>
    </xf>
    <xf numFmtId="0" fontId="16" fillId="2" borderId="24" xfId="0" applyFont="1" applyFill="1" applyBorder="1" applyAlignment="1">
      <alignment horizontal="right" vertical="center" wrapText="1"/>
    </xf>
    <xf numFmtId="0" fontId="3" fillId="0" borderId="26" xfId="0" applyFont="1" applyBorder="1" applyAlignment="1">
      <alignment horizontal="left" vertical="center"/>
    </xf>
    <xf numFmtId="0" fontId="16" fillId="2" borderId="33" xfId="0" applyFont="1" applyFill="1" applyBorder="1" applyAlignment="1">
      <alignment vertical="center" wrapText="1"/>
    </xf>
    <xf numFmtId="10" fontId="15" fillId="3" borderId="1" xfId="0" applyNumberFormat="1" applyFont="1" applyFill="1" applyBorder="1" applyAlignment="1">
      <alignment horizontal="right" vertical="center" wrapText="1"/>
    </xf>
    <xf numFmtId="0" fontId="16" fillId="2" borderId="1" xfId="0" applyFont="1" applyFill="1" applyBorder="1" applyAlignment="1">
      <alignment horizontal="left" vertical="center"/>
    </xf>
    <xf numFmtId="0" fontId="16" fillId="2" borderId="1" xfId="0" applyFont="1" applyFill="1" applyBorder="1" applyAlignment="1">
      <alignment horizontal="right" vertical="center" wrapText="1"/>
    </xf>
    <xf numFmtId="0" fontId="9" fillId="2" borderId="1" xfId="0" applyFont="1" applyFill="1" applyBorder="1" applyAlignment="1">
      <alignment horizontal="center" vertical="center" wrapText="1"/>
    </xf>
    <xf numFmtId="0" fontId="9" fillId="3" borderId="1" xfId="0" applyFont="1" applyFill="1" applyBorder="1" applyAlignment="1">
      <alignment vertical="center"/>
    </xf>
    <xf numFmtId="4" fontId="9" fillId="3" borderId="1" xfId="0" applyNumberFormat="1" applyFont="1" applyFill="1" applyBorder="1" applyAlignment="1">
      <alignment vertical="center"/>
    </xf>
    <xf numFmtId="10" fontId="17" fillId="3" borderId="1" xfId="0" applyNumberFormat="1" applyFont="1" applyFill="1" applyBorder="1" applyAlignment="1">
      <alignment horizontal="right" vertical="center" wrapText="1"/>
    </xf>
    <xf numFmtId="164" fontId="15" fillId="3" borderId="20" xfId="0" applyNumberFormat="1" applyFont="1" applyFill="1" applyBorder="1" applyAlignment="1">
      <alignment horizontal="right" vertical="center" wrapText="1"/>
    </xf>
    <xf numFmtId="10" fontId="17" fillId="3" borderId="20" xfId="0" applyNumberFormat="1" applyFont="1" applyFill="1" applyBorder="1" applyAlignment="1">
      <alignment horizontal="right" vertical="center" wrapText="1"/>
    </xf>
    <xf numFmtId="10" fontId="15" fillId="3" borderId="24" xfId="0" applyNumberFormat="1" applyFont="1" applyFill="1" applyBorder="1" applyAlignment="1">
      <alignment horizontal="right" vertical="center" wrapText="1"/>
    </xf>
    <xf numFmtId="164" fontId="16" fillId="3" borderId="1" xfId="0" applyNumberFormat="1" applyFont="1" applyFill="1" applyBorder="1" applyAlignment="1">
      <alignment horizontal="right" vertical="center" wrapText="1"/>
    </xf>
    <xf numFmtId="4" fontId="14" fillId="3" borderId="1" xfId="0" applyNumberFormat="1" applyFont="1" applyFill="1" applyBorder="1" applyAlignment="1">
      <alignment vertical="center"/>
    </xf>
    <xf numFmtId="10" fontId="17" fillId="2" borderId="1" xfId="0" applyNumberFormat="1" applyFont="1" applyFill="1" applyBorder="1" applyAlignment="1">
      <alignment horizontal="right" vertical="center" wrapText="1"/>
    </xf>
    <xf numFmtId="10" fontId="15" fillId="2" borderId="2" xfId="0" applyNumberFormat="1" applyFont="1" applyFill="1" applyBorder="1" applyAlignment="1">
      <alignment horizontal="right" vertical="center" wrapText="1"/>
    </xf>
    <xf numFmtId="164" fontId="15" fillId="2" borderId="2" xfId="0" applyNumberFormat="1" applyFont="1" applyFill="1" applyBorder="1" applyAlignment="1">
      <alignment horizontal="right" vertical="center" wrapText="1"/>
    </xf>
    <xf numFmtId="10" fontId="17" fillId="2" borderId="12" xfId="0" applyNumberFormat="1" applyFont="1" applyFill="1" applyBorder="1" applyAlignment="1">
      <alignment horizontal="right" vertical="center" wrapText="1"/>
    </xf>
    <xf numFmtId="164" fontId="17" fillId="2" borderId="12" xfId="0" applyNumberFormat="1" applyFont="1" applyFill="1" applyBorder="1" applyAlignment="1">
      <alignment horizontal="right" vertical="center" wrapText="1"/>
    </xf>
    <xf numFmtId="164" fontId="17" fillId="3" borderId="32" xfId="0" applyNumberFormat="1" applyFont="1" applyFill="1" applyBorder="1" applyAlignment="1">
      <alignment horizontal="right" vertical="center" wrapText="1"/>
    </xf>
    <xf numFmtId="10" fontId="17" fillId="2" borderId="32" xfId="0" applyNumberFormat="1" applyFont="1" applyFill="1" applyBorder="1" applyAlignment="1">
      <alignment horizontal="right" vertical="center" wrapText="1"/>
    </xf>
    <xf numFmtId="164" fontId="17" fillId="2" borderId="32" xfId="0" applyNumberFormat="1" applyFont="1" applyFill="1" applyBorder="1" applyAlignment="1">
      <alignment horizontal="right" vertical="center" wrapText="1"/>
    </xf>
    <xf numFmtId="0" fontId="18" fillId="0" borderId="0" xfId="0" applyFont="1" applyAlignment="1">
      <alignment horizontal="left" vertical="center"/>
    </xf>
    <xf numFmtId="0" fontId="9" fillId="2" borderId="40" xfId="0" applyFont="1" applyFill="1" applyBorder="1" applyAlignment="1">
      <alignment horizontal="center" vertical="center" wrapText="1"/>
    </xf>
    <xf numFmtId="0" fontId="11" fillId="2" borderId="43" xfId="0" applyFont="1" applyFill="1" applyBorder="1" applyAlignment="1">
      <alignment horizontal="center" vertical="center" wrapText="1"/>
    </xf>
    <xf numFmtId="0" fontId="11" fillId="2" borderId="44"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1" fillId="2" borderId="43" xfId="0" applyFont="1" applyFill="1" applyBorder="1" applyAlignment="1">
      <alignment horizontal="center" vertical="center"/>
    </xf>
    <xf numFmtId="0" fontId="2" fillId="2" borderId="1" xfId="0" applyFont="1" applyFill="1" applyBorder="1" applyAlignment="1">
      <alignment horizontal="center" vertical="center"/>
    </xf>
    <xf numFmtId="0" fontId="2" fillId="0" borderId="46" xfId="0" applyFont="1" applyBorder="1"/>
    <xf numFmtId="0" fontId="11" fillId="2" borderId="47" xfId="0" applyFont="1" applyFill="1" applyBorder="1" applyAlignment="1">
      <alignment horizontal="center" vertical="center" wrapText="1"/>
    </xf>
    <xf numFmtId="0" fontId="2" fillId="2" borderId="48" xfId="0" applyFont="1" applyFill="1" applyBorder="1" applyAlignment="1">
      <alignment horizontal="center" vertical="center"/>
    </xf>
    <xf numFmtId="0" fontId="2" fillId="2" borderId="48" xfId="0" applyFont="1" applyFill="1" applyBorder="1" applyAlignment="1">
      <alignment horizontal="left" vertical="center" wrapText="1"/>
    </xf>
    <xf numFmtId="164" fontId="2" fillId="2" borderId="43" xfId="0" applyNumberFormat="1" applyFont="1" applyFill="1" applyBorder="1" applyAlignment="1">
      <alignment horizontal="right" vertical="center"/>
    </xf>
    <xf numFmtId="164" fontId="2" fillId="2" borderId="49" xfId="0" applyNumberFormat="1" applyFont="1" applyFill="1" applyBorder="1" applyAlignment="1">
      <alignment horizontal="right" vertical="center"/>
    </xf>
    <xf numFmtId="164" fontId="2" fillId="2" borderId="47" xfId="0" applyNumberFormat="1" applyFont="1" applyFill="1" applyBorder="1" applyAlignment="1">
      <alignment horizontal="right" vertical="center"/>
    </xf>
    <xf numFmtId="10" fontId="2" fillId="2" borderId="43" xfId="0" applyNumberFormat="1" applyFont="1" applyFill="1" applyBorder="1" applyAlignment="1">
      <alignment horizontal="right" vertical="center"/>
    </xf>
    <xf numFmtId="0" fontId="2" fillId="2" borderId="50" xfId="0" applyFont="1" applyFill="1" applyBorder="1" applyAlignment="1">
      <alignment horizontal="center" vertical="center"/>
    </xf>
    <xf numFmtId="0" fontId="2" fillId="2" borderId="51" xfId="0" applyFont="1" applyFill="1" applyBorder="1" applyAlignment="1">
      <alignment horizontal="left" vertical="center" wrapText="1"/>
    </xf>
    <xf numFmtId="164" fontId="2" fillId="2" borderId="1" xfId="0" applyNumberFormat="1" applyFont="1" applyFill="1" applyBorder="1" applyAlignment="1">
      <alignment horizontal="right" vertical="center"/>
    </xf>
    <xf numFmtId="164" fontId="2" fillId="2" borderId="52" xfId="0" applyNumberFormat="1" applyFont="1" applyFill="1" applyBorder="1" applyAlignment="1">
      <alignment horizontal="right" vertical="center"/>
    </xf>
    <xf numFmtId="164" fontId="2" fillId="2" borderId="53" xfId="0" applyNumberFormat="1" applyFont="1" applyFill="1" applyBorder="1" applyAlignment="1">
      <alignment horizontal="right" vertical="center"/>
    </xf>
    <xf numFmtId="10" fontId="2" fillId="2" borderId="1" xfId="0" applyNumberFormat="1" applyFont="1" applyFill="1" applyBorder="1" applyAlignment="1">
      <alignment horizontal="right" vertical="center"/>
    </xf>
    <xf numFmtId="49" fontId="2" fillId="2" borderId="50" xfId="0" applyNumberFormat="1" applyFont="1" applyFill="1" applyBorder="1" applyAlignment="1">
      <alignment horizontal="left" wrapText="1"/>
    </xf>
    <xf numFmtId="0" fontId="2" fillId="2" borderId="54" xfId="0" applyFont="1" applyFill="1" applyBorder="1" applyAlignment="1">
      <alignment horizontal="center" vertical="center"/>
    </xf>
    <xf numFmtId="164" fontId="2" fillId="2" borderId="33" xfId="0" applyNumberFormat="1" applyFont="1" applyFill="1" applyBorder="1" applyAlignment="1">
      <alignment horizontal="right" vertical="center"/>
    </xf>
    <xf numFmtId="10" fontId="2" fillId="2" borderId="33" xfId="0" applyNumberFormat="1" applyFont="1" applyFill="1" applyBorder="1" applyAlignment="1">
      <alignment horizontal="right" vertical="center"/>
    </xf>
    <xf numFmtId="4" fontId="2" fillId="2" borderId="24" xfId="0" applyNumberFormat="1" applyFont="1" applyFill="1" applyBorder="1"/>
    <xf numFmtId="4" fontId="2" fillId="2" borderId="55" xfId="0" applyNumberFormat="1" applyFont="1" applyFill="1" applyBorder="1" applyAlignment="1">
      <alignment horizontal="right" vertical="center"/>
    </xf>
    <xf numFmtId="164" fontId="2" fillId="2" borderId="40" xfId="0" applyNumberFormat="1" applyFont="1" applyFill="1" applyBorder="1"/>
    <xf numFmtId="164" fontId="2" fillId="2" borderId="56" xfId="0" applyNumberFormat="1" applyFont="1" applyFill="1" applyBorder="1"/>
    <xf numFmtId="164" fontId="2" fillId="2" borderId="57" xfId="0" applyNumberFormat="1" applyFont="1" applyFill="1" applyBorder="1"/>
    <xf numFmtId="164" fontId="2" fillId="2" borderId="24" xfId="0" applyNumberFormat="1" applyFont="1" applyFill="1" applyBorder="1"/>
    <xf numFmtId="4" fontId="2" fillId="2" borderId="1" xfId="0" applyNumberFormat="1" applyFont="1" applyFill="1" applyBorder="1"/>
    <xf numFmtId="0" fontId="11" fillId="2" borderId="58" xfId="0" applyFont="1" applyFill="1" applyBorder="1" applyAlignment="1">
      <alignment vertical="center"/>
    </xf>
    <xf numFmtId="0" fontId="11" fillId="2" borderId="59" xfId="0" applyFont="1" applyFill="1" applyBorder="1" applyAlignment="1">
      <alignment horizontal="center"/>
    </xf>
    <xf numFmtId="0" fontId="2" fillId="2" borderId="60" xfId="0" applyFont="1" applyFill="1" applyBorder="1" applyAlignment="1">
      <alignment vertical="center"/>
    </xf>
    <xf numFmtId="10" fontId="2" fillId="2" borderId="61" xfId="0" applyNumberFormat="1" applyFont="1" applyFill="1" applyBorder="1" applyAlignment="1">
      <alignment horizontal="right" vertical="center"/>
    </xf>
    <xf numFmtId="164" fontId="2" fillId="2" borderId="61" xfId="0" applyNumberFormat="1" applyFont="1" applyFill="1" applyBorder="1" applyAlignment="1">
      <alignment horizontal="right" vertical="center"/>
    </xf>
    <xf numFmtId="0" fontId="2" fillId="2" borderId="62" xfId="0" applyFont="1" applyFill="1" applyBorder="1" applyAlignment="1">
      <alignment vertical="center"/>
    </xf>
    <xf numFmtId="10" fontId="2" fillId="2" borderId="63" xfId="0" applyNumberFormat="1" applyFont="1" applyFill="1" applyBorder="1" applyAlignment="1">
      <alignment horizontal="right" vertical="center"/>
    </xf>
    <xf numFmtId="164" fontId="2" fillId="2" borderId="63" xfId="0" applyNumberFormat="1" applyFont="1" applyFill="1" applyBorder="1" applyAlignment="1">
      <alignment horizontal="right" vertical="center"/>
    </xf>
    <xf numFmtId="0" fontId="3" fillId="3" borderId="1" xfId="0" applyFont="1" applyFill="1" applyBorder="1" applyAlignment="1">
      <alignment vertical="center"/>
    </xf>
    <xf numFmtId="0" fontId="13" fillId="3" borderId="1" xfId="0" applyFont="1" applyFill="1" applyBorder="1"/>
    <xf numFmtId="0" fontId="13" fillId="3" borderId="1" xfId="0" applyFont="1" applyFill="1" applyBorder="1" applyAlignment="1">
      <alignment vertical="center"/>
    </xf>
    <xf numFmtId="0" fontId="9" fillId="3" borderId="43" xfId="0" applyFont="1" applyFill="1" applyBorder="1" applyAlignment="1">
      <alignment horizontal="center" vertical="center"/>
    </xf>
    <xf numFmtId="4" fontId="9" fillId="3" borderId="43" xfId="0" applyNumberFormat="1" applyFont="1" applyFill="1" applyBorder="1" applyAlignment="1">
      <alignment horizontal="right" vertical="center"/>
    </xf>
    <xf numFmtId="14" fontId="11" fillId="3" borderId="1" xfId="0" applyNumberFormat="1" applyFont="1" applyFill="1" applyBorder="1" applyAlignment="1">
      <alignment horizontal="right" vertical="center"/>
    </xf>
    <xf numFmtId="0" fontId="11" fillId="3" borderId="1" xfId="0" applyFont="1" applyFill="1" applyBorder="1" applyAlignment="1">
      <alignment horizontal="right" vertical="center"/>
    </xf>
    <xf numFmtId="0" fontId="9" fillId="3" borderId="33" xfId="0" applyFont="1" applyFill="1" applyBorder="1" applyAlignment="1">
      <alignment horizontal="center" vertical="center"/>
    </xf>
    <xf numFmtId="14" fontId="11" fillId="3" borderId="33" xfId="0" applyNumberFormat="1" applyFont="1" applyFill="1" applyBorder="1" applyAlignment="1">
      <alignment horizontal="right" vertical="center" wrapText="1"/>
    </xf>
    <xf numFmtId="0" fontId="11" fillId="3" borderId="24" xfId="0" applyFont="1" applyFill="1" applyBorder="1" applyAlignment="1">
      <alignment horizontal="left" vertical="center"/>
    </xf>
    <xf numFmtId="0" fontId="16" fillId="3" borderId="24" xfId="0" applyFont="1" applyFill="1" applyBorder="1" applyAlignment="1">
      <alignment horizontal="center" vertical="center"/>
    </xf>
    <xf numFmtId="0" fontId="16" fillId="3" borderId="43" xfId="0" applyFont="1" applyFill="1" applyBorder="1" applyAlignment="1">
      <alignment horizontal="center" vertical="center"/>
    </xf>
    <xf numFmtId="0" fontId="16" fillId="2" borderId="24" xfId="0" applyFont="1" applyFill="1" applyBorder="1" applyAlignment="1">
      <alignment horizontal="left" vertical="center" wrapText="1"/>
    </xf>
    <xf numFmtId="164" fontId="14" fillId="3" borderId="24" xfId="0" applyNumberFormat="1" applyFont="1" applyFill="1" applyBorder="1" applyAlignment="1">
      <alignment horizontal="right" vertical="center"/>
    </xf>
    <xf numFmtId="164" fontId="16" fillId="3" borderId="24" xfId="0" applyNumberFormat="1" applyFont="1" applyFill="1" applyBorder="1" applyAlignment="1">
      <alignment horizontal="right" vertical="center"/>
    </xf>
    <xf numFmtId="10" fontId="14" fillId="2" borderId="24" xfId="0" applyNumberFormat="1" applyFont="1" applyFill="1" applyBorder="1" applyAlignment="1">
      <alignment horizontal="right" vertical="center"/>
    </xf>
    <xf numFmtId="4" fontId="11" fillId="3" borderId="1" xfId="0" applyNumberFormat="1" applyFont="1" applyFill="1" applyBorder="1" applyAlignment="1">
      <alignment horizontal="right" vertical="center" wrapText="1"/>
    </xf>
    <xf numFmtId="4" fontId="11" fillId="3" borderId="1" xfId="0" applyNumberFormat="1" applyFont="1" applyFill="1" applyBorder="1" applyAlignment="1">
      <alignment horizontal="right" vertical="center"/>
    </xf>
    <xf numFmtId="0" fontId="16" fillId="3" borderId="24" xfId="0" applyFont="1" applyFill="1" applyBorder="1" applyAlignment="1">
      <alignment horizontal="left" vertical="center" wrapText="1"/>
    </xf>
    <xf numFmtId="4" fontId="16" fillId="3" borderId="24" xfId="0" applyNumberFormat="1" applyFont="1" applyFill="1" applyBorder="1" applyAlignment="1">
      <alignment horizontal="center" vertical="center"/>
    </xf>
    <xf numFmtId="10" fontId="16" fillId="2" borderId="24" xfId="0" applyNumberFormat="1" applyFont="1" applyFill="1" applyBorder="1" applyAlignment="1">
      <alignment horizontal="center" vertical="center"/>
    </xf>
    <xf numFmtId="0" fontId="16" fillId="3" borderId="1" xfId="0" applyFont="1" applyFill="1" applyBorder="1" applyAlignment="1">
      <alignment horizontal="left" vertical="center" wrapText="1"/>
    </xf>
    <xf numFmtId="164" fontId="14" fillId="3" borderId="1" xfId="0" applyNumberFormat="1" applyFont="1" applyFill="1" applyBorder="1" applyAlignment="1">
      <alignment horizontal="center" vertical="center"/>
    </xf>
    <xf numFmtId="10" fontId="14" fillId="2" borderId="43" xfId="0" applyNumberFormat="1" applyFont="1" applyFill="1" applyBorder="1" applyAlignment="1">
      <alignment horizontal="center" vertical="center"/>
    </xf>
    <xf numFmtId="0" fontId="14" fillId="3" borderId="1" xfId="0" applyFont="1" applyFill="1" applyBorder="1" applyAlignment="1">
      <alignment horizontal="left" vertical="center"/>
    </xf>
    <xf numFmtId="164" fontId="14" fillId="3" borderId="1" xfId="0" applyNumberFormat="1" applyFont="1" applyFill="1" applyBorder="1" applyAlignment="1">
      <alignment horizontal="right" vertical="center"/>
    </xf>
    <xf numFmtId="164" fontId="16" fillId="3" borderId="1" xfId="0" applyNumberFormat="1" applyFont="1" applyFill="1" applyBorder="1" applyAlignment="1">
      <alignment horizontal="right" vertical="center"/>
    </xf>
    <xf numFmtId="10" fontId="14" fillId="2" borderId="1" xfId="0" applyNumberFormat="1" applyFont="1" applyFill="1" applyBorder="1" applyAlignment="1">
      <alignment horizontal="right" vertical="center"/>
    </xf>
    <xf numFmtId="0" fontId="16" fillId="3" borderId="32" xfId="0" applyFont="1" applyFill="1" applyBorder="1" applyAlignment="1">
      <alignment horizontal="left" vertical="center"/>
    </xf>
    <xf numFmtId="0" fontId="16" fillId="2" borderId="32" xfId="0" applyFont="1" applyFill="1" applyBorder="1" applyAlignment="1">
      <alignment horizontal="left" vertical="center" wrapText="1"/>
    </xf>
    <xf numFmtId="164" fontId="14" fillId="3" borderId="32" xfId="0" applyNumberFormat="1" applyFont="1" applyFill="1" applyBorder="1" applyAlignment="1">
      <alignment horizontal="right" vertical="center"/>
    </xf>
    <xf numFmtId="164" fontId="16" fillId="3" borderId="32" xfId="0" applyNumberFormat="1" applyFont="1" applyFill="1" applyBorder="1" applyAlignment="1">
      <alignment horizontal="right" vertical="center"/>
    </xf>
    <xf numFmtId="10" fontId="14" fillId="2" borderId="32" xfId="0" applyNumberFormat="1" applyFont="1" applyFill="1" applyBorder="1" applyAlignment="1">
      <alignment horizontal="right" vertical="center"/>
    </xf>
    <xf numFmtId="0" fontId="16" fillId="3" borderId="24" xfId="0" applyFont="1" applyFill="1" applyBorder="1" applyAlignment="1">
      <alignment vertical="center" wrapText="1"/>
    </xf>
    <xf numFmtId="10" fontId="16" fillId="2" borderId="24" xfId="0" applyNumberFormat="1" applyFont="1" applyFill="1" applyBorder="1" applyAlignment="1">
      <alignment horizontal="right" vertical="center"/>
    </xf>
    <xf numFmtId="0" fontId="14" fillId="3" borderId="33" xfId="0" applyFont="1" applyFill="1" applyBorder="1" applyAlignment="1">
      <alignment vertical="center"/>
    </xf>
    <xf numFmtId="4" fontId="16" fillId="3" borderId="33" xfId="0" applyNumberFormat="1" applyFont="1" applyFill="1" applyBorder="1" applyAlignment="1">
      <alignment horizontal="right" vertical="center"/>
    </xf>
    <xf numFmtId="0" fontId="16" fillId="3" borderId="33" xfId="0" applyFont="1" applyFill="1" applyBorder="1" applyAlignment="1">
      <alignment horizontal="left" vertical="center"/>
    </xf>
    <xf numFmtId="0" fontId="16" fillId="2" borderId="1" xfId="0" applyFont="1" applyFill="1" applyBorder="1" applyAlignment="1">
      <alignment vertical="center" wrapText="1"/>
    </xf>
    <xf numFmtId="10" fontId="16" fillId="2" borderId="43" xfId="0" applyNumberFormat="1" applyFont="1" applyFill="1" applyBorder="1" applyAlignment="1">
      <alignment horizontal="center" vertical="center"/>
    </xf>
    <xf numFmtId="0" fontId="16" fillId="3" borderId="1" xfId="0" applyFont="1" applyFill="1" applyBorder="1" applyAlignment="1">
      <alignment vertical="center"/>
    </xf>
    <xf numFmtId="0" fontId="19" fillId="3" borderId="1" xfId="0" applyFont="1" applyFill="1" applyBorder="1" applyAlignment="1">
      <alignment vertical="center" wrapText="1"/>
    </xf>
    <xf numFmtId="10" fontId="14" fillId="2" borderId="1" xfId="0" applyNumberFormat="1" applyFont="1" applyFill="1" applyBorder="1" applyAlignment="1">
      <alignment horizontal="center" vertical="center"/>
    </xf>
    <xf numFmtId="0" fontId="14" fillId="2" borderId="1" xfId="0" applyFont="1" applyFill="1" applyBorder="1" applyAlignment="1">
      <alignment vertical="center"/>
    </xf>
    <xf numFmtId="0" fontId="14" fillId="2" borderId="1" xfId="0" applyFont="1" applyFill="1" applyBorder="1" applyAlignment="1">
      <alignment vertical="center" wrapText="1"/>
    </xf>
    <xf numFmtId="0" fontId="14" fillId="3" borderId="2" xfId="0" applyFont="1" applyFill="1" applyBorder="1" applyAlignment="1">
      <alignment vertical="center"/>
    </xf>
    <xf numFmtId="0" fontId="16" fillId="3" borderId="2" xfId="0" applyFont="1" applyFill="1" applyBorder="1" applyAlignment="1">
      <alignment horizontal="right" vertical="center" wrapText="1"/>
    </xf>
    <xf numFmtId="164" fontId="16" fillId="3" borderId="2" xfId="0" applyNumberFormat="1" applyFont="1" applyFill="1" applyBorder="1" applyAlignment="1">
      <alignment horizontal="right" vertical="center"/>
    </xf>
    <xf numFmtId="10" fontId="16" fillId="2" borderId="2" xfId="0" applyNumberFormat="1" applyFont="1" applyFill="1" applyBorder="1" applyAlignment="1">
      <alignment horizontal="right" vertical="center"/>
    </xf>
    <xf numFmtId="0" fontId="16" fillId="2" borderId="1" xfId="0" applyFont="1" applyFill="1" applyBorder="1" applyAlignment="1">
      <alignment vertical="center"/>
    </xf>
    <xf numFmtId="0" fontId="19" fillId="2" borderId="1" xfId="0" applyFont="1" applyFill="1" applyBorder="1" applyAlignment="1">
      <alignment vertical="center" wrapText="1"/>
    </xf>
    <xf numFmtId="164" fontId="14" fillId="3" borderId="12" xfId="0" applyNumberFormat="1" applyFont="1" applyFill="1" applyBorder="1" applyAlignment="1">
      <alignment horizontal="center" vertical="center"/>
    </xf>
    <xf numFmtId="10" fontId="14" fillId="2" borderId="12" xfId="0" applyNumberFormat="1" applyFont="1" applyFill="1" applyBorder="1" applyAlignment="1">
      <alignment horizontal="center" vertical="center"/>
    </xf>
    <xf numFmtId="0" fontId="11" fillId="3" borderId="1" xfId="0" applyFont="1" applyFill="1" applyBorder="1" applyAlignment="1">
      <alignment vertical="center"/>
    </xf>
    <xf numFmtId="10" fontId="14" fillId="2" borderId="2" xfId="0" applyNumberFormat="1" applyFont="1" applyFill="1" applyBorder="1" applyAlignment="1">
      <alignment horizontal="right" vertical="center"/>
    </xf>
    <xf numFmtId="0" fontId="14" fillId="2" borderId="1" xfId="0" applyFont="1" applyFill="1" applyBorder="1" applyAlignment="1">
      <alignment horizontal="left" vertical="center"/>
    </xf>
    <xf numFmtId="0" fontId="14" fillId="2" borderId="20" xfId="0" applyFont="1" applyFill="1" applyBorder="1" applyAlignment="1">
      <alignment vertical="center" wrapText="1"/>
    </xf>
    <xf numFmtId="0" fontId="16" fillId="3" borderId="33" xfId="0" applyFont="1" applyFill="1" applyBorder="1" applyAlignment="1">
      <alignment horizontal="right" vertical="center" wrapText="1"/>
    </xf>
    <xf numFmtId="164" fontId="16" fillId="3" borderId="33" xfId="0" applyNumberFormat="1" applyFont="1" applyFill="1" applyBorder="1" applyAlignment="1">
      <alignment horizontal="right" vertical="center"/>
    </xf>
    <xf numFmtId="10" fontId="16" fillId="2" borderId="33" xfId="0" applyNumberFormat="1" applyFont="1" applyFill="1" applyBorder="1" applyAlignment="1">
      <alignment horizontal="right" vertical="center"/>
    </xf>
    <xf numFmtId="0" fontId="16" fillId="2" borderId="33" xfId="0" applyFont="1" applyFill="1" applyBorder="1" applyAlignment="1">
      <alignment vertical="center"/>
    </xf>
    <xf numFmtId="0" fontId="16" fillId="2" borderId="33" xfId="0" applyFont="1" applyFill="1" applyBorder="1" applyAlignment="1">
      <alignment horizontal="left" vertical="center" wrapText="1"/>
    </xf>
    <xf numFmtId="164" fontId="16" fillId="3" borderId="24" xfId="0" applyNumberFormat="1" applyFont="1" applyFill="1" applyBorder="1" applyAlignment="1">
      <alignment horizontal="center" vertical="center"/>
    </xf>
    <xf numFmtId="0" fontId="14" fillId="3" borderId="32" xfId="0" applyFont="1" applyFill="1" applyBorder="1" applyAlignment="1">
      <alignment vertical="center"/>
    </xf>
    <xf numFmtId="0" fontId="16" fillId="3" borderId="32" xfId="0" applyFont="1" applyFill="1" applyBorder="1" applyAlignment="1">
      <alignment horizontal="right" vertical="center" wrapText="1"/>
    </xf>
    <xf numFmtId="10" fontId="16" fillId="2" borderId="32" xfId="0" applyNumberFormat="1" applyFont="1" applyFill="1" applyBorder="1" applyAlignment="1">
      <alignment horizontal="right" vertical="center"/>
    </xf>
    <xf numFmtId="0" fontId="16" fillId="3" borderId="33" xfId="0" applyFont="1" applyFill="1" applyBorder="1" applyAlignment="1">
      <alignment vertical="center"/>
    </xf>
    <xf numFmtId="10" fontId="14" fillId="2" borderId="33" xfId="0" applyNumberFormat="1" applyFont="1" applyFill="1" applyBorder="1" applyAlignment="1">
      <alignment horizontal="right" vertical="center"/>
    </xf>
    <xf numFmtId="0" fontId="16" fillId="2" borderId="33" xfId="0" applyFont="1" applyFill="1" applyBorder="1" applyAlignment="1">
      <alignment horizontal="left" vertical="center"/>
    </xf>
    <xf numFmtId="0" fontId="16" fillId="2" borderId="24" xfId="0" applyFont="1" applyFill="1" applyBorder="1" applyAlignment="1">
      <alignment vertical="center" wrapText="1"/>
    </xf>
    <xf numFmtId="0" fontId="14" fillId="3" borderId="32" xfId="0" applyFont="1" applyFill="1" applyBorder="1" applyAlignment="1">
      <alignment horizontal="left" vertical="center"/>
    </xf>
    <xf numFmtId="164" fontId="16" fillId="3" borderId="20" xfId="0" applyNumberFormat="1" applyFont="1" applyFill="1" applyBorder="1" applyAlignment="1">
      <alignment horizontal="right" vertical="center"/>
    </xf>
    <xf numFmtId="164" fontId="14" fillId="3" borderId="33" xfId="0" applyNumberFormat="1" applyFont="1" applyFill="1" applyBorder="1" applyAlignment="1">
      <alignment horizontal="right" vertical="center"/>
    </xf>
    <xf numFmtId="0" fontId="20" fillId="0" borderId="64" xfId="0" applyFont="1" applyBorder="1" applyAlignment="1">
      <alignment horizontal="center" vertical="center" wrapText="1"/>
    </xf>
    <xf numFmtId="165" fontId="20" fillId="0" borderId="65" xfId="0" applyNumberFormat="1" applyFont="1" applyBorder="1" applyAlignment="1">
      <alignment horizontal="center" vertical="center" wrapText="1"/>
    </xf>
    <xf numFmtId="0" fontId="20" fillId="0" borderId="65" xfId="0" applyFont="1" applyBorder="1" applyAlignment="1">
      <alignment horizontal="center" vertical="center" wrapText="1"/>
    </xf>
    <xf numFmtId="164" fontId="20" fillId="0" borderId="65" xfId="0" applyNumberFormat="1" applyFont="1" applyBorder="1" applyAlignment="1">
      <alignment horizontal="center" vertical="center"/>
    </xf>
    <xf numFmtId="164" fontId="20" fillId="0" borderId="65" xfId="0" applyNumberFormat="1" applyFont="1" applyBorder="1" applyAlignment="1">
      <alignment horizontal="center" vertical="center" wrapText="1"/>
    </xf>
    <xf numFmtId="0" fontId="20" fillId="4" borderId="66" xfId="0" applyFont="1" applyFill="1" applyBorder="1" applyAlignment="1">
      <alignment horizontal="center" vertical="center" wrapText="1"/>
    </xf>
    <xf numFmtId="14" fontId="20" fillId="4" borderId="66"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13" fillId="0" borderId="67" xfId="0" applyFont="1" applyBorder="1" applyAlignment="1">
      <alignment horizontal="left" vertical="center"/>
    </xf>
    <xf numFmtId="165" fontId="13" fillId="0" borderId="67" xfId="0" applyNumberFormat="1" applyFont="1" applyBorder="1" applyAlignment="1">
      <alignment horizontal="right" vertical="center" wrapText="1"/>
    </xf>
    <xf numFmtId="0" fontId="13" fillId="0" borderId="67" xfId="0" applyFont="1" applyBorder="1" applyAlignment="1">
      <alignment horizontal="left" vertical="center" wrapText="1"/>
    </xf>
    <xf numFmtId="164" fontId="13" fillId="0" borderId="67" xfId="0" applyNumberFormat="1" applyFont="1" applyBorder="1" applyAlignment="1">
      <alignment horizontal="right" vertical="center" wrapText="1"/>
    </xf>
    <xf numFmtId="0" fontId="13" fillId="5" borderId="68" xfId="0" applyFont="1" applyFill="1" applyBorder="1" applyAlignment="1">
      <alignment horizontal="left" vertical="center" wrapText="1"/>
    </xf>
    <xf numFmtId="14" fontId="13" fillId="5" borderId="68" xfId="0" applyNumberFormat="1" applyFont="1" applyFill="1" applyBorder="1" applyAlignment="1">
      <alignment horizontal="center" vertical="center" wrapText="1"/>
    </xf>
    <xf numFmtId="1" fontId="13" fillId="2" borderId="66" xfId="0" applyNumberFormat="1" applyFont="1" applyFill="1" applyBorder="1" applyAlignment="1">
      <alignment horizontal="right" vertical="center" wrapText="1"/>
    </xf>
    <xf numFmtId="0" fontId="13" fillId="0" borderId="66" xfId="0" applyFont="1" applyBorder="1" applyAlignment="1">
      <alignment horizontal="left" vertical="center"/>
    </xf>
    <xf numFmtId="165" fontId="13" fillId="2" borderId="66" xfId="0" applyNumberFormat="1" applyFont="1" applyFill="1" applyBorder="1" applyAlignment="1">
      <alignment horizontal="right" vertical="center" wrapText="1"/>
    </xf>
    <xf numFmtId="0" fontId="13" fillId="2" borderId="66" xfId="0" applyFont="1" applyFill="1" applyBorder="1" applyAlignment="1">
      <alignment horizontal="left" vertical="center" wrapText="1"/>
    </xf>
    <xf numFmtId="164" fontId="13" fillId="2" borderId="66" xfId="0" applyNumberFormat="1" applyFont="1" applyFill="1" applyBorder="1" applyAlignment="1">
      <alignment horizontal="right" vertical="center" wrapText="1"/>
    </xf>
    <xf numFmtId="0" fontId="13" fillId="0" borderId="66" xfId="0" applyFont="1" applyBorder="1" applyAlignment="1">
      <alignment horizontal="left" vertical="center" wrapText="1"/>
    </xf>
    <xf numFmtId="0" fontId="13" fillId="6" borderId="66" xfId="0" applyFont="1" applyFill="1" applyBorder="1" applyAlignment="1">
      <alignment horizontal="left" vertical="center" wrapText="1"/>
    </xf>
    <xf numFmtId="14" fontId="13" fillId="6" borderId="66" xfId="0" applyNumberFormat="1" applyFont="1" applyFill="1" applyBorder="1" applyAlignment="1">
      <alignment horizontal="center" vertical="center" wrapText="1"/>
    </xf>
    <xf numFmtId="0" fontId="13" fillId="3" borderId="66" xfId="0" applyFont="1" applyFill="1" applyBorder="1" applyAlignment="1">
      <alignment horizontal="left" vertical="center" wrapText="1"/>
    </xf>
    <xf numFmtId="165" fontId="13" fillId="3" borderId="66" xfId="0" applyNumberFormat="1" applyFont="1" applyFill="1" applyBorder="1" applyAlignment="1">
      <alignment horizontal="right" vertical="center" wrapText="1"/>
    </xf>
    <xf numFmtId="164" fontId="13" fillId="0" borderId="66" xfId="0" applyNumberFormat="1" applyFont="1" applyBorder="1" applyAlignment="1">
      <alignment horizontal="right" vertical="center" wrapText="1"/>
    </xf>
    <xf numFmtId="164" fontId="13" fillId="3" borderId="66" xfId="0" applyNumberFormat="1" applyFont="1" applyFill="1" applyBorder="1" applyAlignment="1">
      <alignment horizontal="right" vertical="center" wrapText="1"/>
    </xf>
    <xf numFmtId="165" fontId="13" fillId="0" borderId="66" xfId="0" applyNumberFormat="1" applyFont="1" applyBorder="1" applyAlignment="1">
      <alignment horizontal="right" vertical="center" wrapText="1"/>
    </xf>
    <xf numFmtId="0" fontId="11" fillId="0" borderId="31" xfId="0" applyFont="1" applyBorder="1" applyAlignment="1">
      <alignment horizontal="left" vertical="center"/>
    </xf>
    <xf numFmtId="164" fontId="11" fillId="0" borderId="70" xfId="0" applyNumberFormat="1" applyFont="1" applyBorder="1" applyAlignment="1">
      <alignment horizontal="right" vertical="center"/>
    </xf>
    <xf numFmtId="164" fontId="11" fillId="0" borderId="0" xfId="0" applyNumberFormat="1" applyFont="1" applyAlignment="1">
      <alignment horizontal="left" vertical="center"/>
    </xf>
    <xf numFmtId="0" fontId="11" fillId="0" borderId="26" xfId="0" applyFont="1" applyBorder="1" applyAlignment="1">
      <alignment horizontal="left" vertical="center"/>
    </xf>
    <xf numFmtId="164" fontId="11" fillId="0" borderId="41" xfId="0" applyNumberFormat="1" applyFont="1" applyBorder="1" applyAlignment="1">
      <alignment horizontal="right" vertical="center"/>
    </xf>
    <xf numFmtId="165" fontId="2" fillId="2"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4" fontId="2" fillId="2" borderId="1" xfId="0" applyNumberFormat="1" applyFont="1" applyFill="1" applyBorder="1" applyAlignment="1">
      <alignment horizontal="center" vertical="center"/>
    </xf>
    <xf numFmtId="0" fontId="21" fillId="3" borderId="1" xfId="0" applyFont="1" applyFill="1" applyBorder="1" applyAlignment="1">
      <alignment horizontal="right" vertical="center" wrapText="1"/>
    </xf>
    <xf numFmtId="0" fontId="2" fillId="3" borderId="1" xfId="0" applyFont="1" applyFill="1" applyBorder="1" applyAlignment="1">
      <alignment wrapText="1"/>
    </xf>
    <xf numFmtId="1" fontId="22" fillId="3" borderId="1" xfId="0" applyNumberFormat="1" applyFont="1" applyFill="1" applyBorder="1" applyAlignment="1">
      <alignment horizontal="right" vertical="center" wrapText="1"/>
    </xf>
    <xf numFmtId="1" fontId="9" fillId="3" borderId="1" xfId="0" applyNumberFormat="1" applyFont="1" applyFill="1" applyBorder="1" applyAlignment="1">
      <alignment horizontal="right" vertical="center" wrapText="1"/>
    </xf>
    <xf numFmtId="167" fontId="11" fillId="3" borderId="72" xfId="0" applyNumberFormat="1" applyFont="1" applyFill="1" applyBorder="1" applyAlignment="1">
      <alignment horizontal="center" vertical="center" wrapText="1"/>
    </xf>
    <xf numFmtId="0" fontId="11" fillId="3" borderId="72" xfId="0" applyFont="1" applyFill="1" applyBorder="1" applyAlignment="1">
      <alignment horizontal="center" vertical="center" wrapText="1"/>
    </xf>
    <xf numFmtId="0" fontId="11" fillId="2" borderId="72" xfId="0" applyFont="1" applyFill="1" applyBorder="1" applyAlignment="1">
      <alignment horizontal="center" vertical="center" wrapText="1"/>
    </xf>
    <xf numFmtId="1" fontId="11" fillId="3" borderId="40" xfId="0" applyNumberFormat="1" applyFont="1" applyFill="1" applyBorder="1" applyAlignment="1">
      <alignment horizontal="center" vertical="center" wrapText="1"/>
    </xf>
    <xf numFmtId="0" fontId="2" fillId="3" borderId="1" xfId="0" applyFont="1" applyFill="1" applyBorder="1" applyAlignment="1">
      <alignment horizontal="center" wrapText="1"/>
    </xf>
    <xf numFmtId="0" fontId="13" fillId="3" borderId="66" xfId="0" applyFont="1" applyFill="1" applyBorder="1" applyAlignment="1">
      <alignment horizontal="right" vertical="center" wrapText="1"/>
    </xf>
    <xf numFmtId="14" fontId="13" fillId="3" borderId="66" xfId="0" applyNumberFormat="1" applyFont="1" applyFill="1" applyBorder="1" applyAlignment="1">
      <alignment horizontal="right" vertical="center" wrapText="1"/>
    </xf>
    <xf numFmtId="1" fontId="13" fillId="3" borderId="66" xfId="0" applyNumberFormat="1" applyFont="1" applyFill="1" applyBorder="1" applyAlignment="1">
      <alignment horizontal="left" vertical="center" wrapText="1"/>
    </xf>
    <xf numFmtId="1" fontId="13" fillId="0" borderId="73" xfId="0" applyNumberFormat="1" applyFont="1" applyBorder="1" applyAlignment="1">
      <alignment horizontal="right" vertical="center" wrapText="1"/>
    </xf>
    <xf numFmtId="0" fontId="13" fillId="2" borderId="68" xfId="0" applyFont="1" applyFill="1" applyBorder="1" applyAlignment="1">
      <alignment horizontal="left" vertical="center" wrapText="1"/>
    </xf>
    <xf numFmtId="0" fontId="13" fillId="3" borderId="68" xfId="0" applyFont="1" applyFill="1" applyBorder="1" applyAlignment="1">
      <alignment horizontal="left" vertical="center" wrapText="1"/>
    </xf>
    <xf numFmtId="1" fontId="13" fillId="3" borderId="68" xfId="0" applyNumberFormat="1" applyFont="1" applyFill="1" applyBorder="1" applyAlignment="1">
      <alignment horizontal="left" vertical="center" wrapText="1"/>
    </xf>
    <xf numFmtId="0" fontId="13" fillId="3" borderId="68" xfId="0" applyFont="1" applyFill="1" applyBorder="1" applyAlignment="1">
      <alignment horizontal="right" vertical="center" wrapText="1"/>
    </xf>
    <xf numFmtId="14" fontId="13" fillId="3" borderId="68" xfId="0" applyNumberFormat="1" applyFont="1" applyFill="1" applyBorder="1" applyAlignment="1">
      <alignment horizontal="right" vertical="center" wrapText="1"/>
    </xf>
    <xf numFmtId="164" fontId="13" fillId="3" borderId="68" xfId="0" applyNumberFormat="1" applyFont="1" applyFill="1" applyBorder="1" applyAlignment="1">
      <alignment horizontal="right" vertical="center" wrapText="1"/>
    </xf>
    <xf numFmtId="1" fontId="13" fillId="0" borderId="74" xfId="0" applyNumberFormat="1" applyFont="1" applyBorder="1" applyAlignment="1">
      <alignment horizontal="right" vertical="center" wrapText="1"/>
    </xf>
    <xf numFmtId="0" fontId="13" fillId="3" borderId="75" xfId="0" applyFont="1" applyFill="1" applyBorder="1" applyAlignment="1">
      <alignment horizontal="right" vertical="center" wrapText="1"/>
    </xf>
    <xf numFmtId="0" fontId="13" fillId="3" borderId="51" xfId="0" applyFont="1" applyFill="1" applyBorder="1" applyAlignment="1">
      <alignment horizontal="right" vertical="center" wrapText="1"/>
    </xf>
    <xf numFmtId="14" fontId="13" fillId="3" borderId="51" xfId="0" applyNumberFormat="1" applyFont="1" applyFill="1" applyBorder="1" applyAlignment="1">
      <alignment horizontal="right" vertical="center" wrapText="1"/>
    </xf>
    <xf numFmtId="0" fontId="13" fillId="3" borderId="51" xfId="0" applyFont="1" applyFill="1" applyBorder="1" applyAlignment="1">
      <alignment horizontal="left" vertical="center" wrapText="1"/>
    </xf>
    <xf numFmtId="164" fontId="13" fillId="3" borderId="51" xfId="0" applyNumberFormat="1" applyFont="1" applyFill="1" applyBorder="1" applyAlignment="1">
      <alignment horizontal="right" vertical="center" wrapText="1"/>
    </xf>
    <xf numFmtId="0" fontId="13" fillId="2" borderId="5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 fillId="3" borderId="1" xfId="0" applyFont="1" applyFill="1" applyBorder="1" applyAlignment="1">
      <alignment horizontal="right" vertical="center" wrapText="1"/>
    </xf>
    <xf numFmtId="0" fontId="2" fillId="3"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 fontId="21" fillId="3" borderId="1" xfId="0" applyNumberFormat="1" applyFont="1" applyFill="1" applyBorder="1" applyAlignment="1">
      <alignment horizontal="right" vertical="center" wrapText="1"/>
    </xf>
    <xf numFmtId="0" fontId="3" fillId="3" borderId="1" xfId="0" applyFont="1" applyFill="1" applyBorder="1"/>
    <xf numFmtId="0" fontId="9" fillId="3" borderId="1" xfId="0" applyFont="1" applyFill="1" applyBorder="1"/>
    <xf numFmtId="0" fontId="11" fillId="3" borderId="43" xfId="0" applyFont="1" applyFill="1" applyBorder="1" applyAlignment="1">
      <alignment horizontal="left" vertical="center"/>
    </xf>
    <xf numFmtId="0" fontId="11" fillId="3" borderId="43" xfId="0" applyFont="1" applyFill="1" applyBorder="1" applyAlignment="1">
      <alignment horizontal="center" vertical="center"/>
    </xf>
    <xf numFmtId="4" fontId="20" fillId="3" borderId="43" xfId="0" applyNumberFormat="1" applyFont="1" applyFill="1" applyBorder="1" applyAlignment="1">
      <alignment horizontal="right" vertical="center"/>
    </xf>
    <xf numFmtId="0" fontId="11" fillId="3" borderId="1" xfId="0" applyFont="1" applyFill="1" applyBorder="1" applyAlignment="1">
      <alignment horizontal="center" vertical="center"/>
    </xf>
    <xf numFmtId="14" fontId="20" fillId="3" borderId="1" xfId="0" applyNumberFormat="1" applyFont="1" applyFill="1" applyBorder="1" applyAlignment="1">
      <alignment horizontal="right" vertical="center"/>
    </xf>
    <xf numFmtId="0" fontId="20" fillId="3" borderId="1" xfId="0" applyFont="1" applyFill="1" applyBorder="1" applyAlignment="1">
      <alignment horizontal="right" vertical="center"/>
    </xf>
    <xf numFmtId="0" fontId="11" fillId="3" borderId="33" xfId="0" applyFont="1" applyFill="1" applyBorder="1" applyAlignment="1">
      <alignment horizontal="left" vertical="center"/>
    </xf>
    <xf numFmtId="0" fontId="11" fillId="3" borderId="33" xfId="0" applyFont="1" applyFill="1" applyBorder="1" applyAlignment="1">
      <alignment horizontal="center" vertical="center"/>
    </xf>
    <xf numFmtId="14" fontId="20" fillId="3" borderId="33" xfId="0" applyNumberFormat="1" applyFont="1" applyFill="1" applyBorder="1" applyAlignment="1">
      <alignment horizontal="right" vertical="center" wrapText="1"/>
    </xf>
    <xf numFmtId="0" fontId="20" fillId="3" borderId="24" xfId="0" applyFont="1" applyFill="1" applyBorder="1" applyAlignment="1">
      <alignment horizontal="left" vertical="center"/>
    </xf>
    <xf numFmtId="0" fontId="20" fillId="3" borderId="24" xfId="0" applyFont="1" applyFill="1" applyBorder="1" applyAlignment="1">
      <alignment horizontal="center" vertical="center"/>
    </xf>
    <xf numFmtId="164" fontId="13" fillId="3" borderId="24" xfId="0" applyNumberFormat="1" applyFont="1" applyFill="1" applyBorder="1" applyAlignment="1">
      <alignment horizontal="right" vertical="center"/>
    </xf>
    <xf numFmtId="164" fontId="20" fillId="3" borderId="24" xfId="0" applyNumberFormat="1" applyFont="1" applyFill="1" applyBorder="1" applyAlignment="1">
      <alignment horizontal="center" vertical="center"/>
    </xf>
    <xf numFmtId="0" fontId="20" fillId="3" borderId="1" xfId="0"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applyAlignment="1">
      <alignment horizontal="left" vertical="center" wrapText="1"/>
    </xf>
    <xf numFmtId="164" fontId="13" fillId="3" borderId="1" xfId="0" applyNumberFormat="1" applyFont="1" applyFill="1" applyBorder="1" applyAlignment="1">
      <alignment horizontal="right" vertical="center"/>
    </xf>
    <xf numFmtId="0" fontId="20" fillId="2" borderId="32" xfId="0" applyFont="1" applyFill="1" applyBorder="1" applyAlignment="1">
      <alignment vertical="center"/>
    </xf>
    <xf numFmtId="0" fontId="20" fillId="2" borderId="32" xfId="0" applyFont="1" applyFill="1" applyBorder="1" applyAlignment="1">
      <alignment horizontal="left" vertical="center" wrapText="1"/>
    </xf>
    <xf numFmtId="164" fontId="20" fillId="3" borderId="32" xfId="0" applyNumberFormat="1" applyFont="1" applyFill="1" applyBorder="1" applyAlignment="1">
      <alignment horizontal="right" vertical="center"/>
    </xf>
    <xf numFmtId="0" fontId="13" fillId="2" borderId="1" xfId="0" applyFont="1" applyFill="1" applyBorder="1" applyAlignment="1">
      <alignment horizontal="right" vertical="center" wrapText="1"/>
    </xf>
    <xf numFmtId="164" fontId="20" fillId="3" borderId="24" xfId="0" applyNumberFormat="1" applyFont="1" applyFill="1" applyBorder="1" applyAlignment="1">
      <alignment horizontal="right" vertical="center"/>
    </xf>
    <xf numFmtId="0" fontId="2" fillId="3"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165" fontId="11" fillId="3" borderId="72" xfId="0" applyNumberFormat="1" applyFont="1" applyFill="1" applyBorder="1" applyAlignment="1">
      <alignment horizontal="center" vertical="center" wrapText="1"/>
    </xf>
    <xf numFmtId="1" fontId="11" fillId="3" borderId="72" xfId="0" applyNumberFormat="1" applyFont="1" applyFill="1" applyBorder="1" applyAlignment="1">
      <alignment horizontal="center" vertical="center" wrapText="1"/>
    </xf>
    <xf numFmtId="0" fontId="2" fillId="3" borderId="68" xfId="0" applyFont="1" applyFill="1" applyBorder="1" applyAlignment="1">
      <alignment horizontal="center" wrapText="1"/>
    </xf>
    <xf numFmtId="14" fontId="13" fillId="3" borderId="66" xfId="0" applyNumberFormat="1" applyFont="1" applyFill="1" applyBorder="1" applyAlignment="1">
      <alignment horizontal="left" vertical="center" wrapText="1"/>
    </xf>
    <xf numFmtId="1" fontId="13" fillId="6" borderId="66" xfId="0" applyNumberFormat="1" applyFont="1" applyFill="1" applyBorder="1" applyAlignment="1">
      <alignment horizontal="right" vertical="center" wrapText="1"/>
    </xf>
    <xf numFmtId="0" fontId="13" fillId="6" borderId="66" xfId="0" applyFont="1" applyFill="1" applyBorder="1" applyAlignment="1">
      <alignment wrapText="1"/>
    </xf>
    <xf numFmtId="0" fontId="13" fillId="6" borderId="66" xfId="0" applyFont="1" applyFill="1" applyBorder="1" applyAlignment="1">
      <alignment horizontal="center" vertical="center" wrapText="1"/>
    </xf>
    <xf numFmtId="0" fontId="2" fillId="6" borderId="60" xfId="0" applyFont="1" applyFill="1" applyBorder="1" applyAlignment="1">
      <alignment wrapText="1"/>
    </xf>
    <xf numFmtId="0" fontId="2" fillId="6" borderId="66" xfId="0" applyFont="1" applyFill="1" applyBorder="1" applyAlignment="1">
      <alignment horizontal="center" vertical="center" wrapText="1"/>
    </xf>
    <xf numFmtId="17" fontId="13" fillId="3" borderId="66" xfId="0" applyNumberFormat="1" applyFont="1" applyFill="1" applyBorder="1" applyAlignment="1">
      <alignment horizontal="right" vertical="center" wrapText="1"/>
    </xf>
    <xf numFmtId="1" fontId="13" fillId="3" borderId="66" xfId="0" applyNumberFormat="1" applyFont="1" applyFill="1" applyBorder="1" applyAlignment="1">
      <alignment horizontal="right" vertical="center" wrapText="1"/>
    </xf>
    <xf numFmtId="0" fontId="23" fillId="0" borderId="66" xfId="0" applyFont="1" applyBorder="1" applyAlignment="1">
      <alignment horizontal="left" vertical="center" wrapText="1"/>
    </xf>
    <xf numFmtId="164" fontId="13" fillId="2" borderId="1" xfId="0" applyNumberFormat="1" applyFont="1" applyFill="1" applyBorder="1" applyAlignment="1">
      <alignment horizontal="right" vertical="center" wrapText="1"/>
    </xf>
    <xf numFmtId="1" fontId="13" fillId="2" borderId="1" xfId="0" applyNumberFormat="1" applyFont="1" applyFill="1" applyBorder="1" applyAlignment="1">
      <alignment horizontal="left" wrapText="1"/>
    </xf>
    <xf numFmtId="0" fontId="13" fillId="3" borderId="1" xfId="0" applyFont="1" applyFill="1" applyBorder="1" applyAlignment="1">
      <alignment horizontal="left" vertical="center" wrapText="1"/>
    </xf>
    <xf numFmtId="14" fontId="13" fillId="2" borderId="1" xfId="0" applyNumberFormat="1" applyFont="1" applyFill="1" applyBorder="1" applyAlignment="1">
      <alignment horizontal="right" vertical="center" wrapText="1"/>
    </xf>
    <xf numFmtId="14" fontId="13" fillId="3" borderId="1" xfId="0" applyNumberFormat="1" applyFont="1" applyFill="1" applyBorder="1" applyAlignment="1">
      <alignment horizontal="left" vertical="center" wrapText="1"/>
    </xf>
    <xf numFmtId="1" fontId="13" fillId="0" borderId="0" xfId="0" applyNumberFormat="1" applyFont="1" applyAlignment="1">
      <alignment horizontal="right" vertical="center" wrapText="1"/>
    </xf>
    <xf numFmtId="0" fontId="2" fillId="3" borderId="60" xfId="0" applyFont="1" applyFill="1" applyBorder="1" applyAlignment="1">
      <alignment wrapText="1"/>
    </xf>
    <xf numFmtId="0" fontId="2" fillId="3" borderId="66" xfId="0" applyFont="1" applyFill="1" applyBorder="1" applyAlignment="1">
      <alignment horizontal="center" vertical="center" wrapText="1"/>
    </xf>
    <xf numFmtId="0" fontId="13" fillId="2" borderId="66" xfId="0" applyFont="1" applyFill="1" applyBorder="1" applyAlignment="1">
      <alignment horizontal="right" vertical="center" wrapText="1"/>
    </xf>
    <xf numFmtId="0" fontId="13" fillId="0" borderId="66" xfId="0" applyFont="1" applyBorder="1" applyAlignment="1">
      <alignment horizontal="right" vertical="center" wrapText="1"/>
    </xf>
    <xf numFmtId="14" fontId="13" fillId="0" borderId="66" xfId="0" applyNumberFormat="1" applyFont="1" applyBorder="1" applyAlignment="1">
      <alignment horizontal="right" vertical="center" wrapText="1"/>
    </xf>
    <xf numFmtId="49" fontId="13" fillId="3" borderId="66" xfId="0" applyNumberFormat="1" applyFont="1" applyFill="1" applyBorder="1" applyAlignment="1">
      <alignment horizontal="right" vertical="center" wrapText="1"/>
    </xf>
    <xf numFmtId="14" fontId="13" fillId="2" borderId="66" xfId="0" applyNumberFormat="1" applyFont="1" applyFill="1" applyBorder="1" applyAlignment="1">
      <alignment horizontal="right" vertical="center" wrapText="1"/>
    </xf>
    <xf numFmtId="0" fontId="2" fillId="6" borderId="66" xfId="0" applyFont="1" applyFill="1" applyBorder="1" applyAlignment="1">
      <alignment wrapText="1"/>
    </xf>
    <xf numFmtId="4" fontId="13" fillId="3" borderId="66" xfId="0" applyNumberFormat="1" applyFont="1" applyFill="1" applyBorder="1" applyAlignment="1">
      <alignment horizontal="left" vertical="center" wrapText="1"/>
    </xf>
    <xf numFmtId="14" fontId="13" fillId="2" borderId="66" xfId="0" applyNumberFormat="1" applyFont="1" applyFill="1" applyBorder="1" applyAlignment="1">
      <alignment horizontal="left" vertical="center" wrapText="1"/>
    </xf>
    <xf numFmtId="2" fontId="13" fillId="3" borderId="66" xfId="0" applyNumberFormat="1" applyFont="1" applyFill="1" applyBorder="1" applyAlignment="1">
      <alignment horizontal="right" vertical="center" wrapText="1"/>
    </xf>
    <xf numFmtId="17" fontId="13" fillId="2" borderId="66" xfId="0" applyNumberFormat="1" applyFont="1" applyFill="1" applyBorder="1" applyAlignment="1">
      <alignment horizontal="right" vertical="center" wrapText="1"/>
    </xf>
    <xf numFmtId="0" fontId="2" fillId="3" borderId="66" xfId="0" applyFont="1" applyFill="1" applyBorder="1" applyAlignment="1">
      <alignment wrapText="1"/>
    </xf>
    <xf numFmtId="17" fontId="13" fillId="3" borderId="51" xfId="0" applyNumberFormat="1" applyFont="1" applyFill="1" applyBorder="1" applyAlignment="1">
      <alignment horizontal="right" vertical="center" wrapText="1"/>
    </xf>
    <xf numFmtId="14" fontId="13" fillId="3" borderId="51" xfId="0" applyNumberFormat="1" applyFont="1" applyFill="1" applyBorder="1" applyAlignment="1">
      <alignment horizontal="left" vertical="center" wrapText="1"/>
    </xf>
    <xf numFmtId="14" fontId="13" fillId="3" borderId="75" xfId="0" applyNumberFormat="1" applyFont="1" applyFill="1" applyBorder="1" applyAlignment="1">
      <alignment horizontal="right" vertical="center" wrapText="1"/>
    </xf>
    <xf numFmtId="165" fontId="13" fillId="3" borderId="75" xfId="0" applyNumberFormat="1" applyFont="1" applyFill="1" applyBorder="1" applyAlignment="1">
      <alignment horizontal="right" vertical="center" wrapText="1"/>
    </xf>
    <xf numFmtId="0" fontId="13" fillId="3" borderId="75" xfId="0" applyFont="1" applyFill="1" applyBorder="1" applyAlignment="1">
      <alignment horizontal="left" vertical="center" wrapText="1"/>
    </xf>
    <xf numFmtId="164" fontId="13" fillId="3" borderId="75" xfId="0" applyNumberFormat="1" applyFont="1" applyFill="1" applyBorder="1" applyAlignment="1">
      <alignment horizontal="right" vertical="center" wrapText="1"/>
    </xf>
    <xf numFmtId="0" fontId="13" fillId="2" borderId="75" xfId="0" applyFont="1" applyFill="1" applyBorder="1" applyAlignment="1">
      <alignment horizontal="left" vertical="center" wrapText="1"/>
    </xf>
    <xf numFmtId="0" fontId="11" fillId="2" borderId="24" xfId="0" applyFont="1" applyFill="1" applyBorder="1" applyAlignment="1">
      <alignment horizontal="center" vertical="center" wrapText="1"/>
    </xf>
    <xf numFmtId="4" fontId="11" fillId="2" borderId="24" xfId="0" applyNumberFormat="1" applyFont="1" applyFill="1" applyBorder="1" applyAlignment="1">
      <alignment horizontal="center" vertical="center" wrapText="1"/>
    </xf>
    <xf numFmtId="0" fontId="2" fillId="2" borderId="1" xfId="0" applyFont="1" applyFill="1" applyBorder="1" applyAlignment="1">
      <alignment horizontal="center"/>
    </xf>
    <xf numFmtId="164" fontId="2" fillId="2" borderId="1" xfId="0" applyNumberFormat="1" applyFont="1" applyFill="1" applyBorder="1" applyAlignment="1">
      <alignment horizontal="right" vertical="center" wrapText="1"/>
    </xf>
    <xf numFmtId="167" fontId="2" fillId="2" borderId="1" xfId="0" applyNumberFormat="1" applyFont="1" applyFill="1" applyBorder="1" applyAlignment="1">
      <alignment horizontal="left" vertical="center" wrapText="1"/>
    </xf>
    <xf numFmtId="3" fontId="2" fillId="2" borderId="1" xfId="0" applyNumberFormat="1" applyFont="1" applyFill="1" applyBorder="1" applyAlignment="1">
      <alignment horizontal="left" vertical="center" wrapText="1"/>
    </xf>
    <xf numFmtId="0" fontId="11" fillId="2" borderId="24" xfId="0" applyFont="1" applyFill="1" applyBorder="1" applyAlignment="1">
      <alignment horizontal="left" vertical="center" wrapText="1"/>
    </xf>
    <xf numFmtId="0" fontId="11" fillId="2" borderId="24" xfId="0" applyFont="1" applyFill="1" applyBorder="1" applyAlignment="1">
      <alignment horizontal="right" vertical="center" wrapText="1"/>
    </xf>
    <xf numFmtId="164" fontId="14" fillId="2" borderId="24" xfId="0" applyNumberFormat="1" applyFont="1" applyFill="1" applyBorder="1" applyAlignment="1">
      <alignment horizontal="right" vertical="center"/>
    </xf>
    <xf numFmtId="164" fontId="24" fillId="2" borderId="24" xfId="0" applyNumberFormat="1" applyFont="1" applyFill="1" applyBorder="1" applyAlignment="1">
      <alignment horizontal="left" vertical="center" wrapText="1"/>
    </xf>
    <xf numFmtId="0" fontId="2" fillId="2" borderId="1" xfId="0" applyFont="1" applyFill="1" applyBorder="1" applyAlignment="1">
      <alignment horizontal="right" vertical="center"/>
    </xf>
    <xf numFmtId="167" fontId="11" fillId="3" borderId="66" xfId="0" applyNumberFormat="1" applyFont="1" applyFill="1" applyBorder="1" applyAlignment="1">
      <alignment horizontal="center" vertical="center" wrapText="1"/>
    </xf>
    <xf numFmtId="165" fontId="11" fillId="3" borderId="66" xfId="0" applyNumberFormat="1"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2" borderId="66" xfId="0" applyFont="1" applyFill="1" applyBorder="1" applyAlignment="1">
      <alignment horizontal="center" vertical="center" wrapText="1"/>
    </xf>
    <xf numFmtId="1" fontId="11" fillId="3" borderId="66" xfId="0" applyNumberFormat="1" applyFont="1" applyFill="1" applyBorder="1" applyAlignment="1">
      <alignment horizontal="center" vertical="center" wrapText="1"/>
    </xf>
    <xf numFmtId="14" fontId="11" fillId="3" borderId="66" xfId="0" applyNumberFormat="1" applyFont="1" applyFill="1" applyBorder="1" applyAlignment="1">
      <alignment horizontal="center" vertical="center" wrapText="1"/>
    </xf>
    <xf numFmtId="1" fontId="11" fillId="6" borderId="48" xfId="0" applyNumberFormat="1" applyFont="1" applyFill="1" applyBorder="1" applyAlignment="1">
      <alignment horizontal="center" vertical="center" wrapText="1"/>
    </xf>
    <xf numFmtId="1" fontId="11" fillId="6" borderId="72" xfId="0" applyNumberFormat="1" applyFont="1" applyFill="1" applyBorder="1" applyAlignment="1">
      <alignment horizontal="center" vertical="center" wrapText="1"/>
    </xf>
    <xf numFmtId="0" fontId="2" fillId="6" borderId="1" xfId="0" applyFont="1" applyFill="1" applyBorder="1" applyAlignment="1">
      <alignment horizontal="center" wrapText="1"/>
    </xf>
    <xf numFmtId="0" fontId="2" fillId="6" borderId="68" xfId="0" applyFont="1" applyFill="1" applyBorder="1" applyAlignment="1">
      <alignment horizontal="center" wrapText="1"/>
    </xf>
    <xf numFmtId="0" fontId="2" fillId="3" borderId="66" xfId="0" applyFont="1" applyFill="1" applyBorder="1" applyAlignment="1">
      <alignment horizontal="center" wrapText="1"/>
    </xf>
    <xf numFmtId="1" fontId="13" fillId="6" borderId="60" xfId="0" applyNumberFormat="1" applyFont="1" applyFill="1" applyBorder="1" applyAlignment="1">
      <alignment horizontal="right" vertical="center" wrapText="1"/>
    </xf>
    <xf numFmtId="3" fontId="13" fillId="2" borderId="66" xfId="0" applyNumberFormat="1" applyFont="1" applyFill="1" applyBorder="1" applyAlignment="1">
      <alignment horizontal="left" vertical="center" wrapText="1"/>
    </xf>
    <xf numFmtId="168" fontId="13" fillId="3" borderId="66" xfId="0" applyNumberFormat="1" applyFont="1" applyFill="1" applyBorder="1" applyAlignment="1">
      <alignment horizontal="left" vertical="center" wrapText="1"/>
    </xf>
    <xf numFmtId="3" fontId="13" fillId="3" borderId="66" xfId="0" applyNumberFormat="1" applyFont="1" applyFill="1" applyBorder="1" applyAlignment="1">
      <alignment horizontal="left" vertical="center" wrapText="1"/>
    </xf>
    <xf numFmtId="49" fontId="13" fillId="3" borderId="66" xfId="0" applyNumberFormat="1" applyFont="1" applyFill="1" applyBorder="1" applyAlignment="1">
      <alignment horizontal="left" vertical="center" wrapText="1"/>
    </xf>
    <xf numFmtId="14" fontId="13" fillId="2" borderId="66" xfId="0" applyNumberFormat="1" applyFont="1" applyFill="1" applyBorder="1" applyAlignment="1">
      <alignment horizontal="center" vertical="center" wrapText="1"/>
    </xf>
    <xf numFmtId="0" fontId="2" fillId="3" borderId="76" xfId="0" applyFont="1" applyFill="1" applyBorder="1" applyAlignment="1">
      <alignment wrapText="1"/>
    </xf>
    <xf numFmtId="1" fontId="13" fillId="2" borderId="66" xfId="0" applyNumberFormat="1" applyFont="1" applyFill="1" applyBorder="1" applyAlignment="1">
      <alignment horizontal="left" vertical="center" wrapText="1"/>
    </xf>
    <xf numFmtId="14" fontId="13" fillId="0" borderId="66" xfId="0" applyNumberFormat="1" applyFont="1" applyBorder="1" applyAlignment="1">
      <alignment horizontal="left" vertical="center" wrapText="1"/>
    </xf>
    <xf numFmtId="0" fontId="0" fillId="0" borderId="66" xfId="0" applyFont="1" applyBorder="1" applyAlignment="1">
      <alignment horizontal="left" vertical="center" wrapText="1"/>
    </xf>
    <xf numFmtId="0" fontId="2" fillId="0" borderId="66" xfId="0" applyFont="1" applyBorder="1" applyAlignment="1">
      <alignment horizontal="left" vertical="center" wrapText="1"/>
    </xf>
    <xf numFmtId="1" fontId="13" fillId="0" borderId="66" xfId="0" applyNumberFormat="1" applyFont="1" applyBorder="1" applyAlignment="1">
      <alignment horizontal="left" vertical="center" wrapText="1"/>
    </xf>
    <xf numFmtId="0" fontId="2" fillId="0" borderId="0" xfId="0" applyFont="1" applyAlignment="1">
      <alignment wrapText="1"/>
    </xf>
    <xf numFmtId="0" fontId="13" fillId="3" borderId="77" xfId="0" applyFont="1" applyFill="1" applyBorder="1" applyAlignment="1">
      <alignment horizontal="right" vertical="center" wrapText="1"/>
    </xf>
    <xf numFmtId="14" fontId="13" fillId="3" borderId="75" xfId="0" applyNumberFormat="1" applyFont="1" applyFill="1" applyBorder="1" applyAlignment="1">
      <alignment horizontal="left" vertical="center" wrapText="1"/>
    </xf>
    <xf numFmtId="0" fontId="13" fillId="3" borderId="61" xfId="0" applyFont="1" applyFill="1" applyBorder="1" applyAlignment="1">
      <alignment horizontal="right" vertical="center" wrapText="1"/>
    </xf>
    <xf numFmtId="1" fontId="13" fillId="0" borderId="66" xfId="0" applyNumberFormat="1" applyFont="1" applyBorder="1" applyAlignment="1">
      <alignment horizontal="right" vertical="center" wrapText="1"/>
    </xf>
    <xf numFmtId="0" fontId="13" fillId="3" borderId="78" xfId="0" applyFont="1" applyFill="1" applyBorder="1" applyAlignment="1">
      <alignment horizontal="right" vertical="center" wrapText="1"/>
    </xf>
    <xf numFmtId="165" fontId="13" fillId="3" borderId="51" xfId="0" applyNumberFormat="1" applyFont="1" applyFill="1" applyBorder="1" applyAlignment="1">
      <alignment horizontal="right" vertical="center" wrapText="1"/>
    </xf>
    <xf numFmtId="0" fontId="2" fillId="3" borderId="75" xfId="0" applyFont="1" applyFill="1" applyBorder="1" applyAlignment="1">
      <alignment wrapText="1"/>
    </xf>
    <xf numFmtId="0" fontId="2" fillId="3" borderId="1" xfId="0" applyFont="1" applyFill="1" applyBorder="1" applyAlignment="1">
      <alignment horizontal="center" vertical="center" wrapText="1"/>
    </xf>
    <xf numFmtId="0" fontId="2" fillId="6" borderId="68" xfId="0" applyFont="1" applyFill="1" applyBorder="1" applyAlignment="1">
      <alignment horizontal="center" vertical="center" wrapText="1"/>
    </xf>
    <xf numFmtId="0" fontId="2" fillId="6" borderId="60" xfId="0" applyFont="1" applyFill="1" applyBorder="1" applyAlignment="1">
      <alignment horizontal="center" vertical="center" wrapText="1"/>
    </xf>
    <xf numFmtId="166" fontId="13" fillId="0" borderId="66" xfId="0" applyNumberFormat="1" applyFont="1" applyBorder="1" applyAlignment="1">
      <alignment horizontal="right" vertical="center" wrapText="1"/>
    </xf>
    <xf numFmtId="0" fontId="13" fillId="0" borderId="66" xfId="0" applyFont="1" applyBorder="1" applyAlignment="1">
      <alignment vertical="center" wrapText="1"/>
    </xf>
    <xf numFmtId="0" fontId="13" fillId="3" borderId="66" xfId="0" applyFont="1" applyFill="1" applyBorder="1" applyAlignment="1">
      <alignment vertical="center" wrapText="1"/>
    </xf>
    <xf numFmtId="0" fontId="0" fillId="0" borderId="0" xfId="0" applyFont="1" applyAlignment="1">
      <alignment horizontal="center" vertical="center"/>
    </xf>
    <xf numFmtId="0" fontId="3" fillId="3" borderId="1" xfId="0" applyFont="1" applyFill="1" applyBorder="1" applyAlignment="1">
      <alignment vertical="center" wrapText="1"/>
    </xf>
    <xf numFmtId="0" fontId="25" fillId="2" borderId="1" xfId="0" applyFont="1" applyFill="1" applyBorder="1"/>
    <xf numFmtId="164" fontId="26" fillId="2" borderId="1" xfId="0" applyNumberFormat="1" applyFont="1" applyFill="1" applyBorder="1" applyAlignment="1">
      <alignment horizontal="left" wrapText="1"/>
    </xf>
    <xf numFmtId="0" fontId="20" fillId="2" borderId="40"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0" fillId="2" borderId="79" xfId="0" applyFont="1" applyFill="1" applyBorder="1" applyAlignment="1">
      <alignment horizontal="center" vertical="center" wrapText="1"/>
    </xf>
    <xf numFmtId="0" fontId="20" fillId="2" borderId="55" xfId="0" applyFont="1" applyFill="1" applyBorder="1" applyAlignment="1">
      <alignment horizontal="center" vertical="center" wrapText="1"/>
    </xf>
    <xf numFmtId="164" fontId="20" fillId="2" borderId="40" xfId="0" applyNumberFormat="1" applyFont="1" applyFill="1" applyBorder="1" applyAlignment="1">
      <alignment horizontal="center" vertical="center" wrapText="1"/>
    </xf>
    <xf numFmtId="4" fontId="13" fillId="2" borderId="75" xfId="0" applyNumberFormat="1" applyFont="1" applyFill="1" applyBorder="1" applyAlignment="1">
      <alignment horizontal="right" vertical="center" wrapText="1"/>
    </xf>
    <xf numFmtId="0" fontId="13" fillId="2" borderId="75" xfId="0" applyFont="1" applyFill="1" applyBorder="1" applyAlignment="1">
      <alignment horizontal="right" vertical="center" wrapText="1"/>
    </xf>
    <xf numFmtId="14" fontId="13" fillId="2" borderId="75" xfId="0" applyNumberFormat="1" applyFont="1" applyFill="1" applyBorder="1" applyAlignment="1">
      <alignment horizontal="left" vertical="center"/>
    </xf>
    <xf numFmtId="0" fontId="13" fillId="2" borderId="66" xfId="0" applyFont="1" applyFill="1" applyBorder="1" applyAlignment="1">
      <alignment horizontal="center"/>
    </xf>
    <xf numFmtId="4" fontId="13" fillId="2" borderId="66" xfId="0" applyNumberFormat="1" applyFont="1" applyFill="1" applyBorder="1" applyAlignment="1">
      <alignment horizontal="right" vertical="center" wrapText="1"/>
    </xf>
    <xf numFmtId="14" fontId="13" fillId="2" borderId="66" xfId="0" applyNumberFormat="1" applyFont="1" applyFill="1" applyBorder="1" applyAlignment="1">
      <alignment horizontal="left" vertical="center"/>
    </xf>
    <xf numFmtId="0" fontId="27" fillId="0" borderId="0" xfId="0" applyFont="1"/>
    <xf numFmtId="4" fontId="2" fillId="0" borderId="0" xfId="0" applyNumberFormat="1" applyFont="1"/>
    <xf numFmtId="0" fontId="28" fillId="3" borderId="1" xfId="0" applyFont="1" applyFill="1" applyBorder="1" applyAlignment="1">
      <alignment horizontal="center" vertical="center" wrapText="1"/>
    </xf>
    <xf numFmtId="0" fontId="29" fillId="3" borderId="1" xfId="0" applyFont="1" applyFill="1" applyBorder="1" applyAlignment="1">
      <alignment horizontal="center"/>
    </xf>
    <xf numFmtId="0" fontId="10" fillId="3" borderId="1" xfId="0" applyFont="1" applyFill="1" applyBorder="1" applyAlignment="1">
      <alignment horizontal="center" wrapText="1"/>
    </xf>
    <xf numFmtId="0" fontId="10" fillId="3" borderId="1" xfId="0" applyFont="1" applyFill="1" applyBorder="1" applyAlignment="1">
      <alignment horizontal="center"/>
    </xf>
    <xf numFmtId="0" fontId="10" fillId="3" borderId="1" xfId="0" applyFont="1" applyFill="1" applyBorder="1" applyAlignment="1">
      <alignment horizontal="left"/>
    </xf>
    <xf numFmtId="0" fontId="9" fillId="2" borderId="66" xfId="0" applyFont="1" applyFill="1" applyBorder="1" applyAlignment="1">
      <alignment horizontal="left" vertical="center" wrapText="1"/>
    </xf>
    <xf numFmtId="0" fontId="2" fillId="2" borderId="1" xfId="0" applyFont="1" applyFill="1" applyBorder="1" applyAlignment="1">
      <alignment wrapText="1"/>
    </xf>
    <xf numFmtId="0" fontId="2" fillId="2" borderId="1" xfId="0" applyFont="1" applyFill="1" applyBorder="1" applyAlignment="1">
      <alignment vertical="center" wrapText="1"/>
    </xf>
    <xf numFmtId="0" fontId="10" fillId="2" borderId="66"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3" borderId="28" xfId="0" applyFont="1" applyFill="1" applyBorder="1" applyAlignment="1">
      <alignment wrapText="1"/>
    </xf>
    <xf numFmtId="0" fontId="13" fillId="7" borderId="66" xfId="0" applyFont="1" applyFill="1" applyBorder="1" applyAlignment="1">
      <alignment horizontal="left" vertical="center" wrapText="1"/>
    </xf>
    <xf numFmtId="164" fontId="30" fillId="3" borderId="2" xfId="0" applyNumberFormat="1" applyFont="1" applyFill="1" applyBorder="1" applyAlignment="1">
      <alignment horizontal="right" vertical="center"/>
    </xf>
    <xf numFmtId="0" fontId="31" fillId="2" borderId="66" xfId="0" applyFont="1" applyFill="1" applyBorder="1" applyAlignment="1">
      <alignment horizontal="left" vertical="center" wrapText="1"/>
    </xf>
    <xf numFmtId="0" fontId="13" fillId="9" borderId="66" xfId="0" applyFont="1" applyFill="1" applyBorder="1" applyAlignment="1">
      <alignment horizontal="left" vertical="center" wrapText="1"/>
    </xf>
    <xf numFmtId="0" fontId="0" fillId="0" borderId="0" xfId="0" applyFont="1" applyAlignment="1"/>
    <xf numFmtId="0" fontId="31" fillId="7" borderId="66" xfId="0" applyFont="1" applyFill="1" applyBorder="1" applyAlignment="1">
      <alignment horizontal="left" vertical="center" wrapText="1"/>
    </xf>
    <xf numFmtId="0" fontId="0" fillId="0" borderId="0" xfId="0" applyFont="1" applyAlignment="1"/>
    <xf numFmtId="0" fontId="13" fillId="10" borderId="66" xfId="0" applyFont="1" applyFill="1" applyBorder="1" applyAlignment="1">
      <alignment horizontal="right" vertical="center" wrapText="1"/>
    </xf>
    <xf numFmtId="0" fontId="0" fillId="0" borderId="0" xfId="0" applyFont="1" applyAlignment="1"/>
    <xf numFmtId="0" fontId="2" fillId="8" borderId="66" xfId="0" applyFont="1" applyFill="1" applyBorder="1" applyAlignment="1">
      <alignment horizontal="center" vertical="center" wrapText="1"/>
    </xf>
    <xf numFmtId="0" fontId="13" fillId="3" borderId="66" xfId="0" applyFont="1" applyFill="1" applyBorder="1" applyAlignment="1">
      <alignment horizontal="justify" vertical="center" wrapText="1"/>
    </xf>
    <xf numFmtId="0" fontId="13" fillId="0" borderId="66" xfId="0" applyFont="1" applyBorder="1" applyAlignment="1">
      <alignment horizontal="justify" vertical="center" wrapText="1"/>
    </xf>
    <xf numFmtId="0" fontId="13" fillId="2" borderId="66" xfId="0" applyFont="1" applyFill="1" applyBorder="1" applyAlignment="1">
      <alignment horizontal="justify" vertical="center" wrapText="1"/>
    </xf>
    <xf numFmtId="0" fontId="23" fillId="0" borderId="66" xfId="0" applyFont="1" applyBorder="1" applyAlignment="1">
      <alignment horizontal="justify" vertical="center" wrapText="1"/>
    </xf>
    <xf numFmtId="0" fontId="0" fillId="2" borderId="66" xfId="0" applyFont="1" applyFill="1" applyBorder="1" applyAlignment="1">
      <alignment horizontal="justify" vertical="center" wrapText="1"/>
    </xf>
    <xf numFmtId="0" fontId="31" fillId="2" borderId="66" xfId="0" applyFont="1" applyFill="1" applyBorder="1" applyAlignment="1">
      <alignment horizontal="justify" vertical="center" wrapText="1"/>
    </xf>
    <xf numFmtId="0" fontId="13" fillId="3" borderId="51" xfId="0" applyFont="1" applyFill="1" applyBorder="1" applyAlignment="1">
      <alignment horizontal="justify" vertical="center" wrapText="1"/>
    </xf>
    <xf numFmtId="0" fontId="30" fillId="8" borderId="66" xfId="0" applyFont="1" applyFill="1" applyBorder="1" applyAlignment="1">
      <alignment horizontal="center" vertical="center" wrapText="1"/>
    </xf>
    <xf numFmtId="0" fontId="31" fillId="3" borderId="66" xfId="0" applyFont="1" applyFill="1" applyBorder="1" applyAlignment="1">
      <alignment horizontal="left" vertical="center" wrapText="1"/>
    </xf>
    <xf numFmtId="0" fontId="31" fillId="3" borderId="66" xfId="0" applyFont="1" applyFill="1" applyBorder="1" applyAlignment="1">
      <alignment horizontal="right" vertical="center" wrapText="1"/>
    </xf>
    <xf numFmtId="14" fontId="31" fillId="3" borderId="66" xfId="0" applyNumberFormat="1" applyFont="1" applyFill="1" applyBorder="1" applyAlignment="1">
      <alignment horizontal="right" vertical="center" wrapText="1"/>
    </xf>
    <xf numFmtId="0" fontId="31" fillId="3" borderId="66" xfId="0" applyFont="1" applyFill="1" applyBorder="1" applyAlignment="1">
      <alignment horizontal="justify" vertical="center" wrapText="1"/>
    </xf>
    <xf numFmtId="0" fontId="31" fillId="6" borderId="66" xfId="0" applyFont="1" applyFill="1" applyBorder="1" applyAlignment="1">
      <alignment horizontal="center" vertical="center" wrapText="1"/>
    </xf>
    <xf numFmtId="0" fontId="31" fillId="0" borderId="66" xfId="0" applyFont="1" applyBorder="1" applyAlignment="1">
      <alignment horizontal="left" vertical="center" wrapText="1"/>
    </xf>
    <xf numFmtId="14" fontId="13" fillId="10" borderId="66" xfId="0" applyNumberFormat="1" applyFont="1" applyFill="1" applyBorder="1" applyAlignment="1">
      <alignment horizontal="right" vertical="center" wrapText="1"/>
    </xf>
    <xf numFmtId="0" fontId="13" fillId="2" borderId="75" xfId="0" applyFont="1" applyFill="1" applyBorder="1" applyAlignment="1">
      <alignment horizontal="center" vertical="center"/>
    </xf>
    <xf numFmtId="0" fontId="13" fillId="2" borderId="66" xfId="0" applyFont="1" applyFill="1" applyBorder="1" applyAlignment="1">
      <alignment horizontal="center" vertical="center"/>
    </xf>
    <xf numFmtId="0" fontId="2" fillId="11" borderId="66" xfId="0" applyFont="1" applyFill="1" applyBorder="1" applyAlignment="1">
      <alignment horizontal="center" vertical="center" wrapText="1"/>
    </xf>
    <xf numFmtId="0" fontId="13" fillId="12" borderId="66" xfId="0" applyFont="1" applyFill="1" applyBorder="1" applyAlignment="1">
      <alignment horizontal="left" vertical="center" wrapText="1"/>
    </xf>
    <xf numFmtId="0" fontId="0" fillId="0" borderId="0" xfId="0" applyFont="1" applyAlignment="1"/>
    <xf numFmtId="0" fontId="0" fillId="0" borderId="0" xfId="0" applyFont="1" applyAlignment="1"/>
    <xf numFmtId="0" fontId="2" fillId="3" borderId="28" xfId="0" applyFont="1" applyFill="1" applyBorder="1"/>
    <xf numFmtId="0" fontId="11" fillId="3" borderId="20" xfId="0" applyFont="1" applyFill="1" applyBorder="1" applyAlignment="1">
      <alignment vertical="center"/>
    </xf>
    <xf numFmtId="164" fontId="2" fillId="2" borderId="20" xfId="0" applyNumberFormat="1" applyFont="1" applyFill="1" applyBorder="1" applyAlignment="1">
      <alignment horizontal="right" vertical="center"/>
    </xf>
    <xf numFmtId="164" fontId="30" fillId="3" borderId="35" xfId="0" applyNumberFormat="1" applyFont="1" applyFill="1" applyBorder="1" applyAlignment="1">
      <alignment horizontal="right" vertic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3" fillId="13" borderId="66" xfId="0" applyFont="1" applyFill="1" applyBorder="1" applyAlignment="1">
      <alignment horizontal="left" vertical="center" wrapText="1"/>
    </xf>
    <xf numFmtId="0" fontId="13" fillId="14" borderId="66" xfId="0" applyFont="1" applyFill="1" applyBorder="1" applyAlignment="1">
      <alignment horizontal="left" vertical="center" wrapText="1"/>
    </xf>
    <xf numFmtId="0" fontId="13" fillId="8" borderId="66" xfId="0" applyFont="1" applyFill="1" applyBorder="1" applyAlignment="1">
      <alignment horizontal="left" vertical="center" wrapText="1"/>
    </xf>
    <xf numFmtId="0" fontId="13" fillId="15" borderId="66" xfId="0" applyFont="1" applyFill="1" applyBorder="1" applyAlignment="1">
      <alignment horizontal="center" vertical="center" wrapText="1"/>
    </xf>
    <xf numFmtId="164" fontId="2" fillId="2" borderId="20" xfId="0" applyNumberFormat="1" applyFont="1" applyFill="1" applyBorder="1" applyAlignment="1">
      <alignment horizontal="center" vertical="center"/>
    </xf>
    <xf numFmtId="166" fontId="11" fillId="12" borderId="56" xfId="0" applyNumberFormat="1" applyFont="1" applyFill="1" applyBorder="1" applyAlignment="1">
      <alignment horizontal="right" vertical="center"/>
    </xf>
    <xf numFmtId="0" fontId="0" fillId="0" borderId="0" xfId="0" applyFont="1" applyAlignment="1"/>
    <xf numFmtId="164" fontId="13" fillId="3" borderId="28" xfId="0" applyNumberFormat="1" applyFont="1" applyFill="1" applyBorder="1" applyAlignment="1">
      <alignment horizontal="right" vertical="center"/>
    </xf>
    <xf numFmtId="0" fontId="0" fillId="0" borderId="0" xfId="0" applyFont="1" applyAlignment="1"/>
    <xf numFmtId="0" fontId="11" fillId="3" borderId="35" xfId="0" applyFont="1" applyFill="1" applyBorder="1" applyAlignment="1">
      <alignment vertical="center"/>
    </xf>
    <xf numFmtId="164" fontId="2" fillId="3" borderId="35" xfId="0" applyNumberFormat="1" applyFont="1" applyFill="1" applyBorder="1" applyAlignment="1">
      <alignment horizontal="right" vertical="center"/>
    </xf>
    <xf numFmtId="164" fontId="2" fillId="3" borderId="2" xfId="0" applyNumberFormat="1" applyFont="1" applyFill="1" applyBorder="1" applyAlignment="1">
      <alignment horizontal="center" vertical="center"/>
    </xf>
    <xf numFmtId="14" fontId="13" fillId="13" borderId="66" xfId="0" applyNumberFormat="1" applyFont="1" applyFill="1" applyBorder="1" applyAlignment="1">
      <alignment horizontal="right" vertical="center" wrapText="1"/>
    </xf>
    <xf numFmtId="0" fontId="0" fillId="0" borderId="0" xfId="0" applyFont="1" applyAlignment="1"/>
    <xf numFmtId="0" fontId="13" fillId="3" borderId="80" xfId="0" applyFont="1" applyFill="1" applyBorder="1" applyAlignment="1">
      <alignment horizontal="right" vertical="center" wrapText="1"/>
    </xf>
    <xf numFmtId="14" fontId="13" fillId="3" borderId="80" xfId="0" applyNumberFormat="1" applyFont="1" applyFill="1" applyBorder="1" applyAlignment="1">
      <alignment horizontal="right" vertical="center" wrapText="1"/>
    </xf>
    <xf numFmtId="0" fontId="13" fillId="3" borderId="80" xfId="0" applyFont="1" applyFill="1" applyBorder="1" applyAlignment="1">
      <alignment horizontal="left" vertical="center" wrapText="1"/>
    </xf>
    <xf numFmtId="164" fontId="13" fillId="3" borderId="80" xfId="0" applyNumberFormat="1" applyFont="1" applyFill="1" applyBorder="1" applyAlignment="1">
      <alignment horizontal="right" vertical="center" wrapText="1"/>
    </xf>
    <xf numFmtId="0" fontId="13" fillId="2" borderId="80" xfId="0" applyFont="1" applyFill="1" applyBorder="1" applyAlignment="1">
      <alignment horizontal="left" vertical="center" wrapText="1"/>
    </xf>
    <xf numFmtId="14" fontId="13" fillId="3" borderId="80" xfId="0" applyNumberFormat="1" applyFont="1" applyFill="1" applyBorder="1" applyAlignment="1">
      <alignment horizontal="left" vertical="center" wrapText="1"/>
    </xf>
    <xf numFmtId="1" fontId="11" fillId="16" borderId="72" xfId="0" applyNumberFormat="1" applyFont="1" applyFill="1" applyBorder="1" applyAlignment="1">
      <alignment horizontal="center" vertical="center" wrapText="1"/>
    </xf>
    <xf numFmtId="0" fontId="2" fillId="16" borderId="28" xfId="0" applyFont="1" applyFill="1" applyBorder="1" applyAlignment="1">
      <alignment horizontal="center" wrapText="1"/>
    </xf>
    <xf numFmtId="1" fontId="11" fillId="16" borderId="81" xfId="0" applyNumberFormat="1" applyFont="1" applyFill="1" applyBorder="1" applyAlignment="1">
      <alignment horizontal="center" vertical="center" wrapText="1"/>
    </xf>
    <xf numFmtId="1" fontId="11" fillId="16" borderId="82" xfId="0" applyNumberFormat="1" applyFont="1" applyFill="1" applyBorder="1" applyAlignment="1">
      <alignment horizontal="center" vertical="center" wrapText="1"/>
    </xf>
    <xf numFmtId="1" fontId="13" fillId="17" borderId="80" xfId="0" applyNumberFormat="1" applyFont="1" applyFill="1" applyBorder="1" applyAlignment="1">
      <alignment horizontal="right" vertical="center" wrapText="1"/>
    </xf>
    <xf numFmtId="0" fontId="2" fillId="16" borderId="80" xfId="0" applyFont="1" applyFill="1" applyBorder="1" applyAlignment="1">
      <alignment wrapText="1"/>
    </xf>
    <xf numFmtId="0" fontId="0" fillId="17" borderId="80" xfId="0" applyFont="1" applyFill="1" applyBorder="1" applyAlignment="1">
      <alignment horizontal="center" vertical="center"/>
    </xf>
    <xf numFmtId="0" fontId="13" fillId="3" borderId="80" xfId="0" applyFont="1" applyFill="1" applyBorder="1" applyAlignment="1">
      <alignment horizontal="justify" vertical="center" wrapText="1"/>
    </xf>
    <xf numFmtId="169" fontId="13" fillId="3" borderId="80" xfId="0" applyNumberFormat="1" applyFont="1" applyFill="1" applyBorder="1" applyAlignment="1">
      <alignment horizontal="right" vertical="center" wrapText="1"/>
    </xf>
    <xf numFmtId="169" fontId="13" fillId="3" borderId="51" xfId="0" applyNumberFormat="1" applyFont="1" applyFill="1" applyBorder="1" applyAlignment="1">
      <alignment horizontal="right" vertical="center" wrapText="1"/>
    </xf>
    <xf numFmtId="169" fontId="13" fillId="3" borderId="75" xfId="0" applyNumberFormat="1" applyFont="1" applyFill="1" applyBorder="1" applyAlignment="1">
      <alignment horizontal="right" vertical="center" wrapText="1"/>
    </xf>
    <xf numFmtId="169" fontId="0" fillId="0" borderId="0" xfId="0" applyNumberFormat="1" applyFont="1" applyAlignment="1"/>
    <xf numFmtId="0" fontId="32" fillId="17" borderId="80" xfId="0" applyFont="1" applyFill="1" applyBorder="1" applyAlignment="1">
      <alignment horizontal="center" vertic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3" fillId="3" borderId="80" xfId="0" applyFont="1" applyFill="1" applyBorder="1" applyAlignment="1">
      <alignment vertical="center" wrapText="1"/>
    </xf>
    <xf numFmtId="0" fontId="23" fillId="17" borderId="80" xfId="0" applyFont="1" applyFill="1" applyBorder="1" applyAlignment="1">
      <alignment horizontal="center" vertical="center"/>
    </xf>
    <xf numFmtId="0" fontId="0" fillId="0" borderId="0" xfId="0" applyFont="1" applyAlignment="1"/>
    <xf numFmtId="165" fontId="13" fillId="2" borderId="68" xfId="0" applyNumberFormat="1" applyFont="1" applyFill="1" applyBorder="1" applyAlignment="1">
      <alignment horizontal="right" vertical="center" wrapText="1"/>
    </xf>
    <xf numFmtId="3" fontId="13" fillId="3" borderId="66" xfId="0" applyNumberFormat="1" applyFont="1" applyFill="1" applyBorder="1" applyAlignment="1">
      <alignment horizontal="right" vertical="center" wrapText="1"/>
    </xf>
    <xf numFmtId="0" fontId="0" fillId="0" borderId="0" xfId="0" applyFont="1" applyAlignment="1"/>
    <xf numFmtId="0" fontId="0" fillId="0" borderId="0" xfId="0" applyFont="1" applyAlignment="1"/>
    <xf numFmtId="0" fontId="0" fillId="0" borderId="0" xfId="0" applyFont="1" applyAlignment="1"/>
    <xf numFmtId="0" fontId="13" fillId="2" borderId="61" xfId="0" applyFont="1" applyFill="1" applyBorder="1" applyAlignment="1">
      <alignment horizontal="left" vertical="center" wrapText="1"/>
    </xf>
    <xf numFmtId="0" fontId="0" fillId="0" borderId="0" xfId="0" applyFont="1" applyAlignment="1"/>
    <xf numFmtId="0" fontId="0" fillId="0" borderId="0" xfId="0" applyFont="1" applyAlignment="1"/>
    <xf numFmtId="0" fontId="13" fillId="19" borderId="66" xfId="0" applyFont="1" applyFill="1" applyBorder="1" applyAlignment="1">
      <alignment horizontal="left" vertical="center" wrapText="1"/>
    </xf>
    <xf numFmtId="0" fontId="0" fillId="0" borderId="0" xfId="0" applyFont="1" applyAlignment="1"/>
    <xf numFmtId="17" fontId="13" fillId="13" borderId="66" xfId="0" applyNumberFormat="1" applyFont="1" applyFill="1" applyBorder="1" applyAlignment="1">
      <alignment horizontal="right" vertical="center" wrapText="1"/>
    </xf>
    <xf numFmtId="0" fontId="13" fillId="2" borderId="60"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2" borderId="76" xfId="0" applyFont="1" applyFill="1" applyBorder="1" applyAlignment="1">
      <alignment horizontal="left" vertical="center" wrapText="1"/>
    </xf>
    <xf numFmtId="165" fontId="13" fillId="2" borderId="80" xfId="0" applyNumberFormat="1" applyFont="1" applyFill="1" applyBorder="1" applyAlignment="1">
      <alignment horizontal="right" vertical="center" wrapText="1"/>
    </xf>
    <xf numFmtId="0" fontId="13" fillId="6" borderId="80" xfId="0" applyFont="1" applyFill="1" applyBorder="1" applyAlignment="1">
      <alignment horizontal="left" vertical="center" wrapText="1"/>
    </xf>
    <xf numFmtId="14" fontId="13" fillId="6" borderId="80" xfId="0" applyNumberFormat="1" applyFont="1" applyFill="1" applyBorder="1" applyAlignment="1">
      <alignment horizontal="center" vertical="center" wrapText="1"/>
    </xf>
    <xf numFmtId="0" fontId="13" fillId="2" borderId="80" xfId="0" applyFont="1" applyFill="1" applyBorder="1" applyAlignment="1">
      <alignment horizontal="justify" vertical="center"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28" xfId="0" applyFont="1" applyBorder="1" applyAlignment="1"/>
    <xf numFmtId="0" fontId="13" fillId="0" borderId="80" xfId="0" applyFont="1" applyBorder="1" applyAlignment="1">
      <alignment horizontal="left" vertical="center" wrapText="1"/>
    </xf>
    <xf numFmtId="0" fontId="0" fillId="0" borderId="0" xfId="0" applyFont="1" applyAlignment="1"/>
    <xf numFmtId="0" fontId="0" fillId="0" borderId="0" xfId="0" applyFont="1" applyAlignment="1"/>
    <xf numFmtId="0" fontId="0" fillId="0" borderId="0" xfId="0" applyFont="1" applyAlignment="1"/>
    <xf numFmtId="0" fontId="13" fillId="18" borderId="80" xfId="0" applyFont="1" applyFill="1" applyBorder="1" applyAlignment="1">
      <alignment horizontal="center" vertical="center" wrapText="1"/>
    </xf>
    <xf numFmtId="17" fontId="13" fillId="3" borderId="80" xfId="0" applyNumberFormat="1" applyFont="1" applyFill="1" applyBorder="1" applyAlignment="1">
      <alignment horizontal="right" vertical="center" wrapText="1"/>
    </xf>
    <xf numFmtId="0" fontId="13" fillId="0" borderId="80" xfId="0" applyFont="1" applyFill="1" applyBorder="1" applyAlignment="1">
      <alignment horizontal="left" vertical="center" wrapText="1"/>
    </xf>
    <xf numFmtId="0" fontId="0" fillId="0" borderId="0" xfId="0" applyFont="1" applyAlignment="1"/>
    <xf numFmtId="0" fontId="0" fillId="0" borderId="0" xfId="0" applyFont="1" applyAlignment="1"/>
    <xf numFmtId="0" fontId="32" fillId="17" borderId="85" xfId="0" applyFont="1" applyFill="1" applyBorder="1" applyAlignment="1">
      <alignment horizontal="center" vertical="center"/>
    </xf>
    <xf numFmtId="0" fontId="2" fillId="6" borderId="80" xfId="0" applyFont="1" applyFill="1" applyBorder="1" applyAlignment="1">
      <alignment horizontal="center" vertical="center" wrapText="1"/>
    </xf>
    <xf numFmtId="0" fontId="13" fillId="0" borderId="80" xfId="0" applyFont="1" applyBorder="1" applyAlignment="1">
      <alignment vertical="center" wrapText="1"/>
    </xf>
    <xf numFmtId="164" fontId="13" fillId="0" borderId="80" xfId="0" applyNumberFormat="1" applyFont="1" applyBorder="1" applyAlignment="1">
      <alignment horizontal="center" vertical="center" wrapText="1"/>
    </xf>
    <xf numFmtId="0" fontId="2" fillId="16" borderId="80"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0" fillId="0" borderId="80" xfId="0" applyFont="1" applyBorder="1" applyAlignment="1">
      <alignment horizontal="center" vertical="center"/>
    </xf>
    <xf numFmtId="0" fontId="0" fillId="0" borderId="0" xfId="0" applyFont="1" applyAlignment="1"/>
    <xf numFmtId="0" fontId="0" fillId="0" borderId="0" xfId="0" applyFont="1" applyAlignment="1"/>
    <xf numFmtId="0" fontId="13" fillId="0" borderId="83" xfId="0" applyFont="1" applyBorder="1" applyAlignment="1">
      <alignment horizontal="left" vertical="center" wrapText="1"/>
    </xf>
    <xf numFmtId="0" fontId="0" fillId="0" borderId="0" xfId="0" applyFont="1" applyAlignment="1"/>
    <xf numFmtId="0" fontId="0" fillId="0" borderId="0" xfId="0" applyFont="1" applyAlignment="1"/>
    <xf numFmtId="169" fontId="13" fillId="3" borderId="86" xfId="0" applyNumberFormat="1" applyFont="1" applyFill="1" applyBorder="1" applyAlignment="1">
      <alignment horizontal="right" vertical="center" wrapText="1"/>
    </xf>
    <xf numFmtId="0" fontId="13" fillId="3" borderId="86" xfId="0" applyFont="1" applyFill="1" applyBorder="1" applyAlignment="1">
      <alignment horizontal="left" vertical="center" wrapText="1"/>
    </xf>
    <xf numFmtId="0" fontId="13" fillId="2" borderId="86" xfId="0" applyFont="1" applyFill="1" applyBorder="1" applyAlignment="1">
      <alignment horizontal="left" vertical="center" wrapText="1"/>
    </xf>
    <xf numFmtId="0" fontId="32" fillId="17" borderId="86" xfId="0" applyFont="1" applyFill="1" applyBorder="1" applyAlignment="1">
      <alignment horizontal="center" vertical="center"/>
    </xf>
    <xf numFmtId="0" fontId="0" fillId="17" borderId="86" xfId="0" applyFont="1" applyFill="1" applyBorder="1" applyAlignment="1">
      <alignment horizontal="center" vertical="center"/>
    </xf>
    <xf numFmtId="0" fontId="0" fillId="0" borderId="0" xfId="0" applyFont="1" applyAlignment="1"/>
    <xf numFmtId="0" fontId="0" fillId="0" borderId="0" xfId="0" applyFont="1" applyAlignment="1"/>
    <xf numFmtId="0" fontId="20" fillId="0" borderId="44" xfId="0" applyFont="1" applyBorder="1" applyAlignment="1">
      <alignment horizontal="center" vertical="center" wrapText="1"/>
    </xf>
    <xf numFmtId="0" fontId="20" fillId="4" borderId="60" xfId="0"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applyFont="1" applyAlignment="1"/>
    <xf numFmtId="1" fontId="13" fillId="17" borderId="83" xfId="0" applyNumberFormat="1" applyFont="1" applyFill="1" applyBorder="1" applyAlignment="1">
      <alignment horizontal="right" vertical="center" wrapText="1"/>
    </xf>
    <xf numFmtId="0" fontId="2" fillId="16" borderId="83" xfId="0" applyFont="1" applyFill="1" applyBorder="1" applyAlignment="1">
      <alignment wrapText="1"/>
    </xf>
    <xf numFmtId="0" fontId="32" fillId="17" borderId="83" xfId="0" applyFont="1" applyFill="1" applyBorder="1" applyAlignment="1">
      <alignment horizontal="center" vertical="center"/>
    </xf>
    <xf numFmtId="1" fontId="13" fillId="17" borderId="86" xfId="0" applyNumberFormat="1" applyFont="1" applyFill="1" applyBorder="1" applyAlignment="1">
      <alignment horizontal="right" vertical="center" wrapText="1"/>
    </xf>
    <xf numFmtId="0" fontId="2" fillId="16" borderId="86" xfId="0" applyFont="1" applyFill="1" applyBorder="1" applyAlignment="1">
      <alignment wrapText="1"/>
    </xf>
    <xf numFmtId="0" fontId="13" fillId="16" borderId="80" xfId="0" applyFont="1" applyFill="1" applyBorder="1" applyAlignment="1">
      <alignment wrapText="1"/>
    </xf>
    <xf numFmtId="0" fontId="13" fillId="2" borderId="80" xfId="0" applyFont="1" applyFill="1" applyBorder="1" applyAlignment="1">
      <alignment vertical="center" wrapText="1"/>
    </xf>
    <xf numFmtId="0" fontId="13" fillId="0" borderId="68" xfId="0" applyFont="1" applyBorder="1" applyAlignment="1">
      <alignment vertical="center" wrapText="1"/>
    </xf>
    <xf numFmtId="0" fontId="13" fillId="0" borderId="80" xfId="0" applyFont="1" applyFill="1" applyBorder="1" applyAlignment="1">
      <alignment vertical="center" wrapText="1"/>
    </xf>
    <xf numFmtId="0" fontId="13" fillId="2" borderId="51" xfId="0" applyFont="1" applyFill="1" applyBorder="1" applyAlignment="1">
      <alignment vertical="center" wrapText="1"/>
    </xf>
    <xf numFmtId="0" fontId="13" fillId="2" borderId="75" xfId="0" applyFont="1" applyFill="1" applyBorder="1" applyAlignment="1">
      <alignment vertical="center" wrapText="1"/>
    </xf>
    <xf numFmtId="0" fontId="0" fillId="0" borderId="0" xfId="0" applyFont="1" applyAlignment="1">
      <alignment vertical="center"/>
    </xf>
    <xf numFmtId="0" fontId="13" fillId="3" borderId="51" xfId="0" applyFont="1" applyFill="1" applyBorder="1" applyAlignment="1">
      <alignment vertical="center" wrapText="1"/>
    </xf>
    <xf numFmtId="0" fontId="13" fillId="3" borderId="75" xfId="0" applyFont="1" applyFill="1" applyBorder="1" applyAlignment="1">
      <alignment vertical="center" wrapText="1"/>
    </xf>
    <xf numFmtId="0" fontId="0" fillId="0" borderId="0" xfId="0" applyFont="1" applyAlignment="1">
      <alignment horizontal="right" vertical="center"/>
    </xf>
    <xf numFmtId="0" fontId="0" fillId="0" borderId="28" xfId="0" applyFont="1" applyBorder="1" applyAlignment="1">
      <alignment horizontal="center" vertical="center"/>
    </xf>
    <xf numFmtId="164" fontId="13" fillId="0" borderId="68" xfId="0" applyNumberFormat="1" applyFont="1" applyBorder="1" applyAlignment="1">
      <alignment horizontal="center" vertical="center" wrapText="1"/>
    </xf>
    <xf numFmtId="0" fontId="13" fillId="6" borderId="86" xfId="0" applyFont="1" applyFill="1" applyBorder="1" applyAlignment="1">
      <alignment horizontal="left" vertical="center" wrapText="1"/>
    </xf>
    <xf numFmtId="14" fontId="13" fillId="6" borderId="86" xfId="0" applyNumberFormat="1" applyFont="1" applyFill="1" applyBorder="1" applyAlignment="1">
      <alignment horizontal="center" vertical="center" wrapText="1"/>
    </xf>
    <xf numFmtId="0" fontId="0" fillId="0" borderId="0" xfId="0" applyFont="1" applyAlignment="1"/>
    <xf numFmtId="0" fontId="2" fillId="0" borderId="0" xfId="0" applyFont="1" applyAlignment="1">
      <alignment vertical="center"/>
    </xf>
    <xf numFmtId="0" fontId="2" fillId="2" borderId="1" xfId="0" applyFont="1" applyFill="1" applyBorder="1" applyAlignment="1">
      <alignment vertical="center"/>
    </xf>
    <xf numFmtId="0" fontId="3" fillId="2" borderId="1" xfId="0" applyFont="1" applyFill="1" applyBorder="1" applyAlignment="1">
      <alignment vertical="center"/>
    </xf>
    <xf numFmtId="0" fontId="9" fillId="2" borderId="1" xfId="0" applyFont="1" applyFill="1" applyBorder="1" applyAlignment="1">
      <alignment vertical="center"/>
    </xf>
    <xf numFmtId="0" fontId="31" fillId="2" borderId="66" xfId="0" applyFont="1" applyFill="1" applyBorder="1" applyAlignment="1">
      <alignment vertical="center"/>
    </xf>
    <xf numFmtId="0" fontId="2" fillId="2" borderId="28" xfId="0" applyFont="1" applyFill="1" applyBorder="1" applyAlignment="1">
      <alignment vertical="center"/>
    </xf>
    <xf numFmtId="0" fontId="2" fillId="0" borderId="31" xfId="0" applyFont="1" applyBorder="1" applyAlignment="1">
      <alignment vertical="center"/>
    </xf>
    <xf numFmtId="0" fontId="2" fillId="0" borderId="69" xfId="0" applyFont="1" applyBorder="1" applyAlignment="1">
      <alignment vertical="center"/>
    </xf>
    <xf numFmtId="0" fontId="2" fillId="0" borderId="26" xfId="0" applyFont="1" applyBorder="1" applyAlignment="1">
      <alignment vertical="center"/>
    </xf>
    <xf numFmtId="0" fontId="2" fillId="0" borderId="71" xfId="0" applyFont="1" applyBorder="1" applyAlignment="1">
      <alignment vertical="center"/>
    </xf>
    <xf numFmtId="164" fontId="2" fillId="2" borderId="1" xfId="0" applyNumberFormat="1" applyFont="1" applyFill="1" applyBorder="1" applyAlignment="1">
      <alignment vertical="center"/>
    </xf>
    <xf numFmtId="164" fontId="2" fillId="2" borderId="1" xfId="0" applyNumberFormat="1" applyFont="1" applyFill="1" applyBorder="1" applyAlignment="1">
      <alignment horizontal="left" vertical="center"/>
    </xf>
    <xf numFmtId="0" fontId="13" fillId="19" borderId="80" xfId="0" applyFont="1" applyFill="1" applyBorder="1" applyAlignment="1">
      <alignment horizontal="left" vertical="center" wrapText="1"/>
    </xf>
    <xf numFmtId="0" fontId="13" fillId="20" borderId="80" xfId="0" applyFont="1" applyFill="1" applyBorder="1" applyAlignment="1">
      <alignment vertical="center"/>
    </xf>
    <xf numFmtId="4" fontId="13" fillId="9" borderId="80" xfId="1" applyNumberFormat="1" applyFont="1" applyFill="1" applyBorder="1" applyAlignment="1">
      <alignment vertical="center"/>
    </xf>
    <xf numFmtId="0" fontId="23" fillId="0" borderId="80" xfId="0" applyFont="1" applyBorder="1" applyAlignment="1">
      <alignment horizontal="left" vertical="center" wrapText="1"/>
    </xf>
    <xf numFmtId="164" fontId="17" fillId="13" borderId="32" xfId="0" applyNumberFormat="1" applyFont="1" applyFill="1" applyBorder="1" applyAlignment="1">
      <alignment horizontal="right" vertical="center" wrapText="1"/>
    </xf>
    <xf numFmtId="164" fontId="16" fillId="13" borderId="24" xfId="0" applyNumberFormat="1" applyFont="1" applyFill="1" applyBorder="1" applyAlignment="1">
      <alignment horizontal="right" vertical="center"/>
    </xf>
    <xf numFmtId="164" fontId="13" fillId="14" borderId="80" xfId="0" applyNumberFormat="1" applyFont="1" applyFill="1" applyBorder="1" applyAlignment="1">
      <alignment horizontal="right" vertical="center" wrapText="1"/>
    </xf>
    <xf numFmtId="0" fontId="13" fillId="8" borderId="80" xfId="0" applyFont="1" applyFill="1" applyBorder="1" applyAlignment="1">
      <alignment horizontal="left" vertical="center" wrapText="1"/>
    </xf>
    <xf numFmtId="164" fontId="15" fillId="3" borderId="28" xfId="0" applyNumberFormat="1" applyFont="1" applyFill="1" applyBorder="1" applyAlignment="1">
      <alignment horizontal="right" vertical="center" wrapText="1"/>
    </xf>
    <xf numFmtId="167" fontId="11" fillId="0" borderId="72" xfId="0" applyNumberFormat="1" applyFont="1" applyFill="1" applyBorder="1" applyAlignment="1">
      <alignment horizontal="center" vertical="center" wrapText="1"/>
    </xf>
    <xf numFmtId="169" fontId="11" fillId="0" borderId="72" xfId="0" applyNumberFormat="1"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3" fillId="0" borderId="80" xfId="0" applyFont="1" applyFill="1" applyBorder="1" applyAlignment="1">
      <alignment horizontal="right" vertical="center" wrapText="1"/>
    </xf>
    <xf numFmtId="14" fontId="13" fillId="0" borderId="80" xfId="0" applyNumberFormat="1" applyFont="1" applyFill="1" applyBorder="1" applyAlignment="1">
      <alignment horizontal="right" vertical="center" wrapText="1"/>
    </xf>
    <xf numFmtId="169" fontId="13" fillId="0" borderId="80" xfId="0" applyNumberFormat="1" applyFont="1" applyFill="1" applyBorder="1" applyAlignment="1">
      <alignment horizontal="right" vertical="center" wrapText="1"/>
    </xf>
    <xf numFmtId="164" fontId="13" fillId="0" borderId="80" xfId="0" applyNumberFormat="1" applyFont="1" applyFill="1" applyBorder="1" applyAlignment="1">
      <alignment horizontal="right" vertical="center" wrapText="1"/>
    </xf>
    <xf numFmtId="0" fontId="13" fillId="0" borderId="80" xfId="0" applyFont="1" applyFill="1" applyBorder="1" applyAlignment="1">
      <alignment horizontal="justify" vertical="center" wrapText="1"/>
    </xf>
    <xf numFmtId="165" fontId="13" fillId="0" borderId="80" xfId="0" applyNumberFormat="1" applyFont="1" applyFill="1" applyBorder="1" applyAlignment="1">
      <alignment horizontal="right" vertical="center" wrapText="1"/>
    </xf>
    <xf numFmtId="1" fontId="13" fillId="0" borderId="80" xfId="0" applyNumberFormat="1" applyFont="1" applyFill="1" applyBorder="1" applyAlignment="1">
      <alignment horizontal="right" vertical="center" wrapText="1"/>
    </xf>
    <xf numFmtId="3" fontId="13" fillId="0" borderId="80" xfId="0" applyNumberFormat="1" applyFont="1" applyFill="1" applyBorder="1" applyAlignment="1">
      <alignment horizontal="right" vertical="center" wrapText="1"/>
    </xf>
    <xf numFmtId="0" fontId="13" fillId="0" borderId="66" xfId="0" applyFont="1" applyFill="1" applyBorder="1" applyAlignment="1">
      <alignment vertical="center" wrapText="1"/>
    </xf>
    <xf numFmtId="17" fontId="13" fillId="0" borderId="80" xfId="0" applyNumberFormat="1" applyFont="1" applyFill="1" applyBorder="1" applyAlignment="1">
      <alignment horizontal="right" vertical="center" wrapText="1"/>
    </xf>
    <xf numFmtId="0" fontId="31" fillId="0" borderId="80" xfId="0" applyFont="1" applyFill="1" applyBorder="1" applyAlignment="1">
      <alignment horizontal="left" vertical="center" wrapText="1"/>
    </xf>
    <xf numFmtId="0" fontId="31" fillId="0" borderId="80" xfId="0" applyFont="1" applyFill="1" applyBorder="1" applyAlignment="1">
      <alignment horizontal="justify" vertical="center" wrapText="1"/>
    </xf>
    <xf numFmtId="0" fontId="31" fillId="0" borderId="80" xfId="0" applyFont="1" applyFill="1" applyBorder="1" applyAlignment="1">
      <alignment vertical="center" wrapText="1"/>
    </xf>
    <xf numFmtId="49" fontId="13" fillId="0" borderId="80" xfId="0" applyNumberFormat="1" applyFont="1" applyFill="1" applyBorder="1" applyAlignment="1">
      <alignment horizontal="right" vertical="center" wrapText="1"/>
    </xf>
    <xf numFmtId="0" fontId="2" fillId="0" borderId="80" xfId="0" applyFont="1" applyFill="1" applyBorder="1" applyAlignment="1">
      <alignment vertical="center" wrapText="1"/>
    </xf>
    <xf numFmtId="164" fontId="13" fillId="0" borderId="80" xfId="0" applyNumberFormat="1" applyFont="1" applyFill="1" applyBorder="1" applyAlignment="1">
      <alignment horizontal="center" vertical="center" wrapText="1"/>
    </xf>
    <xf numFmtId="1" fontId="13" fillId="0" borderId="80" xfId="0" applyNumberFormat="1" applyFont="1" applyFill="1" applyBorder="1" applyAlignment="1">
      <alignment vertical="center" wrapText="1"/>
    </xf>
    <xf numFmtId="169" fontId="13" fillId="0" borderId="86" xfId="0" applyNumberFormat="1" applyFont="1" applyFill="1" applyBorder="1" applyAlignment="1">
      <alignment horizontal="right" vertical="center" wrapText="1"/>
    </xf>
    <xf numFmtId="0" fontId="13" fillId="0" borderId="86" xfId="0" applyFont="1" applyFill="1" applyBorder="1" applyAlignment="1">
      <alignment horizontal="left" vertical="center" wrapText="1"/>
    </xf>
    <xf numFmtId="164" fontId="13" fillId="0" borderId="68" xfId="0" applyNumberFormat="1" applyFont="1" applyFill="1" applyBorder="1" applyAlignment="1">
      <alignment horizontal="center" vertical="center" wrapText="1"/>
    </xf>
    <xf numFmtId="0" fontId="13" fillId="0" borderId="68" xfId="0" applyFont="1" applyFill="1" applyBorder="1" applyAlignment="1">
      <alignment horizontal="justify" vertical="center" wrapText="1"/>
    </xf>
    <xf numFmtId="0" fontId="13" fillId="0" borderId="68" xfId="0" applyFont="1" applyFill="1" applyBorder="1" applyAlignment="1">
      <alignment vertical="center" wrapText="1"/>
    </xf>
    <xf numFmtId="164" fontId="13" fillId="0" borderId="68" xfId="0" applyNumberFormat="1" applyFont="1" applyFill="1" applyBorder="1" applyAlignment="1">
      <alignment horizontal="right" vertical="center" wrapText="1"/>
    </xf>
    <xf numFmtId="0" fontId="13" fillId="0" borderId="86" xfId="0" applyFont="1" applyFill="1" applyBorder="1" applyAlignment="1">
      <alignment vertical="center" wrapText="1"/>
    </xf>
    <xf numFmtId="1" fontId="13" fillId="0" borderId="84" xfId="0" applyNumberFormat="1" applyFont="1" applyFill="1" applyBorder="1" applyAlignment="1">
      <alignment vertical="center" wrapText="1"/>
    </xf>
    <xf numFmtId="14" fontId="13" fillId="0" borderId="86" xfId="0" applyNumberFormat="1" applyFont="1" applyFill="1" applyBorder="1" applyAlignment="1">
      <alignment horizontal="right" vertical="center" wrapText="1"/>
    </xf>
    <xf numFmtId="165" fontId="13" fillId="0" borderId="66" xfId="0" applyNumberFormat="1" applyFont="1" applyFill="1" applyBorder="1" applyAlignment="1">
      <alignment horizontal="right" vertical="center" wrapText="1"/>
    </xf>
    <xf numFmtId="0" fontId="13" fillId="0" borderId="66" xfId="0" applyFont="1" applyFill="1" applyBorder="1" applyAlignment="1">
      <alignment horizontal="left" vertical="center" wrapText="1"/>
    </xf>
    <xf numFmtId="164" fontId="13" fillId="0" borderId="66" xfId="0" applyNumberFormat="1" applyFont="1" applyFill="1" applyBorder="1" applyAlignment="1">
      <alignment horizontal="right" vertical="center" wrapText="1"/>
    </xf>
    <xf numFmtId="0" fontId="13" fillId="0" borderId="66" xfId="0" applyFont="1" applyFill="1" applyBorder="1" applyAlignment="1">
      <alignment horizontal="justify" vertical="center" wrapText="1"/>
    </xf>
    <xf numFmtId="0" fontId="13" fillId="0" borderId="86" xfId="0" applyFont="1" applyFill="1" applyBorder="1" applyAlignment="1">
      <alignment horizontal="right" vertical="center" wrapText="1"/>
    </xf>
    <xf numFmtId="165" fontId="13" fillId="0" borderId="68" xfId="0" applyNumberFormat="1" applyFont="1" applyFill="1" applyBorder="1" applyAlignment="1">
      <alignment horizontal="right" vertical="center" wrapText="1"/>
    </xf>
    <xf numFmtId="0" fontId="13" fillId="0" borderId="68" xfId="0" applyFont="1" applyFill="1" applyBorder="1" applyAlignment="1">
      <alignment horizontal="left" vertical="center" wrapText="1"/>
    </xf>
    <xf numFmtId="1" fontId="13" fillId="0" borderId="86" xfId="0" applyNumberFormat="1" applyFont="1" applyFill="1" applyBorder="1" applyAlignment="1">
      <alignment horizontal="right" vertical="center" wrapText="1"/>
    </xf>
    <xf numFmtId="1" fontId="13" fillId="0" borderId="66" xfId="0" applyNumberFormat="1" applyFont="1" applyFill="1" applyBorder="1" applyAlignment="1">
      <alignment horizontal="right" vertical="center" wrapText="1"/>
    </xf>
    <xf numFmtId="17" fontId="13" fillId="0" borderId="68" xfId="0" applyNumberFormat="1" applyFont="1" applyFill="1" applyBorder="1" applyAlignment="1">
      <alignment horizontal="right" vertical="center" wrapText="1"/>
    </xf>
    <xf numFmtId="164" fontId="13" fillId="0" borderId="66" xfId="0" applyNumberFormat="1" applyFont="1" applyFill="1" applyBorder="1" applyAlignment="1">
      <alignment horizontal="center" vertical="center" wrapText="1"/>
    </xf>
    <xf numFmtId="14" fontId="13" fillId="0" borderId="66" xfId="0" applyNumberFormat="1" applyFont="1" applyFill="1" applyBorder="1" applyAlignment="1">
      <alignment horizontal="right" vertical="center" wrapText="1"/>
    </xf>
    <xf numFmtId="1" fontId="13" fillId="0" borderId="61" xfId="0" applyNumberFormat="1" applyFont="1" applyFill="1" applyBorder="1" applyAlignment="1">
      <alignment vertical="center" wrapText="1"/>
    </xf>
    <xf numFmtId="1" fontId="13" fillId="0" borderId="66" xfId="0" applyNumberFormat="1" applyFont="1" applyFill="1" applyBorder="1" applyAlignment="1">
      <alignment vertical="center" wrapText="1"/>
    </xf>
    <xf numFmtId="164" fontId="13" fillId="0" borderId="66" xfId="0" applyNumberFormat="1" applyFont="1" applyFill="1" applyBorder="1" applyAlignment="1">
      <alignment horizontal="left" vertical="center" wrapText="1"/>
    </xf>
    <xf numFmtId="0" fontId="13" fillId="0" borderId="61" xfId="0" applyFont="1" applyFill="1" applyBorder="1" applyAlignment="1">
      <alignment vertical="center" wrapText="1"/>
    </xf>
    <xf numFmtId="165" fontId="13" fillId="0" borderId="75" xfId="0" applyNumberFormat="1" applyFont="1" applyFill="1" applyBorder="1" applyAlignment="1">
      <alignment horizontal="right" vertical="center" wrapText="1"/>
    </xf>
    <xf numFmtId="0" fontId="13" fillId="0" borderId="75" xfId="0" applyFont="1" applyFill="1" applyBorder="1" applyAlignment="1">
      <alignment horizontal="left" vertical="center" wrapText="1"/>
    </xf>
    <xf numFmtId="164" fontId="13" fillId="0" borderId="75" xfId="0" applyNumberFormat="1" applyFont="1" applyFill="1" applyBorder="1" applyAlignment="1">
      <alignment horizontal="right" vertical="center" wrapText="1"/>
    </xf>
    <xf numFmtId="0" fontId="13" fillId="0" borderId="75" xfId="0" applyFont="1" applyFill="1" applyBorder="1" applyAlignment="1">
      <alignment horizontal="justify" vertical="center" wrapText="1"/>
    </xf>
    <xf numFmtId="0" fontId="13" fillId="0" borderId="75" xfId="0" applyFont="1" applyFill="1" applyBorder="1" applyAlignment="1">
      <alignment vertical="center" wrapText="1"/>
    </xf>
    <xf numFmtId="0" fontId="13" fillId="0" borderId="83" xfId="0" applyFont="1" applyFill="1" applyBorder="1" applyAlignment="1">
      <alignment vertical="center" wrapText="1"/>
    </xf>
    <xf numFmtId="0" fontId="13" fillId="0" borderId="83" xfId="0" applyFont="1" applyFill="1" applyBorder="1" applyAlignment="1">
      <alignment horizontal="right" vertical="center" wrapText="1"/>
    </xf>
    <xf numFmtId="14" fontId="13" fillId="0" borderId="83" xfId="0" applyNumberFormat="1" applyFont="1" applyFill="1" applyBorder="1" applyAlignment="1">
      <alignment horizontal="right" vertical="center" wrapText="1"/>
    </xf>
    <xf numFmtId="1" fontId="13" fillId="0" borderId="68" xfId="0" applyNumberFormat="1" applyFont="1" applyFill="1" applyBorder="1" applyAlignment="1">
      <alignment horizontal="right" vertical="center" wrapText="1"/>
    </xf>
    <xf numFmtId="17" fontId="13" fillId="0" borderId="66" xfId="0" applyNumberFormat="1" applyFont="1" applyFill="1" applyBorder="1" applyAlignment="1">
      <alignment horizontal="right" vertical="center" wrapText="1"/>
    </xf>
    <xf numFmtId="14" fontId="13" fillId="0" borderId="87" xfId="0" applyNumberFormat="1" applyFont="1" applyFill="1" applyBorder="1" applyAlignment="1">
      <alignment horizontal="right" vertical="center" wrapText="1"/>
    </xf>
    <xf numFmtId="169" fontId="13" fillId="0" borderId="83" xfId="0" applyNumberFormat="1" applyFont="1" applyFill="1" applyBorder="1" applyAlignment="1">
      <alignment horizontal="right" vertical="center" wrapText="1"/>
    </xf>
    <xf numFmtId="0" fontId="23" fillId="0" borderId="80" xfId="0" applyFont="1" applyFill="1" applyBorder="1" applyAlignment="1">
      <alignment horizontal="justify" vertical="center" wrapText="1"/>
    </xf>
    <xf numFmtId="164" fontId="13" fillId="0" borderId="84" xfId="0" applyNumberFormat="1" applyFont="1" applyFill="1" applyBorder="1" applyAlignment="1">
      <alignment horizontal="center" vertical="center" wrapText="1"/>
    </xf>
    <xf numFmtId="164" fontId="13" fillId="0" borderId="86" xfId="0" applyNumberFormat="1" applyFont="1" applyFill="1" applyBorder="1" applyAlignment="1">
      <alignment horizontal="center" vertical="center" wrapText="1"/>
    </xf>
    <xf numFmtId="0" fontId="13" fillId="0" borderId="85" xfId="0" applyFont="1" applyFill="1" applyBorder="1" applyAlignment="1">
      <alignment horizontal="left" vertical="center" wrapText="1"/>
    </xf>
    <xf numFmtId="164" fontId="13" fillId="0" borderId="83" xfId="0" applyNumberFormat="1" applyFont="1" applyFill="1" applyBorder="1" applyAlignment="1">
      <alignment horizontal="right" vertical="center" wrapText="1"/>
    </xf>
    <xf numFmtId="0" fontId="13" fillId="0" borderId="83" xfId="0" applyFont="1" applyFill="1" applyBorder="1" applyAlignment="1">
      <alignment horizontal="justify" vertical="center" wrapText="1"/>
    </xf>
    <xf numFmtId="164" fontId="13" fillId="0" borderId="86" xfId="0" applyNumberFormat="1" applyFont="1" applyFill="1" applyBorder="1" applyAlignment="1">
      <alignment horizontal="right" vertical="center" wrapText="1"/>
    </xf>
    <xf numFmtId="0" fontId="13" fillId="0" borderId="86" xfId="0" applyFont="1" applyFill="1" applyBorder="1" applyAlignment="1">
      <alignment horizontal="justify" vertical="center" wrapText="1"/>
    </xf>
    <xf numFmtId="0" fontId="13" fillId="0" borderId="35"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4" fontId="13" fillId="0" borderId="80" xfId="0" applyNumberFormat="1" applyFont="1" applyFill="1" applyBorder="1" applyAlignment="1">
      <alignment horizontal="left" vertical="center" wrapText="1"/>
    </xf>
    <xf numFmtId="14" fontId="13" fillId="0" borderId="86" xfId="0" applyNumberFormat="1" applyFont="1" applyFill="1" applyBorder="1" applyAlignment="1">
      <alignment horizontal="left" vertical="center" wrapText="1"/>
    </xf>
    <xf numFmtId="14" fontId="13" fillId="0" borderId="83" xfId="0" applyNumberFormat="1" applyFont="1" applyFill="1" applyBorder="1" applyAlignment="1">
      <alignment horizontal="left" vertical="center" wrapText="1"/>
    </xf>
    <xf numFmtId="0" fontId="0" fillId="0" borderId="0" xfId="0" applyFont="1" applyAlignment="1">
      <alignment vertical="center"/>
    </xf>
    <xf numFmtId="14" fontId="13" fillId="0" borderId="88" xfId="0" applyNumberFormat="1" applyFont="1" applyFill="1" applyBorder="1" applyAlignment="1">
      <alignment horizontal="right" vertical="center" wrapText="1"/>
    </xf>
    <xf numFmtId="1" fontId="13" fillId="0" borderId="89" xfId="0" applyNumberFormat="1" applyFont="1" applyFill="1" applyBorder="1" applyAlignment="1">
      <alignment horizontal="right" vertical="center" wrapText="1"/>
    </xf>
    <xf numFmtId="164" fontId="13" fillId="0" borderId="89" xfId="0" applyNumberFormat="1" applyFont="1" applyFill="1" applyBorder="1" applyAlignment="1">
      <alignment horizontal="right" vertical="center" wrapText="1"/>
    </xf>
    <xf numFmtId="17" fontId="13" fillId="0" borderId="90" xfId="0" applyNumberFormat="1" applyFont="1" applyFill="1" applyBorder="1" applyAlignment="1">
      <alignment horizontal="right" vertical="center" wrapText="1"/>
    </xf>
    <xf numFmtId="164" fontId="13" fillId="9" borderId="66" xfId="0" applyNumberFormat="1" applyFont="1" applyFill="1" applyBorder="1" applyAlignment="1">
      <alignment horizontal="right" vertical="center" wrapText="1"/>
    </xf>
    <xf numFmtId="164" fontId="13" fillId="9" borderId="68" xfId="0" applyNumberFormat="1" applyFont="1" applyFill="1" applyBorder="1" applyAlignment="1">
      <alignment horizontal="right" vertical="center" wrapText="1"/>
    </xf>
    <xf numFmtId="0" fontId="3" fillId="3" borderId="3" xfId="0" applyFont="1" applyFill="1" applyBorder="1" applyAlignment="1">
      <alignment horizontal="center" vertical="center" wrapText="1"/>
    </xf>
    <xf numFmtId="0" fontId="8" fillId="0" borderId="4" xfId="0" applyFont="1" applyBorder="1"/>
    <xf numFmtId="0" fontId="8" fillId="0" borderId="5" xfId="0" applyFont="1" applyBorder="1"/>
    <xf numFmtId="0" fontId="3" fillId="3" borderId="3" xfId="0" applyFont="1" applyFill="1" applyBorder="1" applyAlignment="1">
      <alignment horizontal="center" vertical="center"/>
    </xf>
    <xf numFmtId="0" fontId="9" fillId="3" borderId="14" xfId="0" applyFont="1" applyFill="1" applyBorder="1" applyAlignment="1">
      <alignment horizontal="center" vertical="center"/>
    </xf>
    <xf numFmtId="0" fontId="8" fillId="0" borderId="17" xfId="0" applyFont="1" applyBorder="1"/>
    <xf numFmtId="0" fontId="8" fillId="0" borderId="15" xfId="0" applyFont="1" applyBorder="1"/>
    <xf numFmtId="0" fontId="9" fillId="3" borderId="3" xfId="0" applyFont="1" applyFill="1" applyBorder="1" applyAlignment="1">
      <alignment horizontal="center" vertical="center"/>
    </xf>
    <xf numFmtId="0" fontId="9" fillId="3" borderId="6" xfId="0" applyFont="1" applyFill="1" applyBorder="1" applyAlignment="1">
      <alignment horizontal="center" vertical="center"/>
    </xf>
    <xf numFmtId="0" fontId="8" fillId="0" borderId="8" xfId="0" applyFont="1" applyBorder="1"/>
    <xf numFmtId="0" fontId="8" fillId="0" borderId="9" xfId="0" applyFont="1" applyBorder="1"/>
    <xf numFmtId="0" fontId="16" fillId="2" borderId="25" xfId="0" applyFont="1" applyFill="1" applyBorder="1" applyAlignment="1">
      <alignment horizontal="left" vertical="center" wrapText="1"/>
    </xf>
    <xf numFmtId="0" fontId="8" fillId="0" borderId="27" xfId="0" applyFont="1" applyBorder="1"/>
    <xf numFmtId="0" fontId="16" fillId="3" borderId="34" xfId="0" applyFont="1" applyFill="1" applyBorder="1" applyAlignment="1">
      <alignment horizontal="center" vertical="center" wrapText="1"/>
    </xf>
    <xf numFmtId="0" fontId="8" fillId="0" borderId="35" xfId="0" applyFont="1" applyBorder="1"/>
    <xf numFmtId="0" fontId="3" fillId="2" borderId="3"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8" fillId="0" borderId="22" xfId="0" applyFont="1" applyBorder="1"/>
    <xf numFmtId="0" fontId="8" fillId="0" borderId="23" xfId="0" applyFont="1" applyBorder="1"/>
    <xf numFmtId="0" fontId="9" fillId="3" borderId="25" xfId="0" applyFont="1" applyFill="1" applyBorder="1" applyAlignment="1">
      <alignment horizontal="center" vertical="center" wrapText="1"/>
    </xf>
    <xf numFmtId="0" fontId="8" fillId="0" borderId="26" xfId="0" applyFont="1" applyBorder="1"/>
    <xf numFmtId="0" fontId="15" fillId="3" borderId="28" xfId="0" applyFont="1" applyFill="1" applyBorder="1" applyAlignment="1">
      <alignment horizontal="left" vertical="center" wrapText="1"/>
    </xf>
    <xf numFmtId="0" fontId="8" fillId="0" borderId="30" xfId="0" applyFont="1" applyBorder="1"/>
    <xf numFmtId="0" fontId="16" fillId="3" borderId="29" xfId="0" applyFont="1" applyFill="1" applyBorder="1" applyAlignment="1">
      <alignment horizontal="left" vertical="center" wrapText="1"/>
    </xf>
    <xf numFmtId="0" fontId="16" fillId="3" borderId="28"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5" fillId="3" borderId="29" xfId="0" applyFont="1" applyFill="1" applyBorder="1" applyAlignment="1">
      <alignment horizontal="left" vertical="center" wrapText="1"/>
    </xf>
    <xf numFmtId="0" fontId="16" fillId="3" borderId="36" xfId="0" applyFont="1" applyFill="1" applyBorder="1" applyAlignment="1">
      <alignment horizontal="left" vertical="center" wrapText="1"/>
    </xf>
    <xf numFmtId="0" fontId="8" fillId="0" borderId="37" xfId="0" applyFont="1" applyBorder="1"/>
    <xf numFmtId="0" fontId="8" fillId="0" borderId="38" xfId="0" applyFont="1" applyBorder="1"/>
    <xf numFmtId="0" fontId="9" fillId="2" borderId="21" xfId="0" applyFont="1" applyFill="1" applyBorder="1" applyAlignment="1">
      <alignment horizontal="center"/>
    </xf>
    <xf numFmtId="0" fontId="9" fillId="2" borderId="3" xfId="0" applyFont="1" applyFill="1" applyBorder="1" applyAlignment="1">
      <alignment horizontal="center" vertical="center" wrapText="1"/>
    </xf>
    <xf numFmtId="0" fontId="2" fillId="2" borderId="29" xfId="0" applyFont="1" applyFill="1" applyBorder="1" applyAlignment="1">
      <alignment horizontal="center" vertical="center"/>
    </xf>
    <xf numFmtId="0" fontId="11" fillId="2" borderId="39" xfId="0" applyFont="1" applyFill="1" applyBorder="1" applyAlignment="1">
      <alignment horizontal="center" vertical="center" wrapText="1"/>
    </xf>
    <xf numFmtId="0" fontId="8" fillId="0" borderId="42" xfId="0" applyFont="1" applyBorder="1"/>
    <xf numFmtId="0" fontId="9" fillId="2" borderId="41"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9" fillId="3" borderId="21" xfId="0" applyFont="1" applyFill="1" applyBorder="1" applyAlignment="1">
      <alignment horizontal="center" vertical="center"/>
    </xf>
    <xf numFmtId="4" fontId="11" fillId="3" borderId="29" xfId="0" applyNumberFormat="1" applyFont="1" applyFill="1" applyBorder="1" applyAlignment="1">
      <alignment horizontal="center" vertical="center"/>
    </xf>
    <xf numFmtId="4" fontId="11" fillId="3" borderId="29" xfId="0" applyNumberFormat="1" applyFont="1" applyFill="1" applyBorder="1" applyAlignment="1">
      <alignment horizontal="center" vertical="center" wrapText="1"/>
    </xf>
    <xf numFmtId="0" fontId="0" fillId="5"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20" fillId="3" borderId="3" xfId="0" applyFont="1" applyFill="1" applyBorder="1" applyAlignment="1">
      <alignment horizontal="left" vertical="center"/>
    </xf>
    <xf numFmtId="0" fontId="20" fillId="2" borderId="25" xfId="0" applyFont="1" applyFill="1" applyBorder="1" applyAlignment="1">
      <alignment horizontal="left" vertical="center"/>
    </xf>
    <xf numFmtId="164" fontId="20" fillId="3" borderId="29" xfId="0" applyNumberFormat="1" applyFont="1" applyFill="1" applyBorder="1" applyAlignment="1">
      <alignment horizontal="center" vertical="center"/>
    </xf>
    <xf numFmtId="0" fontId="9" fillId="2" borderId="21" xfId="0" applyFont="1" applyFill="1" applyBorder="1" applyAlignment="1">
      <alignment horizontal="center" vertical="center"/>
    </xf>
    <xf numFmtId="0" fontId="3" fillId="0" borderId="0" xfId="0" applyFont="1" applyAlignment="1">
      <alignment horizontal="center" vertical="center" wrapText="1"/>
    </xf>
    <xf numFmtId="0" fontId="0" fillId="0" borderId="0" xfId="0" applyFont="1" applyAlignment="1">
      <alignment vertical="center"/>
    </xf>
    <xf numFmtId="0" fontId="9" fillId="0" borderId="31" xfId="0" applyFont="1" applyBorder="1" applyAlignment="1">
      <alignment horizontal="center" vertical="center"/>
    </xf>
    <xf numFmtId="0" fontId="8" fillId="0" borderId="31" xfId="0" applyFont="1" applyBorder="1" applyAlignment="1">
      <alignment vertical="center"/>
    </xf>
    <xf numFmtId="0" fontId="11" fillId="0" borderId="27" xfId="0" applyFont="1" applyBorder="1" applyAlignment="1">
      <alignment horizontal="left" vertical="center" wrapText="1"/>
    </xf>
    <xf numFmtId="0" fontId="11" fillId="0" borderId="71" xfId="0" applyFont="1" applyBorder="1" applyAlignment="1">
      <alignment horizontal="left" vertical="center" wrapText="1"/>
    </xf>
    <xf numFmtId="0" fontId="9" fillId="3" borderId="2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8" fillId="0" borderId="4" xfId="0" applyFont="1" applyFill="1" applyBorder="1"/>
    <xf numFmtId="0" fontId="8" fillId="0" borderId="5" xfId="0" applyFont="1" applyFill="1" applyBorder="1"/>
    <xf numFmtId="0" fontId="9" fillId="0" borderId="21" xfId="0" applyFont="1" applyFill="1" applyBorder="1" applyAlignment="1">
      <alignment horizontal="center" vertical="center" wrapText="1"/>
    </xf>
    <xf numFmtId="0" fontId="8" fillId="0" borderId="22" xfId="0" applyFont="1" applyFill="1" applyBorder="1"/>
    <xf numFmtId="0" fontId="8" fillId="0" borderId="23" xfId="0" applyFont="1" applyFill="1" applyBorder="1"/>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6257925</xdr:colOff>
      <xdr:row>6</xdr:row>
      <xdr:rowOff>295275</xdr:rowOff>
    </xdr:from>
    <xdr:ext cx="2085975" cy="552450"/>
    <xdr:pic>
      <xdr:nvPicPr>
        <xdr:cNvPr id="2" name="image2.png" descr="Descrição: https://ci6.googleusercontent.com/proxy/td5-8mfYmuDyClpwjvKtLjTKYWoy2mEZ8pJBiNfvh4S24FB6ZjzwyTNVmtld3sVzFpnNyNTQkSAs2cy8I7UfLUweCPwMq-aWEJYD2UiiSUdTuxM6rMqOS0Zck2vJ3waYQzaHfWTMPfA2Xa231YPQqM033ehuGeQrZ1PexSO7-WE8agLa=s0-d-e1-ft#https://drive.google.com/a/appa.art.br/uc?id=0B_OLNVRqH9o1X25rVG5ZLWVZYXFkQnVnU3RDTDB1T3BHRXR3&amp;export=download">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3695700</xdr:colOff>
      <xdr:row>6</xdr:row>
      <xdr:rowOff>85725</xdr:rowOff>
    </xdr:from>
    <xdr:ext cx="2209800" cy="1076325"/>
    <xdr:pic>
      <xdr:nvPicPr>
        <xdr:cNvPr id="3" name="image1.jpg" descr="https://lh6.googleusercontent.com/14r_aWP2WxrKbUy0MffV2rXyz8YhLkAOcHkyrjSYkiO-gn3wj3nadlwaT1Xef1KJfKG39YeonCGJhpSM2CeNab4oRh1RpEaSRTDAPXIhc6IhOaeZIF_u20wDhcEMYivDP3rpRzuA">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5</xdr:row>
      <xdr:rowOff>142875</xdr:rowOff>
    </xdr:from>
    <xdr:to>
      <xdr:col>0</xdr:col>
      <xdr:colOff>5796915</xdr:colOff>
      <xdr:row>6</xdr:row>
      <xdr:rowOff>2727960</xdr:rowOff>
    </xdr:to>
    <xdr:pic>
      <xdr:nvPicPr>
        <xdr:cNvPr id="5" name="Imagem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6096000"/>
          <a:ext cx="5781675" cy="492823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brazlaylla@gmail.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election activeCell="A22" sqref="A22"/>
    </sheetView>
  </sheetViews>
  <sheetFormatPr defaultColWidth="14.42578125" defaultRowHeight="15" customHeight="1" x14ac:dyDescent="0.2"/>
  <cols>
    <col min="1" max="1" width="159.85546875" customWidth="1"/>
    <col min="2" max="21" width="9.140625" customWidth="1"/>
  </cols>
  <sheetData>
    <row r="1" spans="1:21" ht="60" customHeight="1" x14ac:dyDescent="0.2">
      <c r="A1" s="1" t="s">
        <v>0</v>
      </c>
      <c r="B1" s="2"/>
      <c r="C1" s="2"/>
      <c r="D1" s="2"/>
      <c r="E1" s="2"/>
      <c r="F1" s="2"/>
      <c r="G1" s="2"/>
      <c r="H1" s="2"/>
      <c r="I1" s="2"/>
      <c r="J1" s="2"/>
      <c r="K1" s="2"/>
      <c r="L1" s="2"/>
      <c r="M1" s="2"/>
      <c r="N1" s="2"/>
      <c r="O1" s="2"/>
      <c r="P1" s="2"/>
      <c r="Q1" s="2"/>
      <c r="R1" s="2"/>
      <c r="S1" s="2"/>
      <c r="T1" s="2"/>
      <c r="U1" s="2"/>
    </row>
    <row r="2" spans="1:21" ht="69.75" customHeight="1" x14ac:dyDescent="0.2">
      <c r="B2" s="2"/>
      <c r="C2" s="2"/>
      <c r="D2" s="2"/>
      <c r="E2" s="2"/>
      <c r="F2" s="2"/>
      <c r="G2" s="2"/>
      <c r="H2" s="2"/>
      <c r="I2" s="2"/>
      <c r="J2" s="2"/>
      <c r="K2" s="2"/>
      <c r="L2" s="2"/>
      <c r="M2" s="2"/>
      <c r="N2" s="2"/>
      <c r="O2" s="2"/>
      <c r="P2" s="2"/>
      <c r="Q2" s="2"/>
      <c r="R2" s="2"/>
      <c r="S2" s="2"/>
      <c r="T2" s="2"/>
      <c r="U2" s="2"/>
    </row>
    <row r="3" spans="1:21" ht="41.25" customHeight="1" x14ac:dyDescent="0.2">
      <c r="A3" s="1" t="s">
        <v>7</v>
      </c>
      <c r="B3" s="2"/>
      <c r="C3" s="2"/>
      <c r="D3" s="2"/>
      <c r="E3" s="2"/>
      <c r="F3" s="2"/>
      <c r="G3" s="2"/>
      <c r="H3" s="2"/>
      <c r="I3" s="2"/>
      <c r="J3" s="2"/>
      <c r="K3" s="2"/>
      <c r="L3" s="2"/>
      <c r="M3" s="2"/>
      <c r="N3" s="2"/>
      <c r="O3" s="2"/>
      <c r="P3" s="2"/>
      <c r="Q3" s="2"/>
      <c r="R3" s="2"/>
      <c r="S3" s="2"/>
      <c r="T3" s="2"/>
      <c r="U3" s="2"/>
    </row>
    <row r="4" spans="1:21" ht="12.75" customHeight="1" x14ac:dyDescent="0.25">
      <c r="A4" s="3"/>
      <c r="B4" s="2"/>
      <c r="C4" s="2"/>
      <c r="D4" s="2"/>
      <c r="E4" s="2"/>
      <c r="F4" s="2"/>
      <c r="G4" s="2"/>
      <c r="H4" s="2"/>
      <c r="I4" s="2"/>
      <c r="J4" s="2"/>
      <c r="K4" s="2"/>
      <c r="L4" s="2"/>
      <c r="M4" s="2"/>
      <c r="N4" s="2"/>
      <c r="O4" s="2"/>
      <c r="P4" s="2"/>
      <c r="Q4" s="2"/>
      <c r="R4" s="2"/>
      <c r="S4" s="2"/>
      <c r="T4" s="2"/>
      <c r="U4" s="2"/>
    </row>
    <row r="5" spans="1:21" ht="27.75" customHeight="1" x14ac:dyDescent="0.25">
      <c r="A5" s="4" t="s">
        <v>2</v>
      </c>
      <c r="B5" s="2"/>
      <c r="C5" s="2"/>
      <c r="D5" s="2"/>
      <c r="E5" s="2"/>
      <c r="F5" s="2"/>
      <c r="G5" s="2"/>
      <c r="H5" s="2"/>
      <c r="I5" s="2"/>
      <c r="J5" s="2"/>
      <c r="K5" s="2"/>
      <c r="L5" s="2"/>
      <c r="M5" s="2"/>
      <c r="N5" s="2"/>
      <c r="O5" s="2"/>
      <c r="P5" s="2"/>
      <c r="Q5" s="2"/>
      <c r="R5" s="2"/>
      <c r="S5" s="2"/>
      <c r="T5" s="2"/>
      <c r="U5" s="2"/>
    </row>
    <row r="6" spans="1:21" ht="22.5" customHeight="1" x14ac:dyDescent="0.25">
      <c r="A6" s="5" t="s">
        <v>5573</v>
      </c>
      <c r="B6" s="2"/>
      <c r="C6" s="2"/>
      <c r="D6" s="2"/>
      <c r="E6" s="2"/>
      <c r="F6" s="2"/>
      <c r="G6" s="2"/>
      <c r="H6" s="2"/>
      <c r="I6" s="2"/>
      <c r="J6" s="2"/>
      <c r="K6" s="2"/>
      <c r="L6" s="2"/>
      <c r="M6" s="2"/>
      <c r="N6" s="2"/>
      <c r="O6" s="2"/>
      <c r="P6" s="2"/>
      <c r="Q6" s="2"/>
      <c r="R6" s="2"/>
      <c r="S6" s="2"/>
      <c r="T6" s="2"/>
      <c r="U6" s="2"/>
    </row>
    <row r="7" spans="1:21" ht="42" customHeight="1" x14ac:dyDescent="0.25">
      <c r="A7" s="6"/>
      <c r="B7" s="2"/>
      <c r="C7" s="2"/>
      <c r="D7" s="2"/>
      <c r="E7" s="2"/>
      <c r="F7" s="2"/>
      <c r="G7" s="2"/>
      <c r="H7" s="2"/>
      <c r="I7" s="2"/>
      <c r="J7" s="2"/>
      <c r="K7" s="2"/>
      <c r="L7" s="2"/>
      <c r="M7" s="2"/>
      <c r="N7" s="2"/>
      <c r="O7" s="2"/>
      <c r="P7" s="2"/>
      <c r="Q7" s="2"/>
      <c r="R7" s="2"/>
      <c r="S7" s="2"/>
      <c r="T7" s="2"/>
      <c r="U7" s="2"/>
    </row>
    <row r="8" spans="1:21" ht="12.75" customHeight="1" x14ac:dyDescent="0.2">
      <c r="A8" s="7"/>
      <c r="B8" s="2"/>
      <c r="C8" s="2"/>
      <c r="D8" s="2"/>
      <c r="E8" s="2"/>
      <c r="F8" s="2"/>
      <c r="G8" s="2"/>
      <c r="H8" s="2"/>
      <c r="I8" s="2"/>
      <c r="J8" s="2"/>
      <c r="K8" s="2"/>
      <c r="L8" s="2"/>
      <c r="M8" s="2"/>
      <c r="N8" s="2"/>
      <c r="O8" s="2"/>
      <c r="P8" s="2"/>
      <c r="Q8" s="2"/>
      <c r="R8" s="2"/>
      <c r="S8" s="2"/>
      <c r="T8" s="2"/>
      <c r="U8" s="2"/>
    </row>
    <row r="9" spans="1:21" ht="43.5" customHeight="1" x14ac:dyDescent="0.2">
      <c r="A9" s="8"/>
      <c r="B9" s="9"/>
      <c r="C9" s="9"/>
      <c r="D9" s="9"/>
      <c r="E9" s="9"/>
      <c r="F9" s="9"/>
      <c r="G9" s="9"/>
      <c r="H9" s="9"/>
      <c r="I9" s="9"/>
      <c r="J9" s="9"/>
      <c r="K9" s="9"/>
      <c r="L9" s="9"/>
      <c r="M9" s="9"/>
      <c r="N9" s="9"/>
      <c r="O9" s="9"/>
      <c r="P9" s="9"/>
      <c r="Q9" s="9"/>
      <c r="R9" s="9"/>
      <c r="S9" s="9"/>
      <c r="T9" s="9"/>
      <c r="U9" s="9"/>
    </row>
    <row r="10" spans="1:21" ht="24.75" customHeight="1" x14ac:dyDescent="0.2">
      <c r="A10" s="8" t="s">
        <v>3</v>
      </c>
      <c r="B10" s="9"/>
      <c r="C10" s="9"/>
      <c r="D10" s="9"/>
      <c r="E10" s="9"/>
      <c r="F10" s="9"/>
      <c r="G10" s="9"/>
      <c r="H10" s="9"/>
      <c r="I10" s="9"/>
      <c r="J10" s="9"/>
      <c r="K10" s="9"/>
      <c r="L10" s="9"/>
      <c r="M10" s="9"/>
      <c r="N10" s="9"/>
      <c r="O10" s="9"/>
      <c r="P10" s="9"/>
      <c r="Q10" s="9"/>
      <c r="R10" s="9"/>
      <c r="S10" s="9"/>
      <c r="T10" s="9"/>
      <c r="U10" s="9"/>
    </row>
    <row r="11" spans="1:21" ht="30" customHeight="1" x14ac:dyDescent="0.2">
      <c r="A11" s="10" t="s">
        <v>4</v>
      </c>
      <c r="B11" s="2"/>
      <c r="C11" s="2"/>
      <c r="D11" s="2"/>
      <c r="E11" s="2"/>
      <c r="F11" s="2"/>
      <c r="G11" s="2"/>
      <c r="H11" s="2"/>
      <c r="I11" s="2"/>
      <c r="J11" s="2"/>
      <c r="K11" s="2"/>
      <c r="L11" s="2"/>
      <c r="M11" s="2"/>
      <c r="N11" s="2"/>
      <c r="O11" s="2"/>
      <c r="P11" s="2"/>
      <c r="Q11" s="2"/>
      <c r="R11" s="2"/>
      <c r="S11" s="2"/>
      <c r="T11" s="2"/>
      <c r="U11" s="2"/>
    </row>
    <row r="12" spans="1:21" ht="12.75" customHeight="1" x14ac:dyDescent="0.2">
      <c r="A12" s="2"/>
      <c r="B12" s="2"/>
      <c r="C12" s="2"/>
      <c r="D12" s="2"/>
      <c r="E12" s="2"/>
      <c r="F12" s="2"/>
      <c r="G12" s="2"/>
      <c r="H12" s="2"/>
      <c r="I12" s="2"/>
      <c r="J12" s="2"/>
      <c r="K12" s="2"/>
      <c r="L12" s="2"/>
      <c r="M12" s="2"/>
      <c r="N12" s="2"/>
      <c r="O12" s="2"/>
      <c r="P12" s="2"/>
      <c r="Q12" s="2"/>
      <c r="R12" s="2"/>
      <c r="S12" s="2"/>
      <c r="T12" s="2"/>
      <c r="U12" s="2"/>
    </row>
    <row r="13" spans="1:21" ht="12.75" customHeight="1" x14ac:dyDescent="0.25">
      <c r="A13" s="11"/>
      <c r="B13" s="2"/>
      <c r="C13" s="2"/>
      <c r="D13" s="2"/>
      <c r="E13" s="2"/>
      <c r="F13" s="2"/>
      <c r="G13" s="2"/>
      <c r="H13" s="2"/>
      <c r="I13" s="2"/>
      <c r="J13" s="2"/>
      <c r="K13" s="2"/>
      <c r="L13" s="2"/>
      <c r="M13" s="2"/>
      <c r="N13" s="2"/>
      <c r="O13" s="2"/>
      <c r="P13" s="2"/>
      <c r="Q13" s="2"/>
      <c r="R13" s="2"/>
      <c r="S13" s="2"/>
      <c r="T13" s="2"/>
      <c r="U13" s="2"/>
    </row>
    <row r="14" spans="1:21" ht="12.75" customHeight="1" x14ac:dyDescent="0.2">
      <c r="A14" s="2"/>
      <c r="B14" s="2"/>
      <c r="C14" s="2"/>
      <c r="D14" s="2"/>
      <c r="E14" s="2"/>
      <c r="F14" s="2"/>
      <c r="G14" s="2"/>
      <c r="H14" s="2"/>
      <c r="I14" s="2"/>
      <c r="J14" s="2"/>
      <c r="K14" s="2"/>
      <c r="L14" s="2"/>
      <c r="M14" s="2"/>
      <c r="N14" s="2"/>
      <c r="O14" s="2"/>
      <c r="P14" s="2"/>
      <c r="Q14" s="2"/>
      <c r="R14" s="2"/>
      <c r="S14" s="2"/>
      <c r="T14" s="2"/>
      <c r="U14" s="2"/>
    </row>
    <row r="15" spans="1:21" ht="12.75" hidden="1" customHeight="1" x14ac:dyDescent="0.2">
      <c r="A15" s="2" t="s">
        <v>5</v>
      </c>
      <c r="B15" s="2"/>
      <c r="C15" s="2"/>
      <c r="D15" s="2"/>
      <c r="E15" s="2"/>
      <c r="F15" s="2"/>
      <c r="G15" s="2"/>
      <c r="H15" s="2"/>
      <c r="I15" s="2"/>
      <c r="J15" s="2"/>
      <c r="K15" s="2"/>
      <c r="L15" s="2"/>
      <c r="M15" s="2"/>
      <c r="N15" s="2"/>
      <c r="O15" s="2"/>
      <c r="P15" s="2"/>
      <c r="Q15" s="2"/>
      <c r="R15" s="2"/>
      <c r="S15" s="2"/>
      <c r="T15" s="2"/>
      <c r="U15" s="2"/>
    </row>
    <row r="16" spans="1:21" ht="12.75" hidden="1" customHeight="1" x14ac:dyDescent="0.2">
      <c r="A16" s="2" t="s">
        <v>6</v>
      </c>
      <c r="B16" s="2"/>
      <c r="C16" s="2"/>
      <c r="D16" s="2"/>
      <c r="E16" s="2"/>
      <c r="F16" s="2"/>
      <c r="G16" s="2"/>
      <c r="H16" s="2"/>
      <c r="I16" s="2"/>
      <c r="J16" s="2"/>
      <c r="K16" s="2"/>
      <c r="L16" s="2"/>
      <c r="M16" s="2"/>
      <c r="N16" s="2"/>
      <c r="O16" s="2"/>
      <c r="P16" s="2"/>
      <c r="Q16" s="2"/>
      <c r="R16" s="2"/>
      <c r="S16" s="2"/>
      <c r="T16" s="2"/>
      <c r="U16" s="2"/>
    </row>
    <row r="17" spans="1:21" ht="12.75" hidden="1" customHeight="1" x14ac:dyDescent="0.2">
      <c r="A17" s="2" t="s">
        <v>1</v>
      </c>
      <c r="B17" s="2"/>
      <c r="C17" s="2"/>
      <c r="D17" s="2"/>
      <c r="E17" s="2"/>
      <c r="F17" s="2"/>
      <c r="G17" s="2"/>
      <c r="H17" s="2"/>
      <c r="I17" s="2"/>
      <c r="J17" s="2"/>
      <c r="K17" s="2"/>
      <c r="L17" s="2"/>
      <c r="M17" s="2"/>
      <c r="N17" s="2"/>
      <c r="O17" s="2"/>
      <c r="P17" s="2"/>
      <c r="Q17" s="2"/>
      <c r="R17" s="2"/>
      <c r="S17" s="2"/>
      <c r="T17" s="2"/>
      <c r="U17" s="2"/>
    </row>
    <row r="18" spans="1:21" ht="12.75" hidden="1" customHeight="1" x14ac:dyDescent="0.2">
      <c r="A18" s="2" t="s">
        <v>7</v>
      </c>
      <c r="B18" s="2"/>
      <c r="C18" s="2"/>
      <c r="D18" s="2"/>
      <c r="E18" s="2"/>
      <c r="F18" s="2"/>
      <c r="G18" s="2"/>
      <c r="H18" s="2"/>
      <c r="I18" s="2"/>
      <c r="J18" s="2"/>
      <c r="K18" s="2"/>
      <c r="L18" s="2"/>
      <c r="M18" s="2"/>
      <c r="N18" s="2"/>
      <c r="O18" s="2"/>
      <c r="P18" s="2"/>
      <c r="Q18" s="2"/>
      <c r="R18" s="2"/>
      <c r="S18" s="2"/>
      <c r="T18" s="2"/>
      <c r="U18" s="2"/>
    </row>
    <row r="19" spans="1:21" ht="12.75" customHeight="1" x14ac:dyDescent="0.2">
      <c r="A19" s="2"/>
      <c r="B19" s="2"/>
      <c r="C19" s="2"/>
      <c r="D19" s="2"/>
      <c r="E19" s="2"/>
      <c r="F19" s="2"/>
      <c r="G19" s="2"/>
      <c r="H19" s="2"/>
      <c r="I19" s="2"/>
      <c r="J19" s="2"/>
      <c r="K19" s="2"/>
      <c r="L19" s="2"/>
      <c r="M19" s="2"/>
      <c r="N19" s="2"/>
      <c r="O19" s="2"/>
      <c r="P19" s="2"/>
      <c r="Q19" s="2"/>
      <c r="R19" s="2"/>
      <c r="S19" s="2"/>
      <c r="T19" s="2"/>
      <c r="U19" s="2"/>
    </row>
    <row r="20" spans="1:21" ht="12.75" customHeight="1" x14ac:dyDescent="0.2">
      <c r="A20" s="2"/>
      <c r="B20" s="2"/>
      <c r="C20" s="2"/>
      <c r="D20" s="2"/>
      <c r="E20" s="2"/>
      <c r="F20" s="2"/>
      <c r="G20" s="2"/>
      <c r="H20" s="2"/>
      <c r="I20" s="2"/>
      <c r="J20" s="2"/>
      <c r="K20" s="2"/>
      <c r="L20" s="2"/>
      <c r="M20" s="2"/>
      <c r="N20" s="2"/>
      <c r="O20" s="2"/>
      <c r="P20" s="2"/>
      <c r="Q20" s="2"/>
      <c r="R20" s="2"/>
      <c r="S20" s="2"/>
      <c r="T20" s="2"/>
      <c r="U20" s="2"/>
    </row>
    <row r="21" spans="1:21" ht="12.75" customHeight="1" x14ac:dyDescent="0.2">
      <c r="A21" s="2"/>
      <c r="B21" s="2"/>
      <c r="C21" s="2"/>
      <c r="D21" s="2"/>
      <c r="E21" s="2"/>
      <c r="F21" s="2"/>
      <c r="G21" s="2"/>
      <c r="H21" s="2"/>
      <c r="I21" s="2"/>
      <c r="J21" s="2"/>
      <c r="K21" s="2"/>
      <c r="L21" s="2"/>
      <c r="M21" s="2"/>
      <c r="N21" s="2"/>
      <c r="O21" s="2"/>
      <c r="P21" s="2"/>
      <c r="Q21" s="2"/>
      <c r="R21" s="2"/>
      <c r="S21" s="2"/>
      <c r="T21" s="2"/>
      <c r="U21" s="2"/>
    </row>
    <row r="22" spans="1:21" ht="12.75" customHeight="1" x14ac:dyDescent="0.2">
      <c r="A22" s="2"/>
      <c r="B22" s="2"/>
      <c r="C22" s="2"/>
      <c r="D22" s="2"/>
      <c r="E22" s="2"/>
      <c r="F22" s="2"/>
      <c r="G22" s="2"/>
      <c r="H22" s="2"/>
      <c r="I22" s="2"/>
      <c r="J22" s="2"/>
      <c r="K22" s="2"/>
      <c r="L22" s="2"/>
      <c r="M22" s="2"/>
      <c r="N22" s="2"/>
      <c r="O22" s="2"/>
      <c r="P22" s="2"/>
      <c r="Q22" s="2"/>
      <c r="R22" s="2"/>
      <c r="S22" s="2"/>
      <c r="T22" s="2"/>
      <c r="U22" s="2"/>
    </row>
    <row r="23" spans="1:21" ht="12.75" customHeight="1" x14ac:dyDescent="0.2">
      <c r="A23" s="2"/>
      <c r="B23" s="2"/>
      <c r="C23" s="2"/>
      <c r="D23" s="2"/>
      <c r="E23" s="2"/>
      <c r="F23" s="2"/>
      <c r="G23" s="2"/>
      <c r="H23" s="2"/>
      <c r="I23" s="2"/>
      <c r="J23" s="2"/>
      <c r="K23" s="2"/>
      <c r="L23" s="2"/>
      <c r="M23" s="2"/>
      <c r="N23" s="2"/>
      <c r="O23" s="2"/>
      <c r="P23" s="2"/>
      <c r="Q23" s="2"/>
      <c r="R23" s="2"/>
      <c r="S23" s="2"/>
      <c r="T23" s="2"/>
      <c r="U23" s="2"/>
    </row>
    <row r="24" spans="1:21" ht="12.75" customHeight="1" x14ac:dyDescent="0.2">
      <c r="A24" s="2"/>
      <c r="B24" s="2"/>
      <c r="C24" s="2"/>
      <c r="D24" s="2"/>
      <c r="E24" s="2"/>
      <c r="F24" s="2"/>
      <c r="G24" s="2"/>
      <c r="H24" s="2"/>
      <c r="I24" s="2"/>
      <c r="J24" s="2"/>
      <c r="K24" s="2"/>
      <c r="L24" s="2"/>
      <c r="M24" s="2"/>
      <c r="N24" s="2"/>
      <c r="O24" s="2"/>
      <c r="P24" s="2"/>
      <c r="Q24" s="2"/>
      <c r="R24" s="2"/>
      <c r="S24" s="2"/>
      <c r="T24" s="2"/>
      <c r="U24" s="2"/>
    </row>
    <row r="25" spans="1:21" ht="12.75" customHeight="1" x14ac:dyDescent="0.2">
      <c r="A25" s="2"/>
      <c r="B25" s="2"/>
      <c r="C25" s="2"/>
      <c r="D25" s="2"/>
      <c r="E25" s="2"/>
      <c r="F25" s="2"/>
      <c r="G25" s="2"/>
      <c r="H25" s="2"/>
      <c r="I25" s="2"/>
      <c r="J25" s="2"/>
      <c r="K25" s="2"/>
      <c r="L25" s="2"/>
      <c r="M25" s="2"/>
      <c r="N25" s="2"/>
      <c r="O25" s="2"/>
      <c r="P25" s="2"/>
      <c r="Q25" s="2"/>
      <c r="R25" s="2"/>
      <c r="S25" s="2"/>
      <c r="T25" s="2"/>
      <c r="U25" s="2"/>
    </row>
    <row r="26" spans="1:21" ht="12.75" customHeight="1" x14ac:dyDescent="0.2">
      <c r="A26" s="2"/>
      <c r="B26" s="2"/>
      <c r="C26" s="2"/>
      <c r="D26" s="2"/>
      <c r="E26" s="2"/>
      <c r="F26" s="2"/>
      <c r="G26" s="2"/>
      <c r="H26" s="2"/>
      <c r="I26" s="2"/>
      <c r="J26" s="2"/>
      <c r="K26" s="2"/>
      <c r="L26" s="2"/>
      <c r="M26" s="2"/>
      <c r="N26" s="2"/>
      <c r="O26" s="2"/>
      <c r="P26" s="2"/>
      <c r="Q26" s="2"/>
      <c r="R26" s="2"/>
      <c r="S26" s="2"/>
      <c r="T26" s="2"/>
      <c r="U26" s="2"/>
    </row>
    <row r="27" spans="1:21" ht="12.75" customHeight="1" x14ac:dyDescent="0.2">
      <c r="A27" s="2"/>
      <c r="B27" s="2"/>
      <c r="C27" s="2"/>
      <c r="D27" s="2"/>
      <c r="E27" s="2"/>
      <c r="F27" s="2"/>
      <c r="G27" s="2"/>
      <c r="H27" s="2"/>
      <c r="I27" s="2"/>
      <c r="J27" s="2"/>
      <c r="K27" s="2"/>
      <c r="L27" s="2"/>
      <c r="M27" s="2"/>
      <c r="N27" s="2"/>
      <c r="O27" s="2"/>
      <c r="P27" s="2"/>
      <c r="Q27" s="2"/>
      <c r="R27" s="2"/>
      <c r="S27" s="2"/>
      <c r="T27" s="2"/>
      <c r="U27" s="2"/>
    </row>
    <row r="28" spans="1:21" ht="12.75" customHeight="1" x14ac:dyDescent="0.2">
      <c r="A28" s="2"/>
      <c r="B28" s="2"/>
      <c r="C28" s="2"/>
      <c r="D28" s="2"/>
      <c r="E28" s="2"/>
      <c r="F28" s="2"/>
      <c r="G28" s="2"/>
      <c r="H28" s="2"/>
      <c r="I28" s="2"/>
      <c r="J28" s="2"/>
      <c r="K28" s="2"/>
      <c r="L28" s="2"/>
      <c r="M28" s="2"/>
      <c r="N28" s="2"/>
      <c r="O28" s="2"/>
      <c r="P28" s="2"/>
      <c r="Q28" s="2"/>
      <c r="R28" s="2"/>
      <c r="S28" s="2"/>
      <c r="T28" s="2"/>
      <c r="U28" s="2"/>
    </row>
    <row r="29" spans="1:21" ht="12.75" customHeight="1" x14ac:dyDescent="0.2">
      <c r="A29" s="2"/>
      <c r="B29" s="2"/>
      <c r="C29" s="2"/>
      <c r="D29" s="2"/>
      <c r="E29" s="2"/>
      <c r="F29" s="2"/>
      <c r="G29" s="2"/>
      <c r="H29" s="2"/>
      <c r="I29" s="2"/>
      <c r="J29" s="2"/>
      <c r="K29" s="2"/>
      <c r="L29" s="2"/>
      <c r="M29" s="2"/>
      <c r="N29" s="2"/>
      <c r="O29" s="2"/>
      <c r="P29" s="2"/>
      <c r="Q29" s="2"/>
      <c r="R29" s="2"/>
      <c r="S29" s="2"/>
      <c r="T29" s="2"/>
      <c r="U29" s="2"/>
    </row>
    <row r="30" spans="1:21" ht="12.75" customHeight="1" x14ac:dyDescent="0.2">
      <c r="A30" s="2"/>
      <c r="B30" s="2"/>
      <c r="C30" s="2"/>
      <c r="D30" s="2"/>
      <c r="E30" s="2"/>
      <c r="F30" s="2"/>
      <c r="G30" s="2"/>
      <c r="H30" s="2"/>
      <c r="I30" s="2"/>
      <c r="J30" s="2"/>
      <c r="K30" s="2"/>
      <c r="L30" s="2"/>
      <c r="M30" s="2"/>
      <c r="N30" s="2"/>
      <c r="O30" s="2"/>
      <c r="P30" s="2"/>
      <c r="Q30" s="2"/>
      <c r="R30" s="2"/>
      <c r="S30" s="2"/>
      <c r="T30" s="2"/>
      <c r="U30" s="2"/>
    </row>
    <row r="31" spans="1:21" ht="12.75" customHeight="1" x14ac:dyDescent="0.2">
      <c r="A31" s="2"/>
      <c r="B31" s="2"/>
      <c r="C31" s="2"/>
      <c r="D31" s="2"/>
      <c r="E31" s="2"/>
      <c r="F31" s="2"/>
      <c r="G31" s="2"/>
      <c r="H31" s="2"/>
      <c r="I31" s="2"/>
      <c r="J31" s="2"/>
      <c r="K31" s="2"/>
      <c r="L31" s="2"/>
      <c r="M31" s="2"/>
      <c r="N31" s="2"/>
      <c r="O31" s="2"/>
      <c r="P31" s="2"/>
      <c r="Q31" s="2"/>
      <c r="R31" s="2"/>
      <c r="S31" s="2"/>
      <c r="T31" s="2"/>
      <c r="U31" s="2"/>
    </row>
    <row r="32" spans="1:21" ht="12.75" customHeight="1" x14ac:dyDescent="0.2">
      <c r="A32" s="2"/>
      <c r="B32" s="2"/>
      <c r="C32" s="2"/>
      <c r="D32" s="2"/>
      <c r="E32" s="2"/>
      <c r="F32" s="2"/>
      <c r="G32" s="2"/>
      <c r="H32" s="2"/>
      <c r="I32" s="2"/>
      <c r="J32" s="2"/>
      <c r="K32" s="2"/>
      <c r="L32" s="2"/>
      <c r="M32" s="2"/>
      <c r="N32" s="2"/>
      <c r="O32" s="2"/>
      <c r="P32" s="2"/>
      <c r="Q32" s="2"/>
      <c r="R32" s="2"/>
      <c r="S32" s="2"/>
      <c r="T32" s="2"/>
      <c r="U32" s="2"/>
    </row>
    <row r="33" spans="1:21" ht="12.75" customHeight="1" x14ac:dyDescent="0.2">
      <c r="A33" s="2"/>
      <c r="B33" s="2"/>
      <c r="C33" s="2"/>
      <c r="D33" s="2"/>
      <c r="E33" s="2"/>
      <c r="F33" s="2"/>
      <c r="G33" s="2"/>
      <c r="H33" s="2"/>
      <c r="I33" s="2"/>
      <c r="J33" s="2"/>
      <c r="K33" s="2"/>
      <c r="L33" s="2"/>
      <c r="M33" s="2"/>
      <c r="N33" s="2"/>
      <c r="O33" s="2"/>
      <c r="P33" s="2"/>
      <c r="Q33" s="2"/>
      <c r="R33" s="2"/>
      <c r="S33" s="2"/>
      <c r="T33" s="2"/>
      <c r="U33" s="2"/>
    </row>
    <row r="34" spans="1:21" ht="12.75" customHeight="1" x14ac:dyDescent="0.2">
      <c r="A34" s="2"/>
      <c r="B34" s="2"/>
      <c r="C34" s="2"/>
      <c r="D34" s="2"/>
      <c r="E34" s="2"/>
      <c r="F34" s="2"/>
      <c r="G34" s="2"/>
      <c r="H34" s="2"/>
      <c r="I34" s="2"/>
      <c r="J34" s="2"/>
      <c r="K34" s="2"/>
      <c r="L34" s="2"/>
      <c r="M34" s="2"/>
      <c r="N34" s="2"/>
      <c r="O34" s="2"/>
      <c r="P34" s="2"/>
      <c r="Q34" s="2"/>
      <c r="R34" s="2"/>
      <c r="S34" s="2"/>
      <c r="T34" s="2"/>
      <c r="U34" s="2"/>
    </row>
    <row r="35" spans="1:21" ht="12.75" customHeight="1" x14ac:dyDescent="0.2">
      <c r="A35" s="2"/>
      <c r="B35" s="2"/>
      <c r="C35" s="2"/>
      <c r="D35" s="2"/>
      <c r="E35" s="2"/>
      <c r="F35" s="2"/>
      <c r="G35" s="2"/>
      <c r="H35" s="2"/>
      <c r="I35" s="2"/>
      <c r="J35" s="2"/>
      <c r="K35" s="2"/>
      <c r="L35" s="2"/>
      <c r="M35" s="2"/>
      <c r="N35" s="2"/>
      <c r="O35" s="2"/>
      <c r="P35" s="2"/>
      <c r="Q35" s="2"/>
      <c r="R35" s="2"/>
      <c r="S35" s="2"/>
      <c r="T35" s="2"/>
      <c r="U35" s="2"/>
    </row>
    <row r="36" spans="1:21" ht="12.75" customHeight="1" x14ac:dyDescent="0.2">
      <c r="A36" s="2"/>
      <c r="B36" s="2"/>
      <c r="C36" s="2"/>
      <c r="D36" s="2"/>
      <c r="E36" s="2"/>
      <c r="F36" s="2"/>
      <c r="G36" s="2"/>
      <c r="H36" s="2"/>
      <c r="I36" s="2"/>
      <c r="J36" s="2"/>
      <c r="K36" s="2"/>
      <c r="L36" s="2"/>
      <c r="M36" s="2"/>
      <c r="N36" s="2"/>
      <c r="O36" s="2"/>
      <c r="P36" s="2"/>
      <c r="Q36" s="2"/>
      <c r="R36" s="2"/>
      <c r="S36" s="2"/>
      <c r="T36" s="2"/>
      <c r="U36" s="2"/>
    </row>
    <row r="37" spans="1:21" ht="12.75" customHeight="1" x14ac:dyDescent="0.2">
      <c r="A37" s="2"/>
      <c r="B37" s="2"/>
      <c r="C37" s="2"/>
      <c r="D37" s="2"/>
      <c r="E37" s="2"/>
      <c r="F37" s="2"/>
      <c r="G37" s="2"/>
      <c r="H37" s="2"/>
      <c r="I37" s="2"/>
      <c r="J37" s="2"/>
      <c r="K37" s="2"/>
      <c r="L37" s="2"/>
      <c r="M37" s="2"/>
      <c r="N37" s="2"/>
      <c r="O37" s="2"/>
      <c r="P37" s="2"/>
      <c r="Q37" s="2"/>
      <c r="R37" s="2"/>
      <c r="S37" s="2"/>
      <c r="T37" s="2"/>
      <c r="U37" s="2"/>
    </row>
    <row r="38" spans="1:21" ht="12.75" customHeight="1" x14ac:dyDescent="0.2">
      <c r="A38" s="2"/>
      <c r="B38" s="2"/>
      <c r="C38" s="2"/>
      <c r="D38" s="2"/>
      <c r="E38" s="2"/>
      <c r="F38" s="2"/>
      <c r="G38" s="2"/>
      <c r="H38" s="2"/>
      <c r="I38" s="2"/>
      <c r="J38" s="2"/>
      <c r="K38" s="2"/>
      <c r="L38" s="2"/>
      <c r="M38" s="2"/>
      <c r="N38" s="2"/>
      <c r="O38" s="2"/>
      <c r="P38" s="2"/>
      <c r="Q38" s="2"/>
      <c r="R38" s="2"/>
      <c r="S38" s="2"/>
      <c r="T38" s="2"/>
      <c r="U38" s="2"/>
    </row>
    <row r="39" spans="1:21" ht="12.75" customHeight="1" x14ac:dyDescent="0.2">
      <c r="A39" s="2"/>
      <c r="B39" s="2"/>
      <c r="C39" s="2"/>
      <c r="D39" s="2"/>
      <c r="E39" s="2"/>
      <c r="F39" s="2"/>
      <c r="G39" s="2"/>
      <c r="H39" s="2"/>
      <c r="I39" s="2"/>
      <c r="J39" s="2"/>
      <c r="K39" s="2"/>
      <c r="L39" s="2"/>
      <c r="M39" s="2"/>
      <c r="N39" s="2"/>
      <c r="O39" s="2"/>
      <c r="P39" s="2"/>
      <c r="Q39" s="2"/>
      <c r="R39" s="2"/>
      <c r="S39" s="2"/>
      <c r="T39" s="2"/>
      <c r="U39" s="2"/>
    </row>
    <row r="40" spans="1:21" ht="12.75" customHeight="1" x14ac:dyDescent="0.2">
      <c r="A40" s="2"/>
      <c r="B40" s="2"/>
      <c r="C40" s="2"/>
      <c r="D40" s="2"/>
      <c r="E40" s="2"/>
      <c r="F40" s="2"/>
      <c r="G40" s="2"/>
      <c r="H40" s="2"/>
      <c r="I40" s="2"/>
      <c r="J40" s="2"/>
      <c r="K40" s="2"/>
      <c r="L40" s="2"/>
      <c r="M40" s="2"/>
      <c r="N40" s="2"/>
      <c r="O40" s="2"/>
      <c r="P40" s="2"/>
      <c r="Q40" s="2"/>
      <c r="R40" s="2"/>
      <c r="S40" s="2"/>
      <c r="T40" s="2"/>
      <c r="U40" s="2"/>
    </row>
    <row r="41" spans="1:21" ht="12.75" customHeight="1" x14ac:dyDescent="0.2">
      <c r="A41" s="2"/>
      <c r="B41" s="2"/>
      <c r="C41" s="2"/>
      <c r="D41" s="2"/>
      <c r="E41" s="2"/>
      <c r="F41" s="2"/>
      <c r="G41" s="2"/>
      <c r="H41" s="2"/>
      <c r="I41" s="2"/>
      <c r="J41" s="2"/>
      <c r="K41" s="2"/>
      <c r="L41" s="2"/>
      <c r="M41" s="2"/>
      <c r="N41" s="2"/>
      <c r="O41" s="2"/>
      <c r="P41" s="2"/>
      <c r="Q41" s="2"/>
      <c r="R41" s="2"/>
      <c r="S41" s="2"/>
      <c r="T41" s="2"/>
      <c r="U41" s="2"/>
    </row>
    <row r="42" spans="1:21" ht="12.75" customHeight="1" x14ac:dyDescent="0.2">
      <c r="A42" s="2"/>
      <c r="B42" s="2"/>
      <c r="C42" s="2"/>
      <c r="D42" s="2"/>
      <c r="E42" s="2"/>
      <c r="F42" s="2"/>
      <c r="G42" s="2"/>
      <c r="H42" s="2"/>
      <c r="I42" s="2"/>
      <c r="J42" s="2"/>
      <c r="K42" s="2"/>
      <c r="L42" s="2"/>
      <c r="M42" s="2"/>
      <c r="N42" s="2"/>
      <c r="O42" s="2"/>
      <c r="P42" s="2"/>
      <c r="Q42" s="2"/>
      <c r="R42" s="2"/>
      <c r="S42" s="2"/>
      <c r="T42" s="2"/>
      <c r="U42" s="2"/>
    </row>
    <row r="43" spans="1:21" ht="12.75" customHeight="1" x14ac:dyDescent="0.2">
      <c r="A43" s="2"/>
      <c r="B43" s="2"/>
      <c r="C43" s="2"/>
      <c r="D43" s="2"/>
      <c r="E43" s="2"/>
      <c r="F43" s="2"/>
      <c r="G43" s="2"/>
      <c r="H43" s="2"/>
      <c r="I43" s="2"/>
      <c r="J43" s="2"/>
      <c r="K43" s="2"/>
      <c r="L43" s="2"/>
      <c r="M43" s="2"/>
      <c r="N43" s="2"/>
      <c r="O43" s="2"/>
      <c r="P43" s="2"/>
      <c r="Q43" s="2"/>
      <c r="R43" s="2"/>
      <c r="S43" s="2"/>
      <c r="T43" s="2"/>
      <c r="U43" s="2"/>
    </row>
    <row r="44" spans="1:21" ht="12.75" customHeight="1" x14ac:dyDescent="0.2">
      <c r="A44" s="2"/>
      <c r="B44" s="2"/>
      <c r="C44" s="2"/>
      <c r="D44" s="2"/>
      <c r="E44" s="2"/>
      <c r="F44" s="2"/>
      <c r="G44" s="2"/>
      <c r="H44" s="2"/>
      <c r="I44" s="2"/>
      <c r="J44" s="2"/>
      <c r="K44" s="2"/>
      <c r="L44" s="2"/>
      <c r="M44" s="2"/>
      <c r="N44" s="2"/>
      <c r="O44" s="2"/>
      <c r="P44" s="2"/>
      <c r="Q44" s="2"/>
      <c r="R44" s="2"/>
      <c r="S44" s="2"/>
      <c r="T44" s="2"/>
      <c r="U44" s="2"/>
    </row>
    <row r="45" spans="1:21" ht="12.75" customHeight="1" x14ac:dyDescent="0.2">
      <c r="A45" s="2"/>
      <c r="B45" s="2"/>
      <c r="C45" s="2"/>
      <c r="D45" s="2"/>
      <c r="E45" s="2"/>
      <c r="F45" s="2"/>
      <c r="G45" s="2"/>
      <c r="H45" s="2"/>
      <c r="I45" s="2"/>
      <c r="J45" s="2"/>
      <c r="K45" s="2"/>
      <c r="L45" s="2"/>
      <c r="M45" s="2"/>
      <c r="N45" s="2"/>
      <c r="O45" s="2"/>
      <c r="P45" s="2"/>
      <c r="Q45" s="2"/>
      <c r="R45" s="2"/>
      <c r="S45" s="2"/>
      <c r="T45" s="2"/>
      <c r="U45" s="2"/>
    </row>
    <row r="46" spans="1:21" ht="12.75" customHeight="1" x14ac:dyDescent="0.2">
      <c r="A46" s="2"/>
      <c r="B46" s="2"/>
      <c r="C46" s="2"/>
      <c r="D46" s="2"/>
      <c r="E46" s="2"/>
      <c r="F46" s="2"/>
      <c r="G46" s="2"/>
      <c r="H46" s="2"/>
      <c r="I46" s="2"/>
      <c r="J46" s="2"/>
      <c r="K46" s="2"/>
      <c r="L46" s="2"/>
      <c r="M46" s="2"/>
      <c r="N46" s="2"/>
      <c r="O46" s="2"/>
      <c r="P46" s="2"/>
      <c r="Q46" s="2"/>
      <c r="R46" s="2"/>
      <c r="S46" s="2"/>
      <c r="T46" s="2"/>
      <c r="U46" s="2"/>
    </row>
    <row r="47" spans="1:21" ht="12.75" customHeight="1" x14ac:dyDescent="0.2">
      <c r="A47" s="2"/>
      <c r="B47" s="2"/>
      <c r="C47" s="2"/>
      <c r="D47" s="2"/>
      <c r="E47" s="2"/>
      <c r="F47" s="2"/>
      <c r="G47" s="2"/>
      <c r="H47" s="2"/>
      <c r="I47" s="2"/>
      <c r="J47" s="2"/>
      <c r="K47" s="2"/>
      <c r="L47" s="2"/>
      <c r="M47" s="2"/>
      <c r="N47" s="2"/>
      <c r="O47" s="2"/>
      <c r="P47" s="2"/>
      <c r="Q47" s="2"/>
      <c r="R47" s="2"/>
      <c r="S47" s="2"/>
      <c r="T47" s="2"/>
      <c r="U47" s="2"/>
    </row>
    <row r="48" spans="1:21" ht="12.75" customHeight="1" x14ac:dyDescent="0.2">
      <c r="A48" s="2"/>
      <c r="B48" s="2"/>
      <c r="C48" s="2"/>
      <c r="D48" s="2"/>
      <c r="E48" s="2"/>
      <c r="F48" s="2"/>
      <c r="G48" s="2"/>
      <c r="H48" s="2"/>
      <c r="I48" s="2"/>
      <c r="J48" s="2"/>
      <c r="K48" s="2"/>
      <c r="L48" s="2"/>
      <c r="M48" s="2"/>
      <c r="N48" s="2"/>
      <c r="O48" s="2"/>
      <c r="P48" s="2"/>
      <c r="Q48" s="2"/>
      <c r="R48" s="2"/>
      <c r="S48" s="2"/>
      <c r="T48" s="2"/>
      <c r="U48" s="2"/>
    </row>
    <row r="49" spans="1:21" ht="12.75" customHeight="1" x14ac:dyDescent="0.2">
      <c r="A49" s="2"/>
      <c r="B49" s="2"/>
      <c r="C49" s="2"/>
      <c r="D49" s="2"/>
      <c r="E49" s="2"/>
      <c r="F49" s="2"/>
      <c r="G49" s="2"/>
      <c r="H49" s="2"/>
      <c r="I49" s="2"/>
      <c r="J49" s="2"/>
      <c r="K49" s="2"/>
      <c r="L49" s="2"/>
      <c r="M49" s="2"/>
      <c r="N49" s="2"/>
      <c r="O49" s="2"/>
      <c r="P49" s="2"/>
      <c r="Q49" s="2"/>
      <c r="R49" s="2"/>
      <c r="S49" s="2"/>
      <c r="T49" s="2"/>
      <c r="U49" s="2"/>
    </row>
    <row r="50" spans="1:21" ht="12.75" customHeight="1" x14ac:dyDescent="0.2">
      <c r="A50" s="2"/>
      <c r="B50" s="2"/>
      <c r="C50" s="2"/>
      <c r="D50" s="2"/>
      <c r="E50" s="2"/>
      <c r="F50" s="2"/>
      <c r="G50" s="2"/>
      <c r="H50" s="2"/>
      <c r="I50" s="2"/>
      <c r="J50" s="2"/>
      <c r="K50" s="2"/>
      <c r="L50" s="2"/>
      <c r="M50" s="2"/>
      <c r="N50" s="2"/>
      <c r="O50" s="2"/>
      <c r="P50" s="2"/>
      <c r="Q50" s="2"/>
      <c r="R50" s="2"/>
      <c r="S50" s="2"/>
      <c r="T50" s="2"/>
      <c r="U50" s="2"/>
    </row>
    <row r="51" spans="1:21" ht="12.75" customHeight="1" x14ac:dyDescent="0.2">
      <c r="A51" s="2"/>
      <c r="B51" s="2"/>
      <c r="C51" s="2"/>
      <c r="D51" s="2"/>
      <c r="E51" s="2"/>
      <c r="F51" s="2"/>
      <c r="G51" s="2"/>
      <c r="H51" s="2"/>
      <c r="I51" s="2"/>
      <c r="J51" s="2"/>
      <c r="K51" s="2"/>
      <c r="L51" s="2"/>
      <c r="M51" s="2"/>
      <c r="N51" s="2"/>
      <c r="O51" s="2"/>
      <c r="P51" s="2"/>
      <c r="Q51" s="2"/>
      <c r="R51" s="2"/>
      <c r="S51" s="2"/>
      <c r="T51" s="2"/>
      <c r="U51" s="2"/>
    </row>
    <row r="52" spans="1:21" ht="12.75" customHeight="1" x14ac:dyDescent="0.2">
      <c r="A52" s="2"/>
      <c r="B52" s="2"/>
      <c r="C52" s="2"/>
      <c r="D52" s="2"/>
      <c r="E52" s="2"/>
      <c r="F52" s="2"/>
      <c r="G52" s="2"/>
      <c r="H52" s="2"/>
      <c r="I52" s="2"/>
      <c r="J52" s="2"/>
      <c r="K52" s="2"/>
      <c r="L52" s="2"/>
      <c r="M52" s="2"/>
      <c r="N52" s="2"/>
      <c r="O52" s="2"/>
      <c r="P52" s="2"/>
      <c r="Q52" s="2"/>
      <c r="R52" s="2"/>
      <c r="S52" s="2"/>
      <c r="T52" s="2"/>
      <c r="U52" s="2"/>
    </row>
    <row r="53" spans="1:21" ht="12.75" customHeight="1" x14ac:dyDescent="0.2">
      <c r="A53" s="2"/>
      <c r="B53" s="2"/>
      <c r="C53" s="2"/>
      <c r="D53" s="2"/>
      <c r="E53" s="2"/>
      <c r="F53" s="2"/>
      <c r="G53" s="2"/>
      <c r="H53" s="2"/>
      <c r="I53" s="2"/>
      <c r="J53" s="2"/>
      <c r="K53" s="2"/>
      <c r="L53" s="2"/>
      <c r="M53" s="2"/>
      <c r="N53" s="2"/>
      <c r="O53" s="2"/>
      <c r="P53" s="2"/>
      <c r="Q53" s="2"/>
      <c r="R53" s="2"/>
      <c r="S53" s="2"/>
      <c r="T53" s="2"/>
      <c r="U53" s="2"/>
    </row>
    <row r="54" spans="1:21" ht="12.75" customHeight="1" x14ac:dyDescent="0.2">
      <c r="A54" s="2"/>
      <c r="B54" s="2"/>
      <c r="C54" s="2"/>
      <c r="D54" s="2"/>
      <c r="E54" s="2"/>
      <c r="F54" s="2"/>
      <c r="G54" s="2"/>
      <c r="H54" s="2"/>
      <c r="I54" s="2"/>
      <c r="J54" s="2"/>
      <c r="K54" s="2"/>
      <c r="L54" s="2"/>
      <c r="M54" s="2"/>
      <c r="N54" s="2"/>
      <c r="O54" s="2"/>
      <c r="P54" s="2"/>
      <c r="Q54" s="2"/>
      <c r="R54" s="2"/>
      <c r="S54" s="2"/>
      <c r="T54" s="2"/>
      <c r="U54" s="2"/>
    </row>
    <row r="55" spans="1:21" ht="12.75" customHeight="1" x14ac:dyDescent="0.2">
      <c r="A55" s="2"/>
      <c r="B55" s="2"/>
      <c r="C55" s="2"/>
      <c r="D55" s="2"/>
      <c r="E55" s="2"/>
      <c r="F55" s="2"/>
      <c r="G55" s="2"/>
      <c r="H55" s="2"/>
      <c r="I55" s="2"/>
      <c r="J55" s="2"/>
      <c r="K55" s="2"/>
      <c r="L55" s="2"/>
      <c r="M55" s="2"/>
      <c r="N55" s="2"/>
      <c r="O55" s="2"/>
      <c r="P55" s="2"/>
      <c r="Q55" s="2"/>
      <c r="R55" s="2"/>
      <c r="S55" s="2"/>
      <c r="T55" s="2"/>
      <c r="U55" s="2"/>
    </row>
    <row r="56" spans="1:21" ht="12.75" customHeight="1" x14ac:dyDescent="0.2">
      <c r="A56" s="2"/>
      <c r="B56" s="2"/>
      <c r="C56" s="2"/>
      <c r="D56" s="2"/>
      <c r="E56" s="2"/>
      <c r="F56" s="2"/>
      <c r="G56" s="2"/>
      <c r="H56" s="2"/>
      <c r="I56" s="2"/>
      <c r="J56" s="2"/>
      <c r="K56" s="2"/>
      <c r="L56" s="2"/>
      <c r="M56" s="2"/>
      <c r="N56" s="2"/>
      <c r="O56" s="2"/>
      <c r="P56" s="2"/>
      <c r="Q56" s="2"/>
      <c r="R56" s="2"/>
      <c r="S56" s="2"/>
      <c r="T56" s="2"/>
      <c r="U56" s="2"/>
    </row>
    <row r="57" spans="1:21" ht="12.75" customHeight="1" x14ac:dyDescent="0.2">
      <c r="A57" s="2"/>
      <c r="B57" s="2"/>
      <c r="C57" s="2"/>
      <c r="D57" s="2"/>
      <c r="E57" s="2"/>
      <c r="F57" s="2"/>
      <c r="G57" s="2"/>
      <c r="H57" s="2"/>
      <c r="I57" s="2"/>
      <c r="J57" s="2"/>
      <c r="K57" s="2"/>
      <c r="L57" s="2"/>
      <c r="M57" s="2"/>
      <c r="N57" s="2"/>
      <c r="O57" s="2"/>
      <c r="P57" s="2"/>
      <c r="Q57" s="2"/>
      <c r="R57" s="2"/>
      <c r="S57" s="2"/>
      <c r="T57" s="2"/>
      <c r="U57" s="2"/>
    </row>
    <row r="58" spans="1:21" ht="12.75" customHeight="1" x14ac:dyDescent="0.2">
      <c r="A58" s="2"/>
      <c r="B58" s="2"/>
      <c r="C58" s="2"/>
      <c r="D58" s="2"/>
      <c r="E58" s="2"/>
      <c r="F58" s="2"/>
      <c r="G58" s="2"/>
      <c r="H58" s="2"/>
      <c r="I58" s="2"/>
      <c r="J58" s="2"/>
      <c r="K58" s="2"/>
      <c r="L58" s="2"/>
      <c r="M58" s="2"/>
      <c r="N58" s="2"/>
      <c r="O58" s="2"/>
      <c r="P58" s="2"/>
      <c r="Q58" s="2"/>
      <c r="R58" s="2"/>
      <c r="S58" s="2"/>
      <c r="T58" s="2"/>
      <c r="U58" s="2"/>
    </row>
    <row r="59" spans="1:21" ht="12.75" customHeight="1" x14ac:dyDescent="0.2">
      <c r="A59" s="2"/>
      <c r="B59" s="2"/>
      <c r="C59" s="2"/>
      <c r="D59" s="2"/>
      <c r="E59" s="2"/>
      <c r="F59" s="2"/>
      <c r="G59" s="2"/>
      <c r="H59" s="2"/>
      <c r="I59" s="2"/>
      <c r="J59" s="2"/>
      <c r="K59" s="2"/>
      <c r="L59" s="2"/>
      <c r="M59" s="2"/>
      <c r="N59" s="2"/>
      <c r="O59" s="2"/>
      <c r="P59" s="2"/>
      <c r="Q59" s="2"/>
      <c r="R59" s="2"/>
      <c r="S59" s="2"/>
      <c r="T59" s="2"/>
      <c r="U59" s="2"/>
    </row>
    <row r="60" spans="1:21" ht="12.75" customHeight="1" x14ac:dyDescent="0.2">
      <c r="A60" s="2"/>
      <c r="B60" s="2"/>
      <c r="C60" s="2"/>
      <c r="D60" s="2"/>
      <c r="E60" s="2"/>
      <c r="F60" s="2"/>
      <c r="G60" s="2"/>
      <c r="H60" s="2"/>
      <c r="I60" s="2"/>
      <c r="J60" s="2"/>
      <c r="K60" s="2"/>
      <c r="L60" s="2"/>
      <c r="M60" s="2"/>
      <c r="N60" s="2"/>
      <c r="O60" s="2"/>
      <c r="P60" s="2"/>
      <c r="Q60" s="2"/>
      <c r="R60" s="2"/>
      <c r="S60" s="2"/>
      <c r="T60" s="2"/>
      <c r="U60" s="2"/>
    </row>
    <row r="61" spans="1:21" ht="12.75" customHeight="1" x14ac:dyDescent="0.2">
      <c r="A61" s="2"/>
      <c r="B61" s="2"/>
      <c r="C61" s="2"/>
      <c r="D61" s="2"/>
      <c r="E61" s="2"/>
      <c r="F61" s="2"/>
      <c r="G61" s="2"/>
      <c r="H61" s="2"/>
      <c r="I61" s="2"/>
      <c r="J61" s="2"/>
      <c r="K61" s="2"/>
      <c r="L61" s="2"/>
      <c r="M61" s="2"/>
      <c r="N61" s="2"/>
      <c r="O61" s="2"/>
      <c r="P61" s="2"/>
      <c r="Q61" s="2"/>
      <c r="R61" s="2"/>
      <c r="S61" s="2"/>
      <c r="T61" s="2"/>
      <c r="U61" s="2"/>
    </row>
    <row r="62" spans="1:21" ht="12.75" customHeight="1" x14ac:dyDescent="0.2">
      <c r="A62" s="2"/>
      <c r="B62" s="2"/>
      <c r="C62" s="2"/>
      <c r="D62" s="2"/>
      <c r="E62" s="2"/>
      <c r="F62" s="2"/>
      <c r="G62" s="2"/>
      <c r="H62" s="2"/>
      <c r="I62" s="2"/>
      <c r="J62" s="2"/>
      <c r="K62" s="2"/>
      <c r="L62" s="2"/>
      <c r="M62" s="2"/>
      <c r="N62" s="2"/>
      <c r="O62" s="2"/>
      <c r="P62" s="2"/>
      <c r="Q62" s="2"/>
      <c r="R62" s="2"/>
      <c r="S62" s="2"/>
      <c r="T62" s="2"/>
      <c r="U62" s="2"/>
    </row>
    <row r="63" spans="1:21" ht="12.75" customHeight="1" x14ac:dyDescent="0.2">
      <c r="A63" s="2"/>
      <c r="B63" s="2"/>
      <c r="C63" s="2"/>
      <c r="D63" s="2"/>
      <c r="E63" s="2"/>
      <c r="F63" s="2"/>
      <c r="G63" s="2"/>
      <c r="H63" s="2"/>
      <c r="I63" s="2"/>
      <c r="J63" s="2"/>
      <c r="K63" s="2"/>
      <c r="L63" s="2"/>
      <c r="M63" s="2"/>
      <c r="N63" s="2"/>
      <c r="O63" s="2"/>
      <c r="P63" s="2"/>
      <c r="Q63" s="2"/>
      <c r="R63" s="2"/>
      <c r="S63" s="2"/>
      <c r="T63" s="2"/>
      <c r="U63" s="2"/>
    </row>
    <row r="64" spans="1:21" ht="12.75" customHeight="1" x14ac:dyDescent="0.2">
      <c r="A64" s="2"/>
      <c r="B64" s="2"/>
      <c r="C64" s="2"/>
      <c r="D64" s="2"/>
      <c r="E64" s="2"/>
      <c r="F64" s="2"/>
      <c r="G64" s="2"/>
      <c r="H64" s="2"/>
      <c r="I64" s="2"/>
      <c r="J64" s="2"/>
      <c r="K64" s="2"/>
      <c r="L64" s="2"/>
      <c r="M64" s="2"/>
      <c r="N64" s="2"/>
      <c r="O64" s="2"/>
      <c r="P64" s="2"/>
      <c r="Q64" s="2"/>
      <c r="R64" s="2"/>
      <c r="S64" s="2"/>
      <c r="T64" s="2"/>
      <c r="U64" s="2"/>
    </row>
    <row r="65" spans="1:21" ht="12.75" customHeight="1" x14ac:dyDescent="0.2">
      <c r="A65" s="2"/>
      <c r="B65" s="2"/>
      <c r="C65" s="2"/>
      <c r="D65" s="2"/>
      <c r="E65" s="2"/>
      <c r="F65" s="2"/>
      <c r="G65" s="2"/>
      <c r="H65" s="2"/>
      <c r="I65" s="2"/>
      <c r="J65" s="2"/>
      <c r="K65" s="2"/>
      <c r="L65" s="2"/>
      <c r="M65" s="2"/>
      <c r="N65" s="2"/>
      <c r="O65" s="2"/>
      <c r="P65" s="2"/>
      <c r="Q65" s="2"/>
      <c r="R65" s="2"/>
      <c r="S65" s="2"/>
      <c r="T65" s="2"/>
      <c r="U65" s="2"/>
    </row>
    <row r="66" spans="1:21" ht="12.75" customHeight="1" x14ac:dyDescent="0.2">
      <c r="A66" s="2"/>
      <c r="B66" s="2"/>
      <c r="C66" s="2"/>
      <c r="D66" s="2"/>
      <c r="E66" s="2"/>
      <c r="F66" s="2"/>
      <c r="G66" s="2"/>
      <c r="H66" s="2"/>
      <c r="I66" s="2"/>
      <c r="J66" s="2"/>
      <c r="K66" s="2"/>
      <c r="L66" s="2"/>
      <c r="M66" s="2"/>
      <c r="N66" s="2"/>
      <c r="O66" s="2"/>
      <c r="P66" s="2"/>
      <c r="Q66" s="2"/>
      <c r="R66" s="2"/>
      <c r="S66" s="2"/>
      <c r="T66" s="2"/>
      <c r="U66" s="2"/>
    </row>
    <row r="67" spans="1:21" ht="12.75" customHeight="1" x14ac:dyDescent="0.2">
      <c r="A67" s="2"/>
      <c r="B67" s="2"/>
      <c r="C67" s="2"/>
      <c r="D67" s="2"/>
      <c r="E67" s="2"/>
      <c r="F67" s="2"/>
      <c r="G67" s="2"/>
      <c r="H67" s="2"/>
      <c r="I67" s="2"/>
      <c r="J67" s="2"/>
      <c r="K67" s="2"/>
      <c r="L67" s="2"/>
      <c r="M67" s="2"/>
      <c r="N67" s="2"/>
      <c r="O67" s="2"/>
      <c r="P67" s="2"/>
      <c r="Q67" s="2"/>
      <c r="R67" s="2"/>
      <c r="S67" s="2"/>
      <c r="T67" s="2"/>
      <c r="U67" s="2"/>
    </row>
    <row r="68" spans="1:21" ht="12.75" customHeight="1" x14ac:dyDescent="0.2">
      <c r="A68" s="2"/>
      <c r="B68" s="2"/>
      <c r="C68" s="2"/>
      <c r="D68" s="2"/>
      <c r="E68" s="2"/>
      <c r="F68" s="2"/>
      <c r="G68" s="2"/>
      <c r="H68" s="2"/>
      <c r="I68" s="2"/>
      <c r="J68" s="2"/>
      <c r="K68" s="2"/>
      <c r="L68" s="2"/>
      <c r="M68" s="2"/>
      <c r="N68" s="2"/>
      <c r="O68" s="2"/>
      <c r="P68" s="2"/>
      <c r="Q68" s="2"/>
      <c r="R68" s="2"/>
      <c r="S68" s="2"/>
      <c r="T68" s="2"/>
      <c r="U68" s="2"/>
    </row>
    <row r="69" spans="1:21" ht="12.75" customHeight="1" x14ac:dyDescent="0.2">
      <c r="A69" s="2"/>
      <c r="B69" s="2"/>
      <c r="C69" s="2"/>
      <c r="D69" s="2"/>
      <c r="E69" s="2"/>
      <c r="F69" s="2"/>
      <c r="G69" s="2"/>
      <c r="H69" s="2"/>
      <c r="I69" s="2"/>
      <c r="J69" s="2"/>
      <c r="K69" s="2"/>
      <c r="L69" s="2"/>
      <c r="M69" s="2"/>
      <c r="N69" s="2"/>
      <c r="O69" s="2"/>
      <c r="P69" s="2"/>
      <c r="Q69" s="2"/>
      <c r="R69" s="2"/>
      <c r="S69" s="2"/>
      <c r="T69" s="2"/>
      <c r="U69" s="2"/>
    </row>
    <row r="70" spans="1:21" ht="12.75" customHeight="1" x14ac:dyDescent="0.2">
      <c r="A70" s="2"/>
      <c r="B70" s="2"/>
      <c r="C70" s="2"/>
      <c r="D70" s="2"/>
      <c r="E70" s="2"/>
      <c r="F70" s="2"/>
      <c r="G70" s="2"/>
      <c r="H70" s="2"/>
      <c r="I70" s="2"/>
      <c r="J70" s="2"/>
      <c r="K70" s="2"/>
      <c r="L70" s="2"/>
      <c r="M70" s="2"/>
      <c r="N70" s="2"/>
      <c r="O70" s="2"/>
      <c r="P70" s="2"/>
      <c r="Q70" s="2"/>
      <c r="R70" s="2"/>
      <c r="S70" s="2"/>
      <c r="T70" s="2"/>
      <c r="U70" s="2"/>
    </row>
    <row r="71" spans="1:21" ht="12.75" customHeight="1" x14ac:dyDescent="0.2">
      <c r="A71" s="2"/>
      <c r="B71" s="2"/>
      <c r="C71" s="2"/>
      <c r="D71" s="2"/>
      <c r="E71" s="2"/>
      <c r="F71" s="2"/>
      <c r="G71" s="2"/>
      <c r="H71" s="2"/>
      <c r="I71" s="2"/>
      <c r="J71" s="2"/>
      <c r="K71" s="2"/>
      <c r="L71" s="2"/>
      <c r="M71" s="2"/>
      <c r="N71" s="2"/>
      <c r="O71" s="2"/>
      <c r="P71" s="2"/>
      <c r="Q71" s="2"/>
      <c r="R71" s="2"/>
      <c r="S71" s="2"/>
      <c r="T71" s="2"/>
      <c r="U71" s="2"/>
    </row>
    <row r="72" spans="1:21" ht="12.75" customHeight="1" x14ac:dyDescent="0.2">
      <c r="A72" s="2"/>
      <c r="B72" s="2"/>
      <c r="C72" s="2"/>
      <c r="D72" s="2"/>
      <c r="E72" s="2"/>
      <c r="F72" s="2"/>
      <c r="G72" s="2"/>
      <c r="H72" s="2"/>
      <c r="I72" s="2"/>
      <c r="J72" s="2"/>
      <c r="K72" s="2"/>
      <c r="L72" s="2"/>
      <c r="M72" s="2"/>
      <c r="N72" s="2"/>
      <c r="O72" s="2"/>
      <c r="P72" s="2"/>
      <c r="Q72" s="2"/>
      <c r="R72" s="2"/>
      <c r="S72" s="2"/>
      <c r="T72" s="2"/>
      <c r="U72" s="2"/>
    </row>
    <row r="73" spans="1:21" ht="12.75" customHeight="1" x14ac:dyDescent="0.2">
      <c r="A73" s="2"/>
      <c r="B73" s="2"/>
      <c r="C73" s="2"/>
      <c r="D73" s="2"/>
      <c r="E73" s="2"/>
      <c r="F73" s="2"/>
      <c r="G73" s="2"/>
      <c r="H73" s="2"/>
      <c r="I73" s="2"/>
      <c r="J73" s="2"/>
      <c r="K73" s="2"/>
      <c r="L73" s="2"/>
      <c r="M73" s="2"/>
      <c r="N73" s="2"/>
      <c r="O73" s="2"/>
      <c r="P73" s="2"/>
      <c r="Q73" s="2"/>
      <c r="R73" s="2"/>
      <c r="S73" s="2"/>
      <c r="T73" s="2"/>
      <c r="U73" s="2"/>
    </row>
    <row r="74" spans="1:21" ht="12.75" customHeight="1" x14ac:dyDescent="0.2">
      <c r="A74" s="2"/>
      <c r="B74" s="2"/>
      <c r="C74" s="2"/>
      <c r="D74" s="2"/>
      <c r="E74" s="2"/>
      <c r="F74" s="2"/>
      <c r="G74" s="2"/>
      <c r="H74" s="2"/>
      <c r="I74" s="2"/>
      <c r="J74" s="2"/>
      <c r="K74" s="2"/>
      <c r="L74" s="2"/>
      <c r="M74" s="2"/>
      <c r="N74" s="2"/>
      <c r="O74" s="2"/>
      <c r="P74" s="2"/>
      <c r="Q74" s="2"/>
      <c r="R74" s="2"/>
      <c r="S74" s="2"/>
      <c r="T74" s="2"/>
      <c r="U74" s="2"/>
    </row>
    <row r="75" spans="1:21" ht="12.75" customHeight="1" x14ac:dyDescent="0.2">
      <c r="A75" s="2"/>
      <c r="B75" s="2"/>
      <c r="C75" s="2"/>
      <c r="D75" s="2"/>
      <c r="E75" s="2"/>
      <c r="F75" s="2"/>
      <c r="G75" s="2"/>
      <c r="H75" s="2"/>
      <c r="I75" s="2"/>
      <c r="J75" s="2"/>
      <c r="K75" s="2"/>
      <c r="L75" s="2"/>
      <c r="M75" s="2"/>
      <c r="N75" s="2"/>
      <c r="O75" s="2"/>
      <c r="P75" s="2"/>
      <c r="Q75" s="2"/>
      <c r="R75" s="2"/>
      <c r="S75" s="2"/>
      <c r="T75" s="2"/>
      <c r="U75" s="2"/>
    </row>
    <row r="76" spans="1:21" ht="12.75" customHeight="1" x14ac:dyDescent="0.2">
      <c r="A76" s="2"/>
      <c r="B76" s="2"/>
      <c r="C76" s="2"/>
      <c r="D76" s="2"/>
      <c r="E76" s="2"/>
      <c r="F76" s="2"/>
      <c r="G76" s="2"/>
      <c r="H76" s="2"/>
      <c r="I76" s="2"/>
      <c r="J76" s="2"/>
      <c r="K76" s="2"/>
      <c r="L76" s="2"/>
      <c r="M76" s="2"/>
      <c r="N76" s="2"/>
      <c r="O76" s="2"/>
      <c r="P76" s="2"/>
      <c r="Q76" s="2"/>
      <c r="R76" s="2"/>
      <c r="S76" s="2"/>
      <c r="T76" s="2"/>
      <c r="U76" s="2"/>
    </row>
    <row r="77" spans="1:21" ht="12.75" customHeight="1" x14ac:dyDescent="0.2">
      <c r="A77" s="2"/>
      <c r="B77" s="2"/>
      <c r="C77" s="2"/>
      <c r="D77" s="2"/>
      <c r="E77" s="2"/>
      <c r="F77" s="2"/>
      <c r="G77" s="2"/>
      <c r="H77" s="2"/>
      <c r="I77" s="2"/>
      <c r="J77" s="2"/>
      <c r="K77" s="2"/>
      <c r="L77" s="2"/>
      <c r="M77" s="2"/>
      <c r="N77" s="2"/>
      <c r="O77" s="2"/>
      <c r="P77" s="2"/>
      <c r="Q77" s="2"/>
      <c r="R77" s="2"/>
      <c r="S77" s="2"/>
      <c r="T77" s="2"/>
      <c r="U77" s="2"/>
    </row>
    <row r="78" spans="1:21" ht="12.75" customHeight="1" x14ac:dyDescent="0.2">
      <c r="A78" s="2"/>
      <c r="B78" s="2"/>
      <c r="C78" s="2"/>
      <c r="D78" s="2"/>
      <c r="E78" s="2"/>
      <c r="F78" s="2"/>
      <c r="G78" s="2"/>
      <c r="H78" s="2"/>
      <c r="I78" s="2"/>
      <c r="J78" s="2"/>
      <c r="K78" s="2"/>
      <c r="L78" s="2"/>
      <c r="M78" s="2"/>
      <c r="N78" s="2"/>
      <c r="O78" s="2"/>
      <c r="P78" s="2"/>
      <c r="Q78" s="2"/>
      <c r="R78" s="2"/>
      <c r="S78" s="2"/>
      <c r="T78" s="2"/>
      <c r="U78" s="2"/>
    </row>
    <row r="79" spans="1:21" ht="12.75" customHeight="1" x14ac:dyDescent="0.2">
      <c r="A79" s="2"/>
      <c r="B79" s="2"/>
      <c r="C79" s="2"/>
      <c r="D79" s="2"/>
      <c r="E79" s="2"/>
      <c r="F79" s="2"/>
      <c r="G79" s="2"/>
      <c r="H79" s="2"/>
      <c r="I79" s="2"/>
      <c r="J79" s="2"/>
      <c r="K79" s="2"/>
      <c r="L79" s="2"/>
      <c r="M79" s="2"/>
      <c r="N79" s="2"/>
      <c r="O79" s="2"/>
      <c r="P79" s="2"/>
      <c r="Q79" s="2"/>
      <c r="R79" s="2"/>
      <c r="S79" s="2"/>
      <c r="T79" s="2"/>
      <c r="U79" s="2"/>
    </row>
    <row r="80" spans="1:21" ht="12.75" customHeight="1" x14ac:dyDescent="0.2">
      <c r="A80" s="2"/>
      <c r="B80" s="2"/>
      <c r="C80" s="2"/>
      <c r="D80" s="2"/>
      <c r="E80" s="2"/>
      <c r="F80" s="2"/>
      <c r="G80" s="2"/>
      <c r="H80" s="2"/>
      <c r="I80" s="2"/>
      <c r="J80" s="2"/>
      <c r="K80" s="2"/>
      <c r="L80" s="2"/>
      <c r="M80" s="2"/>
      <c r="N80" s="2"/>
      <c r="O80" s="2"/>
      <c r="P80" s="2"/>
      <c r="Q80" s="2"/>
      <c r="R80" s="2"/>
      <c r="S80" s="2"/>
      <c r="T80" s="2"/>
      <c r="U80" s="2"/>
    </row>
    <row r="81" spans="1:21" ht="12.75" customHeight="1" x14ac:dyDescent="0.2">
      <c r="A81" s="2"/>
      <c r="B81" s="2"/>
      <c r="C81" s="2"/>
      <c r="D81" s="2"/>
      <c r="E81" s="2"/>
      <c r="F81" s="2"/>
      <c r="G81" s="2"/>
      <c r="H81" s="2"/>
      <c r="I81" s="2"/>
      <c r="J81" s="2"/>
      <c r="K81" s="2"/>
      <c r="L81" s="2"/>
      <c r="M81" s="2"/>
      <c r="N81" s="2"/>
      <c r="O81" s="2"/>
      <c r="P81" s="2"/>
      <c r="Q81" s="2"/>
      <c r="R81" s="2"/>
      <c r="S81" s="2"/>
      <c r="T81" s="2"/>
      <c r="U81" s="2"/>
    </row>
    <row r="82" spans="1:21" ht="12.75" customHeight="1" x14ac:dyDescent="0.2">
      <c r="A82" s="2"/>
      <c r="B82" s="2"/>
      <c r="C82" s="2"/>
      <c r="D82" s="2"/>
      <c r="E82" s="2"/>
      <c r="F82" s="2"/>
      <c r="G82" s="2"/>
      <c r="H82" s="2"/>
      <c r="I82" s="2"/>
      <c r="J82" s="2"/>
      <c r="K82" s="2"/>
      <c r="L82" s="2"/>
      <c r="M82" s="2"/>
      <c r="N82" s="2"/>
      <c r="O82" s="2"/>
      <c r="P82" s="2"/>
      <c r="Q82" s="2"/>
      <c r="R82" s="2"/>
      <c r="S82" s="2"/>
      <c r="T82" s="2"/>
      <c r="U82" s="2"/>
    </row>
    <row r="83" spans="1:21" ht="12.75" customHeight="1" x14ac:dyDescent="0.2">
      <c r="A83" s="2"/>
      <c r="B83" s="2"/>
      <c r="C83" s="2"/>
      <c r="D83" s="2"/>
      <c r="E83" s="2"/>
      <c r="F83" s="2"/>
      <c r="G83" s="2"/>
      <c r="H83" s="2"/>
      <c r="I83" s="2"/>
      <c r="J83" s="2"/>
      <c r="K83" s="2"/>
      <c r="L83" s="2"/>
      <c r="M83" s="2"/>
      <c r="N83" s="2"/>
      <c r="O83" s="2"/>
      <c r="P83" s="2"/>
      <c r="Q83" s="2"/>
      <c r="R83" s="2"/>
      <c r="S83" s="2"/>
      <c r="T83" s="2"/>
      <c r="U83" s="2"/>
    </row>
    <row r="84" spans="1:21" ht="12.75" customHeight="1" x14ac:dyDescent="0.2">
      <c r="A84" s="2"/>
      <c r="B84" s="2"/>
      <c r="C84" s="2"/>
      <c r="D84" s="2"/>
      <c r="E84" s="2"/>
      <c r="F84" s="2"/>
      <c r="G84" s="2"/>
      <c r="H84" s="2"/>
      <c r="I84" s="2"/>
      <c r="J84" s="2"/>
      <c r="K84" s="2"/>
      <c r="L84" s="2"/>
      <c r="M84" s="2"/>
      <c r="N84" s="2"/>
      <c r="O84" s="2"/>
      <c r="P84" s="2"/>
      <c r="Q84" s="2"/>
      <c r="R84" s="2"/>
      <c r="S84" s="2"/>
      <c r="T84" s="2"/>
      <c r="U84" s="2"/>
    </row>
    <row r="85" spans="1:21" ht="12.75" customHeight="1" x14ac:dyDescent="0.2">
      <c r="A85" s="2"/>
      <c r="B85" s="2"/>
      <c r="C85" s="2"/>
      <c r="D85" s="2"/>
      <c r="E85" s="2"/>
      <c r="F85" s="2"/>
      <c r="G85" s="2"/>
      <c r="H85" s="2"/>
      <c r="I85" s="2"/>
      <c r="J85" s="2"/>
      <c r="K85" s="2"/>
      <c r="L85" s="2"/>
      <c r="M85" s="2"/>
      <c r="N85" s="2"/>
      <c r="O85" s="2"/>
      <c r="P85" s="2"/>
      <c r="Q85" s="2"/>
      <c r="R85" s="2"/>
      <c r="S85" s="2"/>
      <c r="T85" s="2"/>
      <c r="U85" s="2"/>
    </row>
    <row r="86" spans="1:21" ht="12.75" customHeight="1" x14ac:dyDescent="0.2">
      <c r="A86" s="2"/>
      <c r="B86" s="2"/>
      <c r="C86" s="2"/>
      <c r="D86" s="2"/>
      <c r="E86" s="2"/>
      <c r="F86" s="2"/>
      <c r="G86" s="2"/>
      <c r="H86" s="2"/>
      <c r="I86" s="2"/>
      <c r="J86" s="2"/>
      <c r="K86" s="2"/>
      <c r="L86" s="2"/>
      <c r="M86" s="2"/>
      <c r="N86" s="2"/>
      <c r="O86" s="2"/>
      <c r="P86" s="2"/>
      <c r="Q86" s="2"/>
      <c r="R86" s="2"/>
      <c r="S86" s="2"/>
      <c r="T86" s="2"/>
      <c r="U86" s="2"/>
    </row>
    <row r="87" spans="1:21" ht="12.75" customHeight="1" x14ac:dyDescent="0.2">
      <c r="A87" s="2"/>
      <c r="B87" s="2"/>
      <c r="C87" s="2"/>
      <c r="D87" s="2"/>
      <c r="E87" s="2"/>
      <c r="F87" s="2"/>
      <c r="G87" s="2"/>
      <c r="H87" s="2"/>
      <c r="I87" s="2"/>
      <c r="J87" s="2"/>
      <c r="K87" s="2"/>
      <c r="L87" s="2"/>
      <c r="M87" s="2"/>
      <c r="N87" s="2"/>
      <c r="O87" s="2"/>
      <c r="P87" s="2"/>
      <c r="Q87" s="2"/>
      <c r="R87" s="2"/>
      <c r="S87" s="2"/>
      <c r="T87" s="2"/>
      <c r="U87" s="2"/>
    </row>
    <row r="88" spans="1:21" ht="12.75" customHeight="1" x14ac:dyDescent="0.2">
      <c r="A88" s="2"/>
      <c r="B88" s="2"/>
      <c r="C88" s="2"/>
      <c r="D88" s="2"/>
      <c r="E88" s="2"/>
      <c r="F88" s="2"/>
      <c r="G88" s="2"/>
      <c r="H88" s="2"/>
      <c r="I88" s="2"/>
      <c r="J88" s="2"/>
      <c r="K88" s="2"/>
      <c r="L88" s="2"/>
      <c r="M88" s="2"/>
      <c r="N88" s="2"/>
      <c r="O88" s="2"/>
      <c r="P88" s="2"/>
      <c r="Q88" s="2"/>
      <c r="R88" s="2"/>
      <c r="S88" s="2"/>
      <c r="T88" s="2"/>
      <c r="U88" s="2"/>
    </row>
    <row r="89" spans="1:21" ht="12.75" customHeight="1" x14ac:dyDescent="0.2">
      <c r="A89" s="2"/>
      <c r="B89" s="2"/>
      <c r="C89" s="2"/>
      <c r="D89" s="2"/>
      <c r="E89" s="2"/>
      <c r="F89" s="2"/>
      <c r="G89" s="2"/>
      <c r="H89" s="2"/>
      <c r="I89" s="2"/>
      <c r="J89" s="2"/>
      <c r="K89" s="2"/>
      <c r="L89" s="2"/>
      <c r="M89" s="2"/>
      <c r="N89" s="2"/>
      <c r="O89" s="2"/>
      <c r="P89" s="2"/>
      <c r="Q89" s="2"/>
      <c r="R89" s="2"/>
      <c r="S89" s="2"/>
      <c r="T89" s="2"/>
      <c r="U89" s="2"/>
    </row>
    <row r="90" spans="1:21" ht="12.75" customHeight="1" x14ac:dyDescent="0.2">
      <c r="A90" s="2"/>
      <c r="B90" s="2"/>
      <c r="C90" s="2"/>
      <c r="D90" s="2"/>
      <c r="E90" s="2"/>
      <c r="F90" s="2"/>
      <c r="G90" s="2"/>
      <c r="H90" s="2"/>
      <c r="I90" s="2"/>
      <c r="J90" s="2"/>
      <c r="K90" s="2"/>
      <c r="L90" s="2"/>
      <c r="M90" s="2"/>
      <c r="N90" s="2"/>
      <c r="O90" s="2"/>
      <c r="P90" s="2"/>
      <c r="Q90" s="2"/>
      <c r="R90" s="2"/>
      <c r="S90" s="2"/>
      <c r="T90" s="2"/>
      <c r="U90" s="2"/>
    </row>
    <row r="91" spans="1:21" ht="12.75" customHeight="1" x14ac:dyDescent="0.2">
      <c r="A91" s="2"/>
      <c r="B91" s="2"/>
      <c r="C91" s="2"/>
      <c r="D91" s="2"/>
      <c r="E91" s="2"/>
      <c r="F91" s="2"/>
      <c r="G91" s="2"/>
      <c r="H91" s="2"/>
      <c r="I91" s="2"/>
      <c r="J91" s="2"/>
      <c r="K91" s="2"/>
      <c r="L91" s="2"/>
      <c r="M91" s="2"/>
      <c r="N91" s="2"/>
      <c r="O91" s="2"/>
      <c r="P91" s="2"/>
      <c r="Q91" s="2"/>
      <c r="R91" s="2"/>
      <c r="S91" s="2"/>
      <c r="T91" s="2"/>
      <c r="U91" s="2"/>
    </row>
    <row r="92" spans="1:21" ht="12.75" customHeight="1" x14ac:dyDescent="0.2">
      <c r="A92" s="2"/>
      <c r="B92" s="2"/>
      <c r="C92" s="2"/>
      <c r="D92" s="2"/>
      <c r="E92" s="2"/>
      <c r="F92" s="2"/>
      <c r="G92" s="2"/>
      <c r="H92" s="2"/>
      <c r="I92" s="2"/>
      <c r="J92" s="2"/>
      <c r="K92" s="2"/>
      <c r="L92" s="2"/>
      <c r="M92" s="2"/>
      <c r="N92" s="2"/>
      <c r="O92" s="2"/>
      <c r="P92" s="2"/>
      <c r="Q92" s="2"/>
      <c r="R92" s="2"/>
      <c r="S92" s="2"/>
      <c r="T92" s="2"/>
      <c r="U92" s="2"/>
    </row>
    <row r="93" spans="1:21" ht="12.75" customHeight="1" x14ac:dyDescent="0.2">
      <c r="A93" s="2"/>
      <c r="B93" s="2"/>
      <c r="C93" s="2"/>
      <c r="D93" s="2"/>
      <c r="E93" s="2"/>
      <c r="F93" s="2"/>
      <c r="G93" s="2"/>
      <c r="H93" s="2"/>
      <c r="I93" s="2"/>
      <c r="J93" s="2"/>
      <c r="K93" s="2"/>
      <c r="L93" s="2"/>
      <c r="M93" s="2"/>
      <c r="N93" s="2"/>
      <c r="O93" s="2"/>
      <c r="P93" s="2"/>
      <c r="Q93" s="2"/>
      <c r="R93" s="2"/>
      <c r="S93" s="2"/>
      <c r="T93" s="2"/>
      <c r="U93" s="2"/>
    </row>
    <row r="94" spans="1:21" ht="12.75" customHeight="1" x14ac:dyDescent="0.2">
      <c r="A94" s="2"/>
      <c r="B94" s="2"/>
      <c r="C94" s="2"/>
      <c r="D94" s="2"/>
      <c r="E94" s="2"/>
      <c r="F94" s="2"/>
      <c r="G94" s="2"/>
      <c r="H94" s="2"/>
      <c r="I94" s="2"/>
      <c r="J94" s="2"/>
      <c r="K94" s="2"/>
      <c r="L94" s="2"/>
      <c r="M94" s="2"/>
      <c r="N94" s="2"/>
      <c r="O94" s="2"/>
      <c r="P94" s="2"/>
      <c r="Q94" s="2"/>
      <c r="R94" s="2"/>
      <c r="S94" s="2"/>
      <c r="T94" s="2"/>
      <c r="U94" s="2"/>
    </row>
    <row r="95" spans="1:21" ht="12.75" customHeight="1" x14ac:dyDescent="0.2">
      <c r="A95" s="2"/>
      <c r="B95" s="2"/>
      <c r="C95" s="2"/>
      <c r="D95" s="2"/>
      <c r="E95" s="2"/>
      <c r="F95" s="2"/>
      <c r="G95" s="2"/>
      <c r="H95" s="2"/>
      <c r="I95" s="2"/>
      <c r="J95" s="2"/>
      <c r="K95" s="2"/>
      <c r="L95" s="2"/>
      <c r="M95" s="2"/>
      <c r="N95" s="2"/>
      <c r="O95" s="2"/>
      <c r="P95" s="2"/>
      <c r="Q95" s="2"/>
      <c r="R95" s="2"/>
      <c r="S95" s="2"/>
      <c r="T95" s="2"/>
      <c r="U95" s="2"/>
    </row>
    <row r="96" spans="1:21" ht="12.75" customHeight="1" x14ac:dyDescent="0.2">
      <c r="A96" s="2"/>
      <c r="B96" s="2"/>
      <c r="C96" s="2"/>
      <c r="D96" s="2"/>
      <c r="E96" s="2"/>
      <c r="F96" s="2"/>
      <c r="G96" s="2"/>
      <c r="H96" s="2"/>
      <c r="I96" s="2"/>
      <c r="J96" s="2"/>
      <c r="K96" s="2"/>
      <c r="L96" s="2"/>
      <c r="M96" s="2"/>
      <c r="N96" s="2"/>
      <c r="O96" s="2"/>
      <c r="P96" s="2"/>
      <c r="Q96" s="2"/>
      <c r="R96" s="2"/>
      <c r="S96" s="2"/>
      <c r="T96" s="2"/>
      <c r="U96" s="2"/>
    </row>
    <row r="97" spans="1:21" ht="12.75" customHeight="1" x14ac:dyDescent="0.2">
      <c r="A97" s="2"/>
      <c r="B97" s="2"/>
      <c r="C97" s="2"/>
      <c r="D97" s="2"/>
      <c r="E97" s="2"/>
      <c r="F97" s="2"/>
      <c r="G97" s="2"/>
      <c r="H97" s="2"/>
      <c r="I97" s="2"/>
      <c r="J97" s="2"/>
      <c r="K97" s="2"/>
      <c r="L97" s="2"/>
      <c r="M97" s="2"/>
      <c r="N97" s="2"/>
      <c r="O97" s="2"/>
      <c r="P97" s="2"/>
      <c r="Q97" s="2"/>
      <c r="R97" s="2"/>
      <c r="S97" s="2"/>
      <c r="T97" s="2"/>
      <c r="U97" s="2"/>
    </row>
    <row r="98" spans="1:21" ht="12.75" customHeight="1" x14ac:dyDescent="0.2">
      <c r="A98" s="2"/>
      <c r="B98" s="2"/>
      <c r="C98" s="2"/>
      <c r="D98" s="2"/>
      <c r="E98" s="2"/>
      <c r="F98" s="2"/>
      <c r="G98" s="2"/>
      <c r="H98" s="2"/>
      <c r="I98" s="2"/>
      <c r="J98" s="2"/>
      <c r="K98" s="2"/>
      <c r="L98" s="2"/>
      <c r="M98" s="2"/>
      <c r="N98" s="2"/>
      <c r="O98" s="2"/>
      <c r="P98" s="2"/>
      <c r="Q98" s="2"/>
      <c r="R98" s="2"/>
      <c r="S98" s="2"/>
      <c r="T98" s="2"/>
      <c r="U98" s="2"/>
    </row>
    <row r="99" spans="1:21" ht="12.75" customHeight="1" x14ac:dyDescent="0.2">
      <c r="A99" s="2"/>
      <c r="B99" s="2"/>
      <c r="C99" s="2"/>
      <c r="D99" s="2"/>
      <c r="E99" s="2"/>
      <c r="F99" s="2"/>
      <c r="G99" s="2"/>
      <c r="H99" s="2"/>
      <c r="I99" s="2"/>
      <c r="J99" s="2"/>
      <c r="K99" s="2"/>
      <c r="L99" s="2"/>
      <c r="M99" s="2"/>
      <c r="N99" s="2"/>
      <c r="O99" s="2"/>
      <c r="P99" s="2"/>
      <c r="Q99" s="2"/>
      <c r="R99" s="2"/>
      <c r="S99" s="2"/>
      <c r="T99" s="2"/>
      <c r="U99" s="2"/>
    </row>
    <row r="100" spans="1:21" ht="12.75" customHeight="1" x14ac:dyDescent="0.2">
      <c r="A100" s="2"/>
      <c r="B100" s="2"/>
      <c r="C100" s="2"/>
      <c r="D100" s="2"/>
      <c r="E100" s="2"/>
      <c r="F100" s="2"/>
      <c r="G100" s="2"/>
      <c r="H100" s="2"/>
      <c r="I100" s="2"/>
      <c r="J100" s="2"/>
      <c r="K100" s="2"/>
      <c r="L100" s="2"/>
      <c r="M100" s="2"/>
      <c r="N100" s="2"/>
      <c r="O100" s="2"/>
      <c r="P100" s="2"/>
      <c r="Q100" s="2"/>
      <c r="R100" s="2"/>
      <c r="S100" s="2"/>
      <c r="T100" s="2"/>
      <c r="U100" s="2"/>
    </row>
    <row r="101" spans="1:21" ht="12.75" customHeight="1" x14ac:dyDescent="0.2">
      <c r="A101" s="2"/>
      <c r="B101" s="2"/>
      <c r="C101" s="2"/>
      <c r="D101" s="2"/>
      <c r="E101" s="2"/>
      <c r="F101" s="2"/>
      <c r="G101" s="2"/>
      <c r="H101" s="2"/>
      <c r="I101" s="2"/>
      <c r="J101" s="2"/>
      <c r="K101" s="2"/>
      <c r="L101" s="2"/>
      <c r="M101" s="2"/>
      <c r="N101" s="2"/>
      <c r="O101" s="2"/>
      <c r="P101" s="2"/>
      <c r="Q101" s="2"/>
      <c r="R101" s="2"/>
      <c r="S101" s="2"/>
      <c r="T101" s="2"/>
      <c r="U101" s="2"/>
    </row>
    <row r="102" spans="1:21" ht="12.75" customHeight="1" x14ac:dyDescent="0.2">
      <c r="A102" s="2"/>
      <c r="B102" s="2"/>
      <c r="C102" s="2"/>
      <c r="D102" s="2"/>
      <c r="E102" s="2"/>
      <c r="F102" s="2"/>
      <c r="G102" s="2"/>
      <c r="H102" s="2"/>
      <c r="I102" s="2"/>
      <c r="J102" s="2"/>
      <c r="K102" s="2"/>
      <c r="L102" s="2"/>
      <c r="M102" s="2"/>
      <c r="N102" s="2"/>
      <c r="O102" s="2"/>
      <c r="P102" s="2"/>
      <c r="Q102" s="2"/>
      <c r="R102" s="2"/>
      <c r="S102" s="2"/>
      <c r="T102" s="2"/>
      <c r="U102" s="2"/>
    </row>
    <row r="103" spans="1:21" ht="12.75" customHeight="1" x14ac:dyDescent="0.2">
      <c r="A103" s="2"/>
      <c r="B103" s="2"/>
      <c r="C103" s="2"/>
      <c r="D103" s="2"/>
      <c r="E103" s="2"/>
      <c r="F103" s="2"/>
      <c r="G103" s="2"/>
      <c r="H103" s="2"/>
      <c r="I103" s="2"/>
      <c r="J103" s="2"/>
      <c r="K103" s="2"/>
      <c r="L103" s="2"/>
      <c r="M103" s="2"/>
      <c r="N103" s="2"/>
      <c r="O103" s="2"/>
      <c r="P103" s="2"/>
      <c r="Q103" s="2"/>
      <c r="R103" s="2"/>
      <c r="S103" s="2"/>
      <c r="T103" s="2"/>
      <c r="U103" s="2"/>
    </row>
    <row r="104" spans="1:21" ht="12.75" customHeight="1" x14ac:dyDescent="0.2">
      <c r="A104" s="2"/>
      <c r="B104" s="2"/>
      <c r="C104" s="2"/>
      <c r="D104" s="2"/>
      <c r="E104" s="2"/>
      <c r="F104" s="2"/>
      <c r="G104" s="2"/>
      <c r="H104" s="2"/>
      <c r="I104" s="2"/>
      <c r="J104" s="2"/>
      <c r="K104" s="2"/>
      <c r="L104" s="2"/>
      <c r="M104" s="2"/>
      <c r="N104" s="2"/>
      <c r="O104" s="2"/>
      <c r="P104" s="2"/>
      <c r="Q104" s="2"/>
      <c r="R104" s="2"/>
      <c r="S104" s="2"/>
      <c r="T104" s="2"/>
      <c r="U104" s="2"/>
    </row>
    <row r="105" spans="1:21" ht="12.75" customHeight="1" x14ac:dyDescent="0.2">
      <c r="A105" s="2"/>
      <c r="B105" s="2"/>
      <c r="C105" s="2"/>
      <c r="D105" s="2"/>
      <c r="E105" s="2"/>
      <c r="F105" s="2"/>
      <c r="G105" s="2"/>
      <c r="H105" s="2"/>
      <c r="I105" s="2"/>
      <c r="J105" s="2"/>
      <c r="K105" s="2"/>
      <c r="L105" s="2"/>
      <c r="M105" s="2"/>
      <c r="N105" s="2"/>
      <c r="O105" s="2"/>
      <c r="P105" s="2"/>
      <c r="Q105" s="2"/>
      <c r="R105" s="2"/>
      <c r="S105" s="2"/>
      <c r="T105" s="2"/>
      <c r="U105" s="2"/>
    </row>
    <row r="106" spans="1:21" ht="12.75" customHeight="1" x14ac:dyDescent="0.2">
      <c r="A106" s="2"/>
      <c r="B106" s="2"/>
      <c r="C106" s="2"/>
      <c r="D106" s="2"/>
      <c r="E106" s="2"/>
      <c r="F106" s="2"/>
      <c r="G106" s="2"/>
      <c r="H106" s="2"/>
      <c r="I106" s="2"/>
      <c r="J106" s="2"/>
      <c r="K106" s="2"/>
      <c r="L106" s="2"/>
      <c r="M106" s="2"/>
      <c r="N106" s="2"/>
      <c r="O106" s="2"/>
      <c r="P106" s="2"/>
      <c r="Q106" s="2"/>
      <c r="R106" s="2"/>
      <c r="S106" s="2"/>
      <c r="T106" s="2"/>
      <c r="U106" s="2"/>
    </row>
    <row r="107" spans="1:21" ht="12.75" customHeight="1" x14ac:dyDescent="0.2">
      <c r="A107" s="2"/>
      <c r="B107" s="2"/>
      <c r="C107" s="2"/>
      <c r="D107" s="2"/>
      <c r="E107" s="2"/>
      <c r="F107" s="2"/>
      <c r="G107" s="2"/>
      <c r="H107" s="2"/>
      <c r="I107" s="2"/>
      <c r="J107" s="2"/>
      <c r="K107" s="2"/>
      <c r="L107" s="2"/>
      <c r="M107" s="2"/>
      <c r="N107" s="2"/>
      <c r="O107" s="2"/>
      <c r="P107" s="2"/>
      <c r="Q107" s="2"/>
      <c r="R107" s="2"/>
      <c r="S107" s="2"/>
      <c r="T107" s="2"/>
      <c r="U107" s="2"/>
    </row>
    <row r="108" spans="1:21" ht="12.75" customHeight="1" x14ac:dyDescent="0.2">
      <c r="A108" s="2"/>
      <c r="B108" s="2"/>
      <c r="C108" s="2"/>
      <c r="D108" s="2"/>
      <c r="E108" s="2"/>
      <c r="F108" s="2"/>
      <c r="G108" s="2"/>
      <c r="H108" s="2"/>
      <c r="I108" s="2"/>
      <c r="J108" s="2"/>
      <c r="K108" s="2"/>
      <c r="L108" s="2"/>
      <c r="M108" s="2"/>
      <c r="N108" s="2"/>
      <c r="O108" s="2"/>
      <c r="P108" s="2"/>
      <c r="Q108" s="2"/>
      <c r="R108" s="2"/>
      <c r="S108" s="2"/>
      <c r="T108" s="2"/>
      <c r="U108" s="2"/>
    </row>
    <row r="109" spans="1:21" ht="12.75" customHeight="1" x14ac:dyDescent="0.2">
      <c r="A109" s="2"/>
      <c r="B109" s="2"/>
      <c r="C109" s="2"/>
      <c r="D109" s="2"/>
      <c r="E109" s="2"/>
      <c r="F109" s="2"/>
      <c r="G109" s="2"/>
      <c r="H109" s="2"/>
      <c r="I109" s="2"/>
      <c r="J109" s="2"/>
      <c r="K109" s="2"/>
      <c r="L109" s="2"/>
      <c r="M109" s="2"/>
      <c r="N109" s="2"/>
      <c r="O109" s="2"/>
      <c r="P109" s="2"/>
      <c r="Q109" s="2"/>
      <c r="R109" s="2"/>
      <c r="S109" s="2"/>
      <c r="T109" s="2"/>
      <c r="U109" s="2"/>
    </row>
    <row r="110" spans="1:21" ht="12.75" customHeight="1" x14ac:dyDescent="0.2">
      <c r="A110" s="2"/>
      <c r="B110" s="2"/>
      <c r="C110" s="2"/>
      <c r="D110" s="2"/>
      <c r="E110" s="2"/>
      <c r="F110" s="2"/>
      <c r="G110" s="2"/>
      <c r="H110" s="2"/>
      <c r="I110" s="2"/>
      <c r="J110" s="2"/>
      <c r="K110" s="2"/>
      <c r="L110" s="2"/>
      <c r="M110" s="2"/>
      <c r="N110" s="2"/>
      <c r="O110" s="2"/>
      <c r="P110" s="2"/>
      <c r="Q110" s="2"/>
      <c r="R110" s="2"/>
      <c r="S110" s="2"/>
      <c r="T110" s="2"/>
      <c r="U110" s="2"/>
    </row>
    <row r="111" spans="1:21" ht="12.75" customHeight="1" x14ac:dyDescent="0.2">
      <c r="A111" s="2"/>
      <c r="B111" s="2"/>
      <c r="C111" s="2"/>
      <c r="D111" s="2"/>
      <c r="E111" s="2"/>
      <c r="F111" s="2"/>
      <c r="G111" s="2"/>
      <c r="H111" s="2"/>
      <c r="I111" s="2"/>
      <c r="J111" s="2"/>
      <c r="K111" s="2"/>
      <c r="L111" s="2"/>
      <c r="M111" s="2"/>
      <c r="N111" s="2"/>
      <c r="O111" s="2"/>
      <c r="P111" s="2"/>
      <c r="Q111" s="2"/>
      <c r="R111" s="2"/>
      <c r="S111" s="2"/>
      <c r="T111" s="2"/>
      <c r="U111" s="2"/>
    </row>
    <row r="112" spans="1:21" ht="12.75" customHeight="1" x14ac:dyDescent="0.2">
      <c r="A112" s="2"/>
      <c r="B112" s="2"/>
      <c r="C112" s="2"/>
      <c r="D112" s="2"/>
      <c r="E112" s="2"/>
      <c r="F112" s="2"/>
      <c r="G112" s="2"/>
      <c r="H112" s="2"/>
      <c r="I112" s="2"/>
      <c r="J112" s="2"/>
      <c r="K112" s="2"/>
      <c r="L112" s="2"/>
      <c r="M112" s="2"/>
      <c r="N112" s="2"/>
      <c r="O112" s="2"/>
      <c r="P112" s="2"/>
      <c r="Q112" s="2"/>
      <c r="R112" s="2"/>
      <c r="S112" s="2"/>
      <c r="T112" s="2"/>
      <c r="U112" s="2"/>
    </row>
    <row r="113" spans="1:21" ht="12.75" customHeight="1" x14ac:dyDescent="0.2">
      <c r="A113" s="2"/>
      <c r="B113" s="2"/>
      <c r="C113" s="2"/>
      <c r="D113" s="2"/>
      <c r="E113" s="2"/>
      <c r="F113" s="2"/>
      <c r="G113" s="2"/>
      <c r="H113" s="2"/>
      <c r="I113" s="2"/>
      <c r="J113" s="2"/>
      <c r="K113" s="2"/>
      <c r="L113" s="2"/>
      <c r="M113" s="2"/>
      <c r="N113" s="2"/>
      <c r="O113" s="2"/>
      <c r="P113" s="2"/>
      <c r="Q113" s="2"/>
      <c r="R113" s="2"/>
      <c r="S113" s="2"/>
      <c r="T113" s="2"/>
      <c r="U113" s="2"/>
    </row>
    <row r="114" spans="1:21" ht="12.75" customHeight="1" x14ac:dyDescent="0.2">
      <c r="A114" s="2"/>
      <c r="B114" s="2"/>
      <c r="C114" s="2"/>
      <c r="D114" s="2"/>
      <c r="E114" s="2"/>
      <c r="F114" s="2"/>
      <c r="G114" s="2"/>
      <c r="H114" s="2"/>
      <c r="I114" s="2"/>
      <c r="J114" s="2"/>
      <c r="K114" s="2"/>
      <c r="L114" s="2"/>
      <c r="M114" s="2"/>
      <c r="N114" s="2"/>
      <c r="O114" s="2"/>
      <c r="P114" s="2"/>
      <c r="Q114" s="2"/>
      <c r="R114" s="2"/>
      <c r="S114" s="2"/>
      <c r="T114" s="2"/>
      <c r="U114" s="2"/>
    </row>
    <row r="115" spans="1:21" ht="12.75" customHeight="1" x14ac:dyDescent="0.2">
      <c r="A115" s="2"/>
      <c r="B115" s="2"/>
      <c r="C115" s="2"/>
      <c r="D115" s="2"/>
      <c r="E115" s="2"/>
      <c r="F115" s="2"/>
      <c r="G115" s="2"/>
      <c r="H115" s="2"/>
      <c r="I115" s="2"/>
      <c r="J115" s="2"/>
      <c r="K115" s="2"/>
      <c r="L115" s="2"/>
      <c r="M115" s="2"/>
      <c r="N115" s="2"/>
      <c r="O115" s="2"/>
      <c r="P115" s="2"/>
      <c r="Q115" s="2"/>
      <c r="R115" s="2"/>
      <c r="S115" s="2"/>
      <c r="T115" s="2"/>
      <c r="U115" s="2"/>
    </row>
    <row r="116" spans="1:21" ht="12.75" customHeight="1" x14ac:dyDescent="0.2">
      <c r="A116" s="2"/>
      <c r="B116" s="2"/>
      <c r="C116" s="2"/>
      <c r="D116" s="2"/>
      <c r="E116" s="2"/>
      <c r="F116" s="2"/>
      <c r="G116" s="2"/>
      <c r="H116" s="2"/>
      <c r="I116" s="2"/>
      <c r="J116" s="2"/>
      <c r="K116" s="2"/>
      <c r="L116" s="2"/>
      <c r="M116" s="2"/>
      <c r="N116" s="2"/>
      <c r="O116" s="2"/>
      <c r="P116" s="2"/>
      <c r="Q116" s="2"/>
      <c r="R116" s="2"/>
      <c r="S116" s="2"/>
      <c r="T116" s="2"/>
      <c r="U116" s="2"/>
    </row>
    <row r="117" spans="1:21" ht="12.75" customHeight="1" x14ac:dyDescent="0.2">
      <c r="A117" s="2"/>
      <c r="B117" s="2"/>
      <c r="C117" s="2"/>
      <c r="D117" s="2"/>
      <c r="E117" s="2"/>
      <c r="F117" s="2"/>
      <c r="G117" s="2"/>
      <c r="H117" s="2"/>
      <c r="I117" s="2"/>
      <c r="J117" s="2"/>
      <c r="K117" s="2"/>
      <c r="L117" s="2"/>
      <c r="M117" s="2"/>
      <c r="N117" s="2"/>
      <c r="O117" s="2"/>
      <c r="P117" s="2"/>
      <c r="Q117" s="2"/>
      <c r="R117" s="2"/>
      <c r="S117" s="2"/>
      <c r="T117" s="2"/>
      <c r="U117" s="2"/>
    </row>
    <row r="118" spans="1:21" ht="12.75" customHeight="1" x14ac:dyDescent="0.2">
      <c r="A118" s="2"/>
      <c r="B118" s="2"/>
      <c r="C118" s="2"/>
      <c r="D118" s="2"/>
      <c r="E118" s="2"/>
      <c r="F118" s="2"/>
      <c r="G118" s="2"/>
      <c r="H118" s="2"/>
      <c r="I118" s="2"/>
      <c r="J118" s="2"/>
      <c r="K118" s="2"/>
      <c r="L118" s="2"/>
      <c r="M118" s="2"/>
      <c r="N118" s="2"/>
      <c r="O118" s="2"/>
      <c r="P118" s="2"/>
      <c r="Q118" s="2"/>
      <c r="R118" s="2"/>
      <c r="S118" s="2"/>
      <c r="T118" s="2"/>
      <c r="U118" s="2"/>
    </row>
    <row r="119" spans="1:21" ht="12.75" customHeight="1" x14ac:dyDescent="0.2">
      <c r="A119" s="2"/>
      <c r="B119" s="2"/>
      <c r="C119" s="2"/>
      <c r="D119" s="2"/>
      <c r="E119" s="2"/>
      <c r="F119" s="2"/>
      <c r="G119" s="2"/>
      <c r="H119" s="2"/>
      <c r="I119" s="2"/>
      <c r="J119" s="2"/>
      <c r="K119" s="2"/>
      <c r="L119" s="2"/>
      <c r="M119" s="2"/>
      <c r="N119" s="2"/>
      <c r="O119" s="2"/>
      <c r="P119" s="2"/>
      <c r="Q119" s="2"/>
      <c r="R119" s="2"/>
      <c r="S119" s="2"/>
      <c r="T119" s="2"/>
      <c r="U119" s="2"/>
    </row>
    <row r="120" spans="1:21" ht="12.75" customHeight="1" x14ac:dyDescent="0.2">
      <c r="A120" s="2"/>
      <c r="B120" s="2"/>
      <c r="C120" s="2"/>
      <c r="D120" s="2"/>
      <c r="E120" s="2"/>
      <c r="F120" s="2"/>
      <c r="G120" s="2"/>
      <c r="H120" s="2"/>
      <c r="I120" s="2"/>
      <c r="J120" s="2"/>
      <c r="K120" s="2"/>
      <c r="L120" s="2"/>
      <c r="M120" s="2"/>
      <c r="N120" s="2"/>
      <c r="O120" s="2"/>
      <c r="P120" s="2"/>
      <c r="Q120" s="2"/>
      <c r="R120" s="2"/>
      <c r="S120" s="2"/>
      <c r="T120" s="2"/>
      <c r="U120" s="2"/>
    </row>
    <row r="121" spans="1:21" ht="12.75" customHeight="1" x14ac:dyDescent="0.2">
      <c r="A121" s="2"/>
      <c r="B121" s="2"/>
      <c r="C121" s="2"/>
      <c r="D121" s="2"/>
      <c r="E121" s="2"/>
      <c r="F121" s="2"/>
      <c r="G121" s="2"/>
      <c r="H121" s="2"/>
      <c r="I121" s="2"/>
      <c r="J121" s="2"/>
      <c r="K121" s="2"/>
      <c r="L121" s="2"/>
      <c r="M121" s="2"/>
      <c r="N121" s="2"/>
      <c r="O121" s="2"/>
      <c r="P121" s="2"/>
      <c r="Q121" s="2"/>
      <c r="R121" s="2"/>
      <c r="S121" s="2"/>
      <c r="T121" s="2"/>
      <c r="U121" s="2"/>
    </row>
    <row r="122" spans="1:21" ht="12.75" customHeight="1" x14ac:dyDescent="0.2">
      <c r="A122" s="2"/>
      <c r="B122" s="2"/>
      <c r="C122" s="2"/>
      <c r="D122" s="2"/>
      <c r="E122" s="2"/>
      <c r="F122" s="2"/>
      <c r="G122" s="2"/>
      <c r="H122" s="2"/>
      <c r="I122" s="2"/>
      <c r="J122" s="2"/>
      <c r="K122" s="2"/>
      <c r="L122" s="2"/>
      <c r="M122" s="2"/>
      <c r="N122" s="2"/>
      <c r="O122" s="2"/>
      <c r="P122" s="2"/>
      <c r="Q122" s="2"/>
      <c r="R122" s="2"/>
      <c r="S122" s="2"/>
      <c r="T122" s="2"/>
      <c r="U122" s="2"/>
    </row>
    <row r="123" spans="1:21" ht="12.75" customHeight="1" x14ac:dyDescent="0.2">
      <c r="A123" s="2"/>
      <c r="B123" s="2"/>
      <c r="C123" s="2"/>
      <c r="D123" s="2"/>
      <c r="E123" s="2"/>
      <c r="F123" s="2"/>
      <c r="G123" s="2"/>
      <c r="H123" s="2"/>
      <c r="I123" s="2"/>
      <c r="J123" s="2"/>
      <c r="K123" s="2"/>
      <c r="L123" s="2"/>
      <c r="M123" s="2"/>
      <c r="N123" s="2"/>
      <c r="O123" s="2"/>
      <c r="P123" s="2"/>
      <c r="Q123" s="2"/>
      <c r="R123" s="2"/>
      <c r="S123" s="2"/>
      <c r="T123" s="2"/>
      <c r="U123" s="2"/>
    </row>
    <row r="124" spans="1:21" ht="12.75" customHeight="1" x14ac:dyDescent="0.2">
      <c r="A124" s="2"/>
      <c r="B124" s="2"/>
      <c r="C124" s="2"/>
      <c r="D124" s="2"/>
      <c r="E124" s="2"/>
      <c r="F124" s="2"/>
      <c r="G124" s="2"/>
      <c r="H124" s="2"/>
      <c r="I124" s="2"/>
      <c r="J124" s="2"/>
      <c r="K124" s="2"/>
      <c r="L124" s="2"/>
      <c r="M124" s="2"/>
      <c r="N124" s="2"/>
      <c r="O124" s="2"/>
      <c r="P124" s="2"/>
      <c r="Q124" s="2"/>
      <c r="R124" s="2"/>
      <c r="S124" s="2"/>
      <c r="T124" s="2"/>
      <c r="U124" s="2"/>
    </row>
    <row r="125" spans="1:21" ht="12.75" customHeight="1" x14ac:dyDescent="0.2">
      <c r="A125" s="2"/>
      <c r="B125" s="2"/>
      <c r="C125" s="2"/>
      <c r="D125" s="2"/>
      <c r="E125" s="2"/>
      <c r="F125" s="2"/>
      <c r="G125" s="2"/>
      <c r="H125" s="2"/>
      <c r="I125" s="2"/>
      <c r="J125" s="2"/>
      <c r="K125" s="2"/>
      <c r="L125" s="2"/>
      <c r="M125" s="2"/>
      <c r="N125" s="2"/>
      <c r="O125" s="2"/>
      <c r="P125" s="2"/>
      <c r="Q125" s="2"/>
      <c r="R125" s="2"/>
      <c r="S125" s="2"/>
      <c r="T125" s="2"/>
      <c r="U125" s="2"/>
    </row>
    <row r="126" spans="1:21" ht="12.75" customHeight="1" x14ac:dyDescent="0.2">
      <c r="A126" s="2"/>
      <c r="B126" s="2"/>
      <c r="C126" s="2"/>
      <c r="D126" s="2"/>
      <c r="E126" s="2"/>
      <c r="F126" s="2"/>
      <c r="G126" s="2"/>
      <c r="H126" s="2"/>
      <c r="I126" s="2"/>
      <c r="J126" s="2"/>
      <c r="K126" s="2"/>
      <c r="L126" s="2"/>
      <c r="M126" s="2"/>
      <c r="N126" s="2"/>
      <c r="O126" s="2"/>
      <c r="P126" s="2"/>
      <c r="Q126" s="2"/>
      <c r="R126" s="2"/>
      <c r="S126" s="2"/>
      <c r="T126" s="2"/>
      <c r="U126" s="2"/>
    </row>
    <row r="127" spans="1:21" ht="12.75" customHeight="1" x14ac:dyDescent="0.2">
      <c r="A127" s="2"/>
      <c r="B127" s="2"/>
      <c r="C127" s="2"/>
      <c r="D127" s="2"/>
      <c r="E127" s="2"/>
      <c r="F127" s="2"/>
      <c r="G127" s="2"/>
      <c r="H127" s="2"/>
      <c r="I127" s="2"/>
      <c r="J127" s="2"/>
      <c r="K127" s="2"/>
      <c r="L127" s="2"/>
      <c r="M127" s="2"/>
      <c r="N127" s="2"/>
      <c r="O127" s="2"/>
      <c r="P127" s="2"/>
      <c r="Q127" s="2"/>
      <c r="R127" s="2"/>
      <c r="S127" s="2"/>
      <c r="T127" s="2"/>
      <c r="U127" s="2"/>
    </row>
    <row r="128" spans="1:21" ht="12.75" customHeight="1" x14ac:dyDescent="0.2">
      <c r="A128" s="2"/>
      <c r="B128" s="2"/>
      <c r="C128" s="2"/>
      <c r="D128" s="2"/>
      <c r="E128" s="2"/>
      <c r="F128" s="2"/>
      <c r="G128" s="2"/>
      <c r="H128" s="2"/>
      <c r="I128" s="2"/>
      <c r="J128" s="2"/>
      <c r="K128" s="2"/>
      <c r="L128" s="2"/>
      <c r="M128" s="2"/>
      <c r="N128" s="2"/>
      <c r="O128" s="2"/>
      <c r="P128" s="2"/>
      <c r="Q128" s="2"/>
      <c r="R128" s="2"/>
      <c r="S128" s="2"/>
      <c r="T128" s="2"/>
      <c r="U128" s="2"/>
    </row>
    <row r="129" spans="1:21" ht="12.75" customHeight="1" x14ac:dyDescent="0.2">
      <c r="A129" s="2"/>
      <c r="B129" s="2"/>
      <c r="C129" s="2"/>
      <c r="D129" s="2"/>
      <c r="E129" s="2"/>
      <c r="F129" s="2"/>
      <c r="G129" s="2"/>
      <c r="H129" s="2"/>
      <c r="I129" s="2"/>
      <c r="J129" s="2"/>
      <c r="K129" s="2"/>
      <c r="L129" s="2"/>
      <c r="M129" s="2"/>
      <c r="N129" s="2"/>
      <c r="O129" s="2"/>
      <c r="P129" s="2"/>
      <c r="Q129" s="2"/>
      <c r="R129" s="2"/>
      <c r="S129" s="2"/>
      <c r="T129" s="2"/>
      <c r="U129" s="2"/>
    </row>
    <row r="130" spans="1:21" ht="12.75" customHeight="1" x14ac:dyDescent="0.2">
      <c r="A130" s="2"/>
      <c r="B130" s="2"/>
      <c r="C130" s="2"/>
      <c r="D130" s="2"/>
      <c r="E130" s="2"/>
      <c r="F130" s="2"/>
      <c r="G130" s="2"/>
      <c r="H130" s="2"/>
      <c r="I130" s="2"/>
      <c r="J130" s="2"/>
      <c r="K130" s="2"/>
      <c r="L130" s="2"/>
      <c r="M130" s="2"/>
      <c r="N130" s="2"/>
      <c r="O130" s="2"/>
      <c r="P130" s="2"/>
      <c r="Q130" s="2"/>
      <c r="R130" s="2"/>
      <c r="S130" s="2"/>
      <c r="T130" s="2"/>
      <c r="U130" s="2"/>
    </row>
    <row r="131" spans="1:21" ht="12.75" customHeight="1" x14ac:dyDescent="0.2">
      <c r="A131" s="2"/>
      <c r="B131" s="2"/>
      <c r="C131" s="2"/>
      <c r="D131" s="2"/>
      <c r="E131" s="2"/>
      <c r="F131" s="2"/>
      <c r="G131" s="2"/>
      <c r="H131" s="2"/>
      <c r="I131" s="2"/>
      <c r="J131" s="2"/>
      <c r="K131" s="2"/>
      <c r="L131" s="2"/>
      <c r="M131" s="2"/>
      <c r="N131" s="2"/>
      <c r="O131" s="2"/>
      <c r="P131" s="2"/>
      <c r="Q131" s="2"/>
      <c r="R131" s="2"/>
      <c r="S131" s="2"/>
      <c r="T131" s="2"/>
      <c r="U131" s="2"/>
    </row>
    <row r="132" spans="1:21" ht="12.75" customHeight="1" x14ac:dyDescent="0.2">
      <c r="A132" s="2"/>
      <c r="B132" s="2"/>
      <c r="C132" s="2"/>
      <c r="D132" s="2"/>
      <c r="E132" s="2"/>
      <c r="F132" s="2"/>
      <c r="G132" s="2"/>
      <c r="H132" s="2"/>
      <c r="I132" s="2"/>
      <c r="J132" s="2"/>
      <c r="K132" s="2"/>
      <c r="L132" s="2"/>
      <c r="M132" s="2"/>
      <c r="N132" s="2"/>
      <c r="O132" s="2"/>
      <c r="P132" s="2"/>
      <c r="Q132" s="2"/>
      <c r="R132" s="2"/>
      <c r="S132" s="2"/>
      <c r="T132" s="2"/>
      <c r="U132" s="2"/>
    </row>
    <row r="133" spans="1:21" ht="12.75" customHeight="1" x14ac:dyDescent="0.2">
      <c r="A133" s="2"/>
      <c r="B133" s="2"/>
      <c r="C133" s="2"/>
      <c r="D133" s="2"/>
      <c r="E133" s="2"/>
      <c r="F133" s="2"/>
      <c r="G133" s="2"/>
      <c r="H133" s="2"/>
      <c r="I133" s="2"/>
      <c r="J133" s="2"/>
      <c r="K133" s="2"/>
      <c r="L133" s="2"/>
      <c r="M133" s="2"/>
      <c r="N133" s="2"/>
      <c r="O133" s="2"/>
      <c r="P133" s="2"/>
      <c r="Q133" s="2"/>
      <c r="R133" s="2"/>
      <c r="S133" s="2"/>
      <c r="T133" s="2"/>
      <c r="U133" s="2"/>
    </row>
    <row r="134" spans="1:21" ht="12.75" customHeight="1" x14ac:dyDescent="0.2">
      <c r="A134" s="2"/>
      <c r="B134" s="2"/>
      <c r="C134" s="2"/>
      <c r="D134" s="2"/>
      <c r="E134" s="2"/>
      <c r="F134" s="2"/>
      <c r="G134" s="2"/>
      <c r="H134" s="2"/>
      <c r="I134" s="2"/>
      <c r="J134" s="2"/>
      <c r="K134" s="2"/>
      <c r="L134" s="2"/>
      <c r="M134" s="2"/>
      <c r="N134" s="2"/>
      <c r="O134" s="2"/>
      <c r="P134" s="2"/>
      <c r="Q134" s="2"/>
      <c r="R134" s="2"/>
      <c r="S134" s="2"/>
      <c r="T134" s="2"/>
      <c r="U134" s="2"/>
    </row>
    <row r="135" spans="1:21" ht="12.75" customHeight="1" x14ac:dyDescent="0.2">
      <c r="A135" s="2"/>
      <c r="B135" s="2"/>
      <c r="C135" s="2"/>
      <c r="D135" s="2"/>
      <c r="E135" s="2"/>
      <c r="F135" s="2"/>
      <c r="G135" s="2"/>
      <c r="H135" s="2"/>
      <c r="I135" s="2"/>
      <c r="J135" s="2"/>
      <c r="K135" s="2"/>
      <c r="L135" s="2"/>
      <c r="M135" s="2"/>
      <c r="N135" s="2"/>
      <c r="O135" s="2"/>
      <c r="P135" s="2"/>
      <c r="Q135" s="2"/>
      <c r="R135" s="2"/>
      <c r="S135" s="2"/>
      <c r="T135" s="2"/>
      <c r="U135" s="2"/>
    </row>
    <row r="136" spans="1:21" ht="12.75" customHeight="1" x14ac:dyDescent="0.2">
      <c r="A136" s="2"/>
      <c r="B136" s="2"/>
      <c r="C136" s="2"/>
      <c r="D136" s="2"/>
      <c r="E136" s="2"/>
      <c r="F136" s="2"/>
      <c r="G136" s="2"/>
      <c r="H136" s="2"/>
      <c r="I136" s="2"/>
      <c r="J136" s="2"/>
      <c r="K136" s="2"/>
      <c r="L136" s="2"/>
      <c r="M136" s="2"/>
      <c r="N136" s="2"/>
      <c r="O136" s="2"/>
      <c r="P136" s="2"/>
      <c r="Q136" s="2"/>
      <c r="R136" s="2"/>
      <c r="S136" s="2"/>
      <c r="T136" s="2"/>
      <c r="U136" s="2"/>
    </row>
    <row r="137" spans="1:21" ht="12.75" customHeight="1" x14ac:dyDescent="0.2">
      <c r="A137" s="2"/>
      <c r="B137" s="2"/>
      <c r="C137" s="2"/>
      <c r="D137" s="2"/>
      <c r="E137" s="2"/>
      <c r="F137" s="2"/>
      <c r="G137" s="2"/>
      <c r="H137" s="2"/>
      <c r="I137" s="2"/>
      <c r="J137" s="2"/>
      <c r="K137" s="2"/>
      <c r="L137" s="2"/>
      <c r="M137" s="2"/>
      <c r="N137" s="2"/>
      <c r="O137" s="2"/>
      <c r="P137" s="2"/>
      <c r="Q137" s="2"/>
      <c r="R137" s="2"/>
      <c r="S137" s="2"/>
      <c r="T137" s="2"/>
      <c r="U137" s="2"/>
    </row>
    <row r="138" spans="1:21" ht="12.75" customHeight="1" x14ac:dyDescent="0.2">
      <c r="A138" s="2"/>
      <c r="B138" s="2"/>
      <c r="C138" s="2"/>
      <c r="D138" s="2"/>
      <c r="E138" s="2"/>
      <c r="F138" s="2"/>
      <c r="G138" s="2"/>
      <c r="H138" s="2"/>
      <c r="I138" s="2"/>
      <c r="J138" s="2"/>
      <c r="K138" s="2"/>
      <c r="L138" s="2"/>
      <c r="M138" s="2"/>
      <c r="N138" s="2"/>
      <c r="O138" s="2"/>
      <c r="P138" s="2"/>
      <c r="Q138" s="2"/>
      <c r="R138" s="2"/>
      <c r="S138" s="2"/>
      <c r="T138" s="2"/>
      <c r="U138" s="2"/>
    </row>
    <row r="139" spans="1:21" ht="12.75" customHeight="1" x14ac:dyDescent="0.2">
      <c r="A139" s="2"/>
      <c r="B139" s="2"/>
      <c r="C139" s="2"/>
      <c r="D139" s="2"/>
      <c r="E139" s="2"/>
      <c r="F139" s="2"/>
      <c r="G139" s="2"/>
      <c r="H139" s="2"/>
      <c r="I139" s="2"/>
      <c r="J139" s="2"/>
      <c r="K139" s="2"/>
      <c r="L139" s="2"/>
      <c r="M139" s="2"/>
      <c r="N139" s="2"/>
      <c r="O139" s="2"/>
      <c r="P139" s="2"/>
      <c r="Q139" s="2"/>
      <c r="R139" s="2"/>
      <c r="S139" s="2"/>
      <c r="T139" s="2"/>
      <c r="U139" s="2"/>
    </row>
    <row r="140" spans="1:21" ht="12.75" customHeight="1" x14ac:dyDescent="0.2">
      <c r="A140" s="2"/>
      <c r="B140" s="2"/>
      <c r="C140" s="2"/>
      <c r="D140" s="2"/>
      <c r="E140" s="2"/>
      <c r="F140" s="2"/>
      <c r="G140" s="2"/>
      <c r="H140" s="2"/>
      <c r="I140" s="2"/>
      <c r="J140" s="2"/>
      <c r="K140" s="2"/>
      <c r="L140" s="2"/>
      <c r="M140" s="2"/>
      <c r="N140" s="2"/>
      <c r="O140" s="2"/>
      <c r="P140" s="2"/>
      <c r="Q140" s="2"/>
      <c r="R140" s="2"/>
      <c r="S140" s="2"/>
      <c r="T140" s="2"/>
      <c r="U140" s="2"/>
    </row>
    <row r="141" spans="1:21" ht="12.75" customHeight="1" x14ac:dyDescent="0.2">
      <c r="A141" s="2"/>
      <c r="B141" s="2"/>
      <c r="C141" s="2"/>
      <c r="D141" s="2"/>
      <c r="E141" s="2"/>
      <c r="F141" s="2"/>
      <c r="G141" s="2"/>
      <c r="H141" s="2"/>
      <c r="I141" s="2"/>
      <c r="J141" s="2"/>
      <c r="K141" s="2"/>
      <c r="L141" s="2"/>
      <c r="M141" s="2"/>
      <c r="N141" s="2"/>
      <c r="O141" s="2"/>
      <c r="P141" s="2"/>
      <c r="Q141" s="2"/>
      <c r="R141" s="2"/>
      <c r="S141" s="2"/>
      <c r="T141" s="2"/>
      <c r="U141" s="2"/>
    </row>
    <row r="142" spans="1:21" ht="12.75" customHeight="1" x14ac:dyDescent="0.2">
      <c r="A142" s="2"/>
      <c r="B142" s="2"/>
      <c r="C142" s="2"/>
      <c r="D142" s="2"/>
      <c r="E142" s="2"/>
      <c r="F142" s="2"/>
      <c r="G142" s="2"/>
      <c r="H142" s="2"/>
      <c r="I142" s="2"/>
      <c r="J142" s="2"/>
      <c r="K142" s="2"/>
      <c r="L142" s="2"/>
      <c r="M142" s="2"/>
      <c r="N142" s="2"/>
      <c r="O142" s="2"/>
      <c r="P142" s="2"/>
      <c r="Q142" s="2"/>
      <c r="R142" s="2"/>
      <c r="S142" s="2"/>
      <c r="T142" s="2"/>
      <c r="U142" s="2"/>
    </row>
    <row r="143" spans="1:21" ht="12.75" customHeight="1" x14ac:dyDescent="0.2">
      <c r="A143" s="2"/>
      <c r="B143" s="2"/>
      <c r="C143" s="2"/>
      <c r="D143" s="2"/>
      <c r="E143" s="2"/>
      <c r="F143" s="2"/>
      <c r="G143" s="2"/>
      <c r="H143" s="2"/>
      <c r="I143" s="2"/>
      <c r="J143" s="2"/>
      <c r="K143" s="2"/>
      <c r="L143" s="2"/>
      <c r="M143" s="2"/>
      <c r="N143" s="2"/>
      <c r="O143" s="2"/>
      <c r="P143" s="2"/>
      <c r="Q143" s="2"/>
      <c r="R143" s="2"/>
      <c r="S143" s="2"/>
      <c r="T143" s="2"/>
      <c r="U143" s="2"/>
    </row>
    <row r="144" spans="1:21" ht="12.75" customHeight="1" x14ac:dyDescent="0.2">
      <c r="A144" s="2"/>
      <c r="B144" s="2"/>
      <c r="C144" s="2"/>
      <c r="D144" s="2"/>
      <c r="E144" s="2"/>
      <c r="F144" s="2"/>
      <c r="G144" s="2"/>
      <c r="H144" s="2"/>
      <c r="I144" s="2"/>
      <c r="J144" s="2"/>
      <c r="K144" s="2"/>
      <c r="L144" s="2"/>
      <c r="M144" s="2"/>
      <c r="N144" s="2"/>
      <c r="O144" s="2"/>
      <c r="P144" s="2"/>
      <c r="Q144" s="2"/>
      <c r="R144" s="2"/>
      <c r="S144" s="2"/>
      <c r="T144" s="2"/>
      <c r="U144" s="2"/>
    </row>
    <row r="145" spans="1:21" ht="12.75" customHeight="1" x14ac:dyDescent="0.2">
      <c r="A145" s="2"/>
      <c r="B145" s="2"/>
      <c r="C145" s="2"/>
      <c r="D145" s="2"/>
      <c r="E145" s="2"/>
      <c r="F145" s="2"/>
      <c r="G145" s="2"/>
      <c r="H145" s="2"/>
      <c r="I145" s="2"/>
      <c r="J145" s="2"/>
      <c r="K145" s="2"/>
      <c r="L145" s="2"/>
      <c r="M145" s="2"/>
      <c r="N145" s="2"/>
      <c r="O145" s="2"/>
      <c r="P145" s="2"/>
      <c r="Q145" s="2"/>
      <c r="R145" s="2"/>
      <c r="S145" s="2"/>
      <c r="T145" s="2"/>
      <c r="U145" s="2"/>
    </row>
    <row r="146" spans="1:21" ht="12.75" customHeight="1" x14ac:dyDescent="0.2">
      <c r="A146" s="2"/>
      <c r="B146" s="2"/>
      <c r="C146" s="2"/>
      <c r="D146" s="2"/>
      <c r="E146" s="2"/>
      <c r="F146" s="2"/>
      <c r="G146" s="2"/>
      <c r="H146" s="2"/>
      <c r="I146" s="2"/>
      <c r="J146" s="2"/>
      <c r="K146" s="2"/>
      <c r="L146" s="2"/>
      <c r="M146" s="2"/>
      <c r="N146" s="2"/>
      <c r="O146" s="2"/>
      <c r="P146" s="2"/>
      <c r="Q146" s="2"/>
      <c r="R146" s="2"/>
      <c r="S146" s="2"/>
      <c r="T146" s="2"/>
      <c r="U146" s="2"/>
    </row>
    <row r="147" spans="1:21" ht="12.75" customHeight="1" x14ac:dyDescent="0.2">
      <c r="A147" s="2"/>
      <c r="B147" s="2"/>
      <c r="C147" s="2"/>
      <c r="D147" s="2"/>
      <c r="E147" s="2"/>
      <c r="F147" s="2"/>
      <c r="G147" s="2"/>
      <c r="H147" s="2"/>
      <c r="I147" s="2"/>
      <c r="J147" s="2"/>
      <c r="K147" s="2"/>
      <c r="L147" s="2"/>
      <c r="M147" s="2"/>
      <c r="N147" s="2"/>
      <c r="O147" s="2"/>
      <c r="P147" s="2"/>
      <c r="Q147" s="2"/>
      <c r="R147" s="2"/>
      <c r="S147" s="2"/>
      <c r="T147" s="2"/>
      <c r="U147" s="2"/>
    </row>
    <row r="148" spans="1:21" ht="12.75" customHeight="1" x14ac:dyDescent="0.2">
      <c r="A148" s="2"/>
      <c r="B148" s="2"/>
      <c r="C148" s="2"/>
      <c r="D148" s="2"/>
      <c r="E148" s="2"/>
      <c r="F148" s="2"/>
      <c r="G148" s="2"/>
      <c r="H148" s="2"/>
      <c r="I148" s="2"/>
      <c r="J148" s="2"/>
      <c r="K148" s="2"/>
      <c r="L148" s="2"/>
      <c r="M148" s="2"/>
      <c r="N148" s="2"/>
      <c r="O148" s="2"/>
      <c r="P148" s="2"/>
      <c r="Q148" s="2"/>
      <c r="R148" s="2"/>
      <c r="S148" s="2"/>
      <c r="T148" s="2"/>
      <c r="U148" s="2"/>
    </row>
    <row r="149" spans="1:21" ht="12.75" customHeight="1" x14ac:dyDescent="0.2">
      <c r="A149" s="2"/>
      <c r="B149" s="2"/>
      <c r="C149" s="2"/>
      <c r="D149" s="2"/>
      <c r="E149" s="2"/>
      <c r="F149" s="2"/>
      <c r="G149" s="2"/>
      <c r="H149" s="2"/>
      <c r="I149" s="2"/>
      <c r="J149" s="2"/>
      <c r="K149" s="2"/>
      <c r="L149" s="2"/>
      <c r="M149" s="2"/>
      <c r="N149" s="2"/>
      <c r="O149" s="2"/>
      <c r="P149" s="2"/>
      <c r="Q149" s="2"/>
      <c r="R149" s="2"/>
      <c r="S149" s="2"/>
      <c r="T149" s="2"/>
      <c r="U149" s="2"/>
    </row>
    <row r="150" spans="1:21" ht="12.75" customHeight="1" x14ac:dyDescent="0.2">
      <c r="A150" s="2"/>
      <c r="B150" s="2"/>
      <c r="C150" s="2"/>
      <c r="D150" s="2"/>
      <c r="E150" s="2"/>
      <c r="F150" s="2"/>
      <c r="G150" s="2"/>
      <c r="H150" s="2"/>
      <c r="I150" s="2"/>
      <c r="J150" s="2"/>
      <c r="K150" s="2"/>
      <c r="L150" s="2"/>
      <c r="M150" s="2"/>
      <c r="N150" s="2"/>
      <c r="O150" s="2"/>
      <c r="P150" s="2"/>
      <c r="Q150" s="2"/>
      <c r="R150" s="2"/>
      <c r="S150" s="2"/>
      <c r="T150" s="2"/>
      <c r="U150" s="2"/>
    </row>
    <row r="151" spans="1:21" ht="12.75" customHeight="1" x14ac:dyDescent="0.2">
      <c r="A151" s="2"/>
      <c r="B151" s="2"/>
      <c r="C151" s="2"/>
      <c r="D151" s="2"/>
      <c r="E151" s="2"/>
      <c r="F151" s="2"/>
      <c r="G151" s="2"/>
      <c r="H151" s="2"/>
      <c r="I151" s="2"/>
      <c r="J151" s="2"/>
      <c r="K151" s="2"/>
      <c r="L151" s="2"/>
      <c r="M151" s="2"/>
      <c r="N151" s="2"/>
      <c r="O151" s="2"/>
      <c r="P151" s="2"/>
      <c r="Q151" s="2"/>
      <c r="R151" s="2"/>
      <c r="S151" s="2"/>
      <c r="T151" s="2"/>
      <c r="U151" s="2"/>
    </row>
    <row r="152" spans="1:21" ht="12.75" customHeight="1" x14ac:dyDescent="0.2">
      <c r="A152" s="2"/>
      <c r="B152" s="2"/>
      <c r="C152" s="2"/>
      <c r="D152" s="2"/>
      <c r="E152" s="2"/>
      <c r="F152" s="2"/>
      <c r="G152" s="2"/>
      <c r="H152" s="2"/>
      <c r="I152" s="2"/>
      <c r="J152" s="2"/>
      <c r="K152" s="2"/>
      <c r="L152" s="2"/>
      <c r="M152" s="2"/>
      <c r="N152" s="2"/>
      <c r="O152" s="2"/>
      <c r="P152" s="2"/>
      <c r="Q152" s="2"/>
      <c r="R152" s="2"/>
      <c r="S152" s="2"/>
      <c r="T152" s="2"/>
      <c r="U152" s="2"/>
    </row>
    <row r="153" spans="1:21" ht="12.75" customHeight="1" x14ac:dyDescent="0.2">
      <c r="A153" s="2"/>
      <c r="B153" s="2"/>
      <c r="C153" s="2"/>
      <c r="D153" s="2"/>
      <c r="E153" s="2"/>
      <c r="F153" s="2"/>
      <c r="G153" s="2"/>
      <c r="H153" s="2"/>
      <c r="I153" s="2"/>
      <c r="J153" s="2"/>
      <c r="K153" s="2"/>
      <c r="L153" s="2"/>
      <c r="M153" s="2"/>
      <c r="N153" s="2"/>
      <c r="O153" s="2"/>
      <c r="P153" s="2"/>
      <c r="Q153" s="2"/>
      <c r="R153" s="2"/>
      <c r="S153" s="2"/>
      <c r="T153" s="2"/>
      <c r="U153" s="2"/>
    </row>
    <row r="154" spans="1:21" ht="12.75" customHeight="1" x14ac:dyDescent="0.2">
      <c r="A154" s="2"/>
      <c r="B154" s="2"/>
      <c r="C154" s="2"/>
      <c r="D154" s="2"/>
      <c r="E154" s="2"/>
      <c r="F154" s="2"/>
      <c r="G154" s="2"/>
      <c r="H154" s="2"/>
      <c r="I154" s="2"/>
      <c r="J154" s="2"/>
      <c r="K154" s="2"/>
      <c r="L154" s="2"/>
      <c r="M154" s="2"/>
      <c r="N154" s="2"/>
      <c r="O154" s="2"/>
      <c r="P154" s="2"/>
      <c r="Q154" s="2"/>
      <c r="R154" s="2"/>
      <c r="S154" s="2"/>
      <c r="T154" s="2"/>
      <c r="U154" s="2"/>
    </row>
    <row r="155" spans="1:21" ht="12.75" customHeight="1" x14ac:dyDescent="0.2">
      <c r="A155" s="2"/>
      <c r="B155" s="2"/>
      <c r="C155" s="2"/>
      <c r="D155" s="2"/>
      <c r="E155" s="2"/>
      <c r="F155" s="2"/>
      <c r="G155" s="2"/>
      <c r="H155" s="2"/>
      <c r="I155" s="2"/>
      <c r="J155" s="2"/>
      <c r="K155" s="2"/>
      <c r="L155" s="2"/>
      <c r="M155" s="2"/>
      <c r="N155" s="2"/>
      <c r="O155" s="2"/>
      <c r="P155" s="2"/>
      <c r="Q155" s="2"/>
      <c r="R155" s="2"/>
      <c r="S155" s="2"/>
      <c r="T155" s="2"/>
      <c r="U155" s="2"/>
    </row>
    <row r="156" spans="1:21" ht="12.75" customHeight="1" x14ac:dyDescent="0.2">
      <c r="A156" s="2"/>
      <c r="B156" s="2"/>
      <c r="C156" s="2"/>
      <c r="D156" s="2"/>
      <c r="E156" s="2"/>
      <c r="F156" s="2"/>
      <c r="G156" s="2"/>
      <c r="H156" s="2"/>
      <c r="I156" s="2"/>
      <c r="J156" s="2"/>
      <c r="K156" s="2"/>
      <c r="L156" s="2"/>
      <c r="M156" s="2"/>
      <c r="N156" s="2"/>
      <c r="O156" s="2"/>
      <c r="P156" s="2"/>
      <c r="Q156" s="2"/>
      <c r="R156" s="2"/>
      <c r="S156" s="2"/>
      <c r="T156" s="2"/>
      <c r="U156" s="2"/>
    </row>
    <row r="157" spans="1:21" ht="12.75" customHeight="1" x14ac:dyDescent="0.2">
      <c r="A157" s="2"/>
      <c r="B157" s="2"/>
      <c r="C157" s="2"/>
      <c r="D157" s="2"/>
      <c r="E157" s="2"/>
      <c r="F157" s="2"/>
      <c r="G157" s="2"/>
      <c r="H157" s="2"/>
      <c r="I157" s="2"/>
      <c r="J157" s="2"/>
      <c r="K157" s="2"/>
      <c r="L157" s="2"/>
      <c r="M157" s="2"/>
      <c r="N157" s="2"/>
      <c r="O157" s="2"/>
      <c r="P157" s="2"/>
      <c r="Q157" s="2"/>
      <c r="R157" s="2"/>
      <c r="S157" s="2"/>
      <c r="T157" s="2"/>
      <c r="U157" s="2"/>
    </row>
    <row r="158" spans="1:21" ht="12.75" customHeight="1" x14ac:dyDescent="0.2">
      <c r="A158" s="2"/>
      <c r="B158" s="2"/>
      <c r="C158" s="2"/>
      <c r="D158" s="2"/>
      <c r="E158" s="2"/>
      <c r="F158" s="2"/>
      <c r="G158" s="2"/>
      <c r="H158" s="2"/>
      <c r="I158" s="2"/>
      <c r="J158" s="2"/>
      <c r="K158" s="2"/>
      <c r="L158" s="2"/>
      <c r="M158" s="2"/>
      <c r="N158" s="2"/>
      <c r="O158" s="2"/>
      <c r="P158" s="2"/>
      <c r="Q158" s="2"/>
      <c r="R158" s="2"/>
      <c r="S158" s="2"/>
      <c r="T158" s="2"/>
      <c r="U158" s="2"/>
    </row>
    <row r="159" spans="1:21" ht="12.75" customHeight="1" x14ac:dyDescent="0.2">
      <c r="A159" s="2"/>
      <c r="B159" s="2"/>
      <c r="C159" s="2"/>
      <c r="D159" s="2"/>
      <c r="E159" s="2"/>
      <c r="F159" s="2"/>
      <c r="G159" s="2"/>
      <c r="H159" s="2"/>
      <c r="I159" s="2"/>
      <c r="J159" s="2"/>
      <c r="K159" s="2"/>
      <c r="L159" s="2"/>
      <c r="M159" s="2"/>
      <c r="N159" s="2"/>
      <c r="O159" s="2"/>
      <c r="P159" s="2"/>
      <c r="Q159" s="2"/>
      <c r="R159" s="2"/>
      <c r="S159" s="2"/>
      <c r="T159" s="2"/>
      <c r="U159" s="2"/>
    </row>
    <row r="160" spans="1:21" ht="12.75" customHeight="1" x14ac:dyDescent="0.2">
      <c r="A160" s="2"/>
      <c r="B160" s="2"/>
      <c r="C160" s="2"/>
      <c r="D160" s="2"/>
      <c r="E160" s="2"/>
      <c r="F160" s="2"/>
      <c r="G160" s="2"/>
      <c r="H160" s="2"/>
      <c r="I160" s="2"/>
      <c r="J160" s="2"/>
      <c r="K160" s="2"/>
      <c r="L160" s="2"/>
      <c r="M160" s="2"/>
      <c r="N160" s="2"/>
      <c r="O160" s="2"/>
      <c r="P160" s="2"/>
      <c r="Q160" s="2"/>
      <c r="R160" s="2"/>
      <c r="S160" s="2"/>
      <c r="T160" s="2"/>
      <c r="U160" s="2"/>
    </row>
    <row r="161" spans="1:21" ht="12.75" customHeight="1" x14ac:dyDescent="0.2">
      <c r="A161" s="2"/>
      <c r="B161" s="2"/>
      <c r="C161" s="2"/>
      <c r="D161" s="2"/>
      <c r="E161" s="2"/>
      <c r="F161" s="2"/>
      <c r="G161" s="2"/>
      <c r="H161" s="2"/>
      <c r="I161" s="2"/>
      <c r="J161" s="2"/>
      <c r="K161" s="2"/>
      <c r="L161" s="2"/>
      <c r="M161" s="2"/>
      <c r="N161" s="2"/>
      <c r="O161" s="2"/>
      <c r="P161" s="2"/>
      <c r="Q161" s="2"/>
      <c r="R161" s="2"/>
      <c r="S161" s="2"/>
      <c r="T161" s="2"/>
      <c r="U161" s="2"/>
    </row>
    <row r="162" spans="1:21" ht="12.75" customHeight="1" x14ac:dyDescent="0.2">
      <c r="A162" s="2"/>
      <c r="B162" s="2"/>
      <c r="C162" s="2"/>
      <c r="D162" s="2"/>
      <c r="E162" s="2"/>
      <c r="F162" s="2"/>
      <c r="G162" s="2"/>
      <c r="H162" s="2"/>
      <c r="I162" s="2"/>
      <c r="J162" s="2"/>
      <c r="K162" s="2"/>
      <c r="L162" s="2"/>
      <c r="M162" s="2"/>
      <c r="N162" s="2"/>
      <c r="O162" s="2"/>
      <c r="P162" s="2"/>
      <c r="Q162" s="2"/>
      <c r="R162" s="2"/>
      <c r="S162" s="2"/>
      <c r="T162" s="2"/>
      <c r="U162" s="2"/>
    </row>
    <row r="163" spans="1:21" ht="12.75" customHeight="1" x14ac:dyDescent="0.2">
      <c r="A163" s="2"/>
      <c r="B163" s="2"/>
      <c r="C163" s="2"/>
      <c r="D163" s="2"/>
      <c r="E163" s="2"/>
      <c r="F163" s="2"/>
      <c r="G163" s="2"/>
      <c r="H163" s="2"/>
      <c r="I163" s="2"/>
      <c r="J163" s="2"/>
      <c r="K163" s="2"/>
      <c r="L163" s="2"/>
      <c r="M163" s="2"/>
      <c r="N163" s="2"/>
      <c r="O163" s="2"/>
      <c r="P163" s="2"/>
      <c r="Q163" s="2"/>
      <c r="R163" s="2"/>
      <c r="S163" s="2"/>
      <c r="T163" s="2"/>
      <c r="U163" s="2"/>
    </row>
    <row r="164" spans="1:21" ht="12.75" customHeight="1" x14ac:dyDescent="0.2">
      <c r="A164" s="2"/>
      <c r="B164" s="2"/>
      <c r="C164" s="2"/>
      <c r="D164" s="2"/>
      <c r="E164" s="2"/>
      <c r="F164" s="2"/>
      <c r="G164" s="2"/>
      <c r="H164" s="2"/>
      <c r="I164" s="2"/>
      <c r="J164" s="2"/>
      <c r="K164" s="2"/>
      <c r="L164" s="2"/>
      <c r="M164" s="2"/>
      <c r="N164" s="2"/>
      <c r="O164" s="2"/>
      <c r="P164" s="2"/>
      <c r="Q164" s="2"/>
      <c r="R164" s="2"/>
      <c r="S164" s="2"/>
      <c r="T164" s="2"/>
      <c r="U164" s="2"/>
    </row>
    <row r="165" spans="1:21" ht="12.75" customHeight="1" x14ac:dyDescent="0.2">
      <c r="A165" s="2"/>
      <c r="B165" s="2"/>
      <c r="C165" s="2"/>
      <c r="D165" s="2"/>
      <c r="E165" s="2"/>
      <c r="F165" s="2"/>
      <c r="G165" s="2"/>
      <c r="H165" s="2"/>
      <c r="I165" s="2"/>
      <c r="J165" s="2"/>
      <c r="K165" s="2"/>
      <c r="L165" s="2"/>
      <c r="M165" s="2"/>
      <c r="N165" s="2"/>
      <c r="O165" s="2"/>
      <c r="P165" s="2"/>
      <c r="Q165" s="2"/>
      <c r="R165" s="2"/>
      <c r="S165" s="2"/>
      <c r="T165" s="2"/>
      <c r="U165" s="2"/>
    </row>
    <row r="166" spans="1:21" ht="12.75" customHeight="1" x14ac:dyDescent="0.2">
      <c r="A166" s="2"/>
      <c r="B166" s="2"/>
      <c r="C166" s="2"/>
      <c r="D166" s="2"/>
      <c r="E166" s="2"/>
      <c r="F166" s="2"/>
      <c r="G166" s="2"/>
      <c r="H166" s="2"/>
      <c r="I166" s="2"/>
      <c r="J166" s="2"/>
      <c r="K166" s="2"/>
      <c r="L166" s="2"/>
      <c r="M166" s="2"/>
      <c r="N166" s="2"/>
      <c r="O166" s="2"/>
      <c r="P166" s="2"/>
      <c r="Q166" s="2"/>
      <c r="R166" s="2"/>
      <c r="S166" s="2"/>
      <c r="T166" s="2"/>
      <c r="U166" s="2"/>
    </row>
    <row r="167" spans="1:21" ht="12.75" customHeight="1" x14ac:dyDescent="0.2">
      <c r="A167" s="2"/>
      <c r="B167" s="2"/>
      <c r="C167" s="2"/>
      <c r="D167" s="2"/>
      <c r="E167" s="2"/>
      <c r="F167" s="2"/>
      <c r="G167" s="2"/>
      <c r="H167" s="2"/>
      <c r="I167" s="2"/>
      <c r="J167" s="2"/>
      <c r="K167" s="2"/>
      <c r="L167" s="2"/>
      <c r="M167" s="2"/>
      <c r="N167" s="2"/>
      <c r="O167" s="2"/>
      <c r="P167" s="2"/>
      <c r="Q167" s="2"/>
      <c r="R167" s="2"/>
      <c r="S167" s="2"/>
      <c r="T167" s="2"/>
      <c r="U167" s="2"/>
    </row>
    <row r="168" spans="1:21" ht="12.75" customHeight="1" x14ac:dyDescent="0.2">
      <c r="A168" s="2"/>
      <c r="B168" s="2"/>
      <c r="C168" s="2"/>
      <c r="D168" s="2"/>
      <c r="E168" s="2"/>
      <c r="F168" s="2"/>
      <c r="G168" s="2"/>
      <c r="H168" s="2"/>
      <c r="I168" s="2"/>
      <c r="J168" s="2"/>
      <c r="K168" s="2"/>
      <c r="L168" s="2"/>
      <c r="M168" s="2"/>
      <c r="N168" s="2"/>
      <c r="O168" s="2"/>
      <c r="P168" s="2"/>
      <c r="Q168" s="2"/>
      <c r="R168" s="2"/>
      <c r="S168" s="2"/>
      <c r="T168" s="2"/>
      <c r="U168" s="2"/>
    </row>
    <row r="169" spans="1:21" ht="12.75" customHeight="1" x14ac:dyDescent="0.2">
      <c r="A169" s="2"/>
      <c r="B169" s="2"/>
      <c r="C169" s="2"/>
      <c r="D169" s="2"/>
      <c r="E169" s="2"/>
      <c r="F169" s="2"/>
      <c r="G169" s="2"/>
      <c r="H169" s="2"/>
      <c r="I169" s="2"/>
      <c r="J169" s="2"/>
      <c r="K169" s="2"/>
      <c r="L169" s="2"/>
      <c r="M169" s="2"/>
      <c r="N169" s="2"/>
      <c r="O169" s="2"/>
      <c r="P169" s="2"/>
      <c r="Q169" s="2"/>
      <c r="R169" s="2"/>
      <c r="S169" s="2"/>
      <c r="T169" s="2"/>
      <c r="U169" s="2"/>
    </row>
    <row r="170" spans="1:21" ht="12.75" customHeight="1" x14ac:dyDescent="0.2">
      <c r="A170" s="2"/>
      <c r="B170" s="2"/>
      <c r="C170" s="2"/>
      <c r="D170" s="2"/>
      <c r="E170" s="2"/>
      <c r="F170" s="2"/>
      <c r="G170" s="2"/>
      <c r="H170" s="2"/>
      <c r="I170" s="2"/>
      <c r="J170" s="2"/>
      <c r="K170" s="2"/>
      <c r="L170" s="2"/>
      <c r="M170" s="2"/>
      <c r="N170" s="2"/>
      <c r="O170" s="2"/>
      <c r="P170" s="2"/>
      <c r="Q170" s="2"/>
      <c r="R170" s="2"/>
      <c r="S170" s="2"/>
      <c r="T170" s="2"/>
      <c r="U170" s="2"/>
    </row>
    <row r="171" spans="1:21" ht="12.75" customHeight="1" x14ac:dyDescent="0.2">
      <c r="A171" s="2"/>
      <c r="B171" s="2"/>
      <c r="C171" s="2"/>
      <c r="D171" s="2"/>
      <c r="E171" s="2"/>
      <c r="F171" s="2"/>
      <c r="G171" s="2"/>
      <c r="H171" s="2"/>
      <c r="I171" s="2"/>
      <c r="J171" s="2"/>
      <c r="K171" s="2"/>
      <c r="L171" s="2"/>
      <c r="M171" s="2"/>
      <c r="N171" s="2"/>
      <c r="O171" s="2"/>
      <c r="P171" s="2"/>
      <c r="Q171" s="2"/>
      <c r="R171" s="2"/>
      <c r="S171" s="2"/>
      <c r="T171" s="2"/>
      <c r="U171" s="2"/>
    </row>
    <row r="172" spans="1:21" ht="12.75" customHeight="1" x14ac:dyDescent="0.2">
      <c r="A172" s="2"/>
      <c r="B172" s="2"/>
      <c r="C172" s="2"/>
      <c r="D172" s="2"/>
      <c r="E172" s="2"/>
      <c r="F172" s="2"/>
      <c r="G172" s="2"/>
      <c r="H172" s="2"/>
      <c r="I172" s="2"/>
      <c r="J172" s="2"/>
      <c r="K172" s="2"/>
      <c r="L172" s="2"/>
      <c r="M172" s="2"/>
      <c r="N172" s="2"/>
      <c r="O172" s="2"/>
      <c r="P172" s="2"/>
      <c r="Q172" s="2"/>
      <c r="R172" s="2"/>
      <c r="S172" s="2"/>
      <c r="T172" s="2"/>
      <c r="U172" s="2"/>
    </row>
    <row r="173" spans="1:21" ht="12.75" customHeight="1" x14ac:dyDescent="0.2">
      <c r="A173" s="2"/>
      <c r="B173" s="2"/>
      <c r="C173" s="2"/>
      <c r="D173" s="2"/>
      <c r="E173" s="2"/>
      <c r="F173" s="2"/>
      <c r="G173" s="2"/>
      <c r="H173" s="2"/>
      <c r="I173" s="2"/>
      <c r="J173" s="2"/>
      <c r="K173" s="2"/>
      <c r="L173" s="2"/>
      <c r="M173" s="2"/>
      <c r="N173" s="2"/>
      <c r="O173" s="2"/>
      <c r="P173" s="2"/>
      <c r="Q173" s="2"/>
      <c r="R173" s="2"/>
      <c r="S173" s="2"/>
      <c r="T173" s="2"/>
      <c r="U173" s="2"/>
    </row>
    <row r="174" spans="1:21" ht="12.75" customHeight="1" x14ac:dyDescent="0.2">
      <c r="A174" s="2"/>
      <c r="B174" s="2"/>
      <c r="C174" s="2"/>
      <c r="D174" s="2"/>
      <c r="E174" s="2"/>
      <c r="F174" s="2"/>
      <c r="G174" s="2"/>
      <c r="H174" s="2"/>
      <c r="I174" s="2"/>
      <c r="J174" s="2"/>
      <c r="K174" s="2"/>
      <c r="L174" s="2"/>
      <c r="M174" s="2"/>
      <c r="N174" s="2"/>
      <c r="O174" s="2"/>
      <c r="P174" s="2"/>
      <c r="Q174" s="2"/>
      <c r="R174" s="2"/>
      <c r="S174" s="2"/>
      <c r="T174" s="2"/>
      <c r="U174" s="2"/>
    </row>
    <row r="175" spans="1:21" ht="12.75" customHeight="1" x14ac:dyDescent="0.2">
      <c r="A175" s="2"/>
      <c r="B175" s="2"/>
      <c r="C175" s="2"/>
      <c r="D175" s="2"/>
      <c r="E175" s="2"/>
      <c r="F175" s="2"/>
      <c r="G175" s="2"/>
      <c r="H175" s="2"/>
      <c r="I175" s="2"/>
      <c r="J175" s="2"/>
      <c r="K175" s="2"/>
      <c r="L175" s="2"/>
      <c r="M175" s="2"/>
      <c r="N175" s="2"/>
      <c r="O175" s="2"/>
      <c r="P175" s="2"/>
      <c r="Q175" s="2"/>
      <c r="R175" s="2"/>
      <c r="S175" s="2"/>
      <c r="T175" s="2"/>
      <c r="U175" s="2"/>
    </row>
    <row r="176" spans="1:21" ht="12.75" customHeight="1" x14ac:dyDescent="0.2">
      <c r="A176" s="2"/>
      <c r="B176" s="2"/>
      <c r="C176" s="2"/>
      <c r="D176" s="2"/>
      <c r="E176" s="2"/>
      <c r="F176" s="2"/>
      <c r="G176" s="2"/>
      <c r="H176" s="2"/>
      <c r="I176" s="2"/>
      <c r="J176" s="2"/>
      <c r="K176" s="2"/>
      <c r="L176" s="2"/>
      <c r="M176" s="2"/>
      <c r="N176" s="2"/>
      <c r="O176" s="2"/>
      <c r="P176" s="2"/>
      <c r="Q176" s="2"/>
      <c r="R176" s="2"/>
      <c r="S176" s="2"/>
      <c r="T176" s="2"/>
      <c r="U176" s="2"/>
    </row>
    <row r="177" spans="1:21" ht="12.75" customHeight="1" x14ac:dyDescent="0.2">
      <c r="A177" s="2"/>
      <c r="B177" s="2"/>
      <c r="C177" s="2"/>
      <c r="D177" s="2"/>
      <c r="E177" s="2"/>
      <c r="F177" s="2"/>
      <c r="G177" s="2"/>
      <c r="H177" s="2"/>
      <c r="I177" s="2"/>
      <c r="J177" s="2"/>
      <c r="K177" s="2"/>
      <c r="L177" s="2"/>
      <c r="M177" s="2"/>
      <c r="N177" s="2"/>
      <c r="O177" s="2"/>
      <c r="P177" s="2"/>
      <c r="Q177" s="2"/>
      <c r="R177" s="2"/>
      <c r="S177" s="2"/>
      <c r="T177" s="2"/>
      <c r="U177" s="2"/>
    </row>
    <row r="178" spans="1:21" ht="12.75" customHeight="1" x14ac:dyDescent="0.2">
      <c r="A178" s="2"/>
      <c r="B178" s="2"/>
      <c r="C178" s="2"/>
      <c r="D178" s="2"/>
      <c r="E178" s="2"/>
      <c r="F178" s="2"/>
      <c r="G178" s="2"/>
      <c r="H178" s="2"/>
      <c r="I178" s="2"/>
      <c r="J178" s="2"/>
      <c r="K178" s="2"/>
      <c r="L178" s="2"/>
      <c r="M178" s="2"/>
      <c r="N178" s="2"/>
      <c r="O178" s="2"/>
      <c r="P178" s="2"/>
      <c r="Q178" s="2"/>
      <c r="R178" s="2"/>
      <c r="S178" s="2"/>
      <c r="T178" s="2"/>
      <c r="U178" s="2"/>
    </row>
    <row r="179" spans="1:21" ht="12.75" customHeight="1" x14ac:dyDescent="0.2">
      <c r="A179" s="2"/>
      <c r="B179" s="2"/>
      <c r="C179" s="2"/>
      <c r="D179" s="2"/>
      <c r="E179" s="2"/>
      <c r="F179" s="2"/>
      <c r="G179" s="2"/>
      <c r="H179" s="2"/>
      <c r="I179" s="2"/>
      <c r="J179" s="2"/>
      <c r="K179" s="2"/>
      <c r="L179" s="2"/>
      <c r="M179" s="2"/>
      <c r="N179" s="2"/>
      <c r="O179" s="2"/>
      <c r="P179" s="2"/>
      <c r="Q179" s="2"/>
      <c r="R179" s="2"/>
      <c r="S179" s="2"/>
      <c r="T179" s="2"/>
      <c r="U179" s="2"/>
    </row>
    <row r="180" spans="1:21" ht="12.75" customHeight="1" x14ac:dyDescent="0.2">
      <c r="A180" s="2"/>
      <c r="B180" s="2"/>
      <c r="C180" s="2"/>
      <c r="D180" s="2"/>
      <c r="E180" s="2"/>
      <c r="F180" s="2"/>
      <c r="G180" s="2"/>
      <c r="H180" s="2"/>
      <c r="I180" s="2"/>
      <c r="J180" s="2"/>
      <c r="K180" s="2"/>
      <c r="L180" s="2"/>
      <c r="M180" s="2"/>
      <c r="N180" s="2"/>
      <c r="O180" s="2"/>
      <c r="P180" s="2"/>
      <c r="Q180" s="2"/>
      <c r="R180" s="2"/>
      <c r="S180" s="2"/>
      <c r="T180" s="2"/>
      <c r="U180" s="2"/>
    </row>
    <row r="181" spans="1:21" ht="12.75" customHeight="1" x14ac:dyDescent="0.2">
      <c r="A181" s="2"/>
      <c r="B181" s="2"/>
      <c r="C181" s="2"/>
      <c r="D181" s="2"/>
      <c r="E181" s="2"/>
      <c r="F181" s="2"/>
      <c r="G181" s="2"/>
      <c r="H181" s="2"/>
      <c r="I181" s="2"/>
      <c r="J181" s="2"/>
      <c r="K181" s="2"/>
      <c r="L181" s="2"/>
      <c r="M181" s="2"/>
      <c r="N181" s="2"/>
      <c r="O181" s="2"/>
      <c r="P181" s="2"/>
      <c r="Q181" s="2"/>
      <c r="R181" s="2"/>
      <c r="S181" s="2"/>
      <c r="T181" s="2"/>
      <c r="U181" s="2"/>
    </row>
    <row r="182" spans="1:21" ht="12.75" customHeight="1" x14ac:dyDescent="0.2">
      <c r="A182" s="2"/>
      <c r="B182" s="2"/>
      <c r="C182" s="2"/>
      <c r="D182" s="2"/>
      <c r="E182" s="2"/>
      <c r="F182" s="2"/>
      <c r="G182" s="2"/>
      <c r="H182" s="2"/>
      <c r="I182" s="2"/>
      <c r="J182" s="2"/>
      <c r="K182" s="2"/>
      <c r="L182" s="2"/>
      <c r="M182" s="2"/>
      <c r="N182" s="2"/>
      <c r="O182" s="2"/>
      <c r="P182" s="2"/>
      <c r="Q182" s="2"/>
      <c r="R182" s="2"/>
      <c r="S182" s="2"/>
      <c r="T182" s="2"/>
      <c r="U182" s="2"/>
    </row>
    <row r="183" spans="1:21" ht="12.75" customHeight="1" x14ac:dyDescent="0.2">
      <c r="A183" s="2"/>
      <c r="B183" s="2"/>
      <c r="C183" s="2"/>
      <c r="D183" s="2"/>
      <c r="E183" s="2"/>
      <c r="F183" s="2"/>
      <c r="G183" s="2"/>
      <c r="H183" s="2"/>
      <c r="I183" s="2"/>
      <c r="J183" s="2"/>
      <c r="K183" s="2"/>
      <c r="L183" s="2"/>
      <c r="M183" s="2"/>
      <c r="N183" s="2"/>
      <c r="O183" s="2"/>
      <c r="P183" s="2"/>
      <c r="Q183" s="2"/>
      <c r="R183" s="2"/>
      <c r="S183" s="2"/>
      <c r="T183" s="2"/>
      <c r="U183" s="2"/>
    </row>
    <row r="184" spans="1:21" ht="12.75" customHeight="1" x14ac:dyDescent="0.2">
      <c r="A184" s="2"/>
      <c r="B184" s="2"/>
      <c r="C184" s="2"/>
      <c r="D184" s="2"/>
      <c r="E184" s="2"/>
      <c r="F184" s="2"/>
      <c r="G184" s="2"/>
      <c r="H184" s="2"/>
      <c r="I184" s="2"/>
      <c r="J184" s="2"/>
      <c r="K184" s="2"/>
      <c r="L184" s="2"/>
      <c r="M184" s="2"/>
      <c r="N184" s="2"/>
      <c r="O184" s="2"/>
      <c r="P184" s="2"/>
      <c r="Q184" s="2"/>
      <c r="R184" s="2"/>
      <c r="S184" s="2"/>
      <c r="T184" s="2"/>
      <c r="U184" s="2"/>
    </row>
    <row r="185" spans="1:21" ht="12.75" customHeight="1" x14ac:dyDescent="0.2">
      <c r="A185" s="2"/>
      <c r="B185" s="2"/>
      <c r="C185" s="2"/>
      <c r="D185" s="2"/>
      <c r="E185" s="2"/>
      <c r="F185" s="2"/>
      <c r="G185" s="2"/>
      <c r="H185" s="2"/>
      <c r="I185" s="2"/>
      <c r="J185" s="2"/>
      <c r="K185" s="2"/>
      <c r="L185" s="2"/>
      <c r="M185" s="2"/>
      <c r="N185" s="2"/>
      <c r="O185" s="2"/>
      <c r="P185" s="2"/>
      <c r="Q185" s="2"/>
      <c r="R185" s="2"/>
      <c r="S185" s="2"/>
      <c r="T185" s="2"/>
      <c r="U185" s="2"/>
    </row>
    <row r="186" spans="1:21" ht="12.75" customHeight="1" x14ac:dyDescent="0.2">
      <c r="A186" s="2"/>
      <c r="B186" s="2"/>
      <c r="C186" s="2"/>
      <c r="D186" s="2"/>
      <c r="E186" s="2"/>
      <c r="F186" s="2"/>
      <c r="G186" s="2"/>
      <c r="H186" s="2"/>
      <c r="I186" s="2"/>
      <c r="J186" s="2"/>
      <c r="K186" s="2"/>
      <c r="L186" s="2"/>
      <c r="M186" s="2"/>
      <c r="N186" s="2"/>
      <c r="O186" s="2"/>
      <c r="P186" s="2"/>
      <c r="Q186" s="2"/>
      <c r="R186" s="2"/>
      <c r="S186" s="2"/>
      <c r="T186" s="2"/>
      <c r="U186" s="2"/>
    </row>
    <row r="187" spans="1:21" ht="12.75" customHeight="1" x14ac:dyDescent="0.2">
      <c r="A187" s="2"/>
      <c r="B187" s="2"/>
      <c r="C187" s="2"/>
      <c r="D187" s="2"/>
      <c r="E187" s="2"/>
      <c r="F187" s="2"/>
      <c r="G187" s="2"/>
      <c r="H187" s="2"/>
      <c r="I187" s="2"/>
      <c r="J187" s="2"/>
      <c r="K187" s="2"/>
      <c r="L187" s="2"/>
      <c r="M187" s="2"/>
      <c r="N187" s="2"/>
      <c r="O187" s="2"/>
      <c r="P187" s="2"/>
      <c r="Q187" s="2"/>
      <c r="R187" s="2"/>
      <c r="S187" s="2"/>
      <c r="T187" s="2"/>
      <c r="U187" s="2"/>
    </row>
    <row r="188" spans="1:21" ht="12.75" customHeight="1" x14ac:dyDescent="0.2">
      <c r="A188" s="2"/>
      <c r="B188" s="2"/>
      <c r="C188" s="2"/>
      <c r="D188" s="2"/>
      <c r="E188" s="2"/>
      <c r="F188" s="2"/>
      <c r="G188" s="2"/>
      <c r="H188" s="2"/>
      <c r="I188" s="2"/>
      <c r="J188" s="2"/>
      <c r="K188" s="2"/>
      <c r="L188" s="2"/>
      <c r="M188" s="2"/>
      <c r="N188" s="2"/>
      <c r="O188" s="2"/>
      <c r="P188" s="2"/>
      <c r="Q188" s="2"/>
      <c r="R188" s="2"/>
      <c r="S188" s="2"/>
      <c r="T188" s="2"/>
      <c r="U188" s="2"/>
    </row>
    <row r="189" spans="1:21" ht="12.75" customHeight="1" x14ac:dyDescent="0.2">
      <c r="A189" s="2"/>
      <c r="B189" s="2"/>
      <c r="C189" s="2"/>
      <c r="D189" s="2"/>
      <c r="E189" s="2"/>
      <c r="F189" s="2"/>
      <c r="G189" s="2"/>
      <c r="H189" s="2"/>
      <c r="I189" s="2"/>
      <c r="J189" s="2"/>
      <c r="K189" s="2"/>
      <c r="L189" s="2"/>
      <c r="M189" s="2"/>
      <c r="N189" s="2"/>
      <c r="O189" s="2"/>
      <c r="P189" s="2"/>
      <c r="Q189" s="2"/>
      <c r="R189" s="2"/>
      <c r="S189" s="2"/>
      <c r="T189" s="2"/>
      <c r="U189" s="2"/>
    </row>
    <row r="190" spans="1:21" ht="12.75" customHeight="1" x14ac:dyDescent="0.2">
      <c r="A190" s="2"/>
      <c r="B190" s="2"/>
      <c r="C190" s="2"/>
      <c r="D190" s="2"/>
      <c r="E190" s="2"/>
      <c r="F190" s="2"/>
      <c r="G190" s="2"/>
      <c r="H190" s="2"/>
      <c r="I190" s="2"/>
      <c r="J190" s="2"/>
      <c r="K190" s="2"/>
      <c r="L190" s="2"/>
      <c r="M190" s="2"/>
      <c r="N190" s="2"/>
      <c r="O190" s="2"/>
      <c r="P190" s="2"/>
      <c r="Q190" s="2"/>
      <c r="R190" s="2"/>
      <c r="S190" s="2"/>
      <c r="T190" s="2"/>
      <c r="U190" s="2"/>
    </row>
    <row r="191" spans="1:21" ht="12.75" customHeight="1" x14ac:dyDescent="0.2">
      <c r="A191" s="2"/>
      <c r="B191" s="2"/>
      <c r="C191" s="2"/>
      <c r="D191" s="2"/>
      <c r="E191" s="2"/>
      <c r="F191" s="2"/>
      <c r="G191" s="2"/>
      <c r="H191" s="2"/>
      <c r="I191" s="2"/>
      <c r="J191" s="2"/>
      <c r="K191" s="2"/>
      <c r="L191" s="2"/>
      <c r="M191" s="2"/>
      <c r="N191" s="2"/>
      <c r="O191" s="2"/>
      <c r="P191" s="2"/>
      <c r="Q191" s="2"/>
      <c r="R191" s="2"/>
      <c r="S191" s="2"/>
      <c r="T191" s="2"/>
      <c r="U191" s="2"/>
    </row>
    <row r="192" spans="1:21" ht="12.75" customHeight="1" x14ac:dyDescent="0.2">
      <c r="A192" s="2"/>
      <c r="B192" s="2"/>
      <c r="C192" s="2"/>
      <c r="D192" s="2"/>
      <c r="E192" s="2"/>
      <c r="F192" s="2"/>
      <c r="G192" s="2"/>
      <c r="H192" s="2"/>
      <c r="I192" s="2"/>
      <c r="J192" s="2"/>
      <c r="K192" s="2"/>
      <c r="L192" s="2"/>
      <c r="M192" s="2"/>
      <c r="N192" s="2"/>
      <c r="O192" s="2"/>
      <c r="P192" s="2"/>
      <c r="Q192" s="2"/>
      <c r="R192" s="2"/>
      <c r="S192" s="2"/>
      <c r="T192" s="2"/>
      <c r="U192" s="2"/>
    </row>
    <row r="193" spans="1:21" ht="12.75" customHeight="1" x14ac:dyDescent="0.2">
      <c r="A193" s="2"/>
      <c r="B193" s="2"/>
      <c r="C193" s="2"/>
      <c r="D193" s="2"/>
      <c r="E193" s="2"/>
      <c r="F193" s="2"/>
      <c r="G193" s="2"/>
      <c r="H193" s="2"/>
      <c r="I193" s="2"/>
      <c r="J193" s="2"/>
      <c r="K193" s="2"/>
      <c r="L193" s="2"/>
      <c r="M193" s="2"/>
      <c r="N193" s="2"/>
      <c r="O193" s="2"/>
      <c r="P193" s="2"/>
      <c r="Q193" s="2"/>
      <c r="R193" s="2"/>
      <c r="S193" s="2"/>
      <c r="T193" s="2"/>
      <c r="U193" s="2"/>
    </row>
    <row r="194" spans="1:21" ht="12.75" customHeight="1" x14ac:dyDescent="0.2">
      <c r="A194" s="2"/>
      <c r="B194" s="2"/>
      <c r="C194" s="2"/>
      <c r="D194" s="2"/>
      <c r="E194" s="2"/>
      <c r="F194" s="2"/>
      <c r="G194" s="2"/>
      <c r="H194" s="2"/>
      <c r="I194" s="2"/>
      <c r="J194" s="2"/>
      <c r="K194" s="2"/>
      <c r="L194" s="2"/>
      <c r="M194" s="2"/>
      <c r="N194" s="2"/>
      <c r="O194" s="2"/>
      <c r="P194" s="2"/>
      <c r="Q194" s="2"/>
      <c r="R194" s="2"/>
      <c r="S194" s="2"/>
      <c r="T194" s="2"/>
      <c r="U194" s="2"/>
    </row>
    <row r="195" spans="1:21" ht="12.75" customHeight="1" x14ac:dyDescent="0.2">
      <c r="A195" s="2"/>
      <c r="B195" s="2"/>
      <c r="C195" s="2"/>
      <c r="D195" s="2"/>
      <c r="E195" s="2"/>
      <c r="F195" s="2"/>
      <c r="G195" s="2"/>
      <c r="H195" s="2"/>
      <c r="I195" s="2"/>
      <c r="J195" s="2"/>
      <c r="K195" s="2"/>
      <c r="L195" s="2"/>
      <c r="M195" s="2"/>
      <c r="N195" s="2"/>
      <c r="O195" s="2"/>
      <c r="P195" s="2"/>
      <c r="Q195" s="2"/>
      <c r="R195" s="2"/>
      <c r="S195" s="2"/>
      <c r="T195" s="2"/>
      <c r="U195" s="2"/>
    </row>
    <row r="196" spans="1:21" ht="12.75" customHeight="1" x14ac:dyDescent="0.2">
      <c r="A196" s="2"/>
      <c r="B196" s="2"/>
      <c r="C196" s="2"/>
      <c r="D196" s="2"/>
      <c r="E196" s="2"/>
      <c r="F196" s="2"/>
      <c r="G196" s="2"/>
      <c r="H196" s="2"/>
      <c r="I196" s="2"/>
      <c r="J196" s="2"/>
      <c r="K196" s="2"/>
      <c r="L196" s="2"/>
      <c r="M196" s="2"/>
      <c r="N196" s="2"/>
      <c r="O196" s="2"/>
      <c r="P196" s="2"/>
      <c r="Q196" s="2"/>
      <c r="R196" s="2"/>
      <c r="S196" s="2"/>
      <c r="T196" s="2"/>
      <c r="U196" s="2"/>
    </row>
    <row r="197" spans="1:21" ht="12.75" customHeight="1" x14ac:dyDescent="0.2">
      <c r="A197" s="2"/>
      <c r="B197" s="2"/>
      <c r="C197" s="2"/>
      <c r="D197" s="2"/>
      <c r="E197" s="2"/>
      <c r="F197" s="2"/>
      <c r="G197" s="2"/>
      <c r="H197" s="2"/>
      <c r="I197" s="2"/>
      <c r="J197" s="2"/>
      <c r="K197" s="2"/>
      <c r="L197" s="2"/>
      <c r="M197" s="2"/>
      <c r="N197" s="2"/>
      <c r="O197" s="2"/>
      <c r="P197" s="2"/>
      <c r="Q197" s="2"/>
      <c r="R197" s="2"/>
      <c r="S197" s="2"/>
      <c r="T197" s="2"/>
      <c r="U197" s="2"/>
    </row>
    <row r="198" spans="1:21" ht="12.75" customHeight="1" x14ac:dyDescent="0.2">
      <c r="A198" s="2"/>
      <c r="B198" s="2"/>
      <c r="C198" s="2"/>
      <c r="D198" s="2"/>
      <c r="E198" s="2"/>
      <c r="F198" s="2"/>
      <c r="G198" s="2"/>
      <c r="H198" s="2"/>
      <c r="I198" s="2"/>
      <c r="J198" s="2"/>
      <c r="K198" s="2"/>
      <c r="L198" s="2"/>
      <c r="M198" s="2"/>
      <c r="N198" s="2"/>
      <c r="O198" s="2"/>
      <c r="P198" s="2"/>
      <c r="Q198" s="2"/>
      <c r="R198" s="2"/>
      <c r="S198" s="2"/>
      <c r="T198" s="2"/>
      <c r="U198" s="2"/>
    </row>
    <row r="199" spans="1:21" ht="12.75" customHeight="1" x14ac:dyDescent="0.2">
      <c r="A199" s="2"/>
      <c r="B199" s="2"/>
      <c r="C199" s="2"/>
      <c r="D199" s="2"/>
      <c r="E199" s="2"/>
      <c r="F199" s="2"/>
      <c r="G199" s="2"/>
      <c r="H199" s="2"/>
      <c r="I199" s="2"/>
      <c r="J199" s="2"/>
      <c r="K199" s="2"/>
      <c r="L199" s="2"/>
      <c r="M199" s="2"/>
      <c r="N199" s="2"/>
      <c r="O199" s="2"/>
      <c r="P199" s="2"/>
      <c r="Q199" s="2"/>
      <c r="R199" s="2"/>
      <c r="S199" s="2"/>
      <c r="T199" s="2"/>
      <c r="U199" s="2"/>
    </row>
    <row r="200" spans="1:21" ht="12.75" customHeight="1" x14ac:dyDescent="0.2">
      <c r="A200" s="2"/>
      <c r="B200" s="2"/>
      <c r="C200" s="2"/>
      <c r="D200" s="2"/>
      <c r="E200" s="2"/>
      <c r="F200" s="2"/>
      <c r="G200" s="2"/>
      <c r="H200" s="2"/>
      <c r="I200" s="2"/>
      <c r="J200" s="2"/>
      <c r="K200" s="2"/>
      <c r="L200" s="2"/>
      <c r="M200" s="2"/>
      <c r="N200" s="2"/>
      <c r="O200" s="2"/>
      <c r="P200" s="2"/>
      <c r="Q200" s="2"/>
      <c r="R200" s="2"/>
      <c r="S200" s="2"/>
      <c r="T200" s="2"/>
      <c r="U200" s="2"/>
    </row>
    <row r="201" spans="1:21" ht="12.75" customHeight="1" x14ac:dyDescent="0.2">
      <c r="A201" s="2"/>
      <c r="B201" s="2"/>
      <c r="C201" s="2"/>
      <c r="D201" s="2"/>
      <c r="E201" s="2"/>
      <c r="F201" s="2"/>
      <c r="G201" s="2"/>
      <c r="H201" s="2"/>
      <c r="I201" s="2"/>
      <c r="J201" s="2"/>
      <c r="K201" s="2"/>
      <c r="L201" s="2"/>
      <c r="M201" s="2"/>
      <c r="N201" s="2"/>
      <c r="O201" s="2"/>
      <c r="P201" s="2"/>
      <c r="Q201" s="2"/>
      <c r="R201" s="2"/>
      <c r="S201" s="2"/>
      <c r="T201" s="2"/>
      <c r="U201" s="2"/>
    </row>
    <row r="202" spans="1:21" ht="12.75" customHeight="1" x14ac:dyDescent="0.2">
      <c r="A202" s="2"/>
      <c r="B202" s="2"/>
      <c r="C202" s="2"/>
      <c r="D202" s="2"/>
      <c r="E202" s="2"/>
      <c r="F202" s="2"/>
      <c r="G202" s="2"/>
      <c r="H202" s="2"/>
      <c r="I202" s="2"/>
      <c r="J202" s="2"/>
      <c r="K202" s="2"/>
      <c r="L202" s="2"/>
      <c r="M202" s="2"/>
      <c r="N202" s="2"/>
      <c r="O202" s="2"/>
      <c r="P202" s="2"/>
      <c r="Q202" s="2"/>
      <c r="R202" s="2"/>
      <c r="S202" s="2"/>
      <c r="T202" s="2"/>
      <c r="U202" s="2"/>
    </row>
    <row r="203" spans="1:21" ht="12.75" customHeight="1" x14ac:dyDescent="0.2">
      <c r="A203" s="2"/>
      <c r="B203" s="2"/>
      <c r="C203" s="2"/>
      <c r="D203" s="2"/>
      <c r="E203" s="2"/>
      <c r="F203" s="2"/>
      <c r="G203" s="2"/>
      <c r="H203" s="2"/>
      <c r="I203" s="2"/>
      <c r="J203" s="2"/>
      <c r="K203" s="2"/>
      <c r="L203" s="2"/>
      <c r="M203" s="2"/>
      <c r="N203" s="2"/>
      <c r="O203" s="2"/>
      <c r="P203" s="2"/>
      <c r="Q203" s="2"/>
      <c r="R203" s="2"/>
      <c r="S203" s="2"/>
      <c r="T203" s="2"/>
      <c r="U203" s="2"/>
    </row>
    <row r="204" spans="1:21" ht="12.75" customHeight="1" x14ac:dyDescent="0.2">
      <c r="A204" s="2"/>
      <c r="B204" s="2"/>
      <c r="C204" s="2"/>
      <c r="D204" s="2"/>
      <c r="E204" s="2"/>
      <c r="F204" s="2"/>
      <c r="G204" s="2"/>
      <c r="H204" s="2"/>
      <c r="I204" s="2"/>
      <c r="J204" s="2"/>
      <c r="K204" s="2"/>
      <c r="L204" s="2"/>
      <c r="M204" s="2"/>
      <c r="N204" s="2"/>
      <c r="O204" s="2"/>
      <c r="P204" s="2"/>
      <c r="Q204" s="2"/>
      <c r="R204" s="2"/>
      <c r="S204" s="2"/>
      <c r="T204" s="2"/>
      <c r="U204" s="2"/>
    </row>
    <row r="205" spans="1:21" ht="12.75" customHeight="1" x14ac:dyDescent="0.2">
      <c r="A205" s="2"/>
      <c r="B205" s="2"/>
      <c r="C205" s="2"/>
      <c r="D205" s="2"/>
      <c r="E205" s="2"/>
      <c r="F205" s="2"/>
      <c r="G205" s="2"/>
      <c r="H205" s="2"/>
      <c r="I205" s="2"/>
      <c r="J205" s="2"/>
      <c r="K205" s="2"/>
      <c r="L205" s="2"/>
      <c r="M205" s="2"/>
      <c r="N205" s="2"/>
      <c r="O205" s="2"/>
      <c r="P205" s="2"/>
      <c r="Q205" s="2"/>
      <c r="R205" s="2"/>
      <c r="S205" s="2"/>
      <c r="T205" s="2"/>
      <c r="U205" s="2"/>
    </row>
    <row r="206" spans="1:21" ht="12.75" customHeight="1" x14ac:dyDescent="0.2">
      <c r="A206" s="2"/>
      <c r="B206" s="2"/>
      <c r="C206" s="2"/>
      <c r="D206" s="2"/>
      <c r="E206" s="2"/>
      <c r="F206" s="2"/>
      <c r="G206" s="2"/>
      <c r="H206" s="2"/>
      <c r="I206" s="2"/>
      <c r="J206" s="2"/>
      <c r="K206" s="2"/>
      <c r="L206" s="2"/>
      <c r="M206" s="2"/>
      <c r="N206" s="2"/>
      <c r="O206" s="2"/>
      <c r="P206" s="2"/>
      <c r="Q206" s="2"/>
      <c r="R206" s="2"/>
      <c r="S206" s="2"/>
      <c r="T206" s="2"/>
      <c r="U206" s="2"/>
    </row>
    <row r="207" spans="1:21" ht="12.75" customHeight="1" x14ac:dyDescent="0.2">
      <c r="A207" s="2"/>
      <c r="B207" s="2"/>
      <c r="C207" s="2"/>
      <c r="D207" s="2"/>
      <c r="E207" s="2"/>
      <c r="F207" s="2"/>
      <c r="G207" s="2"/>
      <c r="H207" s="2"/>
      <c r="I207" s="2"/>
      <c r="J207" s="2"/>
      <c r="K207" s="2"/>
      <c r="L207" s="2"/>
      <c r="M207" s="2"/>
      <c r="N207" s="2"/>
      <c r="O207" s="2"/>
      <c r="P207" s="2"/>
      <c r="Q207" s="2"/>
      <c r="R207" s="2"/>
      <c r="S207" s="2"/>
      <c r="T207" s="2"/>
      <c r="U207" s="2"/>
    </row>
    <row r="208" spans="1:21" ht="12.75" customHeight="1" x14ac:dyDescent="0.2">
      <c r="A208" s="2"/>
      <c r="B208" s="2"/>
      <c r="C208" s="2"/>
      <c r="D208" s="2"/>
      <c r="E208" s="2"/>
      <c r="F208" s="2"/>
      <c r="G208" s="2"/>
      <c r="H208" s="2"/>
      <c r="I208" s="2"/>
      <c r="J208" s="2"/>
      <c r="K208" s="2"/>
      <c r="L208" s="2"/>
      <c r="M208" s="2"/>
      <c r="N208" s="2"/>
      <c r="O208" s="2"/>
      <c r="P208" s="2"/>
      <c r="Q208" s="2"/>
      <c r="R208" s="2"/>
      <c r="S208" s="2"/>
      <c r="T208" s="2"/>
      <c r="U208" s="2"/>
    </row>
    <row r="209" spans="1:21" ht="12.75" customHeight="1" x14ac:dyDescent="0.2">
      <c r="A209" s="2"/>
      <c r="B209" s="2"/>
      <c r="C209" s="2"/>
      <c r="D209" s="2"/>
      <c r="E209" s="2"/>
      <c r="F209" s="2"/>
      <c r="G209" s="2"/>
      <c r="H209" s="2"/>
      <c r="I209" s="2"/>
      <c r="J209" s="2"/>
      <c r="K209" s="2"/>
      <c r="L209" s="2"/>
      <c r="M209" s="2"/>
      <c r="N209" s="2"/>
      <c r="O209" s="2"/>
      <c r="P209" s="2"/>
      <c r="Q209" s="2"/>
      <c r="R209" s="2"/>
      <c r="S209" s="2"/>
      <c r="T209" s="2"/>
      <c r="U209" s="2"/>
    </row>
    <row r="210" spans="1:21" ht="12.75" customHeight="1" x14ac:dyDescent="0.2">
      <c r="A210" s="2"/>
      <c r="B210" s="2"/>
      <c r="C210" s="2"/>
      <c r="D210" s="2"/>
      <c r="E210" s="2"/>
      <c r="F210" s="2"/>
      <c r="G210" s="2"/>
      <c r="H210" s="2"/>
      <c r="I210" s="2"/>
      <c r="J210" s="2"/>
      <c r="K210" s="2"/>
      <c r="L210" s="2"/>
      <c r="M210" s="2"/>
      <c r="N210" s="2"/>
      <c r="O210" s="2"/>
      <c r="P210" s="2"/>
      <c r="Q210" s="2"/>
      <c r="R210" s="2"/>
      <c r="S210" s="2"/>
      <c r="T210" s="2"/>
      <c r="U210" s="2"/>
    </row>
    <row r="211" spans="1:21" ht="12.75" customHeight="1" x14ac:dyDescent="0.2">
      <c r="A211" s="2"/>
      <c r="B211" s="2"/>
      <c r="C211" s="2"/>
      <c r="D211" s="2"/>
      <c r="E211" s="2"/>
      <c r="F211" s="2"/>
      <c r="G211" s="2"/>
      <c r="H211" s="2"/>
      <c r="I211" s="2"/>
      <c r="J211" s="2"/>
      <c r="K211" s="2"/>
      <c r="L211" s="2"/>
      <c r="M211" s="2"/>
      <c r="N211" s="2"/>
      <c r="O211" s="2"/>
      <c r="P211" s="2"/>
      <c r="Q211" s="2"/>
      <c r="R211" s="2"/>
      <c r="S211" s="2"/>
      <c r="T211" s="2"/>
      <c r="U211" s="2"/>
    </row>
    <row r="212" spans="1:21" ht="12.75" customHeight="1" x14ac:dyDescent="0.2">
      <c r="A212" s="2"/>
      <c r="B212" s="2"/>
      <c r="C212" s="2"/>
      <c r="D212" s="2"/>
      <c r="E212" s="2"/>
      <c r="F212" s="2"/>
      <c r="G212" s="2"/>
      <c r="H212" s="2"/>
      <c r="I212" s="2"/>
      <c r="J212" s="2"/>
      <c r="K212" s="2"/>
      <c r="L212" s="2"/>
      <c r="M212" s="2"/>
      <c r="N212" s="2"/>
      <c r="O212" s="2"/>
      <c r="P212" s="2"/>
      <c r="Q212" s="2"/>
      <c r="R212" s="2"/>
      <c r="S212" s="2"/>
      <c r="T212" s="2"/>
      <c r="U212" s="2"/>
    </row>
    <row r="213" spans="1:21" ht="12.75" customHeight="1" x14ac:dyDescent="0.2">
      <c r="A213" s="2"/>
      <c r="B213" s="2"/>
      <c r="C213" s="2"/>
      <c r="D213" s="2"/>
      <c r="E213" s="2"/>
      <c r="F213" s="2"/>
      <c r="G213" s="2"/>
      <c r="H213" s="2"/>
      <c r="I213" s="2"/>
      <c r="J213" s="2"/>
      <c r="K213" s="2"/>
      <c r="L213" s="2"/>
      <c r="M213" s="2"/>
      <c r="N213" s="2"/>
      <c r="O213" s="2"/>
      <c r="P213" s="2"/>
      <c r="Q213" s="2"/>
      <c r="R213" s="2"/>
      <c r="S213" s="2"/>
      <c r="T213" s="2"/>
      <c r="U213" s="2"/>
    </row>
    <row r="214" spans="1:21" ht="12.75" customHeight="1" x14ac:dyDescent="0.2">
      <c r="A214" s="2"/>
      <c r="B214" s="2"/>
      <c r="C214" s="2"/>
      <c r="D214" s="2"/>
      <c r="E214" s="2"/>
      <c r="F214" s="2"/>
      <c r="G214" s="2"/>
      <c r="H214" s="2"/>
      <c r="I214" s="2"/>
      <c r="J214" s="2"/>
      <c r="K214" s="2"/>
      <c r="L214" s="2"/>
      <c r="M214" s="2"/>
      <c r="N214" s="2"/>
      <c r="O214" s="2"/>
      <c r="P214" s="2"/>
      <c r="Q214" s="2"/>
      <c r="R214" s="2"/>
      <c r="S214" s="2"/>
      <c r="T214" s="2"/>
      <c r="U214" s="2"/>
    </row>
    <row r="215" spans="1:21" ht="12.75" customHeight="1" x14ac:dyDescent="0.2">
      <c r="A215" s="2"/>
      <c r="B215" s="2"/>
      <c r="C215" s="2"/>
      <c r="D215" s="2"/>
      <c r="E215" s="2"/>
      <c r="F215" s="2"/>
      <c r="G215" s="2"/>
      <c r="H215" s="2"/>
      <c r="I215" s="2"/>
      <c r="J215" s="2"/>
      <c r="K215" s="2"/>
      <c r="L215" s="2"/>
      <c r="M215" s="2"/>
      <c r="N215" s="2"/>
      <c r="O215" s="2"/>
      <c r="P215" s="2"/>
      <c r="Q215" s="2"/>
      <c r="R215" s="2"/>
      <c r="S215" s="2"/>
      <c r="T215" s="2"/>
      <c r="U215" s="2"/>
    </row>
    <row r="216" spans="1:21" ht="12.75" customHeight="1" x14ac:dyDescent="0.2">
      <c r="A216" s="2"/>
      <c r="B216" s="2"/>
      <c r="C216" s="2"/>
      <c r="D216" s="2"/>
      <c r="E216" s="2"/>
      <c r="F216" s="2"/>
      <c r="G216" s="2"/>
      <c r="H216" s="2"/>
      <c r="I216" s="2"/>
      <c r="J216" s="2"/>
      <c r="K216" s="2"/>
      <c r="L216" s="2"/>
      <c r="M216" s="2"/>
      <c r="N216" s="2"/>
      <c r="O216" s="2"/>
      <c r="P216" s="2"/>
      <c r="Q216" s="2"/>
      <c r="R216" s="2"/>
      <c r="S216" s="2"/>
      <c r="T216" s="2"/>
      <c r="U216" s="2"/>
    </row>
    <row r="217" spans="1:21" ht="12.75" customHeight="1" x14ac:dyDescent="0.2">
      <c r="A217" s="2"/>
      <c r="B217" s="2"/>
      <c r="C217" s="2"/>
      <c r="D217" s="2"/>
      <c r="E217" s="2"/>
      <c r="F217" s="2"/>
      <c r="G217" s="2"/>
      <c r="H217" s="2"/>
      <c r="I217" s="2"/>
      <c r="J217" s="2"/>
      <c r="K217" s="2"/>
      <c r="L217" s="2"/>
      <c r="M217" s="2"/>
      <c r="N217" s="2"/>
      <c r="O217" s="2"/>
      <c r="P217" s="2"/>
      <c r="Q217" s="2"/>
      <c r="R217" s="2"/>
      <c r="S217" s="2"/>
      <c r="T217" s="2"/>
      <c r="U217" s="2"/>
    </row>
    <row r="218" spans="1:21" ht="12.75" customHeight="1" x14ac:dyDescent="0.2">
      <c r="A218" s="2"/>
      <c r="B218" s="2"/>
      <c r="C218" s="2"/>
      <c r="D218" s="2"/>
      <c r="E218" s="2"/>
      <c r="F218" s="2"/>
      <c r="G218" s="2"/>
      <c r="H218" s="2"/>
      <c r="I218" s="2"/>
      <c r="J218" s="2"/>
      <c r="K218" s="2"/>
      <c r="L218" s="2"/>
      <c r="M218" s="2"/>
      <c r="N218" s="2"/>
      <c r="O218" s="2"/>
      <c r="P218" s="2"/>
      <c r="Q218" s="2"/>
      <c r="R218" s="2"/>
      <c r="S218" s="2"/>
      <c r="T218" s="2"/>
      <c r="U218" s="2"/>
    </row>
    <row r="219" spans="1:21" ht="12.75" customHeight="1" x14ac:dyDescent="0.2">
      <c r="A219" s="2"/>
      <c r="B219" s="2"/>
      <c r="C219" s="2"/>
      <c r="D219" s="2"/>
      <c r="E219" s="2"/>
      <c r="F219" s="2"/>
      <c r="G219" s="2"/>
      <c r="H219" s="2"/>
      <c r="I219" s="2"/>
      <c r="J219" s="2"/>
      <c r="K219" s="2"/>
      <c r="L219" s="2"/>
      <c r="M219" s="2"/>
      <c r="N219" s="2"/>
      <c r="O219" s="2"/>
      <c r="P219" s="2"/>
      <c r="Q219" s="2"/>
      <c r="R219" s="2"/>
      <c r="S219" s="2"/>
      <c r="T219" s="2"/>
      <c r="U219" s="2"/>
    </row>
    <row r="220" spans="1:21" ht="12.75" customHeight="1" x14ac:dyDescent="0.2">
      <c r="A220" s="2"/>
      <c r="B220" s="2"/>
      <c r="C220" s="2"/>
      <c r="D220" s="2"/>
      <c r="E220" s="2"/>
      <c r="F220" s="2"/>
      <c r="G220" s="2"/>
      <c r="H220" s="2"/>
      <c r="I220" s="2"/>
      <c r="J220" s="2"/>
      <c r="K220" s="2"/>
      <c r="L220" s="2"/>
      <c r="M220" s="2"/>
      <c r="N220" s="2"/>
      <c r="O220" s="2"/>
      <c r="P220" s="2"/>
      <c r="Q220" s="2"/>
      <c r="R220" s="2"/>
      <c r="S220" s="2"/>
      <c r="T220" s="2"/>
      <c r="U220" s="2"/>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dataValidations count="1">
    <dataValidation type="list" allowBlank="1" showInputMessage="1" showErrorMessage="1" prompt="Selecionar número do RGF na lista suspensa." sqref="A3">
      <formula1>$A$15:$A$18</formula1>
    </dataValidation>
  </dataValidations>
  <printOptions horizontalCentered="1" verticalCentered="1"/>
  <pageMargins left="0.19685039370078741" right="0.19685039370078741" top="0.59055118110236227" bottom="0.59055118110236227" header="0" footer="0"/>
  <pageSetup paperSize="9" scale="80" pageOrder="overThenDown"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ySplit="4" topLeftCell="A95" activePane="bottomLeft" state="frozen"/>
      <selection pane="bottomLeft" sqref="A1:I97"/>
    </sheetView>
  </sheetViews>
  <sheetFormatPr defaultColWidth="14.42578125" defaultRowHeight="15" customHeight="1" x14ac:dyDescent="0.2"/>
  <cols>
    <col min="1" max="1" width="11.5703125" customWidth="1"/>
    <col min="2" max="2" width="18.42578125" customWidth="1"/>
    <col min="3" max="3" width="21.5703125" customWidth="1"/>
    <col min="4" max="4" width="12.28515625" customWidth="1"/>
    <col min="5" max="5" width="12.7109375" customWidth="1"/>
    <col min="6" max="6" width="23.42578125" customWidth="1"/>
    <col min="7" max="7" width="20.42578125" customWidth="1"/>
    <col min="8" max="8" width="15.140625" customWidth="1"/>
    <col min="9" max="9" width="22.28515625" customWidth="1"/>
    <col min="10" max="26" width="9.140625" customWidth="1"/>
  </cols>
  <sheetData>
    <row r="1" spans="1:26" ht="42" customHeight="1" x14ac:dyDescent="0.2">
      <c r="A1" s="709" t="str">
        <f>Capa!A1</f>
        <v>Contrato de Gestão nº. 05/20 celebrado entre a Fundação Clóvis Salgado e a Associação Pró-Cultura e Promoção das Artes</v>
      </c>
      <c r="B1" s="695"/>
      <c r="C1" s="695"/>
      <c r="D1" s="695"/>
      <c r="E1" s="695"/>
      <c r="F1" s="695"/>
      <c r="G1" s="695"/>
      <c r="H1" s="695"/>
      <c r="I1" s="696"/>
      <c r="J1" s="2"/>
      <c r="K1" s="2"/>
      <c r="L1" s="2"/>
      <c r="M1" s="2"/>
      <c r="N1" s="2"/>
      <c r="O1" s="2"/>
      <c r="P1" s="2"/>
      <c r="Q1" s="2"/>
      <c r="R1" s="2"/>
      <c r="S1" s="2"/>
      <c r="T1" s="2"/>
      <c r="U1" s="2"/>
      <c r="V1" s="2"/>
      <c r="W1" s="2"/>
      <c r="X1" s="2"/>
      <c r="Y1" s="2"/>
      <c r="Z1" s="2"/>
    </row>
    <row r="2" spans="1:26" ht="20.25" customHeight="1" x14ac:dyDescent="0.2">
      <c r="A2" s="709" t="str">
        <f>Capa!A3</f>
        <v>8º Relatório Gerencial Financeiro</v>
      </c>
      <c r="B2" s="695"/>
      <c r="C2" s="695"/>
      <c r="D2" s="695"/>
      <c r="E2" s="695"/>
      <c r="F2" s="695"/>
      <c r="G2" s="695"/>
      <c r="H2" s="695"/>
      <c r="I2" s="696"/>
      <c r="J2" s="2"/>
      <c r="K2" s="2"/>
      <c r="L2" s="2"/>
      <c r="M2" s="2"/>
      <c r="N2" s="2"/>
      <c r="O2" s="2"/>
      <c r="P2" s="2"/>
      <c r="Q2" s="2"/>
      <c r="R2" s="2"/>
      <c r="S2" s="2"/>
      <c r="T2" s="2"/>
      <c r="U2" s="2"/>
      <c r="V2" s="2"/>
      <c r="W2" s="2"/>
      <c r="X2" s="2"/>
      <c r="Y2" s="2"/>
      <c r="Z2" s="2"/>
    </row>
    <row r="3" spans="1:26" ht="20.25" customHeight="1" x14ac:dyDescent="0.2">
      <c r="A3" s="740" t="s">
        <v>2434</v>
      </c>
      <c r="B3" s="711"/>
      <c r="C3" s="711"/>
      <c r="D3" s="711"/>
      <c r="E3" s="711"/>
      <c r="F3" s="711"/>
      <c r="G3" s="711"/>
      <c r="H3" s="711"/>
      <c r="I3" s="712"/>
      <c r="J3" s="2"/>
      <c r="K3" s="2"/>
      <c r="L3" s="2"/>
      <c r="M3" s="2"/>
      <c r="N3" s="2"/>
      <c r="O3" s="2"/>
      <c r="P3" s="2"/>
      <c r="Q3" s="2"/>
      <c r="R3" s="2"/>
      <c r="S3" s="2"/>
      <c r="T3" s="2"/>
      <c r="U3" s="2"/>
      <c r="V3" s="2"/>
      <c r="W3" s="2"/>
      <c r="X3" s="2"/>
      <c r="Y3" s="2"/>
      <c r="Z3" s="2"/>
    </row>
    <row r="4" spans="1:26" ht="43.5" customHeight="1" x14ac:dyDescent="0.2">
      <c r="A4" s="364" t="s">
        <v>2435</v>
      </c>
      <c r="B4" s="364" t="s">
        <v>2436</v>
      </c>
      <c r="C4" s="364" t="s">
        <v>420</v>
      </c>
      <c r="D4" s="365" t="s">
        <v>2437</v>
      </c>
      <c r="E4" s="364" t="s">
        <v>2438</v>
      </c>
      <c r="F4" s="364" t="s">
        <v>2439</v>
      </c>
      <c r="G4" s="364" t="s">
        <v>1016</v>
      </c>
      <c r="H4" s="364" t="s">
        <v>2440</v>
      </c>
      <c r="I4" s="364" t="s">
        <v>2441</v>
      </c>
      <c r="J4" s="366"/>
      <c r="K4" s="366"/>
      <c r="L4" s="366"/>
      <c r="M4" s="366"/>
      <c r="N4" s="366"/>
      <c r="O4" s="366"/>
      <c r="P4" s="366"/>
      <c r="Q4" s="366"/>
      <c r="R4" s="366"/>
      <c r="S4" s="366"/>
      <c r="T4" s="366"/>
      <c r="U4" s="366"/>
      <c r="V4" s="366"/>
      <c r="W4" s="366"/>
      <c r="X4" s="366"/>
      <c r="Y4" s="366"/>
      <c r="Z4" s="366"/>
    </row>
    <row r="5" spans="1:26" ht="196.5" customHeight="1" x14ac:dyDescent="0.2">
      <c r="A5" s="297" t="s">
        <v>2442</v>
      </c>
      <c r="B5" s="297" t="s">
        <v>2443</v>
      </c>
      <c r="C5" s="297" t="s">
        <v>393</v>
      </c>
      <c r="D5" s="367">
        <v>4199</v>
      </c>
      <c r="E5" s="368">
        <v>44209</v>
      </c>
      <c r="F5" s="297" t="s">
        <v>2444</v>
      </c>
      <c r="G5" s="297">
        <v>1996670</v>
      </c>
      <c r="H5" s="297" t="s">
        <v>2445</v>
      </c>
      <c r="I5" s="297" t="s">
        <v>2446</v>
      </c>
      <c r="J5" s="2"/>
      <c r="K5" s="2"/>
      <c r="L5" s="2"/>
      <c r="M5" s="2"/>
      <c r="N5" s="2"/>
      <c r="O5" s="2"/>
      <c r="P5" s="2"/>
      <c r="Q5" s="2"/>
      <c r="R5" s="2"/>
      <c r="S5" s="2"/>
      <c r="T5" s="2"/>
      <c r="U5" s="2"/>
      <c r="V5" s="2"/>
      <c r="W5" s="2"/>
      <c r="X5" s="2"/>
      <c r="Y5" s="2"/>
      <c r="Z5" s="2"/>
    </row>
    <row r="6" spans="1:26" ht="166.5" customHeight="1" x14ac:dyDescent="0.2">
      <c r="A6" s="297" t="s">
        <v>2447</v>
      </c>
      <c r="B6" s="297" t="s">
        <v>2448</v>
      </c>
      <c r="C6" s="297" t="s">
        <v>391</v>
      </c>
      <c r="D6" s="367">
        <v>1089</v>
      </c>
      <c r="E6" s="368">
        <v>44214</v>
      </c>
      <c r="F6" s="297" t="s">
        <v>2449</v>
      </c>
      <c r="G6" s="369">
        <v>883170</v>
      </c>
      <c r="H6" s="297" t="s">
        <v>2445</v>
      </c>
      <c r="I6" s="297" t="s">
        <v>2450</v>
      </c>
      <c r="J6" s="2"/>
      <c r="K6" s="2"/>
      <c r="L6" s="2"/>
      <c r="M6" s="2"/>
      <c r="N6" s="2"/>
      <c r="O6" s="2"/>
      <c r="P6" s="2"/>
      <c r="Q6" s="2"/>
      <c r="R6" s="2"/>
      <c r="S6" s="2"/>
      <c r="T6" s="2"/>
      <c r="U6" s="2"/>
      <c r="V6" s="2"/>
      <c r="W6" s="2"/>
      <c r="X6" s="2"/>
      <c r="Y6" s="2"/>
      <c r="Z6" s="2"/>
    </row>
    <row r="7" spans="1:26" ht="150.75" customHeight="1" x14ac:dyDescent="0.2">
      <c r="A7" s="297" t="s">
        <v>2451</v>
      </c>
      <c r="B7" s="297" t="s">
        <v>2452</v>
      </c>
      <c r="C7" s="297" t="s">
        <v>391</v>
      </c>
      <c r="D7" s="367">
        <v>1089</v>
      </c>
      <c r="E7" s="368">
        <v>44214</v>
      </c>
      <c r="F7" s="297" t="s">
        <v>2449</v>
      </c>
      <c r="G7" s="369">
        <v>883170</v>
      </c>
      <c r="H7" s="297" t="s">
        <v>2445</v>
      </c>
      <c r="I7" s="297" t="s">
        <v>2450</v>
      </c>
      <c r="J7" s="2"/>
      <c r="K7" s="2"/>
      <c r="L7" s="2"/>
      <c r="M7" s="2"/>
      <c r="N7" s="2"/>
      <c r="O7" s="2"/>
      <c r="P7" s="2"/>
      <c r="Q7" s="2"/>
      <c r="R7" s="2"/>
      <c r="S7" s="2"/>
      <c r="T7" s="2"/>
      <c r="U7" s="2"/>
      <c r="V7" s="2"/>
      <c r="W7" s="2"/>
      <c r="X7" s="2"/>
      <c r="Y7" s="2"/>
      <c r="Z7" s="2"/>
    </row>
    <row r="8" spans="1:26" ht="207" customHeight="1" x14ac:dyDescent="0.2">
      <c r="A8" s="297" t="s">
        <v>2453</v>
      </c>
      <c r="B8" s="297" t="s">
        <v>2454</v>
      </c>
      <c r="C8" s="297" t="s">
        <v>413</v>
      </c>
      <c r="D8" s="367">
        <v>2089.0500000000002</v>
      </c>
      <c r="E8" s="368">
        <v>44214</v>
      </c>
      <c r="F8" s="297" t="s">
        <v>2449</v>
      </c>
      <c r="G8" s="369">
        <v>1471883</v>
      </c>
      <c r="H8" s="297" t="s">
        <v>2445</v>
      </c>
      <c r="I8" s="297" t="s">
        <v>2455</v>
      </c>
      <c r="J8" s="2"/>
      <c r="K8" s="2"/>
      <c r="L8" s="2"/>
      <c r="M8" s="2"/>
      <c r="N8" s="2"/>
      <c r="O8" s="2"/>
      <c r="P8" s="2"/>
      <c r="Q8" s="2"/>
      <c r="R8" s="2"/>
      <c r="S8" s="2"/>
      <c r="T8" s="2"/>
      <c r="U8" s="2"/>
      <c r="V8" s="2"/>
      <c r="W8" s="2"/>
      <c r="X8" s="2"/>
      <c r="Y8" s="2"/>
      <c r="Z8" s="2"/>
    </row>
    <row r="9" spans="1:26" ht="212.25" customHeight="1" x14ac:dyDescent="0.2">
      <c r="A9" s="297" t="s">
        <v>2456</v>
      </c>
      <c r="B9" s="297" t="s">
        <v>2457</v>
      </c>
      <c r="C9" s="297" t="s">
        <v>413</v>
      </c>
      <c r="D9" s="367">
        <v>2089.0500000000002</v>
      </c>
      <c r="E9" s="368">
        <v>44214</v>
      </c>
      <c r="F9" s="297" t="s">
        <v>2449</v>
      </c>
      <c r="G9" s="369">
        <v>1471883</v>
      </c>
      <c r="H9" s="297" t="s">
        <v>2445</v>
      </c>
      <c r="I9" s="297" t="s">
        <v>2455</v>
      </c>
      <c r="J9" s="2"/>
      <c r="K9" s="2"/>
      <c r="L9" s="2"/>
      <c r="M9" s="2"/>
      <c r="N9" s="2"/>
      <c r="O9" s="2"/>
      <c r="P9" s="2"/>
      <c r="Q9" s="2"/>
      <c r="R9" s="2"/>
      <c r="S9" s="2"/>
      <c r="T9" s="2"/>
      <c r="U9" s="2"/>
      <c r="V9" s="2"/>
      <c r="W9" s="2"/>
      <c r="X9" s="2"/>
      <c r="Y9" s="2"/>
      <c r="Z9" s="2"/>
    </row>
    <row r="10" spans="1:26" ht="279.75" customHeight="1" x14ac:dyDescent="0.2">
      <c r="A10" s="297" t="s">
        <v>2458</v>
      </c>
      <c r="B10" s="297" t="s">
        <v>2459</v>
      </c>
      <c r="C10" s="297" t="s">
        <v>413</v>
      </c>
      <c r="D10" s="367">
        <v>959</v>
      </c>
      <c r="E10" s="368">
        <v>44229</v>
      </c>
      <c r="F10" s="297" t="s">
        <v>2460</v>
      </c>
      <c r="G10" s="297">
        <v>4610</v>
      </c>
      <c r="H10" s="297" t="s">
        <v>2445</v>
      </c>
      <c r="I10" s="297" t="s">
        <v>2461</v>
      </c>
      <c r="J10" s="2"/>
      <c r="K10" s="2"/>
      <c r="L10" s="2"/>
      <c r="M10" s="2"/>
      <c r="N10" s="2"/>
      <c r="O10" s="2"/>
      <c r="P10" s="2"/>
      <c r="Q10" s="2"/>
      <c r="R10" s="2"/>
      <c r="S10" s="2"/>
      <c r="T10" s="2"/>
      <c r="U10" s="2"/>
      <c r="V10" s="2"/>
      <c r="W10" s="2"/>
      <c r="X10" s="2"/>
      <c r="Y10" s="2"/>
      <c r="Z10" s="2"/>
    </row>
    <row r="11" spans="1:26" ht="228" customHeight="1" x14ac:dyDescent="0.2">
      <c r="A11" s="297" t="s">
        <v>2462</v>
      </c>
      <c r="B11" s="297" t="s">
        <v>2463</v>
      </c>
      <c r="C11" s="297" t="s">
        <v>413</v>
      </c>
      <c r="D11" s="367">
        <v>503.8</v>
      </c>
      <c r="E11" s="368">
        <v>44229</v>
      </c>
      <c r="F11" s="297" t="s">
        <v>2460</v>
      </c>
      <c r="G11" s="297">
        <v>4610</v>
      </c>
      <c r="H11" s="297" t="s">
        <v>2445</v>
      </c>
      <c r="I11" s="297" t="s">
        <v>2461</v>
      </c>
      <c r="J11" s="2"/>
      <c r="K11" s="2"/>
      <c r="L11" s="2"/>
      <c r="M11" s="2"/>
      <c r="N11" s="2"/>
      <c r="O11" s="2"/>
      <c r="P11" s="2"/>
      <c r="Q11" s="2"/>
      <c r="R11" s="2"/>
      <c r="S11" s="2"/>
      <c r="T11" s="2"/>
      <c r="U11" s="2"/>
      <c r="V11" s="2"/>
      <c r="W11" s="2"/>
      <c r="X11" s="2"/>
      <c r="Y11" s="2"/>
      <c r="Z11" s="2"/>
    </row>
    <row r="12" spans="1:26" ht="279.75" customHeight="1" x14ac:dyDescent="0.2">
      <c r="A12" s="297" t="s">
        <v>2464</v>
      </c>
      <c r="B12" s="297" t="s">
        <v>2465</v>
      </c>
      <c r="C12" s="297" t="s">
        <v>413</v>
      </c>
      <c r="D12" s="367">
        <v>633.72</v>
      </c>
      <c r="E12" s="368">
        <v>44230</v>
      </c>
      <c r="F12" s="297" t="s">
        <v>2466</v>
      </c>
      <c r="G12" s="369">
        <v>22904</v>
      </c>
      <c r="H12" s="297" t="s">
        <v>2445</v>
      </c>
      <c r="I12" s="297" t="s">
        <v>2467</v>
      </c>
      <c r="J12" s="2"/>
      <c r="K12" s="2"/>
      <c r="L12" s="2"/>
      <c r="M12" s="2"/>
      <c r="N12" s="2"/>
      <c r="O12" s="2"/>
      <c r="P12" s="2"/>
      <c r="Q12" s="2"/>
      <c r="R12" s="2"/>
      <c r="S12" s="2"/>
      <c r="T12" s="2"/>
      <c r="U12" s="2"/>
      <c r="V12" s="2"/>
      <c r="W12" s="2"/>
      <c r="X12" s="2"/>
      <c r="Y12" s="2"/>
      <c r="Z12" s="2"/>
    </row>
    <row r="13" spans="1:26" ht="12.75" hidden="1" customHeight="1" x14ac:dyDescent="0.2">
      <c r="A13" s="297"/>
      <c r="B13" s="297"/>
      <c r="C13" s="297"/>
      <c r="D13" s="367"/>
      <c r="E13" s="368"/>
      <c r="F13" s="297"/>
      <c r="G13" s="297"/>
      <c r="H13" s="297"/>
      <c r="I13" s="297"/>
      <c r="J13" s="2"/>
      <c r="K13" s="2"/>
      <c r="L13" s="2"/>
      <c r="M13" s="2"/>
      <c r="N13" s="2"/>
      <c r="O13" s="2"/>
      <c r="P13" s="2"/>
      <c r="Q13" s="2"/>
      <c r="R13" s="2"/>
      <c r="S13" s="2"/>
      <c r="T13" s="2"/>
      <c r="U13" s="2"/>
      <c r="V13" s="2"/>
      <c r="W13" s="2"/>
      <c r="X13" s="2"/>
      <c r="Y13" s="2"/>
      <c r="Z13" s="2"/>
    </row>
    <row r="14" spans="1:26" ht="12.75" hidden="1" customHeight="1" x14ac:dyDescent="0.2">
      <c r="A14" s="297"/>
      <c r="B14" s="297"/>
      <c r="C14" s="297"/>
      <c r="D14" s="367"/>
      <c r="E14" s="368"/>
      <c r="F14" s="297"/>
      <c r="G14" s="297"/>
      <c r="H14" s="297"/>
      <c r="I14" s="297"/>
      <c r="J14" s="2"/>
      <c r="K14" s="2"/>
      <c r="L14" s="2"/>
      <c r="M14" s="2"/>
      <c r="N14" s="2"/>
      <c r="O14" s="2"/>
      <c r="P14" s="2"/>
      <c r="Q14" s="2"/>
      <c r="R14" s="2"/>
      <c r="S14" s="2"/>
      <c r="T14" s="2"/>
      <c r="U14" s="2"/>
      <c r="V14" s="2"/>
      <c r="W14" s="2"/>
      <c r="X14" s="2"/>
      <c r="Y14" s="2"/>
      <c r="Z14" s="2"/>
    </row>
    <row r="15" spans="1:26" ht="12.75" hidden="1" customHeight="1" x14ac:dyDescent="0.2">
      <c r="A15" s="297"/>
      <c r="B15" s="297"/>
      <c r="C15" s="297"/>
      <c r="D15" s="367"/>
      <c r="E15" s="368"/>
      <c r="F15" s="297"/>
      <c r="G15" s="297"/>
      <c r="H15" s="297"/>
      <c r="I15" s="297"/>
      <c r="J15" s="2"/>
      <c r="K15" s="2"/>
      <c r="L15" s="2"/>
      <c r="M15" s="2"/>
      <c r="N15" s="2"/>
      <c r="O15" s="2"/>
      <c r="P15" s="2"/>
      <c r="Q15" s="2"/>
      <c r="R15" s="2"/>
      <c r="S15" s="2"/>
      <c r="T15" s="2"/>
      <c r="U15" s="2"/>
      <c r="V15" s="2"/>
      <c r="W15" s="2"/>
      <c r="X15" s="2"/>
      <c r="Y15" s="2"/>
      <c r="Z15" s="2"/>
    </row>
    <row r="16" spans="1:26" ht="12.75" hidden="1" customHeight="1" x14ac:dyDescent="0.2">
      <c r="A16" s="297"/>
      <c r="B16" s="297"/>
      <c r="C16" s="297"/>
      <c r="D16" s="367"/>
      <c r="E16" s="368"/>
      <c r="F16" s="297"/>
      <c r="G16" s="297"/>
      <c r="H16" s="297"/>
      <c r="I16" s="297"/>
      <c r="J16" s="2"/>
      <c r="K16" s="2"/>
      <c r="L16" s="2"/>
      <c r="M16" s="2"/>
      <c r="N16" s="2"/>
      <c r="O16" s="2"/>
      <c r="P16" s="2"/>
      <c r="Q16" s="2"/>
      <c r="R16" s="2"/>
      <c r="S16" s="2"/>
      <c r="T16" s="2"/>
      <c r="U16" s="2"/>
      <c r="V16" s="2"/>
      <c r="W16" s="2"/>
      <c r="X16" s="2"/>
      <c r="Y16" s="2"/>
      <c r="Z16" s="2"/>
    </row>
    <row r="17" spans="1:26" ht="12.75" hidden="1" customHeight="1" x14ac:dyDescent="0.2">
      <c r="A17" s="297"/>
      <c r="B17" s="297"/>
      <c r="C17" s="297"/>
      <c r="D17" s="367"/>
      <c r="E17" s="368"/>
      <c r="F17" s="297"/>
      <c r="G17" s="297"/>
      <c r="H17" s="297"/>
      <c r="I17" s="297"/>
      <c r="J17" s="2"/>
      <c r="K17" s="2"/>
      <c r="L17" s="2"/>
      <c r="M17" s="2"/>
      <c r="N17" s="2"/>
      <c r="O17" s="2"/>
      <c r="P17" s="2"/>
      <c r="Q17" s="2"/>
      <c r="R17" s="2"/>
      <c r="S17" s="2"/>
      <c r="T17" s="2"/>
      <c r="U17" s="2"/>
      <c r="V17" s="2"/>
      <c r="W17" s="2"/>
      <c r="X17" s="2"/>
      <c r="Y17" s="2"/>
      <c r="Z17" s="2"/>
    </row>
    <row r="18" spans="1:26" ht="12.75" hidden="1" customHeight="1" x14ac:dyDescent="0.2">
      <c r="A18" s="297"/>
      <c r="B18" s="297"/>
      <c r="C18" s="297"/>
      <c r="D18" s="367"/>
      <c r="E18" s="368"/>
      <c r="F18" s="297"/>
      <c r="G18" s="297"/>
      <c r="H18" s="297"/>
      <c r="I18" s="297"/>
      <c r="J18" s="2"/>
      <c r="K18" s="2"/>
      <c r="L18" s="2"/>
      <c r="M18" s="2"/>
      <c r="N18" s="2"/>
      <c r="O18" s="2"/>
      <c r="P18" s="2"/>
      <c r="Q18" s="2"/>
      <c r="R18" s="2"/>
      <c r="S18" s="2"/>
      <c r="T18" s="2"/>
      <c r="U18" s="2"/>
      <c r="V18" s="2"/>
      <c r="W18" s="2"/>
      <c r="X18" s="2"/>
      <c r="Y18" s="2"/>
      <c r="Z18" s="2"/>
    </row>
    <row r="19" spans="1:26" ht="12.75" hidden="1" customHeight="1" x14ac:dyDescent="0.2">
      <c r="A19" s="297"/>
      <c r="B19" s="297"/>
      <c r="C19" s="297"/>
      <c r="D19" s="367"/>
      <c r="E19" s="368"/>
      <c r="F19" s="297"/>
      <c r="G19" s="297"/>
      <c r="H19" s="297"/>
      <c r="I19" s="297"/>
      <c r="J19" s="2"/>
      <c r="K19" s="2"/>
      <c r="L19" s="2"/>
      <c r="M19" s="2"/>
      <c r="N19" s="2"/>
      <c r="O19" s="2"/>
      <c r="P19" s="2"/>
      <c r="Q19" s="2"/>
      <c r="R19" s="2"/>
      <c r="S19" s="2"/>
      <c r="T19" s="2"/>
      <c r="U19" s="2"/>
      <c r="V19" s="2"/>
      <c r="W19" s="2"/>
      <c r="X19" s="2"/>
      <c r="Y19" s="2"/>
      <c r="Z19" s="2"/>
    </row>
    <row r="20" spans="1:26" ht="12.75" hidden="1" customHeight="1" x14ac:dyDescent="0.2">
      <c r="A20" s="297"/>
      <c r="B20" s="297"/>
      <c r="C20" s="297"/>
      <c r="D20" s="367"/>
      <c r="E20" s="368"/>
      <c r="F20" s="297"/>
      <c r="G20" s="297"/>
      <c r="H20" s="297"/>
      <c r="I20" s="297"/>
      <c r="J20" s="2"/>
      <c r="K20" s="2"/>
      <c r="L20" s="2"/>
      <c r="M20" s="2"/>
      <c r="N20" s="2"/>
      <c r="O20" s="2"/>
      <c r="P20" s="2"/>
      <c r="Q20" s="2"/>
      <c r="R20" s="2"/>
      <c r="S20" s="2"/>
      <c r="T20" s="2"/>
      <c r="U20" s="2"/>
      <c r="V20" s="2"/>
      <c r="W20" s="2"/>
      <c r="X20" s="2"/>
      <c r="Y20" s="2"/>
      <c r="Z20" s="2"/>
    </row>
    <row r="21" spans="1:26" ht="12.75" hidden="1" customHeight="1" x14ac:dyDescent="0.2">
      <c r="A21" s="297"/>
      <c r="B21" s="297"/>
      <c r="C21" s="297"/>
      <c r="D21" s="367"/>
      <c r="E21" s="368"/>
      <c r="F21" s="297"/>
      <c r="G21" s="297"/>
      <c r="H21" s="297"/>
      <c r="I21" s="297"/>
      <c r="J21" s="2"/>
      <c r="K21" s="2"/>
      <c r="L21" s="2"/>
      <c r="M21" s="2"/>
      <c r="N21" s="2"/>
      <c r="O21" s="2"/>
      <c r="P21" s="2"/>
      <c r="Q21" s="2"/>
      <c r="R21" s="2"/>
      <c r="S21" s="2"/>
      <c r="T21" s="2"/>
      <c r="U21" s="2"/>
      <c r="V21" s="2"/>
      <c r="W21" s="2"/>
      <c r="X21" s="2"/>
      <c r="Y21" s="2"/>
      <c r="Z21" s="2"/>
    </row>
    <row r="22" spans="1:26" ht="12.75" hidden="1" customHeight="1" x14ac:dyDescent="0.2">
      <c r="A22" s="297"/>
      <c r="B22" s="297"/>
      <c r="C22" s="297"/>
      <c r="D22" s="367"/>
      <c r="E22" s="368"/>
      <c r="F22" s="297"/>
      <c r="G22" s="297"/>
      <c r="H22" s="297"/>
      <c r="I22" s="297"/>
      <c r="J22" s="2"/>
      <c r="K22" s="2"/>
      <c r="L22" s="2"/>
      <c r="M22" s="2"/>
      <c r="N22" s="2"/>
      <c r="O22" s="2"/>
      <c r="P22" s="2"/>
      <c r="Q22" s="2"/>
      <c r="R22" s="2"/>
      <c r="S22" s="2"/>
      <c r="T22" s="2"/>
      <c r="U22" s="2"/>
      <c r="V22" s="2"/>
      <c r="W22" s="2"/>
      <c r="X22" s="2"/>
      <c r="Y22" s="2"/>
      <c r="Z22" s="2"/>
    </row>
    <row r="23" spans="1:26" ht="12.75" hidden="1" customHeight="1" x14ac:dyDescent="0.2">
      <c r="A23" s="297"/>
      <c r="B23" s="297"/>
      <c r="C23" s="297"/>
      <c r="D23" s="367"/>
      <c r="E23" s="368"/>
      <c r="F23" s="297"/>
      <c r="G23" s="297"/>
      <c r="H23" s="297"/>
      <c r="I23" s="297"/>
      <c r="J23" s="2"/>
      <c r="K23" s="2"/>
      <c r="L23" s="2"/>
      <c r="M23" s="2"/>
      <c r="N23" s="2"/>
      <c r="O23" s="2"/>
      <c r="P23" s="2"/>
      <c r="Q23" s="2"/>
      <c r="R23" s="2"/>
      <c r="S23" s="2"/>
      <c r="T23" s="2"/>
      <c r="U23" s="2"/>
      <c r="V23" s="2"/>
      <c r="W23" s="2"/>
      <c r="X23" s="2"/>
      <c r="Y23" s="2"/>
      <c r="Z23" s="2"/>
    </row>
    <row r="24" spans="1:26" ht="12.75" hidden="1" customHeight="1" x14ac:dyDescent="0.2">
      <c r="A24" s="297"/>
      <c r="B24" s="297"/>
      <c r="C24" s="297"/>
      <c r="D24" s="367"/>
      <c r="E24" s="368"/>
      <c r="F24" s="297"/>
      <c r="G24" s="297"/>
      <c r="H24" s="297"/>
      <c r="I24" s="297"/>
      <c r="J24" s="2"/>
      <c r="K24" s="2"/>
      <c r="L24" s="2"/>
      <c r="M24" s="2"/>
      <c r="N24" s="2"/>
      <c r="O24" s="2"/>
      <c r="P24" s="2"/>
      <c r="Q24" s="2"/>
      <c r="R24" s="2"/>
      <c r="S24" s="2"/>
      <c r="T24" s="2"/>
      <c r="U24" s="2"/>
      <c r="V24" s="2"/>
      <c r="W24" s="2"/>
      <c r="X24" s="2"/>
      <c r="Y24" s="2"/>
      <c r="Z24" s="2"/>
    </row>
    <row r="25" spans="1:26" ht="12.75" hidden="1" customHeight="1" x14ac:dyDescent="0.2">
      <c r="A25" s="297"/>
      <c r="B25" s="297"/>
      <c r="C25" s="297"/>
      <c r="D25" s="367"/>
      <c r="E25" s="368"/>
      <c r="F25" s="297"/>
      <c r="G25" s="297"/>
      <c r="H25" s="297"/>
      <c r="I25" s="297"/>
      <c r="J25" s="2"/>
      <c r="K25" s="2"/>
      <c r="L25" s="2"/>
      <c r="M25" s="2"/>
      <c r="N25" s="2"/>
      <c r="O25" s="2"/>
      <c r="P25" s="2"/>
      <c r="Q25" s="2"/>
      <c r="R25" s="2"/>
      <c r="S25" s="2"/>
      <c r="T25" s="2"/>
      <c r="U25" s="2"/>
      <c r="V25" s="2"/>
      <c r="W25" s="2"/>
      <c r="X25" s="2"/>
      <c r="Y25" s="2"/>
      <c r="Z25" s="2"/>
    </row>
    <row r="26" spans="1:26" ht="12.75" hidden="1" customHeight="1" x14ac:dyDescent="0.2">
      <c r="A26" s="297"/>
      <c r="B26" s="297"/>
      <c r="C26" s="297"/>
      <c r="D26" s="367"/>
      <c r="E26" s="368"/>
      <c r="F26" s="297"/>
      <c r="G26" s="297"/>
      <c r="H26" s="297"/>
      <c r="I26" s="297"/>
      <c r="J26" s="2"/>
      <c r="K26" s="2"/>
      <c r="L26" s="2"/>
      <c r="M26" s="2"/>
      <c r="N26" s="2"/>
      <c r="O26" s="2"/>
      <c r="P26" s="2"/>
      <c r="Q26" s="2"/>
      <c r="R26" s="2"/>
      <c r="S26" s="2"/>
      <c r="T26" s="2"/>
      <c r="U26" s="2"/>
      <c r="V26" s="2"/>
      <c r="W26" s="2"/>
      <c r="X26" s="2"/>
      <c r="Y26" s="2"/>
      <c r="Z26" s="2"/>
    </row>
    <row r="27" spans="1:26" ht="12.75" hidden="1" customHeight="1" x14ac:dyDescent="0.2">
      <c r="A27" s="297"/>
      <c r="B27" s="297"/>
      <c r="C27" s="297"/>
      <c r="D27" s="367"/>
      <c r="E27" s="368"/>
      <c r="F27" s="297"/>
      <c r="G27" s="297"/>
      <c r="H27" s="297"/>
      <c r="I27" s="297"/>
      <c r="J27" s="2"/>
      <c r="K27" s="2"/>
      <c r="L27" s="2"/>
      <c r="M27" s="2"/>
      <c r="N27" s="2"/>
      <c r="O27" s="2"/>
      <c r="P27" s="2"/>
      <c r="Q27" s="2"/>
      <c r="R27" s="2"/>
      <c r="S27" s="2"/>
      <c r="T27" s="2"/>
      <c r="U27" s="2"/>
      <c r="V27" s="2"/>
      <c r="W27" s="2"/>
      <c r="X27" s="2"/>
      <c r="Y27" s="2"/>
      <c r="Z27" s="2"/>
    </row>
    <row r="28" spans="1:26" ht="12.75" hidden="1" customHeight="1" x14ac:dyDescent="0.2">
      <c r="A28" s="297"/>
      <c r="B28" s="297"/>
      <c r="C28" s="297"/>
      <c r="D28" s="367"/>
      <c r="E28" s="368"/>
      <c r="F28" s="297"/>
      <c r="G28" s="297"/>
      <c r="H28" s="297"/>
      <c r="I28" s="297"/>
      <c r="J28" s="2"/>
      <c r="K28" s="2"/>
      <c r="L28" s="2"/>
      <c r="M28" s="2"/>
      <c r="N28" s="2"/>
      <c r="O28" s="2"/>
      <c r="P28" s="2"/>
      <c r="Q28" s="2"/>
      <c r="R28" s="2"/>
      <c r="S28" s="2"/>
      <c r="T28" s="2"/>
      <c r="U28" s="2"/>
      <c r="V28" s="2"/>
      <c r="W28" s="2"/>
      <c r="X28" s="2"/>
      <c r="Y28" s="2"/>
      <c r="Z28" s="2"/>
    </row>
    <row r="29" spans="1:26" ht="12.75" hidden="1" customHeight="1" x14ac:dyDescent="0.2">
      <c r="A29" s="297"/>
      <c r="B29" s="297"/>
      <c r="C29" s="297"/>
      <c r="D29" s="367"/>
      <c r="E29" s="368"/>
      <c r="F29" s="297"/>
      <c r="G29" s="297"/>
      <c r="H29" s="297"/>
      <c r="I29" s="297"/>
      <c r="J29" s="2"/>
      <c r="K29" s="2"/>
      <c r="L29" s="2"/>
      <c r="M29" s="2"/>
      <c r="N29" s="2"/>
      <c r="O29" s="2"/>
      <c r="P29" s="2"/>
      <c r="Q29" s="2"/>
      <c r="R29" s="2"/>
      <c r="S29" s="2"/>
      <c r="T29" s="2"/>
      <c r="U29" s="2"/>
      <c r="V29" s="2"/>
      <c r="W29" s="2"/>
      <c r="X29" s="2"/>
      <c r="Y29" s="2"/>
      <c r="Z29" s="2"/>
    </row>
    <row r="30" spans="1:26" ht="12.75" hidden="1" customHeight="1" x14ac:dyDescent="0.2">
      <c r="A30" s="297"/>
      <c r="B30" s="297"/>
      <c r="C30" s="297"/>
      <c r="D30" s="367"/>
      <c r="E30" s="368"/>
      <c r="F30" s="297"/>
      <c r="G30" s="297"/>
      <c r="H30" s="297"/>
      <c r="I30" s="297"/>
      <c r="J30" s="2"/>
      <c r="K30" s="2"/>
      <c r="L30" s="2"/>
      <c r="M30" s="2"/>
      <c r="N30" s="2"/>
      <c r="O30" s="2"/>
      <c r="P30" s="2"/>
      <c r="Q30" s="2"/>
      <c r="R30" s="2"/>
      <c r="S30" s="2"/>
      <c r="T30" s="2"/>
      <c r="U30" s="2"/>
      <c r="V30" s="2"/>
      <c r="W30" s="2"/>
      <c r="X30" s="2"/>
      <c r="Y30" s="2"/>
      <c r="Z30" s="2"/>
    </row>
    <row r="31" spans="1:26" ht="12.75" hidden="1" customHeight="1" x14ac:dyDescent="0.2">
      <c r="A31" s="297"/>
      <c r="B31" s="297"/>
      <c r="C31" s="297"/>
      <c r="D31" s="367"/>
      <c r="E31" s="368"/>
      <c r="F31" s="297"/>
      <c r="G31" s="297"/>
      <c r="H31" s="297"/>
      <c r="I31" s="297"/>
      <c r="J31" s="2"/>
      <c r="K31" s="2"/>
      <c r="L31" s="2"/>
      <c r="M31" s="2"/>
      <c r="N31" s="2"/>
      <c r="O31" s="2"/>
      <c r="P31" s="2"/>
      <c r="Q31" s="2"/>
      <c r="R31" s="2"/>
      <c r="S31" s="2"/>
      <c r="T31" s="2"/>
      <c r="U31" s="2"/>
      <c r="V31" s="2"/>
      <c r="W31" s="2"/>
      <c r="X31" s="2"/>
      <c r="Y31" s="2"/>
      <c r="Z31" s="2"/>
    </row>
    <row r="32" spans="1:26" ht="12.75" hidden="1" customHeight="1" x14ac:dyDescent="0.2">
      <c r="A32" s="297"/>
      <c r="B32" s="297"/>
      <c r="C32" s="297"/>
      <c r="D32" s="367"/>
      <c r="E32" s="368"/>
      <c r="F32" s="297"/>
      <c r="G32" s="297"/>
      <c r="H32" s="297"/>
      <c r="I32" s="297"/>
      <c r="J32" s="2"/>
      <c r="K32" s="2"/>
      <c r="L32" s="2"/>
      <c r="M32" s="2"/>
      <c r="N32" s="2"/>
      <c r="O32" s="2"/>
      <c r="P32" s="2"/>
      <c r="Q32" s="2"/>
      <c r="R32" s="2"/>
      <c r="S32" s="2"/>
      <c r="T32" s="2"/>
      <c r="U32" s="2"/>
      <c r="V32" s="2"/>
      <c r="W32" s="2"/>
      <c r="X32" s="2"/>
      <c r="Y32" s="2"/>
      <c r="Z32" s="2"/>
    </row>
    <row r="33" spans="1:26" ht="12.75" hidden="1" customHeight="1" x14ac:dyDescent="0.2">
      <c r="A33" s="297"/>
      <c r="B33" s="297"/>
      <c r="C33" s="297"/>
      <c r="D33" s="367"/>
      <c r="E33" s="368"/>
      <c r="F33" s="297"/>
      <c r="G33" s="297"/>
      <c r="H33" s="297"/>
      <c r="I33" s="297"/>
      <c r="J33" s="2"/>
      <c r="K33" s="2"/>
      <c r="L33" s="2"/>
      <c r="M33" s="2"/>
      <c r="N33" s="2"/>
      <c r="O33" s="2"/>
      <c r="P33" s="2"/>
      <c r="Q33" s="2"/>
      <c r="R33" s="2"/>
      <c r="S33" s="2"/>
      <c r="T33" s="2"/>
      <c r="U33" s="2"/>
      <c r="V33" s="2"/>
      <c r="W33" s="2"/>
      <c r="X33" s="2"/>
      <c r="Y33" s="2"/>
      <c r="Z33" s="2"/>
    </row>
    <row r="34" spans="1:26" ht="12.75" hidden="1" customHeight="1" x14ac:dyDescent="0.2">
      <c r="A34" s="297"/>
      <c r="B34" s="297"/>
      <c r="C34" s="297"/>
      <c r="D34" s="367"/>
      <c r="E34" s="368"/>
      <c r="F34" s="297"/>
      <c r="G34" s="297"/>
      <c r="H34" s="297"/>
      <c r="I34" s="297"/>
      <c r="J34" s="2"/>
      <c r="K34" s="2"/>
      <c r="L34" s="2"/>
      <c r="M34" s="2"/>
      <c r="N34" s="2"/>
      <c r="O34" s="2"/>
      <c r="P34" s="2"/>
      <c r="Q34" s="2"/>
      <c r="R34" s="2"/>
      <c r="S34" s="2"/>
      <c r="T34" s="2"/>
      <c r="U34" s="2"/>
      <c r="V34" s="2"/>
      <c r="W34" s="2"/>
      <c r="X34" s="2"/>
      <c r="Y34" s="2"/>
      <c r="Z34" s="2"/>
    </row>
    <row r="35" spans="1:26" ht="12.75" hidden="1" customHeight="1" x14ac:dyDescent="0.2">
      <c r="A35" s="297"/>
      <c r="B35" s="297"/>
      <c r="C35" s="297"/>
      <c r="D35" s="367"/>
      <c r="E35" s="368"/>
      <c r="F35" s="297"/>
      <c r="G35" s="297"/>
      <c r="H35" s="297"/>
      <c r="I35" s="297"/>
      <c r="J35" s="2"/>
      <c r="K35" s="2"/>
      <c r="L35" s="2"/>
      <c r="M35" s="2"/>
      <c r="N35" s="2"/>
      <c r="O35" s="2"/>
      <c r="P35" s="2"/>
      <c r="Q35" s="2"/>
      <c r="R35" s="2"/>
      <c r="S35" s="2"/>
      <c r="T35" s="2"/>
      <c r="U35" s="2"/>
      <c r="V35" s="2"/>
      <c r="W35" s="2"/>
      <c r="X35" s="2"/>
      <c r="Y35" s="2"/>
      <c r="Z35" s="2"/>
    </row>
    <row r="36" spans="1:26" ht="12.75" hidden="1" customHeight="1" x14ac:dyDescent="0.2">
      <c r="A36" s="297"/>
      <c r="B36" s="297"/>
      <c r="C36" s="297"/>
      <c r="D36" s="367"/>
      <c r="E36" s="368"/>
      <c r="F36" s="297"/>
      <c r="G36" s="297"/>
      <c r="H36" s="297"/>
      <c r="I36" s="297"/>
      <c r="J36" s="2"/>
      <c r="K36" s="2"/>
      <c r="L36" s="2"/>
      <c r="M36" s="2"/>
      <c r="N36" s="2"/>
      <c r="O36" s="2"/>
      <c r="P36" s="2"/>
      <c r="Q36" s="2"/>
      <c r="R36" s="2"/>
      <c r="S36" s="2"/>
      <c r="T36" s="2"/>
      <c r="U36" s="2"/>
      <c r="V36" s="2"/>
      <c r="W36" s="2"/>
      <c r="X36" s="2"/>
      <c r="Y36" s="2"/>
      <c r="Z36" s="2"/>
    </row>
    <row r="37" spans="1:26" ht="12.75" hidden="1" customHeight="1" x14ac:dyDescent="0.2">
      <c r="A37" s="297"/>
      <c r="B37" s="297"/>
      <c r="C37" s="297"/>
      <c r="D37" s="367"/>
      <c r="E37" s="368"/>
      <c r="F37" s="297"/>
      <c r="G37" s="297"/>
      <c r="H37" s="297"/>
      <c r="I37" s="297"/>
      <c r="J37" s="2"/>
      <c r="K37" s="2"/>
      <c r="L37" s="2"/>
      <c r="M37" s="2"/>
      <c r="N37" s="2"/>
      <c r="O37" s="2"/>
      <c r="P37" s="2"/>
      <c r="Q37" s="2"/>
      <c r="R37" s="2"/>
      <c r="S37" s="2"/>
      <c r="T37" s="2"/>
      <c r="U37" s="2"/>
      <c r="V37" s="2"/>
      <c r="W37" s="2"/>
      <c r="X37" s="2"/>
      <c r="Y37" s="2"/>
      <c r="Z37" s="2"/>
    </row>
    <row r="38" spans="1:26" ht="12.75" hidden="1" customHeight="1" x14ac:dyDescent="0.2">
      <c r="A38" s="297"/>
      <c r="B38" s="297"/>
      <c r="C38" s="297"/>
      <c r="D38" s="367"/>
      <c r="E38" s="368"/>
      <c r="F38" s="297"/>
      <c r="G38" s="297"/>
      <c r="H38" s="297"/>
      <c r="I38" s="297"/>
      <c r="J38" s="2"/>
      <c r="K38" s="2"/>
      <c r="L38" s="2"/>
      <c r="M38" s="2"/>
      <c r="N38" s="2"/>
      <c r="O38" s="2"/>
      <c r="P38" s="2"/>
      <c r="Q38" s="2"/>
      <c r="R38" s="2"/>
      <c r="S38" s="2"/>
      <c r="T38" s="2"/>
      <c r="U38" s="2"/>
      <c r="V38" s="2"/>
      <c r="W38" s="2"/>
      <c r="X38" s="2"/>
      <c r="Y38" s="2"/>
      <c r="Z38" s="2"/>
    </row>
    <row r="39" spans="1:26" ht="12.75" hidden="1" customHeight="1" x14ac:dyDescent="0.2">
      <c r="A39" s="297"/>
      <c r="B39" s="297"/>
      <c r="C39" s="297"/>
      <c r="D39" s="367"/>
      <c r="E39" s="368"/>
      <c r="F39" s="297"/>
      <c r="G39" s="297"/>
      <c r="H39" s="297"/>
      <c r="I39" s="297"/>
      <c r="J39" s="2"/>
      <c r="K39" s="2"/>
      <c r="L39" s="2"/>
      <c r="M39" s="2"/>
      <c r="N39" s="2"/>
      <c r="O39" s="2"/>
      <c r="P39" s="2"/>
      <c r="Q39" s="2"/>
      <c r="R39" s="2"/>
      <c r="S39" s="2"/>
      <c r="T39" s="2"/>
      <c r="U39" s="2"/>
      <c r="V39" s="2"/>
      <c r="W39" s="2"/>
      <c r="X39" s="2"/>
      <c r="Y39" s="2"/>
      <c r="Z39" s="2"/>
    </row>
    <row r="40" spans="1:26" ht="12.75" hidden="1" customHeight="1" x14ac:dyDescent="0.2">
      <c r="A40" s="297"/>
      <c r="B40" s="297"/>
      <c r="C40" s="297"/>
      <c r="D40" s="367"/>
      <c r="E40" s="368"/>
      <c r="F40" s="297"/>
      <c r="G40" s="297"/>
      <c r="H40" s="297"/>
      <c r="I40" s="297"/>
      <c r="J40" s="2"/>
      <c r="K40" s="2"/>
      <c r="L40" s="2"/>
      <c r="M40" s="2"/>
      <c r="N40" s="2"/>
      <c r="O40" s="2"/>
      <c r="P40" s="2"/>
      <c r="Q40" s="2"/>
      <c r="R40" s="2"/>
      <c r="S40" s="2"/>
      <c r="T40" s="2"/>
      <c r="U40" s="2"/>
      <c r="V40" s="2"/>
      <c r="W40" s="2"/>
      <c r="X40" s="2"/>
      <c r="Y40" s="2"/>
      <c r="Z40" s="2"/>
    </row>
    <row r="41" spans="1:26" ht="12.75" hidden="1" customHeight="1" x14ac:dyDescent="0.2">
      <c r="A41" s="297"/>
      <c r="B41" s="297"/>
      <c r="C41" s="297"/>
      <c r="D41" s="367"/>
      <c r="E41" s="368"/>
      <c r="F41" s="297"/>
      <c r="G41" s="297"/>
      <c r="H41" s="297"/>
      <c r="I41" s="297"/>
      <c r="J41" s="2"/>
      <c r="K41" s="2"/>
      <c r="L41" s="2"/>
      <c r="M41" s="2"/>
      <c r="N41" s="2"/>
      <c r="O41" s="2"/>
      <c r="P41" s="2"/>
      <c r="Q41" s="2"/>
      <c r="R41" s="2"/>
      <c r="S41" s="2"/>
      <c r="T41" s="2"/>
      <c r="U41" s="2"/>
      <c r="V41" s="2"/>
      <c r="W41" s="2"/>
      <c r="X41" s="2"/>
      <c r="Y41" s="2"/>
      <c r="Z41" s="2"/>
    </row>
    <row r="42" spans="1:26" ht="12.75" hidden="1" customHeight="1" x14ac:dyDescent="0.2">
      <c r="A42" s="297"/>
      <c r="B42" s="297"/>
      <c r="C42" s="297"/>
      <c r="D42" s="367"/>
      <c r="E42" s="368"/>
      <c r="F42" s="297"/>
      <c r="G42" s="297"/>
      <c r="H42" s="297"/>
      <c r="I42" s="297"/>
      <c r="J42" s="2"/>
      <c r="K42" s="2"/>
      <c r="L42" s="2"/>
      <c r="M42" s="2"/>
      <c r="N42" s="2"/>
      <c r="O42" s="2"/>
      <c r="P42" s="2"/>
      <c r="Q42" s="2"/>
      <c r="R42" s="2"/>
      <c r="S42" s="2"/>
      <c r="T42" s="2"/>
      <c r="U42" s="2"/>
      <c r="V42" s="2"/>
      <c r="W42" s="2"/>
      <c r="X42" s="2"/>
      <c r="Y42" s="2"/>
      <c r="Z42" s="2"/>
    </row>
    <row r="43" spans="1:26" ht="12.75" hidden="1" customHeight="1" x14ac:dyDescent="0.2">
      <c r="A43" s="297"/>
      <c r="B43" s="297"/>
      <c r="C43" s="297"/>
      <c r="D43" s="367"/>
      <c r="E43" s="368"/>
      <c r="F43" s="297"/>
      <c r="G43" s="297"/>
      <c r="H43" s="297"/>
      <c r="I43" s="297"/>
      <c r="J43" s="2"/>
      <c r="K43" s="2"/>
      <c r="L43" s="2"/>
      <c r="M43" s="2"/>
      <c r="N43" s="2"/>
      <c r="O43" s="2"/>
      <c r="P43" s="2"/>
      <c r="Q43" s="2"/>
      <c r="R43" s="2"/>
      <c r="S43" s="2"/>
      <c r="T43" s="2"/>
      <c r="U43" s="2"/>
      <c r="V43" s="2"/>
      <c r="W43" s="2"/>
      <c r="X43" s="2"/>
      <c r="Y43" s="2"/>
      <c r="Z43" s="2"/>
    </row>
    <row r="44" spans="1:26" ht="12.75" hidden="1" customHeight="1" x14ac:dyDescent="0.2">
      <c r="A44" s="297"/>
      <c r="B44" s="297"/>
      <c r="C44" s="297"/>
      <c r="D44" s="367"/>
      <c r="E44" s="368"/>
      <c r="F44" s="297"/>
      <c r="G44" s="297"/>
      <c r="H44" s="297"/>
      <c r="I44" s="297"/>
      <c r="J44" s="2"/>
      <c r="K44" s="2"/>
      <c r="L44" s="2"/>
      <c r="M44" s="2"/>
      <c r="N44" s="2"/>
      <c r="O44" s="2"/>
      <c r="P44" s="2"/>
      <c r="Q44" s="2"/>
      <c r="R44" s="2"/>
      <c r="S44" s="2"/>
      <c r="T44" s="2"/>
      <c r="U44" s="2"/>
      <c r="V44" s="2"/>
      <c r="W44" s="2"/>
      <c r="X44" s="2"/>
      <c r="Y44" s="2"/>
      <c r="Z44" s="2"/>
    </row>
    <row r="45" spans="1:26" ht="12.75" hidden="1" customHeight="1" x14ac:dyDescent="0.2">
      <c r="A45" s="297"/>
      <c r="B45" s="297"/>
      <c r="C45" s="297"/>
      <c r="D45" s="367"/>
      <c r="E45" s="368"/>
      <c r="F45" s="297"/>
      <c r="G45" s="297"/>
      <c r="H45" s="297"/>
      <c r="I45" s="297"/>
      <c r="J45" s="2"/>
      <c r="K45" s="2"/>
      <c r="L45" s="2"/>
      <c r="M45" s="2"/>
      <c r="N45" s="2"/>
      <c r="O45" s="2"/>
      <c r="P45" s="2"/>
      <c r="Q45" s="2"/>
      <c r="R45" s="2"/>
      <c r="S45" s="2"/>
      <c r="T45" s="2"/>
      <c r="U45" s="2"/>
      <c r="V45" s="2"/>
      <c r="W45" s="2"/>
      <c r="X45" s="2"/>
      <c r="Y45" s="2"/>
      <c r="Z45" s="2"/>
    </row>
    <row r="46" spans="1:26" ht="12.75" hidden="1" customHeight="1" x14ac:dyDescent="0.2">
      <c r="A46" s="297"/>
      <c r="B46" s="297"/>
      <c r="C46" s="297"/>
      <c r="D46" s="367"/>
      <c r="E46" s="368"/>
      <c r="F46" s="297"/>
      <c r="G46" s="297"/>
      <c r="H46" s="297"/>
      <c r="I46" s="297"/>
      <c r="J46" s="2"/>
      <c r="K46" s="2"/>
      <c r="L46" s="2"/>
      <c r="M46" s="2"/>
      <c r="N46" s="2"/>
      <c r="O46" s="2"/>
      <c r="P46" s="2"/>
      <c r="Q46" s="2"/>
      <c r="R46" s="2"/>
      <c r="S46" s="2"/>
      <c r="T46" s="2"/>
      <c r="U46" s="2"/>
      <c r="V46" s="2"/>
      <c r="W46" s="2"/>
      <c r="X46" s="2"/>
      <c r="Y46" s="2"/>
      <c r="Z46" s="2"/>
    </row>
    <row r="47" spans="1:26" ht="12.75" hidden="1" customHeight="1" x14ac:dyDescent="0.2">
      <c r="A47" s="297"/>
      <c r="B47" s="297"/>
      <c r="C47" s="297"/>
      <c r="D47" s="367"/>
      <c r="E47" s="368"/>
      <c r="F47" s="297"/>
      <c r="G47" s="297"/>
      <c r="H47" s="297"/>
      <c r="I47" s="297"/>
      <c r="J47" s="2"/>
      <c r="K47" s="2"/>
      <c r="L47" s="2"/>
      <c r="M47" s="2"/>
      <c r="N47" s="2"/>
      <c r="O47" s="2"/>
      <c r="P47" s="2"/>
      <c r="Q47" s="2"/>
      <c r="R47" s="2"/>
      <c r="S47" s="2"/>
      <c r="T47" s="2"/>
      <c r="U47" s="2"/>
      <c r="V47" s="2"/>
      <c r="W47" s="2"/>
      <c r="X47" s="2"/>
      <c r="Y47" s="2"/>
      <c r="Z47" s="2"/>
    </row>
    <row r="48" spans="1:26" ht="12.75" hidden="1" customHeight="1" x14ac:dyDescent="0.2">
      <c r="A48" s="297"/>
      <c r="B48" s="297"/>
      <c r="C48" s="297"/>
      <c r="D48" s="367"/>
      <c r="E48" s="368"/>
      <c r="F48" s="297"/>
      <c r="G48" s="297"/>
      <c r="H48" s="297"/>
      <c r="I48" s="297"/>
      <c r="J48" s="2"/>
      <c r="K48" s="2"/>
      <c r="L48" s="2"/>
      <c r="M48" s="2"/>
      <c r="N48" s="2"/>
      <c r="O48" s="2"/>
      <c r="P48" s="2"/>
      <c r="Q48" s="2"/>
      <c r="R48" s="2"/>
      <c r="S48" s="2"/>
      <c r="T48" s="2"/>
      <c r="U48" s="2"/>
      <c r="V48" s="2"/>
      <c r="W48" s="2"/>
      <c r="X48" s="2"/>
      <c r="Y48" s="2"/>
      <c r="Z48" s="2"/>
    </row>
    <row r="49" spans="1:26" ht="12.75" hidden="1" customHeight="1" x14ac:dyDescent="0.2">
      <c r="A49" s="297"/>
      <c r="B49" s="297"/>
      <c r="C49" s="297"/>
      <c r="D49" s="367"/>
      <c r="E49" s="368"/>
      <c r="F49" s="297"/>
      <c r="G49" s="297"/>
      <c r="H49" s="297"/>
      <c r="I49" s="297"/>
      <c r="J49" s="2"/>
      <c r="K49" s="2"/>
      <c r="L49" s="2"/>
      <c r="M49" s="2"/>
      <c r="N49" s="2"/>
      <c r="O49" s="2"/>
      <c r="P49" s="2"/>
      <c r="Q49" s="2"/>
      <c r="R49" s="2"/>
      <c r="S49" s="2"/>
      <c r="T49" s="2"/>
      <c r="U49" s="2"/>
      <c r="V49" s="2"/>
      <c r="W49" s="2"/>
      <c r="X49" s="2"/>
      <c r="Y49" s="2"/>
      <c r="Z49" s="2"/>
    </row>
    <row r="50" spans="1:26" ht="12.75" hidden="1" customHeight="1" x14ac:dyDescent="0.2">
      <c r="A50" s="297"/>
      <c r="B50" s="297"/>
      <c r="C50" s="297"/>
      <c r="D50" s="367"/>
      <c r="E50" s="368"/>
      <c r="F50" s="297"/>
      <c r="G50" s="297"/>
      <c r="H50" s="297"/>
      <c r="I50" s="297"/>
      <c r="J50" s="2"/>
      <c r="K50" s="2"/>
      <c r="L50" s="2"/>
      <c r="M50" s="2"/>
      <c r="N50" s="2"/>
      <c r="O50" s="2"/>
      <c r="P50" s="2"/>
      <c r="Q50" s="2"/>
      <c r="R50" s="2"/>
      <c r="S50" s="2"/>
      <c r="T50" s="2"/>
      <c r="U50" s="2"/>
      <c r="V50" s="2"/>
      <c r="W50" s="2"/>
      <c r="X50" s="2"/>
      <c r="Y50" s="2"/>
      <c r="Z50" s="2"/>
    </row>
    <row r="51" spans="1:26" ht="12.75" hidden="1" customHeight="1" x14ac:dyDescent="0.2">
      <c r="A51" s="297"/>
      <c r="B51" s="297"/>
      <c r="C51" s="297"/>
      <c r="D51" s="367"/>
      <c r="E51" s="368"/>
      <c r="F51" s="297"/>
      <c r="G51" s="297"/>
      <c r="H51" s="297"/>
      <c r="I51" s="297"/>
      <c r="J51" s="2"/>
      <c r="K51" s="2"/>
      <c r="L51" s="2"/>
      <c r="M51" s="2"/>
      <c r="N51" s="2"/>
      <c r="O51" s="2"/>
      <c r="P51" s="2"/>
      <c r="Q51" s="2"/>
      <c r="R51" s="2"/>
      <c r="S51" s="2"/>
      <c r="T51" s="2"/>
      <c r="U51" s="2"/>
      <c r="V51" s="2"/>
      <c r="W51" s="2"/>
      <c r="X51" s="2"/>
      <c r="Y51" s="2"/>
      <c r="Z51" s="2"/>
    </row>
    <row r="52" spans="1:26" ht="12.75" hidden="1" customHeight="1" x14ac:dyDescent="0.2">
      <c r="A52" s="297"/>
      <c r="B52" s="297"/>
      <c r="C52" s="297"/>
      <c r="D52" s="367"/>
      <c r="E52" s="368"/>
      <c r="F52" s="297"/>
      <c r="G52" s="297"/>
      <c r="H52" s="297"/>
      <c r="I52" s="297"/>
      <c r="J52" s="2"/>
      <c r="K52" s="2"/>
      <c r="L52" s="2"/>
      <c r="M52" s="2"/>
      <c r="N52" s="2"/>
      <c r="O52" s="2"/>
      <c r="P52" s="2"/>
      <c r="Q52" s="2"/>
      <c r="R52" s="2"/>
      <c r="S52" s="2"/>
      <c r="T52" s="2"/>
      <c r="U52" s="2"/>
      <c r="V52" s="2"/>
      <c r="W52" s="2"/>
      <c r="X52" s="2"/>
      <c r="Y52" s="2"/>
      <c r="Z52" s="2"/>
    </row>
    <row r="53" spans="1:26" ht="12.75" hidden="1" customHeight="1" x14ac:dyDescent="0.2">
      <c r="A53" s="297"/>
      <c r="B53" s="297"/>
      <c r="C53" s="297"/>
      <c r="D53" s="367"/>
      <c r="E53" s="368"/>
      <c r="F53" s="297"/>
      <c r="G53" s="297"/>
      <c r="H53" s="297"/>
      <c r="I53" s="297"/>
      <c r="J53" s="2"/>
      <c r="K53" s="2"/>
      <c r="L53" s="2"/>
      <c r="M53" s="2"/>
      <c r="N53" s="2"/>
      <c r="O53" s="2"/>
      <c r="P53" s="2"/>
      <c r="Q53" s="2"/>
      <c r="R53" s="2"/>
      <c r="S53" s="2"/>
      <c r="T53" s="2"/>
      <c r="U53" s="2"/>
      <c r="V53" s="2"/>
      <c r="W53" s="2"/>
      <c r="X53" s="2"/>
      <c r="Y53" s="2"/>
      <c r="Z53" s="2"/>
    </row>
    <row r="54" spans="1:26" ht="12.75" hidden="1" customHeight="1" x14ac:dyDescent="0.2">
      <c r="A54" s="297"/>
      <c r="B54" s="297"/>
      <c r="C54" s="297"/>
      <c r="D54" s="367"/>
      <c r="E54" s="368"/>
      <c r="F54" s="297"/>
      <c r="G54" s="297"/>
      <c r="H54" s="297"/>
      <c r="I54" s="297"/>
      <c r="J54" s="2"/>
      <c r="K54" s="2"/>
      <c r="L54" s="2"/>
      <c r="M54" s="2"/>
      <c r="N54" s="2"/>
      <c r="O54" s="2"/>
      <c r="P54" s="2"/>
      <c r="Q54" s="2"/>
      <c r="R54" s="2"/>
      <c r="S54" s="2"/>
      <c r="T54" s="2"/>
      <c r="U54" s="2"/>
      <c r="V54" s="2"/>
      <c r="W54" s="2"/>
      <c r="X54" s="2"/>
      <c r="Y54" s="2"/>
      <c r="Z54" s="2"/>
    </row>
    <row r="55" spans="1:26" ht="12.75" hidden="1" customHeight="1" x14ac:dyDescent="0.2">
      <c r="A55" s="297"/>
      <c r="B55" s="297"/>
      <c r="C55" s="297"/>
      <c r="D55" s="367"/>
      <c r="E55" s="368"/>
      <c r="F55" s="297"/>
      <c r="G55" s="297"/>
      <c r="H55" s="297"/>
      <c r="I55" s="297"/>
      <c r="J55" s="2"/>
      <c r="K55" s="2"/>
      <c r="L55" s="2"/>
      <c r="M55" s="2"/>
      <c r="N55" s="2"/>
      <c r="O55" s="2"/>
      <c r="P55" s="2"/>
      <c r="Q55" s="2"/>
      <c r="R55" s="2"/>
      <c r="S55" s="2"/>
      <c r="T55" s="2"/>
      <c r="U55" s="2"/>
      <c r="V55" s="2"/>
      <c r="W55" s="2"/>
      <c r="X55" s="2"/>
      <c r="Y55" s="2"/>
      <c r="Z55" s="2"/>
    </row>
    <row r="56" spans="1:26" ht="12.75" hidden="1" customHeight="1" x14ac:dyDescent="0.2">
      <c r="A56" s="297"/>
      <c r="B56" s="297"/>
      <c r="C56" s="297"/>
      <c r="D56" s="367"/>
      <c r="E56" s="368"/>
      <c r="F56" s="297"/>
      <c r="G56" s="297"/>
      <c r="H56" s="297"/>
      <c r="I56" s="297"/>
      <c r="J56" s="2"/>
      <c r="K56" s="2"/>
      <c r="L56" s="2"/>
      <c r="M56" s="2"/>
      <c r="N56" s="2"/>
      <c r="O56" s="2"/>
      <c r="P56" s="2"/>
      <c r="Q56" s="2"/>
      <c r="R56" s="2"/>
      <c r="S56" s="2"/>
      <c r="T56" s="2"/>
      <c r="U56" s="2"/>
      <c r="V56" s="2"/>
      <c r="W56" s="2"/>
      <c r="X56" s="2"/>
      <c r="Y56" s="2"/>
      <c r="Z56" s="2"/>
    </row>
    <row r="57" spans="1:26" ht="12.75" hidden="1" customHeight="1" x14ac:dyDescent="0.2">
      <c r="A57" s="297"/>
      <c r="B57" s="297"/>
      <c r="C57" s="297"/>
      <c r="D57" s="367"/>
      <c r="E57" s="368"/>
      <c r="F57" s="297"/>
      <c r="G57" s="297"/>
      <c r="H57" s="297"/>
      <c r="I57" s="297"/>
      <c r="J57" s="2"/>
      <c r="K57" s="2"/>
      <c r="L57" s="2"/>
      <c r="M57" s="2"/>
      <c r="N57" s="2"/>
      <c r="O57" s="2"/>
      <c r="P57" s="2"/>
      <c r="Q57" s="2"/>
      <c r="R57" s="2"/>
      <c r="S57" s="2"/>
      <c r="T57" s="2"/>
      <c r="U57" s="2"/>
      <c r="V57" s="2"/>
      <c r="W57" s="2"/>
      <c r="X57" s="2"/>
      <c r="Y57" s="2"/>
      <c r="Z57" s="2"/>
    </row>
    <row r="58" spans="1:26" ht="12.75" hidden="1" customHeight="1" x14ac:dyDescent="0.2">
      <c r="A58" s="297"/>
      <c r="B58" s="297"/>
      <c r="C58" s="297"/>
      <c r="D58" s="367"/>
      <c r="E58" s="368"/>
      <c r="F58" s="297"/>
      <c r="G58" s="297"/>
      <c r="H58" s="297"/>
      <c r="I58" s="297"/>
      <c r="J58" s="2"/>
      <c r="K58" s="2"/>
      <c r="L58" s="2"/>
      <c r="M58" s="2"/>
      <c r="N58" s="2"/>
      <c r="O58" s="2"/>
      <c r="P58" s="2"/>
      <c r="Q58" s="2"/>
      <c r="R58" s="2"/>
      <c r="S58" s="2"/>
      <c r="T58" s="2"/>
      <c r="U58" s="2"/>
      <c r="V58" s="2"/>
      <c r="W58" s="2"/>
      <c r="X58" s="2"/>
      <c r="Y58" s="2"/>
      <c r="Z58" s="2"/>
    </row>
    <row r="59" spans="1:26" ht="12.75" hidden="1" customHeight="1" x14ac:dyDescent="0.2">
      <c r="A59" s="297"/>
      <c r="B59" s="297"/>
      <c r="C59" s="297"/>
      <c r="D59" s="367"/>
      <c r="E59" s="368"/>
      <c r="F59" s="297"/>
      <c r="G59" s="297"/>
      <c r="H59" s="297"/>
      <c r="I59" s="297"/>
      <c r="J59" s="2"/>
      <c r="K59" s="2"/>
      <c r="L59" s="2"/>
      <c r="M59" s="2"/>
      <c r="N59" s="2"/>
      <c r="O59" s="2"/>
      <c r="P59" s="2"/>
      <c r="Q59" s="2"/>
      <c r="R59" s="2"/>
      <c r="S59" s="2"/>
      <c r="T59" s="2"/>
      <c r="U59" s="2"/>
      <c r="V59" s="2"/>
      <c r="W59" s="2"/>
      <c r="X59" s="2"/>
      <c r="Y59" s="2"/>
      <c r="Z59" s="2"/>
    </row>
    <row r="60" spans="1:26" ht="12.75" hidden="1" customHeight="1" x14ac:dyDescent="0.2">
      <c r="A60" s="297"/>
      <c r="B60" s="297"/>
      <c r="C60" s="297"/>
      <c r="D60" s="367"/>
      <c r="E60" s="368"/>
      <c r="F60" s="297"/>
      <c r="G60" s="297"/>
      <c r="H60" s="297"/>
      <c r="I60" s="297"/>
      <c r="J60" s="2"/>
      <c r="K60" s="2"/>
      <c r="L60" s="2"/>
      <c r="M60" s="2"/>
      <c r="N60" s="2"/>
      <c r="O60" s="2"/>
      <c r="P60" s="2"/>
      <c r="Q60" s="2"/>
      <c r="R60" s="2"/>
      <c r="S60" s="2"/>
      <c r="T60" s="2"/>
      <c r="U60" s="2"/>
      <c r="V60" s="2"/>
      <c r="W60" s="2"/>
      <c r="X60" s="2"/>
      <c r="Y60" s="2"/>
      <c r="Z60" s="2"/>
    </row>
    <row r="61" spans="1:26" ht="12.75" hidden="1" customHeight="1" x14ac:dyDescent="0.2">
      <c r="A61" s="297"/>
      <c r="B61" s="297"/>
      <c r="C61" s="297"/>
      <c r="D61" s="367"/>
      <c r="E61" s="368"/>
      <c r="F61" s="297"/>
      <c r="G61" s="297"/>
      <c r="H61" s="297"/>
      <c r="I61" s="297"/>
      <c r="J61" s="2"/>
      <c r="K61" s="2"/>
      <c r="L61" s="2"/>
      <c r="M61" s="2"/>
      <c r="N61" s="2"/>
      <c r="O61" s="2"/>
      <c r="P61" s="2"/>
      <c r="Q61" s="2"/>
      <c r="R61" s="2"/>
      <c r="S61" s="2"/>
      <c r="T61" s="2"/>
      <c r="U61" s="2"/>
      <c r="V61" s="2"/>
      <c r="W61" s="2"/>
      <c r="X61" s="2"/>
      <c r="Y61" s="2"/>
      <c r="Z61" s="2"/>
    </row>
    <row r="62" spans="1:26" ht="12.75" hidden="1" customHeight="1" x14ac:dyDescent="0.2">
      <c r="A62" s="297"/>
      <c r="B62" s="297"/>
      <c r="C62" s="297"/>
      <c r="D62" s="367"/>
      <c r="E62" s="368"/>
      <c r="F62" s="297"/>
      <c r="G62" s="297"/>
      <c r="H62" s="297"/>
      <c r="I62" s="297"/>
      <c r="J62" s="2"/>
      <c r="K62" s="2"/>
      <c r="L62" s="2"/>
      <c r="M62" s="2"/>
      <c r="N62" s="2"/>
      <c r="O62" s="2"/>
      <c r="P62" s="2"/>
      <c r="Q62" s="2"/>
      <c r="R62" s="2"/>
      <c r="S62" s="2"/>
      <c r="T62" s="2"/>
      <c r="U62" s="2"/>
      <c r="V62" s="2"/>
      <c r="W62" s="2"/>
      <c r="X62" s="2"/>
      <c r="Y62" s="2"/>
      <c r="Z62" s="2"/>
    </row>
    <row r="63" spans="1:26" ht="12.75" hidden="1" customHeight="1" x14ac:dyDescent="0.2">
      <c r="A63" s="297"/>
      <c r="B63" s="297"/>
      <c r="C63" s="297"/>
      <c r="D63" s="367"/>
      <c r="E63" s="368"/>
      <c r="F63" s="297"/>
      <c r="G63" s="297"/>
      <c r="H63" s="297"/>
      <c r="I63" s="297"/>
      <c r="J63" s="2"/>
      <c r="K63" s="2"/>
      <c r="L63" s="2"/>
      <c r="M63" s="2"/>
      <c r="N63" s="2"/>
      <c r="O63" s="2"/>
      <c r="P63" s="2"/>
      <c r="Q63" s="2"/>
      <c r="R63" s="2"/>
      <c r="S63" s="2"/>
      <c r="T63" s="2"/>
      <c r="U63" s="2"/>
      <c r="V63" s="2"/>
      <c r="W63" s="2"/>
      <c r="X63" s="2"/>
      <c r="Y63" s="2"/>
      <c r="Z63" s="2"/>
    </row>
    <row r="64" spans="1:26" ht="12.75" hidden="1" customHeight="1" x14ac:dyDescent="0.2">
      <c r="A64" s="297"/>
      <c r="B64" s="297"/>
      <c r="C64" s="297"/>
      <c r="D64" s="367"/>
      <c r="E64" s="368"/>
      <c r="F64" s="297"/>
      <c r="G64" s="297"/>
      <c r="H64" s="297"/>
      <c r="I64" s="297"/>
      <c r="J64" s="2"/>
      <c r="K64" s="2"/>
      <c r="L64" s="2"/>
      <c r="M64" s="2"/>
      <c r="N64" s="2"/>
      <c r="O64" s="2"/>
      <c r="P64" s="2"/>
      <c r="Q64" s="2"/>
      <c r="R64" s="2"/>
      <c r="S64" s="2"/>
      <c r="T64" s="2"/>
      <c r="U64" s="2"/>
      <c r="V64" s="2"/>
      <c r="W64" s="2"/>
      <c r="X64" s="2"/>
      <c r="Y64" s="2"/>
      <c r="Z64" s="2"/>
    </row>
    <row r="65" spans="1:26" ht="12.75" hidden="1" customHeight="1" x14ac:dyDescent="0.2">
      <c r="A65" s="297"/>
      <c r="B65" s="297"/>
      <c r="C65" s="297"/>
      <c r="D65" s="367"/>
      <c r="E65" s="368"/>
      <c r="F65" s="297"/>
      <c r="G65" s="297"/>
      <c r="H65" s="297"/>
      <c r="I65" s="297"/>
      <c r="J65" s="2"/>
      <c r="K65" s="2"/>
      <c r="L65" s="2"/>
      <c r="M65" s="2"/>
      <c r="N65" s="2"/>
      <c r="O65" s="2"/>
      <c r="P65" s="2"/>
      <c r="Q65" s="2"/>
      <c r="R65" s="2"/>
      <c r="S65" s="2"/>
      <c r="T65" s="2"/>
      <c r="U65" s="2"/>
      <c r="V65" s="2"/>
      <c r="W65" s="2"/>
      <c r="X65" s="2"/>
      <c r="Y65" s="2"/>
      <c r="Z65" s="2"/>
    </row>
    <row r="66" spans="1:26" ht="12.75" hidden="1" customHeight="1" x14ac:dyDescent="0.2">
      <c r="A66" s="297"/>
      <c r="B66" s="297"/>
      <c r="C66" s="297"/>
      <c r="D66" s="367"/>
      <c r="E66" s="368"/>
      <c r="F66" s="297"/>
      <c r="G66" s="297"/>
      <c r="H66" s="297"/>
      <c r="I66" s="297"/>
      <c r="J66" s="2"/>
      <c r="K66" s="2"/>
      <c r="L66" s="2"/>
      <c r="M66" s="2"/>
      <c r="N66" s="2"/>
      <c r="O66" s="2"/>
      <c r="P66" s="2"/>
      <c r="Q66" s="2"/>
      <c r="R66" s="2"/>
      <c r="S66" s="2"/>
      <c r="T66" s="2"/>
      <c r="U66" s="2"/>
      <c r="V66" s="2"/>
      <c r="W66" s="2"/>
      <c r="X66" s="2"/>
      <c r="Y66" s="2"/>
      <c r="Z66" s="2"/>
    </row>
    <row r="67" spans="1:26" ht="12.75" hidden="1" customHeight="1" x14ac:dyDescent="0.2">
      <c r="A67" s="297"/>
      <c r="B67" s="297"/>
      <c r="C67" s="297"/>
      <c r="D67" s="367"/>
      <c r="E67" s="368"/>
      <c r="F67" s="297"/>
      <c r="G67" s="297"/>
      <c r="H67" s="297"/>
      <c r="I67" s="297"/>
      <c r="J67" s="2"/>
      <c r="K67" s="2"/>
      <c r="L67" s="2"/>
      <c r="M67" s="2"/>
      <c r="N67" s="2"/>
      <c r="O67" s="2"/>
      <c r="P67" s="2"/>
      <c r="Q67" s="2"/>
      <c r="R67" s="2"/>
      <c r="S67" s="2"/>
      <c r="T67" s="2"/>
      <c r="U67" s="2"/>
      <c r="V67" s="2"/>
      <c r="W67" s="2"/>
      <c r="X67" s="2"/>
      <c r="Y67" s="2"/>
      <c r="Z67" s="2"/>
    </row>
    <row r="68" spans="1:26" ht="12.75" hidden="1" customHeight="1" x14ac:dyDescent="0.2">
      <c r="A68" s="297"/>
      <c r="B68" s="297"/>
      <c r="C68" s="297"/>
      <c r="D68" s="367"/>
      <c r="E68" s="368"/>
      <c r="F68" s="297"/>
      <c r="G68" s="297"/>
      <c r="H68" s="297"/>
      <c r="I68" s="297"/>
      <c r="J68" s="2"/>
      <c r="K68" s="2"/>
      <c r="L68" s="2"/>
      <c r="M68" s="2"/>
      <c r="N68" s="2"/>
      <c r="O68" s="2"/>
      <c r="P68" s="2"/>
      <c r="Q68" s="2"/>
      <c r="R68" s="2"/>
      <c r="S68" s="2"/>
      <c r="T68" s="2"/>
      <c r="U68" s="2"/>
      <c r="V68" s="2"/>
      <c r="W68" s="2"/>
      <c r="X68" s="2"/>
      <c r="Y68" s="2"/>
      <c r="Z68" s="2"/>
    </row>
    <row r="69" spans="1:26" ht="12.75" hidden="1" customHeight="1" x14ac:dyDescent="0.2">
      <c r="A69" s="297"/>
      <c r="B69" s="297"/>
      <c r="C69" s="297"/>
      <c r="D69" s="367"/>
      <c r="E69" s="368"/>
      <c r="F69" s="297"/>
      <c r="G69" s="297"/>
      <c r="H69" s="297"/>
      <c r="I69" s="297"/>
      <c r="J69" s="2"/>
      <c r="K69" s="2"/>
      <c r="L69" s="2"/>
      <c r="M69" s="2"/>
      <c r="N69" s="2"/>
      <c r="O69" s="2"/>
      <c r="P69" s="2"/>
      <c r="Q69" s="2"/>
      <c r="R69" s="2"/>
      <c r="S69" s="2"/>
      <c r="T69" s="2"/>
      <c r="U69" s="2"/>
      <c r="V69" s="2"/>
      <c r="W69" s="2"/>
      <c r="X69" s="2"/>
      <c r="Y69" s="2"/>
      <c r="Z69" s="2"/>
    </row>
    <row r="70" spans="1:26" ht="12.75" hidden="1" customHeight="1" x14ac:dyDescent="0.2">
      <c r="A70" s="297"/>
      <c r="B70" s="297"/>
      <c r="C70" s="297"/>
      <c r="D70" s="367"/>
      <c r="E70" s="368"/>
      <c r="F70" s="297"/>
      <c r="G70" s="297"/>
      <c r="H70" s="297"/>
      <c r="I70" s="297"/>
      <c r="J70" s="2"/>
      <c r="K70" s="2"/>
      <c r="L70" s="2"/>
      <c r="M70" s="2"/>
      <c r="N70" s="2"/>
      <c r="O70" s="2"/>
      <c r="P70" s="2"/>
      <c r="Q70" s="2"/>
      <c r="R70" s="2"/>
      <c r="S70" s="2"/>
      <c r="T70" s="2"/>
      <c r="U70" s="2"/>
      <c r="V70" s="2"/>
      <c r="W70" s="2"/>
      <c r="X70" s="2"/>
      <c r="Y70" s="2"/>
      <c r="Z70" s="2"/>
    </row>
    <row r="71" spans="1:26" ht="12.75" hidden="1" customHeight="1" x14ac:dyDescent="0.2">
      <c r="A71" s="297"/>
      <c r="B71" s="297"/>
      <c r="C71" s="297"/>
      <c r="D71" s="367"/>
      <c r="E71" s="368"/>
      <c r="F71" s="297"/>
      <c r="G71" s="297"/>
      <c r="H71" s="297"/>
      <c r="I71" s="297"/>
      <c r="J71" s="2"/>
      <c r="K71" s="2"/>
      <c r="L71" s="2"/>
      <c r="M71" s="2"/>
      <c r="N71" s="2"/>
      <c r="O71" s="2"/>
      <c r="P71" s="2"/>
      <c r="Q71" s="2"/>
      <c r="R71" s="2"/>
      <c r="S71" s="2"/>
      <c r="T71" s="2"/>
      <c r="U71" s="2"/>
      <c r="V71" s="2"/>
      <c r="W71" s="2"/>
      <c r="X71" s="2"/>
      <c r="Y71" s="2"/>
      <c r="Z71" s="2"/>
    </row>
    <row r="72" spans="1:26" ht="12.75" hidden="1" customHeight="1" x14ac:dyDescent="0.2">
      <c r="A72" s="297"/>
      <c r="B72" s="297"/>
      <c r="C72" s="297"/>
      <c r="D72" s="367"/>
      <c r="E72" s="368"/>
      <c r="F72" s="297"/>
      <c r="G72" s="297"/>
      <c r="H72" s="297"/>
      <c r="I72" s="297"/>
      <c r="J72" s="2"/>
      <c r="K72" s="2"/>
      <c r="L72" s="2"/>
      <c r="M72" s="2"/>
      <c r="N72" s="2"/>
      <c r="O72" s="2"/>
      <c r="P72" s="2"/>
      <c r="Q72" s="2"/>
      <c r="R72" s="2"/>
      <c r="S72" s="2"/>
      <c r="T72" s="2"/>
      <c r="U72" s="2"/>
      <c r="V72" s="2"/>
      <c r="W72" s="2"/>
      <c r="X72" s="2"/>
      <c r="Y72" s="2"/>
      <c r="Z72" s="2"/>
    </row>
    <row r="73" spans="1:26" ht="12.75" hidden="1" customHeight="1" x14ac:dyDescent="0.2">
      <c r="A73" s="297"/>
      <c r="B73" s="297"/>
      <c r="C73" s="297"/>
      <c r="D73" s="367"/>
      <c r="E73" s="368"/>
      <c r="F73" s="297"/>
      <c r="G73" s="297"/>
      <c r="H73" s="297"/>
      <c r="I73" s="297"/>
      <c r="J73" s="2"/>
      <c r="K73" s="2"/>
      <c r="L73" s="2"/>
      <c r="M73" s="2"/>
      <c r="N73" s="2"/>
      <c r="O73" s="2"/>
      <c r="P73" s="2"/>
      <c r="Q73" s="2"/>
      <c r="R73" s="2"/>
      <c r="S73" s="2"/>
      <c r="T73" s="2"/>
      <c r="U73" s="2"/>
      <c r="V73" s="2"/>
      <c r="W73" s="2"/>
      <c r="X73" s="2"/>
      <c r="Y73" s="2"/>
      <c r="Z73" s="2"/>
    </row>
    <row r="74" spans="1:26" ht="12.75" hidden="1" customHeight="1" x14ac:dyDescent="0.2">
      <c r="A74" s="297"/>
      <c r="B74" s="297"/>
      <c r="C74" s="297"/>
      <c r="D74" s="367"/>
      <c r="E74" s="368"/>
      <c r="F74" s="297"/>
      <c r="G74" s="297"/>
      <c r="H74" s="297"/>
      <c r="I74" s="297"/>
      <c r="J74" s="2"/>
      <c r="K74" s="2"/>
      <c r="L74" s="2"/>
      <c r="M74" s="2"/>
      <c r="N74" s="2"/>
      <c r="O74" s="2"/>
      <c r="P74" s="2"/>
      <c r="Q74" s="2"/>
      <c r="R74" s="2"/>
      <c r="S74" s="2"/>
      <c r="T74" s="2"/>
      <c r="U74" s="2"/>
      <c r="V74" s="2"/>
      <c r="W74" s="2"/>
      <c r="X74" s="2"/>
      <c r="Y74" s="2"/>
      <c r="Z74" s="2"/>
    </row>
    <row r="75" spans="1:26" ht="12.75" hidden="1" customHeight="1" x14ac:dyDescent="0.2">
      <c r="A75" s="297"/>
      <c r="B75" s="297"/>
      <c r="C75" s="297"/>
      <c r="D75" s="367"/>
      <c r="E75" s="368"/>
      <c r="F75" s="297"/>
      <c r="G75" s="297"/>
      <c r="H75" s="297"/>
      <c r="I75" s="297"/>
      <c r="J75" s="2"/>
      <c r="K75" s="2"/>
      <c r="L75" s="2"/>
      <c r="M75" s="2"/>
      <c r="N75" s="2"/>
      <c r="O75" s="2"/>
      <c r="P75" s="2"/>
      <c r="Q75" s="2"/>
      <c r="R75" s="2"/>
      <c r="S75" s="2"/>
      <c r="T75" s="2"/>
      <c r="U75" s="2"/>
      <c r="V75" s="2"/>
      <c r="W75" s="2"/>
      <c r="X75" s="2"/>
      <c r="Y75" s="2"/>
      <c r="Z75" s="2"/>
    </row>
    <row r="76" spans="1:26" ht="12.75" hidden="1" customHeight="1" x14ac:dyDescent="0.2">
      <c r="A76" s="297"/>
      <c r="B76" s="297"/>
      <c r="C76" s="297"/>
      <c r="D76" s="367"/>
      <c r="E76" s="368"/>
      <c r="F76" s="297"/>
      <c r="G76" s="297"/>
      <c r="H76" s="297"/>
      <c r="I76" s="297"/>
      <c r="J76" s="2"/>
      <c r="K76" s="2"/>
      <c r="L76" s="2"/>
      <c r="M76" s="2"/>
      <c r="N76" s="2"/>
      <c r="O76" s="2"/>
      <c r="P76" s="2"/>
      <c r="Q76" s="2"/>
      <c r="R76" s="2"/>
      <c r="S76" s="2"/>
      <c r="T76" s="2"/>
      <c r="U76" s="2"/>
      <c r="V76" s="2"/>
      <c r="W76" s="2"/>
      <c r="X76" s="2"/>
      <c r="Y76" s="2"/>
      <c r="Z76" s="2"/>
    </row>
    <row r="77" spans="1:26" ht="12.75" hidden="1" customHeight="1" x14ac:dyDescent="0.2">
      <c r="A77" s="297"/>
      <c r="B77" s="297"/>
      <c r="C77" s="297"/>
      <c r="D77" s="367"/>
      <c r="E77" s="368"/>
      <c r="F77" s="297"/>
      <c r="G77" s="297"/>
      <c r="H77" s="297"/>
      <c r="I77" s="297"/>
      <c r="J77" s="2"/>
      <c r="K77" s="2"/>
      <c r="L77" s="2"/>
      <c r="M77" s="2"/>
      <c r="N77" s="2"/>
      <c r="O77" s="2"/>
      <c r="P77" s="2"/>
      <c r="Q77" s="2"/>
      <c r="R77" s="2"/>
      <c r="S77" s="2"/>
      <c r="T77" s="2"/>
      <c r="U77" s="2"/>
      <c r="V77" s="2"/>
      <c r="W77" s="2"/>
      <c r="X77" s="2"/>
      <c r="Y77" s="2"/>
      <c r="Z77" s="2"/>
    </row>
    <row r="78" spans="1:26" ht="12.75" hidden="1" customHeight="1" x14ac:dyDescent="0.2">
      <c r="A78" s="297"/>
      <c r="B78" s="297"/>
      <c r="C78" s="297"/>
      <c r="D78" s="367"/>
      <c r="E78" s="368"/>
      <c r="F78" s="297"/>
      <c r="G78" s="297"/>
      <c r="H78" s="297"/>
      <c r="I78" s="297"/>
      <c r="J78" s="2"/>
      <c r="K78" s="2"/>
      <c r="L78" s="2"/>
      <c r="M78" s="2"/>
      <c r="N78" s="2"/>
      <c r="O78" s="2"/>
      <c r="P78" s="2"/>
      <c r="Q78" s="2"/>
      <c r="R78" s="2"/>
      <c r="S78" s="2"/>
      <c r="T78" s="2"/>
      <c r="U78" s="2"/>
      <c r="V78" s="2"/>
      <c r="W78" s="2"/>
      <c r="X78" s="2"/>
      <c r="Y78" s="2"/>
      <c r="Z78" s="2"/>
    </row>
    <row r="79" spans="1:26" ht="12.75" hidden="1" customHeight="1" x14ac:dyDescent="0.2">
      <c r="A79" s="297"/>
      <c r="B79" s="297"/>
      <c r="C79" s="297"/>
      <c r="D79" s="367"/>
      <c r="E79" s="368"/>
      <c r="F79" s="297"/>
      <c r="G79" s="297"/>
      <c r="H79" s="297"/>
      <c r="I79" s="297"/>
      <c r="J79" s="2"/>
      <c r="K79" s="2"/>
      <c r="L79" s="2"/>
      <c r="M79" s="2"/>
      <c r="N79" s="2"/>
      <c r="O79" s="2"/>
      <c r="P79" s="2"/>
      <c r="Q79" s="2"/>
      <c r="R79" s="2"/>
      <c r="S79" s="2"/>
      <c r="T79" s="2"/>
      <c r="U79" s="2"/>
      <c r="V79" s="2"/>
      <c r="W79" s="2"/>
      <c r="X79" s="2"/>
      <c r="Y79" s="2"/>
      <c r="Z79" s="2"/>
    </row>
    <row r="80" spans="1:26" ht="12.75" hidden="1" customHeight="1" x14ac:dyDescent="0.2">
      <c r="A80" s="297"/>
      <c r="B80" s="297"/>
      <c r="C80" s="297"/>
      <c r="D80" s="367"/>
      <c r="E80" s="368"/>
      <c r="F80" s="297"/>
      <c r="G80" s="297"/>
      <c r="H80" s="297"/>
      <c r="I80" s="297"/>
      <c r="J80" s="2"/>
      <c r="K80" s="2"/>
      <c r="L80" s="2"/>
      <c r="M80" s="2"/>
      <c r="N80" s="2"/>
      <c r="O80" s="2"/>
      <c r="P80" s="2"/>
      <c r="Q80" s="2"/>
      <c r="R80" s="2"/>
      <c r="S80" s="2"/>
      <c r="T80" s="2"/>
      <c r="U80" s="2"/>
      <c r="V80" s="2"/>
      <c r="W80" s="2"/>
      <c r="X80" s="2"/>
      <c r="Y80" s="2"/>
      <c r="Z80" s="2"/>
    </row>
    <row r="81" spans="1:26" ht="12.75" hidden="1" customHeight="1" x14ac:dyDescent="0.2">
      <c r="A81" s="297"/>
      <c r="B81" s="297"/>
      <c r="C81" s="297"/>
      <c r="D81" s="367"/>
      <c r="E81" s="368"/>
      <c r="F81" s="297"/>
      <c r="G81" s="297"/>
      <c r="H81" s="297"/>
      <c r="I81" s="297"/>
      <c r="J81" s="2"/>
      <c r="K81" s="2"/>
      <c r="L81" s="2"/>
      <c r="M81" s="2"/>
      <c r="N81" s="2"/>
      <c r="O81" s="2"/>
      <c r="P81" s="2"/>
      <c r="Q81" s="2"/>
      <c r="R81" s="2"/>
      <c r="S81" s="2"/>
      <c r="T81" s="2"/>
      <c r="U81" s="2"/>
      <c r="V81" s="2"/>
      <c r="W81" s="2"/>
      <c r="X81" s="2"/>
      <c r="Y81" s="2"/>
      <c r="Z81" s="2"/>
    </row>
    <row r="82" spans="1:26" ht="12.75" hidden="1" customHeight="1" x14ac:dyDescent="0.2">
      <c r="A82" s="297"/>
      <c r="B82" s="297"/>
      <c r="C82" s="297"/>
      <c r="D82" s="367"/>
      <c r="E82" s="368"/>
      <c r="F82" s="297"/>
      <c r="G82" s="297"/>
      <c r="H82" s="297"/>
      <c r="I82" s="297"/>
      <c r="J82" s="2"/>
      <c r="K82" s="2"/>
      <c r="L82" s="2"/>
      <c r="M82" s="2"/>
      <c r="N82" s="2"/>
      <c r="O82" s="2"/>
      <c r="P82" s="2"/>
      <c r="Q82" s="2"/>
      <c r="R82" s="2"/>
      <c r="S82" s="2"/>
      <c r="T82" s="2"/>
      <c r="U82" s="2"/>
      <c r="V82" s="2"/>
      <c r="W82" s="2"/>
      <c r="X82" s="2"/>
      <c r="Y82" s="2"/>
      <c r="Z82" s="2"/>
    </row>
    <row r="83" spans="1:26" ht="12.75" hidden="1" customHeight="1" x14ac:dyDescent="0.2">
      <c r="A83" s="297"/>
      <c r="B83" s="297"/>
      <c r="C83" s="297"/>
      <c r="D83" s="367"/>
      <c r="E83" s="368"/>
      <c r="F83" s="297"/>
      <c r="G83" s="297"/>
      <c r="H83" s="297"/>
      <c r="I83" s="297"/>
      <c r="J83" s="2"/>
      <c r="K83" s="2"/>
      <c r="L83" s="2"/>
      <c r="M83" s="2"/>
      <c r="N83" s="2"/>
      <c r="O83" s="2"/>
      <c r="P83" s="2"/>
      <c r="Q83" s="2"/>
      <c r="R83" s="2"/>
      <c r="S83" s="2"/>
      <c r="T83" s="2"/>
      <c r="U83" s="2"/>
      <c r="V83" s="2"/>
      <c r="W83" s="2"/>
      <c r="X83" s="2"/>
      <c r="Y83" s="2"/>
      <c r="Z83" s="2"/>
    </row>
    <row r="84" spans="1:26" ht="12.75" hidden="1" customHeight="1" x14ac:dyDescent="0.2">
      <c r="A84" s="297"/>
      <c r="B84" s="297"/>
      <c r="C84" s="297"/>
      <c r="D84" s="367"/>
      <c r="E84" s="368"/>
      <c r="F84" s="297"/>
      <c r="G84" s="297"/>
      <c r="H84" s="297"/>
      <c r="I84" s="297"/>
      <c r="J84" s="2"/>
      <c r="K84" s="2"/>
      <c r="L84" s="2"/>
      <c r="M84" s="2"/>
      <c r="N84" s="2"/>
      <c r="O84" s="2"/>
      <c r="P84" s="2"/>
      <c r="Q84" s="2"/>
      <c r="R84" s="2"/>
      <c r="S84" s="2"/>
      <c r="T84" s="2"/>
      <c r="U84" s="2"/>
      <c r="V84" s="2"/>
      <c r="W84" s="2"/>
      <c r="X84" s="2"/>
      <c r="Y84" s="2"/>
      <c r="Z84" s="2"/>
    </row>
    <row r="85" spans="1:26" ht="12.75" hidden="1" customHeight="1" x14ac:dyDescent="0.2">
      <c r="A85" s="297"/>
      <c r="B85" s="297"/>
      <c r="C85" s="297"/>
      <c r="D85" s="367"/>
      <c r="E85" s="368"/>
      <c r="F85" s="297"/>
      <c r="G85" s="297"/>
      <c r="H85" s="297"/>
      <c r="I85" s="297"/>
      <c r="J85" s="2"/>
      <c r="K85" s="2"/>
      <c r="L85" s="2"/>
      <c r="M85" s="2"/>
      <c r="N85" s="2"/>
      <c r="O85" s="2"/>
      <c r="P85" s="2"/>
      <c r="Q85" s="2"/>
      <c r="R85" s="2"/>
      <c r="S85" s="2"/>
      <c r="T85" s="2"/>
      <c r="U85" s="2"/>
      <c r="V85" s="2"/>
      <c r="W85" s="2"/>
      <c r="X85" s="2"/>
      <c r="Y85" s="2"/>
      <c r="Z85" s="2"/>
    </row>
    <row r="86" spans="1:26" ht="12.75" hidden="1" customHeight="1" x14ac:dyDescent="0.2">
      <c r="A86" s="297"/>
      <c r="B86" s="297"/>
      <c r="C86" s="297"/>
      <c r="D86" s="367"/>
      <c r="E86" s="368"/>
      <c r="F86" s="297"/>
      <c r="G86" s="297"/>
      <c r="H86" s="297"/>
      <c r="I86" s="297"/>
      <c r="J86" s="2"/>
      <c r="K86" s="2"/>
      <c r="L86" s="2"/>
      <c r="M86" s="2"/>
      <c r="N86" s="2"/>
      <c r="O86" s="2"/>
      <c r="P86" s="2"/>
      <c r="Q86" s="2"/>
      <c r="R86" s="2"/>
      <c r="S86" s="2"/>
      <c r="T86" s="2"/>
      <c r="U86" s="2"/>
      <c r="V86" s="2"/>
      <c r="W86" s="2"/>
      <c r="X86" s="2"/>
      <c r="Y86" s="2"/>
      <c r="Z86" s="2"/>
    </row>
    <row r="87" spans="1:26" ht="12.75" hidden="1" customHeight="1" x14ac:dyDescent="0.2">
      <c r="A87" s="297"/>
      <c r="B87" s="297"/>
      <c r="C87" s="297"/>
      <c r="D87" s="367"/>
      <c r="E87" s="368"/>
      <c r="F87" s="297"/>
      <c r="G87" s="297"/>
      <c r="H87" s="297"/>
      <c r="I87" s="297"/>
      <c r="J87" s="2"/>
      <c r="K87" s="2"/>
      <c r="L87" s="2"/>
      <c r="M87" s="2"/>
      <c r="N87" s="2"/>
      <c r="O87" s="2"/>
      <c r="P87" s="2"/>
      <c r="Q87" s="2"/>
      <c r="R87" s="2"/>
      <c r="S87" s="2"/>
      <c r="T87" s="2"/>
      <c r="U87" s="2"/>
      <c r="V87" s="2"/>
      <c r="W87" s="2"/>
      <c r="X87" s="2"/>
      <c r="Y87" s="2"/>
      <c r="Z87" s="2"/>
    </row>
    <row r="88" spans="1:26" ht="12.75" hidden="1" customHeight="1" x14ac:dyDescent="0.2">
      <c r="A88" s="297"/>
      <c r="B88" s="297"/>
      <c r="C88" s="297"/>
      <c r="D88" s="367"/>
      <c r="E88" s="368"/>
      <c r="F88" s="297"/>
      <c r="G88" s="297"/>
      <c r="H88" s="297"/>
      <c r="I88" s="297"/>
      <c r="J88" s="2"/>
      <c r="K88" s="2"/>
      <c r="L88" s="2"/>
      <c r="M88" s="2"/>
      <c r="N88" s="2"/>
      <c r="O88" s="2"/>
      <c r="P88" s="2"/>
      <c r="Q88" s="2"/>
      <c r="R88" s="2"/>
      <c r="S88" s="2"/>
      <c r="T88" s="2"/>
      <c r="U88" s="2"/>
      <c r="V88" s="2"/>
      <c r="W88" s="2"/>
      <c r="X88" s="2"/>
      <c r="Y88" s="2"/>
      <c r="Z88" s="2"/>
    </row>
    <row r="89" spans="1:26" ht="12.75" hidden="1" customHeight="1" x14ac:dyDescent="0.2">
      <c r="A89" s="297"/>
      <c r="B89" s="297"/>
      <c r="C89" s="297"/>
      <c r="D89" s="367"/>
      <c r="E89" s="368"/>
      <c r="F89" s="297"/>
      <c r="G89" s="297"/>
      <c r="H89" s="297"/>
      <c r="I89" s="297"/>
      <c r="J89" s="2"/>
      <c r="K89" s="2"/>
      <c r="L89" s="2"/>
      <c r="M89" s="2"/>
      <c r="N89" s="2"/>
      <c r="O89" s="2"/>
      <c r="P89" s="2"/>
      <c r="Q89" s="2"/>
      <c r="R89" s="2"/>
      <c r="S89" s="2"/>
      <c r="T89" s="2"/>
      <c r="U89" s="2"/>
      <c r="V89" s="2"/>
      <c r="W89" s="2"/>
      <c r="X89" s="2"/>
      <c r="Y89" s="2"/>
      <c r="Z89" s="2"/>
    </row>
    <row r="90" spans="1:26" ht="12.75" hidden="1" customHeight="1" x14ac:dyDescent="0.2">
      <c r="A90" s="297"/>
      <c r="B90" s="297"/>
      <c r="C90" s="297"/>
      <c r="D90" s="367"/>
      <c r="E90" s="368"/>
      <c r="F90" s="297"/>
      <c r="G90" s="297"/>
      <c r="H90" s="297"/>
      <c r="I90" s="297"/>
      <c r="J90" s="2"/>
      <c r="K90" s="2"/>
      <c r="L90" s="2"/>
      <c r="M90" s="2"/>
      <c r="N90" s="2"/>
      <c r="O90" s="2"/>
      <c r="P90" s="2"/>
      <c r="Q90" s="2"/>
      <c r="R90" s="2"/>
      <c r="S90" s="2"/>
      <c r="T90" s="2"/>
      <c r="U90" s="2"/>
      <c r="V90" s="2"/>
      <c r="W90" s="2"/>
      <c r="X90" s="2"/>
      <c r="Y90" s="2"/>
      <c r="Z90" s="2"/>
    </row>
    <row r="91" spans="1:26" ht="12.75" hidden="1" customHeight="1" x14ac:dyDescent="0.2">
      <c r="A91" s="297"/>
      <c r="B91" s="297"/>
      <c r="C91" s="297"/>
      <c r="D91" s="367"/>
      <c r="E91" s="368"/>
      <c r="F91" s="297"/>
      <c r="G91" s="297"/>
      <c r="H91" s="297"/>
      <c r="I91" s="297"/>
      <c r="J91" s="2"/>
      <c r="K91" s="2"/>
      <c r="L91" s="2"/>
      <c r="M91" s="2"/>
      <c r="N91" s="2"/>
      <c r="O91" s="2"/>
      <c r="P91" s="2"/>
      <c r="Q91" s="2"/>
      <c r="R91" s="2"/>
      <c r="S91" s="2"/>
      <c r="T91" s="2"/>
      <c r="U91" s="2"/>
      <c r="V91" s="2"/>
      <c r="W91" s="2"/>
      <c r="X91" s="2"/>
      <c r="Y91" s="2"/>
      <c r="Z91" s="2"/>
    </row>
    <row r="92" spans="1:26" ht="12.75" hidden="1" customHeight="1" x14ac:dyDescent="0.2">
      <c r="A92" s="297"/>
      <c r="B92" s="297"/>
      <c r="C92" s="297"/>
      <c r="D92" s="367"/>
      <c r="E92" s="368"/>
      <c r="F92" s="297"/>
      <c r="G92" s="297"/>
      <c r="H92" s="297"/>
      <c r="I92" s="297"/>
      <c r="J92" s="2"/>
      <c r="K92" s="2"/>
      <c r="L92" s="2"/>
      <c r="M92" s="2"/>
      <c r="N92" s="2"/>
      <c r="O92" s="2"/>
      <c r="P92" s="2"/>
      <c r="Q92" s="2"/>
      <c r="R92" s="2"/>
      <c r="S92" s="2"/>
      <c r="T92" s="2"/>
      <c r="U92" s="2"/>
      <c r="V92" s="2"/>
      <c r="W92" s="2"/>
      <c r="X92" s="2"/>
      <c r="Y92" s="2"/>
      <c r="Z92" s="2"/>
    </row>
    <row r="93" spans="1:26" ht="12.75" hidden="1" customHeight="1" x14ac:dyDescent="0.2">
      <c r="A93" s="297"/>
      <c r="B93" s="297"/>
      <c r="C93" s="297"/>
      <c r="D93" s="367"/>
      <c r="E93" s="368"/>
      <c r="F93" s="297"/>
      <c r="G93" s="297"/>
      <c r="H93" s="297"/>
      <c r="I93" s="297"/>
      <c r="J93" s="2"/>
      <c r="K93" s="2"/>
      <c r="L93" s="2"/>
      <c r="M93" s="2"/>
      <c r="N93" s="2"/>
      <c r="O93" s="2"/>
      <c r="P93" s="2"/>
      <c r="Q93" s="2"/>
      <c r="R93" s="2"/>
      <c r="S93" s="2"/>
      <c r="T93" s="2"/>
      <c r="U93" s="2"/>
      <c r="V93" s="2"/>
      <c r="W93" s="2"/>
      <c r="X93" s="2"/>
      <c r="Y93" s="2"/>
      <c r="Z93" s="2"/>
    </row>
    <row r="94" spans="1:26" ht="12.75" hidden="1" customHeight="1" x14ac:dyDescent="0.2">
      <c r="A94" s="297"/>
      <c r="B94" s="297"/>
      <c r="C94" s="297"/>
      <c r="D94" s="367"/>
      <c r="E94" s="368"/>
      <c r="F94" s="297"/>
      <c r="G94" s="297"/>
      <c r="H94" s="297"/>
      <c r="I94" s="297"/>
      <c r="J94" s="2"/>
      <c r="K94" s="2"/>
      <c r="L94" s="2"/>
      <c r="M94" s="2"/>
      <c r="N94" s="2"/>
      <c r="O94" s="2"/>
      <c r="P94" s="2"/>
      <c r="Q94" s="2"/>
      <c r="R94" s="2"/>
      <c r="S94" s="2"/>
      <c r="T94" s="2"/>
      <c r="U94" s="2"/>
      <c r="V94" s="2"/>
      <c r="W94" s="2"/>
      <c r="X94" s="2"/>
      <c r="Y94" s="2"/>
      <c r="Z94" s="2"/>
    </row>
    <row r="95" spans="1:26" ht="22.5" customHeight="1" x14ac:dyDescent="0.2">
      <c r="A95" s="370"/>
      <c r="B95" s="370"/>
      <c r="C95" s="371" t="s">
        <v>66</v>
      </c>
      <c r="D95" s="372">
        <f>SUM(D5:D94)</f>
        <v>12651.619999999997</v>
      </c>
      <c r="E95" s="370"/>
      <c r="F95" s="370"/>
      <c r="G95" s="370"/>
      <c r="H95" s="373"/>
      <c r="I95" s="373"/>
      <c r="J95" s="2"/>
      <c r="K95" s="2"/>
      <c r="L95" s="2"/>
      <c r="M95" s="2"/>
      <c r="N95" s="2"/>
      <c r="O95" s="2"/>
      <c r="P95" s="2"/>
      <c r="Q95" s="2"/>
      <c r="R95" s="2"/>
      <c r="S95" s="2"/>
      <c r="T95" s="2"/>
      <c r="U95" s="2"/>
      <c r="V95" s="2"/>
      <c r="W95" s="2"/>
      <c r="X95" s="2"/>
      <c r="Y95" s="2"/>
      <c r="Z95" s="2"/>
    </row>
    <row r="96" spans="1:26" ht="12.75" customHeight="1" x14ac:dyDescent="0.2">
      <c r="A96" s="266"/>
      <c r="B96" s="266"/>
      <c r="C96" s="266"/>
      <c r="D96" s="374"/>
      <c r="E96" s="374"/>
      <c r="F96" s="266"/>
      <c r="G96" s="266"/>
      <c r="H96" s="266"/>
      <c r="I96" s="266"/>
      <c r="J96" s="2"/>
      <c r="K96" s="2"/>
      <c r="L96" s="2"/>
      <c r="M96" s="2"/>
      <c r="N96" s="2"/>
      <c r="O96" s="2"/>
      <c r="P96" s="2"/>
      <c r="Q96" s="2"/>
      <c r="R96" s="2"/>
      <c r="S96" s="2"/>
      <c r="T96" s="2"/>
      <c r="U96" s="2"/>
      <c r="V96" s="2"/>
      <c r="W96" s="2"/>
      <c r="X96" s="2"/>
      <c r="Y96" s="2"/>
      <c r="Z96" s="2"/>
    </row>
    <row r="97" spans="1:26" ht="12.75" customHeight="1" x14ac:dyDescent="0.2">
      <c r="A97" s="266"/>
      <c r="B97" s="266"/>
      <c r="C97" s="266"/>
      <c r="D97" s="374"/>
      <c r="E97" s="374"/>
      <c r="F97" s="266"/>
      <c r="G97" s="266"/>
      <c r="H97" s="266"/>
      <c r="I97" s="266"/>
      <c r="J97" s="2"/>
      <c r="K97" s="2"/>
      <c r="L97" s="2"/>
      <c r="M97" s="2"/>
      <c r="N97" s="2"/>
      <c r="O97" s="2"/>
      <c r="P97" s="2"/>
      <c r="Q97" s="2"/>
      <c r="R97" s="2"/>
      <c r="S97" s="2"/>
      <c r="T97" s="2"/>
      <c r="U97" s="2"/>
      <c r="V97" s="2"/>
      <c r="W97" s="2"/>
      <c r="X97" s="2"/>
      <c r="Y97" s="2"/>
      <c r="Z97" s="2"/>
    </row>
    <row r="98" spans="1:26" ht="12.75" customHeight="1" x14ac:dyDescent="0.2">
      <c r="A98" s="266"/>
      <c r="B98" s="266"/>
      <c r="C98" s="266"/>
      <c r="D98" s="374"/>
      <c r="E98" s="374"/>
      <c r="F98" s="266"/>
      <c r="G98" s="266"/>
      <c r="H98" s="266"/>
      <c r="I98" s="266"/>
      <c r="J98" s="2"/>
      <c r="K98" s="2"/>
      <c r="L98" s="2"/>
      <c r="M98" s="2"/>
      <c r="N98" s="2"/>
      <c r="O98" s="2"/>
      <c r="P98" s="2"/>
      <c r="Q98" s="2"/>
      <c r="R98" s="2"/>
      <c r="S98" s="2"/>
      <c r="T98" s="2"/>
      <c r="U98" s="2"/>
      <c r="V98" s="2"/>
      <c r="W98" s="2"/>
      <c r="X98" s="2"/>
      <c r="Y98" s="2"/>
      <c r="Z98" s="2"/>
    </row>
    <row r="99" spans="1:26" ht="12.75" customHeight="1" x14ac:dyDescent="0.2">
      <c r="A99" s="266"/>
      <c r="B99" s="266"/>
      <c r="C99" s="266"/>
      <c r="D99" s="374"/>
      <c r="E99" s="374"/>
      <c r="F99" s="266"/>
      <c r="G99" s="266"/>
      <c r="H99" s="266"/>
      <c r="I99" s="266"/>
      <c r="J99" s="2"/>
      <c r="K99" s="2"/>
      <c r="L99" s="2"/>
      <c r="M99" s="2"/>
      <c r="N99" s="2"/>
      <c r="O99" s="2"/>
      <c r="P99" s="2"/>
      <c r="Q99" s="2"/>
      <c r="R99" s="2"/>
      <c r="S99" s="2"/>
      <c r="T99" s="2"/>
      <c r="U99" s="2"/>
      <c r="V99" s="2"/>
      <c r="W99" s="2"/>
      <c r="X99" s="2"/>
      <c r="Y99" s="2"/>
      <c r="Z99" s="2"/>
    </row>
    <row r="100" spans="1:26" ht="12.75" customHeight="1" x14ac:dyDescent="0.2">
      <c r="A100" s="266"/>
      <c r="B100" s="266"/>
      <c r="C100" s="266"/>
      <c r="D100" s="374"/>
      <c r="E100" s="374"/>
      <c r="F100" s="266"/>
      <c r="G100" s="266"/>
      <c r="H100" s="266"/>
      <c r="I100" s="266"/>
      <c r="J100" s="2"/>
      <c r="K100" s="2"/>
      <c r="L100" s="2"/>
      <c r="M100" s="2"/>
      <c r="N100" s="2"/>
      <c r="O100" s="2"/>
      <c r="P100" s="2"/>
      <c r="Q100" s="2"/>
      <c r="R100" s="2"/>
      <c r="S100" s="2"/>
      <c r="T100" s="2"/>
      <c r="U100" s="2"/>
      <c r="V100" s="2"/>
      <c r="W100" s="2"/>
      <c r="X100" s="2"/>
      <c r="Y100" s="2"/>
      <c r="Z100" s="2"/>
    </row>
    <row r="101" spans="1:26" ht="12.75" customHeight="1" x14ac:dyDescent="0.2">
      <c r="A101" s="266"/>
      <c r="B101" s="266"/>
      <c r="C101" s="266"/>
      <c r="D101" s="374"/>
      <c r="E101" s="374"/>
      <c r="F101" s="266"/>
      <c r="G101" s="266"/>
      <c r="H101" s="266"/>
      <c r="I101" s="266"/>
      <c r="J101" s="2"/>
      <c r="K101" s="2"/>
      <c r="L101" s="2"/>
      <c r="M101" s="2"/>
      <c r="N101" s="2"/>
      <c r="O101" s="2"/>
      <c r="P101" s="2"/>
      <c r="Q101" s="2"/>
      <c r="R101" s="2"/>
      <c r="S101" s="2"/>
      <c r="T101" s="2"/>
      <c r="U101" s="2"/>
      <c r="V101" s="2"/>
      <c r="W101" s="2"/>
      <c r="X101" s="2"/>
      <c r="Y101" s="2"/>
      <c r="Z101" s="2"/>
    </row>
    <row r="102" spans="1:26" ht="12.75" customHeight="1" x14ac:dyDescent="0.2">
      <c r="A102" s="266"/>
      <c r="B102" s="266"/>
      <c r="C102" s="266"/>
      <c r="D102" s="374"/>
      <c r="E102" s="374"/>
      <c r="F102" s="266"/>
      <c r="G102" s="266"/>
      <c r="H102" s="266"/>
      <c r="I102" s="266"/>
      <c r="J102" s="2"/>
      <c r="K102" s="2"/>
      <c r="L102" s="2"/>
      <c r="M102" s="2"/>
      <c r="N102" s="2"/>
      <c r="O102" s="2"/>
      <c r="P102" s="2"/>
      <c r="Q102" s="2"/>
      <c r="R102" s="2"/>
      <c r="S102" s="2"/>
      <c r="T102" s="2"/>
      <c r="U102" s="2"/>
      <c r="V102" s="2"/>
      <c r="W102" s="2"/>
      <c r="X102" s="2"/>
      <c r="Y102" s="2"/>
      <c r="Z102" s="2"/>
    </row>
    <row r="103" spans="1:26" ht="12.75" customHeight="1" x14ac:dyDescent="0.2">
      <c r="A103" s="266"/>
      <c r="B103" s="266"/>
      <c r="C103" s="266"/>
      <c r="D103" s="374"/>
      <c r="E103" s="374"/>
      <c r="F103" s="266"/>
      <c r="G103" s="266"/>
      <c r="H103" s="266"/>
      <c r="I103" s="266"/>
      <c r="J103" s="2"/>
      <c r="K103" s="2"/>
      <c r="L103" s="2"/>
      <c r="M103" s="2"/>
      <c r="N103" s="2"/>
      <c r="O103" s="2"/>
      <c r="P103" s="2"/>
      <c r="Q103" s="2"/>
      <c r="R103" s="2"/>
      <c r="S103" s="2"/>
      <c r="T103" s="2"/>
      <c r="U103" s="2"/>
      <c r="V103" s="2"/>
      <c r="W103" s="2"/>
      <c r="X103" s="2"/>
      <c r="Y103" s="2"/>
      <c r="Z103" s="2"/>
    </row>
    <row r="104" spans="1:26" ht="12.75" customHeight="1" x14ac:dyDescent="0.2">
      <c r="A104" s="266"/>
      <c r="B104" s="266"/>
      <c r="C104" s="266"/>
      <c r="D104" s="374"/>
      <c r="E104" s="374"/>
      <c r="F104" s="266"/>
      <c r="G104" s="266"/>
      <c r="H104" s="266"/>
      <c r="I104" s="266"/>
      <c r="J104" s="2"/>
      <c r="K104" s="2"/>
      <c r="L104" s="2"/>
      <c r="M104" s="2"/>
      <c r="N104" s="2"/>
      <c r="O104" s="2"/>
      <c r="P104" s="2"/>
      <c r="Q104" s="2"/>
      <c r="R104" s="2"/>
      <c r="S104" s="2"/>
      <c r="T104" s="2"/>
      <c r="U104" s="2"/>
      <c r="V104" s="2"/>
      <c r="W104" s="2"/>
      <c r="X104" s="2"/>
      <c r="Y104" s="2"/>
      <c r="Z104" s="2"/>
    </row>
    <row r="105" spans="1:26" ht="12.75" customHeight="1" x14ac:dyDescent="0.2">
      <c r="A105" s="266"/>
      <c r="B105" s="266"/>
      <c r="C105" s="266"/>
      <c r="D105" s="374"/>
      <c r="E105" s="374"/>
      <c r="F105" s="266"/>
      <c r="G105" s="266"/>
      <c r="H105" s="266"/>
      <c r="I105" s="266"/>
      <c r="J105" s="2"/>
      <c r="K105" s="2"/>
      <c r="L105" s="2"/>
      <c r="M105" s="2"/>
      <c r="N105" s="2"/>
      <c r="O105" s="2"/>
      <c r="P105" s="2"/>
      <c r="Q105" s="2"/>
      <c r="R105" s="2"/>
      <c r="S105" s="2"/>
      <c r="T105" s="2"/>
      <c r="U105" s="2"/>
      <c r="V105" s="2"/>
      <c r="W105" s="2"/>
      <c r="X105" s="2"/>
      <c r="Y105" s="2"/>
      <c r="Z105" s="2"/>
    </row>
    <row r="106" spans="1:26" ht="12.75" customHeight="1" x14ac:dyDescent="0.2">
      <c r="A106" s="266"/>
      <c r="B106" s="266"/>
      <c r="C106" s="266"/>
      <c r="D106" s="374"/>
      <c r="E106" s="374"/>
      <c r="F106" s="266"/>
      <c r="G106" s="266"/>
      <c r="H106" s="266"/>
      <c r="I106" s="266"/>
      <c r="J106" s="2"/>
      <c r="K106" s="2"/>
      <c r="L106" s="2"/>
      <c r="M106" s="2"/>
      <c r="N106" s="2"/>
      <c r="O106" s="2"/>
      <c r="P106" s="2"/>
      <c r="Q106" s="2"/>
      <c r="R106" s="2"/>
      <c r="S106" s="2"/>
      <c r="T106" s="2"/>
      <c r="U106" s="2"/>
      <c r="V106" s="2"/>
      <c r="W106" s="2"/>
      <c r="X106" s="2"/>
      <c r="Y106" s="2"/>
      <c r="Z106" s="2"/>
    </row>
    <row r="107" spans="1:26" ht="12.75" customHeight="1" x14ac:dyDescent="0.2">
      <c r="A107" s="266"/>
      <c r="B107" s="266"/>
      <c r="C107" s="266"/>
      <c r="D107" s="374"/>
      <c r="E107" s="374"/>
      <c r="F107" s="266"/>
      <c r="G107" s="266"/>
      <c r="H107" s="266"/>
      <c r="I107" s="266"/>
      <c r="J107" s="2"/>
      <c r="K107" s="2"/>
      <c r="L107" s="2"/>
      <c r="M107" s="2"/>
      <c r="N107" s="2"/>
      <c r="O107" s="2"/>
      <c r="P107" s="2"/>
      <c r="Q107" s="2"/>
      <c r="R107" s="2"/>
      <c r="S107" s="2"/>
      <c r="T107" s="2"/>
      <c r="U107" s="2"/>
      <c r="V107" s="2"/>
      <c r="W107" s="2"/>
      <c r="X107" s="2"/>
      <c r="Y107" s="2"/>
      <c r="Z107" s="2"/>
    </row>
    <row r="108" spans="1:26" ht="12.75" customHeight="1" x14ac:dyDescent="0.2">
      <c r="A108" s="266"/>
      <c r="B108" s="266"/>
      <c r="C108" s="266"/>
      <c r="D108" s="374"/>
      <c r="E108" s="374"/>
      <c r="F108" s="266"/>
      <c r="G108" s="266"/>
      <c r="H108" s="266"/>
      <c r="I108" s="266"/>
      <c r="J108" s="2"/>
      <c r="K108" s="2"/>
      <c r="L108" s="2"/>
      <c r="M108" s="2"/>
      <c r="N108" s="2"/>
      <c r="O108" s="2"/>
      <c r="P108" s="2"/>
      <c r="Q108" s="2"/>
      <c r="R108" s="2"/>
      <c r="S108" s="2"/>
      <c r="T108" s="2"/>
      <c r="U108" s="2"/>
      <c r="V108" s="2"/>
      <c r="W108" s="2"/>
      <c r="X108" s="2"/>
      <c r="Y108" s="2"/>
      <c r="Z108" s="2"/>
    </row>
    <row r="109" spans="1:26" ht="12.75" customHeight="1" x14ac:dyDescent="0.2">
      <c r="A109" s="266"/>
      <c r="B109" s="266"/>
      <c r="C109" s="266"/>
      <c r="D109" s="374"/>
      <c r="E109" s="374"/>
      <c r="F109" s="266"/>
      <c r="G109" s="266"/>
      <c r="H109" s="266"/>
      <c r="I109" s="266"/>
      <c r="J109" s="2"/>
      <c r="K109" s="2"/>
      <c r="L109" s="2"/>
      <c r="M109" s="2"/>
      <c r="N109" s="2"/>
      <c r="O109" s="2"/>
      <c r="P109" s="2"/>
      <c r="Q109" s="2"/>
      <c r="R109" s="2"/>
      <c r="S109" s="2"/>
      <c r="T109" s="2"/>
      <c r="U109" s="2"/>
      <c r="V109" s="2"/>
      <c r="W109" s="2"/>
      <c r="X109" s="2"/>
      <c r="Y109" s="2"/>
      <c r="Z109" s="2"/>
    </row>
    <row r="110" spans="1:26" ht="12.75" customHeight="1" x14ac:dyDescent="0.2">
      <c r="A110" s="266"/>
      <c r="B110" s="266"/>
      <c r="C110" s="266"/>
      <c r="D110" s="374"/>
      <c r="E110" s="374"/>
      <c r="F110" s="266"/>
      <c r="G110" s="266"/>
      <c r="H110" s="266"/>
      <c r="I110" s="266"/>
      <c r="J110" s="2"/>
      <c r="K110" s="2"/>
      <c r="L110" s="2"/>
      <c r="M110" s="2"/>
      <c r="N110" s="2"/>
      <c r="O110" s="2"/>
      <c r="P110" s="2"/>
      <c r="Q110" s="2"/>
      <c r="R110" s="2"/>
      <c r="S110" s="2"/>
      <c r="T110" s="2"/>
      <c r="U110" s="2"/>
      <c r="V110" s="2"/>
      <c r="W110" s="2"/>
      <c r="X110" s="2"/>
      <c r="Y110" s="2"/>
      <c r="Z110" s="2"/>
    </row>
    <row r="111" spans="1:26" ht="12.75" customHeight="1" x14ac:dyDescent="0.2">
      <c r="A111" s="266"/>
      <c r="B111" s="266"/>
      <c r="C111" s="266"/>
      <c r="D111" s="374"/>
      <c r="E111" s="374"/>
      <c r="F111" s="266"/>
      <c r="G111" s="266"/>
      <c r="H111" s="266"/>
      <c r="I111" s="266"/>
      <c r="J111" s="2"/>
      <c r="K111" s="2"/>
      <c r="L111" s="2"/>
      <c r="M111" s="2"/>
      <c r="N111" s="2"/>
      <c r="O111" s="2"/>
      <c r="P111" s="2"/>
      <c r="Q111" s="2"/>
      <c r="R111" s="2"/>
      <c r="S111" s="2"/>
      <c r="T111" s="2"/>
      <c r="U111" s="2"/>
      <c r="V111" s="2"/>
      <c r="W111" s="2"/>
      <c r="X111" s="2"/>
      <c r="Y111" s="2"/>
      <c r="Z111" s="2"/>
    </row>
    <row r="112" spans="1:26" ht="12.75" customHeight="1" x14ac:dyDescent="0.2">
      <c r="A112" s="266"/>
      <c r="B112" s="266"/>
      <c r="C112" s="266"/>
      <c r="D112" s="374"/>
      <c r="E112" s="374"/>
      <c r="F112" s="266"/>
      <c r="G112" s="266"/>
      <c r="H112" s="266"/>
      <c r="I112" s="266"/>
      <c r="J112" s="2"/>
      <c r="K112" s="2"/>
      <c r="L112" s="2"/>
      <c r="M112" s="2"/>
      <c r="N112" s="2"/>
      <c r="O112" s="2"/>
      <c r="P112" s="2"/>
      <c r="Q112" s="2"/>
      <c r="R112" s="2"/>
      <c r="S112" s="2"/>
      <c r="T112" s="2"/>
      <c r="U112" s="2"/>
      <c r="V112" s="2"/>
      <c r="W112" s="2"/>
      <c r="X112" s="2"/>
      <c r="Y112" s="2"/>
      <c r="Z112" s="2"/>
    </row>
    <row r="113" spans="1:26" ht="12.75" customHeight="1" x14ac:dyDescent="0.2">
      <c r="A113" s="266"/>
      <c r="B113" s="266"/>
      <c r="C113" s="266"/>
      <c r="D113" s="374"/>
      <c r="E113" s="374"/>
      <c r="F113" s="266"/>
      <c r="G113" s="266"/>
      <c r="H113" s="266"/>
      <c r="I113" s="266"/>
      <c r="J113" s="2"/>
      <c r="K113" s="2"/>
      <c r="L113" s="2"/>
      <c r="M113" s="2"/>
      <c r="N113" s="2"/>
      <c r="O113" s="2"/>
      <c r="P113" s="2"/>
      <c r="Q113" s="2"/>
      <c r="R113" s="2"/>
      <c r="S113" s="2"/>
      <c r="T113" s="2"/>
      <c r="U113" s="2"/>
      <c r="V113" s="2"/>
      <c r="W113" s="2"/>
      <c r="X113" s="2"/>
      <c r="Y113" s="2"/>
      <c r="Z113" s="2"/>
    </row>
    <row r="114" spans="1:26" ht="12.75" customHeight="1" x14ac:dyDescent="0.2">
      <c r="A114" s="266"/>
      <c r="B114" s="266"/>
      <c r="C114" s="266"/>
      <c r="D114" s="374"/>
      <c r="E114" s="374"/>
      <c r="F114" s="266"/>
      <c r="G114" s="266"/>
      <c r="H114" s="266"/>
      <c r="I114" s="266"/>
      <c r="J114" s="2"/>
      <c r="K114" s="2"/>
      <c r="L114" s="2"/>
      <c r="M114" s="2"/>
      <c r="N114" s="2"/>
      <c r="O114" s="2"/>
      <c r="P114" s="2"/>
      <c r="Q114" s="2"/>
      <c r="R114" s="2"/>
      <c r="S114" s="2"/>
      <c r="T114" s="2"/>
      <c r="U114" s="2"/>
      <c r="V114" s="2"/>
      <c r="W114" s="2"/>
      <c r="X114" s="2"/>
      <c r="Y114" s="2"/>
      <c r="Z114" s="2"/>
    </row>
    <row r="115" spans="1:26" ht="12.75" customHeight="1" x14ac:dyDescent="0.2">
      <c r="A115" s="266"/>
      <c r="B115" s="266"/>
      <c r="C115" s="266"/>
      <c r="D115" s="374"/>
      <c r="E115" s="374"/>
      <c r="F115" s="266"/>
      <c r="G115" s="266"/>
      <c r="H115" s="266"/>
      <c r="I115" s="266"/>
      <c r="J115" s="2"/>
      <c r="K115" s="2"/>
      <c r="L115" s="2"/>
      <c r="M115" s="2"/>
      <c r="N115" s="2"/>
      <c r="O115" s="2"/>
      <c r="P115" s="2"/>
      <c r="Q115" s="2"/>
      <c r="R115" s="2"/>
      <c r="S115" s="2"/>
      <c r="T115" s="2"/>
      <c r="U115" s="2"/>
      <c r="V115" s="2"/>
      <c r="W115" s="2"/>
      <c r="X115" s="2"/>
      <c r="Y115" s="2"/>
      <c r="Z115" s="2"/>
    </row>
    <row r="116" spans="1:26" ht="12.75" customHeight="1" x14ac:dyDescent="0.2">
      <c r="A116" s="266"/>
      <c r="B116" s="266"/>
      <c r="C116" s="266"/>
      <c r="D116" s="374"/>
      <c r="E116" s="374"/>
      <c r="F116" s="266"/>
      <c r="G116" s="266"/>
      <c r="H116" s="266"/>
      <c r="I116" s="266"/>
      <c r="J116" s="2"/>
      <c r="K116" s="2"/>
      <c r="L116" s="2"/>
      <c r="M116" s="2"/>
      <c r="N116" s="2"/>
      <c r="O116" s="2"/>
      <c r="P116" s="2"/>
      <c r="Q116" s="2"/>
      <c r="R116" s="2"/>
      <c r="S116" s="2"/>
      <c r="T116" s="2"/>
      <c r="U116" s="2"/>
      <c r="V116" s="2"/>
      <c r="W116" s="2"/>
      <c r="X116" s="2"/>
      <c r="Y116" s="2"/>
      <c r="Z116" s="2"/>
    </row>
    <row r="117" spans="1:26" ht="12.75" customHeight="1" x14ac:dyDescent="0.2">
      <c r="A117" s="266"/>
      <c r="B117" s="266"/>
      <c r="C117" s="266"/>
      <c r="D117" s="374"/>
      <c r="E117" s="374"/>
      <c r="F117" s="266"/>
      <c r="G117" s="266"/>
      <c r="H117" s="266"/>
      <c r="I117" s="266"/>
      <c r="J117" s="2"/>
      <c r="K117" s="2"/>
      <c r="L117" s="2"/>
      <c r="M117" s="2"/>
      <c r="N117" s="2"/>
      <c r="O117" s="2"/>
      <c r="P117" s="2"/>
      <c r="Q117" s="2"/>
      <c r="R117" s="2"/>
      <c r="S117" s="2"/>
      <c r="T117" s="2"/>
      <c r="U117" s="2"/>
      <c r="V117" s="2"/>
      <c r="W117" s="2"/>
      <c r="X117" s="2"/>
      <c r="Y117" s="2"/>
      <c r="Z117" s="2"/>
    </row>
    <row r="118" spans="1:26" ht="12.75" customHeight="1" x14ac:dyDescent="0.2">
      <c r="A118" s="266"/>
      <c r="B118" s="266"/>
      <c r="C118" s="266"/>
      <c r="D118" s="374"/>
      <c r="E118" s="374"/>
      <c r="F118" s="266"/>
      <c r="G118" s="266"/>
      <c r="H118" s="266"/>
      <c r="I118" s="266"/>
      <c r="J118" s="2"/>
      <c r="K118" s="2"/>
      <c r="L118" s="2"/>
      <c r="M118" s="2"/>
      <c r="N118" s="2"/>
      <c r="O118" s="2"/>
      <c r="P118" s="2"/>
      <c r="Q118" s="2"/>
      <c r="R118" s="2"/>
      <c r="S118" s="2"/>
      <c r="T118" s="2"/>
      <c r="U118" s="2"/>
      <c r="V118" s="2"/>
      <c r="W118" s="2"/>
      <c r="X118" s="2"/>
      <c r="Y118" s="2"/>
      <c r="Z118" s="2"/>
    </row>
    <row r="119" spans="1:26" ht="12.75" customHeight="1" x14ac:dyDescent="0.2">
      <c r="A119" s="266"/>
      <c r="B119" s="266"/>
      <c r="C119" s="266"/>
      <c r="D119" s="374"/>
      <c r="E119" s="374"/>
      <c r="F119" s="266"/>
      <c r="G119" s="266"/>
      <c r="H119" s="266"/>
      <c r="I119" s="266"/>
      <c r="J119" s="2"/>
      <c r="K119" s="2"/>
      <c r="L119" s="2"/>
      <c r="M119" s="2"/>
      <c r="N119" s="2"/>
      <c r="O119" s="2"/>
      <c r="P119" s="2"/>
      <c r="Q119" s="2"/>
      <c r="R119" s="2"/>
      <c r="S119" s="2"/>
      <c r="T119" s="2"/>
      <c r="U119" s="2"/>
      <c r="V119" s="2"/>
      <c r="W119" s="2"/>
      <c r="X119" s="2"/>
      <c r="Y119" s="2"/>
      <c r="Z119" s="2"/>
    </row>
    <row r="120" spans="1:26" ht="12.75" customHeight="1" x14ac:dyDescent="0.2">
      <c r="A120" s="266"/>
      <c r="B120" s="266"/>
      <c r="C120" s="266"/>
      <c r="D120" s="374"/>
      <c r="E120" s="374"/>
      <c r="F120" s="266"/>
      <c r="G120" s="266"/>
      <c r="H120" s="266"/>
      <c r="I120" s="266"/>
      <c r="J120" s="2"/>
      <c r="K120" s="2"/>
      <c r="L120" s="2"/>
      <c r="M120" s="2"/>
      <c r="N120" s="2"/>
      <c r="O120" s="2"/>
      <c r="P120" s="2"/>
      <c r="Q120" s="2"/>
      <c r="R120" s="2"/>
      <c r="S120" s="2"/>
      <c r="T120" s="2"/>
      <c r="U120" s="2"/>
      <c r="V120" s="2"/>
      <c r="W120" s="2"/>
      <c r="X120" s="2"/>
      <c r="Y120" s="2"/>
      <c r="Z120" s="2"/>
    </row>
    <row r="121" spans="1:26" ht="12.75" customHeight="1" x14ac:dyDescent="0.2">
      <c r="A121" s="266"/>
      <c r="B121" s="266"/>
      <c r="C121" s="266"/>
      <c r="D121" s="374"/>
      <c r="E121" s="374"/>
      <c r="F121" s="266"/>
      <c r="G121" s="266"/>
      <c r="H121" s="266"/>
      <c r="I121" s="266"/>
      <c r="J121" s="2"/>
      <c r="K121" s="2"/>
      <c r="L121" s="2"/>
      <c r="M121" s="2"/>
      <c r="N121" s="2"/>
      <c r="O121" s="2"/>
      <c r="P121" s="2"/>
      <c r="Q121" s="2"/>
      <c r="R121" s="2"/>
      <c r="S121" s="2"/>
      <c r="T121" s="2"/>
      <c r="U121" s="2"/>
      <c r="V121" s="2"/>
      <c r="W121" s="2"/>
      <c r="X121" s="2"/>
      <c r="Y121" s="2"/>
      <c r="Z121" s="2"/>
    </row>
    <row r="122" spans="1:26" ht="12.75" customHeight="1" x14ac:dyDescent="0.2">
      <c r="A122" s="266"/>
      <c r="B122" s="266"/>
      <c r="C122" s="266"/>
      <c r="D122" s="374"/>
      <c r="E122" s="374"/>
      <c r="F122" s="266"/>
      <c r="G122" s="266"/>
      <c r="H122" s="266"/>
      <c r="I122" s="266"/>
      <c r="J122" s="2"/>
      <c r="K122" s="2"/>
      <c r="L122" s="2"/>
      <c r="M122" s="2"/>
      <c r="N122" s="2"/>
      <c r="O122" s="2"/>
      <c r="P122" s="2"/>
      <c r="Q122" s="2"/>
      <c r="R122" s="2"/>
      <c r="S122" s="2"/>
      <c r="T122" s="2"/>
      <c r="U122" s="2"/>
      <c r="V122" s="2"/>
      <c r="W122" s="2"/>
      <c r="X122" s="2"/>
      <c r="Y122" s="2"/>
      <c r="Z122" s="2"/>
    </row>
    <row r="123" spans="1:26" ht="12.75" customHeight="1" x14ac:dyDescent="0.2">
      <c r="A123" s="266"/>
      <c r="B123" s="266"/>
      <c r="C123" s="266"/>
      <c r="D123" s="374"/>
      <c r="E123" s="374"/>
      <c r="F123" s="266"/>
      <c r="G123" s="266"/>
      <c r="H123" s="266"/>
      <c r="I123" s="266"/>
      <c r="J123" s="2"/>
      <c r="K123" s="2"/>
      <c r="L123" s="2"/>
      <c r="M123" s="2"/>
      <c r="N123" s="2"/>
      <c r="O123" s="2"/>
      <c r="P123" s="2"/>
      <c r="Q123" s="2"/>
      <c r="R123" s="2"/>
      <c r="S123" s="2"/>
      <c r="T123" s="2"/>
      <c r="U123" s="2"/>
      <c r="V123" s="2"/>
      <c r="W123" s="2"/>
      <c r="X123" s="2"/>
      <c r="Y123" s="2"/>
      <c r="Z123" s="2"/>
    </row>
    <row r="124" spans="1:26" ht="12.75" customHeight="1" x14ac:dyDescent="0.2">
      <c r="A124" s="266"/>
      <c r="B124" s="266"/>
      <c r="C124" s="266"/>
      <c r="D124" s="374"/>
      <c r="E124" s="374"/>
      <c r="F124" s="266"/>
      <c r="G124" s="266"/>
      <c r="H124" s="266"/>
      <c r="I124" s="266"/>
      <c r="J124" s="2"/>
      <c r="K124" s="2"/>
      <c r="L124" s="2"/>
      <c r="M124" s="2"/>
      <c r="N124" s="2"/>
      <c r="O124" s="2"/>
      <c r="P124" s="2"/>
      <c r="Q124" s="2"/>
      <c r="R124" s="2"/>
      <c r="S124" s="2"/>
      <c r="T124" s="2"/>
      <c r="U124" s="2"/>
      <c r="V124" s="2"/>
      <c r="W124" s="2"/>
      <c r="X124" s="2"/>
      <c r="Y124" s="2"/>
      <c r="Z124" s="2"/>
    </row>
    <row r="125" spans="1:26" ht="12.75" customHeight="1" x14ac:dyDescent="0.2">
      <c r="A125" s="266"/>
      <c r="B125" s="266"/>
      <c r="C125" s="266"/>
      <c r="D125" s="374"/>
      <c r="E125" s="374"/>
      <c r="F125" s="266"/>
      <c r="G125" s="266"/>
      <c r="H125" s="266"/>
      <c r="I125" s="266"/>
      <c r="J125" s="2"/>
      <c r="K125" s="2"/>
      <c r="L125" s="2"/>
      <c r="M125" s="2"/>
      <c r="N125" s="2"/>
      <c r="O125" s="2"/>
      <c r="P125" s="2"/>
      <c r="Q125" s="2"/>
      <c r="R125" s="2"/>
      <c r="S125" s="2"/>
      <c r="T125" s="2"/>
      <c r="U125" s="2"/>
      <c r="V125" s="2"/>
      <c r="W125" s="2"/>
      <c r="X125" s="2"/>
      <c r="Y125" s="2"/>
      <c r="Z125" s="2"/>
    </row>
    <row r="126" spans="1:26" ht="12.75" customHeight="1" x14ac:dyDescent="0.2">
      <c r="A126" s="266"/>
      <c r="B126" s="266"/>
      <c r="C126" s="266"/>
      <c r="D126" s="374"/>
      <c r="E126" s="374"/>
      <c r="F126" s="266"/>
      <c r="G126" s="266"/>
      <c r="H126" s="266"/>
      <c r="I126" s="266"/>
      <c r="J126" s="2"/>
      <c r="K126" s="2"/>
      <c r="L126" s="2"/>
      <c r="M126" s="2"/>
      <c r="N126" s="2"/>
      <c r="O126" s="2"/>
      <c r="P126" s="2"/>
      <c r="Q126" s="2"/>
      <c r="R126" s="2"/>
      <c r="S126" s="2"/>
      <c r="T126" s="2"/>
      <c r="U126" s="2"/>
      <c r="V126" s="2"/>
      <c r="W126" s="2"/>
      <c r="X126" s="2"/>
      <c r="Y126" s="2"/>
      <c r="Z126" s="2"/>
    </row>
    <row r="127" spans="1:26" ht="12.75" customHeight="1" x14ac:dyDescent="0.2">
      <c r="A127" s="266"/>
      <c r="B127" s="266"/>
      <c r="C127" s="266"/>
      <c r="D127" s="374"/>
      <c r="E127" s="374"/>
      <c r="F127" s="266"/>
      <c r="G127" s="266"/>
      <c r="H127" s="266"/>
      <c r="I127" s="266"/>
      <c r="J127" s="2"/>
      <c r="K127" s="2"/>
      <c r="L127" s="2"/>
      <c r="M127" s="2"/>
      <c r="N127" s="2"/>
      <c r="O127" s="2"/>
      <c r="P127" s="2"/>
      <c r="Q127" s="2"/>
      <c r="R127" s="2"/>
      <c r="S127" s="2"/>
      <c r="T127" s="2"/>
      <c r="U127" s="2"/>
      <c r="V127" s="2"/>
      <c r="W127" s="2"/>
      <c r="X127" s="2"/>
      <c r="Y127" s="2"/>
      <c r="Z127" s="2"/>
    </row>
    <row r="128" spans="1:26" ht="12.75" customHeight="1" x14ac:dyDescent="0.2">
      <c r="A128" s="266"/>
      <c r="B128" s="266"/>
      <c r="C128" s="266"/>
      <c r="D128" s="374"/>
      <c r="E128" s="374"/>
      <c r="F128" s="266"/>
      <c r="G128" s="266"/>
      <c r="H128" s="266"/>
      <c r="I128" s="266"/>
      <c r="J128" s="2"/>
      <c r="K128" s="2"/>
      <c r="L128" s="2"/>
      <c r="M128" s="2"/>
      <c r="N128" s="2"/>
      <c r="O128" s="2"/>
      <c r="P128" s="2"/>
      <c r="Q128" s="2"/>
      <c r="R128" s="2"/>
      <c r="S128" s="2"/>
      <c r="T128" s="2"/>
      <c r="U128" s="2"/>
      <c r="V128" s="2"/>
      <c r="W128" s="2"/>
      <c r="X128" s="2"/>
      <c r="Y128" s="2"/>
      <c r="Z128" s="2"/>
    </row>
    <row r="129" spans="1:26" ht="12.75" customHeight="1" x14ac:dyDescent="0.2">
      <c r="A129" s="266"/>
      <c r="B129" s="266"/>
      <c r="C129" s="266"/>
      <c r="D129" s="374"/>
      <c r="E129" s="374"/>
      <c r="F129" s="266"/>
      <c r="G129" s="266"/>
      <c r="H129" s="266"/>
      <c r="I129" s="266"/>
      <c r="J129" s="2"/>
      <c r="K129" s="2"/>
      <c r="L129" s="2"/>
      <c r="M129" s="2"/>
      <c r="N129" s="2"/>
      <c r="O129" s="2"/>
      <c r="P129" s="2"/>
      <c r="Q129" s="2"/>
      <c r="R129" s="2"/>
      <c r="S129" s="2"/>
      <c r="T129" s="2"/>
      <c r="U129" s="2"/>
      <c r="V129" s="2"/>
      <c r="W129" s="2"/>
      <c r="X129" s="2"/>
      <c r="Y129" s="2"/>
      <c r="Z129" s="2"/>
    </row>
    <row r="130" spans="1:26" ht="12.75" customHeight="1" x14ac:dyDescent="0.2">
      <c r="A130" s="266"/>
      <c r="B130" s="266"/>
      <c r="C130" s="266"/>
      <c r="D130" s="374"/>
      <c r="E130" s="374"/>
      <c r="F130" s="266"/>
      <c r="G130" s="266"/>
      <c r="H130" s="266"/>
      <c r="I130" s="266"/>
      <c r="J130" s="2"/>
      <c r="K130" s="2"/>
      <c r="L130" s="2"/>
      <c r="M130" s="2"/>
      <c r="N130" s="2"/>
      <c r="O130" s="2"/>
      <c r="P130" s="2"/>
      <c r="Q130" s="2"/>
      <c r="R130" s="2"/>
      <c r="S130" s="2"/>
      <c r="T130" s="2"/>
      <c r="U130" s="2"/>
      <c r="V130" s="2"/>
      <c r="W130" s="2"/>
      <c r="X130" s="2"/>
      <c r="Y130" s="2"/>
      <c r="Z130" s="2"/>
    </row>
    <row r="131" spans="1:26" ht="12.75" customHeight="1" x14ac:dyDescent="0.2">
      <c r="A131" s="266"/>
      <c r="B131" s="266"/>
      <c r="C131" s="266"/>
      <c r="D131" s="374"/>
      <c r="E131" s="374"/>
      <c r="F131" s="266"/>
      <c r="G131" s="266"/>
      <c r="H131" s="266"/>
      <c r="I131" s="266"/>
      <c r="J131" s="2"/>
      <c r="K131" s="2"/>
      <c r="L131" s="2"/>
      <c r="M131" s="2"/>
      <c r="N131" s="2"/>
      <c r="O131" s="2"/>
      <c r="P131" s="2"/>
      <c r="Q131" s="2"/>
      <c r="R131" s="2"/>
      <c r="S131" s="2"/>
      <c r="T131" s="2"/>
      <c r="U131" s="2"/>
      <c r="V131" s="2"/>
      <c r="W131" s="2"/>
      <c r="X131" s="2"/>
      <c r="Y131" s="2"/>
      <c r="Z131" s="2"/>
    </row>
    <row r="132" spans="1:26" ht="12.75" customHeight="1" x14ac:dyDescent="0.2">
      <c r="A132" s="266"/>
      <c r="B132" s="266"/>
      <c r="C132" s="266"/>
      <c r="D132" s="374"/>
      <c r="E132" s="374"/>
      <c r="F132" s="266"/>
      <c r="G132" s="266"/>
      <c r="H132" s="266"/>
      <c r="I132" s="266"/>
      <c r="J132" s="2"/>
      <c r="K132" s="2"/>
      <c r="L132" s="2"/>
      <c r="M132" s="2"/>
      <c r="N132" s="2"/>
      <c r="O132" s="2"/>
      <c r="P132" s="2"/>
      <c r="Q132" s="2"/>
      <c r="R132" s="2"/>
      <c r="S132" s="2"/>
      <c r="T132" s="2"/>
      <c r="U132" s="2"/>
      <c r="V132" s="2"/>
      <c r="W132" s="2"/>
      <c r="X132" s="2"/>
      <c r="Y132" s="2"/>
      <c r="Z132" s="2"/>
    </row>
    <row r="133" spans="1:26" ht="12.75" customHeight="1" x14ac:dyDescent="0.2">
      <c r="A133" s="266"/>
      <c r="B133" s="266"/>
      <c r="C133" s="266"/>
      <c r="D133" s="374"/>
      <c r="E133" s="374"/>
      <c r="F133" s="266"/>
      <c r="G133" s="266"/>
      <c r="H133" s="266"/>
      <c r="I133" s="266"/>
      <c r="J133" s="2"/>
      <c r="K133" s="2"/>
      <c r="L133" s="2"/>
      <c r="M133" s="2"/>
      <c r="N133" s="2"/>
      <c r="O133" s="2"/>
      <c r="P133" s="2"/>
      <c r="Q133" s="2"/>
      <c r="R133" s="2"/>
      <c r="S133" s="2"/>
      <c r="T133" s="2"/>
      <c r="U133" s="2"/>
      <c r="V133" s="2"/>
      <c r="W133" s="2"/>
      <c r="X133" s="2"/>
      <c r="Y133" s="2"/>
      <c r="Z133" s="2"/>
    </row>
    <row r="134" spans="1:26" ht="12.75" customHeight="1" x14ac:dyDescent="0.2">
      <c r="A134" s="266"/>
      <c r="B134" s="266"/>
      <c r="C134" s="266"/>
      <c r="D134" s="374"/>
      <c r="E134" s="374"/>
      <c r="F134" s="266"/>
      <c r="G134" s="266"/>
      <c r="H134" s="266"/>
      <c r="I134" s="266"/>
      <c r="J134" s="2"/>
      <c r="K134" s="2"/>
      <c r="L134" s="2"/>
      <c r="M134" s="2"/>
      <c r="N134" s="2"/>
      <c r="O134" s="2"/>
      <c r="P134" s="2"/>
      <c r="Q134" s="2"/>
      <c r="R134" s="2"/>
      <c r="S134" s="2"/>
      <c r="T134" s="2"/>
      <c r="U134" s="2"/>
      <c r="V134" s="2"/>
      <c r="W134" s="2"/>
      <c r="X134" s="2"/>
      <c r="Y134" s="2"/>
      <c r="Z134" s="2"/>
    </row>
    <row r="135" spans="1:26" ht="12.75" customHeight="1" x14ac:dyDescent="0.2">
      <c r="A135" s="266"/>
      <c r="B135" s="266"/>
      <c r="C135" s="266"/>
      <c r="D135" s="374"/>
      <c r="E135" s="374"/>
      <c r="F135" s="266"/>
      <c r="G135" s="266"/>
      <c r="H135" s="266"/>
      <c r="I135" s="266"/>
      <c r="J135" s="2"/>
      <c r="K135" s="2"/>
      <c r="L135" s="2"/>
      <c r="M135" s="2"/>
      <c r="N135" s="2"/>
      <c r="O135" s="2"/>
      <c r="P135" s="2"/>
      <c r="Q135" s="2"/>
      <c r="R135" s="2"/>
      <c r="S135" s="2"/>
      <c r="T135" s="2"/>
      <c r="U135" s="2"/>
      <c r="V135" s="2"/>
      <c r="W135" s="2"/>
      <c r="X135" s="2"/>
      <c r="Y135" s="2"/>
      <c r="Z135" s="2"/>
    </row>
    <row r="136" spans="1:26" ht="12.75" customHeight="1" x14ac:dyDescent="0.2">
      <c r="A136" s="266"/>
      <c r="B136" s="266"/>
      <c r="C136" s="266"/>
      <c r="D136" s="374"/>
      <c r="E136" s="374"/>
      <c r="F136" s="266"/>
      <c r="G136" s="266"/>
      <c r="H136" s="266"/>
      <c r="I136" s="266"/>
      <c r="J136" s="2"/>
      <c r="K136" s="2"/>
      <c r="L136" s="2"/>
      <c r="M136" s="2"/>
      <c r="N136" s="2"/>
      <c r="O136" s="2"/>
      <c r="P136" s="2"/>
      <c r="Q136" s="2"/>
      <c r="R136" s="2"/>
      <c r="S136" s="2"/>
      <c r="T136" s="2"/>
      <c r="U136" s="2"/>
      <c r="V136" s="2"/>
      <c r="W136" s="2"/>
      <c r="X136" s="2"/>
      <c r="Y136" s="2"/>
      <c r="Z136" s="2"/>
    </row>
    <row r="137" spans="1:26" ht="12.75" customHeight="1" x14ac:dyDescent="0.2">
      <c r="A137" s="266"/>
      <c r="B137" s="266"/>
      <c r="C137" s="266"/>
      <c r="D137" s="374"/>
      <c r="E137" s="374"/>
      <c r="F137" s="266"/>
      <c r="G137" s="266"/>
      <c r="H137" s="266"/>
      <c r="I137" s="266"/>
      <c r="J137" s="2"/>
      <c r="K137" s="2"/>
      <c r="L137" s="2"/>
      <c r="M137" s="2"/>
      <c r="N137" s="2"/>
      <c r="O137" s="2"/>
      <c r="P137" s="2"/>
      <c r="Q137" s="2"/>
      <c r="R137" s="2"/>
      <c r="S137" s="2"/>
      <c r="T137" s="2"/>
      <c r="U137" s="2"/>
      <c r="V137" s="2"/>
      <c r="W137" s="2"/>
      <c r="X137" s="2"/>
      <c r="Y137" s="2"/>
      <c r="Z137" s="2"/>
    </row>
    <row r="138" spans="1:26" ht="12.75" customHeight="1" x14ac:dyDescent="0.2">
      <c r="A138" s="266"/>
      <c r="B138" s="266"/>
      <c r="C138" s="266"/>
      <c r="D138" s="374"/>
      <c r="E138" s="374"/>
      <c r="F138" s="266"/>
      <c r="G138" s="266"/>
      <c r="H138" s="266"/>
      <c r="I138" s="266"/>
      <c r="J138" s="2"/>
      <c r="K138" s="2"/>
      <c r="L138" s="2"/>
      <c r="M138" s="2"/>
      <c r="N138" s="2"/>
      <c r="O138" s="2"/>
      <c r="P138" s="2"/>
      <c r="Q138" s="2"/>
      <c r="R138" s="2"/>
      <c r="S138" s="2"/>
      <c r="T138" s="2"/>
      <c r="U138" s="2"/>
      <c r="V138" s="2"/>
      <c r="W138" s="2"/>
      <c r="X138" s="2"/>
      <c r="Y138" s="2"/>
      <c r="Z138" s="2"/>
    </row>
    <row r="139" spans="1:26" ht="12.75" customHeight="1" x14ac:dyDescent="0.2">
      <c r="A139" s="266"/>
      <c r="B139" s="266"/>
      <c r="C139" s="266"/>
      <c r="D139" s="374"/>
      <c r="E139" s="374"/>
      <c r="F139" s="266"/>
      <c r="G139" s="266"/>
      <c r="H139" s="266"/>
      <c r="I139" s="266"/>
      <c r="J139" s="2"/>
      <c r="K139" s="2"/>
      <c r="L139" s="2"/>
      <c r="M139" s="2"/>
      <c r="N139" s="2"/>
      <c r="O139" s="2"/>
      <c r="P139" s="2"/>
      <c r="Q139" s="2"/>
      <c r="R139" s="2"/>
      <c r="S139" s="2"/>
      <c r="T139" s="2"/>
      <c r="U139" s="2"/>
      <c r="V139" s="2"/>
      <c r="W139" s="2"/>
      <c r="X139" s="2"/>
      <c r="Y139" s="2"/>
      <c r="Z139" s="2"/>
    </row>
    <row r="140" spans="1:26" ht="12.75" customHeight="1" x14ac:dyDescent="0.2">
      <c r="A140" s="266"/>
      <c r="B140" s="266"/>
      <c r="C140" s="266"/>
      <c r="D140" s="374"/>
      <c r="E140" s="374"/>
      <c r="F140" s="266"/>
      <c r="G140" s="266"/>
      <c r="H140" s="266"/>
      <c r="I140" s="266"/>
      <c r="J140" s="2"/>
      <c r="K140" s="2"/>
      <c r="L140" s="2"/>
      <c r="M140" s="2"/>
      <c r="N140" s="2"/>
      <c r="O140" s="2"/>
      <c r="P140" s="2"/>
      <c r="Q140" s="2"/>
      <c r="R140" s="2"/>
      <c r="S140" s="2"/>
      <c r="T140" s="2"/>
      <c r="U140" s="2"/>
      <c r="V140" s="2"/>
      <c r="W140" s="2"/>
      <c r="X140" s="2"/>
      <c r="Y140" s="2"/>
      <c r="Z140" s="2"/>
    </row>
    <row r="141" spans="1:26" ht="12.75" customHeight="1" x14ac:dyDescent="0.2">
      <c r="A141" s="266"/>
      <c r="B141" s="266"/>
      <c r="C141" s="266"/>
      <c r="D141" s="374"/>
      <c r="E141" s="374"/>
      <c r="F141" s="266"/>
      <c r="G141" s="266"/>
      <c r="H141" s="266"/>
      <c r="I141" s="266"/>
      <c r="J141" s="2"/>
      <c r="K141" s="2"/>
      <c r="L141" s="2"/>
      <c r="M141" s="2"/>
      <c r="N141" s="2"/>
      <c r="O141" s="2"/>
      <c r="P141" s="2"/>
      <c r="Q141" s="2"/>
      <c r="R141" s="2"/>
      <c r="S141" s="2"/>
      <c r="T141" s="2"/>
      <c r="U141" s="2"/>
      <c r="V141" s="2"/>
      <c r="W141" s="2"/>
      <c r="X141" s="2"/>
      <c r="Y141" s="2"/>
      <c r="Z141" s="2"/>
    </row>
    <row r="142" spans="1:26" ht="12.75" customHeight="1" x14ac:dyDescent="0.2">
      <c r="A142" s="266"/>
      <c r="B142" s="266"/>
      <c r="C142" s="266"/>
      <c r="D142" s="374"/>
      <c r="E142" s="374"/>
      <c r="F142" s="266"/>
      <c r="G142" s="266"/>
      <c r="H142" s="266"/>
      <c r="I142" s="266"/>
      <c r="J142" s="2"/>
      <c r="K142" s="2"/>
      <c r="L142" s="2"/>
      <c r="M142" s="2"/>
      <c r="N142" s="2"/>
      <c r="O142" s="2"/>
      <c r="P142" s="2"/>
      <c r="Q142" s="2"/>
      <c r="R142" s="2"/>
      <c r="S142" s="2"/>
      <c r="T142" s="2"/>
      <c r="U142" s="2"/>
      <c r="V142" s="2"/>
      <c r="W142" s="2"/>
      <c r="X142" s="2"/>
      <c r="Y142" s="2"/>
      <c r="Z142" s="2"/>
    </row>
    <row r="143" spans="1:26" ht="12.75" customHeight="1" x14ac:dyDescent="0.2">
      <c r="A143" s="266"/>
      <c r="B143" s="266"/>
      <c r="C143" s="266"/>
      <c r="D143" s="374"/>
      <c r="E143" s="374"/>
      <c r="F143" s="266"/>
      <c r="G143" s="266"/>
      <c r="H143" s="266"/>
      <c r="I143" s="266"/>
      <c r="J143" s="2"/>
      <c r="K143" s="2"/>
      <c r="L143" s="2"/>
      <c r="M143" s="2"/>
      <c r="N143" s="2"/>
      <c r="O143" s="2"/>
      <c r="P143" s="2"/>
      <c r="Q143" s="2"/>
      <c r="R143" s="2"/>
      <c r="S143" s="2"/>
      <c r="T143" s="2"/>
      <c r="U143" s="2"/>
      <c r="V143" s="2"/>
      <c r="W143" s="2"/>
      <c r="X143" s="2"/>
      <c r="Y143" s="2"/>
      <c r="Z143" s="2"/>
    </row>
    <row r="144" spans="1:26" ht="12.75" customHeight="1" x14ac:dyDescent="0.2">
      <c r="A144" s="266"/>
      <c r="B144" s="266"/>
      <c r="C144" s="266"/>
      <c r="D144" s="374"/>
      <c r="E144" s="374"/>
      <c r="F144" s="266"/>
      <c r="G144" s="266"/>
      <c r="H144" s="266"/>
      <c r="I144" s="266"/>
      <c r="J144" s="2"/>
      <c r="K144" s="2"/>
      <c r="L144" s="2"/>
      <c r="M144" s="2"/>
      <c r="N144" s="2"/>
      <c r="O144" s="2"/>
      <c r="P144" s="2"/>
      <c r="Q144" s="2"/>
      <c r="R144" s="2"/>
      <c r="S144" s="2"/>
      <c r="T144" s="2"/>
      <c r="U144" s="2"/>
      <c r="V144" s="2"/>
      <c r="W144" s="2"/>
      <c r="X144" s="2"/>
      <c r="Y144" s="2"/>
      <c r="Z144" s="2"/>
    </row>
    <row r="145" spans="1:26" ht="12.75" customHeight="1" x14ac:dyDescent="0.2">
      <c r="A145" s="266"/>
      <c r="B145" s="266"/>
      <c r="C145" s="266"/>
      <c r="D145" s="374"/>
      <c r="E145" s="374"/>
      <c r="F145" s="266"/>
      <c r="G145" s="266"/>
      <c r="H145" s="266"/>
      <c r="I145" s="266"/>
      <c r="J145" s="2"/>
      <c r="K145" s="2"/>
      <c r="L145" s="2"/>
      <c r="M145" s="2"/>
      <c r="N145" s="2"/>
      <c r="O145" s="2"/>
      <c r="P145" s="2"/>
      <c r="Q145" s="2"/>
      <c r="R145" s="2"/>
      <c r="S145" s="2"/>
      <c r="T145" s="2"/>
      <c r="U145" s="2"/>
      <c r="V145" s="2"/>
      <c r="W145" s="2"/>
      <c r="X145" s="2"/>
      <c r="Y145" s="2"/>
      <c r="Z145" s="2"/>
    </row>
    <row r="146" spans="1:26" ht="12.75" customHeight="1" x14ac:dyDescent="0.2">
      <c r="A146" s="266"/>
      <c r="B146" s="266"/>
      <c r="C146" s="266"/>
      <c r="D146" s="374"/>
      <c r="E146" s="374"/>
      <c r="F146" s="266"/>
      <c r="G146" s="266"/>
      <c r="H146" s="266"/>
      <c r="I146" s="266"/>
      <c r="J146" s="2"/>
      <c r="K146" s="2"/>
      <c r="L146" s="2"/>
      <c r="M146" s="2"/>
      <c r="N146" s="2"/>
      <c r="O146" s="2"/>
      <c r="P146" s="2"/>
      <c r="Q146" s="2"/>
      <c r="R146" s="2"/>
      <c r="S146" s="2"/>
      <c r="T146" s="2"/>
      <c r="U146" s="2"/>
      <c r="V146" s="2"/>
      <c r="W146" s="2"/>
      <c r="X146" s="2"/>
      <c r="Y146" s="2"/>
      <c r="Z146" s="2"/>
    </row>
    <row r="147" spans="1:26" ht="12.75" customHeight="1" x14ac:dyDescent="0.2">
      <c r="A147" s="266"/>
      <c r="B147" s="266"/>
      <c r="C147" s="266"/>
      <c r="D147" s="374"/>
      <c r="E147" s="374"/>
      <c r="F147" s="266"/>
      <c r="G147" s="266"/>
      <c r="H147" s="266"/>
      <c r="I147" s="266"/>
      <c r="J147" s="2"/>
      <c r="K147" s="2"/>
      <c r="L147" s="2"/>
      <c r="M147" s="2"/>
      <c r="N147" s="2"/>
      <c r="O147" s="2"/>
      <c r="P147" s="2"/>
      <c r="Q147" s="2"/>
      <c r="R147" s="2"/>
      <c r="S147" s="2"/>
      <c r="T147" s="2"/>
      <c r="U147" s="2"/>
      <c r="V147" s="2"/>
      <c r="W147" s="2"/>
      <c r="X147" s="2"/>
      <c r="Y147" s="2"/>
      <c r="Z147" s="2"/>
    </row>
    <row r="148" spans="1:26" ht="12.75" customHeight="1" x14ac:dyDescent="0.2">
      <c r="A148" s="266"/>
      <c r="B148" s="266"/>
      <c r="C148" s="266"/>
      <c r="D148" s="374"/>
      <c r="E148" s="374"/>
      <c r="F148" s="266"/>
      <c r="G148" s="266"/>
      <c r="H148" s="266"/>
      <c r="I148" s="266"/>
      <c r="J148" s="2"/>
      <c r="K148" s="2"/>
      <c r="L148" s="2"/>
      <c r="M148" s="2"/>
      <c r="N148" s="2"/>
      <c r="O148" s="2"/>
      <c r="P148" s="2"/>
      <c r="Q148" s="2"/>
      <c r="R148" s="2"/>
      <c r="S148" s="2"/>
      <c r="T148" s="2"/>
      <c r="U148" s="2"/>
      <c r="V148" s="2"/>
      <c r="W148" s="2"/>
      <c r="X148" s="2"/>
      <c r="Y148" s="2"/>
      <c r="Z148" s="2"/>
    </row>
    <row r="149" spans="1:26" ht="12.75" customHeight="1" x14ac:dyDescent="0.2">
      <c r="A149" s="266"/>
      <c r="B149" s="266"/>
      <c r="C149" s="266"/>
      <c r="D149" s="374"/>
      <c r="E149" s="374"/>
      <c r="F149" s="266"/>
      <c r="G149" s="266"/>
      <c r="H149" s="266"/>
      <c r="I149" s="266"/>
      <c r="J149" s="2"/>
      <c r="K149" s="2"/>
      <c r="L149" s="2"/>
      <c r="M149" s="2"/>
      <c r="N149" s="2"/>
      <c r="O149" s="2"/>
      <c r="P149" s="2"/>
      <c r="Q149" s="2"/>
      <c r="R149" s="2"/>
      <c r="S149" s="2"/>
      <c r="T149" s="2"/>
      <c r="U149" s="2"/>
      <c r="V149" s="2"/>
      <c r="W149" s="2"/>
      <c r="X149" s="2"/>
      <c r="Y149" s="2"/>
      <c r="Z149" s="2"/>
    </row>
    <row r="150" spans="1:26" ht="12.75" customHeight="1" x14ac:dyDescent="0.2">
      <c r="A150" s="266"/>
      <c r="B150" s="266"/>
      <c r="C150" s="266"/>
      <c r="D150" s="374"/>
      <c r="E150" s="374"/>
      <c r="F150" s="266"/>
      <c r="G150" s="266"/>
      <c r="H150" s="266"/>
      <c r="I150" s="266"/>
      <c r="J150" s="2"/>
      <c r="K150" s="2"/>
      <c r="L150" s="2"/>
      <c r="M150" s="2"/>
      <c r="N150" s="2"/>
      <c r="O150" s="2"/>
      <c r="P150" s="2"/>
      <c r="Q150" s="2"/>
      <c r="R150" s="2"/>
      <c r="S150" s="2"/>
      <c r="T150" s="2"/>
      <c r="U150" s="2"/>
      <c r="V150" s="2"/>
      <c r="W150" s="2"/>
      <c r="X150" s="2"/>
      <c r="Y150" s="2"/>
      <c r="Z150" s="2"/>
    </row>
    <row r="151" spans="1:26" ht="12.75" customHeight="1" x14ac:dyDescent="0.2">
      <c r="A151" s="266"/>
      <c r="B151" s="266"/>
      <c r="C151" s="266"/>
      <c r="D151" s="374"/>
      <c r="E151" s="374"/>
      <c r="F151" s="266"/>
      <c r="G151" s="266"/>
      <c r="H151" s="266"/>
      <c r="I151" s="266"/>
      <c r="J151" s="2"/>
      <c r="K151" s="2"/>
      <c r="L151" s="2"/>
      <c r="M151" s="2"/>
      <c r="N151" s="2"/>
      <c r="O151" s="2"/>
      <c r="P151" s="2"/>
      <c r="Q151" s="2"/>
      <c r="R151" s="2"/>
      <c r="S151" s="2"/>
      <c r="T151" s="2"/>
      <c r="U151" s="2"/>
      <c r="V151" s="2"/>
      <c r="W151" s="2"/>
      <c r="X151" s="2"/>
      <c r="Y151" s="2"/>
      <c r="Z151" s="2"/>
    </row>
    <row r="152" spans="1:26" ht="12.75" customHeight="1" x14ac:dyDescent="0.2">
      <c r="A152" s="266"/>
      <c r="B152" s="266"/>
      <c r="C152" s="266"/>
      <c r="D152" s="374"/>
      <c r="E152" s="374"/>
      <c r="F152" s="266"/>
      <c r="G152" s="266"/>
      <c r="H152" s="266"/>
      <c r="I152" s="266"/>
      <c r="J152" s="2"/>
      <c r="K152" s="2"/>
      <c r="L152" s="2"/>
      <c r="M152" s="2"/>
      <c r="N152" s="2"/>
      <c r="O152" s="2"/>
      <c r="P152" s="2"/>
      <c r="Q152" s="2"/>
      <c r="R152" s="2"/>
      <c r="S152" s="2"/>
      <c r="T152" s="2"/>
      <c r="U152" s="2"/>
      <c r="V152" s="2"/>
      <c r="W152" s="2"/>
      <c r="X152" s="2"/>
      <c r="Y152" s="2"/>
      <c r="Z152" s="2"/>
    </row>
    <row r="153" spans="1:26" ht="12.75" customHeight="1" x14ac:dyDescent="0.2">
      <c r="A153" s="266"/>
      <c r="B153" s="266"/>
      <c r="C153" s="266"/>
      <c r="D153" s="374"/>
      <c r="E153" s="374"/>
      <c r="F153" s="266"/>
      <c r="G153" s="266"/>
      <c r="H153" s="266"/>
      <c r="I153" s="266"/>
      <c r="J153" s="2"/>
      <c r="K153" s="2"/>
      <c r="L153" s="2"/>
      <c r="M153" s="2"/>
      <c r="N153" s="2"/>
      <c r="O153" s="2"/>
      <c r="P153" s="2"/>
      <c r="Q153" s="2"/>
      <c r="R153" s="2"/>
      <c r="S153" s="2"/>
      <c r="T153" s="2"/>
      <c r="U153" s="2"/>
      <c r="V153" s="2"/>
      <c r="W153" s="2"/>
      <c r="X153" s="2"/>
      <c r="Y153" s="2"/>
      <c r="Z153" s="2"/>
    </row>
    <row r="154" spans="1:26" ht="12.75" customHeight="1" x14ac:dyDescent="0.2">
      <c r="A154" s="266"/>
      <c r="B154" s="266"/>
      <c r="C154" s="266"/>
      <c r="D154" s="374"/>
      <c r="E154" s="374"/>
      <c r="F154" s="266"/>
      <c r="G154" s="266"/>
      <c r="H154" s="266"/>
      <c r="I154" s="266"/>
      <c r="J154" s="2"/>
      <c r="K154" s="2"/>
      <c r="L154" s="2"/>
      <c r="M154" s="2"/>
      <c r="N154" s="2"/>
      <c r="O154" s="2"/>
      <c r="P154" s="2"/>
      <c r="Q154" s="2"/>
      <c r="R154" s="2"/>
      <c r="S154" s="2"/>
      <c r="T154" s="2"/>
      <c r="U154" s="2"/>
      <c r="V154" s="2"/>
      <c r="W154" s="2"/>
      <c r="X154" s="2"/>
      <c r="Y154" s="2"/>
      <c r="Z154" s="2"/>
    </row>
    <row r="155" spans="1:26" ht="12.75" customHeight="1" x14ac:dyDescent="0.2">
      <c r="A155" s="266"/>
      <c r="B155" s="266"/>
      <c r="C155" s="266"/>
      <c r="D155" s="374"/>
      <c r="E155" s="374"/>
      <c r="F155" s="266"/>
      <c r="G155" s="266"/>
      <c r="H155" s="266"/>
      <c r="I155" s="266"/>
      <c r="J155" s="2"/>
      <c r="K155" s="2"/>
      <c r="L155" s="2"/>
      <c r="M155" s="2"/>
      <c r="N155" s="2"/>
      <c r="O155" s="2"/>
      <c r="P155" s="2"/>
      <c r="Q155" s="2"/>
      <c r="R155" s="2"/>
      <c r="S155" s="2"/>
      <c r="T155" s="2"/>
      <c r="U155" s="2"/>
      <c r="V155" s="2"/>
      <c r="W155" s="2"/>
      <c r="X155" s="2"/>
      <c r="Y155" s="2"/>
      <c r="Z155" s="2"/>
    </row>
    <row r="156" spans="1:26" ht="12.75" customHeight="1" x14ac:dyDescent="0.2">
      <c r="A156" s="266"/>
      <c r="B156" s="266"/>
      <c r="C156" s="266"/>
      <c r="D156" s="374"/>
      <c r="E156" s="374"/>
      <c r="F156" s="266"/>
      <c r="G156" s="266"/>
      <c r="H156" s="266"/>
      <c r="I156" s="266"/>
      <c r="J156" s="2"/>
      <c r="K156" s="2"/>
      <c r="L156" s="2"/>
      <c r="M156" s="2"/>
      <c r="N156" s="2"/>
      <c r="O156" s="2"/>
      <c r="P156" s="2"/>
      <c r="Q156" s="2"/>
      <c r="R156" s="2"/>
      <c r="S156" s="2"/>
      <c r="T156" s="2"/>
      <c r="U156" s="2"/>
      <c r="V156" s="2"/>
      <c r="W156" s="2"/>
      <c r="X156" s="2"/>
      <c r="Y156" s="2"/>
      <c r="Z156" s="2"/>
    </row>
    <row r="157" spans="1:26" ht="12.75" customHeight="1" x14ac:dyDescent="0.2">
      <c r="A157" s="266"/>
      <c r="B157" s="266"/>
      <c r="C157" s="266"/>
      <c r="D157" s="374"/>
      <c r="E157" s="374"/>
      <c r="F157" s="266"/>
      <c r="G157" s="266"/>
      <c r="H157" s="266"/>
      <c r="I157" s="266"/>
      <c r="J157" s="2"/>
      <c r="K157" s="2"/>
      <c r="L157" s="2"/>
      <c r="M157" s="2"/>
      <c r="N157" s="2"/>
      <c r="O157" s="2"/>
      <c r="P157" s="2"/>
      <c r="Q157" s="2"/>
      <c r="R157" s="2"/>
      <c r="S157" s="2"/>
      <c r="T157" s="2"/>
      <c r="U157" s="2"/>
      <c r="V157" s="2"/>
      <c r="W157" s="2"/>
      <c r="X157" s="2"/>
      <c r="Y157" s="2"/>
      <c r="Z157" s="2"/>
    </row>
    <row r="158" spans="1:26" ht="12.75" customHeight="1" x14ac:dyDescent="0.2">
      <c r="A158" s="266"/>
      <c r="B158" s="266"/>
      <c r="C158" s="266"/>
      <c r="D158" s="374"/>
      <c r="E158" s="374"/>
      <c r="F158" s="266"/>
      <c r="G158" s="266"/>
      <c r="H158" s="266"/>
      <c r="I158" s="266"/>
      <c r="J158" s="2"/>
      <c r="K158" s="2"/>
      <c r="L158" s="2"/>
      <c r="M158" s="2"/>
      <c r="N158" s="2"/>
      <c r="O158" s="2"/>
      <c r="P158" s="2"/>
      <c r="Q158" s="2"/>
      <c r="R158" s="2"/>
      <c r="S158" s="2"/>
      <c r="T158" s="2"/>
      <c r="U158" s="2"/>
      <c r="V158" s="2"/>
      <c r="W158" s="2"/>
      <c r="X158" s="2"/>
      <c r="Y158" s="2"/>
      <c r="Z158" s="2"/>
    </row>
    <row r="159" spans="1:26" ht="12.75" customHeight="1" x14ac:dyDescent="0.2">
      <c r="A159" s="266"/>
      <c r="B159" s="266"/>
      <c r="C159" s="266"/>
      <c r="D159" s="374"/>
      <c r="E159" s="374"/>
      <c r="F159" s="266"/>
      <c r="G159" s="266"/>
      <c r="H159" s="266"/>
      <c r="I159" s="266"/>
      <c r="J159" s="2"/>
      <c r="K159" s="2"/>
      <c r="L159" s="2"/>
      <c r="M159" s="2"/>
      <c r="N159" s="2"/>
      <c r="O159" s="2"/>
      <c r="P159" s="2"/>
      <c r="Q159" s="2"/>
      <c r="R159" s="2"/>
      <c r="S159" s="2"/>
      <c r="T159" s="2"/>
      <c r="U159" s="2"/>
      <c r="V159" s="2"/>
      <c r="W159" s="2"/>
      <c r="X159" s="2"/>
      <c r="Y159" s="2"/>
      <c r="Z159" s="2"/>
    </row>
    <row r="160" spans="1:26" ht="12.75" customHeight="1" x14ac:dyDescent="0.2">
      <c r="A160" s="266"/>
      <c r="B160" s="266"/>
      <c r="C160" s="266"/>
      <c r="D160" s="374"/>
      <c r="E160" s="374"/>
      <c r="F160" s="266"/>
      <c r="G160" s="266"/>
      <c r="H160" s="266"/>
      <c r="I160" s="266"/>
      <c r="J160" s="2"/>
      <c r="K160" s="2"/>
      <c r="L160" s="2"/>
      <c r="M160" s="2"/>
      <c r="N160" s="2"/>
      <c r="O160" s="2"/>
      <c r="P160" s="2"/>
      <c r="Q160" s="2"/>
      <c r="R160" s="2"/>
      <c r="S160" s="2"/>
      <c r="T160" s="2"/>
      <c r="U160" s="2"/>
      <c r="V160" s="2"/>
      <c r="W160" s="2"/>
      <c r="X160" s="2"/>
      <c r="Y160" s="2"/>
      <c r="Z160" s="2"/>
    </row>
    <row r="161" spans="1:26" ht="12.75" customHeight="1" x14ac:dyDescent="0.2">
      <c r="A161" s="266"/>
      <c r="B161" s="266"/>
      <c r="C161" s="266"/>
      <c r="D161" s="374"/>
      <c r="E161" s="374"/>
      <c r="F161" s="266"/>
      <c r="G161" s="266"/>
      <c r="H161" s="266"/>
      <c r="I161" s="266"/>
      <c r="J161" s="2"/>
      <c r="K161" s="2"/>
      <c r="L161" s="2"/>
      <c r="M161" s="2"/>
      <c r="N161" s="2"/>
      <c r="O161" s="2"/>
      <c r="P161" s="2"/>
      <c r="Q161" s="2"/>
      <c r="R161" s="2"/>
      <c r="S161" s="2"/>
      <c r="T161" s="2"/>
      <c r="U161" s="2"/>
      <c r="V161" s="2"/>
      <c r="W161" s="2"/>
      <c r="X161" s="2"/>
      <c r="Y161" s="2"/>
      <c r="Z161" s="2"/>
    </row>
    <row r="162" spans="1:26" ht="12.75" customHeight="1" x14ac:dyDescent="0.2">
      <c r="A162" s="266"/>
      <c r="B162" s="266"/>
      <c r="C162" s="266"/>
      <c r="D162" s="374"/>
      <c r="E162" s="374"/>
      <c r="F162" s="266"/>
      <c r="G162" s="266"/>
      <c r="H162" s="266"/>
      <c r="I162" s="266"/>
      <c r="J162" s="2"/>
      <c r="K162" s="2"/>
      <c r="L162" s="2"/>
      <c r="M162" s="2"/>
      <c r="N162" s="2"/>
      <c r="O162" s="2"/>
      <c r="P162" s="2"/>
      <c r="Q162" s="2"/>
      <c r="R162" s="2"/>
      <c r="S162" s="2"/>
      <c r="T162" s="2"/>
      <c r="U162" s="2"/>
      <c r="V162" s="2"/>
      <c r="W162" s="2"/>
      <c r="X162" s="2"/>
      <c r="Y162" s="2"/>
      <c r="Z162" s="2"/>
    </row>
    <row r="163" spans="1:26" ht="12.75" customHeight="1" x14ac:dyDescent="0.2">
      <c r="A163" s="266"/>
      <c r="B163" s="266"/>
      <c r="C163" s="266"/>
      <c r="D163" s="374"/>
      <c r="E163" s="374"/>
      <c r="F163" s="266"/>
      <c r="G163" s="266"/>
      <c r="H163" s="266"/>
      <c r="I163" s="266"/>
      <c r="J163" s="2"/>
      <c r="K163" s="2"/>
      <c r="L163" s="2"/>
      <c r="M163" s="2"/>
      <c r="N163" s="2"/>
      <c r="O163" s="2"/>
      <c r="P163" s="2"/>
      <c r="Q163" s="2"/>
      <c r="R163" s="2"/>
      <c r="S163" s="2"/>
      <c r="T163" s="2"/>
      <c r="U163" s="2"/>
      <c r="V163" s="2"/>
      <c r="W163" s="2"/>
      <c r="X163" s="2"/>
      <c r="Y163" s="2"/>
      <c r="Z163" s="2"/>
    </row>
    <row r="164" spans="1:26" ht="12.75" customHeight="1" x14ac:dyDescent="0.2">
      <c r="A164" s="266"/>
      <c r="B164" s="266"/>
      <c r="C164" s="266"/>
      <c r="D164" s="374"/>
      <c r="E164" s="374"/>
      <c r="F164" s="266"/>
      <c r="G164" s="266"/>
      <c r="H164" s="266"/>
      <c r="I164" s="266"/>
      <c r="J164" s="2"/>
      <c r="K164" s="2"/>
      <c r="L164" s="2"/>
      <c r="M164" s="2"/>
      <c r="N164" s="2"/>
      <c r="O164" s="2"/>
      <c r="P164" s="2"/>
      <c r="Q164" s="2"/>
      <c r="R164" s="2"/>
      <c r="S164" s="2"/>
      <c r="T164" s="2"/>
      <c r="U164" s="2"/>
      <c r="V164" s="2"/>
      <c r="W164" s="2"/>
      <c r="X164" s="2"/>
      <c r="Y164" s="2"/>
      <c r="Z164" s="2"/>
    </row>
    <row r="165" spans="1:26" ht="12.75" customHeight="1" x14ac:dyDescent="0.2">
      <c r="A165" s="266"/>
      <c r="B165" s="266"/>
      <c r="C165" s="266"/>
      <c r="D165" s="374"/>
      <c r="E165" s="374"/>
      <c r="F165" s="266"/>
      <c r="G165" s="266"/>
      <c r="H165" s="266"/>
      <c r="I165" s="266"/>
      <c r="J165" s="2"/>
      <c r="K165" s="2"/>
      <c r="L165" s="2"/>
      <c r="M165" s="2"/>
      <c r="N165" s="2"/>
      <c r="O165" s="2"/>
      <c r="P165" s="2"/>
      <c r="Q165" s="2"/>
      <c r="R165" s="2"/>
      <c r="S165" s="2"/>
      <c r="T165" s="2"/>
      <c r="U165" s="2"/>
      <c r="V165" s="2"/>
      <c r="W165" s="2"/>
      <c r="X165" s="2"/>
      <c r="Y165" s="2"/>
      <c r="Z165" s="2"/>
    </row>
    <row r="166" spans="1:26" ht="12.75" customHeight="1" x14ac:dyDescent="0.2">
      <c r="A166" s="266"/>
      <c r="B166" s="266"/>
      <c r="C166" s="266"/>
      <c r="D166" s="374"/>
      <c r="E166" s="374"/>
      <c r="F166" s="266"/>
      <c r="G166" s="266"/>
      <c r="H166" s="266"/>
      <c r="I166" s="266"/>
      <c r="J166" s="2"/>
      <c r="K166" s="2"/>
      <c r="L166" s="2"/>
      <c r="M166" s="2"/>
      <c r="N166" s="2"/>
      <c r="O166" s="2"/>
      <c r="P166" s="2"/>
      <c r="Q166" s="2"/>
      <c r="R166" s="2"/>
      <c r="S166" s="2"/>
      <c r="T166" s="2"/>
      <c r="U166" s="2"/>
      <c r="V166" s="2"/>
      <c r="W166" s="2"/>
      <c r="X166" s="2"/>
      <c r="Y166" s="2"/>
      <c r="Z166" s="2"/>
    </row>
    <row r="167" spans="1:26" ht="12.75" customHeight="1" x14ac:dyDescent="0.2">
      <c r="A167" s="266"/>
      <c r="B167" s="266"/>
      <c r="C167" s="266"/>
      <c r="D167" s="374"/>
      <c r="E167" s="374"/>
      <c r="F167" s="266"/>
      <c r="G167" s="266"/>
      <c r="H167" s="266"/>
      <c r="I167" s="266"/>
      <c r="J167" s="2"/>
      <c r="K167" s="2"/>
      <c r="L167" s="2"/>
      <c r="M167" s="2"/>
      <c r="N167" s="2"/>
      <c r="O167" s="2"/>
      <c r="P167" s="2"/>
      <c r="Q167" s="2"/>
      <c r="R167" s="2"/>
      <c r="S167" s="2"/>
      <c r="T167" s="2"/>
      <c r="U167" s="2"/>
      <c r="V167" s="2"/>
      <c r="W167" s="2"/>
      <c r="X167" s="2"/>
      <c r="Y167" s="2"/>
      <c r="Z167" s="2"/>
    </row>
    <row r="168" spans="1:26" ht="12.75" customHeight="1" x14ac:dyDescent="0.2">
      <c r="A168" s="266"/>
      <c r="B168" s="266"/>
      <c r="C168" s="266"/>
      <c r="D168" s="374"/>
      <c r="E168" s="374"/>
      <c r="F168" s="266"/>
      <c r="G168" s="266"/>
      <c r="H168" s="266"/>
      <c r="I168" s="266"/>
      <c r="J168" s="2"/>
      <c r="K168" s="2"/>
      <c r="L168" s="2"/>
      <c r="M168" s="2"/>
      <c r="N168" s="2"/>
      <c r="O168" s="2"/>
      <c r="P168" s="2"/>
      <c r="Q168" s="2"/>
      <c r="R168" s="2"/>
      <c r="S168" s="2"/>
      <c r="T168" s="2"/>
      <c r="U168" s="2"/>
      <c r="V168" s="2"/>
      <c r="W168" s="2"/>
      <c r="X168" s="2"/>
      <c r="Y168" s="2"/>
      <c r="Z168" s="2"/>
    </row>
    <row r="169" spans="1:26" ht="12.75" customHeight="1" x14ac:dyDescent="0.2">
      <c r="A169" s="266"/>
      <c r="B169" s="266"/>
      <c r="C169" s="266"/>
      <c r="D169" s="374"/>
      <c r="E169" s="374"/>
      <c r="F169" s="266"/>
      <c r="G169" s="266"/>
      <c r="H169" s="266"/>
      <c r="I169" s="266"/>
      <c r="J169" s="2"/>
      <c r="K169" s="2"/>
      <c r="L169" s="2"/>
      <c r="M169" s="2"/>
      <c r="N169" s="2"/>
      <c r="O169" s="2"/>
      <c r="P169" s="2"/>
      <c r="Q169" s="2"/>
      <c r="R169" s="2"/>
      <c r="S169" s="2"/>
      <c r="T169" s="2"/>
      <c r="U169" s="2"/>
      <c r="V169" s="2"/>
      <c r="W169" s="2"/>
      <c r="X169" s="2"/>
      <c r="Y169" s="2"/>
      <c r="Z169" s="2"/>
    </row>
    <row r="170" spans="1:26" ht="12.75" customHeight="1" x14ac:dyDescent="0.2">
      <c r="A170" s="266"/>
      <c r="B170" s="266"/>
      <c r="C170" s="266"/>
      <c r="D170" s="374"/>
      <c r="E170" s="374"/>
      <c r="F170" s="266"/>
      <c r="G170" s="266"/>
      <c r="H170" s="266"/>
      <c r="I170" s="266"/>
      <c r="J170" s="2"/>
      <c r="K170" s="2"/>
      <c r="L170" s="2"/>
      <c r="M170" s="2"/>
      <c r="N170" s="2"/>
      <c r="O170" s="2"/>
      <c r="P170" s="2"/>
      <c r="Q170" s="2"/>
      <c r="R170" s="2"/>
      <c r="S170" s="2"/>
      <c r="T170" s="2"/>
      <c r="U170" s="2"/>
      <c r="V170" s="2"/>
      <c r="W170" s="2"/>
      <c r="X170" s="2"/>
      <c r="Y170" s="2"/>
      <c r="Z170" s="2"/>
    </row>
    <row r="171" spans="1:26" ht="12.75" customHeight="1" x14ac:dyDescent="0.2">
      <c r="A171" s="266"/>
      <c r="B171" s="266"/>
      <c r="C171" s="266"/>
      <c r="D171" s="374"/>
      <c r="E171" s="374"/>
      <c r="F171" s="266"/>
      <c r="G171" s="266"/>
      <c r="H171" s="266"/>
      <c r="I171" s="266"/>
      <c r="J171" s="2"/>
      <c r="K171" s="2"/>
      <c r="L171" s="2"/>
      <c r="M171" s="2"/>
      <c r="N171" s="2"/>
      <c r="O171" s="2"/>
      <c r="P171" s="2"/>
      <c r="Q171" s="2"/>
      <c r="R171" s="2"/>
      <c r="S171" s="2"/>
      <c r="T171" s="2"/>
      <c r="U171" s="2"/>
      <c r="V171" s="2"/>
      <c r="W171" s="2"/>
      <c r="X171" s="2"/>
      <c r="Y171" s="2"/>
      <c r="Z171" s="2"/>
    </row>
    <row r="172" spans="1:26" ht="12.75" customHeight="1" x14ac:dyDescent="0.2">
      <c r="A172" s="266"/>
      <c r="B172" s="266"/>
      <c r="C172" s="266"/>
      <c r="D172" s="374"/>
      <c r="E172" s="374"/>
      <c r="F172" s="266"/>
      <c r="G172" s="266"/>
      <c r="H172" s="266"/>
      <c r="I172" s="266"/>
      <c r="J172" s="2"/>
      <c r="K172" s="2"/>
      <c r="L172" s="2"/>
      <c r="M172" s="2"/>
      <c r="N172" s="2"/>
      <c r="O172" s="2"/>
      <c r="P172" s="2"/>
      <c r="Q172" s="2"/>
      <c r="R172" s="2"/>
      <c r="S172" s="2"/>
      <c r="T172" s="2"/>
      <c r="U172" s="2"/>
      <c r="V172" s="2"/>
      <c r="W172" s="2"/>
      <c r="X172" s="2"/>
      <c r="Y172" s="2"/>
      <c r="Z172" s="2"/>
    </row>
    <row r="173" spans="1:26" ht="12.75" customHeight="1" x14ac:dyDescent="0.2">
      <c r="A173" s="266"/>
      <c r="B173" s="266"/>
      <c r="C173" s="266"/>
      <c r="D173" s="374"/>
      <c r="E173" s="374"/>
      <c r="F173" s="266"/>
      <c r="G173" s="266"/>
      <c r="H173" s="266"/>
      <c r="I173" s="266"/>
      <c r="J173" s="2"/>
      <c r="K173" s="2"/>
      <c r="L173" s="2"/>
      <c r="M173" s="2"/>
      <c r="N173" s="2"/>
      <c r="O173" s="2"/>
      <c r="P173" s="2"/>
      <c r="Q173" s="2"/>
      <c r="R173" s="2"/>
      <c r="S173" s="2"/>
      <c r="T173" s="2"/>
      <c r="U173" s="2"/>
      <c r="V173" s="2"/>
      <c r="W173" s="2"/>
      <c r="X173" s="2"/>
      <c r="Y173" s="2"/>
      <c r="Z173" s="2"/>
    </row>
    <row r="174" spans="1:26" ht="12.75" customHeight="1" x14ac:dyDescent="0.2">
      <c r="A174" s="266"/>
      <c r="B174" s="266"/>
      <c r="C174" s="266"/>
      <c r="D174" s="374"/>
      <c r="E174" s="374"/>
      <c r="F174" s="266"/>
      <c r="G174" s="266"/>
      <c r="H174" s="266"/>
      <c r="I174" s="266"/>
      <c r="J174" s="2"/>
      <c r="K174" s="2"/>
      <c r="L174" s="2"/>
      <c r="M174" s="2"/>
      <c r="N174" s="2"/>
      <c r="O174" s="2"/>
      <c r="P174" s="2"/>
      <c r="Q174" s="2"/>
      <c r="R174" s="2"/>
      <c r="S174" s="2"/>
      <c r="T174" s="2"/>
      <c r="U174" s="2"/>
      <c r="V174" s="2"/>
      <c r="W174" s="2"/>
      <c r="X174" s="2"/>
      <c r="Y174" s="2"/>
      <c r="Z174" s="2"/>
    </row>
    <row r="175" spans="1:26" ht="12.75" customHeight="1" x14ac:dyDescent="0.2">
      <c r="A175" s="266"/>
      <c r="B175" s="266"/>
      <c r="C175" s="266"/>
      <c r="D175" s="374"/>
      <c r="E175" s="374"/>
      <c r="F175" s="266"/>
      <c r="G175" s="266"/>
      <c r="H175" s="266"/>
      <c r="I175" s="266"/>
      <c r="J175" s="2"/>
      <c r="K175" s="2"/>
      <c r="L175" s="2"/>
      <c r="M175" s="2"/>
      <c r="N175" s="2"/>
      <c r="O175" s="2"/>
      <c r="P175" s="2"/>
      <c r="Q175" s="2"/>
      <c r="R175" s="2"/>
      <c r="S175" s="2"/>
      <c r="T175" s="2"/>
      <c r="U175" s="2"/>
      <c r="V175" s="2"/>
      <c r="W175" s="2"/>
      <c r="X175" s="2"/>
      <c r="Y175" s="2"/>
      <c r="Z175" s="2"/>
    </row>
    <row r="176" spans="1:26" ht="12.75" customHeight="1" x14ac:dyDescent="0.2">
      <c r="A176" s="266"/>
      <c r="B176" s="266"/>
      <c r="C176" s="266"/>
      <c r="D176" s="374"/>
      <c r="E176" s="374"/>
      <c r="F176" s="266"/>
      <c r="G176" s="266"/>
      <c r="H176" s="266"/>
      <c r="I176" s="266"/>
      <c r="J176" s="2"/>
      <c r="K176" s="2"/>
      <c r="L176" s="2"/>
      <c r="M176" s="2"/>
      <c r="N176" s="2"/>
      <c r="O176" s="2"/>
      <c r="P176" s="2"/>
      <c r="Q176" s="2"/>
      <c r="R176" s="2"/>
      <c r="S176" s="2"/>
      <c r="T176" s="2"/>
      <c r="U176" s="2"/>
      <c r="V176" s="2"/>
      <c r="W176" s="2"/>
      <c r="X176" s="2"/>
      <c r="Y176" s="2"/>
      <c r="Z176" s="2"/>
    </row>
    <row r="177" spans="1:26" ht="12.75" customHeight="1" x14ac:dyDescent="0.2">
      <c r="A177" s="266"/>
      <c r="B177" s="266"/>
      <c r="C177" s="266"/>
      <c r="D177" s="374"/>
      <c r="E177" s="374"/>
      <c r="F177" s="266"/>
      <c r="G177" s="266"/>
      <c r="H177" s="266"/>
      <c r="I177" s="266"/>
      <c r="J177" s="2"/>
      <c r="K177" s="2"/>
      <c r="L177" s="2"/>
      <c r="M177" s="2"/>
      <c r="N177" s="2"/>
      <c r="O177" s="2"/>
      <c r="P177" s="2"/>
      <c r="Q177" s="2"/>
      <c r="R177" s="2"/>
      <c r="S177" s="2"/>
      <c r="T177" s="2"/>
      <c r="U177" s="2"/>
      <c r="V177" s="2"/>
      <c r="W177" s="2"/>
      <c r="X177" s="2"/>
      <c r="Y177" s="2"/>
      <c r="Z177" s="2"/>
    </row>
    <row r="178" spans="1:26" ht="12.75" customHeight="1" x14ac:dyDescent="0.2">
      <c r="A178" s="266"/>
      <c r="B178" s="266"/>
      <c r="C178" s="266"/>
      <c r="D178" s="374"/>
      <c r="E178" s="374"/>
      <c r="F178" s="266"/>
      <c r="G178" s="266"/>
      <c r="H178" s="266"/>
      <c r="I178" s="266"/>
      <c r="J178" s="2"/>
      <c r="K178" s="2"/>
      <c r="L178" s="2"/>
      <c r="M178" s="2"/>
      <c r="N178" s="2"/>
      <c r="O178" s="2"/>
      <c r="P178" s="2"/>
      <c r="Q178" s="2"/>
      <c r="R178" s="2"/>
      <c r="S178" s="2"/>
      <c r="T178" s="2"/>
      <c r="U178" s="2"/>
      <c r="V178" s="2"/>
      <c r="W178" s="2"/>
      <c r="X178" s="2"/>
      <c r="Y178" s="2"/>
      <c r="Z178" s="2"/>
    </row>
    <row r="179" spans="1:26" ht="12.75" customHeight="1" x14ac:dyDescent="0.2">
      <c r="A179" s="266"/>
      <c r="B179" s="266"/>
      <c r="C179" s="266"/>
      <c r="D179" s="374"/>
      <c r="E179" s="374"/>
      <c r="F179" s="266"/>
      <c r="G179" s="266"/>
      <c r="H179" s="266"/>
      <c r="I179" s="266"/>
      <c r="J179" s="2"/>
      <c r="K179" s="2"/>
      <c r="L179" s="2"/>
      <c r="M179" s="2"/>
      <c r="N179" s="2"/>
      <c r="O179" s="2"/>
      <c r="P179" s="2"/>
      <c r="Q179" s="2"/>
      <c r="R179" s="2"/>
      <c r="S179" s="2"/>
      <c r="T179" s="2"/>
      <c r="U179" s="2"/>
      <c r="V179" s="2"/>
      <c r="W179" s="2"/>
      <c r="X179" s="2"/>
      <c r="Y179" s="2"/>
      <c r="Z179" s="2"/>
    </row>
    <row r="180" spans="1:26" ht="12.75" customHeight="1" x14ac:dyDescent="0.2">
      <c r="A180" s="266"/>
      <c r="B180" s="266"/>
      <c r="C180" s="266"/>
      <c r="D180" s="374"/>
      <c r="E180" s="374"/>
      <c r="F180" s="266"/>
      <c r="G180" s="266"/>
      <c r="H180" s="266"/>
      <c r="I180" s="266"/>
      <c r="J180" s="2"/>
      <c r="K180" s="2"/>
      <c r="L180" s="2"/>
      <c r="M180" s="2"/>
      <c r="N180" s="2"/>
      <c r="O180" s="2"/>
      <c r="P180" s="2"/>
      <c r="Q180" s="2"/>
      <c r="R180" s="2"/>
      <c r="S180" s="2"/>
      <c r="T180" s="2"/>
      <c r="U180" s="2"/>
      <c r="V180" s="2"/>
      <c r="W180" s="2"/>
      <c r="X180" s="2"/>
      <c r="Y180" s="2"/>
      <c r="Z180" s="2"/>
    </row>
    <row r="181" spans="1:26" ht="12.75" customHeight="1" x14ac:dyDescent="0.2">
      <c r="A181" s="266"/>
      <c r="B181" s="266"/>
      <c r="C181" s="266"/>
      <c r="D181" s="374"/>
      <c r="E181" s="374"/>
      <c r="F181" s="266"/>
      <c r="G181" s="266"/>
      <c r="H181" s="266"/>
      <c r="I181" s="266"/>
      <c r="J181" s="2"/>
      <c r="K181" s="2"/>
      <c r="L181" s="2"/>
      <c r="M181" s="2"/>
      <c r="N181" s="2"/>
      <c r="O181" s="2"/>
      <c r="P181" s="2"/>
      <c r="Q181" s="2"/>
      <c r="R181" s="2"/>
      <c r="S181" s="2"/>
      <c r="T181" s="2"/>
      <c r="U181" s="2"/>
      <c r="V181" s="2"/>
      <c r="W181" s="2"/>
      <c r="X181" s="2"/>
      <c r="Y181" s="2"/>
      <c r="Z181" s="2"/>
    </row>
    <row r="182" spans="1:26" ht="12.75" customHeight="1" x14ac:dyDescent="0.2">
      <c r="A182" s="266"/>
      <c r="B182" s="266"/>
      <c r="C182" s="266"/>
      <c r="D182" s="374"/>
      <c r="E182" s="374"/>
      <c r="F182" s="266"/>
      <c r="G182" s="266"/>
      <c r="H182" s="266"/>
      <c r="I182" s="266"/>
      <c r="J182" s="2"/>
      <c r="K182" s="2"/>
      <c r="L182" s="2"/>
      <c r="M182" s="2"/>
      <c r="N182" s="2"/>
      <c r="O182" s="2"/>
      <c r="P182" s="2"/>
      <c r="Q182" s="2"/>
      <c r="R182" s="2"/>
      <c r="S182" s="2"/>
      <c r="T182" s="2"/>
      <c r="U182" s="2"/>
      <c r="V182" s="2"/>
      <c r="W182" s="2"/>
      <c r="X182" s="2"/>
      <c r="Y182" s="2"/>
      <c r="Z182" s="2"/>
    </row>
    <row r="183" spans="1:26" ht="12.75" customHeight="1" x14ac:dyDescent="0.2">
      <c r="A183" s="266"/>
      <c r="B183" s="266"/>
      <c r="C183" s="266"/>
      <c r="D183" s="374"/>
      <c r="E183" s="374"/>
      <c r="F183" s="266"/>
      <c r="G183" s="266"/>
      <c r="H183" s="266"/>
      <c r="I183" s="266"/>
      <c r="J183" s="2"/>
      <c r="K183" s="2"/>
      <c r="L183" s="2"/>
      <c r="M183" s="2"/>
      <c r="N183" s="2"/>
      <c r="O183" s="2"/>
      <c r="P183" s="2"/>
      <c r="Q183" s="2"/>
      <c r="R183" s="2"/>
      <c r="S183" s="2"/>
      <c r="T183" s="2"/>
      <c r="U183" s="2"/>
      <c r="V183" s="2"/>
      <c r="W183" s="2"/>
      <c r="X183" s="2"/>
      <c r="Y183" s="2"/>
      <c r="Z183" s="2"/>
    </row>
    <row r="184" spans="1:26" ht="12.75" customHeight="1" x14ac:dyDescent="0.2">
      <c r="A184" s="266"/>
      <c r="B184" s="266"/>
      <c r="C184" s="266"/>
      <c r="D184" s="374"/>
      <c r="E184" s="374"/>
      <c r="F184" s="266"/>
      <c r="G184" s="266"/>
      <c r="H184" s="266"/>
      <c r="I184" s="266"/>
      <c r="J184" s="2"/>
      <c r="K184" s="2"/>
      <c r="L184" s="2"/>
      <c r="M184" s="2"/>
      <c r="N184" s="2"/>
      <c r="O184" s="2"/>
      <c r="P184" s="2"/>
      <c r="Q184" s="2"/>
      <c r="R184" s="2"/>
      <c r="S184" s="2"/>
      <c r="T184" s="2"/>
      <c r="U184" s="2"/>
      <c r="V184" s="2"/>
      <c r="W184" s="2"/>
      <c r="X184" s="2"/>
      <c r="Y184" s="2"/>
      <c r="Z184" s="2"/>
    </row>
    <row r="185" spans="1:26" ht="12.75" customHeight="1" x14ac:dyDescent="0.2">
      <c r="A185" s="266"/>
      <c r="B185" s="266"/>
      <c r="C185" s="266"/>
      <c r="D185" s="374"/>
      <c r="E185" s="374"/>
      <c r="F185" s="266"/>
      <c r="G185" s="266"/>
      <c r="H185" s="266"/>
      <c r="I185" s="266"/>
      <c r="J185" s="2"/>
      <c r="K185" s="2"/>
      <c r="L185" s="2"/>
      <c r="M185" s="2"/>
      <c r="N185" s="2"/>
      <c r="O185" s="2"/>
      <c r="P185" s="2"/>
      <c r="Q185" s="2"/>
      <c r="R185" s="2"/>
      <c r="S185" s="2"/>
      <c r="T185" s="2"/>
      <c r="U185" s="2"/>
      <c r="V185" s="2"/>
      <c r="W185" s="2"/>
      <c r="X185" s="2"/>
      <c r="Y185" s="2"/>
      <c r="Z185" s="2"/>
    </row>
    <row r="186" spans="1:26" ht="12.75" customHeight="1" x14ac:dyDescent="0.2">
      <c r="A186" s="266"/>
      <c r="B186" s="266"/>
      <c r="C186" s="266"/>
      <c r="D186" s="374"/>
      <c r="E186" s="374"/>
      <c r="F186" s="266"/>
      <c r="G186" s="266"/>
      <c r="H186" s="266"/>
      <c r="I186" s="266"/>
      <c r="J186" s="2"/>
      <c r="K186" s="2"/>
      <c r="L186" s="2"/>
      <c r="M186" s="2"/>
      <c r="N186" s="2"/>
      <c r="O186" s="2"/>
      <c r="P186" s="2"/>
      <c r="Q186" s="2"/>
      <c r="R186" s="2"/>
      <c r="S186" s="2"/>
      <c r="T186" s="2"/>
      <c r="U186" s="2"/>
      <c r="V186" s="2"/>
      <c r="W186" s="2"/>
      <c r="X186" s="2"/>
      <c r="Y186" s="2"/>
      <c r="Z186" s="2"/>
    </row>
    <row r="187" spans="1:26" ht="12.75" customHeight="1" x14ac:dyDescent="0.2">
      <c r="A187" s="266"/>
      <c r="B187" s="266"/>
      <c r="C187" s="266"/>
      <c r="D187" s="374"/>
      <c r="E187" s="374"/>
      <c r="F187" s="266"/>
      <c r="G187" s="266"/>
      <c r="H187" s="266"/>
      <c r="I187" s="266"/>
      <c r="J187" s="2"/>
      <c r="K187" s="2"/>
      <c r="L187" s="2"/>
      <c r="M187" s="2"/>
      <c r="N187" s="2"/>
      <c r="O187" s="2"/>
      <c r="P187" s="2"/>
      <c r="Q187" s="2"/>
      <c r="R187" s="2"/>
      <c r="S187" s="2"/>
      <c r="T187" s="2"/>
      <c r="U187" s="2"/>
      <c r="V187" s="2"/>
      <c r="W187" s="2"/>
      <c r="X187" s="2"/>
      <c r="Y187" s="2"/>
      <c r="Z187" s="2"/>
    </row>
    <row r="188" spans="1:26" ht="12.75" customHeight="1" x14ac:dyDescent="0.2">
      <c r="A188" s="266"/>
      <c r="B188" s="266"/>
      <c r="C188" s="266"/>
      <c r="D188" s="374"/>
      <c r="E188" s="374"/>
      <c r="F188" s="266"/>
      <c r="G188" s="266"/>
      <c r="H188" s="266"/>
      <c r="I188" s="266"/>
      <c r="J188" s="2"/>
      <c r="K188" s="2"/>
      <c r="L188" s="2"/>
      <c r="M188" s="2"/>
      <c r="N188" s="2"/>
      <c r="O188" s="2"/>
      <c r="P188" s="2"/>
      <c r="Q188" s="2"/>
      <c r="R188" s="2"/>
      <c r="S188" s="2"/>
      <c r="T188" s="2"/>
      <c r="U188" s="2"/>
      <c r="V188" s="2"/>
      <c r="W188" s="2"/>
      <c r="X188" s="2"/>
      <c r="Y188" s="2"/>
      <c r="Z188" s="2"/>
    </row>
    <row r="189" spans="1:26" ht="12.75" customHeight="1" x14ac:dyDescent="0.2">
      <c r="A189" s="266"/>
      <c r="B189" s="266"/>
      <c r="C189" s="266"/>
      <c r="D189" s="374"/>
      <c r="E189" s="374"/>
      <c r="F189" s="266"/>
      <c r="G189" s="266"/>
      <c r="H189" s="266"/>
      <c r="I189" s="266"/>
      <c r="J189" s="2"/>
      <c r="K189" s="2"/>
      <c r="L189" s="2"/>
      <c r="M189" s="2"/>
      <c r="N189" s="2"/>
      <c r="O189" s="2"/>
      <c r="P189" s="2"/>
      <c r="Q189" s="2"/>
      <c r="R189" s="2"/>
      <c r="S189" s="2"/>
      <c r="T189" s="2"/>
      <c r="U189" s="2"/>
      <c r="V189" s="2"/>
      <c r="W189" s="2"/>
      <c r="X189" s="2"/>
      <c r="Y189" s="2"/>
      <c r="Z189" s="2"/>
    </row>
    <row r="190" spans="1:26" ht="12.75" customHeight="1" x14ac:dyDescent="0.2">
      <c r="A190" s="266"/>
      <c r="B190" s="266"/>
      <c r="C190" s="266"/>
      <c r="D190" s="374"/>
      <c r="E190" s="374"/>
      <c r="F190" s="266"/>
      <c r="G190" s="266"/>
      <c r="H190" s="266"/>
      <c r="I190" s="266"/>
      <c r="J190" s="2"/>
      <c r="K190" s="2"/>
      <c r="L190" s="2"/>
      <c r="M190" s="2"/>
      <c r="N190" s="2"/>
      <c r="O190" s="2"/>
      <c r="P190" s="2"/>
      <c r="Q190" s="2"/>
      <c r="R190" s="2"/>
      <c r="S190" s="2"/>
      <c r="T190" s="2"/>
      <c r="U190" s="2"/>
      <c r="V190" s="2"/>
      <c r="W190" s="2"/>
      <c r="X190" s="2"/>
      <c r="Y190" s="2"/>
      <c r="Z190" s="2"/>
    </row>
    <row r="191" spans="1:26" ht="12.75" customHeight="1" x14ac:dyDescent="0.2">
      <c r="A191" s="266"/>
      <c r="B191" s="266"/>
      <c r="C191" s="266"/>
      <c r="D191" s="374"/>
      <c r="E191" s="374"/>
      <c r="F191" s="266"/>
      <c r="G191" s="266"/>
      <c r="H191" s="266"/>
      <c r="I191" s="266"/>
      <c r="J191" s="2"/>
      <c r="K191" s="2"/>
      <c r="L191" s="2"/>
      <c r="M191" s="2"/>
      <c r="N191" s="2"/>
      <c r="O191" s="2"/>
      <c r="P191" s="2"/>
      <c r="Q191" s="2"/>
      <c r="R191" s="2"/>
      <c r="S191" s="2"/>
      <c r="T191" s="2"/>
      <c r="U191" s="2"/>
      <c r="V191" s="2"/>
      <c r="W191" s="2"/>
      <c r="X191" s="2"/>
      <c r="Y191" s="2"/>
      <c r="Z191" s="2"/>
    </row>
    <row r="192" spans="1:26" ht="12.75" customHeight="1" x14ac:dyDescent="0.2">
      <c r="A192" s="266"/>
      <c r="B192" s="266"/>
      <c r="C192" s="266"/>
      <c r="D192" s="374"/>
      <c r="E192" s="374"/>
      <c r="F192" s="266"/>
      <c r="G192" s="266"/>
      <c r="H192" s="266"/>
      <c r="I192" s="266"/>
      <c r="J192" s="2"/>
      <c r="K192" s="2"/>
      <c r="L192" s="2"/>
      <c r="M192" s="2"/>
      <c r="N192" s="2"/>
      <c r="O192" s="2"/>
      <c r="P192" s="2"/>
      <c r="Q192" s="2"/>
      <c r="R192" s="2"/>
      <c r="S192" s="2"/>
      <c r="T192" s="2"/>
      <c r="U192" s="2"/>
      <c r="V192" s="2"/>
      <c r="W192" s="2"/>
      <c r="X192" s="2"/>
      <c r="Y192" s="2"/>
      <c r="Z192" s="2"/>
    </row>
    <row r="193" spans="1:26" ht="12.75" customHeight="1" x14ac:dyDescent="0.2">
      <c r="A193" s="266"/>
      <c r="B193" s="266"/>
      <c r="C193" s="266"/>
      <c r="D193" s="374"/>
      <c r="E193" s="374"/>
      <c r="F193" s="266"/>
      <c r="G193" s="266"/>
      <c r="H193" s="266"/>
      <c r="I193" s="266"/>
      <c r="J193" s="2"/>
      <c r="K193" s="2"/>
      <c r="L193" s="2"/>
      <c r="M193" s="2"/>
      <c r="N193" s="2"/>
      <c r="O193" s="2"/>
      <c r="P193" s="2"/>
      <c r="Q193" s="2"/>
      <c r="R193" s="2"/>
      <c r="S193" s="2"/>
      <c r="T193" s="2"/>
      <c r="U193" s="2"/>
      <c r="V193" s="2"/>
      <c r="W193" s="2"/>
      <c r="X193" s="2"/>
      <c r="Y193" s="2"/>
      <c r="Z193" s="2"/>
    </row>
    <row r="194" spans="1:26" ht="12.75" customHeight="1" x14ac:dyDescent="0.2">
      <c r="A194" s="266"/>
      <c r="B194" s="266"/>
      <c r="C194" s="266"/>
      <c r="D194" s="374"/>
      <c r="E194" s="374"/>
      <c r="F194" s="266"/>
      <c r="G194" s="266"/>
      <c r="H194" s="266"/>
      <c r="I194" s="266"/>
      <c r="J194" s="2"/>
      <c r="K194" s="2"/>
      <c r="L194" s="2"/>
      <c r="M194" s="2"/>
      <c r="N194" s="2"/>
      <c r="O194" s="2"/>
      <c r="P194" s="2"/>
      <c r="Q194" s="2"/>
      <c r="R194" s="2"/>
      <c r="S194" s="2"/>
      <c r="T194" s="2"/>
      <c r="U194" s="2"/>
      <c r="V194" s="2"/>
      <c r="W194" s="2"/>
      <c r="X194" s="2"/>
      <c r="Y194" s="2"/>
      <c r="Z194" s="2"/>
    </row>
    <row r="195" spans="1:26" ht="12.75" customHeight="1" x14ac:dyDescent="0.2">
      <c r="A195" s="266"/>
      <c r="B195" s="266"/>
      <c r="C195" s="266"/>
      <c r="D195" s="374"/>
      <c r="E195" s="374"/>
      <c r="F195" s="266"/>
      <c r="G195" s="266"/>
      <c r="H195" s="266"/>
      <c r="I195" s="266"/>
      <c r="J195" s="2"/>
      <c r="K195" s="2"/>
      <c r="L195" s="2"/>
      <c r="M195" s="2"/>
      <c r="N195" s="2"/>
      <c r="O195" s="2"/>
      <c r="P195" s="2"/>
      <c r="Q195" s="2"/>
      <c r="R195" s="2"/>
      <c r="S195" s="2"/>
      <c r="T195" s="2"/>
      <c r="U195" s="2"/>
      <c r="V195" s="2"/>
      <c r="W195" s="2"/>
      <c r="X195" s="2"/>
      <c r="Y195" s="2"/>
      <c r="Z195" s="2"/>
    </row>
    <row r="196" spans="1:26" ht="12.75" customHeight="1" x14ac:dyDescent="0.2">
      <c r="A196" s="266"/>
      <c r="B196" s="266"/>
      <c r="C196" s="266"/>
      <c r="D196" s="374"/>
      <c r="E196" s="374"/>
      <c r="F196" s="266"/>
      <c r="G196" s="266"/>
      <c r="H196" s="266"/>
      <c r="I196" s="266"/>
      <c r="J196" s="2"/>
      <c r="K196" s="2"/>
      <c r="L196" s="2"/>
      <c r="M196" s="2"/>
      <c r="N196" s="2"/>
      <c r="O196" s="2"/>
      <c r="P196" s="2"/>
      <c r="Q196" s="2"/>
      <c r="R196" s="2"/>
      <c r="S196" s="2"/>
      <c r="T196" s="2"/>
      <c r="U196" s="2"/>
      <c r="V196" s="2"/>
      <c r="W196" s="2"/>
      <c r="X196" s="2"/>
      <c r="Y196" s="2"/>
      <c r="Z196" s="2"/>
    </row>
    <row r="197" spans="1:26" ht="12.75" customHeight="1" x14ac:dyDescent="0.2">
      <c r="A197" s="266"/>
      <c r="B197" s="266"/>
      <c r="C197" s="266"/>
      <c r="D197" s="374"/>
      <c r="E197" s="374"/>
      <c r="F197" s="266"/>
      <c r="G197" s="266"/>
      <c r="H197" s="266"/>
      <c r="I197" s="266"/>
      <c r="J197" s="2"/>
      <c r="K197" s="2"/>
      <c r="L197" s="2"/>
      <c r="M197" s="2"/>
      <c r="N197" s="2"/>
      <c r="O197" s="2"/>
      <c r="P197" s="2"/>
      <c r="Q197" s="2"/>
      <c r="R197" s="2"/>
      <c r="S197" s="2"/>
      <c r="T197" s="2"/>
      <c r="U197" s="2"/>
      <c r="V197" s="2"/>
      <c r="W197" s="2"/>
      <c r="X197" s="2"/>
      <c r="Y197" s="2"/>
      <c r="Z197" s="2"/>
    </row>
    <row r="198" spans="1:26" ht="12.75" customHeight="1" x14ac:dyDescent="0.2">
      <c r="A198" s="266"/>
      <c r="B198" s="266"/>
      <c r="C198" s="266"/>
      <c r="D198" s="374"/>
      <c r="E198" s="374"/>
      <c r="F198" s="266"/>
      <c r="G198" s="266"/>
      <c r="H198" s="266"/>
      <c r="I198" s="266"/>
      <c r="J198" s="2"/>
      <c r="K198" s="2"/>
      <c r="L198" s="2"/>
      <c r="M198" s="2"/>
      <c r="N198" s="2"/>
      <c r="O198" s="2"/>
      <c r="P198" s="2"/>
      <c r="Q198" s="2"/>
      <c r="R198" s="2"/>
      <c r="S198" s="2"/>
      <c r="T198" s="2"/>
      <c r="U198" s="2"/>
      <c r="V198" s="2"/>
      <c r="W198" s="2"/>
      <c r="X198" s="2"/>
      <c r="Y198" s="2"/>
      <c r="Z198" s="2"/>
    </row>
    <row r="199" spans="1:26" ht="12.75" customHeight="1" x14ac:dyDescent="0.2">
      <c r="A199" s="266"/>
      <c r="B199" s="266"/>
      <c r="C199" s="266"/>
      <c r="D199" s="374"/>
      <c r="E199" s="374"/>
      <c r="F199" s="266"/>
      <c r="G199" s="266"/>
      <c r="H199" s="266"/>
      <c r="I199" s="266"/>
      <c r="J199" s="2"/>
      <c r="K199" s="2"/>
      <c r="L199" s="2"/>
      <c r="M199" s="2"/>
      <c r="N199" s="2"/>
      <c r="O199" s="2"/>
      <c r="P199" s="2"/>
      <c r="Q199" s="2"/>
      <c r="R199" s="2"/>
      <c r="S199" s="2"/>
      <c r="T199" s="2"/>
      <c r="U199" s="2"/>
      <c r="V199" s="2"/>
      <c r="W199" s="2"/>
      <c r="X199" s="2"/>
      <c r="Y199" s="2"/>
      <c r="Z199" s="2"/>
    </row>
    <row r="200" spans="1:26" ht="12.75" customHeight="1" x14ac:dyDescent="0.2">
      <c r="A200" s="266"/>
      <c r="B200" s="266"/>
      <c r="C200" s="266"/>
      <c r="D200" s="374"/>
      <c r="E200" s="374"/>
      <c r="F200" s="266"/>
      <c r="G200" s="266"/>
      <c r="H200" s="266"/>
      <c r="I200" s="266"/>
      <c r="J200" s="2"/>
      <c r="K200" s="2"/>
      <c r="L200" s="2"/>
      <c r="M200" s="2"/>
      <c r="N200" s="2"/>
      <c r="O200" s="2"/>
      <c r="P200" s="2"/>
      <c r="Q200" s="2"/>
      <c r="R200" s="2"/>
      <c r="S200" s="2"/>
      <c r="T200" s="2"/>
      <c r="U200" s="2"/>
      <c r="V200" s="2"/>
      <c r="W200" s="2"/>
      <c r="X200" s="2"/>
      <c r="Y200" s="2"/>
      <c r="Z200" s="2"/>
    </row>
    <row r="201" spans="1:26" ht="12.75" customHeight="1" x14ac:dyDescent="0.2">
      <c r="A201" s="266"/>
      <c r="B201" s="266"/>
      <c r="C201" s="266"/>
      <c r="D201" s="374"/>
      <c r="E201" s="374"/>
      <c r="F201" s="266"/>
      <c r="G201" s="266"/>
      <c r="H201" s="266"/>
      <c r="I201" s="266"/>
      <c r="J201" s="2"/>
      <c r="K201" s="2"/>
      <c r="L201" s="2"/>
      <c r="M201" s="2"/>
      <c r="N201" s="2"/>
      <c r="O201" s="2"/>
      <c r="P201" s="2"/>
      <c r="Q201" s="2"/>
      <c r="R201" s="2"/>
      <c r="S201" s="2"/>
      <c r="T201" s="2"/>
      <c r="U201" s="2"/>
      <c r="V201" s="2"/>
      <c r="W201" s="2"/>
      <c r="X201" s="2"/>
      <c r="Y201" s="2"/>
      <c r="Z201" s="2"/>
    </row>
    <row r="202" spans="1:26" ht="12.75" customHeight="1" x14ac:dyDescent="0.2">
      <c r="A202" s="266"/>
      <c r="B202" s="266"/>
      <c r="C202" s="266"/>
      <c r="D202" s="374"/>
      <c r="E202" s="374"/>
      <c r="F202" s="266"/>
      <c r="G202" s="266"/>
      <c r="H202" s="266"/>
      <c r="I202" s="266"/>
      <c r="J202" s="2"/>
      <c r="K202" s="2"/>
      <c r="L202" s="2"/>
      <c r="M202" s="2"/>
      <c r="N202" s="2"/>
      <c r="O202" s="2"/>
      <c r="P202" s="2"/>
      <c r="Q202" s="2"/>
      <c r="R202" s="2"/>
      <c r="S202" s="2"/>
      <c r="T202" s="2"/>
      <c r="U202" s="2"/>
      <c r="V202" s="2"/>
      <c r="W202" s="2"/>
      <c r="X202" s="2"/>
      <c r="Y202" s="2"/>
      <c r="Z202" s="2"/>
    </row>
    <row r="203" spans="1:26" ht="12.75" customHeight="1" x14ac:dyDescent="0.2">
      <c r="A203" s="266"/>
      <c r="B203" s="266"/>
      <c r="C203" s="266"/>
      <c r="D203" s="374"/>
      <c r="E203" s="374"/>
      <c r="F203" s="266"/>
      <c r="G203" s="266"/>
      <c r="H203" s="266"/>
      <c r="I203" s="266"/>
      <c r="J203" s="2"/>
      <c r="K203" s="2"/>
      <c r="L203" s="2"/>
      <c r="M203" s="2"/>
      <c r="N203" s="2"/>
      <c r="O203" s="2"/>
      <c r="P203" s="2"/>
      <c r="Q203" s="2"/>
      <c r="R203" s="2"/>
      <c r="S203" s="2"/>
      <c r="T203" s="2"/>
      <c r="U203" s="2"/>
      <c r="V203" s="2"/>
      <c r="W203" s="2"/>
      <c r="X203" s="2"/>
      <c r="Y203" s="2"/>
      <c r="Z203" s="2"/>
    </row>
    <row r="204" spans="1:26" ht="12.75" customHeight="1" x14ac:dyDescent="0.2">
      <c r="A204" s="266"/>
      <c r="B204" s="266"/>
      <c r="C204" s="266"/>
      <c r="D204" s="374"/>
      <c r="E204" s="374"/>
      <c r="F204" s="266"/>
      <c r="G204" s="266"/>
      <c r="H204" s="266"/>
      <c r="I204" s="266"/>
      <c r="J204" s="2"/>
      <c r="K204" s="2"/>
      <c r="L204" s="2"/>
      <c r="M204" s="2"/>
      <c r="N204" s="2"/>
      <c r="O204" s="2"/>
      <c r="P204" s="2"/>
      <c r="Q204" s="2"/>
      <c r="R204" s="2"/>
      <c r="S204" s="2"/>
      <c r="T204" s="2"/>
      <c r="U204" s="2"/>
      <c r="V204" s="2"/>
      <c r="W204" s="2"/>
      <c r="X204" s="2"/>
      <c r="Y204" s="2"/>
      <c r="Z204" s="2"/>
    </row>
    <row r="205" spans="1:26" ht="12.75" customHeight="1" x14ac:dyDescent="0.2">
      <c r="A205" s="266"/>
      <c r="B205" s="266"/>
      <c r="C205" s="266"/>
      <c r="D205" s="374"/>
      <c r="E205" s="374"/>
      <c r="F205" s="266"/>
      <c r="G205" s="266"/>
      <c r="H205" s="266"/>
      <c r="I205" s="266"/>
      <c r="J205" s="2"/>
      <c r="K205" s="2"/>
      <c r="L205" s="2"/>
      <c r="M205" s="2"/>
      <c r="N205" s="2"/>
      <c r="O205" s="2"/>
      <c r="P205" s="2"/>
      <c r="Q205" s="2"/>
      <c r="R205" s="2"/>
      <c r="S205" s="2"/>
      <c r="T205" s="2"/>
      <c r="U205" s="2"/>
      <c r="V205" s="2"/>
      <c r="W205" s="2"/>
      <c r="X205" s="2"/>
      <c r="Y205" s="2"/>
      <c r="Z205" s="2"/>
    </row>
    <row r="206" spans="1:26" ht="12.75" customHeight="1" x14ac:dyDescent="0.2">
      <c r="A206" s="266"/>
      <c r="B206" s="266"/>
      <c r="C206" s="266"/>
      <c r="D206" s="374"/>
      <c r="E206" s="374"/>
      <c r="F206" s="266"/>
      <c r="G206" s="266"/>
      <c r="H206" s="266"/>
      <c r="I206" s="266"/>
      <c r="J206" s="2"/>
      <c r="K206" s="2"/>
      <c r="L206" s="2"/>
      <c r="M206" s="2"/>
      <c r="N206" s="2"/>
      <c r="O206" s="2"/>
      <c r="P206" s="2"/>
      <c r="Q206" s="2"/>
      <c r="R206" s="2"/>
      <c r="S206" s="2"/>
      <c r="T206" s="2"/>
      <c r="U206" s="2"/>
      <c r="V206" s="2"/>
      <c r="W206" s="2"/>
      <c r="X206" s="2"/>
      <c r="Y206" s="2"/>
      <c r="Z206" s="2"/>
    </row>
    <row r="207" spans="1:26" ht="12.75" customHeight="1" x14ac:dyDescent="0.2">
      <c r="A207" s="266"/>
      <c r="B207" s="266"/>
      <c r="C207" s="266"/>
      <c r="D207" s="374"/>
      <c r="E207" s="374"/>
      <c r="F207" s="266"/>
      <c r="G207" s="266"/>
      <c r="H207" s="266"/>
      <c r="I207" s="266"/>
      <c r="J207" s="2"/>
      <c r="K207" s="2"/>
      <c r="L207" s="2"/>
      <c r="M207" s="2"/>
      <c r="N207" s="2"/>
      <c r="O207" s="2"/>
      <c r="P207" s="2"/>
      <c r="Q207" s="2"/>
      <c r="R207" s="2"/>
      <c r="S207" s="2"/>
      <c r="T207" s="2"/>
      <c r="U207" s="2"/>
      <c r="V207" s="2"/>
      <c r="W207" s="2"/>
      <c r="X207" s="2"/>
      <c r="Y207" s="2"/>
      <c r="Z207" s="2"/>
    </row>
    <row r="208" spans="1:26" ht="12.75" customHeight="1" x14ac:dyDescent="0.2">
      <c r="A208" s="266"/>
      <c r="B208" s="266"/>
      <c r="C208" s="266"/>
      <c r="D208" s="374"/>
      <c r="E208" s="374"/>
      <c r="F208" s="266"/>
      <c r="G208" s="266"/>
      <c r="H208" s="266"/>
      <c r="I208" s="266"/>
      <c r="J208" s="2"/>
      <c r="K208" s="2"/>
      <c r="L208" s="2"/>
      <c r="M208" s="2"/>
      <c r="N208" s="2"/>
      <c r="O208" s="2"/>
      <c r="P208" s="2"/>
      <c r="Q208" s="2"/>
      <c r="R208" s="2"/>
      <c r="S208" s="2"/>
      <c r="T208" s="2"/>
      <c r="U208" s="2"/>
      <c r="V208" s="2"/>
      <c r="W208" s="2"/>
      <c r="X208" s="2"/>
      <c r="Y208" s="2"/>
      <c r="Z208" s="2"/>
    </row>
    <row r="209" spans="1:26" ht="12.75" customHeight="1" x14ac:dyDescent="0.2">
      <c r="A209" s="266"/>
      <c r="B209" s="266"/>
      <c r="C209" s="266"/>
      <c r="D209" s="374"/>
      <c r="E209" s="374"/>
      <c r="F209" s="266"/>
      <c r="G209" s="266"/>
      <c r="H209" s="266"/>
      <c r="I209" s="266"/>
      <c r="J209" s="2"/>
      <c r="K209" s="2"/>
      <c r="L209" s="2"/>
      <c r="M209" s="2"/>
      <c r="N209" s="2"/>
      <c r="O209" s="2"/>
      <c r="P209" s="2"/>
      <c r="Q209" s="2"/>
      <c r="R209" s="2"/>
      <c r="S209" s="2"/>
      <c r="T209" s="2"/>
      <c r="U209" s="2"/>
      <c r="V209" s="2"/>
      <c r="W209" s="2"/>
      <c r="X209" s="2"/>
      <c r="Y209" s="2"/>
      <c r="Z209" s="2"/>
    </row>
    <row r="210" spans="1:26" ht="12.75" customHeight="1" x14ac:dyDescent="0.2">
      <c r="A210" s="266"/>
      <c r="B210" s="266"/>
      <c r="C210" s="266"/>
      <c r="D210" s="374"/>
      <c r="E210" s="374"/>
      <c r="F210" s="266"/>
      <c r="G210" s="266"/>
      <c r="H210" s="266"/>
      <c r="I210" s="266"/>
      <c r="J210" s="2"/>
      <c r="K210" s="2"/>
      <c r="L210" s="2"/>
      <c r="M210" s="2"/>
      <c r="N210" s="2"/>
      <c r="O210" s="2"/>
      <c r="P210" s="2"/>
      <c r="Q210" s="2"/>
      <c r="R210" s="2"/>
      <c r="S210" s="2"/>
      <c r="T210" s="2"/>
      <c r="U210" s="2"/>
      <c r="V210" s="2"/>
      <c r="W210" s="2"/>
      <c r="X210" s="2"/>
      <c r="Y210" s="2"/>
      <c r="Z210" s="2"/>
    </row>
    <row r="211" spans="1:26" ht="12.75" customHeight="1" x14ac:dyDescent="0.2">
      <c r="A211" s="266"/>
      <c r="B211" s="266"/>
      <c r="C211" s="266"/>
      <c r="D211" s="374"/>
      <c r="E211" s="374"/>
      <c r="F211" s="266"/>
      <c r="G211" s="266"/>
      <c r="H211" s="266"/>
      <c r="I211" s="266"/>
      <c r="J211" s="2"/>
      <c r="K211" s="2"/>
      <c r="L211" s="2"/>
      <c r="M211" s="2"/>
      <c r="N211" s="2"/>
      <c r="O211" s="2"/>
      <c r="P211" s="2"/>
      <c r="Q211" s="2"/>
      <c r="R211" s="2"/>
      <c r="S211" s="2"/>
      <c r="T211" s="2"/>
      <c r="U211" s="2"/>
      <c r="V211" s="2"/>
      <c r="W211" s="2"/>
      <c r="X211" s="2"/>
      <c r="Y211" s="2"/>
      <c r="Z211" s="2"/>
    </row>
    <row r="212" spans="1:26" ht="12.75" customHeight="1" x14ac:dyDescent="0.2">
      <c r="A212" s="266"/>
      <c r="B212" s="266"/>
      <c r="C212" s="266"/>
      <c r="D212" s="374"/>
      <c r="E212" s="374"/>
      <c r="F212" s="266"/>
      <c r="G212" s="266"/>
      <c r="H212" s="266"/>
      <c r="I212" s="266"/>
      <c r="J212" s="2"/>
      <c r="K212" s="2"/>
      <c r="L212" s="2"/>
      <c r="M212" s="2"/>
      <c r="N212" s="2"/>
      <c r="O212" s="2"/>
      <c r="P212" s="2"/>
      <c r="Q212" s="2"/>
      <c r="R212" s="2"/>
      <c r="S212" s="2"/>
      <c r="T212" s="2"/>
      <c r="U212" s="2"/>
      <c r="V212" s="2"/>
      <c r="W212" s="2"/>
      <c r="X212" s="2"/>
      <c r="Y212" s="2"/>
      <c r="Z212" s="2"/>
    </row>
    <row r="213" spans="1:26" ht="12.75" customHeight="1" x14ac:dyDescent="0.2">
      <c r="A213" s="266"/>
      <c r="B213" s="266"/>
      <c r="C213" s="266"/>
      <c r="D213" s="374"/>
      <c r="E213" s="374"/>
      <c r="F213" s="266"/>
      <c r="G213" s="266"/>
      <c r="H213" s="266"/>
      <c r="I213" s="266"/>
      <c r="J213" s="2"/>
      <c r="K213" s="2"/>
      <c r="L213" s="2"/>
      <c r="M213" s="2"/>
      <c r="N213" s="2"/>
      <c r="O213" s="2"/>
      <c r="P213" s="2"/>
      <c r="Q213" s="2"/>
      <c r="R213" s="2"/>
      <c r="S213" s="2"/>
      <c r="T213" s="2"/>
      <c r="U213" s="2"/>
      <c r="V213" s="2"/>
      <c r="W213" s="2"/>
      <c r="X213" s="2"/>
      <c r="Y213" s="2"/>
      <c r="Z213" s="2"/>
    </row>
    <row r="214" spans="1:26" ht="12.75" customHeight="1" x14ac:dyDescent="0.2">
      <c r="A214" s="266"/>
      <c r="B214" s="266"/>
      <c r="C214" s="266"/>
      <c r="D214" s="374"/>
      <c r="E214" s="374"/>
      <c r="F214" s="266"/>
      <c r="G214" s="266"/>
      <c r="H214" s="266"/>
      <c r="I214" s="266"/>
      <c r="J214" s="2"/>
      <c r="K214" s="2"/>
      <c r="L214" s="2"/>
      <c r="M214" s="2"/>
      <c r="N214" s="2"/>
      <c r="O214" s="2"/>
      <c r="P214" s="2"/>
      <c r="Q214" s="2"/>
      <c r="R214" s="2"/>
      <c r="S214" s="2"/>
      <c r="T214" s="2"/>
      <c r="U214" s="2"/>
      <c r="V214" s="2"/>
      <c r="W214" s="2"/>
      <c r="X214" s="2"/>
      <c r="Y214" s="2"/>
      <c r="Z214" s="2"/>
    </row>
    <row r="215" spans="1:26" ht="12.75" customHeight="1" x14ac:dyDescent="0.2">
      <c r="A215" s="266"/>
      <c r="B215" s="266"/>
      <c r="C215" s="266"/>
      <c r="D215" s="374"/>
      <c r="E215" s="374"/>
      <c r="F215" s="266"/>
      <c r="G215" s="266"/>
      <c r="H215" s="266"/>
      <c r="I215" s="266"/>
      <c r="J215" s="2"/>
      <c r="K215" s="2"/>
      <c r="L215" s="2"/>
      <c r="M215" s="2"/>
      <c r="N215" s="2"/>
      <c r="O215" s="2"/>
      <c r="P215" s="2"/>
      <c r="Q215" s="2"/>
      <c r="R215" s="2"/>
      <c r="S215" s="2"/>
      <c r="T215" s="2"/>
      <c r="U215" s="2"/>
      <c r="V215" s="2"/>
      <c r="W215" s="2"/>
      <c r="X215" s="2"/>
      <c r="Y215" s="2"/>
      <c r="Z215" s="2"/>
    </row>
    <row r="216" spans="1:26" ht="12.75" customHeight="1" x14ac:dyDescent="0.2">
      <c r="A216" s="266"/>
      <c r="B216" s="266"/>
      <c r="C216" s="266"/>
      <c r="D216" s="374"/>
      <c r="E216" s="374"/>
      <c r="F216" s="266"/>
      <c r="G216" s="266"/>
      <c r="H216" s="266"/>
      <c r="I216" s="266"/>
      <c r="J216" s="2"/>
      <c r="K216" s="2"/>
      <c r="L216" s="2"/>
      <c r="M216" s="2"/>
      <c r="N216" s="2"/>
      <c r="O216" s="2"/>
      <c r="P216" s="2"/>
      <c r="Q216" s="2"/>
      <c r="R216" s="2"/>
      <c r="S216" s="2"/>
      <c r="T216" s="2"/>
      <c r="U216" s="2"/>
      <c r="V216" s="2"/>
      <c r="W216" s="2"/>
      <c r="X216" s="2"/>
      <c r="Y216" s="2"/>
      <c r="Z216" s="2"/>
    </row>
    <row r="217" spans="1:26" ht="12.75" customHeight="1" x14ac:dyDescent="0.2">
      <c r="A217" s="266"/>
      <c r="B217" s="266"/>
      <c r="C217" s="266"/>
      <c r="D217" s="374"/>
      <c r="E217" s="374"/>
      <c r="F217" s="266"/>
      <c r="G217" s="266"/>
      <c r="H217" s="266"/>
      <c r="I217" s="266"/>
      <c r="J217" s="2"/>
      <c r="K217" s="2"/>
      <c r="L217" s="2"/>
      <c r="M217" s="2"/>
      <c r="N217" s="2"/>
      <c r="O217" s="2"/>
      <c r="P217" s="2"/>
      <c r="Q217" s="2"/>
      <c r="R217" s="2"/>
      <c r="S217" s="2"/>
      <c r="T217" s="2"/>
      <c r="U217" s="2"/>
      <c r="V217" s="2"/>
      <c r="W217" s="2"/>
      <c r="X217" s="2"/>
      <c r="Y217" s="2"/>
      <c r="Z217" s="2"/>
    </row>
    <row r="218" spans="1:26" ht="12.75" customHeight="1" x14ac:dyDescent="0.2">
      <c r="A218" s="266"/>
      <c r="B218" s="266"/>
      <c r="C218" s="266"/>
      <c r="D218" s="374"/>
      <c r="E218" s="374"/>
      <c r="F218" s="266"/>
      <c r="G218" s="266"/>
      <c r="H218" s="266"/>
      <c r="I218" s="266"/>
      <c r="J218" s="2"/>
      <c r="K218" s="2"/>
      <c r="L218" s="2"/>
      <c r="M218" s="2"/>
      <c r="N218" s="2"/>
      <c r="O218" s="2"/>
      <c r="P218" s="2"/>
      <c r="Q218" s="2"/>
      <c r="R218" s="2"/>
      <c r="S218" s="2"/>
      <c r="T218" s="2"/>
      <c r="U218" s="2"/>
      <c r="V218" s="2"/>
      <c r="W218" s="2"/>
      <c r="X218" s="2"/>
      <c r="Y218" s="2"/>
      <c r="Z218" s="2"/>
    </row>
    <row r="219" spans="1:26" ht="12.75" customHeight="1" x14ac:dyDescent="0.2">
      <c r="A219" s="266"/>
      <c r="B219" s="266"/>
      <c r="C219" s="266"/>
      <c r="D219" s="374"/>
      <c r="E219" s="374"/>
      <c r="F219" s="266"/>
      <c r="G219" s="266"/>
      <c r="H219" s="266"/>
      <c r="I219" s="266"/>
      <c r="J219" s="2"/>
      <c r="K219" s="2"/>
      <c r="L219" s="2"/>
      <c r="M219" s="2"/>
      <c r="N219" s="2"/>
      <c r="O219" s="2"/>
      <c r="P219" s="2"/>
      <c r="Q219" s="2"/>
      <c r="R219" s="2"/>
      <c r="S219" s="2"/>
      <c r="T219" s="2"/>
      <c r="U219" s="2"/>
      <c r="V219" s="2"/>
      <c r="W219" s="2"/>
      <c r="X219" s="2"/>
      <c r="Y219" s="2"/>
      <c r="Z219" s="2"/>
    </row>
    <row r="220" spans="1:26" ht="12.75" customHeight="1" x14ac:dyDescent="0.2">
      <c r="A220" s="266"/>
      <c r="B220" s="266"/>
      <c r="C220" s="266"/>
      <c r="D220" s="374"/>
      <c r="E220" s="374"/>
      <c r="F220" s="266"/>
      <c r="G220" s="266"/>
      <c r="H220" s="266"/>
      <c r="I220" s="266"/>
      <c r="J220" s="2"/>
      <c r="K220" s="2"/>
      <c r="L220" s="2"/>
      <c r="M220" s="2"/>
      <c r="N220" s="2"/>
      <c r="O220" s="2"/>
      <c r="P220" s="2"/>
      <c r="Q220" s="2"/>
      <c r="R220" s="2"/>
      <c r="S220" s="2"/>
      <c r="T220" s="2"/>
      <c r="U220" s="2"/>
      <c r="V220" s="2"/>
      <c r="W220" s="2"/>
      <c r="X220" s="2"/>
      <c r="Y220" s="2"/>
      <c r="Z220" s="2"/>
    </row>
    <row r="221" spans="1:26" ht="12.75" customHeight="1" x14ac:dyDescent="0.2">
      <c r="A221" s="266"/>
      <c r="B221" s="266"/>
      <c r="C221" s="266"/>
      <c r="D221" s="374"/>
      <c r="E221" s="374"/>
      <c r="F221" s="266"/>
      <c r="G221" s="266"/>
      <c r="H221" s="266"/>
      <c r="I221" s="266"/>
      <c r="J221" s="2"/>
      <c r="K221" s="2"/>
      <c r="L221" s="2"/>
      <c r="M221" s="2"/>
      <c r="N221" s="2"/>
      <c r="O221" s="2"/>
      <c r="P221" s="2"/>
      <c r="Q221" s="2"/>
      <c r="R221" s="2"/>
      <c r="S221" s="2"/>
      <c r="T221" s="2"/>
      <c r="U221" s="2"/>
      <c r="V221" s="2"/>
      <c r="W221" s="2"/>
      <c r="X221" s="2"/>
      <c r="Y221" s="2"/>
      <c r="Z221" s="2"/>
    </row>
    <row r="222" spans="1:26" ht="12.75" customHeight="1" x14ac:dyDescent="0.2">
      <c r="A222" s="266"/>
      <c r="B222" s="266"/>
      <c r="C222" s="266"/>
      <c r="D222" s="374"/>
      <c r="E222" s="374"/>
      <c r="F222" s="266"/>
      <c r="G222" s="266"/>
      <c r="H222" s="266"/>
      <c r="I222" s="266"/>
      <c r="J222" s="2"/>
      <c r="K222" s="2"/>
      <c r="L222" s="2"/>
      <c r="M222" s="2"/>
      <c r="N222" s="2"/>
      <c r="O222" s="2"/>
      <c r="P222" s="2"/>
      <c r="Q222" s="2"/>
      <c r="R222" s="2"/>
      <c r="S222" s="2"/>
      <c r="T222" s="2"/>
      <c r="U222" s="2"/>
      <c r="V222" s="2"/>
      <c r="W222" s="2"/>
      <c r="X222" s="2"/>
      <c r="Y222" s="2"/>
      <c r="Z222" s="2"/>
    </row>
    <row r="223" spans="1:26" ht="12.75" customHeight="1" x14ac:dyDescent="0.2">
      <c r="A223" s="266"/>
      <c r="B223" s="266"/>
      <c r="C223" s="266"/>
      <c r="D223" s="374"/>
      <c r="E223" s="374"/>
      <c r="F223" s="266"/>
      <c r="G223" s="266"/>
      <c r="H223" s="266"/>
      <c r="I223" s="266"/>
      <c r="J223" s="2"/>
      <c r="K223" s="2"/>
      <c r="L223" s="2"/>
      <c r="M223" s="2"/>
      <c r="N223" s="2"/>
      <c r="O223" s="2"/>
      <c r="P223" s="2"/>
      <c r="Q223" s="2"/>
      <c r="R223" s="2"/>
      <c r="S223" s="2"/>
      <c r="T223" s="2"/>
      <c r="U223" s="2"/>
      <c r="V223" s="2"/>
      <c r="W223" s="2"/>
      <c r="X223" s="2"/>
      <c r="Y223" s="2"/>
      <c r="Z223" s="2"/>
    </row>
    <row r="224" spans="1:26" ht="12.75" customHeight="1" x14ac:dyDescent="0.2">
      <c r="A224" s="266"/>
      <c r="B224" s="266"/>
      <c r="C224" s="266"/>
      <c r="D224" s="374"/>
      <c r="E224" s="374"/>
      <c r="F224" s="266"/>
      <c r="G224" s="266"/>
      <c r="H224" s="266"/>
      <c r="I224" s="266"/>
      <c r="J224" s="2"/>
      <c r="K224" s="2"/>
      <c r="L224" s="2"/>
      <c r="M224" s="2"/>
      <c r="N224" s="2"/>
      <c r="O224" s="2"/>
      <c r="P224" s="2"/>
      <c r="Q224" s="2"/>
      <c r="R224" s="2"/>
      <c r="S224" s="2"/>
      <c r="T224" s="2"/>
      <c r="U224" s="2"/>
      <c r="V224" s="2"/>
      <c r="W224" s="2"/>
      <c r="X224" s="2"/>
      <c r="Y224" s="2"/>
      <c r="Z224" s="2"/>
    </row>
    <row r="225" spans="1:26" ht="12.75" customHeight="1" x14ac:dyDescent="0.2">
      <c r="A225" s="266"/>
      <c r="B225" s="266"/>
      <c r="C225" s="266"/>
      <c r="D225" s="374"/>
      <c r="E225" s="374"/>
      <c r="F225" s="266"/>
      <c r="G225" s="266"/>
      <c r="H225" s="266"/>
      <c r="I225" s="266"/>
      <c r="J225" s="2"/>
      <c r="K225" s="2"/>
      <c r="L225" s="2"/>
      <c r="M225" s="2"/>
      <c r="N225" s="2"/>
      <c r="O225" s="2"/>
      <c r="P225" s="2"/>
      <c r="Q225" s="2"/>
      <c r="R225" s="2"/>
      <c r="S225" s="2"/>
      <c r="T225" s="2"/>
      <c r="U225" s="2"/>
      <c r="V225" s="2"/>
      <c r="W225" s="2"/>
      <c r="X225" s="2"/>
      <c r="Y225" s="2"/>
      <c r="Z225" s="2"/>
    </row>
    <row r="226" spans="1:26" ht="12.75" customHeight="1" x14ac:dyDescent="0.2">
      <c r="A226" s="266"/>
      <c r="B226" s="266"/>
      <c r="C226" s="266"/>
      <c r="D226" s="374"/>
      <c r="E226" s="374"/>
      <c r="F226" s="266"/>
      <c r="G226" s="266"/>
      <c r="H226" s="266"/>
      <c r="I226" s="266"/>
      <c r="J226" s="2"/>
      <c r="K226" s="2"/>
      <c r="L226" s="2"/>
      <c r="M226" s="2"/>
      <c r="N226" s="2"/>
      <c r="O226" s="2"/>
      <c r="P226" s="2"/>
      <c r="Q226" s="2"/>
      <c r="R226" s="2"/>
      <c r="S226" s="2"/>
      <c r="T226" s="2"/>
      <c r="U226" s="2"/>
      <c r="V226" s="2"/>
      <c r="W226" s="2"/>
      <c r="X226" s="2"/>
      <c r="Y226" s="2"/>
      <c r="Z226" s="2"/>
    </row>
    <row r="227" spans="1:26" ht="12.75" customHeight="1" x14ac:dyDescent="0.2">
      <c r="A227" s="266"/>
      <c r="B227" s="266"/>
      <c r="C227" s="266"/>
      <c r="D227" s="374"/>
      <c r="E227" s="374"/>
      <c r="F227" s="266"/>
      <c r="G227" s="266"/>
      <c r="H227" s="266"/>
      <c r="I227" s="266"/>
      <c r="J227" s="2"/>
      <c r="K227" s="2"/>
      <c r="L227" s="2"/>
      <c r="M227" s="2"/>
      <c r="N227" s="2"/>
      <c r="O227" s="2"/>
      <c r="P227" s="2"/>
      <c r="Q227" s="2"/>
      <c r="R227" s="2"/>
      <c r="S227" s="2"/>
      <c r="T227" s="2"/>
      <c r="U227" s="2"/>
      <c r="V227" s="2"/>
      <c r="W227" s="2"/>
      <c r="X227" s="2"/>
      <c r="Y227" s="2"/>
      <c r="Z227" s="2"/>
    </row>
    <row r="228" spans="1:26" ht="12.75" customHeight="1" x14ac:dyDescent="0.2">
      <c r="A228" s="266"/>
      <c r="B228" s="266"/>
      <c r="C228" s="266"/>
      <c r="D228" s="374"/>
      <c r="E228" s="374"/>
      <c r="F228" s="266"/>
      <c r="G228" s="266"/>
      <c r="H228" s="266"/>
      <c r="I228" s="266"/>
      <c r="J228" s="2"/>
      <c r="K228" s="2"/>
      <c r="L228" s="2"/>
      <c r="M228" s="2"/>
      <c r="N228" s="2"/>
      <c r="O228" s="2"/>
      <c r="P228" s="2"/>
      <c r="Q228" s="2"/>
      <c r="R228" s="2"/>
      <c r="S228" s="2"/>
      <c r="T228" s="2"/>
      <c r="U228" s="2"/>
      <c r="V228" s="2"/>
      <c r="W228" s="2"/>
      <c r="X228" s="2"/>
      <c r="Y228" s="2"/>
      <c r="Z228" s="2"/>
    </row>
    <row r="229" spans="1:26" ht="12.75" customHeight="1" x14ac:dyDescent="0.2">
      <c r="A229" s="266"/>
      <c r="B229" s="266"/>
      <c r="C229" s="266"/>
      <c r="D229" s="374"/>
      <c r="E229" s="374"/>
      <c r="F229" s="266"/>
      <c r="G229" s="266"/>
      <c r="H229" s="266"/>
      <c r="I229" s="266"/>
      <c r="J229" s="2"/>
      <c r="K229" s="2"/>
      <c r="L229" s="2"/>
      <c r="M229" s="2"/>
      <c r="N229" s="2"/>
      <c r="O229" s="2"/>
      <c r="P229" s="2"/>
      <c r="Q229" s="2"/>
      <c r="R229" s="2"/>
      <c r="S229" s="2"/>
      <c r="T229" s="2"/>
      <c r="U229" s="2"/>
      <c r="V229" s="2"/>
      <c r="W229" s="2"/>
      <c r="X229" s="2"/>
      <c r="Y229" s="2"/>
      <c r="Z229" s="2"/>
    </row>
    <row r="230" spans="1:26" ht="12.75" customHeight="1" x14ac:dyDescent="0.2">
      <c r="A230" s="266"/>
      <c r="B230" s="266"/>
      <c r="C230" s="266"/>
      <c r="D230" s="374"/>
      <c r="E230" s="374"/>
      <c r="F230" s="266"/>
      <c r="G230" s="266"/>
      <c r="H230" s="266"/>
      <c r="I230" s="266"/>
      <c r="J230" s="2"/>
      <c r="K230" s="2"/>
      <c r="L230" s="2"/>
      <c r="M230" s="2"/>
      <c r="N230" s="2"/>
      <c r="O230" s="2"/>
      <c r="P230" s="2"/>
      <c r="Q230" s="2"/>
      <c r="R230" s="2"/>
      <c r="S230" s="2"/>
      <c r="T230" s="2"/>
      <c r="U230" s="2"/>
      <c r="V230" s="2"/>
      <c r="W230" s="2"/>
      <c r="X230" s="2"/>
      <c r="Y230" s="2"/>
      <c r="Z230" s="2"/>
    </row>
    <row r="231" spans="1:26" ht="12.75" customHeight="1" x14ac:dyDescent="0.2">
      <c r="A231" s="266"/>
      <c r="B231" s="266"/>
      <c r="C231" s="266"/>
      <c r="D231" s="374"/>
      <c r="E231" s="374"/>
      <c r="F231" s="266"/>
      <c r="G231" s="266"/>
      <c r="H231" s="266"/>
      <c r="I231" s="266"/>
      <c r="J231" s="2"/>
      <c r="K231" s="2"/>
      <c r="L231" s="2"/>
      <c r="M231" s="2"/>
      <c r="N231" s="2"/>
      <c r="O231" s="2"/>
      <c r="P231" s="2"/>
      <c r="Q231" s="2"/>
      <c r="R231" s="2"/>
      <c r="S231" s="2"/>
      <c r="T231" s="2"/>
      <c r="U231" s="2"/>
      <c r="V231" s="2"/>
      <c r="W231" s="2"/>
      <c r="X231" s="2"/>
      <c r="Y231" s="2"/>
      <c r="Z231" s="2"/>
    </row>
    <row r="232" spans="1:26" ht="12.75" customHeight="1" x14ac:dyDescent="0.2">
      <c r="A232" s="266"/>
      <c r="B232" s="266"/>
      <c r="C232" s="266"/>
      <c r="D232" s="374"/>
      <c r="E232" s="374"/>
      <c r="F232" s="266"/>
      <c r="G232" s="266"/>
      <c r="H232" s="266"/>
      <c r="I232" s="266"/>
      <c r="J232" s="2"/>
      <c r="K232" s="2"/>
      <c r="L232" s="2"/>
      <c r="M232" s="2"/>
      <c r="N232" s="2"/>
      <c r="O232" s="2"/>
      <c r="P232" s="2"/>
      <c r="Q232" s="2"/>
      <c r="R232" s="2"/>
      <c r="S232" s="2"/>
      <c r="T232" s="2"/>
      <c r="U232" s="2"/>
      <c r="V232" s="2"/>
      <c r="W232" s="2"/>
      <c r="X232" s="2"/>
      <c r="Y232" s="2"/>
      <c r="Z232" s="2"/>
    </row>
    <row r="233" spans="1:26" ht="12.75" customHeight="1" x14ac:dyDescent="0.2">
      <c r="A233" s="266"/>
      <c r="B233" s="266"/>
      <c r="C233" s="266"/>
      <c r="D233" s="374"/>
      <c r="E233" s="374"/>
      <c r="F233" s="266"/>
      <c r="G233" s="266"/>
      <c r="H233" s="266"/>
      <c r="I233" s="266"/>
      <c r="J233" s="2"/>
      <c r="K233" s="2"/>
      <c r="L233" s="2"/>
      <c r="M233" s="2"/>
      <c r="N233" s="2"/>
      <c r="O233" s="2"/>
      <c r="P233" s="2"/>
      <c r="Q233" s="2"/>
      <c r="R233" s="2"/>
      <c r="S233" s="2"/>
      <c r="T233" s="2"/>
      <c r="U233" s="2"/>
      <c r="V233" s="2"/>
      <c r="W233" s="2"/>
      <c r="X233" s="2"/>
      <c r="Y233" s="2"/>
      <c r="Z233" s="2"/>
    </row>
    <row r="234" spans="1:26" ht="12.75" customHeight="1" x14ac:dyDescent="0.2">
      <c r="A234" s="266"/>
      <c r="B234" s="266"/>
      <c r="C234" s="266"/>
      <c r="D234" s="374"/>
      <c r="E234" s="374"/>
      <c r="F234" s="266"/>
      <c r="G234" s="266"/>
      <c r="H234" s="266"/>
      <c r="I234" s="266"/>
      <c r="J234" s="2"/>
      <c r="K234" s="2"/>
      <c r="L234" s="2"/>
      <c r="M234" s="2"/>
      <c r="N234" s="2"/>
      <c r="O234" s="2"/>
      <c r="P234" s="2"/>
      <c r="Q234" s="2"/>
      <c r="R234" s="2"/>
      <c r="S234" s="2"/>
      <c r="T234" s="2"/>
      <c r="U234" s="2"/>
      <c r="V234" s="2"/>
      <c r="W234" s="2"/>
      <c r="X234" s="2"/>
      <c r="Y234" s="2"/>
      <c r="Z234" s="2"/>
    </row>
    <row r="235" spans="1:26" ht="12.75" customHeight="1" x14ac:dyDescent="0.2">
      <c r="A235" s="266"/>
      <c r="B235" s="266"/>
      <c r="C235" s="266"/>
      <c r="D235" s="374"/>
      <c r="E235" s="374"/>
      <c r="F235" s="266"/>
      <c r="G235" s="266"/>
      <c r="H235" s="266"/>
      <c r="I235" s="266"/>
      <c r="J235" s="2"/>
      <c r="K235" s="2"/>
      <c r="L235" s="2"/>
      <c r="M235" s="2"/>
      <c r="N235" s="2"/>
      <c r="O235" s="2"/>
      <c r="P235" s="2"/>
      <c r="Q235" s="2"/>
      <c r="R235" s="2"/>
      <c r="S235" s="2"/>
      <c r="T235" s="2"/>
      <c r="U235" s="2"/>
      <c r="V235" s="2"/>
      <c r="W235" s="2"/>
      <c r="X235" s="2"/>
      <c r="Y235" s="2"/>
      <c r="Z235" s="2"/>
    </row>
    <row r="236" spans="1:26" ht="12.75" customHeight="1" x14ac:dyDescent="0.2">
      <c r="A236" s="266"/>
      <c r="B236" s="266"/>
      <c r="C236" s="266"/>
      <c r="D236" s="374"/>
      <c r="E236" s="374"/>
      <c r="F236" s="266"/>
      <c r="G236" s="266"/>
      <c r="H236" s="266"/>
      <c r="I236" s="266"/>
      <c r="J236" s="2"/>
      <c r="K236" s="2"/>
      <c r="L236" s="2"/>
      <c r="M236" s="2"/>
      <c r="N236" s="2"/>
      <c r="O236" s="2"/>
      <c r="P236" s="2"/>
      <c r="Q236" s="2"/>
      <c r="R236" s="2"/>
      <c r="S236" s="2"/>
      <c r="T236" s="2"/>
      <c r="U236" s="2"/>
      <c r="V236" s="2"/>
      <c r="W236" s="2"/>
      <c r="X236" s="2"/>
      <c r="Y236" s="2"/>
      <c r="Z236" s="2"/>
    </row>
    <row r="237" spans="1:26" ht="12.75" customHeight="1" x14ac:dyDescent="0.2">
      <c r="A237" s="266"/>
      <c r="B237" s="266"/>
      <c r="C237" s="266"/>
      <c r="D237" s="374"/>
      <c r="E237" s="374"/>
      <c r="F237" s="266"/>
      <c r="G237" s="266"/>
      <c r="H237" s="266"/>
      <c r="I237" s="266"/>
      <c r="J237" s="2"/>
      <c r="K237" s="2"/>
      <c r="L237" s="2"/>
      <c r="M237" s="2"/>
      <c r="N237" s="2"/>
      <c r="O237" s="2"/>
      <c r="P237" s="2"/>
      <c r="Q237" s="2"/>
      <c r="R237" s="2"/>
      <c r="S237" s="2"/>
      <c r="T237" s="2"/>
      <c r="U237" s="2"/>
      <c r="V237" s="2"/>
      <c r="W237" s="2"/>
      <c r="X237" s="2"/>
      <c r="Y237" s="2"/>
      <c r="Z237" s="2"/>
    </row>
    <row r="238" spans="1:26" ht="12.75" customHeight="1" x14ac:dyDescent="0.2">
      <c r="A238" s="266"/>
      <c r="B238" s="266"/>
      <c r="C238" s="266"/>
      <c r="D238" s="374"/>
      <c r="E238" s="374"/>
      <c r="F238" s="266"/>
      <c r="G238" s="266"/>
      <c r="H238" s="266"/>
      <c r="I238" s="266"/>
      <c r="J238" s="2"/>
      <c r="K238" s="2"/>
      <c r="L238" s="2"/>
      <c r="M238" s="2"/>
      <c r="N238" s="2"/>
      <c r="O238" s="2"/>
      <c r="P238" s="2"/>
      <c r="Q238" s="2"/>
      <c r="R238" s="2"/>
      <c r="S238" s="2"/>
      <c r="T238" s="2"/>
      <c r="U238" s="2"/>
      <c r="V238" s="2"/>
      <c r="W238" s="2"/>
      <c r="X238" s="2"/>
      <c r="Y238" s="2"/>
      <c r="Z238" s="2"/>
    </row>
    <row r="239" spans="1:26" ht="12.75" customHeight="1" x14ac:dyDescent="0.2">
      <c r="A239" s="266"/>
      <c r="B239" s="266"/>
      <c r="C239" s="266"/>
      <c r="D239" s="374"/>
      <c r="E239" s="374"/>
      <c r="F239" s="266"/>
      <c r="G239" s="266"/>
      <c r="H239" s="266"/>
      <c r="I239" s="266"/>
      <c r="J239" s="2"/>
      <c r="K239" s="2"/>
      <c r="L239" s="2"/>
      <c r="M239" s="2"/>
      <c r="N239" s="2"/>
      <c r="O239" s="2"/>
      <c r="P239" s="2"/>
      <c r="Q239" s="2"/>
      <c r="R239" s="2"/>
      <c r="S239" s="2"/>
      <c r="T239" s="2"/>
      <c r="U239" s="2"/>
      <c r="V239" s="2"/>
      <c r="W239" s="2"/>
      <c r="X239" s="2"/>
      <c r="Y239" s="2"/>
      <c r="Z239" s="2"/>
    </row>
    <row r="240" spans="1:26" ht="12.75" customHeight="1" x14ac:dyDescent="0.2">
      <c r="A240" s="266"/>
      <c r="B240" s="266"/>
      <c r="C240" s="266"/>
      <c r="D240" s="374"/>
      <c r="E240" s="374"/>
      <c r="F240" s="266"/>
      <c r="G240" s="266"/>
      <c r="H240" s="266"/>
      <c r="I240" s="266"/>
      <c r="J240" s="2"/>
      <c r="K240" s="2"/>
      <c r="L240" s="2"/>
      <c r="M240" s="2"/>
      <c r="N240" s="2"/>
      <c r="O240" s="2"/>
      <c r="P240" s="2"/>
      <c r="Q240" s="2"/>
      <c r="R240" s="2"/>
      <c r="S240" s="2"/>
      <c r="T240" s="2"/>
      <c r="U240" s="2"/>
      <c r="V240" s="2"/>
      <c r="W240" s="2"/>
      <c r="X240" s="2"/>
      <c r="Y240" s="2"/>
      <c r="Z240" s="2"/>
    </row>
    <row r="241" spans="1:26" ht="12.75" customHeight="1" x14ac:dyDescent="0.2">
      <c r="A241" s="266"/>
      <c r="B241" s="266"/>
      <c r="C241" s="266"/>
      <c r="D241" s="374"/>
      <c r="E241" s="374"/>
      <c r="F241" s="266"/>
      <c r="G241" s="266"/>
      <c r="H241" s="266"/>
      <c r="I241" s="266"/>
      <c r="J241" s="2"/>
      <c r="K241" s="2"/>
      <c r="L241" s="2"/>
      <c r="M241" s="2"/>
      <c r="N241" s="2"/>
      <c r="O241" s="2"/>
      <c r="P241" s="2"/>
      <c r="Q241" s="2"/>
      <c r="R241" s="2"/>
      <c r="S241" s="2"/>
      <c r="T241" s="2"/>
      <c r="U241" s="2"/>
      <c r="V241" s="2"/>
      <c r="W241" s="2"/>
      <c r="X241" s="2"/>
      <c r="Y241" s="2"/>
      <c r="Z241" s="2"/>
    </row>
    <row r="242" spans="1:26" ht="12.75" customHeight="1" x14ac:dyDescent="0.2">
      <c r="A242" s="266"/>
      <c r="B242" s="266"/>
      <c r="C242" s="266"/>
      <c r="D242" s="374"/>
      <c r="E242" s="374"/>
      <c r="F242" s="266"/>
      <c r="G242" s="266"/>
      <c r="H242" s="266"/>
      <c r="I242" s="266"/>
      <c r="J242" s="2"/>
      <c r="K242" s="2"/>
      <c r="L242" s="2"/>
      <c r="M242" s="2"/>
      <c r="N242" s="2"/>
      <c r="O242" s="2"/>
      <c r="P242" s="2"/>
      <c r="Q242" s="2"/>
      <c r="R242" s="2"/>
      <c r="S242" s="2"/>
      <c r="T242" s="2"/>
      <c r="U242" s="2"/>
      <c r="V242" s="2"/>
      <c r="W242" s="2"/>
      <c r="X242" s="2"/>
      <c r="Y242" s="2"/>
      <c r="Z242" s="2"/>
    </row>
    <row r="243" spans="1:26" ht="12.75" customHeight="1" x14ac:dyDescent="0.2">
      <c r="A243" s="266"/>
      <c r="B243" s="266"/>
      <c r="C243" s="266"/>
      <c r="D243" s="374"/>
      <c r="E243" s="374"/>
      <c r="F243" s="266"/>
      <c r="G243" s="266"/>
      <c r="H243" s="266"/>
      <c r="I243" s="266"/>
      <c r="J243" s="2"/>
      <c r="K243" s="2"/>
      <c r="L243" s="2"/>
      <c r="M243" s="2"/>
      <c r="N243" s="2"/>
      <c r="O243" s="2"/>
      <c r="P243" s="2"/>
      <c r="Q243" s="2"/>
      <c r="R243" s="2"/>
      <c r="S243" s="2"/>
      <c r="T243" s="2"/>
      <c r="U243" s="2"/>
      <c r="V243" s="2"/>
      <c r="W243" s="2"/>
      <c r="X243" s="2"/>
      <c r="Y243" s="2"/>
      <c r="Z243" s="2"/>
    </row>
    <row r="244" spans="1:26" ht="12.75" customHeight="1" x14ac:dyDescent="0.2">
      <c r="A244" s="266"/>
      <c r="B244" s="266"/>
      <c r="C244" s="266"/>
      <c r="D244" s="374"/>
      <c r="E244" s="374"/>
      <c r="F244" s="266"/>
      <c r="G244" s="266"/>
      <c r="H244" s="266"/>
      <c r="I244" s="266"/>
      <c r="J244" s="2"/>
      <c r="K244" s="2"/>
      <c r="L244" s="2"/>
      <c r="M244" s="2"/>
      <c r="N244" s="2"/>
      <c r="O244" s="2"/>
      <c r="P244" s="2"/>
      <c r="Q244" s="2"/>
      <c r="R244" s="2"/>
      <c r="S244" s="2"/>
      <c r="T244" s="2"/>
      <c r="U244" s="2"/>
      <c r="V244" s="2"/>
      <c r="W244" s="2"/>
      <c r="X244" s="2"/>
      <c r="Y244" s="2"/>
      <c r="Z244" s="2"/>
    </row>
    <row r="245" spans="1:26" ht="12.75" customHeight="1" x14ac:dyDescent="0.2">
      <c r="A245" s="266"/>
      <c r="B245" s="266"/>
      <c r="C245" s="266"/>
      <c r="D245" s="374"/>
      <c r="E245" s="374"/>
      <c r="F245" s="266"/>
      <c r="G245" s="266"/>
      <c r="H245" s="266"/>
      <c r="I245" s="266"/>
      <c r="J245" s="2"/>
      <c r="K245" s="2"/>
      <c r="L245" s="2"/>
      <c r="M245" s="2"/>
      <c r="N245" s="2"/>
      <c r="O245" s="2"/>
      <c r="P245" s="2"/>
      <c r="Q245" s="2"/>
      <c r="R245" s="2"/>
      <c r="S245" s="2"/>
      <c r="T245" s="2"/>
      <c r="U245" s="2"/>
      <c r="V245" s="2"/>
      <c r="W245" s="2"/>
      <c r="X245" s="2"/>
      <c r="Y245" s="2"/>
      <c r="Z245" s="2"/>
    </row>
    <row r="246" spans="1:26" ht="12.75" customHeight="1" x14ac:dyDescent="0.2">
      <c r="A246" s="266"/>
      <c r="B246" s="266"/>
      <c r="C246" s="266"/>
      <c r="D246" s="374"/>
      <c r="E246" s="374"/>
      <c r="F246" s="266"/>
      <c r="G246" s="266"/>
      <c r="H246" s="266"/>
      <c r="I246" s="266"/>
      <c r="J246" s="2"/>
      <c r="K246" s="2"/>
      <c r="L246" s="2"/>
      <c r="M246" s="2"/>
      <c r="N246" s="2"/>
      <c r="O246" s="2"/>
      <c r="P246" s="2"/>
      <c r="Q246" s="2"/>
      <c r="R246" s="2"/>
      <c r="S246" s="2"/>
      <c r="T246" s="2"/>
      <c r="U246" s="2"/>
      <c r="V246" s="2"/>
      <c r="W246" s="2"/>
      <c r="X246" s="2"/>
      <c r="Y246" s="2"/>
      <c r="Z246" s="2"/>
    </row>
    <row r="247" spans="1:26" ht="12.75" customHeight="1" x14ac:dyDescent="0.2">
      <c r="A247" s="266"/>
      <c r="B247" s="266"/>
      <c r="C247" s="266"/>
      <c r="D247" s="374"/>
      <c r="E247" s="374"/>
      <c r="F247" s="266"/>
      <c r="G247" s="266"/>
      <c r="H247" s="266"/>
      <c r="I247" s="266"/>
      <c r="J247" s="2"/>
      <c r="K247" s="2"/>
      <c r="L247" s="2"/>
      <c r="M247" s="2"/>
      <c r="N247" s="2"/>
      <c r="O247" s="2"/>
      <c r="P247" s="2"/>
      <c r="Q247" s="2"/>
      <c r="R247" s="2"/>
      <c r="S247" s="2"/>
      <c r="T247" s="2"/>
      <c r="U247" s="2"/>
      <c r="V247" s="2"/>
      <c r="W247" s="2"/>
      <c r="X247" s="2"/>
      <c r="Y247" s="2"/>
      <c r="Z247" s="2"/>
    </row>
    <row r="248" spans="1:26" ht="12.75" customHeight="1" x14ac:dyDescent="0.2">
      <c r="A248" s="266"/>
      <c r="B248" s="266"/>
      <c r="C248" s="266"/>
      <c r="D248" s="374"/>
      <c r="E248" s="374"/>
      <c r="F248" s="266"/>
      <c r="G248" s="266"/>
      <c r="H248" s="266"/>
      <c r="I248" s="266"/>
      <c r="J248" s="2"/>
      <c r="K248" s="2"/>
      <c r="L248" s="2"/>
      <c r="M248" s="2"/>
      <c r="N248" s="2"/>
      <c r="O248" s="2"/>
      <c r="P248" s="2"/>
      <c r="Q248" s="2"/>
      <c r="R248" s="2"/>
      <c r="S248" s="2"/>
      <c r="T248" s="2"/>
      <c r="U248" s="2"/>
      <c r="V248" s="2"/>
      <c r="W248" s="2"/>
      <c r="X248" s="2"/>
      <c r="Y248" s="2"/>
      <c r="Z248" s="2"/>
    </row>
    <row r="249" spans="1:26" ht="12.75" customHeight="1" x14ac:dyDescent="0.2">
      <c r="A249" s="266"/>
      <c r="B249" s="266"/>
      <c r="C249" s="266"/>
      <c r="D249" s="374"/>
      <c r="E249" s="374"/>
      <c r="F249" s="266"/>
      <c r="G249" s="266"/>
      <c r="H249" s="266"/>
      <c r="I249" s="266"/>
      <c r="J249" s="2"/>
      <c r="K249" s="2"/>
      <c r="L249" s="2"/>
      <c r="M249" s="2"/>
      <c r="N249" s="2"/>
      <c r="O249" s="2"/>
      <c r="P249" s="2"/>
      <c r="Q249" s="2"/>
      <c r="R249" s="2"/>
      <c r="S249" s="2"/>
      <c r="T249" s="2"/>
      <c r="U249" s="2"/>
      <c r="V249" s="2"/>
      <c r="W249" s="2"/>
      <c r="X249" s="2"/>
      <c r="Y249" s="2"/>
      <c r="Z249" s="2"/>
    </row>
    <row r="250" spans="1:26" ht="12.75" customHeight="1" x14ac:dyDescent="0.2">
      <c r="A250" s="266"/>
      <c r="B250" s="266"/>
      <c r="C250" s="266"/>
      <c r="D250" s="374"/>
      <c r="E250" s="374"/>
      <c r="F250" s="266"/>
      <c r="G250" s="266"/>
      <c r="H250" s="266"/>
      <c r="I250" s="266"/>
      <c r="J250" s="2"/>
      <c r="K250" s="2"/>
      <c r="L250" s="2"/>
      <c r="M250" s="2"/>
      <c r="N250" s="2"/>
      <c r="O250" s="2"/>
      <c r="P250" s="2"/>
      <c r="Q250" s="2"/>
      <c r="R250" s="2"/>
      <c r="S250" s="2"/>
      <c r="T250" s="2"/>
      <c r="U250" s="2"/>
      <c r="V250" s="2"/>
      <c r="W250" s="2"/>
      <c r="X250" s="2"/>
      <c r="Y250" s="2"/>
      <c r="Z250" s="2"/>
    </row>
    <row r="251" spans="1:26" ht="12.75" customHeight="1" x14ac:dyDescent="0.2">
      <c r="A251" s="266"/>
      <c r="B251" s="266"/>
      <c r="C251" s="266"/>
      <c r="D251" s="374"/>
      <c r="E251" s="374"/>
      <c r="F251" s="266"/>
      <c r="G251" s="266"/>
      <c r="H251" s="266"/>
      <c r="I251" s="266"/>
      <c r="J251" s="2"/>
      <c r="K251" s="2"/>
      <c r="L251" s="2"/>
      <c r="M251" s="2"/>
      <c r="N251" s="2"/>
      <c r="O251" s="2"/>
      <c r="P251" s="2"/>
      <c r="Q251" s="2"/>
      <c r="R251" s="2"/>
      <c r="S251" s="2"/>
      <c r="T251" s="2"/>
      <c r="U251" s="2"/>
      <c r="V251" s="2"/>
      <c r="W251" s="2"/>
      <c r="X251" s="2"/>
      <c r="Y251" s="2"/>
      <c r="Z251" s="2"/>
    </row>
    <row r="252" spans="1:26" ht="12.75" customHeight="1" x14ac:dyDescent="0.2">
      <c r="A252" s="266"/>
      <c r="B252" s="266"/>
      <c r="C252" s="266"/>
      <c r="D252" s="374"/>
      <c r="E252" s="374"/>
      <c r="F252" s="266"/>
      <c r="G252" s="266"/>
      <c r="H252" s="266"/>
      <c r="I252" s="266"/>
      <c r="J252" s="2"/>
      <c r="K252" s="2"/>
      <c r="L252" s="2"/>
      <c r="M252" s="2"/>
      <c r="N252" s="2"/>
      <c r="O252" s="2"/>
      <c r="P252" s="2"/>
      <c r="Q252" s="2"/>
      <c r="R252" s="2"/>
      <c r="S252" s="2"/>
      <c r="T252" s="2"/>
      <c r="U252" s="2"/>
      <c r="V252" s="2"/>
      <c r="W252" s="2"/>
      <c r="X252" s="2"/>
      <c r="Y252" s="2"/>
      <c r="Z252" s="2"/>
    </row>
    <row r="253" spans="1:26" ht="12.75" customHeight="1" x14ac:dyDescent="0.2">
      <c r="A253" s="266"/>
      <c r="B253" s="266"/>
      <c r="C253" s="266"/>
      <c r="D253" s="374"/>
      <c r="E253" s="374"/>
      <c r="F253" s="266"/>
      <c r="G253" s="266"/>
      <c r="H253" s="266"/>
      <c r="I253" s="266"/>
      <c r="J253" s="2"/>
      <c r="K253" s="2"/>
      <c r="L253" s="2"/>
      <c r="M253" s="2"/>
      <c r="N253" s="2"/>
      <c r="O253" s="2"/>
      <c r="P253" s="2"/>
      <c r="Q253" s="2"/>
      <c r="R253" s="2"/>
      <c r="S253" s="2"/>
      <c r="T253" s="2"/>
      <c r="U253" s="2"/>
      <c r="V253" s="2"/>
      <c r="W253" s="2"/>
      <c r="X253" s="2"/>
      <c r="Y253" s="2"/>
      <c r="Z253" s="2"/>
    </row>
    <row r="254" spans="1:26" ht="12.75" customHeight="1" x14ac:dyDescent="0.2">
      <c r="A254" s="266"/>
      <c r="B254" s="266"/>
      <c r="C254" s="266"/>
      <c r="D254" s="374"/>
      <c r="E254" s="374"/>
      <c r="F254" s="266"/>
      <c r="G254" s="266"/>
      <c r="H254" s="266"/>
      <c r="I254" s="266"/>
      <c r="J254" s="2"/>
      <c r="K254" s="2"/>
      <c r="L254" s="2"/>
      <c r="M254" s="2"/>
      <c r="N254" s="2"/>
      <c r="O254" s="2"/>
      <c r="P254" s="2"/>
      <c r="Q254" s="2"/>
      <c r="R254" s="2"/>
      <c r="S254" s="2"/>
      <c r="T254" s="2"/>
      <c r="U254" s="2"/>
      <c r="V254" s="2"/>
      <c r="W254" s="2"/>
      <c r="X254" s="2"/>
      <c r="Y254" s="2"/>
      <c r="Z254" s="2"/>
    </row>
    <row r="255" spans="1:26" ht="12.75" customHeight="1" x14ac:dyDescent="0.2">
      <c r="A255" s="266"/>
      <c r="B255" s="266"/>
      <c r="C255" s="266"/>
      <c r="D255" s="374"/>
      <c r="E255" s="374"/>
      <c r="F255" s="266"/>
      <c r="G255" s="266"/>
      <c r="H255" s="266"/>
      <c r="I255" s="266"/>
      <c r="J255" s="2"/>
      <c r="K255" s="2"/>
      <c r="L255" s="2"/>
      <c r="M255" s="2"/>
      <c r="N255" s="2"/>
      <c r="O255" s="2"/>
      <c r="P255" s="2"/>
      <c r="Q255" s="2"/>
      <c r="R255" s="2"/>
      <c r="S255" s="2"/>
      <c r="T255" s="2"/>
      <c r="U255" s="2"/>
      <c r="V255" s="2"/>
      <c r="W255" s="2"/>
      <c r="X255" s="2"/>
      <c r="Y255" s="2"/>
      <c r="Z255" s="2"/>
    </row>
    <row r="256" spans="1:26" ht="12.75" customHeight="1" x14ac:dyDescent="0.2">
      <c r="A256" s="266"/>
      <c r="B256" s="266"/>
      <c r="C256" s="266"/>
      <c r="D256" s="374"/>
      <c r="E256" s="374"/>
      <c r="F256" s="266"/>
      <c r="G256" s="266"/>
      <c r="H256" s="266"/>
      <c r="I256" s="266"/>
      <c r="J256" s="2"/>
      <c r="K256" s="2"/>
      <c r="L256" s="2"/>
      <c r="M256" s="2"/>
      <c r="N256" s="2"/>
      <c r="O256" s="2"/>
      <c r="P256" s="2"/>
      <c r="Q256" s="2"/>
      <c r="R256" s="2"/>
      <c r="S256" s="2"/>
      <c r="T256" s="2"/>
      <c r="U256" s="2"/>
      <c r="V256" s="2"/>
      <c r="W256" s="2"/>
      <c r="X256" s="2"/>
      <c r="Y256" s="2"/>
      <c r="Z256" s="2"/>
    </row>
    <row r="257" spans="1:26" ht="12.75" customHeight="1" x14ac:dyDescent="0.2">
      <c r="A257" s="266"/>
      <c r="B257" s="266"/>
      <c r="C257" s="266"/>
      <c r="D257" s="374"/>
      <c r="E257" s="374"/>
      <c r="F257" s="266"/>
      <c r="G257" s="266"/>
      <c r="H257" s="266"/>
      <c r="I257" s="266"/>
      <c r="J257" s="2"/>
      <c r="K257" s="2"/>
      <c r="L257" s="2"/>
      <c r="M257" s="2"/>
      <c r="N257" s="2"/>
      <c r="O257" s="2"/>
      <c r="P257" s="2"/>
      <c r="Q257" s="2"/>
      <c r="R257" s="2"/>
      <c r="S257" s="2"/>
      <c r="T257" s="2"/>
      <c r="U257" s="2"/>
      <c r="V257" s="2"/>
      <c r="W257" s="2"/>
      <c r="X257" s="2"/>
      <c r="Y257" s="2"/>
      <c r="Z257" s="2"/>
    </row>
    <row r="258" spans="1:26" ht="12.75" customHeight="1" x14ac:dyDescent="0.2">
      <c r="A258" s="266"/>
      <c r="B258" s="266"/>
      <c r="C258" s="266"/>
      <c r="D258" s="374"/>
      <c r="E258" s="374"/>
      <c r="F258" s="266"/>
      <c r="G258" s="266"/>
      <c r="H258" s="266"/>
      <c r="I258" s="266"/>
      <c r="J258" s="2"/>
      <c r="K258" s="2"/>
      <c r="L258" s="2"/>
      <c r="M258" s="2"/>
      <c r="N258" s="2"/>
      <c r="O258" s="2"/>
      <c r="P258" s="2"/>
      <c r="Q258" s="2"/>
      <c r="R258" s="2"/>
      <c r="S258" s="2"/>
      <c r="T258" s="2"/>
      <c r="U258" s="2"/>
      <c r="V258" s="2"/>
      <c r="W258" s="2"/>
      <c r="X258" s="2"/>
      <c r="Y258" s="2"/>
      <c r="Z258" s="2"/>
    </row>
    <row r="259" spans="1:26" ht="12.75" customHeight="1" x14ac:dyDescent="0.2">
      <c r="A259" s="266"/>
      <c r="B259" s="266"/>
      <c r="C259" s="266"/>
      <c r="D259" s="374"/>
      <c r="E259" s="374"/>
      <c r="F259" s="266"/>
      <c r="G259" s="266"/>
      <c r="H259" s="266"/>
      <c r="I259" s="266"/>
      <c r="J259" s="2"/>
      <c r="K259" s="2"/>
      <c r="L259" s="2"/>
      <c r="M259" s="2"/>
      <c r="N259" s="2"/>
      <c r="O259" s="2"/>
      <c r="P259" s="2"/>
      <c r="Q259" s="2"/>
      <c r="R259" s="2"/>
      <c r="S259" s="2"/>
      <c r="T259" s="2"/>
      <c r="U259" s="2"/>
      <c r="V259" s="2"/>
      <c r="W259" s="2"/>
      <c r="X259" s="2"/>
      <c r="Y259" s="2"/>
      <c r="Z259" s="2"/>
    </row>
    <row r="260" spans="1:26" ht="12.75" customHeight="1" x14ac:dyDescent="0.2">
      <c r="A260" s="266"/>
      <c r="B260" s="266"/>
      <c r="C260" s="266"/>
      <c r="D260" s="374"/>
      <c r="E260" s="374"/>
      <c r="F260" s="266"/>
      <c r="G260" s="266"/>
      <c r="H260" s="266"/>
      <c r="I260" s="266"/>
      <c r="J260" s="2"/>
      <c r="K260" s="2"/>
      <c r="L260" s="2"/>
      <c r="M260" s="2"/>
      <c r="N260" s="2"/>
      <c r="O260" s="2"/>
      <c r="P260" s="2"/>
      <c r="Q260" s="2"/>
      <c r="R260" s="2"/>
      <c r="S260" s="2"/>
      <c r="T260" s="2"/>
      <c r="U260" s="2"/>
      <c r="V260" s="2"/>
      <c r="W260" s="2"/>
      <c r="X260" s="2"/>
      <c r="Y260" s="2"/>
      <c r="Z260" s="2"/>
    </row>
    <row r="261" spans="1:26" ht="12.75" customHeight="1" x14ac:dyDescent="0.2">
      <c r="A261" s="266"/>
      <c r="B261" s="266"/>
      <c r="C261" s="266"/>
      <c r="D261" s="374"/>
      <c r="E261" s="374"/>
      <c r="F261" s="266"/>
      <c r="G261" s="266"/>
      <c r="H261" s="266"/>
      <c r="I261" s="266"/>
      <c r="J261" s="2"/>
      <c r="K261" s="2"/>
      <c r="L261" s="2"/>
      <c r="M261" s="2"/>
      <c r="N261" s="2"/>
      <c r="O261" s="2"/>
      <c r="P261" s="2"/>
      <c r="Q261" s="2"/>
      <c r="R261" s="2"/>
      <c r="S261" s="2"/>
      <c r="T261" s="2"/>
      <c r="U261" s="2"/>
      <c r="V261" s="2"/>
      <c r="W261" s="2"/>
      <c r="X261" s="2"/>
      <c r="Y261" s="2"/>
      <c r="Z261" s="2"/>
    </row>
    <row r="262" spans="1:26" ht="12.75" customHeight="1" x14ac:dyDescent="0.2">
      <c r="A262" s="266"/>
      <c r="B262" s="266"/>
      <c r="C262" s="266"/>
      <c r="D262" s="374"/>
      <c r="E262" s="374"/>
      <c r="F262" s="266"/>
      <c r="G262" s="266"/>
      <c r="H262" s="266"/>
      <c r="I262" s="266"/>
      <c r="J262" s="2"/>
      <c r="K262" s="2"/>
      <c r="L262" s="2"/>
      <c r="M262" s="2"/>
      <c r="N262" s="2"/>
      <c r="O262" s="2"/>
      <c r="P262" s="2"/>
      <c r="Q262" s="2"/>
      <c r="R262" s="2"/>
      <c r="S262" s="2"/>
      <c r="T262" s="2"/>
      <c r="U262" s="2"/>
      <c r="V262" s="2"/>
      <c r="W262" s="2"/>
      <c r="X262" s="2"/>
      <c r="Y262" s="2"/>
      <c r="Z262" s="2"/>
    </row>
    <row r="263" spans="1:26" ht="12.75" customHeight="1" x14ac:dyDescent="0.2">
      <c r="A263" s="266"/>
      <c r="B263" s="266"/>
      <c r="C263" s="266"/>
      <c r="D263" s="374"/>
      <c r="E263" s="374"/>
      <c r="F263" s="266"/>
      <c r="G263" s="266"/>
      <c r="H263" s="266"/>
      <c r="I263" s="266"/>
      <c r="J263" s="2"/>
      <c r="K263" s="2"/>
      <c r="L263" s="2"/>
      <c r="M263" s="2"/>
      <c r="N263" s="2"/>
      <c r="O263" s="2"/>
      <c r="P263" s="2"/>
      <c r="Q263" s="2"/>
      <c r="R263" s="2"/>
      <c r="S263" s="2"/>
      <c r="T263" s="2"/>
      <c r="U263" s="2"/>
      <c r="V263" s="2"/>
      <c r="W263" s="2"/>
      <c r="X263" s="2"/>
      <c r="Y263" s="2"/>
      <c r="Z263" s="2"/>
    </row>
    <row r="264" spans="1:26" ht="12.75" customHeight="1" x14ac:dyDescent="0.2">
      <c r="A264" s="266"/>
      <c r="B264" s="266"/>
      <c r="C264" s="266"/>
      <c r="D264" s="374"/>
      <c r="E264" s="374"/>
      <c r="F264" s="266"/>
      <c r="G264" s="266"/>
      <c r="H264" s="266"/>
      <c r="I264" s="266"/>
      <c r="J264" s="2"/>
      <c r="K264" s="2"/>
      <c r="L264" s="2"/>
      <c r="M264" s="2"/>
      <c r="N264" s="2"/>
      <c r="O264" s="2"/>
      <c r="P264" s="2"/>
      <c r="Q264" s="2"/>
      <c r="R264" s="2"/>
      <c r="S264" s="2"/>
      <c r="T264" s="2"/>
      <c r="U264" s="2"/>
      <c r="V264" s="2"/>
      <c r="W264" s="2"/>
      <c r="X264" s="2"/>
      <c r="Y264" s="2"/>
      <c r="Z264" s="2"/>
    </row>
    <row r="265" spans="1:26" ht="12.75" customHeight="1" x14ac:dyDescent="0.2">
      <c r="A265" s="266"/>
      <c r="B265" s="266"/>
      <c r="C265" s="266"/>
      <c r="D265" s="374"/>
      <c r="E265" s="374"/>
      <c r="F265" s="266"/>
      <c r="G265" s="266"/>
      <c r="H265" s="266"/>
      <c r="I265" s="266"/>
      <c r="J265" s="2"/>
      <c r="K265" s="2"/>
      <c r="L265" s="2"/>
      <c r="M265" s="2"/>
      <c r="N265" s="2"/>
      <c r="O265" s="2"/>
      <c r="P265" s="2"/>
      <c r="Q265" s="2"/>
      <c r="R265" s="2"/>
      <c r="S265" s="2"/>
      <c r="T265" s="2"/>
      <c r="U265" s="2"/>
      <c r="V265" s="2"/>
      <c r="W265" s="2"/>
      <c r="X265" s="2"/>
      <c r="Y265" s="2"/>
      <c r="Z265" s="2"/>
    </row>
    <row r="266" spans="1:26" ht="12.75" customHeight="1" x14ac:dyDescent="0.2">
      <c r="A266" s="266"/>
      <c r="B266" s="266"/>
      <c r="C266" s="266"/>
      <c r="D266" s="374"/>
      <c r="E266" s="374"/>
      <c r="F266" s="266"/>
      <c r="G266" s="266"/>
      <c r="H266" s="266"/>
      <c r="I266" s="266"/>
      <c r="J266" s="2"/>
      <c r="K266" s="2"/>
      <c r="L266" s="2"/>
      <c r="M266" s="2"/>
      <c r="N266" s="2"/>
      <c r="O266" s="2"/>
      <c r="P266" s="2"/>
      <c r="Q266" s="2"/>
      <c r="R266" s="2"/>
      <c r="S266" s="2"/>
      <c r="T266" s="2"/>
      <c r="U266" s="2"/>
      <c r="V266" s="2"/>
      <c r="W266" s="2"/>
      <c r="X266" s="2"/>
      <c r="Y266" s="2"/>
      <c r="Z266" s="2"/>
    </row>
    <row r="267" spans="1:26" ht="12.75" customHeight="1" x14ac:dyDescent="0.2">
      <c r="A267" s="266"/>
      <c r="B267" s="266"/>
      <c r="C267" s="266"/>
      <c r="D267" s="374"/>
      <c r="E267" s="374"/>
      <c r="F267" s="266"/>
      <c r="G267" s="266"/>
      <c r="H267" s="266"/>
      <c r="I267" s="266"/>
      <c r="J267" s="2"/>
      <c r="K267" s="2"/>
      <c r="L267" s="2"/>
      <c r="M267" s="2"/>
      <c r="N267" s="2"/>
      <c r="O267" s="2"/>
      <c r="P267" s="2"/>
      <c r="Q267" s="2"/>
      <c r="R267" s="2"/>
      <c r="S267" s="2"/>
      <c r="T267" s="2"/>
      <c r="U267" s="2"/>
      <c r="V267" s="2"/>
      <c r="W267" s="2"/>
      <c r="X267" s="2"/>
      <c r="Y267" s="2"/>
      <c r="Z267" s="2"/>
    </row>
    <row r="268" spans="1:26" ht="12.75" customHeight="1" x14ac:dyDescent="0.2">
      <c r="A268" s="266"/>
      <c r="B268" s="266"/>
      <c r="C268" s="266"/>
      <c r="D268" s="374"/>
      <c r="E268" s="374"/>
      <c r="F268" s="266"/>
      <c r="G268" s="266"/>
      <c r="H268" s="266"/>
      <c r="I268" s="266"/>
      <c r="J268" s="2"/>
      <c r="K268" s="2"/>
      <c r="L268" s="2"/>
      <c r="M268" s="2"/>
      <c r="N268" s="2"/>
      <c r="O268" s="2"/>
      <c r="P268" s="2"/>
      <c r="Q268" s="2"/>
      <c r="R268" s="2"/>
      <c r="S268" s="2"/>
      <c r="T268" s="2"/>
      <c r="U268" s="2"/>
      <c r="V268" s="2"/>
      <c r="W268" s="2"/>
      <c r="X268" s="2"/>
      <c r="Y268" s="2"/>
      <c r="Z268" s="2"/>
    </row>
    <row r="269" spans="1:26" ht="12.75" customHeight="1" x14ac:dyDescent="0.2">
      <c r="A269" s="266"/>
      <c r="B269" s="266"/>
      <c r="C269" s="266"/>
      <c r="D269" s="374"/>
      <c r="E269" s="374"/>
      <c r="F269" s="266"/>
      <c r="G269" s="266"/>
      <c r="H269" s="266"/>
      <c r="I269" s="266"/>
      <c r="J269" s="2"/>
      <c r="K269" s="2"/>
      <c r="L269" s="2"/>
      <c r="M269" s="2"/>
      <c r="N269" s="2"/>
      <c r="O269" s="2"/>
      <c r="P269" s="2"/>
      <c r="Q269" s="2"/>
      <c r="R269" s="2"/>
      <c r="S269" s="2"/>
      <c r="T269" s="2"/>
      <c r="U269" s="2"/>
      <c r="V269" s="2"/>
      <c r="W269" s="2"/>
      <c r="X269" s="2"/>
      <c r="Y269" s="2"/>
      <c r="Z269" s="2"/>
    </row>
    <row r="270" spans="1:26" ht="12.75" customHeight="1" x14ac:dyDescent="0.2">
      <c r="A270" s="266"/>
      <c r="B270" s="266"/>
      <c r="C270" s="266"/>
      <c r="D270" s="374"/>
      <c r="E270" s="374"/>
      <c r="F270" s="266"/>
      <c r="G270" s="266"/>
      <c r="H270" s="266"/>
      <c r="I270" s="266"/>
      <c r="J270" s="2"/>
      <c r="K270" s="2"/>
      <c r="L270" s="2"/>
      <c r="M270" s="2"/>
      <c r="N270" s="2"/>
      <c r="O270" s="2"/>
      <c r="P270" s="2"/>
      <c r="Q270" s="2"/>
      <c r="R270" s="2"/>
      <c r="S270" s="2"/>
      <c r="T270" s="2"/>
      <c r="U270" s="2"/>
      <c r="V270" s="2"/>
      <c r="W270" s="2"/>
      <c r="X270" s="2"/>
      <c r="Y270" s="2"/>
      <c r="Z270" s="2"/>
    </row>
    <row r="271" spans="1:26" ht="12.75" customHeight="1" x14ac:dyDescent="0.2">
      <c r="A271" s="266"/>
      <c r="B271" s="266"/>
      <c r="C271" s="266"/>
      <c r="D271" s="374"/>
      <c r="E271" s="374"/>
      <c r="F271" s="266"/>
      <c r="G271" s="266"/>
      <c r="H271" s="266"/>
      <c r="I271" s="266"/>
      <c r="J271" s="2"/>
      <c r="K271" s="2"/>
      <c r="L271" s="2"/>
      <c r="M271" s="2"/>
      <c r="N271" s="2"/>
      <c r="O271" s="2"/>
      <c r="P271" s="2"/>
      <c r="Q271" s="2"/>
      <c r="R271" s="2"/>
      <c r="S271" s="2"/>
      <c r="T271" s="2"/>
      <c r="U271" s="2"/>
      <c r="V271" s="2"/>
      <c r="W271" s="2"/>
      <c r="X271" s="2"/>
      <c r="Y271" s="2"/>
      <c r="Z271" s="2"/>
    </row>
    <row r="272" spans="1:26" ht="12.75" customHeight="1" x14ac:dyDescent="0.2">
      <c r="A272" s="266"/>
      <c r="B272" s="266"/>
      <c r="C272" s="266"/>
      <c r="D272" s="374"/>
      <c r="E272" s="374"/>
      <c r="F272" s="266"/>
      <c r="G272" s="266"/>
      <c r="H272" s="266"/>
      <c r="I272" s="266"/>
      <c r="J272" s="2"/>
      <c r="K272" s="2"/>
      <c r="L272" s="2"/>
      <c r="M272" s="2"/>
      <c r="N272" s="2"/>
      <c r="O272" s="2"/>
      <c r="P272" s="2"/>
      <c r="Q272" s="2"/>
      <c r="R272" s="2"/>
      <c r="S272" s="2"/>
      <c r="T272" s="2"/>
      <c r="U272" s="2"/>
      <c r="V272" s="2"/>
      <c r="W272" s="2"/>
      <c r="X272" s="2"/>
      <c r="Y272" s="2"/>
      <c r="Z272" s="2"/>
    </row>
    <row r="273" spans="1:26" ht="12.75" customHeight="1" x14ac:dyDescent="0.2">
      <c r="A273" s="266"/>
      <c r="B273" s="266"/>
      <c r="C273" s="266"/>
      <c r="D273" s="374"/>
      <c r="E273" s="374"/>
      <c r="F273" s="266"/>
      <c r="G273" s="266"/>
      <c r="H273" s="266"/>
      <c r="I273" s="266"/>
      <c r="J273" s="2"/>
      <c r="K273" s="2"/>
      <c r="L273" s="2"/>
      <c r="M273" s="2"/>
      <c r="N273" s="2"/>
      <c r="O273" s="2"/>
      <c r="P273" s="2"/>
      <c r="Q273" s="2"/>
      <c r="R273" s="2"/>
      <c r="S273" s="2"/>
      <c r="T273" s="2"/>
      <c r="U273" s="2"/>
      <c r="V273" s="2"/>
      <c r="W273" s="2"/>
      <c r="X273" s="2"/>
      <c r="Y273" s="2"/>
      <c r="Z273" s="2"/>
    </row>
    <row r="274" spans="1:26" ht="12.75" customHeight="1" x14ac:dyDescent="0.2">
      <c r="A274" s="266"/>
      <c r="B274" s="266"/>
      <c r="C274" s="266"/>
      <c r="D274" s="374"/>
      <c r="E274" s="374"/>
      <c r="F274" s="266"/>
      <c r="G274" s="266"/>
      <c r="H274" s="266"/>
      <c r="I274" s="266"/>
      <c r="J274" s="2"/>
      <c r="K274" s="2"/>
      <c r="L274" s="2"/>
      <c r="M274" s="2"/>
      <c r="N274" s="2"/>
      <c r="O274" s="2"/>
      <c r="P274" s="2"/>
      <c r="Q274" s="2"/>
      <c r="R274" s="2"/>
      <c r="S274" s="2"/>
      <c r="T274" s="2"/>
      <c r="U274" s="2"/>
      <c r="V274" s="2"/>
      <c r="W274" s="2"/>
      <c r="X274" s="2"/>
      <c r="Y274" s="2"/>
      <c r="Z274" s="2"/>
    </row>
    <row r="275" spans="1:26" ht="12.75" customHeight="1" x14ac:dyDescent="0.2">
      <c r="A275" s="266"/>
      <c r="B275" s="266"/>
      <c r="C275" s="266"/>
      <c r="D275" s="374"/>
      <c r="E275" s="374"/>
      <c r="F275" s="266"/>
      <c r="G275" s="266"/>
      <c r="H275" s="266"/>
      <c r="I275" s="266"/>
      <c r="J275" s="2"/>
      <c r="K275" s="2"/>
      <c r="L275" s="2"/>
      <c r="M275" s="2"/>
      <c r="N275" s="2"/>
      <c r="O275" s="2"/>
      <c r="P275" s="2"/>
      <c r="Q275" s="2"/>
      <c r="R275" s="2"/>
      <c r="S275" s="2"/>
      <c r="T275" s="2"/>
      <c r="U275" s="2"/>
      <c r="V275" s="2"/>
      <c r="W275" s="2"/>
      <c r="X275" s="2"/>
      <c r="Y275" s="2"/>
      <c r="Z275" s="2"/>
    </row>
    <row r="276" spans="1:26" ht="12.75" customHeight="1" x14ac:dyDescent="0.2">
      <c r="A276" s="266"/>
      <c r="B276" s="266"/>
      <c r="C276" s="266"/>
      <c r="D276" s="374"/>
      <c r="E276" s="374"/>
      <c r="F276" s="266"/>
      <c r="G276" s="266"/>
      <c r="H276" s="266"/>
      <c r="I276" s="266"/>
      <c r="J276" s="2"/>
      <c r="K276" s="2"/>
      <c r="L276" s="2"/>
      <c r="M276" s="2"/>
      <c r="N276" s="2"/>
      <c r="O276" s="2"/>
      <c r="P276" s="2"/>
      <c r="Q276" s="2"/>
      <c r="R276" s="2"/>
      <c r="S276" s="2"/>
      <c r="T276" s="2"/>
      <c r="U276" s="2"/>
      <c r="V276" s="2"/>
      <c r="W276" s="2"/>
      <c r="X276" s="2"/>
      <c r="Y276" s="2"/>
      <c r="Z276" s="2"/>
    </row>
    <row r="277" spans="1:26" ht="12.75" customHeight="1" x14ac:dyDescent="0.2">
      <c r="A277" s="266"/>
      <c r="B277" s="266"/>
      <c r="C277" s="266"/>
      <c r="D277" s="374"/>
      <c r="E277" s="374"/>
      <c r="F277" s="266"/>
      <c r="G277" s="266"/>
      <c r="H277" s="266"/>
      <c r="I277" s="266"/>
      <c r="J277" s="2"/>
      <c r="K277" s="2"/>
      <c r="L277" s="2"/>
      <c r="M277" s="2"/>
      <c r="N277" s="2"/>
      <c r="O277" s="2"/>
      <c r="P277" s="2"/>
      <c r="Q277" s="2"/>
      <c r="R277" s="2"/>
      <c r="S277" s="2"/>
      <c r="T277" s="2"/>
      <c r="U277" s="2"/>
      <c r="V277" s="2"/>
      <c r="W277" s="2"/>
      <c r="X277" s="2"/>
      <c r="Y277" s="2"/>
      <c r="Z277" s="2"/>
    </row>
    <row r="278" spans="1:26" ht="12.75" customHeight="1" x14ac:dyDescent="0.2">
      <c r="A278" s="266"/>
      <c r="B278" s="266"/>
      <c r="C278" s="266"/>
      <c r="D278" s="374"/>
      <c r="E278" s="374"/>
      <c r="F278" s="266"/>
      <c r="G278" s="266"/>
      <c r="H278" s="266"/>
      <c r="I278" s="266"/>
      <c r="J278" s="2"/>
      <c r="K278" s="2"/>
      <c r="L278" s="2"/>
      <c r="M278" s="2"/>
      <c r="N278" s="2"/>
      <c r="O278" s="2"/>
      <c r="P278" s="2"/>
      <c r="Q278" s="2"/>
      <c r="R278" s="2"/>
      <c r="S278" s="2"/>
      <c r="T278" s="2"/>
      <c r="U278" s="2"/>
      <c r="V278" s="2"/>
      <c r="W278" s="2"/>
      <c r="X278" s="2"/>
      <c r="Y278" s="2"/>
      <c r="Z278" s="2"/>
    </row>
    <row r="279" spans="1:26" ht="12.75" customHeight="1" x14ac:dyDescent="0.2">
      <c r="A279" s="266"/>
      <c r="B279" s="266"/>
      <c r="C279" s="266"/>
      <c r="D279" s="374"/>
      <c r="E279" s="374"/>
      <c r="F279" s="266"/>
      <c r="G279" s="266"/>
      <c r="H279" s="266"/>
      <c r="I279" s="266"/>
      <c r="J279" s="2"/>
      <c r="K279" s="2"/>
      <c r="L279" s="2"/>
      <c r="M279" s="2"/>
      <c r="N279" s="2"/>
      <c r="O279" s="2"/>
      <c r="P279" s="2"/>
      <c r="Q279" s="2"/>
      <c r="R279" s="2"/>
      <c r="S279" s="2"/>
      <c r="T279" s="2"/>
      <c r="U279" s="2"/>
      <c r="V279" s="2"/>
      <c r="W279" s="2"/>
      <c r="X279" s="2"/>
      <c r="Y279" s="2"/>
      <c r="Z279" s="2"/>
    </row>
    <row r="280" spans="1:26" ht="12.75" customHeight="1" x14ac:dyDescent="0.2">
      <c r="A280" s="266"/>
      <c r="B280" s="266"/>
      <c r="C280" s="266"/>
      <c r="D280" s="374"/>
      <c r="E280" s="374"/>
      <c r="F280" s="266"/>
      <c r="G280" s="266"/>
      <c r="H280" s="266"/>
      <c r="I280" s="266"/>
      <c r="J280" s="2"/>
      <c r="K280" s="2"/>
      <c r="L280" s="2"/>
      <c r="M280" s="2"/>
      <c r="N280" s="2"/>
      <c r="O280" s="2"/>
      <c r="P280" s="2"/>
      <c r="Q280" s="2"/>
      <c r="R280" s="2"/>
      <c r="S280" s="2"/>
      <c r="T280" s="2"/>
      <c r="U280" s="2"/>
      <c r="V280" s="2"/>
      <c r="W280" s="2"/>
      <c r="X280" s="2"/>
      <c r="Y280" s="2"/>
      <c r="Z280" s="2"/>
    </row>
    <row r="281" spans="1:26" ht="12.75" customHeight="1" x14ac:dyDescent="0.2">
      <c r="A281" s="266"/>
      <c r="B281" s="266"/>
      <c r="C281" s="266"/>
      <c r="D281" s="374"/>
      <c r="E281" s="374"/>
      <c r="F281" s="266"/>
      <c r="G281" s="266"/>
      <c r="H281" s="266"/>
      <c r="I281" s="266"/>
      <c r="J281" s="2"/>
      <c r="K281" s="2"/>
      <c r="L281" s="2"/>
      <c r="M281" s="2"/>
      <c r="N281" s="2"/>
      <c r="O281" s="2"/>
      <c r="P281" s="2"/>
      <c r="Q281" s="2"/>
      <c r="R281" s="2"/>
      <c r="S281" s="2"/>
      <c r="T281" s="2"/>
      <c r="U281" s="2"/>
      <c r="V281" s="2"/>
      <c r="W281" s="2"/>
      <c r="X281" s="2"/>
      <c r="Y281" s="2"/>
      <c r="Z281" s="2"/>
    </row>
    <row r="282" spans="1:26" ht="12.75" customHeight="1" x14ac:dyDescent="0.2">
      <c r="A282" s="266"/>
      <c r="B282" s="266"/>
      <c r="C282" s="266"/>
      <c r="D282" s="374"/>
      <c r="E282" s="374"/>
      <c r="F282" s="266"/>
      <c r="G282" s="266"/>
      <c r="H282" s="266"/>
      <c r="I282" s="266"/>
      <c r="J282" s="2"/>
      <c r="K282" s="2"/>
      <c r="L282" s="2"/>
      <c r="M282" s="2"/>
      <c r="N282" s="2"/>
      <c r="O282" s="2"/>
      <c r="P282" s="2"/>
      <c r="Q282" s="2"/>
      <c r="R282" s="2"/>
      <c r="S282" s="2"/>
      <c r="T282" s="2"/>
      <c r="U282" s="2"/>
      <c r="V282" s="2"/>
      <c r="W282" s="2"/>
      <c r="X282" s="2"/>
      <c r="Y282" s="2"/>
      <c r="Z282" s="2"/>
    </row>
    <row r="283" spans="1:26" ht="12.75" customHeight="1" x14ac:dyDescent="0.2">
      <c r="A283" s="266"/>
      <c r="B283" s="266"/>
      <c r="C283" s="266"/>
      <c r="D283" s="374"/>
      <c r="E283" s="374"/>
      <c r="F283" s="266"/>
      <c r="G283" s="266"/>
      <c r="H283" s="266"/>
      <c r="I283" s="266"/>
      <c r="J283" s="2"/>
      <c r="K283" s="2"/>
      <c r="L283" s="2"/>
      <c r="M283" s="2"/>
      <c r="N283" s="2"/>
      <c r="O283" s="2"/>
      <c r="P283" s="2"/>
      <c r="Q283" s="2"/>
      <c r="R283" s="2"/>
      <c r="S283" s="2"/>
      <c r="T283" s="2"/>
      <c r="U283" s="2"/>
      <c r="V283" s="2"/>
      <c r="W283" s="2"/>
      <c r="X283" s="2"/>
      <c r="Y283" s="2"/>
      <c r="Z283" s="2"/>
    </row>
    <row r="284" spans="1:26" ht="12.75" customHeight="1" x14ac:dyDescent="0.2">
      <c r="A284" s="266"/>
      <c r="B284" s="266"/>
      <c r="C284" s="266"/>
      <c r="D284" s="374"/>
      <c r="E284" s="374"/>
      <c r="F284" s="266"/>
      <c r="G284" s="266"/>
      <c r="H284" s="266"/>
      <c r="I284" s="266"/>
      <c r="J284" s="2"/>
      <c r="K284" s="2"/>
      <c r="L284" s="2"/>
      <c r="M284" s="2"/>
      <c r="N284" s="2"/>
      <c r="O284" s="2"/>
      <c r="P284" s="2"/>
      <c r="Q284" s="2"/>
      <c r="R284" s="2"/>
      <c r="S284" s="2"/>
      <c r="T284" s="2"/>
      <c r="U284" s="2"/>
      <c r="V284" s="2"/>
      <c r="W284" s="2"/>
      <c r="X284" s="2"/>
      <c r="Y284" s="2"/>
      <c r="Z284" s="2"/>
    </row>
    <row r="285" spans="1:26" ht="12.75" customHeight="1" x14ac:dyDescent="0.2">
      <c r="A285" s="266"/>
      <c r="B285" s="266"/>
      <c r="C285" s="266"/>
      <c r="D285" s="374"/>
      <c r="E285" s="374"/>
      <c r="F285" s="266"/>
      <c r="G285" s="266"/>
      <c r="H285" s="266"/>
      <c r="I285" s="266"/>
      <c r="J285" s="2"/>
      <c r="K285" s="2"/>
      <c r="L285" s="2"/>
      <c r="M285" s="2"/>
      <c r="N285" s="2"/>
      <c r="O285" s="2"/>
      <c r="P285" s="2"/>
      <c r="Q285" s="2"/>
      <c r="R285" s="2"/>
      <c r="S285" s="2"/>
      <c r="T285" s="2"/>
      <c r="U285" s="2"/>
      <c r="V285" s="2"/>
      <c r="W285" s="2"/>
      <c r="X285" s="2"/>
      <c r="Y285" s="2"/>
      <c r="Z285" s="2"/>
    </row>
    <row r="286" spans="1:26" ht="12.75" customHeight="1" x14ac:dyDescent="0.2">
      <c r="A286" s="266"/>
      <c r="B286" s="266"/>
      <c r="C286" s="266"/>
      <c r="D286" s="374"/>
      <c r="E286" s="374"/>
      <c r="F286" s="266"/>
      <c r="G286" s="266"/>
      <c r="H286" s="266"/>
      <c r="I286" s="266"/>
      <c r="J286" s="2"/>
      <c r="K286" s="2"/>
      <c r="L286" s="2"/>
      <c r="M286" s="2"/>
      <c r="N286" s="2"/>
      <c r="O286" s="2"/>
      <c r="P286" s="2"/>
      <c r="Q286" s="2"/>
      <c r="R286" s="2"/>
      <c r="S286" s="2"/>
      <c r="T286" s="2"/>
      <c r="U286" s="2"/>
      <c r="V286" s="2"/>
      <c r="W286" s="2"/>
      <c r="X286" s="2"/>
      <c r="Y286" s="2"/>
      <c r="Z286" s="2"/>
    </row>
    <row r="287" spans="1:26" ht="12.75" customHeight="1" x14ac:dyDescent="0.2">
      <c r="A287" s="266"/>
      <c r="B287" s="266"/>
      <c r="C287" s="266"/>
      <c r="D287" s="374"/>
      <c r="E287" s="374"/>
      <c r="F287" s="266"/>
      <c r="G287" s="266"/>
      <c r="H287" s="266"/>
      <c r="I287" s="266"/>
      <c r="J287" s="2"/>
      <c r="K287" s="2"/>
      <c r="L287" s="2"/>
      <c r="M287" s="2"/>
      <c r="N287" s="2"/>
      <c r="O287" s="2"/>
      <c r="P287" s="2"/>
      <c r="Q287" s="2"/>
      <c r="R287" s="2"/>
      <c r="S287" s="2"/>
      <c r="T287" s="2"/>
      <c r="U287" s="2"/>
      <c r="V287" s="2"/>
      <c r="W287" s="2"/>
      <c r="X287" s="2"/>
      <c r="Y287" s="2"/>
      <c r="Z287" s="2"/>
    </row>
    <row r="288" spans="1:26" ht="12.75" customHeight="1" x14ac:dyDescent="0.2">
      <c r="A288" s="266"/>
      <c r="B288" s="266"/>
      <c r="C288" s="266"/>
      <c r="D288" s="374"/>
      <c r="E288" s="374"/>
      <c r="F288" s="266"/>
      <c r="G288" s="266"/>
      <c r="H288" s="266"/>
      <c r="I288" s="266"/>
      <c r="J288" s="2"/>
      <c r="K288" s="2"/>
      <c r="L288" s="2"/>
      <c r="M288" s="2"/>
      <c r="N288" s="2"/>
      <c r="O288" s="2"/>
      <c r="P288" s="2"/>
      <c r="Q288" s="2"/>
      <c r="R288" s="2"/>
      <c r="S288" s="2"/>
      <c r="T288" s="2"/>
      <c r="U288" s="2"/>
      <c r="V288" s="2"/>
      <c r="W288" s="2"/>
      <c r="X288" s="2"/>
      <c r="Y288" s="2"/>
      <c r="Z288" s="2"/>
    </row>
    <row r="289" spans="1:26" ht="12.75" customHeight="1" x14ac:dyDescent="0.2">
      <c r="A289" s="266"/>
      <c r="B289" s="266"/>
      <c r="C289" s="266"/>
      <c r="D289" s="374"/>
      <c r="E289" s="374"/>
      <c r="F289" s="266"/>
      <c r="G289" s="266"/>
      <c r="H289" s="266"/>
      <c r="I289" s="266"/>
      <c r="J289" s="2"/>
      <c r="K289" s="2"/>
      <c r="L289" s="2"/>
      <c r="M289" s="2"/>
      <c r="N289" s="2"/>
      <c r="O289" s="2"/>
      <c r="P289" s="2"/>
      <c r="Q289" s="2"/>
      <c r="R289" s="2"/>
      <c r="S289" s="2"/>
      <c r="T289" s="2"/>
      <c r="U289" s="2"/>
      <c r="V289" s="2"/>
      <c r="W289" s="2"/>
      <c r="X289" s="2"/>
      <c r="Y289" s="2"/>
      <c r="Z289" s="2"/>
    </row>
    <row r="290" spans="1:26" ht="12.75" customHeight="1" x14ac:dyDescent="0.2">
      <c r="A290" s="266"/>
      <c r="B290" s="266"/>
      <c r="C290" s="266"/>
      <c r="D290" s="374"/>
      <c r="E290" s="374"/>
      <c r="F290" s="266"/>
      <c r="G290" s="266"/>
      <c r="H290" s="266"/>
      <c r="I290" s="266"/>
      <c r="J290" s="2"/>
      <c r="K290" s="2"/>
      <c r="L290" s="2"/>
      <c r="M290" s="2"/>
      <c r="N290" s="2"/>
      <c r="O290" s="2"/>
      <c r="P290" s="2"/>
      <c r="Q290" s="2"/>
      <c r="R290" s="2"/>
      <c r="S290" s="2"/>
      <c r="T290" s="2"/>
      <c r="U290" s="2"/>
      <c r="V290" s="2"/>
      <c r="W290" s="2"/>
      <c r="X290" s="2"/>
      <c r="Y290" s="2"/>
      <c r="Z290" s="2"/>
    </row>
    <row r="291" spans="1:26" ht="12.75" customHeight="1" x14ac:dyDescent="0.2">
      <c r="A291" s="266"/>
      <c r="B291" s="266"/>
      <c r="C291" s="266"/>
      <c r="D291" s="374"/>
      <c r="E291" s="374"/>
      <c r="F291" s="266"/>
      <c r="G291" s="266"/>
      <c r="H291" s="266"/>
      <c r="I291" s="266"/>
      <c r="J291" s="2"/>
      <c r="K291" s="2"/>
      <c r="L291" s="2"/>
      <c r="M291" s="2"/>
      <c r="N291" s="2"/>
      <c r="O291" s="2"/>
      <c r="P291" s="2"/>
      <c r="Q291" s="2"/>
      <c r="R291" s="2"/>
      <c r="S291" s="2"/>
      <c r="T291" s="2"/>
      <c r="U291" s="2"/>
      <c r="V291" s="2"/>
      <c r="W291" s="2"/>
      <c r="X291" s="2"/>
      <c r="Y291" s="2"/>
      <c r="Z291" s="2"/>
    </row>
    <row r="292" spans="1:26" ht="12.75" customHeight="1" x14ac:dyDescent="0.2">
      <c r="A292" s="266"/>
      <c r="B292" s="266"/>
      <c r="C292" s="266"/>
      <c r="D292" s="374"/>
      <c r="E292" s="374"/>
      <c r="F292" s="266"/>
      <c r="G292" s="266"/>
      <c r="H292" s="266"/>
      <c r="I292" s="266"/>
      <c r="J292" s="2"/>
      <c r="K292" s="2"/>
      <c r="L292" s="2"/>
      <c r="M292" s="2"/>
      <c r="N292" s="2"/>
      <c r="O292" s="2"/>
      <c r="P292" s="2"/>
      <c r="Q292" s="2"/>
      <c r="R292" s="2"/>
      <c r="S292" s="2"/>
      <c r="T292" s="2"/>
      <c r="U292" s="2"/>
      <c r="V292" s="2"/>
      <c r="W292" s="2"/>
      <c r="X292" s="2"/>
      <c r="Y292" s="2"/>
      <c r="Z292" s="2"/>
    </row>
    <row r="293" spans="1:26" ht="12.75" customHeight="1" x14ac:dyDescent="0.2">
      <c r="A293" s="266"/>
      <c r="B293" s="266"/>
      <c r="C293" s="266"/>
      <c r="D293" s="374"/>
      <c r="E293" s="374"/>
      <c r="F293" s="266"/>
      <c r="G293" s="266"/>
      <c r="H293" s="266"/>
      <c r="I293" s="266"/>
      <c r="J293" s="2"/>
      <c r="K293" s="2"/>
      <c r="L293" s="2"/>
      <c r="M293" s="2"/>
      <c r="N293" s="2"/>
      <c r="O293" s="2"/>
      <c r="P293" s="2"/>
      <c r="Q293" s="2"/>
      <c r="R293" s="2"/>
      <c r="S293" s="2"/>
      <c r="T293" s="2"/>
      <c r="U293" s="2"/>
      <c r="V293" s="2"/>
      <c r="W293" s="2"/>
      <c r="X293" s="2"/>
      <c r="Y293" s="2"/>
      <c r="Z293" s="2"/>
    </row>
    <row r="294" spans="1:26" ht="12.75" customHeight="1" x14ac:dyDescent="0.2">
      <c r="A294" s="266"/>
      <c r="B294" s="266"/>
      <c r="C294" s="266"/>
      <c r="D294" s="374"/>
      <c r="E294" s="374"/>
      <c r="F294" s="266"/>
      <c r="G294" s="266"/>
      <c r="H294" s="266"/>
      <c r="I294" s="266"/>
      <c r="J294" s="2"/>
      <c r="K294" s="2"/>
      <c r="L294" s="2"/>
      <c r="M294" s="2"/>
      <c r="N294" s="2"/>
      <c r="O294" s="2"/>
      <c r="P294" s="2"/>
      <c r="Q294" s="2"/>
      <c r="R294" s="2"/>
      <c r="S294" s="2"/>
      <c r="T294" s="2"/>
      <c r="U294" s="2"/>
      <c r="V294" s="2"/>
      <c r="W294" s="2"/>
      <c r="X294" s="2"/>
      <c r="Y294" s="2"/>
      <c r="Z294" s="2"/>
    </row>
    <row r="295" spans="1:26" ht="12.75" customHeight="1" x14ac:dyDescent="0.2">
      <c r="A295" s="266"/>
      <c r="B295" s="266"/>
      <c r="C295" s="266"/>
      <c r="D295" s="374"/>
      <c r="E295" s="374"/>
      <c r="F295" s="266"/>
      <c r="G295" s="266"/>
      <c r="H295" s="266"/>
      <c r="I295" s="266"/>
      <c r="J295" s="2"/>
      <c r="K295" s="2"/>
      <c r="L295" s="2"/>
      <c r="M295" s="2"/>
      <c r="N295" s="2"/>
      <c r="O295" s="2"/>
      <c r="P295" s="2"/>
      <c r="Q295" s="2"/>
      <c r="R295" s="2"/>
      <c r="S295" s="2"/>
      <c r="T295" s="2"/>
      <c r="U295" s="2"/>
      <c r="V295" s="2"/>
      <c r="W295" s="2"/>
      <c r="X295" s="2"/>
      <c r="Y295" s="2"/>
      <c r="Z295" s="2"/>
    </row>
    <row r="296" spans="1:26" ht="12.75" customHeight="1" x14ac:dyDescent="0.2">
      <c r="A296" s="266"/>
      <c r="B296" s="266"/>
      <c r="C296" s="266"/>
      <c r="D296" s="374"/>
      <c r="E296" s="374"/>
      <c r="F296" s="266"/>
      <c r="G296" s="266"/>
      <c r="H296" s="266"/>
      <c r="I296" s="266"/>
      <c r="J296" s="2"/>
      <c r="K296" s="2"/>
      <c r="L296" s="2"/>
      <c r="M296" s="2"/>
      <c r="N296" s="2"/>
      <c r="O296" s="2"/>
      <c r="P296" s="2"/>
      <c r="Q296" s="2"/>
      <c r="R296" s="2"/>
      <c r="S296" s="2"/>
      <c r="T296" s="2"/>
      <c r="U296" s="2"/>
      <c r="V296" s="2"/>
      <c r="W296" s="2"/>
      <c r="X296" s="2"/>
      <c r="Y296" s="2"/>
      <c r="Z296" s="2"/>
    </row>
    <row r="297" spans="1:26" ht="12.75" customHeight="1" x14ac:dyDescent="0.2">
      <c r="A297" s="266"/>
      <c r="B297" s="266"/>
      <c r="C297" s="266"/>
      <c r="D297" s="374"/>
      <c r="E297" s="374"/>
      <c r="F297" s="266"/>
      <c r="G297" s="266"/>
      <c r="H297" s="266"/>
      <c r="I297" s="266"/>
      <c r="J297" s="2"/>
      <c r="K297" s="2"/>
      <c r="L297" s="2"/>
      <c r="M297" s="2"/>
      <c r="N297" s="2"/>
      <c r="O297" s="2"/>
      <c r="P297" s="2"/>
      <c r="Q297" s="2"/>
      <c r="R297" s="2"/>
      <c r="S297" s="2"/>
      <c r="T297" s="2"/>
      <c r="U297" s="2"/>
      <c r="V297" s="2"/>
      <c r="W297" s="2"/>
      <c r="X297" s="2"/>
      <c r="Y297" s="2"/>
      <c r="Z297" s="2"/>
    </row>
    <row r="298" spans="1:26" ht="12.75" customHeight="1" x14ac:dyDescent="0.2">
      <c r="A298" s="266"/>
      <c r="B298" s="266"/>
      <c r="C298" s="266"/>
      <c r="D298" s="374"/>
      <c r="E298" s="374"/>
      <c r="F298" s="266"/>
      <c r="G298" s="266"/>
      <c r="H298" s="266"/>
      <c r="I298" s="266"/>
      <c r="J298" s="2"/>
      <c r="K298" s="2"/>
      <c r="L298" s="2"/>
      <c r="M298" s="2"/>
      <c r="N298" s="2"/>
      <c r="O298" s="2"/>
      <c r="P298" s="2"/>
      <c r="Q298" s="2"/>
      <c r="R298" s="2"/>
      <c r="S298" s="2"/>
      <c r="T298" s="2"/>
      <c r="U298" s="2"/>
      <c r="V298" s="2"/>
      <c r="W298" s="2"/>
      <c r="X298" s="2"/>
      <c r="Y298" s="2"/>
      <c r="Z298" s="2"/>
    </row>
    <row r="299" spans="1:26" ht="12.75" customHeight="1" x14ac:dyDescent="0.2">
      <c r="A299" s="266"/>
      <c r="B299" s="266"/>
      <c r="C299" s="266"/>
      <c r="D299" s="374"/>
      <c r="E299" s="374"/>
      <c r="F299" s="266"/>
      <c r="G299" s="266"/>
      <c r="H299" s="266"/>
      <c r="I299" s="266"/>
      <c r="J299" s="2"/>
      <c r="K299" s="2"/>
      <c r="L299" s="2"/>
      <c r="M299" s="2"/>
      <c r="N299" s="2"/>
      <c r="O299" s="2"/>
      <c r="P299" s="2"/>
      <c r="Q299" s="2"/>
      <c r="R299" s="2"/>
      <c r="S299" s="2"/>
      <c r="T299" s="2"/>
      <c r="U299" s="2"/>
      <c r="V299" s="2"/>
      <c r="W299" s="2"/>
      <c r="X299" s="2"/>
      <c r="Y299" s="2"/>
      <c r="Z299" s="2"/>
    </row>
    <row r="300" spans="1:26" ht="12.75" customHeight="1" x14ac:dyDescent="0.2">
      <c r="A300" s="266"/>
      <c r="B300" s="266"/>
      <c r="C300" s="266"/>
      <c r="D300" s="374"/>
      <c r="E300" s="374"/>
      <c r="F300" s="266"/>
      <c r="G300" s="266"/>
      <c r="H300" s="266"/>
      <c r="I300" s="266"/>
      <c r="J300" s="2"/>
      <c r="K300" s="2"/>
      <c r="L300" s="2"/>
      <c r="M300" s="2"/>
      <c r="N300" s="2"/>
      <c r="O300" s="2"/>
      <c r="P300" s="2"/>
      <c r="Q300" s="2"/>
      <c r="R300" s="2"/>
      <c r="S300" s="2"/>
      <c r="T300" s="2"/>
      <c r="U300" s="2"/>
      <c r="V300" s="2"/>
      <c r="W300" s="2"/>
      <c r="X300" s="2"/>
      <c r="Y300" s="2"/>
      <c r="Z300" s="2"/>
    </row>
    <row r="301" spans="1:26" ht="12.75" customHeight="1" x14ac:dyDescent="0.2">
      <c r="A301" s="266"/>
      <c r="B301" s="266"/>
      <c r="C301" s="266"/>
      <c r="D301" s="374"/>
      <c r="E301" s="374"/>
      <c r="F301" s="266"/>
      <c r="G301" s="266"/>
      <c r="H301" s="266"/>
      <c r="I301" s="266"/>
      <c r="J301" s="2"/>
      <c r="K301" s="2"/>
      <c r="L301" s="2"/>
      <c r="M301" s="2"/>
      <c r="N301" s="2"/>
      <c r="O301" s="2"/>
      <c r="P301" s="2"/>
      <c r="Q301" s="2"/>
      <c r="R301" s="2"/>
      <c r="S301" s="2"/>
      <c r="T301" s="2"/>
      <c r="U301" s="2"/>
      <c r="V301" s="2"/>
      <c r="W301" s="2"/>
      <c r="X301" s="2"/>
      <c r="Y301" s="2"/>
      <c r="Z301" s="2"/>
    </row>
    <row r="302" spans="1:26" ht="12.75" customHeight="1" x14ac:dyDescent="0.2">
      <c r="A302" s="266"/>
      <c r="B302" s="266"/>
      <c r="C302" s="266"/>
      <c r="D302" s="374"/>
      <c r="E302" s="374"/>
      <c r="F302" s="266"/>
      <c r="G302" s="266"/>
      <c r="H302" s="266"/>
      <c r="I302" s="266"/>
      <c r="J302" s="2"/>
      <c r="K302" s="2"/>
      <c r="L302" s="2"/>
      <c r="M302" s="2"/>
      <c r="N302" s="2"/>
      <c r="O302" s="2"/>
      <c r="P302" s="2"/>
      <c r="Q302" s="2"/>
      <c r="R302" s="2"/>
      <c r="S302" s="2"/>
      <c r="T302" s="2"/>
      <c r="U302" s="2"/>
      <c r="V302" s="2"/>
      <c r="W302" s="2"/>
      <c r="X302" s="2"/>
      <c r="Y302" s="2"/>
      <c r="Z302" s="2"/>
    </row>
    <row r="303" spans="1:26" ht="12.75" customHeight="1" x14ac:dyDescent="0.2">
      <c r="A303" s="266"/>
      <c r="B303" s="266"/>
      <c r="C303" s="266"/>
      <c r="D303" s="374"/>
      <c r="E303" s="374"/>
      <c r="F303" s="266"/>
      <c r="G303" s="266"/>
      <c r="H303" s="266"/>
      <c r="I303" s="266"/>
      <c r="J303" s="2"/>
      <c r="K303" s="2"/>
      <c r="L303" s="2"/>
      <c r="M303" s="2"/>
      <c r="N303" s="2"/>
      <c r="O303" s="2"/>
      <c r="P303" s="2"/>
      <c r="Q303" s="2"/>
      <c r="R303" s="2"/>
      <c r="S303" s="2"/>
      <c r="T303" s="2"/>
      <c r="U303" s="2"/>
      <c r="V303" s="2"/>
      <c r="W303" s="2"/>
      <c r="X303" s="2"/>
      <c r="Y303" s="2"/>
      <c r="Z303" s="2"/>
    </row>
    <row r="304" spans="1:26" ht="12.75" customHeight="1" x14ac:dyDescent="0.2">
      <c r="A304" s="266"/>
      <c r="B304" s="266"/>
      <c r="C304" s="266"/>
      <c r="D304" s="374"/>
      <c r="E304" s="374"/>
      <c r="F304" s="266"/>
      <c r="G304" s="266"/>
      <c r="H304" s="266"/>
      <c r="I304" s="266"/>
      <c r="J304" s="2"/>
      <c r="K304" s="2"/>
      <c r="L304" s="2"/>
      <c r="M304" s="2"/>
      <c r="N304" s="2"/>
      <c r="O304" s="2"/>
      <c r="P304" s="2"/>
      <c r="Q304" s="2"/>
      <c r="R304" s="2"/>
      <c r="S304" s="2"/>
      <c r="T304" s="2"/>
      <c r="U304" s="2"/>
      <c r="V304" s="2"/>
      <c r="W304" s="2"/>
      <c r="X304" s="2"/>
      <c r="Y304" s="2"/>
      <c r="Z304" s="2"/>
    </row>
    <row r="305" spans="1:26" ht="12.75" customHeight="1" x14ac:dyDescent="0.2">
      <c r="A305" s="266"/>
      <c r="B305" s="266"/>
      <c r="C305" s="266"/>
      <c r="D305" s="374"/>
      <c r="E305" s="374"/>
      <c r="F305" s="266"/>
      <c r="G305" s="266"/>
      <c r="H305" s="266"/>
      <c r="I305" s="266"/>
      <c r="J305" s="2"/>
      <c r="K305" s="2"/>
      <c r="L305" s="2"/>
      <c r="M305" s="2"/>
      <c r="N305" s="2"/>
      <c r="O305" s="2"/>
      <c r="P305" s="2"/>
      <c r="Q305" s="2"/>
      <c r="R305" s="2"/>
      <c r="S305" s="2"/>
      <c r="T305" s="2"/>
      <c r="U305" s="2"/>
      <c r="V305" s="2"/>
      <c r="W305" s="2"/>
      <c r="X305" s="2"/>
      <c r="Y305" s="2"/>
      <c r="Z305" s="2"/>
    </row>
    <row r="306" spans="1:26" ht="12.75" customHeight="1" x14ac:dyDescent="0.2">
      <c r="A306" s="266"/>
      <c r="B306" s="266"/>
      <c r="C306" s="266"/>
      <c r="D306" s="374"/>
      <c r="E306" s="374"/>
      <c r="F306" s="266"/>
      <c r="G306" s="266"/>
      <c r="H306" s="266"/>
      <c r="I306" s="266"/>
      <c r="J306" s="2"/>
      <c r="K306" s="2"/>
      <c r="L306" s="2"/>
      <c r="M306" s="2"/>
      <c r="N306" s="2"/>
      <c r="O306" s="2"/>
      <c r="P306" s="2"/>
      <c r="Q306" s="2"/>
      <c r="R306" s="2"/>
      <c r="S306" s="2"/>
      <c r="T306" s="2"/>
      <c r="U306" s="2"/>
      <c r="V306" s="2"/>
      <c r="W306" s="2"/>
      <c r="X306" s="2"/>
      <c r="Y306" s="2"/>
      <c r="Z306" s="2"/>
    </row>
    <row r="307" spans="1:26" ht="12.75" customHeight="1" x14ac:dyDescent="0.2">
      <c r="A307" s="266"/>
      <c r="B307" s="266"/>
      <c r="C307" s="266"/>
      <c r="D307" s="374"/>
      <c r="E307" s="374"/>
      <c r="F307" s="266"/>
      <c r="G307" s="266"/>
      <c r="H307" s="266"/>
      <c r="I307" s="266"/>
      <c r="J307" s="2"/>
      <c r="K307" s="2"/>
      <c r="L307" s="2"/>
      <c r="M307" s="2"/>
      <c r="N307" s="2"/>
      <c r="O307" s="2"/>
      <c r="P307" s="2"/>
      <c r="Q307" s="2"/>
      <c r="R307" s="2"/>
      <c r="S307" s="2"/>
      <c r="T307" s="2"/>
      <c r="U307" s="2"/>
      <c r="V307" s="2"/>
      <c r="W307" s="2"/>
      <c r="X307" s="2"/>
      <c r="Y307" s="2"/>
      <c r="Z307" s="2"/>
    </row>
    <row r="308" spans="1:26" ht="12.75" customHeight="1" x14ac:dyDescent="0.2">
      <c r="A308" s="266"/>
      <c r="B308" s="266"/>
      <c r="C308" s="266"/>
      <c r="D308" s="374"/>
      <c r="E308" s="374"/>
      <c r="F308" s="266"/>
      <c r="G308" s="266"/>
      <c r="H308" s="266"/>
      <c r="I308" s="266"/>
      <c r="J308" s="2"/>
      <c r="K308" s="2"/>
      <c r="L308" s="2"/>
      <c r="M308" s="2"/>
      <c r="N308" s="2"/>
      <c r="O308" s="2"/>
      <c r="P308" s="2"/>
      <c r="Q308" s="2"/>
      <c r="R308" s="2"/>
      <c r="S308" s="2"/>
      <c r="T308" s="2"/>
      <c r="U308" s="2"/>
      <c r="V308" s="2"/>
      <c r="W308" s="2"/>
      <c r="X308" s="2"/>
      <c r="Y308" s="2"/>
      <c r="Z308" s="2"/>
    </row>
    <row r="309" spans="1:26" ht="12.75" customHeight="1" x14ac:dyDescent="0.2">
      <c r="A309" s="266"/>
      <c r="B309" s="266"/>
      <c r="C309" s="266"/>
      <c r="D309" s="374"/>
      <c r="E309" s="374"/>
      <c r="F309" s="266"/>
      <c r="G309" s="266"/>
      <c r="H309" s="266"/>
      <c r="I309" s="266"/>
      <c r="J309" s="2"/>
      <c r="K309" s="2"/>
      <c r="L309" s="2"/>
      <c r="M309" s="2"/>
      <c r="N309" s="2"/>
      <c r="O309" s="2"/>
      <c r="P309" s="2"/>
      <c r="Q309" s="2"/>
      <c r="R309" s="2"/>
      <c r="S309" s="2"/>
      <c r="T309" s="2"/>
      <c r="U309" s="2"/>
      <c r="V309" s="2"/>
      <c r="W309" s="2"/>
      <c r="X309" s="2"/>
      <c r="Y309" s="2"/>
      <c r="Z309" s="2"/>
    </row>
    <row r="310" spans="1:26" ht="12.75" customHeight="1" x14ac:dyDescent="0.2">
      <c r="A310" s="266"/>
      <c r="B310" s="266"/>
      <c r="C310" s="266"/>
      <c r="D310" s="374"/>
      <c r="E310" s="374"/>
      <c r="F310" s="266"/>
      <c r="G310" s="266"/>
      <c r="H310" s="266"/>
      <c r="I310" s="266"/>
      <c r="J310" s="2"/>
      <c r="K310" s="2"/>
      <c r="L310" s="2"/>
      <c r="M310" s="2"/>
      <c r="N310" s="2"/>
      <c r="O310" s="2"/>
      <c r="P310" s="2"/>
      <c r="Q310" s="2"/>
      <c r="R310" s="2"/>
      <c r="S310" s="2"/>
      <c r="T310" s="2"/>
      <c r="U310" s="2"/>
      <c r="V310" s="2"/>
      <c r="W310" s="2"/>
      <c r="X310" s="2"/>
      <c r="Y310" s="2"/>
      <c r="Z310" s="2"/>
    </row>
    <row r="311" spans="1:26" ht="12.75" customHeight="1" x14ac:dyDescent="0.2">
      <c r="A311" s="266"/>
      <c r="B311" s="266"/>
      <c r="C311" s="266"/>
      <c r="D311" s="374"/>
      <c r="E311" s="374"/>
      <c r="F311" s="266"/>
      <c r="G311" s="266"/>
      <c r="H311" s="266"/>
      <c r="I311" s="266"/>
      <c r="J311" s="2"/>
      <c r="K311" s="2"/>
      <c r="L311" s="2"/>
      <c r="M311" s="2"/>
      <c r="N311" s="2"/>
      <c r="O311" s="2"/>
      <c r="P311" s="2"/>
      <c r="Q311" s="2"/>
      <c r="R311" s="2"/>
      <c r="S311" s="2"/>
      <c r="T311" s="2"/>
      <c r="U311" s="2"/>
      <c r="V311" s="2"/>
      <c r="W311" s="2"/>
      <c r="X311" s="2"/>
      <c r="Y311" s="2"/>
      <c r="Z311" s="2"/>
    </row>
    <row r="312" spans="1:26" ht="12.75" customHeight="1" x14ac:dyDescent="0.2">
      <c r="A312" s="266"/>
      <c r="B312" s="266"/>
      <c r="C312" s="266"/>
      <c r="D312" s="374"/>
      <c r="E312" s="374"/>
      <c r="F312" s="266"/>
      <c r="G312" s="266"/>
      <c r="H312" s="266"/>
      <c r="I312" s="266"/>
      <c r="J312" s="2"/>
      <c r="K312" s="2"/>
      <c r="L312" s="2"/>
      <c r="M312" s="2"/>
      <c r="N312" s="2"/>
      <c r="O312" s="2"/>
      <c r="P312" s="2"/>
      <c r="Q312" s="2"/>
      <c r="R312" s="2"/>
      <c r="S312" s="2"/>
      <c r="T312" s="2"/>
      <c r="U312" s="2"/>
      <c r="V312" s="2"/>
      <c r="W312" s="2"/>
      <c r="X312" s="2"/>
      <c r="Y312" s="2"/>
      <c r="Z312" s="2"/>
    </row>
    <row r="313" spans="1:26" ht="12.75" customHeight="1" x14ac:dyDescent="0.2">
      <c r="A313" s="266"/>
      <c r="B313" s="266"/>
      <c r="C313" s="266"/>
      <c r="D313" s="374"/>
      <c r="E313" s="374"/>
      <c r="F313" s="266"/>
      <c r="G313" s="266"/>
      <c r="H313" s="266"/>
      <c r="I313" s="266"/>
      <c r="J313" s="2"/>
      <c r="K313" s="2"/>
      <c r="L313" s="2"/>
      <c r="M313" s="2"/>
      <c r="N313" s="2"/>
      <c r="O313" s="2"/>
      <c r="P313" s="2"/>
      <c r="Q313" s="2"/>
      <c r="R313" s="2"/>
      <c r="S313" s="2"/>
      <c r="T313" s="2"/>
      <c r="U313" s="2"/>
      <c r="V313" s="2"/>
      <c r="W313" s="2"/>
      <c r="X313" s="2"/>
      <c r="Y313" s="2"/>
      <c r="Z313" s="2"/>
    </row>
    <row r="314" spans="1:26" ht="12.75" customHeight="1" x14ac:dyDescent="0.2">
      <c r="A314" s="266"/>
      <c r="B314" s="266"/>
      <c r="C314" s="266"/>
      <c r="D314" s="374"/>
      <c r="E314" s="374"/>
      <c r="F314" s="266"/>
      <c r="G314" s="266"/>
      <c r="H314" s="266"/>
      <c r="I314" s="266"/>
      <c r="J314" s="2"/>
      <c r="K314" s="2"/>
      <c r="L314" s="2"/>
      <c r="M314" s="2"/>
      <c r="N314" s="2"/>
      <c r="O314" s="2"/>
      <c r="P314" s="2"/>
      <c r="Q314" s="2"/>
      <c r="R314" s="2"/>
      <c r="S314" s="2"/>
      <c r="T314" s="2"/>
      <c r="U314" s="2"/>
      <c r="V314" s="2"/>
      <c r="W314" s="2"/>
      <c r="X314" s="2"/>
      <c r="Y314" s="2"/>
      <c r="Z314" s="2"/>
    </row>
    <row r="315" spans="1:26" ht="12.75" customHeight="1" x14ac:dyDescent="0.2">
      <c r="A315" s="266"/>
      <c r="B315" s="266"/>
      <c r="C315" s="266"/>
      <c r="D315" s="374"/>
      <c r="E315" s="374"/>
      <c r="F315" s="266"/>
      <c r="G315" s="266"/>
      <c r="H315" s="266"/>
      <c r="I315" s="266"/>
      <c r="J315" s="2"/>
      <c r="K315" s="2"/>
      <c r="L315" s="2"/>
      <c r="M315" s="2"/>
      <c r="N315" s="2"/>
      <c r="O315" s="2"/>
      <c r="P315" s="2"/>
      <c r="Q315" s="2"/>
      <c r="R315" s="2"/>
      <c r="S315" s="2"/>
      <c r="T315" s="2"/>
      <c r="U315" s="2"/>
      <c r="V315" s="2"/>
      <c r="W315" s="2"/>
      <c r="X315" s="2"/>
      <c r="Y315" s="2"/>
      <c r="Z315" s="2"/>
    </row>
    <row r="316" spans="1:26" ht="12.75" customHeight="1" x14ac:dyDescent="0.2">
      <c r="A316" s="266"/>
      <c r="B316" s="266"/>
      <c r="C316" s="266"/>
      <c r="D316" s="374"/>
      <c r="E316" s="374"/>
      <c r="F316" s="266"/>
      <c r="G316" s="266"/>
      <c r="H316" s="266"/>
      <c r="I316" s="266"/>
      <c r="J316" s="2"/>
      <c r="K316" s="2"/>
      <c r="L316" s="2"/>
      <c r="M316" s="2"/>
      <c r="N316" s="2"/>
      <c r="O316" s="2"/>
      <c r="P316" s="2"/>
      <c r="Q316" s="2"/>
      <c r="R316" s="2"/>
      <c r="S316" s="2"/>
      <c r="T316" s="2"/>
      <c r="U316" s="2"/>
      <c r="V316" s="2"/>
      <c r="W316" s="2"/>
      <c r="X316" s="2"/>
      <c r="Y316" s="2"/>
      <c r="Z316" s="2"/>
    </row>
    <row r="317" spans="1:26" ht="12.75" customHeight="1" x14ac:dyDescent="0.2">
      <c r="A317" s="266"/>
      <c r="B317" s="266"/>
      <c r="C317" s="266"/>
      <c r="D317" s="374"/>
      <c r="E317" s="374"/>
      <c r="F317" s="266"/>
      <c r="G317" s="266"/>
      <c r="H317" s="266"/>
      <c r="I317" s="266"/>
      <c r="J317" s="2"/>
      <c r="K317" s="2"/>
      <c r="L317" s="2"/>
      <c r="M317" s="2"/>
      <c r="N317" s="2"/>
      <c r="O317" s="2"/>
      <c r="P317" s="2"/>
      <c r="Q317" s="2"/>
      <c r="R317" s="2"/>
      <c r="S317" s="2"/>
      <c r="T317" s="2"/>
      <c r="U317" s="2"/>
      <c r="V317" s="2"/>
      <c r="W317" s="2"/>
      <c r="X317" s="2"/>
      <c r="Y317" s="2"/>
      <c r="Z317" s="2"/>
    </row>
    <row r="318" spans="1:26" ht="12.75" customHeight="1" x14ac:dyDescent="0.2">
      <c r="A318" s="266"/>
      <c r="B318" s="266"/>
      <c r="C318" s="266"/>
      <c r="D318" s="374"/>
      <c r="E318" s="374"/>
      <c r="F318" s="266"/>
      <c r="G318" s="266"/>
      <c r="H318" s="266"/>
      <c r="I318" s="266"/>
      <c r="J318" s="2"/>
      <c r="K318" s="2"/>
      <c r="L318" s="2"/>
      <c r="M318" s="2"/>
      <c r="N318" s="2"/>
      <c r="O318" s="2"/>
      <c r="P318" s="2"/>
      <c r="Q318" s="2"/>
      <c r="R318" s="2"/>
      <c r="S318" s="2"/>
      <c r="T318" s="2"/>
      <c r="U318" s="2"/>
      <c r="V318" s="2"/>
      <c r="W318" s="2"/>
      <c r="X318" s="2"/>
      <c r="Y318" s="2"/>
      <c r="Z318" s="2"/>
    </row>
    <row r="319" spans="1:26" ht="12.75" customHeight="1" x14ac:dyDescent="0.2">
      <c r="A319" s="266"/>
      <c r="B319" s="266"/>
      <c r="C319" s="266"/>
      <c r="D319" s="374"/>
      <c r="E319" s="374"/>
      <c r="F319" s="266"/>
      <c r="G319" s="266"/>
      <c r="H319" s="266"/>
      <c r="I319" s="266"/>
      <c r="J319" s="2"/>
      <c r="K319" s="2"/>
      <c r="L319" s="2"/>
      <c r="M319" s="2"/>
      <c r="N319" s="2"/>
      <c r="O319" s="2"/>
      <c r="P319" s="2"/>
      <c r="Q319" s="2"/>
      <c r="R319" s="2"/>
      <c r="S319" s="2"/>
      <c r="T319" s="2"/>
      <c r="U319" s="2"/>
      <c r="V319" s="2"/>
      <c r="W319" s="2"/>
      <c r="X319" s="2"/>
      <c r="Y319" s="2"/>
      <c r="Z319" s="2"/>
    </row>
    <row r="320" spans="1:26" ht="12.75" customHeight="1" x14ac:dyDescent="0.2">
      <c r="A320" s="266"/>
      <c r="B320" s="266"/>
      <c r="C320" s="266"/>
      <c r="D320" s="374"/>
      <c r="E320" s="374"/>
      <c r="F320" s="266"/>
      <c r="G320" s="266"/>
      <c r="H320" s="266"/>
      <c r="I320" s="266"/>
      <c r="J320" s="2"/>
      <c r="K320" s="2"/>
      <c r="L320" s="2"/>
      <c r="M320" s="2"/>
      <c r="N320" s="2"/>
      <c r="O320" s="2"/>
      <c r="P320" s="2"/>
      <c r="Q320" s="2"/>
      <c r="R320" s="2"/>
      <c r="S320" s="2"/>
      <c r="T320" s="2"/>
      <c r="U320" s="2"/>
      <c r="V320" s="2"/>
      <c r="W320" s="2"/>
      <c r="X320" s="2"/>
      <c r="Y320" s="2"/>
      <c r="Z320" s="2"/>
    </row>
    <row r="321" spans="1:26" ht="12.75" customHeight="1" x14ac:dyDescent="0.2">
      <c r="A321" s="266"/>
      <c r="B321" s="266"/>
      <c r="C321" s="266"/>
      <c r="D321" s="374"/>
      <c r="E321" s="374"/>
      <c r="F321" s="266"/>
      <c r="G321" s="266"/>
      <c r="H321" s="266"/>
      <c r="I321" s="266"/>
      <c r="J321" s="2"/>
      <c r="K321" s="2"/>
      <c r="L321" s="2"/>
      <c r="M321" s="2"/>
      <c r="N321" s="2"/>
      <c r="O321" s="2"/>
      <c r="P321" s="2"/>
      <c r="Q321" s="2"/>
      <c r="R321" s="2"/>
      <c r="S321" s="2"/>
      <c r="T321" s="2"/>
      <c r="U321" s="2"/>
      <c r="V321" s="2"/>
      <c r="W321" s="2"/>
      <c r="X321" s="2"/>
      <c r="Y321" s="2"/>
      <c r="Z321" s="2"/>
    </row>
    <row r="322" spans="1:26" ht="12.75" customHeight="1" x14ac:dyDescent="0.2">
      <c r="A322" s="266"/>
      <c r="B322" s="266"/>
      <c r="C322" s="266"/>
      <c r="D322" s="374"/>
      <c r="E322" s="374"/>
      <c r="F322" s="266"/>
      <c r="G322" s="266"/>
      <c r="H322" s="266"/>
      <c r="I322" s="266"/>
      <c r="J322" s="2"/>
      <c r="K322" s="2"/>
      <c r="L322" s="2"/>
      <c r="M322" s="2"/>
      <c r="N322" s="2"/>
      <c r="O322" s="2"/>
      <c r="P322" s="2"/>
      <c r="Q322" s="2"/>
      <c r="R322" s="2"/>
      <c r="S322" s="2"/>
      <c r="T322" s="2"/>
      <c r="U322" s="2"/>
      <c r="V322" s="2"/>
      <c r="W322" s="2"/>
      <c r="X322" s="2"/>
      <c r="Y322" s="2"/>
      <c r="Z322" s="2"/>
    </row>
    <row r="323" spans="1:26" ht="12.75" customHeight="1" x14ac:dyDescent="0.2">
      <c r="A323" s="266"/>
      <c r="B323" s="266"/>
      <c r="C323" s="266"/>
      <c r="D323" s="374"/>
      <c r="E323" s="374"/>
      <c r="F323" s="266"/>
      <c r="G323" s="266"/>
      <c r="H323" s="266"/>
      <c r="I323" s="266"/>
      <c r="J323" s="2"/>
      <c r="K323" s="2"/>
      <c r="L323" s="2"/>
      <c r="M323" s="2"/>
      <c r="N323" s="2"/>
      <c r="O323" s="2"/>
      <c r="P323" s="2"/>
      <c r="Q323" s="2"/>
      <c r="R323" s="2"/>
      <c r="S323" s="2"/>
      <c r="T323" s="2"/>
      <c r="U323" s="2"/>
      <c r="V323" s="2"/>
      <c r="W323" s="2"/>
      <c r="X323" s="2"/>
      <c r="Y323" s="2"/>
      <c r="Z323" s="2"/>
    </row>
    <row r="324" spans="1:26" ht="12.75" customHeight="1" x14ac:dyDescent="0.2">
      <c r="A324" s="266"/>
      <c r="B324" s="266"/>
      <c r="C324" s="266"/>
      <c r="D324" s="374"/>
      <c r="E324" s="374"/>
      <c r="F324" s="266"/>
      <c r="G324" s="266"/>
      <c r="H324" s="266"/>
      <c r="I324" s="266"/>
      <c r="J324" s="2"/>
      <c r="K324" s="2"/>
      <c r="L324" s="2"/>
      <c r="M324" s="2"/>
      <c r="N324" s="2"/>
      <c r="O324" s="2"/>
      <c r="P324" s="2"/>
      <c r="Q324" s="2"/>
      <c r="R324" s="2"/>
      <c r="S324" s="2"/>
      <c r="T324" s="2"/>
      <c r="U324" s="2"/>
      <c r="V324" s="2"/>
      <c r="W324" s="2"/>
      <c r="X324" s="2"/>
      <c r="Y324" s="2"/>
      <c r="Z324" s="2"/>
    </row>
    <row r="325" spans="1:26" ht="12.75" customHeight="1" x14ac:dyDescent="0.2">
      <c r="A325" s="266"/>
      <c r="B325" s="266"/>
      <c r="C325" s="266"/>
      <c r="D325" s="374"/>
      <c r="E325" s="374"/>
      <c r="F325" s="266"/>
      <c r="G325" s="266"/>
      <c r="H325" s="266"/>
      <c r="I325" s="266"/>
      <c r="J325" s="2"/>
      <c r="K325" s="2"/>
      <c r="L325" s="2"/>
      <c r="M325" s="2"/>
      <c r="N325" s="2"/>
      <c r="O325" s="2"/>
      <c r="P325" s="2"/>
      <c r="Q325" s="2"/>
      <c r="R325" s="2"/>
      <c r="S325" s="2"/>
      <c r="T325" s="2"/>
      <c r="U325" s="2"/>
      <c r="V325" s="2"/>
      <c r="W325" s="2"/>
      <c r="X325" s="2"/>
      <c r="Y325" s="2"/>
      <c r="Z325" s="2"/>
    </row>
    <row r="326" spans="1:26" ht="12.75" customHeight="1" x14ac:dyDescent="0.2">
      <c r="A326" s="266"/>
      <c r="B326" s="266"/>
      <c r="C326" s="266"/>
      <c r="D326" s="374"/>
      <c r="E326" s="374"/>
      <c r="F326" s="266"/>
      <c r="G326" s="266"/>
      <c r="H326" s="266"/>
      <c r="I326" s="266"/>
      <c r="J326" s="2"/>
      <c r="K326" s="2"/>
      <c r="L326" s="2"/>
      <c r="M326" s="2"/>
      <c r="N326" s="2"/>
      <c r="O326" s="2"/>
      <c r="P326" s="2"/>
      <c r="Q326" s="2"/>
      <c r="R326" s="2"/>
      <c r="S326" s="2"/>
      <c r="T326" s="2"/>
      <c r="U326" s="2"/>
      <c r="V326" s="2"/>
      <c r="W326" s="2"/>
      <c r="X326" s="2"/>
      <c r="Y326" s="2"/>
      <c r="Z326" s="2"/>
    </row>
    <row r="327" spans="1:26" ht="12.75" customHeight="1" x14ac:dyDescent="0.2">
      <c r="A327" s="266"/>
      <c r="B327" s="266"/>
      <c r="C327" s="266"/>
      <c r="D327" s="374"/>
      <c r="E327" s="374"/>
      <c r="F327" s="266"/>
      <c r="G327" s="266"/>
      <c r="H327" s="266"/>
      <c r="I327" s="266"/>
      <c r="J327" s="2"/>
      <c r="K327" s="2"/>
      <c r="L327" s="2"/>
      <c r="M327" s="2"/>
      <c r="N327" s="2"/>
      <c r="O327" s="2"/>
      <c r="P327" s="2"/>
      <c r="Q327" s="2"/>
      <c r="R327" s="2"/>
      <c r="S327" s="2"/>
      <c r="T327" s="2"/>
      <c r="U327" s="2"/>
      <c r="V327" s="2"/>
      <c r="W327" s="2"/>
      <c r="X327" s="2"/>
      <c r="Y327" s="2"/>
      <c r="Z327" s="2"/>
    </row>
    <row r="328" spans="1:26" ht="12.75" customHeight="1" x14ac:dyDescent="0.2">
      <c r="A328" s="266"/>
      <c r="B328" s="266"/>
      <c r="C328" s="266"/>
      <c r="D328" s="374"/>
      <c r="E328" s="374"/>
      <c r="F328" s="266"/>
      <c r="G328" s="266"/>
      <c r="H328" s="266"/>
      <c r="I328" s="266"/>
      <c r="J328" s="2"/>
      <c r="K328" s="2"/>
      <c r="L328" s="2"/>
      <c r="M328" s="2"/>
      <c r="N328" s="2"/>
      <c r="O328" s="2"/>
      <c r="P328" s="2"/>
      <c r="Q328" s="2"/>
      <c r="R328" s="2"/>
      <c r="S328" s="2"/>
      <c r="T328" s="2"/>
      <c r="U328" s="2"/>
      <c r="V328" s="2"/>
      <c r="W328" s="2"/>
      <c r="X328" s="2"/>
      <c r="Y328" s="2"/>
      <c r="Z328" s="2"/>
    </row>
    <row r="329" spans="1:26" ht="12.75" customHeight="1" x14ac:dyDescent="0.2">
      <c r="A329" s="266"/>
      <c r="B329" s="266"/>
      <c r="C329" s="266"/>
      <c r="D329" s="374"/>
      <c r="E329" s="374"/>
      <c r="F329" s="266"/>
      <c r="G329" s="266"/>
      <c r="H329" s="266"/>
      <c r="I329" s="266"/>
      <c r="J329" s="2"/>
      <c r="K329" s="2"/>
      <c r="L329" s="2"/>
      <c r="M329" s="2"/>
      <c r="N329" s="2"/>
      <c r="O329" s="2"/>
      <c r="P329" s="2"/>
      <c r="Q329" s="2"/>
      <c r="R329" s="2"/>
      <c r="S329" s="2"/>
      <c r="T329" s="2"/>
      <c r="U329" s="2"/>
      <c r="V329" s="2"/>
      <c r="W329" s="2"/>
      <c r="X329" s="2"/>
      <c r="Y329" s="2"/>
      <c r="Z329" s="2"/>
    </row>
    <row r="330" spans="1:26" ht="12.75" customHeight="1" x14ac:dyDescent="0.2">
      <c r="A330" s="266"/>
      <c r="B330" s="266"/>
      <c r="C330" s="266"/>
      <c r="D330" s="374"/>
      <c r="E330" s="374"/>
      <c r="F330" s="266"/>
      <c r="G330" s="266"/>
      <c r="H330" s="266"/>
      <c r="I330" s="266"/>
      <c r="J330" s="2"/>
      <c r="K330" s="2"/>
      <c r="L330" s="2"/>
      <c r="M330" s="2"/>
      <c r="N330" s="2"/>
      <c r="O330" s="2"/>
      <c r="P330" s="2"/>
      <c r="Q330" s="2"/>
      <c r="R330" s="2"/>
      <c r="S330" s="2"/>
      <c r="T330" s="2"/>
      <c r="U330" s="2"/>
      <c r="V330" s="2"/>
      <c r="W330" s="2"/>
      <c r="X330" s="2"/>
      <c r="Y330" s="2"/>
      <c r="Z330" s="2"/>
    </row>
    <row r="331" spans="1:26" ht="12.75" customHeight="1" x14ac:dyDescent="0.2">
      <c r="A331" s="266"/>
      <c r="B331" s="266"/>
      <c r="C331" s="266"/>
      <c r="D331" s="374"/>
      <c r="E331" s="374"/>
      <c r="F331" s="266"/>
      <c r="G331" s="266"/>
      <c r="H331" s="266"/>
      <c r="I331" s="266"/>
      <c r="J331" s="2"/>
      <c r="K331" s="2"/>
      <c r="L331" s="2"/>
      <c r="M331" s="2"/>
      <c r="N331" s="2"/>
      <c r="O331" s="2"/>
      <c r="P331" s="2"/>
      <c r="Q331" s="2"/>
      <c r="R331" s="2"/>
      <c r="S331" s="2"/>
      <c r="T331" s="2"/>
      <c r="U331" s="2"/>
      <c r="V331" s="2"/>
      <c r="W331" s="2"/>
      <c r="X331" s="2"/>
      <c r="Y331" s="2"/>
      <c r="Z331" s="2"/>
    </row>
    <row r="332" spans="1:26" ht="12.75" customHeight="1" x14ac:dyDescent="0.2">
      <c r="A332" s="266"/>
      <c r="B332" s="266"/>
      <c r="C332" s="266"/>
      <c r="D332" s="374"/>
      <c r="E332" s="374"/>
      <c r="F332" s="266"/>
      <c r="G332" s="266"/>
      <c r="H332" s="266"/>
      <c r="I332" s="266"/>
      <c r="J332" s="2"/>
      <c r="K332" s="2"/>
      <c r="L332" s="2"/>
      <c r="M332" s="2"/>
      <c r="N332" s="2"/>
      <c r="O332" s="2"/>
      <c r="P332" s="2"/>
      <c r="Q332" s="2"/>
      <c r="R332" s="2"/>
      <c r="S332" s="2"/>
      <c r="T332" s="2"/>
      <c r="U332" s="2"/>
      <c r="V332" s="2"/>
      <c r="W332" s="2"/>
      <c r="X332" s="2"/>
      <c r="Y332" s="2"/>
      <c r="Z332" s="2"/>
    </row>
    <row r="333" spans="1:26" ht="12.75" customHeight="1" x14ac:dyDescent="0.2">
      <c r="A333" s="266"/>
      <c r="B333" s="266"/>
      <c r="C333" s="266"/>
      <c r="D333" s="374"/>
      <c r="E333" s="374"/>
      <c r="F333" s="266"/>
      <c r="G333" s="266"/>
      <c r="H333" s="266"/>
      <c r="I333" s="266"/>
      <c r="J333" s="2"/>
      <c r="K333" s="2"/>
      <c r="L333" s="2"/>
      <c r="M333" s="2"/>
      <c r="N333" s="2"/>
      <c r="O333" s="2"/>
      <c r="P333" s="2"/>
      <c r="Q333" s="2"/>
      <c r="R333" s="2"/>
      <c r="S333" s="2"/>
      <c r="T333" s="2"/>
      <c r="U333" s="2"/>
      <c r="V333" s="2"/>
      <c r="W333" s="2"/>
      <c r="X333" s="2"/>
      <c r="Y333" s="2"/>
      <c r="Z333" s="2"/>
    </row>
    <row r="334" spans="1:26" ht="12.75" customHeight="1" x14ac:dyDescent="0.2">
      <c r="A334" s="266"/>
      <c r="B334" s="266"/>
      <c r="C334" s="266"/>
      <c r="D334" s="374"/>
      <c r="E334" s="374"/>
      <c r="F334" s="266"/>
      <c r="G334" s="266"/>
      <c r="H334" s="266"/>
      <c r="I334" s="266"/>
      <c r="J334" s="2"/>
      <c r="K334" s="2"/>
      <c r="L334" s="2"/>
      <c r="M334" s="2"/>
      <c r="N334" s="2"/>
      <c r="O334" s="2"/>
      <c r="P334" s="2"/>
      <c r="Q334" s="2"/>
      <c r="R334" s="2"/>
      <c r="S334" s="2"/>
      <c r="T334" s="2"/>
      <c r="U334" s="2"/>
      <c r="V334" s="2"/>
      <c r="W334" s="2"/>
      <c r="X334" s="2"/>
      <c r="Y334" s="2"/>
      <c r="Z334" s="2"/>
    </row>
    <row r="335" spans="1:26" ht="12.75" customHeight="1" x14ac:dyDescent="0.2">
      <c r="A335" s="266"/>
      <c r="B335" s="266"/>
      <c r="C335" s="266"/>
      <c r="D335" s="374"/>
      <c r="E335" s="374"/>
      <c r="F335" s="266"/>
      <c r="G335" s="266"/>
      <c r="H335" s="266"/>
      <c r="I335" s="266"/>
      <c r="J335" s="2"/>
      <c r="K335" s="2"/>
      <c r="L335" s="2"/>
      <c r="M335" s="2"/>
      <c r="N335" s="2"/>
      <c r="O335" s="2"/>
      <c r="P335" s="2"/>
      <c r="Q335" s="2"/>
      <c r="R335" s="2"/>
      <c r="S335" s="2"/>
      <c r="T335" s="2"/>
      <c r="U335" s="2"/>
      <c r="V335" s="2"/>
      <c r="W335" s="2"/>
      <c r="X335" s="2"/>
      <c r="Y335" s="2"/>
      <c r="Z335" s="2"/>
    </row>
    <row r="336" spans="1:26" ht="12.75" customHeight="1" x14ac:dyDescent="0.2">
      <c r="A336" s="266"/>
      <c r="B336" s="266"/>
      <c r="C336" s="266"/>
      <c r="D336" s="374"/>
      <c r="E336" s="374"/>
      <c r="F336" s="266"/>
      <c r="G336" s="266"/>
      <c r="H336" s="266"/>
      <c r="I336" s="266"/>
      <c r="J336" s="2"/>
      <c r="K336" s="2"/>
      <c r="L336" s="2"/>
      <c r="M336" s="2"/>
      <c r="N336" s="2"/>
      <c r="O336" s="2"/>
      <c r="P336" s="2"/>
      <c r="Q336" s="2"/>
      <c r="R336" s="2"/>
      <c r="S336" s="2"/>
      <c r="T336" s="2"/>
      <c r="U336" s="2"/>
      <c r="V336" s="2"/>
      <c r="W336" s="2"/>
      <c r="X336" s="2"/>
      <c r="Y336" s="2"/>
      <c r="Z336" s="2"/>
    </row>
    <row r="337" spans="1:26" ht="12.75" customHeight="1" x14ac:dyDescent="0.2">
      <c r="A337" s="266"/>
      <c r="B337" s="266"/>
      <c r="C337" s="266"/>
      <c r="D337" s="374"/>
      <c r="E337" s="374"/>
      <c r="F337" s="266"/>
      <c r="G337" s="266"/>
      <c r="H337" s="266"/>
      <c r="I337" s="266"/>
      <c r="J337" s="2"/>
      <c r="K337" s="2"/>
      <c r="L337" s="2"/>
      <c r="M337" s="2"/>
      <c r="N337" s="2"/>
      <c r="O337" s="2"/>
      <c r="P337" s="2"/>
      <c r="Q337" s="2"/>
      <c r="R337" s="2"/>
      <c r="S337" s="2"/>
      <c r="T337" s="2"/>
      <c r="U337" s="2"/>
      <c r="V337" s="2"/>
      <c r="W337" s="2"/>
      <c r="X337" s="2"/>
      <c r="Y337" s="2"/>
      <c r="Z337" s="2"/>
    </row>
    <row r="338" spans="1:26" ht="12.75" customHeight="1" x14ac:dyDescent="0.2">
      <c r="A338" s="266"/>
      <c r="B338" s="266"/>
      <c r="C338" s="266"/>
      <c r="D338" s="374"/>
      <c r="E338" s="374"/>
      <c r="F338" s="266"/>
      <c r="G338" s="266"/>
      <c r="H338" s="266"/>
      <c r="I338" s="266"/>
      <c r="J338" s="2"/>
      <c r="K338" s="2"/>
      <c r="L338" s="2"/>
      <c r="M338" s="2"/>
      <c r="N338" s="2"/>
      <c r="O338" s="2"/>
      <c r="P338" s="2"/>
      <c r="Q338" s="2"/>
      <c r="R338" s="2"/>
      <c r="S338" s="2"/>
      <c r="T338" s="2"/>
      <c r="U338" s="2"/>
      <c r="V338" s="2"/>
      <c r="W338" s="2"/>
      <c r="X338" s="2"/>
      <c r="Y338" s="2"/>
      <c r="Z338" s="2"/>
    </row>
    <row r="339" spans="1:26" ht="12.75" customHeight="1" x14ac:dyDescent="0.2">
      <c r="A339" s="266"/>
      <c r="B339" s="266"/>
      <c r="C339" s="266"/>
      <c r="D339" s="374"/>
      <c r="E339" s="374"/>
      <c r="F339" s="266"/>
      <c r="G339" s="266"/>
      <c r="H339" s="266"/>
      <c r="I339" s="266"/>
      <c r="J339" s="2"/>
      <c r="K339" s="2"/>
      <c r="L339" s="2"/>
      <c r="M339" s="2"/>
      <c r="N339" s="2"/>
      <c r="O339" s="2"/>
      <c r="P339" s="2"/>
      <c r="Q339" s="2"/>
      <c r="R339" s="2"/>
      <c r="S339" s="2"/>
      <c r="T339" s="2"/>
      <c r="U339" s="2"/>
      <c r="V339" s="2"/>
      <c r="W339" s="2"/>
      <c r="X339" s="2"/>
      <c r="Y339" s="2"/>
      <c r="Z339" s="2"/>
    </row>
    <row r="340" spans="1:26" ht="12.75" customHeight="1" x14ac:dyDescent="0.2">
      <c r="A340" s="266"/>
      <c r="B340" s="266"/>
      <c r="C340" s="266"/>
      <c r="D340" s="374"/>
      <c r="E340" s="374"/>
      <c r="F340" s="266"/>
      <c r="G340" s="266"/>
      <c r="H340" s="266"/>
      <c r="I340" s="266"/>
      <c r="J340" s="2"/>
      <c r="K340" s="2"/>
      <c r="L340" s="2"/>
      <c r="M340" s="2"/>
      <c r="N340" s="2"/>
      <c r="O340" s="2"/>
      <c r="P340" s="2"/>
      <c r="Q340" s="2"/>
      <c r="R340" s="2"/>
      <c r="S340" s="2"/>
      <c r="T340" s="2"/>
      <c r="U340" s="2"/>
      <c r="V340" s="2"/>
      <c r="W340" s="2"/>
      <c r="X340" s="2"/>
      <c r="Y340" s="2"/>
      <c r="Z340" s="2"/>
    </row>
    <row r="341" spans="1:26" ht="12.75" customHeight="1" x14ac:dyDescent="0.2">
      <c r="A341" s="266"/>
      <c r="B341" s="266"/>
      <c r="C341" s="266"/>
      <c r="D341" s="374"/>
      <c r="E341" s="374"/>
      <c r="F341" s="266"/>
      <c r="G341" s="266"/>
      <c r="H341" s="266"/>
      <c r="I341" s="266"/>
      <c r="J341" s="2"/>
      <c r="K341" s="2"/>
      <c r="L341" s="2"/>
      <c r="M341" s="2"/>
      <c r="N341" s="2"/>
      <c r="O341" s="2"/>
      <c r="P341" s="2"/>
      <c r="Q341" s="2"/>
      <c r="R341" s="2"/>
      <c r="S341" s="2"/>
      <c r="T341" s="2"/>
      <c r="U341" s="2"/>
      <c r="V341" s="2"/>
      <c r="W341" s="2"/>
      <c r="X341" s="2"/>
      <c r="Y341" s="2"/>
      <c r="Z341" s="2"/>
    </row>
    <row r="342" spans="1:26" ht="12.75" customHeight="1" x14ac:dyDescent="0.2">
      <c r="A342" s="266"/>
      <c r="B342" s="266"/>
      <c r="C342" s="266"/>
      <c r="D342" s="374"/>
      <c r="E342" s="374"/>
      <c r="F342" s="266"/>
      <c r="G342" s="266"/>
      <c r="H342" s="266"/>
      <c r="I342" s="266"/>
      <c r="J342" s="2"/>
      <c r="K342" s="2"/>
      <c r="L342" s="2"/>
      <c r="M342" s="2"/>
      <c r="N342" s="2"/>
      <c r="O342" s="2"/>
      <c r="P342" s="2"/>
      <c r="Q342" s="2"/>
      <c r="R342" s="2"/>
      <c r="S342" s="2"/>
      <c r="T342" s="2"/>
      <c r="U342" s="2"/>
      <c r="V342" s="2"/>
      <c r="W342" s="2"/>
      <c r="X342" s="2"/>
      <c r="Y342" s="2"/>
      <c r="Z342" s="2"/>
    </row>
    <row r="343" spans="1:26" ht="12.75" customHeight="1" x14ac:dyDescent="0.2">
      <c r="A343" s="266"/>
      <c r="B343" s="266"/>
      <c r="C343" s="266"/>
      <c r="D343" s="374"/>
      <c r="E343" s="374"/>
      <c r="F343" s="266"/>
      <c r="G343" s="266"/>
      <c r="H343" s="266"/>
      <c r="I343" s="266"/>
      <c r="J343" s="2"/>
      <c r="K343" s="2"/>
      <c r="L343" s="2"/>
      <c r="M343" s="2"/>
      <c r="N343" s="2"/>
      <c r="O343" s="2"/>
      <c r="P343" s="2"/>
      <c r="Q343" s="2"/>
      <c r="R343" s="2"/>
      <c r="S343" s="2"/>
      <c r="T343" s="2"/>
      <c r="U343" s="2"/>
      <c r="V343" s="2"/>
      <c r="W343" s="2"/>
      <c r="X343" s="2"/>
      <c r="Y343" s="2"/>
      <c r="Z343" s="2"/>
    </row>
    <row r="344" spans="1:26" ht="12.75" customHeight="1" x14ac:dyDescent="0.2">
      <c r="A344" s="266"/>
      <c r="B344" s="266"/>
      <c r="C344" s="266"/>
      <c r="D344" s="374"/>
      <c r="E344" s="374"/>
      <c r="F344" s="266"/>
      <c r="G344" s="266"/>
      <c r="H344" s="266"/>
      <c r="I344" s="266"/>
      <c r="J344" s="2"/>
      <c r="K344" s="2"/>
      <c r="L344" s="2"/>
      <c r="M344" s="2"/>
      <c r="N344" s="2"/>
      <c r="O344" s="2"/>
      <c r="P344" s="2"/>
      <c r="Q344" s="2"/>
      <c r="R344" s="2"/>
      <c r="S344" s="2"/>
      <c r="T344" s="2"/>
      <c r="U344" s="2"/>
      <c r="V344" s="2"/>
      <c r="W344" s="2"/>
      <c r="X344" s="2"/>
      <c r="Y344" s="2"/>
      <c r="Z344" s="2"/>
    </row>
    <row r="345" spans="1:26" ht="12.75" customHeight="1" x14ac:dyDescent="0.2">
      <c r="A345" s="266"/>
      <c r="B345" s="266"/>
      <c r="C345" s="266"/>
      <c r="D345" s="374"/>
      <c r="E345" s="374"/>
      <c r="F345" s="266"/>
      <c r="G345" s="266"/>
      <c r="H345" s="266"/>
      <c r="I345" s="266"/>
      <c r="J345" s="2"/>
      <c r="K345" s="2"/>
      <c r="L345" s="2"/>
      <c r="M345" s="2"/>
      <c r="N345" s="2"/>
      <c r="O345" s="2"/>
      <c r="P345" s="2"/>
      <c r="Q345" s="2"/>
      <c r="R345" s="2"/>
      <c r="S345" s="2"/>
      <c r="T345" s="2"/>
      <c r="U345" s="2"/>
      <c r="V345" s="2"/>
      <c r="W345" s="2"/>
      <c r="X345" s="2"/>
      <c r="Y345" s="2"/>
      <c r="Z345" s="2"/>
    </row>
    <row r="346" spans="1:26" ht="12.75" customHeight="1" x14ac:dyDescent="0.2">
      <c r="A346" s="266"/>
      <c r="B346" s="266"/>
      <c r="C346" s="266"/>
      <c r="D346" s="374"/>
      <c r="E346" s="374"/>
      <c r="F346" s="266"/>
      <c r="G346" s="266"/>
      <c r="H346" s="266"/>
      <c r="I346" s="266"/>
      <c r="J346" s="2"/>
      <c r="K346" s="2"/>
      <c r="L346" s="2"/>
      <c r="M346" s="2"/>
      <c r="N346" s="2"/>
      <c r="O346" s="2"/>
      <c r="P346" s="2"/>
      <c r="Q346" s="2"/>
      <c r="R346" s="2"/>
      <c r="S346" s="2"/>
      <c r="T346" s="2"/>
      <c r="U346" s="2"/>
      <c r="V346" s="2"/>
      <c r="W346" s="2"/>
      <c r="X346" s="2"/>
      <c r="Y346" s="2"/>
      <c r="Z346" s="2"/>
    </row>
    <row r="347" spans="1:26" ht="12.75" customHeight="1" x14ac:dyDescent="0.2">
      <c r="A347" s="266"/>
      <c r="B347" s="266"/>
      <c r="C347" s="266"/>
      <c r="D347" s="374"/>
      <c r="E347" s="374"/>
      <c r="F347" s="266"/>
      <c r="G347" s="266"/>
      <c r="H347" s="266"/>
      <c r="I347" s="266"/>
      <c r="J347" s="2"/>
      <c r="K347" s="2"/>
      <c r="L347" s="2"/>
      <c r="M347" s="2"/>
      <c r="N347" s="2"/>
      <c r="O347" s="2"/>
      <c r="P347" s="2"/>
      <c r="Q347" s="2"/>
      <c r="R347" s="2"/>
      <c r="S347" s="2"/>
      <c r="T347" s="2"/>
      <c r="U347" s="2"/>
      <c r="V347" s="2"/>
      <c r="W347" s="2"/>
      <c r="X347" s="2"/>
      <c r="Y347" s="2"/>
      <c r="Z347" s="2"/>
    </row>
    <row r="348" spans="1:26" ht="12.75" customHeight="1" x14ac:dyDescent="0.2">
      <c r="A348" s="266"/>
      <c r="B348" s="266"/>
      <c r="C348" s="266"/>
      <c r="D348" s="374"/>
      <c r="E348" s="374"/>
      <c r="F348" s="266"/>
      <c r="G348" s="266"/>
      <c r="H348" s="266"/>
      <c r="I348" s="266"/>
      <c r="J348" s="2"/>
      <c r="K348" s="2"/>
      <c r="L348" s="2"/>
      <c r="M348" s="2"/>
      <c r="N348" s="2"/>
      <c r="O348" s="2"/>
      <c r="P348" s="2"/>
      <c r="Q348" s="2"/>
      <c r="R348" s="2"/>
      <c r="S348" s="2"/>
      <c r="T348" s="2"/>
      <c r="U348" s="2"/>
      <c r="V348" s="2"/>
      <c r="W348" s="2"/>
      <c r="X348" s="2"/>
      <c r="Y348" s="2"/>
      <c r="Z348" s="2"/>
    </row>
    <row r="349" spans="1:26" ht="12.75" customHeight="1" x14ac:dyDescent="0.2">
      <c r="A349" s="266"/>
      <c r="B349" s="266"/>
      <c r="C349" s="266"/>
      <c r="D349" s="374"/>
      <c r="E349" s="374"/>
      <c r="F349" s="266"/>
      <c r="G349" s="266"/>
      <c r="H349" s="266"/>
      <c r="I349" s="266"/>
      <c r="J349" s="2"/>
      <c r="K349" s="2"/>
      <c r="L349" s="2"/>
      <c r="M349" s="2"/>
      <c r="N349" s="2"/>
      <c r="O349" s="2"/>
      <c r="P349" s="2"/>
      <c r="Q349" s="2"/>
      <c r="R349" s="2"/>
      <c r="S349" s="2"/>
      <c r="T349" s="2"/>
      <c r="U349" s="2"/>
      <c r="V349" s="2"/>
      <c r="W349" s="2"/>
      <c r="X349" s="2"/>
      <c r="Y349" s="2"/>
      <c r="Z349" s="2"/>
    </row>
    <row r="350" spans="1:26" ht="12.75" customHeight="1" x14ac:dyDescent="0.2">
      <c r="A350" s="266"/>
      <c r="B350" s="266"/>
      <c r="C350" s="266"/>
      <c r="D350" s="374"/>
      <c r="E350" s="374"/>
      <c r="F350" s="266"/>
      <c r="G350" s="266"/>
      <c r="H350" s="266"/>
      <c r="I350" s="266"/>
      <c r="J350" s="2"/>
      <c r="K350" s="2"/>
      <c r="L350" s="2"/>
      <c r="M350" s="2"/>
      <c r="N350" s="2"/>
      <c r="O350" s="2"/>
      <c r="P350" s="2"/>
      <c r="Q350" s="2"/>
      <c r="R350" s="2"/>
      <c r="S350" s="2"/>
      <c r="T350" s="2"/>
      <c r="U350" s="2"/>
      <c r="V350" s="2"/>
      <c r="W350" s="2"/>
      <c r="X350" s="2"/>
      <c r="Y350" s="2"/>
      <c r="Z350" s="2"/>
    </row>
    <row r="351" spans="1:26" ht="12.75" customHeight="1" x14ac:dyDescent="0.2">
      <c r="A351" s="266"/>
      <c r="B351" s="266"/>
      <c r="C351" s="266"/>
      <c r="D351" s="374"/>
      <c r="E351" s="374"/>
      <c r="F351" s="266"/>
      <c r="G351" s="266"/>
      <c r="H351" s="266"/>
      <c r="I351" s="266"/>
      <c r="J351" s="2"/>
      <c r="K351" s="2"/>
      <c r="L351" s="2"/>
      <c r="M351" s="2"/>
      <c r="N351" s="2"/>
      <c r="O351" s="2"/>
      <c r="P351" s="2"/>
      <c r="Q351" s="2"/>
      <c r="R351" s="2"/>
      <c r="S351" s="2"/>
      <c r="T351" s="2"/>
      <c r="U351" s="2"/>
      <c r="V351" s="2"/>
      <c r="W351" s="2"/>
      <c r="X351" s="2"/>
      <c r="Y351" s="2"/>
      <c r="Z351" s="2"/>
    </row>
    <row r="352" spans="1:26" ht="12.75" customHeight="1" x14ac:dyDescent="0.2">
      <c r="A352" s="266"/>
      <c r="B352" s="266"/>
      <c r="C352" s="266"/>
      <c r="D352" s="374"/>
      <c r="E352" s="374"/>
      <c r="F352" s="266"/>
      <c r="G352" s="266"/>
      <c r="H352" s="266"/>
      <c r="I352" s="266"/>
      <c r="J352" s="2"/>
      <c r="K352" s="2"/>
      <c r="L352" s="2"/>
      <c r="M352" s="2"/>
      <c r="N352" s="2"/>
      <c r="O352" s="2"/>
      <c r="P352" s="2"/>
      <c r="Q352" s="2"/>
      <c r="R352" s="2"/>
      <c r="S352" s="2"/>
      <c r="T352" s="2"/>
      <c r="U352" s="2"/>
      <c r="V352" s="2"/>
      <c r="W352" s="2"/>
      <c r="X352" s="2"/>
      <c r="Y352" s="2"/>
      <c r="Z352" s="2"/>
    </row>
    <row r="353" spans="1:26" ht="12.75" customHeight="1" x14ac:dyDescent="0.2">
      <c r="A353" s="266"/>
      <c r="B353" s="266"/>
      <c r="C353" s="266"/>
      <c r="D353" s="374"/>
      <c r="E353" s="374"/>
      <c r="F353" s="266"/>
      <c r="G353" s="266"/>
      <c r="H353" s="266"/>
      <c r="I353" s="266"/>
      <c r="J353" s="2"/>
      <c r="K353" s="2"/>
      <c r="L353" s="2"/>
      <c r="M353" s="2"/>
      <c r="N353" s="2"/>
      <c r="O353" s="2"/>
      <c r="P353" s="2"/>
      <c r="Q353" s="2"/>
      <c r="R353" s="2"/>
      <c r="S353" s="2"/>
      <c r="T353" s="2"/>
      <c r="U353" s="2"/>
      <c r="V353" s="2"/>
      <c r="W353" s="2"/>
      <c r="X353" s="2"/>
      <c r="Y353" s="2"/>
      <c r="Z353" s="2"/>
    </row>
    <row r="354" spans="1:26" ht="12.75" customHeight="1" x14ac:dyDescent="0.2">
      <c r="A354" s="266"/>
      <c r="B354" s="266"/>
      <c r="C354" s="266"/>
      <c r="D354" s="374"/>
      <c r="E354" s="374"/>
      <c r="F354" s="266"/>
      <c r="G354" s="266"/>
      <c r="H354" s="266"/>
      <c r="I354" s="266"/>
      <c r="J354" s="2"/>
      <c r="K354" s="2"/>
      <c r="L354" s="2"/>
      <c r="M354" s="2"/>
      <c r="N354" s="2"/>
      <c r="O354" s="2"/>
      <c r="P354" s="2"/>
      <c r="Q354" s="2"/>
      <c r="R354" s="2"/>
      <c r="S354" s="2"/>
      <c r="T354" s="2"/>
      <c r="U354" s="2"/>
      <c r="V354" s="2"/>
      <c r="W354" s="2"/>
      <c r="X354" s="2"/>
      <c r="Y354" s="2"/>
      <c r="Z354" s="2"/>
    </row>
    <row r="355" spans="1:26" ht="12.75" customHeight="1" x14ac:dyDescent="0.2">
      <c r="A355" s="266"/>
      <c r="B355" s="266"/>
      <c r="C355" s="266"/>
      <c r="D355" s="374"/>
      <c r="E355" s="374"/>
      <c r="F355" s="266"/>
      <c r="G355" s="266"/>
      <c r="H355" s="266"/>
      <c r="I355" s="266"/>
      <c r="J355" s="2"/>
      <c r="K355" s="2"/>
      <c r="L355" s="2"/>
      <c r="M355" s="2"/>
      <c r="N355" s="2"/>
      <c r="O355" s="2"/>
      <c r="P355" s="2"/>
      <c r="Q355" s="2"/>
      <c r="R355" s="2"/>
      <c r="S355" s="2"/>
      <c r="T355" s="2"/>
      <c r="U355" s="2"/>
      <c r="V355" s="2"/>
      <c r="W355" s="2"/>
      <c r="X355" s="2"/>
      <c r="Y355" s="2"/>
      <c r="Z355" s="2"/>
    </row>
    <row r="356" spans="1:26" ht="12.75" customHeight="1" x14ac:dyDescent="0.2">
      <c r="A356" s="266"/>
      <c r="B356" s="266"/>
      <c r="C356" s="266"/>
      <c r="D356" s="374"/>
      <c r="E356" s="374"/>
      <c r="F356" s="266"/>
      <c r="G356" s="266"/>
      <c r="H356" s="266"/>
      <c r="I356" s="266"/>
      <c r="J356" s="2"/>
      <c r="K356" s="2"/>
      <c r="L356" s="2"/>
      <c r="M356" s="2"/>
      <c r="N356" s="2"/>
      <c r="O356" s="2"/>
      <c r="P356" s="2"/>
      <c r="Q356" s="2"/>
      <c r="R356" s="2"/>
      <c r="S356" s="2"/>
      <c r="T356" s="2"/>
      <c r="U356" s="2"/>
      <c r="V356" s="2"/>
      <c r="W356" s="2"/>
      <c r="X356" s="2"/>
      <c r="Y356" s="2"/>
      <c r="Z356" s="2"/>
    </row>
    <row r="357" spans="1:26" ht="12.75" customHeight="1" x14ac:dyDescent="0.2">
      <c r="A357" s="266"/>
      <c r="B357" s="266"/>
      <c r="C357" s="266"/>
      <c r="D357" s="374"/>
      <c r="E357" s="374"/>
      <c r="F357" s="266"/>
      <c r="G357" s="266"/>
      <c r="H357" s="266"/>
      <c r="I357" s="266"/>
      <c r="J357" s="2"/>
      <c r="K357" s="2"/>
      <c r="L357" s="2"/>
      <c r="M357" s="2"/>
      <c r="N357" s="2"/>
      <c r="O357" s="2"/>
      <c r="P357" s="2"/>
      <c r="Q357" s="2"/>
      <c r="R357" s="2"/>
      <c r="S357" s="2"/>
      <c r="T357" s="2"/>
      <c r="U357" s="2"/>
      <c r="V357" s="2"/>
      <c r="W357" s="2"/>
      <c r="X357" s="2"/>
      <c r="Y357" s="2"/>
      <c r="Z357" s="2"/>
    </row>
    <row r="358" spans="1:26" ht="12.75" customHeight="1" x14ac:dyDescent="0.2">
      <c r="A358" s="266"/>
      <c r="B358" s="266"/>
      <c r="C358" s="266"/>
      <c r="D358" s="374"/>
      <c r="E358" s="374"/>
      <c r="F358" s="266"/>
      <c r="G358" s="266"/>
      <c r="H358" s="266"/>
      <c r="I358" s="266"/>
      <c r="J358" s="2"/>
      <c r="K358" s="2"/>
      <c r="L358" s="2"/>
      <c r="M358" s="2"/>
      <c r="N358" s="2"/>
      <c r="O358" s="2"/>
      <c r="P358" s="2"/>
      <c r="Q358" s="2"/>
      <c r="R358" s="2"/>
      <c r="S358" s="2"/>
      <c r="T358" s="2"/>
      <c r="U358" s="2"/>
      <c r="V358" s="2"/>
      <c r="W358" s="2"/>
      <c r="X358" s="2"/>
      <c r="Y358" s="2"/>
      <c r="Z358" s="2"/>
    </row>
    <row r="359" spans="1:26" ht="12.75" customHeight="1" x14ac:dyDescent="0.2">
      <c r="A359" s="266"/>
      <c r="B359" s="266"/>
      <c r="C359" s="266"/>
      <c r="D359" s="374"/>
      <c r="E359" s="374"/>
      <c r="F359" s="266"/>
      <c r="G359" s="266"/>
      <c r="H359" s="266"/>
      <c r="I359" s="266"/>
      <c r="J359" s="2"/>
      <c r="K359" s="2"/>
      <c r="L359" s="2"/>
      <c r="M359" s="2"/>
      <c r="N359" s="2"/>
      <c r="O359" s="2"/>
      <c r="P359" s="2"/>
      <c r="Q359" s="2"/>
      <c r="R359" s="2"/>
      <c r="S359" s="2"/>
      <c r="T359" s="2"/>
      <c r="U359" s="2"/>
      <c r="V359" s="2"/>
      <c r="W359" s="2"/>
      <c r="X359" s="2"/>
      <c r="Y359" s="2"/>
      <c r="Z359" s="2"/>
    </row>
    <row r="360" spans="1:26" ht="12.75" customHeight="1" x14ac:dyDescent="0.2">
      <c r="A360" s="266"/>
      <c r="B360" s="266"/>
      <c r="C360" s="266"/>
      <c r="D360" s="374"/>
      <c r="E360" s="374"/>
      <c r="F360" s="266"/>
      <c r="G360" s="266"/>
      <c r="H360" s="266"/>
      <c r="I360" s="266"/>
      <c r="J360" s="2"/>
      <c r="K360" s="2"/>
      <c r="L360" s="2"/>
      <c r="M360" s="2"/>
      <c r="N360" s="2"/>
      <c r="O360" s="2"/>
      <c r="P360" s="2"/>
      <c r="Q360" s="2"/>
      <c r="R360" s="2"/>
      <c r="S360" s="2"/>
      <c r="T360" s="2"/>
      <c r="U360" s="2"/>
      <c r="V360" s="2"/>
      <c r="W360" s="2"/>
      <c r="X360" s="2"/>
      <c r="Y360" s="2"/>
      <c r="Z360" s="2"/>
    </row>
    <row r="361" spans="1:26" ht="12.75" customHeight="1" x14ac:dyDescent="0.2">
      <c r="A361" s="266"/>
      <c r="B361" s="266"/>
      <c r="C361" s="266"/>
      <c r="D361" s="374"/>
      <c r="E361" s="374"/>
      <c r="F361" s="266"/>
      <c r="G361" s="266"/>
      <c r="H361" s="266"/>
      <c r="I361" s="266"/>
      <c r="J361" s="2"/>
      <c r="K361" s="2"/>
      <c r="L361" s="2"/>
      <c r="M361" s="2"/>
      <c r="N361" s="2"/>
      <c r="O361" s="2"/>
      <c r="P361" s="2"/>
      <c r="Q361" s="2"/>
      <c r="R361" s="2"/>
      <c r="S361" s="2"/>
      <c r="T361" s="2"/>
      <c r="U361" s="2"/>
      <c r="V361" s="2"/>
      <c r="W361" s="2"/>
      <c r="X361" s="2"/>
      <c r="Y361" s="2"/>
      <c r="Z361" s="2"/>
    </row>
    <row r="362" spans="1:26" ht="12.75" customHeight="1" x14ac:dyDescent="0.2">
      <c r="A362" s="266"/>
      <c r="B362" s="266"/>
      <c r="C362" s="266"/>
      <c r="D362" s="374"/>
      <c r="E362" s="374"/>
      <c r="F362" s="266"/>
      <c r="G362" s="266"/>
      <c r="H362" s="266"/>
      <c r="I362" s="266"/>
      <c r="J362" s="2"/>
      <c r="K362" s="2"/>
      <c r="L362" s="2"/>
      <c r="M362" s="2"/>
      <c r="N362" s="2"/>
      <c r="O362" s="2"/>
      <c r="P362" s="2"/>
      <c r="Q362" s="2"/>
      <c r="R362" s="2"/>
      <c r="S362" s="2"/>
      <c r="T362" s="2"/>
      <c r="U362" s="2"/>
      <c r="V362" s="2"/>
      <c r="W362" s="2"/>
      <c r="X362" s="2"/>
      <c r="Y362" s="2"/>
      <c r="Z362" s="2"/>
    </row>
    <row r="363" spans="1:26" ht="12.75" customHeight="1" x14ac:dyDescent="0.2">
      <c r="A363" s="266"/>
      <c r="B363" s="266"/>
      <c r="C363" s="266"/>
      <c r="D363" s="374"/>
      <c r="E363" s="374"/>
      <c r="F363" s="266"/>
      <c r="G363" s="266"/>
      <c r="H363" s="266"/>
      <c r="I363" s="266"/>
      <c r="J363" s="2"/>
      <c r="K363" s="2"/>
      <c r="L363" s="2"/>
      <c r="M363" s="2"/>
      <c r="N363" s="2"/>
      <c r="O363" s="2"/>
      <c r="P363" s="2"/>
      <c r="Q363" s="2"/>
      <c r="R363" s="2"/>
      <c r="S363" s="2"/>
      <c r="T363" s="2"/>
      <c r="U363" s="2"/>
      <c r="V363" s="2"/>
      <c r="W363" s="2"/>
      <c r="X363" s="2"/>
      <c r="Y363" s="2"/>
      <c r="Z363" s="2"/>
    </row>
    <row r="364" spans="1:26" ht="12.75" customHeight="1" x14ac:dyDescent="0.2">
      <c r="A364" s="266"/>
      <c r="B364" s="266"/>
      <c r="C364" s="266"/>
      <c r="D364" s="374"/>
      <c r="E364" s="374"/>
      <c r="F364" s="266"/>
      <c r="G364" s="266"/>
      <c r="H364" s="266"/>
      <c r="I364" s="266"/>
      <c r="J364" s="2"/>
      <c r="K364" s="2"/>
      <c r="L364" s="2"/>
      <c r="M364" s="2"/>
      <c r="N364" s="2"/>
      <c r="O364" s="2"/>
      <c r="P364" s="2"/>
      <c r="Q364" s="2"/>
      <c r="R364" s="2"/>
      <c r="S364" s="2"/>
      <c r="T364" s="2"/>
      <c r="U364" s="2"/>
      <c r="V364" s="2"/>
      <c r="W364" s="2"/>
      <c r="X364" s="2"/>
      <c r="Y364" s="2"/>
      <c r="Z364" s="2"/>
    </row>
    <row r="365" spans="1:26" ht="12.75" customHeight="1" x14ac:dyDescent="0.2">
      <c r="A365" s="266"/>
      <c r="B365" s="266"/>
      <c r="C365" s="266"/>
      <c r="D365" s="374"/>
      <c r="E365" s="374"/>
      <c r="F365" s="266"/>
      <c r="G365" s="266"/>
      <c r="H365" s="266"/>
      <c r="I365" s="266"/>
      <c r="J365" s="2"/>
      <c r="K365" s="2"/>
      <c r="L365" s="2"/>
      <c r="M365" s="2"/>
      <c r="N365" s="2"/>
      <c r="O365" s="2"/>
      <c r="P365" s="2"/>
      <c r="Q365" s="2"/>
      <c r="R365" s="2"/>
      <c r="S365" s="2"/>
      <c r="T365" s="2"/>
      <c r="U365" s="2"/>
      <c r="V365" s="2"/>
      <c r="W365" s="2"/>
      <c r="X365" s="2"/>
      <c r="Y365" s="2"/>
      <c r="Z365" s="2"/>
    </row>
    <row r="366" spans="1:26" ht="12.75" customHeight="1" x14ac:dyDescent="0.2">
      <c r="A366" s="266"/>
      <c r="B366" s="266"/>
      <c r="C366" s="266"/>
      <c r="D366" s="374"/>
      <c r="E366" s="374"/>
      <c r="F366" s="266"/>
      <c r="G366" s="266"/>
      <c r="H366" s="266"/>
      <c r="I366" s="266"/>
      <c r="J366" s="2"/>
      <c r="K366" s="2"/>
      <c r="L366" s="2"/>
      <c r="M366" s="2"/>
      <c r="N366" s="2"/>
      <c r="O366" s="2"/>
      <c r="P366" s="2"/>
      <c r="Q366" s="2"/>
      <c r="R366" s="2"/>
      <c r="S366" s="2"/>
      <c r="T366" s="2"/>
      <c r="U366" s="2"/>
      <c r="V366" s="2"/>
      <c r="W366" s="2"/>
      <c r="X366" s="2"/>
      <c r="Y366" s="2"/>
      <c r="Z366" s="2"/>
    </row>
    <row r="367" spans="1:26" ht="12.75" customHeight="1" x14ac:dyDescent="0.2">
      <c r="A367" s="266"/>
      <c r="B367" s="266"/>
      <c r="C367" s="266"/>
      <c r="D367" s="374"/>
      <c r="E367" s="374"/>
      <c r="F367" s="266"/>
      <c r="G367" s="266"/>
      <c r="H367" s="266"/>
      <c r="I367" s="266"/>
      <c r="J367" s="2"/>
      <c r="K367" s="2"/>
      <c r="L367" s="2"/>
      <c r="M367" s="2"/>
      <c r="N367" s="2"/>
      <c r="O367" s="2"/>
      <c r="P367" s="2"/>
      <c r="Q367" s="2"/>
      <c r="R367" s="2"/>
      <c r="S367" s="2"/>
      <c r="T367" s="2"/>
      <c r="U367" s="2"/>
      <c r="V367" s="2"/>
      <c r="W367" s="2"/>
      <c r="X367" s="2"/>
      <c r="Y367" s="2"/>
      <c r="Z367" s="2"/>
    </row>
    <row r="368" spans="1:26" ht="12.75" customHeight="1" x14ac:dyDescent="0.2">
      <c r="A368" s="266"/>
      <c r="B368" s="266"/>
      <c r="C368" s="266"/>
      <c r="D368" s="374"/>
      <c r="E368" s="374"/>
      <c r="F368" s="266"/>
      <c r="G368" s="266"/>
      <c r="H368" s="266"/>
      <c r="I368" s="266"/>
      <c r="J368" s="2"/>
      <c r="K368" s="2"/>
      <c r="L368" s="2"/>
      <c r="M368" s="2"/>
      <c r="N368" s="2"/>
      <c r="O368" s="2"/>
      <c r="P368" s="2"/>
      <c r="Q368" s="2"/>
      <c r="R368" s="2"/>
      <c r="S368" s="2"/>
      <c r="T368" s="2"/>
      <c r="U368" s="2"/>
      <c r="V368" s="2"/>
      <c r="W368" s="2"/>
      <c r="X368" s="2"/>
      <c r="Y368" s="2"/>
      <c r="Z368" s="2"/>
    </row>
    <row r="369" spans="1:26" ht="12.75" customHeight="1" x14ac:dyDescent="0.2">
      <c r="A369" s="266"/>
      <c r="B369" s="266"/>
      <c r="C369" s="266"/>
      <c r="D369" s="374"/>
      <c r="E369" s="374"/>
      <c r="F369" s="266"/>
      <c r="G369" s="266"/>
      <c r="H369" s="266"/>
      <c r="I369" s="266"/>
      <c r="J369" s="2"/>
      <c r="K369" s="2"/>
      <c r="L369" s="2"/>
      <c r="M369" s="2"/>
      <c r="N369" s="2"/>
      <c r="O369" s="2"/>
      <c r="P369" s="2"/>
      <c r="Q369" s="2"/>
      <c r="R369" s="2"/>
      <c r="S369" s="2"/>
      <c r="T369" s="2"/>
      <c r="U369" s="2"/>
      <c r="V369" s="2"/>
      <c r="W369" s="2"/>
      <c r="X369" s="2"/>
      <c r="Y369" s="2"/>
      <c r="Z369" s="2"/>
    </row>
    <row r="370" spans="1:26" ht="12.75" customHeight="1" x14ac:dyDescent="0.2">
      <c r="A370" s="266"/>
      <c r="B370" s="266"/>
      <c r="C370" s="266"/>
      <c r="D370" s="374"/>
      <c r="E370" s="374"/>
      <c r="F370" s="266"/>
      <c r="G370" s="266"/>
      <c r="H370" s="266"/>
      <c r="I370" s="266"/>
      <c r="J370" s="2"/>
      <c r="K370" s="2"/>
      <c r="L370" s="2"/>
      <c r="M370" s="2"/>
      <c r="N370" s="2"/>
      <c r="O370" s="2"/>
      <c r="P370" s="2"/>
      <c r="Q370" s="2"/>
      <c r="R370" s="2"/>
      <c r="S370" s="2"/>
      <c r="T370" s="2"/>
      <c r="U370" s="2"/>
      <c r="V370" s="2"/>
      <c r="W370" s="2"/>
      <c r="X370" s="2"/>
      <c r="Y370" s="2"/>
      <c r="Z370" s="2"/>
    </row>
    <row r="371" spans="1:26" ht="12.75" customHeight="1" x14ac:dyDescent="0.2">
      <c r="A371" s="266"/>
      <c r="B371" s="266"/>
      <c r="C371" s="266"/>
      <c r="D371" s="374"/>
      <c r="E371" s="374"/>
      <c r="F371" s="266"/>
      <c r="G371" s="266"/>
      <c r="H371" s="266"/>
      <c r="I371" s="266"/>
      <c r="J371" s="2"/>
      <c r="K371" s="2"/>
      <c r="L371" s="2"/>
      <c r="M371" s="2"/>
      <c r="N371" s="2"/>
      <c r="O371" s="2"/>
      <c r="P371" s="2"/>
      <c r="Q371" s="2"/>
      <c r="R371" s="2"/>
      <c r="S371" s="2"/>
      <c r="T371" s="2"/>
      <c r="U371" s="2"/>
      <c r="V371" s="2"/>
      <c r="W371" s="2"/>
      <c r="X371" s="2"/>
      <c r="Y371" s="2"/>
      <c r="Z371" s="2"/>
    </row>
    <row r="372" spans="1:26" ht="12.75" customHeight="1" x14ac:dyDescent="0.2">
      <c r="A372" s="266"/>
      <c r="B372" s="266"/>
      <c r="C372" s="266"/>
      <c r="D372" s="374"/>
      <c r="E372" s="374"/>
      <c r="F372" s="266"/>
      <c r="G372" s="266"/>
      <c r="H372" s="266"/>
      <c r="I372" s="266"/>
      <c r="J372" s="2"/>
      <c r="K372" s="2"/>
      <c r="L372" s="2"/>
      <c r="M372" s="2"/>
      <c r="N372" s="2"/>
      <c r="O372" s="2"/>
      <c r="P372" s="2"/>
      <c r="Q372" s="2"/>
      <c r="R372" s="2"/>
      <c r="S372" s="2"/>
      <c r="T372" s="2"/>
      <c r="U372" s="2"/>
      <c r="V372" s="2"/>
      <c r="W372" s="2"/>
      <c r="X372" s="2"/>
      <c r="Y372" s="2"/>
      <c r="Z372" s="2"/>
    </row>
    <row r="373" spans="1:26" ht="12.75" customHeight="1" x14ac:dyDescent="0.2">
      <c r="A373" s="266"/>
      <c r="B373" s="266"/>
      <c r="C373" s="266"/>
      <c r="D373" s="374"/>
      <c r="E373" s="374"/>
      <c r="F373" s="266"/>
      <c r="G373" s="266"/>
      <c r="H373" s="266"/>
      <c r="I373" s="266"/>
      <c r="J373" s="2"/>
      <c r="K373" s="2"/>
      <c r="L373" s="2"/>
      <c r="M373" s="2"/>
      <c r="N373" s="2"/>
      <c r="O373" s="2"/>
      <c r="P373" s="2"/>
      <c r="Q373" s="2"/>
      <c r="R373" s="2"/>
      <c r="S373" s="2"/>
      <c r="T373" s="2"/>
      <c r="U373" s="2"/>
      <c r="V373" s="2"/>
      <c r="W373" s="2"/>
      <c r="X373" s="2"/>
      <c r="Y373" s="2"/>
      <c r="Z373" s="2"/>
    </row>
    <row r="374" spans="1:26" ht="12.75" customHeight="1" x14ac:dyDescent="0.2">
      <c r="A374" s="266"/>
      <c r="B374" s="266"/>
      <c r="C374" s="266"/>
      <c r="D374" s="374"/>
      <c r="E374" s="374"/>
      <c r="F374" s="266"/>
      <c r="G374" s="266"/>
      <c r="H374" s="266"/>
      <c r="I374" s="266"/>
      <c r="J374" s="2"/>
      <c r="K374" s="2"/>
      <c r="L374" s="2"/>
      <c r="M374" s="2"/>
      <c r="N374" s="2"/>
      <c r="O374" s="2"/>
      <c r="P374" s="2"/>
      <c r="Q374" s="2"/>
      <c r="R374" s="2"/>
      <c r="S374" s="2"/>
      <c r="T374" s="2"/>
      <c r="U374" s="2"/>
      <c r="V374" s="2"/>
      <c r="W374" s="2"/>
      <c r="X374" s="2"/>
      <c r="Y374" s="2"/>
      <c r="Z374" s="2"/>
    </row>
    <row r="375" spans="1:26" ht="12.75" customHeight="1" x14ac:dyDescent="0.2">
      <c r="A375" s="266"/>
      <c r="B375" s="266"/>
      <c r="C375" s="266"/>
      <c r="D375" s="374"/>
      <c r="E375" s="374"/>
      <c r="F375" s="266"/>
      <c r="G375" s="266"/>
      <c r="H375" s="266"/>
      <c r="I375" s="266"/>
      <c r="J375" s="2"/>
      <c r="K375" s="2"/>
      <c r="L375" s="2"/>
      <c r="M375" s="2"/>
      <c r="N375" s="2"/>
      <c r="O375" s="2"/>
      <c r="P375" s="2"/>
      <c r="Q375" s="2"/>
      <c r="R375" s="2"/>
      <c r="S375" s="2"/>
      <c r="T375" s="2"/>
      <c r="U375" s="2"/>
      <c r="V375" s="2"/>
      <c r="W375" s="2"/>
      <c r="X375" s="2"/>
      <c r="Y375" s="2"/>
      <c r="Z375" s="2"/>
    </row>
    <row r="376" spans="1:26" ht="12.75" customHeight="1" x14ac:dyDescent="0.2">
      <c r="A376" s="266"/>
      <c r="B376" s="266"/>
      <c r="C376" s="266"/>
      <c r="D376" s="374"/>
      <c r="E376" s="374"/>
      <c r="F376" s="266"/>
      <c r="G376" s="266"/>
      <c r="H376" s="266"/>
      <c r="I376" s="266"/>
      <c r="J376" s="2"/>
      <c r="K376" s="2"/>
      <c r="L376" s="2"/>
      <c r="M376" s="2"/>
      <c r="N376" s="2"/>
      <c r="O376" s="2"/>
      <c r="P376" s="2"/>
      <c r="Q376" s="2"/>
      <c r="R376" s="2"/>
      <c r="S376" s="2"/>
      <c r="T376" s="2"/>
      <c r="U376" s="2"/>
      <c r="V376" s="2"/>
      <c r="W376" s="2"/>
      <c r="X376" s="2"/>
      <c r="Y376" s="2"/>
      <c r="Z376" s="2"/>
    </row>
    <row r="377" spans="1:26" ht="12.75" customHeight="1" x14ac:dyDescent="0.2">
      <c r="A377" s="266"/>
      <c r="B377" s="266"/>
      <c r="C377" s="266"/>
      <c r="D377" s="374"/>
      <c r="E377" s="374"/>
      <c r="F377" s="266"/>
      <c r="G377" s="266"/>
      <c r="H377" s="266"/>
      <c r="I377" s="266"/>
      <c r="J377" s="2"/>
      <c r="K377" s="2"/>
      <c r="L377" s="2"/>
      <c r="M377" s="2"/>
      <c r="N377" s="2"/>
      <c r="O377" s="2"/>
      <c r="P377" s="2"/>
      <c r="Q377" s="2"/>
      <c r="R377" s="2"/>
      <c r="S377" s="2"/>
      <c r="T377" s="2"/>
      <c r="U377" s="2"/>
      <c r="V377" s="2"/>
      <c r="W377" s="2"/>
      <c r="X377" s="2"/>
      <c r="Y377" s="2"/>
      <c r="Z377" s="2"/>
    </row>
    <row r="378" spans="1:26" ht="12.75" customHeight="1" x14ac:dyDescent="0.2">
      <c r="A378" s="266"/>
      <c r="B378" s="266"/>
      <c r="C378" s="266"/>
      <c r="D378" s="374"/>
      <c r="E378" s="374"/>
      <c r="F378" s="266"/>
      <c r="G378" s="266"/>
      <c r="H378" s="266"/>
      <c r="I378" s="266"/>
      <c r="J378" s="2"/>
      <c r="K378" s="2"/>
      <c r="L378" s="2"/>
      <c r="M378" s="2"/>
      <c r="N378" s="2"/>
      <c r="O378" s="2"/>
      <c r="P378" s="2"/>
      <c r="Q378" s="2"/>
      <c r="R378" s="2"/>
      <c r="S378" s="2"/>
      <c r="T378" s="2"/>
      <c r="U378" s="2"/>
      <c r="V378" s="2"/>
      <c r="W378" s="2"/>
      <c r="X378" s="2"/>
      <c r="Y378" s="2"/>
      <c r="Z378" s="2"/>
    </row>
    <row r="379" spans="1:26" ht="12.75" customHeight="1" x14ac:dyDescent="0.2">
      <c r="A379" s="266"/>
      <c r="B379" s="266"/>
      <c r="C379" s="266"/>
      <c r="D379" s="374"/>
      <c r="E379" s="374"/>
      <c r="F379" s="266"/>
      <c r="G379" s="266"/>
      <c r="H379" s="266"/>
      <c r="I379" s="266"/>
      <c r="J379" s="2"/>
      <c r="K379" s="2"/>
      <c r="L379" s="2"/>
      <c r="M379" s="2"/>
      <c r="N379" s="2"/>
      <c r="O379" s="2"/>
      <c r="P379" s="2"/>
      <c r="Q379" s="2"/>
      <c r="R379" s="2"/>
      <c r="S379" s="2"/>
      <c r="T379" s="2"/>
      <c r="U379" s="2"/>
      <c r="V379" s="2"/>
      <c r="W379" s="2"/>
      <c r="X379" s="2"/>
      <c r="Y379" s="2"/>
      <c r="Z379" s="2"/>
    </row>
    <row r="380" spans="1:26" ht="12.75" customHeight="1" x14ac:dyDescent="0.2">
      <c r="A380" s="266"/>
      <c r="B380" s="266"/>
      <c r="C380" s="266"/>
      <c r="D380" s="374"/>
      <c r="E380" s="374"/>
      <c r="F380" s="266"/>
      <c r="G380" s="266"/>
      <c r="H380" s="266"/>
      <c r="I380" s="266"/>
      <c r="J380" s="2"/>
      <c r="K380" s="2"/>
      <c r="L380" s="2"/>
      <c r="M380" s="2"/>
      <c r="N380" s="2"/>
      <c r="O380" s="2"/>
      <c r="P380" s="2"/>
      <c r="Q380" s="2"/>
      <c r="R380" s="2"/>
      <c r="S380" s="2"/>
      <c r="T380" s="2"/>
      <c r="U380" s="2"/>
      <c r="V380" s="2"/>
      <c r="W380" s="2"/>
      <c r="X380" s="2"/>
      <c r="Y380" s="2"/>
      <c r="Z380" s="2"/>
    </row>
    <row r="381" spans="1:26" ht="12.75" customHeight="1" x14ac:dyDescent="0.2">
      <c r="A381" s="266"/>
      <c r="B381" s="266"/>
      <c r="C381" s="266"/>
      <c r="D381" s="374"/>
      <c r="E381" s="374"/>
      <c r="F381" s="266"/>
      <c r="G381" s="266"/>
      <c r="H381" s="266"/>
      <c r="I381" s="266"/>
      <c r="J381" s="2"/>
      <c r="K381" s="2"/>
      <c r="L381" s="2"/>
      <c r="M381" s="2"/>
      <c r="N381" s="2"/>
      <c r="O381" s="2"/>
      <c r="P381" s="2"/>
      <c r="Q381" s="2"/>
      <c r="R381" s="2"/>
      <c r="S381" s="2"/>
      <c r="T381" s="2"/>
      <c r="U381" s="2"/>
      <c r="V381" s="2"/>
      <c r="W381" s="2"/>
      <c r="X381" s="2"/>
      <c r="Y381" s="2"/>
      <c r="Z381" s="2"/>
    </row>
    <row r="382" spans="1:26" ht="12.75" customHeight="1" x14ac:dyDescent="0.2">
      <c r="A382" s="266"/>
      <c r="B382" s="266"/>
      <c r="C382" s="266"/>
      <c r="D382" s="374"/>
      <c r="E382" s="374"/>
      <c r="F382" s="266"/>
      <c r="G382" s="266"/>
      <c r="H382" s="266"/>
      <c r="I382" s="266"/>
      <c r="J382" s="2"/>
      <c r="K382" s="2"/>
      <c r="L382" s="2"/>
      <c r="M382" s="2"/>
      <c r="N382" s="2"/>
      <c r="O382" s="2"/>
      <c r="P382" s="2"/>
      <c r="Q382" s="2"/>
      <c r="R382" s="2"/>
      <c r="S382" s="2"/>
      <c r="T382" s="2"/>
      <c r="U382" s="2"/>
      <c r="V382" s="2"/>
      <c r="W382" s="2"/>
      <c r="X382" s="2"/>
      <c r="Y382" s="2"/>
      <c r="Z382" s="2"/>
    </row>
    <row r="383" spans="1:26" ht="12.75" customHeight="1" x14ac:dyDescent="0.2">
      <c r="A383" s="266"/>
      <c r="B383" s="266"/>
      <c r="C383" s="266"/>
      <c r="D383" s="374"/>
      <c r="E383" s="374"/>
      <c r="F383" s="266"/>
      <c r="G383" s="266"/>
      <c r="H383" s="266"/>
      <c r="I383" s="266"/>
      <c r="J383" s="2"/>
      <c r="K383" s="2"/>
      <c r="L383" s="2"/>
      <c r="M383" s="2"/>
      <c r="N383" s="2"/>
      <c r="O383" s="2"/>
      <c r="P383" s="2"/>
      <c r="Q383" s="2"/>
      <c r="R383" s="2"/>
      <c r="S383" s="2"/>
      <c r="T383" s="2"/>
      <c r="U383" s="2"/>
      <c r="V383" s="2"/>
      <c r="W383" s="2"/>
      <c r="X383" s="2"/>
      <c r="Y383" s="2"/>
      <c r="Z383" s="2"/>
    </row>
    <row r="384" spans="1:26" ht="12.75" customHeight="1" x14ac:dyDescent="0.2">
      <c r="A384" s="266"/>
      <c r="B384" s="266"/>
      <c r="C384" s="266"/>
      <c r="D384" s="374"/>
      <c r="E384" s="374"/>
      <c r="F384" s="266"/>
      <c r="G384" s="266"/>
      <c r="H384" s="266"/>
      <c r="I384" s="266"/>
      <c r="J384" s="2"/>
      <c r="K384" s="2"/>
      <c r="L384" s="2"/>
      <c r="M384" s="2"/>
      <c r="N384" s="2"/>
      <c r="O384" s="2"/>
      <c r="P384" s="2"/>
      <c r="Q384" s="2"/>
      <c r="R384" s="2"/>
      <c r="S384" s="2"/>
      <c r="T384" s="2"/>
      <c r="U384" s="2"/>
      <c r="V384" s="2"/>
      <c r="W384" s="2"/>
      <c r="X384" s="2"/>
      <c r="Y384" s="2"/>
      <c r="Z384" s="2"/>
    </row>
    <row r="385" spans="1:26" ht="12.75" customHeight="1" x14ac:dyDescent="0.2">
      <c r="A385" s="266"/>
      <c r="B385" s="266"/>
      <c r="C385" s="266"/>
      <c r="D385" s="374"/>
      <c r="E385" s="374"/>
      <c r="F385" s="266"/>
      <c r="G385" s="266"/>
      <c r="H385" s="266"/>
      <c r="I385" s="266"/>
      <c r="J385" s="2"/>
      <c r="K385" s="2"/>
      <c r="L385" s="2"/>
      <c r="M385" s="2"/>
      <c r="N385" s="2"/>
      <c r="O385" s="2"/>
      <c r="P385" s="2"/>
      <c r="Q385" s="2"/>
      <c r="R385" s="2"/>
      <c r="S385" s="2"/>
      <c r="T385" s="2"/>
      <c r="U385" s="2"/>
      <c r="V385" s="2"/>
      <c r="W385" s="2"/>
      <c r="X385" s="2"/>
      <c r="Y385" s="2"/>
      <c r="Z385" s="2"/>
    </row>
    <row r="386" spans="1:26" ht="12.75" customHeight="1" x14ac:dyDescent="0.2">
      <c r="A386" s="266"/>
      <c r="B386" s="266"/>
      <c r="C386" s="266"/>
      <c r="D386" s="374"/>
      <c r="E386" s="374"/>
      <c r="F386" s="266"/>
      <c r="G386" s="266"/>
      <c r="H386" s="266"/>
      <c r="I386" s="266"/>
      <c r="J386" s="2"/>
      <c r="K386" s="2"/>
      <c r="L386" s="2"/>
      <c r="M386" s="2"/>
      <c r="N386" s="2"/>
      <c r="O386" s="2"/>
      <c r="P386" s="2"/>
      <c r="Q386" s="2"/>
      <c r="R386" s="2"/>
      <c r="S386" s="2"/>
      <c r="T386" s="2"/>
      <c r="U386" s="2"/>
      <c r="V386" s="2"/>
      <c r="W386" s="2"/>
      <c r="X386" s="2"/>
      <c r="Y386" s="2"/>
      <c r="Z386" s="2"/>
    </row>
    <row r="387" spans="1:26" ht="12.75" customHeight="1" x14ac:dyDescent="0.2">
      <c r="A387" s="266"/>
      <c r="B387" s="266"/>
      <c r="C387" s="266"/>
      <c r="D387" s="374"/>
      <c r="E387" s="374"/>
      <c r="F387" s="266"/>
      <c r="G387" s="266"/>
      <c r="H387" s="266"/>
      <c r="I387" s="266"/>
      <c r="J387" s="2"/>
      <c r="K387" s="2"/>
      <c r="L387" s="2"/>
      <c r="M387" s="2"/>
      <c r="N387" s="2"/>
      <c r="O387" s="2"/>
      <c r="P387" s="2"/>
      <c r="Q387" s="2"/>
      <c r="R387" s="2"/>
      <c r="S387" s="2"/>
      <c r="T387" s="2"/>
      <c r="U387" s="2"/>
      <c r="V387" s="2"/>
      <c r="W387" s="2"/>
      <c r="X387" s="2"/>
      <c r="Y387" s="2"/>
      <c r="Z387" s="2"/>
    </row>
    <row r="388" spans="1:26" ht="12.75" customHeight="1" x14ac:dyDescent="0.2">
      <c r="A388" s="266"/>
      <c r="B388" s="266"/>
      <c r="C388" s="266"/>
      <c r="D388" s="374"/>
      <c r="E388" s="374"/>
      <c r="F388" s="266"/>
      <c r="G388" s="266"/>
      <c r="H388" s="266"/>
      <c r="I388" s="266"/>
      <c r="J388" s="2"/>
      <c r="K388" s="2"/>
      <c r="L388" s="2"/>
      <c r="M388" s="2"/>
      <c r="N388" s="2"/>
      <c r="O388" s="2"/>
      <c r="P388" s="2"/>
      <c r="Q388" s="2"/>
      <c r="R388" s="2"/>
      <c r="S388" s="2"/>
      <c r="T388" s="2"/>
      <c r="U388" s="2"/>
      <c r="V388" s="2"/>
      <c r="W388" s="2"/>
      <c r="X388" s="2"/>
      <c r="Y388" s="2"/>
      <c r="Z388" s="2"/>
    </row>
    <row r="389" spans="1:26" ht="12.75" customHeight="1" x14ac:dyDescent="0.2">
      <c r="A389" s="266"/>
      <c r="B389" s="266"/>
      <c r="C389" s="266"/>
      <c r="D389" s="374"/>
      <c r="E389" s="374"/>
      <c r="F389" s="266"/>
      <c r="G389" s="266"/>
      <c r="H389" s="266"/>
      <c r="I389" s="266"/>
      <c r="J389" s="2"/>
      <c r="K389" s="2"/>
      <c r="L389" s="2"/>
      <c r="M389" s="2"/>
      <c r="N389" s="2"/>
      <c r="O389" s="2"/>
      <c r="P389" s="2"/>
      <c r="Q389" s="2"/>
      <c r="R389" s="2"/>
      <c r="S389" s="2"/>
      <c r="T389" s="2"/>
      <c r="U389" s="2"/>
      <c r="V389" s="2"/>
      <c r="W389" s="2"/>
      <c r="X389" s="2"/>
      <c r="Y389" s="2"/>
      <c r="Z389" s="2"/>
    </row>
    <row r="390" spans="1:26" ht="12.75" customHeight="1" x14ac:dyDescent="0.2">
      <c r="A390" s="266"/>
      <c r="B390" s="266"/>
      <c r="C390" s="266"/>
      <c r="D390" s="374"/>
      <c r="E390" s="374"/>
      <c r="F390" s="266"/>
      <c r="G390" s="266"/>
      <c r="H390" s="266"/>
      <c r="I390" s="266"/>
      <c r="J390" s="2"/>
      <c r="K390" s="2"/>
      <c r="L390" s="2"/>
      <c r="M390" s="2"/>
      <c r="N390" s="2"/>
      <c r="O390" s="2"/>
      <c r="P390" s="2"/>
      <c r="Q390" s="2"/>
      <c r="R390" s="2"/>
      <c r="S390" s="2"/>
      <c r="T390" s="2"/>
      <c r="U390" s="2"/>
      <c r="V390" s="2"/>
      <c r="W390" s="2"/>
      <c r="X390" s="2"/>
      <c r="Y390" s="2"/>
      <c r="Z390" s="2"/>
    </row>
    <row r="391" spans="1:26" ht="12.75" customHeight="1" x14ac:dyDescent="0.2">
      <c r="A391" s="266"/>
      <c r="B391" s="266"/>
      <c r="C391" s="266"/>
      <c r="D391" s="374"/>
      <c r="E391" s="374"/>
      <c r="F391" s="266"/>
      <c r="G391" s="266"/>
      <c r="H391" s="266"/>
      <c r="I391" s="266"/>
      <c r="J391" s="2"/>
      <c r="K391" s="2"/>
      <c r="L391" s="2"/>
      <c r="M391" s="2"/>
      <c r="N391" s="2"/>
      <c r="O391" s="2"/>
      <c r="P391" s="2"/>
      <c r="Q391" s="2"/>
      <c r="R391" s="2"/>
      <c r="S391" s="2"/>
      <c r="T391" s="2"/>
      <c r="U391" s="2"/>
      <c r="V391" s="2"/>
      <c r="W391" s="2"/>
      <c r="X391" s="2"/>
      <c r="Y391" s="2"/>
      <c r="Z391" s="2"/>
    </row>
    <row r="392" spans="1:26" ht="12.75" customHeight="1" x14ac:dyDescent="0.2">
      <c r="A392" s="266"/>
      <c r="B392" s="266"/>
      <c r="C392" s="266"/>
      <c r="D392" s="374"/>
      <c r="E392" s="374"/>
      <c r="F392" s="266"/>
      <c r="G392" s="266"/>
      <c r="H392" s="266"/>
      <c r="I392" s="266"/>
      <c r="J392" s="2"/>
      <c r="K392" s="2"/>
      <c r="L392" s="2"/>
      <c r="M392" s="2"/>
      <c r="N392" s="2"/>
      <c r="O392" s="2"/>
      <c r="P392" s="2"/>
      <c r="Q392" s="2"/>
      <c r="R392" s="2"/>
      <c r="S392" s="2"/>
      <c r="T392" s="2"/>
      <c r="U392" s="2"/>
      <c r="V392" s="2"/>
      <c r="W392" s="2"/>
      <c r="X392" s="2"/>
      <c r="Y392" s="2"/>
      <c r="Z392" s="2"/>
    </row>
    <row r="393" spans="1:26" ht="12.75" customHeight="1" x14ac:dyDescent="0.2">
      <c r="A393" s="266"/>
      <c r="B393" s="266"/>
      <c r="C393" s="266"/>
      <c r="D393" s="374"/>
      <c r="E393" s="374"/>
      <c r="F393" s="266"/>
      <c r="G393" s="266"/>
      <c r="H393" s="266"/>
      <c r="I393" s="266"/>
      <c r="J393" s="2"/>
      <c r="K393" s="2"/>
      <c r="L393" s="2"/>
      <c r="M393" s="2"/>
      <c r="N393" s="2"/>
      <c r="O393" s="2"/>
      <c r="P393" s="2"/>
      <c r="Q393" s="2"/>
      <c r="R393" s="2"/>
      <c r="S393" s="2"/>
      <c r="T393" s="2"/>
      <c r="U393" s="2"/>
      <c r="V393" s="2"/>
      <c r="W393" s="2"/>
      <c r="X393" s="2"/>
      <c r="Y393" s="2"/>
      <c r="Z393" s="2"/>
    </row>
    <row r="394" spans="1:26" ht="12.75" customHeight="1" x14ac:dyDescent="0.2">
      <c r="A394" s="266"/>
      <c r="B394" s="266"/>
      <c r="C394" s="266"/>
      <c r="D394" s="374"/>
      <c r="E394" s="374"/>
      <c r="F394" s="266"/>
      <c r="G394" s="266"/>
      <c r="H394" s="266"/>
      <c r="I394" s="266"/>
      <c r="J394" s="2"/>
      <c r="K394" s="2"/>
      <c r="L394" s="2"/>
      <c r="M394" s="2"/>
      <c r="N394" s="2"/>
      <c r="O394" s="2"/>
      <c r="P394" s="2"/>
      <c r="Q394" s="2"/>
      <c r="R394" s="2"/>
      <c r="S394" s="2"/>
      <c r="T394" s="2"/>
      <c r="U394" s="2"/>
      <c r="V394" s="2"/>
      <c r="W394" s="2"/>
      <c r="X394" s="2"/>
      <c r="Y394" s="2"/>
      <c r="Z394" s="2"/>
    </row>
    <row r="395" spans="1:26" ht="12.75" customHeight="1" x14ac:dyDescent="0.2">
      <c r="A395" s="266"/>
      <c r="B395" s="266"/>
      <c r="C395" s="266"/>
      <c r="D395" s="374"/>
      <c r="E395" s="374"/>
      <c r="F395" s="266"/>
      <c r="G395" s="266"/>
      <c r="H395" s="266"/>
      <c r="I395" s="266"/>
      <c r="J395" s="2"/>
      <c r="K395" s="2"/>
      <c r="L395" s="2"/>
      <c r="M395" s="2"/>
      <c r="N395" s="2"/>
      <c r="O395" s="2"/>
      <c r="P395" s="2"/>
      <c r="Q395" s="2"/>
      <c r="R395" s="2"/>
      <c r="S395" s="2"/>
      <c r="T395" s="2"/>
      <c r="U395" s="2"/>
      <c r="V395" s="2"/>
      <c r="W395" s="2"/>
      <c r="X395" s="2"/>
      <c r="Y395" s="2"/>
      <c r="Z395" s="2"/>
    </row>
    <row r="396" spans="1:26" ht="12.75" customHeight="1" x14ac:dyDescent="0.2">
      <c r="A396" s="266"/>
      <c r="B396" s="266"/>
      <c r="C396" s="266"/>
      <c r="D396" s="374"/>
      <c r="E396" s="374"/>
      <c r="F396" s="266"/>
      <c r="G396" s="266"/>
      <c r="H396" s="266"/>
      <c r="I396" s="266"/>
      <c r="J396" s="2"/>
      <c r="K396" s="2"/>
      <c r="L396" s="2"/>
      <c r="M396" s="2"/>
      <c r="N396" s="2"/>
      <c r="O396" s="2"/>
      <c r="P396" s="2"/>
      <c r="Q396" s="2"/>
      <c r="R396" s="2"/>
      <c r="S396" s="2"/>
      <c r="T396" s="2"/>
      <c r="U396" s="2"/>
      <c r="V396" s="2"/>
      <c r="W396" s="2"/>
      <c r="X396" s="2"/>
      <c r="Y396" s="2"/>
      <c r="Z396" s="2"/>
    </row>
    <row r="397" spans="1:26" ht="12.75" customHeight="1" x14ac:dyDescent="0.2">
      <c r="A397" s="266"/>
      <c r="B397" s="266"/>
      <c r="C397" s="266"/>
      <c r="D397" s="374"/>
      <c r="E397" s="374"/>
      <c r="F397" s="266"/>
      <c r="G397" s="266"/>
      <c r="H397" s="266"/>
      <c r="I397" s="266"/>
      <c r="J397" s="2"/>
      <c r="K397" s="2"/>
      <c r="L397" s="2"/>
      <c r="M397" s="2"/>
      <c r="N397" s="2"/>
      <c r="O397" s="2"/>
      <c r="P397" s="2"/>
      <c r="Q397" s="2"/>
      <c r="R397" s="2"/>
      <c r="S397" s="2"/>
      <c r="T397" s="2"/>
      <c r="U397" s="2"/>
      <c r="V397" s="2"/>
      <c r="W397" s="2"/>
      <c r="X397" s="2"/>
      <c r="Y397" s="2"/>
      <c r="Z397" s="2"/>
    </row>
    <row r="398" spans="1:26" ht="12.75" customHeight="1" x14ac:dyDescent="0.2">
      <c r="A398" s="266"/>
      <c r="B398" s="266"/>
      <c r="C398" s="266"/>
      <c r="D398" s="374"/>
      <c r="E398" s="374"/>
      <c r="F398" s="266"/>
      <c r="G398" s="266"/>
      <c r="H398" s="266"/>
      <c r="I398" s="266"/>
      <c r="J398" s="2"/>
      <c r="K398" s="2"/>
      <c r="L398" s="2"/>
      <c r="M398" s="2"/>
      <c r="N398" s="2"/>
      <c r="O398" s="2"/>
      <c r="P398" s="2"/>
      <c r="Q398" s="2"/>
      <c r="R398" s="2"/>
      <c r="S398" s="2"/>
      <c r="T398" s="2"/>
      <c r="U398" s="2"/>
      <c r="V398" s="2"/>
      <c r="W398" s="2"/>
      <c r="X398" s="2"/>
      <c r="Y398" s="2"/>
      <c r="Z398" s="2"/>
    </row>
    <row r="399" spans="1:26" ht="12.75" customHeight="1" x14ac:dyDescent="0.2">
      <c r="A399" s="266"/>
      <c r="B399" s="266"/>
      <c r="C399" s="266"/>
      <c r="D399" s="374"/>
      <c r="E399" s="374"/>
      <c r="F399" s="266"/>
      <c r="G399" s="266"/>
      <c r="H399" s="266"/>
      <c r="I399" s="266"/>
      <c r="J399" s="2"/>
      <c r="K399" s="2"/>
      <c r="L399" s="2"/>
      <c r="M399" s="2"/>
      <c r="N399" s="2"/>
      <c r="O399" s="2"/>
      <c r="P399" s="2"/>
      <c r="Q399" s="2"/>
      <c r="R399" s="2"/>
      <c r="S399" s="2"/>
      <c r="T399" s="2"/>
      <c r="U399" s="2"/>
      <c r="V399" s="2"/>
      <c r="W399" s="2"/>
      <c r="X399" s="2"/>
      <c r="Y399" s="2"/>
      <c r="Z399" s="2"/>
    </row>
    <row r="400" spans="1:26" ht="12.75" customHeight="1" x14ac:dyDescent="0.2">
      <c r="A400" s="266"/>
      <c r="B400" s="266"/>
      <c r="C400" s="266"/>
      <c r="D400" s="374"/>
      <c r="E400" s="374"/>
      <c r="F400" s="266"/>
      <c r="G400" s="266"/>
      <c r="H400" s="266"/>
      <c r="I400" s="266"/>
      <c r="J400" s="2"/>
      <c r="K400" s="2"/>
      <c r="L400" s="2"/>
      <c r="M400" s="2"/>
      <c r="N400" s="2"/>
      <c r="O400" s="2"/>
      <c r="P400" s="2"/>
      <c r="Q400" s="2"/>
      <c r="R400" s="2"/>
      <c r="S400" s="2"/>
      <c r="T400" s="2"/>
      <c r="U400" s="2"/>
      <c r="V400" s="2"/>
      <c r="W400" s="2"/>
      <c r="X400" s="2"/>
      <c r="Y400" s="2"/>
      <c r="Z400" s="2"/>
    </row>
    <row r="401" spans="1:26" ht="12.75" customHeight="1" x14ac:dyDescent="0.2">
      <c r="A401" s="266"/>
      <c r="B401" s="266"/>
      <c r="C401" s="266"/>
      <c r="D401" s="374"/>
      <c r="E401" s="374"/>
      <c r="F401" s="266"/>
      <c r="G401" s="266"/>
      <c r="H401" s="266"/>
      <c r="I401" s="266"/>
      <c r="J401" s="2"/>
      <c r="K401" s="2"/>
      <c r="L401" s="2"/>
      <c r="M401" s="2"/>
      <c r="N401" s="2"/>
      <c r="O401" s="2"/>
      <c r="P401" s="2"/>
      <c r="Q401" s="2"/>
      <c r="R401" s="2"/>
      <c r="S401" s="2"/>
      <c r="T401" s="2"/>
      <c r="U401" s="2"/>
      <c r="V401" s="2"/>
      <c r="W401" s="2"/>
      <c r="X401" s="2"/>
      <c r="Y401" s="2"/>
      <c r="Z401" s="2"/>
    </row>
    <row r="402" spans="1:26" ht="12.75" customHeight="1" x14ac:dyDescent="0.2">
      <c r="A402" s="266"/>
      <c r="B402" s="266"/>
      <c r="C402" s="266"/>
      <c r="D402" s="374"/>
      <c r="E402" s="374"/>
      <c r="F402" s="266"/>
      <c r="G402" s="266"/>
      <c r="H402" s="266"/>
      <c r="I402" s="266"/>
      <c r="J402" s="2"/>
      <c r="K402" s="2"/>
      <c r="L402" s="2"/>
      <c r="M402" s="2"/>
      <c r="N402" s="2"/>
      <c r="O402" s="2"/>
      <c r="P402" s="2"/>
      <c r="Q402" s="2"/>
      <c r="R402" s="2"/>
      <c r="S402" s="2"/>
      <c r="T402" s="2"/>
      <c r="U402" s="2"/>
      <c r="V402" s="2"/>
      <c r="W402" s="2"/>
      <c r="X402" s="2"/>
      <c r="Y402" s="2"/>
      <c r="Z402" s="2"/>
    </row>
    <row r="403" spans="1:26" ht="12.75" customHeight="1" x14ac:dyDescent="0.2">
      <c r="A403" s="266"/>
      <c r="B403" s="266"/>
      <c r="C403" s="266"/>
      <c r="D403" s="374"/>
      <c r="E403" s="374"/>
      <c r="F403" s="266"/>
      <c r="G403" s="266"/>
      <c r="H403" s="266"/>
      <c r="I403" s="266"/>
      <c r="J403" s="2"/>
      <c r="K403" s="2"/>
      <c r="L403" s="2"/>
      <c r="M403" s="2"/>
      <c r="N403" s="2"/>
      <c r="O403" s="2"/>
      <c r="P403" s="2"/>
      <c r="Q403" s="2"/>
      <c r="R403" s="2"/>
      <c r="S403" s="2"/>
      <c r="T403" s="2"/>
      <c r="U403" s="2"/>
      <c r="V403" s="2"/>
      <c r="W403" s="2"/>
      <c r="X403" s="2"/>
      <c r="Y403" s="2"/>
      <c r="Z403" s="2"/>
    </row>
    <row r="404" spans="1:26" ht="12.75" customHeight="1" x14ac:dyDescent="0.2">
      <c r="A404" s="266"/>
      <c r="B404" s="266"/>
      <c r="C404" s="266"/>
      <c r="D404" s="374"/>
      <c r="E404" s="374"/>
      <c r="F404" s="266"/>
      <c r="G404" s="266"/>
      <c r="H404" s="266"/>
      <c r="I404" s="266"/>
      <c r="J404" s="2"/>
      <c r="K404" s="2"/>
      <c r="L404" s="2"/>
      <c r="M404" s="2"/>
      <c r="N404" s="2"/>
      <c r="O404" s="2"/>
      <c r="P404" s="2"/>
      <c r="Q404" s="2"/>
      <c r="R404" s="2"/>
      <c r="S404" s="2"/>
      <c r="T404" s="2"/>
      <c r="U404" s="2"/>
      <c r="V404" s="2"/>
      <c r="W404" s="2"/>
      <c r="X404" s="2"/>
      <c r="Y404" s="2"/>
      <c r="Z404" s="2"/>
    </row>
    <row r="405" spans="1:26" ht="12.75" customHeight="1" x14ac:dyDescent="0.2">
      <c r="A405" s="266"/>
      <c r="B405" s="266"/>
      <c r="C405" s="266"/>
      <c r="D405" s="374"/>
      <c r="E405" s="374"/>
      <c r="F405" s="266"/>
      <c r="G405" s="266"/>
      <c r="H405" s="266"/>
      <c r="I405" s="266"/>
      <c r="J405" s="2"/>
      <c r="K405" s="2"/>
      <c r="L405" s="2"/>
      <c r="M405" s="2"/>
      <c r="N405" s="2"/>
      <c r="O405" s="2"/>
      <c r="P405" s="2"/>
      <c r="Q405" s="2"/>
      <c r="R405" s="2"/>
      <c r="S405" s="2"/>
      <c r="T405" s="2"/>
      <c r="U405" s="2"/>
      <c r="V405" s="2"/>
      <c r="W405" s="2"/>
      <c r="X405" s="2"/>
      <c r="Y405" s="2"/>
      <c r="Z405" s="2"/>
    </row>
    <row r="406" spans="1:26" ht="12.75" customHeight="1" x14ac:dyDescent="0.2">
      <c r="A406" s="266"/>
      <c r="B406" s="266"/>
      <c r="C406" s="266"/>
      <c r="D406" s="374"/>
      <c r="E406" s="374"/>
      <c r="F406" s="266"/>
      <c r="G406" s="266"/>
      <c r="H406" s="266"/>
      <c r="I406" s="266"/>
      <c r="J406" s="2"/>
      <c r="K406" s="2"/>
      <c r="L406" s="2"/>
      <c r="M406" s="2"/>
      <c r="N406" s="2"/>
      <c r="O406" s="2"/>
      <c r="P406" s="2"/>
      <c r="Q406" s="2"/>
      <c r="R406" s="2"/>
      <c r="S406" s="2"/>
      <c r="T406" s="2"/>
      <c r="U406" s="2"/>
      <c r="V406" s="2"/>
      <c r="W406" s="2"/>
      <c r="X406" s="2"/>
      <c r="Y406" s="2"/>
      <c r="Z406" s="2"/>
    </row>
    <row r="407" spans="1:26" ht="12.75" customHeight="1" x14ac:dyDescent="0.2">
      <c r="A407" s="266"/>
      <c r="B407" s="266"/>
      <c r="C407" s="266"/>
      <c r="D407" s="374"/>
      <c r="E407" s="374"/>
      <c r="F407" s="266"/>
      <c r="G407" s="266"/>
      <c r="H407" s="266"/>
      <c r="I407" s="266"/>
      <c r="J407" s="2"/>
      <c r="K407" s="2"/>
      <c r="L407" s="2"/>
      <c r="M407" s="2"/>
      <c r="N407" s="2"/>
      <c r="O407" s="2"/>
      <c r="P407" s="2"/>
      <c r="Q407" s="2"/>
      <c r="R407" s="2"/>
      <c r="S407" s="2"/>
      <c r="T407" s="2"/>
      <c r="U407" s="2"/>
      <c r="V407" s="2"/>
      <c r="W407" s="2"/>
      <c r="X407" s="2"/>
      <c r="Y407" s="2"/>
      <c r="Z407" s="2"/>
    </row>
    <row r="408" spans="1:26" ht="12.75" customHeight="1" x14ac:dyDescent="0.2">
      <c r="A408" s="266"/>
      <c r="B408" s="266"/>
      <c r="C408" s="266"/>
      <c r="D408" s="374"/>
      <c r="E408" s="374"/>
      <c r="F408" s="266"/>
      <c r="G408" s="266"/>
      <c r="H408" s="266"/>
      <c r="I408" s="266"/>
      <c r="J408" s="2"/>
      <c r="K408" s="2"/>
      <c r="L408" s="2"/>
      <c r="M408" s="2"/>
      <c r="N408" s="2"/>
      <c r="O408" s="2"/>
      <c r="P408" s="2"/>
      <c r="Q408" s="2"/>
      <c r="R408" s="2"/>
      <c r="S408" s="2"/>
      <c r="T408" s="2"/>
      <c r="U408" s="2"/>
      <c r="V408" s="2"/>
      <c r="W408" s="2"/>
      <c r="X408" s="2"/>
      <c r="Y408" s="2"/>
      <c r="Z408" s="2"/>
    </row>
    <row r="409" spans="1:26" ht="12.75" customHeight="1" x14ac:dyDescent="0.2">
      <c r="A409" s="266"/>
      <c r="B409" s="266"/>
      <c r="C409" s="266"/>
      <c r="D409" s="374"/>
      <c r="E409" s="374"/>
      <c r="F409" s="266"/>
      <c r="G409" s="266"/>
      <c r="H409" s="266"/>
      <c r="I409" s="266"/>
      <c r="J409" s="2"/>
      <c r="K409" s="2"/>
      <c r="L409" s="2"/>
      <c r="M409" s="2"/>
      <c r="N409" s="2"/>
      <c r="O409" s="2"/>
      <c r="P409" s="2"/>
      <c r="Q409" s="2"/>
      <c r="R409" s="2"/>
      <c r="S409" s="2"/>
      <c r="T409" s="2"/>
      <c r="U409" s="2"/>
      <c r="V409" s="2"/>
      <c r="W409" s="2"/>
      <c r="X409" s="2"/>
      <c r="Y409" s="2"/>
      <c r="Z409" s="2"/>
    </row>
    <row r="410" spans="1:26" ht="12.75" customHeight="1" x14ac:dyDescent="0.2">
      <c r="A410" s="266"/>
      <c r="B410" s="266"/>
      <c r="C410" s="266"/>
      <c r="D410" s="374"/>
      <c r="E410" s="374"/>
      <c r="F410" s="266"/>
      <c r="G410" s="266"/>
      <c r="H410" s="266"/>
      <c r="I410" s="266"/>
      <c r="J410" s="2"/>
      <c r="K410" s="2"/>
      <c r="L410" s="2"/>
      <c r="M410" s="2"/>
      <c r="N410" s="2"/>
      <c r="O410" s="2"/>
      <c r="P410" s="2"/>
      <c r="Q410" s="2"/>
      <c r="R410" s="2"/>
      <c r="S410" s="2"/>
      <c r="T410" s="2"/>
      <c r="U410" s="2"/>
      <c r="V410" s="2"/>
      <c r="W410" s="2"/>
      <c r="X410" s="2"/>
      <c r="Y410" s="2"/>
      <c r="Z410" s="2"/>
    </row>
    <row r="411" spans="1:26" ht="12.75" customHeight="1" x14ac:dyDescent="0.2">
      <c r="A411" s="266"/>
      <c r="B411" s="266"/>
      <c r="C411" s="266"/>
      <c r="D411" s="374"/>
      <c r="E411" s="374"/>
      <c r="F411" s="266"/>
      <c r="G411" s="266"/>
      <c r="H411" s="266"/>
      <c r="I411" s="266"/>
      <c r="J411" s="2"/>
      <c r="K411" s="2"/>
      <c r="L411" s="2"/>
      <c r="M411" s="2"/>
      <c r="N411" s="2"/>
      <c r="O411" s="2"/>
      <c r="P411" s="2"/>
      <c r="Q411" s="2"/>
      <c r="R411" s="2"/>
      <c r="S411" s="2"/>
      <c r="T411" s="2"/>
      <c r="U411" s="2"/>
      <c r="V411" s="2"/>
      <c r="W411" s="2"/>
      <c r="X411" s="2"/>
      <c r="Y411" s="2"/>
      <c r="Z411" s="2"/>
    </row>
    <row r="412" spans="1:26" ht="12.75" customHeight="1" x14ac:dyDescent="0.2">
      <c r="A412" s="266"/>
      <c r="B412" s="266"/>
      <c r="C412" s="266"/>
      <c r="D412" s="374"/>
      <c r="E412" s="374"/>
      <c r="F412" s="266"/>
      <c r="G412" s="266"/>
      <c r="H412" s="266"/>
      <c r="I412" s="266"/>
      <c r="J412" s="2"/>
      <c r="K412" s="2"/>
      <c r="L412" s="2"/>
      <c r="M412" s="2"/>
      <c r="N412" s="2"/>
      <c r="O412" s="2"/>
      <c r="P412" s="2"/>
      <c r="Q412" s="2"/>
      <c r="R412" s="2"/>
      <c r="S412" s="2"/>
      <c r="T412" s="2"/>
      <c r="U412" s="2"/>
      <c r="V412" s="2"/>
      <c r="W412" s="2"/>
      <c r="X412" s="2"/>
      <c r="Y412" s="2"/>
      <c r="Z412" s="2"/>
    </row>
    <row r="413" spans="1:26" ht="12.75" customHeight="1" x14ac:dyDescent="0.2">
      <c r="A413" s="266"/>
      <c r="B413" s="266"/>
      <c r="C413" s="266"/>
      <c r="D413" s="374"/>
      <c r="E413" s="374"/>
      <c r="F413" s="266"/>
      <c r="G413" s="266"/>
      <c r="H413" s="266"/>
      <c r="I413" s="266"/>
      <c r="J413" s="2"/>
      <c r="K413" s="2"/>
      <c r="L413" s="2"/>
      <c r="M413" s="2"/>
      <c r="N413" s="2"/>
      <c r="O413" s="2"/>
      <c r="P413" s="2"/>
      <c r="Q413" s="2"/>
      <c r="R413" s="2"/>
      <c r="S413" s="2"/>
      <c r="T413" s="2"/>
      <c r="U413" s="2"/>
      <c r="V413" s="2"/>
      <c r="W413" s="2"/>
      <c r="X413" s="2"/>
      <c r="Y413" s="2"/>
      <c r="Z413" s="2"/>
    </row>
    <row r="414" spans="1:26" ht="12.75" customHeight="1" x14ac:dyDescent="0.2">
      <c r="A414" s="266"/>
      <c r="B414" s="266"/>
      <c r="C414" s="266"/>
      <c r="D414" s="374"/>
      <c r="E414" s="374"/>
      <c r="F414" s="266"/>
      <c r="G414" s="266"/>
      <c r="H414" s="266"/>
      <c r="I414" s="266"/>
      <c r="J414" s="2"/>
      <c r="K414" s="2"/>
      <c r="L414" s="2"/>
      <c r="M414" s="2"/>
      <c r="N414" s="2"/>
      <c r="O414" s="2"/>
      <c r="P414" s="2"/>
      <c r="Q414" s="2"/>
      <c r="R414" s="2"/>
      <c r="S414" s="2"/>
      <c r="T414" s="2"/>
      <c r="U414" s="2"/>
      <c r="V414" s="2"/>
      <c r="W414" s="2"/>
      <c r="X414" s="2"/>
      <c r="Y414" s="2"/>
      <c r="Z414" s="2"/>
    </row>
    <row r="415" spans="1:26" ht="12.75" customHeight="1" x14ac:dyDescent="0.2">
      <c r="A415" s="266"/>
      <c r="B415" s="266"/>
      <c r="C415" s="266"/>
      <c r="D415" s="374"/>
      <c r="E415" s="374"/>
      <c r="F415" s="266"/>
      <c r="G415" s="266"/>
      <c r="H415" s="266"/>
      <c r="I415" s="266"/>
      <c r="J415" s="2"/>
      <c r="K415" s="2"/>
      <c r="L415" s="2"/>
      <c r="M415" s="2"/>
      <c r="N415" s="2"/>
      <c r="O415" s="2"/>
      <c r="P415" s="2"/>
      <c r="Q415" s="2"/>
      <c r="R415" s="2"/>
      <c r="S415" s="2"/>
      <c r="T415" s="2"/>
      <c r="U415" s="2"/>
      <c r="V415" s="2"/>
      <c r="W415" s="2"/>
      <c r="X415" s="2"/>
      <c r="Y415" s="2"/>
      <c r="Z415" s="2"/>
    </row>
    <row r="416" spans="1:26" ht="12.75" customHeight="1" x14ac:dyDescent="0.2">
      <c r="A416" s="266"/>
      <c r="B416" s="266"/>
      <c r="C416" s="266"/>
      <c r="D416" s="374"/>
      <c r="E416" s="374"/>
      <c r="F416" s="266"/>
      <c r="G416" s="266"/>
      <c r="H416" s="266"/>
      <c r="I416" s="266"/>
      <c r="J416" s="2"/>
      <c r="K416" s="2"/>
      <c r="L416" s="2"/>
      <c r="M416" s="2"/>
      <c r="N416" s="2"/>
      <c r="O416" s="2"/>
      <c r="P416" s="2"/>
      <c r="Q416" s="2"/>
      <c r="R416" s="2"/>
      <c r="S416" s="2"/>
      <c r="T416" s="2"/>
      <c r="U416" s="2"/>
      <c r="V416" s="2"/>
      <c r="W416" s="2"/>
      <c r="X416" s="2"/>
      <c r="Y416" s="2"/>
      <c r="Z416" s="2"/>
    </row>
    <row r="417" spans="1:26" ht="12.75" customHeight="1" x14ac:dyDescent="0.2">
      <c r="A417" s="266"/>
      <c r="B417" s="266"/>
      <c r="C417" s="266"/>
      <c r="D417" s="374"/>
      <c r="E417" s="374"/>
      <c r="F417" s="266"/>
      <c r="G417" s="266"/>
      <c r="H417" s="266"/>
      <c r="I417" s="266"/>
      <c r="J417" s="2"/>
      <c r="K417" s="2"/>
      <c r="L417" s="2"/>
      <c r="M417" s="2"/>
      <c r="N417" s="2"/>
      <c r="O417" s="2"/>
      <c r="P417" s="2"/>
      <c r="Q417" s="2"/>
      <c r="R417" s="2"/>
      <c r="S417" s="2"/>
      <c r="T417" s="2"/>
      <c r="U417" s="2"/>
      <c r="V417" s="2"/>
      <c r="W417" s="2"/>
      <c r="X417" s="2"/>
      <c r="Y417" s="2"/>
      <c r="Z417" s="2"/>
    </row>
    <row r="418" spans="1:26" ht="12.75" customHeight="1" x14ac:dyDescent="0.2">
      <c r="A418" s="266"/>
      <c r="B418" s="266"/>
      <c r="C418" s="266"/>
      <c r="D418" s="374"/>
      <c r="E418" s="374"/>
      <c r="F418" s="266"/>
      <c r="G418" s="266"/>
      <c r="H418" s="266"/>
      <c r="I418" s="266"/>
      <c r="J418" s="2"/>
      <c r="K418" s="2"/>
      <c r="L418" s="2"/>
      <c r="M418" s="2"/>
      <c r="N418" s="2"/>
      <c r="O418" s="2"/>
      <c r="P418" s="2"/>
      <c r="Q418" s="2"/>
      <c r="R418" s="2"/>
      <c r="S418" s="2"/>
      <c r="T418" s="2"/>
      <c r="U418" s="2"/>
      <c r="V418" s="2"/>
      <c r="W418" s="2"/>
      <c r="X418" s="2"/>
      <c r="Y418" s="2"/>
      <c r="Z418" s="2"/>
    </row>
    <row r="419" spans="1:26" ht="12.75" customHeight="1" x14ac:dyDescent="0.2">
      <c r="A419" s="266"/>
      <c r="B419" s="266"/>
      <c r="C419" s="266"/>
      <c r="D419" s="374"/>
      <c r="E419" s="374"/>
      <c r="F419" s="266"/>
      <c r="G419" s="266"/>
      <c r="H419" s="266"/>
      <c r="I419" s="266"/>
      <c r="J419" s="2"/>
      <c r="K419" s="2"/>
      <c r="L419" s="2"/>
      <c r="M419" s="2"/>
      <c r="N419" s="2"/>
      <c r="O419" s="2"/>
      <c r="P419" s="2"/>
      <c r="Q419" s="2"/>
      <c r="R419" s="2"/>
      <c r="S419" s="2"/>
      <c r="T419" s="2"/>
      <c r="U419" s="2"/>
      <c r="V419" s="2"/>
      <c r="W419" s="2"/>
      <c r="X419" s="2"/>
      <c r="Y419" s="2"/>
      <c r="Z419" s="2"/>
    </row>
    <row r="420" spans="1:26" ht="12.75" customHeight="1" x14ac:dyDescent="0.2">
      <c r="A420" s="266"/>
      <c r="B420" s="266"/>
      <c r="C420" s="266"/>
      <c r="D420" s="374"/>
      <c r="E420" s="374"/>
      <c r="F420" s="266"/>
      <c r="G420" s="266"/>
      <c r="H420" s="266"/>
      <c r="I420" s="266"/>
      <c r="J420" s="2"/>
      <c r="K420" s="2"/>
      <c r="L420" s="2"/>
      <c r="M420" s="2"/>
      <c r="N420" s="2"/>
      <c r="O420" s="2"/>
      <c r="P420" s="2"/>
      <c r="Q420" s="2"/>
      <c r="R420" s="2"/>
      <c r="S420" s="2"/>
      <c r="T420" s="2"/>
      <c r="U420" s="2"/>
      <c r="V420" s="2"/>
      <c r="W420" s="2"/>
      <c r="X420" s="2"/>
      <c r="Y420" s="2"/>
      <c r="Z420" s="2"/>
    </row>
    <row r="421" spans="1:26" ht="12.75" customHeight="1" x14ac:dyDescent="0.2">
      <c r="A421" s="266"/>
      <c r="B421" s="266"/>
      <c r="C421" s="266"/>
      <c r="D421" s="374"/>
      <c r="E421" s="374"/>
      <c r="F421" s="266"/>
      <c r="G421" s="266"/>
      <c r="H421" s="266"/>
      <c r="I421" s="266"/>
      <c r="J421" s="2"/>
      <c r="K421" s="2"/>
      <c r="L421" s="2"/>
      <c r="M421" s="2"/>
      <c r="N421" s="2"/>
      <c r="O421" s="2"/>
      <c r="P421" s="2"/>
      <c r="Q421" s="2"/>
      <c r="R421" s="2"/>
      <c r="S421" s="2"/>
      <c r="T421" s="2"/>
      <c r="U421" s="2"/>
      <c r="V421" s="2"/>
      <c r="W421" s="2"/>
      <c r="X421" s="2"/>
      <c r="Y421" s="2"/>
      <c r="Z421" s="2"/>
    </row>
    <row r="422" spans="1:26" ht="12.75" customHeight="1" x14ac:dyDescent="0.2">
      <c r="A422" s="266"/>
      <c r="B422" s="266"/>
      <c r="C422" s="266"/>
      <c r="D422" s="374"/>
      <c r="E422" s="374"/>
      <c r="F422" s="266"/>
      <c r="G422" s="266"/>
      <c r="H422" s="266"/>
      <c r="I422" s="266"/>
      <c r="J422" s="2"/>
      <c r="K422" s="2"/>
      <c r="L422" s="2"/>
      <c r="M422" s="2"/>
      <c r="N422" s="2"/>
      <c r="O422" s="2"/>
      <c r="P422" s="2"/>
      <c r="Q422" s="2"/>
      <c r="R422" s="2"/>
      <c r="S422" s="2"/>
      <c r="T422" s="2"/>
      <c r="U422" s="2"/>
      <c r="V422" s="2"/>
      <c r="W422" s="2"/>
      <c r="X422" s="2"/>
      <c r="Y422" s="2"/>
      <c r="Z422" s="2"/>
    </row>
    <row r="423" spans="1:26" ht="12.75" customHeight="1" x14ac:dyDescent="0.2">
      <c r="A423" s="266"/>
      <c r="B423" s="266"/>
      <c r="C423" s="266"/>
      <c r="D423" s="374"/>
      <c r="E423" s="374"/>
      <c r="F423" s="266"/>
      <c r="G423" s="266"/>
      <c r="H423" s="266"/>
      <c r="I423" s="266"/>
      <c r="J423" s="2"/>
      <c r="K423" s="2"/>
      <c r="L423" s="2"/>
      <c r="M423" s="2"/>
      <c r="N423" s="2"/>
      <c r="O423" s="2"/>
      <c r="P423" s="2"/>
      <c r="Q423" s="2"/>
      <c r="R423" s="2"/>
      <c r="S423" s="2"/>
      <c r="T423" s="2"/>
      <c r="U423" s="2"/>
      <c r="V423" s="2"/>
      <c r="W423" s="2"/>
      <c r="X423" s="2"/>
      <c r="Y423" s="2"/>
      <c r="Z423" s="2"/>
    </row>
    <row r="424" spans="1:26" ht="12.75" customHeight="1" x14ac:dyDescent="0.2">
      <c r="A424" s="266"/>
      <c r="B424" s="266"/>
      <c r="C424" s="266"/>
      <c r="D424" s="374"/>
      <c r="E424" s="374"/>
      <c r="F424" s="266"/>
      <c r="G424" s="266"/>
      <c r="H424" s="266"/>
      <c r="I424" s="266"/>
      <c r="J424" s="2"/>
      <c r="K424" s="2"/>
      <c r="L424" s="2"/>
      <c r="M424" s="2"/>
      <c r="N424" s="2"/>
      <c r="O424" s="2"/>
      <c r="P424" s="2"/>
      <c r="Q424" s="2"/>
      <c r="R424" s="2"/>
      <c r="S424" s="2"/>
      <c r="T424" s="2"/>
      <c r="U424" s="2"/>
      <c r="V424" s="2"/>
      <c r="W424" s="2"/>
      <c r="X424" s="2"/>
      <c r="Y424" s="2"/>
      <c r="Z424" s="2"/>
    </row>
    <row r="425" spans="1:26" ht="12.75" customHeight="1" x14ac:dyDescent="0.2">
      <c r="A425" s="266"/>
      <c r="B425" s="266"/>
      <c r="C425" s="266"/>
      <c r="D425" s="374"/>
      <c r="E425" s="374"/>
      <c r="F425" s="266"/>
      <c r="G425" s="266"/>
      <c r="H425" s="266"/>
      <c r="I425" s="266"/>
      <c r="J425" s="2"/>
      <c r="K425" s="2"/>
      <c r="L425" s="2"/>
      <c r="M425" s="2"/>
      <c r="N425" s="2"/>
      <c r="O425" s="2"/>
      <c r="P425" s="2"/>
      <c r="Q425" s="2"/>
      <c r="R425" s="2"/>
      <c r="S425" s="2"/>
      <c r="T425" s="2"/>
      <c r="U425" s="2"/>
      <c r="V425" s="2"/>
      <c r="W425" s="2"/>
      <c r="X425" s="2"/>
      <c r="Y425" s="2"/>
      <c r="Z425" s="2"/>
    </row>
    <row r="426" spans="1:26" ht="12.75" customHeight="1" x14ac:dyDescent="0.2">
      <c r="A426" s="266"/>
      <c r="B426" s="266"/>
      <c r="C426" s="266"/>
      <c r="D426" s="374"/>
      <c r="E426" s="374"/>
      <c r="F426" s="266"/>
      <c r="G426" s="266"/>
      <c r="H426" s="266"/>
      <c r="I426" s="266"/>
      <c r="J426" s="2"/>
      <c r="K426" s="2"/>
      <c r="L426" s="2"/>
      <c r="M426" s="2"/>
      <c r="N426" s="2"/>
      <c r="O426" s="2"/>
      <c r="P426" s="2"/>
      <c r="Q426" s="2"/>
      <c r="R426" s="2"/>
      <c r="S426" s="2"/>
      <c r="T426" s="2"/>
      <c r="U426" s="2"/>
      <c r="V426" s="2"/>
      <c r="W426" s="2"/>
      <c r="X426" s="2"/>
      <c r="Y426" s="2"/>
      <c r="Z426" s="2"/>
    </row>
    <row r="427" spans="1:26" ht="12.75" customHeight="1" x14ac:dyDescent="0.2">
      <c r="A427" s="266"/>
      <c r="B427" s="266"/>
      <c r="C427" s="266"/>
      <c r="D427" s="374"/>
      <c r="E427" s="374"/>
      <c r="F427" s="266"/>
      <c r="G427" s="266"/>
      <c r="H427" s="266"/>
      <c r="I427" s="266"/>
      <c r="J427" s="2"/>
      <c r="K427" s="2"/>
      <c r="L427" s="2"/>
      <c r="M427" s="2"/>
      <c r="N427" s="2"/>
      <c r="O427" s="2"/>
      <c r="P427" s="2"/>
      <c r="Q427" s="2"/>
      <c r="R427" s="2"/>
      <c r="S427" s="2"/>
      <c r="T427" s="2"/>
      <c r="U427" s="2"/>
      <c r="V427" s="2"/>
      <c r="W427" s="2"/>
      <c r="X427" s="2"/>
      <c r="Y427" s="2"/>
      <c r="Z427" s="2"/>
    </row>
    <row r="428" spans="1:26" ht="12.75" customHeight="1" x14ac:dyDescent="0.2">
      <c r="A428" s="266"/>
      <c r="B428" s="266"/>
      <c r="C428" s="266"/>
      <c r="D428" s="374"/>
      <c r="E428" s="374"/>
      <c r="F428" s="266"/>
      <c r="G428" s="266"/>
      <c r="H428" s="266"/>
      <c r="I428" s="266"/>
      <c r="J428" s="2"/>
      <c r="K428" s="2"/>
      <c r="L428" s="2"/>
      <c r="M428" s="2"/>
      <c r="N428" s="2"/>
      <c r="O428" s="2"/>
      <c r="P428" s="2"/>
      <c r="Q428" s="2"/>
      <c r="R428" s="2"/>
      <c r="S428" s="2"/>
      <c r="T428" s="2"/>
      <c r="U428" s="2"/>
      <c r="V428" s="2"/>
      <c r="W428" s="2"/>
      <c r="X428" s="2"/>
      <c r="Y428" s="2"/>
      <c r="Z428" s="2"/>
    </row>
    <row r="429" spans="1:26" ht="12.75" customHeight="1" x14ac:dyDescent="0.2">
      <c r="A429" s="266"/>
      <c r="B429" s="266"/>
      <c r="C429" s="266"/>
      <c r="D429" s="374"/>
      <c r="E429" s="374"/>
      <c r="F429" s="266"/>
      <c r="G429" s="266"/>
      <c r="H429" s="266"/>
      <c r="I429" s="266"/>
      <c r="J429" s="2"/>
      <c r="K429" s="2"/>
      <c r="L429" s="2"/>
      <c r="M429" s="2"/>
      <c r="N429" s="2"/>
      <c r="O429" s="2"/>
      <c r="P429" s="2"/>
      <c r="Q429" s="2"/>
      <c r="R429" s="2"/>
      <c r="S429" s="2"/>
      <c r="T429" s="2"/>
      <c r="U429" s="2"/>
      <c r="V429" s="2"/>
      <c r="W429" s="2"/>
      <c r="X429" s="2"/>
      <c r="Y429" s="2"/>
      <c r="Z429" s="2"/>
    </row>
    <row r="430" spans="1:26" ht="12.75" customHeight="1" x14ac:dyDescent="0.2">
      <c r="A430" s="266"/>
      <c r="B430" s="266"/>
      <c r="C430" s="266"/>
      <c r="D430" s="374"/>
      <c r="E430" s="374"/>
      <c r="F430" s="266"/>
      <c r="G430" s="266"/>
      <c r="H430" s="266"/>
      <c r="I430" s="266"/>
      <c r="J430" s="2"/>
      <c r="K430" s="2"/>
      <c r="L430" s="2"/>
      <c r="M430" s="2"/>
      <c r="N430" s="2"/>
      <c r="O430" s="2"/>
      <c r="P430" s="2"/>
      <c r="Q430" s="2"/>
      <c r="R430" s="2"/>
      <c r="S430" s="2"/>
      <c r="T430" s="2"/>
      <c r="U430" s="2"/>
      <c r="V430" s="2"/>
      <c r="W430" s="2"/>
      <c r="X430" s="2"/>
      <c r="Y430" s="2"/>
      <c r="Z430" s="2"/>
    </row>
    <row r="431" spans="1:26" ht="12.75" customHeight="1" x14ac:dyDescent="0.2">
      <c r="A431" s="266"/>
      <c r="B431" s="266"/>
      <c r="C431" s="266"/>
      <c r="D431" s="374"/>
      <c r="E431" s="374"/>
      <c r="F431" s="266"/>
      <c r="G431" s="266"/>
      <c r="H431" s="266"/>
      <c r="I431" s="266"/>
      <c r="J431" s="2"/>
      <c r="K431" s="2"/>
      <c r="L431" s="2"/>
      <c r="M431" s="2"/>
      <c r="N431" s="2"/>
      <c r="O431" s="2"/>
      <c r="P431" s="2"/>
      <c r="Q431" s="2"/>
      <c r="R431" s="2"/>
      <c r="S431" s="2"/>
      <c r="T431" s="2"/>
      <c r="U431" s="2"/>
      <c r="V431" s="2"/>
      <c r="W431" s="2"/>
      <c r="X431" s="2"/>
      <c r="Y431" s="2"/>
      <c r="Z431" s="2"/>
    </row>
    <row r="432" spans="1:26" ht="12.75" customHeight="1" x14ac:dyDescent="0.2">
      <c r="A432" s="266"/>
      <c r="B432" s="266"/>
      <c r="C432" s="266"/>
      <c r="D432" s="374"/>
      <c r="E432" s="374"/>
      <c r="F432" s="266"/>
      <c r="G432" s="266"/>
      <c r="H432" s="266"/>
      <c r="I432" s="266"/>
      <c r="J432" s="2"/>
      <c r="K432" s="2"/>
      <c r="L432" s="2"/>
      <c r="M432" s="2"/>
      <c r="N432" s="2"/>
      <c r="O432" s="2"/>
      <c r="P432" s="2"/>
      <c r="Q432" s="2"/>
      <c r="R432" s="2"/>
      <c r="S432" s="2"/>
      <c r="T432" s="2"/>
      <c r="U432" s="2"/>
      <c r="V432" s="2"/>
      <c r="W432" s="2"/>
      <c r="X432" s="2"/>
      <c r="Y432" s="2"/>
      <c r="Z432" s="2"/>
    </row>
    <row r="433" spans="1:26" ht="12.75" customHeight="1" x14ac:dyDescent="0.2">
      <c r="A433" s="266"/>
      <c r="B433" s="266"/>
      <c r="C433" s="266"/>
      <c r="D433" s="374"/>
      <c r="E433" s="374"/>
      <c r="F433" s="266"/>
      <c r="G433" s="266"/>
      <c r="H433" s="266"/>
      <c r="I433" s="266"/>
      <c r="J433" s="2"/>
      <c r="K433" s="2"/>
      <c r="L433" s="2"/>
      <c r="M433" s="2"/>
      <c r="N433" s="2"/>
      <c r="O433" s="2"/>
      <c r="P433" s="2"/>
      <c r="Q433" s="2"/>
      <c r="R433" s="2"/>
      <c r="S433" s="2"/>
      <c r="T433" s="2"/>
      <c r="U433" s="2"/>
      <c r="V433" s="2"/>
      <c r="W433" s="2"/>
      <c r="X433" s="2"/>
      <c r="Y433" s="2"/>
      <c r="Z433" s="2"/>
    </row>
    <row r="434" spans="1:26" ht="12.75" customHeight="1" x14ac:dyDescent="0.2">
      <c r="A434" s="266"/>
      <c r="B434" s="266"/>
      <c r="C434" s="266"/>
      <c r="D434" s="374"/>
      <c r="E434" s="374"/>
      <c r="F434" s="266"/>
      <c r="G434" s="266"/>
      <c r="H434" s="266"/>
      <c r="I434" s="266"/>
      <c r="J434" s="2"/>
      <c r="K434" s="2"/>
      <c r="L434" s="2"/>
      <c r="M434" s="2"/>
      <c r="N434" s="2"/>
      <c r="O434" s="2"/>
      <c r="P434" s="2"/>
      <c r="Q434" s="2"/>
      <c r="R434" s="2"/>
      <c r="S434" s="2"/>
      <c r="T434" s="2"/>
      <c r="U434" s="2"/>
      <c r="V434" s="2"/>
      <c r="W434" s="2"/>
      <c r="X434" s="2"/>
      <c r="Y434" s="2"/>
      <c r="Z434" s="2"/>
    </row>
    <row r="435" spans="1:26" ht="12.75" customHeight="1" x14ac:dyDescent="0.2">
      <c r="A435" s="266"/>
      <c r="B435" s="266"/>
      <c r="C435" s="266"/>
      <c r="D435" s="374"/>
      <c r="E435" s="374"/>
      <c r="F435" s="266"/>
      <c r="G435" s="266"/>
      <c r="H435" s="266"/>
      <c r="I435" s="266"/>
      <c r="J435" s="2"/>
      <c r="K435" s="2"/>
      <c r="L435" s="2"/>
      <c r="M435" s="2"/>
      <c r="N435" s="2"/>
      <c r="O435" s="2"/>
      <c r="P435" s="2"/>
      <c r="Q435" s="2"/>
      <c r="R435" s="2"/>
      <c r="S435" s="2"/>
      <c r="T435" s="2"/>
      <c r="U435" s="2"/>
      <c r="V435" s="2"/>
      <c r="W435" s="2"/>
      <c r="X435" s="2"/>
      <c r="Y435" s="2"/>
      <c r="Z435" s="2"/>
    </row>
    <row r="436" spans="1:26" ht="12.75" customHeight="1" x14ac:dyDescent="0.2">
      <c r="A436" s="266"/>
      <c r="B436" s="266"/>
      <c r="C436" s="266"/>
      <c r="D436" s="374"/>
      <c r="E436" s="374"/>
      <c r="F436" s="266"/>
      <c r="G436" s="266"/>
      <c r="H436" s="266"/>
      <c r="I436" s="266"/>
      <c r="J436" s="2"/>
      <c r="K436" s="2"/>
      <c r="L436" s="2"/>
      <c r="M436" s="2"/>
      <c r="N436" s="2"/>
      <c r="O436" s="2"/>
      <c r="P436" s="2"/>
      <c r="Q436" s="2"/>
      <c r="R436" s="2"/>
      <c r="S436" s="2"/>
      <c r="T436" s="2"/>
      <c r="U436" s="2"/>
      <c r="V436" s="2"/>
      <c r="W436" s="2"/>
      <c r="X436" s="2"/>
      <c r="Y436" s="2"/>
      <c r="Z436" s="2"/>
    </row>
    <row r="437" spans="1:26" ht="12.75" customHeight="1" x14ac:dyDescent="0.2">
      <c r="A437" s="266"/>
      <c r="B437" s="266"/>
      <c r="C437" s="266"/>
      <c r="D437" s="374"/>
      <c r="E437" s="374"/>
      <c r="F437" s="266"/>
      <c r="G437" s="266"/>
      <c r="H437" s="266"/>
      <c r="I437" s="266"/>
      <c r="J437" s="2"/>
      <c r="K437" s="2"/>
      <c r="L437" s="2"/>
      <c r="M437" s="2"/>
      <c r="N437" s="2"/>
      <c r="O437" s="2"/>
      <c r="P437" s="2"/>
      <c r="Q437" s="2"/>
      <c r="R437" s="2"/>
      <c r="S437" s="2"/>
      <c r="T437" s="2"/>
      <c r="U437" s="2"/>
      <c r="V437" s="2"/>
      <c r="W437" s="2"/>
      <c r="X437" s="2"/>
      <c r="Y437" s="2"/>
      <c r="Z437" s="2"/>
    </row>
    <row r="438" spans="1:26" ht="12.75" customHeight="1" x14ac:dyDescent="0.2">
      <c r="A438" s="266"/>
      <c r="B438" s="266"/>
      <c r="C438" s="266"/>
      <c r="D438" s="374"/>
      <c r="E438" s="374"/>
      <c r="F438" s="266"/>
      <c r="G438" s="266"/>
      <c r="H438" s="266"/>
      <c r="I438" s="266"/>
      <c r="J438" s="2"/>
      <c r="K438" s="2"/>
      <c r="L438" s="2"/>
      <c r="M438" s="2"/>
      <c r="N438" s="2"/>
      <c r="O438" s="2"/>
      <c r="P438" s="2"/>
      <c r="Q438" s="2"/>
      <c r="R438" s="2"/>
      <c r="S438" s="2"/>
      <c r="T438" s="2"/>
      <c r="U438" s="2"/>
      <c r="V438" s="2"/>
      <c r="W438" s="2"/>
      <c r="X438" s="2"/>
      <c r="Y438" s="2"/>
      <c r="Z438" s="2"/>
    </row>
    <row r="439" spans="1:26" ht="12.75" customHeight="1" x14ac:dyDescent="0.2">
      <c r="A439" s="266"/>
      <c r="B439" s="266"/>
      <c r="C439" s="266"/>
      <c r="D439" s="374"/>
      <c r="E439" s="374"/>
      <c r="F439" s="266"/>
      <c r="G439" s="266"/>
      <c r="H439" s="266"/>
      <c r="I439" s="266"/>
      <c r="J439" s="2"/>
      <c r="K439" s="2"/>
      <c r="L439" s="2"/>
      <c r="M439" s="2"/>
      <c r="N439" s="2"/>
      <c r="O439" s="2"/>
      <c r="P439" s="2"/>
      <c r="Q439" s="2"/>
      <c r="R439" s="2"/>
      <c r="S439" s="2"/>
      <c r="T439" s="2"/>
      <c r="U439" s="2"/>
      <c r="V439" s="2"/>
      <c r="W439" s="2"/>
      <c r="X439" s="2"/>
      <c r="Y439" s="2"/>
      <c r="Z439" s="2"/>
    </row>
    <row r="440" spans="1:26" ht="12.75" customHeight="1" x14ac:dyDescent="0.2">
      <c r="A440" s="266"/>
      <c r="B440" s="266"/>
      <c r="C440" s="266"/>
      <c r="D440" s="374"/>
      <c r="E440" s="374"/>
      <c r="F440" s="266"/>
      <c r="G440" s="266"/>
      <c r="H440" s="266"/>
      <c r="I440" s="266"/>
      <c r="J440" s="2"/>
      <c r="K440" s="2"/>
      <c r="L440" s="2"/>
      <c r="M440" s="2"/>
      <c r="N440" s="2"/>
      <c r="O440" s="2"/>
      <c r="P440" s="2"/>
      <c r="Q440" s="2"/>
      <c r="R440" s="2"/>
      <c r="S440" s="2"/>
      <c r="T440" s="2"/>
      <c r="U440" s="2"/>
      <c r="V440" s="2"/>
      <c r="W440" s="2"/>
      <c r="X440" s="2"/>
      <c r="Y440" s="2"/>
      <c r="Z440" s="2"/>
    </row>
    <row r="441" spans="1:26" ht="12.75" customHeight="1" x14ac:dyDescent="0.2">
      <c r="A441" s="266"/>
      <c r="B441" s="266"/>
      <c r="C441" s="266"/>
      <c r="D441" s="374"/>
      <c r="E441" s="374"/>
      <c r="F441" s="266"/>
      <c r="G441" s="266"/>
      <c r="H441" s="266"/>
      <c r="I441" s="266"/>
      <c r="J441" s="2"/>
      <c r="K441" s="2"/>
      <c r="L441" s="2"/>
      <c r="M441" s="2"/>
      <c r="N441" s="2"/>
      <c r="O441" s="2"/>
      <c r="P441" s="2"/>
      <c r="Q441" s="2"/>
      <c r="R441" s="2"/>
      <c r="S441" s="2"/>
      <c r="T441" s="2"/>
      <c r="U441" s="2"/>
      <c r="V441" s="2"/>
      <c r="W441" s="2"/>
      <c r="X441" s="2"/>
      <c r="Y441" s="2"/>
      <c r="Z441" s="2"/>
    </row>
    <row r="442" spans="1:26" ht="12.75" customHeight="1" x14ac:dyDescent="0.2">
      <c r="A442" s="266"/>
      <c r="B442" s="266"/>
      <c r="C442" s="266"/>
      <c r="D442" s="374"/>
      <c r="E442" s="374"/>
      <c r="F442" s="266"/>
      <c r="G442" s="266"/>
      <c r="H442" s="266"/>
      <c r="I442" s="266"/>
      <c r="J442" s="2"/>
      <c r="K442" s="2"/>
      <c r="L442" s="2"/>
      <c r="M442" s="2"/>
      <c r="N442" s="2"/>
      <c r="O442" s="2"/>
      <c r="P442" s="2"/>
      <c r="Q442" s="2"/>
      <c r="R442" s="2"/>
      <c r="S442" s="2"/>
      <c r="T442" s="2"/>
      <c r="U442" s="2"/>
      <c r="V442" s="2"/>
      <c r="W442" s="2"/>
      <c r="X442" s="2"/>
      <c r="Y442" s="2"/>
      <c r="Z442" s="2"/>
    </row>
    <row r="443" spans="1:26" ht="12.75" customHeight="1" x14ac:dyDescent="0.2">
      <c r="A443" s="266"/>
      <c r="B443" s="266"/>
      <c r="C443" s="266"/>
      <c r="D443" s="374"/>
      <c r="E443" s="374"/>
      <c r="F443" s="266"/>
      <c r="G443" s="266"/>
      <c r="H443" s="266"/>
      <c r="I443" s="266"/>
      <c r="J443" s="2"/>
      <c r="K443" s="2"/>
      <c r="L443" s="2"/>
      <c r="M443" s="2"/>
      <c r="N443" s="2"/>
      <c r="O443" s="2"/>
      <c r="P443" s="2"/>
      <c r="Q443" s="2"/>
      <c r="R443" s="2"/>
      <c r="S443" s="2"/>
      <c r="T443" s="2"/>
      <c r="U443" s="2"/>
      <c r="V443" s="2"/>
      <c r="W443" s="2"/>
      <c r="X443" s="2"/>
      <c r="Y443" s="2"/>
      <c r="Z443" s="2"/>
    </row>
    <row r="444" spans="1:26" ht="12.75" customHeight="1" x14ac:dyDescent="0.2">
      <c r="A444" s="266"/>
      <c r="B444" s="266"/>
      <c r="C444" s="266"/>
      <c r="D444" s="374"/>
      <c r="E444" s="374"/>
      <c r="F444" s="266"/>
      <c r="G444" s="266"/>
      <c r="H444" s="266"/>
      <c r="I444" s="266"/>
      <c r="J444" s="2"/>
      <c r="K444" s="2"/>
      <c r="L444" s="2"/>
      <c r="M444" s="2"/>
      <c r="N444" s="2"/>
      <c r="O444" s="2"/>
      <c r="P444" s="2"/>
      <c r="Q444" s="2"/>
      <c r="R444" s="2"/>
      <c r="S444" s="2"/>
      <c r="T444" s="2"/>
      <c r="U444" s="2"/>
      <c r="V444" s="2"/>
      <c r="W444" s="2"/>
      <c r="X444" s="2"/>
      <c r="Y444" s="2"/>
      <c r="Z444" s="2"/>
    </row>
    <row r="445" spans="1:26" ht="12.75" customHeight="1" x14ac:dyDescent="0.2">
      <c r="A445" s="266"/>
      <c r="B445" s="266"/>
      <c r="C445" s="266"/>
      <c r="D445" s="374"/>
      <c r="E445" s="374"/>
      <c r="F445" s="266"/>
      <c r="G445" s="266"/>
      <c r="H445" s="266"/>
      <c r="I445" s="266"/>
      <c r="J445" s="2"/>
      <c r="K445" s="2"/>
      <c r="L445" s="2"/>
      <c r="M445" s="2"/>
      <c r="N445" s="2"/>
      <c r="O445" s="2"/>
      <c r="P445" s="2"/>
      <c r="Q445" s="2"/>
      <c r="R445" s="2"/>
      <c r="S445" s="2"/>
      <c r="T445" s="2"/>
      <c r="U445" s="2"/>
      <c r="V445" s="2"/>
      <c r="W445" s="2"/>
      <c r="X445" s="2"/>
      <c r="Y445" s="2"/>
      <c r="Z445" s="2"/>
    </row>
    <row r="446" spans="1:26" ht="12.75" customHeight="1" x14ac:dyDescent="0.2">
      <c r="A446" s="266"/>
      <c r="B446" s="266"/>
      <c r="C446" s="266"/>
      <c r="D446" s="374"/>
      <c r="E446" s="374"/>
      <c r="F446" s="266"/>
      <c r="G446" s="266"/>
      <c r="H446" s="266"/>
      <c r="I446" s="266"/>
      <c r="J446" s="2"/>
      <c r="K446" s="2"/>
      <c r="L446" s="2"/>
      <c r="M446" s="2"/>
      <c r="N446" s="2"/>
      <c r="O446" s="2"/>
      <c r="P446" s="2"/>
      <c r="Q446" s="2"/>
      <c r="R446" s="2"/>
      <c r="S446" s="2"/>
      <c r="T446" s="2"/>
      <c r="U446" s="2"/>
      <c r="V446" s="2"/>
      <c r="W446" s="2"/>
      <c r="X446" s="2"/>
      <c r="Y446" s="2"/>
      <c r="Z446" s="2"/>
    </row>
    <row r="447" spans="1:26" ht="12.75" customHeight="1" x14ac:dyDescent="0.2">
      <c r="A447" s="266"/>
      <c r="B447" s="266"/>
      <c r="C447" s="266"/>
      <c r="D447" s="374"/>
      <c r="E447" s="374"/>
      <c r="F447" s="266"/>
      <c r="G447" s="266"/>
      <c r="H447" s="266"/>
      <c r="I447" s="266"/>
      <c r="J447" s="2"/>
      <c r="K447" s="2"/>
      <c r="L447" s="2"/>
      <c r="M447" s="2"/>
      <c r="N447" s="2"/>
      <c r="O447" s="2"/>
      <c r="P447" s="2"/>
      <c r="Q447" s="2"/>
      <c r="R447" s="2"/>
      <c r="S447" s="2"/>
      <c r="T447" s="2"/>
      <c r="U447" s="2"/>
      <c r="V447" s="2"/>
      <c r="W447" s="2"/>
      <c r="X447" s="2"/>
      <c r="Y447" s="2"/>
      <c r="Z447" s="2"/>
    </row>
    <row r="448" spans="1:26" ht="12.75" customHeight="1" x14ac:dyDescent="0.2">
      <c r="A448" s="266"/>
      <c r="B448" s="266"/>
      <c r="C448" s="266"/>
      <c r="D448" s="374"/>
      <c r="E448" s="374"/>
      <c r="F448" s="266"/>
      <c r="G448" s="266"/>
      <c r="H448" s="266"/>
      <c r="I448" s="266"/>
      <c r="J448" s="2"/>
      <c r="K448" s="2"/>
      <c r="L448" s="2"/>
      <c r="M448" s="2"/>
      <c r="N448" s="2"/>
      <c r="O448" s="2"/>
      <c r="P448" s="2"/>
      <c r="Q448" s="2"/>
      <c r="R448" s="2"/>
      <c r="S448" s="2"/>
      <c r="T448" s="2"/>
      <c r="U448" s="2"/>
      <c r="V448" s="2"/>
      <c r="W448" s="2"/>
      <c r="X448" s="2"/>
      <c r="Y448" s="2"/>
      <c r="Z448" s="2"/>
    </row>
    <row r="449" spans="1:26" ht="12.75" customHeight="1" x14ac:dyDescent="0.2">
      <c r="A449" s="266"/>
      <c r="B449" s="266"/>
      <c r="C449" s="266"/>
      <c r="D449" s="374"/>
      <c r="E449" s="374"/>
      <c r="F449" s="266"/>
      <c r="G449" s="266"/>
      <c r="H449" s="266"/>
      <c r="I449" s="266"/>
      <c r="J449" s="2"/>
      <c r="K449" s="2"/>
      <c r="L449" s="2"/>
      <c r="M449" s="2"/>
      <c r="N449" s="2"/>
      <c r="O449" s="2"/>
      <c r="P449" s="2"/>
      <c r="Q449" s="2"/>
      <c r="R449" s="2"/>
      <c r="S449" s="2"/>
      <c r="T449" s="2"/>
      <c r="U449" s="2"/>
      <c r="V449" s="2"/>
      <c r="W449" s="2"/>
      <c r="X449" s="2"/>
      <c r="Y449" s="2"/>
      <c r="Z449" s="2"/>
    </row>
    <row r="450" spans="1:26" ht="12.75" customHeight="1" x14ac:dyDescent="0.2">
      <c r="A450" s="266"/>
      <c r="B450" s="266"/>
      <c r="C450" s="266"/>
      <c r="D450" s="374"/>
      <c r="E450" s="374"/>
      <c r="F450" s="266"/>
      <c r="G450" s="266"/>
      <c r="H450" s="266"/>
      <c r="I450" s="266"/>
      <c r="J450" s="2"/>
      <c r="K450" s="2"/>
      <c r="L450" s="2"/>
      <c r="M450" s="2"/>
      <c r="N450" s="2"/>
      <c r="O450" s="2"/>
      <c r="P450" s="2"/>
      <c r="Q450" s="2"/>
      <c r="R450" s="2"/>
      <c r="S450" s="2"/>
      <c r="T450" s="2"/>
      <c r="U450" s="2"/>
      <c r="V450" s="2"/>
      <c r="W450" s="2"/>
      <c r="X450" s="2"/>
      <c r="Y450" s="2"/>
      <c r="Z450" s="2"/>
    </row>
    <row r="451" spans="1:26" ht="12.75" customHeight="1" x14ac:dyDescent="0.2">
      <c r="A451" s="266"/>
      <c r="B451" s="266"/>
      <c r="C451" s="266"/>
      <c r="D451" s="374"/>
      <c r="E451" s="374"/>
      <c r="F451" s="266"/>
      <c r="G451" s="266"/>
      <c r="H451" s="266"/>
      <c r="I451" s="266"/>
      <c r="J451" s="2"/>
      <c r="K451" s="2"/>
      <c r="L451" s="2"/>
      <c r="M451" s="2"/>
      <c r="N451" s="2"/>
      <c r="O451" s="2"/>
      <c r="P451" s="2"/>
      <c r="Q451" s="2"/>
      <c r="R451" s="2"/>
      <c r="S451" s="2"/>
      <c r="T451" s="2"/>
      <c r="U451" s="2"/>
      <c r="V451" s="2"/>
      <c r="W451" s="2"/>
      <c r="X451" s="2"/>
      <c r="Y451" s="2"/>
      <c r="Z451" s="2"/>
    </row>
    <row r="452" spans="1:26" ht="12.75" customHeight="1" x14ac:dyDescent="0.2">
      <c r="A452" s="266"/>
      <c r="B452" s="266"/>
      <c r="C452" s="266"/>
      <c r="D452" s="374"/>
      <c r="E452" s="374"/>
      <c r="F452" s="266"/>
      <c r="G452" s="266"/>
      <c r="H452" s="266"/>
      <c r="I452" s="266"/>
      <c r="J452" s="2"/>
      <c r="K452" s="2"/>
      <c r="L452" s="2"/>
      <c r="M452" s="2"/>
      <c r="N452" s="2"/>
      <c r="O452" s="2"/>
      <c r="P452" s="2"/>
      <c r="Q452" s="2"/>
      <c r="R452" s="2"/>
      <c r="S452" s="2"/>
      <c r="T452" s="2"/>
      <c r="U452" s="2"/>
      <c r="V452" s="2"/>
      <c r="W452" s="2"/>
      <c r="X452" s="2"/>
      <c r="Y452" s="2"/>
      <c r="Z452" s="2"/>
    </row>
    <row r="453" spans="1:26" ht="12.75" customHeight="1" x14ac:dyDescent="0.2">
      <c r="A453" s="266"/>
      <c r="B453" s="266"/>
      <c r="C453" s="266"/>
      <c r="D453" s="374"/>
      <c r="E453" s="374"/>
      <c r="F453" s="266"/>
      <c r="G453" s="266"/>
      <c r="H453" s="266"/>
      <c r="I453" s="266"/>
      <c r="J453" s="2"/>
      <c r="K453" s="2"/>
      <c r="L453" s="2"/>
      <c r="M453" s="2"/>
      <c r="N453" s="2"/>
      <c r="O453" s="2"/>
      <c r="P453" s="2"/>
      <c r="Q453" s="2"/>
      <c r="R453" s="2"/>
      <c r="S453" s="2"/>
      <c r="T453" s="2"/>
      <c r="U453" s="2"/>
      <c r="V453" s="2"/>
      <c r="W453" s="2"/>
      <c r="X453" s="2"/>
      <c r="Y453" s="2"/>
      <c r="Z453" s="2"/>
    </row>
    <row r="454" spans="1:26" ht="12.75" customHeight="1" x14ac:dyDescent="0.2">
      <c r="A454" s="266"/>
      <c r="B454" s="266"/>
      <c r="C454" s="266"/>
      <c r="D454" s="374"/>
      <c r="E454" s="374"/>
      <c r="F454" s="266"/>
      <c r="G454" s="266"/>
      <c r="H454" s="266"/>
      <c r="I454" s="266"/>
      <c r="J454" s="2"/>
      <c r="K454" s="2"/>
      <c r="L454" s="2"/>
      <c r="M454" s="2"/>
      <c r="N454" s="2"/>
      <c r="O454" s="2"/>
      <c r="P454" s="2"/>
      <c r="Q454" s="2"/>
      <c r="R454" s="2"/>
      <c r="S454" s="2"/>
      <c r="T454" s="2"/>
      <c r="U454" s="2"/>
      <c r="V454" s="2"/>
      <c r="W454" s="2"/>
      <c r="X454" s="2"/>
      <c r="Y454" s="2"/>
      <c r="Z454" s="2"/>
    </row>
    <row r="455" spans="1:26" ht="12.75" customHeight="1" x14ac:dyDescent="0.2">
      <c r="A455" s="266"/>
      <c r="B455" s="266"/>
      <c r="C455" s="266"/>
      <c r="D455" s="374"/>
      <c r="E455" s="374"/>
      <c r="F455" s="266"/>
      <c r="G455" s="266"/>
      <c r="H455" s="266"/>
      <c r="I455" s="266"/>
      <c r="J455" s="2"/>
      <c r="K455" s="2"/>
      <c r="L455" s="2"/>
      <c r="M455" s="2"/>
      <c r="N455" s="2"/>
      <c r="O455" s="2"/>
      <c r="P455" s="2"/>
      <c r="Q455" s="2"/>
      <c r="R455" s="2"/>
      <c r="S455" s="2"/>
      <c r="T455" s="2"/>
      <c r="U455" s="2"/>
      <c r="V455" s="2"/>
      <c r="W455" s="2"/>
      <c r="X455" s="2"/>
      <c r="Y455" s="2"/>
      <c r="Z455" s="2"/>
    </row>
    <row r="456" spans="1:26" ht="12.75" customHeight="1" x14ac:dyDescent="0.2">
      <c r="A456" s="266"/>
      <c r="B456" s="266"/>
      <c r="C456" s="266"/>
      <c r="D456" s="374"/>
      <c r="E456" s="374"/>
      <c r="F456" s="266"/>
      <c r="G456" s="266"/>
      <c r="H456" s="266"/>
      <c r="I456" s="266"/>
      <c r="J456" s="2"/>
      <c r="K456" s="2"/>
      <c r="L456" s="2"/>
      <c r="M456" s="2"/>
      <c r="N456" s="2"/>
      <c r="O456" s="2"/>
      <c r="P456" s="2"/>
      <c r="Q456" s="2"/>
      <c r="R456" s="2"/>
      <c r="S456" s="2"/>
      <c r="T456" s="2"/>
      <c r="U456" s="2"/>
      <c r="V456" s="2"/>
      <c r="W456" s="2"/>
      <c r="X456" s="2"/>
      <c r="Y456" s="2"/>
      <c r="Z456" s="2"/>
    </row>
    <row r="457" spans="1:26" ht="12.75" customHeight="1" x14ac:dyDescent="0.2">
      <c r="A457" s="266"/>
      <c r="B457" s="266"/>
      <c r="C457" s="266"/>
      <c r="D457" s="374"/>
      <c r="E457" s="374"/>
      <c r="F457" s="266"/>
      <c r="G457" s="266"/>
      <c r="H457" s="266"/>
      <c r="I457" s="266"/>
      <c r="J457" s="2"/>
      <c r="K457" s="2"/>
      <c r="L457" s="2"/>
      <c r="M457" s="2"/>
      <c r="N457" s="2"/>
      <c r="O457" s="2"/>
      <c r="P457" s="2"/>
      <c r="Q457" s="2"/>
      <c r="R457" s="2"/>
      <c r="S457" s="2"/>
      <c r="T457" s="2"/>
      <c r="U457" s="2"/>
      <c r="V457" s="2"/>
      <c r="W457" s="2"/>
      <c r="X457" s="2"/>
      <c r="Y457" s="2"/>
      <c r="Z457" s="2"/>
    </row>
    <row r="458" spans="1:26" ht="12.75" customHeight="1" x14ac:dyDescent="0.2">
      <c r="A458" s="266"/>
      <c r="B458" s="266"/>
      <c r="C458" s="266"/>
      <c r="D458" s="374"/>
      <c r="E458" s="374"/>
      <c r="F458" s="266"/>
      <c r="G458" s="266"/>
      <c r="H458" s="266"/>
      <c r="I458" s="266"/>
      <c r="J458" s="2"/>
      <c r="K458" s="2"/>
      <c r="L458" s="2"/>
      <c r="M458" s="2"/>
      <c r="N458" s="2"/>
      <c r="O458" s="2"/>
      <c r="P458" s="2"/>
      <c r="Q458" s="2"/>
      <c r="R458" s="2"/>
      <c r="S458" s="2"/>
      <c r="T458" s="2"/>
      <c r="U458" s="2"/>
      <c r="V458" s="2"/>
      <c r="W458" s="2"/>
      <c r="X458" s="2"/>
      <c r="Y458" s="2"/>
      <c r="Z458" s="2"/>
    </row>
    <row r="459" spans="1:26" ht="12.75" customHeight="1" x14ac:dyDescent="0.2">
      <c r="A459" s="266"/>
      <c r="B459" s="266"/>
      <c r="C459" s="266"/>
      <c r="D459" s="374"/>
      <c r="E459" s="374"/>
      <c r="F459" s="266"/>
      <c r="G459" s="266"/>
      <c r="H459" s="266"/>
      <c r="I459" s="266"/>
      <c r="J459" s="2"/>
      <c r="K459" s="2"/>
      <c r="L459" s="2"/>
      <c r="M459" s="2"/>
      <c r="N459" s="2"/>
      <c r="O459" s="2"/>
      <c r="P459" s="2"/>
      <c r="Q459" s="2"/>
      <c r="R459" s="2"/>
      <c r="S459" s="2"/>
      <c r="T459" s="2"/>
      <c r="U459" s="2"/>
      <c r="V459" s="2"/>
      <c r="W459" s="2"/>
      <c r="X459" s="2"/>
      <c r="Y459" s="2"/>
      <c r="Z459" s="2"/>
    </row>
    <row r="460" spans="1:26" ht="12.75" customHeight="1" x14ac:dyDescent="0.2">
      <c r="A460" s="266"/>
      <c r="B460" s="266"/>
      <c r="C460" s="266"/>
      <c r="D460" s="374"/>
      <c r="E460" s="374"/>
      <c r="F460" s="266"/>
      <c r="G460" s="266"/>
      <c r="H460" s="266"/>
      <c r="I460" s="266"/>
      <c r="J460" s="2"/>
      <c r="K460" s="2"/>
      <c r="L460" s="2"/>
      <c r="M460" s="2"/>
      <c r="N460" s="2"/>
      <c r="O460" s="2"/>
      <c r="P460" s="2"/>
      <c r="Q460" s="2"/>
      <c r="R460" s="2"/>
      <c r="S460" s="2"/>
      <c r="T460" s="2"/>
      <c r="U460" s="2"/>
      <c r="V460" s="2"/>
      <c r="W460" s="2"/>
      <c r="X460" s="2"/>
      <c r="Y460" s="2"/>
      <c r="Z460" s="2"/>
    </row>
    <row r="461" spans="1:26" ht="12.75" customHeight="1" x14ac:dyDescent="0.2">
      <c r="A461" s="266"/>
      <c r="B461" s="266"/>
      <c r="C461" s="266"/>
      <c r="D461" s="374"/>
      <c r="E461" s="374"/>
      <c r="F461" s="266"/>
      <c r="G461" s="266"/>
      <c r="H461" s="266"/>
      <c r="I461" s="266"/>
      <c r="J461" s="2"/>
      <c r="K461" s="2"/>
      <c r="L461" s="2"/>
      <c r="M461" s="2"/>
      <c r="N461" s="2"/>
      <c r="O461" s="2"/>
      <c r="P461" s="2"/>
      <c r="Q461" s="2"/>
      <c r="R461" s="2"/>
      <c r="S461" s="2"/>
      <c r="T461" s="2"/>
      <c r="U461" s="2"/>
      <c r="V461" s="2"/>
      <c r="W461" s="2"/>
      <c r="X461" s="2"/>
      <c r="Y461" s="2"/>
      <c r="Z461" s="2"/>
    </row>
    <row r="462" spans="1:26" ht="12.75" customHeight="1" x14ac:dyDescent="0.2">
      <c r="A462" s="266"/>
      <c r="B462" s="266"/>
      <c r="C462" s="266"/>
      <c r="D462" s="374"/>
      <c r="E462" s="374"/>
      <c r="F462" s="266"/>
      <c r="G462" s="266"/>
      <c r="H462" s="266"/>
      <c r="I462" s="266"/>
      <c r="J462" s="2"/>
      <c r="K462" s="2"/>
      <c r="L462" s="2"/>
      <c r="M462" s="2"/>
      <c r="N462" s="2"/>
      <c r="O462" s="2"/>
      <c r="P462" s="2"/>
      <c r="Q462" s="2"/>
      <c r="R462" s="2"/>
      <c r="S462" s="2"/>
      <c r="T462" s="2"/>
      <c r="U462" s="2"/>
      <c r="V462" s="2"/>
      <c r="W462" s="2"/>
      <c r="X462" s="2"/>
      <c r="Y462" s="2"/>
      <c r="Z462" s="2"/>
    </row>
    <row r="463" spans="1:26" ht="12.75" customHeight="1" x14ac:dyDescent="0.2">
      <c r="A463" s="266"/>
      <c r="B463" s="266"/>
      <c r="C463" s="266"/>
      <c r="D463" s="374"/>
      <c r="E463" s="374"/>
      <c r="F463" s="266"/>
      <c r="G463" s="266"/>
      <c r="H463" s="266"/>
      <c r="I463" s="266"/>
      <c r="J463" s="2"/>
      <c r="K463" s="2"/>
      <c r="L463" s="2"/>
      <c r="M463" s="2"/>
      <c r="N463" s="2"/>
      <c r="O463" s="2"/>
      <c r="P463" s="2"/>
      <c r="Q463" s="2"/>
      <c r="R463" s="2"/>
      <c r="S463" s="2"/>
      <c r="T463" s="2"/>
      <c r="U463" s="2"/>
      <c r="V463" s="2"/>
      <c r="W463" s="2"/>
      <c r="X463" s="2"/>
      <c r="Y463" s="2"/>
      <c r="Z463" s="2"/>
    </row>
    <row r="464" spans="1:26" ht="12.75" customHeight="1" x14ac:dyDescent="0.2">
      <c r="A464" s="266"/>
      <c r="B464" s="266"/>
      <c r="C464" s="266"/>
      <c r="D464" s="374"/>
      <c r="E464" s="374"/>
      <c r="F464" s="266"/>
      <c r="G464" s="266"/>
      <c r="H464" s="266"/>
      <c r="I464" s="266"/>
      <c r="J464" s="2"/>
      <c r="K464" s="2"/>
      <c r="L464" s="2"/>
      <c r="M464" s="2"/>
      <c r="N464" s="2"/>
      <c r="O464" s="2"/>
      <c r="P464" s="2"/>
      <c r="Q464" s="2"/>
      <c r="R464" s="2"/>
      <c r="S464" s="2"/>
      <c r="T464" s="2"/>
      <c r="U464" s="2"/>
      <c r="V464" s="2"/>
      <c r="W464" s="2"/>
      <c r="X464" s="2"/>
      <c r="Y464" s="2"/>
      <c r="Z464" s="2"/>
    </row>
    <row r="465" spans="1:26" ht="12.75" customHeight="1" x14ac:dyDescent="0.2">
      <c r="A465" s="266"/>
      <c r="B465" s="266"/>
      <c r="C465" s="266"/>
      <c r="D465" s="374"/>
      <c r="E465" s="374"/>
      <c r="F465" s="266"/>
      <c r="G465" s="266"/>
      <c r="H465" s="266"/>
      <c r="I465" s="266"/>
      <c r="J465" s="2"/>
      <c r="K465" s="2"/>
      <c r="L465" s="2"/>
      <c r="M465" s="2"/>
      <c r="N465" s="2"/>
      <c r="O465" s="2"/>
      <c r="P465" s="2"/>
      <c r="Q465" s="2"/>
      <c r="R465" s="2"/>
      <c r="S465" s="2"/>
      <c r="T465" s="2"/>
      <c r="U465" s="2"/>
      <c r="V465" s="2"/>
      <c r="W465" s="2"/>
      <c r="X465" s="2"/>
      <c r="Y465" s="2"/>
      <c r="Z465" s="2"/>
    </row>
    <row r="466" spans="1:26" ht="12.75" customHeight="1" x14ac:dyDescent="0.2">
      <c r="A466" s="266"/>
      <c r="B466" s="266"/>
      <c r="C466" s="266"/>
      <c r="D466" s="374"/>
      <c r="E466" s="374"/>
      <c r="F466" s="266"/>
      <c r="G466" s="266"/>
      <c r="H466" s="266"/>
      <c r="I466" s="266"/>
      <c r="J466" s="2"/>
      <c r="K466" s="2"/>
      <c r="L466" s="2"/>
      <c r="M466" s="2"/>
      <c r="N466" s="2"/>
      <c r="O466" s="2"/>
      <c r="P466" s="2"/>
      <c r="Q466" s="2"/>
      <c r="R466" s="2"/>
      <c r="S466" s="2"/>
      <c r="T466" s="2"/>
      <c r="U466" s="2"/>
      <c r="V466" s="2"/>
      <c r="W466" s="2"/>
      <c r="X466" s="2"/>
      <c r="Y466" s="2"/>
      <c r="Z466" s="2"/>
    </row>
    <row r="467" spans="1:26" ht="12.75" customHeight="1" x14ac:dyDescent="0.2">
      <c r="A467" s="266"/>
      <c r="B467" s="266"/>
      <c r="C467" s="266"/>
      <c r="D467" s="374"/>
      <c r="E467" s="374"/>
      <c r="F467" s="266"/>
      <c r="G467" s="266"/>
      <c r="H467" s="266"/>
      <c r="I467" s="266"/>
      <c r="J467" s="2"/>
      <c r="K467" s="2"/>
      <c r="L467" s="2"/>
      <c r="M467" s="2"/>
      <c r="N467" s="2"/>
      <c r="O467" s="2"/>
      <c r="P467" s="2"/>
      <c r="Q467" s="2"/>
      <c r="R467" s="2"/>
      <c r="S467" s="2"/>
      <c r="T467" s="2"/>
      <c r="U467" s="2"/>
      <c r="V467" s="2"/>
      <c r="W467" s="2"/>
      <c r="X467" s="2"/>
      <c r="Y467" s="2"/>
      <c r="Z467" s="2"/>
    </row>
    <row r="468" spans="1:26" ht="12.75" customHeight="1" x14ac:dyDescent="0.2">
      <c r="A468" s="266"/>
      <c r="B468" s="266"/>
      <c r="C468" s="266"/>
      <c r="D468" s="374"/>
      <c r="E468" s="374"/>
      <c r="F468" s="266"/>
      <c r="G468" s="266"/>
      <c r="H468" s="266"/>
      <c r="I468" s="266"/>
      <c r="J468" s="2"/>
      <c r="K468" s="2"/>
      <c r="L468" s="2"/>
      <c r="M468" s="2"/>
      <c r="N468" s="2"/>
      <c r="O468" s="2"/>
      <c r="P468" s="2"/>
      <c r="Q468" s="2"/>
      <c r="R468" s="2"/>
      <c r="S468" s="2"/>
      <c r="T468" s="2"/>
      <c r="U468" s="2"/>
      <c r="V468" s="2"/>
      <c r="W468" s="2"/>
      <c r="X468" s="2"/>
      <c r="Y468" s="2"/>
      <c r="Z468" s="2"/>
    </row>
    <row r="469" spans="1:26" ht="12.75" customHeight="1" x14ac:dyDescent="0.2">
      <c r="A469" s="266"/>
      <c r="B469" s="266"/>
      <c r="C469" s="266"/>
      <c r="D469" s="374"/>
      <c r="E469" s="374"/>
      <c r="F469" s="266"/>
      <c r="G469" s="266"/>
      <c r="H469" s="266"/>
      <c r="I469" s="266"/>
      <c r="J469" s="2"/>
      <c r="K469" s="2"/>
      <c r="L469" s="2"/>
      <c r="M469" s="2"/>
      <c r="N469" s="2"/>
      <c r="O469" s="2"/>
      <c r="P469" s="2"/>
      <c r="Q469" s="2"/>
      <c r="R469" s="2"/>
      <c r="S469" s="2"/>
      <c r="T469" s="2"/>
      <c r="U469" s="2"/>
      <c r="V469" s="2"/>
      <c r="W469" s="2"/>
      <c r="X469" s="2"/>
      <c r="Y469" s="2"/>
      <c r="Z469" s="2"/>
    </row>
    <row r="470" spans="1:26" ht="12.75" customHeight="1" x14ac:dyDescent="0.2">
      <c r="A470" s="266"/>
      <c r="B470" s="266"/>
      <c r="C470" s="266"/>
      <c r="D470" s="374"/>
      <c r="E470" s="374"/>
      <c r="F470" s="266"/>
      <c r="G470" s="266"/>
      <c r="H470" s="266"/>
      <c r="I470" s="266"/>
      <c r="J470" s="2"/>
      <c r="K470" s="2"/>
      <c r="L470" s="2"/>
      <c r="M470" s="2"/>
      <c r="N470" s="2"/>
      <c r="O470" s="2"/>
      <c r="P470" s="2"/>
      <c r="Q470" s="2"/>
      <c r="R470" s="2"/>
      <c r="S470" s="2"/>
      <c r="T470" s="2"/>
      <c r="U470" s="2"/>
      <c r="V470" s="2"/>
      <c r="W470" s="2"/>
      <c r="X470" s="2"/>
      <c r="Y470" s="2"/>
      <c r="Z470" s="2"/>
    </row>
    <row r="471" spans="1:26" ht="12.75" customHeight="1" x14ac:dyDescent="0.2">
      <c r="A471" s="266"/>
      <c r="B471" s="266"/>
      <c r="C471" s="266"/>
      <c r="D471" s="374"/>
      <c r="E471" s="374"/>
      <c r="F471" s="266"/>
      <c r="G471" s="266"/>
      <c r="H471" s="266"/>
      <c r="I471" s="266"/>
      <c r="J471" s="2"/>
      <c r="K471" s="2"/>
      <c r="L471" s="2"/>
      <c r="M471" s="2"/>
      <c r="N471" s="2"/>
      <c r="O471" s="2"/>
      <c r="P471" s="2"/>
      <c r="Q471" s="2"/>
      <c r="R471" s="2"/>
      <c r="S471" s="2"/>
      <c r="T471" s="2"/>
      <c r="U471" s="2"/>
      <c r="V471" s="2"/>
      <c r="W471" s="2"/>
      <c r="X471" s="2"/>
      <c r="Y471" s="2"/>
      <c r="Z471" s="2"/>
    </row>
    <row r="472" spans="1:26" ht="12.75" customHeight="1" x14ac:dyDescent="0.2">
      <c r="A472" s="266"/>
      <c r="B472" s="266"/>
      <c r="C472" s="266"/>
      <c r="D472" s="374"/>
      <c r="E472" s="374"/>
      <c r="F472" s="266"/>
      <c r="G472" s="266"/>
      <c r="H472" s="266"/>
      <c r="I472" s="266"/>
      <c r="J472" s="2"/>
      <c r="K472" s="2"/>
      <c r="L472" s="2"/>
      <c r="M472" s="2"/>
      <c r="N472" s="2"/>
      <c r="O472" s="2"/>
      <c r="P472" s="2"/>
      <c r="Q472" s="2"/>
      <c r="R472" s="2"/>
      <c r="S472" s="2"/>
      <c r="T472" s="2"/>
      <c r="U472" s="2"/>
      <c r="V472" s="2"/>
      <c r="W472" s="2"/>
      <c r="X472" s="2"/>
      <c r="Y472" s="2"/>
      <c r="Z472" s="2"/>
    </row>
    <row r="473" spans="1:26" ht="12.75" customHeight="1" x14ac:dyDescent="0.2">
      <c r="A473" s="266"/>
      <c r="B473" s="266"/>
      <c r="C473" s="266"/>
      <c r="D473" s="374"/>
      <c r="E473" s="374"/>
      <c r="F473" s="266"/>
      <c r="G473" s="266"/>
      <c r="H473" s="266"/>
      <c r="I473" s="266"/>
      <c r="J473" s="2"/>
      <c r="K473" s="2"/>
      <c r="L473" s="2"/>
      <c r="M473" s="2"/>
      <c r="N473" s="2"/>
      <c r="O473" s="2"/>
      <c r="P473" s="2"/>
      <c r="Q473" s="2"/>
      <c r="R473" s="2"/>
      <c r="S473" s="2"/>
      <c r="T473" s="2"/>
      <c r="U473" s="2"/>
      <c r="V473" s="2"/>
      <c r="W473" s="2"/>
      <c r="X473" s="2"/>
      <c r="Y473" s="2"/>
      <c r="Z473" s="2"/>
    </row>
    <row r="474" spans="1:26" ht="12.75" customHeight="1" x14ac:dyDescent="0.2">
      <c r="A474" s="266"/>
      <c r="B474" s="266"/>
      <c r="C474" s="266"/>
      <c r="D474" s="374"/>
      <c r="E474" s="374"/>
      <c r="F474" s="266"/>
      <c r="G474" s="266"/>
      <c r="H474" s="266"/>
      <c r="I474" s="266"/>
      <c r="J474" s="2"/>
      <c r="K474" s="2"/>
      <c r="L474" s="2"/>
      <c r="M474" s="2"/>
      <c r="N474" s="2"/>
      <c r="O474" s="2"/>
      <c r="P474" s="2"/>
      <c r="Q474" s="2"/>
      <c r="R474" s="2"/>
      <c r="S474" s="2"/>
      <c r="T474" s="2"/>
      <c r="U474" s="2"/>
      <c r="V474" s="2"/>
      <c r="W474" s="2"/>
      <c r="X474" s="2"/>
      <c r="Y474" s="2"/>
      <c r="Z474" s="2"/>
    </row>
    <row r="475" spans="1:26" ht="12.75" customHeight="1" x14ac:dyDescent="0.2">
      <c r="A475" s="266"/>
      <c r="B475" s="266"/>
      <c r="C475" s="266"/>
      <c r="D475" s="374"/>
      <c r="E475" s="374"/>
      <c r="F475" s="266"/>
      <c r="G475" s="266"/>
      <c r="H475" s="266"/>
      <c r="I475" s="266"/>
      <c r="J475" s="2"/>
      <c r="K475" s="2"/>
      <c r="L475" s="2"/>
      <c r="M475" s="2"/>
      <c r="N475" s="2"/>
      <c r="O475" s="2"/>
      <c r="P475" s="2"/>
      <c r="Q475" s="2"/>
      <c r="R475" s="2"/>
      <c r="S475" s="2"/>
      <c r="T475" s="2"/>
      <c r="U475" s="2"/>
      <c r="V475" s="2"/>
      <c r="W475" s="2"/>
      <c r="X475" s="2"/>
      <c r="Y475" s="2"/>
      <c r="Z475" s="2"/>
    </row>
    <row r="476" spans="1:26" ht="12.75" customHeight="1" x14ac:dyDescent="0.2">
      <c r="A476" s="266"/>
      <c r="B476" s="266"/>
      <c r="C476" s="266"/>
      <c r="D476" s="374"/>
      <c r="E476" s="374"/>
      <c r="F476" s="266"/>
      <c r="G476" s="266"/>
      <c r="H476" s="266"/>
      <c r="I476" s="266"/>
      <c r="J476" s="2"/>
      <c r="K476" s="2"/>
      <c r="L476" s="2"/>
      <c r="M476" s="2"/>
      <c r="N476" s="2"/>
      <c r="O476" s="2"/>
      <c r="P476" s="2"/>
      <c r="Q476" s="2"/>
      <c r="R476" s="2"/>
      <c r="S476" s="2"/>
      <c r="T476" s="2"/>
      <c r="U476" s="2"/>
      <c r="V476" s="2"/>
      <c r="W476" s="2"/>
      <c r="X476" s="2"/>
      <c r="Y476" s="2"/>
      <c r="Z476" s="2"/>
    </row>
    <row r="477" spans="1:26" ht="12.75" customHeight="1" x14ac:dyDescent="0.2">
      <c r="A477" s="266"/>
      <c r="B477" s="266"/>
      <c r="C477" s="266"/>
      <c r="D477" s="374"/>
      <c r="E477" s="374"/>
      <c r="F477" s="266"/>
      <c r="G477" s="266"/>
      <c r="H477" s="266"/>
      <c r="I477" s="266"/>
      <c r="J477" s="2"/>
      <c r="K477" s="2"/>
      <c r="L477" s="2"/>
      <c r="M477" s="2"/>
      <c r="N477" s="2"/>
      <c r="O477" s="2"/>
      <c r="P477" s="2"/>
      <c r="Q477" s="2"/>
      <c r="R477" s="2"/>
      <c r="S477" s="2"/>
      <c r="T477" s="2"/>
      <c r="U477" s="2"/>
      <c r="V477" s="2"/>
      <c r="W477" s="2"/>
      <c r="X477" s="2"/>
      <c r="Y477" s="2"/>
      <c r="Z477" s="2"/>
    </row>
    <row r="478" spans="1:26" ht="12.75" customHeight="1" x14ac:dyDescent="0.2">
      <c r="A478" s="266"/>
      <c r="B478" s="266"/>
      <c r="C478" s="266"/>
      <c r="D478" s="374"/>
      <c r="E478" s="374"/>
      <c r="F478" s="266"/>
      <c r="G478" s="266"/>
      <c r="H478" s="266"/>
      <c r="I478" s="266"/>
      <c r="J478" s="2"/>
      <c r="K478" s="2"/>
      <c r="L478" s="2"/>
      <c r="M478" s="2"/>
      <c r="N478" s="2"/>
      <c r="O478" s="2"/>
      <c r="P478" s="2"/>
      <c r="Q478" s="2"/>
      <c r="R478" s="2"/>
      <c r="S478" s="2"/>
      <c r="T478" s="2"/>
      <c r="U478" s="2"/>
      <c r="V478" s="2"/>
      <c r="W478" s="2"/>
      <c r="X478" s="2"/>
      <c r="Y478" s="2"/>
      <c r="Z478" s="2"/>
    </row>
    <row r="479" spans="1:26" ht="12.75" customHeight="1" x14ac:dyDescent="0.2">
      <c r="A479" s="266"/>
      <c r="B479" s="266"/>
      <c r="C479" s="266"/>
      <c r="D479" s="374"/>
      <c r="E479" s="374"/>
      <c r="F479" s="266"/>
      <c r="G479" s="266"/>
      <c r="H479" s="266"/>
      <c r="I479" s="266"/>
      <c r="J479" s="2"/>
      <c r="K479" s="2"/>
      <c r="L479" s="2"/>
      <c r="M479" s="2"/>
      <c r="N479" s="2"/>
      <c r="O479" s="2"/>
      <c r="P479" s="2"/>
      <c r="Q479" s="2"/>
      <c r="R479" s="2"/>
      <c r="S479" s="2"/>
      <c r="T479" s="2"/>
      <c r="U479" s="2"/>
      <c r="V479" s="2"/>
      <c r="W479" s="2"/>
      <c r="X479" s="2"/>
      <c r="Y479" s="2"/>
      <c r="Z479" s="2"/>
    </row>
    <row r="480" spans="1:26" ht="12.75" customHeight="1" x14ac:dyDescent="0.2">
      <c r="A480" s="266"/>
      <c r="B480" s="266"/>
      <c r="C480" s="266"/>
      <c r="D480" s="374"/>
      <c r="E480" s="374"/>
      <c r="F480" s="266"/>
      <c r="G480" s="266"/>
      <c r="H480" s="266"/>
      <c r="I480" s="266"/>
      <c r="J480" s="2"/>
      <c r="K480" s="2"/>
      <c r="L480" s="2"/>
      <c r="M480" s="2"/>
      <c r="N480" s="2"/>
      <c r="O480" s="2"/>
      <c r="P480" s="2"/>
      <c r="Q480" s="2"/>
      <c r="R480" s="2"/>
      <c r="S480" s="2"/>
      <c r="T480" s="2"/>
      <c r="U480" s="2"/>
      <c r="V480" s="2"/>
      <c r="W480" s="2"/>
      <c r="X480" s="2"/>
      <c r="Y480" s="2"/>
      <c r="Z480" s="2"/>
    </row>
    <row r="481" spans="1:26" ht="12.75" customHeight="1" x14ac:dyDescent="0.2">
      <c r="A481" s="266"/>
      <c r="B481" s="266"/>
      <c r="C481" s="266"/>
      <c r="D481" s="374"/>
      <c r="E481" s="374"/>
      <c r="F481" s="266"/>
      <c r="G481" s="266"/>
      <c r="H481" s="266"/>
      <c r="I481" s="266"/>
      <c r="J481" s="2"/>
      <c r="K481" s="2"/>
      <c r="L481" s="2"/>
      <c r="M481" s="2"/>
      <c r="N481" s="2"/>
      <c r="O481" s="2"/>
      <c r="P481" s="2"/>
      <c r="Q481" s="2"/>
      <c r="R481" s="2"/>
      <c r="S481" s="2"/>
      <c r="T481" s="2"/>
      <c r="U481" s="2"/>
      <c r="V481" s="2"/>
      <c r="W481" s="2"/>
      <c r="X481" s="2"/>
      <c r="Y481" s="2"/>
      <c r="Z481" s="2"/>
    </row>
    <row r="482" spans="1:26" ht="12.75" customHeight="1" x14ac:dyDescent="0.2">
      <c r="A482" s="266"/>
      <c r="B482" s="266"/>
      <c r="C482" s="266"/>
      <c r="D482" s="374"/>
      <c r="E482" s="374"/>
      <c r="F482" s="266"/>
      <c r="G482" s="266"/>
      <c r="H482" s="266"/>
      <c r="I482" s="266"/>
      <c r="J482" s="2"/>
      <c r="K482" s="2"/>
      <c r="L482" s="2"/>
      <c r="M482" s="2"/>
      <c r="N482" s="2"/>
      <c r="O482" s="2"/>
      <c r="P482" s="2"/>
      <c r="Q482" s="2"/>
      <c r="R482" s="2"/>
      <c r="S482" s="2"/>
      <c r="T482" s="2"/>
      <c r="U482" s="2"/>
      <c r="V482" s="2"/>
      <c r="W482" s="2"/>
      <c r="X482" s="2"/>
      <c r="Y482" s="2"/>
      <c r="Z482" s="2"/>
    </row>
    <row r="483" spans="1:26" ht="12.75" customHeight="1" x14ac:dyDescent="0.2">
      <c r="A483" s="266"/>
      <c r="B483" s="266"/>
      <c r="C483" s="266"/>
      <c r="D483" s="374"/>
      <c r="E483" s="374"/>
      <c r="F483" s="266"/>
      <c r="G483" s="266"/>
      <c r="H483" s="266"/>
      <c r="I483" s="266"/>
      <c r="J483" s="2"/>
      <c r="K483" s="2"/>
      <c r="L483" s="2"/>
      <c r="M483" s="2"/>
      <c r="N483" s="2"/>
      <c r="O483" s="2"/>
      <c r="P483" s="2"/>
      <c r="Q483" s="2"/>
      <c r="R483" s="2"/>
      <c r="S483" s="2"/>
      <c r="T483" s="2"/>
      <c r="U483" s="2"/>
      <c r="V483" s="2"/>
      <c r="W483" s="2"/>
      <c r="X483" s="2"/>
      <c r="Y483" s="2"/>
      <c r="Z483" s="2"/>
    </row>
    <row r="484" spans="1:26" ht="12.75" customHeight="1" x14ac:dyDescent="0.2">
      <c r="A484" s="266"/>
      <c r="B484" s="266"/>
      <c r="C484" s="266"/>
      <c r="D484" s="374"/>
      <c r="E484" s="374"/>
      <c r="F484" s="266"/>
      <c r="G484" s="266"/>
      <c r="H484" s="266"/>
      <c r="I484" s="266"/>
      <c r="J484" s="2"/>
      <c r="K484" s="2"/>
      <c r="L484" s="2"/>
      <c r="M484" s="2"/>
      <c r="N484" s="2"/>
      <c r="O484" s="2"/>
      <c r="P484" s="2"/>
      <c r="Q484" s="2"/>
      <c r="R484" s="2"/>
      <c r="S484" s="2"/>
      <c r="T484" s="2"/>
      <c r="U484" s="2"/>
      <c r="V484" s="2"/>
      <c r="W484" s="2"/>
      <c r="X484" s="2"/>
      <c r="Y484" s="2"/>
      <c r="Z484" s="2"/>
    </row>
    <row r="485" spans="1:26" ht="12.75" customHeight="1" x14ac:dyDescent="0.2">
      <c r="A485" s="266"/>
      <c r="B485" s="266"/>
      <c r="C485" s="266"/>
      <c r="D485" s="374"/>
      <c r="E485" s="374"/>
      <c r="F485" s="266"/>
      <c r="G485" s="266"/>
      <c r="H485" s="266"/>
      <c r="I485" s="266"/>
      <c r="J485" s="2"/>
      <c r="K485" s="2"/>
      <c r="L485" s="2"/>
      <c r="M485" s="2"/>
      <c r="N485" s="2"/>
      <c r="O485" s="2"/>
      <c r="P485" s="2"/>
      <c r="Q485" s="2"/>
      <c r="R485" s="2"/>
      <c r="S485" s="2"/>
      <c r="T485" s="2"/>
      <c r="U485" s="2"/>
      <c r="V485" s="2"/>
      <c r="W485" s="2"/>
      <c r="X485" s="2"/>
      <c r="Y485" s="2"/>
      <c r="Z485" s="2"/>
    </row>
    <row r="486" spans="1:26" ht="12.75" customHeight="1" x14ac:dyDescent="0.2">
      <c r="A486" s="266"/>
      <c r="B486" s="266"/>
      <c r="C486" s="266"/>
      <c r="D486" s="374"/>
      <c r="E486" s="374"/>
      <c r="F486" s="266"/>
      <c r="G486" s="266"/>
      <c r="H486" s="266"/>
      <c r="I486" s="266"/>
      <c r="J486" s="2"/>
      <c r="K486" s="2"/>
      <c r="L486" s="2"/>
      <c r="M486" s="2"/>
      <c r="N486" s="2"/>
      <c r="O486" s="2"/>
      <c r="P486" s="2"/>
      <c r="Q486" s="2"/>
      <c r="R486" s="2"/>
      <c r="S486" s="2"/>
      <c r="T486" s="2"/>
      <c r="U486" s="2"/>
      <c r="V486" s="2"/>
      <c r="W486" s="2"/>
      <c r="X486" s="2"/>
      <c r="Y486" s="2"/>
      <c r="Z486" s="2"/>
    </row>
    <row r="487" spans="1:26" ht="12.75" customHeight="1" x14ac:dyDescent="0.2">
      <c r="A487" s="266"/>
      <c r="B487" s="266"/>
      <c r="C487" s="266"/>
      <c r="D487" s="374"/>
      <c r="E487" s="374"/>
      <c r="F487" s="266"/>
      <c r="G487" s="266"/>
      <c r="H487" s="266"/>
      <c r="I487" s="266"/>
      <c r="J487" s="2"/>
      <c r="K487" s="2"/>
      <c r="L487" s="2"/>
      <c r="M487" s="2"/>
      <c r="N487" s="2"/>
      <c r="O487" s="2"/>
      <c r="P487" s="2"/>
      <c r="Q487" s="2"/>
      <c r="R487" s="2"/>
      <c r="S487" s="2"/>
      <c r="T487" s="2"/>
      <c r="U487" s="2"/>
      <c r="V487" s="2"/>
      <c r="W487" s="2"/>
      <c r="X487" s="2"/>
      <c r="Y487" s="2"/>
      <c r="Z487" s="2"/>
    </row>
    <row r="488" spans="1:26" ht="12.75" customHeight="1" x14ac:dyDescent="0.2">
      <c r="A488" s="266"/>
      <c r="B488" s="266"/>
      <c r="C488" s="266"/>
      <c r="D488" s="374"/>
      <c r="E488" s="374"/>
      <c r="F488" s="266"/>
      <c r="G488" s="266"/>
      <c r="H488" s="266"/>
      <c r="I488" s="266"/>
      <c r="J488" s="2"/>
      <c r="K488" s="2"/>
      <c r="L488" s="2"/>
      <c r="M488" s="2"/>
      <c r="N488" s="2"/>
      <c r="O488" s="2"/>
      <c r="P488" s="2"/>
      <c r="Q488" s="2"/>
      <c r="R488" s="2"/>
      <c r="S488" s="2"/>
      <c r="T488" s="2"/>
      <c r="U488" s="2"/>
      <c r="V488" s="2"/>
      <c r="W488" s="2"/>
      <c r="X488" s="2"/>
      <c r="Y488" s="2"/>
      <c r="Z488" s="2"/>
    </row>
    <row r="489" spans="1:26" ht="12.75" customHeight="1" x14ac:dyDescent="0.2">
      <c r="A489" s="266"/>
      <c r="B489" s="266"/>
      <c r="C489" s="266"/>
      <c r="D489" s="374"/>
      <c r="E489" s="374"/>
      <c r="F489" s="266"/>
      <c r="G489" s="266"/>
      <c r="H489" s="266"/>
      <c r="I489" s="266"/>
      <c r="J489" s="2"/>
      <c r="K489" s="2"/>
      <c r="L489" s="2"/>
      <c r="M489" s="2"/>
      <c r="N489" s="2"/>
      <c r="O489" s="2"/>
      <c r="P489" s="2"/>
      <c r="Q489" s="2"/>
      <c r="R489" s="2"/>
      <c r="S489" s="2"/>
      <c r="T489" s="2"/>
      <c r="U489" s="2"/>
      <c r="V489" s="2"/>
      <c r="W489" s="2"/>
      <c r="X489" s="2"/>
      <c r="Y489" s="2"/>
      <c r="Z489" s="2"/>
    </row>
    <row r="490" spans="1:26" ht="12.75" customHeight="1" x14ac:dyDescent="0.2">
      <c r="A490" s="266"/>
      <c r="B490" s="266"/>
      <c r="C490" s="266"/>
      <c r="D490" s="374"/>
      <c r="E490" s="374"/>
      <c r="F490" s="266"/>
      <c r="G490" s="266"/>
      <c r="H490" s="266"/>
      <c r="I490" s="266"/>
      <c r="J490" s="2"/>
      <c r="K490" s="2"/>
      <c r="L490" s="2"/>
      <c r="M490" s="2"/>
      <c r="N490" s="2"/>
      <c r="O490" s="2"/>
      <c r="P490" s="2"/>
      <c r="Q490" s="2"/>
      <c r="R490" s="2"/>
      <c r="S490" s="2"/>
      <c r="T490" s="2"/>
      <c r="U490" s="2"/>
      <c r="V490" s="2"/>
      <c r="W490" s="2"/>
      <c r="X490" s="2"/>
      <c r="Y490" s="2"/>
      <c r="Z490" s="2"/>
    </row>
    <row r="491" spans="1:26" ht="12.75" customHeight="1" x14ac:dyDescent="0.2">
      <c r="A491" s="266"/>
      <c r="B491" s="266"/>
      <c r="C491" s="266"/>
      <c r="D491" s="374"/>
      <c r="E491" s="374"/>
      <c r="F491" s="266"/>
      <c r="G491" s="266"/>
      <c r="H491" s="266"/>
      <c r="I491" s="266"/>
      <c r="J491" s="2"/>
      <c r="K491" s="2"/>
      <c r="L491" s="2"/>
      <c r="M491" s="2"/>
      <c r="N491" s="2"/>
      <c r="O491" s="2"/>
      <c r="P491" s="2"/>
      <c r="Q491" s="2"/>
      <c r="R491" s="2"/>
      <c r="S491" s="2"/>
      <c r="T491" s="2"/>
      <c r="U491" s="2"/>
      <c r="V491" s="2"/>
      <c r="W491" s="2"/>
      <c r="X491" s="2"/>
      <c r="Y491" s="2"/>
      <c r="Z491" s="2"/>
    </row>
    <row r="492" spans="1:26" ht="12.75" customHeight="1" x14ac:dyDescent="0.2">
      <c r="A492" s="266"/>
      <c r="B492" s="266"/>
      <c r="C492" s="266"/>
      <c r="D492" s="374"/>
      <c r="E492" s="374"/>
      <c r="F492" s="266"/>
      <c r="G492" s="266"/>
      <c r="H492" s="266"/>
      <c r="I492" s="266"/>
      <c r="J492" s="2"/>
      <c r="K492" s="2"/>
      <c r="L492" s="2"/>
      <c r="M492" s="2"/>
      <c r="N492" s="2"/>
      <c r="O492" s="2"/>
      <c r="P492" s="2"/>
      <c r="Q492" s="2"/>
      <c r="R492" s="2"/>
      <c r="S492" s="2"/>
      <c r="T492" s="2"/>
      <c r="U492" s="2"/>
      <c r="V492" s="2"/>
      <c r="W492" s="2"/>
      <c r="X492" s="2"/>
      <c r="Y492" s="2"/>
      <c r="Z492" s="2"/>
    </row>
    <row r="493" spans="1:26" ht="12.75" customHeight="1" x14ac:dyDescent="0.2">
      <c r="A493" s="266"/>
      <c r="B493" s="266"/>
      <c r="C493" s="266"/>
      <c r="D493" s="374"/>
      <c r="E493" s="374"/>
      <c r="F493" s="266"/>
      <c r="G493" s="266"/>
      <c r="H493" s="266"/>
      <c r="I493" s="266"/>
      <c r="J493" s="2"/>
      <c r="K493" s="2"/>
      <c r="L493" s="2"/>
      <c r="M493" s="2"/>
      <c r="N493" s="2"/>
      <c r="O493" s="2"/>
      <c r="P493" s="2"/>
      <c r="Q493" s="2"/>
      <c r="R493" s="2"/>
      <c r="S493" s="2"/>
      <c r="T493" s="2"/>
      <c r="U493" s="2"/>
      <c r="V493" s="2"/>
      <c r="W493" s="2"/>
      <c r="X493" s="2"/>
      <c r="Y493" s="2"/>
      <c r="Z493" s="2"/>
    </row>
    <row r="494" spans="1:26" ht="12.75" customHeight="1" x14ac:dyDescent="0.2">
      <c r="A494" s="266"/>
      <c r="B494" s="266"/>
      <c r="C494" s="266"/>
      <c r="D494" s="374"/>
      <c r="E494" s="374"/>
      <c r="F494" s="266"/>
      <c r="G494" s="266"/>
      <c r="H494" s="266"/>
      <c r="I494" s="266"/>
      <c r="J494" s="2"/>
      <c r="K494" s="2"/>
      <c r="L494" s="2"/>
      <c r="M494" s="2"/>
      <c r="N494" s="2"/>
      <c r="O494" s="2"/>
      <c r="P494" s="2"/>
      <c r="Q494" s="2"/>
      <c r="R494" s="2"/>
      <c r="S494" s="2"/>
      <c r="T494" s="2"/>
      <c r="U494" s="2"/>
      <c r="V494" s="2"/>
      <c r="W494" s="2"/>
      <c r="X494" s="2"/>
      <c r="Y494" s="2"/>
      <c r="Z494" s="2"/>
    </row>
    <row r="495" spans="1:26" ht="12.75" customHeight="1" x14ac:dyDescent="0.2">
      <c r="A495" s="266"/>
      <c r="B495" s="266"/>
      <c r="C495" s="266"/>
      <c r="D495" s="374"/>
      <c r="E495" s="374"/>
      <c r="F495" s="266"/>
      <c r="G495" s="266"/>
      <c r="H495" s="266"/>
      <c r="I495" s="266"/>
      <c r="J495" s="2"/>
      <c r="K495" s="2"/>
      <c r="L495" s="2"/>
      <c r="M495" s="2"/>
      <c r="N495" s="2"/>
      <c r="O495" s="2"/>
      <c r="P495" s="2"/>
      <c r="Q495" s="2"/>
      <c r="R495" s="2"/>
      <c r="S495" s="2"/>
      <c r="T495" s="2"/>
      <c r="U495" s="2"/>
      <c r="V495" s="2"/>
      <c r="W495" s="2"/>
      <c r="X495" s="2"/>
      <c r="Y495" s="2"/>
      <c r="Z495" s="2"/>
    </row>
    <row r="496" spans="1:26" ht="12.75" customHeight="1" x14ac:dyDescent="0.2">
      <c r="A496" s="266"/>
      <c r="B496" s="266"/>
      <c r="C496" s="266"/>
      <c r="D496" s="374"/>
      <c r="E496" s="374"/>
      <c r="F496" s="266"/>
      <c r="G496" s="266"/>
      <c r="H496" s="266"/>
      <c r="I496" s="266"/>
      <c r="J496" s="2"/>
      <c r="K496" s="2"/>
      <c r="L496" s="2"/>
      <c r="M496" s="2"/>
      <c r="N496" s="2"/>
      <c r="O496" s="2"/>
      <c r="P496" s="2"/>
      <c r="Q496" s="2"/>
      <c r="R496" s="2"/>
      <c r="S496" s="2"/>
      <c r="T496" s="2"/>
      <c r="U496" s="2"/>
      <c r="V496" s="2"/>
      <c r="W496" s="2"/>
      <c r="X496" s="2"/>
      <c r="Y496" s="2"/>
      <c r="Z496" s="2"/>
    </row>
    <row r="497" spans="1:26" ht="12.75" customHeight="1" x14ac:dyDescent="0.2">
      <c r="A497" s="266"/>
      <c r="B497" s="266"/>
      <c r="C497" s="266"/>
      <c r="D497" s="374"/>
      <c r="E497" s="374"/>
      <c r="F497" s="266"/>
      <c r="G497" s="266"/>
      <c r="H497" s="266"/>
      <c r="I497" s="266"/>
      <c r="J497" s="2"/>
      <c r="K497" s="2"/>
      <c r="L497" s="2"/>
      <c r="M497" s="2"/>
      <c r="N497" s="2"/>
      <c r="O497" s="2"/>
      <c r="P497" s="2"/>
      <c r="Q497" s="2"/>
      <c r="R497" s="2"/>
      <c r="S497" s="2"/>
      <c r="T497" s="2"/>
      <c r="U497" s="2"/>
      <c r="V497" s="2"/>
      <c r="W497" s="2"/>
      <c r="X497" s="2"/>
      <c r="Y497" s="2"/>
      <c r="Z497" s="2"/>
    </row>
    <row r="498" spans="1:26" ht="12.75" customHeight="1" x14ac:dyDescent="0.2">
      <c r="A498" s="266"/>
      <c r="B498" s="266"/>
      <c r="C498" s="266"/>
      <c r="D498" s="374"/>
      <c r="E498" s="374"/>
      <c r="F498" s="266"/>
      <c r="G498" s="266"/>
      <c r="H498" s="266"/>
      <c r="I498" s="266"/>
      <c r="J498" s="2"/>
      <c r="K498" s="2"/>
      <c r="L498" s="2"/>
      <c r="M498" s="2"/>
      <c r="N498" s="2"/>
      <c r="O498" s="2"/>
      <c r="P498" s="2"/>
      <c r="Q498" s="2"/>
      <c r="R498" s="2"/>
      <c r="S498" s="2"/>
      <c r="T498" s="2"/>
      <c r="U498" s="2"/>
      <c r="V498" s="2"/>
      <c r="W498" s="2"/>
      <c r="X498" s="2"/>
      <c r="Y498" s="2"/>
      <c r="Z498" s="2"/>
    </row>
    <row r="499" spans="1:26" ht="12.75" customHeight="1" x14ac:dyDescent="0.2">
      <c r="A499" s="266"/>
      <c r="B499" s="266"/>
      <c r="C499" s="266"/>
      <c r="D499" s="374"/>
      <c r="E499" s="374"/>
      <c r="F499" s="266"/>
      <c r="G499" s="266"/>
      <c r="H499" s="266"/>
      <c r="I499" s="266"/>
      <c r="J499" s="2"/>
      <c r="K499" s="2"/>
      <c r="L499" s="2"/>
      <c r="M499" s="2"/>
      <c r="N499" s="2"/>
      <c r="O499" s="2"/>
      <c r="P499" s="2"/>
      <c r="Q499" s="2"/>
      <c r="R499" s="2"/>
      <c r="S499" s="2"/>
      <c r="T499" s="2"/>
      <c r="U499" s="2"/>
      <c r="V499" s="2"/>
      <c r="W499" s="2"/>
      <c r="X499" s="2"/>
      <c r="Y499" s="2"/>
      <c r="Z499" s="2"/>
    </row>
    <row r="500" spans="1:26" ht="12.75" customHeight="1" x14ac:dyDescent="0.2">
      <c r="A500" s="266"/>
      <c r="B500" s="266"/>
      <c r="C500" s="266"/>
      <c r="D500" s="374"/>
      <c r="E500" s="374"/>
      <c r="F500" s="266"/>
      <c r="G500" s="266"/>
      <c r="H500" s="266"/>
      <c r="I500" s="266"/>
      <c r="J500" s="2"/>
      <c r="K500" s="2"/>
      <c r="L500" s="2"/>
      <c r="M500" s="2"/>
      <c r="N500" s="2"/>
      <c r="O500" s="2"/>
      <c r="P500" s="2"/>
      <c r="Q500" s="2"/>
      <c r="R500" s="2"/>
      <c r="S500" s="2"/>
      <c r="T500" s="2"/>
      <c r="U500" s="2"/>
      <c r="V500" s="2"/>
      <c r="W500" s="2"/>
      <c r="X500" s="2"/>
      <c r="Y500" s="2"/>
      <c r="Z500" s="2"/>
    </row>
    <row r="501" spans="1:26" ht="12.75" customHeight="1" x14ac:dyDescent="0.2">
      <c r="A501" s="266"/>
      <c r="B501" s="266"/>
      <c r="C501" s="266"/>
      <c r="D501" s="374"/>
      <c r="E501" s="374"/>
      <c r="F501" s="266"/>
      <c r="G501" s="266"/>
      <c r="H501" s="266"/>
      <c r="I501" s="266"/>
      <c r="J501" s="2"/>
      <c r="K501" s="2"/>
      <c r="L501" s="2"/>
      <c r="M501" s="2"/>
      <c r="N501" s="2"/>
      <c r="O501" s="2"/>
      <c r="P501" s="2"/>
      <c r="Q501" s="2"/>
      <c r="R501" s="2"/>
      <c r="S501" s="2"/>
      <c r="T501" s="2"/>
      <c r="U501" s="2"/>
      <c r="V501" s="2"/>
      <c r="W501" s="2"/>
      <c r="X501" s="2"/>
      <c r="Y501" s="2"/>
      <c r="Z501" s="2"/>
    </row>
    <row r="502" spans="1:26" ht="12.75" customHeight="1" x14ac:dyDescent="0.2">
      <c r="A502" s="266"/>
      <c r="B502" s="266"/>
      <c r="C502" s="266"/>
      <c r="D502" s="374"/>
      <c r="E502" s="374"/>
      <c r="F502" s="266"/>
      <c r="G502" s="266"/>
      <c r="H502" s="266"/>
      <c r="I502" s="266"/>
      <c r="J502" s="2"/>
      <c r="K502" s="2"/>
      <c r="L502" s="2"/>
      <c r="M502" s="2"/>
      <c r="N502" s="2"/>
      <c r="O502" s="2"/>
      <c r="P502" s="2"/>
      <c r="Q502" s="2"/>
      <c r="R502" s="2"/>
      <c r="S502" s="2"/>
      <c r="T502" s="2"/>
      <c r="U502" s="2"/>
      <c r="V502" s="2"/>
      <c r="W502" s="2"/>
      <c r="X502" s="2"/>
      <c r="Y502" s="2"/>
      <c r="Z502" s="2"/>
    </row>
    <row r="503" spans="1:26" ht="12.75" customHeight="1" x14ac:dyDescent="0.2">
      <c r="A503" s="266"/>
      <c r="B503" s="266"/>
      <c r="C503" s="266"/>
      <c r="D503" s="374"/>
      <c r="E503" s="374"/>
      <c r="F503" s="266"/>
      <c r="G503" s="266"/>
      <c r="H503" s="266"/>
      <c r="I503" s="266"/>
      <c r="J503" s="2"/>
      <c r="K503" s="2"/>
      <c r="L503" s="2"/>
      <c r="M503" s="2"/>
      <c r="N503" s="2"/>
      <c r="O503" s="2"/>
      <c r="P503" s="2"/>
      <c r="Q503" s="2"/>
      <c r="R503" s="2"/>
      <c r="S503" s="2"/>
      <c r="T503" s="2"/>
      <c r="U503" s="2"/>
      <c r="V503" s="2"/>
      <c r="W503" s="2"/>
      <c r="X503" s="2"/>
      <c r="Y503" s="2"/>
      <c r="Z503" s="2"/>
    </row>
    <row r="504" spans="1:26" ht="12.75" customHeight="1" x14ac:dyDescent="0.2">
      <c r="A504" s="266"/>
      <c r="B504" s="266"/>
      <c r="C504" s="266"/>
      <c r="D504" s="374"/>
      <c r="E504" s="374"/>
      <c r="F504" s="266"/>
      <c r="G504" s="266"/>
      <c r="H504" s="266"/>
      <c r="I504" s="266"/>
      <c r="J504" s="2"/>
      <c r="K504" s="2"/>
      <c r="L504" s="2"/>
      <c r="M504" s="2"/>
      <c r="N504" s="2"/>
      <c r="O504" s="2"/>
      <c r="P504" s="2"/>
      <c r="Q504" s="2"/>
      <c r="R504" s="2"/>
      <c r="S504" s="2"/>
      <c r="T504" s="2"/>
      <c r="U504" s="2"/>
      <c r="V504" s="2"/>
      <c r="W504" s="2"/>
      <c r="X504" s="2"/>
      <c r="Y504" s="2"/>
      <c r="Z504" s="2"/>
    </row>
    <row r="505" spans="1:26" ht="12.75" customHeight="1" x14ac:dyDescent="0.2">
      <c r="A505" s="266"/>
      <c r="B505" s="266"/>
      <c r="C505" s="266"/>
      <c r="D505" s="374"/>
      <c r="E505" s="374"/>
      <c r="F505" s="266"/>
      <c r="G505" s="266"/>
      <c r="H505" s="266"/>
      <c r="I505" s="266"/>
      <c r="J505" s="2"/>
      <c r="K505" s="2"/>
      <c r="L505" s="2"/>
      <c r="M505" s="2"/>
      <c r="N505" s="2"/>
      <c r="O505" s="2"/>
      <c r="P505" s="2"/>
      <c r="Q505" s="2"/>
      <c r="R505" s="2"/>
      <c r="S505" s="2"/>
      <c r="T505" s="2"/>
      <c r="U505" s="2"/>
      <c r="V505" s="2"/>
      <c r="W505" s="2"/>
      <c r="X505" s="2"/>
      <c r="Y505" s="2"/>
      <c r="Z505" s="2"/>
    </row>
    <row r="506" spans="1:26" ht="12.75" customHeight="1" x14ac:dyDescent="0.2">
      <c r="A506" s="266"/>
      <c r="B506" s="266"/>
      <c r="C506" s="266"/>
      <c r="D506" s="374"/>
      <c r="E506" s="374"/>
      <c r="F506" s="266"/>
      <c r="G506" s="266"/>
      <c r="H506" s="266"/>
      <c r="I506" s="266"/>
      <c r="J506" s="2"/>
      <c r="K506" s="2"/>
      <c r="L506" s="2"/>
      <c r="M506" s="2"/>
      <c r="N506" s="2"/>
      <c r="O506" s="2"/>
      <c r="P506" s="2"/>
      <c r="Q506" s="2"/>
      <c r="R506" s="2"/>
      <c r="S506" s="2"/>
      <c r="T506" s="2"/>
      <c r="U506" s="2"/>
      <c r="V506" s="2"/>
      <c r="W506" s="2"/>
      <c r="X506" s="2"/>
      <c r="Y506" s="2"/>
      <c r="Z506" s="2"/>
    </row>
    <row r="507" spans="1:26" ht="12.75" customHeight="1" x14ac:dyDescent="0.2">
      <c r="A507" s="266"/>
      <c r="B507" s="266"/>
      <c r="C507" s="266"/>
      <c r="D507" s="374"/>
      <c r="E507" s="374"/>
      <c r="F507" s="266"/>
      <c r="G507" s="266"/>
      <c r="H507" s="266"/>
      <c r="I507" s="266"/>
      <c r="J507" s="2"/>
      <c r="K507" s="2"/>
      <c r="L507" s="2"/>
      <c r="M507" s="2"/>
      <c r="N507" s="2"/>
      <c r="O507" s="2"/>
      <c r="P507" s="2"/>
      <c r="Q507" s="2"/>
      <c r="R507" s="2"/>
      <c r="S507" s="2"/>
      <c r="T507" s="2"/>
      <c r="U507" s="2"/>
      <c r="V507" s="2"/>
      <c r="W507" s="2"/>
      <c r="X507" s="2"/>
      <c r="Y507" s="2"/>
      <c r="Z507" s="2"/>
    </row>
    <row r="508" spans="1:26" ht="12.75" customHeight="1" x14ac:dyDescent="0.2">
      <c r="A508" s="266"/>
      <c r="B508" s="266"/>
      <c r="C508" s="266"/>
      <c r="D508" s="374"/>
      <c r="E508" s="374"/>
      <c r="F508" s="266"/>
      <c r="G508" s="266"/>
      <c r="H508" s="266"/>
      <c r="I508" s="266"/>
      <c r="J508" s="2"/>
      <c r="K508" s="2"/>
      <c r="L508" s="2"/>
      <c r="M508" s="2"/>
      <c r="N508" s="2"/>
      <c r="O508" s="2"/>
      <c r="P508" s="2"/>
      <c r="Q508" s="2"/>
      <c r="R508" s="2"/>
      <c r="S508" s="2"/>
      <c r="T508" s="2"/>
      <c r="U508" s="2"/>
      <c r="V508" s="2"/>
      <c r="W508" s="2"/>
      <c r="X508" s="2"/>
      <c r="Y508" s="2"/>
      <c r="Z508" s="2"/>
    </row>
    <row r="509" spans="1:26" ht="12.75" customHeight="1" x14ac:dyDescent="0.2">
      <c r="A509" s="266"/>
      <c r="B509" s="266"/>
      <c r="C509" s="266"/>
      <c r="D509" s="374"/>
      <c r="E509" s="374"/>
      <c r="F509" s="266"/>
      <c r="G509" s="266"/>
      <c r="H509" s="266"/>
      <c r="I509" s="266"/>
      <c r="J509" s="2"/>
      <c r="K509" s="2"/>
      <c r="L509" s="2"/>
      <c r="M509" s="2"/>
      <c r="N509" s="2"/>
      <c r="O509" s="2"/>
      <c r="P509" s="2"/>
      <c r="Q509" s="2"/>
      <c r="R509" s="2"/>
      <c r="S509" s="2"/>
      <c r="T509" s="2"/>
      <c r="U509" s="2"/>
      <c r="V509" s="2"/>
      <c r="W509" s="2"/>
      <c r="X509" s="2"/>
      <c r="Y509" s="2"/>
      <c r="Z509" s="2"/>
    </row>
    <row r="510" spans="1:26" ht="12.75" hidden="1" customHeight="1" x14ac:dyDescent="0.2">
      <c r="A510" s="266"/>
      <c r="B510" s="266"/>
      <c r="C510" s="266"/>
      <c r="D510" s="374"/>
      <c r="E510" s="374"/>
      <c r="F510" s="297" t="s">
        <v>405</v>
      </c>
      <c r="G510" s="266"/>
      <c r="H510" s="266"/>
      <c r="I510" s="266"/>
      <c r="J510" s="2"/>
      <c r="K510" s="2"/>
      <c r="L510" s="2"/>
      <c r="M510" s="2"/>
      <c r="N510" s="2"/>
      <c r="O510" s="2"/>
      <c r="P510" s="2"/>
      <c r="Q510" s="2"/>
      <c r="R510" s="2"/>
      <c r="S510" s="2"/>
      <c r="T510" s="2"/>
      <c r="U510" s="2"/>
      <c r="V510" s="2"/>
      <c r="W510" s="2"/>
      <c r="X510" s="2"/>
      <c r="Y510" s="2"/>
      <c r="Z510" s="2"/>
    </row>
    <row r="511" spans="1:26" ht="12.75" hidden="1" customHeight="1" x14ac:dyDescent="0.2">
      <c r="A511" s="266"/>
      <c r="B511" s="266"/>
      <c r="C511" s="266"/>
      <c r="D511" s="374"/>
      <c r="E511" s="374"/>
      <c r="F511" s="297" t="s">
        <v>391</v>
      </c>
      <c r="G511" s="266"/>
      <c r="H511" s="266"/>
      <c r="I511" s="266"/>
      <c r="J511" s="2"/>
      <c r="K511" s="2"/>
      <c r="L511" s="2"/>
      <c r="M511" s="2"/>
      <c r="N511" s="2"/>
      <c r="O511" s="2"/>
      <c r="P511" s="2"/>
      <c r="Q511" s="2"/>
      <c r="R511" s="2"/>
      <c r="S511" s="2"/>
      <c r="T511" s="2"/>
      <c r="U511" s="2"/>
      <c r="V511" s="2"/>
      <c r="W511" s="2"/>
      <c r="X511" s="2"/>
      <c r="Y511" s="2"/>
      <c r="Z511" s="2"/>
    </row>
    <row r="512" spans="1:26" ht="12.75" hidden="1" customHeight="1" x14ac:dyDescent="0.2">
      <c r="A512" s="266"/>
      <c r="B512" s="266"/>
      <c r="C512" s="266"/>
      <c r="D512" s="374"/>
      <c r="E512" s="374"/>
      <c r="F512" s="297" t="s">
        <v>393</v>
      </c>
      <c r="G512" s="266"/>
      <c r="H512" s="266"/>
      <c r="I512" s="266"/>
      <c r="J512" s="2"/>
      <c r="K512" s="2"/>
      <c r="L512" s="2"/>
      <c r="M512" s="2"/>
      <c r="N512" s="2"/>
      <c r="O512" s="2"/>
      <c r="P512" s="2"/>
      <c r="Q512" s="2"/>
      <c r="R512" s="2"/>
      <c r="S512" s="2"/>
      <c r="T512" s="2"/>
      <c r="U512" s="2"/>
      <c r="V512" s="2"/>
      <c r="W512" s="2"/>
      <c r="X512" s="2"/>
      <c r="Y512" s="2"/>
      <c r="Z512" s="2"/>
    </row>
    <row r="513" spans="1:26" ht="12.75" hidden="1" customHeight="1" x14ac:dyDescent="0.2">
      <c r="A513" s="266"/>
      <c r="B513" s="266"/>
      <c r="C513" s="266"/>
      <c r="D513" s="374"/>
      <c r="E513" s="374"/>
      <c r="F513" s="297" t="s">
        <v>409</v>
      </c>
      <c r="G513" s="266"/>
      <c r="H513" s="266"/>
      <c r="I513" s="266"/>
      <c r="J513" s="2"/>
      <c r="K513" s="2"/>
      <c r="L513" s="2"/>
      <c r="M513" s="2"/>
      <c r="N513" s="2"/>
      <c r="O513" s="2"/>
      <c r="P513" s="2"/>
      <c r="Q513" s="2"/>
      <c r="R513" s="2"/>
      <c r="S513" s="2"/>
      <c r="T513" s="2"/>
      <c r="U513" s="2"/>
      <c r="V513" s="2"/>
      <c r="W513" s="2"/>
      <c r="X513" s="2"/>
      <c r="Y513" s="2"/>
      <c r="Z513" s="2"/>
    </row>
    <row r="514" spans="1:26" ht="12.75" hidden="1" customHeight="1" x14ac:dyDescent="0.2">
      <c r="A514" s="266"/>
      <c r="B514" s="266"/>
      <c r="C514" s="266"/>
      <c r="D514" s="374"/>
      <c r="E514" s="374"/>
      <c r="F514" s="297" t="s">
        <v>395</v>
      </c>
      <c r="G514" s="266"/>
      <c r="H514" s="266"/>
      <c r="I514" s="266"/>
      <c r="J514" s="2"/>
      <c r="K514" s="2"/>
      <c r="L514" s="2"/>
      <c r="M514" s="2"/>
      <c r="N514" s="2"/>
      <c r="O514" s="2"/>
      <c r="P514" s="2"/>
      <c r="Q514" s="2"/>
      <c r="R514" s="2"/>
      <c r="S514" s="2"/>
      <c r="T514" s="2"/>
      <c r="U514" s="2"/>
      <c r="V514" s="2"/>
      <c r="W514" s="2"/>
      <c r="X514" s="2"/>
      <c r="Y514" s="2"/>
      <c r="Z514" s="2"/>
    </row>
    <row r="515" spans="1:26" ht="12.75" hidden="1" customHeight="1" x14ac:dyDescent="0.2">
      <c r="A515" s="266"/>
      <c r="B515" s="266"/>
      <c r="C515" s="266"/>
      <c r="D515" s="374"/>
      <c r="E515" s="374"/>
      <c r="F515" s="297" t="s">
        <v>407</v>
      </c>
      <c r="G515" s="266"/>
      <c r="H515" s="266"/>
      <c r="I515" s="266"/>
      <c r="J515" s="2"/>
      <c r="K515" s="2"/>
      <c r="L515" s="2"/>
      <c r="M515" s="2"/>
      <c r="N515" s="2"/>
      <c r="O515" s="2"/>
      <c r="P515" s="2"/>
      <c r="Q515" s="2"/>
      <c r="R515" s="2"/>
      <c r="S515" s="2"/>
      <c r="T515" s="2"/>
      <c r="U515" s="2"/>
      <c r="V515" s="2"/>
      <c r="W515" s="2"/>
      <c r="X515" s="2"/>
      <c r="Y515" s="2"/>
      <c r="Z515" s="2"/>
    </row>
    <row r="516" spans="1:26" ht="12.75" hidden="1" customHeight="1" x14ac:dyDescent="0.2">
      <c r="A516" s="266"/>
      <c r="B516" s="266"/>
      <c r="C516" s="266"/>
      <c r="D516" s="374"/>
      <c r="E516" s="374"/>
      <c r="F516" s="297" t="s">
        <v>397</v>
      </c>
      <c r="G516" s="266"/>
      <c r="H516" s="266"/>
      <c r="I516" s="266"/>
      <c r="J516" s="2"/>
      <c r="K516" s="2"/>
      <c r="L516" s="2"/>
      <c r="M516" s="2"/>
      <c r="N516" s="2"/>
      <c r="O516" s="2"/>
      <c r="P516" s="2"/>
      <c r="Q516" s="2"/>
      <c r="R516" s="2"/>
      <c r="S516" s="2"/>
      <c r="T516" s="2"/>
      <c r="U516" s="2"/>
      <c r="V516" s="2"/>
      <c r="W516" s="2"/>
      <c r="X516" s="2"/>
      <c r="Y516" s="2"/>
      <c r="Z516" s="2"/>
    </row>
    <row r="517" spans="1:26" ht="12.75" hidden="1" customHeight="1" x14ac:dyDescent="0.2">
      <c r="A517" s="266"/>
      <c r="B517" s="266"/>
      <c r="C517" s="266"/>
      <c r="D517" s="374"/>
      <c r="E517" s="374"/>
      <c r="F517" s="297" t="s">
        <v>389</v>
      </c>
      <c r="G517" s="266"/>
      <c r="H517" s="266"/>
      <c r="I517" s="266"/>
      <c r="J517" s="2"/>
      <c r="K517" s="2"/>
      <c r="L517" s="2"/>
      <c r="M517" s="2"/>
      <c r="N517" s="2"/>
      <c r="O517" s="2"/>
      <c r="P517" s="2"/>
      <c r="Q517" s="2"/>
      <c r="R517" s="2"/>
      <c r="S517" s="2"/>
      <c r="T517" s="2"/>
      <c r="U517" s="2"/>
      <c r="V517" s="2"/>
      <c r="W517" s="2"/>
      <c r="X517" s="2"/>
      <c r="Y517" s="2"/>
      <c r="Z517" s="2"/>
    </row>
    <row r="518" spans="1:26" ht="12.75" hidden="1" customHeight="1" x14ac:dyDescent="0.2">
      <c r="A518" s="266"/>
      <c r="B518" s="266"/>
      <c r="C518" s="266"/>
      <c r="D518" s="374"/>
      <c r="E518" s="374"/>
      <c r="F518" s="297" t="s">
        <v>411</v>
      </c>
      <c r="G518" s="266"/>
      <c r="H518" s="266"/>
      <c r="I518" s="266"/>
      <c r="J518" s="2"/>
      <c r="K518" s="2"/>
      <c r="L518" s="2"/>
      <c r="M518" s="2"/>
      <c r="N518" s="2"/>
      <c r="O518" s="2"/>
      <c r="P518" s="2"/>
      <c r="Q518" s="2"/>
      <c r="R518" s="2"/>
      <c r="S518" s="2"/>
      <c r="T518" s="2"/>
      <c r="U518" s="2"/>
      <c r="V518" s="2"/>
      <c r="W518" s="2"/>
      <c r="X518" s="2"/>
      <c r="Y518" s="2"/>
      <c r="Z518" s="2"/>
    </row>
    <row r="519" spans="1:26" ht="12.75" hidden="1" customHeight="1" x14ac:dyDescent="0.2">
      <c r="A519" s="266"/>
      <c r="B519" s="266"/>
      <c r="C519" s="266"/>
      <c r="D519" s="374"/>
      <c r="E519" s="374"/>
      <c r="F519" s="297" t="s">
        <v>399</v>
      </c>
      <c r="G519" s="266"/>
      <c r="H519" s="266"/>
      <c r="I519" s="266"/>
      <c r="J519" s="2"/>
      <c r="K519" s="2"/>
      <c r="L519" s="2"/>
      <c r="M519" s="2"/>
      <c r="N519" s="2"/>
      <c r="O519" s="2"/>
      <c r="P519" s="2"/>
      <c r="Q519" s="2"/>
      <c r="R519" s="2"/>
      <c r="S519" s="2"/>
      <c r="T519" s="2"/>
      <c r="U519" s="2"/>
      <c r="V519" s="2"/>
      <c r="W519" s="2"/>
      <c r="X519" s="2"/>
      <c r="Y519" s="2"/>
      <c r="Z519" s="2"/>
    </row>
    <row r="520" spans="1:26" ht="12.75" hidden="1" customHeight="1" x14ac:dyDescent="0.2">
      <c r="A520" s="266"/>
      <c r="B520" s="266"/>
      <c r="C520" s="266"/>
      <c r="D520" s="374"/>
      <c r="E520" s="374"/>
      <c r="F520" s="297" t="s">
        <v>401</v>
      </c>
      <c r="G520" s="266"/>
      <c r="H520" s="266"/>
      <c r="I520" s="266"/>
      <c r="J520" s="2"/>
      <c r="K520" s="2"/>
      <c r="L520" s="2"/>
      <c r="M520" s="2"/>
      <c r="N520" s="2"/>
      <c r="O520" s="2"/>
      <c r="P520" s="2"/>
      <c r="Q520" s="2"/>
      <c r="R520" s="2"/>
      <c r="S520" s="2"/>
      <c r="T520" s="2"/>
      <c r="U520" s="2"/>
      <c r="V520" s="2"/>
      <c r="W520" s="2"/>
      <c r="X520" s="2"/>
      <c r="Y520" s="2"/>
      <c r="Z520" s="2"/>
    </row>
    <row r="521" spans="1:26" ht="12.75" hidden="1" customHeight="1" x14ac:dyDescent="0.2">
      <c r="A521" s="266"/>
      <c r="B521" s="266"/>
      <c r="C521" s="266"/>
      <c r="D521" s="374"/>
      <c r="E521" s="374"/>
      <c r="F521" s="297" t="s">
        <v>413</v>
      </c>
      <c r="G521" s="266"/>
      <c r="H521" s="266"/>
      <c r="I521" s="266"/>
      <c r="J521" s="2"/>
      <c r="K521" s="2"/>
      <c r="L521" s="2"/>
      <c r="M521" s="2"/>
      <c r="N521" s="2"/>
      <c r="O521" s="2"/>
      <c r="P521" s="2"/>
      <c r="Q521" s="2"/>
      <c r="R521" s="2"/>
      <c r="S521" s="2"/>
      <c r="T521" s="2"/>
      <c r="U521" s="2"/>
      <c r="V521" s="2"/>
      <c r="W521" s="2"/>
      <c r="X521" s="2"/>
      <c r="Y521" s="2"/>
      <c r="Z521" s="2"/>
    </row>
    <row r="522" spans="1:26" ht="12.75" hidden="1" customHeight="1" x14ac:dyDescent="0.2">
      <c r="A522" s="266"/>
      <c r="B522" s="266"/>
      <c r="C522" s="266"/>
      <c r="D522" s="374"/>
      <c r="E522" s="374"/>
      <c r="F522" s="297" t="s">
        <v>403</v>
      </c>
      <c r="G522" s="266"/>
      <c r="H522" s="266"/>
      <c r="I522" s="266"/>
      <c r="J522" s="2"/>
      <c r="K522" s="2"/>
      <c r="L522" s="2"/>
      <c r="M522" s="2"/>
      <c r="N522" s="2"/>
      <c r="O522" s="2"/>
      <c r="P522" s="2"/>
      <c r="Q522" s="2"/>
      <c r="R522" s="2"/>
      <c r="S522" s="2"/>
      <c r="T522" s="2"/>
      <c r="U522" s="2"/>
      <c r="V522" s="2"/>
      <c r="W522" s="2"/>
      <c r="X522" s="2"/>
      <c r="Y522" s="2"/>
      <c r="Z522" s="2"/>
    </row>
    <row r="523" spans="1:26" ht="12.75" hidden="1" customHeight="1" x14ac:dyDescent="0.2">
      <c r="A523" s="266"/>
      <c r="B523" s="266"/>
      <c r="C523" s="266"/>
      <c r="D523" s="374"/>
      <c r="E523" s="374"/>
      <c r="F523" s="266"/>
      <c r="G523" s="266"/>
      <c r="H523" s="266"/>
      <c r="I523" s="266"/>
      <c r="J523" s="2"/>
      <c r="K523" s="2"/>
      <c r="L523" s="2"/>
      <c r="M523" s="2"/>
      <c r="N523" s="2"/>
      <c r="O523" s="2"/>
      <c r="P523" s="2"/>
      <c r="Q523" s="2"/>
      <c r="R523" s="2"/>
      <c r="S523" s="2"/>
      <c r="T523" s="2"/>
      <c r="U523" s="2"/>
      <c r="V523" s="2"/>
      <c r="W523" s="2"/>
      <c r="X523" s="2"/>
      <c r="Y523" s="2"/>
      <c r="Z523" s="2"/>
    </row>
    <row r="524" spans="1:26" ht="12.75" hidden="1" customHeight="1" x14ac:dyDescent="0.2">
      <c r="A524" s="266"/>
      <c r="B524" s="266"/>
      <c r="C524" s="266"/>
      <c r="D524" s="374"/>
      <c r="E524" s="374"/>
      <c r="F524" s="266"/>
      <c r="G524" s="266"/>
      <c r="H524" s="266"/>
      <c r="I524" s="266"/>
      <c r="J524" s="2"/>
      <c r="K524" s="2"/>
      <c r="L524" s="2"/>
      <c r="M524" s="2"/>
      <c r="N524" s="2"/>
      <c r="O524" s="2"/>
      <c r="P524" s="2"/>
      <c r="Q524" s="2"/>
      <c r="R524" s="2"/>
      <c r="S524" s="2"/>
      <c r="T524" s="2"/>
      <c r="U524" s="2"/>
      <c r="V524" s="2"/>
      <c r="W524" s="2"/>
      <c r="X524" s="2"/>
      <c r="Y524" s="2"/>
      <c r="Z524" s="2"/>
    </row>
    <row r="525" spans="1:26" ht="12.75" customHeight="1" x14ac:dyDescent="0.2">
      <c r="A525" s="266"/>
      <c r="B525" s="266"/>
      <c r="C525" s="266"/>
      <c r="D525" s="374"/>
      <c r="E525" s="374"/>
      <c r="F525" s="266"/>
      <c r="G525" s="266"/>
      <c r="H525" s="266"/>
      <c r="I525" s="266"/>
      <c r="J525" s="2"/>
      <c r="K525" s="2"/>
      <c r="L525" s="2"/>
      <c r="M525" s="2"/>
      <c r="N525" s="2"/>
      <c r="O525" s="2"/>
      <c r="P525" s="2"/>
      <c r="Q525" s="2"/>
      <c r="R525" s="2"/>
      <c r="S525" s="2"/>
      <c r="T525" s="2"/>
      <c r="U525" s="2"/>
      <c r="V525" s="2"/>
      <c r="W525" s="2"/>
      <c r="X525" s="2"/>
      <c r="Y525" s="2"/>
      <c r="Z525" s="2"/>
    </row>
    <row r="526" spans="1:26" ht="12.75" customHeight="1" x14ac:dyDescent="0.2">
      <c r="A526" s="266"/>
      <c r="B526" s="266"/>
      <c r="C526" s="266"/>
      <c r="D526" s="374"/>
      <c r="E526" s="374"/>
      <c r="F526" s="266"/>
      <c r="G526" s="266"/>
      <c r="H526" s="266"/>
      <c r="I526" s="266"/>
      <c r="J526" s="2"/>
      <c r="K526" s="2"/>
      <c r="L526" s="2"/>
      <c r="M526" s="2"/>
      <c r="N526" s="2"/>
      <c r="O526" s="2"/>
      <c r="P526" s="2"/>
      <c r="Q526" s="2"/>
      <c r="R526" s="2"/>
      <c r="S526" s="2"/>
      <c r="T526" s="2"/>
      <c r="U526" s="2"/>
      <c r="V526" s="2"/>
      <c r="W526" s="2"/>
      <c r="X526" s="2"/>
      <c r="Y526" s="2"/>
      <c r="Z526" s="2"/>
    </row>
    <row r="527" spans="1:26" ht="12.75" customHeight="1" x14ac:dyDescent="0.2">
      <c r="A527" s="266"/>
      <c r="B527" s="266"/>
      <c r="C527" s="266"/>
      <c r="D527" s="374"/>
      <c r="E527" s="374"/>
      <c r="F527" s="266"/>
      <c r="G527" s="266"/>
      <c r="H527" s="266"/>
      <c r="I527" s="266"/>
      <c r="J527" s="2"/>
      <c r="K527" s="2"/>
      <c r="L527" s="2"/>
      <c r="M527" s="2"/>
      <c r="N527" s="2"/>
      <c r="O527" s="2"/>
      <c r="P527" s="2"/>
      <c r="Q527" s="2"/>
      <c r="R527" s="2"/>
      <c r="S527" s="2"/>
      <c r="T527" s="2"/>
      <c r="U527" s="2"/>
      <c r="V527" s="2"/>
      <c r="W527" s="2"/>
      <c r="X527" s="2"/>
      <c r="Y527" s="2"/>
      <c r="Z527" s="2"/>
    </row>
    <row r="528" spans="1:26" ht="12.75" customHeight="1" x14ac:dyDescent="0.2">
      <c r="A528" s="266"/>
      <c r="B528" s="266"/>
      <c r="C528" s="266"/>
      <c r="D528" s="374"/>
      <c r="E528" s="374"/>
      <c r="F528" s="266"/>
      <c r="G528" s="266"/>
      <c r="H528" s="266"/>
      <c r="I528" s="266"/>
      <c r="J528" s="2"/>
      <c r="K528" s="2"/>
      <c r="L528" s="2"/>
      <c r="M528" s="2"/>
      <c r="N528" s="2"/>
      <c r="O528" s="2"/>
      <c r="P528" s="2"/>
      <c r="Q528" s="2"/>
      <c r="R528" s="2"/>
      <c r="S528" s="2"/>
      <c r="T528" s="2"/>
      <c r="U528" s="2"/>
      <c r="V528" s="2"/>
      <c r="W528" s="2"/>
      <c r="X528" s="2"/>
      <c r="Y528" s="2"/>
      <c r="Z528" s="2"/>
    </row>
    <row r="529" spans="1:26" ht="12.75" customHeight="1" x14ac:dyDescent="0.2">
      <c r="A529" s="266"/>
      <c r="B529" s="266"/>
      <c r="C529" s="266"/>
      <c r="D529" s="374"/>
      <c r="E529" s="374"/>
      <c r="F529" s="266"/>
      <c r="G529" s="266"/>
      <c r="H529" s="266"/>
      <c r="I529" s="266"/>
      <c r="J529" s="2"/>
      <c r="K529" s="2"/>
      <c r="L529" s="2"/>
      <c r="M529" s="2"/>
      <c r="N529" s="2"/>
      <c r="O529" s="2"/>
      <c r="P529" s="2"/>
      <c r="Q529" s="2"/>
      <c r="R529" s="2"/>
      <c r="S529" s="2"/>
      <c r="T529" s="2"/>
      <c r="U529" s="2"/>
      <c r="V529" s="2"/>
      <c r="W529" s="2"/>
      <c r="X529" s="2"/>
      <c r="Y529" s="2"/>
      <c r="Z529" s="2"/>
    </row>
    <row r="530" spans="1:26" ht="12.75" customHeight="1" x14ac:dyDescent="0.2">
      <c r="A530" s="266"/>
      <c r="B530" s="266"/>
      <c r="C530" s="266"/>
      <c r="D530" s="374"/>
      <c r="E530" s="374"/>
      <c r="F530" s="266"/>
      <c r="G530" s="266"/>
      <c r="H530" s="266"/>
      <c r="I530" s="266"/>
      <c r="J530" s="2"/>
      <c r="K530" s="2"/>
      <c r="L530" s="2"/>
      <c r="M530" s="2"/>
      <c r="N530" s="2"/>
      <c r="O530" s="2"/>
      <c r="P530" s="2"/>
      <c r="Q530" s="2"/>
      <c r="R530" s="2"/>
      <c r="S530" s="2"/>
      <c r="T530" s="2"/>
      <c r="U530" s="2"/>
      <c r="V530" s="2"/>
      <c r="W530" s="2"/>
      <c r="X530" s="2"/>
      <c r="Y530" s="2"/>
      <c r="Z530" s="2"/>
    </row>
    <row r="531" spans="1:26" ht="12.75" customHeight="1" x14ac:dyDescent="0.2">
      <c r="A531" s="266"/>
      <c r="B531" s="266"/>
      <c r="C531" s="266"/>
      <c r="D531" s="374"/>
      <c r="E531" s="374"/>
      <c r="F531" s="266"/>
      <c r="G531" s="266"/>
      <c r="H531" s="266"/>
      <c r="I531" s="266"/>
      <c r="J531" s="2"/>
      <c r="K531" s="2"/>
      <c r="L531" s="2"/>
      <c r="M531" s="2"/>
      <c r="N531" s="2"/>
      <c r="O531" s="2"/>
      <c r="P531" s="2"/>
      <c r="Q531" s="2"/>
      <c r="R531" s="2"/>
      <c r="S531" s="2"/>
      <c r="T531" s="2"/>
      <c r="U531" s="2"/>
      <c r="V531" s="2"/>
      <c r="W531" s="2"/>
      <c r="X531" s="2"/>
      <c r="Y531" s="2"/>
      <c r="Z531" s="2"/>
    </row>
    <row r="532" spans="1:26" ht="12.75" customHeight="1" x14ac:dyDescent="0.2">
      <c r="A532" s="266"/>
      <c r="B532" s="266"/>
      <c r="C532" s="266"/>
      <c r="D532" s="374"/>
      <c r="E532" s="374"/>
      <c r="F532" s="266"/>
      <c r="G532" s="266"/>
      <c r="H532" s="266"/>
      <c r="I532" s="266"/>
      <c r="J532" s="2"/>
      <c r="K532" s="2"/>
      <c r="L532" s="2"/>
      <c r="M532" s="2"/>
      <c r="N532" s="2"/>
      <c r="O532" s="2"/>
      <c r="P532" s="2"/>
      <c r="Q532" s="2"/>
      <c r="R532" s="2"/>
      <c r="S532" s="2"/>
      <c r="T532" s="2"/>
      <c r="U532" s="2"/>
      <c r="V532" s="2"/>
      <c r="W532" s="2"/>
      <c r="X532" s="2"/>
      <c r="Y532" s="2"/>
      <c r="Z532" s="2"/>
    </row>
    <row r="533" spans="1:26" ht="12.75" customHeight="1" x14ac:dyDescent="0.2">
      <c r="A533" s="266"/>
      <c r="B533" s="266"/>
      <c r="C533" s="266"/>
      <c r="D533" s="374"/>
      <c r="E533" s="374"/>
      <c r="F533" s="266"/>
      <c r="G533" s="266"/>
      <c r="H533" s="266"/>
      <c r="I533" s="266"/>
      <c r="J533" s="2"/>
      <c r="K533" s="2"/>
      <c r="L533" s="2"/>
      <c r="M533" s="2"/>
      <c r="N533" s="2"/>
      <c r="O533" s="2"/>
      <c r="P533" s="2"/>
      <c r="Q533" s="2"/>
      <c r="R533" s="2"/>
      <c r="S533" s="2"/>
      <c r="T533" s="2"/>
      <c r="U533" s="2"/>
      <c r="V533" s="2"/>
      <c r="W533" s="2"/>
      <c r="X533" s="2"/>
      <c r="Y533" s="2"/>
      <c r="Z533" s="2"/>
    </row>
    <row r="534" spans="1:26" ht="12.75" customHeight="1" x14ac:dyDescent="0.2">
      <c r="A534" s="266"/>
      <c r="B534" s="266"/>
      <c r="C534" s="266"/>
      <c r="D534" s="374"/>
      <c r="E534" s="374"/>
      <c r="F534" s="266"/>
      <c r="G534" s="266"/>
      <c r="H534" s="266"/>
      <c r="I534" s="266"/>
      <c r="J534" s="2"/>
      <c r="K534" s="2"/>
      <c r="L534" s="2"/>
      <c r="M534" s="2"/>
      <c r="N534" s="2"/>
      <c r="O534" s="2"/>
      <c r="P534" s="2"/>
      <c r="Q534" s="2"/>
      <c r="R534" s="2"/>
      <c r="S534" s="2"/>
      <c r="T534" s="2"/>
      <c r="U534" s="2"/>
      <c r="V534" s="2"/>
      <c r="W534" s="2"/>
      <c r="X534" s="2"/>
      <c r="Y534" s="2"/>
      <c r="Z534" s="2"/>
    </row>
    <row r="535" spans="1:26" ht="12.75" customHeight="1" x14ac:dyDescent="0.2">
      <c r="A535" s="266"/>
      <c r="B535" s="266"/>
      <c r="C535" s="266"/>
      <c r="D535" s="374"/>
      <c r="E535" s="374"/>
      <c r="F535" s="266"/>
      <c r="G535" s="266"/>
      <c r="H535" s="266"/>
      <c r="I535" s="266"/>
      <c r="J535" s="2"/>
      <c r="K535" s="2"/>
      <c r="L535" s="2"/>
      <c r="M535" s="2"/>
      <c r="N535" s="2"/>
      <c r="O535" s="2"/>
      <c r="P535" s="2"/>
      <c r="Q535" s="2"/>
      <c r="R535" s="2"/>
      <c r="S535" s="2"/>
      <c r="T535" s="2"/>
      <c r="U535" s="2"/>
      <c r="V535" s="2"/>
      <c r="W535" s="2"/>
      <c r="X535" s="2"/>
      <c r="Y535" s="2"/>
      <c r="Z535" s="2"/>
    </row>
    <row r="536" spans="1:26" ht="12.75" customHeight="1" x14ac:dyDescent="0.2">
      <c r="A536" s="266"/>
      <c r="B536" s="266"/>
      <c r="C536" s="266"/>
      <c r="D536" s="374"/>
      <c r="E536" s="374"/>
      <c r="F536" s="266"/>
      <c r="G536" s="266"/>
      <c r="H536" s="266"/>
      <c r="I536" s="266"/>
      <c r="J536" s="2"/>
      <c r="K536" s="2"/>
      <c r="L536" s="2"/>
      <c r="M536" s="2"/>
      <c r="N536" s="2"/>
      <c r="O536" s="2"/>
      <c r="P536" s="2"/>
      <c r="Q536" s="2"/>
      <c r="R536" s="2"/>
      <c r="S536" s="2"/>
      <c r="T536" s="2"/>
      <c r="U536" s="2"/>
      <c r="V536" s="2"/>
      <c r="W536" s="2"/>
      <c r="X536" s="2"/>
      <c r="Y536" s="2"/>
      <c r="Z536" s="2"/>
    </row>
    <row r="537" spans="1:26" ht="12.75" customHeight="1" x14ac:dyDescent="0.2">
      <c r="A537" s="266"/>
      <c r="B537" s="266"/>
      <c r="C537" s="266"/>
      <c r="D537" s="374"/>
      <c r="E537" s="374"/>
      <c r="F537" s="266"/>
      <c r="G537" s="266"/>
      <c r="H537" s="266"/>
      <c r="I537" s="266"/>
      <c r="J537" s="2"/>
      <c r="K537" s="2"/>
      <c r="L537" s="2"/>
      <c r="M537" s="2"/>
      <c r="N537" s="2"/>
      <c r="O537" s="2"/>
      <c r="P537" s="2"/>
      <c r="Q537" s="2"/>
      <c r="R537" s="2"/>
      <c r="S537" s="2"/>
      <c r="T537" s="2"/>
      <c r="U537" s="2"/>
      <c r="V537" s="2"/>
      <c r="W537" s="2"/>
      <c r="X537" s="2"/>
      <c r="Y537" s="2"/>
      <c r="Z537" s="2"/>
    </row>
    <row r="538" spans="1:26" ht="12.75" customHeight="1" x14ac:dyDescent="0.2">
      <c r="A538" s="266"/>
      <c r="B538" s="266"/>
      <c r="C538" s="266"/>
      <c r="D538" s="374"/>
      <c r="E538" s="374"/>
      <c r="F538" s="266"/>
      <c r="G538" s="266"/>
      <c r="H538" s="266"/>
      <c r="I538" s="266"/>
      <c r="J538" s="2"/>
      <c r="K538" s="2"/>
      <c r="L538" s="2"/>
      <c r="M538" s="2"/>
      <c r="N538" s="2"/>
      <c r="O538" s="2"/>
      <c r="P538" s="2"/>
      <c r="Q538" s="2"/>
      <c r="R538" s="2"/>
      <c r="S538" s="2"/>
      <c r="T538" s="2"/>
      <c r="U538" s="2"/>
      <c r="V538" s="2"/>
      <c r="W538" s="2"/>
      <c r="X538" s="2"/>
      <c r="Y538" s="2"/>
      <c r="Z538" s="2"/>
    </row>
    <row r="539" spans="1:26" ht="12.75" customHeight="1" x14ac:dyDescent="0.2">
      <c r="A539" s="266"/>
      <c r="B539" s="266"/>
      <c r="C539" s="266"/>
      <c r="D539" s="374"/>
      <c r="E539" s="374"/>
      <c r="F539" s="266"/>
      <c r="G539" s="266"/>
      <c r="H539" s="266"/>
      <c r="I539" s="266"/>
      <c r="J539" s="2"/>
      <c r="K539" s="2"/>
      <c r="L539" s="2"/>
      <c r="M539" s="2"/>
      <c r="N539" s="2"/>
      <c r="O539" s="2"/>
      <c r="P539" s="2"/>
      <c r="Q539" s="2"/>
      <c r="R539" s="2"/>
      <c r="S539" s="2"/>
      <c r="T539" s="2"/>
      <c r="U539" s="2"/>
      <c r="V539" s="2"/>
      <c r="W539" s="2"/>
      <c r="X539" s="2"/>
      <c r="Y539" s="2"/>
      <c r="Z539" s="2"/>
    </row>
    <row r="540" spans="1:26" ht="12.75" customHeight="1" x14ac:dyDescent="0.2">
      <c r="A540" s="266"/>
      <c r="B540" s="266"/>
      <c r="C540" s="266"/>
      <c r="D540" s="374"/>
      <c r="E540" s="374"/>
      <c r="F540" s="266"/>
      <c r="G540" s="266"/>
      <c r="H540" s="266"/>
      <c r="I540" s="266"/>
      <c r="J540" s="2"/>
      <c r="K540" s="2"/>
      <c r="L540" s="2"/>
      <c r="M540" s="2"/>
      <c r="N540" s="2"/>
      <c r="O540" s="2"/>
      <c r="P540" s="2"/>
      <c r="Q540" s="2"/>
      <c r="R540" s="2"/>
      <c r="S540" s="2"/>
      <c r="T540" s="2"/>
      <c r="U540" s="2"/>
      <c r="V540" s="2"/>
      <c r="W540" s="2"/>
      <c r="X540" s="2"/>
      <c r="Y540" s="2"/>
      <c r="Z540" s="2"/>
    </row>
    <row r="541" spans="1:26" ht="12.75" customHeight="1" x14ac:dyDescent="0.2">
      <c r="A541" s="266"/>
      <c r="B541" s="266"/>
      <c r="C541" s="266"/>
      <c r="D541" s="374"/>
      <c r="E541" s="374"/>
      <c r="F541" s="266"/>
      <c r="G541" s="266"/>
      <c r="H541" s="266"/>
      <c r="I541" s="266"/>
      <c r="J541" s="2"/>
      <c r="K541" s="2"/>
      <c r="L541" s="2"/>
      <c r="M541" s="2"/>
      <c r="N541" s="2"/>
      <c r="O541" s="2"/>
      <c r="P541" s="2"/>
      <c r="Q541" s="2"/>
      <c r="R541" s="2"/>
      <c r="S541" s="2"/>
      <c r="T541" s="2"/>
      <c r="U541" s="2"/>
      <c r="V541" s="2"/>
      <c r="W541" s="2"/>
      <c r="X541" s="2"/>
      <c r="Y541" s="2"/>
      <c r="Z541" s="2"/>
    </row>
    <row r="542" spans="1:26" ht="12.75" customHeight="1" x14ac:dyDescent="0.2">
      <c r="A542" s="266"/>
      <c r="B542" s="266"/>
      <c r="C542" s="266"/>
      <c r="D542" s="374"/>
      <c r="E542" s="374"/>
      <c r="F542" s="266"/>
      <c r="G542" s="266"/>
      <c r="H542" s="266"/>
      <c r="I542" s="266"/>
      <c r="J542" s="2"/>
      <c r="K542" s="2"/>
      <c r="L542" s="2"/>
      <c r="M542" s="2"/>
      <c r="N542" s="2"/>
      <c r="O542" s="2"/>
      <c r="P542" s="2"/>
      <c r="Q542" s="2"/>
      <c r="R542" s="2"/>
      <c r="S542" s="2"/>
      <c r="T542" s="2"/>
      <c r="U542" s="2"/>
      <c r="V542" s="2"/>
      <c r="W542" s="2"/>
      <c r="X542" s="2"/>
      <c r="Y542" s="2"/>
      <c r="Z542" s="2"/>
    </row>
    <row r="543" spans="1:26" ht="12.75" customHeight="1" x14ac:dyDescent="0.2">
      <c r="A543" s="266"/>
      <c r="B543" s="266"/>
      <c r="C543" s="266"/>
      <c r="D543" s="374"/>
      <c r="E543" s="374"/>
      <c r="F543" s="266"/>
      <c r="G543" s="266"/>
      <c r="H543" s="266"/>
      <c r="I543" s="266"/>
      <c r="J543" s="2"/>
      <c r="K543" s="2"/>
      <c r="L543" s="2"/>
      <c r="M543" s="2"/>
      <c r="N543" s="2"/>
      <c r="O543" s="2"/>
      <c r="P543" s="2"/>
      <c r="Q543" s="2"/>
      <c r="R543" s="2"/>
      <c r="S543" s="2"/>
      <c r="T543" s="2"/>
      <c r="U543" s="2"/>
      <c r="V543" s="2"/>
      <c r="W543" s="2"/>
      <c r="X543" s="2"/>
      <c r="Y543" s="2"/>
      <c r="Z543" s="2"/>
    </row>
    <row r="544" spans="1:26" ht="12.75" customHeight="1" x14ac:dyDescent="0.2">
      <c r="A544" s="266"/>
      <c r="B544" s="266"/>
      <c r="C544" s="266"/>
      <c r="D544" s="374"/>
      <c r="E544" s="374"/>
      <c r="F544" s="266"/>
      <c r="G544" s="266"/>
      <c r="H544" s="266"/>
      <c r="I544" s="266"/>
      <c r="J544" s="2"/>
      <c r="K544" s="2"/>
      <c r="L544" s="2"/>
      <c r="M544" s="2"/>
      <c r="N544" s="2"/>
      <c r="O544" s="2"/>
      <c r="P544" s="2"/>
      <c r="Q544" s="2"/>
      <c r="R544" s="2"/>
      <c r="S544" s="2"/>
      <c r="T544" s="2"/>
      <c r="U544" s="2"/>
      <c r="V544" s="2"/>
      <c r="W544" s="2"/>
      <c r="X544" s="2"/>
      <c r="Y544" s="2"/>
      <c r="Z544" s="2"/>
    </row>
    <row r="545" spans="1:26" ht="12.75" customHeight="1" x14ac:dyDescent="0.2">
      <c r="A545" s="266"/>
      <c r="B545" s="266"/>
      <c r="C545" s="266"/>
      <c r="D545" s="374"/>
      <c r="E545" s="374"/>
      <c r="F545" s="266"/>
      <c r="G545" s="266"/>
      <c r="H545" s="266"/>
      <c r="I545" s="266"/>
      <c r="J545" s="2"/>
      <c r="K545" s="2"/>
      <c r="L545" s="2"/>
      <c r="M545" s="2"/>
      <c r="N545" s="2"/>
      <c r="O545" s="2"/>
      <c r="P545" s="2"/>
      <c r="Q545" s="2"/>
      <c r="R545" s="2"/>
      <c r="S545" s="2"/>
      <c r="T545" s="2"/>
      <c r="U545" s="2"/>
      <c r="V545" s="2"/>
      <c r="W545" s="2"/>
      <c r="X545" s="2"/>
      <c r="Y545" s="2"/>
      <c r="Z545" s="2"/>
    </row>
    <row r="546" spans="1:26" ht="12.75" customHeight="1" x14ac:dyDescent="0.2">
      <c r="A546" s="266"/>
      <c r="B546" s="266"/>
      <c r="C546" s="266"/>
      <c r="D546" s="374"/>
      <c r="E546" s="374"/>
      <c r="F546" s="266"/>
      <c r="G546" s="266"/>
      <c r="H546" s="266"/>
      <c r="I546" s="266"/>
      <c r="J546" s="2"/>
      <c r="K546" s="2"/>
      <c r="L546" s="2"/>
      <c r="M546" s="2"/>
      <c r="N546" s="2"/>
      <c r="O546" s="2"/>
      <c r="P546" s="2"/>
      <c r="Q546" s="2"/>
      <c r="R546" s="2"/>
      <c r="S546" s="2"/>
      <c r="T546" s="2"/>
      <c r="U546" s="2"/>
      <c r="V546" s="2"/>
      <c r="W546" s="2"/>
      <c r="X546" s="2"/>
      <c r="Y546" s="2"/>
      <c r="Z546" s="2"/>
    </row>
    <row r="547" spans="1:26" ht="12.75" customHeight="1" x14ac:dyDescent="0.2">
      <c r="A547" s="266"/>
      <c r="B547" s="266"/>
      <c r="C547" s="266"/>
      <c r="D547" s="374"/>
      <c r="E547" s="374"/>
      <c r="F547" s="266"/>
      <c r="G547" s="266"/>
      <c r="H547" s="266"/>
      <c r="I547" s="266"/>
      <c r="J547" s="2"/>
      <c r="K547" s="2"/>
      <c r="L547" s="2"/>
      <c r="M547" s="2"/>
      <c r="N547" s="2"/>
      <c r="O547" s="2"/>
      <c r="P547" s="2"/>
      <c r="Q547" s="2"/>
      <c r="R547" s="2"/>
      <c r="S547" s="2"/>
      <c r="T547" s="2"/>
      <c r="U547" s="2"/>
      <c r="V547" s="2"/>
      <c r="W547" s="2"/>
      <c r="X547" s="2"/>
      <c r="Y547" s="2"/>
      <c r="Z547" s="2"/>
    </row>
    <row r="548" spans="1:26" ht="12.75" customHeight="1" x14ac:dyDescent="0.2">
      <c r="A548" s="266"/>
      <c r="B548" s="266"/>
      <c r="C548" s="266"/>
      <c r="D548" s="374"/>
      <c r="E548" s="374"/>
      <c r="F548" s="266"/>
      <c r="G548" s="266"/>
      <c r="H548" s="266"/>
      <c r="I548" s="266"/>
      <c r="J548" s="2"/>
      <c r="K548" s="2"/>
      <c r="L548" s="2"/>
      <c r="M548" s="2"/>
      <c r="N548" s="2"/>
      <c r="O548" s="2"/>
      <c r="P548" s="2"/>
      <c r="Q548" s="2"/>
      <c r="R548" s="2"/>
      <c r="S548" s="2"/>
      <c r="T548" s="2"/>
      <c r="U548" s="2"/>
      <c r="V548" s="2"/>
      <c r="W548" s="2"/>
      <c r="X548" s="2"/>
      <c r="Y548" s="2"/>
      <c r="Z548" s="2"/>
    </row>
    <row r="549" spans="1:26" ht="12.75" customHeight="1" x14ac:dyDescent="0.2">
      <c r="A549" s="266"/>
      <c r="B549" s="266"/>
      <c r="C549" s="266"/>
      <c r="D549" s="374"/>
      <c r="E549" s="374"/>
      <c r="F549" s="266"/>
      <c r="G549" s="266"/>
      <c r="H549" s="266"/>
      <c r="I549" s="266"/>
      <c r="J549" s="2"/>
      <c r="K549" s="2"/>
      <c r="L549" s="2"/>
      <c r="M549" s="2"/>
      <c r="N549" s="2"/>
      <c r="O549" s="2"/>
      <c r="P549" s="2"/>
      <c r="Q549" s="2"/>
      <c r="R549" s="2"/>
      <c r="S549" s="2"/>
      <c r="T549" s="2"/>
      <c r="U549" s="2"/>
      <c r="V549" s="2"/>
      <c r="W549" s="2"/>
      <c r="X549" s="2"/>
      <c r="Y549" s="2"/>
      <c r="Z549" s="2"/>
    </row>
    <row r="550" spans="1:26" ht="12.75" customHeight="1" x14ac:dyDescent="0.2">
      <c r="A550" s="266"/>
      <c r="B550" s="266"/>
      <c r="C550" s="266"/>
      <c r="D550" s="374"/>
      <c r="E550" s="374"/>
      <c r="F550" s="266"/>
      <c r="G550" s="266"/>
      <c r="H550" s="266"/>
      <c r="I550" s="266"/>
      <c r="J550" s="2"/>
      <c r="K550" s="2"/>
      <c r="L550" s="2"/>
      <c r="M550" s="2"/>
      <c r="N550" s="2"/>
      <c r="O550" s="2"/>
      <c r="P550" s="2"/>
      <c r="Q550" s="2"/>
      <c r="R550" s="2"/>
      <c r="S550" s="2"/>
      <c r="T550" s="2"/>
      <c r="U550" s="2"/>
      <c r="V550" s="2"/>
      <c r="W550" s="2"/>
      <c r="X550" s="2"/>
      <c r="Y550" s="2"/>
      <c r="Z550" s="2"/>
    </row>
    <row r="551" spans="1:26" ht="12.75" customHeight="1" x14ac:dyDescent="0.2">
      <c r="A551" s="266"/>
      <c r="B551" s="266"/>
      <c r="C551" s="266"/>
      <c r="D551" s="374"/>
      <c r="E551" s="374"/>
      <c r="F551" s="266"/>
      <c r="G551" s="266"/>
      <c r="H551" s="266"/>
      <c r="I551" s="266"/>
      <c r="J551" s="2"/>
      <c r="K551" s="2"/>
      <c r="L551" s="2"/>
      <c r="M551" s="2"/>
      <c r="N551" s="2"/>
      <c r="O551" s="2"/>
      <c r="P551" s="2"/>
      <c r="Q551" s="2"/>
      <c r="R551" s="2"/>
      <c r="S551" s="2"/>
      <c r="T551" s="2"/>
      <c r="U551" s="2"/>
      <c r="V551" s="2"/>
      <c r="W551" s="2"/>
      <c r="X551" s="2"/>
      <c r="Y551" s="2"/>
      <c r="Z551" s="2"/>
    </row>
    <row r="552" spans="1:26" ht="12.75" customHeight="1" x14ac:dyDescent="0.2">
      <c r="A552" s="266"/>
      <c r="B552" s="266"/>
      <c r="C552" s="266"/>
      <c r="D552" s="374"/>
      <c r="E552" s="374"/>
      <c r="F552" s="266"/>
      <c r="G552" s="266"/>
      <c r="H552" s="266"/>
      <c r="I552" s="266"/>
      <c r="J552" s="2"/>
      <c r="K552" s="2"/>
      <c r="L552" s="2"/>
      <c r="M552" s="2"/>
      <c r="N552" s="2"/>
      <c r="O552" s="2"/>
      <c r="P552" s="2"/>
      <c r="Q552" s="2"/>
      <c r="R552" s="2"/>
      <c r="S552" s="2"/>
      <c r="T552" s="2"/>
      <c r="U552" s="2"/>
      <c r="V552" s="2"/>
      <c r="W552" s="2"/>
      <c r="X552" s="2"/>
      <c r="Y552" s="2"/>
      <c r="Z552" s="2"/>
    </row>
    <row r="553" spans="1:26" ht="12.75" customHeight="1" x14ac:dyDescent="0.2">
      <c r="A553" s="266"/>
      <c r="B553" s="266"/>
      <c r="C553" s="266"/>
      <c r="D553" s="374"/>
      <c r="E553" s="374"/>
      <c r="F553" s="266"/>
      <c r="G553" s="266"/>
      <c r="H553" s="266"/>
      <c r="I553" s="266"/>
      <c r="J553" s="2"/>
      <c r="K553" s="2"/>
      <c r="L553" s="2"/>
      <c r="M553" s="2"/>
      <c r="N553" s="2"/>
      <c r="O553" s="2"/>
      <c r="P553" s="2"/>
      <c r="Q553" s="2"/>
      <c r="R553" s="2"/>
      <c r="S553" s="2"/>
      <c r="T553" s="2"/>
      <c r="U553" s="2"/>
      <c r="V553" s="2"/>
      <c r="W553" s="2"/>
      <c r="X553" s="2"/>
      <c r="Y553" s="2"/>
      <c r="Z553" s="2"/>
    </row>
    <row r="554" spans="1:26" ht="12.75" customHeight="1" x14ac:dyDescent="0.2">
      <c r="A554" s="266"/>
      <c r="B554" s="266"/>
      <c r="C554" s="266"/>
      <c r="D554" s="374"/>
      <c r="E554" s="374"/>
      <c r="F554" s="266"/>
      <c r="G554" s="266"/>
      <c r="H554" s="266"/>
      <c r="I554" s="266"/>
      <c r="J554" s="2"/>
      <c r="K554" s="2"/>
      <c r="L554" s="2"/>
      <c r="M554" s="2"/>
      <c r="N554" s="2"/>
      <c r="O554" s="2"/>
      <c r="P554" s="2"/>
      <c r="Q554" s="2"/>
      <c r="R554" s="2"/>
      <c r="S554" s="2"/>
      <c r="T554" s="2"/>
      <c r="U554" s="2"/>
      <c r="V554" s="2"/>
      <c r="W554" s="2"/>
      <c r="X554" s="2"/>
      <c r="Y554" s="2"/>
      <c r="Z554" s="2"/>
    </row>
    <row r="555" spans="1:26" ht="12.75" customHeight="1" x14ac:dyDescent="0.2">
      <c r="A555" s="266"/>
      <c r="B555" s="266"/>
      <c r="C555" s="266"/>
      <c r="D555" s="374"/>
      <c r="E555" s="374"/>
      <c r="F555" s="266"/>
      <c r="G555" s="266"/>
      <c r="H555" s="266"/>
      <c r="I555" s="266"/>
      <c r="J555" s="2"/>
      <c r="K555" s="2"/>
      <c r="L555" s="2"/>
      <c r="M555" s="2"/>
      <c r="N555" s="2"/>
      <c r="O555" s="2"/>
      <c r="P555" s="2"/>
      <c r="Q555" s="2"/>
      <c r="R555" s="2"/>
      <c r="S555" s="2"/>
      <c r="T555" s="2"/>
      <c r="U555" s="2"/>
      <c r="V555" s="2"/>
      <c r="W555" s="2"/>
      <c r="X555" s="2"/>
      <c r="Y555" s="2"/>
      <c r="Z555" s="2"/>
    </row>
    <row r="556" spans="1:26" ht="12.75" customHeight="1" x14ac:dyDescent="0.2">
      <c r="A556" s="266"/>
      <c r="B556" s="266"/>
      <c r="C556" s="266"/>
      <c r="D556" s="374"/>
      <c r="E556" s="374"/>
      <c r="F556" s="266"/>
      <c r="G556" s="266"/>
      <c r="H556" s="266"/>
      <c r="I556" s="266"/>
      <c r="J556" s="2"/>
      <c r="K556" s="2"/>
      <c r="L556" s="2"/>
      <c r="M556" s="2"/>
      <c r="N556" s="2"/>
      <c r="O556" s="2"/>
      <c r="P556" s="2"/>
      <c r="Q556" s="2"/>
      <c r="R556" s="2"/>
      <c r="S556" s="2"/>
      <c r="T556" s="2"/>
      <c r="U556" s="2"/>
      <c r="V556" s="2"/>
      <c r="W556" s="2"/>
      <c r="X556" s="2"/>
      <c r="Y556" s="2"/>
      <c r="Z556" s="2"/>
    </row>
    <row r="557" spans="1:26" ht="12.75" customHeight="1" x14ac:dyDescent="0.2">
      <c r="A557" s="266"/>
      <c r="B557" s="266"/>
      <c r="C557" s="266"/>
      <c r="D557" s="374"/>
      <c r="E557" s="374"/>
      <c r="F557" s="266"/>
      <c r="G557" s="266"/>
      <c r="H557" s="266"/>
      <c r="I557" s="266"/>
      <c r="J557" s="2"/>
      <c r="K557" s="2"/>
      <c r="L557" s="2"/>
      <c r="M557" s="2"/>
      <c r="N557" s="2"/>
      <c r="O557" s="2"/>
      <c r="P557" s="2"/>
      <c r="Q557" s="2"/>
      <c r="R557" s="2"/>
      <c r="S557" s="2"/>
      <c r="T557" s="2"/>
      <c r="U557" s="2"/>
      <c r="V557" s="2"/>
      <c r="W557" s="2"/>
      <c r="X557" s="2"/>
      <c r="Y557" s="2"/>
      <c r="Z557" s="2"/>
    </row>
    <row r="558" spans="1:26" ht="12.75" customHeight="1" x14ac:dyDescent="0.2">
      <c r="A558" s="266"/>
      <c r="B558" s="266"/>
      <c r="C558" s="266"/>
      <c r="D558" s="374"/>
      <c r="E558" s="374"/>
      <c r="F558" s="266"/>
      <c r="G558" s="266"/>
      <c r="H558" s="266"/>
      <c r="I558" s="266"/>
      <c r="J558" s="2"/>
      <c r="K558" s="2"/>
      <c r="L558" s="2"/>
      <c r="M558" s="2"/>
      <c r="N558" s="2"/>
      <c r="O558" s="2"/>
      <c r="P558" s="2"/>
      <c r="Q558" s="2"/>
      <c r="R558" s="2"/>
      <c r="S558" s="2"/>
      <c r="T558" s="2"/>
      <c r="U558" s="2"/>
      <c r="V558" s="2"/>
      <c r="W558" s="2"/>
      <c r="X558" s="2"/>
      <c r="Y558" s="2"/>
      <c r="Z558" s="2"/>
    </row>
    <row r="559" spans="1:26" ht="12.75" customHeight="1" x14ac:dyDescent="0.2">
      <c r="A559" s="266"/>
      <c r="B559" s="266"/>
      <c r="C559" s="266"/>
      <c r="D559" s="374"/>
      <c r="E559" s="374"/>
      <c r="F559" s="266"/>
      <c r="G559" s="266"/>
      <c r="H559" s="266"/>
      <c r="I559" s="266"/>
      <c r="J559" s="2"/>
      <c r="K559" s="2"/>
      <c r="L559" s="2"/>
      <c r="M559" s="2"/>
      <c r="N559" s="2"/>
      <c r="O559" s="2"/>
      <c r="P559" s="2"/>
      <c r="Q559" s="2"/>
      <c r="R559" s="2"/>
      <c r="S559" s="2"/>
      <c r="T559" s="2"/>
      <c r="U559" s="2"/>
      <c r="V559" s="2"/>
      <c r="W559" s="2"/>
      <c r="X559" s="2"/>
      <c r="Y559" s="2"/>
      <c r="Z559" s="2"/>
    </row>
    <row r="560" spans="1:26" ht="12.75" customHeight="1" x14ac:dyDescent="0.2">
      <c r="A560" s="266"/>
      <c r="B560" s="266"/>
      <c r="C560" s="266"/>
      <c r="D560" s="374"/>
      <c r="E560" s="374"/>
      <c r="F560" s="266"/>
      <c r="G560" s="266"/>
      <c r="H560" s="266"/>
      <c r="I560" s="266"/>
      <c r="J560" s="2"/>
      <c r="K560" s="2"/>
      <c r="L560" s="2"/>
      <c r="M560" s="2"/>
      <c r="N560" s="2"/>
      <c r="O560" s="2"/>
      <c r="P560" s="2"/>
      <c r="Q560" s="2"/>
      <c r="R560" s="2"/>
      <c r="S560" s="2"/>
      <c r="T560" s="2"/>
      <c r="U560" s="2"/>
      <c r="V560" s="2"/>
      <c r="W560" s="2"/>
      <c r="X560" s="2"/>
      <c r="Y560" s="2"/>
      <c r="Z560" s="2"/>
    </row>
    <row r="561" spans="1:26" ht="12.75" customHeight="1" x14ac:dyDescent="0.2">
      <c r="A561" s="266"/>
      <c r="B561" s="266"/>
      <c r="C561" s="266"/>
      <c r="D561" s="374"/>
      <c r="E561" s="374"/>
      <c r="F561" s="266"/>
      <c r="G561" s="266"/>
      <c r="H561" s="266"/>
      <c r="I561" s="266"/>
      <c r="J561" s="2"/>
      <c r="K561" s="2"/>
      <c r="L561" s="2"/>
      <c r="M561" s="2"/>
      <c r="N561" s="2"/>
      <c r="O561" s="2"/>
      <c r="P561" s="2"/>
      <c r="Q561" s="2"/>
      <c r="R561" s="2"/>
      <c r="S561" s="2"/>
      <c r="T561" s="2"/>
      <c r="U561" s="2"/>
      <c r="V561" s="2"/>
      <c r="W561" s="2"/>
      <c r="X561" s="2"/>
      <c r="Y561" s="2"/>
      <c r="Z561" s="2"/>
    </row>
    <row r="562" spans="1:26" ht="12.75" customHeight="1" x14ac:dyDescent="0.2">
      <c r="A562" s="266"/>
      <c r="B562" s="266"/>
      <c r="C562" s="266"/>
      <c r="D562" s="374"/>
      <c r="E562" s="374"/>
      <c r="F562" s="266"/>
      <c r="G562" s="266"/>
      <c r="H562" s="266"/>
      <c r="I562" s="266"/>
      <c r="J562" s="2"/>
      <c r="K562" s="2"/>
      <c r="L562" s="2"/>
      <c r="M562" s="2"/>
      <c r="N562" s="2"/>
      <c r="O562" s="2"/>
      <c r="P562" s="2"/>
      <c r="Q562" s="2"/>
      <c r="R562" s="2"/>
      <c r="S562" s="2"/>
      <c r="T562" s="2"/>
      <c r="U562" s="2"/>
      <c r="V562" s="2"/>
      <c r="W562" s="2"/>
      <c r="X562" s="2"/>
      <c r="Y562" s="2"/>
      <c r="Z562" s="2"/>
    </row>
    <row r="563" spans="1:26" ht="12.75" customHeight="1" x14ac:dyDescent="0.2">
      <c r="A563" s="266"/>
      <c r="B563" s="266"/>
      <c r="C563" s="266"/>
      <c r="D563" s="374"/>
      <c r="E563" s="374"/>
      <c r="F563" s="266"/>
      <c r="G563" s="266"/>
      <c r="H563" s="266"/>
      <c r="I563" s="266"/>
      <c r="J563" s="2"/>
      <c r="K563" s="2"/>
      <c r="L563" s="2"/>
      <c r="M563" s="2"/>
      <c r="N563" s="2"/>
      <c r="O563" s="2"/>
      <c r="P563" s="2"/>
      <c r="Q563" s="2"/>
      <c r="R563" s="2"/>
      <c r="S563" s="2"/>
      <c r="T563" s="2"/>
      <c r="U563" s="2"/>
      <c r="V563" s="2"/>
      <c r="W563" s="2"/>
      <c r="X563" s="2"/>
      <c r="Y563" s="2"/>
      <c r="Z563" s="2"/>
    </row>
    <row r="564" spans="1:26" ht="12.75" customHeight="1" x14ac:dyDescent="0.2">
      <c r="A564" s="266"/>
      <c r="B564" s="266"/>
      <c r="C564" s="266"/>
      <c r="D564" s="374"/>
      <c r="E564" s="374"/>
      <c r="F564" s="266"/>
      <c r="G564" s="266"/>
      <c r="H564" s="266"/>
      <c r="I564" s="266"/>
      <c r="J564" s="2"/>
      <c r="K564" s="2"/>
      <c r="L564" s="2"/>
      <c r="M564" s="2"/>
      <c r="N564" s="2"/>
      <c r="O564" s="2"/>
      <c r="P564" s="2"/>
      <c r="Q564" s="2"/>
      <c r="R564" s="2"/>
      <c r="S564" s="2"/>
      <c r="T564" s="2"/>
      <c r="U564" s="2"/>
      <c r="V564" s="2"/>
      <c r="W564" s="2"/>
      <c r="X564" s="2"/>
      <c r="Y564" s="2"/>
      <c r="Z564" s="2"/>
    </row>
    <row r="565" spans="1:26" ht="12.75" customHeight="1" x14ac:dyDescent="0.2">
      <c r="A565" s="266"/>
      <c r="B565" s="266"/>
      <c r="C565" s="266"/>
      <c r="D565" s="374"/>
      <c r="E565" s="374"/>
      <c r="F565" s="266"/>
      <c r="G565" s="266"/>
      <c r="H565" s="266"/>
      <c r="I565" s="266"/>
      <c r="J565" s="2"/>
      <c r="K565" s="2"/>
      <c r="L565" s="2"/>
      <c r="M565" s="2"/>
      <c r="N565" s="2"/>
      <c r="O565" s="2"/>
      <c r="P565" s="2"/>
      <c r="Q565" s="2"/>
      <c r="R565" s="2"/>
      <c r="S565" s="2"/>
      <c r="T565" s="2"/>
      <c r="U565" s="2"/>
      <c r="V565" s="2"/>
      <c r="W565" s="2"/>
      <c r="X565" s="2"/>
      <c r="Y565" s="2"/>
      <c r="Z565" s="2"/>
    </row>
    <row r="566" spans="1:26" ht="12.75" customHeight="1" x14ac:dyDescent="0.2">
      <c r="A566" s="266"/>
      <c r="B566" s="266"/>
      <c r="C566" s="266"/>
      <c r="D566" s="374"/>
      <c r="E566" s="374"/>
      <c r="F566" s="266"/>
      <c r="G566" s="266"/>
      <c r="H566" s="266"/>
      <c r="I566" s="266"/>
      <c r="J566" s="2"/>
      <c r="K566" s="2"/>
      <c r="L566" s="2"/>
      <c r="M566" s="2"/>
      <c r="N566" s="2"/>
      <c r="O566" s="2"/>
      <c r="P566" s="2"/>
      <c r="Q566" s="2"/>
      <c r="R566" s="2"/>
      <c r="S566" s="2"/>
      <c r="T566" s="2"/>
      <c r="U566" s="2"/>
      <c r="V566" s="2"/>
      <c r="W566" s="2"/>
      <c r="X566" s="2"/>
      <c r="Y566" s="2"/>
      <c r="Z566" s="2"/>
    </row>
    <row r="567" spans="1:26" ht="12.75" customHeight="1" x14ac:dyDescent="0.2">
      <c r="A567" s="266"/>
      <c r="B567" s="266"/>
      <c r="C567" s="266"/>
      <c r="D567" s="374"/>
      <c r="E567" s="374"/>
      <c r="F567" s="266"/>
      <c r="G567" s="266"/>
      <c r="H567" s="266"/>
      <c r="I567" s="266"/>
      <c r="J567" s="2"/>
      <c r="K567" s="2"/>
      <c r="L567" s="2"/>
      <c r="M567" s="2"/>
      <c r="N567" s="2"/>
      <c r="O567" s="2"/>
      <c r="P567" s="2"/>
      <c r="Q567" s="2"/>
      <c r="R567" s="2"/>
      <c r="S567" s="2"/>
      <c r="T567" s="2"/>
      <c r="U567" s="2"/>
      <c r="V567" s="2"/>
      <c r="W567" s="2"/>
      <c r="X567" s="2"/>
      <c r="Y567" s="2"/>
      <c r="Z567" s="2"/>
    </row>
    <row r="568" spans="1:26" ht="12.75" customHeight="1" x14ac:dyDescent="0.2">
      <c r="A568" s="266"/>
      <c r="B568" s="266"/>
      <c r="C568" s="266"/>
      <c r="D568" s="374"/>
      <c r="E568" s="374"/>
      <c r="F568" s="266"/>
      <c r="G568" s="266"/>
      <c r="H568" s="266"/>
      <c r="I568" s="266"/>
      <c r="J568" s="2"/>
      <c r="K568" s="2"/>
      <c r="L568" s="2"/>
      <c r="M568" s="2"/>
      <c r="N568" s="2"/>
      <c r="O568" s="2"/>
      <c r="P568" s="2"/>
      <c r="Q568" s="2"/>
      <c r="R568" s="2"/>
      <c r="S568" s="2"/>
      <c r="T568" s="2"/>
      <c r="U568" s="2"/>
      <c r="V568" s="2"/>
      <c r="W568" s="2"/>
      <c r="X568" s="2"/>
      <c r="Y568" s="2"/>
      <c r="Z568" s="2"/>
    </row>
    <row r="569" spans="1:26" ht="12.75" customHeight="1" x14ac:dyDescent="0.2">
      <c r="A569" s="266"/>
      <c r="B569" s="266"/>
      <c r="C569" s="266"/>
      <c r="D569" s="374"/>
      <c r="E569" s="374"/>
      <c r="F569" s="266"/>
      <c r="G569" s="266"/>
      <c r="H569" s="266"/>
      <c r="I569" s="266"/>
      <c r="J569" s="2"/>
      <c r="K569" s="2"/>
      <c r="L569" s="2"/>
      <c r="M569" s="2"/>
      <c r="N569" s="2"/>
      <c r="O569" s="2"/>
      <c r="P569" s="2"/>
      <c r="Q569" s="2"/>
      <c r="R569" s="2"/>
      <c r="S569" s="2"/>
      <c r="T569" s="2"/>
      <c r="U569" s="2"/>
      <c r="V569" s="2"/>
      <c r="W569" s="2"/>
      <c r="X569" s="2"/>
      <c r="Y569" s="2"/>
      <c r="Z569" s="2"/>
    </row>
    <row r="570" spans="1:26" ht="12.75" customHeight="1" x14ac:dyDescent="0.2">
      <c r="A570" s="266"/>
      <c r="B570" s="266"/>
      <c r="C570" s="266"/>
      <c r="D570" s="374"/>
      <c r="E570" s="374"/>
      <c r="F570" s="266"/>
      <c r="G570" s="266"/>
      <c r="H570" s="266"/>
      <c r="I570" s="266"/>
      <c r="J570" s="2"/>
      <c r="K570" s="2"/>
      <c r="L570" s="2"/>
      <c r="M570" s="2"/>
      <c r="N570" s="2"/>
      <c r="O570" s="2"/>
      <c r="P570" s="2"/>
      <c r="Q570" s="2"/>
      <c r="R570" s="2"/>
      <c r="S570" s="2"/>
      <c r="T570" s="2"/>
      <c r="U570" s="2"/>
      <c r="V570" s="2"/>
      <c r="W570" s="2"/>
      <c r="X570" s="2"/>
      <c r="Y570" s="2"/>
      <c r="Z570" s="2"/>
    </row>
    <row r="571" spans="1:26" ht="12.75" customHeight="1" x14ac:dyDescent="0.2">
      <c r="A571" s="266"/>
      <c r="B571" s="266"/>
      <c r="C571" s="266"/>
      <c r="D571" s="374"/>
      <c r="E571" s="374"/>
      <c r="F571" s="266"/>
      <c r="G571" s="266"/>
      <c r="H571" s="266"/>
      <c r="I571" s="266"/>
      <c r="J571" s="2"/>
      <c r="K571" s="2"/>
      <c r="L571" s="2"/>
      <c r="M571" s="2"/>
      <c r="N571" s="2"/>
      <c r="O571" s="2"/>
      <c r="P571" s="2"/>
      <c r="Q571" s="2"/>
      <c r="R571" s="2"/>
      <c r="S571" s="2"/>
      <c r="T571" s="2"/>
      <c r="U571" s="2"/>
      <c r="V571" s="2"/>
      <c r="W571" s="2"/>
      <c r="X571" s="2"/>
      <c r="Y571" s="2"/>
      <c r="Z571" s="2"/>
    </row>
    <row r="572" spans="1:26" ht="12.75" customHeight="1" x14ac:dyDescent="0.2">
      <c r="A572" s="266"/>
      <c r="B572" s="266"/>
      <c r="C572" s="266"/>
      <c r="D572" s="374"/>
      <c r="E572" s="374"/>
      <c r="F572" s="266"/>
      <c r="G572" s="266"/>
      <c r="H572" s="266"/>
      <c r="I572" s="266"/>
      <c r="J572" s="2"/>
      <c r="K572" s="2"/>
      <c r="L572" s="2"/>
      <c r="M572" s="2"/>
      <c r="N572" s="2"/>
      <c r="O572" s="2"/>
      <c r="P572" s="2"/>
      <c r="Q572" s="2"/>
      <c r="R572" s="2"/>
      <c r="S572" s="2"/>
      <c r="T572" s="2"/>
      <c r="U572" s="2"/>
      <c r="V572" s="2"/>
      <c r="W572" s="2"/>
      <c r="X572" s="2"/>
      <c r="Y572" s="2"/>
      <c r="Z572" s="2"/>
    </row>
    <row r="573" spans="1:26" ht="12.75" customHeight="1" x14ac:dyDescent="0.2">
      <c r="A573" s="266"/>
      <c r="B573" s="266"/>
      <c r="C573" s="266"/>
      <c r="D573" s="374"/>
      <c r="E573" s="374"/>
      <c r="F573" s="266"/>
      <c r="G573" s="266"/>
      <c r="H573" s="266"/>
      <c r="I573" s="266"/>
      <c r="J573" s="2"/>
      <c r="K573" s="2"/>
      <c r="L573" s="2"/>
      <c r="M573" s="2"/>
      <c r="N573" s="2"/>
      <c r="O573" s="2"/>
      <c r="P573" s="2"/>
      <c r="Q573" s="2"/>
      <c r="R573" s="2"/>
      <c r="S573" s="2"/>
      <c r="T573" s="2"/>
      <c r="U573" s="2"/>
      <c r="V573" s="2"/>
      <c r="W573" s="2"/>
      <c r="X573" s="2"/>
      <c r="Y573" s="2"/>
      <c r="Z573" s="2"/>
    </row>
    <row r="574" spans="1:26" ht="12.75" customHeight="1" x14ac:dyDescent="0.2">
      <c r="A574" s="266"/>
      <c r="B574" s="266"/>
      <c r="C574" s="266"/>
      <c r="D574" s="374"/>
      <c r="E574" s="374"/>
      <c r="F574" s="266"/>
      <c r="G574" s="266"/>
      <c r="H574" s="266"/>
      <c r="I574" s="266"/>
      <c r="J574" s="2"/>
      <c r="K574" s="2"/>
      <c r="L574" s="2"/>
      <c r="M574" s="2"/>
      <c r="N574" s="2"/>
      <c r="O574" s="2"/>
      <c r="P574" s="2"/>
      <c r="Q574" s="2"/>
      <c r="R574" s="2"/>
      <c r="S574" s="2"/>
      <c r="T574" s="2"/>
      <c r="U574" s="2"/>
      <c r="V574" s="2"/>
      <c r="W574" s="2"/>
      <c r="X574" s="2"/>
      <c r="Y574" s="2"/>
      <c r="Z574" s="2"/>
    </row>
    <row r="575" spans="1:26" ht="12.75" customHeight="1" x14ac:dyDescent="0.2">
      <c r="A575" s="266"/>
      <c r="B575" s="266"/>
      <c r="C575" s="266"/>
      <c r="D575" s="374"/>
      <c r="E575" s="374"/>
      <c r="F575" s="266"/>
      <c r="G575" s="266"/>
      <c r="H575" s="266"/>
      <c r="I575" s="266"/>
      <c r="J575" s="2"/>
      <c r="K575" s="2"/>
      <c r="L575" s="2"/>
      <c r="M575" s="2"/>
      <c r="N575" s="2"/>
      <c r="O575" s="2"/>
      <c r="P575" s="2"/>
      <c r="Q575" s="2"/>
      <c r="R575" s="2"/>
      <c r="S575" s="2"/>
      <c r="T575" s="2"/>
      <c r="U575" s="2"/>
      <c r="V575" s="2"/>
      <c r="W575" s="2"/>
      <c r="X575" s="2"/>
      <c r="Y575" s="2"/>
      <c r="Z575" s="2"/>
    </row>
    <row r="576" spans="1:26" ht="12.75" customHeight="1" x14ac:dyDescent="0.2">
      <c r="A576" s="266"/>
      <c r="B576" s="266"/>
      <c r="C576" s="266"/>
      <c r="D576" s="374"/>
      <c r="E576" s="374"/>
      <c r="F576" s="266"/>
      <c r="G576" s="266"/>
      <c r="H576" s="266"/>
      <c r="I576" s="266"/>
      <c r="J576" s="2"/>
      <c r="K576" s="2"/>
      <c r="L576" s="2"/>
      <c r="M576" s="2"/>
      <c r="N576" s="2"/>
      <c r="O576" s="2"/>
      <c r="P576" s="2"/>
      <c r="Q576" s="2"/>
      <c r="R576" s="2"/>
      <c r="S576" s="2"/>
      <c r="T576" s="2"/>
      <c r="U576" s="2"/>
      <c r="V576" s="2"/>
      <c r="W576" s="2"/>
      <c r="X576" s="2"/>
      <c r="Y576" s="2"/>
      <c r="Z576" s="2"/>
    </row>
    <row r="577" spans="1:26" ht="12.75" customHeight="1" x14ac:dyDescent="0.2">
      <c r="A577" s="266"/>
      <c r="B577" s="266"/>
      <c r="C577" s="266"/>
      <c r="D577" s="374"/>
      <c r="E577" s="374"/>
      <c r="F577" s="266"/>
      <c r="G577" s="266"/>
      <c r="H577" s="266"/>
      <c r="I577" s="266"/>
      <c r="J577" s="2"/>
      <c r="K577" s="2"/>
      <c r="L577" s="2"/>
      <c r="M577" s="2"/>
      <c r="N577" s="2"/>
      <c r="O577" s="2"/>
      <c r="P577" s="2"/>
      <c r="Q577" s="2"/>
      <c r="R577" s="2"/>
      <c r="S577" s="2"/>
      <c r="T577" s="2"/>
      <c r="U577" s="2"/>
      <c r="V577" s="2"/>
      <c r="W577" s="2"/>
      <c r="X577" s="2"/>
      <c r="Y577" s="2"/>
      <c r="Z577" s="2"/>
    </row>
    <row r="578" spans="1:26" ht="12.75" customHeight="1" x14ac:dyDescent="0.2">
      <c r="A578" s="266"/>
      <c r="B578" s="266"/>
      <c r="C578" s="266"/>
      <c r="D578" s="374"/>
      <c r="E578" s="374"/>
      <c r="F578" s="266"/>
      <c r="G578" s="266"/>
      <c r="H578" s="266"/>
      <c r="I578" s="266"/>
      <c r="J578" s="2"/>
      <c r="K578" s="2"/>
      <c r="L578" s="2"/>
      <c r="M578" s="2"/>
      <c r="N578" s="2"/>
      <c r="O578" s="2"/>
      <c r="P578" s="2"/>
      <c r="Q578" s="2"/>
      <c r="R578" s="2"/>
      <c r="S578" s="2"/>
      <c r="T578" s="2"/>
      <c r="U578" s="2"/>
      <c r="V578" s="2"/>
      <c r="W578" s="2"/>
      <c r="X578" s="2"/>
      <c r="Y578" s="2"/>
      <c r="Z578" s="2"/>
    </row>
    <row r="579" spans="1:26" ht="12.75" customHeight="1" x14ac:dyDescent="0.2">
      <c r="A579" s="266"/>
      <c r="B579" s="266"/>
      <c r="C579" s="266"/>
      <c r="D579" s="374"/>
      <c r="E579" s="374"/>
      <c r="F579" s="266"/>
      <c r="G579" s="266"/>
      <c r="H579" s="266"/>
      <c r="I579" s="266"/>
      <c r="J579" s="2"/>
      <c r="K579" s="2"/>
      <c r="L579" s="2"/>
      <c r="M579" s="2"/>
      <c r="N579" s="2"/>
      <c r="O579" s="2"/>
      <c r="P579" s="2"/>
      <c r="Q579" s="2"/>
      <c r="R579" s="2"/>
      <c r="S579" s="2"/>
      <c r="T579" s="2"/>
      <c r="U579" s="2"/>
      <c r="V579" s="2"/>
      <c r="W579" s="2"/>
      <c r="X579" s="2"/>
      <c r="Y579" s="2"/>
      <c r="Z579" s="2"/>
    </row>
    <row r="580" spans="1:26" ht="12.75" customHeight="1" x14ac:dyDescent="0.2">
      <c r="A580" s="266"/>
      <c r="B580" s="266"/>
      <c r="C580" s="266"/>
      <c r="D580" s="374"/>
      <c r="E580" s="374"/>
      <c r="F580" s="266"/>
      <c r="G580" s="266"/>
      <c r="H580" s="266"/>
      <c r="I580" s="266"/>
      <c r="J580" s="2"/>
      <c r="K580" s="2"/>
      <c r="L580" s="2"/>
      <c r="M580" s="2"/>
      <c r="N580" s="2"/>
      <c r="O580" s="2"/>
      <c r="P580" s="2"/>
      <c r="Q580" s="2"/>
      <c r="R580" s="2"/>
      <c r="S580" s="2"/>
      <c r="T580" s="2"/>
      <c r="U580" s="2"/>
      <c r="V580" s="2"/>
      <c r="W580" s="2"/>
      <c r="X580" s="2"/>
      <c r="Y580" s="2"/>
      <c r="Z580" s="2"/>
    </row>
    <row r="581" spans="1:26" ht="12.75" customHeight="1" x14ac:dyDescent="0.2">
      <c r="A581" s="266"/>
      <c r="B581" s="266"/>
      <c r="C581" s="266"/>
      <c r="D581" s="374"/>
      <c r="E581" s="374"/>
      <c r="F581" s="266"/>
      <c r="G581" s="266"/>
      <c r="H581" s="266"/>
      <c r="I581" s="266"/>
      <c r="J581" s="2"/>
      <c r="K581" s="2"/>
      <c r="L581" s="2"/>
      <c r="M581" s="2"/>
      <c r="N581" s="2"/>
      <c r="O581" s="2"/>
      <c r="P581" s="2"/>
      <c r="Q581" s="2"/>
      <c r="R581" s="2"/>
      <c r="S581" s="2"/>
      <c r="T581" s="2"/>
      <c r="U581" s="2"/>
      <c r="V581" s="2"/>
      <c r="W581" s="2"/>
      <c r="X581" s="2"/>
      <c r="Y581" s="2"/>
      <c r="Z581" s="2"/>
    </row>
    <row r="582" spans="1:26" ht="12.75" customHeight="1" x14ac:dyDescent="0.2">
      <c r="A582" s="266"/>
      <c r="B582" s="266"/>
      <c r="C582" s="266"/>
      <c r="D582" s="374"/>
      <c r="E582" s="374"/>
      <c r="F582" s="266"/>
      <c r="G582" s="266"/>
      <c r="H582" s="266"/>
      <c r="I582" s="266"/>
      <c r="J582" s="2"/>
      <c r="K582" s="2"/>
      <c r="L582" s="2"/>
      <c r="M582" s="2"/>
      <c r="N582" s="2"/>
      <c r="O582" s="2"/>
      <c r="P582" s="2"/>
      <c r="Q582" s="2"/>
      <c r="R582" s="2"/>
      <c r="S582" s="2"/>
      <c r="T582" s="2"/>
      <c r="U582" s="2"/>
      <c r="V582" s="2"/>
      <c r="W582" s="2"/>
      <c r="X582" s="2"/>
      <c r="Y582" s="2"/>
      <c r="Z582" s="2"/>
    </row>
    <row r="583" spans="1:26" ht="12.75" customHeight="1" x14ac:dyDescent="0.2">
      <c r="A583" s="266"/>
      <c r="B583" s="266"/>
      <c r="C583" s="266"/>
      <c r="D583" s="374"/>
      <c r="E583" s="374"/>
      <c r="F583" s="266"/>
      <c r="G583" s="266"/>
      <c r="H583" s="266"/>
      <c r="I583" s="266"/>
      <c r="J583" s="2"/>
      <c r="K583" s="2"/>
      <c r="L583" s="2"/>
      <c r="M583" s="2"/>
      <c r="N583" s="2"/>
      <c r="O583" s="2"/>
      <c r="P583" s="2"/>
      <c r="Q583" s="2"/>
      <c r="R583" s="2"/>
      <c r="S583" s="2"/>
      <c r="T583" s="2"/>
      <c r="U583" s="2"/>
      <c r="V583" s="2"/>
      <c r="W583" s="2"/>
      <c r="X583" s="2"/>
      <c r="Y583" s="2"/>
      <c r="Z583" s="2"/>
    </row>
    <row r="584" spans="1:26" ht="12.75" customHeight="1" x14ac:dyDescent="0.2">
      <c r="A584" s="266"/>
      <c r="B584" s="266"/>
      <c r="C584" s="266"/>
      <c r="D584" s="374"/>
      <c r="E584" s="374"/>
      <c r="F584" s="266"/>
      <c r="G584" s="266"/>
      <c r="H584" s="266"/>
      <c r="I584" s="266"/>
      <c r="J584" s="2"/>
      <c r="K584" s="2"/>
      <c r="L584" s="2"/>
      <c r="M584" s="2"/>
      <c r="N584" s="2"/>
      <c r="O584" s="2"/>
      <c r="P584" s="2"/>
      <c r="Q584" s="2"/>
      <c r="R584" s="2"/>
      <c r="S584" s="2"/>
      <c r="T584" s="2"/>
      <c r="U584" s="2"/>
      <c r="V584" s="2"/>
      <c r="W584" s="2"/>
      <c r="X584" s="2"/>
      <c r="Y584" s="2"/>
      <c r="Z584" s="2"/>
    </row>
    <row r="585" spans="1:26" ht="12.75" customHeight="1" x14ac:dyDescent="0.2">
      <c r="A585" s="266"/>
      <c r="B585" s="266"/>
      <c r="C585" s="266"/>
      <c r="D585" s="374"/>
      <c r="E585" s="374"/>
      <c r="F585" s="266"/>
      <c r="G585" s="266"/>
      <c r="H585" s="266"/>
      <c r="I585" s="266"/>
      <c r="J585" s="2"/>
      <c r="K585" s="2"/>
      <c r="L585" s="2"/>
      <c r="M585" s="2"/>
      <c r="N585" s="2"/>
      <c r="O585" s="2"/>
      <c r="P585" s="2"/>
      <c r="Q585" s="2"/>
      <c r="R585" s="2"/>
      <c r="S585" s="2"/>
      <c r="T585" s="2"/>
      <c r="U585" s="2"/>
      <c r="V585" s="2"/>
      <c r="W585" s="2"/>
      <c r="X585" s="2"/>
      <c r="Y585" s="2"/>
      <c r="Z585" s="2"/>
    </row>
    <row r="586" spans="1:26" ht="12.75" customHeight="1" x14ac:dyDescent="0.2">
      <c r="A586" s="266"/>
      <c r="B586" s="266"/>
      <c r="C586" s="266"/>
      <c r="D586" s="374"/>
      <c r="E586" s="374"/>
      <c r="F586" s="266"/>
      <c r="G586" s="266"/>
      <c r="H586" s="266"/>
      <c r="I586" s="266"/>
      <c r="J586" s="2"/>
      <c r="K586" s="2"/>
      <c r="L586" s="2"/>
      <c r="M586" s="2"/>
      <c r="N586" s="2"/>
      <c r="O586" s="2"/>
      <c r="P586" s="2"/>
      <c r="Q586" s="2"/>
      <c r="R586" s="2"/>
      <c r="S586" s="2"/>
      <c r="T586" s="2"/>
      <c r="U586" s="2"/>
      <c r="V586" s="2"/>
      <c r="W586" s="2"/>
      <c r="X586" s="2"/>
      <c r="Y586" s="2"/>
      <c r="Z586" s="2"/>
    </row>
    <row r="587" spans="1:26" ht="12.75" customHeight="1" x14ac:dyDescent="0.2">
      <c r="A587" s="266"/>
      <c r="B587" s="266"/>
      <c r="C587" s="266"/>
      <c r="D587" s="374"/>
      <c r="E587" s="374"/>
      <c r="F587" s="266"/>
      <c r="G587" s="266"/>
      <c r="H587" s="266"/>
      <c r="I587" s="266"/>
      <c r="J587" s="2"/>
      <c r="K587" s="2"/>
      <c r="L587" s="2"/>
      <c r="M587" s="2"/>
      <c r="N587" s="2"/>
      <c r="O587" s="2"/>
      <c r="P587" s="2"/>
      <c r="Q587" s="2"/>
      <c r="R587" s="2"/>
      <c r="S587" s="2"/>
      <c r="T587" s="2"/>
      <c r="U587" s="2"/>
      <c r="V587" s="2"/>
      <c r="W587" s="2"/>
      <c r="X587" s="2"/>
      <c r="Y587" s="2"/>
      <c r="Z587" s="2"/>
    </row>
    <row r="588" spans="1:26" ht="12.75" customHeight="1" x14ac:dyDescent="0.2">
      <c r="A588" s="266"/>
      <c r="B588" s="266"/>
      <c r="C588" s="266"/>
      <c r="D588" s="374"/>
      <c r="E588" s="374"/>
      <c r="F588" s="266"/>
      <c r="G588" s="266"/>
      <c r="H588" s="266"/>
      <c r="I588" s="266"/>
      <c r="J588" s="2"/>
      <c r="K588" s="2"/>
      <c r="L588" s="2"/>
      <c r="M588" s="2"/>
      <c r="N588" s="2"/>
      <c r="O588" s="2"/>
      <c r="P588" s="2"/>
      <c r="Q588" s="2"/>
      <c r="R588" s="2"/>
      <c r="S588" s="2"/>
      <c r="T588" s="2"/>
      <c r="U588" s="2"/>
      <c r="V588" s="2"/>
      <c r="W588" s="2"/>
      <c r="X588" s="2"/>
      <c r="Y588" s="2"/>
      <c r="Z588" s="2"/>
    </row>
    <row r="589" spans="1:26" ht="12.75" customHeight="1" x14ac:dyDescent="0.2">
      <c r="A589" s="266"/>
      <c r="B589" s="266"/>
      <c r="C589" s="266"/>
      <c r="D589" s="374"/>
      <c r="E589" s="374"/>
      <c r="F589" s="266"/>
      <c r="G589" s="266"/>
      <c r="H589" s="266"/>
      <c r="I589" s="266"/>
      <c r="J589" s="2"/>
      <c r="K589" s="2"/>
      <c r="L589" s="2"/>
      <c r="M589" s="2"/>
      <c r="N589" s="2"/>
      <c r="O589" s="2"/>
      <c r="P589" s="2"/>
      <c r="Q589" s="2"/>
      <c r="R589" s="2"/>
      <c r="S589" s="2"/>
      <c r="T589" s="2"/>
      <c r="U589" s="2"/>
      <c r="V589" s="2"/>
      <c r="W589" s="2"/>
      <c r="X589" s="2"/>
      <c r="Y589" s="2"/>
      <c r="Z589" s="2"/>
    </row>
    <row r="590" spans="1:26" ht="12.75" customHeight="1" x14ac:dyDescent="0.2">
      <c r="A590" s="266"/>
      <c r="B590" s="266"/>
      <c r="C590" s="266"/>
      <c r="D590" s="374"/>
      <c r="E590" s="374"/>
      <c r="F590" s="266"/>
      <c r="G590" s="266"/>
      <c r="H590" s="266"/>
      <c r="I590" s="266"/>
      <c r="J590" s="2"/>
      <c r="K590" s="2"/>
      <c r="L590" s="2"/>
      <c r="M590" s="2"/>
      <c r="N590" s="2"/>
      <c r="O590" s="2"/>
      <c r="P590" s="2"/>
      <c r="Q590" s="2"/>
      <c r="R590" s="2"/>
      <c r="S590" s="2"/>
      <c r="T590" s="2"/>
      <c r="U590" s="2"/>
      <c r="V590" s="2"/>
      <c r="W590" s="2"/>
      <c r="X590" s="2"/>
      <c r="Y590" s="2"/>
      <c r="Z590" s="2"/>
    </row>
    <row r="591" spans="1:26" ht="12.75" customHeight="1" x14ac:dyDescent="0.2">
      <c r="A591" s="266"/>
      <c r="B591" s="266"/>
      <c r="C591" s="266"/>
      <c r="D591" s="374"/>
      <c r="E591" s="374"/>
      <c r="F591" s="266"/>
      <c r="G591" s="266"/>
      <c r="H591" s="266"/>
      <c r="I591" s="266"/>
      <c r="J591" s="2"/>
      <c r="K591" s="2"/>
      <c r="L591" s="2"/>
      <c r="M591" s="2"/>
      <c r="N591" s="2"/>
      <c r="O591" s="2"/>
      <c r="P591" s="2"/>
      <c r="Q591" s="2"/>
      <c r="R591" s="2"/>
      <c r="S591" s="2"/>
      <c r="T591" s="2"/>
      <c r="U591" s="2"/>
      <c r="V591" s="2"/>
      <c r="W591" s="2"/>
      <c r="X591" s="2"/>
      <c r="Y591" s="2"/>
      <c r="Z591" s="2"/>
    </row>
    <row r="592" spans="1:26" ht="12.75" customHeight="1" x14ac:dyDescent="0.2">
      <c r="A592" s="266"/>
      <c r="B592" s="266"/>
      <c r="C592" s="266"/>
      <c r="D592" s="374"/>
      <c r="E592" s="374"/>
      <c r="F592" s="266"/>
      <c r="G592" s="266"/>
      <c r="H592" s="266"/>
      <c r="I592" s="266"/>
      <c r="J592" s="2"/>
      <c r="K592" s="2"/>
      <c r="L592" s="2"/>
      <c r="M592" s="2"/>
      <c r="N592" s="2"/>
      <c r="O592" s="2"/>
      <c r="P592" s="2"/>
      <c r="Q592" s="2"/>
      <c r="R592" s="2"/>
      <c r="S592" s="2"/>
      <c r="T592" s="2"/>
      <c r="U592" s="2"/>
      <c r="V592" s="2"/>
      <c r="W592" s="2"/>
      <c r="X592" s="2"/>
      <c r="Y592" s="2"/>
      <c r="Z592" s="2"/>
    </row>
    <row r="593" spans="1:26" ht="12.75" customHeight="1" x14ac:dyDescent="0.2">
      <c r="A593" s="266"/>
      <c r="B593" s="266"/>
      <c r="C593" s="266"/>
      <c r="D593" s="374"/>
      <c r="E593" s="374"/>
      <c r="F593" s="266"/>
      <c r="G593" s="266"/>
      <c r="H593" s="266"/>
      <c r="I593" s="266"/>
      <c r="J593" s="2"/>
      <c r="K593" s="2"/>
      <c r="L593" s="2"/>
      <c r="M593" s="2"/>
      <c r="N593" s="2"/>
      <c r="O593" s="2"/>
      <c r="P593" s="2"/>
      <c r="Q593" s="2"/>
      <c r="R593" s="2"/>
      <c r="S593" s="2"/>
      <c r="T593" s="2"/>
      <c r="U593" s="2"/>
      <c r="V593" s="2"/>
      <c r="W593" s="2"/>
      <c r="X593" s="2"/>
      <c r="Y593" s="2"/>
      <c r="Z593" s="2"/>
    </row>
    <row r="594" spans="1:26" ht="12.75" customHeight="1" x14ac:dyDescent="0.2">
      <c r="A594" s="266"/>
      <c r="B594" s="266"/>
      <c r="C594" s="266"/>
      <c r="D594" s="374"/>
      <c r="E594" s="374"/>
      <c r="F594" s="266"/>
      <c r="G594" s="266"/>
      <c r="H594" s="266"/>
      <c r="I594" s="266"/>
      <c r="J594" s="2"/>
      <c r="K594" s="2"/>
      <c r="L594" s="2"/>
      <c r="M594" s="2"/>
      <c r="N594" s="2"/>
      <c r="O594" s="2"/>
      <c r="P594" s="2"/>
      <c r="Q594" s="2"/>
      <c r="R594" s="2"/>
      <c r="S594" s="2"/>
      <c r="T594" s="2"/>
      <c r="U594" s="2"/>
      <c r="V594" s="2"/>
      <c r="W594" s="2"/>
      <c r="X594" s="2"/>
      <c r="Y594" s="2"/>
      <c r="Z594" s="2"/>
    </row>
    <row r="595" spans="1:26" ht="12.75" customHeight="1" x14ac:dyDescent="0.2">
      <c r="A595" s="266"/>
      <c r="B595" s="266"/>
      <c r="C595" s="266"/>
      <c r="D595" s="374"/>
      <c r="E595" s="374"/>
      <c r="F595" s="266"/>
      <c r="G595" s="266"/>
      <c r="H595" s="266"/>
      <c r="I595" s="266"/>
      <c r="J595" s="2"/>
      <c r="K595" s="2"/>
      <c r="L595" s="2"/>
      <c r="M595" s="2"/>
      <c r="N595" s="2"/>
      <c r="O595" s="2"/>
      <c r="P595" s="2"/>
      <c r="Q595" s="2"/>
      <c r="R595" s="2"/>
      <c r="S595" s="2"/>
      <c r="T595" s="2"/>
      <c r="U595" s="2"/>
      <c r="V595" s="2"/>
      <c r="W595" s="2"/>
      <c r="X595" s="2"/>
      <c r="Y595" s="2"/>
      <c r="Z595" s="2"/>
    </row>
    <row r="596" spans="1:26" ht="12.75" customHeight="1" x14ac:dyDescent="0.2">
      <c r="A596" s="266"/>
      <c r="B596" s="266"/>
      <c r="C596" s="266"/>
      <c r="D596" s="374"/>
      <c r="E596" s="374"/>
      <c r="F596" s="266"/>
      <c r="G596" s="266"/>
      <c r="H596" s="266"/>
      <c r="I596" s="266"/>
      <c r="J596" s="2"/>
      <c r="K596" s="2"/>
      <c r="L596" s="2"/>
      <c r="M596" s="2"/>
      <c r="N596" s="2"/>
      <c r="O596" s="2"/>
      <c r="P596" s="2"/>
      <c r="Q596" s="2"/>
      <c r="R596" s="2"/>
      <c r="S596" s="2"/>
      <c r="T596" s="2"/>
      <c r="U596" s="2"/>
      <c r="V596" s="2"/>
      <c r="W596" s="2"/>
      <c r="X596" s="2"/>
      <c r="Y596" s="2"/>
      <c r="Z596" s="2"/>
    </row>
    <row r="597" spans="1:26" ht="12.75" customHeight="1" x14ac:dyDescent="0.2">
      <c r="A597" s="266"/>
      <c r="B597" s="266"/>
      <c r="C597" s="266"/>
      <c r="D597" s="374"/>
      <c r="E597" s="374"/>
      <c r="F597" s="266"/>
      <c r="G597" s="266"/>
      <c r="H597" s="266"/>
      <c r="I597" s="266"/>
      <c r="J597" s="2"/>
      <c r="K597" s="2"/>
      <c r="L597" s="2"/>
      <c r="M597" s="2"/>
      <c r="N597" s="2"/>
      <c r="O597" s="2"/>
      <c r="P597" s="2"/>
      <c r="Q597" s="2"/>
      <c r="R597" s="2"/>
      <c r="S597" s="2"/>
      <c r="T597" s="2"/>
      <c r="U597" s="2"/>
      <c r="V597" s="2"/>
      <c r="W597" s="2"/>
      <c r="X597" s="2"/>
      <c r="Y597" s="2"/>
      <c r="Z597" s="2"/>
    </row>
    <row r="598" spans="1:26" ht="12.75" customHeight="1" x14ac:dyDescent="0.2">
      <c r="A598" s="266"/>
      <c r="B598" s="266"/>
      <c r="C598" s="266"/>
      <c r="D598" s="374"/>
      <c r="E598" s="374"/>
      <c r="F598" s="266"/>
      <c r="G598" s="266"/>
      <c r="H598" s="266"/>
      <c r="I598" s="266"/>
      <c r="J598" s="2"/>
      <c r="K598" s="2"/>
      <c r="L598" s="2"/>
      <c r="M598" s="2"/>
      <c r="N598" s="2"/>
      <c r="O598" s="2"/>
      <c r="P598" s="2"/>
      <c r="Q598" s="2"/>
      <c r="R598" s="2"/>
      <c r="S598" s="2"/>
      <c r="T598" s="2"/>
      <c r="U598" s="2"/>
      <c r="V598" s="2"/>
      <c r="W598" s="2"/>
      <c r="X598" s="2"/>
      <c r="Y598" s="2"/>
      <c r="Z598" s="2"/>
    </row>
    <row r="599" spans="1:26" ht="12.75" customHeight="1" x14ac:dyDescent="0.2">
      <c r="A599" s="266"/>
      <c r="B599" s="266"/>
      <c r="C599" s="266"/>
      <c r="D599" s="374"/>
      <c r="E599" s="374"/>
      <c r="F599" s="266"/>
      <c r="G599" s="266"/>
      <c r="H599" s="266"/>
      <c r="I599" s="266"/>
      <c r="J599" s="2"/>
      <c r="K599" s="2"/>
      <c r="L599" s="2"/>
      <c r="M599" s="2"/>
      <c r="N599" s="2"/>
      <c r="O599" s="2"/>
      <c r="P599" s="2"/>
      <c r="Q599" s="2"/>
      <c r="R599" s="2"/>
      <c r="S599" s="2"/>
      <c r="T599" s="2"/>
      <c r="U599" s="2"/>
      <c r="V599" s="2"/>
      <c r="W599" s="2"/>
      <c r="X599" s="2"/>
      <c r="Y599" s="2"/>
      <c r="Z599" s="2"/>
    </row>
    <row r="600" spans="1:26" ht="12.75" customHeight="1" x14ac:dyDescent="0.2">
      <c r="A600" s="266"/>
      <c r="B600" s="266"/>
      <c r="C600" s="266"/>
      <c r="D600" s="374"/>
      <c r="E600" s="374"/>
      <c r="F600" s="266"/>
      <c r="G600" s="266"/>
      <c r="H600" s="266"/>
      <c r="I600" s="266"/>
      <c r="J600" s="2"/>
      <c r="K600" s="2"/>
      <c r="L600" s="2"/>
      <c r="M600" s="2"/>
      <c r="N600" s="2"/>
      <c r="O600" s="2"/>
      <c r="P600" s="2"/>
      <c r="Q600" s="2"/>
      <c r="R600" s="2"/>
      <c r="S600" s="2"/>
      <c r="T600" s="2"/>
      <c r="U600" s="2"/>
      <c r="V600" s="2"/>
      <c r="W600" s="2"/>
      <c r="X600" s="2"/>
      <c r="Y600" s="2"/>
      <c r="Z600" s="2"/>
    </row>
    <row r="601" spans="1:26" ht="12.75" customHeight="1" x14ac:dyDescent="0.2">
      <c r="A601" s="266"/>
      <c r="B601" s="266"/>
      <c r="C601" s="266"/>
      <c r="D601" s="374"/>
      <c r="E601" s="374"/>
      <c r="F601" s="266"/>
      <c r="G601" s="266"/>
      <c r="H601" s="266"/>
      <c r="I601" s="266"/>
      <c r="J601" s="2"/>
      <c r="K601" s="2"/>
      <c r="L601" s="2"/>
      <c r="M601" s="2"/>
      <c r="N601" s="2"/>
      <c r="O601" s="2"/>
      <c r="P601" s="2"/>
      <c r="Q601" s="2"/>
      <c r="R601" s="2"/>
      <c r="S601" s="2"/>
      <c r="T601" s="2"/>
      <c r="U601" s="2"/>
      <c r="V601" s="2"/>
      <c r="W601" s="2"/>
      <c r="X601" s="2"/>
      <c r="Y601" s="2"/>
      <c r="Z601" s="2"/>
    </row>
    <row r="602" spans="1:26" ht="12.75" customHeight="1" x14ac:dyDescent="0.2">
      <c r="A602" s="266"/>
      <c r="B602" s="266"/>
      <c r="C602" s="266"/>
      <c r="D602" s="374"/>
      <c r="E602" s="374"/>
      <c r="F602" s="266"/>
      <c r="G602" s="266"/>
      <c r="H602" s="266"/>
      <c r="I602" s="266"/>
      <c r="J602" s="2"/>
      <c r="K602" s="2"/>
      <c r="L602" s="2"/>
      <c r="M602" s="2"/>
      <c r="N602" s="2"/>
      <c r="O602" s="2"/>
      <c r="P602" s="2"/>
      <c r="Q602" s="2"/>
      <c r="R602" s="2"/>
      <c r="S602" s="2"/>
      <c r="T602" s="2"/>
      <c r="U602" s="2"/>
      <c r="V602" s="2"/>
      <c r="W602" s="2"/>
      <c r="X602" s="2"/>
      <c r="Y602" s="2"/>
      <c r="Z602" s="2"/>
    </row>
    <row r="603" spans="1:26" ht="12.75" customHeight="1" x14ac:dyDescent="0.2">
      <c r="A603" s="266"/>
      <c r="B603" s="266"/>
      <c r="C603" s="266"/>
      <c r="D603" s="374"/>
      <c r="E603" s="374"/>
      <c r="F603" s="266"/>
      <c r="G603" s="266"/>
      <c r="H603" s="266"/>
      <c r="I603" s="266"/>
      <c r="J603" s="2"/>
      <c r="K603" s="2"/>
      <c r="L603" s="2"/>
      <c r="M603" s="2"/>
      <c r="N603" s="2"/>
      <c r="O603" s="2"/>
      <c r="P603" s="2"/>
      <c r="Q603" s="2"/>
      <c r="R603" s="2"/>
      <c r="S603" s="2"/>
      <c r="T603" s="2"/>
      <c r="U603" s="2"/>
      <c r="V603" s="2"/>
      <c r="W603" s="2"/>
      <c r="X603" s="2"/>
      <c r="Y603" s="2"/>
      <c r="Z603" s="2"/>
    </row>
    <row r="604" spans="1:26" ht="12.75" customHeight="1" x14ac:dyDescent="0.2">
      <c r="A604" s="266"/>
      <c r="B604" s="266"/>
      <c r="C604" s="266"/>
      <c r="D604" s="374"/>
      <c r="E604" s="374"/>
      <c r="F604" s="266"/>
      <c r="G604" s="266"/>
      <c r="H604" s="266"/>
      <c r="I604" s="266"/>
      <c r="J604" s="2"/>
      <c r="K604" s="2"/>
      <c r="L604" s="2"/>
      <c r="M604" s="2"/>
      <c r="N604" s="2"/>
      <c r="O604" s="2"/>
      <c r="P604" s="2"/>
      <c r="Q604" s="2"/>
      <c r="R604" s="2"/>
      <c r="S604" s="2"/>
      <c r="T604" s="2"/>
      <c r="U604" s="2"/>
      <c r="V604" s="2"/>
      <c r="W604" s="2"/>
      <c r="X604" s="2"/>
      <c r="Y604" s="2"/>
      <c r="Z604" s="2"/>
    </row>
    <row r="605" spans="1:26" ht="12.75" customHeight="1" x14ac:dyDescent="0.2">
      <c r="A605" s="266"/>
      <c r="B605" s="266"/>
      <c r="C605" s="266"/>
      <c r="D605" s="374"/>
      <c r="E605" s="374"/>
      <c r="F605" s="266"/>
      <c r="G605" s="266"/>
      <c r="H605" s="266"/>
      <c r="I605" s="266"/>
      <c r="J605" s="2"/>
      <c r="K605" s="2"/>
      <c r="L605" s="2"/>
      <c r="M605" s="2"/>
      <c r="N605" s="2"/>
      <c r="O605" s="2"/>
      <c r="P605" s="2"/>
      <c r="Q605" s="2"/>
      <c r="R605" s="2"/>
      <c r="S605" s="2"/>
      <c r="T605" s="2"/>
      <c r="U605" s="2"/>
      <c r="V605" s="2"/>
      <c r="W605" s="2"/>
      <c r="X605" s="2"/>
      <c r="Y605" s="2"/>
      <c r="Z605" s="2"/>
    </row>
    <row r="606" spans="1:26" ht="12.75" customHeight="1" x14ac:dyDescent="0.2">
      <c r="A606" s="266"/>
      <c r="B606" s="266"/>
      <c r="C606" s="266"/>
      <c r="D606" s="374"/>
      <c r="E606" s="374"/>
      <c r="F606" s="266"/>
      <c r="G606" s="266"/>
      <c r="H606" s="266"/>
      <c r="I606" s="266"/>
      <c r="J606" s="2"/>
      <c r="K606" s="2"/>
      <c r="L606" s="2"/>
      <c r="M606" s="2"/>
      <c r="N606" s="2"/>
      <c r="O606" s="2"/>
      <c r="P606" s="2"/>
      <c r="Q606" s="2"/>
      <c r="R606" s="2"/>
      <c r="S606" s="2"/>
      <c r="T606" s="2"/>
      <c r="U606" s="2"/>
      <c r="V606" s="2"/>
      <c r="W606" s="2"/>
      <c r="X606" s="2"/>
      <c r="Y606" s="2"/>
      <c r="Z606" s="2"/>
    </row>
    <row r="607" spans="1:26" ht="12.75" customHeight="1" x14ac:dyDescent="0.2">
      <c r="A607" s="266"/>
      <c r="B607" s="266"/>
      <c r="C607" s="266"/>
      <c r="D607" s="374"/>
      <c r="E607" s="374"/>
      <c r="F607" s="266"/>
      <c r="G607" s="266"/>
      <c r="H607" s="266"/>
      <c r="I607" s="266"/>
      <c r="J607" s="2"/>
      <c r="K607" s="2"/>
      <c r="L607" s="2"/>
      <c r="M607" s="2"/>
      <c r="N607" s="2"/>
      <c r="O607" s="2"/>
      <c r="P607" s="2"/>
      <c r="Q607" s="2"/>
      <c r="R607" s="2"/>
      <c r="S607" s="2"/>
      <c r="T607" s="2"/>
      <c r="U607" s="2"/>
      <c r="V607" s="2"/>
      <c r="W607" s="2"/>
      <c r="X607" s="2"/>
      <c r="Y607" s="2"/>
      <c r="Z607" s="2"/>
    </row>
    <row r="608" spans="1:26" ht="12.75" customHeight="1" x14ac:dyDescent="0.2">
      <c r="A608" s="266"/>
      <c r="B608" s="266"/>
      <c r="C608" s="266"/>
      <c r="D608" s="374"/>
      <c r="E608" s="374"/>
      <c r="F608" s="266"/>
      <c r="G608" s="266"/>
      <c r="H608" s="266"/>
      <c r="I608" s="266"/>
      <c r="J608" s="2"/>
      <c r="K608" s="2"/>
      <c r="L608" s="2"/>
      <c r="M608" s="2"/>
      <c r="N608" s="2"/>
      <c r="O608" s="2"/>
      <c r="P608" s="2"/>
      <c r="Q608" s="2"/>
      <c r="R608" s="2"/>
      <c r="S608" s="2"/>
      <c r="T608" s="2"/>
      <c r="U608" s="2"/>
      <c r="V608" s="2"/>
      <c r="W608" s="2"/>
      <c r="X608" s="2"/>
      <c r="Y608" s="2"/>
      <c r="Z608" s="2"/>
    </row>
    <row r="609" spans="1:26" ht="12.75" customHeight="1" x14ac:dyDescent="0.2">
      <c r="A609" s="266"/>
      <c r="B609" s="266"/>
      <c r="C609" s="266"/>
      <c r="D609" s="374"/>
      <c r="E609" s="374"/>
      <c r="F609" s="266"/>
      <c r="G609" s="266"/>
      <c r="H609" s="266"/>
      <c r="I609" s="266"/>
      <c r="J609" s="2"/>
      <c r="K609" s="2"/>
      <c r="L609" s="2"/>
      <c r="M609" s="2"/>
      <c r="N609" s="2"/>
      <c r="O609" s="2"/>
      <c r="P609" s="2"/>
      <c r="Q609" s="2"/>
      <c r="R609" s="2"/>
      <c r="S609" s="2"/>
      <c r="T609" s="2"/>
      <c r="U609" s="2"/>
      <c r="V609" s="2"/>
      <c r="W609" s="2"/>
      <c r="X609" s="2"/>
      <c r="Y609" s="2"/>
      <c r="Z609" s="2"/>
    </row>
    <row r="610" spans="1:26" ht="12.75" customHeight="1" x14ac:dyDescent="0.2">
      <c r="A610" s="266"/>
      <c r="B610" s="266"/>
      <c r="C610" s="266"/>
      <c r="D610" s="374"/>
      <c r="E610" s="374"/>
      <c r="F610" s="266"/>
      <c r="G610" s="266"/>
      <c r="H610" s="266"/>
      <c r="I610" s="266"/>
      <c r="J610" s="2"/>
      <c r="K610" s="2"/>
      <c r="L610" s="2"/>
      <c r="M610" s="2"/>
      <c r="N610" s="2"/>
      <c r="O610" s="2"/>
      <c r="P610" s="2"/>
      <c r="Q610" s="2"/>
      <c r="R610" s="2"/>
      <c r="S610" s="2"/>
      <c r="T610" s="2"/>
      <c r="U610" s="2"/>
      <c r="V610" s="2"/>
      <c r="W610" s="2"/>
      <c r="X610" s="2"/>
      <c r="Y610" s="2"/>
      <c r="Z610" s="2"/>
    </row>
    <row r="611" spans="1:26" ht="12.75" customHeight="1" x14ac:dyDescent="0.2">
      <c r="A611" s="266"/>
      <c r="B611" s="266"/>
      <c r="C611" s="266"/>
      <c r="D611" s="374"/>
      <c r="E611" s="374"/>
      <c r="F611" s="266"/>
      <c r="G611" s="266"/>
      <c r="H611" s="266"/>
      <c r="I611" s="266"/>
      <c r="J611" s="2"/>
      <c r="K611" s="2"/>
      <c r="L611" s="2"/>
      <c r="M611" s="2"/>
      <c r="N611" s="2"/>
      <c r="O611" s="2"/>
      <c r="P611" s="2"/>
      <c r="Q611" s="2"/>
      <c r="R611" s="2"/>
      <c r="S611" s="2"/>
      <c r="T611" s="2"/>
      <c r="U611" s="2"/>
      <c r="V611" s="2"/>
      <c r="W611" s="2"/>
      <c r="X611" s="2"/>
      <c r="Y611" s="2"/>
      <c r="Z611" s="2"/>
    </row>
    <row r="612" spans="1:26" ht="12.75" customHeight="1" x14ac:dyDescent="0.2">
      <c r="A612" s="266"/>
      <c r="B612" s="266"/>
      <c r="C612" s="266"/>
      <c r="D612" s="374"/>
      <c r="E612" s="374"/>
      <c r="F612" s="266"/>
      <c r="G612" s="266"/>
      <c r="H612" s="266"/>
      <c r="I612" s="266"/>
      <c r="J612" s="2"/>
      <c r="K612" s="2"/>
      <c r="L612" s="2"/>
      <c r="M612" s="2"/>
      <c r="N612" s="2"/>
      <c r="O612" s="2"/>
      <c r="P612" s="2"/>
      <c r="Q612" s="2"/>
      <c r="R612" s="2"/>
      <c r="S612" s="2"/>
      <c r="T612" s="2"/>
      <c r="U612" s="2"/>
      <c r="V612" s="2"/>
      <c r="W612" s="2"/>
      <c r="X612" s="2"/>
      <c r="Y612" s="2"/>
      <c r="Z612" s="2"/>
    </row>
    <row r="613" spans="1:26" ht="12.75" customHeight="1" x14ac:dyDescent="0.2">
      <c r="A613" s="266"/>
      <c r="B613" s="266"/>
      <c r="C613" s="266"/>
      <c r="D613" s="374"/>
      <c r="E613" s="374"/>
      <c r="F613" s="266"/>
      <c r="G613" s="266"/>
      <c r="H613" s="266"/>
      <c r="I613" s="266"/>
      <c r="J613" s="2"/>
      <c r="K613" s="2"/>
      <c r="L613" s="2"/>
      <c r="M613" s="2"/>
      <c r="N613" s="2"/>
      <c r="O613" s="2"/>
      <c r="P613" s="2"/>
      <c r="Q613" s="2"/>
      <c r="R613" s="2"/>
      <c r="S613" s="2"/>
      <c r="T613" s="2"/>
      <c r="U613" s="2"/>
      <c r="V613" s="2"/>
      <c r="W613" s="2"/>
      <c r="X613" s="2"/>
      <c r="Y613" s="2"/>
      <c r="Z613" s="2"/>
    </row>
    <row r="614" spans="1:26" ht="12.75" customHeight="1" x14ac:dyDescent="0.2">
      <c r="A614" s="266"/>
      <c r="B614" s="266"/>
      <c r="C614" s="266"/>
      <c r="D614" s="374"/>
      <c r="E614" s="374"/>
      <c r="F614" s="266"/>
      <c r="G614" s="266"/>
      <c r="H614" s="266"/>
      <c r="I614" s="266"/>
      <c r="J614" s="2"/>
      <c r="K614" s="2"/>
      <c r="L614" s="2"/>
      <c r="M614" s="2"/>
      <c r="N614" s="2"/>
      <c r="O614" s="2"/>
      <c r="P614" s="2"/>
      <c r="Q614" s="2"/>
      <c r="R614" s="2"/>
      <c r="S614" s="2"/>
      <c r="T614" s="2"/>
      <c r="U614" s="2"/>
      <c r="V614" s="2"/>
      <c r="W614" s="2"/>
      <c r="X614" s="2"/>
      <c r="Y614" s="2"/>
      <c r="Z614" s="2"/>
    </row>
    <row r="615" spans="1:26" ht="12.75" customHeight="1" x14ac:dyDescent="0.2">
      <c r="A615" s="266"/>
      <c r="B615" s="266"/>
      <c r="C615" s="266"/>
      <c r="D615" s="374"/>
      <c r="E615" s="374"/>
      <c r="F615" s="266"/>
      <c r="G615" s="266"/>
      <c r="H615" s="266"/>
      <c r="I615" s="266"/>
      <c r="J615" s="2"/>
      <c r="K615" s="2"/>
      <c r="L615" s="2"/>
      <c r="M615" s="2"/>
      <c r="N615" s="2"/>
      <c r="O615" s="2"/>
      <c r="P615" s="2"/>
      <c r="Q615" s="2"/>
      <c r="R615" s="2"/>
      <c r="S615" s="2"/>
      <c r="T615" s="2"/>
      <c r="U615" s="2"/>
      <c r="V615" s="2"/>
      <c r="W615" s="2"/>
      <c r="X615" s="2"/>
      <c r="Y615" s="2"/>
      <c r="Z615" s="2"/>
    </row>
    <row r="616" spans="1:26" ht="12.75" customHeight="1" x14ac:dyDescent="0.2">
      <c r="A616" s="266"/>
      <c r="B616" s="266"/>
      <c r="C616" s="266"/>
      <c r="D616" s="374"/>
      <c r="E616" s="374"/>
      <c r="F616" s="266"/>
      <c r="G616" s="266"/>
      <c r="H616" s="266"/>
      <c r="I616" s="266"/>
      <c r="J616" s="2"/>
      <c r="K616" s="2"/>
      <c r="L616" s="2"/>
      <c r="M616" s="2"/>
      <c r="N616" s="2"/>
      <c r="O616" s="2"/>
      <c r="P616" s="2"/>
      <c r="Q616" s="2"/>
      <c r="R616" s="2"/>
      <c r="S616" s="2"/>
      <c r="T616" s="2"/>
      <c r="U616" s="2"/>
      <c r="V616" s="2"/>
      <c r="W616" s="2"/>
      <c r="X616" s="2"/>
      <c r="Y616" s="2"/>
      <c r="Z616" s="2"/>
    </row>
    <row r="617" spans="1:26" ht="12.75" customHeight="1" x14ac:dyDescent="0.2">
      <c r="A617" s="266"/>
      <c r="B617" s="266"/>
      <c r="C617" s="266"/>
      <c r="D617" s="374"/>
      <c r="E617" s="374"/>
      <c r="F617" s="266"/>
      <c r="G617" s="266"/>
      <c r="H617" s="266"/>
      <c r="I617" s="266"/>
      <c r="J617" s="2"/>
      <c r="K617" s="2"/>
      <c r="L617" s="2"/>
      <c r="M617" s="2"/>
      <c r="N617" s="2"/>
      <c r="O617" s="2"/>
      <c r="P617" s="2"/>
      <c r="Q617" s="2"/>
      <c r="R617" s="2"/>
      <c r="S617" s="2"/>
      <c r="T617" s="2"/>
      <c r="U617" s="2"/>
      <c r="V617" s="2"/>
      <c r="W617" s="2"/>
      <c r="X617" s="2"/>
      <c r="Y617" s="2"/>
      <c r="Z617" s="2"/>
    </row>
    <row r="618" spans="1:26" ht="12.75" customHeight="1" x14ac:dyDescent="0.2">
      <c r="A618" s="266"/>
      <c r="B618" s="266"/>
      <c r="C618" s="266"/>
      <c r="D618" s="374"/>
      <c r="E618" s="374"/>
      <c r="F618" s="266"/>
      <c r="G618" s="266"/>
      <c r="H618" s="266"/>
      <c r="I618" s="266"/>
      <c r="J618" s="2"/>
      <c r="K618" s="2"/>
      <c r="L618" s="2"/>
      <c r="M618" s="2"/>
      <c r="N618" s="2"/>
      <c r="O618" s="2"/>
      <c r="P618" s="2"/>
      <c r="Q618" s="2"/>
      <c r="R618" s="2"/>
      <c r="S618" s="2"/>
      <c r="T618" s="2"/>
      <c r="U618" s="2"/>
      <c r="V618" s="2"/>
      <c r="W618" s="2"/>
      <c r="X618" s="2"/>
      <c r="Y618" s="2"/>
      <c r="Z618" s="2"/>
    </row>
    <row r="619" spans="1:26" ht="12.75" customHeight="1" x14ac:dyDescent="0.2">
      <c r="A619" s="266"/>
      <c r="B619" s="266"/>
      <c r="C619" s="266"/>
      <c r="D619" s="374"/>
      <c r="E619" s="374"/>
      <c r="F619" s="266"/>
      <c r="G619" s="266"/>
      <c r="H619" s="266"/>
      <c r="I619" s="266"/>
      <c r="J619" s="2"/>
      <c r="K619" s="2"/>
      <c r="L619" s="2"/>
      <c r="M619" s="2"/>
      <c r="N619" s="2"/>
      <c r="O619" s="2"/>
      <c r="P619" s="2"/>
      <c r="Q619" s="2"/>
      <c r="R619" s="2"/>
      <c r="S619" s="2"/>
      <c r="T619" s="2"/>
      <c r="U619" s="2"/>
      <c r="V619" s="2"/>
      <c r="W619" s="2"/>
      <c r="X619" s="2"/>
      <c r="Y619" s="2"/>
      <c r="Z619" s="2"/>
    </row>
    <row r="620" spans="1:26" ht="12.75" customHeight="1" x14ac:dyDescent="0.2">
      <c r="A620" s="266"/>
      <c r="B620" s="266"/>
      <c r="C620" s="266"/>
      <c r="D620" s="374"/>
      <c r="E620" s="374"/>
      <c r="F620" s="266"/>
      <c r="G620" s="266"/>
      <c r="H620" s="266"/>
      <c r="I620" s="266"/>
      <c r="J620" s="2"/>
      <c r="K620" s="2"/>
      <c r="L620" s="2"/>
      <c r="M620" s="2"/>
      <c r="N620" s="2"/>
      <c r="O620" s="2"/>
      <c r="P620" s="2"/>
      <c r="Q620" s="2"/>
      <c r="R620" s="2"/>
      <c r="S620" s="2"/>
      <c r="T620" s="2"/>
      <c r="U620" s="2"/>
      <c r="V620" s="2"/>
      <c r="W620" s="2"/>
      <c r="X620" s="2"/>
      <c r="Y620" s="2"/>
      <c r="Z620" s="2"/>
    </row>
    <row r="621" spans="1:26" ht="12.75" customHeight="1" x14ac:dyDescent="0.2">
      <c r="A621" s="266"/>
      <c r="B621" s="266"/>
      <c r="C621" s="266"/>
      <c r="D621" s="374"/>
      <c r="E621" s="374"/>
      <c r="F621" s="266"/>
      <c r="G621" s="266"/>
      <c r="H621" s="266"/>
      <c r="I621" s="266"/>
      <c r="J621" s="2"/>
      <c r="K621" s="2"/>
      <c r="L621" s="2"/>
      <c r="M621" s="2"/>
      <c r="N621" s="2"/>
      <c r="O621" s="2"/>
      <c r="P621" s="2"/>
      <c r="Q621" s="2"/>
      <c r="R621" s="2"/>
      <c r="S621" s="2"/>
      <c r="T621" s="2"/>
      <c r="U621" s="2"/>
      <c r="V621" s="2"/>
      <c r="W621" s="2"/>
      <c r="X621" s="2"/>
      <c r="Y621" s="2"/>
      <c r="Z621" s="2"/>
    </row>
    <row r="622" spans="1:26" ht="12.75" customHeight="1" x14ac:dyDescent="0.2">
      <c r="A622" s="266"/>
      <c r="B622" s="266"/>
      <c r="C622" s="266"/>
      <c r="D622" s="374"/>
      <c r="E622" s="374"/>
      <c r="F622" s="266"/>
      <c r="G622" s="266"/>
      <c r="H622" s="266"/>
      <c r="I622" s="266"/>
      <c r="J622" s="2"/>
      <c r="K622" s="2"/>
      <c r="L622" s="2"/>
      <c r="M622" s="2"/>
      <c r="N622" s="2"/>
      <c r="O622" s="2"/>
      <c r="P622" s="2"/>
      <c r="Q622" s="2"/>
      <c r="R622" s="2"/>
      <c r="S622" s="2"/>
      <c r="T622" s="2"/>
      <c r="U622" s="2"/>
      <c r="V622" s="2"/>
      <c r="W622" s="2"/>
      <c r="X622" s="2"/>
      <c r="Y622" s="2"/>
      <c r="Z622" s="2"/>
    </row>
    <row r="623" spans="1:26" ht="12.75" customHeight="1" x14ac:dyDescent="0.2">
      <c r="A623" s="266"/>
      <c r="B623" s="266"/>
      <c r="C623" s="266"/>
      <c r="D623" s="374"/>
      <c r="E623" s="374"/>
      <c r="F623" s="266"/>
      <c r="G623" s="266"/>
      <c r="H623" s="266"/>
      <c r="I623" s="266"/>
      <c r="J623" s="2"/>
      <c r="K623" s="2"/>
      <c r="L623" s="2"/>
      <c r="M623" s="2"/>
      <c r="N623" s="2"/>
      <c r="O623" s="2"/>
      <c r="P623" s="2"/>
      <c r="Q623" s="2"/>
      <c r="R623" s="2"/>
      <c r="S623" s="2"/>
      <c r="T623" s="2"/>
      <c r="U623" s="2"/>
      <c r="V623" s="2"/>
      <c r="W623" s="2"/>
      <c r="X623" s="2"/>
      <c r="Y623" s="2"/>
      <c r="Z623" s="2"/>
    </row>
    <row r="624" spans="1:26" ht="12.75" customHeight="1" x14ac:dyDescent="0.2">
      <c r="A624" s="266"/>
      <c r="B624" s="266"/>
      <c r="C624" s="266"/>
      <c r="D624" s="374"/>
      <c r="E624" s="374"/>
      <c r="F624" s="266"/>
      <c r="G624" s="266"/>
      <c r="H624" s="266"/>
      <c r="I624" s="266"/>
      <c r="J624" s="2"/>
      <c r="K624" s="2"/>
      <c r="L624" s="2"/>
      <c r="M624" s="2"/>
      <c r="N624" s="2"/>
      <c r="O624" s="2"/>
      <c r="P624" s="2"/>
      <c r="Q624" s="2"/>
      <c r="R624" s="2"/>
      <c r="S624" s="2"/>
      <c r="T624" s="2"/>
      <c r="U624" s="2"/>
      <c r="V624" s="2"/>
      <c r="W624" s="2"/>
      <c r="X624" s="2"/>
      <c r="Y624" s="2"/>
      <c r="Z624" s="2"/>
    </row>
    <row r="625" spans="1:26" ht="12.75" customHeight="1" x14ac:dyDescent="0.2">
      <c r="A625" s="266"/>
      <c r="B625" s="266"/>
      <c r="C625" s="266"/>
      <c r="D625" s="374"/>
      <c r="E625" s="374"/>
      <c r="F625" s="266"/>
      <c r="G625" s="266"/>
      <c r="H625" s="266"/>
      <c r="I625" s="266"/>
      <c r="J625" s="2"/>
      <c r="K625" s="2"/>
      <c r="L625" s="2"/>
      <c r="M625" s="2"/>
      <c r="N625" s="2"/>
      <c r="O625" s="2"/>
      <c r="P625" s="2"/>
      <c r="Q625" s="2"/>
      <c r="R625" s="2"/>
      <c r="S625" s="2"/>
      <c r="T625" s="2"/>
      <c r="U625" s="2"/>
      <c r="V625" s="2"/>
      <c r="W625" s="2"/>
      <c r="X625" s="2"/>
      <c r="Y625" s="2"/>
      <c r="Z625" s="2"/>
    </row>
    <row r="626" spans="1:26" ht="12.75" customHeight="1" x14ac:dyDescent="0.2">
      <c r="A626" s="266"/>
      <c r="B626" s="266"/>
      <c r="C626" s="266"/>
      <c r="D626" s="374"/>
      <c r="E626" s="374"/>
      <c r="F626" s="266"/>
      <c r="G626" s="266"/>
      <c r="H626" s="266"/>
      <c r="I626" s="266"/>
      <c r="J626" s="2"/>
      <c r="K626" s="2"/>
      <c r="L626" s="2"/>
      <c r="M626" s="2"/>
      <c r="N626" s="2"/>
      <c r="O626" s="2"/>
      <c r="P626" s="2"/>
      <c r="Q626" s="2"/>
      <c r="R626" s="2"/>
      <c r="S626" s="2"/>
      <c r="T626" s="2"/>
      <c r="U626" s="2"/>
      <c r="V626" s="2"/>
      <c r="W626" s="2"/>
      <c r="X626" s="2"/>
      <c r="Y626" s="2"/>
      <c r="Z626" s="2"/>
    </row>
    <row r="627" spans="1:26" ht="12.75" customHeight="1" x14ac:dyDescent="0.2">
      <c r="A627" s="266"/>
      <c r="B627" s="266"/>
      <c r="C627" s="266"/>
      <c r="D627" s="374"/>
      <c r="E627" s="374"/>
      <c r="F627" s="266"/>
      <c r="G627" s="266"/>
      <c r="H627" s="266"/>
      <c r="I627" s="266"/>
      <c r="J627" s="2"/>
      <c r="K627" s="2"/>
      <c r="L627" s="2"/>
      <c r="M627" s="2"/>
      <c r="N627" s="2"/>
      <c r="O627" s="2"/>
      <c r="P627" s="2"/>
      <c r="Q627" s="2"/>
      <c r="R627" s="2"/>
      <c r="S627" s="2"/>
      <c r="T627" s="2"/>
      <c r="U627" s="2"/>
      <c r="V627" s="2"/>
      <c r="W627" s="2"/>
      <c r="X627" s="2"/>
      <c r="Y627" s="2"/>
      <c r="Z627" s="2"/>
    </row>
    <row r="628" spans="1:26" ht="12.75" customHeight="1" x14ac:dyDescent="0.2">
      <c r="A628" s="266"/>
      <c r="B628" s="266"/>
      <c r="C628" s="266"/>
      <c r="D628" s="374"/>
      <c r="E628" s="374"/>
      <c r="F628" s="266"/>
      <c r="G628" s="266"/>
      <c r="H628" s="266"/>
      <c r="I628" s="266"/>
      <c r="J628" s="2"/>
      <c r="K628" s="2"/>
      <c r="L628" s="2"/>
      <c r="M628" s="2"/>
      <c r="N628" s="2"/>
      <c r="O628" s="2"/>
      <c r="P628" s="2"/>
      <c r="Q628" s="2"/>
      <c r="R628" s="2"/>
      <c r="S628" s="2"/>
      <c r="T628" s="2"/>
      <c r="U628" s="2"/>
      <c r="V628" s="2"/>
      <c r="W628" s="2"/>
      <c r="X628" s="2"/>
      <c r="Y628" s="2"/>
      <c r="Z628" s="2"/>
    </row>
    <row r="629" spans="1:26" ht="12.75" customHeight="1" x14ac:dyDescent="0.2">
      <c r="A629" s="266"/>
      <c r="B629" s="266"/>
      <c r="C629" s="266"/>
      <c r="D629" s="374"/>
      <c r="E629" s="374"/>
      <c r="F629" s="266"/>
      <c r="G629" s="266"/>
      <c r="H629" s="266"/>
      <c r="I629" s="266"/>
      <c r="J629" s="2"/>
      <c r="K629" s="2"/>
      <c r="L629" s="2"/>
      <c r="M629" s="2"/>
      <c r="N629" s="2"/>
      <c r="O629" s="2"/>
      <c r="P629" s="2"/>
      <c r="Q629" s="2"/>
      <c r="R629" s="2"/>
      <c r="S629" s="2"/>
      <c r="T629" s="2"/>
      <c r="U629" s="2"/>
      <c r="V629" s="2"/>
      <c r="W629" s="2"/>
      <c r="X629" s="2"/>
      <c r="Y629" s="2"/>
      <c r="Z629" s="2"/>
    </row>
    <row r="630" spans="1:26" ht="12.75" customHeight="1" x14ac:dyDescent="0.2">
      <c r="A630" s="266"/>
      <c r="B630" s="266"/>
      <c r="C630" s="266"/>
      <c r="D630" s="374"/>
      <c r="E630" s="374"/>
      <c r="F630" s="266"/>
      <c r="G630" s="266"/>
      <c r="H630" s="266"/>
      <c r="I630" s="266"/>
      <c r="J630" s="2"/>
      <c r="K630" s="2"/>
      <c r="L630" s="2"/>
      <c r="M630" s="2"/>
      <c r="N630" s="2"/>
      <c r="O630" s="2"/>
      <c r="P630" s="2"/>
      <c r="Q630" s="2"/>
      <c r="R630" s="2"/>
      <c r="S630" s="2"/>
      <c r="T630" s="2"/>
      <c r="U630" s="2"/>
      <c r="V630" s="2"/>
      <c r="W630" s="2"/>
      <c r="X630" s="2"/>
      <c r="Y630" s="2"/>
      <c r="Z630" s="2"/>
    </row>
    <row r="631" spans="1:26" ht="12.75" customHeight="1" x14ac:dyDescent="0.2">
      <c r="A631" s="266"/>
      <c r="B631" s="266"/>
      <c r="C631" s="266"/>
      <c r="D631" s="374"/>
      <c r="E631" s="374"/>
      <c r="F631" s="266"/>
      <c r="G631" s="266"/>
      <c r="H631" s="266"/>
      <c r="I631" s="266"/>
      <c r="J631" s="2"/>
      <c r="K631" s="2"/>
      <c r="L631" s="2"/>
      <c r="M631" s="2"/>
      <c r="N631" s="2"/>
      <c r="O631" s="2"/>
      <c r="P631" s="2"/>
      <c r="Q631" s="2"/>
      <c r="R631" s="2"/>
      <c r="S631" s="2"/>
      <c r="T631" s="2"/>
      <c r="U631" s="2"/>
      <c r="V631" s="2"/>
      <c r="W631" s="2"/>
      <c r="X631" s="2"/>
      <c r="Y631" s="2"/>
      <c r="Z631" s="2"/>
    </row>
    <row r="632" spans="1:26" ht="12.75" customHeight="1" x14ac:dyDescent="0.2">
      <c r="A632" s="266"/>
      <c r="B632" s="266"/>
      <c r="C632" s="266"/>
      <c r="D632" s="374"/>
      <c r="E632" s="374"/>
      <c r="F632" s="266"/>
      <c r="G632" s="266"/>
      <c r="H632" s="266"/>
      <c r="I632" s="266"/>
      <c r="J632" s="2"/>
      <c r="K632" s="2"/>
      <c r="L632" s="2"/>
      <c r="M632" s="2"/>
      <c r="N632" s="2"/>
      <c r="O632" s="2"/>
      <c r="P632" s="2"/>
      <c r="Q632" s="2"/>
      <c r="R632" s="2"/>
      <c r="S632" s="2"/>
      <c r="T632" s="2"/>
      <c r="U632" s="2"/>
      <c r="V632" s="2"/>
      <c r="W632" s="2"/>
      <c r="X632" s="2"/>
      <c r="Y632" s="2"/>
      <c r="Z632" s="2"/>
    </row>
    <row r="633" spans="1:26" ht="12.75" customHeight="1" x14ac:dyDescent="0.2">
      <c r="A633" s="266"/>
      <c r="B633" s="266"/>
      <c r="C633" s="266"/>
      <c r="D633" s="374"/>
      <c r="E633" s="374"/>
      <c r="F633" s="266"/>
      <c r="G633" s="266"/>
      <c r="H633" s="266"/>
      <c r="I633" s="266"/>
      <c r="J633" s="2"/>
      <c r="K633" s="2"/>
      <c r="L633" s="2"/>
      <c r="M633" s="2"/>
      <c r="N633" s="2"/>
      <c r="O633" s="2"/>
      <c r="P633" s="2"/>
      <c r="Q633" s="2"/>
      <c r="R633" s="2"/>
      <c r="S633" s="2"/>
      <c r="T633" s="2"/>
      <c r="U633" s="2"/>
      <c r="V633" s="2"/>
      <c r="W633" s="2"/>
      <c r="X633" s="2"/>
      <c r="Y633" s="2"/>
      <c r="Z633" s="2"/>
    </row>
    <row r="634" spans="1:26" ht="12.75" customHeight="1" x14ac:dyDescent="0.2">
      <c r="A634" s="266"/>
      <c r="B634" s="266"/>
      <c r="C634" s="266"/>
      <c r="D634" s="374"/>
      <c r="E634" s="374"/>
      <c r="F634" s="266"/>
      <c r="G634" s="266"/>
      <c r="H634" s="266"/>
      <c r="I634" s="266"/>
      <c r="J634" s="2"/>
      <c r="K634" s="2"/>
      <c r="L634" s="2"/>
      <c r="M634" s="2"/>
      <c r="N634" s="2"/>
      <c r="O634" s="2"/>
      <c r="P634" s="2"/>
      <c r="Q634" s="2"/>
      <c r="R634" s="2"/>
      <c r="S634" s="2"/>
      <c r="T634" s="2"/>
      <c r="U634" s="2"/>
      <c r="V634" s="2"/>
      <c r="W634" s="2"/>
      <c r="X634" s="2"/>
      <c r="Y634" s="2"/>
      <c r="Z634" s="2"/>
    </row>
    <row r="635" spans="1:26" ht="12.75" customHeight="1" x14ac:dyDescent="0.2">
      <c r="A635" s="266"/>
      <c r="B635" s="266"/>
      <c r="C635" s="266"/>
      <c r="D635" s="374"/>
      <c r="E635" s="374"/>
      <c r="F635" s="266"/>
      <c r="G635" s="266"/>
      <c r="H635" s="266"/>
      <c r="I635" s="266"/>
      <c r="J635" s="2"/>
      <c r="K635" s="2"/>
      <c r="L635" s="2"/>
      <c r="M635" s="2"/>
      <c r="N635" s="2"/>
      <c r="O635" s="2"/>
      <c r="P635" s="2"/>
      <c r="Q635" s="2"/>
      <c r="R635" s="2"/>
      <c r="S635" s="2"/>
      <c r="T635" s="2"/>
      <c r="U635" s="2"/>
      <c r="V635" s="2"/>
      <c r="W635" s="2"/>
      <c r="X635" s="2"/>
      <c r="Y635" s="2"/>
      <c r="Z635" s="2"/>
    </row>
    <row r="636" spans="1:26" ht="12.75" customHeight="1" x14ac:dyDescent="0.2">
      <c r="A636" s="266"/>
      <c r="B636" s="266"/>
      <c r="C636" s="266"/>
      <c r="D636" s="374"/>
      <c r="E636" s="374"/>
      <c r="F636" s="266"/>
      <c r="G636" s="266"/>
      <c r="H636" s="266"/>
      <c r="I636" s="266"/>
      <c r="J636" s="2"/>
      <c r="K636" s="2"/>
      <c r="L636" s="2"/>
      <c r="M636" s="2"/>
      <c r="N636" s="2"/>
      <c r="O636" s="2"/>
      <c r="P636" s="2"/>
      <c r="Q636" s="2"/>
      <c r="R636" s="2"/>
      <c r="S636" s="2"/>
      <c r="T636" s="2"/>
      <c r="U636" s="2"/>
      <c r="V636" s="2"/>
      <c r="W636" s="2"/>
      <c r="X636" s="2"/>
      <c r="Y636" s="2"/>
      <c r="Z636" s="2"/>
    </row>
    <row r="637" spans="1:26" ht="12.75" customHeight="1" x14ac:dyDescent="0.2">
      <c r="A637" s="266"/>
      <c r="B637" s="266"/>
      <c r="C637" s="266"/>
      <c r="D637" s="374"/>
      <c r="E637" s="374"/>
      <c r="F637" s="266"/>
      <c r="G637" s="266"/>
      <c r="H637" s="266"/>
      <c r="I637" s="266"/>
      <c r="J637" s="2"/>
      <c r="K637" s="2"/>
      <c r="L637" s="2"/>
      <c r="M637" s="2"/>
      <c r="N637" s="2"/>
      <c r="O637" s="2"/>
      <c r="P637" s="2"/>
      <c r="Q637" s="2"/>
      <c r="R637" s="2"/>
      <c r="S637" s="2"/>
      <c r="T637" s="2"/>
      <c r="U637" s="2"/>
      <c r="V637" s="2"/>
      <c r="W637" s="2"/>
      <c r="X637" s="2"/>
      <c r="Y637" s="2"/>
      <c r="Z637" s="2"/>
    </row>
    <row r="638" spans="1:26" ht="12.75" customHeight="1" x14ac:dyDescent="0.2">
      <c r="A638" s="266"/>
      <c r="B638" s="266"/>
      <c r="C638" s="266"/>
      <c r="D638" s="374"/>
      <c r="E638" s="374"/>
      <c r="F638" s="266"/>
      <c r="G638" s="266"/>
      <c r="H638" s="266"/>
      <c r="I638" s="266"/>
      <c r="J638" s="2"/>
      <c r="K638" s="2"/>
      <c r="L638" s="2"/>
      <c r="M638" s="2"/>
      <c r="N638" s="2"/>
      <c r="O638" s="2"/>
      <c r="P638" s="2"/>
      <c r="Q638" s="2"/>
      <c r="R638" s="2"/>
      <c r="S638" s="2"/>
      <c r="T638" s="2"/>
      <c r="U638" s="2"/>
      <c r="V638" s="2"/>
      <c r="W638" s="2"/>
      <c r="X638" s="2"/>
      <c r="Y638" s="2"/>
      <c r="Z638" s="2"/>
    </row>
    <row r="639" spans="1:26" ht="12.75" customHeight="1" x14ac:dyDescent="0.2">
      <c r="A639" s="266"/>
      <c r="B639" s="266"/>
      <c r="C639" s="266"/>
      <c r="D639" s="374"/>
      <c r="E639" s="374"/>
      <c r="F639" s="266"/>
      <c r="G639" s="266"/>
      <c r="H639" s="266"/>
      <c r="I639" s="266"/>
      <c r="J639" s="2"/>
      <c r="K639" s="2"/>
      <c r="L639" s="2"/>
      <c r="M639" s="2"/>
      <c r="N639" s="2"/>
      <c r="O639" s="2"/>
      <c r="P639" s="2"/>
      <c r="Q639" s="2"/>
      <c r="R639" s="2"/>
      <c r="S639" s="2"/>
      <c r="T639" s="2"/>
      <c r="U639" s="2"/>
      <c r="V639" s="2"/>
      <c r="W639" s="2"/>
      <c r="X639" s="2"/>
      <c r="Y639" s="2"/>
      <c r="Z639" s="2"/>
    </row>
    <row r="640" spans="1:26" ht="12.75" customHeight="1" x14ac:dyDescent="0.2">
      <c r="A640" s="266"/>
      <c r="B640" s="266"/>
      <c r="C640" s="266"/>
      <c r="D640" s="374"/>
      <c r="E640" s="374"/>
      <c r="F640" s="266"/>
      <c r="G640" s="266"/>
      <c r="H640" s="266"/>
      <c r="I640" s="266"/>
      <c r="J640" s="2"/>
      <c r="K640" s="2"/>
      <c r="L640" s="2"/>
      <c r="M640" s="2"/>
      <c r="N640" s="2"/>
      <c r="O640" s="2"/>
      <c r="P640" s="2"/>
      <c r="Q640" s="2"/>
      <c r="R640" s="2"/>
      <c r="S640" s="2"/>
      <c r="T640" s="2"/>
      <c r="U640" s="2"/>
      <c r="V640" s="2"/>
      <c r="W640" s="2"/>
      <c r="X640" s="2"/>
      <c r="Y640" s="2"/>
      <c r="Z640" s="2"/>
    </row>
    <row r="641" spans="1:26" ht="12.75" customHeight="1" x14ac:dyDescent="0.2">
      <c r="A641" s="266"/>
      <c r="B641" s="266"/>
      <c r="C641" s="266"/>
      <c r="D641" s="374"/>
      <c r="E641" s="374"/>
      <c r="F641" s="266"/>
      <c r="G641" s="266"/>
      <c r="H641" s="266"/>
      <c r="I641" s="266"/>
      <c r="J641" s="2"/>
      <c r="K641" s="2"/>
      <c r="L641" s="2"/>
      <c r="M641" s="2"/>
      <c r="N641" s="2"/>
      <c r="O641" s="2"/>
      <c r="P641" s="2"/>
      <c r="Q641" s="2"/>
      <c r="R641" s="2"/>
      <c r="S641" s="2"/>
      <c r="T641" s="2"/>
      <c r="U641" s="2"/>
      <c r="V641" s="2"/>
      <c r="W641" s="2"/>
      <c r="X641" s="2"/>
      <c r="Y641" s="2"/>
      <c r="Z641" s="2"/>
    </row>
    <row r="642" spans="1:26" ht="12.75" customHeight="1" x14ac:dyDescent="0.2">
      <c r="A642" s="266"/>
      <c r="B642" s="266"/>
      <c r="C642" s="266"/>
      <c r="D642" s="374"/>
      <c r="E642" s="374"/>
      <c r="F642" s="266"/>
      <c r="G642" s="266"/>
      <c r="H642" s="266"/>
      <c r="I642" s="266"/>
      <c r="J642" s="2"/>
      <c r="K642" s="2"/>
      <c r="L642" s="2"/>
      <c r="M642" s="2"/>
      <c r="N642" s="2"/>
      <c r="O642" s="2"/>
      <c r="P642" s="2"/>
      <c r="Q642" s="2"/>
      <c r="R642" s="2"/>
      <c r="S642" s="2"/>
      <c r="T642" s="2"/>
      <c r="U642" s="2"/>
      <c r="V642" s="2"/>
      <c r="W642" s="2"/>
      <c r="X642" s="2"/>
      <c r="Y642" s="2"/>
      <c r="Z642" s="2"/>
    </row>
    <row r="643" spans="1:26" ht="12.75" customHeight="1" x14ac:dyDescent="0.2">
      <c r="A643" s="266"/>
      <c r="B643" s="266"/>
      <c r="C643" s="266"/>
      <c r="D643" s="374"/>
      <c r="E643" s="374"/>
      <c r="F643" s="266"/>
      <c r="G643" s="266"/>
      <c r="H643" s="266"/>
      <c r="I643" s="266"/>
      <c r="J643" s="2"/>
      <c r="K643" s="2"/>
      <c r="L643" s="2"/>
      <c r="M643" s="2"/>
      <c r="N643" s="2"/>
      <c r="O643" s="2"/>
      <c r="P643" s="2"/>
      <c r="Q643" s="2"/>
      <c r="R643" s="2"/>
      <c r="S643" s="2"/>
      <c r="T643" s="2"/>
      <c r="U643" s="2"/>
      <c r="V643" s="2"/>
      <c r="W643" s="2"/>
      <c r="X643" s="2"/>
      <c r="Y643" s="2"/>
      <c r="Z643" s="2"/>
    </row>
    <row r="644" spans="1:26" ht="12.75" customHeight="1" x14ac:dyDescent="0.2">
      <c r="A644" s="266"/>
      <c r="B644" s="266"/>
      <c r="C644" s="266"/>
      <c r="D644" s="374"/>
      <c r="E644" s="374"/>
      <c r="F644" s="266"/>
      <c r="G644" s="266"/>
      <c r="H644" s="266"/>
      <c r="I644" s="266"/>
      <c r="J644" s="2"/>
      <c r="K644" s="2"/>
      <c r="L644" s="2"/>
      <c r="M644" s="2"/>
      <c r="N644" s="2"/>
      <c r="O644" s="2"/>
      <c r="P644" s="2"/>
      <c r="Q644" s="2"/>
      <c r="R644" s="2"/>
      <c r="S644" s="2"/>
      <c r="T644" s="2"/>
      <c r="U644" s="2"/>
      <c r="V644" s="2"/>
      <c r="W644" s="2"/>
      <c r="X644" s="2"/>
      <c r="Y644" s="2"/>
      <c r="Z644" s="2"/>
    </row>
    <row r="645" spans="1:26" ht="12.75" customHeight="1" x14ac:dyDescent="0.2">
      <c r="A645" s="266"/>
      <c r="B645" s="266"/>
      <c r="C645" s="266"/>
      <c r="D645" s="374"/>
      <c r="E645" s="374"/>
      <c r="F645" s="266"/>
      <c r="G645" s="266"/>
      <c r="H645" s="266"/>
      <c r="I645" s="266"/>
      <c r="J645" s="2"/>
      <c r="K645" s="2"/>
      <c r="L645" s="2"/>
      <c r="M645" s="2"/>
      <c r="N645" s="2"/>
      <c r="O645" s="2"/>
      <c r="P645" s="2"/>
      <c r="Q645" s="2"/>
      <c r="R645" s="2"/>
      <c r="S645" s="2"/>
      <c r="T645" s="2"/>
      <c r="U645" s="2"/>
      <c r="V645" s="2"/>
      <c r="W645" s="2"/>
      <c r="X645" s="2"/>
      <c r="Y645" s="2"/>
      <c r="Z645" s="2"/>
    </row>
    <row r="646" spans="1:26" ht="12.75" customHeight="1" x14ac:dyDescent="0.2">
      <c r="A646" s="266"/>
      <c r="B646" s="266"/>
      <c r="C646" s="266"/>
      <c r="D646" s="374"/>
      <c r="E646" s="374"/>
      <c r="F646" s="266"/>
      <c r="G646" s="266"/>
      <c r="H646" s="266"/>
      <c r="I646" s="266"/>
      <c r="J646" s="2"/>
      <c r="K646" s="2"/>
      <c r="L646" s="2"/>
      <c r="M646" s="2"/>
      <c r="N646" s="2"/>
      <c r="O646" s="2"/>
      <c r="P646" s="2"/>
      <c r="Q646" s="2"/>
      <c r="R646" s="2"/>
      <c r="S646" s="2"/>
      <c r="T646" s="2"/>
      <c r="U646" s="2"/>
      <c r="V646" s="2"/>
      <c r="W646" s="2"/>
      <c r="X646" s="2"/>
      <c r="Y646" s="2"/>
      <c r="Z646" s="2"/>
    </row>
    <row r="647" spans="1:26" ht="12.75" customHeight="1" x14ac:dyDescent="0.2">
      <c r="A647" s="266"/>
      <c r="B647" s="266"/>
      <c r="C647" s="266"/>
      <c r="D647" s="374"/>
      <c r="E647" s="374"/>
      <c r="F647" s="266"/>
      <c r="G647" s="266"/>
      <c r="H647" s="266"/>
      <c r="I647" s="266"/>
      <c r="J647" s="2"/>
      <c r="K647" s="2"/>
      <c r="L647" s="2"/>
      <c r="M647" s="2"/>
      <c r="N647" s="2"/>
      <c r="O647" s="2"/>
      <c r="P647" s="2"/>
      <c r="Q647" s="2"/>
      <c r="R647" s="2"/>
      <c r="S647" s="2"/>
      <c r="T647" s="2"/>
      <c r="U647" s="2"/>
      <c r="V647" s="2"/>
      <c r="W647" s="2"/>
      <c r="X647" s="2"/>
      <c r="Y647" s="2"/>
      <c r="Z647" s="2"/>
    </row>
    <row r="648" spans="1:26" ht="12.75" customHeight="1" x14ac:dyDescent="0.2">
      <c r="A648" s="266"/>
      <c r="B648" s="266"/>
      <c r="C648" s="266"/>
      <c r="D648" s="374"/>
      <c r="E648" s="374"/>
      <c r="F648" s="266"/>
      <c r="G648" s="266"/>
      <c r="H648" s="266"/>
      <c r="I648" s="266"/>
      <c r="J648" s="2"/>
      <c r="K648" s="2"/>
      <c r="L648" s="2"/>
      <c r="M648" s="2"/>
      <c r="N648" s="2"/>
      <c r="O648" s="2"/>
      <c r="P648" s="2"/>
      <c r="Q648" s="2"/>
      <c r="R648" s="2"/>
      <c r="S648" s="2"/>
      <c r="T648" s="2"/>
      <c r="U648" s="2"/>
      <c r="V648" s="2"/>
      <c r="W648" s="2"/>
      <c r="X648" s="2"/>
      <c r="Y648" s="2"/>
      <c r="Z648" s="2"/>
    </row>
    <row r="649" spans="1:26" ht="12.75" customHeight="1" x14ac:dyDescent="0.2">
      <c r="A649" s="266"/>
      <c r="B649" s="266"/>
      <c r="C649" s="266"/>
      <c r="D649" s="374"/>
      <c r="E649" s="374"/>
      <c r="F649" s="266"/>
      <c r="G649" s="266"/>
      <c r="H649" s="266"/>
      <c r="I649" s="266"/>
      <c r="J649" s="2"/>
      <c r="K649" s="2"/>
      <c r="L649" s="2"/>
      <c r="M649" s="2"/>
      <c r="N649" s="2"/>
      <c r="O649" s="2"/>
      <c r="P649" s="2"/>
      <c r="Q649" s="2"/>
      <c r="R649" s="2"/>
      <c r="S649" s="2"/>
      <c r="T649" s="2"/>
      <c r="U649" s="2"/>
      <c r="V649" s="2"/>
      <c r="W649" s="2"/>
      <c r="X649" s="2"/>
      <c r="Y649" s="2"/>
      <c r="Z649" s="2"/>
    </row>
    <row r="650" spans="1:26" ht="12.75" customHeight="1" x14ac:dyDescent="0.2">
      <c r="A650" s="266"/>
      <c r="B650" s="266"/>
      <c r="C650" s="266"/>
      <c r="D650" s="374"/>
      <c r="E650" s="374"/>
      <c r="F650" s="266"/>
      <c r="G650" s="266"/>
      <c r="H650" s="266"/>
      <c r="I650" s="266"/>
      <c r="J650" s="2"/>
      <c r="K650" s="2"/>
      <c r="L650" s="2"/>
      <c r="M650" s="2"/>
      <c r="N650" s="2"/>
      <c r="O650" s="2"/>
      <c r="P650" s="2"/>
      <c r="Q650" s="2"/>
      <c r="R650" s="2"/>
      <c r="S650" s="2"/>
      <c r="T650" s="2"/>
      <c r="U650" s="2"/>
      <c r="V650" s="2"/>
      <c r="W650" s="2"/>
      <c r="X650" s="2"/>
      <c r="Y650" s="2"/>
      <c r="Z650" s="2"/>
    </row>
    <row r="651" spans="1:26" ht="12.75" customHeight="1" x14ac:dyDescent="0.2">
      <c r="A651" s="266"/>
      <c r="B651" s="266"/>
      <c r="C651" s="266"/>
      <c r="D651" s="374"/>
      <c r="E651" s="374"/>
      <c r="F651" s="266"/>
      <c r="G651" s="266"/>
      <c r="H651" s="266"/>
      <c r="I651" s="266"/>
      <c r="J651" s="2"/>
      <c r="K651" s="2"/>
      <c r="L651" s="2"/>
      <c r="M651" s="2"/>
      <c r="N651" s="2"/>
      <c r="O651" s="2"/>
      <c r="P651" s="2"/>
      <c r="Q651" s="2"/>
      <c r="R651" s="2"/>
      <c r="S651" s="2"/>
      <c r="T651" s="2"/>
      <c r="U651" s="2"/>
      <c r="V651" s="2"/>
      <c r="W651" s="2"/>
      <c r="X651" s="2"/>
      <c r="Y651" s="2"/>
      <c r="Z651" s="2"/>
    </row>
    <row r="652" spans="1:26" ht="12.75" customHeight="1" x14ac:dyDescent="0.2">
      <c r="A652" s="266"/>
      <c r="B652" s="266"/>
      <c r="C652" s="266"/>
      <c r="D652" s="374"/>
      <c r="E652" s="374"/>
      <c r="F652" s="266"/>
      <c r="G652" s="266"/>
      <c r="H652" s="266"/>
      <c r="I652" s="266"/>
      <c r="J652" s="2"/>
      <c r="K652" s="2"/>
      <c r="L652" s="2"/>
      <c r="M652" s="2"/>
      <c r="N652" s="2"/>
      <c r="O652" s="2"/>
      <c r="P652" s="2"/>
      <c r="Q652" s="2"/>
      <c r="R652" s="2"/>
      <c r="S652" s="2"/>
      <c r="T652" s="2"/>
      <c r="U652" s="2"/>
      <c r="V652" s="2"/>
      <c r="W652" s="2"/>
      <c r="X652" s="2"/>
      <c r="Y652" s="2"/>
      <c r="Z652" s="2"/>
    </row>
    <row r="653" spans="1:26" ht="12.75" customHeight="1" x14ac:dyDescent="0.2">
      <c r="A653" s="266"/>
      <c r="B653" s="266"/>
      <c r="C653" s="266"/>
      <c r="D653" s="374"/>
      <c r="E653" s="374"/>
      <c r="F653" s="266"/>
      <c r="G653" s="266"/>
      <c r="H653" s="266"/>
      <c r="I653" s="266"/>
      <c r="J653" s="2"/>
      <c r="K653" s="2"/>
      <c r="L653" s="2"/>
      <c r="M653" s="2"/>
      <c r="N653" s="2"/>
      <c r="O653" s="2"/>
      <c r="P653" s="2"/>
      <c r="Q653" s="2"/>
      <c r="R653" s="2"/>
      <c r="S653" s="2"/>
      <c r="T653" s="2"/>
      <c r="U653" s="2"/>
      <c r="V653" s="2"/>
      <c r="W653" s="2"/>
      <c r="X653" s="2"/>
      <c r="Y653" s="2"/>
      <c r="Z653" s="2"/>
    </row>
    <row r="654" spans="1:26" ht="12.75" customHeight="1" x14ac:dyDescent="0.2">
      <c r="A654" s="266"/>
      <c r="B654" s="266"/>
      <c r="C654" s="266"/>
      <c r="D654" s="374"/>
      <c r="E654" s="374"/>
      <c r="F654" s="266"/>
      <c r="G654" s="266"/>
      <c r="H654" s="266"/>
      <c r="I654" s="266"/>
      <c r="J654" s="2"/>
      <c r="K654" s="2"/>
      <c r="L654" s="2"/>
      <c r="M654" s="2"/>
      <c r="N654" s="2"/>
      <c r="O654" s="2"/>
      <c r="P654" s="2"/>
      <c r="Q654" s="2"/>
      <c r="R654" s="2"/>
      <c r="S654" s="2"/>
      <c r="T654" s="2"/>
      <c r="U654" s="2"/>
      <c r="V654" s="2"/>
      <c r="W654" s="2"/>
      <c r="X654" s="2"/>
      <c r="Y654" s="2"/>
      <c r="Z654" s="2"/>
    </row>
    <row r="655" spans="1:26" ht="12.75" customHeight="1" x14ac:dyDescent="0.2">
      <c r="A655" s="266"/>
      <c r="B655" s="266"/>
      <c r="C655" s="266"/>
      <c r="D655" s="374"/>
      <c r="E655" s="374"/>
      <c r="F655" s="266"/>
      <c r="G655" s="266"/>
      <c r="H655" s="266"/>
      <c r="I655" s="266"/>
      <c r="J655" s="2"/>
      <c r="K655" s="2"/>
      <c r="L655" s="2"/>
      <c r="M655" s="2"/>
      <c r="N655" s="2"/>
      <c r="O655" s="2"/>
      <c r="P655" s="2"/>
      <c r="Q655" s="2"/>
      <c r="R655" s="2"/>
      <c r="S655" s="2"/>
      <c r="T655" s="2"/>
      <c r="U655" s="2"/>
      <c r="V655" s="2"/>
      <c r="W655" s="2"/>
      <c r="X655" s="2"/>
      <c r="Y655" s="2"/>
      <c r="Z655" s="2"/>
    </row>
    <row r="656" spans="1:26" ht="12.75" customHeight="1" x14ac:dyDescent="0.2">
      <c r="A656" s="266"/>
      <c r="B656" s="266"/>
      <c r="C656" s="266"/>
      <c r="D656" s="374"/>
      <c r="E656" s="374"/>
      <c r="F656" s="266"/>
      <c r="G656" s="266"/>
      <c r="H656" s="266"/>
      <c r="I656" s="266"/>
      <c r="J656" s="2"/>
      <c r="K656" s="2"/>
      <c r="L656" s="2"/>
      <c r="M656" s="2"/>
      <c r="N656" s="2"/>
      <c r="O656" s="2"/>
      <c r="P656" s="2"/>
      <c r="Q656" s="2"/>
      <c r="R656" s="2"/>
      <c r="S656" s="2"/>
      <c r="T656" s="2"/>
      <c r="U656" s="2"/>
      <c r="V656" s="2"/>
      <c r="W656" s="2"/>
      <c r="X656" s="2"/>
      <c r="Y656" s="2"/>
      <c r="Z656" s="2"/>
    </row>
    <row r="657" spans="1:26" ht="12.75" customHeight="1" x14ac:dyDescent="0.2">
      <c r="A657" s="266"/>
      <c r="B657" s="266"/>
      <c r="C657" s="266"/>
      <c r="D657" s="374"/>
      <c r="E657" s="374"/>
      <c r="F657" s="266"/>
      <c r="G657" s="266"/>
      <c r="H657" s="266"/>
      <c r="I657" s="266"/>
      <c r="J657" s="2"/>
      <c r="K657" s="2"/>
      <c r="L657" s="2"/>
      <c r="M657" s="2"/>
      <c r="N657" s="2"/>
      <c r="O657" s="2"/>
      <c r="P657" s="2"/>
      <c r="Q657" s="2"/>
      <c r="R657" s="2"/>
      <c r="S657" s="2"/>
      <c r="T657" s="2"/>
      <c r="U657" s="2"/>
      <c r="V657" s="2"/>
      <c r="W657" s="2"/>
      <c r="X657" s="2"/>
      <c r="Y657" s="2"/>
      <c r="Z657" s="2"/>
    </row>
    <row r="658" spans="1:26" ht="12.75" customHeight="1" x14ac:dyDescent="0.2">
      <c r="A658" s="266"/>
      <c r="B658" s="266"/>
      <c r="C658" s="266"/>
      <c r="D658" s="374"/>
      <c r="E658" s="374"/>
      <c r="F658" s="266"/>
      <c r="G658" s="266"/>
      <c r="H658" s="266"/>
      <c r="I658" s="266"/>
      <c r="J658" s="2"/>
      <c r="K658" s="2"/>
      <c r="L658" s="2"/>
      <c r="M658" s="2"/>
      <c r="N658" s="2"/>
      <c r="O658" s="2"/>
      <c r="P658" s="2"/>
      <c r="Q658" s="2"/>
      <c r="R658" s="2"/>
      <c r="S658" s="2"/>
      <c r="T658" s="2"/>
      <c r="U658" s="2"/>
      <c r="V658" s="2"/>
      <c r="W658" s="2"/>
      <c r="X658" s="2"/>
      <c r="Y658" s="2"/>
      <c r="Z658" s="2"/>
    </row>
    <row r="659" spans="1:26" ht="12.75" customHeight="1" x14ac:dyDescent="0.2">
      <c r="A659" s="266"/>
      <c r="B659" s="266"/>
      <c r="C659" s="266"/>
      <c r="D659" s="374"/>
      <c r="E659" s="374"/>
      <c r="F659" s="266"/>
      <c r="G659" s="266"/>
      <c r="H659" s="266"/>
      <c r="I659" s="266"/>
      <c r="J659" s="2"/>
      <c r="K659" s="2"/>
      <c r="L659" s="2"/>
      <c r="M659" s="2"/>
      <c r="N659" s="2"/>
      <c r="O659" s="2"/>
      <c r="P659" s="2"/>
      <c r="Q659" s="2"/>
      <c r="R659" s="2"/>
      <c r="S659" s="2"/>
      <c r="T659" s="2"/>
      <c r="U659" s="2"/>
      <c r="V659" s="2"/>
      <c r="W659" s="2"/>
      <c r="X659" s="2"/>
      <c r="Y659" s="2"/>
      <c r="Z659" s="2"/>
    </row>
    <row r="660" spans="1:26" ht="12.75" customHeight="1" x14ac:dyDescent="0.2">
      <c r="A660" s="266"/>
      <c r="B660" s="266"/>
      <c r="C660" s="266"/>
      <c r="D660" s="374"/>
      <c r="E660" s="374"/>
      <c r="F660" s="266"/>
      <c r="G660" s="266"/>
      <c r="H660" s="266"/>
      <c r="I660" s="266"/>
      <c r="J660" s="2"/>
      <c r="K660" s="2"/>
      <c r="L660" s="2"/>
      <c r="M660" s="2"/>
      <c r="N660" s="2"/>
      <c r="O660" s="2"/>
      <c r="P660" s="2"/>
      <c r="Q660" s="2"/>
      <c r="R660" s="2"/>
      <c r="S660" s="2"/>
      <c r="T660" s="2"/>
      <c r="U660" s="2"/>
      <c r="V660" s="2"/>
      <c r="W660" s="2"/>
      <c r="X660" s="2"/>
      <c r="Y660" s="2"/>
      <c r="Z660" s="2"/>
    </row>
    <row r="661" spans="1:26" ht="12.75" customHeight="1" x14ac:dyDescent="0.2">
      <c r="A661" s="266"/>
      <c r="B661" s="266"/>
      <c r="C661" s="266"/>
      <c r="D661" s="374"/>
      <c r="E661" s="374"/>
      <c r="F661" s="266"/>
      <c r="G661" s="266"/>
      <c r="H661" s="266"/>
      <c r="I661" s="266"/>
      <c r="J661" s="2"/>
      <c r="K661" s="2"/>
      <c r="L661" s="2"/>
      <c r="M661" s="2"/>
      <c r="N661" s="2"/>
      <c r="O661" s="2"/>
      <c r="P661" s="2"/>
      <c r="Q661" s="2"/>
      <c r="R661" s="2"/>
      <c r="S661" s="2"/>
      <c r="T661" s="2"/>
      <c r="U661" s="2"/>
      <c r="V661" s="2"/>
      <c r="W661" s="2"/>
      <c r="X661" s="2"/>
      <c r="Y661" s="2"/>
      <c r="Z661" s="2"/>
    </row>
    <row r="662" spans="1:26" ht="12.75" customHeight="1" x14ac:dyDescent="0.2">
      <c r="A662" s="266"/>
      <c r="B662" s="266"/>
      <c r="C662" s="266"/>
      <c r="D662" s="374"/>
      <c r="E662" s="374"/>
      <c r="F662" s="266"/>
      <c r="G662" s="266"/>
      <c r="H662" s="266"/>
      <c r="I662" s="266"/>
      <c r="J662" s="2"/>
      <c r="K662" s="2"/>
      <c r="L662" s="2"/>
      <c r="M662" s="2"/>
      <c r="N662" s="2"/>
      <c r="O662" s="2"/>
      <c r="P662" s="2"/>
      <c r="Q662" s="2"/>
      <c r="R662" s="2"/>
      <c r="S662" s="2"/>
      <c r="T662" s="2"/>
      <c r="U662" s="2"/>
      <c r="V662" s="2"/>
      <c r="W662" s="2"/>
      <c r="X662" s="2"/>
      <c r="Y662" s="2"/>
      <c r="Z662" s="2"/>
    </row>
    <row r="663" spans="1:26" ht="12.75" customHeight="1" x14ac:dyDescent="0.2">
      <c r="A663" s="266"/>
      <c r="B663" s="266"/>
      <c r="C663" s="266"/>
      <c r="D663" s="374"/>
      <c r="E663" s="374"/>
      <c r="F663" s="266"/>
      <c r="G663" s="266"/>
      <c r="H663" s="266"/>
      <c r="I663" s="266"/>
      <c r="J663" s="2"/>
      <c r="K663" s="2"/>
      <c r="L663" s="2"/>
      <c r="M663" s="2"/>
      <c r="N663" s="2"/>
      <c r="O663" s="2"/>
      <c r="P663" s="2"/>
      <c r="Q663" s="2"/>
      <c r="R663" s="2"/>
      <c r="S663" s="2"/>
      <c r="T663" s="2"/>
      <c r="U663" s="2"/>
      <c r="V663" s="2"/>
      <c r="W663" s="2"/>
      <c r="X663" s="2"/>
      <c r="Y663" s="2"/>
      <c r="Z663" s="2"/>
    </row>
    <row r="664" spans="1:26" ht="12.75" customHeight="1" x14ac:dyDescent="0.2">
      <c r="A664" s="266"/>
      <c r="B664" s="266"/>
      <c r="C664" s="266"/>
      <c r="D664" s="374"/>
      <c r="E664" s="374"/>
      <c r="F664" s="266"/>
      <c r="G664" s="266"/>
      <c r="H664" s="266"/>
      <c r="I664" s="266"/>
      <c r="J664" s="2"/>
      <c r="K664" s="2"/>
      <c r="L664" s="2"/>
      <c r="M664" s="2"/>
      <c r="N664" s="2"/>
      <c r="O664" s="2"/>
      <c r="P664" s="2"/>
      <c r="Q664" s="2"/>
      <c r="R664" s="2"/>
      <c r="S664" s="2"/>
      <c r="T664" s="2"/>
      <c r="U664" s="2"/>
      <c r="V664" s="2"/>
      <c r="W664" s="2"/>
      <c r="X664" s="2"/>
      <c r="Y664" s="2"/>
      <c r="Z664" s="2"/>
    </row>
    <row r="665" spans="1:26" ht="12.75" customHeight="1" x14ac:dyDescent="0.2">
      <c r="A665" s="266"/>
      <c r="B665" s="266"/>
      <c r="C665" s="266"/>
      <c r="D665" s="374"/>
      <c r="E665" s="374"/>
      <c r="F665" s="266"/>
      <c r="G665" s="266"/>
      <c r="H665" s="266"/>
      <c r="I665" s="266"/>
      <c r="J665" s="2"/>
      <c r="K665" s="2"/>
      <c r="L665" s="2"/>
      <c r="M665" s="2"/>
      <c r="N665" s="2"/>
      <c r="O665" s="2"/>
      <c r="P665" s="2"/>
      <c r="Q665" s="2"/>
      <c r="R665" s="2"/>
      <c r="S665" s="2"/>
      <c r="T665" s="2"/>
      <c r="U665" s="2"/>
      <c r="V665" s="2"/>
      <c r="W665" s="2"/>
      <c r="X665" s="2"/>
      <c r="Y665" s="2"/>
      <c r="Z665" s="2"/>
    </row>
    <row r="666" spans="1:26" ht="12.75" customHeight="1" x14ac:dyDescent="0.2">
      <c r="A666" s="266"/>
      <c r="B666" s="266"/>
      <c r="C666" s="266"/>
      <c r="D666" s="374"/>
      <c r="E666" s="374"/>
      <c r="F666" s="266"/>
      <c r="G666" s="266"/>
      <c r="H666" s="266"/>
      <c r="I666" s="266"/>
      <c r="J666" s="2"/>
      <c r="K666" s="2"/>
      <c r="L666" s="2"/>
      <c r="M666" s="2"/>
      <c r="N666" s="2"/>
      <c r="O666" s="2"/>
      <c r="P666" s="2"/>
      <c r="Q666" s="2"/>
      <c r="R666" s="2"/>
      <c r="S666" s="2"/>
      <c r="T666" s="2"/>
      <c r="U666" s="2"/>
      <c r="V666" s="2"/>
      <c r="W666" s="2"/>
      <c r="X666" s="2"/>
      <c r="Y666" s="2"/>
      <c r="Z666" s="2"/>
    </row>
    <row r="667" spans="1:26" ht="12.75" customHeight="1" x14ac:dyDescent="0.2">
      <c r="A667" s="266"/>
      <c r="B667" s="266"/>
      <c r="C667" s="266"/>
      <c r="D667" s="374"/>
      <c r="E667" s="374"/>
      <c r="F667" s="266"/>
      <c r="G667" s="266"/>
      <c r="H667" s="266"/>
      <c r="I667" s="266"/>
      <c r="J667" s="2"/>
      <c r="K667" s="2"/>
      <c r="L667" s="2"/>
      <c r="M667" s="2"/>
      <c r="N667" s="2"/>
      <c r="O667" s="2"/>
      <c r="P667" s="2"/>
      <c r="Q667" s="2"/>
      <c r="R667" s="2"/>
      <c r="S667" s="2"/>
      <c r="T667" s="2"/>
      <c r="U667" s="2"/>
      <c r="V667" s="2"/>
      <c r="W667" s="2"/>
      <c r="X667" s="2"/>
      <c r="Y667" s="2"/>
      <c r="Z667" s="2"/>
    </row>
    <row r="668" spans="1:26" ht="12.75" customHeight="1" x14ac:dyDescent="0.2">
      <c r="A668" s="266"/>
      <c r="B668" s="266"/>
      <c r="C668" s="266"/>
      <c r="D668" s="374"/>
      <c r="E668" s="374"/>
      <c r="F668" s="266"/>
      <c r="G668" s="266"/>
      <c r="H668" s="266"/>
      <c r="I668" s="266"/>
      <c r="J668" s="2"/>
      <c r="K668" s="2"/>
      <c r="L668" s="2"/>
      <c r="M668" s="2"/>
      <c r="N668" s="2"/>
      <c r="O668" s="2"/>
      <c r="P668" s="2"/>
      <c r="Q668" s="2"/>
      <c r="R668" s="2"/>
      <c r="S668" s="2"/>
      <c r="T668" s="2"/>
      <c r="U668" s="2"/>
      <c r="V668" s="2"/>
      <c r="W668" s="2"/>
      <c r="X668" s="2"/>
      <c r="Y668" s="2"/>
      <c r="Z668" s="2"/>
    </row>
    <row r="669" spans="1:26" ht="12.75" customHeight="1" x14ac:dyDescent="0.2">
      <c r="A669" s="266"/>
      <c r="B669" s="266"/>
      <c r="C669" s="266"/>
      <c r="D669" s="374"/>
      <c r="E669" s="374"/>
      <c r="F669" s="266"/>
      <c r="G669" s="266"/>
      <c r="H669" s="266"/>
      <c r="I669" s="266"/>
      <c r="J669" s="2"/>
      <c r="K669" s="2"/>
      <c r="L669" s="2"/>
      <c r="M669" s="2"/>
      <c r="N669" s="2"/>
      <c r="O669" s="2"/>
      <c r="P669" s="2"/>
      <c r="Q669" s="2"/>
      <c r="R669" s="2"/>
      <c r="S669" s="2"/>
      <c r="T669" s="2"/>
      <c r="U669" s="2"/>
      <c r="V669" s="2"/>
      <c r="W669" s="2"/>
      <c r="X669" s="2"/>
      <c r="Y669" s="2"/>
      <c r="Z669" s="2"/>
    </row>
    <row r="670" spans="1:26" ht="12.75" customHeight="1" x14ac:dyDescent="0.2">
      <c r="A670" s="266"/>
      <c r="B670" s="266"/>
      <c r="C670" s="266"/>
      <c r="D670" s="374"/>
      <c r="E670" s="374"/>
      <c r="F670" s="266"/>
      <c r="G670" s="266"/>
      <c r="H670" s="266"/>
      <c r="I670" s="266"/>
      <c r="J670" s="2"/>
      <c r="K670" s="2"/>
      <c r="L670" s="2"/>
      <c r="M670" s="2"/>
      <c r="N670" s="2"/>
      <c r="O670" s="2"/>
      <c r="P670" s="2"/>
      <c r="Q670" s="2"/>
      <c r="R670" s="2"/>
      <c r="S670" s="2"/>
      <c r="T670" s="2"/>
      <c r="U670" s="2"/>
      <c r="V670" s="2"/>
      <c r="W670" s="2"/>
      <c r="X670" s="2"/>
      <c r="Y670" s="2"/>
      <c r="Z670" s="2"/>
    </row>
    <row r="671" spans="1:26" ht="12.75" customHeight="1" x14ac:dyDescent="0.2">
      <c r="A671" s="266"/>
      <c r="B671" s="266"/>
      <c r="C671" s="266"/>
      <c r="D671" s="374"/>
      <c r="E671" s="374"/>
      <c r="F671" s="266"/>
      <c r="G671" s="266"/>
      <c r="H671" s="266"/>
      <c r="I671" s="266"/>
      <c r="J671" s="2"/>
      <c r="K671" s="2"/>
      <c r="L671" s="2"/>
      <c r="M671" s="2"/>
      <c r="N671" s="2"/>
      <c r="O671" s="2"/>
      <c r="P671" s="2"/>
      <c r="Q671" s="2"/>
      <c r="R671" s="2"/>
      <c r="S671" s="2"/>
      <c r="T671" s="2"/>
      <c r="U671" s="2"/>
      <c r="V671" s="2"/>
      <c r="W671" s="2"/>
      <c r="X671" s="2"/>
      <c r="Y671" s="2"/>
      <c r="Z671" s="2"/>
    </row>
    <row r="672" spans="1:26" ht="12.75" customHeight="1" x14ac:dyDescent="0.2">
      <c r="A672" s="266"/>
      <c r="B672" s="266"/>
      <c r="C672" s="266"/>
      <c r="D672" s="374"/>
      <c r="E672" s="374"/>
      <c r="F672" s="266"/>
      <c r="G672" s="266"/>
      <c r="H672" s="266"/>
      <c r="I672" s="266"/>
      <c r="J672" s="2"/>
      <c r="K672" s="2"/>
      <c r="L672" s="2"/>
      <c r="M672" s="2"/>
      <c r="N672" s="2"/>
      <c r="O672" s="2"/>
      <c r="P672" s="2"/>
      <c r="Q672" s="2"/>
      <c r="R672" s="2"/>
      <c r="S672" s="2"/>
      <c r="T672" s="2"/>
      <c r="U672" s="2"/>
      <c r="V672" s="2"/>
      <c r="W672" s="2"/>
      <c r="X672" s="2"/>
      <c r="Y672" s="2"/>
      <c r="Z672" s="2"/>
    </row>
    <row r="673" spans="1:26" ht="12.75" customHeight="1" x14ac:dyDescent="0.2">
      <c r="A673" s="266"/>
      <c r="B673" s="266"/>
      <c r="C673" s="266"/>
      <c r="D673" s="374"/>
      <c r="E673" s="374"/>
      <c r="F673" s="266"/>
      <c r="G673" s="266"/>
      <c r="H673" s="266"/>
      <c r="I673" s="266"/>
      <c r="J673" s="2"/>
      <c r="K673" s="2"/>
      <c r="L673" s="2"/>
      <c r="M673" s="2"/>
      <c r="N673" s="2"/>
      <c r="O673" s="2"/>
      <c r="P673" s="2"/>
      <c r="Q673" s="2"/>
      <c r="R673" s="2"/>
      <c r="S673" s="2"/>
      <c r="T673" s="2"/>
      <c r="U673" s="2"/>
      <c r="V673" s="2"/>
      <c r="W673" s="2"/>
      <c r="X673" s="2"/>
      <c r="Y673" s="2"/>
      <c r="Z673" s="2"/>
    </row>
    <row r="674" spans="1:26" ht="12.75" customHeight="1" x14ac:dyDescent="0.2">
      <c r="A674" s="266"/>
      <c r="B674" s="266"/>
      <c r="C674" s="266"/>
      <c r="D674" s="374"/>
      <c r="E674" s="374"/>
      <c r="F674" s="266"/>
      <c r="G674" s="266"/>
      <c r="H674" s="266"/>
      <c r="I674" s="266"/>
      <c r="J674" s="2"/>
      <c r="K674" s="2"/>
      <c r="L674" s="2"/>
      <c r="M674" s="2"/>
      <c r="N674" s="2"/>
      <c r="O674" s="2"/>
      <c r="P674" s="2"/>
      <c r="Q674" s="2"/>
      <c r="R674" s="2"/>
      <c r="S674" s="2"/>
      <c r="T674" s="2"/>
      <c r="U674" s="2"/>
      <c r="V674" s="2"/>
      <c r="W674" s="2"/>
      <c r="X674" s="2"/>
      <c r="Y674" s="2"/>
      <c r="Z674" s="2"/>
    </row>
    <row r="675" spans="1:26" ht="12.75" customHeight="1" x14ac:dyDescent="0.2">
      <c r="A675" s="266"/>
      <c r="B675" s="266"/>
      <c r="C675" s="266"/>
      <c r="D675" s="374"/>
      <c r="E675" s="374"/>
      <c r="F675" s="266"/>
      <c r="G675" s="266"/>
      <c r="H675" s="266"/>
      <c r="I675" s="266"/>
      <c r="J675" s="2"/>
      <c r="K675" s="2"/>
      <c r="L675" s="2"/>
      <c r="M675" s="2"/>
      <c r="N675" s="2"/>
      <c r="O675" s="2"/>
      <c r="P675" s="2"/>
      <c r="Q675" s="2"/>
      <c r="R675" s="2"/>
      <c r="S675" s="2"/>
      <c r="T675" s="2"/>
      <c r="U675" s="2"/>
      <c r="V675" s="2"/>
      <c r="W675" s="2"/>
      <c r="X675" s="2"/>
      <c r="Y675" s="2"/>
      <c r="Z675" s="2"/>
    </row>
    <row r="676" spans="1:26" ht="12.75" customHeight="1" x14ac:dyDescent="0.2">
      <c r="A676" s="266"/>
      <c r="B676" s="266"/>
      <c r="C676" s="266"/>
      <c r="D676" s="374"/>
      <c r="E676" s="374"/>
      <c r="F676" s="266"/>
      <c r="G676" s="266"/>
      <c r="H676" s="266"/>
      <c r="I676" s="266"/>
      <c r="J676" s="2"/>
      <c r="K676" s="2"/>
      <c r="L676" s="2"/>
      <c r="M676" s="2"/>
      <c r="N676" s="2"/>
      <c r="O676" s="2"/>
      <c r="P676" s="2"/>
      <c r="Q676" s="2"/>
      <c r="R676" s="2"/>
      <c r="S676" s="2"/>
      <c r="T676" s="2"/>
      <c r="U676" s="2"/>
      <c r="V676" s="2"/>
      <c r="W676" s="2"/>
      <c r="X676" s="2"/>
      <c r="Y676" s="2"/>
      <c r="Z676" s="2"/>
    </row>
    <row r="677" spans="1:26" ht="12.75" customHeight="1" x14ac:dyDescent="0.2">
      <c r="A677" s="266"/>
      <c r="B677" s="266"/>
      <c r="C677" s="266"/>
      <c r="D677" s="374"/>
      <c r="E677" s="374"/>
      <c r="F677" s="266"/>
      <c r="G677" s="266"/>
      <c r="H677" s="266"/>
      <c r="I677" s="266"/>
      <c r="J677" s="2"/>
      <c r="K677" s="2"/>
      <c r="L677" s="2"/>
      <c r="M677" s="2"/>
      <c r="N677" s="2"/>
      <c r="O677" s="2"/>
      <c r="P677" s="2"/>
      <c r="Q677" s="2"/>
      <c r="R677" s="2"/>
      <c r="S677" s="2"/>
      <c r="T677" s="2"/>
      <c r="U677" s="2"/>
      <c r="V677" s="2"/>
      <c r="W677" s="2"/>
      <c r="X677" s="2"/>
      <c r="Y677" s="2"/>
      <c r="Z677" s="2"/>
    </row>
    <row r="678" spans="1:26" ht="12.75" customHeight="1" x14ac:dyDescent="0.2">
      <c r="A678" s="266"/>
      <c r="B678" s="266"/>
      <c r="C678" s="266"/>
      <c r="D678" s="374"/>
      <c r="E678" s="374"/>
      <c r="F678" s="266"/>
      <c r="G678" s="266"/>
      <c r="H678" s="266"/>
      <c r="I678" s="266"/>
      <c r="J678" s="2"/>
      <c r="K678" s="2"/>
      <c r="L678" s="2"/>
      <c r="M678" s="2"/>
      <c r="N678" s="2"/>
      <c r="O678" s="2"/>
      <c r="P678" s="2"/>
      <c r="Q678" s="2"/>
      <c r="R678" s="2"/>
      <c r="S678" s="2"/>
      <c r="T678" s="2"/>
      <c r="U678" s="2"/>
      <c r="V678" s="2"/>
      <c r="W678" s="2"/>
      <c r="X678" s="2"/>
      <c r="Y678" s="2"/>
      <c r="Z678" s="2"/>
    </row>
    <row r="679" spans="1:26" ht="12.75" customHeight="1" x14ac:dyDescent="0.2">
      <c r="A679" s="266"/>
      <c r="B679" s="266"/>
      <c r="C679" s="266"/>
      <c r="D679" s="374"/>
      <c r="E679" s="374"/>
      <c r="F679" s="266"/>
      <c r="G679" s="266"/>
      <c r="H679" s="266"/>
      <c r="I679" s="266"/>
      <c r="J679" s="2"/>
      <c r="K679" s="2"/>
      <c r="L679" s="2"/>
      <c r="M679" s="2"/>
      <c r="N679" s="2"/>
      <c r="O679" s="2"/>
      <c r="P679" s="2"/>
      <c r="Q679" s="2"/>
      <c r="R679" s="2"/>
      <c r="S679" s="2"/>
      <c r="T679" s="2"/>
      <c r="U679" s="2"/>
      <c r="V679" s="2"/>
      <c r="W679" s="2"/>
      <c r="X679" s="2"/>
      <c r="Y679" s="2"/>
      <c r="Z679" s="2"/>
    </row>
    <row r="680" spans="1:26" ht="12.75" customHeight="1" x14ac:dyDescent="0.2">
      <c r="A680" s="266"/>
      <c r="B680" s="266"/>
      <c r="C680" s="266"/>
      <c r="D680" s="374"/>
      <c r="E680" s="374"/>
      <c r="F680" s="266"/>
      <c r="G680" s="266"/>
      <c r="H680" s="266"/>
      <c r="I680" s="266"/>
      <c r="J680" s="2"/>
      <c r="K680" s="2"/>
      <c r="L680" s="2"/>
      <c r="M680" s="2"/>
      <c r="N680" s="2"/>
      <c r="O680" s="2"/>
      <c r="P680" s="2"/>
      <c r="Q680" s="2"/>
      <c r="R680" s="2"/>
      <c r="S680" s="2"/>
      <c r="T680" s="2"/>
      <c r="U680" s="2"/>
      <c r="V680" s="2"/>
      <c r="W680" s="2"/>
      <c r="X680" s="2"/>
      <c r="Y680" s="2"/>
      <c r="Z680" s="2"/>
    </row>
    <row r="681" spans="1:26" ht="12.75" customHeight="1" x14ac:dyDescent="0.2">
      <c r="A681" s="266"/>
      <c r="B681" s="266"/>
      <c r="C681" s="266"/>
      <c r="D681" s="374"/>
      <c r="E681" s="374"/>
      <c r="F681" s="266"/>
      <c r="G681" s="266"/>
      <c r="H681" s="266"/>
      <c r="I681" s="266"/>
      <c r="J681" s="2"/>
      <c r="K681" s="2"/>
      <c r="L681" s="2"/>
      <c r="M681" s="2"/>
      <c r="N681" s="2"/>
      <c r="O681" s="2"/>
      <c r="P681" s="2"/>
      <c r="Q681" s="2"/>
      <c r="R681" s="2"/>
      <c r="S681" s="2"/>
      <c r="T681" s="2"/>
      <c r="U681" s="2"/>
      <c r="V681" s="2"/>
      <c r="W681" s="2"/>
      <c r="X681" s="2"/>
      <c r="Y681" s="2"/>
      <c r="Z681" s="2"/>
    </row>
    <row r="682" spans="1:26" ht="12.75" customHeight="1" x14ac:dyDescent="0.2">
      <c r="A682" s="266"/>
      <c r="B682" s="266"/>
      <c r="C682" s="266"/>
      <c r="D682" s="374"/>
      <c r="E682" s="374"/>
      <c r="F682" s="266"/>
      <c r="G682" s="266"/>
      <c r="H682" s="266"/>
      <c r="I682" s="266"/>
      <c r="J682" s="2"/>
      <c r="K682" s="2"/>
      <c r="L682" s="2"/>
      <c r="M682" s="2"/>
      <c r="N682" s="2"/>
      <c r="O682" s="2"/>
      <c r="P682" s="2"/>
      <c r="Q682" s="2"/>
      <c r="R682" s="2"/>
      <c r="S682" s="2"/>
      <c r="T682" s="2"/>
      <c r="U682" s="2"/>
      <c r="V682" s="2"/>
      <c r="W682" s="2"/>
      <c r="X682" s="2"/>
      <c r="Y682" s="2"/>
      <c r="Z682" s="2"/>
    </row>
    <row r="683" spans="1:26" ht="12.75" customHeight="1" x14ac:dyDescent="0.2">
      <c r="A683" s="266"/>
      <c r="B683" s="266"/>
      <c r="C683" s="266"/>
      <c r="D683" s="374"/>
      <c r="E683" s="374"/>
      <c r="F683" s="266"/>
      <c r="G683" s="266"/>
      <c r="H683" s="266"/>
      <c r="I683" s="266"/>
      <c r="J683" s="2"/>
      <c r="K683" s="2"/>
      <c r="L683" s="2"/>
      <c r="M683" s="2"/>
      <c r="N683" s="2"/>
      <c r="O683" s="2"/>
      <c r="P683" s="2"/>
      <c r="Q683" s="2"/>
      <c r="R683" s="2"/>
      <c r="S683" s="2"/>
      <c r="T683" s="2"/>
      <c r="U683" s="2"/>
      <c r="V683" s="2"/>
      <c r="W683" s="2"/>
      <c r="X683" s="2"/>
      <c r="Y683" s="2"/>
      <c r="Z683" s="2"/>
    </row>
    <row r="684" spans="1:26" ht="12.75" customHeight="1" x14ac:dyDescent="0.2">
      <c r="A684" s="266"/>
      <c r="B684" s="266"/>
      <c r="C684" s="266"/>
      <c r="D684" s="374"/>
      <c r="E684" s="374"/>
      <c r="F684" s="266"/>
      <c r="G684" s="266"/>
      <c r="H684" s="266"/>
      <c r="I684" s="266"/>
      <c r="J684" s="2"/>
      <c r="K684" s="2"/>
      <c r="L684" s="2"/>
      <c r="M684" s="2"/>
      <c r="N684" s="2"/>
      <c r="O684" s="2"/>
      <c r="P684" s="2"/>
      <c r="Q684" s="2"/>
      <c r="R684" s="2"/>
      <c r="S684" s="2"/>
      <c r="T684" s="2"/>
      <c r="U684" s="2"/>
      <c r="V684" s="2"/>
      <c r="W684" s="2"/>
      <c r="X684" s="2"/>
      <c r="Y684" s="2"/>
      <c r="Z684" s="2"/>
    </row>
    <row r="685" spans="1:26" ht="12.75" customHeight="1" x14ac:dyDescent="0.2">
      <c r="A685" s="266"/>
      <c r="B685" s="266"/>
      <c r="C685" s="266"/>
      <c r="D685" s="374"/>
      <c r="E685" s="374"/>
      <c r="F685" s="266"/>
      <c r="G685" s="266"/>
      <c r="H685" s="266"/>
      <c r="I685" s="266"/>
      <c r="J685" s="2"/>
      <c r="K685" s="2"/>
      <c r="L685" s="2"/>
      <c r="M685" s="2"/>
      <c r="N685" s="2"/>
      <c r="O685" s="2"/>
      <c r="P685" s="2"/>
      <c r="Q685" s="2"/>
      <c r="R685" s="2"/>
      <c r="S685" s="2"/>
      <c r="T685" s="2"/>
      <c r="U685" s="2"/>
      <c r="V685" s="2"/>
      <c r="W685" s="2"/>
      <c r="X685" s="2"/>
      <c r="Y685" s="2"/>
      <c r="Z685" s="2"/>
    </row>
    <row r="686" spans="1:26" ht="12.75" customHeight="1" x14ac:dyDescent="0.2">
      <c r="A686" s="266"/>
      <c r="B686" s="266"/>
      <c r="C686" s="266"/>
      <c r="D686" s="374"/>
      <c r="E686" s="374"/>
      <c r="F686" s="266"/>
      <c r="G686" s="266"/>
      <c r="H686" s="266"/>
      <c r="I686" s="266"/>
      <c r="J686" s="2"/>
      <c r="K686" s="2"/>
      <c r="L686" s="2"/>
      <c r="M686" s="2"/>
      <c r="N686" s="2"/>
      <c r="O686" s="2"/>
      <c r="P686" s="2"/>
      <c r="Q686" s="2"/>
      <c r="R686" s="2"/>
      <c r="S686" s="2"/>
      <c r="T686" s="2"/>
      <c r="U686" s="2"/>
      <c r="V686" s="2"/>
      <c r="W686" s="2"/>
      <c r="X686" s="2"/>
      <c r="Y686" s="2"/>
      <c r="Z686" s="2"/>
    </row>
    <row r="687" spans="1:26" ht="12.75" customHeight="1" x14ac:dyDescent="0.2">
      <c r="A687" s="266"/>
      <c r="B687" s="266"/>
      <c r="C687" s="266"/>
      <c r="D687" s="374"/>
      <c r="E687" s="374"/>
      <c r="F687" s="266"/>
      <c r="G687" s="266"/>
      <c r="H687" s="266"/>
      <c r="I687" s="266"/>
      <c r="J687" s="2"/>
      <c r="K687" s="2"/>
      <c r="L687" s="2"/>
      <c r="M687" s="2"/>
      <c r="N687" s="2"/>
      <c r="O687" s="2"/>
      <c r="P687" s="2"/>
      <c r="Q687" s="2"/>
      <c r="R687" s="2"/>
      <c r="S687" s="2"/>
      <c r="T687" s="2"/>
      <c r="U687" s="2"/>
      <c r="V687" s="2"/>
      <c r="W687" s="2"/>
      <c r="X687" s="2"/>
      <c r="Y687" s="2"/>
      <c r="Z687" s="2"/>
    </row>
    <row r="688" spans="1:26" ht="12.75" customHeight="1" x14ac:dyDescent="0.2">
      <c r="A688" s="266"/>
      <c r="B688" s="266"/>
      <c r="C688" s="266"/>
      <c r="D688" s="374"/>
      <c r="E688" s="374"/>
      <c r="F688" s="266"/>
      <c r="G688" s="266"/>
      <c r="H688" s="266"/>
      <c r="I688" s="266"/>
      <c r="J688" s="2"/>
      <c r="K688" s="2"/>
      <c r="L688" s="2"/>
      <c r="M688" s="2"/>
      <c r="N688" s="2"/>
      <c r="O688" s="2"/>
      <c r="P688" s="2"/>
      <c r="Q688" s="2"/>
      <c r="R688" s="2"/>
      <c r="S688" s="2"/>
      <c r="T688" s="2"/>
      <c r="U688" s="2"/>
      <c r="V688" s="2"/>
      <c r="W688" s="2"/>
      <c r="X688" s="2"/>
      <c r="Y688" s="2"/>
      <c r="Z688" s="2"/>
    </row>
    <row r="689" spans="1:26" ht="12.75" customHeight="1" x14ac:dyDescent="0.2">
      <c r="A689" s="266"/>
      <c r="B689" s="266"/>
      <c r="C689" s="266"/>
      <c r="D689" s="374"/>
      <c r="E689" s="374"/>
      <c r="F689" s="266"/>
      <c r="G689" s="266"/>
      <c r="H689" s="266"/>
      <c r="I689" s="266"/>
      <c r="J689" s="2"/>
      <c r="K689" s="2"/>
      <c r="L689" s="2"/>
      <c r="M689" s="2"/>
      <c r="N689" s="2"/>
      <c r="O689" s="2"/>
      <c r="P689" s="2"/>
      <c r="Q689" s="2"/>
      <c r="R689" s="2"/>
      <c r="S689" s="2"/>
      <c r="T689" s="2"/>
      <c r="U689" s="2"/>
      <c r="V689" s="2"/>
      <c r="W689" s="2"/>
      <c r="X689" s="2"/>
      <c r="Y689" s="2"/>
      <c r="Z689" s="2"/>
    </row>
    <row r="690" spans="1:26" ht="12.75" customHeight="1" x14ac:dyDescent="0.2">
      <c r="A690" s="266"/>
      <c r="B690" s="266"/>
      <c r="C690" s="266"/>
      <c r="D690" s="374"/>
      <c r="E690" s="374"/>
      <c r="F690" s="266"/>
      <c r="G690" s="266"/>
      <c r="H690" s="266"/>
      <c r="I690" s="266"/>
      <c r="J690" s="2"/>
      <c r="K690" s="2"/>
      <c r="L690" s="2"/>
      <c r="M690" s="2"/>
      <c r="N690" s="2"/>
      <c r="O690" s="2"/>
      <c r="P690" s="2"/>
      <c r="Q690" s="2"/>
      <c r="R690" s="2"/>
      <c r="S690" s="2"/>
      <c r="T690" s="2"/>
      <c r="U690" s="2"/>
      <c r="V690" s="2"/>
      <c r="W690" s="2"/>
      <c r="X690" s="2"/>
      <c r="Y690" s="2"/>
      <c r="Z690" s="2"/>
    </row>
    <row r="691" spans="1:26" ht="12.75" customHeight="1" x14ac:dyDescent="0.2">
      <c r="A691" s="266"/>
      <c r="B691" s="266"/>
      <c r="C691" s="266"/>
      <c r="D691" s="374"/>
      <c r="E691" s="374"/>
      <c r="F691" s="266"/>
      <c r="G691" s="266"/>
      <c r="H691" s="266"/>
      <c r="I691" s="266"/>
      <c r="J691" s="2"/>
      <c r="K691" s="2"/>
      <c r="L691" s="2"/>
      <c r="M691" s="2"/>
      <c r="N691" s="2"/>
      <c r="O691" s="2"/>
      <c r="P691" s="2"/>
      <c r="Q691" s="2"/>
      <c r="R691" s="2"/>
      <c r="S691" s="2"/>
      <c r="T691" s="2"/>
      <c r="U691" s="2"/>
      <c r="V691" s="2"/>
      <c r="W691" s="2"/>
      <c r="X691" s="2"/>
      <c r="Y691" s="2"/>
      <c r="Z691" s="2"/>
    </row>
    <row r="692" spans="1:26" ht="12.75" customHeight="1" x14ac:dyDescent="0.2">
      <c r="A692" s="266"/>
      <c r="B692" s="266"/>
      <c r="C692" s="266"/>
      <c r="D692" s="374"/>
      <c r="E692" s="374"/>
      <c r="F692" s="266"/>
      <c r="G692" s="266"/>
      <c r="H692" s="266"/>
      <c r="I692" s="266"/>
      <c r="J692" s="2"/>
      <c r="K692" s="2"/>
      <c r="L692" s="2"/>
      <c r="M692" s="2"/>
      <c r="N692" s="2"/>
      <c r="O692" s="2"/>
      <c r="P692" s="2"/>
      <c r="Q692" s="2"/>
      <c r="R692" s="2"/>
      <c r="S692" s="2"/>
      <c r="T692" s="2"/>
      <c r="U692" s="2"/>
      <c r="V692" s="2"/>
      <c r="W692" s="2"/>
      <c r="X692" s="2"/>
      <c r="Y692" s="2"/>
      <c r="Z692" s="2"/>
    </row>
    <row r="693" spans="1:26" ht="12.75" customHeight="1" x14ac:dyDescent="0.2">
      <c r="A693" s="266"/>
      <c r="B693" s="266"/>
      <c r="C693" s="266"/>
      <c r="D693" s="374"/>
      <c r="E693" s="374"/>
      <c r="F693" s="266"/>
      <c r="G693" s="266"/>
      <c r="H693" s="266"/>
      <c r="I693" s="266"/>
      <c r="J693" s="2"/>
      <c r="K693" s="2"/>
      <c r="L693" s="2"/>
      <c r="M693" s="2"/>
      <c r="N693" s="2"/>
      <c r="O693" s="2"/>
      <c r="P693" s="2"/>
      <c r="Q693" s="2"/>
      <c r="R693" s="2"/>
      <c r="S693" s="2"/>
      <c r="T693" s="2"/>
      <c r="U693" s="2"/>
      <c r="V693" s="2"/>
      <c r="W693" s="2"/>
      <c r="X693" s="2"/>
      <c r="Y693" s="2"/>
      <c r="Z693" s="2"/>
    </row>
    <row r="694" spans="1:26" ht="12.75" customHeight="1" x14ac:dyDescent="0.2">
      <c r="A694" s="266"/>
      <c r="B694" s="266"/>
      <c r="C694" s="266"/>
      <c r="D694" s="374"/>
      <c r="E694" s="374"/>
      <c r="F694" s="266"/>
      <c r="G694" s="266"/>
      <c r="H694" s="266"/>
      <c r="I694" s="266"/>
      <c r="J694" s="2"/>
      <c r="K694" s="2"/>
      <c r="L694" s="2"/>
      <c r="M694" s="2"/>
      <c r="N694" s="2"/>
      <c r="O694" s="2"/>
      <c r="P694" s="2"/>
      <c r="Q694" s="2"/>
      <c r="R694" s="2"/>
      <c r="S694" s="2"/>
      <c r="T694" s="2"/>
      <c r="U694" s="2"/>
      <c r="V694" s="2"/>
      <c r="W694" s="2"/>
      <c r="X694" s="2"/>
      <c r="Y694" s="2"/>
      <c r="Z694" s="2"/>
    </row>
    <row r="695" spans="1:26" ht="12.75" customHeight="1" x14ac:dyDescent="0.2">
      <c r="A695" s="266"/>
      <c r="B695" s="266"/>
      <c r="C695" s="266"/>
      <c r="D695" s="374"/>
      <c r="E695" s="374"/>
      <c r="F695" s="266"/>
      <c r="G695" s="266"/>
      <c r="H695" s="266"/>
      <c r="I695" s="266"/>
      <c r="J695" s="2"/>
      <c r="K695" s="2"/>
      <c r="L695" s="2"/>
      <c r="M695" s="2"/>
      <c r="N695" s="2"/>
      <c r="O695" s="2"/>
      <c r="P695" s="2"/>
      <c r="Q695" s="2"/>
      <c r="R695" s="2"/>
      <c r="S695" s="2"/>
      <c r="T695" s="2"/>
      <c r="U695" s="2"/>
      <c r="V695" s="2"/>
      <c r="W695" s="2"/>
      <c r="X695" s="2"/>
      <c r="Y695" s="2"/>
      <c r="Z695" s="2"/>
    </row>
    <row r="696" spans="1:26" ht="12.75" customHeight="1" x14ac:dyDescent="0.2">
      <c r="A696" s="266"/>
      <c r="B696" s="266"/>
      <c r="C696" s="266"/>
      <c r="D696" s="374"/>
      <c r="E696" s="374"/>
      <c r="F696" s="266"/>
      <c r="G696" s="266"/>
      <c r="H696" s="266"/>
      <c r="I696" s="266"/>
      <c r="J696" s="2"/>
      <c r="K696" s="2"/>
      <c r="L696" s="2"/>
      <c r="M696" s="2"/>
      <c r="N696" s="2"/>
      <c r="O696" s="2"/>
      <c r="P696" s="2"/>
      <c r="Q696" s="2"/>
      <c r="R696" s="2"/>
      <c r="S696" s="2"/>
      <c r="T696" s="2"/>
      <c r="U696" s="2"/>
      <c r="V696" s="2"/>
      <c r="W696" s="2"/>
      <c r="X696" s="2"/>
      <c r="Y696" s="2"/>
      <c r="Z696" s="2"/>
    </row>
    <row r="697" spans="1:26" ht="12.75" customHeight="1" x14ac:dyDescent="0.2">
      <c r="A697" s="266"/>
      <c r="B697" s="266"/>
      <c r="C697" s="266"/>
      <c r="D697" s="374"/>
      <c r="E697" s="374"/>
      <c r="F697" s="266"/>
      <c r="G697" s="266"/>
      <c r="H697" s="266"/>
      <c r="I697" s="266"/>
      <c r="J697" s="2"/>
      <c r="K697" s="2"/>
      <c r="L697" s="2"/>
      <c r="M697" s="2"/>
      <c r="N697" s="2"/>
      <c r="O697" s="2"/>
      <c r="P697" s="2"/>
      <c r="Q697" s="2"/>
      <c r="R697" s="2"/>
      <c r="S697" s="2"/>
      <c r="T697" s="2"/>
      <c r="U697" s="2"/>
      <c r="V697" s="2"/>
      <c r="W697" s="2"/>
      <c r="X697" s="2"/>
      <c r="Y697" s="2"/>
      <c r="Z697" s="2"/>
    </row>
    <row r="698" spans="1:26" ht="12.75" customHeight="1" x14ac:dyDescent="0.2">
      <c r="A698" s="266"/>
      <c r="B698" s="266"/>
      <c r="C698" s="266"/>
      <c r="D698" s="374"/>
      <c r="E698" s="374"/>
      <c r="F698" s="266"/>
      <c r="G698" s="266"/>
      <c r="H698" s="266"/>
      <c r="I698" s="266"/>
      <c r="J698" s="2"/>
      <c r="K698" s="2"/>
      <c r="L698" s="2"/>
      <c r="M698" s="2"/>
      <c r="N698" s="2"/>
      <c r="O698" s="2"/>
      <c r="P698" s="2"/>
      <c r="Q698" s="2"/>
      <c r="R698" s="2"/>
      <c r="S698" s="2"/>
      <c r="T698" s="2"/>
      <c r="U698" s="2"/>
      <c r="V698" s="2"/>
      <c r="W698" s="2"/>
      <c r="X698" s="2"/>
      <c r="Y698" s="2"/>
      <c r="Z698" s="2"/>
    </row>
    <row r="699" spans="1:26" ht="12.75" customHeight="1" x14ac:dyDescent="0.2">
      <c r="A699" s="266"/>
      <c r="B699" s="266"/>
      <c r="C699" s="266"/>
      <c r="D699" s="374"/>
      <c r="E699" s="374"/>
      <c r="F699" s="266"/>
      <c r="G699" s="266"/>
      <c r="H699" s="266"/>
      <c r="I699" s="266"/>
      <c r="J699" s="2"/>
      <c r="K699" s="2"/>
      <c r="L699" s="2"/>
      <c r="M699" s="2"/>
      <c r="N699" s="2"/>
      <c r="O699" s="2"/>
      <c r="P699" s="2"/>
      <c r="Q699" s="2"/>
      <c r="R699" s="2"/>
      <c r="S699" s="2"/>
      <c r="T699" s="2"/>
      <c r="U699" s="2"/>
      <c r="V699" s="2"/>
      <c r="W699" s="2"/>
      <c r="X699" s="2"/>
      <c r="Y699" s="2"/>
      <c r="Z699" s="2"/>
    </row>
    <row r="700" spans="1:26" ht="12.75" customHeight="1" x14ac:dyDescent="0.2">
      <c r="A700" s="266"/>
      <c r="B700" s="266"/>
      <c r="C700" s="266"/>
      <c r="D700" s="374"/>
      <c r="E700" s="374"/>
      <c r="F700" s="266"/>
      <c r="G700" s="266"/>
      <c r="H700" s="266"/>
      <c r="I700" s="266"/>
      <c r="J700" s="2"/>
      <c r="K700" s="2"/>
      <c r="L700" s="2"/>
      <c r="M700" s="2"/>
      <c r="N700" s="2"/>
      <c r="O700" s="2"/>
      <c r="P700" s="2"/>
      <c r="Q700" s="2"/>
      <c r="R700" s="2"/>
      <c r="S700" s="2"/>
      <c r="T700" s="2"/>
      <c r="U700" s="2"/>
      <c r="V700" s="2"/>
      <c r="W700" s="2"/>
      <c r="X700" s="2"/>
      <c r="Y700" s="2"/>
      <c r="Z700" s="2"/>
    </row>
    <row r="701" spans="1:26" ht="12.75" customHeight="1" x14ac:dyDescent="0.2">
      <c r="A701" s="266"/>
      <c r="B701" s="266"/>
      <c r="C701" s="266"/>
      <c r="D701" s="374"/>
      <c r="E701" s="374"/>
      <c r="F701" s="266"/>
      <c r="G701" s="266"/>
      <c r="H701" s="266"/>
      <c r="I701" s="266"/>
      <c r="J701" s="2"/>
      <c r="K701" s="2"/>
      <c r="L701" s="2"/>
      <c r="M701" s="2"/>
      <c r="N701" s="2"/>
      <c r="O701" s="2"/>
      <c r="P701" s="2"/>
      <c r="Q701" s="2"/>
      <c r="R701" s="2"/>
      <c r="S701" s="2"/>
      <c r="T701" s="2"/>
      <c r="U701" s="2"/>
      <c r="V701" s="2"/>
      <c r="W701" s="2"/>
      <c r="X701" s="2"/>
      <c r="Y701" s="2"/>
      <c r="Z701" s="2"/>
    </row>
    <row r="702" spans="1:26" ht="12.75" customHeight="1" x14ac:dyDescent="0.2">
      <c r="A702" s="266"/>
      <c r="B702" s="266"/>
      <c r="C702" s="266"/>
      <c r="D702" s="374"/>
      <c r="E702" s="374"/>
      <c r="F702" s="266"/>
      <c r="G702" s="266"/>
      <c r="H702" s="266"/>
      <c r="I702" s="266"/>
      <c r="J702" s="2"/>
      <c r="K702" s="2"/>
      <c r="L702" s="2"/>
      <c r="M702" s="2"/>
      <c r="N702" s="2"/>
      <c r="O702" s="2"/>
      <c r="P702" s="2"/>
      <c r="Q702" s="2"/>
      <c r="R702" s="2"/>
      <c r="S702" s="2"/>
      <c r="T702" s="2"/>
      <c r="U702" s="2"/>
      <c r="V702" s="2"/>
      <c r="W702" s="2"/>
      <c r="X702" s="2"/>
      <c r="Y702" s="2"/>
      <c r="Z702" s="2"/>
    </row>
    <row r="703" spans="1:26" ht="12.75" customHeight="1" x14ac:dyDescent="0.2">
      <c r="A703" s="266"/>
      <c r="B703" s="266"/>
      <c r="C703" s="266"/>
      <c r="D703" s="374"/>
      <c r="E703" s="374"/>
      <c r="F703" s="266"/>
      <c r="G703" s="266"/>
      <c r="H703" s="266"/>
      <c r="I703" s="266"/>
      <c r="J703" s="2"/>
      <c r="K703" s="2"/>
      <c r="L703" s="2"/>
      <c r="M703" s="2"/>
      <c r="N703" s="2"/>
      <c r="O703" s="2"/>
      <c r="P703" s="2"/>
      <c r="Q703" s="2"/>
      <c r="R703" s="2"/>
      <c r="S703" s="2"/>
      <c r="T703" s="2"/>
      <c r="U703" s="2"/>
      <c r="V703" s="2"/>
      <c r="W703" s="2"/>
      <c r="X703" s="2"/>
      <c r="Y703" s="2"/>
      <c r="Z703" s="2"/>
    </row>
    <row r="704" spans="1:26" ht="12.75" customHeight="1" x14ac:dyDescent="0.2">
      <c r="A704" s="266"/>
      <c r="B704" s="266"/>
      <c r="C704" s="266"/>
      <c r="D704" s="374"/>
      <c r="E704" s="374"/>
      <c r="F704" s="266"/>
      <c r="G704" s="266"/>
      <c r="H704" s="266"/>
      <c r="I704" s="266"/>
      <c r="J704" s="2"/>
      <c r="K704" s="2"/>
      <c r="L704" s="2"/>
      <c r="M704" s="2"/>
      <c r="N704" s="2"/>
      <c r="O704" s="2"/>
      <c r="P704" s="2"/>
      <c r="Q704" s="2"/>
      <c r="R704" s="2"/>
      <c r="S704" s="2"/>
      <c r="T704" s="2"/>
      <c r="U704" s="2"/>
      <c r="V704" s="2"/>
      <c r="W704" s="2"/>
      <c r="X704" s="2"/>
      <c r="Y704" s="2"/>
      <c r="Z704" s="2"/>
    </row>
    <row r="705" spans="1:26" ht="12.75" customHeight="1" x14ac:dyDescent="0.2">
      <c r="A705" s="266"/>
      <c r="B705" s="266"/>
      <c r="C705" s="266"/>
      <c r="D705" s="374"/>
      <c r="E705" s="374"/>
      <c r="F705" s="266"/>
      <c r="G705" s="266"/>
      <c r="H705" s="266"/>
      <c r="I705" s="266"/>
      <c r="J705" s="2"/>
      <c r="K705" s="2"/>
      <c r="L705" s="2"/>
      <c r="M705" s="2"/>
      <c r="N705" s="2"/>
      <c r="O705" s="2"/>
      <c r="P705" s="2"/>
      <c r="Q705" s="2"/>
      <c r="R705" s="2"/>
      <c r="S705" s="2"/>
      <c r="T705" s="2"/>
      <c r="U705" s="2"/>
      <c r="V705" s="2"/>
      <c r="W705" s="2"/>
      <c r="X705" s="2"/>
      <c r="Y705" s="2"/>
      <c r="Z705" s="2"/>
    </row>
    <row r="706" spans="1:26" ht="12.75" customHeight="1" x14ac:dyDescent="0.2">
      <c r="A706" s="266"/>
      <c r="B706" s="266"/>
      <c r="C706" s="266"/>
      <c r="D706" s="374"/>
      <c r="E706" s="374"/>
      <c r="F706" s="266"/>
      <c r="G706" s="266"/>
      <c r="H706" s="266"/>
      <c r="I706" s="266"/>
      <c r="J706" s="2"/>
      <c r="K706" s="2"/>
      <c r="L706" s="2"/>
      <c r="M706" s="2"/>
      <c r="N706" s="2"/>
      <c r="O706" s="2"/>
      <c r="P706" s="2"/>
      <c r="Q706" s="2"/>
      <c r="R706" s="2"/>
      <c r="S706" s="2"/>
      <c r="T706" s="2"/>
      <c r="U706" s="2"/>
      <c r="V706" s="2"/>
      <c r="W706" s="2"/>
      <c r="X706" s="2"/>
      <c r="Y706" s="2"/>
      <c r="Z706" s="2"/>
    </row>
    <row r="707" spans="1:26" ht="12.75" customHeight="1" x14ac:dyDescent="0.2">
      <c r="A707" s="266"/>
      <c r="B707" s="266"/>
      <c r="C707" s="266"/>
      <c r="D707" s="374"/>
      <c r="E707" s="374"/>
      <c r="F707" s="266"/>
      <c r="G707" s="266"/>
      <c r="H707" s="266"/>
      <c r="I707" s="266"/>
      <c r="J707" s="2"/>
      <c r="K707" s="2"/>
      <c r="L707" s="2"/>
      <c r="M707" s="2"/>
      <c r="N707" s="2"/>
      <c r="O707" s="2"/>
      <c r="P707" s="2"/>
      <c r="Q707" s="2"/>
      <c r="R707" s="2"/>
      <c r="S707" s="2"/>
      <c r="T707" s="2"/>
      <c r="U707" s="2"/>
      <c r="V707" s="2"/>
      <c r="W707" s="2"/>
      <c r="X707" s="2"/>
      <c r="Y707" s="2"/>
      <c r="Z707" s="2"/>
    </row>
    <row r="708" spans="1:26" ht="12.75" customHeight="1" x14ac:dyDescent="0.2">
      <c r="A708" s="266"/>
      <c r="B708" s="266"/>
      <c r="C708" s="266"/>
      <c r="D708" s="374"/>
      <c r="E708" s="374"/>
      <c r="F708" s="266"/>
      <c r="G708" s="266"/>
      <c r="H708" s="266"/>
      <c r="I708" s="266"/>
      <c r="J708" s="2"/>
      <c r="K708" s="2"/>
      <c r="L708" s="2"/>
      <c r="M708" s="2"/>
      <c r="N708" s="2"/>
      <c r="O708" s="2"/>
      <c r="P708" s="2"/>
      <c r="Q708" s="2"/>
      <c r="R708" s="2"/>
      <c r="S708" s="2"/>
      <c r="T708" s="2"/>
      <c r="U708" s="2"/>
      <c r="V708" s="2"/>
      <c r="W708" s="2"/>
      <c r="X708" s="2"/>
      <c r="Y708" s="2"/>
      <c r="Z708" s="2"/>
    </row>
    <row r="709" spans="1:26" ht="12.75" customHeight="1" x14ac:dyDescent="0.2">
      <c r="A709" s="266"/>
      <c r="B709" s="266"/>
      <c r="C709" s="266"/>
      <c r="D709" s="374"/>
      <c r="E709" s="374"/>
      <c r="F709" s="266"/>
      <c r="G709" s="266"/>
      <c r="H709" s="266"/>
      <c r="I709" s="266"/>
      <c r="J709" s="2"/>
      <c r="K709" s="2"/>
      <c r="L709" s="2"/>
      <c r="M709" s="2"/>
      <c r="N709" s="2"/>
      <c r="O709" s="2"/>
      <c r="P709" s="2"/>
      <c r="Q709" s="2"/>
      <c r="R709" s="2"/>
      <c r="S709" s="2"/>
      <c r="T709" s="2"/>
      <c r="U709" s="2"/>
      <c r="V709" s="2"/>
      <c r="W709" s="2"/>
      <c r="X709" s="2"/>
      <c r="Y709" s="2"/>
      <c r="Z709" s="2"/>
    </row>
    <row r="710" spans="1:26" ht="12.75" customHeight="1" x14ac:dyDescent="0.2">
      <c r="A710" s="266"/>
      <c r="B710" s="266"/>
      <c r="C710" s="266"/>
      <c r="D710" s="374"/>
      <c r="E710" s="374"/>
      <c r="F710" s="266"/>
      <c r="G710" s="266"/>
      <c r="H710" s="266"/>
      <c r="I710" s="266"/>
      <c r="J710" s="2"/>
      <c r="K710" s="2"/>
      <c r="L710" s="2"/>
      <c r="M710" s="2"/>
      <c r="N710" s="2"/>
      <c r="O710" s="2"/>
      <c r="P710" s="2"/>
      <c r="Q710" s="2"/>
      <c r="R710" s="2"/>
      <c r="S710" s="2"/>
      <c r="T710" s="2"/>
      <c r="U710" s="2"/>
      <c r="V710" s="2"/>
      <c r="W710" s="2"/>
      <c r="X710" s="2"/>
      <c r="Y710" s="2"/>
      <c r="Z710" s="2"/>
    </row>
    <row r="711" spans="1:26" ht="12.75" customHeight="1" x14ac:dyDescent="0.2">
      <c r="A711" s="266"/>
      <c r="B711" s="266"/>
      <c r="C711" s="266"/>
      <c r="D711" s="374"/>
      <c r="E711" s="374"/>
      <c r="F711" s="266"/>
      <c r="G711" s="266"/>
      <c r="H711" s="266"/>
      <c r="I711" s="266"/>
      <c r="J711" s="2"/>
      <c r="K711" s="2"/>
      <c r="L711" s="2"/>
      <c r="M711" s="2"/>
      <c r="N711" s="2"/>
      <c r="O711" s="2"/>
      <c r="P711" s="2"/>
      <c r="Q711" s="2"/>
      <c r="R711" s="2"/>
      <c r="S711" s="2"/>
      <c r="T711" s="2"/>
      <c r="U711" s="2"/>
      <c r="V711" s="2"/>
      <c r="W711" s="2"/>
      <c r="X711" s="2"/>
      <c r="Y711" s="2"/>
      <c r="Z711" s="2"/>
    </row>
    <row r="712" spans="1:26" ht="12.75" customHeight="1" x14ac:dyDescent="0.2">
      <c r="A712" s="266"/>
      <c r="B712" s="266"/>
      <c r="C712" s="266"/>
      <c r="D712" s="374"/>
      <c r="E712" s="374"/>
      <c r="F712" s="266"/>
      <c r="G712" s="266"/>
      <c r="H712" s="266"/>
      <c r="I712" s="266"/>
      <c r="J712" s="2"/>
      <c r="K712" s="2"/>
      <c r="L712" s="2"/>
      <c r="M712" s="2"/>
      <c r="N712" s="2"/>
      <c r="O712" s="2"/>
      <c r="P712" s="2"/>
      <c r="Q712" s="2"/>
      <c r="R712" s="2"/>
      <c r="S712" s="2"/>
      <c r="T712" s="2"/>
      <c r="U712" s="2"/>
      <c r="V712" s="2"/>
      <c r="W712" s="2"/>
      <c r="X712" s="2"/>
      <c r="Y712" s="2"/>
      <c r="Z712" s="2"/>
    </row>
    <row r="713" spans="1:26" ht="12.75" customHeight="1" x14ac:dyDescent="0.2">
      <c r="A713" s="266"/>
      <c r="B713" s="266"/>
      <c r="C713" s="266"/>
      <c r="D713" s="374"/>
      <c r="E713" s="374"/>
      <c r="F713" s="266"/>
      <c r="G713" s="266"/>
      <c r="H713" s="266"/>
      <c r="I713" s="266"/>
      <c r="J713" s="2"/>
      <c r="K713" s="2"/>
      <c r="L713" s="2"/>
      <c r="M713" s="2"/>
      <c r="N713" s="2"/>
      <c r="O713" s="2"/>
      <c r="P713" s="2"/>
      <c r="Q713" s="2"/>
      <c r="R713" s="2"/>
      <c r="S713" s="2"/>
      <c r="T713" s="2"/>
      <c r="U713" s="2"/>
      <c r="V713" s="2"/>
      <c r="W713" s="2"/>
      <c r="X713" s="2"/>
      <c r="Y713" s="2"/>
      <c r="Z713" s="2"/>
    </row>
    <row r="714" spans="1:26" ht="12.75" customHeight="1" x14ac:dyDescent="0.2">
      <c r="A714" s="266"/>
      <c r="B714" s="266"/>
      <c r="C714" s="266"/>
      <c r="D714" s="374"/>
      <c r="E714" s="374"/>
      <c r="F714" s="266"/>
      <c r="G714" s="266"/>
      <c r="H714" s="266"/>
      <c r="I714" s="266"/>
      <c r="J714" s="2"/>
      <c r="K714" s="2"/>
      <c r="L714" s="2"/>
      <c r="M714" s="2"/>
      <c r="N714" s="2"/>
      <c r="O714" s="2"/>
      <c r="P714" s="2"/>
      <c r="Q714" s="2"/>
      <c r="R714" s="2"/>
      <c r="S714" s="2"/>
      <c r="T714" s="2"/>
      <c r="U714" s="2"/>
      <c r="V714" s="2"/>
      <c r="W714" s="2"/>
      <c r="X714" s="2"/>
      <c r="Y714" s="2"/>
      <c r="Z714" s="2"/>
    </row>
    <row r="715" spans="1:26" ht="12.75" customHeight="1" x14ac:dyDescent="0.2">
      <c r="A715" s="266"/>
      <c r="B715" s="266"/>
      <c r="C715" s="266"/>
      <c r="D715" s="374"/>
      <c r="E715" s="374"/>
      <c r="F715" s="266"/>
      <c r="G715" s="266"/>
      <c r="H715" s="266"/>
      <c r="I715" s="266"/>
      <c r="J715" s="2"/>
      <c r="K715" s="2"/>
      <c r="L715" s="2"/>
      <c r="M715" s="2"/>
      <c r="N715" s="2"/>
      <c r="O715" s="2"/>
      <c r="P715" s="2"/>
      <c r="Q715" s="2"/>
      <c r="R715" s="2"/>
      <c r="S715" s="2"/>
      <c r="T715" s="2"/>
      <c r="U715" s="2"/>
      <c r="V715" s="2"/>
      <c r="W715" s="2"/>
      <c r="X715" s="2"/>
      <c r="Y715" s="2"/>
      <c r="Z715" s="2"/>
    </row>
    <row r="716" spans="1:26" ht="12.75" customHeight="1" x14ac:dyDescent="0.2">
      <c r="A716" s="266"/>
      <c r="B716" s="266"/>
      <c r="C716" s="266"/>
      <c r="D716" s="374"/>
      <c r="E716" s="374"/>
      <c r="F716" s="266"/>
      <c r="G716" s="266"/>
      <c r="H716" s="266"/>
      <c r="I716" s="266"/>
      <c r="J716" s="2"/>
      <c r="K716" s="2"/>
      <c r="L716" s="2"/>
      <c r="M716" s="2"/>
      <c r="N716" s="2"/>
      <c r="O716" s="2"/>
      <c r="P716" s="2"/>
      <c r="Q716" s="2"/>
      <c r="R716" s="2"/>
      <c r="S716" s="2"/>
      <c r="T716" s="2"/>
      <c r="U716" s="2"/>
      <c r="V716" s="2"/>
      <c r="W716" s="2"/>
      <c r="X716" s="2"/>
      <c r="Y716" s="2"/>
      <c r="Z716" s="2"/>
    </row>
    <row r="717" spans="1:26" ht="12.75" customHeight="1" x14ac:dyDescent="0.2">
      <c r="A717" s="266"/>
      <c r="B717" s="266"/>
      <c r="C717" s="266"/>
      <c r="D717" s="374"/>
      <c r="E717" s="374"/>
      <c r="F717" s="266"/>
      <c r="G717" s="266"/>
      <c r="H717" s="266"/>
      <c r="I717" s="266"/>
      <c r="J717" s="2"/>
      <c r="K717" s="2"/>
      <c r="L717" s="2"/>
      <c r="M717" s="2"/>
      <c r="N717" s="2"/>
      <c r="O717" s="2"/>
      <c r="P717" s="2"/>
      <c r="Q717" s="2"/>
      <c r="R717" s="2"/>
      <c r="S717" s="2"/>
      <c r="T717" s="2"/>
      <c r="U717" s="2"/>
      <c r="V717" s="2"/>
      <c r="W717" s="2"/>
      <c r="X717" s="2"/>
      <c r="Y717" s="2"/>
      <c r="Z717" s="2"/>
    </row>
    <row r="718" spans="1:26" ht="12.75" customHeight="1" x14ac:dyDescent="0.2">
      <c r="A718" s="266"/>
      <c r="B718" s="266"/>
      <c r="C718" s="266"/>
      <c r="D718" s="374"/>
      <c r="E718" s="374"/>
      <c r="F718" s="266"/>
      <c r="G718" s="266"/>
      <c r="H718" s="266"/>
      <c r="I718" s="266"/>
      <c r="J718" s="2"/>
      <c r="K718" s="2"/>
      <c r="L718" s="2"/>
      <c r="M718" s="2"/>
      <c r="N718" s="2"/>
      <c r="O718" s="2"/>
      <c r="P718" s="2"/>
      <c r="Q718" s="2"/>
      <c r="R718" s="2"/>
      <c r="S718" s="2"/>
      <c r="T718" s="2"/>
      <c r="U718" s="2"/>
      <c r="V718" s="2"/>
      <c r="W718" s="2"/>
      <c r="X718" s="2"/>
      <c r="Y718" s="2"/>
      <c r="Z718" s="2"/>
    </row>
    <row r="719" spans="1:26" ht="12.75" customHeight="1" x14ac:dyDescent="0.2">
      <c r="A719" s="266"/>
      <c r="B719" s="266"/>
      <c r="C719" s="266"/>
      <c r="D719" s="374"/>
      <c r="E719" s="374"/>
      <c r="F719" s="266"/>
      <c r="G719" s="266"/>
      <c r="H719" s="266"/>
      <c r="I719" s="266"/>
      <c r="J719" s="2"/>
      <c r="K719" s="2"/>
      <c r="L719" s="2"/>
      <c r="M719" s="2"/>
      <c r="N719" s="2"/>
      <c r="O719" s="2"/>
      <c r="P719" s="2"/>
      <c r="Q719" s="2"/>
      <c r="R719" s="2"/>
      <c r="S719" s="2"/>
      <c r="T719" s="2"/>
      <c r="U719" s="2"/>
      <c r="V719" s="2"/>
      <c r="W719" s="2"/>
      <c r="X719" s="2"/>
      <c r="Y719" s="2"/>
      <c r="Z719" s="2"/>
    </row>
    <row r="720" spans="1:26" ht="12.75" customHeight="1" x14ac:dyDescent="0.2">
      <c r="A720" s="266"/>
      <c r="B720" s="266"/>
      <c r="C720" s="266"/>
      <c r="D720" s="374"/>
      <c r="E720" s="374"/>
      <c r="F720" s="266"/>
      <c r="G720" s="266"/>
      <c r="H720" s="266"/>
      <c r="I720" s="266"/>
      <c r="J720" s="2"/>
      <c r="K720" s="2"/>
      <c r="L720" s="2"/>
      <c r="M720" s="2"/>
      <c r="N720" s="2"/>
      <c r="O720" s="2"/>
      <c r="P720" s="2"/>
      <c r="Q720" s="2"/>
      <c r="R720" s="2"/>
      <c r="S720" s="2"/>
      <c r="T720" s="2"/>
      <c r="U720" s="2"/>
      <c r="V720" s="2"/>
      <c r="W720" s="2"/>
      <c r="X720" s="2"/>
      <c r="Y720" s="2"/>
      <c r="Z720" s="2"/>
    </row>
    <row r="721" spans="1:26" ht="12.75" customHeight="1" x14ac:dyDescent="0.2">
      <c r="A721" s="266"/>
      <c r="B721" s="266"/>
      <c r="C721" s="266"/>
      <c r="D721" s="374"/>
      <c r="E721" s="374"/>
      <c r="F721" s="266"/>
      <c r="G721" s="266"/>
      <c r="H721" s="266"/>
      <c r="I721" s="266"/>
      <c r="J721" s="2"/>
      <c r="K721" s="2"/>
      <c r="L721" s="2"/>
      <c r="M721" s="2"/>
      <c r="N721" s="2"/>
      <c r="O721" s="2"/>
      <c r="P721" s="2"/>
      <c r="Q721" s="2"/>
      <c r="R721" s="2"/>
      <c r="S721" s="2"/>
      <c r="T721" s="2"/>
      <c r="U721" s="2"/>
      <c r="V721" s="2"/>
      <c r="W721" s="2"/>
      <c r="X721" s="2"/>
      <c r="Y721" s="2"/>
      <c r="Z721" s="2"/>
    </row>
    <row r="722" spans="1:26" ht="12.75" customHeight="1" x14ac:dyDescent="0.2">
      <c r="A722" s="266"/>
      <c r="B722" s="266"/>
      <c r="C722" s="266"/>
      <c r="D722" s="374"/>
      <c r="E722" s="374"/>
      <c r="F722" s="266"/>
      <c r="G722" s="266"/>
      <c r="H722" s="266"/>
      <c r="I722" s="266"/>
      <c r="J722" s="2"/>
      <c r="K722" s="2"/>
      <c r="L722" s="2"/>
      <c r="M722" s="2"/>
      <c r="N722" s="2"/>
      <c r="O722" s="2"/>
      <c r="P722" s="2"/>
      <c r="Q722" s="2"/>
      <c r="R722" s="2"/>
      <c r="S722" s="2"/>
      <c r="T722" s="2"/>
      <c r="U722" s="2"/>
      <c r="V722" s="2"/>
      <c r="W722" s="2"/>
      <c r="X722" s="2"/>
      <c r="Y722" s="2"/>
      <c r="Z722" s="2"/>
    </row>
    <row r="723" spans="1:26" ht="15.75" customHeight="1" x14ac:dyDescent="0.2"/>
    <row r="724" spans="1:26" ht="15.75" customHeight="1" x14ac:dyDescent="0.2"/>
    <row r="725" spans="1:26" ht="15.75" customHeight="1" x14ac:dyDescent="0.2"/>
    <row r="726" spans="1:26" ht="15.75" customHeight="1" x14ac:dyDescent="0.2"/>
    <row r="727" spans="1:26" ht="15.75" customHeight="1" x14ac:dyDescent="0.2"/>
    <row r="728" spans="1:26" ht="15.75" customHeight="1" x14ac:dyDescent="0.2"/>
    <row r="729" spans="1:26" ht="15.75" customHeight="1" x14ac:dyDescent="0.2"/>
    <row r="730" spans="1:26" ht="15.75" customHeight="1" x14ac:dyDescent="0.2"/>
    <row r="731" spans="1:26" ht="15.75" customHeight="1" x14ac:dyDescent="0.2"/>
    <row r="732" spans="1:26" ht="15.75" customHeight="1" x14ac:dyDescent="0.2"/>
    <row r="733" spans="1:26" ht="15.75" customHeight="1" x14ac:dyDescent="0.2"/>
    <row r="734" spans="1:26" ht="15.75" customHeight="1" x14ac:dyDescent="0.2"/>
    <row r="735" spans="1:26" ht="15.75" customHeight="1" x14ac:dyDescent="0.2"/>
    <row r="736" spans="1:2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I1"/>
    <mergeCell ref="A2:I2"/>
    <mergeCell ref="A3:I3"/>
  </mergeCells>
  <dataValidations count="1">
    <dataValidation type="list" allowBlank="1" showErrorMessage="1" sqref="C5:C94">
      <formula1>$F$510:$F$523</formula1>
    </dataValidation>
  </dataValidations>
  <pageMargins left="0.19685039370078741" right="0.19685039370078741" top="0.59055118110236227" bottom="0.59055118110236227" header="0" footer="0"/>
  <pageSetup paperSize="9" scale="64" fitToHeight="0" pageOrder="overThenDown"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773"/>
  <sheetViews>
    <sheetView showGridLines="0" zoomScaleNormal="100" workbookViewId="0">
      <pane ySplit="4" topLeftCell="A311" activePane="bottomLeft" state="frozen"/>
      <selection pane="bottomLeft" activeCell="H312" sqref="H312:K313"/>
    </sheetView>
  </sheetViews>
  <sheetFormatPr defaultColWidth="14.42578125" defaultRowHeight="15" customHeight="1" x14ac:dyDescent="0.2"/>
  <cols>
    <col min="1" max="1" width="4" style="586" customWidth="1"/>
    <col min="2" max="2" width="7.7109375" style="586" customWidth="1"/>
    <col min="3" max="3" width="14.140625" style="586" customWidth="1"/>
    <col min="4" max="4" width="21" style="586" customWidth="1"/>
    <col min="5" max="5" width="15.28515625" style="586" customWidth="1"/>
    <col min="6" max="6" width="54.28515625" style="586" customWidth="1"/>
    <col min="7" max="7" width="24.7109375" style="586" customWidth="1"/>
    <col min="8" max="8" width="30.140625" style="586" customWidth="1"/>
    <col min="9" max="9" width="18.140625" style="586" customWidth="1"/>
    <col min="10" max="10" width="19.85546875" style="586" customWidth="1"/>
    <col min="11" max="11" width="20.42578125" style="586" customWidth="1"/>
    <col min="12" max="12" width="19.28515625" style="586" customWidth="1"/>
    <col min="13" max="13" width="14.28515625" style="586" customWidth="1"/>
    <col min="14" max="14" width="13" style="586" customWidth="1"/>
    <col min="15" max="26" width="9.140625" style="586" customWidth="1"/>
    <col min="27" max="16384" width="14.42578125" style="586"/>
  </cols>
  <sheetData>
    <row r="1" spans="1:26" ht="32.25" customHeight="1" x14ac:dyDescent="0.2">
      <c r="A1" s="741" t="str">
        <f>Capa!A1</f>
        <v>Contrato de Gestão nº. 05/20 celebrado entre a Fundação Clóvis Salgado e a Associação Pró-Cultura e Promoção das Artes</v>
      </c>
      <c r="B1" s="742"/>
      <c r="C1" s="742"/>
      <c r="D1" s="742"/>
      <c r="E1" s="742"/>
      <c r="F1" s="742"/>
      <c r="G1" s="742"/>
      <c r="H1" s="742"/>
      <c r="I1" s="595"/>
      <c r="J1" s="595"/>
      <c r="K1" s="595"/>
      <c r="L1" s="595"/>
      <c r="M1" s="595"/>
      <c r="N1" s="595"/>
      <c r="O1" s="596"/>
      <c r="P1" s="596"/>
      <c r="Q1" s="597"/>
      <c r="R1" s="597"/>
      <c r="S1" s="596"/>
      <c r="T1" s="596"/>
      <c r="U1" s="596"/>
      <c r="V1" s="596"/>
      <c r="W1" s="596"/>
      <c r="X1" s="596"/>
      <c r="Y1" s="596"/>
      <c r="Z1" s="596"/>
    </row>
    <row r="2" spans="1:26" ht="19.5" customHeight="1" x14ac:dyDescent="0.2">
      <c r="A2" s="741" t="str">
        <f>Capa!A3</f>
        <v>8º Relatório Gerencial Financeiro</v>
      </c>
      <c r="B2" s="742"/>
      <c r="C2" s="742"/>
      <c r="D2" s="742"/>
      <c r="E2" s="742"/>
      <c r="F2" s="742"/>
      <c r="G2" s="742"/>
      <c r="H2" s="742"/>
      <c r="I2" s="595"/>
      <c r="J2" s="595"/>
      <c r="K2" s="595"/>
      <c r="L2" s="595"/>
      <c r="M2" s="595"/>
      <c r="N2" s="595"/>
      <c r="O2" s="596"/>
      <c r="P2" s="596"/>
      <c r="Q2" s="597"/>
      <c r="R2" s="597"/>
      <c r="S2" s="596"/>
      <c r="T2" s="596"/>
      <c r="U2" s="596"/>
      <c r="V2" s="596"/>
      <c r="W2" s="596"/>
      <c r="X2" s="596"/>
      <c r="Y2" s="596"/>
      <c r="Z2" s="596"/>
    </row>
    <row r="3" spans="1:26" ht="19.5" customHeight="1" thickBot="1" x14ac:dyDescent="0.25">
      <c r="A3" s="743" t="s">
        <v>416</v>
      </c>
      <c r="B3" s="744"/>
      <c r="C3" s="744"/>
      <c r="D3" s="744"/>
      <c r="E3" s="744"/>
      <c r="F3" s="744"/>
      <c r="G3" s="744"/>
      <c r="H3" s="744"/>
      <c r="I3" s="595"/>
      <c r="J3" s="595"/>
      <c r="K3" s="595"/>
      <c r="L3" s="595"/>
      <c r="M3" s="595"/>
      <c r="N3" s="595"/>
      <c r="O3" s="596"/>
      <c r="P3" s="596"/>
      <c r="Q3" s="598"/>
      <c r="R3" s="598"/>
      <c r="S3" s="596"/>
      <c r="T3" s="596"/>
      <c r="U3" s="596"/>
      <c r="V3" s="596"/>
      <c r="W3" s="596"/>
      <c r="X3" s="596"/>
      <c r="Y3" s="596"/>
      <c r="Z3" s="596"/>
    </row>
    <row r="4" spans="1:26" ht="38.25" customHeight="1" x14ac:dyDescent="0.2">
      <c r="A4" s="233" t="s">
        <v>417</v>
      </c>
      <c r="B4" s="234" t="s">
        <v>418</v>
      </c>
      <c r="C4" s="235" t="s">
        <v>419</v>
      </c>
      <c r="D4" s="235" t="s">
        <v>420</v>
      </c>
      <c r="E4" s="236" t="s">
        <v>112</v>
      </c>
      <c r="F4" s="233" t="s">
        <v>421</v>
      </c>
      <c r="G4" s="237" t="s">
        <v>422</v>
      </c>
      <c r="H4" s="570" t="s">
        <v>423</v>
      </c>
      <c r="I4" s="571" t="s">
        <v>424</v>
      </c>
      <c r="J4" s="238" t="s">
        <v>425</v>
      </c>
      <c r="K4" s="238" t="s">
        <v>426</v>
      </c>
      <c r="L4" s="238" t="s">
        <v>427</v>
      </c>
      <c r="M4" s="239" t="s">
        <v>428</v>
      </c>
      <c r="N4" s="239" t="s">
        <v>429</v>
      </c>
      <c r="O4" s="596"/>
      <c r="P4" s="596"/>
      <c r="Q4" s="126" t="s">
        <v>419</v>
      </c>
      <c r="R4" s="240" t="s">
        <v>430</v>
      </c>
      <c r="S4" s="596"/>
      <c r="T4" s="596"/>
      <c r="U4" s="596"/>
      <c r="V4" s="596"/>
      <c r="W4" s="596"/>
      <c r="X4" s="596"/>
      <c r="Y4" s="596"/>
      <c r="Z4" s="596"/>
    </row>
    <row r="5" spans="1:26" ht="3.75" customHeight="1" x14ac:dyDescent="0.2">
      <c r="A5" s="241"/>
      <c r="B5" s="242"/>
      <c r="C5" s="243"/>
      <c r="D5" s="243"/>
      <c r="E5" s="244"/>
      <c r="F5" s="243"/>
      <c r="G5" s="243" t="s">
        <v>114</v>
      </c>
      <c r="H5" s="243"/>
      <c r="I5" s="245"/>
      <c r="J5" s="245"/>
      <c r="K5" s="245"/>
      <c r="L5" s="245"/>
      <c r="M5" s="246"/>
      <c r="N5" s="246"/>
      <c r="O5" s="596"/>
      <c r="P5" s="596"/>
      <c r="Q5" s="599" t="str">
        <f>SUBSTITUTE(C5," ","_")</f>
        <v/>
      </c>
      <c r="R5" s="247" t="str">
        <f>IF(B5="","",IF(YEAR(B5)='Diário 5º PA'!$Q$1,MONTH(B5)-'Diário 5º PA'!$P$1+1,(YEAR(B5)-'Diário 5º PA'!$Q$1)*12-'Diário 5º PA'!$P$1+1+MONTH(B5)))</f>
        <v/>
      </c>
      <c r="S5" s="596"/>
      <c r="T5" s="596"/>
      <c r="U5" s="596"/>
      <c r="V5" s="596"/>
      <c r="W5" s="596"/>
      <c r="X5" s="596"/>
      <c r="Y5" s="596"/>
      <c r="Z5" s="596"/>
    </row>
    <row r="6" spans="1:26" ht="112.5" customHeight="1" x14ac:dyDescent="0.2">
      <c r="A6" s="248">
        <v>1</v>
      </c>
      <c r="B6" s="249">
        <v>44166</v>
      </c>
      <c r="C6" s="250" t="s">
        <v>99</v>
      </c>
      <c r="D6" s="250" t="s">
        <v>244</v>
      </c>
      <c r="E6" s="251">
        <v>1500</v>
      </c>
      <c r="F6" s="452" t="s">
        <v>431</v>
      </c>
      <c r="G6" s="250" t="s">
        <v>115</v>
      </c>
      <c r="H6" s="252" t="s">
        <v>432</v>
      </c>
      <c r="I6" s="253" t="s">
        <v>433</v>
      </c>
      <c r="J6" s="253"/>
      <c r="K6" s="253"/>
      <c r="L6" s="253"/>
      <c r="M6" s="254"/>
      <c r="N6" s="254"/>
      <c r="O6" s="596"/>
      <c r="P6" s="596"/>
      <c r="Q6" s="599" t="str">
        <f t="shared" ref="Q6" si="0">SUBSTITUTE(C6," ","_")</f>
        <v>Gastos_Gerais</v>
      </c>
      <c r="R6" s="247">
        <f>IF(B6="","",IF(YEAR(B6)='Diário 5º PA'!$Q$1,MONTH(B6)-'Diário 5º PA'!$P$1+1,(YEAR(B6)-'Diário 5º PA'!$Q$1)*12-'Diário 5º PA'!$P$1+1+MONTH(B6)))</f>
        <v>0</v>
      </c>
      <c r="S6" s="596"/>
      <c r="T6" s="596"/>
      <c r="U6" s="596"/>
      <c r="V6" s="596"/>
      <c r="W6" s="596"/>
      <c r="X6" s="596"/>
      <c r="Y6" s="596"/>
      <c r="Z6" s="596"/>
    </row>
    <row r="7" spans="1:26" ht="120" customHeight="1" x14ac:dyDescent="0.2">
      <c r="A7" s="248">
        <v>2</v>
      </c>
      <c r="B7" s="249">
        <v>44136</v>
      </c>
      <c r="C7" s="250" t="s">
        <v>99</v>
      </c>
      <c r="D7" s="250" t="s">
        <v>224</v>
      </c>
      <c r="E7" s="251">
        <f>7000-1208.5-2009-1175.27</f>
        <v>2607.23</v>
      </c>
      <c r="F7" s="452" t="s">
        <v>434</v>
      </c>
      <c r="G7" s="250" t="s">
        <v>123</v>
      </c>
      <c r="H7" s="252" t="s">
        <v>435</v>
      </c>
      <c r="I7" s="253" t="s">
        <v>436</v>
      </c>
      <c r="J7" s="253"/>
      <c r="K7" s="253"/>
      <c r="L7" s="253"/>
      <c r="M7" s="254"/>
      <c r="N7" s="254"/>
      <c r="O7" s="596"/>
      <c r="P7" s="596"/>
      <c r="Q7" s="599" t="str">
        <f t="shared" ref="Q7:Q70" si="1">SUBSTITUTE(C7," ","_")</f>
        <v>Gastos_Gerais</v>
      </c>
      <c r="R7" s="247">
        <f>IF(B7="","",IF(YEAR(B7)='Diário 5º PA'!$Q$1,MONTH(B7)-'Diário 5º PA'!$P$1+1,(YEAR(B7)-'Diário 5º PA'!$Q$1)*12-'Diário 5º PA'!$P$1+1+MONTH(B7)))</f>
        <v>-1</v>
      </c>
      <c r="S7" s="596"/>
      <c r="T7" s="596"/>
      <c r="U7" s="596"/>
      <c r="V7" s="596"/>
      <c r="W7" s="596"/>
      <c r="X7" s="596"/>
      <c r="Y7" s="596"/>
      <c r="Z7" s="596"/>
    </row>
    <row r="8" spans="1:26" ht="120" customHeight="1" x14ac:dyDescent="0.2">
      <c r="A8" s="248">
        <v>3</v>
      </c>
      <c r="B8" s="249">
        <v>44166</v>
      </c>
      <c r="C8" s="250" t="s">
        <v>99</v>
      </c>
      <c r="D8" s="250" t="s">
        <v>224</v>
      </c>
      <c r="E8" s="251">
        <v>7000</v>
      </c>
      <c r="F8" s="452" t="s">
        <v>434</v>
      </c>
      <c r="G8" s="250" t="s">
        <v>123</v>
      </c>
      <c r="H8" s="252" t="s">
        <v>435</v>
      </c>
      <c r="I8" s="253" t="s">
        <v>436</v>
      </c>
      <c r="J8" s="253"/>
      <c r="K8" s="253"/>
      <c r="L8" s="253"/>
      <c r="M8" s="254"/>
      <c r="N8" s="254"/>
      <c r="O8" s="596"/>
      <c r="P8" s="596"/>
      <c r="Q8" s="599" t="str">
        <f t="shared" si="1"/>
        <v>Gastos_Gerais</v>
      </c>
      <c r="R8" s="247">
        <f>IF(B8="","",IF(YEAR(B8)='Diário 5º PA'!$Q$1,MONTH(B8)-'Diário 5º PA'!$P$1+1,(YEAR(B8)-'Diário 5º PA'!$Q$1)*12-'Diário 5º PA'!$P$1+1+MONTH(B8)))</f>
        <v>0</v>
      </c>
      <c r="S8" s="596"/>
      <c r="T8" s="596"/>
      <c r="U8" s="596"/>
      <c r="V8" s="596"/>
      <c r="W8" s="596"/>
      <c r="X8" s="596"/>
      <c r="Y8" s="596"/>
      <c r="Z8" s="596"/>
    </row>
    <row r="9" spans="1:26" ht="87" customHeight="1" x14ac:dyDescent="0.2">
      <c r="A9" s="248">
        <v>4</v>
      </c>
      <c r="B9" s="249">
        <v>44531</v>
      </c>
      <c r="C9" s="250" t="s">
        <v>99</v>
      </c>
      <c r="D9" s="250" t="s">
        <v>312</v>
      </c>
      <c r="E9" s="251">
        <v>527.4</v>
      </c>
      <c r="F9" s="452" t="s">
        <v>439</v>
      </c>
      <c r="G9" s="250" t="s">
        <v>115</v>
      </c>
      <c r="H9" s="252" t="s">
        <v>440</v>
      </c>
      <c r="I9" s="253" t="s">
        <v>441</v>
      </c>
      <c r="J9" s="253"/>
      <c r="K9" s="253"/>
      <c r="L9" s="253"/>
      <c r="M9" s="254"/>
      <c r="N9" s="254"/>
      <c r="O9" s="596"/>
      <c r="P9" s="596"/>
      <c r="Q9" s="599" t="str">
        <f t="shared" si="1"/>
        <v>Gastos_Gerais</v>
      </c>
      <c r="R9" s="247">
        <f>IF(B9="","",IF(YEAR(B9)='Diário 5º PA'!$Q$1,MONTH(B9)-'Diário 5º PA'!$P$1+1,(YEAR(B9)-'Diário 5º PA'!$Q$1)*12-'Diário 5º PA'!$P$1+1+MONTH(B9)))</f>
        <v>12</v>
      </c>
      <c r="S9" s="600"/>
      <c r="T9" s="600"/>
      <c r="U9" s="600"/>
      <c r="V9" s="600"/>
      <c r="W9" s="600"/>
      <c r="X9" s="600"/>
      <c r="Y9" s="600"/>
      <c r="Z9" s="600"/>
    </row>
    <row r="10" spans="1:26" ht="123.75" customHeight="1" x14ac:dyDescent="0.2">
      <c r="A10" s="248">
        <v>5</v>
      </c>
      <c r="B10" s="249">
        <v>44105</v>
      </c>
      <c r="C10" s="250" t="s">
        <v>104</v>
      </c>
      <c r="D10" s="250" t="s">
        <v>104</v>
      </c>
      <c r="E10" s="251">
        <v>100</v>
      </c>
      <c r="F10" s="452" t="s">
        <v>442</v>
      </c>
      <c r="G10" s="250" t="s">
        <v>104</v>
      </c>
      <c r="H10" s="252" t="s">
        <v>443</v>
      </c>
      <c r="I10" s="253" t="s">
        <v>444</v>
      </c>
      <c r="J10" s="253"/>
      <c r="K10" s="253"/>
      <c r="L10" s="253"/>
      <c r="M10" s="254"/>
      <c r="N10" s="254"/>
      <c r="O10" s="596"/>
      <c r="P10" s="596"/>
      <c r="Q10" s="599" t="str">
        <f t="shared" si="1"/>
        <v>Gastos_custeados_por_captação</v>
      </c>
      <c r="R10" s="247">
        <f>IF(B10="","",IF(YEAR(B10)='Diário 5º PA'!$Q$1,MONTH(B10)-'Diário 5º PA'!$P$1+1,(YEAR(B10)-'Diário 5º PA'!$Q$1)*12-'Diário 5º PA'!$P$1+1+MONTH(B10)))</f>
        <v>-2</v>
      </c>
      <c r="S10" s="596"/>
      <c r="T10" s="596"/>
      <c r="U10" s="596"/>
      <c r="V10" s="596"/>
      <c r="W10" s="596"/>
      <c r="X10" s="596"/>
      <c r="Y10" s="596"/>
      <c r="Z10" s="596"/>
    </row>
    <row r="11" spans="1:26" ht="127.5" customHeight="1" x14ac:dyDescent="0.2">
      <c r="A11" s="248">
        <v>6</v>
      </c>
      <c r="B11" s="249">
        <v>44531</v>
      </c>
      <c r="C11" s="250" t="s">
        <v>99</v>
      </c>
      <c r="D11" s="250" t="s">
        <v>254</v>
      </c>
      <c r="E11" s="251">
        <v>320.12</v>
      </c>
      <c r="F11" s="452" t="s">
        <v>445</v>
      </c>
      <c r="G11" s="250" t="s">
        <v>115</v>
      </c>
      <c r="H11" s="252" t="s">
        <v>446</v>
      </c>
      <c r="I11" s="253" t="s">
        <v>447</v>
      </c>
      <c r="J11" s="253"/>
      <c r="K11" s="253"/>
      <c r="L11" s="253"/>
      <c r="M11" s="254"/>
      <c r="N11" s="254"/>
      <c r="O11" s="596"/>
      <c r="P11" s="596"/>
      <c r="Q11" s="599" t="str">
        <f t="shared" si="1"/>
        <v>Gastos_Gerais</v>
      </c>
      <c r="R11" s="247">
        <f>IF(B11="","",IF(YEAR(B11)='Diário 5º PA'!$Q$1,MONTH(B11)-'Diário 5º PA'!$P$1+1,(YEAR(B11)-'Diário 5º PA'!$Q$1)*12-'Diário 5º PA'!$P$1+1+MONTH(B11)))</f>
        <v>12</v>
      </c>
      <c r="S11" s="600"/>
      <c r="T11" s="600"/>
      <c r="U11" s="600"/>
      <c r="V11" s="600"/>
      <c r="W11" s="600"/>
      <c r="X11" s="600"/>
      <c r="Y11" s="600"/>
      <c r="Z11" s="600"/>
    </row>
    <row r="12" spans="1:26" ht="144.75" customHeight="1" x14ac:dyDescent="0.2">
      <c r="A12" s="248">
        <v>7</v>
      </c>
      <c r="B12" s="249">
        <v>44531</v>
      </c>
      <c r="C12" s="250" t="s">
        <v>99</v>
      </c>
      <c r="D12" s="250" t="s">
        <v>254</v>
      </c>
      <c r="E12" s="251">
        <v>367.95</v>
      </c>
      <c r="F12" s="452" t="s">
        <v>448</v>
      </c>
      <c r="G12" s="250" t="s">
        <v>115</v>
      </c>
      <c r="H12" s="252" t="s">
        <v>449</v>
      </c>
      <c r="I12" s="253" t="s">
        <v>450</v>
      </c>
      <c r="J12" s="253"/>
      <c r="K12" s="253"/>
      <c r="L12" s="253"/>
      <c r="M12" s="254"/>
      <c r="N12" s="254"/>
      <c r="O12" s="596"/>
      <c r="P12" s="596"/>
      <c r="Q12" s="599" t="str">
        <f t="shared" si="1"/>
        <v>Gastos_Gerais</v>
      </c>
      <c r="R12" s="247">
        <f>IF(B12="","",IF(YEAR(B12)='Diário 5º PA'!$Q$1,MONTH(B12)-'Diário 5º PA'!$P$1+1,(YEAR(B12)-'Diário 5º PA'!$Q$1)*12-'Diário 5º PA'!$P$1+1+MONTH(B12)))</f>
        <v>12</v>
      </c>
      <c r="S12" s="600"/>
      <c r="T12" s="600"/>
      <c r="U12" s="600"/>
      <c r="V12" s="600"/>
      <c r="W12" s="600"/>
      <c r="X12" s="600"/>
      <c r="Y12" s="600"/>
      <c r="Z12" s="600"/>
    </row>
    <row r="13" spans="1:26" ht="132.75" customHeight="1" x14ac:dyDescent="0.2">
      <c r="A13" s="248">
        <v>8</v>
      </c>
      <c r="B13" s="249">
        <v>44531</v>
      </c>
      <c r="C13" s="250" t="s">
        <v>99</v>
      </c>
      <c r="D13" s="250" t="s">
        <v>246</v>
      </c>
      <c r="E13" s="251">
        <v>441.54</v>
      </c>
      <c r="F13" s="452" t="s">
        <v>453</v>
      </c>
      <c r="G13" s="250" t="s">
        <v>115</v>
      </c>
      <c r="H13" s="252" t="s">
        <v>454</v>
      </c>
      <c r="I13" s="253" t="s">
        <v>455</v>
      </c>
      <c r="J13" s="253"/>
      <c r="K13" s="253"/>
      <c r="L13" s="253"/>
      <c r="M13" s="254"/>
      <c r="N13" s="254"/>
      <c r="O13" s="596"/>
      <c r="P13" s="596"/>
      <c r="Q13" s="599" t="str">
        <f t="shared" si="1"/>
        <v>Gastos_Gerais</v>
      </c>
      <c r="R13" s="247">
        <f>IF(B13="","",IF(YEAR(B13)='Diário 5º PA'!$Q$1,MONTH(B13)-'Diário 5º PA'!$P$1+1,(YEAR(B13)-'Diário 5º PA'!$Q$1)*12-'Diário 5º PA'!$P$1+1+MONTH(B13)))</f>
        <v>12</v>
      </c>
      <c r="S13" s="600"/>
      <c r="T13" s="600"/>
      <c r="U13" s="600"/>
      <c r="V13" s="600"/>
      <c r="W13" s="600"/>
      <c r="X13" s="600"/>
      <c r="Y13" s="600"/>
      <c r="Z13" s="600"/>
    </row>
    <row r="14" spans="1:26" ht="54" customHeight="1" x14ac:dyDescent="0.2">
      <c r="A14" s="248">
        <v>9</v>
      </c>
      <c r="B14" s="249">
        <v>44501</v>
      </c>
      <c r="C14" s="250" t="s">
        <v>104</v>
      </c>
      <c r="D14" s="250" t="s">
        <v>104</v>
      </c>
      <c r="E14" s="251">
        <v>75</v>
      </c>
      <c r="F14" s="452" t="s">
        <v>7191</v>
      </c>
      <c r="G14" s="250" t="s">
        <v>104</v>
      </c>
      <c r="H14" s="252" t="s">
        <v>465</v>
      </c>
      <c r="I14" s="253" t="s">
        <v>114</v>
      </c>
      <c r="J14" s="253" t="s">
        <v>466</v>
      </c>
      <c r="K14" s="253" t="s">
        <v>467</v>
      </c>
      <c r="L14" s="253"/>
      <c r="M14" s="254"/>
      <c r="N14" s="254"/>
      <c r="O14" s="596"/>
      <c r="P14" s="596"/>
      <c r="Q14" s="599" t="str">
        <f t="shared" si="1"/>
        <v>Gastos_custeados_por_captação</v>
      </c>
      <c r="R14" s="247">
        <f>IF(B14="","",IF(YEAR(B14)='Diário 5º PA'!$Q$1,MONTH(B14)-'Diário 5º PA'!$P$1+1,(YEAR(B14)-'Diário 5º PA'!$Q$1)*12-'Diário 5º PA'!$P$1+1+MONTH(B14)))</f>
        <v>11</v>
      </c>
      <c r="S14" s="596"/>
      <c r="T14" s="596"/>
      <c r="U14" s="596"/>
      <c r="V14" s="596"/>
      <c r="W14" s="596"/>
      <c r="X14" s="596"/>
      <c r="Y14" s="596"/>
      <c r="Z14" s="596"/>
    </row>
    <row r="15" spans="1:26" ht="54" customHeight="1" x14ac:dyDescent="0.2">
      <c r="A15" s="248">
        <v>10</v>
      </c>
      <c r="B15" s="249">
        <v>44501</v>
      </c>
      <c r="C15" s="250" t="s">
        <v>104</v>
      </c>
      <c r="D15" s="250" t="s">
        <v>104</v>
      </c>
      <c r="E15" s="251">
        <v>24.08</v>
      </c>
      <c r="F15" s="452" t="s">
        <v>7192</v>
      </c>
      <c r="G15" s="250" t="s">
        <v>104</v>
      </c>
      <c r="H15" s="252" t="s">
        <v>488</v>
      </c>
      <c r="I15" s="253" t="s">
        <v>114</v>
      </c>
      <c r="J15" s="253" t="s">
        <v>466</v>
      </c>
      <c r="K15" s="253" t="s">
        <v>489</v>
      </c>
      <c r="L15" s="253"/>
      <c r="M15" s="254"/>
      <c r="N15" s="254"/>
      <c r="O15" s="600"/>
      <c r="P15" s="600"/>
      <c r="Q15" s="599" t="str">
        <f t="shared" si="1"/>
        <v>Gastos_custeados_por_captação</v>
      </c>
      <c r="R15" s="247">
        <f>IF(B15="","",IF(YEAR(B15)='Diário 5º PA'!$Q$1,MONTH(B15)-'Diário 5º PA'!$P$1+1,(YEAR(B15)-'Diário 5º PA'!$Q$1)*12-'Diário 5º PA'!$P$1+1+MONTH(B15)))</f>
        <v>11</v>
      </c>
      <c r="S15" s="600"/>
      <c r="T15" s="600"/>
      <c r="U15" s="600"/>
      <c r="V15" s="600"/>
      <c r="W15" s="600"/>
      <c r="X15" s="600"/>
      <c r="Y15" s="600"/>
      <c r="Z15" s="600"/>
    </row>
    <row r="16" spans="1:26" ht="54" customHeight="1" x14ac:dyDescent="0.2">
      <c r="A16" s="248">
        <v>11</v>
      </c>
      <c r="B16" s="249">
        <v>44501</v>
      </c>
      <c r="C16" s="250" t="s">
        <v>104</v>
      </c>
      <c r="D16" s="250" t="s">
        <v>104</v>
      </c>
      <c r="E16" s="251">
        <v>775</v>
      </c>
      <c r="F16" s="452" t="s">
        <v>7193</v>
      </c>
      <c r="G16" s="250" t="s">
        <v>104</v>
      </c>
      <c r="H16" s="252" t="s">
        <v>530</v>
      </c>
      <c r="I16" s="253" t="s">
        <v>114</v>
      </c>
      <c r="J16" s="253" t="s">
        <v>466</v>
      </c>
      <c r="K16" s="253" t="s">
        <v>547</v>
      </c>
      <c r="L16" s="253"/>
      <c r="M16" s="254"/>
      <c r="N16" s="254"/>
      <c r="O16" s="600"/>
      <c r="P16" s="600"/>
      <c r="Q16" s="599" t="str">
        <f t="shared" si="1"/>
        <v>Gastos_custeados_por_captação</v>
      </c>
      <c r="R16" s="247">
        <f>IF(B16="","",IF(YEAR(B16)='Diário 5º PA'!$Q$1,MONTH(B16)-'Diário 5º PA'!$P$1+1,(YEAR(B16)-'Diário 5º PA'!$Q$1)*12-'Diário 5º PA'!$P$1+1+MONTH(B16)))</f>
        <v>11</v>
      </c>
      <c r="S16" s="600"/>
      <c r="T16" s="600"/>
      <c r="U16" s="600"/>
      <c r="V16" s="600"/>
      <c r="W16" s="600"/>
      <c r="X16" s="600"/>
      <c r="Y16" s="600"/>
      <c r="Z16" s="600"/>
    </row>
    <row r="17" spans="1:26" ht="54" customHeight="1" x14ac:dyDescent="0.2">
      <c r="A17" s="248">
        <v>12</v>
      </c>
      <c r="B17" s="249">
        <v>44501</v>
      </c>
      <c r="C17" s="250" t="s">
        <v>104</v>
      </c>
      <c r="D17" s="250" t="s">
        <v>104</v>
      </c>
      <c r="E17" s="251">
        <v>70.349999999999994</v>
      </c>
      <c r="F17" s="452" t="s">
        <v>7213</v>
      </c>
      <c r="G17" s="250" t="s">
        <v>104</v>
      </c>
      <c r="H17" s="252" t="s">
        <v>465</v>
      </c>
      <c r="I17" s="253" t="s">
        <v>114</v>
      </c>
      <c r="J17" s="253" t="s">
        <v>466</v>
      </c>
      <c r="K17" s="253" t="s">
        <v>467</v>
      </c>
      <c r="L17" s="253"/>
      <c r="M17" s="254"/>
      <c r="N17" s="254"/>
      <c r="O17" s="600"/>
      <c r="P17" s="600"/>
      <c r="Q17" s="599" t="str">
        <f t="shared" si="1"/>
        <v>Gastos_custeados_por_captação</v>
      </c>
      <c r="R17" s="247">
        <f>IF(B17="","",IF(YEAR(B17)='Diário 5º PA'!$Q$1,MONTH(B17)-'Diário 5º PA'!$P$1+1,(YEAR(B17)-'Diário 5º PA'!$Q$1)*12-'Diário 5º PA'!$P$1+1+MONTH(B17)))</f>
        <v>11</v>
      </c>
      <c r="S17" s="600"/>
      <c r="T17" s="600"/>
      <c r="U17" s="600"/>
      <c r="V17" s="600"/>
      <c r="W17" s="600"/>
      <c r="X17" s="600"/>
      <c r="Y17" s="600"/>
      <c r="Z17" s="600"/>
    </row>
    <row r="18" spans="1:26" ht="152.25" customHeight="1" x14ac:dyDescent="0.2">
      <c r="A18" s="248">
        <v>13</v>
      </c>
      <c r="B18" s="249">
        <v>44531</v>
      </c>
      <c r="C18" s="250" t="s">
        <v>104</v>
      </c>
      <c r="D18" s="250" t="s">
        <v>104</v>
      </c>
      <c r="E18" s="251">
        <v>3000</v>
      </c>
      <c r="F18" s="452" t="s">
        <v>456</v>
      </c>
      <c r="G18" s="250" t="s">
        <v>104</v>
      </c>
      <c r="H18" s="252" t="s">
        <v>457</v>
      </c>
      <c r="I18" s="253" t="s">
        <v>458</v>
      </c>
      <c r="J18" s="253"/>
      <c r="K18" s="253"/>
      <c r="L18" s="253"/>
      <c r="M18" s="254"/>
      <c r="N18" s="254"/>
      <c r="O18" s="596"/>
      <c r="P18" s="596"/>
      <c r="Q18" s="599" t="str">
        <f t="shared" si="1"/>
        <v>Gastos_custeados_por_captação</v>
      </c>
      <c r="R18" s="247">
        <f>IF(B18="","",IF(YEAR(B18)='Diário 5º PA'!$Q$1,MONTH(B18)-'Diário 5º PA'!$P$1+1,(YEAR(B18)-'Diário 5º PA'!$Q$1)*12-'Diário 5º PA'!$P$1+1+MONTH(B18)))</f>
        <v>12</v>
      </c>
      <c r="S18" s="596"/>
      <c r="T18" s="596"/>
      <c r="U18" s="596"/>
      <c r="V18" s="596"/>
      <c r="W18" s="596"/>
      <c r="X18" s="596"/>
      <c r="Y18" s="596"/>
      <c r="Z18" s="596"/>
    </row>
    <row r="19" spans="1:26" ht="138.75" customHeight="1" x14ac:dyDescent="0.2">
      <c r="A19" s="248">
        <v>14</v>
      </c>
      <c r="B19" s="249">
        <v>44136</v>
      </c>
      <c r="C19" s="250" t="s">
        <v>104</v>
      </c>
      <c r="D19" s="250" t="s">
        <v>104</v>
      </c>
      <c r="E19" s="251">
        <v>500</v>
      </c>
      <c r="F19" s="452" t="s">
        <v>460</v>
      </c>
      <c r="G19" s="250" t="s">
        <v>104</v>
      </c>
      <c r="H19" s="252" t="s">
        <v>461</v>
      </c>
      <c r="I19" s="253" t="s">
        <v>444</v>
      </c>
      <c r="J19" s="253"/>
      <c r="K19" s="253"/>
      <c r="L19" s="253"/>
      <c r="M19" s="254"/>
      <c r="N19" s="254"/>
      <c r="O19" s="596"/>
      <c r="P19" s="596"/>
      <c r="Q19" s="599" t="str">
        <f t="shared" si="1"/>
        <v>Gastos_custeados_por_captação</v>
      </c>
      <c r="R19" s="247">
        <f>IF(B19="","",IF(YEAR(B19)='Diário 5º PA'!$Q$1,MONTH(B19)-'Diário 5º PA'!$P$1+1,(YEAR(B19)-'Diário 5º PA'!$Q$1)*12-'Diário 5º PA'!$P$1+1+MONTH(B19)))</f>
        <v>-1</v>
      </c>
      <c r="S19" s="596"/>
      <c r="T19" s="596"/>
      <c r="U19" s="596"/>
      <c r="V19" s="596"/>
      <c r="W19" s="596"/>
      <c r="X19" s="596"/>
      <c r="Y19" s="596"/>
      <c r="Z19" s="596"/>
    </row>
    <row r="20" spans="1:26" ht="167.25" customHeight="1" x14ac:dyDescent="0.2">
      <c r="A20" s="248">
        <v>15</v>
      </c>
      <c r="B20" s="249">
        <v>44531</v>
      </c>
      <c r="C20" s="250" t="s">
        <v>104</v>
      </c>
      <c r="D20" s="250" t="s">
        <v>104</v>
      </c>
      <c r="E20" s="251">
        <v>2000</v>
      </c>
      <c r="F20" s="452" t="s">
        <v>462</v>
      </c>
      <c r="G20" s="250" t="s">
        <v>104</v>
      </c>
      <c r="H20" s="443" t="s">
        <v>463</v>
      </c>
      <c r="I20" s="253" t="s">
        <v>464</v>
      </c>
      <c r="J20" s="253"/>
      <c r="K20" s="253"/>
      <c r="L20" s="253"/>
      <c r="M20" s="254"/>
      <c r="N20" s="254"/>
      <c r="O20" s="596"/>
      <c r="P20" s="596"/>
      <c r="Q20" s="599" t="str">
        <f t="shared" si="1"/>
        <v>Gastos_custeados_por_captação</v>
      </c>
      <c r="R20" s="247">
        <f>IF(B20="","",IF(YEAR(B20)='Diário 5º PA'!$Q$1,MONTH(B20)-'Diário 5º PA'!$P$1+1,(YEAR(B20)-'Diário 5º PA'!$Q$1)*12-'Diário 5º PA'!$P$1+1+MONTH(B20)))</f>
        <v>12</v>
      </c>
      <c r="S20" s="596"/>
      <c r="T20" s="596"/>
      <c r="U20" s="596"/>
      <c r="V20" s="596"/>
      <c r="W20" s="596"/>
      <c r="X20" s="596"/>
      <c r="Y20" s="596"/>
      <c r="Z20" s="596"/>
    </row>
    <row r="21" spans="1:26" ht="64.5" customHeight="1" x14ac:dyDescent="0.2">
      <c r="A21" s="248">
        <v>16</v>
      </c>
      <c r="B21" s="249">
        <v>44531</v>
      </c>
      <c r="C21" s="250" t="s">
        <v>104</v>
      </c>
      <c r="D21" s="250" t="s">
        <v>104</v>
      </c>
      <c r="E21" s="251">
        <v>80</v>
      </c>
      <c r="F21" s="452" t="s">
        <v>7296</v>
      </c>
      <c r="G21" s="250" t="s">
        <v>104</v>
      </c>
      <c r="H21" s="252" t="s">
        <v>465</v>
      </c>
      <c r="I21" s="253" t="s">
        <v>114</v>
      </c>
      <c r="J21" s="253" t="s">
        <v>466</v>
      </c>
      <c r="K21" s="253" t="s">
        <v>467</v>
      </c>
      <c r="L21" s="253"/>
      <c r="M21" s="254"/>
      <c r="N21" s="254">
        <v>44571</v>
      </c>
      <c r="O21" s="596"/>
      <c r="P21" s="596"/>
      <c r="Q21" s="599" t="str">
        <f t="shared" si="1"/>
        <v>Gastos_custeados_por_captação</v>
      </c>
      <c r="R21" s="247">
        <f>IF(B21="","",IF(YEAR(B21)='Diário 5º PA'!$Q$1,MONTH(B21)-'Diário 5º PA'!$P$1+1,(YEAR(B21)-'Diário 5º PA'!$Q$1)*12-'Diário 5º PA'!$P$1+1+MONTH(B21)))</f>
        <v>12</v>
      </c>
      <c r="S21" s="600"/>
      <c r="T21" s="600"/>
      <c r="U21" s="600"/>
      <c r="V21" s="600"/>
      <c r="W21" s="600"/>
      <c r="X21" s="600"/>
      <c r="Y21" s="600"/>
      <c r="Z21" s="600"/>
    </row>
    <row r="22" spans="1:26" ht="145.5" customHeight="1" x14ac:dyDescent="0.2">
      <c r="A22" s="248">
        <v>17</v>
      </c>
      <c r="B22" s="249">
        <v>44531</v>
      </c>
      <c r="C22" s="250" t="s">
        <v>104</v>
      </c>
      <c r="D22" s="250" t="s">
        <v>104</v>
      </c>
      <c r="E22" s="251">
        <v>4000</v>
      </c>
      <c r="F22" s="452" t="s">
        <v>7319</v>
      </c>
      <c r="G22" s="250" t="s">
        <v>124</v>
      </c>
      <c r="H22" s="252" t="s">
        <v>469</v>
      </c>
      <c r="I22" s="253" t="s">
        <v>470</v>
      </c>
      <c r="J22" s="253"/>
      <c r="K22" s="253"/>
      <c r="L22" s="253"/>
      <c r="M22" s="254"/>
      <c r="N22" s="254"/>
      <c r="O22" s="596"/>
      <c r="P22" s="596"/>
      <c r="Q22" s="599" t="str">
        <f t="shared" si="1"/>
        <v>Gastos_custeados_por_captação</v>
      </c>
      <c r="R22" s="247">
        <f>IF(B22="","",IF(YEAR(B22)='Diário 5º PA'!$Q$1,MONTH(B22)-'Diário 5º PA'!$P$1+1,(YEAR(B22)-'Diário 5º PA'!$Q$1)*12-'Diário 5º PA'!$P$1+1+MONTH(B22)))</f>
        <v>12</v>
      </c>
      <c r="S22" s="600"/>
      <c r="T22" s="600"/>
      <c r="U22" s="600"/>
      <c r="V22" s="600"/>
      <c r="W22" s="600"/>
      <c r="X22" s="600"/>
      <c r="Y22" s="600"/>
      <c r="Z22" s="600"/>
    </row>
    <row r="23" spans="1:26" ht="131.25" customHeight="1" x14ac:dyDescent="0.2">
      <c r="A23" s="248">
        <v>18</v>
      </c>
      <c r="B23" s="249">
        <v>44531</v>
      </c>
      <c r="C23" s="250" t="s">
        <v>99</v>
      </c>
      <c r="D23" s="250" t="s">
        <v>372</v>
      </c>
      <c r="E23" s="251">
        <v>2500</v>
      </c>
      <c r="F23" s="452" t="s">
        <v>6338</v>
      </c>
      <c r="G23" s="250" t="s">
        <v>129</v>
      </c>
      <c r="H23" s="443" t="s">
        <v>472</v>
      </c>
      <c r="I23" s="253" t="s">
        <v>473</v>
      </c>
      <c r="J23" s="253"/>
      <c r="K23" s="253"/>
      <c r="L23" s="253"/>
      <c r="M23" s="254"/>
      <c r="N23" s="254"/>
      <c r="O23" s="600"/>
      <c r="P23" s="600"/>
      <c r="Q23" s="599" t="str">
        <f t="shared" si="1"/>
        <v>Gastos_Gerais</v>
      </c>
      <c r="R23" s="247">
        <f>IF(B23="","",IF(YEAR(B23)='Diário 5º PA'!$Q$1,MONTH(B23)-'Diário 5º PA'!$P$1+1,(YEAR(B23)-'Diário 5º PA'!$Q$1)*12-'Diário 5º PA'!$P$1+1+MONTH(B23)))</f>
        <v>12</v>
      </c>
      <c r="S23" s="600"/>
      <c r="T23" s="600"/>
      <c r="U23" s="600"/>
      <c r="V23" s="600"/>
      <c r="W23" s="600"/>
      <c r="X23" s="600"/>
      <c r="Y23" s="600"/>
      <c r="Z23" s="600"/>
    </row>
    <row r="24" spans="1:26" ht="177" customHeight="1" x14ac:dyDescent="0.2">
      <c r="A24" s="248">
        <v>19</v>
      </c>
      <c r="B24" s="249">
        <v>44531</v>
      </c>
      <c r="C24" s="250" t="s">
        <v>99</v>
      </c>
      <c r="D24" s="250" t="s">
        <v>262</v>
      </c>
      <c r="E24" s="251">
        <v>3000</v>
      </c>
      <c r="F24" s="452" t="s">
        <v>6339</v>
      </c>
      <c r="G24" s="250" t="s">
        <v>129</v>
      </c>
      <c r="H24" s="443" t="s">
        <v>475</v>
      </c>
      <c r="I24" s="253"/>
      <c r="J24" s="253"/>
      <c r="K24" s="253"/>
      <c r="L24" s="253"/>
      <c r="M24" s="254"/>
      <c r="N24" s="254"/>
      <c r="O24" s="600"/>
      <c r="P24" s="600"/>
      <c r="Q24" s="599" t="str">
        <f t="shared" si="1"/>
        <v>Gastos_Gerais</v>
      </c>
      <c r="R24" s="247">
        <f>IF(B24="","",IF(YEAR(B24)='Diário 5º PA'!$Q$1,MONTH(B24)-'Diário 5º PA'!$P$1+1,(YEAR(B24)-'Diário 5º PA'!$Q$1)*12-'Diário 5º PA'!$P$1+1+MONTH(B24)))</f>
        <v>12</v>
      </c>
      <c r="S24" s="600"/>
      <c r="T24" s="600"/>
      <c r="U24" s="600"/>
      <c r="V24" s="600"/>
      <c r="W24" s="600"/>
      <c r="X24" s="600"/>
      <c r="Y24" s="600"/>
      <c r="Z24" s="600"/>
    </row>
    <row r="25" spans="1:26" ht="106.5" customHeight="1" x14ac:dyDescent="0.2">
      <c r="A25" s="248">
        <v>20</v>
      </c>
      <c r="B25" s="249">
        <v>44531</v>
      </c>
      <c r="C25" s="250" t="s">
        <v>104</v>
      </c>
      <c r="D25" s="250" t="s">
        <v>104</v>
      </c>
      <c r="E25" s="251">
        <v>2000</v>
      </c>
      <c r="F25" s="452" t="s">
        <v>477</v>
      </c>
      <c r="G25" s="250" t="s">
        <v>104</v>
      </c>
      <c r="H25" s="252" t="s">
        <v>478</v>
      </c>
      <c r="I25" s="253" t="s">
        <v>479</v>
      </c>
      <c r="J25" s="253"/>
      <c r="K25" s="253"/>
      <c r="L25" s="253"/>
      <c r="M25" s="254"/>
      <c r="N25" s="254"/>
      <c r="O25" s="596"/>
      <c r="P25" s="596"/>
      <c r="Q25" s="599" t="str">
        <f t="shared" si="1"/>
        <v>Gastos_custeados_por_captação</v>
      </c>
      <c r="R25" s="247">
        <f>IF(B25="","",IF(YEAR(B25)='Diário 5º PA'!$Q$1,MONTH(B25)-'Diário 5º PA'!$P$1+1,(YEAR(B25)-'Diário 5º PA'!$Q$1)*12-'Diário 5º PA'!$P$1+1+MONTH(B25)))</f>
        <v>12</v>
      </c>
      <c r="S25" s="596"/>
      <c r="T25" s="596"/>
      <c r="U25" s="596"/>
      <c r="V25" s="596"/>
      <c r="W25" s="596"/>
      <c r="X25" s="596"/>
      <c r="Y25" s="596"/>
      <c r="Z25" s="596"/>
    </row>
    <row r="26" spans="1:26" ht="84.75" customHeight="1" x14ac:dyDescent="0.2">
      <c r="A26" s="248">
        <v>21</v>
      </c>
      <c r="B26" s="249">
        <v>44531</v>
      </c>
      <c r="C26" s="250" t="s">
        <v>99</v>
      </c>
      <c r="D26" s="250" t="s">
        <v>266</v>
      </c>
      <c r="E26" s="251">
        <v>195.01</v>
      </c>
      <c r="F26" s="452" t="s">
        <v>480</v>
      </c>
      <c r="G26" s="250" t="s">
        <v>115</v>
      </c>
      <c r="H26" s="252" t="s">
        <v>481</v>
      </c>
      <c r="I26" s="253" t="s">
        <v>482</v>
      </c>
      <c r="J26" s="253"/>
      <c r="K26" s="253"/>
      <c r="L26" s="253"/>
      <c r="M26" s="254"/>
      <c r="N26" s="254"/>
      <c r="O26" s="596"/>
      <c r="P26" s="596"/>
      <c r="Q26" s="599" t="str">
        <f t="shared" si="1"/>
        <v>Gastos_Gerais</v>
      </c>
      <c r="R26" s="247">
        <f>IF(B26="","",IF(YEAR(B26)='Diário 5º PA'!$Q$1,MONTH(B26)-'Diário 5º PA'!$P$1+1,(YEAR(B26)-'Diário 5º PA'!$Q$1)*12-'Diário 5º PA'!$P$1+1+MONTH(B26)))</f>
        <v>12</v>
      </c>
      <c r="S26" s="600"/>
      <c r="T26" s="600"/>
      <c r="U26" s="600"/>
      <c r="V26" s="600"/>
      <c r="W26" s="600"/>
      <c r="X26" s="600"/>
      <c r="Y26" s="600"/>
      <c r="Z26" s="600"/>
    </row>
    <row r="27" spans="1:26" ht="125.25" customHeight="1" x14ac:dyDescent="0.2">
      <c r="A27" s="248">
        <v>22</v>
      </c>
      <c r="B27" s="249">
        <v>44531</v>
      </c>
      <c r="C27" s="250" t="s">
        <v>99</v>
      </c>
      <c r="D27" s="250" t="s">
        <v>230</v>
      </c>
      <c r="E27" s="251">
        <v>1611.44</v>
      </c>
      <c r="F27" s="452" t="s">
        <v>484</v>
      </c>
      <c r="G27" s="250" t="s">
        <v>115</v>
      </c>
      <c r="H27" s="252" t="s">
        <v>485</v>
      </c>
      <c r="I27" s="253" t="s">
        <v>486</v>
      </c>
      <c r="J27" s="253"/>
      <c r="K27" s="253"/>
      <c r="L27" s="253"/>
      <c r="M27" s="254"/>
      <c r="N27" s="254"/>
      <c r="O27" s="596"/>
      <c r="P27" s="596"/>
      <c r="Q27" s="599" t="str">
        <f t="shared" si="1"/>
        <v>Gastos_Gerais</v>
      </c>
      <c r="R27" s="247">
        <f>IF(B27="","",IF(YEAR(B27)='Diário 5º PA'!$Q$1,MONTH(B27)-'Diário 5º PA'!$P$1+1,(YEAR(B27)-'Diário 5º PA'!$Q$1)*12-'Diário 5º PA'!$P$1+1+MONTH(B27)))</f>
        <v>12</v>
      </c>
      <c r="S27" s="600"/>
      <c r="T27" s="600"/>
      <c r="U27" s="600"/>
      <c r="V27" s="600"/>
      <c r="W27" s="600"/>
      <c r="X27" s="600"/>
      <c r="Y27" s="600"/>
      <c r="Z27" s="600"/>
    </row>
    <row r="28" spans="1:26" ht="90" customHeight="1" x14ac:dyDescent="0.2">
      <c r="A28" s="248">
        <v>23</v>
      </c>
      <c r="B28" s="249">
        <v>44531</v>
      </c>
      <c r="C28" s="250" t="s">
        <v>99</v>
      </c>
      <c r="D28" s="250" t="s">
        <v>228</v>
      </c>
      <c r="E28" s="251">
        <v>3679.5</v>
      </c>
      <c r="F28" s="452" t="s">
        <v>492</v>
      </c>
      <c r="G28" s="250" t="s">
        <v>115</v>
      </c>
      <c r="H28" s="252" t="s">
        <v>493</v>
      </c>
      <c r="I28" s="253" t="s">
        <v>494</v>
      </c>
      <c r="J28" s="253"/>
      <c r="K28" s="253"/>
      <c r="L28" s="253"/>
      <c r="M28" s="254"/>
      <c r="N28" s="254"/>
      <c r="O28" s="596"/>
      <c r="P28" s="596"/>
      <c r="Q28" s="599" t="str">
        <f t="shared" si="1"/>
        <v>Gastos_Gerais</v>
      </c>
      <c r="R28" s="247">
        <f>IF(B28="","",IF(YEAR(B28)='Diário 5º PA'!$Q$1,MONTH(B28)-'Diário 5º PA'!$P$1+1,(YEAR(B28)-'Diário 5º PA'!$Q$1)*12-'Diário 5º PA'!$P$1+1+MONTH(B28)))</f>
        <v>12</v>
      </c>
      <c r="S28" s="600"/>
      <c r="T28" s="600"/>
      <c r="U28" s="600"/>
      <c r="V28" s="600"/>
      <c r="W28" s="600"/>
      <c r="X28" s="600"/>
      <c r="Y28" s="600"/>
      <c r="Z28" s="600"/>
    </row>
    <row r="29" spans="1:26" ht="63.75" customHeight="1" x14ac:dyDescent="0.2">
      <c r="A29" s="248">
        <v>24</v>
      </c>
      <c r="B29" s="249">
        <v>44501</v>
      </c>
      <c r="C29" s="250" t="s">
        <v>104</v>
      </c>
      <c r="D29" s="250" t="s">
        <v>104</v>
      </c>
      <c r="E29" s="251">
        <v>77.180000000000007</v>
      </c>
      <c r="F29" s="452" t="s">
        <v>7196</v>
      </c>
      <c r="G29" s="250" t="s">
        <v>104</v>
      </c>
      <c r="H29" s="252" t="s">
        <v>465</v>
      </c>
      <c r="I29" s="253" t="s">
        <v>114</v>
      </c>
      <c r="J29" s="253" t="s">
        <v>466</v>
      </c>
      <c r="K29" s="253" t="s">
        <v>467</v>
      </c>
      <c r="L29" s="253"/>
      <c r="M29" s="254"/>
      <c r="N29" s="254"/>
      <c r="O29" s="596"/>
      <c r="P29" s="596"/>
      <c r="Q29" s="599" t="str">
        <f t="shared" si="1"/>
        <v>Gastos_custeados_por_captação</v>
      </c>
      <c r="R29" s="247">
        <f>IF(B29="","",IF(YEAR(B29)='Diário 5º PA'!$Q$1,MONTH(B29)-'Diário 5º PA'!$P$1+1,(YEAR(B29)-'Diário 5º PA'!$Q$1)*12-'Diário 5º PA'!$P$1+1+MONTH(B29)))</f>
        <v>11</v>
      </c>
      <c r="S29" s="596"/>
      <c r="T29" s="596"/>
      <c r="U29" s="596"/>
      <c r="V29" s="596"/>
      <c r="W29" s="596"/>
      <c r="X29" s="596"/>
      <c r="Y29" s="596"/>
      <c r="Z29" s="596"/>
    </row>
    <row r="30" spans="1:26" ht="126" customHeight="1" x14ac:dyDescent="0.2">
      <c r="A30" s="248">
        <v>25</v>
      </c>
      <c r="B30" s="249">
        <v>44531</v>
      </c>
      <c r="C30" s="250" t="s">
        <v>99</v>
      </c>
      <c r="D30" s="250" t="s">
        <v>262</v>
      </c>
      <c r="E30" s="251">
        <v>3840</v>
      </c>
      <c r="F30" s="452" t="s">
        <v>499</v>
      </c>
      <c r="G30" s="250" t="s">
        <v>115</v>
      </c>
      <c r="H30" s="252" t="s">
        <v>7125</v>
      </c>
      <c r="I30" s="253" t="s">
        <v>500</v>
      </c>
      <c r="J30" s="253"/>
      <c r="K30" s="253"/>
      <c r="L30" s="253"/>
      <c r="M30" s="254"/>
      <c r="N30" s="254"/>
      <c r="O30" s="596"/>
      <c r="P30" s="596"/>
      <c r="Q30" s="599" t="str">
        <f t="shared" si="1"/>
        <v>Gastos_Gerais</v>
      </c>
      <c r="R30" s="247">
        <f>IF(B30="","",IF(YEAR(B30)='Diário 5º PA'!$Q$1,MONTH(B30)-'Diário 5º PA'!$P$1+1,(YEAR(B30)-'Diário 5º PA'!$Q$1)*12-'Diário 5º PA'!$P$1+1+MONTH(B30)))</f>
        <v>12</v>
      </c>
      <c r="S30" s="596"/>
      <c r="T30" s="596"/>
      <c r="U30" s="596"/>
      <c r="V30" s="596"/>
      <c r="W30" s="596"/>
      <c r="X30" s="596"/>
      <c r="Y30" s="596"/>
      <c r="Z30" s="596"/>
    </row>
    <row r="31" spans="1:26" ht="120" customHeight="1" x14ac:dyDescent="0.2">
      <c r="A31" s="248">
        <v>26</v>
      </c>
      <c r="B31" s="249">
        <v>44531</v>
      </c>
      <c r="C31" s="250" t="s">
        <v>99</v>
      </c>
      <c r="D31" s="250" t="s">
        <v>262</v>
      </c>
      <c r="E31" s="251">
        <v>3840</v>
      </c>
      <c r="F31" s="452" t="s">
        <v>501</v>
      </c>
      <c r="G31" s="250" t="s">
        <v>115</v>
      </c>
      <c r="H31" s="252" t="s">
        <v>502</v>
      </c>
      <c r="I31" s="253" t="s">
        <v>503</v>
      </c>
      <c r="J31" s="253"/>
      <c r="K31" s="253"/>
      <c r="L31" s="253"/>
      <c r="M31" s="254"/>
      <c r="N31" s="254"/>
      <c r="O31" s="596"/>
      <c r="P31" s="596"/>
      <c r="Q31" s="599" t="str">
        <f t="shared" si="1"/>
        <v>Gastos_Gerais</v>
      </c>
      <c r="R31" s="247">
        <f>IF(B31="","",IF(YEAR(B31)='Diário 5º PA'!$Q$1,MONTH(B31)-'Diário 5º PA'!$P$1+1,(YEAR(B31)-'Diário 5º PA'!$Q$1)*12-'Diário 5º PA'!$P$1+1+MONTH(B31)))</f>
        <v>12</v>
      </c>
      <c r="S31" s="596"/>
      <c r="T31" s="596"/>
      <c r="U31" s="596"/>
      <c r="V31" s="596"/>
      <c r="W31" s="596"/>
      <c r="X31" s="596"/>
      <c r="Y31" s="596"/>
      <c r="Z31" s="596"/>
    </row>
    <row r="32" spans="1:26" ht="54" customHeight="1" x14ac:dyDescent="0.2">
      <c r="A32" s="248">
        <v>27</v>
      </c>
      <c r="B32" s="249">
        <v>44501</v>
      </c>
      <c r="C32" s="250" t="s">
        <v>104</v>
      </c>
      <c r="D32" s="250" t="s">
        <v>104</v>
      </c>
      <c r="E32" s="251">
        <v>150.75</v>
      </c>
      <c r="F32" s="452" t="s">
        <v>7202</v>
      </c>
      <c r="G32" s="250" t="s">
        <v>104</v>
      </c>
      <c r="H32" s="252" t="s">
        <v>465</v>
      </c>
      <c r="I32" s="253" t="s">
        <v>114</v>
      </c>
      <c r="J32" s="253" t="s">
        <v>466</v>
      </c>
      <c r="K32" s="253" t="s">
        <v>467</v>
      </c>
      <c r="L32" s="253"/>
      <c r="M32" s="254"/>
      <c r="N32" s="254"/>
      <c r="O32" s="600"/>
      <c r="P32" s="600"/>
      <c r="Q32" s="599" t="str">
        <f t="shared" si="1"/>
        <v>Gastos_custeados_por_captação</v>
      </c>
      <c r="R32" s="247">
        <f>IF(B32="","",IF(YEAR(B32)='Diário 5º PA'!$Q$1,MONTH(B32)-'Diário 5º PA'!$P$1+1,(YEAR(B32)-'Diário 5º PA'!$Q$1)*12-'Diário 5º PA'!$P$1+1+MONTH(B32)))</f>
        <v>11</v>
      </c>
      <c r="S32" s="600"/>
      <c r="T32" s="600"/>
      <c r="U32" s="600"/>
      <c r="V32" s="600"/>
      <c r="W32" s="600"/>
      <c r="X32" s="600"/>
      <c r="Y32" s="600"/>
      <c r="Z32" s="600"/>
    </row>
    <row r="33" spans="1:26" ht="48" customHeight="1" x14ac:dyDescent="0.2">
      <c r="A33" s="248">
        <v>28</v>
      </c>
      <c r="B33" s="249">
        <v>44531</v>
      </c>
      <c r="C33" s="250" t="s">
        <v>99</v>
      </c>
      <c r="D33" s="250" t="s">
        <v>262</v>
      </c>
      <c r="E33" s="251">
        <v>7500</v>
      </c>
      <c r="F33" s="452" t="s">
        <v>7144</v>
      </c>
      <c r="G33" s="250" t="s">
        <v>115</v>
      </c>
      <c r="H33" s="252" t="s">
        <v>7165</v>
      </c>
      <c r="I33" s="253"/>
      <c r="J33" s="253"/>
      <c r="K33" s="253"/>
      <c r="L33" s="253"/>
      <c r="M33" s="254"/>
      <c r="N33" s="254"/>
      <c r="O33" s="600"/>
      <c r="P33" s="600"/>
      <c r="Q33" s="599" t="str">
        <f t="shared" si="1"/>
        <v>Gastos_Gerais</v>
      </c>
      <c r="R33" s="247">
        <f>IF(B33="","",IF(YEAR(B33)='Diário 5º PA'!$Q$1,MONTH(B33)-'Diário 5º PA'!$P$1+1,(YEAR(B33)-'Diário 5º PA'!$Q$1)*12-'Diário 5º PA'!$P$1+1+MONTH(B33)))</f>
        <v>12</v>
      </c>
      <c r="S33" s="600"/>
      <c r="T33" s="600"/>
      <c r="U33" s="600"/>
      <c r="V33" s="600"/>
      <c r="W33" s="600"/>
      <c r="X33" s="600"/>
      <c r="Y33" s="600"/>
      <c r="Z33" s="600"/>
    </row>
    <row r="34" spans="1:26" ht="86.25" customHeight="1" x14ac:dyDescent="0.2">
      <c r="A34" s="248">
        <v>29</v>
      </c>
      <c r="B34" s="249">
        <v>44531</v>
      </c>
      <c r="C34" s="250" t="s">
        <v>99</v>
      </c>
      <c r="D34" s="250" t="s">
        <v>262</v>
      </c>
      <c r="E34" s="251">
        <v>3840</v>
      </c>
      <c r="F34" s="452" t="s">
        <v>504</v>
      </c>
      <c r="G34" s="250" t="s">
        <v>115</v>
      </c>
      <c r="H34" s="252" t="s">
        <v>505</v>
      </c>
      <c r="I34" s="253" t="s">
        <v>506</v>
      </c>
      <c r="J34" s="253"/>
      <c r="K34" s="253"/>
      <c r="L34" s="253"/>
      <c r="M34" s="254"/>
      <c r="N34" s="254"/>
      <c r="O34" s="596"/>
      <c r="P34" s="596"/>
      <c r="Q34" s="599" t="str">
        <f t="shared" si="1"/>
        <v>Gastos_Gerais</v>
      </c>
      <c r="R34" s="247">
        <f>IF(B34="","",IF(YEAR(B34)='Diário 5º PA'!$Q$1,MONTH(B34)-'Diário 5º PA'!$P$1+1,(YEAR(B34)-'Diário 5º PA'!$Q$1)*12-'Diário 5º PA'!$P$1+1+MONTH(B34)))</f>
        <v>12</v>
      </c>
      <c r="S34" s="596"/>
      <c r="T34" s="596"/>
      <c r="U34" s="596"/>
      <c r="V34" s="596"/>
      <c r="W34" s="596"/>
      <c r="X34" s="596"/>
      <c r="Y34" s="596"/>
      <c r="Z34" s="596"/>
    </row>
    <row r="35" spans="1:26" ht="113.25" customHeight="1" x14ac:dyDescent="0.2">
      <c r="A35" s="248">
        <v>30</v>
      </c>
      <c r="B35" s="249">
        <v>44197</v>
      </c>
      <c r="C35" s="250" t="s">
        <v>99</v>
      </c>
      <c r="D35" s="250" t="s">
        <v>330</v>
      </c>
      <c r="E35" s="251">
        <f>2494.7-1247.35</f>
        <v>1247.3499999999999</v>
      </c>
      <c r="F35" s="452" t="s">
        <v>507</v>
      </c>
      <c r="G35" s="250" t="s">
        <v>115</v>
      </c>
      <c r="H35" s="252" t="s">
        <v>508</v>
      </c>
      <c r="I35" s="253" t="s">
        <v>509</v>
      </c>
      <c r="J35" s="253"/>
      <c r="K35" s="253"/>
      <c r="L35" s="253"/>
      <c r="M35" s="254"/>
      <c r="N35" s="254"/>
      <c r="O35" s="596"/>
      <c r="P35" s="596"/>
      <c r="Q35" s="599" t="str">
        <f t="shared" si="1"/>
        <v>Gastos_Gerais</v>
      </c>
      <c r="R35" s="247">
        <f>IF(B35="","",IF(YEAR(B35)='Diário 5º PA'!$Q$1,MONTH(B35)-'Diário 5º PA'!$P$1+1,(YEAR(B35)-'Diário 5º PA'!$Q$1)*12-'Diário 5º PA'!$P$1+1+MONTH(B35)))</f>
        <v>1</v>
      </c>
      <c r="S35" s="596"/>
      <c r="T35" s="596"/>
      <c r="U35" s="596"/>
      <c r="V35" s="596"/>
      <c r="W35" s="596"/>
      <c r="X35" s="596"/>
      <c r="Y35" s="596"/>
      <c r="Z35" s="596"/>
    </row>
    <row r="36" spans="1:26" ht="102" customHeight="1" x14ac:dyDescent="0.2">
      <c r="A36" s="248">
        <v>31</v>
      </c>
      <c r="B36" s="249">
        <v>44531</v>
      </c>
      <c r="C36" s="250" t="s">
        <v>99</v>
      </c>
      <c r="D36" s="250" t="s">
        <v>262</v>
      </c>
      <c r="E36" s="251">
        <v>2500</v>
      </c>
      <c r="F36" s="452" t="s">
        <v>510</v>
      </c>
      <c r="G36" s="250" t="s">
        <v>115</v>
      </c>
      <c r="H36" s="252" t="s">
        <v>511</v>
      </c>
      <c r="I36" s="253" t="s">
        <v>512</v>
      </c>
      <c r="J36" s="253"/>
      <c r="K36" s="253"/>
      <c r="L36" s="253"/>
      <c r="M36" s="254"/>
      <c r="N36" s="254"/>
      <c r="O36" s="596"/>
      <c r="P36" s="596"/>
      <c r="Q36" s="599" t="str">
        <f t="shared" si="1"/>
        <v>Gastos_Gerais</v>
      </c>
      <c r="R36" s="247">
        <f>IF(B36="","",IF(YEAR(B36)='Diário 5º PA'!$Q$1,MONTH(B36)-'Diário 5º PA'!$P$1+1,(YEAR(B36)-'Diário 5º PA'!$Q$1)*12-'Diário 5º PA'!$P$1+1+MONTH(B36)))</f>
        <v>12</v>
      </c>
      <c r="S36" s="596"/>
      <c r="T36" s="596"/>
      <c r="U36" s="596"/>
      <c r="V36" s="596"/>
      <c r="W36" s="596"/>
      <c r="X36" s="596"/>
      <c r="Y36" s="596"/>
      <c r="Z36" s="596"/>
    </row>
    <row r="37" spans="1:26" ht="39.75" customHeight="1" x14ac:dyDescent="0.2">
      <c r="A37" s="248">
        <v>32</v>
      </c>
      <c r="B37" s="249">
        <v>44531</v>
      </c>
      <c r="C37" s="250" t="s">
        <v>99</v>
      </c>
      <c r="D37" s="250" t="s">
        <v>216</v>
      </c>
      <c r="E37" s="251">
        <v>255.83</v>
      </c>
      <c r="F37" s="452" t="s">
        <v>5731</v>
      </c>
      <c r="G37" s="250" t="s">
        <v>115</v>
      </c>
      <c r="H37" s="252" t="s">
        <v>513</v>
      </c>
      <c r="I37" s="253" t="s">
        <v>514</v>
      </c>
      <c r="J37" s="253"/>
      <c r="K37" s="253"/>
      <c r="L37" s="253"/>
      <c r="M37" s="254"/>
      <c r="N37" s="254"/>
      <c r="O37" s="596"/>
      <c r="P37" s="596"/>
      <c r="Q37" s="599" t="str">
        <f t="shared" si="1"/>
        <v>Gastos_Gerais</v>
      </c>
      <c r="R37" s="247">
        <f>IF(B37="","",IF(YEAR(B37)='Diário 5º PA'!$Q$1,MONTH(B37)-'Diário 5º PA'!$P$1+1,(YEAR(B37)-'Diário 5º PA'!$Q$1)*12-'Diário 5º PA'!$P$1+1+MONTH(B37)))</f>
        <v>12</v>
      </c>
      <c r="S37" s="600"/>
      <c r="T37" s="600"/>
      <c r="U37" s="600"/>
      <c r="V37" s="600"/>
      <c r="W37" s="600"/>
      <c r="X37" s="600"/>
      <c r="Y37" s="600"/>
      <c r="Z37" s="600"/>
    </row>
    <row r="38" spans="1:26" ht="39.75" customHeight="1" x14ac:dyDescent="0.2">
      <c r="A38" s="248">
        <v>33</v>
      </c>
      <c r="B38" s="249">
        <v>44531</v>
      </c>
      <c r="C38" s="250" t="s">
        <v>99</v>
      </c>
      <c r="D38" s="250" t="s">
        <v>218</v>
      </c>
      <c r="E38" s="251">
        <v>120.33</v>
      </c>
      <c r="F38" s="452" t="s">
        <v>5732</v>
      </c>
      <c r="G38" s="250" t="s">
        <v>115</v>
      </c>
      <c r="H38" s="252" t="s">
        <v>515</v>
      </c>
      <c r="I38" s="253" t="s">
        <v>516</v>
      </c>
      <c r="J38" s="253"/>
      <c r="K38" s="253"/>
      <c r="L38" s="253"/>
      <c r="M38" s="254"/>
      <c r="N38" s="254"/>
      <c r="O38" s="596"/>
      <c r="P38" s="596"/>
      <c r="Q38" s="599" t="str">
        <f t="shared" si="1"/>
        <v>Gastos_Gerais</v>
      </c>
      <c r="R38" s="247">
        <f>IF(B38="","",IF(YEAR(B38)='Diário 5º PA'!$Q$1,MONTH(B38)-'Diário 5º PA'!$P$1+1,(YEAR(B38)-'Diário 5º PA'!$Q$1)*12-'Diário 5º PA'!$P$1+1+MONTH(B38)))</f>
        <v>12</v>
      </c>
      <c r="S38" s="600"/>
      <c r="T38" s="600"/>
      <c r="U38" s="600"/>
      <c r="V38" s="600"/>
      <c r="W38" s="600"/>
      <c r="X38" s="600"/>
      <c r="Y38" s="600"/>
      <c r="Z38" s="600"/>
    </row>
    <row r="39" spans="1:26" ht="39.75" customHeight="1" x14ac:dyDescent="0.2">
      <c r="A39" s="248">
        <v>34</v>
      </c>
      <c r="B39" s="249">
        <v>44531</v>
      </c>
      <c r="C39" s="250" t="s">
        <v>99</v>
      </c>
      <c r="D39" s="250" t="s">
        <v>216</v>
      </c>
      <c r="E39" s="251">
        <v>155.47999999999999</v>
      </c>
      <c r="F39" s="452" t="s">
        <v>5743</v>
      </c>
      <c r="G39" s="250" t="s">
        <v>129</v>
      </c>
      <c r="H39" s="252" t="s">
        <v>513</v>
      </c>
      <c r="I39" s="253" t="s">
        <v>514</v>
      </c>
      <c r="J39" s="253"/>
      <c r="K39" s="253"/>
      <c r="L39" s="253"/>
      <c r="M39" s="254"/>
      <c r="N39" s="254"/>
      <c r="O39" s="600"/>
      <c r="P39" s="600"/>
      <c r="Q39" s="599" t="str">
        <f t="shared" si="1"/>
        <v>Gastos_Gerais</v>
      </c>
      <c r="R39" s="247">
        <f>IF(B39="","",IF(YEAR(B39)='Diário 5º PA'!$Q$1,MONTH(B39)-'Diário 5º PA'!$P$1+1,(YEAR(B39)-'Diário 5º PA'!$Q$1)*12-'Diário 5º PA'!$P$1+1+MONTH(B39)))</f>
        <v>12</v>
      </c>
      <c r="S39" s="600"/>
      <c r="T39" s="600"/>
      <c r="U39" s="600"/>
      <c r="V39" s="600"/>
      <c r="W39" s="600"/>
      <c r="X39" s="600"/>
      <c r="Y39" s="600"/>
      <c r="Z39" s="600"/>
    </row>
    <row r="40" spans="1:26" ht="39.75" customHeight="1" x14ac:dyDescent="0.2">
      <c r="A40" s="248">
        <v>35</v>
      </c>
      <c r="B40" s="249">
        <v>44531</v>
      </c>
      <c r="C40" s="250" t="s">
        <v>99</v>
      </c>
      <c r="D40" s="250" t="s">
        <v>218</v>
      </c>
      <c r="E40" s="251">
        <v>138.99</v>
      </c>
      <c r="F40" s="452" t="s">
        <v>5732</v>
      </c>
      <c r="G40" s="250" t="s">
        <v>129</v>
      </c>
      <c r="H40" s="252" t="s">
        <v>515</v>
      </c>
      <c r="I40" s="253" t="s">
        <v>516</v>
      </c>
      <c r="J40" s="253"/>
      <c r="K40" s="253"/>
      <c r="L40" s="253"/>
      <c r="M40" s="254"/>
      <c r="N40" s="254"/>
      <c r="O40" s="596"/>
      <c r="P40" s="596"/>
      <c r="Q40" s="599" t="str">
        <f t="shared" si="1"/>
        <v>Gastos_Gerais</v>
      </c>
      <c r="R40" s="247">
        <f>IF(B40="","",IF(YEAR(B40)='Diário 5º PA'!$Q$1,MONTH(B40)-'Diário 5º PA'!$P$1+1,(YEAR(B40)-'Diário 5º PA'!$Q$1)*12-'Diário 5º PA'!$P$1+1+MONTH(B40)))</f>
        <v>12</v>
      </c>
      <c r="S40" s="600"/>
      <c r="T40" s="600"/>
      <c r="U40" s="600"/>
      <c r="V40" s="600"/>
      <c r="W40" s="600"/>
      <c r="X40" s="600"/>
      <c r="Y40" s="600"/>
      <c r="Z40" s="600"/>
    </row>
    <row r="41" spans="1:26" ht="39.75" customHeight="1" x14ac:dyDescent="0.2">
      <c r="A41" s="248">
        <v>36</v>
      </c>
      <c r="B41" s="249">
        <v>44501</v>
      </c>
      <c r="C41" s="250" t="s">
        <v>99</v>
      </c>
      <c r="D41" s="250" t="s">
        <v>208</v>
      </c>
      <c r="E41" s="251">
        <v>1881</v>
      </c>
      <c r="F41" s="452" t="s">
        <v>517</v>
      </c>
      <c r="G41" s="255" t="s">
        <v>115</v>
      </c>
      <c r="H41" s="252" t="s">
        <v>488</v>
      </c>
      <c r="I41" s="253" t="s">
        <v>114</v>
      </c>
      <c r="J41" s="253" t="s">
        <v>466</v>
      </c>
      <c r="K41" s="253" t="s">
        <v>489</v>
      </c>
      <c r="L41" s="253"/>
      <c r="M41" s="254"/>
      <c r="N41" s="254">
        <v>44581</v>
      </c>
      <c r="O41" s="596"/>
      <c r="P41" s="596"/>
      <c r="Q41" s="599" t="str">
        <f t="shared" si="1"/>
        <v>Gastos_Gerais</v>
      </c>
      <c r="R41" s="247">
        <f>IF(B41="","",IF(YEAR(B41)='Diário 5º PA'!$Q$1,MONTH(B41)-'Diário 5º PA'!$P$1+1,(YEAR(B41)-'Diário 5º PA'!$Q$1)*12-'Diário 5º PA'!$P$1+1+MONTH(B41)))</f>
        <v>11</v>
      </c>
      <c r="S41" s="600"/>
      <c r="T41" s="600"/>
      <c r="U41" s="600"/>
      <c r="V41" s="600"/>
      <c r="W41" s="600"/>
      <c r="X41" s="600"/>
      <c r="Y41" s="600"/>
      <c r="Z41" s="600"/>
    </row>
    <row r="42" spans="1:26" ht="39.75" customHeight="1" x14ac:dyDescent="0.2">
      <c r="A42" s="248">
        <v>37</v>
      </c>
      <c r="B42" s="249">
        <v>44531</v>
      </c>
      <c r="C42" s="250" t="s">
        <v>99</v>
      </c>
      <c r="D42" s="250" t="s">
        <v>208</v>
      </c>
      <c r="E42" s="251">
        <v>5981.95</v>
      </c>
      <c r="F42" s="450" t="s">
        <v>5740</v>
      </c>
      <c r="G42" s="255" t="s">
        <v>115</v>
      </c>
      <c r="H42" s="252" t="s">
        <v>518</v>
      </c>
      <c r="I42" s="253" t="s">
        <v>519</v>
      </c>
      <c r="J42" s="253"/>
      <c r="K42" s="253"/>
      <c r="L42" s="253"/>
      <c r="M42" s="254"/>
      <c r="N42" s="254"/>
      <c r="O42" s="596"/>
      <c r="P42" s="596"/>
      <c r="Q42" s="599" t="str">
        <f t="shared" si="1"/>
        <v>Gastos_Gerais</v>
      </c>
      <c r="R42" s="247">
        <f>IF(B42="","",IF(YEAR(B42)='Diário 5º PA'!$Q$1,MONTH(B42)-'Diário 5º PA'!$P$1+1,(YEAR(B42)-'Diário 5º PA'!$Q$1)*12-'Diário 5º PA'!$P$1+1+MONTH(B42)))</f>
        <v>12</v>
      </c>
      <c r="S42" s="600"/>
      <c r="T42" s="600"/>
      <c r="U42" s="600"/>
      <c r="V42" s="600"/>
      <c r="W42" s="600"/>
      <c r="X42" s="600"/>
      <c r="Y42" s="600"/>
      <c r="Z42" s="600"/>
    </row>
    <row r="43" spans="1:26" ht="39.75" customHeight="1" x14ac:dyDescent="0.2">
      <c r="A43" s="248">
        <v>38</v>
      </c>
      <c r="B43" s="249">
        <v>44531</v>
      </c>
      <c r="C43" s="250" t="s">
        <v>99</v>
      </c>
      <c r="D43" s="250" t="s">
        <v>220</v>
      </c>
      <c r="E43" s="251">
        <v>189.34</v>
      </c>
      <c r="F43" s="452" t="s">
        <v>5735</v>
      </c>
      <c r="G43" s="250" t="s">
        <v>115</v>
      </c>
      <c r="H43" s="252" t="s">
        <v>522</v>
      </c>
      <c r="I43" s="253" t="s">
        <v>523</v>
      </c>
      <c r="J43" s="253"/>
      <c r="K43" s="253"/>
      <c r="L43" s="253"/>
      <c r="M43" s="254"/>
      <c r="N43" s="254"/>
      <c r="O43" s="596"/>
      <c r="P43" s="596"/>
      <c r="Q43" s="599" t="str">
        <f t="shared" si="1"/>
        <v>Gastos_Gerais</v>
      </c>
      <c r="R43" s="247">
        <f>IF(B43="","",IF(YEAR(B43)='Diário 5º PA'!$Q$1,MONTH(B43)-'Diário 5º PA'!$P$1+1,(YEAR(B43)-'Diário 5º PA'!$Q$1)*12-'Diário 5º PA'!$P$1+1+MONTH(B43)))</f>
        <v>12</v>
      </c>
      <c r="S43" s="600"/>
      <c r="T43" s="600"/>
      <c r="U43" s="600"/>
      <c r="V43" s="600"/>
      <c r="W43" s="600"/>
      <c r="X43" s="600"/>
      <c r="Y43" s="600"/>
      <c r="Z43" s="600"/>
    </row>
    <row r="44" spans="1:26" ht="39.75" customHeight="1" x14ac:dyDescent="0.2">
      <c r="A44" s="248">
        <v>39</v>
      </c>
      <c r="B44" s="249">
        <v>44531</v>
      </c>
      <c r="C44" s="250" t="s">
        <v>99</v>
      </c>
      <c r="D44" s="250" t="s">
        <v>222</v>
      </c>
      <c r="E44" s="251">
        <v>470.89</v>
      </c>
      <c r="F44" s="452" t="s">
        <v>524</v>
      </c>
      <c r="G44" s="250" t="s">
        <v>115</v>
      </c>
      <c r="H44" s="252" t="s">
        <v>522</v>
      </c>
      <c r="I44" s="253" t="s">
        <v>523</v>
      </c>
      <c r="J44" s="253"/>
      <c r="K44" s="253"/>
      <c r="L44" s="253"/>
      <c r="M44" s="254"/>
      <c r="N44" s="254"/>
      <c r="O44" s="596"/>
      <c r="P44" s="596"/>
      <c r="Q44" s="599" t="str">
        <f t="shared" si="1"/>
        <v>Gastos_Gerais</v>
      </c>
      <c r="R44" s="247">
        <f>IF(B44="","",IF(YEAR(B44)='Diário 5º PA'!$Q$1,MONTH(B44)-'Diário 5º PA'!$P$1+1,(YEAR(B44)-'Diário 5º PA'!$Q$1)*12-'Diário 5º PA'!$P$1+1+MONTH(B44)))</f>
        <v>12</v>
      </c>
      <c r="S44" s="600"/>
      <c r="T44" s="600"/>
      <c r="U44" s="600"/>
      <c r="V44" s="600"/>
      <c r="W44" s="600"/>
      <c r="X44" s="600"/>
      <c r="Y44" s="600"/>
      <c r="Z44" s="600"/>
    </row>
    <row r="45" spans="1:26" ht="39.75" customHeight="1" x14ac:dyDescent="0.2">
      <c r="A45" s="248">
        <v>40</v>
      </c>
      <c r="B45" s="249">
        <v>44531</v>
      </c>
      <c r="C45" s="250" t="s">
        <v>99</v>
      </c>
      <c r="D45" s="250" t="s">
        <v>222</v>
      </c>
      <c r="E45" s="251">
        <v>585</v>
      </c>
      <c r="F45" s="452" t="s">
        <v>524</v>
      </c>
      <c r="G45" s="250" t="s">
        <v>115</v>
      </c>
      <c r="H45" s="252" t="s">
        <v>525</v>
      </c>
      <c r="I45" s="253"/>
      <c r="J45" s="253"/>
      <c r="K45" s="253"/>
      <c r="L45" s="253"/>
      <c r="M45" s="254"/>
      <c r="N45" s="254"/>
      <c r="O45" s="596"/>
      <c r="P45" s="596"/>
      <c r="Q45" s="599" t="str">
        <f t="shared" si="1"/>
        <v>Gastos_Gerais</v>
      </c>
      <c r="R45" s="247">
        <f>IF(B45="","",IF(YEAR(B45)='Diário 5º PA'!$Q$1,MONTH(B45)-'Diário 5º PA'!$P$1+1,(YEAR(B45)-'Diário 5º PA'!$Q$1)*12-'Diário 5º PA'!$P$1+1+MONTH(B45)))</f>
        <v>12</v>
      </c>
      <c r="S45" s="600"/>
      <c r="T45" s="600"/>
      <c r="U45" s="600"/>
      <c r="V45" s="600"/>
      <c r="W45" s="600"/>
      <c r="X45" s="600"/>
      <c r="Y45" s="600"/>
      <c r="Z45" s="600"/>
    </row>
    <row r="46" spans="1:26" ht="39.75" customHeight="1" x14ac:dyDescent="0.2">
      <c r="A46" s="248">
        <v>41</v>
      </c>
      <c r="B46" s="249">
        <v>44531</v>
      </c>
      <c r="C46" s="250" t="s">
        <v>99</v>
      </c>
      <c r="D46" s="250" t="s">
        <v>224</v>
      </c>
      <c r="E46" s="251">
        <v>241.63</v>
      </c>
      <c r="F46" s="452" t="s">
        <v>5738</v>
      </c>
      <c r="G46" s="250" t="s">
        <v>115</v>
      </c>
      <c r="H46" s="252" t="s">
        <v>522</v>
      </c>
      <c r="I46" s="253" t="s">
        <v>523</v>
      </c>
      <c r="J46" s="253"/>
      <c r="K46" s="253"/>
      <c r="L46" s="253"/>
      <c r="M46" s="254"/>
      <c r="N46" s="254"/>
      <c r="O46" s="596"/>
      <c r="P46" s="596"/>
      <c r="Q46" s="599" t="str">
        <f t="shared" si="1"/>
        <v>Gastos_Gerais</v>
      </c>
      <c r="R46" s="247">
        <f>IF(B46="","",IF(YEAR(B46)='Diário 5º PA'!$Q$1,MONTH(B46)-'Diário 5º PA'!$P$1+1,(YEAR(B46)-'Diário 5º PA'!$Q$1)*12-'Diário 5º PA'!$P$1+1+MONTH(B46)))</f>
        <v>12</v>
      </c>
      <c r="S46" s="600"/>
      <c r="T46" s="600"/>
      <c r="U46" s="600"/>
      <c r="V46" s="600"/>
      <c r="W46" s="600"/>
      <c r="X46" s="600"/>
      <c r="Y46" s="600"/>
      <c r="Z46" s="600"/>
    </row>
    <row r="47" spans="1:26" ht="39.75" customHeight="1" x14ac:dyDescent="0.2">
      <c r="A47" s="248">
        <v>42</v>
      </c>
      <c r="B47" s="249">
        <v>44501</v>
      </c>
      <c r="C47" s="250" t="s">
        <v>88</v>
      </c>
      <c r="D47" s="250" t="s">
        <v>90</v>
      </c>
      <c r="E47" s="251">
        <v>16832.689999999999</v>
      </c>
      <c r="F47" s="452" t="s">
        <v>6610</v>
      </c>
      <c r="G47" s="250" t="s">
        <v>114</v>
      </c>
      <c r="H47" s="252" t="s">
        <v>488</v>
      </c>
      <c r="I47" s="253"/>
      <c r="J47" s="253"/>
      <c r="K47" s="253"/>
      <c r="L47" s="253"/>
      <c r="M47" s="254"/>
      <c r="N47" s="254">
        <v>44581</v>
      </c>
      <c r="O47" s="600"/>
      <c r="P47" s="600"/>
      <c r="Q47" s="599" t="str">
        <f t="shared" si="1"/>
        <v>Gastos_com_Pessoal</v>
      </c>
      <c r="R47" s="247">
        <f>IF(B47="","",IF(YEAR(B47)='Diário 5º PA'!$Q$1,MONTH(B47)-'Diário 5º PA'!$P$1+1,(YEAR(B47)-'Diário 5º PA'!$Q$1)*12-'Diário 5º PA'!$P$1+1+MONTH(B47)))</f>
        <v>11</v>
      </c>
      <c r="S47" s="596"/>
      <c r="T47" s="596"/>
      <c r="U47" s="596"/>
      <c r="V47" s="596"/>
      <c r="W47" s="596"/>
      <c r="X47" s="596"/>
      <c r="Y47" s="596"/>
      <c r="Z47" s="596"/>
    </row>
    <row r="48" spans="1:26" ht="39.75" customHeight="1" x14ac:dyDescent="0.2">
      <c r="A48" s="248">
        <v>43</v>
      </c>
      <c r="B48" s="249">
        <v>44531</v>
      </c>
      <c r="C48" s="250" t="s">
        <v>88</v>
      </c>
      <c r="D48" s="250" t="s">
        <v>175</v>
      </c>
      <c r="E48" s="251">
        <v>10848.57</v>
      </c>
      <c r="F48" s="452" t="s">
        <v>6832</v>
      </c>
      <c r="G48" s="250" t="s">
        <v>114</v>
      </c>
      <c r="H48" s="252" t="s">
        <v>488</v>
      </c>
      <c r="I48" s="253"/>
      <c r="J48" s="253"/>
      <c r="K48" s="253"/>
      <c r="L48" s="253"/>
      <c r="M48" s="254"/>
      <c r="N48" s="254">
        <v>44581</v>
      </c>
      <c r="O48" s="600"/>
      <c r="P48" s="600"/>
      <c r="Q48" s="599" t="str">
        <f t="shared" si="1"/>
        <v>Gastos_com_Pessoal</v>
      </c>
      <c r="R48" s="247">
        <f>IF(B48="","",IF(YEAR(B48)='Diário 5º PA'!$Q$1,MONTH(B48)-'Diário 5º PA'!$P$1+1,(YEAR(B48)-'Diário 5º PA'!$Q$1)*12-'Diário 5º PA'!$P$1+1+MONTH(B48)))</f>
        <v>12</v>
      </c>
      <c r="S48" s="600"/>
      <c r="T48" s="600"/>
      <c r="U48" s="600"/>
      <c r="V48" s="600"/>
      <c r="W48" s="600"/>
      <c r="X48" s="600"/>
      <c r="Y48" s="600"/>
      <c r="Z48" s="600"/>
    </row>
    <row r="49" spans="1:26" ht="39.75" customHeight="1" x14ac:dyDescent="0.2">
      <c r="A49" s="248">
        <v>44</v>
      </c>
      <c r="B49" s="249">
        <v>44531</v>
      </c>
      <c r="C49" s="250" t="s">
        <v>88</v>
      </c>
      <c r="D49" s="250" t="s">
        <v>175</v>
      </c>
      <c r="E49" s="251">
        <v>622.66999999999996</v>
      </c>
      <c r="F49" s="452" t="s">
        <v>6841</v>
      </c>
      <c r="G49" s="250" t="s">
        <v>114</v>
      </c>
      <c r="H49" s="252" t="s">
        <v>488</v>
      </c>
      <c r="I49" s="253"/>
      <c r="J49" s="253"/>
      <c r="K49" s="253"/>
      <c r="L49" s="253"/>
      <c r="M49" s="254"/>
      <c r="N49" s="254">
        <v>44581</v>
      </c>
      <c r="O49" s="600"/>
      <c r="P49" s="600"/>
      <c r="Q49" s="599" t="str">
        <f t="shared" si="1"/>
        <v>Gastos_com_Pessoal</v>
      </c>
      <c r="R49" s="247">
        <f>IF(B49="","",IF(YEAR(B49)='Diário 5º PA'!$Q$1,MONTH(B49)-'Diário 5º PA'!$P$1+1,(YEAR(B49)-'Diário 5º PA'!$Q$1)*12-'Diário 5º PA'!$P$1+1+MONTH(B49)))</f>
        <v>12</v>
      </c>
      <c r="S49" s="600"/>
      <c r="T49" s="600"/>
      <c r="U49" s="600"/>
      <c r="V49" s="600"/>
      <c r="W49" s="600"/>
      <c r="X49" s="600"/>
      <c r="Y49" s="600"/>
      <c r="Z49" s="600"/>
    </row>
    <row r="50" spans="1:26" ht="39.75" customHeight="1" x14ac:dyDescent="0.2">
      <c r="A50" s="248">
        <v>45</v>
      </c>
      <c r="B50" s="249">
        <v>44531</v>
      </c>
      <c r="C50" s="250" t="s">
        <v>88</v>
      </c>
      <c r="D50" s="250" t="s">
        <v>90</v>
      </c>
      <c r="E50" s="251">
        <v>162335.67999999999</v>
      </c>
      <c r="F50" s="452" t="s">
        <v>531</v>
      </c>
      <c r="G50" s="250" t="s">
        <v>114</v>
      </c>
      <c r="H50" s="252"/>
      <c r="I50" s="253"/>
      <c r="J50" s="253"/>
      <c r="K50" s="253"/>
      <c r="L50" s="253"/>
      <c r="M50" s="254"/>
      <c r="N50" s="254"/>
      <c r="O50" s="596"/>
      <c r="P50" s="596"/>
      <c r="Q50" s="599" t="str">
        <f t="shared" si="1"/>
        <v>Gastos_com_Pessoal</v>
      </c>
      <c r="R50" s="247">
        <f>IF(B50="","",IF(YEAR(B50)='Diário 5º PA'!$Q$1,MONTH(B50)-'Diário 5º PA'!$P$1+1,(YEAR(B50)-'Diário 5º PA'!$Q$1)*12-'Diário 5º PA'!$P$1+1+MONTH(B50)))</f>
        <v>12</v>
      </c>
      <c r="S50" s="596"/>
      <c r="T50" s="596"/>
      <c r="U50" s="596"/>
      <c r="V50" s="596"/>
      <c r="W50" s="596"/>
      <c r="X50" s="596"/>
      <c r="Y50" s="596"/>
      <c r="Z50" s="596"/>
    </row>
    <row r="51" spans="1:26" ht="39.75" customHeight="1" x14ac:dyDescent="0.2">
      <c r="A51" s="248">
        <v>46</v>
      </c>
      <c r="B51" s="249">
        <v>44531</v>
      </c>
      <c r="C51" s="250" t="s">
        <v>88</v>
      </c>
      <c r="D51" s="250" t="s">
        <v>90</v>
      </c>
      <c r="E51" s="251">
        <v>15972.65</v>
      </c>
      <c r="F51" s="452" t="s">
        <v>7317</v>
      </c>
      <c r="G51" s="250" t="s">
        <v>114</v>
      </c>
      <c r="H51" s="252" t="s">
        <v>530</v>
      </c>
      <c r="I51" s="253" t="s">
        <v>114</v>
      </c>
      <c r="J51" s="253" t="s">
        <v>466</v>
      </c>
      <c r="K51" s="253" t="s">
        <v>547</v>
      </c>
      <c r="L51" s="253"/>
      <c r="M51" s="254"/>
      <c r="N51" s="254">
        <v>44581</v>
      </c>
      <c r="O51" s="600"/>
      <c r="P51" s="600"/>
      <c r="Q51" s="599" t="str">
        <f t="shared" si="1"/>
        <v>Gastos_com_Pessoal</v>
      </c>
      <c r="R51" s="247">
        <f>IF(B51="","",IF(YEAR(B51)='Diário 5º PA'!$Q$1,MONTH(B51)-'Diário 5º PA'!$P$1+1,(YEAR(B51)-'Diário 5º PA'!$Q$1)*12-'Diário 5º PA'!$P$1+1+MONTH(B51)))</f>
        <v>12</v>
      </c>
      <c r="S51" s="600"/>
      <c r="T51" s="600"/>
      <c r="U51" s="600"/>
      <c r="V51" s="600"/>
      <c r="W51" s="600"/>
      <c r="X51" s="600"/>
      <c r="Y51" s="600"/>
      <c r="Z51" s="600"/>
    </row>
    <row r="52" spans="1:26" ht="39.75" customHeight="1" x14ac:dyDescent="0.2">
      <c r="A52" s="248">
        <v>47</v>
      </c>
      <c r="B52" s="249">
        <v>44531</v>
      </c>
      <c r="C52" s="250" t="s">
        <v>88</v>
      </c>
      <c r="D52" s="250" t="s">
        <v>90</v>
      </c>
      <c r="E52" s="251">
        <v>12631.92</v>
      </c>
      <c r="F52" s="452" t="s">
        <v>7318</v>
      </c>
      <c r="G52" s="250" t="s">
        <v>114</v>
      </c>
      <c r="H52" s="252" t="s">
        <v>488</v>
      </c>
      <c r="I52" s="253"/>
      <c r="J52" s="253"/>
      <c r="K52" s="253"/>
      <c r="L52" s="253"/>
      <c r="M52" s="254"/>
      <c r="N52" s="254">
        <v>44581</v>
      </c>
      <c r="O52" s="600"/>
      <c r="P52" s="600"/>
      <c r="Q52" s="599" t="str">
        <f t="shared" si="1"/>
        <v>Gastos_com_Pessoal</v>
      </c>
      <c r="R52" s="247">
        <f>IF(B52="","",IF(YEAR(B52)='Diário 5º PA'!$Q$1,MONTH(B52)-'Diário 5º PA'!$P$1+1,(YEAR(B52)-'Diário 5º PA'!$Q$1)*12-'Diário 5º PA'!$P$1+1+MONTH(B52)))</f>
        <v>12</v>
      </c>
      <c r="S52" s="600"/>
      <c r="T52" s="600"/>
      <c r="U52" s="600"/>
      <c r="V52" s="600"/>
      <c r="W52" s="600"/>
      <c r="X52" s="600"/>
      <c r="Y52" s="600"/>
      <c r="Z52" s="600"/>
    </row>
    <row r="53" spans="1:26" ht="39.75" customHeight="1" x14ac:dyDescent="0.2">
      <c r="A53" s="248">
        <v>48</v>
      </c>
      <c r="B53" s="249">
        <v>44531</v>
      </c>
      <c r="C53" s="250" t="s">
        <v>88</v>
      </c>
      <c r="D53" s="250" t="s">
        <v>198</v>
      </c>
      <c r="E53" s="251">
        <v>1368.79</v>
      </c>
      <c r="F53" s="450" t="s">
        <v>533</v>
      </c>
      <c r="G53" s="252" t="s">
        <v>114</v>
      </c>
      <c r="H53" s="250" t="s">
        <v>534</v>
      </c>
      <c r="I53" s="253"/>
      <c r="J53" s="253"/>
      <c r="K53" s="253"/>
      <c r="L53" s="253"/>
      <c r="M53" s="254"/>
      <c r="N53" s="254"/>
      <c r="O53" s="596"/>
      <c r="P53" s="596"/>
      <c r="Q53" s="599" t="str">
        <f t="shared" si="1"/>
        <v>Gastos_com_Pessoal</v>
      </c>
      <c r="R53" s="247">
        <f>IF(B53="","",IF(YEAR(B53)='Diário 5º PA'!$Q$1,MONTH(B53)-'Diário 5º PA'!$P$1+1,(YEAR(B53)-'Diário 5º PA'!$Q$1)*12-'Diário 5º PA'!$P$1+1+MONTH(B53)))</f>
        <v>12</v>
      </c>
      <c r="S53" s="596"/>
      <c r="T53" s="596"/>
      <c r="U53" s="596"/>
      <c r="V53" s="596"/>
      <c r="W53" s="596"/>
      <c r="X53" s="596"/>
      <c r="Y53" s="596"/>
      <c r="Z53" s="596"/>
    </row>
    <row r="54" spans="1:26" ht="39.75" customHeight="1" x14ac:dyDescent="0.2">
      <c r="A54" s="248">
        <v>49</v>
      </c>
      <c r="B54" s="249">
        <v>44501</v>
      </c>
      <c r="C54" s="250" t="s">
        <v>88</v>
      </c>
      <c r="D54" s="250" t="s">
        <v>183</v>
      </c>
      <c r="E54" s="251">
        <v>14.97</v>
      </c>
      <c r="F54" s="450" t="s">
        <v>6526</v>
      </c>
      <c r="G54" s="252" t="s">
        <v>114</v>
      </c>
      <c r="H54" s="250" t="s">
        <v>488</v>
      </c>
      <c r="I54" s="253" t="s">
        <v>114</v>
      </c>
      <c r="J54" s="253" t="s">
        <v>466</v>
      </c>
      <c r="K54" s="253" t="s">
        <v>489</v>
      </c>
      <c r="L54" s="253"/>
      <c r="M54" s="254"/>
      <c r="N54" s="254">
        <v>44581</v>
      </c>
      <c r="O54" s="596"/>
      <c r="P54" s="596"/>
      <c r="Q54" s="599" t="str">
        <f t="shared" si="1"/>
        <v>Gastos_com_Pessoal</v>
      </c>
      <c r="R54" s="247">
        <f>IF(B54="","",IF(YEAR(B54)='Diário 5º PA'!$Q$1,MONTH(B54)-'Diário 5º PA'!$P$1+1,(YEAR(B54)-'Diário 5º PA'!$Q$1)*12-'Diário 5º PA'!$P$1+1+MONTH(B54)))</f>
        <v>11</v>
      </c>
      <c r="S54" s="600"/>
      <c r="T54" s="600"/>
      <c r="U54" s="600"/>
      <c r="V54" s="600"/>
      <c r="W54" s="600"/>
      <c r="X54" s="600"/>
      <c r="Y54" s="600"/>
      <c r="Z54" s="600"/>
    </row>
    <row r="55" spans="1:26" ht="39.75" customHeight="1" x14ac:dyDescent="0.2">
      <c r="A55" s="248">
        <v>50</v>
      </c>
      <c r="B55" s="249">
        <v>44501</v>
      </c>
      <c r="C55" s="250" t="s">
        <v>88</v>
      </c>
      <c r="D55" s="250" t="s">
        <v>183</v>
      </c>
      <c r="E55" s="251">
        <v>21.8</v>
      </c>
      <c r="F55" s="450" t="s">
        <v>6530</v>
      </c>
      <c r="G55" s="252" t="s">
        <v>114</v>
      </c>
      <c r="H55" s="250" t="s">
        <v>488</v>
      </c>
      <c r="I55" s="253" t="s">
        <v>114</v>
      </c>
      <c r="J55" s="253" t="s">
        <v>466</v>
      </c>
      <c r="K55" s="253" t="s">
        <v>489</v>
      </c>
      <c r="L55" s="253"/>
      <c r="M55" s="254"/>
      <c r="N55" s="254">
        <v>44581</v>
      </c>
      <c r="O55" s="596"/>
      <c r="P55" s="596"/>
      <c r="Q55" s="599" t="str">
        <f t="shared" si="1"/>
        <v>Gastos_com_Pessoal</v>
      </c>
      <c r="R55" s="247">
        <f>IF(B55="","",IF(YEAR(B55)='Diário 5º PA'!$Q$1,MONTH(B55)-'Diário 5º PA'!$P$1+1,(YEAR(B55)-'Diário 5º PA'!$Q$1)*12-'Diário 5º PA'!$P$1+1+MONTH(B55)))</f>
        <v>11</v>
      </c>
      <c r="S55" s="600"/>
      <c r="T55" s="600"/>
      <c r="U55" s="600"/>
      <c r="V55" s="600"/>
      <c r="W55" s="600"/>
      <c r="X55" s="600"/>
      <c r="Y55" s="600"/>
      <c r="Z55" s="600"/>
    </row>
    <row r="56" spans="1:26" ht="39.75" customHeight="1" x14ac:dyDescent="0.2">
      <c r="A56" s="248">
        <v>51</v>
      </c>
      <c r="B56" s="249">
        <v>44531</v>
      </c>
      <c r="C56" s="250" t="s">
        <v>88</v>
      </c>
      <c r="D56" s="250" t="s">
        <v>183</v>
      </c>
      <c r="E56" s="251">
        <v>832.2</v>
      </c>
      <c r="F56" s="450" t="s">
        <v>540</v>
      </c>
      <c r="G56" s="252" t="s">
        <v>114</v>
      </c>
      <c r="H56" s="250" t="s">
        <v>537</v>
      </c>
      <c r="I56" s="253"/>
      <c r="J56" s="253"/>
      <c r="K56" s="253"/>
      <c r="L56" s="253"/>
      <c r="M56" s="254"/>
      <c r="N56" s="254"/>
      <c r="O56" s="596"/>
      <c r="P56" s="596"/>
      <c r="Q56" s="599" t="str">
        <f t="shared" si="1"/>
        <v>Gastos_com_Pessoal</v>
      </c>
      <c r="R56" s="247">
        <f>IF(B56="","",IF(YEAR(B56)='Diário 5º PA'!$Q$1,MONTH(B56)-'Diário 5º PA'!$P$1+1,(YEAR(B56)-'Diário 5º PA'!$Q$1)*12-'Diário 5º PA'!$P$1+1+MONTH(B56)))</f>
        <v>12</v>
      </c>
      <c r="S56" s="596"/>
      <c r="T56" s="596"/>
      <c r="U56" s="596"/>
      <c r="V56" s="596"/>
      <c r="W56" s="596"/>
      <c r="X56" s="596"/>
      <c r="Y56" s="596"/>
      <c r="Z56" s="596"/>
    </row>
    <row r="57" spans="1:26" ht="39.75" customHeight="1" x14ac:dyDescent="0.2">
      <c r="A57" s="248">
        <v>52</v>
      </c>
      <c r="B57" s="249">
        <v>44470</v>
      </c>
      <c r="C57" s="250" t="s">
        <v>88</v>
      </c>
      <c r="D57" s="250" t="s">
        <v>90</v>
      </c>
      <c r="E57" s="251">
        <v>19.28</v>
      </c>
      <c r="F57" s="450" t="s">
        <v>6840</v>
      </c>
      <c r="G57" s="252" t="s">
        <v>114</v>
      </c>
      <c r="H57" s="252" t="s">
        <v>488</v>
      </c>
      <c r="I57" s="253" t="s">
        <v>114</v>
      </c>
      <c r="J57" s="253" t="s">
        <v>466</v>
      </c>
      <c r="K57" s="253" t="s">
        <v>489</v>
      </c>
      <c r="L57" s="253"/>
      <c r="M57" s="254"/>
      <c r="N57" s="254">
        <v>44581</v>
      </c>
      <c r="O57" s="600"/>
      <c r="P57" s="600"/>
      <c r="Q57" s="599" t="str">
        <f t="shared" si="1"/>
        <v>Gastos_com_Pessoal</v>
      </c>
      <c r="R57" s="247">
        <f>IF(B57="","",IF(YEAR(B57)='Diário 5º PA'!$Q$1,MONTH(B57)-'Diário 5º PA'!$P$1+1,(YEAR(B57)-'Diário 5º PA'!$Q$1)*12-'Diário 5º PA'!$P$1+1+MONTH(B57)))</f>
        <v>10</v>
      </c>
      <c r="S57" s="600"/>
      <c r="T57" s="600"/>
      <c r="U57" s="600"/>
      <c r="V57" s="600"/>
      <c r="W57" s="600"/>
      <c r="X57" s="600"/>
      <c r="Y57" s="600"/>
      <c r="Z57" s="600"/>
    </row>
    <row r="58" spans="1:26" ht="57.75" customHeight="1" x14ac:dyDescent="0.2">
      <c r="A58" s="248">
        <v>53</v>
      </c>
      <c r="B58" s="249">
        <v>44501</v>
      </c>
      <c r="C58" s="250" t="s">
        <v>88</v>
      </c>
      <c r="D58" s="250" t="s">
        <v>90</v>
      </c>
      <c r="E58" s="251">
        <v>630.73</v>
      </c>
      <c r="F58" s="450" t="s">
        <v>5862</v>
      </c>
      <c r="G58" s="255" t="s">
        <v>114</v>
      </c>
      <c r="H58" s="252" t="s">
        <v>542</v>
      </c>
      <c r="I58" s="253"/>
      <c r="J58" s="253"/>
      <c r="K58" s="253"/>
      <c r="L58" s="253"/>
      <c r="M58" s="254"/>
      <c r="N58" s="254"/>
      <c r="O58" s="596"/>
      <c r="P58" s="596"/>
      <c r="Q58" s="599" t="str">
        <f t="shared" si="1"/>
        <v>Gastos_com_Pessoal</v>
      </c>
      <c r="R58" s="247">
        <f>IF(B58="","",IF(YEAR(B58)='Diário 5º PA'!$Q$1,MONTH(B58)-'Diário 5º PA'!$P$1+1,(YEAR(B58)-'Diário 5º PA'!$Q$1)*12-'Diário 5º PA'!$P$1+1+MONTH(B58)))</f>
        <v>11</v>
      </c>
      <c r="S58" s="596"/>
      <c r="T58" s="596"/>
      <c r="U58" s="596"/>
      <c r="V58" s="596"/>
      <c r="W58" s="596"/>
      <c r="X58" s="596"/>
      <c r="Y58" s="596"/>
      <c r="Z58" s="596"/>
    </row>
    <row r="59" spans="1:26" ht="63.75" customHeight="1" x14ac:dyDescent="0.2">
      <c r="A59" s="248">
        <v>54</v>
      </c>
      <c r="B59" s="249">
        <v>44531</v>
      </c>
      <c r="C59" s="250" t="s">
        <v>88</v>
      </c>
      <c r="D59" s="250" t="s">
        <v>90</v>
      </c>
      <c r="E59" s="251">
        <v>1335.96</v>
      </c>
      <c r="F59" s="450" t="s">
        <v>5862</v>
      </c>
      <c r="G59" s="255" t="s">
        <v>114</v>
      </c>
      <c r="H59" s="252" t="s">
        <v>542</v>
      </c>
      <c r="I59" s="253"/>
      <c r="J59" s="253"/>
      <c r="K59" s="253"/>
      <c r="L59" s="253"/>
      <c r="M59" s="254"/>
      <c r="N59" s="254"/>
      <c r="O59" s="596"/>
      <c r="P59" s="596"/>
      <c r="Q59" s="599" t="str">
        <f t="shared" si="1"/>
        <v>Gastos_com_Pessoal</v>
      </c>
      <c r="R59" s="247">
        <f>IF(B59="","",IF(YEAR(B59)='Diário 5º PA'!$Q$1,MONTH(B59)-'Diário 5º PA'!$P$1+1,(YEAR(B59)-'Diário 5º PA'!$Q$1)*12-'Diário 5º PA'!$P$1+1+MONTH(B59)))</f>
        <v>12</v>
      </c>
      <c r="S59" s="596"/>
      <c r="T59" s="596"/>
      <c r="U59" s="596"/>
      <c r="V59" s="596"/>
      <c r="W59" s="596"/>
      <c r="X59" s="596"/>
      <c r="Y59" s="596"/>
      <c r="Z59" s="596"/>
    </row>
    <row r="60" spans="1:26" ht="56.25" customHeight="1" x14ac:dyDescent="0.2">
      <c r="A60" s="248">
        <v>55</v>
      </c>
      <c r="B60" s="249">
        <v>44501</v>
      </c>
      <c r="C60" s="250" t="s">
        <v>104</v>
      </c>
      <c r="D60" s="250" t="s">
        <v>104</v>
      </c>
      <c r="E60" s="251">
        <v>75</v>
      </c>
      <c r="F60" s="452" t="s">
        <v>7184</v>
      </c>
      <c r="G60" s="250" t="s">
        <v>104</v>
      </c>
      <c r="H60" s="252" t="s">
        <v>465</v>
      </c>
      <c r="I60" s="253" t="s">
        <v>114</v>
      </c>
      <c r="J60" s="253" t="s">
        <v>466</v>
      </c>
      <c r="K60" s="253" t="s">
        <v>467</v>
      </c>
      <c r="L60" s="253"/>
      <c r="M60" s="254"/>
      <c r="N60" s="254"/>
      <c r="O60" s="596"/>
      <c r="P60" s="596"/>
      <c r="Q60" s="599" t="str">
        <f t="shared" si="1"/>
        <v>Gastos_custeados_por_captação</v>
      </c>
      <c r="R60" s="247">
        <f>IF(B60="","",IF(YEAR(B60)='Diário 5º PA'!$Q$1,MONTH(B60)-'Diário 5º PA'!$P$1+1,(YEAR(B60)-'Diário 5º PA'!$Q$1)*12-'Diário 5º PA'!$P$1+1+MONTH(B60)))</f>
        <v>11</v>
      </c>
      <c r="S60" s="596"/>
      <c r="T60" s="596"/>
      <c r="U60" s="596"/>
      <c r="V60" s="596"/>
      <c r="W60" s="596"/>
      <c r="X60" s="596"/>
      <c r="Y60" s="596"/>
      <c r="Z60" s="596"/>
    </row>
    <row r="61" spans="1:26" ht="56.25" customHeight="1" x14ac:dyDescent="0.2">
      <c r="A61" s="248">
        <v>56</v>
      </c>
      <c r="B61" s="249">
        <v>44501</v>
      </c>
      <c r="C61" s="250" t="s">
        <v>104</v>
      </c>
      <c r="D61" s="250" t="s">
        <v>104</v>
      </c>
      <c r="E61" s="251">
        <v>24.08</v>
      </c>
      <c r="F61" s="452" t="s">
        <v>7185</v>
      </c>
      <c r="G61" s="250" t="s">
        <v>104</v>
      </c>
      <c r="H61" s="252" t="s">
        <v>488</v>
      </c>
      <c r="I61" s="253" t="s">
        <v>114</v>
      </c>
      <c r="J61" s="253" t="s">
        <v>466</v>
      </c>
      <c r="K61" s="253" t="s">
        <v>489</v>
      </c>
      <c r="L61" s="253"/>
      <c r="M61" s="254"/>
      <c r="N61" s="254"/>
      <c r="O61" s="600"/>
      <c r="P61" s="600"/>
      <c r="Q61" s="599" t="str">
        <f t="shared" si="1"/>
        <v>Gastos_custeados_por_captação</v>
      </c>
      <c r="R61" s="247">
        <f>IF(B61="","",IF(YEAR(B61)='Diário 5º PA'!$Q$1,MONTH(B61)-'Diário 5º PA'!$P$1+1,(YEAR(B61)-'Diário 5º PA'!$Q$1)*12-'Diário 5º PA'!$P$1+1+MONTH(B61)))</f>
        <v>11</v>
      </c>
      <c r="S61" s="600"/>
      <c r="T61" s="600"/>
      <c r="U61" s="600"/>
      <c r="V61" s="600"/>
      <c r="W61" s="600"/>
      <c r="X61" s="600"/>
      <c r="Y61" s="600"/>
      <c r="Z61" s="600"/>
    </row>
    <row r="62" spans="1:26" ht="56.25" customHeight="1" x14ac:dyDescent="0.2">
      <c r="A62" s="248">
        <v>57</v>
      </c>
      <c r="B62" s="249">
        <v>44501</v>
      </c>
      <c r="C62" s="250" t="s">
        <v>104</v>
      </c>
      <c r="D62" s="250" t="s">
        <v>104</v>
      </c>
      <c r="E62" s="251">
        <v>775</v>
      </c>
      <c r="F62" s="452" t="s">
        <v>7186</v>
      </c>
      <c r="G62" s="250" t="s">
        <v>104</v>
      </c>
      <c r="H62" s="252" t="s">
        <v>530</v>
      </c>
      <c r="I62" s="253" t="s">
        <v>114</v>
      </c>
      <c r="J62" s="253" t="s">
        <v>466</v>
      </c>
      <c r="K62" s="253" t="s">
        <v>547</v>
      </c>
      <c r="L62" s="253"/>
      <c r="M62" s="254"/>
      <c r="N62" s="254"/>
      <c r="O62" s="600"/>
      <c r="P62" s="600"/>
      <c r="Q62" s="599" t="str">
        <f t="shared" si="1"/>
        <v>Gastos_custeados_por_captação</v>
      </c>
      <c r="R62" s="247">
        <f>IF(B62="","",IF(YEAR(B62)='Diário 5º PA'!$Q$1,MONTH(B62)-'Diário 5º PA'!$P$1+1,(YEAR(B62)-'Diário 5º PA'!$Q$1)*12-'Diário 5º PA'!$P$1+1+MONTH(B62)))</f>
        <v>11</v>
      </c>
      <c r="S62" s="600"/>
      <c r="T62" s="600"/>
      <c r="U62" s="600"/>
      <c r="V62" s="600"/>
      <c r="W62" s="600"/>
      <c r="X62" s="600"/>
      <c r="Y62" s="600"/>
      <c r="Z62" s="600"/>
    </row>
    <row r="63" spans="1:26" ht="124.5" customHeight="1" x14ac:dyDescent="0.2">
      <c r="A63" s="248">
        <v>58</v>
      </c>
      <c r="B63" s="249">
        <v>44531</v>
      </c>
      <c r="C63" s="250" t="s">
        <v>104</v>
      </c>
      <c r="D63" s="250" t="s">
        <v>104</v>
      </c>
      <c r="E63" s="251">
        <v>3000</v>
      </c>
      <c r="F63" s="452" t="s">
        <v>548</v>
      </c>
      <c r="G63" s="250" t="s">
        <v>104</v>
      </c>
      <c r="H63" s="252" t="s">
        <v>549</v>
      </c>
      <c r="I63" s="253" t="s">
        <v>550</v>
      </c>
      <c r="J63" s="253"/>
      <c r="K63" s="253"/>
      <c r="L63" s="253"/>
      <c r="M63" s="254"/>
      <c r="N63" s="254"/>
      <c r="O63" s="596"/>
      <c r="P63" s="596"/>
      <c r="Q63" s="599" t="str">
        <f t="shared" si="1"/>
        <v>Gastos_custeados_por_captação</v>
      </c>
      <c r="R63" s="247">
        <f>IF(B63="","",IF(YEAR(B63)='Diário 5º PA'!$Q$1,MONTH(B63)-'Diário 5º PA'!$P$1+1,(YEAR(B63)-'Diário 5º PA'!$Q$1)*12-'Diário 5º PA'!$P$1+1+MONTH(B63)))</f>
        <v>12</v>
      </c>
      <c r="S63" s="596"/>
      <c r="T63" s="596"/>
      <c r="U63" s="596"/>
      <c r="V63" s="596"/>
      <c r="W63" s="596"/>
      <c r="X63" s="596"/>
      <c r="Y63" s="596"/>
      <c r="Z63" s="596"/>
    </row>
    <row r="64" spans="1:26" ht="150" customHeight="1" x14ac:dyDescent="0.2">
      <c r="A64" s="248">
        <v>59</v>
      </c>
      <c r="B64" s="249">
        <v>44501</v>
      </c>
      <c r="C64" s="250" t="s">
        <v>99</v>
      </c>
      <c r="D64" s="250" t="s">
        <v>330</v>
      </c>
      <c r="E64" s="251">
        <v>180</v>
      </c>
      <c r="F64" s="452" t="s">
        <v>554</v>
      </c>
      <c r="G64" s="250" t="s">
        <v>128</v>
      </c>
      <c r="H64" s="252" t="s">
        <v>555</v>
      </c>
      <c r="I64" s="253" t="s">
        <v>556</v>
      </c>
      <c r="J64" s="253"/>
      <c r="K64" s="253"/>
      <c r="L64" s="253"/>
      <c r="M64" s="254"/>
      <c r="N64" s="254"/>
      <c r="O64" s="596"/>
      <c r="P64" s="596"/>
      <c r="Q64" s="599" t="str">
        <f t="shared" si="1"/>
        <v>Gastos_Gerais</v>
      </c>
      <c r="R64" s="247">
        <f>IF(B64="","",IF(YEAR(B64)='Diário 5º PA'!$Q$1,MONTH(B64)-'Diário 5º PA'!$P$1+1,(YEAR(B64)-'Diário 5º PA'!$Q$1)*12-'Diário 5º PA'!$P$1+1+MONTH(B64)))</f>
        <v>11</v>
      </c>
      <c r="S64" s="596"/>
      <c r="T64" s="596"/>
      <c r="U64" s="596"/>
      <c r="V64" s="596"/>
      <c r="W64" s="596"/>
      <c r="X64" s="596"/>
      <c r="Y64" s="596"/>
      <c r="Z64" s="596"/>
    </row>
    <row r="65" spans="1:26" ht="150" customHeight="1" x14ac:dyDescent="0.2">
      <c r="A65" s="248">
        <v>60</v>
      </c>
      <c r="B65" s="249">
        <v>44531</v>
      </c>
      <c r="C65" s="250" t="s">
        <v>99</v>
      </c>
      <c r="D65" s="250" t="s">
        <v>330</v>
      </c>
      <c r="E65" s="251">
        <v>180</v>
      </c>
      <c r="F65" s="452" t="s">
        <v>554</v>
      </c>
      <c r="G65" s="250" t="s">
        <v>128</v>
      </c>
      <c r="H65" s="252" t="s">
        <v>555</v>
      </c>
      <c r="I65" s="253" t="s">
        <v>556</v>
      </c>
      <c r="J65" s="253"/>
      <c r="K65" s="253"/>
      <c r="L65" s="253"/>
      <c r="M65" s="254"/>
      <c r="N65" s="254"/>
      <c r="O65" s="596"/>
      <c r="P65" s="596"/>
      <c r="Q65" s="599" t="str">
        <f t="shared" si="1"/>
        <v>Gastos_Gerais</v>
      </c>
      <c r="R65" s="247">
        <f>IF(B65="","",IF(YEAR(B65)='Diário 5º PA'!$Q$1,MONTH(B65)-'Diário 5º PA'!$P$1+1,(YEAR(B65)-'Diário 5º PA'!$Q$1)*12-'Diário 5º PA'!$P$1+1+MONTH(B65)))</f>
        <v>12</v>
      </c>
      <c r="S65" s="596"/>
      <c r="T65" s="596"/>
      <c r="U65" s="596"/>
      <c r="V65" s="596"/>
      <c r="W65" s="596"/>
      <c r="X65" s="596"/>
      <c r="Y65" s="596"/>
      <c r="Z65" s="596"/>
    </row>
    <row r="66" spans="1:26" ht="39.75" customHeight="1" x14ac:dyDescent="0.2">
      <c r="A66" s="248">
        <v>61</v>
      </c>
      <c r="B66" s="249">
        <v>44531</v>
      </c>
      <c r="C66" s="250" t="s">
        <v>99</v>
      </c>
      <c r="D66" s="250" t="s">
        <v>330</v>
      </c>
      <c r="E66" s="251">
        <v>19905.97</v>
      </c>
      <c r="F66" s="452" t="s">
        <v>563</v>
      </c>
      <c r="G66" s="250" t="s">
        <v>129</v>
      </c>
      <c r="H66" s="252" t="s">
        <v>558</v>
      </c>
      <c r="I66" s="253" t="s">
        <v>559</v>
      </c>
      <c r="J66" s="253" t="s">
        <v>560</v>
      </c>
      <c r="K66" s="253"/>
      <c r="L66" s="253"/>
      <c r="M66" s="254"/>
      <c r="N66" s="254">
        <v>44566</v>
      </c>
      <c r="O66" s="596"/>
      <c r="P66" s="596"/>
      <c r="Q66" s="599" t="str">
        <f t="shared" si="1"/>
        <v>Gastos_Gerais</v>
      </c>
      <c r="R66" s="247">
        <f>IF(B66="","",IF(YEAR(B66)='Diário 5º PA'!$Q$1,MONTH(B66)-'Diário 5º PA'!$P$1+1,(YEAR(B66)-'Diário 5º PA'!$Q$1)*12-'Diário 5º PA'!$P$1+1+MONTH(B66)))</f>
        <v>12</v>
      </c>
      <c r="S66" s="596"/>
      <c r="T66" s="596"/>
      <c r="U66" s="596"/>
      <c r="V66" s="596"/>
      <c r="W66" s="596"/>
      <c r="X66" s="596"/>
      <c r="Y66" s="596"/>
      <c r="Z66" s="596"/>
    </row>
    <row r="67" spans="1:26" ht="44.25" customHeight="1" x14ac:dyDescent="0.2">
      <c r="A67" s="248">
        <v>62</v>
      </c>
      <c r="B67" s="249">
        <v>44501</v>
      </c>
      <c r="C67" s="250" t="s">
        <v>104</v>
      </c>
      <c r="D67" s="250" t="s">
        <v>104</v>
      </c>
      <c r="E67" s="251">
        <v>150</v>
      </c>
      <c r="F67" s="452" t="s">
        <v>7311</v>
      </c>
      <c r="G67" s="250" t="s">
        <v>104</v>
      </c>
      <c r="H67" s="252" t="s">
        <v>465</v>
      </c>
      <c r="I67" s="253" t="s">
        <v>114</v>
      </c>
      <c r="J67" s="253" t="s">
        <v>466</v>
      </c>
      <c r="K67" s="253" t="s">
        <v>467</v>
      </c>
      <c r="L67" s="253"/>
      <c r="M67" s="254"/>
      <c r="N67" s="254">
        <v>44571</v>
      </c>
      <c r="O67" s="596"/>
      <c r="P67" s="596"/>
      <c r="Q67" s="599" t="str">
        <f t="shared" si="1"/>
        <v>Gastos_custeados_por_captação</v>
      </c>
      <c r="R67" s="247">
        <f>IF(B67="","",IF(YEAR(B67)='Diário 5º PA'!$Q$1,MONTH(B67)-'Diário 5º PA'!$P$1+1,(YEAR(B67)-'Diário 5º PA'!$Q$1)*12-'Diário 5º PA'!$P$1+1+MONTH(B67)))</f>
        <v>11</v>
      </c>
      <c r="S67" s="596"/>
      <c r="T67" s="596"/>
      <c r="U67" s="596"/>
      <c r="V67" s="596"/>
      <c r="W67" s="596"/>
      <c r="X67" s="596"/>
      <c r="Y67" s="596"/>
      <c r="Z67" s="596"/>
    </row>
    <row r="68" spans="1:26" ht="43.5" customHeight="1" x14ac:dyDescent="0.2">
      <c r="A68" s="248">
        <v>63</v>
      </c>
      <c r="B68" s="249">
        <v>44501</v>
      </c>
      <c r="C68" s="250" t="s">
        <v>104</v>
      </c>
      <c r="D68" s="250" t="s">
        <v>104</v>
      </c>
      <c r="E68" s="251">
        <v>110.55</v>
      </c>
      <c r="F68" s="452" t="s">
        <v>7312</v>
      </c>
      <c r="G68" s="250" t="s">
        <v>104</v>
      </c>
      <c r="H68" s="252" t="s">
        <v>465</v>
      </c>
      <c r="I68" s="253" t="s">
        <v>114</v>
      </c>
      <c r="J68" s="253" t="s">
        <v>466</v>
      </c>
      <c r="K68" s="253" t="s">
        <v>467</v>
      </c>
      <c r="L68" s="253"/>
      <c r="M68" s="254"/>
      <c r="N68" s="254">
        <v>44571</v>
      </c>
      <c r="O68" s="596"/>
      <c r="P68" s="596"/>
      <c r="Q68" s="599" t="str">
        <f t="shared" si="1"/>
        <v>Gastos_custeados_por_captação</v>
      </c>
      <c r="R68" s="247">
        <f>IF(B68="","",IF(YEAR(B68)='Diário 5º PA'!$Q$1,MONTH(B68)-'Diário 5º PA'!$P$1+1,(YEAR(B68)-'Diário 5º PA'!$Q$1)*12-'Diário 5º PA'!$P$1+1+MONTH(B68)))</f>
        <v>11</v>
      </c>
      <c r="S68" s="596"/>
      <c r="T68" s="596"/>
      <c r="U68" s="596"/>
      <c r="V68" s="596"/>
      <c r="W68" s="596"/>
      <c r="X68" s="596"/>
      <c r="Y68" s="596"/>
      <c r="Z68" s="596"/>
    </row>
    <row r="69" spans="1:26" ht="150" customHeight="1" x14ac:dyDescent="0.2">
      <c r="A69" s="248">
        <v>64</v>
      </c>
      <c r="B69" s="249">
        <v>44531</v>
      </c>
      <c r="C69" s="250" t="s">
        <v>104</v>
      </c>
      <c r="D69" s="250" t="s">
        <v>104</v>
      </c>
      <c r="E69" s="251">
        <v>5500</v>
      </c>
      <c r="F69" s="452" t="s">
        <v>570</v>
      </c>
      <c r="G69" s="250" t="s">
        <v>104</v>
      </c>
      <c r="H69" s="252" t="s">
        <v>571</v>
      </c>
      <c r="I69" s="253" t="s">
        <v>572</v>
      </c>
      <c r="J69" s="253"/>
      <c r="K69" s="253"/>
      <c r="L69" s="253"/>
      <c r="M69" s="254"/>
      <c r="N69" s="254"/>
      <c r="O69" s="596"/>
      <c r="P69" s="596"/>
      <c r="Q69" s="599" t="str">
        <f t="shared" si="1"/>
        <v>Gastos_custeados_por_captação</v>
      </c>
      <c r="R69" s="247">
        <f>IF(B69="","",IF(YEAR(B69)='Diário 5º PA'!$Q$1,MONTH(B69)-'Diário 5º PA'!$P$1+1,(YEAR(B69)-'Diário 5º PA'!$Q$1)*12-'Diário 5º PA'!$P$1+1+MONTH(B69)))</f>
        <v>12</v>
      </c>
      <c r="S69" s="596"/>
      <c r="T69" s="596"/>
      <c r="U69" s="596"/>
      <c r="V69" s="596"/>
      <c r="W69" s="596"/>
      <c r="X69" s="596"/>
      <c r="Y69" s="596"/>
      <c r="Z69" s="596"/>
    </row>
    <row r="70" spans="1:26" ht="55.5" customHeight="1" x14ac:dyDescent="0.2">
      <c r="A70" s="248">
        <v>65</v>
      </c>
      <c r="B70" s="249">
        <v>44501</v>
      </c>
      <c r="C70" s="250" t="s">
        <v>104</v>
      </c>
      <c r="D70" s="250" t="s">
        <v>104</v>
      </c>
      <c r="E70" s="251">
        <v>75</v>
      </c>
      <c r="F70" s="452" t="s">
        <v>7302</v>
      </c>
      <c r="G70" s="250" t="s">
        <v>104</v>
      </c>
      <c r="H70" s="252" t="s">
        <v>465</v>
      </c>
      <c r="I70" s="253" t="s">
        <v>114</v>
      </c>
      <c r="J70" s="253" t="s">
        <v>466</v>
      </c>
      <c r="K70" s="253" t="s">
        <v>467</v>
      </c>
      <c r="L70" s="253"/>
      <c r="M70" s="254"/>
      <c r="N70" s="254">
        <v>44571</v>
      </c>
      <c r="O70" s="596"/>
      <c r="P70" s="596"/>
      <c r="Q70" s="599" t="str">
        <f t="shared" si="1"/>
        <v>Gastos_custeados_por_captação</v>
      </c>
      <c r="R70" s="247">
        <f>IF(B70="","",IF(YEAR(B70)='Diário 5º PA'!$Q$1,MONTH(B70)-'Diário 5º PA'!$P$1+1,(YEAR(B70)-'Diário 5º PA'!$Q$1)*12-'Diário 5º PA'!$P$1+1+MONTH(B70)))</f>
        <v>11</v>
      </c>
      <c r="S70" s="596"/>
      <c r="T70" s="596"/>
      <c r="U70" s="596"/>
      <c r="V70" s="596"/>
      <c r="W70" s="596"/>
      <c r="X70" s="596"/>
      <c r="Y70" s="596"/>
      <c r="Z70" s="596"/>
    </row>
    <row r="71" spans="1:26" ht="55.5" customHeight="1" x14ac:dyDescent="0.2">
      <c r="A71" s="248">
        <v>66</v>
      </c>
      <c r="B71" s="249">
        <v>44501</v>
      </c>
      <c r="C71" s="250" t="s">
        <v>104</v>
      </c>
      <c r="D71" s="250" t="s">
        <v>104</v>
      </c>
      <c r="E71" s="251">
        <v>465</v>
      </c>
      <c r="F71" s="452" t="s">
        <v>7303</v>
      </c>
      <c r="G71" s="250" t="s">
        <v>104</v>
      </c>
      <c r="H71" s="252" t="s">
        <v>465</v>
      </c>
      <c r="I71" s="253" t="s">
        <v>114</v>
      </c>
      <c r="J71" s="253" t="s">
        <v>466</v>
      </c>
      <c r="K71" s="253" t="s">
        <v>467</v>
      </c>
      <c r="L71" s="253"/>
      <c r="M71" s="254"/>
      <c r="N71" s="254">
        <v>44581</v>
      </c>
      <c r="O71" s="600"/>
      <c r="P71" s="600"/>
      <c r="Q71" s="599" t="str">
        <f t="shared" ref="Q71:Q134" si="2">SUBSTITUTE(C71," ","_")</f>
        <v>Gastos_custeados_por_captação</v>
      </c>
      <c r="R71" s="247">
        <f>IF(B71="","",IF(YEAR(B71)='Diário 5º PA'!$Q$1,MONTH(B71)-'Diário 5º PA'!$P$1+1,(YEAR(B71)-'Diário 5º PA'!$Q$1)*12-'Diário 5º PA'!$P$1+1+MONTH(B71)))</f>
        <v>11</v>
      </c>
      <c r="S71" s="600"/>
      <c r="T71" s="600"/>
      <c r="U71" s="600"/>
      <c r="V71" s="600"/>
      <c r="W71" s="600"/>
      <c r="X71" s="600"/>
      <c r="Y71" s="600"/>
      <c r="Z71" s="600"/>
    </row>
    <row r="72" spans="1:26" ht="183.75" customHeight="1" x14ac:dyDescent="0.2">
      <c r="A72" s="248">
        <v>67</v>
      </c>
      <c r="B72" s="249">
        <v>44531</v>
      </c>
      <c r="C72" s="250" t="s">
        <v>104</v>
      </c>
      <c r="D72" s="250" t="s">
        <v>104</v>
      </c>
      <c r="E72" s="251">
        <v>1800</v>
      </c>
      <c r="F72" s="452" t="s">
        <v>574</v>
      </c>
      <c r="G72" s="250" t="s">
        <v>104</v>
      </c>
      <c r="H72" s="252" t="s">
        <v>575</v>
      </c>
      <c r="I72" s="253" t="s">
        <v>576</v>
      </c>
      <c r="J72" s="253"/>
      <c r="K72" s="253"/>
      <c r="L72" s="253"/>
      <c r="M72" s="254"/>
      <c r="N72" s="254"/>
      <c r="O72" s="596"/>
      <c r="P72" s="596"/>
      <c r="Q72" s="599" t="str">
        <f t="shared" si="2"/>
        <v>Gastos_custeados_por_captação</v>
      </c>
      <c r="R72" s="247">
        <f>IF(B72="","",IF(YEAR(B72)='Diário 5º PA'!$Q$1,MONTH(B72)-'Diário 5º PA'!$P$1+1,(YEAR(B72)-'Diário 5º PA'!$Q$1)*12-'Diário 5º PA'!$P$1+1+MONTH(B72)))</f>
        <v>12</v>
      </c>
      <c r="S72" s="600"/>
      <c r="T72" s="600"/>
      <c r="U72" s="600"/>
      <c r="V72" s="600"/>
      <c r="W72" s="600"/>
      <c r="X72" s="600"/>
      <c r="Y72" s="600"/>
      <c r="Z72" s="600"/>
    </row>
    <row r="73" spans="1:26" ht="49.5" customHeight="1" x14ac:dyDescent="0.2">
      <c r="A73" s="248">
        <v>68</v>
      </c>
      <c r="B73" s="249">
        <v>44501</v>
      </c>
      <c r="C73" s="250" t="s">
        <v>104</v>
      </c>
      <c r="D73" s="250" t="s">
        <v>104</v>
      </c>
      <c r="E73" s="251">
        <v>55.28</v>
      </c>
      <c r="F73" s="452" t="s">
        <v>7313</v>
      </c>
      <c r="G73" s="250" t="s">
        <v>104</v>
      </c>
      <c r="H73" s="252" t="s">
        <v>465</v>
      </c>
      <c r="I73" s="253" t="s">
        <v>114</v>
      </c>
      <c r="J73" s="253" t="s">
        <v>466</v>
      </c>
      <c r="K73" s="253" t="s">
        <v>467</v>
      </c>
      <c r="L73" s="253"/>
      <c r="M73" s="254"/>
      <c r="N73" s="254">
        <v>44571</v>
      </c>
      <c r="O73" s="596"/>
      <c r="P73" s="596"/>
      <c r="Q73" s="599" t="str">
        <f t="shared" si="2"/>
        <v>Gastos_custeados_por_captação</v>
      </c>
      <c r="R73" s="247">
        <f>IF(B73="","",IF(YEAR(B73)='Diário 5º PA'!$Q$1,MONTH(B73)-'Diário 5º PA'!$P$1+1,(YEAR(B73)-'Diário 5º PA'!$Q$1)*12-'Diário 5º PA'!$P$1+1+MONTH(B73)))</f>
        <v>11</v>
      </c>
      <c r="S73" s="596"/>
      <c r="T73" s="596"/>
      <c r="U73" s="596"/>
      <c r="V73" s="596"/>
      <c r="W73" s="596"/>
      <c r="X73" s="596"/>
      <c r="Y73" s="596"/>
      <c r="Z73" s="596"/>
    </row>
    <row r="74" spans="1:26" ht="129.75" customHeight="1" x14ac:dyDescent="0.2">
      <c r="A74" s="248">
        <v>69</v>
      </c>
      <c r="B74" s="249">
        <v>44531</v>
      </c>
      <c r="C74" s="250" t="s">
        <v>104</v>
      </c>
      <c r="D74" s="250" t="s">
        <v>104</v>
      </c>
      <c r="E74" s="251">
        <v>2750</v>
      </c>
      <c r="F74" s="452" t="s">
        <v>579</v>
      </c>
      <c r="G74" s="250" t="s">
        <v>104</v>
      </c>
      <c r="H74" s="252" t="s">
        <v>580</v>
      </c>
      <c r="I74" s="253" t="s">
        <v>581</v>
      </c>
      <c r="J74" s="253"/>
      <c r="K74" s="253"/>
      <c r="L74" s="253"/>
      <c r="M74" s="254"/>
      <c r="N74" s="254"/>
      <c r="O74" s="596"/>
      <c r="P74" s="596"/>
      <c r="Q74" s="599" t="str">
        <f t="shared" si="2"/>
        <v>Gastos_custeados_por_captação</v>
      </c>
      <c r="R74" s="247">
        <f>IF(B74="","",IF(YEAR(B74)='Diário 5º PA'!$Q$1,MONTH(B74)-'Diário 5º PA'!$P$1+1,(YEAR(B74)-'Diário 5º PA'!$Q$1)*12-'Diário 5º PA'!$P$1+1+MONTH(B74)))</f>
        <v>12</v>
      </c>
      <c r="S74" s="596"/>
      <c r="T74" s="596"/>
      <c r="U74" s="596"/>
      <c r="V74" s="596"/>
      <c r="W74" s="596"/>
      <c r="X74" s="596"/>
      <c r="Y74" s="596"/>
      <c r="Z74" s="596"/>
    </row>
    <row r="75" spans="1:26" ht="57.75" customHeight="1" x14ac:dyDescent="0.2">
      <c r="A75" s="248">
        <v>70</v>
      </c>
      <c r="B75" s="249">
        <v>44287</v>
      </c>
      <c r="C75" s="250" t="s">
        <v>99</v>
      </c>
      <c r="D75" s="250" t="s">
        <v>376</v>
      </c>
      <c r="E75" s="251">
        <v>11.2</v>
      </c>
      <c r="F75" s="452" t="s">
        <v>6677</v>
      </c>
      <c r="G75" s="250" t="s">
        <v>131</v>
      </c>
      <c r="H75" s="252" t="s">
        <v>465</v>
      </c>
      <c r="I75" s="253" t="s">
        <v>114</v>
      </c>
      <c r="J75" s="253" t="s">
        <v>466</v>
      </c>
      <c r="K75" s="253" t="s">
        <v>467</v>
      </c>
      <c r="L75" s="253"/>
      <c r="M75" s="254"/>
      <c r="N75" s="254">
        <v>44204</v>
      </c>
      <c r="O75" s="600"/>
      <c r="P75" s="600"/>
      <c r="Q75" s="599" t="str">
        <f t="shared" si="2"/>
        <v>Gastos_Gerais</v>
      </c>
      <c r="R75" s="247">
        <f>IF(B75="","",IF(YEAR(B75)='Diário 5º PA'!$Q$1,MONTH(B75)-'Diário 5º PA'!$P$1+1,(YEAR(B75)-'Diário 5º PA'!$Q$1)*12-'Diário 5º PA'!$P$1+1+MONTH(B75)))</f>
        <v>4</v>
      </c>
      <c r="S75" s="600"/>
      <c r="T75" s="600"/>
      <c r="U75" s="600"/>
      <c r="V75" s="600"/>
      <c r="W75" s="600"/>
      <c r="X75" s="600"/>
      <c r="Y75" s="600"/>
      <c r="Z75" s="600"/>
    </row>
    <row r="76" spans="1:26" ht="60" customHeight="1" x14ac:dyDescent="0.2">
      <c r="A76" s="248">
        <v>71</v>
      </c>
      <c r="B76" s="249">
        <v>44501</v>
      </c>
      <c r="C76" s="250" t="s">
        <v>104</v>
      </c>
      <c r="D76" s="250" t="s">
        <v>104</v>
      </c>
      <c r="E76" s="251">
        <v>46.23</v>
      </c>
      <c r="F76" s="452" t="s">
        <v>7310</v>
      </c>
      <c r="G76" s="250" t="s">
        <v>104</v>
      </c>
      <c r="H76" s="252" t="s">
        <v>465</v>
      </c>
      <c r="I76" s="253" t="s">
        <v>114</v>
      </c>
      <c r="J76" s="253" t="s">
        <v>466</v>
      </c>
      <c r="K76" s="253" t="s">
        <v>467</v>
      </c>
      <c r="L76" s="253"/>
      <c r="M76" s="254"/>
      <c r="N76" s="254">
        <v>44571</v>
      </c>
      <c r="O76" s="596"/>
      <c r="P76" s="596"/>
      <c r="Q76" s="599" t="str">
        <f t="shared" si="2"/>
        <v>Gastos_custeados_por_captação</v>
      </c>
      <c r="R76" s="247">
        <f>IF(B76="","",IF(YEAR(B76)='Diário 5º PA'!$Q$1,MONTH(B76)-'Diário 5º PA'!$P$1+1,(YEAR(B76)-'Diário 5º PA'!$Q$1)*12-'Diário 5º PA'!$P$1+1+MONTH(B76)))</f>
        <v>11</v>
      </c>
      <c r="S76" s="596"/>
      <c r="T76" s="596"/>
      <c r="U76" s="596"/>
      <c r="V76" s="596"/>
      <c r="W76" s="596"/>
      <c r="X76" s="596"/>
      <c r="Y76" s="596"/>
      <c r="Z76" s="596"/>
    </row>
    <row r="77" spans="1:26" ht="187.5" customHeight="1" x14ac:dyDescent="0.2">
      <c r="A77" s="248">
        <v>72</v>
      </c>
      <c r="B77" s="249">
        <v>44531</v>
      </c>
      <c r="C77" s="250" t="s">
        <v>104</v>
      </c>
      <c r="D77" s="250" t="s">
        <v>104</v>
      </c>
      <c r="E77" s="251">
        <v>1533</v>
      </c>
      <c r="F77" s="452" t="s">
        <v>594</v>
      </c>
      <c r="G77" s="250" t="s">
        <v>104</v>
      </c>
      <c r="H77" s="252" t="s">
        <v>589</v>
      </c>
      <c r="I77" s="253" t="s">
        <v>590</v>
      </c>
      <c r="J77" s="253"/>
      <c r="K77" s="253"/>
      <c r="L77" s="253"/>
      <c r="M77" s="254"/>
      <c r="N77" s="254"/>
      <c r="O77" s="596"/>
      <c r="P77" s="596"/>
      <c r="Q77" s="599" t="str">
        <f t="shared" si="2"/>
        <v>Gastos_custeados_por_captação</v>
      </c>
      <c r="R77" s="247">
        <f>IF(B77="","",IF(YEAR(B77)='Diário 5º PA'!$Q$1,MONTH(B77)-'Diário 5º PA'!$P$1+1,(YEAR(B77)-'Diário 5º PA'!$Q$1)*12-'Diário 5º PA'!$P$1+1+MONTH(B77)))</f>
        <v>12</v>
      </c>
      <c r="S77" s="596"/>
      <c r="T77" s="596"/>
      <c r="U77" s="596"/>
      <c r="V77" s="596"/>
      <c r="W77" s="596"/>
      <c r="X77" s="596"/>
      <c r="Y77" s="596"/>
      <c r="Z77" s="596"/>
    </row>
    <row r="78" spans="1:26" ht="39.950000000000003" customHeight="1" x14ac:dyDescent="0.2">
      <c r="A78" s="248">
        <v>73</v>
      </c>
      <c r="B78" s="249">
        <v>44501</v>
      </c>
      <c r="C78" s="250" t="s">
        <v>104</v>
      </c>
      <c r="D78" s="250" t="s">
        <v>104</v>
      </c>
      <c r="E78" s="251">
        <v>75</v>
      </c>
      <c r="F78" s="452" t="s">
        <v>7297</v>
      </c>
      <c r="G78" s="250" t="s">
        <v>104</v>
      </c>
      <c r="H78" s="252" t="s">
        <v>465</v>
      </c>
      <c r="I78" s="253" t="s">
        <v>114</v>
      </c>
      <c r="J78" s="253" t="s">
        <v>466</v>
      </c>
      <c r="K78" s="253" t="s">
        <v>467</v>
      </c>
      <c r="L78" s="253"/>
      <c r="M78" s="254"/>
      <c r="N78" s="254">
        <v>44571</v>
      </c>
      <c r="O78" s="600"/>
      <c r="P78" s="600"/>
      <c r="Q78" s="599" t="str">
        <f t="shared" si="2"/>
        <v>Gastos_custeados_por_captação</v>
      </c>
      <c r="R78" s="247">
        <f>IF(B78="","",IF(YEAR(B78)='Diário 5º PA'!$Q$1,MONTH(B78)-'Diário 5º PA'!$P$1+1,(YEAR(B78)-'Diário 5º PA'!$Q$1)*12-'Diário 5º PA'!$P$1+1+MONTH(B78)))</f>
        <v>11</v>
      </c>
      <c r="S78" s="600"/>
      <c r="T78" s="600"/>
      <c r="U78" s="600"/>
      <c r="V78" s="600"/>
      <c r="W78" s="600"/>
      <c r="X78" s="600"/>
      <c r="Y78" s="600"/>
      <c r="Z78" s="600"/>
    </row>
    <row r="79" spans="1:26" ht="39.950000000000003" customHeight="1" x14ac:dyDescent="0.2">
      <c r="A79" s="248">
        <v>74</v>
      </c>
      <c r="B79" s="249">
        <v>44501</v>
      </c>
      <c r="C79" s="250" t="s">
        <v>104</v>
      </c>
      <c r="D79" s="250" t="s">
        <v>104</v>
      </c>
      <c r="E79" s="251">
        <v>57.45</v>
      </c>
      <c r="F79" s="452" t="s">
        <v>7298</v>
      </c>
      <c r="G79" s="250" t="s">
        <v>104</v>
      </c>
      <c r="H79" s="252" t="s">
        <v>488</v>
      </c>
      <c r="I79" s="253" t="s">
        <v>114</v>
      </c>
      <c r="J79" s="253" t="s">
        <v>466</v>
      </c>
      <c r="K79" s="253" t="s">
        <v>489</v>
      </c>
      <c r="L79" s="253"/>
      <c r="M79" s="254"/>
      <c r="N79" s="254">
        <v>44581</v>
      </c>
      <c r="O79" s="600"/>
      <c r="P79" s="600"/>
      <c r="Q79" s="599" t="str">
        <f t="shared" si="2"/>
        <v>Gastos_custeados_por_captação</v>
      </c>
      <c r="R79" s="247">
        <f>IF(B79="","",IF(YEAR(B79)='Diário 5º PA'!$Q$1,MONTH(B79)-'Diário 5º PA'!$P$1+1,(YEAR(B79)-'Diário 5º PA'!$Q$1)*12-'Diário 5º PA'!$P$1+1+MONTH(B79)))</f>
        <v>11</v>
      </c>
      <c r="S79" s="600"/>
      <c r="T79" s="600"/>
      <c r="U79" s="600"/>
      <c r="V79" s="600"/>
      <c r="W79" s="600"/>
      <c r="X79" s="600"/>
      <c r="Y79" s="600"/>
      <c r="Z79" s="600"/>
    </row>
    <row r="80" spans="1:26" ht="39.950000000000003" customHeight="1" x14ac:dyDescent="0.2">
      <c r="A80" s="248">
        <v>75</v>
      </c>
      <c r="B80" s="249">
        <v>44501</v>
      </c>
      <c r="C80" s="250" t="s">
        <v>104</v>
      </c>
      <c r="D80" s="250" t="s">
        <v>104</v>
      </c>
      <c r="E80" s="251">
        <v>930</v>
      </c>
      <c r="F80" s="452" t="s">
        <v>7299</v>
      </c>
      <c r="G80" s="250" t="s">
        <v>104</v>
      </c>
      <c r="H80" s="252" t="s">
        <v>530</v>
      </c>
      <c r="I80" s="253" t="s">
        <v>114</v>
      </c>
      <c r="J80" s="253" t="s">
        <v>466</v>
      </c>
      <c r="K80" s="253" t="s">
        <v>547</v>
      </c>
      <c r="L80" s="253"/>
      <c r="M80" s="254"/>
      <c r="N80" s="254">
        <v>44581</v>
      </c>
      <c r="O80" s="600"/>
      <c r="P80" s="600"/>
      <c r="Q80" s="599" t="str">
        <f t="shared" si="2"/>
        <v>Gastos_custeados_por_captação</v>
      </c>
      <c r="R80" s="247">
        <f>IF(B80="","",IF(YEAR(B80)='Diário 5º PA'!$Q$1,MONTH(B80)-'Diário 5º PA'!$P$1+1,(YEAR(B80)-'Diário 5º PA'!$Q$1)*12-'Diário 5º PA'!$P$1+1+MONTH(B80)))</f>
        <v>11</v>
      </c>
      <c r="S80" s="600"/>
      <c r="T80" s="600"/>
      <c r="U80" s="600"/>
      <c r="V80" s="600"/>
      <c r="W80" s="600"/>
      <c r="X80" s="600"/>
      <c r="Y80" s="600"/>
      <c r="Z80" s="600"/>
    </row>
    <row r="81" spans="1:26" ht="130.5" customHeight="1" x14ac:dyDescent="0.2">
      <c r="A81" s="248">
        <v>76</v>
      </c>
      <c r="B81" s="249">
        <v>44531</v>
      </c>
      <c r="C81" s="250" t="s">
        <v>104</v>
      </c>
      <c r="D81" s="250" t="s">
        <v>104</v>
      </c>
      <c r="E81" s="251">
        <v>3600</v>
      </c>
      <c r="F81" s="452" t="s">
        <v>596</v>
      </c>
      <c r="G81" s="250" t="s">
        <v>104</v>
      </c>
      <c r="H81" s="252" t="s">
        <v>597</v>
      </c>
      <c r="I81" s="253" t="s">
        <v>598</v>
      </c>
      <c r="J81" s="253"/>
      <c r="K81" s="253"/>
      <c r="L81" s="253"/>
      <c r="M81" s="254"/>
      <c r="N81" s="254"/>
      <c r="O81" s="596"/>
      <c r="P81" s="596"/>
      <c r="Q81" s="599" t="str">
        <f t="shared" si="2"/>
        <v>Gastos_custeados_por_captação</v>
      </c>
      <c r="R81" s="247">
        <f>IF(B81="","",IF(YEAR(B81)='Diário 5º PA'!$Q$1,MONTH(B81)-'Diário 5º PA'!$P$1+1,(YEAR(B81)-'Diário 5º PA'!$Q$1)*12-'Diário 5º PA'!$P$1+1+MONTH(B81)))</f>
        <v>12</v>
      </c>
      <c r="S81" s="596"/>
      <c r="T81" s="596"/>
      <c r="U81" s="596"/>
      <c r="V81" s="596"/>
      <c r="W81" s="596"/>
      <c r="X81" s="596"/>
      <c r="Y81" s="596"/>
      <c r="Z81" s="596"/>
    </row>
    <row r="82" spans="1:26" ht="45" customHeight="1" x14ac:dyDescent="0.2">
      <c r="A82" s="248">
        <v>77</v>
      </c>
      <c r="B82" s="249">
        <v>44287</v>
      </c>
      <c r="C82" s="250" t="s">
        <v>104</v>
      </c>
      <c r="D82" s="250" t="s">
        <v>104</v>
      </c>
      <c r="E82" s="251">
        <v>180</v>
      </c>
      <c r="F82" s="452" t="s">
        <v>599</v>
      </c>
      <c r="G82" s="250" t="s">
        <v>104</v>
      </c>
      <c r="H82" s="252" t="s">
        <v>600</v>
      </c>
      <c r="I82" s="253" t="s">
        <v>444</v>
      </c>
      <c r="J82" s="253"/>
      <c r="K82" s="253"/>
      <c r="L82" s="253"/>
      <c r="M82" s="254"/>
      <c r="N82" s="254"/>
      <c r="O82" s="596"/>
      <c r="P82" s="596"/>
      <c r="Q82" s="599" t="str">
        <f t="shared" si="2"/>
        <v>Gastos_custeados_por_captação</v>
      </c>
      <c r="R82" s="247">
        <f>IF(B82="","",IF(YEAR(B82)='Diário 5º PA'!$Q$1,MONTH(B82)-'Diário 5º PA'!$P$1+1,(YEAR(B82)-'Diário 5º PA'!$Q$1)*12-'Diário 5º PA'!$P$1+1+MONTH(B82)))</f>
        <v>4</v>
      </c>
      <c r="S82" s="596"/>
      <c r="T82" s="596"/>
      <c r="U82" s="596"/>
      <c r="V82" s="596"/>
      <c r="W82" s="596"/>
      <c r="X82" s="596"/>
      <c r="Y82" s="596"/>
      <c r="Z82" s="596"/>
    </row>
    <row r="83" spans="1:26" ht="42" customHeight="1" x14ac:dyDescent="0.2">
      <c r="A83" s="248">
        <v>78</v>
      </c>
      <c r="B83" s="249">
        <v>44501</v>
      </c>
      <c r="C83" s="250" t="s">
        <v>104</v>
      </c>
      <c r="D83" s="250" t="s">
        <v>104</v>
      </c>
      <c r="E83" s="251">
        <v>120</v>
      </c>
      <c r="F83" s="452" t="s">
        <v>7314</v>
      </c>
      <c r="G83" s="250" t="s">
        <v>104</v>
      </c>
      <c r="H83" s="252" t="s">
        <v>465</v>
      </c>
      <c r="I83" s="253" t="s">
        <v>114</v>
      </c>
      <c r="J83" s="253" t="s">
        <v>466</v>
      </c>
      <c r="K83" s="253" t="s">
        <v>467</v>
      </c>
      <c r="L83" s="253"/>
      <c r="M83" s="254"/>
      <c r="N83" s="254"/>
      <c r="O83" s="596"/>
      <c r="P83" s="596"/>
      <c r="Q83" s="599" t="str">
        <f t="shared" si="2"/>
        <v>Gastos_custeados_por_captação</v>
      </c>
      <c r="R83" s="247">
        <f>IF(B83="","",IF(YEAR(B83)='Diário 5º PA'!$Q$1,MONTH(B83)-'Diário 5º PA'!$P$1+1,(YEAR(B83)-'Diário 5º PA'!$Q$1)*12-'Diário 5º PA'!$P$1+1+MONTH(B83)))</f>
        <v>11</v>
      </c>
      <c r="S83" s="596"/>
      <c r="T83" s="596"/>
      <c r="U83" s="596"/>
      <c r="V83" s="596"/>
      <c r="W83" s="596"/>
      <c r="X83" s="596"/>
      <c r="Y83" s="596"/>
      <c r="Z83" s="596"/>
    </row>
    <row r="84" spans="1:26" ht="42" customHeight="1" x14ac:dyDescent="0.2">
      <c r="A84" s="248">
        <v>79</v>
      </c>
      <c r="B84" s="249">
        <v>44501</v>
      </c>
      <c r="C84" s="250" t="s">
        <v>104</v>
      </c>
      <c r="D84" s="250" t="s">
        <v>104</v>
      </c>
      <c r="E84" s="251">
        <v>60</v>
      </c>
      <c r="F84" s="452" t="s">
        <v>7315</v>
      </c>
      <c r="G84" s="250" t="s">
        <v>104</v>
      </c>
      <c r="H84" s="252" t="s">
        <v>488</v>
      </c>
      <c r="I84" s="253" t="s">
        <v>114</v>
      </c>
      <c r="J84" s="253" t="s">
        <v>466</v>
      </c>
      <c r="K84" s="253" t="s">
        <v>489</v>
      </c>
      <c r="L84" s="253"/>
      <c r="M84" s="254"/>
      <c r="N84" s="254"/>
      <c r="O84" s="596"/>
      <c r="P84" s="596"/>
      <c r="Q84" s="599" t="str">
        <f t="shared" si="2"/>
        <v>Gastos_custeados_por_captação</v>
      </c>
      <c r="R84" s="247">
        <f>IF(B84="","",IF(YEAR(B84)='Diário 5º PA'!$Q$1,MONTH(B84)-'Diário 5º PA'!$P$1+1,(YEAR(B84)-'Diário 5º PA'!$Q$1)*12-'Diário 5º PA'!$P$1+1+MONTH(B84)))</f>
        <v>11</v>
      </c>
      <c r="S84" s="600"/>
      <c r="T84" s="600"/>
      <c r="U84" s="600"/>
      <c r="V84" s="600"/>
      <c r="W84" s="600"/>
      <c r="X84" s="600"/>
      <c r="Y84" s="600"/>
      <c r="Z84" s="600"/>
    </row>
    <row r="85" spans="1:26" ht="42" customHeight="1" x14ac:dyDescent="0.2">
      <c r="A85" s="248">
        <v>80</v>
      </c>
      <c r="B85" s="249">
        <v>44501</v>
      </c>
      <c r="C85" s="250" t="s">
        <v>104</v>
      </c>
      <c r="D85" s="250" t="s">
        <v>104</v>
      </c>
      <c r="E85" s="251">
        <v>186</v>
      </c>
      <c r="F85" s="452" t="s">
        <v>7316</v>
      </c>
      <c r="G85" s="250" t="s">
        <v>104</v>
      </c>
      <c r="H85" s="252" t="s">
        <v>488</v>
      </c>
      <c r="I85" s="253" t="s">
        <v>114</v>
      </c>
      <c r="J85" s="253" t="s">
        <v>466</v>
      </c>
      <c r="K85" s="253" t="s">
        <v>489</v>
      </c>
      <c r="L85" s="253"/>
      <c r="M85" s="254"/>
      <c r="N85" s="254"/>
      <c r="O85" s="596"/>
      <c r="P85" s="596"/>
      <c r="Q85" s="599" t="str">
        <f t="shared" si="2"/>
        <v>Gastos_custeados_por_captação</v>
      </c>
      <c r="R85" s="247">
        <f>IF(B85="","",IF(YEAR(B85)='Diário 5º PA'!$Q$1,MONTH(B85)-'Diário 5º PA'!$P$1+1,(YEAR(B85)-'Diário 5º PA'!$Q$1)*12-'Diário 5º PA'!$P$1+1+MONTH(B85)))</f>
        <v>11</v>
      </c>
      <c r="S85" s="600"/>
      <c r="T85" s="600"/>
      <c r="U85" s="600"/>
      <c r="V85" s="600"/>
      <c r="W85" s="600"/>
      <c r="X85" s="600"/>
      <c r="Y85" s="600"/>
      <c r="Z85" s="600"/>
    </row>
    <row r="86" spans="1:26" ht="69.75" customHeight="1" x14ac:dyDescent="0.2">
      <c r="A86" s="248">
        <v>81</v>
      </c>
      <c r="B86" s="249">
        <v>44531</v>
      </c>
      <c r="C86" s="250" t="s">
        <v>104</v>
      </c>
      <c r="D86" s="250" t="s">
        <v>104</v>
      </c>
      <c r="E86" s="251">
        <v>4000</v>
      </c>
      <c r="F86" s="452" t="s">
        <v>606</v>
      </c>
      <c r="G86" s="250" t="s">
        <v>104</v>
      </c>
      <c r="H86" s="252" t="s">
        <v>607</v>
      </c>
      <c r="I86" s="253" t="s">
        <v>608</v>
      </c>
      <c r="J86" s="253"/>
      <c r="K86" s="253"/>
      <c r="L86" s="253"/>
      <c r="M86" s="254"/>
      <c r="N86" s="254"/>
      <c r="O86" s="596"/>
      <c r="P86" s="596"/>
      <c r="Q86" s="599" t="str">
        <f t="shared" si="2"/>
        <v>Gastos_custeados_por_captação</v>
      </c>
      <c r="R86" s="247">
        <f>IF(B86="","",IF(YEAR(B86)='Diário 5º PA'!$Q$1,MONTH(B86)-'Diário 5º PA'!$P$1+1,(YEAR(B86)-'Diário 5º PA'!$Q$1)*12-'Diário 5º PA'!$P$1+1+MONTH(B86)))</f>
        <v>12</v>
      </c>
      <c r="S86" s="596"/>
      <c r="T86" s="596"/>
      <c r="U86" s="596"/>
      <c r="V86" s="596"/>
      <c r="W86" s="596"/>
      <c r="X86" s="596"/>
      <c r="Y86" s="596"/>
      <c r="Z86" s="596"/>
    </row>
    <row r="87" spans="1:26" ht="48.75" customHeight="1" x14ac:dyDescent="0.2">
      <c r="A87" s="248">
        <v>82</v>
      </c>
      <c r="B87" s="249">
        <v>44501</v>
      </c>
      <c r="C87" s="250" t="s">
        <v>99</v>
      </c>
      <c r="D87" s="250" t="s">
        <v>244</v>
      </c>
      <c r="E87" s="251">
        <v>116.61</v>
      </c>
      <c r="F87" s="452" t="s">
        <v>6826</v>
      </c>
      <c r="G87" s="250" t="s">
        <v>128</v>
      </c>
      <c r="H87" s="252" t="s">
        <v>465</v>
      </c>
      <c r="I87" s="253" t="s">
        <v>114</v>
      </c>
      <c r="J87" s="253" t="s">
        <v>466</v>
      </c>
      <c r="K87" s="253" t="s">
        <v>467</v>
      </c>
      <c r="L87" s="253"/>
      <c r="M87" s="254"/>
      <c r="N87" s="254">
        <v>44569</v>
      </c>
      <c r="O87" s="596"/>
      <c r="P87" s="596"/>
      <c r="Q87" s="599" t="str">
        <f t="shared" si="2"/>
        <v>Gastos_Gerais</v>
      </c>
      <c r="R87" s="247">
        <f>IF(B87="","",IF(YEAR(B87)='Diário 5º PA'!$Q$1,MONTH(B87)-'Diário 5º PA'!$P$1+1,(YEAR(B87)-'Diário 5º PA'!$Q$1)*12-'Diário 5º PA'!$P$1+1+MONTH(B87)))</f>
        <v>11</v>
      </c>
      <c r="S87" s="596"/>
      <c r="T87" s="596"/>
      <c r="U87" s="596"/>
      <c r="V87" s="596"/>
      <c r="W87" s="596"/>
      <c r="X87" s="596"/>
      <c r="Y87" s="596"/>
      <c r="Z87" s="596"/>
    </row>
    <row r="88" spans="1:26" ht="69.75" customHeight="1" x14ac:dyDescent="0.2">
      <c r="A88" s="248">
        <v>83</v>
      </c>
      <c r="B88" s="249">
        <v>44531</v>
      </c>
      <c r="C88" s="250" t="s">
        <v>99</v>
      </c>
      <c r="D88" s="250" t="s">
        <v>244</v>
      </c>
      <c r="E88" s="251">
        <v>3028.17</v>
      </c>
      <c r="F88" s="452" t="s">
        <v>619</v>
      </c>
      <c r="G88" s="250" t="s">
        <v>128</v>
      </c>
      <c r="H88" s="252" t="s">
        <v>614</v>
      </c>
      <c r="I88" s="253" t="s">
        <v>615</v>
      </c>
      <c r="J88" s="253"/>
      <c r="K88" s="253"/>
      <c r="L88" s="253"/>
      <c r="M88" s="254"/>
      <c r="N88" s="254"/>
      <c r="O88" s="596"/>
      <c r="P88" s="596"/>
      <c r="Q88" s="599" t="str">
        <f t="shared" si="2"/>
        <v>Gastos_Gerais</v>
      </c>
      <c r="R88" s="247">
        <f>IF(B88="","",IF(YEAR(B88)='Diário 5º PA'!$Q$1,MONTH(B88)-'Diário 5º PA'!$P$1+1,(YEAR(B88)-'Diário 5º PA'!$Q$1)*12-'Diário 5º PA'!$P$1+1+MONTH(B88)))</f>
        <v>12</v>
      </c>
      <c r="S88" s="596"/>
      <c r="T88" s="596"/>
      <c r="U88" s="596"/>
      <c r="V88" s="596"/>
      <c r="W88" s="596"/>
      <c r="X88" s="596"/>
      <c r="Y88" s="596"/>
      <c r="Z88" s="596"/>
    </row>
    <row r="89" spans="1:26" ht="96.75" customHeight="1" x14ac:dyDescent="0.2">
      <c r="A89" s="248">
        <v>84</v>
      </c>
      <c r="B89" s="249">
        <v>44531</v>
      </c>
      <c r="C89" s="250" t="s">
        <v>99</v>
      </c>
      <c r="D89" s="250" t="s">
        <v>262</v>
      </c>
      <c r="E89" s="251">
        <v>5519.25</v>
      </c>
      <c r="F89" s="451" t="s">
        <v>621</v>
      </c>
      <c r="G89" s="252" t="s">
        <v>115</v>
      </c>
      <c r="H89" s="252" t="s">
        <v>622</v>
      </c>
      <c r="I89" s="253" t="s">
        <v>623</v>
      </c>
      <c r="J89" s="253"/>
      <c r="K89" s="253"/>
      <c r="L89" s="253"/>
      <c r="M89" s="254"/>
      <c r="N89" s="254"/>
      <c r="O89" s="596"/>
      <c r="P89" s="596"/>
      <c r="Q89" s="599" t="str">
        <f t="shared" si="2"/>
        <v>Gastos_Gerais</v>
      </c>
      <c r="R89" s="247">
        <f>IF(B89="","",IF(YEAR(B89)='Diário 5º PA'!$Q$1,MONTH(B89)-'Diário 5º PA'!$P$1+1,(YEAR(B89)-'Diário 5º PA'!$Q$1)*12-'Diário 5º PA'!$P$1+1+MONTH(B89)))</f>
        <v>12</v>
      </c>
      <c r="S89" s="600"/>
      <c r="T89" s="600"/>
      <c r="U89" s="600"/>
      <c r="V89" s="600"/>
      <c r="W89" s="600"/>
      <c r="X89" s="600"/>
      <c r="Y89" s="600"/>
      <c r="Z89" s="600"/>
    </row>
    <row r="90" spans="1:26" ht="55.5" customHeight="1" x14ac:dyDescent="0.2">
      <c r="A90" s="248">
        <v>85</v>
      </c>
      <c r="B90" s="249">
        <v>44501</v>
      </c>
      <c r="C90" s="250" t="s">
        <v>104</v>
      </c>
      <c r="D90" s="250" t="s">
        <v>104</v>
      </c>
      <c r="E90" s="251">
        <v>152.25</v>
      </c>
      <c r="F90" s="451" t="s">
        <v>7190</v>
      </c>
      <c r="G90" s="250" t="s">
        <v>104</v>
      </c>
      <c r="H90" s="252" t="s">
        <v>465</v>
      </c>
      <c r="I90" s="253" t="s">
        <v>114</v>
      </c>
      <c r="J90" s="253" t="s">
        <v>466</v>
      </c>
      <c r="K90" s="253" t="s">
        <v>467</v>
      </c>
      <c r="L90" s="253"/>
      <c r="M90" s="254"/>
      <c r="N90" s="254"/>
      <c r="O90" s="600"/>
      <c r="P90" s="600"/>
      <c r="Q90" s="599" t="str">
        <f t="shared" si="2"/>
        <v>Gastos_custeados_por_captação</v>
      </c>
      <c r="R90" s="247">
        <f>IF(B90="","",IF(YEAR(B90)='Diário 5º PA'!$Q$1,MONTH(B90)-'Diário 5º PA'!$P$1+1,(YEAR(B90)-'Diário 5º PA'!$Q$1)*12-'Diário 5º PA'!$P$1+1+MONTH(B90)))</f>
        <v>11</v>
      </c>
      <c r="S90" s="600"/>
      <c r="T90" s="600"/>
      <c r="U90" s="600"/>
      <c r="V90" s="600"/>
      <c r="W90" s="600"/>
      <c r="X90" s="600"/>
      <c r="Y90" s="600"/>
      <c r="Z90" s="600"/>
    </row>
    <row r="91" spans="1:26" ht="51.75" customHeight="1" x14ac:dyDescent="0.2">
      <c r="A91" s="248">
        <v>86</v>
      </c>
      <c r="B91" s="249">
        <v>44501</v>
      </c>
      <c r="C91" s="250" t="s">
        <v>104</v>
      </c>
      <c r="D91" s="250" t="s">
        <v>104</v>
      </c>
      <c r="E91" s="251">
        <v>71.05</v>
      </c>
      <c r="F91" s="451" t="s">
        <v>7194</v>
      </c>
      <c r="G91" s="250" t="s">
        <v>104</v>
      </c>
      <c r="H91" s="252" t="s">
        <v>465</v>
      </c>
      <c r="I91" s="253" t="s">
        <v>114</v>
      </c>
      <c r="J91" s="253" t="s">
        <v>466</v>
      </c>
      <c r="K91" s="253" t="s">
        <v>467</v>
      </c>
      <c r="L91" s="253"/>
      <c r="M91" s="254"/>
      <c r="N91" s="254"/>
      <c r="O91" s="600"/>
      <c r="P91" s="600"/>
      <c r="Q91" s="599" t="str">
        <f t="shared" si="2"/>
        <v>Gastos_custeados_por_captação</v>
      </c>
      <c r="R91" s="247">
        <f>IF(B91="","",IF(YEAR(B91)='Diário 5º PA'!$Q$1,MONTH(B91)-'Diário 5º PA'!$P$1+1,(YEAR(B91)-'Diário 5º PA'!$Q$1)*12-'Diário 5º PA'!$P$1+1+MONTH(B91)))</f>
        <v>11</v>
      </c>
      <c r="S91" s="600"/>
      <c r="T91" s="600"/>
      <c r="U91" s="600"/>
      <c r="V91" s="600"/>
      <c r="W91" s="600"/>
      <c r="X91" s="600"/>
      <c r="Y91" s="600"/>
      <c r="Z91" s="600"/>
    </row>
    <row r="92" spans="1:26" ht="94.5" customHeight="1" x14ac:dyDescent="0.2">
      <c r="A92" s="248">
        <v>87</v>
      </c>
      <c r="B92" s="249">
        <v>44531</v>
      </c>
      <c r="C92" s="250" t="s">
        <v>99</v>
      </c>
      <c r="D92" s="250" t="s">
        <v>262</v>
      </c>
      <c r="E92" s="251">
        <v>2575.65</v>
      </c>
      <c r="F92" s="452" t="s">
        <v>628</v>
      </c>
      <c r="G92" s="250" t="s">
        <v>115</v>
      </c>
      <c r="H92" s="252" t="s">
        <v>626</v>
      </c>
      <c r="I92" s="253" t="s">
        <v>627</v>
      </c>
      <c r="J92" s="253"/>
      <c r="K92" s="253"/>
      <c r="L92" s="253"/>
      <c r="M92" s="254"/>
      <c r="N92" s="254"/>
      <c r="O92" s="596"/>
      <c r="P92" s="596"/>
      <c r="Q92" s="599" t="str">
        <f t="shared" si="2"/>
        <v>Gastos_Gerais</v>
      </c>
      <c r="R92" s="247">
        <f>IF(B92="","",IF(YEAR(B92)='Diário 5º PA'!$Q$1,MONTH(B92)-'Diário 5º PA'!$P$1+1,(YEAR(B92)-'Diário 5º PA'!$Q$1)*12-'Diário 5º PA'!$P$1+1+MONTH(B92)))</f>
        <v>12</v>
      </c>
      <c r="S92" s="596"/>
      <c r="T92" s="596"/>
      <c r="U92" s="596"/>
      <c r="V92" s="596"/>
      <c r="W92" s="596"/>
      <c r="X92" s="596"/>
      <c r="Y92" s="596"/>
      <c r="Z92" s="596"/>
    </row>
    <row r="93" spans="1:26" ht="50.1" customHeight="1" x14ac:dyDescent="0.2">
      <c r="A93" s="248">
        <v>88</v>
      </c>
      <c r="B93" s="249">
        <v>44501</v>
      </c>
      <c r="C93" s="250" t="s">
        <v>104</v>
      </c>
      <c r="D93" s="250" t="s">
        <v>104</v>
      </c>
      <c r="E93" s="251">
        <v>60</v>
      </c>
      <c r="F93" s="452" t="s">
        <v>7205</v>
      </c>
      <c r="G93" s="250" t="s">
        <v>104</v>
      </c>
      <c r="H93" s="252" t="s">
        <v>465</v>
      </c>
      <c r="I93" s="253" t="s">
        <v>114</v>
      </c>
      <c r="J93" s="253" t="s">
        <v>466</v>
      </c>
      <c r="K93" s="253" t="s">
        <v>467</v>
      </c>
      <c r="L93" s="253"/>
      <c r="M93" s="254"/>
      <c r="N93" s="254"/>
      <c r="O93" s="600"/>
      <c r="P93" s="600"/>
      <c r="Q93" s="599" t="str">
        <f t="shared" si="2"/>
        <v>Gastos_custeados_por_captação</v>
      </c>
      <c r="R93" s="247">
        <f>IF(B93="","",IF(YEAR(B93)='Diário 5º PA'!$Q$1,MONTH(B93)-'Diário 5º PA'!$P$1+1,(YEAR(B93)-'Diário 5º PA'!$Q$1)*12-'Diário 5º PA'!$P$1+1+MONTH(B93)))</f>
        <v>11</v>
      </c>
      <c r="S93" s="600"/>
      <c r="T93" s="600"/>
      <c r="U93" s="600"/>
      <c r="V93" s="600"/>
      <c r="W93" s="600"/>
      <c r="X93" s="600"/>
      <c r="Y93" s="600"/>
      <c r="Z93" s="600"/>
    </row>
    <row r="94" spans="1:26" ht="50.1" customHeight="1" x14ac:dyDescent="0.2">
      <c r="A94" s="248">
        <v>89</v>
      </c>
      <c r="B94" s="249">
        <v>44501</v>
      </c>
      <c r="C94" s="250" t="s">
        <v>104</v>
      </c>
      <c r="D94" s="250" t="s">
        <v>104</v>
      </c>
      <c r="E94" s="251">
        <v>17.399999999999999</v>
      </c>
      <c r="F94" s="452" t="s">
        <v>7206</v>
      </c>
      <c r="G94" s="250" t="s">
        <v>104</v>
      </c>
      <c r="H94" s="252" t="s">
        <v>488</v>
      </c>
      <c r="I94" s="253" t="s">
        <v>114</v>
      </c>
      <c r="J94" s="253" t="s">
        <v>466</v>
      </c>
      <c r="K94" s="253" t="s">
        <v>489</v>
      </c>
      <c r="L94" s="253"/>
      <c r="M94" s="254"/>
      <c r="N94" s="254"/>
      <c r="O94" s="600"/>
      <c r="P94" s="600"/>
      <c r="Q94" s="599" t="str">
        <f t="shared" si="2"/>
        <v>Gastos_custeados_por_captação</v>
      </c>
      <c r="R94" s="247">
        <f>IF(B94="","",IF(YEAR(B94)='Diário 5º PA'!$Q$1,MONTH(B94)-'Diário 5º PA'!$P$1+1,(YEAR(B94)-'Diário 5º PA'!$Q$1)*12-'Diário 5º PA'!$P$1+1+MONTH(B94)))</f>
        <v>11</v>
      </c>
      <c r="S94" s="600"/>
      <c r="T94" s="600"/>
      <c r="U94" s="600"/>
      <c r="V94" s="600"/>
      <c r="W94" s="600"/>
      <c r="X94" s="600"/>
      <c r="Y94" s="600"/>
      <c r="Z94" s="600"/>
    </row>
    <row r="95" spans="1:26" ht="50.1" customHeight="1" x14ac:dyDescent="0.2">
      <c r="A95" s="248">
        <v>90</v>
      </c>
      <c r="B95" s="249">
        <v>44501</v>
      </c>
      <c r="C95" s="250" t="s">
        <v>104</v>
      </c>
      <c r="D95" s="250" t="s">
        <v>104</v>
      </c>
      <c r="E95" s="251">
        <v>744</v>
      </c>
      <c r="F95" s="452" t="s">
        <v>7207</v>
      </c>
      <c r="G95" s="250" t="s">
        <v>104</v>
      </c>
      <c r="H95" s="252" t="s">
        <v>530</v>
      </c>
      <c r="I95" s="253" t="s">
        <v>114</v>
      </c>
      <c r="J95" s="253" t="s">
        <v>466</v>
      </c>
      <c r="K95" s="253" t="s">
        <v>547</v>
      </c>
      <c r="L95" s="253"/>
      <c r="M95" s="254"/>
      <c r="N95" s="254"/>
      <c r="O95" s="600"/>
      <c r="P95" s="600"/>
      <c r="Q95" s="599" t="str">
        <f t="shared" si="2"/>
        <v>Gastos_custeados_por_captação</v>
      </c>
      <c r="R95" s="247">
        <f>IF(B95="","",IF(YEAR(B95)='Diário 5º PA'!$Q$1,MONTH(B95)-'Diário 5º PA'!$P$1+1,(YEAR(B95)-'Diário 5º PA'!$Q$1)*12-'Diário 5º PA'!$P$1+1+MONTH(B95)))</f>
        <v>11</v>
      </c>
      <c r="S95" s="600"/>
      <c r="T95" s="600"/>
      <c r="U95" s="600"/>
      <c r="V95" s="600"/>
      <c r="W95" s="600"/>
      <c r="X95" s="600"/>
      <c r="Y95" s="600"/>
      <c r="Z95" s="600"/>
    </row>
    <row r="96" spans="1:26" ht="55.5" customHeight="1" x14ac:dyDescent="0.2">
      <c r="A96" s="248">
        <v>91</v>
      </c>
      <c r="B96" s="249">
        <v>44501</v>
      </c>
      <c r="C96" s="250" t="s">
        <v>104</v>
      </c>
      <c r="D96" s="250" t="s">
        <v>104</v>
      </c>
      <c r="E96" s="251">
        <v>100</v>
      </c>
      <c r="F96" s="452" t="s">
        <v>7204</v>
      </c>
      <c r="G96" s="250" t="s">
        <v>104</v>
      </c>
      <c r="H96" s="252" t="s">
        <v>465</v>
      </c>
      <c r="I96" s="253" t="s">
        <v>114</v>
      </c>
      <c r="J96" s="253" t="s">
        <v>466</v>
      </c>
      <c r="K96" s="253" t="s">
        <v>467</v>
      </c>
      <c r="L96" s="253"/>
      <c r="M96" s="254"/>
      <c r="N96" s="254"/>
      <c r="O96" s="600"/>
      <c r="P96" s="600"/>
      <c r="Q96" s="599" t="str">
        <f t="shared" si="2"/>
        <v>Gastos_custeados_por_captação</v>
      </c>
      <c r="R96" s="247">
        <f>IF(B96="","",IF(YEAR(B96)='Diário 5º PA'!$Q$1,MONTH(B96)-'Diário 5º PA'!$P$1+1,(YEAR(B96)-'Diário 5º PA'!$Q$1)*12-'Diário 5º PA'!$P$1+1+MONTH(B96)))</f>
        <v>11</v>
      </c>
      <c r="S96" s="600"/>
      <c r="T96" s="600"/>
      <c r="U96" s="600"/>
      <c r="V96" s="600"/>
      <c r="W96" s="600"/>
      <c r="X96" s="600"/>
      <c r="Y96" s="600"/>
      <c r="Z96" s="600"/>
    </row>
    <row r="97" spans="1:26" ht="43.5" customHeight="1" x14ac:dyDescent="0.2">
      <c r="A97" s="248">
        <v>92</v>
      </c>
      <c r="B97" s="249">
        <v>44501</v>
      </c>
      <c r="C97" s="250" t="s">
        <v>104</v>
      </c>
      <c r="D97" s="250" t="s">
        <v>104</v>
      </c>
      <c r="E97" s="251">
        <v>157.5</v>
      </c>
      <c r="F97" s="452" t="s">
        <v>7203</v>
      </c>
      <c r="G97" s="250" t="s">
        <v>104</v>
      </c>
      <c r="H97" s="252" t="s">
        <v>465</v>
      </c>
      <c r="I97" s="253" t="s">
        <v>114</v>
      </c>
      <c r="J97" s="253" t="s">
        <v>466</v>
      </c>
      <c r="K97" s="253" t="s">
        <v>467</v>
      </c>
      <c r="L97" s="253"/>
      <c r="M97" s="254"/>
      <c r="N97" s="254"/>
      <c r="O97" s="596"/>
      <c r="P97" s="596"/>
      <c r="Q97" s="599" t="str">
        <f t="shared" si="2"/>
        <v>Gastos_custeados_por_captação</v>
      </c>
      <c r="R97" s="247">
        <f>IF(B97="","",IF(YEAR(B97)='Diário 5º PA'!$Q$1,MONTH(B97)-'Diário 5º PA'!$P$1+1,(YEAR(B97)-'Diário 5º PA'!$Q$1)*12-'Diário 5º PA'!$P$1+1+MONTH(B97)))</f>
        <v>11</v>
      </c>
      <c r="S97" s="596"/>
      <c r="T97" s="596"/>
      <c r="U97" s="596"/>
      <c r="V97" s="596"/>
      <c r="W97" s="596"/>
      <c r="X97" s="596"/>
      <c r="Y97" s="596"/>
      <c r="Z97" s="596"/>
    </row>
    <row r="98" spans="1:26" ht="108.75" customHeight="1" x14ac:dyDescent="0.2">
      <c r="A98" s="248">
        <v>93</v>
      </c>
      <c r="B98" s="249">
        <v>44531</v>
      </c>
      <c r="C98" s="250" t="s">
        <v>104</v>
      </c>
      <c r="D98" s="250" t="s">
        <v>104</v>
      </c>
      <c r="E98" s="251">
        <v>3500</v>
      </c>
      <c r="F98" s="452" t="s">
        <v>634</v>
      </c>
      <c r="G98" s="250" t="s">
        <v>104</v>
      </c>
      <c r="H98" s="252" t="s">
        <v>635</v>
      </c>
      <c r="I98" s="253" t="s">
        <v>636</v>
      </c>
      <c r="J98" s="253"/>
      <c r="K98" s="253"/>
      <c r="L98" s="253"/>
      <c r="M98" s="254"/>
      <c r="N98" s="254"/>
      <c r="O98" s="596"/>
      <c r="P98" s="596"/>
      <c r="Q98" s="599" t="str">
        <f t="shared" si="2"/>
        <v>Gastos_custeados_por_captação</v>
      </c>
      <c r="R98" s="247">
        <f>IF(B98="","",IF(YEAR(B98)='Diário 5º PA'!$Q$1,MONTH(B98)-'Diário 5º PA'!$P$1+1,(YEAR(B98)-'Diário 5º PA'!$Q$1)*12-'Diário 5º PA'!$P$1+1+MONTH(B98)))</f>
        <v>12</v>
      </c>
      <c r="S98" s="596"/>
      <c r="T98" s="596"/>
      <c r="U98" s="596"/>
      <c r="V98" s="596"/>
      <c r="W98" s="596"/>
      <c r="X98" s="596"/>
      <c r="Y98" s="596"/>
      <c r="Z98" s="596"/>
    </row>
    <row r="99" spans="1:26" ht="131.25" customHeight="1" x14ac:dyDescent="0.2">
      <c r="A99" s="248">
        <v>94</v>
      </c>
      <c r="B99" s="249">
        <v>44531</v>
      </c>
      <c r="C99" s="250" t="s">
        <v>104</v>
      </c>
      <c r="D99" s="250" t="s">
        <v>104</v>
      </c>
      <c r="E99" s="251">
        <v>5500</v>
      </c>
      <c r="F99" s="452" t="s">
        <v>637</v>
      </c>
      <c r="G99" s="250" t="s">
        <v>104</v>
      </c>
      <c r="H99" s="252" t="s">
        <v>638</v>
      </c>
      <c r="I99" s="253" t="s">
        <v>639</v>
      </c>
      <c r="J99" s="253"/>
      <c r="K99" s="253"/>
      <c r="L99" s="253"/>
      <c r="M99" s="254"/>
      <c r="N99" s="254"/>
      <c r="O99" s="596"/>
      <c r="P99" s="596"/>
      <c r="Q99" s="599" t="str">
        <f t="shared" si="2"/>
        <v>Gastos_custeados_por_captação</v>
      </c>
      <c r="R99" s="247">
        <f>IF(B99="","",IF(YEAR(B99)='Diário 5º PA'!$Q$1,MONTH(B99)-'Diário 5º PA'!$P$1+1,(YEAR(B99)-'Diário 5º PA'!$Q$1)*12-'Diário 5º PA'!$P$1+1+MONTH(B99)))</f>
        <v>12</v>
      </c>
      <c r="S99" s="596"/>
      <c r="T99" s="596"/>
      <c r="U99" s="596"/>
      <c r="V99" s="596"/>
      <c r="W99" s="596"/>
      <c r="X99" s="596"/>
      <c r="Y99" s="596"/>
      <c r="Z99" s="596"/>
    </row>
    <row r="100" spans="1:26" ht="123" customHeight="1" x14ac:dyDescent="0.2">
      <c r="A100" s="248">
        <v>95</v>
      </c>
      <c r="B100" s="249">
        <v>44531</v>
      </c>
      <c r="C100" s="250" t="s">
        <v>99</v>
      </c>
      <c r="D100" s="250" t="s">
        <v>224</v>
      </c>
      <c r="E100" s="251">
        <v>115.5</v>
      </c>
      <c r="F100" s="452" t="s">
        <v>642</v>
      </c>
      <c r="G100" s="250" t="s">
        <v>130</v>
      </c>
      <c r="H100" s="252" t="s">
        <v>643</v>
      </c>
      <c r="I100" s="253" t="s">
        <v>644</v>
      </c>
      <c r="J100" s="253"/>
      <c r="K100" s="253"/>
      <c r="L100" s="253"/>
      <c r="M100" s="254"/>
      <c r="N100" s="254"/>
      <c r="O100" s="596"/>
      <c r="P100" s="596"/>
      <c r="Q100" s="599" t="str">
        <f t="shared" si="2"/>
        <v>Gastos_Gerais</v>
      </c>
      <c r="R100" s="247">
        <f>IF(B100="","",IF(YEAR(B100)='Diário 5º PA'!$Q$1,MONTH(B100)-'Diário 5º PA'!$P$1+1,(YEAR(B100)-'Diário 5º PA'!$Q$1)*12-'Diário 5º PA'!$P$1+1+MONTH(B100)))</f>
        <v>12</v>
      </c>
      <c r="S100" s="596"/>
      <c r="T100" s="596"/>
      <c r="U100" s="596"/>
      <c r="V100" s="596"/>
      <c r="W100" s="596"/>
      <c r="X100" s="596"/>
      <c r="Y100" s="596"/>
      <c r="Z100" s="596"/>
    </row>
    <row r="101" spans="1:26" ht="101.25" customHeight="1" x14ac:dyDescent="0.2">
      <c r="A101" s="248">
        <v>96</v>
      </c>
      <c r="B101" s="249">
        <v>44531</v>
      </c>
      <c r="C101" s="250" t="s">
        <v>99</v>
      </c>
      <c r="D101" s="250" t="s">
        <v>254</v>
      </c>
      <c r="E101" s="251">
        <v>250</v>
      </c>
      <c r="F101" s="452" t="s">
        <v>651</v>
      </c>
      <c r="G101" s="250" t="s">
        <v>115</v>
      </c>
      <c r="H101" s="250" t="s">
        <v>653</v>
      </c>
      <c r="I101" s="253" t="s">
        <v>652</v>
      </c>
      <c r="J101" s="253"/>
      <c r="K101" s="253"/>
      <c r="L101" s="253"/>
      <c r="M101" s="254"/>
      <c r="N101" s="254"/>
      <c r="O101" s="596"/>
      <c r="P101" s="596"/>
      <c r="Q101" s="599" t="str">
        <f t="shared" si="2"/>
        <v>Gastos_Gerais</v>
      </c>
      <c r="R101" s="247">
        <f>IF(B101="","",IF(YEAR(B101)='Diário 5º PA'!$Q$1,MONTH(B101)-'Diário 5º PA'!$P$1+1,(YEAR(B101)-'Diário 5º PA'!$Q$1)*12-'Diário 5º PA'!$P$1+1+MONTH(B101)))</f>
        <v>12</v>
      </c>
      <c r="S101" s="596"/>
      <c r="T101" s="596"/>
      <c r="U101" s="596"/>
      <c r="V101" s="596"/>
      <c r="W101" s="596"/>
      <c r="X101" s="596"/>
      <c r="Y101" s="596"/>
      <c r="Z101" s="596"/>
    </row>
    <row r="102" spans="1:26" ht="134.25" customHeight="1" x14ac:dyDescent="0.2">
      <c r="A102" s="248">
        <v>97</v>
      </c>
      <c r="B102" s="249">
        <v>44348</v>
      </c>
      <c r="C102" s="250" t="s">
        <v>99</v>
      </c>
      <c r="D102" s="250" t="s">
        <v>358</v>
      </c>
      <c r="E102" s="251">
        <v>1700</v>
      </c>
      <c r="F102" s="452" t="s">
        <v>668</v>
      </c>
      <c r="G102" s="250" t="s">
        <v>126</v>
      </c>
      <c r="H102" s="250" t="s">
        <v>669</v>
      </c>
      <c r="I102" s="253" t="s">
        <v>670</v>
      </c>
      <c r="J102" s="253"/>
      <c r="K102" s="253"/>
      <c r="L102" s="253"/>
      <c r="M102" s="254"/>
      <c r="N102" s="254"/>
      <c r="O102" s="596"/>
      <c r="P102" s="596"/>
      <c r="Q102" s="599" t="str">
        <f t="shared" si="2"/>
        <v>Gastos_Gerais</v>
      </c>
      <c r="R102" s="247">
        <f>IF(B102="","",IF(YEAR(B102)='Diário 5º PA'!$Q$1,MONTH(B102)-'Diário 5º PA'!$P$1+1,(YEAR(B102)-'Diário 5º PA'!$Q$1)*12-'Diário 5º PA'!$P$1+1+MONTH(B102)))</f>
        <v>6</v>
      </c>
      <c r="S102" s="596"/>
      <c r="T102" s="596"/>
      <c r="U102" s="596"/>
      <c r="V102" s="596"/>
      <c r="W102" s="596"/>
      <c r="X102" s="596"/>
      <c r="Y102" s="596"/>
      <c r="Z102" s="596"/>
    </row>
    <row r="103" spans="1:26" ht="128.25" customHeight="1" x14ac:dyDescent="0.2">
      <c r="A103" s="248">
        <v>98</v>
      </c>
      <c r="B103" s="249">
        <v>44348</v>
      </c>
      <c r="C103" s="250" t="s">
        <v>99</v>
      </c>
      <c r="D103" s="250" t="s">
        <v>348</v>
      </c>
      <c r="E103" s="251">
        <f>7250-5750</f>
        <v>1500</v>
      </c>
      <c r="F103" s="452" t="s">
        <v>680</v>
      </c>
      <c r="G103" s="250" t="s">
        <v>116</v>
      </c>
      <c r="H103" s="250" t="s">
        <v>681</v>
      </c>
      <c r="I103" s="253" t="s">
        <v>682</v>
      </c>
      <c r="J103" s="253"/>
      <c r="K103" s="253"/>
      <c r="L103" s="253"/>
      <c r="M103" s="254"/>
      <c r="N103" s="254"/>
      <c r="O103" s="596"/>
      <c r="P103" s="596"/>
      <c r="Q103" s="599" t="str">
        <f t="shared" si="2"/>
        <v>Gastos_Gerais</v>
      </c>
      <c r="R103" s="247">
        <f>IF(B103="","",IF(YEAR(B103)='Diário 5º PA'!$Q$1,MONTH(B103)-'Diário 5º PA'!$P$1+1,(YEAR(B103)-'Diário 5º PA'!$Q$1)*12-'Diário 5º PA'!$P$1+1+MONTH(B103)))</f>
        <v>6</v>
      </c>
      <c r="S103" s="596"/>
      <c r="T103" s="596"/>
      <c r="U103" s="596"/>
      <c r="V103" s="596"/>
      <c r="W103" s="596"/>
      <c r="X103" s="596"/>
      <c r="Y103" s="596"/>
      <c r="Z103" s="596"/>
    </row>
    <row r="104" spans="1:26" ht="105.75" customHeight="1" x14ac:dyDescent="0.2">
      <c r="A104" s="248">
        <v>99</v>
      </c>
      <c r="B104" s="256">
        <v>44531</v>
      </c>
      <c r="C104" s="255" t="s">
        <v>99</v>
      </c>
      <c r="D104" s="255" t="s">
        <v>330</v>
      </c>
      <c r="E104" s="257">
        <v>684.75</v>
      </c>
      <c r="F104" s="450" t="s">
        <v>692</v>
      </c>
      <c r="G104" s="255" t="s">
        <v>115</v>
      </c>
      <c r="H104" s="250" t="s">
        <v>693</v>
      </c>
      <c r="I104" s="253" t="s">
        <v>694</v>
      </c>
      <c r="J104" s="253"/>
      <c r="K104" s="253"/>
      <c r="L104" s="253"/>
      <c r="M104" s="254"/>
      <c r="N104" s="254"/>
      <c r="O104" s="596"/>
      <c r="P104" s="596"/>
      <c r="Q104" s="599" t="str">
        <f t="shared" si="2"/>
        <v>Gastos_Gerais</v>
      </c>
      <c r="R104" s="247">
        <f>IF(B104="","",IF(YEAR(B104)='Diário 5º PA'!$Q$1,MONTH(B104)-'Diário 5º PA'!$P$1+1,(YEAR(B104)-'Diário 5º PA'!$Q$1)*12-'Diário 5º PA'!$P$1+1+MONTH(B104)))</f>
        <v>12</v>
      </c>
      <c r="S104" s="600"/>
      <c r="T104" s="600"/>
      <c r="U104" s="600"/>
      <c r="V104" s="600"/>
      <c r="W104" s="600"/>
      <c r="X104" s="600"/>
      <c r="Y104" s="600"/>
      <c r="Z104" s="600"/>
    </row>
    <row r="105" spans="1:26" ht="93" customHeight="1" x14ac:dyDescent="0.2">
      <c r="A105" s="248">
        <v>100</v>
      </c>
      <c r="B105" s="249">
        <v>44409</v>
      </c>
      <c r="C105" s="250" t="s">
        <v>99</v>
      </c>
      <c r="D105" s="250" t="s">
        <v>252</v>
      </c>
      <c r="E105" s="251">
        <f>9600-2700-3600</f>
        <v>3300</v>
      </c>
      <c r="F105" s="452" t="s">
        <v>717</v>
      </c>
      <c r="G105" s="250" t="s">
        <v>131</v>
      </c>
      <c r="H105" s="250" t="s">
        <v>718</v>
      </c>
      <c r="I105" s="253" t="s">
        <v>583</v>
      </c>
      <c r="J105" s="253"/>
      <c r="K105" s="253"/>
      <c r="L105" s="253"/>
      <c r="M105" s="254"/>
      <c r="N105" s="254"/>
      <c r="O105" s="596"/>
      <c r="P105" s="596"/>
      <c r="Q105" s="599" t="str">
        <f t="shared" si="2"/>
        <v>Gastos_Gerais</v>
      </c>
      <c r="R105" s="247">
        <f>IF(B105="","",IF(YEAR(B105)='Diário 5º PA'!$Q$1,MONTH(B105)-'Diário 5º PA'!$P$1+1,(YEAR(B105)-'Diário 5º PA'!$Q$1)*12-'Diário 5º PA'!$P$1+1+MONTH(B105)))</f>
        <v>8</v>
      </c>
      <c r="S105" s="596"/>
      <c r="T105" s="596"/>
      <c r="U105" s="596"/>
      <c r="V105" s="596"/>
      <c r="W105" s="596"/>
      <c r="X105" s="596"/>
      <c r="Y105" s="596"/>
      <c r="Z105" s="596"/>
    </row>
    <row r="106" spans="1:26" ht="93" customHeight="1" x14ac:dyDescent="0.2">
      <c r="A106" s="248">
        <v>101</v>
      </c>
      <c r="B106" s="249">
        <v>44409</v>
      </c>
      <c r="C106" s="250" t="s">
        <v>104</v>
      </c>
      <c r="D106" s="250" t="s">
        <v>104</v>
      </c>
      <c r="E106" s="251">
        <f>3600</f>
        <v>3600</v>
      </c>
      <c r="F106" s="452" t="s">
        <v>717</v>
      </c>
      <c r="G106" s="250" t="s">
        <v>104</v>
      </c>
      <c r="H106" s="250" t="s">
        <v>718</v>
      </c>
      <c r="I106" s="253" t="s">
        <v>583</v>
      </c>
      <c r="J106" s="253"/>
      <c r="K106" s="253"/>
      <c r="L106" s="253"/>
      <c r="M106" s="254"/>
      <c r="N106" s="254"/>
      <c r="O106" s="596"/>
      <c r="P106" s="596"/>
      <c r="Q106" s="599" t="str">
        <f t="shared" si="2"/>
        <v>Gastos_custeados_por_captação</v>
      </c>
      <c r="R106" s="247">
        <f>IF(B106="","",IF(YEAR(B106)='Diário 5º PA'!$Q$1,MONTH(B106)-'Diário 5º PA'!$P$1+1,(YEAR(B106)-'Diário 5º PA'!$Q$1)*12-'Diário 5º PA'!$P$1+1+MONTH(B106)))</f>
        <v>8</v>
      </c>
      <c r="S106" s="596"/>
      <c r="T106" s="596"/>
      <c r="U106" s="596"/>
      <c r="V106" s="596"/>
      <c r="W106" s="596"/>
      <c r="X106" s="596"/>
      <c r="Y106" s="596"/>
      <c r="Z106" s="596"/>
    </row>
    <row r="107" spans="1:26" ht="30.75" customHeight="1" x14ac:dyDescent="0.2">
      <c r="A107" s="248">
        <v>102</v>
      </c>
      <c r="B107" s="249">
        <v>44501</v>
      </c>
      <c r="C107" s="250" t="s">
        <v>99</v>
      </c>
      <c r="D107" s="250" t="s">
        <v>358</v>
      </c>
      <c r="E107" s="251">
        <v>60</v>
      </c>
      <c r="F107" s="452" t="s">
        <v>6607</v>
      </c>
      <c r="G107" s="250" t="s">
        <v>131</v>
      </c>
      <c r="H107" s="250" t="s">
        <v>465</v>
      </c>
      <c r="I107" s="253" t="s">
        <v>114</v>
      </c>
      <c r="J107" s="253" t="s">
        <v>466</v>
      </c>
      <c r="K107" s="253" t="s">
        <v>467</v>
      </c>
      <c r="L107" s="253"/>
      <c r="M107" s="254"/>
      <c r="N107" s="254">
        <v>44569</v>
      </c>
      <c r="O107" s="596"/>
      <c r="P107" s="596"/>
      <c r="Q107" s="599" t="str">
        <f t="shared" si="2"/>
        <v>Gastos_Gerais</v>
      </c>
      <c r="R107" s="247">
        <f>IF(B107="","",IF(YEAR(B107)='Diário 5º PA'!$Q$1,MONTH(B107)-'Diário 5º PA'!$P$1+1,(YEAR(B107)-'Diário 5º PA'!$Q$1)*12-'Diário 5º PA'!$P$1+1+MONTH(B107)))</f>
        <v>11</v>
      </c>
      <c r="S107" s="600"/>
      <c r="T107" s="600"/>
      <c r="U107" s="600"/>
      <c r="V107" s="600"/>
      <c r="W107" s="600"/>
      <c r="X107" s="600"/>
      <c r="Y107" s="600"/>
      <c r="Z107" s="600"/>
    </row>
    <row r="108" spans="1:26" ht="30.75" customHeight="1" x14ac:dyDescent="0.2">
      <c r="A108" s="248">
        <v>103</v>
      </c>
      <c r="B108" s="249">
        <v>44501</v>
      </c>
      <c r="C108" s="250" t="s">
        <v>99</v>
      </c>
      <c r="D108" s="250" t="s">
        <v>358</v>
      </c>
      <c r="E108" s="251">
        <v>372</v>
      </c>
      <c r="F108" s="452" t="s">
        <v>6608</v>
      </c>
      <c r="G108" s="250" t="s">
        <v>131</v>
      </c>
      <c r="H108" s="250" t="s">
        <v>530</v>
      </c>
      <c r="I108" s="253" t="s">
        <v>114</v>
      </c>
      <c r="J108" s="253" t="s">
        <v>466</v>
      </c>
      <c r="K108" s="253" t="s">
        <v>547</v>
      </c>
      <c r="L108" s="253"/>
      <c r="M108" s="254"/>
      <c r="N108" s="254">
        <v>44581</v>
      </c>
      <c r="O108" s="596"/>
      <c r="P108" s="596"/>
      <c r="Q108" s="599" t="str">
        <f t="shared" si="2"/>
        <v>Gastos_Gerais</v>
      </c>
      <c r="R108" s="247">
        <f>IF(B108="","",IF(YEAR(B108)='Diário 5º PA'!$Q$1,MONTH(B108)-'Diário 5º PA'!$P$1+1,(YEAR(B108)-'Diário 5º PA'!$Q$1)*12-'Diário 5º PA'!$P$1+1+MONTH(B108)))</f>
        <v>11</v>
      </c>
      <c r="S108" s="600"/>
      <c r="T108" s="600"/>
      <c r="U108" s="600"/>
      <c r="V108" s="600"/>
      <c r="W108" s="600"/>
      <c r="X108" s="600"/>
      <c r="Y108" s="600"/>
      <c r="Z108" s="600"/>
    </row>
    <row r="109" spans="1:26" ht="66" customHeight="1" x14ac:dyDescent="0.2">
      <c r="A109" s="248">
        <v>104</v>
      </c>
      <c r="B109" s="249">
        <v>44501</v>
      </c>
      <c r="C109" s="250" t="s">
        <v>99</v>
      </c>
      <c r="D109" s="250" t="s">
        <v>358</v>
      </c>
      <c r="E109" s="251">
        <v>60</v>
      </c>
      <c r="F109" s="452" t="s">
        <v>6541</v>
      </c>
      <c r="G109" s="250" t="s">
        <v>131</v>
      </c>
      <c r="H109" s="250" t="s">
        <v>465</v>
      </c>
      <c r="I109" s="253" t="s">
        <v>114</v>
      </c>
      <c r="J109" s="253" t="s">
        <v>466</v>
      </c>
      <c r="K109" s="253" t="s">
        <v>467</v>
      </c>
      <c r="L109" s="253"/>
      <c r="M109" s="254"/>
      <c r="N109" s="254">
        <v>44569</v>
      </c>
      <c r="O109" s="600"/>
      <c r="P109" s="600"/>
      <c r="Q109" s="599" t="str">
        <f t="shared" si="2"/>
        <v>Gastos_Gerais</v>
      </c>
      <c r="R109" s="247">
        <f>IF(B109="","",IF(YEAR(B109)='Diário 5º PA'!$Q$1,MONTH(B109)-'Diário 5º PA'!$P$1+1,(YEAR(B109)-'Diário 5º PA'!$Q$1)*12-'Diário 5º PA'!$P$1+1+MONTH(B109)))</f>
        <v>11</v>
      </c>
      <c r="S109" s="600"/>
      <c r="T109" s="600"/>
      <c r="U109" s="600"/>
      <c r="V109" s="600"/>
      <c r="W109" s="600"/>
      <c r="X109" s="600"/>
      <c r="Y109" s="600"/>
      <c r="Z109" s="600"/>
    </row>
    <row r="110" spans="1:26" ht="66" customHeight="1" x14ac:dyDescent="0.2">
      <c r="A110" s="248">
        <v>105</v>
      </c>
      <c r="B110" s="249">
        <v>44501</v>
      </c>
      <c r="C110" s="250" t="s">
        <v>99</v>
      </c>
      <c r="D110" s="250" t="s">
        <v>358</v>
      </c>
      <c r="E110" s="251">
        <v>372</v>
      </c>
      <c r="F110" s="452" t="s">
        <v>6542</v>
      </c>
      <c r="G110" s="250" t="s">
        <v>131</v>
      </c>
      <c r="H110" s="250" t="s">
        <v>530</v>
      </c>
      <c r="I110" s="253" t="s">
        <v>114</v>
      </c>
      <c r="J110" s="253" t="s">
        <v>466</v>
      </c>
      <c r="K110" s="253" t="s">
        <v>547</v>
      </c>
      <c r="L110" s="253"/>
      <c r="M110" s="254"/>
      <c r="N110" s="254">
        <v>44581</v>
      </c>
      <c r="O110" s="600"/>
      <c r="P110" s="600"/>
      <c r="Q110" s="599" t="str">
        <f t="shared" si="2"/>
        <v>Gastos_Gerais</v>
      </c>
      <c r="R110" s="247">
        <f>IF(B110="","",IF(YEAR(B110)='Diário 5º PA'!$Q$1,MONTH(B110)-'Diário 5º PA'!$P$1+1,(YEAR(B110)-'Diário 5º PA'!$Q$1)*12-'Diário 5º PA'!$P$1+1+MONTH(B110)))</f>
        <v>11</v>
      </c>
      <c r="S110" s="600"/>
      <c r="T110" s="600"/>
      <c r="U110" s="600"/>
      <c r="V110" s="600"/>
      <c r="W110" s="600"/>
      <c r="X110" s="600"/>
      <c r="Y110" s="600"/>
      <c r="Z110" s="600"/>
    </row>
    <row r="111" spans="1:26" ht="54.75" customHeight="1" x14ac:dyDescent="0.2">
      <c r="A111" s="248">
        <v>106</v>
      </c>
      <c r="B111" s="249">
        <v>44470</v>
      </c>
      <c r="C111" s="250" t="s">
        <v>99</v>
      </c>
      <c r="D111" s="250" t="s">
        <v>358</v>
      </c>
      <c r="E111" s="251">
        <v>60</v>
      </c>
      <c r="F111" s="452" t="s">
        <v>6576</v>
      </c>
      <c r="G111" s="250" t="s">
        <v>131</v>
      </c>
      <c r="H111" s="250" t="s">
        <v>465</v>
      </c>
      <c r="I111" s="253" t="s">
        <v>114</v>
      </c>
      <c r="J111" s="253" t="s">
        <v>466</v>
      </c>
      <c r="K111" s="253" t="s">
        <v>467</v>
      </c>
      <c r="L111" s="253"/>
      <c r="M111" s="254"/>
      <c r="N111" s="254">
        <v>44569</v>
      </c>
      <c r="O111" s="600"/>
      <c r="P111" s="600"/>
      <c r="Q111" s="599" t="str">
        <f t="shared" si="2"/>
        <v>Gastos_Gerais</v>
      </c>
      <c r="R111" s="247">
        <f>IF(B111="","",IF(YEAR(B111)='Diário 5º PA'!$Q$1,MONTH(B111)-'Diário 5º PA'!$P$1+1,(YEAR(B111)-'Diário 5º PA'!$Q$1)*12-'Diário 5º PA'!$P$1+1+MONTH(B111)))</f>
        <v>10</v>
      </c>
      <c r="S111" s="600"/>
      <c r="T111" s="600"/>
      <c r="U111" s="600"/>
      <c r="V111" s="600"/>
      <c r="W111" s="600"/>
      <c r="X111" s="600"/>
      <c r="Y111" s="600"/>
      <c r="Z111" s="600"/>
    </row>
    <row r="112" spans="1:26" ht="54.75" customHeight="1" x14ac:dyDescent="0.2">
      <c r="A112" s="248">
        <v>107</v>
      </c>
      <c r="B112" s="249">
        <v>44470</v>
      </c>
      <c r="C112" s="250" t="s">
        <v>99</v>
      </c>
      <c r="D112" s="250" t="s">
        <v>358</v>
      </c>
      <c r="E112" s="251">
        <v>372</v>
      </c>
      <c r="F112" s="452" t="s">
        <v>6577</v>
      </c>
      <c r="G112" s="250" t="s">
        <v>131</v>
      </c>
      <c r="H112" s="250" t="s">
        <v>530</v>
      </c>
      <c r="I112" s="253" t="s">
        <v>114</v>
      </c>
      <c r="J112" s="253" t="s">
        <v>466</v>
      </c>
      <c r="K112" s="253" t="s">
        <v>547</v>
      </c>
      <c r="L112" s="253"/>
      <c r="M112" s="254"/>
      <c r="N112" s="254">
        <v>44581</v>
      </c>
      <c r="O112" s="600"/>
      <c r="P112" s="600"/>
      <c r="Q112" s="599" t="str">
        <f t="shared" si="2"/>
        <v>Gastos_Gerais</v>
      </c>
      <c r="R112" s="247">
        <f>IF(B112="","",IF(YEAR(B112)='Diário 5º PA'!$Q$1,MONTH(B112)-'Diário 5º PA'!$P$1+1,(YEAR(B112)-'Diário 5º PA'!$Q$1)*12-'Diário 5º PA'!$P$1+1+MONTH(B112)))</f>
        <v>10</v>
      </c>
      <c r="S112" s="600"/>
      <c r="T112" s="600"/>
      <c r="U112" s="600"/>
      <c r="V112" s="600"/>
      <c r="W112" s="600"/>
      <c r="X112" s="600"/>
      <c r="Y112" s="600"/>
      <c r="Z112" s="600"/>
    </row>
    <row r="113" spans="1:26" ht="75" customHeight="1" x14ac:dyDescent="0.2">
      <c r="A113" s="248">
        <v>108</v>
      </c>
      <c r="B113" s="249">
        <v>44501</v>
      </c>
      <c r="C113" s="250" t="s">
        <v>104</v>
      </c>
      <c r="D113" s="250" t="s">
        <v>104</v>
      </c>
      <c r="E113" s="251">
        <v>4360</v>
      </c>
      <c r="F113" s="452" t="s">
        <v>6436</v>
      </c>
      <c r="G113" s="250" t="s">
        <v>104</v>
      </c>
      <c r="H113" s="250" t="s">
        <v>6437</v>
      </c>
      <c r="I113" s="527" t="s">
        <v>750</v>
      </c>
      <c r="J113" s="253"/>
      <c r="K113" s="253"/>
      <c r="L113" s="253"/>
      <c r="M113" s="254"/>
      <c r="N113" s="254"/>
      <c r="O113" s="600"/>
      <c r="P113" s="600"/>
      <c r="Q113" s="599" t="str">
        <f t="shared" si="2"/>
        <v>Gastos_custeados_por_captação</v>
      </c>
      <c r="R113" s="247">
        <f>IF(B113="","",IF(YEAR(B113)='Diário 5º PA'!$Q$1,MONTH(B113)-'Diário 5º PA'!$P$1+1,(YEAR(B113)-'Diário 5º PA'!$Q$1)*12-'Diário 5º PA'!$P$1+1+MONTH(B113)))</f>
        <v>11</v>
      </c>
      <c r="S113" s="600"/>
      <c r="T113" s="600"/>
      <c r="U113" s="600"/>
      <c r="V113" s="600"/>
      <c r="W113" s="600"/>
      <c r="X113" s="600"/>
      <c r="Y113" s="600"/>
      <c r="Z113" s="600"/>
    </row>
    <row r="114" spans="1:26" ht="157.5" customHeight="1" x14ac:dyDescent="0.2">
      <c r="A114" s="248">
        <v>109</v>
      </c>
      <c r="B114" s="249">
        <v>44470</v>
      </c>
      <c r="C114" s="250" t="s">
        <v>104</v>
      </c>
      <c r="D114" s="250" t="s">
        <v>104</v>
      </c>
      <c r="E114" s="251">
        <v>3200</v>
      </c>
      <c r="F114" s="452" t="s">
        <v>6435</v>
      </c>
      <c r="G114" s="250" t="s">
        <v>104</v>
      </c>
      <c r="H114" s="250" t="s">
        <v>749</v>
      </c>
      <c r="I114" s="253" t="s">
        <v>750</v>
      </c>
      <c r="J114" s="253"/>
      <c r="K114" s="253"/>
      <c r="L114" s="253"/>
      <c r="M114" s="254"/>
      <c r="N114" s="254"/>
      <c r="O114" s="596"/>
      <c r="P114" s="596"/>
      <c r="Q114" s="599" t="str">
        <f t="shared" si="2"/>
        <v>Gastos_custeados_por_captação</v>
      </c>
      <c r="R114" s="247">
        <f>IF(B114="","",IF(YEAR(B114)='Diário 5º PA'!$Q$1,MONTH(B114)-'Diário 5º PA'!$P$1+1,(YEAR(B114)-'Diário 5º PA'!$Q$1)*12-'Diário 5º PA'!$P$1+1+MONTH(B114)))</f>
        <v>10</v>
      </c>
      <c r="S114" s="600"/>
      <c r="T114" s="600"/>
      <c r="U114" s="600"/>
      <c r="V114" s="600"/>
      <c r="W114" s="600"/>
      <c r="X114" s="600"/>
      <c r="Y114" s="600"/>
      <c r="Z114" s="600"/>
    </row>
    <row r="115" spans="1:26" ht="137.25" customHeight="1" x14ac:dyDescent="0.2">
      <c r="A115" s="248">
        <v>110</v>
      </c>
      <c r="B115" s="249">
        <v>44409</v>
      </c>
      <c r="C115" s="250" t="s">
        <v>99</v>
      </c>
      <c r="D115" s="250" t="s">
        <v>330</v>
      </c>
      <c r="E115" s="251">
        <v>3000</v>
      </c>
      <c r="F115" s="452" t="s">
        <v>753</v>
      </c>
      <c r="G115" s="250" t="s">
        <v>128</v>
      </c>
      <c r="H115" s="250" t="s">
        <v>754</v>
      </c>
      <c r="I115" s="253" t="s">
        <v>755</v>
      </c>
      <c r="J115" s="253"/>
      <c r="K115" s="253"/>
      <c r="L115" s="253"/>
      <c r="M115" s="254"/>
      <c r="N115" s="254"/>
      <c r="O115" s="596"/>
      <c r="P115" s="596"/>
      <c r="Q115" s="599" t="str">
        <f t="shared" si="2"/>
        <v>Gastos_Gerais</v>
      </c>
      <c r="R115" s="247">
        <f>IF(B115="","",IF(YEAR(B115)='Diário 5º PA'!$Q$1,MONTH(B115)-'Diário 5º PA'!$P$1+1,(YEAR(B115)-'Diário 5º PA'!$Q$1)*12-'Diário 5º PA'!$P$1+1+MONTH(B115)))</f>
        <v>8</v>
      </c>
      <c r="S115" s="596"/>
      <c r="T115" s="596"/>
      <c r="U115" s="596"/>
      <c r="V115" s="596"/>
      <c r="W115" s="596"/>
      <c r="X115" s="596"/>
      <c r="Y115" s="596"/>
      <c r="Z115" s="596"/>
    </row>
    <row r="116" spans="1:26" ht="137.25" customHeight="1" x14ac:dyDescent="0.2">
      <c r="A116" s="248">
        <v>111</v>
      </c>
      <c r="B116" s="249">
        <v>44440</v>
      </c>
      <c r="C116" s="250" t="s">
        <v>99</v>
      </c>
      <c r="D116" s="250" t="s">
        <v>244</v>
      </c>
      <c r="E116" s="251">
        <v>953.23</v>
      </c>
      <c r="F116" s="452" t="s">
        <v>760</v>
      </c>
      <c r="G116" s="250" t="s">
        <v>115</v>
      </c>
      <c r="H116" s="250" t="s">
        <v>761</v>
      </c>
      <c r="I116" s="253" t="s">
        <v>762</v>
      </c>
      <c r="J116" s="253"/>
      <c r="K116" s="253"/>
      <c r="L116" s="253"/>
      <c r="M116" s="254"/>
      <c r="N116" s="254"/>
      <c r="O116" s="600"/>
      <c r="P116" s="600"/>
      <c r="Q116" s="599" t="str">
        <f t="shared" si="2"/>
        <v>Gastos_Gerais</v>
      </c>
      <c r="R116" s="247">
        <f>IF(B116="","",IF(YEAR(B116)='Diário 5º PA'!$Q$1,MONTH(B116)-'Diário 5º PA'!$P$1+1,(YEAR(B116)-'Diário 5º PA'!$Q$1)*12-'Diário 5º PA'!$P$1+1+MONTH(B116)))</f>
        <v>9</v>
      </c>
      <c r="S116" s="600"/>
      <c r="T116" s="600"/>
      <c r="U116" s="600"/>
      <c r="V116" s="600"/>
      <c r="W116" s="600"/>
      <c r="X116" s="600"/>
      <c r="Y116" s="600"/>
      <c r="Z116" s="600"/>
    </row>
    <row r="117" spans="1:26" ht="137.25" customHeight="1" x14ac:dyDescent="0.2">
      <c r="A117" s="248">
        <v>112</v>
      </c>
      <c r="B117" s="249">
        <v>44470</v>
      </c>
      <c r="C117" s="250" t="s">
        <v>99</v>
      </c>
      <c r="D117" s="250" t="s">
        <v>244</v>
      </c>
      <c r="E117" s="251">
        <v>953.23</v>
      </c>
      <c r="F117" s="452" t="s">
        <v>760</v>
      </c>
      <c r="G117" s="250" t="s">
        <v>115</v>
      </c>
      <c r="H117" s="250" t="s">
        <v>761</v>
      </c>
      <c r="I117" s="253" t="s">
        <v>762</v>
      </c>
      <c r="J117" s="253"/>
      <c r="K117" s="253"/>
      <c r="L117" s="253"/>
      <c r="M117" s="254"/>
      <c r="N117" s="254"/>
      <c r="O117" s="600"/>
      <c r="P117" s="600"/>
      <c r="Q117" s="599" t="str">
        <f t="shared" si="2"/>
        <v>Gastos_Gerais</v>
      </c>
      <c r="R117" s="247">
        <f>IF(B117="","",IF(YEAR(B117)='Diário 5º PA'!$Q$1,MONTH(B117)-'Diário 5º PA'!$P$1+1,(YEAR(B117)-'Diário 5º PA'!$Q$1)*12-'Diário 5º PA'!$P$1+1+MONTH(B117)))</f>
        <v>10</v>
      </c>
      <c r="S117" s="600"/>
      <c r="T117" s="600"/>
      <c r="U117" s="600"/>
      <c r="V117" s="600"/>
      <c r="W117" s="600"/>
      <c r="X117" s="600"/>
      <c r="Y117" s="600"/>
      <c r="Z117" s="600"/>
    </row>
    <row r="118" spans="1:26" ht="135" customHeight="1" x14ac:dyDescent="0.2">
      <c r="A118" s="248">
        <v>113</v>
      </c>
      <c r="B118" s="249">
        <v>44531</v>
      </c>
      <c r="C118" s="250" t="s">
        <v>99</v>
      </c>
      <c r="D118" s="250" t="s">
        <v>244</v>
      </c>
      <c r="E118" s="251">
        <v>953.23</v>
      </c>
      <c r="F118" s="452" t="s">
        <v>760</v>
      </c>
      <c r="G118" s="250" t="s">
        <v>115</v>
      </c>
      <c r="H118" s="250" t="s">
        <v>761</v>
      </c>
      <c r="I118" s="253" t="s">
        <v>762</v>
      </c>
      <c r="J118" s="253"/>
      <c r="K118" s="253"/>
      <c r="L118" s="253"/>
      <c r="M118" s="254"/>
      <c r="N118" s="254"/>
      <c r="O118" s="596"/>
      <c r="P118" s="596"/>
      <c r="Q118" s="599" t="str">
        <f t="shared" si="2"/>
        <v>Gastos_Gerais</v>
      </c>
      <c r="R118" s="247">
        <f>IF(B118="","",IF(YEAR(B118)='Diário 5º PA'!$Q$1,MONTH(B118)-'Diário 5º PA'!$P$1+1,(YEAR(B118)-'Diário 5º PA'!$Q$1)*12-'Diário 5º PA'!$P$1+1+MONTH(B118)))</f>
        <v>12</v>
      </c>
      <c r="S118" s="596"/>
      <c r="T118" s="596"/>
      <c r="U118" s="596"/>
      <c r="V118" s="596"/>
      <c r="W118" s="596"/>
      <c r="X118" s="596"/>
      <c r="Y118" s="596"/>
      <c r="Z118" s="596"/>
    </row>
    <row r="119" spans="1:26" ht="98.25" customHeight="1" x14ac:dyDescent="0.2">
      <c r="A119" s="248">
        <v>114</v>
      </c>
      <c r="B119" s="249">
        <v>44409</v>
      </c>
      <c r="C119" s="250" t="s">
        <v>99</v>
      </c>
      <c r="D119" s="250" t="s">
        <v>382</v>
      </c>
      <c r="E119" s="251">
        <f>3625</f>
        <v>3625</v>
      </c>
      <c r="F119" s="452" t="s">
        <v>767</v>
      </c>
      <c r="G119" s="250" t="s">
        <v>131</v>
      </c>
      <c r="H119" s="250" t="s">
        <v>768</v>
      </c>
      <c r="I119" s="253" t="s">
        <v>769</v>
      </c>
      <c r="J119" s="253"/>
      <c r="K119" s="253"/>
      <c r="L119" s="253"/>
      <c r="M119" s="254"/>
      <c r="N119" s="254"/>
      <c r="O119" s="596"/>
      <c r="P119" s="596"/>
      <c r="Q119" s="599" t="str">
        <f t="shared" si="2"/>
        <v>Gastos_Gerais</v>
      </c>
      <c r="R119" s="247">
        <f>IF(B119="","",IF(YEAR(B119)='Diário 5º PA'!$Q$1,MONTH(B119)-'Diário 5º PA'!$P$1+1,(YEAR(B119)-'Diário 5º PA'!$Q$1)*12-'Diário 5º PA'!$P$1+1+MONTH(B119)))</f>
        <v>8</v>
      </c>
      <c r="S119" s="596"/>
      <c r="T119" s="596"/>
      <c r="U119" s="596"/>
      <c r="V119" s="596"/>
      <c r="W119" s="596"/>
      <c r="X119" s="596"/>
      <c r="Y119" s="596"/>
      <c r="Z119" s="596"/>
    </row>
    <row r="120" spans="1:26" ht="64.5" customHeight="1" x14ac:dyDescent="0.2">
      <c r="A120" s="248">
        <v>115</v>
      </c>
      <c r="B120" s="249">
        <v>44440</v>
      </c>
      <c r="C120" s="250" t="s">
        <v>99</v>
      </c>
      <c r="D120" s="250" t="s">
        <v>382</v>
      </c>
      <c r="E120" s="251">
        <v>2547</v>
      </c>
      <c r="F120" s="452" t="s">
        <v>770</v>
      </c>
      <c r="G120" s="250" t="s">
        <v>131</v>
      </c>
      <c r="H120" s="250" t="s">
        <v>768</v>
      </c>
      <c r="I120" s="253" t="s">
        <v>769</v>
      </c>
      <c r="J120" s="253"/>
      <c r="K120" s="253"/>
      <c r="L120" s="253"/>
      <c r="M120" s="254"/>
      <c r="N120" s="254"/>
      <c r="O120" s="596"/>
      <c r="P120" s="596"/>
      <c r="Q120" s="599" t="str">
        <f t="shared" si="2"/>
        <v>Gastos_Gerais</v>
      </c>
      <c r="R120" s="247">
        <f>IF(B120="","",IF(YEAR(B120)='Diário 5º PA'!$Q$1,MONTH(B120)-'Diário 5º PA'!$P$1+1,(YEAR(B120)-'Diário 5º PA'!$Q$1)*12-'Diário 5º PA'!$P$1+1+MONTH(B120)))</f>
        <v>9</v>
      </c>
      <c r="S120" s="596"/>
      <c r="T120" s="596"/>
      <c r="U120" s="596"/>
      <c r="V120" s="596"/>
      <c r="W120" s="596"/>
      <c r="X120" s="596"/>
      <c r="Y120" s="596"/>
      <c r="Z120" s="596"/>
    </row>
    <row r="121" spans="1:26" ht="74.25" customHeight="1" x14ac:dyDescent="0.2">
      <c r="A121" s="248">
        <v>116</v>
      </c>
      <c r="B121" s="249">
        <v>44409</v>
      </c>
      <c r="C121" s="250" t="s">
        <v>99</v>
      </c>
      <c r="D121" s="250" t="s">
        <v>330</v>
      </c>
      <c r="E121" s="251">
        <v>721.72</v>
      </c>
      <c r="F121" s="452" t="s">
        <v>778</v>
      </c>
      <c r="G121" s="250" t="s">
        <v>115</v>
      </c>
      <c r="H121" s="250" t="s">
        <v>5236</v>
      </c>
      <c r="I121" s="253" t="s">
        <v>779</v>
      </c>
      <c r="J121" s="253"/>
      <c r="K121" s="253"/>
      <c r="L121" s="253"/>
      <c r="M121" s="254"/>
      <c r="N121" s="254"/>
      <c r="O121" s="596"/>
      <c r="P121" s="596"/>
      <c r="Q121" s="599" t="str">
        <f t="shared" si="2"/>
        <v>Gastos_Gerais</v>
      </c>
      <c r="R121" s="247">
        <f>IF(B121="","",IF(YEAR(B121)='Diário 5º PA'!$Q$1,MONTH(B121)-'Diário 5º PA'!$P$1+1,(YEAR(B121)-'Diário 5º PA'!$Q$1)*12-'Diário 5º PA'!$P$1+1+MONTH(B121)))</f>
        <v>8</v>
      </c>
      <c r="S121" s="596"/>
      <c r="T121" s="596"/>
      <c r="U121" s="596"/>
      <c r="V121" s="596"/>
      <c r="W121" s="596"/>
      <c r="X121" s="596"/>
      <c r="Y121" s="596"/>
      <c r="Z121" s="596"/>
    </row>
    <row r="122" spans="1:26" ht="92.25" customHeight="1" x14ac:dyDescent="0.2">
      <c r="A122" s="248">
        <v>117</v>
      </c>
      <c r="B122" s="249">
        <v>44409</v>
      </c>
      <c r="C122" s="250" t="s">
        <v>99</v>
      </c>
      <c r="D122" s="250" t="s">
        <v>356</v>
      </c>
      <c r="E122" s="251">
        <v>450</v>
      </c>
      <c r="F122" s="452" t="s">
        <v>784</v>
      </c>
      <c r="G122" s="250" t="s">
        <v>116</v>
      </c>
      <c r="H122" s="250" t="s">
        <v>785</v>
      </c>
      <c r="I122" s="253" t="s">
        <v>786</v>
      </c>
      <c r="J122" s="253"/>
      <c r="K122" s="253"/>
      <c r="L122" s="253"/>
      <c r="M122" s="254"/>
      <c r="N122" s="254"/>
      <c r="O122" s="596"/>
      <c r="P122" s="596"/>
      <c r="Q122" s="599" t="str">
        <f t="shared" si="2"/>
        <v>Gastos_Gerais</v>
      </c>
      <c r="R122" s="247">
        <f>IF(B122="","",IF(YEAR(B122)='Diário 5º PA'!$Q$1,MONTH(B122)-'Diário 5º PA'!$P$1+1,(YEAR(B122)-'Diário 5º PA'!$Q$1)*12-'Diário 5º PA'!$P$1+1+MONTH(B122)))</f>
        <v>8</v>
      </c>
      <c r="S122" s="596"/>
      <c r="T122" s="596"/>
      <c r="U122" s="596"/>
      <c r="V122" s="596"/>
      <c r="W122" s="596"/>
      <c r="X122" s="596"/>
      <c r="Y122" s="596"/>
      <c r="Z122" s="596"/>
    </row>
    <row r="123" spans="1:26" ht="73.5" customHeight="1" x14ac:dyDescent="0.2">
      <c r="A123" s="248">
        <v>118</v>
      </c>
      <c r="B123" s="249">
        <v>44440</v>
      </c>
      <c r="C123" s="250" t="s">
        <v>99</v>
      </c>
      <c r="D123" s="250" t="s">
        <v>364</v>
      </c>
      <c r="E123" s="251">
        <v>700</v>
      </c>
      <c r="F123" s="452" t="s">
        <v>810</v>
      </c>
      <c r="G123" s="250" t="s">
        <v>117</v>
      </c>
      <c r="H123" s="250" t="s">
        <v>811</v>
      </c>
      <c r="I123" s="253" t="s">
        <v>812</v>
      </c>
      <c r="J123" s="253"/>
      <c r="K123" s="253"/>
      <c r="L123" s="253"/>
      <c r="M123" s="254"/>
      <c r="N123" s="254"/>
      <c r="O123" s="596"/>
      <c r="P123" s="596"/>
      <c r="Q123" s="599" t="str">
        <f t="shared" si="2"/>
        <v>Gastos_Gerais</v>
      </c>
      <c r="R123" s="247">
        <f>IF(B123="","",IF(YEAR(B123)='Diário 5º PA'!$Q$1,MONTH(B123)-'Diário 5º PA'!$P$1+1,(YEAR(B123)-'Diário 5º PA'!$Q$1)*12-'Diário 5º PA'!$P$1+1+MONTH(B123)))</f>
        <v>9</v>
      </c>
      <c r="S123" s="596"/>
      <c r="T123" s="596"/>
      <c r="U123" s="596"/>
      <c r="V123" s="596"/>
      <c r="W123" s="596"/>
      <c r="X123" s="596"/>
      <c r="Y123" s="596"/>
      <c r="Z123" s="596"/>
    </row>
    <row r="124" spans="1:26" ht="77.25" customHeight="1" x14ac:dyDescent="0.2">
      <c r="A124" s="248">
        <v>119</v>
      </c>
      <c r="B124" s="249">
        <v>44409</v>
      </c>
      <c r="C124" s="250" t="s">
        <v>99</v>
      </c>
      <c r="D124" s="250" t="s">
        <v>350</v>
      </c>
      <c r="E124" s="251">
        <v>2500</v>
      </c>
      <c r="F124" s="452" t="s">
        <v>815</v>
      </c>
      <c r="G124" s="250" t="s">
        <v>132</v>
      </c>
      <c r="H124" s="250" t="s">
        <v>816</v>
      </c>
      <c r="I124" s="253" t="s">
        <v>817</v>
      </c>
      <c r="J124" s="253"/>
      <c r="K124" s="253"/>
      <c r="L124" s="253"/>
      <c r="M124" s="254"/>
      <c r="N124" s="254"/>
      <c r="O124" s="596"/>
      <c r="P124" s="596"/>
      <c r="Q124" s="599" t="str">
        <f t="shared" si="2"/>
        <v>Gastos_Gerais</v>
      </c>
      <c r="R124" s="247">
        <f>IF(B124="","",IF(YEAR(B124)='Diário 5º PA'!$Q$1,MONTH(B124)-'Diário 5º PA'!$P$1+1,(YEAR(B124)-'Diário 5º PA'!$Q$1)*12-'Diário 5º PA'!$P$1+1+MONTH(B124)))</f>
        <v>8</v>
      </c>
      <c r="S124" s="596"/>
      <c r="T124" s="596"/>
      <c r="U124" s="596"/>
      <c r="V124" s="596"/>
      <c r="W124" s="596"/>
      <c r="X124" s="596"/>
      <c r="Y124" s="596"/>
      <c r="Z124" s="596"/>
    </row>
    <row r="125" spans="1:26" ht="51" customHeight="1" x14ac:dyDescent="0.2">
      <c r="A125" s="248">
        <v>120</v>
      </c>
      <c r="B125" s="249">
        <v>44531</v>
      </c>
      <c r="C125" s="250" t="s">
        <v>99</v>
      </c>
      <c r="D125" s="250" t="s">
        <v>224</v>
      </c>
      <c r="E125" s="251">
        <v>24.74</v>
      </c>
      <c r="F125" s="452" t="s">
        <v>843</v>
      </c>
      <c r="G125" s="250" t="s">
        <v>130</v>
      </c>
      <c r="H125" s="250" t="s">
        <v>844</v>
      </c>
      <c r="I125" s="253"/>
      <c r="J125" s="253"/>
      <c r="K125" s="253"/>
      <c r="L125" s="253"/>
      <c r="M125" s="254"/>
      <c r="N125" s="254"/>
      <c r="O125" s="596"/>
      <c r="P125" s="596"/>
      <c r="Q125" s="599" t="str">
        <f t="shared" si="2"/>
        <v>Gastos_Gerais</v>
      </c>
      <c r="R125" s="247">
        <f>IF(B125="","",IF(YEAR(B125)='Diário 5º PA'!$Q$1,MONTH(B125)-'Diário 5º PA'!$P$1+1,(YEAR(B125)-'Diário 5º PA'!$Q$1)*12-'Diário 5º PA'!$P$1+1+MONTH(B125)))</f>
        <v>12</v>
      </c>
      <c r="S125" s="596"/>
      <c r="T125" s="596"/>
      <c r="U125" s="596"/>
      <c r="V125" s="596"/>
      <c r="W125" s="596"/>
      <c r="X125" s="596"/>
      <c r="Y125" s="596"/>
      <c r="Z125" s="596"/>
    </row>
    <row r="126" spans="1:26" ht="63.75" customHeight="1" x14ac:dyDescent="0.2">
      <c r="A126" s="248">
        <v>121</v>
      </c>
      <c r="B126" s="249">
        <v>44531</v>
      </c>
      <c r="C126" s="250" t="s">
        <v>104</v>
      </c>
      <c r="D126" s="250" t="s">
        <v>104</v>
      </c>
      <c r="E126" s="251">
        <v>1521</v>
      </c>
      <c r="F126" s="452" t="s">
        <v>851</v>
      </c>
      <c r="G126" s="468" t="s">
        <v>104</v>
      </c>
      <c r="H126" s="250" t="s">
        <v>852</v>
      </c>
      <c r="I126" s="253" t="s">
        <v>853</v>
      </c>
      <c r="J126" s="253"/>
      <c r="K126" s="253"/>
      <c r="L126" s="253"/>
      <c r="M126" s="254"/>
      <c r="N126" s="254"/>
      <c r="O126" s="600"/>
      <c r="P126" s="600"/>
      <c r="Q126" s="599" t="str">
        <f t="shared" si="2"/>
        <v>Gastos_custeados_por_captação</v>
      </c>
      <c r="R126" s="247">
        <f>IF(B126="","",IF(YEAR(B126)='Diário 5º PA'!$Q$1,MONTH(B126)-'Diário 5º PA'!$P$1+1,(YEAR(B126)-'Diário 5º PA'!$Q$1)*12-'Diário 5º PA'!$P$1+1+MONTH(B126)))</f>
        <v>12</v>
      </c>
      <c r="S126" s="600"/>
      <c r="T126" s="600"/>
      <c r="U126" s="600"/>
      <c r="V126" s="600"/>
      <c r="W126" s="600"/>
      <c r="X126" s="600"/>
      <c r="Y126" s="600"/>
      <c r="Z126" s="600"/>
    </row>
    <row r="127" spans="1:26" ht="63.75" customHeight="1" x14ac:dyDescent="0.2">
      <c r="A127" s="248">
        <v>122</v>
      </c>
      <c r="B127" s="249">
        <v>44440</v>
      </c>
      <c r="C127" s="250" t="s">
        <v>99</v>
      </c>
      <c r="D127" s="250" t="s">
        <v>312</v>
      </c>
      <c r="E127" s="251">
        <f>2611.62-1006.06-444.16</f>
        <v>1161.3999999999999</v>
      </c>
      <c r="F127" s="452" t="s">
        <v>856</v>
      </c>
      <c r="G127" s="250" t="s">
        <v>132</v>
      </c>
      <c r="H127" s="250" t="s">
        <v>857</v>
      </c>
      <c r="I127" s="253" t="s">
        <v>858</v>
      </c>
      <c r="J127" s="253"/>
      <c r="K127" s="253"/>
      <c r="L127" s="253"/>
      <c r="M127" s="254"/>
      <c r="N127" s="254"/>
      <c r="O127" s="596"/>
      <c r="P127" s="596"/>
      <c r="Q127" s="599" t="str">
        <f t="shared" si="2"/>
        <v>Gastos_Gerais</v>
      </c>
      <c r="R127" s="247">
        <f>IF(B127="","",IF(YEAR(B127)='Diário 5º PA'!$Q$1,MONTH(B127)-'Diário 5º PA'!$P$1+1,(YEAR(B127)-'Diário 5º PA'!$Q$1)*12-'Diário 5º PA'!$P$1+1+MONTH(B127)))</f>
        <v>9</v>
      </c>
      <c r="S127" s="596"/>
      <c r="T127" s="596"/>
      <c r="U127" s="596"/>
      <c r="V127" s="596"/>
      <c r="W127" s="596"/>
      <c r="X127" s="596"/>
      <c r="Y127" s="596"/>
      <c r="Z127" s="596"/>
    </row>
    <row r="128" spans="1:26" ht="56.25" customHeight="1" x14ac:dyDescent="0.2">
      <c r="A128" s="248">
        <v>123</v>
      </c>
      <c r="B128" s="249">
        <v>44440</v>
      </c>
      <c r="C128" s="250" t="s">
        <v>99</v>
      </c>
      <c r="D128" s="250" t="s">
        <v>364</v>
      </c>
      <c r="E128" s="251">
        <v>900</v>
      </c>
      <c r="F128" s="452" t="s">
        <v>871</v>
      </c>
      <c r="G128" s="250" t="s">
        <v>118</v>
      </c>
      <c r="H128" s="250" t="s">
        <v>872</v>
      </c>
      <c r="I128" s="253" t="s">
        <v>873</v>
      </c>
      <c r="J128" s="253"/>
      <c r="K128" s="253"/>
      <c r="L128" s="253"/>
      <c r="M128" s="254"/>
      <c r="N128" s="254"/>
      <c r="O128" s="596"/>
      <c r="P128" s="596"/>
      <c r="Q128" s="599" t="str">
        <f t="shared" si="2"/>
        <v>Gastos_Gerais</v>
      </c>
      <c r="R128" s="247">
        <f>IF(B128="","",IF(YEAR(B128)='Diário 5º PA'!$Q$1,MONTH(B128)-'Diário 5º PA'!$P$1+1,(YEAR(B128)-'Diário 5º PA'!$Q$1)*12-'Diário 5º PA'!$P$1+1+MONTH(B128)))</f>
        <v>9</v>
      </c>
      <c r="S128" s="596"/>
      <c r="T128" s="596"/>
      <c r="U128" s="596"/>
      <c r="V128" s="596"/>
      <c r="W128" s="596"/>
      <c r="X128" s="596"/>
      <c r="Y128" s="596"/>
      <c r="Z128" s="596"/>
    </row>
    <row r="129" spans="1:26" ht="51.75" customHeight="1" x14ac:dyDescent="0.2">
      <c r="A129" s="248">
        <v>124</v>
      </c>
      <c r="B129" s="249">
        <v>44409</v>
      </c>
      <c r="C129" s="250" t="s">
        <v>99</v>
      </c>
      <c r="D129" s="250" t="s">
        <v>364</v>
      </c>
      <c r="E129" s="251">
        <v>120.6</v>
      </c>
      <c r="F129" s="452" t="s">
        <v>6536</v>
      </c>
      <c r="G129" s="250" t="s">
        <v>116</v>
      </c>
      <c r="H129" s="250" t="s">
        <v>465</v>
      </c>
      <c r="I129" s="253" t="s">
        <v>114</v>
      </c>
      <c r="J129" s="253" t="s">
        <v>466</v>
      </c>
      <c r="K129" s="253" t="s">
        <v>467</v>
      </c>
      <c r="L129" s="253"/>
      <c r="M129" s="254"/>
      <c r="N129" s="254">
        <v>44569</v>
      </c>
      <c r="O129" s="596"/>
      <c r="P129" s="596"/>
      <c r="Q129" s="599" t="str">
        <f t="shared" si="2"/>
        <v>Gastos_Gerais</v>
      </c>
      <c r="R129" s="247">
        <f>IF(B129="","",IF(YEAR(B129)='Diário 5º PA'!$Q$1,MONTH(B129)-'Diário 5º PA'!$P$1+1,(YEAR(B129)-'Diário 5º PA'!$Q$1)*12-'Diário 5º PA'!$P$1+1+MONTH(B129)))</f>
        <v>8</v>
      </c>
      <c r="S129" s="596"/>
      <c r="T129" s="596"/>
      <c r="U129" s="596"/>
      <c r="V129" s="596"/>
      <c r="W129" s="596"/>
      <c r="X129" s="596"/>
      <c r="Y129" s="596"/>
      <c r="Z129" s="596"/>
    </row>
    <row r="130" spans="1:26" ht="103.5" customHeight="1" x14ac:dyDescent="0.2">
      <c r="A130" s="248">
        <v>125</v>
      </c>
      <c r="B130" s="249">
        <v>44440</v>
      </c>
      <c r="C130" s="250" t="s">
        <v>99</v>
      </c>
      <c r="D130" s="250" t="s">
        <v>358</v>
      </c>
      <c r="E130" s="251">
        <v>200</v>
      </c>
      <c r="F130" s="452" t="s">
        <v>911</v>
      </c>
      <c r="G130" s="250" t="s">
        <v>125</v>
      </c>
      <c r="H130" s="250" t="s">
        <v>912</v>
      </c>
      <c r="I130" s="253" t="s">
        <v>913</v>
      </c>
      <c r="J130" s="253"/>
      <c r="K130" s="253"/>
      <c r="L130" s="253"/>
      <c r="M130" s="254"/>
      <c r="N130" s="254"/>
      <c r="O130" s="596"/>
      <c r="P130" s="596"/>
      <c r="Q130" s="599" t="str">
        <f t="shared" si="2"/>
        <v>Gastos_Gerais</v>
      </c>
      <c r="R130" s="247">
        <f>IF(B130="","",IF(YEAR(B130)='Diário 5º PA'!$Q$1,MONTH(B130)-'Diário 5º PA'!$P$1+1,(YEAR(B130)-'Diário 5º PA'!$Q$1)*12-'Diário 5º PA'!$P$1+1+MONTH(B130)))</f>
        <v>9</v>
      </c>
      <c r="S130" s="596"/>
      <c r="T130" s="596"/>
      <c r="U130" s="596"/>
      <c r="V130" s="596"/>
      <c r="W130" s="596"/>
      <c r="X130" s="596"/>
      <c r="Y130" s="596"/>
      <c r="Z130" s="596"/>
    </row>
    <row r="131" spans="1:26" ht="56.25" customHeight="1" x14ac:dyDescent="0.2">
      <c r="A131" s="248">
        <v>126</v>
      </c>
      <c r="B131" s="249">
        <v>44501</v>
      </c>
      <c r="C131" s="250" t="s">
        <v>99</v>
      </c>
      <c r="D131" s="250" t="s">
        <v>266</v>
      </c>
      <c r="E131" s="251">
        <v>275.31</v>
      </c>
      <c r="F131" s="452" t="s">
        <v>6850</v>
      </c>
      <c r="G131" s="250" t="s">
        <v>131</v>
      </c>
      <c r="H131" s="250" t="s">
        <v>465</v>
      </c>
      <c r="I131" s="253" t="s">
        <v>114</v>
      </c>
      <c r="J131" s="253" t="s">
        <v>466</v>
      </c>
      <c r="K131" s="253" t="s">
        <v>467</v>
      </c>
      <c r="L131" s="253"/>
      <c r="M131" s="254"/>
      <c r="N131" s="254">
        <v>44569</v>
      </c>
      <c r="O131" s="596"/>
      <c r="P131" s="596"/>
      <c r="Q131" s="599" t="str">
        <f t="shared" si="2"/>
        <v>Gastos_Gerais</v>
      </c>
      <c r="R131" s="247">
        <f>IF(B131="","",IF(YEAR(B131)='Diário 5º PA'!$Q$1,MONTH(B131)-'Diário 5º PA'!$P$1+1,(YEAR(B131)-'Diário 5º PA'!$Q$1)*12-'Diário 5º PA'!$P$1+1+MONTH(B131)))</f>
        <v>11</v>
      </c>
      <c r="S131" s="596"/>
      <c r="T131" s="596"/>
      <c r="U131" s="596"/>
      <c r="V131" s="596"/>
      <c r="W131" s="596"/>
      <c r="X131" s="596"/>
      <c r="Y131" s="596"/>
      <c r="Z131" s="596"/>
    </row>
    <row r="132" spans="1:26" ht="56.25" customHeight="1" x14ac:dyDescent="0.2">
      <c r="A132" s="248">
        <v>127</v>
      </c>
      <c r="B132" s="249">
        <v>44501</v>
      </c>
      <c r="C132" s="250" t="s">
        <v>99</v>
      </c>
      <c r="D132" s="250" t="s">
        <v>266</v>
      </c>
      <c r="E132" s="251">
        <v>658.35</v>
      </c>
      <c r="F132" s="452" t="s">
        <v>6851</v>
      </c>
      <c r="G132" s="250" t="s">
        <v>131</v>
      </c>
      <c r="H132" s="250" t="s">
        <v>530</v>
      </c>
      <c r="I132" s="253" t="s">
        <v>114</v>
      </c>
      <c r="J132" s="253" t="s">
        <v>466</v>
      </c>
      <c r="K132" s="253" t="s">
        <v>547</v>
      </c>
      <c r="L132" s="253"/>
      <c r="M132" s="254"/>
      <c r="N132" s="254">
        <v>44581</v>
      </c>
      <c r="O132" s="596"/>
      <c r="P132" s="596"/>
      <c r="Q132" s="599" t="str">
        <f t="shared" si="2"/>
        <v>Gastos_Gerais</v>
      </c>
      <c r="R132" s="247">
        <f>IF(B132="","",IF(YEAR(B132)='Diário 5º PA'!$Q$1,MONTH(B132)-'Diário 5º PA'!$P$1+1,(YEAR(B132)-'Diário 5º PA'!$Q$1)*12-'Diário 5º PA'!$P$1+1+MONTH(B132)))</f>
        <v>11</v>
      </c>
      <c r="S132" s="600"/>
      <c r="T132" s="600"/>
      <c r="U132" s="600"/>
      <c r="V132" s="600"/>
      <c r="W132" s="600"/>
      <c r="X132" s="600"/>
      <c r="Y132" s="600"/>
      <c r="Z132" s="600"/>
    </row>
    <row r="133" spans="1:26" ht="50.1" customHeight="1" x14ac:dyDescent="0.2">
      <c r="A133" s="248">
        <v>128</v>
      </c>
      <c r="B133" s="249">
        <v>44501</v>
      </c>
      <c r="C133" s="250" t="s">
        <v>99</v>
      </c>
      <c r="D133" s="250" t="s">
        <v>364</v>
      </c>
      <c r="E133" s="251">
        <v>1860</v>
      </c>
      <c r="F133" s="452" t="s">
        <v>6996</v>
      </c>
      <c r="G133" s="250" t="s">
        <v>116</v>
      </c>
      <c r="H133" s="250" t="s">
        <v>530</v>
      </c>
      <c r="I133" s="253" t="s">
        <v>114</v>
      </c>
      <c r="J133" s="253" t="s">
        <v>466</v>
      </c>
      <c r="K133" s="253" t="s">
        <v>547</v>
      </c>
      <c r="L133" s="253"/>
      <c r="M133" s="254"/>
      <c r="N133" s="254">
        <v>44581</v>
      </c>
      <c r="O133" s="596"/>
      <c r="P133" s="596"/>
      <c r="Q133" s="599" t="str">
        <f t="shared" si="2"/>
        <v>Gastos_Gerais</v>
      </c>
      <c r="R133" s="247">
        <f>IF(B133="","",IF(YEAR(B133)='Diário 5º PA'!$Q$1,MONTH(B133)-'Diário 5º PA'!$P$1+1,(YEAR(B133)-'Diário 5º PA'!$Q$1)*12-'Diário 5º PA'!$P$1+1+MONTH(B133)))</f>
        <v>11</v>
      </c>
      <c r="S133" s="596"/>
      <c r="T133" s="596"/>
      <c r="U133" s="596"/>
      <c r="V133" s="596"/>
      <c r="W133" s="596"/>
      <c r="X133" s="596"/>
      <c r="Y133" s="596"/>
      <c r="Z133" s="596"/>
    </row>
    <row r="134" spans="1:26" ht="50.1" customHeight="1" x14ac:dyDescent="0.2">
      <c r="A134" s="248">
        <v>129</v>
      </c>
      <c r="B134" s="249">
        <v>44501</v>
      </c>
      <c r="C134" s="250" t="s">
        <v>99</v>
      </c>
      <c r="D134" s="250" t="s">
        <v>364</v>
      </c>
      <c r="E134" s="251">
        <v>300</v>
      </c>
      <c r="F134" s="452" t="s">
        <v>6997</v>
      </c>
      <c r="G134" s="250" t="s">
        <v>116</v>
      </c>
      <c r="H134" s="250" t="s">
        <v>465</v>
      </c>
      <c r="I134" s="253" t="s">
        <v>114</v>
      </c>
      <c r="J134" s="253" t="s">
        <v>466</v>
      </c>
      <c r="K134" s="253" t="s">
        <v>467</v>
      </c>
      <c r="L134" s="253"/>
      <c r="M134" s="254"/>
      <c r="N134" s="254">
        <v>44569</v>
      </c>
      <c r="O134" s="600"/>
      <c r="P134" s="600"/>
      <c r="Q134" s="599" t="str">
        <f t="shared" si="2"/>
        <v>Gastos_Gerais</v>
      </c>
      <c r="R134" s="247">
        <f>IF(B134="","",IF(YEAR(B134)='Diário 5º PA'!$Q$1,MONTH(B134)-'Diário 5º PA'!$P$1+1,(YEAR(B134)-'Diário 5º PA'!$Q$1)*12-'Diário 5º PA'!$P$1+1+MONTH(B134)))</f>
        <v>11</v>
      </c>
      <c r="S134" s="600"/>
      <c r="T134" s="600"/>
      <c r="U134" s="600"/>
      <c r="V134" s="600"/>
      <c r="W134" s="600"/>
      <c r="X134" s="600"/>
      <c r="Y134" s="600"/>
      <c r="Z134" s="600"/>
    </row>
    <row r="135" spans="1:26" ht="50.1" customHeight="1" x14ac:dyDescent="0.2">
      <c r="A135" s="248">
        <v>130</v>
      </c>
      <c r="B135" s="249">
        <v>44501</v>
      </c>
      <c r="C135" s="250" t="s">
        <v>99</v>
      </c>
      <c r="D135" s="250" t="s">
        <v>364</v>
      </c>
      <c r="E135" s="251">
        <v>599.14</v>
      </c>
      <c r="F135" s="452" t="s">
        <v>6998</v>
      </c>
      <c r="G135" s="250" t="s">
        <v>116</v>
      </c>
      <c r="H135" s="252" t="s">
        <v>488</v>
      </c>
      <c r="I135" s="253" t="s">
        <v>114</v>
      </c>
      <c r="J135" s="253" t="s">
        <v>466</v>
      </c>
      <c r="K135" s="253" t="s">
        <v>489</v>
      </c>
      <c r="L135" s="253"/>
      <c r="M135" s="254"/>
      <c r="N135" s="254">
        <v>44581</v>
      </c>
      <c r="O135" s="600"/>
      <c r="P135" s="600"/>
      <c r="Q135" s="599" t="str">
        <f t="shared" ref="Q135:Q198" si="3">SUBSTITUTE(C135," ","_")</f>
        <v>Gastos_Gerais</v>
      </c>
      <c r="R135" s="247">
        <f>IF(B135="","",IF(YEAR(B135)='Diário 5º PA'!$Q$1,MONTH(B135)-'Diário 5º PA'!$P$1+1,(YEAR(B135)-'Diário 5º PA'!$Q$1)*12-'Diário 5º PA'!$P$1+1+MONTH(B135)))</f>
        <v>11</v>
      </c>
      <c r="S135" s="600"/>
      <c r="T135" s="600"/>
      <c r="U135" s="600"/>
      <c r="V135" s="600"/>
      <c r="W135" s="600"/>
      <c r="X135" s="600"/>
      <c r="Y135" s="600"/>
      <c r="Z135" s="600"/>
    </row>
    <row r="136" spans="1:26" ht="52.5" customHeight="1" x14ac:dyDescent="0.2">
      <c r="A136" s="248">
        <v>131</v>
      </c>
      <c r="B136" s="249">
        <v>44470</v>
      </c>
      <c r="C136" s="250" t="s">
        <v>99</v>
      </c>
      <c r="D136" s="250" t="s">
        <v>358</v>
      </c>
      <c r="E136" s="251">
        <v>4080</v>
      </c>
      <c r="F136" s="452" t="s">
        <v>5324</v>
      </c>
      <c r="G136" s="250" t="s">
        <v>124</v>
      </c>
      <c r="H136" s="250" t="s">
        <v>5325</v>
      </c>
      <c r="I136" s="253" t="s">
        <v>5326</v>
      </c>
      <c r="J136" s="253"/>
      <c r="K136" s="253"/>
      <c r="L136" s="253"/>
      <c r="M136" s="254"/>
      <c r="N136" s="254"/>
      <c r="O136" s="600"/>
      <c r="P136" s="600"/>
      <c r="Q136" s="599" t="str">
        <f t="shared" si="3"/>
        <v>Gastos_Gerais</v>
      </c>
      <c r="R136" s="247">
        <f>IF(B136="","",IF(YEAR(B136)='Diário 5º PA'!$Q$1,MONTH(B136)-'Diário 5º PA'!$P$1+1,(YEAR(B136)-'Diário 5º PA'!$Q$1)*12-'Diário 5º PA'!$P$1+1+MONTH(B136)))</f>
        <v>10</v>
      </c>
      <c r="S136" s="600"/>
      <c r="T136" s="600"/>
      <c r="U136" s="600"/>
      <c r="V136" s="600"/>
      <c r="W136" s="600"/>
      <c r="X136" s="600"/>
      <c r="Y136" s="600"/>
      <c r="Z136" s="600"/>
    </row>
    <row r="137" spans="1:26" ht="45.75" customHeight="1" x14ac:dyDescent="0.2">
      <c r="A137" s="248">
        <v>132</v>
      </c>
      <c r="B137" s="249">
        <v>44440</v>
      </c>
      <c r="C137" s="250" t="s">
        <v>99</v>
      </c>
      <c r="D137" s="250" t="s">
        <v>330</v>
      </c>
      <c r="E137" s="251">
        <v>430</v>
      </c>
      <c r="F137" s="452" t="s">
        <v>5330</v>
      </c>
      <c r="G137" s="250" t="s">
        <v>125</v>
      </c>
      <c r="H137" s="250" t="s">
        <v>5331</v>
      </c>
      <c r="I137" s="253" t="s">
        <v>5332</v>
      </c>
      <c r="J137" s="253"/>
      <c r="K137" s="253"/>
      <c r="L137" s="253"/>
      <c r="M137" s="254"/>
      <c r="N137" s="254"/>
      <c r="O137" s="600"/>
      <c r="P137" s="600"/>
      <c r="Q137" s="599" t="str">
        <f t="shared" si="3"/>
        <v>Gastos_Gerais</v>
      </c>
      <c r="R137" s="247">
        <f>IF(B137="","",IF(YEAR(B137)='Diário 5º PA'!$Q$1,MONTH(B137)-'Diário 5º PA'!$P$1+1,(YEAR(B137)-'Diário 5º PA'!$Q$1)*12-'Diário 5º PA'!$P$1+1+MONTH(B137)))</f>
        <v>9</v>
      </c>
      <c r="S137" s="600"/>
      <c r="T137" s="600"/>
      <c r="U137" s="600"/>
      <c r="V137" s="600"/>
      <c r="W137" s="600"/>
      <c r="X137" s="600"/>
      <c r="Y137" s="600"/>
      <c r="Z137" s="600"/>
    </row>
    <row r="138" spans="1:26" ht="70.5" customHeight="1" x14ac:dyDescent="0.2">
      <c r="A138" s="248">
        <v>133</v>
      </c>
      <c r="B138" s="249">
        <v>44470</v>
      </c>
      <c r="C138" s="250" t="s">
        <v>99</v>
      </c>
      <c r="D138" s="250" t="s">
        <v>364</v>
      </c>
      <c r="E138" s="251">
        <v>200</v>
      </c>
      <c r="F138" s="452" t="s">
        <v>6746</v>
      </c>
      <c r="G138" s="250" t="s">
        <v>131</v>
      </c>
      <c r="H138" s="250" t="s">
        <v>465</v>
      </c>
      <c r="I138" s="253" t="s">
        <v>114</v>
      </c>
      <c r="J138" s="253" t="s">
        <v>466</v>
      </c>
      <c r="K138" s="253" t="s">
        <v>467</v>
      </c>
      <c r="L138" s="253"/>
      <c r="M138" s="254"/>
      <c r="N138" s="254">
        <v>44569</v>
      </c>
      <c r="O138" s="600"/>
      <c r="P138" s="600"/>
      <c r="Q138" s="599" t="str">
        <f t="shared" si="3"/>
        <v>Gastos_Gerais</v>
      </c>
      <c r="R138" s="247">
        <f>IF(B138="","",IF(YEAR(B138)='Diário 5º PA'!$Q$1,MONTH(B138)-'Diário 5º PA'!$P$1+1,(YEAR(B138)-'Diário 5º PA'!$Q$1)*12-'Diário 5º PA'!$P$1+1+MONTH(B138)))</f>
        <v>10</v>
      </c>
      <c r="S138" s="600"/>
      <c r="T138" s="600"/>
      <c r="U138" s="600"/>
      <c r="V138" s="600"/>
      <c r="W138" s="600"/>
      <c r="X138" s="600"/>
      <c r="Y138" s="600"/>
      <c r="Z138" s="600"/>
    </row>
    <row r="139" spans="1:26" ht="70.5" customHeight="1" x14ac:dyDescent="0.2">
      <c r="A139" s="248">
        <v>134</v>
      </c>
      <c r="B139" s="249">
        <v>44470</v>
      </c>
      <c r="C139" s="250" t="s">
        <v>99</v>
      </c>
      <c r="D139" s="250" t="s">
        <v>364</v>
      </c>
      <c r="E139" s="251">
        <v>179.2</v>
      </c>
      <c r="F139" s="452" t="s">
        <v>6747</v>
      </c>
      <c r="G139" s="250" t="s">
        <v>131</v>
      </c>
      <c r="H139" s="250" t="s">
        <v>488</v>
      </c>
      <c r="I139" s="253" t="s">
        <v>114</v>
      </c>
      <c r="J139" s="253" t="s">
        <v>466</v>
      </c>
      <c r="K139" s="253" t="s">
        <v>489</v>
      </c>
      <c r="L139" s="253"/>
      <c r="M139" s="254"/>
      <c r="N139" s="254">
        <v>44581</v>
      </c>
      <c r="O139" s="600"/>
      <c r="P139" s="600"/>
      <c r="Q139" s="599" t="str">
        <f t="shared" si="3"/>
        <v>Gastos_Gerais</v>
      </c>
      <c r="R139" s="247">
        <f>IF(B139="","",IF(YEAR(B139)='Diário 5º PA'!$Q$1,MONTH(B139)-'Diário 5º PA'!$P$1+1,(YEAR(B139)-'Diário 5º PA'!$Q$1)*12-'Diário 5º PA'!$P$1+1+MONTH(B139)))</f>
        <v>10</v>
      </c>
      <c r="S139" s="600"/>
      <c r="T139" s="600"/>
      <c r="U139" s="600"/>
      <c r="V139" s="600"/>
      <c r="W139" s="600"/>
      <c r="X139" s="600"/>
      <c r="Y139" s="600"/>
      <c r="Z139" s="600"/>
    </row>
    <row r="140" spans="1:26" ht="70.5" customHeight="1" x14ac:dyDescent="0.2">
      <c r="A140" s="248">
        <v>135</v>
      </c>
      <c r="B140" s="249">
        <v>44470</v>
      </c>
      <c r="C140" s="250" t="s">
        <v>99</v>
      </c>
      <c r="D140" s="250" t="s">
        <v>364</v>
      </c>
      <c r="E140" s="251">
        <v>1240</v>
      </c>
      <c r="F140" s="452" t="s">
        <v>6748</v>
      </c>
      <c r="G140" s="250" t="s">
        <v>131</v>
      </c>
      <c r="H140" s="250" t="s">
        <v>530</v>
      </c>
      <c r="I140" s="253" t="s">
        <v>114</v>
      </c>
      <c r="J140" s="253" t="s">
        <v>466</v>
      </c>
      <c r="K140" s="253" t="s">
        <v>547</v>
      </c>
      <c r="L140" s="253"/>
      <c r="M140" s="254"/>
      <c r="N140" s="254">
        <v>44581</v>
      </c>
      <c r="O140" s="600"/>
      <c r="P140" s="600"/>
      <c r="Q140" s="599" t="str">
        <f t="shared" si="3"/>
        <v>Gastos_Gerais</v>
      </c>
      <c r="R140" s="247">
        <f>IF(B140="","",IF(YEAR(B140)='Diário 5º PA'!$Q$1,MONTH(B140)-'Diário 5º PA'!$P$1+1,(YEAR(B140)-'Diário 5º PA'!$Q$1)*12-'Diário 5º PA'!$P$1+1+MONTH(B140)))</f>
        <v>10</v>
      </c>
      <c r="S140" s="600"/>
      <c r="T140" s="600"/>
      <c r="U140" s="600"/>
      <c r="V140" s="600"/>
      <c r="W140" s="600"/>
      <c r="X140" s="600"/>
      <c r="Y140" s="600"/>
      <c r="Z140" s="600"/>
    </row>
    <row r="141" spans="1:26" ht="70.5" customHeight="1" x14ac:dyDescent="0.2">
      <c r="A141" s="248">
        <v>136</v>
      </c>
      <c r="B141" s="249">
        <v>44470</v>
      </c>
      <c r="C141" s="250" t="s">
        <v>99</v>
      </c>
      <c r="D141" s="250" t="s">
        <v>336</v>
      </c>
      <c r="E141" s="251">
        <v>30</v>
      </c>
      <c r="F141" s="452" t="s">
        <v>5547</v>
      </c>
      <c r="G141" s="250" t="s">
        <v>118</v>
      </c>
      <c r="H141" s="250" t="s">
        <v>5548</v>
      </c>
      <c r="I141" s="253" t="s">
        <v>5339</v>
      </c>
      <c r="J141" s="253"/>
      <c r="K141" s="253"/>
      <c r="L141" s="253"/>
      <c r="M141" s="254"/>
      <c r="N141" s="254"/>
      <c r="O141" s="600"/>
      <c r="P141" s="600"/>
      <c r="Q141" s="599" t="str">
        <f t="shared" si="3"/>
        <v>Gastos_Gerais</v>
      </c>
      <c r="R141" s="247">
        <f>IF(B141="","",IF(YEAR(B141)='Diário 5º PA'!$Q$1,MONTH(B141)-'Diário 5º PA'!$P$1+1,(YEAR(B141)-'Diário 5º PA'!$Q$1)*12-'Diário 5º PA'!$P$1+1+MONTH(B141)))</f>
        <v>10</v>
      </c>
      <c r="S141" s="600"/>
      <c r="T141" s="600"/>
      <c r="U141" s="600"/>
      <c r="V141" s="600"/>
      <c r="W141" s="600"/>
      <c r="X141" s="600"/>
      <c r="Y141" s="600"/>
      <c r="Z141" s="600"/>
    </row>
    <row r="142" spans="1:26" ht="92.25" customHeight="1" x14ac:dyDescent="0.2">
      <c r="A142" s="248">
        <v>137</v>
      </c>
      <c r="B142" s="249">
        <v>44470</v>
      </c>
      <c r="C142" s="250" t="s">
        <v>99</v>
      </c>
      <c r="D142" s="250" t="s">
        <v>364</v>
      </c>
      <c r="E142" s="251">
        <v>450</v>
      </c>
      <c r="F142" s="452" t="s">
        <v>5343</v>
      </c>
      <c r="G142" s="250" t="s">
        <v>131</v>
      </c>
      <c r="H142" s="250" t="s">
        <v>5344</v>
      </c>
      <c r="I142" s="253" t="s">
        <v>2900</v>
      </c>
      <c r="J142" s="253"/>
      <c r="K142" s="253"/>
      <c r="L142" s="253"/>
      <c r="M142" s="254"/>
      <c r="N142" s="254"/>
      <c r="O142" s="600"/>
      <c r="P142" s="600"/>
      <c r="Q142" s="599" t="str">
        <f t="shared" si="3"/>
        <v>Gastos_Gerais</v>
      </c>
      <c r="R142" s="247">
        <f>IF(B142="","",IF(YEAR(B142)='Diário 5º PA'!$Q$1,MONTH(B142)-'Diário 5º PA'!$P$1+1,(YEAR(B142)-'Diário 5º PA'!$Q$1)*12-'Diário 5º PA'!$P$1+1+MONTH(B142)))</f>
        <v>10</v>
      </c>
      <c r="S142" s="600"/>
      <c r="T142" s="600"/>
      <c r="U142" s="600"/>
      <c r="V142" s="600"/>
      <c r="W142" s="600"/>
      <c r="X142" s="600"/>
      <c r="Y142" s="600"/>
      <c r="Z142" s="600"/>
    </row>
    <row r="143" spans="1:26" ht="44.25" customHeight="1" x14ac:dyDescent="0.2">
      <c r="A143" s="248">
        <v>138</v>
      </c>
      <c r="B143" s="249">
        <v>44440</v>
      </c>
      <c r="C143" s="250" t="s">
        <v>99</v>
      </c>
      <c r="D143" s="250" t="s">
        <v>376</v>
      </c>
      <c r="E143" s="251">
        <v>25.6</v>
      </c>
      <c r="F143" s="452" t="s">
        <v>6676</v>
      </c>
      <c r="G143" s="250" t="s">
        <v>131</v>
      </c>
      <c r="H143" s="250" t="s">
        <v>465</v>
      </c>
      <c r="I143" s="253" t="s">
        <v>114</v>
      </c>
      <c r="J143" s="253" t="s">
        <v>466</v>
      </c>
      <c r="K143" s="253" t="s">
        <v>467</v>
      </c>
      <c r="L143" s="253"/>
      <c r="M143" s="254"/>
      <c r="N143" s="254">
        <v>44569</v>
      </c>
      <c r="O143" s="600"/>
      <c r="P143" s="600"/>
      <c r="Q143" s="599" t="str">
        <f t="shared" si="3"/>
        <v>Gastos_Gerais</v>
      </c>
      <c r="R143" s="247">
        <f>IF(B143="","",IF(YEAR(B143)='Diário 5º PA'!$Q$1,MONTH(B143)-'Diário 5º PA'!$P$1+1,(YEAR(B143)-'Diário 5º PA'!$Q$1)*12-'Diário 5º PA'!$P$1+1+MONTH(B143)))</f>
        <v>9</v>
      </c>
      <c r="S143" s="600"/>
      <c r="T143" s="600"/>
      <c r="U143" s="600"/>
      <c r="V143" s="600"/>
      <c r="W143" s="600"/>
      <c r="X143" s="600"/>
      <c r="Y143" s="600"/>
      <c r="Z143" s="600"/>
    </row>
    <row r="144" spans="1:26" ht="74.25" customHeight="1" x14ac:dyDescent="0.2">
      <c r="A144" s="248">
        <v>139</v>
      </c>
      <c r="B144" s="249">
        <v>44501</v>
      </c>
      <c r="C144" s="250" t="s">
        <v>99</v>
      </c>
      <c r="D144" s="250" t="s">
        <v>358</v>
      </c>
      <c r="E144" s="251">
        <v>60</v>
      </c>
      <c r="F144" s="452" t="s">
        <v>6545</v>
      </c>
      <c r="G144" s="250" t="s">
        <v>131</v>
      </c>
      <c r="H144" s="250" t="s">
        <v>465</v>
      </c>
      <c r="I144" s="253" t="s">
        <v>114</v>
      </c>
      <c r="J144" s="253" t="s">
        <v>466</v>
      </c>
      <c r="K144" s="253" t="s">
        <v>467</v>
      </c>
      <c r="L144" s="253"/>
      <c r="M144" s="254"/>
      <c r="N144" s="254">
        <v>44569</v>
      </c>
      <c r="O144" s="600"/>
      <c r="P144" s="600"/>
      <c r="Q144" s="599" t="str">
        <f t="shared" si="3"/>
        <v>Gastos_Gerais</v>
      </c>
      <c r="R144" s="247">
        <f>IF(B144="","",IF(YEAR(B144)='Diário 5º PA'!$Q$1,MONTH(B144)-'Diário 5º PA'!$P$1+1,(YEAR(B144)-'Diário 5º PA'!$Q$1)*12-'Diário 5º PA'!$P$1+1+MONTH(B144)))</f>
        <v>11</v>
      </c>
      <c r="S144" s="600"/>
      <c r="T144" s="600"/>
      <c r="U144" s="600"/>
      <c r="V144" s="600"/>
      <c r="W144" s="600"/>
      <c r="X144" s="600"/>
      <c r="Y144" s="600"/>
      <c r="Z144" s="600"/>
    </row>
    <row r="145" spans="1:26" ht="74.25" customHeight="1" x14ac:dyDescent="0.2">
      <c r="A145" s="248">
        <v>140</v>
      </c>
      <c r="B145" s="249">
        <v>44501</v>
      </c>
      <c r="C145" s="250" t="s">
        <v>99</v>
      </c>
      <c r="D145" s="250" t="s">
        <v>358</v>
      </c>
      <c r="E145" s="251">
        <v>372</v>
      </c>
      <c r="F145" s="452" t="s">
        <v>6546</v>
      </c>
      <c r="G145" s="250" t="s">
        <v>131</v>
      </c>
      <c r="H145" s="250" t="s">
        <v>530</v>
      </c>
      <c r="I145" s="253" t="s">
        <v>114</v>
      </c>
      <c r="J145" s="253" t="s">
        <v>466</v>
      </c>
      <c r="K145" s="253" t="s">
        <v>547</v>
      </c>
      <c r="L145" s="253"/>
      <c r="M145" s="254"/>
      <c r="N145" s="254">
        <v>44581</v>
      </c>
      <c r="O145" s="600"/>
      <c r="P145" s="600"/>
      <c r="Q145" s="599" t="str">
        <f t="shared" si="3"/>
        <v>Gastos_Gerais</v>
      </c>
      <c r="R145" s="247">
        <f>IF(B145="","",IF(YEAR(B145)='Diário 5º PA'!$Q$1,MONTH(B145)-'Diário 5º PA'!$P$1+1,(YEAR(B145)-'Diário 5º PA'!$Q$1)*12-'Diário 5º PA'!$P$1+1+MONTH(B145)))</f>
        <v>11</v>
      </c>
      <c r="S145" s="600"/>
      <c r="T145" s="600"/>
      <c r="U145" s="600"/>
      <c r="V145" s="600"/>
      <c r="W145" s="600"/>
      <c r="X145" s="600"/>
      <c r="Y145" s="600"/>
      <c r="Z145" s="600"/>
    </row>
    <row r="146" spans="1:26" ht="81.75" customHeight="1" x14ac:dyDescent="0.2">
      <c r="A146" s="248">
        <v>141</v>
      </c>
      <c r="B146" s="249">
        <v>44409</v>
      </c>
      <c r="C146" s="250" t="s">
        <v>104</v>
      </c>
      <c r="D146" s="250" t="s">
        <v>104</v>
      </c>
      <c r="E146" s="251">
        <f>130551.75+90000-130551.75</f>
        <v>90000</v>
      </c>
      <c r="F146" s="452" t="s">
        <v>5415</v>
      </c>
      <c r="G146" s="250" t="s">
        <v>104</v>
      </c>
      <c r="H146" s="250" t="s">
        <v>5416</v>
      </c>
      <c r="I146" s="253" t="s">
        <v>1933</v>
      </c>
      <c r="J146" s="253"/>
      <c r="K146" s="253"/>
      <c r="L146" s="253"/>
      <c r="M146" s="254"/>
      <c r="N146" s="254"/>
      <c r="O146" s="600"/>
      <c r="P146" s="600"/>
      <c r="Q146" s="599" t="str">
        <f t="shared" si="3"/>
        <v>Gastos_custeados_por_captação</v>
      </c>
      <c r="R146" s="247">
        <f>IF(B146="","",IF(YEAR(B146)='Diário 5º PA'!$Q$1,MONTH(B146)-'Diário 5º PA'!$P$1+1,(YEAR(B146)-'Diário 5º PA'!$Q$1)*12-'Diário 5º PA'!$P$1+1+MONTH(B146)))</f>
        <v>8</v>
      </c>
      <c r="S146" s="600"/>
      <c r="T146" s="600"/>
      <c r="U146" s="600"/>
      <c r="V146" s="600"/>
      <c r="W146" s="600"/>
      <c r="X146" s="600"/>
      <c r="Y146" s="600"/>
      <c r="Z146" s="600"/>
    </row>
    <row r="147" spans="1:26" ht="57" customHeight="1" x14ac:dyDescent="0.2">
      <c r="A147" s="248">
        <v>142</v>
      </c>
      <c r="B147" s="249">
        <v>44409</v>
      </c>
      <c r="C147" s="250" t="s">
        <v>104</v>
      </c>
      <c r="D147" s="250" t="s">
        <v>104</v>
      </c>
      <c r="E147" s="251">
        <v>600</v>
      </c>
      <c r="F147" s="452" t="s">
        <v>5417</v>
      </c>
      <c r="G147" s="250" t="s">
        <v>104</v>
      </c>
      <c r="H147" s="250" t="s">
        <v>5418</v>
      </c>
      <c r="I147" s="253" t="s">
        <v>5419</v>
      </c>
      <c r="J147" s="253"/>
      <c r="K147" s="253"/>
      <c r="L147" s="253"/>
      <c r="M147" s="254"/>
      <c r="N147" s="254"/>
      <c r="O147" s="600"/>
      <c r="P147" s="600"/>
      <c r="Q147" s="599" t="str">
        <f t="shared" si="3"/>
        <v>Gastos_custeados_por_captação</v>
      </c>
      <c r="R147" s="247">
        <f>IF(B147="","",IF(YEAR(B147)='Diário 5º PA'!$Q$1,MONTH(B147)-'Diário 5º PA'!$P$1+1,(YEAR(B147)-'Diário 5º PA'!$Q$1)*12-'Diário 5º PA'!$P$1+1+MONTH(B147)))</f>
        <v>8</v>
      </c>
      <c r="S147" s="600"/>
      <c r="T147" s="600"/>
      <c r="U147" s="600"/>
      <c r="V147" s="600"/>
      <c r="W147" s="600"/>
      <c r="X147" s="600"/>
      <c r="Y147" s="600"/>
      <c r="Z147" s="600"/>
    </row>
    <row r="148" spans="1:26" ht="44.25" customHeight="1" x14ac:dyDescent="0.2">
      <c r="A148" s="248">
        <v>143</v>
      </c>
      <c r="B148" s="249">
        <v>44470</v>
      </c>
      <c r="C148" s="250" t="s">
        <v>99</v>
      </c>
      <c r="D148" s="250" t="s">
        <v>376</v>
      </c>
      <c r="E148" s="251">
        <f>2560-1280</f>
        <v>1280</v>
      </c>
      <c r="F148" s="452" t="s">
        <v>5429</v>
      </c>
      <c r="G148" s="250" t="s">
        <v>131</v>
      </c>
      <c r="H148" s="250" t="s">
        <v>5430</v>
      </c>
      <c r="I148" s="253" t="s">
        <v>583</v>
      </c>
      <c r="J148" s="253"/>
      <c r="K148" s="253"/>
      <c r="L148" s="253"/>
      <c r="M148" s="254"/>
      <c r="N148" s="254"/>
      <c r="O148" s="600"/>
      <c r="P148" s="600"/>
      <c r="Q148" s="599" t="str">
        <f t="shared" si="3"/>
        <v>Gastos_Gerais</v>
      </c>
      <c r="R148" s="247">
        <f>IF(B148="","",IF(YEAR(B148)='Diário 5º PA'!$Q$1,MONTH(B148)-'Diário 5º PA'!$P$1+1,(YEAR(B148)-'Diário 5º PA'!$Q$1)*12-'Diário 5º PA'!$P$1+1+MONTH(B148)))</f>
        <v>10</v>
      </c>
      <c r="S148" s="600"/>
      <c r="T148" s="600"/>
      <c r="U148" s="600"/>
      <c r="V148" s="600"/>
      <c r="W148" s="600"/>
      <c r="X148" s="600"/>
      <c r="Y148" s="600"/>
      <c r="Z148" s="600"/>
    </row>
    <row r="149" spans="1:26" ht="44.25" customHeight="1" x14ac:dyDescent="0.2">
      <c r="A149" s="248">
        <v>144</v>
      </c>
      <c r="B149" s="249">
        <v>44470</v>
      </c>
      <c r="C149" s="250" t="s">
        <v>99</v>
      </c>
      <c r="D149" s="250" t="s">
        <v>376</v>
      </c>
      <c r="E149" s="251">
        <v>25.6</v>
      </c>
      <c r="F149" s="452" t="s">
        <v>6745</v>
      </c>
      <c r="G149" s="250" t="s">
        <v>131</v>
      </c>
      <c r="H149" s="250" t="s">
        <v>465</v>
      </c>
      <c r="I149" s="253" t="s">
        <v>114</v>
      </c>
      <c r="J149" s="253" t="s">
        <v>466</v>
      </c>
      <c r="K149" s="253" t="s">
        <v>467</v>
      </c>
      <c r="L149" s="253"/>
      <c r="M149" s="254"/>
      <c r="N149" s="254">
        <v>44569</v>
      </c>
      <c r="O149" s="600"/>
      <c r="P149" s="600"/>
      <c r="Q149" s="599" t="str">
        <f t="shared" si="3"/>
        <v>Gastos_Gerais</v>
      </c>
      <c r="R149" s="247">
        <f>IF(B149="","",IF(YEAR(B149)='Diário 5º PA'!$Q$1,MONTH(B149)-'Diário 5º PA'!$P$1+1,(YEAR(B149)-'Diário 5º PA'!$Q$1)*12-'Diário 5º PA'!$P$1+1+MONTH(B149)))</f>
        <v>10</v>
      </c>
      <c r="S149" s="600"/>
      <c r="T149" s="600"/>
      <c r="U149" s="600"/>
      <c r="V149" s="600"/>
      <c r="W149" s="600"/>
      <c r="X149" s="600"/>
      <c r="Y149" s="600"/>
      <c r="Z149" s="600"/>
    </row>
    <row r="150" spans="1:26" ht="82.5" customHeight="1" x14ac:dyDescent="0.2">
      <c r="A150" s="248">
        <v>145</v>
      </c>
      <c r="B150" s="249">
        <v>44378</v>
      </c>
      <c r="C150" s="250" t="s">
        <v>104</v>
      </c>
      <c r="D150" s="250" t="s">
        <v>104</v>
      </c>
      <c r="E150" s="251">
        <f>117000-58500+27300-58500</f>
        <v>27300</v>
      </c>
      <c r="F150" s="452" t="s">
        <v>5482</v>
      </c>
      <c r="G150" s="250" t="s">
        <v>104</v>
      </c>
      <c r="H150" s="250" t="s">
        <v>5506</v>
      </c>
      <c r="I150" s="253" t="s">
        <v>5484</v>
      </c>
      <c r="J150" s="253"/>
      <c r="K150" s="253"/>
      <c r="L150" s="253"/>
      <c r="M150" s="254"/>
      <c r="N150" s="254"/>
      <c r="O150" s="600"/>
      <c r="P150" s="600"/>
      <c r="Q150" s="599" t="str">
        <f t="shared" si="3"/>
        <v>Gastos_custeados_por_captação</v>
      </c>
      <c r="R150" s="247">
        <f>IF(B150="","",IF(YEAR(B150)='Diário 5º PA'!$Q$1,MONTH(B150)-'Diário 5º PA'!$P$1+1,(YEAR(B150)-'Diário 5º PA'!$Q$1)*12-'Diário 5º PA'!$P$1+1+MONTH(B150)))</f>
        <v>7</v>
      </c>
      <c r="S150" s="600"/>
      <c r="T150" s="600"/>
      <c r="U150" s="600"/>
      <c r="V150" s="600"/>
      <c r="W150" s="600"/>
      <c r="X150" s="600"/>
      <c r="Y150" s="600"/>
      <c r="Z150" s="600"/>
    </row>
    <row r="151" spans="1:26" ht="50.25" customHeight="1" x14ac:dyDescent="0.2">
      <c r="A151" s="248">
        <v>146</v>
      </c>
      <c r="B151" s="335">
        <v>44501</v>
      </c>
      <c r="C151" s="250" t="s">
        <v>104</v>
      </c>
      <c r="D151" s="255" t="s">
        <v>104</v>
      </c>
      <c r="E151" s="258">
        <v>1068</v>
      </c>
      <c r="F151" s="450" t="s">
        <v>5499</v>
      </c>
      <c r="G151" s="250" t="s">
        <v>104</v>
      </c>
      <c r="H151" s="250" t="s">
        <v>5518</v>
      </c>
      <c r="I151" s="481" t="s">
        <v>652</v>
      </c>
      <c r="J151" s="253"/>
      <c r="K151" s="253"/>
      <c r="L151" s="253"/>
      <c r="M151" s="254"/>
      <c r="N151" s="254"/>
      <c r="O151" s="600"/>
      <c r="P151" s="600"/>
      <c r="Q151" s="599" t="str">
        <f t="shared" si="3"/>
        <v>Gastos_custeados_por_captação</v>
      </c>
      <c r="R151" s="247">
        <f>IF(B151="","",IF(YEAR(B151)='Diário 5º PA'!$Q$1,MONTH(B151)-'Diário 5º PA'!$P$1+1,(YEAR(B151)-'Diário 5º PA'!$Q$1)*12-'Diário 5º PA'!$P$1+1+MONTH(B151)))</f>
        <v>11</v>
      </c>
      <c r="S151" s="600"/>
      <c r="T151" s="600"/>
      <c r="U151" s="600"/>
      <c r="V151" s="600"/>
      <c r="W151" s="600"/>
      <c r="X151" s="600"/>
      <c r="Y151" s="600"/>
      <c r="Z151" s="600"/>
    </row>
    <row r="152" spans="1:26" ht="51" customHeight="1" x14ac:dyDescent="0.2">
      <c r="A152" s="248">
        <v>147</v>
      </c>
      <c r="B152" s="335">
        <v>44501</v>
      </c>
      <c r="C152" s="250" t="s">
        <v>99</v>
      </c>
      <c r="D152" s="250" t="s">
        <v>358</v>
      </c>
      <c r="E152" s="251">
        <v>140</v>
      </c>
      <c r="F152" s="452" t="s">
        <v>6729</v>
      </c>
      <c r="G152" s="250" t="s">
        <v>131</v>
      </c>
      <c r="H152" s="250" t="s">
        <v>465</v>
      </c>
      <c r="I152" s="480" t="s">
        <v>114</v>
      </c>
      <c r="J152" s="253" t="s">
        <v>466</v>
      </c>
      <c r="K152" s="253" t="s">
        <v>467</v>
      </c>
      <c r="L152" s="253"/>
      <c r="M152" s="254"/>
      <c r="N152" s="254">
        <v>44569</v>
      </c>
      <c r="O152" s="600"/>
      <c r="P152" s="600"/>
      <c r="Q152" s="599" t="str">
        <f t="shared" si="3"/>
        <v>Gastos_Gerais</v>
      </c>
      <c r="R152" s="247">
        <f>IF(B152="","",IF(YEAR(B152)='Diário 5º PA'!$Q$1,MONTH(B152)-'Diário 5º PA'!$P$1+1,(YEAR(B152)-'Diário 5º PA'!$Q$1)*12-'Diário 5º PA'!$P$1+1+MONTH(B152)))</f>
        <v>11</v>
      </c>
      <c r="S152" s="600"/>
      <c r="T152" s="600"/>
      <c r="U152" s="600"/>
      <c r="V152" s="600"/>
      <c r="W152" s="600"/>
      <c r="X152" s="600"/>
      <c r="Y152" s="600"/>
      <c r="Z152" s="600"/>
    </row>
    <row r="153" spans="1:26" ht="51" customHeight="1" x14ac:dyDescent="0.2">
      <c r="A153" s="248">
        <v>148</v>
      </c>
      <c r="B153" s="335">
        <v>44501</v>
      </c>
      <c r="C153" s="250" t="s">
        <v>99</v>
      </c>
      <c r="D153" s="250" t="s">
        <v>358</v>
      </c>
      <c r="E153" s="251">
        <v>868</v>
      </c>
      <c r="F153" s="452" t="s">
        <v>6730</v>
      </c>
      <c r="G153" s="250" t="s">
        <v>131</v>
      </c>
      <c r="H153" s="250" t="s">
        <v>530</v>
      </c>
      <c r="I153" s="480" t="s">
        <v>114</v>
      </c>
      <c r="J153" s="253" t="s">
        <v>466</v>
      </c>
      <c r="K153" s="253" t="s">
        <v>547</v>
      </c>
      <c r="L153" s="253"/>
      <c r="M153" s="254"/>
      <c r="N153" s="254">
        <v>44581</v>
      </c>
      <c r="O153" s="600"/>
      <c r="P153" s="600"/>
      <c r="Q153" s="599" t="str">
        <f t="shared" si="3"/>
        <v>Gastos_Gerais</v>
      </c>
      <c r="R153" s="247">
        <f>IF(B153="","",IF(YEAR(B153)='Diário 5º PA'!$Q$1,MONTH(B153)-'Diário 5º PA'!$P$1+1,(YEAR(B153)-'Diário 5º PA'!$Q$1)*12-'Diário 5º PA'!$P$1+1+MONTH(B153)))</f>
        <v>11</v>
      </c>
      <c r="S153" s="600"/>
      <c r="T153" s="600"/>
      <c r="U153" s="600"/>
      <c r="V153" s="600"/>
      <c r="W153" s="600"/>
      <c r="X153" s="600"/>
      <c r="Y153" s="600"/>
      <c r="Z153" s="600"/>
    </row>
    <row r="154" spans="1:26" ht="51" customHeight="1" x14ac:dyDescent="0.2">
      <c r="A154" s="248">
        <v>149</v>
      </c>
      <c r="B154" s="335">
        <v>44501</v>
      </c>
      <c r="C154" s="250" t="s">
        <v>99</v>
      </c>
      <c r="D154" s="250" t="s">
        <v>358</v>
      </c>
      <c r="E154" s="251">
        <v>44.1</v>
      </c>
      <c r="F154" s="452" t="s">
        <v>6731</v>
      </c>
      <c r="G154" s="250" t="s">
        <v>131</v>
      </c>
      <c r="H154" s="250" t="s">
        <v>488</v>
      </c>
      <c r="I154" s="480" t="s">
        <v>114</v>
      </c>
      <c r="J154" s="253" t="s">
        <v>466</v>
      </c>
      <c r="K154" s="253" t="s">
        <v>489</v>
      </c>
      <c r="L154" s="253"/>
      <c r="M154" s="254"/>
      <c r="N154" s="254">
        <v>44581</v>
      </c>
      <c r="O154" s="600"/>
      <c r="P154" s="600"/>
      <c r="Q154" s="599" t="str">
        <f t="shared" si="3"/>
        <v>Gastos_Gerais</v>
      </c>
      <c r="R154" s="247">
        <f>IF(B154="","",IF(YEAR(B154)='Diário 5º PA'!$Q$1,MONTH(B154)-'Diário 5º PA'!$P$1+1,(YEAR(B154)-'Diário 5º PA'!$Q$1)*12-'Diário 5º PA'!$P$1+1+MONTH(B154)))</f>
        <v>11</v>
      </c>
      <c r="S154" s="600"/>
      <c r="T154" s="600"/>
      <c r="U154" s="600"/>
      <c r="V154" s="600"/>
      <c r="W154" s="600"/>
      <c r="X154" s="600"/>
      <c r="Y154" s="600"/>
      <c r="Z154" s="600"/>
    </row>
    <row r="155" spans="1:26" ht="66.75" customHeight="1" x14ac:dyDescent="0.2">
      <c r="A155" s="248">
        <v>150</v>
      </c>
      <c r="B155" s="335">
        <v>44531</v>
      </c>
      <c r="C155" s="250" t="s">
        <v>99</v>
      </c>
      <c r="D155" s="250" t="s">
        <v>358</v>
      </c>
      <c r="E155" s="251">
        <v>1824</v>
      </c>
      <c r="F155" s="452" t="s">
        <v>6614</v>
      </c>
      <c r="G155" s="250" t="s">
        <v>131</v>
      </c>
      <c r="H155" s="250" t="s">
        <v>5531</v>
      </c>
      <c r="I155" s="480" t="s">
        <v>5532</v>
      </c>
      <c r="J155" s="253"/>
      <c r="K155" s="253"/>
      <c r="L155" s="253"/>
      <c r="M155" s="254"/>
      <c r="N155" s="254"/>
      <c r="O155" s="600"/>
      <c r="P155" s="600"/>
      <c r="Q155" s="599" t="str">
        <f t="shared" si="3"/>
        <v>Gastos_Gerais</v>
      </c>
      <c r="R155" s="247">
        <f>IF(B155="","",IF(YEAR(B155)='Diário 5º PA'!$Q$1,MONTH(B155)-'Diário 5º PA'!$P$1+1,(YEAR(B155)-'Diário 5º PA'!$Q$1)*12-'Diário 5º PA'!$P$1+1+MONTH(B155)))</f>
        <v>12</v>
      </c>
      <c r="S155" s="600"/>
      <c r="T155" s="600"/>
      <c r="U155" s="600"/>
      <c r="V155" s="600"/>
      <c r="W155" s="600"/>
      <c r="X155" s="600"/>
      <c r="Y155" s="600"/>
      <c r="Z155" s="600"/>
    </row>
    <row r="156" spans="1:26" ht="113.25" customHeight="1" x14ac:dyDescent="0.2">
      <c r="A156" s="248">
        <v>151</v>
      </c>
      <c r="B156" s="335">
        <v>44470</v>
      </c>
      <c r="C156" s="250" t="s">
        <v>99</v>
      </c>
      <c r="D156" s="250" t="s">
        <v>382</v>
      </c>
      <c r="E156" s="251">
        <v>1632</v>
      </c>
      <c r="F156" s="452" t="s">
        <v>5538</v>
      </c>
      <c r="G156" s="250" t="s">
        <v>131</v>
      </c>
      <c r="H156" s="250" t="s">
        <v>5539</v>
      </c>
      <c r="I156" s="480" t="s">
        <v>769</v>
      </c>
      <c r="J156" s="253"/>
      <c r="K156" s="253"/>
      <c r="L156" s="253"/>
      <c r="M156" s="254"/>
      <c r="N156" s="254"/>
      <c r="O156" s="600"/>
      <c r="P156" s="600"/>
      <c r="Q156" s="599" t="str">
        <f t="shared" si="3"/>
        <v>Gastos_Gerais</v>
      </c>
      <c r="R156" s="247">
        <f>IF(B156="","",IF(YEAR(B156)='Diário 5º PA'!$Q$1,MONTH(B156)-'Diário 5º PA'!$P$1+1,(YEAR(B156)-'Diário 5º PA'!$Q$1)*12-'Diário 5º PA'!$P$1+1+MONTH(B156)))</f>
        <v>10</v>
      </c>
      <c r="S156" s="600"/>
      <c r="T156" s="600"/>
      <c r="U156" s="600"/>
      <c r="V156" s="600"/>
      <c r="W156" s="600"/>
      <c r="X156" s="600"/>
      <c r="Y156" s="600"/>
      <c r="Z156" s="600"/>
    </row>
    <row r="157" spans="1:26" ht="69" customHeight="1" x14ac:dyDescent="0.2">
      <c r="A157" s="248">
        <v>152</v>
      </c>
      <c r="B157" s="335">
        <v>44501</v>
      </c>
      <c r="C157" s="250" t="s">
        <v>99</v>
      </c>
      <c r="D157" s="250" t="s">
        <v>358</v>
      </c>
      <c r="E157" s="251">
        <v>140</v>
      </c>
      <c r="F157" s="452" t="s">
        <v>6736</v>
      </c>
      <c r="G157" s="250" t="s">
        <v>131</v>
      </c>
      <c r="H157" s="250" t="s">
        <v>465</v>
      </c>
      <c r="I157" s="480" t="s">
        <v>114</v>
      </c>
      <c r="J157" s="253" t="s">
        <v>466</v>
      </c>
      <c r="K157" s="253" t="s">
        <v>467</v>
      </c>
      <c r="L157" s="253"/>
      <c r="M157" s="254"/>
      <c r="N157" s="254">
        <v>44569</v>
      </c>
      <c r="O157" s="600"/>
      <c r="P157" s="600"/>
      <c r="Q157" s="599" t="str">
        <f t="shared" si="3"/>
        <v>Gastos_Gerais</v>
      </c>
      <c r="R157" s="247">
        <f>IF(B157="","",IF(YEAR(B157)='Diário 5º PA'!$Q$1,MONTH(B157)-'Diário 5º PA'!$P$1+1,(YEAR(B157)-'Diário 5º PA'!$Q$1)*12-'Diário 5º PA'!$P$1+1+MONTH(B157)))</f>
        <v>11</v>
      </c>
      <c r="S157" s="600"/>
      <c r="T157" s="600"/>
      <c r="U157" s="600"/>
      <c r="V157" s="600"/>
      <c r="W157" s="600"/>
      <c r="X157" s="600"/>
      <c r="Y157" s="600"/>
      <c r="Z157" s="600"/>
    </row>
    <row r="158" spans="1:26" ht="69" customHeight="1" x14ac:dyDescent="0.2">
      <c r="A158" s="248">
        <v>153</v>
      </c>
      <c r="B158" s="335">
        <v>44501</v>
      </c>
      <c r="C158" s="250" t="s">
        <v>99</v>
      </c>
      <c r="D158" s="250" t="s">
        <v>358</v>
      </c>
      <c r="E158" s="251">
        <v>44.1</v>
      </c>
      <c r="F158" s="452" t="s">
        <v>6737</v>
      </c>
      <c r="G158" s="250" t="s">
        <v>131</v>
      </c>
      <c r="H158" s="250" t="s">
        <v>488</v>
      </c>
      <c r="I158" s="480" t="s">
        <v>114</v>
      </c>
      <c r="J158" s="253" t="s">
        <v>466</v>
      </c>
      <c r="K158" s="253" t="s">
        <v>489</v>
      </c>
      <c r="L158" s="253"/>
      <c r="M158" s="254"/>
      <c r="N158" s="254">
        <v>44581</v>
      </c>
      <c r="O158" s="600"/>
      <c r="P158" s="600"/>
      <c r="Q158" s="599" t="str">
        <f t="shared" si="3"/>
        <v>Gastos_Gerais</v>
      </c>
      <c r="R158" s="247">
        <f>IF(B158="","",IF(YEAR(B158)='Diário 5º PA'!$Q$1,MONTH(B158)-'Diário 5º PA'!$P$1+1,(YEAR(B158)-'Diário 5º PA'!$Q$1)*12-'Diário 5º PA'!$P$1+1+MONTH(B158)))</f>
        <v>11</v>
      </c>
      <c r="S158" s="600"/>
      <c r="T158" s="600"/>
      <c r="U158" s="600"/>
      <c r="V158" s="600"/>
      <c r="W158" s="600"/>
      <c r="X158" s="600"/>
      <c r="Y158" s="600"/>
      <c r="Z158" s="600"/>
    </row>
    <row r="159" spans="1:26" ht="69" customHeight="1" x14ac:dyDescent="0.2">
      <c r="A159" s="248">
        <v>154</v>
      </c>
      <c r="B159" s="335">
        <v>44501</v>
      </c>
      <c r="C159" s="250" t="s">
        <v>99</v>
      </c>
      <c r="D159" s="250" t="s">
        <v>358</v>
      </c>
      <c r="E159" s="251">
        <v>868</v>
      </c>
      <c r="F159" s="452" t="s">
        <v>6738</v>
      </c>
      <c r="G159" s="250" t="s">
        <v>131</v>
      </c>
      <c r="H159" s="250" t="s">
        <v>530</v>
      </c>
      <c r="I159" s="480" t="s">
        <v>114</v>
      </c>
      <c r="J159" s="253" t="s">
        <v>466</v>
      </c>
      <c r="K159" s="253" t="s">
        <v>547</v>
      </c>
      <c r="L159" s="253"/>
      <c r="M159" s="254"/>
      <c r="N159" s="254">
        <v>44581</v>
      </c>
      <c r="O159" s="600"/>
      <c r="P159" s="600"/>
      <c r="Q159" s="599" t="str">
        <f t="shared" si="3"/>
        <v>Gastos_Gerais</v>
      </c>
      <c r="R159" s="247">
        <f>IF(B159="","",IF(YEAR(B159)='Diário 5º PA'!$Q$1,MONTH(B159)-'Diário 5º PA'!$P$1+1,(YEAR(B159)-'Diário 5º PA'!$Q$1)*12-'Diário 5º PA'!$P$1+1+MONTH(B159)))</f>
        <v>11</v>
      </c>
      <c r="S159" s="600"/>
      <c r="T159" s="600"/>
      <c r="U159" s="600"/>
      <c r="V159" s="600"/>
      <c r="W159" s="600"/>
      <c r="X159" s="600"/>
      <c r="Y159" s="600"/>
      <c r="Z159" s="600"/>
    </row>
    <row r="160" spans="1:26" ht="69" customHeight="1" x14ac:dyDescent="0.2">
      <c r="A160" s="248">
        <v>155</v>
      </c>
      <c r="B160" s="335">
        <v>44531</v>
      </c>
      <c r="C160" s="250" t="s">
        <v>99</v>
      </c>
      <c r="D160" s="250" t="s">
        <v>358</v>
      </c>
      <c r="E160" s="251">
        <v>1824</v>
      </c>
      <c r="F160" s="452" t="s">
        <v>6613</v>
      </c>
      <c r="G160" s="250" t="s">
        <v>131</v>
      </c>
      <c r="H160" s="250" t="s">
        <v>5550</v>
      </c>
      <c r="I160" s="480" t="s">
        <v>5551</v>
      </c>
      <c r="J160" s="253"/>
      <c r="K160" s="253"/>
      <c r="L160" s="253"/>
      <c r="M160" s="254"/>
      <c r="N160" s="254"/>
      <c r="O160" s="600"/>
      <c r="P160" s="600"/>
      <c r="Q160" s="599" t="str">
        <f t="shared" si="3"/>
        <v>Gastos_Gerais</v>
      </c>
      <c r="R160" s="247">
        <f>IF(B160="","",IF(YEAR(B160)='Diário 5º PA'!$Q$1,MONTH(B160)-'Diário 5º PA'!$P$1+1,(YEAR(B160)-'Diário 5º PA'!$Q$1)*12-'Diário 5º PA'!$P$1+1+MONTH(B160)))</f>
        <v>12</v>
      </c>
      <c r="S160" s="600"/>
      <c r="T160" s="600"/>
      <c r="U160" s="600"/>
      <c r="V160" s="600"/>
      <c r="W160" s="600"/>
      <c r="X160" s="600"/>
      <c r="Y160" s="600"/>
      <c r="Z160" s="600"/>
    </row>
    <row r="161" spans="1:26" ht="60.75" customHeight="1" x14ac:dyDescent="0.2">
      <c r="A161" s="248">
        <v>156</v>
      </c>
      <c r="B161" s="529">
        <v>44470</v>
      </c>
      <c r="C161" s="250" t="s">
        <v>99</v>
      </c>
      <c r="D161" s="250" t="s">
        <v>336</v>
      </c>
      <c r="E161" s="251">
        <v>80</v>
      </c>
      <c r="F161" s="452" t="s">
        <v>6630</v>
      </c>
      <c r="G161" s="250" t="s">
        <v>118</v>
      </c>
      <c r="H161" s="250" t="s">
        <v>465</v>
      </c>
      <c r="I161" s="480" t="s">
        <v>114</v>
      </c>
      <c r="J161" s="253" t="s">
        <v>466</v>
      </c>
      <c r="K161" s="253" t="s">
        <v>467</v>
      </c>
      <c r="L161" s="253"/>
      <c r="M161" s="254"/>
      <c r="N161" s="254">
        <v>44569</v>
      </c>
      <c r="O161" s="600"/>
      <c r="P161" s="600"/>
      <c r="Q161" s="599" t="str">
        <f t="shared" si="3"/>
        <v>Gastos_Gerais</v>
      </c>
      <c r="R161" s="247">
        <f>IF(B161="","",IF(YEAR(B161)='Diário 5º PA'!$Q$1,MONTH(B161)-'Diário 5º PA'!$P$1+1,(YEAR(B161)-'Diário 5º PA'!$Q$1)*12-'Diário 5º PA'!$P$1+1+MONTH(B161)))</f>
        <v>10</v>
      </c>
      <c r="S161" s="600"/>
      <c r="T161" s="600"/>
      <c r="U161" s="600"/>
      <c r="V161" s="600"/>
      <c r="W161" s="600"/>
      <c r="X161" s="600"/>
      <c r="Y161" s="600"/>
      <c r="Z161" s="600"/>
    </row>
    <row r="162" spans="1:26" ht="60.75" customHeight="1" x14ac:dyDescent="0.2">
      <c r="A162" s="248">
        <v>157</v>
      </c>
      <c r="B162" s="529">
        <v>44470</v>
      </c>
      <c r="C162" s="250" t="s">
        <v>99</v>
      </c>
      <c r="D162" s="250" t="s">
        <v>336</v>
      </c>
      <c r="E162" s="251">
        <v>496</v>
      </c>
      <c r="F162" s="452" t="s">
        <v>6631</v>
      </c>
      <c r="G162" s="250" t="s">
        <v>118</v>
      </c>
      <c r="H162" s="250" t="s">
        <v>530</v>
      </c>
      <c r="I162" s="480" t="s">
        <v>114</v>
      </c>
      <c r="J162" s="253" t="s">
        <v>466</v>
      </c>
      <c r="K162" s="253" t="s">
        <v>547</v>
      </c>
      <c r="L162" s="253"/>
      <c r="M162" s="254"/>
      <c r="N162" s="254">
        <v>44581</v>
      </c>
      <c r="O162" s="600"/>
      <c r="P162" s="600"/>
      <c r="Q162" s="599" t="str">
        <f t="shared" si="3"/>
        <v>Gastos_Gerais</v>
      </c>
      <c r="R162" s="247">
        <f>IF(B162="","",IF(YEAR(B162)='Diário 5º PA'!$Q$1,MONTH(B162)-'Diário 5º PA'!$P$1+1,(YEAR(B162)-'Diário 5º PA'!$Q$1)*12-'Diário 5º PA'!$P$1+1+MONTH(B162)))</f>
        <v>10</v>
      </c>
      <c r="S162" s="600"/>
      <c r="T162" s="600"/>
      <c r="U162" s="600"/>
      <c r="V162" s="600"/>
      <c r="W162" s="600"/>
      <c r="X162" s="600"/>
      <c r="Y162" s="600"/>
      <c r="Z162" s="600"/>
    </row>
    <row r="163" spans="1:26" ht="74.25" customHeight="1" x14ac:dyDescent="0.2">
      <c r="A163" s="248">
        <v>158</v>
      </c>
      <c r="B163" s="249">
        <v>44470</v>
      </c>
      <c r="C163" s="250" t="s">
        <v>104</v>
      </c>
      <c r="D163" s="250" t="s">
        <v>104</v>
      </c>
      <c r="E163" s="251">
        <f>1600-1567.84</f>
        <v>32.160000000000082</v>
      </c>
      <c r="F163" s="452" t="s">
        <v>7330</v>
      </c>
      <c r="G163" s="250" t="s">
        <v>104</v>
      </c>
      <c r="H163" s="252" t="s">
        <v>465</v>
      </c>
      <c r="I163" s="534" t="s">
        <v>114</v>
      </c>
      <c r="J163" s="534" t="s">
        <v>466</v>
      </c>
      <c r="K163" s="534" t="s">
        <v>467</v>
      </c>
      <c r="L163" s="534"/>
      <c r="M163" s="535"/>
      <c r="N163" s="535"/>
      <c r="O163" s="600"/>
      <c r="P163" s="600"/>
      <c r="Q163" s="599" t="str">
        <f t="shared" si="3"/>
        <v>Gastos_custeados_por_captação</v>
      </c>
      <c r="R163" s="247">
        <f>IF(B163="","",IF(YEAR(B163)='Diário 5º PA'!$Q$1,MONTH(B163)-'Diário 5º PA'!$P$1+1,(YEAR(B163)-'Diário 5º PA'!$Q$1)*12-'Diário 5º PA'!$P$1+1+MONTH(B163)))</f>
        <v>10</v>
      </c>
      <c r="S163" s="600"/>
      <c r="T163" s="600"/>
      <c r="U163" s="600"/>
      <c r="V163" s="600"/>
      <c r="W163" s="600"/>
      <c r="X163" s="600"/>
      <c r="Y163" s="600"/>
      <c r="Z163" s="600"/>
    </row>
    <row r="164" spans="1:26" ht="74.25" customHeight="1" x14ac:dyDescent="0.2">
      <c r="A164" s="248">
        <v>159</v>
      </c>
      <c r="B164" s="249">
        <v>44470</v>
      </c>
      <c r="C164" s="250" t="s">
        <v>99</v>
      </c>
      <c r="D164" s="250" t="s">
        <v>358</v>
      </c>
      <c r="E164" s="251">
        <v>17.399999999999999</v>
      </c>
      <c r="F164" s="452" t="s">
        <v>6881</v>
      </c>
      <c r="G164" s="250" t="s">
        <v>127</v>
      </c>
      <c r="H164" s="250" t="s">
        <v>488</v>
      </c>
      <c r="I164" s="253" t="s">
        <v>114</v>
      </c>
      <c r="J164" s="253" t="s">
        <v>466</v>
      </c>
      <c r="K164" s="253" t="s">
        <v>489</v>
      </c>
      <c r="L164" s="253"/>
      <c r="M164" s="254"/>
      <c r="N164" s="254">
        <v>44581</v>
      </c>
      <c r="O164" s="600"/>
      <c r="P164" s="600"/>
      <c r="Q164" s="599" t="str">
        <f t="shared" si="3"/>
        <v>Gastos_Gerais</v>
      </c>
      <c r="R164" s="247">
        <f>IF(B164="","",IF(YEAR(B164)='Diário 5º PA'!$Q$1,MONTH(B164)-'Diário 5º PA'!$P$1+1,(YEAR(B164)-'Diário 5º PA'!$Q$1)*12-'Diário 5º PA'!$P$1+1+MONTH(B164)))</f>
        <v>10</v>
      </c>
      <c r="S164" s="600"/>
      <c r="T164" s="600"/>
      <c r="U164" s="600"/>
      <c r="V164" s="600"/>
      <c r="W164" s="600"/>
      <c r="X164" s="600"/>
      <c r="Y164" s="600"/>
      <c r="Z164" s="600"/>
    </row>
    <row r="165" spans="1:26" ht="74.25" customHeight="1" x14ac:dyDescent="0.2">
      <c r="A165" s="248">
        <v>160</v>
      </c>
      <c r="B165" s="249">
        <v>44470</v>
      </c>
      <c r="C165" s="250" t="s">
        <v>99</v>
      </c>
      <c r="D165" s="250" t="s">
        <v>358</v>
      </c>
      <c r="E165" s="251">
        <v>744</v>
      </c>
      <c r="F165" s="452" t="s">
        <v>6882</v>
      </c>
      <c r="G165" s="250" t="s">
        <v>127</v>
      </c>
      <c r="H165" s="250" t="s">
        <v>530</v>
      </c>
      <c r="I165" s="253" t="s">
        <v>114</v>
      </c>
      <c r="J165" s="253" t="s">
        <v>466</v>
      </c>
      <c r="K165" s="253" t="s">
        <v>547</v>
      </c>
      <c r="L165" s="253"/>
      <c r="M165" s="254"/>
      <c r="N165" s="254">
        <v>44581</v>
      </c>
      <c r="O165" s="600"/>
      <c r="P165" s="600"/>
      <c r="Q165" s="599" t="str">
        <f t="shared" si="3"/>
        <v>Gastos_Gerais</v>
      </c>
      <c r="R165" s="247">
        <f>IF(B165="","",IF(YEAR(B165)='Diário 5º PA'!$Q$1,MONTH(B165)-'Diário 5º PA'!$P$1+1,(YEAR(B165)-'Diário 5º PA'!$Q$1)*12-'Diário 5º PA'!$P$1+1+MONTH(B165)))</f>
        <v>10</v>
      </c>
      <c r="S165" s="600"/>
      <c r="T165" s="600"/>
      <c r="U165" s="600"/>
      <c r="V165" s="600"/>
      <c r="W165" s="600"/>
      <c r="X165" s="600"/>
      <c r="Y165" s="600"/>
      <c r="Z165" s="600"/>
    </row>
    <row r="166" spans="1:26" ht="47.25" customHeight="1" x14ac:dyDescent="0.2">
      <c r="A166" s="248">
        <v>161</v>
      </c>
      <c r="B166" s="249">
        <v>44470</v>
      </c>
      <c r="C166" s="250" t="s">
        <v>99</v>
      </c>
      <c r="D166" s="250" t="s">
        <v>336</v>
      </c>
      <c r="E166" s="251">
        <v>69</v>
      </c>
      <c r="F166" s="452" t="s">
        <v>6679</v>
      </c>
      <c r="G166" s="250" t="s">
        <v>116</v>
      </c>
      <c r="H166" s="250" t="s">
        <v>465</v>
      </c>
      <c r="I166" s="253" t="s">
        <v>114</v>
      </c>
      <c r="J166" s="253" t="s">
        <v>466</v>
      </c>
      <c r="K166" s="253" t="s">
        <v>467</v>
      </c>
      <c r="L166" s="253"/>
      <c r="M166" s="254"/>
      <c r="N166" s="254">
        <v>44569</v>
      </c>
      <c r="O166" s="600"/>
      <c r="P166" s="600"/>
      <c r="Q166" s="599" t="str">
        <f t="shared" si="3"/>
        <v>Gastos_Gerais</v>
      </c>
      <c r="R166" s="247">
        <f>IF(B166="","",IF(YEAR(B166)='Diário 5º PA'!$Q$1,MONTH(B166)-'Diário 5º PA'!$P$1+1,(YEAR(B166)-'Diário 5º PA'!$Q$1)*12-'Diário 5º PA'!$P$1+1+MONTH(B166)))</f>
        <v>10</v>
      </c>
      <c r="S166" s="600"/>
      <c r="T166" s="600"/>
      <c r="U166" s="600"/>
      <c r="V166" s="600"/>
      <c r="W166" s="600"/>
      <c r="X166" s="600"/>
      <c r="Y166" s="600"/>
      <c r="Z166" s="600"/>
    </row>
    <row r="167" spans="1:26" ht="66.75" customHeight="1" x14ac:dyDescent="0.2">
      <c r="A167" s="248">
        <v>162</v>
      </c>
      <c r="B167" s="249">
        <v>44470</v>
      </c>
      <c r="C167" s="250" t="s">
        <v>99</v>
      </c>
      <c r="D167" s="250" t="s">
        <v>364</v>
      </c>
      <c r="E167" s="251">
        <v>3000</v>
      </c>
      <c r="F167" s="452" t="s">
        <v>5984</v>
      </c>
      <c r="G167" s="250" t="s">
        <v>122</v>
      </c>
      <c r="H167" s="250" t="s">
        <v>5985</v>
      </c>
      <c r="I167" s="253" t="s">
        <v>5986</v>
      </c>
      <c r="J167" s="253"/>
      <c r="K167" s="253"/>
      <c r="L167" s="253"/>
      <c r="M167" s="254"/>
      <c r="N167" s="254"/>
      <c r="O167" s="600"/>
      <c r="P167" s="600"/>
      <c r="Q167" s="599" t="str">
        <f t="shared" si="3"/>
        <v>Gastos_Gerais</v>
      </c>
      <c r="R167" s="247">
        <f>IF(B167="","",IF(YEAR(B167)='Diário 5º PA'!$Q$1,MONTH(B167)-'Diário 5º PA'!$P$1+1,(YEAR(B167)-'Diário 5º PA'!$Q$1)*12-'Diário 5º PA'!$P$1+1+MONTH(B167)))</f>
        <v>10</v>
      </c>
      <c r="S167" s="600"/>
      <c r="T167" s="600"/>
      <c r="U167" s="600"/>
      <c r="V167" s="600"/>
      <c r="W167" s="600"/>
      <c r="X167" s="600"/>
      <c r="Y167" s="600"/>
      <c r="Z167" s="600"/>
    </row>
    <row r="168" spans="1:26" ht="60.75" customHeight="1" x14ac:dyDescent="0.2">
      <c r="A168" s="248">
        <v>163</v>
      </c>
      <c r="B168" s="249">
        <v>44501</v>
      </c>
      <c r="C168" s="250" t="s">
        <v>99</v>
      </c>
      <c r="D168" s="250" t="s">
        <v>336</v>
      </c>
      <c r="E168" s="251">
        <v>321.75</v>
      </c>
      <c r="F168" s="452" t="s">
        <v>7123</v>
      </c>
      <c r="G168" s="250" t="s">
        <v>132</v>
      </c>
      <c r="H168" s="250" t="s">
        <v>465</v>
      </c>
      <c r="I168" s="253" t="s">
        <v>114</v>
      </c>
      <c r="J168" s="253" t="s">
        <v>466</v>
      </c>
      <c r="K168" s="253" t="s">
        <v>467</v>
      </c>
      <c r="L168" s="253"/>
      <c r="M168" s="254"/>
      <c r="N168" s="254"/>
      <c r="O168" s="600"/>
      <c r="P168" s="600"/>
      <c r="Q168" s="599" t="str">
        <f t="shared" si="3"/>
        <v>Gastos_Gerais</v>
      </c>
      <c r="R168" s="247">
        <f>IF(B168="","",IF(YEAR(B168)='Diário 5º PA'!$Q$1,MONTH(B168)-'Diário 5º PA'!$P$1+1,(YEAR(B168)-'Diário 5º PA'!$Q$1)*12-'Diário 5º PA'!$P$1+1+MONTH(B168)))</f>
        <v>11</v>
      </c>
      <c r="S168" s="600"/>
      <c r="T168" s="600"/>
      <c r="U168" s="600"/>
      <c r="V168" s="600"/>
      <c r="W168" s="600"/>
      <c r="X168" s="600"/>
      <c r="Y168" s="600"/>
      <c r="Z168" s="600"/>
    </row>
    <row r="169" spans="1:26" ht="54.95" customHeight="1" x14ac:dyDescent="0.2">
      <c r="A169" s="248">
        <v>164</v>
      </c>
      <c r="B169" s="249">
        <v>44501</v>
      </c>
      <c r="C169" s="250" t="s">
        <v>99</v>
      </c>
      <c r="D169" s="250" t="s">
        <v>364</v>
      </c>
      <c r="E169" s="251">
        <v>1080</v>
      </c>
      <c r="F169" s="452" t="s">
        <v>6187</v>
      </c>
      <c r="G169" s="250" t="s">
        <v>122</v>
      </c>
      <c r="H169" s="250" t="s">
        <v>6188</v>
      </c>
      <c r="I169" s="253" t="s">
        <v>612</v>
      </c>
      <c r="J169" s="253"/>
      <c r="K169" s="253"/>
      <c r="L169" s="253"/>
      <c r="M169" s="254"/>
      <c r="N169" s="254"/>
      <c r="O169" s="600"/>
      <c r="P169" s="600"/>
      <c r="Q169" s="599" t="str">
        <f t="shared" si="3"/>
        <v>Gastos_Gerais</v>
      </c>
      <c r="R169" s="247">
        <f>IF(B169="","",IF(YEAR(B169)='Diário 5º PA'!$Q$1,MONTH(B169)-'Diário 5º PA'!$P$1+1,(YEAR(B169)-'Diário 5º PA'!$Q$1)*12-'Diário 5º PA'!$P$1+1+MONTH(B169)))</f>
        <v>11</v>
      </c>
      <c r="S169" s="600"/>
      <c r="T169" s="600"/>
      <c r="U169" s="600"/>
      <c r="V169" s="600"/>
      <c r="W169" s="600"/>
      <c r="X169" s="600"/>
      <c r="Y169" s="600"/>
      <c r="Z169" s="600"/>
    </row>
    <row r="170" spans="1:26" ht="50.1" customHeight="1" x14ac:dyDescent="0.2">
      <c r="A170" s="248">
        <v>165</v>
      </c>
      <c r="B170" s="249">
        <v>44501</v>
      </c>
      <c r="C170" s="250" t="s">
        <v>99</v>
      </c>
      <c r="D170" s="250" t="s">
        <v>358</v>
      </c>
      <c r="E170" s="251">
        <v>1000</v>
      </c>
      <c r="F170" s="452" t="s">
        <v>6192</v>
      </c>
      <c r="G170" s="250" t="s">
        <v>128</v>
      </c>
      <c r="H170" s="250" t="s">
        <v>6193</v>
      </c>
      <c r="I170" s="253" t="s">
        <v>6194</v>
      </c>
      <c r="J170" s="253"/>
      <c r="K170" s="253"/>
      <c r="L170" s="253"/>
      <c r="M170" s="254"/>
      <c r="N170" s="254"/>
      <c r="O170" s="600"/>
      <c r="P170" s="600"/>
      <c r="Q170" s="599" t="str">
        <f t="shared" si="3"/>
        <v>Gastos_Gerais</v>
      </c>
      <c r="R170" s="247">
        <f>IF(B170="","",IF(YEAR(B170)='Diário 5º PA'!$Q$1,MONTH(B170)-'Diário 5º PA'!$P$1+1,(YEAR(B170)-'Diário 5º PA'!$Q$1)*12-'Diário 5º PA'!$P$1+1+MONTH(B170)))</f>
        <v>11</v>
      </c>
      <c r="S170" s="600"/>
      <c r="T170" s="600"/>
      <c r="U170" s="600"/>
      <c r="V170" s="600"/>
      <c r="W170" s="600"/>
      <c r="X170" s="600"/>
      <c r="Y170" s="600"/>
      <c r="Z170" s="600"/>
    </row>
    <row r="171" spans="1:26" ht="75" customHeight="1" x14ac:dyDescent="0.2">
      <c r="A171" s="248">
        <v>166</v>
      </c>
      <c r="B171" s="249">
        <v>44501</v>
      </c>
      <c r="C171" s="250" t="s">
        <v>99</v>
      </c>
      <c r="D171" s="250" t="s">
        <v>372</v>
      </c>
      <c r="E171" s="251">
        <v>12000</v>
      </c>
      <c r="F171" s="452" t="s">
        <v>6195</v>
      </c>
      <c r="G171" s="250" t="s">
        <v>129</v>
      </c>
      <c r="H171" s="250" t="s">
        <v>6196</v>
      </c>
      <c r="I171" s="253" t="s">
        <v>1729</v>
      </c>
      <c r="J171" s="253"/>
      <c r="K171" s="253"/>
      <c r="L171" s="253"/>
      <c r="M171" s="254"/>
      <c r="N171" s="254"/>
      <c r="O171" s="600"/>
      <c r="P171" s="600"/>
      <c r="Q171" s="599" t="str">
        <f t="shared" si="3"/>
        <v>Gastos_Gerais</v>
      </c>
      <c r="R171" s="247">
        <f>IF(B171="","",IF(YEAR(B171)='Diário 5º PA'!$Q$1,MONTH(B171)-'Diário 5º PA'!$P$1+1,(YEAR(B171)-'Diário 5º PA'!$Q$1)*12-'Diário 5º PA'!$P$1+1+MONTH(B171)))</f>
        <v>11</v>
      </c>
      <c r="S171" s="600"/>
      <c r="T171" s="600"/>
      <c r="U171" s="600"/>
      <c r="V171" s="600"/>
      <c r="W171" s="600"/>
      <c r="X171" s="600"/>
      <c r="Y171" s="600"/>
      <c r="Z171" s="600"/>
    </row>
    <row r="172" spans="1:26" ht="87.75" customHeight="1" x14ac:dyDescent="0.2">
      <c r="A172" s="248">
        <v>167</v>
      </c>
      <c r="B172" s="249">
        <v>44501</v>
      </c>
      <c r="C172" s="250" t="s">
        <v>99</v>
      </c>
      <c r="D172" s="250" t="s">
        <v>356</v>
      </c>
      <c r="E172" s="251">
        <v>2400</v>
      </c>
      <c r="F172" s="452" t="s">
        <v>6200</v>
      </c>
      <c r="G172" s="250" t="s">
        <v>116</v>
      </c>
      <c r="H172" s="250" t="s">
        <v>6201</v>
      </c>
      <c r="I172" s="253" t="s">
        <v>6202</v>
      </c>
      <c r="J172" s="253"/>
      <c r="K172" s="253"/>
      <c r="L172" s="253"/>
      <c r="M172" s="254"/>
      <c r="N172" s="254"/>
      <c r="O172" s="600"/>
      <c r="P172" s="600"/>
      <c r="Q172" s="599" t="str">
        <f t="shared" si="3"/>
        <v>Gastos_Gerais</v>
      </c>
      <c r="R172" s="247">
        <f>IF(B172="","",IF(YEAR(B172)='Diário 5º PA'!$Q$1,MONTH(B172)-'Diário 5º PA'!$P$1+1,(YEAR(B172)-'Diário 5º PA'!$Q$1)*12-'Diário 5º PA'!$P$1+1+MONTH(B172)))</f>
        <v>11</v>
      </c>
      <c r="S172" s="600"/>
      <c r="T172" s="600"/>
      <c r="U172" s="600"/>
      <c r="V172" s="600"/>
      <c r="W172" s="600"/>
      <c r="X172" s="600"/>
      <c r="Y172" s="600"/>
      <c r="Z172" s="600"/>
    </row>
    <row r="173" spans="1:26" ht="66.75" customHeight="1" x14ac:dyDescent="0.2">
      <c r="A173" s="248">
        <v>168</v>
      </c>
      <c r="B173" s="249">
        <v>44501</v>
      </c>
      <c r="C173" s="250" t="s">
        <v>99</v>
      </c>
      <c r="D173" s="250" t="s">
        <v>364</v>
      </c>
      <c r="E173" s="251">
        <v>120</v>
      </c>
      <c r="F173" s="452" t="s">
        <v>6538</v>
      </c>
      <c r="G173" s="250" t="s">
        <v>116</v>
      </c>
      <c r="H173" s="250" t="s">
        <v>465</v>
      </c>
      <c r="I173" s="253" t="s">
        <v>114</v>
      </c>
      <c r="J173" s="253" t="s">
        <v>466</v>
      </c>
      <c r="K173" s="253" t="s">
        <v>467</v>
      </c>
      <c r="L173" s="253"/>
      <c r="M173" s="254"/>
      <c r="N173" s="254">
        <v>44569</v>
      </c>
      <c r="O173" s="600"/>
      <c r="P173" s="600"/>
      <c r="Q173" s="599" t="str">
        <f t="shared" si="3"/>
        <v>Gastos_Gerais</v>
      </c>
      <c r="R173" s="247">
        <f>IF(B173="","",IF(YEAR(B173)='Diário 5º PA'!$Q$1,MONTH(B173)-'Diário 5º PA'!$P$1+1,(YEAR(B173)-'Diário 5º PA'!$Q$1)*12-'Diário 5º PA'!$P$1+1+MONTH(B173)))</f>
        <v>11</v>
      </c>
      <c r="S173" s="600"/>
      <c r="T173" s="600"/>
      <c r="U173" s="600"/>
      <c r="V173" s="600"/>
      <c r="W173" s="600"/>
      <c r="X173" s="600"/>
      <c r="Y173" s="600"/>
      <c r="Z173" s="600"/>
    </row>
    <row r="174" spans="1:26" ht="66.75" customHeight="1" x14ac:dyDescent="0.2">
      <c r="A174" s="248">
        <v>169</v>
      </c>
      <c r="B174" s="249">
        <v>44501</v>
      </c>
      <c r="C174" s="250" t="s">
        <v>99</v>
      </c>
      <c r="D174" s="250" t="s">
        <v>364</v>
      </c>
      <c r="E174" s="251">
        <v>17.399999999999999</v>
      </c>
      <c r="F174" s="452" t="s">
        <v>6539</v>
      </c>
      <c r="G174" s="250" t="s">
        <v>116</v>
      </c>
      <c r="H174" s="250" t="s">
        <v>488</v>
      </c>
      <c r="I174" s="253" t="s">
        <v>114</v>
      </c>
      <c r="J174" s="253" t="s">
        <v>466</v>
      </c>
      <c r="K174" s="253" t="s">
        <v>489</v>
      </c>
      <c r="L174" s="253"/>
      <c r="M174" s="254"/>
      <c r="N174" s="254">
        <v>44581</v>
      </c>
      <c r="O174" s="600"/>
      <c r="P174" s="600"/>
      <c r="Q174" s="599" t="str">
        <f t="shared" si="3"/>
        <v>Gastos_Gerais</v>
      </c>
      <c r="R174" s="247">
        <f>IF(B174="","",IF(YEAR(B174)='Diário 5º PA'!$Q$1,MONTH(B174)-'Diário 5º PA'!$P$1+1,(YEAR(B174)-'Diário 5º PA'!$Q$1)*12-'Diário 5º PA'!$P$1+1+MONTH(B174)))</f>
        <v>11</v>
      </c>
      <c r="S174" s="600"/>
      <c r="T174" s="600"/>
      <c r="U174" s="600"/>
      <c r="V174" s="600"/>
      <c r="W174" s="600"/>
      <c r="X174" s="600"/>
      <c r="Y174" s="600"/>
      <c r="Z174" s="600"/>
    </row>
    <row r="175" spans="1:26" ht="66.75" customHeight="1" x14ac:dyDescent="0.2">
      <c r="A175" s="248">
        <v>170</v>
      </c>
      <c r="B175" s="249">
        <v>44501</v>
      </c>
      <c r="C175" s="250" t="s">
        <v>99</v>
      </c>
      <c r="D175" s="250" t="s">
        <v>364</v>
      </c>
      <c r="E175" s="251">
        <v>744</v>
      </c>
      <c r="F175" s="452" t="s">
        <v>6540</v>
      </c>
      <c r="G175" s="250" t="s">
        <v>116</v>
      </c>
      <c r="H175" s="250" t="s">
        <v>530</v>
      </c>
      <c r="I175" s="253" t="s">
        <v>114</v>
      </c>
      <c r="J175" s="253" t="s">
        <v>466</v>
      </c>
      <c r="K175" s="253" t="s">
        <v>547</v>
      </c>
      <c r="L175" s="253"/>
      <c r="M175" s="254"/>
      <c r="N175" s="254">
        <v>44581</v>
      </c>
      <c r="O175" s="600"/>
      <c r="P175" s="600"/>
      <c r="Q175" s="599" t="str">
        <f t="shared" si="3"/>
        <v>Gastos_Gerais</v>
      </c>
      <c r="R175" s="247">
        <f>IF(B175="","",IF(YEAR(B175)='Diário 5º PA'!$Q$1,MONTH(B175)-'Diário 5º PA'!$P$1+1,(YEAR(B175)-'Diário 5º PA'!$Q$1)*12-'Diário 5º PA'!$P$1+1+MONTH(B175)))</f>
        <v>11</v>
      </c>
      <c r="S175" s="600"/>
      <c r="T175" s="600"/>
      <c r="U175" s="600"/>
      <c r="V175" s="600"/>
      <c r="W175" s="600"/>
      <c r="X175" s="600"/>
      <c r="Y175" s="600"/>
      <c r="Z175" s="600"/>
    </row>
    <row r="176" spans="1:26" ht="60.75" customHeight="1" x14ac:dyDescent="0.2">
      <c r="A176" s="248">
        <v>171</v>
      </c>
      <c r="B176" s="249">
        <v>44501</v>
      </c>
      <c r="C176" s="250" t="s">
        <v>99</v>
      </c>
      <c r="D176" s="250" t="s">
        <v>358</v>
      </c>
      <c r="E176" s="251">
        <v>15</v>
      </c>
      <c r="F176" s="452" t="s">
        <v>6712</v>
      </c>
      <c r="G176" s="250" t="s">
        <v>128</v>
      </c>
      <c r="H176" s="250" t="s">
        <v>465</v>
      </c>
      <c r="I176" s="253" t="s">
        <v>114</v>
      </c>
      <c r="J176" s="253" t="s">
        <v>466</v>
      </c>
      <c r="K176" s="253" t="s">
        <v>467</v>
      </c>
      <c r="L176" s="253"/>
      <c r="M176" s="254"/>
      <c r="N176" s="254">
        <v>44569</v>
      </c>
      <c r="O176" s="600"/>
      <c r="P176" s="600"/>
      <c r="Q176" s="599" t="str">
        <f t="shared" si="3"/>
        <v>Gastos_Gerais</v>
      </c>
      <c r="R176" s="247">
        <f>IF(B176="","",IF(YEAR(B176)='Diário 5º PA'!$Q$1,MONTH(B176)-'Diário 5º PA'!$P$1+1,(YEAR(B176)-'Diário 5º PA'!$Q$1)*12-'Diário 5º PA'!$P$1+1+MONTH(B176)))</f>
        <v>11</v>
      </c>
      <c r="S176" s="600"/>
      <c r="T176" s="600"/>
      <c r="U176" s="600"/>
      <c r="V176" s="600"/>
      <c r="W176" s="600"/>
      <c r="X176" s="600"/>
      <c r="Y176" s="600"/>
      <c r="Z176" s="600"/>
    </row>
    <row r="177" spans="1:26" ht="60.75" customHeight="1" x14ac:dyDescent="0.2">
      <c r="A177" s="248">
        <v>172</v>
      </c>
      <c r="B177" s="249">
        <v>44501</v>
      </c>
      <c r="C177" s="250" t="s">
        <v>99</v>
      </c>
      <c r="D177" s="250" t="s">
        <v>358</v>
      </c>
      <c r="E177" s="251">
        <v>155</v>
      </c>
      <c r="F177" s="452" t="s">
        <v>6713</v>
      </c>
      <c r="G177" s="250" t="s">
        <v>128</v>
      </c>
      <c r="H177" s="250" t="s">
        <v>530</v>
      </c>
      <c r="I177" s="253" t="s">
        <v>114</v>
      </c>
      <c r="J177" s="253" t="s">
        <v>466</v>
      </c>
      <c r="K177" s="253" t="s">
        <v>547</v>
      </c>
      <c r="L177" s="253"/>
      <c r="M177" s="254"/>
      <c r="N177" s="254">
        <v>44581</v>
      </c>
      <c r="O177" s="600"/>
      <c r="P177" s="600"/>
      <c r="Q177" s="599" t="str">
        <f t="shared" si="3"/>
        <v>Gastos_Gerais</v>
      </c>
      <c r="R177" s="247">
        <f>IF(B177="","",IF(YEAR(B177)='Diário 5º PA'!$Q$1,MONTH(B177)-'Diário 5º PA'!$P$1+1,(YEAR(B177)-'Diário 5º PA'!$Q$1)*12-'Diário 5º PA'!$P$1+1+MONTH(B177)))</f>
        <v>11</v>
      </c>
      <c r="S177" s="600"/>
      <c r="T177" s="600"/>
      <c r="U177" s="600"/>
      <c r="V177" s="600"/>
      <c r="W177" s="600"/>
      <c r="X177" s="600"/>
      <c r="Y177" s="600"/>
      <c r="Z177" s="600"/>
    </row>
    <row r="178" spans="1:26" ht="79.5" customHeight="1" x14ac:dyDescent="0.2">
      <c r="A178" s="248">
        <v>173</v>
      </c>
      <c r="B178" s="249">
        <v>44501</v>
      </c>
      <c r="C178" s="250" t="s">
        <v>99</v>
      </c>
      <c r="D178" s="250" t="s">
        <v>330</v>
      </c>
      <c r="E178" s="251">
        <v>5000</v>
      </c>
      <c r="F178" s="452" t="s">
        <v>6283</v>
      </c>
      <c r="G178" s="250" t="s">
        <v>116</v>
      </c>
      <c r="H178" s="250" t="s">
        <v>6284</v>
      </c>
      <c r="I178" s="253" t="s">
        <v>6285</v>
      </c>
      <c r="J178" s="253"/>
      <c r="K178" s="253"/>
      <c r="L178" s="253"/>
      <c r="M178" s="254"/>
      <c r="N178" s="254"/>
      <c r="O178" s="600"/>
      <c r="P178" s="600"/>
      <c r="Q178" s="599" t="str">
        <f t="shared" si="3"/>
        <v>Gastos_Gerais</v>
      </c>
      <c r="R178" s="247">
        <f>IF(B178="","",IF(YEAR(B178)='Diário 5º PA'!$Q$1,MONTH(B178)-'Diário 5º PA'!$P$1+1,(YEAR(B178)-'Diário 5º PA'!$Q$1)*12-'Diário 5º PA'!$P$1+1+MONTH(B178)))</f>
        <v>11</v>
      </c>
      <c r="S178" s="600"/>
      <c r="T178" s="600"/>
      <c r="U178" s="600"/>
      <c r="V178" s="600"/>
      <c r="W178" s="600"/>
      <c r="X178" s="600"/>
      <c r="Y178" s="600"/>
      <c r="Z178" s="600"/>
    </row>
    <row r="179" spans="1:26" ht="79.5" customHeight="1" x14ac:dyDescent="0.2">
      <c r="A179" s="248">
        <v>174</v>
      </c>
      <c r="B179" s="249">
        <v>44501</v>
      </c>
      <c r="C179" s="250" t="s">
        <v>99</v>
      </c>
      <c r="D179" s="250" t="s">
        <v>330</v>
      </c>
      <c r="E179" s="251">
        <v>600</v>
      </c>
      <c r="F179" s="452" t="s">
        <v>6286</v>
      </c>
      <c r="G179" s="250" t="s">
        <v>118</v>
      </c>
      <c r="H179" s="250" t="s">
        <v>6287</v>
      </c>
      <c r="I179" s="253" t="s">
        <v>906</v>
      </c>
      <c r="J179" s="253"/>
      <c r="K179" s="253"/>
      <c r="L179" s="253"/>
      <c r="M179" s="254"/>
      <c r="N179" s="254"/>
      <c r="O179" s="600"/>
      <c r="P179" s="600"/>
      <c r="Q179" s="599" t="str">
        <f t="shared" si="3"/>
        <v>Gastos_Gerais</v>
      </c>
      <c r="R179" s="247">
        <f>IF(B179="","",IF(YEAR(B179)='Diário 5º PA'!$Q$1,MONTH(B179)-'Diário 5º PA'!$P$1+1,(YEAR(B179)-'Diário 5º PA'!$Q$1)*12-'Diário 5º PA'!$P$1+1+MONTH(B179)))</f>
        <v>11</v>
      </c>
      <c r="S179" s="600"/>
      <c r="T179" s="600"/>
      <c r="U179" s="600"/>
      <c r="V179" s="600"/>
      <c r="W179" s="600"/>
      <c r="X179" s="600"/>
      <c r="Y179" s="600"/>
      <c r="Z179" s="600"/>
    </row>
    <row r="180" spans="1:26" ht="79.5" customHeight="1" x14ac:dyDescent="0.2">
      <c r="A180" s="248">
        <v>175</v>
      </c>
      <c r="B180" s="249">
        <v>44501</v>
      </c>
      <c r="C180" s="250" t="s">
        <v>99</v>
      </c>
      <c r="D180" s="250" t="s">
        <v>368</v>
      </c>
      <c r="E180" s="251">
        <v>10022.76</v>
      </c>
      <c r="F180" s="452" t="s">
        <v>6288</v>
      </c>
      <c r="G180" s="250" t="s">
        <v>129</v>
      </c>
      <c r="H180" s="250" t="s">
        <v>6289</v>
      </c>
      <c r="I180" s="253" t="s">
        <v>6290</v>
      </c>
      <c r="J180" s="253"/>
      <c r="K180" s="253"/>
      <c r="L180" s="253"/>
      <c r="M180" s="254"/>
      <c r="N180" s="254"/>
      <c r="O180" s="600"/>
      <c r="P180" s="600"/>
      <c r="Q180" s="599" t="str">
        <f t="shared" si="3"/>
        <v>Gastos_Gerais</v>
      </c>
      <c r="R180" s="247">
        <f>IF(B180="","",IF(YEAR(B180)='Diário 5º PA'!$Q$1,MONTH(B180)-'Diário 5º PA'!$P$1+1,(YEAR(B180)-'Diário 5º PA'!$Q$1)*12-'Diário 5º PA'!$P$1+1+MONTH(B180)))</f>
        <v>11</v>
      </c>
      <c r="S180" s="600"/>
      <c r="T180" s="600"/>
      <c r="U180" s="600"/>
      <c r="V180" s="600"/>
      <c r="W180" s="600"/>
      <c r="X180" s="600"/>
      <c r="Y180" s="600"/>
      <c r="Z180" s="600"/>
    </row>
    <row r="181" spans="1:26" ht="55.5" customHeight="1" x14ac:dyDescent="0.2">
      <c r="A181" s="248">
        <v>176</v>
      </c>
      <c r="B181" s="249">
        <v>44501</v>
      </c>
      <c r="C181" s="250" t="s">
        <v>99</v>
      </c>
      <c r="D181" s="250" t="s">
        <v>364</v>
      </c>
      <c r="E181" s="251">
        <v>61.82</v>
      </c>
      <c r="F181" s="452" t="s">
        <v>6750</v>
      </c>
      <c r="G181" s="250" t="s">
        <v>122</v>
      </c>
      <c r="H181" s="250" t="s">
        <v>465</v>
      </c>
      <c r="I181" s="253" t="s">
        <v>114</v>
      </c>
      <c r="J181" s="253" t="s">
        <v>466</v>
      </c>
      <c r="K181" s="253" t="s">
        <v>467</v>
      </c>
      <c r="L181" s="253"/>
      <c r="M181" s="254"/>
      <c r="N181" s="254">
        <v>44569</v>
      </c>
      <c r="O181" s="600"/>
      <c r="P181" s="600"/>
      <c r="Q181" s="599" t="str">
        <f t="shared" si="3"/>
        <v>Gastos_Gerais</v>
      </c>
      <c r="R181" s="247">
        <f>IF(B181="","",IF(YEAR(B181)='Diário 5º PA'!$Q$1,MONTH(B181)-'Diário 5º PA'!$P$1+1,(YEAR(B181)-'Diário 5º PA'!$Q$1)*12-'Diário 5º PA'!$P$1+1+MONTH(B181)))</f>
        <v>11</v>
      </c>
      <c r="S181" s="600"/>
      <c r="T181" s="600"/>
      <c r="U181" s="600"/>
      <c r="V181" s="600"/>
      <c r="W181" s="600"/>
      <c r="X181" s="600"/>
      <c r="Y181" s="600"/>
      <c r="Z181" s="600"/>
    </row>
    <row r="182" spans="1:26" ht="55.5" customHeight="1" x14ac:dyDescent="0.2">
      <c r="A182" s="248">
        <v>177</v>
      </c>
      <c r="B182" s="249">
        <v>44501</v>
      </c>
      <c r="C182" s="250" t="s">
        <v>99</v>
      </c>
      <c r="D182" s="250" t="s">
        <v>364</v>
      </c>
      <c r="E182" s="251">
        <v>383.29</v>
      </c>
      <c r="F182" s="452" t="s">
        <v>6751</v>
      </c>
      <c r="G182" s="250" t="s">
        <v>122</v>
      </c>
      <c r="H182" s="250" t="s">
        <v>530</v>
      </c>
      <c r="I182" s="253" t="s">
        <v>114</v>
      </c>
      <c r="J182" s="253" t="s">
        <v>466</v>
      </c>
      <c r="K182" s="253" t="s">
        <v>547</v>
      </c>
      <c r="L182" s="253"/>
      <c r="M182" s="254"/>
      <c r="N182" s="254">
        <v>44581</v>
      </c>
      <c r="O182" s="600"/>
      <c r="P182" s="600"/>
      <c r="Q182" s="599" t="str">
        <f t="shared" si="3"/>
        <v>Gastos_Gerais</v>
      </c>
      <c r="R182" s="247">
        <f>IF(B182="","",IF(YEAR(B182)='Diário 5º PA'!$Q$1,MONTH(B182)-'Diário 5º PA'!$P$1+1,(YEAR(B182)-'Diário 5º PA'!$Q$1)*12-'Diário 5º PA'!$P$1+1+MONTH(B182)))</f>
        <v>11</v>
      </c>
      <c r="S182" s="600"/>
      <c r="T182" s="600"/>
      <c r="U182" s="600"/>
      <c r="V182" s="600"/>
      <c r="W182" s="600"/>
      <c r="X182" s="600"/>
      <c r="Y182" s="600"/>
      <c r="Z182" s="600"/>
    </row>
    <row r="183" spans="1:26" ht="135.75" customHeight="1" x14ac:dyDescent="0.2">
      <c r="A183" s="248">
        <v>178</v>
      </c>
      <c r="B183" s="249">
        <v>44501</v>
      </c>
      <c r="C183" s="250" t="s">
        <v>99</v>
      </c>
      <c r="D183" s="250" t="s">
        <v>364</v>
      </c>
      <c r="E183" s="251">
        <v>5400</v>
      </c>
      <c r="F183" s="452" t="s">
        <v>6343</v>
      </c>
      <c r="G183" s="250" t="s">
        <v>122</v>
      </c>
      <c r="H183" s="250" t="s">
        <v>6344</v>
      </c>
      <c r="I183" s="253" t="s">
        <v>5730</v>
      </c>
      <c r="J183" s="253"/>
      <c r="K183" s="253"/>
      <c r="L183" s="253"/>
      <c r="M183" s="254"/>
      <c r="N183" s="254"/>
      <c r="O183" s="600"/>
      <c r="P183" s="600"/>
      <c r="Q183" s="599" t="str">
        <f t="shared" si="3"/>
        <v>Gastos_Gerais</v>
      </c>
      <c r="R183" s="247">
        <f>IF(B183="","",IF(YEAR(B183)='Diário 5º PA'!$Q$1,MONTH(B183)-'Diário 5º PA'!$P$1+1,(YEAR(B183)-'Diário 5º PA'!$Q$1)*12-'Diário 5º PA'!$P$1+1+MONTH(B183)))</f>
        <v>11</v>
      </c>
      <c r="S183" s="600"/>
      <c r="T183" s="600"/>
      <c r="U183" s="600"/>
      <c r="V183" s="600"/>
      <c r="W183" s="600"/>
      <c r="X183" s="600"/>
      <c r="Y183" s="600"/>
      <c r="Z183" s="600"/>
    </row>
    <row r="184" spans="1:26" ht="74.25" customHeight="1" x14ac:dyDescent="0.2">
      <c r="A184" s="248">
        <v>179</v>
      </c>
      <c r="B184" s="249">
        <v>44501</v>
      </c>
      <c r="C184" s="250" t="s">
        <v>99</v>
      </c>
      <c r="D184" s="250" t="s">
        <v>364</v>
      </c>
      <c r="E184" s="251">
        <v>1000</v>
      </c>
      <c r="F184" s="452" t="s">
        <v>6346</v>
      </c>
      <c r="G184" s="250" t="s">
        <v>131</v>
      </c>
      <c r="H184" s="250" t="s">
        <v>6347</v>
      </c>
      <c r="I184" s="253" t="s">
        <v>3018</v>
      </c>
      <c r="J184" s="253"/>
      <c r="K184" s="253"/>
      <c r="L184" s="253"/>
      <c r="M184" s="254"/>
      <c r="N184" s="254"/>
      <c r="O184" s="600"/>
      <c r="P184" s="600"/>
      <c r="Q184" s="599" t="str">
        <f t="shared" si="3"/>
        <v>Gastos_Gerais</v>
      </c>
      <c r="R184" s="247">
        <f>IF(B184="","",IF(YEAR(B184)='Diário 5º PA'!$Q$1,MONTH(B184)-'Diário 5º PA'!$P$1+1,(YEAR(B184)-'Diário 5º PA'!$Q$1)*12-'Diário 5º PA'!$P$1+1+MONTH(B184)))</f>
        <v>11</v>
      </c>
      <c r="S184" s="600"/>
      <c r="T184" s="600"/>
      <c r="U184" s="600"/>
      <c r="V184" s="600"/>
      <c r="W184" s="600"/>
      <c r="X184" s="600"/>
      <c r="Y184" s="600"/>
      <c r="Z184" s="600"/>
    </row>
    <row r="185" spans="1:26" ht="49.5" customHeight="1" x14ac:dyDescent="0.2">
      <c r="A185" s="248">
        <v>180</v>
      </c>
      <c r="B185" s="249">
        <v>44501</v>
      </c>
      <c r="C185" s="250" t="s">
        <v>99</v>
      </c>
      <c r="D185" s="250" t="s">
        <v>364</v>
      </c>
      <c r="E185" s="251">
        <v>12</v>
      </c>
      <c r="F185" s="452" t="s">
        <v>6534</v>
      </c>
      <c r="G185" s="250" t="s">
        <v>116</v>
      </c>
      <c r="H185" s="250" t="s">
        <v>465</v>
      </c>
      <c r="I185" s="253" t="s">
        <v>114</v>
      </c>
      <c r="J185" s="253" t="s">
        <v>466</v>
      </c>
      <c r="K185" s="253"/>
      <c r="L185" s="253"/>
      <c r="M185" s="254"/>
      <c r="N185" s="254">
        <v>44569</v>
      </c>
      <c r="O185" s="600"/>
      <c r="P185" s="600"/>
      <c r="Q185" s="599" t="str">
        <f t="shared" si="3"/>
        <v>Gastos_Gerais</v>
      </c>
      <c r="R185" s="247">
        <f>IF(B185="","",IF(YEAR(B185)='Diário 5º PA'!$Q$1,MONTH(B185)-'Diário 5º PA'!$P$1+1,(YEAR(B185)-'Diário 5º PA'!$Q$1)*12-'Diário 5º PA'!$P$1+1+MONTH(B185)))</f>
        <v>11</v>
      </c>
      <c r="S185" s="600"/>
      <c r="T185" s="600"/>
      <c r="U185" s="600"/>
      <c r="V185" s="600"/>
      <c r="W185" s="600"/>
      <c r="X185" s="600"/>
      <c r="Y185" s="600"/>
      <c r="Z185" s="600"/>
    </row>
    <row r="186" spans="1:26" ht="52.5" customHeight="1" x14ac:dyDescent="0.2">
      <c r="A186" s="248">
        <v>181</v>
      </c>
      <c r="B186" s="249">
        <v>44501</v>
      </c>
      <c r="C186" s="250" t="s">
        <v>99</v>
      </c>
      <c r="D186" s="250" t="s">
        <v>378</v>
      </c>
      <c r="E186" s="251">
        <v>16.079999999999998</v>
      </c>
      <c r="F186" s="452" t="s">
        <v>6710</v>
      </c>
      <c r="G186" s="250" t="s">
        <v>122</v>
      </c>
      <c r="H186" s="250" t="s">
        <v>465</v>
      </c>
      <c r="I186" s="253" t="s">
        <v>114</v>
      </c>
      <c r="J186" s="253" t="s">
        <v>466</v>
      </c>
      <c r="K186" s="253" t="s">
        <v>467</v>
      </c>
      <c r="L186" s="253"/>
      <c r="M186" s="254"/>
      <c r="N186" s="254">
        <v>44569</v>
      </c>
      <c r="O186" s="600"/>
      <c r="P186" s="600"/>
      <c r="Q186" s="599" t="str">
        <f t="shared" si="3"/>
        <v>Gastos_Gerais</v>
      </c>
      <c r="R186" s="247">
        <f>IF(B186="","",IF(YEAR(B186)='Diário 5º PA'!$Q$1,MONTH(B186)-'Diário 5º PA'!$P$1+1,(YEAR(B186)-'Diário 5º PA'!$Q$1)*12-'Diário 5º PA'!$P$1+1+MONTH(B186)))</f>
        <v>11</v>
      </c>
      <c r="S186" s="600"/>
      <c r="T186" s="600"/>
      <c r="U186" s="600"/>
      <c r="V186" s="600"/>
      <c r="W186" s="600"/>
      <c r="X186" s="600"/>
      <c r="Y186" s="600"/>
      <c r="Z186" s="600"/>
    </row>
    <row r="187" spans="1:26" ht="74.25" customHeight="1" x14ac:dyDescent="0.2">
      <c r="A187" s="248">
        <v>182</v>
      </c>
      <c r="B187" s="249">
        <v>44501</v>
      </c>
      <c r="C187" s="250" t="s">
        <v>99</v>
      </c>
      <c r="D187" s="250" t="s">
        <v>364</v>
      </c>
      <c r="E187" s="251">
        <v>1500</v>
      </c>
      <c r="F187" s="452" t="s">
        <v>6358</v>
      </c>
      <c r="G187" s="250" t="s">
        <v>127</v>
      </c>
      <c r="H187" s="250" t="s">
        <v>6359</v>
      </c>
      <c r="I187" s="253" t="s">
        <v>6360</v>
      </c>
      <c r="J187" s="253"/>
      <c r="K187" s="253"/>
      <c r="L187" s="253"/>
      <c r="M187" s="254"/>
      <c r="N187" s="254"/>
      <c r="O187" s="600"/>
      <c r="P187" s="600"/>
      <c r="Q187" s="599" t="str">
        <f t="shared" si="3"/>
        <v>Gastos_Gerais</v>
      </c>
      <c r="R187" s="247">
        <f>IF(B187="","",IF(YEAR(B187)='Diário 5º PA'!$Q$1,MONTH(B187)-'Diário 5º PA'!$P$1+1,(YEAR(B187)-'Diário 5º PA'!$Q$1)*12-'Diário 5º PA'!$P$1+1+MONTH(B187)))</f>
        <v>11</v>
      </c>
      <c r="S187" s="600"/>
      <c r="T187" s="600"/>
      <c r="U187" s="600"/>
      <c r="V187" s="600"/>
      <c r="W187" s="600"/>
      <c r="X187" s="600"/>
      <c r="Y187" s="600"/>
      <c r="Z187" s="600"/>
    </row>
    <row r="188" spans="1:26" ht="74.25" customHeight="1" x14ac:dyDescent="0.2">
      <c r="A188" s="248">
        <v>183</v>
      </c>
      <c r="B188" s="249">
        <v>44501</v>
      </c>
      <c r="C188" s="250" t="s">
        <v>99</v>
      </c>
      <c r="D188" s="250" t="s">
        <v>382</v>
      </c>
      <c r="E188" s="251">
        <v>250</v>
      </c>
      <c r="F188" s="452" t="s">
        <v>6362</v>
      </c>
      <c r="G188" s="250" t="s">
        <v>132</v>
      </c>
      <c r="H188" s="250" t="s">
        <v>6363</v>
      </c>
      <c r="I188" s="253" t="s">
        <v>444</v>
      </c>
      <c r="J188" s="253"/>
      <c r="K188" s="253"/>
      <c r="L188" s="253"/>
      <c r="M188" s="254"/>
      <c r="N188" s="254"/>
      <c r="O188" s="600"/>
      <c r="P188" s="600"/>
      <c r="Q188" s="599" t="str">
        <f t="shared" si="3"/>
        <v>Gastos_Gerais</v>
      </c>
      <c r="R188" s="247">
        <f>IF(B188="","",IF(YEAR(B188)='Diário 5º PA'!$Q$1,MONTH(B188)-'Diário 5º PA'!$P$1+1,(YEAR(B188)-'Diário 5º PA'!$Q$1)*12-'Diário 5º PA'!$P$1+1+MONTH(B188)))</f>
        <v>11</v>
      </c>
      <c r="S188" s="600"/>
      <c r="T188" s="600"/>
      <c r="U188" s="600"/>
      <c r="V188" s="600"/>
      <c r="W188" s="600"/>
      <c r="X188" s="600"/>
      <c r="Y188" s="600"/>
      <c r="Z188" s="600"/>
    </row>
    <row r="189" spans="1:26" ht="74.25" customHeight="1" x14ac:dyDescent="0.2">
      <c r="A189" s="248">
        <v>184</v>
      </c>
      <c r="B189" s="249">
        <v>44501</v>
      </c>
      <c r="C189" s="250" t="s">
        <v>99</v>
      </c>
      <c r="D189" s="250" t="s">
        <v>358</v>
      </c>
      <c r="E189" s="251">
        <v>1080</v>
      </c>
      <c r="F189" s="452" t="s">
        <v>6365</v>
      </c>
      <c r="G189" s="250" t="s">
        <v>126</v>
      </c>
      <c r="H189" s="250" t="s">
        <v>6366</v>
      </c>
      <c r="I189" s="253" t="s">
        <v>6367</v>
      </c>
      <c r="J189" s="253"/>
      <c r="K189" s="253"/>
      <c r="L189" s="253"/>
      <c r="M189" s="254"/>
      <c r="N189" s="254"/>
      <c r="O189" s="600"/>
      <c r="P189" s="600"/>
      <c r="Q189" s="599" t="str">
        <f t="shared" si="3"/>
        <v>Gastos_Gerais</v>
      </c>
      <c r="R189" s="247">
        <f>IF(B189="","",IF(YEAR(B189)='Diário 5º PA'!$Q$1,MONTH(B189)-'Diário 5º PA'!$P$1+1,(YEAR(B189)-'Diário 5º PA'!$Q$1)*12-'Diário 5º PA'!$P$1+1+MONTH(B189)))</f>
        <v>11</v>
      </c>
      <c r="S189" s="600"/>
      <c r="T189" s="600"/>
      <c r="U189" s="600"/>
      <c r="V189" s="600"/>
      <c r="W189" s="600"/>
      <c r="X189" s="600"/>
      <c r="Y189" s="600"/>
      <c r="Z189" s="600"/>
    </row>
    <row r="190" spans="1:26" ht="74.25" customHeight="1" x14ac:dyDescent="0.2">
      <c r="A190" s="248">
        <v>185</v>
      </c>
      <c r="B190" s="249">
        <v>44501</v>
      </c>
      <c r="C190" s="250" t="s">
        <v>99</v>
      </c>
      <c r="D190" s="250" t="s">
        <v>358</v>
      </c>
      <c r="E190" s="251">
        <v>3168</v>
      </c>
      <c r="F190" s="452" t="s">
        <v>6401</v>
      </c>
      <c r="G190" s="250" t="s">
        <v>118</v>
      </c>
      <c r="H190" s="250" t="s">
        <v>6402</v>
      </c>
      <c r="I190" s="253" t="s">
        <v>6403</v>
      </c>
      <c r="J190" s="253"/>
      <c r="K190" s="253"/>
      <c r="L190" s="253"/>
      <c r="M190" s="254"/>
      <c r="N190" s="254"/>
      <c r="O190" s="600"/>
      <c r="P190" s="600"/>
      <c r="Q190" s="599" t="str">
        <f t="shared" si="3"/>
        <v>Gastos_Gerais</v>
      </c>
      <c r="R190" s="247">
        <f>IF(B190="","",IF(YEAR(B190)='Diário 5º PA'!$Q$1,MONTH(B190)-'Diário 5º PA'!$P$1+1,(YEAR(B190)-'Diário 5º PA'!$Q$1)*12-'Diário 5º PA'!$P$1+1+MONTH(B190)))</f>
        <v>11</v>
      </c>
      <c r="S190" s="600"/>
      <c r="T190" s="600"/>
      <c r="U190" s="600"/>
      <c r="V190" s="600"/>
      <c r="W190" s="600"/>
      <c r="X190" s="600"/>
      <c r="Y190" s="600"/>
      <c r="Z190" s="600"/>
    </row>
    <row r="191" spans="1:26" ht="74.25" customHeight="1" x14ac:dyDescent="0.2">
      <c r="A191" s="248">
        <v>186</v>
      </c>
      <c r="B191" s="249">
        <v>44501</v>
      </c>
      <c r="C191" s="250" t="s">
        <v>99</v>
      </c>
      <c r="D191" s="250" t="s">
        <v>364</v>
      </c>
      <c r="E191" s="251">
        <v>2500</v>
      </c>
      <c r="F191" s="452" t="s">
        <v>6429</v>
      </c>
      <c r="G191" s="250" t="s">
        <v>127</v>
      </c>
      <c r="H191" s="250" t="s">
        <v>6430</v>
      </c>
      <c r="I191" s="253" t="s">
        <v>755</v>
      </c>
      <c r="J191" s="253"/>
      <c r="K191" s="253"/>
      <c r="L191" s="253"/>
      <c r="M191" s="254"/>
      <c r="N191" s="254"/>
      <c r="O191" s="600"/>
      <c r="P191" s="600"/>
      <c r="Q191" s="599" t="str">
        <f t="shared" si="3"/>
        <v>Gastos_Gerais</v>
      </c>
      <c r="R191" s="247">
        <f>IF(B191="","",IF(YEAR(B191)='Diário 5º PA'!$Q$1,MONTH(B191)-'Diário 5º PA'!$P$1+1,(YEAR(B191)-'Diário 5º PA'!$Q$1)*12-'Diário 5º PA'!$P$1+1+MONTH(B191)))</f>
        <v>11</v>
      </c>
      <c r="S191" s="600"/>
      <c r="T191" s="600"/>
      <c r="U191" s="600"/>
      <c r="V191" s="600"/>
      <c r="W191" s="600"/>
      <c r="X191" s="600"/>
      <c r="Y191" s="600"/>
      <c r="Z191" s="600"/>
    </row>
    <row r="192" spans="1:26" ht="108.75" customHeight="1" x14ac:dyDescent="0.2">
      <c r="A192" s="248">
        <v>187</v>
      </c>
      <c r="B192" s="249">
        <v>44501</v>
      </c>
      <c r="C192" s="250" t="s">
        <v>99</v>
      </c>
      <c r="D192" s="250" t="s">
        <v>364</v>
      </c>
      <c r="E192" s="251">
        <v>196.54</v>
      </c>
      <c r="F192" s="452" t="s">
        <v>6433</v>
      </c>
      <c r="G192" s="250" t="s">
        <v>130</v>
      </c>
      <c r="H192" s="250" t="s">
        <v>6434</v>
      </c>
      <c r="I192" s="253" t="s">
        <v>5958</v>
      </c>
      <c r="J192" s="253"/>
      <c r="K192" s="253"/>
      <c r="L192" s="253"/>
      <c r="M192" s="254"/>
      <c r="N192" s="254"/>
      <c r="O192" s="600"/>
      <c r="P192" s="600"/>
      <c r="Q192" s="599" t="str">
        <f t="shared" si="3"/>
        <v>Gastos_Gerais</v>
      </c>
      <c r="R192" s="247">
        <f>IF(B192="","",IF(YEAR(B192)='Diário 5º PA'!$Q$1,MONTH(B192)-'Diário 5º PA'!$P$1+1,(YEAR(B192)-'Diário 5º PA'!$Q$1)*12-'Diário 5º PA'!$P$1+1+MONTH(B192)))</f>
        <v>11</v>
      </c>
      <c r="S192" s="600"/>
      <c r="T192" s="600"/>
      <c r="U192" s="600"/>
      <c r="V192" s="600"/>
      <c r="W192" s="600"/>
      <c r="X192" s="600"/>
      <c r="Y192" s="600"/>
      <c r="Z192" s="600"/>
    </row>
    <row r="193" spans="1:26" ht="48.75" customHeight="1" x14ac:dyDescent="0.2">
      <c r="A193" s="248">
        <v>188</v>
      </c>
      <c r="B193" s="249">
        <v>44501</v>
      </c>
      <c r="C193" s="250" t="s">
        <v>99</v>
      </c>
      <c r="D193" s="250" t="s">
        <v>364</v>
      </c>
      <c r="E193" s="251">
        <v>295</v>
      </c>
      <c r="F193" s="452" t="s">
        <v>6634</v>
      </c>
      <c r="G193" s="250" t="s">
        <v>116</v>
      </c>
      <c r="H193" s="250" t="s">
        <v>465</v>
      </c>
      <c r="I193" s="253" t="s">
        <v>114</v>
      </c>
      <c r="J193" s="253" t="s">
        <v>466</v>
      </c>
      <c r="K193" s="253" t="s">
        <v>467</v>
      </c>
      <c r="L193" s="253"/>
      <c r="M193" s="254"/>
      <c r="N193" s="254">
        <v>44569</v>
      </c>
      <c r="O193" s="600"/>
      <c r="P193" s="600"/>
      <c r="Q193" s="599" t="str">
        <f t="shared" si="3"/>
        <v>Gastos_Gerais</v>
      </c>
      <c r="R193" s="247">
        <f>IF(B193="","",IF(YEAR(B193)='Diário 5º PA'!$Q$1,MONTH(B193)-'Diário 5º PA'!$P$1+1,(YEAR(B193)-'Diário 5º PA'!$Q$1)*12-'Diário 5º PA'!$P$1+1+MONTH(B193)))</f>
        <v>11</v>
      </c>
      <c r="S193" s="600"/>
      <c r="T193" s="600"/>
      <c r="U193" s="600"/>
      <c r="V193" s="600"/>
      <c r="W193" s="600"/>
      <c r="X193" s="600"/>
      <c r="Y193" s="600"/>
      <c r="Z193" s="600"/>
    </row>
    <row r="194" spans="1:26" ht="78" customHeight="1" x14ac:dyDescent="0.2">
      <c r="A194" s="248">
        <v>189</v>
      </c>
      <c r="B194" s="249">
        <v>44501</v>
      </c>
      <c r="C194" s="250" t="s">
        <v>99</v>
      </c>
      <c r="D194" s="250" t="s">
        <v>360</v>
      </c>
      <c r="E194" s="251">
        <v>1000</v>
      </c>
      <c r="F194" s="452" t="s">
        <v>6440</v>
      </c>
      <c r="G194" s="250" t="s">
        <v>131</v>
      </c>
      <c r="H194" s="250" t="s">
        <v>6441</v>
      </c>
      <c r="I194" s="253" t="s">
        <v>3018</v>
      </c>
      <c r="J194" s="253"/>
      <c r="K194" s="253"/>
      <c r="L194" s="253"/>
      <c r="M194" s="254"/>
      <c r="N194" s="254"/>
      <c r="O194" s="600"/>
      <c r="P194" s="600"/>
      <c r="Q194" s="599" t="str">
        <f t="shared" si="3"/>
        <v>Gastos_Gerais</v>
      </c>
      <c r="R194" s="247">
        <f>IF(B194="","",IF(YEAR(B194)='Diário 5º PA'!$Q$1,MONTH(B194)-'Diário 5º PA'!$P$1+1,(YEAR(B194)-'Diário 5º PA'!$Q$1)*12-'Diário 5º PA'!$P$1+1+MONTH(B194)))</f>
        <v>11</v>
      </c>
      <c r="S194" s="600"/>
      <c r="T194" s="600"/>
      <c r="U194" s="600"/>
      <c r="V194" s="600"/>
      <c r="W194" s="600"/>
      <c r="X194" s="600"/>
      <c r="Y194" s="600"/>
      <c r="Z194" s="600"/>
    </row>
    <row r="195" spans="1:26" ht="61.5" customHeight="1" x14ac:dyDescent="0.2">
      <c r="A195" s="248">
        <v>190</v>
      </c>
      <c r="B195" s="249">
        <v>44501</v>
      </c>
      <c r="C195" s="250" t="s">
        <v>99</v>
      </c>
      <c r="D195" s="250" t="s">
        <v>364</v>
      </c>
      <c r="E195" s="251">
        <v>2100</v>
      </c>
      <c r="F195" s="452" t="s">
        <v>6511</v>
      </c>
      <c r="G195" s="250" t="s">
        <v>127</v>
      </c>
      <c r="H195" s="250" t="s">
        <v>6512</v>
      </c>
      <c r="I195" s="253" t="s">
        <v>6513</v>
      </c>
      <c r="J195" s="253"/>
      <c r="K195" s="253"/>
      <c r="L195" s="253"/>
      <c r="M195" s="254"/>
      <c r="N195" s="254"/>
      <c r="O195" s="600"/>
      <c r="P195" s="600"/>
      <c r="Q195" s="599" t="str">
        <f t="shared" si="3"/>
        <v>Gastos_Gerais</v>
      </c>
      <c r="R195" s="247">
        <f>IF(B195="","",IF(YEAR(B195)='Diário 5º PA'!$Q$1,MONTH(B195)-'Diário 5º PA'!$P$1+1,(YEAR(B195)-'Diário 5º PA'!$Q$1)*12-'Diário 5º PA'!$P$1+1+MONTH(B195)))</f>
        <v>11</v>
      </c>
      <c r="S195" s="600"/>
      <c r="T195" s="600"/>
      <c r="U195" s="600"/>
      <c r="V195" s="600"/>
      <c r="W195" s="600"/>
      <c r="X195" s="600"/>
      <c r="Y195" s="600"/>
      <c r="Z195" s="600"/>
    </row>
    <row r="196" spans="1:26" ht="61.5" customHeight="1" x14ac:dyDescent="0.2">
      <c r="A196" s="248">
        <v>191</v>
      </c>
      <c r="B196" s="249">
        <v>44501</v>
      </c>
      <c r="C196" s="250" t="s">
        <v>99</v>
      </c>
      <c r="D196" s="250" t="s">
        <v>364</v>
      </c>
      <c r="E196" s="251">
        <v>87.5</v>
      </c>
      <c r="F196" s="452" t="s">
        <v>6701</v>
      </c>
      <c r="G196" s="250" t="s">
        <v>127</v>
      </c>
      <c r="H196" s="250" t="s">
        <v>465</v>
      </c>
      <c r="I196" s="253" t="s">
        <v>114</v>
      </c>
      <c r="J196" s="253" t="s">
        <v>466</v>
      </c>
      <c r="K196" s="253" t="s">
        <v>467</v>
      </c>
      <c r="L196" s="253"/>
      <c r="M196" s="254"/>
      <c r="N196" s="254">
        <v>44569</v>
      </c>
      <c r="O196" s="600"/>
      <c r="P196" s="600"/>
      <c r="Q196" s="599" t="str">
        <f t="shared" si="3"/>
        <v>Gastos_Gerais</v>
      </c>
      <c r="R196" s="247">
        <f>IF(B196="","",IF(YEAR(B196)='Diário 5º PA'!$Q$1,MONTH(B196)-'Diário 5º PA'!$P$1+1,(YEAR(B196)-'Diário 5º PA'!$Q$1)*12-'Diário 5º PA'!$P$1+1+MONTH(B196)))</f>
        <v>11</v>
      </c>
      <c r="S196" s="600"/>
      <c r="T196" s="600"/>
      <c r="U196" s="600"/>
      <c r="V196" s="600"/>
      <c r="W196" s="600"/>
      <c r="X196" s="600"/>
      <c r="Y196" s="600"/>
      <c r="Z196" s="600"/>
    </row>
    <row r="197" spans="1:26" ht="61.5" customHeight="1" x14ac:dyDescent="0.2">
      <c r="A197" s="248">
        <v>192</v>
      </c>
      <c r="B197" s="249">
        <v>44501</v>
      </c>
      <c r="C197" s="250" t="s">
        <v>99</v>
      </c>
      <c r="D197" s="250" t="s">
        <v>364</v>
      </c>
      <c r="E197" s="251">
        <v>542.5</v>
      </c>
      <c r="F197" s="452" t="s">
        <v>6702</v>
      </c>
      <c r="G197" s="250" t="s">
        <v>127</v>
      </c>
      <c r="H197" s="250" t="s">
        <v>530</v>
      </c>
      <c r="I197" s="253" t="s">
        <v>114</v>
      </c>
      <c r="J197" s="253" t="s">
        <v>466</v>
      </c>
      <c r="K197" s="253" t="s">
        <v>547</v>
      </c>
      <c r="L197" s="253"/>
      <c r="M197" s="254"/>
      <c r="N197" s="254">
        <v>44612</v>
      </c>
      <c r="O197" s="600"/>
      <c r="P197" s="600"/>
      <c r="Q197" s="599" t="str">
        <f t="shared" si="3"/>
        <v>Gastos_Gerais</v>
      </c>
      <c r="R197" s="247">
        <f>IF(B197="","",IF(YEAR(B197)='Diário 5º PA'!$Q$1,MONTH(B197)-'Diário 5º PA'!$P$1+1,(YEAR(B197)-'Diário 5º PA'!$Q$1)*12-'Diário 5º PA'!$P$1+1+MONTH(B197)))</f>
        <v>11</v>
      </c>
      <c r="S197" s="600"/>
      <c r="T197" s="600"/>
      <c r="U197" s="600"/>
      <c r="V197" s="600"/>
      <c r="W197" s="600"/>
      <c r="X197" s="600"/>
      <c r="Y197" s="600"/>
      <c r="Z197" s="600"/>
    </row>
    <row r="198" spans="1:26" ht="124.5" customHeight="1" x14ac:dyDescent="0.2">
      <c r="A198" s="248">
        <v>193</v>
      </c>
      <c r="B198" s="249">
        <v>44501</v>
      </c>
      <c r="C198" s="250" t="s">
        <v>99</v>
      </c>
      <c r="D198" s="250" t="s">
        <v>262</v>
      </c>
      <c r="E198" s="251">
        <v>840</v>
      </c>
      <c r="F198" s="452" t="s">
        <v>6518</v>
      </c>
      <c r="G198" s="250" t="s">
        <v>127</v>
      </c>
      <c r="H198" s="250" t="s">
        <v>6519</v>
      </c>
      <c r="I198" s="253" t="s">
        <v>6520</v>
      </c>
      <c r="J198" s="253"/>
      <c r="K198" s="253"/>
      <c r="L198" s="253"/>
      <c r="M198" s="254"/>
      <c r="N198" s="254"/>
      <c r="O198" s="600"/>
      <c r="P198" s="600"/>
      <c r="Q198" s="599" t="str">
        <f t="shared" si="3"/>
        <v>Gastos_Gerais</v>
      </c>
      <c r="R198" s="247">
        <f>IF(B198="","",IF(YEAR(B198)='Diário 5º PA'!$Q$1,MONTH(B198)-'Diário 5º PA'!$P$1+1,(YEAR(B198)-'Diário 5º PA'!$Q$1)*12-'Diário 5º PA'!$P$1+1+MONTH(B198)))</f>
        <v>11</v>
      </c>
      <c r="S198" s="600"/>
      <c r="T198" s="600"/>
      <c r="U198" s="600"/>
      <c r="V198" s="600"/>
      <c r="W198" s="600"/>
      <c r="X198" s="600"/>
      <c r="Y198" s="600"/>
      <c r="Z198" s="600"/>
    </row>
    <row r="199" spans="1:26" ht="87" customHeight="1" x14ac:dyDescent="0.2">
      <c r="A199" s="248">
        <v>194</v>
      </c>
      <c r="B199" s="249">
        <v>44501</v>
      </c>
      <c r="C199" s="250" t="s">
        <v>99</v>
      </c>
      <c r="D199" s="250" t="s">
        <v>364</v>
      </c>
      <c r="E199" s="251">
        <v>785.84</v>
      </c>
      <c r="F199" s="452" t="s">
        <v>6523</v>
      </c>
      <c r="G199" s="250" t="s">
        <v>130</v>
      </c>
      <c r="H199" s="250" t="s">
        <v>6521</v>
      </c>
      <c r="I199" s="253" t="s">
        <v>6522</v>
      </c>
      <c r="J199" s="253"/>
      <c r="K199" s="253"/>
      <c r="L199" s="253"/>
      <c r="M199" s="254"/>
      <c r="N199" s="254"/>
      <c r="O199" s="600"/>
      <c r="P199" s="600"/>
      <c r="Q199" s="599" t="str">
        <f t="shared" ref="Q199:Q262" si="4">SUBSTITUTE(C199," ","_")</f>
        <v>Gastos_Gerais</v>
      </c>
      <c r="R199" s="247">
        <f>IF(B199="","",IF(YEAR(B199)='Diário 5º PA'!$Q$1,MONTH(B199)-'Diário 5º PA'!$P$1+1,(YEAR(B199)-'Diário 5º PA'!$Q$1)*12-'Diário 5º PA'!$P$1+1+MONTH(B199)))</f>
        <v>11</v>
      </c>
      <c r="S199" s="600"/>
      <c r="T199" s="600"/>
      <c r="U199" s="600"/>
      <c r="V199" s="600"/>
      <c r="W199" s="600"/>
      <c r="X199" s="600"/>
      <c r="Y199" s="600"/>
      <c r="Z199" s="600"/>
    </row>
    <row r="200" spans="1:26" ht="79.5" customHeight="1" x14ac:dyDescent="0.2">
      <c r="A200" s="248">
        <v>195</v>
      </c>
      <c r="B200" s="249">
        <v>44531</v>
      </c>
      <c r="C200" s="250" t="s">
        <v>99</v>
      </c>
      <c r="D200" s="250" t="s">
        <v>364</v>
      </c>
      <c r="E200" s="251">
        <v>979.5</v>
      </c>
      <c r="F200" s="452" t="s">
        <v>6554</v>
      </c>
      <c r="G200" s="250" t="s">
        <v>131</v>
      </c>
      <c r="H200" s="250" t="s">
        <v>6555</v>
      </c>
      <c r="I200" s="253" t="s">
        <v>3888</v>
      </c>
      <c r="J200" s="253"/>
      <c r="K200" s="253"/>
      <c r="L200" s="253"/>
      <c r="M200" s="254"/>
      <c r="N200" s="254"/>
      <c r="O200" s="600"/>
      <c r="P200" s="600"/>
      <c r="Q200" s="599" t="str">
        <f t="shared" si="4"/>
        <v>Gastos_Gerais</v>
      </c>
      <c r="R200" s="247">
        <f>IF(B200="","",IF(YEAR(B200)='Diário 5º PA'!$Q$1,MONTH(B200)-'Diário 5º PA'!$P$1+1,(YEAR(B200)-'Diário 5º PA'!$Q$1)*12-'Diário 5º PA'!$P$1+1+MONTH(B200)))</f>
        <v>12</v>
      </c>
      <c r="S200" s="600"/>
      <c r="T200" s="600"/>
      <c r="U200" s="600"/>
      <c r="V200" s="600"/>
      <c r="W200" s="600"/>
      <c r="X200" s="600"/>
      <c r="Y200" s="600"/>
      <c r="Z200" s="600"/>
    </row>
    <row r="201" spans="1:26" ht="108.75" customHeight="1" x14ac:dyDescent="0.2">
      <c r="A201" s="248">
        <v>196</v>
      </c>
      <c r="B201" s="249">
        <v>44531</v>
      </c>
      <c r="C201" s="250" t="s">
        <v>99</v>
      </c>
      <c r="D201" s="250" t="s">
        <v>358</v>
      </c>
      <c r="E201" s="251">
        <v>2880</v>
      </c>
      <c r="F201" s="452" t="s">
        <v>6556</v>
      </c>
      <c r="G201" s="250" t="s">
        <v>131</v>
      </c>
      <c r="H201" s="250" t="s">
        <v>6557</v>
      </c>
      <c r="I201" s="253" t="s">
        <v>6558</v>
      </c>
      <c r="J201" s="253"/>
      <c r="K201" s="253"/>
      <c r="L201" s="253"/>
      <c r="M201" s="254"/>
      <c r="N201" s="254"/>
      <c r="O201" s="600"/>
      <c r="P201" s="600"/>
      <c r="Q201" s="599" t="str">
        <f t="shared" si="4"/>
        <v>Gastos_Gerais</v>
      </c>
      <c r="R201" s="247">
        <f>IF(B201="","",IF(YEAR(B201)='Diário 5º PA'!$Q$1,MONTH(B201)-'Diário 5º PA'!$P$1+1,(YEAR(B201)-'Diário 5º PA'!$Q$1)*12-'Diário 5º PA'!$P$1+1+MONTH(B201)))</f>
        <v>12</v>
      </c>
      <c r="S201" s="600"/>
      <c r="T201" s="600"/>
      <c r="U201" s="600"/>
      <c r="V201" s="600"/>
      <c r="W201" s="600"/>
      <c r="X201" s="600"/>
      <c r="Y201" s="600"/>
      <c r="Z201" s="600"/>
    </row>
    <row r="202" spans="1:26" ht="108.75" customHeight="1" x14ac:dyDescent="0.2">
      <c r="A202" s="248">
        <v>197</v>
      </c>
      <c r="B202" s="249">
        <v>44531</v>
      </c>
      <c r="C202" s="250" t="s">
        <v>99</v>
      </c>
      <c r="D202" s="250" t="s">
        <v>358</v>
      </c>
      <c r="E202" s="251">
        <v>2880</v>
      </c>
      <c r="F202" s="452" t="s">
        <v>6559</v>
      </c>
      <c r="G202" s="250" t="s">
        <v>127</v>
      </c>
      <c r="H202" s="250" t="s">
        <v>6560</v>
      </c>
      <c r="I202" s="253" t="s">
        <v>6561</v>
      </c>
      <c r="J202" s="253"/>
      <c r="K202" s="253"/>
      <c r="L202" s="253"/>
      <c r="M202" s="254"/>
      <c r="N202" s="254"/>
      <c r="O202" s="600"/>
      <c r="P202" s="600"/>
      <c r="Q202" s="599" t="str">
        <f t="shared" si="4"/>
        <v>Gastos_Gerais</v>
      </c>
      <c r="R202" s="247">
        <f>IF(B202="","",IF(YEAR(B202)='Diário 5º PA'!$Q$1,MONTH(B202)-'Diário 5º PA'!$P$1+1,(YEAR(B202)-'Diário 5º PA'!$Q$1)*12-'Diário 5º PA'!$P$1+1+MONTH(B202)))</f>
        <v>12</v>
      </c>
      <c r="S202" s="600"/>
      <c r="T202" s="600"/>
      <c r="U202" s="600"/>
      <c r="V202" s="600"/>
      <c r="W202" s="600"/>
      <c r="X202" s="600"/>
      <c r="Y202" s="600"/>
      <c r="Z202" s="600"/>
    </row>
    <row r="203" spans="1:26" ht="78.75" customHeight="1" x14ac:dyDescent="0.2">
      <c r="A203" s="248">
        <v>198</v>
      </c>
      <c r="B203" s="249">
        <v>44531</v>
      </c>
      <c r="C203" s="250" t="s">
        <v>99</v>
      </c>
      <c r="D203" s="250" t="s">
        <v>382</v>
      </c>
      <c r="E203" s="251">
        <f>880-704</f>
        <v>176</v>
      </c>
      <c r="F203" s="452" t="s">
        <v>6562</v>
      </c>
      <c r="G203" s="250" t="s">
        <v>131</v>
      </c>
      <c r="H203" s="250" t="s">
        <v>6563</v>
      </c>
      <c r="I203" s="253" t="s">
        <v>444</v>
      </c>
      <c r="J203" s="253"/>
      <c r="K203" s="253"/>
      <c r="L203" s="253"/>
      <c r="M203" s="254"/>
      <c r="N203" s="254"/>
      <c r="O203" s="600"/>
      <c r="P203" s="600"/>
      <c r="Q203" s="599" t="str">
        <f t="shared" si="4"/>
        <v>Gastos_Gerais</v>
      </c>
      <c r="R203" s="247">
        <f>IF(B203="","",IF(YEAR(B203)='Diário 5º PA'!$Q$1,MONTH(B203)-'Diário 5º PA'!$P$1+1,(YEAR(B203)-'Diário 5º PA'!$Q$1)*12-'Diário 5º PA'!$P$1+1+MONTH(B203)))</f>
        <v>12</v>
      </c>
      <c r="S203" s="600"/>
      <c r="T203" s="600"/>
      <c r="U203" s="600"/>
      <c r="V203" s="600"/>
      <c r="W203" s="600"/>
      <c r="X203" s="600"/>
      <c r="Y203" s="600"/>
      <c r="Z203" s="600"/>
    </row>
    <row r="204" spans="1:26" ht="51" customHeight="1" x14ac:dyDescent="0.2">
      <c r="A204" s="248">
        <v>199</v>
      </c>
      <c r="B204" s="249">
        <v>44531</v>
      </c>
      <c r="C204" s="250" t="s">
        <v>99</v>
      </c>
      <c r="D204" s="250" t="s">
        <v>382</v>
      </c>
      <c r="E204" s="251">
        <v>27.24</v>
      </c>
      <c r="F204" s="452" t="s">
        <v>6716</v>
      </c>
      <c r="G204" s="250" t="s">
        <v>131</v>
      </c>
      <c r="H204" s="250" t="s">
        <v>465</v>
      </c>
      <c r="I204" s="253" t="s">
        <v>114</v>
      </c>
      <c r="J204" s="253" t="s">
        <v>466</v>
      </c>
      <c r="K204" s="253" t="s">
        <v>467</v>
      </c>
      <c r="L204" s="253"/>
      <c r="M204" s="254"/>
      <c r="N204" s="254">
        <v>44569</v>
      </c>
      <c r="O204" s="600"/>
      <c r="P204" s="600"/>
      <c r="Q204" s="599" t="str">
        <f t="shared" si="4"/>
        <v>Gastos_Gerais</v>
      </c>
      <c r="R204" s="247">
        <f>IF(B204="","",IF(YEAR(B204)='Diário 5º PA'!$Q$1,MONTH(B204)-'Diário 5º PA'!$P$1+1,(YEAR(B204)-'Diário 5º PA'!$Q$1)*12-'Diário 5º PA'!$P$1+1+MONTH(B204)))</f>
        <v>12</v>
      </c>
      <c r="S204" s="600"/>
      <c r="T204" s="600"/>
      <c r="U204" s="600"/>
      <c r="V204" s="600"/>
      <c r="W204" s="600"/>
      <c r="X204" s="600"/>
      <c r="Y204" s="600"/>
      <c r="Z204" s="600"/>
    </row>
    <row r="205" spans="1:26" ht="69" customHeight="1" x14ac:dyDescent="0.2">
      <c r="A205" s="248">
        <v>200</v>
      </c>
      <c r="B205" s="249">
        <v>44531</v>
      </c>
      <c r="C205" s="250" t="s">
        <v>99</v>
      </c>
      <c r="D205" s="250" t="s">
        <v>358</v>
      </c>
      <c r="E205" s="251">
        <v>296</v>
      </c>
      <c r="F205" s="452" t="s">
        <v>6878</v>
      </c>
      <c r="G205" s="250" t="s">
        <v>118</v>
      </c>
      <c r="H205" s="250" t="s">
        <v>465</v>
      </c>
      <c r="I205" s="253" t="s">
        <v>114</v>
      </c>
      <c r="J205" s="253" t="s">
        <v>466</v>
      </c>
      <c r="K205" s="253" t="s">
        <v>467</v>
      </c>
      <c r="L205" s="253"/>
      <c r="M205" s="254"/>
      <c r="N205" s="254">
        <v>44569</v>
      </c>
      <c r="O205" s="600"/>
      <c r="P205" s="600"/>
      <c r="Q205" s="599" t="str">
        <f t="shared" si="4"/>
        <v>Gastos_Gerais</v>
      </c>
      <c r="R205" s="247">
        <f>IF(B205="","",IF(YEAR(B205)='Diário 5º PA'!$Q$1,MONTH(B205)-'Diário 5º PA'!$P$1+1,(YEAR(B205)-'Diário 5º PA'!$Q$1)*12-'Diário 5º PA'!$P$1+1+MONTH(B205)))</f>
        <v>12</v>
      </c>
      <c r="S205" s="600"/>
      <c r="T205" s="600"/>
      <c r="U205" s="600"/>
      <c r="V205" s="600"/>
      <c r="W205" s="600"/>
      <c r="X205" s="600"/>
      <c r="Y205" s="600"/>
      <c r="Z205" s="600"/>
    </row>
    <row r="206" spans="1:26" ht="69" customHeight="1" x14ac:dyDescent="0.2">
      <c r="A206" s="248">
        <v>201</v>
      </c>
      <c r="B206" s="249">
        <v>44531</v>
      </c>
      <c r="C206" s="250" t="s">
        <v>99</v>
      </c>
      <c r="D206" s="250" t="s">
        <v>358</v>
      </c>
      <c r="E206" s="251">
        <v>579.55999999999995</v>
      </c>
      <c r="F206" s="452" t="s">
        <v>6879</v>
      </c>
      <c r="G206" s="250" t="s">
        <v>118</v>
      </c>
      <c r="H206" s="250" t="s">
        <v>488</v>
      </c>
      <c r="I206" s="253" t="s">
        <v>114</v>
      </c>
      <c r="J206" s="253" t="s">
        <v>466</v>
      </c>
      <c r="K206" s="253" t="s">
        <v>489</v>
      </c>
      <c r="L206" s="253"/>
      <c r="M206" s="254"/>
      <c r="N206" s="254">
        <v>44581</v>
      </c>
      <c r="O206" s="600"/>
      <c r="P206" s="600"/>
      <c r="Q206" s="599" t="str">
        <f t="shared" si="4"/>
        <v>Gastos_Gerais</v>
      </c>
      <c r="R206" s="247">
        <f>IF(B206="","",IF(YEAR(B206)='Diário 5º PA'!$Q$1,MONTH(B206)-'Diário 5º PA'!$P$1+1,(YEAR(B206)-'Diário 5º PA'!$Q$1)*12-'Diário 5º PA'!$P$1+1+MONTH(B206)))</f>
        <v>12</v>
      </c>
      <c r="S206" s="600"/>
      <c r="T206" s="600"/>
      <c r="U206" s="600"/>
      <c r="V206" s="600"/>
      <c r="W206" s="600"/>
      <c r="X206" s="600"/>
      <c r="Y206" s="600"/>
      <c r="Z206" s="600"/>
    </row>
    <row r="207" spans="1:26" ht="69" customHeight="1" x14ac:dyDescent="0.2">
      <c r="A207" s="248">
        <v>202</v>
      </c>
      <c r="B207" s="249">
        <v>44531</v>
      </c>
      <c r="C207" s="250" t="s">
        <v>99</v>
      </c>
      <c r="D207" s="250" t="s">
        <v>358</v>
      </c>
      <c r="E207" s="251">
        <v>1835.2</v>
      </c>
      <c r="F207" s="452" t="s">
        <v>6880</v>
      </c>
      <c r="G207" s="250" t="s">
        <v>118</v>
      </c>
      <c r="H207" s="250" t="s">
        <v>530</v>
      </c>
      <c r="I207" s="253" t="s">
        <v>114</v>
      </c>
      <c r="J207" s="253" t="s">
        <v>466</v>
      </c>
      <c r="K207" s="253" t="s">
        <v>547</v>
      </c>
      <c r="L207" s="253"/>
      <c r="M207" s="254"/>
      <c r="N207" s="254">
        <v>44581</v>
      </c>
      <c r="O207" s="600"/>
      <c r="P207" s="600"/>
      <c r="Q207" s="599" t="str">
        <f t="shared" si="4"/>
        <v>Gastos_Gerais</v>
      </c>
      <c r="R207" s="247">
        <f>IF(B207="","",IF(YEAR(B207)='Diário 5º PA'!$Q$1,MONTH(B207)-'Diário 5º PA'!$P$1+1,(YEAR(B207)-'Diário 5º PA'!$Q$1)*12-'Diário 5º PA'!$P$1+1+MONTH(B207)))</f>
        <v>12</v>
      </c>
      <c r="S207" s="600"/>
      <c r="T207" s="600"/>
      <c r="U207" s="600"/>
      <c r="V207" s="600"/>
      <c r="W207" s="600"/>
      <c r="X207" s="600"/>
      <c r="Y207" s="600"/>
      <c r="Z207" s="600"/>
    </row>
    <row r="208" spans="1:26" ht="72.75" customHeight="1" x14ac:dyDescent="0.2">
      <c r="A208" s="248">
        <v>203</v>
      </c>
      <c r="B208" s="249">
        <v>44531</v>
      </c>
      <c r="C208" s="250" t="s">
        <v>99</v>
      </c>
      <c r="D208" s="250" t="s">
        <v>358</v>
      </c>
      <c r="E208" s="251">
        <v>2880</v>
      </c>
      <c r="F208" s="452" t="s">
        <v>6566</v>
      </c>
      <c r="G208" s="250" t="s">
        <v>131</v>
      </c>
      <c r="H208" s="250" t="s">
        <v>6567</v>
      </c>
      <c r="I208" s="253" t="s">
        <v>829</v>
      </c>
      <c r="J208" s="253"/>
      <c r="K208" s="253"/>
      <c r="L208" s="253"/>
      <c r="M208" s="254"/>
      <c r="N208" s="254"/>
      <c r="O208" s="600"/>
      <c r="P208" s="600"/>
      <c r="Q208" s="599" t="str">
        <f t="shared" si="4"/>
        <v>Gastos_Gerais</v>
      </c>
      <c r="R208" s="247">
        <f>IF(B208="","",IF(YEAR(B208)='Diário 5º PA'!$Q$1,MONTH(B208)-'Diário 5º PA'!$P$1+1,(YEAR(B208)-'Diário 5º PA'!$Q$1)*12-'Diário 5º PA'!$P$1+1+MONTH(B208)))</f>
        <v>12</v>
      </c>
      <c r="S208" s="600"/>
      <c r="T208" s="600"/>
      <c r="U208" s="600"/>
      <c r="V208" s="600"/>
      <c r="W208" s="600"/>
      <c r="X208" s="600"/>
      <c r="Y208" s="600"/>
      <c r="Z208" s="600"/>
    </row>
    <row r="209" spans="1:26" ht="57" customHeight="1" x14ac:dyDescent="0.2">
      <c r="A209" s="248">
        <v>204</v>
      </c>
      <c r="B209" s="249">
        <v>44531</v>
      </c>
      <c r="C209" s="250" t="s">
        <v>99</v>
      </c>
      <c r="D209" s="250" t="s">
        <v>364</v>
      </c>
      <c r="E209" s="251">
        <v>1750</v>
      </c>
      <c r="F209" s="452" t="s">
        <v>6611</v>
      </c>
      <c r="G209" s="250" t="s">
        <v>116</v>
      </c>
      <c r="H209" s="250" t="s">
        <v>6612</v>
      </c>
      <c r="I209" s="253" t="s">
        <v>6202</v>
      </c>
      <c r="J209" s="253"/>
      <c r="K209" s="253"/>
      <c r="L209" s="253"/>
      <c r="M209" s="254"/>
      <c r="N209" s="254"/>
      <c r="O209" s="600"/>
      <c r="P209" s="600"/>
      <c r="Q209" s="599" t="str">
        <f t="shared" si="4"/>
        <v>Gastos_Gerais</v>
      </c>
      <c r="R209" s="247">
        <f>IF(B209="","",IF(YEAR(B209)='Diário 5º PA'!$Q$1,MONTH(B209)-'Diário 5º PA'!$P$1+1,(YEAR(B209)-'Diário 5º PA'!$Q$1)*12-'Diário 5º PA'!$P$1+1+MONTH(B209)))</f>
        <v>12</v>
      </c>
      <c r="S209" s="600"/>
      <c r="T209" s="600"/>
      <c r="U209" s="600"/>
      <c r="V209" s="600"/>
      <c r="W209" s="600"/>
      <c r="X209" s="600"/>
      <c r="Y209" s="600"/>
      <c r="Z209" s="600"/>
    </row>
    <row r="210" spans="1:26" ht="57" customHeight="1" x14ac:dyDescent="0.2">
      <c r="A210" s="248">
        <v>205</v>
      </c>
      <c r="B210" s="249">
        <v>44531</v>
      </c>
      <c r="C210" s="250" t="s">
        <v>99</v>
      </c>
      <c r="D210" s="250" t="s">
        <v>364</v>
      </c>
      <c r="E210" s="251">
        <v>87.5</v>
      </c>
      <c r="F210" s="452" t="s">
        <v>6834</v>
      </c>
      <c r="G210" s="250" t="s">
        <v>116</v>
      </c>
      <c r="H210" s="250" t="s">
        <v>465</v>
      </c>
      <c r="I210" s="253" t="s">
        <v>114</v>
      </c>
      <c r="J210" s="253" t="s">
        <v>466</v>
      </c>
      <c r="K210" s="253" t="s">
        <v>467</v>
      </c>
      <c r="L210" s="253"/>
      <c r="M210" s="254"/>
      <c r="N210" s="254">
        <v>44569</v>
      </c>
      <c r="O210" s="600"/>
      <c r="P210" s="600"/>
      <c r="Q210" s="599" t="str">
        <f t="shared" si="4"/>
        <v>Gastos_Gerais</v>
      </c>
      <c r="R210" s="247">
        <f>IF(B210="","",IF(YEAR(B210)='Diário 5º PA'!$Q$1,MONTH(B210)-'Diário 5º PA'!$P$1+1,(YEAR(B210)-'Diário 5º PA'!$Q$1)*12-'Diário 5º PA'!$P$1+1+MONTH(B210)))</f>
        <v>12</v>
      </c>
      <c r="S210" s="600"/>
      <c r="T210" s="600"/>
      <c r="U210" s="600"/>
      <c r="V210" s="600"/>
      <c r="W210" s="600"/>
      <c r="X210" s="600"/>
      <c r="Y210" s="600"/>
      <c r="Z210" s="600"/>
    </row>
    <row r="211" spans="1:26" ht="57" customHeight="1" x14ac:dyDescent="0.2">
      <c r="A211" s="248">
        <v>206</v>
      </c>
      <c r="B211" s="249">
        <v>44531</v>
      </c>
      <c r="C211" s="250" t="s">
        <v>99</v>
      </c>
      <c r="D211" s="250" t="s">
        <v>364</v>
      </c>
      <c r="E211" s="251">
        <v>542.5</v>
      </c>
      <c r="F211" s="452" t="s">
        <v>6835</v>
      </c>
      <c r="G211" s="250" t="s">
        <v>116</v>
      </c>
      <c r="H211" s="250" t="s">
        <v>530</v>
      </c>
      <c r="I211" s="253" t="s">
        <v>114</v>
      </c>
      <c r="J211" s="253" t="s">
        <v>466</v>
      </c>
      <c r="K211" s="253" t="s">
        <v>547</v>
      </c>
      <c r="L211" s="253"/>
      <c r="M211" s="254"/>
      <c r="N211" s="254">
        <v>44581</v>
      </c>
      <c r="O211" s="600"/>
      <c r="P211" s="600"/>
      <c r="Q211" s="599" t="str">
        <f t="shared" si="4"/>
        <v>Gastos_Gerais</v>
      </c>
      <c r="R211" s="247">
        <f>IF(B211="","",IF(YEAR(B211)='Diário 5º PA'!$Q$1,MONTH(B211)-'Diário 5º PA'!$P$1+1,(YEAR(B211)-'Diário 5º PA'!$Q$1)*12-'Diário 5º PA'!$P$1+1+MONTH(B211)))</f>
        <v>12</v>
      </c>
      <c r="S211" s="600"/>
      <c r="T211" s="600"/>
      <c r="U211" s="600"/>
      <c r="V211" s="600"/>
      <c r="W211" s="600"/>
      <c r="X211" s="600"/>
      <c r="Y211" s="600"/>
      <c r="Z211" s="600"/>
    </row>
    <row r="212" spans="1:26" ht="64.5" customHeight="1" x14ac:dyDescent="0.2">
      <c r="A212" s="248">
        <v>207</v>
      </c>
      <c r="B212" s="249">
        <v>44531</v>
      </c>
      <c r="C212" s="250" t="s">
        <v>99</v>
      </c>
      <c r="D212" s="250" t="s">
        <v>364</v>
      </c>
      <c r="E212" s="251">
        <v>1400</v>
      </c>
      <c r="F212" s="452" t="s">
        <v>6616</v>
      </c>
      <c r="G212" s="250" t="s">
        <v>116</v>
      </c>
      <c r="H212" s="250" t="s">
        <v>6617</v>
      </c>
      <c r="I212" s="253" t="s">
        <v>470</v>
      </c>
      <c r="J212" s="253"/>
      <c r="K212" s="253"/>
      <c r="L212" s="253"/>
      <c r="M212" s="254"/>
      <c r="N212" s="254"/>
      <c r="O212" s="600"/>
      <c r="P212" s="600"/>
      <c r="Q212" s="599" t="str">
        <f t="shared" si="4"/>
        <v>Gastos_Gerais</v>
      </c>
      <c r="R212" s="247">
        <f>IF(B212="","",IF(YEAR(B212)='Diário 5º PA'!$Q$1,MONTH(B212)-'Diário 5º PA'!$P$1+1,(YEAR(B212)-'Diário 5º PA'!$Q$1)*12-'Diário 5º PA'!$P$1+1+MONTH(B212)))</f>
        <v>12</v>
      </c>
      <c r="S212" s="600"/>
      <c r="T212" s="600"/>
      <c r="U212" s="600"/>
      <c r="V212" s="600"/>
      <c r="W212" s="600"/>
      <c r="X212" s="600"/>
      <c r="Y212" s="600"/>
      <c r="Z212" s="600"/>
    </row>
    <row r="213" spans="1:26" ht="46.5" customHeight="1" x14ac:dyDescent="0.2">
      <c r="A213" s="248">
        <v>208</v>
      </c>
      <c r="B213" s="249">
        <v>44501</v>
      </c>
      <c r="C213" s="250" t="s">
        <v>99</v>
      </c>
      <c r="D213" s="250" t="s">
        <v>364</v>
      </c>
      <c r="E213" s="496">
        <v>350</v>
      </c>
      <c r="F213" s="506" t="s">
        <v>6637</v>
      </c>
      <c r="G213" s="250" t="s">
        <v>131</v>
      </c>
      <c r="H213" s="250" t="s">
        <v>465</v>
      </c>
      <c r="I213" s="253" t="s">
        <v>114</v>
      </c>
      <c r="J213" s="253" t="s">
        <v>466</v>
      </c>
      <c r="K213" s="253" t="s">
        <v>467</v>
      </c>
      <c r="L213" s="253"/>
      <c r="M213" s="254"/>
      <c r="N213" s="254">
        <v>44569</v>
      </c>
      <c r="O213" s="600"/>
      <c r="P213" s="600"/>
      <c r="Q213" s="599" t="str">
        <f t="shared" si="4"/>
        <v>Gastos_Gerais</v>
      </c>
      <c r="R213" s="247">
        <f>IF(B213="","",IF(YEAR(B213)='Diário 5º PA'!$Q$1,MONTH(B213)-'Diário 5º PA'!$P$1+1,(YEAR(B213)-'Diário 5º PA'!$Q$1)*12-'Diário 5º PA'!$P$1+1+MONTH(B213)))</f>
        <v>11</v>
      </c>
      <c r="S213" s="600"/>
      <c r="T213" s="600"/>
      <c r="U213" s="600"/>
      <c r="V213" s="600"/>
      <c r="W213" s="600"/>
      <c r="X213" s="600"/>
      <c r="Y213" s="600"/>
      <c r="Z213" s="600"/>
    </row>
    <row r="214" spans="1:26" ht="46.5" customHeight="1" x14ac:dyDescent="0.2">
      <c r="A214" s="248">
        <v>209</v>
      </c>
      <c r="B214" s="249">
        <v>44501</v>
      </c>
      <c r="C214" s="250" t="s">
        <v>99</v>
      </c>
      <c r="D214" s="250" t="s">
        <v>364</v>
      </c>
      <c r="E214" s="496">
        <v>700</v>
      </c>
      <c r="F214" s="506" t="s">
        <v>6638</v>
      </c>
      <c r="G214" s="250" t="s">
        <v>131</v>
      </c>
      <c r="H214" s="250" t="s">
        <v>488</v>
      </c>
      <c r="I214" s="253" t="s">
        <v>114</v>
      </c>
      <c r="J214" s="253" t="s">
        <v>466</v>
      </c>
      <c r="K214" s="253" t="s">
        <v>489</v>
      </c>
      <c r="L214" s="253"/>
      <c r="M214" s="254"/>
      <c r="N214" s="254">
        <v>44581</v>
      </c>
      <c r="O214" s="600"/>
      <c r="P214" s="600"/>
      <c r="Q214" s="599" t="str">
        <f t="shared" si="4"/>
        <v>Gastos_Gerais</v>
      </c>
      <c r="R214" s="247">
        <f>IF(B214="","",IF(YEAR(B214)='Diário 5º PA'!$Q$1,MONTH(B214)-'Diário 5º PA'!$P$1+1,(YEAR(B214)-'Diário 5º PA'!$Q$1)*12-'Diário 5º PA'!$P$1+1+MONTH(B214)))</f>
        <v>11</v>
      </c>
      <c r="S214" s="600"/>
      <c r="T214" s="600"/>
      <c r="U214" s="600"/>
      <c r="V214" s="600"/>
      <c r="W214" s="600"/>
      <c r="X214" s="600"/>
      <c r="Y214" s="600"/>
      <c r="Z214" s="600"/>
    </row>
    <row r="215" spans="1:26" ht="46.5" customHeight="1" x14ac:dyDescent="0.2">
      <c r="A215" s="248">
        <v>210</v>
      </c>
      <c r="B215" s="249">
        <v>44531</v>
      </c>
      <c r="C215" s="250" t="s">
        <v>6644</v>
      </c>
      <c r="D215" s="524" t="s">
        <v>344</v>
      </c>
      <c r="E215" s="496">
        <v>4000</v>
      </c>
      <c r="F215" s="506" t="s">
        <v>6645</v>
      </c>
      <c r="G215" s="530" t="s">
        <v>131</v>
      </c>
      <c r="H215" s="250" t="s">
        <v>6646</v>
      </c>
      <c r="I215" s="253" t="s">
        <v>5384</v>
      </c>
      <c r="J215" s="253"/>
      <c r="K215" s="253"/>
      <c r="L215" s="253"/>
      <c r="M215" s="254"/>
      <c r="N215" s="254"/>
      <c r="O215" s="600"/>
      <c r="P215" s="600"/>
      <c r="Q215" s="599" t="str">
        <f t="shared" si="4"/>
        <v>gastos_gerais</v>
      </c>
      <c r="R215" s="247">
        <f>IF(B215="","",IF(YEAR(B215)='Diário 5º PA'!$Q$1,MONTH(B215)-'Diário 5º PA'!$P$1+1,(YEAR(B215)-'Diário 5º PA'!$Q$1)*12-'Diário 5º PA'!$P$1+1+MONTH(B215)))</f>
        <v>12</v>
      </c>
      <c r="S215" s="600"/>
      <c r="T215" s="600"/>
      <c r="U215" s="600"/>
      <c r="V215" s="600"/>
      <c r="W215" s="600"/>
      <c r="X215" s="600"/>
      <c r="Y215" s="600"/>
      <c r="Z215" s="600"/>
    </row>
    <row r="216" spans="1:26" ht="46.5" customHeight="1" x14ac:dyDescent="0.2">
      <c r="A216" s="248">
        <v>211</v>
      </c>
      <c r="B216" s="249">
        <v>44531</v>
      </c>
      <c r="C216" s="250" t="s">
        <v>6644</v>
      </c>
      <c r="D216" s="524" t="s">
        <v>386</v>
      </c>
      <c r="E216" s="496">
        <v>4000</v>
      </c>
      <c r="F216" s="506" t="s">
        <v>6647</v>
      </c>
      <c r="G216" s="530" t="s">
        <v>131</v>
      </c>
      <c r="H216" s="250" t="s">
        <v>6648</v>
      </c>
      <c r="I216" s="253" t="s">
        <v>3018</v>
      </c>
      <c r="J216" s="253"/>
      <c r="K216" s="253"/>
      <c r="L216" s="253"/>
      <c r="M216" s="254"/>
      <c r="N216" s="254"/>
      <c r="O216" s="600"/>
      <c r="P216" s="600"/>
      <c r="Q216" s="599" t="str">
        <f t="shared" si="4"/>
        <v>gastos_gerais</v>
      </c>
      <c r="R216" s="247">
        <f>IF(B216="","",IF(YEAR(B216)='Diário 5º PA'!$Q$1,MONTH(B216)-'Diário 5º PA'!$P$1+1,(YEAR(B216)-'Diário 5º PA'!$Q$1)*12-'Diário 5º PA'!$P$1+1+MONTH(B216)))</f>
        <v>12</v>
      </c>
      <c r="S216" s="600"/>
      <c r="T216" s="600"/>
      <c r="U216" s="600"/>
      <c r="V216" s="600"/>
      <c r="W216" s="600"/>
      <c r="X216" s="600"/>
      <c r="Y216" s="600"/>
      <c r="Z216" s="600"/>
    </row>
    <row r="217" spans="1:26" ht="46.5" customHeight="1" x14ac:dyDescent="0.2">
      <c r="A217" s="248">
        <v>212</v>
      </c>
      <c r="B217" s="249">
        <v>44531</v>
      </c>
      <c r="C217" s="250" t="s">
        <v>99</v>
      </c>
      <c r="D217" s="524" t="s">
        <v>336</v>
      </c>
      <c r="E217" s="496">
        <v>500</v>
      </c>
      <c r="F217" s="506" t="s">
        <v>6652</v>
      </c>
      <c r="G217" s="530" t="s">
        <v>133</v>
      </c>
      <c r="H217" s="250" t="s">
        <v>6653</v>
      </c>
      <c r="I217" s="253" t="s">
        <v>6654</v>
      </c>
      <c r="J217" s="253"/>
      <c r="K217" s="253"/>
      <c r="L217" s="253"/>
      <c r="M217" s="254"/>
      <c r="N217" s="254"/>
      <c r="O217" s="600"/>
      <c r="P217" s="600"/>
      <c r="Q217" s="599" t="str">
        <f t="shared" si="4"/>
        <v>Gastos_Gerais</v>
      </c>
      <c r="R217" s="247">
        <f>IF(B217="","",IF(YEAR(B217)='Diário 5º PA'!$Q$1,MONTH(B217)-'Diário 5º PA'!$P$1+1,(YEAR(B217)-'Diário 5º PA'!$Q$1)*12-'Diário 5º PA'!$P$1+1+MONTH(B217)))</f>
        <v>12</v>
      </c>
      <c r="S217" s="600"/>
      <c r="T217" s="600"/>
      <c r="U217" s="600"/>
      <c r="V217" s="600"/>
      <c r="W217" s="600"/>
      <c r="X217" s="600"/>
      <c r="Y217" s="600"/>
      <c r="Z217" s="600"/>
    </row>
    <row r="218" spans="1:26" ht="63.75" customHeight="1" x14ac:dyDescent="0.2">
      <c r="A218" s="248">
        <v>213</v>
      </c>
      <c r="B218" s="249">
        <v>44531</v>
      </c>
      <c r="C218" s="250" t="s">
        <v>99</v>
      </c>
      <c r="D218" s="524" t="s">
        <v>364</v>
      </c>
      <c r="E218" s="496">
        <v>496</v>
      </c>
      <c r="F218" s="452" t="s">
        <v>7002</v>
      </c>
      <c r="G218" s="530" t="s">
        <v>118</v>
      </c>
      <c r="H218" s="250" t="s">
        <v>530</v>
      </c>
      <c r="I218" s="253" t="s">
        <v>114</v>
      </c>
      <c r="J218" s="253" t="s">
        <v>466</v>
      </c>
      <c r="K218" s="253" t="s">
        <v>547</v>
      </c>
      <c r="L218" s="253"/>
      <c r="M218" s="253"/>
      <c r="N218" s="254">
        <v>44581</v>
      </c>
      <c r="O218" s="600"/>
      <c r="P218" s="600"/>
      <c r="Q218" s="599" t="str">
        <f t="shared" si="4"/>
        <v>Gastos_Gerais</v>
      </c>
      <c r="R218" s="247">
        <f>IF(B218="","",IF(YEAR(B218)='Diário 5º PA'!$Q$1,MONTH(B218)-'Diário 5º PA'!$P$1+1,(YEAR(B218)-'Diário 5º PA'!$Q$1)*12-'Diário 5º PA'!$P$1+1+MONTH(B218)))</f>
        <v>12</v>
      </c>
      <c r="S218" s="600"/>
      <c r="T218" s="600"/>
      <c r="U218" s="600"/>
      <c r="V218" s="600"/>
      <c r="W218" s="600"/>
      <c r="X218" s="600"/>
      <c r="Y218" s="600"/>
      <c r="Z218" s="600"/>
    </row>
    <row r="219" spans="1:26" ht="63.75" customHeight="1" x14ac:dyDescent="0.2">
      <c r="A219" s="248">
        <v>214</v>
      </c>
      <c r="B219" s="249">
        <v>44531</v>
      </c>
      <c r="C219" s="250" t="s">
        <v>99</v>
      </c>
      <c r="D219" s="524" t="s">
        <v>364</v>
      </c>
      <c r="E219" s="496">
        <v>80</v>
      </c>
      <c r="F219" s="452" t="s">
        <v>7001</v>
      </c>
      <c r="G219" s="530" t="s">
        <v>118</v>
      </c>
      <c r="H219" s="250" t="s">
        <v>465</v>
      </c>
      <c r="I219" s="253" t="s">
        <v>114</v>
      </c>
      <c r="J219" s="253" t="s">
        <v>466</v>
      </c>
      <c r="K219" s="253" t="s">
        <v>467</v>
      </c>
      <c r="L219" s="253"/>
      <c r="M219" s="254"/>
      <c r="N219" s="254">
        <v>44569</v>
      </c>
      <c r="O219" s="600"/>
      <c r="P219" s="600"/>
      <c r="Q219" s="599" t="str">
        <f t="shared" si="4"/>
        <v>Gastos_Gerais</v>
      </c>
      <c r="R219" s="247">
        <f>IF(B219="","",IF(YEAR(B219)='Diário 5º PA'!$Q$1,MONTH(B219)-'Diário 5º PA'!$P$1+1,(YEAR(B219)-'Diário 5º PA'!$Q$1)*12-'Diário 5º PA'!$P$1+1+MONTH(B219)))</f>
        <v>12</v>
      </c>
      <c r="S219" s="600"/>
      <c r="T219" s="600"/>
      <c r="U219" s="600"/>
      <c r="V219" s="600"/>
      <c r="W219" s="600"/>
      <c r="X219" s="600"/>
      <c r="Y219" s="600"/>
      <c r="Z219" s="600"/>
    </row>
    <row r="220" spans="1:26" ht="63.75" customHeight="1" x14ac:dyDescent="0.2">
      <c r="A220" s="248">
        <v>215</v>
      </c>
      <c r="B220" s="249">
        <v>44531</v>
      </c>
      <c r="C220" s="250" t="s">
        <v>99</v>
      </c>
      <c r="D220" s="524" t="s">
        <v>382</v>
      </c>
      <c r="E220" s="496">
        <v>630</v>
      </c>
      <c r="F220" s="506" t="s">
        <v>6669</v>
      </c>
      <c r="G220" s="530" t="s">
        <v>127</v>
      </c>
      <c r="H220" s="250" t="s">
        <v>6670</v>
      </c>
      <c r="I220" s="253" t="s">
        <v>769</v>
      </c>
      <c r="J220" s="253"/>
      <c r="K220" s="253"/>
      <c r="L220" s="253"/>
      <c r="M220" s="254"/>
      <c r="N220" s="254"/>
      <c r="O220" s="600"/>
      <c r="P220" s="600"/>
      <c r="Q220" s="599" t="str">
        <f t="shared" si="4"/>
        <v>Gastos_Gerais</v>
      </c>
      <c r="R220" s="247">
        <f>IF(B220="","",IF(YEAR(B220)='Diário 5º PA'!$Q$1,MONTH(B220)-'Diário 5º PA'!$P$1+1,(YEAR(B220)-'Diário 5º PA'!$Q$1)*12-'Diário 5º PA'!$P$1+1+MONTH(B220)))</f>
        <v>12</v>
      </c>
      <c r="S220" s="600"/>
      <c r="T220" s="600"/>
      <c r="U220" s="600"/>
      <c r="V220" s="600"/>
      <c r="W220" s="600"/>
      <c r="X220" s="600"/>
      <c r="Y220" s="600"/>
      <c r="Z220" s="600"/>
    </row>
    <row r="221" spans="1:26" ht="63.75" customHeight="1" x14ac:dyDescent="0.2">
      <c r="A221" s="248">
        <v>216</v>
      </c>
      <c r="B221" s="249">
        <v>44531</v>
      </c>
      <c r="C221" s="250" t="s">
        <v>99</v>
      </c>
      <c r="D221" s="524" t="s">
        <v>382</v>
      </c>
      <c r="E221" s="496">
        <v>1380</v>
      </c>
      <c r="F221" s="506" t="s">
        <v>6671</v>
      </c>
      <c r="G221" s="530" t="s">
        <v>131</v>
      </c>
      <c r="H221" s="250" t="s">
        <v>6672</v>
      </c>
      <c r="I221" s="253" t="s">
        <v>769</v>
      </c>
      <c r="J221" s="253"/>
      <c r="K221" s="253"/>
      <c r="L221" s="253"/>
      <c r="M221" s="254"/>
      <c r="N221" s="254"/>
      <c r="O221" s="600"/>
      <c r="P221" s="600"/>
      <c r="Q221" s="599" t="str">
        <f t="shared" si="4"/>
        <v>Gastos_Gerais</v>
      </c>
      <c r="R221" s="247">
        <f>IF(B221="","",IF(YEAR(B221)='Diário 5º PA'!$Q$1,MONTH(B221)-'Diário 5º PA'!$P$1+1,(YEAR(B221)-'Diário 5º PA'!$Q$1)*12-'Diário 5º PA'!$P$1+1+MONTH(B221)))</f>
        <v>12</v>
      </c>
      <c r="S221" s="600"/>
      <c r="T221" s="600"/>
      <c r="U221" s="600"/>
      <c r="V221" s="600"/>
      <c r="W221" s="600"/>
      <c r="X221" s="600"/>
      <c r="Y221" s="600"/>
      <c r="Z221" s="600"/>
    </row>
    <row r="222" spans="1:26" ht="54" customHeight="1" x14ac:dyDescent="0.2">
      <c r="A222" s="248">
        <v>217</v>
      </c>
      <c r="B222" s="249">
        <v>44531</v>
      </c>
      <c r="C222" s="250" t="s">
        <v>99</v>
      </c>
      <c r="D222" s="524" t="s">
        <v>330</v>
      </c>
      <c r="E222" s="496">
        <v>50</v>
      </c>
      <c r="F222" s="506" t="s">
        <v>6763</v>
      </c>
      <c r="G222" s="530" t="s">
        <v>132</v>
      </c>
      <c r="H222" s="250" t="s">
        <v>465</v>
      </c>
      <c r="I222" s="253" t="s">
        <v>114</v>
      </c>
      <c r="J222" s="253" t="s">
        <v>466</v>
      </c>
      <c r="K222" s="253" t="s">
        <v>467</v>
      </c>
      <c r="L222" s="253"/>
      <c r="M222" s="254"/>
      <c r="N222" s="254">
        <v>44569</v>
      </c>
      <c r="O222" s="600"/>
      <c r="P222" s="600"/>
      <c r="Q222" s="599" t="str">
        <f t="shared" si="4"/>
        <v>Gastos_Gerais</v>
      </c>
      <c r="R222" s="247">
        <f>IF(B222="","",IF(YEAR(B222)='Diário 5º PA'!$Q$1,MONTH(B222)-'Diário 5º PA'!$P$1+1,(YEAR(B222)-'Diário 5º PA'!$Q$1)*12-'Diário 5º PA'!$P$1+1+MONTH(B222)))</f>
        <v>12</v>
      </c>
      <c r="S222" s="600"/>
      <c r="T222" s="600"/>
      <c r="U222" s="600"/>
      <c r="V222" s="600"/>
      <c r="W222" s="600"/>
      <c r="X222" s="600"/>
      <c r="Y222" s="600"/>
      <c r="Z222" s="600"/>
    </row>
    <row r="223" spans="1:26" ht="54" customHeight="1" x14ac:dyDescent="0.2">
      <c r="A223" s="248">
        <v>218</v>
      </c>
      <c r="B223" s="249">
        <v>44531</v>
      </c>
      <c r="C223" s="250" t="s">
        <v>99</v>
      </c>
      <c r="D223" s="524" t="s">
        <v>330</v>
      </c>
      <c r="E223" s="496">
        <v>310</v>
      </c>
      <c r="F223" s="506" t="s">
        <v>6764</v>
      </c>
      <c r="G223" s="530" t="s">
        <v>132</v>
      </c>
      <c r="H223" s="250" t="s">
        <v>488</v>
      </c>
      <c r="I223" s="253" t="s">
        <v>114</v>
      </c>
      <c r="J223" s="253" t="s">
        <v>466</v>
      </c>
      <c r="K223" s="253" t="s">
        <v>547</v>
      </c>
      <c r="L223" s="253"/>
      <c r="M223" s="254"/>
      <c r="N223" s="254">
        <v>44581</v>
      </c>
      <c r="O223" s="600"/>
      <c r="P223" s="600"/>
      <c r="Q223" s="599" t="str">
        <f t="shared" si="4"/>
        <v>Gastos_Gerais</v>
      </c>
      <c r="R223" s="247">
        <f>IF(B223="","",IF(YEAR(B223)='Diário 5º PA'!$Q$1,MONTH(B223)-'Diário 5º PA'!$P$1+1,(YEAR(B223)-'Diário 5º PA'!$Q$1)*12-'Diário 5º PA'!$P$1+1+MONTH(B223)))</f>
        <v>12</v>
      </c>
      <c r="S223" s="600"/>
      <c r="T223" s="600"/>
      <c r="U223" s="600"/>
      <c r="V223" s="600"/>
      <c r="W223" s="600"/>
      <c r="X223" s="600"/>
      <c r="Y223" s="600"/>
      <c r="Z223" s="600"/>
    </row>
    <row r="224" spans="1:26" ht="63.75" customHeight="1" x14ac:dyDescent="0.2">
      <c r="A224" s="248">
        <v>219</v>
      </c>
      <c r="B224" s="249">
        <v>44531</v>
      </c>
      <c r="C224" s="250" t="s">
        <v>99</v>
      </c>
      <c r="D224" s="524" t="s">
        <v>358</v>
      </c>
      <c r="E224" s="496">
        <v>2150</v>
      </c>
      <c r="F224" s="506" t="s">
        <v>6685</v>
      </c>
      <c r="G224" s="530" t="s">
        <v>127</v>
      </c>
      <c r="H224" s="250" t="s">
        <v>6686</v>
      </c>
      <c r="I224" s="253" t="s">
        <v>6687</v>
      </c>
      <c r="J224" s="253"/>
      <c r="K224" s="253"/>
      <c r="L224" s="253"/>
      <c r="M224" s="254"/>
      <c r="N224" s="254"/>
      <c r="O224" s="600"/>
      <c r="P224" s="600"/>
      <c r="Q224" s="599" t="str">
        <f t="shared" si="4"/>
        <v>Gastos_Gerais</v>
      </c>
      <c r="R224" s="247">
        <f>IF(B224="","",IF(YEAR(B224)='Diário 5º PA'!$Q$1,MONTH(B224)-'Diário 5º PA'!$P$1+1,(YEAR(B224)-'Diário 5º PA'!$Q$1)*12-'Diário 5º PA'!$P$1+1+MONTH(B224)))</f>
        <v>12</v>
      </c>
      <c r="S224" s="600"/>
      <c r="T224" s="600"/>
      <c r="U224" s="600"/>
      <c r="V224" s="600"/>
      <c r="W224" s="600"/>
      <c r="X224" s="600"/>
      <c r="Y224" s="600"/>
      <c r="Z224" s="600"/>
    </row>
    <row r="225" spans="1:26" ht="46.5" customHeight="1" x14ac:dyDescent="0.2">
      <c r="A225" s="248">
        <v>220</v>
      </c>
      <c r="B225" s="519">
        <v>44531</v>
      </c>
      <c r="C225" s="281" t="s">
        <v>99</v>
      </c>
      <c r="D225" s="531" t="s">
        <v>362</v>
      </c>
      <c r="E225" s="496">
        <v>533.48</v>
      </c>
      <c r="F225" s="506" t="s">
        <v>6689</v>
      </c>
      <c r="G225" s="532" t="s">
        <v>130</v>
      </c>
      <c r="H225" s="497" t="s">
        <v>6691</v>
      </c>
      <c r="I225" s="534" t="s">
        <v>6690</v>
      </c>
      <c r="J225" s="534"/>
      <c r="K225" s="534"/>
      <c r="L225" s="534"/>
      <c r="M225" s="535"/>
      <c r="N225" s="535"/>
      <c r="O225" s="600"/>
      <c r="P225" s="600"/>
      <c r="Q225" s="599" t="str">
        <f t="shared" si="4"/>
        <v>Gastos_Gerais</v>
      </c>
      <c r="R225" s="247">
        <f>IF(B225="","",IF(YEAR(B225)='Diário 5º PA'!$Q$1,MONTH(B225)-'Diário 5º PA'!$P$1+1,(YEAR(B225)-'Diário 5º PA'!$Q$1)*12-'Diário 5º PA'!$P$1+1+MONTH(B225)))</f>
        <v>12</v>
      </c>
      <c r="S225" s="600"/>
      <c r="T225" s="600"/>
      <c r="U225" s="600"/>
      <c r="V225" s="600"/>
      <c r="W225" s="600"/>
      <c r="X225" s="600"/>
      <c r="Y225" s="600"/>
      <c r="Z225" s="600"/>
    </row>
    <row r="226" spans="1:26" ht="46.5" customHeight="1" x14ac:dyDescent="0.2">
      <c r="A226" s="248">
        <v>221</v>
      </c>
      <c r="B226" s="533">
        <v>44531</v>
      </c>
      <c r="C226" s="497" t="s">
        <v>99</v>
      </c>
      <c r="D226" s="497" t="s">
        <v>232</v>
      </c>
      <c r="E226" s="496">
        <v>10302.6</v>
      </c>
      <c r="F226" s="506" t="s">
        <v>6692</v>
      </c>
      <c r="G226" s="497" t="s">
        <v>115</v>
      </c>
      <c r="H226" s="497" t="s">
        <v>6693</v>
      </c>
      <c r="I226" s="534" t="s">
        <v>6694</v>
      </c>
      <c r="J226" s="534"/>
      <c r="K226" s="534"/>
      <c r="L226" s="534"/>
      <c r="M226" s="535"/>
      <c r="N226" s="535"/>
      <c r="O226" s="600"/>
      <c r="P226" s="600"/>
      <c r="Q226" s="599" t="str">
        <f t="shared" si="4"/>
        <v>Gastos_Gerais</v>
      </c>
      <c r="R226" s="247">
        <f>IF(B226="","",IF(YEAR(B226)='Diário 5º PA'!$Q$1,MONTH(B226)-'Diário 5º PA'!$P$1+1,(YEAR(B226)-'Diário 5º PA'!$Q$1)*12-'Diário 5º PA'!$P$1+1+MONTH(B226)))</f>
        <v>12</v>
      </c>
      <c r="S226" s="600"/>
      <c r="T226" s="600"/>
      <c r="U226" s="600"/>
      <c r="V226" s="600"/>
      <c r="W226" s="600"/>
      <c r="X226" s="600"/>
      <c r="Y226" s="600"/>
      <c r="Z226" s="600"/>
    </row>
    <row r="227" spans="1:26" ht="46.5" customHeight="1" x14ac:dyDescent="0.2">
      <c r="A227" s="248">
        <v>222</v>
      </c>
      <c r="B227" s="519">
        <v>44531</v>
      </c>
      <c r="C227" s="281" t="s">
        <v>99</v>
      </c>
      <c r="D227" s="497" t="s">
        <v>284</v>
      </c>
      <c r="E227" s="496">
        <v>255.2</v>
      </c>
      <c r="F227" s="506" t="s">
        <v>6695</v>
      </c>
      <c r="G227" s="532" t="s">
        <v>130</v>
      </c>
      <c r="H227" s="497" t="s">
        <v>6696</v>
      </c>
      <c r="I227" s="534" t="s">
        <v>1416</v>
      </c>
      <c r="J227" s="534"/>
      <c r="K227" s="534"/>
      <c r="L227" s="534"/>
      <c r="M227" s="535"/>
      <c r="N227" s="535"/>
      <c r="O227" s="600"/>
      <c r="P227" s="600"/>
      <c r="Q227" s="599" t="str">
        <f t="shared" si="4"/>
        <v>Gastos_Gerais</v>
      </c>
      <c r="R227" s="247">
        <f>IF(B227="","",IF(YEAR(B227)='Diário 5º PA'!$Q$1,MONTH(B227)-'Diário 5º PA'!$P$1+1,(YEAR(B227)-'Diário 5º PA'!$Q$1)*12-'Diário 5º PA'!$P$1+1+MONTH(B227)))</f>
        <v>12</v>
      </c>
      <c r="S227" s="600"/>
      <c r="T227" s="600"/>
      <c r="U227" s="600"/>
      <c r="V227" s="600"/>
      <c r="W227" s="600"/>
      <c r="X227" s="600"/>
      <c r="Y227" s="600"/>
      <c r="Z227" s="600"/>
    </row>
    <row r="228" spans="1:26" ht="46.5" customHeight="1" x14ac:dyDescent="0.2">
      <c r="A228" s="248">
        <v>223</v>
      </c>
      <c r="B228" s="533">
        <v>44531</v>
      </c>
      <c r="C228" s="497" t="s">
        <v>99</v>
      </c>
      <c r="D228" s="497" t="s">
        <v>364</v>
      </c>
      <c r="E228" s="496">
        <v>36</v>
      </c>
      <c r="F228" s="506" t="s">
        <v>6846</v>
      </c>
      <c r="G228" s="497" t="s">
        <v>128</v>
      </c>
      <c r="H228" s="497" t="s">
        <v>465</v>
      </c>
      <c r="I228" s="534" t="s">
        <v>114</v>
      </c>
      <c r="J228" s="534" t="s">
        <v>466</v>
      </c>
      <c r="K228" s="534" t="s">
        <v>467</v>
      </c>
      <c r="L228" s="534"/>
      <c r="M228" s="535"/>
      <c r="N228" s="535">
        <v>44569</v>
      </c>
      <c r="O228" s="600"/>
      <c r="P228" s="600"/>
      <c r="Q228" s="599" t="str">
        <f t="shared" si="4"/>
        <v>Gastos_Gerais</v>
      </c>
      <c r="R228" s="247">
        <f>IF(B228="","",IF(YEAR(B228)='Diário 5º PA'!$Q$1,MONTH(B228)-'Diário 5º PA'!$P$1+1,(YEAR(B228)-'Diário 5º PA'!$Q$1)*12-'Diário 5º PA'!$P$1+1+MONTH(B228)))</f>
        <v>12</v>
      </c>
      <c r="S228" s="600"/>
      <c r="T228" s="600"/>
      <c r="U228" s="600"/>
      <c r="V228" s="600"/>
      <c r="W228" s="600"/>
      <c r="X228" s="600"/>
      <c r="Y228" s="600"/>
      <c r="Z228" s="600"/>
    </row>
    <row r="229" spans="1:26" ht="46.5" customHeight="1" x14ac:dyDescent="0.2">
      <c r="A229" s="248">
        <v>224</v>
      </c>
      <c r="B229" s="533">
        <v>44531</v>
      </c>
      <c r="C229" s="497" t="s">
        <v>99</v>
      </c>
      <c r="D229" s="497" t="s">
        <v>364</v>
      </c>
      <c r="E229" s="496">
        <v>372</v>
      </c>
      <c r="F229" s="506" t="s">
        <v>6847</v>
      </c>
      <c r="G229" s="497" t="s">
        <v>128</v>
      </c>
      <c r="H229" s="497" t="s">
        <v>530</v>
      </c>
      <c r="I229" s="534" t="s">
        <v>114</v>
      </c>
      <c r="J229" s="534" t="s">
        <v>466</v>
      </c>
      <c r="K229" s="534" t="s">
        <v>547</v>
      </c>
      <c r="L229" s="534"/>
      <c r="M229" s="535"/>
      <c r="N229" s="535">
        <v>44581</v>
      </c>
      <c r="O229" s="600"/>
      <c r="P229" s="600"/>
      <c r="Q229" s="599" t="str">
        <f t="shared" si="4"/>
        <v>Gastos_Gerais</v>
      </c>
      <c r="R229" s="247">
        <f>IF(B229="","",IF(YEAR(B229)='Diário 5º PA'!$Q$1,MONTH(B229)-'Diário 5º PA'!$P$1+1,(YEAR(B229)-'Diário 5º PA'!$Q$1)*12-'Diário 5º PA'!$P$1+1+MONTH(B229)))</f>
        <v>12</v>
      </c>
      <c r="S229" s="600"/>
      <c r="T229" s="600"/>
      <c r="U229" s="600"/>
      <c r="V229" s="600"/>
      <c r="W229" s="600"/>
      <c r="X229" s="600"/>
      <c r="Y229" s="600"/>
      <c r="Z229" s="600"/>
    </row>
    <row r="230" spans="1:26" ht="77.25" customHeight="1" x14ac:dyDescent="0.2">
      <c r="A230" s="248">
        <v>225</v>
      </c>
      <c r="B230" s="533">
        <v>44531</v>
      </c>
      <c r="C230" s="497" t="s">
        <v>99</v>
      </c>
      <c r="D230" s="497" t="s">
        <v>366</v>
      </c>
      <c r="E230" s="496">
        <v>1000</v>
      </c>
      <c r="F230" s="506" t="s">
        <v>6722</v>
      </c>
      <c r="G230" s="532" t="s">
        <v>130</v>
      </c>
      <c r="H230" s="497" t="s">
        <v>6724</v>
      </c>
      <c r="I230" s="534" t="s">
        <v>6723</v>
      </c>
      <c r="J230" s="534"/>
      <c r="K230" s="534"/>
      <c r="L230" s="534"/>
      <c r="M230" s="535"/>
      <c r="N230" s="535"/>
      <c r="O230" s="600"/>
      <c r="P230" s="600"/>
      <c r="Q230" s="599" t="str">
        <f t="shared" si="4"/>
        <v>Gastos_Gerais</v>
      </c>
      <c r="R230" s="247">
        <f>IF(B230="","",IF(YEAR(B230)='Diário 5º PA'!$Q$1,MONTH(B230)-'Diário 5º PA'!$P$1+1,(YEAR(B230)-'Diário 5º PA'!$Q$1)*12-'Diário 5º PA'!$P$1+1+MONTH(B230)))</f>
        <v>12</v>
      </c>
      <c r="S230" s="600"/>
      <c r="T230" s="600"/>
      <c r="U230" s="600"/>
      <c r="V230" s="600"/>
      <c r="W230" s="600"/>
      <c r="X230" s="600"/>
      <c r="Y230" s="600"/>
      <c r="Z230" s="600"/>
    </row>
    <row r="231" spans="1:26" ht="46.5" customHeight="1" x14ac:dyDescent="0.2">
      <c r="A231" s="248">
        <v>226</v>
      </c>
      <c r="B231" s="533">
        <v>44531</v>
      </c>
      <c r="C231" s="497" t="s">
        <v>99</v>
      </c>
      <c r="D231" s="497" t="s">
        <v>364</v>
      </c>
      <c r="E231" s="496">
        <v>125</v>
      </c>
      <c r="F231" s="506" t="s">
        <v>6849</v>
      </c>
      <c r="G231" s="497" t="s">
        <v>116</v>
      </c>
      <c r="H231" s="497" t="s">
        <v>465</v>
      </c>
      <c r="I231" s="534" t="s">
        <v>114</v>
      </c>
      <c r="J231" s="534" t="s">
        <v>466</v>
      </c>
      <c r="K231" s="534" t="s">
        <v>467</v>
      </c>
      <c r="L231" s="534"/>
      <c r="M231" s="535"/>
      <c r="N231" s="535">
        <v>44204</v>
      </c>
      <c r="O231" s="600"/>
      <c r="P231" s="600"/>
      <c r="Q231" s="599" t="str">
        <f t="shared" si="4"/>
        <v>Gastos_Gerais</v>
      </c>
      <c r="R231" s="247">
        <f>IF(B231="","",IF(YEAR(B231)='Diário 5º PA'!$Q$1,MONTH(B231)-'Diário 5º PA'!$P$1+1,(YEAR(B231)-'Diário 5º PA'!$Q$1)*12-'Diário 5º PA'!$P$1+1+MONTH(B231)))</f>
        <v>12</v>
      </c>
      <c r="S231" s="600"/>
      <c r="T231" s="600"/>
      <c r="U231" s="600"/>
      <c r="V231" s="600"/>
      <c r="W231" s="600"/>
      <c r="X231" s="600"/>
      <c r="Y231" s="600"/>
      <c r="Z231" s="600"/>
    </row>
    <row r="232" spans="1:26" ht="64.5" customHeight="1" x14ac:dyDescent="0.2">
      <c r="A232" s="248">
        <v>227</v>
      </c>
      <c r="B232" s="533">
        <v>44531</v>
      </c>
      <c r="C232" s="497" t="s">
        <v>99</v>
      </c>
      <c r="D232" s="497" t="s">
        <v>364</v>
      </c>
      <c r="E232" s="496">
        <v>12.6</v>
      </c>
      <c r="F232" s="506" t="s">
        <v>6885</v>
      </c>
      <c r="G232" s="497" t="s">
        <v>131</v>
      </c>
      <c r="H232" s="497" t="s">
        <v>465</v>
      </c>
      <c r="I232" s="534" t="s">
        <v>114</v>
      </c>
      <c r="J232" s="534" t="s">
        <v>466</v>
      </c>
      <c r="K232" s="534" t="s">
        <v>467</v>
      </c>
      <c r="L232" s="534"/>
      <c r="M232" s="535"/>
      <c r="N232" s="535">
        <v>44204</v>
      </c>
      <c r="O232" s="600"/>
      <c r="P232" s="600"/>
      <c r="Q232" s="599" t="str">
        <f t="shared" si="4"/>
        <v>Gastos_Gerais</v>
      </c>
      <c r="R232" s="247">
        <f>IF(B232="","",IF(YEAR(B232)='Diário 5º PA'!$Q$1,MONTH(B232)-'Diário 5º PA'!$P$1+1,(YEAR(B232)-'Diário 5º PA'!$Q$1)*12-'Diário 5º PA'!$P$1+1+MONTH(B232)))</f>
        <v>12</v>
      </c>
      <c r="S232" s="600"/>
      <c r="T232" s="600"/>
      <c r="U232" s="600"/>
      <c r="V232" s="600"/>
      <c r="W232" s="600"/>
      <c r="X232" s="600"/>
      <c r="Y232" s="600"/>
      <c r="Z232" s="600"/>
    </row>
    <row r="233" spans="1:26" ht="64.5" customHeight="1" x14ac:dyDescent="0.2">
      <c r="A233" s="248">
        <v>228</v>
      </c>
      <c r="B233" s="533">
        <v>44531</v>
      </c>
      <c r="C233" s="497" t="s">
        <v>99</v>
      </c>
      <c r="D233" s="497" t="s">
        <v>364</v>
      </c>
      <c r="E233" s="496">
        <v>7200</v>
      </c>
      <c r="F233" s="506" t="s">
        <v>6772</v>
      </c>
      <c r="G233" s="497" t="s">
        <v>116</v>
      </c>
      <c r="H233" s="497" t="s">
        <v>6773</v>
      </c>
      <c r="I233" s="534" t="s">
        <v>6774</v>
      </c>
      <c r="J233" s="534"/>
      <c r="K233" s="534"/>
      <c r="L233" s="534"/>
      <c r="M233" s="535"/>
      <c r="N233" s="535"/>
      <c r="O233" s="600"/>
      <c r="P233" s="600"/>
      <c r="Q233" s="599" t="str">
        <f t="shared" si="4"/>
        <v>Gastos_Gerais</v>
      </c>
      <c r="R233" s="247">
        <f>IF(B233="","",IF(YEAR(B233)='Diário 5º PA'!$Q$1,MONTH(B233)-'Diário 5º PA'!$P$1+1,(YEAR(B233)-'Diário 5º PA'!$Q$1)*12-'Diário 5º PA'!$P$1+1+MONTH(B233)))</f>
        <v>12</v>
      </c>
      <c r="S233" s="600"/>
      <c r="T233" s="600"/>
      <c r="U233" s="600"/>
      <c r="V233" s="600"/>
      <c r="W233" s="600"/>
      <c r="X233" s="600"/>
      <c r="Y233" s="600"/>
      <c r="Z233" s="600"/>
    </row>
    <row r="234" spans="1:26" ht="86.25" customHeight="1" x14ac:dyDescent="0.2">
      <c r="A234" s="248">
        <v>229</v>
      </c>
      <c r="B234" s="533">
        <v>44531</v>
      </c>
      <c r="C234" s="497" t="s">
        <v>99</v>
      </c>
      <c r="D234" s="497" t="s">
        <v>364</v>
      </c>
      <c r="E234" s="496">
        <v>600</v>
      </c>
      <c r="F234" s="506" t="s">
        <v>6842</v>
      </c>
      <c r="G234" s="497" t="s">
        <v>131</v>
      </c>
      <c r="H234" s="497" t="s">
        <v>6843</v>
      </c>
      <c r="I234" s="534" t="s">
        <v>2900</v>
      </c>
      <c r="J234" s="534"/>
      <c r="K234" s="534"/>
      <c r="L234" s="534"/>
      <c r="M234" s="535"/>
      <c r="N234" s="535"/>
      <c r="O234" s="600"/>
      <c r="P234" s="600"/>
      <c r="Q234" s="599" t="str">
        <f t="shared" si="4"/>
        <v>Gastos_Gerais</v>
      </c>
      <c r="R234" s="247">
        <f>IF(B234="","",IF(YEAR(B234)='Diário 5º PA'!$Q$1,MONTH(B234)-'Diário 5º PA'!$P$1+1,(YEAR(B234)-'Diário 5º PA'!$Q$1)*12-'Diário 5º PA'!$P$1+1+MONTH(B234)))</f>
        <v>12</v>
      </c>
      <c r="S234" s="600"/>
      <c r="T234" s="600"/>
      <c r="U234" s="600"/>
      <c r="V234" s="600"/>
      <c r="W234" s="600"/>
      <c r="X234" s="600"/>
      <c r="Y234" s="600"/>
      <c r="Z234" s="600"/>
    </row>
    <row r="235" spans="1:26" ht="82.5" customHeight="1" x14ac:dyDescent="0.2">
      <c r="A235" s="248">
        <v>230</v>
      </c>
      <c r="B235" s="533">
        <v>44531</v>
      </c>
      <c r="C235" s="497" t="s">
        <v>99</v>
      </c>
      <c r="D235" s="497" t="s">
        <v>364</v>
      </c>
      <c r="E235" s="496">
        <v>1500</v>
      </c>
      <c r="F235" s="506" t="s">
        <v>6854</v>
      </c>
      <c r="G235" s="497" t="s">
        <v>127</v>
      </c>
      <c r="H235" s="497" t="s">
        <v>6855</v>
      </c>
      <c r="I235" s="534" t="s">
        <v>6856</v>
      </c>
      <c r="J235" s="534"/>
      <c r="K235" s="534"/>
      <c r="L235" s="534"/>
      <c r="M235" s="535"/>
      <c r="N235" s="535"/>
      <c r="O235" s="600"/>
      <c r="P235" s="600"/>
      <c r="Q235" s="599" t="str">
        <f t="shared" si="4"/>
        <v>Gastos_Gerais</v>
      </c>
      <c r="R235" s="247">
        <f>IF(B235="","",IF(YEAR(B235)='Diário 5º PA'!$Q$1,MONTH(B235)-'Diário 5º PA'!$P$1+1,(YEAR(B235)-'Diário 5º PA'!$Q$1)*12-'Diário 5º PA'!$P$1+1+MONTH(B235)))</f>
        <v>12</v>
      </c>
      <c r="S235" s="600"/>
      <c r="T235" s="600"/>
      <c r="U235" s="600"/>
      <c r="V235" s="600"/>
      <c r="W235" s="600"/>
      <c r="X235" s="600"/>
      <c r="Y235" s="600"/>
      <c r="Z235" s="600"/>
    </row>
    <row r="236" spans="1:26" ht="64.5" customHeight="1" x14ac:dyDescent="0.2">
      <c r="A236" s="248">
        <v>231</v>
      </c>
      <c r="B236" s="533">
        <v>44531</v>
      </c>
      <c r="C236" s="497" t="s">
        <v>99</v>
      </c>
      <c r="D236" s="497" t="s">
        <v>336</v>
      </c>
      <c r="E236" s="496">
        <v>960</v>
      </c>
      <c r="F236" s="506" t="s">
        <v>6874</v>
      </c>
      <c r="G236" s="497" t="s">
        <v>118</v>
      </c>
      <c r="H236" s="497" t="s">
        <v>6875</v>
      </c>
      <c r="I236" s="534" t="s">
        <v>6876</v>
      </c>
      <c r="J236" s="534"/>
      <c r="K236" s="534"/>
      <c r="L236" s="534"/>
      <c r="M236" s="535"/>
      <c r="N236" s="535"/>
      <c r="O236" s="600"/>
      <c r="P236" s="600"/>
      <c r="Q236" s="599" t="str">
        <f t="shared" si="4"/>
        <v>Gastos_Gerais</v>
      </c>
      <c r="R236" s="247">
        <f>IF(B236="","",IF(YEAR(B236)='Diário 5º PA'!$Q$1,MONTH(B236)-'Diário 5º PA'!$P$1+1,(YEAR(B236)-'Diário 5º PA'!$Q$1)*12-'Diário 5º PA'!$P$1+1+MONTH(B236)))</f>
        <v>12</v>
      </c>
      <c r="S236" s="600"/>
      <c r="T236" s="600"/>
      <c r="U236" s="600"/>
      <c r="V236" s="600"/>
      <c r="W236" s="600"/>
      <c r="X236" s="600"/>
      <c r="Y236" s="600"/>
      <c r="Z236" s="600"/>
    </row>
    <row r="237" spans="1:26" ht="64.5" customHeight="1" x14ac:dyDescent="0.2">
      <c r="A237" s="248">
        <v>232</v>
      </c>
      <c r="B237" s="533">
        <v>44531</v>
      </c>
      <c r="C237" s="497" t="s">
        <v>99</v>
      </c>
      <c r="D237" s="497" t="s">
        <v>370</v>
      </c>
      <c r="E237" s="496">
        <v>2500</v>
      </c>
      <c r="F237" s="451" t="s">
        <v>6984</v>
      </c>
      <c r="G237" s="497" t="s">
        <v>116</v>
      </c>
      <c r="H237" s="497" t="s">
        <v>6985</v>
      </c>
      <c r="I237" s="534" t="s">
        <v>929</v>
      </c>
      <c r="J237" s="534"/>
      <c r="K237" s="534"/>
      <c r="L237" s="534"/>
      <c r="M237" s="535"/>
      <c r="N237" s="535"/>
      <c r="O237" s="600"/>
      <c r="P237" s="600"/>
      <c r="Q237" s="599" t="str">
        <f t="shared" si="4"/>
        <v>Gastos_Gerais</v>
      </c>
      <c r="R237" s="247">
        <f>IF(B237="","",IF(YEAR(B237)='Diário 5º PA'!$Q$1,MONTH(B237)-'Diário 5º PA'!$P$1+1,(YEAR(B237)-'Diário 5º PA'!$Q$1)*12-'Diário 5º PA'!$P$1+1+MONTH(B237)))</f>
        <v>12</v>
      </c>
      <c r="S237" s="600"/>
      <c r="T237" s="600"/>
      <c r="U237" s="600"/>
      <c r="V237" s="600"/>
      <c r="W237" s="600"/>
      <c r="X237" s="600"/>
      <c r="Y237" s="600"/>
      <c r="Z237" s="600"/>
    </row>
    <row r="238" spans="1:26" ht="64.5" customHeight="1" x14ac:dyDescent="0.2">
      <c r="A238" s="248">
        <v>233</v>
      </c>
      <c r="B238" s="533">
        <v>44531</v>
      </c>
      <c r="C238" s="497" t="s">
        <v>88</v>
      </c>
      <c r="D238" s="497" t="s">
        <v>177</v>
      </c>
      <c r="E238" s="496">
        <v>452.09</v>
      </c>
      <c r="F238" s="452" t="s">
        <v>7044</v>
      </c>
      <c r="G238" s="497" t="s">
        <v>114</v>
      </c>
      <c r="H238" s="497" t="s">
        <v>530</v>
      </c>
      <c r="I238" s="527" t="s">
        <v>114</v>
      </c>
      <c r="J238" s="481" t="s">
        <v>466</v>
      </c>
      <c r="K238" s="527" t="s">
        <v>547</v>
      </c>
      <c r="L238" s="534"/>
      <c r="M238" s="535"/>
      <c r="N238" s="535">
        <v>44581</v>
      </c>
      <c r="O238" s="600"/>
      <c r="P238" s="600"/>
      <c r="Q238" s="599" t="str">
        <f t="shared" si="4"/>
        <v>Gastos_com_Pessoal</v>
      </c>
      <c r="R238" s="247">
        <f>IF(B238="","",IF(YEAR(B238)='Diário 5º PA'!$Q$1,MONTH(B238)-'Diário 5º PA'!$P$1+1,(YEAR(B238)-'Diário 5º PA'!$Q$1)*12-'Diário 5º PA'!$P$1+1+MONTH(B238)))</f>
        <v>12</v>
      </c>
      <c r="S238" s="600"/>
      <c r="T238" s="600"/>
      <c r="U238" s="600"/>
      <c r="V238" s="600"/>
      <c r="W238" s="600"/>
      <c r="X238" s="600"/>
      <c r="Y238" s="600"/>
      <c r="Z238" s="600"/>
    </row>
    <row r="239" spans="1:26" ht="64.5" customHeight="1" x14ac:dyDescent="0.2">
      <c r="A239" s="248">
        <v>234</v>
      </c>
      <c r="B239" s="533">
        <v>44531</v>
      </c>
      <c r="C239" s="497" t="s">
        <v>88</v>
      </c>
      <c r="D239" s="497" t="s">
        <v>177</v>
      </c>
      <c r="E239" s="496">
        <v>227.74</v>
      </c>
      <c r="F239" s="452" t="s">
        <v>7045</v>
      </c>
      <c r="G239" s="497" t="s">
        <v>114</v>
      </c>
      <c r="H239" s="252" t="s">
        <v>488</v>
      </c>
      <c r="I239" s="527" t="s">
        <v>114</v>
      </c>
      <c r="J239" s="481" t="s">
        <v>466</v>
      </c>
      <c r="K239" s="527" t="s">
        <v>489</v>
      </c>
      <c r="L239" s="534"/>
      <c r="M239" s="535"/>
      <c r="N239" s="535">
        <v>44581</v>
      </c>
      <c r="O239" s="600"/>
      <c r="P239" s="600"/>
      <c r="Q239" s="599" t="str">
        <f t="shared" si="4"/>
        <v>Gastos_com_Pessoal</v>
      </c>
      <c r="R239" s="247">
        <f>IF(B239="","",IF(YEAR(B239)='Diário 5º PA'!$Q$1,MONTH(B239)-'Diário 5º PA'!$P$1+1,(YEAR(B239)-'Diário 5º PA'!$Q$1)*12-'Diário 5º PA'!$P$1+1+MONTH(B239)))</f>
        <v>12</v>
      </c>
      <c r="S239" s="600"/>
      <c r="T239" s="600"/>
      <c r="U239" s="600"/>
      <c r="V239" s="600"/>
      <c r="W239" s="600"/>
      <c r="X239" s="600"/>
      <c r="Y239" s="600"/>
      <c r="Z239" s="600"/>
    </row>
    <row r="240" spans="1:26" ht="64.5" customHeight="1" x14ac:dyDescent="0.2">
      <c r="A240" s="248">
        <v>235</v>
      </c>
      <c r="B240" s="533">
        <v>44531</v>
      </c>
      <c r="C240" s="497" t="s">
        <v>99</v>
      </c>
      <c r="D240" s="497" t="s">
        <v>350</v>
      </c>
      <c r="E240" s="496">
        <v>8000</v>
      </c>
      <c r="F240" s="451" t="s">
        <v>6987</v>
      </c>
      <c r="G240" s="497" t="s">
        <v>131</v>
      </c>
      <c r="H240" s="497" t="s">
        <v>6986</v>
      </c>
      <c r="I240" s="534" t="s">
        <v>6988</v>
      </c>
      <c r="J240" s="534"/>
      <c r="K240" s="534"/>
      <c r="L240" s="534"/>
      <c r="M240" s="535"/>
      <c r="N240" s="535"/>
      <c r="O240" s="600"/>
      <c r="P240" s="600"/>
      <c r="Q240" s="599" t="str">
        <f t="shared" si="4"/>
        <v>Gastos_Gerais</v>
      </c>
      <c r="R240" s="247">
        <f>IF(B240="","",IF(YEAR(B240)='Diário 5º PA'!$Q$1,MONTH(B240)-'Diário 5º PA'!$P$1+1,(YEAR(B240)-'Diário 5º PA'!$Q$1)*12-'Diário 5º PA'!$P$1+1+MONTH(B240)))</f>
        <v>12</v>
      </c>
      <c r="S240" s="600"/>
      <c r="T240" s="600"/>
      <c r="U240" s="600"/>
      <c r="V240" s="600"/>
      <c r="W240" s="600"/>
      <c r="X240" s="600"/>
      <c r="Y240" s="600"/>
      <c r="Z240" s="600"/>
    </row>
    <row r="241" spans="1:26" ht="64.5" customHeight="1" x14ac:dyDescent="0.2">
      <c r="A241" s="248">
        <v>236</v>
      </c>
      <c r="B241" s="533">
        <v>44531</v>
      </c>
      <c r="C241" s="497" t="s">
        <v>99</v>
      </c>
      <c r="D241" s="497" t="s">
        <v>358</v>
      </c>
      <c r="E241" s="496">
        <v>1584</v>
      </c>
      <c r="F241" s="451" t="s">
        <v>6990</v>
      </c>
      <c r="G241" s="497" t="s">
        <v>118</v>
      </c>
      <c r="H241" s="497" t="s">
        <v>6989</v>
      </c>
      <c r="I241" s="534" t="s">
        <v>6403</v>
      </c>
      <c r="J241" s="534"/>
      <c r="K241" s="534"/>
      <c r="L241" s="534"/>
      <c r="M241" s="535"/>
      <c r="N241" s="535"/>
      <c r="O241" s="600"/>
      <c r="P241" s="600"/>
      <c r="Q241" s="599" t="str">
        <f t="shared" si="4"/>
        <v>Gastos_Gerais</v>
      </c>
      <c r="R241" s="247">
        <f>IF(B241="","",IF(YEAR(B241)='Diário 5º PA'!$Q$1,MONTH(B241)-'Diário 5º PA'!$P$1+1,(YEAR(B241)-'Diário 5º PA'!$Q$1)*12-'Diário 5º PA'!$P$1+1+MONTH(B241)))</f>
        <v>12</v>
      </c>
      <c r="S241" s="600"/>
      <c r="T241" s="600"/>
      <c r="U241" s="600"/>
      <c r="V241" s="600"/>
      <c r="W241" s="600"/>
      <c r="X241" s="600"/>
      <c r="Y241" s="600"/>
      <c r="Z241" s="600"/>
    </row>
    <row r="242" spans="1:26" ht="72" customHeight="1" x14ac:dyDescent="0.2">
      <c r="A242" s="248">
        <v>237</v>
      </c>
      <c r="B242" s="533">
        <v>44531</v>
      </c>
      <c r="C242" s="497" t="s">
        <v>99</v>
      </c>
      <c r="D242" s="497" t="s">
        <v>364</v>
      </c>
      <c r="E242" s="496">
        <v>242.84</v>
      </c>
      <c r="F242" s="451" t="s">
        <v>6993</v>
      </c>
      <c r="G242" s="497" t="s">
        <v>122</v>
      </c>
      <c r="H242" s="497" t="s">
        <v>6991</v>
      </c>
      <c r="I242" s="534" t="s">
        <v>6992</v>
      </c>
      <c r="J242" s="534"/>
      <c r="K242" s="534"/>
      <c r="L242" s="534"/>
      <c r="M242" s="535"/>
      <c r="N242" s="535"/>
      <c r="O242" s="600"/>
      <c r="P242" s="600"/>
      <c r="Q242" s="599" t="str">
        <f t="shared" si="4"/>
        <v>Gastos_Gerais</v>
      </c>
      <c r="R242" s="247">
        <f>IF(B242="","",IF(YEAR(B242)='Diário 5º PA'!$Q$1,MONTH(B242)-'Diário 5º PA'!$P$1+1,(YEAR(B242)-'Diário 5º PA'!$Q$1)*12-'Diário 5º PA'!$P$1+1+MONTH(B242)))</f>
        <v>12</v>
      </c>
      <c r="S242" s="600"/>
      <c r="T242" s="600"/>
      <c r="U242" s="600"/>
      <c r="V242" s="600"/>
      <c r="W242" s="600"/>
      <c r="X242" s="600"/>
      <c r="Y242" s="600"/>
      <c r="Z242" s="600"/>
    </row>
    <row r="243" spans="1:26" ht="72" customHeight="1" x14ac:dyDescent="0.2">
      <c r="A243" s="248">
        <v>238</v>
      </c>
      <c r="B243" s="533">
        <v>44531</v>
      </c>
      <c r="C243" s="497" t="s">
        <v>99</v>
      </c>
      <c r="D243" s="497" t="s">
        <v>336</v>
      </c>
      <c r="E243" s="496">
        <v>2400</v>
      </c>
      <c r="F243" s="451" t="s">
        <v>6995</v>
      </c>
      <c r="G243" s="497" t="s">
        <v>116</v>
      </c>
      <c r="H243" s="497" t="s">
        <v>6994</v>
      </c>
      <c r="I243" s="534" t="s">
        <v>1264</v>
      </c>
      <c r="J243" s="534"/>
      <c r="K243" s="534"/>
      <c r="L243" s="534"/>
      <c r="M243" s="535"/>
      <c r="N243" s="535"/>
      <c r="O243" s="600"/>
      <c r="P243" s="600"/>
      <c r="Q243" s="599" t="str">
        <f t="shared" si="4"/>
        <v>Gastos_Gerais</v>
      </c>
      <c r="R243" s="247">
        <f>IF(B243="","",IF(YEAR(B243)='Diário 5º PA'!$Q$1,MONTH(B243)-'Diário 5º PA'!$P$1+1,(YEAR(B243)-'Diário 5º PA'!$Q$1)*12-'Diário 5º PA'!$P$1+1+MONTH(B243)))</f>
        <v>12</v>
      </c>
      <c r="S243" s="600"/>
      <c r="T243" s="600"/>
      <c r="U243" s="600"/>
      <c r="V243" s="600"/>
      <c r="W243" s="600"/>
      <c r="X243" s="600"/>
      <c r="Y243" s="600"/>
      <c r="Z243" s="600"/>
    </row>
    <row r="244" spans="1:26" ht="72" customHeight="1" x14ac:dyDescent="0.2">
      <c r="A244" s="248">
        <v>239</v>
      </c>
      <c r="B244" s="533">
        <v>44531</v>
      </c>
      <c r="C244" s="497" t="s">
        <v>99</v>
      </c>
      <c r="D244" s="497" t="s">
        <v>262</v>
      </c>
      <c r="E244" s="496">
        <v>180</v>
      </c>
      <c r="F244" s="451" t="s">
        <v>7011</v>
      </c>
      <c r="G244" s="497" t="s">
        <v>129</v>
      </c>
      <c r="H244" s="497" t="s">
        <v>7010</v>
      </c>
      <c r="I244" s="534" t="s">
        <v>6964</v>
      </c>
      <c r="J244" s="534"/>
      <c r="K244" s="534"/>
      <c r="L244" s="534"/>
      <c r="M244" s="535"/>
      <c r="N244" s="535"/>
      <c r="O244" s="600"/>
      <c r="P244" s="600"/>
      <c r="Q244" s="599" t="str">
        <f t="shared" si="4"/>
        <v>Gastos_Gerais</v>
      </c>
      <c r="R244" s="247">
        <f>IF(B244="","",IF(YEAR(B244)='Diário 5º PA'!$Q$1,MONTH(B244)-'Diário 5º PA'!$P$1+1,(YEAR(B244)-'Diário 5º PA'!$Q$1)*12-'Diário 5º PA'!$P$1+1+MONTH(B244)))</f>
        <v>12</v>
      </c>
      <c r="S244" s="600"/>
      <c r="T244" s="600"/>
      <c r="U244" s="600"/>
      <c r="V244" s="600"/>
      <c r="W244" s="600"/>
      <c r="X244" s="600"/>
      <c r="Y244" s="600"/>
      <c r="Z244" s="600"/>
    </row>
    <row r="245" spans="1:26" ht="72" customHeight="1" x14ac:dyDescent="0.2">
      <c r="A245" s="248">
        <v>240</v>
      </c>
      <c r="B245" s="533">
        <v>44531</v>
      </c>
      <c r="C245" s="497" t="s">
        <v>99</v>
      </c>
      <c r="D245" s="497" t="s">
        <v>364</v>
      </c>
      <c r="E245" s="496">
        <v>290</v>
      </c>
      <c r="F245" s="451" t="s">
        <v>7018</v>
      </c>
      <c r="G245" s="497" t="s">
        <v>129</v>
      </c>
      <c r="H245" s="497" t="s">
        <v>7016</v>
      </c>
      <c r="I245" s="534" t="s">
        <v>7017</v>
      </c>
      <c r="J245" s="534"/>
      <c r="K245" s="534"/>
      <c r="L245" s="534"/>
      <c r="M245" s="535"/>
      <c r="N245" s="535"/>
      <c r="O245" s="600"/>
      <c r="P245" s="600"/>
      <c r="Q245" s="599" t="str">
        <f t="shared" si="4"/>
        <v>Gastos_Gerais</v>
      </c>
      <c r="R245" s="247">
        <f>IF(B245="","",IF(YEAR(B245)='Diário 5º PA'!$Q$1,MONTH(B245)-'Diário 5º PA'!$P$1+1,(YEAR(B245)-'Diário 5º PA'!$Q$1)*12-'Diário 5º PA'!$P$1+1+MONTH(B245)))</f>
        <v>12</v>
      </c>
      <c r="S245" s="600"/>
      <c r="T245" s="600"/>
      <c r="U245" s="600"/>
      <c r="V245" s="600"/>
      <c r="W245" s="600"/>
      <c r="X245" s="600"/>
      <c r="Y245" s="600"/>
      <c r="Z245" s="600"/>
    </row>
    <row r="246" spans="1:26" ht="50.1" customHeight="1" x14ac:dyDescent="0.2">
      <c r="A246" s="248">
        <v>241</v>
      </c>
      <c r="B246" s="507">
        <v>44501</v>
      </c>
      <c r="C246" s="495" t="s">
        <v>104</v>
      </c>
      <c r="D246" s="495" t="s">
        <v>104</v>
      </c>
      <c r="E246" s="496">
        <v>50</v>
      </c>
      <c r="F246" s="451" t="s">
        <v>7088</v>
      </c>
      <c r="G246" s="497" t="s">
        <v>104</v>
      </c>
      <c r="H246" s="560" t="s">
        <v>465</v>
      </c>
      <c r="I246" s="534" t="s">
        <v>114</v>
      </c>
      <c r="J246" s="534" t="s">
        <v>466</v>
      </c>
      <c r="K246" s="534" t="s">
        <v>467</v>
      </c>
      <c r="L246" s="534"/>
      <c r="M246" s="535"/>
      <c r="N246" s="535"/>
      <c r="O246" s="600"/>
      <c r="P246" s="600"/>
      <c r="Q246" s="599" t="str">
        <f t="shared" si="4"/>
        <v>Gastos_custeados_por_captação</v>
      </c>
      <c r="R246" s="247">
        <f>IF(B246="","",IF(YEAR(B246)='Diário 5º PA'!$Q$1,MONTH(B246)-'Diário 5º PA'!$P$1+1,(YEAR(B246)-'Diário 5º PA'!$Q$1)*12-'Diário 5º PA'!$P$1+1+MONTH(B246)))</f>
        <v>11</v>
      </c>
      <c r="S246" s="600"/>
      <c r="T246" s="600"/>
      <c r="U246" s="600"/>
      <c r="V246" s="600"/>
      <c r="W246" s="600"/>
      <c r="X246" s="600"/>
      <c r="Y246" s="600"/>
      <c r="Z246" s="600"/>
    </row>
    <row r="247" spans="1:26" ht="50.1" customHeight="1" x14ac:dyDescent="0.2">
      <c r="A247" s="248">
        <v>242</v>
      </c>
      <c r="B247" s="507">
        <v>44501</v>
      </c>
      <c r="C247" s="495" t="s">
        <v>104</v>
      </c>
      <c r="D247" s="495" t="s">
        <v>104</v>
      </c>
      <c r="E247" s="496">
        <v>310</v>
      </c>
      <c r="F247" s="451" t="s">
        <v>7089</v>
      </c>
      <c r="G247" s="497" t="s">
        <v>104</v>
      </c>
      <c r="H247" s="560" t="s">
        <v>530</v>
      </c>
      <c r="I247" s="534" t="s">
        <v>114</v>
      </c>
      <c r="J247" s="534" t="s">
        <v>466</v>
      </c>
      <c r="K247" s="534" t="s">
        <v>547</v>
      </c>
      <c r="L247" s="534"/>
      <c r="M247" s="535"/>
      <c r="N247" s="535"/>
      <c r="O247" s="600"/>
      <c r="P247" s="600"/>
      <c r="Q247" s="599" t="str">
        <f t="shared" si="4"/>
        <v>Gastos_custeados_por_captação</v>
      </c>
      <c r="R247" s="247">
        <f>IF(B247="","",IF(YEAR(B247)='Diário 5º PA'!$Q$1,MONTH(B247)-'Diário 5º PA'!$P$1+1,(YEAR(B247)-'Diário 5º PA'!$Q$1)*12-'Diário 5º PA'!$P$1+1+MONTH(B247)))</f>
        <v>11</v>
      </c>
      <c r="S247" s="600"/>
      <c r="T247" s="600"/>
      <c r="U247" s="600"/>
      <c r="V247" s="600"/>
      <c r="W247" s="600"/>
      <c r="X247" s="600"/>
      <c r="Y247" s="600"/>
      <c r="Z247" s="600"/>
    </row>
    <row r="248" spans="1:26" ht="50.1" customHeight="1" x14ac:dyDescent="0.2">
      <c r="A248" s="248">
        <v>243</v>
      </c>
      <c r="B248" s="507">
        <v>44501</v>
      </c>
      <c r="C248" s="495" t="s">
        <v>104</v>
      </c>
      <c r="D248" s="495" t="s">
        <v>104</v>
      </c>
      <c r="E248" s="496">
        <v>30</v>
      </c>
      <c r="F248" s="451" t="s">
        <v>7092</v>
      </c>
      <c r="G248" s="497" t="s">
        <v>104</v>
      </c>
      <c r="H248" s="560" t="s">
        <v>465</v>
      </c>
      <c r="I248" s="534" t="s">
        <v>114</v>
      </c>
      <c r="J248" s="534" t="s">
        <v>466</v>
      </c>
      <c r="K248" s="534" t="s">
        <v>467</v>
      </c>
      <c r="L248" s="534"/>
      <c r="M248" s="535"/>
      <c r="N248" s="535"/>
      <c r="O248" s="600"/>
      <c r="P248" s="600"/>
      <c r="Q248" s="599" t="str">
        <f t="shared" si="4"/>
        <v>Gastos_custeados_por_captação</v>
      </c>
      <c r="R248" s="247">
        <f>IF(B248="","",IF(YEAR(B248)='Diário 5º PA'!$Q$1,MONTH(B248)-'Diário 5º PA'!$P$1+1,(YEAR(B248)-'Diário 5º PA'!$Q$1)*12-'Diário 5º PA'!$P$1+1+MONTH(B248)))</f>
        <v>11</v>
      </c>
      <c r="S248" s="600"/>
      <c r="T248" s="600"/>
      <c r="U248" s="600"/>
      <c r="V248" s="600"/>
      <c r="W248" s="600"/>
      <c r="X248" s="600"/>
      <c r="Y248" s="600"/>
      <c r="Z248" s="600"/>
    </row>
    <row r="249" spans="1:26" ht="50.1" customHeight="1" x14ac:dyDescent="0.2">
      <c r="A249" s="248">
        <v>244</v>
      </c>
      <c r="B249" s="507">
        <v>44501</v>
      </c>
      <c r="C249" s="495" t="s">
        <v>104</v>
      </c>
      <c r="D249" s="495" t="s">
        <v>104</v>
      </c>
      <c r="E249" s="496">
        <v>186</v>
      </c>
      <c r="F249" s="451" t="s">
        <v>7093</v>
      </c>
      <c r="G249" s="497" t="s">
        <v>104</v>
      </c>
      <c r="H249" s="560" t="s">
        <v>530</v>
      </c>
      <c r="I249" s="534" t="s">
        <v>114</v>
      </c>
      <c r="J249" s="534" t="s">
        <v>466</v>
      </c>
      <c r="K249" s="534" t="s">
        <v>547</v>
      </c>
      <c r="L249" s="534"/>
      <c r="M249" s="535"/>
      <c r="N249" s="535"/>
      <c r="O249" s="600"/>
      <c r="P249" s="600"/>
      <c r="Q249" s="599" t="str">
        <f t="shared" si="4"/>
        <v>Gastos_custeados_por_captação</v>
      </c>
      <c r="R249" s="247">
        <f>IF(B249="","",IF(YEAR(B249)='Diário 5º PA'!$Q$1,MONTH(B249)-'Diário 5º PA'!$P$1+1,(YEAR(B249)-'Diário 5º PA'!$Q$1)*12-'Diário 5º PA'!$P$1+1+MONTH(B249)))</f>
        <v>11</v>
      </c>
      <c r="S249" s="600"/>
      <c r="T249" s="600"/>
      <c r="U249" s="600"/>
      <c r="V249" s="600"/>
      <c r="W249" s="600"/>
      <c r="X249" s="600"/>
      <c r="Y249" s="600"/>
      <c r="Z249" s="600"/>
    </row>
    <row r="250" spans="1:26" ht="50.1" customHeight="1" x14ac:dyDescent="0.2">
      <c r="A250" s="248">
        <v>245</v>
      </c>
      <c r="B250" s="507">
        <v>44501</v>
      </c>
      <c r="C250" s="495" t="s">
        <v>104</v>
      </c>
      <c r="D250" s="495" t="s">
        <v>104</v>
      </c>
      <c r="E250" s="496">
        <v>20</v>
      </c>
      <c r="F250" s="451" t="s">
        <v>7097</v>
      </c>
      <c r="G250" s="497" t="s">
        <v>104</v>
      </c>
      <c r="H250" s="560" t="s">
        <v>465</v>
      </c>
      <c r="I250" s="534" t="s">
        <v>114</v>
      </c>
      <c r="J250" s="534" t="s">
        <v>466</v>
      </c>
      <c r="K250" s="534" t="s">
        <v>467</v>
      </c>
      <c r="L250" s="534"/>
      <c r="M250" s="535"/>
      <c r="N250" s="535"/>
      <c r="O250" s="600"/>
      <c r="P250" s="600"/>
      <c r="Q250" s="599" t="str">
        <f t="shared" si="4"/>
        <v>Gastos_custeados_por_captação</v>
      </c>
      <c r="R250" s="247">
        <f>IF(B250="","",IF(YEAR(B250)='Diário 5º PA'!$Q$1,MONTH(B250)-'Diário 5º PA'!$P$1+1,(YEAR(B250)-'Diário 5º PA'!$Q$1)*12-'Diário 5º PA'!$P$1+1+MONTH(B250)))</f>
        <v>11</v>
      </c>
      <c r="S250" s="600"/>
      <c r="T250" s="600"/>
      <c r="U250" s="600"/>
      <c r="V250" s="600"/>
      <c r="W250" s="600"/>
      <c r="X250" s="600"/>
      <c r="Y250" s="600"/>
      <c r="Z250" s="600"/>
    </row>
    <row r="251" spans="1:26" ht="50.1" customHeight="1" x14ac:dyDescent="0.2">
      <c r="A251" s="248">
        <v>246</v>
      </c>
      <c r="B251" s="507">
        <v>44501</v>
      </c>
      <c r="C251" s="495" t="s">
        <v>104</v>
      </c>
      <c r="D251" s="495" t="s">
        <v>104</v>
      </c>
      <c r="E251" s="496">
        <v>124</v>
      </c>
      <c r="F251" s="451" t="s">
        <v>7096</v>
      </c>
      <c r="G251" s="497" t="s">
        <v>104</v>
      </c>
      <c r="H251" s="560" t="s">
        <v>530</v>
      </c>
      <c r="I251" s="534" t="s">
        <v>114</v>
      </c>
      <c r="J251" s="534" t="s">
        <v>466</v>
      </c>
      <c r="K251" s="534" t="s">
        <v>547</v>
      </c>
      <c r="L251" s="534"/>
      <c r="M251" s="535"/>
      <c r="N251" s="535"/>
      <c r="O251" s="600"/>
      <c r="P251" s="600"/>
      <c r="Q251" s="599" t="str">
        <f t="shared" si="4"/>
        <v>Gastos_custeados_por_captação</v>
      </c>
      <c r="R251" s="247">
        <f>IF(B251="","",IF(YEAR(B251)='Diário 5º PA'!$Q$1,MONTH(B251)-'Diário 5º PA'!$P$1+1,(YEAR(B251)-'Diário 5º PA'!$Q$1)*12-'Diário 5º PA'!$P$1+1+MONTH(B251)))</f>
        <v>11</v>
      </c>
      <c r="S251" s="600"/>
      <c r="T251" s="600"/>
      <c r="U251" s="600"/>
      <c r="V251" s="600"/>
      <c r="W251" s="600"/>
      <c r="X251" s="600"/>
      <c r="Y251" s="600"/>
      <c r="Z251" s="600"/>
    </row>
    <row r="252" spans="1:26" ht="50.1" customHeight="1" x14ac:dyDescent="0.2">
      <c r="A252" s="248">
        <v>247</v>
      </c>
      <c r="B252" s="507">
        <v>44501</v>
      </c>
      <c r="C252" s="495" t="s">
        <v>104</v>
      </c>
      <c r="D252" s="495" t="s">
        <v>104</v>
      </c>
      <c r="E252" s="496">
        <v>18</v>
      </c>
      <c r="F252" s="451" t="s">
        <v>7105</v>
      </c>
      <c r="G252" s="497" t="s">
        <v>104</v>
      </c>
      <c r="H252" s="560" t="s">
        <v>465</v>
      </c>
      <c r="I252" s="534" t="s">
        <v>114</v>
      </c>
      <c r="J252" s="534" t="s">
        <v>466</v>
      </c>
      <c r="K252" s="534" t="s">
        <v>467</v>
      </c>
      <c r="L252" s="534"/>
      <c r="M252" s="535"/>
      <c r="N252" s="535"/>
      <c r="O252" s="600"/>
      <c r="P252" s="600"/>
      <c r="Q252" s="599" t="str">
        <f t="shared" si="4"/>
        <v>Gastos_custeados_por_captação</v>
      </c>
      <c r="R252" s="247">
        <f>IF(B252="","",IF(YEAR(B252)='Diário 5º PA'!$Q$1,MONTH(B252)-'Diário 5º PA'!$P$1+1,(YEAR(B252)-'Diário 5º PA'!$Q$1)*12-'Diário 5º PA'!$P$1+1+MONTH(B252)))</f>
        <v>11</v>
      </c>
      <c r="S252" s="600"/>
      <c r="T252" s="600"/>
      <c r="U252" s="600"/>
      <c r="V252" s="600"/>
      <c r="W252" s="600"/>
      <c r="X252" s="600"/>
      <c r="Y252" s="600"/>
      <c r="Z252" s="600"/>
    </row>
    <row r="253" spans="1:26" ht="50.1" customHeight="1" x14ac:dyDescent="0.2">
      <c r="A253" s="248">
        <v>248</v>
      </c>
      <c r="B253" s="507">
        <v>44501</v>
      </c>
      <c r="C253" s="495" t="s">
        <v>104</v>
      </c>
      <c r="D253" s="495" t="s">
        <v>104</v>
      </c>
      <c r="E253" s="496">
        <v>186</v>
      </c>
      <c r="F253" s="451" t="s">
        <v>7106</v>
      </c>
      <c r="G253" s="497" t="s">
        <v>104</v>
      </c>
      <c r="H253" s="560" t="s">
        <v>530</v>
      </c>
      <c r="I253" s="534" t="s">
        <v>114</v>
      </c>
      <c r="J253" s="534" t="s">
        <v>466</v>
      </c>
      <c r="K253" s="534" t="s">
        <v>547</v>
      </c>
      <c r="L253" s="534"/>
      <c r="M253" s="535"/>
      <c r="N253" s="535"/>
      <c r="O253" s="600"/>
      <c r="P253" s="600"/>
      <c r="Q253" s="599" t="str">
        <f t="shared" si="4"/>
        <v>Gastos_custeados_por_captação</v>
      </c>
      <c r="R253" s="247">
        <f>IF(B253="","",IF(YEAR(B253)='Diário 5º PA'!$Q$1,MONTH(B253)-'Diário 5º PA'!$P$1+1,(YEAR(B253)-'Diário 5º PA'!$Q$1)*12-'Diário 5º PA'!$P$1+1+MONTH(B253)))</f>
        <v>11</v>
      </c>
      <c r="S253" s="600"/>
      <c r="T253" s="600"/>
      <c r="U253" s="600"/>
      <c r="V253" s="600"/>
      <c r="W253" s="600"/>
      <c r="X253" s="600"/>
      <c r="Y253" s="600"/>
      <c r="Z253" s="600"/>
    </row>
    <row r="254" spans="1:26" ht="50.1" customHeight="1" x14ac:dyDescent="0.2">
      <c r="A254" s="248">
        <v>249</v>
      </c>
      <c r="B254" s="507">
        <v>44501</v>
      </c>
      <c r="C254" s="495" t="s">
        <v>104</v>
      </c>
      <c r="D254" s="495" t="s">
        <v>104</v>
      </c>
      <c r="E254" s="496">
        <v>50</v>
      </c>
      <c r="F254" s="451" t="s">
        <v>7108</v>
      </c>
      <c r="G254" s="497" t="s">
        <v>104</v>
      </c>
      <c r="H254" s="560" t="s">
        <v>465</v>
      </c>
      <c r="I254" s="534" t="s">
        <v>114</v>
      </c>
      <c r="J254" s="534" t="s">
        <v>466</v>
      </c>
      <c r="K254" s="534" t="s">
        <v>467</v>
      </c>
      <c r="L254" s="534"/>
      <c r="M254" s="535"/>
      <c r="N254" s="535"/>
      <c r="O254" s="600"/>
      <c r="P254" s="600"/>
      <c r="Q254" s="599" t="str">
        <f t="shared" si="4"/>
        <v>Gastos_custeados_por_captação</v>
      </c>
      <c r="R254" s="247">
        <f>IF(B254="","",IF(YEAR(B254)='Diário 5º PA'!$Q$1,MONTH(B254)-'Diário 5º PA'!$P$1+1,(YEAR(B254)-'Diário 5º PA'!$Q$1)*12-'Diário 5º PA'!$P$1+1+MONTH(B254)))</f>
        <v>11</v>
      </c>
      <c r="S254" s="600"/>
      <c r="T254" s="600"/>
      <c r="U254" s="600"/>
      <c r="V254" s="600"/>
      <c r="W254" s="600"/>
      <c r="X254" s="600"/>
      <c r="Y254" s="600"/>
      <c r="Z254" s="600"/>
    </row>
    <row r="255" spans="1:26" ht="50.1" customHeight="1" x14ac:dyDescent="0.2">
      <c r="A255" s="248">
        <v>250</v>
      </c>
      <c r="B255" s="507">
        <v>44501</v>
      </c>
      <c r="C255" s="495" t="s">
        <v>104</v>
      </c>
      <c r="D255" s="495" t="s">
        <v>104</v>
      </c>
      <c r="E255" s="496">
        <v>310</v>
      </c>
      <c r="F255" s="451" t="s">
        <v>7109</v>
      </c>
      <c r="G255" s="497" t="s">
        <v>104</v>
      </c>
      <c r="H255" s="560" t="s">
        <v>530</v>
      </c>
      <c r="I255" s="534" t="s">
        <v>114</v>
      </c>
      <c r="J255" s="534" t="s">
        <v>466</v>
      </c>
      <c r="K255" s="534" t="s">
        <v>547</v>
      </c>
      <c r="L255" s="534"/>
      <c r="M255" s="535"/>
      <c r="N255" s="535"/>
      <c r="O255" s="600"/>
      <c r="P255" s="600"/>
      <c r="Q255" s="599" t="str">
        <f t="shared" si="4"/>
        <v>Gastos_custeados_por_captação</v>
      </c>
      <c r="R255" s="247">
        <f>IF(B255="","",IF(YEAR(B255)='Diário 5º PA'!$Q$1,MONTH(B255)-'Diário 5º PA'!$P$1+1,(YEAR(B255)-'Diário 5º PA'!$Q$1)*12-'Diário 5º PA'!$P$1+1+MONTH(B255)))</f>
        <v>11</v>
      </c>
      <c r="S255" s="600"/>
      <c r="T255" s="600"/>
      <c r="U255" s="600"/>
      <c r="V255" s="600"/>
      <c r="W255" s="600"/>
      <c r="X255" s="600"/>
      <c r="Y255" s="600"/>
      <c r="Z255" s="600"/>
    </row>
    <row r="256" spans="1:26" ht="50.1" customHeight="1" x14ac:dyDescent="0.2">
      <c r="A256" s="248">
        <v>251</v>
      </c>
      <c r="B256" s="533">
        <v>44531</v>
      </c>
      <c r="C256" s="497" t="s">
        <v>57</v>
      </c>
      <c r="D256" s="497" t="s">
        <v>57</v>
      </c>
      <c r="E256" s="496">
        <v>9479.66</v>
      </c>
      <c r="F256" s="451" t="s">
        <v>7162</v>
      </c>
      <c r="G256" s="497" t="s">
        <v>114</v>
      </c>
      <c r="H256" s="560" t="s">
        <v>7163</v>
      </c>
      <c r="I256" s="534" t="s">
        <v>850</v>
      </c>
      <c r="J256" s="534"/>
      <c r="K256" s="534"/>
      <c r="L256" s="534"/>
      <c r="M256" s="535"/>
      <c r="N256" s="535">
        <v>44586</v>
      </c>
      <c r="O256" s="600"/>
      <c r="P256" s="600"/>
      <c r="Q256" s="599" t="str">
        <f t="shared" si="4"/>
        <v>Transferência_para_Reserva_de_Recursos</v>
      </c>
      <c r="R256" s="247">
        <f>IF(B256="","",IF(YEAR(B256)='Diário 5º PA'!$Q$1,MONTH(B256)-'Diário 5º PA'!$P$1+1,(YEAR(B256)-'Diário 5º PA'!$Q$1)*12-'Diário 5º PA'!$P$1+1+MONTH(B256)))</f>
        <v>12</v>
      </c>
      <c r="S256" s="600"/>
      <c r="T256" s="600"/>
      <c r="U256" s="600"/>
      <c r="V256" s="600"/>
      <c r="W256" s="600"/>
      <c r="X256" s="600"/>
      <c r="Y256" s="600"/>
      <c r="Z256" s="600"/>
    </row>
    <row r="257" spans="1:26" ht="50.1" customHeight="1" x14ac:dyDescent="0.2">
      <c r="A257" s="248">
        <v>252</v>
      </c>
      <c r="B257" s="533">
        <v>44531</v>
      </c>
      <c r="C257" s="497" t="s">
        <v>99</v>
      </c>
      <c r="D257" s="497" t="s">
        <v>276</v>
      </c>
      <c r="E257" s="496">
        <v>431</v>
      </c>
      <c r="F257" s="451" t="s">
        <v>7164</v>
      </c>
      <c r="G257" s="497" t="s">
        <v>114</v>
      </c>
      <c r="H257" s="560" t="s">
        <v>488</v>
      </c>
      <c r="I257" s="534" t="s">
        <v>114</v>
      </c>
      <c r="J257" s="534" t="s">
        <v>466</v>
      </c>
      <c r="K257" s="534" t="s">
        <v>489</v>
      </c>
      <c r="L257" s="534"/>
      <c r="M257" s="535"/>
      <c r="N257" s="535">
        <v>44586</v>
      </c>
      <c r="O257" s="600"/>
      <c r="P257" s="600"/>
      <c r="Q257" s="599" t="str">
        <f t="shared" si="4"/>
        <v>Gastos_Gerais</v>
      </c>
      <c r="R257" s="247">
        <f>IF(B257="","",IF(YEAR(B257)='Diário 5º PA'!$Q$1,MONTH(B257)-'Diário 5º PA'!$P$1+1,(YEAR(B257)-'Diário 5º PA'!$Q$1)*12-'Diário 5º PA'!$P$1+1+MONTH(B257)))</f>
        <v>12</v>
      </c>
      <c r="S257" s="600"/>
      <c r="T257" s="600"/>
      <c r="U257" s="600"/>
      <c r="V257" s="600"/>
      <c r="W257" s="600"/>
      <c r="X257" s="600"/>
      <c r="Y257" s="600"/>
      <c r="Z257" s="600"/>
    </row>
    <row r="258" spans="1:26" ht="91.5" customHeight="1" x14ac:dyDescent="0.2">
      <c r="A258" s="248">
        <v>253</v>
      </c>
      <c r="B258" s="533">
        <v>44287</v>
      </c>
      <c r="C258" s="497" t="s">
        <v>99</v>
      </c>
      <c r="D258" s="497" t="s">
        <v>262</v>
      </c>
      <c r="E258" s="496">
        <v>3600</v>
      </c>
      <c r="F258" s="451" t="s">
        <v>7167</v>
      </c>
      <c r="G258" s="497" t="s">
        <v>122</v>
      </c>
      <c r="H258" s="560" t="s">
        <v>7166</v>
      </c>
      <c r="I258" s="534" t="s">
        <v>598</v>
      </c>
      <c r="J258" s="534"/>
      <c r="K258" s="534"/>
      <c r="L258" s="534"/>
      <c r="M258" s="535"/>
      <c r="N258" s="535"/>
      <c r="O258" s="600"/>
      <c r="P258" s="600"/>
      <c r="Q258" s="599" t="str">
        <f t="shared" si="4"/>
        <v>Gastos_Gerais</v>
      </c>
      <c r="R258" s="247">
        <f>IF(B258="","",IF(YEAR(B258)='Diário 5º PA'!$Q$1,MONTH(B258)-'Diário 5º PA'!$P$1+1,(YEAR(B258)-'Diário 5º PA'!$Q$1)*12-'Diário 5º PA'!$P$1+1+MONTH(B258)))</f>
        <v>4</v>
      </c>
      <c r="S258" s="600"/>
      <c r="T258" s="600"/>
      <c r="U258" s="600"/>
      <c r="V258" s="600"/>
      <c r="W258" s="600"/>
      <c r="X258" s="600"/>
      <c r="Y258" s="600"/>
      <c r="Z258" s="600"/>
    </row>
    <row r="259" spans="1:26" ht="52.5" customHeight="1" x14ac:dyDescent="0.2">
      <c r="A259" s="248">
        <v>254</v>
      </c>
      <c r="B259" s="533">
        <v>44531</v>
      </c>
      <c r="C259" s="495" t="s">
        <v>88</v>
      </c>
      <c r="D259" s="495" t="s">
        <v>192</v>
      </c>
      <c r="E259" s="496">
        <v>0.77</v>
      </c>
      <c r="F259" s="451" t="s">
        <v>7169</v>
      </c>
      <c r="G259" s="497" t="s">
        <v>114</v>
      </c>
      <c r="H259" s="560" t="s">
        <v>465</v>
      </c>
      <c r="I259" s="534" t="s">
        <v>114</v>
      </c>
      <c r="J259" s="534" t="s">
        <v>466</v>
      </c>
      <c r="K259" s="534" t="s">
        <v>467</v>
      </c>
      <c r="L259" s="534"/>
      <c r="M259" s="535"/>
      <c r="N259" s="535">
        <v>44569</v>
      </c>
      <c r="O259" s="600"/>
      <c r="P259" s="600"/>
      <c r="Q259" s="599" t="str">
        <f t="shared" si="4"/>
        <v>Gastos_com_Pessoal</v>
      </c>
      <c r="R259" s="247">
        <f>IF(B259="","",IF(YEAR(B259)='Diário 5º PA'!$Q$1,MONTH(B259)-'Diário 5º PA'!$P$1+1,(YEAR(B259)-'Diário 5º PA'!$Q$1)*12-'Diário 5º PA'!$P$1+1+MONTH(B259)))</f>
        <v>12</v>
      </c>
      <c r="S259" s="600"/>
      <c r="T259" s="600"/>
      <c r="U259" s="600"/>
      <c r="V259" s="600"/>
      <c r="W259" s="600"/>
      <c r="X259" s="600"/>
      <c r="Y259" s="600"/>
      <c r="Z259" s="600"/>
    </row>
    <row r="260" spans="1:26" ht="45" customHeight="1" x14ac:dyDescent="0.2">
      <c r="A260" s="248">
        <v>255</v>
      </c>
      <c r="B260" s="533">
        <v>44531</v>
      </c>
      <c r="C260" s="495" t="s">
        <v>88</v>
      </c>
      <c r="D260" s="495" t="s">
        <v>192</v>
      </c>
      <c r="E260" s="496">
        <v>1.36</v>
      </c>
      <c r="F260" s="451" t="s">
        <v>7172</v>
      </c>
      <c r="G260" s="497" t="s">
        <v>114</v>
      </c>
      <c r="H260" s="560" t="s">
        <v>465</v>
      </c>
      <c r="I260" s="534" t="s">
        <v>114</v>
      </c>
      <c r="J260" s="534" t="s">
        <v>466</v>
      </c>
      <c r="K260" s="534" t="s">
        <v>467</v>
      </c>
      <c r="L260" s="534"/>
      <c r="M260" s="535"/>
      <c r="N260" s="535">
        <v>44569</v>
      </c>
      <c r="O260" s="600"/>
      <c r="P260" s="600"/>
      <c r="Q260" s="599" t="str">
        <f t="shared" si="4"/>
        <v>Gastos_com_Pessoal</v>
      </c>
      <c r="R260" s="247">
        <f>IF(B260="","",IF(YEAR(B260)='Diário 5º PA'!$Q$1,MONTH(B260)-'Diário 5º PA'!$P$1+1,(YEAR(B260)-'Diário 5º PA'!$Q$1)*12-'Diário 5º PA'!$P$1+1+MONTH(B260)))</f>
        <v>12</v>
      </c>
      <c r="S260" s="600"/>
      <c r="T260" s="600"/>
      <c r="U260" s="600"/>
      <c r="V260" s="600"/>
      <c r="W260" s="600"/>
      <c r="X260" s="600"/>
      <c r="Y260" s="600"/>
      <c r="Z260" s="600"/>
    </row>
    <row r="261" spans="1:26" ht="52.5" customHeight="1" x14ac:dyDescent="0.2">
      <c r="A261" s="248">
        <v>256</v>
      </c>
      <c r="B261" s="547">
        <v>44501</v>
      </c>
      <c r="C261" s="495" t="s">
        <v>88</v>
      </c>
      <c r="D261" s="495" t="s">
        <v>192</v>
      </c>
      <c r="E261" s="496">
        <v>0.25</v>
      </c>
      <c r="F261" s="451" t="s">
        <v>7173</v>
      </c>
      <c r="G261" s="497" t="s">
        <v>114</v>
      </c>
      <c r="H261" s="560" t="s">
        <v>465</v>
      </c>
      <c r="I261" s="534" t="s">
        <v>114</v>
      </c>
      <c r="J261" s="534" t="s">
        <v>466</v>
      </c>
      <c r="K261" s="534" t="s">
        <v>467</v>
      </c>
      <c r="L261" s="534"/>
      <c r="M261" s="535"/>
      <c r="N261" s="535">
        <v>44569</v>
      </c>
      <c r="O261" s="600"/>
      <c r="P261" s="600"/>
      <c r="Q261" s="599" t="str">
        <f t="shared" si="4"/>
        <v>Gastos_com_Pessoal</v>
      </c>
      <c r="R261" s="247">
        <f>IF(B261="","",IF(YEAR(B261)='Diário 5º PA'!$Q$1,MONTH(B261)-'Diário 5º PA'!$P$1+1,(YEAR(B261)-'Diário 5º PA'!$Q$1)*12-'Diário 5º PA'!$P$1+1+MONTH(B261)))</f>
        <v>11</v>
      </c>
      <c r="S261" s="600"/>
      <c r="T261" s="600"/>
      <c r="U261" s="600"/>
      <c r="V261" s="600"/>
      <c r="W261" s="600"/>
      <c r="X261" s="600"/>
      <c r="Y261" s="600"/>
      <c r="Z261" s="600"/>
    </row>
    <row r="262" spans="1:26" ht="59.25" customHeight="1" x14ac:dyDescent="0.2">
      <c r="A262" s="248">
        <v>257</v>
      </c>
      <c r="B262" s="533">
        <v>44228</v>
      </c>
      <c r="C262" s="497" t="s">
        <v>99</v>
      </c>
      <c r="D262" s="497" t="s">
        <v>358</v>
      </c>
      <c r="E262" s="496">
        <v>1536</v>
      </c>
      <c r="F262" s="451" t="s">
        <v>7174</v>
      </c>
      <c r="G262" s="497" t="s">
        <v>131</v>
      </c>
      <c r="H262" s="560" t="s">
        <v>7175</v>
      </c>
      <c r="I262" s="534" t="s">
        <v>7176</v>
      </c>
      <c r="J262" s="534"/>
      <c r="K262" s="534"/>
      <c r="L262" s="534"/>
      <c r="M262" s="535"/>
      <c r="N262" s="535"/>
      <c r="O262" s="600"/>
      <c r="P262" s="600"/>
      <c r="Q262" s="599" t="str">
        <f t="shared" si="4"/>
        <v>Gastos_Gerais</v>
      </c>
      <c r="R262" s="247">
        <f>IF(B262="","",IF(YEAR(B262)='Diário 5º PA'!$Q$1,MONTH(B262)-'Diário 5º PA'!$P$1+1,(YEAR(B262)-'Diário 5º PA'!$Q$1)*12-'Diário 5º PA'!$P$1+1+MONTH(B262)))</f>
        <v>2</v>
      </c>
      <c r="S262" s="600"/>
      <c r="T262" s="600"/>
      <c r="U262" s="600"/>
      <c r="V262" s="600"/>
      <c r="W262" s="600"/>
      <c r="X262" s="600"/>
      <c r="Y262" s="600"/>
      <c r="Z262" s="600"/>
    </row>
    <row r="263" spans="1:26" ht="40.5" customHeight="1" x14ac:dyDescent="0.2">
      <c r="A263" s="248">
        <v>258</v>
      </c>
      <c r="B263" s="533">
        <v>44228</v>
      </c>
      <c r="C263" s="497" t="s">
        <v>99</v>
      </c>
      <c r="D263" s="497" t="s">
        <v>358</v>
      </c>
      <c r="E263" s="496">
        <v>1536</v>
      </c>
      <c r="F263" s="451" t="s">
        <v>7177</v>
      </c>
      <c r="G263" s="497" t="s">
        <v>131</v>
      </c>
      <c r="H263" s="560" t="s">
        <v>7178</v>
      </c>
      <c r="I263" s="534" t="s">
        <v>7179</v>
      </c>
      <c r="J263" s="534"/>
      <c r="K263" s="534"/>
      <c r="L263" s="534"/>
      <c r="M263" s="535"/>
      <c r="N263" s="535"/>
      <c r="O263" s="600"/>
      <c r="P263" s="600"/>
      <c r="Q263" s="599" t="str">
        <f t="shared" ref="Q263:Q313" si="5">SUBSTITUTE(C263," ","_")</f>
        <v>Gastos_Gerais</v>
      </c>
      <c r="R263" s="247">
        <f>IF(B263="","",IF(YEAR(B263)='Diário 5º PA'!$Q$1,MONTH(B263)-'Diário 5º PA'!$P$1+1,(YEAR(B263)-'Diário 5º PA'!$Q$1)*12-'Diário 5º PA'!$P$1+1+MONTH(B263)))</f>
        <v>2</v>
      </c>
      <c r="S263" s="600"/>
      <c r="T263" s="600"/>
      <c r="U263" s="600"/>
      <c r="V263" s="600"/>
      <c r="W263" s="600"/>
      <c r="X263" s="600"/>
      <c r="Y263" s="600"/>
      <c r="Z263" s="600"/>
    </row>
    <row r="264" spans="1:26" ht="64.5" customHeight="1" x14ac:dyDescent="0.2">
      <c r="A264" s="248">
        <v>259</v>
      </c>
      <c r="B264" s="547">
        <v>44501</v>
      </c>
      <c r="C264" s="497" t="s">
        <v>104</v>
      </c>
      <c r="D264" s="495" t="s">
        <v>104</v>
      </c>
      <c r="E264" s="496">
        <v>110.55</v>
      </c>
      <c r="F264" s="451" t="s">
        <v>7300</v>
      </c>
      <c r="G264" s="497" t="s">
        <v>104</v>
      </c>
      <c r="H264" s="560" t="s">
        <v>465</v>
      </c>
      <c r="I264" s="534" t="s">
        <v>114</v>
      </c>
      <c r="J264" s="534" t="s">
        <v>466</v>
      </c>
      <c r="K264" s="534" t="s">
        <v>467</v>
      </c>
      <c r="L264" s="534"/>
      <c r="M264" s="535"/>
      <c r="N264" s="535"/>
      <c r="O264" s="600"/>
      <c r="P264" s="600"/>
      <c r="Q264" s="599" t="str">
        <f t="shared" si="5"/>
        <v>Gastos_custeados_por_captação</v>
      </c>
      <c r="R264" s="247">
        <f>IF(B264="","",IF(YEAR(B264)='Diário 5º PA'!$Q$1,MONTH(B264)-'Diário 5º PA'!$P$1+1,(YEAR(B264)-'Diário 5º PA'!$Q$1)*12-'Diário 5º PA'!$P$1+1+MONTH(B264)))</f>
        <v>11</v>
      </c>
      <c r="S264" s="600"/>
      <c r="T264" s="600"/>
      <c r="U264" s="600"/>
      <c r="V264" s="600"/>
      <c r="W264" s="600"/>
      <c r="X264" s="600"/>
      <c r="Y264" s="600"/>
      <c r="Z264" s="600"/>
    </row>
    <row r="265" spans="1:26" ht="52.5" customHeight="1" x14ac:dyDescent="0.2">
      <c r="A265" s="248">
        <v>260</v>
      </c>
      <c r="B265" s="547">
        <v>44501</v>
      </c>
      <c r="C265" s="497" t="s">
        <v>104</v>
      </c>
      <c r="D265" s="495" t="s">
        <v>104</v>
      </c>
      <c r="E265" s="496">
        <v>125</v>
      </c>
      <c r="F265" s="451" t="s">
        <v>7307</v>
      </c>
      <c r="G265" s="497" t="s">
        <v>104</v>
      </c>
      <c r="H265" s="560" t="s">
        <v>465</v>
      </c>
      <c r="I265" s="534" t="s">
        <v>114</v>
      </c>
      <c r="J265" s="534" t="s">
        <v>466</v>
      </c>
      <c r="K265" s="534" t="s">
        <v>467</v>
      </c>
      <c r="L265" s="534"/>
      <c r="M265" s="535"/>
      <c r="N265" s="535">
        <v>44571</v>
      </c>
      <c r="O265" s="600"/>
      <c r="P265" s="600"/>
      <c r="Q265" s="599" t="str">
        <f t="shared" si="5"/>
        <v>Gastos_custeados_por_captação</v>
      </c>
      <c r="R265" s="247">
        <f>IF(B265="","",IF(YEAR(B265)='Diário 5º PA'!$Q$1,MONTH(B265)-'Diário 5º PA'!$P$1+1,(YEAR(B265)-'Diário 5º PA'!$Q$1)*12-'Diário 5º PA'!$P$1+1+MONTH(B265)))</f>
        <v>11</v>
      </c>
      <c r="S265" s="600"/>
      <c r="T265" s="600"/>
      <c r="U265" s="600"/>
      <c r="V265" s="600"/>
      <c r="W265" s="600"/>
      <c r="X265" s="600"/>
      <c r="Y265" s="600"/>
      <c r="Z265" s="600"/>
    </row>
    <row r="266" spans="1:26" ht="64.5" customHeight="1" x14ac:dyDescent="0.2">
      <c r="A266" s="248">
        <v>261</v>
      </c>
      <c r="B266" s="547">
        <v>44501</v>
      </c>
      <c r="C266" s="497" t="s">
        <v>104</v>
      </c>
      <c r="D266" s="495" t="s">
        <v>104</v>
      </c>
      <c r="E266" s="496">
        <v>24.08</v>
      </c>
      <c r="F266" s="451" t="s">
        <v>7308</v>
      </c>
      <c r="G266" s="497" t="s">
        <v>104</v>
      </c>
      <c r="H266" s="560" t="s">
        <v>488</v>
      </c>
      <c r="I266" s="534" t="s">
        <v>114</v>
      </c>
      <c r="J266" s="534" t="s">
        <v>466</v>
      </c>
      <c r="K266" s="534" t="s">
        <v>489</v>
      </c>
      <c r="L266" s="534"/>
      <c r="M266" s="535"/>
      <c r="N266" s="535">
        <v>44581</v>
      </c>
      <c r="O266" s="600"/>
      <c r="P266" s="600"/>
      <c r="Q266" s="599" t="str">
        <f t="shared" si="5"/>
        <v>Gastos_custeados_por_captação</v>
      </c>
      <c r="R266" s="247">
        <f>IF(B266="","",IF(YEAR(B266)='Diário 5º PA'!$Q$1,MONTH(B266)-'Diário 5º PA'!$P$1+1,(YEAR(B266)-'Diário 5º PA'!$Q$1)*12-'Diário 5º PA'!$P$1+1+MONTH(B266)))</f>
        <v>11</v>
      </c>
      <c r="S266" s="600"/>
      <c r="T266" s="600"/>
      <c r="U266" s="600"/>
      <c r="V266" s="600"/>
      <c r="W266" s="600"/>
      <c r="X266" s="600"/>
      <c r="Y266" s="600"/>
      <c r="Z266" s="600"/>
    </row>
    <row r="267" spans="1:26" ht="64.5" customHeight="1" x14ac:dyDescent="0.2">
      <c r="A267" s="248">
        <v>262</v>
      </c>
      <c r="B267" s="547">
        <v>44501</v>
      </c>
      <c r="C267" s="497" t="s">
        <v>104</v>
      </c>
      <c r="D267" s="495" t="s">
        <v>104</v>
      </c>
      <c r="E267" s="496">
        <v>775</v>
      </c>
      <c r="F267" s="451" t="s">
        <v>7309</v>
      </c>
      <c r="G267" s="497" t="s">
        <v>104</v>
      </c>
      <c r="H267" s="560" t="s">
        <v>530</v>
      </c>
      <c r="I267" s="534" t="s">
        <v>114</v>
      </c>
      <c r="J267" s="534" t="s">
        <v>466</v>
      </c>
      <c r="K267" s="534" t="s">
        <v>547</v>
      </c>
      <c r="L267" s="534"/>
      <c r="M267" s="535"/>
      <c r="N267" s="535">
        <v>44581</v>
      </c>
      <c r="O267" s="600"/>
      <c r="P267" s="600"/>
      <c r="Q267" s="599" t="str">
        <f t="shared" si="5"/>
        <v>Gastos_custeados_por_captação</v>
      </c>
      <c r="R267" s="247">
        <f>IF(B267="","",IF(YEAR(B267)='Diário 5º PA'!$Q$1,MONTH(B267)-'Diário 5º PA'!$P$1+1,(YEAR(B267)-'Diário 5º PA'!$Q$1)*12-'Diário 5º PA'!$P$1+1+MONTH(B267)))</f>
        <v>11</v>
      </c>
      <c r="S267" s="600"/>
      <c r="T267" s="600"/>
      <c r="U267" s="600"/>
      <c r="V267" s="600"/>
      <c r="W267" s="600"/>
      <c r="X267" s="600"/>
      <c r="Y267" s="600"/>
      <c r="Z267" s="600"/>
    </row>
    <row r="268" spans="1:26" ht="64.5" customHeight="1" x14ac:dyDescent="0.2">
      <c r="A268" s="248">
        <v>263</v>
      </c>
      <c r="B268" s="547">
        <v>44501</v>
      </c>
      <c r="C268" s="497" t="s">
        <v>104</v>
      </c>
      <c r="D268" s="495" t="s">
        <v>104</v>
      </c>
      <c r="E268" s="496">
        <v>125</v>
      </c>
      <c r="F268" s="451" t="s">
        <v>7304</v>
      </c>
      <c r="G268" s="497" t="s">
        <v>104</v>
      </c>
      <c r="H268" s="560" t="s">
        <v>465</v>
      </c>
      <c r="I268" s="534" t="s">
        <v>114</v>
      </c>
      <c r="J268" s="534" t="s">
        <v>466</v>
      </c>
      <c r="K268" s="534" t="s">
        <v>467</v>
      </c>
      <c r="L268" s="534"/>
      <c r="M268" s="535"/>
      <c r="N268" s="535">
        <v>44571</v>
      </c>
      <c r="O268" s="600"/>
      <c r="P268" s="600"/>
      <c r="Q268" s="599" t="str">
        <f t="shared" si="5"/>
        <v>Gastos_custeados_por_captação</v>
      </c>
      <c r="R268" s="247">
        <f>IF(B268="","",IF(YEAR(B268)='Diário 5º PA'!$Q$1,MONTH(B268)-'Diário 5º PA'!$P$1+1,(YEAR(B268)-'Diário 5º PA'!$Q$1)*12-'Diário 5º PA'!$P$1+1+MONTH(B268)))</f>
        <v>11</v>
      </c>
      <c r="S268" s="600"/>
      <c r="T268" s="600"/>
      <c r="U268" s="600"/>
      <c r="V268" s="600"/>
      <c r="W268" s="600"/>
      <c r="X268" s="600"/>
      <c r="Y268" s="600"/>
      <c r="Z268" s="600"/>
    </row>
    <row r="269" spans="1:26" ht="64.5" customHeight="1" x14ac:dyDescent="0.2">
      <c r="A269" s="248">
        <v>264</v>
      </c>
      <c r="B269" s="547">
        <v>44501</v>
      </c>
      <c r="C269" s="497" t="s">
        <v>104</v>
      </c>
      <c r="D269" s="495" t="s">
        <v>104</v>
      </c>
      <c r="E269" s="496">
        <v>24.08</v>
      </c>
      <c r="F269" s="451" t="s">
        <v>7305</v>
      </c>
      <c r="G269" s="497" t="s">
        <v>104</v>
      </c>
      <c r="H269" s="560" t="s">
        <v>488</v>
      </c>
      <c r="I269" s="534" t="s">
        <v>114</v>
      </c>
      <c r="J269" s="534" t="s">
        <v>466</v>
      </c>
      <c r="K269" s="534" t="s">
        <v>489</v>
      </c>
      <c r="L269" s="534"/>
      <c r="M269" s="535"/>
      <c r="N269" s="535">
        <v>44581</v>
      </c>
      <c r="O269" s="600"/>
      <c r="P269" s="600"/>
      <c r="Q269" s="599" t="str">
        <f t="shared" si="5"/>
        <v>Gastos_custeados_por_captação</v>
      </c>
      <c r="R269" s="247">
        <f>IF(B269="","",IF(YEAR(B269)='Diário 5º PA'!$Q$1,MONTH(B269)-'Diário 5º PA'!$P$1+1,(YEAR(B269)-'Diário 5º PA'!$Q$1)*12-'Diário 5º PA'!$P$1+1+MONTH(B269)))</f>
        <v>11</v>
      </c>
      <c r="S269" s="600"/>
      <c r="T269" s="600"/>
      <c r="U269" s="600"/>
      <c r="V269" s="600"/>
      <c r="W269" s="600"/>
      <c r="X269" s="600"/>
      <c r="Y269" s="600"/>
      <c r="Z269" s="600"/>
    </row>
    <row r="270" spans="1:26" ht="64.5" customHeight="1" x14ac:dyDescent="0.2">
      <c r="A270" s="248">
        <v>265</v>
      </c>
      <c r="B270" s="547">
        <v>44501</v>
      </c>
      <c r="C270" s="497" t="s">
        <v>104</v>
      </c>
      <c r="D270" s="495" t="s">
        <v>104</v>
      </c>
      <c r="E270" s="496">
        <v>775</v>
      </c>
      <c r="F270" s="451" t="s">
        <v>7306</v>
      </c>
      <c r="G270" s="497" t="s">
        <v>104</v>
      </c>
      <c r="H270" s="560" t="s">
        <v>530</v>
      </c>
      <c r="I270" s="534" t="s">
        <v>114</v>
      </c>
      <c r="J270" s="534" t="s">
        <v>466</v>
      </c>
      <c r="K270" s="534" t="s">
        <v>547</v>
      </c>
      <c r="L270" s="534"/>
      <c r="M270" s="535"/>
      <c r="N270" s="535">
        <v>44581</v>
      </c>
      <c r="O270" s="600"/>
      <c r="P270" s="600"/>
      <c r="Q270" s="599" t="str">
        <f t="shared" si="5"/>
        <v>Gastos_custeados_por_captação</v>
      </c>
      <c r="R270" s="247">
        <f>IF(B270="","",IF(YEAR(B270)='Diário 5º PA'!$Q$1,MONTH(B270)-'Diário 5º PA'!$P$1+1,(YEAR(B270)-'Diário 5º PA'!$Q$1)*12-'Diário 5º PA'!$P$1+1+MONTH(B270)))</f>
        <v>11</v>
      </c>
      <c r="S270" s="600"/>
      <c r="T270" s="600"/>
      <c r="U270" s="600"/>
      <c r="V270" s="600"/>
      <c r="W270" s="600"/>
      <c r="X270" s="600"/>
      <c r="Y270" s="600"/>
      <c r="Z270" s="600"/>
    </row>
    <row r="271" spans="1:26" ht="64.5" customHeight="1" x14ac:dyDescent="0.2">
      <c r="A271" s="248">
        <v>266</v>
      </c>
      <c r="B271" s="547">
        <v>44501</v>
      </c>
      <c r="C271" s="497" t="s">
        <v>104</v>
      </c>
      <c r="D271" s="495" t="s">
        <v>104</v>
      </c>
      <c r="E271" s="496">
        <v>596</v>
      </c>
      <c r="F271" s="451" t="s">
        <v>7301</v>
      </c>
      <c r="G271" s="497" t="s">
        <v>104</v>
      </c>
      <c r="H271" s="560" t="s">
        <v>465</v>
      </c>
      <c r="I271" s="534" t="s">
        <v>114</v>
      </c>
      <c r="J271" s="534" t="s">
        <v>466</v>
      </c>
      <c r="K271" s="534" t="s">
        <v>467</v>
      </c>
      <c r="L271" s="534"/>
      <c r="M271" s="535"/>
      <c r="N271" s="535">
        <v>44571</v>
      </c>
      <c r="O271" s="600"/>
      <c r="P271" s="600"/>
      <c r="Q271" s="599" t="str">
        <f t="shared" si="5"/>
        <v>Gastos_custeados_por_captação</v>
      </c>
      <c r="R271" s="247">
        <f>IF(B271="","",IF(YEAR(B271)='Diário 5º PA'!$Q$1,MONTH(B271)-'Diário 5º PA'!$P$1+1,(YEAR(B271)-'Diário 5º PA'!$Q$1)*12-'Diário 5º PA'!$P$1+1+MONTH(B271)))</f>
        <v>11</v>
      </c>
      <c r="S271" s="600"/>
      <c r="T271" s="600"/>
      <c r="U271" s="600"/>
      <c r="V271" s="600"/>
      <c r="W271" s="600"/>
      <c r="X271" s="600"/>
      <c r="Y271" s="600"/>
      <c r="Z271" s="600"/>
    </row>
    <row r="272" spans="1:26" ht="64.5" customHeight="1" x14ac:dyDescent="0.2">
      <c r="A272" s="248">
        <v>267</v>
      </c>
      <c r="B272" s="547">
        <v>44531</v>
      </c>
      <c r="C272" s="497" t="s">
        <v>99</v>
      </c>
      <c r="D272" s="495" t="s">
        <v>306</v>
      </c>
      <c r="E272" s="496">
        <v>128.52000000000001</v>
      </c>
      <c r="F272" s="451" t="s">
        <v>7223</v>
      </c>
      <c r="G272" s="497" t="s">
        <v>115</v>
      </c>
      <c r="H272" s="560" t="s">
        <v>7224</v>
      </c>
      <c r="I272" s="534"/>
      <c r="J272" s="534"/>
      <c r="K272" s="534"/>
      <c r="L272" s="534"/>
      <c r="M272" s="535"/>
      <c r="N272" s="535"/>
      <c r="O272" s="600"/>
      <c r="P272" s="600"/>
      <c r="Q272" s="599" t="str">
        <f t="shared" si="5"/>
        <v>Gastos_Gerais</v>
      </c>
      <c r="R272" s="247">
        <f>IF(B272="","",IF(YEAR(B272)='Diário 5º PA'!$Q$1,MONTH(B272)-'Diário 5º PA'!$P$1+1,(YEAR(B272)-'Diário 5º PA'!$Q$1)*12-'Diário 5º PA'!$P$1+1+MONTH(B272)))</f>
        <v>12</v>
      </c>
      <c r="S272" s="600"/>
      <c r="T272" s="600"/>
      <c r="U272" s="600"/>
      <c r="V272" s="600"/>
      <c r="W272" s="600"/>
      <c r="X272" s="600"/>
      <c r="Y272" s="600"/>
      <c r="Z272" s="600"/>
    </row>
    <row r="273" spans="1:26" ht="64.5" customHeight="1" x14ac:dyDescent="0.2">
      <c r="A273" s="248">
        <v>268</v>
      </c>
      <c r="B273" s="563">
        <v>44501</v>
      </c>
      <c r="C273" s="564" t="s">
        <v>104</v>
      </c>
      <c r="D273" s="564" t="s">
        <v>104</v>
      </c>
      <c r="E273" s="591">
        <v>263.87</v>
      </c>
      <c r="F273" s="281" t="s">
        <v>7275</v>
      </c>
      <c r="G273" s="565" t="s">
        <v>104</v>
      </c>
      <c r="H273" s="582" t="s">
        <v>488</v>
      </c>
      <c r="I273" s="592"/>
      <c r="J273" s="592"/>
      <c r="K273" s="592"/>
      <c r="L273" s="592"/>
      <c r="M273" s="593"/>
      <c r="N273" s="535"/>
      <c r="O273" s="600"/>
      <c r="P273" s="600"/>
      <c r="Q273" s="599" t="str">
        <f t="shared" si="5"/>
        <v>Gastos_custeados_por_captação</v>
      </c>
      <c r="R273" s="247">
        <f>IF(B273="","",IF(YEAR(B273)='Diário 5º PA'!$Q$1,MONTH(B273)-'Diário 5º PA'!$P$1+1,(YEAR(B273)-'Diário 5º PA'!$Q$1)*12-'Diário 5º PA'!$P$1+1+MONTH(B273)))</f>
        <v>11</v>
      </c>
      <c r="S273" s="600"/>
      <c r="T273" s="600"/>
      <c r="U273" s="600"/>
      <c r="V273" s="600"/>
      <c r="W273" s="600"/>
      <c r="X273" s="600"/>
      <c r="Y273" s="600"/>
      <c r="Z273" s="600"/>
    </row>
    <row r="274" spans="1:26" ht="85.5" customHeight="1" x14ac:dyDescent="0.2">
      <c r="A274" s="248">
        <v>269</v>
      </c>
      <c r="B274" s="533">
        <v>44531</v>
      </c>
      <c r="C274" s="497" t="s">
        <v>104</v>
      </c>
      <c r="D274" s="495" t="s">
        <v>104</v>
      </c>
      <c r="E274" s="496">
        <v>2500</v>
      </c>
      <c r="F274" s="495" t="s">
        <v>7183</v>
      </c>
      <c r="G274" s="497" t="s">
        <v>104</v>
      </c>
      <c r="H274" s="560" t="s">
        <v>7328</v>
      </c>
      <c r="I274" s="607" t="s">
        <v>498</v>
      </c>
      <c r="J274" s="534"/>
      <c r="K274" s="534"/>
      <c r="L274" s="534"/>
      <c r="M274" s="535"/>
      <c r="N274" s="535"/>
      <c r="O274" s="600"/>
      <c r="P274" s="600"/>
      <c r="Q274" s="599" t="str">
        <f t="shared" si="5"/>
        <v>Gastos_custeados_por_captação</v>
      </c>
      <c r="R274" s="247">
        <f>IF(B274="","",IF(YEAR(B274)='Diário 5º PA'!$Q$1,MONTH(B274)-'Diário 5º PA'!$P$1+1,(YEAR(B274)-'Diário 5º PA'!$Q$1)*12-'Diário 5º PA'!$P$1+1+MONTH(B274)))</f>
        <v>12</v>
      </c>
      <c r="S274" s="600"/>
      <c r="T274" s="600"/>
      <c r="U274" s="600"/>
      <c r="V274" s="600"/>
      <c r="W274" s="600"/>
      <c r="X274" s="600"/>
      <c r="Y274" s="600"/>
      <c r="Z274" s="600"/>
    </row>
    <row r="275" spans="1:26" ht="85.5" customHeight="1" x14ac:dyDescent="0.2">
      <c r="A275" s="248">
        <v>270</v>
      </c>
      <c r="B275" s="533">
        <v>44531</v>
      </c>
      <c r="C275" s="497" t="s">
        <v>104</v>
      </c>
      <c r="D275" s="495" t="s">
        <v>104</v>
      </c>
      <c r="E275" s="609">
        <v>3500</v>
      </c>
      <c r="F275" s="610" t="s">
        <v>7331</v>
      </c>
      <c r="G275" s="497" t="s">
        <v>104</v>
      </c>
      <c r="H275" s="542" t="s">
        <v>7359</v>
      </c>
      <c r="I275" s="608" t="s">
        <v>2151</v>
      </c>
      <c r="J275" s="534"/>
      <c r="K275" s="534"/>
      <c r="L275" s="534"/>
      <c r="M275" s="535"/>
      <c r="N275" s="535"/>
      <c r="O275" s="600"/>
      <c r="P275" s="600"/>
      <c r="Q275" s="599" t="str">
        <f t="shared" si="5"/>
        <v>Gastos_custeados_por_captação</v>
      </c>
      <c r="R275" s="247">
        <f>IF(B275="","",IF(YEAR(B275)='Diário 5º PA'!$Q$1,MONTH(B275)-'Diário 5º PA'!$P$1+1,(YEAR(B275)-'Diário 5º PA'!$Q$1)*12-'Diário 5º PA'!$P$1+1+MONTH(B275)))</f>
        <v>12</v>
      </c>
      <c r="S275" s="600"/>
      <c r="T275" s="600"/>
      <c r="U275" s="600"/>
      <c r="V275" s="600"/>
      <c r="W275" s="600"/>
      <c r="X275" s="600"/>
      <c r="Y275" s="600"/>
      <c r="Z275" s="600"/>
    </row>
    <row r="276" spans="1:26" ht="85.5" customHeight="1" x14ac:dyDescent="0.2">
      <c r="A276" s="248">
        <v>271</v>
      </c>
      <c r="B276" s="533">
        <v>44531</v>
      </c>
      <c r="C276" s="497" t="s">
        <v>104</v>
      </c>
      <c r="D276" s="495" t="s">
        <v>104</v>
      </c>
      <c r="E276" s="609">
        <v>6202</v>
      </c>
      <c r="F276" s="610" t="s">
        <v>7332</v>
      </c>
      <c r="G276" s="497" t="s">
        <v>104</v>
      </c>
      <c r="H276" s="542" t="s">
        <v>7360</v>
      </c>
      <c r="I276" s="608" t="s">
        <v>7392</v>
      </c>
      <c r="J276" s="534"/>
      <c r="K276" s="534"/>
      <c r="L276" s="534"/>
      <c r="M276" s="535"/>
      <c r="N276" s="535"/>
      <c r="O276" s="600"/>
      <c r="P276" s="600"/>
      <c r="Q276" s="599" t="str">
        <f t="shared" si="5"/>
        <v>Gastos_custeados_por_captação</v>
      </c>
      <c r="R276" s="247">
        <f>IF(B276="","",IF(YEAR(B276)='Diário 5º PA'!$Q$1,MONTH(B276)-'Diário 5º PA'!$P$1+1,(YEAR(B276)-'Diário 5º PA'!$Q$1)*12-'Diário 5º PA'!$P$1+1+MONTH(B276)))</f>
        <v>12</v>
      </c>
      <c r="S276" s="600"/>
      <c r="T276" s="600"/>
      <c r="U276" s="600"/>
      <c r="V276" s="600"/>
      <c r="W276" s="600"/>
      <c r="X276" s="600"/>
      <c r="Y276" s="600"/>
      <c r="Z276" s="600"/>
    </row>
    <row r="277" spans="1:26" ht="85.5" customHeight="1" x14ac:dyDescent="0.2">
      <c r="A277" s="248">
        <v>272</v>
      </c>
      <c r="B277" s="533">
        <v>44531</v>
      </c>
      <c r="C277" s="497" t="s">
        <v>104</v>
      </c>
      <c r="D277" s="495" t="s">
        <v>104</v>
      </c>
      <c r="E277" s="609">
        <v>9300</v>
      </c>
      <c r="F277" s="610" t="s">
        <v>7333</v>
      </c>
      <c r="G277" s="497" t="s">
        <v>104</v>
      </c>
      <c r="H277" s="542" t="s">
        <v>7361</v>
      </c>
      <c r="I277" s="608" t="s">
        <v>2679</v>
      </c>
      <c r="J277" s="534"/>
      <c r="K277" s="534"/>
      <c r="L277" s="534"/>
      <c r="M277" s="535"/>
      <c r="N277" s="535"/>
      <c r="O277" s="600"/>
      <c r="P277" s="600"/>
      <c r="Q277" s="599" t="str">
        <f t="shared" si="5"/>
        <v>Gastos_custeados_por_captação</v>
      </c>
      <c r="R277" s="247">
        <f>IF(B277="","",IF(YEAR(B277)='Diário 5º PA'!$Q$1,MONTH(B277)-'Diário 5º PA'!$P$1+1,(YEAR(B277)-'Diário 5º PA'!$Q$1)*12-'Diário 5º PA'!$P$1+1+MONTH(B277)))</f>
        <v>12</v>
      </c>
      <c r="S277" s="600"/>
      <c r="T277" s="600"/>
      <c r="U277" s="600"/>
      <c r="V277" s="600"/>
      <c r="W277" s="600"/>
      <c r="X277" s="600"/>
      <c r="Y277" s="600"/>
      <c r="Z277" s="600"/>
    </row>
    <row r="278" spans="1:26" ht="85.5" customHeight="1" x14ac:dyDescent="0.2">
      <c r="A278" s="248">
        <v>273</v>
      </c>
      <c r="B278" s="533">
        <v>44531</v>
      </c>
      <c r="C278" s="497" t="s">
        <v>104</v>
      </c>
      <c r="D278" s="495" t="s">
        <v>104</v>
      </c>
      <c r="E278" s="609">
        <v>20190</v>
      </c>
      <c r="F278" s="610" t="s">
        <v>7334</v>
      </c>
      <c r="G278" s="497" t="s">
        <v>104</v>
      </c>
      <c r="H278" s="542" t="s">
        <v>7362</v>
      </c>
      <c r="I278" s="608" t="s">
        <v>5308</v>
      </c>
      <c r="J278" s="534"/>
      <c r="K278" s="534"/>
      <c r="L278" s="534"/>
      <c r="M278" s="535"/>
      <c r="N278" s="535"/>
      <c r="O278" s="600"/>
      <c r="P278" s="600"/>
      <c r="Q278" s="599" t="str">
        <f t="shared" si="5"/>
        <v>Gastos_custeados_por_captação</v>
      </c>
      <c r="R278" s="247">
        <f>IF(B278="","",IF(YEAR(B278)='Diário 5º PA'!$Q$1,MONTH(B278)-'Diário 5º PA'!$P$1+1,(YEAR(B278)-'Diário 5º PA'!$Q$1)*12-'Diário 5º PA'!$P$1+1+MONTH(B278)))</f>
        <v>12</v>
      </c>
      <c r="S278" s="600"/>
      <c r="T278" s="600"/>
      <c r="U278" s="600"/>
      <c r="V278" s="600"/>
      <c r="W278" s="600"/>
      <c r="X278" s="600"/>
      <c r="Y278" s="600"/>
      <c r="Z278" s="600"/>
    </row>
    <row r="279" spans="1:26" ht="85.5" customHeight="1" x14ac:dyDescent="0.2">
      <c r="A279" s="248">
        <v>274</v>
      </c>
      <c r="B279" s="533">
        <v>44531</v>
      </c>
      <c r="C279" s="497" t="s">
        <v>104</v>
      </c>
      <c r="D279" s="495" t="s">
        <v>104</v>
      </c>
      <c r="E279" s="609">
        <v>6000</v>
      </c>
      <c r="F279" s="610" t="s">
        <v>7335</v>
      </c>
      <c r="G279" s="497" t="s">
        <v>104</v>
      </c>
      <c r="H279" s="542" t="s">
        <v>7363</v>
      </c>
      <c r="I279" s="608" t="s">
        <v>7393</v>
      </c>
      <c r="J279" s="534"/>
      <c r="K279" s="534"/>
      <c r="L279" s="534"/>
      <c r="M279" s="535"/>
      <c r="N279" s="535"/>
      <c r="O279" s="600"/>
      <c r="P279" s="600"/>
      <c r="Q279" s="599" t="str">
        <f t="shared" si="5"/>
        <v>Gastos_custeados_por_captação</v>
      </c>
      <c r="R279" s="247">
        <f>IF(B279="","",IF(YEAR(B279)='Diário 5º PA'!$Q$1,MONTH(B279)-'Diário 5º PA'!$P$1+1,(YEAR(B279)-'Diário 5º PA'!$Q$1)*12-'Diário 5º PA'!$P$1+1+MONTH(B279)))</f>
        <v>12</v>
      </c>
      <c r="S279" s="600"/>
      <c r="T279" s="600"/>
      <c r="U279" s="600"/>
      <c r="V279" s="600"/>
      <c r="W279" s="600"/>
      <c r="X279" s="600"/>
      <c r="Y279" s="600"/>
      <c r="Z279" s="600"/>
    </row>
    <row r="280" spans="1:26" ht="85.5" customHeight="1" x14ac:dyDescent="0.2">
      <c r="A280" s="248">
        <v>275</v>
      </c>
      <c r="B280" s="533">
        <v>44531</v>
      </c>
      <c r="C280" s="497" t="s">
        <v>104</v>
      </c>
      <c r="D280" s="495" t="s">
        <v>104</v>
      </c>
      <c r="E280" s="609">
        <f>4500+900</f>
        <v>5400</v>
      </c>
      <c r="F280" s="610" t="s">
        <v>7336</v>
      </c>
      <c r="G280" s="497" t="s">
        <v>104</v>
      </c>
      <c r="H280" s="542" t="s">
        <v>7364</v>
      </c>
      <c r="I280" s="608" t="s">
        <v>7394</v>
      </c>
      <c r="J280" s="534"/>
      <c r="K280" s="534"/>
      <c r="L280" s="534"/>
      <c r="M280" s="535"/>
      <c r="N280" s="535"/>
      <c r="O280" s="600"/>
      <c r="P280" s="600"/>
      <c r="Q280" s="599" t="str">
        <f t="shared" si="5"/>
        <v>Gastos_custeados_por_captação</v>
      </c>
      <c r="R280" s="247">
        <f>IF(B280="","",IF(YEAR(B280)='Diário 5º PA'!$Q$1,MONTH(B280)-'Diário 5º PA'!$P$1+1,(YEAR(B280)-'Diário 5º PA'!$Q$1)*12-'Diário 5º PA'!$P$1+1+MONTH(B280)))</f>
        <v>12</v>
      </c>
      <c r="S280" s="600"/>
      <c r="T280" s="600"/>
      <c r="U280" s="600"/>
      <c r="V280" s="600"/>
      <c r="W280" s="600"/>
      <c r="X280" s="600"/>
      <c r="Y280" s="600"/>
      <c r="Z280" s="600"/>
    </row>
    <row r="281" spans="1:26" ht="85.5" customHeight="1" x14ac:dyDescent="0.2">
      <c r="A281" s="248">
        <v>276</v>
      </c>
      <c r="B281" s="533">
        <v>44531</v>
      </c>
      <c r="C281" s="497" t="s">
        <v>104</v>
      </c>
      <c r="D281" s="495" t="s">
        <v>104</v>
      </c>
      <c r="E281" s="609">
        <v>9000</v>
      </c>
      <c r="F281" s="610" t="s">
        <v>7337</v>
      </c>
      <c r="G281" s="497" t="s">
        <v>104</v>
      </c>
      <c r="H281" s="542" t="s">
        <v>7365</v>
      </c>
      <c r="I281" s="608" t="s">
        <v>7395</v>
      </c>
      <c r="J281" s="534"/>
      <c r="K281" s="534"/>
      <c r="L281" s="534"/>
      <c r="M281" s="535"/>
      <c r="N281" s="535"/>
      <c r="O281" s="600"/>
      <c r="P281" s="600"/>
      <c r="Q281" s="599" t="str">
        <f t="shared" si="5"/>
        <v>Gastos_custeados_por_captação</v>
      </c>
      <c r="R281" s="247">
        <f>IF(B281="","",IF(YEAR(B281)='Diário 5º PA'!$Q$1,MONTH(B281)-'Diário 5º PA'!$P$1+1,(YEAR(B281)-'Diário 5º PA'!$Q$1)*12-'Diário 5º PA'!$P$1+1+MONTH(B281)))</f>
        <v>12</v>
      </c>
      <c r="S281" s="600"/>
      <c r="T281" s="600"/>
      <c r="U281" s="600"/>
      <c r="V281" s="600"/>
      <c r="W281" s="600"/>
      <c r="X281" s="600"/>
      <c r="Y281" s="600"/>
      <c r="Z281" s="600"/>
    </row>
    <row r="282" spans="1:26" ht="85.5" customHeight="1" x14ac:dyDescent="0.2">
      <c r="A282" s="248">
        <v>277</v>
      </c>
      <c r="B282" s="533">
        <v>44531</v>
      </c>
      <c r="C282" s="497" t="s">
        <v>104</v>
      </c>
      <c r="D282" s="495" t="s">
        <v>104</v>
      </c>
      <c r="E282" s="609">
        <v>12000</v>
      </c>
      <c r="F282" s="610" t="s">
        <v>7338</v>
      </c>
      <c r="G282" s="497" t="s">
        <v>104</v>
      </c>
      <c r="H282" s="542" t="s">
        <v>7366</v>
      </c>
      <c r="I282" s="608" t="s">
        <v>7396</v>
      </c>
      <c r="J282" s="534"/>
      <c r="K282" s="534"/>
      <c r="L282" s="534"/>
      <c r="M282" s="535"/>
      <c r="N282" s="535"/>
      <c r="O282" s="600"/>
      <c r="P282" s="600"/>
      <c r="Q282" s="599" t="str">
        <f t="shared" si="5"/>
        <v>Gastos_custeados_por_captação</v>
      </c>
      <c r="R282" s="247">
        <f>IF(B282="","",IF(YEAR(B282)='Diário 5º PA'!$Q$1,MONTH(B282)-'Diário 5º PA'!$P$1+1,(YEAR(B282)-'Diário 5º PA'!$Q$1)*12-'Diário 5º PA'!$P$1+1+MONTH(B282)))</f>
        <v>12</v>
      </c>
      <c r="S282" s="600"/>
      <c r="T282" s="600"/>
      <c r="U282" s="600"/>
      <c r="V282" s="600"/>
      <c r="W282" s="600"/>
      <c r="X282" s="600"/>
      <c r="Y282" s="600"/>
      <c r="Z282" s="600"/>
    </row>
    <row r="283" spans="1:26" ht="85.5" customHeight="1" x14ac:dyDescent="0.2">
      <c r="A283" s="248">
        <v>278</v>
      </c>
      <c r="B283" s="533">
        <v>44531</v>
      </c>
      <c r="C283" s="497" t="s">
        <v>104</v>
      </c>
      <c r="D283" s="495" t="s">
        <v>104</v>
      </c>
      <c r="E283" s="609">
        <v>11500</v>
      </c>
      <c r="F283" s="610" t="s">
        <v>7339</v>
      </c>
      <c r="G283" s="497" t="s">
        <v>104</v>
      </c>
      <c r="H283" s="542" t="s">
        <v>7367</v>
      </c>
      <c r="I283" s="608" t="s">
        <v>6928</v>
      </c>
      <c r="J283" s="534"/>
      <c r="K283" s="534"/>
      <c r="L283" s="534"/>
      <c r="M283" s="535"/>
      <c r="N283" s="535"/>
      <c r="O283" s="600"/>
      <c r="P283" s="600"/>
      <c r="Q283" s="599" t="str">
        <f t="shared" si="5"/>
        <v>Gastos_custeados_por_captação</v>
      </c>
      <c r="R283" s="247">
        <f>IF(B283="","",IF(YEAR(B283)='Diário 5º PA'!$Q$1,MONTH(B283)-'Diário 5º PA'!$P$1+1,(YEAR(B283)-'Diário 5º PA'!$Q$1)*12-'Diário 5º PA'!$P$1+1+MONTH(B283)))</f>
        <v>12</v>
      </c>
      <c r="S283" s="600"/>
      <c r="T283" s="600"/>
      <c r="U283" s="600"/>
      <c r="V283" s="600"/>
      <c r="W283" s="600"/>
      <c r="X283" s="600"/>
      <c r="Y283" s="600"/>
      <c r="Z283" s="600"/>
    </row>
    <row r="284" spans="1:26" ht="85.5" customHeight="1" x14ac:dyDescent="0.2">
      <c r="A284" s="248">
        <v>279</v>
      </c>
      <c r="B284" s="533">
        <v>44531</v>
      </c>
      <c r="C284" s="497" t="s">
        <v>104</v>
      </c>
      <c r="D284" s="495" t="s">
        <v>104</v>
      </c>
      <c r="E284" s="609">
        <f>3500+700</f>
        <v>4200</v>
      </c>
      <c r="F284" s="542" t="s">
        <v>7340</v>
      </c>
      <c r="G284" s="497" t="s">
        <v>104</v>
      </c>
      <c r="H284" s="542" t="s">
        <v>7368</v>
      </c>
      <c r="I284" s="608" t="s">
        <v>7397</v>
      </c>
      <c r="J284" s="534"/>
      <c r="K284" s="534"/>
      <c r="L284" s="534"/>
      <c r="M284" s="535"/>
      <c r="N284" s="535"/>
      <c r="O284" s="600"/>
      <c r="P284" s="600"/>
      <c r="Q284" s="599" t="str">
        <f t="shared" si="5"/>
        <v>Gastos_custeados_por_captação</v>
      </c>
      <c r="R284" s="247">
        <f>IF(B284="","",IF(YEAR(B284)='Diário 5º PA'!$Q$1,MONTH(B284)-'Diário 5º PA'!$P$1+1,(YEAR(B284)-'Diário 5º PA'!$Q$1)*12-'Diário 5º PA'!$P$1+1+MONTH(B284)))</f>
        <v>12</v>
      </c>
      <c r="S284" s="600"/>
      <c r="T284" s="600"/>
      <c r="U284" s="600"/>
      <c r="V284" s="600"/>
      <c r="W284" s="600"/>
      <c r="X284" s="600"/>
      <c r="Y284" s="600"/>
      <c r="Z284" s="600"/>
    </row>
    <row r="285" spans="1:26" ht="85.5" customHeight="1" x14ac:dyDescent="0.2">
      <c r="A285" s="248">
        <v>280</v>
      </c>
      <c r="B285" s="533">
        <v>44531</v>
      </c>
      <c r="C285" s="497" t="s">
        <v>104</v>
      </c>
      <c r="D285" s="495" t="s">
        <v>104</v>
      </c>
      <c r="E285" s="609">
        <f>2500+500</f>
        <v>3000</v>
      </c>
      <c r="F285" s="610" t="s">
        <v>7341</v>
      </c>
      <c r="G285" s="497" t="s">
        <v>104</v>
      </c>
      <c r="H285" s="542" t="s">
        <v>7369</v>
      </c>
      <c r="I285" s="608" t="s">
        <v>7398</v>
      </c>
      <c r="J285" s="534"/>
      <c r="K285" s="534"/>
      <c r="L285" s="534"/>
      <c r="M285" s="535"/>
      <c r="N285" s="535"/>
      <c r="O285" s="600"/>
      <c r="P285" s="600"/>
      <c r="Q285" s="599" t="str">
        <f t="shared" si="5"/>
        <v>Gastos_custeados_por_captação</v>
      </c>
      <c r="R285" s="247">
        <f>IF(B285="","",IF(YEAR(B285)='Diário 5º PA'!$Q$1,MONTH(B285)-'Diário 5º PA'!$P$1+1,(YEAR(B285)-'Diário 5º PA'!$Q$1)*12-'Diário 5º PA'!$P$1+1+MONTH(B285)))</f>
        <v>12</v>
      </c>
      <c r="S285" s="600"/>
      <c r="T285" s="600"/>
      <c r="U285" s="600"/>
      <c r="V285" s="600"/>
      <c r="W285" s="600"/>
      <c r="X285" s="600"/>
      <c r="Y285" s="600"/>
      <c r="Z285" s="600"/>
    </row>
    <row r="286" spans="1:26" ht="85.5" customHeight="1" x14ac:dyDescent="0.2">
      <c r="A286" s="248">
        <v>281</v>
      </c>
      <c r="B286" s="533">
        <v>44531</v>
      </c>
      <c r="C286" s="497" t="s">
        <v>104</v>
      </c>
      <c r="D286" s="495" t="s">
        <v>104</v>
      </c>
      <c r="E286" s="609">
        <v>14200</v>
      </c>
      <c r="F286" s="542" t="s">
        <v>7342</v>
      </c>
      <c r="G286" s="497" t="s">
        <v>104</v>
      </c>
      <c r="H286" s="542" t="s">
        <v>7370</v>
      </c>
      <c r="I286" s="608" t="s">
        <v>6202</v>
      </c>
      <c r="J286" s="534"/>
      <c r="K286" s="534"/>
      <c r="L286" s="534"/>
      <c r="M286" s="535"/>
      <c r="N286" s="535"/>
      <c r="O286" s="600"/>
      <c r="P286" s="600"/>
      <c r="Q286" s="599" t="str">
        <f t="shared" si="5"/>
        <v>Gastos_custeados_por_captação</v>
      </c>
      <c r="R286" s="247">
        <f>IF(B286="","",IF(YEAR(B286)='Diário 5º PA'!$Q$1,MONTH(B286)-'Diário 5º PA'!$P$1+1,(YEAR(B286)-'Diário 5º PA'!$Q$1)*12-'Diário 5º PA'!$P$1+1+MONTH(B286)))</f>
        <v>12</v>
      </c>
      <c r="S286" s="600"/>
      <c r="T286" s="600"/>
      <c r="U286" s="600"/>
      <c r="V286" s="600"/>
      <c r="W286" s="600"/>
      <c r="X286" s="600"/>
      <c r="Y286" s="600"/>
      <c r="Z286" s="600"/>
    </row>
    <row r="287" spans="1:26" ht="117.75" customHeight="1" x14ac:dyDescent="0.2">
      <c r="A287" s="248">
        <v>282</v>
      </c>
      <c r="B287" s="533">
        <v>44531</v>
      </c>
      <c r="C287" s="497" t="s">
        <v>104</v>
      </c>
      <c r="D287" s="495" t="s">
        <v>104</v>
      </c>
      <c r="E287" s="609">
        <v>23000</v>
      </c>
      <c r="F287" s="542" t="s">
        <v>7343</v>
      </c>
      <c r="G287" s="497" t="s">
        <v>104</v>
      </c>
      <c r="H287" s="542" t="s">
        <v>7371</v>
      </c>
      <c r="I287" s="608" t="s">
        <v>6972</v>
      </c>
      <c r="J287" s="534"/>
      <c r="K287" s="534"/>
      <c r="L287" s="534"/>
      <c r="M287" s="535"/>
      <c r="N287" s="535"/>
      <c r="O287" s="600"/>
      <c r="P287" s="600"/>
      <c r="Q287" s="599" t="str">
        <f t="shared" si="5"/>
        <v>Gastos_custeados_por_captação</v>
      </c>
      <c r="R287" s="247">
        <f>IF(B287="","",IF(YEAR(B287)='Diário 5º PA'!$Q$1,MONTH(B287)-'Diário 5º PA'!$P$1+1,(YEAR(B287)-'Diário 5º PA'!$Q$1)*12-'Diário 5º PA'!$P$1+1+MONTH(B287)))</f>
        <v>12</v>
      </c>
      <c r="S287" s="600"/>
      <c r="T287" s="600"/>
      <c r="U287" s="600"/>
      <c r="V287" s="600"/>
      <c r="W287" s="600"/>
      <c r="X287" s="600"/>
      <c r="Y287" s="600"/>
      <c r="Z287" s="600"/>
    </row>
    <row r="288" spans="1:26" ht="85.5" customHeight="1" x14ac:dyDescent="0.2">
      <c r="A288" s="248">
        <v>283</v>
      </c>
      <c r="B288" s="533">
        <v>44531</v>
      </c>
      <c r="C288" s="497" t="s">
        <v>104</v>
      </c>
      <c r="D288" s="495" t="s">
        <v>104</v>
      </c>
      <c r="E288" s="609">
        <f>2450+490</f>
        <v>2940</v>
      </c>
      <c r="F288" s="542" t="s">
        <v>7344</v>
      </c>
      <c r="G288" s="497" t="s">
        <v>104</v>
      </c>
      <c r="H288" s="542" t="s">
        <v>7372</v>
      </c>
      <c r="I288" s="608" t="s">
        <v>7399</v>
      </c>
      <c r="J288" s="534"/>
      <c r="K288" s="534"/>
      <c r="L288" s="534"/>
      <c r="M288" s="535"/>
      <c r="N288" s="535"/>
      <c r="O288" s="600"/>
      <c r="P288" s="600"/>
      <c r="Q288" s="599" t="str">
        <f t="shared" si="5"/>
        <v>Gastos_custeados_por_captação</v>
      </c>
      <c r="R288" s="247">
        <f>IF(B288="","",IF(YEAR(B288)='Diário 5º PA'!$Q$1,MONTH(B288)-'Diário 5º PA'!$P$1+1,(YEAR(B288)-'Diário 5º PA'!$Q$1)*12-'Diário 5º PA'!$P$1+1+MONTH(B288)))</f>
        <v>12</v>
      </c>
      <c r="S288" s="600"/>
      <c r="T288" s="600"/>
      <c r="U288" s="600"/>
      <c r="V288" s="600"/>
      <c r="W288" s="600"/>
      <c r="X288" s="600"/>
      <c r="Y288" s="600"/>
      <c r="Z288" s="600"/>
    </row>
    <row r="289" spans="1:26" ht="85.5" customHeight="1" x14ac:dyDescent="0.2">
      <c r="A289" s="248">
        <v>284</v>
      </c>
      <c r="B289" s="533">
        <v>44531</v>
      </c>
      <c r="C289" s="497" t="s">
        <v>104</v>
      </c>
      <c r="D289" s="495" t="s">
        <v>104</v>
      </c>
      <c r="E289" s="609">
        <v>1000</v>
      </c>
      <c r="F289" s="610" t="s">
        <v>7345</v>
      </c>
      <c r="G289" s="497" t="s">
        <v>104</v>
      </c>
      <c r="H289" s="542" t="s">
        <v>7373</v>
      </c>
      <c r="I289" s="608" t="s">
        <v>444</v>
      </c>
      <c r="J289" s="534"/>
      <c r="K289" s="534"/>
      <c r="L289" s="534"/>
      <c r="M289" s="535"/>
      <c r="N289" s="535"/>
      <c r="O289" s="600"/>
      <c r="P289" s="600"/>
      <c r="Q289" s="599" t="str">
        <f t="shared" si="5"/>
        <v>Gastos_custeados_por_captação</v>
      </c>
      <c r="R289" s="247">
        <f>IF(B289="","",IF(YEAR(B289)='Diário 5º PA'!$Q$1,MONTH(B289)-'Diário 5º PA'!$P$1+1,(YEAR(B289)-'Diário 5º PA'!$Q$1)*12-'Diário 5º PA'!$P$1+1+MONTH(B289)))</f>
        <v>12</v>
      </c>
      <c r="S289" s="600"/>
      <c r="T289" s="600"/>
      <c r="U289" s="600"/>
      <c r="V289" s="600"/>
      <c r="W289" s="600"/>
      <c r="X289" s="600"/>
      <c r="Y289" s="600"/>
      <c r="Z289" s="600"/>
    </row>
    <row r="290" spans="1:26" ht="85.5" customHeight="1" x14ac:dyDescent="0.2">
      <c r="A290" s="248">
        <v>285</v>
      </c>
      <c r="B290" s="533">
        <v>44531</v>
      </c>
      <c r="C290" s="497" t="s">
        <v>104</v>
      </c>
      <c r="D290" s="495" t="s">
        <v>104</v>
      </c>
      <c r="E290" s="609">
        <f>2450+490</f>
        <v>2940</v>
      </c>
      <c r="F290" s="542" t="s">
        <v>7346</v>
      </c>
      <c r="G290" s="497" t="s">
        <v>104</v>
      </c>
      <c r="H290" s="542" t="s">
        <v>7374</v>
      </c>
      <c r="I290" s="608" t="s">
        <v>6615</v>
      </c>
      <c r="J290" s="534"/>
      <c r="K290" s="534"/>
      <c r="L290" s="534"/>
      <c r="M290" s="535"/>
      <c r="N290" s="535"/>
      <c r="O290" s="600"/>
      <c r="P290" s="600"/>
      <c r="Q290" s="599" t="str">
        <f t="shared" si="5"/>
        <v>Gastos_custeados_por_captação</v>
      </c>
      <c r="R290" s="247">
        <f>IF(B290="","",IF(YEAR(B290)='Diário 5º PA'!$Q$1,MONTH(B290)-'Diário 5º PA'!$P$1+1,(YEAR(B290)-'Diário 5º PA'!$Q$1)*12-'Diário 5º PA'!$P$1+1+MONTH(B290)))</f>
        <v>12</v>
      </c>
      <c r="S290" s="600"/>
      <c r="T290" s="600"/>
      <c r="U290" s="600"/>
      <c r="V290" s="600"/>
      <c r="W290" s="600"/>
      <c r="X290" s="600"/>
      <c r="Y290" s="600"/>
      <c r="Z290" s="600"/>
    </row>
    <row r="291" spans="1:26" ht="85.5" customHeight="1" x14ac:dyDescent="0.2">
      <c r="A291" s="248">
        <v>286</v>
      </c>
      <c r="B291" s="533">
        <v>44531</v>
      </c>
      <c r="C291" s="497" t="s">
        <v>104</v>
      </c>
      <c r="D291" s="495" t="s">
        <v>104</v>
      </c>
      <c r="E291" s="609">
        <v>3000</v>
      </c>
      <c r="F291" s="542" t="s">
        <v>7347</v>
      </c>
      <c r="G291" s="497" t="s">
        <v>104</v>
      </c>
      <c r="H291" s="542" t="s">
        <v>7375</v>
      </c>
      <c r="I291" s="608" t="s">
        <v>7400</v>
      </c>
      <c r="J291" s="534"/>
      <c r="K291" s="534"/>
      <c r="L291" s="534"/>
      <c r="M291" s="535"/>
      <c r="N291" s="535"/>
      <c r="O291" s="600"/>
      <c r="P291" s="600"/>
      <c r="Q291" s="599" t="str">
        <f t="shared" si="5"/>
        <v>Gastos_custeados_por_captação</v>
      </c>
      <c r="R291" s="247">
        <f>IF(B291="","",IF(YEAR(B291)='Diário 5º PA'!$Q$1,MONTH(B291)-'Diário 5º PA'!$P$1+1,(YEAR(B291)-'Diário 5º PA'!$Q$1)*12-'Diário 5º PA'!$P$1+1+MONTH(B291)))</f>
        <v>12</v>
      </c>
      <c r="S291" s="600"/>
      <c r="T291" s="600"/>
      <c r="U291" s="600"/>
      <c r="V291" s="600"/>
      <c r="W291" s="600"/>
      <c r="X291" s="600"/>
      <c r="Y291" s="600"/>
      <c r="Z291" s="600"/>
    </row>
    <row r="292" spans="1:26" ht="85.5" customHeight="1" x14ac:dyDescent="0.2">
      <c r="A292" s="248">
        <v>287</v>
      </c>
      <c r="B292" s="533">
        <v>44531</v>
      </c>
      <c r="C292" s="497" t="s">
        <v>104</v>
      </c>
      <c r="D292" s="495" t="s">
        <v>104</v>
      </c>
      <c r="E292" s="609">
        <v>3000</v>
      </c>
      <c r="F292" s="542" t="s">
        <v>7348</v>
      </c>
      <c r="G292" s="497" t="s">
        <v>104</v>
      </c>
      <c r="H292" s="542" t="s">
        <v>7376</v>
      </c>
      <c r="I292" s="608" t="s">
        <v>7401</v>
      </c>
      <c r="J292" s="534"/>
      <c r="K292" s="534"/>
      <c r="L292" s="534"/>
      <c r="M292" s="535"/>
      <c r="N292" s="535"/>
      <c r="O292" s="600"/>
      <c r="P292" s="600"/>
      <c r="Q292" s="599" t="str">
        <f t="shared" si="5"/>
        <v>Gastos_custeados_por_captação</v>
      </c>
      <c r="R292" s="247">
        <f>IF(B292="","",IF(YEAR(B292)='Diário 5º PA'!$Q$1,MONTH(B292)-'Diário 5º PA'!$P$1+1,(YEAR(B292)-'Diário 5º PA'!$Q$1)*12-'Diário 5º PA'!$P$1+1+MONTH(B292)))</f>
        <v>12</v>
      </c>
      <c r="S292" s="600"/>
      <c r="T292" s="600"/>
      <c r="U292" s="600"/>
      <c r="V292" s="600"/>
      <c r="W292" s="600"/>
      <c r="X292" s="600"/>
      <c r="Y292" s="600"/>
      <c r="Z292" s="600"/>
    </row>
    <row r="293" spans="1:26" ht="85.5" customHeight="1" x14ac:dyDescent="0.2">
      <c r="A293" s="248">
        <v>288</v>
      </c>
      <c r="B293" s="533">
        <v>44531</v>
      </c>
      <c r="C293" s="497" t="s">
        <v>104</v>
      </c>
      <c r="D293" s="495" t="s">
        <v>104</v>
      </c>
      <c r="E293" s="609">
        <v>850</v>
      </c>
      <c r="F293" s="542" t="s">
        <v>7349</v>
      </c>
      <c r="G293" s="497" t="s">
        <v>104</v>
      </c>
      <c r="H293" s="542" t="s">
        <v>7377</v>
      </c>
      <c r="I293" s="608" t="s">
        <v>7402</v>
      </c>
      <c r="J293" s="534"/>
      <c r="K293" s="534"/>
      <c r="L293" s="534"/>
      <c r="M293" s="535"/>
      <c r="N293" s="535"/>
      <c r="O293" s="600"/>
      <c r="P293" s="600"/>
      <c r="Q293" s="599" t="str">
        <f t="shared" si="5"/>
        <v>Gastos_custeados_por_captação</v>
      </c>
      <c r="R293" s="247">
        <f>IF(B293="","",IF(YEAR(B293)='Diário 5º PA'!$Q$1,MONTH(B293)-'Diário 5º PA'!$P$1+1,(YEAR(B293)-'Diário 5º PA'!$Q$1)*12-'Diário 5º PA'!$P$1+1+MONTH(B293)))</f>
        <v>12</v>
      </c>
      <c r="S293" s="600"/>
      <c r="T293" s="600"/>
      <c r="U293" s="600"/>
      <c r="V293" s="600"/>
      <c r="W293" s="600"/>
      <c r="X293" s="600"/>
      <c r="Y293" s="600"/>
      <c r="Z293" s="600"/>
    </row>
    <row r="294" spans="1:26" ht="85.5" customHeight="1" x14ac:dyDescent="0.2">
      <c r="A294" s="248">
        <v>289</v>
      </c>
      <c r="B294" s="533">
        <v>44531</v>
      </c>
      <c r="C294" s="497" t="s">
        <v>104</v>
      </c>
      <c r="D294" s="495" t="s">
        <v>104</v>
      </c>
      <c r="E294" s="609">
        <f>2450+490</f>
        <v>2940</v>
      </c>
      <c r="F294" s="542" t="s">
        <v>7344</v>
      </c>
      <c r="G294" s="497" t="s">
        <v>104</v>
      </c>
      <c r="H294" s="542" t="s">
        <v>7378</v>
      </c>
      <c r="I294" s="608" t="s">
        <v>7403</v>
      </c>
      <c r="J294" s="534"/>
      <c r="K294" s="534"/>
      <c r="L294" s="534"/>
      <c r="M294" s="535"/>
      <c r="N294" s="535"/>
      <c r="O294" s="600"/>
      <c r="P294" s="600"/>
      <c r="Q294" s="599" t="str">
        <f t="shared" si="5"/>
        <v>Gastos_custeados_por_captação</v>
      </c>
      <c r="R294" s="247">
        <f>IF(B294="","",IF(YEAR(B294)='Diário 5º PA'!$Q$1,MONTH(B294)-'Diário 5º PA'!$P$1+1,(YEAR(B294)-'Diário 5º PA'!$Q$1)*12-'Diário 5º PA'!$P$1+1+MONTH(B294)))</f>
        <v>12</v>
      </c>
      <c r="S294" s="600"/>
      <c r="T294" s="600"/>
      <c r="U294" s="600"/>
      <c r="V294" s="600"/>
      <c r="W294" s="600"/>
      <c r="X294" s="600"/>
      <c r="Y294" s="600"/>
      <c r="Z294" s="600"/>
    </row>
    <row r="295" spans="1:26" ht="85.5" customHeight="1" x14ac:dyDescent="0.2">
      <c r="A295" s="248">
        <v>290</v>
      </c>
      <c r="B295" s="533">
        <v>44531</v>
      </c>
      <c r="C295" s="497" t="s">
        <v>104</v>
      </c>
      <c r="D295" s="495" t="s">
        <v>104</v>
      </c>
      <c r="E295" s="609">
        <f>2450+490</f>
        <v>2940</v>
      </c>
      <c r="F295" s="542" t="s">
        <v>7344</v>
      </c>
      <c r="G295" s="497" t="s">
        <v>104</v>
      </c>
      <c r="H295" s="542" t="s">
        <v>7379</v>
      </c>
      <c r="I295" s="608" t="s">
        <v>6205</v>
      </c>
      <c r="J295" s="534"/>
      <c r="K295" s="534"/>
      <c r="L295" s="534"/>
      <c r="M295" s="535"/>
      <c r="N295" s="535"/>
      <c r="O295" s="600"/>
      <c r="P295" s="600"/>
      <c r="Q295" s="599" t="str">
        <f t="shared" si="5"/>
        <v>Gastos_custeados_por_captação</v>
      </c>
      <c r="R295" s="247">
        <f>IF(B295="","",IF(YEAR(B295)='Diário 5º PA'!$Q$1,MONTH(B295)-'Diário 5º PA'!$P$1+1,(YEAR(B295)-'Diário 5º PA'!$Q$1)*12-'Diário 5º PA'!$P$1+1+MONTH(B295)))</f>
        <v>12</v>
      </c>
      <c r="S295" s="600"/>
      <c r="T295" s="600"/>
      <c r="U295" s="600"/>
      <c r="V295" s="600"/>
      <c r="W295" s="600"/>
      <c r="X295" s="600"/>
      <c r="Y295" s="600"/>
      <c r="Z295" s="600"/>
    </row>
    <row r="296" spans="1:26" ht="85.5" customHeight="1" x14ac:dyDescent="0.2">
      <c r="A296" s="248">
        <v>291</v>
      </c>
      <c r="B296" s="533">
        <v>44531</v>
      </c>
      <c r="C296" s="497" t="s">
        <v>104</v>
      </c>
      <c r="D296" s="495" t="s">
        <v>104</v>
      </c>
      <c r="E296" s="609">
        <v>1597</v>
      </c>
      <c r="F296" s="542" t="s">
        <v>7350</v>
      </c>
      <c r="G296" s="497" t="s">
        <v>104</v>
      </c>
      <c r="H296" s="542" t="s">
        <v>7380</v>
      </c>
      <c r="I296" s="608" t="s">
        <v>2139</v>
      </c>
      <c r="J296" s="534"/>
      <c r="K296" s="534"/>
      <c r="L296" s="534"/>
      <c r="M296" s="535"/>
      <c r="N296" s="535"/>
      <c r="O296" s="600"/>
      <c r="P296" s="600"/>
      <c r="Q296" s="599" t="str">
        <f t="shared" si="5"/>
        <v>Gastos_custeados_por_captação</v>
      </c>
      <c r="R296" s="247">
        <f>IF(B296="","",IF(YEAR(B296)='Diário 5º PA'!$Q$1,MONTH(B296)-'Diário 5º PA'!$P$1+1,(YEAR(B296)-'Diário 5º PA'!$Q$1)*12-'Diário 5º PA'!$P$1+1+MONTH(B296)))</f>
        <v>12</v>
      </c>
      <c r="S296" s="600"/>
      <c r="T296" s="600"/>
      <c r="U296" s="600"/>
      <c r="V296" s="600"/>
      <c r="W296" s="600"/>
      <c r="X296" s="600"/>
      <c r="Y296" s="600"/>
      <c r="Z296" s="600"/>
    </row>
    <row r="297" spans="1:26" ht="85.5" customHeight="1" x14ac:dyDescent="0.2">
      <c r="A297" s="248">
        <v>292</v>
      </c>
      <c r="B297" s="533">
        <v>44531</v>
      </c>
      <c r="C297" s="497" t="s">
        <v>104</v>
      </c>
      <c r="D297" s="495" t="s">
        <v>104</v>
      </c>
      <c r="E297" s="609">
        <v>150</v>
      </c>
      <c r="F297" s="542" t="s">
        <v>7351</v>
      </c>
      <c r="G297" s="497" t="s">
        <v>104</v>
      </c>
      <c r="H297" s="542" t="s">
        <v>7381</v>
      </c>
      <c r="I297" s="608" t="s">
        <v>444</v>
      </c>
      <c r="J297" s="534"/>
      <c r="K297" s="534"/>
      <c r="L297" s="534"/>
      <c r="M297" s="535"/>
      <c r="N297" s="535"/>
      <c r="O297" s="600"/>
      <c r="P297" s="600"/>
      <c r="Q297" s="599" t="str">
        <f t="shared" si="5"/>
        <v>Gastos_custeados_por_captação</v>
      </c>
      <c r="R297" s="247">
        <f>IF(B297="","",IF(YEAR(B297)='Diário 5º PA'!$Q$1,MONTH(B297)-'Diário 5º PA'!$P$1+1,(YEAR(B297)-'Diário 5º PA'!$Q$1)*12-'Diário 5º PA'!$P$1+1+MONTH(B297)))</f>
        <v>12</v>
      </c>
      <c r="S297" s="600"/>
      <c r="T297" s="600"/>
      <c r="U297" s="600"/>
      <c r="V297" s="600"/>
      <c r="W297" s="600"/>
      <c r="X297" s="600"/>
      <c r="Y297" s="600"/>
      <c r="Z297" s="600"/>
    </row>
    <row r="298" spans="1:26" ht="85.5" customHeight="1" x14ac:dyDescent="0.2">
      <c r="A298" s="248">
        <v>293</v>
      </c>
      <c r="B298" s="533">
        <v>44531</v>
      </c>
      <c r="C298" s="497" t="s">
        <v>104</v>
      </c>
      <c r="D298" s="495" t="s">
        <v>104</v>
      </c>
      <c r="E298" s="609">
        <v>5000</v>
      </c>
      <c r="F298" s="542" t="s">
        <v>7352</v>
      </c>
      <c r="G298" s="497" t="s">
        <v>104</v>
      </c>
      <c r="H298" s="542" t="s">
        <v>7382</v>
      </c>
      <c r="I298" s="608" t="s">
        <v>7404</v>
      </c>
      <c r="J298" s="534"/>
      <c r="K298" s="534"/>
      <c r="L298" s="534"/>
      <c r="M298" s="535"/>
      <c r="N298" s="535"/>
      <c r="O298" s="600"/>
      <c r="P298" s="600"/>
      <c r="Q298" s="599" t="str">
        <f t="shared" si="5"/>
        <v>Gastos_custeados_por_captação</v>
      </c>
      <c r="R298" s="247">
        <f>IF(B298="","",IF(YEAR(B298)='Diário 5º PA'!$Q$1,MONTH(B298)-'Diário 5º PA'!$P$1+1,(YEAR(B298)-'Diário 5º PA'!$Q$1)*12-'Diário 5º PA'!$P$1+1+MONTH(B298)))</f>
        <v>12</v>
      </c>
      <c r="S298" s="600"/>
      <c r="T298" s="600"/>
      <c r="U298" s="600"/>
      <c r="V298" s="600"/>
      <c r="W298" s="600"/>
      <c r="X298" s="600"/>
      <c r="Y298" s="600"/>
      <c r="Z298" s="600"/>
    </row>
    <row r="299" spans="1:26" ht="85.5" customHeight="1" x14ac:dyDescent="0.2">
      <c r="A299" s="248">
        <v>294</v>
      </c>
      <c r="B299" s="533">
        <v>44531</v>
      </c>
      <c r="C299" s="497" t="s">
        <v>104</v>
      </c>
      <c r="D299" s="495" t="s">
        <v>104</v>
      </c>
      <c r="E299" s="609">
        <v>6600</v>
      </c>
      <c r="F299" s="542" t="s">
        <v>7353</v>
      </c>
      <c r="G299" s="497" t="s">
        <v>104</v>
      </c>
      <c r="H299" s="542" t="s">
        <v>7383</v>
      </c>
      <c r="I299" s="608" t="s">
        <v>7405</v>
      </c>
      <c r="J299" s="534"/>
      <c r="K299" s="534"/>
      <c r="L299" s="534"/>
      <c r="M299" s="535"/>
      <c r="N299" s="535"/>
      <c r="O299" s="600"/>
      <c r="P299" s="600"/>
      <c r="Q299" s="599" t="str">
        <f t="shared" si="5"/>
        <v>Gastos_custeados_por_captação</v>
      </c>
      <c r="R299" s="247">
        <f>IF(B299="","",IF(YEAR(B299)='Diário 5º PA'!$Q$1,MONTH(B299)-'Diário 5º PA'!$P$1+1,(YEAR(B299)-'Diário 5º PA'!$Q$1)*12-'Diário 5º PA'!$P$1+1+MONTH(B299)))</f>
        <v>12</v>
      </c>
      <c r="S299" s="600"/>
      <c r="T299" s="600"/>
      <c r="U299" s="600"/>
      <c r="V299" s="600"/>
      <c r="W299" s="600"/>
      <c r="X299" s="600"/>
      <c r="Y299" s="600"/>
      <c r="Z299" s="600"/>
    </row>
    <row r="300" spans="1:26" ht="85.5" customHeight="1" x14ac:dyDescent="0.2">
      <c r="A300" s="248">
        <v>295</v>
      </c>
      <c r="B300" s="533">
        <v>44531</v>
      </c>
      <c r="C300" s="497" t="s">
        <v>104</v>
      </c>
      <c r="D300" s="495" t="s">
        <v>104</v>
      </c>
      <c r="E300" s="609">
        <v>3500</v>
      </c>
      <c r="F300" s="542" t="s">
        <v>7352</v>
      </c>
      <c r="G300" s="497" t="s">
        <v>104</v>
      </c>
      <c r="H300" s="542" t="s">
        <v>7384</v>
      </c>
      <c r="I300" s="608" t="s">
        <v>7406</v>
      </c>
      <c r="J300" s="534"/>
      <c r="K300" s="534"/>
      <c r="L300" s="534"/>
      <c r="M300" s="535"/>
      <c r="N300" s="535"/>
      <c r="O300" s="600"/>
      <c r="P300" s="600"/>
      <c r="Q300" s="599" t="str">
        <f t="shared" si="5"/>
        <v>Gastos_custeados_por_captação</v>
      </c>
      <c r="R300" s="247">
        <f>IF(B300="","",IF(YEAR(B300)='Diário 5º PA'!$Q$1,MONTH(B300)-'Diário 5º PA'!$P$1+1,(YEAR(B300)-'Diário 5º PA'!$Q$1)*12-'Diário 5º PA'!$P$1+1+MONTH(B300)))</f>
        <v>12</v>
      </c>
      <c r="S300" s="600"/>
      <c r="T300" s="600"/>
      <c r="U300" s="600"/>
      <c r="V300" s="600"/>
      <c r="W300" s="600"/>
      <c r="X300" s="600"/>
      <c r="Y300" s="600"/>
      <c r="Z300" s="600"/>
    </row>
    <row r="301" spans="1:26" ht="85.5" customHeight="1" x14ac:dyDescent="0.2">
      <c r="A301" s="248">
        <v>296</v>
      </c>
      <c r="B301" s="533">
        <v>44531</v>
      </c>
      <c r="C301" s="497" t="s">
        <v>104</v>
      </c>
      <c r="D301" s="495" t="s">
        <v>104</v>
      </c>
      <c r="E301" s="609">
        <v>2000</v>
      </c>
      <c r="F301" s="542" t="s">
        <v>7354</v>
      </c>
      <c r="G301" s="497" t="s">
        <v>104</v>
      </c>
      <c r="H301" s="542" t="s">
        <v>7385</v>
      </c>
      <c r="I301" s="608" t="s">
        <v>7407</v>
      </c>
      <c r="J301" s="534"/>
      <c r="K301" s="534"/>
      <c r="L301" s="534"/>
      <c r="M301" s="535"/>
      <c r="N301" s="535"/>
      <c r="O301" s="600"/>
      <c r="P301" s="600"/>
      <c r="Q301" s="599" t="str">
        <f t="shared" si="5"/>
        <v>Gastos_custeados_por_captação</v>
      </c>
      <c r="R301" s="247">
        <f>IF(B301="","",IF(YEAR(B301)='Diário 5º PA'!$Q$1,MONTH(B301)-'Diário 5º PA'!$P$1+1,(YEAR(B301)-'Diário 5º PA'!$Q$1)*12-'Diário 5º PA'!$P$1+1+MONTH(B301)))</f>
        <v>12</v>
      </c>
      <c r="S301" s="600"/>
      <c r="T301" s="600"/>
      <c r="U301" s="600"/>
      <c r="V301" s="600"/>
      <c r="W301" s="600"/>
      <c r="X301" s="600"/>
      <c r="Y301" s="600"/>
      <c r="Z301" s="600"/>
    </row>
    <row r="302" spans="1:26" ht="85.5" customHeight="1" x14ac:dyDescent="0.2">
      <c r="A302" s="248">
        <v>297</v>
      </c>
      <c r="B302" s="533">
        <v>44531</v>
      </c>
      <c r="C302" s="497" t="s">
        <v>104</v>
      </c>
      <c r="D302" s="495" t="s">
        <v>104</v>
      </c>
      <c r="E302" s="609">
        <v>3500</v>
      </c>
      <c r="F302" s="542" t="s">
        <v>7352</v>
      </c>
      <c r="G302" s="497" t="s">
        <v>104</v>
      </c>
      <c r="H302" s="542" t="s">
        <v>7386</v>
      </c>
      <c r="I302" s="608" t="s">
        <v>7408</v>
      </c>
      <c r="J302" s="534"/>
      <c r="K302" s="534"/>
      <c r="L302" s="534"/>
      <c r="M302" s="535"/>
      <c r="N302" s="535"/>
      <c r="O302" s="600"/>
      <c r="P302" s="600"/>
      <c r="Q302" s="599" t="str">
        <f t="shared" si="5"/>
        <v>Gastos_custeados_por_captação</v>
      </c>
      <c r="R302" s="247">
        <f>IF(B302="","",IF(YEAR(B302)='Diário 5º PA'!$Q$1,MONTH(B302)-'Diário 5º PA'!$P$1+1,(YEAR(B302)-'Diário 5º PA'!$Q$1)*12-'Diário 5º PA'!$P$1+1+MONTH(B302)))</f>
        <v>12</v>
      </c>
      <c r="S302" s="600"/>
      <c r="T302" s="600"/>
      <c r="U302" s="600"/>
      <c r="V302" s="600"/>
      <c r="W302" s="600"/>
      <c r="X302" s="600"/>
      <c r="Y302" s="600"/>
      <c r="Z302" s="600"/>
    </row>
    <row r="303" spans="1:26" ht="85.5" customHeight="1" x14ac:dyDescent="0.2">
      <c r="A303" s="248">
        <v>298</v>
      </c>
      <c r="B303" s="533">
        <v>44531</v>
      </c>
      <c r="C303" s="497" t="s">
        <v>104</v>
      </c>
      <c r="D303" s="495" t="s">
        <v>104</v>
      </c>
      <c r="E303" s="609">
        <v>5940</v>
      </c>
      <c r="F303" s="542" t="s">
        <v>7355</v>
      </c>
      <c r="G303" s="497" t="s">
        <v>104</v>
      </c>
      <c r="H303" s="542" t="s">
        <v>7387</v>
      </c>
      <c r="I303" s="608" t="s">
        <v>7409</v>
      </c>
      <c r="J303" s="534"/>
      <c r="K303" s="534"/>
      <c r="L303" s="534"/>
      <c r="M303" s="535"/>
      <c r="N303" s="535"/>
      <c r="O303" s="600"/>
      <c r="P303" s="600"/>
      <c r="Q303" s="599" t="str">
        <f t="shared" si="5"/>
        <v>Gastos_custeados_por_captação</v>
      </c>
      <c r="R303" s="247">
        <f>IF(B303="","",IF(YEAR(B303)='Diário 5º PA'!$Q$1,MONTH(B303)-'Diário 5º PA'!$P$1+1,(YEAR(B303)-'Diário 5º PA'!$Q$1)*12-'Diário 5º PA'!$P$1+1+MONTH(B303)))</f>
        <v>12</v>
      </c>
      <c r="S303" s="600"/>
      <c r="T303" s="600"/>
      <c r="U303" s="600"/>
      <c r="V303" s="600"/>
      <c r="W303" s="600"/>
      <c r="X303" s="600"/>
      <c r="Y303" s="600"/>
      <c r="Z303" s="600"/>
    </row>
    <row r="304" spans="1:26" ht="85.5" customHeight="1" x14ac:dyDescent="0.2">
      <c r="A304" s="248">
        <v>299</v>
      </c>
      <c r="B304" s="533">
        <v>44531</v>
      </c>
      <c r="C304" s="497" t="s">
        <v>104</v>
      </c>
      <c r="D304" s="495" t="s">
        <v>104</v>
      </c>
      <c r="E304" s="609">
        <v>1340</v>
      </c>
      <c r="F304" s="542" t="s">
        <v>7356</v>
      </c>
      <c r="G304" s="497" t="s">
        <v>104</v>
      </c>
      <c r="H304" s="542" t="s">
        <v>7388</v>
      </c>
      <c r="I304" s="608" t="s">
        <v>7410</v>
      </c>
      <c r="J304" s="534"/>
      <c r="K304" s="534"/>
      <c r="L304" s="534"/>
      <c r="M304" s="535"/>
      <c r="N304" s="535"/>
      <c r="O304" s="600"/>
      <c r="P304" s="600"/>
      <c r="Q304" s="599" t="str">
        <f t="shared" si="5"/>
        <v>Gastos_custeados_por_captação</v>
      </c>
      <c r="R304" s="247">
        <f>IF(B304="","",IF(YEAR(B304)='Diário 5º PA'!$Q$1,MONTH(B304)-'Diário 5º PA'!$P$1+1,(YEAR(B304)-'Diário 5º PA'!$Q$1)*12-'Diário 5º PA'!$P$1+1+MONTH(B304)))</f>
        <v>12</v>
      </c>
      <c r="S304" s="600"/>
      <c r="T304" s="600"/>
      <c r="U304" s="600"/>
      <c r="V304" s="600"/>
      <c r="W304" s="600"/>
      <c r="X304" s="600"/>
      <c r="Y304" s="600"/>
      <c r="Z304" s="600"/>
    </row>
    <row r="305" spans="1:26" ht="85.5" customHeight="1" x14ac:dyDescent="0.2">
      <c r="A305" s="248">
        <v>300</v>
      </c>
      <c r="B305" s="533">
        <v>44531</v>
      </c>
      <c r="C305" s="497" t="s">
        <v>104</v>
      </c>
      <c r="D305" s="495" t="s">
        <v>104</v>
      </c>
      <c r="E305" s="609">
        <v>5400</v>
      </c>
      <c r="F305" s="542" t="s">
        <v>7356</v>
      </c>
      <c r="G305" s="497" t="s">
        <v>104</v>
      </c>
      <c r="H305" s="542" t="s">
        <v>7389</v>
      </c>
      <c r="I305" s="608" t="s">
        <v>6964</v>
      </c>
      <c r="J305" s="534"/>
      <c r="K305" s="534"/>
      <c r="L305" s="534"/>
      <c r="M305" s="535"/>
      <c r="N305" s="535"/>
      <c r="O305" s="600"/>
      <c r="P305" s="600"/>
      <c r="Q305" s="599" t="str">
        <f t="shared" si="5"/>
        <v>Gastos_custeados_por_captação</v>
      </c>
      <c r="R305" s="247">
        <f>IF(B305="","",IF(YEAR(B305)='Diário 5º PA'!$Q$1,MONTH(B305)-'Diário 5º PA'!$P$1+1,(YEAR(B305)-'Diário 5º PA'!$Q$1)*12-'Diário 5º PA'!$P$1+1+MONTH(B305)))</f>
        <v>12</v>
      </c>
      <c r="S305" s="600"/>
      <c r="T305" s="600"/>
      <c r="U305" s="600"/>
      <c r="V305" s="600"/>
      <c r="W305" s="600"/>
      <c r="X305" s="600"/>
      <c r="Y305" s="600"/>
      <c r="Z305" s="600"/>
    </row>
    <row r="306" spans="1:26" ht="85.5" customHeight="1" x14ac:dyDescent="0.2">
      <c r="A306" s="248">
        <v>301</v>
      </c>
      <c r="B306" s="533">
        <v>44531</v>
      </c>
      <c r="C306" s="497" t="s">
        <v>104</v>
      </c>
      <c r="D306" s="495" t="s">
        <v>104</v>
      </c>
      <c r="E306" s="609">
        <v>5250</v>
      </c>
      <c r="F306" s="542" t="s">
        <v>7357</v>
      </c>
      <c r="G306" s="497" t="s">
        <v>104</v>
      </c>
      <c r="H306" s="542" t="s">
        <v>7390</v>
      </c>
      <c r="I306" s="608" t="s">
        <v>7411</v>
      </c>
      <c r="J306" s="534"/>
      <c r="K306" s="534"/>
      <c r="L306" s="534"/>
      <c r="M306" s="535"/>
      <c r="N306" s="535"/>
      <c r="O306" s="600"/>
      <c r="P306" s="600"/>
      <c r="Q306" s="599" t="str">
        <f t="shared" si="5"/>
        <v>Gastos_custeados_por_captação</v>
      </c>
      <c r="R306" s="247">
        <f>IF(B306="","",IF(YEAR(B306)='Diário 5º PA'!$Q$1,MONTH(B306)-'Diário 5º PA'!$P$1+1,(YEAR(B306)-'Diário 5º PA'!$Q$1)*12-'Diário 5º PA'!$P$1+1+MONTH(B306)))</f>
        <v>12</v>
      </c>
      <c r="S306" s="600"/>
      <c r="T306" s="600"/>
      <c r="U306" s="600"/>
      <c r="V306" s="600"/>
      <c r="W306" s="600"/>
      <c r="X306" s="600"/>
      <c r="Y306" s="600"/>
      <c r="Z306" s="600"/>
    </row>
    <row r="307" spans="1:26" ht="85.5" customHeight="1" x14ac:dyDescent="0.2">
      <c r="A307" s="248">
        <v>302</v>
      </c>
      <c r="B307" s="533">
        <v>44531</v>
      </c>
      <c r="C307" s="497" t="s">
        <v>104</v>
      </c>
      <c r="D307" s="495" t="s">
        <v>104</v>
      </c>
      <c r="E307" s="609">
        <v>5112</v>
      </c>
      <c r="F307" s="610" t="s">
        <v>7358</v>
      </c>
      <c r="G307" s="497" t="s">
        <v>104</v>
      </c>
      <c r="H307" s="542" t="s">
        <v>7391</v>
      </c>
      <c r="I307" s="608" t="s">
        <v>7037</v>
      </c>
      <c r="J307" s="534"/>
      <c r="K307" s="534"/>
      <c r="L307" s="534"/>
      <c r="M307" s="535"/>
      <c r="N307" s="535"/>
      <c r="O307" s="600"/>
      <c r="P307" s="600"/>
      <c r="Q307" s="599" t="str">
        <f t="shared" si="5"/>
        <v>Gastos_custeados_por_captação</v>
      </c>
      <c r="R307" s="247">
        <f>IF(B307="","",IF(YEAR(B307)='Diário 5º PA'!$Q$1,MONTH(B307)-'Diário 5º PA'!$P$1+1,(YEAR(B307)-'Diário 5º PA'!$Q$1)*12-'Diário 5º PA'!$P$1+1+MONTH(B307)))</f>
        <v>12</v>
      </c>
      <c r="S307" s="600"/>
      <c r="T307" s="600"/>
      <c r="U307" s="600"/>
      <c r="V307" s="600"/>
      <c r="W307" s="600"/>
      <c r="X307" s="600"/>
      <c r="Y307" s="600"/>
      <c r="Z307" s="600"/>
    </row>
    <row r="308" spans="1:26" ht="65.25" customHeight="1" x14ac:dyDescent="0.2">
      <c r="A308" s="248">
        <v>303</v>
      </c>
      <c r="B308" s="533">
        <v>44531</v>
      </c>
      <c r="C308" s="497" t="s">
        <v>104</v>
      </c>
      <c r="D308" s="495" t="s">
        <v>104</v>
      </c>
      <c r="E308" s="496">
        <v>1000</v>
      </c>
      <c r="F308" s="252" t="s">
        <v>7412</v>
      </c>
      <c r="G308" s="497" t="s">
        <v>104</v>
      </c>
      <c r="H308" s="560" t="s">
        <v>7413</v>
      </c>
      <c r="I308" s="534" t="s">
        <v>7414</v>
      </c>
      <c r="J308" s="534"/>
      <c r="K308" s="534"/>
      <c r="L308" s="534"/>
      <c r="M308" s="535"/>
      <c r="N308" s="535"/>
      <c r="O308" s="600"/>
      <c r="P308" s="600"/>
      <c r="Q308" s="599" t="str">
        <f t="shared" si="5"/>
        <v>Gastos_custeados_por_captação</v>
      </c>
      <c r="R308" s="247">
        <f>IF(B308="","",IF(YEAR(B308)='Diário 5º PA'!$Q$1,MONTH(B308)-'Diário 5º PA'!$P$1+1,(YEAR(B308)-'Diário 5º PA'!$Q$1)*12-'Diário 5º PA'!$P$1+1+MONTH(B308)))</f>
        <v>12</v>
      </c>
      <c r="S308" s="600"/>
      <c r="T308" s="600"/>
      <c r="U308" s="600"/>
      <c r="V308" s="600"/>
      <c r="W308" s="600"/>
      <c r="X308" s="600"/>
      <c r="Y308" s="600"/>
      <c r="Z308" s="600"/>
    </row>
    <row r="309" spans="1:26" ht="85.5" customHeight="1" x14ac:dyDescent="0.2">
      <c r="A309" s="248">
        <v>304</v>
      </c>
      <c r="B309" s="533">
        <v>44531</v>
      </c>
      <c r="C309" s="497" t="s">
        <v>104</v>
      </c>
      <c r="D309" s="495" t="s">
        <v>104</v>
      </c>
      <c r="E309" s="496">
        <v>1000</v>
      </c>
      <c r="F309" s="252" t="s">
        <v>7415</v>
      </c>
      <c r="G309" s="497" t="s">
        <v>104</v>
      </c>
      <c r="H309" s="560" t="s">
        <v>7416</v>
      </c>
      <c r="I309" s="534" t="s">
        <v>5972</v>
      </c>
      <c r="J309" s="534"/>
      <c r="K309" s="534"/>
      <c r="L309" s="534"/>
      <c r="M309" s="535"/>
      <c r="N309" s="535"/>
      <c r="O309" s="600"/>
      <c r="P309" s="600"/>
      <c r="Q309" s="599" t="str">
        <f t="shared" si="5"/>
        <v>Gastos_custeados_por_captação</v>
      </c>
      <c r="R309" s="247">
        <f>IF(B309="","",IF(YEAR(B309)='Diário 5º PA'!$Q$1,MONTH(B309)-'Diário 5º PA'!$P$1+1,(YEAR(B309)-'Diário 5º PA'!$Q$1)*12-'Diário 5º PA'!$P$1+1+MONTH(B309)))</f>
        <v>12</v>
      </c>
      <c r="S309" s="600"/>
      <c r="T309" s="600"/>
      <c r="U309" s="600"/>
      <c r="V309" s="600"/>
      <c r="W309" s="600"/>
      <c r="X309" s="600"/>
      <c r="Y309" s="600"/>
      <c r="Z309" s="600"/>
    </row>
    <row r="310" spans="1:26" ht="85.5" customHeight="1" x14ac:dyDescent="0.2">
      <c r="A310" s="248">
        <v>305</v>
      </c>
      <c r="B310" s="507">
        <v>44470</v>
      </c>
      <c r="C310" s="495" t="s">
        <v>104</v>
      </c>
      <c r="D310" s="495" t="s">
        <v>104</v>
      </c>
      <c r="E310" s="554">
        <v>2539.8000000000002</v>
      </c>
      <c r="F310" s="536" t="s">
        <v>6976</v>
      </c>
      <c r="G310" s="497" t="s">
        <v>104</v>
      </c>
      <c r="H310" s="553" t="s">
        <v>6973</v>
      </c>
      <c r="I310" s="613" t="s">
        <v>1729</v>
      </c>
      <c r="J310" s="534"/>
      <c r="K310" s="534"/>
      <c r="L310" s="534"/>
      <c r="M310" s="535"/>
      <c r="N310" s="535"/>
      <c r="O310" s="600"/>
      <c r="P310" s="600"/>
      <c r="Q310" s="599" t="str">
        <f t="shared" si="5"/>
        <v>Gastos_custeados_por_captação</v>
      </c>
      <c r="R310" s="247">
        <f>IF(B310="","",IF(YEAR(B310)='Diário 5º PA'!$Q$1,MONTH(B310)-'Diário 5º PA'!$P$1+1,(YEAR(B310)-'Diário 5º PA'!$Q$1)*12-'Diário 5º PA'!$P$1+1+MONTH(B310)))</f>
        <v>10</v>
      </c>
      <c r="S310" s="600"/>
      <c r="T310" s="600"/>
      <c r="U310" s="600"/>
      <c r="V310" s="600"/>
      <c r="W310" s="600"/>
      <c r="X310" s="600"/>
      <c r="Y310" s="600"/>
      <c r="Z310" s="600"/>
    </row>
    <row r="311" spans="1:26" s="687" customFormat="1" ht="85.5" customHeight="1" x14ac:dyDescent="0.2">
      <c r="A311" s="248">
        <v>306</v>
      </c>
      <c r="B311" s="533">
        <v>44378</v>
      </c>
      <c r="C311" s="281" t="s">
        <v>104</v>
      </c>
      <c r="D311" s="250" t="s">
        <v>104</v>
      </c>
      <c r="E311" s="496">
        <v>2100</v>
      </c>
      <c r="F311" s="506" t="s">
        <v>7068</v>
      </c>
      <c r="G311" s="250" t="s">
        <v>104</v>
      </c>
      <c r="H311" s="581" t="s">
        <v>1996</v>
      </c>
      <c r="I311" s="614" t="s">
        <v>1997</v>
      </c>
      <c r="J311" s="534"/>
      <c r="K311" s="534"/>
      <c r="L311" s="534"/>
      <c r="M311" s="535"/>
      <c r="N311" s="535"/>
      <c r="O311" s="600"/>
      <c r="P311" s="600"/>
      <c r="Q311" s="599" t="str">
        <f t="shared" si="5"/>
        <v>Gastos_custeados_por_captação</v>
      </c>
      <c r="R311" s="247">
        <f>IF(B311="","",IF(YEAR(B311)='Diário 5º PA'!$Q$1,MONTH(B311)-'Diário 5º PA'!$P$1+1,(YEAR(B311)-'Diário 5º PA'!$Q$1)*12-'Diário 5º PA'!$P$1+1+MONTH(B311)))</f>
        <v>7</v>
      </c>
      <c r="S311" s="600"/>
      <c r="T311" s="600"/>
      <c r="U311" s="600"/>
      <c r="V311" s="600"/>
      <c r="W311" s="600"/>
      <c r="X311" s="600"/>
      <c r="Y311" s="600"/>
      <c r="Z311" s="600"/>
    </row>
    <row r="312" spans="1:26" s="687" customFormat="1" ht="39.950000000000003" customHeight="1" x14ac:dyDescent="0.2">
      <c r="A312" s="248">
        <v>307</v>
      </c>
      <c r="B312" s="507">
        <v>44470</v>
      </c>
      <c r="C312" s="281" t="s">
        <v>104</v>
      </c>
      <c r="D312" s="250" t="s">
        <v>104</v>
      </c>
      <c r="E312" s="554">
        <v>203.92</v>
      </c>
      <c r="F312" s="536" t="s">
        <v>7435</v>
      </c>
      <c r="G312" s="250" t="s">
        <v>104</v>
      </c>
      <c r="H312" s="553" t="s">
        <v>465</v>
      </c>
      <c r="I312" s="613" t="s">
        <v>114</v>
      </c>
      <c r="J312" s="534" t="s">
        <v>466</v>
      </c>
      <c r="K312" s="534" t="s">
        <v>467</v>
      </c>
      <c r="L312" s="534"/>
      <c r="M312" s="535"/>
      <c r="N312" s="535"/>
      <c r="O312" s="600"/>
      <c r="P312" s="600"/>
      <c r="Q312" s="599" t="str">
        <f t="shared" si="5"/>
        <v>Gastos_custeados_por_captação</v>
      </c>
      <c r="R312" s="247">
        <f>IF(B312="","",IF(YEAR(B312)='Diário 5º PA'!$Q$1,MONTH(B312)-'Diário 5º PA'!$P$1+1,(YEAR(B312)-'Diário 5º PA'!$Q$1)*12-'Diário 5º PA'!$P$1+1+MONTH(B312)))</f>
        <v>10</v>
      </c>
      <c r="S312" s="600"/>
      <c r="T312" s="600"/>
      <c r="U312" s="600"/>
      <c r="V312" s="600"/>
      <c r="W312" s="600"/>
      <c r="X312" s="600"/>
      <c r="Y312" s="600"/>
      <c r="Z312" s="600"/>
    </row>
    <row r="313" spans="1:26" ht="39.950000000000003" customHeight="1" x14ac:dyDescent="0.2">
      <c r="A313" s="248">
        <v>308</v>
      </c>
      <c r="B313" s="507">
        <v>44470</v>
      </c>
      <c r="C313" s="497" t="s">
        <v>104</v>
      </c>
      <c r="D313" s="530" t="s">
        <v>104</v>
      </c>
      <c r="E313" s="496">
        <v>26.41</v>
      </c>
      <c r="F313" s="536" t="s">
        <v>7436</v>
      </c>
      <c r="G313" s="250" t="s">
        <v>104</v>
      </c>
      <c r="H313" s="553" t="s">
        <v>465</v>
      </c>
      <c r="I313" s="613" t="s">
        <v>114</v>
      </c>
      <c r="J313" s="534" t="s">
        <v>466</v>
      </c>
      <c r="K313" s="534" t="s">
        <v>467</v>
      </c>
      <c r="L313" s="534"/>
      <c r="M313" s="535"/>
      <c r="N313" s="535"/>
      <c r="O313" s="600"/>
      <c r="P313" s="600"/>
      <c r="Q313" s="599" t="str">
        <f t="shared" si="5"/>
        <v>Gastos_custeados_por_captação</v>
      </c>
      <c r="R313" s="247">
        <f>IF(B313="","",IF(YEAR(B313)='Diário 5º PA'!$Q$1,MONTH(B313)-'Diário 5º PA'!$P$1+1,(YEAR(B313)-'Diário 5º PA'!$Q$1)*12-'Diário 5º PA'!$P$1+1+MONTH(B313)))</f>
        <v>10</v>
      </c>
      <c r="S313" s="596"/>
      <c r="T313" s="596"/>
      <c r="U313" s="596"/>
      <c r="V313" s="596"/>
      <c r="W313" s="596"/>
      <c r="X313" s="596"/>
      <c r="Y313" s="596"/>
      <c r="Z313" s="596"/>
    </row>
    <row r="314" spans="1:26" ht="30" customHeight="1" thickBot="1" x14ac:dyDescent="0.25">
      <c r="A314" s="260" t="s">
        <v>934</v>
      </c>
      <c r="B314" s="601"/>
      <c r="C314" s="601"/>
      <c r="D314" s="602"/>
      <c r="E314" s="261">
        <f>SUM(E5:E313)</f>
        <v>890543.04999999993</v>
      </c>
      <c r="F314" s="262"/>
      <c r="G314" s="595"/>
      <c r="H314" s="595"/>
      <c r="I314" s="596"/>
      <c r="J314" s="596"/>
      <c r="K314" s="596"/>
      <c r="L314" s="596"/>
      <c r="M314" s="267"/>
      <c r="N314" s="267"/>
      <c r="O314" s="596"/>
      <c r="P314" s="596"/>
      <c r="Q314" s="596"/>
      <c r="R314" s="596"/>
      <c r="S314" s="596"/>
      <c r="T314" s="596"/>
      <c r="U314" s="596"/>
      <c r="V314" s="596"/>
      <c r="W314" s="596"/>
      <c r="X314" s="596"/>
      <c r="Y314" s="596"/>
      <c r="Z314" s="596"/>
    </row>
    <row r="315" spans="1:26" ht="47.25" customHeight="1" thickBot="1" x14ac:dyDescent="0.25">
      <c r="A315" s="745" t="s">
        <v>935</v>
      </c>
      <c r="B315" s="745"/>
      <c r="C315" s="745"/>
      <c r="D315" s="746"/>
      <c r="E315" s="484">
        <v>632605.39</v>
      </c>
      <c r="F315" s="262"/>
      <c r="G315" s="595"/>
      <c r="H315" s="595"/>
      <c r="I315" s="596"/>
      <c r="J315" s="596"/>
      <c r="K315" s="596"/>
      <c r="L315" s="596"/>
      <c r="M315" s="267"/>
      <c r="N315" s="267"/>
      <c r="O315" s="596"/>
      <c r="P315" s="596"/>
      <c r="Q315" s="596"/>
      <c r="R315" s="596"/>
      <c r="S315" s="596"/>
      <c r="T315" s="596"/>
      <c r="U315" s="596"/>
      <c r="V315" s="596"/>
      <c r="W315" s="596"/>
      <c r="X315" s="596"/>
      <c r="Y315" s="596"/>
      <c r="Z315" s="596"/>
    </row>
    <row r="316" spans="1:26" ht="12.75" customHeight="1" thickBot="1" x14ac:dyDescent="0.25">
      <c r="A316" s="263" t="s">
        <v>936</v>
      </c>
      <c r="B316" s="603"/>
      <c r="C316" s="603"/>
      <c r="D316" s="604"/>
      <c r="E316" s="264">
        <f>SUM(E314:E315)</f>
        <v>1523148.44</v>
      </c>
      <c r="F316" s="262"/>
      <c r="G316" s="595"/>
      <c r="H316" s="595"/>
      <c r="I316" s="596"/>
      <c r="J316" s="596"/>
      <c r="K316" s="596"/>
      <c r="L316" s="596"/>
      <c r="M316" s="267"/>
      <c r="N316" s="267"/>
      <c r="O316" s="596"/>
      <c r="P316" s="596"/>
      <c r="Q316" s="596"/>
      <c r="R316" s="596"/>
      <c r="S316" s="596"/>
      <c r="T316" s="596"/>
      <c r="U316" s="596"/>
      <c r="V316" s="596"/>
      <c r="W316" s="596"/>
      <c r="X316" s="596"/>
      <c r="Y316" s="596"/>
      <c r="Z316" s="596"/>
    </row>
    <row r="317" spans="1:26" ht="12.75" customHeight="1" x14ac:dyDescent="0.2">
      <c r="A317" s="596"/>
      <c r="B317" s="265"/>
      <c r="C317" s="596"/>
      <c r="D317" s="266"/>
      <c r="E317" s="605"/>
      <c r="F317" s="606"/>
      <c r="G317" s="596"/>
      <c r="H317" s="596"/>
      <c r="I317" s="596"/>
      <c r="J317" s="596"/>
      <c r="K317" s="596"/>
      <c r="L317" s="596"/>
      <c r="M317" s="267"/>
      <c r="N317" s="267"/>
      <c r="O317" s="596"/>
      <c r="P317" s="596"/>
      <c r="Q317" s="596"/>
      <c r="R317" s="596"/>
      <c r="S317" s="596"/>
      <c r="T317" s="596"/>
      <c r="U317" s="596"/>
      <c r="V317" s="596"/>
      <c r="W317" s="596"/>
      <c r="X317" s="596"/>
      <c r="Y317" s="596"/>
      <c r="Z317" s="596"/>
    </row>
    <row r="318" spans="1:26" ht="12.75" customHeight="1" x14ac:dyDescent="0.2">
      <c r="A318" s="596"/>
      <c r="B318" s="265"/>
      <c r="C318" s="596"/>
      <c r="D318" s="266"/>
      <c r="E318" s="605"/>
      <c r="F318" s="606"/>
      <c r="G318" s="596"/>
      <c r="H318" s="596"/>
      <c r="I318" s="596"/>
      <c r="J318" s="596"/>
      <c r="K318" s="596"/>
      <c r="L318" s="596"/>
      <c r="M318" s="267"/>
      <c r="N318" s="267"/>
      <c r="O318" s="596"/>
      <c r="P318" s="596"/>
      <c r="Q318" s="596"/>
      <c r="R318" s="596"/>
      <c r="S318" s="596"/>
      <c r="T318" s="596"/>
      <c r="U318" s="596"/>
      <c r="V318" s="596"/>
      <c r="W318" s="596"/>
      <c r="X318" s="596"/>
      <c r="Y318" s="596"/>
      <c r="Z318" s="596"/>
    </row>
    <row r="319" spans="1:26" ht="12.75" customHeight="1" x14ac:dyDescent="0.2">
      <c r="A319" s="596"/>
      <c r="B319" s="265"/>
      <c r="C319" s="596"/>
      <c r="D319" s="266"/>
      <c r="E319" s="605"/>
      <c r="F319" s="606"/>
      <c r="G319" s="605"/>
      <c r="H319" s="266"/>
      <c r="I319" s="266"/>
      <c r="J319" s="266"/>
      <c r="K319" s="266"/>
      <c r="L319" s="266"/>
      <c r="M319" s="267"/>
      <c r="N319" s="267"/>
      <c r="O319" s="596"/>
      <c r="P319" s="596"/>
      <c r="Q319" s="596"/>
      <c r="R319" s="596"/>
      <c r="S319" s="596"/>
      <c r="T319" s="596"/>
      <c r="U319" s="596"/>
      <c r="V319" s="596"/>
      <c r="W319" s="596"/>
      <c r="X319" s="596"/>
      <c r="Y319" s="596"/>
      <c r="Z319" s="596"/>
    </row>
    <row r="320" spans="1:26" ht="12.75" customHeight="1" x14ac:dyDescent="0.2">
      <c r="A320" s="596"/>
      <c r="B320" s="265"/>
      <c r="C320" s="596"/>
      <c r="D320" s="266"/>
      <c r="E320" s="605"/>
      <c r="F320" s="606"/>
      <c r="G320" s="605"/>
      <c r="H320" s="266"/>
      <c r="I320" s="266"/>
      <c r="J320" s="266"/>
      <c r="K320" s="266"/>
      <c r="L320" s="266"/>
      <c r="M320" s="267"/>
      <c r="N320" s="267"/>
      <c r="O320" s="596"/>
      <c r="P320" s="596"/>
      <c r="Q320" s="596"/>
      <c r="R320" s="596"/>
      <c r="S320" s="596"/>
      <c r="T320" s="596"/>
      <c r="U320" s="596"/>
      <c r="V320" s="596"/>
      <c r="W320" s="596"/>
      <c r="X320" s="596"/>
      <c r="Y320" s="596"/>
      <c r="Z320" s="596"/>
    </row>
    <row r="321" spans="1:26" ht="12.75" customHeight="1" x14ac:dyDescent="0.2">
      <c r="A321" s="596"/>
      <c r="B321" s="265"/>
      <c r="C321" s="596"/>
      <c r="D321" s="266"/>
      <c r="E321" s="605"/>
      <c r="F321" s="606"/>
      <c r="G321" s="605"/>
      <c r="H321" s="266"/>
      <c r="I321" s="266"/>
      <c r="J321" s="266"/>
      <c r="K321" s="266"/>
      <c r="L321" s="266"/>
      <c r="M321" s="267"/>
      <c r="N321" s="267"/>
      <c r="O321" s="596"/>
      <c r="P321" s="596"/>
      <c r="Q321" s="596"/>
      <c r="R321" s="596"/>
      <c r="S321" s="596"/>
      <c r="T321" s="596"/>
      <c r="U321" s="596"/>
      <c r="V321" s="596"/>
      <c r="W321" s="596"/>
      <c r="X321" s="596"/>
      <c r="Y321" s="596"/>
      <c r="Z321" s="596"/>
    </row>
    <row r="322" spans="1:26" ht="12.75" customHeight="1" x14ac:dyDescent="0.2">
      <c r="A322" s="596"/>
      <c r="B322" s="265"/>
      <c r="C322" s="596"/>
      <c r="D322" s="266"/>
      <c r="E322" s="605"/>
      <c r="F322" s="606"/>
      <c r="G322" s="605"/>
      <c r="H322" s="266"/>
      <c r="I322" s="266"/>
      <c r="J322" s="266"/>
      <c r="K322" s="266"/>
      <c r="L322" s="266"/>
      <c r="M322" s="267"/>
      <c r="N322" s="267"/>
      <c r="O322" s="596"/>
      <c r="P322" s="596"/>
      <c r="Q322" s="596"/>
      <c r="R322" s="596"/>
      <c r="S322" s="596"/>
      <c r="T322" s="596"/>
      <c r="U322" s="596"/>
      <c r="V322" s="596"/>
      <c r="W322" s="596"/>
      <c r="X322" s="596"/>
      <c r="Y322" s="596"/>
      <c r="Z322" s="596"/>
    </row>
    <row r="323" spans="1:26" ht="12.75" customHeight="1" x14ac:dyDescent="0.2">
      <c r="A323" s="596"/>
      <c r="B323" s="265"/>
      <c r="C323" s="596"/>
      <c r="D323" s="266"/>
      <c r="E323" s="605"/>
      <c r="F323" s="606"/>
      <c r="G323" s="605"/>
      <c r="H323" s="266"/>
      <c r="I323" s="266"/>
      <c r="J323" s="266"/>
      <c r="K323" s="266"/>
      <c r="L323" s="266"/>
      <c r="M323" s="267"/>
      <c r="N323" s="267"/>
      <c r="O323" s="596"/>
      <c r="P323" s="596"/>
      <c r="Q323" s="596"/>
      <c r="R323" s="596"/>
      <c r="S323" s="596"/>
      <c r="T323" s="596"/>
      <c r="U323" s="596"/>
      <c r="V323" s="596"/>
      <c r="W323" s="596"/>
      <c r="X323" s="596"/>
      <c r="Y323" s="596"/>
      <c r="Z323" s="596"/>
    </row>
    <row r="324" spans="1:26" ht="12.75" customHeight="1" x14ac:dyDescent="0.2">
      <c r="A324" s="596"/>
      <c r="B324" s="265"/>
      <c r="C324" s="596"/>
      <c r="D324" s="266"/>
      <c r="E324" s="605"/>
      <c r="F324" s="606"/>
      <c r="G324" s="605"/>
      <c r="H324" s="266"/>
      <c r="I324" s="266"/>
      <c r="J324" s="266"/>
      <c r="K324" s="266"/>
      <c r="L324" s="266"/>
      <c r="M324" s="267"/>
      <c r="N324" s="267"/>
      <c r="O324" s="596"/>
      <c r="P324" s="596"/>
      <c r="Q324" s="596"/>
      <c r="R324" s="596"/>
      <c r="S324" s="596"/>
      <c r="T324" s="596"/>
      <c r="U324" s="596"/>
      <c r="V324" s="596"/>
      <c r="W324" s="596"/>
      <c r="X324" s="596"/>
      <c r="Y324" s="596"/>
      <c r="Z324" s="596"/>
    </row>
    <row r="325" spans="1:26" ht="12.75" customHeight="1" x14ac:dyDescent="0.2">
      <c r="A325" s="596"/>
      <c r="B325" s="265"/>
      <c r="C325" s="596"/>
      <c r="D325" s="266"/>
      <c r="E325" s="605"/>
      <c r="F325" s="606"/>
      <c r="G325" s="605"/>
      <c r="H325" s="266"/>
      <c r="I325" s="266"/>
      <c r="J325" s="266"/>
      <c r="K325" s="266"/>
      <c r="L325" s="266"/>
      <c r="M325" s="267"/>
      <c r="N325" s="267"/>
      <c r="O325" s="596"/>
      <c r="P325" s="596"/>
      <c r="Q325" s="596"/>
      <c r="R325" s="596"/>
      <c r="S325" s="596"/>
      <c r="T325" s="596"/>
      <c r="U325" s="596"/>
      <c r="V325" s="596"/>
      <c r="W325" s="596"/>
      <c r="X325" s="596"/>
      <c r="Y325" s="596"/>
      <c r="Z325" s="596"/>
    </row>
    <row r="326" spans="1:26" ht="12.75" customHeight="1" x14ac:dyDescent="0.2">
      <c r="A326" s="596"/>
      <c r="B326" s="265"/>
      <c r="C326" s="596"/>
      <c r="D326" s="266"/>
      <c r="E326" s="605"/>
      <c r="F326" s="606"/>
      <c r="G326" s="605"/>
      <c r="H326" s="266"/>
      <c r="I326" s="266"/>
      <c r="J326" s="266"/>
      <c r="K326" s="266"/>
      <c r="L326" s="266"/>
      <c r="M326" s="267"/>
      <c r="N326" s="267"/>
      <c r="O326" s="596"/>
      <c r="P326" s="596"/>
      <c r="Q326" s="596"/>
      <c r="R326" s="596"/>
      <c r="S326" s="596"/>
      <c r="T326" s="596"/>
      <c r="U326" s="596"/>
      <c r="V326" s="596"/>
      <c r="W326" s="596"/>
      <c r="X326" s="596"/>
      <c r="Y326" s="596"/>
      <c r="Z326" s="596"/>
    </row>
    <row r="327" spans="1:26" ht="12.75" customHeight="1" x14ac:dyDescent="0.2">
      <c r="A327" s="596"/>
      <c r="B327" s="265"/>
      <c r="C327" s="596"/>
      <c r="D327" s="266"/>
      <c r="E327" s="605"/>
      <c r="F327" s="606"/>
      <c r="G327" s="605"/>
      <c r="H327" s="266"/>
      <c r="I327" s="266"/>
      <c r="J327" s="266"/>
      <c r="K327" s="266"/>
      <c r="L327" s="266"/>
      <c r="M327" s="267"/>
      <c r="N327" s="267"/>
      <c r="O327" s="596"/>
      <c r="P327" s="596"/>
      <c r="Q327" s="596"/>
      <c r="R327" s="596"/>
      <c r="S327" s="596"/>
      <c r="T327" s="596"/>
      <c r="U327" s="596"/>
      <c r="V327" s="596"/>
      <c r="W327" s="596"/>
      <c r="X327" s="596"/>
      <c r="Y327" s="596"/>
      <c r="Z327" s="596"/>
    </row>
    <row r="328" spans="1:26" ht="12.75" customHeight="1" x14ac:dyDescent="0.2">
      <c r="A328" s="596"/>
      <c r="B328" s="265"/>
      <c r="C328" s="596"/>
      <c r="D328" s="266"/>
      <c r="E328" s="605"/>
      <c r="F328" s="606"/>
      <c r="G328" s="605"/>
      <c r="H328" s="266"/>
      <c r="I328" s="266"/>
      <c r="J328" s="266"/>
      <c r="K328" s="266"/>
      <c r="L328" s="266"/>
      <c r="M328" s="267"/>
      <c r="N328" s="267"/>
      <c r="O328" s="596"/>
      <c r="P328" s="596"/>
      <c r="Q328" s="596"/>
      <c r="R328" s="596"/>
      <c r="S328" s="596"/>
      <c r="T328" s="596"/>
      <c r="U328" s="596"/>
      <c r="V328" s="596"/>
      <c r="W328" s="596"/>
      <c r="X328" s="596"/>
      <c r="Y328" s="596"/>
      <c r="Z328" s="596"/>
    </row>
    <row r="329" spans="1:26" ht="12.75" customHeight="1" x14ac:dyDescent="0.2">
      <c r="A329" s="596"/>
      <c r="B329" s="265"/>
      <c r="C329" s="596"/>
      <c r="D329" s="266"/>
      <c r="E329" s="605"/>
      <c r="F329" s="606"/>
      <c r="G329" s="605"/>
      <c r="H329" s="266"/>
      <c r="I329" s="266"/>
      <c r="J329" s="266"/>
      <c r="K329" s="266"/>
      <c r="L329" s="266"/>
      <c r="M329" s="267"/>
      <c r="N329" s="267"/>
      <c r="O329" s="596"/>
      <c r="P329" s="596"/>
      <c r="Q329" s="596"/>
      <c r="R329" s="596"/>
      <c r="S329" s="596"/>
      <c r="T329" s="596"/>
      <c r="U329" s="596"/>
      <c r="V329" s="596"/>
      <c r="W329" s="596"/>
      <c r="X329" s="596"/>
      <c r="Y329" s="596"/>
      <c r="Z329" s="596"/>
    </row>
    <row r="330" spans="1:26" ht="12.75" customHeight="1" x14ac:dyDescent="0.2">
      <c r="A330" s="596"/>
      <c r="B330" s="265"/>
      <c r="C330" s="596"/>
      <c r="D330" s="266"/>
      <c r="E330" s="605"/>
      <c r="F330" s="606"/>
      <c r="G330" s="605"/>
      <c r="H330" s="266"/>
      <c r="I330" s="266"/>
      <c r="J330" s="266"/>
      <c r="K330" s="266"/>
      <c r="L330" s="266"/>
      <c r="M330" s="267"/>
      <c r="N330" s="267"/>
      <c r="O330" s="596"/>
      <c r="P330" s="596"/>
      <c r="Q330" s="596"/>
      <c r="R330" s="596"/>
      <c r="S330" s="596"/>
      <c r="T330" s="596"/>
      <c r="U330" s="596"/>
      <c r="V330" s="596"/>
      <c r="W330" s="596"/>
      <c r="X330" s="596"/>
      <c r="Y330" s="596"/>
      <c r="Z330" s="596"/>
    </row>
    <row r="331" spans="1:26" ht="12.75" customHeight="1" x14ac:dyDescent="0.2">
      <c r="A331" s="596"/>
      <c r="B331" s="265"/>
      <c r="C331" s="596"/>
      <c r="D331" s="266"/>
      <c r="E331" s="605"/>
      <c r="F331" s="606"/>
      <c r="G331" s="605"/>
      <c r="H331" s="266"/>
      <c r="I331" s="266"/>
      <c r="J331" s="266"/>
      <c r="K331" s="266"/>
      <c r="L331" s="266"/>
      <c r="M331" s="267"/>
      <c r="N331" s="267"/>
      <c r="O331" s="596"/>
      <c r="P331" s="596"/>
      <c r="Q331" s="596"/>
      <c r="R331" s="596"/>
      <c r="S331" s="596"/>
      <c r="T331" s="596"/>
      <c r="U331" s="596"/>
      <c r="V331" s="596"/>
      <c r="W331" s="596"/>
      <c r="X331" s="596"/>
      <c r="Y331" s="596"/>
      <c r="Z331" s="596"/>
    </row>
    <row r="332" spans="1:26" ht="12.75" customHeight="1" x14ac:dyDescent="0.2">
      <c r="A332" s="596"/>
      <c r="B332" s="265"/>
      <c r="C332" s="596"/>
      <c r="D332" s="266"/>
      <c r="E332" s="605"/>
      <c r="F332" s="606"/>
      <c r="G332" s="605"/>
      <c r="H332" s="266"/>
      <c r="I332" s="266"/>
      <c r="J332" s="266"/>
      <c r="K332" s="266"/>
      <c r="L332" s="266"/>
      <c r="M332" s="267"/>
      <c r="N332" s="267"/>
      <c r="O332" s="596"/>
      <c r="P332" s="596"/>
      <c r="Q332" s="596"/>
      <c r="R332" s="596"/>
      <c r="S332" s="596"/>
      <c r="T332" s="596"/>
      <c r="U332" s="596"/>
      <c r="V332" s="596"/>
      <c r="W332" s="596"/>
      <c r="X332" s="596"/>
      <c r="Y332" s="596"/>
      <c r="Z332" s="596"/>
    </row>
    <row r="333" spans="1:26" ht="12.75" customHeight="1" x14ac:dyDescent="0.2">
      <c r="A333" s="596"/>
      <c r="B333" s="265"/>
      <c r="C333" s="596"/>
      <c r="D333" s="266"/>
      <c r="E333" s="605"/>
      <c r="F333" s="606"/>
      <c r="G333" s="605"/>
      <c r="H333" s="266"/>
      <c r="I333" s="266"/>
      <c r="J333" s="266"/>
      <c r="K333" s="266"/>
      <c r="L333" s="266"/>
      <c r="M333" s="267"/>
      <c r="N333" s="267"/>
      <c r="O333" s="596"/>
      <c r="P333" s="596"/>
      <c r="Q333" s="596"/>
      <c r="R333" s="596"/>
      <c r="S333" s="596"/>
      <c r="T333" s="596"/>
      <c r="U333" s="596"/>
      <c r="V333" s="596"/>
      <c r="W333" s="596"/>
      <c r="X333" s="596"/>
      <c r="Y333" s="596"/>
      <c r="Z333" s="596"/>
    </row>
    <row r="334" spans="1:26" ht="12.75" customHeight="1" x14ac:dyDescent="0.2">
      <c r="A334" s="596"/>
      <c r="B334" s="265"/>
      <c r="C334" s="596"/>
      <c r="D334" s="266"/>
      <c r="E334" s="605"/>
      <c r="F334" s="606"/>
      <c r="G334" s="605"/>
      <c r="H334" s="266"/>
      <c r="I334" s="266"/>
      <c r="J334" s="266"/>
      <c r="K334" s="266"/>
      <c r="L334" s="266"/>
      <c r="M334" s="267"/>
      <c r="N334" s="267"/>
      <c r="O334" s="596"/>
      <c r="P334" s="596"/>
      <c r="Q334" s="596"/>
      <c r="R334" s="596"/>
      <c r="S334" s="596"/>
      <c r="T334" s="596"/>
      <c r="U334" s="596"/>
      <c r="V334" s="596"/>
      <c r="W334" s="596"/>
      <c r="X334" s="596"/>
      <c r="Y334" s="596"/>
      <c r="Z334" s="596"/>
    </row>
    <row r="335" spans="1:26" ht="12.75" customHeight="1" x14ac:dyDescent="0.2">
      <c r="A335" s="596"/>
      <c r="B335" s="265"/>
      <c r="C335" s="596"/>
      <c r="D335" s="266"/>
      <c r="E335" s="605"/>
      <c r="F335" s="606"/>
      <c r="G335" s="605"/>
      <c r="H335" s="266"/>
      <c r="I335" s="266"/>
      <c r="J335" s="266"/>
      <c r="K335" s="266"/>
      <c r="L335" s="266"/>
      <c r="M335" s="267"/>
      <c r="N335" s="267"/>
      <c r="O335" s="596"/>
      <c r="P335" s="596"/>
      <c r="Q335" s="596"/>
      <c r="R335" s="596"/>
      <c r="S335" s="596"/>
      <c r="T335" s="596"/>
      <c r="U335" s="596"/>
      <c r="V335" s="596"/>
      <c r="W335" s="596"/>
      <c r="X335" s="596"/>
      <c r="Y335" s="596"/>
      <c r="Z335" s="596"/>
    </row>
    <row r="336" spans="1:26" ht="12.75" customHeight="1" x14ac:dyDescent="0.2">
      <c r="A336" s="596"/>
      <c r="B336" s="265"/>
      <c r="C336" s="596"/>
      <c r="D336" s="266"/>
      <c r="E336" s="605"/>
      <c r="F336" s="606"/>
      <c r="G336" s="605"/>
      <c r="H336" s="266"/>
      <c r="I336" s="266"/>
      <c r="J336" s="266"/>
      <c r="K336" s="266"/>
      <c r="L336" s="266"/>
      <c r="M336" s="267"/>
      <c r="N336" s="267"/>
      <c r="O336" s="596"/>
      <c r="P336" s="596"/>
      <c r="Q336" s="596"/>
      <c r="R336" s="596"/>
      <c r="S336" s="596"/>
      <c r="T336" s="596"/>
      <c r="U336" s="596"/>
      <c r="V336" s="596"/>
      <c r="W336" s="596"/>
      <c r="X336" s="596"/>
      <c r="Y336" s="596"/>
      <c r="Z336" s="596"/>
    </row>
    <row r="337" spans="1:26" ht="12.75" customHeight="1" x14ac:dyDescent="0.2">
      <c r="A337" s="596"/>
      <c r="B337" s="265"/>
      <c r="C337" s="596"/>
      <c r="D337" s="266"/>
      <c r="E337" s="605"/>
      <c r="F337" s="606"/>
      <c r="G337" s="605"/>
      <c r="H337" s="266"/>
      <c r="I337" s="266"/>
      <c r="J337" s="266"/>
      <c r="K337" s="266"/>
      <c r="L337" s="266"/>
      <c r="M337" s="267"/>
      <c r="N337" s="267"/>
      <c r="O337" s="596"/>
      <c r="P337" s="596"/>
      <c r="Q337" s="596"/>
      <c r="R337" s="596"/>
      <c r="S337" s="596"/>
      <c r="T337" s="596"/>
      <c r="U337" s="596"/>
      <c r="V337" s="596"/>
      <c r="W337" s="596"/>
      <c r="X337" s="596"/>
      <c r="Y337" s="596"/>
      <c r="Z337" s="596"/>
    </row>
    <row r="338" spans="1:26" ht="12.75" customHeight="1" x14ac:dyDescent="0.2">
      <c r="A338" s="596"/>
      <c r="B338" s="265"/>
      <c r="C338" s="596"/>
      <c r="D338" s="266"/>
      <c r="E338" s="605"/>
      <c r="F338" s="606"/>
      <c r="G338" s="605"/>
      <c r="H338" s="266"/>
      <c r="I338" s="266"/>
      <c r="J338" s="266"/>
      <c r="K338" s="266"/>
      <c r="L338" s="266"/>
      <c r="M338" s="267"/>
      <c r="N338" s="267"/>
      <c r="O338" s="596"/>
      <c r="P338" s="596"/>
      <c r="Q338" s="596"/>
      <c r="R338" s="596"/>
      <c r="S338" s="596"/>
      <c r="T338" s="596"/>
      <c r="U338" s="596"/>
      <c r="V338" s="596"/>
      <c r="W338" s="596"/>
      <c r="X338" s="596"/>
      <c r="Y338" s="596"/>
      <c r="Z338" s="596"/>
    </row>
    <row r="339" spans="1:26" ht="12.75" customHeight="1" x14ac:dyDescent="0.2">
      <c r="A339" s="596"/>
      <c r="B339" s="265"/>
      <c r="C339" s="596"/>
      <c r="D339" s="266"/>
      <c r="E339" s="605"/>
      <c r="F339" s="606"/>
      <c r="G339" s="605"/>
      <c r="H339" s="266"/>
      <c r="I339" s="266"/>
      <c r="J339" s="266"/>
      <c r="K339" s="266"/>
      <c r="L339" s="266"/>
      <c r="M339" s="267"/>
      <c r="N339" s="267"/>
      <c r="O339" s="596"/>
      <c r="P339" s="596"/>
      <c r="Q339" s="596"/>
      <c r="R339" s="596"/>
      <c r="S339" s="596"/>
      <c r="T339" s="596"/>
      <c r="U339" s="596"/>
      <c r="V339" s="596"/>
      <c r="W339" s="596"/>
      <c r="X339" s="596"/>
      <c r="Y339" s="596"/>
      <c r="Z339" s="596"/>
    </row>
    <row r="340" spans="1:26" ht="12.75" customHeight="1" x14ac:dyDescent="0.2">
      <c r="A340" s="596"/>
      <c r="B340" s="265"/>
      <c r="C340" s="596"/>
      <c r="D340" s="266"/>
      <c r="E340" s="605"/>
      <c r="F340" s="606"/>
      <c r="G340" s="605"/>
      <c r="H340" s="266"/>
      <c r="I340" s="266"/>
      <c r="J340" s="266"/>
      <c r="K340" s="266"/>
      <c r="L340" s="266"/>
      <c r="M340" s="267"/>
      <c r="N340" s="267"/>
      <c r="O340" s="596"/>
      <c r="P340" s="596"/>
      <c r="Q340" s="596"/>
      <c r="R340" s="596"/>
      <c r="S340" s="596"/>
      <c r="T340" s="596"/>
      <c r="U340" s="596"/>
      <c r="V340" s="596"/>
      <c r="W340" s="596"/>
      <c r="X340" s="596"/>
      <c r="Y340" s="596"/>
      <c r="Z340" s="596"/>
    </row>
    <row r="341" spans="1:26" ht="12.75" customHeight="1" x14ac:dyDescent="0.2">
      <c r="A341" s="596"/>
      <c r="B341" s="265"/>
      <c r="C341" s="596"/>
      <c r="D341" s="266"/>
      <c r="E341" s="605"/>
      <c r="F341" s="606"/>
      <c r="G341" s="605"/>
      <c r="H341" s="266"/>
      <c r="I341" s="266"/>
      <c r="J341" s="266"/>
      <c r="K341" s="266"/>
      <c r="L341" s="266"/>
      <c r="M341" s="267"/>
      <c r="N341" s="267"/>
      <c r="O341" s="596"/>
      <c r="P341" s="596"/>
      <c r="Q341" s="596"/>
      <c r="R341" s="596"/>
      <c r="S341" s="596"/>
      <c r="T341" s="596"/>
      <c r="U341" s="596"/>
      <c r="V341" s="596"/>
      <c r="W341" s="596"/>
      <c r="X341" s="596"/>
      <c r="Y341" s="596"/>
      <c r="Z341" s="596"/>
    </row>
    <row r="342" spans="1:26" ht="12.75" customHeight="1" x14ac:dyDescent="0.2">
      <c r="A342" s="596"/>
      <c r="B342" s="265"/>
      <c r="C342" s="596"/>
      <c r="D342" s="266"/>
      <c r="E342" s="605"/>
      <c r="F342" s="606"/>
      <c r="G342" s="605"/>
      <c r="H342" s="266"/>
      <c r="I342" s="266"/>
      <c r="J342" s="266"/>
      <c r="K342" s="266"/>
      <c r="L342" s="266"/>
      <c r="M342" s="267"/>
      <c r="N342" s="267"/>
      <c r="O342" s="596"/>
      <c r="P342" s="596"/>
      <c r="Q342" s="596"/>
      <c r="R342" s="596"/>
      <c r="S342" s="596"/>
      <c r="T342" s="596"/>
      <c r="U342" s="596"/>
      <c r="V342" s="596"/>
      <c r="W342" s="596"/>
      <c r="X342" s="596"/>
      <c r="Y342" s="596"/>
      <c r="Z342" s="596"/>
    </row>
    <row r="343" spans="1:26" ht="12.75" customHeight="1" x14ac:dyDescent="0.2">
      <c r="A343" s="596"/>
      <c r="B343" s="265"/>
      <c r="C343" s="596"/>
      <c r="D343" s="266"/>
      <c r="E343" s="605"/>
      <c r="F343" s="606"/>
      <c r="G343" s="605"/>
      <c r="H343" s="266"/>
      <c r="I343" s="266"/>
      <c r="J343" s="266"/>
      <c r="K343" s="266"/>
      <c r="L343" s="266"/>
      <c r="M343" s="267"/>
      <c r="N343" s="267"/>
      <c r="O343" s="596"/>
      <c r="P343" s="596"/>
      <c r="Q343" s="596"/>
      <c r="R343" s="596"/>
      <c r="S343" s="596"/>
      <c r="T343" s="596"/>
      <c r="U343" s="596"/>
      <c r="V343" s="596"/>
      <c r="W343" s="596"/>
      <c r="X343" s="596"/>
      <c r="Y343" s="596"/>
      <c r="Z343" s="596"/>
    </row>
    <row r="344" spans="1:26" ht="12.75" customHeight="1" x14ac:dyDescent="0.2">
      <c r="A344" s="596"/>
      <c r="B344" s="265"/>
      <c r="C344" s="596"/>
      <c r="D344" s="266"/>
      <c r="E344" s="605"/>
      <c r="F344" s="606"/>
      <c r="G344" s="605"/>
      <c r="H344" s="266"/>
      <c r="I344" s="266"/>
      <c r="J344" s="266"/>
      <c r="K344" s="266"/>
      <c r="L344" s="266"/>
      <c r="M344" s="267"/>
      <c r="N344" s="267"/>
      <c r="O344" s="596"/>
      <c r="P344" s="596"/>
      <c r="Q344" s="596"/>
      <c r="R344" s="596"/>
      <c r="S344" s="596"/>
      <c r="T344" s="596"/>
      <c r="U344" s="596"/>
      <c r="V344" s="596"/>
      <c r="W344" s="596"/>
      <c r="X344" s="596"/>
      <c r="Y344" s="596"/>
      <c r="Z344" s="596"/>
    </row>
    <row r="345" spans="1:26" ht="12.75" customHeight="1" x14ac:dyDescent="0.2">
      <c r="A345" s="596"/>
      <c r="B345" s="265"/>
      <c r="C345" s="596"/>
      <c r="D345" s="266"/>
      <c r="E345" s="605"/>
      <c r="F345" s="606"/>
      <c r="G345" s="605"/>
      <c r="H345" s="266"/>
      <c r="I345" s="266"/>
      <c r="J345" s="266"/>
      <c r="K345" s="266"/>
      <c r="L345" s="266"/>
      <c r="M345" s="267"/>
      <c r="N345" s="267"/>
      <c r="O345" s="596"/>
      <c r="P345" s="596"/>
      <c r="Q345" s="596"/>
      <c r="R345" s="596"/>
      <c r="S345" s="596"/>
      <c r="T345" s="596"/>
      <c r="U345" s="596"/>
      <c r="V345" s="596"/>
      <c r="W345" s="596"/>
      <c r="X345" s="596"/>
      <c r="Y345" s="596"/>
      <c r="Z345" s="596"/>
    </row>
    <row r="346" spans="1:26" ht="12.75" customHeight="1" x14ac:dyDescent="0.2">
      <c r="A346" s="596"/>
      <c r="B346" s="265"/>
      <c r="C346" s="596"/>
      <c r="D346" s="266"/>
      <c r="E346" s="605"/>
      <c r="F346" s="606"/>
      <c r="G346" s="605"/>
      <c r="H346" s="266"/>
      <c r="I346" s="266"/>
      <c r="J346" s="266"/>
      <c r="K346" s="266"/>
      <c r="L346" s="266"/>
      <c r="M346" s="267"/>
      <c r="N346" s="267"/>
      <c r="O346" s="596"/>
      <c r="P346" s="596"/>
      <c r="Q346" s="596"/>
      <c r="R346" s="596"/>
      <c r="S346" s="596"/>
      <c r="T346" s="596"/>
      <c r="U346" s="596"/>
      <c r="V346" s="596"/>
      <c r="W346" s="596"/>
      <c r="X346" s="596"/>
      <c r="Y346" s="596"/>
      <c r="Z346" s="596"/>
    </row>
    <row r="347" spans="1:26" ht="12.75" customHeight="1" x14ac:dyDescent="0.2">
      <c r="A347" s="596"/>
      <c r="B347" s="265"/>
      <c r="C347" s="596"/>
      <c r="D347" s="266"/>
      <c r="E347" s="605"/>
      <c r="F347" s="606"/>
      <c r="G347" s="605"/>
      <c r="H347" s="266"/>
      <c r="I347" s="266"/>
      <c r="J347" s="266"/>
      <c r="K347" s="266"/>
      <c r="L347" s="266"/>
      <c r="M347" s="267"/>
      <c r="N347" s="267"/>
      <c r="O347" s="596"/>
      <c r="P347" s="596"/>
      <c r="Q347" s="596"/>
      <c r="R347" s="596"/>
      <c r="S347" s="596"/>
      <c r="T347" s="596"/>
      <c r="U347" s="596"/>
      <c r="V347" s="596"/>
      <c r="W347" s="596"/>
      <c r="X347" s="596"/>
      <c r="Y347" s="596"/>
      <c r="Z347" s="596"/>
    </row>
    <row r="348" spans="1:26" ht="12.75" customHeight="1" x14ac:dyDescent="0.2">
      <c r="A348" s="596"/>
      <c r="B348" s="265"/>
      <c r="C348" s="596"/>
      <c r="D348" s="266"/>
      <c r="E348" s="605"/>
      <c r="F348" s="606"/>
      <c r="G348" s="605"/>
      <c r="H348" s="266"/>
      <c r="I348" s="266"/>
      <c r="J348" s="266"/>
      <c r="K348" s="266"/>
      <c r="L348" s="266"/>
      <c r="M348" s="267"/>
      <c r="N348" s="267"/>
      <c r="O348" s="596"/>
      <c r="P348" s="596"/>
      <c r="Q348" s="596"/>
      <c r="R348" s="596"/>
      <c r="S348" s="596"/>
      <c r="T348" s="596"/>
      <c r="U348" s="596"/>
      <c r="V348" s="596"/>
      <c r="W348" s="596"/>
      <c r="X348" s="596"/>
      <c r="Y348" s="596"/>
      <c r="Z348" s="596"/>
    </row>
    <row r="349" spans="1:26" ht="12.75" customHeight="1" x14ac:dyDescent="0.2">
      <c r="A349" s="596"/>
      <c r="B349" s="265"/>
      <c r="C349" s="596"/>
      <c r="D349" s="266"/>
      <c r="E349" s="605"/>
      <c r="F349" s="606"/>
      <c r="G349" s="605"/>
      <c r="H349" s="266"/>
      <c r="I349" s="266"/>
      <c r="J349" s="266"/>
      <c r="K349" s="266"/>
      <c r="L349" s="266"/>
      <c r="M349" s="267"/>
      <c r="N349" s="267"/>
      <c r="O349" s="596"/>
      <c r="P349" s="596"/>
      <c r="Q349" s="596"/>
      <c r="R349" s="596"/>
      <c r="S349" s="596"/>
      <c r="T349" s="596"/>
      <c r="U349" s="596"/>
      <c r="V349" s="596"/>
      <c r="W349" s="596"/>
      <c r="X349" s="596"/>
      <c r="Y349" s="596"/>
      <c r="Z349" s="596"/>
    </row>
    <row r="350" spans="1:26" ht="12.75" customHeight="1" x14ac:dyDescent="0.2">
      <c r="A350" s="596"/>
      <c r="B350" s="265"/>
      <c r="C350" s="596"/>
      <c r="D350" s="266"/>
      <c r="E350" s="605"/>
      <c r="F350" s="606"/>
      <c r="G350" s="605"/>
      <c r="H350" s="266"/>
      <c r="I350" s="266"/>
      <c r="J350" s="266"/>
      <c r="K350" s="266"/>
      <c r="L350" s="266"/>
      <c r="M350" s="267"/>
      <c r="N350" s="267"/>
      <c r="O350" s="596"/>
      <c r="P350" s="596"/>
      <c r="Q350" s="596"/>
      <c r="R350" s="596"/>
      <c r="S350" s="596"/>
      <c r="T350" s="596"/>
      <c r="U350" s="596"/>
      <c r="V350" s="596"/>
      <c r="W350" s="596"/>
      <c r="X350" s="596"/>
      <c r="Y350" s="596"/>
      <c r="Z350" s="596"/>
    </row>
    <row r="351" spans="1:26" ht="12.75" customHeight="1" x14ac:dyDescent="0.2">
      <c r="A351" s="596"/>
      <c r="B351" s="265"/>
      <c r="C351" s="596"/>
      <c r="D351" s="266"/>
      <c r="E351" s="605"/>
      <c r="F351" s="606"/>
      <c r="G351" s="605"/>
      <c r="H351" s="266"/>
      <c r="I351" s="266"/>
      <c r="J351" s="266"/>
      <c r="K351" s="266"/>
      <c r="L351" s="266"/>
      <c r="M351" s="267"/>
      <c r="N351" s="267"/>
      <c r="O351" s="596"/>
      <c r="P351" s="596"/>
      <c r="Q351" s="596"/>
      <c r="R351" s="596"/>
      <c r="S351" s="596"/>
      <c r="T351" s="596"/>
      <c r="U351" s="596"/>
      <c r="V351" s="596"/>
      <c r="W351" s="596"/>
      <c r="X351" s="596"/>
      <c r="Y351" s="596"/>
      <c r="Z351" s="596"/>
    </row>
    <row r="352" spans="1:26" ht="12.75" customHeight="1" x14ac:dyDescent="0.2">
      <c r="A352" s="596"/>
      <c r="B352" s="265"/>
      <c r="C352" s="596"/>
      <c r="D352" s="266"/>
      <c r="E352" s="605"/>
      <c r="F352" s="606"/>
      <c r="G352" s="605"/>
      <c r="H352" s="266"/>
      <c r="I352" s="266"/>
      <c r="J352" s="266"/>
      <c r="K352" s="266"/>
      <c r="L352" s="266"/>
      <c r="M352" s="267"/>
      <c r="N352" s="267"/>
      <c r="O352" s="596"/>
      <c r="P352" s="596"/>
      <c r="Q352" s="596"/>
      <c r="R352" s="596"/>
      <c r="S352" s="596"/>
      <c r="T352" s="596"/>
      <c r="U352" s="596"/>
      <c r="V352" s="596"/>
      <c r="W352" s="596"/>
      <c r="X352" s="596"/>
      <c r="Y352" s="596"/>
      <c r="Z352" s="596"/>
    </row>
    <row r="353" spans="1:26" ht="12.75" customHeight="1" x14ac:dyDescent="0.2">
      <c r="A353" s="596"/>
      <c r="B353" s="265"/>
      <c r="C353" s="596"/>
      <c r="D353" s="266"/>
      <c r="E353" s="605"/>
      <c r="F353" s="606"/>
      <c r="G353" s="605"/>
      <c r="H353" s="266"/>
      <c r="I353" s="266"/>
      <c r="J353" s="266"/>
      <c r="K353" s="266"/>
      <c r="L353" s="266"/>
      <c r="M353" s="267"/>
      <c r="N353" s="267"/>
      <c r="O353" s="596"/>
      <c r="P353" s="596"/>
      <c r="Q353" s="596"/>
      <c r="R353" s="596"/>
      <c r="S353" s="596"/>
      <c r="T353" s="596"/>
      <c r="U353" s="596"/>
      <c r="V353" s="596"/>
      <c r="W353" s="596"/>
      <c r="X353" s="596"/>
      <c r="Y353" s="596"/>
      <c r="Z353" s="596"/>
    </row>
    <row r="354" spans="1:26" ht="12.75" customHeight="1" x14ac:dyDescent="0.2">
      <c r="A354" s="596"/>
      <c r="B354" s="265"/>
      <c r="C354" s="596"/>
      <c r="D354" s="266"/>
      <c r="E354" s="605"/>
      <c r="F354" s="606"/>
      <c r="G354" s="605"/>
      <c r="H354" s="266"/>
      <c r="I354" s="266"/>
      <c r="J354" s="266"/>
      <c r="K354" s="266"/>
      <c r="L354" s="266"/>
      <c r="M354" s="267"/>
      <c r="N354" s="267"/>
      <c r="O354" s="596"/>
      <c r="P354" s="596"/>
      <c r="Q354" s="596"/>
      <c r="R354" s="596"/>
      <c r="S354" s="596"/>
      <c r="T354" s="596"/>
      <c r="U354" s="596"/>
      <c r="V354" s="596"/>
      <c r="W354" s="596"/>
      <c r="X354" s="596"/>
      <c r="Y354" s="596"/>
      <c r="Z354" s="596"/>
    </row>
    <row r="355" spans="1:26" ht="12.75" customHeight="1" x14ac:dyDescent="0.2">
      <c r="A355" s="596"/>
      <c r="B355" s="265"/>
      <c r="C355" s="596"/>
      <c r="D355" s="266"/>
      <c r="E355" s="605"/>
      <c r="F355" s="606"/>
      <c r="G355" s="605"/>
      <c r="H355" s="266"/>
      <c r="I355" s="266"/>
      <c r="J355" s="266"/>
      <c r="K355" s="266"/>
      <c r="L355" s="266"/>
      <c r="M355" s="267"/>
      <c r="N355" s="267"/>
      <c r="O355" s="596"/>
      <c r="P355" s="596"/>
      <c r="Q355" s="596"/>
      <c r="R355" s="596"/>
      <c r="S355" s="596"/>
      <c r="T355" s="596"/>
      <c r="U355" s="596"/>
      <c r="V355" s="596"/>
      <c r="W355" s="596"/>
      <c r="X355" s="596"/>
      <c r="Y355" s="596"/>
      <c r="Z355" s="596"/>
    </row>
    <row r="356" spans="1:26" ht="12.75" customHeight="1" x14ac:dyDescent="0.2">
      <c r="A356" s="596"/>
      <c r="B356" s="265"/>
      <c r="C356" s="596"/>
      <c r="D356" s="266"/>
      <c r="E356" s="605"/>
      <c r="F356" s="606"/>
      <c r="G356" s="605"/>
      <c r="H356" s="266"/>
      <c r="I356" s="266"/>
      <c r="J356" s="266"/>
      <c r="K356" s="266"/>
      <c r="L356" s="266"/>
      <c r="M356" s="267"/>
      <c r="N356" s="267"/>
      <c r="O356" s="596"/>
      <c r="P356" s="596"/>
      <c r="Q356" s="596"/>
      <c r="R356" s="596"/>
      <c r="S356" s="596"/>
      <c r="T356" s="596"/>
      <c r="U356" s="596"/>
      <c r="V356" s="596"/>
      <c r="W356" s="596"/>
      <c r="X356" s="596"/>
      <c r="Y356" s="596"/>
      <c r="Z356" s="596"/>
    </row>
    <row r="357" spans="1:26" ht="12.75" customHeight="1" x14ac:dyDescent="0.2">
      <c r="A357" s="596"/>
      <c r="B357" s="265"/>
      <c r="C357" s="596"/>
      <c r="D357" s="266"/>
      <c r="E357" s="605"/>
      <c r="F357" s="606"/>
      <c r="G357" s="605"/>
      <c r="H357" s="266"/>
      <c r="I357" s="266"/>
      <c r="J357" s="266"/>
      <c r="K357" s="266"/>
      <c r="L357" s="266"/>
      <c r="M357" s="267"/>
      <c r="N357" s="267"/>
      <c r="O357" s="596"/>
      <c r="P357" s="596"/>
      <c r="Q357" s="596"/>
      <c r="R357" s="596"/>
      <c r="S357" s="596"/>
      <c r="T357" s="596"/>
      <c r="U357" s="596"/>
      <c r="V357" s="596"/>
      <c r="W357" s="596"/>
      <c r="X357" s="596"/>
      <c r="Y357" s="596"/>
      <c r="Z357" s="596"/>
    </row>
    <row r="358" spans="1:26" ht="12.75" customHeight="1" x14ac:dyDescent="0.2">
      <c r="A358" s="596"/>
      <c r="B358" s="265"/>
      <c r="C358" s="596"/>
      <c r="D358" s="266"/>
      <c r="E358" s="605"/>
      <c r="F358" s="606"/>
      <c r="G358" s="605"/>
      <c r="H358" s="266"/>
      <c r="I358" s="266"/>
      <c r="J358" s="266"/>
      <c r="K358" s="266"/>
      <c r="L358" s="266"/>
      <c r="M358" s="267"/>
      <c r="N358" s="267"/>
      <c r="O358" s="596"/>
      <c r="P358" s="596"/>
      <c r="Q358" s="596"/>
      <c r="R358" s="596"/>
      <c r="S358" s="596"/>
      <c r="T358" s="596"/>
      <c r="U358" s="596"/>
      <c r="V358" s="596"/>
      <c r="W358" s="596"/>
      <c r="X358" s="596"/>
      <c r="Y358" s="596"/>
      <c r="Z358" s="596"/>
    </row>
    <row r="359" spans="1:26" ht="12.75" customHeight="1" x14ac:dyDescent="0.2">
      <c r="A359" s="596"/>
      <c r="B359" s="265"/>
      <c r="C359" s="596"/>
      <c r="D359" s="266"/>
      <c r="E359" s="605"/>
      <c r="F359" s="606"/>
      <c r="G359" s="605"/>
      <c r="H359" s="266"/>
      <c r="I359" s="266"/>
      <c r="J359" s="266"/>
      <c r="K359" s="266"/>
      <c r="L359" s="266"/>
      <c r="M359" s="267"/>
      <c r="N359" s="267"/>
      <c r="O359" s="596"/>
      <c r="P359" s="596"/>
      <c r="Q359" s="596"/>
      <c r="R359" s="596"/>
      <c r="S359" s="596"/>
      <c r="T359" s="596"/>
      <c r="U359" s="596"/>
      <c r="V359" s="596"/>
      <c r="W359" s="596"/>
      <c r="X359" s="596"/>
      <c r="Y359" s="596"/>
      <c r="Z359" s="596"/>
    </row>
    <row r="360" spans="1:26" ht="12.75" customHeight="1" x14ac:dyDescent="0.2">
      <c r="A360" s="596"/>
      <c r="B360" s="265"/>
      <c r="C360" s="596"/>
      <c r="D360" s="266"/>
      <c r="E360" s="605"/>
      <c r="F360" s="606"/>
      <c r="G360" s="605"/>
      <c r="H360" s="266"/>
      <c r="I360" s="266"/>
      <c r="J360" s="266"/>
      <c r="K360" s="266"/>
      <c r="L360" s="266"/>
      <c r="M360" s="267"/>
      <c r="N360" s="267"/>
      <c r="O360" s="596"/>
      <c r="P360" s="596"/>
      <c r="Q360" s="596"/>
      <c r="R360" s="596"/>
      <c r="S360" s="596"/>
      <c r="T360" s="596"/>
      <c r="U360" s="596"/>
      <c r="V360" s="596"/>
      <c r="W360" s="596"/>
      <c r="X360" s="596"/>
      <c r="Y360" s="596"/>
      <c r="Z360" s="596"/>
    </row>
    <row r="361" spans="1:26" ht="12.75" customHeight="1" x14ac:dyDescent="0.2">
      <c r="A361" s="596"/>
      <c r="B361" s="265"/>
      <c r="C361" s="596"/>
      <c r="D361" s="266"/>
      <c r="E361" s="605"/>
      <c r="F361" s="606"/>
      <c r="G361" s="605"/>
      <c r="H361" s="266"/>
      <c r="I361" s="266"/>
      <c r="J361" s="266"/>
      <c r="K361" s="266"/>
      <c r="L361" s="266"/>
      <c r="M361" s="267"/>
      <c r="N361" s="267"/>
      <c r="O361" s="596"/>
      <c r="P361" s="596"/>
      <c r="Q361" s="596"/>
      <c r="R361" s="596"/>
      <c r="S361" s="596"/>
      <c r="T361" s="596"/>
      <c r="U361" s="596"/>
      <c r="V361" s="596"/>
      <c r="W361" s="596"/>
      <c r="X361" s="596"/>
      <c r="Y361" s="596"/>
      <c r="Z361" s="596"/>
    </row>
    <row r="362" spans="1:26" ht="12.75" customHeight="1" x14ac:dyDescent="0.2">
      <c r="A362" s="596"/>
      <c r="B362" s="265"/>
      <c r="C362" s="596"/>
      <c r="D362" s="266"/>
      <c r="E362" s="605"/>
      <c r="F362" s="606"/>
      <c r="G362" s="605"/>
      <c r="H362" s="266"/>
      <c r="I362" s="266"/>
      <c r="J362" s="266"/>
      <c r="K362" s="266"/>
      <c r="L362" s="266"/>
      <c r="M362" s="267"/>
      <c r="N362" s="267"/>
      <c r="O362" s="596"/>
      <c r="P362" s="596"/>
      <c r="Q362" s="596"/>
      <c r="R362" s="596"/>
      <c r="S362" s="596"/>
      <c r="T362" s="596"/>
      <c r="U362" s="596"/>
      <c r="V362" s="596"/>
      <c r="W362" s="596"/>
      <c r="X362" s="596"/>
      <c r="Y362" s="596"/>
      <c r="Z362" s="596"/>
    </row>
    <row r="363" spans="1:26" ht="12.75" customHeight="1" x14ac:dyDescent="0.2">
      <c r="A363" s="596"/>
      <c r="B363" s="265"/>
      <c r="C363" s="596"/>
      <c r="D363" s="266"/>
      <c r="E363" s="605"/>
      <c r="F363" s="606"/>
      <c r="G363" s="605"/>
      <c r="H363" s="266"/>
      <c r="I363" s="266"/>
      <c r="J363" s="266"/>
      <c r="K363" s="266"/>
      <c r="L363" s="266"/>
      <c r="M363" s="267"/>
      <c r="N363" s="267"/>
      <c r="O363" s="596"/>
      <c r="P363" s="596"/>
      <c r="Q363" s="596"/>
      <c r="R363" s="596"/>
      <c r="S363" s="596"/>
      <c r="T363" s="596"/>
      <c r="U363" s="596"/>
      <c r="V363" s="596"/>
      <c r="W363" s="596"/>
      <c r="X363" s="596"/>
      <c r="Y363" s="596"/>
      <c r="Z363" s="596"/>
    </row>
    <row r="364" spans="1:26" ht="12.75" customHeight="1" x14ac:dyDescent="0.2">
      <c r="A364" s="596"/>
      <c r="B364" s="265"/>
      <c r="C364" s="596"/>
      <c r="D364" s="266"/>
      <c r="E364" s="605"/>
      <c r="F364" s="606"/>
      <c r="G364" s="605"/>
      <c r="H364" s="266"/>
      <c r="I364" s="266"/>
      <c r="J364" s="266"/>
      <c r="K364" s="266"/>
      <c r="L364" s="266"/>
      <c r="M364" s="267"/>
      <c r="N364" s="267"/>
      <c r="O364" s="596"/>
      <c r="P364" s="596"/>
      <c r="Q364" s="596"/>
      <c r="R364" s="596"/>
      <c r="S364" s="596"/>
      <c r="T364" s="596"/>
      <c r="U364" s="596"/>
      <c r="V364" s="596"/>
      <c r="W364" s="596"/>
      <c r="X364" s="596"/>
      <c r="Y364" s="596"/>
      <c r="Z364" s="596"/>
    </row>
    <row r="365" spans="1:26" ht="12.75" customHeight="1" x14ac:dyDescent="0.2">
      <c r="A365" s="596"/>
      <c r="B365" s="265"/>
      <c r="C365" s="596"/>
      <c r="D365" s="266"/>
      <c r="E365" s="605"/>
      <c r="F365" s="606"/>
      <c r="G365" s="605"/>
      <c r="H365" s="266"/>
      <c r="I365" s="266"/>
      <c r="J365" s="266"/>
      <c r="K365" s="266"/>
      <c r="L365" s="266"/>
      <c r="M365" s="267"/>
      <c r="N365" s="267"/>
      <c r="O365" s="596"/>
      <c r="P365" s="596"/>
      <c r="Q365" s="596"/>
      <c r="R365" s="596"/>
      <c r="S365" s="596"/>
      <c r="T365" s="596"/>
      <c r="U365" s="596"/>
      <c r="V365" s="596"/>
      <c r="W365" s="596"/>
      <c r="X365" s="596"/>
      <c r="Y365" s="596"/>
      <c r="Z365" s="596"/>
    </row>
    <row r="366" spans="1:26" ht="12.75" customHeight="1" x14ac:dyDescent="0.2">
      <c r="A366" s="596"/>
      <c r="B366" s="265"/>
      <c r="C366" s="596"/>
      <c r="D366" s="266"/>
      <c r="E366" s="605"/>
      <c r="F366" s="606"/>
      <c r="G366" s="605"/>
      <c r="H366" s="266"/>
      <c r="I366" s="266"/>
      <c r="J366" s="266"/>
      <c r="K366" s="266"/>
      <c r="L366" s="266"/>
      <c r="M366" s="267"/>
      <c r="N366" s="267"/>
      <c r="O366" s="596"/>
      <c r="P366" s="596"/>
      <c r="Q366" s="596"/>
      <c r="R366" s="596"/>
      <c r="S366" s="596"/>
      <c r="T366" s="596"/>
      <c r="U366" s="596"/>
      <c r="V366" s="596"/>
      <c r="W366" s="596"/>
      <c r="X366" s="596"/>
      <c r="Y366" s="596"/>
      <c r="Z366" s="596"/>
    </row>
    <row r="367" spans="1:26" ht="12.75" customHeight="1" x14ac:dyDescent="0.2">
      <c r="A367" s="596"/>
      <c r="B367" s="265"/>
      <c r="C367" s="596"/>
      <c r="D367" s="266"/>
      <c r="E367" s="605"/>
      <c r="F367" s="606"/>
      <c r="G367" s="605"/>
      <c r="H367" s="266"/>
      <c r="I367" s="266"/>
      <c r="J367" s="266"/>
      <c r="K367" s="266"/>
      <c r="L367" s="266"/>
      <c r="M367" s="267"/>
      <c r="N367" s="267"/>
      <c r="O367" s="596"/>
      <c r="P367" s="596"/>
      <c r="Q367" s="596"/>
      <c r="R367" s="596"/>
      <c r="S367" s="596"/>
      <c r="T367" s="596"/>
      <c r="U367" s="596"/>
      <c r="V367" s="596"/>
      <c r="W367" s="596"/>
      <c r="X367" s="596"/>
      <c r="Y367" s="596"/>
      <c r="Z367" s="596"/>
    </row>
    <row r="368" spans="1:26" ht="12.75" customHeight="1" x14ac:dyDescent="0.2">
      <c r="A368" s="596"/>
      <c r="B368" s="265"/>
      <c r="C368" s="596"/>
      <c r="D368" s="266"/>
      <c r="E368" s="605"/>
      <c r="F368" s="606"/>
      <c r="G368" s="605"/>
      <c r="H368" s="266"/>
      <c r="I368" s="266"/>
      <c r="J368" s="266"/>
      <c r="K368" s="266"/>
      <c r="L368" s="266"/>
      <c r="M368" s="267"/>
      <c r="N368" s="267"/>
      <c r="O368" s="596"/>
      <c r="P368" s="596"/>
      <c r="Q368" s="596"/>
      <c r="R368" s="596"/>
      <c r="S368" s="596"/>
      <c r="T368" s="596"/>
      <c r="U368" s="596"/>
      <c r="V368" s="596"/>
      <c r="W368" s="596"/>
      <c r="X368" s="596"/>
      <c r="Y368" s="596"/>
      <c r="Z368" s="596"/>
    </row>
    <row r="369" spans="1:26" ht="12.75" customHeight="1" x14ac:dyDescent="0.2">
      <c r="A369" s="596"/>
      <c r="B369" s="265"/>
      <c r="C369" s="596"/>
      <c r="D369" s="266"/>
      <c r="E369" s="605"/>
      <c r="F369" s="606"/>
      <c r="G369" s="605"/>
      <c r="H369" s="266"/>
      <c r="I369" s="266"/>
      <c r="J369" s="266"/>
      <c r="K369" s="266"/>
      <c r="L369" s="266"/>
      <c r="M369" s="267"/>
      <c r="N369" s="267"/>
      <c r="O369" s="596"/>
      <c r="P369" s="596"/>
      <c r="Q369" s="596"/>
      <c r="R369" s="596"/>
      <c r="S369" s="596"/>
      <c r="T369" s="596"/>
      <c r="U369" s="596"/>
      <c r="V369" s="596"/>
      <c r="W369" s="596"/>
      <c r="X369" s="596"/>
      <c r="Y369" s="596"/>
      <c r="Z369" s="596"/>
    </row>
    <row r="370" spans="1:26" ht="12.75" customHeight="1" x14ac:dyDescent="0.2">
      <c r="A370" s="596"/>
      <c r="B370" s="265"/>
      <c r="C370" s="596"/>
      <c r="D370" s="266"/>
      <c r="E370" s="605"/>
      <c r="F370" s="606"/>
      <c r="G370" s="605"/>
      <c r="H370" s="266"/>
      <c r="I370" s="266"/>
      <c r="J370" s="266"/>
      <c r="K370" s="266"/>
      <c r="L370" s="266"/>
      <c r="M370" s="267"/>
      <c r="N370" s="267"/>
      <c r="O370" s="596"/>
      <c r="P370" s="596"/>
      <c r="Q370" s="596"/>
      <c r="R370" s="596"/>
      <c r="S370" s="596"/>
      <c r="T370" s="596"/>
      <c r="U370" s="596"/>
      <c r="V370" s="596"/>
      <c r="W370" s="596"/>
      <c r="X370" s="596"/>
      <c r="Y370" s="596"/>
      <c r="Z370" s="596"/>
    </row>
    <row r="371" spans="1:26" ht="12.75" customHeight="1" x14ac:dyDescent="0.2">
      <c r="A371" s="596"/>
      <c r="B371" s="265"/>
      <c r="C371" s="596"/>
      <c r="D371" s="266"/>
      <c r="E371" s="605"/>
      <c r="F371" s="606"/>
      <c r="G371" s="605"/>
      <c r="H371" s="266"/>
      <c r="I371" s="266"/>
      <c r="J371" s="266"/>
      <c r="K371" s="266"/>
      <c r="L371" s="266"/>
      <c r="M371" s="267"/>
      <c r="N371" s="267"/>
      <c r="O371" s="596"/>
      <c r="P371" s="596"/>
      <c r="Q371" s="596"/>
      <c r="R371" s="596"/>
      <c r="S371" s="596"/>
      <c r="T371" s="596"/>
      <c r="U371" s="596"/>
      <c r="V371" s="596"/>
      <c r="W371" s="596"/>
      <c r="X371" s="596"/>
      <c r="Y371" s="596"/>
      <c r="Z371" s="596"/>
    </row>
    <row r="372" spans="1:26" ht="12.75" customHeight="1" x14ac:dyDescent="0.2">
      <c r="A372" s="596"/>
      <c r="B372" s="265"/>
      <c r="C372" s="596"/>
      <c r="D372" s="266"/>
      <c r="E372" s="605"/>
      <c r="F372" s="606"/>
      <c r="G372" s="605"/>
      <c r="H372" s="266"/>
      <c r="I372" s="266"/>
      <c r="J372" s="266"/>
      <c r="K372" s="266"/>
      <c r="L372" s="266"/>
      <c r="M372" s="267"/>
      <c r="N372" s="267"/>
      <c r="O372" s="596"/>
      <c r="P372" s="596"/>
      <c r="Q372" s="596"/>
      <c r="R372" s="596"/>
      <c r="S372" s="596"/>
      <c r="T372" s="596"/>
      <c r="U372" s="596"/>
      <c r="V372" s="596"/>
      <c r="W372" s="596"/>
      <c r="X372" s="596"/>
      <c r="Y372" s="596"/>
      <c r="Z372" s="596"/>
    </row>
    <row r="373" spans="1:26" ht="12.75" customHeight="1" x14ac:dyDescent="0.2">
      <c r="A373" s="596"/>
      <c r="B373" s="265"/>
      <c r="C373" s="596"/>
      <c r="D373" s="266"/>
      <c r="E373" s="605"/>
      <c r="F373" s="606"/>
      <c r="G373" s="605"/>
      <c r="H373" s="266"/>
      <c r="I373" s="266"/>
      <c r="J373" s="266"/>
      <c r="K373" s="266"/>
      <c r="L373" s="266"/>
      <c r="M373" s="267"/>
      <c r="N373" s="267"/>
      <c r="O373" s="596"/>
      <c r="P373" s="596"/>
      <c r="Q373" s="596"/>
      <c r="R373" s="596"/>
      <c r="S373" s="596"/>
      <c r="T373" s="596"/>
      <c r="U373" s="596"/>
      <c r="V373" s="596"/>
      <c r="W373" s="596"/>
      <c r="X373" s="596"/>
      <c r="Y373" s="596"/>
      <c r="Z373" s="596"/>
    </row>
    <row r="374" spans="1:26" ht="12.75" customHeight="1" x14ac:dyDescent="0.2">
      <c r="A374" s="596"/>
      <c r="B374" s="265"/>
      <c r="C374" s="596"/>
      <c r="D374" s="266"/>
      <c r="E374" s="605"/>
      <c r="F374" s="606"/>
      <c r="G374" s="605"/>
      <c r="H374" s="266"/>
      <c r="I374" s="266"/>
      <c r="J374" s="266"/>
      <c r="K374" s="266"/>
      <c r="L374" s="266"/>
      <c r="M374" s="267"/>
      <c r="N374" s="267"/>
      <c r="O374" s="596"/>
      <c r="P374" s="596"/>
      <c r="Q374" s="596"/>
      <c r="R374" s="596"/>
      <c r="S374" s="596"/>
      <c r="T374" s="596"/>
      <c r="U374" s="596"/>
      <c r="V374" s="596"/>
      <c r="W374" s="596"/>
      <c r="X374" s="596"/>
      <c r="Y374" s="596"/>
      <c r="Z374" s="596"/>
    </row>
    <row r="375" spans="1:26" ht="12.75" customHeight="1" x14ac:dyDescent="0.2">
      <c r="A375" s="596"/>
      <c r="B375" s="265"/>
      <c r="C375" s="596"/>
      <c r="D375" s="266"/>
      <c r="E375" s="605"/>
      <c r="F375" s="606"/>
      <c r="G375" s="605"/>
      <c r="H375" s="266"/>
      <c r="I375" s="266"/>
      <c r="J375" s="266"/>
      <c r="K375" s="266"/>
      <c r="L375" s="266"/>
      <c r="M375" s="267"/>
      <c r="N375" s="267"/>
      <c r="O375" s="596"/>
      <c r="P375" s="596"/>
      <c r="Q375" s="596"/>
      <c r="R375" s="596"/>
      <c r="S375" s="596"/>
      <c r="T375" s="596"/>
      <c r="U375" s="596"/>
      <c r="V375" s="596"/>
      <c r="W375" s="596"/>
      <c r="X375" s="596"/>
      <c r="Y375" s="596"/>
      <c r="Z375" s="596"/>
    </row>
    <row r="376" spans="1:26" ht="12.75" customHeight="1" x14ac:dyDescent="0.2">
      <c r="A376" s="596"/>
      <c r="B376" s="265"/>
      <c r="C376" s="596"/>
      <c r="D376" s="266"/>
      <c r="E376" s="605"/>
      <c r="F376" s="606"/>
      <c r="G376" s="605"/>
      <c r="H376" s="266"/>
      <c r="I376" s="266"/>
      <c r="J376" s="266"/>
      <c r="K376" s="266"/>
      <c r="L376" s="266"/>
      <c r="M376" s="267"/>
      <c r="N376" s="267"/>
      <c r="O376" s="596"/>
      <c r="P376" s="596"/>
      <c r="Q376" s="596"/>
      <c r="R376" s="596"/>
      <c r="S376" s="596"/>
      <c r="T376" s="596"/>
      <c r="U376" s="596"/>
      <c r="V376" s="596"/>
      <c r="W376" s="596"/>
      <c r="X376" s="596"/>
      <c r="Y376" s="596"/>
      <c r="Z376" s="596"/>
    </row>
    <row r="377" spans="1:26" ht="12.75" customHeight="1" x14ac:dyDescent="0.2">
      <c r="A377" s="596"/>
      <c r="B377" s="265"/>
      <c r="C377" s="596"/>
      <c r="D377" s="266"/>
      <c r="E377" s="605"/>
      <c r="F377" s="606"/>
      <c r="G377" s="605"/>
      <c r="H377" s="266"/>
      <c r="I377" s="266"/>
      <c r="J377" s="266"/>
      <c r="K377" s="266"/>
      <c r="L377" s="266"/>
      <c r="M377" s="267"/>
      <c r="N377" s="267"/>
      <c r="O377" s="596"/>
      <c r="P377" s="596"/>
      <c r="Q377" s="596"/>
      <c r="R377" s="596"/>
      <c r="S377" s="596"/>
      <c r="T377" s="596"/>
      <c r="U377" s="596"/>
      <c r="V377" s="596"/>
      <c r="W377" s="596"/>
      <c r="X377" s="596"/>
      <c r="Y377" s="596"/>
      <c r="Z377" s="596"/>
    </row>
    <row r="378" spans="1:26" ht="12.75" customHeight="1" x14ac:dyDescent="0.2">
      <c r="A378" s="596"/>
      <c r="B378" s="265"/>
      <c r="C378" s="596"/>
      <c r="D378" s="266"/>
      <c r="E378" s="605"/>
      <c r="F378" s="606"/>
      <c r="G378" s="605"/>
      <c r="H378" s="266"/>
      <c r="I378" s="266"/>
      <c r="J378" s="266"/>
      <c r="K378" s="266"/>
      <c r="L378" s="266"/>
      <c r="M378" s="267"/>
      <c r="N378" s="267"/>
      <c r="O378" s="596"/>
      <c r="P378" s="596"/>
      <c r="Q378" s="596"/>
      <c r="R378" s="596"/>
      <c r="S378" s="596"/>
      <c r="T378" s="596"/>
      <c r="U378" s="596"/>
      <c r="V378" s="596"/>
      <c r="W378" s="596"/>
      <c r="X378" s="596"/>
      <c r="Y378" s="596"/>
      <c r="Z378" s="596"/>
    </row>
    <row r="379" spans="1:26" ht="12.75" customHeight="1" x14ac:dyDescent="0.2">
      <c r="A379" s="596"/>
      <c r="B379" s="265"/>
      <c r="C379" s="596"/>
      <c r="D379" s="266"/>
      <c r="E379" s="605"/>
      <c r="F379" s="606"/>
      <c r="G379" s="605"/>
      <c r="H379" s="266"/>
      <c r="I379" s="266"/>
      <c r="J379" s="266"/>
      <c r="K379" s="266"/>
      <c r="L379" s="266"/>
      <c r="M379" s="267"/>
      <c r="N379" s="267"/>
      <c r="O379" s="596"/>
      <c r="P379" s="596"/>
      <c r="Q379" s="596"/>
      <c r="R379" s="596"/>
      <c r="S379" s="596"/>
      <c r="T379" s="596"/>
      <c r="U379" s="596"/>
      <c r="V379" s="596"/>
      <c r="W379" s="596"/>
      <c r="X379" s="596"/>
      <c r="Y379" s="596"/>
      <c r="Z379" s="596"/>
    </row>
    <row r="380" spans="1:26" ht="12.75" customHeight="1" x14ac:dyDescent="0.2">
      <c r="A380" s="596"/>
      <c r="B380" s="265"/>
      <c r="C380" s="596"/>
      <c r="D380" s="266"/>
      <c r="E380" s="605"/>
      <c r="F380" s="606"/>
      <c r="G380" s="605"/>
      <c r="H380" s="266"/>
      <c r="I380" s="266"/>
      <c r="J380" s="266"/>
      <c r="K380" s="266"/>
      <c r="L380" s="266"/>
      <c r="M380" s="267"/>
      <c r="N380" s="267"/>
      <c r="O380" s="596"/>
      <c r="P380" s="596"/>
      <c r="Q380" s="596"/>
      <c r="R380" s="596"/>
      <c r="S380" s="596"/>
      <c r="T380" s="596"/>
      <c r="U380" s="596"/>
      <c r="V380" s="596"/>
      <c r="W380" s="596"/>
      <c r="X380" s="596"/>
      <c r="Y380" s="596"/>
      <c r="Z380" s="596"/>
    </row>
    <row r="381" spans="1:26" ht="12.75" customHeight="1" x14ac:dyDescent="0.2">
      <c r="A381" s="596"/>
      <c r="B381" s="265"/>
      <c r="C381" s="596"/>
      <c r="D381" s="266"/>
      <c r="E381" s="605"/>
      <c r="F381" s="606"/>
      <c r="G381" s="605"/>
      <c r="H381" s="266"/>
      <c r="I381" s="266"/>
      <c r="J381" s="266"/>
      <c r="K381" s="266"/>
      <c r="L381" s="266"/>
      <c r="M381" s="267"/>
      <c r="N381" s="267"/>
      <c r="O381" s="596"/>
      <c r="P381" s="596"/>
      <c r="Q381" s="596"/>
      <c r="R381" s="596"/>
      <c r="S381" s="596"/>
      <c r="T381" s="596"/>
      <c r="U381" s="596"/>
      <c r="V381" s="596"/>
      <c r="W381" s="596"/>
      <c r="X381" s="596"/>
      <c r="Y381" s="596"/>
      <c r="Z381" s="596"/>
    </row>
    <row r="382" spans="1:26" ht="12.75" customHeight="1" x14ac:dyDescent="0.2">
      <c r="A382" s="596"/>
      <c r="B382" s="265"/>
      <c r="C382" s="596"/>
      <c r="D382" s="266"/>
      <c r="E382" s="605"/>
      <c r="F382" s="606"/>
      <c r="G382" s="605"/>
      <c r="H382" s="266"/>
      <c r="I382" s="266"/>
      <c r="J382" s="266"/>
      <c r="K382" s="266"/>
      <c r="L382" s="266"/>
      <c r="M382" s="267"/>
      <c r="N382" s="267"/>
      <c r="O382" s="596"/>
      <c r="P382" s="596"/>
      <c r="Q382" s="596"/>
      <c r="R382" s="596"/>
      <c r="S382" s="596"/>
      <c r="T382" s="596"/>
      <c r="U382" s="596"/>
      <c r="V382" s="596"/>
      <c r="W382" s="596"/>
      <c r="X382" s="596"/>
      <c r="Y382" s="596"/>
      <c r="Z382" s="596"/>
    </row>
    <row r="383" spans="1:26" ht="12.75" customHeight="1" x14ac:dyDescent="0.2">
      <c r="A383" s="596"/>
      <c r="B383" s="265"/>
      <c r="C383" s="596"/>
      <c r="D383" s="266"/>
      <c r="E383" s="605"/>
      <c r="F383" s="606"/>
      <c r="G383" s="605"/>
      <c r="H383" s="266"/>
      <c r="I383" s="266"/>
      <c r="J383" s="266"/>
      <c r="K383" s="266"/>
      <c r="L383" s="266"/>
      <c r="M383" s="267"/>
      <c r="N383" s="267"/>
      <c r="O383" s="596"/>
      <c r="P383" s="596"/>
      <c r="Q383" s="596"/>
      <c r="R383" s="596"/>
      <c r="S383" s="596"/>
      <c r="T383" s="596"/>
      <c r="U383" s="596"/>
      <c r="V383" s="596"/>
      <c r="W383" s="596"/>
      <c r="X383" s="596"/>
      <c r="Y383" s="596"/>
      <c r="Z383" s="596"/>
    </row>
    <row r="384" spans="1:26" ht="12.75" customHeight="1" x14ac:dyDescent="0.2">
      <c r="A384" s="596"/>
      <c r="B384" s="265"/>
      <c r="C384" s="596"/>
      <c r="D384" s="266"/>
      <c r="E384" s="605"/>
      <c r="F384" s="606"/>
      <c r="G384" s="605"/>
      <c r="H384" s="266"/>
      <c r="I384" s="266"/>
      <c r="J384" s="266"/>
      <c r="K384" s="266"/>
      <c r="L384" s="266"/>
      <c r="M384" s="267"/>
      <c r="N384" s="267"/>
      <c r="O384" s="596"/>
      <c r="P384" s="596"/>
      <c r="Q384" s="596"/>
      <c r="R384" s="596"/>
      <c r="S384" s="596"/>
      <c r="T384" s="596"/>
      <c r="U384" s="596"/>
      <c r="V384" s="596"/>
      <c r="W384" s="596"/>
      <c r="X384" s="596"/>
      <c r="Y384" s="596"/>
      <c r="Z384" s="596"/>
    </row>
    <row r="385" spans="1:26" ht="12.75" customHeight="1" x14ac:dyDescent="0.2">
      <c r="A385" s="596"/>
      <c r="B385" s="265"/>
      <c r="C385" s="596"/>
      <c r="D385" s="266"/>
      <c r="E385" s="605"/>
      <c r="F385" s="606"/>
      <c r="G385" s="605"/>
      <c r="H385" s="266"/>
      <c r="I385" s="266"/>
      <c r="J385" s="266"/>
      <c r="K385" s="266"/>
      <c r="L385" s="266"/>
      <c r="M385" s="267"/>
      <c r="N385" s="267"/>
      <c r="O385" s="596"/>
      <c r="P385" s="596"/>
      <c r="Q385" s="596"/>
      <c r="R385" s="596"/>
      <c r="S385" s="596"/>
      <c r="T385" s="596"/>
      <c r="U385" s="596"/>
      <c r="V385" s="596"/>
      <c r="W385" s="596"/>
      <c r="X385" s="596"/>
      <c r="Y385" s="596"/>
      <c r="Z385" s="596"/>
    </row>
    <row r="386" spans="1:26" ht="12.75" customHeight="1" x14ac:dyDescent="0.2">
      <c r="A386" s="596"/>
      <c r="B386" s="265"/>
      <c r="C386" s="596"/>
      <c r="D386" s="266"/>
      <c r="E386" s="605"/>
      <c r="F386" s="606"/>
      <c r="G386" s="605"/>
      <c r="H386" s="266"/>
      <c r="I386" s="266"/>
      <c r="J386" s="266"/>
      <c r="K386" s="266"/>
      <c r="L386" s="266"/>
      <c r="M386" s="267"/>
      <c r="N386" s="267"/>
      <c r="O386" s="596"/>
      <c r="P386" s="596"/>
      <c r="Q386" s="596"/>
      <c r="R386" s="596"/>
      <c r="S386" s="596"/>
      <c r="T386" s="596"/>
      <c r="U386" s="596"/>
      <c r="V386" s="596"/>
      <c r="W386" s="596"/>
      <c r="X386" s="596"/>
      <c r="Y386" s="596"/>
      <c r="Z386" s="596"/>
    </row>
    <row r="387" spans="1:26" ht="12.75" customHeight="1" x14ac:dyDescent="0.2">
      <c r="A387" s="596"/>
      <c r="B387" s="265"/>
      <c r="C387" s="596"/>
      <c r="D387" s="266"/>
      <c r="E387" s="605"/>
      <c r="F387" s="606"/>
      <c r="G387" s="605"/>
      <c r="H387" s="266"/>
      <c r="I387" s="266"/>
      <c r="J387" s="266"/>
      <c r="K387" s="266"/>
      <c r="L387" s="266"/>
      <c r="M387" s="267"/>
      <c r="N387" s="267"/>
      <c r="O387" s="596"/>
      <c r="P387" s="596"/>
      <c r="Q387" s="596"/>
      <c r="R387" s="596"/>
      <c r="S387" s="596"/>
      <c r="T387" s="596"/>
      <c r="U387" s="596"/>
      <c r="V387" s="596"/>
      <c r="W387" s="596"/>
      <c r="X387" s="596"/>
      <c r="Y387" s="596"/>
      <c r="Z387" s="596"/>
    </row>
    <row r="388" spans="1:26" ht="12.75" customHeight="1" x14ac:dyDescent="0.2">
      <c r="A388" s="596"/>
      <c r="B388" s="265"/>
      <c r="C388" s="596"/>
      <c r="D388" s="266"/>
      <c r="E388" s="605"/>
      <c r="F388" s="606"/>
      <c r="G388" s="605"/>
      <c r="H388" s="266"/>
      <c r="I388" s="266"/>
      <c r="J388" s="266"/>
      <c r="K388" s="266"/>
      <c r="L388" s="266"/>
      <c r="M388" s="267"/>
      <c r="N388" s="267"/>
      <c r="O388" s="596"/>
      <c r="P388" s="596"/>
      <c r="Q388" s="596"/>
      <c r="R388" s="596"/>
      <c r="S388" s="596"/>
      <c r="T388" s="596"/>
      <c r="U388" s="596"/>
      <c r="V388" s="596"/>
      <c r="W388" s="596"/>
      <c r="X388" s="596"/>
      <c r="Y388" s="596"/>
      <c r="Z388" s="596"/>
    </row>
    <row r="389" spans="1:26" ht="12.75" customHeight="1" x14ac:dyDescent="0.2">
      <c r="A389" s="596"/>
      <c r="B389" s="265"/>
      <c r="C389" s="596"/>
      <c r="D389" s="266"/>
      <c r="E389" s="605"/>
      <c r="F389" s="606"/>
      <c r="G389" s="605"/>
      <c r="H389" s="266"/>
      <c r="I389" s="266"/>
      <c r="J389" s="266"/>
      <c r="K389" s="266"/>
      <c r="L389" s="266"/>
      <c r="M389" s="267"/>
      <c r="N389" s="267"/>
      <c r="O389" s="596"/>
      <c r="P389" s="596"/>
      <c r="Q389" s="596"/>
      <c r="R389" s="596"/>
      <c r="S389" s="596"/>
      <c r="T389" s="596"/>
      <c r="U389" s="596"/>
      <c r="V389" s="596"/>
      <c r="W389" s="596"/>
      <c r="X389" s="596"/>
      <c r="Y389" s="596"/>
      <c r="Z389" s="596"/>
    </row>
    <row r="390" spans="1:26" ht="12.75" customHeight="1" x14ac:dyDescent="0.2">
      <c r="A390" s="596"/>
      <c r="B390" s="265"/>
      <c r="C390" s="596"/>
      <c r="D390" s="266"/>
      <c r="E390" s="605"/>
      <c r="F390" s="606"/>
      <c r="G390" s="605"/>
      <c r="H390" s="266"/>
      <c r="I390" s="266"/>
      <c r="J390" s="266"/>
      <c r="K390" s="266"/>
      <c r="L390" s="266"/>
      <c r="M390" s="267"/>
      <c r="N390" s="267"/>
      <c r="O390" s="596"/>
      <c r="P390" s="596"/>
      <c r="Q390" s="596"/>
      <c r="R390" s="596"/>
      <c r="S390" s="596"/>
      <c r="T390" s="596"/>
      <c r="U390" s="596"/>
      <c r="V390" s="596"/>
      <c r="W390" s="596"/>
      <c r="X390" s="596"/>
      <c r="Y390" s="596"/>
      <c r="Z390" s="596"/>
    </row>
    <row r="391" spans="1:26" ht="12.75" customHeight="1" x14ac:dyDescent="0.2">
      <c r="A391" s="596"/>
      <c r="B391" s="265"/>
      <c r="C391" s="596"/>
      <c r="D391" s="266"/>
      <c r="E391" s="605"/>
      <c r="F391" s="606"/>
      <c r="G391" s="605"/>
      <c r="H391" s="266"/>
      <c r="I391" s="266"/>
      <c r="J391" s="266"/>
      <c r="K391" s="266"/>
      <c r="L391" s="266"/>
      <c r="M391" s="267"/>
      <c r="N391" s="267"/>
      <c r="O391" s="596"/>
      <c r="P391" s="596"/>
      <c r="Q391" s="596"/>
      <c r="R391" s="596"/>
      <c r="S391" s="596"/>
      <c r="T391" s="596"/>
      <c r="U391" s="596"/>
      <c r="V391" s="596"/>
      <c r="W391" s="596"/>
      <c r="X391" s="596"/>
      <c r="Y391" s="596"/>
      <c r="Z391" s="596"/>
    </row>
    <row r="392" spans="1:26" ht="12.75" customHeight="1" x14ac:dyDescent="0.2">
      <c r="A392" s="596"/>
      <c r="B392" s="265"/>
      <c r="C392" s="596"/>
      <c r="D392" s="266"/>
      <c r="E392" s="605"/>
      <c r="F392" s="606"/>
      <c r="G392" s="605"/>
      <c r="H392" s="266"/>
      <c r="I392" s="266"/>
      <c r="J392" s="266"/>
      <c r="K392" s="266"/>
      <c r="L392" s="266"/>
      <c r="M392" s="267"/>
      <c r="N392" s="267"/>
      <c r="O392" s="596"/>
      <c r="P392" s="596"/>
      <c r="Q392" s="596"/>
      <c r="R392" s="596"/>
      <c r="S392" s="596"/>
      <c r="T392" s="596"/>
      <c r="U392" s="596"/>
      <c r="V392" s="596"/>
      <c r="W392" s="596"/>
      <c r="X392" s="596"/>
      <c r="Y392" s="596"/>
      <c r="Z392" s="596"/>
    </row>
    <row r="393" spans="1:26" ht="12.75" customHeight="1" x14ac:dyDescent="0.2">
      <c r="A393" s="596"/>
      <c r="B393" s="265"/>
      <c r="C393" s="596"/>
      <c r="D393" s="266"/>
      <c r="E393" s="605"/>
      <c r="F393" s="606"/>
      <c r="G393" s="605"/>
      <c r="H393" s="266"/>
      <c r="I393" s="266"/>
      <c r="J393" s="266"/>
      <c r="K393" s="266"/>
      <c r="L393" s="266"/>
      <c r="M393" s="267"/>
      <c r="N393" s="267"/>
      <c r="O393" s="596"/>
      <c r="P393" s="596"/>
      <c r="Q393" s="596"/>
      <c r="R393" s="596"/>
      <c r="S393" s="596"/>
      <c r="T393" s="596"/>
      <c r="U393" s="596"/>
      <c r="V393" s="596"/>
      <c r="W393" s="596"/>
      <c r="X393" s="596"/>
      <c r="Y393" s="596"/>
      <c r="Z393" s="596"/>
    </row>
    <row r="394" spans="1:26" ht="12.75" customHeight="1" x14ac:dyDescent="0.2">
      <c r="A394" s="596"/>
      <c r="B394" s="265"/>
      <c r="C394" s="596"/>
      <c r="D394" s="266"/>
      <c r="E394" s="605"/>
      <c r="F394" s="606"/>
      <c r="G394" s="605"/>
      <c r="H394" s="266"/>
      <c r="I394" s="266"/>
      <c r="J394" s="266"/>
      <c r="K394" s="266"/>
      <c r="L394" s="266"/>
      <c r="M394" s="267"/>
      <c r="N394" s="267"/>
      <c r="O394" s="596"/>
      <c r="P394" s="596"/>
      <c r="Q394" s="596"/>
      <c r="R394" s="596"/>
      <c r="S394" s="596"/>
      <c r="T394" s="596"/>
      <c r="U394" s="596"/>
      <c r="V394" s="596"/>
      <c r="W394" s="596"/>
      <c r="X394" s="596"/>
      <c r="Y394" s="596"/>
      <c r="Z394" s="596"/>
    </row>
    <row r="395" spans="1:26" ht="12.75" customHeight="1" x14ac:dyDescent="0.2">
      <c r="A395" s="596"/>
      <c r="B395" s="265"/>
      <c r="C395" s="596"/>
      <c r="D395" s="266"/>
      <c r="E395" s="605"/>
      <c r="F395" s="606"/>
      <c r="G395" s="605"/>
      <c r="H395" s="266"/>
      <c r="I395" s="266"/>
      <c r="J395" s="266"/>
      <c r="K395" s="266"/>
      <c r="L395" s="266"/>
      <c r="M395" s="267"/>
      <c r="N395" s="267"/>
      <c r="O395" s="596"/>
      <c r="P395" s="596"/>
      <c r="Q395" s="596"/>
      <c r="R395" s="596"/>
      <c r="S395" s="596"/>
      <c r="T395" s="596"/>
      <c r="U395" s="596"/>
      <c r="V395" s="596"/>
      <c r="W395" s="596"/>
      <c r="X395" s="596"/>
      <c r="Y395" s="596"/>
      <c r="Z395" s="596"/>
    </row>
    <row r="396" spans="1:26" ht="12.75" customHeight="1" x14ac:dyDescent="0.2">
      <c r="A396" s="596"/>
      <c r="B396" s="265"/>
      <c r="C396" s="596"/>
      <c r="D396" s="266"/>
      <c r="E396" s="605"/>
      <c r="F396" s="606"/>
      <c r="G396" s="605"/>
      <c r="H396" s="266"/>
      <c r="I396" s="266"/>
      <c r="J396" s="266"/>
      <c r="K396" s="266"/>
      <c r="L396" s="266"/>
      <c r="M396" s="267"/>
      <c r="N396" s="267"/>
      <c r="O396" s="596"/>
      <c r="P396" s="596"/>
      <c r="Q396" s="596"/>
      <c r="R396" s="596"/>
      <c r="S396" s="596"/>
      <c r="T396" s="596"/>
      <c r="U396" s="596"/>
      <c r="V396" s="596"/>
      <c r="W396" s="596"/>
      <c r="X396" s="596"/>
      <c r="Y396" s="596"/>
      <c r="Z396" s="596"/>
    </row>
    <row r="397" spans="1:26" ht="12.75" customHeight="1" x14ac:dyDescent="0.2">
      <c r="A397" s="596"/>
      <c r="B397" s="265"/>
      <c r="C397" s="596"/>
      <c r="D397" s="266"/>
      <c r="E397" s="605"/>
      <c r="F397" s="606"/>
      <c r="G397" s="605"/>
      <c r="H397" s="266"/>
      <c r="I397" s="266"/>
      <c r="J397" s="266"/>
      <c r="K397" s="266"/>
      <c r="L397" s="266"/>
      <c r="M397" s="267"/>
      <c r="N397" s="267"/>
      <c r="O397" s="596"/>
      <c r="P397" s="596"/>
      <c r="Q397" s="596"/>
      <c r="R397" s="596"/>
      <c r="S397" s="596"/>
      <c r="T397" s="596"/>
      <c r="U397" s="596"/>
      <c r="V397" s="596"/>
      <c r="W397" s="596"/>
      <c r="X397" s="596"/>
      <c r="Y397" s="596"/>
      <c r="Z397" s="596"/>
    </row>
    <row r="398" spans="1:26" ht="12.75" customHeight="1" x14ac:dyDescent="0.2">
      <c r="A398" s="596"/>
      <c r="B398" s="265"/>
      <c r="C398" s="596"/>
      <c r="D398" s="266"/>
      <c r="E398" s="605"/>
      <c r="F398" s="606"/>
      <c r="G398" s="605"/>
      <c r="H398" s="266"/>
      <c r="I398" s="266"/>
      <c r="J398" s="266"/>
      <c r="K398" s="266"/>
      <c r="L398" s="266"/>
      <c r="M398" s="267"/>
      <c r="N398" s="267"/>
      <c r="O398" s="596"/>
      <c r="P398" s="596"/>
      <c r="Q398" s="596"/>
      <c r="R398" s="596"/>
      <c r="S398" s="596"/>
      <c r="T398" s="596"/>
      <c r="U398" s="596"/>
      <c r="V398" s="596"/>
      <c r="W398" s="596"/>
      <c r="X398" s="596"/>
      <c r="Y398" s="596"/>
      <c r="Z398" s="596"/>
    </row>
    <row r="399" spans="1:26" ht="12.75" customHeight="1" x14ac:dyDescent="0.2">
      <c r="A399" s="596"/>
      <c r="B399" s="265"/>
      <c r="C399" s="596"/>
      <c r="D399" s="266"/>
      <c r="E399" s="605"/>
      <c r="F399" s="606"/>
      <c r="G399" s="605"/>
      <c r="H399" s="266"/>
      <c r="I399" s="266"/>
      <c r="J399" s="266"/>
      <c r="K399" s="266"/>
      <c r="L399" s="266"/>
      <c r="M399" s="267"/>
      <c r="N399" s="267"/>
      <c r="O399" s="596"/>
      <c r="P399" s="596"/>
      <c r="Q399" s="596"/>
      <c r="R399" s="596"/>
      <c r="S399" s="596"/>
      <c r="T399" s="596"/>
      <c r="U399" s="596"/>
      <c r="V399" s="596"/>
      <c r="W399" s="596"/>
      <c r="X399" s="596"/>
      <c r="Y399" s="596"/>
      <c r="Z399" s="596"/>
    </row>
    <row r="400" spans="1:26" ht="12.75" customHeight="1" x14ac:dyDescent="0.2">
      <c r="A400" s="596"/>
      <c r="B400" s="265"/>
      <c r="C400" s="596"/>
      <c r="D400" s="266"/>
      <c r="E400" s="605"/>
      <c r="F400" s="606"/>
      <c r="G400" s="605"/>
      <c r="H400" s="266"/>
      <c r="I400" s="266"/>
      <c r="J400" s="266"/>
      <c r="K400" s="266"/>
      <c r="L400" s="266"/>
      <c r="M400" s="267"/>
      <c r="N400" s="267"/>
      <c r="O400" s="596"/>
      <c r="P400" s="596"/>
      <c r="Q400" s="596"/>
      <c r="R400" s="596"/>
      <c r="S400" s="596"/>
      <c r="T400" s="596"/>
      <c r="U400" s="596"/>
      <c r="V400" s="596"/>
      <c r="W400" s="596"/>
      <c r="X400" s="596"/>
      <c r="Y400" s="596"/>
      <c r="Z400" s="596"/>
    </row>
    <row r="401" spans="1:26" ht="12.75" customHeight="1" x14ac:dyDescent="0.2">
      <c r="A401" s="596"/>
      <c r="B401" s="265"/>
      <c r="C401" s="596"/>
      <c r="D401" s="266"/>
      <c r="E401" s="605"/>
      <c r="F401" s="606"/>
      <c r="G401" s="605"/>
      <c r="H401" s="266"/>
      <c r="I401" s="266"/>
      <c r="J401" s="266"/>
      <c r="K401" s="266"/>
      <c r="L401" s="266"/>
      <c r="M401" s="267"/>
      <c r="N401" s="267"/>
      <c r="O401" s="596"/>
      <c r="P401" s="596"/>
      <c r="Q401" s="596"/>
      <c r="R401" s="596"/>
      <c r="S401" s="596"/>
      <c r="T401" s="596"/>
      <c r="U401" s="596"/>
      <c r="V401" s="596"/>
      <c r="W401" s="596"/>
      <c r="X401" s="596"/>
      <c r="Y401" s="596"/>
      <c r="Z401" s="596"/>
    </row>
    <row r="402" spans="1:26" ht="12.75" customHeight="1" x14ac:dyDescent="0.2">
      <c r="A402" s="596"/>
      <c r="B402" s="265"/>
      <c r="C402" s="596"/>
      <c r="D402" s="266"/>
      <c r="E402" s="605"/>
      <c r="F402" s="606"/>
      <c r="G402" s="605"/>
      <c r="H402" s="266"/>
      <c r="I402" s="266"/>
      <c r="J402" s="266"/>
      <c r="K402" s="266"/>
      <c r="L402" s="266"/>
      <c r="M402" s="267"/>
      <c r="N402" s="267"/>
      <c r="O402" s="596"/>
      <c r="P402" s="596"/>
      <c r="Q402" s="596"/>
      <c r="R402" s="596"/>
      <c r="S402" s="596"/>
      <c r="T402" s="596"/>
      <c r="U402" s="596"/>
      <c r="V402" s="596"/>
      <c r="W402" s="596"/>
      <c r="X402" s="596"/>
      <c r="Y402" s="596"/>
      <c r="Z402" s="596"/>
    </row>
    <row r="403" spans="1:26" ht="12.75" customHeight="1" x14ac:dyDescent="0.2">
      <c r="A403" s="596"/>
      <c r="B403" s="265"/>
      <c r="C403" s="596"/>
      <c r="D403" s="266"/>
      <c r="E403" s="605"/>
      <c r="F403" s="606"/>
      <c r="G403" s="605"/>
      <c r="H403" s="266"/>
      <c r="I403" s="266"/>
      <c r="J403" s="266"/>
      <c r="K403" s="266"/>
      <c r="L403" s="266"/>
      <c r="M403" s="267"/>
      <c r="N403" s="267"/>
      <c r="O403" s="596"/>
      <c r="P403" s="596"/>
      <c r="Q403" s="596"/>
      <c r="R403" s="596"/>
      <c r="S403" s="596"/>
      <c r="T403" s="596"/>
      <c r="U403" s="596"/>
      <c r="V403" s="596"/>
      <c r="W403" s="596"/>
      <c r="X403" s="596"/>
      <c r="Y403" s="596"/>
      <c r="Z403" s="596"/>
    </row>
    <row r="404" spans="1:26" ht="12.75" customHeight="1" x14ac:dyDescent="0.2">
      <c r="A404" s="596"/>
      <c r="B404" s="265"/>
      <c r="C404" s="596"/>
      <c r="D404" s="266"/>
      <c r="E404" s="605"/>
      <c r="F404" s="606"/>
      <c r="G404" s="605"/>
      <c r="H404" s="266"/>
      <c r="I404" s="266"/>
      <c r="J404" s="266"/>
      <c r="K404" s="266"/>
      <c r="L404" s="266"/>
      <c r="M404" s="267"/>
      <c r="N404" s="267"/>
      <c r="O404" s="596"/>
      <c r="P404" s="596"/>
      <c r="Q404" s="596"/>
      <c r="R404" s="596"/>
      <c r="S404" s="596"/>
      <c r="T404" s="596"/>
      <c r="U404" s="596"/>
      <c r="V404" s="596"/>
      <c r="W404" s="596"/>
      <c r="X404" s="596"/>
      <c r="Y404" s="596"/>
      <c r="Z404" s="596"/>
    </row>
    <row r="405" spans="1:26" ht="12.75" customHeight="1" x14ac:dyDescent="0.2">
      <c r="A405" s="596"/>
      <c r="B405" s="265"/>
      <c r="C405" s="596"/>
      <c r="D405" s="266"/>
      <c r="E405" s="605"/>
      <c r="F405" s="606"/>
      <c r="G405" s="605"/>
      <c r="H405" s="266"/>
      <c r="I405" s="266"/>
      <c r="J405" s="266"/>
      <c r="K405" s="266"/>
      <c r="L405" s="266"/>
      <c r="M405" s="267"/>
      <c r="N405" s="267"/>
      <c r="O405" s="596"/>
      <c r="P405" s="596"/>
      <c r="Q405" s="596"/>
      <c r="R405" s="596"/>
      <c r="S405" s="596"/>
      <c r="T405" s="596"/>
      <c r="U405" s="596"/>
      <c r="V405" s="596"/>
      <c r="W405" s="596"/>
      <c r="X405" s="596"/>
      <c r="Y405" s="596"/>
      <c r="Z405" s="596"/>
    </row>
    <row r="406" spans="1:26" ht="12.75" customHeight="1" x14ac:dyDescent="0.2">
      <c r="A406" s="596"/>
      <c r="B406" s="265"/>
      <c r="C406" s="596"/>
      <c r="D406" s="266"/>
      <c r="E406" s="605"/>
      <c r="F406" s="606"/>
      <c r="G406" s="605"/>
      <c r="H406" s="266"/>
      <c r="I406" s="266"/>
      <c r="J406" s="266"/>
      <c r="K406" s="266"/>
      <c r="L406" s="266"/>
      <c r="M406" s="267"/>
      <c r="N406" s="267"/>
      <c r="O406" s="596"/>
      <c r="P406" s="596"/>
      <c r="Q406" s="596"/>
      <c r="R406" s="596"/>
      <c r="S406" s="596"/>
      <c r="T406" s="596"/>
      <c r="U406" s="596"/>
      <c r="V406" s="596"/>
      <c r="W406" s="596"/>
      <c r="X406" s="596"/>
      <c r="Y406" s="596"/>
      <c r="Z406" s="596"/>
    </row>
    <row r="407" spans="1:26" ht="12.75" customHeight="1" x14ac:dyDescent="0.2">
      <c r="A407" s="596"/>
      <c r="B407" s="265"/>
      <c r="C407" s="596"/>
      <c r="D407" s="266"/>
      <c r="E407" s="605"/>
      <c r="F407" s="606"/>
      <c r="G407" s="605"/>
      <c r="H407" s="266"/>
      <c r="I407" s="266"/>
      <c r="J407" s="266"/>
      <c r="K407" s="266"/>
      <c r="L407" s="266"/>
      <c r="M407" s="267"/>
      <c r="N407" s="267"/>
      <c r="O407" s="596"/>
      <c r="P407" s="596"/>
      <c r="Q407" s="596"/>
      <c r="R407" s="596"/>
      <c r="S407" s="596"/>
      <c r="T407" s="596"/>
      <c r="U407" s="596"/>
      <c r="V407" s="596"/>
      <c r="W407" s="596"/>
      <c r="X407" s="596"/>
      <c r="Y407" s="596"/>
      <c r="Z407" s="596"/>
    </row>
    <row r="408" spans="1:26" ht="12.75" customHeight="1" x14ac:dyDescent="0.2">
      <c r="A408" s="596"/>
      <c r="B408" s="265"/>
      <c r="C408" s="596"/>
      <c r="D408" s="266"/>
      <c r="E408" s="605"/>
      <c r="F408" s="606"/>
      <c r="G408" s="605"/>
      <c r="H408" s="266"/>
      <c r="I408" s="266"/>
      <c r="J408" s="266"/>
      <c r="K408" s="266"/>
      <c r="L408" s="266"/>
      <c r="M408" s="267"/>
      <c r="N408" s="267"/>
      <c r="O408" s="596"/>
      <c r="P408" s="596"/>
      <c r="Q408" s="596"/>
      <c r="R408" s="596"/>
      <c r="S408" s="596"/>
      <c r="T408" s="596"/>
      <c r="U408" s="596"/>
      <c r="V408" s="596"/>
      <c r="W408" s="596"/>
      <c r="X408" s="596"/>
      <c r="Y408" s="596"/>
      <c r="Z408" s="596"/>
    </row>
    <row r="409" spans="1:26" ht="12.75" customHeight="1" x14ac:dyDescent="0.2">
      <c r="A409" s="596"/>
      <c r="B409" s="265"/>
      <c r="C409" s="596"/>
      <c r="D409" s="266"/>
      <c r="E409" s="605"/>
      <c r="F409" s="606"/>
      <c r="G409" s="605"/>
      <c r="H409" s="266"/>
      <c r="I409" s="266"/>
      <c r="J409" s="266"/>
      <c r="K409" s="266"/>
      <c r="L409" s="266"/>
      <c r="M409" s="267"/>
      <c r="N409" s="267"/>
      <c r="O409" s="596"/>
      <c r="P409" s="596"/>
      <c r="Q409" s="596"/>
      <c r="R409" s="596"/>
      <c r="S409" s="596"/>
      <c r="T409" s="596"/>
      <c r="U409" s="596"/>
      <c r="V409" s="596"/>
      <c r="W409" s="596"/>
      <c r="X409" s="596"/>
      <c r="Y409" s="596"/>
      <c r="Z409" s="596"/>
    </row>
    <row r="410" spans="1:26" ht="12.75" customHeight="1" x14ac:dyDescent="0.2">
      <c r="A410" s="596"/>
      <c r="B410" s="265"/>
      <c r="C410" s="596"/>
      <c r="D410" s="266"/>
      <c r="E410" s="605"/>
      <c r="F410" s="606"/>
      <c r="G410" s="605"/>
      <c r="H410" s="266"/>
      <c r="I410" s="266"/>
      <c r="J410" s="266"/>
      <c r="K410" s="266"/>
      <c r="L410" s="266"/>
      <c r="M410" s="267"/>
      <c r="N410" s="267"/>
      <c r="O410" s="596"/>
      <c r="P410" s="596"/>
      <c r="Q410" s="596"/>
      <c r="R410" s="596"/>
      <c r="S410" s="596"/>
      <c r="T410" s="596"/>
      <c r="U410" s="596"/>
      <c r="V410" s="596"/>
      <c r="W410" s="596"/>
      <c r="X410" s="596"/>
      <c r="Y410" s="596"/>
      <c r="Z410" s="596"/>
    </row>
    <row r="411" spans="1:26" ht="12.75" customHeight="1" x14ac:dyDescent="0.2">
      <c r="A411" s="596"/>
      <c r="B411" s="265"/>
      <c r="C411" s="596"/>
      <c r="D411" s="266"/>
      <c r="E411" s="605"/>
      <c r="F411" s="606"/>
      <c r="G411" s="605"/>
      <c r="H411" s="266"/>
      <c r="I411" s="266"/>
      <c r="J411" s="266"/>
      <c r="K411" s="266"/>
      <c r="L411" s="266"/>
      <c r="M411" s="267"/>
      <c r="N411" s="267"/>
      <c r="O411" s="596"/>
      <c r="P411" s="596"/>
      <c r="Q411" s="596"/>
      <c r="R411" s="596"/>
      <c r="S411" s="596"/>
      <c r="T411" s="596"/>
      <c r="U411" s="596"/>
      <c r="V411" s="596"/>
      <c r="W411" s="596"/>
      <c r="X411" s="596"/>
      <c r="Y411" s="596"/>
      <c r="Z411" s="596"/>
    </row>
    <row r="412" spans="1:26" ht="12.75" customHeight="1" x14ac:dyDescent="0.2">
      <c r="A412" s="596"/>
      <c r="B412" s="265"/>
      <c r="C412" s="596"/>
      <c r="D412" s="266"/>
      <c r="E412" s="605"/>
      <c r="F412" s="606"/>
      <c r="G412" s="605"/>
      <c r="H412" s="266"/>
      <c r="I412" s="266"/>
      <c r="J412" s="266"/>
      <c r="K412" s="266"/>
      <c r="L412" s="266"/>
      <c r="M412" s="267"/>
      <c r="N412" s="267"/>
      <c r="O412" s="596"/>
      <c r="P412" s="596"/>
      <c r="Q412" s="596"/>
      <c r="R412" s="596"/>
      <c r="S412" s="596"/>
      <c r="T412" s="596"/>
      <c r="U412" s="596"/>
      <c r="V412" s="596"/>
      <c r="W412" s="596"/>
      <c r="X412" s="596"/>
      <c r="Y412" s="596"/>
      <c r="Z412" s="596"/>
    </row>
    <row r="413" spans="1:26" ht="12.75" customHeight="1" x14ac:dyDescent="0.2">
      <c r="A413" s="596"/>
      <c r="B413" s="265"/>
      <c r="C413" s="596"/>
      <c r="D413" s="266"/>
      <c r="E413" s="605"/>
      <c r="F413" s="606"/>
      <c r="G413" s="605"/>
      <c r="H413" s="266"/>
      <c r="I413" s="266"/>
      <c r="J413" s="266"/>
      <c r="K413" s="266"/>
      <c r="L413" s="266"/>
      <c r="M413" s="267"/>
      <c r="N413" s="267"/>
      <c r="O413" s="596"/>
      <c r="P413" s="596"/>
      <c r="Q413" s="596"/>
      <c r="R413" s="596"/>
      <c r="S413" s="596"/>
      <c r="T413" s="596"/>
      <c r="U413" s="596"/>
      <c r="V413" s="596"/>
      <c r="W413" s="596"/>
      <c r="X413" s="596"/>
      <c r="Y413" s="596"/>
      <c r="Z413" s="596"/>
    </row>
    <row r="414" spans="1:26" ht="12.75" customHeight="1" x14ac:dyDescent="0.2">
      <c r="A414" s="596"/>
      <c r="B414" s="265"/>
      <c r="C414" s="596"/>
      <c r="D414" s="266"/>
      <c r="E414" s="605"/>
      <c r="F414" s="606"/>
      <c r="G414" s="605"/>
      <c r="H414" s="266"/>
      <c r="I414" s="266"/>
      <c r="J414" s="266"/>
      <c r="K414" s="266"/>
      <c r="L414" s="266"/>
      <c r="M414" s="267"/>
      <c r="N414" s="267"/>
      <c r="O414" s="596"/>
      <c r="P414" s="596"/>
      <c r="Q414" s="596"/>
      <c r="R414" s="596"/>
      <c r="S414" s="596"/>
      <c r="T414" s="596"/>
      <c r="U414" s="596"/>
      <c r="V414" s="596"/>
      <c r="W414" s="596"/>
      <c r="X414" s="596"/>
      <c r="Y414" s="596"/>
      <c r="Z414" s="596"/>
    </row>
    <row r="415" spans="1:26" ht="12.75" customHeight="1" x14ac:dyDescent="0.2">
      <c r="A415" s="596"/>
      <c r="B415" s="265"/>
      <c r="C415" s="596"/>
      <c r="D415" s="266"/>
      <c r="E415" s="605"/>
      <c r="F415" s="606"/>
      <c r="G415" s="605"/>
      <c r="H415" s="266"/>
      <c r="I415" s="266"/>
      <c r="J415" s="266"/>
      <c r="K415" s="266"/>
      <c r="L415" s="266"/>
      <c r="M415" s="267"/>
      <c r="N415" s="267"/>
      <c r="O415" s="596"/>
      <c r="P415" s="596"/>
      <c r="Q415" s="596"/>
      <c r="R415" s="596"/>
      <c r="S415" s="596"/>
      <c r="T415" s="596"/>
      <c r="U415" s="596"/>
      <c r="V415" s="596"/>
      <c r="W415" s="596"/>
      <c r="X415" s="596"/>
      <c r="Y415" s="596"/>
      <c r="Z415" s="596"/>
    </row>
    <row r="416" spans="1:26" ht="12.75" customHeight="1" x14ac:dyDescent="0.2">
      <c r="A416" s="596"/>
      <c r="B416" s="265"/>
      <c r="C416" s="596"/>
      <c r="D416" s="266"/>
      <c r="E416" s="605"/>
      <c r="F416" s="606"/>
      <c r="G416" s="605"/>
      <c r="H416" s="266"/>
      <c r="I416" s="266"/>
      <c r="J416" s="266"/>
      <c r="K416" s="266"/>
      <c r="L416" s="266"/>
      <c r="M416" s="267"/>
      <c r="N416" s="267"/>
      <c r="O416" s="596"/>
      <c r="P416" s="596"/>
      <c r="Q416" s="596"/>
      <c r="R416" s="596"/>
      <c r="S416" s="596"/>
      <c r="T416" s="596"/>
      <c r="U416" s="596"/>
      <c r="V416" s="596"/>
      <c r="W416" s="596"/>
      <c r="X416" s="596"/>
      <c r="Y416" s="596"/>
      <c r="Z416" s="596"/>
    </row>
    <row r="417" spans="1:26" ht="12.75" customHeight="1" x14ac:dyDescent="0.2">
      <c r="A417" s="596"/>
      <c r="B417" s="265"/>
      <c r="C417" s="596"/>
      <c r="D417" s="266"/>
      <c r="E417" s="605"/>
      <c r="F417" s="606"/>
      <c r="G417" s="605"/>
      <c r="H417" s="266"/>
      <c r="I417" s="266"/>
      <c r="J417" s="266"/>
      <c r="K417" s="266"/>
      <c r="L417" s="266"/>
      <c r="M417" s="267"/>
      <c r="N417" s="267"/>
      <c r="O417" s="596"/>
      <c r="P417" s="596"/>
      <c r="Q417" s="596"/>
      <c r="R417" s="596"/>
      <c r="S417" s="596"/>
      <c r="T417" s="596"/>
      <c r="U417" s="596"/>
      <c r="V417" s="596"/>
      <c r="W417" s="596"/>
      <c r="X417" s="596"/>
      <c r="Y417" s="596"/>
      <c r="Z417" s="596"/>
    </row>
    <row r="418" spans="1:26" ht="12.75" customHeight="1" x14ac:dyDescent="0.2">
      <c r="A418" s="596"/>
      <c r="B418" s="265"/>
      <c r="C418" s="596"/>
      <c r="D418" s="266"/>
      <c r="E418" s="605"/>
      <c r="F418" s="606"/>
      <c r="G418" s="605"/>
      <c r="H418" s="266"/>
      <c r="I418" s="266"/>
      <c r="J418" s="266"/>
      <c r="K418" s="266"/>
      <c r="L418" s="266"/>
      <c r="M418" s="267"/>
      <c r="N418" s="267"/>
      <c r="O418" s="596"/>
      <c r="P418" s="596"/>
      <c r="Q418" s="596"/>
      <c r="R418" s="596"/>
      <c r="S418" s="596"/>
      <c r="T418" s="596"/>
      <c r="U418" s="596"/>
      <c r="V418" s="596"/>
      <c r="W418" s="596"/>
      <c r="X418" s="596"/>
      <c r="Y418" s="596"/>
      <c r="Z418" s="596"/>
    </row>
    <row r="419" spans="1:26" ht="12.75" customHeight="1" x14ac:dyDescent="0.2">
      <c r="A419" s="596"/>
      <c r="B419" s="265"/>
      <c r="C419" s="596"/>
      <c r="D419" s="266"/>
      <c r="E419" s="605"/>
      <c r="F419" s="606"/>
      <c r="G419" s="605"/>
      <c r="H419" s="266"/>
      <c r="I419" s="266"/>
      <c r="J419" s="266"/>
      <c r="K419" s="266"/>
      <c r="L419" s="266"/>
      <c r="M419" s="267"/>
      <c r="N419" s="267"/>
      <c r="O419" s="596"/>
      <c r="P419" s="596"/>
      <c r="Q419" s="596"/>
      <c r="R419" s="596"/>
      <c r="S419" s="596"/>
      <c r="T419" s="596"/>
      <c r="U419" s="596"/>
      <c r="V419" s="596"/>
      <c r="W419" s="596"/>
      <c r="X419" s="596"/>
      <c r="Y419" s="596"/>
      <c r="Z419" s="596"/>
    </row>
    <row r="420" spans="1:26" ht="12.75" customHeight="1" x14ac:dyDescent="0.2">
      <c r="A420" s="596"/>
      <c r="B420" s="265"/>
      <c r="C420" s="596"/>
      <c r="D420" s="266"/>
      <c r="E420" s="605"/>
      <c r="F420" s="606"/>
      <c r="G420" s="605"/>
      <c r="H420" s="266"/>
      <c r="I420" s="266"/>
      <c r="J420" s="266"/>
      <c r="K420" s="266"/>
      <c r="L420" s="266"/>
      <c r="M420" s="267"/>
      <c r="N420" s="267"/>
      <c r="O420" s="596"/>
      <c r="P420" s="596"/>
      <c r="Q420" s="596"/>
      <c r="R420" s="596"/>
      <c r="S420" s="596"/>
      <c r="T420" s="596"/>
      <c r="U420" s="596"/>
      <c r="V420" s="596"/>
      <c r="W420" s="596"/>
      <c r="X420" s="596"/>
      <c r="Y420" s="596"/>
      <c r="Z420" s="596"/>
    </row>
    <row r="421" spans="1:26" ht="12.75" customHeight="1" x14ac:dyDescent="0.2">
      <c r="A421" s="596"/>
      <c r="B421" s="265"/>
      <c r="C421" s="596"/>
      <c r="D421" s="266"/>
      <c r="E421" s="605"/>
      <c r="F421" s="606"/>
      <c r="G421" s="605"/>
      <c r="H421" s="266"/>
      <c r="I421" s="266"/>
      <c r="J421" s="266"/>
      <c r="K421" s="266"/>
      <c r="L421" s="266"/>
      <c r="M421" s="267"/>
      <c r="N421" s="267"/>
      <c r="O421" s="596"/>
      <c r="P421" s="596"/>
      <c r="Q421" s="596"/>
      <c r="R421" s="596"/>
      <c r="S421" s="596"/>
      <c r="T421" s="596"/>
      <c r="U421" s="596"/>
      <c r="V421" s="596"/>
      <c r="W421" s="596"/>
      <c r="X421" s="596"/>
      <c r="Y421" s="596"/>
      <c r="Z421" s="596"/>
    </row>
    <row r="422" spans="1:26" ht="12.75" customHeight="1" x14ac:dyDescent="0.2">
      <c r="A422" s="596"/>
      <c r="B422" s="265"/>
      <c r="C422" s="596"/>
      <c r="D422" s="266"/>
      <c r="E422" s="605"/>
      <c r="F422" s="606"/>
      <c r="G422" s="605"/>
      <c r="H422" s="266"/>
      <c r="I422" s="266"/>
      <c r="J422" s="266"/>
      <c r="K422" s="266"/>
      <c r="L422" s="266"/>
      <c r="M422" s="267"/>
      <c r="N422" s="267"/>
      <c r="O422" s="596"/>
      <c r="P422" s="596"/>
      <c r="Q422" s="596"/>
      <c r="R422" s="596"/>
      <c r="S422" s="596"/>
      <c r="T422" s="596"/>
      <c r="U422" s="596"/>
      <c r="V422" s="596"/>
      <c r="W422" s="596"/>
      <c r="X422" s="596"/>
      <c r="Y422" s="596"/>
      <c r="Z422" s="596"/>
    </row>
    <row r="423" spans="1:26" ht="12.75" customHeight="1" x14ac:dyDescent="0.2">
      <c r="A423" s="596"/>
      <c r="B423" s="265"/>
      <c r="C423" s="596"/>
      <c r="D423" s="266"/>
      <c r="E423" s="605"/>
      <c r="F423" s="606"/>
      <c r="G423" s="605"/>
      <c r="H423" s="266"/>
      <c r="I423" s="266"/>
      <c r="J423" s="266"/>
      <c r="K423" s="266"/>
      <c r="L423" s="266"/>
      <c r="M423" s="267"/>
      <c r="N423" s="267"/>
      <c r="O423" s="596"/>
      <c r="P423" s="596"/>
      <c r="Q423" s="596"/>
      <c r="R423" s="596"/>
      <c r="S423" s="596"/>
      <c r="T423" s="596"/>
      <c r="U423" s="596"/>
      <c r="V423" s="596"/>
      <c r="W423" s="596"/>
      <c r="X423" s="596"/>
      <c r="Y423" s="596"/>
      <c r="Z423" s="596"/>
    </row>
    <row r="424" spans="1:26" ht="12.75" customHeight="1" x14ac:dyDescent="0.2">
      <c r="A424" s="596"/>
      <c r="B424" s="265"/>
      <c r="C424" s="596"/>
      <c r="D424" s="266"/>
      <c r="E424" s="605"/>
      <c r="F424" s="606"/>
      <c r="G424" s="605"/>
      <c r="H424" s="266"/>
      <c r="I424" s="266"/>
      <c r="J424" s="266"/>
      <c r="K424" s="266"/>
      <c r="L424" s="266"/>
      <c r="M424" s="267"/>
      <c r="N424" s="267"/>
      <c r="O424" s="596"/>
      <c r="P424" s="596"/>
      <c r="Q424" s="596"/>
      <c r="R424" s="596"/>
      <c r="S424" s="596"/>
      <c r="T424" s="596"/>
      <c r="U424" s="596"/>
      <c r="V424" s="596"/>
      <c r="W424" s="596"/>
      <c r="X424" s="596"/>
      <c r="Y424" s="596"/>
      <c r="Z424" s="596"/>
    </row>
    <row r="425" spans="1:26" ht="12.75" customHeight="1" x14ac:dyDescent="0.2">
      <c r="A425" s="596"/>
      <c r="B425" s="265"/>
      <c r="C425" s="596"/>
      <c r="D425" s="266"/>
      <c r="E425" s="605"/>
      <c r="F425" s="606"/>
      <c r="G425" s="605"/>
      <c r="H425" s="266"/>
      <c r="I425" s="266"/>
      <c r="J425" s="266"/>
      <c r="K425" s="266"/>
      <c r="L425" s="266"/>
      <c r="M425" s="267"/>
      <c r="N425" s="267"/>
      <c r="O425" s="596"/>
      <c r="P425" s="596"/>
      <c r="Q425" s="596"/>
      <c r="R425" s="596"/>
      <c r="S425" s="596"/>
      <c r="T425" s="596"/>
      <c r="U425" s="596"/>
      <c r="V425" s="596"/>
      <c r="W425" s="596"/>
      <c r="X425" s="596"/>
      <c r="Y425" s="596"/>
      <c r="Z425" s="596"/>
    </row>
    <row r="426" spans="1:26" ht="12.75" customHeight="1" x14ac:dyDescent="0.2">
      <c r="A426" s="596"/>
      <c r="B426" s="265"/>
      <c r="C426" s="596"/>
      <c r="D426" s="266"/>
      <c r="E426" s="605"/>
      <c r="F426" s="606"/>
      <c r="G426" s="605"/>
      <c r="H426" s="266"/>
      <c r="I426" s="266"/>
      <c r="J426" s="266"/>
      <c r="K426" s="266"/>
      <c r="L426" s="266"/>
      <c r="M426" s="267"/>
      <c r="N426" s="267"/>
      <c r="O426" s="596"/>
      <c r="P426" s="596"/>
      <c r="Q426" s="596"/>
      <c r="R426" s="596"/>
      <c r="S426" s="596"/>
      <c r="T426" s="596"/>
      <c r="U426" s="596"/>
      <c r="V426" s="596"/>
      <c r="W426" s="596"/>
      <c r="X426" s="596"/>
      <c r="Y426" s="596"/>
      <c r="Z426" s="596"/>
    </row>
    <row r="427" spans="1:26" ht="12.75" customHeight="1" x14ac:dyDescent="0.2">
      <c r="A427" s="596"/>
      <c r="B427" s="265"/>
      <c r="C427" s="596"/>
      <c r="D427" s="266"/>
      <c r="E427" s="605"/>
      <c r="F427" s="606"/>
      <c r="G427" s="605"/>
      <c r="H427" s="266"/>
      <c r="I427" s="266"/>
      <c r="J427" s="266"/>
      <c r="K427" s="266"/>
      <c r="L427" s="266"/>
      <c r="M427" s="267"/>
      <c r="N427" s="267"/>
      <c r="O427" s="596"/>
      <c r="P427" s="596"/>
      <c r="Q427" s="596"/>
      <c r="R427" s="596"/>
      <c r="S427" s="596"/>
      <c r="T427" s="596"/>
      <c r="U427" s="596"/>
      <c r="V427" s="596"/>
      <c r="W427" s="596"/>
      <c r="X427" s="596"/>
      <c r="Y427" s="596"/>
      <c r="Z427" s="596"/>
    </row>
    <row r="428" spans="1:26" ht="12.75" customHeight="1" x14ac:dyDescent="0.2">
      <c r="A428" s="596"/>
      <c r="B428" s="265"/>
      <c r="C428" s="596"/>
      <c r="D428" s="266"/>
      <c r="E428" s="605"/>
      <c r="F428" s="606"/>
      <c r="G428" s="605"/>
      <c r="H428" s="266"/>
      <c r="I428" s="266"/>
      <c r="J428" s="266"/>
      <c r="K428" s="266"/>
      <c r="L428" s="266"/>
      <c r="M428" s="267"/>
      <c r="N428" s="267"/>
      <c r="O428" s="596"/>
      <c r="P428" s="596"/>
      <c r="Q428" s="596"/>
      <c r="R428" s="596"/>
      <c r="S428" s="596"/>
      <c r="T428" s="596"/>
      <c r="U428" s="596"/>
      <c r="V428" s="596"/>
      <c r="W428" s="596"/>
      <c r="X428" s="596"/>
      <c r="Y428" s="596"/>
      <c r="Z428" s="596"/>
    </row>
    <row r="429" spans="1:26" ht="12.75" customHeight="1" x14ac:dyDescent="0.2">
      <c r="A429" s="596"/>
      <c r="B429" s="265"/>
      <c r="C429" s="596"/>
      <c r="D429" s="266"/>
      <c r="E429" s="605"/>
      <c r="F429" s="606"/>
      <c r="G429" s="605"/>
      <c r="H429" s="266"/>
      <c r="I429" s="266"/>
      <c r="J429" s="266"/>
      <c r="K429" s="266"/>
      <c r="L429" s="266"/>
      <c r="M429" s="267"/>
      <c r="N429" s="267"/>
      <c r="O429" s="596"/>
      <c r="P429" s="596"/>
      <c r="Q429" s="596"/>
      <c r="R429" s="596"/>
      <c r="S429" s="596"/>
      <c r="T429" s="596"/>
      <c r="U429" s="596"/>
      <c r="V429" s="596"/>
      <c r="W429" s="596"/>
      <c r="X429" s="596"/>
      <c r="Y429" s="596"/>
      <c r="Z429" s="596"/>
    </row>
    <row r="430" spans="1:26" ht="12.75" customHeight="1" x14ac:dyDescent="0.2">
      <c r="A430" s="596"/>
      <c r="B430" s="265"/>
      <c r="C430" s="596"/>
      <c r="D430" s="266"/>
      <c r="E430" s="605"/>
      <c r="F430" s="606"/>
      <c r="G430" s="605"/>
      <c r="H430" s="266"/>
      <c r="I430" s="266"/>
      <c r="J430" s="266"/>
      <c r="K430" s="266"/>
      <c r="L430" s="266"/>
      <c r="M430" s="267"/>
      <c r="N430" s="267"/>
      <c r="O430" s="596"/>
      <c r="P430" s="596"/>
      <c r="Q430" s="596"/>
      <c r="R430" s="596"/>
      <c r="S430" s="596"/>
      <c r="T430" s="596"/>
      <c r="U430" s="596"/>
      <c r="V430" s="596"/>
      <c r="W430" s="596"/>
      <c r="X430" s="596"/>
      <c r="Y430" s="596"/>
      <c r="Z430" s="596"/>
    </row>
    <row r="431" spans="1:26" ht="12.75" customHeight="1" x14ac:dyDescent="0.2">
      <c r="A431" s="596"/>
      <c r="B431" s="265"/>
      <c r="C431" s="596"/>
      <c r="D431" s="266"/>
      <c r="E431" s="605"/>
      <c r="F431" s="606"/>
      <c r="G431" s="605"/>
      <c r="H431" s="266"/>
      <c r="I431" s="266"/>
      <c r="J431" s="266"/>
      <c r="K431" s="266"/>
      <c r="L431" s="266"/>
      <c r="M431" s="267"/>
      <c r="N431" s="267"/>
      <c r="O431" s="596"/>
      <c r="P431" s="596"/>
      <c r="Q431" s="596"/>
      <c r="R431" s="596"/>
      <c r="S431" s="596"/>
      <c r="T431" s="596"/>
      <c r="U431" s="596"/>
      <c r="V431" s="596"/>
      <c r="W431" s="596"/>
      <c r="X431" s="596"/>
      <c r="Y431" s="596"/>
      <c r="Z431" s="596"/>
    </row>
    <row r="432" spans="1:26" ht="12.75" customHeight="1" x14ac:dyDescent="0.2">
      <c r="A432" s="596"/>
      <c r="B432" s="265"/>
      <c r="C432" s="596"/>
      <c r="D432" s="266"/>
      <c r="E432" s="605"/>
      <c r="F432" s="606"/>
      <c r="G432" s="605"/>
      <c r="H432" s="266"/>
      <c r="I432" s="266"/>
      <c r="J432" s="266"/>
      <c r="K432" s="266"/>
      <c r="L432" s="266"/>
      <c r="M432" s="267"/>
      <c r="N432" s="267"/>
      <c r="O432" s="596"/>
      <c r="P432" s="596"/>
      <c r="Q432" s="596"/>
      <c r="R432" s="596"/>
      <c r="S432" s="596"/>
      <c r="T432" s="596"/>
      <c r="U432" s="596"/>
      <c r="V432" s="596"/>
      <c r="W432" s="596"/>
      <c r="X432" s="596"/>
      <c r="Y432" s="596"/>
      <c r="Z432" s="596"/>
    </row>
    <row r="433" spans="1:26" ht="12.75" customHeight="1" x14ac:dyDescent="0.2">
      <c r="A433" s="596"/>
      <c r="B433" s="265"/>
      <c r="C433" s="596"/>
      <c r="D433" s="266"/>
      <c r="E433" s="605"/>
      <c r="F433" s="606"/>
      <c r="G433" s="605"/>
      <c r="H433" s="266"/>
      <c r="I433" s="266"/>
      <c r="J433" s="266"/>
      <c r="K433" s="266"/>
      <c r="L433" s="266"/>
      <c r="M433" s="267"/>
      <c r="N433" s="267"/>
      <c r="O433" s="596"/>
      <c r="P433" s="596"/>
      <c r="Q433" s="596"/>
      <c r="R433" s="596"/>
      <c r="S433" s="596"/>
      <c r="T433" s="596"/>
      <c r="U433" s="596"/>
      <c r="V433" s="596"/>
      <c r="W433" s="596"/>
      <c r="X433" s="596"/>
      <c r="Y433" s="596"/>
      <c r="Z433" s="596"/>
    </row>
    <row r="434" spans="1:26" ht="12.75" customHeight="1" x14ac:dyDescent="0.2">
      <c r="A434" s="596"/>
      <c r="B434" s="265"/>
      <c r="C434" s="596"/>
      <c r="D434" s="266"/>
      <c r="E434" s="605"/>
      <c r="F434" s="606"/>
      <c r="G434" s="605"/>
      <c r="H434" s="266"/>
      <c r="I434" s="266"/>
      <c r="J434" s="266"/>
      <c r="K434" s="266"/>
      <c r="L434" s="266"/>
      <c r="M434" s="267"/>
      <c r="N434" s="267"/>
      <c r="O434" s="596"/>
      <c r="P434" s="596"/>
      <c r="Q434" s="596"/>
      <c r="R434" s="596"/>
      <c r="S434" s="596"/>
      <c r="T434" s="596"/>
      <c r="U434" s="596"/>
      <c r="V434" s="596"/>
      <c r="W434" s="596"/>
      <c r="X434" s="596"/>
      <c r="Y434" s="596"/>
      <c r="Z434" s="596"/>
    </row>
    <row r="435" spans="1:26" ht="12.75" customHeight="1" x14ac:dyDescent="0.2">
      <c r="A435" s="596"/>
      <c r="B435" s="265"/>
      <c r="C435" s="596"/>
      <c r="D435" s="266"/>
      <c r="E435" s="605"/>
      <c r="F435" s="606"/>
      <c r="G435" s="605"/>
      <c r="H435" s="266"/>
      <c r="I435" s="266"/>
      <c r="J435" s="266"/>
      <c r="K435" s="266"/>
      <c r="L435" s="266"/>
      <c r="M435" s="267"/>
      <c r="N435" s="267"/>
      <c r="O435" s="596"/>
      <c r="P435" s="596"/>
      <c r="Q435" s="596"/>
      <c r="R435" s="596"/>
      <c r="S435" s="596"/>
      <c r="T435" s="596"/>
      <c r="U435" s="596"/>
      <c r="V435" s="596"/>
      <c r="W435" s="596"/>
      <c r="X435" s="596"/>
      <c r="Y435" s="596"/>
      <c r="Z435" s="596"/>
    </row>
    <row r="436" spans="1:26" ht="12.75" customHeight="1" x14ac:dyDescent="0.2">
      <c r="A436" s="596"/>
      <c r="B436" s="265"/>
      <c r="C436" s="596"/>
      <c r="D436" s="266"/>
      <c r="E436" s="605"/>
      <c r="F436" s="606"/>
      <c r="G436" s="605"/>
      <c r="H436" s="266"/>
      <c r="I436" s="266"/>
      <c r="J436" s="266"/>
      <c r="K436" s="266"/>
      <c r="L436" s="266"/>
      <c r="M436" s="267"/>
      <c r="N436" s="267"/>
      <c r="O436" s="596"/>
      <c r="P436" s="596"/>
      <c r="Q436" s="596"/>
      <c r="R436" s="596"/>
      <c r="S436" s="596"/>
      <c r="T436" s="596"/>
      <c r="U436" s="596"/>
      <c r="V436" s="596"/>
      <c r="W436" s="596"/>
      <c r="X436" s="596"/>
      <c r="Y436" s="596"/>
      <c r="Z436" s="596"/>
    </row>
    <row r="437" spans="1:26" ht="12.75" customHeight="1" x14ac:dyDescent="0.2">
      <c r="A437" s="596"/>
      <c r="B437" s="265"/>
      <c r="C437" s="596"/>
      <c r="D437" s="266"/>
      <c r="E437" s="605"/>
      <c r="F437" s="606"/>
      <c r="G437" s="605"/>
      <c r="H437" s="266"/>
      <c r="I437" s="266"/>
      <c r="J437" s="266"/>
      <c r="K437" s="266"/>
      <c r="L437" s="266"/>
      <c r="M437" s="267"/>
      <c r="N437" s="267"/>
      <c r="O437" s="596"/>
      <c r="P437" s="596"/>
      <c r="Q437" s="596"/>
      <c r="R437" s="596"/>
      <c r="S437" s="596"/>
      <c r="T437" s="596"/>
      <c r="U437" s="596"/>
      <c r="V437" s="596"/>
      <c r="W437" s="596"/>
      <c r="X437" s="596"/>
      <c r="Y437" s="596"/>
      <c r="Z437" s="596"/>
    </row>
    <row r="438" spans="1:26" ht="12.75" customHeight="1" x14ac:dyDescent="0.2">
      <c r="A438" s="596"/>
      <c r="B438" s="265"/>
      <c r="C438" s="596"/>
      <c r="D438" s="266"/>
      <c r="E438" s="605"/>
      <c r="F438" s="606"/>
      <c r="G438" s="605"/>
      <c r="H438" s="266"/>
      <c r="I438" s="266"/>
      <c r="J438" s="266"/>
      <c r="K438" s="266"/>
      <c r="L438" s="266"/>
      <c r="M438" s="267"/>
      <c r="N438" s="267"/>
      <c r="O438" s="596"/>
      <c r="P438" s="596"/>
      <c r="Q438" s="596"/>
      <c r="R438" s="596"/>
      <c r="S438" s="596"/>
      <c r="T438" s="596"/>
      <c r="U438" s="596"/>
      <c r="V438" s="596"/>
      <c r="W438" s="596"/>
      <c r="X438" s="596"/>
      <c r="Y438" s="596"/>
      <c r="Z438" s="596"/>
    </row>
    <row r="439" spans="1:26" ht="12.75" customHeight="1" x14ac:dyDescent="0.2">
      <c r="A439" s="596"/>
      <c r="B439" s="265"/>
      <c r="C439" s="596"/>
      <c r="D439" s="266"/>
      <c r="E439" s="605"/>
      <c r="F439" s="606"/>
      <c r="G439" s="605"/>
      <c r="H439" s="266"/>
      <c r="I439" s="266"/>
      <c r="J439" s="266"/>
      <c r="K439" s="266"/>
      <c r="L439" s="266"/>
      <c r="M439" s="267"/>
      <c r="N439" s="267"/>
      <c r="O439" s="596"/>
      <c r="P439" s="596"/>
      <c r="Q439" s="596"/>
      <c r="R439" s="596"/>
      <c r="S439" s="596"/>
      <c r="T439" s="596"/>
      <c r="U439" s="596"/>
      <c r="V439" s="596"/>
      <c r="W439" s="596"/>
      <c r="X439" s="596"/>
      <c r="Y439" s="596"/>
      <c r="Z439" s="596"/>
    </row>
    <row r="440" spans="1:26" ht="12.75" customHeight="1" x14ac:dyDescent="0.2">
      <c r="A440" s="596"/>
      <c r="B440" s="265"/>
      <c r="C440" s="596"/>
      <c r="D440" s="266"/>
      <c r="E440" s="605"/>
      <c r="F440" s="606"/>
      <c r="G440" s="605"/>
      <c r="H440" s="266"/>
      <c r="I440" s="266"/>
      <c r="J440" s="266"/>
      <c r="K440" s="266"/>
      <c r="L440" s="266"/>
      <c r="M440" s="267"/>
      <c r="N440" s="267"/>
      <c r="O440" s="596"/>
      <c r="P440" s="596"/>
      <c r="Q440" s="596"/>
      <c r="R440" s="596"/>
      <c r="S440" s="596"/>
      <c r="T440" s="596"/>
      <c r="U440" s="596"/>
      <c r="V440" s="596"/>
      <c r="W440" s="596"/>
      <c r="X440" s="596"/>
      <c r="Y440" s="596"/>
      <c r="Z440" s="596"/>
    </row>
    <row r="441" spans="1:26" ht="12.75" customHeight="1" x14ac:dyDescent="0.2">
      <c r="A441" s="596"/>
      <c r="B441" s="265"/>
      <c r="C441" s="596"/>
      <c r="D441" s="266"/>
      <c r="E441" s="605"/>
      <c r="F441" s="606"/>
      <c r="G441" s="605"/>
      <c r="H441" s="266"/>
      <c r="I441" s="266"/>
      <c r="J441" s="266"/>
      <c r="K441" s="266"/>
      <c r="L441" s="266"/>
      <c r="M441" s="267"/>
      <c r="N441" s="267"/>
      <c r="O441" s="596"/>
      <c r="P441" s="596"/>
      <c r="Q441" s="596"/>
      <c r="R441" s="596"/>
      <c r="S441" s="596"/>
      <c r="T441" s="596"/>
      <c r="U441" s="596"/>
      <c r="V441" s="596"/>
      <c r="W441" s="596"/>
      <c r="X441" s="596"/>
      <c r="Y441" s="596"/>
      <c r="Z441" s="596"/>
    </row>
    <row r="442" spans="1:26" ht="12.75" customHeight="1" x14ac:dyDescent="0.2">
      <c r="A442" s="596"/>
      <c r="B442" s="265"/>
      <c r="C442" s="596"/>
      <c r="D442" s="266"/>
      <c r="E442" s="605"/>
      <c r="F442" s="606"/>
      <c r="G442" s="605"/>
      <c r="H442" s="266"/>
      <c r="I442" s="266"/>
      <c r="J442" s="266"/>
      <c r="K442" s="266"/>
      <c r="L442" s="266"/>
      <c r="M442" s="267"/>
      <c r="N442" s="267"/>
      <c r="O442" s="596"/>
      <c r="P442" s="596"/>
      <c r="Q442" s="596"/>
      <c r="R442" s="596"/>
      <c r="S442" s="596"/>
      <c r="T442" s="596"/>
      <c r="U442" s="596"/>
      <c r="V442" s="596"/>
      <c r="W442" s="596"/>
      <c r="X442" s="596"/>
      <c r="Y442" s="596"/>
      <c r="Z442" s="596"/>
    </row>
    <row r="443" spans="1:26" ht="12.75" customHeight="1" x14ac:dyDescent="0.2">
      <c r="A443" s="596"/>
      <c r="B443" s="265"/>
      <c r="C443" s="596"/>
      <c r="D443" s="266"/>
      <c r="E443" s="605"/>
      <c r="F443" s="606"/>
      <c r="G443" s="605"/>
      <c r="H443" s="266"/>
      <c r="I443" s="266"/>
      <c r="J443" s="266"/>
      <c r="K443" s="266"/>
      <c r="L443" s="266"/>
      <c r="M443" s="267"/>
      <c r="N443" s="267"/>
      <c r="O443" s="596"/>
      <c r="P443" s="596"/>
      <c r="Q443" s="596"/>
      <c r="R443" s="596"/>
      <c r="S443" s="596"/>
      <c r="T443" s="596"/>
      <c r="U443" s="596"/>
      <c r="V443" s="596"/>
      <c r="W443" s="596"/>
      <c r="X443" s="596"/>
      <c r="Y443" s="596"/>
      <c r="Z443" s="596"/>
    </row>
    <row r="444" spans="1:26" ht="12.75" customHeight="1" x14ac:dyDescent="0.2">
      <c r="A444" s="596"/>
      <c r="B444" s="265"/>
      <c r="C444" s="596"/>
      <c r="D444" s="266"/>
      <c r="E444" s="605"/>
      <c r="F444" s="606"/>
      <c r="G444" s="605"/>
      <c r="H444" s="266"/>
      <c r="I444" s="266"/>
      <c r="J444" s="266"/>
      <c r="K444" s="266"/>
      <c r="L444" s="266"/>
      <c r="M444" s="267"/>
      <c r="N444" s="267"/>
      <c r="O444" s="596"/>
      <c r="P444" s="596"/>
      <c r="Q444" s="596"/>
      <c r="R444" s="596"/>
      <c r="S444" s="596"/>
      <c r="T444" s="596"/>
      <c r="U444" s="596"/>
      <c r="V444" s="596"/>
      <c r="W444" s="596"/>
      <c r="X444" s="596"/>
      <c r="Y444" s="596"/>
      <c r="Z444" s="596"/>
    </row>
    <row r="445" spans="1:26" ht="12.75" customHeight="1" x14ac:dyDescent="0.2">
      <c r="A445" s="596"/>
      <c r="B445" s="265"/>
      <c r="C445" s="596"/>
      <c r="D445" s="266"/>
      <c r="E445" s="605"/>
      <c r="F445" s="606"/>
      <c r="G445" s="605"/>
      <c r="H445" s="266"/>
      <c r="I445" s="266"/>
      <c r="J445" s="266"/>
      <c r="K445" s="266"/>
      <c r="L445" s="266"/>
      <c r="M445" s="267"/>
      <c r="N445" s="267"/>
      <c r="O445" s="596"/>
      <c r="P445" s="596"/>
      <c r="Q445" s="596"/>
      <c r="R445" s="596"/>
      <c r="S445" s="596"/>
      <c r="T445" s="596"/>
      <c r="U445" s="596"/>
      <c r="V445" s="596"/>
      <c r="W445" s="596"/>
      <c r="X445" s="596"/>
      <c r="Y445" s="596"/>
      <c r="Z445" s="596"/>
    </row>
    <row r="446" spans="1:26" ht="12.75" customHeight="1" x14ac:dyDescent="0.2">
      <c r="A446" s="596"/>
      <c r="B446" s="265"/>
      <c r="C446" s="596"/>
      <c r="D446" s="266"/>
      <c r="E446" s="605"/>
      <c r="F446" s="606"/>
      <c r="G446" s="605"/>
      <c r="H446" s="266"/>
      <c r="I446" s="266"/>
      <c r="J446" s="266"/>
      <c r="K446" s="266"/>
      <c r="L446" s="266"/>
      <c r="M446" s="267"/>
      <c r="N446" s="267"/>
      <c r="O446" s="596"/>
      <c r="P446" s="596"/>
      <c r="Q446" s="596"/>
      <c r="R446" s="596"/>
      <c r="S446" s="596"/>
      <c r="T446" s="596"/>
      <c r="U446" s="596"/>
      <c r="V446" s="596"/>
      <c r="W446" s="596"/>
      <c r="X446" s="596"/>
      <c r="Y446" s="596"/>
      <c r="Z446" s="596"/>
    </row>
    <row r="447" spans="1:26" ht="12.75" customHeight="1" x14ac:dyDescent="0.2">
      <c r="A447" s="596"/>
      <c r="B447" s="265"/>
      <c r="C447" s="596"/>
      <c r="D447" s="266"/>
      <c r="E447" s="605"/>
      <c r="F447" s="606"/>
      <c r="G447" s="605"/>
      <c r="H447" s="266"/>
      <c r="I447" s="266"/>
      <c r="J447" s="266"/>
      <c r="K447" s="266"/>
      <c r="L447" s="266"/>
      <c r="M447" s="267"/>
      <c r="N447" s="267"/>
      <c r="O447" s="596"/>
      <c r="P447" s="596"/>
      <c r="Q447" s="596"/>
      <c r="R447" s="596"/>
      <c r="S447" s="596"/>
      <c r="T447" s="596"/>
      <c r="U447" s="596"/>
      <c r="V447" s="596"/>
      <c r="W447" s="596"/>
      <c r="X447" s="596"/>
      <c r="Y447" s="596"/>
      <c r="Z447" s="596"/>
    </row>
    <row r="448" spans="1:26" ht="12.75" customHeight="1" x14ac:dyDescent="0.2">
      <c r="A448" s="596"/>
      <c r="B448" s="265"/>
      <c r="C448" s="596"/>
      <c r="D448" s="266"/>
      <c r="E448" s="605"/>
      <c r="F448" s="606"/>
      <c r="G448" s="605"/>
      <c r="H448" s="266"/>
      <c r="I448" s="266"/>
      <c r="J448" s="266"/>
      <c r="K448" s="266"/>
      <c r="L448" s="266"/>
      <c r="M448" s="267"/>
      <c r="N448" s="267"/>
      <c r="O448" s="596"/>
      <c r="P448" s="596"/>
      <c r="Q448" s="596"/>
      <c r="R448" s="596"/>
      <c r="S448" s="596"/>
      <c r="T448" s="596"/>
      <c r="U448" s="596"/>
      <c r="V448" s="596"/>
      <c r="W448" s="596"/>
      <c r="X448" s="596"/>
      <c r="Y448" s="596"/>
      <c r="Z448" s="596"/>
    </row>
    <row r="449" spans="1:26" ht="12.75" customHeight="1" x14ac:dyDescent="0.2">
      <c r="A449" s="596"/>
      <c r="B449" s="265"/>
      <c r="C449" s="596"/>
      <c r="D449" s="266"/>
      <c r="E449" s="605"/>
      <c r="F449" s="606"/>
      <c r="G449" s="605"/>
      <c r="H449" s="266"/>
      <c r="I449" s="266"/>
      <c r="J449" s="266"/>
      <c r="K449" s="266"/>
      <c r="L449" s="266"/>
      <c r="M449" s="267"/>
      <c r="N449" s="267"/>
      <c r="O449" s="596"/>
      <c r="P449" s="596"/>
      <c r="Q449" s="596"/>
      <c r="R449" s="596"/>
      <c r="S449" s="596"/>
      <c r="T449" s="596"/>
      <c r="U449" s="596"/>
      <c r="V449" s="596"/>
      <c r="W449" s="596"/>
      <c r="X449" s="596"/>
      <c r="Y449" s="596"/>
      <c r="Z449" s="596"/>
    </row>
    <row r="450" spans="1:26" ht="12.75" customHeight="1" x14ac:dyDescent="0.2">
      <c r="A450" s="596"/>
      <c r="B450" s="265"/>
      <c r="C450" s="596"/>
      <c r="D450" s="266"/>
      <c r="E450" s="605"/>
      <c r="F450" s="606"/>
      <c r="G450" s="605"/>
      <c r="H450" s="266"/>
      <c r="I450" s="266"/>
      <c r="J450" s="266"/>
      <c r="K450" s="266"/>
      <c r="L450" s="266"/>
      <c r="M450" s="267"/>
      <c r="N450" s="267"/>
      <c r="O450" s="596"/>
      <c r="P450" s="596"/>
      <c r="Q450" s="596"/>
      <c r="R450" s="596"/>
      <c r="S450" s="596"/>
      <c r="T450" s="596"/>
      <c r="U450" s="596"/>
      <c r="V450" s="596"/>
      <c r="W450" s="596"/>
      <c r="X450" s="596"/>
      <c r="Y450" s="596"/>
      <c r="Z450" s="596"/>
    </row>
    <row r="451" spans="1:26" ht="12.75" customHeight="1" x14ac:dyDescent="0.2">
      <c r="A451" s="596"/>
      <c r="B451" s="265"/>
      <c r="C451" s="596"/>
      <c r="D451" s="266"/>
      <c r="E451" s="605"/>
      <c r="F451" s="606"/>
      <c r="G451" s="605"/>
      <c r="H451" s="266"/>
      <c r="I451" s="266"/>
      <c r="J451" s="266"/>
      <c r="K451" s="266"/>
      <c r="L451" s="266"/>
      <c r="M451" s="267"/>
      <c r="N451" s="267"/>
      <c r="O451" s="596"/>
      <c r="P451" s="596"/>
      <c r="Q451" s="596"/>
      <c r="R451" s="596"/>
      <c r="S451" s="596"/>
      <c r="T451" s="596"/>
      <c r="U451" s="596"/>
      <c r="V451" s="596"/>
      <c r="W451" s="596"/>
      <c r="X451" s="596"/>
      <c r="Y451" s="596"/>
      <c r="Z451" s="596"/>
    </row>
    <row r="452" spans="1:26" ht="12.75" customHeight="1" x14ac:dyDescent="0.2">
      <c r="A452" s="596"/>
      <c r="B452" s="265"/>
      <c r="C452" s="596"/>
      <c r="D452" s="266"/>
      <c r="E452" s="605"/>
      <c r="F452" s="606"/>
      <c r="G452" s="605"/>
      <c r="H452" s="266"/>
      <c r="I452" s="266"/>
      <c r="J452" s="266"/>
      <c r="K452" s="266"/>
      <c r="L452" s="266"/>
      <c r="M452" s="267"/>
      <c r="N452" s="267"/>
      <c r="O452" s="596"/>
      <c r="P452" s="596"/>
      <c r="Q452" s="596"/>
      <c r="R452" s="596"/>
      <c r="S452" s="596"/>
      <c r="T452" s="596"/>
      <c r="U452" s="596"/>
      <c r="V452" s="596"/>
      <c r="W452" s="596"/>
      <c r="X452" s="596"/>
      <c r="Y452" s="596"/>
      <c r="Z452" s="596"/>
    </row>
    <row r="453" spans="1:26" ht="12.75" customHeight="1" x14ac:dyDescent="0.2">
      <c r="A453" s="596"/>
      <c r="B453" s="265"/>
      <c r="C453" s="596"/>
      <c r="D453" s="266"/>
      <c r="E453" s="605"/>
      <c r="F453" s="606"/>
      <c r="G453" s="605"/>
      <c r="H453" s="266"/>
      <c r="I453" s="266"/>
      <c r="J453" s="266"/>
      <c r="K453" s="266"/>
      <c r="L453" s="266"/>
      <c r="M453" s="267"/>
      <c r="N453" s="267"/>
      <c r="O453" s="596"/>
      <c r="P453" s="596"/>
      <c r="Q453" s="596"/>
      <c r="R453" s="596"/>
      <c r="S453" s="596"/>
      <c r="T453" s="596"/>
      <c r="U453" s="596"/>
      <c r="V453" s="596"/>
      <c r="W453" s="596"/>
      <c r="X453" s="596"/>
      <c r="Y453" s="596"/>
      <c r="Z453" s="596"/>
    </row>
    <row r="454" spans="1:26" ht="12.75" customHeight="1" x14ac:dyDescent="0.2">
      <c r="A454" s="596"/>
      <c r="B454" s="265"/>
      <c r="C454" s="596"/>
      <c r="D454" s="266"/>
      <c r="E454" s="605"/>
      <c r="F454" s="606"/>
      <c r="G454" s="605"/>
      <c r="H454" s="266"/>
      <c r="I454" s="266"/>
      <c r="J454" s="266"/>
      <c r="K454" s="266"/>
      <c r="L454" s="266"/>
      <c r="M454" s="267"/>
      <c r="N454" s="267"/>
      <c r="O454" s="596"/>
      <c r="P454" s="596"/>
      <c r="Q454" s="596"/>
      <c r="R454" s="596"/>
      <c r="S454" s="596"/>
      <c r="T454" s="596"/>
      <c r="U454" s="596"/>
      <c r="V454" s="596"/>
      <c r="W454" s="596"/>
      <c r="X454" s="596"/>
      <c r="Y454" s="596"/>
      <c r="Z454" s="596"/>
    </row>
    <row r="455" spans="1:26" ht="12.75" customHeight="1" x14ac:dyDescent="0.2">
      <c r="A455" s="596"/>
      <c r="B455" s="265"/>
      <c r="C455" s="596"/>
      <c r="D455" s="266"/>
      <c r="E455" s="605"/>
      <c r="F455" s="606"/>
      <c r="G455" s="605"/>
      <c r="H455" s="266"/>
      <c r="I455" s="266"/>
      <c r="J455" s="266"/>
      <c r="K455" s="266"/>
      <c r="L455" s="266"/>
      <c r="M455" s="267"/>
      <c r="N455" s="267"/>
      <c r="O455" s="596"/>
      <c r="P455" s="596"/>
      <c r="Q455" s="596"/>
      <c r="R455" s="596"/>
      <c r="S455" s="596"/>
      <c r="T455" s="596"/>
      <c r="U455" s="596"/>
      <c r="V455" s="596"/>
      <c r="W455" s="596"/>
      <c r="X455" s="596"/>
      <c r="Y455" s="596"/>
      <c r="Z455" s="596"/>
    </row>
    <row r="456" spans="1:26" ht="12.75" customHeight="1" x14ac:dyDescent="0.2">
      <c r="A456" s="596"/>
      <c r="B456" s="265"/>
      <c r="C456" s="596"/>
      <c r="D456" s="266"/>
      <c r="E456" s="605"/>
      <c r="F456" s="606"/>
      <c r="G456" s="605"/>
      <c r="H456" s="266"/>
      <c r="I456" s="266"/>
      <c r="J456" s="266"/>
      <c r="K456" s="266"/>
      <c r="L456" s="266"/>
      <c r="M456" s="267"/>
      <c r="N456" s="267"/>
      <c r="O456" s="596"/>
      <c r="P456" s="596"/>
      <c r="Q456" s="596"/>
      <c r="R456" s="596"/>
      <c r="S456" s="596"/>
      <c r="T456" s="596"/>
      <c r="U456" s="596"/>
      <c r="V456" s="596"/>
      <c r="W456" s="596"/>
      <c r="X456" s="596"/>
      <c r="Y456" s="596"/>
      <c r="Z456" s="596"/>
    </row>
    <row r="457" spans="1:26" ht="12.75" customHeight="1" x14ac:dyDescent="0.2">
      <c r="A457" s="596"/>
      <c r="B457" s="265"/>
      <c r="C457" s="596"/>
      <c r="D457" s="266"/>
      <c r="E457" s="605"/>
      <c r="F457" s="606"/>
      <c r="G457" s="605"/>
      <c r="H457" s="266"/>
      <c r="I457" s="266"/>
      <c r="J457" s="266"/>
      <c r="K457" s="266"/>
      <c r="L457" s="266"/>
      <c r="M457" s="267"/>
      <c r="N457" s="267"/>
      <c r="O457" s="596"/>
      <c r="P457" s="596"/>
      <c r="Q457" s="596"/>
      <c r="R457" s="596"/>
      <c r="S457" s="596"/>
      <c r="T457" s="596"/>
      <c r="U457" s="596"/>
      <c r="V457" s="596"/>
      <c r="W457" s="596"/>
      <c r="X457" s="596"/>
      <c r="Y457" s="596"/>
      <c r="Z457" s="596"/>
    </row>
    <row r="458" spans="1:26" ht="12.75" customHeight="1" x14ac:dyDescent="0.2">
      <c r="A458" s="596"/>
      <c r="B458" s="265"/>
      <c r="C458" s="596"/>
      <c r="D458" s="266"/>
      <c r="E458" s="605"/>
      <c r="F458" s="606"/>
      <c r="G458" s="605"/>
      <c r="H458" s="266"/>
      <c r="I458" s="266"/>
      <c r="J458" s="266"/>
      <c r="K458" s="266"/>
      <c r="L458" s="266"/>
      <c r="M458" s="267"/>
      <c r="N458" s="267"/>
      <c r="O458" s="596"/>
      <c r="P458" s="596"/>
      <c r="Q458" s="596"/>
      <c r="R458" s="596"/>
      <c r="S458" s="596"/>
      <c r="T458" s="596"/>
      <c r="U458" s="596"/>
      <c r="V458" s="596"/>
      <c r="W458" s="596"/>
      <c r="X458" s="596"/>
      <c r="Y458" s="596"/>
      <c r="Z458" s="596"/>
    </row>
    <row r="459" spans="1:26" ht="12.75" customHeight="1" x14ac:dyDescent="0.2">
      <c r="A459" s="596"/>
      <c r="B459" s="265"/>
      <c r="C459" s="596"/>
      <c r="D459" s="266"/>
      <c r="E459" s="605"/>
      <c r="F459" s="606"/>
      <c r="G459" s="605"/>
      <c r="H459" s="266"/>
      <c r="I459" s="266"/>
      <c r="J459" s="266"/>
      <c r="K459" s="266"/>
      <c r="L459" s="266"/>
      <c r="M459" s="267"/>
      <c r="N459" s="267"/>
      <c r="O459" s="596"/>
      <c r="P459" s="596"/>
      <c r="Q459" s="596"/>
      <c r="R459" s="596"/>
      <c r="S459" s="596"/>
      <c r="T459" s="596"/>
      <c r="U459" s="596"/>
      <c r="V459" s="596"/>
      <c r="W459" s="596"/>
      <c r="X459" s="596"/>
      <c r="Y459" s="596"/>
      <c r="Z459" s="596"/>
    </row>
    <row r="460" spans="1:26" ht="12.75" customHeight="1" x14ac:dyDescent="0.2">
      <c r="A460" s="596"/>
      <c r="B460" s="265"/>
      <c r="C460" s="596"/>
      <c r="D460" s="266"/>
      <c r="E460" s="605"/>
      <c r="F460" s="606"/>
      <c r="G460" s="605"/>
      <c r="H460" s="266"/>
      <c r="I460" s="266"/>
      <c r="J460" s="266"/>
      <c r="K460" s="266"/>
      <c r="L460" s="266"/>
      <c r="M460" s="267"/>
      <c r="N460" s="267"/>
      <c r="O460" s="596"/>
      <c r="P460" s="596"/>
      <c r="Q460" s="596"/>
      <c r="R460" s="596"/>
      <c r="S460" s="596"/>
      <c r="T460" s="596"/>
      <c r="U460" s="596"/>
      <c r="V460" s="596"/>
      <c r="W460" s="596"/>
      <c r="X460" s="596"/>
      <c r="Y460" s="596"/>
      <c r="Z460" s="596"/>
    </row>
    <row r="461" spans="1:26" ht="12.75" customHeight="1" x14ac:dyDescent="0.2">
      <c r="A461" s="596"/>
      <c r="B461" s="265"/>
      <c r="C461" s="596"/>
      <c r="D461" s="266"/>
      <c r="E461" s="605"/>
      <c r="F461" s="606"/>
      <c r="G461" s="605"/>
      <c r="H461" s="266"/>
      <c r="I461" s="266"/>
      <c r="J461" s="266"/>
      <c r="K461" s="266"/>
      <c r="L461" s="266"/>
      <c r="M461" s="267"/>
      <c r="N461" s="267"/>
      <c r="O461" s="596"/>
      <c r="P461" s="596"/>
      <c r="Q461" s="596"/>
      <c r="R461" s="596"/>
      <c r="S461" s="596"/>
      <c r="T461" s="596"/>
      <c r="U461" s="596"/>
      <c r="V461" s="596"/>
      <c r="W461" s="596"/>
      <c r="X461" s="596"/>
      <c r="Y461" s="596"/>
      <c r="Z461" s="596"/>
    </row>
    <row r="462" spans="1:26" ht="12.75" customHeight="1" x14ac:dyDescent="0.2">
      <c r="A462" s="596"/>
      <c r="B462" s="265"/>
      <c r="C462" s="596"/>
      <c r="D462" s="266"/>
      <c r="E462" s="605"/>
      <c r="F462" s="606"/>
      <c r="G462" s="605"/>
      <c r="H462" s="266"/>
      <c r="I462" s="266"/>
      <c r="J462" s="266"/>
      <c r="K462" s="266"/>
      <c r="L462" s="266"/>
      <c r="M462" s="267"/>
      <c r="N462" s="267"/>
      <c r="O462" s="596"/>
      <c r="P462" s="596"/>
      <c r="Q462" s="596"/>
      <c r="R462" s="596"/>
      <c r="S462" s="596"/>
      <c r="T462" s="596"/>
      <c r="U462" s="596"/>
      <c r="V462" s="596"/>
      <c r="W462" s="596"/>
      <c r="X462" s="596"/>
      <c r="Y462" s="596"/>
      <c r="Z462" s="596"/>
    </row>
    <row r="463" spans="1:26" ht="12.75" customHeight="1" x14ac:dyDescent="0.2">
      <c r="A463" s="596"/>
      <c r="B463" s="265"/>
      <c r="C463" s="596"/>
      <c r="D463" s="266"/>
      <c r="E463" s="605"/>
      <c r="F463" s="606"/>
      <c r="G463" s="605"/>
      <c r="H463" s="266"/>
      <c r="I463" s="266"/>
      <c r="J463" s="266"/>
      <c r="K463" s="266"/>
      <c r="L463" s="266"/>
      <c r="M463" s="267"/>
      <c r="N463" s="267"/>
      <c r="O463" s="596"/>
      <c r="P463" s="596"/>
      <c r="Q463" s="596"/>
      <c r="R463" s="596"/>
      <c r="S463" s="596"/>
      <c r="T463" s="596"/>
      <c r="U463" s="596"/>
      <c r="V463" s="596"/>
      <c r="W463" s="596"/>
      <c r="X463" s="596"/>
      <c r="Y463" s="596"/>
      <c r="Z463" s="596"/>
    </row>
    <row r="464" spans="1:26" ht="12.75" customHeight="1" x14ac:dyDescent="0.2">
      <c r="A464" s="596"/>
      <c r="B464" s="265"/>
      <c r="C464" s="596"/>
      <c r="D464" s="266"/>
      <c r="E464" s="605"/>
      <c r="F464" s="606"/>
      <c r="G464" s="605"/>
      <c r="H464" s="266"/>
      <c r="I464" s="266"/>
      <c r="J464" s="266"/>
      <c r="K464" s="266"/>
      <c r="L464" s="266"/>
      <c r="M464" s="267"/>
      <c r="N464" s="267"/>
      <c r="O464" s="596"/>
      <c r="P464" s="596"/>
      <c r="Q464" s="596"/>
      <c r="R464" s="596"/>
      <c r="S464" s="596"/>
      <c r="T464" s="596"/>
      <c r="U464" s="596"/>
      <c r="V464" s="596"/>
      <c r="W464" s="596"/>
      <c r="X464" s="596"/>
      <c r="Y464" s="596"/>
      <c r="Z464" s="596"/>
    </row>
    <row r="465" spans="1:26" ht="12.75" customHeight="1" x14ac:dyDescent="0.2">
      <c r="A465" s="596"/>
      <c r="B465" s="265"/>
      <c r="C465" s="596"/>
      <c r="D465" s="266"/>
      <c r="E465" s="605"/>
      <c r="F465" s="606"/>
      <c r="G465" s="605"/>
      <c r="H465" s="266"/>
      <c r="I465" s="266"/>
      <c r="J465" s="266"/>
      <c r="K465" s="266"/>
      <c r="L465" s="266"/>
      <c r="M465" s="267"/>
      <c r="N465" s="267"/>
      <c r="O465" s="596"/>
      <c r="P465" s="596"/>
      <c r="Q465" s="596"/>
      <c r="R465" s="596"/>
      <c r="S465" s="596"/>
      <c r="T465" s="596"/>
      <c r="U465" s="596"/>
      <c r="V465" s="596"/>
      <c r="W465" s="596"/>
      <c r="X465" s="596"/>
      <c r="Y465" s="596"/>
      <c r="Z465" s="596"/>
    </row>
    <row r="466" spans="1:26" ht="12.75" customHeight="1" x14ac:dyDescent="0.2">
      <c r="A466" s="596"/>
      <c r="B466" s="265"/>
      <c r="C466" s="596"/>
      <c r="D466" s="266"/>
      <c r="E466" s="605"/>
      <c r="F466" s="606"/>
      <c r="G466" s="605"/>
      <c r="H466" s="266"/>
      <c r="I466" s="266"/>
      <c r="J466" s="266"/>
      <c r="K466" s="266"/>
      <c r="L466" s="266"/>
      <c r="M466" s="267"/>
      <c r="N466" s="267"/>
      <c r="O466" s="596"/>
      <c r="P466" s="596"/>
      <c r="Q466" s="596"/>
      <c r="R466" s="596"/>
      <c r="S466" s="596"/>
      <c r="T466" s="596"/>
      <c r="U466" s="596"/>
      <c r="V466" s="596"/>
      <c r="W466" s="596"/>
      <c r="X466" s="596"/>
      <c r="Y466" s="596"/>
      <c r="Z466" s="596"/>
    </row>
    <row r="467" spans="1:26" ht="12.75" customHeight="1" x14ac:dyDescent="0.2">
      <c r="A467" s="596"/>
      <c r="B467" s="265"/>
      <c r="C467" s="596"/>
      <c r="D467" s="266"/>
      <c r="E467" s="605"/>
      <c r="F467" s="606"/>
      <c r="G467" s="605"/>
      <c r="H467" s="266"/>
      <c r="I467" s="266"/>
      <c r="J467" s="266"/>
      <c r="K467" s="266"/>
      <c r="L467" s="266"/>
      <c r="M467" s="267"/>
      <c r="N467" s="267"/>
      <c r="O467" s="596"/>
      <c r="P467" s="596"/>
      <c r="Q467" s="596"/>
      <c r="R467" s="596"/>
      <c r="S467" s="596"/>
      <c r="T467" s="596"/>
      <c r="U467" s="596"/>
      <c r="V467" s="596"/>
      <c r="W467" s="596"/>
      <c r="X467" s="596"/>
      <c r="Y467" s="596"/>
      <c r="Z467" s="596"/>
    </row>
    <row r="468" spans="1:26" ht="12.75" customHeight="1" x14ac:dyDescent="0.2">
      <c r="A468" s="596"/>
      <c r="B468" s="265"/>
      <c r="C468" s="596"/>
      <c r="D468" s="266"/>
      <c r="E468" s="605"/>
      <c r="F468" s="606"/>
      <c r="G468" s="605"/>
      <c r="H468" s="266"/>
      <c r="I468" s="266"/>
      <c r="J468" s="266"/>
      <c r="K468" s="266"/>
      <c r="L468" s="266"/>
      <c r="M468" s="267"/>
      <c r="N468" s="267"/>
      <c r="O468" s="596"/>
      <c r="P468" s="596"/>
      <c r="Q468" s="596"/>
      <c r="R468" s="596"/>
      <c r="S468" s="596"/>
      <c r="T468" s="596"/>
      <c r="U468" s="596"/>
      <c r="V468" s="596"/>
      <c r="W468" s="596"/>
      <c r="X468" s="596"/>
      <c r="Y468" s="596"/>
      <c r="Z468" s="596"/>
    </row>
    <row r="469" spans="1:26" ht="12.75" customHeight="1" x14ac:dyDescent="0.2">
      <c r="A469" s="596"/>
      <c r="B469" s="265"/>
      <c r="C469" s="596"/>
      <c r="D469" s="266"/>
      <c r="E469" s="605"/>
      <c r="F469" s="606"/>
      <c r="G469" s="605"/>
      <c r="H469" s="266"/>
      <c r="I469" s="266"/>
      <c r="J469" s="266"/>
      <c r="K469" s="266"/>
      <c r="L469" s="266"/>
      <c r="M469" s="267"/>
      <c r="N469" s="267"/>
      <c r="O469" s="596"/>
      <c r="P469" s="596"/>
      <c r="Q469" s="596"/>
      <c r="R469" s="596"/>
      <c r="S469" s="596"/>
      <c r="T469" s="596"/>
      <c r="U469" s="596"/>
      <c r="V469" s="596"/>
      <c r="W469" s="596"/>
      <c r="X469" s="596"/>
      <c r="Y469" s="596"/>
      <c r="Z469" s="596"/>
    </row>
    <row r="470" spans="1:26" ht="12.75" customHeight="1" x14ac:dyDescent="0.2">
      <c r="A470" s="596"/>
      <c r="B470" s="265"/>
      <c r="C470" s="596"/>
      <c r="D470" s="266"/>
      <c r="E470" s="605"/>
      <c r="F470" s="606"/>
      <c r="G470" s="605"/>
      <c r="H470" s="266"/>
      <c r="I470" s="266"/>
      <c r="J470" s="266"/>
      <c r="K470" s="266"/>
      <c r="L470" s="266"/>
      <c r="M470" s="267"/>
      <c r="N470" s="267"/>
      <c r="O470" s="596"/>
      <c r="P470" s="596"/>
      <c r="Q470" s="596"/>
      <c r="R470" s="596"/>
      <c r="S470" s="596"/>
      <c r="T470" s="596"/>
      <c r="U470" s="596"/>
      <c r="V470" s="596"/>
      <c r="W470" s="596"/>
      <c r="X470" s="596"/>
      <c r="Y470" s="596"/>
      <c r="Z470" s="596"/>
    </row>
    <row r="471" spans="1:26" ht="12.75" customHeight="1" x14ac:dyDescent="0.2">
      <c r="A471" s="596"/>
      <c r="B471" s="265"/>
      <c r="C471" s="596"/>
      <c r="D471" s="266"/>
      <c r="E471" s="605"/>
      <c r="F471" s="606"/>
      <c r="G471" s="605"/>
      <c r="H471" s="266"/>
      <c r="I471" s="266"/>
      <c r="J471" s="266"/>
      <c r="K471" s="266"/>
      <c r="L471" s="266"/>
      <c r="M471" s="267"/>
      <c r="N471" s="267"/>
      <c r="O471" s="596"/>
      <c r="P471" s="596"/>
      <c r="Q471" s="596"/>
      <c r="R471" s="596"/>
      <c r="S471" s="596"/>
      <c r="T471" s="596"/>
      <c r="U471" s="596"/>
      <c r="V471" s="596"/>
      <c r="W471" s="596"/>
      <c r="X471" s="596"/>
      <c r="Y471" s="596"/>
      <c r="Z471" s="596"/>
    </row>
    <row r="472" spans="1:26" ht="12.75" customHeight="1" x14ac:dyDescent="0.2">
      <c r="A472" s="596"/>
      <c r="B472" s="265"/>
      <c r="C472" s="596"/>
      <c r="D472" s="266"/>
      <c r="E472" s="605"/>
      <c r="F472" s="606"/>
      <c r="G472" s="605"/>
      <c r="H472" s="266"/>
      <c r="I472" s="266"/>
      <c r="J472" s="266"/>
      <c r="K472" s="266"/>
      <c r="L472" s="266"/>
      <c r="M472" s="267"/>
      <c r="N472" s="267"/>
      <c r="O472" s="596"/>
      <c r="P472" s="596"/>
      <c r="Q472" s="596"/>
      <c r="R472" s="596"/>
      <c r="S472" s="596"/>
      <c r="T472" s="596"/>
      <c r="U472" s="596"/>
      <c r="V472" s="596"/>
      <c r="W472" s="596"/>
      <c r="X472" s="596"/>
      <c r="Y472" s="596"/>
      <c r="Z472" s="596"/>
    </row>
    <row r="473" spans="1:26" ht="12.75" customHeight="1" x14ac:dyDescent="0.2">
      <c r="A473" s="596"/>
      <c r="B473" s="265"/>
      <c r="C473" s="596"/>
      <c r="D473" s="266"/>
      <c r="E473" s="605"/>
      <c r="F473" s="606"/>
      <c r="G473" s="605"/>
      <c r="H473" s="266"/>
      <c r="I473" s="266"/>
      <c r="J473" s="266"/>
      <c r="K473" s="266"/>
      <c r="L473" s="266"/>
      <c r="M473" s="267"/>
      <c r="N473" s="267"/>
      <c r="O473" s="596"/>
      <c r="P473" s="596"/>
      <c r="Q473" s="596"/>
      <c r="R473" s="596"/>
      <c r="S473" s="596"/>
      <c r="T473" s="596"/>
      <c r="U473" s="596"/>
      <c r="V473" s="596"/>
      <c r="W473" s="596"/>
      <c r="X473" s="596"/>
      <c r="Y473" s="596"/>
      <c r="Z473" s="596"/>
    </row>
    <row r="474" spans="1:26" ht="12.75" customHeight="1" x14ac:dyDescent="0.2">
      <c r="A474" s="596"/>
      <c r="B474" s="265"/>
      <c r="C474" s="596"/>
      <c r="D474" s="266"/>
      <c r="E474" s="605"/>
      <c r="F474" s="606"/>
      <c r="G474" s="605"/>
      <c r="H474" s="266"/>
      <c r="I474" s="266"/>
      <c r="J474" s="266"/>
      <c r="K474" s="266"/>
      <c r="L474" s="266"/>
      <c r="M474" s="267"/>
      <c r="N474" s="267"/>
      <c r="O474" s="596"/>
      <c r="P474" s="596"/>
      <c r="Q474" s="596"/>
      <c r="R474" s="596"/>
      <c r="S474" s="596"/>
      <c r="T474" s="596"/>
      <c r="U474" s="596"/>
      <c r="V474" s="596"/>
      <c r="W474" s="596"/>
      <c r="X474" s="596"/>
      <c r="Y474" s="596"/>
      <c r="Z474" s="596"/>
    </row>
    <row r="475" spans="1:26" ht="12.75" customHeight="1" x14ac:dyDescent="0.2">
      <c r="A475" s="596"/>
      <c r="B475" s="265"/>
      <c r="C475" s="596"/>
      <c r="D475" s="266"/>
      <c r="E475" s="605"/>
      <c r="F475" s="606"/>
      <c r="G475" s="605"/>
      <c r="H475" s="266"/>
      <c r="I475" s="266"/>
      <c r="J475" s="266"/>
      <c r="K475" s="266"/>
      <c r="L475" s="266"/>
      <c r="M475" s="267"/>
      <c r="N475" s="267"/>
      <c r="O475" s="596"/>
      <c r="P475" s="596"/>
      <c r="Q475" s="596"/>
      <c r="R475" s="596"/>
      <c r="S475" s="596"/>
      <c r="T475" s="596"/>
      <c r="U475" s="596"/>
      <c r="V475" s="596"/>
      <c r="W475" s="596"/>
      <c r="X475" s="596"/>
      <c r="Y475" s="596"/>
      <c r="Z475" s="596"/>
    </row>
    <row r="476" spans="1:26" ht="12.75" customHeight="1" x14ac:dyDescent="0.2">
      <c r="A476" s="596"/>
      <c r="B476" s="265"/>
      <c r="C476" s="596"/>
      <c r="D476" s="266"/>
      <c r="E476" s="605"/>
      <c r="F476" s="606"/>
      <c r="G476" s="605"/>
      <c r="H476" s="266"/>
      <c r="I476" s="266"/>
      <c r="J476" s="266"/>
      <c r="K476" s="266"/>
      <c r="L476" s="266"/>
      <c r="M476" s="267"/>
      <c r="N476" s="267"/>
      <c r="O476" s="596"/>
      <c r="P476" s="596"/>
      <c r="Q476" s="596"/>
      <c r="R476" s="596"/>
      <c r="S476" s="596"/>
      <c r="T476" s="596"/>
      <c r="U476" s="596"/>
      <c r="V476" s="596"/>
      <c r="W476" s="596"/>
      <c r="X476" s="596"/>
      <c r="Y476" s="596"/>
      <c r="Z476" s="596"/>
    </row>
    <row r="477" spans="1:26" ht="12.75" customHeight="1" x14ac:dyDescent="0.2">
      <c r="A477" s="596"/>
      <c r="B477" s="265"/>
      <c r="C477" s="596"/>
      <c r="D477" s="266"/>
      <c r="E477" s="605"/>
      <c r="F477" s="606"/>
      <c r="G477" s="605"/>
      <c r="H477" s="266"/>
      <c r="I477" s="266"/>
      <c r="J477" s="266"/>
      <c r="K477" s="266"/>
      <c r="L477" s="266"/>
      <c r="M477" s="267"/>
      <c r="N477" s="267"/>
      <c r="O477" s="596"/>
      <c r="P477" s="596"/>
      <c r="Q477" s="596"/>
      <c r="R477" s="596"/>
      <c r="S477" s="596"/>
      <c r="T477" s="596"/>
      <c r="U477" s="596"/>
      <c r="V477" s="596"/>
      <c r="W477" s="596"/>
      <c r="X477" s="596"/>
      <c r="Y477" s="596"/>
      <c r="Z477" s="596"/>
    </row>
    <row r="478" spans="1:26" ht="12.75" customHeight="1" x14ac:dyDescent="0.2">
      <c r="A478" s="596"/>
      <c r="B478" s="265"/>
      <c r="C478" s="596"/>
      <c r="D478" s="266"/>
      <c r="E478" s="605"/>
      <c r="F478" s="606"/>
      <c r="G478" s="605"/>
      <c r="H478" s="266"/>
      <c r="I478" s="266"/>
      <c r="J478" s="266"/>
      <c r="K478" s="266"/>
      <c r="L478" s="266"/>
      <c r="M478" s="267"/>
      <c r="N478" s="267"/>
      <c r="O478" s="596"/>
      <c r="P478" s="596"/>
      <c r="Q478" s="596"/>
      <c r="R478" s="596"/>
      <c r="S478" s="596"/>
      <c r="T478" s="596"/>
      <c r="U478" s="596"/>
      <c r="V478" s="596"/>
      <c r="W478" s="596"/>
      <c r="X478" s="596"/>
      <c r="Y478" s="596"/>
      <c r="Z478" s="596"/>
    </row>
    <row r="479" spans="1:26" ht="12.75" customHeight="1" x14ac:dyDescent="0.2">
      <c r="A479" s="596"/>
      <c r="B479" s="265"/>
      <c r="C479" s="596"/>
      <c r="D479" s="266"/>
      <c r="E479" s="605"/>
      <c r="F479" s="606"/>
      <c r="G479" s="605"/>
      <c r="H479" s="266"/>
      <c r="I479" s="266"/>
      <c r="J479" s="266"/>
      <c r="K479" s="266"/>
      <c r="L479" s="266"/>
      <c r="M479" s="267"/>
      <c r="N479" s="267"/>
      <c r="O479" s="596"/>
      <c r="P479" s="596"/>
      <c r="Q479" s="596"/>
      <c r="R479" s="596"/>
      <c r="S479" s="596"/>
      <c r="T479" s="596"/>
      <c r="U479" s="596"/>
      <c r="V479" s="596"/>
      <c r="W479" s="596"/>
      <c r="X479" s="596"/>
      <c r="Y479" s="596"/>
      <c r="Z479" s="596"/>
    </row>
    <row r="480" spans="1:26" ht="12.75" customHeight="1" x14ac:dyDescent="0.2">
      <c r="A480" s="596"/>
      <c r="B480" s="265"/>
      <c r="C480" s="596"/>
      <c r="D480" s="266"/>
      <c r="E480" s="605"/>
      <c r="F480" s="606"/>
      <c r="G480" s="605"/>
      <c r="H480" s="266"/>
      <c r="I480" s="266"/>
      <c r="J480" s="266"/>
      <c r="K480" s="266"/>
      <c r="L480" s="266"/>
      <c r="M480" s="267"/>
      <c r="N480" s="267"/>
      <c r="O480" s="596"/>
      <c r="P480" s="596"/>
      <c r="Q480" s="596"/>
      <c r="R480" s="596"/>
      <c r="S480" s="596"/>
      <c r="T480" s="596"/>
      <c r="U480" s="596"/>
      <c r="V480" s="596"/>
      <c r="W480" s="596"/>
      <c r="X480" s="596"/>
      <c r="Y480" s="596"/>
      <c r="Z480" s="596"/>
    </row>
    <row r="481" spans="1:26" ht="12.75" customHeight="1" x14ac:dyDescent="0.2">
      <c r="A481" s="596"/>
      <c r="B481" s="265"/>
      <c r="C481" s="596"/>
      <c r="D481" s="266"/>
      <c r="E481" s="605"/>
      <c r="F481" s="606"/>
      <c r="G481" s="605"/>
      <c r="H481" s="266"/>
      <c r="I481" s="266"/>
      <c r="J481" s="266"/>
      <c r="K481" s="266"/>
      <c r="L481" s="266"/>
      <c r="M481" s="267"/>
      <c r="N481" s="267"/>
      <c r="O481" s="596"/>
      <c r="P481" s="596"/>
      <c r="Q481" s="596"/>
      <c r="R481" s="596"/>
      <c r="S481" s="596"/>
      <c r="T481" s="596"/>
      <c r="U481" s="596"/>
      <c r="V481" s="596"/>
      <c r="W481" s="596"/>
      <c r="X481" s="596"/>
      <c r="Y481" s="596"/>
      <c r="Z481" s="596"/>
    </row>
    <row r="482" spans="1:26" ht="12.75" customHeight="1" x14ac:dyDescent="0.2">
      <c r="A482" s="596"/>
      <c r="B482" s="265"/>
      <c r="C482" s="596"/>
      <c r="D482" s="266"/>
      <c r="E482" s="605"/>
      <c r="F482" s="606"/>
      <c r="G482" s="605"/>
      <c r="H482" s="266"/>
      <c r="I482" s="266"/>
      <c r="J482" s="266"/>
      <c r="K482" s="266"/>
      <c r="L482" s="266"/>
      <c r="M482" s="267"/>
      <c r="N482" s="267"/>
      <c r="O482" s="596"/>
      <c r="P482" s="596"/>
      <c r="Q482" s="596"/>
      <c r="R482" s="596"/>
      <c r="S482" s="596"/>
      <c r="T482" s="596"/>
      <c r="U482" s="596"/>
      <c r="V482" s="596"/>
      <c r="W482" s="596"/>
      <c r="X482" s="596"/>
      <c r="Y482" s="596"/>
      <c r="Z482" s="596"/>
    </row>
    <row r="483" spans="1:26" ht="12.75" customHeight="1" x14ac:dyDescent="0.2">
      <c r="A483" s="596"/>
      <c r="B483" s="265"/>
      <c r="C483" s="596"/>
      <c r="D483" s="266"/>
      <c r="E483" s="605"/>
      <c r="F483" s="606"/>
      <c r="G483" s="605"/>
      <c r="H483" s="266"/>
      <c r="I483" s="266"/>
      <c r="J483" s="266"/>
      <c r="K483" s="266"/>
      <c r="L483" s="266"/>
      <c r="M483" s="267"/>
      <c r="N483" s="267"/>
      <c r="O483" s="596"/>
      <c r="P483" s="596"/>
      <c r="Q483" s="596"/>
      <c r="R483" s="596"/>
      <c r="S483" s="596"/>
      <c r="T483" s="596"/>
      <c r="U483" s="596"/>
      <c r="V483" s="596"/>
      <c r="W483" s="596"/>
      <c r="X483" s="596"/>
      <c r="Y483" s="596"/>
      <c r="Z483" s="596"/>
    </row>
    <row r="484" spans="1:26" ht="12.75" customHeight="1" x14ac:dyDescent="0.2">
      <c r="A484" s="596"/>
      <c r="B484" s="265"/>
      <c r="C484" s="596"/>
      <c r="D484" s="266"/>
      <c r="E484" s="605"/>
      <c r="F484" s="606"/>
      <c r="G484" s="605"/>
      <c r="H484" s="266"/>
      <c r="I484" s="266"/>
      <c r="J484" s="266"/>
      <c r="K484" s="266"/>
      <c r="L484" s="266"/>
      <c r="M484" s="267"/>
      <c r="N484" s="267"/>
      <c r="O484" s="596"/>
      <c r="P484" s="596"/>
      <c r="Q484" s="596"/>
      <c r="R484" s="596"/>
      <c r="S484" s="596"/>
      <c r="T484" s="596"/>
      <c r="U484" s="596"/>
      <c r="V484" s="596"/>
      <c r="W484" s="596"/>
      <c r="X484" s="596"/>
      <c r="Y484" s="596"/>
      <c r="Z484" s="596"/>
    </row>
    <row r="485" spans="1:26" ht="12.75" customHeight="1" x14ac:dyDescent="0.2">
      <c r="A485" s="596"/>
      <c r="B485" s="265"/>
      <c r="C485" s="596"/>
      <c r="D485" s="266"/>
      <c r="E485" s="605"/>
      <c r="F485" s="606"/>
      <c r="G485" s="605"/>
      <c r="H485" s="266"/>
      <c r="I485" s="266"/>
      <c r="J485" s="266"/>
      <c r="K485" s="266"/>
      <c r="L485" s="266"/>
      <c r="M485" s="267"/>
      <c r="N485" s="267"/>
      <c r="O485" s="596"/>
      <c r="P485" s="596"/>
      <c r="Q485" s="596"/>
      <c r="R485" s="596"/>
      <c r="S485" s="596"/>
      <c r="T485" s="596"/>
      <c r="U485" s="596"/>
      <c r="V485" s="596"/>
      <c r="W485" s="596"/>
      <c r="X485" s="596"/>
      <c r="Y485" s="596"/>
      <c r="Z485" s="596"/>
    </row>
    <row r="486" spans="1:26" ht="12.75" customHeight="1" x14ac:dyDescent="0.2">
      <c r="A486" s="596"/>
      <c r="B486" s="265"/>
      <c r="C486" s="596"/>
      <c r="D486" s="266"/>
      <c r="E486" s="605"/>
      <c r="F486" s="606"/>
      <c r="G486" s="605"/>
      <c r="H486" s="266"/>
      <c r="I486" s="266"/>
      <c r="J486" s="266"/>
      <c r="K486" s="266"/>
      <c r="L486" s="266"/>
      <c r="M486" s="267"/>
      <c r="N486" s="267"/>
      <c r="O486" s="596"/>
      <c r="P486" s="596"/>
      <c r="Q486" s="596"/>
      <c r="R486" s="596"/>
      <c r="S486" s="596"/>
      <c r="T486" s="596"/>
      <c r="U486" s="596"/>
      <c r="V486" s="596"/>
      <c r="W486" s="596"/>
      <c r="X486" s="596"/>
      <c r="Y486" s="596"/>
      <c r="Z486" s="596"/>
    </row>
    <row r="487" spans="1:26" ht="12.75" customHeight="1" x14ac:dyDescent="0.2">
      <c r="A487" s="596"/>
      <c r="B487" s="265"/>
      <c r="C487" s="596"/>
      <c r="D487" s="266"/>
      <c r="E487" s="605"/>
      <c r="F487" s="606"/>
      <c r="G487" s="605"/>
      <c r="H487" s="266"/>
      <c r="I487" s="266"/>
      <c r="J487" s="266"/>
      <c r="K487" s="266"/>
      <c r="L487" s="266"/>
      <c r="M487" s="267"/>
      <c r="N487" s="267"/>
      <c r="O487" s="596"/>
      <c r="P487" s="596"/>
      <c r="Q487" s="596"/>
      <c r="R487" s="596"/>
      <c r="S487" s="596"/>
      <c r="T487" s="596"/>
      <c r="U487" s="596"/>
      <c r="V487" s="596"/>
      <c r="W487" s="596"/>
      <c r="X487" s="596"/>
      <c r="Y487" s="596"/>
      <c r="Z487" s="596"/>
    </row>
    <row r="488" spans="1:26" ht="12.75" customHeight="1" x14ac:dyDescent="0.2">
      <c r="A488" s="596"/>
      <c r="B488" s="265"/>
      <c r="C488" s="596"/>
      <c r="D488" s="266"/>
      <c r="E488" s="605"/>
      <c r="F488" s="606"/>
      <c r="G488" s="605"/>
      <c r="H488" s="266"/>
      <c r="I488" s="266"/>
      <c r="J488" s="266"/>
      <c r="K488" s="266"/>
      <c r="L488" s="266"/>
      <c r="M488" s="267"/>
      <c r="N488" s="267"/>
      <c r="O488" s="596"/>
      <c r="P488" s="596"/>
      <c r="Q488" s="596"/>
      <c r="R488" s="596"/>
      <c r="S488" s="596"/>
      <c r="T488" s="596"/>
      <c r="U488" s="596"/>
      <c r="V488" s="596"/>
      <c r="W488" s="596"/>
      <c r="X488" s="596"/>
      <c r="Y488" s="596"/>
      <c r="Z488" s="596"/>
    </row>
    <row r="489" spans="1:26" ht="12.75" customHeight="1" x14ac:dyDescent="0.2">
      <c r="A489" s="596"/>
      <c r="B489" s="265"/>
      <c r="C489" s="596"/>
      <c r="D489" s="266"/>
      <c r="E489" s="605"/>
      <c r="F489" s="606"/>
      <c r="G489" s="605"/>
      <c r="H489" s="266"/>
      <c r="I489" s="266"/>
      <c r="J489" s="266"/>
      <c r="K489" s="266"/>
      <c r="L489" s="266"/>
      <c r="M489" s="267"/>
      <c r="N489" s="267"/>
      <c r="O489" s="596"/>
      <c r="P489" s="596"/>
      <c r="Q489" s="596"/>
      <c r="R489" s="596"/>
      <c r="S489" s="596"/>
      <c r="T489" s="596"/>
      <c r="U489" s="596"/>
      <c r="V489" s="596"/>
      <c r="W489" s="596"/>
      <c r="X489" s="596"/>
      <c r="Y489" s="596"/>
      <c r="Z489" s="596"/>
    </row>
    <row r="490" spans="1:26" ht="12.75" customHeight="1" x14ac:dyDescent="0.2">
      <c r="A490" s="596"/>
      <c r="B490" s="265"/>
      <c r="C490" s="596"/>
      <c r="D490" s="266"/>
      <c r="E490" s="605"/>
      <c r="F490" s="606"/>
      <c r="G490" s="605"/>
      <c r="H490" s="266"/>
      <c r="I490" s="266"/>
      <c r="J490" s="266"/>
      <c r="K490" s="266"/>
      <c r="L490" s="266"/>
      <c r="M490" s="267"/>
      <c r="N490" s="267"/>
      <c r="O490" s="596"/>
      <c r="P490" s="596"/>
      <c r="Q490" s="596"/>
      <c r="R490" s="596"/>
      <c r="S490" s="596"/>
      <c r="T490" s="596"/>
      <c r="U490" s="596"/>
      <c r="V490" s="596"/>
      <c r="W490" s="596"/>
      <c r="X490" s="596"/>
      <c r="Y490" s="596"/>
      <c r="Z490" s="596"/>
    </row>
    <row r="491" spans="1:26" ht="12.75" customHeight="1" x14ac:dyDescent="0.2">
      <c r="A491" s="596"/>
      <c r="B491" s="265"/>
      <c r="C491" s="596"/>
      <c r="D491" s="266"/>
      <c r="E491" s="605"/>
      <c r="F491" s="606"/>
      <c r="G491" s="605"/>
      <c r="H491" s="266"/>
      <c r="I491" s="266"/>
      <c r="J491" s="266"/>
      <c r="K491" s="266"/>
      <c r="L491" s="266"/>
      <c r="M491" s="267"/>
      <c r="N491" s="267"/>
      <c r="O491" s="596"/>
      <c r="P491" s="596"/>
      <c r="Q491" s="596"/>
      <c r="R491" s="596"/>
      <c r="S491" s="596"/>
      <c r="T491" s="596"/>
      <c r="U491" s="596"/>
      <c r="V491" s="596"/>
      <c r="W491" s="596"/>
      <c r="X491" s="596"/>
      <c r="Y491" s="596"/>
      <c r="Z491" s="596"/>
    </row>
    <row r="492" spans="1:26" ht="12.75" customHeight="1" x14ac:dyDescent="0.2">
      <c r="A492" s="596"/>
      <c r="B492" s="265"/>
      <c r="C492" s="596"/>
      <c r="D492" s="266"/>
      <c r="E492" s="605"/>
      <c r="F492" s="606"/>
      <c r="G492" s="605"/>
      <c r="H492" s="266"/>
      <c r="I492" s="266"/>
      <c r="J492" s="266"/>
      <c r="K492" s="266"/>
      <c r="L492" s="266"/>
      <c r="M492" s="267"/>
      <c r="N492" s="267"/>
      <c r="O492" s="596"/>
      <c r="P492" s="596"/>
      <c r="Q492" s="596"/>
      <c r="R492" s="596"/>
      <c r="S492" s="596"/>
      <c r="T492" s="596"/>
      <c r="U492" s="596"/>
      <c r="V492" s="596"/>
      <c r="W492" s="596"/>
      <c r="X492" s="596"/>
      <c r="Y492" s="596"/>
      <c r="Z492" s="596"/>
    </row>
    <row r="493" spans="1:26" ht="12.75" customHeight="1" x14ac:dyDescent="0.2">
      <c r="A493" s="596"/>
      <c r="B493" s="265"/>
      <c r="C493" s="596"/>
      <c r="D493" s="266"/>
      <c r="E493" s="605"/>
      <c r="F493" s="606"/>
      <c r="G493" s="605"/>
      <c r="H493" s="266"/>
      <c r="I493" s="266"/>
      <c r="J493" s="266"/>
      <c r="K493" s="266"/>
      <c r="L493" s="266"/>
      <c r="M493" s="267"/>
      <c r="N493" s="267"/>
      <c r="O493" s="596"/>
      <c r="P493" s="596"/>
      <c r="Q493" s="596"/>
      <c r="R493" s="596"/>
      <c r="S493" s="596"/>
      <c r="T493" s="596"/>
      <c r="U493" s="596"/>
      <c r="V493" s="596"/>
      <c r="W493" s="596"/>
      <c r="X493" s="596"/>
      <c r="Y493" s="596"/>
      <c r="Z493" s="596"/>
    </row>
    <row r="494" spans="1:26" ht="12.75" customHeight="1" x14ac:dyDescent="0.2">
      <c r="A494" s="596"/>
      <c r="B494" s="265"/>
      <c r="C494" s="596"/>
      <c r="D494" s="266"/>
      <c r="E494" s="605"/>
      <c r="F494" s="606"/>
      <c r="G494" s="605"/>
      <c r="H494" s="266"/>
      <c r="I494" s="266"/>
      <c r="J494" s="266"/>
      <c r="K494" s="266"/>
      <c r="L494" s="266"/>
      <c r="M494" s="267"/>
      <c r="N494" s="267"/>
      <c r="O494" s="596"/>
      <c r="P494" s="596"/>
      <c r="Q494" s="596"/>
      <c r="R494" s="596"/>
      <c r="S494" s="596"/>
      <c r="T494" s="596"/>
      <c r="U494" s="596"/>
      <c r="V494" s="596"/>
      <c r="W494" s="596"/>
      <c r="X494" s="596"/>
      <c r="Y494" s="596"/>
      <c r="Z494" s="596"/>
    </row>
    <row r="495" spans="1:26" ht="12.75" customHeight="1" x14ac:dyDescent="0.2">
      <c r="A495" s="596"/>
      <c r="B495" s="265"/>
      <c r="C495" s="596"/>
      <c r="D495" s="266"/>
      <c r="E495" s="605"/>
      <c r="F495" s="606"/>
      <c r="G495" s="605"/>
      <c r="H495" s="266"/>
      <c r="I495" s="266"/>
      <c r="J495" s="266"/>
      <c r="K495" s="266"/>
      <c r="L495" s="266"/>
      <c r="M495" s="267"/>
      <c r="N495" s="267"/>
      <c r="O495" s="596"/>
      <c r="P495" s="596"/>
      <c r="Q495" s="596"/>
      <c r="R495" s="596"/>
      <c r="S495" s="596"/>
      <c r="T495" s="596"/>
      <c r="U495" s="596"/>
      <c r="V495" s="596"/>
      <c r="W495" s="596"/>
      <c r="X495" s="596"/>
      <c r="Y495" s="596"/>
      <c r="Z495" s="596"/>
    </row>
    <row r="496" spans="1:26" ht="12.75" customHeight="1" x14ac:dyDescent="0.2">
      <c r="A496" s="596"/>
      <c r="B496" s="265"/>
      <c r="C496" s="596"/>
      <c r="D496" s="266"/>
      <c r="E496" s="605"/>
      <c r="F496" s="606"/>
      <c r="G496" s="605"/>
      <c r="H496" s="266"/>
      <c r="I496" s="266"/>
      <c r="J496" s="266"/>
      <c r="K496" s="266"/>
      <c r="L496" s="266"/>
      <c r="M496" s="267"/>
      <c r="N496" s="267"/>
      <c r="O496" s="596"/>
      <c r="P496" s="596"/>
      <c r="Q496" s="596"/>
      <c r="R496" s="596"/>
      <c r="S496" s="596"/>
      <c r="T496" s="596"/>
      <c r="U496" s="596"/>
      <c r="V496" s="596"/>
      <c r="W496" s="596"/>
      <c r="X496" s="596"/>
      <c r="Y496" s="596"/>
      <c r="Z496" s="596"/>
    </row>
    <row r="497" spans="1:26" ht="12.75" customHeight="1" x14ac:dyDescent="0.2">
      <c r="A497" s="596"/>
      <c r="B497" s="265"/>
      <c r="C497" s="596"/>
      <c r="D497" s="266"/>
      <c r="E497" s="605"/>
      <c r="F497" s="606"/>
      <c r="G497" s="605"/>
      <c r="H497" s="266"/>
      <c r="I497" s="266"/>
      <c r="J497" s="266"/>
      <c r="K497" s="266"/>
      <c r="L497" s="266"/>
      <c r="M497" s="267"/>
      <c r="N497" s="267"/>
      <c r="O497" s="596"/>
      <c r="P497" s="596"/>
      <c r="Q497" s="596"/>
      <c r="R497" s="596"/>
      <c r="S497" s="596"/>
      <c r="T497" s="596"/>
      <c r="U497" s="596"/>
      <c r="V497" s="596"/>
      <c r="W497" s="596"/>
      <c r="X497" s="596"/>
      <c r="Y497" s="596"/>
      <c r="Z497" s="596"/>
    </row>
    <row r="498" spans="1:26" ht="12.75" customHeight="1" x14ac:dyDescent="0.2">
      <c r="A498" s="596"/>
      <c r="B498" s="265"/>
      <c r="C498" s="596"/>
      <c r="D498" s="266"/>
      <c r="E498" s="605"/>
      <c r="F498" s="606"/>
      <c r="G498" s="605"/>
      <c r="H498" s="266"/>
      <c r="I498" s="266"/>
      <c r="J498" s="266"/>
      <c r="K498" s="266"/>
      <c r="L498" s="266"/>
      <c r="M498" s="267"/>
      <c r="N498" s="267"/>
      <c r="O498" s="596"/>
      <c r="P498" s="596"/>
      <c r="Q498" s="596"/>
      <c r="R498" s="596"/>
      <c r="S498" s="596"/>
      <c r="T498" s="596"/>
      <c r="U498" s="596"/>
      <c r="V498" s="596"/>
      <c r="W498" s="596"/>
      <c r="X498" s="596"/>
      <c r="Y498" s="596"/>
      <c r="Z498" s="596"/>
    </row>
    <row r="499" spans="1:26" ht="12.75" customHeight="1" x14ac:dyDescent="0.2">
      <c r="A499" s="596"/>
      <c r="B499" s="265"/>
      <c r="C499" s="596"/>
      <c r="D499" s="266"/>
      <c r="E499" s="605"/>
      <c r="F499" s="606"/>
      <c r="G499" s="605"/>
      <c r="H499" s="266"/>
      <c r="I499" s="266"/>
      <c r="J499" s="266"/>
      <c r="K499" s="266"/>
      <c r="L499" s="266"/>
      <c r="M499" s="267"/>
      <c r="N499" s="267"/>
      <c r="O499" s="596"/>
      <c r="P499" s="596"/>
      <c r="Q499" s="596"/>
      <c r="R499" s="596"/>
      <c r="S499" s="596"/>
      <c r="T499" s="596"/>
      <c r="U499" s="596"/>
      <c r="V499" s="596"/>
      <c r="W499" s="596"/>
      <c r="X499" s="596"/>
      <c r="Y499" s="596"/>
      <c r="Z499" s="596"/>
    </row>
    <row r="500" spans="1:26" ht="12.75" customHeight="1" x14ac:dyDescent="0.2">
      <c r="A500" s="596"/>
      <c r="B500" s="265"/>
      <c r="C500" s="596"/>
      <c r="D500" s="266"/>
      <c r="E500" s="605"/>
      <c r="F500" s="606"/>
      <c r="G500" s="605"/>
      <c r="H500" s="266"/>
      <c r="I500" s="266"/>
      <c r="J500" s="266"/>
      <c r="K500" s="266"/>
      <c r="L500" s="266"/>
      <c r="M500" s="267"/>
      <c r="N500" s="267"/>
      <c r="O500" s="596"/>
      <c r="P500" s="596"/>
      <c r="Q500" s="596"/>
      <c r="R500" s="596"/>
      <c r="S500" s="596"/>
      <c r="T500" s="596"/>
      <c r="U500" s="596"/>
      <c r="V500" s="596"/>
      <c r="W500" s="596"/>
      <c r="X500" s="596"/>
      <c r="Y500" s="596"/>
      <c r="Z500" s="596"/>
    </row>
    <row r="501" spans="1:26" ht="12.75" customHeight="1" x14ac:dyDescent="0.2">
      <c r="A501" s="596"/>
      <c r="B501" s="265"/>
      <c r="C501" s="596"/>
      <c r="D501" s="266"/>
      <c r="E501" s="605"/>
      <c r="F501" s="606"/>
      <c r="G501" s="605"/>
      <c r="H501" s="266"/>
      <c r="I501" s="266"/>
      <c r="J501" s="266"/>
      <c r="K501" s="266"/>
      <c r="L501" s="266"/>
      <c r="M501" s="267"/>
      <c r="N501" s="267"/>
      <c r="O501" s="596"/>
      <c r="P501" s="596"/>
      <c r="Q501" s="596"/>
      <c r="R501" s="596"/>
      <c r="S501" s="596"/>
      <c r="T501" s="596"/>
      <c r="U501" s="596"/>
      <c r="V501" s="596"/>
      <c r="W501" s="596"/>
      <c r="X501" s="596"/>
      <c r="Y501" s="596"/>
      <c r="Z501" s="596"/>
    </row>
    <row r="502" spans="1:26" ht="12.75" customHeight="1" x14ac:dyDescent="0.2">
      <c r="A502" s="596"/>
      <c r="B502" s="265"/>
      <c r="C502" s="596"/>
      <c r="D502" s="266"/>
      <c r="E502" s="605"/>
      <c r="F502" s="606"/>
      <c r="G502" s="605"/>
      <c r="H502" s="266"/>
      <c r="I502" s="266"/>
      <c r="J502" s="266"/>
      <c r="K502" s="266"/>
      <c r="L502" s="266"/>
      <c r="M502" s="267"/>
      <c r="N502" s="267"/>
      <c r="O502" s="596"/>
      <c r="P502" s="596"/>
      <c r="Q502" s="596"/>
      <c r="R502" s="596"/>
      <c r="S502" s="596"/>
      <c r="T502" s="596"/>
      <c r="U502" s="596"/>
      <c r="V502" s="596"/>
      <c r="W502" s="596"/>
      <c r="X502" s="596"/>
      <c r="Y502" s="596"/>
      <c r="Z502" s="596"/>
    </row>
    <row r="503" spans="1:26" ht="12.75" customHeight="1" x14ac:dyDescent="0.2">
      <c r="A503" s="596"/>
      <c r="B503" s="265"/>
      <c r="C503" s="596"/>
      <c r="D503" s="266"/>
      <c r="E503" s="605"/>
      <c r="F503" s="606"/>
      <c r="G503" s="605"/>
      <c r="H503" s="266"/>
      <c r="I503" s="266"/>
      <c r="J503" s="266"/>
      <c r="K503" s="266"/>
      <c r="L503" s="266"/>
      <c r="M503" s="267"/>
      <c r="N503" s="267"/>
      <c r="O503" s="596"/>
      <c r="P503" s="596"/>
      <c r="Q503" s="596"/>
      <c r="R503" s="596"/>
      <c r="S503" s="596"/>
      <c r="T503" s="596"/>
      <c r="U503" s="596"/>
      <c r="V503" s="596"/>
      <c r="W503" s="596"/>
      <c r="X503" s="596"/>
      <c r="Y503" s="596"/>
      <c r="Z503" s="596"/>
    </row>
    <row r="504" spans="1:26" ht="12.75" customHeight="1" x14ac:dyDescent="0.2">
      <c r="A504" s="596"/>
      <c r="B504" s="265"/>
      <c r="C504" s="596"/>
      <c r="D504" s="266"/>
      <c r="E504" s="605"/>
      <c r="F504" s="606"/>
      <c r="G504" s="605"/>
      <c r="H504" s="266"/>
      <c r="I504" s="266"/>
      <c r="J504" s="266"/>
      <c r="K504" s="266"/>
      <c r="L504" s="266"/>
      <c r="M504" s="267"/>
      <c r="N504" s="267"/>
      <c r="O504" s="596"/>
      <c r="P504" s="596"/>
      <c r="Q504" s="596"/>
      <c r="R504" s="596"/>
      <c r="S504" s="596"/>
      <c r="T504" s="596"/>
      <c r="U504" s="596"/>
      <c r="V504" s="596"/>
      <c r="W504" s="596"/>
      <c r="X504" s="596"/>
      <c r="Y504" s="596"/>
      <c r="Z504" s="596"/>
    </row>
    <row r="505" spans="1:26" ht="12.75" customHeight="1" x14ac:dyDescent="0.2">
      <c r="A505" s="596"/>
      <c r="B505" s="265"/>
      <c r="C505" s="596"/>
      <c r="D505" s="266"/>
      <c r="E505" s="605"/>
      <c r="F505" s="606"/>
      <c r="G505" s="605"/>
      <c r="H505" s="266"/>
      <c r="I505" s="266"/>
      <c r="J505" s="266"/>
      <c r="K505" s="266"/>
      <c r="L505" s="266"/>
      <c r="M505" s="267"/>
      <c r="N505" s="267"/>
      <c r="O505" s="596"/>
      <c r="P505" s="596"/>
      <c r="Q505" s="596"/>
      <c r="R505" s="596"/>
      <c r="S505" s="596"/>
      <c r="T505" s="596"/>
      <c r="U505" s="596"/>
      <c r="V505" s="596"/>
      <c r="W505" s="596"/>
      <c r="X505" s="596"/>
      <c r="Y505" s="596"/>
      <c r="Z505" s="596"/>
    </row>
    <row r="506" spans="1:26" ht="12.75" customHeight="1" x14ac:dyDescent="0.2">
      <c r="A506" s="596"/>
      <c r="B506" s="265"/>
      <c r="C506" s="596"/>
      <c r="D506" s="266"/>
      <c r="E506" s="605"/>
      <c r="F506" s="606"/>
      <c r="G506" s="605"/>
      <c r="H506" s="266"/>
      <c r="I506" s="266"/>
      <c r="J506" s="266"/>
      <c r="K506" s="266"/>
      <c r="L506" s="266"/>
      <c r="M506" s="267"/>
      <c r="N506" s="267"/>
      <c r="O506" s="596"/>
      <c r="P506" s="596"/>
      <c r="Q506" s="596"/>
      <c r="R506" s="596"/>
      <c r="S506" s="596"/>
      <c r="T506" s="596"/>
      <c r="U506" s="596"/>
      <c r="V506" s="596"/>
      <c r="W506" s="596"/>
      <c r="X506" s="596"/>
      <c r="Y506" s="596"/>
      <c r="Z506" s="596"/>
    </row>
    <row r="507" spans="1:26" ht="12.75" customHeight="1" x14ac:dyDescent="0.2">
      <c r="A507" s="596"/>
      <c r="B507" s="265"/>
      <c r="C507" s="596"/>
      <c r="D507" s="266"/>
      <c r="E507" s="605"/>
      <c r="F507" s="606"/>
      <c r="G507" s="605"/>
      <c r="H507" s="266"/>
      <c r="I507" s="266"/>
      <c r="J507" s="266"/>
      <c r="K507" s="266"/>
      <c r="L507" s="266"/>
      <c r="M507" s="267"/>
      <c r="N507" s="267"/>
      <c r="O507" s="596"/>
      <c r="P507" s="596"/>
      <c r="Q507" s="596"/>
      <c r="R507" s="596"/>
      <c r="S507" s="596"/>
      <c r="T507" s="596"/>
      <c r="U507" s="596"/>
      <c r="V507" s="596"/>
      <c r="W507" s="596"/>
      <c r="X507" s="596"/>
      <c r="Y507" s="596"/>
      <c r="Z507" s="596"/>
    </row>
    <row r="508" spans="1:26" ht="12.75" customHeight="1" x14ac:dyDescent="0.2">
      <c r="A508" s="596"/>
      <c r="B508" s="265"/>
      <c r="C508" s="596"/>
      <c r="D508" s="266"/>
      <c r="E508" s="605"/>
      <c r="F508" s="606"/>
      <c r="G508" s="605"/>
      <c r="H508" s="266"/>
      <c r="I508" s="266"/>
      <c r="J508" s="266"/>
      <c r="K508" s="266"/>
      <c r="L508" s="266"/>
      <c r="M508" s="267"/>
      <c r="N508" s="267"/>
      <c r="O508" s="596"/>
      <c r="P508" s="596"/>
      <c r="Q508" s="596"/>
      <c r="R508" s="596"/>
      <c r="S508" s="596"/>
      <c r="T508" s="596"/>
      <c r="U508" s="596"/>
      <c r="V508" s="596"/>
      <c r="W508" s="596"/>
      <c r="X508" s="596"/>
      <c r="Y508" s="596"/>
      <c r="Z508" s="596"/>
    </row>
    <row r="509" spans="1:26" ht="12.75" customHeight="1" x14ac:dyDescent="0.2">
      <c r="A509" s="596"/>
      <c r="B509" s="265"/>
      <c r="C509" s="596"/>
      <c r="D509" s="266"/>
      <c r="E509" s="605"/>
      <c r="F509" s="606"/>
      <c r="G509" s="605"/>
      <c r="H509" s="266"/>
      <c r="I509" s="266"/>
      <c r="J509" s="266"/>
      <c r="K509" s="266"/>
      <c r="L509" s="266"/>
      <c r="M509" s="267"/>
      <c r="N509" s="267"/>
      <c r="O509" s="596"/>
      <c r="P509" s="596"/>
      <c r="Q509" s="596"/>
      <c r="R509" s="596"/>
      <c r="S509" s="596"/>
      <c r="T509" s="596"/>
      <c r="U509" s="596"/>
      <c r="V509" s="596"/>
      <c r="W509" s="596"/>
      <c r="X509" s="596"/>
      <c r="Y509" s="596"/>
      <c r="Z509" s="596"/>
    </row>
    <row r="510" spans="1:26" ht="12.75" customHeight="1" x14ac:dyDescent="0.2">
      <c r="A510" s="596"/>
      <c r="B510" s="265"/>
      <c r="C510" s="596"/>
      <c r="D510" s="266"/>
      <c r="E510" s="605"/>
      <c r="F510" s="606"/>
      <c r="G510" s="605"/>
      <c r="H510" s="266"/>
      <c r="I510" s="266"/>
      <c r="J510" s="266"/>
      <c r="K510" s="266"/>
      <c r="L510" s="266"/>
      <c r="M510" s="267"/>
      <c r="N510" s="267"/>
      <c r="O510" s="596"/>
      <c r="P510" s="596"/>
      <c r="Q510" s="596"/>
      <c r="R510" s="596"/>
      <c r="S510" s="596"/>
      <c r="T510" s="596"/>
      <c r="U510" s="596"/>
      <c r="V510" s="596"/>
      <c r="W510" s="596"/>
      <c r="X510" s="596"/>
      <c r="Y510" s="596"/>
      <c r="Z510" s="596"/>
    </row>
    <row r="511" spans="1:26" ht="12.75" customHeight="1" x14ac:dyDescent="0.2">
      <c r="A511" s="596"/>
      <c r="B511" s="265"/>
      <c r="C511" s="596"/>
      <c r="D511" s="266"/>
      <c r="E511" s="605"/>
      <c r="F511" s="606"/>
      <c r="G511" s="605"/>
      <c r="H511" s="266"/>
      <c r="I511" s="266"/>
      <c r="J511" s="266"/>
      <c r="K511" s="266"/>
      <c r="L511" s="266"/>
      <c r="M511" s="267"/>
      <c r="N511" s="267"/>
      <c r="O511" s="596"/>
      <c r="P511" s="596"/>
      <c r="Q511" s="596"/>
      <c r="R511" s="596"/>
      <c r="S511" s="596"/>
      <c r="T511" s="596"/>
      <c r="U511" s="596"/>
      <c r="V511" s="596"/>
      <c r="W511" s="596"/>
      <c r="X511" s="596"/>
      <c r="Y511" s="596"/>
      <c r="Z511" s="596"/>
    </row>
    <row r="512" spans="1:26" ht="12.75" customHeight="1" x14ac:dyDescent="0.2">
      <c r="A512" s="596"/>
      <c r="B512" s="265"/>
      <c r="C512" s="596"/>
      <c r="D512" s="266"/>
      <c r="E512" s="605"/>
      <c r="F512" s="606"/>
      <c r="G512" s="605"/>
      <c r="H512" s="266"/>
      <c r="I512" s="266"/>
      <c r="J512" s="266"/>
      <c r="K512" s="266"/>
      <c r="L512" s="266"/>
      <c r="M512" s="267"/>
      <c r="N512" s="267"/>
      <c r="O512" s="596"/>
      <c r="P512" s="596"/>
      <c r="Q512" s="596"/>
      <c r="R512" s="596"/>
      <c r="S512" s="596"/>
      <c r="T512" s="596"/>
      <c r="U512" s="596"/>
      <c r="V512" s="596"/>
      <c r="W512" s="596"/>
      <c r="X512" s="596"/>
      <c r="Y512" s="596"/>
      <c r="Z512" s="596"/>
    </row>
    <row r="513" spans="1:26" ht="12.75" customHeight="1" x14ac:dyDescent="0.2">
      <c r="A513" s="596"/>
      <c r="B513" s="265"/>
      <c r="C513" s="596"/>
      <c r="D513" s="266"/>
      <c r="E513" s="605"/>
      <c r="F513" s="606"/>
      <c r="G513" s="605"/>
      <c r="H513" s="266"/>
      <c r="I513" s="266"/>
      <c r="J513" s="266"/>
      <c r="K513" s="266"/>
      <c r="L513" s="266"/>
      <c r="M513" s="267"/>
      <c r="N513" s="267"/>
      <c r="O513" s="596"/>
      <c r="P513" s="596"/>
      <c r="Q513" s="596"/>
      <c r="R513" s="596"/>
      <c r="S513" s="596"/>
      <c r="T513" s="596"/>
      <c r="U513" s="596"/>
      <c r="V513" s="596"/>
      <c r="W513" s="596"/>
      <c r="X513" s="596"/>
      <c r="Y513" s="596"/>
      <c r="Z513" s="596"/>
    </row>
    <row r="514" spans="1:26" ht="12.75" customHeight="1" x14ac:dyDescent="0.2">
      <c r="A514" s="596"/>
      <c r="B514" s="265"/>
      <c r="C514" s="596"/>
      <c r="D514" s="266"/>
      <c r="E514" s="605"/>
      <c r="F514" s="606"/>
      <c r="G514" s="605"/>
      <c r="H514" s="266"/>
      <c r="I514" s="266"/>
      <c r="J514" s="266"/>
      <c r="K514" s="266"/>
      <c r="L514" s="266"/>
      <c r="M514" s="267"/>
      <c r="N514" s="267"/>
      <c r="O514" s="596"/>
      <c r="P514" s="596"/>
      <c r="Q514" s="596"/>
      <c r="R514" s="596"/>
      <c r="S514" s="596"/>
      <c r="T514" s="596"/>
      <c r="U514" s="596"/>
      <c r="V514" s="596"/>
      <c r="W514" s="596"/>
      <c r="X514" s="596"/>
      <c r="Y514" s="596"/>
      <c r="Z514" s="596"/>
    </row>
    <row r="515" spans="1:26" ht="12.75" customHeight="1" x14ac:dyDescent="0.2">
      <c r="A515" s="596"/>
      <c r="B515" s="265"/>
      <c r="C515" s="596"/>
      <c r="D515" s="266"/>
      <c r="E515" s="605"/>
      <c r="F515" s="606"/>
      <c r="G515" s="605"/>
      <c r="H515" s="266"/>
      <c r="I515" s="266"/>
      <c r="J515" s="266"/>
      <c r="K515" s="266"/>
      <c r="L515" s="266"/>
      <c r="M515" s="267"/>
      <c r="N515" s="267"/>
      <c r="O515" s="596"/>
      <c r="P515" s="596"/>
      <c r="Q515" s="596"/>
      <c r="R515" s="596"/>
      <c r="S515" s="596"/>
      <c r="T515" s="596"/>
      <c r="U515" s="596"/>
      <c r="V515" s="596"/>
      <c r="W515" s="596"/>
      <c r="X515" s="596"/>
      <c r="Y515" s="596"/>
      <c r="Z515" s="596"/>
    </row>
    <row r="516" spans="1:26" ht="12.75" customHeight="1" x14ac:dyDescent="0.2">
      <c r="A516" s="596"/>
      <c r="B516" s="265"/>
      <c r="C516" s="596"/>
      <c r="D516" s="266"/>
      <c r="E516" s="605"/>
      <c r="F516" s="606"/>
      <c r="G516" s="605"/>
      <c r="H516" s="266"/>
      <c r="I516" s="266"/>
      <c r="J516" s="266"/>
      <c r="K516" s="266"/>
      <c r="L516" s="266"/>
      <c r="M516" s="267"/>
      <c r="N516" s="267"/>
      <c r="O516" s="596"/>
      <c r="P516" s="596"/>
      <c r="Q516" s="596"/>
      <c r="R516" s="596"/>
      <c r="S516" s="596"/>
      <c r="T516" s="596"/>
      <c r="U516" s="596"/>
      <c r="V516" s="596"/>
      <c r="W516" s="596"/>
      <c r="X516" s="596"/>
      <c r="Y516" s="596"/>
      <c r="Z516" s="596"/>
    </row>
    <row r="517" spans="1:26" ht="15.75" customHeight="1" x14ac:dyDescent="0.2"/>
    <row r="518" spans="1:26" ht="15.75" customHeight="1" x14ac:dyDescent="0.2"/>
    <row r="519" spans="1:26" ht="15.75" customHeight="1" x14ac:dyDescent="0.2"/>
    <row r="520" spans="1:26" ht="15.75" customHeight="1" x14ac:dyDescent="0.2"/>
    <row r="521" spans="1:26" ht="15.75" customHeight="1" x14ac:dyDescent="0.2"/>
    <row r="522" spans="1:26" ht="15.75" customHeight="1" x14ac:dyDescent="0.2"/>
    <row r="523" spans="1:26" ht="15.75" customHeight="1" x14ac:dyDescent="0.2"/>
    <row r="524" spans="1:26" ht="15.75" customHeight="1" x14ac:dyDescent="0.2"/>
    <row r="525" spans="1:26" ht="15.75" customHeight="1" x14ac:dyDescent="0.2"/>
    <row r="526" spans="1:26" ht="15.75" customHeight="1" x14ac:dyDescent="0.2"/>
    <row r="527" spans="1:26" ht="15.75" customHeight="1" x14ac:dyDescent="0.2"/>
    <row r="528" spans="1:26"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sheetData>
  <autoFilter ref="B4:N316"/>
  <mergeCells count="4">
    <mergeCell ref="A1:H1"/>
    <mergeCell ref="A2:H2"/>
    <mergeCell ref="A3:H3"/>
    <mergeCell ref="A315:D315"/>
  </mergeCells>
  <dataValidations count="8">
    <dataValidation type="date" allowBlank="1" showErrorMessage="1" sqref="B101 B104 B246:B255 B261 B264:B273 B151:B162 B310 B312:B313">
      <formula1>40544</formula1>
      <formula2>44561</formula2>
    </dataValidation>
    <dataValidation type="list" allowBlank="1" showErrorMessage="1" sqref="G104 G89 G53:G59 G41:G42">
      <formula1>$B$6:$B$12</formula1>
    </dataValidation>
    <dataValidation type="list" allowBlank="1" showErrorMessage="1" sqref="D104 D100:D101 D246:D255 D89 D259:D261 D92 D273 D151 D310">
      <formula1>INDIRECT($R89)</formula1>
    </dataValidation>
    <dataValidation type="list" allowBlank="1" showErrorMessage="1" sqref="D90:D91 D93:D99 D102:D103 D274:D309 D262:D272 D256:D258 D152:D245 D105:D150 D20:D88 D5:D13 D311:D313">
      <formula1>INDIRECT($Q5)</formula1>
    </dataValidation>
    <dataValidation type="list" allowBlank="1" showErrorMessage="1" sqref="D19">
      <formula1>INDIRECT($Q18)</formula1>
    </dataValidation>
    <dataValidation type="list" allowBlank="1" showErrorMessage="1" sqref="D14:D16">
      <formula1>INDIRECT(#REF!)</formula1>
    </dataValidation>
    <dataValidation type="list" allowBlank="1" showErrorMessage="1" sqref="D17:D18">
      <formula1>INDIRECT($Q13)</formula1>
    </dataValidation>
    <dataValidation type="list" allowBlank="1" showErrorMessage="1" sqref="C5:C313">
      <formula1>Categorias</formula1>
    </dataValidation>
  </dataValidations>
  <pageMargins left="0.19685039370078741" right="0.19685039370078741" top="0.59055118110236227" bottom="0.59055118110236227" header="0" footer="0"/>
  <pageSetup paperSize="9" scale="59" fitToHeight="0" pageOrder="overThenDown" orientation="portrait"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'Gasto das Atividades'!$B$6:$B$28</xm:f>
          </x14:formula1>
          <xm:sqref>G43:G52 G60:G88 G90:G103 G5:G40 G105:G313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634"/>
  <sheetViews>
    <sheetView workbookViewId="0">
      <pane xSplit="6" ySplit="4" topLeftCell="G5" activePane="bottomRight" state="frozen"/>
      <selection pane="topRight" activeCell="G1" sqref="G1"/>
      <selection pane="bottomLeft" activeCell="A5" sqref="A5"/>
      <selection pane="bottomRight" activeCell="G7" sqref="G7"/>
    </sheetView>
  </sheetViews>
  <sheetFormatPr defaultColWidth="14.42578125" defaultRowHeight="15" customHeight="1" x14ac:dyDescent="0.2"/>
  <cols>
    <col min="1" max="1" width="5.7109375" customWidth="1"/>
    <col min="2" max="2" width="10.5703125" customWidth="1"/>
    <col min="3" max="3" width="7.7109375" customWidth="1"/>
    <col min="4" max="4" width="15.42578125" customWidth="1"/>
    <col min="5" max="5" width="23.5703125" customWidth="1"/>
    <col min="6" max="6" width="14.28515625" customWidth="1"/>
    <col min="7" max="7" width="39.140625" customWidth="1"/>
    <col min="8" max="8" width="25.28515625" customWidth="1"/>
    <col min="9" max="9" width="23.85546875" customWidth="1"/>
    <col min="10" max="10" width="17" customWidth="1"/>
    <col min="11" max="11" width="17.28515625" customWidth="1"/>
    <col min="12" max="12" width="14.7109375" customWidth="1"/>
    <col min="13" max="13" width="16.85546875" customWidth="1"/>
    <col min="14" max="14" width="13.42578125" customWidth="1"/>
    <col min="15" max="15" width="22.7109375" customWidth="1"/>
    <col min="16" max="17" width="7.42578125" customWidth="1"/>
    <col min="18" max="18" width="23.7109375" customWidth="1"/>
    <col min="19" max="19" width="9.140625" customWidth="1"/>
    <col min="20" max="20" width="10.42578125" customWidth="1"/>
    <col min="21" max="21" width="10.85546875" customWidth="1"/>
    <col min="22" max="22" width="8.28515625" hidden="1" customWidth="1"/>
    <col min="23" max="23" width="9.140625" customWidth="1"/>
  </cols>
  <sheetData>
    <row r="1" spans="1:23" ht="31.5" customHeight="1" x14ac:dyDescent="0.2">
      <c r="A1" s="709"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6"/>
      <c r="O1" s="324"/>
      <c r="P1" s="268">
        <f>IF(Resumo!$C$5="","",MONTH(Resumo!$C$5))</f>
        <v>1</v>
      </c>
      <c r="Q1" s="268">
        <f>YEAR(Resumo!$C$5)</f>
        <v>2021</v>
      </c>
      <c r="R1" s="269"/>
      <c r="S1" s="269"/>
      <c r="T1" s="269"/>
      <c r="U1" s="269"/>
      <c r="V1" s="269"/>
      <c r="W1" s="269"/>
    </row>
    <row r="2" spans="1:23" ht="19.5" customHeight="1" x14ac:dyDescent="0.2">
      <c r="A2" s="709" t="str">
        <f>Capa!A3</f>
        <v>8º Relatório Gerencial Financeiro</v>
      </c>
      <c r="B2" s="695"/>
      <c r="C2" s="695"/>
      <c r="D2" s="695"/>
      <c r="E2" s="695"/>
      <c r="F2" s="695"/>
      <c r="G2" s="695"/>
      <c r="H2" s="695"/>
      <c r="I2" s="695"/>
      <c r="J2" s="695"/>
      <c r="K2" s="695"/>
      <c r="L2" s="695"/>
      <c r="M2" s="695"/>
      <c r="N2" s="696"/>
      <c r="O2" s="324"/>
      <c r="P2" s="270"/>
      <c r="Q2" s="270"/>
      <c r="R2" s="269"/>
      <c r="S2" s="269"/>
      <c r="T2" s="269"/>
      <c r="U2" s="269"/>
      <c r="V2" s="269"/>
      <c r="W2" s="269"/>
    </row>
    <row r="3" spans="1:23" ht="19.5" customHeight="1" x14ac:dyDescent="0.2">
      <c r="A3" s="735" t="s">
        <v>2468</v>
      </c>
      <c r="B3" s="695"/>
      <c r="C3" s="695"/>
      <c r="D3" s="695"/>
      <c r="E3" s="695"/>
      <c r="F3" s="695"/>
      <c r="G3" s="695"/>
      <c r="H3" s="695"/>
      <c r="I3" s="695"/>
      <c r="J3" s="695"/>
      <c r="K3" s="695"/>
      <c r="L3" s="695"/>
      <c r="M3" s="695"/>
      <c r="N3" s="696"/>
      <c r="O3" s="325"/>
      <c r="P3" s="271"/>
      <c r="Q3" s="271"/>
      <c r="R3" s="269"/>
      <c r="S3" s="269"/>
      <c r="T3" s="269"/>
      <c r="U3" s="269"/>
      <c r="V3" s="269"/>
      <c r="W3" s="269"/>
    </row>
    <row r="4" spans="1:23" ht="50.25" customHeight="1" x14ac:dyDescent="0.2">
      <c r="A4" s="375" t="s">
        <v>938</v>
      </c>
      <c r="B4" s="375" t="s">
        <v>939</v>
      </c>
      <c r="C4" s="376" t="s">
        <v>430</v>
      </c>
      <c r="D4" s="375" t="s">
        <v>419</v>
      </c>
      <c r="E4" s="377" t="s">
        <v>420</v>
      </c>
      <c r="F4" s="377" t="s">
        <v>940</v>
      </c>
      <c r="G4" s="377" t="s">
        <v>421</v>
      </c>
      <c r="H4" s="377" t="s">
        <v>422</v>
      </c>
      <c r="I4" s="378" t="s">
        <v>423</v>
      </c>
      <c r="J4" s="377" t="s">
        <v>941</v>
      </c>
      <c r="K4" s="377" t="s">
        <v>425</v>
      </c>
      <c r="L4" s="378" t="s">
        <v>942</v>
      </c>
      <c r="M4" s="379" t="s">
        <v>427</v>
      </c>
      <c r="N4" s="380" t="s">
        <v>428</v>
      </c>
      <c r="O4" s="377" t="s">
        <v>977</v>
      </c>
      <c r="P4" s="381" t="s">
        <v>943</v>
      </c>
      <c r="Q4" s="382" t="s">
        <v>978</v>
      </c>
      <c r="R4" s="382" t="s">
        <v>419</v>
      </c>
      <c r="S4" s="383"/>
      <c r="T4" s="384" t="s">
        <v>979</v>
      </c>
      <c r="U4" s="384" t="s">
        <v>980</v>
      </c>
      <c r="V4" s="385" t="s">
        <v>981</v>
      </c>
      <c r="W4" s="276"/>
    </row>
    <row r="5" spans="1:23" ht="56.25" customHeight="1" x14ac:dyDescent="0.2">
      <c r="A5" s="277">
        <f t="shared" ref="A5:A2634" si="0">IF(B5="","",ROW()-4)</f>
        <v>1</v>
      </c>
      <c r="B5" s="278">
        <v>44200</v>
      </c>
      <c r="C5" s="256">
        <v>44166</v>
      </c>
      <c r="D5" s="255" t="s">
        <v>99</v>
      </c>
      <c r="E5" s="255" t="s">
        <v>216</v>
      </c>
      <c r="F5" s="258">
        <v>-3.99</v>
      </c>
      <c r="G5" s="255" t="s">
        <v>2469</v>
      </c>
      <c r="H5" s="255" t="s">
        <v>129</v>
      </c>
      <c r="I5" s="250" t="s">
        <v>983</v>
      </c>
      <c r="J5" s="255" t="s">
        <v>850</v>
      </c>
      <c r="K5" s="255" t="s">
        <v>946</v>
      </c>
      <c r="L5" s="250" t="s">
        <v>947</v>
      </c>
      <c r="M5" s="255" t="s">
        <v>114</v>
      </c>
      <c r="N5" s="278">
        <v>44200</v>
      </c>
      <c r="O5" s="329" t="s">
        <v>67</v>
      </c>
      <c r="P5" s="386">
        <f t="shared" ref="P5:Q5" si="1">IF(B5=0,0,IF(YEAR(B5)=$Q$1,MONTH(B5)-$P$1+1,(YEAR(B5)-$Q$1)*12-$P$1+1+MONTH(B5)))</f>
        <v>1</v>
      </c>
      <c r="Q5" s="330">
        <f t="shared" si="1"/>
        <v>0</v>
      </c>
      <c r="R5" s="351" t="s">
        <v>2470</v>
      </c>
      <c r="S5" s="351" t="str">
        <f>IF(D5="","",IF(OR(D5=Plano!$A$1,D5=Plano!$B$1),"entrada","saída"))</f>
        <v>saída</v>
      </c>
      <c r="T5" s="334" t="s">
        <v>114</v>
      </c>
      <c r="U5" s="334" t="s">
        <v>114</v>
      </c>
      <c r="V5" s="344" t="s">
        <v>114</v>
      </c>
      <c r="W5" s="269"/>
    </row>
    <row r="6" spans="1:23" ht="59.25" customHeight="1" x14ac:dyDescent="0.2">
      <c r="A6" s="277">
        <f t="shared" si="0"/>
        <v>2</v>
      </c>
      <c r="B6" s="278">
        <v>44200</v>
      </c>
      <c r="C6" s="256">
        <v>44166</v>
      </c>
      <c r="D6" s="255" t="s">
        <v>88</v>
      </c>
      <c r="E6" s="255" t="s">
        <v>198</v>
      </c>
      <c r="F6" s="258">
        <v>-42.94</v>
      </c>
      <c r="G6" s="255" t="s">
        <v>2471</v>
      </c>
      <c r="H6" s="255" t="s">
        <v>114</v>
      </c>
      <c r="I6" s="250" t="s">
        <v>983</v>
      </c>
      <c r="J6" s="255" t="s">
        <v>850</v>
      </c>
      <c r="K6" s="255" t="s">
        <v>946</v>
      </c>
      <c r="L6" s="250" t="s">
        <v>947</v>
      </c>
      <c r="M6" s="255" t="s">
        <v>114</v>
      </c>
      <c r="N6" s="278">
        <v>44200</v>
      </c>
      <c r="O6" s="329" t="s">
        <v>67</v>
      </c>
      <c r="P6" s="386">
        <f t="shared" ref="P6:Q6" si="2">IF(B6=0,0,IF(YEAR(B6)=$Q$1,MONTH(B6)-$P$1+1,(YEAR(B6)-$Q$1)*12-$P$1+1+MONTH(B6)))</f>
        <v>1</v>
      </c>
      <c r="Q6" s="330">
        <f t="shared" si="2"/>
        <v>0</v>
      </c>
      <c r="R6" s="351" t="str">
        <f t="shared" ref="R6:R1326" si="3">SUBSTITUTE(D6," ","_")</f>
        <v>Gastos_com_Pessoal</v>
      </c>
      <c r="S6" s="351" t="str">
        <f>IF(D6="","",IF(OR(D6=Plano!$A$1,D6=Plano!$B$1),"entrada","saída"))</f>
        <v>saída</v>
      </c>
      <c r="T6" s="334" t="s">
        <v>114</v>
      </c>
      <c r="U6" s="334" t="s">
        <v>114</v>
      </c>
      <c r="V6" s="344" t="s">
        <v>114</v>
      </c>
      <c r="W6" s="269"/>
    </row>
    <row r="7" spans="1:23" ht="69.75" customHeight="1" x14ac:dyDescent="0.2">
      <c r="A7" s="277">
        <f t="shared" si="0"/>
        <v>3</v>
      </c>
      <c r="B7" s="278">
        <v>44200</v>
      </c>
      <c r="C7" s="256">
        <v>44166</v>
      </c>
      <c r="D7" s="255" t="s">
        <v>88</v>
      </c>
      <c r="E7" s="255" t="s">
        <v>183</v>
      </c>
      <c r="F7" s="258">
        <v>-22.28</v>
      </c>
      <c r="G7" s="255" t="s">
        <v>984</v>
      </c>
      <c r="H7" s="255" t="s">
        <v>114</v>
      </c>
      <c r="I7" s="250" t="s">
        <v>983</v>
      </c>
      <c r="J7" s="255" t="s">
        <v>850</v>
      </c>
      <c r="K7" s="255" t="s">
        <v>946</v>
      </c>
      <c r="L7" s="250" t="s">
        <v>947</v>
      </c>
      <c r="M7" s="255" t="s">
        <v>114</v>
      </c>
      <c r="N7" s="278">
        <v>44200</v>
      </c>
      <c r="O7" s="329" t="s">
        <v>67</v>
      </c>
      <c r="P7" s="386">
        <f t="shared" ref="P7:Q7" si="4">IF(B7=0,0,IF(YEAR(B7)=$Q$1,MONTH(B7)-$P$1+1,(YEAR(B7)-$Q$1)*12-$P$1+1+MONTH(B7)))</f>
        <v>1</v>
      </c>
      <c r="Q7" s="330">
        <f t="shared" si="4"/>
        <v>0</v>
      </c>
      <c r="R7" s="351" t="str">
        <f t="shared" si="3"/>
        <v>Gastos_com_Pessoal</v>
      </c>
      <c r="S7" s="351" t="str">
        <f>IF(D7="","",IF(OR(D7=Plano!$A$1,D7=Plano!$B$1),"entrada","saída"))</f>
        <v>saída</v>
      </c>
      <c r="T7" s="334" t="s">
        <v>114</v>
      </c>
      <c r="U7" s="334" t="s">
        <v>114</v>
      </c>
      <c r="V7" s="344" t="s">
        <v>114</v>
      </c>
      <c r="W7" s="269"/>
    </row>
    <row r="8" spans="1:23" ht="63" customHeight="1" x14ac:dyDescent="0.2">
      <c r="A8" s="277">
        <f t="shared" si="0"/>
        <v>4</v>
      </c>
      <c r="B8" s="278">
        <v>44200</v>
      </c>
      <c r="C8" s="256">
        <v>44166</v>
      </c>
      <c r="D8" s="255" t="s">
        <v>88</v>
      </c>
      <c r="E8" s="255" t="s">
        <v>198</v>
      </c>
      <c r="F8" s="258">
        <v>-21.47</v>
      </c>
      <c r="G8" s="255" t="s">
        <v>982</v>
      </c>
      <c r="H8" s="255" t="s">
        <v>114</v>
      </c>
      <c r="I8" s="250" t="s">
        <v>983</v>
      </c>
      <c r="J8" s="255" t="s">
        <v>850</v>
      </c>
      <c r="K8" s="255" t="s">
        <v>946</v>
      </c>
      <c r="L8" s="250" t="s">
        <v>947</v>
      </c>
      <c r="M8" s="255" t="s">
        <v>114</v>
      </c>
      <c r="N8" s="278">
        <v>44200</v>
      </c>
      <c r="O8" s="329" t="s">
        <v>67</v>
      </c>
      <c r="P8" s="386">
        <f t="shared" ref="P8:Q8" si="5">IF(B8=0,0,IF(YEAR(B8)=$Q$1,MONTH(B8)-$P$1+1,(YEAR(B8)-$Q$1)*12-$P$1+1+MONTH(B8)))</f>
        <v>1</v>
      </c>
      <c r="Q8" s="330">
        <f t="shared" si="5"/>
        <v>0</v>
      </c>
      <c r="R8" s="351" t="str">
        <f t="shared" si="3"/>
        <v>Gastos_com_Pessoal</v>
      </c>
      <c r="S8" s="351" t="str">
        <f>IF(D8="","",IF(OR(D8=Plano!$A$1,D8=Plano!$B$1),"entrada","saída"))</f>
        <v>saída</v>
      </c>
      <c r="T8" s="334" t="s">
        <v>114</v>
      </c>
      <c r="U8" s="334" t="s">
        <v>114</v>
      </c>
      <c r="V8" s="344" t="s">
        <v>114</v>
      </c>
      <c r="W8" s="269"/>
    </row>
    <row r="9" spans="1:23" ht="66.75" customHeight="1" x14ac:dyDescent="0.2">
      <c r="A9" s="277">
        <f t="shared" si="0"/>
        <v>5</v>
      </c>
      <c r="B9" s="278">
        <v>44200</v>
      </c>
      <c r="C9" s="256">
        <v>44166</v>
      </c>
      <c r="D9" s="255" t="s">
        <v>88</v>
      </c>
      <c r="E9" s="255" t="s">
        <v>198</v>
      </c>
      <c r="F9" s="258">
        <v>-107.34</v>
      </c>
      <c r="G9" s="255" t="s">
        <v>987</v>
      </c>
      <c r="H9" s="255" t="s">
        <v>114</v>
      </c>
      <c r="I9" s="250" t="s">
        <v>983</v>
      </c>
      <c r="J9" s="255" t="s">
        <v>850</v>
      </c>
      <c r="K9" s="255" t="s">
        <v>946</v>
      </c>
      <c r="L9" s="250" t="s">
        <v>947</v>
      </c>
      <c r="M9" s="255" t="s">
        <v>114</v>
      </c>
      <c r="N9" s="278">
        <v>44200</v>
      </c>
      <c r="O9" s="329" t="s">
        <v>67</v>
      </c>
      <c r="P9" s="386">
        <f t="shared" ref="P9:Q9" si="6">IF(B9=0,0,IF(YEAR(B9)=$Q$1,MONTH(B9)-$P$1+1,(YEAR(B9)-$Q$1)*12-$P$1+1+MONTH(B9)))</f>
        <v>1</v>
      </c>
      <c r="Q9" s="330">
        <f t="shared" si="6"/>
        <v>0</v>
      </c>
      <c r="R9" s="351" t="str">
        <f t="shared" si="3"/>
        <v>Gastos_com_Pessoal</v>
      </c>
      <c r="S9" s="351" t="str">
        <f>IF(D9="","",IF(OR(D9=Plano!$A$1,D9=Plano!$B$1),"entrada","saída"))</f>
        <v>saída</v>
      </c>
      <c r="T9" s="334" t="s">
        <v>114</v>
      </c>
      <c r="U9" s="334" t="s">
        <v>114</v>
      </c>
      <c r="V9" s="344" t="s">
        <v>114</v>
      </c>
      <c r="W9" s="269"/>
    </row>
    <row r="10" spans="1:23" ht="69.75" customHeight="1" x14ac:dyDescent="0.2">
      <c r="A10" s="277">
        <f t="shared" si="0"/>
        <v>6</v>
      </c>
      <c r="B10" s="278">
        <v>44200</v>
      </c>
      <c r="C10" s="256">
        <v>44166</v>
      </c>
      <c r="D10" s="255" t="s">
        <v>88</v>
      </c>
      <c r="E10" s="255" t="s">
        <v>183</v>
      </c>
      <c r="F10" s="258">
        <v>79.680000000000007</v>
      </c>
      <c r="G10" s="255" t="s">
        <v>2472</v>
      </c>
      <c r="H10" s="255" t="s">
        <v>114</v>
      </c>
      <c r="I10" s="250" t="s">
        <v>998</v>
      </c>
      <c r="J10" s="255" t="s">
        <v>999</v>
      </c>
      <c r="K10" s="255" t="s">
        <v>560</v>
      </c>
      <c r="L10" s="250" t="s">
        <v>1016</v>
      </c>
      <c r="M10" s="255" t="s">
        <v>2473</v>
      </c>
      <c r="N10" s="278">
        <v>44180</v>
      </c>
      <c r="O10" s="329" t="s">
        <v>67</v>
      </c>
      <c r="P10" s="386">
        <f t="shared" ref="P10:Q10" si="7">IF(B10=0,0,IF(YEAR(B10)=$Q$1,MONTH(B10)-$P$1+1,(YEAR(B10)-$Q$1)*12-$P$1+1+MONTH(B10)))</f>
        <v>1</v>
      </c>
      <c r="Q10" s="330">
        <f t="shared" si="7"/>
        <v>0</v>
      </c>
      <c r="R10" s="351" t="str">
        <f t="shared" si="3"/>
        <v>Gastos_com_Pessoal</v>
      </c>
      <c r="S10" s="351" t="str">
        <f>IF(D10="","",IF(OR(D10=Plano!$A$1,D10=Plano!$B$1),"entrada","saída"))</f>
        <v>saída</v>
      </c>
      <c r="T10" s="334" t="s">
        <v>114</v>
      </c>
      <c r="U10" s="334" t="s">
        <v>114</v>
      </c>
      <c r="V10" s="344" t="s">
        <v>114</v>
      </c>
      <c r="W10" s="269"/>
    </row>
    <row r="11" spans="1:23" ht="65.25" customHeight="1" x14ac:dyDescent="0.2">
      <c r="A11" s="277">
        <f t="shared" si="0"/>
        <v>7</v>
      </c>
      <c r="B11" s="278">
        <v>44200</v>
      </c>
      <c r="C11" s="256">
        <v>44166</v>
      </c>
      <c r="D11" s="255" t="s">
        <v>88</v>
      </c>
      <c r="E11" s="255" t="s">
        <v>183</v>
      </c>
      <c r="F11" s="258">
        <v>115.24</v>
      </c>
      <c r="G11" s="255" t="s">
        <v>2474</v>
      </c>
      <c r="H11" s="255" t="s">
        <v>114</v>
      </c>
      <c r="I11" s="250" t="s">
        <v>2475</v>
      </c>
      <c r="J11" s="255" t="s">
        <v>538</v>
      </c>
      <c r="K11" s="255" t="s">
        <v>560</v>
      </c>
      <c r="L11" s="250" t="s">
        <v>1016</v>
      </c>
      <c r="M11" s="255" t="s">
        <v>2476</v>
      </c>
      <c r="N11" s="278">
        <v>44180</v>
      </c>
      <c r="O11" s="329" t="s">
        <v>67</v>
      </c>
      <c r="P11" s="386">
        <f t="shared" ref="P11:Q11" si="8">IF(B11=0,0,IF(YEAR(B11)=$Q$1,MONTH(B11)-$P$1+1,(YEAR(B11)-$Q$1)*12-$P$1+1+MONTH(B11)))</f>
        <v>1</v>
      </c>
      <c r="Q11" s="330">
        <f t="shared" si="8"/>
        <v>0</v>
      </c>
      <c r="R11" s="351" t="str">
        <f t="shared" si="3"/>
        <v>Gastos_com_Pessoal</v>
      </c>
      <c r="S11" s="351" t="str">
        <f>IF(D11="","",IF(OR(D11=Plano!$A$1,D11=Plano!$B$1),"entrada","saída"))</f>
        <v>saída</v>
      </c>
      <c r="T11" s="334" t="s">
        <v>114</v>
      </c>
      <c r="U11" s="334" t="s">
        <v>114</v>
      </c>
      <c r="V11" s="344" t="s">
        <v>114</v>
      </c>
      <c r="W11" s="269"/>
    </row>
    <row r="12" spans="1:23" ht="51.75" customHeight="1" x14ac:dyDescent="0.2">
      <c r="A12" s="277">
        <f t="shared" si="0"/>
        <v>8</v>
      </c>
      <c r="B12" s="278">
        <v>44200</v>
      </c>
      <c r="C12" s="256">
        <v>44166</v>
      </c>
      <c r="D12" s="255" t="s">
        <v>99</v>
      </c>
      <c r="E12" s="255" t="s">
        <v>216</v>
      </c>
      <c r="F12" s="258">
        <v>93.82</v>
      </c>
      <c r="G12" s="255" t="s">
        <v>2477</v>
      </c>
      <c r="H12" s="255" t="s">
        <v>129</v>
      </c>
      <c r="I12" s="250" t="s">
        <v>513</v>
      </c>
      <c r="J12" s="255" t="s">
        <v>514</v>
      </c>
      <c r="K12" s="255" t="s">
        <v>696</v>
      </c>
      <c r="L12" s="250" t="s">
        <v>697</v>
      </c>
      <c r="M12" s="255" t="s">
        <v>114</v>
      </c>
      <c r="N12" s="278">
        <v>44193</v>
      </c>
      <c r="O12" s="329" t="s">
        <v>67</v>
      </c>
      <c r="P12" s="386">
        <f t="shared" ref="P12:Q12" si="9">IF(B12=0,0,IF(YEAR(B12)=$Q$1,MONTH(B12)-$P$1+1,(YEAR(B12)-$Q$1)*12-$P$1+1+MONTH(B12)))</f>
        <v>1</v>
      </c>
      <c r="Q12" s="330">
        <f t="shared" si="9"/>
        <v>0</v>
      </c>
      <c r="R12" s="351" t="str">
        <f t="shared" si="3"/>
        <v>Gastos_Gerais</v>
      </c>
      <c r="S12" s="351" t="str">
        <f>IF(D12="","",IF(OR(D12=Plano!$A$1,D12=Plano!$B$1),"entrada","saída"))</f>
        <v>saída</v>
      </c>
      <c r="T12" s="334" t="s">
        <v>114</v>
      </c>
      <c r="U12" s="334" t="s">
        <v>114</v>
      </c>
      <c r="V12" s="344" t="s">
        <v>114</v>
      </c>
      <c r="W12" s="269"/>
    </row>
    <row r="13" spans="1:23" ht="55.5" customHeight="1" x14ac:dyDescent="0.2">
      <c r="A13" s="277">
        <f t="shared" si="0"/>
        <v>9</v>
      </c>
      <c r="B13" s="278">
        <v>44200</v>
      </c>
      <c r="C13" s="256">
        <v>44166</v>
      </c>
      <c r="D13" s="255" t="s">
        <v>88</v>
      </c>
      <c r="E13" s="255" t="s">
        <v>198</v>
      </c>
      <c r="F13" s="258">
        <v>515.26</v>
      </c>
      <c r="G13" s="255" t="s">
        <v>533</v>
      </c>
      <c r="H13" s="255" t="s">
        <v>114</v>
      </c>
      <c r="I13" s="250" t="s">
        <v>534</v>
      </c>
      <c r="J13" s="255" t="s">
        <v>535</v>
      </c>
      <c r="K13" s="255" t="s">
        <v>560</v>
      </c>
      <c r="L13" s="255" t="s">
        <v>2478</v>
      </c>
      <c r="M13" s="387">
        <v>8134322</v>
      </c>
      <c r="N13" s="278">
        <v>44181</v>
      </c>
      <c r="O13" s="329" t="s">
        <v>67</v>
      </c>
      <c r="P13" s="386">
        <f t="shared" ref="P13:Q13" si="10">IF(B13=0,0,IF(YEAR(B13)=$Q$1,MONTH(B13)-$P$1+1,(YEAR(B13)-$Q$1)*12-$P$1+1+MONTH(B13)))</f>
        <v>1</v>
      </c>
      <c r="Q13" s="330">
        <f t="shared" si="10"/>
        <v>0</v>
      </c>
      <c r="R13" s="351" t="str">
        <f t="shared" si="3"/>
        <v>Gastos_com_Pessoal</v>
      </c>
      <c r="S13" s="351" t="str">
        <f>IF(D13="","",IF(OR(D13=Plano!$A$1,D13=Plano!$B$1),"entrada","saída"))</f>
        <v>saída</v>
      </c>
      <c r="T13" s="334" t="s">
        <v>114</v>
      </c>
      <c r="U13" s="334" t="s">
        <v>114</v>
      </c>
      <c r="V13" s="344" t="s">
        <v>114</v>
      </c>
      <c r="W13" s="269"/>
    </row>
    <row r="14" spans="1:23" ht="217.5" customHeight="1" x14ac:dyDescent="0.2">
      <c r="A14" s="277">
        <f t="shared" si="0"/>
        <v>10</v>
      </c>
      <c r="B14" s="278">
        <v>44200</v>
      </c>
      <c r="C14" s="249">
        <v>44136</v>
      </c>
      <c r="D14" s="250" t="s">
        <v>104</v>
      </c>
      <c r="E14" s="250" t="s">
        <v>104</v>
      </c>
      <c r="F14" s="251">
        <v>2650.92</v>
      </c>
      <c r="G14" s="255" t="s">
        <v>2479</v>
      </c>
      <c r="H14" s="250" t="s">
        <v>104</v>
      </c>
      <c r="I14" s="250" t="s">
        <v>2480</v>
      </c>
      <c r="J14" s="250" t="s">
        <v>2481</v>
      </c>
      <c r="K14" s="255" t="s">
        <v>1015</v>
      </c>
      <c r="L14" s="255" t="s">
        <v>1029</v>
      </c>
      <c r="M14" s="387">
        <v>994</v>
      </c>
      <c r="N14" s="278">
        <v>44200</v>
      </c>
      <c r="O14" s="329" t="s">
        <v>69</v>
      </c>
      <c r="P14" s="386">
        <f t="shared" ref="P14:Q14" si="11">IF(B14=0,0,IF(YEAR(B14)=$Q$1,MONTH(B14)-$P$1+1,(YEAR(B14)-$Q$1)*12-$P$1+1+MONTH(B14)))</f>
        <v>1</v>
      </c>
      <c r="Q14" s="330">
        <f t="shared" si="11"/>
        <v>-1</v>
      </c>
      <c r="R14" s="351" t="str">
        <f t="shared" si="3"/>
        <v>Gastos_custeados_por_captação</v>
      </c>
      <c r="S14" s="351" t="str">
        <f>IF(D14="","",IF(OR(D14=Plano!$A$1,D14=Plano!$B$1),"entrada","saída"))</f>
        <v>saída</v>
      </c>
      <c r="T14" s="334" t="s">
        <v>1082</v>
      </c>
      <c r="U14" s="334">
        <v>645</v>
      </c>
      <c r="V14" s="344"/>
      <c r="W14" s="269"/>
    </row>
    <row r="15" spans="1:23" ht="66" customHeight="1" x14ac:dyDescent="0.2">
      <c r="A15" s="277">
        <f t="shared" si="0"/>
        <v>11</v>
      </c>
      <c r="B15" s="278">
        <v>44201</v>
      </c>
      <c r="C15" s="256">
        <v>44166</v>
      </c>
      <c r="D15" s="255" t="s">
        <v>99</v>
      </c>
      <c r="E15" s="255" t="s">
        <v>220</v>
      </c>
      <c r="F15" s="258">
        <v>-152.29</v>
      </c>
      <c r="G15" s="255" t="s">
        <v>2482</v>
      </c>
      <c r="H15" s="255" t="s">
        <v>115</v>
      </c>
      <c r="I15" s="250" t="s">
        <v>983</v>
      </c>
      <c r="J15" s="255" t="s">
        <v>850</v>
      </c>
      <c r="K15" s="255" t="s">
        <v>946</v>
      </c>
      <c r="L15" s="250" t="s">
        <v>947</v>
      </c>
      <c r="M15" s="255" t="s">
        <v>114</v>
      </c>
      <c r="N15" s="278">
        <v>44201</v>
      </c>
      <c r="O15" s="329" t="s">
        <v>67</v>
      </c>
      <c r="P15" s="386">
        <f t="shared" ref="P15:Q15" si="12">IF(B15=0,0,IF(YEAR(B15)=$Q$1,MONTH(B15)-$P$1+1,(YEAR(B15)-$Q$1)*12-$P$1+1+MONTH(B15)))</f>
        <v>1</v>
      </c>
      <c r="Q15" s="330">
        <f t="shared" si="12"/>
        <v>0</v>
      </c>
      <c r="R15" s="351" t="str">
        <f t="shared" si="3"/>
        <v>Gastos_Gerais</v>
      </c>
      <c r="S15" s="351" t="str">
        <f>IF(D15="","",IF(OR(D15=Plano!$A$1,D15=Plano!$B$1),"entrada","saída"))</f>
        <v>saída</v>
      </c>
      <c r="T15" s="334" t="s">
        <v>114</v>
      </c>
      <c r="U15" s="334" t="s">
        <v>114</v>
      </c>
      <c r="V15" s="344" t="s">
        <v>114</v>
      </c>
      <c r="W15" s="269"/>
    </row>
    <row r="16" spans="1:23" ht="178.5" customHeight="1" x14ac:dyDescent="0.2">
      <c r="A16" s="277">
        <f t="shared" si="0"/>
        <v>12</v>
      </c>
      <c r="B16" s="278">
        <v>44201</v>
      </c>
      <c r="C16" s="249">
        <v>44166</v>
      </c>
      <c r="D16" s="250" t="s">
        <v>99</v>
      </c>
      <c r="E16" s="250" t="s">
        <v>358</v>
      </c>
      <c r="F16" s="251">
        <v>1119.72</v>
      </c>
      <c r="G16" s="255" t="s">
        <v>2483</v>
      </c>
      <c r="H16" s="250" t="s">
        <v>131</v>
      </c>
      <c r="I16" s="250" t="s">
        <v>2484</v>
      </c>
      <c r="J16" s="250" t="s">
        <v>2485</v>
      </c>
      <c r="K16" s="255" t="s">
        <v>1015</v>
      </c>
      <c r="L16" s="250" t="s">
        <v>1029</v>
      </c>
      <c r="M16" s="255">
        <v>1000</v>
      </c>
      <c r="N16" s="278">
        <v>44201</v>
      </c>
      <c r="O16" s="329" t="s">
        <v>67</v>
      </c>
      <c r="P16" s="386">
        <f t="shared" ref="P16:Q16" si="13">IF(B16=0,0,IF(YEAR(B16)=$Q$1,MONTH(B16)-$P$1+1,(YEAR(B16)-$Q$1)*12-$P$1+1+MONTH(B16)))</f>
        <v>1</v>
      </c>
      <c r="Q16" s="330">
        <f t="shared" si="13"/>
        <v>0</v>
      </c>
      <c r="R16" s="351" t="str">
        <f t="shared" si="3"/>
        <v>Gastos_Gerais</v>
      </c>
      <c r="S16" s="351" t="str">
        <f>IF(D16="","",IF(OR(D16=Plano!$A$1,D16=Plano!$B$1),"entrada","saída"))</f>
        <v>saída</v>
      </c>
      <c r="T16" s="334" t="s">
        <v>1082</v>
      </c>
      <c r="U16" s="334">
        <v>840</v>
      </c>
      <c r="V16" s="344"/>
      <c r="W16" s="269"/>
    </row>
    <row r="17" spans="1:23" ht="195" customHeight="1" x14ac:dyDescent="0.2">
      <c r="A17" s="277">
        <f t="shared" si="0"/>
        <v>13</v>
      </c>
      <c r="B17" s="278">
        <v>44201</v>
      </c>
      <c r="C17" s="249">
        <v>44166</v>
      </c>
      <c r="D17" s="250" t="s">
        <v>99</v>
      </c>
      <c r="E17" s="250" t="s">
        <v>336</v>
      </c>
      <c r="F17" s="251">
        <v>2300</v>
      </c>
      <c r="G17" s="255" t="s">
        <v>2486</v>
      </c>
      <c r="H17" s="250" t="s">
        <v>116</v>
      </c>
      <c r="I17" s="250" t="s">
        <v>2487</v>
      </c>
      <c r="J17" s="250" t="s">
        <v>2488</v>
      </c>
      <c r="K17" s="255" t="s">
        <v>1015</v>
      </c>
      <c r="L17" s="250" t="s">
        <v>1016</v>
      </c>
      <c r="M17" s="255">
        <v>14</v>
      </c>
      <c r="N17" s="278">
        <v>44200</v>
      </c>
      <c r="O17" s="329" t="s">
        <v>67</v>
      </c>
      <c r="P17" s="386">
        <f t="shared" ref="P17:Q17" si="14">IF(B17=0,0,IF(YEAR(B17)=$Q$1,MONTH(B17)-$P$1+1,(YEAR(B17)-$Q$1)*12-$P$1+1+MONTH(B17)))</f>
        <v>1</v>
      </c>
      <c r="Q17" s="330">
        <f t="shared" si="14"/>
        <v>0</v>
      </c>
      <c r="R17" s="351" t="str">
        <f t="shared" si="3"/>
        <v>Gastos_Gerais</v>
      </c>
      <c r="S17" s="351" t="str">
        <f>IF(D17="","",IF(OR(D17=Plano!$A$1,D17=Plano!$B$1),"entrada","saída"))</f>
        <v>saída</v>
      </c>
      <c r="T17" s="334" t="s">
        <v>994</v>
      </c>
      <c r="U17" s="334">
        <v>636</v>
      </c>
      <c r="V17" s="344"/>
      <c r="W17" s="269"/>
    </row>
    <row r="18" spans="1:23" ht="173.25" customHeight="1" x14ac:dyDescent="0.2">
      <c r="A18" s="277">
        <f t="shared" si="0"/>
        <v>14</v>
      </c>
      <c r="B18" s="278">
        <v>44201</v>
      </c>
      <c r="C18" s="249">
        <v>44166</v>
      </c>
      <c r="D18" s="250" t="s">
        <v>99</v>
      </c>
      <c r="E18" s="250" t="s">
        <v>262</v>
      </c>
      <c r="F18" s="251">
        <v>2800</v>
      </c>
      <c r="G18" s="255" t="s">
        <v>2489</v>
      </c>
      <c r="H18" s="250" t="s">
        <v>129</v>
      </c>
      <c r="I18" s="250" t="s">
        <v>1257</v>
      </c>
      <c r="J18" s="250" t="s">
        <v>476</v>
      </c>
      <c r="K18" s="255" t="s">
        <v>1015</v>
      </c>
      <c r="L18" s="250" t="s">
        <v>1016</v>
      </c>
      <c r="M18" s="255" t="s">
        <v>1305</v>
      </c>
      <c r="N18" s="278">
        <v>44201</v>
      </c>
      <c r="O18" s="329" t="s">
        <v>67</v>
      </c>
      <c r="P18" s="386">
        <f t="shared" ref="P18:Q18" si="15">IF(B18=0,0,IF(YEAR(B18)=$Q$1,MONTH(B18)-$P$1+1,(YEAR(B18)-$Q$1)*12-$P$1+1+MONTH(B18)))</f>
        <v>1</v>
      </c>
      <c r="Q18" s="330">
        <f t="shared" si="15"/>
        <v>0</v>
      </c>
      <c r="R18" s="351" t="str">
        <f t="shared" si="3"/>
        <v>Gastos_Gerais</v>
      </c>
      <c r="S18" s="351" t="str">
        <f>IF(D18="","",IF(OR(D18=Plano!$A$1,D18=Plano!$B$1),"entrada","saída"))</f>
        <v>saída</v>
      </c>
      <c r="T18" s="334" t="s">
        <v>994</v>
      </c>
      <c r="U18" s="334">
        <v>56</v>
      </c>
      <c r="V18" s="344"/>
      <c r="W18" s="269"/>
    </row>
    <row r="19" spans="1:23" ht="33.75" customHeight="1" x14ac:dyDescent="0.2">
      <c r="A19" s="277">
        <f t="shared" si="0"/>
        <v>15</v>
      </c>
      <c r="B19" s="278">
        <v>44201</v>
      </c>
      <c r="C19" s="249">
        <v>44166</v>
      </c>
      <c r="D19" s="250" t="s">
        <v>99</v>
      </c>
      <c r="E19" s="250" t="s">
        <v>330</v>
      </c>
      <c r="F19" s="251">
        <v>130</v>
      </c>
      <c r="G19" s="255" t="s">
        <v>2490</v>
      </c>
      <c r="H19" s="250" t="s">
        <v>115</v>
      </c>
      <c r="I19" s="250" t="s">
        <v>2491</v>
      </c>
      <c r="J19" s="255" t="s">
        <v>114</v>
      </c>
      <c r="K19" s="255" t="s">
        <v>991</v>
      </c>
      <c r="L19" s="250" t="s">
        <v>114</v>
      </c>
      <c r="M19" s="255" t="s">
        <v>114</v>
      </c>
      <c r="N19" s="278">
        <v>44201</v>
      </c>
      <c r="O19" s="329" t="s">
        <v>67</v>
      </c>
      <c r="P19" s="386">
        <f t="shared" ref="P19:Q19" si="16">IF(B19=0,0,IF(YEAR(B19)=$Q$1,MONTH(B19)-$P$1+1,(YEAR(B19)-$Q$1)*12-$P$1+1+MONTH(B19)))</f>
        <v>1</v>
      </c>
      <c r="Q19" s="330">
        <f t="shared" si="16"/>
        <v>0</v>
      </c>
      <c r="R19" s="351" t="str">
        <f t="shared" si="3"/>
        <v>Gastos_Gerais</v>
      </c>
      <c r="S19" s="351" t="str">
        <f>IF(D19="","",IF(OR(D19=Plano!$A$1,D19=Plano!$B$1),"entrada","saída"))</f>
        <v>saída</v>
      </c>
      <c r="T19" s="334" t="s">
        <v>1082</v>
      </c>
      <c r="U19" s="334">
        <v>1106</v>
      </c>
      <c r="V19" s="344"/>
      <c r="W19" s="269"/>
    </row>
    <row r="20" spans="1:23" ht="195.75" customHeight="1" x14ac:dyDescent="0.2">
      <c r="A20" s="277">
        <f t="shared" si="0"/>
        <v>16</v>
      </c>
      <c r="B20" s="278">
        <v>44201</v>
      </c>
      <c r="C20" s="249">
        <v>44166</v>
      </c>
      <c r="D20" s="250" t="s">
        <v>99</v>
      </c>
      <c r="E20" s="250" t="s">
        <v>336</v>
      </c>
      <c r="F20" s="251">
        <v>2300</v>
      </c>
      <c r="G20" s="255" t="s">
        <v>2492</v>
      </c>
      <c r="H20" s="250" t="s">
        <v>117</v>
      </c>
      <c r="I20" s="250" t="s">
        <v>2493</v>
      </c>
      <c r="J20" s="250" t="s">
        <v>2494</v>
      </c>
      <c r="K20" s="255" t="s">
        <v>991</v>
      </c>
      <c r="L20" s="250" t="s">
        <v>1016</v>
      </c>
      <c r="M20" s="255" t="s">
        <v>1305</v>
      </c>
      <c r="N20" s="278">
        <v>44201</v>
      </c>
      <c r="O20" s="329" t="s">
        <v>67</v>
      </c>
      <c r="P20" s="386">
        <f t="shared" ref="P20:Q20" si="17">IF(B20=0,0,IF(YEAR(B20)=$Q$1,MONTH(B20)-$P$1+1,(YEAR(B20)-$Q$1)*12-$P$1+1+MONTH(B20)))</f>
        <v>1</v>
      </c>
      <c r="Q20" s="330">
        <f t="shared" si="17"/>
        <v>0</v>
      </c>
      <c r="R20" s="351" t="str">
        <f t="shared" si="3"/>
        <v>Gastos_Gerais</v>
      </c>
      <c r="S20" s="351" t="str">
        <f>IF(D20="","",IF(OR(D20=Plano!$A$1,D20=Plano!$B$1),"entrada","saída"))</f>
        <v>saída</v>
      </c>
      <c r="T20" s="334" t="s">
        <v>994</v>
      </c>
      <c r="U20" s="334">
        <v>588</v>
      </c>
      <c r="V20" s="344"/>
      <c r="W20" s="269"/>
    </row>
    <row r="21" spans="1:23" ht="186.75" customHeight="1" x14ac:dyDescent="0.2">
      <c r="A21" s="277">
        <f t="shared" si="0"/>
        <v>17</v>
      </c>
      <c r="B21" s="278">
        <v>44201</v>
      </c>
      <c r="C21" s="249">
        <v>44166</v>
      </c>
      <c r="D21" s="250" t="s">
        <v>99</v>
      </c>
      <c r="E21" s="250" t="s">
        <v>336</v>
      </c>
      <c r="F21" s="251">
        <v>2300</v>
      </c>
      <c r="G21" s="255" t="s">
        <v>2486</v>
      </c>
      <c r="H21" s="250" t="s">
        <v>116</v>
      </c>
      <c r="I21" s="250" t="s">
        <v>2495</v>
      </c>
      <c r="J21" s="250" t="s">
        <v>2496</v>
      </c>
      <c r="K21" s="255" t="s">
        <v>991</v>
      </c>
      <c r="L21" s="250" t="s">
        <v>1016</v>
      </c>
      <c r="M21" s="255">
        <v>54</v>
      </c>
      <c r="N21" s="278">
        <v>44200</v>
      </c>
      <c r="O21" s="329" t="s">
        <v>67</v>
      </c>
      <c r="P21" s="386">
        <f t="shared" ref="P21:Q21" si="18">IF(B21=0,0,IF(YEAR(B21)=$Q$1,MONTH(B21)-$P$1+1,(YEAR(B21)-$Q$1)*12-$P$1+1+MONTH(B21)))</f>
        <v>1</v>
      </c>
      <c r="Q21" s="330">
        <f t="shared" si="18"/>
        <v>0</v>
      </c>
      <c r="R21" s="351" t="str">
        <f t="shared" si="3"/>
        <v>Gastos_Gerais</v>
      </c>
      <c r="S21" s="351" t="str">
        <f>IF(D21="","",IF(OR(D21=Plano!$A$1,D21=Plano!$B$1),"entrada","saída"))</f>
        <v>saída</v>
      </c>
      <c r="T21" s="334" t="s">
        <v>994</v>
      </c>
      <c r="U21" s="334">
        <v>642</v>
      </c>
      <c r="V21" s="344"/>
      <c r="W21" s="269"/>
    </row>
    <row r="22" spans="1:23" ht="102.75" customHeight="1" x14ac:dyDescent="0.2">
      <c r="A22" s="277">
        <f t="shared" si="0"/>
        <v>18</v>
      </c>
      <c r="B22" s="278">
        <v>44201</v>
      </c>
      <c r="C22" s="249">
        <v>44013</v>
      </c>
      <c r="D22" s="250" t="s">
        <v>99</v>
      </c>
      <c r="E22" s="250" t="s">
        <v>330</v>
      </c>
      <c r="F22" s="251">
        <v>300</v>
      </c>
      <c r="G22" s="255" t="s">
        <v>2497</v>
      </c>
      <c r="H22" s="250" t="s">
        <v>115</v>
      </c>
      <c r="I22" s="250" t="s">
        <v>2498</v>
      </c>
      <c r="J22" s="250" t="s">
        <v>779</v>
      </c>
      <c r="K22" s="255" t="s">
        <v>560</v>
      </c>
      <c r="L22" s="250" t="s">
        <v>1016</v>
      </c>
      <c r="M22" s="255">
        <v>2781</v>
      </c>
      <c r="N22" s="278">
        <v>44173</v>
      </c>
      <c r="O22" s="329" t="s">
        <v>67</v>
      </c>
      <c r="P22" s="386">
        <f t="shared" ref="P22:Q22" si="19">IF(B22=0,0,IF(YEAR(B22)=$Q$1,MONTH(B22)-$P$1+1,(YEAR(B22)-$Q$1)*12-$P$1+1+MONTH(B22)))</f>
        <v>1</v>
      </c>
      <c r="Q22" s="330">
        <f t="shared" si="19"/>
        <v>-5</v>
      </c>
      <c r="R22" s="351" t="str">
        <f t="shared" si="3"/>
        <v>Gastos_Gerais</v>
      </c>
      <c r="S22" s="351" t="str">
        <f>IF(D22="","",IF(OR(D22=Plano!$A$1,D22=Plano!$B$1),"entrada","saída"))</f>
        <v>saída</v>
      </c>
      <c r="T22" s="334" t="s">
        <v>994</v>
      </c>
      <c r="U22" s="334">
        <v>678</v>
      </c>
      <c r="V22" s="344"/>
      <c r="W22" s="269"/>
    </row>
    <row r="23" spans="1:23" ht="49.5" customHeight="1" x14ac:dyDescent="0.2">
      <c r="A23" s="277">
        <f t="shared" si="0"/>
        <v>19</v>
      </c>
      <c r="B23" s="278">
        <v>44201</v>
      </c>
      <c r="C23" s="256">
        <v>44166</v>
      </c>
      <c r="D23" s="255" t="s">
        <v>99</v>
      </c>
      <c r="E23" s="255" t="s">
        <v>220</v>
      </c>
      <c r="F23" s="258">
        <v>533.03</v>
      </c>
      <c r="G23" s="255" t="s">
        <v>2499</v>
      </c>
      <c r="H23" s="255" t="s">
        <v>115</v>
      </c>
      <c r="I23" s="250" t="s">
        <v>522</v>
      </c>
      <c r="J23" s="255" t="s">
        <v>523</v>
      </c>
      <c r="K23" s="255" t="s">
        <v>1375</v>
      </c>
      <c r="L23" s="250" t="s">
        <v>1016</v>
      </c>
      <c r="M23" s="255" t="s">
        <v>2500</v>
      </c>
      <c r="N23" s="278">
        <v>44201</v>
      </c>
      <c r="O23" s="329" t="s">
        <v>67</v>
      </c>
      <c r="P23" s="386">
        <f t="shared" ref="P23:Q23" si="20">IF(B23=0,0,IF(YEAR(B23)=$Q$1,MONTH(B23)-$P$1+1,(YEAR(B23)-$Q$1)*12-$P$1+1+MONTH(B23)))</f>
        <v>1</v>
      </c>
      <c r="Q23" s="330">
        <f t="shared" si="20"/>
        <v>0</v>
      </c>
      <c r="R23" s="351" t="str">
        <f t="shared" si="3"/>
        <v>Gastos_Gerais</v>
      </c>
      <c r="S23" s="351" t="str">
        <f>IF(D23="","",IF(OR(D23=Plano!$A$1,D23=Plano!$B$1),"entrada","saída"))</f>
        <v>saída</v>
      </c>
      <c r="T23" s="334" t="s">
        <v>114</v>
      </c>
      <c r="U23" s="334" t="s">
        <v>114</v>
      </c>
      <c r="V23" s="344"/>
      <c r="W23" s="269"/>
    </row>
    <row r="24" spans="1:23" ht="156.75" customHeight="1" x14ac:dyDescent="0.2">
      <c r="A24" s="277">
        <f t="shared" si="0"/>
        <v>20</v>
      </c>
      <c r="B24" s="278">
        <v>44201</v>
      </c>
      <c r="C24" s="256">
        <v>44197</v>
      </c>
      <c r="D24" s="255" t="s">
        <v>99</v>
      </c>
      <c r="E24" s="255" t="s">
        <v>330</v>
      </c>
      <c r="F24" s="258">
        <v>377.46</v>
      </c>
      <c r="G24" s="255" t="s">
        <v>2501</v>
      </c>
      <c r="H24" s="255" t="s">
        <v>115</v>
      </c>
      <c r="I24" s="250" t="s">
        <v>2502</v>
      </c>
      <c r="J24" s="255" t="s">
        <v>2503</v>
      </c>
      <c r="K24" s="255" t="s">
        <v>560</v>
      </c>
      <c r="L24" s="250" t="s">
        <v>114</v>
      </c>
      <c r="M24" s="255" t="s">
        <v>114</v>
      </c>
      <c r="N24" s="278">
        <v>44201</v>
      </c>
      <c r="O24" s="329" t="s">
        <v>67</v>
      </c>
      <c r="P24" s="386">
        <f t="shared" ref="P24:Q24" si="21">IF(B24=0,0,IF(YEAR(B24)=$Q$1,MONTH(B24)-$P$1+1,(YEAR(B24)-$Q$1)*12-$P$1+1+MONTH(B24)))</f>
        <v>1</v>
      </c>
      <c r="Q24" s="330">
        <f t="shared" si="21"/>
        <v>1</v>
      </c>
      <c r="R24" s="351" t="str">
        <f t="shared" si="3"/>
        <v>Gastos_Gerais</v>
      </c>
      <c r="S24" s="351" t="str">
        <f>IF(D24="","",IF(OR(D24=Plano!$A$1,D24=Plano!$B$1),"entrada","saída"))</f>
        <v>saída</v>
      </c>
      <c r="T24" s="334" t="s">
        <v>994</v>
      </c>
      <c r="U24" s="334">
        <v>1237</v>
      </c>
      <c r="V24" s="344"/>
      <c r="W24" s="269"/>
    </row>
    <row r="25" spans="1:23" ht="57.75" customHeight="1" x14ac:dyDescent="0.2">
      <c r="A25" s="277">
        <f t="shared" si="0"/>
        <v>21</v>
      </c>
      <c r="B25" s="278">
        <v>44201</v>
      </c>
      <c r="C25" s="249">
        <v>44136</v>
      </c>
      <c r="D25" s="250" t="s">
        <v>99</v>
      </c>
      <c r="E25" s="250" t="s">
        <v>336</v>
      </c>
      <c r="F25" s="251">
        <v>10.050000000000001</v>
      </c>
      <c r="G25" s="255" t="s">
        <v>2504</v>
      </c>
      <c r="H25" s="250" t="s">
        <v>133</v>
      </c>
      <c r="I25" s="250" t="s">
        <v>465</v>
      </c>
      <c r="J25" s="250" t="s">
        <v>114</v>
      </c>
      <c r="K25" s="250" t="s">
        <v>466</v>
      </c>
      <c r="L25" s="250" t="s">
        <v>2505</v>
      </c>
      <c r="M25" s="255">
        <v>2096</v>
      </c>
      <c r="N25" s="278">
        <v>44201</v>
      </c>
      <c r="O25" s="329" t="s">
        <v>67</v>
      </c>
      <c r="P25" s="386">
        <f t="shared" ref="P25:Q25" si="22">IF(B25=0,0,IF(YEAR(B25)=$Q$1,MONTH(B25)-$P$1+1,(YEAR(B25)-$Q$1)*12-$P$1+1+MONTH(B25)))</f>
        <v>1</v>
      </c>
      <c r="Q25" s="330">
        <f t="shared" si="22"/>
        <v>-1</v>
      </c>
      <c r="R25" s="351" t="str">
        <f t="shared" si="3"/>
        <v>Gastos_Gerais</v>
      </c>
      <c r="S25" s="351" t="str">
        <f>IF(D25="","",IF(OR(D25=Plano!$A$1,D25=Plano!$B$1),"entrada","saída"))</f>
        <v>saída</v>
      </c>
      <c r="T25" s="334" t="s">
        <v>114</v>
      </c>
      <c r="U25" s="334" t="s">
        <v>114</v>
      </c>
      <c r="V25" s="344"/>
      <c r="W25" s="269"/>
    </row>
    <row r="26" spans="1:23" ht="52.5" customHeight="1" x14ac:dyDescent="0.2">
      <c r="A26" s="277">
        <f t="shared" si="0"/>
        <v>22</v>
      </c>
      <c r="B26" s="278">
        <v>44201</v>
      </c>
      <c r="C26" s="249">
        <v>44136</v>
      </c>
      <c r="D26" s="250" t="s">
        <v>99</v>
      </c>
      <c r="E26" s="250" t="s">
        <v>330</v>
      </c>
      <c r="F26" s="251">
        <v>35.380000000000003</v>
      </c>
      <c r="G26" s="255" t="s">
        <v>2506</v>
      </c>
      <c r="H26" s="250" t="s">
        <v>130</v>
      </c>
      <c r="I26" s="250" t="s">
        <v>465</v>
      </c>
      <c r="J26" s="250" t="s">
        <v>114</v>
      </c>
      <c r="K26" s="250" t="s">
        <v>466</v>
      </c>
      <c r="L26" s="250" t="s">
        <v>2505</v>
      </c>
      <c r="M26" s="255">
        <v>2097</v>
      </c>
      <c r="N26" s="278">
        <v>44201</v>
      </c>
      <c r="O26" s="329" t="s">
        <v>67</v>
      </c>
      <c r="P26" s="386">
        <f t="shared" ref="P26:Q26" si="23">IF(B26=0,0,IF(YEAR(B26)=$Q$1,MONTH(B26)-$P$1+1,(YEAR(B26)-$Q$1)*12-$P$1+1+MONTH(B26)))</f>
        <v>1</v>
      </c>
      <c r="Q26" s="330">
        <f t="shared" si="23"/>
        <v>-1</v>
      </c>
      <c r="R26" s="351" t="str">
        <f t="shared" si="3"/>
        <v>Gastos_Gerais</v>
      </c>
      <c r="S26" s="351" t="str">
        <f>IF(D26="","",IF(OR(D26=Plano!$A$1,D26=Plano!$B$1),"entrada","saída"))</f>
        <v>saída</v>
      </c>
      <c r="T26" s="334" t="s">
        <v>114</v>
      </c>
      <c r="U26" s="334" t="s">
        <v>114</v>
      </c>
      <c r="V26" s="344"/>
      <c r="W26" s="269"/>
    </row>
    <row r="27" spans="1:23" ht="69.75" customHeight="1" x14ac:dyDescent="0.2">
      <c r="A27" s="277">
        <f t="shared" si="0"/>
        <v>23</v>
      </c>
      <c r="B27" s="278">
        <v>44201</v>
      </c>
      <c r="C27" s="249">
        <v>44136</v>
      </c>
      <c r="D27" s="250" t="s">
        <v>99</v>
      </c>
      <c r="E27" s="250" t="s">
        <v>336</v>
      </c>
      <c r="F27" s="251">
        <v>596</v>
      </c>
      <c r="G27" s="255" t="s">
        <v>2507</v>
      </c>
      <c r="H27" s="250" t="s">
        <v>116</v>
      </c>
      <c r="I27" s="250" t="s">
        <v>465</v>
      </c>
      <c r="J27" s="250" t="s">
        <v>114</v>
      </c>
      <c r="K27" s="250" t="s">
        <v>466</v>
      </c>
      <c r="L27" s="250" t="s">
        <v>2505</v>
      </c>
      <c r="M27" s="255">
        <v>2098</v>
      </c>
      <c r="N27" s="278">
        <v>44201</v>
      </c>
      <c r="O27" s="329" t="s">
        <v>67</v>
      </c>
      <c r="P27" s="386">
        <f t="shared" ref="P27:Q27" si="24">IF(B27=0,0,IF(YEAR(B27)=$Q$1,MONTH(B27)-$P$1+1,(YEAR(B27)-$Q$1)*12-$P$1+1+MONTH(B27)))</f>
        <v>1</v>
      </c>
      <c r="Q27" s="330">
        <f t="shared" si="24"/>
        <v>-1</v>
      </c>
      <c r="R27" s="351" t="str">
        <f t="shared" si="3"/>
        <v>Gastos_Gerais</v>
      </c>
      <c r="S27" s="351" t="str">
        <f>IF(D27="","",IF(OR(D27=Plano!$A$1,D27=Plano!$B$1),"entrada","saída"))</f>
        <v>saída</v>
      </c>
      <c r="T27" s="334" t="s">
        <v>114</v>
      </c>
      <c r="U27" s="334" t="s">
        <v>114</v>
      </c>
      <c r="V27" s="344"/>
      <c r="W27" s="269"/>
    </row>
    <row r="28" spans="1:23" ht="75" customHeight="1" x14ac:dyDescent="0.2">
      <c r="A28" s="277">
        <f t="shared" si="0"/>
        <v>24</v>
      </c>
      <c r="B28" s="278">
        <v>44201</v>
      </c>
      <c r="C28" s="249">
        <v>44136</v>
      </c>
      <c r="D28" s="250" t="s">
        <v>99</v>
      </c>
      <c r="E28" s="250" t="s">
        <v>336</v>
      </c>
      <c r="F28" s="251">
        <v>14.9</v>
      </c>
      <c r="G28" s="255" t="s">
        <v>2508</v>
      </c>
      <c r="H28" s="250" t="s">
        <v>133</v>
      </c>
      <c r="I28" s="250" t="s">
        <v>465</v>
      </c>
      <c r="J28" s="250" t="s">
        <v>114</v>
      </c>
      <c r="K28" s="250" t="s">
        <v>466</v>
      </c>
      <c r="L28" s="250" t="s">
        <v>2505</v>
      </c>
      <c r="M28" s="255">
        <v>2099</v>
      </c>
      <c r="N28" s="278">
        <v>44201</v>
      </c>
      <c r="O28" s="329" t="s">
        <v>67</v>
      </c>
      <c r="P28" s="386">
        <f t="shared" ref="P28:Q28" si="25">IF(B28=0,0,IF(YEAR(B28)=$Q$1,MONTH(B28)-$P$1+1,(YEAR(B28)-$Q$1)*12-$P$1+1+MONTH(B28)))</f>
        <v>1</v>
      </c>
      <c r="Q28" s="330">
        <f t="shared" si="25"/>
        <v>-1</v>
      </c>
      <c r="R28" s="351" t="str">
        <f t="shared" si="3"/>
        <v>Gastos_Gerais</v>
      </c>
      <c r="S28" s="351" t="str">
        <f>IF(D28="","",IF(OR(D28=Plano!$A$1,D28=Plano!$B$1),"entrada","saída"))</f>
        <v>saída</v>
      </c>
      <c r="T28" s="334" t="s">
        <v>114</v>
      </c>
      <c r="U28" s="334" t="s">
        <v>114</v>
      </c>
      <c r="V28" s="344"/>
      <c r="W28" s="269"/>
    </row>
    <row r="29" spans="1:23" ht="57.75" customHeight="1" x14ac:dyDescent="0.2">
      <c r="A29" s="277">
        <f t="shared" si="0"/>
        <v>25</v>
      </c>
      <c r="B29" s="278">
        <v>44201</v>
      </c>
      <c r="C29" s="249">
        <v>44136</v>
      </c>
      <c r="D29" s="250" t="s">
        <v>99</v>
      </c>
      <c r="E29" s="250" t="s">
        <v>336</v>
      </c>
      <c r="F29" s="251">
        <v>68.540000000000006</v>
      </c>
      <c r="G29" s="255" t="s">
        <v>2509</v>
      </c>
      <c r="H29" s="250" t="s">
        <v>116</v>
      </c>
      <c r="I29" s="250" t="s">
        <v>465</v>
      </c>
      <c r="J29" s="250" t="s">
        <v>114</v>
      </c>
      <c r="K29" s="250" t="s">
        <v>466</v>
      </c>
      <c r="L29" s="250" t="s">
        <v>2505</v>
      </c>
      <c r="M29" s="255">
        <v>2100</v>
      </c>
      <c r="N29" s="278">
        <v>44201</v>
      </c>
      <c r="O29" s="329" t="s">
        <v>67</v>
      </c>
      <c r="P29" s="386">
        <f t="shared" ref="P29:Q29" si="26">IF(B29=0,0,IF(YEAR(B29)=$Q$1,MONTH(B29)-$P$1+1,(YEAR(B29)-$Q$1)*12-$P$1+1+MONTH(B29)))</f>
        <v>1</v>
      </c>
      <c r="Q29" s="330">
        <f t="shared" si="26"/>
        <v>-1</v>
      </c>
      <c r="R29" s="351" t="str">
        <f t="shared" si="3"/>
        <v>Gastos_Gerais</v>
      </c>
      <c r="S29" s="351" t="str">
        <f>IF(D29="","",IF(OR(D29=Plano!$A$1,D29=Plano!$B$1),"entrada","saída"))</f>
        <v>saída</v>
      </c>
      <c r="T29" s="334" t="s">
        <v>114</v>
      </c>
      <c r="U29" s="334" t="s">
        <v>114</v>
      </c>
      <c r="V29" s="344"/>
      <c r="W29" s="269"/>
    </row>
    <row r="30" spans="1:23" ht="69.75" customHeight="1" x14ac:dyDescent="0.2">
      <c r="A30" s="277">
        <f t="shared" si="0"/>
        <v>26</v>
      </c>
      <c r="B30" s="278">
        <v>44201</v>
      </c>
      <c r="C30" s="249">
        <v>44136</v>
      </c>
      <c r="D30" s="250" t="s">
        <v>99</v>
      </c>
      <c r="E30" s="250" t="s">
        <v>336</v>
      </c>
      <c r="F30" s="251">
        <v>69</v>
      </c>
      <c r="G30" s="255" t="s">
        <v>2510</v>
      </c>
      <c r="H30" s="250" t="s">
        <v>116</v>
      </c>
      <c r="I30" s="250" t="s">
        <v>465</v>
      </c>
      <c r="J30" s="250" t="s">
        <v>114</v>
      </c>
      <c r="K30" s="250" t="s">
        <v>466</v>
      </c>
      <c r="L30" s="250" t="s">
        <v>2505</v>
      </c>
      <c r="M30" s="255">
        <v>2101</v>
      </c>
      <c r="N30" s="278">
        <v>44201</v>
      </c>
      <c r="O30" s="329" t="s">
        <v>67</v>
      </c>
      <c r="P30" s="386">
        <f t="shared" ref="P30:Q30" si="27">IF(B30=0,0,IF(YEAR(B30)=$Q$1,MONTH(B30)-$P$1+1,(YEAR(B30)-$Q$1)*12-$P$1+1+MONTH(B30)))</f>
        <v>1</v>
      </c>
      <c r="Q30" s="330">
        <f t="shared" si="27"/>
        <v>-1</v>
      </c>
      <c r="R30" s="351" t="str">
        <f t="shared" si="3"/>
        <v>Gastos_Gerais</v>
      </c>
      <c r="S30" s="351" t="str">
        <f>IF(D30="","",IF(OR(D30=Plano!$A$1,D30=Plano!$B$1),"entrada","saída"))</f>
        <v>saída</v>
      </c>
      <c r="T30" s="334" t="s">
        <v>114</v>
      </c>
      <c r="U30" s="334" t="s">
        <v>114</v>
      </c>
      <c r="V30" s="344"/>
      <c r="W30" s="269"/>
    </row>
    <row r="31" spans="1:23" ht="56.25" customHeight="1" x14ac:dyDescent="0.2">
      <c r="A31" s="277">
        <f t="shared" si="0"/>
        <v>27</v>
      </c>
      <c r="B31" s="278">
        <v>44201</v>
      </c>
      <c r="C31" s="249">
        <v>44136</v>
      </c>
      <c r="D31" s="250" t="s">
        <v>99</v>
      </c>
      <c r="E31" s="250" t="s">
        <v>336</v>
      </c>
      <c r="F31" s="251">
        <v>75</v>
      </c>
      <c r="G31" s="255" t="s">
        <v>2511</v>
      </c>
      <c r="H31" s="250" t="s">
        <v>117</v>
      </c>
      <c r="I31" s="250" t="s">
        <v>465</v>
      </c>
      <c r="J31" s="250" t="s">
        <v>114</v>
      </c>
      <c r="K31" s="250" t="s">
        <v>466</v>
      </c>
      <c r="L31" s="250" t="s">
        <v>2505</v>
      </c>
      <c r="M31" s="255">
        <v>2102</v>
      </c>
      <c r="N31" s="278">
        <v>44201</v>
      </c>
      <c r="O31" s="329" t="s">
        <v>67</v>
      </c>
      <c r="P31" s="386">
        <f t="shared" ref="P31:Q31" si="28">IF(B31=0,0,IF(YEAR(B31)=$Q$1,MONTH(B31)-$P$1+1,(YEAR(B31)-$Q$1)*12-$P$1+1+MONTH(B31)))</f>
        <v>1</v>
      </c>
      <c r="Q31" s="330">
        <f t="shared" si="28"/>
        <v>-1</v>
      </c>
      <c r="R31" s="351" t="str">
        <f t="shared" si="3"/>
        <v>Gastos_Gerais</v>
      </c>
      <c r="S31" s="351" t="str">
        <f>IF(D31="","",IF(OR(D31=Plano!$A$1,D31=Plano!$B$1),"entrada","saída"))</f>
        <v>saída</v>
      </c>
      <c r="T31" s="334" t="s">
        <v>114</v>
      </c>
      <c r="U31" s="334" t="s">
        <v>114</v>
      </c>
      <c r="V31" s="344"/>
      <c r="W31" s="269"/>
    </row>
    <row r="32" spans="1:23" ht="44.25" customHeight="1" x14ac:dyDescent="0.2">
      <c r="A32" s="277">
        <f t="shared" si="0"/>
        <v>28</v>
      </c>
      <c r="B32" s="278">
        <v>44201</v>
      </c>
      <c r="C32" s="249">
        <v>44136</v>
      </c>
      <c r="D32" s="250" t="s">
        <v>99</v>
      </c>
      <c r="E32" s="250" t="s">
        <v>262</v>
      </c>
      <c r="F32" s="251">
        <v>80</v>
      </c>
      <c r="G32" s="255" t="s">
        <v>2512</v>
      </c>
      <c r="H32" s="250" t="s">
        <v>117</v>
      </c>
      <c r="I32" s="250" t="s">
        <v>465</v>
      </c>
      <c r="J32" s="250" t="s">
        <v>114</v>
      </c>
      <c r="K32" s="250" t="s">
        <v>466</v>
      </c>
      <c r="L32" s="250" t="s">
        <v>2505</v>
      </c>
      <c r="M32" s="255">
        <v>2103</v>
      </c>
      <c r="N32" s="278">
        <v>44201</v>
      </c>
      <c r="O32" s="329" t="s">
        <v>67</v>
      </c>
      <c r="P32" s="386">
        <f t="shared" ref="P32:Q32" si="29">IF(B32=0,0,IF(YEAR(B32)=$Q$1,MONTH(B32)-$P$1+1,(YEAR(B32)-$Q$1)*12-$P$1+1+MONTH(B32)))</f>
        <v>1</v>
      </c>
      <c r="Q32" s="330">
        <f t="shared" si="29"/>
        <v>-1</v>
      </c>
      <c r="R32" s="351" t="str">
        <f t="shared" si="3"/>
        <v>Gastos_Gerais</v>
      </c>
      <c r="S32" s="351" t="str">
        <f>IF(D32="","",IF(OR(D32=Plano!$A$1,D32=Plano!$B$1),"entrada","saída"))</f>
        <v>saída</v>
      </c>
      <c r="T32" s="334" t="s">
        <v>114</v>
      </c>
      <c r="U32" s="334" t="s">
        <v>114</v>
      </c>
      <c r="V32" s="344"/>
      <c r="W32" s="269"/>
    </row>
    <row r="33" spans="1:23" ht="44.25" customHeight="1" x14ac:dyDescent="0.2">
      <c r="A33" s="277">
        <f t="shared" si="0"/>
        <v>29</v>
      </c>
      <c r="B33" s="278">
        <v>44201</v>
      </c>
      <c r="C33" s="249">
        <v>44136</v>
      </c>
      <c r="D33" s="250" t="s">
        <v>99</v>
      </c>
      <c r="E33" s="250" t="s">
        <v>236</v>
      </c>
      <c r="F33" s="251">
        <v>45</v>
      </c>
      <c r="G33" s="255" t="s">
        <v>2513</v>
      </c>
      <c r="H33" s="250" t="s">
        <v>122</v>
      </c>
      <c r="I33" s="250" t="s">
        <v>465</v>
      </c>
      <c r="J33" s="250" t="s">
        <v>114</v>
      </c>
      <c r="K33" s="250" t="s">
        <v>466</v>
      </c>
      <c r="L33" s="250" t="s">
        <v>2505</v>
      </c>
      <c r="M33" s="255">
        <v>2104</v>
      </c>
      <c r="N33" s="278">
        <v>44201</v>
      </c>
      <c r="O33" s="329" t="s">
        <v>67</v>
      </c>
      <c r="P33" s="386">
        <f t="shared" ref="P33:Q33" si="30">IF(B33=0,0,IF(YEAR(B33)=$Q$1,MONTH(B33)-$P$1+1,(YEAR(B33)-$Q$1)*12-$P$1+1+MONTH(B33)))</f>
        <v>1</v>
      </c>
      <c r="Q33" s="330">
        <f t="shared" si="30"/>
        <v>-1</v>
      </c>
      <c r="R33" s="351" t="str">
        <f t="shared" si="3"/>
        <v>Gastos_Gerais</v>
      </c>
      <c r="S33" s="351" t="str">
        <f>IF(D33="","",IF(OR(D33=Plano!$A$1,D33=Plano!$B$1),"entrada","saída"))</f>
        <v>saída</v>
      </c>
      <c r="T33" s="334" t="s">
        <v>114</v>
      </c>
      <c r="U33" s="334" t="s">
        <v>114</v>
      </c>
      <c r="V33" s="344"/>
      <c r="W33" s="269"/>
    </row>
    <row r="34" spans="1:23" ht="58.5" customHeight="1" x14ac:dyDescent="0.2">
      <c r="A34" s="277">
        <f t="shared" si="0"/>
        <v>30</v>
      </c>
      <c r="B34" s="278">
        <v>44201</v>
      </c>
      <c r="C34" s="249">
        <v>44136</v>
      </c>
      <c r="D34" s="250" t="s">
        <v>99</v>
      </c>
      <c r="E34" s="250" t="s">
        <v>358</v>
      </c>
      <c r="F34" s="251">
        <v>22.5</v>
      </c>
      <c r="G34" s="255" t="s">
        <v>2514</v>
      </c>
      <c r="H34" s="250" t="s">
        <v>128</v>
      </c>
      <c r="I34" s="250" t="s">
        <v>465</v>
      </c>
      <c r="J34" s="250" t="s">
        <v>114</v>
      </c>
      <c r="K34" s="250" t="s">
        <v>466</v>
      </c>
      <c r="L34" s="250" t="s">
        <v>2505</v>
      </c>
      <c r="M34" s="255">
        <v>2105</v>
      </c>
      <c r="N34" s="278">
        <v>44201</v>
      </c>
      <c r="O34" s="329" t="s">
        <v>67</v>
      </c>
      <c r="P34" s="386">
        <f t="shared" ref="P34:Q34" si="31">IF(B34=0,0,IF(YEAR(B34)=$Q$1,MONTH(B34)-$P$1+1,(YEAR(B34)-$Q$1)*12-$P$1+1+MONTH(B34)))</f>
        <v>1</v>
      </c>
      <c r="Q34" s="330">
        <f t="shared" si="31"/>
        <v>-1</v>
      </c>
      <c r="R34" s="351" t="str">
        <f t="shared" si="3"/>
        <v>Gastos_Gerais</v>
      </c>
      <c r="S34" s="351" t="str">
        <f>IF(D34="","",IF(OR(D34=Plano!$A$1,D34=Plano!$B$1),"entrada","saída"))</f>
        <v>saída</v>
      </c>
      <c r="T34" s="334" t="s">
        <v>114</v>
      </c>
      <c r="U34" s="334" t="s">
        <v>114</v>
      </c>
      <c r="V34" s="344"/>
      <c r="W34" s="269"/>
    </row>
    <row r="35" spans="1:23" ht="48" customHeight="1" x14ac:dyDescent="0.2">
      <c r="A35" s="277">
        <f t="shared" si="0"/>
        <v>31</v>
      </c>
      <c r="B35" s="278">
        <v>44201</v>
      </c>
      <c r="C35" s="249">
        <v>44136</v>
      </c>
      <c r="D35" s="250" t="s">
        <v>99</v>
      </c>
      <c r="E35" s="250" t="s">
        <v>358</v>
      </c>
      <c r="F35" s="251">
        <v>22.5</v>
      </c>
      <c r="G35" s="255" t="s">
        <v>2515</v>
      </c>
      <c r="H35" s="250" t="s">
        <v>128</v>
      </c>
      <c r="I35" s="250" t="s">
        <v>465</v>
      </c>
      <c r="J35" s="250" t="s">
        <v>114</v>
      </c>
      <c r="K35" s="250" t="s">
        <v>466</v>
      </c>
      <c r="L35" s="250" t="s">
        <v>2505</v>
      </c>
      <c r="M35" s="255">
        <v>2106</v>
      </c>
      <c r="N35" s="278">
        <v>44201</v>
      </c>
      <c r="O35" s="329" t="s">
        <v>67</v>
      </c>
      <c r="P35" s="386">
        <f t="shared" ref="P35:Q35" si="32">IF(B35=0,0,IF(YEAR(B35)=$Q$1,MONTH(B35)-$P$1+1,(YEAR(B35)-$Q$1)*12-$P$1+1+MONTH(B35)))</f>
        <v>1</v>
      </c>
      <c r="Q35" s="330">
        <f t="shared" si="32"/>
        <v>-1</v>
      </c>
      <c r="R35" s="351" t="str">
        <f t="shared" si="3"/>
        <v>Gastos_Gerais</v>
      </c>
      <c r="S35" s="351" t="str">
        <f>IF(D35="","",IF(OR(D35=Plano!$A$1,D35=Plano!$B$1),"entrada","saída"))</f>
        <v>saída</v>
      </c>
      <c r="T35" s="334" t="s">
        <v>114</v>
      </c>
      <c r="U35" s="334" t="s">
        <v>114</v>
      </c>
      <c r="V35" s="344"/>
      <c r="W35" s="269"/>
    </row>
    <row r="36" spans="1:23" ht="51.75" customHeight="1" x14ac:dyDescent="0.2">
      <c r="A36" s="277">
        <f t="shared" si="0"/>
        <v>32</v>
      </c>
      <c r="B36" s="278">
        <v>44201</v>
      </c>
      <c r="C36" s="249">
        <v>44136</v>
      </c>
      <c r="D36" s="250" t="s">
        <v>99</v>
      </c>
      <c r="E36" s="250" t="s">
        <v>236</v>
      </c>
      <c r="F36" s="251">
        <v>105</v>
      </c>
      <c r="G36" s="255" t="s">
        <v>2516</v>
      </c>
      <c r="H36" s="250" t="s">
        <v>116</v>
      </c>
      <c r="I36" s="250" t="s">
        <v>465</v>
      </c>
      <c r="J36" s="250" t="s">
        <v>114</v>
      </c>
      <c r="K36" s="250" t="s">
        <v>466</v>
      </c>
      <c r="L36" s="250" t="s">
        <v>2505</v>
      </c>
      <c r="M36" s="255">
        <v>2107</v>
      </c>
      <c r="N36" s="278">
        <v>44201</v>
      </c>
      <c r="O36" s="329" t="s">
        <v>67</v>
      </c>
      <c r="P36" s="386">
        <f t="shared" ref="P36:Q36" si="33">IF(B36=0,0,IF(YEAR(B36)=$Q$1,MONTH(B36)-$P$1+1,(YEAR(B36)-$Q$1)*12-$P$1+1+MONTH(B36)))</f>
        <v>1</v>
      </c>
      <c r="Q36" s="330">
        <f t="shared" si="33"/>
        <v>-1</v>
      </c>
      <c r="R36" s="351" t="str">
        <f t="shared" si="3"/>
        <v>Gastos_Gerais</v>
      </c>
      <c r="S36" s="351" t="str">
        <f>IF(D36="","",IF(OR(D36=Plano!$A$1,D36=Plano!$B$1),"entrada","saída"))</f>
        <v>saída</v>
      </c>
      <c r="T36" s="334" t="s">
        <v>114</v>
      </c>
      <c r="U36" s="334" t="s">
        <v>114</v>
      </c>
      <c r="V36" s="344"/>
      <c r="W36" s="269"/>
    </row>
    <row r="37" spans="1:23" ht="39.75" customHeight="1" x14ac:dyDescent="0.2">
      <c r="A37" s="277">
        <f t="shared" si="0"/>
        <v>33</v>
      </c>
      <c r="B37" s="278">
        <v>44201</v>
      </c>
      <c r="C37" s="249">
        <v>44136</v>
      </c>
      <c r="D37" s="250" t="s">
        <v>99</v>
      </c>
      <c r="E37" s="250" t="s">
        <v>358</v>
      </c>
      <c r="F37" s="251">
        <v>15</v>
      </c>
      <c r="G37" s="255" t="s">
        <v>2517</v>
      </c>
      <c r="H37" s="250" t="s">
        <v>116</v>
      </c>
      <c r="I37" s="250" t="s">
        <v>465</v>
      </c>
      <c r="J37" s="250" t="s">
        <v>114</v>
      </c>
      <c r="K37" s="250" t="s">
        <v>466</v>
      </c>
      <c r="L37" s="250" t="s">
        <v>2505</v>
      </c>
      <c r="M37" s="255">
        <v>2108</v>
      </c>
      <c r="N37" s="278">
        <v>44201</v>
      </c>
      <c r="O37" s="329" t="s">
        <v>67</v>
      </c>
      <c r="P37" s="386">
        <f t="shared" ref="P37:Q37" si="34">IF(B37=0,0,IF(YEAR(B37)=$Q$1,MONTH(B37)-$P$1+1,(YEAR(B37)-$Q$1)*12-$P$1+1+MONTH(B37)))</f>
        <v>1</v>
      </c>
      <c r="Q37" s="330">
        <f t="shared" si="34"/>
        <v>-1</v>
      </c>
      <c r="R37" s="351" t="str">
        <f t="shared" si="3"/>
        <v>Gastos_Gerais</v>
      </c>
      <c r="S37" s="351" t="str">
        <f>IF(D37="","",IF(OR(D37=Plano!$A$1,D37=Plano!$B$1),"entrada","saída"))</f>
        <v>saída</v>
      </c>
      <c r="T37" s="334" t="s">
        <v>114</v>
      </c>
      <c r="U37" s="334" t="s">
        <v>114</v>
      </c>
      <c r="V37" s="344"/>
      <c r="W37" s="269"/>
    </row>
    <row r="38" spans="1:23" ht="57.75" customHeight="1" x14ac:dyDescent="0.2">
      <c r="A38" s="277">
        <f t="shared" si="0"/>
        <v>34</v>
      </c>
      <c r="B38" s="278">
        <v>44201</v>
      </c>
      <c r="C38" s="249">
        <v>44136</v>
      </c>
      <c r="D38" s="250" t="s">
        <v>99</v>
      </c>
      <c r="E38" s="250" t="s">
        <v>358</v>
      </c>
      <c r="F38" s="251">
        <v>50</v>
      </c>
      <c r="G38" s="255" t="s">
        <v>2518</v>
      </c>
      <c r="H38" s="250" t="s">
        <v>131</v>
      </c>
      <c r="I38" s="250" t="s">
        <v>465</v>
      </c>
      <c r="J38" s="250" t="s">
        <v>114</v>
      </c>
      <c r="K38" s="250" t="s">
        <v>466</v>
      </c>
      <c r="L38" s="250" t="s">
        <v>2505</v>
      </c>
      <c r="M38" s="255">
        <v>2109</v>
      </c>
      <c r="N38" s="278">
        <v>44201</v>
      </c>
      <c r="O38" s="329" t="s">
        <v>67</v>
      </c>
      <c r="P38" s="386">
        <f t="shared" ref="P38:Q38" si="35">IF(B38=0,0,IF(YEAR(B38)=$Q$1,MONTH(B38)-$P$1+1,(YEAR(B38)-$Q$1)*12-$P$1+1+MONTH(B38)))</f>
        <v>1</v>
      </c>
      <c r="Q38" s="330">
        <f t="shared" si="35"/>
        <v>-1</v>
      </c>
      <c r="R38" s="351" t="str">
        <f t="shared" si="3"/>
        <v>Gastos_Gerais</v>
      </c>
      <c r="S38" s="351" t="str">
        <f>IF(D38="","",IF(OR(D38=Plano!$A$1,D38=Plano!$B$1),"entrada","saída"))</f>
        <v>saída</v>
      </c>
      <c r="T38" s="334" t="s">
        <v>114</v>
      </c>
      <c r="U38" s="334" t="s">
        <v>114</v>
      </c>
      <c r="V38" s="344"/>
      <c r="W38" s="269"/>
    </row>
    <row r="39" spans="1:23" ht="51" customHeight="1" x14ac:dyDescent="0.2">
      <c r="A39" s="277">
        <f t="shared" si="0"/>
        <v>35</v>
      </c>
      <c r="B39" s="278">
        <v>44201</v>
      </c>
      <c r="C39" s="249">
        <v>44136</v>
      </c>
      <c r="D39" s="250" t="s">
        <v>99</v>
      </c>
      <c r="E39" s="250" t="s">
        <v>358</v>
      </c>
      <c r="F39" s="251">
        <v>50</v>
      </c>
      <c r="G39" s="255" t="s">
        <v>2519</v>
      </c>
      <c r="H39" s="250" t="s">
        <v>131</v>
      </c>
      <c r="I39" s="250" t="s">
        <v>465</v>
      </c>
      <c r="J39" s="250" t="s">
        <v>114</v>
      </c>
      <c r="K39" s="250" t="s">
        <v>466</v>
      </c>
      <c r="L39" s="250" t="s">
        <v>2505</v>
      </c>
      <c r="M39" s="255">
        <v>2110</v>
      </c>
      <c r="N39" s="278">
        <v>44201</v>
      </c>
      <c r="O39" s="329" t="s">
        <v>67</v>
      </c>
      <c r="P39" s="386">
        <f t="shared" ref="P39:Q39" si="36">IF(B39=0,0,IF(YEAR(B39)=$Q$1,MONTH(B39)-$P$1+1,(YEAR(B39)-$Q$1)*12-$P$1+1+MONTH(B39)))</f>
        <v>1</v>
      </c>
      <c r="Q39" s="330">
        <f t="shared" si="36"/>
        <v>-1</v>
      </c>
      <c r="R39" s="351" t="str">
        <f t="shared" si="3"/>
        <v>Gastos_Gerais</v>
      </c>
      <c r="S39" s="351" t="str">
        <f>IF(D39="","",IF(OR(D39=Plano!$A$1,D39=Plano!$B$1),"entrada","saída"))</f>
        <v>saída</v>
      </c>
      <c r="T39" s="334" t="s">
        <v>114</v>
      </c>
      <c r="U39" s="334" t="s">
        <v>114</v>
      </c>
      <c r="V39" s="344"/>
      <c r="W39" s="269"/>
    </row>
    <row r="40" spans="1:23" ht="62.25" customHeight="1" x14ac:dyDescent="0.2">
      <c r="A40" s="277">
        <f t="shared" si="0"/>
        <v>36</v>
      </c>
      <c r="B40" s="278">
        <v>44201</v>
      </c>
      <c r="C40" s="249">
        <v>44136</v>
      </c>
      <c r="D40" s="250" t="s">
        <v>99</v>
      </c>
      <c r="E40" s="250" t="s">
        <v>358</v>
      </c>
      <c r="F40" s="251">
        <v>50</v>
      </c>
      <c r="G40" s="255" t="s">
        <v>2520</v>
      </c>
      <c r="H40" s="250" t="s">
        <v>131</v>
      </c>
      <c r="I40" s="250" t="s">
        <v>465</v>
      </c>
      <c r="J40" s="250" t="s">
        <v>114</v>
      </c>
      <c r="K40" s="250" t="s">
        <v>466</v>
      </c>
      <c r="L40" s="250" t="s">
        <v>2505</v>
      </c>
      <c r="M40" s="255">
        <v>2111</v>
      </c>
      <c r="N40" s="278">
        <v>44201</v>
      </c>
      <c r="O40" s="329" t="s">
        <v>67</v>
      </c>
      <c r="P40" s="386">
        <f t="shared" ref="P40:Q40" si="37">IF(B40=0,0,IF(YEAR(B40)=$Q$1,MONTH(B40)-$P$1+1,(YEAR(B40)-$Q$1)*12-$P$1+1+MONTH(B40)))</f>
        <v>1</v>
      </c>
      <c r="Q40" s="330">
        <f t="shared" si="37"/>
        <v>-1</v>
      </c>
      <c r="R40" s="351" t="str">
        <f t="shared" si="3"/>
        <v>Gastos_Gerais</v>
      </c>
      <c r="S40" s="351" t="str">
        <f>IF(D40="","",IF(OR(D40=Plano!$A$1,D40=Plano!$B$1),"entrada","saída"))</f>
        <v>saída</v>
      </c>
      <c r="T40" s="334" t="s">
        <v>114</v>
      </c>
      <c r="U40" s="334" t="s">
        <v>114</v>
      </c>
      <c r="V40" s="344"/>
      <c r="W40" s="269"/>
    </row>
    <row r="41" spans="1:23" ht="51" customHeight="1" x14ac:dyDescent="0.2">
      <c r="A41" s="277">
        <f t="shared" si="0"/>
        <v>37</v>
      </c>
      <c r="B41" s="278">
        <v>44201</v>
      </c>
      <c r="C41" s="249">
        <v>44105</v>
      </c>
      <c r="D41" s="250" t="s">
        <v>99</v>
      </c>
      <c r="E41" s="250" t="s">
        <v>364</v>
      </c>
      <c r="F41" s="251">
        <v>50</v>
      </c>
      <c r="G41" s="255" t="s">
        <v>2521</v>
      </c>
      <c r="H41" s="250" t="s">
        <v>132</v>
      </c>
      <c r="I41" s="250" t="s">
        <v>465</v>
      </c>
      <c r="J41" s="250" t="s">
        <v>114</v>
      </c>
      <c r="K41" s="250" t="s">
        <v>466</v>
      </c>
      <c r="L41" s="250" t="s">
        <v>2505</v>
      </c>
      <c r="M41" s="255">
        <v>2112</v>
      </c>
      <c r="N41" s="278">
        <v>44201</v>
      </c>
      <c r="O41" s="329" t="s">
        <v>67</v>
      </c>
      <c r="P41" s="386">
        <f t="shared" ref="P41:Q41" si="38">IF(B41=0,0,IF(YEAR(B41)=$Q$1,MONTH(B41)-$P$1+1,(YEAR(B41)-$Q$1)*12-$P$1+1+MONTH(B41)))</f>
        <v>1</v>
      </c>
      <c r="Q41" s="330">
        <f t="shared" si="38"/>
        <v>-2</v>
      </c>
      <c r="R41" s="351" t="str">
        <f t="shared" si="3"/>
        <v>Gastos_Gerais</v>
      </c>
      <c r="S41" s="351" t="str">
        <f>IF(D41="","",IF(OR(D41=Plano!$A$1,D41=Plano!$B$1),"entrada","saída"))</f>
        <v>saída</v>
      </c>
      <c r="T41" s="334" t="s">
        <v>114</v>
      </c>
      <c r="U41" s="334" t="s">
        <v>114</v>
      </c>
      <c r="V41" s="344"/>
      <c r="W41" s="269"/>
    </row>
    <row r="42" spans="1:23" ht="57" customHeight="1" x14ac:dyDescent="0.2">
      <c r="A42" s="277">
        <f t="shared" si="0"/>
        <v>38</v>
      </c>
      <c r="B42" s="278">
        <v>44201</v>
      </c>
      <c r="C42" s="249">
        <v>44105</v>
      </c>
      <c r="D42" s="250" t="s">
        <v>99</v>
      </c>
      <c r="E42" s="250" t="s">
        <v>364</v>
      </c>
      <c r="F42" s="251">
        <v>50</v>
      </c>
      <c r="G42" s="255" t="s">
        <v>2522</v>
      </c>
      <c r="H42" s="250" t="s">
        <v>132</v>
      </c>
      <c r="I42" s="250" t="s">
        <v>465</v>
      </c>
      <c r="J42" s="250" t="s">
        <v>114</v>
      </c>
      <c r="K42" s="250" t="s">
        <v>466</v>
      </c>
      <c r="L42" s="250" t="s">
        <v>2505</v>
      </c>
      <c r="M42" s="255">
        <v>2113</v>
      </c>
      <c r="N42" s="278">
        <v>44201</v>
      </c>
      <c r="O42" s="329" t="s">
        <v>67</v>
      </c>
      <c r="P42" s="386">
        <f t="shared" ref="P42:Q42" si="39">IF(B42=0,0,IF(YEAR(B42)=$Q$1,MONTH(B42)-$P$1+1,(YEAR(B42)-$Q$1)*12-$P$1+1+MONTH(B42)))</f>
        <v>1</v>
      </c>
      <c r="Q42" s="330">
        <f t="shared" si="39"/>
        <v>-2</v>
      </c>
      <c r="R42" s="351" t="str">
        <f t="shared" si="3"/>
        <v>Gastos_Gerais</v>
      </c>
      <c r="S42" s="351" t="str">
        <f>IF(D42="","",IF(OR(D42=Plano!$A$1,D42=Plano!$B$1),"entrada","saída"))</f>
        <v>saída</v>
      </c>
      <c r="T42" s="334" t="s">
        <v>114</v>
      </c>
      <c r="U42" s="334" t="s">
        <v>114</v>
      </c>
      <c r="V42" s="344"/>
      <c r="W42" s="269"/>
    </row>
    <row r="43" spans="1:23" ht="44.25" customHeight="1" x14ac:dyDescent="0.2">
      <c r="A43" s="277">
        <f t="shared" si="0"/>
        <v>39</v>
      </c>
      <c r="B43" s="278">
        <v>44201</v>
      </c>
      <c r="C43" s="249">
        <v>44136</v>
      </c>
      <c r="D43" s="250" t="s">
        <v>99</v>
      </c>
      <c r="E43" s="250" t="s">
        <v>358</v>
      </c>
      <c r="F43" s="251">
        <v>50</v>
      </c>
      <c r="G43" s="255" t="s">
        <v>2523</v>
      </c>
      <c r="H43" s="250" t="s">
        <v>131</v>
      </c>
      <c r="I43" s="250" t="s">
        <v>465</v>
      </c>
      <c r="J43" s="250" t="s">
        <v>114</v>
      </c>
      <c r="K43" s="250" t="s">
        <v>466</v>
      </c>
      <c r="L43" s="250" t="s">
        <v>2505</v>
      </c>
      <c r="M43" s="255">
        <v>2114</v>
      </c>
      <c r="N43" s="278">
        <v>44201</v>
      </c>
      <c r="O43" s="329" t="s">
        <v>67</v>
      </c>
      <c r="P43" s="386">
        <f t="shared" ref="P43:Q43" si="40">IF(B43=0,0,IF(YEAR(B43)=$Q$1,MONTH(B43)-$P$1+1,(YEAR(B43)-$Q$1)*12-$P$1+1+MONTH(B43)))</f>
        <v>1</v>
      </c>
      <c r="Q43" s="330">
        <f t="shared" si="40"/>
        <v>-1</v>
      </c>
      <c r="R43" s="351" t="str">
        <f t="shared" si="3"/>
        <v>Gastos_Gerais</v>
      </c>
      <c r="S43" s="351" t="str">
        <f>IF(D43="","",IF(OR(D43=Plano!$A$1,D43=Plano!$B$1),"entrada","saída"))</f>
        <v>saída</v>
      </c>
      <c r="T43" s="334" t="s">
        <v>114</v>
      </c>
      <c r="U43" s="334" t="s">
        <v>114</v>
      </c>
      <c r="V43" s="344"/>
      <c r="W43" s="269"/>
    </row>
    <row r="44" spans="1:23" ht="61.5" customHeight="1" x14ac:dyDescent="0.2">
      <c r="A44" s="277">
        <f t="shared" si="0"/>
        <v>40</v>
      </c>
      <c r="B44" s="278">
        <v>44201</v>
      </c>
      <c r="C44" s="249">
        <v>44136</v>
      </c>
      <c r="D44" s="250" t="s">
        <v>99</v>
      </c>
      <c r="E44" s="250" t="s">
        <v>336</v>
      </c>
      <c r="F44" s="251">
        <v>15</v>
      </c>
      <c r="G44" s="255" t="s">
        <v>2524</v>
      </c>
      <c r="H44" s="250" t="s">
        <v>133</v>
      </c>
      <c r="I44" s="250" t="s">
        <v>465</v>
      </c>
      <c r="J44" s="250" t="s">
        <v>114</v>
      </c>
      <c r="K44" s="250" t="s">
        <v>466</v>
      </c>
      <c r="L44" s="250" t="s">
        <v>2505</v>
      </c>
      <c r="M44" s="255">
        <v>2115</v>
      </c>
      <c r="N44" s="278">
        <v>44201</v>
      </c>
      <c r="O44" s="329" t="s">
        <v>67</v>
      </c>
      <c r="P44" s="386">
        <f t="shared" ref="P44:Q44" si="41">IF(B44=0,0,IF(YEAR(B44)=$Q$1,MONTH(B44)-$P$1+1,(YEAR(B44)-$Q$1)*12-$P$1+1+MONTH(B44)))</f>
        <v>1</v>
      </c>
      <c r="Q44" s="330">
        <f t="shared" si="41"/>
        <v>-1</v>
      </c>
      <c r="R44" s="351" t="str">
        <f t="shared" si="3"/>
        <v>Gastos_Gerais</v>
      </c>
      <c r="S44" s="351" t="str">
        <f>IF(D44="","",IF(OR(D44=Plano!$A$1,D44=Plano!$B$1),"entrada","saída"))</f>
        <v>saída</v>
      </c>
      <c r="T44" s="334" t="s">
        <v>114</v>
      </c>
      <c r="U44" s="334" t="s">
        <v>114</v>
      </c>
      <c r="V44" s="344"/>
      <c r="W44" s="269"/>
    </row>
    <row r="45" spans="1:23" ht="120" customHeight="1" x14ac:dyDescent="0.2">
      <c r="A45" s="277">
        <f t="shared" si="0"/>
        <v>41</v>
      </c>
      <c r="B45" s="278">
        <v>44201</v>
      </c>
      <c r="C45" s="249">
        <v>44136</v>
      </c>
      <c r="D45" s="250" t="s">
        <v>99</v>
      </c>
      <c r="E45" s="250" t="s">
        <v>336</v>
      </c>
      <c r="F45" s="251">
        <v>15</v>
      </c>
      <c r="G45" s="255" t="s">
        <v>2525</v>
      </c>
      <c r="H45" s="250" t="s">
        <v>133</v>
      </c>
      <c r="I45" s="250" t="s">
        <v>465</v>
      </c>
      <c r="J45" s="250" t="s">
        <v>114</v>
      </c>
      <c r="K45" s="250" t="s">
        <v>466</v>
      </c>
      <c r="L45" s="250" t="s">
        <v>2505</v>
      </c>
      <c r="M45" s="255">
        <v>2116</v>
      </c>
      <c r="N45" s="278">
        <v>44201</v>
      </c>
      <c r="O45" s="329" t="s">
        <v>67</v>
      </c>
      <c r="P45" s="386">
        <f t="shared" ref="P45:Q45" si="42">IF(B45=0,0,IF(YEAR(B45)=$Q$1,MONTH(B45)-$P$1+1,(YEAR(B45)-$Q$1)*12-$P$1+1+MONTH(B45)))</f>
        <v>1</v>
      </c>
      <c r="Q45" s="330">
        <f t="shared" si="42"/>
        <v>-1</v>
      </c>
      <c r="R45" s="351" t="str">
        <f t="shared" si="3"/>
        <v>Gastos_Gerais</v>
      </c>
      <c r="S45" s="351" t="str">
        <f>IF(D45="","",IF(OR(D45=Plano!$A$1,D45=Plano!$B$1),"entrada","saída"))</f>
        <v>saída</v>
      </c>
      <c r="T45" s="334" t="s">
        <v>114</v>
      </c>
      <c r="U45" s="334" t="s">
        <v>114</v>
      </c>
      <c r="V45" s="344"/>
      <c r="W45" s="269"/>
    </row>
    <row r="46" spans="1:23" ht="69.75" customHeight="1" x14ac:dyDescent="0.2">
      <c r="A46" s="277">
        <f t="shared" si="0"/>
        <v>42</v>
      </c>
      <c r="B46" s="278">
        <v>44201</v>
      </c>
      <c r="C46" s="249">
        <v>44136</v>
      </c>
      <c r="D46" s="250" t="s">
        <v>99</v>
      </c>
      <c r="E46" s="250" t="s">
        <v>336</v>
      </c>
      <c r="F46" s="251">
        <v>15</v>
      </c>
      <c r="G46" s="255" t="s">
        <v>2526</v>
      </c>
      <c r="H46" s="250" t="s">
        <v>133</v>
      </c>
      <c r="I46" s="250" t="s">
        <v>465</v>
      </c>
      <c r="J46" s="250" t="s">
        <v>114</v>
      </c>
      <c r="K46" s="250" t="s">
        <v>466</v>
      </c>
      <c r="L46" s="250" t="s">
        <v>2505</v>
      </c>
      <c r="M46" s="255">
        <v>2117</v>
      </c>
      <c r="N46" s="278">
        <v>44201</v>
      </c>
      <c r="O46" s="329" t="s">
        <v>67</v>
      </c>
      <c r="P46" s="386">
        <f t="shared" ref="P46:Q46" si="43">IF(B46=0,0,IF(YEAR(B46)=$Q$1,MONTH(B46)-$P$1+1,(YEAR(B46)-$Q$1)*12-$P$1+1+MONTH(B46)))</f>
        <v>1</v>
      </c>
      <c r="Q46" s="330">
        <f t="shared" si="43"/>
        <v>-1</v>
      </c>
      <c r="R46" s="351" t="str">
        <f t="shared" si="3"/>
        <v>Gastos_Gerais</v>
      </c>
      <c r="S46" s="351" t="str">
        <f>IF(D46="","",IF(OR(D46=Plano!$A$1,D46=Plano!$B$1),"entrada","saída"))</f>
        <v>saída</v>
      </c>
      <c r="T46" s="334" t="s">
        <v>114</v>
      </c>
      <c r="U46" s="334" t="s">
        <v>114</v>
      </c>
      <c r="V46" s="344"/>
      <c r="W46" s="269"/>
    </row>
    <row r="47" spans="1:23" ht="69.75" customHeight="1" x14ac:dyDescent="0.2">
      <c r="A47" s="277">
        <f t="shared" si="0"/>
        <v>43</v>
      </c>
      <c r="B47" s="278">
        <v>44201</v>
      </c>
      <c r="C47" s="249">
        <v>44136</v>
      </c>
      <c r="D47" s="250" t="s">
        <v>99</v>
      </c>
      <c r="E47" s="250" t="s">
        <v>358</v>
      </c>
      <c r="F47" s="251">
        <v>15</v>
      </c>
      <c r="G47" s="255" t="s">
        <v>2527</v>
      </c>
      <c r="H47" s="250" t="s">
        <v>116</v>
      </c>
      <c r="I47" s="250" t="s">
        <v>465</v>
      </c>
      <c r="J47" s="250" t="s">
        <v>114</v>
      </c>
      <c r="K47" s="250" t="s">
        <v>466</v>
      </c>
      <c r="L47" s="250" t="s">
        <v>2505</v>
      </c>
      <c r="M47" s="255">
        <v>2118</v>
      </c>
      <c r="N47" s="278">
        <v>44201</v>
      </c>
      <c r="O47" s="329" t="s">
        <v>67</v>
      </c>
      <c r="P47" s="386">
        <f t="shared" ref="P47:Q47" si="44">IF(B47=0,0,IF(YEAR(B47)=$Q$1,MONTH(B47)-$P$1+1,(YEAR(B47)-$Q$1)*12-$P$1+1+MONTH(B47)))</f>
        <v>1</v>
      </c>
      <c r="Q47" s="330">
        <f t="shared" si="44"/>
        <v>-1</v>
      </c>
      <c r="R47" s="351" t="str">
        <f t="shared" si="3"/>
        <v>Gastos_Gerais</v>
      </c>
      <c r="S47" s="351" t="str">
        <f>IF(D47="","",IF(OR(D47=Plano!$A$1,D47=Plano!$B$1),"entrada","saída"))</f>
        <v>saída</v>
      </c>
      <c r="T47" s="334" t="s">
        <v>114</v>
      </c>
      <c r="U47" s="334" t="s">
        <v>114</v>
      </c>
      <c r="V47" s="344"/>
      <c r="W47" s="269"/>
    </row>
    <row r="48" spans="1:23" ht="69.75" customHeight="1" x14ac:dyDescent="0.2">
      <c r="A48" s="277">
        <f t="shared" si="0"/>
        <v>44</v>
      </c>
      <c r="B48" s="278">
        <v>44201</v>
      </c>
      <c r="C48" s="249">
        <v>44136</v>
      </c>
      <c r="D48" s="250" t="s">
        <v>99</v>
      </c>
      <c r="E48" s="250" t="s">
        <v>358</v>
      </c>
      <c r="F48" s="251">
        <v>15</v>
      </c>
      <c r="G48" s="255" t="s">
        <v>2528</v>
      </c>
      <c r="H48" s="250" t="s">
        <v>116</v>
      </c>
      <c r="I48" s="250" t="s">
        <v>465</v>
      </c>
      <c r="J48" s="250" t="s">
        <v>114</v>
      </c>
      <c r="K48" s="250" t="s">
        <v>466</v>
      </c>
      <c r="L48" s="250" t="s">
        <v>2505</v>
      </c>
      <c r="M48" s="255">
        <v>2119</v>
      </c>
      <c r="N48" s="278">
        <v>44201</v>
      </c>
      <c r="O48" s="329" t="s">
        <v>67</v>
      </c>
      <c r="P48" s="386">
        <f t="shared" ref="P48:Q48" si="45">IF(B48=0,0,IF(YEAR(B48)=$Q$1,MONTH(B48)-$P$1+1,(YEAR(B48)-$Q$1)*12-$P$1+1+MONTH(B48)))</f>
        <v>1</v>
      </c>
      <c r="Q48" s="330">
        <f t="shared" si="45"/>
        <v>-1</v>
      </c>
      <c r="R48" s="351" t="str">
        <f t="shared" si="3"/>
        <v>Gastos_Gerais</v>
      </c>
      <c r="S48" s="351" t="str">
        <f>IF(D48="","",IF(OR(D48=Plano!$A$1,D48=Plano!$B$1),"entrada","saída"))</f>
        <v>saída</v>
      </c>
      <c r="T48" s="334" t="s">
        <v>114</v>
      </c>
      <c r="U48" s="334" t="s">
        <v>114</v>
      </c>
      <c r="V48" s="344"/>
      <c r="W48" s="269"/>
    </row>
    <row r="49" spans="1:23" ht="69.75" customHeight="1" x14ac:dyDescent="0.2">
      <c r="A49" s="277">
        <f t="shared" si="0"/>
        <v>45</v>
      </c>
      <c r="B49" s="278">
        <v>44201</v>
      </c>
      <c r="C49" s="249">
        <v>44136</v>
      </c>
      <c r="D49" s="250" t="s">
        <v>99</v>
      </c>
      <c r="E49" s="250" t="s">
        <v>358</v>
      </c>
      <c r="F49" s="251">
        <v>15</v>
      </c>
      <c r="G49" s="255" t="s">
        <v>2529</v>
      </c>
      <c r="H49" s="250" t="s">
        <v>116</v>
      </c>
      <c r="I49" s="250" t="s">
        <v>465</v>
      </c>
      <c r="J49" s="250" t="s">
        <v>114</v>
      </c>
      <c r="K49" s="250" t="s">
        <v>466</v>
      </c>
      <c r="L49" s="250" t="s">
        <v>2505</v>
      </c>
      <c r="M49" s="255">
        <v>2120</v>
      </c>
      <c r="N49" s="278">
        <v>44201</v>
      </c>
      <c r="O49" s="329" t="s">
        <v>67</v>
      </c>
      <c r="P49" s="386">
        <f t="shared" ref="P49:Q49" si="46">IF(B49=0,0,IF(YEAR(B49)=$Q$1,MONTH(B49)-$P$1+1,(YEAR(B49)-$Q$1)*12-$P$1+1+MONTH(B49)))</f>
        <v>1</v>
      </c>
      <c r="Q49" s="330">
        <f t="shared" si="46"/>
        <v>-1</v>
      </c>
      <c r="R49" s="351" t="str">
        <f t="shared" si="3"/>
        <v>Gastos_Gerais</v>
      </c>
      <c r="S49" s="351" t="str">
        <f>IF(D49="","",IF(OR(D49=Plano!$A$1,D49=Plano!$B$1),"entrada","saída"))</f>
        <v>saída</v>
      </c>
      <c r="T49" s="334" t="s">
        <v>114</v>
      </c>
      <c r="U49" s="334" t="s">
        <v>114</v>
      </c>
      <c r="V49" s="344"/>
      <c r="W49" s="269"/>
    </row>
    <row r="50" spans="1:23" ht="69.75" customHeight="1" x14ac:dyDescent="0.2">
      <c r="A50" s="277">
        <f t="shared" si="0"/>
        <v>46</v>
      </c>
      <c r="B50" s="278">
        <v>44201</v>
      </c>
      <c r="C50" s="249">
        <v>44136</v>
      </c>
      <c r="D50" s="250" t="s">
        <v>99</v>
      </c>
      <c r="E50" s="250" t="s">
        <v>358</v>
      </c>
      <c r="F50" s="251">
        <v>50</v>
      </c>
      <c r="G50" s="255" t="s">
        <v>2530</v>
      </c>
      <c r="H50" s="250" t="s">
        <v>131</v>
      </c>
      <c r="I50" s="250" t="s">
        <v>465</v>
      </c>
      <c r="J50" s="250" t="s">
        <v>114</v>
      </c>
      <c r="K50" s="250" t="s">
        <v>466</v>
      </c>
      <c r="L50" s="250" t="s">
        <v>2505</v>
      </c>
      <c r="M50" s="255">
        <v>2121</v>
      </c>
      <c r="N50" s="278">
        <v>44201</v>
      </c>
      <c r="O50" s="329" t="s">
        <v>67</v>
      </c>
      <c r="P50" s="386">
        <f t="shared" ref="P50:Q50" si="47">IF(B50=0,0,IF(YEAR(B50)=$Q$1,MONTH(B50)-$P$1+1,(YEAR(B50)-$Q$1)*12-$P$1+1+MONTH(B50)))</f>
        <v>1</v>
      </c>
      <c r="Q50" s="330">
        <f t="shared" si="47"/>
        <v>-1</v>
      </c>
      <c r="R50" s="351" t="str">
        <f t="shared" si="3"/>
        <v>Gastos_Gerais</v>
      </c>
      <c r="S50" s="351" t="str">
        <f>IF(D50="","",IF(OR(D50=Plano!$A$1,D50=Plano!$B$1),"entrada","saída"))</f>
        <v>saída</v>
      </c>
      <c r="T50" s="334" t="s">
        <v>114</v>
      </c>
      <c r="U50" s="334" t="s">
        <v>114</v>
      </c>
      <c r="V50" s="344"/>
      <c r="W50" s="269"/>
    </row>
    <row r="51" spans="1:23" ht="69.75" customHeight="1" x14ac:dyDescent="0.2">
      <c r="A51" s="277">
        <f t="shared" si="0"/>
        <v>47</v>
      </c>
      <c r="B51" s="278">
        <v>44201</v>
      </c>
      <c r="C51" s="249">
        <v>44136</v>
      </c>
      <c r="D51" s="250" t="s">
        <v>99</v>
      </c>
      <c r="E51" s="250" t="s">
        <v>330</v>
      </c>
      <c r="F51" s="251">
        <v>240</v>
      </c>
      <c r="G51" s="255" t="s">
        <v>2531</v>
      </c>
      <c r="H51" s="250" t="s">
        <v>125</v>
      </c>
      <c r="I51" s="250" t="s">
        <v>465</v>
      </c>
      <c r="J51" s="250" t="s">
        <v>114</v>
      </c>
      <c r="K51" s="250" t="s">
        <v>466</v>
      </c>
      <c r="L51" s="250" t="s">
        <v>2505</v>
      </c>
      <c r="M51" s="255">
        <v>2122</v>
      </c>
      <c r="N51" s="278">
        <v>44201</v>
      </c>
      <c r="O51" s="329" t="s">
        <v>67</v>
      </c>
      <c r="P51" s="386">
        <f t="shared" ref="P51:Q51" si="48">IF(B51=0,0,IF(YEAR(B51)=$Q$1,MONTH(B51)-$P$1+1,(YEAR(B51)-$Q$1)*12-$P$1+1+MONTH(B51)))</f>
        <v>1</v>
      </c>
      <c r="Q51" s="330">
        <f t="shared" si="48"/>
        <v>-1</v>
      </c>
      <c r="R51" s="351" t="str">
        <f t="shared" si="3"/>
        <v>Gastos_Gerais</v>
      </c>
      <c r="S51" s="351" t="str">
        <f>IF(D51="","",IF(OR(D51=Plano!$A$1,D51=Plano!$B$1),"entrada","saída"))</f>
        <v>saída</v>
      </c>
      <c r="T51" s="334" t="s">
        <v>114</v>
      </c>
      <c r="U51" s="334" t="s">
        <v>114</v>
      </c>
      <c r="V51" s="344"/>
      <c r="W51" s="269"/>
    </row>
    <row r="52" spans="1:23" ht="69.75" customHeight="1" x14ac:dyDescent="0.2">
      <c r="A52" s="277">
        <f t="shared" si="0"/>
        <v>48</v>
      </c>
      <c r="B52" s="278">
        <v>44201</v>
      </c>
      <c r="C52" s="249">
        <v>44136</v>
      </c>
      <c r="D52" s="250" t="s">
        <v>99</v>
      </c>
      <c r="E52" s="250" t="s">
        <v>358</v>
      </c>
      <c r="F52" s="251">
        <v>50</v>
      </c>
      <c r="G52" s="255" t="s">
        <v>2532</v>
      </c>
      <c r="H52" s="250" t="s">
        <v>131</v>
      </c>
      <c r="I52" s="250" t="s">
        <v>465</v>
      </c>
      <c r="J52" s="250" t="s">
        <v>114</v>
      </c>
      <c r="K52" s="250" t="s">
        <v>466</v>
      </c>
      <c r="L52" s="250" t="s">
        <v>2505</v>
      </c>
      <c r="M52" s="255">
        <v>2123</v>
      </c>
      <c r="N52" s="278">
        <v>44201</v>
      </c>
      <c r="O52" s="329" t="s">
        <v>67</v>
      </c>
      <c r="P52" s="386">
        <f t="shared" ref="P52:Q52" si="49">IF(B52=0,0,IF(YEAR(B52)=$Q$1,MONTH(B52)-$P$1+1,(YEAR(B52)-$Q$1)*12-$P$1+1+MONTH(B52)))</f>
        <v>1</v>
      </c>
      <c r="Q52" s="330">
        <f t="shared" si="49"/>
        <v>-1</v>
      </c>
      <c r="R52" s="351" t="str">
        <f t="shared" si="3"/>
        <v>Gastos_Gerais</v>
      </c>
      <c r="S52" s="351" t="str">
        <f>IF(D52="","",IF(OR(D52=Plano!$A$1,D52=Plano!$B$1),"entrada","saída"))</f>
        <v>saída</v>
      </c>
      <c r="T52" s="334" t="s">
        <v>114</v>
      </c>
      <c r="U52" s="334" t="s">
        <v>114</v>
      </c>
      <c r="V52" s="344"/>
      <c r="W52" s="269"/>
    </row>
    <row r="53" spans="1:23" ht="69.75" customHeight="1" x14ac:dyDescent="0.2">
      <c r="A53" s="277">
        <f t="shared" si="0"/>
        <v>49</v>
      </c>
      <c r="B53" s="278">
        <v>44201</v>
      </c>
      <c r="C53" s="249">
        <v>44136</v>
      </c>
      <c r="D53" s="250" t="s">
        <v>99</v>
      </c>
      <c r="E53" s="250" t="s">
        <v>358</v>
      </c>
      <c r="F53" s="251">
        <v>75</v>
      </c>
      <c r="G53" s="255" t="s">
        <v>2533</v>
      </c>
      <c r="H53" s="250" t="s">
        <v>128</v>
      </c>
      <c r="I53" s="250" t="s">
        <v>465</v>
      </c>
      <c r="J53" s="250" t="s">
        <v>114</v>
      </c>
      <c r="K53" s="250" t="s">
        <v>466</v>
      </c>
      <c r="L53" s="250" t="s">
        <v>2505</v>
      </c>
      <c r="M53" s="255">
        <v>2124</v>
      </c>
      <c r="N53" s="278">
        <v>44201</v>
      </c>
      <c r="O53" s="329" t="s">
        <v>67</v>
      </c>
      <c r="P53" s="386">
        <f t="shared" ref="P53:Q53" si="50">IF(B53=0,0,IF(YEAR(B53)=$Q$1,MONTH(B53)-$P$1+1,(YEAR(B53)-$Q$1)*12-$P$1+1+MONTH(B53)))</f>
        <v>1</v>
      </c>
      <c r="Q53" s="330">
        <f t="shared" si="50"/>
        <v>-1</v>
      </c>
      <c r="R53" s="351" t="str">
        <f t="shared" si="3"/>
        <v>Gastos_Gerais</v>
      </c>
      <c r="S53" s="351" t="str">
        <f>IF(D53="","",IF(OR(D53=Plano!$A$1,D53=Plano!$B$1),"entrada","saída"))</f>
        <v>saída</v>
      </c>
      <c r="T53" s="334" t="s">
        <v>114</v>
      </c>
      <c r="U53" s="334" t="s">
        <v>114</v>
      </c>
      <c r="V53" s="344"/>
      <c r="W53" s="269"/>
    </row>
    <row r="54" spans="1:23" ht="69.75" customHeight="1" x14ac:dyDescent="0.2">
      <c r="A54" s="277">
        <f t="shared" si="0"/>
        <v>50</v>
      </c>
      <c r="B54" s="278">
        <v>44201</v>
      </c>
      <c r="C54" s="249">
        <v>44136</v>
      </c>
      <c r="D54" s="250" t="s">
        <v>99</v>
      </c>
      <c r="E54" s="250" t="s">
        <v>358</v>
      </c>
      <c r="F54" s="251">
        <v>30</v>
      </c>
      <c r="G54" s="255" t="s">
        <v>2534</v>
      </c>
      <c r="H54" s="250" t="s">
        <v>122</v>
      </c>
      <c r="I54" s="250" t="s">
        <v>465</v>
      </c>
      <c r="J54" s="250" t="s">
        <v>114</v>
      </c>
      <c r="K54" s="250" t="s">
        <v>466</v>
      </c>
      <c r="L54" s="250" t="s">
        <v>2505</v>
      </c>
      <c r="M54" s="255">
        <v>2125</v>
      </c>
      <c r="N54" s="278">
        <v>44201</v>
      </c>
      <c r="O54" s="329" t="s">
        <v>67</v>
      </c>
      <c r="P54" s="386">
        <f t="shared" ref="P54:Q54" si="51">IF(B54=0,0,IF(YEAR(B54)=$Q$1,MONTH(B54)-$P$1+1,(YEAR(B54)-$Q$1)*12-$P$1+1+MONTH(B54)))</f>
        <v>1</v>
      </c>
      <c r="Q54" s="330">
        <f t="shared" si="51"/>
        <v>-1</v>
      </c>
      <c r="R54" s="351" t="str">
        <f t="shared" si="3"/>
        <v>Gastos_Gerais</v>
      </c>
      <c r="S54" s="351" t="str">
        <f>IF(D54="","",IF(OR(D54=Plano!$A$1,D54=Plano!$B$1),"entrada","saída"))</f>
        <v>saída</v>
      </c>
      <c r="T54" s="334" t="s">
        <v>114</v>
      </c>
      <c r="U54" s="334" t="s">
        <v>114</v>
      </c>
      <c r="V54" s="344"/>
      <c r="W54" s="269"/>
    </row>
    <row r="55" spans="1:23" ht="69.75" customHeight="1" x14ac:dyDescent="0.2">
      <c r="A55" s="277">
        <f t="shared" si="0"/>
        <v>51</v>
      </c>
      <c r="B55" s="278">
        <v>44201</v>
      </c>
      <c r="C55" s="249">
        <v>44136</v>
      </c>
      <c r="D55" s="250" t="s">
        <v>99</v>
      </c>
      <c r="E55" s="250" t="s">
        <v>358</v>
      </c>
      <c r="F55" s="251">
        <v>36</v>
      </c>
      <c r="G55" s="255" t="s">
        <v>2535</v>
      </c>
      <c r="H55" s="250" t="s">
        <v>128</v>
      </c>
      <c r="I55" s="250" t="s">
        <v>465</v>
      </c>
      <c r="J55" s="250" t="s">
        <v>114</v>
      </c>
      <c r="K55" s="250" t="s">
        <v>466</v>
      </c>
      <c r="L55" s="250" t="s">
        <v>2505</v>
      </c>
      <c r="M55" s="255">
        <v>2126</v>
      </c>
      <c r="N55" s="278">
        <v>44201</v>
      </c>
      <c r="O55" s="329" t="s">
        <v>67</v>
      </c>
      <c r="P55" s="386">
        <f t="shared" ref="P55:Q55" si="52">IF(B55=0,0,IF(YEAR(B55)=$Q$1,MONTH(B55)-$P$1+1,(YEAR(B55)-$Q$1)*12-$P$1+1+MONTH(B55)))</f>
        <v>1</v>
      </c>
      <c r="Q55" s="330">
        <f t="shared" si="52"/>
        <v>-1</v>
      </c>
      <c r="R55" s="351" t="str">
        <f t="shared" si="3"/>
        <v>Gastos_Gerais</v>
      </c>
      <c r="S55" s="351" t="str">
        <f>IF(D55="","",IF(OR(D55=Plano!$A$1,D55=Plano!$B$1),"entrada","saída"))</f>
        <v>saída</v>
      </c>
      <c r="T55" s="334" t="s">
        <v>114</v>
      </c>
      <c r="U55" s="334" t="s">
        <v>114</v>
      </c>
      <c r="V55" s="344"/>
      <c r="W55" s="269"/>
    </row>
    <row r="56" spans="1:23" ht="69.75" customHeight="1" x14ac:dyDescent="0.2">
      <c r="A56" s="277">
        <f t="shared" si="0"/>
        <v>52</v>
      </c>
      <c r="B56" s="278">
        <v>44201</v>
      </c>
      <c r="C56" s="249">
        <v>44166</v>
      </c>
      <c r="D56" s="250" t="s">
        <v>99</v>
      </c>
      <c r="E56" s="250" t="s">
        <v>358</v>
      </c>
      <c r="F56" s="251">
        <v>33.35</v>
      </c>
      <c r="G56" s="255" t="s">
        <v>2536</v>
      </c>
      <c r="H56" s="250" t="s">
        <v>131</v>
      </c>
      <c r="I56" s="250" t="s">
        <v>465</v>
      </c>
      <c r="J56" s="250" t="s">
        <v>114</v>
      </c>
      <c r="K56" s="250" t="s">
        <v>466</v>
      </c>
      <c r="L56" s="250" t="s">
        <v>2505</v>
      </c>
      <c r="M56" s="255">
        <v>2127</v>
      </c>
      <c r="N56" s="278">
        <v>44201</v>
      </c>
      <c r="O56" s="329" t="s">
        <v>67</v>
      </c>
      <c r="P56" s="386">
        <f t="shared" ref="P56:Q56" si="53">IF(B56=0,0,IF(YEAR(B56)=$Q$1,MONTH(B56)-$P$1+1,(YEAR(B56)-$Q$1)*12-$P$1+1+MONTH(B56)))</f>
        <v>1</v>
      </c>
      <c r="Q56" s="330">
        <f t="shared" si="53"/>
        <v>0</v>
      </c>
      <c r="R56" s="351" t="str">
        <f t="shared" si="3"/>
        <v>Gastos_Gerais</v>
      </c>
      <c r="S56" s="351" t="str">
        <f>IF(D56="","",IF(OR(D56=Plano!$A$1,D56=Plano!$B$1),"entrada","saída"))</f>
        <v>saída</v>
      </c>
      <c r="T56" s="334" t="s">
        <v>114</v>
      </c>
      <c r="U56" s="334" t="s">
        <v>114</v>
      </c>
      <c r="V56" s="344"/>
      <c r="W56" s="269"/>
    </row>
    <row r="57" spans="1:23" ht="69.75" customHeight="1" x14ac:dyDescent="0.2">
      <c r="A57" s="277">
        <f t="shared" si="0"/>
        <v>53</v>
      </c>
      <c r="B57" s="278">
        <v>44201</v>
      </c>
      <c r="C57" s="249">
        <v>44166</v>
      </c>
      <c r="D57" s="250" t="s">
        <v>99</v>
      </c>
      <c r="E57" s="250" t="s">
        <v>358</v>
      </c>
      <c r="F57" s="251">
        <v>50</v>
      </c>
      <c r="G57" s="255" t="s">
        <v>2537</v>
      </c>
      <c r="H57" s="250" t="s">
        <v>131</v>
      </c>
      <c r="I57" s="250" t="s">
        <v>465</v>
      </c>
      <c r="J57" s="250" t="s">
        <v>114</v>
      </c>
      <c r="K57" s="250" t="s">
        <v>466</v>
      </c>
      <c r="L57" s="250" t="s">
        <v>2505</v>
      </c>
      <c r="M57" s="255">
        <v>2128</v>
      </c>
      <c r="N57" s="278">
        <v>44201</v>
      </c>
      <c r="O57" s="329" t="s">
        <v>67</v>
      </c>
      <c r="P57" s="386">
        <f t="shared" ref="P57:Q57" si="54">IF(B57=0,0,IF(YEAR(B57)=$Q$1,MONTH(B57)-$P$1+1,(YEAR(B57)-$Q$1)*12-$P$1+1+MONTH(B57)))</f>
        <v>1</v>
      </c>
      <c r="Q57" s="330">
        <f t="shared" si="54"/>
        <v>0</v>
      </c>
      <c r="R57" s="351" t="str">
        <f t="shared" si="3"/>
        <v>Gastos_Gerais</v>
      </c>
      <c r="S57" s="351" t="str">
        <f>IF(D57="","",IF(OR(D57=Plano!$A$1,D57=Plano!$B$1),"entrada","saída"))</f>
        <v>saída</v>
      </c>
      <c r="T57" s="334" t="s">
        <v>114</v>
      </c>
      <c r="U57" s="334" t="s">
        <v>114</v>
      </c>
      <c r="V57" s="344"/>
      <c r="W57" s="269"/>
    </row>
    <row r="58" spans="1:23" ht="69.75" customHeight="1" x14ac:dyDescent="0.2">
      <c r="A58" s="277">
        <f t="shared" si="0"/>
        <v>54</v>
      </c>
      <c r="B58" s="278">
        <v>44201</v>
      </c>
      <c r="C58" s="249">
        <v>44136</v>
      </c>
      <c r="D58" s="250" t="s">
        <v>99</v>
      </c>
      <c r="E58" s="250" t="s">
        <v>364</v>
      </c>
      <c r="F58" s="251">
        <v>15</v>
      </c>
      <c r="G58" s="255" t="s">
        <v>2538</v>
      </c>
      <c r="H58" s="250" t="s">
        <v>116</v>
      </c>
      <c r="I58" s="250" t="s">
        <v>465</v>
      </c>
      <c r="J58" s="250" t="s">
        <v>114</v>
      </c>
      <c r="K58" s="250" t="s">
        <v>466</v>
      </c>
      <c r="L58" s="250" t="s">
        <v>2505</v>
      </c>
      <c r="M58" s="255">
        <v>2129</v>
      </c>
      <c r="N58" s="278">
        <v>44201</v>
      </c>
      <c r="O58" s="329" t="s">
        <v>67</v>
      </c>
      <c r="P58" s="386">
        <f t="shared" ref="P58:Q58" si="55">IF(B58=0,0,IF(YEAR(B58)=$Q$1,MONTH(B58)-$P$1+1,(YEAR(B58)-$Q$1)*12-$P$1+1+MONTH(B58)))</f>
        <v>1</v>
      </c>
      <c r="Q58" s="330">
        <f t="shared" si="55"/>
        <v>-1</v>
      </c>
      <c r="R58" s="351" t="str">
        <f t="shared" si="3"/>
        <v>Gastos_Gerais</v>
      </c>
      <c r="S58" s="351" t="str">
        <f>IF(D58="","",IF(OR(D58=Plano!$A$1,D58=Plano!$B$1),"entrada","saída"))</f>
        <v>saída</v>
      </c>
      <c r="T58" s="334" t="s">
        <v>114</v>
      </c>
      <c r="U58" s="334" t="s">
        <v>114</v>
      </c>
      <c r="V58" s="344"/>
      <c r="W58" s="269"/>
    </row>
    <row r="59" spans="1:23" ht="69.75" customHeight="1" x14ac:dyDescent="0.2">
      <c r="A59" s="277">
        <f t="shared" si="0"/>
        <v>55</v>
      </c>
      <c r="B59" s="278">
        <v>44201</v>
      </c>
      <c r="C59" s="249">
        <v>44136</v>
      </c>
      <c r="D59" s="250" t="s">
        <v>99</v>
      </c>
      <c r="E59" s="250" t="s">
        <v>336</v>
      </c>
      <c r="F59" s="251">
        <v>15</v>
      </c>
      <c r="G59" s="255" t="s">
        <v>2539</v>
      </c>
      <c r="H59" s="250" t="s">
        <v>133</v>
      </c>
      <c r="I59" s="250" t="s">
        <v>465</v>
      </c>
      <c r="J59" s="250" t="s">
        <v>114</v>
      </c>
      <c r="K59" s="250" t="s">
        <v>466</v>
      </c>
      <c r="L59" s="250" t="s">
        <v>2505</v>
      </c>
      <c r="M59" s="255">
        <v>2130</v>
      </c>
      <c r="N59" s="278">
        <v>44201</v>
      </c>
      <c r="O59" s="329" t="s">
        <v>67</v>
      </c>
      <c r="P59" s="386">
        <f t="shared" ref="P59:Q59" si="56">IF(B59=0,0,IF(YEAR(B59)=$Q$1,MONTH(B59)-$P$1+1,(YEAR(B59)-$Q$1)*12-$P$1+1+MONTH(B59)))</f>
        <v>1</v>
      </c>
      <c r="Q59" s="330">
        <f t="shared" si="56"/>
        <v>-1</v>
      </c>
      <c r="R59" s="351" t="str">
        <f t="shared" si="3"/>
        <v>Gastos_Gerais</v>
      </c>
      <c r="S59" s="351" t="str">
        <f>IF(D59="","",IF(OR(D59=Plano!$A$1,D59=Plano!$B$1),"entrada","saída"))</f>
        <v>saída</v>
      </c>
      <c r="T59" s="334" t="s">
        <v>114</v>
      </c>
      <c r="U59" s="334" t="s">
        <v>114</v>
      </c>
      <c r="V59" s="344"/>
      <c r="W59" s="269"/>
    </row>
    <row r="60" spans="1:23" ht="69.75" customHeight="1" x14ac:dyDescent="0.2">
      <c r="A60" s="277">
        <f t="shared" si="0"/>
        <v>56</v>
      </c>
      <c r="B60" s="278">
        <v>44201</v>
      </c>
      <c r="C60" s="249">
        <v>44136</v>
      </c>
      <c r="D60" s="250" t="s">
        <v>99</v>
      </c>
      <c r="E60" s="250" t="s">
        <v>358</v>
      </c>
      <c r="F60" s="251">
        <v>36</v>
      </c>
      <c r="G60" s="255" t="s">
        <v>2540</v>
      </c>
      <c r="H60" s="250" t="s">
        <v>128</v>
      </c>
      <c r="I60" s="250" t="s">
        <v>465</v>
      </c>
      <c r="J60" s="250" t="s">
        <v>114</v>
      </c>
      <c r="K60" s="250" t="s">
        <v>466</v>
      </c>
      <c r="L60" s="250" t="s">
        <v>2505</v>
      </c>
      <c r="M60" s="255">
        <v>2131</v>
      </c>
      <c r="N60" s="278">
        <v>44201</v>
      </c>
      <c r="O60" s="329" t="s">
        <v>67</v>
      </c>
      <c r="P60" s="386">
        <f t="shared" ref="P60:Q60" si="57">IF(B60=0,0,IF(YEAR(B60)=$Q$1,MONTH(B60)-$P$1+1,(YEAR(B60)-$Q$1)*12-$P$1+1+MONTH(B60)))</f>
        <v>1</v>
      </c>
      <c r="Q60" s="330">
        <f t="shared" si="57"/>
        <v>-1</v>
      </c>
      <c r="R60" s="351" t="str">
        <f t="shared" si="3"/>
        <v>Gastos_Gerais</v>
      </c>
      <c r="S60" s="351" t="str">
        <f>IF(D60="","",IF(OR(D60=Plano!$A$1,D60=Plano!$B$1),"entrada","saída"))</f>
        <v>saída</v>
      </c>
      <c r="T60" s="334" t="s">
        <v>114</v>
      </c>
      <c r="U60" s="334" t="s">
        <v>114</v>
      </c>
      <c r="V60" s="344"/>
      <c r="W60" s="269"/>
    </row>
    <row r="61" spans="1:23" ht="69.75" customHeight="1" x14ac:dyDescent="0.2">
      <c r="A61" s="277">
        <f t="shared" si="0"/>
        <v>57</v>
      </c>
      <c r="B61" s="278">
        <v>44201</v>
      </c>
      <c r="C61" s="249">
        <v>44044</v>
      </c>
      <c r="D61" s="250" t="s">
        <v>99</v>
      </c>
      <c r="E61" s="250" t="s">
        <v>330</v>
      </c>
      <c r="F61" s="251">
        <v>125</v>
      </c>
      <c r="G61" s="255" t="s">
        <v>2541</v>
      </c>
      <c r="H61" s="250" t="s">
        <v>134</v>
      </c>
      <c r="I61" s="250" t="s">
        <v>465</v>
      </c>
      <c r="J61" s="250" t="s">
        <v>114</v>
      </c>
      <c r="K61" s="250" t="s">
        <v>466</v>
      </c>
      <c r="L61" s="250" t="s">
        <v>2505</v>
      </c>
      <c r="M61" s="255">
        <v>2132</v>
      </c>
      <c r="N61" s="278">
        <v>44201</v>
      </c>
      <c r="O61" s="329" t="s">
        <v>67</v>
      </c>
      <c r="P61" s="386">
        <f t="shared" ref="P61:Q61" si="58">IF(B61=0,0,IF(YEAR(B61)=$Q$1,MONTH(B61)-$P$1+1,(YEAR(B61)-$Q$1)*12-$P$1+1+MONTH(B61)))</f>
        <v>1</v>
      </c>
      <c r="Q61" s="330">
        <f t="shared" si="58"/>
        <v>-4</v>
      </c>
      <c r="R61" s="351" t="str">
        <f t="shared" si="3"/>
        <v>Gastos_Gerais</v>
      </c>
      <c r="S61" s="351" t="str">
        <f>IF(D61="","",IF(OR(D61=Plano!$A$1,D61=Plano!$B$1),"entrada","saída"))</f>
        <v>saída</v>
      </c>
      <c r="T61" s="334" t="s">
        <v>114</v>
      </c>
      <c r="U61" s="334" t="s">
        <v>114</v>
      </c>
      <c r="V61" s="344"/>
      <c r="W61" s="269"/>
    </row>
    <row r="62" spans="1:23" ht="69.75" customHeight="1" x14ac:dyDescent="0.2">
      <c r="A62" s="277">
        <f t="shared" si="0"/>
        <v>58</v>
      </c>
      <c r="B62" s="278">
        <v>44201</v>
      </c>
      <c r="C62" s="249">
        <v>44166</v>
      </c>
      <c r="D62" s="250" t="s">
        <v>99</v>
      </c>
      <c r="E62" s="250" t="s">
        <v>352</v>
      </c>
      <c r="F62" s="251">
        <v>180</v>
      </c>
      <c r="G62" s="255" t="s">
        <v>2542</v>
      </c>
      <c r="H62" s="250" t="s">
        <v>125</v>
      </c>
      <c r="I62" s="250" t="s">
        <v>465</v>
      </c>
      <c r="J62" s="250" t="s">
        <v>114</v>
      </c>
      <c r="K62" s="250" t="s">
        <v>466</v>
      </c>
      <c r="L62" s="250" t="s">
        <v>2505</v>
      </c>
      <c r="M62" s="255">
        <v>2133</v>
      </c>
      <c r="N62" s="278">
        <v>44201</v>
      </c>
      <c r="O62" s="329" t="s">
        <v>67</v>
      </c>
      <c r="P62" s="386">
        <f t="shared" ref="P62:Q62" si="59">IF(B62=0,0,IF(YEAR(B62)=$Q$1,MONTH(B62)-$P$1+1,(YEAR(B62)-$Q$1)*12-$P$1+1+MONTH(B62)))</f>
        <v>1</v>
      </c>
      <c r="Q62" s="330">
        <f t="shared" si="59"/>
        <v>0</v>
      </c>
      <c r="R62" s="351" t="str">
        <f t="shared" si="3"/>
        <v>Gastos_Gerais</v>
      </c>
      <c r="S62" s="351" t="str">
        <f>IF(D62="","",IF(OR(D62=Plano!$A$1,D62=Plano!$B$1),"entrada","saída"))</f>
        <v>saída</v>
      </c>
      <c r="T62" s="334" t="s">
        <v>114</v>
      </c>
      <c r="U62" s="334" t="s">
        <v>114</v>
      </c>
      <c r="V62" s="344"/>
      <c r="W62" s="269"/>
    </row>
    <row r="63" spans="1:23" ht="69.75" customHeight="1" x14ac:dyDescent="0.2">
      <c r="A63" s="277">
        <f t="shared" si="0"/>
        <v>59</v>
      </c>
      <c r="B63" s="278">
        <v>44201</v>
      </c>
      <c r="C63" s="249">
        <v>44136</v>
      </c>
      <c r="D63" s="250" t="s">
        <v>99</v>
      </c>
      <c r="E63" s="250" t="s">
        <v>358</v>
      </c>
      <c r="F63" s="251">
        <v>36</v>
      </c>
      <c r="G63" s="255" t="s">
        <v>2543</v>
      </c>
      <c r="H63" s="250" t="s">
        <v>128</v>
      </c>
      <c r="I63" s="250" t="s">
        <v>465</v>
      </c>
      <c r="J63" s="250" t="s">
        <v>114</v>
      </c>
      <c r="K63" s="250" t="s">
        <v>466</v>
      </c>
      <c r="L63" s="250" t="s">
        <v>2505</v>
      </c>
      <c r="M63" s="255">
        <v>2134</v>
      </c>
      <c r="N63" s="278">
        <v>44201</v>
      </c>
      <c r="O63" s="329" t="s">
        <v>67</v>
      </c>
      <c r="P63" s="386">
        <f t="shared" ref="P63:Q63" si="60">IF(B63=0,0,IF(YEAR(B63)=$Q$1,MONTH(B63)-$P$1+1,(YEAR(B63)-$Q$1)*12-$P$1+1+MONTH(B63)))</f>
        <v>1</v>
      </c>
      <c r="Q63" s="330">
        <f t="shared" si="60"/>
        <v>-1</v>
      </c>
      <c r="R63" s="351" t="str">
        <f t="shared" si="3"/>
        <v>Gastos_Gerais</v>
      </c>
      <c r="S63" s="351" t="str">
        <f>IF(D63="","",IF(OR(D63=Plano!$A$1,D63=Plano!$B$1),"entrada","saída"))</f>
        <v>saída</v>
      </c>
      <c r="T63" s="334" t="s">
        <v>114</v>
      </c>
      <c r="U63" s="334" t="s">
        <v>114</v>
      </c>
      <c r="V63" s="344"/>
      <c r="W63" s="269"/>
    </row>
    <row r="64" spans="1:23" ht="69.75" customHeight="1" x14ac:dyDescent="0.2">
      <c r="A64" s="277">
        <f t="shared" si="0"/>
        <v>60</v>
      </c>
      <c r="B64" s="278">
        <v>44201</v>
      </c>
      <c r="C64" s="249">
        <v>44136</v>
      </c>
      <c r="D64" s="250" t="s">
        <v>99</v>
      </c>
      <c r="E64" s="250" t="s">
        <v>358</v>
      </c>
      <c r="F64" s="251">
        <v>18.75</v>
      </c>
      <c r="G64" s="255" t="s">
        <v>2544</v>
      </c>
      <c r="H64" s="250" t="s">
        <v>125</v>
      </c>
      <c r="I64" s="250" t="s">
        <v>465</v>
      </c>
      <c r="J64" s="250" t="s">
        <v>114</v>
      </c>
      <c r="K64" s="250" t="s">
        <v>466</v>
      </c>
      <c r="L64" s="250" t="s">
        <v>2505</v>
      </c>
      <c r="M64" s="255">
        <v>2135</v>
      </c>
      <c r="N64" s="278">
        <v>44201</v>
      </c>
      <c r="O64" s="329" t="s">
        <v>67</v>
      </c>
      <c r="P64" s="386">
        <f t="shared" ref="P64:Q64" si="61">IF(B64=0,0,IF(YEAR(B64)=$Q$1,MONTH(B64)-$P$1+1,(YEAR(B64)-$Q$1)*12-$P$1+1+MONTH(B64)))</f>
        <v>1</v>
      </c>
      <c r="Q64" s="330">
        <f t="shared" si="61"/>
        <v>-1</v>
      </c>
      <c r="R64" s="351" t="str">
        <f t="shared" si="3"/>
        <v>Gastos_Gerais</v>
      </c>
      <c r="S64" s="351" t="str">
        <f>IF(D64="","",IF(OR(D64=Plano!$A$1,D64=Plano!$B$1),"entrada","saída"))</f>
        <v>saída</v>
      </c>
      <c r="T64" s="334" t="s">
        <v>114</v>
      </c>
      <c r="U64" s="334" t="s">
        <v>114</v>
      </c>
      <c r="V64" s="344"/>
      <c r="W64" s="269"/>
    </row>
    <row r="65" spans="1:23" ht="69.75" customHeight="1" x14ac:dyDescent="0.2">
      <c r="A65" s="277">
        <f t="shared" si="0"/>
        <v>61</v>
      </c>
      <c r="B65" s="278">
        <v>44201</v>
      </c>
      <c r="C65" s="249">
        <v>44136</v>
      </c>
      <c r="D65" s="250" t="s">
        <v>99</v>
      </c>
      <c r="E65" s="250" t="s">
        <v>262</v>
      </c>
      <c r="F65" s="251">
        <v>150</v>
      </c>
      <c r="G65" s="255" t="s">
        <v>2545</v>
      </c>
      <c r="H65" s="250" t="s">
        <v>131</v>
      </c>
      <c r="I65" s="250" t="s">
        <v>465</v>
      </c>
      <c r="J65" s="250" t="s">
        <v>114</v>
      </c>
      <c r="K65" s="250" t="s">
        <v>466</v>
      </c>
      <c r="L65" s="250" t="s">
        <v>2505</v>
      </c>
      <c r="M65" s="255">
        <v>2136</v>
      </c>
      <c r="N65" s="278">
        <v>44201</v>
      </c>
      <c r="O65" s="329" t="s">
        <v>67</v>
      </c>
      <c r="P65" s="386">
        <f t="shared" ref="P65:Q65" si="62">IF(B65=0,0,IF(YEAR(B65)=$Q$1,MONTH(B65)-$P$1+1,(YEAR(B65)-$Q$1)*12-$P$1+1+MONTH(B65)))</f>
        <v>1</v>
      </c>
      <c r="Q65" s="330">
        <f t="shared" si="62"/>
        <v>-1</v>
      </c>
      <c r="R65" s="351" t="str">
        <f t="shared" si="3"/>
        <v>Gastos_Gerais</v>
      </c>
      <c r="S65" s="351" t="str">
        <f>IF(D65="","",IF(OR(D65=Plano!$A$1,D65=Plano!$B$1),"entrada","saída"))</f>
        <v>saída</v>
      </c>
      <c r="T65" s="334" t="s">
        <v>114</v>
      </c>
      <c r="U65" s="334" t="s">
        <v>114</v>
      </c>
      <c r="V65" s="344"/>
      <c r="W65" s="269"/>
    </row>
    <row r="66" spans="1:23" ht="69.75" customHeight="1" x14ac:dyDescent="0.2">
      <c r="A66" s="277">
        <f t="shared" si="0"/>
        <v>62</v>
      </c>
      <c r="B66" s="278">
        <v>44201</v>
      </c>
      <c r="C66" s="249">
        <v>44136</v>
      </c>
      <c r="D66" s="250" t="s">
        <v>99</v>
      </c>
      <c r="E66" s="250" t="s">
        <v>384</v>
      </c>
      <c r="F66" s="251">
        <v>95</v>
      </c>
      <c r="G66" s="255" t="s">
        <v>2546</v>
      </c>
      <c r="H66" s="250" t="s">
        <v>128</v>
      </c>
      <c r="I66" s="250" t="s">
        <v>465</v>
      </c>
      <c r="J66" s="250" t="s">
        <v>114</v>
      </c>
      <c r="K66" s="250" t="s">
        <v>466</v>
      </c>
      <c r="L66" s="250" t="s">
        <v>2505</v>
      </c>
      <c r="M66" s="255">
        <v>2137</v>
      </c>
      <c r="N66" s="278">
        <v>44201</v>
      </c>
      <c r="O66" s="329" t="s">
        <v>67</v>
      </c>
      <c r="P66" s="386">
        <f t="shared" ref="P66:Q66" si="63">IF(B66=0,0,IF(YEAR(B66)=$Q$1,MONTH(B66)-$P$1+1,(YEAR(B66)-$Q$1)*12-$P$1+1+MONTH(B66)))</f>
        <v>1</v>
      </c>
      <c r="Q66" s="330">
        <f t="shared" si="63"/>
        <v>-1</v>
      </c>
      <c r="R66" s="351" t="str">
        <f t="shared" si="3"/>
        <v>Gastos_Gerais</v>
      </c>
      <c r="S66" s="351" t="str">
        <f>IF(D66="","",IF(OR(D66=Plano!$A$1,D66=Plano!$B$1),"entrada","saída"))</f>
        <v>saída</v>
      </c>
      <c r="T66" s="334" t="s">
        <v>114</v>
      </c>
      <c r="U66" s="334" t="s">
        <v>114</v>
      </c>
      <c r="V66" s="344"/>
      <c r="W66" s="269"/>
    </row>
    <row r="67" spans="1:23" ht="69.75" customHeight="1" x14ac:dyDescent="0.2">
      <c r="A67" s="277">
        <f t="shared" si="0"/>
        <v>63</v>
      </c>
      <c r="B67" s="278">
        <v>44201</v>
      </c>
      <c r="C67" s="249">
        <v>43862</v>
      </c>
      <c r="D67" s="250" t="s">
        <v>99</v>
      </c>
      <c r="E67" s="250" t="s">
        <v>376</v>
      </c>
      <c r="F67" s="251">
        <v>30</v>
      </c>
      <c r="G67" s="255" t="s">
        <v>2547</v>
      </c>
      <c r="H67" s="250" t="s">
        <v>131</v>
      </c>
      <c r="I67" s="250" t="s">
        <v>465</v>
      </c>
      <c r="J67" s="250" t="s">
        <v>114</v>
      </c>
      <c r="K67" s="250" t="s">
        <v>466</v>
      </c>
      <c r="L67" s="250" t="s">
        <v>2505</v>
      </c>
      <c r="M67" s="255">
        <v>2138</v>
      </c>
      <c r="N67" s="278">
        <v>44201</v>
      </c>
      <c r="O67" s="329" t="s">
        <v>67</v>
      </c>
      <c r="P67" s="386">
        <f t="shared" ref="P67:Q67" si="64">IF(B67=0,0,IF(YEAR(B67)=$Q$1,MONTH(B67)-$P$1+1,(YEAR(B67)-$Q$1)*12-$P$1+1+MONTH(B67)))</f>
        <v>1</v>
      </c>
      <c r="Q67" s="330">
        <f t="shared" si="64"/>
        <v>-10</v>
      </c>
      <c r="R67" s="351" t="str">
        <f t="shared" si="3"/>
        <v>Gastos_Gerais</v>
      </c>
      <c r="S67" s="351" t="str">
        <f>IF(D67="","",IF(OR(D67=Plano!$A$1,D67=Plano!$B$1),"entrada","saída"))</f>
        <v>saída</v>
      </c>
      <c r="T67" s="334" t="s">
        <v>114</v>
      </c>
      <c r="U67" s="334" t="s">
        <v>114</v>
      </c>
      <c r="V67" s="344"/>
      <c r="W67" s="269"/>
    </row>
    <row r="68" spans="1:23" ht="69.75" customHeight="1" x14ac:dyDescent="0.2">
      <c r="A68" s="277">
        <f t="shared" si="0"/>
        <v>64</v>
      </c>
      <c r="B68" s="278">
        <v>44201</v>
      </c>
      <c r="C68" s="249">
        <v>44136</v>
      </c>
      <c r="D68" s="250" t="s">
        <v>99</v>
      </c>
      <c r="E68" s="250" t="s">
        <v>352</v>
      </c>
      <c r="F68" s="251">
        <v>50.25</v>
      </c>
      <c r="G68" s="255" t="s">
        <v>2548</v>
      </c>
      <c r="H68" s="250" t="s">
        <v>132</v>
      </c>
      <c r="I68" s="250" t="s">
        <v>465</v>
      </c>
      <c r="J68" s="250" t="s">
        <v>114</v>
      </c>
      <c r="K68" s="250" t="s">
        <v>466</v>
      </c>
      <c r="L68" s="250" t="s">
        <v>2505</v>
      </c>
      <c r="M68" s="255">
        <v>2139</v>
      </c>
      <c r="N68" s="278">
        <v>44201</v>
      </c>
      <c r="O68" s="329" t="s">
        <v>67</v>
      </c>
      <c r="P68" s="386">
        <f t="shared" ref="P68:Q68" si="65">IF(B68=0,0,IF(YEAR(B68)=$Q$1,MONTH(B68)-$P$1+1,(YEAR(B68)-$Q$1)*12-$P$1+1+MONTH(B68)))</f>
        <v>1</v>
      </c>
      <c r="Q68" s="330">
        <f t="shared" si="65"/>
        <v>-1</v>
      </c>
      <c r="R68" s="351" t="str">
        <f t="shared" si="3"/>
        <v>Gastos_Gerais</v>
      </c>
      <c r="S68" s="351" t="str">
        <f>IF(D68="","",IF(OR(D68=Plano!$A$1,D68=Plano!$B$1),"entrada","saída"))</f>
        <v>saída</v>
      </c>
      <c r="T68" s="334" t="s">
        <v>114</v>
      </c>
      <c r="U68" s="334" t="s">
        <v>114</v>
      </c>
      <c r="V68" s="344"/>
      <c r="W68" s="269"/>
    </row>
    <row r="69" spans="1:23" ht="69.75" customHeight="1" x14ac:dyDescent="0.2">
      <c r="A69" s="277">
        <f t="shared" si="0"/>
        <v>65</v>
      </c>
      <c r="B69" s="278">
        <v>44201</v>
      </c>
      <c r="C69" s="249">
        <v>44136</v>
      </c>
      <c r="D69" s="250" t="s">
        <v>99</v>
      </c>
      <c r="E69" s="250" t="s">
        <v>300</v>
      </c>
      <c r="F69" s="251">
        <v>13.14</v>
      </c>
      <c r="G69" s="255" t="s">
        <v>2549</v>
      </c>
      <c r="H69" s="250" t="s">
        <v>116</v>
      </c>
      <c r="I69" s="250" t="s">
        <v>465</v>
      </c>
      <c r="J69" s="250" t="s">
        <v>114</v>
      </c>
      <c r="K69" s="250" t="s">
        <v>466</v>
      </c>
      <c r="L69" s="250" t="s">
        <v>2505</v>
      </c>
      <c r="M69" s="255">
        <v>2140</v>
      </c>
      <c r="N69" s="278">
        <v>44201</v>
      </c>
      <c r="O69" s="329" t="s">
        <v>67</v>
      </c>
      <c r="P69" s="386">
        <f t="shared" ref="P69:Q69" si="66">IF(B69=0,0,IF(YEAR(B69)=$Q$1,MONTH(B69)-$P$1+1,(YEAR(B69)-$Q$1)*12-$P$1+1+MONTH(B69)))</f>
        <v>1</v>
      </c>
      <c r="Q69" s="330">
        <f t="shared" si="66"/>
        <v>-1</v>
      </c>
      <c r="R69" s="351" t="str">
        <f t="shared" si="3"/>
        <v>Gastos_Gerais</v>
      </c>
      <c r="S69" s="351" t="str">
        <f>IF(D69="","",IF(OR(D69=Plano!$A$1,D69=Plano!$B$1),"entrada","saída"))</f>
        <v>saída</v>
      </c>
      <c r="T69" s="334" t="s">
        <v>114</v>
      </c>
      <c r="U69" s="334" t="s">
        <v>114</v>
      </c>
      <c r="V69" s="344"/>
      <c r="W69" s="269"/>
    </row>
    <row r="70" spans="1:23" ht="69.75" customHeight="1" x14ac:dyDescent="0.2">
      <c r="A70" s="277">
        <f t="shared" si="0"/>
        <v>66</v>
      </c>
      <c r="B70" s="278">
        <v>44201</v>
      </c>
      <c r="C70" s="249">
        <v>44105</v>
      </c>
      <c r="D70" s="250" t="s">
        <v>99</v>
      </c>
      <c r="E70" s="250" t="s">
        <v>244</v>
      </c>
      <c r="F70" s="251">
        <v>37.5</v>
      </c>
      <c r="G70" s="255" t="s">
        <v>2550</v>
      </c>
      <c r="H70" s="250" t="s">
        <v>115</v>
      </c>
      <c r="I70" s="250" t="s">
        <v>465</v>
      </c>
      <c r="J70" s="250" t="s">
        <v>114</v>
      </c>
      <c r="K70" s="250" t="s">
        <v>466</v>
      </c>
      <c r="L70" s="250" t="s">
        <v>2505</v>
      </c>
      <c r="M70" s="255">
        <v>2141</v>
      </c>
      <c r="N70" s="278">
        <v>44201</v>
      </c>
      <c r="O70" s="329" t="s">
        <v>67</v>
      </c>
      <c r="P70" s="386">
        <f t="shared" ref="P70:Q70" si="67">IF(B70=0,0,IF(YEAR(B70)=$Q$1,MONTH(B70)-$P$1+1,(YEAR(B70)-$Q$1)*12-$P$1+1+MONTH(B70)))</f>
        <v>1</v>
      </c>
      <c r="Q70" s="330">
        <f t="shared" si="67"/>
        <v>-2</v>
      </c>
      <c r="R70" s="351" t="str">
        <f t="shared" si="3"/>
        <v>Gastos_Gerais</v>
      </c>
      <c r="S70" s="351" t="str">
        <f>IF(D70="","",IF(OR(D70=Plano!$A$1,D70=Plano!$B$1),"entrada","saída"))</f>
        <v>saída</v>
      </c>
      <c r="T70" s="334" t="s">
        <v>114</v>
      </c>
      <c r="U70" s="334" t="s">
        <v>114</v>
      </c>
      <c r="V70" s="344"/>
      <c r="W70" s="269"/>
    </row>
    <row r="71" spans="1:23" ht="69.75" customHeight="1" x14ac:dyDescent="0.2">
      <c r="A71" s="277">
        <f t="shared" si="0"/>
        <v>67</v>
      </c>
      <c r="B71" s="278">
        <v>44201</v>
      </c>
      <c r="C71" s="249">
        <v>44136</v>
      </c>
      <c r="D71" s="250" t="s">
        <v>99</v>
      </c>
      <c r="E71" s="250" t="s">
        <v>352</v>
      </c>
      <c r="F71" s="251">
        <v>70</v>
      </c>
      <c r="G71" s="255" t="s">
        <v>2551</v>
      </c>
      <c r="H71" s="250" t="s">
        <v>116</v>
      </c>
      <c r="I71" s="250" t="s">
        <v>465</v>
      </c>
      <c r="J71" s="250" t="s">
        <v>114</v>
      </c>
      <c r="K71" s="250" t="s">
        <v>466</v>
      </c>
      <c r="L71" s="250" t="s">
        <v>2505</v>
      </c>
      <c r="M71" s="255">
        <v>2142</v>
      </c>
      <c r="N71" s="278">
        <v>44201</v>
      </c>
      <c r="O71" s="329" t="s">
        <v>67</v>
      </c>
      <c r="P71" s="386">
        <f t="shared" ref="P71:Q71" si="68">IF(B71=0,0,IF(YEAR(B71)=$Q$1,MONTH(B71)-$P$1+1,(YEAR(B71)-$Q$1)*12-$P$1+1+MONTH(B71)))</f>
        <v>1</v>
      </c>
      <c r="Q71" s="330">
        <f t="shared" si="68"/>
        <v>-1</v>
      </c>
      <c r="R71" s="351" t="str">
        <f t="shared" si="3"/>
        <v>Gastos_Gerais</v>
      </c>
      <c r="S71" s="351" t="str">
        <f>IF(D71="","",IF(OR(D71=Plano!$A$1,D71=Plano!$B$1),"entrada","saída"))</f>
        <v>saída</v>
      </c>
      <c r="T71" s="334" t="s">
        <v>114</v>
      </c>
      <c r="U71" s="334" t="s">
        <v>114</v>
      </c>
      <c r="V71" s="344"/>
      <c r="W71" s="269"/>
    </row>
    <row r="72" spans="1:23" ht="69.75" customHeight="1" x14ac:dyDescent="0.2">
      <c r="A72" s="277">
        <f t="shared" si="0"/>
        <v>68</v>
      </c>
      <c r="B72" s="278">
        <v>44201</v>
      </c>
      <c r="C72" s="249">
        <v>44136</v>
      </c>
      <c r="D72" s="250" t="s">
        <v>99</v>
      </c>
      <c r="E72" s="250" t="s">
        <v>348</v>
      </c>
      <c r="F72" s="251">
        <v>70.349999999999994</v>
      </c>
      <c r="G72" s="255" t="s">
        <v>2552</v>
      </c>
      <c r="H72" s="250" t="s">
        <v>132</v>
      </c>
      <c r="I72" s="250" t="s">
        <v>465</v>
      </c>
      <c r="J72" s="250" t="s">
        <v>114</v>
      </c>
      <c r="K72" s="250" t="s">
        <v>466</v>
      </c>
      <c r="L72" s="250" t="s">
        <v>2505</v>
      </c>
      <c r="M72" s="255">
        <v>2143</v>
      </c>
      <c r="N72" s="278">
        <v>44201</v>
      </c>
      <c r="O72" s="329" t="s">
        <v>67</v>
      </c>
      <c r="P72" s="386">
        <f t="shared" ref="P72:Q72" si="69">IF(B72=0,0,IF(YEAR(B72)=$Q$1,MONTH(B72)-$P$1+1,(YEAR(B72)-$Q$1)*12-$P$1+1+MONTH(B72)))</f>
        <v>1</v>
      </c>
      <c r="Q72" s="330">
        <f t="shared" si="69"/>
        <v>-1</v>
      </c>
      <c r="R72" s="351" t="str">
        <f t="shared" si="3"/>
        <v>Gastos_Gerais</v>
      </c>
      <c r="S72" s="351" t="str">
        <f>IF(D72="","",IF(OR(D72=Plano!$A$1,D72=Plano!$B$1),"entrada","saída"))</f>
        <v>saída</v>
      </c>
      <c r="T72" s="334" t="s">
        <v>114</v>
      </c>
      <c r="U72" s="334" t="s">
        <v>114</v>
      </c>
      <c r="V72" s="344"/>
      <c r="W72" s="269"/>
    </row>
    <row r="73" spans="1:23" ht="69.75" customHeight="1" x14ac:dyDescent="0.2">
      <c r="A73" s="277">
        <f t="shared" si="0"/>
        <v>69</v>
      </c>
      <c r="B73" s="278">
        <v>44201</v>
      </c>
      <c r="C73" s="249">
        <v>44136</v>
      </c>
      <c r="D73" s="250" t="s">
        <v>99</v>
      </c>
      <c r="E73" s="250" t="s">
        <v>310</v>
      </c>
      <c r="F73" s="251">
        <v>102.51</v>
      </c>
      <c r="G73" s="255" t="s">
        <v>2553</v>
      </c>
      <c r="H73" s="250" t="s">
        <v>122</v>
      </c>
      <c r="I73" s="250" t="s">
        <v>465</v>
      </c>
      <c r="J73" s="250" t="s">
        <v>114</v>
      </c>
      <c r="K73" s="250" t="s">
        <v>466</v>
      </c>
      <c r="L73" s="250" t="s">
        <v>2505</v>
      </c>
      <c r="M73" s="255">
        <v>2144</v>
      </c>
      <c r="N73" s="278">
        <v>44201</v>
      </c>
      <c r="O73" s="329" t="s">
        <v>67</v>
      </c>
      <c r="P73" s="386">
        <f t="shared" ref="P73:Q73" si="70">IF(B73=0,0,IF(YEAR(B73)=$Q$1,MONTH(B73)-$P$1+1,(YEAR(B73)-$Q$1)*12-$P$1+1+MONTH(B73)))</f>
        <v>1</v>
      </c>
      <c r="Q73" s="330">
        <f t="shared" si="70"/>
        <v>-1</v>
      </c>
      <c r="R73" s="351" t="str">
        <f t="shared" si="3"/>
        <v>Gastos_Gerais</v>
      </c>
      <c r="S73" s="351" t="str">
        <f>IF(D73="","",IF(OR(D73=Plano!$A$1,D73=Plano!$B$1),"entrada","saída"))</f>
        <v>saída</v>
      </c>
      <c r="T73" s="334" t="s">
        <v>114</v>
      </c>
      <c r="U73" s="334" t="s">
        <v>114</v>
      </c>
      <c r="V73" s="344"/>
      <c r="W73" s="269"/>
    </row>
    <row r="74" spans="1:23" ht="69.75" customHeight="1" x14ac:dyDescent="0.2">
      <c r="A74" s="277">
        <f t="shared" si="0"/>
        <v>70</v>
      </c>
      <c r="B74" s="278">
        <v>44201</v>
      </c>
      <c r="C74" s="249">
        <v>44136</v>
      </c>
      <c r="D74" s="250" t="s">
        <v>99</v>
      </c>
      <c r="E74" s="250" t="s">
        <v>352</v>
      </c>
      <c r="F74" s="251">
        <v>50.25</v>
      </c>
      <c r="G74" s="255" t="s">
        <v>2554</v>
      </c>
      <c r="H74" s="250" t="s">
        <v>132</v>
      </c>
      <c r="I74" s="250" t="s">
        <v>465</v>
      </c>
      <c r="J74" s="250" t="s">
        <v>114</v>
      </c>
      <c r="K74" s="250" t="s">
        <v>466</v>
      </c>
      <c r="L74" s="250" t="s">
        <v>2505</v>
      </c>
      <c r="M74" s="255">
        <v>2145</v>
      </c>
      <c r="N74" s="278">
        <v>44201</v>
      </c>
      <c r="O74" s="329" t="s">
        <v>67</v>
      </c>
      <c r="P74" s="386">
        <f t="shared" ref="P74:Q74" si="71">IF(B74=0,0,IF(YEAR(B74)=$Q$1,MONTH(B74)-$P$1+1,(YEAR(B74)-$Q$1)*12-$P$1+1+MONTH(B74)))</f>
        <v>1</v>
      </c>
      <c r="Q74" s="330">
        <f t="shared" si="71"/>
        <v>-1</v>
      </c>
      <c r="R74" s="351" t="str">
        <f t="shared" si="3"/>
        <v>Gastos_Gerais</v>
      </c>
      <c r="S74" s="351" t="str">
        <f>IF(D74="","",IF(OR(D74=Plano!$A$1,D74=Plano!$B$1),"entrada","saída"))</f>
        <v>saída</v>
      </c>
      <c r="T74" s="334" t="s">
        <v>114</v>
      </c>
      <c r="U74" s="334" t="s">
        <v>114</v>
      </c>
      <c r="V74" s="344"/>
      <c r="W74" s="269"/>
    </row>
    <row r="75" spans="1:23" ht="69.75" customHeight="1" x14ac:dyDescent="0.2">
      <c r="A75" s="277">
        <f t="shared" si="0"/>
        <v>71</v>
      </c>
      <c r="B75" s="278">
        <v>44201</v>
      </c>
      <c r="C75" s="249">
        <v>44136</v>
      </c>
      <c r="D75" s="250" t="s">
        <v>99</v>
      </c>
      <c r="E75" s="250" t="s">
        <v>358</v>
      </c>
      <c r="F75" s="251">
        <v>13.06</v>
      </c>
      <c r="G75" s="255" t="s">
        <v>2555</v>
      </c>
      <c r="H75" s="250" t="s">
        <v>126</v>
      </c>
      <c r="I75" s="250" t="s">
        <v>465</v>
      </c>
      <c r="J75" s="250" t="s">
        <v>114</v>
      </c>
      <c r="K75" s="250" t="s">
        <v>466</v>
      </c>
      <c r="L75" s="250" t="s">
        <v>2505</v>
      </c>
      <c r="M75" s="255">
        <v>2146</v>
      </c>
      <c r="N75" s="278">
        <v>44201</v>
      </c>
      <c r="O75" s="329" t="s">
        <v>67</v>
      </c>
      <c r="P75" s="386">
        <f t="shared" ref="P75:Q75" si="72">IF(B75=0,0,IF(YEAR(B75)=$Q$1,MONTH(B75)-$P$1+1,(YEAR(B75)-$Q$1)*12-$P$1+1+MONTH(B75)))</f>
        <v>1</v>
      </c>
      <c r="Q75" s="330">
        <f t="shared" si="72"/>
        <v>-1</v>
      </c>
      <c r="R75" s="351" t="str">
        <f t="shared" si="3"/>
        <v>Gastos_Gerais</v>
      </c>
      <c r="S75" s="351" t="str">
        <f>IF(D75="","",IF(OR(D75=Plano!$A$1,D75=Plano!$B$1),"entrada","saída"))</f>
        <v>saída</v>
      </c>
      <c r="T75" s="334" t="s">
        <v>114</v>
      </c>
      <c r="U75" s="334" t="s">
        <v>114</v>
      </c>
      <c r="V75" s="344"/>
      <c r="W75" s="269"/>
    </row>
    <row r="76" spans="1:23" ht="69.75" customHeight="1" x14ac:dyDescent="0.2">
      <c r="A76" s="277">
        <f t="shared" si="0"/>
        <v>72</v>
      </c>
      <c r="B76" s="278">
        <v>44201</v>
      </c>
      <c r="C76" s="249">
        <v>44136</v>
      </c>
      <c r="D76" s="250" t="s">
        <v>99</v>
      </c>
      <c r="E76" s="250" t="s">
        <v>262</v>
      </c>
      <c r="F76" s="251">
        <v>23.66</v>
      </c>
      <c r="G76" s="255" t="s">
        <v>2556</v>
      </c>
      <c r="H76" s="250" t="s">
        <v>130</v>
      </c>
      <c r="I76" s="250" t="s">
        <v>465</v>
      </c>
      <c r="J76" s="250" t="s">
        <v>114</v>
      </c>
      <c r="K76" s="250" t="s">
        <v>466</v>
      </c>
      <c r="L76" s="250" t="s">
        <v>2505</v>
      </c>
      <c r="M76" s="255">
        <v>2147</v>
      </c>
      <c r="N76" s="278">
        <v>44201</v>
      </c>
      <c r="O76" s="329" t="s">
        <v>67</v>
      </c>
      <c r="P76" s="386">
        <f t="shared" ref="P76:Q76" si="73">IF(B76=0,0,IF(YEAR(B76)=$Q$1,MONTH(B76)-$P$1+1,(YEAR(B76)-$Q$1)*12-$P$1+1+MONTH(B76)))</f>
        <v>1</v>
      </c>
      <c r="Q76" s="330">
        <f t="shared" si="73"/>
        <v>-1</v>
      </c>
      <c r="R76" s="351" t="str">
        <f t="shared" si="3"/>
        <v>Gastos_Gerais</v>
      </c>
      <c r="S76" s="351" t="str">
        <f>IF(D76="","",IF(OR(D76=Plano!$A$1,D76=Plano!$B$1),"entrada","saída"))</f>
        <v>saída</v>
      </c>
      <c r="T76" s="334" t="s">
        <v>114</v>
      </c>
      <c r="U76" s="334" t="s">
        <v>114</v>
      </c>
      <c r="V76" s="344"/>
      <c r="W76" s="269"/>
    </row>
    <row r="77" spans="1:23" ht="69.75" customHeight="1" x14ac:dyDescent="0.2">
      <c r="A77" s="277">
        <f t="shared" si="0"/>
        <v>73</v>
      </c>
      <c r="B77" s="278">
        <v>44201</v>
      </c>
      <c r="C77" s="249">
        <v>44136</v>
      </c>
      <c r="D77" s="250" t="s">
        <v>99</v>
      </c>
      <c r="E77" s="250" t="s">
        <v>262</v>
      </c>
      <c r="F77" s="251">
        <v>78.88</v>
      </c>
      <c r="G77" s="255" t="s">
        <v>2557</v>
      </c>
      <c r="H77" s="250" t="s">
        <v>130</v>
      </c>
      <c r="I77" s="250" t="s">
        <v>465</v>
      </c>
      <c r="J77" s="250" t="s">
        <v>114</v>
      </c>
      <c r="K77" s="250" t="s">
        <v>466</v>
      </c>
      <c r="L77" s="250" t="s">
        <v>2505</v>
      </c>
      <c r="M77" s="255">
        <v>2148</v>
      </c>
      <c r="N77" s="278">
        <v>44201</v>
      </c>
      <c r="O77" s="329" t="s">
        <v>67</v>
      </c>
      <c r="P77" s="386">
        <f t="shared" ref="P77:Q77" si="74">IF(B77=0,0,IF(YEAR(B77)=$Q$1,MONTH(B77)-$P$1+1,(YEAR(B77)-$Q$1)*12-$P$1+1+MONTH(B77)))</f>
        <v>1</v>
      </c>
      <c r="Q77" s="330">
        <f t="shared" si="74"/>
        <v>-1</v>
      </c>
      <c r="R77" s="351" t="str">
        <f t="shared" si="3"/>
        <v>Gastos_Gerais</v>
      </c>
      <c r="S77" s="351" t="str">
        <f>IF(D77="","",IF(OR(D77=Plano!$A$1,D77=Plano!$B$1),"entrada","saída"))</f>
        <v>saída</v>
      </c>
      <c r="T77" s="334" t="s">
        <v>114</v>
      </c>
      <c r="U77" s="334" t="s">
        <v>114</v>
      </c>
      <c r="V77" s="344"/>
      <c r="W77" s="269"/>
    </row>
    <row r="78" spans="1:23" ht="69.75" customHeight="1" x14ac:dyDescent="0.2">
      <c r="A78" s="277">
        <f t="shared" si="0"/>
        <v>74</v>
      </c>
      <c r="B78" s="278">
        <v>44201</v>
      </c>
      <c r="C78" s="249">
        <v>44136</v>
      </c>
      <c r="D78" s="250" t="s">
        <v>99</v>
      </c>
      <c r="E78" s="250" t="s">
        <v>266</v>
      </c>
      <c r="F78" s="251">
        <v>373.46</v>
      </c>
      <c r="G78" s="255" t="s">
        <v>2558</v>
      </c>
      <c r="H78" s="250" t="s">
        <v>131</v>
      </c>
      <c r="I78" s="250" t="s">
        <v>465</v>
      </c>
      <c r="J78" s="250" t="s">
        <v>114</v>
      </c>
      <c r="K78" s="250" t="s">
        <v>466</v>
      </c>
      <c r="L78" s="250" t="s">
        <v>2505</v>
      </c>
      <c r="M78" s="255">
        <v>2149</v>
      </c>
      <c r="N78" s="278">
        <v>44201</v>
      </c>
      <c r="O78" s="329" t="s">
        <v>67</v>
      </c>
      <c r="P78" s="386">
        <f t="shared" ref="P78:Q78" si="75">IF(B78=0,0,IF(YEAR(B78)=$Q$1,MONTH(B78)-$P$1+1,(YEAR(B78)-$Q$1)*12-$P$1+1+MONTH(B78)))</f>
        <v>1</v>
      </c>
      <c r="Q78" s="330">
        <f t="shared" si="75"/>
        <v>-1</v>
      </c>
      <c r="R78" s="351" t="str">
        <f t="shared" si="3"/>
        <v>Gastos_Gerais</v>
      </c>
      <c r="S78" s="351" t="str">
        <f>IF(D78="","",IF(OR(D78=Plano!$A$1,D78=Plano!$B$1),"entrada","saída"))</f>
        <v>saída</v>
      </c>
      <c r="T78" s="334" t="s">
        <v>114</v>
      </c>
      <c r="U78" s="334" t="s">
        <v>114</v>
      </c>
      <c r="V78" s="344"/>
      <c r="W78" s="269"/>
    </row>
    <row r="79" spans="1:23" ht="69.75" customHeight="1" x14ac:dyDescent="0.2">
      <c r="A79" s="277">
        <f t="shared" si="0"/>
        <v>75</v>
      </c>
      <c r="B79" s="278">
        <v>44201</v>
      </c>
      <c r="C79" s="249">
        <v>44136</v>
      </c>
      <c r="D79" s="250" t="s">
        <v>99</v>
      </c>
      <c r="E79" s="250" t="s">
        <v>262</v>
      </c>
      <c r="F79" s="251">
        <v>112.56</v>
      </c>
      <c r="G79" s="255" t="s">
        <v>2559</v>
      </c>
      <c r="H79" s="250" t="s">
        <v>115</v>
      </c>
      <c r="I79" s="250" t="s">
        <v>465</v>
      </c>
      <c r="J79" s="250" t="s">
        <v>114</v>
      </c>
      <c r="K79" s="250" t="s">
        <v>466</v>
      </c>
      <c r="L79" s="250" t="s">
        <v>2505</v>
      </c>
      <c r="M79" s="255">
        <v>2150</v>
      </c>
      <c r="N79" s="278">
        <v>44201</v>
      </c>
      <c r="O79" s="329" t="s">
        <v>67</v>
      </c>
      <c r="P79" s="386">
        <f t="shared" ref="P79:Q79" si="76">IF(B79=0,0,IF(YEAR(B79)=$Q$1,MONTH(B79)-$P$1+1,(YEAR(B79)-$Q$1)*12-$P$1+1+MONTH(B79)))</f>
        <v>1</v>
      </c>
      <c r="Q79" s="330">
        <f t="shared" si="76"/>
        <v>-1</v>
      </c>
      <c r="R79" s="351" t="str">
        <f t="shared" si="3"/>
        <v>Gastos_Gerais</v>
      </c>
      <c r="S79" s="351" t="str">
        <f>IF(D79="","",IF(OR(D79=Plano!$A$1,D79=Plano!$B$1),"entrada","saída"))</f>
        <v>saída</v>
      </c>
      <c r="T79" s="334" t="s">
        <v>114</v>
      </c>
      <c r="U79" s="334" t="s">
        <v>114</v>
      </c>
      <c r="V79" s="344"/>
      <c r="W79" s="269"/>
    </row>
    <row r="80" spans="1:23" ht="69.75" customHeight="1" x14ac:dyDescent="0.2">
      <c r="A80" s="277">
        <f t="shared" si="0"/>
        <v>76</v>
      </c>
      <c r="B80" s="278">
        <v>44201</v>
      </c>
      <c r="C80" s="249">
        <v>44136</v>
      </c>
      <c r="D80" s="250" t="s">
        <v>99</v>
      </c>
      <c r="E80" s="250" t="s">
        <v>358</v>
      </c>
      <c r="F80" s="251">
        <v>11.85</v>
      </c>
      <c r="G80" s="255" t="s">
        <v>2560</v>
      </c>
      <c r="H80" s="250" t="s">
        <v>125</v>
      </c>
      <c r="I80" s="250" t="s">
        <v>465</v>
      </c>
      <c r="J80" s="250" t="s">
        <v>114</v>
      </c>
      <c r="K80" s="250" t="s">
        <v>466</v>
      </c>
      <c r="L80" s="250" t="s">
        <v>2505</v>
      </c>
      <c r="M80" s="255">
        <v>2151</v>
      </c>
      <c r="N80" s="278">
        <v>44201</v>
      </c>
      <c r="O80" s="329" t="s">
        <v>67</v>
      </c>
      <c r="P80" s="386">
        <f t="shared" ref="P80:Q80" si="77">IF(B80=0,0,IF(YEAR(B80)=$Q$1,MONTH(B80)-$P$1+1,(YEAR(B80)-$Q$1)*12-$P$1+1+MONTH(B80)))</f>
        <v>1</v>
      </c>
      <c r="Q80" s="330">
        <f t="shared" si="77"/>
        <v>-1</v>
      </c>
      <c r="R80" s="351" t="str">
        <f t="shared" si="3"/>
        <v>Gastos_Gerais</v>
      </c>
      <c r="S80" s="351" t="str">
        <f>IF(D80="","",IF(OR(D80=Plano!$A$1,D80=Plano!$B$1),"entrada","saída"))</f>
        <v>saída</v>
      </c>
      <c r="T80" s="334" t="s">
        <v>114</v>
      </c>
      <c r="U80" s="334" t="s">
        <v>114</v>
      </c>
      <c r="V80" s="344"/>
      <c r="W80" s="269"/>
    </row>
    <row r="81" spans="1:23" ht="69.75" customHeight="1" x14ac:dyDescent="0.2">
      <c r="A81" s="277">
        <f t="shared" si="0"/>
        <v>77</v>
      </c>
      <c r="B81" s="278">
        <v>44201</v>
      </c>
      <c r="C81" s="249">
        <v>44136</v>
      </c>
      <c r="D81" s="250" t="s">
        <v>99</v>
      </c>
      <c r="E81" s="250" t="s">
        <v>336</v>
      </c>
      <c r="F81" s="251">
        <v>99</v>
      </c>
      <c r="G81" s="255" t="s">
        <v>2561</v>
      </c>
      <c r="H81" s="250" t="s">
        <v>118</v>
      </c>
      <c r="I81" s="250" t="s">
        <v>465</v>
      </c>
      <c r="J81" s="250" t="s">
        <v>114</v>
      </c>
      <c r="K81" s="250" t="s">
        <v>466</v>
      </c>
      <c r="L81" s="250" t="s">
        <v>2505</v>
      </c>
      <c r="M81" s="255">
        <v>2152</v>
      </c>
      <c r="N81" s="278">
        <v>44201</v>
      </c>
      <c r="O81" s="329" t="s">
        <v>67</v>
      </c>
      <c r="P81" s="386">
        <f t="shared" ref="P81:Q81" si="78">IF(B81=0,0,IF(YEAR(B81)=$Q$1,MONTH(B81)-$P$1+1,(YEAR(B81)-$Q$1)*12-$P$1+1+MONTH(B81)))</f>
        <v>1</v>
      </c>
      <c r="Q81" s="330">
        <f t="shared" si="78"/>
        <v>-1</v>
      </c>
      <c r="R81" s="351" t="str">
        <f t="shared" si="3"/>
        <v>Gastos_Gerais</v>
      </c>
      <c r="S81" s="351" t="str">
        <f>IF(D81="","",IF(OR(D81=Plano!$A$1,D81=Plano!$B$1),"entrada","saída"))</f>
        <v>saída</v>
      </c>
      <c r="T81" s="334" t="s">
        <v>114</v>
      </c>
      <c r="U81" s="334" t="s">
        <v>114</v>
      </c>
      <c r="V81" s="344"/>
      <c r="W81" s="269"/>
    </row>
    <row r="82" spans="1:23" ht="69.75" customHeight="1" x14ac:dyDescent="0.2">
      <c r="A82" s="277">
        <f t="shared" si="0"/>
        <v>78</v>
      </c>
      <c r="B82" s="278">
        <v>44201</v>
      </c>
      <c r="C82" s="249">
        <v>44136</v>
      </c>
      <c r="D82" s="250" t="s">
        <v>99</v>
      </c>
      <c r="E82" s="250" t="s">
        <v>336</v>
      </c>
      <c r="F82" s="251">
        <v>99</v>
      </c>
      <c r="G82" s="255" t="s">
        <v>2562</v>
      </c>
      <c r="H82" s="250" t="s">
        <v>118</v>
      </c>
      <c r="I82" s="250" t="s">
        <v>465</v>
      </c>
      <c r="J82" s="250" t="s">
        <v>114</v>
      </c>
      <c r="K82" s="250" t="s">
        <v>466</v>
      </c>
      <c r="L82" s="250" t="s">
        <v>2505</v>
      </c>
      <c r="M82" s="255">
        <v>2153</v>
      </c>
      <c r="N82" s="278">
        <v>44201</v>
      </c>
      <c r="O82" s="329" t="s">
        <v>67</v>
      </c>
      <c r="P82" s="386">
        <f t="shared" ref="P82:Q82" si="79">IF(B82=0,0,IF(YEAR(B82)=$Q$1,MONTH(B82)-$P$1+1,(YEAR(B82)-$Q$1)*12-$P$1+1+MONTH(B82)))</f>
        <v>1</v>
      </c>
      <c r="Q82" s="330">
        <f t="shared" si="79"/>
        <v>-1</v>
      </c>
      <c r="R82" s="351" t="str">
        <f t="shared" si="3"/>
        <v>Gastos_Gerais</v>
      </c>
      <c r="S82" s="351" t="str">
        <f>IF(D82="","",IF(OR(D82=Plano!$A$1,D82=Plano!$B$1),"entrada","saída"))</f>
        <v>saída</v>
      </c>
      <c r="T82" s="334" t="s">
        <v>114</v>
      </c>
      <c r="U82" s="334" t="s">
        <v>114</v>
      </c>
      <c r="V82" s="344"/>
      <c r="W82" s="269"/>
    </row>
    <row r="83" spans="1:23" ht="69.75" customHeight="1" x14ac:dyDescent="0.2">
      <c r="A83" s="277">
        <f t="shared" si="0"/>
        <v>79</v>
      </c>
      <c r="B83" s="278">
        <v>44201</v>
      </c>
      <c r="C83" s="249">
        <v>44136</v>
      </c>
      <c r="D83" s="250" t="s">
        <v>99</v>
      </c>
      <c r="E83" s="250" t="s">
        <v>336</v>
      </c>
      <c r="F83" s="251">
        <v>99</v>
      </c>
      <c r="G83" s="255" t="s">
        <v>2563</v>
      </c>
      <c r="H83" s="250" t="s">
        <v>118</v>
      </c>
      <c r="I83" s="250" t="s">
        <v>465</v>
      </c>
      <c r="J83" s="250" t="s">
        <v>114</v>
      </c>
      <c r="K83" s="250" t="s">
        <v>466</v>
      </c>
      <c r="L83" s="250" t="s">
        <v>2505</v>
      </c>
      <c r="M83" s="255">
        <v>2154</v>
      </c>
      <c r="N83" s="278">
        <v>44201</v>
      </c>
      <c r="O83" s="329" t="s">
        <v>67</v>
      </c>
      <c r="P83" s="386">
        <f t="shared" ref="P83:Q83" si="80">IF(B83=0,0,IF(YEAR(B83)=$Q$1,MONTH(B83)-$P$1+1,(YEAR(B83)-$Q$1)*12-$P$1+1+MONTH(B83)))</f>
        <v>1</v>
      </c>
      <c r="Q83" s="330">
        <f t="shared" si="80"/>
        <v>-1</v>
      </c>
      <c r="R83" s="351" t="str">
        <f t="shared" si="3"/>
        <v>Gastos_Gerais</v>
      </c>
      <c r="S83" s="351" t="str">
        <f>IF(D83="","",IF(OR(D83=Plano!$A$1,D83=Plano!$B$1),"entrada","saída"))</f>
        <v>saída</v>
      </c>
      <c r="T83" s="334" t="s">
        <v>114</v>
      </c>
      <c r="U83" s="334" t="s">
        <v>114</v>
      </c>
      <c r="V83" s="344"/>
      <c r="W83" s="269"/>
    </row>
    <row r="84" spans="1:23" ht="69.75" customHeight="1" x14ac:dyDescent="0.2">
      <c r="A84" s="277">
        <f t="shared" si="0"/>
        <v>80</v>
      </c>
      <c r="B84" s="278">
        <v>44201</v>
      </c>
      <c r="C84" s="249">
        <v>44136</v>
      </c>
      <c r="D84" s="250" t="s">
        <v>99</v>
      </c>
      <c r="E84" s="250" t="s">
        <v>336</v>
      </c>
      <c r="F84" s="251">
        <v>99</v>
      </c>
      <c r="G84" s="255" t="s">
        <v>2564</v>
      </c>
      <c r="H84" s="250" t="s">
        <v>118</v>
      </c>
      <c r="I84" s="250" t="s">
        <v>465</v>
      </c>
      <c r="J84" s="250" t="s">
        <v>114</v>
      </c>
      <c r="K84" s="250" t="s">
        <v>466</v>
      </c>
      <c r="L84" s="250" t="s">
        <v>2505</v>
      </c>
      <c r="M84" s="255">
        <v>2155</v>
      </c>
      <c r="N84" s="278">
        <v>44201</v>
      </c>
      <c r="O84" s="329" t="s">
        <v>67</v>
      </c>
      <c r="P84" s="386">
        <f t="shared" ref="P84:Q84" si="81">IF(B84=0,0,IF(YEAR(B84)=$Q$1,MONTH(B84)-$P$1+1,(YEAR(B84)-$Q$1)*12-$P$1+1+MONTH(B84)))</f>
        <v>1</v>
      </c>
      <c r="Q84" s="330">
        <f t="shared" si="81"/>
        <v>-1</v>
      </c>
      <c r="R84" s="351" t="str">
        <f t="shared" si="3"/>
        <v>Gastos_Gerais</v>
      </c>
      <c r="S84" s="351" t="str">
        <f>IF(D84="","",IF(OR(D84=Plano!$A$1,D84=Plano!$B$1),"entrada","saída"))</f>
        <v>saída</v>
      </c>
      <c r="T84" s="334" t="s">
        <v>114</v>
      </c>
      <c r="U84" s="334" t="s">
        <v>114</v>
      </c>
      <c r="V84" s="344"/>
      <c r="W84" s="269"/>
    </row>
    <row r="85" spans="1:23" ht="69.75" customHeight="1" x14ac:dyDescent="0.2">
      <c r="A85" s="277">
        <f t="shared" si="0"/>
        <v>81</v>
      </c>
      <c r="B85" s="278">
        <v>44201</v>
      </c>
      <c r="C85" s="249">
        <v>44136</v>
      </c>
      <c r="D85" s="250" t="s">
        <v>99</v>
      </c>
      <c r="E85" s="250" t="s">
        <v>336</v>
      </c>
      <c r="F85" s="251">
        <v>99</v>
      </c>
      <c r="G85" s="255" t="s">
        <v>2565</v>
      </c>
      <c r="H85" s="250" t="s">
        <v>118</v>
      </c>
      <c r="I85" s="250" t="s">
        <v>465</v>
      </c>
      <c r="J85" s="250" t="s">
        <v>114</v>
      </c>
      <c r="K85" s="250" t="s">
        <v>466</v>
      </c>
      <c r="L85" s="250" t="s">
        <v>2505</v>
      </c>
      <c r="M85" s="255">
        <v>2156</v>
      </c>
      <c r="N85" s="278">
        <v>44201</v>
      </c>
      <c r="O85" s="329" t="s">
        <v>67</v>
      </c>
      <c r="P85" s="386">
        <f t="shared" ref="P85:Q85" si="82">IF(B85=0,0,IF(YEAR(B85)=$Q$1,MONTH(B85)-$P$1+1,(YEAR(B85)-$Q$1)*12-$P$1+1+MONTH(B85)))</f>
        <v>1</v>
      </c>
      <c r="Q85" s="330">
        <f t="shared" si="82"/>
        <v>-1</v>
      </c>
      <c r="R85" s="351" t="str">
        <f t="shared" si="3"/>
        <v>Gastos_Gerais</v>
      </c>
      <c r="S85" s="351" t="str">
        <f>IF(D85="","",IF(OR(D85=Plano!$A$1,D85=Plano!$B$1),"entrada","saída"))</f>
        <v>saída</v>
      </c>
      <c r="T85" s="334" t="s">
        <v>114</v>
      </c>
      <c r="U85" s="334" t="s">
        <v>114</v>
      </c>
      <c r="V85" s="344"/>
      <c r="W85" s="269"/>
    </row>
    <row r="86" spans="1:23" ht="69.75" customHeight="1" x14ac:dyDescent="0.2">
      <c r="A86" s="277">
        <f t="shared" si="0"/>
        <v>82</v>
      </c>
      <c r="B86" s="278">
        <v>44201</v>
      </c>
      <c r="C86" s="249">
        <v>44136</v>
      </c>
      <c r="D86" s="250" t="s">
        <v>99</v>
      </c>
      <c r="E86" s="250" t="s">
        <v>336</v>
      </c>
      <c r="F86" s="251">
        <v>99</v>
      </c>
      <c r="G86" s="255" t="s">
        <v>2566</v>
      </c>
      <c r="H86" s="250" t="s">
        <v>118</v>
      </c>
      <c r="I86" s="250" t="s">
        <v>465</v>
      </c>
      <c r="J86" s="250" t="s">
        <v>114</v>
      </c>
      <c r="K86" s="250" t="s">
        <v>466</v>
      </c>
      <c r="L86" s="250" t="s">
        <v>2505</v>
      </c>
      <c r="M86" s="255">
        <v>2157</v>
      </c>
      <c r="N86" s="278">
        <v>44201</v>
      </c>
      <c r="O86" s="329" t="s">
        <v>67</v>
      </c>
      <c r="P86" s="386">
        <f t="shared" ref="P86:Q86" si="83">IF(B86=0,0,IF(YEAR(B86)=$Q$1,MONTH(B86)-$P$1+1,(YEAR(B86)-$Q$1)*12-$P$1+1+MONTH(B86)))</f>
        <v>1</v>
      </c>
      <c r="Q86" s="330">
        <f t="shared" si="83"/>
        <v>-1</v>
      </c>
      <c r="R86" s="351" t="str">
        <f t="shared" si="3"/>
        <v>Gastos_Gerais</v>
      </c>
      <c r="S86" s="351" t="str">
        <f>IF(D86="","",IF(OR(D86=Plano!$A$1,D86=Plano!$B$1),"entrada","saída"))</f>
        <v>saída</v>
      </c>
      <c r="T86" s="334" t="s">
        <v>114</v>
      </c>
      <c r="U86" s="334" t="s">
        <v>114</v>
      </c>
      <c r="V86" s="344"/>
      <c r="W86" s="269"/>
    </row>
    <row r="87" spans="1:23" ht="69.75" customHeight="1" x14ac:dyDescent="0.2">
      <c r="A87" s="277">
        <f t="shared" si="0"/>
        <v>83</v>
      </c>
      <c r="B87" s="278">
        <v>44201</v>
      </c>
      <c r="C87" s="249">
        <v>44136</v>
      </c>
      <c r="D87" s="250" t="s">
        <v>99</v>
      </c>
      <c r="E87" s="250" t="s">
        <v>336</v>
      </c>
      <c r="F87" s="251">
        <v>99</v>
      </c>
      <c r="G87" s="255" t="s">
        <v>2567</v>
      </c>
      <c r="H87" s="250" t="s">
        <v>118</v>
      </c>
      <c r="I87" s="250" t="s">
        <v>465</v>
      </c>
      <c r="J87" s="250" t="s">
        <v>114</v>
      </c>
      <c r="K87" s="250" t="s">
        <v>466</v>
      </c>
      <c r="L87" s="250" t="s">
        <v>2505</v>
      </c>
      <c r="M87" s="255">
        <v>2158</v>
      </c>
      <c r="N87" s="278">
        <v>44201</v>
      </c>
      <c r="O87" s="329" t="s">
        <v>67</v>
      </c>
      <c r="P87" s="386">
        <f t="shared" ref="P87:Q87" si="84">IF(B87=0,0,IF(YEAR(B87)=$Q$1,MONTH(B87)-$P$1+1,(YEAR(B87)-$Q$1)*12-$P$1+1+MONTH(B87)))</f>
        <v>1</v>
      </c>
      <c r="Q87" s="330">
        <f t="shared" si="84"/>
        <v>-1</v>
      </c>
      <c r="R87" s="351" t="str">
        <f t="shared" si="3"/>
        <v>Gastos_Gerais</v>
      </c>
      <c r="S87" s="351" t="str">
        <f>IF(D87="","",IF(OR(D87=Plano!$A$1,D87=Plano!$B$1),"entrada","saída"))</f>
        <v>saída</v>
      </c>
      <c r="T87" s="334" t="s">
        <v>114</v>
      </c>
      <c r="U87" s="334" t="s">
        <v>114</v>
      </c>
      <c r="V87" s="344"/>
      <c r="W87" s="269"/>
    </row>
    <row r="88" spans="1:23" ht="69.75" customHeight="1" x14ac:dyDescent="0.2">
      <c r="A88" s="277">
        <f t="shared" si="0"/>
        <v>84</v>
      </c>
      <c r="B88" s="278">
        <v>44201</v>
      </c>
      <c r="C88" s="249">
        <v>44136</v>
      </c>
      <c r="D88" s="250" t="s">
        <v>99</v>
      </c>
      <c r="E88" s="250" t="s">
        <v>336</v>
      </c>
      <c r="F88" s="251">
        <v>99</v>
      </c>
      <c r="G88" s="255" t="s">
        <v>2568</v>
      </c>
      <c r="H88" s="250" t="s">
        <v>118</v>
      </c>
      <c r="I88" s="250" t="s">
        <v>465</v>
      </c>
      <c r="J88" s="250" t="s">
        <v>114</v>
      </c>
      <c r="K88" s="250" t="s">
        <v>466</v>
      </c>
      <c r="L88" s="250" t="s">
        <v>2505</v>
      </c>
      <c r="M88" s="255">
        <v>2159</v>
      </c>
      <c r="N88" s="278">
        <v>44201</v>
      </c>
      <c r="O88" s="329" t="s">
        <v>67</v>
      </c>
      <c r="P88" s="386">
        <f t="shared" ref="P88:Q88" si="85">IF(B88=0,0,IF(YEAR(B88)=$Q$1,MONTH(B88)-$P$1+1,(YEAR(B88)-$Q$1)*12-$P$1+1+MONTH(B88)))</f>
        <v>1</v>
      </c>
      <c r="Q88" s="330">
        <f t="shared" si="85"/>
        <v>-1</v>
      </c>
      <c r="R88" s="351" t="str">
        <f t="shared" si="3"/>
        <v>Gastos_Gerais</v>
      </c>
      <c r="S88" s="351" t="str">
        <f>IF(D88="","",IF(OR(D88=Plano!$A$1,D88=Plano!$B$1),"entrada","saída"))</f>
        <v>saída</v>
      </c>
      <c r="T88" s="334" t="s">
        <v>114</v>
      </c>
      <c r="U88" s="334" t="s">
        <v>114</v>
      </c>
      <c r="V88" s="344"/>
      <c r="W88" s="269"/>
    </row>
    <row r="89" spans="1:23" ht="69.75" customHeight="1" x14ac:dyDescent="0.2">
      <c r="A89" s="277">
        <f t="shared" si="0"/>
        <v>85</v>
      </c>
      <c r="B89" s="278">
        <v>44201</v>
      </c>
      <c r="C89" s="249">
        <v>44136</v>
      </c>
      <c r="D89" s="250" t="s">
        <v>99</v>
      </c>
      <c r="E89" s="250" t="s">
        <v>336</v>
      </c>
      <c r="F89" s="251">
        <v>99</v>
      </c>
      <c r="G89" s="255" t="s">
        <v>2569</v>
      </c>
      <c r="H89" s="250" t="s">
        <v>118</v>
      </c>
      <c r="I89" s="250" t="s">
        <v>465</v>
      </c>
      <c r="J89" s="250" t="s">
        <v>114</v>
      </c>
      <c r="K89" s="250" t="s">
        <v>466</v>
      </c>
      <c r="L89" s="250" t="s">
        <v>2505</v>
      </c>
      <c r="M89" s="255">
        <v>2160</v>
      </c>
      <c r="N89" s="278">
        <v>44201</v>
      </c>
      <c r="O89" s="329" t="s">
        <v>67</v>
      </c>
      <c r="P89" s="386">
        <f t="shared" ref="P89:Q89" si="86">IF(B89=0,0,IF(YEAR(B89)=$Q$1,MONTH(B89)-$P$1+1,(YEAR(B89)-$Q$1)*12-$P$1+1+MONTH(B89)))</f>
        <v>1</v>
      </c>
      <c r="Q89" s="330">
        <f t="shared" si="86"/>
        <v>-1</v>
      </c>
      <c r="R89" s="351" t="str">
        <f t="shared" si="3"/>
        <v>Gastos_Gerais</v>
      </c>
      <c r="S89" s="351" t="str">
        <f>IF(D89="","",IF(OR(D89=Plano!$A$1,D89=Plano!$B$1),"entrada","saída"))</f>
        <v>saída</v>
      </c>
      <c r="T89" s="334" t="s">
        <v>114</v>
      </c>
      <c r="U89" s="334" t="s">
        <v>114</v>
      </c>
      <c r="V89" s="344"/>
      <c r="W89" s="269"/>
    </row>
    <row r="90" spans="1:23" ht="69.75" customHeight="1" x14ac:dyDescent="0.2">
      <c r="A90" s="277">
        <f t="shared" si="0"/>
        <v>86</v>
      </c>
      <c r="B90" s="278">
        <v>44201</v>
      </c>
      <c r="C90" s="249">
        <v>44136</v>
      </c>
      <c r="D90" s="250" t="s">
        <v>99</v>
      </c>
      <c r="E90" s="250" t="s">
        <v>336</v>
      </c>
      <c r="F90" s="251">
        <v>69</v>
      </c>
      <c r="G90" s="255" t="s">
        <v>2570</v>
      </c>
      <c r="H90" s="250" t="s">
        <v>116</v>
      </c>
      <c r="I90" s="250" t="s">
        <v>465</v>
      </c>
      <c r="J90" s="250" t="s">
        <v>114</v>
      </c>
      <c r="K90" s="250" t="s">
        <v>466</v>
      </c>
      <c r="L90" s="250" t="s">
        <v>2505</v>
      </c>
      <c r="M90" s="255">
        <v>2161</v>
      </c>
      <c r="N90" s="278">
        <v>44201</v>
      </c>
      <c r="O90" s="329" t="s">
        <v>67</v>
      </c>
      <c r="P90" s="386">
        <f t="shared" ref="P90:Q90" si="87">IF(B90=0,0,IF(YEAR(B90)=$Q$1,MONTH(B90)-$P$1+1,(YEAR(B90)-$Q$1)*12-$P$1+1+MONTH(B90)))</f>
        <v>1</v>
      </c>
      <c r="Q90" s="330">
        <f t="shared" si="87"/>
        <v>-1</v>
      </c>
      <c r="R90" s="351" t="str">
        <f t="shared" si="3"/>
        <v>Gastos_Gerais</v>
      </c>
      <c r="S90" s="351" t="str">
        <f>IF(D90="","",IF(OR(D90=Plano!$A$1,D90=Plano!$B$1),"entrada","saída"))</f>
        <v>saída</v>
      </c>
      <c r="T90" s="334" t="s">
        <v>114</v>
      </c>
      <c r="U90" s="334" t="s">
        <v>114</v>
      </c>
      <c r="V90" s="344"/>
      <c r="W90" s="269"/>
    </row>
    <row r="91" spans="1:23" ht="69.75" customHeight="1" x14ac:dyDescent="0.2">
      <c r="A91" s="277">
        <f t="shared" si="0"/>
        <v>87</v>
      </c>
      <c r="B91" s="278">
        <v>44201</v>
      </c>
      <c r="C91" s="249">
        <v>44136</v>
      </c>
      <c r="D91" s="250" t="s">
        <v>99</v>
      </c>
      <c r="E91" s="250" t="s">
        <v>336</v>
      </c>
      <c r="F91" s="251">
        <v>99</v>
      </c>
      <c r="G91" s="255" t="s">
        <v>2571</v>
      </c>
      <c r="H91" s="250" t="s">
        <v>118</v>
      </c>
      <c r="I91" s="250" t="s">
        <v>465</v>
      </c>
      <c r="J91" s="250" t="s">
        <v>114</v>
      </c>
      <c r="K91" s="250" t="s">
        <v>466</v>
      </c>
      <c r="L91" s="250" t="s">
        <v>2505</v>
      </c>
      <c r="M91" s="255">
        <v>2162</v>
      </c>
      <c r="N91" s="278">
        <v>44201</v>
      </c>
      <c r="O91" s="329" t="s">
        <v>67</v>
      </c>
      <c r="P91" s="386">
        <f t="shared" ref="P91:Q91" si="88">IF(B91=0,0,IF(YEAR(B91)=$Q$1,MONTH(B91)-$P$1+1,(YEAR(B91)-$Q$1)*12-$P$1+1+MONTH(B91)))</f>
        <v>1</v>
      </c>
      <c r="Q91" s="330">
        <f t="shared" si="88"/>
        <v>-1</v>
      </c>
      <c r="R91" s="351" t="str">
        <f t="shared" si="3"/>
        <v>Gastos_Gerais</v>
      </c>
      <c r="S91" s="351" t="str">
        <f>IF(D91="","",IF(OR(D91=Plano!$A$1,D91=Plano!$B$1),"entrada","saída"))</f>
        <v>saída</v>
      </c>
      <c r="T91" s="334" t="s">
        <v>114</v>
      </c>
      <c r="U91" s="334" t="s">
        <v>114</v>
      </c>
      <c r="V91" s="344"/>
      <c r="W91" s="269"/>
    </row>
    <row r="92" spans="1:23" ht="69.75" customHeight="1" x14ac:dyDescent="0.2">
      <c r="A92" s="277">
        <f t="shared" si="0"/>
        <v>88</v>
      </c>
      <c r="B92" s="278">
        <v>44201</v>
      </c>
      <c r="C92" s="249">
        <v>44136</v>
      </c>
      <c r="D92" s="250" t="s">
        <v>99</v>
      </c>
      <c r="E92" s="250" t="s">
        <v>336</v>
      </c>
      <c r="F92" s="251">
        <v>75</v>
      </c>
      <c r="G92" s="255" t="s">
        <v>2572</v>
      </c>
      <c r="H92" s="250" t="s">
        <v>123</v>
      </c>
      <c r="I92" s="250" t="s">
        <v>465</v>
      </c>
      <c r="J92" s="250" t="s">
        <v>114</v>
      </c>
      <c r="K92" s="250" t="s">
        <v>466</v>
      </c>
      <c r="L92" s="250" t="s">
        <v>2505</v>
      </c>
      <c r="M92" s="255">
        <v>2163</v>
      </c>
      <c r="N92" s="278">
        <v>44201</v>
      </c>
      <c r="O92" s="329" t="s">
        <v>67</v>
      </c>
      <c r="P92" s="386">
        <f t="shared" ref="P92:Q92" si="89">IF(B92=0,0,IF(YEAR(B92)=$Q$1,MONTH(B92)-$P$1+1,(YEAR(B92)-$Q$1)*12-$P$1+1+MONTH(B92)))</f>
        <v>1</v>
      </c>
      <c r="Q92" s="330">
        <f t="shared" si="89"/>
        <v>-1</v>
      </c>
      <c r="R92" s="351" t="str">
        <f t="shared" si="3"/>
        <v>Gastos_Gerais</v>
      </c>
      <c r="S92" s="351" t="str">
        <f>IF(D92="","",IF(OR(D92=Plano!$A$1,D92=Plano!$B$1),"entrada","saída"))</f>
        <v>saída</v>
      </c>
      <c r="T92" s="334" t="s">
        <v>114</v>
      </c>
      <c r="U92" s="334" t="s">
        <v>114</v>
      </c>
      <c r="V92" s="344"/>
      <c r="W92" s="269"/>
    </row>
    <row r="93" spans="1:23" ht="69.75" customHeight="1" x14ac:dyDescent="0.2">
      <c r="A93" s="277">
        <f t="shared" si="0"/>
        <v>89</v>
      </c>
      <c r="B93" s="278">
        <v>44201</v>
      </c>
      <c r="C93" s="249">
        <v>44136</v>
      </c>
      <c r="D93" s="250" t="s">
        <v>99</v>
      </c>
      <c r="E93" s="250" t="s">
        <v>226</v>
      </c>
      <c r="F93" s="251">
        <v>44.04</v>
      </c>
      <c r="G93" s="255" t="s">
        <v>2573</v>
      </c>
      <c r="H93" s="250" t="s">
        <v>128</v>
      </c>
      <c r="I93" s="250" t="s">
        <v>465</v>
      </c>
      <c r="J93" s="250" t="s">
        <v>114</v>
      </c>
      <c r="K93" s="250" t="s">
        <v>466</v>
      </c>
      <c r="L93" s="250" t="s">
        <v>2505</v>
      </c>
      <c r="M93" s="255">
        <v>2164</v>
      </c>
      <c r="N93" s="278">
        <v>44201</v>
      </c>
      <c r="O93" s="329" t="s">
        <v>67</v>
      </c>
      <c r="P93" s="386">
        <f t="shared" ref="P93:Q93" si="90">IF(B93=0,0,IF(YEAR(B93)=$Q$1,MONTH(B93)-$P$1+1,(YEAR(B93)-$Q$1)*12-$P$1+1+MONTH(B93)))</f>
        <v>1</v>
      </c>
      <c r="Q93" s="330">
        <f t="shared" si="90"/>
        <v>-1</v>
      </c>
      <c r="R93" s="351" t="str">
        <f t="shared" si="3"/>
        <v>Gastos_Gerais</v>
      </c>
      <c r="S93" s="351" t="str">
        <f>IF(D93="","",IF(OR(D93=Plano!$A$1,D93=Plano!$B$1),"entrada","saída"))</f>
        <v>saída</v>
      </c>
      <c r="T93" s="334" t="s">
        <v>114</v>
      </c>
      <c r="U93" s="334" t="s">
        <v>114</v>
      </c>
      <c r="V93" s="344"/>
      <c r="W93" s="269"/>
    </row>
    <row r="94" spans="1:23" ht="69.75" customHeight="1" x14ac:dyDescent="0.2">
      <c r="A94" s="277">
        <f t="shared" si="0"/>
        <v>90</v>
      </c>
      <c r="B94" s="278">
        <v>44201</v>
      </c>
      <c r="C94" s="249">
        <v>44136</v>
      </c>
      <c r="D94" s="250" t="s">
        <v>99</v>
      </c>
      <c r="E94" s="250" t="s">
        <v>244</v>
      </c>
      <c r="F94" s="251">
        <v>11.45</v>
      </c>
      <c r="G94" s="255" t="s">
        <v>2574</v>
      </c>
      <c r="H94" s="250" t="s">
        <v>126</v>
      </c>
      <c r="I94" s="250" t="s">
        <v>465</v>
      </c>
      <c r="J94" s="250" t="s">
        <v>114</v>
      </c>
      <c r="K94" s="250" t="s">
        <v>466</v>
      </c>
      <c r="L94" s="250" t="s">
        <v>2505</v>
      </c>
      <c r="M94" s="255">
        <v>2165</v>
      </c>
      <c r="N94" s="278">
        <v>44201</v>
      </c>
      <c r="O94" s="329" t="s">
        <v>67</v>
      </c>
      <c r="P94" s="386">
        <f t="shared" ref="P94:Q94" si="91">IF(B94=0,0,IF(YEAR(B94)=$Q$1,MONTH(B94)-$P$1+1,(YEAR(B94)-$Q$1)*12-$P$1+1+MONTH(B94)))</f>
        <v>1</v>
      </c>
      <c r="Q94" s="330">
        <f t="shared" si="91"/>
        <v>-1</v>
      </c>
      <c r="R94" s="351" t="str">
        <f t="shared" si="3"/>
        <v>Gastos_Gerais</v>
      </c>
      <c r="S94" s="351" t="str">
        <f>IF(D94="","",IF(OR(D94=Plano!$A$1,D94=Plano!$B$1),"entrada","saída"))</f>
        <v>saída</v>
      </c>
      <c r="T94" s="334" t="s">
        <v>114</v>
      </c>
      <c r="U94" s="334" t="s">
        <v>114</v>
      </c>
      <c r="V94" s="344"/>
      <c r="W94" s="269"/>
    </row>
    <row r="95" spans="1:23" ht="69.75" customHeight="1" x14ac:dyDescent="0.2">
      <c r="A95" s="277">
        <f t="shared" si="0"/>
        <v>91</v>
      </c>
      <c r="B95" s="278">
        <v>44201</v>
      </c>
      <c r="C95" s="249">
        <v>44136</v>
      </c>
      <c r="D95" s="250" t="s">
        <v>99</v>
      </c>
      <c r="E95" s="250" t="s">
        <v>226</v>
      </c>
      <c r="F95" s="251">
        <v>25.32</v>
      </c>
      <c r="G95" s="255" t="s">
        <v>2575</v>
      </c>
      <c r="H95" s="250" t="s">
        <v>128</v>
      </c>
      <c r="I95" s="250" t="s">
        <v>465</v>
      </c>
      <c r="J95" s="250" t="s">
        <v>114</v>
      </c>
      <c r="K95" s="250" t="s">
        <v>466</v>
      </c>
      <c r="L95" s="250" t="s">
        <v>2505</v>
      </c>
      <c r="M95" s="255">
        <v>2166</v>
      </c>
      <c r="N95" s="278">
        <v>44201</v>
      </c>
      <c r="O95" s="329" t="s">
        <v>67</v>
      </c>
      <c r="P95" s="386">
        <f t="shared" ref="P95:Q95" si="92">IF(B95=0,0,IF(YEAR(B95)=$Q$1,MONTH(B95)-$P$1+1,(YEAR(B95)-$Q$1)*12-$P$1+1+MONTH(B95)))</f>
        <v>1</v>
      </c>
      <c r="Q95" s="330">
        <f t="shared" si="92"/>
        <v>-1</v>
      </c>
      <c r="R95" s="351" t="str">
        <f t="shared" si="3"/>
        <v>Gastos_Gerais</v>
      </c>
      <c r="S95" s="351" t="str">
        <f>IF(D95="","",IF(OR(D95=Plano!$A$1,D95=Plano!$B$1),"entrada","saída"))</f>
        <v>saída</v>
      </c>
      <c r="T95" s="334" t="s">
        <v>114</v>
      </c>
      <c r="U95" s="334" t="s">
        <v>114</v>
      </c>
      <c r="V95" s="344"/>
      <c r="W95" s="269"/>
    </row>
    <row r="96" spans="1:23" ht="69.75" customHeight="1" x14ac:dyDescent="0.2">
      <c r="A96" s="277">
        <f t="shared" si="0"/>
        <v>92</v>
      </c>
      <c r="B96" s="278">
        <v>44201</v>
      </c>
      <c r="C96" s="249">
        <v>44136</v>
      </c>
      <c r="D96" s="250" t="s">
        <v>99</v>
      </c>
      <c r="E96" s="250" t="s">
        <v>244</v>
      </c>
      <c r="F96" s="251">
        <v>18.350000000000001</v>
      </c>
      <c r="G96" s="255" t="s">
        <v>2576</v>
      </c>
      <c r="H96" s="250" t="s">
        <v>122</v>
      </c>
      <c r="I96" s="250" t="s">
        <v>465</v>
      </c>
      <c r="J96" s="250" t="s">
        <v>114</v>
      </c>
      <c r="K96" s="250" t="s">
        <v>466</v>
      </c>
      <c r="L96" s="250" t="s">
        <v>467</v>
      </c>
      <c r="M96" s="255">
        <v>2167</v>
      </c>
      <c r="N96" s="278">
        <v>44201</v>
      </c>
      <c r="O96" s="329" t="s">
        <v>67</v>
      </c>
      <c r="P96" s="386">
        <f t="shared" ref="P96:Q96" si="93">IF(B96=0,0,IF(YEAR(B96)=$Q$1,MONTH(B96)-$P$1+1,(YEAR(B96)-$Q$1)*12-$P$1+1+MONTH(B96)))</f>
        <v>1</v>
      </c>
      <c r="Q96" s="330">
        <f t="shared" si="93"/>
        <v>-1</v>
      </c>
      <c r="R96" s="351" t="str">
        <f t="shared" si="3"/>
        <v>Gastos_Gerais</v>
      </c>
      <c r="S96" s="351" t="str">
        <f>IF(D96="","",IF(OR(D96=Plano!$A$1,D96=Plano!$B$1),"entrada","saída"))</f>
        <v>saída</v>
      </c>
      <c r="T96" s="334" t="s">
        <v>114</v>
      </c>
      <c r="U96" s="334" t="s">
        <v>114</v>
      </c>
      <c r="V96" s="344"/>
      <c r="W96" s="269"/>
    </row>
    <row r="97" spans="1:23" ht="69.75" customHeight="1" x14ac:dyDescent="0.2">
      <c r="A97" s="277">
        <f t="shared" si="0"/>
        <v>93</v>
      </c>
      <c r="B97" s="278">
        <v>44201</v>
      </c>
      <c r="C97" s="249">
        <v>44197</v>
      </c>
      <c r="D97" s="250" t="s">
        <v>99</v>
      </c>
      <c r="E97" s="255" t="s">
        <v>266</v>
      </c>
      <c r="F97" s="251">
        <v>9.2799999999999994</v>
      </c>
      <c r="G97" s="255" t="s">
        <v>2577</v>
      </c>
      <c r="H97" s="250" t="s">
        <v>115</v>
      </c>
      <c r="I97" s="250" t="s">
        <v>465</v>
      </c>
      <c r="J97" s="250" t="s">
        <v>114</v>
      </c>
      <c r="K97" s="250" t="s">
        <v>466</v>
      </c>
      <c r="L97" s="250" t="s">
        <v>467</v>
      </c>
      <c r="M97" s="255">
        <v>2168</v>
      </c>
      <c r="N97" s="278">
        <v>44201</v>
      </c>
      <c r="O97" s="329" t="s">
        <v>67</v>
      </c>
      <c r="P97" s="386">
        <f t="shared" ref="P97:Q97" si="94">IF(B97=0,0,IF(YEAR(B97)=$Q$1,MONTH(B97)-$P$1+1,(YEAR(B97)-$Q$1)*12-$P$1+1+MONTH(B97)))</f>
        <v>1</v>
      </c>
      <c r="Q97" s="330">
        <f t="shared" si="94"/>
        <v>1</v>
      </c>
      <c r="R97" s="351" t="str">
        <f t="shared" si="3"/>
        <v>Gastos_Gerais</v>
      </c>
      <c r="S97" s="351" t="str">
        <f>IF(D97="","",IF(OR(D97=Plano!$A$1,D97=Plano!$B$1),"entrada","saída"))</f>
        <v>saída</v>
      </c>
      <c r="T97" s="334" t="s">
        <v>114</v>
      </c>
      <c r="U97" s="334" t="s">
        <v>114</v>
      </c>
      <c r="V97" s="344"/>
      <c r="W97" s="269"/>
    </row>
    <row r="98" spans="1:23" ht="69.75" customHeight="1" x14ac:dyDescent="0.2">
      <c r="A98" s="277">
        <f t="shared" si="0"/>
        <v>94</v>
      </c>
      <c r="B98" s="278">
        <v>44201</v>
      </c>
      <c r="C98" s="249">
        <v>44166</v>
      </c>
      <c r="D98" s="250" t="s">
        <v>99</v>
      </c>
      <c r="E98" s="250" t="s">
        <v>330</v>
      </c>
      <c r="F98" s="251">
        <v>170</v>
      </c>
      <c r="G98" s="255" t="s">
        <v>2578</v>
      </c>
      <c r="H98" s="250" t="s">
        <v>115</v>
      </c>
      <c r="I98" s="250" t="s">
        <v>465</v>
      </c>
      <c r="J98" s="250" t="s">
        <v>114</v>
      </c>
      <c r="K98" s="250" t="s">
        <v>466</v>
      </c>
      <c r="L98" s="250" t="s">
        <v>467</v>
      </c>
      <c r="M98" s="255">
        <v>2169</v>
      </c>
      <c r="N98" s="278">
        <v>44201</v>
      </c>
      <c r="O98" s="329" t="s">
        <v>67</v>
      </c>
      <c r="P98" s="386">
        <f t="shared" ref="P98:Q98" si="95">IF(B98=0,0,IF(YEAR(B98)=$Q$1,MONTH(B98)-$P$1+1,(YEAR(B98)-$Q$1)*12-$P$1+1+MONTH(B98)))</f>
        <v>1</v>
      </c>
      <c r="Q98" s="330">
        <f t="shared" si="95"/>
        <v>0</v>
      </c>
      <c r="R98" s="351" t="str">
        <f t="shared" si="3"/>
        <v>Gastos_Gerais</v>
      </c>
      <c r="S98" s="351" t="str">
        <f>IF(D98="","",IF(OR(D98=Plano!$A$1,D98=Plano!$B$1),"entrada","saída"))</f>
        <v>saída</v>
      </c>
      <c r="T98" s="334" t="s">
        <v>114</v>
      </c>
      <c r="U98" s="334" t="s">
        <v>114</v>
      </c>
      <c r="V98" s="344"/>
      <c r="W98" s="269"/>
    </row>
    <row r="99" spans="1:23" ht="69.75" customHeight="1" x14ac:dyDescent="0.2">
      <c r="A99" s="277">
        <f t="shared" si="0"/>
        <v>95</v>
      </c>
      <c r="B99" s="278">
        <v>44201</v>
      </c>
      <c r="C99" s="256">
        <v>44166</v>
      </c>
      <c r="D99" s="255" t="s">
        <v>88</v>
      </c>
      <c r="E99" s="255" t="s">
        <v>183</v>
      </c>
      <c r="F99" s="258">
        <v>2.04</v>
      </c>
      <c r="G99" s="255" t="s">
        <v>2579</v>
      </c>
      <c r="H99" s="250" t="s">
        <v>114</v>
      </c>
      <c r="I99" s="250" t="s">
        <v>465</v>
      </c>
      <c r="J99" s="250" t="s">
        <v>114</v>
      </c>
      <c r="K99" s="250" t="s">
        <v>466</v>
      </c>
      <c r="L99" s="250" t="s">
        <v>467</v>
      </c>
      <c r="M99" s="255">
        <v>2170</v>
      </c>
      <c r="N99" s="278">
        <v>44201</v>
      </c>
      <c r="O99" s="329" t="s">
        <v>67</v>
      </c>
      <c r="P99" s="386">
        <f t="shared" ref="P99:Q99" si="96">IF(B99=0,0,IF(YEAR(B99)=$Q$1,MONTH(B99)-$P$1+1,(YEAR(B99)-$Q$1)*12-$P$1+1+MONTH(B99)))</f>
        <v>1</v>
      </c>
      <c r="Q99" s="330">
        <f t="shared" si="96"/>
        <v>0</v>
      </c>
      <c r="R99" s="351" t="str">
        <f t="shared" si="3"/>
        <v>Gastos_com_Pessoal</v>
      </c>
      <c r="S99" s="351" t="str">
        <f>IF(D99="","",IF(OR(D99=Plano!$A$1,D99=Plano!$B$1),"entrada","saída"))</f>
        <v>saída</v>
      </c>
      <c r="T99" s="334" t="s">
        <v>114</v>
      </c>
      <c r="U99" s="334" t="s">
        <v>114</v>
      </c>
      <c r="V99" s="344"/>
      <c r="W99" s="269"/>
    </row>
    <row r="100" spans="1:23" ht="69.75" customHeight="1" x14ac:dyDescent="0.2">
      <c r="A100" s="277">
        <f t="shared" si="0"/>
        <v>96</v>
      </c>
      <c r="B100" s="278">
        <v>44201</v>
      </c>
      <c r="C100" s="256">
        <v>44166</v>
      </c>
      <c r="D100" s="255" t="s">
        <v>88</v>
      </c>
      <c r="E100" s="255" t="s">
        <v>183</v>
      </c>
      <c r="F100" s="258">
        <v>3.56</v>
      </c>
      <c r="G100" s="255" t="s">
        <v>2580</v>
      </c>
      <c r="H100" s="250" t="s">
        <v>114</v>
      </c>
      <c r="I100" s="250" t="s">
        <v>465</v>
      </c>
      <c r="J100" s="250" t="s">
        <v>114</v>
      </c>
      <c r="K100" s="250" t="s">
        <v>466</v>
      </c>
      <c r="L100" s="250" t="s">
        <v>467</v>
      </c>
      <c r="M100" s="255">
        <v>2171</v>
      </c>
      <c r="N100" s="278">
        <v>44201</v>
      </c>
      <c r="O100" s="329" t="s">
        <v>67</v>
      </c>
      <c r="P100" s="386">
        <f t="shared" ref="P100:Q100" si="97">IF(B100=0,0,IF(YEAR(B100)=$Q$1,MONTH(B100)-$P$1+1,(YEAR(B100)-$Q$1)*12-$P$1+1+MONTH(B100)))</f>
        <v>1</v>
      </c>
      <c r="Q100" s="330">
        <f t="shared" si="97"/>
        <v>0</v>
      </c>
      <c r="R100" s="351" t="str">
        <f t="shared" si="3"/>
        <v>Gastos_com_Pessoal</v>
      </c>
      <c r="S100" s="351" t="str">
        <f>IF(D100="","",IF(OR(D100=Plano!$A$1,D100=Plano!$B$1),"entrada","saída"))</f>
        <v>saída</v>
      </c>
      <c r="T100" s="334" t="s">
        <v>114</v>
      </c>
      <c r="U100" s="334" t="s">
        <v>114</v>
      </c>
      <c r="V100" s="344"/>
      <c r="W100" s="269"/>
    </row>
    <row r="101" spans="1:23" ht="69.75" customHeight="1" x14ac:dyDescent="0.2">
      <c r="A101" s="277">
        <f t="shared" si="0"/>
        <v>97</v>
      </c>
      <c r="B101" s="278">
        <v>44201</v>
      </c>
      <c r="C101" s="256">
        <v>44166</v>
      </c>
      <c r="D101" s="255" t="s">
        <v>88</v>
      </c>
      <c r="E101" s="255" t="s">
        <v>192</v>
      </c>
      <c r="F101" s="258">
        <v>0.25</v>
      </c>
      <c r="G101" s="255" t="s">
        <v>2581</v>
      </c>
      <c r="H101" s="250" t="s">
        <v>114</v>
      </c>
      <c r="I101" s="250" t="s">
        <v>465</v>
      </c>
      <c r="J101" s="250" t="s">
        <v>114</v>
      </c>
      <c r="K101" s="250" t="s">
        <v>466</v>
      </c>
      <c r="L101" s="250" t="s">
        <v>467</v>
      </c>
      <c r="M101" s="255">
        <v>2172</v>
      </c>
      <c r="N101" s="278">
        <v>44201</v>
      </c>
      <c r="O101" s="329" t="s">
        <v>67</v>
      </c>
      <c r="P101" s="386">
        <f t="shared" ref="P101:Q101" si="98">IF(B101=0,0,IF(YEAR(B101)=$Q$1,MONTH(B101)-$P$1+1,(YEAR(B101)-$Q$1)*12-$P$1+1+MONTH(B101)))</f>
        <v>1</v>
      </c>
      <c r="Q101" s="330">
        <f t="shared" si="98"/>
        <v>0</v>
      </c>
      <c r="R101" s="351" t="str">
        <f t="shared" si="3"/>
        <v>Gastos_com_Pessoal</v>
      </c>
      <c r="S101" s="351" t="str">
        <f>IF(D101="","",IF(OR(D101=Plano!$A$1,D101=Plano!$B$1),"entrada","saída"))</f>
        <v>saída</v>
      </c>
      <c r="T101" s="334" t="s">
        <v>114</v>
      </c>
      <c r="U101" s="334" t="s">
        <v>114</v>
      </c>
      <c r="V101" s="344"/>
      <c r="W101" s="269"/>
    </row>
    <row r="102" spans="1:23" ht="69.75" customHeight="1" x14ac:dyDescent="0.2">
      <c r="A102" s="277">
        <f t="shared" si="0"/>
        <v>98</v>
      </c>
      <c r="B102" s="278">
        <v>44201</v>
      </c>
      <c r="C102" s="256">
        <v>44166</v>
      </c>
      <c r="D102" s="255" t="s">
        <v>88</v>
      </c>
      <c r="E102" s="255" t="s">
        <v>192</v>
      </c>
      <c r="F102" s="258">
        <v>0.04</v>
      </c>
      <c r="G102" s="255" t="s">
        <v>2582</v>
      </c>
      <c r="H102" s="250" t="s">
        <v>114</v>
      </c>
      <c r="I102" s="250" t="s">
        <v>465</v>
      </c>
      <c r="J102" s="250" t="s">
        <v>114</v>
      </c>
      <c r="K102" s="250" t="s">
        <v>466</v>
      </c>
      <c r="L102" s="250" t="s">
        <v>467</v>
      </c>
      <c r="M102" s="255">
        <v>2173</v>
      </c>
      <c r="N102" s="278">
        <v>44201</v>
      </c>
      <c r="O102" s="329" t="s">
        <v>67</v>
      </c>
      <c r="P102" s="386">
        <f t="shared" ref="P102:Q102" si="99">IF(B102=0,0,IF(YEAR(B102)=$Q$1,MONTH(B102)-$P$1+1,(YEAR(B102)-$Q$1)*12-$P$1+1+MONTH(B102)))</f>
        <v>1</v>
      </c>
      <c r="Q102" s="330">
        <f t="shared" si="99"/>
        <v>0</v>
      </c>
      <c r="R102" s="351" t="str">
        <f t="shared" si="3"/>
        <v>Gastos_com_Pessoal</v>
      </c>
      <c r="S102" s="351" t="str">
        <f>IF(D102="","",IF(OR(D102=Plano!$A$1,D102=Plano!$B$1),"entrada","saída"))</f>
        <v>saída</v>
      </c>
      <c r="T102" s="334" t="s">
        <v>114</v>
      </c>
      <c r="U102" s="334" t="s">
        <v>114</v>
      </c>
      <c r="V102" s="344"/>
      <c r="W102" s="269"/>
    </row>
    <row r="103" spans="1:23" ht="69.75" customHeight="1" x14ac:dyDescent="0.2">
      <c r="A103" s="277">
        <f t="shared" si="0"/>
        <v>99</v>
      </c>
      <c r="B103" s="278">
        <v>44201</v>
      </c>
      <c r="C103" s="256">
        <v>44136</v>
      </c>
      <c r="D103" s="255" t="s">
        <v>88</v>
      </c>
      <c r="E103" s="255" t="s">
        <v>90</v>
      </c>
      <c r="F103" s="258">
        <v>4.41</v>
      </c>
      <c r="G103" s="255" t="s">
        <v>2583</v>
      </c>
      <c r="H103" s="250" t="s">
        <v>114</v>
      </c>
      <c r="I103" s="250" t="s">
        <v>465</v>
      </c>
      <c r="J103" s="250" t="s">
        <v>114</v>
      </c>
      <c r="K103" s="250" t="s">
        <v>466</v>
      </c>
      <c r="L103" s="250" t="s">
        <v>467</v>
      </c>
      <c r="M103" s="255">
        <v>2174</v>
      </c>
      <c r="N103" s="278">
        <v>44201</v>
      </c>
      <c r="O103" s="329" t="s">
        <v>67</v>
      </c>
      <c r="P103" s="386">
        <f t="shared" ref="P103:Q103" si="100">IF(B103=0,0,IF(YEAR(B103)=$Q$1,MONTH(B103)-$P$1+1,(YEAR(B103)-$Q$1)*12-$P$1+1+MONTH(B103)))</f>
        <v>1</v>
      </c>
      <c r="Q103" s="330">
        <f t="shared" si="100"/>
        <v>-1</v>
      </c>
      <c r="R103" s="351" t="str">
        <f t="shared" si="3"/>
        <v>Gastos_com_Pessoal</v>
      </c>
      <c r="S103" s="351" t="str">
        <f>IF(D103="","",IF(OR(D103=Plano!$A$1,D103=Plano!$B$1),"entrada","saída"))</f>
        <v>saída</v>
      </c>
      <c r="T103" s="334" t="s">
        <v>114</v>
      </c>
      <c r="U103" s="334" t="s">
        <v>114</v>
      </c>
      <c r="V103" s="344"/>
      <c r="W103" s="269"/>
    </row>
    <row r="104" spans="1:23" ht="69.75" customHeight="1" x14ac:dyDescent="0.2">
      <c r="A104" s="277">
        <f t="shared" si="0"/>
        <v>100</v>
      </c>
      <c r="B104" s="278">
        <v>44201</v>
      </c>
      <c r="C104" s="256">
        <v>44197</v>
      </c>
      <c r="D104" s="255" t="s">
        <v>88</v>
      </c>
      <c r="E104" s="255" t="s">
        <v>196</v>
      </c>
      <c r="F104" s="258">
        <v>64.2</v>
      </c>
      <c r="G104" s="255" t="s">
        <v>2584</v>
      </c>
      <c r="H104" s="250" t="s">
        <v>114</v>
      </c>
      <c r="I104" s="250" t="s">
        <v>465</v>
      </c>
      <c r="J104" s="250" t="s">
        <v>114</v>
      </c>
      <c r="K104" s="250" t="s">
        <v>466</v>
      </c>
      <c r="L104" s="250" t="s">
        <v>467</v>
      </c>
      <c r="M104" s="255">
        <v>2175</v>
      </c>
      <c r="N104" s="278">
        <v>44201</v>
      </c>
      <c r="O104" s="329" t="s">
        <v>67</v>
      </c>
      <c r="P104" s="386">
        <f t="shared" ref="P104:Q104" si="101">IF(B104=0,0,IF(YEAR(B104)=$Q$1,MONTH(B104)-$P$1+1,(YEAR(B104)-$Q$1)*12-$P$1+1+MONTH(B104)))</f>
        <v>1</v>
      </c>
      <c r="Q104" s="330">
        <f t="shared" si="101"/>
        <v>1</v>
      </c>
      <c r="R104" s="351" t="str">
        <f t="shared" si="3"/>
        <v>Gastos_com_Pessoal</v>
      </c>
      <c r="S104" s="351" t="str">
        <f>IF(D104="","",IF(OR(D104=Plano!$A$1,D104=Plano!$B$1),"entrada","saída"))</f>
        <v>saída</v>
      </c>
      <c r="T104" s="334" t="s">
        <v>114</v>
      </c>
      <c r="U104" s="334" t="s">
        <v>114</v>
      </c>
      <c r="V104" s="344"/>
      <c r="W104" s="269"/>
    </row>
    <row r="105" spans="1:23" ht="69.75" customHeight="1" x14ac:dyDescent="0.2">
      <c r="A105" s="277">
        <f t="shared" si="0"/>
        <v>101</v>
      </c>
      <c r="B105" s="278">
        <v>44201</v>
      </c>
      <c r="C105" s="249">
        <v>44166</v>
      </c>
      <c r="D105" s="250" t="s">
        <v>104</v>
      </c>
      <c r="E105" s="250" t="s">
        <v>104</v>
      </c>
      <c r="F105" s="251">
        <v>35.76</v>
      </c>
      <c r="G105" s="255" t="s">
        <v>2585</v>
      </c>
      <c r="H105" s="250" t="s">
        <v>104</v>
      </c>
      <c r="I105" s="250" t="s">
        <v>465</v>
      </c>
      <c r="J105" s="250" t="s">
        <v>114</v>
      </c>
      <c r="K105" s="250" t="s">
        <v>466</v>
      </c>
      <c r="L105" s="250" t="s">
        <v>467</v>
      </c>
      <c r="M105" s="250">
        <v>2071</v>
      </c>
      <c r="N105" s="278">
        <v>44201</v>
      </c>
      <c r="O105" s="329" t="s">
        <v>68</v>
      </c>
      <c r="P105" s="386">
        <f t="shared" ref="P105:Q105" si="102">IF(B105=0,0,IF(YEAR(B105)=$Q$1,MONTH(B105)-$P$1+1,(YEAR(B105)-$Q$1)*12-$P$1+1+MONTH(B105)))</f>
        <v>1</v>
      </c>
      <c r="Q105" s="330">
        <f t="shared" si="102"/>
        <v>0</v>
      </c>
      <c r="R105" s="351" t="str">
        <f t="shared" si="3"/>
        <v>Gastos_custeados_por_captação</v>
      </c>
      <c r="S105" s="351" t="str">
        <f>IF(D105="","",IF(OR(D105=Plano!$A$1,D105=Plano!$B$1),"entrada","saída"))</f>
        <v>saída</v>
      </c>
      <c r="T105" s="334" t="s">
        <v>114</v>
      </c>
      <c r="U105" s="334" t="s">
        <v>114</v>
      </c>
      <c r="V105" s="344"/>
      <c r="W105" s="269"/>
    </row>
    <row r="106" spans="1:23" ht="69.75" customHeight="1" x14ac:dyDescent="0.2">
      <c r="A106" s="277">
        <f t="shared" si="0"/>
        <v>102</v>
      </c>
      <c r="B106" s="278">
        <v>44201</v>
      </c>
      <c r="C106" s="249">
        <v>44136</v>
      </c>
      <c r="D106" s="250" t="s">
        <v>104</v>
      </c>
      <c r="E106" s="250" t="s">
        <v>104</v>
      </c>
      <c r="F106" s="251">
        <v>132.5</v>
      </c>
      <c r="G106" s="255" t="s">
        <v>2586</v>
      </c>
      <c r="H106" s="250" t="s">
        <v>104</v>
      </c>
      <c r="I106" s="250" t="s">
        <v>465</v>
      </c>
      <c r="J106" s="250" t="s">
        <v>114</v>
      </c>
      <c r="K106" s="250" t="s">
        <v>466</v>
      </c>
      <c r="L106" s="250" t="s">
        <v>467</v>
      </c>
      <c r="M106" s="255">
        <v>2072</v>
      </c>
      <c r="N106" s="278">
        <v>44201</v>
      </c>
      <c r="O106" s="329" t="s">
        <v>68</v>
      </c>
      <c r="P106" s="386">
        <f t="shared" ref="P106:Q106" si="103">IF(B106=0,0,IF(YEAR(B106)=$Q$1,MONTH(B106)-$P$1+1,(YEAR(B106)-$Q$1)*12-$P$1+1+MONTH(B106)))</f>
        <v>1</v>
      </c>
      <c r="Q106" s="330">
        <f t="shared" si="103"/>
        <v>-1</v>
      </c>
      <c r="R106" s="351" t="str">
        <f t="shared" si="3"/>
        <v>Gastos_custeados_por_captação</v>
      </c>
      <c r="S106" s="351" t="str">
        <f>IF(D106="","",IF(OR(D106=Plano!$A$1,D106=Plano!$B$1),"entrada","saída"))</f>
        <v>saída</v>
      </c>
      <c r="T106" s="334" t="s">
        <v>114</v>
      </c>
      <c r="U106" s="334" t="s">
        <v>114</v>
      </c>
      <c r="V106" s="344"/>
      <c r="W106" s="269"/>
    </row>
    <row r="107" spans="1:23" ht="69.75" customHeight="1" x14ac:dyDescent="0.2">
      <c r="A107" s="277">
        <f t="shared" si="0"/>
        <v>103</v>
      </c>
      <c r="B107" s="278">
        <v>44201</v>
      </c>
      <c r="C107" s="249">
        <v>44136</v>
      </c>
      <c r="D107" s="250" t="s">
        <v>104</v>
      </c>
      <c r="E107" s="250" t="s">
        <v>104</v>
      </c>
      <c r="F107" s="251">
        <v>150</v>
      </c>
      <c r="G107" s="255" t="s">
        <v>2587</v>
      </c>
      <c r="H107" s="250" t="s">
        <v>104</v>
      </c>
      <c r="I107" s="250" t="s">
        <v>465</v>
      </c>
      <c r="J107" s="250" t="s">
        <v>114</v>
      </c>
      <c r="K107" s="250" t="s">
        <v>466</v>
      </c>
      <c r="L107" s="250" t="s">
        <v>467</v>
      </c>
      <c r="M107" s="255">
        <v>2073</v>
      </c>
      <c r="N107" s="278">
        <v>44201</v>
      </c>
      <c r="O107" s="329" t="s">
        <v>68</v>
      </c>
      <c r="P107" s="386">
        <f t="shared" ref="P107:Q107" si="104">IF(B107=0,0,IF(YEAR(B107)=$Q$1,MONTH(B107)-$P$1+1,(YEAR(B107)-$Q$1)*12-$P$1+1+MONTH(B107)))</f>
        <v>1</v>
      </c>
      <c r="Q107" s="330">
        <f t="shared" si="104"/>
        <v>-1</v>
      </c>
      <c r="R107" s="351" t="str">
        <f t="shared" si="3"/>
        <v>Gastos_custeados_por_captação</v>
      </c>
      <c r="S107" s="351" t="str">
        <f>IF(D107="","",IF(OR(D107=Plano!$A$1,D107=Plano!$B$1),"entrada","saída"))</f>
        <v>saída</v>
      </c>
      <c r="T107" s="334" t="s">
        <v>114</v>
      </c>
      <c r="U107" s="334" t="s">
        <v>114</v>
      </c>
      <c r="V107" s="344"/>
      <c r="W107" s="269"/>
    </row>
    <row r="108" spans="1:23" ht="69.75" customHeight="1" x14ac:dyDescent="0.2">
      <c r="A108" s="277">
        <f t="shared" si="0"/>
        <v>104</v>
      </c>
      <c r="B108" s="278">
        <v>44201</v>
      </c>
      <c r="C108" s="249">
        <v>44166</v>
      </c>
      <c r="D108" s="250" t="s">
        <v>104</v>
      </c>
      <c r="E108" s="250" t="s">
        <v>104</v>
      </c>
      <c r="F108" s="251">
        <v>50</v>
      </c>
      <c r="G108" s="255" t="s">
        <v>2588</v>
      </c>
      <c r="H108" s="250" t="s">
        <v>104</v>
      </c>
      <c r="I108" s="250" t="s">
        <v>465</v>
      </c>
      <c r="J108" s="250" t="s">
        <v>114</v>
      </c>
      <c r="K108" s="250" t="s">
        <v>466</v>
      </c>
      <c r="L108" s="250" t="s">
        <v>467</v>
      </c>
      <c r="M108" s="255">
        <v>2074</v>
      </c>
      <c r="N108" s="278">
        <v>44201</v>
      </c>
      <c r="O108" s="329" t="s">
        <v>68</v>
      </c>
      <c r="P108" s="386">
        <f t="shared" ref="P108:Q108" si="105">IF(B108=0,0,IF(YEAR(B108)=$Q$1,MONTH(B108)-$P$1+1,(YEAR(B108)-$Q$1)*12-$P$1+1+MONTH(B108)))</f>
        <v>1</v>
      </c>
      <c r="Q108" s="330">
        <f t="shared" si="105"/>
        <v>0</v>
      </c>
      <c r="R108" s="351" t="str">
        <f t="shared" si="3"/>
        <v>Gastos_custeados_por_captação</v>
      </c>
      <c r="S108" s="351" t="str">
        <f>IF(D108="","",IF(OR(D108=Plano!$A$1,D108=Plano!$B$1),"entrada","saída"))</f>
        <v>saída</v>
      </c>
      <c r="T108" s="334" t="s">
        <v>114</v>
      </c>
      <c r="U108" s="334" t="s">
        <v>114</v>
      </c>
      <c r="V108" s="344"/>
      <c r="W108" s="269"/>
    </row>
    <row r="109" spans="1:23" ht="69.75" customHeight="1" x14ac:dyDescent="0.2">
      <c r="A109" s="277">
        <f t="shared" si="0"/>
        <v>105</v>
      </c>
      <c r="B109" s="278">
        <v>44201</v>
      </c>
      <c r="C109" s="249">
        <v>44136</v>
      </c>
      <c r="D109" s="250" t="s">
        <v>104</v>
      </c>
      <c r="E109" s="250" t="s">
        <v>104</v>
      </c>
      <c r="F109" s="251">
        <v>125</v>
      </c>
      <c r="G109" s="255" t="s">
        <v>2589</v>
      </c>
      <c r="H109" s="250" t="s">
        <v>104</v>
      </c>
      <c r="I109" s="250" t="s">
        <v>465</v>
      </c>
      <c r="J109" s="250" t="s">
        <v>114</v>
      </c>
      <c r="K109" s="250" t="s">
        <v>466</v>
      </c>
      <c r="L109" s="250" t="s">
        <v>467</v>
      </c>
      <c r="M109" s="255">
        <v>2075</v>
      </c>
      <c r="N109" s="278">
        <v>44201</v>
      </c>
      <c r="O109" s="329" t="s">
        <v>68</v>
      </c>
      <c r="P109" s="386">
        <f t="shared" ref="P109:Q109" si="106">IF(B109=0,0,IF(YEAR(B109)=$Q$1,MONTH(B109)-$P$1+1,(YEAR(B109)-$Q$1)*12-$P$1+1+MONTH(B109)))</f>
        <v>1</v>
      </c>
      <c r="Q109" s="330">
        <f t="shared" si="106"/>
        <v>-1</v>
      </c>
      <c r="R109" s="351" t="str">
        <f t="shared" si="3"/>
        <v>Gastos_custeados_por_captação</v>
      </c>
      <c r="S109" s="351" t="str">
        <f>IF(D109="","",IF(OR(D109=Plano!$A$1,D109=Plano!$B$1),"entrada","saída"))</f>
        <v>saída</v>
      </c>
      <c r="T109" s="334" t="s">
        <v>114</v>
      </c>
      <c r="U109" s="334" t="s">
        <v>114</v>
      </c>
      <c r="V109" s="344"/>
      <c r="W109" s="269"/>
    </row>
    <row r="110" spans="1:23" ht="69.75" customHeight="1" x14ac:dyDescent="0.2">
      <c r="A110" s="277">
        <f t="shared" si="0"/>
        <v>106</v>
      </c>
      <c r="B110" s="278">
        <v>44201</v>
      </c>
      <c r="C110" s="249">
        <v>44136</v>
      </c>
      <c r="D110" s="250" t="s">
        <v>104</v>
      </c>
      <c r="E110" s="250" t="s">
        <v>104</v>
      </c>
      <c r="F110" s="251">
        <v>75</v>
      </c>
      <c r="G110" s="255" t="s">
        <v>2590</v>
      </c>
      <c r="H110" s="250" t="s">
        <v>104</v>
      </c>
      <c r="I110" s="250" t="s">
        <v>465</v>
      </c>
      <c r="J110" s="250" t="s">
        <v>114</v>
      </c>
      <c r="K110" s="250" t="s">
        <v>466</v>
      </c>
      <c r="L110" s="250" t="s">
        <v>467</v>
      </c>
      <c r="M110" s="255">
        <v>2076</v>
      </c>
      <c r="N110" s="278">
        <v>44201</v>
      </c>
      <c r="O110" s="329" t="s">
        <v>68</v>
      </c>
      <c r="P110" s="386">
        <f t="shared" ref="P110:Q110" si="107">IF(B110=0,0,IF(YEAR(B110)=$Q$1,MONTH(B110)-$P$1+1,(YEAR(B110)-$Q$1)*12-$P$1+1+MONTH(B110)))</f>
        <v>1</v>
      </c>
      <c r="Q110" s="330">
        <f t="shared" si="107"/>
        <v>-1</v>
      </c>
      <c r="R110" s="351" t="str">
        <f t="shared" si="3"/>
        <v>Gastos_custeados_por_captação</v>
      </c>
      <c r="S110" s="351" t="str">
        <f>IF(D110="","",IF(OR(D110=Plano!$A$1,D110=Plano!$B$1),"entrada","saída"))</f>
        <v>saída</v>
      </c>
      <c r="T110" s="334" t="s">
        <v>114</v>
      </c>
      <c r="U110" s="334" t="s">
        <v>114</v>
      </c>
      <c r="V110" s="344"/>
      <c r="W110" s="269"/>
    </row>
    <row r="111" spans="1:23" ht="69.75" customHeight="1" x14ac:dyDescent="0.2">
      <c r="A111" s="277">
        <f t="shared" si="0"/>
        <v>107</v>
      </c>
      <c r="B111" s="278">
        <v>44201</v>
      </c>
      <c r="C111" s="249">
        <v>44136</v>
      </c>
      <c r="D111" s="250" t="s">
        <v>104</v>
      </c>
      <c r="E111" s="250" t="s">
        <v>104</v>
      </c>
      <c r="F111" s="251">
        <v>77.180000000000007</v>
      </c>
      <c r="G111" s="255" t="s">
        <v>2591</v>
      </c>
      <c r="H111" s="250" t="s">
        <v>104</v>
      </c>
      <c r="I111" s="250" t="s">
        <v>465</v>
      </c>
      <c r="J111" s="250" t="s">
        <v>114</v>
      </c>
      <c r="K111" s="250" t="s">
        <v>466</v>
      </c>
      <c r="L111" s="250" t="s">
        <v>467</v>
      </c>
      <c r="M111" s="255">
        <v>2077</v>
      </c>
      <c r="N111" s="278">
        <v>44201</v>
      </c>
      <c r="O111" s="329" t="s">
        <v>68</v>
      </c>
      <c r="P111" s="386">
        <f t="shared" ref="P111:Q111" si="108">IF(B111=0,0,IF(YEAR(B111)=$Q$1,MONTH(B111)-$P$1+1,(YEAR(B111)-$Q$1)*12-$P$1+1+MONTH(B111)))</f>
        <v>1</v>
      </c>
      <c r="Q111" s="330">
        <f t="shared" si="108"/>
        <v>-1</v>
      </c>
      <c r="R111" s="351" t="str">
        <f t="shared" si="3"/>
        <v>Gastos_custeados_por_captação</v>
      </c>
      <c r="S111" s="351" t="str">
        <f>IF(D111="","",IF(OR(D111=Plano!$A$1,D111=Plano!$B$1),"entrada","saída"))</f>
        <v>saída</v>
      </c>
      <c r="T111" s="334" t="s">
        <v>114</v>
      </c>
      <c r="U111" s="334" t="s">
        <v>114</v>
      </c>
      <c r="V111" s="344"/>
      <c r="W111" s="269"/>
    </row>
    <row r="112" spans="1:23" ht="69.75" customHeight="1" x14ac:dyDescent="0.2">
      <c r="A112" s="277">
        <f t="shared" si="0"/>
        <v>108</v>
      </c>
      <c r="B112" s="278">
        <v>44201</v>
      </c>
      <c r="C112" s="249">
        <v>44136</v>
      </c>
      <c r="D112" s="250" t="s">
        <v>104</v>
      </c>
      <c r="E112" s="250" t="s">
        <v>104</v>
      </c>
      <c r="F112" s="251">
        <v>90</v>
      </c>
      <c r="G112" s="255" t="s">
        <v>2592</v>
      </c>
      <c r="H112" s="250" t="s">
        <v>104</v>
      </c>
      <c r="I112" s="250" t="s">
        <v>465</v>
      </c>
      <c r="J112" s="250" t="s">
        <v>114</v>
      </c>
      <c r="K112" s="250" t="s">
        <v>466</v>
      </c>
      <c r="L112" s="250" t="s">
        <v>467</v>
      </c>
      <c r="M112" s="255">
        <v>2078</v>
      </c>
      <c r="N112" s="278">
        <v>44201</v>
      </c>
      <c r="O112" s="329" t="s">
        <v>68</v>
      </c>
      <c r="P112" s="386">
        <f t="shared" ref="P112:Q112" si="109">IF(B112=0,0,IF(YEAR(B112)=$Q$1,MONTH(B112)-$P$1+1,(YEAR(B112)-$Q$1)*12-$P$1+1+MONTH(B112)))</f>
        <v>1</v>
      </c>
      <c r="Q112" s="330">
        <f t="shared" si="109"/>
        <v>-1</v>
      </c>
      <c r="R112" s="351" t="str">
        <f t="shared" si="3"/>
        <v>Gastos_custeados_por_captação</v>
      </c>
      <c r="S112" s="351" t="str">
        <f>IF(D112="","",IF(OR(D112=Plano!$A$1,D112=Plano!$B$1),"entrada","saída"))</f>
        <v>saída</v>
      </c>
      <c r="T112" s="334" t="s">
        <v>114</v>
      </c>
      <c r="U112" s="334" t="s">
        <v>114</v>
      </c>
      <c r="V112" s="344"/>
      <c r="W112" s="269"/>
    </row>
    <row r="113" spans="1:23" ht="69.75" customHeight="1" x14ac:dyDescent="0.2">
      <c r="A113" s="277">
        <f t="shared" si="0"/>
        <v>109</v>
      </c>
      <c r="B113" s="278">
        <v>44201</v>
      </c>
      <c r="C113" s="249">
        <v>44044</v>
      </c>
      <c r="D113" s="250" t="s">
        <v>104</v>
      </c>
      <c r="E113" s="250" t="s">
        <v>104</v>
      </c>
      <c r="F113" s="251">
        <v>60</v>
      </c>
      <c r="G113" s="255" t="s">
        <v>2593</v>
      </c>
      <c r="H113" s="250" t="s">
        <v>104</v>
      </c>
      <c r="I113" s="250" t="s">
        <v>465</v>
      </c>
      <c r="J113" s="250" t="s">
        <v>114</v>
      </c>
      <c r="K113" s="250" t="s">
        <v>466</v>
      </c>
      <c r="L113" s="250" t="s">
        <v>467</v>
      </c>
      <c r="M113" s="255">
        <v>2079</v>
      </c>
      <c r="N113" s="278">
        <v>44201</v>
      </c>
      <c r="O113" s="329" t="s">
        <v>68</v>
      </c>
      <c r="P113" s="386">
        <f t="shared" ref="P113:Q113" si="110">IF(B113=0,0,IF(YEAR(B113)=$Q$1,MONTH(B113)-$P$1+1,(YEAR(B113)-$Q$1)*12-$P$1+1+MONTH(B113)))</f>
        <v>1</v>
      </c>
      <c r="Q113" s="330">
        <f t="shared" si="110"/>
        <v>-4</v>
      </c>
      <c r="R113" s="351" t="str">
        <f t="shared" si="3"/>
        <v>Gastos_custeados_por_captação</v>
      </c>
      <c r="S113" s="351" t="str">
        <f>IF(D113="","",IF(OR(D113=Plano!$A$1,D113=Plano!$B$1),"entrada","saída"))</f>
        <v>saída</v>
      </c>
      <c r="T113" s="334" t="s">
        <v>114</v>
      </c>
      <c r="U113" s="334" t="s">
        <v>114</v>
      </c>
      <c r="V113" s="344"/>
      <c r="W113" s="269"/>
    </row>
    <row r="114" spans="1:23" ht="69.75" customHeight="1" x14ac:dyDescent="0.2">
      <c r="A114" s="277">
        <f t="shared" si="0"/>
        <v>110</v>
      </c>
      <c r="B114" s="278">
        <v>44201</v>
      </c>
      <c r="C114" s="249">
        <v>44136</v>
      </c>
      <c r="D114" s="250" t="s">
        <v>104</v>
      </c>
      <c r="E114" s="250" t="s">
        <v>104</v>
      </c>
      <c r="F114" s="251">
        <v>3325</v>
      </c>
      <c r="G114" s="255" t="s">
        <v>2594</v>
      </c>
      <c r="H114" s="250" t="s">
        <v>104</v>
      </c>
      <c r="I114" s="250" t="s">
        <v>2595</v>
      </c>
      <c r="J114" s="250" t="s">
        <v>565</v>
      </c>
      <c r="K114" s="250" t="s">
        <v>1015</v>
      </c>
      <c r="L114" s="250" t="s">
        <v>1016</v>
      </c>
      <c r="M114" s="255" t="s">
        <v>1305</v>
      </c>
      <c r="N114" s="278">
        <v>44200</v>
      </c>
      <c r="O114" s="329" t="s">
        <v>69</v>
      </c>
      <c r="P114" s="386">
        <f t="shared" ref="P114:Q114" si="111">IF(B114=0,0,IF(YEAR(B114)=$Q$1,MONTH(B114)-$P$1+1,(YEAR(B114)-$Q$1)*12-$P$1+1+MONTH(B114)))</f>
        <v>1</v>
      </c>
      <c r="Q114" s="330">
        <f t="shared" si="111"/>
        <v>-1</v>
      </c>
      <c r="R114" s="351" t="str">
        <f t="shared" si="3"/>
        <v>Gastos_custeados_por_captação</v>
      </c>
      <c r="S114" s="351" t="str">
        <f>IF(D114="","",IF(OR(D114=Plano!$A$1,D114=Plano!$B$1),"entrada","saída"))</f>
        <v>saída</v>
      </c>
      <c r="T114" s="334" t="s">
        <v>994</v>
      </c>
      <c r="U114" s="334">
        <v>600</v>
      </c>
      <c r="V114" s="344"/>
      <c r="W114" s="269"/>
    </row>
    <row r="115" spans="1:23" ht="69.75" customHeight="1" x14ac:dyDescent="0.2">
      <c r="A115" s="277">
        <f t="shared" si="0"/>
        <v>111</v>
      </c>
      <c r="B115" s="278">
        <v>44201</v>
      </c>
      <c r="C115" s="249">
        <v>44166</v>
      </c>
      <c r="D115" s="250" t="s">
        <v>104</v>
      </c>
      <c r="E115" s="250" t="s">
        <v>104</v>
      </c>
      <c r="F115" s="251">
        <v>3222.29</v>
      </c>
      <c r="G115" s="255" t="s">
        <v>2596</v>
      </c>
      <c r="H115" s="250" t="s">
        <v>104</v>
      </c>
      <c r="I115" s="250" t="s">
        <v>493</v>
      </c>
      <c r="J115" s="250" t="s">
        <v>494</v>
      </c>
      <c r="K115" s="250" t="s">
        <v>1015</v>
      </c>
      <c r="L115" s="250" t="s">
        <v>1016</v>
      </c>
      <c r="M115" s="255" t="s">
        <v>2597</v>
      </c>
      <c r="N115" s="278">
        <v>44176</v>
      </c>
      <c r="O115" s="329" t="s">
        <v>69</v>
      </c>
      <c r="P115" s="386">
        <f t="shared" ref="P115:Q115" si="112">IF(B115=0,0,IF(YEAR(B115)=$Q$1,MONTH(B115)-$P$1+1,(YEAR(B115)-$Q$1)*12-$P$1+1+MONTH(B115)))</f>
        <v>1</v>
      </c>
      <c r="Q115" s="330">
        <f t="shared" si="112"/>
        <v>0</v>
      </c>
      <c r="R115" s="351" t="str">
        <f t="shared" si="3"/>
        <v>Gastos_custeados_por_captação</v>
      </c>
      <c r="S115" s="351" t="str">
        <f>IF(D115="","",IF(OR(D115=Plano!$A$1,D115=Plano!$B$1),"entrada","saída"))</f>
        <v>saída</v>
      </c>
      <c r="T115" s="334" t="s">
        <v>1082</v>
      </c>
      <c r="U115" s="334">
        <v>98</v>
      </c>
      <c r="V115" s="344"/>
      <c r="W115" s="269"/>
    </row>
    <row r="116" spans="1:23" ht="69.75" customHeight="1" x14ac:dyDescent="0.2">
      <c r="A116" s="277">
        <f t="shared" si="0"/>
        <v>112</v>
      </c>
      <c r="B116" s="278">
        <v>44201</v>
      </c>
      <c r="C116" s="249">
        <v>44136</v>
      </c>
      <c r="D116" s="250" t="s">
        <v>104</v>
      </c>
      <c r="E116" s="250" t="s">
        <v>104</v>
      </c>
      <c r="F116" s="251">
        <v>125</v>
      </c>
      <c r="G116" s="255" t="s">
        <v>2598</v>
      </c>
      <c r="H116" s="250" t="s">
        <v>104</v>
      </c>
      <c r="I116" s="250" t="s">
        <v>465</v>
      </c>
      <c r="J116" s="250" t="s">
        <v>114</v>
      </c>
      <c r="K116" s="250" t="s">
        <v>466</v>
      </c>
      <c r="L116" s="250" t="s">
        <v>467</v>
      </c>
      <c r="M116" s="255">
        <v>2176</v>
      </c>
      <c r="N116" s="278">
        <v>44201</v>
      </c>
      <c r="O116" s="329" t="s">
        <v>69</v>
      </c>
      <c r="P116" s="386">
        <f t="shared" ref="P116:Q116" si="113">IF(B116=0,0,IF(YEAR(B116)=$Q$1,MONTH(B116)-$P$1+1,(YEAR(B116)-$Q$1)*12-$P$1+1+MONTH(B116)))</f>
        <v>1</v>
      </c>
      <c r="Q116" s="330">
        <f t="shared" si="113"/>
        <v>-1</v>
      </c>
      <c r="R116" s="351" t="str">
        <f t="shared" si="3"/>
        <v>Gastos_custeados_por_captação</v>
      </c>
      <c r="S116" s="351" t="str">
        <f>IF(D116="","",IF(OR(D116=Plano!$A$1,D116=Plano!$B$1),"entrada","saída"))</f>
        <v>saída</v>
      </c>
      <c r="T116" s="334" t="s">
        <v>114</v>
      </c>
      <c r="U116" s="334" t="s">
        <v>114</v>
      </c>
      <c r="V116" s="344"/>
      <c r="W116" s="269"/>
    </row>
    <row r="117" spans="1:23" ht="69.75" customHeight="1" x14ac:dyDescent="0.2">
      <c r="A117" s="277">
        <f t="shared" si="0"/>
        <v>113</v>
      </c>
      <c r="B117" s="278">
        <v>44201</v>
      </c>
      <c r="C117" s="249">
        <v>44136</v>
      </c>
      <c r="D117" s="250" t="s">
        <v>104</v>
      </c>
      <c r="E117" s="250" t="s">
        <v>104</v>
      </c>
      <c r="F117" s="251">
        <v>60</v>
      </c>
      <c r="G117" s="255" t="s">
        <v>2599</v>
      </c>
      <c r="H117" s="250" t="s">
        <v>104</v>
      </c>
      <c r="I117" s="250" t="s">
        <v>465</v>
      </c>
      <c r="J117" s="250" t="s">
        <v>114</v>
      </c>
      <c r="K117" s="250" t="s">
        <v>466</v>
      </c>
      <c r="L117" s="250" t="s">
        <v>467</v>
      </c>
      <c r="M117" s="255">
        <v>2177</v>
      </c>
      <c r="N117" s="278">
        <v>44201</v>
      </c>
      <c r="O117" s="329" t="s">
        <v>69</v>
      </c>
      <c r="P117" s="386">
        <f t="shared" ref="P117:Q117" si="114">IF(B117=0,0,IF(YEAR(B117)=$Q$1,MONTH(B117)-$P$1+1,(YEAR(B117)-$Q$1)*12-$P$1+1+MONTH(B117)))</f>
        <v>1</v>
      </c>
      <c r="Q117" s="330">
        <f t="shared" si="114"/>
        <v>-1</v>
      </c>
      <c r="R117" s="351" t="str">
        <f t="shared" si="3"/>
        <v>Gastos_custeados_por_captação</v>
      </c>
      <c r="S117" s="351" t="str">
        <f>IF(D117="","",IF(OR(D117=Plano!$A$1,D117=Plano!$B$1),"entrada","saída"))</f>
        <v>saída</v>
      </c>
      <c r="T117" s="334" t="s">
        <v>114</v>
      </c>
      <c r="U117" s="334" t="s">
        <v>114</v>
      </c>
      <c r="V117" s="344"/>
      <c r="W117" s="269"/>
    </row>
    <row r="118" spans="1:23" ht="69.75" customHeight="1" x14ac:dyDescent="0.2">
      <c r="A118" s="277">
        <f t="shared" si="0"/>
        <v>114</v>
      </c>
      <c r="B118" s="278">
        <v>44201</v>
      </c>
      <c r="C118" s="249">
        <v>44136</v>
      </c>
      <c r="D118" s="250" t="s">
        <v>104</v>
      </c>
      <c r="E118" s="250" t="s">
        <v>104</v>
      </c>
      <c r="F118" s="251">
        <v>125</v>
      </c>
      <c r="G118" s="255" t="s">
        <v>2600</v>
      </c>
      <c r="H118" s="250" t="s">
        <v>104</v>
      </c>
      <c r="I118" s="250" t="s">
        <v>465</v>
      </c>
      <c r="J118" s="250" t="s">
        <v>114</v>
      </c>
      <c r="K118" s="250" t="s">
        <v>466</v>
      </c>
      <c r="L118" s="250" t="s">
        <v>467</v>
      </c>
      <c r="M118" s="255">
        <v>2178</v>
      </c>
      <c r="N118" s="278">
        <v>44201</v>
      </c>
      <c r="O118" s="329" t="s">
        <v>69</v>
      </c>
      <c r="P118" s="386">
        <f t="shared" ref="P118:Q118" si="115">IF(B118=0,0,IF(YEAR(B118)=$Q$1,MONTH(B118)-$P$1+1,(YEAR(B118)-$Q$1)*12-$P$1+1+MONTH(B118)))</f>
        <v>1</v>
      </c>
      <c r="Q118" s="330">
        <f t="shared" si="115"/>
        <v>-1</v>
      </c>
      <c r="R118" s="351" t="str">
        <f t="shared" si="3"/>
        <v>Gastos_custeados_por_captação</v>
      </c>
      <c r="S118" s="351" t="str">
        <f>IF(D118="","",IF(OR(D118=Plano!$A$1,D118=Plano!$B$1),"entrada","saída"))</f>
        <v>saída</v>
      </c>
      <c r="T118" s="334" t="s">
        <v>114</v>
      </c>
      <c r="U118" s="334" t="s">
        <v>114</v>
      </c>
      <c r="V118" s="344"/>
      <c r="W118" s="269"/>
    </row>
    <row r="119" spans="1:23" ht="69.75" customHeight="1" x14ac:dyDescent="0.2">
      <c r="A119" s="277">
        <f t="shared" si="0"/>
        <v>115</v>
      </c>
      <c r="B119" s="278">
        <v>44201</v>
      </c>
      <c r="C119" s="249">
        <v>44136</v>
      </c>
      <c r="D119" s="250" t="s">
        <v>104</v>
      </c>
      <c r="E119" s="250" t="s">
        <v>104</v>
      </c>
      <c r="F119" s="251">
        <v>100.5</v>
      </c>
      <c r="G119" s="255" t="s">
        <v>2601</v>
      </c>
      <c r="H119" s="250" t="s">
        <v>104</v>
      </c>
      <c r="I119" s="250" t="s">
        <v>465</v>
      </c>
      <c r="J119" s="250" t="s">
        <v>114</v>
      </c>
      <c r="K119" s="250" t="s">
        <v>466</v>
      </c>
      <c r="L119" s="250" t="s">
        <v>467</v>
      </c>
      <c r="M119" s="255">
        <v>2179</v>
      </c>
      <c r="N119" s="278">
        <v>44201</v>
      </c>
      <c r="O119" s="329" t="s">
        <v>69</v>
      </c>
      <c r="P119" s="386">
        <f t="shared" ref="P119:Q119" si="116">IF(B119=0,0,IF(YEAR(B119)=$Q$1,MONTH(B119)-$P$1+1,(YEAR(B119)-$Q$1)*12-$P$1+1+MONTH(B119)))</f>
        <v>1</v>
      </c>
      <c r="Q119" s="330">
        <f t="shared" si="116"/>
        <v>-1</v>
      </c>
      <c r="R119" s="351" t="str">
        <f t="shared" si="3"/>
        <v>Gastos_custeados_por_captação</v>
      </c>
      <c r="S119" s="351" t="str">
        <f>IF(D119="","",IF(OR(D119=Plano!$A$1,D119=Plano!$B$1),"entrada","saída"))</f>
        <v>saída</v>
      </c>
      <c r="T119" s="334" t="s">
        <v>114</v>
      </c>
      <c r="U119" s="334" t="s">
        <v>114</v>
      </c>
      <c r="V119" s="344"/>
      <c r="W119" s="269"/>
    </row>
    <row r="120" spans="1:23" ht="69.75" customHeight="1" x14ac:dyDescent="0.2">
      <c r="A120" s="277">
        <f t="shared" si="0"/>
        <v>116</v>
      </c>
      <c r="B120" s="278">
        <v>44201</v>
      </c>
      <c r="C120" s="249">
        <v>44136</v>
      </c>
      <c r="D120" s="250" t="s">
        <v>104</v>
      </c>
      <c r="E120" s="250" t="s">
        <v>104</v>
      </c>
      <c r="F120" s="251">
        <v>84.4</v>
      </c>
      <c r="G120" s="255" t="s">
        <v>2602</v>
      </c>
      <c r="H120" s="250" t="s">
        <v>104</v>
      </c>
      <c r="I120" s="250" t="s">
        <v>465</v>
      </c>
      <c r="J120" s="250" t="s">
        <v>114</v>
      </c>
      <c r="K120" s="250" t="s">
        <v>466</v>
      </c>
      <c r="L120" s="250" t="s">
        <v>467</v>
      </c>
      <c r="M120" s="255">
        <v>2180</v>
      </c>
      <c r="N120" s="278">
        <v>44201</v>
      </c>
      <c r="O120" s="329" t="s">
        <v>69</v>
      </c>
      <c r="P120" s="386">
        <f t="shared" ref="P120:Q120" si="117">IF(B120=0,0,IF(YEAR(B120)=$Q$1,MONTH(B120)-$P$1+1,(YEAR(B120)-$Q$1)*12-$P$1+1+MONTH(B120)))</f>
        <v>1</v>
      </c>
      <c r="Q120" s="330">
        <f t="shared" si="117"/>
        <v>-1</v>
      </c>
      <c r="R120" s="351" t="str">
        <f t="shared" si="3"/>
        <v>Gastos_custeados_por_captação</v>
      </c>
      <c r="S120" s="351" t="str">
        <f>IF(D120="","",IF(OR(D120=Plano!$A$1,D120=Plano!$B$1),"entrada","saída"))</f>
        <v>saída</v>
      </c>
      <c r="T120" s="334" t="s">
        <v>114</v>
      </c>
      <c r="U120" s="334" t="s">
        <v>114</v>
      </c>
      <c r="V120" s="344"/>
      <c r="W120" s="269"/>
    </row>
    <row r="121" spans="1:23" ht="69.75" customHeight="1" x14ac:dyDescent="0.2">
      <c r="A121" s="277">
        <f t="shared" si="0"/>
        <v>117</v>
      </c>
      <c r="B121" s="278">
        <v>44201</v>
      </c>
      <c r="C121" s="249">
        <v>44136</v>
      </c>
      <c r="D121" s="250" t="s">
        <v>104</v>
      </c>
      <c r="E121" s="250" t="s">
        <v>104</v>
      </c>
      <c r="F121" s="251">
        <v>40.200000000000003</v>
      </c>
      <c r="G121" s="255" t="s">
        <v>2603</v>
      </c>
      <c r="H121" s="250" t="s">
        <v>104</v>
      </c>
      <c r="I121" s="250" t="s">
        <v>465</v>
      </c>
      <c r="J121" s="250" t="s">
        <v>114</v>
      </c>
      <c r="K121" s="250" t="s">
        <v>466</v>
      </c>
      <c r="L121" s="250" t="s">
        <v>467</v>
      </c>
      <c r="M121" s="255">
        <v>2181</v>
      </c>
      <c r="N121" s="278">
        <v>44201</v>
      </c>
      <c r="O121" s="329" t="s">
        <v>69</v>
      </c>
      <c r="P121" s="386">
        <f t="shared" ref="P121:Q121" si="118">IF(B121=0,0,IF(YEAR(B121)=$Q$1,MONTH(B121)-$P$1+1,(YEAR(B121)-$Q$1)*12-$P$1+1+MONTH(B121)))</f>
        <v>1</v>
      </c>
      <c r="Q121" s="330">
        <f t="shared" si="118"/>
        <v>-1</v>
      </c>
      <c r="R121" s="351" t="str">
        <f t="shared" si="3"/>
        <v>Gastos_custeados_por_captação</v>
      </c>
      <c r="S121" s="351" t="str">
        <f>IF(D121="","",IF(OR(D121=Plano!$A$1,D121=Plano!$B$1),"entrada","saída"))</f>
        <v>saída</v>
      </c>
      <c r="T121" s="334" t="s">
        <v>114</v>
      </c>
      <c r="U121" s="334" t="s">
        <v>114</v>
      </c>
      <c r="V121" s="344"/>
      <c r="W121" s="269"/>
    </row>
    <row r="122" spans="1:23" ht="69.75" customHeight="1" x14ac:dyDescent="0.2">
      <c r="A122" s="277">
        <f t="shared" si="0"/>
        <v>118</v>
      </c>
      <c r="B122" s="278">
        <v>44201</v>
      </c>
      <c r="C122" s="249">
        <v>44136</v>
      </c>
      <c r="D122" s="250" t="s">
        <v>104</v>
      </c>
      <c r="E122" s="250" t="s">
        <v>104</v>
      </c>
      <c r="F122" s="251">
        <v>107.33</v>
      </c>
      <c r="G122" s="255" t="s">
        <v>2604</v>
      </c>
      <c r="H122" s="250" t="s">
        <v>104</v>
      </c>
      <c r="I122" s="250" t="s">
        <v>465</v>
      </c>
      <c r="J122" s="250" t="s">
        <v>114</v>
      </c>
      <c r="K122" s="250" t="s">
        <v>466</v>
      </c>
      <c r="L122" s="250" t="s">
        <v>467</v>
      </c>
      <c r="M122" s="255">
        <v>2182</v>
      </c>
      <c r="N122" s="278">
        <v>44201</v>
      </c>
      <c r="O122" s="329" t="s">
        <v>69</v>
      </c>
      <c r="P122" s="386">
        <f t="shared" ref="P122:Q122" si="119">IF(B122=0,0,IF(YEAR(B122)=$Q$1,MONTH(B122)-$P$1+1,(YEAR(B122)-$Q$1)*12-$P$1+1+MONTH(B122)))</f>
        <v>1</v>
      </c>
      <c r="Q122" s="330">
        <f t="shared" si="119"/>
        <v>-1</v>
      </c>
      <c r="R122" s="351" t="str">
        <f t="shared" si="3"/>
        <v>Gastos_custeados_por_captação</v>
      </c>
      <c r="S122" s="351" t="str">
        <f>IF(D122="","",IF(OR(D122=Plano!$A$1,D122=Plano!$B$1),"entrada","saída"))</f>
        <v>saída</v>
      </c>
      <c r="T122" s="334" t="s">
        <v>114</v>
      </c>
      <c r="U122" s="334" t="s">
        <v>114</v>
      </c>
      <c r="V122" s="344"/>
      <c r="W122" s="269"/>
    </row>
    <row r="123" spans="1:23" ht="69.75" customHeight="1" x14ac:dyDescent="0.2">
      <c r="A123" s="277">
        <f t="shared" si="0"/>
        <v>119</v>
      </c>
      <c r="B123" s="278">
        <v>44201</v>
      </c>
      <c r="C123" s="249">
        <v>44136</v>
      </c>
      <c r="D123" s="250" t="s">
        <v>104</v>
      </c>
      <c r="E123" s="250" t="s">
        <v>104</v>
      </c>
      <c r="F123" s="251">
        <v>77.400000000000006</v>
      </c>
      <c r="G123" s="255" t="s">
        <v>2605</v>
      </c>
      <c r="H123" s="250" t="s">
        <v>104</v>
      </c>
      <c r="I123" s="250" t="s">
        <v>465</v>
      </c>
      <c r="J123" s="250" t="s">
        <v>114</v>
      </c>
      <c r="K123" s="250" t="s">
        <v>466</v>
      </c>
      <c r="L123" s="250" t="s">
        <v>467</v>
      </c>
      <c r="M123" s="255">
        <v>2183</v>
      </c>
      <c r="N123" s="278">
        <v>44201</v>
      </c>
      <c r="O123" s="329" t="s">
        <v>69</v>
      </c>
      <c r="P123" s="386">
        <f t="shared" ref="P123:Q123" si="120">IF(B123=0,0,IF(YEAR(B123)=$Q$1,MONTH(B123)-$P$1+1,(YEAR(B123)-$Q$1)*12-$P$1+1+MONTH(B123)))</f>
        <v>1</v>
      </c>
      <c r="Q123" s="330">
        <f t="shared" si="120"/>
        <v>-1</v>
      </c>
      <c r="R123" s="351" t="str">
        <f t="shared" si="3"/>
        <v>Gastos_custeados_por_captação</v>
      </c>
      <c r="S123" s="351" t="str">
        <f>IF(D123="","",IF(OR(D123=Plano!$A$1,D123=Plano!$B$1),"entrada","saída"))</f>
        <v>saída</v>
      </c>
      <c r="T123" s="334" t="s">
        <v>114</v>
      </c>
      <c r="U123" s="334" t="s">
        <v>114</v>
      </c>
      <c r="V123" s="344"/>
      <c r="W123" s="269"/>
    </row>
    <row r="124" spans="1:23" ht="69.75" customHeight="1" x14ac:dyDescent="0.2">
      <c r="A124" s="277">
        <f t="shared" si="0"/>
        <v>120</v>
      </c>
      <c r="B124" s="278">
        <v>44201</v>
      </c>
      <c r="C124" s="249">
        <v>44136</v>
      </c>
      <c r="D124" s="250" t="s">
        <v>104</v>
      </c>
      <c r="E124" s="250" t="s">
        <v>104</v>
      </c>
      <c r="F124" s="251">
        <v>25.16</v>
      </c>
      <c r="G124" s="255" t="s">
        <v>2606</v>
      </c>
      <c r="H124" s="250" t="s">
        <v>104</v>
      </c>
      <c r="I124" s="250" t="s">
        <v>465</v>
      </c>
      <c r="J124" s="250" t="s">
        <v>114</v>
      </c>
      <c r="K124" s="250" t="s">
        <v>466</v>
      </c>
      <c r="L124" s="250" t="s">
        <v>467</v>
      </c>
      <c r="M124" s="255">
        <v>2184</v>
      </c>
      <c r="N124" s="278">
        <v>44201</v>
      </c>
      <c r="O124" s="329" t="s">
        <v>69</v>
      </c>
      <c r="P124" s="386">
        <f t="shared" ref="P124:Q124" si="121">IF(B124=0,0,IF(YEAR(B124)=$Q$1,MONTH(B124)-$P$1+1,(YEAR(B124)-$Q$1)*12-$P$1+1+MONTH(B124)))</f>
        <v>1</v>
      </c>
      <c r="Q124" s="330">
        <f t="shared" si="121"/>
        <v>-1</v>
      </c>
      <c r="R124" s="351" t="str">
        <f t="shared" si="3"/>
        <v>Gastos_custeados_por_captação</v>
      </c>
      <c r="S124" s="351" t="str">
        <f>IF(D124="","",IF(OR(D124=Plano!$A$1,D124=Plano!$B$1),"entrada","saída"))</f>
        <v>saída</v>
      </c>
      <c r="T124" s="334" t="s">
        <v>114</v>
      </c>
      <c r="U124" s="334" t="s">
        <v>114</v>
      </c>
      <c r="V124" s="344"/>
      <c r="W124" s="269"/>
    </row>
    <row r="125" spans="1:23" ht="69.75" customHeight="1" x14ac:dyDescent="0.2">
      <c r="A125" s="277">
        <f t="shared" si="0"/>
        <v>121</v>
      </c>
      <c r="B125" s="278">
        <v>44201</v>
      </c>
      <c r="C125" s="249">
        <v>44136</v>
      </c>
      <c r="D125" s="250" t="s">
        <v>104</v>
      </c>
      <c r="E125" s="250" t="s">
        <v>104</v>
      </c>
      <c r="F125" s="251">
        <v>116.1</v>
      </c>
      <c r="G125" s="255" t="s">
        <v>2607</v>
      </c>
      <c r="H125" s="250" t="s">
        <v>104</v>
      </c>
      <c r="I125" s="250" t="s">
        <v>465</v>
      </c>
      <c r="J125" s="250" t="s">
        <v>114</v>
      </c>
      <c r="K125" s="250" t="s">
        <v>466</v>
      </c>
      <c r="L125" s="250" t="s">
        <v>467</v>
      </c>
      <c r="M125" s="255">
        <v>2185</v>
      </c>
      <c r="N125" s="278">
        <v>44201</v>
      </c>
      <c r="O125" s="329" t="s">
        <v>69</v>
      </c>
      <c r="P125" s="386">
        <f t="shared" ref="P125:Q125" si="122">IF(B125=0,0,IF(YEAR(B125)=$Q$1,MONTH(B125)-$P$1+1,(YEAR(B125)-$Q$1)*12-$P$1+1+MONTH(B125)))</f>
        <v>1</v>
      </c>
      <c r="Q125" s="330">
        <f t="shared" si="122"/>
        <v>-1</v>
      </c>
      <c r="R125" s="351" t="str">
        <f t="shared" si="3"/>
        <v>Gastos_custeados_por_captação</v>
      </c>
      <c r="S125" s="351" t="str">
        <f>IF(D125="","",IF(OR(D125=Plano!$A$1,D125=Plano!$B$1),"entrada","saída"))</f>
        <v>saída</v>
      </c>
      <c r="T125" s="334" t="s">
        <v>114</v>
      </c>
      <c r="U125" s="334" t="s">
        <v>114</v>
      </c>
      <c r="V125" s="344"/>
      <c r="W125" s="269"/>
    </row>
    <row r="126" spans="1:23" ht="92.25" customHeight="1" x14ac:dyDescent="0.2">
      <c r="A126" s="277">
        <f t="shared" si="0"/>
        <v>122</v>
      </c>
      <c r="B126" s="278">
        <v>44202</v>
      </c>
      <c r="C126" s="249">
        <v>44166</v>
      </c>
      <c r="D126" s="250" t="s">
        <v>99</v>
      </c>
      <c r="E126" s="250" t="s">
        <v>364</v>
      </c>
      <c r="F126" s="251">
        <v>800</v>
      </c>
      <c r="G126" s="255" t="s">
        <v>2608</v>
      </c>
      <c r="H126" s="250" t="s">
        <v>118</v>
      </c>
      <c r="I126" s="250" t="s">
        <v>1022</v>
      </c>
      <c r="J126" s="250" t="s">
        <v>1747</v>
      </c>
      <c r="K126" s="255" t="s">
        <v>1015</v>
      </c>
      <c r="L126" s="250" t="s">
        <v>1016</v>
      </c>
      <c r="M126" s="255">
        <v>219</v>
      </c>
      <c r="N126" s="278">
        <v>44201</v>
      </c>
      <c r="O126" s="329" t="s">
        <v>67</v>
      </c>
      <c r="P126" s="386">
        <f t="shared" ref="P126:Q126" si="123">IF(B126=0,0,IF(YEAR(B126)=$Q$1,MONTH(B126)-$P$1+1,(YEAR(B126)-$Q$1)*12-$P$1+1+MONTH(B126)))</f>
        <v>1</v>
      </c>
      <c r="Q126" s="330">
        <f t="shared" si="123"/>
        <v>0</v>
      </c>
      <c r="R126" s="351" t="str">
        <f t="shared" si="3"/>
        <v>Gastos_Gerais</v>
      </c>
      <c r="S126" s="351" t="str">
        <f>IF(D126="","",IF(OR(D126=Plano!$A$1,D126=Plano!$B$1),"entrada","saída"))</f>
        <v>saída</v>
      </c>
      <c r="T126" s="334" t="s">
        <v>114</v>
      </c>
      <c r="U126" s="334" t="s">
        <v>114</v>
      </c>
      <c r="V126" s="344"/>
      <c r="W126" s="269"/>
    </row>
    <row r="127" spans="1:23" ht="192" customHeight="1" x14ac:dyDescent="0.2">
      <c r="A127" s="277">
        <f t="shared" si="0"/>
        <v>123</v>
      </c>
      <c r="B127" s="278">
        <v>44202</v>
      </c>
      <c r="C127" s="249">
        <v>44166</v>
      </c>
      <c r="D127" s="250" t="s">
        <v>99</v>
      </c>
      <c r="E127" s="250" t="s">
        <v>336</v>
      </c>
      <c r="F127" s="251">
        <v>2300</v>
      </c>
      <c r="G127" s="255" t="s">
        <v>2486</v>
      </c>
      <c r="H127" s="250" t="s">
        <v>116</v>
      </c>
      <c r="I127" s="250" t="s">
        <v>2609</v>
      </c>
      <c r="J127" s="250" t="s">
        <v>2610</v>
      </c>
      <c r="K127" s="255" t="s">
        <v>1015</v>
      </c>
      <c r="L127" s="250" t="s">
        <v>1016</v>
      </c>
      <c r="M127" s="255">
        <v>38</v>
      </c>
      <c r="N127" s="278">
        <v>44201</v>
      </c>
      <c r="O127" s="329" t="s">
        <v>67</v>
      </c>
      <c r="P127" s="386">
        <f t="shared" ref="P127:Q127" si="124">IF(B127=0,0,IF(YEAR(B127)=$Q$1,MONTH(B127)-$P$1+1,(YEAR(B127)-$Q$1)*12-$P$1+1+MONTH(B127)))</f>
        <v>1</v>
      </c>
      <c r="Q127" s="330">
        <f t="shared" si="124"/>
        <v>0</v>
      </c>
      <c r="R127" s="351" t="str">
        <f t="shared" si="3"/>
        <v>Gastos_Gerais</v>
      </c>
      <c r="S127" s="351" t="str">
        <f>IF(D127="","",IF(OR(D127=Plano!$A$1,D127=Plano!$B$1),"entrada","saída"))</f>
        <v>saída</v>
      </c>
      <c r="T127" s="334" t="s">
        <v>114</v>
      </c>
      <c r="U127" s="334" t="s">
        <v>114</v>
      </c>
      <c r="V127" s="344"/>
      <c r="W127" s="269"/>
    </row>
    <row r="128" spans="1:23" ht="69.75" customHeight="1" x14ac:dyDescent="0.2">
      <c r="A128" s="277">
        <f t="shared" si="0"/>
        <v>124</v>
      </c>
      <c r="B128" s="278">
        <v>44202</v>
      </c>
      <c r="C128" s="249">
        <v>44166</v>
      </c>
      <c r="D128" s="250" t="s">
        <v>99</v>
      </c>
      <c r="E128" s="250" t="s">
        <v>228</v>
      </c>
      <c r="F128" s="251">
        <v>3434.91</v>
      </c>
      <c r="G128" s="255" t="s">
        <v>2611</v>
      </c>
      <c r="H128" s="250" t="s">
        <v>115</v>
      </c>
      <c r="I128" s="250" t="s">
        <v>493</v>
      </c>
      <c r="J128" s="250" t="s">
        <v>494</v>
      </c>
      <c r="K128" s="255" t="s">
        <v>991</v>
      </c>
      <c r="L128" s="250" t="s">
        <v>1016</v>
      </c>
      <c r="M128" s="255" t="s">
        <v>2612</v>
      </c>
      <c r="N128" s="278">
        <v>44176</v>
      </c>
      <c r="O128" s="329" t="s">
        <v>67</v>
      </c>
      <c r="P128" s="386">
        <f t="shared" ref="P128:Q128" si="125">IF(B128=0,0,IF(YEAR(B128)=$Q$1,MONTH(B128)-$P$1+1,(YEAR(B128)-$Q$1)*12-$P$1+1+MONTH(B128)))</f>
        <v>1</v>
      </c>
      <c r="Q128" s="330">
        <f t="shared" si="125"/>
        <v>0</v>
      </c>
      <c r="R128" s="351" t="str">
        <f t="shared" si="3"/>
        <v>Gastos_Gerais</v>
      </c>
      <c r="S128" s="351" t="str">
        <f>IF(D128="","",IF(OR(D128=Plano!$A$1,D128=Plano!$B$1),"entrada","saída"))</f>
        <v>saída</v>
      </c>
      <c r="T128" s="334"/>
      <c r="U128" s="334"/>
      <c r="V128" s="344"/>
      <c r="W128" s="269"/>
    </row>
    <row r="129" spans="1:23" ht="162" customHeight="1" x14ac:dyDescent="0.2">
      <c r="A129" s="277">
        <f t="shared" si="0"/>
        <v>125</v>
      </c>
      <c r="B129" s="278">
        <v>44202</v>
      </c>
      <c r="C129" s="249">
        <v>44166</v>
      </c>
      <c r="D129" s="250" t="s">
        <v>99</v>
      </c>
      <c r="E129" s="250" t="s">
        <v>336</v>
      </c>
      <c r="F129" s="251">
        <v>2300</v>
      </c>
      <c r="G129" s="255" t="s">
        <v>2492</v>
      </c>
      <c r="H129" s="250" t="s">
        <v>117</v>
      </c>
      <c r="I129" s="250" t="s">
        <v>1625</v>
      </c>
      <c r="J129" s="250" t="s">
        <v>2613</v>
      </c>
      <c r="K129" s="255" t="s">
        <v>991</v>
      </c>
      <c r="L129" s="250" t="s">
        <v>1016</v>
      </c>
      <c r="M129" s="255">
        <v>19</v>
      </c>
      <c r="N129" s="278">
        <v>44200</v>
      </c>
      <c r="O129" s="329" t="s">
        <v>67</v>
      </c>
      <c r="P129" s="386">
        <f t="shared" ref="P129:Q129" si="126">IF(B129=0,0,IF(YEAR(B129)=$Q$1,MONTH(B129)-$P$1+1,(YEAR(B129)-$Q$1)*12-$P$1+1+MONTH(B129)))</f>
        <v>1</v>
      </c>
      <c r="Q129" s="330">
        <f t="shared" si="126"/>
        <v>0</v>
      </c>
      <c r="R129" s="351" t="str">
        <f t="shared" si="3"/>
        <v>Gastos_Gerais</v>
      </c>
      <c r="S129" s="351" t="str">
        <f>IF(D129="","",IF(OR(D129=Plano!$A$1,D129=Plano!$B$1),"entrada","saída"))</f>
        <v>saída</v>
      </c>
      <c r="T129" s="334" t="s">
        <v>994</v>
      </c>
      <c r="U129" s="334">
        <v>587</v>
      </c>
      <c r="V129" s="344"/>
      <c r="W129" s="269"/>
    </row>
    <row r="130" spans="1:23" ht="225.75" customHeight="1" x14ac:dyDescent="0.2">
      <c r="A130" s="277">
        <f t="shared" si="0"/>
        <v>126</v>
      </c>
      <c r="B130" s="278">
        <v>44202</v>
      </c>
      <c r="C130" s="249">
        <v>44166</v>
      </c>
      <c r="D130" s="250" t="s">
        <v>99</v>
      </c>
      <c r="E130" s="250" t="s">
        <v>336</v>
      </c>
      <c r="F130" s="251">
        <v>2300</v>
      </c>
      <c r="G130" s="255" t="s">
        <v>2486</v>
      </c>
      <c r="H130" s="250" t="s">
        <v>116</v>
      </c>
      <c r="I130" s="250" t="s">
        <v>2614</v>
      </c>
      <c r="J130" s="250" t="s">
        <v>2615</v>
      </c>
      <c r="K130" s="255" t="s">
        <v>991</v>
      </c>
      <c r="L130" s="250" t="s">
        <v>1016</v>
      </c>
      <c r="M130" s="255">
        <v>24</v>
      </c>
      <c r="N130" s="278">
        <v>44201</v>
      </c>
      <c r="O130" s="329" t="s">
        <v>67</v>
      </c>
      <c r="P130" s="386">
        <f t="shared" ref="P130:Q130" si="127">IF(B130=0,0,IF(YEAR(B130)=$Q$1,MONTH(B130)-$P$1+1,(YEAR(B130)-$Q$1)*12-$P$1+1+MONTH(B130)))</f>
        <v>1</v>
      </c>
      <c r="Q130" s="330">
        <f t="shared" si="127"/>
        <v>0</v>
      </c>
      <c r="R130" s="351" t="str">
        <f t="shared" si="3"/>
        <v>Gastos_Gerais</v>
      </c>
      <c r="S130" s="351" t="str">
        <f>IF(D130="","",IF(OR(D130=Plano!$A$1,D130=Plano!$B$1),"entrada","saída"))</f>
        <v>saída</v>
      </c>
      <c r="T130" s="334" t="s">
        <v>994</v>
      </c>
      <c r="U130" s="334">
        <v>629</v>
      </c>
      <c r="V130" s="344"/>
      <c r="W130" s="269"/>
    </row>
    <row r="131" spans="1:23" ht="214.5" customHeight="1" x14ac:dyDescent="0.2">
      <c r="A131" s="277">
        <f t="shared" si="0"/>
        <v>127</v>
      </c>
      <c r="B131" s="278">
        <v>44202</v>
      </c>
      <c r="C131" s="249">
        <v>44166</v>
      </c>
      <c r="D131" s="250" t="s">
        <v>99</v>
      </c>
      <c r="E131" s="250" t="s">
        <v>336</v>
      </c>
      <c r="F131" s="251">
        <v>2300</v>
      </c>
      <c r="G131" s="255" t="s">
        <v>2486</v>
      </c>
      <c r="H131" s="250" t="s">
        <v>116</v>
      </c>
      <c r="I131" s="250" t="s">
        <v>2616</v>
      </c>
      <c r="J131" s="250" t="s">
        <v>2617</v>
      </c>
      <c r="K131" s="255" t="s">
        <v>991</v>
      </c>
      <c r="L131" s="250" t="s">
        <v>1016</v>
      </c>
      <c r="M131" s="255">
        <v>28</v>
      </c>
      <c r="N131" s="278">
        <v>44200</v>
      </c>
      <c r="O131" s="329" t="s">
        <v>67</v>
      </c>
      <c r="P131" s="386">
        <f t="shared" ref="P131:Q131" si="128">IF(B131=0,0,IF(YEAR(B131)=$Q$1,MONTH(B131)-$P$1+1,(YEAR(B131)-$Q$1)*12-$P$1+1+MONTH(B131)))</f>
        <v>1</v>
      </c>
      <c r="Q131" s="330">
        <f t="shared" si="128"/>
        <v>0</v>
      </c>
      <c r="R131" s="351" t="str">
        <f t="shared" si="3"/>
        <v>Gastos_Gerais</v>
      </c>
      <c r="S131" s="351" t="str">
        <f>IF(D131="","",IF(OR(D131=Plano!$A$1,D131=Plano!$B$1),"entrada","saída"))</f>
        <v>saída</v>
      </c>
      <c r="T131" s="334" t="s">
        <v>994</v>
      </c>
      <c r="U131" s="334">
        <v>628</v>
      </c>
      <c r="V131" s="344"/>
      <c r="W131" s="269"/>
    </row>
    <row r="132" spans="1:23" ht="185.25" customHeight="1" x14ac:dyDescent="0.2">
      <c r="A132" s="277">
        <f t="shared" si="0"/>
        <v>128</v>
      </c>
      <c r="B132" s="278">
        <v>44202</v>
      </c>
      <c r="C132" s="249">
        <v>44166</v>
      </c>
      <c r="D132" s="250" t="s">
        <v>99</v>
      </c>
      <c r="E132" s="250" t="s">
        <v>336</v>
      </c>
      <c r="F132" s="251">
        <v>2300</v>
      </c>
      <c r="G132" s="255" t="s">
        <v>2492</v>
      </c>
      <c r="H132" s="250" t="s">
        <v>117</v>
      </c>
      <c r="I132" s="250" t="s">
        <v>2618</v>
      </c>
      <c r="J132" s="250" t="s">
        <v>2619</v>
      </c>
      <c r="K132" s="255" t="s">
        <v>991</v>
      </c>
      <c r="L132" s="250" t="s">
        <v>1016</v>
      </c>
      <c r="M132" s="255">
        <v>58</v>
      </c>
      <c r="N132" s="278">
        <v>44200</v>
      </c>
      <c r="O132" s="329" t="s">
        <v>67</v>
      </c>
      <c r="P132" s="386">
        <f t="shared" ref="P132:Q132" si="129">IF(B132=0,0,IF(YEAR(B132)=$Q$1,MONTH(B132)-$P$1+1,(YEAR(B132)-$Q$1)*12-$P$1+1+MONTH(B132)))</f>
        <v>1</v>
      </c>
      <c r="Q132" s="330">
        <f t="shared" si="129"/>
        <v>0</v>
      </c>
      <c r="R132" s="351" t="str">
        <f t="shared" si="3"/>
        <v>Gastos_Gerais</v>
      </c>
      <c r="S132" s="351" t="str">
        <f>IF(D132="","",IF(OR(D132=Plano!$A$1,D132=Plano!$B$1),"entrada","saída"))</f>
        <v>saída</v>
      </c>
      <c r="T132" s="334" t="s">
        <v>994</v>
      </c>
      <c r="U132" s="334">
        <v>591</v>
      </c>
      <c r="V132" s="344"/>
      <c r="W132" s="269"/>
    </row>
    <row r="133" spans="1:23" ht="193.5" customHeight="1" x14ac:dyDescent="0.2">
      <c r="A133" s="277">
        <f t="shared" si="0"/>
        <v>129</v>
      </c>
      <c r="B133" s="278">
        <v>44202</v>
      </c>
      <c r="C133" s="249">
        <v>44166</v>
      </c>
      <c r="D133" s="250" t="s">
        <v>99</v>
      </c>
      <c r="E133" s="250" t="s">
        <v>372</v>
      </c>
      <c r="F133" s="251">
        <v>2200</v>
      </c>
      <c r="G133" s="255" t="s">
        <v>2620</v>
      </c>
      <c r="H133" s="250" t="s">
        <v>129</v>
      </c>
      <c r="I133" s="250" t="s">
        <v>1285</v>
      </c>
      <c r="J133" s="250" t="s">
        <v>2621</v>
      </c>
      <c r="K133" s="255" t="s">
        <v>991</v>
      </c>
      <c r="L133" s="250" t="s">
        <v>1016</v>
      </c>
      <c r="M133" s="255">
        <v>115</v>
      </c>
      <c r="N133" s="278">
        <v>44201</v>
      </c>
      <c r="O133" s="329" t="s">
        <v>67</v>
      </c>
      <c r="P133" s="386">
        <f t="shared" ref="P133:Q133" si="130">IF(B133=0,0,IF(YEAR(B133)=$Q$1,MONTH(B133)-$P$1+1,(YEAR(B133)-$Q$1)*12-$P$1+1+MONTH(B133)))</f>
        <v>1</v>
      </c>
      <c r="Q133" s="330">
        <f t="shared" si="130"/>
        <v>0</v>
      </c>
      <c r="R133" s="351" t="str">
        <f t="shared" si="3"/>
        <v>Gastos_Gerais</v>
      </c>
      <c r="S133" s="351" t="str">
        <f>IF(D133="","",IF(OR(D133=Plano!$A$1,D133=Plano!$B$1),"entrada","saída"))</f>
        <v>saída</v>
      </c>
      <c r="T133" s="334" t="s">
        <v>994</v>
      </c>
      <c r="U133" s="334">
        <v>113</v>
      </c>
      <c r="V133" s="344"/>
      <c r="W133" s="269"/>
    </row>
    <row r="134" spans="1:23" ht="233.25" customHeight="1" x14ac:dyDescent="0.2">
      <c r="A134" s="277">
        <f t="shared" si="0"/>
        <v>130</v>
      </c>
      <c r="B134" s="278">
        <v>44202</v>
      </c>
      <c r="C134" s="249">
        <v>44166</v>
      </c>
      <c r="D134" s="250" t="s">
        <v>99</v>
      </c>
      <c r="E134" s="250" t="s">
        <v>330</v>
      </c>
      <c r="F134" s="251">
        <v>840</v>
      </c>
      <c r="G134" s="255" t="s">
        <v>2622</v>
      </c>
      <c r="H134" s="250" t="s">
        <v>125</v>
      </c>
      <c r="I134" s="250" t="s">
        <v>2623</v>
      </c>
      <c r="J134" s="250" t="s">
        <v>2624</v>
      </c>
      <c r="K134" s="255" t="s">
        <v>991</v>
      </c>
      <c r="L134" s="250" t="s">
        <v>1029</v>
      </c>
      <c r="M134" s="255">
        <v>993</v>
      </c>
      <c r="N134" s="278">
        <v>44200</v>
      </c>
      <c r="O134" s="329" t="s">
        <v>67</v>
      </c>
      <c r="P134" s="386">
        <f t="shared" ref="P134:Q134" si="131">IF(B134=0,0,IF(YEAR(B134)=$Q$1,MONTH(B134)-$P$1+1,(YEAR(B134)-$Q$1)*12-$P$1+1+MONTH(B134)))</f>
        <v>1</v>
      </c>
      <c r="Q134" s="330">
        <f t="shared" si="131"/>
        <v>0</v>
      </c>
      <c r="R134" s="351" t="str">
        <f t="shared" si="3"/>
        <v>Gastos_Gerais</v>
      </c>
      <c r="S134" s="351" t="str">
        <f>IF(D134="","",IF(OR(D134=Plano!$A$1,D134=Plano!$B$1),"entrada","saída"))</f>
        <v>saída</v>
      </c>
      <c r="T134" s="334" t="s">
        <v>994</v>
      </c>
      <c r="U134" s="334">
        <v>769</v>
      </c>
      <c r="V134" s="344"/>
      <c r="W134" s="269"/>
    </row>
    <row r="135" spans="1:23" ht="180" customHeight="1" x14ac:dyDescent="0.2">
      <c r="A135" s="277">
        <f t="shared" si="0"/>
        <v>131</v>
      </c>
      <c r="B135" s="278">
        <v>44202</v>
      </c>
      <c r="C135" s="249">
        <v>44105</v>
      </c>
      <c r="D135" s="250" t="s">
        <v>99</v>
      </c>
      <c r="E135" s="250" t="s">
        <v>310</v>
      </c>
      <c r="F135" s="251">
        <v>4997.49</v>
      </c>
      <c r="G135" s="255" t="s">
        <v>2625</v>
      </c>
      <c r="H135" s="250" t="s">
        <v>122</v>
      </c>
      <c r="I135" s="250" t="s">
        <v>2626</v>
      </c>
      <c r="J135" s="250" t="s">
        <v>2627</v>
      </c>
      <c r="K135" s="255" t="s">
        <v>991</v>
      </c>
      <c r="L135" s="250" t="s">
        <v>1016</v>
      </c>
      <c r="M135" s="255" t="s">
        <v>1305</v>
      </c>
      <c r="N135" s="278">
        <v>44200</v>
      </c>
      <c r="O135" s="329" t="s">
        <v>67</v>
      </c>
      <c r="P135" s="386">
        <f t="shared" ref="P135:Q135" si="132">IF(B135=0,0,IF(YEAR(B135)=$Q$1,MONTH(B135)-$P$1+1,(YEAR(B135)-$Q$1)*12-$P$1+1+MONTH(B135)))</f>
        <v>1</v>
      </c>
      <c r="Q135" s="330">
        <f t="shared" si="132"/>
        <v>-2</v>
      </c>
      <c r="R135" s="351" t="str">
        <f t="shared" si="3"/>
        <v>Gastos_Gerais</v>
      </c>
      <c r="S135" s="351" t="str">
        <f>IF(D135="","",IF(OR(D135=Plano!$A$1,D135=Plano!$B$1),"entrada","saída"))</f>
        <v>saída</v>
      </c>
      <c r="T135" s="334" t="s">
        <v>994</v>
      </c>
      <c r="U135" s="334">
        <v>664</v>
      </c>
      <c r="V135" s="344"/>
      <c r="W135" s="269"/>
    </row>
    <row r="136" spans="1:23" ht="233.25" customHeight="1" x14ac:dyDescent="0.2">
      <c r="A136" s="277">
        <f t="shared" si="0"/>
        <v>132</v>
      </c>
      <c r="B136" s="278">
        <v>44202</v>
      </c>
      <c r="C136" s="249">
        <v>44136</v>
      </c>
      <c r="D136" s="250" t="s">
        <v>99</v>
      </c>
      <c r="E136" s="250" t="s">
        <v>330</v>
      </c>
      <c r="F136" s="251">
        <v>2500</v>
      </c>
      <c r="G136" s="255" t="s">
        <v>2628</v>
      </c>
      <c r="H136" s="250" t="s">
        <v>132</v>
      </c>
      <c r="I136" s="250" t="s">
        <v>2629</v>
      </c>
      <c r="J136" s="255" t="s">
        <v>2630</v>
      </c>
      <c r="K136" s="255" t="s">
        <v>991</v>
      </c>
      <c r="L136" s="250" t="s">
        <v>1016</v>
      </c>
      <c r="M136" s="255" t="s">
        <v>1305</v>
      </c>
      <c r="N136" s="278">
        <v>44200</v>
      </c>
      <c r="O136" s="329" t="s">
        <v>67</v>
      </c>
      <c r="P136" s="386">
        <f t="shared" ref="P136:Q136" si="133">IF(B136=0,0,IF(YEAR(B136)=$Q$1,MONTH(B136)-$P$1+1,(YEAR(B136)-$Q$1)*12-$P$1+1+MONTH(B136)))</f>
        <v>1</v>
      </c>
      <c r="Q136" s="330">
        <f t="shared" si="133"/>
        <v>-1</v>
      </c>
      <c r="R136" s="351" t="str">
        <f t="shared" si="3"/>
        <v>Gastos_Gerais</v>
      </c>
      <c r="S136" s="351" t="str">
        <f>IF(D136="","",IF(OR(D136=Plano!$A$1,D136=Plano!$B$1),"entrada","saída"))</f>
        <v>saída</v>
      </c>
      <c r="T136" s="334" t="s">
        <v>994</v>
      </c>
      <c r="U136" s="334">
        <v>902</v>
      </c>
      <c r="V136" s="344"/>
      <c r="W136" s="269"/>
    </row>
    <row r="137" spans="1:23" ht="186.75" customHeight="1" x14ac:dyDescent="0.2">
      <c r="A137" s="277">
        <f t="shared" si="0"/>
        <v>133</v>
      </c>
      <c r="B137" s="278">
        <v>44202</v>
      </c>
      <c r="C137" s="249">
        <v>44166</v>
      </c>
      <c r="D137" s="250" t="s">
        <v>99</v>
      </c>
      <c r="E137" s="250" t="s">
        <v>336</v>
      </c>
      <c r="F137" s="251">
        <v>2300</v>
      </c>
      <c r="G137" s="255" t="s">
        <v>2486</v>
      </c>
      <c r="H137" s="250" t="s">
        <v>116</v>
      </c>
      <c r="I137" s="250" t="s">
        <v>2631</v>
      </c>
      <c r="J137" s="250" t="s">
        <v>2632</v>
      </c>
      <c r="K137" s="255" t="s">
        <v>991</v>
      </c>
      <c r="L137" s="250" t="s">
        <v>1016</v>
      </c>
      <c r="M137" s="255" t="s">
        <v>1305</v>
      </c>
      <c r="N137" s="278">
        <v>44200</v>
      </c>
      <c r="O137" s="329" t="s">
        <v>67</v>
      </c>
      <c r="P137" s="386">
        <f t="shared" ref="P137:Q137" si="134">IF(B137=0,0,IF(YEAR(B137)=$Q$1,MONTH(B137)-$P$1+1,(YEAR(B137)-$Q$1)*12-$P$1+1+MONTH(B137)))</f>
        <v>1</v>
      </c>
      <c r="Q137" s="330">
        <f t="shared" si="134"/>
        <v>0</v>
      </c>
      <c r="R137" s="351" t="str">
        <f t="shared" si="3"/>
        <v>Gastos_Gerais</v>
      </c>
      <c r="S137" s="351" t="str">
        <f>IF(D137="","",IF(OR(D137=Plano!$A$1,D137=Plano!$B$1),"entrada","saída"))</f>
        <v>saída</v>
      </c>
      <c r="T137" s="334" t="s">
        <v>994</v>
      </c>
      <c r="U137" s="334">
        <v>610</v>
      </c>
      <c r="V137" s="344"/>
      <c r="W137" s="269"/>
    </row>
    <row r="138" spans="1:23" ht="194.25" customHeight="1" x14ac:dyDescent="0.2">
      <c r="A138" s="277">
        <f t="shared" si="0"/>
        <v>134</v>
      </c>
      <c r="B138" s="278">
        <v>44202</v>
      </c>
      <c r="C138" s="249">
        <v>44166</v>
      </c>
      <c r="D138" s="250" t="s">
        <v>99</v>
      </c>
      <c r="E138" s="250" t="s">
        <v>336</v>
      </c>
      <c r="F138" s="251">
        <v>2300</v>
      </c>
      <c r="G138" s="255" t="s">
        <v>2486</v>
      </c>
      <c r="H138" s="250" t="s">
        <v>116</v>
      </c>
      <c r="I138" s="250" t="s">
        <v>2633</v>
      </c>
      <c r="J138" s="250" t="s">
        <v>2634</v>
      </c>
      <c r="K138" s="255" t="s">
        <v>991</v>
      </c>
      <c r="L138" s="250" t="s">
        <v>1016</v>
      </c>
      <c r="M138" s="255" t="s">
        <v>1305</v>
      </c>
      <c r="N138" s="278">
        <v>44200</v>
      </c>
      <c r="O138" s="329" t="s">
        <v>67</v>
      </c>
      <c r="P138" s="386">
        <f t="shared" ref="P138:Q138" si="135">IF(B138=0,0,IF(YEAR(B138)=$Q$1,MONTH(B138)-$P$1+1,(YEAR(B138)-$Q$1)*12-$P$1+1+MONTH(B138)))</f>
        <v>1</v>
      </c>
      <c r="Q138" s="330">
        <f t="shared" si="135"/>
        <v>0</v>
      </c>
      <c r="R138" s="351" t="str">
        <f t="shared" si="3"/>
        <v>Gastos_Gerais</v>
      </c>
      <c r="S138" s="351" t="str">
        <f>IF(D138="","",IF(OR(D138=Plano!$A$1,D138=Plano!$B$1),"entrada","saída"))</f>
        <v>saída</v>
      </c>
      <c r="T138" s="334" t="s">
        <v>994</v>
      </c>
      <c r="U138" s="334">
        <v>640</v>
      </c>
      <c r="V138" s="344"/>
      <c r="W138" s="269"/>
    </row>
    <row r="139" spans="1:23" ht="200.25" customHeight="1" x14ac:dyDescent="0.2">
      <c r="A139" s="277">
        <f t="shared" si="0"/>
        <v>135</v>
      </c>
      <c r="B139" s="278">
        <v>44202</v>
      </c>
      <c r="C139" s="249">
        <v>44166</v>
      </c>
      <c r="D139" s="250" t="s">
        <v>99</v>
      </c>
      <c r="E139" s="250" t="s">
        <v>336</v>
      </c>
      <c r="F139" s="251">
        <v>2300</v>
      </c>
      <c r="G139" s="255" t="s">
        <v>2635</v>
      </c>
      <c r="H139" s="250" t="s">
        <v>116</v>
      </c>
      <c r="I139" s="250" t="s">
        <v>2636</v>
      </c>
      <c r="J139" s="250" t="s">
        <v>2637</v>
      </c>
      <c r="K139" s="255" t="s">
        <v>991</v>
      </c>
      <c r="L139" s="250" t="s">
        <v>1016</v>
      </c>
      <c r="M139" s="255" t="s">
        <v>1305</v>
      </c>
      <c r="N139" s="278">
        <v>44200</v>
      </c>
      <c r="O139" s="329" t="s">
        <v>67</v>
      </c>
      <c r="P139" s="386">
        <f t="shared" ref="P139:Q139" si="136">IF(B139=0,0,IF(YEAR(B139)=$Q$1,MONTH(B139)-$P$1+1,(YEAR(B139)-$Q$1)*12-$P$1+1+MONTH(B139)))</f>
        <v>1</v>
      </c>
      <c r="Q139" s="330">
        <f t="shared" si="136"/>
        <v>0</v>
      </c>
      <c r="R139" s="351" t="str">
        <f t="shared" si="3"/>
        <v>Gastos_Gerais</v>
      </c>
      <c r="S139" s="351" t="str">
        <f>IF(D139="","",IF(OR(D139=Plano!$A$1,D139=Plano!$B$1),"entrada","saída"))</f>
        <v>saída</v>
      </c>
      <c r="T139" s="334" t="s">
        <v>994</v>
      </c>
      <c r="U139" s="334">
        <v>641</v>
      </c>
      <c r="V139" s="344"/>
      <c r="W139" s="269"/>
    </row>
    <row r="140" spans="1:23" ht="166.5" customHeight="1" x14ac:dyDescent="0.2">
      <c r="A140" s="277">
        <f t="shared" si="0"/>
        <v>136</v>
      </c>
      <c r="B140" s="278">
        <v>44202</v>
      </c>
      <c r="C140" s="249">
        <v>44166</v>
      </c>
      <c r="D140" s="250" t="s">
        <v>99</v>
      </c>
      <c r="E140" s="250" t="s">
        <v>262</v>
      </c>
      <c r="F140" s="251">
        <v>2000</v>
      </c>
      <c r="G140" s="255" t="s">
        <v>2638</v>
      </c>
      <c r="H140" s="250" t="s">
        <v>122</v>
      </c>
      <c r="I140" s="250" t="s">
        <v>2639</v>
      </c>
      <c r="J140" s="250" t="s">
        <v>479</v>
      </c>
      <c r="K140" s="255" t="s">
        <v>991</v>
      </c>
      <c r="L140" s="250" t="s">
        <v>1016</v>
      </c>
      <c r="M140" s="255" t="s">
        <v>1305</v>
      </c>
      <c r="N140" s="278">
        <v>44200</v>
      </c>
      <c r="O140" s="329" t="s">
        <v>67</v>
      </c>
      <c r="P140" s="386">
        <f t="shared" ref="P140:Q140" si="137">IF(B140=0,0,IF(YEAR(B140)=$Q$1,MONTH(B140)-$P$1+1,(YEAR(B140)-$Q$1)*12-$P$1+1+MONTH(B140)))</f>
        <v>1</v>
      </c>
      <c r="Q140" s="330">
        <f t="shared" si="137"/>
        <v>0</v>
      </c>
      <c r="R140" s="351" t="str">
        <f t="shared" si="3"/>
        <v>Gastos_Gerais</v>
      </c>
      <c r="S140" s="351" t="str">
        <f>IF(D140="","",IF(OR(D140=Plano!$A$1,D140=Plano!$B$1),"entrada","saída"))</f>
        <v>saída</v>
      </c>
      <c r="T140" s="334" t="s">
        <v>994</v>
      </c>
      <c r="U140" s="334">
        <v>103</v>
      </c>
      <c r="V140" s="344"/>
      <c r="W140" s="269"/>
    </row>
    <row r="141" spans="1:23" ht="195.75" customHeight="1" x14ac:dyDescent="0.2">
      <c r="A141" s="277">
        <f t="shared" si="0"/>
        <v>137</v>
      </c>
      <c r="B141" s="278">
        <v>44202</v>
      </c>
      <c r="C141" s="249">
        <v>44166</v>
      </c>
      <c r="D141" s="250" t="s">
        <v>99</v>
      </c>
      <c r="E141" s="250" t="s">
        <v>336</v>
      </c>
      <c r="F141" s="251">
        <v>2300</v>
      </c>
      <c r="G141" s="255" t="s">
        <v>2486</v>
      </c>
      <c r="H141" s="250" t="s">
        <v>116</v>
      </c>
      <c r="I141" s="250" t="s">
        <v>2640</v>
      </c>
      <c r="J141" s="250" t="s">
        <v>2641</v>
      </c>
      <c r="K141" s="255" t="s">
        <v>991</v>
      </c>
      <c r="L141" s="250" t="s">
        <v>1016</v>
      </c>
      <c r="M141" s="255" t="s">
        <v>1305</v>
      </c>
      <c r="N141" s="278">
        <v>44201</v>
      </c>
      <c r="O141" s="329" t="s">
        <v>67</v>
      </c>
      <c r="P141" s="386">
        <f t="shared" ref="P141:Q141" si="138">IF(B141=0,0,IF(YEAR(B141)=$Q$1,MONTH(B141)-$P$1+1,(YEAR(B141)-$Q$1)*12-$P$1+1+MONTH(B141)))</f>
        <v>1</v>
      </c>
      <c r="Q141" s="330">
        <f t="shared" si="138"/>
        <v>0</v>
      </c>
      <c r="R141" s="351" t="str">
        <f t="shared" si="3"/>
        <v>Gastos_Gerais</v>
      </c>
      <c r="S141" s="351" t="str">
        <f>IF(D141="","",IF(OR(D141=Plano!$A$1,D141=Plano!$B$1),"entrada","saída"))</f>
        <v>saída</v>
      </c>
      <c r="T141" s="334" t="s">
        <v>994</v>
      </c>
      <c r="U141" s="334">
        <v>631</v>
      </c>
      <c r="V141" s="344"/>
      <c r="W141" s="269"/>
    </row>
    <row r="142" spans="1:23" ht="216" customHeight="1" x14ac:dyDescent="0.2">
      <c r="A142" s="277">
        <f t="shared" si="0"/>
        <v>138</v>
      </c>
      <c r="B142" s="278">
        <v>44202</v>
      </c>
      <c r="C142" s="249">
        <v>44166</v>
      </c>
      <c r="D142" s="250" t="s">
        <v>99</v>
      </c>
      <c r="E142" s="250" t="s">
        <v>336</v>
      </c>
      <c r="F142" s="251">
        <v>2300</v>
      </c>
      <c r="G142" s="255" t="s">
        <v>2486</v>
      </c>
      <c r="H142" s="250" t="s">
        <v>116</v>
      </c>
      <c r="I142" s="250" t="s">
        <v>2642</v>
      </c>
      <c r="J142" s="250" t="s">
        <v>2643</v>
      </c>
      <c r="K142" s="255" t="s">
        <v>991</v>
      </c>
      <c r="L142" s="250" t="s">
        <v>1016</v>
      </c>
      <c r="M142" s="255" t="s">
        <v>1305</v>
      </c>
      <c r="N142" s="278">
        <v>44200</v>
      </c>
      <c r="O142" s="329" t="s">
        <v>67</v>
      </c>
      <c r="P142" s="386">
        <f t="shared" ref="P142:Q142" si="139">IF(B142=0,0,IF(YEAR(B142)=$Q$1,MONTH(B142)-$P$1+1,(YEAR(B142)-$Q$1)*12-$P$1+1+MONTH(B142)))</f>
        <v>1</v>
      </c>
      <c r="Q142" s="330">
        <f t="shared" si="139"/>
        <v>0</v>
      </c>
      <c r="R142" s="351" t="str">
        <f t="shared" si="3"/>
        <v>Gastos_Gerais</v>
      </c>
      <c r="S142" s="351" t="str">
        <f>IF(D142="","",IF(OR(D142=Plano!$A$1,D142=Plano!$B$1),"entrada","saída"))</f>
        <v>saída</v>
      </c>
      <c r="T142" s="334" t="s">
        <v>994</v>
      </c>
      <c r="U142" s="334">
        <v>633</v>
      </c>
      <c r="V142" s="344"/>
      <c r="W142" s="269"/>
    </row>
    <row r="143" spans="1:23" ht="159.75" customHeight="1" x14ac:dyDescent="0.2">
      <c r="A143" s="277">
        <f t="shared" si="0"/>
        <v>139</v>
      </c>
      <c r="B143" s="278">
        <v>44202</v>
      </c>
      <c r="C143" s="249">
        <v>44166</v>
      </c>
      <c r="D143" s="250" t="s">
        <v>99</v>
      </c>
      <c r="E143" s="250" t="s">
        <v>262</v>
      </c>
      <c r="F143" s="251">
        <v>5487.44</v>
      </c>
      <c r="G143" s="255" t="s">
        <v>2644</v>
      </c>
      <c r="H143" s="250" t="s">
        <v>115</v>
      </c>
      <c r="I143" s="250" t="s">
        <v>2645</v>
      </c>
      <c r="J143" s="255" t="s">
        <v>623</v>
      </c>
      <c r="K143" s="255" t="s">
        <v>991</v>
      </c>
      <c r="L143" s="250" t="s">
        <v>1016</v>
      </c>
      <c r="M143" s="250" t="s">
        <v>1305</v>
      </c>
      <c r="N143" s="329">
        <v>44200</v>
      </c>
      <c r="O143" s="329" t="s">
        <v>67</v>
      </c>
      <c r="P143" s="386">
        <f t="shared" ref="P143:Q143" si="140">IF(B143=0,0,IF(YEAR(B143)=$Q$1,MONTH(B143)-$P$1+1,(YEAR(B143)-$Q$1)*12-$P$1+1+MONTH(B143)))</f>
        <v>1</v>
      </c>
      <c r="Q143" s="330">
        <f t="shared" si="140"/>
        <v>0</v>
      </c>
      <c r="R143" s="351" t="str">
        <f t="shared" si="3"/>
        <v>Gastos_Gerais</v>
      </c>
      <c r="S143" s="351" t="str">
        <f>IF(D143="","",IF(OR(D143=Plano!$A$1,D143=Plano!$B$1),"entrada","saída"))</f>
        <v>saída</v>
      </c>
      <c r="T143" s="334" t="s">
        <v>994</v>
      </c>
      <c r="U143" s="334">
        <v>100</v>
      </c>
      <c r="V143" s="344"/>
      <c r="W143" s="269"/>
    </row>
    <row r="144" spans="1:23" ht="177" customHeight="1" x14ac:dyDescent="0.2">
      <c r="A144" s="277">
        <f t="shared" si="0"/>
        <v>140</v>
      </c>
      <c r="B144" s="278">
        <v>44202</v>
      </c>
      <c r="C144" s="249">
        <v>44166</v>
      </c>
      <c r="D144" s="250" t="s">
        <v>99</v>
      </c>
      <c r="E144" s="250" t="s">
        <v>384</v>
      </c>
      <c r="F144" s="251">
        <v>4655</v>
      </c>
      <c r="G144" s="255" t="s">
        <v>2646</v>
      </c>
      <c r="H144" s="250" t="s">
        <v>128</v>
      </c>
      <c r="I144" s="250" t="s">
        <v>2647</v>
      </c>
      <c r="J144" s="250" t="s">
        <v>470</v>
      </c>
      <c r="K144" s="255" t="s">
        <v>991</v>
      </c>
      <c r="L144" s="250" t="s">
        <v>1016</v>
      </c>
      <c r="M144" s="255" t="s">
        <v>1305</v>
      </c>
      <c r="N144" s="278">
        <v>44200</v>
      </c>
      <c r="O144" s="329" t="s">
        <v>67</v>
      </c>
      <c r="P144" s="386">
        <f t="shared" ref="P144:Q144" si="141">IF(B144=0,0,IF(YEAR(B144)=$Q$1,MONTH(B144)-$P$1+1,(YEAR(B144)-$Q$1)*12-$P$1+1+MONTH(B144)))</f>
        <v>1</v>
      </c>
      <c r="Q144" s="330">
        <f t="shared" si="141"/>
        <v>0</v>
      </c>
      <c r="R144" s="351" t="str">
        <f t="shared" si="3"/>
        <v>Gastos_Gerais</v>
      </c>
      <c r="S144" s="351" t="str">
        <f>IF(D144="","",IF(OR(D144=Plano!$A$1,D144=Plano!$B$1),"entrada","saída"))</f>
        <v>saída</v>
      </c>
      <c r="T144" s="334" t="s">
        <v>994</v>
      </c>
      <c r="U144" s="334">
        <v>105</v>
      </c>
      <c r="V144" s="344"/>
      <c r="W144" s="269"/>
    </row>
    <row r="145" spans="1:23" ht="220.5" customHeight="1" x14ac:dyDescent="0.2">
      <c r="A145" s="277">
        <f t="shared" si="0"/>
        <v>141</v>
      </c>
      <c r="B145" s="278">
        <v>44202</v>
      </c>
      <c r="C145" s="249">
        <v>44166</v>
      </c>
      <c r="D145" s="250" t="s">
        <v>99</v>
      </c>
      <c r="E145" s="250" t="s">
        <v>336</v>
      </c>
      <c r="F145" s="251">
        <v>3201</v>
      </c>
      <c r="G145" s="255" t="s">
        <v>2648</v>
      </c>
      <c r="H145" s="250" t="s">
        <v>118</v>
      </c>
      <c r="I145" s="250" t="s">
        <v>2649</v>
      </c>
      <c r="J145" s="250" t="s">
        <v>2650</v>
      </c>
      <c r="K145" s="255" t="s">
        <v>991</v>
      </c>
      <c r="L145" s="250" t="s">
        <v>1016</v>
      </c>
      <c r="M145" s="255" t="s">
        <v>1017</v>
      </c>
      <c r="N145" s="278">
        <v>44201</v>
      </c>
      <c r="O145" s="329" t="s">
        <v>67</v>
      </c>
      <c r="P145" s="386">
        <f t="shared" ref="P145:Q145" si="142">IF(B145=0,0,IF(YEAR(B145)=$Q$1,MONTH(B145)-$P$1+1,(YEAR(B145)-$Q$1)*12-$P$1+1+MONTH(B145)))</f>
        <v>1</v>
      </c>
      <c r="Q145" s="330">
        <f t="shared" si="142"/>
        <v>0</v>
      </c>
      <c r="R145" s="351" t="str">
        <f t="shared" si="3"/>
        <v>Gastos_Gerais</v>
      </c>
      <c r="S145" s="351" t="str">
        <f>IF(D145="","",IF(OR(D145=Plano!$A$1,D145=Plano!$B$1),"entrada","saída"))</f>
        <v>saída</v>
      </c>
      <c r="T145" s="334" t="s">
        <v>994</v>
      </c>
      <c r="U145" s="334">
        <v>618</v>
      </c>
      <c r="V145" s="344"/>
      <c r="W145" s="269"/>
    </row>
    <row r="146" spans="1:23" ht="210.75" customHeight="1" x14ac:dyDescent="0.2">
      <c r="A146" s="277">
        <f t="shared" si="0"/>
        <v>142</v>
      </c>
      <c r="B146" s="278">
        <v>44202</v>
      </c>
      <c r="C146" s="249">
        <v>44166</v>
      </c>
      <c r="D146" s="250" t="s">
        <v>99</v>
      </c>
      <c r="E146" s="250" t="s">
        <v>336</v>
      </c>
      <c r="F146" s="251">
        <v>3201</v>
      </c>
      <c r="G146" s="255" t="s">
        <v>2651</v>
      </c>
      <c r="H146" s="250" t="s">
        <v>118</v>
      </c>
      <c r="I146" s="250" t="s">
        <v>2649</v>
      </c>
      <c r="J146" s="250" t="s">
        <v>2650</v>
      </c>
      <c r="K146" s="255" t="s">
        <v>991</v>
      </c>
      <c r="L146" s="250" t="s">
        <v>1016</v>
      </c>
      <c r="M146" s="255" t="s">
        <v>1443</v>
      </c>
      <c r="N146" s="278">
        <v>44201</v>
      </c>
      <c r="O146" s="329" t="s">
        <v>67</v>
      </c>
      <c r="P146" s="386">
        <f t="shared" ref="P146:Q146" si="143">IF(B146=0,0,IF(YEAR(B146)=$Q$1,MONTH(B146)-$P$1+1,(YEAR(B146)-$Q$1)*12-$P$1+1+MONTH(B146)))</f>
        <v>1</v>
      </c>
      <c r="Q146" s="330">
        <f t="shared" si="143"/>
        <v>0</v>
      </c>
      <c r="R146" s="351" t="str">
        <f t="shared" si="3"/>
        <v>Gastos_Gerais</v>
      </c>
      <c r="S146" s="351" t="str">
        <f>IF(D146="","",IF(OR(D146=Plano!$A$1,D146=Plano!$B$1),"entrada","saída"))</f>
        <v>saída</v>
      </c>
      <c r="T146" s="334" t="s">
        <v>994</v>
      </c>
      <c r="U146" s="334">
        <v>621</v>
      </c>
      <c r="V146" s="344"/>
      <c r="W146" s="269"/>
    </row>
    <row r="147" spans="1:23" ht="229.5" customHeight="1" x14ac:dyDescent="0.2">
      <c r="A147" s="277">
        <f t="shared" si="0"/>
        <v>143</v>
      </c>
      <c r="B147" s="278">
        <v>44202</v>
      </c>
      <c r="C147" s="249">
        <v>44166</v>
      </c>
      <c r="D147" s="250" t="s">
        <v>99</v>
      </c>
      <c r="E147" s="250" t="s">
        <v>336</v>
      </c>
      <c r="F147" s="251">
        <v>3201</v>
      </c>
      <c r="G147" s="255" t="s">
        <v>2652</v>
      </c>
      <c r="H147" s="250" t="s">
        <v>118</v>
      </c>
      <c r="I147" s="250" t="s">
        <v>2649</v>
      </c>
      <c r="J147" s="250" t="s">
        <v>2650</v>
      </c>
      <c r="K147" s="255" t="s">
        <v>991</v>
      </c>
      <c r="L147" s="250" t="s">
        <v>1016</v>
      </c>
      <c r="M147" s="255" t="s">
        <v>1540</v>
      </c>
      <c r="N147" s="278">
        <v>44201</v>
      </c>
      <c r="O147" s="329" t="s">
        <v>67</v>
      </c>
      <c r="P147" s="386">
        <f t="shared" ref="P147:Q147" si="144">IF(B147=0,0,IF(YEAR(B147)=$Q$1,MONTH(B147)-$P$1+1,(YEAR(B147)-$Q$1)*12-$P$1+1+MONTH(B147)))</f>
        <v>1</v>
      </c>
      <c r="Q147" s="330">
        <f t="shared" si="144"/>
        <v>0</v>
      </c>
      <c r="R147" s="351" t="str">
        <f t="shared" si="3"/>
        <v>Gastos_Gerais</v>
      </c>
      <c r="S147" s="351" t="str">
        <f>IF(D147="","",IF(OR(D147=Plano!$A$1,D147=Plano!$B$1),"entrada","saída"))</f>
        <v>saída</v>
      </c>
      <c r="T147" s="334" t="s">
        <v>994</v>
      </c>
      <c r="U147" s="334">
        <v>611</v>
      </c>
      <c r="V147" s="344"/>
      <c r="W147" s="269"/>
    </row>
    <row r="148" spans="1:23" ht="233.25" customHeight="1" x14ac:dyDescent="0.2">
      <c r="A148" s="277">
        <f t="shared" si="0"/>
        <v>144</v>
      </c>
      <c r="B148" s="278">
        <v>44202</v>
      </c>
      <c r="C148" s="249">
        <v>44166</v>
      </c>
      <c r="D148" s="250" t="s">
        <v>99</v>
      </c>
      <c r="E148" s="250" t="s">
        <v>336</v>
      </c>
      <c r="F148" s="251">
        <v>3201</v>
      </c>
      <c r="G148" s="255" t="s">
        <v>2653</v>
      </c>
      <c r="H148" s="250" t="s">
        <v>118</v>
      </c>
      <c r="I148" s="250" t="s">
        <v>2649</v>
      </c>
      <c r="J148" s="250" t="s">
        <v>2650</v>
      </c>
      <c r="K148" s="255" t="s">
        <v>991</v>
      </c>
      <c r="L148" s="250" t="s">
        <v>1016</v>
      </c>
      <c r="M148" s="255" t="s">
        <v>1299</v>
      </c>
      <c r="N148" s="278">
        <v>44201</v>
      </c>
      <c r="O148" s="329" t="s">
        <v>67</v>
      </c>
      <c r="P148" s="386">
        <f t="shared" ref="P148:Q148" si="145">IF(B148=0,0,IF(YEAR(B148)=$Q$1,MONTH(B148)-$P$1+1,(YEAR(B148)-$Q$1)*12-$P$1+1+MONTH(B148)))</f>
        <v>1</v>
      </c>
      <c r="Q148" s="330">
        <f t="shared" si="145"/>
        <v>0</v>
      </c>
      <c r="R148" s="351" t="str">
        <f t="shared" si="3"/>
        <v>Gastos_Gerais</v>
      </c>
      <c r="S148" s="351" t="str">
        <f>IF(D148="","",IF(OR(D148=Plano!$A$1,D148=Plano!$B$1),"entrada","saída"))</f>
        <v>saída</v>
      </c>
      <c r="T148" s="334" t="s">
        <v>994</v>
      </c>
      <c r="U148" s="334">
        <v>619</v>
      </c>
      <c r="V148" s="344"/>
      <c r="W148" s="269"/>
    </row>
    <row r="149" spans="1:23" ht="188.25" customHeight="1" x14ac:dyDescent="0.2">
      <c r="A149" s="277">
        <f t="shared" si="0"/>
        <v>145</v>
      </c>
      <c r="B149" s="278">
        <v>44202</v>
      </c>
      <c r="C149" s="249">
        <v>44166</v>
      </c>
      <c r="D149" s="250" t="s">
        <v>99</v>
      </c>
      <c r="E149" s="250" t="s">
        <v>336</v>
      </c>
      <c r="F149" s="251">
        <v>3201</v>
      </c>
      <c r="G149" s="255" t="s">
        <v>2654</v>
      </c>
      <c r="H149" s="250" t="s">
        <v>118</v>
      </c>
      <c r="I149" s="250" t="s">
        <v>2649</v>
      </c>
      <c r="J149" s="250" t="s">
        <v>2650</v>
      </c>
      <c r="K149" s="255" t="s">
        <v>991</v>
      </c>
      <c r="L149" s="250" t="s">
        <v>1016</v>
      </c>
      <c r="M149" s="255" t="s">
        <v>1294</v>
      </c>
      <c r="N149" s="278">
        <v>44201</v>
      </c>
      <c r="O149" s="329" t="s">
        <v>67</v>
      </c>
      <c r="P149" s="386">
        <f t="shared" ref="P149:Q149" si="146">IF(B149=0,0,IF(YEAR(B149)=$Q$1,MONTH(B149)-$P$1+1,(YEAR(B149)-$Q$1)*12-$P$1+1+MONTH(B149)))</f>
        <v>1</v>
      </c>
      <c r="Q149" s="330">
        <f t="shared" si="146"/>
        <v>0</v>
      </c>
      <c r="R149" s="351" t="str">
        <f t="shared" si="3"/>
        <v>Gastos_Gerais</v>
      </c>
      <c r="S149" s="351" t="str">
        <f>IF(D149="","",IF(OR(D149=Plano!$A$1,D149=Plano!$B$1),"entrada","saída"))</f>
        <v>saída</v>
      </c>
      <c r="T149" s="334" t="s">
        <v>994</v>
      </c>
      <c r="U149" s="334">
        <v>622</v>
      </c>
      <c r="V149" s="344"/>
      <c r="W149" s="269"/>
    </row>
    <row r="150" spans="1:23" ht="228" customHeight="1" x14ac:dyDescent="0.2">
      <c r="A150" s="277">
        <f t="shared" si="0"/>
        <v>146</v>
      </c>
      <c r="B150" s="278">
        <v>44202</v>
      </c>
      <c r="C150" s="249">
        <v>44166</v>
      </c>
      <c r="D150" s="250" t="s">
        <v>99</v>
      </c>
      <c r="E150" s="250" t="s">
        <v>336</v>
      </c>
      <c r="F150" s="251">
        <v>2231</v>
      </c>
      <c r="G150" s="255" t="s">
        <v>2655</v>
      </c>
      <c r="H150" s="250" t="s">
        <v>116</v>
      </c>
      <c r="I150" s="250" t="s">
        <v>2649</v>
      </c>
      <c r="J150" s="250" t="s">
        <v>2650</v>
      </c>
      <c r="K150" s="255" t="s">
        <v>991</v>
      </c>
      <c r="L150" s="250" t="s">
        <v>1016</v>
      </c>
      <c r="M150" s="255" t="s">
        <v>1305</v>
      </c>
      <c r="N150" s="278">
        <v>44201</v>
      </c>
      <c r="O150" s="329" t="s">
        <v>67</v>
      </c>
      <c r="P150" s="386">
        <f t="shared" ref="P150:Q150" si="147">IF(B150=0,0,IF(YEAR(B150)=$Q$1,MONTH(B150)-$P$1+1,(YEAR(B150)-$Q$1)*12-$P$1+1+MONTH(B150)))</f>
        <v>1</v>
      </c>
      <c r="Q150" s="330">
        <f t="shared" si="147"/>
        <v>0</v>
      </c>
      <c r="R150" s="351" t="str">
        <f t="shared" si="3"/>
        <v>Gastos_Gerais</v>
      </c>
      <c r="S150" s="351" t="str">
        <f>IF(D150="","",IF(OR(D150=Plano!$A$1,D150=Plano!$B$1),"entrada","saída"))</f>
        <v>saída</v>
      </c>
      <c r="T150" s="334" t="s">
        <v>994</v>
      </c>
      <c r="U150" s="334">
        <v>637</v>
      </c>
      <c r="V150" s="344"/>
      <c r="W150" s="269"/>
    </row>
    <row r="151" spans="1:23" ht="213" customHeight="1" x14ac:dyDescent="0.2">
      <c r="A151" s="277">
        <f t="shared" si="0"/>
        <v>147</v>
      </c>
      <c r="B151" s="278">
        <v>44202</v>
      </c>
      <c r="C151" s="249">
        <v>44166</v>
      </c>
      <c r="D151" s="250" t="s">
        <v>99</v>
      </c>
      <c r="E151" s="250" t="s">
        <v>336</v>
      </c>
      <c r="F151" s="251">
        <v>3201</v>
      </c>
      <c r="G151" s="255" t="s">
        <v>2656</v>
      </c>
      <c r="H151" s="250" t="s">
        <v>118</v>
      </c>
      <c r="I151" s="250" t="s">
        <v>2649</v>
      </c>
      <c r="J151" s="250" t="s">
        <v>2650</v>
      </c>
      <c r="K151" s="255" t="s">
        <v>991</v>
      </c>
      <c r="L151" s="250" t="s">
        <v>1016</v>
      </c>
      <c r="M151" s="255" t="s">
        <v>1296</v>
      </c>
      <c r="N151" s="278">
        <v>44201</v>
      </c>
      <c r="O151" s="329" t="s">
        <v>67</v>
      </c>
      <c r="P151" s="386">
        <f t="shared" ref="P151:Q151" si="148">IF(B151=0,0,IF(YEAR(B151)=$Q$1,MONTH(B151)-$P$1+1,(YEAR(B151)-$Q$1)*12-$P$1+1+MONTH(B151)))</f>
        <v>1</v>
      </c>
      <c r="Q151" s="330">
        <f t="shared" si="148"/>
        <v>0</v>
      </c>
      <c r="R151" s="351" t="str">
        <f t="shared" si="3"/>
        <v>Gastos_Gerais</v>
      </c>
      <c r="S151" s="351" t="str">
        <f>IF(D151="","",IF(OR(D151=Plano!$A$1,D151=Plano!$B$1),"entrada","saída"))</f>
        <v>saída</v>
      </c>
      <c r="T151" s="334" t="s">
        <v>994</v>
      </c>
      <c r="U151" s="334">
        <v>623</v>
      </c>
      <c r="V151" s="344"/>
      <c r="W151" s="269"/>
    </row>
    <row r="152" spans="1:23" ht="192.75" customHeight="1" x14ac:dyDescent="0.2">
      <c r="A152" s="277">
        <f t="shared" si="0"/>
        <v>148</v>
      </c>
      <c r="B152" s="278">
        <v>44202</v>
      </c>
      <c r="C152" s="249">
        <v>44166</v>
      </c>
      <c r="D152" s="250" t="s">
        <v>99</v>
      </c>
      <c r="E152" s="250" t="s">
        <v>336</v>
      </c>
      <c r="F152" s="251">
        <v>3201</v>
      </c>
      <c r="G152" s="255" t="s">
        <v>2657</v>
      </c>
      <c r="H152" s="250" t="s">
        <v>118</v>
      </c>
      <c r="I152" s="250" t="s">
        <v>2649</v>
      </c>
      <c r="J152" s="250" t="s">
        <v>2650</v>
      </c>
      <c r="K152" s="255" t="s">
        <v>991</v>
      </c>
      <c r="L152" s="250" t="s">
        <v>1016</v>
      </c>
      <c r="M152" s="255" t="s">
        <v>1061</v>
      </c>
      <c r="N152" s="278">
        <v>44201</v>
      </c>
      <c r="O152" s="329" t="s">
        <v>67</v>
      </c>
      <c r="P152" s="386">
        <f t="shared" ref="P152:Q152" si="149">IF(B152=0,0,IF(YEAR(B152)=$Q$1,MONTH(B152)-$P$1+1,(YEAR(B152)-$Q$1)*12-$P$1+1+MONTH(B152)))</f>
        <v>1</v>
      </c>
      <c r="Q152" s="330">
        <f t="shared" si="149"/>
        <v>0</v>
      </c>
      <c r="R152" s="351" t="str">
        <f t="shared" si="3"/>
        <v>Gastos_Gerais</v>
      </c>
      <c r="S152" s="351" t="str">
        <f>IF(D152="","",IF(OR(D152=Plano!$A$1,D152=Plano!$B$1),"entrada","saída"))</f>
        <v>saída</v>
      </c>
      <c r="T152" s="334" t="s">
        <v>994</v>
      </c>
      <c r="U152" s="334">
        <v>624</v>
      </c>
      <c r="V152" s="344"/>
      <c r="W152" s="269"/>
    </row>
    <row r="153" spans="1:23" ht="218.25" customHeight="1" x14ac:dyDescent="0.2">
      <c r="A153" s="277">
        <f t="shared" si="0"/>
        <v>149</v>
      </c>
      <c r="B153" s="278">
        <v>44202</v>
      </c>
      <c r="C153" s="249">
        <v>44166</v>
      </c>
      <c r="D153" s="250" t="s">
        <v>99</v>
      </c>
      <c r="E153" s="250" t="s">
        <v>336</v>
      </c>
      <c r="F153" s="251">
        <v>3201</v>
      </c>
      <c r="G153" s="255" t="s">
        <v>2658</v>
      </c>
      <c r="H153" s="250" t="s">
        <v>118</v>
      </c>
      <c r="I153" s="250" t="s">
        <v>2649</v>
      </c>
      <c r="J153" s="250" t="s">
        <v>2650</v>
      </c>
      <c r="K153" s="255" t="s">
        <v>991</v>
      </c>
      <c r="L153" s="250" t="s">
        <v>1016</v>
      </c>
      <c r="M153" s="255" t="s">
        <v>1049</v>
      </c>
      <c r="N153" s="278">
        <v>44201</v>
      </c>
      <c r="O153" s="329" t="s">
        <v>67</v>
      </c>
      <c r="P153" s="386">
        <f t="shared" ref="P153:Q153" si="150">IF(B153=0,0,IF(YEAR(B153)=$Q$1,MONTH(B153)-$P$1+1,(YEAR(B153)-$Q$1)*12-$P$1+1+MONTH(B153)))</f>
        <v>1</v>
      </c>
      <c r="Q153" s="330">
        <f t="shared" si="150"/>
        <v>0</v>
      </c>
      <c r="R153" s="351" t="str">
        <f t="shared" si="3"/>
        <v>Gastos_Gerais</v>
      </c>
      <c r="S153" s="351" t="str">
        <f>IF(D153="","",IF(OR(D153=Plano!$A$1,D153=Plano!$B$1),"entrada","saída"))</f>
        <v>saída</v>
      </c>
      <c r="T153" s="334" t="s">
        <v>994</v>
      </c>
      <c r="U153" s="334">
        <v>625</v>
      </c>
      <c r="V153" s="344"/>
      <c r="W153" s="269"/>
    </row>
    <row r="154" spans="1:23" ht="231" customHeight="1" x14ac:dyDescent="0.2">
      <c r="A154" s="277">
        <f t="shared" si="0"/>
        <v>150</v>
      </c>
      <c r="B154" s="278">
        <v>44202</v>
      </c>
      <c r="C154" s="249">
        <v>44166</v>
      </c>
      <c r="D154" s="250" t="s">
        <v>99</v>
      </c>
      <c r="E154" s="250" t="s">
        <v>336</v>
      </c>
      <c r="F154" s="251">
        <v>3201</v>
      </c>
      <c r="G154" s="255" t="s">
        <v>2659</v>
      </c>
      <c r="H154" s="250" t="s">
        <v>118</v>
      </c>
      <c r="I154" s="250" t="s">
        <v>2649</v>
      </c>
      <c r="J154" s="250" t="s">
        <v>2650</v>
      </c>
      <c r="K154" s="255" t="s">
        <v>991</v>
      </c>
      <c r="L154" s="250" t="s">
        <v>1016</v>
      </c>
      <c r="M154" s="255" t="s">
        <v>1211</v>
      </c>
      <c r="N154" s="278">
        <v>44201</v>
      </c>
      <c r="O154" s="329" t="s">
        <v>67</v>
      </c>
      <c r="P154" s="386">
        <f t="shared" ref="P154:Q154" si="151">IF(B154=0,0,IF(YEAR(B154)=$Q$1,MONTH(B154)-$P$1+1,(YEAR(B154)-$Q$1)*12-$P$1+1+MONTH(B154)))</f>
        <v>1</v>
      </c>
      <c r="Q154" s="330">
        <f t="shared" si="151"/>
        <v>0</v>
      </c>
      <c r="R154" s="351" t="str">
        <f t="shared" si="3"/>
        <v>Gastos_Gerais</v>
      </c>
      <c r="S154" s="351" t="str">
        <f>IF(D154="","",IF(OR(D154=Plano!$A$1,D154=Plano!$B$1),"entrada","saída"))</f>
        <v>saída</v>
      </c>
      <c r="T154" s="334" t="s">
        <v>994</v>
      </c>
      <c r="U154" s="334">
        <v>627</v>
      </c>
      <c r="V154" s="344"/>
      <c r="W154" s="269"/>
    </row>
    <row r="155" spans="1:23" ht="215.25" customHeight="1" x14ac:dyDescent="0.2">
      <c r="A155" s="277">
        <f t="shared" si="0"/>
        <v>151</v>
      </c>
      <c r="B155" s="278">
        <v>44202</v>
      </c>
      <c r="C155" s="249">
        <v>44166</v>
      </c>
      <c r="D155" s="250" t="s">
        <v>99</v>
      </c>
      <c r="E155" s="250" t="s">
        <v>336</v>
      </c>
      <c r="F155" s="251">
        <v>3201</v>
      </c>
      <c r="G155" s="255" t="s">
        <v>2660</v>
      </c>
      <c r="H155" s="250" t="s">
        <v>118</v>
      </c>
      <c r="I155" s="250" t="s">
        <v>2649</v>
      </c>
      <c r="J155" s="250" t="s">
        <v>2650</v>
      </c>
      <c r="K155" s="255" t="s">
        <v>991</v>
      </c>
      <c r="L155" s="250" t="s">
        <v>1016</v>
      </c>
      <c r="M155" s="255" t="s">
        <v>1532</v>
      </c>
      <c r="N155" s="278">
        <v>44201</v>
      </c>
      <c r="O155" s="329" t="s">
        <v>67</v>
      </c>
      <c r="P155" s="386">
        <f t="shared" ref="P155:Q155" si="152">IF(B155=0,0,IF(YEAR(B155)=$Q$1,MONTH(B155)-$P$1+1,(YEAR(B155)-$Q$1)*12-$P$1+1+MONTH(B155)))</f>
        <v>1</v>
      </c>
      <c r="Q155" s="330">
        <f t="shared" si="152"/>
        <v>0</v>
      </c>
      <c r="R155" s="351" t="str">
        <f t="shared" si="3"/>
        <v>Gastos_Gerais</v>
      </c>
      <c r="S155" s="351" t="str">
        <f>IF(D155="","",IF(OR(D155=Plano!$A$1,D155=Plano!$B$1),"entrada","saída"))</f>
        <v>saída</v>
      </c>
      <c r="T155" s="334" t="s">
        <v>994</v>
      </c>
      <c r="U155" s="334">
        <v>626</v>
      </c>
      <c r="V155" s="344"/>
      <c r="W155" s="269"/>
    </row>
    <row r="156" spans="1:23" ht="192.75" customHeight="1" x14ac:dyDescent="0.2">
      <c r="A156" s="277">
        <f t="shared" si="0"/>
        <v>152</v>
      </c>
      <c r="B156" s="278">
        <v>44202</v>
      </c>
      <c r="C156" s="249">
        <v>44166</v>
      </c>
      <c r="D156" s="250" t="s">
        <v>99</v>
      </c>
      <c r="E156" s="250" t="s">
        <v>336</v>
      </c>
      <c r="F156" s="251">
        <v>2300</v>
      </c>
      <c r="G156" s="255" t="s">
        <v>2486</v>
      </c>
      <c r="H156" s="250" t="s">
        <v>116</v>
      </c>
      <c r="I156" s="250" t="s">
        <v>2661</v>
      </c>
      <c r="J156" s="250" t="s">
        <v>2662</v>
      </c>
      <c r="K156" s="255" t="s">
        <v>991</v>
      </c>
      <c r="L156" s="250" t="s">
        <v>1016</v>
      </c>
      <c r="M156" s="255" t="s">
        <v>1305</v>
      </c>
      <c r="N156" s="278">
        <v>44201</v>
      </c>
      <c r="O156" s="329" t="s">
        <v>67</v>
      </c>
      <c r="P156" s="386">
        <f t="shared" ref="P156:Q156" si="153">IF(B156=0,0,IF(YEAR(B156)=$Q$1,MONTH(B156)-$P$1+1,(YEAR(B156)-$Q$1)*12-$P$1+1+MONTH(B156)))</f>
        <v>1</v>
      </c>
      <c r="Q156" s="330">
        <f t="shared" si="153"/>
        <v>0</v>
      </c>
      <c r="R156" s="351" t="str">
        <f t="shared" si="3"/>
        <v>Gastos_Gerais</v>
      </c>
      <c r="S156" s="351" t="str">
        <f>IF(D156="","",IF(OR(D156=Plano!$A$1,D156=Plano!$B$1),"entrada","saída"))</f>
        <v>saída</v>
      </c>
      <c r="T156" s="334" t="s">
        <v>994</v>
      </c>
      <c r="U156" s="334">
        <v>632</v>
      </c>
      <c r="V156" s="344"/>
      <c r="W156" s="269"/>
    </row>
    <row r="157" spans="1:23" ht="178.5" customHeight="1" x14ac:dyDescent="0.2">
      <c r="A157" s="277">
        <f t="shared" si="0"/>
        <v>153</v>
      </c>
      <c r="B157" s="278">
        <v>44202</v>
      </c>
      <c r="C157" s="249">
        <v>44166</v>
      </c>
      <c r="D157" s="250" t="s">
        <v>99</v>
      </c>
      <c r="E157" s="250" t="s">
        <v>262</v>
      </c>
      <c r="F157" s="251">
        <v>1344</v>
      </c>
      <c r="G157" s="255" t="s">
        <v>2663</v>
      </c>
      <c r="H157" s="250" t="s">
        <v>117</v>
      </c>
      <c r="I157" s="250" t="s">
        <v>1776</v>
      </c>
      <c r="J157" s="250" t="s">
        <v>1777</v>
      </c>
      <c r="K157" s="255" t="s">
        <v>991</v>
      </c>
      <c r="L157" s="250" t="s">
        <v>1029</v>
      </c>
      <c r="M157" s="255">
        <v>996</v>
      </c>
      <c r="N157" s="278">
        <v>44201</v>
      </c>
      <c r="O157" s="329" t="s">
        <v>67</v>
      </c>
      <c r="P157" s="386">
        <f t="shared" ref="P157:Q157" si="154">IF(B157=0,0,IF(YEAR(B157)=$Q$1,MONTH(B157)-$P$1+1,(YEAR(B157)-$Q$1)*12-$P$1+1+MONTH(B157)))</f>
        <v>1</v>
      </c>
      <c r="Q157" s="330">
        <f t="shared" si="154"/>
        <v>0</v>
      </c>
      <c r="R157" s="351" t="str">
        <f t="shared" si="3"/>
        <v>Gastos_Gerais</v>
      </c>
      <c r="S157" s="351" t="str">
        <f>IF(D157="","",IF(OR(D157=Plano!$A$1,D157=Plano!$B$1),"entrada","saída"))</f>
        <v>saída</v>
      </c>
      <c r="T157" s="334" t="s">
        <v>994</v>
      </c>
      <c r="U157" s="334">
        <v>594</v>
      </c>
      <c r="V157" s="344"/>
      <c r="W157" s="269"/>
    </row>
    <row r="158" spans="1:23" ht="209.25" customHeight="1" x14ac:dyDescent="0.2">
      <c r="A158" s="277">
        <f t="shared" si="0"/>
        <v>154</v>
      </c>
      <c r="B158" s="278">
        <v>44202</v>
      </c>
      <c r="C158" s="249">
        <v>44166</v>
      </c>
      <c r="D158" s="250" t="s">
        <v>99</v>
      </c>
      <c r="E158" s="250" t="s">
        <v>336</v>
      </c>
      <c r="F158" s="251">
        <v>19404</v>
      </c>
      <c r="G158" s="255" t="s">
        <v>2664</v>
      </c>
      <c r="H158" s="250" t="s">
        <v>116</v>
      </c>
      <c r="I158" s="250" t="s">
        <v>2665</v>
      </c>
      <c r="J158" s="250" t="s">
        <v>929</v>
      </c>
      <c r="K158" s="255" t="s">
        <v>991</v>
      </c>
      <c r="L158" s="250" t="s">
        <v>1016</v>
      </c>
      <c r="M158" s="250">
        <v>171</v>
      </c>
      <c r="N158" s="329">
        <v>44201</v>
      </c>
      <c r="O158" s="329" t="s">
        <v>67</v>
      </c>
      <c r="P158" s="386">
        <f t="shared" ref="P158:Q158" si="155">IF(B158=0,0,IF(YEAR(B158)=$Q$1,MONTH(B158)-$P$1+1,(YEAR(B158)-$Q$1)*12-$P$1+1+MONTH(B158)))</f>
        <v>1</v>
      </c>
      <c r="Q158" s="330">
        <f t="shared" si="155"/>
        <v>0</v>
      </c>
      <c r="R158" s="351" t="str">
        <f t="shared" si="3"/>
        <v>Gastos_Gerais</v>
      </c>
      <c r="S158" s="351" t="str">
        <f>IF(D158="","",IF(OR(D158=Plano!$A$1,D158=Plano!$B$1),"entrada","saída"))</f>
        <v>saída</v>
      </c>
      <c r="T158" s="334" t="s">
        <v>994</v>
      </c>
      <c r="U158" s="334">
        <v>643</v>
      </c>
      <c r="V158" s="344"/>
      <c r="W158" s="269"/>
    </row>
    <row r="159" spans="1:23" ht="69.75" customHeight="1" x14ac:dyDescent="0.2">
      <c r="A159" s="277">
        <f t="shared" si="0"/>
        <v>155</v>
      </c>
      <c r="B159" s="278">
        <v>44202</v>
      </c>
      <c r="C159" s="249">
        <v>44166</v>
      </c>
      <c r="D159" s="250" t="s">
        <v>99</v>
      </c>
      <c r="E159" s="250" t="s">
        <v>270</v>
      </c>
      <c r="F159" s="251">
        <v>110.87</v>
      </c>
      <c r="G159" s="255" t="s">
        <v>2666</v>
      </c>
      <c r="H159" s="250" t="s">
        <v>115</v>
      </c>
      <c r="I159" s="250" t="s">
        <v>2667</v>
      </c>
      <c r="J159" s="250" t="s">
        <v>2668</v>
      </c>
      <c r="K159" s="255" t="s">
        <v>991</v>
      </c>
      <c r="L159" s="250" t="s">
        <v>1177</v>
      </c>
      <c r="M159" s="255" t="s">
        <v>114</v>
      </c>
      <c r="N159" s="329">
        <v>44201</v>
      </c>
      <c r="O159" s="329" t="s">
        <v>67</v>
      </c>
      <c r="P159" s="386">
        <f t="shared" ref="P159:Q159" si="156">IF(B159=0,0,IF(YEAR(B159)=$Q$1,MONTH(B159)-$P$1+1,(YEAR(B159)-$Q$1)*12-$P$1+1+MONTH(B159)))</f>
        <v>1</v>
      </c>
      <c r="Q159" s="330">
        <f t="shared" si="156"/>
        <v>0</v>
      </c>
      <c r="R159" s="351" t="str">
        <f t="shared" si="3"/>
        <v>Gastos_Gerais</v>
      </c>
      <c r="S159" s="351" t="str">
        <f>IF(D159="","",IF(OR(D159=Plano!$A$1,D159=Plano!$B$1),"entrada","saída"))</f>
        <v>saída</v>
      </c>
      <c r="T159" s="334" t="s">
        <v>114</v>
      </c>
      <c r="U159" s="334" t="s">
        <v>114</v>
      </c>
      <c r="V159" s="344"/>
      <c r="W159" s="269"/>
    </row>
    <row r="160" spans="1:23" ht="69.75" customHeight="1" x14ac:dyDescent="0.2">
      <c r="A160" s="277">
        <f t="shared" si="0"/>
        <v>156</v>
      </c>
      <c r="B160" s="278">
        <v>44202</v>
      </c>
      <c r="C160" s="249">
        <v>44166</v>
      </c>
      <c r="D160" s="250" t="s">
        <v>99</v>
      </c>
      <c r="E160" s="250" t="s">
        <v>330</v>
      </c>
      <c r="F160" s="251">
        <v>15.09</v>
      </c>
      <c r="G160" s="255" t="s">
        <v>2669</v>
      </c>
      <c r="H160" s="250" t="s">
        <v>115</v>
      </c>
      <c r="I160" s="250" t="s">
        <v>2670</v>
      </c>
      <c r="J160" s="250" t="s">
        <v>556</v>
      </c>
      <c r="K160" s="255" t="s">
        <v>991</v>
      </c>
      <c r="L160" s="250" t="s">
        <v>114</v>
      </c>
      <c r="M160" s="255" t="s">
        <v>114</v>
      </c>
      <c r="N160" s="278">
        <v>44201</v>
      </c>
      <c r="O160" s="329" t="s">
        <v>67</v>
      </c>
      <c r="P160" s="386">
        <f t="shared" ref="P160:Q160" si="157">IF(B160=0,0,IF(YEAR(B160)=$Q$1,MONTH(B160)-$P$1+1,(YEAR(B160)-$Q$1)*12-$P$1+1+MONTH(B160)))</f>
        <v>1</v>
      </c>
      <c r="Q160" s="330">
        <f t="shared" si="157"/>
        <v>0</v>
      </c>
      <c r="R160" s="351" t="str">
        <f t="shared" si="3"/>
        <v>Gastos_Gerais</v>
      </c>
      <c r="S160" s="351" t="str">
        <f>IF(D160="","",IF(OR(D160=Plano!$A$1,D160=Plano!$B$1),"entrada","saída"))</f>
        <v>saída</v>
      </c>
      <c r="T160" s="334" t="s">
        <v>994</v>
      </c>
      <c r="U160" s="334">
        <v>1106</v>
      </c>
      <c r="V160" s="344"/>
      <c r="W160" s="269"/>
    </row>
    <row r="161" spans="1:23" ht="194.25" customHeight="1" x14ac:dyDescent="0.2">
      <c r="A161" s="277">
        <f t="shared" si="0"/>
        <v>157</v>
      </c>
      <c r="B161" s="278">
        <v>44202</v>
      </c>
      <c r="C161" s="249">
        <v>44136</v>
      </c>
      <c r="D161" s="250" t="s">
        <v>99</v>
      </c>
      <c r="E161" s="250" t="s">
        <v>330</v>
      </c>
      <c r="F161" s="251">
        <v>2000</v>
      </c>
      <c r="G161" s="255" t="s">
        <v>2671</v>
      </c>
      <c r="H161" s="250" t="s">
        <v>125</v>
      </c>
      <c r="I161" s="250" t="s">
        <v>1598</v>
      </c>
      <c r="J161" s="250" t="s">
        <v>2151</v>
      </c>
      <c r="K161" s="255" t="s">
        <v>991</v>
      </c>
      <c r="L161" s="250" t="s">
        <v>1016</v>
      </c>
      <c r="M161" s="255" t="s">
        <v>1305</v>
      </c>
      <c r="N161" s="278">
        <v>44201</v>
      </c>
      <c r="O161" s="329" t="s">
        <v>67</v>
      </c>
      <c r="P161" s="386">
        <f t="shared" ref="P161:Q161" si="158">IF(B161=0,0,IF(YEAR(B161)=$Q$1,MONTH(B161)-$P$1+1,(YEAR(B161)-$Q$1)*12-$P$1+1+MONTH(B161)))</f>
        <v>1</v>
      </c>
      <c r="Q161" s="330">
        <f t="shared" si="158"/>
        <v>-1</v>
      </c>
      <c r="R161" s="351" t="str">
        <f t="shared" si="3"/>
        <v>Gastos_Gerais</v>
      </c>
      <c r="S161" s="351" t="str">
        <f>IF(D161="","",IF(OR(D161=Plano!$A$1,D161=Plano!$B$1),"entrada","saída"))</f>
        <v>saída</v>
      </c>
      <c r="T161" s="334" t="s">
        <v>994</v>
      </c>
      <c r="U161" s="334">
        <v>1018</v>
      </c>
      <c r="V161" s="344"/>
      <c r="W161" s="269"/>
    </row>
    <row r="162" spans="1:23" ht="189" customHeight="1" x14ac:dyDescent="0.2">
      <c r="A162" s="277">
        <f t="shared" si="0"/>
        <v>158</v>
      </c>
      <c r="B162" s="278">
        <v>44202</v>
      </c>
      <c r="C162" s="249">
        <v>44166</v>
      </c>
      <c r="D162" s="250" t="s">
        <v>99</v>
      </c>
      <c r="E162" s="250" t="s">
        <v>336</v>
      </c>
      <c r="F162" s="251">
        <v>2300</v>
      </c>
      <c r="G162" s="255" t="s">
        <v>2486</v>
      </c>
      <c r="H162" s="250" t="s">
        <v>116</v>
      </c>
      <c r="I162" s="250" t="s">
        <v>2672</v>
      </c>
      <c r="J162" s="250" t="s">
        <v>2673</v>
      </c>
      <c r="K162" s="255" t="s">
        <v>991</v>
      </c>
      <c r="L162" s="250" t="s">
        <v>1016</v>
      </c>
      <c r="M162" s="255" t="s">
        <v>1305</v>
      </c>
      <c r="N162" s="278">
        <v>44201</v>
      </c>
      <c r="O162" s="329" t="s">
        <v>67</v>
      </c>
      <c r="P162" s="386">
        <f t="shared" ref="P162:Q162" si="159">IF(B162=0,0,IF(YEAR(B162)=$Q$1,MONTH(B162)-$P$1+1,(YEAR(B162)-$Q$1)*12-$P$1+1+MONTH(B162)))</f>
        <v>1</v>
      </c>
      <c r="Q162" s="330">
        <f t="shared" si="159"/>
        <v>0</v>
      </c>
      <c r="R162" s="351" t="str">
        <f t="shared" si="3"/>
        <v>Gastos_Gerais</v>
      </c>
      <c r="S162" s="351" t="str">
        <f>IF(D162="","",IF(OR(D162=Plano!$A$1,D162=Plano!$B$1),"entrada","saída"))</f>
        <v>saída</v>
      </c>
      <c r="T162" s="334" t="s">
        <v>994</v>
      </c>
      <c r="U162" s="334">
        <v>638</v>
      </c>
      <c r="V162" s="344"/>
      <c r="W162" s="269"/>
    </row>
    <row r="163" spans="1:23" ht="180.75" customHeight="1" x14ac:dyDescent="0.2">
      <c r="A163" s="277">
        <f t="shared" si="0"/>
        <v>159</v>
      </c>
      <c r="B163" s="278">
        <v>44202</v>
      </c>
      <c r="C163" s="249">
        <v>44166</v>
      </c>
      <c r="D163" s="250" t="s">
        <v>99</v>
      </c>
      <c r="E163" s="250" t="s">
        <v>236</v>
      </c>
      <c r="F163" s="251">
        <v>2897.55</v>
      </c>
      <c r="G163" s="255" t="s">
        <v>2674</v>
      </c>
      <c r="H163" s="250" t="s">
        <v>116</v>
      </c>
      <c r="I163" s="250" t="s">
        <v>2675</v>
      </c>
      <c r="J163" s="250" t="s">
        <v>2676</v>
      </c>
      <c r="K163" s="255" t="s">
        <v>991</v>
      </c>
      <c r="L163" s="250" t="s">
        <v>1029</v>
      </c>
      <c r="M163" s="255">
        <v>998</v>
      </c>
      <c r="N163" s="278">
        <v>44201</v>
      </c>
      <c r="O163" s="329" t="s">
        <v>67</v>
      </c>
      <c r="P163" s="386">
        <f t="shared" ref="P163:Q163" si="160">IF(B163=0,0,IF(YEAR(B163)=$Q$1,MONTH(B163)-$P$1+1,(YEAR(B163)-$Q$1)*12-$P$1+1+MONTH(B163)))</f>
        <v>1</v>
      </c>
      <c r="Q163" s="330">
        <f t="shared" si="160"/>
        <v>0</v>
      </c>
      <c r="R163" s="351" t="str">
        <f t="shared" si="3"/>
        <v>Gastos_Gerais</v>
      </c>
      <c r="S163" s="351" t="str">
        <f>IF(D163="","",IF(OR(D163=Plano!$A$1,D163=Plano!$B$1),"entrada","saída"))</f>
        <v>saída</v>
      </c>
      <c r="T163" s="334" t="s">
        <v>994</v>
      </c>
      <c r="U163" s="334">
        <v>665</v>
      </c>
      <c r="V163" s="344"/>
      <c r="W163" s="269"/>
    </row>
    <row r="164" spans="1:23" ht="225" customHeight="1" x14ac:dyDescent="0.2">
      <c r="A164" s="277">
        <f t="shared" si="0"/>
        <v>160</v>
      </c>
      <c r="B164" s="278">
        <v>44202</v>
      </c>
      <c r="C164" s="249">
        <v>44136</v>
      </c>
      <c r="D164" s="250" t="s">
        <v>99</v>
      </c>
      <c r="E164" s="250" t="s">
        <v>312</v>
      </c>
      <c r="F164" s="251">
        <v>196</v>
      </c>
      <c r="G164" s="255" t="s">
        <v>2677</v>
      </c>
      <c r="H164" s="250" t="s">
        <v>125</v>
      </c>
      <c r="I164" s="250" t="s">
        <v>2678</v>
      </c>
      <c r="J164" s="250" t="s">
        <v>2679</v>
      </c>
      <c r="K164" s="255" t="s">
        <v>991</v>
      </c>
      <c r="L164" s="250" t="s">
        <v>1016</v>
      </c>
      <c r="M164" s="255" t="s">
        <v>1305</v>
      </c>
      <c r="N164" s="278">
        <v>44201</v>
      </c>
      <c r="O164" s="329" t="s">
        <v>67</v>
      </c>
      <c r="P164" s="386">
        <f t="shared" ref="P164:Q164" si="161">IF(B164=0,0,IF(YEAR(B164)=$Q$1,MONTH(B164)-$P$1+1,(YEAR(B164)-$Q$1)*12-$P$1+1+MONTH(B164)))</f>
        <v>1</v>
      </c>
      <c r="Q164" s="330">
        <f t="shared" si="161"/>
        <v>-1</v>
      </c>
      <c r="R164" s="351" t="str">
        <f t="shared" si="3"/>
        <v>Gastos_Gerais</v>
      </c>
      <c r="S164" s="351" t="str">
        <f>IF(D164="","",IF(OR(D164=Plano!$A$1,D164=Plano!$B$1),"entrada","saída"))</f>
        <v>saída</v>
      </c>
      <c r="T164" s="334" t="s">
        <v>994</v>
      </c>
      <c r="U164" s="334">
        <v>981</v>
      </c>
      <c r="V164" s="344"/>
      <c r="W164" s="269"/>
    </row>
    <row r="165" spans="1:23" ht="225.75" customHeight="1" x14ac:dyDescent="0.2">
      <c r="A165" s="277">
        <f t="shared" si="0"/>
        <v>161</v>
      </c>
      <c r="B165" s="278">
        <v>44202</v>
      </c>
      <c r="C165" s="249">
        <v>44166</v>
      </c>
      <c r="D165" s="250" t="s">
        <v>99</v>
      </c>
      <c r="E165" s="250" t="s">
        <v>236</v>
      </c>
      <c r="F165" s="251">
        <v>1290</v>
      </c>
      <c r="G165" s="255" t="s">
        <v>2680</v>
      </c>
      <c r="H165" s="250" t="s">
        <v>122</v>
      </c>
      <c r="I165" s="250" t="s">
        <v>2681</v>
      </c>
      <c r="J165" s="250" t="s">
        <v>2682</v>
      </c>
      <c r="K165" s="255" t="s">
        <v>991</v>
      </c>
      <c r="L165" s="250" t="s">
        <v>1029</v>
      </c>
      <c r="M165" s="255">
        <v>1008</v>
      </c>
      <c r="N165" s="278">
        <v>44201</v>
      </c>
      <c r="O165" s="329" t="s">
        <v>67</v>
      </c>
      <c r="P165" s="386">
        <f t="shared" ref="P165:Q165" si="162">IF(B165=0,0,IF(YEAR(B165)=$Q$1,MONTH(B165)-$P$1+1,(YEAR(B165)-$Q$1)*12-$P$1+1+MONTH(B165)))</f>
        <v>1</v>
      </c>
      <c r="Q165" s="330">
        <f t="shared" si="162"/>
        <v>0</v>
      </c>
      <c r="R165" s="351" t="str">
        <f t="shared" si="3"/>
        <v>Gastos_Gerais</v>
      </c>
      <c r="S165" s="351" t="str">
        <f>IF(D165="","",IF(OR(D165=Plano!$A$1,D165=Plano!$B$1),"entrada","saída"))</f>
        <v>saída</v>
      </c>
      <c r="T165" s="334" t="s">
        <v>994</v>
      </c>
      <c r="U165" s="334">
        <v>271</v>
      </c>
      <c r="V165" s="344"/>
      <c r="W165" s="269"/>
    </row>
    <row r="166" spans="1:23" ht="192.75" customHeight="1" x14ac:dyDescent="0.2">
      <c r="A166" s="277">
        <f t="shared" si="0"/>
        <v>162</v>
      </c>
      <c r="B166" s="278">
        <v>44202</v>
      </c>
      <c r="C166" s="249">
        <v>44166</v>
      </c>
      <c r="D166" s="250" t="s">
        <v>99</v>
      </c>
      <c r="E166" s="250" t="s">
        <v>336</v>
      </c>
      <c r="F166" s="251">
        <v>2300</v>
      </c>
      <c r="G166" s="255" t="s">
        <v>2492</v>
      </c>
      <c r="H166" s="250" t="s">
        <v>117</v>
      </c>
      <c r="I166" s="250" t="s">
        <v>2683</v>
      </c>
      <c r="J166" s="250" t="s">
        <v>1634</v>
      </c>
      <c r="K166" s="255" t="s">
        <v>991</v>
      </c>
      <c r="L166" s="250" t="s">
        <v>1016</v>
      </c>
      <c r="M166" s="255" t="s">
        <v>1305</v>
      </c>
      <c r="N166" s="278">
        <v>44201</v>
      </c>
      <c r="O166" s="329" t="s">
        <v>67</v>
      </c>
      <c r="P166" s="386">
        <f t="shared" ref="P166:Q166" si="163">IF(B166=0,0,IF(YEAR(B166)=$Q$1,MONTH(B166)-$P$1+1,(YEAR(B166)-$Q$1)*12-$P$1+1+MONTH(B166)))</f>
        <v>1</v>
      </c>
      <c r="Q166" s="330">
        <f t="shared" si="163"/>
        <v>0</v>
      </c>
      <c r="R166" s="351" t="str">
        <f t="shared" si="3"/>
        <v>Gastos_Gerais</v>
      </c>
      <c r="S166" s="351" t="str">
        <f>IF(D166="","",IF(OR(D166=Plano!$A$1,D166=Plano!$B$1),"entrada","saída"))</f>
        <v>saída</v>
      </c>
      <c r="T166" s="334" t="s">
        <v>994</v>
      </c>
      <c r="U166" s="334">
        <v>589</v>
      </c>
      <c r="V166" s="344"/>
      <c r="W166" s="269"/>
    </row>
    <row r="167" spans="1:23" ht="69.75" customHeight="1" x14ac:dyDescent="0.2">
      <c r="A167" s="277">
        <f t="shared" si="0"/>
        <v>163</v>
      </c>
      <c r="B167" s="278">
        <v>44202</v>
      </c>
      <c r="C167" s="249">
        <v>44197</v>
      </c>
      <c r="D167" s="255" t="s">
        <v>99</v>
      </c>
      <c r="E167" s="255" t="s">
        <v>272</v>
      </c>
      <c r="F167" s="258">
        <v>10.45</v>
      </c>
      <c r="G167" s="255" t="s">
        <v>2684</v>
      </c>
      <c r="H167" s="255" t="s">
        <v>115</v>
      </c>
      <c r="I167" s="250" t="s">
        <v>949</v>
      </c>
      <c r="J167" s="255" t="s">
        <v>950</v>
      </c>
      <c r="K167" s="255" t="s">
        <v>951</v>
      </c>
      <c r="L167" s="250" t="s">
        <v>947</v>
      </c>
      <c r="M167" s="279" t="s">
        <v>114</v>
      </c>
      <c r="N167" s="278">
        <v>44202</v>
      </c>
      <c r="O167" s="329" t="s">
        <v>67</v>
      </c>
      <c r="P167" s="386">
        <f t="shared" ref="P167:Q167" si="164">IF(B167=0,0,IF(YEAR(B167)=$Q$1,MONTH(B167)-$P$1+1,(YEAR(B167)-$Q$1)*12-$P$1+1+MONTH(B167)))</f>
        <v>1</v>
      </c>
      <c r="Q167" s="330">
        <f t="shared" si="164"/>
        <v>1</v>
      </c>
      <c r="R167" s="351" t="str">
        <f t="shared" si="3"/>
        <v>Gastos_Gerais</v>
      </c>
      <c r="S167" s="351" t="str">
        <f>IF(D167="","",IF(OR(D167=Plano!$A$1,D167=Plano!$B$1),"entrada","saída"))</f>
        <v>saída</v>
      </c>
      <c r="T167" s="334" t="s">
        <v>114</v>
      </c>
      <c r="U167" s="334" t="s">
        <v>114</v>
      </c>
      <c r="V167" s="344"/>
      <c r="W167" s="269"/>
    </row>
    <row r="168" spans="1:23" ht="69.75" customHeight="1" x14ac:dyDescent="0.2">
      <c r="A168" s="277">
        <f t="shared" si="0"/>
        <v>164</v>
      </c>
      <c r="B168" s="278">
        <v>44202</v>
      </c>
      <c r="C168" s="249">
        <v>44197</v>
      </c>
      <c r="D168" s="255" t="s">
        <v>99</v>
      </c>
      <c r="E168" s="255" t="s">
        <v>272</v>
      </c>
      <c r="F168" s="258">
        <v>10.45</v>
      </c>
      <c r="G168" s="255" t="s">
        <v>2685</v>
      </c>
      <c r="H168" s="255" t="s">
        <v>117</v>
      </c>
      <c r="I168" s="250" t="s">
        <v>949</v>
      </c>
      <c r="J168" s="255" t="s">
        <v>950</v>
      </c>
      <c r="K168" s="255" t="s">
        <v>951</v>
      </c>
      <c r="L168" s="250" t="s">
        <v>947</v>
      </c>
      <c r="M168" s="279" t="s">
        <v>114</v>
      </c>
      <c r="N168" s="278">
        <v>44202</v>
      </c>
      <c r="O168" s="329" t="s">
        <v>67</v>
      </c>
      <c r="P168" s="386">
        <f t="shared" ref="P168:Q168" si="165">IF(B168=0,0,IF(YEAR(B168)=$Q$1,MONTH(B168)-$P$1+1,(YEAR(B168)-$Q$1)*12-$P$1+1+MONTH(B168)))</f>
        <v>1</v>
      </c>
      <c r="Q168" s="330">
        <f t="shared" si="165"/>
        <v>1</v>
      </c>
      <c r="R168" s="351" t="str">
        <f t="shared" si="3"/>
        <v>Gastos_Gerais</v>
      </c>
      <c r="S168" s="351" t="str">
        <f>IF(D168="","",IF(OR(D168=Plano!$A$1,D168=Plano!$B$1),"entrada","saída"))</f>
        <v>saída</v>
      </c>
      <c r="T168" s="334" t="s">
        <v>114</v>
      </c>
      <c r="U168" s="334" t="s">
        <v>114</v>
      </c>
      <c r="V168" s="344"/>
      <c r="W168" s="269"/>
    </row>
    <row r="169" spans="1:23" ht="69.75" customHeight="1" x14ac:dyDescent="0.2">
      <c r="A169" s="277">
        <f t="shared" si="0"/>
        <v>165</v>
      </c>
      <c r="B169" s="278">
        <v>44202</v>
      </c>
      <c r="C169" s="249">
        <v>44197</v>
      </c>
      <c r="D169" s="255" t="s">
        <v>99</v>
      </c>
      <c r="E169" s="255" t="s">
        <v>272</v>
      </c>
      <c r="F169" s="258">
        <v>10.45</v>
      </c>
      <c r="G169" s="255" t="s">
        <v>2686</v>
      </c>
      <c r="H169" s="255" t="s">
        <v>116</v>
      </c>
      <c r="I169" s="250" t="s">
        <v>949</v>
      </c>
      <c r="J169" s="255" t="s">
        <v>950</v>
      </c>
      <c r="K169" s="255" t="s">
        <v>951</v>
      </c>
      <c r="L169" s="250" t="s">
        <v>947</v>
      </c>
      <c r="M169" s="279" t="s">
        <v>114</v>
      </c>
      <c r="N169" s="278">
        <v>44202</v>
      </c>
      <c r="O169" s="329" t="s">
        <v>67</v>
      </c>
      <c r="P169" s="386">
        <f t="shared" ref="P169:Q169" si="166">IF(B169=0,0,IF(YEAR(B169)=$Q$1,MONTH(B169)-$P$1+1,(YEAR(B169)-$Q$1)*12-$P$1+1+MONTH(B169)))</f>
        <v>1</v>
      </c>
      <c r="Q169" s="330">
        <f t="shared" si="166"/>
        <v>1</v>
      </c>
      <c r="R169" s="351" t="str">
        <f t="shared" si="3"/>
        <v>Gastos_Gerais</v>
      </c>
      <c r="S169" s="351" t="str">
        <f>IF(D169="","",IF(OR(D169=Plano!$A$1,D169=Plano!$B$1),"entrada","saída"))</f>
        <v>saída</v>
      </c>
      <c r="T169" s="334" t="s">
        <v>114</v>
      </c>
      <c r="U169" s="334" t="s">
        <v>114</v>
      </c>
      <c r="V169" s="344"/>
      <c r="W169" s="269"/>
    </row>
    <row r="170" spans="1:23" ht="69.75" customHeight="1" x14ac:dyDescent="0.2">
      <c r="A170" s="277">
        <f t="shared" si="0"/>
        <v>166</v>
      </c>
      <c r="B170" s="278">
        <v>44202</v>
      </c>
      <c r="C170" s="249">
        <v>44197</v>
      </c>
      <c r="D170" s="255" t="s">
        <v>99</v>
      </c>
      <c r="E170" s="255" t="s">
        <v>272</v>
      </c>
      <c r="F170" s="258">
        <v>10.45</v>
      </c>
      <c r="G170" s="255" t="s">
        <v>2687</v>
      </c>
      <c r="H170" s="255" t="s">
        <v>116</v>
      </c>
      <c r="I170" s="250" t="s">
        <v>949</v>
      </c>
      <c r="J170" s="255" t="s">
        <v>950</v>
      </c>
      <c r="K170" s="255" t="s">
        <v>951</v>
      </c>
      <c r="L170" s="250" t="s">
        <v>947</v>
      </c>
      <c r="M170" s="279" t="s">
        <v>114</v>
      </c>
      <c r="N170" s="278">
        <v>44202</v>
      </c>
      <c r="O170" s="329" t="s">
        <v>67</v>
      </c>
      <c r="P170" s="386">
        <f t="shared" ref="P170:Q170" si="167">IF(B170=0,0,IF(YEAR(B170)=$Q$1,MONTH(B170)-$P$1+1,(YEAR(B170)-$Q$1)*12-$P$1+1+MONTH(B170)))</f>
        <v>1</v>
      </c>
      <c r="Q170" s="330">
        <f t="shared" si="167"/>
        <v>1</v>
      </c>
      <c r="R170" s="351" t="str">
        <f t="shared" si="3"/>
        <v>Gastos_Gerais</v>
      </c>
      <c r="S170" s="351" t="str">
        <f>IF(D170="","",IF(OR(D170=Plano!$A$1,D170=Plano!$B$1),"entrada","saída"))</f>
        <v>saída</v>
      </c>
      <c r="T170" s="334" t="s">
        <v>114</v>
      </c>
      <c r="U170" s="334" t="s">
        <v>114</v>
      </c>
      <c r="V170" s="344"/>
      <c r="W170" s="269"/>
    </row>
    <row r="171" spans="1:23" ht="69.75" customHeight="1" x14ac:dyDescent="0.2">
      <c r="A171" s="277">
        <f t="shared" si="0"/>
        <v>167</v>
      </c>
      <c r="B171" s="278">
        <v>44202</v>
      </c>
      <c r="C171" s="249">
        <v>44197</v>
      </c>
      <c r="D171" s="255" t="s">
        <v>99</v>
      </c>
      <c r="E171" s="255" t="s">
        <v>272</v>
      </c>
      <c r="F171" s="258">
        <v>10.45</v>
      </c>
      <c r="G171" s="255" t="s">
        <v>2688</v>
      </c>
      <c r="H171" s="255" t="s">
        <v>117</v>
      </c>
      <c r="I171" s="250" t="s">
        <v>949</v>
      </c>
      <c r="J171" s="255" t="s">
        <v>950</v>
      </c>
      <c r="K171" s="255" t="s">
        <v>951</v>
      </c>
      <c r="L171" s="250" t="s">
        <v>947</v>
      </c>
      <c r="M171" s="279" t="s">
        <v>114</v>
      </c>
      <c r="N171" s="278">
        <v>44202</v>
      </c>
      <c r="O171" s="329" t="s">
        <v>67</v>
      </c>
      <c r="P171" s="386">
        <f t="shared" ref="P171:Q171" si="168">IF(B171=0,0,IF(YEAR(B171)=$Q$1,MONTH(B171)-$P$1+1,(YEAR(B171)-$Q$1)*12-$P$1+1+MONTH(B171)))</f>
        <v>1</v>
      </c>
      <c r="Q171" s="330">
        <f t="shared" si="168"/>
        <v>1</v>
      </c>
      <c r="R171" s="351" t="str">
        <f t="shared" si="3"/>
        <v>Gastos_Gerais</v>
      </c>
      <c r="S171" s="351" t="str">
        <f>IF(D171="","",IF(OR(D171=Plano!$A$1,D171=Plano!$B$1),"entrada","saída"))</f>
        <v>saída</v>
      </c>
      <c r="T171" s="334" t="s">
        <v>114</v>
      </c>
      <c r="U171" s="334" t="s">
        <v>114</v>
      </c>
      <c r="V171" s="344"/>
      <c r="W171" s="269"/>
    </row>
    <row r="172" spans="1:23" ht="69.75" customHeight="1" x14ac:dyDescent="0.2">
      <c r="A172" s="277">
        <f t="shared" si="0"/>
        <v>168</v>
      </c>
      <c r="B172" s="278">
        <v>44202</v>
      </c>
      <c r="C172" s="249">
        <v>44197</v>
      </c>
      <c r="D172" s="255" t="s">
        <v>99</v>
      </c>
      <c r="E172" s="255" t="s">
        <v>272</v>
      </c>
      <c r="F172" s="258">
        <v>10.45</v>
      </c>
      <c r="G172" s="255" t="s">
        <v>2689</v>
      </c>
      <c r="H172" s="255" t="s">
        <v>129</v>
      </c>
      <c r="I172" s="250" t="s">
        <v>949</v>
      </c>
      <c r="J172" s="255" t="s">
        <v>950</v>
      </c>
      <c r="K172" s="255" t="s">
        <v>951</v>
      </c>
      <c r="L172" s="250" t="s">
        <v>947</v>
      </c>
      <c r="M172" s="279" t="s">
        <v>114</v>
      </c>
      <c r="N172" s="278">
        <v>44202</v>
      </c>
      <c r="O172" s="329" t="s">
        <v>67</v>
      </c>
      <c r="P172" s="386">
        <f t="shared" ref="P172:Q172" si="169">IF(B172=0,0,IF(YEAR(B172)=$Q$1,MONTH(B172)-$P$1+1,(YEAR(B172)-$Q$1)*12-$P$1+1+MONTH(B172)))</f>
        <v>1</v>
      </c>
      <c r="Q172" s="330">
        <f t="shared" si="169"/>
        <v>1</v>
      </c>
      <c r="R172" s="351" t="str">
        <f t="shared" si="3"/>
        <v>Gastos_Gerais</v>
      </c>
      <c r="S172" s="351" t="str">
        <f>IF(D172="","",IF(OR(D172=Plano!$A$1,D172=Plano!$B$1),"entrada","saída"))</f>
        <v>saída</v>
      </c>
      <c r="T172" s="334" t="s">
        <v>114</v>
      </c>
      <c r="U172" s="334" t="s">
        <v>114</v>
      </c>
      <c r="V172" s="344"/>
      <c r="W172" s="269"/>
    </row>
    <row r="173" spans="1:23" ht="69.75" customHeight="1" x14ac:dyDescent="0.2">
      <c r="A173" s="277">
        <f t="shared" si="0"/>
        <v>169</v>
      </c>
      <c r="B173" s="278">
        <v>44202</v>
      </c>
      <c r="C173" s="249">
        <v>44197</v>
      </c>
      <c r="D173" s="255" t="s">
        <v>99</v>
      </c>
      <c r="E173" s="255" t="s">
        <v>272</v>
      </c>
      <c r="F173" s="258">
        <v>10.45</v>
      </c>
      <c r="G173" s="255" t="s">
        <v>2690</v>
      </c>
      <c r="H173" s="250" t="s">
        <v>125</v>
      </c>
      <c r="I173" s="250" t="s">
        <v>949</v>
      </c>
      <c r="J173" s="255" t="s">
        <v>950</v>
      </c>
      <c r="K173" s="255" t="s">
        <v>951</v>
      </c>
      <c r="L173" s="250" t="s">
        <v>947</v>
      </c>
      <c r="M173" s="279" t="s">
        <v>114</v>
      </c>
      <c r="N173" s="278">
        <v>44202</v>
      </c>
      <c r="O173" s="329" t="s">
        <v>67</v>
      </c>
      <c r="P173" s="386">
        <f t="shared" ref="P173:Q173" si="170">IF(B173=0,0,IF(YEAR(B173)=$Q$1,MONTH(B173)-$P$1+1,(YEAR(B173)-$Q$1)*12-$P$1+1+MONTH(B173)))</f>
        <v>1</v>
      </c>
      <c r="Q173" s="330">
        <f t="shared" si="170"/>
        <v>1</v>
      </c>
      <c r="R173" s="351" t="str">
        <f t="shared" si="3"/>
        <v>Gastos_Gerais</v>
      </c>
      <c r="S173" s="351" t="str">
        <f>IF(D173="","",IF(OR(D173=Plano!$A$1,D173=Plano!$B$1),"entrada","saída"))</f>
        <v>saída</v>
      </c>
      <c r="T173" s="334" t="s">
        <v>114</v>
      </c>
      <c r="U173" s="334" t="s">
        <v>114</v>
      </c>
      <c r="V173" s="344"/>
      <c r="W173" s="269"/>
    </row>
    <row r="174" spans="1:23" ht="69.75" customHeight="1" x14ac:dyDescent="0.2">
      <c r="A174" s="277">
        <f t="shared" si="0"/>
        <v>170</v>
      </c>
      <c r="B174" s="278">
        <v>44202</v>
      </c>
      <c r="C174" s="249">
        <v>44197</v>
      </c>
      <c r="D174" s="255" t="s">
        <v>99</v>
      </c>
      <c r="E174" s="255" t="s">
        <v>272</v>
      </c>
      <c r="F174" s="258">
        <v>10.45</v>
      </c>
      <c r="G174" s="255" t="s">
        <v>2691</v>
      </c>
      <c r="H174" s="255" t="s">
        <v>122</v>
      </c>
      <c r="I174" s="250" t="s">
        <v>949</v>
      </c>
      <c r="J174" s="255" t="s">
        <v>950</v>
      </c>
      <c r="K174" s="255" t="s">
        <v>951</v>
      </c>
      <c r="L174" s="250" t="s">
        <v>947</v>
      </c>
      <c r="M174" s="279" t="s">
        <v>114</v>
      </c>
      <c r="N174" s="278">
        <v>44202</v>
      </c>
      <c r="O174" s="329" t="s">
        <v>67</v>
      </c>
      <c r="P174" s="386">
        <f t="shared" ref="P174:Q174" si="171">IF(B174=0,0,IF(YEAR(B174)=$Q$1,MONTH(B174)-$P$1+1,(YEAR(B174)-$Q$1)*12-$P$1+1+MONTH(B174)))</f>
        <v>1</v>
      </c>
      <c r="Q174" s="330">
        <f t="shared" si="171"/>
        <v>1</v>
      </c>
      <c r="R174" s="351" t="str">
        <f t="shared" si="3"/>
        <v>Gastos_Gerais</v>
      </c>
      <c r="S174" s="351" t="str">
        <f>IF(D174="","",IF(OR(D174=Plano!$A$1,D174=Plano!$B$1),"entrada","saída"))</f>
        <v>saída</v>
      </c>
      <c r="T174" s="334" t="s">
        <v>114</v>
      </c>
      <c r="U174" s="334" t="s">
        <v>114</v>
      </c>
      <c r="V174" s="344"/>
      <c r="W174" s="269"/>
    </row>
    <row r="175" spans="1:23" ht="69.75" customHeight="1" x14ac:dyDescent="0.2">
      <c r="A175" s="277">
        <f t="shared" si="0"/>
        <v>171</v>
      </c>
      <c r="B175" s="278">
        <v>44202</v>
      </c>
      <c r="C175" s="249">
        <v>44197</v>
      </c>
      <c r="D175" s="255" t="s">
        <v>99</v>
      </c>
      <c r="E175" s="255" t="s">
        <v>272</v>
      </c>
      <c r="F175" s="258">
        <v>10.45</v>
      </c>
      <c r="G175" s="255" t="s">
        <v>2692</v>
      </c>
      <c r="H175" s="255" t="s">
        <v>132</v>
      </c>
      <c r="I175" s="250" t="s">
        <v>949</v>
      </c>
      <c r="J175" s="255" t="s">
        <v>950</v>
      </c>
      <c r="K175" s="255" t="s">
        <v>951</v>
      </c>
      <c r="L175" s="250" t="s">
        <v>947</v>
      </c>
      <c r="M175" s="279" t="s">
        <v>114</v>
      </c>
      <c r="N175" s="278">
        <v>44202</v>
      </c>
      <c r="O175" s="329" t="s">
        <v>67</v>
      </c>
      <c r="P175" s="386">
        <f t="shared" ref="P175:Q175" si="172">IF(B175=0,0,IF(YEAR(B175)=$Q$1,MONTH(B175)-$P$1+1,(YEAR(B175)-$Q$1)*12-$P$1+1+MONTH(B175)))</f>
        <v>1</v>
      </c>
      <c r="Q175" s="330">
        <f t="shared" si="172"/>
        <v>1</v>
      </c>
      <c r="R175" s="351" t="str">
        <f t="shared" si="3"/>
        <v>Gastos_Gerais</v>
      </c>
      <c r="S175" s="351" t="str">
        <f>IF(D175="","",IF(OR(D175=Plano!$A$1,D175=Plano!$B$1),"entrada","saída"))</f>
        <v>saída</v>
      </c>
      <c r="T175" s="334" t="s">
        <v>114</v>
      </c>
      <c r="U175" s="334" t="s">
        <v>114</v>
      </c>
      <c r="V175" s="344"/>
      <c r="W175" s="269"/>
    </row>
    <row r="176" spans="1:23" ht="69.75" customHeight="1" x14ac:dyDescent="0.2">
      <c r="A176" s="277">
        <f t="shared" si="0"/>
        <v>172</v>
      </c>
      <c r="B176" s="278">
        <v>44202</v>
      </c>
      <c r="C176" s="249">
        <v>44197</v>
      </c>
      <c r="D176" s="255" t="s">
        <v>99</v>
      </c>
      <c r="E176" s="255" t="s">
        <v>272</v>
      </c>
      <c r="F176" s="258">
        <v>10.45</v>
      </c>
      <c r="G176" s="255" t="s">
        <v>2693</v>
      </c>
      <c r="H176" s="255" t="s">
        <v>116</v>
      </c>
      <c r="I176" s="250" t="s">
        <v>949</v>
      </c>
      <c r="J176" s="255" t="s">
        <v>950</v>
      </c>
      <c r="K176" s="255" t="s">
        <v>951</v>
      </c>
      <c r="L176" s="250" t="s">
        <v>947</v>
      </c>
      <c r="M176" s="279" t="s">
        <v>114</v>
      </c>
      <c r="N176" s="278">
        <v>44202</v>
      </c>
      <c r="O176" s="329" t="s">
        <v>67</v>
      </c>
      <c r="P176" s="386">
        <f t="shared" ref="P176:Q176" si="173">IF(B176=0,0,IF(YEAR(B176)=$Q$1,MONTH(B176)-$P$1+1,(YEAR(B176)-$Q$1)*12-$P$1+1+MONTH(B176)))</f>
        <v>1</v>
      </c>
      <c r="Q176" s="330">
        <f t="shared" si="173"/>
        <v>1</v>
      </c>
      <c r="R176" s="351" t="str">
        <f t="shared" si="3"/>
        <v>Gastos_Gerais</v>
      </c>
      <c r="S176" s="351" t="str">
        <f>IF(D176="","",IF(OR(D176=Plano!$A$1,D176=Plano!$B$1),"entrada","saída"))</f>
        <v>saída</v>
      </c>
      <c r="T176" s="334" t="s">
        <v>114</v>
      </c>
      <c r="U176" s="334" t="s">
        <v>114</v>
      </c>
      <c r="V176" s="344"/>
      <c r="W176" s="269"/>
    </row>
    <row r="177" spans="1:23" ht="69.75" customHeight="1" x14ac:dyDescent="0.2">
      <c r="A177" s="277">
        <f t="shared" si="0"/>
        <v>173</v>
      </c>
      <c r="B177" s="278">
        <v>44202</v>
      </c>
      <c r="C177" s="249">
        <v>44197</v>
      </c>
      <c r="D177" s="255" t="s">
        <v>99</v>
      </c>
      <c r="E177" s="255" t="s">
        <v>272</v>
      </c>
      <c r="F177" s="258">
        <v>10.45</v>
      </c>
      <c r="G177" s="255" t="s">
        <v>2694</v>
      </c>
      <c r="H177" s="255" t="s">
        <v>116</v>
      </c>
      <c r="I177" s="250" t="s">
        <v>949</v>
      </c>
      <c r="J177" s="255" t="s">
        <v>950</v>
      </c>
      <c r="K177" s="255" t="s">
        <v>951</v>
      </c>
      <c r="L177" s="250" t="s">
        <v>947</v>
      </c>
      <c r="M177" s="279" t="s">
        <v>114</v>
      </c>
      <c r="N177" s="278">
        <v>44202</v>
      </c>
      <c r="O177" s="329" t="s">
        <v>67</v>
      </c>
      <c r="P177" s="386">
        <f t="shared" ref="P177:Q177" si="174">IF(B177=0,0,IF(YEAR(B177)=$Q$1,MONTH(B177)-$P$1+1,(YEAR(B177)-$Q$1)*12-$P$1+1+MONTH(B177)))</f>
        <v>1</v>
      </c>
      <c r="Q177" s="330">
        <f t="shared" si="174"/>
        <v>1</v>
      </c>
      <c r="R177" s="351" t="str">
        <f t="shared" si="3"/>
        <v>Gastos_Gerais</v>
      </c>
      <c r="S177" s="351" t="str">
        <f>IF(D177="","",IF(OR(D177=Plano!$A$1,D177=Plano!$B$1),"entrada","saída"))</f>
        <v>saída</v>
      </c>
      <c r="T177" s="334" t="s">
        <v>114</v>
      </c>
      <c r="U177" s="334" t="s">
        <v>114</v>
      </c>
      <c r="V177" s="344"/>
      <c r="W177" s="269"/>
    </row>
    <row r="178" spans="1:23" ht="69.75" customHeight="1" x14ac:dyDescent="0.2">
      <c r="A178" s="277">
        <f t="shared" si="0"/>
        <v>174</v>
      </c>
      <c r="B178" s="278">
        <v>44202</v>
      </c>
      <c r="C178" s="249">
        <v>44197</v>
      </c>
      <c r="D178" s="255" t="s">
        <v>99</v>
      </c>
      <c r="E178" s="255" t="s">
        <v>272</v>
      </c>
      <c r="F178" s="258">
        <v>10.45</v>
      </c>
      <c r="G178" s="255" t="s">
        <v>2686</v>
      </c>
      <c r="H178" s="255" t="s">
        <v>116</v>
      </c>
      <c r="I178" s="250" t="s">
        <v>949</v>
      </c>
      <c r="J178" s="255" t="s">
        <v>950</v>
      </c>
      <c r="K178" s="255" t="s">
        <v>951</v>
      </c>
      <c r="L178" s="250" t="s">
        <v>947</v>
      </c>
      <c r="M178" s="279" t="s">
        <v>114</v>
      </c>
      <c r="N178" s="278">
        <v>44202</v>
      </c>
      <c r="O178" s="329" t="s">
        <v>67</v>
      </c>
      <c r="P178" s="386">
        <f t="shared" ref="P178:Q178" si="175">IF(B178=0,0,IF(YEAR(B178)=$Q$1,MONTH(B178)-$P$1+1,(YEAR(B178)-$Q$1)*12-$P$1+1+MONTH(B178)))</f>
        <v>1</v>
      </c>
      <c r="Q178" s="330">
        <f t="shared" si="175"/>
        <v>1</v>
      </c>
      <c r="R178" s="351" t="str">
        <f t="shared" si="3"/>
        <v>Gastos_Gerais</v>
      </c>
      <c r="S178" s="351" t="str">
        <f>IF(D178="","",IF(OR(D178=Plano!$A$1,D178=Plano!$B$1),"entrada","saída"))</f>
        <v>saída</v>
      </c>
      <c r="T178" s="334" t="s">
        <v>114</v>
      </c>
      <c r="U178" s="334" t="s">
        <v>114</v>
      </c>
      <c r="V178" s="344"/>
      <c r="W178" s="269"/>
    </row>
    <row r="179" spans="1:23" ht="69.75" customHeight="1" x14ac:dyDescent="0.2">
      <c r="A179" s="277">
        <f t="shared" si="0"/>
        <v>175</v>
      </c>
      <c r="B179" s="278">
        <v>44202</v>
      </c>
      <c r="C179" s="249">
        <v>44197</v>
      </c>
      <c r="D179" s="255" t="s">
        <v>99</v>
      </c>
      <c r="E179" s="255" t="s">
        <v>272</v>
      </c>
      <c r="F179" s="258">
        <v>10.45</v>
      </c>
      <c r="G179" s="255" t="s">
        <v>2695</v>
      </c>
      <c r="H179" s="255" t="s">
        <v>122</v>
      </c>
      <c r="I179" s="250" t="s">
        <v>949</v>
      </c>
      <c r="J179" s="255" t="s">
        <v>950</v>
      </c>
      <c r="K179" s="255" t="s">
        <v>951</v>
      </c>
      <c r="L179" s="250" t="s">
        <v>947</v>
      </c>
      <c r="M179" s="279" t="s">
        <v>114</v>
      </c>
      <c r="N179" s="278">
        <v>44202</v>
      </c>
      <c r="O179" s="329" t="s">
        <v>67</v>
      </c>
      <c r="P179" s="386">
        <f t="shared" ref="P179:Q179" si="176">IF(B179=0,0,IF(YEAR(B179)=$Q$1,MONTH(B179)-$P$1+1,(YEAR(B179)-$Q$1)*12-$P$1+1+MONTH(B179)))</f>
        <v>1</v>
      </c>
      <c r="Q179" s="330">
        <f t="shared" si="176"/>
        <v>1</v>
      </c>
      <c r="R179" s="351" t="str">
        <f t="shared" si="3"/>
        <v>Gastos_Gerais</v>
      </c>
      <c r="S179" s="351" t="str">
        <f>IF(D179="","",IF(OR(D179=Plano!$A$1,D179=Plano!$B$1),"entrada","saída"))</f>
        <v>saída</v>
      </c>
      <c r="T179" s="334" t="s">
        <v>114</v>
      </c>
      <c r="U179" s="334" t="s">
        <v>114</v>
      </c>
      <c r="V179" s="344"/>
      <c r="W179" s="269"/>
    </row>
    <row r="180" spans="1:23" ht="69.75" customHeight="1" x14ac:dyDescent="0.2">
      <c r="A180" s="277">
        <f t="shared" si="0"/>
        <v>176</v>
      </c>
      <c r="B180" s="278">
        <v>44202</v>
      </c>
      <c r="C180" s="249">
        <v>44197</v>
      </c>
      <c r="D180" s="255" t="s">
        <v>99</v>
      </c>
      <c r="E180" s="255" t="s">
        <v>272</v>
      </c>
      <c r="F180" s="258">
        <v>10.45</v>
      </c>
      <c r="G180" s="255" t="s">
        <v>2696</v>
      </c>
      <c r="H180" s="255" t="s">
        <v>116</v>
      </c>
      <c r="I180" s="250" t="s">
        <v>949</v>
      </c>
      <c r="J180" s="255" t="s">
        <v>950</v>
      </c>
      <c r="K180" s="255" t="s">
        <v>951</v>
      </c>
      <c r="L180" s="250" t="s">
        <v>947</v>
      </c>
      <c r="M180" s="279" t="s">
        <v>114</v>
      </c>
      <c r="N180" s="278">
        <v>44202</v>
      </c>
      <c r="O180" s="329" t="s">
        <v>67</v>
      </c>
      <c r="P180" s="386">
        <f t="shared" ref="P180:Q180" si="177">IF(B180=0,0,IF(YEAR(B180)=$Q$1,MONTH(B180)-$P$1+1,(YEAR(B180)-$Q$1)*12-$P$1+1+MONTH(B180)))</f>
        <v>1</v>
      </c>
      <c r="Q180" s="330">
        <f t="shared" si="177"/>
        <v>1</v>
      </c>
      <c r="R180" s="351" t="str">
        <f t="shared" si="3"/>
        <v>Gastos_Gerais</v>
      </c>
      <c r="S180" s="351" t="str">
        <f>IF(D180="","",IF(OR(D180=Plano!$A$1,D180=Plano!$B$1),"entrada","saída"))</f>
        <v>saída</v>
      </c>
      <c r="T180" s="334" t="s">
        <v>114</v>
      </c>
      <c r="U180" s="334" t="s">
        <v>114</v>
      </c>
      <c r="V180" s="344"/>
      <c r="W180" s="269"/>
    </row>
    <row r="181" spans="1:23" ht="69.75" customHeight="1" x14ac:dyDescent="0.2">
      <c r="A181" s="277">
        <f t="shared" si="0"/>
        <v>177</v>
      </c>
      <c r="B181" s="278">
        <v>44202</v>
      </c>
      <c r="C181" s="249">
        <v>44197</v>
      </c>
      <c r="D181" s="255" t="s">
        <v>99</v>
      </c>
      <c r="E181" s="255" t="s">
        <v>272</v>
      </c>
      <c r="F181" s="258">
        <v>10.45</v>
      </c>
      <c r="G181" s="255" t="s">
        <v>2697</v>
      </c>
      <c r="H181" s="255" t="s">
        <v>116</v>
      </c>
      <c r="I181" s="250" t="s">
        <v>949</v>
      </c>
      <c r="J181" s="255" t="s">
        <v>950</v>
      </c>
      <c r="K181" s="255" t="s">
        <v>951</v>
      </c>
      <c r="L181" s="250" t="s">
        <v>947</v>
      </c>
      <c r="M181" s="279" t="s">
        <v>114</v>
      </c>
      <c r="N181" s="278">
        <v>44202</v>
      </c>
      <c r="O181" s="329" t="s">
        <v>67</v>
      </c>
      <c r="P181" s="386">
        <f t="shared" ref="P181:Q181" si="178">IF(B181=0,0,IF(YEAR(B181)=$Q$1,MONTH(B181)-$P$1+1,(YEAR(B181)-$Q$1)*12-$P$1+1+MONTH(B181)))</f>
        <v>1</v>
      </c>
      <c r="Q181" s="330">
        <f t="shared" si="178"/>
        <v>1</v>
      </c>
      <c r="R181" s="351" t="str">
        <f t="shared" si="3"/>
        <v>Gastos_Gerais</v>
      </c>
      <c r="S181" s="351" t="str">
        <f>IF(D181="","",IF(OR(D181=Plano!$A$1,D181=Plano!$B$1),"entrada","saída"))</f>
        <v>saída</v>
      </c>
      <c r="T181" s="334" t="s">
        <v>114</v>
      </c>
      <c r="U181" s="334" t="s">
        <v>114</v>
      </c>
      <c r="V181" s="344"/>
      <c r="W181" s="269"/>
    </row>
    <row r="182" spans="1:23" ht="69.75" customHeight="1" x14ac:dyDescent="0.2">
      <c r="A182" s="277">
        <f t="shared" si="0"/>
        <v>178</v>
      </c>
      <c r="B182" s="278">
        <v>44202</v>
      </c>
      <c r="C182" s="249">
        <v>44197</v>
      </c>
      <c r="D182" s="255" t="s">
        <v>99</v>
      </c>
      <c r="E182" s="255" t="s">
        <v>272</v>
      </c>
      <c r="F182" s="258">
        <v>10.45</v>
      </c>
      <c r="G182" s="255" t="s">
        <v>2698</v>
      </c>
      <c r="H182" s="255" t="s">
        <v>115</v>
      </c>
      <c r="I182" s="250" t="s">
        <v>949</v>
      </c>
      <c r="J182" s="255" t="s">
        <v>950</v>
      </c>
      <c r="K182" s="255" t="s">
        <v>951</v>
      </c>
      <c r="L182" s="250" t="s">
        <v>947</v>
      </c>
      <c r="M182" s="279" t="s">
        <v>114</v>
      </c>
      <c r="N182" s="278">
        <v>44202</v>
      </c>
      <c r="O182" s="329" t="s">
        <v>67</v>
      </c>
      <c r="P182" s="386">
        <f t="shared" ref="P182:Q182" si="179">IF(B182=0,0,IF(YEAR(B182)=$Q$1,MONTH(B182)-$P$1+1,(YEAR(B182)-$Q$1)*12-$P$1+1+MONTH(B182)))</f>
        <v>1</v>
      </c>
      <c r="Q182" s="330">
        <f t="shared" si="179"/>
        <v>1</v>
      </c>
      <c r="R182" s="351" t="str">
        <f t="shared" si="3"/>
        <v>Gastos_Gerais</v>
      </c>
      <c r="S182" s="351" t="str">
        <f>IF(D182="","",IF(OR(D182=Plano!$A$1,D182=Plano!$B$1),"entrada","saída"))</f>
        <v>saída</v>
      </c>
      <c r="T182" s="334" t="s">
        <v>114</v>
      </c>
      <c r="U182" s="334" t="s">
        <v>114</v>
      </c>
      <c r="V182" s="344"/>
      <c r="W182" s="269"/>
    </row>
    <row r="183" spans="1:23" ht="69.75" customHeight="1" x14ac:dyDescent="0.2">
      <c r="A183" s="277">
        <f t="shared" si="0"/>
        <v>179</v>
      </c>
      <c r="B183" s="278">
        <v>44202</v>
      </c>
      <c r="C183" s="249">
        <v>44197</v>
      </c>
      <c r="D183" s="255" t="s">
        <v>99</v>
      </c>
      <c r="E183" s="255" t="s">
        <v>272</v>
      </c>
      <c r="F183" s="258">
        <v>10.45</v>
      </c>
      <c r="G183" s="255" t="s">
        <v>2699</v>
      </c>
      <c r="H183" s="255" t="s">
        <v>128</v>
      </c>
      <c r="I183" s="250" t="s">
        <v>949</v>
      </c>
      <c r="J183" s="255" t="s">
        <v>950</v>
      </c>
      <c r="K183" s="255" t="s">
        <v>951</v>
      </c>
      <c r="L183" s="250" t="s">
        <v>947</v>
      </c>
      <c r="M183" s="279" t="s">
        <v>114</v>
      </c>
      <c r="N183" s="278">
        <v>44202</v>
      </c>
      <c r="O183" s="329" t="s">
        <v>67</v>
      </c>
      <c r="P183" s="386">
        <f t="shared" ref="P183:Q183" si="180">IF(B183=0,0,IF(YEAR(B183)=$Q$1,MONTH(B183)-$P$1+1,(YEAR(B183)-$Q$1)*12-$P$1+1+MONTH(B183)))</f>
        <v>1</v>
      </c>
      <c r="Q183" s="330">
        <f t="shared" si="180"/>
        <v>1</v>
      </c>
      <c r="R183" s="351" t="str">
        <f t="shared" si="3"/>
        <v>Gastos_Gerais</v>
      </c>
      <c r="S183" s="351" t="str">
        <f>IF(D183="","",IF(OR(D183=Plano!$A$1,D183=Plano!$B$1),"entrada","saída"))</f>
        <v>saída</v>
      </c>
      <c r="T183" s="334" t="s">
        <v>114</v>
      </c>
      <c r="U183" s="334" t="s">
        <v>114</v>
      </c>
      <c r="V183" s="344"/>
      <c r="W183" s="269"/>
    </row>
    <row r="184" spans="1:23" ht="69.75" customHeight="1" x14ac:dyDescent="0.2">
      <c r="A184" s="277">
        <f t="shared" si="0"/>
        <v>180</v>
      </c>
      <c r="B184" s="278">
        <v>44202</v>
      </c>
      <c r="C184" s="249">
        <v>44197</v>
      </c>
      <c r="D184" s="255" t="s">
        <v>99</v>
      </c>
      <c r="E184" s="255" t="s">
        <v>272</v>
      </c>
      <c r="F184" s="258">
        <v>10.45</v>
      </c>
      <c r="G184" s="255" t="s">
        <v>2700</v>
      </c>
      <c r="H184" s="255" t="s">
        <v>118</v>
      </c>
      <c r="I184" s="250" t="s">
        <v>949</v>
      </c>
      <c r="J184" s="255" t="s">
        <v>950</v>
      </c>
      <c r="K184" s="255" t="s">
        <v>951</v>
      </c>
      <c r="L184" s="250" t="s">
        <v>947</v>
      </c>
      <c r="M184" s="279" t="s">
        <v>114</v>
      </c>
      <c r="N184" s="278">
        <v>44202</v>
      </c>
      <c r="O184" s="329" t="s">
        <v>67</v>
      </c>
      <c r="P184" s="386">
        <f t="shared" ref="P184:Q184" si="181">IF(B184=0,0,IF(YEAR(B184)=$Q$1,MONTH(B184)-$P$1+1,(YEAR(B184)-$Q$1)*12-$P$1+1+MONTH(B184)))</f>
        <v>1</v>
      </c>
      <c r="Q184" s="330">
        <f t="shared" si="181"/>
        <v>1</v>
      </c>
      <c r="R184" s="351" t="str">
        <f t="shared" si="3"/>
        <v>Gastos_Gerais</v>
      </c>
      <c r="S184" s="351" t="str">
        <f>IF(D184="","",IF(OR(D184=Plano!$A$1,D184=Plano!$B$1),"entrada","saída"))</f>
        <v>saída</v>
      </c>
      <c r="T184" s="334" t="s">
        <v>114</v>
      </c>
      <c r="U184" s="334" t="s">
        <v>114</v>
      </c>
      <c r="V184" s="344"/>
      <c r="W184" s="269"/>
    </row>
    <row r="185" spans="1:23" ht="69.75" customHeight="1" x14ac:dyDescent="0.2">
      <c r="A185" s="277">
        <f t="shared" si="0"/>
        <v>181</v>
      </c>
      <c r="B185" s="278">
        <v>44202</v>
      </c>
      <c r="C185" s="249">
        <v>44197</v>
      </c>
      <c r="D185" s="255" t="s">
        <v>99</v>
      </c>
      <c r="E185" s="255" t="s">
        <v>272</v>
      </c>
      <c r="F185" s="258">
        <v>10.45</v>
      </c>
      <c r="G185" s="255" t="s">
        <v>2701</v>
      </c>
      <c r="H185" s="255" t="s">
        <v>118</v>
      </c>
      <c r="I185" s="250" t="s">
        <v>949</v>
      </c>
      <c r="J185" s="255" t="s">
        <v>950</v>
      </c>
      <c r="K185" s="255" t="s">
        <v>951</v>
      </c>
      <c r="L185" s="250" t="s">
        <v>947</v>
      </c>
      <c r="M185" s="279" t="s">
        <v>114</v>
      </c>
      <c r="N185" s="278">
        <v>44202</v>
      </c>
      <c r="O185" s="329" t="s">
        <v>67</v>
      </c>
      <c r="P185" s="386">
        <f t="shared" ref="P185:Q185" si="182">IF(B185=0,0,IF(YEAR(B185)=$Q$1,MONTH(B185)-$P$1+1,(YEAR(B185)-$Q$1)*12-$P$1+1+MONTH(B185)))</f>
        <v>1</v>
      </c>
      <c r="Q185" s="330">
        <f t="shared" si="182"/>
        <v>1</v>
      </c>
      <c r="R185" s="351" t="str">
        <f t="shared" si="3"/>
        <v>Gastos_Gerais</v>
      </c>
      <c r="S185" s="351" t="str">
        <f>IF(D185="","",IF(OR(D185=Plano!$A$1,D185=Plano!$B$1),"entrada","saída"))</f>
        <v>saída</v>
      </c>
      <c r="T185" s="334" t="s">
        <v>114</v>
      </c>
      <c r="U185" s="334" t="s">
        <v>114</v>
      </c>
      <c r="V185" s="344"/>
      <c r="W185" s="269"/>
    </row>
    <row r="186" spans="1:23" ht="69.75" customHeight="1" x14ac:dyDescent="0.2">
      <c r="A186" s="277">
        <f t="shared" si="0"/>
        <v>182</v>
      </c>
      <c r="B186" s="278">
        <v>44202</v>
      </c>
      <c r="C186" s="249">
        <v>44197</v>
      </c>
      <c r="D186" s="255" t="s">
        <v>99</v>
      </c>
      <c r="E186" s="255" t="s">
        <v>272</v>
      </c>
      <c r="F186" s="258">
        <v>10.45</v>
      </c>
      <c r="G186" s="255" t="s">
        <v>2702</v>
      </c>
      <c r="H186" s="255" t="s">
        <v>118</v>
      </c>
      <c r="I186" s="250" t="s">
        <v>949</v>
      </c>
      <c r="J186" s="255" t="s">
        <v>950</v>
      </c>
      <c r="K186" s="255" t="s">
        <v>951</v>
      </c>
      <c r="L186" s="250" t="s">
        <v>947</v>
      </c>
      <c r="M186" s="279" t="s">
        <v>114</v>
      </c>
      <c r="N186" s="278">
        <v>44202</v>
      </c>
      <c r="O186" s="329" t="s">
        <v>67</v>
      </c>
      <c r="P186" s="386">
        <f t="shared" ref="P186:Q186" si="183">IF(B186=0,0,IF(YEAR(B186)=$Q$1,MONTH(B186)-$P$1+1,(YEAR(B186)-$Q$1)*12-$P$1+1+MONTH(B186)))</f>
        <v>1</v>
      </c>
      <c r="Q186" s="330">
        <f t="shared" si="183"/>
        <v>1</v>
      </c>
      <c r="R186" s="351" t="str">
        <f t="shared" si="3"/>
        <v>Gastos_Gerais</v>
      </c>
      <c r="S186" s="351" t="str">
        <f>IF(D186="","",IF(OR(D186=Plano!$A$1,D186=Plano!$B$1),"entrada","saída"))</f>
        <v>saída</v>
      </c>
      <c r="T186" s="334" t="s">
        <v>114</v>
      </c>
      <c r="U186" s="334" t="s">
        <v>114</v>
      </c>
      <c r="V186" s="344"/>
      <c r="W186" s="269"/>
    </row>
    <row r="187" spans="1:23" ht="69.75" customHeight="1" x14ac:dyDescent="0.2">
      <c r="A187" s="277">
        <f t="shared" si="0"/>
        <v>183</v>
      </c>
      <c r="B187" s="278">
        <v>44202</v>
      </c>
      <c r="C187" s="249">
        <v>44197</v>
      </c>
      <c r="D187" s="255" t="s">
        <v>99</v>
      </c>
      <c r="E187" s="255" t="s">
        <v>272</v>
      </c>
      <c r="F187" s="258">
        <v>10.45</v>
      </c>
      <c r="G187" s="255" t="s">
        <v>2703</v>
      </c>
      <c r="H187" s="255" t="s">
        <v>118</v>
      </c>
      <c r="I187" s="250" t="s">
        <v>949</v>
      </c>
      <c r="J187" s="255" t="s">
        <v>950</v>
      </c>
      <c r="K187" s="255" t="s">
        <v>951</v>
      </c>
      <c r="L187" s="250" t="s">
        <v>947</v>
      </c>
      <c r="M187" s="279" t="s">
        <v>114</v>
      </c>
      <c r="N187" s="278">
        <v>44202</v>
      </c>
      <c r="O187" s="329" t="s">
        <v>67</v>
      </c>
      <c r="P187" s="386">
        <f t="shared" ref="P187:Q187" si="184">IF(B187=0,0,IF(YEAR(B187)=$Q$1,MONTH(B187)-$P$1+1,(YEAR(B187)-$Q$1)*12-$P$1+1+MONTH(B187)))</f>
        <v>1</v>
      </c>
      <c r="Q187" s="330">
        <f t="shared" si="184"/>
        <v>1</v>
      </c>
      <c r="R187" s="351" t="str">
        <f t="shared" si="3"/>
        <v>Gastos_Gerais</v>
      </c>
      <c r="S187" s="351" t="str">
        <f>IF(D187="","",IF(OR(D187=Plano!$A$1,D187=Plano!$B$1),"entrada","saída"))</f>
        <v>saída</v>
      </c>
      <c r="T187" s="334" t="s">
        <v>114</v>
      </c>
      <c r="U187" s="334" t="s">
        <v>114</v>
      </c>
      <c r="V187" s="344"/>
      <c r="W187" s="269"/>
    </row>
    <row r="188" spans="1:23" ht="69.75" customHeight="1" x14ac:dyDescent="0.2">
      <c r="A188" s="277">
        <f t="shared" si="0"/>
        <v>184</v>
      </c>
      <c r="B188" s="278">
        <v>44202</v>
      </c>
      <c r="C188" s="249">
        <v>44197</v>
      </c>
      <c r="D188" s="255" t="s">
        <v>99</v>
      </c>
      <c r="E188" s="255" t="s">
        <v>272</v>
      </c>
      <c r="F188" s="258">
        <v>10.45</v>
      </c>
      <c r="G188" s="255" t="s">
        <v>2704</v>
      </c>
      <c r="H188" s="255" t="s">
        <v>118</v>
      </c>
      <c r="I188" s="250" t="s">
        <v>949</v>
      </c>
      <c r="J188" s="255" t="s">
        <v>950</v>
      </c>
      <c r="K188" s="255" t="s">
        <v>951</v>
      </c>
      <c r="L188" s="250" t="s">
        <v>947</v>
      </c>
      <c r="M188" s="279" t="s">
        <v>114</v>
      </c>
      <c r="N188" s="278">
        <v>44202</v>
      </c>
      <c r="O188" s="329" t="s">
        <v>67</v>
      </c>
      <c r="P188" s="386">
        <f t="shared" ref="P188:Q188" si="185">IF(B188=0,0,IF(YEAR(B188)=$Q$1,MONTH(B188)-$P$1+1,(YEAR(B188)-$Q$1)*12-$P$1+1+MONTH(B188)))</f>
        <v>1</v>
      </c>
      <c r="Q188" s="330">
        <f t="shared" si="185"/>
        <v>1</v>
      </c>
      <c r="R188" s="351" t="str">
        <f t="shared" si="3"/>
        <v>Gastos_Gerais</v>
      </c>
      <c r="S188" s="351" t="str">
        <f>IF(D188="","",IF(OR(D188=Plano!$A$1,D188=Plano!$B$1),"entrada","saída"))</f>
        <v>saída</v>
      </c>
      <c r="T188" s="334" t="s">
        <v>114</v>
      </c>
      <c r="U188" s="334" t="s">
        <v>114</v>
      </c>
      <c r="V188" s="344"/>
      <c r="W188" s="269"/>
    </row>
    <row r="189" spans="1:23" ht="69.75" customHeight="1" x14ac:dyDescent="0.2">
      <c r="A189" s="277">
        <f t="shared" si="0"/>
        <v>185</v>
      </c>
      <c r="B189" s="278">
        <v>44202</v>
      </c>
      <c r="C189" s="249">
        <v>44197</v>
      </c>
      <c r="D189" s="255" t="s">
        <v>99</v>
      </c>
      <c r="E189" s="255" t="s">
        <v>272</v>
      </c>
      <c r="F189" s="258">
        <v>10.45</v>
      </c>
      <c r="G189" s="255" t="s">
        <v>2705</v>
      </c>
      <c r="H189" s="255" t="s">
        <v>118</v>
      </c>
      <c r="I189" s="250" t="s">
        <v>949</v>
      </c>
      <c r="J189" s="255" t="s">
        <v>950</v>
      </c>
      <c r="K189" s="255" t="s">
        <v>951</v>
      </c>
      <c r="L189" s="250" t="s">
        <v>947</v>
      </c>
      <c r="M189" s="279" t="s">
        <v>114</v>
      </c>
      <c r="N189" s="278">
        <v>44202</v>
      </c>
      <c r="O189" s="329" t="s">
        <v>67</v>
      </c>
      <c r="P189" s="386">
        <f t="shared" ref="P189:Q189" si="186">IF(B189=0,0,IF(YEAR(B189)=$Q$1,MONTH(B189)-$P$1+1,(YEAR(B189)-$Q$1)*12-$P$1+1+MONTH(B189)))</f>
        <v>1</v>
      </c>
      <c r="Q189" s="330">
        <f t="shared" si="186"/>
        <v>1</v>
      </c>
      <c r="R189" s="351" t="str">
        <f t="shared" si="3"/>
        <v>Gastos_Gerais</v>
      </c>
      <c r="S189" s="351" t="str">
        <f>IF(D189="","",IF(OR(D189=Plano!$A$1,D189=Plano!$B$1),"entrada","saída"))</f>
        <v>saída</v>
      </c>
      <c r="T189" s="334" t="s">
        <v>114</v>
      </c>
      <c r="U189" s="334" t="s">
        <v>114</v>
      </c>
      <c r="V189" s="344"/>
      <c r="W189" s="269"/>
    </row>
    <row r="190" spans="1:23" ht="69.75" customHeight="1" x14ac:dyDescent="0.2">
      <c r="A190" s="277">
        <f t="shared" si="0"/>
        <v>186</v>
      </c>
      <c r="B190" s="278">
        <v>44202</v>
      </c>
      <c r="C190" s="249">
        <v>44197</v>
      </c>
      <c r="D190" s="255" t="s">
        <v>99</v>
      </c>
      <c r="E190" s="255" t="s">
        <v>272</v>
      </c>
      <c r="F190" s="258">
        <v>10.45</v>
      </c>
      <c r="G190" s="255" t="s">
        <v>2706</v>
      </c>
      <c r="H190" s="255" t="s">
        <v>118</v>
      </c>
      <c r="I190" s="250" t="s">
        <v>949</v>
      </c>
      <c r="J190" s="255" t="s">
        <v>950</v>
      </c>
      <c r="K190" s="255" t="s">
        <v>951</v>
      </c>
      <c r="L190" s="250" t="s">
        <v>947</v>
      </c>
      <c r="M190" s="279" t="s">
        <v>114</v>
      </c>
      <c r="N190" s="278">
        <v>44202</v>
      </c>
      <c r="O190" s="329" t="s">
        <v>67</v>
      </c>
      <c r="P190" s="386">
        <f t="shared" ref="P190:Q190" si="187">IF(B190=0,0,IF(YEAR(B190)=$Q$1,MONTH(B190)-$P$1+1,(YEAR(B190)-$Q$1)*12-$P$1+1+MONTH(B190)))</f>
        <v>1</v>
      </c>
      <c r="Q190" s="330">
        <f t="shared" si="187"/>
        <v>1</v>
      </c>
      <c r="R190" s="351" t="str">
        <f t="shared" si="3"/>
        <v>Gastos_Gerais</v>
      </c>
      <c r="S190" s="351" t="str">
        <f>IF(D190="","",IF(OR(D190=Plano!$A$1,D190=Plano!$B$1),"entrada","saída"))</f>
        <v>saída</v>
      </c>
      <c r="T190" s="334" t="s">
        <v>114</v>
      </c>
      <c r="U190" s="334" t="s">
        <v>114</v>
      </c>
      <c r="V190" s="344"/>
      <c r="W190" s="269"/>
    </row>
    <row r="191" spans="1:23" ht="69.75" customHeight="1" x14ac:dyDescent="0.2">
      <c r="A191" s="277">
        <f t="shared" si="0"/>
        <v>187</v>
      </c>
      <c r="B191" s="278">
        <v>44202</v>
      </c>
      <c r="C191" s="249">
        <v>44197</v>
      </c>
      <c r="D191" s="255" t="s">
        <v>99</v>
      </c>
      <c r="E191" s="255" t="s">
        <v>272</v>
      </c>
      <c r="F191" s="258">
        <v>10.45</v>
      </c>
      <c r="G191" s="255" t="s">
        <v>2707</v>
      </c>
      <c r="H191" s="255" t="s">
        <v>118</v>
      </c>
      <c r="I191" s="250" t="s">
        <v>949</v>
      </c>
      <c r="J191" s="255" t="s">
        <v>950</v>
      </c>
      <c r="K191" s="255" t="s">
        <v>951</v>
      </c>
      <c r="L191" s="250" t="s">
        <v>947</v>
      </c>
      <c r="M191" s="279" t="s">
        <v>114</v>
      </c>
      <c r="N191" s="278">
        <v>44202</v>
      </c>
      <c r="O191" s="329" t="s">
        <v>67</v>
      </c>
      <c r="P191" s="386">
        <f t="shared" ref="P191:Q191" si="188">IF(B191=0,0,IF(YEAR(B191)=$Q$1,MONTH(B191)-$P$1+1,(YEAR(B191)-$Q$1)*12-$P$1+1+MONTH(B191)))</f>
        <v>1</v>
      </c>
      <c r="Q191" s="330">
        <f t="shared" si="188"/>
        <v>1</v>
      </c>
      <c r="R191" s="351" t="str">
        <f t="shared" si="3"/>
        <v>Gastos_Gerais</v>
      </c>
      <c r="S191" s="351" t="str">
        <f>IF(D191="","",IF(OR(D191=Plano!$A$1,D191=Plano!$B$1),"entrada","saída"))</f>
        <v>saída</v>
      </c>
      <c r="T191" s="334" t="s">
        <v>114</v>
      </c>
      <c r="U191" s="334" t="s">
        <v>114</v>
      </c>
      <c r="V191" s="344"/>
      <c r="W191" s="269"/>
    </row>
    <row r="192" spans="1:23" ht="69.75" customHeight="1" x14ac:dyDescent="0.2">
      <c r="A192" s="277">
        <f t="shared" si="0"/>
        <v>188</v>
      </c>
      <c r="B192" s="278">
        <v>44202</v>
      </c>
      <c r="C192" s="249">
        <v>44197</v>
      </c>
      <c r="D192" s="255" t="s">
        <v>99</v>
      </c>
      <c r="E192" s="255" t="s">
        <v>272</v>
      </c>
      <c r="F192" s="258">
        <v>10.45</v>
      </c>
      <c r="G192" s="255" t="s">
        <v>2708</v>
      </c>
      <c r="H192" s="255" t="s">
        <v>118</v>
      </c>
      <c r="I192" s="250" t="s">
        <v>949</v>
      </c>
      <c r="J192" s="255" t="s">
        <v>950</v>
      </c>
      <c r="K192" s="255" t="s">
        <v>951</v>
      </c>
      <c r="L192" s="250" t="s">
        <v>947</v>
      </c>
      <c r="M192" s="279" t="s">
        <v>114</v>
      </c>
      <c r="N192" s="278">
        <v>44202</v>
      </c>
      <c r="O192" s="329" t="s">
        <v>67</v>
      </c>
      <c r="P192" s="386">
        <f t="shared" ref="P192:Q192" si="189">IF(B192=0,0,IF(YEAR(B192)=$Q$1,MONTH(B192)-$P$1+1,(YEAR(B192)-$Q$1)*12-$P$1+1+MONTH(B192)))</f>
        <v>1</v>
      </c>
      <c r="Q192" s="330">
        <f t="shared" si="189"/>
        <v>1</v>
      </c>
      <c r="R192" s="351" t="str">
        <f t="shared" si="3"/>
        <v>Gastos_Gerais</v>
      </c>
      <c r="S192" s="351" t="str">
        <f>IF(D192="","",IF(OR(D192=Plano!$A$1,D192=Plano!$B$1),"entrada","saída"))</f>
        <v>saída</v>
      </c>
      <c r="T192" s="334" t="s">
        <v>114</v>
      </c>
      <c r="U192" s="334" t="s">
        <v>114</v>
      </c>
      <c r="V192" s="344"/>
      <c r="W192" s="269"/>
    </row>
    <row r="193" spans="1:23" ht="69.75" customHeight="1" x14ac:dyDescent="0.2">
      <c r="A193" s="277">
        <f t="shared" si="0"/>
        <v>189</v>
      </c>
      <c r="B193" s="278">
        <v>44202</v>
      </c>
      <c r="C193" s="249">
        <v>44197</v>
      </c>
      <c r="D193" s="255" t="s">
        <v>99</v>
      </c>
      <c r="E193" s="255" t="s">
        <v>272</v>
      </c>
      <c r="F193" s="258">
        <v>10.45</v>
      </c>
      <c r="G193" s="255" t="s">
        <v>2709</v>
      </c>
      <c r="H193" s="255" t="s">
        <v>118</v>
      </c>
      <c r="I193" s="250" t="s">
        <v>949</v>
      </c>
      <c r="J193" s="255" t="s">
        <v>950</v>
      </c>
      <c r="K193" s="255" t="s">
        <v>951</v>
      </c>
      <c r="L193" s="250" t="s">
        <v>947</v>
      </c>
      <c r="M193" s="279" t="s">
        <v>114</v>
      </c>
      <c r="N193" s="278">
        <v>44202</v>
      </c>
      <c r="O193" s="329" t="s">
        <v>67</v>
      </c>
      <c r="P193" s="386">
        <f t="shared" ref="P193:Q193" si="190">IF(B193=0,0,IF(YEAR(B193)=$Q$1,MONTH(B193)-$P$1+1,(YEAR(B193)-$Q$1)*12-$P$1+1+MONTH(B193)))</f>
        <v>1</v>
      </c>
      <c r="Q193" s="330">
        <f t="shared" si="190"/>
        <v>1</v>
      </c>
      <c r="R193" s="351" t="str">
        <f t="shared" si="3"/>
        <v>Gastos_Gerais</v>
      </c>
      <c r="S193" s="351" t="str">
        <f>IF(D193="","",IF(OR(D193=Plano!$A$1,D193=Plano!$B$1),"entrada","saída"))</f>
        <v>saída</v>
      </c>
      <c r="T193" s="334" t="s">
        <v>114</v>
      </c>
      <c r="U193" s="334" t="s">
        <v>114</v>
      </c>
      <c r="V193" s="344"/>
      <c r="W193" s="269"/>
    </row>
    <row r="194" spans="1:23" ht="69.75" customHeight="1" x14ac:dyDescent="0.2">
      <c r="A194" s="277">
        <f t="shared" si="0"/>
        <v>190</v>
      </c>
      <c r="B194" s="278">
        <v>44202</v>
      </c>
      <c r="C194" s="249">
        <v>44197</v>
      </c>
      <c r="D194" s="255" t="s">
        <v>99</v>
      </c>
      <c r="E194" s="255" t="s">
        <v>272</v>
      </c>
      <c r="F194" s="258">
        <v>10.45</v>
      </c>
      <c r="G194" s="255" t="s">
        <v>2710</v>
      </c>
      <c r="H194" s="255" t="s">
        <v>116</v>
      </c>
      <c r="I194" s="250" t="s">
        <v>949</v>
      </c>
      <c r="J194" s="255" t="s">
        <v>950</v>
      </c>
      <c r="K194" s="255" t="s">
        <v>951</v>
      </c>
      <c r="L194" s="250" t="s">
        <v>947</v>
      </c>
      <c r="M194" s="279" t="s">
        <v>114</v>
      </c>
      <c r="N194" s="278">
        <v>44202</v>
      </c>
      <c r="O194" s="329" t="s">
        <v>67</v>
      </c>
      <c r="P194" s="386">
        <f t="shared" ref="P194:Q194" si="191">IF(B194=0,0,IF(YEAR(B194)=$Q$1,MONTH(B194)-$P$1+1,(YEAR(B194)-$Q$1)*12-$P$1+1+MONTH(B194)))</f>
        <v>1</v>
      </c>
      <c r="Q194" s="330">
        <f t="shared" si="191"/>
        <v>1</v>
      </c>
      <c r="R194" s="351" t="str">
        <f t="shared" si="3"/>
        <v>Gastos_Gerais</v>
      </c>
      <c r="S194" s="351" t="str">
        <f>IF(D194="","",IF(OR(D194=Plano!$A$1,D194=Plano!$B$1),"entrada","saída"))</f>
        <v>saída</v>
      </c>
      <c r="T194" s="334" t="s">
        <v>114</v>
      </c>
      <c r="U194" s="334" t="s">
        <v>114</v>
      </c>
      <c r="V194" s="344"/>
      <c r="W194" s="269"/>
    </row>
    <row r="195" spans="1:23" ht="69.75" customHeight="1" x14ac:dyDescent="0.2">
      <c r="A195" s="277">
        <f t="shared" si="0"/>
        <v>191</v>
      </c>
      <c r="B195" s="278">
        <v>44202</v>
      </c>
      <c r="C195" s="249">
        <v>44197</v>
      </c>
      <c r="D195" s="255" t="s">
        <v>99</v>
      </c>
      <c r="E195" s="255" t="s">
        <v>272</v>
      </c>
      <c r="F195" s="258">
        <v>10.45</v>
      </c>
      <c r="G195" s="255" t="s">
        <v>2711</v>
      </c>
      <c r="H195" s="255" t="s">
        <v>116</v>
      </c>
      <c r="I195" s="250" t="s">
        <v>949</v>
      </c>
      <c r="J195" s="255" t="s">
        <v>950</v>
      </c>
      <c r="K195" s="255" t="s">
        <v>951</v>
      </c>
      <c r="L195" s="250" t="s">
        <v>947</v>
      </c>
      <c r="M195" s="279" t="s">
        <v>114</v>
      </c>
      <c r="N195" s="278">
        <v>44202</v>
      </c>
      <c r="O195" s="329" t="s">
        <v>67</v>
      </c>
      <c r="P195" s="386">
        <f t="shared" ref="P195:Q195" si="192">IF(B195=0,0,IF(YEAR(B195)=$Q$1,MONTH(B195)-$P$1+1,(YEAR(B195)-$Q$1)*12-$P$1+1+MONTH(B195)))</f>
        <v>1</v>
      </c>
      <c r="Q195" s="330">
        <f t="shared" si="192"/>
        <v>1</v>
      </c>
      <c r="R195" s="351" t="str">
        <f t="shared" si="3"/>
        <v>Gastos_Gerais</v>
      </c>
      <c r="S195" s="351" t="str">
        <f>IF(D195="","",IF(OR(D195=Plano!$A$1,D195=Plano!$B$1),"entrada","saída"))</f>
        <v>saída</v>
      </c>
      <c r="T195" s="334" t="s">
        <v>114</v>
      </c>
      <c r="U195" s="334" t="s">
        <v>114</v>
      </c>
      <c r="V195" s="344"/>
      <c r="W195" s="269"/>
    </row>
    <row r="196" spans="1:23" ht="69.75" customHeight="1" x14ac:dyDescent="0.2">
      <c r="A196" s="277">
        <f t="shared" si="0"/>
        <v>192</v>
      </c>
      <c r="B196" s="278">
        <v>44202</v>
      </c>
      <c r="C196" s="249">
        <v>44197</v>
      </c>
      <c r="D196" s="255" t="s">
        <v>99</v>
      </c>
      <c r="E196" s="255" t="s">
        <v>272</v>
      </c>
      <c r="F196" s="258">
        <v>10.45</v>
      </c>
      <c r="G196" s="255" t="s">
        <v>2712</v>
      </c>
      <c r="H196" s="255" t="s">
        <v>116</v>
      </c>
      <c r="I196" s="250" t="s">
        <v>949</v>
      </c>
      <c r="J196" s="255" t="s">
        <v>950</v>
      </c>
      <c r="K196" s="255" t="s">
        <v>951</v>
      </c>
      <c r="L196" s="250" t="s">
        <v>947</v>
      </c>
      <c r="M196" s="279" t="s">
        <v>114</v>
      </c>
      <c r="N196" s="278">
        <v>44202</v>
      </c>
      <c r="O196" s="329" t="s">
        <v>67</v>
      </c>
      <c r="P196" s="386">
        <f t="shared" ref="P196:Q196" si="193">IF(B196=0,0,IF(YEAR(B196)=$Q$1,MONTH(B196)-$P$1+1,(YEAR(B196)-$Q$1)*12-$P$1+1+MONTH(B196)))</f>
        <v>1</v>
      </c>
      <c r="Q196" s="330">
        <f t="shared" si="193"/>
        <v>1</v>
      </c>
      <c r="R196" s="351" t="str">
        <f t="shared" si="3"/>
        <v>Gastos_Gerais</v>
      </c>
      <c r="S196" s="351" t="str">
        <f>IF(D196="","",IF(OR(D196=Plano!$A$1,D196=Plano!$B$1),"entrada","saída"))</f>
        <v>saída</v>
      </c>
      <c r="T196" s="334" t="s">
        <v>114</v>
      </c>
      <c r="U196" s="334" t="s">
        <v>114</v>
      </c>
      <c r="V196" s="344"/>
      <c r="W196" s="269"/>
    </row>
    <row r="197" spans="1:23" ht="69.75" customHeight="1" x14ac:dyDescent="0.2">
      <c r="A197" s="277">
        <f t="shared" si="0"/>
        <v>193</v>
      </c>
      <c r="B197" s="278">
        <v>44202</v>
      </c>
      <c r="C197" s="249">
        <v>44197</v>
      </c>
      <c r="D197" s="255" t="s">
        <v>99</v>
      </c>
      <c r="E197" s="255" t="s">
        <v>272</v>
      </c>
      <c r="F197" s="258">
        <v>10.45</v>
      </c>
      <c r="G197" s="255" t="s">
        <v>2713</v>
      </c>
      <c r="H197" s="255" t="s">
        <v>115</v>
      </c>
      <c r="I197" s="250" t="s">
        <v>949</v>
      </c>
      <c r="J197" s="255" t="s">
        <v>950</v>
      </c>
      <c r="K197" s="255" t="s">
        <v>951</v>
      </c>
      <c r="L197" s="250" t="s">
        <v>947</v>
      </c>
      <c r="M197" s="279" t="s">
        <v>114</v>
      </c>
      <c r="N197" s="278">
        <v>44202</v>
      </c>
      <c r="O197" s="329" t="s">
        <v>67</v>
      </c>
      <c r="P197" s="386">
        <f t="shared" ref="P197:Q197" si="194">IF(B197=0,0,IF(YEAR(B197)=$Q$1,MONTH(B197)-$P$1+1,(YEAR(B197)-$Q$1)*12-$P$1+1+MONTH(B197)))</f>
        <v>1</v>
      </c>
      <c r="Q197" s="330">
        <f t="shared" si="194"/>
        <v>1</v>
      </c>
      <c r="R197" s="351" t="str">
        <f t="shared" si="3"/>
        <v>Gastos_Gerais</v>
      </c>
      <c r="S197" s="351" t="str">
        <f>IF(D197="","",IF(OR(D197=Plano!$A$1,D197=Plano!$B$1),"entrada","saída"))</f>
        <v>saída</v>
      </c>
      <c r="T197" s="334" t="s">
        <v>114</v>
      </c>
      <c r="U197" s="334" t="s">
        <v>114</v>
      </c>
      <c r="V197" s="344"/>
      <c r="W197" s="269"/>
    </row>
    <row r="198" spans="1:23" ht="69.75" customHeight="1" x14ac:dyDescent="0.2">
      <c r="A198" s="277">
        <f t="shared" si="0"/>
        <v>194</v>
      </c>
      <c r="B198" s="278">
        <v>44202</v>
      </c>
      <c r="C198" s="249">
        <v>44197</v>
      </c>
      <c r="D198" s="255" t="s">
        <v>99</v>
      </c>
      <c r="E198" s="255" t="s">
        <v>272</v>
      </c>
      <c r="F198" s="258">
        <v>10.45</v>
      </c>
      <c r="G198" s="255" t="s">
        <v>2714</v>
      </c>
      <c r="H198" s="255" t="s">
        <v>115</v>
      </c>
      <c r="I198" s="250" t="s">
        <v>949</v>
      </c>
      <c r="J198" s="255" t="s">
        <v>950</v>
      </c>
      <c r="K198" s="255" t="s">
        <v>951</v>
      </c>
      <c r="L198" s="250" t="s">
        <v>947</v>
      </c>
      <c r="M198" s="279" t="s">
        <v>114</v>
      </c>
      <c r="N198" s="278">
        <v>44202</v>
      </c>
      <c r="O198" s="329" t="s">
        <v>67</v>
      </c>
      <c r="P198" s="386">
        <f t="shared" ref="P198:Q198" si="195">IF(B198=0,0,IF(YEAR(B198)=$Q$1,MONTH(B198)-$P$1+1,(YEAR(B198)-$Q$1)*12-$P$1+1+MONTH(B198)))</f>
        <v>1</v>
      </c>
      <c r="Q198" s="330">
        <f t="shared" si="195"/>
        <v>1</v>
      </c>
      <c r="R198" s="351" t="str">
        <f t="shared" si="3"/>
        <v>Gastos_Gerais</v>
      </c>
      <c r="S198" s="351" t="str">
        <f>IF(D198="","",IF(OR(D198=Plano!$A$1,D198=Plano!$B$1),"entrada","saída"))</f>
        <v>saída</v>
      </c>
      <c r="T198" s="334" t="s">
        <v>114</v>
      </c>
      <c r="U198" s="334" t="s">
        <v>114</v>
      </c>
      <c r="V198" s="344"/>
      <c r="W198" s="269"/>
    </row>
    <row r="199" spans="1:23" ht="69.75" customHeight="1" x14ac:dyDescent="0.2">
      <c r="A199" s="277">
        <f t="shared" si="0"/>
        <v>195</v>
      </c>
      <c r="B199" s="278">
        <v>44202</v>
      </c>
      <c r="C199" s="249">
        <v>44197</v>
      </c>
      <c r="D199" s="255" t="s">
        <v>99</v>
      </c>
      <c r="E199" s="255" t="s">
        <v>272</v>
      </c>
      <c r="F199" s="258">
        <v>10.45</v>
      </c>
      <c r="G199" s="255" t="s">
        <v>2715</v>
      </c>
      <c r="H199" s="250" t="s">
        <v>125</v>
      </c>
      <c r="I199" s="250" t="s">
        <v>949</v>
      </c>
      <c r="J199" s="255" t="s">
        <v>950</v>
      </c>
      <c r="K199" s="255" t="s">
        <v>951</v>
      </c>
      <c r="L199" s="250" t="s">
        <v>947</v>
      </c>
      <c r="M199" s="279" t="s">
        <v>114</v>
      </c>
      <c r="N199" s="278">
        <v>44202</v>
      </c>
      <c r="O199" s="329" t="s">
        <v>67</v>
      </c>
      <c r="P199" s="386">
        <f t="shared" ref="P199:Q199" si="196">IF(B199=0,0,IF(YEAR(B199)=$Q$1,MONTH(B199)-$P$1+1,(YEAR(B199)-$Q$1)*12-$P$1+1+MONTH(B199)))</f>
        <v>1</v>
      </c>
      <c r="Q199" s="330">
        <f t="shared" si="196"/>
        <v>1</v>
      </c>
      <c r="R199" s="351" t="str">
        <f t="shared" si="3"/>
        <v>Gastos_Gerais</v>
      </c>
      <c r="S199" s="351" t="str">
        <f>IF(D199="","",IF(OR(D199=Plano!$A$1,D199=Plano!$B$1),"entrada","saída"))</f>
        <v>saída</v>
      </c>
      <c r="T199" s="334" t="s">
        <v>114</v>
      </c>
      <c r="U199" s="334" t="s">
        <v>114</v>
      </c>
      <c r="V199" s="344"/>
      <c r="W199" s="269"/>
    </row>
    <row r="200" spans="1:23" ht="69.75" customHeight="1" x14ac:dyDescent="0.2">
      <c r="A200" s="277">
        <f t="shared" si="0"/>
        <v>196</v>
      </c>
      <c r="B200" s="278">
        <v>44202</v>
      </c>
      <c r="C200" s="249">
        <v>44197</v>
      </c>
      <c r="D200" s="255" t="s">
        <v>99</v>
      </c>
      <c r="E200" s="255" t="s">
        <v>272</v>
      </c>
      <c r="F200" s="258">
        <v>10.45</v>
      </c>
      <c r="G200" s="255" t="s">
        <v>2711</v>
      </c>
      <c r="H200" s="255" t="s">
        <v>116</v>
      </c>
      <c r="I200" s="250" t="s">
        <v>949</v>
      </c>
      <c r="J200" s="255" t="s">
        <v>950</v>
      </c>
      <c r="K200" s="255" t="s">
        <v>951</v>
      </c>
      <c r="L200" s="250" t="s">
        <v>947</v>
      </c>
      <c r="M200" s="279" t="s">
        <v>114</v>
      </c>
      <c r="N200" s="278">
        <v>44202</v>
      </c>
      <c r="O200" s="329" t="s">
        <v>67</v>
      </c>
      <c r="P200" s="386">
        <f t="shared" ref="P200:Q200" si="197">IF(B200=0,0,IF(YEAR(B200)=$Q$1,MONTH(B200)-$P$1+1,(YEAR(B200)-$Q$1)*12-$P$1+1+MONTH(B200)))</f>
        <v>1</v>
      </c>
      <c r="Q200" s="330">
        <f t="shared" si="197"/>
        <v>1</v>
      </c>
      <c r="R200" s="351" t="str">
        <f t="shared" si="3"/>
        <v>Gastos_Gerais</v>
      </c>
      <c r="S200" s="351" t="str">
        <f>IF(D200="","",IF(OR(D200=Plano!$A$1,D200=Plano!$B$1),"entrada","saída"))</f>
        <v>saída</v>
      </c>
      <c r="T200" s="334" t="s">
        <v>114</v>
      </c>
      <c r="U200" s="334" t="s">
        <v>114</v>
      </c>
      <c r="V200" s="344"/>
      <c r="W200" s="269"/>
    </row>
    <row r="201" spans="1:23" ht="69.75" customHeight="1" x14ac:dyDescent="0.2">
      <c r="A201" s="277">
        <f t="shared" si="0"/>
        <v>197</v>
      </c>
      <c r="B201" s="278">
        <v>44202</v>
      </c>
      <c r="C201" s="249">
        <v>44197</v>
      </c>
      <c r="D201" s="255" t="s">
        <v>99</v>
      </c>
      <c r="E201" s="255" t="s">
        <v>272</v>
      </c>
      <c r="F201" s="258">
        <v>10.45</v>
      </c>
      <c r="G201" s="255" t="s">
        <v>2716</v>
      </c>
      <c r="H201" s="255" t="s">
        <v>116</v>
      </c>
      <c r="I201" s="250" t="s">
        <v>949</v>
      </c>
      <c r="J201" s="255" t="s">
        <v>950</v>
      </c>
      <c r="K201" s="255" t="s">
        <v>951</v>
      </c>
      <c r="L201" s="250" t="s">
        <v>947</v>
      </c>
      <c r="M201" s="279" t="s">
        <v>114</v>
      </c>
      <c r="N201" s="278">
        <v>44202</v>
      </c>
      <c r="O201" s="329" t="s">
        <v>67</v>
      </c>
      <c r="P201" s="386">
        <f t="shared" ref="P201:Q201" si="198">IF(B201=0,0,IF(YEAR(B201)=$Q$1,MONTH(B201)-$P$1+1,(YEAR(B201)-$Q$1)*12-$P$1+1+MONTH(B201)))</f>
        <v>1</v>
      </c>
      <c r="Q201" s="330">
        <f t="shared" si="198"/>
        <v>1</v>
      </c>
      <c r="R201" s="351" t="str">
        <f t="shared" si="3"/>
        <v>Gastos_Gerais</v>
      </c>
      <c r="S201" s="351" t="str">
        <f>IF(D201="","",IF(OR(D201=Plano!$A$1,D201=Plano!$B$1),"entrada","saída"))</f>
        <v>saída</v>
      </c>
      <c r="T201" s="334" t="s">
        <v>114</v>
      </c>
      <c r="U201" s="334" t="s">
        <v>114</v>
      </c>
      <c r="V201" s="344"/>
      <c r="W201" s="269"/>
    </row>
    <row r="202" spans="1:23" ht="69.75" customHeight="1" x14ac:dyDescent="0.2">
      <c r="A202" s="277">
        <f t="shared" si="0"/>
        <v>198</v>
      </c>
      <c r="B202" s="278">
        <v>44202</v>
      </c>
      <c r="C202" s="249">
        <v>44197</v>
      </c>
      <c r="D202" s="255" t="s">
        <v>99</v>
      </c>
      <c r="E202" s="255" t="s">
        <v>272</v>
      </c>
      <c r="F202" s="258">
        <v>10.45</v>
      </c>
      <c r="G202" s="255" t="s">
        <v>2717</v>
      </c>
      <c r="H202" s="250" t="s">
        <v>125</v>
      </c>
      <c r="I202" s="250" t="s">
        <v>949</v>
      </c>
      <c r="J202" s="255" t="s">
        <v>950</v>
      </c>
      <c r="K202" s="255" t="s">
        <v>951</v>
      </c>
      <c r="L202" s="250" t="s">
        <v>947</v>
      </c>
      <c r="M202" s="279" t="s">
        <v>114</v>
      </c>
      <c r="N202" s="278">
        <v>44202</v>
      </c>
      <c r="O202" s="329" t="s">
        <v>67</v>
      </c>
      <c r="P202" s="386">
        <f t="shared" ref="P202:Q202" si="199">IF(B202=0,0,IF(YEAR(B202)=$Q$1,MONTH(B202)-$P$1+1,(YEAR(B202)-$Q$1)*12-$P$1+1+MONTH(B202)))</f>
        <v>1</v>
      </c>
      <c r="Q202" s="330">
        <f t="shared" si="199"/>
        <v>1</v>
      </c>
      <c r="R202" s="351" t="str">
        <f t="shared" si="3"/>
        <v>Gastos_Gerais</v>
      </c>
      <c r="S202" s="351" t="str">
        <f>IF(D202="","",IF(OR(D202=Plano!$A$1,D202=Plano!$B$1),"entrada","saída"))</f>
        <v>saída</v>
      </c>
      <c r="T202" s="334" t="s">
        <v>114</v>
      </c>
      <c r="U202" s="334" t="s">
        <v>114</v>
      </c>
      <c r="V202" s="344"/>
      <c r="W202" s="269"/>
    </row>
    <row r="203" spans="1:23" ht="69.75" customHeight="1" x14ac:dyDescent="0.2">
      <c r="A203" s="277">
        <f t="shared" si="0"/>
        <v>199</v>
      </c>
      <c r="B203" s="278">
        <v>44202</v>
      </c>
      <c r="C203" s="249">
        <v>44197</v>
      </c>
      <c r="D203" s="255" t="s">
        <v>99</v>
      </c>
      <c r="E203" s="255" t="s">
        <v>272</v>
      </c>
      <c r="F203" s="258">
        <v>10.45</v>
      </c>
      <c r="G203" s="255" t="s">
        <v>2718</v>
      </c>
      <c r="H203" s="255" t="s">
        <v>122</v>
      </c>
      <c r="I203" s="250" t="s">
        <v>949</v>
      </c>
      <c r="J203" s="255" t="s">
        <v>950</v>
      </c>
      <c r="K203" s="255" t="s">
        <v>951</v>
      </c>
      <c r="L203" s="250" t="s">
        <v>947</v>
      </c>
      <c r="M203" s="279" t="s">
        <v>114</v>
      </c>
      <c r="N203" s="278">
        <v>44202</v>
      </c>
      <c r="O203" s="329" t="s">
        <v>67</v>
      </c>
      <c r="P203" s="386">
        <f t="shared" ref="P203:Q203" si="200">IF(B203=0,0,IF(YEAR(B203)=$Q$1,MONTH(B203)-$P$1+1,(YEAR(B203)-$Q$1)*12-$P$1+1+MONTH(B203)))</f>
        <v>1</v>
      </c>
      <c r="Q203" s="330">
        <f t="shared" si="200"/>
        <v>1</v>
      </c>
      <c r="R203" s="351" t="str">
        <f t="shared" si="3"/>
        <v>Gastos_Gerais</v>
      </c>
      <c r="S203" s="351" t="str">
        <f>IF(D203="","",IF(OR(D203=Plano!$A$1,D203=Plano!$B$1),"entrada","saída"))</f>
        <v>saída</v>
      </c>
      <c r="T203" s="334" t="s">
        <v>114</v>
      </c>
      <c r="U203" s="334" t="s">
        <v>114</v>
      </c>
      <c r="V203" s="344"/>
      <c r="W203" s="269"/>
    </row>
    <row r="204" spans="1:23" ht="69.75" customHeight="1" x14ac:dyDescent="0.2">
      <c r="A204" s="277">
        <f t="shared" si="0"/>
        <v>200</v>
      </c>
      <c r="B204" s="278">
        <v>44202</v>
      </c>
      <c r="C204" s="249">
        <v>44197</v>
      </c>
      <c r="D204" s="255" t="s">
        <v>99</v>
      </c>
      <c r="E204" s="255" t="s">
        <v>272</v>
      </c>
      <c r="F204" s="258">
        <v>153</v>
      </c>
      <c r="G204" s="255" t="s">
        <v>2719</v>
      </c>
      <c r="H204" s="255" t="s">
        <v>115</v>
      </c>
      <c r="I204" s="250" t="s">
        <v>949</v>
      </c>
      <c r="J204" s="255" t="s">
        <v>950</v>
      </c>
      <c r="K204" s="255" t="s">
        <v>951</v>
      </c>
      <c r="L204" s="250" t="s">
        <v>947</v>
      </c>
      <c r="M204" s="279" t="s">
        <v>114</v>
      </c>
      <c r="N204" s="278">
        <v>44202</v>
      </c>
      <c r="O204" s="329" t="s">
        <v>67</v>
      </c>
      <c r="P204" s="386">
        <f t="shared" ref="P204:Q204" si="201">IF(B204=0,0,IF(YEAR(B204)=$Q$1,MONTH(B204)-$P$1+1,(YEAR(B204)-$Q$1)*12-$P$1+1+MONTH(B204)))</f>
        <v>1</v>
      </c>
      <c r="Q204" s="330">
        <f t="shared" si="201"/>
        <v>1</v>
      </c>
      <c r="R204" s="351" t="str">
        <f t="shared" si="3"/>
        <v>Gastos_Gerais</v>
      </c>
      <c r="S204" s="351" t="str">
        <f>IF(D204="","",IF(OR(D204=Plano!$A$1,D204=Plano!$B$1),"entrada","saída"))</f>
        <v>saída</v>
      </c>
      <c r="T204" s="334" t="s">
        <v>114</v>
      </c>
      <c r="U204" s="334" t="s">
        <v>114</v>
      </c>
      <c r="V204" s="344"/>
      <c r="W204" s="269"/>
    </row>
    <row r="205" spans="1:23" ht="159" customHeight="1" x14ac:dyDescent="0.2">
      <c r="A205" s="277">
        <f t="shared" si="0"/>
        <v>201</v>
      </c>
      <c r="B205" s="278">
        <v>44202</v>
      </c>
      <c r="C205" s="249">
        <v>44166</v>
      </c>
      <c r="D205" s="250" t="s">
        <v>104</v>
      </c>
      <c r="E205" s="250" t="s">
        <v>104</v>
      </c>
      <c r="F205" s="251">
        <v>1680</v>
      </c>
      <c r="G205" s="255" t="s">
        <v>2720</v>
      </c>
      <c r="H205" s="250" t="s">
        <v>104</v>
      </c>
      <c r="I205" s="250" t="s">
        <v>2721</v>
      </c>
      <c r="J205" s="250" t="s">
        <v>2722</v>
      </c>
      <c r="K205" s="255" t="s">
        <v>1015</v>
      </c>
      <c r="L205" s="250" t="s">
        <v>1029</v>
      </c>
      <c r="M205" s="279">
        <v>1006</v>
      </c>
      <c r="N205" s="278">
        <v>44201</v>
      </c>
      <c r="O205" s="329" t="s">
        <v>68</v>
      </c>
      <c r="P205" s="386">
        <f t="shared" ref="P205:Q205" si="202">IF(B205=0,0,IF(YEAR(B205)=$Q$1,MONTH(B205)-$P$1+1,(YEAR(B205)-$Q$1)*12-$P$1+1+MONTH(B205)))</f>
        <v>1</v>
      </c>
      <c r="Q205" s="330">
        <f t="shared" si="202"/>
        <v>0</v>
      </c>
      <c r="R205" s="351" t="str">
        <f t="shared" si="3"/>
        <v>Gastos_custeados_por_captação</v>
      </c>
      <c r="S205" s="351" t="str">
        <f>IF(D205="","",IF(OR(D205=Plano!$A$1,D205=Plano!$B$1),"entrada","saída"))</f>
        <v>saída</v>
      </c>
      <c r="T205" s="334" t="s">
        <v>994</v>
      </c>
      <c r="U205" s="334">
        <v>868</v>
      </c>
      <c r="V205" s="344"/>
      <c r="W205" s="269"/>
    </row>
    <row r="206" spans="1:23" ht="123.75" customHeight="1" x14ac:dyDescent="0.2">
      <c r="A206" s="277">
        <f t="shared" si="0"/>
        <v>202</v>
      </c>
      <c r="B206" s="278">
        <v>44202</v>
      </c>
      <c r="C206" s="249">
        <v>44166</v>
      </c>
      <c r="D206" s="250" t="s">
        <v>104</v>
      </c>
      <c r="E206" s="250" t="s">
        <v>104</v>
      </c>
      <c r="F206" s="251">
        <v>3540</v>
      </c>
      <c r="G206" s="255" t="s">
        <v>2723</v>
      </c>
      <c r="H206" s="250" t="s">
        <v>104</v>
      </c>
      <c r="I206" s="250" t="s">
        <v>2724</v>
      </c>
      <c r="J206" s="250" t="s">
        <v>2725</v>
      </c>
      <c r="K206" s="255" t="s">
        <v>1015</v>
      </c>
      <c r="L206" s="250" t="s">
        <v>1016</v>
      </c>
      <c r="M206" s="255" t="s">
        <v>1305</v>
      </c>
      <c r="N206" s="278">
        <v>44201</v>
      </c>
      <c r="O206" s="329" t="s">
        <v>68</v>
      </c>
      <c r="P206" s="386">
        <f t="shared" ref="P206:Q206" si="203">IF(B206=0,0,IF(YEAR(B206)=$Q$1,MONTH(B206)-$P$1+1,(YEAR(B206)-$Q$1)*12-$P$1+1+MONTH(B206)))</f>
        <v>1</v>
      </c>
      <c r="Q206" s="330">
        <f t="shared" si="203"/>
        <v>0</v>
      </c>
      <c r="R206" s="351" t="str">
        <f t="shared" si="3"/>
        <v>Gastos_custeados_por_captação</v>
      </c>
      <c r="S206" s="351" t="str">
        <f>IF(D206="","",IF(OR(D206=Plano!$A$1,D206=Plano!$B$1),"entrada","saída"))</f>
        <v>saída</v>
      </c>
      <c r="T206" s="334" t="s">
        <v>994</v>
      </c>
      <c r="U206" s="334">
        <v>555</v>
      </c>
      <c r="V206" s="344"/>
      <c r="W206" s="269"/>
    </row>
    <row r="207" spans="1:23" ht="109.5" customHeight="1" x14ac:dyDescent="0.2">
      <c r="A207" s="277">
        <f t="shared" si="0"/>
        <v>203</v>
      </c>
      <c r="B207" s="278">
        <v>44202</v>
      </c>
      <c r="C207" s="249">
        <v>44166</v>
      </c>
      <c r="D207" s="250" t="s">
        <v>104</v>
      </c>
      <c r="E207" s="250" t="s">
        <v>104</v>
      </c>
      <c r="F207" s="251">
        <v>3762.82</v>
      </c>
      <c r="G207" s="255" t="s">
        <v>2726</v>
      </c>
      <c r="H207" s="250" t="s">
        <v>104</v>
      </c>
      <c r="I207" s="250" t="s">
        <v>2727</v>
      </c>
      <c r="J207" s="250" t="s">
        <v>2728</v>
      </c>
      <c r="K207" s="255" t="s">
        <v>1015</v>
      </c>
      <c r="L207" s="250" t="s">
        <v>1016</v>
      </c>
      <c r="M207" s="255" t="s">
        <v>1305</v>
      </c>
      <c r="N207" s="278">
        <v>44202</v>
      </c>
      <c r="O207" s="329" t="s">
        <v>68</v>
      </c>
      <c r="P207" s="386">
        <f t="shared" ref="P207:Q207" si="204">IF(B207=0,0,IF(YEAR(B207)=$Q$1,MONTH(B207)-$P$1+1,(YEAR(B207)-$Q$1)*12-$P$1+1+MONTH(B207)))</f>
        <v>1</v>
      </c>
      <c r="Q207" s="330">
        <f t="shared" si="204"/>
        <v>0</v>
      </c>
      <c r="R207" s="351" t="str">
        <f t="shared" si="3"/>
        <v>Gastos_custeados_por_captação</v>
      </c>
      <c r="S207" s="351" t="str">
        <f>IF(D207="","",IF(OR(D207=Plano!$A$1,D207=Plano!$B$1),"entrada","saída"))</f>
        <v>saída</v>
      </c>
      <c r="T207" s="334" t="s">
        <v>994</v>
      </c>
      <c r="U207" s="334">
        <v>554</v>
      </c>
      <c r="V207" s="344"/>
      <c r="W207" s="269"/>
    </row>
    <row r="208" spans="1:23" ht="69.75" customHeight="1" x14ac:dyDescent="0.2">
      <c r="A208" s="277">
        <f t="shared" si="0"/>
        <v>204</v>
      </c>
      <c r="B208" s="278">
        <v>44202</v>
      </c>
      <c r="C208" s="249">
        <v>44166</v>
      </c>
      <c r="D208" s="250" t="s">
        <v>104</v>
      </c>
      <c r="E208" s="250" t="s">
        <v>104</v>
      </c>
      <c r="F208" s="251">
        <v>1959.8</v>
      </c>
      <c r="G208" s="255" t="s">
        <v>2729</v>
      </c>
      <c r="H208" s="250" t="s">
        <v>104</v>
      </c>
      <c r="I208" s="250" t="s">
        <v>2645</v>
      </c>
      <c r="J208" s="250" t="s">
        <v>623</v>
      </c>
      <c r="K208" s="255" t="s">
        <v>1015</v>
      </c>
      <c r="L208" s="250" t="s">
        <v>1016</v>
      </c>
      <c r="M208" s="255" t="s">
        <v>1017</v>
      </c>
      <c r="N208" s="278">
        <v>44200</v>
      </c>
      <c r="O208" s="329" t="s">
        <v>69</v>
      </c>
      <c r="P208" s="386">
        <f t="shared" ref="P208:Q208" si="205">IF(B208=0,0,IF(YEAR(B208)=$Q$1,MONTH(B208)-$P$1+1,(YEAR(B208)-$Q$1)*12-$P$1+1+MONTH(B208)))</f>
        <v>1</v>
      </c>
      <c r="Q208" s="330">
        <f t="shared" si="205"/>
        <v>0</v>
      </c>
      <c r="R208" s="351" t="str">
        <f t="shared" si="3"/>
        <v>Gastos_custeados_por_captação</v>
      </c>
      <c r="S208" s="351" t="str">
        <f>IF(D208="","",IF(OR(D208=Plano!$A$1,D208=Plano!$B$1),"entrada","saída"))</f>
        <v>saída</v>
      </c>
      <c r="T208" s="334" t="s">
        <v>114</v>
      </c>
      <c r="U208" s="334" t="s">
        <v>114</v>
      </c>
      <c r="V208" s="344"/>
      <c r="W208" s="269"/>
    </row>
    <row r="209" spans="1:23" ht="195.75" customHeight="1" x14ac:dyDescent="0.2">
      <c r="A209" s="277">
        <f t="shared" si="0"/>
        <v>205</v>
      </c>
      <c r="B209" s="278">
        <v>44202</v>
      </c>
      <c r="C209" s="249">
        <v>44136</v>
      </c>
      <c r="D209" s="250" t="s">
        <v>104</v>
      </c>
      <c r="E209" s="250" t="s">
        <v>104</v>
      </c>
      <c r="F209" s="251">
        <v>8134</v>
      </c>
      <c r="G209" s="255" t="s">
        <v>2730</v>
      </c>
      <c r="H209" s="250" t="s">
        <v>104</v>
      </c>
      <c r="I209" s="250" t="s">
        <v>2731</v>
      </c>
      <c r="J209" s="250" t="s">
        <v>2732</v>
      </c>
      <c r="K209" s="255" t="s">
        <v>1015</v>
      </c>
      <c r="L209" s="250" t="s">
        <v>1016</v>
      </c>
      <c r="M209" s="255" t="s">
        <v>1305</v>
      </c>
      <c r="N209" s="278">
        <v>44200</v>
      </c>
      <c r="O209" s="329" t="s">
        <v>69</v>
      </c>
      <c r="P209" s="386">
        <f t="shared" ref="P209:Q209" si="206">IF(B209=0,0,IF(YEAR(B209)=$Q$1,MONTH(B209)-$P$1+1,(YEAR(B209)-$Q$1)*12-$P$1+1+MONTH(B209)))</f>
        <v>1</v>
      </c>
      <c r="Q209" s="330">
        <f t="shared" si="206"/>
        <v>-1</v>
      </c>
      <c r="R209" s="351" t="str">
        <f t="shared" si="3"/>
        <v>Gastos_custeados_por_captação</v>
      </c>
      <c r="S209" s="351" t="str">
        <f>IF(D209="","",IF(OR(D209=Plano!$A$1,D209=Plano!$B$1),"entrada","saída"))</f>
        <v>saída</v>
      </c>
      <c r="T209" s="334" t="s">
        <v>994</v>
      </c>
      <c r="U209" s="334">
        <v>910</v>
      </c>
      <c r="V209" s="344"/>
      <c r="W209" s="269"/>
    </row>
    <row r="210" spans="1:23" ht="145.5" customHeight="1" x14ac:dyDescent="0.2">
      <c r="A210" s="277">
        <f t="shared" si="0"/>
        <v>206</v>
      </c>
      <c r="B210" s="278">
        <v>44202</v>
      </c>
      <c r="C210" s="249">
        <v>44166</v>
      </c>
      <c r="D210" s="250" t="s">
        <v>104</v>
      </c>
      <c r="E210" s="250" t="s">
        <v>104</v>
      </c>
      <c r="F210" s="251">
        <v>2075.92</v>
      </c>
      <c r="G210" s="255" t="s">
        <v>2733</v>
      </c>
      <c r="H210" s="250" t="s">
        <v>104</v>
      </c>
      <c r="I210" s="250" t="s">
        <v>2734</v>
      </c>
      <c r="J210" s="250" t="s">
        <v>2735</v>
      </c>
      <c r="K210" s="255" t="s">
        <v>1015</v>
      </c>
      <c r="L210" s="250" t="s">
        <v>1029</v>
      </c>
      <c r="M210" s="255">
        <v>1005</v>
      </c>
      <c r="N210" s="278">
        <v>44201</v>
      </c>
      <c r="O210" s="329" t="s">
        <v>69</v>
      </c>
      <c r="P210" s="386">
        <f t="shared" ref="P210:Q210" si="207">IF(B210=0,0,IF(YEAR(B210)=$Q$1,MONTH(B210)-$P$1+1,(YEAR(B210)-$Q$1)*12-$P$1+1+MONTH(B210)))</f>
        <v>1</v>
      </c>
      <c r="Q210" s="330">
        <f t="shared" si="207"/>
        <v>0</v>
      </c>
      <c r="R210" s="351" t="str">
        <f t="shared" si="3"/>
        <v>Gastos_custeados_por_captação</v>
      </c>
      <c r="S210" s="351" t="str">
        <f>IF(D210="","",IF(OR(D210=Plano!$A$1,D210=Plano!$B$1),"entrada","saída"))</f>
        <v>saída</v>
      </c>
      <c r="T210" s="334" t="s">
        <v>1082</v>
      </c>
      <c r="U210" s="334">
        <v>552</v>
      </c>
      <c r="V210" s="344"/>
      <c r="W210" s="269"/>
    </row>
    <row r="211" spans="1:23" ht="118.5" customHeight="1" x14ac:dyDescent="0.2">
      <c r="A211" s="277">
        <f t="shared" si="0"/>
        <v>207</v>
      </c>
      <c r="B211" s="278">
        <v>44202</v>
      </c>
      <c r="C211" s="249">
        <v>44166</v>
      </c>
      <c r="D211" s="250" t="s">
        <v>104</v>
      </c>
      <c r="E211" s="250" t="s">
        <v>104</v>
      </c>
      <c r="F211" s="251">
        <v>1720</v>
      </c>
      <c r="G211" s="255" t="s">
        <v>2736</v>
      </c>
      <c r="H211" s="250" t="s">
        <v>104</v>
      </c>
      <c r="I211" s="250" t="s">
        <v>2737</v>
      </c>
      <c r="J211" s="250" t="s">
        <v>458</v>
      </c>
      <c r="K211" s="255" t="s">
        <v>1015</v>
      </c>
      <c r="L211" s="250" t="s">
        <v>1029</v>
      </c>
      <c r="M211" s="255">
        <v>1004</v>
      </c>
      <c r="N211" s="278">
        <v>44201</v>
      </c>
      <c r="O211" s="329" t="s">
        <v>69</v>
      </c>
      <c r="P211" s="386">
        <f t="shared" ref="P211:Q211" si="208">IF(B211=0,0,IF(YEAR(B211)=$Q$1,MONTH(B211)-$P$1+1,(YEAR(B211)-$Q$1)*12-$P$1+1+MONTH(B211)))</f>
        <v>1</v>
      </c>
      <c r="Q211" s="330">
        <f t="shared" si="208"/>
        <v>0</v>
      </c>
      <c r="R211" s="351" t="str">
        <f t="shared" si="3"/>
        <v>Gastos_custeados_por_captação</v>
      </c>
      <c r="S211" s="351" t="str">
        <f>IF(D211="","",IF(OR(D211=Plano!$A$1,D211=Plano!$B$1),"entrada","saída"))</f>
        <v>saída</v>
      </c>
      <c r="T211" s="334" t="s">
        <v>994</v>
      </c>
      <c r="U211" s="334">
        <v>366</v>
      </c>
      <c r="V211" s="344"/>
      <c r="W211" s="269"/>
    </row>
    <row r="212" spans="1:23" ht="69.75" customHeight="1" x14ac:dyDescent="0.2">
      <c r="A212" s="277">
        <f t="shared" si="0"/>
        <v>208</v>
      </c>
      <c r="B212" s="278">
        <v>44203</v>
      </c>
      <c r="C212" s="256">
        <v>44166</v>
      </c>
      <c r="D212" s="255" t="s">
        <v>88</v>
      </c>
      <c r="E212" s="255" t="s">
        <v>171</v>
      </c>
      <c r="F212" s="258">
        <v>-179.68</v>
      </c>
      <c r="G212" s="255" t="s">
        <v>2738</v>
      </c>
      <c r="H212" s="255" t="s">
        <v>114</v>
      </c>
      <c r="I212" s="250" t="s">
        <v>983</v>
      </c>
      <c r="J212" s="255" t="s">
        <v>850</v>
      </c>
      <c r="K212" s="255" t="s">
        <v>946</v>
      </c>
      <c r="L212" s="250" t="s">
        <v>947</v>
      </c>
      <c r="M212" s="255" t="s">
        <v>114</v>
      </c>
      <c r="N212" s="278">
        <v>44203</v>
      </c>
      <c r="O212" s="329" t="s">
        <v>67</v>
      </c>
      <c r="P212" s="386">
        <f t="shared" ref="P212:Q212" si="209">IF(B212=0,0,IF(YEAR(B212)=$Q$1,MONTH(B212)-$P$1+1,(YEAR(B212)-$Q$1)*12-$P$1+1+MONTH(B212)))</f>
        <v>1</v>
      </c>
      <c r="Q212" s="330">
        <f t="shared" si="209"/>
        <v>0</v>
      </c>
      <c r="R212" s="351" t="str">
        <f t="shared" si="3"/>
        <v>Gastos_com_Pessoal</v>
      </c>
      <c r="S212" s="351" t="str">
        <f>IF(D212="","",IF(OR(D212=Plano!$A$1,D212=Plano!$B$1),"entrada","saída"))</f>
        <v>saída</v>
      </c>
      <c r="T212" s="334" t="s">
        <v>114</v>
      </c>
      <c r="U212" s="334" t="s">
        <v>114</v>
      </c>
      <c r="V212" s="344"/>
      <c r="W212" s="269"/>
    </row>
    <row r="213" spans="1:23" ht="69.75" customHeight="1" x14ac:dyDescent="0.2">
      <c r="A213" s="277">
        <f t="shared" si="0"/>
        <v>209</v>
      </c>
      <c r="B213" s="278">
        <v>44203</v>
      </c>
      <c r="C213" s="256">
        <v>44166</v>
      </c>
      <c r="D213" s="255" t="s">
        <v>88</v>
      </c>
      <c r="E213" s="255" t="s">
        <v>175</v>
      </c>
      <c r="F213" s="258">
        <v>-82.35</v>
      </c>
      <c r="G213" s="255" t="s">
        <v>2739</v>
      </c>
      <c r="H213" s="255" t="s">
        <v>114</v>
      </c>
      <c r="I213" s="250" t="s">
        <v>983</v>
      </c>
      <c r="J213" s="255" t="s">
        <v>850</v>
      </c>
      <c r="K213" s="255" t="s">
        <v>946</v>
      </c>
      <c r="L213" s="250" t="s">
        <v>947</v>
      </c>
      <c r="M213" s="255" t="s">
        <v>114</v>
      </c>
      <c r="N213" s="278">
        <v>44203</v>
      </c>
      <c r="O213" s="329" t="s">
        <v>67</v>
      </c>
      <c r="P213" s="386">
        <f t="shared" ref="P213:Q213" si="210">IF(B213=0,0,IF(YEAR(B213)=$Q$1,MONTH(B213)-$P$1+1,(YEAR(B213)-$Q$1)*12-$P$1+1+MONTH(B213)))</f>
        <v>1</v>
      </c>
      <c r="Q213" s="330">
        <f t="shared" si="210"/>
        <v>0</v>
      </c>
      <c r="R213" s="351" t="str">
        <f t="shared" si="3"/>
        <v>Gastos_com_Pessoal</v>
      </c>
      <c r="S213" s="351" t="str">
        <f>IF(D213="","",IF(OR(D213=Plano!$A$1,D213=Plano!$B$1),"entrada","saída"))</f>
        <v>saída</v>
      </c>
      <c r="T213" s="334" t="s">
        <v>114</v>
      </c>
      <c r="U213" s="334" t="s">
        <v>114</v>
      </c>
      <c r="V213" s="344"/>
      <c r="W213" s="269"/>
    </row>
    <row r="214" spans="1:23" ht="69.75" customHeight="1" x14ac:dyDescent="0.2">
      <c r="A214" s="277">
        <f t="shared" si="0"/>
        <v>210</v>
      </c>
      <c r="B214" s="278">
        <v>44203</v>
      </c>
      <c r="C214" s="256">
        <v>44166</v>
      </c>
      <c r="D214" s="255" t="s">
        <v>88</v>
      </c>
      <c r="E214" s="255" t="s">
        <v>171</v>
      </c>
      <c r="F214" s="258">
        <v>-1771.23</v>
      </c>
      <c r="G214" s="255" t="s">
        <v>2740</v>
      </c>
      <c r="H214" s="255" t="s">
        <v>114</v>
      </c>
      <c r="I214" s="250" t="s">
        <v>983</v>
      </c>
      <c r="J214" s="255" t="s">
        <v>850</v>
      </c>
      <c r="K214" s="255" t="s">
        <v>946</v>
      </c>
      <c r="L214" s="250" t="s">
        <v>947</v>
      </c>
      <c r="M214" s="255" t="s">
        <v>114</v>
      </c>
      <c r="N214" s="278">
        <v>44203</v>
      </c>
      <c r="O214" s="329" t="s">
        <v>67</v>
      </c>
      <c r="P214" s="386">
        <f t="shared" ref="P214:Q214" si="211">IF(B214=0,0,IF(YEAR(B214)=$Q$1,MONTH(B214)-$P$1+1,(YEAR(B214)-$Q$1)*12-$P$1+1+MONTH(B214)))</f>
        <v>1</v>
      </c>
      <c r="Q214" s="330">
        <f t="shared" si="211"/>
        <v>0</v>
      </c>
      <c r="R214" s="351" t="str">
        <f t="shared" si="3"/>
        <v>Gastos_com_Pessoal</v>
      </c>
      <c r="S214" s="351" t="str">
        <f>IF(D214="","",IF(OR(D214=Plano!$A$1,D214=Plano!$B$1),"entrada","saída"))</f>
        <v>saída</v>
      </c>
      <c r="T214" s="334" t="s">
        <v>114</v>
      </c>
      <c r="U214" s="334" t="s">
        <v>114</v>
      </c>
      <c r="V214" s="344"/>
      <c r="W214" s="269"/>
    </row>
    <row r="215" spans="1:23" ht="69.75" customHeight="1" x14ac:dyDescent="0.2">
      <c r="A215" s="277">
        <f t="shared" si="0"/>
        <v>211</v>
      </c>
      <c r="B215" s="278">
        <v>44203</v>
      </c>
      <c r="C215" s="256">
        <v>44166</v>
      </c>
      <c r="D215" s="255" t="s">
        <v>88</v>
      </c>
      <c r="E215" s="255" t="s">
        <v>175</v>
      </c>
      <c r="F215" s="258">
        <v>-170.16</v>
      </c>
      <c r="G215" s="255" t="s">
        <v>2741</v>
      </c>
      <c r="H215" s="255" t="s">
        <v>114</v>
      </c>
      <c r="I215" s="250" t="s">
        <v>983</v>
      </c>
      <c r="J215" s="255" t="s">
        <v>850</v>
      </c>
      <c r="K215" s="255" t="s">
        <v>946</v>
      </c>
      <c r="L215" s="250" t="s">
        <v>947</v>
      </c>
      <c r="M215" s="255" t="s">
        <v>114</v>
      </c>
      <c r="N215" s="278">
        <v>44203</v>
      </c>
      <c r="O215" s="329" t="s">
        <v>67</v>
      </c>
      <c r="P215" s="386">
        <f t="shared" ref="P215:Q215" si="212">IF(B215=0,0,IF(YEAR(B215)=$Q$1,MONTH(B215)-$P$1+1,(YEAR(B215)-$Q$1)*12-$P$1+1+MONTH(B215)))</f>
        <v>1</v>
      </c>
      <c r="Q215" s="330">
        <f t="shared" si="212"/>
        <v>0</v>
      </c>
      <c r="R215" s="351" t="str">
        <f t="shared" si="3"/>
        <v>Gastos_com_Pessoal</v>
      </c>
      <c r="S215" s="351" t="str">
        <f>IF(D215="","",IF(OR(D215=Plano!$A$1,D215=Plano!$B$1),"entrada","saída"))</f>
        <v>saída</v>
      </c>
      <c r="T215" s="334" t="s">
        <v>114</v>
      </c>
      <c r="U215" s="334" t="s">
        <v>114</v>
      </c>
      <c r="V215" s="344"/>
      <c r="W215" s="269"/>
    </row>
    <row r="216" spans="1:23" ht="163.5" customHeight="1" x14ac:dyDescent="0.2">
      <c r="A216" s="277">
        <f t="shared" si="0"/>
        <v>212</v>
      </c>
      <c r="B216" s="278">
        <v>44203</v>
      </c>
      <c r="C216" s="249">
        <v>44105</v>
      </c>
      <c r="D216" s="250" t="s">
        <v>99</v>
      </c>
      <c r="E216" s="250" t="s">
        <v>330</v>
      </c>
      <c r="F216" s="251">
        <v>1780</v>
      </c>
      <c r="G216" s="255" t="s">
        <v>2742</v>
      </c>
      <c r="H216" s="250" t="s">
        <v>125</v>
      </c>
      <c r="I216" s="250" t="s">
        <v>2743</v>
      </c>
      <c r="J216" s="250" t="s">
        <v>2744</v>
      </c>
      <c r="K216" s="255" t="s">
        <v>1015</v>
      </c>
      <c r="L216" s="250" t="s">
        <v>1029</v>
      </c>
      <c r="M216" s="255">
        <v>1001</v>
      </c>
      <c r="N216" s="278">
        <v>44201</v>
      </c>
      <c r="O216" s="329" t="s">
        <v>67</v>
      </c>
      <c r="P216" s="386">
        <f t="shared" ref="P216:Q216" si="213">IF(B216=0,0,IF(YEAR(B216)=$Q$1,MONTH(B216)-$P$1+1,(YEAR(B216)-$Q$1)*12-$P$1+1+MONTH(B216)))</f>
        <v>1</v>
      </c>
      <c r="Q216" s="330">
        <f t="shared" si="213"/>
        <v>-2</v>
      </c>
      <c r="R216" s="351" t="str">
        <f t="shared" si="3"/>
        <v>Gastos_Gerais</v>
      </c>
      <c r="S216" s="351" t="str">
        <f>IF(D216="","",IF(OR(D216=Plano!$A$1,D216=Plano!$B$1),"entrada","saída"))</f>
        <v>saída</v>
      </c>
      <c r="T216" s="334" t="s">
        <v>994</v>
      </c>
      <c r="U216" s="334">
        <v>798</v>
      </c>
      <c r="V216" s="344"/>
      <c r="W216" s="269"/>
    </row>
    <row r="217" spans="1:23" ht="187.5" customHeight="1" x14ac:dyDescent="0.2">
      <c r="A217" s="277">
        <f t="shared" si="0"/>
        <v>213</v>
      </c>
      <c r="B217" s="278">
        <v>44203</v>
      </c>
      <c r="C217" s="249">
        <v>44166</v>
      </c>
      <c r="D217" s="250" t="s">
        <v>99</v>
      </c>
      <c r="E217" s="250" t="s">
        <v>336</v>
      </c>
      <c r="F217" s="251">
        <v>2300</v>
      </c>
      <c r="G217" s="255" t="s">
        <v>2486</v>
      </c>
      <c r="H217" s="250" t="s">
        <v>116</v>
      </c>
      <c r="I217" s="250" t="s">
        <v>2745</v>
      </c>
      <c r="J217" s="250" t="s">
        <v>2746</v>
      </c>
      <c r="K217" s="255" t="s">
        <v>1015</v>
      </c>
      <c r="L217" s="250" t="s">
        <v>992</v>
      </c>
      <c r="M217" s="255">
        <v>48</v>
      </c>
      <c r="N217" s="278">
        <v>44202</v>
      </c>
      <c r="O217" s="329" t="s">
        <v>67</v>
      </c>
      <c r="P217" s="386">
        <f t="shared" ref="P217:Q217" si="214">IF(B217=0,0,IF(YEAR(B217)=$Q$1,MONTH(B217)-$P$1+1,(YEAR(B217)-$Q$1)*12-$P$1+1+MONTH(B217)))</f>
        <v>1</v>
      </c>
      <c r="Q217" s="330">
        <f t="shared" si="214"/>
        <v>0</v>
      </c>
      <c r="R217" s="351" t="str">
        <f t="shared" si="3"/>
        <v>Gastos_Gerais</v>
      </c>
      <c r="S217" s="351" t="str">
        <f>IF(D217="","",IF(OR(D217=Plano!$A$1,D217=Plano!$B$1),"entrada","saída"))</f>
        <v>saída</v>
      </c>
      <c r="T217" s="334" t="s">
        <v>994</v>
      </c>
      <c r="U217" s="334">
        <v>630</v>
      </c>
      <c r="V217" s="344"/>
      <c r="W217" s="269"/>
    </row>
    <row r="218" spans="1:23" ht="189" customHeight="1" x14ac:dyDescent="0.2">
      <c r="A218" s="277">
        <f t="shared" si="0"/>
        <v>214</v>
      </c>
      <c r="B218" s="278">
        <v>44203</v>
      </c>
      <c r="C218" s="249">
        <v>44166</v>
      </c>
      <c r="D218" s="250" t="s">
        <v>99</v>
      </c>
      <c r="E218" s="250" t="s">
        <v>336</v>
      </c>
      <c r="F218" s="251">
        <v>1967.27</v>
      </c>
      <c r="G218" s="255" t="s">
        <v>2747</v>
      </c>
      <c r="H218" s="250" t="s">
        <v>116</v>
      </c>
      <c r="I218" s="250" t="s">
        <v>2748</v>
      </c>
      <c r="J218" s="250" t="s">
        <v>2749</v>
      </c>
      <c r="K218" s="255" t="s">
        <v>1015</v>
      </c>
      <c r="L218" s="250" t="s">
        <v>1029</v>
      </c>
      <c r="M218" s="255">
        <v>997</v>
      </c>
      <c r="N218" s="278">
        <v>44201</v>
      </c>
      <c r="O218" s="329" t="s">
        <v>67</v>
      </c>
      <c r="P218" s="386">
        <f t="shared" ref="P218:Q218" si="215">IF(B218=0,0,IF(YEAR(B218)=$Q$1,MONTH(B218)-$P$1+1,(YEAR(B218)-$Q$1)*12-$P$1+1+MONTH(B218)))</f>
        <v>1</v>
      </c>
      <c r="Q218" s="330">
        <f t="shared" si="215"/>
        <v>0</v>
      </c>
      <c r="R218" s="351" t="str">
        <f t="shared" si="3"/>
        <v>Gastos_Gerais</v>
      </c>
      <c r="S218" s="351" t="str">
        <f>IF(D218="","",IF(OR(D218=Plano!$A$1,D218=Plano!$B$1),"entrada","saída"))</f>
        <v>saída</v>
      </c>
      <c r="T218" s="334" t="s">
        <v>994</v>
      </c>
      <c r="U218" s="334">
        <v>596</v>
      </c>
      <c r="V218" s="344"/>
      <c r="W218" s="269"/>
    </row>
    <row r="219" spans="1:23" ht="69.75" customHeight="1" x14ac:dyDescent="0.2">
      <c r="A219" s="277">
        <f t="shared" si="0"/>
        <v>215</v>
      </c>
      <c r="B219" s="278">
        <v>44203</v>
      </c>
      <c r="C219" s="256">
        <v>44166</v>
      </c>
      <c r="D219" s="255" t="s">
        <v>88</v>
      </c>
      <c r="E219" s="255" t="s">
        <v>90</v>
      </c>
      <c r="F219" s="258">
        <v>9159.7199999999993</v>
      </c>
      <c r="G219" s="255" t="s">
        <v>2750</v>
      </c>
      <c r="H219" s="255" t="s">
        <v>114</v>
      </c>
      <c r="I219" s="250" t="s">
        <v>1181</v>
      </c>
      <c r="J219" s="255" t="s">
        <v>1182</v>
      </c>
      <c r="K219" s="255" t="s">
        <v>991</v>
      </c>
      <c r="L219" s="250" t="s">
        <v>1183</v>
      </c>
      <c r="M219" s="279" t="s">
        <v>114</v>
      </c>
      <c r="N219" s="278">
        <v>44203</v>
      </c>
      <c r="O219" s="329" t="s">
        <v>67</v>
      </c>
      <c r="P219" s="386">
        <f t="shared" ref="P219:Q219" si="216">IF(B219=0,0,IF(YEAR(B219)=$Q$1,MONTH(B219)-$P$1+1,(YEAR(B219)-$Q$1)*12-$P$1+1+MONTH(B219)))</f>
        <v>1</v>
      </c>
      <c r="Q219" s="330">
        <f t="shared" si="216"/>
        <v>0</v>
      </c>
      <c r="R219" s="351" t="str">
        <f t="shared" si="3"/>
        <v>Gastos_com_Pessoal</v>
      </c>
      <c r="S219" s="351" t="str">
        <f>IF(D219="","",IF(OR(D219=Plano!$A$1,D219=Plano!$B$1),"entrada","saída"))</f>
        <v>saída</v>
      </c>
      <c r="T219" s="334" t="s">
        <v>114</v>
      </c>
      <c r="U219" s="334" t="s">
        <v>114</v>
      </c>
      <c r="V219" s="344"/>
      <c r="W219" s="269"/>
    </row>
    <row r="220" spans="1:23" ht="69.75" customHeight="1" x14ac:dyDescent="0.2">
      <c r="A220" s="277">
        <f t="shared" si="0"/>
        <v>216</v>
      </c>
      <c r="B220" s="278">
        <v>44203</v>
      </c>
      <c r="C220" s="256">
        <v>44166</v>
      </c>
      <c r="D220" s="255" t="s">
        <v>88</v>
      </c>
      <c r="E220" s="255" t="s">
        <v>90</v>
      </c>
      <c r="F220" s="258">
        <v>2988.55</v>
      </c>
      <c r="G220" s="255" t="s">
        <v>2751</v>
      </c>
      <c r="H220" s="255" t="s">
        <v>114</v>
      </c>
      <c r="I220" s="250" t="s">
        <v>1185</v>
      </c>
      <c r="J220" s="255" t="s">
        <v>1186</v>
      </c>
      <c r="K220" s="255" t="s">
        <v>991</v>
      </c>
      <c r="L220" s="250" t="s">
        <v>1183</v>
      </c>
      <c r="M220" s="279" t="s">
        <v>114</v>
      </c>
      <c r="N220" s="278">
        <v>44203</v>
      </c>
      <c r="O220" s="329" t="s">
        <v>67</v>
      </c>
      <c r="P220" s="386">
        <f t="shared" ref="P220:Q220" si="217">IF(B220=0,0,IF(YEAR(B220)=$Q$1,MONTH(B220)-$P$1+1,(YEAR(B220)-$Q$1)*12-$P$1+1+MONTH(B220)))</f>
        <v>1</v>
      </c>
      <c r="Q220" s="330">
        <f t="shared" si="217"/>
        <v>0</v>
      </c>
      <c r="R220" s="351" t="str">
        <f t="shared" si="3"/>
        <v>Gastos_com_Pessoal</v>
      </c>
      <c r="S220" s="351" t="str">
        <f>IF(D220="","",IF(OR(D220=Plano!$A$1,D220=Plano!$B$1),"entrada","saída"))</f>
        <v>saída</v>
      </c>
      <c r="T220" s="334" t="s">
        <v>114</v>
      </c>
      <c r="U220" s="334" t="s">
        <v>114</v>
      </c>
      <c r="V220" s="344"/>
      <c r="W220" s="269"/>
    </row>
    <row r="221" spans="1:23" ht="69.75" customHeight="1" x14ac:dyDescent="0.2">
      <c r="A221" s="277">
        <f t="shared" si="0"/>
        <v>217</v>
      </c>
      <c r="B221" s="278">
        <v>44203</v>
      </c>
      <c r="C221" s="256">
        <v>44166</v>
      </c>
      <c r="D221" s="255" t="s">
        <v>88</v>
      </c>
      <c r="E221" s="255" t="s">
        <v>90</v>
      </c>
      <c r="F221" s="258">
        <v>1386.03</v>
      </c>
      <c r="G221" s="255" t="s">
        <v>2752</v>
      </c>
      <c r="H221" s="255" t="s">
        <v>114</v>
      </c>
      <c r="I221" s="250" t="s">
        <v>1188</v>
      </c>
      <c r="J221" s="255" t="s">
        <v>1189</v>
      </c>
      <c r="K221" s="255" t="s">
        <v>991</v>
      </c>
      <c r="L221" s="250" t="s">
        <v>1183</v>
      </c>
      <c r="M221" s="279" t="s">
        <v>114</v>
      </c>
      <c r="N221" s="278">
        <v>44203</v>
      </c>
      <c r="O221" s="329" t="s">
        <v>67</v>
      </c>
      <c r="P221" s="386">
        <f t="shared" ref="P221:Q221" si="218">IF(B221=0,0,IF(YEAR(B221)=$Q$1,MONTH(B221)-$P$1+1,(YEAR(B221)-$Q$1)*12-$P$1+1+MONTH(B221)))</f>
        <v>1</v>
      </c>
      <c r="Q221" s="330">
        <f t="shared" si="218"/>
        <v>0</v>
      </c>
      <c r="R221" s="351" t="str">
        <f t="shared" si="3"/>
        <v>Gastos_com_Pessoal</v>
      </c>
      <c r="S221" s="351" t="str">
        <f>IF(D221="","",IF(OR(D221=Plano!$A$1,D221=Plano!$B$1),"entrada","saída"))</f>
        <v>saída</v>
      </c>
      <c r="T221" s="334" t="s">
        <v>114</v>
      </c>
      <c r="U221" s="334" t="s">
        <v>114</v>
      </c>
      <c r="V221" s="344"/>
      <c r="W221" s="269"/>
    </row>
    <row r="222" spans="1:23" ht="69.75" customHeight="1" x14ac:dyDescent="0.2">
      <c r="A222" s="277">
        <f t="shared" si="0"/>
        <v>218</v>
      </c>
      <c r="B222" s="278">
        <v>44203</v>
      </c>
      <c r="C222" s="256">
        <v>44166</v>
      </c>
      <c r="D222" s="255" t="s">
        <v>88</v>
      </c>
      <c r="E222" s="255" t="s">
        <v>90</v>
      </c>
      <c r="F222" s="258">
        <v>1323.77</v>
      </c>
      <c r="G222" s="255" t="s">
        <v>2753</v>
      </c>
      <c r="H222" s="255" t="s">
        <v>114</v>
      </c>
      <c r="I222" s="250" t="s">
        <v>1191</v>
      </c>
      <c r="J222" s="255" t="s">
        <v>1192</v>
      </c>
      <c r="K222" s="255" t="s">
        <v>991</v>
      </c>
      <c r="L222" s="250" t="s">
        <v>1183</v>
      </c>
      <c r="M222" s="279" t="s">
        <v>114</v>
      </c>
      <c r="N222" s="278">
        <v>44203</v>
      </c>
      <c r="O222" s="329" t="s">
        <v>67</v>
      </c>
      <c r="P222" s="386">
        <f t="shared" ref="P222:Q222" si="219">IF(B222=0,0,IF(YEAR(B222)=$Q$1,MONTH(B222)-$P$1+1,(YEAR(B222)-$Q$1)*12-$P$1+1+MONTH(B222)))</f>
        <v>1</v>
      </c>
      <c r="Q222" s="330">
        <f t="shared" si="219"/>
        <v>0</v>
      </c>
      <c r="R222" s="351" t="str">
        <f t="shared" si="3"/>
        <v>Gastos_com_Pessoal</v>
      </c>
      <c r="S222" s="351" t="str">
        <f>IF(D222="","",IF(OR(D222=Plano!$A$1,D222=Plano!$B$1),"entrada","saída"))</f>
        <v>saída</v>
      </c>
      <c r="T222" s="334" t="s">
        <v>114</v>
      </c>
      <c r="U222" s="334" t="s">
        <v>114</v>
      </c>
      <c r="V222" s="344"/>
      <c r="W222" s="269"/>
    </row>
    <row r="223" spans="1:23" ht="69.75" customHeight="1" x14ac:dyDescent="0.2">
      <c r="A223" s="277">
        <f t="shared" si="0"/>
        <v>219</v>
      </c>
      <c r="B223" s="278">
        <v>44203</v>
      </c>
      <c r="C223" s="256">
        <v>44166</v>
      </c>
      <c r="D223" s="255" t="s">
        <v>88</v>
      </c>
      <c r="E223" s="255" t="s">
        <v>90</v>
      </c>
      <c r="F223" s="258">
        <v>10081.280000000001</v>
      </c>
      <c r="G223" s="255" t="s">
        <v>2754</v>
      </c>
      <c r="H223" s="255" t="s">
        <v>114</v>
      </c>
      <c r="I223" s="250" t="s">
        <v>1197</v>
      </c>
      <c r="J223" s="255" t="s">
        <v>1198</v>
      </c>
      <c r="K223" s="255" t="s">
        <v>991</v>
      </c>
      <c r="L223" s="250" t="s">
        <v>1183</v>
      </c>
      <c r="M223" s="279" t="s">
        <v>114</v>
      </c>
      <c r="N223" s="278">
        <v>44203</v>
      </c>
      <c r="O223" s="329" t="s">
        <v>67</v>
      </c>
      <c r="P223" s="386">
        <f t="shared" ref="P223:Q223" si="220">IF(B223=0,0,IF(YEAR(B223)=$Q$1,MONTH(B223)-$P$1+1,(YEAR(B223)-$Q$1)*12-$P$1+1+MONTH(B223)))</f>
        <v>1</v>
      </c>
      <c r="Q223" s="330">
        <f t="shared" si="220"/>
        <v>0</v>
      </c>
      <c r="R223" s="351" t="str">
        <f t="shared" si="3"/>
        <v>Gastos_com_Pessoal</v>
      </c>
      <c r="S223" s="351" t="str">
        <f>IF(D223="","",IF(OR(D223=Plano!$A$1,D223=Plano!$B$1),"entrada","saída"))</f>
        <v>saída</v>
      </c>
      <c r="T223" s="334" t="s">
        <v>114</v>
      </c>
      <c r="U223" s="334" t="s">
        <v>114</v>
      </c>
      <c r="V223" s="344"/>
      <c r="W223" s="269"/>
    </row>
    <row r="224" spans="1:23" ht="69.75" customHeight="1" x14ac:dyDescent="0.2">
      <c r="A224" s="277">
        <f t="shared" si="0"/>
        <v>220</v>
      </c>
      <c r="B224" s="278">
        <v>44203</v>
      </c>
      <c r="C224" s="256">
        <v>44166</v>
      </c>
      <c r="D224" s="255" t="s">
        <v>88</v>
      </c>
      <c r="E224" s="255" t="s">
        <v>90</v>
      </c>
      <c r="F224" s="258">
        <v>4408.1899999999996</v>
      </c>
      <c r="G224" s="255" t="s">
        <v>2755</v>
      </c>
      <c r="H224" s="255" t="s">
        <v>114</v>
      </c>
      <c r="I224" s="250" t="s">
        <v>2756</v>
      </c>
      <c r="J224" s="255" t="s">
        <v>2757</v>
      </c>
      <c r="K224" s="255" t="s">
        <v>991</v>
      </c>
      <c r="L224" s="250" t="s">
        <v>1183</v>
      </c>
      <c r="M224" s="279" t="s">
        <v>114</v>
      </c>
      <c r="N224" s="278">
        <v>44203</v>
      </c>
      <c r="O224" s="329" t="s">
        <v>67</v>
      </c>
      <c r="P224" s="386">
        <f t="shared" ref="P224:Q224" si="221">IF(B224=0,0,IF(YEAR(B224)=$Q$1,MONTH(B224)-$P$1+1,(YEAR(B224)-$Q$1)*12-$P$1+1+MONTH(B224)))</f>
        <v>1</v>
      </c>
      <c r="Q224" s="330">
        <f t="shared" si="221"/>
        <v>0</v>
      </c>
      <c r="R224" s="351" t="str">
        <f t="shared" si="3"/>
        <v>Gastos_com_Pessoal</v>
      </c>
      <c r="S224" s="351" t="str">
        <f>IF(D224="","",IF(OR(D224=Plano!$A$1,D224=Plano!$B$1),"entrada","saída"))</f>
        <v>saída</v>
      </c>
      <c r="T224" s="334" t="s">
        <v>114</v>
      </c>
      <c r="U224" s="334" t="s">
        <v>114</v>
      </c>
      <c r="V224" s="344"/>
      <c r="W224" s="269"/>
    </row>
    <row r="225" spans="1:23" ht="69.75" customHeight="1" x14ac:dyDescent="0.2">
      <c r="A225" s="277">
        <f t="shared" si="0"/>
        <v>221</v>
      </c>
      <c r="B225" s="278">
        <v>44203</v>
      </c>
      <c r="C225" s="256">
        <v>44166</v>
      </c>
      <c r="D225" s="255" t="s">
        <v>88</v>
      </c>
      <c r="E225" s="255" t="s">
        <v>90</v>
      </c>
      <c r="F225" s="258">
        <v>1018.85</v>
      </c>
      <c r="G225" s="255" t="s">
        <v>2758</v>
      </c>
      <c r="H225" s="255" t="s">
        <v>114</v>
      </c>
      <c r="I225" s="250" t="s">
        <v>1203</v>
      </c>
      <c r="J225" s="255" t="s">
        <v>1204</v>
      </c>
      <c r="K225" s="255" t="s">
        <v>991</v>
      </c>
      <c r="L225" s="250" t="s">
        <v>1183</v>
      </c>
      <c r="M225" s="279" t="s">
        <v>114</v>
      </c>
      <c r="N225" s="278">
        <v>44203</v>
      </c>
      <c r="O225" s="329" t="s">
        <v>67</v>
      </c>
      <c r="P225" s="386">
        <f t="shared" ref="P225:Q225" si="222">IF(B225=0,0,IF(YEAR(B225)=$Q$1,MONTH(B225)-$P$1+1,(YEAR(B225)-$Q$1)*12-$P$1+1+MONTH(B225)))</f>
        <v>1</v>
      </c>
      <c r="Q225" s="330">
        <f t="shared" si="222"/>
        <v>0</v>
      </c>
      <c r="R225" s="351" t="str">
        <f t="shared" si="3"/>
        <v>Gastos_com_Pessoal</v>
      </c>
      <c r="S225" s="351" t="str">
        <f>IF(D225="","",IF(OR(D225=Plano!$A$1,D225=Plano!$B$1),"entrada","saída"))</f>
        <v>saída</v>
      </c>
      <c r="T225" s="334" t="s">
        <v>114</v>
      </c>
      <c r="U225" s="334" t="s">
        <v>114</v>
      </c>
      <c r="V225" s="344"/>
      <c r="W225" s="269"/>
    </row>
    <row r="226" spans="1:23" ht="69.75" customHeight="1" x14ac:dyDescent="0.2">
      <c r="A226" s="277">
        <f t="shared" si="0"/>
        <v>222</v>
      </c>
      <c r="B226" s="278">
        <v>44203</v>
      </c>
      <c r="C226" s="256">
        <v>44166</v>
      </c>
      <c r="D226" s="255" t="s">
        <v>88</v>
      </c>
      <c r="E226" s="255" t="s">
        <v>90</v>
      </c>
      <c r="F226" s="258">
        <v>1415.62</v>
      </c>
      <c r="G226" s="255" t="s">
        <v>2752</v>
      </c>
      <c r="H226" s="255" t="s">
        <v>114</v>
      </c>
      <c r="I226" s="250" t="s">
        <v>1206</v>
      </c>
      <c r="J226" s="255" t="s">
        <v>1207</v>
      </c>
      <c r="K226" s="255" t="s">
        <v>991</v>
      </c>
      <c r="L226" s="250" t="s">
        <v>1183</v>
      </c>
      <c r="M226" s="279" t="s">
        <v>114</v>
      </c>
      <c r="N226" s="278">
        <v>44203</v>
      </c>
      <c r="O226" s="329" t="s">
        <v>67</v>
      </c>
      <c r="P226" s="386">
        <f t="shared" ref="P226:Q226" si="223">IF(B226=0,0,IF(YEAR(B226)=$Q$1,MONTH(B226)-$P$1+1,(YEAR(B226)-$Q$1)*12-$P$1+1+MONTH(B226)))</f>
        <v>1</v>
      </c>
      <c r="Q226" s="330">
        <f t="shared" si="223"/>
        <v>0</v>
      </c>
      <c r="R226" s="351" t="str">
        <f t="shared" si="3"/>
        <v>Gastos_com_Pessoal</v>
      </c>
      <c r="S226" s="351" t="str">
        <f>IF(D226="","",IF(OR(D226=Plano!$A$1,D226=Plano!$B$1),"entrada","saída"))</f>
        <v>saída</v>
      </c>
      <c r="T226" s="334" t="s">
        <v>114</v>
      </c>
      <c r="U226" s="334" t="s">
        <v>114</v>
      </c>
      <c r="V226" s="344"/>
      <c r="W226" s="269"/>
    </row>
    <row r="227" spans="1:23" ht="69.75" customHeight="1" x14ac:dyDescent="0.2">
      <c r="A227" s="277">
        <f t="shared" si="0"/>
        <v>223</v>
      </c>
      <c r="B227" s="278">
        <v>44203</v>
      </c>
      <c r="C227" s="256">
        <v>44166</v>
      </c>
      <c r="D227" s="255" t="s">
        <v>88</v>
      </c>
      <c r="E227" s="255" t="s">
        <v>90</v>
      </c>
      <c r="F227" s="258">
        <v>2709.11</v>
      </c>
      <c r="G227" s="255" t="s">
        <v>2759</v>
      </c>
      <c r="H227" s="255" t="s">
        <v>114</v>
      </c>
      <c r="I227" s="250" t="s">
        <v>1200</v>
      </c>
      <c r="J227" s="255" t="s">
        <v>1201</v>
      </c>
      <c r="K227" s="255" t="s">
        <v>991</v>
      </c>
      <c r="L227" s="250" t="s">
        <v>1183</v>
      </c>
      <c r="M227" s="279" t="s">
        <v>114</v>
      </c>
      <c r="N227" s="278">
        <v>44203</v>
      </c>
      <c r="O227" s="329" t="s">
        <v>67</v>
      </c>
      <c r="P227" s="386">
        <f t="shared" ref="P227:Q227" si="224">IF(B227=0,0,IF(YEAR(B227)=$Q$1,MONTH(B227)-$P$1+1,(YEAR(B227)-$Q$1)*12-$P$1+1+MONTH(B227)))</f>
        <v>1</v>
      </c>
      <c r="Q227" s="330">
        <f t="shared" si="224"/>
        <v>0</v>
      </c>
      <c r="R227" s="351" t="str">
        <f t="shared" si="3"/>
        <v>Gastos_com_Pessoal</v>
      </c>
      <c r="S227" s="351" t="str">
        <f>IF(D227="","",IF(OR(D227=Plano!$A$1,D227=Plano!$B$1),"entrada","saída"))</f>
        <v>saída</v>
      </c>
      <c r="T227" s="334" t="s">
        <v>114</v>
      </c>
      <c r="U227" s="334" t="s">
        <v>114</v>
      </c>
      <c r="V227" s="344"/>
      <c r="W227" s="269"/>
    </row>
    <row r="228" spans="1:23" ht="69.75" customHeight="1" x14ac:dyDescent="0.2">
      <c r="A228" s="277">
        <f t="shared" si="0"/>
        <v>224</v>
      </c>
      <c r="B228" s="278">
        <v>44203</v>
      </c>
      <c r="C228" s="256">
        <v>44166</v>
      </c>
      <c r="D228" s="255" t="s">
        <v>88</v>
      </c>
      <c r="E228" s="255" t="s">
        <v>90</v>
      </c>
      <c r="F228" s="258">
        <v>4408.1899999999996</v>
      </c>
      <c r="G228" s="255" t="s">
        <v>2755</v>
      </c>
      <c r="H228" s="255" t="s">
        <v>114</v>
      </c>
      <c r="I228" s="250" t="s">
        <v>1194</v>
      </c>
      <c r="J228" s="255" t="s">
        <v>1195</v>
      </c>
      <c r="K228" s="255" t="s">
        <v>991</v>
      </c>
      <c r="L228" s="250" t="s">
        <v>1183</v>
      </c>
      <c r="M228" s="279" t="s">
        <v>114</v>
      </c>
      <c r="N228" s="278">
        <v>44203</v>
      </c>
      <c r="O228" s="329" t="s">
        <v>67</v>
      </c>
      <c r="P228" s="386">
        <f t="shared" ref="P228:Q228" si="225">IF(B228=0,0,IF(YEAR(B228)=$Q$1,MONTH(B228)-$P$1+1,(YEAR(B228)-$Q$1)*12-$P$1+1+MONTH(B228)))</f>
        <v>1</v>
      </c>
      <c r="Q228" s="330">
        <f t="shared" si="225"/>
        <v>0</v>
      </c>
      <c r="R228" s="351" t="str">
        <f t="shared" si="3"/>
        <v>Gastos_com_Pessoal</v>
      </c>
      <c r="S228" s="351" t="str">
        <f>IF(D228="","",IF(OR(D228=Plano!$A$1,D228=Plano!$B$1),"entrada","saída"))</f>
        <v>saída</v>
      </c>
      <c r="T228" s="334" t="s">
        <v>114</v>
      </c>
      <c r="U228" s="334" t="s">
        <v>114</v>
      </c>
      <c r="V228" s="344"/>
      <c r="W228" s="269"/>
    </row>
    <row r="229" spans="1:23" ht="69.75" customHeight="1" x14ac:dyDescent="0.2">
      <c r="A229" s="277">
        <f t="shared" si="0"/>
        <v>225</v>
      </c>
      <c r="B229" s="278">
        <v>44203</v>
      </c>
      <c r="C229" s="256">
        <v>44166</v>
      </c>
      <c r="D229" s="255" t="s">
        <v>88</v>
      </c>
      <c r="E229" s="255" t="s">
        <v>90</v>
      </c>
      <c r="F229" s="258">
        <v>4410.75</v>
      </c>
      <c r="G229" s="255" t="s">
        <v>2755</v>
      </c>
      <c r="H229" s="255" t="s">
        <v>114</v>
      </c>
      <c r="I229" s="250" t="s">
        <v>2760</v>
      </c>
      <c r="J229" s="255" t="s">
        <v>2761</v>
      </c>
      <c r="K229" s="255" t="s">
        <v>991</v>
      </c>
      <c r="L229" s="250" t="s">
        <v>1183</v>
      </c>
      <c r="M229" s="279" t="s">
        <v>114</v>
      </c>
      <c r="N229" s="278">
        <v>44203</v>
      </c>
      <c r="O229" s="329" t="s">
        <v>67</v>
      </c>
      <c r="P229" s="386">
        <f t="shared" ref="P229:Q229" si="226">IF(B229=0,0,IF(YEAR(B229)=$Q$1,MONTH(B229)-$P$1+1,(YEAR(B229)-$Q$1)*12-$P$1+1+MONTH(B229)))</f>
        <v>1</v>
      </c>
      <c r="Q229" s="330">
        <f t="shared" si="226"/>
        <v>0</v>
      </c>
      <c r="R229" s="351" t="str">
        <f t="shared" si="3"/>
        <v>Gastos_com_Pessoal</v>
      </c>
      <c r="S229" s="351" t="str">
        <f>IF(D229="","",IF(OR(D229=Plano!$A$1,D229=Plano!$B$1),"entrada","saída"))</f>
        <v>saída</v>
      </c>
      <c r="T229" s="334" t="s">
        <v>114</v>
      </c>
      <c r="U229" s="334" t="s">
        <v>114</v>
      </c>
      <c r="V229" s="344"/>
      <c r="W229" s="269"/>
    </row>
    <row r="230" spans="1:23" ht="96" customHeight="1" x14ac:dyDescent="0.2">
      <c r="A230" s="277">
        <f t="shared" si="0"/>
        <v>226</v>
      </c>
      <c r="B230" s="278">
        <v>44203</v>
      </c>
      <c r="C230" s="249">
        <v>44136</v>
      </c>
      <c r="D230" s="250" t="s">
        <v>99</v>
      </c>
      <c r="E230" s="250" t="s">
        <v>358</v>
      </c>
      <c r="F230" s="251">
        <v>1708.8</v>
      </c>
      <c r="G230" s="255" t="s">
        <v>2762</v>
      </c>
      <c r="H230" s="250" t="s">
        <v>118</v>
      </c>
      <c r="I230" s="250" t="s">
        <v>2763</v>
      </c>
      <c r="J230" s="250" t="s">
        <v>2764</v>
      </c>
      <c r="K230" s="255" t="s">
        <v>991</v>
      </c>
      <c r="L230" s="250" t="s">
        <v>1029</v>
      </c>
      <c r="M230" s="255">
        <v>999</v>
      </c>
      <c r="N230" s="278">
        <v>44201</v>
      </c>
      <c r="O230" s="329" t="s">
        <v>67</v>
      </c>
      <c r="P230" s="386">
        <f t="shared" ref="P230:Q230" si="227">IF(B230=0,0,IF(YEAR(B230)=$Q$1,MONTH(B230)-$P$1+1,(YEAR(B230)-$Q$1)*12-$P$1+1+MONTH(B230)))</f>
        <v>1</v>
      </c>
      <c r="Q230" s="330">
        <f t="shared" si="227"/>
        <v>-1</v>
      </c>
      <c r="R230" s="351" t="str">
        <f t="shared" si="3"/>
        <v>Gastos_Gerais</v>
      </c>
      <c r="S230" s="351" t="str">
        <f>IF(D230="","",IF(OR(D230=Plano!$A$1,D230=Plano!$B$1),"entrada","saída"))</f>
        <v>saída</v>
      </c>
      <c r="T230" s="334" t="s">
        <v>994</v>
      </c>
      <c r="U230" s="334">
        <v>964</v>
      </c>
      <c r="V230" s="344"/>
      <c r="W230" s="269"/>
    </row>
    <row r="231" spans="1:23" ht="69.75" customHeight="1" x14ac:dyDescent="0.2">
      <c r="A231" s="277">
        <f t="shared" si="0"/>
        <v>227</v>
      </c>
      <c r="B231" s="278">
        <v>44203</v>
      </c>
      <c r="C231" s="249">
        <v>44166</v>
      </c>
      <c r="D231" s="250" t="s">
        <v>99</v>
      </c>
      <c r="E231" s="250" t="s">
        <v>330</v>
      </c>
      <c r="F231" s="251">
        <v>247.5</v>
      </c>
      <c r="G231" s="255" t="s">
        <v>2765</v>
      </c>
      <c r="H231" s="250" t="s">
        <v>115</v>
      </c>
      <c r="I231" s="250" t="s">
        <v>693</v>
      </c>
      <c r="J231" s="250" t="s">
        <v>694</v>
      </c>
      <c r="K231" s="255" t="s">
        <v>560</v>
      </c>
      <c r="L231" s="250" t="s">
        <v>1016</v>
      </c>
      <c r="M231" s="255">
        <v>26914</v>
      </c>
      <c r="N231" s="278">
        <v>44200</v>
      </c>
      <c r="O231" s="329" t="s">
        <v>67</v>
      </c>
      <c r="P231" s="386">
        <f t="shared" ref="P231:Q231" si="228">IF(B231=0,0,IF(YEAR(B231)=$Q$1,MONTH(B231)-$P$1+1,(YEAR(B231)-$Q$1)*12-$P$1+1+MONTH(B231)))</f>
        <v>1</v>
      </c>
      <c r="Q231" s="330">
        <f t="shared" si="228"/>
        <v>0</v>
      </c>
      <c r="R231" s="351" t="str">
        <f t="shared" si="3"/>
        <v>Gastos_Gerais</v>
      </c>
      <c r="S231" s="351" t="str">
        <f>IF(D231="","",IF(OR(D231=Plano!$A$1,D231=Plano!$B$1),"entrada","saída"))</f>
        <v>saída</v>
      </c>
      <c r="T231" s="334" t="s">
        <v>994</v>
      </c>
      <c r="U231" s="334">
        <v>77</v>
      </c>
      <c r="V231" s="344"/>
      <c r="W231" s="269"/>
    </row>
    <row r="232" spans="1:23" ht="69.75" customHeight="1" x14ac:dyDescent="0.2">
      <c r="A232" s="277">
        <f t="shared" si="0"/>
        <v>228</v>
      </c>
      <c r="B232" s="278">
        <v>44203</v>
      </c>
      <c r="C232" s="256">
        <v>44166</v>
      </c>
      <c r="D232" s="255" t="s">
        <v>88</v>
      </c>
      <c r="E232" s="255" t="s">
        <v>171</v>
      </c>
      <c r="F232" s="258">
        <v>9006.24</v>
      </c>
      <c r="G232" s="255" t="s">
        <v>2766</v>
      </c>
      <c r="H232" s="255" t="s">
        <v>114</v>
      </c>
      <c r="I232" s="250" t="s">
        <v>1259</v>
      </c>
      <c r="J232" s="255" t="s">
        <v>114</v>
      </c>
      <c r="K232" s="255" t="s">
        <v>466</v>
      </c>
      <c r="L232" s="250" t="s">
        <v>171</v>
      </c>
      <c r="M232" s="329" t="s">
        <v>114</v>
      </c>
      <c r="N232" s="278">
        <v>44203</v>
      </c>
      <c r="O232" s="329" t="s">
        <v>67</v>
      </c>
      <c r="P232" s="386">
        <f t="shared" ref="P232:Q232" si="229">IF(B232=0,0,IF(YEAR(B232)=$Q$1,MONTH(B232)-$P$1+1,(YEAR(B232)-$Q$1)*12-$P$1+1+MONTH(B232)))</f>
        <v>1</v>
      </c>
      <c r="Q232" s="330">
        <f t="shared" si="229"/>
        <v>0</v>
      </c>
      <c r="R232" s="351" t="str">
        <f t="shared" si="3"/>
        <v>Gastos_com_Pessoal</v>
      </c>
      <c r="S232" s="351" t="str">
        <f>IF(D232="","",IF(OR(D232=Plano!$A$1,D232=Plano!$B$1),"entrada","saída"))</f>
        <v>saída</v>
      </c>
      <c r="T232" s="334" t="s">
        <v>114</v>
      </c>
      <c r="U232" s="334" t="s">
        <v>114</v>
      </c>
      <c r="V232" s="344"/>
      <c r="W232" s="269"/>
    </row>
    <row r="233" spans="1:23" ht="69.75" customHeight="1" x14ac:dyDescent="0.2">
      <c r="A233" s="277">
        <f t="shared" si="0"/>
        <v>229</v>
      </c>
      <c r="B233" s="278">
        <v>44203</v>
      </c>
      <c r="C233" s="256">
        <v>44166</v>
      </c>
      <c r="D233" s="255" t="s">
        <v>88</v>
      </c>
      <c r="E233" s="255" t="s">
        <v>175</v>
      </c>
      <c r="F233" s="258">
        <v>3343.69</v>
      </c>
      <c r="G233" s="255" t="s">
        <v>2767</v>
      </c>
      <c r="H233" s="255" t="s">
        <v>114</v>
      </c>
      <c r="I233" s="250" t="s">
        <v>1259</v>
      </c>
      <c r="J233" s="255" t="s">
        <v>114</v>
      </c>
      <c r="K233" s="255" t="s">
        <v>466</v>
      </c>
      <c r="L233" s="250" t="s">
        <v>171</v>
      </c>
      <c r="M233" s="329" t="s">
        <v>114</v>
      </c>
      <c r="N233" s="278">
        <v>44203</v>
      </c>
      <c r="O233" s="329" t="s">
        <v>67</v>
      </c>
      <c r="P233" s="386">
        <f t="shared" ref="P233:Q233" si="230">IF(B233=0,0,IF(YEAR(B233)=$Q$1,MONTH(B233)-$P$1+1,(YEAR(B233)-$Q$1)*12-$P$1+1+MONTH(B233)))</f>
        <v>1</v>
      </c>
      <c r="Q233" s="330">
        <f t="shared" si="230"/>
        <v>0</v>
      </c>
      <c r="R233" s="351" t="str">
        <f t="shared" si="3"/>
        <v>Gastos_com_Pessoal</v>
      </c>
      <c r="S233" s="351" t="str">
        <f>IF(D233="","",IF(OR(D233=Plano!$A$1,D233=Plano!$B$1),"entrada","saída"))</f>
        <v>saída</v>
      </c>
      <c r="T233" s="334" t="s">
        <v>114</v>
      </c>
      <c r="U233" s="334" t="s">
        <v>114</v>
      </c>
      <c r="V233" s="344"/>
      <c r="W233" s="269"/>
    </row>
    <row r="234" spans="1:23" ht="163.5" customHeight="1" x14ac:dyDescent="0.2">
      <c r="A234" s="277">
        <f t="shared" si="0"/>
        <v>230</v>
      </c>
      <c r="B234" s="278">
        <v>44203</v>
      </c>
      <c r="C234" s="249">
        <v>44166</v>
      </c>
      <c r="D234" s="250" t="s">
        <v>99</v>
      </c>
      <c r="E234" s="250" t="s">
        <v>330</v>
      </c>
      <c r="F234" s="251">
        <v>170.69</v>
      </c>
      <c r="G234" s="255" t="s">
        <v>554</v>
      </c>
      <c r="H234" s="250" t="s">
        <v>122</v>
      </c>
      <c r="I234" s="250" t="s">
        <v>1430</v>
      </c>
      <c r="J234" s="250" t="s">
        <v>556</v>
      </c>
      <c r="K234" s="255" t="s">
        <v>991</v>
      </c>
      <c r="L234" s="250" t="s">
        <v>114</v>
      </c>
      <c r="M234" s="255" t="s">
        <v>114</v>
      </c>
      <c r="N234" s="278">
        <v>44203</v>
      </c>
      <c r="O234" s="329" t="s">
        <v>67</v>
      </c>
      <c r="P234" s="386">
        <f t="shared" ref="P234:Q234" si="231">IF(B234=0,0,IF(YEAR(B234)=$Q$1,MONTH(B234)-$P$1+1,(YEAR(B234)-$Q$1)*12-$P$1+1+MONTH(B234)))</f>
        <v>1</v>
      </c>
      <c r="Q234" s="330">
        <f t="shared" si="231"/>
        <v>0</v>
      </c>
      <c r="R234" s="351" t="str">
        <f t="shared" si="3"/>
        <v>Gastos_Gerais</v>
      </c>
      <c r="S234" s="351" t="str">
        <f>IF(D234="","",IF(OR(D234=Plano!$A$1,D234=Plano!$B$1),"entrada","saída"))</f>
        <v>saída</v>
      </c>
      <c r="T234" s="334" t="s">
        <v>994</v>
      </c>
      <c r="U234" s="334">
        <v>301</v>
      </c>
      <c r="V234" s="344"/>
      <c r="W234" s="269"/>
    </row>
    <row r="235" spans="1:23" ht="117.75" customHeight="1" x14ac:dyDescent="0.2">
      <c r="A235" s="277">
        <f t="shared" si="0"/>
        <v>231</v>
      </c>
      <c r="B235" s="278">
        <v>44203</v>
      </c>
      <c r="C235" s="249">
        <v>44166</v>
      </c>
      <c r="D235" s="250" t="s">
        <v>99</v>
      </c>
      <c r="E235" s="250" t="s">
        <v>254</v>
      </c>
      <c r="F235" s="251">
        <v>250</v>
      </c>
      <c r="G235" s="255" t="s">
        <v>2768</v>
      </c>
      <c r="H235" s="250" t="s">
        <v>115</v>
      </c>
      <c r="I235" s="250" t="s">
        <v>2091</v>
      </c>
      <c r="J235" s="250" t="s">
        <v>652</v>
      </c>
      <c r="K235" s="255" t="s">
        <v>991</v>
      </c>
      <c r="L235" s="250" t="s">
        <v>1177</v>
      </c>
      <c r="M235" s="255" t="s">
        <v>114</v>
      </c>
      <c r="N235" s="278">
        <v>44200</v>
      </c>
      <c r="O235" s="329" t="s">
        <v>67</v>
      </c>
      <c r="P235" s="386">
        <f t="shared" ref="P235:Q235" si="232">IF(B235=0,0,IF(YEAR(B235)=$Q$1,MONTH(B235)-$P$1+1,(YEAR(B235)-$Q$1)*12-$P$1+1+MONTH(B235)))</f>
        <v>1</v>
      </c>
      <c r="Q235" s="330">
        <f t="shared" si="232"/>
        <v>0</v>
      </c>
      <c r="R235" s="351" t="str">
        <f t="shared" si="3"/>
        <v>Gastos_Gerais</v>
      </c>
      <c r="S235" s="351" t="str">
        <f>IF(D235="","",IF(OR(D235=Plano!$A$1,D235=Plano!$B$1),"entrada","saída"))</f>
        <v>saída</v>
      </c>
      <c r="T235" s="334" t="s">
        <v>994</v>
      </c>
      <c r="U235" s="334">
        <v>192</v>
      </c>
      <c r="V235" s="344"/>
      <c r="W235" s="269"/>
    </row>
    <row r="236" spans="1:23" ht="126" customHeight="1" x14ac:dyDescent="0.2">
      <c r="A236" s="277">
        <f t="shared" si="0"/>
        <v>232</v>
      </c>
      <c r="B236" s="278">
        <v>44203</v>
      </c>
      <c r="C236" s="249">
        <v>44166</v>
      </c>
      <c r="D236" s="250" t="s">
        <v>99</v>
      </c>
      <c r="E236" s="250" t="s">
        <v>254</v>
      </c>
      <c r="F236" s="251">
        <v>500</v>
      </c>
      <c r="G236" s="255" t="s">
        <v>2769</v>
      </c>
      <c r="H236" s="250" t="s">
        <v>115</v>
      </c>
      <c r="I236" s="250" t="s">
        <v>1135</v>
      </c>
      <c r="J236" s="250" t="s">
        <v>652</v>
      </c>
      <c r="K236" s="255" t="s">
        <v>991</v>
      </c>
      <c r="L236" s="250" t="s">
        <v>1177</v>
      </c>
      <c r="M236" s="255" t="s">
        <v>114</v>
      </c>
      <c r="N236" s="278">
        <v>44200</v>
      </c>
      <c r="O236" s="329" t="s">
        <v>67</v>
      </c>
      <c r="P236" s="386">
        <f t="shared" ref="P236:Q236" si="233">IF(B236=0,0,IF(YEAR(B236)=$Q$1,MONTH(B236)-$P$1+1,(YEAR(B236)-$Q$1)*12-$P$1+1+MONTH(B236)))</f>
        <v>1</v>
      </c>
      <c r="Q236" s="330">
        <f t="shared" si="233"/>
        <v>0</v>
      </c>
      <c r="R236" s="351" t="str">
        <f t="shared" si="3"/>
        <v>Gastos_Gerais</v>
      </c>
      <c r="S236" s="351" t="str">
        <f>IF(D236="","",IF(OR(D236=Plano!$A$1,D236=Plano!$B$1),"entrada","saída"))</f>
        <v>saída</v>
      </c>
      <c r="T236" s="334" t="s">
        <v>994</v>
      </c>
      <c r="U236" s="334">
        <v>276</v>
      </c>
      <c r="V236" s="344"/>
      <c r="W236" s="269"/>
    </row>
    <row r="237" spans="1:23" ht="194.25" customHeight="1" x14ac:dyDescent="0.2">
      <c r="A237" s="277">
        <f t="shared" si="0"/>
        <v>233</v>
      </c>
      <c r="B237" s="278">
        <v>44203</v>
      </c>
      <c r="C237" s="249">
        <v>44166</v>
      </c>
      <c r="D237" s="250" t="s">
        <v>99</v>
      </c>
      <c r="E237" s="250" t="s">
        <v>336</v>
      </c>
      <c r="F237" s="251">
        <v>2300</v>
      </c>
      <c r="G237" s="255" t="s">
        <v>2492</v>
      </c>
      <c r="H237" s="250" t="s">
        <v>117</v>
      </c>
      <c r="I237" s="250" t="s">
        <v>2770</v>
      </c>
      <c r="J237" s="250" t="s">
        <v>2771</v>
      </c>
      <c r="K237" s="255" t="s">
        <v>991</v>
      </c>
      <c r="L237" s="250" t="s">
        <v>1016</v>
      </c>
      <c r="M237" s="255" t="s">
        <v>1305</v>
      </c>
      <c r="N237" s="278">
        <v>44202</v>
      </c>
      <c r="O237" s="329" t="s">
        <v>67</v>
      </c>
      <c r="P237" s="386">
        <f t="shared" ref="P237:Q237" si="234">IF(B237=0,0,IF(YEAR(B237)=$Q$1,MONTH(B237)-$P$1+1,(YEAR(B237)-$Q$1)*12-$P$1+1+MONTH(B237)))</f>
        <v>1</v>
      </c>
      <c r="Q237" s="330">
        <f t="shared" si="234"/>
        <v>0</v>
      </c>
      <c r="R237" s="351" t="str">
        <f t="shared" si="3"/>
        <v>Gastos_Gerais</v>
      </c>
      <c r="S237" s="351" t="str">
        <f>IF(D237="","",IF(OR(D237=Plano!$A$1,D237=Plano!$B$1),"entrada","saída"))</f>
        <v>saída</v>
      </c>
      <c r="T237" s="334" t="s">
        <v>994</v>
      </c>
      <c r="U237" s="334">
        <v>585</v>
      </c>
      <c r="V237" s="344"/>
      <c r="W237" s="269"/>
    </row>
    <row r="238" spans="1:23" ht="255" customHeight="1" x14ac:dyDescent="0.2">
      <c r="A238" s="277">
        <f t="shared" si="0"/>
        <v>234</v>
      </c>
      <c r="B238" s="278">
        <v>44203</v>
      </c>
      <c r="C238" s="249">
        <v>44136</v>
      </c>
      <c r="D238" s="250" t="s">
        <v>99</v>
      </c>
      <c r="E238" s="250" t="s">
        <v>364</v>
      </c>
      <c r="F238" s="251">
        <v>9799</v>
      </c>
      <c r="G238" s="255" t="s">
        <v>2772</v>
      </c>
      <c r="H238" s="250" t="s">
        <v>133</v>
      </c>
      <c r="I238" s="250" t="s">
        <v>1300</v>
      </c>
      <c r="J238" s="250" t="s">
        <v>572</v>
      </c>
      <c r="K238" s="255" t="s">
        <v>991</v>
      </c>
      <c r="L238" s="250" t="s">
        <v>1016</v>
      </c>
      <c r="M238" s="255" t="s">
        <v>1540</v>
      </c>
      <c r="N238" s="278">
        <v>44203</v>
      </c>
      <c r="O238" s="329" t="s">
        <v>67</v>
      </c>
      <c r="P238" s="386">
        <f t="shared" ref="P238:Q238" si="235">IF(B238=0,0,IF(YEAR(B238)=$Q$1,MONTH(B238)-$P$1+1,(YEAR(B238)-$Q$1)*12-$P$1+1+MONTH(B238)))</f>
        <v>1</v>
      </c>
      <c r="Q238" s="330">
        <f t="shared" si="235"/>
        <v>-1</v>
      </c>
      <c r="R238" s="351" t="str">
        <f t="shared" si="3"/>
        <v>Gastos_Gerais</v>
      </c>
      <c r="S238" s="351" t="str">
        <f>IF(D238="","",IF(OR(D238=Plano!$A$1,D238=Plano!$B$1),"entrada","saída"))</f>
        <v>saída</v>
      </c>
      <c r="T238" s="334" t="s">
        <v>994</v>
      </c>
      <c r="U238" s="334">
        <v>989</v>
      </c>
      <c r="V238" s="344"/>
      <c r="W238" s="269"/>
    </row>
    <row r="239" spans="1:23" ht="192.75" customHeight="1" x14ac:dyDescent="0.2">
      <c r="A239" s="277">
        <f t="shared" si="0"/>
        <v>235</v>
      </c>
      <c r="B239" s="278">
        <v>44203</v>
      </c>
      <c r="C239" s="249">
        <v>44166</v>
      </c>
      <c r="D239" s="250" t="s">
        <v>99</v>
      </c>
      <c r="E239" s="250" t="s">
        <v>336</v>
      </c>
      <c r="F239" s="251">
        <v>2300</v>
      </c>
      <c r="G239" s="255" t="s">
        <v>2492</v>
      </c>
      <c r="H239" s="250" t="s">
        <v>117</v>
      </c>
      <c r="I239" s="250" t="s">
        <v>2773</v>
      </c>
      <c r="J239" s="250" t="s">
        <v>1630</v>
      </c>
      <c r="K239" s="255" t="s">
        <v>991</v>
      </c>
      <c r="L239" s="250" t="s">
        <v>1016</v>
      </c>
      <c r="M239" s="255" t="s">
        <v>1305</v>
      </c>
      <c r="N239" s="278">
        <v>44201</v>
      </c>
      <c r="O239" s="329" t="s">
        <v>67</v>
      </c>
      <c r="P239" s="386">
        <f t="shared" ref="P239:Q239" si="236">IF(B239=0,0,IF(YEAR(B239)=$Q$1,MONTH(B239)-$P$1+1,(YEAR(B239)-$Q$1)*12-$P$1+1+MONTH(B239)))</f>
        <v>1</v>
      </c>
      <c r="Q239" s="330">
        <f t="shared" si="236"/>
        <v>0</v>
      </c>
      <c r="R239" s="351" t="str">
        <f t="shared" si="3"/>
        <v>Gastos_Gerais</v>
      </c>
      <c r="S239" s="351" t="str">
        <f>IF(D239="","",IF(OR(D239=Plano!$A$1,D239=Plano!$B$1),"entrada","saída"))</f>
        <v>saída</v>
      </c>
      <c r="T239" s="334" t="s">
        <v>994</v>
      </c>
      <c r="U239" s="334">
        <v>584</v>
      </c>
      <c r="V239" s="344"/>
      <c r="W239" s="269"/>
    </row>
    <row r="240" spans="1:23" ht="202.5" customHeight="1" x14ac:dyDescent="0.2">
      <c r="A240" s="277">
        <f t="shared" si="0"/>
        <v>236</v>
      </c>
      <c r="B240" s="278">
        <v>44203</v>
      </c>
      <c r="C240" s="249">
        <v>44105</v>
      </c>
      <c r="D240" s="250" t="s">
        <v>99</v>
      </c>
      <c r="E240" s="250" t="s">
        <v>330</v>
      </c>
      <c r="F240" s="251">
        <v>1680</v>
      </c>
      <c r="G240" s="255" t="s">
        <v>2774</v>
      </c>
      <c r="H240" s="250" t="s">
        <v>125</v>
      </c>
      <c r="I240" s="250" t="s">
        <v>2775</v>
      </c>
      <c r="J240" s="250" t="s">
        <v>2776</v>
      </c>
      <c r="K240" s="255" t="s">
        <v>991</v>
      </c>
      <c r="L240" s="250" t="s">
        <v>1029</v>
      </c>
      <c r="M240" s="255">
        <v>1012</v>
      </c>
      <c r="N240" s="278">
        <v>44202</v>
      </c>
      <c r="O240" s="329" t="s">
        <v>67</v>
      </c>
      <c r="P240" s="386">
        <f t="shared" ref="P240:Q240" si="237">IF(B240=0,0,IF(YEAR(B240)=$Q$1,MONTH(B240)-$P$1+1,(YEAR(B240)-$Q$1)*12-$P$1+1+MONTH(B240)))</f>
        <v>1</v>
      </c>
      <c r="Q240" s="330">
        <f t="shared" si="237"/>
        <v>-2</v>
      </c>
      <c r="R240" s="351" t="str">
        <f t="shared" si="3"/>
        <v>Gastos_Gerais</v>
      </c>
      <c r="S240" s="351" t="str">
        <f>IF(D240="","",IF(OR(D240=Plano!$A$1,D240=Plano!$B$1),"entrada","saída"))</f>
        <v>saída</v>
      </c>
      <c r="T240" s="334" t="s">
        <v>994</v>
      </c>
      <c r="U240" s="334">
        <v>803</v>
      </c>
      <c r="V240" s="344"/>
      <c r="W240" s="269"/>
    </row>
    <row r="241" spans="1:23" ht="233.25" customHeight="1" x14ac:dyDescent="0.2">
      <c r="A241" s="277">
        <f t="shared" si="0"/>
        <v>237</v>
      </c>
      <c r="B241" s="278">
        <v>44203</v>
      </c>
      <c r="C241" s="249">
        <v>44136</v>
      </c>
      <c r="D241" s="250" t="s">
        <v>99</v>
      </c>
      <c r="E241" s="250" t="s">
        <v>364</v>
      </c>
      <c r="F241" s="251">
        <v>5879.4</v>
      </c>
      <c r="G241" s="255" t="s">
        <v>2777</v>
      </c>
      <c r="H241" s="250" t="s">
        <v>131</v>
      </c>
      <c r="I241" s="250" t="s">
        <v>2778</v>
      </c>
      <c r="J241" s="250" t="s">
        <v>2779</v>
      </c>
      <c r="K241" s="255" t="s">
        <v>991</v>
      </c>
      <c r="L241" s="250" t="s">
        <v>1016</v>
      </c>
      <c r="M241" s="255" t="s">
        <v>1305</v>
      </c>
      <c r="N241" s="278">
        <v>44201</v>
      </c>
      <c r="O241" s="329" t="s">
        <v>67</v>
      </c>
      <c r="P241" s="386">
        <f t="shared" ref="P241:Q241" si="238">IF(B241=0,0,IF(YEAR(B241)=$Q$1,MONTH(B241)-$P$1+1,(YEAR(B241)-$Q$1)*12-$P$1+1+MONTH(B241)))</f>
        <v>1</v>
      </c>
      <c r="Q241" s="330">
        <f t="shared" si="238"/>
        <v>-1</v>
      </c>
      <c r="R241" s="351" t="str">
        <f t="shared" si="3"/>
        <v>Gastos_Gerais</v>
      </c>
      <c r="S241" s="351" t="str">
        <f>IF(D241="","",IF(OR(D241=Plano!$A$1,D241=Plano!$B$1),"entrada","saída"))</f>
        <v>saída</v>
      </c>
      <c r="T241" s="334" t="s">
        <v>994</v>
      </c>
      <c r="U241" s="334">
        <v>909</v>
      </c>
      <c r="V241" s="344"/>
      <c r="W241" s="269"/>
    </row>
    <row r="242" spans="1:23" ht="69.75" customHeight="1" x14ac:dyDescent="0.2">
      <c r="A242" s="277">
        <f t="shared" si="0"/>
        <v>238</v>
      </c>
      <c r="B242" s="278">
        <v>44203</v>
      </c>
      <c r="C242" s="256">
        <v>44166</v>
      </c>
      <c r="D242" s="255" t="s">
        <v>88</v>
      </c>
      <c r="E242" s="255" t="s">
        <v>90</v>
      </c>
      <c r="F242" s="258">
        <v>2738.7</v>
      </c>
      <c r="G242" s="255" t="s">
        <v>2780</v>
      </c>
      <c r="H242" s="255" t="s">
        <v>114</v>
      </c>
      <c r="I242" s="250" t="s">
        <v>1221</v>
      </c>
      <c r="J242" s="255" t="s">
        <v>1222</v>
      </c>
      <c r="K242" s="255" t="s">
        <v>991</v>
      </c>
      <c r="L242" s="250" t="s">
        <v>1183</v>
      </c>
      <c r="M242" s="279" t="s">
        <v>114</v>
      </c>
      <c r="N242" s="278">
        <v>44203</v>
      </c>
      <c r="O242" s="329" t="s">
        <v>67</v>
      </c>
      <c r="P242" s="386">
        <f t="shared" ref="P242:Q242" si="239">IF(B242=0,0,IF(YEAR(B242)=$Q$1,MONTH(B242)-$P$1+1,(YEAR(B242)-$Q$1)*12-$P$1+1+MONTH(B242)))</f>
        <v>1</v>
      </c>
      <c r="Q242" s="330">
        <f t="shared" si="239"/>
        <v>0</v>
      </c>
      <c r="R242" s="351" t="str">
        <f t="shared" si="3"/>
        <v>Gastos_com_Pessoal</v>
      </c>
      <c r="S242" s="351" t="str">
        <f>IF(D242="","",IF(OR(D242=Plano!$A$1,D242=Plano!$B$1),"entrada","saída"))</f>
        <v>saída</v>
      </c>
      <c r="T242" s="334" t="s">
        <v>114</v>
      </c>
      <c r="U242" s="334" t="s">
        <v>114</v>
      </c>
      <c r="V242" s="344"/>
      <c r="W242" s="269"/>
    </row>
    <row r="243" spans="1:23" ht="69.75" customHeight="1" x14ac:dyDescent="0.2">
      <c r="A243" s="277">
        <f t="shared" si="0"/>
        <v>239</v>
      </c>
      <c r="B243" s="278">
        <v>44203</v>
      </c>
      <c r="C243" s="256">
        <v>44166</v>
      </c>
      <c r="D243" s="255" t="s">
        <v>88</v>
      </c>
      <c r="E243" s="255" t="s">
        <v>90</v>
      </c>
      <c r="F243" s="258">
        <v>2738.7</v>
      </c>
      <c r="G243" s="255" t="s">
        <v>2781</v>
      </c>
      <c r="H243" s="255" t="s">
        <v>114</v>
      </c>
      <c r="I243" s="250" t="s">
        <v>1224</v>
      </c>
      <c r="J243" s="255" t="s">
        <v>1225</v>
      </c>
      <c r="K243" s="255" t="s">
        <v>991</v>
      </c>
      <c r="L243" s="250" t="s">
        <v>1183</v>
      </c>
      <c r="M243" s="279" t="s">
        <v>114</v>
      </c>
      <c r="N243" s="278">
        <v>44203</v>
      </c>
      <c r="O243" s="329" t="s">
        <v>67</v>
      </c>
      <c r="P243" s="386">
        <f t="shared" ref="P243:Q243" si="240">IF(B243=0,0,IF(YEAR(B243)=$Q$1,MONTH(B243)-$P$1+1,(YEAR(B243)-$Q$1)*12-$P$1+1+MONTH(B243)))</f>
        <v>1</v>
      </c>
      <c r="Q243" s="330">
        <f t="shared" si="240"/>
        <v>0</v>
      </c>
      <c r="R243" s="351" t="str">
        <f t="shared" si="3"/>
        <v>Gastos_com_Pessoal</v>
      </c>
      <c r="S243" s="351" t="str">
        <f>IF(D243="","",IF(OR(D243=Plano!$A$1,D243=Plano!$B$1),"entrada","saída"))</f>
        <v>saída</v>
      </c>
      <c r="T243" s="334" t="s">
        <v>114</v>
      </c>
      <c r="U243" s="334" t="s">
        <v>114</v>
      </c>
      <c r="V243" s="344"/>
      <c r="W243" s="269"/>
    </row>
    <row r="244" spans="1:23" ht="69.75" customHeight="1" x14ac:dyDescent="0.2">
      <c r="A244" s="277">
        <f t="shared" si="0"/>
        <v>240</v>
      </c>
      <c r="B244" s="278">
        <v>44203</v>
      </c>
      <c r="C244" s="256">
        <v>44166</v>
      </c>
      <c r="D244" s="255" t="s">
        <v>88</v>
      </c>
      <c r="E244" s="255" t="s">
        <v>90</v>
      </c>
      <c r="F244" s="258">
        <v>1415.62</v>
      </c>
      <c r="G244" s="255" t="s">
        <v>2752</v>
      </c>
      <c r="H244" s="255" t="s">
        <v>114</v>
      </c>
      <c r="I244" s="250" t="s">
        <v>1226</v>
      </c>
      <c r="J244" s="255" t="s">
        <v>1227</v>
      </c>
      <c r="K244" s="255" t="s">
        <v>991</v>
      </c>
      <c r="L244" s="250" t="s">
        <v>1183</v>
      </c>
      <c r="M244" s="279" t="s">
        <v>114</v>
      </c>
      <c r="N244" s="278">
        <v>44203</v>
      </c>
      <c r="O244" s="329" t="s">
        <v>67</v>
      </c>
      <c r="P244" s="386">
        <f t="shared" ref="P244:Q244" si="241">IF(B244=0,0,IF(YEAR(B244)=$Q$1,MONTH(B244)-$P$1+1,(YEAR(B244)-$Q$1)*12-$P$1+1+MONTH(B244)))</f>
        <v>1</v>
      </c>
      <c r="Q244" s="330">
        <f t="shared" si="241"/>
        <v>0</v>
      </c>
      <c r="R244" s="351" t="str">
        <f t="shared" si="3"/>
        <v>Gastos_com_Pessoal</v>
      </c>
      <c r="S244" s="351" t="str">
        <f>IF(D244="","",IF(OR(D244=Plano!$A$1,D244=Plano!$B$1),"entrada","saída"))</f>
        <v>saída</v>
      </c>
      <c r="T244" s="334" t="s">
        <v>114</v>
      </c>
      <c r="U244" s="334" t="s">
        <v>114</v>
      </c>
      <c r="V244" s="344"/>
      <c r="W244" s="269"/>
    </row>
    <row r="245" spans="1:23" ht="69.75" customHeight="1" x14ac:dyDescent="0.2">
      <c r="A245" s="277">
        <f t="shared" si="0"/>
        <v>241</v>
      </c>
      <c r="B245" s="278">
        <v>44203</v>
      </c>
      <c r="C245" s="256">
        <v>44166</v>
      </c>
      <c r="D245" s="255" t="s">
        <v>88</v>
      </c>
      <c r="E245" s="255" t="s">
        <v>90</v>
      </c>
      <c r="F245" s="258">
        <v>12307.16</v>
      </c>
      <c r="G245" s="255" t="s">
        <v>2782</v>
      </c>
      <c r="H245" s="255" t="s">
        <v>114</v>
      </c>
      <c r="I245" s="250" t="s">
        <v>1229</v>
      </c>
      <c r="J245" s="255" t="s">
        <v>1230</v>
      </c>
      <c r="K245" s="255" t="s">
        <v>991</v>
      </c>
      <c r="L245" s="250" t="s">
        <v>1183</v>
      </c>
      <c r="M245" s="279" t="s">
        <v>114</v>
      </c>
      <c r="N245" s="278">
        <v>44203</v>
      </c>
      <c r="O245" s="329" t="s">
        <v>67</v>
      </c>
      <c r="P245" s="386">
        <f t="shared" ref="P245:Q245" si="242">IF(B245=0,0,IF(YEAR(B245)=$Q$1,MONTH(B245)-$P$1+1,(YEAR(B245)-$Q$1)*12-$P$1+1+MONTH(B245)))</f>
        <v>1</v>
      </c>
      <c r="Q245" s="330">
        <f t="shared" si="242"/>
        <v>0</v>
      </c>
      <c r="R245" s="351" t="str">
        <f t="shared" si="3"/>
        <v>Gastos_com_Pessoal</v>
      </c>
      <c r="S245" s="351" t="str">
        <f>IF(D245="","",IF(OR(D245=Plano!$A$1,D245=Plano!$B$1),"entrada","saída"))</f>
        <v>saída</v>
      </c>
      <c r="T245" s="334" t="s">
        <v>114</v>
      </c>
      <c r="U245" s="334" t="s">
        <v>114</v>
      </c>
      <c r="V245" s="344"/>
      <c r="W245" s="269"/>
    </row>
    <row r="246" spans="1:23" ht="69.75" customHeight="1" x14ac:dyDescent="0.2">
      <c r="A246" s="277">
        <f t="shared" si="0"/>
        <v>242</v>
      </c>
      <c r="B246" s="278">
        <v>44203</v>
      </c>
      <c r="C246" s="256">
        <v>44166</v>
      </c>
      <c r="D246" s="255" t="s">
        <v>88</v>
      </c>
      <c r="E246" s="255" t="s">
        <v>90</v>
      </c>
      <c r="F246" s="258">
        <v>2812.45</v>
      </c>
      <c r="G246" s="255" t="s">
        <v>2783</v>
      </c>
      <c r="H246" s="255" t="s">
        <v>114</v>
      </c>
      <c r="I246" s="250" t="s">
        <v>1232</v>
      </c>
      <c r="J246" s="255" t="s">
        <v>1233</v>
      </c>
      <c r="K246" s="255" t="s">
        <v>991</v>
      </c>
      <c r="L246" s="250" t="s">
        <v>1183</v>
      </c>
      <c r="M246" s="279" t="s">
        <v>114</v>
      </c>
      <c r="N246" s="278">
        <v>44203</v>
      </c>
      <c r="O246" s="329" t="s">
        <v>67</v>
      </c>
      <c r="P246" s="386">
        <f t="shared" ref="P246:Q246" si="243">IF(B246=0,0,IF(YEAR(B246)=$Q$1,MONTH(B246)-$P$1+1,(YEAR(B246)-$Q$1)*12-$P$1+1+MONTH(B246)))</f>
        <v>1</v>
      </c>
      <c r="Q246" s="330">
        <f t="shared" si="243"/>
        <v>0</v>
      </c>
      <c r="R246" s="351" t="str">
        <f t="shared" si="3"/>
        <v>Gastos_com_Pessoal</v>
      </c>
      <c r="S246" s="351" t="str">
        <f>IF(D246="","",IF(OR(D246=Plano!$A$1,D246=Plano!$B$1),"entrada","saída"))</f>
        <v>saída</v>
      </c>
      <c r="T246" s="334" t="s">
        <v>114</v>
      </c>
      <c r="U246" s="334" t="s">
        <v>114</v>
      </c>
      <c r="V246" s="344"/>
      <c r="W246" s="269"/>
    </row>
    <row r="247" spans="1:23" ht="69.75" customHeight="1" x14ac:dyDescent="0.2">
      <c r="A247" s="277">
        <f t="shared" si="0"/>
        <v>243</v>
      </c>
      <c r="B247" s="278">
        <v>44203</v>
      </c>
      <c r="C247" s="249">
        <v>44197</v>
      </c>
      <c r="D247" s="255" t="s">
        <v>99</v>
      </c>
      <c r="E247" s="255" t="s">
        <v>272</v>
      </c>
      <c r="F247" s="258">
        <v>10.45</v>
      </c>
      <c r="G247" s="255" t="s">
        <v>2784</v>
      </c>
      <c r="H247" s="250" t="s">
        <v>125</v>
      </c>
      <c r="I247" s="250" t="s">
        <v>949</v>
      </c>
      <c r="J247" s="255" t="s">
        <v>950</v>
      </c>
      <c r="K247" s="255" t="s">
        <v>951</v>
      </c>
      <c r="L247" s="250" t="s">
        <v>947</v>
      </c>
      <c r="M247" s="279" t="s">
        <v>114</v>
      </c>
      <c r="N247" s="278">
        <v>44203</v>
      </c>
      <c r="O247" s="329" t="s">
        <v>67</v>
      </c>
      <c r="P247" s="386">
        <f t="shared" ref="P247:Q247" si="244">IF(B247=0,0,IF(YEAR(B247)=$Q$1,MONTH(B247)-$P$1+1,(YEAR(B247)-$Q$1)*12-$P$1+1+MONTH(B247)))</f>
        <v>1</v>
      </c>
      <c r="Q247" s="330">
        <f t="shared" si="244"/>
        <v>1</v>
      </c>
      <c r="R247" s="351" t="str">
        <f t="shared" si="3"/>
        <v>Gastos_Gerais</v>
      </c>
      <c r="S247" s="351" t="str">
        <f>IF(D247="","",IF(OR(D247=Plano!$A$1,D247=Plano!$B$1),"entrada","saída"))</f>
        <v>saída</v>
      </c>
      <c r="T247" s="334" t="s">
        <v>114</v>
      </c>
      <c r="U247" s="334" t="s">
        <v>114</v>
      </c>
      <c r="V247" s="344"/>
      <c r="W247" s="269"/>
    </row>
    <row r="248" spans="1:23" ht="69.75" customHeight="1" x14ac:dyDescent="0.2">
      <c r="A248" s="277">
        <f t="shared" si="0"/>
        <v>244</v>
      </c>
      <c r="B248" s="278">
        <v>44203</v>
      </c>
      <c r="C248" s="249">
        <v>44197</v>
      </c>
      <c r="D248" s="255" t="s">
        <v>99</v>
      </c>
      <c r="E248" s="255" t="s">
        <v>272</v>
      </c>
      <c r="F248" s="258">
        <v>10.45</v>
      </c>
      <c r="G248" s="255" t="s">
        <v>2785</v>
      </c>
      <c r="H248" s="250" t="s">
        <v>131</v>
      </c>
      <c r="I248" s="250" t="s">
        <v>949</v>
      </c>
      <c r="J248" s="255" t="s">
        <v>950</v>
      </c>
      <c r="K248" s="255" t="s">
        <v>951</v>
      </c>
      <c r="L248" s="250" t="s">
        <v>947</v>
      </c>
      <c r="M248" s="279" t="s">
        <v>114</v>
      </c>
      <c r="N248" s="278">
        <v>44203</v>
      </c>
      <c r="O248" s="329" t="s">
        <v>67</v>
      </c>
      <c r="P248" s="386">
        <f t="shared" ref="P248:Q248" si="245">IF(B248=0,0,IF(YEAR(B248)=$Q$1,MONTH(B248)-$P$1+1,(YEAR(B248)-$Q$1)*12-$P$1+1+MONTH(B248)))</f>
        <v>1</v>
      </c>
      <c r="Q248" s="330">
        <f t="shared" si="245"/>
        <v>1</v>
      </c>
      <c r="R248" s="351" t="str">
        <f t="shared" si="3"/>
        <v>Gastos_Gerais</v>
      </c>
      <c r="S248" s="351" t="str">
        <f>IF(D248="","",IF(OR(D248=Plano!$A$1,D248=Plano!$B$1),"entrada","saída"))</f>
        <v>saída</v>
      </c>
      <c r="T248" s="334" t="s">
        <v>114</v>
      </c>
      <c r="U248" s="334" t="s">
        <v>114</v>
      </c>
      <c r="V248" s="344"/>
      <c r="W248" s="269"/>
    </row>
    <row r="249" spans="1:23" ht="69.75" customHeight="1" x14ac:dyDescent="0.2">
      <c r="A249" s="277">
        <f t="shared" si="0"/>
        <v>245</v>
      </c>
      <c r="B249" s="278">
        <v>44203</v>
      </c>
      <c r="C249" s="249">
        <v>44197</v>
      </c>
      <c r="D249" s="255" t="s">
        <v>99</v>
      </c>
      <c r="E249" s="255" t="s">
        <v>272</v>
      </c>
      <c r="F249" s="258">
        <v>10.45</v>
      </c>
      <c r="G249" s="255" t="s">
        <v>2786</v>
      </c>
      <c r="H249" s="250" t="s">
        <v>116</v>
      </c>
      <c r="I249" s="250" t="s">
        <v>949</v>
      </c>
      <c r="J249" s="255" t="s">
        <v>950</v>
      </c>
      <c r="K249" s="255" t="s">
        <v>951</v>
      </c>
      <c r="L249" s="250" t="s">
        <v>947</v>
      </c>
      <c r="M249" s="279" t="s">
        <v>114</v>
      </c>
      <c r="N249" s="278">
        <v>44203</v>
      </c>
      <c r="O249" s="329" t="s">
        <v>67</v>
      </c>
      <c r="P249" s="386">
        <f t="shared" ref="P249:Q249" si="246">IF(B249=0,0,IF(YEAR(B249)=$Q$1,MONTH(B249)-$P$1+1,(YEAR(B249)-$Q$1)*12-$P$1+1+MONTH(B249)))</f>
        <v>1</v>
      </c>
      <c r="Q249" s="330">
        <f t="shared" si="246"/>
        <v>1</v>
      </c>
      <c r="R249" s="351" t="str">
        <f t="shared" si="3"/>
        <v>Gastos_Gerais</v>
      </c>
      <c r="S249" s="351" t="str">
        <f>IF(D249="","",IF(OR(D249=Plano!$A$1,D249=Plano!$B$1),"entrada","saída"))</f>
        <v>saída</v>
      </c>
      <c r="T249" s="334" t="s">
        <v>114</v>
      </c>
      <c r="U249" s="334" t="s">
        <v>114</v>
      </c>
      <c r="V249" s="344"/>
      <c r="W249" s="269"/>
    </row>
    <row r="250" spans="1:23" ht="69.75" customHeight="1" x14ac:dyDescent="0.2">
      <c r="A250" s="277">
        <f t="shared" si="0"/>
        <v>246</v>
      </c>
      <c r="B250" s="278">
        <v>44203</v>
      </c>
      <c r="C250" s="249">
        <v>44197</v>
      </c>
      <c r="D250" s="255" t="s">
        <v>99</v>
      </c>
      <c r="E250" s="255" t="s">
        <v>272</v>
      </c>
      <c r="F250" s="258">
        <v>10.45</v>
      </c>
      <c r="G250" s="255" t="s">
        <v>2787</v>
      </c>
      <c r="H250" s="250" t="s">
        <v>114</v>
      </c>
      <c r="I250" s="250" t="s">
        <v>949</v>
      </c>
      <c r="J250" s="255" t="s">
        <v>950</v>
      </c>
      <c r="K250" s="255" t="s">
        <v>951</v>
      </c>
      <c r="L250" s="250" t="s">
        <v>947</v>
      </c>
      <c r="M250" s="279" t="s">
        <v>114</v>
      </c>
      <c r="N250" s="278">
        <v>44203</v>
      </c>
      <c r="O250" s="329" t="s">
        <v>67</v>
      </c>
      <c r="P250" s="386">
        <f t="shared" ref="P250:Q250" si="247">IF(B250=0,0,IF(YEAR(B250)=$Q$1,MONTH(B250)-$P$1+1,(YEAR(B250)-$Q$1)*12-$P$1+1+MONTH(B250)))</f>
        <v>1</v>
      </c>
      <c r="Q250" s="330">
        <f t="shared" si="247"/>
        <v>1</v>
      </c>
      <c r="R250" s="351" t="str">
        <f t="shared" si="3"/>
        <v>Gastos_Gerais</v>
      </c>
      <c r="S250" s="351" t="str">
        <f>IF(D250="","",IF(OR(D250=Plano!$A$1,D250=Plano!$B$1),"entrada","saída"))</f>
        <v>saída</v>
      </c>
      <c r="T250" s="334" t="s">
        <v>114</v>
      </c>
      <c r="U250" s="334" t="s">
        <v>114</v>
      </c>
      <c r="V250" s="344"/>
      <c r="W250" s="269"/>
    </row>
    <row r="251" spans="1:23" ht="69.75" customHeight="1" x14ac:dyDescent="0.2">
      <c r="A251" s="277">
        <f t="shared" si="0"/>
        <v>247</v>
      </c>
      <c r="B251" s="278">
        <v>44203</v>
      </c>
      <c r="C251" s="249">
        <v>44197</v>
      </c>
      <c r="D251" s="255" t="s">
        <v>99</v>
      </c>
      <c r="E251" s="255" t="s">
        <v>272</v>
      </c>
      <c r="F251" s="258">
        <v>10.45</v>
      </c>
      <c r="G251" s="255" t="s">
        <v>2788</v>
      </c>
      <c r="H251" s="250" t="s">
        <v>114</v>
      </c>
      <c r="I251" s="250" t="s">
        <v>949</v>
      </c>
      <c r="J251" s="255" t="s">
        <v>950</v>
      </c>
      <c r="K251" s="255" t="s">
        <v>951</v>
      </c>
      <c r="L251" s="250" t="s">
        <v>947</v>
      </c>
      <c r="M251" s="279" t="s">
        <v>114</v>
      </c>
      <c r="N251" s="278">
        <v>44203</v>
      </c>
      <c r="O251" s="329" t="s">
        <v>67</v>
      </c>
      <c r="P251" s="386">
        <f t="shared" ref="P251:Q251" si="248">IF(B251=0,0,IF(YEAR(B251)=$Q$1,MONTH(B251)-$P$1+1,(YEAR(B251)-$Q$1)*12-$P$1+1+MONTH(B251)))</f>
        <v>1</v>
      </c>
      <c r="Q251" s="330">
        <f t="shared" si="248"/>
        <v>1</v>
      </c>
      <c r="R251" s="351" t="str">
        <f t="shared" si="3"/>
        <v>Gastos_Gerais</v>
      </c>
      <c r="S251" s="351" t="str">
        <f>IF(D251="","",IF(OR(D251=Plano!$A$1,D251=Plano!$B$1),"entrada","saída"))</f>
        <v>saída</v>
      </c>
      <c r="T251" s="334" t="s">
        <v>114</v>
      </c>
      <c r="U251" s="334" t="s">
        <v>114</v>
      </c>
      <c r="V251" s="344"/>
      <c r="W251" s="269"/>
    </row>
    <row r="252" spans="1:23" ht="69.75" customHeight="1" x14ac:dyDescent="0.2">
      <c r="A252" s="277">
        <f t="shared" si="0"/>
        <v>248</v>
      </c>
      <c r="B252" s="278">
        <v>44203</v>
      </c>
      <c r="C252" s="249">
        <v>44197</v>
      </c>
      <c r="D252" s="255" t="s">
        <v>99</v>
      </c>
      <c r="E252" s="255" t="s">
        <v>272</v>
      </c>
      <c r="F252" s="258">
        <v>10.45</v>
      </c>
      <c r="G252" s="255" t="s">
        <v>2789</v>
      </c>
      <c r="H252" s="250" t="s">
        <v>114</v>
      </c>
      <c r="I252" s="250" t="s">
        <v>949</v>
      </c>
      <c r="J252" s="255" t="s">
        <v>950</v>
      </c>
      <c r="K252" s="255" t="s">
        <v>951</v>
      </c>
      <c r="L252" s="250" t="s">
        <v>947</v>
      </c>
      <c r="M252" s="279" t="s">
        <v>114</v>
      </c>
      <c r="N252" s="278">
        <v>44203</v>
      </c>
      <c r="O252" s="329" t="s">
        <v>67</v>
      </c>
      <c r="P252" s="386">
        <f t="shared" ref="P252:Q252" si="249">IF(B252=0,0,IF(YEAR(B252)=$Q$1,MONTH(B252)-$P$1+1,(YEAR(B252)-$Q$1)*12-$P$1+1+MONTH(B252)))</f>
        <v>1</v>
      </c>
      <c r="Q252" s="330">
        <f t="shared" si="249"/>
        <v>1</v>
      </c>
      <c r="R252" s="351" t="str">
        <f t="shared" si="3"/>
        <v>Gastos_Gerais</v>
      </c>
      <c r="S252" s="351" t="str">
        <f>IF(D252="","",IF(OR(D252=Plano!$A$1,D252=Plano!$B$1),"entrada","saída"))</f>
        <v>saída</v>
      </c>
      <c r="T252" s="334" t="s">
        <v>114</v>
      </c>
      <c r="U252" s="334" t="s">
        <v>114</v>
      </c>
      <c r="V252" s="344"/>
      <c r="W252" s="269"/>
    </row>
    <row r="253" spans="1:23" ht="69.75" customHeight="1" x14ac:dyDescent="0.2">
      <c r="A253" s="277">
        <f t="shared" si="0"/>
        <v>249</v>
      </c>
      <c r="B253" s="278">
        <v>44203</v>
      </c>
      <c r="C253" s="249">
        <v>44197</v>
      </c>
      <c r="D253" s="255" t="s">
        <v>99</v>
      </c>
      <c r="E253" s="255" t="s">
        <v>272</v>
      </c>
      <c r="F253" s="258">
        <v>10.45</v>
      </c>
      <c r="G253" s="255" t="s">
        <v>2790</v>
      </c>
      <c r="H253" s="250" t="s">
        <v>114</v>
      </c>
      <c r="I253" s="250" t="s">
        <v>949</v>
      </c>
      <c r="J253" s="255" t="s">
        <v>950</v>
      </c>
      <c r="K253" s="255" t="s">
        <v>951</v>
      </c>
      <c r="L253" s="250" t="s">
        <v>947</v>
      </c>
      <c r="M253" s="279" t="s">
        <v>114</v>
      </c>
      <c r="N253" s="278">
        <v>44203</v>
      </c>
      <c r="O253" s="329" t="s">
        <v>67</v>
      </c>
      <c r="P253" s="386">
        <f t="shared" ref="P253:Q253" si="250">IF(B253=0,0,IF(YEAR(B253)=$Q$1,MONTH(B253)-$P$1+1,(YEAR(B253)-$Q$1)*12-$P$1+1+MONTH(B253)))</f>
        <v>1</v>
      </c>
      <c r="Q253" s="330">
        <f t="shared" si="250"/>
        <v>1</v>
      </c>
      <c r="R253" s="351" t="str">
        <f t="shared" si="3"/>
        <v>Gastos_Gerais</v>
      </c>
      <c r="S253" s="351" t="str">
        <f>IF(D253="","",IF(OR(D253=Plano!$A$1,D253=Plano!$B$1),"entrada","saída"))</f>
        <v>saída</v>
      </c>
      <c r="T253" s="334" t="s">
        <v>114</v>
      </c>
      <c r="U253" s="334" t="s">
        <v>114</v>
      </c>
      <c r="V253" s="344"/>
      <c r="W253" s="269"/>
    </row>
    <row r="254" spans="1:23" ht="69.75" customHeight="1" x14ac:dyDescent="0.2">
      <c r="A254" s="277">
        <f t="shared" si="0"/>
        <v>250</v>
      </c>
      <c r="B254" s="278">
        <v>44203</v>
      </c>
      <c r="C254" s="249">
        <v>44197</v>
      </c>
      <c r="D254" s="255" t="s">
        <v>99</v>
      </c>
      <c r="E254" s="255" t="s">
        <v>272</v>
      </c>
      <c r="F254" s="258">
        <v>10.45</v>
      </c>
      <c r="G254" s="255" t="s">
        <v>2791</v>
      </c>
      <c r="H254" s="250" t="s">
        <v>114</v>
      </c>
      <c r="I254" s="250" t="s">
        <v>949</v>
      </c>
      <c r="J254" s="255" t="s">
        <v>950</v>
      </c>
      <c r="K254" s="255" t="s">
        <v>951</v>
      </c>
      <c r="L254" s="250" t="s">
        <v>947</v>
      </c>
      <c r="M254" s="279" t="s">
        <v>114</v>
      </c>
      <c r="N254" s="278">
        <v>44203</v>
      </c>
      <c r="O254" s="329" t="s">
        <v>67</v>
      </c>
      <c r="P254" s="386">
        <f t="shared" ref="P254:Q254" si="251">IF(B254=0,0,IF(YEAR(B254)=$Q$1,MONTH(B254)-$P$1+1,(YEAR(B254)-$Q$1)*12-$P$1+1+MONTH(B254)))</f>
        <v>1</v>
      </c>
      <c r="Q254" s="330">
        <f t="shared" si="251"/>
        <v>1</v>
      </c>
      <c r="R254" s="351" t="str">
        <f t="shared" si="3"/>
        <v>Gastos_Gerais</v>
      </c>
      <c r="S254" s="351" t="str">
        <f>IF(D254="","",IF(OR(D254=Plano!$A$1,D254=Plano!$B$1),"entrada","saída"))</f>
        <v>saída</v>
      </c>
      <c r="T254" s="334" t="s">
        <v>114</v>
      </c>
      <c r="U254" s="334" t="s">
        <v>114</v>
      </c>
      <c r="V254" s="344"/>
      <c r="W254" s="269"/>
    </row>
    <row r="255" spans="1:23" ht="69.75" customHeight="1" x14ac:dyDescent="0.2">
      <c r="A255" s="277">
        <f t="shared" si="0"/>
        <v>251</v>
      </c>
      <c r="B255" s="278">
        <v>44203</v>
      </c>
      <c r="C255" s="249">
        <v>44197</v>
      </c>
      <c r="D255" s="255" t="s">
        <v>99</v>
      </c>
      <c r="E255" s="255" t="s">
        <v>272</v>
      </c>
      <c r="F255" s="258">
        <v>10.45</v>
      </c>
      <c r="G255" s="255" t="s">
        <v>2792</v>
      </c>
      <c r="H255" s="250" t="s">
        <v>114</v>
      </c>
      <c r="I255" s="250" t="s">
        <v>949</v>
      </c>
      <c r="J255" s="255" t="s">
        <v>950</v>
      </c>
      <c r="K255" s="255" t="s">
        <v>951</v>
      </c>
      <c r="L255" s="250" t="s">
        <v>947</v>
      </c>
      <c r="M255" s="279" t="s">
        <v>114</v>
      </c>
      <c r="N255" s="278">
        <v>44203</v>
      </c>
      <c r="O255" s="329" t="s">
        <v>67</v>
      </c>
      <c r="P255" s="386">
        <f t="shared" ref="P255:Q255" si="252">IF(B255=0,0,IF(YEAR(B255)=$Q$1,MONTH(B255)-$P$1+1,(YEAR(B255)-$Q$1)*12-$P$1+1+MONTH(B255)))</f>
        <v>1</v>
      </c>
      <c r="Q255" s="330">
        <f t="shared" si="252"/>
        <v>1</v>
      </c>
      <c r="R255" s="351" t="str">
        <f t="shared" si="3"/>
        <v>Gastos_Gerais</v>
      </c>
      <c r="S255" s="351" t="str">
        <f>IF(D255="","",IF(OR(D255=Plano!$A$1,D255=Plano!$B$1),"entrada","saída"))</f>
        <v>saída</v>
      </c>
      <c r="T255" s="334" t="s">
        <v>114</v>
      </c>
      <c r="U255" s="334" t="s">
        <v>114</v>
      </c>
      <c r="V255" s="344"/>
      <c r="W255" s="269"/>
    </row>
    <row r="256" spans="1:23" ht="69.75" customHeight="1" x14ac:dyDescent="0.2">
      <c r="A256" s="277">
        <f t="shared" si="0"/>
        <v>252</v>
      </c>
      <c r="B256" s="278">
        <v>44203</v>
      </c>
      <c r="C256" s="249">
        <v>44197</v>
      </c>
      <c r="D256" s="255" t="s">
        <v>99</v>
      </c>
      <c r="E256" s="255" t="s">
        <v>272</v>
      </c>
      <c r="F256" s="258">
        <v>10.45</v>
      </c>
      <c r="G256" s="255" t="s">
        <v>2793</v>
      </c>
      <c r="H256" s="250" t="s">
        <v>114</v>
      </c>
      <c r="I256" s="250" t="s">
        <v>949</v>
      </c>
      <c r="J256" s="255" t="s">
        <v>950</v>
      </c>
      <c r="K256" s="255" t="s">
        <v>951</v>
      </c>
      <c r="L256" s="250" t="s">
        <v>947</v>
      </c>
      <c r="M256" s="279" t="s">
        <v>114</v>
      </c>
      <c r="N256" s="278">
        <v>44203</v>
      </c>
      <c r="O256" s="329" t="s">
        <v>67</v>
      </c>
      <c r="P256" s="386">
        <f t="shared" ref="P256:Q256" si="253">IF(B256=0,0,IF(YEAR(B256)=$Q$1,MONTH(B256)-$P$1+1,(YEAR(B256)-$Q$1)*12-$P$1+1+MONTH(B256)))</f>
        <v>1</v>
      </c>
      <c r="Q256" s="330">
        <f t="shared" si="253"/>
        <v>1</v>
      </c>
      <c r="R256" s="351" t="str">
        <f t="shared" si="3"/>
        <v>Gastos_Gerais</v>
      </c>
      <c r="S256" s="351" t="str">
        <f>IF(D256="","",IF(OR(D256=Plano!$A$1,D256=Plano!$B$1),"entrada","saída"))</f>
        <v>saída</v>
      </c>
      <c r="T256" s="334" t="s">
        <v>114</v>
      </c>
      <c r="U256" s="334" t="s">
        <v>114</v>
      </c>
      <c r="V256" s="344"/>
      <c r="W256" s="269"/>
    </row>
    <row r="257" spans="1:23" ht="69.75" customHeight="1" x14ac:dyDescent="0.2">
      <c r="A257" s="277">
        <f t="shared" si="0"/>
        <v>253</v>
      </c>
      <c r="B257" s="278">
        <v>44203</v>
      </c>
      <c r="C257" s="249">
        <v>44197</v>
      </c>
      <c r="D257" s="255" t="s">
        <v>99</v>
      </c>
      <c r="E257" s="255" t="s">
        <v>272</v>
      </c>
      <c r="F257" s="258">
        <v>10.45</v>
      </c>
      <c r="G257" s="255" t="s">
        <v>2794</v>
      </c>
      <c r="H257" s="250" t="s">
        <v>114</v>
      </c>
      <c r="I257" s="250" t="s">
        <v>949</v>
      </c>
      <c r="J257" s="255" t="s">
        <v>950</v>
      </c>
      <c r="K257" s="255" t="s">
        <v>951</v>
      </c>
      <c r="L257" s="250" t="s">
        <v>947</v>
      </c>
      <c r="M257" s="279" t="s">
        <v>114</v>
      </c>
      <c r="N257" s="278">
        <v>44203</v>
      </c>
      <c r="O257" s="329" t="s">
        <v>67</v>
      </c>
      <c r="P257" s="386">
        <f t="shared" ref="P257:Q257" si="254">IF(B257=0,0,IF(YEAR(B257)=$Q$1,MONTH(B257)-$P$1+1,(YEAR(B257)-$Q$1)*12-$P$1+1+MONTH(B257)))</f>
        <v>1</v>
      </c>
      <c r="Q257" s="330">
        <f t="shared" si="254"/>
        <v>1</v>
      </c>
      <c r="R257" s="351" t="str">
        <f t="shared" si="3"/>
        <v>Gastos_Gerais</v>
      </c>
      <c r="S257" s="351" t="str">
        <f>IF(D257="","",IF(OR(D257=Plano!$A$1,D257=Plano!$B$1),"entrada","saída"))</f>
        <v>saída</v>
      </c>
      <c r="T257" s="334" t="s">
        <v>114</v>
      </c>
      <c r="U257" s="334" t="s">
        <v>114</v>
      </c>
      <c r="V257" s="344"/>
      <c r="W257" s="269"/>
    </row>
    <row r="258" spans="1:23" ht="69.75" customHeight="1" x14ac:dyDescent="0.2">
      <c r="A258" s="277">
        <f t="shared" si="0"/>
        <v>254</v>
      </c>
      <c r="B258" s="278">
        <v>44203</v>
      </c>
      <c r="C258" s="249">
        <v>44197</v>
      </c>
      <c r="D258" s="255" t="s">
        <v>99</v>
      </c>
      <c r="E258" s="255" t="s">
        <v>272</v>
      </c>
      <c r="F258" s="258">
        <v>10.45</v>
      </c>
      <c r="G258" s="255" t="s">
        <v>2795</v>
      </c>
      <c r="H258" s="250" t="s">
        <v>114</v>
      </c>
      <c r="I258" s="250" t="s">
        <v>949</v>
      </c>
      <c r="J258" s="255" t="s">
        <v>950</v>
      </c>
      <c r="K258" s="255" t="s">
        <v>951</v>
      </c>
      <c r="L258" s="250" t="s">
        <v>947</v>
      </c>
      <c r="M258" s="279" t="s">
        <v>114</v>
      </c>
      <c r="N258" s="278">
        <v>44203</v>
      </c>
      <c r="O258" s="329" t="s">
        <v>67</v>
      </c>
      <c r="P258" s="386">
        <f t="shared" ref="P258:Q258" si="255">IF(B258=0,0,IF(YEAR(B258)=$Q$1,MONTH(B258)-$P$1+1,(YEAR(B258)-$Q$1)*12-$P$1+1+MONTH(B258)))</f>
        <v>1</v>
      </c>
      <c r="Q258" s="330">
        <f t="shared" si="255"/>
        <v>1</v>
      </c>
      <c r="R258" s="351" t="str">
        <f t="shared" si="3"/>
        <v>Gastos_Gerais</v>
      </c>
      <c r="S258" s="351" t="str">
        <f>IF(D258="","",IF(OR(D258=Plano!$A$1,D258=Plano!$B$1),"entrada","saída"))</f>
        <v>saída</v>
      </c>
      <c r="T258" s="334" t="s">
        <v>114</v>
      </c>
      <c r="U258" s="334" t="s">
        <v>114</v>
      </c>
      <c r="V258" s="344"/>
      <c r="W258" s="269"/>
    </row>
    <row r="259" spans="1:23" ht="69.75" customHeight="1" x14ac:dyDescent="0.2">
      <c r="A259" s="277">
        <f t="shared" si="0"/>
        <v>255</v>
      </c>
      <c r="B259" s="278">
        <v>44203</v>
      </c>
      <c r="C259" s="249">
        <v>44197</v>
      </c>
      <c r="D259" s="255" t="s">
        <v>99</v>
      </c>
      <c r="E259" s="255" t="s">
        <v>272</v>
      </c>
      <c r="F259" s="258">
        <v>10.45</v>
      </c>
      <c r="G259" s="255" t="s">
        <v>2796</v>
      </c>
      <c r="H259" s="250" t="s">
        <v>114</v>
      </c>
      <c r="I259" s="250" t="s">
        <v>949</v>
      </c>
      <c r="J259" s="255" t="s">
        <v>950</v>
      </c>
      <c r="K259" s="255" t="s">
        <v>951</v>
      </c>
      <c r="L259" s="250" t="s">
        <v>947</v>
      </c>
      <c r="M259" s="279" t="s">
        <v>114</v>
      </c>
      <c r="N259" s="278">
        <v>44203</v>
      </c>
      <c r="O259" s="329" t="s">
        <v>67</v>
      </c>
      <c r="P259" s="386">
        <f t="shared" ref="P259:Q259" si="256">IF(B259=0,0,IF(YEAR(B259)=$Q$1,MONTH(B259)-$P$1+1,(YEAR(B259)-$Q$1)*12-$P$1+1+MONTH(B259)))</f>
        <v>1</v>
      </c>
      <c r="Q259" s="330">
        <f t="shared" si="256"/>
        <v>1</v>
      </c>
      <c r="R259" s="351" t="str">
        <f t="shared" si="3"/>
        <v>Gastos_Gerais</v>
      </c>
      <c r="S259" s="351" t="str">
        <f>IF(D259="","",IF(OR(D259=Plano!$A$1,D259=Plano!$B$1),"entrada","saída"))</f>
        <v>saída</v>
      </c>
      <c r="T259" s="334" t="s">
        <v>114</v>
      </c>
      <c r="U259" s="334" t="s">
        <v>114</v>
      </c>
      <c r="V259" s="344"/>
      <c r="W259" s="269"/>
    </row>
    <row r="260" spans="1:23" ht="69.75" customHeight="1" x14ac:dyDescent="0.2">
      <c r="A260" s="277">
        <f t="shared" si="0"/>
        <v>256</v>
      </c>
      <c r="B260" s="278">
        <v>44203</v>
      </c>
      <c r="C260" s="249">
        <v>44197</v>
      </c>
      <c r="D260" s="255" t="s">
        <v>99</v>
      </c>
      <c r="E260" s="255" t="s">
        <v>272</v>
      </c>
      <c r="F260" s="258">
        <v>10.45</v>
      </c>
      <c r="G260" s="255" t="s">
        <v>2796</v>
      </c>
      <c r="H260" s="250" t="s">
        <v>114</v>
      </c>
      <c r="I260" s="250" t="s">
        <v>949</v>
      </c>
      <c r="J260" s="255" t="s">
        <v>950</v>
      </c>
      <c r="K260" s="255" t="s">
        <v>951</v>
      </c>
      <c r="L260" s="250" t="s">
        <v>947</v>
      </c>
      <c r="M260" s="279" t="s">
        <v>114</v>
      </c>
      <c r="N260" s="278">
        <v>44203</v>
      </c>
      <c r="O260" s="329" t="s">
        <v>67</v>
      </c>
      <c r="P260" s="386">
        <f t="shared" ref="P260:Q260" si="257">IF(B260=0,0,IF(YEAR(B260)=$Q$1,MONTH(B260)-$P$1+1,(YEAR(B260)-$Q$1)*12-$P$1+1+MONTH(B260)))</f>
        <v>1</v>
      </c>
      <c r="Q260" s="330">
        <f t="shared" si="257"/>
        <v>1</v>
      </c>
      <c r="R260" s="351" t="str">
        <f t="shared" si="3"/>
        <v>Gastos_Gerais</v>
      </c>
      <c r="S260" s="351" t="str">
        <f>IF(D260="","",IF(OR(D260=Plano!$A$1,D260=Plano!$B$1),"entrada","saída"))</f>
        <v>saída</v>
      </c>
      <c r="T260" s="334" t="s">
        <v>114</v>
      </c>
      <c r="U260" s="334" t="s">
        <v>114</v>
      </c>
      <c r="V260" s="344"/>
      <c r="W260" s="269"/>
    </row>
    <row r="261" spans="1:23" ht="69.75" customHeight="1" x14ac:dyDescent="0.2">
      <c r="A261" s="277">
        <f t="shared" si="0"/>
        <v>257</v>
      </c>
      <c r="B261" s="278">
        <v>44203</v>
      </c>
      <c r="C261" s="249">
        <v>44197</v>
      </c>
      <c r="D261" s="255" t="s">
        <v>99</v>
      </c>
      <c r="E261" s="255" t="s">
        <v>272</v>
      </c>
      <c r="F261" s="258">
        <v>10.45</v>
      </c>
      <c r="G261" s="255" t="s">
        <v>2797</v>
      </c>
      <c r="H261" s="250" t="s">
        <v>118</v>
      </c>
      <c r="I261" s="250" t="s">
        <v>949</v>
      </c>
      <c r="J261" s="255" t="s">
        <v>950</v>
      </c>
      <c r="K261" s="255" t="s">
        <v>951</v>
      </c>
      <c r="L261" s="250" t="s">
        <v>947</v>
      </c>
      <c r="M261" s="279" t="s">
        <v>114</v>
      </c>
      <c r="N261" s="278">
        <v>44203</v>
      </c>
      <c r="O261" s="329" t="s">
        <v>67</v>
      </c>
      <c r="P261" s="386">
        <f t="shared" ref="P261:Q261" si="258">IF(B261=0,0,IF(YEAR(B261)=$Q$1,MONTH(B261)-$P$1+1,(YEAR(B261)-$Q$1)*12-$P$1+1+MONTH(B261)))</f>
        <v>1</v>
      </c>
      <c r="Q261" s="330">
        <f t="shared" si="258"/>
        <v>1</v>
      </c>
      <c r="R261" s="351" t="str">
        <f t="shared" si="3"/>
        <v>Gastos_Gerais</v>
      </c>
      <c r="S261" s="351" t="str">
        <f>IF(D261="","",IF(OR(D261=Plano!$A$1,D261=Plano!$B$1),"entrada","saída"))</f>
        <v>saída</v>
      </c>
      <c r="T261" s="334" t="s">
        <v>114</v>
      </c>
      <c r="U261" s="334" t="s">
        <v>114</v>
      </c>
      <c r="V261" s="344"/>
      <c r="W261" s="269"/>
    </row>
    <row r="262" spans="1:23" ht="69.75" customHeight="1" x14ac:dyDescent="0.2">
      <c r="A262" s="277">
        <f t="shared" si="0"/>
        <v>258</v>
      </c>
      <c r="B262" s="278">
        <v>44203</v>
      </c>
      <c r="C262" s="249">
        <v>44197</v>
      </c>
      <c r="D262" s="255" t="s">
        <v>99</v>
      </c>
      <c r="E262" s="255" t="s">
        <v>272</v>
      </c>
      <c r="F262" s="258">
        <v>10.45</v>
      </c>
      <c r="G262" s="255" t="s">
        <v>2798</v>
      </c>
      <c r="H262" s="255" t="s">
        <v>122</v>
      </c>
      <c r="I262" s="250" t="s">
        <v>949</v>
      </c>
      <c r="J262" s="255" t="s">
        <v>950</v>
      </c>
      <c r="K262" s="255" t="s">
        <v>951</v>
      </c>
      <c r="L262" s="250" t="s">
        <v>947</v>
      </c>
      <c r="M262" s="279" t="s">
        <v>114</v>
      </c>
      <c r="N262" s="278">
        <v>44203</v>
      </c>
      <c r="O262" s="329" t="s">
        <v>67</v>
      </c>
      <c r="P262" s="386">
        <f t="shared" ref="P262:Q262" si="259">IF(B262=0,0,IF(YEAR(B262)=$Q$1,MONTH(B262)-$P$1+1,(YEAR(B262)-$Q$1)*12-$P$1+1+MONTH(B262)))</f>
        <v>1</v>
      </c>
      <c r="Q262" s="330">
        <f t="shared" si="259"/>
        <v>1</v>
      </c>
      <c r="R262" s="351" t="str">
        <f t="shared" si="3"/>
        <v>Gastos_Gerais</v>
      </c>
      <c r="S262" s="351" t="str">
        <f>IF(D262="","",IF(OR(D262=Plano!$A$1,D262=Plano!$B$1),"entrada","saída"))</f>
        <v>saída</v>
      </c>
      <c r="T262" s="334" t="s">
        <v>114</v>
      </c>
      <c r="U262" s="334" t="s">
        <v>114</v>
      </c>
      <c r="V262" s="344"/>
      <c r="W262" s="269"/>
    </row>
    <row r="263" spans="1:23" ht="69.75" customHeight="1" x14ac:dyDescent="0.2">
      <c r="A263" s="277">
        <f t="shared" si="0"/>
        <v>259</v>
      </c>
      <c r="B263" s="278">
        <v>44203</v>
      </c>
      <c r="C263" s="249">
        <v>44197</v>
      </c>
      <c r="D263" s="255" t="s">
        <v>99</v>
      </c>
      <c r="E263" s="255" t="s">
        <v>272</v>
      </c>
      <c r="F263" s="258">
        <v>10.45</v>
      </c>
      <c r="G263" s="255" t="s">
        <v>2799</v>
      </c>
      <c r="H263" s="255" t="s">
        <v>115</v>
      </c>
      <c r="I263" s="250" t="s">
        <v>949</v>
      </c>
      <c r="J263" s="255" t="s">
        <v>950</v>
      </c>
      <c r="K263" s="255" t="s">
        <v>951</v>
      </c>
      <c r="L263" s="250" t="s">
        <v>947</v>
      </c>
      <c r="M263" s="279" t="s">
        <v>114</v>
      </c>
      <c r="N263" s="278">
        <v>44203</v>
      </c>
      <c r="O263" s="329" t="s">
        <v>67</v>
      </c>
      <c r="P263" s="386">
        <f t="shared" ref="P263:Q263" si="260">IF(B263=0,0,IF(YEAR(B263)=$Q$1,MONTH(B263)-$P$1+1,(YEAR(B263)-$Q$1)*12-$P$1+1+MONTH(B263)))</f>
        <v>1</v>
      </c>
      <c r="Q263" s="330">
        <f t="shared" si="260"/>
        <v>1</v>
      </c>
      <c r="R263" s="351" t="str">
        <f t="shared" si="3"/>
        <v>Gastos_Gerais</v>
      </c>
      <c r="S263" s="351" t="str">
        <f>IF(D263="","",IF(OR(D263=Plano!$A$1,D263=Plano!$B$1),"entrada","saída"))</f>
        <v>saída</v>
      </c>
      <c r="T263" s="334" t="s">
        <v>114</v>
      </c>
      <c r="U263" s="334" t="s">
        <v>114</v>
      </c>
      <c r="V263" s="344"/>
      <c r="W263" s="269"/>
    </row>
    <row r="264" spans="1:23" ht="69.75" customHeight="1" x14ac:dyDescent="0.2">
      <c r="A264" s="277">
        <f t="shared" si="0"/>
        <v>260</v>
      </c>
      <c r="B264" s="278">
        <v>44203</v>
      </c>
      <c r="C264" s="249">
        <v>44197</v>
      </c>
      <c r="D264" s="255" t="s">
        <v>99</v>
      </c>
      <c r="E264" s="255" t="s">
        <v>272</v>
      </c>
      <c r="F264" s="258">
        <v>10.45</v>
      </c>
      <c r="G264" s="255" t="s">
        <v>2800</v>
      </c>
      <c r="H264" s="255" t="s">
        <v>115</v>
      </c>
      <c r="I264" s="250" t="s">
        <v>949</v>
      </c>
      <c r="J264" s="255" t="s">
        <v>950</v>
      </c>
      <c r="K264" s="255" t="s">
        <v>951</v>
      </c>
      <c r="L264" s="250" t="s">
        <v>947</v>
      </c>
      <c r="M264" s="279" t="s">
        <v>114</v>
      </c>
      <c r="N264" s="278">
        <v>44203</v>
      </c>
      <c r="O264" s="329" t="s">
        <v>67</v>
      </c>
      <c r="P264" s="386">
        <f t="shared" ref="P264:Q264" si="261">IF(B264=0,0,IF(YEAR(B264)=$Q$1,MONTH(B264)-$P$1+1,(YEAR(B264)-$Q$1)*12-$P$1+1+MONTH(B264)))</f>
        <v>1</v>
      </c>
      <c r="Q264" s="330">
        <f t="shared" si="261"/>
        <v>1</v>
      </c>
      <c r="R264" s="351" t="str">
        <f t="shared" si="3"/>
        <v>Gastos_Gerais</v>
      </c>
      <c r="S264" s="351" t="str">
        <f>IF(D264="","",IF(OR(D264=Plano!$A$1,D264=Plano!$B$1),"entrada","saída"))</f>
        <v>saída</v>
      </c>
      <c r="T264" s="334" t="s">
        <v>114</v>
      </c>
      <c r="U264" s="334" t="s">
        <v>114</v>
      </c>
      <c r="V264" s="344"/>
      <c r="W264" s="269"/>
    </row>
    <row r="265" spans="1:23" ht="69.75" customHeight="1" x14ac:dyDescent="0.2">
      <c r="A265" s="277">
        <f t="shared" si="0"/>
        <v>261</v>
      </c>
      <c r="B265" s="278">
        <v>44203</v>
      </c>
      <c r="C265" s="249">
        <v>44197</v>
      </c>
      <c r="D265" s="255" t="s">
        <v>99</v>
      </c>
      <c r="E265" s="255" t="s">
        <v>272</v>
      </c>
      <c r="F265" s="258">
        <v>10.45</v>
      </c>
      <c r="G265" s="255" t="s">
        <v>2801</v>
      </c>
      <c r="H265" s="255" t="s">
        <v>117</v>
      </c>
      <c r="I265" s="250" t="s">
        <v>949</v>
      </c>
      <c r="J265" s="255" t="s">
        <v>950</v>
      </c>
      <c r="K265" s="255" t="s">
        <v>951</v>
      </c>
      <c r="L265" s="250" t="s">
        <v>947</v>
      </c>
      <c r="M265" s="279" t="s">
        <v>114</v>
      </c>
      <c r="N265" s="278">
        <v>44203</v>
      </c>
      <c r="O265" s="329" t="s">
        <v>67</v>
      </c>
      <c r="P265" s="386">
        <f t="shared" ref="P265:Q265" si="262">IF(B265=0,0,IF(YEAR(B265)=$Q$1,MONTH(B265)-$P$1+1,(YEAR(B265)-$Q$1)*12-$P$1+1+MONTH(B265)))</f>
        <v>1</v>
      </c>
      <c r="Q265" s="330">
        <f t="shared" si="262"/>
        <v>1</v>
      </c>
      <c r="R265" s="351" t="str">
        <f t="shared" si="3"/>
        <v>Gastos_Gerais</v>
      </c>
      <c r="S265" s="351" t="str">
        <f>IF(D265="","",IF(OR(D265=Plano!$A$1,D265=Plano!$B$1),"entrada","saída"))</f>
        <v>saída</v>
      </c>
      <c r="T265" s="334" t="s">
        <v>114</v>
      </c>
      <c r="U265" s="334" t="s">
        <v>114</v>
      </c>
      <c r="V265" s="344"/>
      <c r="W265" s="269"/>
    </row>
    <row r="266" spans="1:23" ht="69.75" customHeight="1" x14ac:dyDescent="0.2">
      <c r="A266" s="277">
        <f t="shared" si="0"/>
        <v>262</v>
      </c>
      <c r="B266" s="278">
        <v>44203</v>
      </c>
      <c r="C266" s="249">
        <v>44197</v>
      </c>
      <c r="D266" s="255" t="s">
        <v>99</v>
      </c>
      <c r="E266" s="255" t="s">
        <v>272</v>
      </c>
      <c r="F266" s="258">
        <v>10.45</v>
      </c>
      <c r="G266" s="255" t="s">
        <v>2802</v>
      </c>
      <c r="H266" s="255" t="s">
        <v>133</v>
      </c>
      <c r="I266" s="250" t="s">
        <v>949</v>
      </c>
      <c r="J266" s="255" t="s">
        <v>950</v>
      </c>
      <c r="K266" s="255" t="s">
        <v>951</v>
      </c>
      <c r="L266" s="250" t="s">
        <v>947</v>
      </c>
      <c r="M266" s="279" t="s">
        <v>114</v>
      </c>
      <c r="N266" s="278">
        <v>44203</v>
      </c>
      <c r="O266" s="329" t="s">
        <v>67</v>
      </c>
      <c r="P266" s="386">
        <f t="shared" ref="P266:Q266" si="263">IF(B266=0,0,IF(YEAR(B266)=$Q$1,MONTH(B266)-$P$1+1,(YEAR(B266)-$Q$1)*12-$P$1+1+MONTH(B266)))</f>
        <v>1</v>
      </c>
      <c r="Q266" s="330">
        <f t="shared" si="263"/>
        <v>1</v>
      </c>
      <c r="R266" s="351" t="str">
        <f t="shared" si="3"/>
        <v>Gastos_Gerais</v>
      </c>
      <c r="S266" s="351" t="str">
        <f>IF(D266="","",IF(OR(D266=Plano!$A$1,D266=Plano!$B$1),"entrada","saída"))</f>
        <v>saída</v>
      </c>
      <c r="T266" s="334" t="s">
        <v>114</v>
      </c>
      <c r="U266" s="334" t="s">
        <v>114</v>
      </c>
      <c r="V266" s="344"/>
      <c r="W266" s="269"/>
    </row>
    <row r="267" spans="1:23" ht="69.75" customHeight="1" x14ac:dyDescent="0.2">
      <c r="A267" s="277">
        <f t="shared" si="0"/>
        <v>263</v>
      </c>
      <c r="B267" s="278">
        <v>44203</v>
      </c>
      <c r="C267" s="249">
        <v>44197</v>
      </c>
      <c r="D267" s="255" t="s">
        <v>99</v>
      </c>
      <c r="E267" s="255" t="s">
        <v>272</v>
      </c>
      <c r="F267" s="258">
        <v>10.45</v>
      </c>
      <c r="G267" s="255" t="s">
        <v>2803</v>
      </c>
      <c r="H267" s="255" t="s">
        <v>117</v>
      </c>
      <c r="I267" s="250" t="s">
        <v>949</v>
      </c>
      <c r="J267" s="255" t="s">
        <v>950</v>
      </c>
      <c r="K267" s="255" t="s">
        <v>951</v>
      </c>
      <c r="L267" s="250" t="s">
        <v>947</v>
      </c>
      <c r="M267" s="279" t="s">
        <v>114</v>
      </c>
      <c r="N267" s="278">
        <v>44203</v>
      </c>
      <c r="O267" s="329" t="s">
        <v>67</v>
      </c>
      <c r="P267" s="386">
        <f t="shared" ref="P267:Q267" si="264">IF(B267=0,0,IF(YEAR(B267)=$Q$1,MONTH(B267)-$P$1+1,(YEAR(B267)-$Q$1)*12-$P$1+1+MONTH(B267)))</f>
        <v>1</v>
      </c>
      <c r="Q267" s="330">
        <f t="shared" si="264"/>
        <v>1</v>
      </c>
      <c r="R267" s="351" t="str">
        <f t="shared" si="3"/>
        <v>Gastos_Gerais</v>
      </c>
      <c r="S267" s="351" t="str">
        <f>IF(D267="","",IF(OR(D267=Plano!$A$1,D267=Plano!$B$1),"entrada","saída"))</f>
        <v>saída</v>
      </c>
      <c r="T267" s="334" t="s">
        <v>114</v>
      </c>
      <c r="U267" s="334" t="s">
        <v>114</v>
      </c>
      <c r="V267" s="344"/>
      <c r="W267" s="269"/>
    </row>
    <row r="268" spans="1:23" ht="69.75" customHeight="1" x14ac:dyDescent="0.2">
      <c r="A268" s="277">
        <f t="shared" si="0"/>
        <v>264</v>
      </c>
      <c r="B268" s="278">
        <v>44203</v>
      </c>
      <c r="C268" s="249">
        <v>44197</v>
      </c>
      <c r="D268" s="255" t="s">
        <v>99</v>
      </c>
      <c r="E268" s="255" t="s">
        <v>272</v>
      </c>
      <c r="F268" s="258">
        <v>10.45</v>
      </c>
      <c r="G268" s="255" t="s">
        <v>2804</v>
      </c>
      <c r="H268" s="250" t="s">
        <v>125</v>
      </c>
      <c r="I268" s="250" t="s">
        <v>949</v>
      </c>
      <c r="J268" s="255" t="s">
        <v>950</v>
      </c>
      <c r="K268" s="255" t="s">
        <v>951</v>
      </c>
      <c r="L268" s="250" t="s">
        <v>947</v>
      </c>
      <c r="M268" s="279" t="s">
        <v>114</v>
      </c>
      <c r="N268" s="278">
        <v>44203</v>
      </c>
      <c r="O268" s="329" t="s">
        <v>67</v>
      </c>
      <c r="P268" s="386">
        <f t="shared" ref="P268:Q268" si="265">IF(B268=0,0,IF(YEAR(B268)=$Q$1,MONTH(B268)-$P$1+1,(YEAR(B268)-$Q$1)*12-$P$1+1+MONTH(B268)))</f>
        <v>1</v>
      </c>
      <c r="Q268" s="330">
        <f t="shared" si="265"/>
        <v>1</v>
      </c>
      <c r="R268" s="351" t="str">
        <f t="shared" si="3"/>
        <v>Gastos_Gerais</v>
      </c>
      <c r="S268" s="351" t="str">
        <f>IF(D268="","",IF(OR(D268=Plano!$A$1,D268=Plano!$B$1),"entrada","saída"))</f>
        <v>saída</v>
      </c>
      <c r="T268" s="334" t="s">
        <v>114</v>
      </c>
      <c r="U268" s="334" t="s">
        <v>114</v>
      </c>
      <c r="V268" s="344"/>
      <c r="W268" s="269"/>
    </row>
    <row r="269" spans="1:23" ht="69.75" customHeight="1" x14ac:dyDescent="0.2">
      <c r="A269" s="277">
        <f t="shared" si="0"/>
        <v>265</v>
      </c>
      <c r="B269" s="278">
        <v>44203</v>
      </c>
      <c r="C269" s="249">
        <v>44197</v>
      </c>
      <c r="D269" s="255" t="s">
        <v>99</v>
      </c>
      <c r="E269" s="255" t="s">
        <v>272</v>
      </c>
      <c r="F269" s="258">
        <v>10.45</v>
      </c>
      <c r="G269" s="255" t="s">
        <v>2805</v>
      </c>
      <c r="H269" s="250" t="s">
        <v>131</v>
      </c>
      <c r="I269" s="250" t="s">
        <v>949</v>
      </c>
      <c r="J269" s="255" t="s">
        <v>950</v>
      </c>
      <c r="K269" s="255" t="s">
        <v>951</v>
      </c>
      <c r="L269" s="250" t="s">
        <v>947</v>
      </c>
      <c r="M269" s="279" t="s">
        <v>114</v>
      </c>
      <c r="N269" s="278">
        <v>44203</v>
      </c>
      <c r="O269" s="329" t="s">
        <v>67</v>
      </c>
      <c r="P269" s="386">
        <f t="shared" ref="P269:Q269" si="266">IF(B269=0,0,IF(YEAR(B269)=$Q$1,MONTH(B269)-$P$1+1,(YEAR(B269)-$Q$1)*12-$P$1+1+MONTH(B269)))</f>
        <v>1</v>
      </c>
      <c r="Q269" s="330">
        <f t="shared" si="266"/>
        <v>1</v>
      </c>
      <c r="R269" s="351" t="str">
        <f t="shared" si="3"/>
        <v>Gastos_Gerais</v>
      </c>
      <c r="S269" s="351" t="str">
        <f>IF(D269="","",IF(OR(D269=Plano!$A$1,D269=Plano!$B$1),"entrada","saída"))</f>
        <v>saída</v>
      </c>
      <c r="T269" s="334" t="s">
        <v>114</v>
      </c>
      <c r="U269" s="334" t="s">
        <v>114</v>
      </c>
      <c r="V269" s="344"/>
      <c r="W269" s="269"/>
    </row>
    <row r="270" spans="1:23" ht="69.75" customHeight="1" x14ac:dyDescent="0.2">
      <c r="A270" s="277">
        <f t="shared" si="0"/>
        <v>266</v>
      </c>
      <c r="B270" s="278">
        <v>44203</v>
      </c>
      <c r="C270" s="249">
        <v>44166</v>
      </c>
      <c r="D270" s="250" t="s">
        <v>104</v>
      </c>
      <c r="E270" s="250" t="s">
        <v>104</v>
      </c>
      <c r="F270" s="251">
        <v>1045</v>
      </c>
      <c r="G270" s="255" t="s">
        <v>2806</v>
      </c>
      <c r="H270" s="250" t="s">
        <v>104</v>
      </c>
      <c r="I270" s="250" t="s">
        <v>2807</v>
      </c>
      <c r="J270" s="250" t="s">
        <v>2808</v>
      </c>
      <c r="K270" s="250" t="s">
        <v>1015</v>
      </c>
      <c r="L270" s="250" t="s">
        <v>1177</v>
      </c>
      <c r="M270" s="279" t="s">
        <v>114</v>
      </c>
      <c r="N270" s="278">
        <v>44203</v>
      </c>
      <c r="O270" s="329" t="s">
        <v>68</v>
      </c>
      <c r="P270" s="386">
        <f t="shared" ref="P270:Q270" si="267">IF(B270=0,0,IF(YEAR(B270)=$Q$1,MONTH(B270)-$P$1+1,(YEAR(B270)-$Q$1)*12-$P$1+1+MONTH(B270)))</f>
        <v>1</v>
      </c>
      <c r="Q270" s="330">
        <f t="shared" si="267"/>
        <v>0</v>
      </c>
      <c r="R270" s="351" t="str">
        <f t="shared" si="3"/>
        <v>Gastos_custeados_por_captação</v>
      </c>
      <c r="S270" s="351" t="str">
        <f>IF(D270="","",IF(OR(D270=Plano!$A$1,D270=Plano!$B$1),"entrada","saída"))</f>
        <v>saída</v>
      </c>
      <c r="T270" s="334" t="s">
        <v>114</v>
      </c>
      <c r="U270" s="334" t="s">
        <v>114</v>
      </c>
      <c r="V270" s="344"/>
      <c r="W270" s="269"/>
    </row>
    <row r="271" spans="1:23" ht="69.75" customHeight="1" x14ac:dyDescent="0.2">
      <c r="A271" s="277">
        <f t="shared" si="0"/>
        <v>267</v>
      </c>
      <c r="B271" s="278">
        <v>44203</v>
      </c>
      <c r="C271" s="249">
        <v>44197</v>
      </c>
      <c r="D271" s="250" t="s">
        <v>104</v>
      </c>
      <c r="E271" s="250" t="s">
        <v>104</v>
      </c>
      <c r="F271" s="258">
        <v>4656.96</v>
      </c>
      <c r="G271" s="255" t="s">
        <v>2809</v>
      </c>
      <c r="H271" s="250" t="s">
        <v>104</v>
      </c>
      <c r="I271" s="250" t="s">
        <v>1140</v>
      </c>
      <c r="J271" s="255" t="s">
        <v>929</v>
      </c>
      <c r="K271" s="250" t="s">
        <v>1015</v>
      </c>
      <c r="L271" s="250" t="s">
        <v>1016</v>
      </c>
      <c r="M271" s="279">
        <v>172</v>
      </c>
      <c r="N271" s="278">
        <v>44204</v>
      </c>
      <c r="O271" s="329" t="s">
        <v>68</v>
      </c>
      <c r="P271" s="386">
        <f t="shared" ref="P271:Q271" si="268">IF(B271=0,0,IF(YEAR(B271)=$Q$1,MONTH(B271)-$P$1+1,(YEAR(B271)-$Q$1)*12-$P$1+1+MONTH(B271)))</f>
        <v>1</v>
      </c>
      <c r="Q271" s="330">
        <f t="shared" si="268"/>
        <v>1</v>
      </c>
      <c r="R271" s="351" t="str">
        <f t="shared" si="3"/>
        <v>Gastos_custeados_por_captação</v>
      </c>
      <c r="S271" s="351" t="str">
        <f>IF(D271="","",IF(OR(D271=Plano!$A$1,D271=Plano!$B$1),"entrada","saída"))</f>
        <v>saída</v>
      </c>
      <c r="T271" s="334" t="s">
        <v>994</v>
      </c>
      <c r="U271" s="334">
        <v>1113</v>
      </c>
      <c r="V271" s="344"/>
      <c r="W271" s="269"/>
    </row>
    <row r="272" spans="1:23" ht="121.5" customHeight="1" x14ac:dyDescent="0.2">
      <c r="A272" s="277">
        <f t="shared" si="0"/>
        <v>268</v>
      </c>
      <c r="B272" s="278">
        <v>44203</v>
      </c>
      <c r="C272" s="249">
        <v>44166</v>
      </c>
      <c r="D272" s="250" t="s">
        <v>104</v>
      </c>
      <c r="E272" s="250" t="s">
        <v>104</v>
      </c>
      <c r="F272" s="258">
        <v>840</v>
      </c>
      <c r="G272" s="255" t="s">
        <v>2810</v>
      </c>
      <c r="H272" s="250" t="s">
        <v>104</v>
      </c>
      <c r="I272" s="250" t="s">
        <v>2811</v>
      </c>
      <c r="J272" s="255" t="s">
        <v>2812</v>
      </c>
      <c r="K272" s="250" t="s">
        <v>1015</v>
      </c>
      <c r="L272" s="250" t="s">
        <v>1029</v>
      </c>
      <c r="M272" s="279">
        <v>1009</v>
      </c>
      <c r="N272" s="278">
        <v>44201</v>
      </c>
      <c r="O272" s="329" t="s">
        <v>68</v>
      </c>
      <c r="P272" s="386">
        <f t="shared" ref="P272:Q272" si="269">IF(B272=0,0,IF(YEAR(B272)=$Q$1,MONTH(B272)-$P$1+1,(YEAR(B272)-$Q$1)*12-$P$1+1+MONTH(B272)))</f>
        <v>1</v>
      </c>
      <c r="Q272" s="330">
        <f t="shared" si="269"/>
        <v>0</v>
      </c>
      <c r="R272" s="351" t="str">
        <f t="shared" si="3"/>
        <v>Gastos_custeados_por_captação</v>
      </c>
      <c r="S272" s="351" t="str">
        <f>IF(D272="","",IF(OR(D272=Plano!$A$1,D272=Plano!$B$1),"entrada","saída"))</f>
        <v>saída</v>
      </c>
      <c r="T272" s="334" t="s">
        <v>994</v>
      </c>
      <c r="U272" s="334">
        <v>1148</v>
      </c>
      <c r="V272" s="344"/>
      <c r="W272" s="269"/>
    </row>
    <row r="273" spans="1:23" ht="136.5" customHeight="1" x14ac:dyDescent="0.2">
      <c r="A273" s="277">
        <f t="shared" si="0"/>
        <v>269</v>
      </c>
      <c r="B273" s="278">
        <v>44203</v>
      </c>
      <c r="C273" s="249">
        <v>44166</v>
      </c>
      <c r="D273" s="250" t="s">
        <v>104</v>
      </c>
      <c r="E273" s="250" t="s">
        <v>104</v>
      </c>
      <c r="F273" s="251">
        <v>3540</v>
      </c>
      <c r="G273" s="255" t="s">
        <v>2813</v>
      </c>
      <c r="H273" s="250" t="s">
        <v>104</v>
      </c>
      <c r="I273" s="250" t="s">
        <v>2814</v>
      </c>
      <c r="J273" s="250" t="s">
        <v>2815</v>
      </c>
      <c r="K273" s="250" t="s">
        <v>1015</v>
      </c>
      <c r="L273" s="250" t="s">
        <v>1016</v>
      </c>
      <c r="M273" s="255" t="s">
        <v>1305</v>
      </c>
      <c r="N273" s="278">
        <v>44202</v>
      </c>
      <c r="O273" s="329" t="s">
        <v>68</v>
      </c>
      <c r="P273" s="386">
        <f t="shared" ref="P273:Q273" si="270">IF(B273=0,0,IF(YEAR(B273)=$Q$1,MONTH(B273)-$P$1+1,(YEAR(B273)-$Q$1)*12-$P$1+1+MONTH(B273)))</f>
        <v>1</v>
      </c>
      <c r="Q273" s="330">
        <f t="shared" si="270"/>
        <v>0</v>
      </c>
      <c r="R273" s="351" t="str">
        <f t="shared" si="3"/>
        <v>Gastos_custeados_por_captação</v>
      </c>
      <c r="S273" s="351" t="str">
        <f>IF(D273="","",IF(OR(D273=Plano!$A$1,D273=Plano!$B$1),"entrada","saída"))</f>
        <v>saída</v>
      </c>
      <c r="T273" s="334" t="s">
        <v>994</v>
      </c>
      <c r="U273" s="334">
        <v>553</v>
      </c>
      <c r="V273" s="344"/>
      <c r="W273" s="269"/>
    </row>
    <row r="274" spans="1:23" ht="69.75" customHeight="1" x14ac:dyDescent="0.2">
      <c r="A274" s="277">
        <f t="shared" si="0"/>
        <v>270</v>
      </c>
      <c r="B274" s="278">
        <v>44203</v>
      </c>
      <c r="C274" s="249">
        <v>44166</v>
      </c>
      <c r="D274" s="250" t="s">
        <v>104</v>
      </c>
      <c r="E274" s="250" t="s">
        <v>104</v>
      </c>
      <c r="F274" s="251">
        <v>2910</v>
      </c>
      <c r="G274" s="255" t="s">
        <v>2816</v>
      </c>
      <c r="H274" s="250" t="s">
        <v>104</v>
      </c>
      <c r="I274" s="250" t="s">
        <v>2817</v>
      </c>
      <c r="J274" s="250" t="s">
        <v>2818</v>
      </c>
      <c r="K274" s="250" t="s">
        <v>1015</v>
      </c>
      <c r="L274" s="250" t="s">
        <v>1016</v>
      </c>
      <c r="M274" s="255" t="s">
        <v>1299</v>
      </c>
      <c r="N274" s="278">
        <v>44202</v>
      </c>
      <c r="O274" s="329" t="s">
        <v>68</v>
      </c>
      <c r="P274" s="386">
        <f t="shared" ref="P274:Q274" si="271">IF(B274=0,0,IF(YEAR(B274)=$Q$1,MONTH(B274)-$P$1+1,(YEAR(B274)-$Q$1)*12-$P$1+1+MONTH(B274)))</f>
        <v>1</v>
      </c>
      <c r="Q274" s="330">
        <f t="shared" si="271"/>
        <v>0</v>
      </c>
      <c r="R274" s="351" t="str">
        <f t="shared" si="3"/>
        <v>Gastos_custeados_por_captação</v>
      </c>
      <c r="S274" s="351" t="str">
        <f>IF(D274="","",IF(OR(D274=Plano!$A$1,D274=Plano!$B$1),"entrada","saída"))</f>
        <v>saída</v>
      </c>
      <c r="T274" s="334" t="s">
        <v>1082</v>
      </c>
      <c r="U274" s="334">
        <v>72</v>
      </c>
      <c r="V274" s="344"/>
      <c r="W274" s="269"/>
    </row>
    <row r="275" spans="1:23" ht="69.75" customHeight="1" x14ac:dyDescent="0.2">
      <c r="A275" s="277">
        <f t="shared" si="0"/>
        <v>271</v>
      </c>
      <c r="B275" s="278">
        <v>44203</v>
      </c>
      <c r="C275" s="249">
        <v>44166</v>
      </c>
      <c r="D275" s="250" t="s">
        <v>104</v>
      </c>
      <c r="E275" s="250" t="s">
        <v>104</v>
      </c>
      <c r="F275" s="251">
        <v>1045</v>
      </c>
      <c r="G275" s="255" t="s">
        <v>2806</v>
      </c>
      <c r="H275" s="250" t="s">
        <v>104</v>
      </c>
      <c r="I275" s="250" t="s">
        <v>2819</v>
      </c>
      <c r="J275" s="250" t="s">
        <v>2820</v>
      </c>
      <c r="K275" s="250" t="s">
        <v>1015</v>
      </c>
      <c r="L275" s="250" t="s">
        <v>1177</v>
      </c>
      <c r="M275" s="255" t="s">
        <v>114</v>
      </c>
      <c r="N275" s="278">
        <v>44203</v>
      </c>
      <c r="O275" s="329" t="s">
        <v>69</v>
      </c>
      <c r="P275" s="386">
        <f t="shared" ref="P275:Q275" si="272">IF(B275=0,0,IF(YEAR(B275)=$Q$1,MONTH(B275)-$P$1+1,(YEAR(B275)-$Q$1)*12-$P$1+1+MONTH(B275)))</f>
        <v>1</v>
      </c>
      <c r="Q275" s="330">
        <f t="shared" si="272"/>
        <v>0</v>
      </c>
      <c r="R275" s="351" t="str">
        <f t="shared" si="3"/>
        <v>Gastos_custeados_por_captação</v>
      </c>
      <c r="S275" s="351" t="str">
        <f>IF(D275="","",IF(OR(D275=Plano!$A$1,D275=Plano!$B$1),"entrada","saída"))</f>
        <v>saída</v>
      </c>
      <c r="T275" s="334" t="s">
        <v>114</v>
      </c>
      <c r="U275" s="334" t="s">
        <v>114</v>
      </c>
      <c r="V275" s="344"/>
      <c r="W275" s="269"/>
    </row>
    <row r="276" spans="1:23" ht="69.75" customHeight="1" x14ac:dyDescent="0.2">
      <c r="A276" s="277">
        <f t="shared" si="0"/>
        <v>272</v>
      </c>
      <c r="B276" s="278">
        <v>44203</v>
      </c>
      <c r="C276" s="249">
        <v>44166</v>
      </c>
      <c r="D276" s="250" t="s">
        <v>104</v>
      </c>
      <c r="E276" s="250" t="s">
        <v>104</v>
      </c>
      <c r="F276" s="251">
        <v>1045</v>
      </c>
      <c r="G276" s="255" t="s">
        <v>2806</v>
      </c>
      <c r="H276" s="250" t="s">
        <v>104</v>
      </c>
      <c r="I276" s="250" t="s">
        <v>2821</v>
      </c>
      <c r="J276" s="250" t="s">
        <v>2822</v>
      </c>
      <c r="K276" s="250" t="s">
        <v>1015</v>
      </c>
      <c r="L276" s="250" t="s">
        <v>1177</v>
      </c>
      <c r="M276" s="255" t="s">
        <v>114</v>
      </c>
      <c r="N276" s="278">
        <v>44203</v>
      </c>
      <c r="O276" s="329" t="s">
        <v>69</v>
      </c>
      <c r="P276" s="386">
        <f t="shared" ref="P276:Q276" si="273">IF(B276=0,0,IF(YEAR(B276)=$Q$1,MONTH(B276)-$P$1+1,(YEAR(B276)-$Q$1)*12-$P$1+1+MONTH(B276)))</f>
        <v>1</v>
      </c>
      <c r="Q276" s="330">
        <f t="shared" si="273"/>
        <v>0</v>
      </c>
      <c r="R276" s="351" t="str">
        <f t="shared" si="3"/>
        <v>Gastos_custeados_por_captação</v>
      </c>
      <c r="S276" s="351" t="str">
        <f>IF(D276="","",IF(OR(D276=Plano!$A$1,D276=Plano!$B$1),"entrada","saída"))</f>
        <v>saída</v>
      </c>
      <c r="T276" s="334" t="s">
        <v>114</v>
      </c>
      <c r="U276" s="334" t="s">
        <v>114</v>
      </c>
      <c r="V276" s="344"/>
      <c r="W276" s="269"/>
    </row>
    <row r="277" spans="1:23" ht="202.5" customHeight="1" x14ac:dyDescent="0.2">
      <c r="A277" s="277">
        <f t="shared" si="0"/>
        <v>273</v>
      </c>
      <c r="B277" s="278">
        <v>44203</v>
      </c>
      <c r="C277" s="249">
        <v>44166</v>
      </c>
      <c r="D277" s="250" t="s">
        <v>104</v>
      </c>
      <c r="E277" s="250" t="s">
        <v>104</v>
      </c>
      <c r="F277" s="251">
        <v>1680</v>
      </c>
      <c r="G277" s="255" t="s">
        <v>2823</v>
      </c>
      <c r="H277" s="250" t="s">
        <v>104</v>
      </c>
      <c r="I277" s="250" t="s">
        <v>2824</v>
      </c>
      <c r="J277" s="250" t="s">
        <v>745</v>
      </c>
      <c r="K277" s="250" t="s">
        <v>1015</v>
      </c>
      <c r="L277" s="250" t="s">
        <v>1029</v>
      </c>
      <c r="M277" s="255">
        <v>1011</v>
      </c>
      <c r="N277" s="278">
        <v>44202</v>
      </c>
      <c r="O277" s="329" t="s">
        <v>69</v>
      </c>
      <c r="P277" s="386">
        <f t="shared" ref="P277:Q277" si="274">IF(B277=0,0,IF(YEAR(B277)=$Q$1,MONTH(B277)-$P$1+1,(YEAR(B277)-$Q$1)*12-$P$1+1+MONTH(B277)))</f>
        <v>1</v>
      </c>
      <c r="Q277" s="330">
        <f t="shared" si="274"/>
        <v>0</v>
      </c>
      <c r="R277" s="351" t="str">
        <f t="shared" si="3"/>
        <v>Gastos_custeados_por_captação</v>
      </c>
      <c r="S277" s="351" t="str">
        <f>IF(D277="","",IF(OR(D277=Plano!$A$1,D277=Plano!$B$1),"entrada","saída"))</f>
        <v>saída</v>
      </c>
      <c r="T277" s="334" t="s">
        <v>114</v>
      </c>
      <c r="U277" s="334" t="s">
        <v>114</v>
      </c>
      <c r="V277" s="344"/>
      <c r="W277" s="269"/>
    </row>
    <row r="278" spans="1:23" ht="200.25" customHeight="1" x14ac:dyDescent="0.2">
      <c r="A278" s="277">
        <f t="shared" si="0"/>
        <v>274</v>
      </c>
      <c r="B278" s="278">
        <v>44203</v>
      </c>
      <c r="C278" s="249">
        <v>44166</v>
      </c>
      <c r="D278" s="250" t="s">
        <v>104</v>
      </c>
      <c r="E278" s="250" t="s">
        <v>104</v>
      </c>
      <c r="F278" s="251">
        <v>1680</v>
      </c>
      <c r="G278" s="255" t="s">
        <v>2825</v>
      </c>
      <c r="H278" s="250" t="s">
        <v>104</v>
      </c>
      <c r="I278" s="250" t="s">
        <v>2826</v>
      </c>
      <c r="J278" s="250" t="s">
        <v>2827</v>
      </c>
      <c r="K278" s="250" t="s">
        <v>1015</v>
      </c>
      <c r="L278" s="250" t="s">
        <v>1029</v>
      </c>
      <c r="M278" s="255">
        <v>1013</v>
      </c>
      <c r="N278" s="278">
        <v>44202</v>
      </c>
      <c r="O278" s="329" t="s">
        <v>69</v>
      </c>
      <c r="P278" s="386">
        <f t="shared" ref="P278:Q278" si="275">IF(B278=0,0,IF(YEAR(B278)=$Q$1,MONTH(B278)-$P$1+1,(YEAR(B278)-$Q$1)*12-$P$1+1+MONTH(B278)))</f>
        <v>1</v>
      </c>
      <c r="Q278" s="330">
        <f t="shared" si="275"/>
        <v>0</v>
      </c>
      <c r="R278" s="351" t="str">
        <f t="shared" si="3"/>
        <v>Gastos_custeados_por_captação</v>
      </c>
      <c r="S278" s="351" t="str">
        <f>IF(D278="","",IF(OR(D278=Plano!$A$1,D278=Plano!$B$1),"entrada","saída"))</f>
        <v>saída</v>
      </c>
      <c r="T278" s="334" t="s">
        <v>114</v>
      </c>
      <c r="U278" s="334" t="s">
        <v>114</v>
      </c>
      <c r="V278" s="344"/>
      <c r="W278" s="269"/>
    </row>
    <row r="279" spans="1:23" ht="233.25" customHeight="1" x14ac:dyDescent="0.2">
      <c r="A279" s="277">
        <f t="shared" si="0"/>
        <v>275</v>
      </c>
      <c r="B279" s="278">
        <v>44203</v>
      </c>
      <c r="C279" s="249">
        <v>44166</v>
      </c>
      <c r="D279" s="250" t="s">
        <v>104</v>
      </c>
      <c r="E279" s="250" t="s">
        <v>104</v>
      </c>
      <c r="F279" s="251">
        <v>840</v>
      </c>
      <c r="G279" s="255" t="s">
        <v>2828</v>
      </c>
      <c r="H279" s="250" t="s">
        <v>104</v>
      </c>
      <c r="I279" s="250" t="s">
        <v>2829</v>
      </c>
      <c r="J279" s="250" t="s">
        <v>2830</v>
      </c>
      <c r="K279" s="250" t="s">
        <v>1015</v>
      </c>
      <c r="L279" s="250" t="s">
        <v>1029</v>
      </c>
      <c r="M279" s="255">
        <v>1015</v>
      </c>
      <c r="N279" s="278">
        <v>44202</v>
      </c>
      <c r="O279" s="329" t="s">
        <v>69</v>
      </c>
      <c r="P279" s="386">
        <f t="shared" ref="P279:Q279" si="276">IF(B279=0,0,IF(YEAR(B279)=$Q$1,MONTH(B279)-$P$1+1,(YEAR(B279)-$Q$1)*12-$P$1+1+MONTH(B279)))</f>
        <v>1</v>
      </c>
      <c r="Q279" s="330">
        <f t="shared" si="276"/>
        <v>0</v>
      </c>
      <c r="R279" s="351" t="str">
        <f t="shared" si="3"/>
        <v>Gastos_custeados_por_captação</v>
      </c>
      <c r="S279" s="351" t="str">
        <f>IF(D279="","",IF(OR(D279=Plano!$A$1,D279=Plano!$B$1),"entrada","saída"))</f>
        <v>saída</v>
      </c>
      <c r="T279" s="334" t="s">
        <v>114</v>
      </c>
      <c r="U279" s="334" t="s">
        <v>114</v>
      </c>
      <c r="V279" s="344"/>
      <c r="W279" s="269"/>
    </row>
    <row r="280" spans="1:23" ht="147" customHeight="1" x14ac:dyDescent="0.2">
      <c r="A280" s="277">
        <f t="shared" si="0"/>
        <v>276</v>
      </c>
      <c r="B280" s="278">
        <v>44204</v>
      </c>
      <c r="C280" s="256">
        <v>44166</v>
      </c>
      <c r="D280" s="255" t="s">
        <v>99</v>
      </c>
      <c r="E280" s="255" t="s">
        <v>290</v>
      </c>
      <c r="F280" s="258">
        <v>-64.63</v>
      </c>
      <c r="G280" s="255" t="s">
        <v>2831</v>
      </c>
      <c r="H280" s="255" t="s">
        <v>115</v>
      </c>
      <c r="I280" s="250" t="s">
        <v>983</v>
      </c>
      <c r="J280" s="255" t="s">
        <v>850</v>
      </c>
      <c r="K280" s="255" t="s">
        <v>946</v>
      </c>
      <c r="L280" s="250" t="s">
        <v>947</v>
      </c>
      <c r="M280" s="255" t="s">
        <v>2002</v>
      </c>
      <c r="N280" s="278">
        <v>44204</v>
      </c>
      <c r="O280" s="329" t="s">
        <v>67</v>
      </c>
      <c r="P280" s="386">
        <f t="shared" ref="P280:Q280" si="277">IF(B280=0,0,IF(YEAR(B280)=$Q$1,MONTH(B280)-$P$1+1,(YEAR(B280)-$Q$1)*12-$P$1+1+MONTH(B280)))</f>
        <v>1</v>
      </c>
      <c r="Q280" s="330">
        <f t="shared" si="277"/>
        <v>0</v>
      </c>
      <c r="R280" s="351" t="str">
        <f t="shared" si="3"/>
        <v>Gastos_Gerais</v>
      </c>
      <c r="S280" s="351" t="str">
        <f>IF(D280="","",IF(OR(D280=Plano!$A$1,D280=Plano!$B$1),"entrada","saída"))</f>
        <v>saída</v>
      </c>
      <c r="T280" s="334" t="s">
        <v>114</v>
      </c>
      <c r="U280" s="334" t="s">
        <v>114</v>
      </c>
      <c r="V280" s="344"/>
      <c r="W280" s="269"/>
    </row>
    <row r="281" spans="1:23" ht="136.5" customHeight="1" x14ac:dyDescent="0.2">
      <c r="A281" s="277">
        <f t="shared" si="0"/>
        <v>277</v>
      </c>
      <c r="B281" s="278">
        <v>44204</v>
      </c>
      <c r="C281" s="256">
        <v>44136</v>
      </c>
      <c r="D281" s="255" t="s">
        <v>99</v>
      </c>
      <c r="E281" s="255" t="s">
        <v>290</v>
      </c>
      <c r="F281" s="258">
        <v>-142.96</v>
      </c>
      <c r="G281" s="255" t="s">
        <v>2831</v>
      </c>
      <c r="H281" s="255" t="s">
        <v>115</v>
      </c>
      <c r="I281" s="250" t="s">
        <v>983</v>
      </c>
      <c r="J281" s="255" t="s">
        <v>850</v>
      </c>
      <c r="K281" s="255" t="s">
        <v>946</v>
      </c>
      <c r="L281" s="250" t="s">
        <v>947</v>
      </c>
      <c r="M281" s="255" t="s">
        <v>114</v>
      </c>
      <c r="N281" s="278">
        <v>44204</v>
      </c>
      <c r="O281" s="329" t="s">
        <v>67</v>
      </c>
      <c r="P281" s="386">
        <f t="shared" ref="P281:Q281" si="278">IF(B281=0,0,IF(YEAR(B281)=$Q$1,MONTH(B281)-$P$1+1,(YEAR(B281)-$Q$1)*12-$P$1+1+MONTH(B281)))</f>
        <v>1</v>
      </c>
      <c r="Q281" s="330">
        <f t="shared" si="278"/>
        <v>-1</v>
      </c>
      <c r="R281" s="351" t="str">
        <f t="shared" si="3"/>
        <v>Gastos_Gerais</v>
      </c>
      <c r="S281" s="351" t="str">
        <f>IF(D281="","",IF(OR(D281=Plano!$A$1,D281=Plano!$B$1),"entrada","saída"))</f>
        <v>saída</v>
      </c>
      <c r="T281" s="334" t="s">
        <v>114</v>
      </c>
      <c r="U281" s="334" t="s">
        <v>114</v>
      </c>
      <c r="V281" s="344"/>
      <c r="W281" s="269"/>
    </row>
    <row r="282" spans="1:23" ht="215.25" customHeight="1" x14ac:dyDescent="0.2">
      <c r="A282" s="277">
        <f t="shared" si="0"/>
        <v>278</v>
      </c>
      <c r="B282" s="278">
        <v>44204</v>
      </c>
      <c r="C282" s="249">
        <v>44166</v>
      </c>
      <c r="D282" s="250" t="s">
        <v>99</v>
      </c>
      <c r="E282" s="250" t="s">
        <v>352</v>
      </c>
      <c r="F282" s="251">
        <v>1612.8</v>
      </c>
      <c r="G282" s="255" t="s">
        <v>2832</v>
      </c>
      <c r="H282" s="250" t="s">
        <v>125</v>
      </c>
      <c r="I282" s="250" t="s">
        <v>2833</v>
      </c>
      <c r="J282" s="250" t="s">
        <v>2834</v>
      </c>
      <c r="K282" s="255" t="s">
        <v>1015</v>
      </c>
      <c r="L282" s="250" t="s">
        <v>1029</v>
      </c>
      <c r="M282" s="255">
        <v>1018</v>
      </c>
      <c r="N282" s="278">
        <v>44202</v>
      </c>
      <c r="O282" s="329" t="s">
        <v>67</v>
      </c>
      <c r="P282" s="386">
        <f t="shared" ref="P282:Q282" si="279">IF(B282=0,0,IF(YEAR(B282)=$Q$1,MONTH(B282)-$P$1+1,(YEAR(B282)-$Q$1)*12-$P$1+1+MONTH(B282)))</f>
        <v>1</v>
      </c>
      <c r="Q282" s="330">
        <f t="shared" si="279"/>
        <v>0</v>
      </c>
      <c r="R282" s="351" t="str">
        <f t="shared" si="3"/>
        <v>Gastos_Gerais</v>
      </c>
      <c r="S282" s="351" t="str">
        <f>IF(D282="","",IF(OR(D282=Plano!$A$1,D282=Plano!$B$1),"entrada","saída"))</f>
        <v>saída</v>
      </c>
      <c r="T282" s="334" t="s">
        <v>994</v>
      </c>
      <c r="U282" s="334">
        <v>1030</v>
      </c>
      <c r="V282" s="344"/>
      <c r="W282" s="269"/>
    </row>
    <row r="283" spans="1:23" ht="69.75" customHeight="1" x14ac:dyDescent="0.2">
      <c r="A283" s="277">
        <f t="shared" si="0"/>
        <v>279</v>
      </c>
      <c r="B283" s="278">
        <v>44204</v>
      </c>
      <c r="C283" s="249">
        <v>44166</v>
      </c>
      <c r="D283" s="250" t="s">
        <v>99</v>
      </c>
      <c r="E283" s="250" t="s">
        <v>230</v>
      </c>
      <c r="F283" s="251">
        <v>2219.7199999999998</v>
      </c>
      <c r="G283" s="255" t="s">
        <v>2835</v>
      </c>
      <c r="H283" s="250" t="s">
        <v>115</v>
      </c>
      <c r="I283" s="250" t="s">
        <v>485</v>
      </c>
      <c r="J283" s="250" t="s">
        <v>486</v>
      </c>
      <c r="K283" s="255" t="s">
        <v>1015</v>
      </c>
      <c r="L283" s="250" t="s">
        <v>1177</v>
      </c>
      <c r="M283" s="255" t="s">
        <v>114</v>
      </c>
      <c r="N283" s="278">
        <v>44203</v>
      </c>
      <c r="O283" s="329" t="s">
        <v>67</v>
      </c>
      <c r="P283" s="386">
        <f t="shared" ref="P283:Q283" si="280">IF(B283=0,0,IF(YEAR(B283)=$Q$1,MONTH(B283)-$P$1+1,(YEAR(B283)-$Q$1)*12-$P$1+1+MONTH(B283)))</f>
        <v>1</v>
      </c>
      <c r="Q283" s="330">
        <f t="shared" si="280"/>
        <v>0</v>
      </c>
      <c r="R283" s="351" t="str">
        <f t="shared" si="3"/>
        <v>Gastos_Gerais</v>
      </c>
      <c r="S283" s="351" t="str">
        <f>IF(D283="","",IF(OR(D283=Plano!$A$1,D283=Plano!$B$1),"entrada","saída"))</f>
        <v>saída</v>
      </c>
      <c r="T283" s="334" t="s">
        <v>994</v>
      </c>
      <c r="U283" s="334">
        <v>99</v>
      </c>
      <c r="V283" s="344"/>
      <c r="W283" s="269"/>
    </row>
    <row r="284" spans="1:23" ht="233.25" customHeight="1" x14ac:dyDescent="0.2">
      <c r="A284" s="277">
        <f t="shared" si="0"/>
        <v>280</v>
      </c>
      <c r="B284" s="278">
        <v>44204</v>
      </c>
      <c r="C284" s="249">
        <v>44136</v>
      </c>
      <c r="D284" s="250" t="s">
        <v>99</v>
      </c>
      <c r="E284" s="250" t="s">
        <v>358</v>
      </c>
      <c r="F284" s="251">
        <v>645</v>
      </c>
      <c r="G284" s="255" t="s">
        <v>2836</v>
      </c>
      <c r="H284" s="250" t="s">
        <v>128</v>
      </c>
      <c r="I284" s="250" t="s">
        <v>2837</v>
      </c>
      <c r="J284" s="250" t="s">
        <v>2838</v>
      </c>
      <c r="K284" s="255" t="s">
        <v>1015</v>
      </c>
      <c r="L284" s="250" t="s">
        <v>1029</v>
      </c>
      <c r="M284" s="255">
        <v>1026</v>
      </c>
      <c r="N284" s="278">
        <v>44203</v>
      </c>
      <c r="O284" s="329" t="s">
        <v>67</v>
      </c>
      <c r="P284" s="386">
        <f t="shared" ref="P284:Q284" si="281">IF(B284=0,0,IF(YEAR(B284)=$Q$1,MONTH(B284)-$P$1+1,(YEAR(B284)-$Q$1)*12-$P$1+1+MONTH(B284)))</f>
        <v>1</v>
      </c>
      <c r="Q284" s="330">
        <f t="shared" si="281"/>
        <v>-1</v>
      </c>
      <c r="R284" s="351" t="str">
        <f t="shared" si="3"/>
        <v>Gastos_Gerais</v>
      </c>
      <c r="S284" s="351" t="str">
        <f>IF(D284="","",IF(OR(D284=Plano!$A$1,D284=Plano!$B$1),"entrada","saída"))</f>
        <v>saída</v>
      </c>
      <c r="T284" s="334" t="s">
        <v>994</v>
      </c>
      <c r="U284" s="334">
        <v>874</v>
      </c>
      <c r="V284" s="344"/>
      <c r="W284" s="269"/>
    </row>
    <row r="285" spans="1:23" ht="123" customHeight="1" x14ac:dyDescent="0.2">
      <c r="A285" s="277">
        <f t="shared" si="0"/>
        <v>281</v>
      </c>
      <c r="B285" s="278">
        <v>44204</v>
      </c>
      <c r="C285" s="249">
        <v>44166</v>
      </c>
      <c r="D285" s="250" t="s">
        <v>99</v>
      </c>
      <c r="E285" s="250" t="s">
        <v>358</v>
      </c>
      <c r="F285" s="251">
        <v>420</v>
      </c>
      <c r="G285" s="255" t="s">
        <v>2839</v>
      </c>
      <c r="H285" s="250" t="s">
        <v>133</v>
      </c>
      <c r="I285" s="250" t="s">
        <v>2840</v>
      </c>
      <c r="J285" s="250" t="s">
        <v>2841</v>
      </c>
      <c r="K285" s="255" t="s">
        <v>1015</v>
      </c>
      <c r="L285" s="250" t="s">
        <v>1029</v>
      </c>
      <c r="M285" s="255">
        <v>1027</v>
      </c>
      <c r="N285" s="278">
        <v>44203</v>
      </c>
      <c r="O285" s="329" t="s">
        <v>67</v>
      </c>
      <c r="P285" s="386">
        <f t="shared" ref="P285:Q285" si="282">IF(B285=0,0,IF(YEAR(B285)=$Q$1,MONTH(B285)-$P$1+1,(YEAR(B285)-$Q$1)*12-$P$1+1+MONTH(B285)))</f>
        <v>1</v>
      </c>
      <c r="Q285" s="330">
        <f t="shared" si="282"/>
        <v>0</v>
      </c>
      <c r="R285" s="351" t="str">
        <f t="shared" si="3"/>
        <v>Gastos_Gerais</v>
      </c>
      <c r="S285" s="351" t="str">
        <f>IF(D285="","",IF(OR(D285=Plano!$A$1,D285=Plano!$B$1),"entrada","saída"))</f>
        <v>saída</v>
      </c>
      <c r="T285" s="334" t="s">
        <v>994</v>
      </c>
      <c r="U285" s="334">
        <v>1070</v>
      </c>
      <c r="V285" s="344"/>
      <c r="W285" s="269"/>
    </row>
    <row r="286" spans="1:23" ht="69.75" customHeight="1" x14ac:dyDescent="0.2">
      <c r="A286" s="277">
        <f t="shared" si="0"/>
        <v>282</v>
      </c>
      <c r="B286" s="278">
        <v>44204</v>
      </c>
      <c r="C286" s="249">
        <v>44166</v>
      </c>
      <c r="D286" s="250" t="s">
        <v>99</v>
      </c>
      <c r="E286" s="250" t="s">
        <v>330</v>
      </c>
      <c r="F286" s="251">
        <v>18321.79</v>
      </c>
      <c r="G286" s="255" t="s">
        <v>2842</v>
      </c>
      <c r="H286" s="250" t="s">
        <v>129</v>
      </c>
      <c r="I286" s="250" t="s">
        <v>558</v>
      </c>
      <c r="J286" s="250" t="s">
        <v>559</v>
      </c>
      <c r="K286" s="250" t="s">
        <v>560</v>
      </c>
      <c r="L286" s="250" t="s">
        <v>114</v>
      </c>
      <c r="M286" s="255" t="s">
        <v>114</v>
      </c>
      <c r="N286" s="278">
        <v>43923</v>
      </c>
      <c r="O286" s="329" t="s">
        <v>67</v>
      </c>
      <c r="P286" s="386">
        <f t="shared" ref="P286:Q286" si="283">IF(B286=0,0,IF(YEAR(B286)=$Q$1,MONTH(B286)-$P$1+1,(YEAR(B286)-$Q$1)*12-$P$1+1+MONTH(B286)))</f>
        <v>1</v>
      </c>
      <c r="Q286" s="330">
        <f t="shared" si="283"/>
        <v>0</v>
      </c>
      <c r="R286" s="351" t="str">
        <f t="shared" si="3"/>
        <v>Gastos_Gerais</v>
      </c>
      <c r="S286" s="351" t="str">
        <f>IF(D286="","",IF(OR(D286=Plano!$A$1,D286=Plano!$B$1),"entrada","saída"))</f>
        <v>saída</v>
      </c>
      <c r="T286" s="334" t="s">
        <v>114</v>
      </c>
      <c r="U286" s="334" t="s">
        <v>114</v>
      </c>
      <c r="V286" s="344"/>
      <c r="W286" s="269"/>
    </row>
    <row r="287" spans="1:23" ht="198.75" customHeight="1" x14ac:dyDescent="0.2">
      <c r="A287" s="277">
        <f t="shared" si="0"/>
        <v>283</v>
      </c>
      <c r="B287" s="278">
        <v>44204</v>
      </c>
      <c r="C287" s="249">
        <v>44166</v>
      </c>
      <c r="D287" s="250" t="s">
        <v>99</v>
      </c>
      <c r="E287" s="250" t="s">
        <v>330</v>
      </c>
      <c r="F287" s="251">
        <v>108.9</v>
      </c>
      <c r="G287" s="255" t="s">
        <v>2843</v>
      </c>
      <c r="H287" s="250" t="s">
        <v>125</v>
      </c>
      <c r="I287" s="250" t="s">
        <v>2844</v>
      </c>
      <c r="J287" s="250" t="s">
        <v>2845</v>
      </c>
      <c r="K287" s="250" t="s">
        <v>560</v>
      </c>
      <c r="L287" s="250" t="s">
        <v>1016</v>
      </c>
      <c r="M287" s="255">
        <v>263838</v>
      </c>
      <c r="N287" s="278">
        <v>44174</v>
      </c>
      <c r="O287" s="329" t="s">
        <v>67</v>
      </c>
      <c r="P287" s="386">
        <f t="shared" ref="P287:Q287" si="284">IF(B287=0,0,IF(YEAR(B287)=$Q$1,MONTH(B287)-$P$1+1,(YEAR(B287)-$Q$1)*12-$P$1+1+MONTH(B287)))</f>
        <v>1</v>
      </c>
      <c r="Q287" s="330">
        <f t="shared" si="284"/>
        <v>0</v>
      </c>
      <c r="R287" s="351" t="str">
        <f t="shared" si="3"/>
        <v>Gastos_Gerais</v>
      </c>
      <c r="S287" s="351" t="str">
        <f>IF(D287="","",IF(OR(D287=Plano!$A$1,D287=Plano!$B$1),"entrada","saída"))</f>
        <v>saída</v>
      </c>
      <c r="T287" s="334" t="s">
        <v>1011</v>
      </c>
      <c r="U287" s="334">
        <v>1099</v>
      </c>
      <c r="V287" s="344"/>
      <c r="W287" s="269"/>
    </row>
    <row r="288" spans="1:23" ht="233.25" customHeight="1" x14ac:dyDescent="0.2">
      <c r="A288" s="277">
        <f t="shared" si="0"/>
        <v>284</v>
      </c>
      <c r="B288" s="278">
        <v>44204</v>
      </c>
      <c r="C288" s="249">
        <v>44136</v>
      </c>
      <c r="D288" s="250" t="s">
        <v>99</v>
      </c>
      <c r="E288" s="250" t="s">
        <v>330</v>
      </c>
      <c r="F288" s="251">
        <v>5000</v>
      </c>
      <c r="G288" s="255" t="s">
        <v>2846</v>
      </c>
      <c r="H288" s="250" t="s">
        <v>125</v>
      </c>
      <c r="I288" s="250" t="s">
        <v>1051</v>
      </c>
      <c r="J288" s="250" t="s">
        <v>711</v>
      </c>
      <c r="K288" s="255" t="s">
        <v>991</v>
      </c>
      <c r="L288" s="250" t="s">
        <v>1016</v>
      </c>
      <c r="M288" s="255" t="s">
        <v>1305</v>
      </c>
      <c r="N288" s="278">
        <v>44201</v>
      </c>
      <c r="O288" s="329" t="s">
        <v>67</v>
      </c>
      <c r="P288" s="386">
        <f t="shared" ref="P288:Q288" si="285">IF(B288=0,0,IF(YEAR(B288)=$Q$1,MONTH(B288)-$P$1+1,(YEAR(B288)-$Q$1)*12-$P$1+1+MONTH(B288)))</f>
        <v>1</v>
      </c>
      <c r="Q288" s="330">
        <f t="shared" si="285"/>
        <v>-1</v>
      </c>
      <c r="R288" s="351" t="str">
        <f t="shared" si="3"/>
        <v>Gastos_Gerais</v>
      </c>
      <c r="S288" s="351" t="str">
        <f>IF(D288="","",IF(OR(D288=Plano!$A$1,D288=Plano!$B$1),"entrada","saída"))</f>
        <v>saída</v>
      </c>
      <c r="T288" s="334" t="s">
        <v>994</v>
      </c>
      <c r="U288" s="334">
        <v>1029</v>
      </c>
      <c r="V288" s="344"/>
      <c r="W288" s="269"/>
    </row>
    <row r="289" spans="1:23" ht="69.75" customHeight="1" x14ac:dyDescent="0.2">
      <c r="A289" s="277">
        <f t="shared" si="0"/>
        <v>285</v>
      </c>
      <c r="B289" s="278">
        <v>44204</v>
      </c>
      <c r="C289" s="249">
        <v>44166</v>
      </c>
      <c r="D289" s="250" t="s">
        <v>99</v>
      </c>
      <c r="E289" s="250" t="s">
        <v>290</v>
      </c>
      <c r="F289" s="251">
        <v>327.35000000000002</v>
      </c>
      <c r="G289" s="255" t="s">
        <v>2847</v>
      </c>
      <c r="H289" s="250" t="s">
        <v>115</v>
      </c>
      <c r="I289" s="250" t="s">
        <v>1705</v>
      </c>
      <c r="J289" s="250" t="s">
        <v>924</v>
      </c>
      <c r="K289" s="255" t="s">
        <v>991</v>
      </c>
      <c r="L289" s="250" t="s">
        <v>1016</v>
      </c>
      <c r="M289" s="329" t="s">
        <v>1452</v>
      </c>
      <c r="N289" s="278">
        <v>44202</v>
      </c>
      <c r="O289" s="329" t="s">
        <v>67</v>
      </c>
      <c r="P289" s="386">
        <f t="shared" ref="P289:Q289" si="286">IF(B289=0,0,IF(YEAR(B289)=$Q$1,MONTH(B289)-$P$1+1,(YEAR(B289)-$Q$1)*12-$P$1+1+MONTH(B289)))</f>
        <v>1</v>
      </c>
      <c r="Q289" s="330">
        <f t="shared" si="286"/>
        <v>0</v>
      </c>
      <c r="R289" s="351" t="str">
        <f t="shared" si="3"/>
        <v>Gastos_Gerais</v>
      </c>
      <c r="S289" s="351" t="str">
        <f>IF(D289="","",IF(OR(D289=Plano!$A$1,D289=Plano!$B$1),"entrada","saída"))</f>
        <v>saída</v>
      </c>
      <c r="T289" s="334" t="s">
        <v>994</v>
      </c>
      <c r="U289" s="334">
        <v>1241</v>
      </c>
      <c r="V289" s="344"/>
      <c r="W289" s="269"/>
    </row>
    <row r="290" spans="1:23" ht="69.75" customHeight="1" x14ac:dyDescent="0.2">
      <c r="A290" s="277">
        <f t="shared" si="0"/>
        <v>286</v>
      </c>
      <c r="B290" s="278">
        <v>44204</v>
      </c>
      <c r="C290" s="249">
        <v>44136</v>
      </c>
      <c r="D290" s="250" t="s">
        <v>99</v>
      </c>
      <c r="E290" s="250" t="s">
        <v>290</v>
      </c>
      <c r="F290" s="251">
        <v>733.84</v>
      </c>
      <c r="G290" s="255" t="s">
        <v>2847</v>
      </c>
      <c r="H290" s="250" t="s">
        <v>115</v>
      </c>
      <c r="I290" s="250" t="s">
        <v>1705</v>
      </c>
      <c r="J290" s="250" t="s">
        <v>924</v>
      </c>
      <c r="K290" s="255" t="s">
        <v>991</v>
      </c>
      <c r="L290" s="250" t="s">
        <v>1016</v>
      </c>
      <c r="M290" s="255" t="s">
        <v>2002</v>
      </c>
      <c r="N290" s="278">
        <v>44202</v>
      </c>
      <c r="O290" s="329" t="s">
        <v>67</v>
      </c>
      <c r="P290" s="386">
        <f t="shared" ref="P290:Q290" si="287">IF(B290=0,0,IF(YEAR(B290)=$Q$1,MONTH(B290)-$P$1+1,(YEAR(B290)-$Q$1)*12-$P$1+1+MONTH(B290)))</f>
        <v>1</v>
      </c>
      <c r="Q290" s="330">
        <f t="shared" si="287"/>
        <v>-1</v>
      </c>
      <c r="R290" s="351" t="str">
        <f t="shared" si="3"/>
        <v>Gastos_Gerais</v>
      </c>
      <c r="S290" s="351" t="str">
        <f>IF(D290="","",IF(OR(D290=Plano!$A$1,D290=Plano!$B$1),"entrada","saída"))</f>
        <v>saída</v>
      </c>
      <c r="T290" s="334" t="s">
        <v>994</v>
      </c>
      <c r="U290" s="334">
        <v>1240</v>
      </c>
      <c r="V290" s="344"/>
      <c r="W290" s="269"/>
    </row>
    <row r="291" spans="1:23" ht="207.75" customHeight="1" x14ac:dyDescent="0.2">
      <c r="A291" s="277">
        <f t="shared" si="0"/>
        <v>287</v>
      </c>
      <c r="B291" s="278">
        <v>44204</v>
      </c>
      <c r="C291" s="249">
        <v>44166</v>
      </c>
      <c r="D291" s="250" t="s">
        <v>99</v>
      </c>
      <c r="E291" s="250" t="s">
        <v>336</v>
      </c>
      <c r="F291" s="251">
        <v>2125.92</v>
      </c>
      <c r="G291" s="255" t="s">
        <v>2848</v>
      </c>
      <c r="H291" s="250" t="s">
        <v>117</v>
      </c>
      <c r="I291" s="250" t="s">
        <v>2849</v>
      </c>
      <c r="J291" s="250" t="s">
        <v>1761</v>
      </c>
      <c r="K291" s="255" t="s">
        <v>991</v>
      </c>
      <c r="L291" s="250" t="s">
        <v>1029</v>
      </c>
      <c r="M291" s="255">
        <v>995</v>
      </c>
      <c r="N291" s="278">
        <v>44201</v>
      </c>
      <c r="O291" s="329" t="s">
        <v>67</v>
      </c>
      <c r="P291" s="386">
        <f t="shared" ref="P291:Q291" si="288">IF(B291=0,0,IF(YEAR(B291)=$Q$1,MONTH(B291)-$P$1+1,(YEAR(B291)-$Q$1)*12-$P$1+1+MONTH(B291)))</f>
        <v>1</v>
      </c>
      <c r="Q291" s="330">
        <f t="shared" si="288"/>
        <v>0</v>
      </c>
      <c r="R291" s="351" t="str">
        <f t="shared" si="3"/>
        <v>Gastos_Gerais</v>
      </c>
      <c r="S291" s="351" t="str">
        <f>IF(D291="","",IF(OR(D291=Plano!$A$1,D291=Plano!$B$1),"entrada","saída"))</f>
        <v>saída</v>
      </c>
      <c r="T291" s="334" t="s">
        <v>994</v>
      </c>
      <c r="U291" s="334">
        <v>593</v>
      </c>
      <c r="V291" s="344"/>
      <c r="W291" s="269"/>
    </row>
    <row r="292" spans="1:23" ht="135" customHeight="1" x14ac:dyDescent="0.2">
      <c r="A292" s="277">
        <f t="shared" si="0"/>
        <v>288</v>
      </c>
      <c r="B292" s="278">
        <v>44204</v>
      </c>
      <c r="C292" s="249">
        <v>44166</v>
      </c>
      <c r="D292" s="250" t="s">
        <v>99</v>
      </c>
      <c r="E292" s="250" t="s">
        <v>336</v>
      </c>
      <c r="F292" s="251">
        <v>2300</v>
      </c>
      <c r="G292" s="255" t="s">
        <v>2850</v>
      </c>
      <c r="H292" s="250" t="s">
        <v>117</v>
      </c>
      <c r="I292" s="250" t="s">
        <v>1043</v>
      </c>
      <c r="J292" s="250" t="s">
        <v>1044</v>
      </c>
      <c r="K292" s="255" t="s">
        <v>991</v>
      </c>
      <c r="L292" s="250" t="s">
        <v>1016</v>
      </c>
      <c r="M292" s="255" t="s">
        <v>1017</v>
      </c>
      <c r="N292" s="278">
        <v>44203</v>
      </c>
      <c r="O292" s="329" t="s">
        <v>67</v>
      </c>
      <c r="P292" s="386">
        <f t="shared" ref="P292:Q292" si="289">IF(B292=0,0,IF(YEAR(B292)=$Q$1,MONTH(B292)-$P$1+1,(YEAR(B292)-$Q$1)*12-$P$1+1+MONTH(B292)))</f>
        <v>1</v>
      </c>
      <c r="Q292" s="330">
        <f t="shared" si="289"/>
        <v>0</v>
      </c>
      <c r="R292" s="351" t="str">
        <f t="shared" si="3"/>
        <v>Gastos_Gerais</v>
      </c>
      <c r="S292" s="351" t="str">
        <f>IF(D292="","",IF(OR(D292=Plano!$A$1,D292=Plano!$B$1),"entrada","saída"))</f>
        <v>saída</v>
      </c>
      <c r="T292" s="334" t="s">
        <v>994</v>
      </c>
      <c r="U292" s="334">
        <v>592</v>
      </c>
      <c r="V292" s="344"/>
      <c r="W292" s="269"/>
    </row>
    <row r="293" spans="1:23" ht="185.25" customHeight="1" x14ac:dyDescent="0.2">
      <c r="A293" s="277">
        <f t="shared" si="0"/>
        <v>289</v>
      </c>
      <c r="B293" s="278">
        <v>44204</v>
      </c>
      <c r="C293" s="249">
        <v>44166</v>
      </c>
      <c r="D293" s="250" t="s">
        <v>99</v>
      </c>
      <c r="E293" s="250" t="s">
        <v>336</v>
      </c>
      <c r="F293" s="251">
        <v>2300</v>
      </c>
      <c r="G293" s="255" t="s">
        <v>2492</v>
      </c>
      <c r="H293" s="250" t="s">
        <v>117</v>
      </c>
      <c r="I293" s="250" t="s">
        <v>1637</v>
      </c>
      <c r="J293" s="250" t="s">
        <v>2851</v>
      </c>
      <c r="K293" s="255" t="s">
        <v>991</v>
      </c>
      <c r="L293" s="250" t="s">
        <v>1016</v>
      </c>
      <c r="M293" s="255" t="s">
        <v>1305</v>
      </c>
      <c r="N293" s="278">
        <v>44203</v>
      </c>
      <c r="O293" s="329" t="s">
        <v>67</v>
      </c>
      <c r="P293" s="386">
        <f t="shared" ref="P293:Q293" si="290">IF(B293=0,0,IF(YEAR(B293)=$Q$1,MONTH(B293)-$P$1+1,(YEAR(B293)-$Q$1)*12-$P$1+1+MONTH(B293)))</f>
        <v>1</v>
      </c>
      <c r="Q293" s="330">
        <f t="shared" si="290"/>
        <v>0</v>
      </c>
      <c r="R293" s="351" t="str">
        <f t="shared" si="3"/>
        <v>Gastos_Gerais</v>
      </c>
      <c r="S293" s="351" t="str">
        <f>IF(D293="","",IF(OR(D293=Plano!$A$1,D293=Plano!$B$1),"entrada","saída"))</f>
        <v>saída</v>
      </c>
      <c r="T293" s="334" t="s">
        <v>994</v>
      </c>
      <c r="U293" s="334">
        <v>590</v>
      </c>
      <c r="V293" s="344"/>
      <c r="W293" s="269"/>
    </row>
    <row r="294" spans="1:23" ht="69.75" customHeight="1" x14ac:dyDescent="0.2">
      <c r="A294" s="277">
        <f t="shared" si="0"/>
        <v>290</v>
      </c>
      <c r="B294" s="278">
        <v>44204</v>
      </c>
      <c r="C294" s="249">
        <v>44197</v>
      </c>
      <c r="D294" s="255" t="s">
        <v>99</v>
      </c>
      <c r="E294" s="255" t="s">
        <v>272</v>
      </c>
      <c r="F294" s="258">
        <v>10.45</v>
      </c>
      <c r="G294" s="255" t="s">
        <v>2852</v>
      </c>
      <c r="H294" s="250" t="s">
        <v>128</v>
      </c>
      <c r="I294" s="250" t="s">
        <v>949</v>
      </c>
      <c r="J294" s="255" t="s">
        <v>950</v>
      </c>
      <c r="K294" s="255" t="s">
        <v>951</v>
      </c>
      <c r="L294" s="250" t="s">
        <v>947</v>
      </c>
      <c r="M294" s="279" t="s">
        <v>114</v>
      </c>
      <c r="N294" s="278">
        <v>44204</v>
      </c>
      <c r="O294" s="329" t="s">
        <v>67</v>
      </c>
      <c r="P294" s="386">
        <f t="shared" ref="P294:Q294" si="291">IF(B294=0,0,IF(YEAR(B294)=$Q$1,MONTH(B294)-$P$1+1,(YEAR(B294)-$Q$1)*12-$P$1+1+MONTH(B294)))</f>
        <v>1</v>
      </c>
      <c r="Q294" s="330">
        <f t="shared" si="291"/>
        <v>1</v>
      </c>
      <c r="R294" s="351" t="str">
        <f t="shared" si="3"/>
        <v>Gastos_Gerais</v>
      </c>
      <c r="S294" s="351" t="str">
        <f>IF(D294="","",IF(OR(D294=Plano!$A$1,D294=Plano!$B$1),"entrada","saída"))</f>
        <v>saída</v>
      </c>
      <c r="T294" s="334" t="s">
        <v>114</v>
      </c>
      <c r="U294" s="334" t="s">
        <v>114</v>
      </c>
      <c r="V294" s="344"/>
      <c r="W294" s="269"/>
    </row>
    <row r="295" spans="1:23" ht="69.75" customHeight="1" x14ac:dyDescent="0.2">
      <c r="A295" s="277">
        <f t="shared" si="0"/>
        <v>291</v>
      </c>
      <c r="B295" s="278">
        <v>44204</v>
      </c>
      <c r="C295" s="249">
        <v>44197</v>
      </c>
      <c r="D295" s="255" t="s">
        <v>99</v>
      </c>
      <c r="E295" s="255" t="s">
        <v>272</v>
      </c>
      <c r="F295" s="258">
        <v>10.45</v>
      </c>
      <c r="G295" s="255" t="s">
        <v>2853</v>
      </c>
      <c r="H295" s="250" t="s">
        <v>115</v>
      </c>
      <c r="I295" s="250" t="s">
        <v>949</v>
      </c>
      <c r="J295" s="255" t="s">
        <v>950</v>
      </c>
      <c r="K295" s="255" t="s">
        <v>951</v>
      </c>
      <c r="L295" s="250" t="s">
        <v>947</v>
      </c>
      <c r="M295" s="279" t="s">
        <v>114</v>
      </c>
      <c r="N295" s="278">
        <v>44204</v>
      </c>
      <c r="O295" s="329" t="s">
        <v>67</v>
      </c>
      <c r="P295" s="386">
        <f t="shared" ref="P295:Q295" si="292">IF(B295=0,0,IF(YEAR(B295)=$Q$1,MONTH(B295)-$P$1+1,(YEAR(B295)-$Q$1)*12-$P$1+1+MONTH(B295)))</f>
        <v>1</v>
      </c>
      <c r="Q295" s="330">
        <f t="shared" si="292"/>
        <v>1</v>
      </c>
      <c r="R295" s="351" t="str">
        <f t="shared" si="3"/>
        <v>Gastos_Gerais</v>
      </c>
      <c r="S295" s="351" t="str">
        <f>IF(D295="","",IF(OR(D295=Plano!$A$1,D295=Plano!$B$1),"entrada","saída"))</f>
        <v>saída</v>
      </c>
      <c r="T295" s="334" t="s">
        <v>114</v>
      </c>
      <c r="U295" s="334" t="s">
        <v>114</v>
      </c>
      <c r="V295" s="344"/>
      <c r="W295" s="269"/>
    </row>
    <row r="296" spans="1:23" ht="69.75" customHeight="1" x14ac:dyDescent="0.2">
      <c r="A296" s="277">
        <f t="shared" si="0"/>
        <v>292</v>
      </c>
      <c r="B296" s="278">
        <v>44204</v>
      </c>
      <c r="C296" s="249">
        <v>44197</v>
      </c>
      <c r="D296" s="255" t="s">
        <v>99</v>
      </c>
      <c r="E296" s="255" t="s">
        <v>272</v>
      </c>
      <c r="F296" s="258">
        <v>10.45</v>
      </c>
      <c r="G296" s="255" t="s">
        <v>2854</v>
      </c>
      <c r="H296" s="250" t="s">
        <v>115</v>
      </c>
      <c r="I296" s="250" t="s">
        <v>949</v>
      </c>
      <c r="J296" s="255" t="s">
        <v>950</v>
      </c>
      <c r="K296" s="255" t="s">
        <v>951</v>
      </c>
      <c r="L296" s="250" t="s">
        <v>947</v>
      </c>
      <c r="M296" s="279" t="s">
        <v>114</v>
      </c>
      <c r="N296" s="278">
        <v>44204</v>
      </c>
      <c r="O296" s="329" t="s">
        <v>67</v>
      </c>
      <c r="P296" s="386">
        <f t="shared" ref="P296:Q296" si="293">IF(B296=0,0,IF(YEAR(B296)=$Q$1,MONTH(B296)-$P$1+1,(YEAR(B296)-$Q$1)*12-$P$1+1+MONTH(B296)))</f>
        <v>1</v>
      </c>
      <c r="Q296" s="330">
        <f t="shared" si="293"/>
        <v>1</v>
      </c>
      <c r="R296" s="351" t="str">
        <f t="shared" si="3"/>
        <v>Gastos_Gerais</v>
      </c>
      <c r="S296" s="351" t="str">
        <f>IF(D296="","",IF(OR(D296=Plano!$A$1,D296=Plano!$B$1),"entrada","saída"))</f>
        <v>saída</v>
      </c>
      <c r="T296" s="334" t="s">
        <v>114</v>
      </c>
      <c r="U296" s="334" t="s">
        <v>114</v>
      </c>
      <c r="V296" s="344"/>
      <c r="W296" s="269"/>
    </row>
    <row r="297" spans="1:23" ht="69.75" customHeight="1" x14ac:dyDescent="0.2">
      <c r="A297" s="277">
        <f t="shared" si="0"/>
        <v>293</v>
      </c>
      <c r="B297" s="278">
        <v>44204</v>
      </c>
      <c r="C297" s="249">
        <v>44197</v>
      </c>
      <c r="D297" s="255" t="s">
        <v>99</v>
      </c>
      <c r="E297" s="255" t="s">
        <v>272</v>
      </c>
      <c r="F297" s="258">
        <v>10.45</v>
      </c>
      <c r="G297" s="255" t="s">
        <v>2855</v>
      </c>
      <c r="H297" s="255" t="s">
        <v>117</v>
      </c>
      <c r="I297" s="250" t="s">
        <v>949</v>
      </c>
      <c r="J297" s="255" t="s">
        <v>950</v>
      </c>
      <c r="K297" s="255" t="s">
        <v>951</v>
      </c>
      <c r="L297" s="250" t="s">
        <v>947</v>
      </c>
      <c r="M297" s="279" t="s">
        <v>114</v>
      </c>
      <c r="N297" s="278">
        <v>44204</v>
      </c>
      <c r="O297" s="329" t="s">
        <v>67</v>
      </c>
      <c r="P297" s="386">
        <f t="shared" ref="P297:Q297" si="294">IF(B297=0,0,IF(YEAR(B297)=$Q$1,MONTH(B297)-$P$1+1,(YEAR(B297)-$Q$1)*12-$P$1+1+MONTH(B297)))</f>
        <v>1</v>
      </c>
      <c r="Q297" s="330">
        <f t="shared" si="294"/>
        <v>1</v>
      </c>
      <c r="R297" s="351" t="str">
        <f t="shared" si="3"/>
        <v>Gastos_Gerais</v>
      </c>
      <c r="S297" s="351" t="str">
        <f>IF(D297="","",IF(OR(D297=Plano!$A$1,D297=Plano!$B$1),"entrada","saída"))</f>
        <v>saída</v>
      </c>
      <c r="T297" s="334" t="s">
        <v>114</v>
      </c>
      <c r="U297" s="334" t="s">
        <v>114</v>
      </c>
      <c r="V297" s="344"/>
      <c r="W297" s="269"/>
    </row>
    <row r="298" spans="1:23" ht="69.75" customHeight="1" x14ac:dyDescent="0.2">
      <c r="A298" s="277">
        <f t="shared" si="0"/>
        <v>294</v>
      </c>
      <c r="B298" s="278">
        <v>44204</v>
      </c>
      <c r="C298" s="249">
        <v>44197</v>
      </c>
      <c r="D298" s="255" t="s">
        <v>99</v>
      </c>
      <c r="E298" s="255" t="s">
        <v>272</v>
      </c>
      <c r="F298" s="258">
        <v>10.45</v>
      </c>
      <c r="G298" s="255" t="s">
        <v>2856</v>
      </c>
      <c r="H298" s="255" t="s">
        <v>117</v>
      </c>
      <c r="I298" s="250" t="s">
        <v>949</v>
      </c>
      <c r="J298" s="255" t="s">
        <v>950</v>
      </c>
      <c r="K298" s="255" t="s">
        <v>951</v>
      </c>
      <c r="L298" s="250" t="s">
        <v>947</v>
      </c>
      <c r="M298" s="279" t="s">
        <v>114</v>
      </c>
      <c r="N298" s="278">
        <v>44204</v>
      </c>
      <c r="O298" s="329" t="s">
        <v>67</v>
      </c>
      <c r="P298" s="386">
        <f t="shared" ref="P298:Q298" si="295">IF(B298=0,0,IF(YEAR(B298)=$Q$1,MONTH(B298)-$P$1+1,(YEAR(B298)-$Q$1)*12-$P$1+1+MONTH(B298)))</f>
        <v>1</v>
      </c>
      <c r="Q298" s="330">
        <f t="shared" si="295"/>
        <v>1</v>
      </c>
      <c r="R298" s="351" t="str">
        <f t="shared" si="3"/>
        <v>Gastos_Gerais</v>
      </c>
      <c r="S298" s="351" t="str">
        <f>IF(D298="","",IF(OR(D298=Plano!$A$1,D298=Plano!$B$1),"entrada","saída"))</f>
        <v>saída</v>
      </c>
      <c r="T298" s="334" t="s">
        <v>114</v>
      </c>
      <c r="U298" s="334" t="s">
        <v>114</v>
      </c>
      <c r="V298" s="344"/>
      <c r="W298" s="269"/>
    </row>
    <row r="299" spans="1:23" ht="69.75" customHeight="1" x14ac:dyDescent="0.2">
      <c r="A299" s="277">
        <f t="shared" si="0"/>
        <v>295</v>
      </c>
      <c r="B299" s="278">
        <v>44204</v>
      </c>
      <c r="C299" s="249">
        <v>44197</v>
      </c>
      <c r="D299" s="255" t="s">
        <v>99</v>
      </c>
      <c r="E299" s="255" t="s">
        <v>272</v>
      </c>
      <c r="F299" s="258">
        <v>10.45</v>
      </c>
      <c r="G299" s="255" t="s">
        <v>2857</v>
      </c>
      <c r="H299" s="255" t="s">
        <v>117</v>
      </c>
      <c r="I299" s="250" t="s">
        <v>949</v>
      </c>
      <c r="J299" s="255" t="s">
        <v>950</v>
      </c>
      <c r="K299" s="255" t="s">
        <v>951</v>
      </c>
      <c r="L299" s="250" t="s">
        <v>947</v>
      </c>
      <c r="M299" s="279" t="s">
        <v>114</v>
      </c>
      <c r="N299" s="278">
        <v>44204</v>
      </c>
      <c r="O299" s="329" t="s">
        <v>67</v>
      </c>
      <c r="P299" s="386">
        <f t="shared" ref="P299:Q299" si="296">IF(B299=0,0,IF(YEAR(B299)=$Q$1,MONTH(B299)-$P$1+1,(YEAR(B299)-$Q$1)*12-$P$1+1+MONTH(B299)))</f>
        <v>1</v>
      </c>
      <c r="Q299" s="330">
        <f t="shared" si="296"/>
        <v>1</v>
      </c>
      <c r="R299" s="351" t="str">
        <f t="shared" si="3"/>
        <v>Gastos_Gerais</v>
      </c>
      <c r="S299" s="351" t="str">
        <f>IF(D299="","",IF(OR(D299=Plano!$A$1,D299=Plano!$B$1),"entrada","saída"))</f>
        <v>saída</v>
      </c>
      <c r="T299" s="334" t="s">
        <v>114</v>
      </c>
      <c r="U299" s="334" t="s">
        <v>114</v>
      </c>
      <c r="V299" s="344"/>
      <c r="W299" s="269"/>
    </row>
    <row r="300" spans="1:23" ht="69.75" customHeight="1" x14ac:dyDescent="0.2">
      <c r="A300" s="277">
        <f t="shared" si="0"/>
        <v>296</v>
      </c>
      <c r="B300" s="278">
        <v>44204</v>
      </c>
      <c r="C300" s="249">
        <v>44197</v>
      </c>
      <c r="D300" s="255" t="s">
        <v>99</v>
      </c>
      <c r="E300" s="255" t="s">
        <v>272</v>
      </c>
      <c r="F300" s="258">
        <v>10.45</v>
      </c>
      <c r="G300" s="255" t="s">
        <v>2858</v>
      </c>
      <c r="H300" s="250" t="s">
        <v>125</v>
      </c>
      <c r="I300" s="250" t="s">
        <v>949</v>
      </c>
      <c r="J300" s="255" t="s">
        <v>950</v>
      </c>
      <c r="K300" s="255" t="s">
        <v>951</v>
      </c>
      <c r="L300" s="250" t="s">
        <v>947</v>
      </c>
      <c r="M300" s="279" t="s">
        <v>114</v>
      </c>
      <c r="N300" s="278">
        <v>44204</v>
      </c>
      <c r="O300" s="329" t="s">
        <v>67</v>
      </c>
      <c r="P300" s="386">
        <f t="shared" ref="P300:Q300" si="297">IF(B300=0,0,IF(YEAR(B300)=$Q$1,MONTH(B300)-$P$1+1,(YEAR(B300)-$Q$1)*12-$P$1+1+MONTH(B300)))</f>
        <v>1</v>
      </c>
      <c r="Q300" s="330">
        <f t="shared" si="297"/>
        <v>1</v>
      </c>
      <c r="R300" s="351" t="str">
        <f t="shared" si="3"/>
        <v>Gastos_Gerais</v>
      </c>
      <c r="S300" s="351" t="str">
        <f>IF(D300="","",IF(OR(D300=Plano!$A$1,D300=Plano!$B$1),"entrada","saída"))</f>
        <v>saída</v>
      </c>
      <c r="T300" s="334" t="s">
        <v>114</v>
      </c>
      <c r="U300" s="334" t="s">
        <v>114</v>
      </c>
      <c r="V300" s="344"/>
      <c r="W300" s="269"/>
    </row>
    <row r="301" spans="1:23" ht="126.75" customHeight="1" x14ac:dyDescent="0.2">
      <c r="A301" s="277">
        <f t="shared" si="0"/>
        <v>297</v>
      </c>
      <c r="B301" s="278">
        <v>44204</v>
      </c>
      <c r="C301" s="249">
        <v>44136</v>
      </c>
      <c r="D301" s="250" t="s">
        <v>104</v>
      </c>
      <c r="E301" s="250" t="s">
        <v>104</v>
      </c>
      <c r="F301" s="251">
        <v>2500</v>
      </c>
      <c r="G301" s="255" t="s">
        <v>2859</v>
      </c>
      <c r="H301" s="250" t="s">
        <v>104</v>
      </c>
      <c r="I301" s="250" t="s">
        <v>2860</v>
      </c>
      <c r="J301" s="250" t="s">
        <v>2861</v>
      </c>
      <c r="K301" s="255" t="s">
        <v>1015</v>
      </c>
      <c r="L301" s="250" t="s">
        <v>1016</v>
      </c>
      <c r="M301" s="255">
        <v>41</v>
      </c>
      <c r="N301" s="278">
        <v>44202</v>
      </c>
      <c r="O301" s="329" t="s">
        <v>68</v>
      </c>
      <c r="P301" s="386">
        <f t="shared" ref="P301:Q301" si="298">IF(B301=0,0,IF(YEAR(B301)=$Q$1,MONTH(B301)-$P$1+1,(YEAR(B301)-$Q$1)*12-$P$1+1+MONTH(B301)))</f>
        <v>1</v>
      </c>
      <c r="Q301" s="330">
        <f t="shared" si="298"/>
        <v>-1</v>
      </c>
      <c r="R301" s="351" t="str">
        <f t="shared" si="3"/>
        <v>Gastos_custeados_por_captação</v>
      </c>
      <c r="S301" s="351" t="str">
        <f>IF(D301="","",IF(OR(D301=Plano!$A$1,D301=Plano!$B$1),"entrada","saída"))</f>
        <v>saída</v>
      </c>
      <c r="T301" s="334" t="s">
        <v>114</v>
      </c>
      <c r="U301" s="334" t="s">
        <v>114</v>
      </c>
      <c r="V301" s="344"/>
      <c r="W301" s="269"/>
    </row>
    <row r="302" spans="1:23" ht="69.75" customHeight="1" x14ac:dyDescent="0.2">
      <c r="A302" s="277">
        <f t="shared" si="0"/>
        <v>298</v>
      </c>
      <c r="B302" s="278">
        <v>44204</v>
      </c>
      <c r="C302" s="249">
        <v>44166</v>
      </c>
      <c r="D302" s="250" t="s">
        <v>104</v>
      </c>
      <c r="E302" s="250" t="s">
        <v>104</v>
      </c>
      <c r="F302" s="251">
        <v>3540</v>
      </c>
      <c r="G302" s="255" t="s">
        <v>2862</v>
      </c>
      <c r="H302" s="250" t="s">
        <v>104</v>
      </c>
      <c r="I302" s="250" t="s">
        <v>485</v>
      </c>
      <c r="J302" s="250" t="s">
        <v>486</v>
      </c>
      <c r="K302" s="255" t="s">
        <v>1015</v>
      </c>
      <c r="L302" s="250" t="s">
        <v>1177</v>
      </c>
      <c r="M302" s="255" t="s">
        <v>114</v>
      </c>
      <c r="N302" s="278">
        <v>44203</v>
      </c>
      <c r="O302" s="329" t="s">
        <v>69</v>
      </c>
      <c r="P302" s="386">
        <f t="shared" ref="P302:Q302" si="299">IF(B302=0,0,IF(YEAR(B302)=$Q$1,MONTH(B302)-$P$1+1,(YEAR(B302)-$Q$1)*12-$P$1+1+MONTH(B302)))</f>
        <v>1</v>
      </c>
      <c r="Q302" s="330">
        <f t="shared" si="299"/>
        <v>0</v>
      </c>
      <c r="R302" s="351" t="str">
        <f t="shared" si="3"/>
        <v>Gastos_custeados_por_captação</v>
      </c>
      <c r="S302" s="351" t="str">
        <f>IF(D302="","",IF(OR(D302=Plano!$A$1,D302=Plano!$B$1),"entrada","saída"))</f>
        <v>saída</v>
      </c>
      <c r="T302" s="334" t="s">
        <v>114</v>
      </c>
      <c r="U302" s="334" t="s">
        <v>114</v>
      </c>
      <c r="V302" s="344"/>
      <c r="W302" s="269"/>
    </row>
    <row r="303" spans="1:23" ht="231" customHeight="1" x14ac:dyDescent="0.2">
      <c r="A303" s="277">
        <f t="shared" si="0"/>
        <v>299</v>
      </c>
      <c r="B303" s="278">
        <v>44204</v>
      </c>
      <c r="C303" s="249">
        <v>44136</v>
      </c>
      <c r="D303" s="250" t="s">
        <v>104</v>
      </c>
      <c r="E303" s="250" t="s">
        <v>104</v>
      </c>
      <c r="F303" s="251">
        <v>4440.8599999999997</v>
      </c>
      <c r="G303" s="255" t="s">
        <v>2863</v>
      </c>
      <c r="H303" s="250" t="s">
        <v>104</v>
      </c>
      <c r="I303" s="250" t="s">
        <v>2864</v>
      </c>
      <c r="J303" s="250" t="s">
        <v>2865</v>
      </c>
      <c r="K303" s="255" t="s">
        <v>1015</v>
      </c>
      <c r="L303" s="250" t="s">
        <v>1029</v>
      </c>
      <c r="M303" s="255">
        <v>1014</v>
      </c>
      <c r="N303" s="278">
        <v>44202</v>
      </c>
      <c r="O303" s="329" t="s">
        <v>69</v>
      </c>
      <c r="P303" s="386">
        <f t="shared" ref="P303:Q303" si="300">IF(B303=0,0,IF(YEAR(B303)=$Q$1,MONTH(B303)-$P$1+1,(YEAR(B303)-$Q$1)*12-$P$1+1+MONTH(B303)))</f>
        <v>1</v>
      </c>
      <c r="Q303" s="330">
        <f t="shared" si="300"/>
        <v>-1</v>
      </c>
      <c r="R303" s="351" t="str">
        <f t="shared" si="3"/>
        <v>Gastos_custeados_por_captação</v>
      </c>
      <c r="S303" s="351" t="str">
        <f>IF(D303="","",IF(OR(D303=Plano!$A$1,D303=Plano!$B$1),"entrada","saída"))</f>
        <v>saída</v>
      </c>
      <c r="T303" s="334" t="s">
        <v>114</v>
      </c>
      <c r="U303" s="334" t="s">
        <v>114</v>
      </c>
      <c r="V303" s="344"/>
      <c r="W303" s="269"/>
    </row>
    <row r="304" spans="1:23" ht="249.75" customHeight="1" x14ac:dyDescent="0.2">
      <c r="A304" s="277">
        <f t="shared" si="0"/>
        <v>300</v>
      </c>
      <c r="B304" s="278">
        <v>44204</v>
      </c>
      <c r="C304" s="249">
        <v>44166</v>
      </c>
      <c r="D304" s="250" t="s">
        <v>104</v>
      </c>
      <c r="E304" s="250" t="s">
        <v>104</v>
      </c>
      <c r="F304" s="251">
        <v>2850</v>
      </c>
      <c r="G304" s="255" t="s">
        <v>2866</v>
      </c>
      <c r="H304" s="250" t="s">
        <v>104</v>
      </c>
      <c r="I304" s="252" t="s">
        <v>1740</v>
      </c>
      <c r="J304" s="250" t="s">
        <v>567</v>
      </c>
      <c r="K304" s="255" t="s">
        <v>1015</v>
      </c>
      <c r="L304" s="250" t="s">
        <v>1016</v>
      </c>
      <c r="M304" s="255" t="s">
        <v>1305</v>
      </c>
      <c r="N304" s="278">
        <v>44203</v>
      </c>
      <c r="O304" s="329" t="s">
        <v>69</v>
      </c>
      <c r="P304" s="386">
        <f t="shared" ref="P304:Q304" si="301">IF(B304=0,0,IF(YEAR(B304)=$Q$1,MONTH(B304)-$P$1+1,(YEAR(B304)-$Q$1)*12-$P$1+1+MONTH(B304)))</f>
        <v>1</v>
      </c>
      <c r="Q304" s="330">
        <f t="shared" si="301"/>
        <v>0</v>
      </c>
      <c r="R304" s="351" t="str">
        <f t="shared" si="3"/>
        <v>Gastos_custeados_por_captação</v>
      </c>
      <c r="S304" s="351" t="str">
        <f>IF(D304="","",IF(OR(D304=Plano!$A$1,D304=Plano!$B$1),"entrada","saída"))</f>
        <v>saída</v>
      </c>
      <c r="T304" s="334" t="s">
        <v>114</v>
      </c>
      <c r="U304" s="334" t="s">
        <v>114</v>
      </c>
      <c r="V304" s="344"/>
      <c r="W304" s="269"/>
    </row>
    <row r="305" spans="1:23" ht="203.25" customHeight="1" x14ac:dyDescent="0.2">
      <c r="A305" s="277">
        <f t="shared" si="0"/>
        <v>301</v>
      </c>
      <c r="B305" s="278">
        <v>44204</v>
      </c>
      <c r="C305" s="249">
        <v>44166</v>
      </c>
      <c r="D305" s="250" t="s">
        <v>104</v>
      </c>
      <c r="E305" s="250" t="s">
        <v>104</v>
      </c>
      <c r="F305" s="251">
        <v>840</v>
      </c>
      <c r="G305" s="255" t="s">
        <v>2867</v>
      </c>
      <c r="H305" s="250" t="s">
        <v>104</v>
      </c>
      <c r="I305" s="250" t="s">
        <v>2868</v>
      </c>
      <c r="J305" s="250" t="s">
        <v>826</v>
      </c>
      <c r="K305" s="255" t="s">
        <v>1015</v>
      </c>
      <c r="L305" s="250" t="s">
        <v>1029</v>
      </c>
      <c r="M305" s="255">
        <v>1016</v>
      </c>
      <c r="N305" s="278">
        <v>44202</v>
      </c>
      <c r="O305" s="329" t="s">
        <v>69</v>
      </c>
      <c r="P305" s="386">
        <f t="shared" ref="P305:Q305" si="302">IF(B305=0,0,IF(YEAR(B305)=$Q$1,MONTH(B305)-$P$1+1,(YEAR(B305)-$Q$1)*12-$P$1+1+MONTH(B305)))</f>
        <v>1</v>
      </c>
      <c r="Q305" s="330">
        <f t="shared" si="302"/>
        <v>0</v>
      </c>
      <c r="R305" s="351" t="str">
        <f t="shared" si="3"/>
        <v>Gastos_custeados_por_captação</v>
      </c>
      <c r="S305" s="351" t="str">
        <f>IF(D305="","",IF(OR(D305=Plano!$A$1,D305=Plano!$B$1),"entrada","saída"))</f>
        <v>saída</v>
      </c>
      <c r="T305" s="334" t="s">
        <v>114</v>
      </c>
      <c r="U305" s="334" t="s">
        <v>114</v>
      </c>
      <c r="V305" s="344"/>
      <c r="W305" s="269"/>
    </row>
    <row r="306" spans="1:23" ht="69.75" customHeight="1" x14ac:dyDescent="0.2">
      <c r="A306" s="277">
        <f t="shared" si="0"/>
        <v>302</v>
      </c>
      <c r="B306" s="278">
        <v>44207</v>
      </c>
      <c r="C306" s="256">
        <v>44166</v>
      </c>
      <c r="D306" s="255" t="s">
        <v>99</v>
      </c>
      <c r="E306" s="255" t="s">
        <v>246</v>
      </c>
      <c r="F306" s="258">
        <v>-176.46</v>
      </c>
      <c r="G306" s="255" t="s">
        <v>2869</v>
      </c>
      <c r="H306" s="255" t="s">
        <v>115</v>
      </c>
      <c r="I306" s="250" t="s">
        <v>983</v>
      </c>
      <c r="J306" s="255" t="s">
        <v>850</v>
      </c>
      <c r="K306" s="255" t="s">
        <v>946</v>
      </c>
      <c r="L306" s="250" t="s">
        <v>947</v>
      </c>
      <c r="M306" s="255" t="s">
        <v>114</v>
      </c>
      <c r="N306" s="278">
        <v>44207</v>
      </c>
      <c r="O306" s="329" t="s">
        <v>67</v>
      </c>
      <c r="P306" s="386">
        <f t="shared" ref="P306:Q306" si="303">IF(B306=0,0,IF(YEAR(B306)=$Q$1,MONTH(B306)-$P$1+1,(YEAR(B306)-$Q$1)*12-$P$1+1+MONTH(B306)))</f>
        <v>1</v>
      </c>
      <c r="Q306" s="330">
        <f t="shared" si="303"/>
        <v>0</v>
      </c>
      <c r="R306" s="351" t="str">
        <f t="shared" si="3"/>
        <v>Gastos_Gerais</v>
      </c>
      <c r="S306" s="351" t="str">
        <f>IF(D306="","",IF(OR(D306=Plano!$A$1,D306=Plano!$B$1),"entrada","saída"))</f>
        <v>saída</v>
      </c>
      <c r="T306" s="334" t="s">
        <v>114</v>
      </c>
      <c r="U306" s="334" t="s">
        <v>114</v>
      </c>
      <c r="V306" s="344"/>
      <c r="W306" s="269"/>
    </row>
    <row r="307" spans="1:23" ht="69.75" customHeight="1" x14ac:dyDescent="0.2">
      <c r="A307" s="277">
        <f t="shared" si="0"/>
        <v>303</v>
      </c>
      <c r="B307" s="278">
        <v>44207</v>
      </c>
      <c r="C307" s="256">
        <v>44166</v>
      </c>
      <c r="D307" s="255" t="s">
        <v>99</v>
      </c>
      <c r="E307" s="255" t="s">
        <v>208</v>
      </c>
      <c r="F307" s="258">
        <v>-1486.89</v>
      </c>
      <c r="G307" s="255" t="s">
        <v>2870</v>
      </c>
      <c r="H307" s="255" t="s">
        <v>115</v>
      </c>
      <c r="I307" s="250" t="s">
        <v>983</v>
      </c>
      <c r="J307" s="255" t="s">
        <v>850</v>
      </c>
      <c r="K307" s="255" t="s">
        <v>946</v>
      </c>
      <c r="L307" s="250" t="s">
        <v>947</v>
      </c>
      <c r="M307" s="255" t="s">
        <v>114</v>
      </c>
      <c r="N307" s="278">
        <v>44207</v>
      </c>
      <c r="O307" s="329" t="s">
        <v>67</v>
      </c>
      <c r="P307" s="386">
        <f t="shared" ref="P307:Q307" si="304">IF(B307=0,0,IF(YEAR(B307)=$Q$1,MONTH(B307)-$P$1+1,(YEAR(B307)-$Q$1)*12-$P$1+1+MONTH(B307)))</f>
        <v>1</v>
      </c>
      <c r="Q307" s="330">
        <f t="shared" si="304"/>
        <v>0</v>
      </c>
      <c r="R307" s="351" t="str">
        <f t="shared" si="3"/>
        <v>Gastos_Gerais</v>
      </c>
      <c r="S307" s="351" t="str">
        <f>IF(D307="","",IF(OR(D307=Plano!$A$1,D307=Plano!$B$1),"entrada","saída"))</f>
        <v>saída</v>
      </c>
      <c r="T307" s="334" t="s">
        <v>114</v>
      </c>
      <c r="U307" s="334" t="s">
        <v>114</v>
      </c>
      <c r="V307" s="344"/>
      <c r="W307" s="269"/>
    </row>
    <row r="308" spans="1:23" ht="189.75" customHeight="1" x14ac:dyDescent="0.2">
      <c r="A308" s="277">
        <f t="shared" si="0"/>
        <v>304</v>
      </c>
      <c r="B308" s="278">
        <v>44207</v>
      </c>
      <c r="C308" s="249">
        <v>44166</v>
      </c>
      <c r="D308" s="250" t="s">
        <v>99</v>
      </c>
      <c r="E308" s="250" t="s">
        <v>352</v>
      </c>
      <c r="F308" s="251">
        <v>2449.75</v>
      </c>
      <c r="G308" s="255" t="s">
        <v>2871</v>
      </c>
      <c r="H308" s="250" t="s">
        <v>132</v>
      </c>
      <c r="I308" s="250" t="s">
        <v>1328</v>
      </c>
      <c r="J308" s="250" t="s">
        <v>581</v>
      </c>
      <c r="K308" s="255" t="s">
        <v>1015</v>
      </c>
      <c r="L308" s="250" t="s">
        <v>1016</v>
      </c>
      <c r="M308" s="255" t="s">
        <v>1017</v>
      </c>
      <c r="N308" s="278">
        <v>44204</v>
      </c>
      <c r="O308" s="329" t="s">
        <v>67</v>
      </c>
      <c r="P308" s="386">
        <f t="shared" ref="P308:Q308" si="305">IF(B308=0,0,IF(YEAR(B308)=$Q$1,MONTH(B308)-$P$1+1,(YEAR(B308)-$Q$1)*12-$P$1+1+MONTH(B308)))</f>
        <v>1</v>
      </c>
      <c r="Q308" s="330">
        <f t="shared" si="305"/>
        <v>0</v>
      </c>
      <c r="R308" s="351" t="str">
        <f t="shared" si="3"/>
        <v>Gastos_Gerais</v>
      </c>
      <c r="S308" s="351" t="str">
        <f>IF(D308="","",IF(OR(D308=Plano!$A$1,D308=Plano!$B$1),"entrada","saída"))</f>
        <v>saída</v>
      </c>
      <c r="T308" s="334" t="s">
        <v>994</v>
      </c>
      <c r="U308" s="334">
        <v>519</v>
      </c>
      <c r="V308" s="344"/>
      <c r="W308" s="269"/>
    </row>
    <row r="309" spans="1:23" ht="69.75" customHeight="1" x14ac:dyDescent="0.2">
      <c r="A309" s="277">
        <f t="shared" si="0"/>
        <v>305</v>
      </c>
      <c r="B309" s="278">
        <v>44207</v>
      </c>
      <c r="C309" s="256">
        <v>44166</v>
      </c>
      <c r="D309" s="255" t="s">
        <v>99</v>
      </c>
      <c r="E309" s="255" t="s">
        <v>208</v>
      </c>
      <c r="F309" s="258">
        <v>8819.0400000000009</v>
      </c>
      <c r="G309" s="255" t="s">
        <v>2872</v>
      </c>
      <c r="H309" s="255" t="s">
        <v>115</v>
      </c>
      <c r="I309" s="250" t="s">
        <v>518</v>
      </c>
      <c r="J309" s="250" t="s">
        <v>519</v>
      </c>
      <c r="K309" s="250" t="s">
        <v>2873</v>
      </c>
      <c r="L309" s="250" t="s">
        <v>114</v>
      </c>
      <c r="M309" s="250">
        <v>1</v>
      </c>
      <c r="N309" s="278">
        <v>44180</v>
      </c>
      <c r="O309" s="329" t="s">
        <v>67</v>
      </c>
      <c r="P309" s="386">
        <f t="shared" ref="P309:Q309" si="306">IF(B309=0,0,IF(YEAR(B309)=$Q$1,MONTH(B309)-$P$1+1,(YEAR(B309)-$Q$1)*12-$P$1+1+MONTH(B309)))</f>
        <v>1</v>
      </c>
      <c r="Q309" s="330">
        <f t="shared" si="306"/>
        <v>0</v>
      </c>
      <c r="R309" s="351" t="str">
        <f t="shared" si="3"/>
        <v>Gastos_Gerais</v>
      </c>
      <c r="S309" s="351" t="str">
        <f>IF(D309="","",IF(OR(D309=Plano!$A$1,D309=Plano!$B$1),"entrada","saída"))</f>
        <v>saída</v>
      </c>
      <c r="T309" s="334" t="s">
        <v>114</v>
      </c>
      <c r="U309" s="334" t="s">
        <v>114</v>
      </c>
      <c r="V309" s="344"/>
      <c r="W309" s="269"/>
    </row>
    <row r="310" spans="1:23" ht="118.5" customHeight="1" x14ac:dyDescent="0.2">
      <c r="A310" s="277">
        <f t="shared" si="0"/>
        <v>306</v>
      </c>
      <c r="B310" s="278">
        <v>44207</v>
      </c>
      <c r="C310" s="256">
        <v>44166</v>
      </c>
      <c r="D310" s="255" t="s">
        <v>99</v>
      </c>
      <c r="E310" s="255" t="s">
        <v>330</v>
      </c>
      <c r="F310" s="258">
        <v>44.99</v>
      </c>
      <c r="G310" s="255" t="s">
        <v>2874</v>
      </c>
      <c r="H310" s="255" t="s">
        <v>115</v>
      </c>
      <c r="I310" s="250" t="s">
        <v>2875</v>
      </c>
      <c r="J310" s="255" t="s">
        <v>2876</v>
      </c>
      <c r="K310" s="250" t="s">
        <v>2873</v>
      </c>
      <c r="L310" s="250" t="s">
        <v>1016</v>
      </c>
      <c r="M310" s="255">
        <v>7369</v>
      </c>
      <c r="N310" s="278">
        <v>44209</v>
      </c>
      <c r="O310" s="329" t="s">
        <v>67</v>
      </c>
      <c r="P310" s="386">
        <f t="shared" ref="P310:Q310" si="307">IF(B310=0,0,IF(YEAR(B310)=$Q$1,MONTH(B310)-$P$1+1,(YEAR(B310)-$Q$1)*12-$P$1+1+MONTH(B310)))</f>
        <v>1</v>
      </c>
      <c r="Q310" s="330">
        <f t="shared" si="307"/>
        <v>0</v>
      </c>
      <c r="R310" s="351" t="str">
        <f t="shared" si="3"/>
        <v>Gastos_Gerais</v>
      </c>
      <c r="S310" s="351" t="str">
        <f>IF(D310="","",IF(OR(D310=Plano!$A$1,D310=Plano!$B$1),"entrada","saída"))</f>
        <v>saída</v>
      </c>
      <c r="T310" s="334" t="s">
        <v>994</v>
      </c>
      <c r="U310" s="334">
        <v>1094</v>
      </c>
      <c r="V310" s="344"/>
      <c r="W310" s="269"/>
    </row>
    <row r="311" spans="1:23" ht="198.75" customHeight="1" x14ac:dyDescent="0.2">
      <c r="A311" s="277">
        <f t="shared" si="0"/>
        <v>307</v>
      </c>
      <c r="B311" s="278">
        <v>44207</v>
      </c>
      <c r="C311" s="249">
        <v>44166</v>
      </c>
      <c r="D311" s="250" t="s">
        <v>99</v>
      </c>
      <c r="E311" s="250" t="s">
        <v>224</v>
      </c>
      <c r="F311" s="251">
        <v>49.99</v>
      </c>
      <c r="G311" s="255" t="s">
        <v>642</v>
      </c>
      <c r="H311" s="250" t="s">
        <v>130</v>
      </c>
      <c r="I311" s="250" t="s">
        <v>1374</v>
      </c>
      <c r="J311" s="250" t="s">
        <v>644</v>
      </c>
      <c r="K311" s="255" t="s">
        <v>1375</v>
      </c>
      <c r="L311" s="250" t="s">
        <v>697</v>
      </c>
      <c r="M311" s="388">
        <v>2012954716280</v>
      </c>
      <c r="N311" s="278">
        <v>44180</v>
      </c>
      <c r="O311" s="329" t="s">
        <v>67</v>
      </c>
      <c r="P311" s="386">
        <f t="shared" ref="P311:Q311" si="308">IF(B311=0,0,IF(YEAR(B311)=$Q$1,MONTH(B311)-$P$1+1,(YEAR(B311)-$Q$1)*12-$P$1+1+MONTH(B311)))</f>
        <v>1</v>
      </c>
      <c r="Q311" s="330">
        <f t="shared" si="308"/>
        <v>0</v>
      </c>
      <c r="R311" s="351" t="str">
        <f t="shared" si="3"/>
        <v>Gastos_Gerais</v>
      </c>
      <c r="S311" s="351" t="str">
        <f>IF(D311="","",IF(OR(D311=Plano!$A$1,D311=Plano!$B$1),"entrada","saída"))</f>
        <v>saída</v>
      </c>
      <c r="T311" s="334" t="s">
        <v>1059</v>
      </c>
      <c r="U311" s="334">
        <v>277</v>
      </c>
      <c r="V311" s="344"/>
      <c r="W311" s="269"/>
    </row>
    <row r="312" spans="1:23" ht="99.75" customHeight="1" x14ac:dyDescent="0.2">
      <c r="A312" s="277">
        <f t="shared" si="0"/>
        <v>308</v>
      </c>
      <c r="B312" s="278">
        <v>44207</v>
      </c>
      <c r="C312" s="249">
        <v>44166</v>
      </c>
      <c r="D312" s="250" t="s">
        <v>99</v>
      </c>
      <c r="E312" s="250" t="s">
        <v>266</v>
      </c>
      <c r="F312" s="251">
        <v>255.72</v>
      </c>
      <c r="G312" s="255" t="s">
        <v>2877</v>
      </c>
      <c r="H312" s="250" t="s">
        <v>115</v>
      </c>
      <c r="I312" s="250" t="s">
        <v>1372</v>
      </c>
      <c r="J312" s="250" t="s">
        <v>482</v>
      </c>
      <c r="K312" s="255" t="s">
        <v>560</v>
      </c>
      <c r="L312" s="250" t="s">
        <v>1016</v>
      </c>
      <c r="M312" s="255" t="s">
        <v>2878</v>
      </c>
      <c r="N312" s="278">
        <v>44169</v>
      </c>
      <c r="O312" s="329" t="s">
        <v>67</v>
      </c>
      <c r="P312" s="386">
        <f t="shared" ref="P312:Q312" si="309">IF(B312=0,0,IF(YEAR(B312)=$Q$1,MONTH(B312)-$P$1+1,(YEAR(B312)-$Q$1)*12-$P$1+1+MONTH(B312)))</f>
        <v>1</v>
      </c>
      <c r="Q312" s="330">
        <f t="shared" si="309"/>
        <v>0</v>
      </c>
      <c r="R312" s="351" t="str">
        <f t="shared" si="3"/>
        <v>Gastos_Gerais</v>
      </c>
      <c r="S312" s="351" t="str">
        <f>IF(D312="","",IF(OR(D312=Plano!$A$1,D312=Plano!$B$1),"entrada","saída"))</f>
        <v>saída</v>
      </c>
      <c r="T312" s="334" t="s">
        <v>994</v>
      </c>
      <c r="U312" s="334">
        <v>12</v>
      </c>
      <c r="V312" s="344"/>
      <c r="W312" s="269"/>
    </row>
    <row r="313" spans="1:23" ht="124.5" customHeight="1" x14ac:dyDescent="0.2">
      <c r="A313" s="277">
        <f t="shared" si="0"/>
        <v>309</v>
      </c>
      <c r="B313" s="278">
        <v>44207</v>
      </c>
      <c r="C313" s="249">
        <v>44166</v>
      </c>
      <c r="D313" s="250" t="s">
        <v>99</v>
      </c>
      <c r="E313" s="250" t="s">
        <v>246</v>
      </c>
      <c r="F313" s="251">
        <v>600</v>
      </c>
      <c r="G313" s="255" t="s">
        <v>2879</v>
      </c>
      <c r="H313" s="250" t="s">
        <v>115</v>
      </c>
      <c r="I313" s="250" t="s">
        <v>1370</v>
      </c>
      <c r="J313" s="250" t="s">
        <v>2880</v>
      </c>
      <c r="K313" s="255" t="s">
        <v>991</v>
      </c>
      <c r="L313" s="250" t="s">
        <v>1016</v>
      </c>
      <c r="M313" s="255" t="s">
        <v>1305</v>
      </c>
      <c r="N313" s="278">
        <v>44201</v>
      </c>
      <c r="O313" s="329" t="s">
        <v>67</v>
      </c>
      <c r="P313" s="386">
        <f t="shared" ref="P313:Q313" si="310">IF(B313=0,0,IF(YEAR(B313)=$Q$1,MONTH(B313)-$P$1+1,(YEAR(B313)-$Q$1)*12-$P$1+1+MONTH(B313)))</f>
        <v>1</v>
      </c>
      <c r="Q313" s="330">
        <f t="shared" si="310"/>
        <v>0</v>
      </c>
      <c r="R313" s="351" t="str">
        <f t="shared" si="3"/>
        <v>Gastos_Gerais</v>
      </c>
      <c r="S313" s="351" t="str">
        <f>IF(D313="","",IF(OR(D313=Plano!$A$1,D313=Plano!$B$1),"entrada","saída"))</f>
        <v>saída</v>
      </c>
      <c r="T313" s="334" t="s">
        <v>994</v>
      </c>
      <c r="U313" s="334">
        <v>21</v>
      </c>
      <c r="V313" s="344"/>
      <c r="W313" s="269"/>
    </row>
    <row r="314" spans="1:23" ht="216.75" customHeight="1" x14ac:dyDescent="0.2">
      <c r="A314" s="277">
        <f t="shared" si="0"/>
        <v>310</v>
      </c>
      <c r="B314" s="278">
        <v>44207</v>
      </c>
      <c r="C314" s="249">
        <v>44136</v>
      </c>
      <c r="D314" s="250" t="s">
        <v>99</v>
      </c>
      <c r="E314" s="250" t="s">
        <v>358</v>
      </c>
      <c r="F314" s="251">
        <v>840</v>
      </c>
      <c r="G314" s="255" t="s">
        <v>2881</v>
      </c>
      <c r="H314" s="250" t="s">
        <v>131</v>
      </c>
      <c r="I314" s="250" t="s">
        <v>2882</v>
      </c>
      <c r="J314" s="250" t="s">
        <v>825</v>
      </c>
      <c r="K314" s="255" t="s">
        <v>991</v>
      </c>
      <c r="L314" s="250" t="s">
        <v>1029</v>
      </c>
      <c r="M314" s="255">
        <v>1020</v>
      </c>
      <c r="N314" s="278">
        <v>44202</v>
      </c>
      <c r="O314" s="329" t="s">
        <v>67</v>
      </c>
      <c r="P314" s="386">
        <f t="shared" ref="P314:Q314" si="311">IF(B314=0,0,IF(YEAR(B314)=$Q$1,MONTH(B314)-$P$1+1,(YEAR(B314)-$Q$1)*12-$P$1+1+MONTH(B314)))</f>
        <v>1</v>
      </c>
      <c r="Q314" s="330">
        <f t="shared" si="311"/>
        <v>-1</v>
      </c>
      <c r="R314" s="351" t="str">
        <f t="shared" si="3"/>
        <v>Gastos_Gerais</v>
      </c>
      <c r="S314" s="351" t="str">
        <f>IF(D314="","",IF(OR(D314=Plano!$A$1,D314=Plano!$B$1),"entrada","saída"))</f>
        <v>saída</v>
      </c>
      <c r="T314" s="334" t="s">
        <v>1059</v>
      </c>
      <c r="U314" s="334">
        <v>1011</v>
      </c>
      <c r="V314" s="344"/>
      <c r="W314" s="269"/>
    </row>
    <row r="315" spans="1:23" ht="194.25" customHeight="1" x14ac:dyDescent="0.2">
      <c r="A315" s="277">
        <f t="shared" si="0"/>
        <v>311</v>
      </c>
      <c r="B315" s="278">
        <v>44207</v>
      </c>
      <c r="C315" s="249">
        <v>44136</v>
      </c>
      <c r="D315" s="250" t="s">
        <v>99</v>
      </c>
      <c r="E315" s="250" t="s">
        <v>358</v>
      </c>
      <c r="F315" s="251">
        <v>430</v>
      </c>
      <c r="G315" s="255" t="s">
        <v>2883</v>
      </c>
      <c r="H315" s="250" t="s">
        <v>116</v>
      </c>
      <c r="I315" s="250" t="s">
        <v>2884</v>
      </c>
      <c r="J315" s="250" t="s">
        <v>2885</v>
      </c>
      <c r="K315" s="255" t="s">
        <v>991</v>
      </c>
      <c r="L315" s="250" t="s">
        <v>1029</v>
      </c>
      <c r="M315" s="255">
        <v>1007</v>
      </c>
      <c r="N315" s="278">
        <v>44201</v>
      </c>
      <c r="O315" s="329" t="s">
        <v>67</v>
      </c>
      <c r="P315" s="386">
        <f t="shared" ref="P315:Q315" si="312">IF(B315=0,0,IF(YEAR(B315)=$Q$1,MONTH(B315)-$P$1+1,(YEAR(B315)-$Q$1)*12-$P$1+1+MONTH(B315)))</f>
        <v>1</v>
      </c>
      <c r="Q315" s="330">
        <f t="shared" si="312"/>
        <v>-1</v>
      </c>
      <c r="R315" s="351" t="str">
        <f t="shared" si="3"/>
        <v>Gastos_Gerais</v>
      </c>
      <c r="S315" s="351" t="str">
        <f>IF(D315="","",IF(OR(D315=Plano!$A$1,D315=Plano!$B$1),"entrada","saída"))</f>
        <v>saída</v>
      </c>
      <c r="T315" s="334" t="s">
        <v>994</v>
      </c>
      <c r="U315" s="334">
        <v>782</v>
      </c>
      <c r="V315" s="344"/>
      <c r="W315" s="269"/>
    </row>
    <row r="316" spans="1:23" ht="229.5" customHeight="1" x14ac:dyDescent="0.2">
      <c r="A316" s="277">
        <f t="shared" si="0"/>
        <v>312</v>
      </c>
      <c r="B316" s="278">
        <v>44207</v>
      </c>
      <c r="C316" s="249">
        <v>44166</v>
      </c>
      <c r="D316" s="250" t="s">
        <v>99</v>
      </c>
      <c r="E316" s="250" t="s">
        <v>358</v>
      </c>
      <c r="F316" s="251">
        <v>500</v>
      </c>
      <c r="G316" s="255" t="s">
        <v>2886</v>
      </c>
      <c r="H316" s="250" t="s">
        <v>125</v>
      </c>
      <c r="I316" s="250" t="s">
        <v>2887</v>
      </c>
      <c r="J316" s="250" t="s">
        <v>2888</v>
      </c>
      <c r="K316" s="255" t="s">
        <v>991</v>
      </c>
      <c r="L316" s="250" t="s">
        <v>1016</v>
      </c>
      <c r="M316" s="255" t="s">
        <v>1017</v>
      </c>
      <c r="N316" s="278">
        <v>43836</v>
      </c>
      <c r="O316" s="329" t="s">
        <v>67</v>
      </c>
      <c r="P316" s="386">
        <f t="shared" ref="P316:Q316" si="313">IF(B316=0,0,IF(YEAR(B316)=$Q$1,MONTH(B316)-$P$1+1,(YEAR(B316)-$Q$1)*12-$P$1+1+MONTH(B316)))</f>
        <v>1</v>
      </c>
      <c r="Q316" s="330">
        <f t="shared" si="313"/>
        <v>0</v>
      </c>
      <c r="R316" s="351" t="str">
        <f t="shared" si="3"/>
        <v>Gastos_Gerais</v>
      </c>
      <c r="S316" s="351" t="str">
        <f>IF(D316="","",IF(OR(D316=Plano!$A$1,D316=Plano!$B$1),"entrada","saída"))</f>
        <v>saída</v>
      </c>
      <c r="T316" s="334" t="s">
        <v>994</v>
      </c>
      <c r="U316" s="334">
        <v>1077</v>
      </c>
      <c r="V316" s="344"/>
      <c r="W316" s="269"/>
    </row>
    <row r="317" spans="1:23" ht="205.5" customHeight="1" x14ac:dyDescent="0.2">
      <c r="A317" s="277">
        <f t="shared" si="0"/>
        <v>313</v>
      </c>
      <c r="B317" s="278">
        <v>44207</v>
      </c>
      <c r="C317" s="249">
        <v>44166</v>
      </c>
      <c r="D317" s="250" t="s">
        <v>99</v>
      </c>
      <c r="E317" s="250" t="s">
        <v>336</v>
      </c>
      <c r="F317" s="251">
        <v>2300</v>
      </c>
      <c r="G317" s="255" t="s">
        <v>2492</v>
      </c>
      <c r="H317" s="250" t="s">
        <v>116</v>
      </c>
      <c r="I317" s="250" t="s">
        <v>1638</v>
      </c>
      <c r="J317" s="250" t="s">
        <v>2889</v>
      </c>
      <c r="K317" s="255" t="s">
        <v>991</v>
      </c>
      <c r="L317" s="250" t="s">
        <v>1016</v>
      </c>
      <c r="M317" s="255" t="s">
        <v>1305</v>
      </c>
      <c r="N317" s="278">
        <v>44204</v>
      </c>
      <c r="O317" s="329" t="s">
        <v>67</v>
      </c>
      <c r="P317" s="386">
        <f t="shared" ref="P317:Q317" si="314">IF(B317=0,0,IF(YEAR(B317)=$Q$1,MONTH(B317)-$P$1+1,(YEAR(B317)-$Q$1)*12-$P$1+1+MONTH(B317)))</f>
        <v>1</v>
      </c>
      <c r="Q317" s="330">
        <f t="shared" si="314"/>
        <v>0</v>
      </c>
      <c r="R317" s="351" t="str">
        <f t="shared" si="3"/>
        <v>Gastos_Gerais</v>
      </c>
      <c r="S317" s="351" t="str">
        <f>IF(D317="","",IF(OR(D317=Plano!$A$1,D317=Plano!$B$1),"entrada","saída"))</f>
        <v>saída</v>
      </c>
      <c r="T317" s="334" t="s">
        <v>994</v>
      </c>
      <c r="U317" s="334">
        <v>582</v>
      </c>
      <c r="V317" s="344"/>
      <c r="W317" s="269"/>
    </row>
    <row r="318" spans="1:23" ht="218.25" customHeight="1" x14ac:dyDescent="0.2">
      <c r="A318" s="277">
        <f t="shared" si="0"/>
        <v>314</v>
      </c>
      <c r="B318" s="278">
        <v>44207</v>
      </c>
      <c r="C318" s="249">
        <v>44166</v>
      </c>
      <c r="D318" s="250" t="s">
        <v>99</v>
      </c>
      <c r="E318" s="250" t="s">
        <v>336</v>
      </c>
      <c r="F318" s="251">
        <v>2300</v>
      </c>
      <c r="G318" s="255" t="s">
        <v>2486</v>
      </c>
      <c r="H318" s="250" t="s">
        <v>116</v>
      </c>
      <c r="I318" s="250" t="s">
        <v>2890</v>
      </c>
      <c r="J318" s="250" t="s">
        <v>672</v>
      </c>
      <c r="K318" s="255" t="s">
        <v>991</v>
      </c>
      <c r="L318" s="250" t="s">
        <v>1016</v>
      </c>
      <c r="M318" s="255">
        <v>161</v>
      </c>
      <c r="N318" s="278">
        <v>44203</v>
      </c>
      <c r="O318" s="329" t="s">
        <v>67</v>
      </c>
      <c r="P318" s="386">
        <f t="shared" ref="P318:Q318" si="315">IF(B318=0,0,IF(YEAR(B318)=$Q$1,MONTH(B318)-$P$1+1,(YEAR(B318)-$Q$1)*12-$P$1+1+MONTH(B318)))</f>
        <v>1</v>
      </c>
      <c r="Q318" s="330">
        <f t="shared" si="315"/>
        <v>0</v>
      </c>
      <c r="R318" s="351" t="str">
        <f t="shared" si="3"/>
        <v>Gastos_Gerais</v>
      </c>
      <c r="S318" s="351" t="str">
        <f>IF(D318="","",IF(OR(D318=Plano!$A$1,D318=Plano!$B$1),"entrada","saída"))</f>
        <v>saída</v>
      </c>
      <c r="T318" s="334" t="s">
        <v>994</v>
      </c>
      <c r="U318" s="334">
        <v>634</v>
      </c>
      <c r="V318" s="344"/>
      <c r="W318" s="269"/>
    </row>
    <row r="319" spans="1:23" ht="188.25" customHeight="1" x14ac:dyDescent="0.2">
      <c r="A319" s="277">
        <f t="shared" si="0"/>
        <v>315</v>
      </c>
      <c r="B319" s="278">
        <v>44207</v>
      </c>
      <c r="C319" s="249">
        <v>44166</v>
      </c>
      <c r="D319" s="250" t="s">
        <v>99</v>
      </c>
      <c r="E319" s="250" t="s">
        <v>336</v>
      </c>
      <c r="F319" s="251">
        <v>2300</v>
      </c>
      <c r="G319" s="255" t="s">
        <v>2492</v>
      </c>
      <c r="H319" s="250" t="s">
        <v>117</v>
      </c>
      <c r="I319" s="250" t="s">
        <v>1631</v>
      </c>
      <c r="J319" s="250" t="s">
        <v>1632</v>
      </c>
      <c r="K319" s="255" t="s">
        <v>991</v>
      </c>
      <c r="L319" s="250" t="s">
        <v>1016</v>
      </c>
      <c r="M319" s="255" t="s">
        <v>1305</v>
      </c>
      <c r="N319" s="278">
        <v>44206</v>
      </c>
      <c r="O319" s="329" t="s">
        <v>67</v>
      </c>
      <c r="P319" s="386">
        <f t="shared" ref="P319:Q319" si="316">IF(B319=0,0,IF(YEAR(B319)=$Q$1,MONTH(B319)-$P$1+1,(YEAR(B319)-$Q$1)*12-$P$1+1+MONTH(B319)))</f>
        <v>1</v>
      </c>
      <c r="Q319" s="330">
        <f t="shared" si="316"/>
        <v>0</v>
      </c>
      <c r="R319" s="351" t="str">
        <f t="shared" si="3"/>
        <v>Gastos_Gerais</v>
      </c>
      <c r="S319" s="351" t="str">
        <f>IF(D319="","",IF(OR(D319=Plano!$A$1,D319=Plano!$B$1),"entrada","saída"))</f>
        <v>saída</v>
      </c>
      <c r="T319" s="334" t="s">
        <v>994</v>
      </c>
      <c r="U319" s="334">
        <v>583</v>
      </c>
      <c r="V319" s="344"/>
      <c r="W319" s="269"/>
    </row>
    <row r="320" spans="1:23" ht="210.75" customHeight="1" x14ac:dyDescent="0.2">
      <c r="A320" s="277">
        <f t="shared" si="0"/>
        <v>316</v>
      </c>
      <c r="B320" s="278">
        <v>44207</v>
      </c>
      <c r="C320" s="249">
        <v>44136</v>
      </c>
      <c r="D320" s="250" t="s">
        <v>99</v>
      </c>
      <c r="E320" s="250" t="s">
        <v>352</v>
      </c>
      <c r="F320" s="251">
        <v>840</v>
      </c>
      <c r="G320" s="255" t="s">
        <v>2891</v>
      </c>
      <c r="H320" s="250" t="s">
        <v>125</v>
      </c>
      <c r="I320" s="250" t="s">
        <v>2892</v>
      </c>
      <c r="J320" s="250" t="s">
        <v>2893</v>
      </c>
      <c r="K320" s="255" t="s">
        <v>991</v>
      </c>
      <c r="L320" s="250" t="s">
        <v>1029</v>
      </c>
      <c r="M320" s="255">
        <v>1031</v>
      </c>
      <c r="N320" s="278">
        <v>44207</v>
      </c>
      <c r="O320" s="329" t="s">
        <v>67</v>
      </c>
      <c r="P320" s="386">
        <f t="shared" ref="P320:Q320" si="317">IF(B320=0,0,IF(YEAR(B320)=$Q$1,MONTH(B320)-$P$1+1,(YEAR(B320)-$Q$1)*12-$P$1+1+MONTH(B320)))</f>
        <v>1</v>
      </c>
      <c r="Q320" s="330">
        <f t="shared" si="317"/>
        <v>-1</v>
      </c>
      <c r="R320" s="351" t="str">
        <f t="shared" si="3"/>
        <v>Gastos_Gerais</v>
      </c>
      <c r="S320" s="351" t="str">
        <f>IF(D320="","",IF(OR(D320=Plano!$A$1,D320=Plano!$B$1),"entrada","saída"))</f>
        <v>saída</v>
      </c>
      <c r="T320" s="334" t="s">
        <v>1059</v>
      </c>
      <c r="U320" s="334">
        <v>652</v>
      </c>
      <c r="V320" s="344"/>
      <c r="W320" s="269"/>
    </row>
    <row r="321" spans="1:23" ht="69.75" customHeight="1" x14ac:dyDescent="0.2">
      <c r="A321" s="277">
        <f t="shared" si="0"/>
        <v>317</v>
      </c>
      <c r="B321" s="278">
        <v>44207</v>
      </c>
      <c r="C321" s="249">
        <v>44197</v>
      </c>
      <c r="D321" s="255" t="s">
        <v>99</v>
      </c>
      <c r="E321" s="255" t="s">
        <v>272</v>
      </c>
      <c r="F321" s="258">
        <v>10.45</v>
      </c>
      <c r="G321" s="255" t="s">
        <v>2852</v>
      </c>
      <c r="H321" s="250" t="s">
        <v>128</v>
      </c>
      <c r="I321" s="250" t="s">
        <v>949</v>
      </c>
      <c r="J321" s="255" t="s">
        <v>950</v>
      </c>
      <c r="K321" s="255" t="s">
        <v>951</v>
      </c>
      <c r="L321" s="250" t="s">
        <v>947</v>
      </c>
      <c r="M321" s="279" t="s">
        <v>114</v>
      </c>
      <c r="N321" s="278">
        <v>44207</v>
      </c>
      <c r="O321" s="329" t="s">
        <v>67</v>
      </c>
      <c r="P321" s="386">
        <f t="shared" ref="P321:Q321" si="318">IF(B321=0,0,IF(YEAR(B321)=$Q$1,MONTH(B321)-$P$1+1,(YEAR(B321)-$Q$1)*12-$P$1+1+MONTH(B321)))</f>
        <v>1</v>
      </c>
      <c r="Q321" s="330">
        <f t="shared" si="318"/>
        <v>1</v>
      </c>
      <c r="R321" s="351" t="str">
        <f t="shared" si="3"/>
        <v>Gastos_Gerais</v>
      </c>
      <c r="S321" s="351" t="str">
        <f>IF(D321="","",IF(OR(D321=Plano!$A$1,D321=Plano!$B$1),"entrada","saída"))</f>
        <v>saída</v>
      </c>
      <c r="T321" s="334" t="s">
        <v>114</v>
      </c>
      <c r="U321" s="334" t="s">
        <v>114</v>
      </c>
      <c r="V321" s="344"/>
      <c r="W321" s="269"/>
    </row>
    <row r="322" spans="1:23" ht="69.75" customHeight="1" x14ac:dyDescent="0.2">
      <c r="A322" s="277">
        <f t="shared" si="0"/>
        <v>318</v>
      </c>
      <c r="B322" s="278">
        <v>44207</v>
      </c>
      <c r="C322" s="249">
        <v>44197</v>
      </c>
      <c r="D322" s="255" t="s">
        <v>99</v>
      </c>
      <c r="E322" s="255" t="s">
        <v>272</v>
      </c>
      <c r="F322" s="258">
        <v>10.45</v>
      </c>
      <c r="G322" s="255" t="s">
        <v>2785</v>
      </c>
      <c r="H322" s="250" t="s">
        <v>131</v>
      </c>
      <c r="I322" s="250" t="s">
        <v>949</v>
      </c>
      <c r="J322" s="255" t="s">
        <v>950</v>
      </c>
      <c r="K322" s="255" t="s">
        <v>951</v>
      </c>
      <c r="L322" s="250" t="s">
        <v>947</v>
      </c>
      <c r="M322" s="279" t="s">
        <v>114</v>
      </c>
      <c r="N322" s="278">
        <v>44207</v>
      </c>
      <c r="O322" s="329" t="s">
        <v>67</v>
      </c>
      <c r="P322" s="386">
        <f t="shared" ref="P322:Q322" si="319">IF(B322=0,0,IF(YEAR(B322)=$Q$1,MONTH(B322)-$P$1+1,(YEAR(B322)-$Q$1)*12-$P$1+1+MONTH(B322)))</f>
        <v>1</v>
      </c>
      <c r="Q322" s="330">
        <f t="shared" si="319"/>
        <v>1</v>
      </c>
      <c r="R322" s="351" t="str">
        <f t="shared" si="3"/>
        <v>Gastos_Gerais</v>
      </c>
      <c r="S322" s="351" t="str">
        <f>IF(D322="","",IF(OR(D322=Plano!$A$1,D322=Plano!$B$1),"entrada","saída"))</f>
        <v>saída</v>
      </c>
      <c r="T322" s="334" t="s">
        <v>114</v>
      </c>
      <c r="U322" s="334" t="s">
        <v>114</v>
      </c>
      <c r="V322" s="344"/>
      <c r="W322" s="269"/>
    </row>
    <row r="323" spans="1:23" ht="69.75" customHeight="1" x14ac:dyDescent="0.2">
      <c r="A323" s="277">
        <f t="shared" si="0"/>
        <v>319</v>
      </c>
      <c r="B323" s="278">
        <v>44207</v>
      </c>
      <c r="C323" s="249">
        <v>44197</v>
      </c>
      <c r="D323" s="255" t="s">
        <v>99</v>
      </c>
      <c r="E323" s="255" t="s">
        <v>272</v>
      </c>
      <c r="F323" s="258">
        <v>10.45</v>
      </c>
      <c r="G323" s="255" t="s">
        <v>2786</v>
      </c>
      <c r="H323" s="250" t="s">
        <v>116</v>
      </c>
      <c r="I323" s="250" t="s">
        <v>949</v>
      </c>
      <c r="J323" s="255" t="s">
        <v>950</v>
      </c>
      <c r="K323" s="255" t="s">
        <v>951</v>
      </c>
      <c r="L323" s="250" t="s">
        <v>947</v>
      </c>
      <c r="M323" s="279" t="s">
        <v>114</v>
      </c>
      <c r="N323" s="278">
        <v>44207</v>
      </c>
      <c r="O323" s="329" t="s">
        <v>67</v>
      </c>
      <c r="P323" s="386">
        <f t="shared" ref="P323:Q323" si="320">IF(B323=0,0,IF(YEAR(B323)=$Q$1,MONTH(B323)-$P$1+1,(YEAR(B323)-$Q$1)*12-$P$1+1+MONTH(B323)))</f>
        <v>1</v>
      </c>
      <c r="Q323" s="330">
        <f t="shared" si="320"/>
        <v>1</v>
      </c>
      <c r="R323" s="351" t="str">
        <f t="shared" si="3"/>
        <v>Gastos_Gerais</v>
      </c>
      <c r="S323" s="351" t="str">
        <f>IF(D323="","",IF(OR(D323=Plano!$A$1,D323=Plano!$B$1),"entrada","saída"))</f>
        <v>saída</v>
      </c>
      <c r="T323" s="334" t="s">
        <v>114</v>
      </c>
      <c r="U323" s="334" t="s">
        <v>114</v>
      </c>
      <c r="V323" s="344"/>
      <c r="W323" s="269"/>
    </row>
    <row r="324" spans="1:23" ht="69.75" customHeight="1" x14ac:dyDescent="0.2">
      <c r="A324" s="277">
        <f t="shared" si="0"/>
        <v>320</v>
      </c>
      <c r="B324" s="278">
        <v>44207</v>
      </c>
      <c r="C324" s="249">
        <v>44197</v>
      </c>
      <c r="D324" s="255" t="s">
        <v>99</v>
      </c>
      <c r="E324" s="255" t="s">
        <v>272</v>
      </c>
      <c r="F324" s="258">
        <v>10.45</v>
      </c>
      <c r="G324" s="255" t="s">
        <v>2784</v>
      </c>
      <c r="H324" s="250" t="s">
        <v>125</v>
      </c>
      <c r="I324" s="250" t="s">
        <v>949</v>
      </c>
      <c r="J324" s="255" t="s">
        <v>950</v>
      </c>
      <c r="K324" s="255" t="s">
        <v>951</v>
      </c>
      <c r="L324" s="250" t="s">
        <v>947</v>
      </c>
      <c r="M324" s="279" t="s">
        <v>114</v>
      </c>
      <c r="N324" s="278">
        <v>44207</v>
      </c>
      <c r="O324" s="329" t="s">
        <v>67</v>
      </c>
      <c r="P324" s="386">
        <f t="shared" ref="P324:Q324" si="321">IF(B324=0,0,IF(YEAR(B324)=$Q$1,MONTH(B324)-$P$1+1,(YEAR(B324)-$Q$1)*12-$P$1+1+MONTH(B324)))</f>
        <v>1</v>
      </c>
      <c r="Q324" s="330">
        <f t="shared" si="321"/>
        <v>1</v>
      </c>
      <c r="R324" s="351" t="str">
        <f t="shared" si="3"/>
        <v>Gastos_Gerais</v>
      </c>
      <c r="S324" s="351" t="str">
        <f>IF(D324="","",IF(OR(D324=Plano!$A$1,D324=Plano!$B$1),"entrada","saída"))</f>
        <v>saída</v>
      </c>
      <c r="T324" s="334" t="s">
        <v>114</v>
      </c>
      <c r="U324" s="334" t="s">
        <v>114</v>
      </c>
      <c r="V324" s="344"/>
      <c r="W324" s="269"/>
    </row>
    <row r="325" spans="1:23" ht="69.75" customHeight="1" x14ac:dyDescent="0.2">
      <c r="A325" s="277">
        <f t="shared" si="0"/>
        <v>321</v>
      </c>
      <c r="B325" s="278">
        <v>44207</v>
      </c>
      <c r="C325" s="249">
        <v>44197</v>
      </c>
      <c r="D325" s="255" t="s">
        <v>99</v>
      </c>
      <c r="E325" s="255" t="s">
        <v>272</v>
      </c>
      <c r="F325" s="258">
        <v>10.45</v>
      </c>
      <c r="G325" s="255" t="s">
        <v>2894</v>
      </c>
      <c r="H325" s="255" t="s">
        <v>116</v>
      </c>
      <c r="I325" s="250" t="s">
        <v>949</v>
      </c>
      <c r="J325" s="255" t="s">
        <v>950</v>
      </c>
      <c r="K325" s="255" t="s">
        <v>951</v>
      </c>
      <c r="L325" s="250" t="s">
        <v>947</v>
      </c>
      <c r="M325" s="279" t="s">
        <v>114</v>
      </c>
      <c r="N325" s="278">
        <v>44207</v>
      </c>
      <c r="O325" s="329" t="s">
        <v>67</v>
      </c>
      <c r="P325" s="386">
        <f t="shared" ref="P325:Q325" si="322">IF(B325=0,0,IF(YEAR(B325)=$Q$1,MONTH(B325)-$P$1+1,(YEAR(B325)-$Q$1)*12-$P$1+1+MONTH(B325)))</f>
        <v>1</v>
      </c>
      <c r="Q325" s="330">
        <f t="shared" si="322"/>
        <v>1</v>
      </c>
      <c r="R325" s="351" t="str">
        <f t="shared" si="3"/>
        <v>Gastos_Gerais</v>
      </c>
      <c r="S325" s="351" t="str">
        <f>IF(D325="","",IF(OR(D325=Plano!$A$1,D325=Plano!$B$1),"entrada","saída"))</f>
        <v>saída</v>
      </c>
      <c r="T325" s="334" t="s">
        <v>114</v>
      </c>
      <c r="U325" s="334" t="s">
        <v>114</v>
      </c>
      <c r="V325" s="344"/>
      <c r="W325" s="269"/>
    </row>
    <row r="326" spans="1:23" ht="69.75" customHeight="1" x14ac:dyDescent="0.2">
      <c r="A326" s="277">
        <f t="shared" si="0"/>
        <v>322</v>
      </c>
      <c r="B326" s="278">
        <v>44207</v>
      </c>
      <c r="C326" s="249">
        <v>44197</v>
      </c>
      <c r="D326" s="255" t="s">
        <v>99</v>
      </c>
      <c r="E326" s="255" t="s">
        <v>272</v>
      </c>
      <c r="F326" s="258">
        <v>10.45</v>
      </c>
      <c r="G326" s="255" t="s">
        <v>2895</v>
      </c>
      <c r="H326" s="255" t="s">
        <v>116</v>
      </c>
      <c r="I326" s="250" t="s">
        <v>949</v>
      </c>
      <c r="J326" s="255" t="s">
        <v>950</v>
      </c>
      <c r="K326" s="255" t="s">
        <v>951</v>
      </c>
      <c r="L326" s="250" t="s">
        <v>947</v>
      </c>
      <c r="M326" s="279" t="s">
        <v>114</v>
      </c>
      <c r="N326" s="278">
        <v>44207</v>
      </c>
      <c r="O326" s="329" t="s">
        <v>67</v>
      </c>
      <c r="P326" s="386">
        <f t="shared" ref="P326:Q326" si="323">IF(B326=0,0,IF(YEAR(B326)=$Q$1,MONTH(B326)-$P$1+1,(YEAR(B326)-$Q$1)*12-$P$1+1+MONTH(B326)))</f>
        <v>1</v>
      </c>
      <c r="Q326" s="330">
        <f t="shared" si="323"/>
        <v>1</v>
      </c>
      <c r="R326" s="351" t="str">
        <f t="shared" si="3"/>
        <v>Gastos_Gerais</v>
      </c>
      <c r="S326" s="351" t="str">
        <f>IF(D326="","",IF(OR(D326=Plano!$A$1,D326=Plano!$B$1),"entrada","saída"))</f>
        <v>saída</v>
      </c>
      <c r="T326" s="334" t="s">
        <v>114</v>
      </c>
      <c r="U326" s="334" t="s">
        <v>114</v>
      </c>
      <c r="V326" s="344"/>
      <c r="W326" s="269"/>
    </row>
    <row r="327" spans="1:23" ht="69.75" customHeight="1" x14ac:dyDescent="0.2">
      <c r="A327" s="277">
        <f t="shared" si="0"/>
        <v>323</v>
      </c>
      <c r="B327" s="278">
        <v>44207</v>
      </c>
      <c r="C327" s="249">
        <v>44197</v>
      </c>
      <c r="D327" s="255" t="s">
        <v>99</v>
      </c>
      <c r="E327" s="255" t="s">
        <v>272</v>
      </c>
      <c r="F327" s="258">
        <v>10.45</v>
      </c>
      <c r="G327" s="255" t="s">
        <v>2896</v>
      </c>
      <c r="H327" s="255" t="s">
        <v>117</v>
      </c>
      <c r="I327" s="250" t="s">
        <v>949</v>
      </c>
      <c r="J327" s="255" t="s">
        <v>950</v>
      </c>
      <c r="K327" s="255" t="s">
        <v>951</v>
      </c>
      <c r="L327" s="250" t="s">
        <v>947</v>
      </c>
      <c r="M327" s="279" t="s">
        <v>114</v>
      </c>
      <c r="N327" s="278">
        <v>44207</v>
      </c>
      <c r="O327" s="329" t="s">
        <v>67</v>
      </c>
      <c r="P327" s="386">
        <f t="shared" ref="P327:Q327" si="324">IF(B327=0,0,IF(YEAR(B327)=$Q$1,MONTH(B327)-$P$1+1,(YEAR(B327)-$Q$1)*12-$P$1+1+MONTH(B327)))</f>
        <v>1</v>
      </c>
      <c r="Q327" s="330">
        <f t="shared" si="324"/>
        <v>1</v>
      </c>
      <c r="R327" s="351" t="str">
        <f t="shared" si="3"/>
        <v>Gastos_Gerais</v>
      </c>
      <c r="S327" s="351" t="str">
        <f>IF(D327="","",IF(OR(D327=Plano!$A$1,D327=Plano!$B$1),"entrada","saída"))</f>
        <v>saída</v>
      </c>
      <c r="T327" s="334" t="s">
        <v>114</v>
      </c>
      <c r="U327" s="334" t="s">
        <v>114</v>
      </c>
      <c r="V327" s="344"/>
      <c r="W327" s="269"/>
    </row>
    <row r="328" spans="1:23" ht="69.75" customHeight="1" x14ac:dyDescent="0.2">
      <c r="A328" s="277">
        <f t="shared" si="0"/>
        <v>324</v>
      </c>
      <c r="B328" s="278">
        <v>44207</v>
      </c>
      <c r="C328" s="249">
        <v>44197</v>
      </c>
      <c r="D328" s="255" t="s">
        <v>99</v>
      </c>
      <c r="E328" s="255" t="s">
        <v>272</v>
      </c>
      <c r="F328" s="258">
        <v>10.45</v>
      </c>
      <c r="G328" s="255" t="s">
        <v>2897</v>
      </c>
      <c r="H328" s="250" t="s">
        <v>125</v>
      </c>
      <c r="I328" s="250" t="s">
        <v>949</v>
      </c>
      <c r="J328" s="255" t="s">
        <v>950</v>
      </c>
      <c r="K328" s="255" t="s">
        <v>951</v>
      </c>
      <c r="L328" s="250" t="s">
        <v>947</v>
      </c>
      <c r="M328" s="279" t="s">
        <v>114</v>
      </c>
      <c r="N328" s="278">
        <v>44207</v>
      </c>
      <c r="O328" s="329" t="s">
        <v>67</v>
      </c>
      <c r="P328" s="386">
        <f t="shared" ref="P328:Q328" si="325">IF(B328=0,0,IF(YEAR(B328)=$Q$1,MONTH(B328)-$P$1+1,(YEAR(B328)-$Q$1)*12-$P$1+1+MONTH(B328)))</f>
        <v>1</v>
      </c>
      <c r="Q328" s="330">
        <f t="shared" si="325"/>
        <v>1</v>
      </c>
      <c r="R328" s="351" t="str">
        <f t="shared" si="3"/>
        <v>Gastos_Gerais</v>
      </c>
      <c r="S328" s="351" t="str">
        <f>IF(D328="","",IF(OR(D328=Plano!$A$1,D328=Plano!$B$1),"entrada","saída"))</f>
        <v>saída</v>
      </c>
      <c r="T328" s="334" t="s">
        <v>114</v>
      </c>
      <c r="U328" s="334" t="s">
        <v>114</v>
      </c>
      <c r="V328" s="344"/>
      <c r="W328" s="269"/>
    </row>
    <row r="329" spans="1:23" ht="189.75" customHeight="1" x14ac:dyDescent="0.2">
      <c r="A329" s="277">
        <f t="shared" si="0"/>
        <v>325</v>
      </c>
      <c r="B329" s="278">
        <v>44207</v>
      </c>
      <c r="C329" s="249">
        <v>44105</v>
      </c>
      <c r="D329" s="250" t="s">
        <v>104</v>
      </c>
      <c r="E329" s="250" t="s">
        <v>104</v>
      </c>
      <c r="F329" s="251">
        <v>2250</v>
      </c>
      <c r="G329" s="255" t="s">
        <v>2898</v>
      </c>
      <c r="H329" s="250" t="s">
        <v>104</v>
      </c>
      <c r="I329" s="250" t="s">
        <v>2899</v>
      </c>
      <c r="J329" s="250" t="s">
        <v>2900</v>
      </c>
      <c r="K329" s="255" t="s">
        <v>1015</v>
      </c>
      <c r="L329" s="250" t="s">
        <v>1016</v>
      </c>
      <c r="M329" s="279">
        <v>1010.5</v>
      </c>
      <c r="N329" s="278">
        <v>44204</v>
      </c>
      <c r="O329" s="329" t="s">
        <v>69</v>
      </c>
      <c r="P329" s="386">
        <f t="shared" ref="P329:Q329" si="326">IF(B329=0,0,IF(YEAR(B329)=$Q$1,MONTH(B329)-$P$1+1,(YEAR(B329)-$Q$1)*12-$P$1+1+MONTH(B329)))</f>
        <v>1</v>
      </c>
      <c r="Q329" s="330">
        <f t="shared" si="326"/>
        <v>-2</v>
      </c>
      <c r="R329" s="351" t="str">
        <f t="shared" si="3"/>
        <v>Gastos_custeados_por_captação</v>
      </c>
      <c r="S329" s="351" t="str">
        <f>IF(D329="","",IF(OR(D329=Plano!$A$1,D329=Plano!$B$1),"entrada","saída"))</f>
        <v>saída</v>
      </c>
      <c r="T329" s="334" t="s">
        <v>114</v>
      </c>
      <c r="U329" s="334" t="s">
        <v>114</v>
      </c>
      <c r="V329" s="344"/>
      <c r="W329" s="269"/>
    </row>
    <row r="330" spans="1:23" ht="224.25" customHeight="1" x14ac:dyDescent="0.2">
      <c r="A330" s="277">
        <f t="shared" si="0"/>
        <v>326</v>
      </c>
      <c r="B330" s="278">
        <v>44208</v>
      </c>
      <c r="C330" s="249">
        <v>44166</v>
      </c>
      <c r="D330" s="250" t="s">
        <v>99</v>
      </c>
      <c r="E330" s="250" t="s">
        <v>350</v>
      </c>
      <c r="F330" s="251">
        <v>1000</v>
      </c>
      <c r="G330" s="255" t="s">
        <v>2901</v>
      </c>
      <c r="H330" s="250" t="s">
        <v>133</v>
      </c>
      <c r="I330" s="250" t="s">
        <v>2902</v>
      </c>
      <c r="J330" s="250" t="s">
        <v>817</v>
      </c>
      <c r="K330" s="255" t="s">
        <v>1015</v>
      </c>
      <c r="L330" s="250" t="s">
        <v>1177</v>
      </c>
      <c r="M330" s="329" t="s">
        <v>114</v>
      </c>
      <c r="N330" s="329">
        <v>44207</v>
      </c>
      <c r="O330" s="329" t="s">
        <v>67</v>
      </c>
      <c r="P330" s="386">
        <f t="shared" ref="P330:Q330" si="327">IF(B330=0,0,IF(YEAR(B330)=$Q$1,MONTH(B330)-$P$1+1,(YEAR(B330)-$Q$1)*12-$P$1+1+MONTH(B330)))</f>
        <v>1</v>
      </c>
      <c r="Q330" s="330">
        <f t="shared" si="327"/>
        <v>0</v>
      </c>
      <c r="R330" s="351" t="str">
        <f t="shared" si="3"/>
        <v>Gastos_Gerais</v>
      </c>
      <c r="S330" s="351" t="str">
        <f>IF(D330="","",IF(OR(D330=Plano!$A$1,D330=Plano!$B$1),"entrada","saída"))</f>
        <v>saída</v>
      </c>
      <c r="T330" s="334" t="s">
        <v>994</v>
      </c>
      <c r="U330" s="334">
        <v>1051</v>
      </c>
      <c r="V330" s="344"/>
      <c r="W330" s="269"/>
    </row>
    <row r="331" spans="1:23" ht="226.5" customHeight="1" x14ac:dyDescent="0.2">
      <c r="A331" s="277">
        <f t="shared" si="0"/>
        <v>327</v>
      </c>
      <c r="B331" s="278">
        <v>44208</v>
      </c>
      <c r="C331" s="249">
        <v>44136</v>
      </c>
      <c r="D331" s="250" t="s">
        <v>99</v>
      </c>
      <c r="E331" s="250" t="s">
        <v>350</v>
      </c>
      <c r="F331" s="251">
        <v>1000</v>
      </c>
      <c r="G331" s="255" t="s">
        <v>2903</v>
      </c>
      <c r="H331" s="250" t="s">
        <v>133</v>
      </c>
      <c r="I331" s="250" t="s">
        <v>2904</v>
      </c>
      <c r="J331" s="250" t="s">
        <v>2905</v>
      </c>
      <c r="K331" s="255" t="s">
        <v>1015</v>
      </c>
      <c r="L331" s="250" t="s">
        <v>1177</v>
      </c>
      <c r="M331" s="329" t="s">
        <v>114</v>
      </c>
      <c r="N331" s="329">
        <v>44207</v>
      </c>
      <c r="O331" s="329" t="s">
        <v>67</v>
      </c>
      <c r="P331" s="386">
        <f t="shared" ref="P331:Q331" si="328">IF(B331=0,0,IF(YEAR(B331)=$Q$1,MONTH(B331)-$P$1+1,(YEAR(B331)-$Q$1)*12-$P$1+1+MONTH(B331)))</f>
        <v>1</v>
      </c>
      <c r="Q331" s="330">
        <f t="shared" si="328"/>
        <v>-1</v>
      </c>
      <c r="R331" s="351" t="str">
        <f t="shared" si="3"/>
        <v>Gastos_Gerais</v>
      </c>
      <c r="S331" s="351" t="str">
        <f>IF(D331="","",IF(OR(D331=Plano!$A$1,D331=Plano!$B$1),"entrada","saída"))</f>
        <v>saída</v>
      </c>
      <c r="T331" s="334" t="s">
        <v>994</v>
      </c>
      <c r="U331" s="334">
        <v>1049</v>
      </c>
      <c r="V331" s="344"/>
      <c r="W331" s="269"/>
    </row>
    <row r="332" spans="1:23" ht="189.75" customHeight="1" x14ac:dyDescent="0.2">
      <c r="A332" s="277">
        <f t="shared" si="0"/>
        <v>328</v>
      </c>
      <c r="B332" s="278">
        <v>44208</v>
      </c>
      <c r="C332" s="249">
        <v>44136</v>
      </c>
      <c r="D332" s="250" t="s">
        <v>99</v>
      </c>
      <c r="E332" s="250" t="s">
        <v>330</v>
      </c>
      <c r="F332" s="251">
        <v>1724.62</v>
      </c>
      <c r="G332" s="255" t="s">
        <v>2906</v>
      </c>
      <c r="H332" s="250" t="s">
        <v>130</v>
      </c>
      <c r="I332" s="250" t="s">
        <v>2907</v>
      </c>
      <c r="J332" s="250" t="s">
        <v>2908</v>
      </c>
      <c r="K332" s="255" t="s">
        <v>560</v>
      </c>
      <c r="L332" s="250" t="s">
        <v>1016</v>
      </c>
      <c r="M332" s="255">
        <v>143</v>
      </c>
      <c r="N332" s="278">
        <v>44188</v>
      </c>
      <c r="O332" s="329" t="s">
        <v>67</v>
      </c>
      <c r="P332" s="386">
        <f t="shared" ref="P332:Q332" si="329">IF(B332=0,0,IF(YEAR(B332)=$Q$1,MONTH(B332)-$P$1+1,(YEAR(B332)-$Q$1)*12-$P$1+1+MONTH(B332)))</f>
        <v>1</v>
      </c>
      <c r="Q332" s="330">
        <f t="shared" si="329"/>
        <v>-1</v>
      </c>
      <c r="R332" s="351" t="str">
        <f t="shared" si="3"/>
        <v>Gastos_Gerais</v>
      </c>
      <c r="S332" s="351" t="str">
        <f>IF(D332="","",IF(OR(D332=Plano!$A$1,D332=Plano!$B$1),"entrada","saída"))</f>
        <v>saída</v>
      </c>
      <c r="T332" s="334" t="s">
        <v>994</v>
      </c>
      <c r="U332" s="334">
        <v>1055</v>
      </c>
      <c r="V332" s="344"/>
      <c r="W332" s="269"/>
    </row>
    <row r="333" spans="1:23" ht="182.25" customHeight="1" x14ac:dyDescent="0.2">
      <c r="A333" s="277">
        <f t="shared" si="0"/>
        <v>329</v>
      </c>
      <c r="B333" s="278">
        <v>44208</v>
      </c>
      <c r="C333" s="256">
        <v>44197</v>
      </c>
      <c r="D333" s="255" t="s">
        <v>101</v>
      </c>
      <c r="E333" s="255" t="s">
        <v>393</v>
      </c>
      <c r="F333" s="258">
        <v>4199</v>
      </c>
      <c r="G333" s="255" t="s">
        <v>2909</v>
      </c>
      <c r="H333" s="255" t="s">
        <v>114</v>
      </c>
      <c r="I333" s="250" t="s">
        <v>2910</v>
      </c>
      <c r="J333" s="255" t="s">
        <v>2911</v>
      </c>
      <c r="K333" s="255" t="s">
        <v>560</v>
      </c>
      <c r="L333" s="250" t="s">
        <v>1016</v>
      </c>
      <c r="M333" s="255" t="s">
        <v>1387</v>
      </c>
      <c r="N333" s="278">
        <v>44209</v>
      </c>
      <c r="O333" s="329" t="s">
        <v>67</v>
      </c>
      <c r="P333" s="386">
        <f t="shared" ref="P333:Q333" si="330">IF(B333=0,0,IF(YEAR(B333)=$Q$1,MONTH(B333)-$P$1+1,(YEAR(B333)-$Q$1)*12-$P$1+1+MONTH(B333)))</f>
        <v>1</v>
      </c>
      <c r="Q333" s="330">
        <f t="shared" si="330"/>
        <v>1</v>
      </c>
      <c r="R333" s="351" t="str">
        <f t="shared" si="3"/>
        <v>Aquisição_de_Bens_Permanentes</v>
      </c>
      <c r="S333" s="351" t="str">
        <f>IF(D333="","",IF(OR(D333=Plano!$A$1,D333=Plano!$B$1),"entrada","saída"))</f>
        <v>saída</v>
      </c>
      <c r="T333" s="334" t="s">
        <v>1011</v>
      </c>
      <c r="U333" s="334">
        <v>1234</v>
      </c>
      <c r="V333" s="344"/>
      <c r="W333" s="269"/>
    </row>
    <row r="334" spans="1:23" ht="233.25" customHeight="1" x14ac:dyDescent="0.2">
      <c r="A334" s="277">
        <f t="shared" si="0"/>
        <v>330</v>
      </c>
      <c r="B334" s="278">
        <v>44209</v>
      </c>
      <c r="C334" s="249">
        <v>44136</v>
      </c>
      <c r="D334" s="250" t="s">
        <v>99</v>
      </c>
      <c r="E334" s="250" t="s">
        <v>358</v>
      </c>
      <c r="F334" s="251">
        <v>774</v>
      </c>
      <c r="G334" s="255" t="s">
        <v>2912</v>
      </c>
      <c r="H334" s="250" t="s">
        <v>128</v>
      </c>
      <c r="I334" s="250" t="s">
        <v>2913</v>
      </c>
      <c r="J334" s="250" t="s">
        <v>2914</v>
      </c>
      <c r="K334" s="255" t="s">
        <v>1015</v>
      </c>
      <c r="L334" s="250" t="s">
        <v>1029</v>
      </c>
      <c r="M334" s="255">
        <v>1017</v>
      </c>
      <c r="N334" s="278">
        <v>44202</v>
      </c>
      <c r="O334" s="329" t="s">
        <v>67</v>
      </c>
      <c r="P334" s="386">
        <f t="shared" ref="P334:Q334" si="331">IF(B334=0,0,IF(YEAR(B334)=$Q$1,MONTH(B334)-$P$1+1,(YEAR(B334)-$Q$1)*12-$P$1+1+MONTH(B334)))</f>
        <v>1</v>
      </c>
      <c r="Q334" s="330">
        <f t="shared" si="331"/>
        <v>-1</v>
      </c>
      <c r="R334" s="351" t="str">
        <f t="shared" si="3"/>
        <v>Gastos_Gerais</v>
      </c>
      <c r="S334" s="351" t="str">
        <f>IF(D334="","",IF(OR(D334=Plano!$A$1,D334=Plano!$B$1),"entrada","saída"))</f>
        <v>saída</v>
      </c>
      <c r="T334" s="334" t="s">
        <v>994</v>
      </c>
      <c r="U334" s="334">
        <v>879</v>
      </c>
      <c r="V334" s="344"/>
      <c r="W334" s="269"/>
    </row>
    <row r="335" spans="1:23" ht="207" customHeight="1" x14ac:dyDescent="0.2">
      <c r="A335" s="277">
        <f t="shared" si="0"/>
        <v>331</v>
      </c>
      <c r="B335" s="278">
        <v>44209</v>
      </c>
      <c r="C335" s="249">
        <v>44166</v>
      </c>
      <c r="D335" s="250" t="s">
        <v>99</v>
      </c>
      <c r="E335" s="250" t="s">
        <v>336</v>
      </c>
      <c r="F335" s="251">
        <v>2300</v>
      </c>
      <c r="G335" s="255" t="s">
        <v>2492</v>
      </c>
      <c r="H335" s="250" t="s">
        <v>117</v>
      </c>
      <c r="I335" s="250" t="s">
        <v>2915</v>
      </c>
      <c r="J335" s="250" t="s">
        <v>1648</v>
      </c>
      <c r="K335" s="255" t="s">
        <v>991</v>
      </c>
      <c r="L335" s="250" t="s">
        <v>1016</v>
      </c>
      <c r="M335" s="255">
        <v>146</v>
      </c>
      <c r="N335" s="278">
        <v>44207</v>
      </c>
      <c r="O335" s="329" t="s">
        <v>67</v>
      </c>
      <c r="P335" s="386">
        <f t="shared" ref="P335:Q335" si="332">IF(B335=0,0,IF(YEAR(B335)=$Q$1,MONTH(B335)-$P$1+1,(YEAR(B335)-$Q$1)*12-$P$1+1+MONTH(B335)))</f>
        <v>1</v>
      </c>
      <c r="Q335" s="330">
        <f t="shared" si="332"/>
        <v>0</v>
      </c>
      <c r="R335" s="351" t="str">
        <f t="shared" si="3"/>
        <v>Gastos_Gerais</v>
      </c>
      <c r="S335" s="351" t="str">
        <f>IF(D335="","",IF(OR(D335=Plano!$A$1,D335=Plano!$B$1),"entrada","saída"))</f>
        <v>saída</v>
      </c>
      <c r="T335" s="334" t="s">
        <v>994</v>
      </c>
      <c r="U335" s="334">
        <v>586</v>
      </c>
      <c r="V335" s="344"/>
      <c r="W335" s="269"/>
    </row>
    <row r="336" spans="1:23" ht="208.5" customHeight="1" x14ac:dyDescent="0.2">
      <c r="A336" s="277">
        <f t="shared" si="0"/>
        <v>332</v>
      </c>
      <c r="B336" s="278">
        <v>44209</v>
      </c>
      <c r="C336" s="249">
        <v>44166</v>
      </c>
      <c r="D336" s="250" t="s">
        <v>99</v>
      </c>
      <c r="E336" s="250" t="s">
        <v>350</v>
      </c>
      <c r="F336" s="251">
        <v>1000</v>
      </c>
      <c r="G336" s="255" t="s">
        <v>2916</v>
      </c>
      <c r="H336" s="250" t="s">
        <v>133</v>
      </c>
      <c r="I336" s="250" t="s">
        <v>2917</v>
      </c>
      <c r="J336" s="250" t="s">
        <v>2918</v>
      </c>
      <c r="K336" s="255" t="s">
        <v>991</v>
      </c>
      <c r="L336" s="250" t="s">
        <v>1177</v>
      </c>
      <c r="M336" s="255" t="s">
        <v>114</v>
      </c>
      <c r="N336" s="278">
        <v>44207</v>
      </c>
      <c r="O336" s="329" t="s">
        <v>67</v>
      </c>
      <c r="P336" s="386">
        <f t="shared" ref="P336:Q336" si="333">IF(B336=0,0,IF(YEAR(B336)=$Q$1,MONTH(B336)-$P$1+1,(YEAR(B336)-$Q$1)*12-$P$1+1+MONTH(B336)))</f>
        <v>1</v>
      </c>
      <c r="Q336" s="330">
        <f t="shared" si="333"/>
        <v>0</v>
      </c>
      <c r="R336" s="351" t="str">
        <f t="shared" si="3"/>
        <v>Gastos_Gerais</v>
      </c>
      <c r="S336" s="351" t="str">
        <f>IF(D336="","",IF(OR(D336=Plano!$A$1,D336=Plano!$B$1),"entrada","saída"))</f>
        <v>saída</v>
      </c>
      <c r="T336" s="334" t="s">
        <v>994</v>
      </c>
      <c r="U336" s="334">
        <v>1050</v>
      </c>
      <c r="V336" s="344"/>
      <c r="W336" s="269"/>
    </row>
    <row r="337" spans="1:23" ht="173.25" customHeight="1" x14ac:dyDescent="0.2">
      <c r="A337" s="277">
        <f t="shared" si="0"/>
        <v>333</v>
      </c>
      <c r="B337" s="278">
        <v>44209</v>
      </c>
      <c r="C337" s="249">
        <v>44105</v>
      </c>
      <c r="D337" s="250" t="s">
        <v>99</v>
      </c>
      <c r="E337" s="250" t="s">
        <v>364</v>
      </c>
      <c r="F337" s="251">
        <v>979.9</v>
      </c>
      <c r="G337" s="255" t="s">
        <v>2919</v>
      </c>
      <c r="H337" s="250" t="s">
        <v>132</v>
      </c>
      <c r="I337" s="250" t="s">
        <v>2920</v>
      </c>
      <c r="J337" s="250" t="s">
        <v>2921</v>
      </c>
      <c r="K337" s="255" t="s">
        <v>991</v>
      </c>
      <c r="L337" s="250" t="s">
        <v>1016</v>
      </c>
      <c r="M337" s="255" t="s">
        <v>1443</v>
      </c>
      <c r="N337" s="278">
        <v>44207</v>
      </c>
      <c r="O337" s="329" t="s">
        <v>67</v>
      </c>
      <c r="P337" s="386">
        <f t="shared" ref="P337:Q337" si="334">IF(B337=0,0,IF(YEAR(B337)=$Q$1,MONTH(B337)-$P$1+1,(YEAR(B337)-$Q$1)*12-$P$1+1+MONTH(B337)))</f>
        <v>1</v>
      </c>
      <c r="Q337" s="330">
        <f t="shared" si="334"/>
        <v>-2</v>
      </c>
      <c r="R337" s="351" t="str">
        <f t="shared" si="3"/>
        <v>Gastos_Gerais</v>
      </c>
      <c r="S337" s="351" t="str">
        <f>IF(D337="","",IF(OR(D337=Plano!$A$1,D337=Plano!$B$1),"entrada","saída"))</f>
        <v>saída</v>
      </c>
      <c r="T337" s="334" t="s">
        <v>994</v>
      </c>
      <c r="U337" s="334">
        <v>859</v>
      </c>
      <c r="V337" s="344"/>
      <c r="W337" s="269"/>
    </row>
    <row r="338" spans="1:23" ht="184.5" customHeight="1" x14ac:dyDescent="0.2">
      <c r="A338" s="277">
        <f t="shared" si="0"/>
        <v>334</v>
      </c>
      <c r="B338" s="278">
        <v>44209</v>
      </c>
      <c r="C338" s="249">
        <v>44166</v>
      </c>
      <c r="D338" s="250" t="s">
        <v>99</v>
      </c>
      <c r="E338" s="250" t="s">
        <v>336</v>
      </c>
      <c r="F338" s="251">
        <v>2300</v>
      </c>
      <c r="G338" s="255" t="s">
        <v>2486</v>
      </c>
      <c r="H338" s="250" t="s">
        <v>116</v>
      </c>
      <c r="I338" s="250" t="s">
        <v>2922</v>
      </c>
      <c r="J338" s="250" t="s">
        <v>2923</v>
      </c>
      <c r="K338" s="255" t="s">
        <v>991</v>
      </c>
      <c r="L338" s="250" t="s">
        <v>1016</v>
      </c>
      <c r="M338" s="255" t="s">
        <v>1305</v>
      </c>
      <c r="N338" s="278">
        <v>44209</v>
      </c>
      <c r="O338" s="329" t="s">
        <v>67</v>
      </c>
      <c r="P338" s="386">
        <f t="shared" ref="P338:Q338" si="335">IF(B338=0,0,IF(YEAR(B338)=$Q$1,MONTH(B338)-$P$1+1,(YEAR(B338)-$Q$1)*12-$P$1+1+MONTH(B338)))</f>
        <v>1</v>
      </c>
      <c r="Q338" s="330">
        <f t="shared" si="335"/>
        <v>0</v>
      </c>
      <c r="R338" s="351" t="str">
        <f t="shared" si="3"/>
        <v>Gastos_Gerais</v>
      </c>
      <c r="S338" s="351" t="str">
        <f>IF(D338="","",IF(OR(D338=Plano!$A$1,D338=Plano!$B$1),"entrada","saída"))</f>
        <v>saída</v>
      </c>
      <c r="T338" s="334" t="s">
        <v>994</v>
      </c>
      <c r="U338" s="334">
        <v>635</v>
      </c>
      <c r="V338" s="344"/>
      <c r="W338" s="269"/>
    </row>
    <row r="339" spans="1:23" ht="179.25" customHeight="1" x14ac:dyDescent="0.2">
      <c r="A339" s="277">
        <f t="shared" si="0"/>
        <v>335</v>
      </c>
      <c r="B339" s="278">
        <v>44209</v>
      </c>
      <c r="C339" s="249">
        <v>44166</v>
      </c>
      <c r="D339" s="250" t="s">
        <v>99</v>
      </c>
      <c r="E339" s="250" t="s">
        <v>336</v>
      </c>
      <c r="F339" s="251">
        <v>800</v>
      </c>
      <c r="G339" s="255" t="s">
        <v>2924</v>
      </c>
      <c r="H339" s="250" t="s">
        <v>131</v>
      </c>
      <c r="I339" s="250" t="s">
        <v>2925</v>
      </c>
      <c r="J339" s="250" t="s">
        <v>2926</v>
      </c>
      <c r="K339" s="255" t="s">
        <v>991</v>
      </c>
      <c r="L339" s="250" t="s">
        <v>1016</v>
      </c>
      <c r="M339" s="250">
        <v>122</v>
      </c>
      <c r="N339" s="329">
        <v>44208</v>
      </c>
      <c r="O339" s="329" t="s">
        <v>67</v>
      </c>
      <c r="P339" s="386">
        <f t="shared" ref="P339:Q339" si="336">IF(B339=0,0,IF(YEAR(B339)=$Q$1,MONTH(B339)-$P$1+1,(YEAR(B339)-$Q$1)*12-$P$1+1+MONTH(B339)))</f>
        <v>1</v>
      </c>
      <c r="Q339" s="330">
        <f t="shared" si="336"/>
        <v>0</v>
      </c>
      <c r="R339" s="351" t="str">
        <f t="shared" si="3"/>
        <v>Gastos_Gerais</v>
      </c>
      <c r="S339" s="351" t="str">
        <f>IF(D339="","",IF(OR(D339=Plano!$A$1,D339=Plano!$B$1),"entrada","saída"))</f>
        <v>saída</v>
      </c>
      <c r="T339" s="334" t="s">
        <v>994</v>
      </c>
      <c r="U339" s="334">
        <v>1060</v>
      </c>
      <c r="V339" s="344"/>
      <c r="W339" s="269"/>
    </row>
    <row r="340" spans="1:23" ht="216.75" customHeight="1" x14ac:dyDescent="0.2">
      <c r="A340" s="277">
        <f t="shared" si="0"/>
        <v>336</v>
      </c>
      <c r="B340" s="278">
        <v>44209</v>
      </c>
      <c r="C340" s="249">
        <v>44166</v>
      </c>
      <c r="D340" s="250" t="s">
        <v>99</v>
      </c>
      <c r="E340" s="250" t="s">
        <v>352</v>
      </c>
      <c r="F340" s="251">
        <v>3365.6</v>
      </c>
      <c r="G340" s="255" t="s">
        <v>2927</v>
      </c>
      <c r="H340" s="250" t="s">
        <v>116</v>
      </c>
      <c r="I340" s="250" t="s">
        <v>2928</v>
      </c>
      <c r="J340" s="250" t="s">
        <v>2929</v>
      </c>
      <c r="K340" s="255" t="s">
        <v>991</v>
      </c>
      <c r="L340" s="250" t="s">
        <v>1016</v>
      </c>
      <c r="M340" s="255">
        <v>857</v>
      </c>
      <c r="N340" s="278">
        <v>44207</v>
      </c>
      <c r="O340" s="329" t="s">
        <v>67</v>
      </c>
      <c r="P340" s="386">
        <f t="shared" ref="P340:Q340" si="337">IF(B340=0,0,IF(YEAR(B340)=$Q$1,MONTH(B340)-$P$1+1,(YEAR(B340)-$Q$1)*12-$P$1+1+MONTH(B340)))</f>
        <v>1</v>
      </c>
      <c r="Q340" s="330">
        <f t="shared" si="337"/>
        <v>0</v>
      </c>
      <c r="R340" s="351" t="str">
        <f t="shared" si="3"/>
        <v>Gastos_Gerais</v>
      </c>
      <c r="S340" s="351" t="str">
        <f>IF(D340="","",IF(OR(D340=Plano!$A$1,D340=Plano!$B$1),"entrada","saída"))</f>
        <v>saída</v>
      </c>
      <c r="T340" s="334" t="s">
        <v>994</v>
      </c>
      <c r="U340" s="334">
        <v>1007</v>
      </c>
      <c r="V340" s="344"/>
      <c r="W340" s="269"/>
    </row>
    <row r="341" spans="1:23" ht="69.75" customHeight="1" x14ac:dyDescent="0.2">
      <c r="A341" s="277">
        <f t="shared" si="0"/>
        <v>337</v>
      </c>
      <c r="B341" s="278">
        <v>44209</v>
      </c>
      <c r="C341" s="249">
        <v>44197</v>
      </c>
      <c r="D341" s="255" t="s">
        <v>99</v>
      </c>
      <c r="E341" s="255" t="s">
        <v>272</v>
      </c>
      <c r="F341" s="258">
        <v>10.45</v>
      </c>
      <c r="G341" s="255" t="s">
        <v>2930</v>
      </c>
      <c r="H341" s="250" t="s">
        <v>117</v>
      </c>
      <c r="I341" s="250" t="s">
        <v>949</v>
      </c>
      <c r="J341" s="255" t="s">
        <v>950</v>
      </c>
      <c r="K341" s="255" t="s">
        <v>951</v>
      </c>
      <c r="L341" s="250" t="s">
        <v>947</v>
      </c>
      <c r="M341" s="279" t="s">
        <v>114</v>
      </c>
      <c r="N341" s="278">
        <v>44209</v>
      </c>
      <c r="O341" s="329" t="s">
        <v>67</v>
      </c>
      <c r="P341" s="386">
        <f t="shared" ref="P341:Q341" si="338">IF(B341=0,0,IF(YEAR(B341)=$Q$1,MONTH(B341)-$P$1+1,(YEAR(B341)-$Q$1)*12-$P$1+1+MONTH(B341)))</f>
        <v>1</v>
      </c>
      <c r="Q341" s="330">
        <f t="shared" si="338"/>
        <v>1</v>
      </c>
      <c r="R341" s="351" t="str">
        <f t="shared" si="3"/>
        <v>Gastos_Gerais</v>
      </c>
      <c r="S341" s="351" t="str">
        <f>IF(D341="","",IF(OR(D341=Plano!$A$1,D341=Plano!$B$1),"entrada","saída"))</f>
        <v>saída</v>
      </c>
      <c r="T341" s="334" t="s">
        <v>114</v>
      </c>
      <c r="U341" s="334" t="s">
        <v>114</v>
      </c>
      <c r="V341" s="344"/>
      <c r="W341" s="269"/>
    </row>
    <row r="342" spans="1:23" ht="69.75" customHeight="1" x14ac:dyDescent="0.2">
      <c r="A342" s="277">
        <f t="shared" si="0"/>
        <v>338</v>
      </c>
      <c r="B342" s="278">
        <v>44209</v>
      </c>
      <c r="C342" s="249">
        <v>44197</v>
      </c>
      <c r="D342" s="255" t="s">
        <v>99</v>
      </c>
      <c r="E342" s="255" t="s">
        <v>272</v>
      </c>
      <c r="F342" s="258">
        <v>10.45</v>
      </c>
      <c r="G342" s="255" t="s">
        <v>2931</v>
      </c>
      <c r="H342" s="250" t="s">
        <v>133</v>
      </c>
      <c r="I342" s="250" t="s">
        <v>949</v>
      </c>
      <c r="J342" s="255" t="s">
        <v>950</v>
      </c>
      <c r="K342" s="255" t="s">
        <v>951</v>
      </c>
      <c r="L342" s="250" t="s">
        <v>947</v>
      </c>
      <c r="M342" s="279" t="s">
        <v>114</v>
      </c>
      <c r="N342" s="278">
        <v>44209</v>
      </c>
      <c r="O342" s="329" t="s">
        <v>67</v>
      </c>
      <c r="P342" s="386">
        <f t="shared" ref="P342:Q342" si="339">IF(B342=0,0,IF(YEAR(B342)=$Q$1,MONTH(B342)-$P$1+1,(YEAR(B342)-$Q$1)*12-$P$1+1+MONTH(B342)))</f>
        <v>1</v>
      </c>
      <c r="Q342" s="330">
        <f t="shared" si="339"/>
        <v>1</v>
      </c>
      <c r="R342" s="351" t="str">
        <f t="shared" si="3"/>
        <v>Gastos_Gerais</v>
      </c>
      <c r="S342" s="351" t="str">
        <f>IF(D342="","",IF(OR(D342=Plano!$A$1,D342=Plano!$B$1),"entrada","saída"))</f>
        <v>saída</v>
      </c>
      <c r="T342" s="334" t="s">
        <v>114</v>
      </c>
      <c r="U342" s="334" t="s">
        <v>114</v>
      </c>
      <c r="V342" s="344"/>
      <c r="W342" s="269"/>
    </row>
    <row r="343" spans="1:23" ht="69.75" customHeight="1" x14ac:dyDescent="0.2">
      <c r="A343" s="277">
        <f t="shared" si="0"/>
        <v>339</v>
      </c>
      <c r="B343" s="278">
        <v>44209</v>
      </c>
      <c r="C343" s="249">
        <v>44197</v>
      </c>
      <c r="D343" s="255" t="s">
        <v>99</v>
      </c>
      <c r="E343" s="255" t="s">
        <v>272</v>
      </c>
      <c r="F343" s="258">
        <v>10.45</v>
      </c>
      <c r="G343" s="255" t="s">
        <v>2932</v>
      </c>
      <c r="H343" s="250" t="s">
        <v>132</v>
      </c>
      <c r="I343" s="250" t="s">
        <v>949</v>
      </c>
      <c r="J343" s="255" t="s">
        <v>950</v>
      </c>
      <c r="K343" s="255" t="s">
        <v>951</v>
      </c>
      <c r="L343" s="250" t="s">
        <v>947</v>
      </c>
      <c r="M343" s="279" t="s">
        <v>114</v>
      </c>
      <c r="N343" s="278">
        <v>44209</v>
      </c>
      <c r="O343" s="329" t="s">
        <v>67</v>
      </c>
      <c r="P343" s="386">
        <f t="shared" ref="P343:Q343" si="340">IF(B343=0,0,IF(YEAR(B343)=$Q$1,MONTH(B343)-$P$1+1,(YEAR(B343)-$Q$1)*12-$P$1+1+MONTH(B343)))</f>
        <v>1</v>
      </c>
      <c r="Q343" s="330">
        <f t="shared" si="340"/>
        <v>1</v>
      </c>
      <c r="R343" s="351" t="str">
        <f t="shared" si="3"/>
        <v>Gastos_Gerais</v>
      </c>
      <c r="S343" s="351" t="str">
        <f>IF(D343="","",IF(OR(D343=Plano!$A$1,D343=Plano!$B$1),"entrada","saída"))</f>
        <v>saída</v>
      </c>
      <c r="T343" s="334" t="s">
        <v>114</v>
      </c>
      <c r="U343" s="334" t="s">
        <v>114</v>
      </c>
      <c r="V343" s="344"/>
      <c r="W343" s="269"/>
    </row>
    <row r="344" spans="1:23" ht="69.75" customHeight="1" x14ac:dyDescent="0.2">
      <c r="A344" s="277">
        <f t="shared" si="0"/>
        <v>340</v>
      </c>
      <c r="B344" s="278">
        <v>44209</v>
      </c>
      <c r="C344" s="249">
        <v>44197</v>
      </c>
      <c r="D344" s="255" t="s">
        <v>99</v>
      </c>
      <c r="E344" s="255" t="s">
        <v>272</v>
      </c>
      <c r="F344" s="258">
        <v>10.45</v>
      </c>
      <c r="G344" s="255" t="s">
        <v>2933</v>
      </c>
      <c r="H344" s="250" t="s">
        <v>131</v>
      </c>
      <c r="I344" s="250" t="s">
        <v>949</v>
      </c>
      <c r="J344" s="255" t="s">
        <v>950</v>
      </c>
      <c r="K344" s="255" t="s">
        <v>951</v>
      </c>
      <c r="L344" s="250" t="s">
        <v>947</v>
      </c>
      <c r="M344" s="279" t="s">
        <v>114</v>
      </c>
      <c r="N344" s="278">
        <v>44209</v>
      </c>
      <c r="O344" s="329" t="s">
        <v>67</v>
      </c>
      <c r="P344" s="386">
        <f t="shared" ref="P344:Q344" si="341">IF(B344=0,0,IF(YEAR(B344)=$Q$1,MONTH(B344)-$P$1+1,(YEAR(B344)-$Q$1)*12-$P$1+1+MONTH(B344)))</f>
        <v>1</v>
      </c>
      <c r="Q344" s="330">
        <f t="shared" si="341"/>
        <v>1</v>
      </c>
      <c r="R344" s="351" t="str">
        <f t="shared" si="3"/>
        <v>Gastos_Gerais</v>
      </c>
      <c r="S344" s="351" t="str">
        <f>IF(D344="","",IF(OR(D344=Plano!$A$1,D344=Plano!$B$1),"entrada","saída"))</f>
        <v>saída</v>
      </c>
      <c r="T344" s="334" t="s">
        <v>114</v>
      </c>
      <c r="U344" s="334" t="s">
        <v>114</v>
      </c>
      <c r="V344" s="344"/>
      <c r="W344" s="269"/>
    </row>
    <row r="345" spans="1:23" ht="69.75" customHeight="1" x14ac:dyDescent="0.2">
      <c r="A345" s="277">
        <f t="shared" si="0"/>
        <v>341</v>
      </c>
      <c r="B345" s="278">
        <v>44209</v>
      </c>
      <c r="C345" s="249">
        <v>44197</v>
      </c>
      <c r="D345" s="255" t="s">
        <v>99</v>
      </c>
      <c r="E345" s="255" t="s">
        <v>272</v>
      </c>
      <c r="F345" s="258">
        <v>10.45</v>
      </c>
      <c r="G345" s="255" t="s">
        <v>2934</v>
      </c>
      <c r="H345" s="250" t="s">
        <v>116</v>
      </c>
      <c r="I345" s="250" t="s">
        <v>949</v>
      </c>
      <c r="J345" s="255" t="s">
        <v>950</v>
      </c>
      <c r="K345" s="255" t="s">
        <v>951</v>
      </c>
      <c r="L345" s="250" t="s">
        <v>947</v>
      </c>
      <c r="M345" s="279" t="s">
        <v>114</v>
      </c>
      <c r="N345" s="278">
        <v>44209</v>
      </c>
      <c r="O345" s="329" t="s">
        <v>67</v>
      </c>
      <c r="P345" s="386">
        <f t="shared" ref="P345:Q345" si="342">IF(B345=0,0,IF(YEAR(B345)=$Q$1,MONTH(B345)-$P$1+1,(YEAR(B345)-$Q$1)*12-$P$1+1+MONTH(B345)))</f>
        <v>1</v>
      </c>
      <c r="Q345" s="330">
        <f t="shared" si="342"/>
        <v>1</v>
      </c>
      <c r="R345" s="351" t="str">
        <f t="shared" si="3"/>
        <v>Gastos_Gerais</v>
      </c>
      <c r="S345" s="351" t="str">
        <f>IF(D345="","",IF(OR(D345=Plano!$A$1,D345=Plano!$B$1),"entrada","saída"))</f>
        <v>saída</v>
      </c>
      <c r="T345" s="334" t="s">
        <v>114</v>
      </c>
      <c r="U345" s="334" t="s">
        <v>114</v>
      </c>
      <c r="V345" s="344"/>
      <c r="W345" s="269"/>
    </row>
    <row r="346" spans="1:23" ht="69.75" customHeight="1" x14ac:dyDescent="0.2">
      <c r="A346" s="277">
        <f t="shared" si="0"/>
        <v>342</v>
      </c>
      <c r="B346" s="278">
        <v>44209</v>
      </c>
      <c r="C346" s="249">
        <v>44197</v>
      </c>
      <c r="D346" s="255" t="s">
        <v>99</v>
      </c>
      <c r="E346" s="255" t="s">
        <v>272</v>
      </c>
      <c r="F346" s="258">
        <v>10.45</v>
      </c>
      <c r="G346" s="255" t="s">
        <v>2935</v>
      </c>
      <c r="H346" s="250" t="s">
        <v>116</v>
      </c>
      <c r="I346" s="250" t="s">
        <v>949</v>
      </c>
      <c r="J346" s="255" t="s">
        <v>950</v>
      </c>
      <c r="K346" s="255" t="s">
        <v>951</v>
      </c>
      <c r="L346" s="250" t="s">
        <v>947</v>
      </c>
      <c r="M346" s="279" t="s">
        <v>114</v>
      </c>
      <c r="N346" s="278">
        <v>44209</v>
      </c>
      <c r="O346" s="329" t="s">
        <v>67</v>
      </c>
      <c r="P346" s="386">
        <f t="shared" ref="P346:Q346" si="343">IF(B346=0,0,IF(YEAR(B346)=$Q$1,MONTH(B346)-$P$1+1,(YEAR(B346)-$Q$1)*12-$P$1+1+MONTH(B346)))</f>
        <v>1</v>
      </c>
      <c r="Q346" s="330">
        <f t="shared" si="343"/>
        <v>1</v>
      </c>
      <c r="R346" s="351" t="str">
        <f t="shared" si="3"/>
        <v>Gastos_Gerais</v>
      </c>
      <c r="S346" s="351" t="str">
        <f>IF(D346="","",IF(OR(D346=Plano!$A$1,D346=Plano!$B$1),"entrada","saída"))</f>
        <v>saída</v>
      </c>
      <c r="T346" s="334" t="s">
        <v>114</v>
      </c>
      <c r="U346" s="334" t="s">
        <v>114</v>
      </c>
      <c r="V346" s="344"/>
      <c r="W346" s="269"/>
    </row>
    <row r="347" spans="1:23" ht="125.25" customHeight="1" x14ac:dyDescent="0.2">
      <c r="A347" s="277">
        <f t="shared" si="0"/>
        <v>343</v>
      </c>
      <c r="B347" s="278">
        <v>44209</v>
      </c>
      <c r="C347" s="249">
        <v>44166</v>
      </c>
      <c r="D347" s="250" t="s">
        <v>104</v>
      </c>
      <c r="E347" s="250" t="s">
        <v>104</v>
      </c>
      <c r="F347" s="258">
        <v>840</v>
      </c>
      <c r="G347" s="255" t="s">
        <v>2936</v>
      </c>
      <c r="H347" s="250" t="s">
        <v>104</v>
      </c>
      <c r="I347" s="250" t="s">
        <v>2811</v>
      </c>
      <c r="J347" s="255" t="s">
        <v>2812</v>
      </c>
      <c r="K347" s="250" t="s">
        <v>1015</v>
      </c>
      <c r="L347" s="250" t="s">
        <v>1029</v>
      </c>
      <c r="M347" s="279">
        <v>1009</v>
      </c>
      <c r="N347" s="278">
        <v>44207</v>
      </c>
      <c r="O347" s="329" t="s">
        <v>68</v>
      </c>
      <c r="P347" s="386">
        <f t="shared" ref="P347:Q347" si="344">IF(B347=0,0,IF(YEAR(B347)=$Q$1,MONTH(B347)-$P$1+1,(YEAR(B347)-$Q$1)*12-$P$1+1+MONTH(B347)))</f>
        <v>1</v>
      </c>
      <c r="Q347" s="330">
        <f t="shared" si="344"/>
        <v>0</v>
      </c>
      <c r="R347" s="351" t="str">
        <f t="shared" si="3"/>
        <v>Gastos_custeados_por_captação</v>
      </c>
      <c r="S347" s="351" t="str">
        <f>IF(D347="","",IF(OR(D347=Plano!$A$1,D347=Plano!$B$1),"entrada","saída"))</f>
        <v>saída</v>
      </c>
      <c r="T347" s="334" t="s">
        <v>114</v>
      </c>
      <c r="U347" s="334" t="s">
        <v>114</v>
      </c>
      <c r="V347" s="344"/>
      <c r="W347" s="269"/>
    </row>
    <row r="348" spans="1:23" ht="228" customHeight="1" x14ac:dyDescent="0.2">
      <c r="A348" s="277">
        <f t="shared" si="0"/>
        <v>344</v>
      </c>
      <c r="B348" s="278">
        <v>44209</v>
      </c>
      <c r="C348" s="249">
        <v>44166</v>
      </c>
      <c r="D348" s="250" t="s">
        <v>104</v>
      </c>
      <c r="E348" s="250" t="s">
        <v>104</v>
      </c>
      <c r="F348" s="251">
        <v>630</v>
      </c>
      <c r="G348" s="255" t="s">
        <v>2937</v>
      </c>
      <c r="H348" s="250" t="s">
        <v>104</v>
      </c>
      <c r="I348" s="250" t="s">
        <v>2938</v>
      </c>
      <c r="J348" s="250" t="s">
        <v>2939</v>
      </c>
      <c r="K348" s="250" t="s">
        <v>1015</v>
      </c>
      <c r="L348" s="250" t="s">
        <v>2940</v>
      </c>
      <c r="M348" s="279">
        <v>1010.5</v>
      </c>
      <c r="N348" s="278">
        <v>44207</v>
      </c>
      <c r="O348" s="329" t="s">
        <v>69</v>
      </c>
      <c r="P348" s="386">
        <f t="shared" ref="P348:Q348" si="345">IF(B348=0,0,IF(YEAR(B348)=$Q$1,MONTH(B348)-$P$1+1,(YEAR(B348)-$Q$1)*12-$P$1+1+MONTH(B348)))</f>
        <v>1</v>
      </c>
      <c r="Q348" s="330">
        <f t="shared" si="345"/>
        <v>0</v>
      </c>
      <c r="R348" s="351" t="str">
        <f t="shared" si="3"/>
        <v>Gastos_custeados_por_captação</v>
      </c>
      <c r="S348" s="351" t="str">
        <f>IF(D348="","",IF(OR(D348=Plano!$A$1,D348=Plano!$B$1),"entrada","saída"))</f>
        <v>saída</v>
      </c>
      <c r="T348" s="334" t="s">
        <v>114</v>
      </c>
      <c r="U348" s="334" t="s">
        <v>114</v>
      </c>
      <c r="V348" s="344"/>
      <c r="W348" s="269"/>
    </row>
    <row r="349" spans="1:23" ht="122.25" customHeight="1" x14ac:dyDescent="0.2">
      <c r="A349" s="277">
        <f t="shared" si="0"/>
        <v>345</v>
      </c>
      <c r="B349" s="278">
        <v>44209</v>
      </c>
      <c r="C349" s="249">
        <v>44105</v>
      </c>
      <c r="D349" s="250" t="s">
        <v>104</v>
      </c>
      <c r="E349" s="250" t="s">
        <v>104</v>
      </c>
      <c r="F349" s="251">
        <v>7349.25</v>
      </c>
      <c r="G349" s="255" t="s">
        <v>2941</v>
      </c>
      <c r="H349" s="250" t="s">
        <v>104</v>
      </c>
      <c r="I349" s="250" t="s">
        <v>2942</v>
      </c>
      <c r="J349" s="250" t="s">
        <v>581</v>
      </c>
      <c r="K349" s="250" t="s">
        <v>1015</v>
      </c>
      <c r="L349" s="250" t="s">
        <v>1016</v>
      </c>
      <c r="M349" s="255" t="s">
        <v>1305</v>
      </c>
      <c r="N349" s="278">
        <v>44204</v>
      </c>
      <c r="O349" s="329" t="s">
        <v>70</v>
      </c>
      <c r="P349" s="386">
        <f t="shared" ref="P349:Q349" si="346">IF(B349=0,0,IF(YEAR(B349)=$Q$1,MONTH(B349)-$P$1+1,(YEAR(B349)-$Q$1)*12-$P$1+1+MONTH(B349)))</f>
        <v>1</v>
      </c>
      <c r="Q349" s="330">
        <f t="shared" si="346"/>
        <v>-2</v>
      </c>
      <c r="R349" s="351" t="str">
        <f t="shared" si="3"/>
        <v>Gastos_custeados_por_captação</v>
      </c>
      <c r="S349" s="351" t="str">
        <f>IF(D349="","",IF(OR(D349=Plano!$A$1,D349=Plano!$B$1),"entrada","saída"))</f>
        <v>saída</v>
      </c>
      <c r="T349" s="334" t="s">
        <v>114</v>
      </c>
      <c r="U349" s="334" t="s">
        <v>114</v>
      </c>
      <c r="V349" s="344"/>
      <c r="W349" s="269"/>
    </row>
    <row r="350" spans="1:23" ht="69.75" customHeight="1" x14ac:dyDescent="0.2">
      <c r="A350" s="277">
        <f t="shared" si="0"/>
        <v>346</v>
      </c>
      <c r="B350" s="278">
        <v>44210</v>
      </c>
      <c r="C350" s="256">
        <v>44136</v>
      </c>
      <c r="D350" s="255" t="s">
        <v>77</v>
      </c>
      <c r="E350" s="255" t="s">
        <v>79</v>
      </c>
      <c r="F350" s="258">
        <v>277849.84999999998</v>
      </c>
      <c r="G350" s="255" t="s">
        <v>2943</v>
      </c>
      <c r="H350" s="255" t="s">
        <v>114</v>
      </c>
      <c r="I350" s="250" t="s">
        <v>983</v>
      </c>
      <c r="J350" s="255" t="s">
        <v>850</v>
      </c>
      <c r="K350" s="255" t="s">
        <v>946</v>
      </c>
      <c r="L350" s="250" t="s">
        <v>947</v>
      </c>
      <c r="M350" s="255" t="s">
        <v>114</v>
      </c>
      <c r="N350" s="278">
        <v>44210</v>
      </c>
      <c r="O350" s="329" t="s">
        <v>67</v>
      </c>
      <c r="P350" s="386">
        <f t="shared" ref="P350:Q350" si="347">IF(B350=0,0,IF(YEAR(B350)=$Q$1,MONTH(B350)-$P$1+1,(YEAR(B350)-$Q$1)*12-$P$1+1+MONTH(B350)))</f>
        <v>1</v>
      </c>
      <c r="Q350" s="330">
        <f t="shared" si="347"/>
        <v>-1</v>
      </c>
      <c r="R350" s="351" t="str">
        <f t="shared" si="3"/>
        <v>Receitas</v>
      </c>
      <c r="S350" s="351" t="str">
        <f>IF(D350="","",IF(OR(D350=Plano!$A$1,D350=Plano!$B$1),"entrada","saída"))</f>
        <v>entrada</v>
      </c>
      <c r="T350" s="334" t="s">
        <v>114</v>
      </c>
      <c r="U350" s="334" t="s">
        <v>114</v>
      </c>
      <c r="V350" s="344"/>
      <c r="W350" s="269"/>
    </row>
    <row r="351" spans="1:23" ht="69.75" customHeight="1" x14ac:dyDescent="0.2">
      <c r="A351" s="277">
        <f t="shared" si="0"/>
        <v>347</v>
      </c>
      <c r="B351" s="278">
        <v>44210</v>
      </c>
      <c r="C351" s="256">
        <v>44136</v>
      </c>
      <c r="D351" s="255" t="s">
        <v>77</v>
      </c>
      <c r="E351" s="255" t="s">
        <v>79</v>
      </c>
      <c r="F351" s="258">
        <v>248761.75</v>
      </c>
      <c r="G351" s="255" t="s">
        <v>2943</v>
      </c>
      <c r="H351" s="255" t="s">
        <v>114</v>
      </c>
      <c r="I351" s="250" t="s">
        <v>983</v>
      </c>
      <c r="J351" s="255" t="s">
        <v>850</v>
      </c>
      <c r="K351" s="255" t="s">
        <v>946</v>
      </c>
      <c r="L351" s="250" t="s">
        <v>947</v>
      </c>
      <c r="M351" s="255" t="s">
        <v>114</v>
      </c>
      <c r="N351" s="278">
        <v>44210</v>
      </c>
      <c r="O351" s="329" t="s">
        <v>67</v>
      </c>
      <c r="P351" s="386">
        <f t="shared" ref="P351:Q351" si="348">IF(B351=0,0,IF(YEAR(B351)=$Q$1,MONTH(B351)-$P$1+1,(YEAR(B351)-$Q$1)*12-$P$1+1+MONTH(B351)))</f>
        <v>1</v>
      </c>
      <c r="Q351" s="330">
        <f t="shared" si="348"/>
        <v>-1</v>
      </c>
      <c r="R351" s="351" t="str">
        <f t="shared" si="3"/>
        <v>Receitas</v>
      </c>
      <c r="S351" s="351" t="str">
        <f>IF(D351="","",IF(OR(D351=Plano!$A$1,D351=Plano!$B$1),"entrada","saída"))</f>
        <v>entrada</v>
      </c>
      <c r="T351" s="334" t="s">
        <v>114</v>
      </c>
      <c r="U351" s="334" t="s">
        <v>114</v>
      </c>
      <c r="V351" s="344"/>
      <c r="W351" s="269"/>
    </row>
    <row r="352" spans="1:23" ht="69.75" customHeight="1" x14ac:dyDescent="0.2">
      <c r="A352" s="277">
        <f t="shared" si="0"/>
        <v>348</v>
      </c>
      <c r="B352" s="278">
        <v>44210</v>
      </c>
      <c r="C352" s="256">
        <v>44136</v>
      </c>
      <c r="D352" s="255" t="s">
        <v>77</v>
      </c>
      <c r="E352" s="255" t="s">
        <v>79</v>
      </c>
      <c r="F352" s="258">
        <v>173747.74</v>
      </c>
      <c r="G352" s="255" t="s">
        <v>2943</v>
      </c>
      <c r="H352" s="255" t="s">
        <v>114</v>
      </c>
      <c r="I352" s="250" t="s">
        <v>983</v>
      </c>
      <c r="J352" s="255" t="s">
        <v>850</v>
      </c>
      <c r="K352" s="255" t="s">
        <v>946</v>
      </c>
      <c r="L352" s="250" t="s">
        <v>947</v>
      </c>
      <c r="M352" s="255" t="s">
        <v>114</v>
      </c>
      <c r="N352" s="278">
        <v>44210</v>
      </c>
      <c r="O352" s="329" t="s">
        <v>67</v>
      </c>
      <c r="P352" s="386">
        <f t="shared" ref="P352:Q352" si="349">IF(B352=0,0,IF(YEAR(B352)=$Q$1,MONTH(B352)-$P$1+1,(YEAR(B352)-$Q$1)*12-$P$1+1+MONTH(B352)))</f>
        <v>1</v>
      </c>
      <c r="Q352" s="330">
        <f t="shared" si="349"/>
        <v>-1</v>
      </c>
      <c r="R352" s="351" t="str">
        <f t="shared" si="3"/>
        <v>Receitas</v>
      </c>
      <c r="S352" s="351" t="str">
        <f>IF(D352="","",IF(OR(D352=Plano!$A$1,D352=Plano!$B$1),"entrada","saída"))</f>
        <v>entrada</v>
      </c>
      <c r="T352" s="334" t="s">
        <v>114</v>
      </c>
      <c r="U352" s="334" t="s">
        <v>114</v>
      </c>
      <c r="V352" s="344"/>
      <c r="W352" s="269"/>
    </row>
    <row r="353" spans="1:23" ht="177" customHeight="1" x14ac:dyDescent="0.2">
      <c r="A353" s="277">
        <f t="shared" si="0"/>
        <v>349</v>
      </c>
      <c r="B353" s="278">
        <v>44210</v>
      </c>
      <c r="C353" s="249">
        <v>44197</v>
      </c>
      <c r="D353" s="250" t="s">
        <v>99</v>
      </c>
      <c r="E353" s="250" t="s">
        <v>358</v>
      </c>
      <c r="F353" s="251">
        <v>615.72</v>
      </c>
      <c r="G353" s="255" t="s">
        <v>2483</v>
      </c>
      <c r="H353" s="250" t="s">
        <v>131</v>
      </c>
      <c r="I353" s="250" t="s">
        <v>2484</v>
      </c>
      <c r="J353" s="250" t="s">
        <v>2485</v>
      </c>
      <c r="K353" s="255" t="s">
        <v>1015</v>
      </c>
      <c r="L353" s="250" t="s">
        <v>1029</v>
      </c>
      <c r="M353" s="255">
        <v>1034</v>
      </c>
      <c r="N353" s="278">
        <v>44209</v>
      </c>
      <c r="O353" s="329" t="s">
        <v>67</v>
      </c>
      <c r="P353" s="386">
        <f t="shared" ref="P353:Q353" si="350">IF(B353=0,0,IF(YEAR(B353)=$Q$1,MONTH(B353)-$P$1+1,(YEAR(B353)-$Q$1)*12-$P$1+1+MONTH(B353)))</f>
        <v>1</v>
      </c>
      <c r="Q353" s="330">
        <f t="shared" si="350"/>
        <v>1</v>
      </c>
      <c r="R353" s="351" t="str">
        <f t="shared" si="3"/>
        <v>Gastos_Gerais</v>
      </c>
      <c r="S353" s="351" t="str">
        <f>IF(D353="","",IF(OR(D353=Plano!$A$1,D353=Plano!$B$1),"entrada","saída"))</f>
        <v>saída</v>
      </c>
      <c r="T353" s="334" t="s">
        <v>1059</v>
      </c>
      <c r="U353" s="334">
        <v>840</v>
      </c>
      <c r="V353" s="344"/>
      <c r="W353" s="269"/>
    </row>
    <row r="354" spans="1:23" ht="180" customHeight="1" x14ac:dyDescent="0.2">
      <c r="A354" s="277">
        <f t="shared" si="0"/>
        <v>350</v>
      </c>
      <c r="B354" s="278">
        <v>44210</v>
      </c>
      <c r="C354" s="249">
        <v>44166</v>
      </c>
      <c r="D354" s="250" t="s">
        <v>99</v>
      </c>
      <c r="E354" s="250" t="s">
        <v>254</v>
      </c>
      <c r="F354" s="251">
        <v>506.66</v>
      </c>
      <c r="G354" s="255" t="s">
        <v>2944</v>
      </c>
      <c r="H354" s="250" t="s">
        <v>115</v>
      </c>
      <c r="I354" s="250" t="s">
        <v>1376</v>
      </c>
      <c r="J354" s="250" t="s">
        <v>2945</v>
      </c>
      <c r="K354" s="255" t="s">
        <v>560</v>
      </c>
      <c r="L354" s="250" t="s">
        <v>1378</v>
      </c>
      <c r="M354" s="255" t="s">
        <v>2946</v>
      </c>
      <c r="N354" s="278">
        <v>44200</v>
      </c>
      <c r="O354" s="329" t="s">
        <v>67</v>
      </c>
      <c r="P354" s="386">
        <f t="shared" ref="P354:Q354" si="351">IF(B354=0,0,IF(YEAR(B354)=$Q$1,MONTH(B354)-$P$1+1,(YEAR(B354)-$Q$1)*12-$P$1+1+MONTH(B354)))</f>
        <v>1</v>
      </c>
      <c r="Q354" s="330">
        <f t="shared" si="351"/>
        <v>0</v>
      </c>
      <c r="R354" s="351" t="str">
        <f t="shared" si="3"/>
        <v>Gastos_Gerais</v>
      </c>
      <c r="S354" s="351" t="str">
        <f>IF(D354="","",IF(OR(D354=Plano!$A$1,D354=Plano!$B$1),"entrada","saída"))</f>
        <v>saída</v>
      </c>
      <c r="T354" s="334" t="s">
        <v>994</v>
      </c>
      <c r="U354" s="334">
        <v>14</v>
      </c>
      <c r="V354" s="344"/>
      <c r="W354" s="269"/>
    </row>
    <row r="355" spans="1:23" ht="176.25" customHeight="1" x14ac:dyDescent="0.2">
      <c r="A355" s="277">
        <f t="shared" si="0"/>
        <v>351</v>
      </c>
      <c r="B355" s="278">
        <v>44210</v>
      </c>
      <c r="C355" s="249">
        <v>44197</v>
      </c>
      <c r="D355" s="250" t="s">
        <v>99</v>
      </c>
      <c r="E355" s="250" t="s">
        <v>358</v>
      </c>
      <c r="F355" s="251">
        <v>576.09</v>
      </c>
      <c r="G355" s="255" t="s">
        <v>2947</v>
      </c>
      <c r="H355" s="250" t="s">
        <v>131</v>
      </c>
      <c r="I355" s="250" t="s">
        <v>2948</v>
      </c>
      <c r="J355" s="250" t="s">
        <v>745</v>
      </c>
      <c r="K355" s="255" t="s">
        <v>991</v>
      </c>
      <c r="L355" s="250" t="s">
        <v>1029</v>
      </c>
      <c r="M355" s="255">
        <v>1035</v>
      </c>
      <c r="N355" s="278">
        <v>44209</v>
      </c>
      <c r="O355" s="329" t="s">
        <v>67</v>
      </c>
      <c r="P355" s="386">
        <f t="shared" ref="P355:Q355" si="352">IF(B355=0,0,IF(YEAR(B355)=$Q$1,MONTH(B355)-$P$1+1,(YEAR(B355)-$Q$1)*12-$P$1+1+MONTH(B355)))</f>
        <v>1</v>
      </c>
      <c r="Q355" s="330">
        <f t="shared" si="352"/>
        <v>1</v>
      </c>
      <c r="R355" s="351" t="str">
        <f t="shared" si="3"/>
        <v>Gastos_Gerais</v>
      </c>
      <c r="S355" s="351" t="str">
        <f>IF(D355="","",IF(OR(D355=Plano!$A$1,D355=Plano!$B$1),"entrada","saída"))</f>
        <v>saída</v>
      </c>
      <c r="T355" s="334" t="s">
        <v>1059</v>
      </c>
      <c r="U355" s="334">
        <v>842</v>
      </c>
      <c r="V355" s="344"/>
      <c r="W355" s="269"/>
    </row>
    <row r="356" spans="1:23" ht="169.5" customHeight="1" x14ac:dyDescent="0.2">
      <c r="A356" s="277">
        <f t="shared" si="0"/>
        <v>352</v>
      </c>
      <c r="B356" s="278">
        <v>44210</v>
      </c>
      <c r="C356" s="249">
        <v>44197</v>
      </c>
      <c r="D356" s="250" t="s">
        <v>99</v>
      </c>
      <c r="E356" s="250" t="s">
        <v>358</v>
      </c>
      <c r="F356" s="251">
        <v>576.09</v>
      </c>
      <c r="G356" s="255" t="s">
        <v>2949</v>
      </c>
      <c r="H356" s="250" t="s">
        <v>131</v>
      </c>
      <c r="I356" s="250" t="s">
        <v>2950</v>
      </c>
      <c r="J356" s="250" t="s">
        <v>2827</v>
      </c>
      <c r="K356" s="255" t="s">
        <v>991</v>
      </c>
      <c r="L356" s="250" t="s">
        <v>1029</v>
      </c>
      <c r="M356" s="255">
        <v>1036</v>
      </c>
      <c r="N356" s="278">
        <v>44209</v>
      </c>
      <c r="O356" s="329" t="s">
        <v>67</v>
      </c>
      <c r="P356" s="386">
        <f t="shared" ref="P356:Q356" si="353">IF(B356=0,0,IF(YEAR(B356)=$Q$1,MONTH(B356)-$P$1+1,(YEAR(B356)-$Q$1)*12-$P$1+1+MONTH(B356)))</f>
        <v>1</v>
      </c>
      <c r="Q356" s="330">
        <f t="shared" si="353"/>
        <v>1</v>
      </c>
      <c r="R356" s="351" t="str">
        <f t="shared" si="3"/>
        <v>Gastos_Gerais</v>
      </c>
      <c r="S356" s="351" t="str">
        <f>IF(D356="","",IF(OR(D356=Plano!$A$1,D356=Plano!$B$1),"entrada","saída"))</f>
        <v>saída</v>
      </c>
      <c r="T356" s="334" t="s">
        <v>994</v>
      </c>
      <c r="U356" s="334">
        <v>843</v>
      </c>
      <c r="V356" s="344"/>
      <c r="W356" s="269"/>
    </row>
    <row r="357" spans="1:23" ht="232.5" customHeight="1" x14ac:dyDescent="0.2">
      <c r="A357" s="277">
        <f t="shared" si="0"/>
        <v>353</v>
      </c>
      <c r="B357" s="278">
        <v>44210</v>
      </c>
      <c r="C357" s="249">
        <v>44197</v>
      </c>
      <c r="D357" s="250" t="s">
        <v>99</v>
      </c>
      <c r="E357" s="250" t="s">
        <v>358</v>
      </c>
      <c r="F357" s="251">
        <v>447.72</v>
      </c>
      <c r="G357" s="255" t="s">
        <v>2951</v>
      </c>
      <c r="H357" s="250" t="s">
        <v>131</v>
      </c>
      <c r="I357" s="250" t="s">
        <v>2952</v>
      </c>
      <c r="J357" s="250" t="s">
        <v>2830</v>
      </c>
      <c r="K357" s="255" t="s">
        <v>991</v>
      </c>
      <c r="L357" s="250" t="s">
        <v>1029</v>
      </c>
      <c r="M357" s="255">
        <v>1038</v>
      </c>
      <c r="N357" s="278">
        <v>44209</v>
      </c>
      <c r="O357" s="329" t="s">
        <v>67</v>
      </c>
      <c r="P357" s="386">
        <f t="shared" ref="P357:Q357" si="354">IF(B357=0,0,IF(YEAR(B357)=$Q$1,MONTH(B357)-$P$1+1,(YEAR(B357)-$Q$1)*12-$P$1+1+MONTH(B357)))</f>
        <v>1</v>
      </c>
      <c r="Q357" s="330">
        <f t="shared" si="354"/>
        <v>1</v>
      </c>
      <c r="R357" s="351" t="str">
        <f t="shared" si="3"/>
        <v>Gastos_Gerais</v>
      </c>
      <c r="S357" s="351" t="str">
        <f>IF(D357="","",IF(OR(D357=Plano!$A$1,D357=Plano!$B$1),"entrada","saída"))</f>
        <v>saída</v>
      </c>
      <c r="T357" s="334" t="s">
        <v>1059</v>
      </c>
      <c r="U357" s="334">
        <v>1013</v>
      </c>
      <c r="V357" s="344"/>
      <c r="W357" s="269"/>
    </row>
    <row r="358" spans="1:23" ht="163.5" customHeight="1" x14ac:dyDescent="0.2">
      <c r="A358" s="277">
        <f t="shared" si="0"/>
        <v>354</v>
      </c>
      <c r="B358" s="278">
        <v>44210</v>
      </c>
      <c r="C358" s="249">
        <v>44136</v>
      </c>
      <c r="D358" s="250" t="s">
        <v>99</v>
      </c>
      <c r="E358" s="250" t="s">
        <v>330</v>
      </c>
      <c r="F358" s="251">
        <v>473.21</v>
      </c>
      <c r="G358" s="255" t="s">
        <v>2953</v>
      </c>
      <c r="H358" s="250" t="s">
        <v>125</v>
      </c>
      <c r="I358" s="250" t="s">
        <v>1702</v>
      </c>
      <c r="J358" s="250" t="s">
        <v>2954</v>
      </c>
      <c r="K358" s="255" t="s">
        <v>560</v>
      </c>
      <c r="L358" s="250" t="s">
        <v>1016</v>
      </c>
      <c r="M358" s="255">
        <v>4642</v>
      </c>
      <c r="N358" s="278">
        <v>44176</v>
      </c>
      <c r="O358" s="329" t="s">
        <v>67</v>
      </c>
      <c r="P358" s="386">
        <f t="shared" ref="P358:Q358" si="355">IF(B358=0,0,IF(YEAR(B358)=$Q$1,MONTH(B358)-$P$1+1,(YEAR(B358)-$Q$1)*12-$P$1+1+MONTH(B358)))</f>
        <v>1</v>
      </c>
      <c r="Q358" s="330">
        <f t="shared" si="355"/>
        <v>-1</v>
      </c>
      <c r="R358" s="351" t="str">
        <f t="shared" si="3"/>
        <v>Gastos_Gerais</v>
      </c>
      <c r="S358" s="351" t="str">
        <f>IF(D358="","",IF(OR(D358=Plano!$A$1,D358=Plano!$B$1),"entrada","saída"))</f>
        <v>saída</v>
      </c>
      <c r="T358" s="334" t="s">
        <v>1011</v>
      </c>
      <c r="U358" s="334">
        <v>1096</v>
      </c>
      <c r="V358" s="344"/>
      <c r="W358" s="269"/>
    </row>
    <row r="359" spans="1:23" ht="69.75" customHeight="1" x14ac:dyDescent="0.2">
      <c r="A359" s="277">
        <f t="shared" si="0"/>
        <v>355</v>
      </c>
      <c r="B359" s="278">
        <v>44210</v>
      </c>
      <c r="C359" s="249">
        <v>44197</v>
      </c>
      <c r="D359" s="255" t="s">
        <v>99</v>
      </c>
      <c r="E359" s="255" t="s">
        <v>272</v>
      </c>
      <c r="F359" s="258">
        <v>10.45</v>
      </c>
      <c r="G359" s="255" t="s">
        <v>2955</v>
      </c>
      <c r="H359" s="250" t="s">
        <v>131</v>
      </c>
      <c r="I359" s="250" t="s">
        <v>949</v>
      </c>
      <c r="J359" s="255" t="s">
        <v>950</v>
      </c>
      <c r="K359" s="255" t="s">
        <v>951</v>
      </c>
      <c r="L359" s="250" t="s">
        <v>947</v>
      </c>
      <c r="M359" s="279" t="s">
        <v>114</v>
      </c>
      <c r="N359" s="278">
        <v>44210</v>
      </c>
      <c r="O359" s="329" t="s">
        <v>67</v>
      </c>
      <c r="P359" s="386">
        <f t="shared" ref="P359:Q359" si="356">IF(B359=0,0,IF(YEAR(B359)=$Q$1,MONTH(B359)-$P$1+1,(YEAR(B359)-$Q$1)*12-$P$1+1+MONTH(B359)))</f>
        <v>1</v>
      </c>
      <c r="Q359" s="330">
        <f t="shared" si="356"/>
        <v>1</v>
      </c>
      <c r="R359" s="351" t="str">
        <f t="shared" si="3"/>
        <v>Gastos_Gerais</v>
      </c>
      <c r="S359" s="351" t="str">
        <f>IF(D359="","",IF(OR(D359=Plano!$A$1,D359=Plano!$B$1),"entrada","saída"))</f>
        <v>saída</v>
      </c>
      <c r="T359" s="334" t="s">
        <v>114</v>
      </c>
      <c r="U359" s="334" t="s">
        <v>114</v>
      </c>
      <c r="V359" s="344"/>
      <c r="W359" s="269"/>
    </row>
    <row r="360" spans="1:23" ht="69.75" customHeight="1" x14ac:dyDescent="0.2">
      <c r="A360" s="277">
        <f t="shared" si="0"/>
        <v>356</v>
      </c>
      <c r="B360" s="278">
        <v>44210</v>
      </c>
      <c r="C360" s="249">
        <v>44197</v>
      </c>
      <c r="D360" s="255" t="s">
        <v>99</v>
      </c>
      <c r="E360" s="255" t="s">
        <v>272</v>
      </c>
      <c r="F360" s="258">
        <v>10.45</v>
      </c>
      <c r="G360" s="255" t="s">
        <v>2956</v>
      </c>
      <c r="H360" s="250" t="s">
        <v>131</v>
      </c>
      <c r="I360" s="250" t="s">
        <v>949</v>
      </c>
      <c r="J360" s="255" t="s">
        <v>950</v>
      </c>
      <c r="K360" s="255" t="s">
        <v>951</v>
      </c>
      <c r="L360" s="250" t="s">
        <v>947</v>
      </c>
      <c r="M360" s="279" t="s">
        <v>114</v>
      </c>
      <c r="N360" s="278">
        <v>44210</v>
      </c>
      <c r="O360" s="329" t="s">
        <v>67</v>
      </c>
      <c r="P360" s="386">
        <f t="shared" ref="P360:Q360" si="357">IF(B360=0,0,IF(YEAR(B360)=$Q$1,MONTH(B360)-$P$1+1,(YEAR(B360)-$Q$1)*12-$P$1+1+MONTH(B360)))</f>
        <v>1</v>
      </c>
      <c r="Q360" s="330">
        <f t="shared" si="357"/>
        <v>1</v>
      </c>
      <c r="R360" s="351" t="str">
        <f t="shared" si="3"/>
        <v>Gastos_Gerais</v>
      </c>
      <c r="S360" s="351" t="str">
        <f>IF(D360="","",IF(OR(D360=Plano!$A$1,D360=Plano!$B$1),"entrada","saída"))</f>
        <v>saída</v>
      </c>
      <c r="T360" s="334" t="s">
        <v>114</v>
      </c>
      <c r="U360" s="334" t="s">
        <v>114</v>
      </c>
      <c r="V360" s="344"/>
      <c r="W360" s="269"/>
    </row>
    <row r="361" spans="1:23" ht="69.75" customHeight="1" x14ac:dyDescent="0.2">
      <c r="A361" s="277">
        <f t="shared" si="0"/>
        <v>357</v>
      </c>
      <c r="B361" s="278">
        <v>44210</v>
      </c>
      <c r="C361" s="249">
        <v>44197</v>
      </c>
      <c r="D361" s="255" t="s">
        <v>99</v>
      </c>
      <c r="E361" s="255" t="s">
        <v>272</v>
      </c>
      <c r="F361" s="258">
        <v>10.45</v>
      </c>
      <c r="G361" s="255" t="s">
        <v>2957</v>
      </c>
      <c r="H361" s="250" t="s">
        <v>131</v>
      </c>
      <c r="I361" s="250" t="s">
        <v>949</v>
      </c>
      <c r="J361" s="255" t="s">
        <v>950</v>
      </c>
      <c r="K361" s="255" t="s">
        <v>951</v>
      </c>
      <c r="L361" s="250" t="s">
        <v>947</v>
      </c>
      <c r="M361" s="279" t="s">
        <v>114</v>
      </c>
      <c r="N361" s="278">
        <v>44210</v>
      </c>
      <c r="O361" s="329" t="s">
        <v>67</v>
      </c>
      <c r="P361" s="386">
        <f t="shared" ref="P361:Q361" si="358">IF(B361=0,0,IF(YEAR(B361)=$Q$1,MONTH(B361)-$P$1+1,(YEAR(B361)-$Q$1)*12-$P$1+1+MONTH(B361)))</f>
        <v>1</v>
      </c>
      <c r="Q361" s="330">
        <f t="shared" si="358"/>
        <v>1</v>
      </c>
      <c r="R361" s="351" t="str">
        <f t="shared" si="3"/>
        <v>Gastos_Gerais</v>
      </c>
      <c r="S361" s="351" t="str">
        <f>IF(D361="","",IF(OR(D361=Plano!$A$1,D361=Plano!$B$1),"entrada","saída"))</f>
        <v>saída</v>
      </c>
      <c r="T361" s="334" t="s">
        <v>114</v>
      </c>
      <c r="U361" s="334" t="s">
        <v>114</v>
      </c>
      <c r="V361" s="344"/>
      <c r="W361" s="269"/>
    </row>
    <row r="362" spans="1:23" ht="114.75" customHeight="1" x14ac:dyDescent="0.2">
      <c r="A362" s="277">
        <f t="shared" si="0"/>
        <v>358</v>
      </c>
      <c r="B362" s="278">
        <v>44210</v>
      </c>
      <c r="C362" s="249">
        <v>44166</v>
      </c>
      <c r="D362" s="255" t="s">
        <v>104</v>
      </c>
      <c r="E362" s="255" t="s">
        <v>104</v>
      </c>
      <c r="F362" s="258">
        <v>1000</v>
      </c>
      <c r="G362" s="255" t="s">
        <v>2958</v>
      </c>
      <c r="H362" s="250" t="s">
        <v>104</v>
      </c>
      <c r="I362" s="250" t="s">
        <v>2959</v>
      </c>
      <c r="J362" s="255" t="s">
        <v>714</v>
      </c>
      <c r="K362" s="255" t="s">
        <v>1015</v>
      </c>
      <c r="L362" s="250" t="s">
        <v>1016</v>
      </c>
      <c r="M362" s="255" t="s">
        <v>1305</v>
      </c>
      <c r="N362" s="278">
        <v>44209</v>
      </c>
      <c r="O362" s="329" t="s">
        <v>68</v>
      </c>
      <c r="P362" s="386">
        <f t="shared" ref="P362:Q362" si="359">IF(B362=0,0,IF(YEAR(B362)=$Q$1,MONTH(B362)-$P$1+1,(YEAR(B362)-$Q$1)*12-$P$1+1+MONTH(B362)))</f>
        <v>1</v>
      </c>
      <c r="Q362" s="330">
        <f t="shared" si="359"/>
        <v>0</v>
      </c>
      <c r="R362" s="351" t="str">
        <f t="shared" si="3"/>
        <v>Gastos_custeados_por_captação</v>
      </c>
      <c r="S362" s="351" t="str">
        <f>IF(D362="","",IF(OR(D362=Plano!$A$1,D362=Plano!$B$1),"entrada","saída"))</f>
        <v>saída</v>
      </c>
      <c r="T362" s="334" t="s">
        <v>114</v>
      </c>
      <c r="U362" s="334" t="s">
        <v>114</v>
      </c>
      <c r="V362" s="344"/>
      <c r="W362" s="269"/>
    </row>
    <row r="363" spans="1:23" ht="213" customHeight="1" x14ac:dyDescent="0.2">
      <c r="A363" s="277">
        <f t="shared" si="0"/>
        <v>359</v>
      </c>
      <c r="B363" s="278">
        <v>44210</v>
      </c>
      <c r="C363" s="249">
        <v>44166</v>
      </c>
      <c r="D363" s="250" t="s">
        <v>104</v>
      </c>
      <c r="E363" s="250" t="s">
        <v>104</v>
      </c>
      <c r="F363" s="251">
        <v>1210.4100000000001</v>
      </c>
      <c r="G363" s="255" t="s">
        <v>2960</v>
      </c>
      <c r="H363" s="250" t="s">
        <v>104</v>
      </c>
      <c r="I363" s="250" t="s">
        <v>2961</v>
      </c>
      <c r="J363" s="250" t="s">
        <v>825</v>
      </c>
      <c r="K363" s="255" t="s">
        <v>1015</v>
      </c>
      <c r="L363" s="250" t="s">
        <v>1029</v>
      </c>
      <c r="M363" s="255">
        <v>1037</v>
      </c>
      <c r="N363" s="278">
        <v>44209</v>
      </c>
      <c r="O363" s="329" t="s">
        <v>69</v>
      </c>
      <c r="P363" s="386">
        <f t="shared" ref="P363:Q363" si="360">IF(B363=0,0,IF(YEAR(B363)=$Q$1,MONTH(B363)-$P$1+1,(YEAR(B363)-$Q$1)*12-$P$1+1+MONTH(B363)))</f>
        <v>1</v>
      </c>
      <c r="Q363" s="330">
        <f t="shared" si="360"/>
        <v>0</v>
      </c>
      <c r="R363" s="351" t="str">
        <f t="shared" si="3"/>
        <v>Gastos_custeados_por_captação</v>
      </c>
      <c r="S363" s="351" t="str">
        <f>IF(D363="","",IF(OR(D363=Plano!$A$1,D363=Plano!$B$1),"entrada","saída"))</f>
        <v>saída</v>
      </c>
      <c r="T363" s="334" t="s">
        <v>114</v>
      </c>
      <c r="U363" s="334" t="s">
        <v>114</v>
      </c>
      <c r="V363" s="344"/>
      <c r="W363" s="269"/>
    </row>
    <row r="364" spans="1:23" ht="69.75" customHeight="1" x14ac:dyDescent="0.2">
      <c r="A364" s="277">
        <f t="shared" si="0"/>
        <v>360</v>
      </c>
      <c r="B364" s="278">
        <v>44210</v>
      </c>
      <c r="C364" s="249">
        <v>44105</v>
      </c>
      <c r="D364" s="250" t="s">
        <v>104</v>
      </c>
      <c r="E364" s="250" t="s">
        <v>104</v>
      </c>
      <c r="F364" s="251">
        <v>5000</v>
      </c>
      <c r="G364" s="255" t="s">
        <v>2962</v>
      </c>
      <c r="H364" s="250" t="s">
        <v>104</v>
      </c>
      <c r="I364" s="250" t="s">
        <v>2963</v>
      </c>
      <c r="J364" s="250" t="s">
        <v>2964</v>
      </c>
      <c r="K364" s="255" t="s">
        <v>1015</v>
      </c>
      <c r="L364" s="250" t="s">
        <v>1016</v>
      </c>
      <c r="M364" s="255" t="s">
        <v>1305</v>
      </c>
      <c r="N364" s="278">
        <v>44210</v>
      </c>
      <c r="O364" s="329" t="s">
        <v>70</v>
      </c>
      <c r="P364" s="386">
        <f t="shared" ref="P364:Q364" si="361">IF(B364=0,0,IF(YEAR(B364)=$Q$1,MONTH(B364)-$P$1+1,(YEAR(B364)-$Q$1)*12-$P$1+1+MONTH(B364)))</f>
        <v>1</v>
      </c>
      <c r="Q364" s="330">
        <f t="shared" si="361"/>
        <v>-2</v>
      </c>
      <c r="R364" s="351" t="str">
        <f t="shared" si="3"/>
        <v>Gastos_custeados_por_captação</v>
      </c>
      <c r="S364" s="351" t="str">
        <f>IF(D364="","",IF(OR(D364=Plano!$A$1,D364=Plano!$B$1),"entrada","saída"))</f>
        <v>saída</v>
      </c>
      <c r="T364" s="334" t="s">
        <v>114</v>
      </c>
      <c r="U364" s="334" t="s">
        <v>114</v>
      </c>
      <c r="V364" s="344"/>
      <c r="W364" s="269"/>
    </row>
    <row r="365" spans="1:23" ht="69.75" customHeight="1" x14ac:dyDescent="0.2">
      <c r="A365" s="277">
        <f t="shared" si="0"/>
        <v>361</v>
      </c>
      <c r="B365" s="278">
        <v>44210</v>
      </c>
      <c r="C365" s="249">
        <v>44105</v>
      </c>
      <c r="D365" s="250" t="s">
        <v>104</v>
      </c>
      <c r="E365" s="250" t="s">
        <v>104</v>
      </c>
      <c r="F365" s="251">
        <v>3834.88</v>
      </c>
      <c r="G365" s="255" t="s">
        <v>2965</v>
      </c>
      <c r="H365" s="250" t="s">
        <v>104</v>
      </c>
      <c r="I365" s="250" t="s">
        <v>2966</v>
      </c>
      <c r="J365" s="250" t="s">
        <v>2967</v>
      </c>
      <c r="K365" s="255" t="s">
        <v>1015</v>
      </c>
      <c r="L365" s="250" t="s">
        <v>1029</v>
      </c>
      <c r="M365" s="255">
        <v>1033</v>
      </c>
      <c r="N365" s="278">
        <v>44209</v>
      </c>
      <c r="O365" s="329" t="s">
        <v>70</v>
      </c>
      <c r="P365" s="386">
        <f t="shared" ref="P365:Q365" si="362">IF(B365=0,0,IF(YEAR(B365)=$Q$1,MONTH(B365)-$P$1+1,(YEAR(B365)-$Q$1)*12-$P$1+1+MONTH(B365)))</f>
        <v>1</v>
      </c>
      <c r="Q365" s="330">
        <f t="shared" si="362"/>
        <v>-2</v>
      </c>
      <c r="R365" s="351" t="str">
        <f t="shared" si="3"/>
        <v>Gastos_custeados_por_captação</v>
      </c>
      <c r="S365" s="351" t="str">
        <f>IF(D365="","",IF(OR(D365=Plano!$A$1,D365=Plano!$B$1),"entrada","saída"))</f>
        <v>saída</v>
      </c>
      <c r="T365" s="334" t="s">
        <v>114</v>
      </c>
      <c r="U365" s="334" t="s">
        <v>114</v>
      </c>
      <c r="V365" s="344"/>
      <c r="W365" s="269"/>
    </row>
    <row r="366" spans="1:23" ht="69.75" customHeight="1" x14ac:dyDescent="0.2">
      <c r="A366" s="277">
        <f t="shared" si="0"/>
        <v>362</v>
      </c>
      <c r="B366" s="278">
        <v>44210</v>
      </c>
      <c r="C366" s="249">
        <v>44105</v>
      </c>
      <c r="D366" s="250" t="s">
        <v>104</v>
      </c>
      <c r="E366" s="250" t="s">
        <v>104</v>
      </c>
      <c r="F366" s="251">
        <v>2827.55</v>
      </c>
      <c r="G366" s="255" t="s">
        <v>2968</v>
      </c>
      <c r="H366" s="250" t="s">
        <v>104</v>
      </c>
      <c r="I366" s="250" t="s">
        <v>2969</v>
      </c>
      <c r="J366" s="250" t="s">
        <v>2970</v>
      </c>
      <c r="K366" s="255" t="s">
        <v>1015</v>
      </c>
      <c r="L366" s="250" t="s">
        <v>1029</v>
      </c>
      <c r="M366" s="255">
        <v>1032</v>
      </c>
      <c r="N366" s="278">
        <v>44209</v>
      </c>
      <c r="O366" s="329" t="s">
        <v>70</v>
      </c>
      <c r="P366" s="386">
        <f t="shared" ref="P366:Q366" si="363">IF(B366=0,0,IF(YEAR(B366)=$Q$1,MONTH(B366)-$P$1+1,(YEAR(B366)-$Q$1)*12-$P$1+1+MONTH(B366)))</f>
        <v>1</v>
      </c>
      <c r="Q366" s="330">
        <f t="shared" si="363"/>
        <v>-2</v>
      </c>
      <c r="R366" s="351" t="str">
        <f t="shared" si="3"/>
        <v>Gastos_custeados_por_captação</v>
      </c>
      <c r="S366" s="351" t="str">
        <f>IF(D366="","",IF(OR(D366=Plano!$A$1,D366=Plano!$B$1),"entrada","saída"))</f>
        <v>saída</v>
      </c>
      <c r="T366" s="334" t="s">
        <v>114</v>
      </c>
      <c r="U366" s="334" t="s">
        <v>114</v>
      </c>
      <c r="V366" s="344"/>
      <c r="W366" s="269"/>
    </row>
    <row r="367" spans="1:23" ht="126" customHeight="1" x14ac:dyDescent="0.2">
      <c r="A367" s="277">
        <f t="shared" si="0"/>
        <v>363</v>
      </c>
      <c r="B367" s="278">
        <v>44210</v>
      </c>
      <c r="C367" s="249">
        <v>44105</v>
      </c>
      <c r="D367" s="250" t="s">
        <v>104</v>
      </c>
      <c r="E367" s="250" t="s">
        <v>104</v>
      </c>
      <c r="F367" s="251">
        <v>5879.4</v>
      </c>
      <c r="G367" s="255" t="s">
        <v>2971</v>
      </c>
      <c r="H367" s="250" t="s">
        <v>104</v>
      </c>
      <c r="I367" s="250" t="s">
        <v>2972</v>
      </c>
      <c r="J367" s="250" t="s">
        <v>2732</v>
      </c>
      <c r="K367" s="255" t="s">
        <v>1015</v>
      </c>
      <c r="L367" s="250" t="s">
        <v>1016</v>
      </c>
      <c r="M367" s="255" t="s">
        <v>1294</v>
      </c>
      <c r="N367" s="278">
        <v>44210</v>
      </c>
      <c r="O367" s="329" t="s">
        <v>70</v>
      </c>
      <c r="P367" s="386">
        <f t="shared" ref="P367:Q367" si="364">IF(B367=0,0,IF(YEAR(B367)=$Q$1,MONTH(B367)-$P$1+1,(YEAR(B367)-$Q$1)*12-$P$1+1+MONTH(B367)))</f>
        <v>1</v>
      </c>
      <c r="Q367" s="330">
        <f t="shared" si="364"/>
        <v>-2</v>
      </c>
      <c r="R367" s="351" t="str">
        <f t="shared" si="3"/>
        <v>Gastos_custeados_por_captação</v>
      </c>
      <c r="S367" s="351" t="str">
        <f>IF(D367="","",IF(OR(D367=Plano!$A$1,D367=Plano!$B$1),"entrada","saída"))</f>
        <v>saída</v>
      </c>
      <c r="T367" s="334" t="s">
        <v>114</v>
      </c>
      <c r="U367" s="334" t="s">
        <v>114</v>
      </c>
      <c r="V367" s="344"/>
      <c r="W367" s="269"/>
    </row>
    <row r="368" spans="1:23" ht="69.75" customHeight="1" x14ac:dyDescent="0.2">
      <c r="A368" s="277">
        <f t="shared" si="0"/>
        <v>364</v>
      </c>
      <c r="B368" s="278">
        <v>44211</v>
      </c>
      <c r="C368" s="256">
        <v>44166</v>
      </c>
      <c r="D368" s="255" t="s">
        <v>99</v>
      </c>
      <c r="E368" s="255" t="s">
        <v>224</v>
      </c>
      <c r="F368" s="258">
        <v>-64.38</v>
      </c>
      <c r="G368" s="255" t="s">
        <v>2973</v>
      </c>
      <c r="H368" s="255" t="s">
        <v>115</v>
      </c>
      <c r="I368" s="250" t="s">
        <v>983</v>
      </c>
      <c r="J368" s="255" t="s">
        <v>850</v>
      </c>
      <c r="K368" s="255" t="s">
        <v>946</v>
      </c>
      <c r="L368" s="250" t="s">
        <v>947</v>
      </c>
      <c r="M368" s="255" t="s">
        <v>114</v>
      </c>
      <c r="N368" s="278">
        <v>44210</v>
      </c>
      <c r="O368" s="329" t="s">
        <v>67</v>
      </c>
      <c r="P368" s="386">
        <f t="shared" ref="P368:Q368" si="365">IF(B368=0,0,IF(YEAR(B368)=$Q$1,MONTH(B368)-$P$1+1,(YEAR(B368)-$Q$1)*12-$P$1+1+MONTH(B368)))</f>
        <v>1</v>
      </c>
      <c r="Q368" s="330">
        <f t="shared" si="365"/>
        <v>0</v>
      </c>
      <c r="R368" s="351" t="str">
        <f t="shared" si="3"/>
        <v>Gastos_Gerais</v>
      </c>
      <c r="S368" s="351" t="str">
        <f>IF(D368="","",IF(OR(D368=Plano!$A$1,D368=Plano!$B$1),"entrada","saída"))</f>
        <v>saída</v>
      </c>
      <c r="T368" s="334" t="s">
        <v>114</v>
      </c>
      <c r="U368" s="334" t="s">
        <v>114</v>
      </c>
      <c r="V368" s="344"/>
      <c r="W368" s="269"/>
    </row>
    <row r="369" spans="1:23" ht="69.75" customHeight="1" x14ac:dyDescent="0.2">
      <c r="A369" s="277">
        <f t="shared" si="0"/>
        <v>365</v>
      </c>
      <c r="B369" s="278">
        <v>44211</v>
      </c>
      <c r="C369" s="256">
        <v>44166</v>
      </c>
      <c r="D369" s="255" t="s">
        <v>99</v>
      </c>
      <c r="E369" s="255" t="s">
        <v>254</v>
      </c>
      <c r="F369" s="258">
        <v>-106.91</v>
      </c>
      <c r="G369" s="255" t="s">
        <v>2974</v>
      </c>
      <c r="H369" s="255" t="s">
        <v>115</v>
      </c>
      <c r="I369" s="250" t="s">
        <v>983</v>
      </c>
      <c r="J369" s="255" t="s">
        <v>850</v>
      </c>
      <c r="K369" s="255" t="s">
        <v>946</v>
      </c>
      <c r="L369" s="250" t="s">
        <v>947</v>
      </c>
      <c r="M369" s="255" t="s">
        <v>114</v>
      </c>
      <c r="N369" s="278">
        <v>44210</v>
      </c>
      <c r="O369" s="329" t="s">
        <v>67</v>
      </c>
      <c r="P369" s="386">
        <f t="shared" ref="P369:Q369" si="366">IF(B369=0,0,IF(YEAR(B369)=$Q$1,MONTH(B369)-$P$1+1,(YEAR(B369)-$Q$1)*12-$P$1+1+MONTH(B369)))</f>
        <v>1</v>
      </c>
      <c r="Q369" s="330">
        <f t="shared" si="366"/>
        <v>0</v>
      </c>
      <c r="R369" s="351" t="str">
        <f t="shared" si="3"/>
        <v>Gastos_Gerais</v>
      </c>
      <c r="S369" s="351" t="str">
        <f>IF(D369="","",IF(OR(D369=Plano!$A$1,D369=Plano!$B$1),"entrada","saída"))</f>
        <v>saída</v>
      </c>
      <c r="T369" s="334" t="s">
        <v>114</v>
      </c>
      <c r="U369" s="334" t="s">
        <v>114</v>
      </c>
      <c r="V369" s="344"/>
      <c r="W369" s="269"/>
    </row>
    <row r="370" spans="1:23" ht="69.75" customHeight="1" x14ac:dyDescent="0.2">
      <c r="A370" s="277">
        <f t="shared" si="0"/>
        <v>366</v>
      </c>
      <c r="B370" s="278">
        <v>44211</v>
      </c>
      <c r="C370" s="249">
        <v>44166</v>
      </c>
      <c r="D370" s="250" t="s">
        <v>99</v>
      </c>
      <c r="E370" s="250" t="s">
        <v>312</v>
      </c>
      <c r="F370" s="251">
        <v>122.52</v>
      </c>
      <c r="G370" s="255" t="s">
        <v>439</v>
      </c>
      <c r="H370" s="250" t="s">
        <v>115</v>
      </c>
      <c r="I370" s="250" t="s">
        <v>2975</v>
      </c>
      <c r="J370" s="250" t="s">
        <v>441</v>
      </c>
      <c r="K370" s="255" t="s">
        <v>2873</v>
      </c>
      <c r="L370" s="250" t="s">
        <v>1016</v>
      </c>
      <c r="M370" s="250">
        <v>2659918</v>
      </c>
      <c r="N370" s="278">
        <v>44200</v>
      </c>
      <c r="O370" s="329" t="s">
        <v>67</v>
      </c>
      <c r="P370" s="386">
        <f t="shared" ref="P370:Q370" si="367">IF(B370=0,0,IF(YEAR(B370)=$Q$1,MONTH(B370)-$P$1+1,(YEAR(B370)-$Q$1)*12-$P$1+1+MONTH(B370)))</f>
        <v>1</v>
      </c>
      <c r="Q370" s="330">
        <f t="shared" si="367"/>
        <v>0</v>
      </c>
      <c r="R370" s="351" t="str">
        <f t="shared" si="3"/>
        <v>Gastos_Gerais</v>
      </c>
      <c r="S370" s="351" t="str">
        <f>IF(D370="","",IF(OR(D370=Plano!$A$1,D370=Plano!$B$1),"entrada","saída"))</f>
        <v>saída</v>
      </c>
      <c r="T370" s="334" t="s">
        <v>994</v>
      </c>
      <c r="U370" s="334">
        <v>311</v>
      </c>
      <c r="V370" s="344"/>
      <c r="W370" s="269"/>
    </row>
    <row r="371" spans="1:23" ht="69.75" customHeight="1" x14ac:dyDescent="0.2">
      <c r="A371" s="277">
        <f t="shared" si="0"/>
        <v>367</v>
      </c>
      <c r="B371" s="278">
        <v>44211</v>
      </c>
      <c r="C371" s="249">
        <v>44166</v>
      </c>
      <c r="D371" s="250" t="s">
        <v>99</v>
      </c>
      <c r="E371" s="250" t="s">
        <v>224</v>
      </c>
      <c r="F371" s="251">
        <v>321.89999999999998</v>
      </c>
      <c r="G371" s="255" t="s">
        <v>2976</v>
      </c>
      <c r="H371" s="250" t="s">
        <v>115</v>
      </c>
      <c r="I371" s="250" t="s">
        <v>522</v>
      </c>
      <c r="J371" s="250" t="s">
        <v>523</v>
      </c>
      <c r="K371" s="255" t="s">
        <v>1375</v>
      </c>
      <c r="L371" s="250" t="s">
        <v>2977</v>
      </c>
      <c r="M371" s="255" t="s">
        <v>2978</v>
      </c>
      <c r="N371" s="278">
        <v>44197</v>
      </c>
      <c r="O371" s="329" t="s">
        <v>67</v>
      </c>
      <c r="P371" s="386">
        <f t="shared" ref="P371:Q371" si="368">IF(B371=0,0,IF(YEAR(B371)=$Q$1,MONTH(B371)-$P$1+1,(YEAR(B371)-$Q$1)*12-$P$1+1+MONTH(B371)))</f>
        <v>1</v>
      </c>
      <c r="Q371" s="330">
        <f t="shared" si="368"/>
        <v>0</v>
      </c>
      <c r="R371" s="351" t="str">
        <f t="shared" si="3"/>
        <v>Gastos_Gerais</v>
      </c>
      <c r="S371" s="351" t="str">
        <f>IF(D371="","",IF(OR(D371=Plano!$A$1,D371=Plano!$B$1),"entrada","saída"))</f>
        <v>saída</v>
      </c>
      <c r="T371" s="334" t="s">
        <v>114</v>
      </c>
      <c r="U371" s="334" t="s">
        <v>114</v>
      </c>
      <c r="V371" s="344"/>
      <c r="W371" s="269"/>
    </row>
    <row r="372" spans="1:23" ht="69.75" customHeight="1" x14ac:dyDescent="0.2">
      <c r="A372" s="277">
        <f t="shared" si="0"/>
        <v>368</v>
      </c>
      <c r="B372" s="278">
        <v>44211</v>
      </c>
      <c r="C372" s="256">
        <v>44197</v>
      </c>
      <c r="D372" s="255" t="s">
        <v>88</v>
      </c>
      <c r="E372" s="255" t="s">
        <v>177</v>
      </c>
      <c r="F372" s="258">
        <v>7090.29</v>
      </c>
      <c r="G372" s="255" t="s">
        <v>2979</v>
      </c>
      <c r="H372" s="255" t="s">
        <v>114</v>
      </c>
      <c r="I372" s="250" t="s">
        <v>1197</v>
      </c>
      <c r="J372" s="255" t="s">
        <v>1198</v>
      </c>
      <c r="K372" s="255" t="s">
        <v>991</v>
      </c>
      <c r="L372" s="250" t="s">
        <v>1347</v>
      </c>
      <c r="M372" s="279" t="s">
        <v>114</v>
      </c>
      <c r="N372" s="350">
        <v>44211</v>
      </c>
      <c r="O372" s="329" t="s">
        <v>67</v>
      </c>
      <c r="P372" s="386">
        <f t="shared" ref="P372:Q372" si="369">IF(B372=0,0,IF(YEAR(B372)=$Q$1,MONTH(B372)-$P$1+1,(YEAR(B372)-$Q$1)*12-$P$1+1+MONTH(B372)))</f>
        <v>1</v>
      </c>
      <c r="Q372" s="330">
        <f t="shared" si="369"/>
        <v>1</v>
      </c>
      <c r="R372" s="351" t="str">
        <f t="shared" si="3"/>
        <v>Gastos_com_Pessoal</v>
      </c>
      <c r="S372" s="351" t="str">
        <f>IF(D372="","",IF(OR(D372=Plano!$A$1,D372=Plano!$B$1),"entrada","saída"))</f>
        <v>saída</v>
      </c>
      <c r="T372" s="334" t="s">
        <v>114</v>
      </c>
      <c r="U372" s="334" t="s">
        <v>114</v>
      </c>
      <c r="V372" s="344"/>
      <c r="W372" s="269"/>
    </row>
    <row r="373" spans="1:23" ht="167.25" customHeight="1" x14ac:dyDescent="0.2">
      <c r="A373" s="277">
        <f t="shared" si="0"/>
        <v>369</v>
      </c>
      <c r="B373" s="278">
        <v>44211</v>
      </c>
      <c r="C373" s="256">
        <v>44197</v>
      </c>
      <c r="D373" s="255" t="s">
        <v>101</v>
      </c>
      <c r="E373" s="255" t="s">
        <v>391</v>
      </c>
      <c r="F373" s="258">
        <v>2178</v>
      </c>
      <c r="G373" s="255" t="s">
        <v>2980</v>
      </c>
      <c r="H373" s="255" t="s">
        <v>114</v>
      </c>
      <c r="I373" s="250" t="s">
        <v>2981</v>
      </c>
      <c r="J373" s="255" t="s">
        <v>2982</v>
      </c>
      <c r="K373" s="255" t="s">
        <v>560</v>
      </c>
      <c r="L373" s="250" t="s">
        <v>1016</v>
      </c>
      <c r="M373" s="389">
        <v>883170</v>
      </c>
      <c r="N373" s="278">
        <v>44214</v>
      </c>
      <c r="O373" s="329" t="s">
        <v>67</v>
      </c>
      <c r="P373" s="386">
        <f t="shared" ref="P373:Q373" si="370">IF(B373=0,0,IF(YEAR(B373)=$Q$1,MONTH(B373)-$P$1+1,(YEAR(B373)-$Q$1)*12-$P$1+1+MONTH(B373)))</f>
        <v>1</v>
      </c>
      <c r="Q373" s="330">
        <f t="shared" si="370"/>
        <v>1</v>
      </c>
      <c r="R373" s="351" t="str">
        <f t="shared" si="3"/>
        <v>Aquisição_de_Bens_Permanentes</v>
      </c>
      <c r="S373" s="351" t="str">
        <f>IF(D373="","",IF(OR(D373=Plano!$A$1,D373=Plano!$B$1),"entrada","saída"))</f>
        <v>saída</v>
      </c>
      <c r="T373" s="334" t="s">
        <v>1011</v>
      </c>
      <c r="U373" s="334">
        <v>1251</v>
      </c>
      <c r="V373" s="344"/>
      <c r="W373" s="269"/>
    </row>
    <row r="374" spans="1:23" ht="68.25" customHeight="1" x14ac:dyDescent="0.2">
      <c r="A374" s="277">
        <f t="shared" si="0"/>
        <v>370</v>
      </c>
      <c r="B374" s="278">
        <v>44211</v>
      </c>
      <c r="C374" s="256">
        <v>44197</v>
      </c>
      <c r="D374" s="255" t="s">
        <v>99</v>
      </c>
      <c r="E374" s="255" t="s">
        <v>312</v>
      </c>
      <c r="F374" s="258">
        <v>60.73</v>
      </c>
      <c r="G374" s="255" t="s">
        <v>2983</v>
      </c>
      <c r="H374" s="255" t="s">
        <v>114</v>
      </c>
      <c r="I374" s="250" t="s">
        <v>2981</v>
      </c>
      <c r="J374" s="255" t="s">
        <v>2982</v>
      </c>
      <c r="K374" s="255" t="s">
        <v>560</v>
      </c>
      <c r="L374" s="250" t="s">
        <v>1016</v>
      </c>
      <c r="M374" s="389">
        <v>883170</v>
      </c>
      <c r="N374" s="278">
        <v>44214</v>
      </c>
      <c r="O374" s="329" t="s">
        <v>67</v>
      </c>
      <c r="P374" s="386">
        <f t="shared" ref="P374:Q374" si="371">IF(B374=0,0,IF(YEAR(B374)=$Q$1,MONTH(B374)-$P$1+1,(YEAR(B374)-$Q$1)*12-$P$1+1+MONTH(B374)))</f>
        <v>1</v>
      </c>
      <c r="Q374" s="330">
        <f t="shared" si="371"/>
        <v>1</v>
      </c>
      <c r="R374" s="351" t="str">
        <f t="shared" si="3"/>
        <v>Gastos_Gerais</v>
      </c>
      <c r="S374" s="351" t="str">
        <f>IF(D374="","",IF(OR(D374=Plano!$A$1,D374=Plano!$B$1),"entrada","saída"))</f>
        <v>saída</v>
      </c>
      <c r="T374" s="334" t="s">
        <v>114</v>
      </c>
      <c r="U374" s="334" t="s">
        <v>114</v>
      </c>
      <c r="V374" s="344"/>
      <c r="W374" s="269"/>
    </row>
    <row r="375" spans="1:23" ht="168.75" customHeight="1" x14ac:dyDescent="0.2">
      <c r="A375" s="277">
        <f t="shared" si="0"/>
        <v>371</v>
      </c>
      <c r="B375" s="278">
        <v>44211</v>
      </c>
      <c r="C375" s="256">
        <v>44197</v>
      </c>
      <c r="D375" s="255" t="s">
        <v>101</v>
      </c>
      <c r="E375" s="255" t="s">
        <v>413</v>
      </c>
      <c r="F375" s="258">
        <v>4178.1000000000004</v>
      </c>
      <c r="G375" s="255" t="s">
        <v>2984</v>
      </c>
      <c r="H375" s="255" t="s">
        <v>114</v>
      </c>
      <c r="I375" s="250" t="s">
        <v>2981</v>
      </c>
      <c r="J375" s="255" t="s">
        <v>2982</v>
      </c>
      <c r="K375" s="255" t="s">
        <v>560</v>
      </c>
      <c r="L375" s="250" t="s">
        <v>1016</v>
      </c>
      <c r="M375" s="389">
        <v>1471883</v>
      </c>
      <c r="N375" s="278">
        <v>44214</v>
      </c>
      <c r="O375" s="329" t="s">
        <v>67</v>
      </c>
      <c r="P375" s="386">
        <f t="shared" ref="P375:Q375" si="372">IF(B375=0,0,IF(YEAR(B375)=$Q$1,MONTH(B375)-$P$1+1,(YEAR(B375)-$Q$1)*12-$P$1+1+MONTH(B375)))</f>
        <v>1</v>
      </c>
      <c r="Q375" s="330">
        <f t="shared" si="372"/>
        <v>1</v>
      </c>
      <c r="R375" s="351" t="str">
        <f t="shared" si="3"/>
        <v>Aquisição_de_Bens_Permanentes</v>
      </c>
      <c r="S375" s="351" t="str">
        <f>IF(D375="","",IF(OR(D375=Plano!$A$1,D375=Plano!$B$1),"entrada","saída"))</f>
        <v>saída</v>
      </c>
      <c r="T375" s="334" t="s">
        <v>1011</v>
      </c>
      <c r="U375" s="334">
        <v>1250</v>
      </c>
      <c r="V375" s="344"/>
      <c r="W375" s="269"/>
    </row>
    <row r="376" spans="1:23" ht="70.5" customHeight="1" x14ac:dyDescent="0.2">
      <c r="A376" s="277">
        <f t="shared" si="0"/>
        <v>372</v>
      </c>
      <c r="B376" s="278">
        <v>44211</v>
      </c>
      <c r="C376" s="256">
        <v>44197</v>
      </c>
      <c r="D376" s="255" t="s">
        <v>99</v>
      </c>
      <c r="E376" s="255" t="s">
        <v>312</v>
      </c>
      <c r="F376" s="258">
        <v>171.66</v>
      </c>
      <c r="G376" s="255" t="s">
        <v>2985</v>
      </c>
      <c r="H376" s="255" t="s">
        <v>114</v>
      </c>
      <c r="I376" s="250" t="s">
        <v>2981</v>
      </c>
      <c r="J376" s="255" t="s">
        <v>2982</v>
      </c>
      <c r="K376" s="255" t="s">
        <v>560</v>
      </c>
      <c r="L376" s="250" t="s">
        <v>1016</v>
      </c>
      <c r="M376" s="389">
        <v>1471883</v>
      </c>
      <c r="N376" s="278">
        <v>44214</v>
      </c>
      <c r="O376" s="329" t="s">
        <v>67</v>
      </c>
      <c r="P376" s="386">
        <f t="shared" ref="P376:Q376" si="373">IF(B376=0,0,IF(YEAR(B376)=$Q$1,MONTH(B376)-$P$1+1,(YEAR(B376)-$Q$1)*12-$P$1+1+MONTH(B376)))</f>
        <v>1</v>
      </c>
      <c r="Q376" s="330">
        <f t="shared" si="373"/>
        <v>1</v>
      </c>
      <c r="R376" s="351" t="str">
        <f t="shared" si="3"/>
        <v>Gastos_Gerais</v>
      </c>
      <c r="S376" s="351" t="str">
        <f>IF(D376="","",IF(OR(D376=Plano!$A$1,D376=Plano!$B$1),"entrada","saída"))</f>
        <v>saída</v>
      </c>
      <c r="T376" s="334" t="s">
        <v>114</v>
      </c>
      <c r="U376" s="334" t="s">
        <v>114</v>
      </c>
      <c r="V376" s="344"/>
      <c r="W376" s="269"/>
    </row>
    <row r="377" spans="1:23" ht="138.75" customHeight="1" x14ac:dyDescent="0.2">
      <c r="A377" s="277">
        <f t="shared" si="0"/>
        <v>373</v>
      </c>
      <c r="B377" s="278">
        <v>44211</v>
      </c>
      <c r="C377" s="256">
        <v>44197</v>
      </c>
      <c r="D377" s="255" t="s">
        <v>88</v>
      </c>
      <c r="E377" s="255" t="s">
        <v>196</v>
      </c>
      <c r="F377" s="258">
        <v>7069.37</v>
      </c>
      <c r="G377" s="255" t="s">
        <v>2986</v>
      </c>
      <c r="H377" s="255" t="s">
        <v>114</v>
      </c>
      <c r="I377" s="250" t="s">
        <v>542</v>
      </c>
      <c r="J377" s="255" t="s">
        <v>2987</v>
      </c>
      <c r="K377" s="255" t="s">
        <v>2873</v>
      </c>
      <c r="L377" s="250" t="s">
        <v>1016</v>
      </c>
      <c r="M377" s="390" t="s">
        <v>2988</v>
      </c>
      <c r="N377" s="278">
        <v>44171</v>
      </c>
      <c r="O377" s="329" t="s">
        <v>67</v>
      </c>
      <c r="P377" s="386">
        <f t="shared" ref="P377:Q377" si="374">IF(B377=0,0,IF(YEAR(B377)=$Q$1,MONTH(B377)-$P$1+1,(YEAR(B377)-$Q$1)*12-$P$1+1+MONTH(B377)))</f>
        <v>1</v>
      </c>
      <c r="Q377" s="330">
        <f t="shared" si="374"/>
        <v>1</v>
      </c>
      <c r="R377" s="351" t="str">
        <f t="shared" si="3"/>
        <v>Gastos_com_Pessoal</v>
      </c>
      <c r="S377" s="351" t="str">
        <f>IF(D377="","",IF(OR(D377=Plano!$A$1,D377=Plano!$B$1),"entrada","saída"))</f>
        <v>saída</v>
      </c>
      <c r="T377" s="334" t="s">
        <v>114</v>
      </c>
      <c r="U377" s="334" t="s">
        <v>114</v>
      </c>
      <c r="V377" s="344"/>
      <c r="W377" s="269"/>
    </row>
    <row r="378" spans="1:23" ht="147.75" customHeight="1" x14ac:dyDescent="0.2">
      <c r="A378" s="277">
        <f t="shared" si="0"/>
        <v>374</v>
      </c>
      <c r="B378" s="278">
        <v>44211</v>
      </c>
      <c r="C378" s="249">
        <v>44136</v>
      </c>
      <c r="D378" s="250" t="s">
        <v>88</v>
      </c>
      <c r="E378" s="250" t="s">
        <v>90</v>
      </c>
      <c r="F378" s="251">
        <v>473.9</v>
      </c>
      <c r="G378" s="255" t="s">
        <v>2989</v>
      </c>
      <c r="H378" s="250" t="s">
        <v>114</v>
      </c>
      <c r="I378" s="250" t="s">
        <v>542</v>
      </c>
      <c r="J378" s="250" t="s">
        <v>543</v>
      </c>
      <c r="K378" s="255" t="s">
        <v>2873</v>
      </c>
      <c r="L378" s="250" t="s">
        <v>1016</v>
      </c>
      <c r="M378" s="255" t="s">
        <v>2990</v>
      </c>
      <c r="N378" s="278">
        <v>44167</v>
      </c>
      <c r="O378" s="329" t="s">
        <v>67</v>
      </c>
      <c r="P378" s="386">
        <f t="shared" ref="P378:Q378" si="375">IF(B378=0,0,IF(YEAR(B378)=$Q$1,MONTH(B378)-$P$1+1,(YEAR(B378)-$Q$1)*12-$P$1+1+MONTH(B378)))</f>
        <v>1</v>
      </c>
      <c r="Q378" s="330">
        <f t="shared" si="375"/>
        <v>-1</v>
      </c>
      <c r="R378" s="351" t="str">
        <f t="shared" si="3"/>
        <v>Gastos_com_Pessoal</v>
      </c>
      <c r="S378" s="351" t="str">
        <f>IF(D378="","",IF(OR(D378=Plano!$A$1,D378=Plano!$B$1),"entrada","saída"))</f>
        <v>saída</v>
      </c>
      <c r="T378" s="334" t="s">
        <v>114</v>
      </c>
      <c r="U378" s="334" t="s">
        <v>114</v>
      </c>
      <c r="V378" s="344"/>
      <c r="W378" s="269"/>
    </row>
    <row r="379" spans="1:23" ht="230.25" customHeight="1" x14ac:dyDescent="0.2">
      <c r="A379" s="277">
        <f t="shared" si="0"/>
        <v>375</v>
      </c>
      <c r="B379" s="278">
        <v>44211</v>
      </c>
      <c r="C379" s="249">
        <v>44105</v>
      </c>
      <c r="D379" s="250" t="s">
        <v>99</v>
      </c>
      <c r="E379" s="250" t="s">
        <v>364</v>
      </c>
      <c r="F379" s="251">
        <v>11758.8</v>
      </c>
      <c r="G379" s="255" t="s">
        <v>2991</v>
      </c>
      <c r="H379" s="250" t="s">
        <v>132</v>
      </c>
      <c r="I379" s="250" t="s">
        <v>2992</v>
      </c>
      <c r="J379" s="250" t="s">
        <v>572</v>
      </c>
      <c r="K379" s="255" t="s">
        <v>991</v>
      </c>
      <c r="L379" s="250" t="s">
        <v>1016</v>
      </c>
      <c r="M379" s="255" t="s">
        <v>1294</v>
      </c>
      <c r="N379" s="278">
        <v>44211</v>
      </c>
      <c r="O379" s="329" t="s">
        <v>67</v>
      </c>
      <c r="P379" s="386">
        <f t="shared" ref="P379:Q379" si="376">IF(B379=0,0,IF(YEAR(B379)=$Q$1,MONTH(B379)-$P$1+1,(YEAR(B379)-$Q$1)*12-$P$1+1+MONTH(B379)))</f>
        <v>1</v>
      </c>
      <c r="Q379" s="330">
        <f t="shared" si="376"/>
        <v>-2</v>
      </c>
      <c r="R379" s="351" t="str">
        <f t="shared" si="3"/>
        <v>Gastos_Gerais</v>
      </c>
      <c r="S379" s="351" t="str">
        <f>IF(D379="","",IF(OR(D379=Plano!$A$1,D379=Plano!$B$1),"entrada","saída"))</f>
        <v>saída</v>
      </c>
      <c r="T379" s="334" t="s">
        <v>994</v>
      </c>
      <c r="U379" s="334">
        <v>927</v>
      </c>
      <c r="V379" s="344"/>
      <c r="W379" s="269"/>
    </row>
    <row r="380" spans="1:23" ht="255" customHeight="1" x14ac:dyDescent="0.2">
      <c r="A380" s="277">
        <f t="shared" si="0"/>
        <v>376</v>
      </c>
      <c r="B380" s="278">
        <v>44211</v>
      </c>
      <c r="C380" s="249">
        <v>44166</v>
      </c>
      <c r="D380" s="250" t="s">
        <v>99</v>
      </c>
      <c r="E380" s="250" t="s">
        <v>236</v>
      </c>
      <c r="F380" s="251">
        <v>9799</v>
      </c>
      <c r="G380" s="255" t="s">
        <v>2993</v>
      </c>
      <c r="H380" s="250" t="s">
        <v>132</v>
      </c>
      <c r="I380" s="250" t="s">
        <v>2994</v>
      </c>
      <c r="J380" s="250" t="s">
        <v>459</v>
      </c>
      <c r="K380" s="255" t="s">
        <v>991</v>
      </c>
      <c r="L380" s="250" t="s">
        <v>1016</v>
      </c>
      <c r="M380" s="255" t="s">
        <v>1443</v>
      </c>
      <c r="N380" s="278">
        <v>44211</v>
      </c>
      <c r="O380" s="329" t="s">
        <v>67</v>
      </c>
      <c r="P380" s="386">
        <f t="shared" ref="P380:Q380" si="377">IF(B380=0,0,IF(YEAR(B380)=$Q$1,MONTH(B380)-$P$1+1,(YEAR(B380)-$Q$1)*12-$P$1+1+MONTH(B380)))</f>
        <v>1</v>
      </c>
      <c r="Q380" s="330">
        <f t="shared" si="377"/>
        <v>0</v>
      </c>
      <c r="R380" s="351" t="str">
        <f t="shared" si="3"/>
        <v>Gastos_Gerais</v>
      </c>
      <c r="S380" s="351" t="str">
        <f>IF(D380="","",IF(OR(D380=Plano!$A$1,D380=Plano!$B$1),"entrada","saída"))</f>
        <v>saída</v>
      </c>
      <c r="T380" s="334" t="s">
        <v>994</v>
      </c>
      <c r="U380" s="334">
        <v>900</v>
      </c>
      <c r="V380" s="269"/>
      <c r="W380" s="269"/>
    </row>
    <row r="381" spans="1:23" ht="162" customHeight="1" x14ac:dyDescent="0.2">
      <c r="A381" s="277">
        <f t="shared" si="0"/>
        <v>377</v>
      </c>
      <c r="B381" s="278">
        <v>44211</v>
      </c>
      <c r="C381" s="249">
        <v>44166</v>
      </c>
      <c r="D381" s="250" t="s">
        <v>99</v>
      </c>
      <c r="E381" s="250" t="s">
        <v>364</v>
      </c>
      <c r="F381" s="251">
        <v>5144.47</v>
      </c>
      <c r="G381" s="255" t="s">
        <v>2995</v>
      </c>
      <c r="H381" s="250" t="s">
        <v>132</v>
      </c>
      <c r="I381" s="250" t="s">
        <v>2994</v>
      </c>
      <c r="J381" s="250" t="s">
        <v>459</v>
      </c>
      <c r="K381" s="255" t="s">
        <v>991</v>
      </c>
      <c r="L381" s="250" t="s">
        <v>1016</v>
      </c>
      <c r="M381" s="255" t="s">
        <v>1540</v>
      </c>
      <c r="N381" s="278">
        <v>44211</v>
      </c>
      <c r="O381" s="329" t="s">
        <v>67</v>
      </c>
      <c r="P381" s="386">
        <f t="shared" ref="P381:Q381" si="378">IF(B381=0,0,IF(YEAR(B381)=$Q$1,MONTH(B381)-$P$1+1,(YEAR(B381)-$Q$1)*12-$P$1+1+MONTH(B381)))</f>
        <v>1</v>
      </c>
      <c r="Q381" s="330">
        <f t="shared" si="378"/>
        <v>0</v>
      </c>
      <c r="R381" s="351" t="str">
        <f t="shared" si="3"/>
        <v>Gastos_Gerais</v>
      </c>
      <c r="S381" s="351" t="str">
        <f>IF(D381="","",IF(OR(D381=Plano!$A$1,D381=Plano!$B$1),"entrada","saída"))</f>
        <v>saída</v>
      </c>
      <c r="T381" s="334" t="s">
        <v>994</v>
      </c>
      <c r="U381" s="334">
        <v>901</v>
      </c>
      <c r="V381" s="269"/>
      <c r="W381" s="269"/>
    </row>
    <row r="382" spans="1:23" ht="69.75" customHeight="1" x14ac:dyDescent="0.2">
      <c r="A382" s="277">
        <f t="shared" si="0"/>
        <v>378</v>
      </c>
      <c r="B382" s="278">
        <v>44211</v>
      </c>
      <c r="C382" s="249">
        <v>44197</v>
      </c>
      <c r="D382" s="255" t="s">
        <v>99</v>
      </c>
      <c r="E382" s="255" t="s">
        <v>272</v>
      </c>
      <c r="F382" s="258">
        <v>10.45</v>
      </c>
      <c r="G382" s="255" t="s">
        <v>2996</v>
      </c>
      <c r="H382" s="250" t="s">
        <v>132</v>
      </c>
      <c r="I382" s="250" t="s">
        <v>949</v>
      </c>
      <c r="J382" s="255" t="s">
        <v>950</v>
      </c>
      <c r="K382" s="255" t="s">
        <v>951</v>
      </c>
      <c r="L382" s="250" t="s">
        <v>947</v>
      </c>
      <c r="M382" s="279" t="s">
        <v>114</v>
      </c>
      <c r="N382" s="278">
        <v>44211</v>
      </c>
      <c r="O382" s="329" t="s">
        <v>67</v>
      </c>
      <c r="P382" s="386">
        <f t="shared" ref="P382:Q382" si="379">IF(B382=0,0,IF(YEAR(B382)=$Q$1,MONTH(B382)-$P$1+1,(YEAR(B382)-$Q$1)*12-$P$1+1+MONTH(B382)))</f>
        <v>1</v>
      </c>
      <c r="Q382" s="330">
        <f t="shared" si="379"/>
        <v>1</v>
      </c>
      <c r="R382" s="351" t="str">
        <f t="shared" si="3"/>
        <v>Gastos_Gerais</v>
      </c>
      <c r="S382" s="351" t="str">
        <f>IF(D382="","",IF(OR(D382=Plano!$A$1,D382=Plano!$B$1),"entrada","saída"))</f>
        <v>saída</v>
      </c>
      <c r="T382" s="334" t="s">
        <v>114</v>
      </c>
      <c r="U382" s="334" t="s">
        <v>114</v>
      </c>
      <c r="V382" s="269"/>
      <c r="W382" s="269"/>
    </row>
    <row r="383" spans="1:23" ht="69.75" customHeight="1" x14ac:dyDescent="0.2">
      <c r="A383" s="277">
        <f t="shared" si="0"/>
        <v>379</v>
      </c>
      <c r="B383" s="278">
        <v>44211</v>
      </c>
      <c r="C383" s="249">
        <v>44197</v>
      </c>
      <c r="D383" s="255" t="s">
        <v>99</v>
      </c>
      <c r="E383" s="255" t="s">
        <v>272</v>
      </c>
      <c r="F383" s="258">
        <v>10.45</v>
      </c>
      <c r="G383" s="255" t="s">
        <v>2997</v>
      </c>
      <c r="H383" s="250" t="s">
        <v>132</v>
      </c>
      <c r="I383" s="250" t="s">
        <v>949</v>
      </c>
      <c r="J383" s="255" t="s">
        <v>950</v>
      </c>
      <c r="K383" s="255" t="s">
        <v>951</v>
      </c>
      <c r="L383" s="250" t="s">
        <v>947</v>
      </c>
      <c r="M383" s="279" t="s">
        <v>114</v>
      </c>
      <c r="N383" s="278">
        <v>44211</v>
      </c>
      <c r="O383" s="329" t="s">
        <v>67</v>
      </c>
      <c r="P383" s="386">
        <f t="shared" ref="P383:Q383" si="380">IF(B383=0,0,IF(YEAR(B383)=$Q$1,MONTH(B383)-$P$1+1,(YEAR(B383)-$Q$1)*12-$P$1+1+MONTH(B383)))</f>
        <v>1</v>
      </c>
      <c r="Q383" s="330">
        <f t="shared" si="380"/>
        <v>1</v>
      </c>
      <c r="R383" s="351" t="str">
        <f t="shared" si="3"/>
        <v>Gastos_Gerais</v>
      </c>
      <c r="S383" s="351" t="str">
        <f>IF(D383="","",IF(OR(D383=Plano!$A$1,D383=Plano!$B$1),"entrada","saída"))</f>
        <v>saída</v>
      </c>
      <c r="T383" s="334" t="s">
        <v>114</v>
      </c>
      <c r="U383" s="334" t="s">
        <v>114</v>
      </c>
      <c r="V383" s="269"/>
      <c r="W383" s="269"/>
    </row>
    <row r="384" spans="1:23" ht="69.75" customHeight="1" x14ac:dyDescent="0.2">
      <c r="A384" s="277">
        <f t="shared" si="0"/>
        <v>380</v>
      </c>
      <c r="B384" s="278">
        <v>44211</v>
      </c>
      <c r="C384" s="249">
        <v>44197</v>
      </c>
      <c r="D384" s="255" t="s">
        <v>99</v>
      </c>
      <c r="E384" s="255" t="s">
        <v>272</v>
      </c>
      <c r="F384" s="258">
        <v>10.45</v>
      </c>
      <c r="G384" s="255" t="s">
        <v>2998</v>
      </c>
      <c r="H384" s="250" t="s">
        <v>132</v>
      </c>
      <c r="I384" s="250" t="s">
        <v>949</v>
      </c>
      <c r="J384" s="255" t="s">
        <v>950</v>
      </c>
      <c r="K384" s="255" t="s">
        <v>951</v>
      </c>
      <c r="L384" s="250" t="s">
        <v>947</v>
      </c>
      <c r="M384" s="279" t="s">
        <v>114</v>
      </c>
      <c r="N384" s="278">
        <v>44211</v>
      </c>
      <c r="O384" s="329" t="s">
        <v>67</v>
      </c>
      <c r="P384" s="386">
        <f t="shared" ref="P384:Q384" si="381">IF(B384=0,0,IF(YEAR(B384)=$Q$1,MONTH(B384)-$P$1+1,(YEAR(B384)-$Q$1)*12-$P$1+1+MONTH(B384)))</f>
        <v>1</v>
      </c>
      <c r="Q384" s="330">
        <f t="shared" si="381"/>
        <v>1</v>
      </c>
      <c r="R384" s="351" t="str">
        <f t="shared" si="3"/>
        <v>Gastos_Gerais</v>
      </c>
      <c r="S384" s="351" t="str">
        <f>IF(D384="","",IF(OR(D384=Plano!$A$1,D384=Plano!$B$1),"entrada","saída"))</f>
        <v>saída</v>
      </c>
      <c r="T384" s="334" t="s">
        <v>114</v>
      </c>
      <c r="U384" s="334" t="s">
        <v>114</v>
      </c>
      <c r="V384" s="269"/>
      <c r="W384" s="269"/>
    </row>
    <row r="385" spans="1:23" ht="69.75" customHeight="1" x14ac:dyDescent="0.2">
      <c r="A385" s="277">
        <f t="shared" si="0"/>
        <v>381</v>
      </c>
      <c r="B385" s="278">
        <v>44211</v>
      </c>
      <c r="C385" s="249">
        <v>44197</v>
      </c>
      <c r="D385" s="255" t="s">
        <v>99</v>
      </c>
      <c r="E385" s="255" t="s">
        <v>272</v>
      </c>
      <c r="F385" s="258">
        <v>10.45</v>
      </c>
      <c r="G385" s="255" t="s">
        <v>2999</v>
      </c>
      <c r="H385" s="250" t="s">
        <v>114</v>
      </c>
      <c r="I385" s="250" t="s">
        <v>949</v>
      </c>
      <c r="J385" s="255" t="s">
        <v>950</v>
      </c>
      <c r="K385" s="255" t="s">
        <v>951</v>
      </c>
      <c r="L385" s="250" t="s">
        <v>947</v>
      </c>
      <c r="M385" s="279" t="s">
        <v>114</v>
      </c>
      <c r="N385" s="278">
        <v>44211</v>
      </c>
      <c r="O385" s="329" t="s">
        <v>67</v>
      </c>
      <c r="P385" s="386">
        <f t="shared" ref="P385:Q385" si="382">IF(B385=0,0,IF(YEAR(B385)=$Q$1,MONTH(B385)-$P$1+1,(YEAR(B385)-$Q$1)*12-$P$1+1+MONTH(B385)))</f>
        <v>1</v>
      </c>
      <c r="Q385" s="330">
        <f t="shared" si="382"/>
        <v>1</v>
      </c>
      <c r="R385" s="351" t="str">
        <f t="shared" si="3"/>
        <v>Gastos_Gerais</v>
      </c>
      <c r="S385" s="351" t="str">
        <f>IF(D385="","",IF(OR(D385=Plano!$A$1,D385=Plano!$B$1),"entrada","saída"))</f>
        <v>saída</v>
      </c>
      <c r="T385" s="334" t="s">
        <v>114</v>
      </c>
      <c r="U385" s="334" t="s">
        <v>114</v>
      </c>
      <c r="V385" s="269"/>
      <c r="W385" s="269"/>
    </row>
    <row r="386" spans="1:23" ht="69.75" customHeight="1" x14ac:dyDescent="0.2">
      <c r="A386" s="277">
        <f t="shared" si="0"/>
        <v>382</v>
      </c>
      <c r="B386" s="278">
        <v>44211</v>
      </c>
      <c r="C386" s="249">
        <v>44105</v>
      </c>
      <c r="D386" s="250" t="s">
        <v>104</v>
      </c>
      <c r="E386" s="250" t="s">
        <v>104</v>
      </c>
      <c r="F386" s="251">
        <v>4900</v>
      </c>
      <c r="G386" s="255" t="s">
        <v>3000</v>
      </c>
      <c r="H386" s="250" t="s">
        <v>104</v>
      </c>
      <c r="I386" s="250" t="s">
        <v>3001</v>
      </c>
      <c r="J386" s="250" t="s">
        <v>3002</v>
      </c>
      <c r="K386" s="255" t="s">
        <v>1015</v>
      </c>
      <c r="L386" s="250" t="s">
        <v>1016</v>
      </c>
      <c r="M386" s="255" t="s">
        <v>1305</v>
      </c>
      <c r="N386" s="278">
        <v>44210</v>
      </c>
      <c r="O386" s="329" t="s">
        <v>70</v>
      </c>
      <c r="P386" s="386">
        <f t="shared" ref="P386:Q386" si="383">IF(B386=0,0,IF(YEAR(B386)=$Q$1,MONTH(B386)-$P$1+1,(YEAR(B386)-$Q$1)*12-$P$1+1+MONTH(B386)))</f>
        <v>1</v>
      </c>
      <c r="Q386" s="330">
        <f t="shared" si="383"/>
        <v>-2</v>
      </c>
      <c r="R386" s="351" t="str">
        <f t="shared" si="3"/>
        <v>Gastos_custeados_por_captação</v>
      </c>
      <c r="S386" s="351" t="str">
        <f>IF(D386="","",IF(OR(D386=Plano!$A$1,D386=Plano!$B$1),"entrada","saída"))</f>
        <v>saída</v>
      </c>
      <c r="T386" s="334" t="s">
        <v>114</v>
      </c>
      <c r="U386" s="334" t="s">
        <v>114</v>
      </c>
      <c r="V386" s="269"/>
      <c r="W386" s="269"/>
    </row>
    <row r="387" spans="1:23" ht="69.75" customHeight="1" x14ac:dyDescent="0.2">
      <c r="A387" s="277">
        <f t="shared" si="0"/>
        <v>383</v>
      </c>
      <c r="B387" s="278">
        <v>44211</v>
      </c>
      <c r="C387" s="249">
        <v>44105</v>
      </c>
      <c r="D387" s="250" t="s">
        <v>104</v>
      </c>
      <c r="E387" s="250" t="s">
        <v>104</v>
      </c>
      <c r="F387" s="251">
        <v>3834.88</v>
      </c>
      <c r="G387" s="255" t="s">
        <v>3003</v>
      </c>
      <c r="H387" s="250" t="s">
        <v>104</v>
      </c>
      <c r="I387" s="250" t="s">
        <v>3004</v>
      </c>
      <c r="J387" s="250" t="s">
        <v>3005</v>
      </c>
      <c r="K387" s="255" t="s">
        <v>1015</v>
      </c>
      <c r="L387" s="250" t="s">
        <v>1029</v>
      </c>
      <c r="M387" s="279">
        <v>1039</v>
      </c>
      <c r="N387" s="278">
        <v>44211</v>
      </c>
      <c r="O387" s="329" t="s">
        <v>70</v>
      </c>
      <c r="P387" s="386">
        <f t="shared" ref="P387:Q387" si="384">IF(B387=0,0,IF(YEAR(B387)=$Q$1,MONTH(B387)-$P$1+1,(YEAR(B387)-$Q$1)*12-$P$1+1+MONTH(B387)))</f>
        <v>1</v>
      </c>
      <c r="Q387" s="330">
        <f t="shared" si="384"/>
        <v>-2</v>
      </c>
      <c r="R387" s="351" t="str">
        <f t="shared" si="3"/>
        <v>Gastos_custeados_por_captação</v>
      </c>
      <c r="S387" s="351" t="str">
        <f>IF(D387="","",IF(OR(D387=Plano!$A$1,D387=Plano!$B$1),"entrada","saída"))</f>
        <v>saída</v>
      </c>
      <c r="T387" s="334" t="s">
        <v>114</v>
      </c>
      <c r="U387" s="334" t="s">
        <v>114</v>
      </c>
      <c r="V387" s="269"/>
      <c r="W387" s="269"/>
    </row>
    <row r="388" spans="1:23" ht="69.75" customHeight="1" x14ac:dyDescent="0.2">
      <c r="A388" s="277">
        <f t="shared" si="0"/>
        <v>384</v>
      </c>
      <c r="B388" s="278">
        <v>44211</v>
      </c>
      <c r="C388" s="249">
        <v>44105</v>
      </c>
      <c r="D388" s="250" t="s">
        <v>104</v>
      </c>
      <c r="E388" s="250" t="s">
        <v>104</v>
      </c>
      <c r="F388" s="251">
        <v>979.9</v>
      </c>
      <c r="G388" s="255" t="s">
        <v>3006</v>
      </c>
      <c r="H388" s="250" t="s">
        <v>104</v>
      </c>
      <c r="I388" s="250" t="s">
        <v>3007</v>
      </c>
      <c r="J388" s="250" t="s">
        <v>3008</v>
      </c>
      <c r="K388" s="255" t="s">
        <v>1015</v>
      </c>
      <c r="L388" s="250" t="s">
        <v>1016</v>
      </c>
      <c r="M388" s="255" t="s">
        <v>1017</v>
      </c>
      <c r="N388" s="278">
        <v>44211</v>
      </c>
      <c r="O388" s="329" t="s">
        <v>70</v>
      </c>
      <c r="P388" s="386">
        <f t="shared" ref="P388:Q388" si="385">IF(B388=0,0,IF(YEAR(B388)=$Q$1,MONTH(B388)-$P$1+1,(YEAR(B388)-$Q$1)*12-$P$1+1+MONTH(B388)))</f>
        <v>1</v>
      </c>
      <c r="Q388" s="330">
        <f t="shared" si="385"/>
        <v>-2</v>
      </c>
      <c r="R388" s="351" t="str">
        <f t="shared" si="3"/>
        <v>Gastos_custeados_por_captação</v>
      </c>
      <c r="S388" s="351" t="str">
        <f>IF(D388="","",IF(OR(D388=Plano!$A$1,D388=Plano!$B$1),"entrada","saída"))</f>
        <v>saída</v>
      </c>
      <c r="T388" s="334" t="s">
        <v>114</v>
      </c>
      <c r="U388" s="334" t="s">
        <v>114</v>
      </c>
      <c r="V388" s="269"/>
      <c r="W388" s="269"/>
    </row>
    <row r="389" spans="1:23" ht="69.75" customHeight="1" x14ac:dyDescent="0.2">
      <c r="A389" s="277">
        <f t="shared" si="0"/>
        <v>385</v>
      </c>
      <c r="B389" s="278">
        <v>44214</v>
      </c>
      <c r="C389" s="256">
        <v>44136</v>
      </c>
      <c r="D389" s="255" t="s">
        <v>88</v>
      </c>
      <c r="E389" s="252" t="s">
        <v>90</v>
      </c>
      <c r="F389" s="258">
        <v>-117.54</v>
      </c>
      <c r="G389" s="255" t="s">
        <v>3009</v>
      </c>
      <c r="H389" s="255" t="s">
        <v>114</v>
      </c>
      <c r="I389" s="250" t="s">
        <v>3010</v>
      </c>
      <c r="J389" s="255" t="s">
        <v>850</v>
      </c>
      <c r="K389" s="255" t="s">
        <v>946</v>
      </c>
      <c r="L389" s="250" t="s">
        <v>947</v>
      </c>
      <c r="M389" s="390" t="s">
        <v>114</v>
      </c>
      <c r="N389" s="278">
        <v>44214</v>
      </c>
      <c r="O389" s="329" t="s">
        <v>67</v>
      </c>
      <c r="P389" s="386">
        <f t="shared" ref="P389:Q389" si="386">IF(B389=0,0,IF(YEAR(B389)=$Q$1,MONTH(B389)-$P$1+1,(YEAR(B389)-$Q$1)*12-$P$1+1+MONTH(B389)))</f>
        <v>1</v>
      </c>
      <c r="Q389" s="330">
        <f t="shared" si="386"/>
        <v>-1</v>
      </c>
      <c r="R389" s="351" t="str">
        <f t="shared" si="3"/>
        <v>Gastos_com_Pessoal</v>
      </c>
      <c r="S389" s="351" t="str">
        <f>IF(D389="","",IF(OR(D389=Plano!$A$1,D389=Plano!$B$1),"entrada","saída"))</f>
        <v>saída</v>
      </c>
      <c r="T389" s="334" t="s">
        <v>114</v>
      </c>
      <c r="U389" s="334" t="s">
        <v>114</v>
      </c>
      <c r="V389" s="269"/>
      <c r="W389" s="269"/>
    </row>
    <row r="390" spans="1:23" ht="69.75" customHeight="1" x14ac:dyDescent="0.2">
      <c r="A390" s="277">
        <f t="shared" si="0"/>
        <v>386</v>
      </c>
      <c r="B390" s="278">
        <v>44214</v>
      </c>
      <c r="C390" s="256">
        <v>44197</v>
      </c>
      <c r="D390" s="255" t="s">
        <v>88</v>
      </c>
      <c r="E390" s="255" t="s">
        <v>196</v>
      </c>
      <c r="F390" s="258">
        <v>-592.32000000000005</v>
      </c>
      <c r="G390" s="252" t="s">
        <v>1418</v>
      </c>
      <c r="H390" s="255" t="s">
        <v>114</v>
      </c>
      <c r="I390" s="250" t="s">
        <v>3010</v>
      </c>
      <c r="J390" s="255" t="s">
        <v>850</v>
      </c>
      <c r="K390" s="255" t="s">
        <v>946</v>
      </c>
      <c r="L390" s="250" t="s">
        <v>947</v>
      </c>
      <c r="M390" s="390" t="s">
        <v>114</v>
      </c>
      <c r="N390" s="278">
        <v>44214</v>
      </c>
      <c r="O390" s="329" t="s">
        <v>67</v>
      </c>
      <c r="P390" s="386">
        <f t="shared" ref="P390:Q390" si="387">IF(B390=0,0,IF(YEAR(B390)=$Q$1,MONTH(B390)-$P$1+1,(YEAR(B390)-$Q$1)*12-$P$1+1+MONTH(B390)))</f>
        <v>1</v>
      </c>
      <c r="Q390" s="330">
        <f t="shared" si="387"/>
        <v>1</v>
      </c>
      <c r="R390" s="351" t="str">
        <f t="shared" si="3"/>
        <v>Gastos_com_Pessoal</v>
      </c>
      <c r="S390" s="351" t="str">
        <f>IF(D390="","",IF(OR(D390=Plano!$A$1,D390=Plano!$B$1),"entrada","saída"))</f>
        <v>saída</v>
      </c>
      <c r="T390" s="334" t="s">
        <v>114</v>
      </c>
      <c r="U390" s="334" t="s">
        <v>114</v>
      </c>
      <c r="V390" s="269"/>
      <c r="W390" s="269"/>
    </row>
    <row r="391" spans="1:23" ht="69.75" customHeight="1" x14ac:dyDescent="0.2">
      <c r="A391" s="277">
        <f t="shared" si="0"/>
        <v>387</v>
      </c>
      <c r="B391" s="278">
        <v>44214</v>
      </c>
      <c r="C391" s="256">
        <v>44197</v>
      </c>
      <c r="D391" s="255" t="s">
        <v>88</v>
      </c>
      <c r="E391" s="255" t="s">
        <v>196</v>
      </c>
      <c r="F391" s="258">
        <v>-347.37</v>
      </c>
      <c r="G391" s="255" t="s">
        <v>3011</v>
      </c>
      <c r="H391" s="255" t="s">
        <v>114</v>
      </c>
      <c r="I391" s="250" t="s">
        <v>3010</v>
      </c>
      <c r="J391" s="255" t="s">
        <v>850</v>
      </c>
      <c r="K391" s="255" t="s">
        <v>946</v>
      </c>
      <c r="L391" s="250" t="s">
        <v>947</v>
      </c>
      <c r="M391" s="390" t="s">
        <v>114</v>
      </c>
      <c r="N391" s="278">
        <v>44214</v>
      </c>
      <c r="O391" s="329" t="s">
        <v>67</v>
      </c>
      <c r="P391" s="386">
        <f t="shared" ref="P391:Q391" si="388">IF(B391=0,0,IF(YEAR(B391)=$Q$1,MONTH(B391)-$P$1+1,(YEAR(B391)-$Q$1)*12-$P$1+1+MONTH(B391)))</f>
        <v>1</v>
      </c>
      <c r="Q391" s="330">
        <f t="shared" si="388"/>
        <v>1</v>
      </c>
      <c r="R391" s="351" t="str">
        <f t="shared" si="3"/>
        <v>Gastos_com_Pessoal</v>
      </c>
      <c r="S391" s="351" t="str">
        <f>IF(D391="","",IF(OR(D391=Plano!$A$1,D391=Plano!$B$1),"entrada","saída"))</f>
        <v>saída</v>
      </c>
      <c r="T391" s="334" t="s">
        <v>114</v>
      </c>
      <c r="U391" s="334" t="s">
        <v>114</v>
      </c>
      <c r="V391" s="269"/>
      <c r="W391" s="269"/>
    </row>
    <row r="392" spans="1:23" ht="69.75" customHeight="1" x14ac:dyDescent="0.2">
      <c r="A392" s="277">
        <f t="shared" si="0"/>
        <v>388</v>
      </c>
      <c r="B392" s="278">
        <v>44214</v>
      </c>
      <c r="C392" s="256">
        <v>44166</v>
      </c>
      <c r="D392" s="255" t="s">
        <v>99</v>
      </c>
      <c r="E392" s="255" t="s">
        <v>218</v>
      </c>
      <c r="F392" s="258">
        <v>-39.479999999999997</v>
      </c>
      <c r="G392" s="255" t="s">
        <v>3012</v>
      </c>
      <c r="H392" s="255" t="s">
        <v>115</v>
      </c>
      <c r="I392" s="250" t="s">
        <v>3010</v>
      </c>
      <c r="J392" s="255" t="s">
        <v>850</v>
      </c>
      <c r="K392" s="255" t="s">
        <v>946</v>
      </c>
      <c r="L392" s="250" t="s">
        <v>947</v>
      </c>
      <c r="M392" s="390" t="s">
        <v>114</v>
      </c>
      <c r="N392" s="278">
        <v>44214</v>
      </c>
      <c r="O392" s="329" t="s">
        <v>67</v>
      </c>
      <c r="P392" s="386">
        <f t="shared" ref="P392:Q392" si="389">IF(B392=0,0,IF(YEAR(B392)=$Q$1,MONTH(B392)-$P$1+1,(YEAR(B392)-$Q$1)*12-$P$1+1+MONTH(B392)))</f>
        <v>1</v>
      </c>
      <c r="Q392" s="330">
        <f t="shared" si="389"/>
        <v>0</v>
      </c>
      <c r="R392" s="351" t="str">
        <f t="shared" si="3"/>
        <v>Gastos_Gerais</v>
      </c>
      <c r="S392" s="351" t="str">
        <f>IF(D392="","",IF(OR(D392=Plano!$A$1,D392=Plano!$B$1),"entrada","saída"))</f>
        <v>saída</v>
      </c>
      <c r="T392" s="334" t="s">
        <v>114</v>
      </c>
      <c r="U392" s="334" t="s">
        <v>114</v>
      </c>
      <c r="V392" s="269"/>
      <c r="W392" s="269"/>
    </row>
    <row r="393" spans="1:23" ht="69.75" customHeight="1" x14ac:dyDescent="0.2">
      <c r="A393" s="277">
        <f t="shared" si="0"/>
        <v>389</v>
      </c>
      <c r="B393" s="278">
        <v>44214</v>
      </c>
      <c r="C393" s="256">
        <v>44166</v>
      </c>
      <c r="D393" s="255" t="s">
        <v>99</v>
      </c>
      <c r="E393" s="255" t="s">
        <v>216</v>
      </c>
      <c r="F393" s="258">
        <v>-5.62</v>
      </c>
      <c r="G393" s="255" t="s">
        <v>3013</v>
      </c>
      <c r="H393" s="255" t="s">
        <v>115</v>
      </c>
      <c r="I393" s="250" t="s">
        <v>3010</v>
      </c>
      <c r="J393" s="255" t="s">
        <v>850</v>
      </c>
      <c r="K393" s="255" t="s">
        <v>946</v>
      </c>
      <c r="L393" s="250" t="s">
        <v>947</v>
      </c>
      <c r="M393" s="390" t="s">
        <v>114</v>
      </c>
      <c r="N393" s="278">
        <v>44214</v>
      </c>
      <c r="O393" s="329" t="s">
        <v>67</v>
      </c>
      <c r="P393" s="386">
        <f t="shared" ref="P393:Q393" si="390">IF(B393=0,0,IF(YEAR(B393)=$Q$1,MONTH(B393)-$P$1+1,(YEAR(B393)-$Q$1)*12-$P$1+1+MONTH(B393)))</f>
        <v>1</v>
      </c>
      <c r="Q393" s="330">
        <f t="shared" si="390"/>
        <v>0</v>
      </c>
      <c r="R393" s="351" t="str">
        <f t="shared" si="3"/>
        <v>Gastos_Gerais</v>
      </c>
      <c r="S393" s="351" t="str">
        <f>IF(D393="","",IF(OR(D393=Plano!$A$1,D393=Plano!$B$1),"entrada","saída"))</f>
        <v>saída</v>
      </c>
      <c r="T393" s="334" t="s">
        <v>114</v>
      </c>
      <c r="U393" s="334" t="s">
        <v>114</v>
      </c>
      <c r="V393" s="269"/>
      <c r="W393" s="269"/>
    </row>
    <row r="394" spans="1:23" ht="69.75" customHeight="1" x14ac:dyDescent="0.2">
      <c r="A394" s="277">
        <f t="shared" si="0"/>
        <v>390</v>
      </c>
      <c r="B394" s="278">
        <v>44214</v>
      </c>
      <c r="C394" s="256">
        <v>44166</v>
      </c>
      <c r="D394" s="255" t="s">
        <v>99</v>
      </c>
      <c r="E394" s="255" t="s">
        <v>222</v>
      </c>
      <c r="F394" s="258">
        <v>-81.2</v>
      </c>
      <c r="G394" s="255" t="s">
        <v>3014</v>
      </c>
      <c r="H394" s="255" t="s">
        <v>115</v>
      </c>
      <c r="I394" s="250" t="s">
        <v>3010</v>
      </c>
      <c r="J394" s="255" t="s">
        <v>850</v>
      </c>
      <c r="K394" s="255" t="s">
        <v>946</v>
      </c>
      <c r="L394" s="250" t="s">
        <v>947</v>
      </c>
      <c r="M394" s="390" t="s">
        <v>114</v>
      </c>
      <c r="N394" s="278">
        <v>44214</v>
      </c>
      <c r="O394" s="329" t="s">
        <v>67</v>
      </c>
      <c r="P394" s="386">
        <f t="shared" ref="P394:Q394" si="391">IF(B394=0,0,IF(YEAR(B394)=$Q$1,MONTH(B394)-$P$1+1,(YEAR(B394)-$Q$1)*12-$P$1+1+MONTH(B394)))</f>
        <v>1</v>
      </c>
      <c r="Q394" s="330">
        <f t="shared" si="391"/>
        <v>0</v>
      </c>
      <c r="R394" s="351" t="str">
        <f t="shared" si="3"/>
        <v>Gastos_Gerais</v>
      </c>
      <c r="S394" s="351" t="str">
        <f>IF(D394="","",IF(OR(D394=Plano!$A$1,D394=Plano!$B$1),"entrada","saída"))</f>
        <v>saída</v>
      </c>
      <c r="T394" s="334" t="s">
        <v>114</v>
      </c>
      <c r="U394" s="334" t="s">
        <v>114</v>
      </c>
      <c r="V394" s="269"/>
      <c r="W394" s="269"/>
    </row>
    <row r="395" spans="1:23" ht="69.75" customHeight="1" x14ac:dyDescent="0.2">
      <c r="A395" s="277">
        <f t="shared" si="0"/>
        <v>391</v>
      </c>
      <c r="B395" s="278">
        <v>44214</v>
      </c>
      <c r="C395" s="256">
        <v>44166</v>
      </c>
      <c r="D395" s="255" t="s">
        <v>99</v>
      </c>
      <c r="E395" s="255" t="s">
        <v>216</v>
      </c>
      <c r="F395" s="258">
        <v>-25.54</v>
      </c>
      <c r="G395" s="255" t="s">
        <v>3015</v>
      </c>
      <c r="H395" s="255" t="s">
        <v>115</v>
      </c>
      <c r="I395" s="250" t="s">
        <v>3010</v>
      </c>
      <c r="J395" s="255" t="s">
        <v>850</v>
      </c>
      <c r="K395" s="255" t="s">
        <v>946</v>
      </c>
      <c r="L395" s="250" t="s">
        <v>947</v>
      </c>
      <c r="M395" s="390" t="s">
        <v>114</v>
      </c>
      <c r="N395" s="278">
        <v>44214</v>
      </c>
      <c r="O395" s="329" t="s">
        <v>67</v>
      </c>
      <c r="P395" s="386">
        <f t="shared" ref="P395:Q395" si="392">IF(B395=0,0,IF(YEAR(B395)=$Q$1,MONTH(B395)-$P$1+1,(YEAR(B395)-$Q$1)*12-$P$1+1+MONTH(B395)))</f>
        <v>1</v>
      </c>
      <c r="Q395" s="330">
        <f t="shared" si="392"/>
        <v>0</v>
      </c>
      <c r="R395" s="351" t="str">
        <f t="shared" si="3"/>
        <v>Gastos_Gerais</v>
      </c>
      <c r="S395" s="351" t="str">
        <f>IF(D395="","",IF(OR(D395=Plano!$A$1,D395=Plano!$B$1),"entrada","saída"))</f>
        <v>saída</v>
      </c>
      <c r="T395" s="334" t="s">
        <v>114</v>
      </c>
      <c r="U395" s="334" t="s">
        <v>114</v>
      </c>
      <c r="V395" s="269"/>
      <c r="W395" s="269"/>
    </row>
    <row r="396" spans="1:23" ht="216.75" customHeight="1" x14ac:dyDescent="0.2">
      <c r="A396" s="277">
        <f t="shared" si="0"/>
        <v>392</v>
      </c>
      <c r="B396" s="278">
        <v>44214</v>
      </c>
      <c r="C396" s="249">
        <v>44105</v>
      </c>
      <c r="D396" s="250" t="s">
        <v>99</v>
      </c>
      <c r="E396" s="250" t="s">
        <v>330</v>
      </c>
      <c r="F396" s="251">
        <v>978.9</v>
      </c>
      <c r="G396" s="255" t="s">
        <v>3016</v>
      </c>
      <c r="H396" s="250" t="s">
        <v>131</v>
      </c>
      <c r="I396" s="250" t="s">
        <v>3017</v>
      </c>
      <c r="J396" s="250" t="s">
        <v>3018</v>
      </c>
      <c r="K396" s="250" t="s">
        <v>1015</v>
      </c>
      <c r="L396" s="250" t="s">
        <v>1016</v>
      </c>
      <c r="M396" s="255" t="s">
        <v>1294</v>
      </c>
      <c r="N396" s="278">
        <v>44212</v>
      </c>
      <c r="O396" s="329" t="s">
        <v>67</v>
      </c>
      <c r="P396" s="386">
        <f t="shared" ref="P396:Q396" si="393">IF(B396=0,0,IF(YEAR(B396)=$Q$1,MONTH(B396)-$P$1+1,(YEAR(B396)-$Q$1)*12-$P$1+1+MONTH(B396)))</f>
        <v>1</v>
      </c>
      <c r="Q396" s="330">
        <f t="shared" si="393"/>
        <v>-2</v>
      </c>
      <c r="R396" s="351" t="str">
        <f t="shared" si="3"/>
        <v>Gastos_Gerais</v>
      </c>
      <c r="S396" s="351" t="str">
        <f>IF(D396="","",IF(OR(D396=Plano!$A$1,D396=Plano!$B$1),"entrada","saída"))</f>
        <v>saída</v>
      </c>
      <c r="T396" s="334" t="s">
        <v>994</v>
      </c>
      <c r="U396" s="334">
        <v>938</v>
      </c>
      <c r="V396" s="269"/>
      <c r="W396" s="269"/>
    </row>
    <row r="397" spans="1:23" ht="69.75" customHeight="1" x14ac:dyDescent="0.2">
      <c r="A397" s="277">
        <f t="shared" si="0"/>
        <v>393</v>
      </c>
      <c r="B397" s="278">
        <v>44214</v>
      </c>
      <c r="C397" s="256">
        <v>44166</v>
      </c>
      <c r="D397" s="255" t="s">
        <v>99</v>
      </c>
      <c r="E397" s="255" t="s">
        <v>216</v>
      </c>
      <c r="F397" s="258">
        <v>388.52</v>
      </c>
      <c r="G397" s="255" t="s">
        <v>3019</v>
      </c>
      <c r="H397" s="255" t="s">
        <v>115</v>
      </c>
      <c r="I397" s="250" t="s">
        <v>513</v>
      </c>
      <c r="J397" s="255" t="s">
        <v>514</v>
      </c>
      <c r="K397" s="255" t="s">
        <v>2873</v>
      </c>
      <c r="L397" s="250" t="s">
        <v>697</v>
      </c>
      <c r="M397" s="250" t="s">
        <v>114</v>
      </c>
      <c r="N397" s="391">
        <v>44214</v>
      </c>
      <c r="O397" s="329" t="s">
        <v>67</v>
      </c>
      <c r="P397" s="386">
        <f t="shared" ref="P397:Q397" si="394">IF(B397=0,0,IF(YEAR(B397)=$Q$1,MONTH(B397)-$P$1+1,(YEAR(B397)-$Q$1)*12-$P$1+1+MONTH(B397)))</f>
        <v>1</v>
      </c>
      <c r="Q397" s="330">
        <f t="shared" si="394"/>
        <v>0</v>
      </c>
      <c r="R397" s="351" t="str">
        <f t="shared" si="3"/>
        <v>Gastos_Gerais</v>
      </c>
      <c r="S397" s="351" t="str">
        <f>IF(D397="","",IF(OR(D397=Plano!$A$1,D397=Plano!$B$1),"entrada","saída"))</f>
        <v>saída</v>
      </c>
      <c r="T397" s="334" t="s">
        <v>114</v>
      </c>
      <c r="U397" s="334" t="s">
        <v>114</v>
      </c>
      <c r="V397" s="269"/>
      <c r="W397" s="269"/>
    </row>
    <row r="398" spans="1:23" ht="69.75" customHeight="1" x14ac:dyDescent="0.2">
      <c r="A398" s="277">
        <f t="shared" si="0"/>
        <v>394</v>
      </c>
      <c r="B398" s="278">
        <v>44214</v>
      </c>
      <c r="C398" s="256">
        <v>44166</v>
      </c>
      <c r="D398" s="255" t="s">
        <v>99</v>
      </c>
      <c r="E398" s="255" t="s">
        <v>222</v>
      </c>
      <c r="F398" s="258">
        <v>607.19000000000005</v>
      </c>
      <c r="G398" s="255" t="s">
        <v>3020</v>
      </c>
      <c r="H398" s="255" t="s">
        <v>115</v>
      </c>
      <c r="I398" s="250" t="s">
        <v>522</v>
      </c>
      <c r="J398" s="255" t="s">
        <v>523</v>
      </c>
      <c r="K398" s="255" t="s">
        <v>1375</v>
      </c>
      <c r="L398" s="250" t="s">
        <v>697</v>
      </c>
      <c r="M398" s="250" t="s">
        <v>2500</v>
      </c>
      <c r="N398" s="278">
        <v>44184</v>
      </c>
      <c r="O398" s="329" t="s">
        <v>67</v>
      </c>
      <c r="P398" s="386">
        <f t="shared" ref="P398:Q398" si="395">IF(B398=0,0,IF(YEAR(B398)=$Q$1,MONTH(B398)-$P$1+1,(YEAR(B398)-$Q$1)*12-$P$1+1+MONTH(B398)))</f>
        <v>1</v>
      </c>
      <c r="Q398" s="330">
        <f t="shared" si="395"/>
        <v>0</v>
      </c>
      <c r="R398" s="351" t="str">
        <f t="shared" si="3"/>
        <v>Gastos_Gerais</v>
      </c>
      <c r="S398" s="351" t="str">
        <f>IF(D398="","",IF(OR(D398=Plano!$A$1,D398=Plano!$B$1),"entrada","saída"))</f>
        <v>saída</v>
      </c>
      <c r="T398" s="334" t="s">
        <v>114</v>
      </c>
      <c r="U398" s="334" t="s">
        <v>114</v>
      </c>
      <c r="V398" s="269"/>
      <c r="W398" s="269"/>
    </row>
    <row r="399" spans="1:23" ht="69.75" customHeight="1" x14ac:dyDescent="0.2">
      <c r="A399" s="277">
        <f t="shared" si="0"/>
        <v>395</v>
      </c>
      <c r="B399" s="278">
        <v>44214</v>
      </c>
      <c r="C399" s="256">
        <v>44166</v>
      </c>
      <c r="D399" s="255" t="s">
        <v>99</v>
      </c>
      <c r="E399" s="255" t="s">
        <v>218</v>
      </c>
      <c r="F399" s="258">
        <v>315.85000000000002</v>
      </c>
      <c r="G399" s="255" t="s">
        <v>3021</v>
      </c>
      <c r="H399" s="255" t="s">
        <v>115</v>
      </c>
      <c r="I399" s="250" t="s">
        <v>515</v>
      </c>
      <c r="J399" s="255" t="s">
        <v>516</v>
      </c>
      <c r="K399" s="255" t="s">
        <v>2873</v>
      </c>
      <c r="L399" s="250" t="s">
        <v>697</v>
      </c>
      <c r="M399" s="279" t="s">
        <v>3022</v>
      </c>
      <c r="N399" s="391">
        <v>44211</v>
      </c>
      <c r="O399" s="329" t="s">
        <v>67</v>
      </c>
      <c r="P399" s="386">
        <f t="shared" ref="P399:Q399" si="396">IF(B399=0,0,IF(YEAR(B399)=$Q$1,MONTH(B399)-$P$1+1,(YEAR(B399)-$Q$1)*12-$P$1+1+MONTH(B399)))</f>
        <v>1</v>
      </c>
      <c r="Q399" s="330">
        <f t="shared" si="396"/>
        <v>0</v>
      </c>
      <c r="R399" s="351" t="str">
        <f t="shared" si="3"/>
        <v>Gastos_Gerais</v>
      </c>
      <c r="S399" s="351" t="str">
        <f>IF(D399="","",IF(OR(D399=Plano!$A$1,D399=Plano!$B$1),"entrada","saída"))</f>
        <v>saída</v>
      </c>
      <c r="T399" s="334" t="s">
        <v>114</v>
      </c>
      <c r="U399" s="334" t="s">
        <v>114</v>
      </c>
      <c r="V399" s="269"/>
      <c r="W399" s="269"/>
    </row>
    <row r="400" spans="1:23" ht="233.25" customHeight="1" x14ac:dyDescent="0.2">
      <c r="A400" s="277">
        <f t="shared" si="0"/>
        <v>396</v>
      </c>
      <c r="B400" s="278">
        <v>44214</v>
      </c>
      <c r="C400" s="249">
        <v>44166</v>
      </c>
      <c r="D400" s="250" t="s">
        <v>99</v>
      </c>
      <c r="E400" s="250" t="s">
        <v>262</v>
      </c>
      <c r="F400" s="251">
        <v>2000</v>
      </c>
      <c r="G400" s="255" t="s">
        <v>462</v>
      </c>
      <c r="H400" s="250" t="s">
        <v>125</v>
      </c>
      <c r="I400" s="250" t="s">
        <v>1331</v>
      </c>
      <c r="J400" s="250" t="s">
        <v>464</v>
      </c>
      <c r="K400" s="255" t="s">
        <v>991</v>
      </c>
      <c r="L400" s="250" t="s">
        <v>1016</v>
      </c>
      <c r="M400" s="255" t="s">
        <v>1305</v>
      </c>
      <c r="N400" s="278">
        <v>44211</v>
      </c>
      <c r="O400" s="329" t="s">
        <v>67</v>
      </c>
      <c r="P400" s="386">
        <f t="shared" ref="P400:Q400" si="397">IF(B400=0,0,IF(YEAR(B400)=$Q$1,MONTH(B400)-$P$1+1,(YEAR(B400)-$Q$1)*12-$P$1+1+MONTH(B400)))</f>
        <v>1</v>
      </c>
      <c r="Q400" s="330">
        <f t="shared" si="397"/>
        <v>0</v>
      </c>
      <c r="R400" s="351" t="str">
        <f t="shared" si="3"/>
        <v>Gastos_Gerais</v>
      </c>
      <c r="S400" s="351" t="str">
        <f>IF(D400="","",IF(OR(D400=Plano!$A$1,D400=Plano!$B$1),"entrada","saída"))</f>
        <v>saída</v>
      </c>
      <c r="T400" s="334" t="s">
        <v>1059</v>
      </c>
      <c r="U400" s="334">
        <v>956</v>
      </c>
      <c r="V400" s="269"/>
      <c r="W400" s="269"/>
    </row>
    <row r="401" spans="1:23" ht="69.75" customHeight="1" x14ac:dyDescent="0.2">
      <c r="A401" s="277">
        <f t="shared" si="0"/>
        <v>397</v>
      </c>
      <c r="B401" s="278">
        <v>44214</v>
      </c>
      <c r="C401" s="249">
        <v>44197</v>
      </c>
      <c r="D401" s="255" t="s">
        <v>99</v>
      </c>
      <c r="E401" s="255" t="s">
        <v>272</v>
      </c>
      <c r="F401" s="258">
        <v>10.45</v>
      </c>
      <c r="G401" s="255" t="s">
        <v>3023</v>
      </c>
      <c r="H401" s="250" t="s">
        <v>125</v>
      </c>
      <c r="I401" s="250" t="s">
        <v>949</v>
      </c>
      <c r="J401" s="255" t="s">
        <v>950</v>
      </c>
      <c r="K401" s="255" t="s">
        <v>951</v>
      </c>
      <c r="L401" s="250" t="s">
        <v>947</v>
      </c>
      <c r="M401" s="279" t="s">
        <v>114</v>
      </c>
      <c r="N401" s="278">
        <v>44214</v>
      </c>
      <c r="O401" s="329" t="s">
        <v>67</v>
      </c>
      <c r="P401" s="386">
        <f t="shared" ref="P401:Q401" si="398">IF(B401=0,0,IF(YEAR(B401)=$Q$1,MONTH(B401)-$P$1+1,(YEAR(B401)-$Q$1)*12-$P$1+1+MONTH(B401)))</f>
        <v>1</v>
      </c>
      <c r="Q401" s="330">
        <f t="shared" si="398"/>
        <v>1</v>
      </c>
      <c r="R401" s="351" t="str">
        <f t="shared" si="3"/>
        <v>Gastos_Gerais</v>
      </c>
      <c r="S401" s="351" t="str">
        <f>IF(D401="","",IF(OR(D401=Plano!$A$1,D401=Plano!$B$1),"entrada","saída"))</f>
        <v>saída</v>
      </c>
      <c r="T401" s="334" t="s">
        <v>114</v>
      </c>
      <c r="U401" s="334" t="s">
        <v>114</v>
      </c>
      <c r="V401" s="269"/>
      <c r="W401" s="269"/>
    </row>
    <row r="402" spans="1:23" ht="259.5" customHeight="1" x14ac:dyDescent="0.2">
      <c r="A402" s="277">
        <f t="shared" si="0"/>
        <v>398</v>
      </c>
      <c r="B402" s="278">
        <v>44215</v>
      </c>
      <c r="C402" s="249">
        <v>44166</v>
      </c>
      <c r="D402" s="250" t="s">
        <v>99</v>
      </c>
      <c r="E402" s="250" t="s">
        <v>266</v>
      </c>
      <c r="F402" s="251">
        <v>10257.09</v>
      </c>
      <c r="G402" s="255" t="s">
        <v>3024</v>
      </c>
      <c r="H402" s="250" t="s">
        <v>131</v>
      </c>
      <c r="I402" s="250" t="s">
        <v>1447</v>
      </c>
      <c r="J402" s="250" t="s">
        <v>3025</v>
      </c>
      <c r="K402" s="255" t="s">
        <v>991</v>
      </c>
      <c r="L402" s="250" t="s">
        <v>992</v>
      </c>
      <c r="M402" s="255" t="s">
        <v>1296</v>
      </c>
      <c r="N402" s="278">
        <v>44214</v>
      </c>
      <c r="O402" s="329" t="s">
        <v>67</v>
      </c>
      <c r="P402" s="386">
        <f t="shared" ref="P402:Q402" si="399">IF(B402=0,0,IF(YEAR(B402)=$Q$1,MONTH(B402)-$P$1+1,(YEAR(B402)-$Q$1)*12-$P$1+1+MONTH(B402)))</f>
        <v>1</v>
      </c>
      <c r="Q402" s="330">
        <f t="shared" si="399"/>
        <v>0</v>
      </c>
      <c r="R402" s="351" t="str">
        <f t="shared" si="3"/>
        <v>Gastos_Gerais</v>
      </c>
      <c r="S402" s="351" t="str">
        <f>IF(D402="","",IF(OR(D402=Plano!$A$1,D402=Plano!$B$1),"entrada","saída"))</f>
        <v>saída</v>
      </c>
      <c r="T402" s="334" t="s">
        <v>1059</v>
      </c>
      <c r="U402" s="334">
        <v>1108</v>
      </c>
      <c r="V402" s="269"/>
      <c r="W402" s="269"/>
    </row>
    <row r="403" spans="1:23" ht="226.5" customHeight="1" x14ac:dyDescent="0.2">
      <c r="A403" s="277">
        <f t="shared" si="0"/>
        <v>399</v>
      </c>
      <c r="B403" s="278">
        <v>44215</v>
      </c>
      <c r="C403" s="249">
        <v>44166</v>
      </c>
      <c r="D403" s="250" t="s">
        <v>99</v>
      </c>
      <c r="E403" s="250" t="s">
        <v>364</v>
      </c>
      <c r="F403" s="251">
        <v>2000</v>
      </c>
      <c r="G403" s="255" t="s">
        <v>3026</v>
      </c>
      <c r="H403" s="250" t="s">
        <v>126</v>
      </c>
      <c r="I403" s="250" t="s">
        <v>1334</v>
      </c>
      <c r="J403" s="250" t="s">
        <v>755</v>
      </c>
      <c r="K403" s="255" t="s">
        <v>991</v>
      </c>
      <c r="L403" s="250" t="s">
        <v>992</v>
      </c>
      <c r="M403" s="255" t="s">
        <v>1148</v>
      </c>
      <c r="N403" s="278">
        <v>44214</v>
      </c>
      <c r="O403" s="329" t="s">
        <v>67</v>
      </c>
      <c r="P403" s="386">
        <f t="shared" ref="P403:Q403" si="400">IF(B403=0,0,IF(YEAR(B403)=$Q$1,MONTH(B403)-$P$1+1,(YEAR(B403)-$Q$1)*12-$P$1+1+MONTH(B403)))</f>
        <v>1</v>
      </c>
      <c r="Q403" s="330">
        <f t="shared" si="400"/>
        <v>0</v>
      </c>
      <c r="R403" s="351" t="str">
        <f t="shared" si="3"/>
        <v>Gastos_Gerais</v>
      </c>
      <c r="S403" s="351" t="str">
        <f>IF(D403="","",IF(OR(D403=Plano!$A$1,D403=Plano!$B$1),"entrada","saída"))</f>
        <v>saída</v>
      </c>
      <c r="T403" s="334" t="s">
        <v>994</v>
      </c>
      <c r="U403" s="334">
        <v>1119</v>
      </c>
      <c r="V403" s="269"/>
      <c r="W403" s="269"/>
    </row>
    <row r="404" spans="1:23" ht="124.5" customHeight="1" x14ac:dyDescent="0.2">
      <c r="A404" s="277">
        <f t="shared" si="0"/>
        <v>400</v>
      </c>
      <c r="B404" s="278">
        <v>44215</v>
      </c>
      <c r="C404" s="249">
        <v>44105</v>
      </c>
      <c r="D404" s="250" t="s">
        <v>99</v>
      </c>
      <c r="E404" s="250" t="s">
        <v>236</v>
      </c>
      <c r="F404" s="251">
        <v>7839.2</v>
      </c>
      <c r="G404" s="255" t="s">
        <v>3027</v>
      </c>
      <c r="H404" s="250" t="s">
        <v>132</v>
      </c>
      <c r="I404" s="250" t="s">
        <v>3028</v>
      </c>
      <c r="J404" s="250" t="s">
        <v>3029</v>
      </c>
      <c r="K404" s="255" t="s">
        <v>991</v>
      </c>
      <c r="L404" s="250" t="s">
        <v>1016</v>
      </c>
      <c r="M404" s="255" t="s">
        <v>1305</v>
      </c>
      <c r="N404" s="278">
        <v>44211</v>
      </c>
      <c r="O404" s="329" t="s">
        <v>67</v>
      </c>
      <c r="P404" s="386">
        <f t="shared" ref="P404:Q404" si="401">IF(B404=0,0,IF(YEAR(B404)=$Q$1,MONTH(B404)-$P$1+1,(YEAR(B404)-$Q$1)*12-$P$1+1+MONTH(B404)))</f>
        <v>1</v>
      </c>
      <c r="Q404" s="330">
        <f t="shared" si="401"/>
        <v>-2</v>
      </c>
      <c r="R404" s="351" t="str">
        <f t="shared" si="3"/>
        <v>Gastos_Gerais</v>
      </c>
      <c r="S404" s="351" t="str">
        <f>IF(D404="","",IF(OR(D404=Plano!$A$1,D404=Plano!$B$1),"entrada","saída"))</f>
        <v>saída</v>
      </c>
      <c r="T404" s="334" t="s">
        <v>994</v>
      </c>
      <c r="U404" s="334">
        <v>892</v>
      </c>
      <c r="V404" s="269"/>
      <c r="W404" s="269"/>
    </row>
    <row r="405" spans="1:23" ht="69.75" customHeight="1" x14ac:dyDescent="0.2">
      <c r="A405" s="277">
        <f t="shared" si="0"/>
        <v>401</v>
      </c>
      <c r="B405" s="278">
        <v>44215</v>
      </c>
      <c r="C405" s="249">
        <v>44197</v>
      </c>
      <c r="D405" s="255" t="s">
        <v>99</v>
      </c>
      <c r="E405" s="255" t="s">
        <v>272</v>
      </c>
      <c r="F405" s="258">
        <v>10.45</v>
      </c>
      <c r="G405" s="255" t="s">
        <v>3030</v>
      </c>
      <c r="H405" s="250" t="s">
        <v>131</v>
      </c>
      <c r="I405" s="250" t="s">
        <v>949</v>
      </c>
      <c r="J405" s="255" t="s">
        <v>950</v>
      </c>
      <c r="K405" s="255" t="s">
        <v>951</v>
      </c>
      <c r="L405" s="250" t="s">
        <v>947</v>
      </c>
      <c r="M405" s="279" t="s">
        <v>114</v>
      </c>
      <c r="N405" s="278">
        <v>44215</v>
      </c>
      <c r="O405" s="329" t="s">
        <v>67</v>
      </c>
      <c r="P405" s="386">
        <f t="shared" ref="P405:Q405" si="402">IF(B405=0,0,IF(YEAR(B405)=$Q$1,MONTH(B405)-$P$1+1,(YEAR(B405)-$Q$1)*12-$P$1+1+MONTH(B405)))</f>
        <v>1</v>
      </c>
      <c r="Q405" s="330">
        <f t="shared" si="402"/>
        <v>1</v>
      </c>
      <c r="R405" s="351" t="str">
        <f t="shared" si="3"/>
        <v>Gastos_Gerais</v>
      </c>
      <c r="S405" s="351" t="str">
        <f>IF(D405="","",IF(OR(D405=Plano!$A$1,D405=Plano!$B$1),"entrada","saída"))</f>
        <v>saída</v>
      </c>
      <c r="T405" s="334" t="s">
        <v>114</v>
      </c>
      <c r="U405" s="334" t="s">
        <v>114</v>
      </c>
      <c r="V405" s="269"/>
      <c r="W405" s="269"/>
    </row>
    <row r="406" spans="1:23" ht="69.75" customHeight="1" x14ac:dyDescent="0.2">
      <c r="A406" s="277">
        <f t="shared" si="0"/>
        <v>402</v>
      </c>
      <c r="B406" s="278">
        <v>44215</v>
      </c>
      <c r="C406" s="249">
        <v>44197</v>
      </c>
      <c r="D406" s="255" t="s">
        <v>99</v>
      </c>
      <c r="E406" s="255" t="s">
        <v>272</v>
      </c>
      <c r="F406" s="258">
        <v>10.45</v>
      </c>
      <c r="G406" s="255" t="s">
        <v>3031</v>
      </c>
      <c r="H406" s="250" t="s">
        <v>126</v>
      </c>
      <c r="I406" s="250" t="s">
        <v>949</v>
      </c>
      <c r="J406" s="255" t="s">
        <v>950</v>
      </c>
      <c r="K406" s="255" t="s">
        <v>951</v>
      </c>
      <c r="L406" s="250" t="s">
        <v>947</v>
      </c>
      <c r="M406" s="279" t="s">
        <v>114</v>
      </c>
      <c r="N406" s="278">
        <v>44215</v>
      </c>
      <c r="O406" s="329" t="s">
        <v>67</v>
      </c>
      <c r="P406" s="386">
        <f t="shared" ref="P406:Q406" si="403">IF(B406=0,0,IF(YEAR(B406)=$Q$1,MONTH(B406)-$P$1+1,(YEAR(B406)-$Q$1)*12-$P$1+1+MONTH(B406)))</f>
        <v>1</v>
      </c>
      <c r="Q406" s="330">
        <f t="shared" si="403"/>
        <v>1</v>
      </c>
      <c r="R406" s="351" t="str">
        <f t="shared" si="3"/>
        <v>Gastos_Gerais</v>
      </c>
      <c r="S406" s="351" t="str">
        <f>IF(D406="","",IF(OR(D406=Plano!$A$1,D406=Plano!$B$1),"entrada","saída"))</f>
        <v>saída</v>
      </c>
      <c r="T406" s="334" t="s">
        <v>114</v>
      </c>
      <c r="U406" s="334" t="s">
        <v>114</v>
      </c>
      <c r="V406" s="269"/>
      <c r="W406" s="269"/>
    </row>
    <row r="407" spans="1:23" ht="69.75" customHeight="1" x14ac:dyDescent="0.2">
      <c r="A407" s="277">
        <f t="shared" si="0"/>
        <v>403</v>
      </c>
      <c r="B407" s="278">
        <v>44215</v>
      </c>
      <c r="C407" s="249">
        <v>44197</v>
      </c>
      <c r="D407" s="255" t="s">
        <v>99</v>
      </c>
      <c r="E407" s="255" t="s">
        <v>272</v>
      </c>
      <c r="F407" s="258">
        <v>10.45</v>
      </c>
      <c r="G407" s="255" t="s">
        <v>3032</v>
      </c>
      <c r="H407" s="250" t="s">
        <v>132</v>
      </c>
      <c r="I407" s="250" t="s">
        <v>949</v>
      </c>
      <c r="J407" s="255" t="s">
        <v>950</v>
      </c>
      <c r="K407" s="255" t="s">
        <v>951</v>
      </c>
      <c r="L407" s="250" t="s">
        <v>947</v>
      </c>
      <c r="M407" s="279" t="s">
        <v>114</v>
      </c>
      <c r="N407" s="278">
        <v>44215</v>
      </c>
      <c r="O407" s="329" t="s">
        <v>67</v>
      </c>
      <c r="P407" s="386">
        <f t="shared" ref="P407:Q407" si="404">IF(B407=0,0,IF(YEAR(B407)=$Q$1,MONTH(B407)-$P$1+1,(YEAR(B407)-$Q$1)*12-$P$1+1+MONTH(B407)))</f>
        <v>1</v>
      </c>
      <c r="Q407" s="330">
        <f t="shared" si="404"/>
        <v>1</v>
      </c>
      <c r="R407" s="351" t="str">
        <f t="shared" si="3"/>
        <v>Gastos_Gerais</v>
      </c>
      <c r="S407" s="351" t="str">
        <f>IF(D407="","",IF(OR(D407=Plano!$A$1,D407=Plano!$B$1),"entrada","saída"))</f>
        <v>saída</v>
      </c>
      <c r="T407" s="334" t="s">
        <v>114</v>
      </c>
      <c r="U407" s="334" t="s">
        <v>114</v>
      </c>
      <c r="V407" s="269"/>
      <c r="W407" s="269"/>
    </row>
    <row r="408" spans="1:23" ht="69.75" customHeight="1" x14ac:dyDescent="0.2">
      <c r="A408" s="277">
        <f t="shared" si="0"/>
        <v>404</v>
      </c>
      <c r="B408" s="278">
        <v>44215</v>
      </c>
      <c r="C408" s="249">
        <v>44105</v>
      </c>
      <c r="D408" s="250" t="s">
        <v>104</v>
      </c>
      <c r="E408" s="250" t="s">
        <v>104</v>
      </c>
      <c r="F408" s="251">
        <v>420</v>
      </c>
      <c r="G408" s="255" t="s">
        <v>3033</v>
      </c>
      <c r="H408" s="250" t="s">
        <v>104</v>
      </c>
      <c r="I408" s="250" t="s">
        <v>3034</v>
      </c>
      <c r="J408" s="250" t="s">
        <v>3035</v>
      </c>
      <c r="K408" s="255" t="s">
        <v>1015</v>
      </c>
      <c r="L408" s="250" t="s">
        <v>1029</v>
      </c>
      <c r="M408" s="279">
        <v>1042</v>
      </c>
      <c r="N408" s="278">
        <v>44215</v>
      </c>
      <c r="O408" s="329" t="s">
        <v>70</v>
      </c>
      <c r="P408" s="386">
        <f t="shared" ref="P408:Q408" si="405">IF(B408=0,0,IF(YEAR(B408)=$Q$1,MONTH(B408)-$P$1+1,(YEAR(B408)-$Q$1)*12-$P$1+1+MONTH(B408)))</f>
        <v>1</v>
      </c>
      <c r="Q408" s="330">
        <f t="shared" si="405"/>
        <v>-2</v>
      </c>
      <c r="R408" s="351" t="str">
        <f t="shared" si="3"/>
        <v>Gastos_custeados_por_captação</v>
      </c>
      <c r="S408" s="351" t="str">
        <f>IF(D408="","",IF(OR(D408=Plano!$A$1,D408=Plano!$B$1),"entrada","saída"))</f>
        <v>saída</v>
      </c>
      <c r="T408" s="334" t="s">
        <v>114</v>
      </c>
      <c r="U408" s="334" t="s">
        <v>114</v>
      </c>
      <c r="V408" s="269"/>
      <c r="W408" s="269"/>
    </row>
    <row r="409" spans="1:23" ht="69.75" customHeight="1" x14ac:dyDescent="0.2">
      <c r="A409" s="277">
        <f t="shared" si="0"/>
        <v>405</v>
      </c>
      <c r="B409" s="278">
        <v>44215</v>
      </c>
      <c r="C409" s="249">
        <v>44105</v>
      </c>
      <c r="D409" s="250" t="s">
        <v>104</v>
      </c>
      <c r="E409" s="250" t="s">
        <v>104</v>
      </c>
      <c r="F409" s="251">
        <v>5000</v>
      </c>
      <c r="G409" s="255" t="s">
        <v>3036</v>
      </c>
      <c r="H409" s="250" t="s">
        <v>104</v>
      </c>
      <c r="I409" s="250" t="s">
        <v>3037</v>
      </c>
      <c r="J409" s="250" t="s">
        <v>3038</v>
      </c>
      <c r="K409" s="255" t="s">
        <v>1015</v>
      </c>
      <c r="L409" s="250" t="s">
        <v>1016</v>
      </c>
      <c r="M409" s="279">
        <v>2021</v>
      </c>
      <c r="N409" s="278">
        <v>44214</v>
      </c>
      <c r="O409" s="329" t="s">
        <v>70</v>
      </c>
      <c r="P409" s="386">
        <f t="shared" ref="P409:Q409" si="406">IF(B409=0,0,IF(YEAR(B409)=$Q$1,MONTH(B409)-$P$1+1,(YEAR(B409)-$Q$1)*12-$P$1+1+MONTH(B409)))</f>
        <v>1</v>
      </c>
      <c r="Q409" s="330">
        <f t="shared" si="406"/>
        <v>-2</v>
      </c>
      <c r="R409" s="351" t="str">
        <f t="shared" si="3"/>
        <v>Gastos_custeados_por_captação</v>
      </c>
      <c r="S409" s="351" t="str">
        <f>IF(D409="","",IF(OR(D409=Plano!$A$1,D409=Plano!$B$1),"entrada","saída"))</f>
        <v>saída</v>
      </c>
      <c r="T409" s="334" t="s">
        <v>114</v>
      </c>
      <c r="U409" s="334" t="s">
        <v>114</v>
      </c>
      <c r="V409" s="269"/>
      <c r="W409" s="269"/>
    </row>
    <row r="410" spans="1:23" ht="69.75" customHeight="1" x14ac:dyDescent="0.2">
      <c r="A410" s="277">
        <f t="shared" si="0"/>
        <v>406</v>
      </c>
      <c r="B410" s="278">
        <v>44215</v>
      </c>
      <c r="C410" s="249">
        <v>44105</v>
      </c>
      <c r="D410" s="250" t="s">
        <v>104</v>
      </c>
      <c r="E410" s="250" t="s">
        <v>104</v>
      </c>
      <c r="F410" s="251">
        <v>29397</v>
      </c>
      <c r="G410" s="255" t="s">
        <v>3039</v>
      </c>
      <c r="H410" s="250" t="s">
        <v>104</v>
      </c>
      <c r="I410" s="250" t="s">
        <v>2992</v>
      </c>
      <c r="J410" s="250" t="s">
        <v>3040</v>
      </c>
      <c r="K410" s="255" t="s">
        <v>1015</v>
      </c>
      <c r="L410" s="250" t="s">
        <v>1016</v>
      </c>
      <c r="M410" s="279">
        <v>224.55555555555554</v>
      </c>
      <c r="N410" s="278">
        <v>44214</v>
      </c>
      <c r="O410" s="329" t="s">
        <v>70</v>
      </c>
      <c r="P410" s="386">
        <f t="shared" ref="P410:Q410" si="407">IF(B410=0,0,IF(YEAR(B410)=$Q$1,MONTH(B410)-$P$1+1,(YEAR(B410)-$Q$1)*12-$P$1+1+MONTH(B410)))</f>
        <v>1</v>
      </c>
      <c r="Q410" s="330">
        <f t="shared" si="407"/>
        <v>-2</v>
      </c>
      <c r="R410" s="351" t="str">
        <f t="shared" si="3"/>
        <v>Gastos_custeados_por_captação</v>
      </c>
      <c r="S410" s="351" t="str">
        <f>IF(D410="","",IF(OR(D410=Plano!$A$1,D410=Plano!$B$1),"entrada","saída"))</f>
        <v>saída</v>
      </c>
      <c r="T410" s="334" t="s">
        <v>114</v>
      </c>
      <c r="U410" s="334" t="s">
        <v>114</v>
      </c>
      <c r="V410" s="269"/>
      <c r="W410" s="269"/>
    </row>
    <row r="411" spans="1:23" ht="120" customHeight="1" x14ac:dyDescent="0.2">
      <c r="A411" s="277">
        <f t="shared" si="0"/>
        <v>407</v>
      </c>
      <c r="B411" s="278">
        <v>44215</v>
      </c>
      <c r="C411" s="249">
        <v>44105</v>
      </c>
      <c r="D411" s="250" t="s">
        <v>104</v>
      </c>
      <c r="E411" s="250" t="s">
        <v>104</v>
      </c>
      <c r="F411" s="251">
        <v>3500</v>
      </c>
      <c r="G411" s="255" t="s">
        <v>3041</v>
      </c>
      <c r="H411" s="250" t="s">
        <v>104</v>
      </c>
      <c r="I411" s="250" t="s">
        <v>3042</v>
      </c>
      <c r="J411" s="250" t="s">
        <v>861</v>
      </c>
      <c r="K411" s="255" t="s">
        <v>1015</v>
      </c>
      <c r="L411" s="250" t="s">
        <v>1016</v>
      </c>
      <c r="M411" s="279">
        <v>2021</v>
      </c>
      <c r="N411" s="278">
        <v>44214</v>
      </c>
      <c r="O411" s="329" t="s">
        <v>70</v>
      </c>
      <c r="P411" s="386">
        <f t="shared" ref="P411:Q411" si="408">IF(B411=0,0,IF(YEAR(B411)=$Q$1,MONTH(B411)-$P$1+1,(YEAR(B411)-$Q$1)*12-$P$1+1+MONTH(B411)))</f>
        <v>1</v>
      </c>
      <c r="Q411" s="330">
        <f t="shared" si="408"/>
        <v>-2</v>
      </c>
      <c r="R411" s="351" t="str">
        <f t="shared" si="3"/>
        <v>Gastos_custeados_por_captação</v>
      </c>
      <c r="S411" s="351" t="str">
        <f>IF(D411="","",IF(OR(D411=Plano!$A$1,D411=Plano!$B$1),"entrada","saída"))</f>
        <v>saída</v>
      </c>
      <c r="T411" s="334" t="s">
        <v>114</v>
      </c>
      <c r="U411" s="334" t="s">
        <v>114</v>
      </c>
      <c r="V411" s="269"/>
      <c r="W411" s="269"/>
    </row>
    <row r="412" spans="1:23" ht="69.75" customHeight="1" x14ac:dyDescent="0.2">
      <c r="A412" s="277">
        <f t="shared" si="0"/>
        <v>408</v>
      </c>
      <c r="B412" s="278">
        <v>44215</v>
      </c>
      <c r="C412" s="249">
        <v>44105</v>
      </c>
      <c r="D412" s="250" t="s">
        <v>104</v>
      </c>
      <c r="E412" s="250" t="s">
        <v>104</v>
      </c>
      <c r="F412" s="251">
        <v>3500</v>
      </c>
      <c r="G412" s="255" t="s">
        <v>3043</v>
      </c>
      <c r="H412" s="250" t="s">
        <v>104</v>
      </c>
      <c r="I412" s="250" t="s">
        <v>3044</v>
      </c>
      <c r="J412" s="250" t="s">
        <v>3045</v>
      </c>
      <c r="K412" s="255" t="s">
        <v>1015</v>
      </c>
      <c r="L412" s="250" t="s">
        <v>1016</v>
      </c>
      <c r="M412" s="279">
        <v>16</v>
      </c>
      <c r="N412" s="278">
        <v>44214</v>
      </c>
      <c r="O412" s="329" t="s">
        <v>70</v>
      </c>
      <c r="P412" s="386">
        <f t="shared" ref="P412:Q412" si="409">IF(B412=0,0,IF(YEAR(B412)=$Q$1,MONTH(B412)-$P$1+1,(YEAR(B412)-$Q$1)*12-$P$1+1+MONTH(B412)))</f>
        <v>1</v>
      </c>
      <c r="Q412" s="330">
        <f t="shared" si="409"/>
        <v>-2</v>
      </c>
      <c r="R412" s="351" t="str">
        <f t="shared" si="3"/>
        <v>Gastos_custeados_por_captação</v>
      </c>
      <c r="S412" s="351" t="str">
        <f>IF(D412="","",IF(OR(D412=Plano!$A$1,D412=Plano!$B$1),"entrada","saída"))</f>
        <v>saída</v>
      </c>
      <c r="T412" s="334" t="s">
        <v>114</v>
      </c>
      <c r="U412" s="334" t="s">
        <v>114</v>
      </c>
      <c r="V412" s="269"/>
      <c r="W412" s="269"/>
    </row>
    <row r="413" spans="1:23" ht="120" customHeight="1" x14ac:dyDescent="0.2">
      <c r="A413" s="277">
        <f t="shared" si="0"/>
        <v>409</v>
      </c>
      <c r="B413" s="278">
        <v>44216</v>
      </c>
      <c r="C413" s="249">
        <v>44166</v>
      </c>
      <c r="D413" s="250" t="s">
        <v>99</v>
      </c>
      <c r="E413" s="250" t="s">
        <v>244</v>
      </c>
      <c r="F413" s="251">
        <v>300.55</v>
      </c>
      <c r="G413" s="255" t="s">
        <v>3046</v>
      </c>
      <c r="H413" s="250" t="s">
        <v>126</v>
      </c>
      <c r="I413" s="250" t="s">
        <v>3047</v>
      </c>
      <c r="J413" s="250" t="s">
        <v>3048</v>
      </c>
      <c r="K413" s="255" t="s">
        <v>560</v>
      </c>
      <c r="L413" s="250" t="s">
        <v>1016</v>
      </c>
      <c r="M413" s="255" t="s">
        <v>1061</v>
      </c>
      <c r="N413" s="278">
        <v>44204</v>
      </c>
      <c r="O413" s="329" t="s">
        <v>67</v>
      </c>
      <c r="P413" s="386">
        <f t="shared" ref="P413:Q413" si="410">IF(B413=0,0,IF(YEAR(B413)=$Q$1,MONTH(B413)-$P$1+1,(YEAR(B413)-$Q$1)*12-$P$1+1+MONTH(B413)))</f>
        <v>1</v>
      </c>
      <c r="Q413" s="330">
        <f t="shared" si="410"/>
        <v>0</v>
      </c>
      <c r="R413" s="351" t="str">
        <f t="shared" si="3"/>
        <v>Gastos_Gerais</v>
      </c>
      <c r="S413" s="351" t="str">
        <f>IF(D413="","",IF(OR(D413=Plano!$A$1,D413=Plano!$B$1),"entrada","saída"))</f>
        <v>saída</v>
      </c>
      <c r="T413" s="334" t="s">
        <v>1059</v>
      </c>
      <c r="U413" s="334">
        <v>469</v>
      </c>
      <c r="V413" s="269"/>
      <c r="W413" s="269"/>
    </row>
    <row r="414" spans="1:23" ht="216.75" customHeight="1" x14ac:dyDescent="0.2">
      <c r="A414" s="277">
        <f t="shared" si="0"/>
        <v>410</v>
      </c>
      <c r="B414" s="278">
        <v>44216</v>
      </c>
      <c r="C414" s="249">
        <v>44166</v>
      </c>
      <c r="D414" s="250" t="s">
        <v>99</v>
      </c>
      <c r="E414" s="250" t="s">
        <v>244</v>
      </c>
      <c r="F414" s="251">
        <v>481.65</v>
      </c>
      <c r="G414" s="255" t="s">
        <v>3049</v>
      </c>
      <c r="H414" s="250" t="s">
        <v>122</v>
      </c>
      <c r="I414" s="250" t="s">
        <v>3047</v>
      </c>
      <c r="J414" s="250" t="s">
        <v>3050</v>
      </c>
      <c r="K414" s="255" t="s">
        <v>560</v>
      </c>
      <c r="L414" s="250" t="s">
        <v>1016</v>
      </c>
      <c r="M414" s="255" t="s">
        <v>1296</v>
      </c>
      <c r="N414" s="278">
        <v>44204</v>
      </c>
      <c r="O414" s="329" t="s">
        <v>67</v>
      </c>
      <c r="P414" s="386">
        <f t="shared" ref="P414:Q414" si="411">IF(B414=0,0,IF(YEAR(B414)=$Q$1,MONTH(B414)-$P$1+1,(YEAR(B414)-$Q$1)*12-$P$1+1+MONTH(B414)))</f>
        <v>1</v>
      </c>
      <c r="Q414" s="330">
        <f t="shared" si="411"/>
        <v>0</v>
      </c>
      <c r="R414" s="351" t="str">
        <f t="shared" si="3"/>
        <v>Gastos_Gerais</v>
      </c>
      <c r="S414" s="351" t="str">
        <f>IF(D414="","",IF(OR(D414=Plano!$A$1,D414=Plano!$B$1),"entrada","saída"))</f>
        <v>saída</v>
      </c>
      <c r="T414" s="334" t="s">
        <v>1059</v>
      </c>
      <c r="U414" s="334">
        <v>300</v>
      </c>
      <c r="V414" s="269"/>
      <c r="W414" s="269"/>
    </row>
    <row r="415" spans="1:23" ht="116.25" customHeight="1" x14ac:dyDescent="0.2">
      <c r="A415" s="277">
        <f t="shared" si="0"/>
        <v>411</v>
      </c>
      <c r="B415" s="278">
        <v>44216</v>
      </c>
      <c r="C415" s="249">
        <v>44166</v>
      </c>
      <c r="D415" s="250" t="s">
        <v>99</v>
      </c>
      <c r="E415" s="250" t="s">
        <v>226</v>
      </c>
      <c r="F415" s="251">
        <v>664.68</v>
      </c>
      <c r="G415" s="255" t="s">
        <v>3051</v>
      </c>
      <c r="H415" s="250" t="s">
        <v>128</v>
      </c>
      <c r="I415" s="250" t="s">
        <v>3047</v>
      </c>
      <c r="J415" s="250" t="s">
        <v>3050</v>
      </c>
      <c r="K415" s="255" t="s">
        <v>560</v>
      </c>
      <c r="L415" s="250" t="s">
        <v>1016</v>
      </c>
      <c r="M415" s="255" t="s">
        <v>1058</v>
      </c>
      <c r="N415" s="278">
        <v>44204</v>
      </c>
      <c r="O415" s="329" t="s">
        <v>67</v>
      </c>
      <c r="P415" s="386">
        <f t="shared" ref="P415:Q415" si="412">IF(B415=0,0,IF(YEAR(B415)=$Q$1,MONTH(B415)-$P$1+1,(YEAR(B415)-$Q$1)*12-$P$1+1+MONTH(B415)))</f>
        <v>1</v>
      </c>
      <c r="Q415" s="330">
        <f t="shared" si="412"/>
        <v>0</v>
      </c>
      <c r="R415" s="351" t="str">
        <f t="shared" si="3"/>
        <v>Gastos_Gerais</v>
      </c>
      <c r="S415" s="351" t="str">
        <f>IF(D415="","",IF(OR(D415=Plano!$A$1,D415=Plano!$B$1),"entrada","saída"))</f>
        <v>saída</v>
      </c>
      <c r="T415" s="334" t="s">
        <v>1059</v>
      </c>
      <c r="U415" s="334">
        <v>134</v>
      </c>
      <c r="V415" s="269"/>
      <c r="W415" s="269"/>
    </row>
    <row r="416" spans="1:23" ht="106.5" customHeight="1" x14ac:dyDescent="0.2">
      <c r="A416" s="277">
        <f t="shared" si="0"/>
        <v>412</v>
      </c>
      <c r="B416" s="278">
        <v>44216</v>
      </c>
      <c r="C416" s="249">
        <v>44166</v>
      </c>
      <c r="D416" s="250" t="s">
        <v>99</v>
      </c>
      <c r="E416" s="250" t="s">
        <v>226</v>
      </c>
      <c r="F416" s="251">
        <v>1155.96</v>
      </c>
      <c r="G416" s="255" t="s">
        <v>3052</v>
      </c>
      <c r="H416" s="250" t="s">
        <v>128</v>
      </c>
      <c r="I416" s="250" t="s">
        <v>3047</v>
      </c>
      <c r="J416" s="250" t="s">
        <v>3050</v>
      </c>
      <c r="K416" s="255" t="s">
        <v>560</v>
      </c>
      <c r="L416" s="250" t="s">
        <v>1016</v>
      </c>
      <c r="M416" s="255" t="s">
        <v>1299</v>
      </c>
      <c r="N416" s="278">
        <v>44204</v>
      </c>
      <c r="O416" s="329" t="s">
        <v>67</v>
      </c>
      <c r="P416" s="386">
        <f t="shared" ref="P416:Q416" si="413">IF(B416=0,0,IF(YEAR(B416)=$Q$1,MONTH(B416)-$P$1+1,(YEAR(B416)-$Q$1)*12-$P$1+1+MONTH(B416)))</f>
        <v>1</v>
      </c>
      <c r="Q416" s="330">
        <f t="shared" si="413"/>
        <v>0</v>
      </c>
      <c r="R416" s="351" t="str">
        <f t="shared" si="3"/>
        <v>Gastos_Gerais</v>
      </c>
      <c r="S416" s="351" t="str">
        <f>IF(D416="","",IF(OR(D416=Plano!$A$1,D416=Plano!$B$1),"entrada","saída"))</f>
        <v>saída</v>
      </c>
      <c r="T416" s="334" t="s">
        <v>1059</v>
      </c>
      <c r="U416" s="334">
        <v>135</v>
      </c>
      <c r="V416" s="269"/>
      <c r="W416" s="269"/>
    </row>
    <row r="417" spans="1:23" ht="69.75" customHeight="1" x14ac:dyDescent="0.2">
      <c r="A417" s="277">
        <f t="shared" si="0"/>
        <v>413</v>
      </c>
      <c r="B417" s="278">
        <v>44216</v>
      </c>
      <c r="C417" s="249">
        <v>44105</v>
      </c>
      <c r="D417" s="250" t="s">
        <v>99</v>
      </c>
      <c r="E417" s="250" t="s">
        <v>244</v>
      </c>
      <c r="F417" s="251">
        <v>22.5</v>
      </c>
      <c r="G417" s="255" t="s">
        <v>3053</v>
      </c>
      <c r="H417" s="250" t="s">
        <v>115</v>
      </c>
      <c r="I417" s="250" t="s">
        <v>488</v>
      </c>
      <c r="J417" s="250" t="s">
        <v>114</v>
      </c>
      <c r="K417" s="250" t="s">
        <v>466</v>
      </c>
      <c r="L417" s="250" t="s">
        <v>489</v>
      </c>
      <c r="M417" s="255" t="s">
        <v>114</v>
      </c>
      <c r="N417" s="278">
        <v>44196</v>
      </c>
      <c r="O417" s="329" t="s">
        <v>67</v>
      </c>
      <c r="P417" s="386">
        <f t="shared" ref="P417:Q417" si="414">IF(B417=0,0,IF(YEAR(B417)=$Q$1,MONTH(B417)-$P$1+1,(YEAR(B417)-$Q$1)*12-$P$1+1+MONTH(B417)))</f>
        <v>1</v>
      </c>
      <c r="Q417" s="330">
        <f t="shared" si="414"/>
        <v>-2</v>
      </c>
      <c r="R417" s="351" t="str">
        <f t="shared" si="3"/>
        <v>Gastos_Gerais</v>
      </c>
      <c r="S417" s="351" t="str">
        <f>IF(D417="","",IF(OR(D417=Plano!$A$1,D417=Plano!$B$1),"entrada","saída"))</f>
        <v>saída</v>
      </c>
      <c r="T417" s="334" t="s">
        <v>114</v>
      </c>
      <c r="U417" s="334" t="s">
        <v>114</v>
      </c>
      <c r="V417" s="269"/>
      <c r="W417" s="269"/>
    </row>
    <row r="418" spans="1:23" ht="69.75" customHeight="1" x14ac:dyDescent="0.2">
      <c r="A418" s="277">
        <f t="shared" si="0"/>
        <v>414</v>
      </c>
      <c r="B418" s="278">
        <v>44216</v>
      </c>
      <c r="C418" s="249">
        <v>44136</v>
      </c>
      <c r="D418" s="250" t="s">
        <v>99</v>
      </c>
      <c r="E418" s="250" t="s">
        <v>358</v>
      </c>
      <c r="F418" s="251">
        <v>21.6</v>
      </c>
      <c r="G418" s="255" t="s">
        <v>3054</v>
      </c>
      <c r="H418" s="250" t="s">
        <v>118</v>
      </c>
      <c r="I418" s="250" t="s">
        <v>488</v>
      </c>
      <c r="J418" s="250" t="s">
        <v>114</v>
      </c>
      <c r="K418" s="250" t="s">
        <v>466</v>
      </c>
      <c r="L418" s="250" t="s">
        <v>489</v>
      </c>
      <c r="M418" s="255" t="s">
        <v>114</v>
      </c>
      <c r="N418" s="278">
        <v>44196</v>
      </c>
      <c r="O418" s="329" t="s">
        <v>67</v>
      </c>
      <c r="P418" s="386">
        <f t="shared" ref="P418:Q418" si="415">IF(B418=0,0,IF(YEAR(B418)=$Q$1,MONTH(B418)-$P$1+1,(YEAR(B418)-$Q$1)*12-$P$1+1+MONTH(B418)))</f>
        <v>1</v>
      </c>
      <c r="Q418" s="330">
        <f t="shared" si="415"/>
        <v>-1</v>
      </c>
      <c r="R418" s="351" t="str">
        <f t="shared" si="3"/>
        <v>Gastos_Gerais</v>
      </c>
      <c r="S418" s="351" t="str">
        <f>IF(D418="","",IF(OR(D418=Plano!$A$1,D418=Plano!$B$1),"entrada","saída"))</f>
        <v>saída</v>
      </c>
      <c r="T418" s="334" t="s">
        <v>114</v>
      </c>
      <c r="U418" s="334" t="s">
        <v>114</v>
      </c>
      <c r="V418" s="269"/>
      <c r="W418" s="269"/>
    </row>
    <row r="419" spans="1:23" ht="69.75" customHeight="1" x14ac:dyDescent="0.2">
      <c r="A419" s="277">
        <f t="shared" si="0"/>
        <v>415</v>
      </c>
      <c r="B419" s="278">
        <v>44216</v>
      </c>
      <c r="C419" s="249">
        <v>44136</v>
      </c>
      <c r="D419" s="250" t="s">
        <v>99</v>
      </c>
      <c r="E419" s="250" t="s">
        <v>358</v>
      </c>
      <c r="F419" s="251">
        <v>21.6</v>
      </c>
      <c r="G419" s="255" t="s">
        <v>3055</v>
      </c>
      <c r="H419" s="250" t="s">
        <v>118</v>
      </c>
      <c r="I419" s="250" t="s">
        <v>488</v>
      </c>
      <c r="J419" s="250" t="s">
        <v>114</v>
      </c>
      <c r="K419" s="250" t="s">
        <v>466</v>
      </c>
      <c r="L419" s="250" t="s">
        <v>489</v>
      </c>
      <c r="M419" s="255" t="s">
        <v>114</v>
      </c>
      <c r="N419" s="278">
        <v>44196</v>
      </c>
      <c r="O419" s="329" t="s">
        <v>67</v>
      </c>
      <c r="P419" s="386">
        <f t="shared" ref="P419:Q419" si="416">IF(B419=0,0,IF(YEAR(B419)=$Q$1,MONTH(B419)-$P$1+1,(YEAR(B419)-$Q$1)*12-$P$1+1+MONTH(B419)))</f>
        <v>1</v>
      </c>
      <c r="Q419" s="330">
        <f t="shared" si="416"/>
        <v>-1</v>
      </c>
      <c r="R419" s="351" t="str">
        <f t="shared" si="3"/>
        <v>Gastos_Gerais</v>
      </c>
      <c r="S419" s="351" t="str">
        <f>IF(D419="","",IF(OR(D419=Plano!$A$1,D419=Plano!$B$1),"entrada","saída"))</f>
        <v>saída</v>
      </c>
      <c r="T419" s="334" t="s">
        <v>114</v>
      </c>
      <c r="U419" s="334" t="s">
        <v>114</v>
      </c>
      <c r="V419" s="269"/>
      <c r="W419" s="269"/>
    </row>
    <row r="420" spans="1:23" ht="69.75" customHeight="1" x14ac:dyDescent="0.2">
      <c r="A420" s="277">
        <f t="shared" si="0"/>
        <v>416</v>
      </c>
      <c r="B420" s="278">
        <v>44216</v>
      </c>
      <c r="C420" s="249">
        <v>44166</v>
      </c>
      <c r="D420" s="250" t="s">
        <v>99</v>
      </c>
      <c r="E420" s="250" t="s">
        <v>228</v>
      </c>
      <c r="F420" s="251">
        <v>54.9</v>
      </c>
      <c r="G420" s="255" t="s">
        <v>3056</v>
      </c>
      <c r="H420" s="250" t="s">
        <v>115</v>
      </c>
      <c r="I420" s="250" t="s">
        <v>488</v>
      </c>
      <c r="J420" s="250" t="s">
        <v>114</v>
      </c>
      <c r="K420" s="250" t="s">
        <v>466</v>
      </c>
      <c r="L420" s="250" t="s">
        <v>489</v>
      </c>
      <c r="M420" s="255" t="s">
        <v>114</v>
      </c>
      <c r="N420" s="278">
        <v>44196</v>
      </c>
      <c r="O420" s="329" t="s">
        <v>67</v>
      </c>
      <c r="P420" s="386">
        <f t="shared" ref="P420:Q420" si="417">IF(B420=0,0,IF(YEAR(B420)=$Q$1,MONTH(B420)-$P$1+1,(YEAR(B420)-$Q$1)*12-$P$1+1+MONTH(B420)))</f>
        <v>1</v>
      </c>
      <c r="Q420" s="330">
        <f t="shared" si="417"/>
        <v>0</v>
      </c>
      <c r="R420" s="351" t="str">
        <f t="shared" si="3"/>
        <v>Gastos_Gerais</v>
      </c>
      <c r="S420" s="351" t="str">
        <f>IF(D420="","",IF(OR(D420=Plano!$A$1,D420=Plano!$B$1),"entrada","saída"))</f>
        <v>saída</v>
      </c>
      <c r="T420" s="334" t="s">
        <v>114</v>
      </c>
      <c r="U420" s="334" t="s">
        <v>114</v>
      </c>
      <c r="V420" s="269"/>
      <c r="W420" s="269"/>
    </row>
    <row r="421" spans="1:23" ht="69.75" customHeight="1" x14ac:dyDescent="0.2">
      <c r="A421" s="277">
        <f t="shared" si="0"/>
        <v>417</v>
      </c>
      <c r="B421" s="278">
        <v>44216</v>
      </c>
      <c r="C421" s="249">
        <v>44136</v>
      </c>
      <c r="D421" s="250" t="s">
        <v>99</v>
      </c>
      <c r="E421" s="250" t="s">
        <v>358</v>
      </c>
      <c r="F421" s="251">
        <v>24.08</v>
      </c>
      <c r="G421" s="255" t="s">
        <v>3057</v>
      </c>
      <c r="H421" s="250" t="s">
        <v>128</v>
      </c>
      <c r="I421" s="250" t="s">
        <v>488</v>
      </c>
      <c r="J421" s="250" t="s">
        <v>114</v>
      </c>
      <c r="K421" s="250" t="s">
        <v>466</v>
      </c>
      <c r="L421" s="250" t="s">
        <v>489</v>
      </c>
      <c r="M421" s="255" t="s">
        <v>114</v>
      </c>
      <c r="N421" s="278">
        <v>44196</v>
      </c>
      <c r="O421" s="329" t="s">
        <v>67</v>
      </c>
      <c r="P421" s="386">
        <f t="shared" ref="P421:Q421" si="418">IF(B421=0,0,IF(YEAR(B421)=$Q$1,MONTH(B421)-$P$1+1,(YEAR(B421)-$Q$1)*12-$P$1+1+MONTH(B421)))</f>
        <v>1</v>
      </c>
      <c r="Q421" s="330">
        <f t="shared" si="418"/>
        <v>-1</v>
      </c>
      <c r="R421" s="351" t="str">
        <f t="shared" si="3"/>
        <v>Gastos_Gerais</v>
      </c>
      <c r="S421" s="351" t="str">
        <f>IF(D421="","",IF(OR(D421=Plano!$A$1,D421=Plano!$B$1),"entrada","saída"))</f>
        <v>saída</v>
      </c>
      <c r="T421" s="334" t="s">
        <v>114</v>
      </c>
      <c r="U421" s="334" t="s">
        <v>114</v>
      </c>
      <c r="V421" s="269"/>
      <c r="W421" s="269"/>
    </row>
    <row r="422" spans="1:23" ht="69.75" customHeight="1" x14ac:dyDescent="0.2">
      <c r="A422" s="277">
        <f t="shared" si="0"/>
        <v>418</v>
      </c>
      <c r="B422" s="278">
        <v>44216</v>
      </c>
      <c r="C422" s="249">
        <v>44136</v>
      </c>
      <c r="D422" s="250" t="s">
        <v>99</v>
      </c>
      <c r="E422" s="250" t="s">
        <v>236</v>
      </c>
      <c r="F422" s="251">
        <v>112.45</v>
      </c>
      <c r="G422" s="255" t="s">
        <v>3058</v>
      </c>
      <c r="H422" s="250" t="s">
        <v>116</v>
      </c>
      <c r="I422" s="250" t="s">
        <v>488</v>
      </c>
      <c r="J422" s="250" t="s">
        <v>114</v>
      </c>
      <c r="K422" s="250" t="s">
        <v>466</v>
      </c>
      <c r="L422" s="250" t="s">
        <v>489</v>
      </c>
      <c r="M422" s="255" t="s">
        <v>114</v>
      </c>
      <c r="N422" s="278">
        <v>44196</v>
      </c>
      <c r="O422" s="329" t="s">
        <v>67</v>
      </c>
      <c r="P422" s="386">
        <f t="shared" ref="P422:Q422" si="419">IF(B422=0,0,IF(YEAR(B422)=$Q$1,MONTH(B422)-$P$1+1,(YEAR(B422)-$Q$1)*12-$P$1+1+MONTH(B422)))</f>
        <v>1</v>
      </c>
      <c r="Q422" s="330">
        <f t="shared" si="419"/>
        <v>-1</v>
      </c>
      <c r="R422" s="351" t="str">
        <f t="shared" si="3"/>
        <v>Gastos_Gerais</v>
      </c>
      <c r="S422" s="351" t="str">
        <f>IF(D422="","",IF(OR(D422=Plano!$A$1,D422=Plano!$B$1),"entrada","saída"))</f>
        <v>saída</v>
      </c>
      <c r="T422" s="334" t="s">
        <v>114</v>
      </c>
      <c r="U422" s="334" t="s">
        <v>114</v>
      </c>
      <c r="V422" s="269"/>
      <c r="W422" s="269"/>
    </row>
    <row r="423" spans="1:23" ht="69.75" customHeight="1" x14ac:dyDescent="0.2">
      <c r="A423" s="277">
        <f t="shared" si="0"/>
        <v>419</v>
      </c>
      <c r="B423" s="278">
        <v>44216</v>
      </c>
      <c r="C423" s="249">
        <v>44136</v>
      </c>
      <c r="D423" s="250" t="s">
        <v>99</v>
      </c>
      <c r="E423" s="250" t="s">
        <v>336</v>
      </c>
      <c r="F423" s="251">
        <v>10.73</v>
      </c>
      <c r="G423" s="255" t="s">
        <v>3059</v>
      </c>
      <c r="H423" s="250" t="s">
        <v>116</v>
      </c>
      <c r="I423" s="250" t="s">
        <v>488</v>
      </c>
      <c r="J423" s="250" t="s">
        <v>114</v>
      </c>
      <c r="K423" s="250" t="s">
        <v>466</v>
      </c>
      <c r="L423" s="250" t="s">
        <v>489</v>
      </c>
      <c r="M423" s="255" t="s">
        <v>114</v>
      </c>
      <c r="N423" s="278">
        <v>44196</v>
      </c>
      <c r="O423" s="329" t="s">
        <v>67</v>
      </c>
      <c r="P423" s="386">
        <f t="shared" ref="P423:Q423" si="420">IF(B423=0,0,IF(YEAR(B423)=$Q$1,MONTH(B423)-$P$1+1,(YEAR(B423)-$Q$1)*12-$P$1+1+MONTH(B423)))</f>
        <v>1</v>
      </c>
      <c r="Q423" s="330">
        <f t="shared" si="420"/>
        <v>-1</v>
      </c>
      <c r="R423" s="351" t="str">
        <f t="shared" si="3"/>
        <v>Gastos_Gerais</v>
      </c>
      <c r="S423" s="351" t="str">
        <f>IF(D423="","",IF(OR(D423=Plano!$A$1,D423=Plano!$B$1),"entrada","saída"))</f>
        <v>saída</v>
      </c>
      <c r="T423" s="334" t="s">
        <v>114</v>
      </c>
      <c r="U423" s="334" t="s">
        <v>114</v>
      </c>
      <c r="V423" s="269"/>
      <c r="W423" s="269"/>
    </row>
    <row r="424" spans="1:23" ht="69.75" customHeight="1" x14ac:dyDescent="0.2">
      <c r="A424" s="277">
        <f t="shared" si="0"/>
        <v>420</v>
      </c>
      <c r="B424" s="278">
        <v>44216</v>
      </c>
      <c r="C424" s="249">
        <v>44136</v>
      </c>
      <c r="D424" s="250" t="s">
        <v>99</v>
      </c>
      <c r="E424" s="250" t="s">
        <v>336</v>
      </c>
      <c r="F424" s="251">
        <v>24.08</v>
      </c>
      <c r="G424" s="255" t="s">
        <v>3060</v>
      </c>
      <c r="H424" s="250" t="s">
        <v>117</v>
      </c>
      <c r="I424" s="250" t="s">
        <v>488</v>
      </c>
      <c r="J424" s="250" t="s">
        <v>114</v>
      </c>
      <c r="K424" s="250" t="s">
        <v>466</v>
      </c>
      <c r="L424" s="250" t="s">
        <v>489</v>
      </c>
      <c r="M424" s="255" t="s">
        <v>114</v>
      </c>
      <c r="N424" s="278">
        <v>44196</v>
      </c>
      <c r="O424" s="329" t="s">
        <v>67</v>
      </c>
      <c r="P424" s="386">
        <f t="shared" ref="P424:Q424" si="421">IF(B424=0,0,IF(YEAR(B424)=$Q$1,MONTH(B424)-$P$1+1,(YEAR(B424)-$Q$1)*12-$P$1+1+MONTH(B424)))</f>
        <v>1</v>
      </c>
      <c r="Q424" s="330">
        <f t="shared" si="421"/>
        <v>-1</v>
      </c>
      <c r="R424" s="351" t="str">
        <f t="shared" si="3"/>
        <v>Gastos_Gerais</v>
      </c>
      <c r="S424" s="351" t="str">
        <f>IF(D424="","",IF(OR(D424=Plano!$A$1,D424=Plano!$B$1),"entrada","saída"))</f>
        <v>saída</v>
      </c>
      <c r="T424" s="334" t="s">
        <v>114</v>
      </c>
      <c r="U424" s="334" t="s">
        <v>114</v>
      </c>
      <c r="V424" s="269"/>
      <c r="W424" s="269"/>
    </row>
    <row r="425" spans="1:23" ht="69.75" customHeight="1" x14ac:dyDescent="0.2">
      <c r="A425" s="277">
        <f t="shared" si="0"/>
        <v>421</v>
      </c>
      <c r="B425" s="278">
        <v>44216</v>
      </c>
      <c r="C425" s="249">
        <v>44136</v>
      </c>
      <c r="D425" s="250" t="s">
        <v>99</v>
      </c>
      <c r="E425" s="250" t="s">
        <v>330</v>
      </c>
      <c r="F425" s="251">
        <v>325.07</v>
      </c>
      <c r="G425" s="255" t="s">
        <v>3061</v>
      </c>
      <c r="H425" s="250" t="s">
        <v>125</v>
      </c>
      <c r="I425" s="250" t="s">
        <v>488</v>
      </c>
      <c r="J425" s="250" t="s">
        <v>114</v>
      </c>
      <c r="K425" s="250" t="s">
        <v>466</v>
      </c>
      <c r="L425" s="250" t="s">
        <v>489</v>
      </c>
      <c r="M425" s="255" t="s">
        <v>114</v>
      </c>
      <c r="N425" s="278">
        <v>44196</v>
      </c>
      <c r="O425" s="329" t="s">
        <v>67</v>
      </c>
      <c r="P425" s="386">
        <f t="shared" ref="P425:Q425" si="422">IF(B425=0,0,IF(YEAR(B425)=$Q$1,MONTH(B425)-$P$1+1,(YEAR(B425)-$Q$1)*12-$P$1+1+MONTH(B425)))</f>
        <v>1</v>
      </c>
      <c r="Q425" s="330">
        <f t="shared" si="422"/>
        <v>-1</v>
      </c>
      <c r="R425" s="351" t="str">
        <f t="shared" si="3"/>
        <v>Gastos_Gerais</v>
      </c>
      <c r="S425" s="351" t="str">
        <f>IF(D425="","",IF(OR(D425=Plano!$A$1,D425=Plano!$B$1),"entrada","saída"))</f>
        <v>saída</v>
      </c>
      <c r="T425" s="334" t="s">
        <v>114</v>
      </c>
      <c r="U425" s="334" t="s">
        <v>114</v>
      </c>
      <c r="V425" s="269"/>
      <c r="W425" s="269"/>
    </row>
    <row r="426" spans="1:23" ht="69.75" customHeight="1" x14ac:dyDescent="0.2">
      <c r="A426" s="277">
        <f t="shared" si="0"/>
        <v>422</v>
      </c>
      <c r="B426" s="278">
        <v>44216</v>
      </c>
      <c r="C426" s="249">
        <v>44166</v>
      </c>
      <c r="D426" s="250" t="s">
        <v>99</v>
      </c>
      <c r="E426" s="250" t="s">
        <v>352</v>
      </c>
      <c r="F426" s="251">
        <v>125.8</v>
      </c>
      <c r="G426" s="255" t="s">
        <v>3062</v>
      </c>
      <c r="H426" s="250" t="s">
        <v>125</v>
      </c>
      <c r="I426" s="250" t="s">
        <v>488</v>
      </c>
      <c r="J426" s="250" t="s">
        <v>114</v>
      </c>
      <c r="K426" s="250" t="s">
        <v>466</v>
      </c>
      <c r="L426" s="250" t="s">
        <v>489</v>
      </c>
      <c r="M426" s="255" t="s">
        <v>114</v>
      </c>
      <c r="N426" s="278">
        <v>44196</v>
      </c>
      <c r="O426" s="329" t="s">
        <v>67</v>
      </c>
      <c r="P426" s="386">
        <f t="shared" ref="P426:Q426" si="423">IF(B426=0,0,IF(YEAR(B426)=$Q$1,MONTH(B426)-$P$1+1,(YEAR(B426)-$Q$1)*12-$P$1+1+MONTH(B426)))</f>
        <v>1</v>
      </c>
      <c r="Q426" s="330">
        <f t="shared" si="423"/>
        <v>0</v>
      </c>
      <c r="R426" s="351" t="str">
        <f t="shared" si="3"/>
        <v>Gastos_Gerais</v>
      </c>
      <c r="S426" s="351" t="str">
        <f>IF(D426="","",IF(OR(D426=Plano!$A$1,D426=Plano!$B$1),"entrada","saída"))</f>
        <v>saída</v>
      </c>
      <c r="T426" s="334" t="s">
        <v>114</v>
      </c>
      <c r="U426" s="334" t="s">
        <v>114</v>
      </c>
      <c r="V426" s="269"/>
      <c r="W426" s="269"/>
    </row>
    <row r="427" spans="1:23" ht="69.75" customHeight="1" x14ac:dyDescent="0.2">
      <c r="A427" s="277">
        <f t="shared" si="0"/>
        <v>423</v>
      </c>
      <c r="B427" s="278">
        <v>44216</v>
      </c>
      <c r="C427" s="249">
        <v>44044</v>
      </c>
      <c r="D427" s="250" t="s">
        <v>99</v>
      </c>
      <c r="E427" s="250" t="s">
        <v>330</v>
      </c>
      <c r="F427" s="251">
        <v>24.08</v>
      </c>
      <c r="G427" s="255" t="s">
        <v>3063</v>
      </c>
      <c r="H427" s="250" t="s">
        <v>134</v>
      </c>
      <c r="I427" s="250" t="s">
        <v>488</v>
      </c>
      <c r="J427" s="250" t="s">
        <v>114</v>
      </c>
      <c r="K427" s="250" t="s">
        <v>466</v>
      </c>
      <c r="L427" s="250" t="s">
        <v>489</v>
      </c>
      <c r="M427" s="255" t="s">
        <v>114</v>
      </c>
      <c r="N427" s="278">
        <v>44196</v>
      </c>
      <c r="O427" s="329" t="s">
        <v>67</v>
      </c>
      <c r="P427" s="386">
        <f t="shared" ref="P427:Q427" si="424">IF(B427=0,0,IF(YEAR(B427)=$Q$1,MONTH(B427)-$P$1+1,(YEAR(B427)-$Q$1)*12-$P$1+1+MONTH(B427)))</f>
        <v>1</v>
      </c>
      <c r="Q427" s="330">
        <f t="shared" si="424"/>
        <v>-4</v>
      </c>
      <c r="R427" s="351" t="str">
        <f t="shared" si="3"/>
        <v>Gastos_Gerais</v>
      </c>
      <c r="S427" s="351" t="str">
        <f>IF(D427="","",IF(OR(D427=Plano!$A$1,D427=Plano!$B$1),"entrada","saída"))</f>
        <v>saída</v>
      </c>
      <c r="T427" s="334" t="s">
        <v>114</v>
      </c>
      <c r="U427" s="334" t="s">
        <v>114</v>
      </c>
      <c r="V427" s="269"/>
      <c r="W427" s="269"/>
    </row>
    <row r="428" spans="1:23" ht="69.75" customHeight="1" x14ac:dyDescent="0.2">
      <c r="A428" s="277">
        <f t="shared" si="0"/>
        <v>424</v>
      </c>
      <c r="B428" s="278">
        <v>44216</v>
      </c>
      <c r="C428" s="249">
        <v>44136</v>
      </c>
      <c r="D428" s="250" t="s">
        <v>99</v>
      </c>
      <c r="E428" s="250" t="s">
        <v>358</v>
      </c>
      <c r="F428" s="251">
        <v>775</v>
      </c>
      <c r="G428" s="255" t="s">
        <v>3064</v>
      </c>
      <c r="H428" s="250" t="s">
        <v>128</v>
      </c>
      <c r="I428" s="250" t="s">
        <v>530</v>
      </c>
      <c r="J428" s="250" t="s">
        <v>114</v>
      </c>
      <c r="K428" s="250" t="s">
        <v>466</v>
      </c>
      <c r="L428" s="250" t="s">
        <v>547</v>
      </c>
      <c r="M428" s="250" t="s">
        <v>114</v>
      </c>
      <c r="N428" s="278">
        <v>44196</v>
      </c>
      <c r="O428" s="329" t="s">
        <v>67</v>
      </c>
      <c r="P428" s="386">
        <f t="shared" ref="P428:Q428" si="425">IF(B428=0,0,IF(YEAR(B428)=$Q$1,MONTH(B428)-$P$1+1,(YEAR(B428)-$Q$1)*12-$P$1+1+MONTH(B428)))</f>
        <v>1</v>
      </c>
      <c r="Q428" s="330">
        <f t="shared" si="425"/>
        <v>-1</v>
      </c>
      <c r="R428" s="351" t="str">
        <f t="shared" si="3"/>
        <v>Gastos_Gerais</v>
      </c>
      <c r="S428" s="351" t="str">
        <f>IF(D428="","",IF(OR(D428=Plano!$A$1,D428=Plano!$B$1),"entrada","saída"))</f>
        <v>saída</v>
      </c>
      <c r="T428" s="334" t="s">
        <v>114</v>
      </c>
      <c r="U428" s="334" t="s">
        <v>114</v>
      </c>
      <c r="V428" s="269"/>
      <c r="W428" s="269"/>
    </row>
    <row r="429" spans="1:23" ht="69.75" customHeight="1" x14ac:dyDescent="0.2">
      <c r="A429" s="277">
        <f t="shared" si="0"/>
        <v>425</v>
      </c>
      <c r="B429" s="278">
        <v>44216</v>
      </c>
      <c r="C429" s="249">
        <v>44136</v>
      </c>
      <c r="D429" s="250" t="s">
        <v>99</v>
      </c>
      <c r="E429" s="250" t="s">
        <v>358</v>
      </c>
      <c r="F429" s="251">
        <v>310</v>
      </c>
      <c r="G429" s="255" t="s">
        <v>3065</v>
      </c>
      <c r="H429" s="250" t="s">
        <v>131</v>
      </c>
      <c r="I429" s="250" t="s">
        <v>530</v>
      </c>
      <c r="J429" s="250" t="s">
        <v>114</v>
      </c>
      <c r="K429" s="250" t="s">
        <v>466</v>
      </c>
      <c r="L429" s="250" t="s">
        <v>547</v>
      </c>
      <c r="M429" s="250" t="s">
        <v>114</v>
      </c>
      <c r="N429" s="278">
        <v>44196</v>
      </c>
      <c r="O429" s="329" t="s">
        <v>67</v>
      </c>
      <c r="P429" s="386">
        <f t="shared" ref="P429:Q429" si="426">IF(B429=0,0,IF(YEAR(B429)=$Q$1,MONTH(B429)-$P$1+1,(YEAR(B429)-$Q$1)*12-$P$1+1+MONTH(B429)))</f>
        <v>1</v>
      </c>
      <c r="Q429" s="330">
        <f t="shared" si="426"/>
        <v>-1</v>
      </c>
      <c r="R429" s="351" t="str">
        <f t="shared" si="3"/>
        <v>Gastos_Gerais</v>
      </c>
      <c r="S429" s="351" t="str">
        <f>IF(D429="","",IF(OR(D429=Plano!$A$1,D429=Plano!$B$1),"entrada","saída"))</f>
        <v>saída</v>
      </c>
      <c r="T429" s="334" t="s">
        <v>114</v>
      </c>
      <c r="U429" s="334" t="s">
        <v>114</v>
      </c>
      <c r="V429" s="269"/>
      <c r="W429" s="269"/>
    </row>
    <row r="430" spans="1:23" ht="69.75" customHeight="1" x14ac:dyDescent="0.2">
      <c r="A430" s="277">
        <f t="shared" si="0"/>
        <v>426</v>
      </c>
      <c r="B430" s="278">
        <v>44216</v>
      </c>
      <c r="C430" s="249">
        <v>44136</v>
      </c>
      <c r="D430" s="250" t="s">
        <v>99</v>
      </c>
      <c r="E430" s="250" t="s">
        <v>236</v>
      </c>
      <c r="F430" s="251">
        <v>1085</v>
      </c>
      <c r="G430" s="255" t="s">
        <v>3066</v>
      </c>
      <c r="H430" s="250" t="s">
        <v>116</v>
      </c>
      <c r="I430" s="250" t="s">
        <v>530</v>
      </c>
      <c r="J430" s="250" t="s">
        <v>114</v>
      </c>
      <c r="K430" s="250" t="s">
        <v>466</v>
      </c>
      <c r="L430" s="250" t="s">
        <v>547</v>
      </c>
      <c r="M430" s="250" t="s">
        <v>114</v>
      </c>
      <c r="N430" s="278">
        <v>44196</v>
      </c>
      <c r="O430" s="329" t="s">
        <v>67</v>
      </c>
      <c r="P430" s="386">
        <f t="shared" ref="P430:Q430" si="427">IF(B430=0,0,IF(YEAR(B430)=$Q$1,MONTH(B430)-$P$1+1,(YEAR(B430)-$Q$1)*12-$P$1+1+MONTH(B430)))</f>
        <v>1</v>
      </c>
      <c r="Q430" s="330">
        <f t="shared" si="427"/>
        <v>-1</v>
      </c>
      <c r="R430" s="351" t="str">
        <f t="shared" si="3"/>
        <v>Gastos_Gerais</v>
      </c>
      <c r="S430" s="351" t="str">
        <f>IF(D430="","",IF(OR(D430=Plano!$A$1,D430=Plano!$B$1),"entrada","saída"))</f>
        <v>saída</v>
      </c>
      <c r="T430" s="334" t="s">
        <v>114</v>
      </c>
      <c r="U430" s="334" t="s">
        <v>114</v>
      </c>
      <c r="V430" s="269"/>
      <c r="W430" s="269"/>
    </row>
    <row r="431" spans="1:23" ht="69.75" customHeight="1" x14ac:dyDescent="0.2">
      <c r="A431" s="277">
        <f t="shared" si="0"/>
        <v>427</v>
      </c>
      <c r="B431" s="278">
        <v>44216</v>
      </c>
      <c r="C431" s="249">
        <v>44136</v>
      </c>
      <c r="D431" s="250" t="s">
        <v>99</v>
      </c>
      <c r="E431" s="250" t="s">
        <v>236</v>
      </c>
      <c r="F431" s="251">
        <v>465</v>
      </c>
      <c r="G431" s="255" t="s">
        <v>3067</v>
      </c>
      <c r="H431" s="250" t="s">
        <v>122</v>
      </c>
      <c r="I431" s="250" t="s">
        <v>530</v>
      </c>
      <c r="J431" s="250" t="s">
        <v>114</v>
      </c>
      <c r="K431" s="250" t="s">
        <v>466</v>
      </c>
      <c r="L431" s="250" t="s">
        <v>547</v>
      </c>
      <c r="M431" s="250" t="s">
        <v>114</v>
      </c>
      <c r="N431" s="278">
        <v>44196</v>
      </c>
      <c r="O431" s="329" t="s">
        <v>67</v>
      </c>
      <c r="P431" s="386">
        <f t="shared" ref="P431:Q431" si="428">IF(B431=0,0,IF(YEAR(B431)=$Q$1,MONTH(B431)-$P$1+1,(YEAR(B431)-$Q$1)*12-$P$1+1+MONTH(B431)))</f>
        <v>1</v>
      </c>
      <c r="Q431" s="330">
        <f t="shared" si="428"/>
        <v>-1</v>
      </c>
      <c r="R431" s="351" t="str">
        <f t="shared" si="3"/>
        <v>Gastos_Gerais</v>
      </c>
      <c r="S431" s="351" t="str">
        <f>IF(D431="","",IF(OR(D431=Plano!$A$1,D431=Plano!$B$1),"entrada","saída"))</f>
        <v>saída</v>
      </c>
      <c r="T431" s="334" t="s">
        <v>114</v>
      </c>
      <c r="U431" s="334" t="s">
        <v>114</v>
      </c>
      <c r="V431" s="269"/>
      <c r="W431" s="269"/>
    </row>
    <row r="432" spans="1:23" ht="69.75" customHeight="1" x14ac:dyDescent="0.2">
      <c r="A432" s="277">
        <f t="shared" si="0"/>
        <v>428</v>
      </c>
      <c r="B432" s="278">
        <v>44216</v>
      </c>
      <c r="C432" s="249">
        <v>44136</v>
      </c>
      <c r="D432" s="250" t="s">
        <v>99</v>
      </c>
      <c r="E432" s="250" t="s">
        <v>358</v>
      </c>
      <c r="F432" s="251">
        <v>155</v>
      </c>
      <c r="G432" s="255" t="s">
        <v>3068</v>
      </c>
      <c r="H432" s="250" t="s">
        <v>116</v>
      </c>
      <c r="I432" s="250" t="s">
        <v>530</v>
      </c>
      <c r="J432" s="250" t="s">
        <v>114</v>
      </c>
      <c r="K432" s="250" t="s">
        <v>466</v>
      </c>
      <c r="L432" s="250" t="s">
        <v>547</v>
      </c>
      <c r="M432" s="250" t="s">
        <v>114</v>
      </c>
      <c r="N432" s="278">
        <v>44196</v>
      </c>
      <c r="O432" s="329" t="s">
        <v>67</v>
      </c>
      <c r="P432" s="386">
        <f t="shared" ref="P432:Q432" si="429">IF(B432=0,0,IF(YEAR(B432)=$Q$1,MONTH(B432)-$P$1+1,(YEAR(B432)-$Q$1)*12-$P$1+1+MONTH(B432)))</f>
        <v>1</v>
      </c>
      <c r="Q432" s="330">
        <f t="shared" si="429"/>
        <v>-1</v>
      </c>
      <c r="R432" s="351" t="str">
        <f t="shared" si="3"/>
        <v>Gastos_Gerais</v>
      </c>
      <c r="S432" s="351" t="str">
        <f>IF(D432="","",IF(OR(D432=Plano!$A$1,D432=Plano!$B$1),"entrada","saída"))</f>
        <v>saída</v>
      </c>
      <c r="T432" s="334" t="s">
        <v>114</v>
      </c>
      <c r="U432" s="334" t="s">
        <v>114</v>
      </c>
      <c r="V432" s="269"/>
      <c r="W432" s="269"/>
    </row>
    <row r="433" spans="1:23" ht="69.75" customHeight="1" x14ac:dyDescent="0.2">
      <c r="A433" s="277">
        <f t="shared" si="0"/>
        <v>429</v>
      </c>
      <c r="B433" s="278">
        <v>44216</v>
      </c>
      <c r="C433" s="249">
        <v>44136</v>
      </c>
      <c r="D433" s="250" t="s">
        <v>99</v>
      </c>
      <c r="E433" s="250" t="s">
        <v>336</v>
      </c>
      <c r="F433" s="251">
        <v>775</v>
      </c>
      <c r="G433" s="255" t="s">
        <v>3069</v>
      </c>
      <c r="H433" s="250" t="s">
        <v>117</v>
      </c>
      <c r="I433" s="250" t="s">
        <v>530</v>
      </c>
      <c r="J433" s="250" t="s">
        <v>114</v>
      </c>
      <c r="K433" s="250" t="s">
        <v>466</v>
      </c>
      <c r="L433" s="250" t="s">
        <v>547</v>
      </c>
      <c r="M433" s="250" t="s">
        <v>114</v>
      </c>
      <c r="N433" s="278">
        <v>44196</v>
      </c>
      <c r="O433" s="329" t="s">
        <v>67</v>
      </c>
      <c r="P433" s="386">
        <f t="shared" ref="P433:Q433" si="430">IF(B433=0,0,IF(YEAR(B433)=$Q$1,MONTH(B433)-$P$1+1,(YEAR(B433)-$Q$1)*12-$P$1+1+MONTH(B433)))</f>
        <v>1</v>
      </c>
      <c r="Q433" s="330">
        <f t="shared" si="430"/>
        <v>-1</v>
      </c>
      <c r="R433" s="351" t="str">
        <f t="shared" si="3"/>
        <v>Gastos_Gerais</v>
      </c>
      <c r="S433" s="351" t="str">
        <f>IF(D433="","",IF(OR(D433=Plano!$A$1,D433=Plano!$B$1),"entrada","saída"))</f>
        <v>saída</v>
      </c>
      <c r="T433" s="334" t="s">
        <v>114</v>
      </c>
      <c r="U433" s="334" t="s">
        <v>114</v>
      </c>
      <c r="V433" s="392" t="s">
        <v>114</v>
      </c>
      <c r="W433" s="269"/>
    </row>
    <row r="434" spans="1:23" ht="69.75" customHeight="1" x14ac:dyDescent="0.2">
      <c r="A434" s="277">
        <f t="shared" si="0"/>
        <v>430</v>
      </c>
      <c r="B434" s="278">
        <v>44216</v>
      </c>
      <c r="C434" s="249">
        <v>44136</v>
      </c>
      <c r="D434" s="250" t="s">
        <v>99</v>
      </c>
      <c r="E434" s="250" t="s">
        <v>358</v>
      </c>
      <c r="F434" s="251">
        <v>310</v>
      </c>
      <c r="G434" s="255" t="s">
        <v>3070</v>
      </c>
      <c r="H434" s="250" t="s">
        <v>131</v>
      </c>
      <c r="I434" s="250" t="s">
        <v>530</v>
      </c>
      <c r="J434" s="250" t="s">
        <v>114</v>
      </c>
      <c r="K434" s="250" t="s">
        <v>466</v>
      </c>
      <c r="L434" s="250" t="s">
        <v>547</v>
      </c>
      <c r="M434" s="250" t="s">
        <v>114</v>
      </c>
      <c r="N434" s="278">
        <v>44196</v>
      </c>
      <c r="O434" s="329" t="s">
        <v>67</v>
      </c>
      <c r="P434" s="386">
        <f t="shared" ref="P434:Q434" si="431">IF(B434=0,0,IF(YEAR(B434)=$Q$1,MONTH(B434)-$P$1+1,(YEAR(B434)-$Q$1)*12-$P$1+1+MONTH(B434)))</f>
        <v>1</v>
      </c>
      <c r="Q434" s="330">
        <f t="shared" si="431"/>
        <v>-1</v>
      </c>
      <c r="R434" s="351" t="str">
        <f t="shared" si="3"/>
        <v>Gastos_Gerais</v>
      </c>
      <c r="S434" s="351" t="str">
        <f>IF(D434="","",IF(OR(D434=Plano!$A$1,D434=Plano!$B$1),"entrada","saída"))</f>
        <v>saída</v>
      </c>
      <c r="T434" s="334" t="s">
        <v>114</v>
      </c>
      <c r="U434" s="334" t="s">
        <v>114</v>
      </c>
      <c r="V434" s="269"/>
      <c r="W434" s="269"/>
    </row>
    <row r="435" spans="1:23" ht="69.75" customHeight="1" x14ac:dyDescent="0.2">
      <c r="A435" s="277">
        <f t="shared" si="0"/>
        <v>431</v>
      </c>
      <c r="B435" s="278">
        <v>44216</v>
      </c>
      <c r="C435" s="249">
        <v>44166</v>
      </c>
      <c r="D435" s="250" t="s">
        <v>99</v>
      </c>
      <c r="E435" s="250" t="s">
        <v>358</v>
      </c>
      <c r="F435" s="251">
        <v>206.77</v>
      </c>
      <c r="G435" s="255" t="s">
        <v>3071</v>
      </c>
      <c r="H435" s="250" t="s">
        <v>131</v>
      </c>
      <c r="I435" s="250" t="s">
        <v>530</v>
      </c>
      <c r="J435" s="250" t="s">
        <v>114</v>
      </c>
      <c r="K435" s="250" t="s">
        <v>466</v>
      </c>
      <c r="L435" s="250" t="s">
        <v>547</v>
      </c>
      <c r="M435" s="250" t="s">
        <v>114</v>
      </c>
      <c r="N435" s="278">
        <v>44196</v>
      </c>
      <c r="O435" s="329" t="s">
        <v>67</v>
      </c>
      <c r="P435" s="386">
        <f t="shared" ref="P435:Q435" si="432">IF(B435=0,0,IF(YEAR(B435)=$Q$1,MONTH(B435)-$P$1+1,(YEAR(B435)-$Q$1)*12-$P$1+1+MONTH(B435)))</f>
        <v>1</v>
      </c>
      <c r="Q435" s="330">
        <f t="shared" si="432"/>
        <v>0</v>
      </c>
      <c r="R435" s="351" t="str">
        <f t="shared" si="3"/>
        <v>Gastos_Gerais</v>
      </c>
      <c r="S435" s="351" t="str">
        <f>IF(D435="","",IF(OR(D435=Plano!$A$1,D435=Plano!$B$1),"entrada","saída"))</f>
        <v>saída</v>
      </c>
      <c r="T435" s="334" t="s">
        <v>114</v>
      </c>
      <c r="U435" s="334" t="s">
        <v>114</v>
      </c>
      <c r="V435" s="269"/>
      <c r="W435" s="269"/>
    </row>
    <row r="436" spans="1:23" ht="69.75" customHeight="1" x14ac:dyDescent="0.2">
      <c r="A436" s="277">
        <f t="shared" si="0"/>
        <v>432</v>
      </c>
      <c r="B436" s="278">
        <v>44216</v>
      </c>
      <c r="C436" s="249">
        <v>44136</v>
      </c>
      <c r="D436" s="250" t="s">
        <v>99</v>
      </c>
      <c r="E436" s="250" t="s">
        <v>358</v>
      </c>
      <c r="F436" s="251">
        <v>387.5</v>
      </c>
      <c r="G436" s="255" t="s">
        <v>3072</v>
      </c>
      <c r="H436" s="250" t="s">
        <v>123</v>
      </c>
      <c r="I436" s="250" t="s">
        <v>530</v>
      </c>
      <c r="J436" s="250" t="s">
        <v>114</v>
      </c>
      <c r="K436" s="250" t="s">
        <v>466</v>
      </c>
      <c r="L436" s="250" t="s">
        <v>547</v>
      </c>
      <c r="M436" s="250" t="s">
        <v>114</v>
      </c>
      <c r="N436" s="278">
        <v>44196</v>
      </c>
      <c r="O436" s="329" t="s">
        <v>67</v>
      </c>
      <c r="P436" s="386">
        <f t="shared" ref="P436:Q436" si="433">IF(B436=0,0,IF(YEAR(B436)=$Q$1,MONTH(B436)-$P$1+1,(YEAR(B436)-$Q$1)*12-$P$1+1+MONTH(B436)))</f>
        <v>1</v>
      </c>
      <c r="Q436" s="330">
        <f t="shared" si="433"/>
        <v>-1</v>
      </c>
      <c r="R436" s="351" t="str">
        <f t="shared" si="3"/>
        <v>Gastos_Gerais</v>
      </c>
      <c r="S436" s="351" t="str">
        <f>IF(D436="","",IF(OR(D436=Plano!$A$1,D436=Plano!$B$1),"entrada","saída"))</f>
        <v>saída</v>
      </c>
      <c r="T436" s="334" t="s">
        <v>114</v>
      </c>
      <c r="U436" s="334" t="s">
        <v>114</v>
      </c>
      <c r="V436" s="269"/>
      <c r="W436" s="269"/>
    </row>
    <row r="437" spans="1:23" ht="69.75" customHeight="1" x14ac:dyDescent="0.2">
      <c r="A437" s="277">
        <f t="shared" si="0"/>
        <v>433</v>
      </c>
      <c r="B437" s="278">
        <v>44216</v>
      </c>
      <c r="C437" s="249">
        <v>44136</v>
      </c>
      <c r="D437" s="250" t="s">
        <v>99</v>
      </c>
      <c r="E437" s="250" t="s">
        <v>358</v>
      </c>
      <c r="F437" s="251">
        <v>595.20000000000005</v>
      </c>
      <c r="G437" s="255" t="s">
        <v>3073</v>
      </c>
      <c r="H437" s="250" t="s">
        <v>118</v>
      </c>
      <c r="I437" s="250" t="s">
        <v>530</v>
      </c>
      <c r="J437" s="250" t="s">
        <v>114</v>
      </c>
      <c r="K437" s="250" t="s">
        <v>466</v>
      </c>
      <c r="L437" s="250" t="s">
        <v>547</v>
      </c>
      <c r="M437" s="250" t="s">
        <v>114</v>
      </c>
      <c r="N437" s="278">
        <v>44196</v>
      </c>
      <c r="O437" s="329" t="s">
        <v>67</v>
      </c>
      <c r="P437" s="386">
        <f t="shared" ref="P437:Q437" si="434">IF(B437=0,0,IF(YEAR(B437)=$Q$1,MONTH(B437)-$P$1+1,(YEAR(B437)-$Q$1)*12-$P$1+1+MONTH(B437)))</f>
        <v>1</v>
      </c>
      <c r="Q437" s="330">
        <f t="shared" si="434"/>
        <v>-1</v>
      </c>
      <c r="R437" s="351" t="str">
        <f t="shared" si="3"/>
        <v>Gastos_Gerais</v>
      </c>
      <c r="S437" s="351" t="str">
        <f>IF(D437="","",IF(OR(D437=Plano!$A$1,D437=Plano!$B$1),"entrada","saída"))</f>
        <v>saída</v>
      </c>
      <c r="T437" s="334" t="s">
        <v>114</v>
      </c>
      <c r="U437" s="334" t="s">
        <v>114</v>
      </c>
      <c r="V437" s="269"/>
      <c r="W437" s="269"/>
    </row>
    <row r="438" spans="1:23" ht="69.75" customHeight="1" x14ac:dyDescent="0.2">
      <c r="A438" s="277">
        <f t="shared" si="0"/>
        <v>434</v>
      </c>
      <c r="B438" s="278">
        <v>44216</v>
      </c>
      <c r="C438" s="249">
        <v>44136</v>
      </c>
      <c r="D438" s="250" t="s">
        <v>99</v>
      </c>
      <c r="E438" s="250" t="s">
        <v>330</v>
      </c>
      <c r="F438" s="251">
        <v>1488</v>
      </c>
      <c r="G438" s="255" t="s">
        <v>3074</v>
      </c>
      <c r="H438" s="250" t="s">
        <v>125</v>
      </c>
      <c r="I438" s="250" t="s">
        <v>530</v>
      </c>
      <c r="J438" s="250" t="s">
        <v>114</v>
      </c>
      <c r="K438" s="250" t="s">
        <v>466</v>
      </c>
      <c r="L438" s="250" t="s">
        <v>547</v>
      </c>
      <c r="M438" s="250" t="s">
        <v>114</v>
      </c>
      <c r="N438" s="278">
        <v>44196</v>
      </c>
      <c r="O438" s="329" t="s">
        <v>67</v>
      </c>
      <c r="P438" s="386">
        <f t="shared" ref="P438:Q438" si="435">IF(B438=0,0,IF(YEAR(B438)=$Q$1,MONTH(B438)-$P$1+1,(YEAR(B438)-$Q$1)*12-$P$1+1+MONTH(B438)))</f>
        <v>1</v>
      </c>
      <c r="Q438" s="330">
        <f t="shared" si="435"/>
        <v>-1</v>
      </c>
      <c r="R438" s="351" t="str">
        <f t="shared" si="3"/>
        <v>Gastos_Gerais</v>
      </c>
      <c r="S438" s="351" t="str">
        <f>IF(D438="","",IF(OR(D438=Plano!$A$1,D438=Plano!$B$1),"entrada","saída"))</f>
        <v>saída</v>
      </c>
      <c r="T438" s="334" t="s">
        <v>114</v>
      </c>
      <c r="U438" s="334" t="s">
        <v>114</v>
      </c>
      <c r="V438" s="269"/>
      <c r="W438" s="269"/>
    </row>
    <row r="439" spans="1:23" ht="69.75" customHeight="1" x14ac:dyDescent="0.2">
      <c r="A439" s="277">
        <f t="shared" si="0"/>
        <v>435</v>
      </c>
      <c r="B439" s="278">
        <v>44216</v>
      </c>
      <c r="C439" s="249">
        <v>44166</v>
      </c>
      <c r="D439" s="250" t="s">
        <v>99</v>
      </c>
      <c r="E439" s="250" t="s">
        <v>358</v>
      </c>
      <c r="F439" s="251">
        <v>310</v>
      </c>
      <c r="G439" s="255" t="s">
        <v>3075</v>
      </c>
      <c r="H439" s="250" t="s">
        <v>131</v>
      </c>
      <c r="I439" s="250" t="s">
        <v>530</v>
      </c>
      <c r="J439" s="250" t="s">
        <v>114</v>
      </c>
      <c r="K439" s="250" t="s">
        <v>466</v>
      </c>
      <c r="L439" s="250" t="s">
        <v>547</v>
      </c>
      <c r="M439" s="250" t="s">
        <v>114</v>
      </c>
      <c r="N439" s="278">
        <v>44196</v>
      </c>
      <c r="O439" s="329" t="s">
        <v>67</v>
      </c>
      <c r="P439" s="386">
        <f t="shared" ref="P439:Q439" si="436">IF(B439=0,0,IF(YEAR(B439)=$Q$1,MONTH(B439)-$P$1+1,(YEAR(B439)-$Q$1)*12-$P$1+1+MONTH(B439)))</f>
        <v>1</v>
      </c>
      <c r="Q439" s="330">
        <f t="shared" si="436"/>
        <v>0</v>
      </c>
      <c r="R439" s="351" t="str">
        <f t="shared" si="3"/>
        <v>Gastos_Gerais</v>
      </c>
      <c r="S439" s="351" t="str">
        <f>IF(D439="","",IF(OR(D439=Plano!$A$1,D439=Plano!$B$1),"entrada","saída"))</f>
        <v>saída</v>
      </c>
      <c r="T439" s="334" t="s">
        <v>114</v>
      </c>
      <c r="U439" s="334" t="s">
        <v>114</v>
      </c>
      <c r="V439" s="269"/>
      <c r="W439" s="269"/>
    </row>
    <row r="440" spans="1:23" ht="69.75" customHeight="1" x14ac:dyDescent="0.2">
      <c r="A440" s="277">
        <f t="shared" si="0"/>
        <v>436</v>
      </c>
      <c r="B440" s="278">
        <v>44216</v>
      </c>
      <c r="C440" s="249">
        <v>44136</v>
      </c>
      <c r="D440" s="250" t="s">
        <v>99</v>
      </c>
      <c r="E440" s="250" t="s">
        <v>336</v>
      </c>
      <c r="F440" s="251">
        <v>155</v>
      </c>
      <c r="G440" s="255" t="s">
        <v>3076</v>
      </c>
      <c r="H440" s="250" t="s">
        <v>133</v>
      </c>
      <c r="I440" s="250" t="s">
        <v>530</v>
      </c>
      <c r="J440" s="250" t="s">
        <v>114</v>
      </c>
      <c r="K440" s="250" t="s">
        <v>466</v>
      </c>
      <c r="L440" s="250" t="s">
        <v>547</v>
      </c>
      <c r="M440" s="250" t="s">
        <v>114</v>
      </c>
      <c r="N440" s="278">
        <v>44196</v>
      </c>
      <c r="O440" s="329" t="s">
        <v>67</v>
      </c>
      <c r="P440" s="386">
        <f t="shared" ref="P440:Q440" si="437">IF(B440=0,0,IF(YEAR(B440)=$Q$1,MONTH(B440)-$P$1+1,(YEAR(B440)-$Q$1)*12-$P$1+1+MONTH(B440)))</f>
        <v>1</v>
      </c>
      <c r="Q440" s="330">
        <f t="shared" si="437"/>
        <v>-1</v>
      </c>
      <c r="R440" s="351" t="str">
        <f t="shared" si="3"/>
        <v>Gastos_Gerais</v>
      </c>
      <c r="S440" s="351" t="str">
        <f>IF(D440="","",IF(OR(D440=Plano!$A$1,D440=Plano!$B$1),"entrada","saída"))</f>
        <v>saída</v>
      </c>
      <c r="T440" s="334" t="s">
        <v>114</v>
      </c>
      <c r="U440" s="334" t="s">
        <v>114</v>
      </c>
      <c r="V440" s="269"/>
      <c r="W440" s="269"/>
    </row>
    <row r="441" spans="1:23" ht="69.75" customHeight="1" x14ac:dyDescent="0.2">
      <c r="A441" s="277">
        <f t="shared" si="0"/>
        <v>437</v>
      </c>
      <c r="B441" s="278">
        <v>44216</v>
      </c>
      <c r="C441" s="249">
        <v>44136</v>
      </c>
      <c r="D441" s="250" t="s">
        <v>99</v>
      </c>
      <c r="E441" s="250" t="s">
        <v>358</v>
      </c>
      <c r="F441" s="251">
        <v>372</v>
      </c>
      <c r="G441" s="255" t="s">
        <v>3077</v>
      </c>
      <c r="H441" s="250" t="s">
        <v>128</v>
      </c>
      <c r="I441" s="250" t="s">
        <v>530</v>
      </c>
      <c r="J441" s="250" t="s">
        <v>114</v>
      </c>
      <c r="K441" s="250" t="s">
        <v>466</v>
      </c>
      <c r="L441" s="250" t="s">
        <v>547</v>
      </c>
      <c r="M441" s="250" t="s">
        <v>114</v>
      </c>
      <c r="N441" s="278">
        <v>44196</v>
      </c>
      <c r="O441" s="329" t="s">
        <v>67</v>
      </c>
      <c r="P441" s="386">
        <f t="shared" ref="P441:Q441" si="438">IF(B441=0,0,IF(YEAR(B441)=$Q$1,MONTH(B441)-$P$1+1,(YEAR(B441)-$Q$1)*12-$P$1+1+MONTH(B441)))</f>
        <v>1</v>
      </c>
      <c r="Q441" s="330">
        <f t="shared" si="438"/>
        <v>-1</v>
      </c>
      <c r="R441" s="351" t="str">
        <f t="shared" si="3"/>
        <v>Gastos_Gerais</v>
      </c>
      <c r="S441" s="351" t="str">
        <f>IF(D441="","",IF(OR(D441=Plano!$A$1,D441=Plano!$B$1),"entrada","saída"))</f>
        <v>saída</v>
      </c>
      <c r="T441" s="334" t="s">
        <v>114</v>
      </c>
      <c r="U441" s="334" t="s">
        <v>114</v>
      </c>
      <c r="V441" s="269"/>
      <c r="W441" s="269"/>
    </row>
    <row r="442" spans="1:23" ht="69.75" customHeight="1" x14ac:dyDescent="0.2">
      <c r="A442" s="277">
        <f t="shared" si="0"/>
        <v>438</v>
      </c>
      <c r="B442" s="278">
        <v>44216</v>
      </c>
      <c r="C442" s="249">
        <v>44136</v>
      </c>
      <c r="D442" s="250" t="s">
        <v>99</v>
      </c>
      <c r="E442" s="250" t="s">
        <v>358</v>
      </c>
      <c r="F442" s="251">
        <v>232.5</v>
      </c>
      <c r="G442" s="255" t="s">
        <v>3078</v>
      </c>
      <c r="H442" s="250" t="s">
        <v>128</v>
      </c>
      <c r="I442" s="250" t="s">
        <v>530</v>
      </c>
      <c r="J442" s="250" t="s">
        <v>114</v>
      </c>
      <c r="K442" s="250" t="s">
        <v>466</v>
      </c>
      <c r="L442" s="250" t="s">
        <v>547</v>
      </c>
      <c r="M442" s="250" t="s">
        <v>114</v>
      </c>
      <c r="N442" s="278">
        <v>44196</v>
      </c>
      <c r="O442" s="329" t="s">
        <v>67</v>
      </c>
      <c r="P442" s="386">
        <f t="shared" ref="P442:Q442" si="439">IF(B442=0,0,IF(YEAR(B442)=$Q$1,MONTH(B442)-$P$1+1,(YEAR(B442)-$Q$1)*12-$P$1+1+MONTH(B442)))</f>
        <v>1</v>
      </c>
      <c r="Q442" s="330">
        <f t="shared" si="439"/>
        <v>-1</v>
      </c>
      <c r="R442" s="351" t="str">
        <f t="shared" si="3"/>
        <v>Gastos_Gerais</v>
      </c>
      <c r="S442" s="351" t="str">
        <f>IF(D442="","",IF(OR(D442=Plano!$A$1,D442=Plano!$B$1),"entrada","saída"))</f>
        <v>saída</v>
      </c>
      <c r="T442" s="334" t="s">
        <v>114</v>
      </c>
      <c r="U442" s="334" t="s">
        <v>114</v>
      </c>
      <c r="V442" s="269"/>
      <c r="W442" s="269"/>
    </row>
    <row r="443" spans="1:23" ht="69.75" customHeight="1" x14ac:dyDescent="0.2">
      <c r="A443" s="277">
        <f t="shared" si="0"/>
        <v>439</v>
      </c>
      <c r="B443" s="278">
        <v>44216</v>
      </c>
      <c r="C443" s="249">
        <v>44136</v>
      </c>
      <c r="D443" s="250" t="s">
        <v>99</v>
      </c>
      <c r="E443" s="250" t="s">
        <v>336</v>
      </c>
      <c r="F443" s="251">
        <v>155</v>
      </c>
      <c r="G443" s="255" t="s">
        <v>3079</v>
      </c>
      <c r="H443" s="250" t="s">
        <v>133</v>
      </c>
      <c r="I443" s="250" t="s">
        <v>530</v>
      </c>
      <c r="J443" s="250" t="s">
        <v>114</v>
      </c>
      <c r="K443" s="250" t="s">
        <v>466</v>
      </c>
      <c r="L443" s="250" t="s">
        <v>547</v>
      </c>
      <c r="M443" s="250" t="s">
        <v>114</v>
      </c>
      <c r="N443" s="278">
        <v>44196</v>
      </c>
      <c r="O443" s="329" t="s">
        <v>67</v>
      </c>
      <c r="P443" s="386">
        <f t="shared" ref="P443:Q443" si="440">IF(B443=0,0,IF(YEAR(B443)=$Q$1,MONTH(B443)-$P$1+1,(YEAR(B443)-$Q$1)*12-$P$1+1+MONTH(B443)))</f>
        <v>1</v>
      </c>
      <c r="Q443" s="330">
        <f t="shared" si="440"/>
        <v>-1</v>
      </c>
      <c r="R443" s="351" t="str">
        <f t="shared" si="3"/>
        <v>Gastos_Gerais</v>
      </c>
      <c r="S443" s="351" t="str">
        <f>IF(D443="","",IF(OR(D443=Plano!$A$1,D443=Plano!$B$1),"entrada","saída"))</f>
        <v>saída</v>
      </c>
      <c r="T443" s="334" t="s">
        <v>114</v>
      </c>
      <c r="U443" s="334" t="s">
        <v>114</v>
      </c>
      <c r="V443" s="269"/>
      <c r="W443" s="269"/>
    </row>
    <row r="444" spans="1:23" ht="69.75" customHeight="1" x14ac:dyDescent="0.2">
      <c r="A444" s="277">
        <f t="shared" si="0"/>
        <v>440</v>
      </c>
      <c r="B444" s="278">
        <v>44216</v>
      </c>
      <c r="C444" s="249">
        <v>44136</v>
      </c>
      <c r="D444" s="250" t="s">
        <v>99</v>
      </c>
      <c r="E444" s="250" t="s">
        <v>358</v>
      </c>
      <c r="F444" s="251">
        <v>465</v>
      </c>
      <c r="G444" s="255" t="s">
        <v>3080</v>
      </c>
      <c r="H444" s="250" t="s">
        <v>124</v>
      </c>
      <c r="I444" s="250" t="s">
        <v>530</v>
      </c>
      <c r="J444" s="250" t="s">
        <v>114</v>
      </c>
      <c r="K444" s="250" t="s">
        <v>466</v>
      </c>
      <c r="L444" s="250" t="s">
        <v>547</v>
      </c>
      <c r="M444" s="250" t="s">
        <v>114</v>
      </c>
      <c r="N444" s="278">
        <v>44196</v>
      </c>
      <c r="O444" s="329" t="s">
        <v>67</v>
      </c>
      <c r="P444" s="386">
        <f t="shared" ref="P444:Q444" si="441">IF(B444=0,0,IF(YEAR(B444)=$Q$1,MONTH(B444)-$P$1+1,(YEAR(B444)-$Q$1)*12-$P$1+1+MONTH(B444)))</f>
        <v>1</v>
      </c>
      <c r="Q444" s="330">
        <f t="shared" si="441"/>
        <v>-1</v>
      </c>
      <c r="R444" s="351" t="str">
        <f t="shared" si="3"/>
        <v>Gastos_Gerais</v>
      </c>
      <c r="S444" s="351" t="str">
        <f>IF(D444="","",IF(OR(D444=Plano!$A$1,D444=Plano!$B$1),"entrada","saída"))</f>
        <v>saída</v>
      </c>
      <c r="T444" s="334" t="s">
        <v>114</v>
      </c>
      <c r="U444" s="334" t="s">
        <v>114</v>
      </c>
      <c r="V444" s="269"/>
      <c r="W444" s="269"/>
    </row>
    <row r="445" spans="1:23" ht="69.75" customHeight="1" x14ac:dyDescent="0.2">
      <c r="A445" s="277">
        <f t="shared" si="0"/>
        <v>441</v>
      </c>
      <c r="B445" s="278">
        <v>44216</v>
      </c>
      <c r="C445" s="249">
        <v>44105</v>
      </c>
      <c r="D445" s="250" t="s">
        <v>99</v>
      </c>
      <c r="E445" s="250" t="s">
        <v>364</v>
      </c>
      <c r="F445" s="251">
        <v>310</v>
      </c>
      <c r="G445" s="255" t="s">
        <v>3081</v>
      </c>
      <c r="H445" s="250" t="s">
        <v>132</v>
      </c>
      <c r="I445" s="250" t="s">
        <v>530</v>
      </c>
      <c r="J445" s="250" t="s">
        <v>114</v>
      </c>
      <c r="K445" s="250" t="s">
        <v>466</v>
      </c>
      <c r="L445" s="250" t="s">
        <v>547</v>
      </c>
      <c r="M445" s="250" t="s">
        <v>114</v>
      </c>
      <c r="N445" s="278">
        <v>44196</v>
      </c>
      <c r="O445" s="329" t="s">
        <v>67</v>
      </c>
      <c r="P445" s="386">
        <f t="shared" ref="P445:Q445" si="442">IF(B445=0,0,IF(YEAR(B445)=$Q$1,MONTH(B445)-$P$1+1,(YEAR(B445)-$Q$1)*12-$P$1+1+MONTH(B445)))</f>
        <v>1</v>
      </c>
      <c r="Q445" s="330">
        <f t="shared" si="442"/>
        <v>-2</v>
      </c>
      <c r="R445" s="351" t="str">
        <f t="shared" si="3"/>
        <v>Gastos_Gerais</v>
      </c>
      <c r="S445" s="351" t="str">
        <f>IF(D445="","",IF(OR(D445=Plano!$A$1,D445=Plano!$B$1),"entrada","saída"))</f>
        <v>saída</v>
      </c>
      <c r="T445" s="334" t="s">
        <v>114</v>
      </c>
      <c r="U445" s="334" t="s">
        <v>114</v>
      </c>
      <c r="V445" s="269"/>
      <c r="W445" s="269"/>
    </row>
    <row r="446" spans="1:23" ht="69.75" customHeight="1" x14ac:dyDescent="0.2">
      <c r="A446" s="277">
        <f t="shared" si="0"/>
        <v>442</v>
      </c>
      <c r="B446" s="278">
        <v>44216</v>
      </c>
      <c r="C446" s="249">
        <v>44136</v>
      </c>
      <c r="D446" s="250" t="s">
        <v>99</v>
      </c>
      <c r="E446" s="250" t="s">
        <v>358</v>
      </c>
      <c r="F446" s="251">
        <v>310</v>
      </c>
      <c r="G446" s="255" t="s">
        <v>3082</v>
      </c>
      <c r="H446" s="250" t="s">
        <v>123</v>
      </c>
      <c r="I446" s="250" t="s">
        <v>530</v>
      </c>
      <c r="J446" s="250" t="s">
        <v>114</v>
      </c>
      <c r="K446" s="250" t="s">
        <v>466</v>
      </c>
      <c r="L446" s="250" t="s">
        <v>547</v>
      </c>
      <c r="M446" s="250" t="s">
        <v>114</v>
      </c>
      <c r="N446" s="278">
        <v>44196</v>
      </c>
      <c r="O446" s="329" t="s">
        <v>67</v>
      </c>
      <c r="P446" s="386">
        <f t="shared" ref="P446:Q446" si="443">IF(B446=0,0,IF(YEAR(B446)=$Q$1,MONTH(B446)-$P$1+1,(YEAR(B446)-$Q$1)*12-$P$1+1+MONTH(B446)))</f>
        <v>1</v>
      </c>
      <c r="Q446" s="330">
        <f t="shared" si="443"/>
        <v>-1</v>
      </c>
      <c r="R446" s="351" t="str">
        <f t="shared" si="3"/>
        <v>Gastos_Gerais</v>
      </c>
      <c r="S446" s="351" t="str">
        <f>IF(D446="","",IF(OR(D446=Plano!$A$1,D446=Plano!$B$1),"entrada","saída"))</f>
        <v>saída</v>
      </c>
      <c r="T446" s="334" t="s">
        <v>114</v>
      </c>
      <c r="U446" s="334" t="s">
        <v>114</v>
      </c>
      <c r="V446" s="269"/>
      <c r="W446" s="269"/>
    </row>
    <row r="447" spans="1:23" ht="69.75" customHeight="1" x14ac:dyDescent="0.2">
      <c r="A447" s="277">
        <f t="shared" si="0"/>
        <v>443</v>
      </c>
      <c r="B447" s="278">
        <v>44216</v>
      </c>
      <c r="C447" s="249">
        <v>44105</v>
      </c>
      <c r="D447" s="250" t="s">
        <v>99</v>
      </c>
      <c r="E447" s="250" t="s">
        <v>364</v>
      </c>
      <c r="F447" s="251">
        <v>310</v>
      </c>
      <c r="G447" s="255" t="s">
        <v>3083</v>
      </c>
      <c r="H447" s="250" t="s">
        <v>132</v>
      </c>
      <c r="I447" s="250" t="s">
        <v>530</v>
      </c>
      <c r="J447" s="250" t="s">
        <v>114</v>
      </c>
      <c r="K447" s="250" t="s">
        <v>466</v>
      </c>
      <c r="L447" s="250" t="s">
        <v>547</v>
      </c>
      <c r="M447" s="250" t="s">
        <v>114</v>
      </c>
      <c r="N447" s="278">
        <v>44196</v>
      </c>
      <c r="O447" s="329" t="s">
        <v>67</v>
      </c>
      <c r="P447" s="386">
        <f t="shared" ref="P447:Q447" si="444">IF(B447=0,0,IF(YEAR(B447)=$Q$1,MONTH(B447)-$P$1+1,(YEAR(B447)-$Q$1)*12-$P$1+1+MONTH(B447)))</f>
        <v>1</v>
      </c>
      <c r="Q447" s="330">
        <f t="shared" si="444"/>
        <v>-2</v>
      </c>
      <c r="R447" s="351" t="str">
        <f t="shared" si="3"/>
        <v>Gastos_Gerais</v>
      </c>
      <c r="S447" s="351" t="str">
        <f>IF(D447="","",IF(OR(D447=Plano!$A$1,D447=Plano!$B$1),"entrada","saída"))</f>
        <v>saída</v>
      </c>
      <c r="T447" s="334" t="s">
        <v>114</v>
      </c>
      <c r="U447" s="334" t="s">
        <v>114</v>
      </c>
      <c r="V447" s="269"/>
      <c r="W447" s="269"/>
    </row>
    <row r="448" spans="1:23" ht="69.75" customHeight="1" x14ac:dyDescent="0.2">
      <c r="A448" s="277">
        <f t="shared" si="0"/>
        <v>444</v>
      </c>
      <c r="B448" s="278">
        <v>44216</v>
      </c>
      <c r="C448" s="249">
        <v>44136</v>
      </c>
      <c r="D448" s="250" t="s">
        <v>99</v>
      </c>
      <c r="E448" s="250" t="s">
        <v>358</v>
      </c>
      <c r="F448" s="251">
        <v>310</v>
      </c>
      <c r="G448" s="255" t="s">
        <v>3084</v>
      </c>
      <c r="H448" s="250" t="s">
        <v>122</v>
      </c>
      <c r="I448" s="250" t="s">
        <v>530</v>
      </c>
      <c r="J448" s="250" t="s">
        <v>114</v>
      </c>
      <c r="K448" s="250" t="s">
        <v>466</v>
      </c>
      <c r="L448" s="250" t="s">
        <v>547</v>
      </c>
      <c r="M448" s="250" t="s">
        <v>114</v>
      </c>
      <c r="N448" s="278">
        <v>44196</v>
      </c>
      <c r="O448" s="329" t="s">
        <v>67</v>
      </c>
      <c r="P448" s="386">
        <f t="shared" ref="P448:Q448" si="445">IF(B448=0,0,IF(YEAR(B448)=$Q$1,MONTH(B448)-$P$1+1,(YEAR(B448)-$Q$1)*12-$P$1+1+MONTH(B448)))</f>
        <v>1</v>
      </c>
      <c r="Q448" s="330">
        <f t="shared" si="445"/>
        <v>-1</v>
      </c>
      <c r="R448" s="351" t="str">
        <f t="shared" si="3"/>
        <v>Gastos_Gerais</v>
      </c>
      <c r="S448" s="351" t="str">
        <f>IF(D448="","",IF(OR(D448=Plano!$A$1,D448=Plano!$B$1),"entrada","saída"))</f>
        <v>saída</v>
      </c>
      <c r="T448" s="334" t="s">
        <v>114</v>
      </c>
      <c r="U448" s="334" t="s">
        <v>114</v>
      </c>
      <c r="V448" s="269"/>
      <c r="W448" s="269"/>
    </row>
    <row r="449" spans="1:23" ht="69.75" customHeight="1" x14ac:dyDescent="0.2">
      <c r="A449" s="277">
        <f t="shared" si="0"/>
        <v>445</v>
      </c>
      <c r="B449" s="278">
        <v>44216</v>
      </c>
      <c r="C449" s="249">
        <v>44136</v>
      </c>
      <c r="D449" s="250" t="s">
        <v>99</v>
      </c>
      <c r="E449" s="250" t="s">
        <v>336</v>
      </c>
      <c r="F449" s="251">
        <v>155</v>
      </c>
      <c r="G449" s="255" t="s">
        <v>3085</v>
      </c>
      <c r="H449" s="250" t="s">
        <v>133</v>
      </c>
      <c r="I449" s="250" t="s">
        <v>530</v>
      </c>
      <c r="J449" s="250" t="s">
        <v>114</v>
      </c>
      <c r="K449" s="250" t="s">
        <v>466</v>
      </c>
      <c r="L449" s="250" t="s">
        <v>547</v>
      </c>
      <c r="M449" s="250" t="s">
        <v>114</v>
      </c>
      <c r="N449" s="278">
        <v>44196</v>
      </c>
      <c r="O449" s="329" t="s">
        <v>67</v>
      </c>
      <c r="P449" s="386">
        <f t="shared" ref="P449:Q449" si="446">IF(B449=0,0,IF(YEAR(B449)=$Q$1,MONTH(B449)-$P$1+1,(YEAR(B449)-$Q$1)*12-$P$1+1+MONTH(B449)))</f>
        <v>1</v>
      </c>
      <c r="Q449" s="330">
        <f t="shared" si="446"/>
        <v>-1</v>
      </c>
      <c r="R449" s="351" t="str">
        <f t="shared" si="3"/>
        <v>Gastos_Gerais</v>
      </c>
      <c r="S449" s="351" t="str">
        <f>IF(D449="","",IF(OR(D449=Plano!$A$1,D449=Plano!$B$1),"entrada","saída"))</f>
        <v>saída</v>
      </c>
      <c r="T449" s="334" t="s">
        <v>114</v>
      </c>
      <c r="U449" s="334" t="s">
        <v>114</v>
      </c>
      <c r="V449" s="269"/>
      <c r="W449" s="269"/>
    </row>
    <row r="450" spans="1:23" ht="69.75" customHeight="1" x14ac:dyDescent="0.2">
      <c r="A450" s="277">
        <f t="shared" si="0"/>
        <v>446</v>
      </c>
      <c r="B450" s="278">
        <v>44216</v>
      </c>
      <c r="C450" s="249">
        <v>44136</v>
      </c>
      <c r="D450" s="250" t="s">
        <v>99</v>
      </c>
      <c r="E450" s="250" t="s">
        <v>358</v>
      </c>
      <c r="F450" s="251">
        <v>310</v>
      </c>
      <c r="G450" s="255" t="s">
        <v>3086</v>
      </c>
      <c r="H450" s="250" t="s">
        <v>131</v>
      </c>
      <c r="I450" s="250" t="s">
        <v>530</v>
      </c>
      <c r="J450" s="250" t="s">
        <v>114</v>
      </c>
      <c r="K450" s="250" t="s">
        <v>466</v>
      </c>
      <c r="L450" s="250" t="s">
        <v>547</v>
      </c>
      <c r="M450" s="250" t="s">
        <v>114</v>
      </c>
      <c r="N450" s="278">
        <v>44196</v>
      </c>
      <c r="O450" s="329" t="s">
        <v>67</v>
      </c>
      <c r="P450" s="386">
        <f t="shared" ref="P450:Q450" si="447">IF(B450=0,0,IF(YEAR(B450)=$Q$1,MONTH(B450)-$P$1+1,(YEAR(B450)-$Q$1)*12-$P$1+1+MONTH(B450)))</f>
        <v>1</v>
      </c>
      <c r="Q450" s="330">
        <f t="shared" si="447"/>
        <v>-1</v>
      </c>
      <c r="R450" s="351" t="str">
        <f t="shared" si="3"/>
        <v>Gastos_Gerais</v>
      </c>
      <c r="S450" s="351" t="str">
        <f>IF(D450="","",IF(OR(D450=Plano!$A$1,D450=Plano!$B$1),"entrada","saída"))</f>
        <v>saída</v>
      </c>
      <c r="T450" s="334" t="s">
        <v>114</v>
      </c>
      <c r="U450" s="334" t="s">
        <v>114</v>
      </c>
      <c r="V450" s="269"/>
      <c r="W450" s="269"/>
    </row>
    <row r="451" spans="1:23" ht="69.75" customHeight="1" x14ac:dyDescent="0.2">
      <c r="A451" s="277">
        <f t="shared" si="0"/>
        <v>447</v>
      </c>
      <c r="B451" s="278">
        <v>44216</v>
      </c>
      <c r="C451" s="249">
        <v>44136</v>
      </c>
      <c r="D451" s="250" t="s">
        <v>99</v>
      </c>
      <c r="E451" s="250" t="s">
        <v>358</v>
      </c>
      <c r="F451" s="251">
        <v>310</v>
      </c>
      <c r="G451" s="255" t="s">
        <v>3087</v>
      </c>
      <c r="H451" s="250" t="s">
        <v>131</v>
      </c>
      <c r="I451" s="250" t="s">
        <v>530</v>
      </c>
      <c r="J451" s="250" t="s">
        <v>114</v>
      </c>
      <c r="K451" s="250" t="s">
        <v>466</v>
      </c>
      <c r="L451" s="250" t="s">
        <v>547</v>
      </c>
      <c r="M451" s="250" t="s">
        <v>114</v>
      </c>
      <c r="N451" s="278">
        <v>44196</v>
      </c>
      <c r="O451" s="329" t="s">
        <v>67</v>
      </c>
      <c r="P451" s="386">
        <f t="shared" ref="P451:Q451" si="448">IF(B451=0,0,IF(YEAR(B451)=$Q$1,MONTH(B451)-$P$1+1,(YEAR(B451)-$Q$1)*12-$P$1+1+MONTH(B451)))</f>
        <v>1</v>
      </c>
      <c r="Q451" s="330">
        <f t="shared" si="448"/>
        <v>-1</v>
      </c>
      <c r="R451" s="351" t="str">
        <f t="shared" si="3"/>
        <v>Gastos_Gerais</v>
      </c>
      <c r="S451" s="351" t="str">
        <f>IF(D451="","",IF(OR(D451=Plano!$A$1,D451=Plano!$B$1),"entrada","saída"))</f>
        <v>saída</v>
      </c>
      <c r="T451" s="334" t="s">
        <v>114</v>
      </c>
      <c r="U451" s="334" t="s">
        <v>114</v>
      </c>
      <c r="V451" s="269"/>
      <c r="W451" s="269"/>
    </row>
    <row r="452" spans="1:23" ht="69.75" customHeight="1" x14ac:dyDescent="0.2">
      <c r="A452" s="277">
        <f t="shared" si="0"/>
        <v>448</v>
      </c>
      <c r="B452" s="278">
        <v>44216</v>
      </c>
      <c r="C452" s="249">
        <v>44136</v>
      </c>
      <c r="D452" s="250" t="s">
        <v>99</v>
      </c>
      <c r="E452" s="250" t="s">
        <v>358</v>
      </c>
      <c r="F452" s="251">
        <v>310</v>
      </c>
      <c r="G452" s="255" t="s">
        <v>3088</v>
      </c>
      <c r="H452" s="250" t="s">
        <v>131</v>
      </c>
      <c r="I452" s="250" t="s">
        <v>530</v>
      </c>
      <c r="J452" s="250" t="s">
        <v>114</v>
      </c>
      <c r="K452" s="250" t="s">
        <v>466</v>
      </c>
      <c r="L452" s="250" t="s">
        <v>547</v>
      </c>
      <c r="M452" s="250" t="s">
        <v>114</v>
      </c>
      <c r="N452" s="278">
        <v>44196</v>
      </c>
      <c r="O452" s="329" t="s">
        <v>67</v>
      </c>
      <c r="P452" s="386">
        <f t="shared" ref="P452:Q452" si="449">IF(B452=0,0,IF(YEAR(B452)=$Q$1,MONTH(B452)-$P$1+1,(YEAR(B452)-$Q$1)*12-$P$1+1+MONTH(B452)))</f>
        <v>1</v>
      </c>
      <c r="Q452" s="330">
        <f t="shared" si="449"/>
        <v>-1</v>
      </c>
      <c r="R452" s="351" t="str">
        <f t="shared" si="3"/>
        <v>Gastos_Gerais</v>
      </c>
      <c r="S452" s="351" t="str">
        <f>IF(D452="","",IF(OR(D452=Plano!$A$1,D452=Plano!$B$1),"entrada","saída"))</f>
        <v>saída</v>
      </c>
      <c r="T452" s="334" t="s">
        <v>114</v>
      </c>
      <c r="U452" s="334" t="s">
        <v>114</v>
      </c>
      <c r="V452" s="269"/>
      <c r="W452" s="269"/>
    </row>
    <row r="453" spans="1:23" ht="69.75" customHeight="1" x14ac:dyDescent="0.2">
      <c r="A453" s="277">
        <f t="shared" si="0"/>
        <v>449</v>
      </c>
      <c r="B453" s="278">
        <v>44216</v>
      </c>
      <c r="C453" s="249">
        <v>44136</v>
      </c>
      <c r="D453" s="250" t="s">
        <v>99</v>
      </c>
      <c r="E453" s="250" t="s">
        <v>364</v>
      </c>
      <c r="F453" s="251">
        <v>155</v>
      </c>
      <c r="G453" s="255" t="s">
        <v>3089</v>
      </c>
      <c r="H453" s="250" t="s">
        <v>116</v>
      </c>
      <c r="I453" s="250" t="s">
        <v>530</v>
      </c>
      <c r="J453" s="250" t="s">
        <v>114</v>
      </c>
      <c r="K453" s="250" t="s">
        <v>466</v>
      </c>
      <c r="L453" s="250" t="s">
        <v>547</v>
      </c>
      <c r="M453" s="250" t="s">
        <v>114</v>
      </c>
      <c r="N453" s="278">
        <v>44196</v>
      </c>
      <c r="O453" s="329" t="s">
        <v>67</v>
      </c>
      <c r="P453" s="386">
        <f t="shared" ref="P453:Q453" si="450">IF(B453=0,0,IF(YEAR(B453)=$Q$1,MONTH(B453)-$P$1+1,(YEAR(B453)-$Q$1)*12-$P$1+1+MONTH(B453)))</f>
        <v>1</v>
      </c>
      <c r="Q453" s="330">
        <f t="shared" si="450"/>
        <v>-1</v>
      </c>
      <c r="R453" s="351" t="str">
        <f t="shared" si="3"/>
        <v>Gastos_Gerais</v>
      </c>
      <c r="S453" s="351" t="str">
        <f>IF(D453="","",IF(OR(D453=Plano!$A$1,D453=Plano!$B$1),"entrada","saída"))</f>
        <v>saída</v>
      </c>
      <c r="T453" s="334" t="s">
        <v>114</v>
      </c>
      <c r="U453" s="334" t="s">
        <v>114</v>
      </c>
      <c r="V453" s="269"/>
      <c r="W453" s="269"/>
    </row>
    <row r="454" spans="1:23" ht="69.75" customHeight="1" x14ac:dyDescent="0.2">
      <c r="A454" s="277">
        <f t="shared" si="0"/>
        <v>450</v>
      </c>
      <c r="B454" s="278">
        <v>44216</v>
      </c>
      <c r="C454" s="249">
        <v>44136</v>
      </c>
      <c r="D454" s="250" t="s">
        <v>99</v>
      </c>
      <c r="E454" s="250" t="s">
        <v>358</v>
      </c>
      <c r="F454" s="251">
        <v>155</v>
      </c>
      <c r="G454" s="255" t="s">
        <v>3090</v>
      </c>
      <c r="H454" s="250" t="s">
        <v>116</v>
      </c>
      <c r="I454" s="250" t="s">
        <v>530</v>
      </c>
      <c r="J454" s="250" t="s">
        <v>114</v>
      </c>
      <c r="K454" s="250" t="s">
        <v>466</v>
      </c>
      <c r="L454" s="250" t="s">
        <v>547</v>
      </c>
      <c r="M454" s="250" t="s">
        <v>114</v>
      </c>
      <c r="N454" s="278">
        <v>44196</v>
      </c>
      <c r="O454" s="329" t="s">
        <v>67</v>
      </c>
      <c r="P454" s="386">
        <f t="shared" ref="P454:Q454" si="451">IF(B454=0,0,IF(YEAR(B454)=$Q$1,MONTH(B454)-$P$1+1,(YEAR(B454)-$Q$1)*12-$P$1+1+MONTH(B454)))</f>
        <v>1</v>
      </c>
      <c r="Q454" s="330">
        <f t="shared" si="451"/>
        <v>-1</v>
      </c>
      <c r="R454" s="351" t="str">
        <f t="shared" si="3"/>
        <v>Gastos_Gerais</v>
      </c>
      <c r="S454" s="351" t="str">
        <f>IF(D454="","",IF(OR(D454=Plano!$A$1,D454=Plano!$B$1),"entrada","saída"))</f>
        <v>saída</v>
      </c>
      <c r="T454" s="334" t="s">
        <v>114</v>
      </c>
      <c r="U454" s="334" t="s">
        <v>114</v>
      </c>
      <c r="V454" s="269"/>
      <c r="W454" s="269"/>
    </row>
    <row r="455" spans="1:23" ht="69.75" customHeight="1" x14ac:dyDescent="0.2">
      <c r="A455" s="277">
        <f t="shared" si="0"/>
        <v>451</v>
      </c>
      <c r="B455" s="278">
        <v>44216</v>
      </c>
      <c r="C455" s="249">
        <v>44136</v>
      </c>
      <c r="D455" s="250" t="s">
        <v>99</v>
      </c>
      <c r="E455" s="250" t="s">
        <v>358</v>
      </c>
      <c r="F455" s="251">
        <v>372</v>
      </c>
      <c r="G455" s="255" t="s">
        <v>3091</v>
      </c>
      <c r="H455" s="250" t="s">
        <v>128</v>
      </c>
      <c r="I455" s="250" t="s">
        <v>530</v>
      </c>
      <c r="J455" s="250" t="s">
        <v>114</v>
      </c>
      <c r="K455" s="250" t="s">
        <v>466</v>
      </c>
      <c r="L455" s="250" t="s">
        <v>547</v>
      </c>
      <c r="M455" s="250" t="s">
        <v>114</v>
      </c>
      <c r="N455" s="278">
        <v>44196</v>
      </c>
      <c r="O455" s="329" t="s">
        <v>67</v>
      </c>
      <c r="P455" s="386">
        <f t="shared" ref="P455:Q455" si="452">IF(B455=0,0,IF(YEAR(B455)=$Q$1,MONTH(B455)-$P$1+1,(YEAR(B455)-$Q$1)*12-$P$1+1+MONTH(B455)))</f>
        <v>1</v>
      </c>
      <c r="Q455" s="330">
        <f t="shared" si="452"/>
        <v>-1</v>
      </c>
      <c r="R455" s="351" t="str">
        <f t="shared" si="3"/>
        <v>Gastos_Gerais</v>
      </c>
      <c r="S455" s="351" t="str">
        <f>IF(D455="","",IF(OR(D455=Plano!$A$1,D455=Plano!$B$1),"entrada","saída"))</f>
        <v>saída</v>
      </c>
      <c r="T455" s="334" t="s">
        <v>114</v>
      </c>
      <c r="U455" s="334" t="s">
        <v>114</v>
      </c>
      <c r="V455" s="269"/>
      <c r="W455" s="269"/>
    </row>
    <row r="456" spans="1:23" ht="69.75" customHeight="1" x14ac:dyDescent="0.2">
      <c r="A456" s="277">
        <f t="shared" si="0"/>
        <v>452</v>
      </c>
      <c r="B456" s="278">
        <v>44216</v>
      </c>
      <c r="C456" s="249">
        <v>44166</v>
      </c>
      <c r="D456" s="250" t="s">
        <v>99</v>
      </c>
      <c r="E456" s="250" t="s">
        <v>352</v>
      </c>
      <c r="F456" s="251">
        <v>1116</v>
      </c>
      <c r="G456" s="255" t="s">
        <v>3092</v>
      </c>
      <c r="H456" s="250" t="s">
        <v>125</v>
      </c>
      <c r="I456" s="250" t="s">
        <v>530</v>
      </c>
      <c r="J456" s="250" t="s">
        <v>114</v>
      </c>
      <c r="K456" s="250" t="s">
        <v>466</v>
      </c>
      <c r="L456" s="250" t="s">
        <v>547</v>
      </c>
      <c r="M456" s="250" t="s">
        <v>114</v>
      </c>
      <c r="N456" s="278">
        <v>44196</v>
      </c>
      <c r="O456" s="329" t="s">
        <v>67</v>
      </c>
      <c r="P456" s="386">
        <f t="shared" ref="P456:Q456" si="453">IF(B456=0,0,IF(YEAR(B456)=$Q$1,MONTH(B456)-$P$1+1,(YEAR(B456)-$Q$1)*12-$P$1+1+MONTH(B456)))</f>
        <v>1</v>
      </c>
      <c r="Q456" s="330">
        <f t="shared" si="453"/>
        <v>0</v>
      </c>
      <c r="R456" s="351" t="str">
        <f t="shared" si="3"/>
        <v>Gastos_Gerais</v>
      </c>
      <c r="S456" s="351" t="str">
        <f>IF(D456="","",IF(OR(D456=Plano!$A$1,D456=Plano!$B$1),"entrada","saída"))</f>
        <v>saída</v>
      </c>
      <c r="T456" s="334" t="s">
        <v>114</v>
      </c>
      <c r="U456" s="334" t="s">
        <v>114</v>
      </c>
      <c r="V456" s="269"/>
      <c r="W456" s="269"/>
    </row>
    <row r="457" spans="1:23" ht="69.75" customHeight="1" x14ac:dyDescent="0.2">
      <c r="A457" s="277">
        <f t="shared" si="0"/>
        <v>453</v>
      </c>
      <c r="B457" s="278">
        <v>44216</v>
      </c>
      <c r="C457" s="249">
        <v>44044</v>
      </c>
      <c r="D457" s="250" t="s">
        <v>99</v>
      </c>
      <c r="E457" s="250" t="s">
        <v>330</v>
      </c>
      <c r="F457" s="251">
        <v>775</v>
      </c>
      <c r="G457" s="255" t="s">
        <v>3093</v>
      </c>
      <c r="H457" s="250" t="s">
        <v>134</v>
      </c>
      <c r="I457" s="250" t="s">
        <v>530</v>
      </c>
      <c r="J457" s="250" t="s">
        <v>114</v>
      </c>
      <c r="K457" s="250" t="s">
        <v>466</v>
      </c>
      <c r="L457" s="250" t="s">
        <v>547</v>
      </c>
      <c r="M457" s="250" t="s">
        <v>114</v>
      </c>
      <c r="N457" s="278">
        <v>44196</v>
      </c>
      <c r="O457" s="329" t="s">
        <v>67</v>
      </c>
      <c r="P457" s="386">
        <f t="shared" ref="P457:Q457" si="454">IF(B457=0,0,IF(YEAR(B457)=$Q$1,MONTH(B457)-$P$1+1,(YEAR(B457)-$Q$1)*12-$P$1+1+MONTH(B457)))</f>
        <v>1</v>
      </c>
      <c r="Q457" s="330">
        <f t="shared" si="454"/>
        <v>-4</v>
      </c>
      <c r="R457" s="351" t="str">
        <f t="shared" si="3"/>
        <v>Gastos_Gerais</v>
      </c>
      <c r="S457" s="351" t="str">
        <f>IF(D457="","",IF(OR(D457=Plano!$A$1,D457=Plano!$B$1),"entrada","saída"))</f>
        <v>saída</v>
      </c>
      <c r="T457" s="334" t="s">
        <v>114</v>
      </c>
      <c r="U457" s="334" t="s">
        <v>114</v>
      </c>
      <c r="V457" s="269"/>
      <c r="W457" s="269"/>
    </row>
    <row r="458" spans="1:23" ht="69.75" customHeight="1" x14ac:dyDescent="0.2">
      <c r="A458" s="277">
        <f t="shared" si="0"/>
        <v>454</v>
      </c>
      <c r="B458" s="278">
        <v>44216</v>
      </c>
      <c r="C458" s="249">
        <v>44166</v>
      </c>
      <c r="D458" s="250" t="s">
        <v>99</v>
      </c>
      <c r="E458" s="250" t="s">
        <v>358</v>
      </c>
      <c r="F458" s="251">
        <v>155</v>
      </c>
      <c r="G458" s="255" t="s">
        <v>3094</v>
      </c>
      <c r="H458" s="250" t="s">
        <v>125</v>
      </c>
      <c r="I458" s="250" t="s">
        <v>530</v>
      </c>
      <c r="J458" s="250" t="s">
        <v>114</v>
      </c>
      <c r="K458" s="250" t="s">
        <v>466</v>
      </c>
      <c r="L458" s="250" t="s">
        <v>547</v>
      </c>
      <c r="M458" s="250" t="s">
        <v>114</v>
      </c>
      <c r="N458" s="278">
        <v>44196</v>
      </c>
      <c r="O458" s="329" t="s">
        <v>67</v>
      </c>
      <c r="P458" s="386">
        <f t="shared" ref="P458:Q458" si="455">IF(B458=0,0,IF(YEAR(B458)=$Q$1,MONTH(B458)-$P$1+1,(YEAR(B458)-$Q$1)*12-$P$1+1+MONTH(B458)))</f>
        <v>1</v>
      </c>
      <c r="Q458" s="330">
        <f t="shared" si="455"/>
        <v>0</v>
      </c>
      <c r="R458" s="351" t="str">
        <f t="shared" si="3"/>
        <v>Gastos_Gerais</v>
      </c>
      <c r="S458" s="351" t="str">
        <f>IF(D458="","",IF(OR(D458=Plano!$A$1,D458=Plano!$B$1),"entrada","saída"))</f>
        <v>saída</v>
      </c>
      <c r="T458" s="334" t="s">
        <v>114</v>
      </c>
      <c r="U458" s="334" t="s">
        <v>114</v>
      </c>
      <c r="V458" s="269"/>
      <c r="W458" s="269"/>
    </row>
    <row r="459" spans="1:23" ht="69.75" customHeight="1" x14ac:dyDescent="0.2">
      <c r="A459" s="277">
        <f t="shared" si="0"/>
        <v>455</v>
      </c>
      <c r="B459" s="278">
        <v>44216</v>
      </c>
      <c r="C459" s="249">
        <v>44136</v>
      </c>
      <c r="D459" s="250" t="s">
        <v>99</v>
      </c>
      <c r="E459" s="250" t="s">
        <v>358</v>
      </c>
      <c r="F459" s="251">
        <v>155</v>
      </c>
      <c r="G459" s="255" t="s">
        <v>3095</v>
      </c>
      <c r="H459" s="250" t="s">
        <v>116</v>
      </c>
      <c r="I459" s="250" t="s">
        <v>530</v>
      </c>
      <c r="J459" s="250" t="s">
        <v>114</v>
      </c>
      <c r="K459" s="250" t="s">
        <v>466</v>
      </c>
      <c r="L459" s="250" t="s">
        <v>547</v>
      </c>
      <c r="M459" s="250" t="s">
        <v>114</v>
      </c>
      <c r="N459" s="278">
        <v>44196</v>
      </c>
      <c r="O459" s="329" t="s">
        <v>67</v>
      </c>
      <c r="P459" s="386">
        <f t="shared" ref="P459:Q459" si="456">IF(B459=0,0,IF(YEAR(B459)=$Q$1,MONTH(B459)-$P$1+1,(YEAR(B459)-$Q$1)*12-$P$1+1+MONTH(B459)))</f>
        <v>1</v>
      </c>
      <c r="Q459" s="330">
        <f t="shared" si="456"/>
        <v>-1</v>
      </c>
      <c r="R459" s="351" t="str">
        <f t="shared" si="3"/>
        <v>Gastos_Gerais</v>
      </c>
      <c r="S459" s="351" t="str">
        <f>IF(D459="","",IF(OR(D459=Plano!$A$1,D459=Plano!$B$1),"entrada","saída"))</f>
        <v>saída</v>
      </c>
      <c r="T459" s="334" t="s">
        <v>114</v>
      </c>
      <c r="U459" s="334" t="s">
        <v>114</v>
      </c>
      <c r="V459" s="269"/>
      <c r="W459" s="269"/>
    </row>
    <row r="460" spans="1:23" ht="69.75" customHeight="1" x14ac:dyDescent="0.2">
      <c r="A460" s="277">
        <f t="shared" si="0"/>
        <v>456</v>
      </c>
      <c r="B460" s="278">
        <v>44216</v>
      </c>
      <c r="C460" s="249">
        <v>44136</v>
      </c>
      <c r="D460" s="250" t="s">
        <v>99</v>
      </c>
      <c r="E460" s="250" t="s">
        <v>358</v>
      </c>
      <c r="F460" s="251">
        <v>372</v>
      </c>
      <c r="G460" s="255" t="s">
        <v>3096</v>
      </c>
      <c r="H460" s="250" t="s">
        <v>128</v>
      </c>
      <c r="I460" s="250" t="s">
        <v>530</v>
      </c>
      <c r="J460" s="250" t="s">
        <v>114</v>
      </c>
      <c r="K460" s="250" t="s">
        <v>466</v>
      </c>
      <c r="L460" s="250" t="s">
        <v>547</v>
      </c>
      <c r="M460" s="250" t="s">
        <v>114</v>
      </c>
      <c r="N460" s="278">
        <v>44196</v>
      </c>
      <c r="O460" s="329" t="s">
        <v>67</v>
      </c>
      <c r="P460" s="386">
        <f t="shared" ref="P460:Q460" si="457">IF(B460=0,0,IF(YEAR(B460)=$Q$1,MONTH(B460)-$P$1+1,(YEAR(B460)-$Q$1)*12-$P$1+1+MONTH(B460)))</f>
        <v>1</v>
      </c>
      <c r="Q460" s="330">
        <f t="shared" si="457"/>
        <v>-1</v>
      </c>
      <c r="R460" s="351" t="str">
        <f t="shared" si="3"/>
        <v>Gastos_Gerais</v>
      </c>
      <c r="S460" s="351" t="str">
        <f>IF(D460="","",IF(OR(D460=Plano!$A$1,D460=Plano!$B$1),"entrada","saída"))</f>
        <v>saída</v>
      </c>
      <c r="T460" s="334" t="s">
        <v>114</v>
      </c>
      <c r="U460" s="334" t="s">
        <v>114</v>
      </c>
      <c r="V460" s="269"/>
      <c r="W460" s="269"/>
    </row>
    <row r="461" spans="1:23" ht="69.75" customHeight="1" x14ac:dyDescent="0.2">
      <c r="A461" s="277">
        <f t="shared" si="0"/>
        <v>457</v>
      </c>
      <c r="B461" s="278">
        <v>44216</v>
      </c>
      <c r="C461" s="249">
        <v>44136</v>
      </c>
      <c r="D461" s="250" t="s">
        <v>99</v>
      </c>
      <c r="E461" s="250" t="s">
        <v>262</v>
      </c>
      <c r="F461" s="251">
        <v>496</v>
      </c>
      <c r="G461" s="255" t="s">
        <v>3097</v>
      </c>
      <c r="H461" s="250" t="s">
        <v>117</v>
      </c>
      <c r="I461" s="250" t="s">
        <v>530</v>
      </c>
      <c r="J461" s="250" t="s">
        <v>114</v>
      </c>
      <c r="K461" s="250" t="s">
        <v>466</v>
      </c>
      <c r="L461" s="250" t="s">
        <v>547</v>
      </c>
      <c r="M461" s="250" t="s">
        <v>114</v>
      </c>
      <c r="N461" s="278">
        <v>44196</v>
      </c>
      <c r="O461" s="329" t="s">
        <v>67</v>
      </c>
      <c r="P461" s="386">
        <f t="shared" ref="P461:Q461" si="458">IF(B461=0,0,IF(YEAR(B461)=$Q$1,MONTH(B461)-$P$1+1,(YEAR(B461)-$Q$1)*12-$P$1+1+MONTH(B461)))</f>
        <v>1</v>
      </c>
      <c r="Q461" s="330">
        <f t="shared" si="458"/>
        <v>-1</v>
      </c>
      <c r="R461" s="351" t="str">
        <f t="shared" si="3"/>
        <v>Gastos_Gerais</v>
      </c>
      <c r="S461" s="351" t="str">
        <f>IF(D461="","",IF(OR(D461=Plano!$A$1,D461=Plano!$B$1),"entrada","saída"))</f>
        <v>saída</v>
      </c>
      <c r="T461" s="334" t="s">
        <v>114</v>
      </c>
      <c r="U461" s="334" t="s">
        <v>114</v>
      </c>
      <c r="V461" s="269"/>
      <c r="W461" s="269"/>
    </row>
    <row r="462" spans="1:23" ht="69.75" customHeight="1" x14ac:dyDescent="0.2">
      <c r="A462" s="277">
        <f t="shared" si="0"/>
        <v>458</v>
      </c>
      <c r="B462" s="278">
        <v>44216</v>
      </c>
      <c r="C462" s="249">
        <v>44136</v>
      </c>
      <c r="D462" s="250" t="s">
        <v>99</v>
      </c>
      <c r="E462" s="250" t="s">
        <v>336</v>
      </c>
      <c r="F462" s="251">
        <v>155</v>
      </c>
      <c r="G462" s="255" t="s">
        <v>3098</v>
      </c>
      <c r="H462" s="250" t="s">
        <v>133</v>
      </c>
      <c r="I462" s="250" t="s">
        <v>530</v>
      </c>
      <c r="J462" s="250" t="s">
        <v>114</v>
      </c>
      <c r="K462" s="250" t="s">
        <v>466</v>
      </c>
      <c r="L462" s="250" t="s">
        <v>547</v>
      </c>
      <c r="M462" s="250" t="s">
        <v>114</v>
      </c>
      <c r="N462" s="278">
        <v>44196</v>
      </c>
      <c r="O462" s="329" t="s">
        <v>67</v>
      </c>
      <c r="P462" s="386">
        <f t="shared" ref="P462:Q462" si="459">IF(B462=0,0,IF(YEAR(B462)=$Q$1,MONTH(B462)-$P$1+1,(YEAR(B462)-$Q$1)*12-$P$1+1+MONTH(B462)))</f>
        <v>1</v>
      </c>
      <c r="Q462" s="330">
        <f t="shared" si="459"/>
        <v>-1</v>
      </c>
      <c r="R462" s="351" t="str">
        <f t="shared" si="3"/>
        <v>Gastos_Gerais</v>
      </c>
      <c r="S462" s="351" t="str">
        <f>IF(D462="","",IF(OR(D462=Plano!$A$1,D462=Plano!$B$1),"entrada","saída"))</f>
        <v>saída</v>
      </c>
      <c r="T462" s="334" t="s">
        <v>114</v>
      </c>
      <c r="U462" s="334" t="s">
        <v>114</v>
      </c>
      <c r="V462" s="269"/>
      <c r="W462" s="269"/>
    </row>
    <row r="463" spans="1:23" ht="69.75" customHeight="1" x14ac:dyDescent="0.2">
      <c r="A463" s="277">
        <f t="shared" si="0"/>
        <v>459</v>
      </c>
      <c r="B463" s="278">
        <v>44216</v>
      </c>
      <c r="C463" s="249">
        <v>44136</v>
      </c>
      <c r="D463" s="250" t="s">
        <v>99</v>
      </c>
      <c r="E463" s="250" t="s">
        <v>358</v>
      </c>
      <c r="F463" s="251">
        <v>232.5</v>
      </c>
      <c r="G463" s="255" t="s">
        <v>3099</v>
      </c>
      <c r="H463" s="250" t="s">
        <v>128</v>
      </c>
      <c r="I463" s="250" t="s">
        <v>530</v>
      </c>
      <c r="J463" s="250" t="s">
        <v>114</v>
      </c>
      <c r="K463" s="250" t="s">
        <v>466</v>
      </c>
      <c r="L463" s="250" t="s">
        <v>547</v>
      </c>
      <c r="M463" s="250" t="s">
        <v>114</v>
      </c>
      <c r="N463" s="278">
        <v>44196</v>
      </c>
      <c r="O463" s="329" t="s">
        <v>67</v>
      </c>
      <c r="P463" s="386">
        <f t="shared" ref="P463:Q463" si="460">IF(B463=0,0,IF(YEAR(B463)=$Q$1,MONTH(B463)-$P$1+1,(YEAR(B463)-$Q$1)*12-$P$1+1+MONTH(B463)))</f>
        <v>1</v>
      </c>
      <c r="Q463" s="330">
        <f t="shared" si="460"/>
        <v>-1</v>
      </c>
      <c r="R463" s="351" t="str">
        <f t="shared" si="3"/>
        <v>Gastos_Gerais</v>
      </c>
      <c r="S463" s="351" t="str">
        <f>IF(D463="","",IF(OR(D463=Plano!$A$1,D463=Plano!$B$1),"entrada","saída"))</f>
        <v>saída</v>
      </c>
      <c r="T463" s="334" t="s">
        <v>114</v>
      </c>
      <c r="U463" s="334" t="s">
        <v>114</v>
      </c>
      <c r="V463" s="269"/>
      <c r="W463" s="269"/>
    </row>
    <row r="464" spans="1:23" ht="69.75" customHeight="1" x14ac:dyDescent="0.2">
      <c r="A464" s="277">
        <f t="shared" si="0"/>
        <v>460</v>
      </c>
      <c r="B464" s="278">
        <v>44216</v>
      </c>
      <c r="C464" s="249">
        <v>44136</v>
      </c>
      <c r="D464" s="250" t="s">
        <v>99</v>
      </c>
      <c r="E464" s="250" t="s">
        <v>358</v>
      </c>
      <c r="F464" s="251">
        <v>155</v>
      </c>
      <c r="G464" s="255" t="s">
        <v>3100</v>
      </c>
      <c r="H464" s="250" t="s">
        <v>116</v>
      </c>
      <c r="I464" s="250" t="s">
        <v>530</v>
      </c>
      <c r="J464" s="250" t="s">
        <v>114</v>
      </c>
      <c r="K464" s="250" t="s">
        <v>466</v>
      </c>
      <c r="L464" s="250" t="s">
        <v>547</v>
      </c>
      <c r="M464" s="250" t="s">
        <v>114</v>
      </c>
      <c r="N464" s="278">
        <v>44196</v>
      </c>
      <c r="O464" s="329" t="s">
        <v>67</v>
      </c>
      <c r="P464" s="386">
        <f t="shared" ref="P464:Q464" si="461">IF(B464=0,0,IF(YEAR(B464)=$Q$1,MONTH(B464)-$P$1+1,(YEAR(B464)-$Q$1)*12-$P$1+1+MONTH(B464)))</f>
        <v>1</v>
      </c>
      <c r="Q464" s="330">
        <f t="shared" si="461"/>
        <v>-1</v>
      </c>
      <c r="R464" s="351" t="str">
        <f t="shared" si="3"/>
        <v>Gastos_Gerais</v>
      </c>
      <c r="S464" s="351" t="str">
        <f>IF(D464="","",IF(OR(D464=Plano!$A$1,D464=Plano!$B$1),"entrada","saída"))</f>
        <v>saída</v>
      </c>
      <c r="T464" s="334" t="s">
        <v>114</v>
      </c>
      <c r="U464" s="334" t="s">
        <v>114</v>
      </c>
      <c r="V464" s="269"/>
      <c r="W464" s="269"/>
    </row>
    <row r="465" spans="1:23" ht="69.75" customHeight="1" x14ac:dyDescent="0.2">
      <c r="A465" s="277">
        <f t="shared" si="0"/>
        <v>461</v>
      </c>
      <c r="B465" s="278">
        <v>44216</v>
      </c>
      <c r="C465" s="249">
        <v>44136</v>
      </c>
      <c r="D465" s="250" t="s">
        <v>99</v>
      </c>
      <c r="E465" s="250" t="s">
        <v>358</v>
      </c>
      <c r="F465" s="251">
        <v>310</v>
      </c>
      <c r="G465" s="255" t="s">
        <v>3101</v>
      </c>
      <c r="H465" s="250" t="s">
        <v>131</v>
      </c>
      <c r="I465" s="250" t="s">
        <v>530</v>
      </c>
      <c r="J465" s="250" t="s">
        <v>114</v>
      </c>
      <c r="K465" s="250" t="s">
        <v>466</v>
      </c>
      <c r="L465" s="250" t="s">
        <v>547</v>
      </c>
      <c r="M465" s="250" t="s">
        <v>114</v>
      </c>
      <c r="N465" s="278">
        <v>44196</v>
      </c>
      <c r="O465" s="329" t="s">
        <v>67</v>
      </c>
      <c r="P465" s="386">
        <f t="shared" ref="P465:Q465" si="462">IF(B465=0,0,IF(YEAR(B465)=$Q$1,MONTH(B465)-$P$1+1,(YEAR(B465)-$Q$1)*12-$P$1+1+MONTH(B465)))</f>
        <v>1</v>
      </c>
      <c r="Q465" s="330">
        <f t="shared" si="462"/>
        <v>-1</v>
      </c>
      <c r="R465" s="351" t="str">
        <f t="shared" si="3"/>
        <v>Gastos_Gerais</v>
      </c>
      <c r="S465" s="351" t="str">
        <f>IF(D465="","",IF(OR(D465=Plano!$A$1,D465=Plano!$B$1),"entrada","saída"))</f>
        <v>saída</v>
      </c>
      <c r="T465" s="334" t="s">
        <v>114</v>
      </c>
      <c r="U465" s="334" t="s">
        <v>114</v>
      </c>
      <c r="V465" s="269"/>
      <c r="W465" s="269"/>
    </row>
    <row r="466" spans="1:23" ht="69.75" customHeight="1" x14ac:dyDescent="0.2">
      <c r="A466" s="277">
        <f t="shared" si="0"/>
        <v>462</v>
      </c>
      <c r="B466" s="278">
        <v>44216</v>
      </c>
      <c r="C466" s="249">
        <v>44136</v>
      </c>
      <c r="D466" s="250" t="s">
        <v>99</v>
      </c>
      <c r="E466" s="250" t="s">
        <v>336</v>
      </c>
      <c r="F466" s="251">
        <v>713</v>
      </c>
      <c r="G466" s="255" t="s">
        <v>3102</v>
      </c>
      <c r="H466" s="250" t="s">
        <v>116</v>
      </c>
      <c r="I466" s="250" t="s">
        <v>530</v>
      </c>
      <c r="J466" s="250" t="s">
        <v>114</v>
      </c>
      <c r="K466" s="250" t="s">
        <v>466</v>
      </c>
      <c r="L466" s="250" t="s">
        <v>547</v>
      </c>
      <c r="M466" s="250" t="s">
        <v>114</v>
      </c>
      <c r="N466" s="278">
        <v>44196</v>
      </c>
      <c r="O466" s="329" t="s">
        <v>67</v>
      </c>
      <c r="P466" s="386">
        <f t="shared" ref="P466:Q466" si="463">IF(B466=0,0,IF(YEAR(B466)=$Q$1,MONTH(B466)-$P$1+1,(YEAR(B466)-$Q$1)*12-$P$1+1+MONTH(B466)))</f>
        <v>1</v>
      </c>
      <c r="Q466" s="330">
        <f t="shared" si="463"/>
        <v>-1</v>
      </c>
      <c r="R466" s="351" t="str">
        <f t="shared" si="3"/>
        <v>Gastos_Gerais</v>
      </c>
      <c r="S466" s="351" t="str">
        <f>IF(D466="","",IF(OR(D466=Plano!$A$1,D466=Plano!$B$1),"entrada","saída"))</f>
        <v>saída</v>
      </c>
      <c r="T466" s="334" t="s">
        <v>114</v>
      </c>
      <c r="U466" s="334" t="s">
        <v>114</v>
      </c>
      <c r="V466" s="269"/>
      <c r="W466" s="269"/>
    </row>
    <row r="467" spans="1:23" ht="69.75" customHeight="1" x14ac:dyDescent="0.2">
      <c r="A467" s="277">
        <f t="shared" si="0"/>
        <v>463</v>
      </c>
      <c r="B467" s="278">
        <v>44216</v>
      </c>
      <c r="C467" s="249">
        <v>44136</v>
      </c>
      <c r="D467" s="250" t="s">
        <v>88</v>
      </c>
      <c r="E467" s="250" t="s">
        <v>90</v>
      </c>
      <c r="F467" s="251">
        <v>10643.12</v>
      </c>
      <c r="G467" s="255" t="s">
        <v>3103</v>
      </c>
      <c r="H467" s="250" t="s">
        <v>114</v>
      </c>
      <c r="I467" s="250" t="s">
        <v>488</v>
      </c>
      <c r="J467" s="250" t="s">
        <v>114</v>
      </c>
      <c r="K467" s="250" t="s">
        <v>466</v>
      </c>
      <c r="L467" s="250" t="s">
        <v>489</v>
      </c>
      <c r="M467" s="255" t="s">
        <v>114</v>
      </c>
      <c r="N467" s="278">
        <v>44196</v>
      </c>
      <c r="O467" s="329" t="s">
        <v>67</v>
      </c>
      <c r="P467" s="386">
        <f t="shared" ref="P467:Q467" si="464">IF(B467=0,0,IF(YEAR(B467)=$Q$1,MONTH(B467)-$P$1+1,(YEAR(B467)-$Q$1)*12-$P$1+1+MONTH(B467)))</f>
        <v>1</v>
      </c>
      <c r="Q467" s="330">
        <f t="shared" si="464"/>
        <v>-1</v>
      </c>
      <c r="R467" s="351" t="str">
        <f t="shared" si="3"/>
        <v>Gastos_com_Pessoal</v>
      </c>
      <c r="S467" s="351" t="str">
        <f>IF(D467="","",IF(OR(D467=Plano!$A$1,D467=Plano!$B$1),"entrada","saída"))</f>
        <v>saída</v>
      </c>
      <c r="T467" s="334" t="s">
        <v>114</v>
      </c>
      <c r="U467" s="334" t="s">
        <v>114</v>
      </c>
      <c r="V467" s="269"/>
      <c r="W467" s="269"/>
    </row>
    <row r="468" spans="1:23" ht="69.75" customHeight="1" x14ac:dyDescent="0.2">
      <c r="A468" s="277">
        <f t="shared" si="0"/>
        <v>464</v>
      </c>
      <c r="B468" s="278">
        <v>44216</v>
      </c>
      <c r="C468" s="249">
        <v>44166</v>
      </c>
      <c r="D468" s="250" t="s">
        <v>88</v>
      </c>
      <c r="E468" s="255" t="s">
        <v>177</v>
      </c>
      <c r="F468" s="251">
        <v>2320.69</v>
      </c>
      <c r="G468" s="255" t="s">
        <v>3104</v>
      </c>
      <c r="H468" s="250" t="s">
        <v>114</v>
      </c>
      <c r="I468" s="250" t="s">
        <v>488</v>
      </c>
      <c r="J468" s="250" t="s">
        <v>114</v>
      </c>
      <c r="K468" s="250" t="s">
        <v>466</v>
      </c>
      <c r="L468" s="250" t="s">
        <v>489</v>
      </c>
      <c r="M468" s="255" t="s">
        <v>114</v>
      </c>
      <c r="N468" s="278">
        <v>44196</v>
      </c>
      <c r="O468" s="329" t="s">
        <v>67</v>
      </c>
      <c r="P468" s="386">
        <f t="shared" ref="P468:Q468" si="465">IF(B468=0,0,IF(YEAR(B468)=$Q$1,MONTH(B468)-$P$1+1,(YEAR(B468)-$Q$1)*12-$P$1+1+MONTH(B468)))</f>
        <v>1</v>
      </c>
      <c r="Q468" s="330">
        <f t="shared" si="465"/>
        <v>0</v>
      </c>
      <c r="R468" s="351" t="str">
        <f t="shared" si="3"/>
        <v>Gastos_com_Pessoal</v>
      </c>
      <c r="S468" s="351" t="str">
        <f>IF(D468="","",IF(OR(D468=Plano!$A$1,D468=Plano!$B$1),"entrada","saída"))</f>
        <v>saída</v>
      </c>
      <c r="T468" s="334" t="s">
        <v>114</v>
      </c>
      <c r="U468" s="334" t="s">
        <v>114</v>
      </c>
      <c r="V468" s="269"/>
      <c r="W468" s="269"/>
    </row>
    <row r="469" spans="1:23" ht="69.75" customHeight="1" x14ac:dyDescent="0.2">
      <c r="A469" s="277">
        <f t="shared" si="0"/>
        <v>465</v>
      </c>
      <c r="B469" s="278">
        <v>44216</v>
      </c>
      <c r="C469" s="249">
        <v>44166</v>
      </c>
      <c r="D469" s="250" t="s">
        <v>88</v>
      </c>
      <c r="E469" s="255" t="s">
        <v>177</v>
      </c>
      <c r="F469" s="251">
        <v>123.66</v>
      </c>
      <c r="G469" s="255" t="s">
        <v>3104</v>
      </c>
      <c r="H469" s="250" t="s">
        <v>114</v>
      </c>
      <c r="I469" s="250" t="s">
        <v>488</v>
      </c>
      <c r="J469" s="250" t="s">
        <v>114</v>
      </c>
      <c r="K469" s="250" t="s">
        <v>466</v>
      </c>
      <c r="L469" s="250" t="s">
        <v>489</v>
      </c>
      <c r="M469" s="255" t="s">
        <v>114</v>
      </c>
      <c r="N469" s="278">
        <v>44196</v>
      </c>
      <c r="O469" s="329" t="s">
        <v>67</v>
      </c>
      <c r="P469" s="386">
        <f t="shared" ref="P469:Q469" si="466">IF(B469=0,0,IF(YEAR(B469)=$Q$1,MONTH(B469)-$P$1+1,(YEAR(B469)-$Q$1)*12-$P$1+1+MONTH(B469)))</f>
        <v>1</v>
      </c>
      <c r="Q469" s="330">
        <f t="shared" si="466"/>
        <v>0</v>
      </c>
      <c r="R469" s="351" t="str">
        <f t="shared" si="3"/>
        <v>Gastos_com_Pessoal</v>
      </c>
      <c r="S469" s="351" t="str">
        <f>IF(D469="","",IF(OR(D469=Plano!$A$1,D469=Plano!$B$1),"entrada","saída"))</f>
        <v>saída</v>
      </c>
      <c r="T469" s="334" t="s">
        <v>114</v>
      </c>
      <c r="U469" s="334" t="s">
        <v>114</v>
      </c>
      <c r="V469" s="269"/>
      <c r="W469" s="269"/>
    </row>
    <row r="470" spans="1:23" ht="69.75" customHeight="1" x14ac:dyDescent="0.2">
      <c r="A470" s="277">
        <f t="shared" si="0"/>
        <v>466</v>
      </c>
      <c r="B470" s="278">
        <v>44216</v>
      </c>
      <c r="C470" s="249">
        <v>44197</v>
      </c>
      <c r="D470" s="250" t="s">
        <v>88</v>
      </c>
      <c r="E470" s="255" t="s">
        <v>177</v>
      </c>
      <c r="F470" s="251">
        <v>2092.9299999999998</v>
      </c>
      <c r="G470" s="255" t="s">
        <v>3104</v>
      </c>
      <c r="H470" s="250" t="s">
        <v>114</v>
      </c>
      <c r="I470" s="250" t="s">
        <v>488</v>
      </c>
      <c r="J470" s="250" t="s">
        <v>114</v>
      </c>
      <c r="K470" s="250" t="s">
        <v>466</v>
      </c>
      <c r="L470" s="250" t="s">
        <v>489</v>
      </c>
      <c r="M470" s="255" t="s">
        <v>114</v>
      </c>
      <c r="N470" s="278">
        <v>44196</v>
      </c>
      <c r="O470" s="329" t="s">
        <v>67</v>
      </c>
      <c r="P470" s="386">
        <f t="shared" ref="P470:Q470" si="467">IF(B470=0,0,IF(YEAR(B470)=$Q$1,MONTH(B470)-$P$1+1,(YEAR(B470)-$Q$1)*12-$P$1+1+MONTH(B470)))</f>
        <v>1</v>
      </c>
      <c r="Q470" s="330">
        <f t="shared" si="467"/>
        <v>1</v>
      </c>
      <c r="R470" s="351" t="str">
        <f t="shared" si="3"/>
        <v>Gastos_com_Pessoal</v>
      </c>
      <c r="S470" s="351" t="str">
        <f>IF(D470="","",IF(OR(D470=Plano!$A$1,D470=Plano!$B$1),"entrada","saída"))</f>
        <v>saída</v>
      </c>
      <c r="T470" s="334" t="s">
        <v>114</v>
      </c>
      <c r="U470" s="334" t="s">
        <v>114</v>
      </c>
      <c r="V470" s="269"/>
      <c r="W470" s="269"/>
    </row>
    <row r="471" spans="1:23" ht="69.75" customHeight="1" x14ac:dyDescent="0.2">
      <c r="A471" s="277">
        <f t="shared" si="0"/>
        <v>467</v>
      </c>
      <c r="B471" s="278">
        <v>44216</v>
      </c>
      <c r="C471" s="249">
        <v>44166</v>
      </c>
      <c r="D471" s="250" t="s">
        <v>88</v>
      </c>
      <c r="E471" s="250" t="s">
        <v>175</v>
      </c>
      <c r="F471" s="251">
        <v>9770.5300000000007</v>
      </c>
      <c r="G471" s="255" t="s">
        <v>3105</v>
      </c>
      <c r="H471" s="250" t="s">
        <v>114</v>
      </c>
      <c r="I471" s="250" t="s">
        <v>488</v>
      </c>
      <c r="J471" s="250" t="s">
        <v>114</v>
      </c>
      <c r="K471" s="250" t="s">
        <v>466</v>
      </c>
      <c r="L471" s="250" t="s">
        <v>489</v>
      </c>
      <c r="M471" s="255" t="s">
        <v>114</v>
      </c>
      <c r="N471" s="278">
        <v>44196</v>
      </c>
      <c r="O471" s="329" t="s">
        <v>67</v>
      </c>
      <c r="P471" s="386">
        <f t="shared" ref="P471:Q471" si="468">IF(B471=0,0,IF(YEAR(B471)=$Q$1,MONTH(B471)-$P$1+1,(YEAR(B471)-$Q$1)*12-$P$1+1+MONTH(B471)))</f>
        <v>1</v>
      </c>
      <c r="Q471" s="330">
        <f t="shared" si="468"/>
        <v>0</v>
      </c>
      <c r="R471" s="351" t="str">
        <f t="shared" si="3"/>
        <v>Gastos_com_Pessoal</v>
      </c>
      <c r="S471" s="351" t="str">
        <f>IF(D471="","",IF(OR(D471=Plano!$A$1,D471=Plano!$B$1),"entrada","saída"))</f>
        <v>saída</v>
      </c>
      <c r="T471" s="334" t="s">
        <v>114</v>
      </c>
      <c r="U471" s="334" t="s">
        <v>114</v>
      </c>
      <c r="V471" s="269"/>
      <c r="W471" s="269"/>
    </row>
    <row r="472" spans="1:23" ht="69.75" customHeight="1" x14ac:dyDescent="0.2">
      <c r="A472" s="277">
        <f t="shared" si="0"/>
        <v>468</v>
      </c>
      <c r="B472" s="278">
        <v>44216</v>
      </c>
      <c r="C472" s="249">
        <v>44136</v>
      </c>
      <c r="D472" s="250" t="s">
        <v>99</v>
      </c>
      <c r="E472" s="250" t="s">
        <v>266</v>
      </c>
      <c r="F472" s="251">
        <v>1316.7</v>
      </c>
      <c r="G472" s="255" t="s">
        <v>3106</v>
      </c>
      <c r="H472" s="250" t="s">
        <v>131</v>
      </c>
      <c r="I472" s="250" t="s">
        <v>530</v>
      </c>
      <c r="J472" s="250" t="s">
        <v>114</v>
      </c>
      <c r="K472" s="250" t="s">
        <v>466</v>
      </c>
      <c r="L472" s="250" t="s">
        <v>547</v>
      </c>
      <c r="M472" s="250" t="s">
        <v>114</v>
      </c>
      <c r="N472" s="278">
        <v>44196</v>
      </c>
      <c r="O472" s="329" t="s">
        <v>67</v>
      </c>
      <c r="P472" s="386">
        <f t="shared" ref="P472:Q472" si="469">IF(B472=0,0,IF(YEAR(B472)=$Q$1,MONTH(B472)-$P$1+1,(YEAR(B472)-$Q$1)*12-$P$1+1+MONTH(B472)))</f>
        <v>1</v>
      </c>
      <c r="Q472" s="330">
        <f t="shared" si="469"/>
        <v>-1</v>
      </c>
      <c r="R472" s="351" t="str">
        <f t="shared" si="3"/>
        <v>Gastos_Gerais</v>
      </c>
      <c r="S472" s="351" t="str">
        <f>IF(D472="","",IF(OR(D472=Plano!$A$1,D472=Plano!$B$1),"entrada","saída"))</f>
        <v>saída</v>
      </c>
      <c r="T472" s="334" t="s">
        <v>114</v>
      </c>
      <c r="U472" s="334" t="s">
        <v>114</v>
      </c>
      <c r="V472" s="269"/>
      <c r="W472" s="269"/>
    </row>
    <row r="473" spans="1:23" ht="69.75" customHeight="1" x14ac:dyDescent="0.2">
      <c r="A473" s="277">
        <f t="shared" si="0"/>
        <v>469</v>
      </c>
      <c r="B473" s="278">
        <v>44216</v>
      </c>
      <c r="C473" s="249">
        <v>44136</v>
      </c>
      <c r="D473" s="250" t="s">
        <v>99</v>
      </c>
      <c r="E473" s="250" t="s">
        <v>262</v>
      </c>
      <c r="F473" s="251">
        <v>374</v>
      </c>
      <c r="G473" s="255" t="s">
        <v>3107</v>
      </c>
      <c r="H473" s="250" t="s">
        <v>130</v>
      </c>
      <c r="I473" s="250" t="s">
        <v>530</v>
      </c>
      <c r="J473" s="250" t="s">
        <v>114</v>
      </c>
      <c r="K473" s="250" t="s">
        <v>466</v>
      </c>
      <c r="L473" s="250" t="s">
        <v>547</v>
      </c>
      <c r="M473" s="250" t="s">
        <v>114</v>
      </c>
      <c r="N473" s="278">
        <v>44196</v>
      </c>
      <c r="O473" s="329" t="s">
        <v>67</v>
      </c>
      <c r="P473" s="386">
        <f t="shared" ref="P473:Q473" si="470">IF(B473=0,0,IF(YEAR(B473)=$Q$1,MONTH(B473)-$P$1+1,(YEAR(B473)-$Q$1)*12-$P$1+1+MONTH(B473)))</f>
        <v>1</v>
      </c>
      <c r="Q473" s="330">
        <f t="shared" si="470"/>
        <v>-1</v>
      </c>
      <c r="R473" s="351" t="str">
        <f t="shared" si="3"/>
        <v>Gastos_Gerais</v>
      </c>
      <c r="S473" s="351" t="str">
        <f>IF(D473="","",IF(OR(D473=Plano!$A$1,D473=Plano!$B$1),"entrada","saída"))</f>
        <v>saída</v>
      </c>
      <c r="T473" s="334" t="s">
        <v>114</v>
      </c>
      <c r="U473" s="334" t="s">
        <v>114</v>
      </c>
      <c r="V473" s="269"/>
      <c r="W473" s="269"/>
    </row>
    <row r="474" spans="1:23" ht="69.75" customHeight="1" x14ac:dyDescent="0.2">
      <c r="A474" s="277">
        <f t="shared" si="0"/>
        <v>470</v>
      </c>
      <c r="B474" s="278">
        <v>44216</v>
      </c>
      <c r="C474" s="249">
        <v>44136</v>
      </c>
      <c r="D474" s="250" t="s">
        <v>99</v>
      </c>
      <c r="E474" s="250" t="s">
        <v>262</v>
      </c>
      <c r="F474" s="251">
        <v>112.2</v>
      </c>
      <c r="G474" s="255" t="s">
        <v>3108</v>
      </c>
      <c r="H474" s="250" t="s">
        <v>130</v>
      </c>
      <c r="I474" s="250" t="s">
        <v>530</v>
      </c>
      <c r="J474" s="250" t="s">
        <v>114</v>
      </c>
      <c r="K474" s="250" t="s">
        <v>466</v>
      </c>
      <c r="L474" s="250" t="s">
        <v>547</v>
      </c>
      <c r="M474" s="250" t="s">
        <v>114</v>
      </c>
      <c r="N474" s="278">
        <v>44196</v>
      </c>
      <c r="O474" s="329" t="s">
        <v>67</v>
      </c>
      <c r="P474" s="386">
        <f t="shared" ref="P474:Q474" si="471">IF(B474=0,0,IF(YEAR(B474)=$Q$1,MONTH(B474)-$P$1+1,(YEAR(B474)-$Q$1)*12-$P$1+1+MONTH(B474)))</f>
        <v>1</v>
      </c>
      <c r="Q474" s="330">
        <f t="shared" si="471"/>
        <v>-1</v>
      </c>
      <c r="R474" s="351" t="str">
        <f t="shared" si="3"/>
        <v>Gastos_Gerais</v>
      </c>
      <c r="S474" s="351" t="str">
        <f>IF(D474="","",IF(OR(D474=Plano!$A$1,D474=Plano!$B$1),"entrada","saída"))</f>
        <v>saída</v>
      </c>
      <c r="T474" s="334" t="s">
        <v>114</v>
      </c>
      <c r="U474" s="334" t="s">
        <v>114</v>
      </c>
      <c r="V474" s="269"/>
      <c r="W474" s="269"/>
    </row>
    <row r="475" spans="1:23" ht="69.75" customHeight="1" x14ac:dyDescent="0.2">
      <c r="A475" s="277">
        <f t="shared" si="0"/>
        <v>471</v>
      </c>
      <c r="B475" s="278">
        <v>44216</v>
      </c>
      <c r="C475" s="256">
        <v>44166</v>
      </c>
      <c r="D475" s="255" t="s">
        <v>88</v>
      </c>
      <c r="E475" s="255" t="s">
        <v>90</v>
      </c>
      <c r="F475" s="258">
        <v>6607.12</v>
      </c>
      <c r="G475" s="393" t="s">
        <v>3109</v>
      </c>
      <c r="H475" s="255" t="s">
        <v>114</v>
      </c>
      <c r="I475" s="250" t="s">
        <v>530</v>
      </c>
      <c r="J475" s="250" t="s">
        <v>114</v>
      </c>
      <c r="K475" s="255" t="s">
        <v>466</v>
      </c>
      <c r="L475" s="250" t="s">
        <v>547</v>
      </c>
      <c r="M475" s="250" t="s">
        <v>114</v>
      </c>
      <c r="N475" s="278">
        <v>44196</v>
      </c>
      <c r="O475" s="329" t="s">
        <v>67</v>
      </c>
      <c r="P475" s="386">
        <f t="shared" ref="P475:Q475" si="472">IF(B475=0,0,IF(YEAR(B475)=$Q$1,MONTH(B475)-$P$1+1,(YEAR(B475)-$Q$1)*12-$P$1+1+MONTH(B475)))</f>
        <v>1</v>
      </c>
      <c r="Q475" s="330">
        <f t="shared" si="472"/>
        <v>0</v>
      </c>
      <c r="R475" s="351" t="str">
        <f t="shared" si="3"/>
        <v>Gastos_com_Pessoal</v>
      </c>
      <c r="S475" s="351" t="str">
        <f>IF(D475="","",IF(OR(D475=Plano!$A$1,D475=Plano!$B$1),"entrada","saída"))</f>
        <v>saída</v>
      </c>
      <c r="T475" s="334" t="s">
        <v>114</v>
      </c>
      <c r="U475" s="334" t="s">
        <v>114</v>
      </c>
      <c r="V475" s="269"/>
      <c r="W475" s="269"/>
    </row>
    <row r="476" spans="1:23" ht="69.75" customHeight="1" x14ac:dyDescent="0.2">
      <c r="A476" s="277">
        <f t="shared" si="0"/>
        <v>472</v>
      </c>
      <c r="B476" s="278">
        <v>44216</v>
      </c>
      <c r="C476" s="256">
        <v>44166</v>
      </c>
      <c r="D476" s="255" t="s">
        <v>88</v>
      </c>
      <c r="E476" s="255" t="s">
        <v>167</v>
      </c>
      <c r="F476" s="258">
        <v>22440.22</v>
      </c>
      <c r="G476" s="250" t="s">
        <v>3110</v>
      </c>
      <c r="H476" s="255" t="s">
        <v>114</v>
      </c>
      <c r="I476" s="250" t="s">
        <v>530</v>
      </c>
      <c r="J476" s="250" t="s">
        <v>114</v>
      </c>
      <c r="K476" s="255" t="s">
        <v>466</v>
      </c>
      <c r="L476" s="250" t="s">
        <v>547</v>
      </c>
      <c r="M476" s="250" t="s">
        <v>114</v>
      </c>
      <c r="N476" s="278">
        <v>44196</v>
      </c>
      <c r="O476" s="329" t="s">
        <v>67</v>
      </c>
      <c r="P476" s="386">
        <f t="shared" ref="P476:Q476" si="473">IF(B476=0,0,IF(YEAR(B476)=$Q$1,MONTH(B476)-$P$1+1,(YEAR(B476)-$Q$1)*12-$P$1+1+MONTH(B476)))</f>
        <v>1</v>
      </c>
      <c r="Q476" s="330">
        <f t="shared" si="473"/>
        <v>0</v>
      </c>
      <c r="R476" s="351" t="str">
        <f t="shared" si="3"/>
        <v>Gastos_com_Pessoal</v>
      </c>
      <c r="S476" s="351" t="str">
        <f>IF(D476="","",IF(OR(D476=Plano!$A$1,D476=Plano!$B$1),"entrada","saída"))</f>
        <v>saída</v>
      </c>
      <c r="T476" s="334" t="s">
        <v>114</v>
      </c>
      <c r="U476" s="334" t="s">
        <v>114</v>
      </c>
      <c r="V476" s="269"/>
      <c r="W476" s="269"/>
    </row>
    <row r="477" spans="1:23" ht="69.75" customHeight="1" x14ac:dyDescent="0.2">
      <c r="A477" s="277">
        <f t="shared" si="0"/>
        <v>473</v>
      </c>
      <c r="B477" s="278">
        <v>44216</v>
      </c>
      <c r="C477" s="256">
        <v>44197</v>
      </c>
      <c r="D477" s="255" t="s">
        <v>99</v>
      </c>
      <c r="E477" s="255" t="s">
        <v>330</v>
      </c>
      <c r="F477" s="258">
        <v>580</v>
      </c>
      <c r="G477" s="255" t="s">
        <v>3111</v>
      </c>
      <c r="H477" s="255" t="s">
        <v>116</v>
      </c>
      <c r="I477" s="250" t="s">
        <v>2016</v>
      </c>
      <c r="J477" s="255" t="s">
        <v>3112</v>
      </c>
      <c r="K477" s="255" t="s">
        <v>560</v>
      </c>
      <c r="L477" s="250" t="s">
        <v>1016</v>
      </c>
      <c r="M477" s="255" t="s">
        <v>3113</v>
      </c>
      <c r="N477" s="278">
        <v>44181</v>
      </c>
      <c r="O477" s="329" t="s">
        <v>67</v>
      </c>
      <c r="P477" s="386">
        <f t="shared" ref="P477:Q477" si="474">IF(B477=0,0,IF(YEAR(B477)=$Q$1,MONTH(B477)-$P$1+1,(YEAR(B477)-$Q$1)*12-$P$1+1+MONTH(B477)))</f>
        <v>1</v>
      </c>
      <c r="Q477" s="330">
        <f t="shared" si="474"/>
        <v>1</v>
      </c>
      <c r="R477" s="351" t="str">
        <f t="shared" si="3"/>
        <v>Gastos_Gerais</v>
      </c>
      <c r="S477" s="351" t="str">
        <f>IF(D477="","",IF(OR(D477=Plano!$A$1,D477=Plano!$B$1),"entrada","saída"))</f>
        <v>saída</v>
      </c>
      <c r="T477" s="334" t="s">
        <v>1011</v>
      </c>
      <c r="U477" s="334">
        <v>1084</v>
      </c>
      <c r="V477" s="269"/>
      <c r="W477" s="269"/>
    </row>
    <row r="478" spans="1:23" ht="69.75" customHeight="1" x14ac:dyDescent="0.2">
      <c r="A478" s="277">
        <f t="shared" si="0"/>
        <v>474</v>
      </c>
      <c r="B478" s="278">
        <v>44216</v>
      </c>
      <c r="C478" s="249">
        <v>44136</v>
      </c>
      <c r="D478" s="250" t="s">
        <v>104</v>
      </c>
      <c r="E478" s="250" t="s">
        <v>104</v>
      </c>
      <c r="F478" s="251">
        <v>24.08</v>
      </c>
      <c r="G478" s="255" t="s">
        <v>3114</v>
      </c>
      <c r="H478" s="250" t="s">
        <v>104</v>
      </c>
      <c r="I478" s="250" t="s">
        <v>488</v>
      </c>
      <c r="J478" s="250" t="s">
        <v>114</v>
      </c>
      <c r="K478" s="250" t="s">
        <v>466</v>
      </c>
      <c r="L478" s="250" t="s">
        <v>489</v>
      </c>
      <c r="M478" s="255" t="s">
        <v>114</v>
      </c>
      <c r="N478" s="278">
        <v>44196</v>
      </c>
      <c r="O478" s="329" t="s">
        <v>68</v>
      </c>
      <c r="P478" s="386">
        <f t="shared" ref="P478:Q478" si="475">IF(B478=0,0,IF(YEAR(B478)=$Q$1,MONTH(B478)-$P$1+1,(YEAR(B478)-$Q$1)*12-$P$1+1+MONTH(B478)))</f>
        <v>1</v>
      </c>
      <c r="Q478" s="330">
        <f t="shared" si="475"/>
        <v>-1</v>
      </c>
      <c r="R478" s="351" t="str">
        <f t="shared" si="3"/>
        <v>Gastos_custeados_por_captação</v>
      </c>
      <c r="S478" s="351" t="str">
        <f>IF(D478="","",IF(OR(D478=Plano!$A$1,D478=Plano!$B$1),"entrada","saída"))</f>
        <v>saída</v>
      </c>
      <c r="T478" s="334" t="s">
        <v>114</v>
      </c>
      <c r="U478" s="334" t="s">
        <v>114</v>
      </c>
      <c r="V478" s="269"/>
      <c r="W478" s="269"/>
    </row>
    <row r="479" spans="1:23" ht="69.75" customHeight="1" x14ac:dyDescent="0.2">
      <c r="A479" s="277">
        <f t="shared" si="0"/>
        <v>475</v>
      </c>
      <c r="B479" s="278">
        <v>44216</v>
      </c>
      <c r="C479" s="249">
        <v>44136</v>
      </c>
      <c r="D479" s="250" t="s">
        <v>104</v>
      </c>
      <c r="E479" s="250" t="s">
        <v>104</v>
      </c>
      <c r="F479" s="251">
        <v>24.08</v>
      </c>
      <c r="G479" s="255" t="s">
        <v>3115</v>
      </c>
      <c r="H479" s="250" t="s">
        <v>104</v>
      </c>
      <c r="I479" s="250" t="s">
        <v>488</v>
      </c>
      <c r="J479" s="250" t="s">
        <v>114</v>
      </c>
      <c r="K479" s="250" t="s">
        <v>466</v>
      </c>
      <c r="L479" s="250" t="s">
        <v>489</v>
      </c>
      <c r="M479" s="255" t="s">
        <v>114</v>
      </c>
      <c r="N479" s="278">
        <v>44196</v>
      </c>
      <c r="O479" s="329" t="s">
        <v>68</v>
      </c>
      <c r="P479" s="386">
        <f t="shared" ref="P479:Q479" si="476">IF(B479=0,0,IF(YEAR(B479)=$Q$1,MONTH(B479)-$P$1+1,(YEAR(B479)-$Q$1)*12-$P$1+1+MONTH(B479)))</f>
        <v>1</v>
      </c>
      <c r="Q479" s="330">
        <f t="shared" si="476"/>
        <v>-1</v>
      </c>
      <c r="R479" s="351" t="str">
        <f t="shared" si="3"/>
        <v>Gastos_custeados_por_captação</v>
      </c>
      <c r="S479" s="351" t="str">
        <f>IF(D479="","",IF(OR(D479=Plano!$A$1,D479=Plano!$B$1),"entrada","saída"))</f>
        <v>saída</v>
      </c>
      <c r="T479" s="334" t="s">
        <v>114</v>
      </c>
      <c r="U479" s="334" t="s">
        <v>114</v>
      </c>
      <c r="V479" s="269"/>
      <c r="W479" s="269"/>
    </row>
    <row r="480" spans="1:23" ht="69.75" customHeight="1" x14ac:dyDescent="0.2">
      <c r="A480" s="277">
        <f t="shared" si="0"/>
        <v>476</v>
      </c>
      <c r="B480" s="278">
        <v>44216</v>
      </c>
      <c r="C480" s="249">
        <v>44136</v>
      </c>
      <c r="D480" s="250" t="s">
        <v>104</v>
      </c>
      <c r="E480" s="250" t="s">
        <v>104</v>
      </c>
      <c r="F480" s="251">
        <v>57.45</v>
      </c>
      <c r="G480" s="255" t="s">
        <v>3116</v>
      </c>
      <c r="H480" s="250" t="s">
        <v>104</v>
      </c>
      <c r="I480" s="250" t="s">
        <v>488</v>
      </c>
      <c r="J480" s="250" t="s">
        <v>114</v>
      </c>
      <c r="K480" s="250" t="s">
        <v>466</v>
      </c>
      <c r="L480" s="250" t="s">
        <v>489</v>
      </c>
      <c r="M480" s="255" t="s">
        <v>114</v>
      </c>
      <c r="N480" s="278">
        <v>44196</v>
      </c>
      <c r="O480" s="329" t="s">
        <v>68</v>
      </c>
      <c r="P480" s="386">
        <f t="shared" ref="P480:Q480" si="477">IF(B480=0,0,IF(YEAR(B480)=$Q$1,MONTH(B480)-$P$1+1,(YEAR(B480)-$Q$1)*12-$P$1+1+MONTH(B480)))</f>
        <v>1</v>
      </c>
      <c r="Q480" s="330">
        <f t="shared" si="477"/>
        <v>-1</v>
      </c>
      <c r="R480" s="351" t="str">
        <f t="shared" si="3"/>
        <v>Gastos_custeados_por_captação</v>
      </c>
      <c r="S480" s="351" t="str">
        <f>IF(D480="","",IF(OR(D480=Plano!$A$1,D480=Plano!$B$1),"entrada","saída"))</f>
        <v>saída</v>
      </c>
      <c r="T480" s="334" t="s">
        <v>114</v>
      </c>
      <c r="U480" s="334" t="s">
        <v>114</v>
      </c>
      <c r="V480" s="269"/>
      <c r="W480" s="269"/>
    </row>
    <row r="481" spans="1:23" ht="69.75" customHeight="1" x14ac:dyDescent="0.2">
      <c r="A481" s="277">
        <f t="shared" si="0"/>
        <v>477</v>
      </c>
      <c r="B481" s="278">
        <v>44216</v>
      </c>
      <c r="C481" s="249">
        <v>44136</v>
      </c>
      <c r="D481" s="250" t="s">
        <v>104</v>
      </c>
      <c r="E481" s="250" t="s">
        <v>104</v>
      </c>
      <c r="F481" s="251">
        <v>34.090000000000003</v>
      </c>
      <c r="G481" s="255" t="s">
        <v>3117</v>
      </c>
      <c r="H481" s="250" t="s">
        <v>104</v>
      </c>
      <c r="I481" s="250" t="s">
        <v>488</v>
      </c>
      <c r="J481" s="250" t="s">
        <v>114</v>
      </c>
      <c r="K481" s="250" t="s">
        <v>466</v>
      </c>
      <c r="L481" s="250" t="s">
        <v>489</v>
      </c>
      <c r="M481" s="255" t="s">
        <v>114</v>
      </c>
      <c r="N481" s="278">
        <v>44196</v>
      </c>
      <c r="O481" s="329" t="s">
        <v>68</v>
      </c>
      <c r="P481" s="386">
        <f t="shared" ref="P481:Q481" si="478">IF(B481=0,0,IF(YEAR(B481)=$Q$1,MONTH(B481)-$P$1+1,(YEAR(B481)-$Q$1)*12-$P$1+1+MONTH(B481)))</f>
        <v>1</v>
      </c>
      <c r="Q481" s="330">
        <f t="shared" si="478"/>
        <v>-1</v>
      </c>
      <c r="R481" s="351" t="str">
        <f t="shared" si="3"/>
        <v>Gastos_custeados_por_captação</v>
      </c>
      <c r="S481" s="351" t="str">
        <f>IF(D481="","",IF(OR(D481=Plano!$A$1,D481=Plano!$B$1),"entrada","saída"))</f>
        <v>saída</v>
      </c>
      <c r="T481" s="334" t="s">
        <v>114</v>
      </c>
      <c r="U481" s="334" t="s">
        <v>114</v>
      </c>
      <c r="V481" s="269"/>
      <c r="W481" s="269"/>
    </row>
    <row r="482" spans="1:23" ht="69.75" customHeight="1" x14ac:dyDescent="0.2">
      <c r="A482" s="277">
        <f t="shared" si="0"/>
        <v>478</v>
      </c>
      <c r="B482" s="278">
        <v>44216</v>
      </c>
      <c r="C482" s="249">
        <v>44136</v>
      </c>
      <c r="D482" s="250" t="s">
        <v>104</v>
      </c>
      <c r="E482" s="250" t="s">
        <v>104</v>
      </c>
      <c r="F482" s="251">
        <v>775</v>
      </c>
      <c r="G482" s="255" t="s">
        <v>3118</v>
      </c>
      <c r="H482" s="250" t="s">
        <v>104</v>
      </c>
      <c r="I482" s="250" t="s">
        <v>530</v>
      </c>
      <c r="J482" s="250" t="s">
        <v>114</v>
      </c>
      <c r="K482" s="250" t="s">
        <v>466</v>
      </c>
      <c r="L482" s="250" t="s">
        <v>547</v>
      </c>
      <c r="M482" s="255" t="s">
        <v>114</v>
      </c>
      <c r="N482" s="278">
        <v>44196</v>
      </c>
      <c r="O482" s="329" t="s">
        <v>68</v>
      </c>
      <c r="P482" s="386">
        <f t="shared" ref="P482:Q482" si="479">IF(B482=0,0,IF(YEAR(B482)=$Q$1,MONTH(B482)-$P$1+1,(YEAR(B482)-$Q$1)*12-$P$1+1+MONTH(B482)))</f>
        <v>1</v>
      </c>
      <c r="Q482" s="330">
        <f t="shared" si="479"/>
        <v>-1</v>
      </c>
      <c r="R482" s="351" t="str">
        <f t="shared" si="3"/>
        <v>Gastos_custeados_por_captação</v>
      </c>
      <c r="S482" s="351" t="str">
        <f>IF(D482="","",IF(OR(D482=Plano!$A$1,D482=Plano!$B$1),"entrada","saída"))</f>
        <v>saída</v>
      </c>
      <c r="T482" s="334" t="s">
        <v>114</v>
      </c>
      <c r="U482" s="334" t="s">
        <v>114</v>
      </c>
      <c r="V482" s="269"/>
      <c r="W482" s="269"/>
    </row>
    <row r="483" spans="1:23" ht="69.75" customHeight="1" x14ac:dyDescent="0.2">
      <c r="A483" s="277">
        <f t="shared" si="0"/>
        <v>479</v>
      </c>
      <c r="B483" s="278">
        <v>44216</v>
      </c>
      <c r="C483" s="249">
        <v>44136</v>
      </c>
      <c r="D483" s="250" t="s">
        <v>104</v>
      </c>
      <c r="E483" s="250" t="s">
        <v>104</v>
      </c>
      <c r="F483" s="251">
        <v>775</v>
      </c>
      <c r="G483" s="255" t="s">
        <v>3119</v>
      </c>
      <c r="H483" s="250" t="s">
        <v>104</v>
      </c>
      <c r="I483" s="250" t="s">
        <v>530</v>
      </c>
      <c r="J483" s="250" t="s">
        <v>114</v>
      </c>
      <c r="K483" s="250" t="s">
        <v>466</v>
      </c>
      <c r="L483" s="250" t="s">
        <v>547</v>
      </c>
      <c r="M483" s="255" t="s">
        <v>114</v>
      </c>
      <c r="N483" s="278">
        <v>44196</v>
      </c>
      <c r="O483" s="329" t="s">
        <v>68</v>
      </c>
      <c r="P483" s="386">
        <f t="shared" ref="P483:Q483" si="480">IF(B483=0,0,IF(YEAR(B483)=$Q$1,MONTH(B483)-$P$1+1,(YEAR(B483)-$Q$1)*12-$P$1+1+MONTH(B483)))</f>
        <v>1</v>
      </c>
      <c r="Q483" s="330">
        <f t="shared" si="480"/>
        <v>-1</v>
      </c>
      <c r="R483" s="351" t="str">
        <f t="shared" si="3"/>
        <v>Gastos_custeados_por_captação</v>
      </c>
      <c r="S483" s="351" t="str">
        <f>IF(D483="","",IF(OR(D483=Plano!$A$1,D483=Plano!$B$1),"entrada","saída"))</f>
        <v>saída</v>
      </c>
      <c r="T483" s="334" t="s">
        <v>114</v>
      </c>
      <c r="U483" s="334" t="s">
        <v>114</v>
      </c>
      <c r="V483" s="269"/>
      <c r="W483" s="269"/>
    </row>
    <row r="484" spans="1:23" ht="69.75" customHeight="1" x14ac:dyDescent="0.2">
      <c r="A484" s="277">
        <f t="shared" si="0"/>
        <v>480</v>
      </c>
      <c r="B484" s="278">
        <v>44216</v>
      </c>
      <c r="C484" s="249">
        <v>44166</v>
      </c>
      <c r="D484" s="250" t="s">
        <v>104</v>
      </c>
      <c r="E484" s="250" t="s">
        <v>104</v>
      </c>
      <c r="F484" s="251">
        <v>310</v>
      </c>
      <c r="G484" s="255" t="s">
        <v>3120</v>
      </c>
      <c r="H484" s="250" t="s">
        <v>104</v>
      </c>
      <c r="I484" s="250" t="s">
        <v>530</v>
      </c>
      <c r="J484" s="250" t="s">
        <v>114</v>
      </c>
      <c r="K484" s="250" t="s">
        <v>466</v>
      </c>
      <c r="L484" s="250" t="s">
        <v>547</v>
      </c>
      <c r="M484" s="255" t="s">
        <v>114</v>
      </c>
      <c r="N484" s="278">
        <v>44196</v>
      </c>
      <c r="O484" s="329" t="s">
        <v>68</v>
      </c>
      <c r="P484" s="386">
        <f t="shared" ref="P484:Q484" si="481">IF(B484=0,0,IF(YEAR(B484)=$Q$1,MONTH(B484)-$P$1+1,(YEAR(B484)-$Q$1)*12-$P$1+1+MONTH(B484)))</f>
        <v>1</v>
      </c>
      <c r="Q484" s="330">
        <f t="shared" si="481"/>
        <v>0</v>
      </c>
      <c r="R484" s="351" t="str">
        <f t="shared" si="3"/>
        <v>Gastos_custeados_por_captação</v>
      </c>
      <c r="S484" s="351" t="str">
        <f>IF(D484="","",IF(OR(D484=Plano!$A$1,D484=Plano!$B$1),"entrada","saída"))</f>
        <v>saída</v>
      </c>
      <c r="T484" s="334" t="s">
        <v>114</v>
      </c>
      <c r="U484" s="334" t="s">
        <v>114</v>
      </c>
      <c r="V484" s="269"/>
      <c r="W484" s="269"/>
    </row>
    <row r="485" spans="1:23" ht="69.75" customHeight="1" x14ac:dyDescent="0.2">
      <c r="A485" s="277">
        <f t="shared" si="0"/>
        <v>481</v>
      </c>
      <c r="B485" s="278">
        <v>44216</v>
      </c>
      <c r="C485" s="249">
        <v>44136</v>
      </c>
      <c r="D485" s="250" t="s">
        <v>104</v>
      </c>
      <c r="E485" s="250" t="s">
        <v>104</v>
      </c>
      <c r="F485" s="251">
        <v>930</v>
      </c>
      <c r="G485" s="255" t="s">
        <v>3121</v>
      </c>
      <c r="H485" s="250" t="s">
        <v>104</v>
      </c>
      <c r="I485" s="250" t="s">
        <v>530</v>
      </c>
      <c r="J485" s="250" t="s">
        <v>114</v>
      </c>
      <c r="K485" s="250" t="s">
        <v>466</v>
      </c>
      <c r="L485" s="250" t="s">
        <v>547</v>
      </c>
      <c r="M485" s="255" t="s">
        <v>114</v>
      </c>
      <c r="N485" s="278">
        <v>44196</v>
      </c>
      <c r="O485" s="329" t="s">
        <v>68</v>
      </c>
      <c r="P485" s="386">
        <f t="shared" ref="P485:Q485" si="482">IF(B485=0,0,IF(YEAR(B485)=$Q$1,MONTH(B485)-$P$1+1,(YEAR(B485)-$Q$1)*12-$P$1+1+MONTH(B485)))</f>
        <v>1</v>
      </c>
      <c r="Q485" s="330">
        <f t="shared" si="482"/>
        <v>-1</v>
      </c>
      <c r="R485" s="351" t="str">
        <f t="shared" si="3"/>
        <v>Gastos_custeados_por_captação</v>
      </c>
      <c r="S485" s="351" t="str">
        <f>IF(D485="","",IF(OR(D485=Plano!$A$1,D485=Plano!$B$1),"entrada","saída"))</f>
        <v>saída</v>
      </c>
      <c r="T485" s="334" t="s">
        <v>114</v>
      </c>
      <c r="U485" s="334" t="s">
        <v>114</v>
      </c>
      <c r="V485" s="269"/>
      <c r="W485" s="269"/>
    </row>
    <row r="486" spans="1:23" ht="69.75" customHeight="1" x14ac:dyDescent="0.2">
      <c r="A486" s="277">
        <f t="shared" si="0"/>
        <v>482</v>
      </c>
      <c r="B486" s="278">
        <v>44216</v>
      </c>
      <c r="C486" s="249">
        <v>44136</v>
      </c>
      <c r="D486" s="250" t="s">
        <v>104</v>
      </c>
      <c r="E486" s="250" t="s">
        <v>104</v>
      </c>
      <c r="F486" s="251">
        <v>821.5</v>
      </c>
      <c r="G486" s="255" t="s">
        <v>3122</v>
      </c>
      <c r="H486" s="250" t="s">
        <v>104</v>
      </c>
      <c r="I486" s="250" t="s">
        <v>530</v>
      </c>
      <c r="J486" s="250" t="s">
        <v>114</v>
      </c>
      <c r="K486" s="250" t="s">
        <v>466</v>
      </c>
      <c r="L486" s="250" t="s">
        <v>547</v>
      </c>
      <c r="M486" s="255" t="s">
        <v>114</v>
      </c>
      <c r="N486" s="278">
        <v>44196</v>
      </c>
      <c r="O486" s="329" t="s">
        <v>68</v>
      </c>
      <c r="P486" s="386">
        <f t="shared" ref="P486:Q486" si="483">IF(B486=0,0,IF(YEAR(B486)=$Q$1,MONTH(B486)-$P$1+1,(YEAR(B486)-$Q$1)*12-$P$1+1+MONTH(B486)))</f>
        <v>1</v>
      </c>
      <c r="Q486" s="330">
        <f t="shared" si="483"/>
        <v>-1</v>
      </c>
      <c r="R486" s="351" t="str">
        <f t="shared" si="3"/>
        <v>Gastos_custeados_por_captação</v>
      </c>
      <c r="S486" s="351" t="str">
        <f>IF(D486="","",IF(OR(D486=Plano!$A$1,D486=Plano!$B$1),"entrada","saída"))</f>
        <v>saída</v>
      </c>
      <c r="T486" s="334" t="s">
        <v>114</v>
      </c>
      <c r="U486" s="334" t="s">
        <v>114</v>
      </c>
      <c r="V486" s="269"/>
      <c r="W486" s="269"/>
    </row>
    <row r="487" spans="1:23" ht="69.75" customHeight="1" x14ac:dyDescent="0.2">
      <c r="A487" s="277">
        <f t="shared" si="0"/>
        <v>483</v>
      </c>
      <c r="B487" s="278">
        <v>44216</v>
      </c>
      <c r="C487" s="249">
        <v>44166</v>
      </c>
      <c r="D487" s="250" t="s">
        <v>104</v>
      </c>
      <c r="E487" s="250" t="s">
        <v>104</v>
      </c>
      <c r="F487" s="251">
        <v>53.1</v>
      </c>
      <c r="G487" s="255" t="s">
        <v>3123</v>
      </c>
      <c r="H487" s="250" t="s">
        <v>104</v>
      </c>
      <c r="I487" s="250" t="s">
        <v>488</v>
      </c>
      <c r="J487" s="250" t="s">
        <v>114</v>
      </c>
      <c r="K487" s="250" t="s">
        <v>466</v>
      </c>
      <c r="L487" s="250" t="s">
        <v>489</v>
      </c>
      <c r="M487" s="255" t="s">
        <v>114</v>
      </c>
      <c r="N487" s="278">
        <v>44196</v>
      </c>
      <c r="O487" s="329" t="s">
        <v>69</v>
      </c>
      <c r="P487" s="386">
        <f t="shared" ref="P487:Q487" si="484">IF(B487=0,0,IF(YEAR(B487)=$Q$1,MONTH(B487)-$P$1+1,(YEAR(B487)-$Q$1)*12-$P$1+1+MONTH(B487)))</f>
        <v>1</v>
      </c>
      <c r="Q487" s="330">
        <f t="shared" si="484"/>
        <v>0</v>
      </c>
      <c r="R487" s="351" t="str">
        <f t="shared" si="3"/>
        <v>Gastos_custeados_por_captação</v>
      </c>
      <c r="S487" s="351" t="str">
        <f>IF(D487="","",IF(OR(D487=Plano!$A$1,D487=Plano!$B$1),"entrada","saída"))</f>
        <v>saída</v>
      </c>
      <c r="T487" s="334" t="s">
        <v>114</v>
      </c>
      <c r="U487" s="334" t="s">
        <v>114</v>
      </c>
      <c r="V487" s="269"/>
      <c r="W487" s="269"/>
    </row>
    <row r="488" spans="1:23" ht="69.75" customHeight="1" x14ac:dyDescent="0.2">
      <c r="A488" s="277">
        <f t="shared" si="0"/>
        <v>484</v>
      </c>
      <c r="B488" s="278">
        <v>44216</v>
      </c>
      <c r="C488" s="249">
        <v>44136</v>
      </c>
      <c r="D488" s="250" t="s">
        <v>104</v>
      </c>
      <c r="E488" s="250" t="s">
        <v>104</v>
      </c>
      <c r="F488" s="251">
        <v>620</v>
      </c>
      <c r="G488" s="255" t="s">
        <v>3124</v>
      </c>
      <c r="H488" s="250" t="s">
        <v>104</v>
      </c>
      <c r="I488" s="250" t="s">
        <v>530</v>
      </c>
      <c r="J488" s="250" t="s">
        <v>114</v>
      </c>
      <c r="K488" s="250" t="s">
        <v>466</v>
      </c>
      <c r="L488" s="250" t="s">
        <v>547</v>
      </c>
      <c r="M488" s="255" t="s">
        <v>114</v>
      </c>
      <c r="N488" s="278">
        <v>44196</v>
      </c>
      <c r="O488" s="329" t="s">
        <v>69</v>
      </c>
      <c r="P488" s="386">
        <f t="shared" ref="P488:Q488" si="485">IF(B488=0,0,IF(YEAR(B488)=$Q$1,MONTH(B488)-$P$1+1,(YEAR(B488)-$Q$1)*12-$P$1+1+MONTH(B488)))</f>
        <v>1</v>
      </c>
      <c r="Q488" s="330">
        <f t="shared" si="485"/>
        <v>-1</v>
      </c>
      <c r="R488" s="351" t="str">
        <f t="shared" si="3"/>
        <v>Gastos_custeados_por_captação</v>
      </c>
      <c r="S488" s="351" t="str">
        <f>IF(D488="","",IF(OR(D488=Plano!$A$1,D488=Plano!$B$1),"entrada","saída"))</f>
        <v>saída</v>
      </c>
      <c r="T488" s="334" t="s">
        <v>114</v>
      </c>
      <c r="U488" s="334" t="s">
        <v>114</v>
      </c>
      <c r="V488" s="269"/>
      <c r="W488" s="269"/>
    </row>
    <row r="489" spans="1:23" ht="69.75" customHeight="1" x14ac:dyDescent="0.2">
      <c r="A489" s="277">
        <f t="shared" si="0"/>
        <v>485</v>
      </c>
      <c r="B489" s="278">
        <v>44216</v>
      </c>
      <c r="C489" s="249">
        <v>44136</v>
      </c>
      <c r="D489" s="250" t="s">
        <v>104</v>
      </c>
      <c r="E489" s="250" t="s">
        <v>104</v>
      </c>
      <c r="F489" s="251">
        <v>775</v>
      </c>
      <c r="G489" s="255" t="s">
        <v>3125</v>
      </c>
      <c r="H489" s="250" t="s">
        <v>104</v>
      </c>
      <c r="I489" s="250" t="s">
        <v>530</v>
      </c>
      <c r="J489" s="250" t="s">
        <v>114</v>
      </c>
      <c r="K489" s="250" t="s">
        <v>466</v>
      </c>
      <c r="L489" s="250" t="s">
        <v>547</v>
      </c>
      <c r="M489" s="255" t="s">
        <v>114</v>
      </c>
      <c r="N489" s="278">
        <v>44196</v>
      </c>
      <c r="O489" s="329" t="s">
        <v>69</v>
      </c>
      <c r="P489" s="386">
        <f t="shared" ref="P489:Q489" si="486">IF(B489=0,0,IF(YEAR(B489)=$Q$1,MONTH(B489)-$P$1+1,(YEAR(B489)-$Q$1)*12-$P$1+1+MONTH(B489)))</f>
        <v>1</v>
      </c>
      <c r="Q489" s="330">
        <f t="shared" si="486"/>
        <v>-1</v>
      </c>
      <c r="R489" s="351" t="str">
        <f t="shared" si="3"/>
        <v>Gastos_custeados_por_captação</v>
      </c>
      <c r="S489" s="351" t="str">
        <f>IF(D489="","",IF(OR(D489=Plano!$A$1,D489=Plano!$B$1),"entrada","saída"))</f>
        <v>saída</v>
      </c>
      <c r="T489" s="334" t="s">
        <v>114</v>
      </c>
      <c r="U489" s="334" t="s">
        <v>114</v>
      </c>
      <c r="V489" s="269"/>
      <c r="W489" s="269"/>
    </row>
    <row r="490" spans="1:23" ht="69.75" customHeight="1" x14ac:dyDescent="0.2">
      <c r="A490" s="277">
        <f t="shared" si="0"/>
        <v>486</v>
      </c>
      <c r="B490" s="278">
        <v>44216</v>
      </c>
      <c r="C490" s="249">
        <v>44136</v>
      </c>
      <c r="D490" s="250" t="s">
        <v>104</v>
      </c>
      <c r="E490" s="250" t="s">
        <v>104</v>
      </c>
      <c r="F490" s="251">
        <v>775</v>
      </c>
      <c r="G490" s="255" t="s">
        <v>3126</v>
      </c>
      <c r="H490" s="250" t="s">
        <v>104</v>
      </c>
      <c r="I490" s="250" t="s">
        <v>530</v>
      </c>
      <c r="J490" s="250" t="s">
        <v>114</v>
      </c>
      <c r="K490" s="250" t="s">
        <v>466</v>
      </c>
      <c r="L490" s="250" t="s">
        <v>547</v>
      </c>
      <c r="M490" s="255" t="s">
        <v>114</v>
      </c>
      <c r="N490" s="278">
        <v>44196</v>
      </c>
      <c r="O490" s="329" t="s">
        <v>69</v>
      </c>
      <c r="P490" s="386">
        <f t="shared" ref="P490:Q490" si="487">IF(B490=0,0,IF(YEAR(B490)=$Q$1,MONTH(B490)-$P$1+1,(YEAR(B490)-$Q$1)*12-$P$1+1+MONTH(B490)))</f>
        <v>1</v>
      </c>
      <c r="Q490" s="330">
        <f t="shared" si="487"/>
        <v>-1</v>
      </c>
      <c r="R490" s="351" t="str">
        <f t="shared" si="3"/>
        <v>Gastos_custeados_por_captação</v>
      </c>
      <c r="S490" s="351" t="str">
        <f>IF(D490="","",IF(OR(D490=Plano!$A$1,D490=Plano!$B$1),"entrada","saída"))</f>
        <v>saída</v>
      </c>
      <c r="T490" s="334" t="s">
        <v>114</v>
      </c>
      <c r="U490" s="334" t="s">
        <v>114</v>
      </c>
      <c r="V490" s="269"/>
      <c r="W490" s="269"/>
    </row>
    <row r="491" spans="1:23" ht="69.75" customHeight="1" x14ac:dyDescent="0.2">
      <c r="A491" s="277">
        <f t="shared" si="0"/>
        <v>487</v>
      </c>
      <c r="B491" s="278">
        <v>44216</v>
      </c>
      <c r="C491" s="249">
        <v>44136</v>
      </c>
      <c r="D491" s="250" t="s">
        <v>104</v>
      </c>
      <c r="E491" s="250" t="s">
        <v>104</v>
      </c>
      <c r="F491" s="251">
        <v>24.08</v>
      </c>
      <c r="G491" s="255" t="s">
        <v>3127</v>
      </c>
      <c r="H491" s="250" t="s">
        <v>104</v>
      </c>
      <c r="I491" s="250" t="s">
        <v>488</v>
      </c>
      <c r="J491" s="250" t="s">
        <v>114</v>
      </c>
      <c r="K491" s="250" t="s">
        <v>466</v>
      </c>
      <c r="L491" s="250" t="s">
        <v>489</v>
      </c>
      <c r="M491" s="255" t="s">
        <v>114</v>
      </c>
      <c r="N491" s="278">
        <v>44196</v>
      </c>
      <c r="O491" s="329" t="s">
        <v>69</v>
      </c>
      <c r="P491" s="386">
        <f t="shared" ref="P491:Q491" si="488">IF(B491=0,0,IF(YEAR(B491)=$Q$1,MONTH(B491)-$P$1+1,(YEAR(B491)-$Q$1)*12-$P$1+1+MONTH(B491)))</f>
        <v>1</v>
      </c>
      <c r="Q491" s="330">
        <f t="shared" si="488"/>
        <v>-1</v>
      </c>
      <c r="R491" s="351" t="str">
        <f t="shared" si="3"/>
        <v>Gastos_custeados_por_captação</v>
      </c>
      <c r="S491" s="351" t="str">
        <f>IF(D491="","",IF(OR(D491=Plano!$A$1,D491=Plano!$B$1),"entrada","saída"))</f>
        <v>saída</v>
      </c>
      <c r="T491" s="334" t="s">
        <v>114</v>
      </c>
      <c r="U491" s="334" t="s">
        <v>114</v>
      </c>
      <c r="V491" s="269"/>
      <c r="W491" s="269"/>
    </row>
    <row r="492" spans="1:23" ht="69.75" customHeight="1" x14ac:dyDescent="0.2">
      <c r="A492" s="277">
        <f t="shared" si="0"/>
        <v>488</v>
      </c>
      <c r="B492" s="278">
        <v>44216</v>
      </c>
      <c r="C492" s="249">
        <v>44136</v>
      </c>
      <c r="D492" s="250" t="s">
        <v>104</v>
      </c>
      <c r="E492" s="250" t="s">
        <v>104</v>
      </c>
      <c r="F492" s="251">
        <v>24.08</v>
      </c>
      <c r="G492" s="255" t="s">
        <v>3128</v>
      </c>
      <c r="H492" s="250" t="s">
        <v>104</v>
      </c>
      <c r="I492" s="250" t="s">
        <v>488</v>
      </c>
      <c r="J492" s="250" t="s">
        <v>114</v>
      </c>
      <c r="K492" s="250" t="s">
        <v>466</v>
      </c>
      <c r="L492" s="250" t="s">
        <v>489</v>
      </c>
      <c r="M492" s="255" t="s">
        <v>114</v>
      </c>
      <c r="N492" s="278">
        <v>44196</v>
      </c>
      <c r="O492" s="329" t="s">
        <v>69</v>
      </c>
      <c r="P492" s="386">
        <f t="shared" ref="P492:Q492" si="489">IF(B492=0,0,IF(YEAR(B492)=$Q$1,MONTH(B492)-$P$1+1,(YEAR(B492)-$Q$1)*12-$P$1+1+MONTH(B492)))</f>
        <v>1</v>
      </c>
      <c r="Q492" s="330">
        <f t="shared" si="489"/>
        <v>-1</v>
      </c>
      <c r="R492" s="351" t="str">
        <f t="shared" si="3"/>
        <v>Gastos_custeados_por_captação</v>
      </c>
      <c r="S492" s="351" t="str">
        <f>IF(D492="","",IF(OR(D492=Plano!$A$1,D492=Plano!$B$1),"entrada","saída"))</f>
        <v>saída</v>
      </c>
      <c r="T492" s="334" t="s">
        <v>114</v>
      </c>
      <c r="U492" s="334" t="s">
        <v>114</v>
      </c>
      <c r="V492" s="269"/>
      <c r="W492" s="269"/>
    </row>
    <row r="493" spans="1:23" ht="69.75" customHeight="1" x14ac:dyDescent="0.2">
      <c r="A493" s="277">
        <f t="shared" si="0"/>
        <v>489</v>
      </c>
      <c r="B493" s="278">
        <v>44216</v>
      </c>
      <c r="C493" s="249">
        <v>44105</v>
      </c>
      <c r="D493" s="250" t="s">
        <v>104</v>
      </c>
      <c r="E493" s="250" t="s">
        <v>104</v>
      </c>
      <c r="F493" s="251">
        <v>2940.8</v>
      </c>
      <c r="G493" s="255" t="s">
        <v>3129</v>
      </c>
      <c r="H493" s="250" t="s">
        <v>104</v>
      </c>
      <c r="I493" s="250" t="s">
        <v>3130</v>
      </c>
      <c r="J493" s="250" t="s">
        <v>3131</v>
      </c>
      <c r="K493" s="250" t="s">
        <v>1015</v>
      </c>
      <c r="L493" s="250" t="s">
        <v>1177</v>
      </c>
      <c r="M493" s="255" t="s">
        <v>114</v>
      </c>
      <c r="N493" s="278">
        <v>44215</v>
      </c>
      <c r="O493" s="329" t="s">
        <v>70</v>
      </c>
      <c r="P493" s="386">
        <f t="shared" ref="P493:Q493" si="490">IF(B493=0,0,IF(YEAR(B493)=$Q$1,MONTH(B493)-$P$1+1,(YEAR(B493)-$Q$1)*12-$P$1+1+MONTH(B493)))</f>
        <v>1</v>
      </c>
      <c r="Q493" s="330">
        <f t="shared" si="490"/>
        <v>-2</v>
      </c>
      <c r="R493" s="351" t="str">
        <f t="shared" si="3"/>
        <v>Gastos_custeados_por_captação</v>
      </c>
      <c r="S493" s="351" t="str">
        <f>IF(D493="","",IF(OR(D493=Plano!$A$1,D493=Plano!$B$1),"entrada","saída"))</f>
        <v>saída</v>
      </c>
      <c r="T493" s="334" t="s">
        <v>114</v>
      </c>
      <c r="U493" s="334" t="s">
        <v>114</v>
      </c>
      <c r="V493" s="269"/>
      <c r="W493" s="269"/>
    </row>
    <row r="494" spans="1:23" ht="69.75" customHeight="1" x14ac:dyDescent="0.2">
      <c r="A494" s="277">
        <f t="shared" si="0"/>
        <v>490</v>
      </c>
      <c r="B494" s="278">
        <v>44216</v>
      </c>
      <c r="C494" s="249">
        <v>44105</v>
      </c>
      <c r="D494" s="250" t="s">
        <v>104</v>
      </c>
      <c r="E494" s="250" t="s">
        <v>104</v>
      </c>
      <c r="F494" s="251">
        <v>420</v>
      </c>
      <c r="G494" s="255" t="s">
        <v>3132</v>
      </c>
      <c r="H494" s="250" t="s">
        <v>104</v>
      </c>
      <c r="I494" s="250" t="s">
        <v>3133</v>
      </c>
      <c r="J494" s="250" t="s">
        <v>3134</v>
      </c>
      <c r="K494" s="250" t="s">
        <v>1015</v>
      </c>
      <c r="L494" s="250" t="s">
        <v>1029</v>
      </c>
      <c r="M494" s="255">
        <v>1041</v>
      </c>
      <c r="N494" s="278">
        <v>44215</v>
      </c>
      <c r="O494" s="329" t="s">
        <v>70</v>
      </c>
      <c r="P494" s="386">
        <f t="shared" ref="P494:Q494" si="491">IF(B494=0,0,IF(YEAR(B494)=$Q$1,MONTH(B494)-$P$1+1,(YEAR(B494)-$Q$1)*12-$P$1+1+MONTH(B494)))</f>
        <v>1</v>
      </c>
      <c r="Q494" s="330">
        <f t="shared" si="491"/>
        <v>-2</v>
      </c>
      <c r="R494" s="351" t="str">
        <f t="shared" si="3"/>
        <v>Gastos_custeados_por_captação</v>
      </c>
      <c r="S494" s="351" t="str">
        <f>IF(D494="","",IF(OR(D494=Plano!$A$1,D494=Plano!$B$1),"entrada","saída"))</f>
        <v>saída</v>
      </c>
      <c r="T494" s="334" t="s">
        <v>114</v>
      </c>
      <c r="U494" s="334" t="s">
        <v>114</v>
      </c>
      <c r="V494" s="269"/>
      <c r="W494" s="269"/>
    </row>
    <row r="495" spans="1:23" ht="194.25" customHeight="1" x14ac:dyDescent="0.2">
      <c r="A495" s="277">
        <f t="shared" si="0"/>
        <v>491</v>
      </c>
      <c r="B495" s="278">
        <v>44217</v>
      </c>
      <c r="C495" s="249">
        <v>44136</v>
      </c>
      <c r="D495" s="250" t="s">
        <v>99</v>
      </c>
      <c r="E495" s="250" t="s">
        <v>358</v>
      </c>
      <c r="F495" s="251">
        <v>1000</v>
      </c>
      <c r="G495" s="255" t="s">
        <v>3135</v>
      </c>
      <c r="H495" s="250" t="s">
        <v>128</v>
      </c>
      <c r="I495" s="250" t="s">
        <v>3136</v>
      </c>
      <c r="J495" s="250" t="s">
        <v>3137</v>
      </c>
      <c r="K495" s="255" t="s">
        <v>991</v>
      </c>
      <c r="L495" s="250" t="s">
        <v>1016</v>
      </c>
      <c r="M495" s="255" t="s">
        <v>1305</v>
      </c>
      <c r="N495" s="278">
        <v>44204</v>
      </c>
      <c r="O495" s="329" t="s">
        <v>67</v>
      </c>
      <c r="P495" s="386">
        <f t="shared" ref="P495:Q495" si="492">IF(B495=0,0,IF(YEAR(B495)=$Q$1,MONTH(B495)-$P$1+1,(YEAR(B495)-$Q$1)*12-$P$1+1+MONTH(B495)))</f>
        <v>1</v>
      </c>
      <c r="Q495" s="330">
        <f t="shared" si="492"/>
        <v>-1</v>
      </c>
      <c r="R495" s="351" t="str">
        <f t="shared" si="3"/>
        <v>Gastos_Gerais</v>
      </c>
      <c r="S495" s="351" t="str">
        <f>IF(D495="","",IF(OR(D495=Plano!$A$1,D495=Plano!$B$1),"entrada","saída"))</f>
        <v>saída</v>
      </c>
      <c r="T495" s="334" t="s">
        <v>994</v>
      </c>
      <c r="U495" s="334">
        <v>878</v>
      </c>
      <c r="V495" s="269"/>
      <c r="W495" s="269"/>
    </row>
    <row r="496" spans="1:23" ht="233.25" customHeight="1" x14ac:dyDescent="0.2">
      <c r="A496" s="277">
        <f t="shared" si="0"/>
        <v>492</v>
      </c>
      <c r="B496" s="278">
        <v>44217</v>
      </c>
      <c r="C496" s="249">
        <v>44197</v>
      </c>
      <c r="D496" s="250" t="s">
        <v>99</v>
      </c>
      <c r="E496" s="250" t="s">
        <v>364</v>
      </c>
      <c r="F496" s="251">
        <v>9761</v>
      </c>
      <c r="G496" s="255" t="s">
        <v>3138</v>
      </c>
      <c r="H496" s="250" t="s">
        <v>125</v>
      </c>
      <c r="I496" s="250" t="s">
        <v>2142</v>
      </c>
      <c r="J496" s="250" t="s">
        <v>3139</v>
      </c>
      <c r="K496" s="255" t="s">
        <v>991</v>
      </c>
      <c r="L496" s="250" t="s">
        <v>1016</v>
      </c>
      <c r="M496" s="255" t="s">
        <v>2152</v>
      </c>
      <c r="N496" s="278">
        <v>44215</v>
      </c>
      <c r="O496" s="329" t="s">
        <v>67</v>
      </c>
      <c r="P496" s="386">
        <f t="shared" ref="P496:Q496" si="493">IF(B496=0,0,IF(YEAR(B496)=$Q$1,MONTH(B496)-$P$1+1,(YEAR(B496)-$Q$1)*12-$P$1+1+MONTH(B496)))</f>
        <v>1</v>
      </c>
      <c r="Q496" s="330">
        <f t="shared" si="493"/>
        <v>1</v>
      </c>
      <c r="R496" s="351" t="str">
        <f t="shared" si="3"/>
        <v>Gastos_Gerais</v>
      </c>
      <c r="S496" s="351" t="str">
        <f>IF(D496="","",IF(OR(D496=Plano!$A$1,D496=Plano!$B$1),"entrada","saída"))</f>
        <v>saída</v>
      </c>
      <c r="T496" s="334" t="s">
        <v>994</v>
      </c>
      <c r="U496" s="334">
        <v>1256</v>
      </c>
      <c r="V496" s="269"/>
      <c r="W496" s="269"/>
    </row>
    <row r="497" spans="1:23" ht="69.75" customHeight="1" x14ac:dyDescent="0.2">
      <c r="A497" s="277">
        <f t="shared" si="0"/>
        <v>493</v>
      </c>
      <c r="B497" s="278">
        <v>44217</v>
      </c>
      <c r="C497" s="249">
        <v>44197</v>
      </c>
      <c r="D497" s="255" t="s">
        <v>99</v>
      </c>
      <c r="E497" s="255" t="s">
        <v>272</v>
      </c>
      <c r="F497" s="258">
        <v>10.45</v>
      </c>
      <c r="G497" s="255" t="s">
        <v>3140</v>
      </c>
      <c r="H497" s="250" t="s">
        <v>128</v>
      </c>
      <c r="I497" s="250" t="s">
        <v>949</v>
      </c>
      <c r="J497" s="255" t="s">
        <v>950</v>
      </c>
      <c r="K497" s="255" t="s">
        <v>951</v>
      </c>
      <c r="L497" s="250" t="s">
        <v>947</v>
      </c>
      <c r="M497" s="279" t="s">
        <v>114</v>
      </c>
      <c r="N497" s="278">
        <v>44217</v>
      </c>
      <c r="O497" s="329" t="s">
        <v>67</v>
      </c>
      <c r="P497" s="386">
        <f t="shared" ref="P497:Q497" si="494">IF(B497=0,0,IF(YEAR(B497)=$Q$1,MONTH(B497)-$P$1+1,(YEAR(B497)-$Q$1)*12-$P$1+1+MONTH(B497)))</f>
        <v>1</v>
      </c>
      <c r="Q497" s="330">
        <f t="shared" si="494"/>
        <v>1</v>
      </c>
      <c r="R497" s="351" t="str">
        <f t="shared" si="3"/>
        <v>Gastos_Gerais</v>
      </c>
      <c r="S497" s="351" t="str">
        <f>IF(D497="","",IF(OR(D497=Plano!$A$1,D497=Plano!$B$1),"entrada","saída"))</f>
        <v>saída</v>
      </c>
      <c r="T497" s="334" t="s">
        <v>114</v>
      </c>
      <c r="U497" s="334" t="s">
        <v>114</v>
      </c>
      <c r="V497" s="269"/>
      <c r="W497" s="269"/>
    </row>
    <row r="498" spans="1:23" ht="69.75" customHeight="1" x14ac:dyDescent="0.2">
      <c r="A498" s="277">
        <f t="shared" si="0"/>
        <v>494</v>
      </c>
      <c r="B498" s="278">
        <v>44217</v>
      </c>
      <c r="C498" s="249">
        <v>44197</v>
      </c>
      <c r="D498" s="255" t="s">
        <v>99</v>
      </c>
      <c r="E498" s="255" t="s">
        <v>272</v>
      </c>
      <c r="F498" s="258">
        <v>10.45</v>
      </c>
      <c r="G498" s="255" t="s">
        <v>3141</v>
      </c>
      <c r="H498" s="250" t="s">
        <v>125</v>
      </c>
      <c r="I498" s="250" t="s">
        <v>949</v>
      </c>
      <c r="J498" s="255" t="s">
        <v>950</v>
      </c>
      <c r="K498" s="255" t="s">
        <v>951</v>
      </c>
      <c r="L498" s="250" t="s">
        <v>947</v>
      </c>
      <c r="M498" s="279" t="s">
        <v>114</v>
      </c>
      <c r="N498" s="278">
        <v>44217</v>
      </c>
      <c r="O498" s="329" t="s">
        <v>67</v>
      </c>
      <c r="P498" s="386">
        <f t="shared" ref="P498:Q498" si="495">IF(B498=0,0,IF(YEAR(B498)=$Q$1,MONTH(B498)-$P$1+1,(YEAR(B498)-$Q$1)*12-$P$1+1+MONTH(B498)))</f>
        <v>1</v>
      </c>
      <c r="Q498" s="330">
        <f t="shared" si="495"/>
        <v>1</v>
      </c>
      <c r="R498" s="351" t="str">
        <f t="shared" si="3"/>
        <v>Gastos_Gerais</v>
      </c>
      <c r="S498" s="351" t="str">
        <f>IF(D498="","",IF(OR(D498=Plano!$A$1,D498=Plano!$B$1),"entrada","saída"))</f>
        <v>saída</v>
      </c>
      <c r="T498" s="334" t="s">
        <v>114</v>
      </c>
      <c r="U498" s="334" t="s">
        <v>114</v>
      </c>
      <c r="V498" s="269"/>
      <c r="W498" s="269"/>
    </row>
    <row r="499" spans="1:23" ht="249.75" customHeight="1" x14ac:dyDescent="0.2">
      <c r="A499" s="277">
        <f t="shared" si="0"/>
        <v>495</v>
      </c>
      <c r="B499" s="278">
        <v>44217</v>
      </c>
      <c r="C499" s="249">
        <v>44166</v>
      </c>
      <c r="D499" s="250" t="s">
        <v>104</v>
      </c>
      <c r="E499" s="250" t="s">
        <v>104</v>
      </c>
      <c r="F499" s="251">
        <v>2075.92</v>
      </c>
      <c r="G499" s="255" t="s">
        <v>3142</v>
      </c>
      <c r="H499" s="250" t="s">
        <v>104</v>
      </c>
      <c r="I499" s="250" t="s">
        <v>3143</v>
      </c>
      <c r="J499" s="250" t="s">
        <v>3144</v>
      </c>
      <c r="K499" s="255" t="s">
        <v>1015</v>
      </c>
      <c r="L499" s="250" t="s">
        <v>1029</v>
      </c>
      <c r="M499" s="279">
        <v>1044</v>
      </c>
      <c r="N499" s="278">
        <v>44216</v>
      </c>
      <c r="O499" s="329" t="s">
        <v>69</v>
      </c>
      <c r="P499" s="386">
        <f t="shared" ref="P499:Q499" si="496">IF(B499=0,0,IF(YEAR(B499)=$Q$1,MONTH(B499)-$P$1+1,(YEAR(B499)-$Q$1)*12-$P$1+1+MONTH(B499)))</f>
        <v>1</v>
      </c>
      <c r="Q499" s="330">
        <f t="shared" si="496"/>
        <v>0</v>
      </c>
      <c r="R499" s="351" t="str">
        <f t="shared" si="3"/>
        <v>Gastos_custeados_por_captação</v>
      </c>
      <c r="S499" s="351" t="str">
        <f>IF(D499="","",IF(OR(D499=Plano!$A$1,D499=Plano!$B$1),"entrada","saída"))</f>
        <v>saída</v>
      </c>
      <c r="T499" s="334" t="s">
        <v>114</v>
      </c>
      <c r="U499" s="334" t="s">
        <v>114</v>
      </c>
      <c r="V499" s="269"/>
      <c r="W499" s="269"/>
    </row>
    <row r="500" spans="1:23" ht="180" customHeight="1" x14ac:dyDescent="0.2">
      <c r="A500" s="277">
        <f t="shared" si="0"/>
        <v>496</v>
      </c>
      <c r="B500" s="278">
        <v>44217</v>
      </c>
      <c r="C500" s="249">
        <v>44166</v>
      </c>
      <c r="D500" s="250" t="s">
        <v>104</v>
      </c>
      <c r="E500" s="250" t="s">
        <v>104</v>
      </c>
      <c r="F500" s="251">
        <v>2125.92</v>
      </c>
      <c r="G500" s="255" t="s">
        <v>3145</v>
      </c>
      <c r="H500" s="250" t="s">
        <v>104</v>
      </c>
      <c r="I500" s="250" t="s">
        <v>3146</v>
      </c>
      <c r="J500" s="250" t="s">
        <v>3147</v>
      </c>
      <c r="K500" s="255" t="s">
        <v>1015</v>
      </c>
      <c r="L500" s="250" t="s">
        <v>1029</v>
      </c>
      <c r="M500" s="279">
        <v>1045</v>
      </c>
      <c r="N500" s="278">
        <v>44216</v>
      </c>
      <c r="O500" s="329" t="s">
        <v>68</v>
      </c>
      <c r="P500" s="386">
        <f t="shared" ref="P500:Q500" si="497">IF(B500=0,0,IF(YEAR(B500)=$Q$1,MONTH(B500)-$P$1+1,(YEAR(B500)-$Q$1)*12-$P$1+1+MONTH(B500)))</f>
        <v>1</v>
      </c>
      <c r="Q500" s="330">
        <f t="shared" si="497"/>
        <v>0</v>
      </c>
      <c r="R500" s="351" t="str">
        <f t="shared" si="3"/>
        <v>Gastos_custeados_por_captação</v>
      </c>
      <c r="S500" s="351" t="str">
        <f>IF(D500="","",IF(OR(D500=Plano!$A$1,D500=Plano!$B$1),"entrada","saída"))</f>
        <v>saída</v>
      </c>
      <c r="T500" s="334" t="s">
        <v>114</v>
      </c>
      <c r="U500" s="334" t="s">
        <v>114</v>
      </c>
      <c r="V500" s="269"/>
      <c r="W500" s="269"/>
    </row>
    <row r="501" spans="1:23" ht="204" customHeight="1" x14ac:dyDescent="0.2">
      <c r="A501" s="277">
        <f t="shared" si="0"/>
        <v>497</v>
      </c>
      <c r="B501" s="278">
        <v>44217</v>
      </c>
      <c r="C501" s="249">
        <v>44166</v>
      </c>
      <c r="D501" s="250" t="s">
        <v>104</v>
      </c>
      <c r="E501" s="250" t="s">
        <v>104</v>
      </c>
      <c r="F501" s="251">
        <v>2075.92</v>
      </c>
      <c r="G501" s="255" t="s">
        <v>3148</v>
      </c>
      <c r="H501" s="250" t="s">
        <v>104</v>
      </c>
      <c r="I501" s="250" t="s">
        <v>3149</v>
      </c>
      <c r="J501" s="250" t="s">
        <v>3150</v>
      </c>
      <c r="K501" s="255" t="s">
        <v>1015</v>
      </c>
      <c r="L501" s="250" t="s">
        <v>1029</v>
      </c>
      <c r="M501" s="279">
        <v>1046</v>
      </c>
      <c r="N501" s="278">
        <v>44216</v>
      </c>
      <c r="O501" s="329" t="s">
        <v>68</v>
      </c>
      <c r="P501" s="386">
        <f t="shared" ref="P501:Q501" si="498">IF(B501=0,0,IF(YEAR(B501)=$Q$1,MONTH(B501)-$P$1+1,(YEAR(B501)-$Q$1)*12-$P$1+1+MONTH(B501)))</f>
        <v>1</v>
      </c>
      <c r="Q501" s="330">
        <f t="shared" si="498"/>
        <v>0</v>
      </c>
      <c r="R501" s="351" t="str">
        <f t="shared" si="3"/>
        <v>Gastos_custeados_por_captação</v>
      </c>
      <c r="S501" s="351" t="str">
        <f>IF(D501="","",IF(OR(D501=Plano!$A$1,D501=Plano!$B$1),"entrada","saída"))</f>
        <v>saída</v>
      </c>
      <c r="T501" s="334" t="s">
        <v>114</v>
      </c>
      <c r="U501" s="334" t="s">
        <v>114</v>
      </c>
      <c r="V501" s="269"/>
      <c r="W501" s="269"/>
    </row>
    <row r="502" spans="1:23" ht="69.75" customHeight="1" x14ac:dyDescent="0.2">
      <c r="A502" s="277">
        <f t="shared" si="0"/>
        <v>498</v>
      </c>
      <c r="B502" s="278">
        <v>44218</v>
      </c>
      <c r="C502" s="249">
        <v>44136</v>
      </c>
      <c r="D502" s="250" t="s">
        <v>99</v>
      </c>
      <c r="E502" s="250" t="s">
        <v>228</v>
      </c>
      <c r="F502" s="251">
        <v>-1.1200000000000001</v>
      </c>
      <c r="G502" s="255" t="s">
        <v>3151</v>
      </c>
      <c r="H502" s="250" t="s">
        <v>115</v>
      </c>
      <c r="I502" s="250" t="s">
        <v>3010</v>
      </c>
      <c r="J502" s="255" t="s">
        <v>850</v>
      </c>
      <c r="K502" s="255" t="s">
        <v>946</v>
      </c>
      <c r="L502" s="250" t="s">
        <v>947</v>
      </c>
      <c r="M502" s="390" t="s">
        <v>114</v>
      </c>
      <c r="N502" s="278">
        <v>44218</v>
      </c>
      <c r="O502" s="329" t="s">
        <v>67</v>
      </c>
      <c r="P502" s="386">
        <f t="shared" ref="P502:Q502" si="499">IF(B502=0,0,IF(YEAR(B502)=$Q$1,MONTH(B502)-$P$1+1,(YEAR(B502)-$Q$1)*12-$P$1+1+MONTH(B502)))</f>
        <v>1</v>
      </c>
      <c r="Q502" s="330">
        <f t="shared" si="499"/>
        <v>-1</v>
      </c>
      <c r="R502" s="351" t="str">
        <f t="shared" si="3"/>
        <v>Gastos_Gerais</v>
      </c>
      <c r="S502" s="351" t="str">
        <f>IF(D502="","",IF(OR(D502=Plano!$A$1,D502=Plano!$B$1),"entrada","saída"))</f>
        <v>saída</v>
      </c>
      <c r="T502" s="334" t="s">
        <v>114</v>
      </c>
      <c r="U502" s="334" t="s">
        <v>114</v>
      </c>
      <c r="V502" s="269"/>
      <c r="W502" s="269"/>
    </row>
    <row r="503" spans="1:23" ht="69.75" customHeight="1" x14ac:dyDescent="0.2">
      <c r="A503" s="277">
        <f t="shared" si="0"/>
        <v>499</v>
      </c>
      <c r="B503" s="278">
        <v>44218</v>
      </c>
      <c r="C503" s="249">
        <v>44105</v>
      </c>
      <c r="D503" s="250" t="s">
        <v>99</v>
      </c>
      <c r="E503" s="250" t="s">
        <v>364</v>
      </c>
      <c r="F503" s="251">
        <v>-8.18</v>
      </c>
      <c r="G503" s="255" t="s">
        <v>3152</v>
      </c>
      <c r="H503" s="250" t="s">
        <v>116</v>
      </c>
      <c r="I503" s="250" t="s">
        <v>3010</v>
      </c>
      <c r="J503" s="255" t="s">
        <v>850</v>
      </c>
      <c r="K503" s="255" t="s">
        <v>946</v>
      </c>
      <c r="L503" s="250" t="s">
        <v>947</v>
      </c>
      <c r="M503" s="390" t="s">
        <v>114</v>
      </c>
      <c r="N503" s="278">
        <v>44218</v>
      </c>
      <c r="O503" s="329" t="s">
        <v>67</v>
      </c>
      <c r="P503" s="386">
        <f t="shared" ref="P503:Q503" si="500">IF(B503=0,0,IF(YEAR(B503)=$Q$1,MONTH(B503)-$P$1+1,(YEAR(B503)-$Q$1)*12-$P$1+1+MONTH(B503)))</f>
        <v>1</v>
      </c>
      <c r="Q503" s="330">
        <f t="shared" si="500"/>
        <v>-2</v>
      </c>
      <c r="R503" s="351" t="str">
        <f t="shared" si="3"/>
        <v>Gastos_Gerais</v>
      </c>
      <c r="S503" s="351" t="str">
        <f>IF(D503="","",IF(OR(D503=Plano!$A$1,D503=Plano!$B$1),"entrada","saída"))</f>
        <v>saída</v>
      </c>
      <c r="T503" s="334" t="s">
        <v>114</v>
      </c>
      <c r="U503" s="334" t="s">
        <v>114</v>
      </c>
      <c r="V503" s="269"/>
      <c r="W503" s="269"/>
    </row>
    <row r="504" spans="1:23" ht="69.75" customHeight="1" x14ac:dyDescent="0.2">
      <c r="A504" s="277">
        <f t="shared" si="0"/>
        <v>500</v>
      </c>
      <c r="B504" s="278">
        <v>44218</v>
      </c>
      <c r="C504" s="249">
        <v>44105</v>
      </c>
      <c r="D504" s="250" t="s">
        <v>99</v>
      </c>
      <c r="E504" s="250" t="s">
        <v>244</v>
      </c>
      <c r="F504" s="251">
        <v>-0.46</v>
      </c>
      <c r="G504" s="255" t="s">
        <v>3153</v>
      </c>
      <c r="H504" s="250" t="s">
        <v>115</v>
      </c>
      <c r="I504" s="250" t="s">
        <v>3010</v>
      </c>
      <c r="J504" s="255" t="s">
        <v>850</v>
      </c>
      <c r="K504" s="255" t="s">
        <v>946</v>
      </c>
      <c r="L504" s="250" t="s">
        <v>947</v>
      </c>
      <c r="M504" s="390" t="s">
        <v>114</v>
      </c>
      <c r="N504" s="278">
        <v>44218</v>
      </c>
      <c r="O504" s="329" t="s">
        <v>67</v>
      </c>
      <c r="P504" s="386">
        <f t="shared" ref="P504:Q504" si="501">IF(B504=0,0,IF(YEAR(B504)=$Q$1,MONTH(B504)-$P$1+1,(YEAR(B504)-$Q$1)*12-$P$1+1+MONTH(B504)))</f>
        <v>1</v>
      </c>
      <c r="Q504" s="330">
        <f t="shared" si="501"/>
        <v>-2</v>
      </c>
      <c r="R504" s="351" t="str">
        <f t="shared" si="3"/>
        <v>Gastos_Gerais</v>
      </c>
      <c r="S504" s="351" t="str">
        <f>IF(D504="","",IF(OR(D504=Plano!$A$1,D504=Plano!$B$1),"entrada","saída"))</f>
        <v>saída</v>
      </c>
      <c r="T504" s="334" t="s">
        <v>114</v>
      </c>
      <c r="U504" s="334" t="s">
        <v>114</v>
      </c>
      <c r="V504" s="269"/>
      <c r="W504" s="269"/>
    </row>
    <row r="505" spans="1:23" ht="249.75" customHeight="1" x14ac:dyDescent="0.2">
      <c r="A505" s="277">
        <f t="shared" si="0"/>
        <v>501</v>
      </c>
      <c r="B505" s="278">
        <v>44218</v>
      </c>
      <c r="C505" s="249">
        <v>44166</v>
      </c>
      <c r="D505" s="250" t="s">
        <v>99</v>
      </c>
      <c r="E505" s="250" t="s">
        <v>238</v>
      </c>
      <c r="F505" s="251">
        <v>3500</v>
      </c>
      <c r="G505" s="255" t="s">
        <v>3154</v>
      </c>
      <c r="H505" s="250" t="s">
        <v>131</v>
      </c>
      <c r="I505" s="250" t="s">
        <v>3155</v>
      </c>
      <c r="J505" s="250" t="s">
        <v>3156</v>
      </c>
      <c r="K505" s="255" t="s">
        <v>1015</v>
      </c>
      <c r="L505" s="250" t="s">
        <v>1016</v>
      </c>
      <c r="M505" s="255" t="s">
        <v>1305</v>
      </c>
      <c r="N505" s="278">
        <v>44217</v>
      </c>
      <c r="O505" s="329" t="s">
        <v>67</v>
      </c>
      <c r="P505" s="386">
        <f t="shared" ref="P505:Q505" si="502">IF(B505=0,0,IF(YEAR(B505)=$Q$1,MONTH(B505)-$P$1+1,(YEAR(B505)-$Q$1)*12-$P$1+1+MONTH(B505)))</f>
        <v>1</v>
      </c>
      <c r="Q505" s="330">
        <f t="shared" si="502"/>
        <v>0</v>
      </c>
      <c r="R505" s="351" t="str">
        <f t="shared" si="3"/>
        <v>Gastos_Gerais</v>
      </c>
      <c r="S505" s="351" t="str">
        <f>IF(D505="","",IF(OR(D505=Plano!$A$1,D505=Plano!$B$1),"entrada","saída"))</f>
        <v>saída</v>
      </c>
      <c r="T505" s="334" t="s">
        <v>994</v>
      </c>
      <c r="U505" s="334">
        <v>1123</v>
      </c>
      <c r="V505" s="269"/>
      <c r="W505" s="269"/>
    </row>
    <row r="506" spans="1:23" ht="214.5" customHeight="1" x14ac:dyDescent="0.2">
      <c r="A506" s="277">
        <f t="shared" si="0"/>
        <v>502</v>
      </c>
      <c r="B506" s="278">
        <v>44218</v>
      </c>
      <c r="C506" s="249">
        <v>44166</v>
      </c>
      <c r="D506" s="250" t="s">
        <v>99</v>
      </c>
      <c r="E506" s="250" t="s">
        <v>350</v>
      </c>
      <c r="F506" s="251">
        <v>300</v>
      </c>
      <c r="G506" s="255" t="s">
        <v>3157</v>
      </c>
      <c r="H506" s="250" t="s">
        <v>132</v>
      </c>
      <c r="I506" s="250" t="s">
        <v>3158</v>
      </c>
      <c r="J506" s="250" t="s">
        <v>3159</v>
      </c>
      <c r="K506" s="255" t="s">
        <v>1015</v>
      </c>
      <c r="L506" s="250" t="s">
        <v>1177</v>
      </c>
      <c r="M506" s="255" t="s">
        <v>114</v>
      </c>
      <c r="N506" s="278">
        <v>44218</v>
      </c>
      <c r="O506" s="329" t="s">
        <v>67</v>
      </c>
      <c r="P506" s="386">
        <f t="shared" ref="P506:Q506" si="503">IF(B506=0,0,IF(YEAR(B506)=$Q$1,MONTH(B506)-$P$1+1,(YEAR(B506)-$Q$1)*12-$P$1+1+MONTH(B506)))</f>
        <v>1</v>
      </c>
      <c r="Q506" s="330">
        <f t="shared" si="503"/>
        <v>0</v>
      </c>
      <c r="R506" s="351" t="str">
        <f t="shared" si="3"/>
        <v>Gastos_Gerais</v>
      </c>
      <c r="S506" s="351" t="str">
        <f>IF(D506="","",IF(OR(D506=Plano!$A$1,D506=Plano!$B$1),"entrada","saída"))</f>
        <v>saída</v>
      </c>
      <c r="T506" s="334" t="s">
        <v>994</v>
      </c>
      <c r="U506" s="334">
        <v>999</v>
      </c>
      <c r="V506" s="269"/>
      <c r="W506" s="269"/>
    </row>
    <row r="507" spans="1:23" ht="69.75" customHeight="1" x14ac:dyDescent="0.2">
      <c r="A507" s="277">
        <f t="shared" si="0"/>
        <v>503</v>
      </c>
      <c r="B507" s="278">
        <v>44218</v>
      </c>
      <c r="C507" s="256">
        <v>44228</v>
      </c>
      <c r="D507" s="255" t="s">
        <v>88</v>
      </c>
      <c r="E507" s="255" t="s">
        <v>192</v>
      </c>
      <c r="F507" s="258">
        <v>551.19000000000005</v>
      </c>
      <c r="G507" s="255" t="s">
        <v>3160</v>
      </c>
      <c r="H507" s="255" t="s">
        <v>114</v>
      </c>
      <c r="I507" s="250" t="s">
        <v>1032</v>
      </c>
      <c r="J507" s="255" t="s">
        <v>3161</v>
      </c>
      <c r="K507" s="255" t="s">
        <v>2873</v>
      </c>
      <c r="L507" s="250" t="s">
        <v>1016</v>
      </c>
      <c r="M507" s="255" t="s">
        <v>3162</v>
      </c>
      <c r="N507" s="278">
        <v>44222</v>
      </c>
      <c r="O507" s="329" t="s">
        <v>67</v>
      </c>
      <c r="P507" s="386">
        <f t="shared" ref="P507:Q507" si="504">IF(B507=0,0,IF(YEAR(B507)=$Q$1,MONTH(B507)-$P$1+1,(YEAR(B507)-$Q$1)*12-$P$1+1+MONTH(B507)))</f>
        <v>1</v>
      </c>
      <c r="Q507" s="330">
        <f t="shared" si="504"/>
        <v>2</v>
      </c>
      <c r="R507" s="351" t="str">
        <f t="shared" si="3"/>
        <v>Gastos_com_Pessoal</v>
      </c>
      <c r="S507" s="351" t="str">
        <f>IF(D507="","",IF(OR(D507=Plano!$A$1,D507=Plano!$B$1),"entrada","saída"))</f>
        <v>saída</v>
      </c>
      <c r="T507" s="334" t="s">
        <v>114</v>
      </c>
      <c r="U507" s="334" t="s">
        <v>114</v>
      </c>
      <c r="V507" s="269"/>
      <c r="W507" s="269"/>
    </row>
    <row r="508" spans="1:23" ht="69.75" customHeight="1" x14ac:dyDescent="0.2">
      <c r="A508" s="277">
        <f t="shared" si="0"/>
        <v>504</v>
      </c>
      <c r="B508" s="278">
        <v>44218</v>
      </c>
      <c r="C508" s="249">
        <v>44105</v>
      </c>
      <c r="D508" s="250" t="s">
        <v>99</v>
      </c>
      <c r="E508" s="250" t="s">
        <v>244</v>
      </c>
      <c r="F508" s="251">
        <v>70.209999999999994</v>
      </c>
      <c r="G508" s="255" t="s">
        <v>3163</v>
      </c>
      <c r="H508" s="250" t="s">
        <v>115</v>
      </c>
      <c r="I508" s="250" t="s">
        <v>488</v>
      </c>
      <c r="J508" s="250" t="s">
        <v>114</v>
      </c>
      <c r="K508" s="250" t="s">
        <v>466</v>
      </c>
      <c r="L508" s="250" t="s">
        <v>489</v>
      </c>
      <c r="M508" s="250" t="s">
        <v>114</v>
      </c>
      <c r="N508" s="278">
        <v>44561</v>
      </c>
      <c r="O508" s="329" t="s">
        <v>67</v>
      </c>
      <c r="P508" s="386">
        <f t="shared" ref="P508:Q508" si="505">IF(B508=0,0,IF(YEAR(B508)=$Q$1,MONTH(B508)-$P$1+1,(YEAR(B508)-$Q$1)*12-$P$1+1+MONTH(B508)))</f>
        <v>1</v>
      </c>
      <c r="Q508" s="330">
        <f t="shared" si="505"/>
        <v>-2</v>
      </c>
      <c r="R508" s="351" t="str">
        <f t="shared" si="3"/>
        <v>Gastos_Gerais</v>
      </c>
      <c r="S508" s="351" t="str">
        <f>IF(D508="","",IF(OR(D508=Plano!$A$1,D508=Plano!$B$1),"entrada","saída"))</f>
        <v>saída</v>
      </c>
      <c r="T508" s="334" t="s">
        <v>114</v>
      </c>
      <c r="U508" s="334" t="s">
        <v>114</v>
      </c>
      <c r="V508" s="269"/>
      <c r="W508" s="269"/>
    </row>
    <row r="509" spans="1:23" ht="69.75" customHeight="1" x14ac:dyDescent="0.2">
      <c r="A509" s="277">
        <f t="shared" si="0"/>
        <v>505</v>
      </c>
      <c r="B509" s="278">
        <v>44218</v>
      </c>
      <c r="C509" s="249">
        <v>44136</v>
      </c>
      <c r="D509" s="250" t="s">
        <v>99</v>
      </c>
      <c r="E509" s="250" t="s">
        <v>228</v>
      </c>
      <c r="F509" s="251">
        <v>171.31</v>
      </c>
      <c r="G509" s="255" t="s">
        <v>3164</v>
      </c>
      <c r="H509" s="250" t="s">
        <v>115</v>
      </c>
      <c r="I509" s="250" t="s">
        <v>488</v>
      </c>
      <c r="J509" s="250" t="s">
        <v>114</v>
      </c>
      <c r="K509" s="250" t="s">
        <v>466</v>
      </c>
      <c r="L509" s="250" t="s">
        <v>489</v>
      </c>
      <c r="M509" s="250" t="s">
        <v>114</v>
      </c>
      <c r="N509" s="278">
        <v>44561</v>
      </c>
      <c r="O509" s="329" t="s">
        <v>67</v>
      </c>
      <c r="P509" s="386">
        <f t="shared" ref="P509:Q509" si="506">IF(B509=0,0,IF(YEAR(B509)=$Q$1,MONTH(B509)-$P$1+1,(YEAR(B509)-$Q$1)*12-$P$1+1+MONTH(B509)))</f>
        <v>1</v>
      </c>
      <c r="Q509" s="330">
        <f t="shared" si="506"/>
        <v>-1</v>
      </c>
      <c r="R509" s="351" t="str">
        <f t="shared" si="3"/>
        <v>Gastos_Gerais</v>
      </c>
      <c r="S509" s="351" t="str">
        <f>IF(D509="","",IF(OR(D509=Plano!$A$1,D509=Plano!$B$1),"entrada","saída"))</f>
        <v>saída</v>
      </c>
      <c r="T509" s="334" t="s">
        <v>114</v>
      </c>
      <c r="U509" s="334" t="s">
        <v>114</v>
      </c>
      <c r="V509" s="269"/>
      <c r="W509" s="269"/>
    </row>
    <row r="510" spans="1:23" ht="69.75" customHeight="1" x14ac:dyDescent="0.2">
      <c r="A510" s="277">
        <f t="shared" si="0"/>
        <v>506</v>
      </c>
      <c r="B510" s="278">
        <v>44218</v>
      </c>
      <c r="C510" s="249">
        <v>44105</v>
      </c>
      <c r="D510" s="250" t="s">
        <v>99</v>
      </c>
      <c r="E510" s="250" t="s">
        <v>364</v>
      </c>
      <c r="F510" s="251">
        <v>1248.03</v>
      </c>
      <c r="G510" s="255" t="s">
        <v>3165</v>
      </c>
      <c r="H510" s="250" t="s">
        <v>116</v>
      </c>
      <c r="I510" s="250" t="s">
        <v>488</v>
      </c>
      <c r="J510" s="250" t="s">
        <v>114</v>
      </c>
      <c r="K510" s="250" t="s">
        <v>466</v>
      </c>
      <c r="L510" s="250" t="s">
        <v>489</v>
      </c>
      <c r="M510" s="250" t="s">
        <v>114</v>
      </c>
      <c r="N510" s="278">
        <v>44561</v>
      </c>
      <c r="O510" s="329" t="s">
        <v>67</v>
      </c>
      <c r="P510" s="386">
        <f t="shared" ref="P510:Q510" si="507">IF(B510=0,0,IF(YEAR(B510)=$Q$1,MONTH(B510)-$P$1+1,(YEAR(B510)-$Q$1)*12-$P$1+1+MONTH(B510)))</f>
        <v>1</v>
      </c>
      <c r="Q510" s="330">
        <f t="shared" si="507"/>
        <v>-2</v>
      </c>
      <c r="R510" s="351" t="str">
        <f t="shared" si="3"/>
        <v>Gastos_Gerais</v>
      </c>
      <c r="S510" s="351" t="str">
        <f>IF(D510="","",IF(OR(D510=Plano!$A$1,D510=Plano!$B$1),"entrada","saída"))</f>
        <v>saída</v>
      </c>
      <c r="T510" s="334" t="s">
        <v>114</v>
      </c>
      <c r="U510" s="334" t="s">
        <v>114</v>
      </c>
      <c r="V510" s="269"/>
      <c r="W510" s="269"/>
    </row>
    <row r="511" spans="1:23" ht="155.25" customHeight="1" x14ac:dyDescent="0.2">
      <c r="A511" s="277">
        <f t="shared" si="0"/>
        <v>507</v>
      </c>
      <c r="B511" s="278">
        <v>44218</v>
      </c>
      <c r="C511" s="249">
        <v>44197</v>
      </c>
      <c r="D511" s="250" t="s">
        <v>99</v>
      </c>
      <c r="E511" s="250" t="s">
        <v>364</v>
      </c>
      <c r="F511" s="251">
        <v>252</v>
      </c>
      <c r="G511" s="255" t="s">
        <v>3166</v>
      </c>
      <c r="H511" s="250" t="s">
        <v>125</v>
      </c>
      <c r="I511" s="250" t="s">
        <v>3167</v>
      </c>
      <c r="J511" s="250" t="s">
        <v>3168</v>
      </c>
      <c r="K511" s="255" t="s">
        <v>991</v>
      </c>
      <c r="L511" s="250" t="s">
        <v>1029</v>
      </c>
      <c r="M511" s="255">
        <v>1040</v>
      </c>
      <c r="N511" s="278">
        <v>44211</v>
      </c>
      <c r="O511" s="329" t="s">
        <v>67</v>
      </c>
      <c r="P511" s="386">
        <f t="shared" ref="P511:Q511" si="508">IF(B511=0,0,IF(YEAR(B511)=$Q$1,MONTH(B511)-$P$1+1,(YEAR(B511)-$Q$1)*12-$P$1+1+MONTH(B511)))</f>
        <v>1</v>
      </c>
      <c r="Q511" s="330">
        <f t="shared" si="508"/>
        <v>1</v>
      </c>
      <c r="R511" s="351" t="str">
        <f t="shared" si="3"/>
        <v>Gastos_Gerais</v>
      </c>
      <c r="S511" s="351" t="str">
        <f>IF(D511="","",IF(OR(D511=Plano!$A$1,D511=Plano!$B$1),"entrada","saída"))</f>
        <v>saída</v>
      </c>
      <c r="T511" s="334" t="s">
        <v>994</v>
      </c>
      <c r="U511" s="334">
        <v>1255</v>
      </c>
      <c r="V511" s="269"/>
      <c r="W511" s="269"/>
    </row>
    <row r="512" spans="1:23" ht="233.25" customHeight="1" x14ac:dyDescent="0.2">
      <c r="A512" s="277">
        <f t="shared" si="0"/>
        <v>508</v>
      </c>
      <c r="B512" s="278">
        <v>44218</v>
      </c>
      <c r="C512" s="249">
        <v>44197</v>
      </c>
      <c r="D512" s="250" t="s">
        <v>99</v>
      </c>
      <c r="E512" s="250" t="s">
        <v>358</v>
      </c>
      <c r="F512" s="251">
        <v>447.72</v>
      </c>
      <c r="G512" s="255" t="s">
        <v>2951</v>
      </c>
      <c r="H512" s="250" t="s">
        <v>131</v>
      </c>
      <c r="I512" s="250" t="s">
        <v>2868</v>
      </c>
      <c r="J512" s="250" t="s">
        <v>826</v>
      </c>
      <c r="K512" s="255" t="s">
        <v>991</v>
      </c>
      <c r="L512" s="250" t="s">
        <v>1029</v>
      </c>
      <c r="M512" s="255">
        <v>1043</v>
      </c>
      <c r="N512" s="278">
        <v>44216</v>
      </c>
      <c r="O512" s="329" t="s">
        <v>67</v>
      </c>
      <c r="P512" s="386">
        <f t="shared" ref="P512:Q512" si="509">IF(B512=0,0,IF(YEAR(B512)=$Q$1,MONTH(B512)-$P$1+1,(YEAR(B512)-$Q$1)*12-$P$1+1+MONTH(B512)))</f>
        <v>1</v>
      </c>
      <c r="Q512" s="330">
        <f t="shared" si="509"/>
        <v>1</v>
      </c>
      <c r="R512" s="351" t="str">
        <f t="shared" si="3"/>
        <v>Gastos_Gerais</v>
      </c>
      <c r="S512" s="351" t="str">
        <f>IF(D512="","",IF(OR(D512=Plano!$A$1,D512=Plano!$B$1),"entrada","saída"))</f>
        <v>saída</v>
      </c>
      <c r="T512" s="334" t="s">
        <v>1059</v>
      </c>
      <c r="U512" s="334">
        <v>1012</v>
      </c>
      <c r="V512" s="269"/>
      <c r="W512" s="269"/>
    </row>
    <row r="513" spans="1:23" ht="69.75" customHeight="1" x14ac:dyDescent="0.2">
      <c r="A513" s="277">
        <f t="shared" si="0"/>
        <v>509</v>
      </c>
      <c r="B513" s="278">
        <v>44218</v>
      </c>
      <c r="C513" s="249">
        <v>44197</v>
      </c>
      <c r="D513" s="255" t="s">
        <v>99</v>
      </c>
      <c r="E513" s="255" t="s">
        <v>272</v>
      </c>
      <c r="F513" s="258">
        <v>10.45</v>
      </c>
      <c r="G513" s="255" t="s">
        <v>3169</v>
      </c>
      <c r="H513" s="250" t="s">
        <v>125</v>
      </c>
      <c r="I513" s="250" t="s">
        <v>949</v>
      </c>
      <c r="J513" s="255" t="s">
        <v>950</v>
      </c>
      <c r="K513" s="255" t="s">
        <v>951</v>
      </c>
      <c r="L513" s="250" t="s">
        <v>947</v>
      </c>
      <c r="M513" s="279" t="s">
        <v>114</v>
      </c>
      <c r="N513" s="278">
        <v>44218</v>
      </c>
      <c r="O513" s="329" t="s">
        <v>67</v>
      </c>
      <c r="P513" s="386">
        <f t="shared" ref="P513:Q513" si="510">IF(B513=0,0,IF(YEAR(B513)=$Q$1,MONTH(B513)-$P$1+1,(YEAR(B513)-$Q$1)*12-$P$1+1+MONTH(B513)))</f>
        <v>1</v>
      </c>
      <c r="Q513" s="330">
        <f t="shared" si="510"/>
        <v>1</v>
      </c>
      <c r="R513" s="351" t="str">
        <f t="shared" si="3"/>
        <v>Gastos_Gerais</v>
      </c>
      <c r="S513" s="351" t="str">
        <f>IF(D513="","",IF(OR(D513=Plano!$A$1,D513=Plano!$B$1),"entrada","saída"))</f>
        <v>saída</v>
      </c>
      <c r="T513" s="334" t="s">
        <v>114</v>
      </c>
      <c r="U513" s="334" t="s">
        <v>114</v>
      </c>
      <c r="V513" s="269"/>
      <c r="W513" s="269"/>
    </row>
    <row r="514" spans="1:23" ht="69.75" customHeight="1" x14ac:dyDescent="0.2">
      <c r="A514" s="277">
        <f t="shared" si="0"/>
        <v>510</v>
      </c>
      <c r="B514" s="278">
        <v>44218</v>
      </c>
      <c r="C514" s="249">
        <v>44197</v>
      </c>
      <c r="D514" s="255" t="s">
        <v>99</v>
      </c>
      <c r="E514" s="255" t="s">
        <v>272</v>
      </c>
      <c r="F514" s="258">
        <v>10.45</v>
      </c>
      <c r="G514" s="255" t="s">
        <v>3170</v>
      </c>
      <c r="H514" s="250" t="s">
        <v>131</v>
      </c>
      <c r="I514" s="250" t="s">
        <v>949</v>
      </c>
      <c r="J514" s="255" t="s">
        <v>950</v>
      </c>
      <c r="K514" s="255" t="s">
        <v>951</v>
      </c>
      <c r="L514" s="250" t="s">
        <v>947</v>
      </c>
      <c r="M514" s="279" t="s">
        <v>114</v>
      </c>
      <c r="N514" s="278">
        <v>44218</v>
      </c>
      <c r="O514" s="329" t="s">
        <v>67</v>
      </c>
      <c r="P514" s="386">
        <f t="shared" ref="P514:Q514" si="511">IF(B514=0,0,IF(YEAR(B514)=$Q$1,MONTH(B514)-$P$1+1,(YEAR(B514)-$Q$1)*12-$P$1+1+MONTH(B514)))</f>
        <v>1</v>
      </c>
      <c r="Q514" s="330">
        <f t="shared" si="511"/>
        <v>1</v>
      </c>
      <c r="R514" s="351" t="str">
        <f t="shared" si="3"/>
        <v>Gastos_Gerais</v>
      </c>
      <c r="S514" s="351" t="str">
        <f>IF(D514="","",IF(OR(D514=Plano!$A$1,D514=Plano!$B$1),"entrada","saída"))</f>
        <v>saída</v>
      </c>
      <c r="T514" s="334" t="s">
        <v>114</v>
      </c>
      <c r="U514" s="334" t="s">
        <v>114</v>
      </c>
      <c r="V514" s="269"/>
      <c r="W514" s="269"/>
    </row>
    <row r="515" spans="1:23" ht="69.75" customHeight="1" x14ac:dyDescent="0.2">
      <c r="A515" s="277">
        <f t="shared" si="0"/>
        <v>511</v>
      </c>
      <c r="B515" s="278">
        <v>44218</v>
      </c>
      <c r="C515" s="249">
        <v>44166</v>
      </c>
      <c r="D515" s="255" t="s">
        <v>104</v>
      </c>
      <c r="E515" s="255" t="s">
        <v>104</v>
      </c>
      <c r="F515" s="258">
        <v>-1.08</v>
      </c>
      <c r="G515" s="255" t="s">
        <v>3171</v>
      </c>
      <c r="H515" s="250" t="s">
        <v>104</v>
      </c>
      <c r="I515" s="250" t="s">
        <v>3172</v>
      </c>
      <c r="J515" s="255" t="s">
        <v>850</v>
      </c>
      <c r="K515" s="255" t="s">
        <v>946</v>
      </c>
      <c r="L515" s="250" t="s">
        <v>947</v>
      </c>
      <c r="M515" s="255" t="s">
        <v>114</v>
      </c>
      <c r="N515" s="278">
        <v>44218</v>
      </c>
      <c r="O515" s="329" t="s">
        <v>69</v>
      </c>
      <c r="P515" s="386">
        <f t="shared" ref="P515:Q515" si="512">IF(B515=0,0,IF(YEAR(B515)=$Q$1,MONTH(B515)-$P$1+1,(YEAR(B515)-$Q$1)*12-$P$1+1+MONTH(B515)))</f>
        <v>1</v>
      </c>
      <c r="Q515" s="330">
        <f t="shared" si="512"/>
        <v>0</v>
      </c>
      <c r="R515" s="351" t="str">
        <f t="shared" si="3"/>
        <v>Gastos_custeados_por_captação</v>
      </c>
      <c r="S515" s="351" t="str">
        <f>IF(D515="","",IF(OR(D515=Plano!$A$1,D515=Plano!$B$1),"entrada","saída"))</f>
        <v>saída</v>
      </c>
      <c r="T515" s="334" t="s">
        <v>114</v>
      </c>
      <c r="U515" s="334" t="s">
        <v>114</v>
      </c>
      <c r="V515" s="269"/>
      <c r="W515" s="269"/>
    </row>
    <row r="516" spans="1:23" ht="69.75" customHeight="1" x14ac:dyDescent="0.2">
      <c r="A516" s="277">
        <f t="shared" si="0"/>
        <v>512</v>
      </c>
      <c r="B516" s="278">
        <v>44218</v>
      </c>
      <c r="C516" s="249">
        <v>44166</v>
      </c>
      <c r="D516" s="255" t="s">
        <v>104</v>
      </c>
      <c r="E516" s="255" t="s">
        <v>104</v>
      </c>
      <c r="F516" s="258">
        <v>165.69</v>
      </c>
      <c r="G516" s="255" t="s">
        <v>3173</v>
      </c>
      <c r="H516" s="250" t="s">
        <v>104</v>
      </c>
      <c r="I516" s="250" t="s">
        <v>488</v>
      </c>
      <c r="J516" s="255" t="s">
        <v>114</v>
      </c>
      <c r="K516" s="255" t="s">
        <v>466</v>
      </c>
      <c r="L516" s="250" t="s">
        <v>489</v>
      </c>
      <c r="M516" s="279" t="s">
        <v>114</v>
      </c>
      <c r="N516" s="278">
        <v>44218</v>
      </c>
      <c r="O516" s="329" t="s">
        <v>69</v>
      </c>
      <c r="P516" s="386">
        <f t="shared" ref="P516:Q516" si="513">IF(B516=0,0,IF(YEAR(B516)=$Q$1,MONTH(B516)-$P$1+1,(YEAR(B516)-$Q$1)*12-$P$1+1+MONTH(B516)))</f>
        <v>1</v>
      </c>
      <c r="Q516" s="330">
        <f t="shared" si="513"/>
        <v>0</v>
      </c>
      <c r="R516" s="351" t="str">
        <f t="shared" si="3"/>
        <v>Gastos_custeados_por_captação</v>
      </c>
      <c r="S516" s="351" t="str">
        <f>IF(D516="","",IF(OR(D516=Plano!$A$1,D516=Plano!$B$1),"entrada","saída"))</f>
        <v>saída</v>
      </c>
      <c r="T516" s="334" t="s">
        <v>114</v>
      </c>
      <c r="U516" s="334" t="s">
        <v>114</v>
      </c>
      <c r="V516" s="269"/>
      <c r="W516" s="269"/>
    </row>
    <row r="517" spans="1:23" ht="144.75" customHeight="1" x14ac:dyDescent="0.2">
      <c r="A517" s="277">
        <f t="shared" si="0"/>
        <v>513</v>
      </c>
      <c r="B517" s="278">
        <v>44218</v>
      </c>
      <c r="C517" s="249">
        <v>44166</v>
      </c>
      <c r="D517" s="255" t="s">
        <v>104</v>
      </c>
      <c r="E517" s="255" t="s">
        <v>104</v>
      </c>
      <c r="F517" s="258">
        <v>8000</v>
      </c>
      <c r="G517" s="255" t="s">
        <v>3174</v>
      </c>
      <c r="H517" s="250" t="s">
        <v>104</v>
      </c>
      <c r="I517" s="250" t="s">
        <v>3175</v>
      </c>
      <c r="J517" s="255" t="s">
        <v>639</v>
      </c>
      <c r="K517" s="255" t="s">
        <v>1015</v>
      </c>
      <c r="L517" s="250" t="s">
        <v>1016</v>
      </c>
      <c r="M517" s="279">
        <v>3</v>
      </c>
      <c r="N517" s="278">
        <v>44217</v>
      </c>
      <c r="O517" s="329" t="s">
        <v>68</v>
      </c>
      <c r="P517" s="386">
        <f t="shared" ref="P517:Q517" si="514">IF(B517=0,0,IF(YEAR(B517)=$Q$1,MONTH(B517)-$P$1+1,(YEAR(B517)-$Q$1)*12-$P$1+1+MONTH(B517)))</f>
        <v>1</v>
      </c>
      <c r="Q517" s="330">
        <f t="shared" si="514"/>
        <v>0</v>
      </c>
      <c r="R517" s="351" t="str">
        <f t="shared" si="3"/>
        <v>Gastos_custeados_por_captação</v>
      </c>
      <c r="S517" s="351" t="str">
        <f>IF(D517="","",IF(OR(D517=Plano!$A$1,D517=Plano!$B$1),"entrada","saída"))</f>
        <v>saída</v>
      </c>
      <c r="T517" s="334" t="s">
        <v>114</v>
      </c>
      <c r="U517" s="334" t="s">
        <v>114</v>
      </c>
      <c r="V517" s="269"/>
      <c r="W517" s="269"/>
    </row>
    <row r="518" spans="1:23" ht="69.75" customHeight="1" x14ac:dyDescent="0.2">
      <c r="A518" s="277">
        <f t="shared" si="0"/>
        <v>514</v>
      </c>
      <c r="B518" s="278">
        <v>44221</v>
      </c>
      <c r="C518" s="256">
        <v>44166</v>
      </c>
      <c r="D518" s="255" t="s">
        <v>99</v>
      </c>
      <c r="E518" s="255" t="s">
        <v>254</v>
      </c>
      <c r="F518" s="258">
        <v>-91.79</v>
      </c>
      <c r="G518" s="255" t="s">
        <v>3176</v>
      </c>
      <c r="H518" s="255" t="s">
        <v>115</v>
      </c>
      <c r="I518" s="250" t="s">
        <v>983</v>
      </c>
      <c r="J518" s="255" t="s">
        <v>850</v>
      </c>
      <c r="K518" s="255" t="s">
        <v>946</v>
      </c>
      <c r="L518" s="250" t="s">
        <v>947</v>
      </c>
      <c r="M518" s="255" t="s">
        <v>114</v>
      </c>
      <c r="N518" s="278">
        <v>44218</v>
      </c>
      <c r="O518" s="329" t="s">
        <v>67</v>
      </c>
      <c r="P518" s="386">
        <f t="shared" ref="P518:Q518" si="515">IF(B518=0,0,IF(YEAR(B518)=$Q$1,MONTH(B518)-$P$1+1,(YEAR(B518)-$Q$1)*12-$P$1+1+MONTH(B518)))</f>
        <v>1</v>
      </c>
      <c r="Q518" s="330">
        <f t="shared" si="515"/>
        <v>0</v>
      </c>
      <c r="R518" s="351" t="str">
        <f t="shared" si="3"/>
        <v>Gastos_Gerais</v>
      </c>
      <c r="S518" s="351" t="str">
        <f>IF(D518="","",IF(OR(D518=Plano!$A$1,D518=Plano!$B$1),"entrada","saída"))</f>
        <v>saída</v>
      </c>
      <c r="T518" s="334" t="s">
        <v>114</v>
      </c>
      <c r="U518" s="334" t="s">
        <v>114</v>
      </c>
      <c r="V518" s="269"/>
      <c r="W518" s="269"/>
    </row>
    <row r="519" spans="1:23" ht="195.75" customHeight="1" x14ac:dyDescent="0.2">
      <c r="A519" s="277">
        <f t="shared" si="0"/>
        <v>515</v>
      </c>
      <c r="B519" s="278">
        <v>44221</v>
      </c>
      <c r="C519" s="249">
        <v>44166</v>
      </c>
      <c r="D519" s="250" t="s">
        <v>99</v>
      </c>
      <c r="E519" s="250" t="s">
        <v>350</v>
      </c>
      <c r="F519" s="251">
        <v>300</v>
      </c>
      <c r="G519" s="255" t="s">
        <v>3177</v>
      </c>
      <c r="H519" s="250" t="s">
        <v>132</v>
      </c>
      <c r="I519" s="250" t="s">
        <v>3178</v>
      </c>
      <c r="J519" s="250" t="s">
        <v>3179</v>
      </c>
      <c r="K519" s="255" t="s">
        <v>1015</v>
      </c>
      <c r="L519" s="250" t="s">
        <v>1177</v>
      </c>
      <c r="M519" s="255" t="s">
        <v>114</v>
      </c>
      <c r="N519" s="278">
        <v>44219</v>
      </c>
      <c r="O519" s="329" t="s">
        <v>67</v>
      </c>
      <c r="P519" s="386">
        <f t="shared" ref="P519:Q519" si="516">IF(B519=0,0,IF(YEAR(B519)=$Q$1,MONTH(B519)-$P$1+1,(YEAR(B519)-$Q$1)*12-$P$1+1+MONTH(B519)))</f>
        <v>1</v>
      </c>
      <c r="Q519" s="330">
        <f t="shared" si="516"/>
        <v>0</v>
      </c>
      <c r="R519" s="351" t="str">
        <f t="shared" si="3"/>
        <v>Gastos_Gerais</v>
      </c>
      <c r="S519" s="351" t="str">
        <f>IF(D519="","",IF(OR(D519=Plano!$A$1,D519=Plano!$B$1),"entrada","saída"))</f>
        <v>saída</v>
      </c>
      <c r="T519" s="334" t="s">
        <v>1059</v>
      </c>
      <c r="U519" s="334">
        <v>1023</v>
      </c>
      <c r="V519" s="269"/>
      <c r="W519" s="269"/>
    </row>
    <row r="520" spans="1:23" ht="69.75" customHeight="1" x14ac:dyDescent="0.2">
      <c r="A520" s="277">
        <f t="shared" si="0"/>
        <v>516</v>
      </c>
      <c r="B520" s="278">
        <v>44221</v>
      </c>
      <c r="C520" s="256">
        <v>44166</v>
      </c>
      <c r="D520" s="255" t="s">
        <v>57</v>
      </c>
      <c r="E520" s="255" t="s">
        <v>57</v>
      </c>
      <c r="F520" s="258">
        <v>870.43</v>
      </c>
      <c r="G520" s="255" t="s">
        <v>3180</v>
      </c>
      <c r="H520" s="255" t="s">
        <v>114</v>
      </c>
      <c r="I520" s="250" t="s">
        <v>3181</v>
      </c>
      <c r="J520" s="255" t="s">
        <v>850</v>
      </c>
      <c r="K520" s="255" t="s">
        <v>946</v>
      </c>
      <c r="L520" s="250" t="s">
        <v>947</v>
      </c>
      <c r="M520" s="255" t="s">
        <v>114</v>
      </c>
      <c r="N520" s="278">
        <v>44221</v>
      </c>
      <c r="O520" s="329" t="s">
        <v>67</v>
      </c>
      <c r="P520" s="386">
        <f t="shared" ref="P520:Q520" si="517">IF(B520=0,0,IF(YEAR(B520)=$Q$1,MONTH(B520)-$P$1+1,(YEAR(B520)-$Q$1)*12-$P$1+1+MONTH(B520)))</f>
        <v>1</v>
      </c>
      <c r="Q520" s="330">
        <f t="shared" si="517"/>
        <v>0</v>
      </c>
      <c r="R520" s="351" t="str">
        <f t="shared" si="3"/>
        <v>Transferência_para_Reserva_de_Recursos</v>
      </c>
      <c r="S520" s="351" t="str">
        <f>IF(D520="","",IF(OR(D520=Plano!$A$1,D520=Plano!$B$1),"entrada","saída"))</f>
        <v>saída</v>
      </c>
      <c r="T520" s="334" t="s">
        <v>114</v>
      </c>
      <c r="U520" s="334" t="s">
        <v>114</v>
      </c>
      <c r="V520" s="269"/>
      <c r="W520" s="269"/>
    </row>
    <row r="521" spans="1:23" ht="208.5" customHeight="1" x14ac:dyDescent="0.2">
      <c r="A521" s="277">
        <f t="shared" si="0"/>
        <v>517</v>
      </c>
      <c r="B521" s="278">
        <v>44221</v>
      </c>
      <c r="C521" s="249">
        <v>44166</v>
      </c>
      <c r="D521" s="250" t="s">
        <v>99</v>
      </c>
      <c r="E521" s="250" t="s">
        <v>350</v>
      </c>
      <c r="F521" s="251">
        <v>300</v>
      </c>
      <c r="G521" s="255" t="s">
        <v>3182</v>
      </c>
      <c r="H521" s="250" t="s">
        <v>132</v>
      </c>
      <c r="I521" s="250" t="s">
        <v>3183</v>
      </c>
      <c r="J521" s="250" t="s">
        <v>3184</v>
      </c>
      <c r="K521" s="255" t="s">
        <v>1015</v>
      </c>
      <c r="L521" s="250" t="s">
        <v>1177</v>
      </c>
      <c r="M521" s="255" t="s">
        <v>114</v>
      </c>
      <c r="N521" s="278">
        <v>44221</v>
      </c>
      <c r="O521" s="329" t="s">
        <v>67</v>
      </c>
      <c r="P521" s="386">
        <f t="shared" ref="P521:Q521" si="518">IF(B521=0,0,IF(YEAR(B521)=$Q$1,MONTH(B521)-$P$1+1,(YEAR(B521)-$Q$1)*12-$P$1+1+MONTH(B521)))</f>
        <v>1</v>
      </c>
      <c r="Q521" s="330">
        <f t="shared" si="518"/>
        <v>0</v>
      </c>
      <c r="R521" s="351" t="str">
        <f t="shared" si="3"/>
        <v>Gastos_Gerais</v>
      </c>
      <c r="S521" s="351" t="str">
        <f>IF(D521="","",IF(OR(D521=Plano!$A$1,D521=Plano!$B$1),"entrada","saída"))</f>
        <v>saída</v>
      </c>
      <c r="T521" s="334" t="s">
        <v>994</v>
      </c>
      <c r="U521" s="334">
        <v>1000</v>
      </c>
      <c r="V521" s="269"/>
      <c r="W521" s="269"/>
    </row>
    <row r="522" spans="1:23" ht="69.75" customHeight="1" x14ac:dyDescent="0.2">
      <c r="A522" s="277">
        <f t="shared" si="0"/>
        <v>518</v>
      </c>
      <c r="B522" s="278">
        <v>44221</v>
      </c>
      <c r="C522" s="249">
        <v>44166</v>
      </c>
      <c r="D522" s="250" t="s">
        <v>99</v>
      </c>
      <c r="E522" s="250" t="s">
        <v>276</v>
      </c>
      <c r="F522" s="251">
        <v>39.51</v>
      </c>
      <c r="G522" s="255" t="s">
        <v>3185</v>
      </c>
      <c r="H522" s="250" t="s">
        <v>114</v>
      </c>
      <c r="I522" s="250" t="s">
        <v>488</v>
      </c>
      <c r="J522" s="250" t="s">
        <v>114</v>
      </c>
      <c r="K522" s="250" t="s">
        <v>466</v>
      </c>
      <c r="L522" s="250" t="s">
        <v>489</v>
      </c>
      <c r="M522" s="255" t="s">
        <v>114</v>
      </c>
      <c r="N522" s="278">
        <v>44196</v>
      </c>
      <c r="O522" s="329" t="s">
        <v>67</v>
      </c>
      <c r="P522" s="386">
        <f t="shared" ref="P522:Q522" si="519">IF(B522=0,0,IF(YEAR(B522)=$Q$1,MONTH(B522)-$P$1+1,(YEAR(B522)-$Q$1)*12-$P$1+1+MONTH(B522)))</f>
        <v>1</v>
      </c>
      <c r="Q522" s="330">
        <f t="shared" si="519"/>
        <v>0</v>
      </c>
      <c r="R522" s="351" t="str">
        <f t="shared" si="3"/>
        <v>Gastos_Gerais</v>
      </c>
      <c r="S522" s="351" t="str">
        <f>IF(D522="","",IF(OR(D522=Plano!$A$1,D522=Plano!$B$1),"entrada","saída"))</f>
        <v>saída</v>
      </c>
      <c r="T522" s="334" t="s">
        <v>114</v>
      </c>
      <c r="U522" s="334" t="s">
        <v>114</v>
      </c>
      <c r="V522" s="269"/>
      <c r="W522" s="269"/>
    </row>
    <row r="523" spans="1:23" ht="69.75" customHeight="1" x14ac:dyDescent="0.2">
      <c r="A523" s="277">
        <f t="shared" si="0"/>
        <v>519</v>
      </c>
      <c r="B523" s="278">
        <v>44221</v>
      </c>
      <c r="C523" s="249">
        <v>44166</v>
      </c>
      <c r="D523" s="255" t="s">
        <v>88</v>
      </c>
      <c r="E523" s="255" t="s">
        <v>169</v>
      </c>
      <c r="F523" s="258">
        <v>881.92</v>
      </c>
      <c r="G523" s="255" t="s">
        <v>3186</v>
      </c>
      <c r="H523" s="255" t="s">
        <v>114</v>
      </c>
      <c r="I523" s="250" t="s">
        <v>488</v>
      </c>
      <c r="J523" s="250" t="s">
        <v>114</v>
      </c>
      <c r="K523" s="250" t="s">
        <v>466</v>
      </c>
      <c r="L523" s="250" t="s">
        <v>489</v>
      </c>
      <c r="M523" s="255" t="s">
        <v>114</v>
      </c>
      <c r="N523" s="278">
        <v>44196</v>
      </c>
      <c r="O523" s="329" t="s">
        <v>67</v>
      </c>
      <c r="P523" s="386">
        <f t="shared" ref="P523:Q523" si="520">IF(B523=0,0,IF(YEAR(B523)=$Q$1,MONTH(B523)-$P$1+1,(YEAR(B523)-$Q$1)*12-$P$1+1+MONTH(B523)))</f>
        <v>1</v>
      </c>
      <c r="Q523" s="330">
        <f t="shared" si="520"/>
        <v>0</v>
      </c>
      <c r="R523" s="351" t="str">
        <f t="shared" si="3"/>
        <v>Gastos_com_Pessoal</v>
      </c>
      <c r="S523" s="351" t="str">
        <f>IF(D523="","",IF(OR(D523=Plano!$A$1,D523=Plano!$B$1),"entrada","saída"))</f>
        <v>saída</v>
      </c>
      <c r="T523" s="334" t="s">
        <v>114</v>
      </c>
      <c r="U523" s="334" t="s">
        <v>114</v>
      </c>
      <c r="V523" s="269"/>
      <c r="W523" s="269"/>
    </row>
    <row r="524" spans="1:23" ht="69.75" customHeight="1" x14ac:dyDescent="0.2">
      <c r="A524" s="277">
        <f t="shared" si="0"/>
        <v>520</v>
      </c>
      <c r="B524" s="278">
        <v>44221</v>
      </c>
      <c r="C524" s="249">
        <v>44166</v>
      </c>
      <c r="D524" s="255" t="s">
        <v>99</v>
      </c>
      <c r="E524" s="255" t="s">
        <v>224</v>
      </c>
      <c r="F524" s="258">
        <v>74.34</v>
      </c>
      <c r="G524" s="255" t="s">
        <v>3187</v>
      </c>
      <c r="H524" s="255" t="s">
        <v>115</v>
      </c>
      <c r="I524" s="250" t="s">
        <v>522</v>
      </c>
      <c r="J524" s="255" t="s">
        <v>523</v>
      </c>
      <c r="K524" s="255" t="s">
        <v>1375</v>
      </c>
      <c r="L524" s="250" t="s">
        <v>697</v>
      </c>
      <c r="M524" s="255" t="s">
        <v>114</v>
      </c>
      <c r="N524" s="278">
        <v>44200</v>
      </c>
      <c r="O524" s="329" t="s">
        <v>67</v>
      </c>
      <c r="P524" s="386">
        <f t="shared" ref="P524:Q524" si="521">IF(B524=0,0,IF(YEAR(B524)=$Q$1,MONTH(B524)-$P$1+1,(YEAR(B524)-$Q$1)*12-$P$1+1+MONTH(B524)))</f>
        <v>1</v>
      </c>
      <c r="Q524" s="330">
        <f t="shared" si="521"/>
        <v>0</v>
      </c>
      <c r="R524" s="351" t="str">
        <f t="shared" si="3"/>
        <v>Gastos_Gerais</v>
      </c>
      <c r="S524" s="351" t="str">
        <f>IF(D524="","",IF(OR(D524=Plano!$A$1,D524=Plano!$B$1),"entrada","saída"))</f>
        <v>saída</v>
      </c>
      <c r="T524" s="334" t="s">
        <v>114</v>
      </c>
      <c r="U524" s="334" t="s">
        <v>114</v>
      </c>
      <c r="V524" s="269"/>
      <c r="W524" s="269"/>
    </row>
    <row r="525" spans="1:23" ht="69.75" customHeight="1" x14ac:dyDescent="0.2">
      <c r="A525" s="277">
        <f t="shared" si="0"/>
        <v>521</v>
      </c>
      <c r="B525" s="278">
        <v>44221</v>
      </c>
      <c r="C525" s="249">
        <v>44197</v>
      </c>
      <c r="D525" s="250" t="s">
        <v>99</v>
      </c>
      <c r="E525" s="250" t="s">
        <v>218</v>
      </c>
      <c r="F525" s="251">
        <v>145.57</v>
      </c>
      <c r="G525" s="255" t="s">
        <v>3188</v>
      </c>
      <c r="H525" s="250" t="s">
        <v>129</v>
      </c>
      <c r="I525" s="250" t="s">
        <v>515</v>
      </c>
      <c r="J525" s="250" t="s">
        <v>516</v>
      </c>
      <c r="K525" s="255" t="s">
        <v>3189</v>
      </c>
      <c r="L525" s="250" t="s">
        <v>697</v>
      </c>
      <c r="M525" s="277" t="s">
        <v>3190</v>
      </c>
      <c r="N525" s="278">
        <v>44211</v>
      </c>
      <c r="O525" s="329" t="s">
        <v>67</v>
      </c>
      <c r="P525" s="386">
        <f t="shared" ref="P525:Q525" si="522">IF(B525=0,0,IF(YEAR(B525)=$Q$1,MONTH(B525)-$P$1+1,(YEAR(B525)-$Q$1)*12-$P$1+1+MONTH(B525)))</f>
        <v>1</v>
      </c>
      <c r="Q525" s="330">
        <f t="shared" si="522"/>
        <v>1</v>
      </c>
      <c r="R525" s="351" t="str">
        <f t="shared" si="3"/>
        <v>Gastos_Gerais</v>
      </c>
      <c r="S525" s="351" t="str">
        <f>IF(D525="","",IF(OR(D525=Plano!$A$1,D525=Plano!$B$1),"entrada","saída"))</f>
        <v>saída</v>
      </c>
      <c r="T525" s="334" t="s">
        <v>114</v>
      </c>
      <c r="U525" s="334" t="s">
        <v>114</v>
      </c>
      <c r="V525" s="269"/>
      <c r="W525" s="269"/>
    </row>
    <row r="526" spans="1:23" ht="69.75" customHeight="1" x14ac:dyDescent="0.2">
      <c r="A526" s="277">
        <f t="shared" si="0"/>
        <v>522</v>
      </c>
      <c r="B526" s="278">
        <v>44221</v>
      </c>
      <c r="C526" s="249">
        <v>44166</v>
      </c>
      <c r="D526" s="255" t="s">
        <v>88</v>
      </c>
      <c r="E526" s="255" t="s">
        <v>175</v>
      </c>
      <c r="F526" s="258">
        <v>772.8</v>
      </c>
      <c r="G526" s="255" t="s">
        <v>3191</v>
      </c>
      <c r="H526" s="255" t="s">
        <v>114</v>
      </c>
      <c r="I526" s="250" t="s">
        <v>488</v>
      </c>
      <c r="J526" s="250" t="s">
        <v>114</v>
      </c>
      <c r="K526" s="250" t="s">
        <v>466</v>
      </c>
      <c r="L526" s="250" t="s">
        <v>489</v>
      </c>
      <c r="M526" s="255" t="s">
        <v>114</v>
      </c>
      <c r="N526" s="278">
        <v>44196</v>
      </c>
      <c r="O526" s="329" t="s">
        <v>67</v>
      </c>
      <c r="P526" s="386">
        <f t="shared" ref="P526:Q526" si="523">IF(B526=0,0,IF(YEAR(B526)=$Q$1,MONTH(B526)-$P$1+1,(YEAR(B526)-$Q$1)*12-$P$1+1+MONTH(B526)))</f>
        <v>1</v>
      </c>
      <c r="Q526" s="330">
        <f t="shared" si="523"/>
        <v>0</v>
      </c>
      <c r="R526" s="351" t="str">
        <f t="shared" si="3"/>
        <v>Gastos_com_Pessoal</v>
      </c>
      <c r="S526" s="351" t="str">
        <f>IF(D526="","",IF(OR(D526=Plano!$A$1,D526=Plano!$B$1),"entrada","saída"))</f>
        <v>saída</v>
      </c>
      <c r="T526" s="334" t="s">
        <v>114</v>
      </c>
      <c r="U526" s="334" t="s">
        <v>114</v>
      </c>
      <c r="V526" s="269"/>
      <c r="W526" s="269"/>
    </row>
    <row r="527" spans="1:23" ht="190.5" customHeight="1" x14ac:dyDescent="0.2">
      <c r="A527" s="277">
        <f t="shared" si="0"/>
        <v>523</v>
      </c>
      <c r="B527" s="278">
        <v>44221</v>
      </c>
      <c r="C527" s="249">
        <v>44166</v>
      </c>
      <c r="D527" s="250" t="s">
        <v>99</v>
      </c>
      <c r="E527" s="250" t="s">
        <v>254</v>
      </c>
      <c r="F527" s="251">
        <v>435</v>
      </c>
      <c r="G527" s="255" t="s">
        <v>3192</v>
      </c>
      <c r="H527" s="250" t="s">
        <v>115</v>
      </c>
      <c r="I527" s="250" t="s">
        <v>1573</v>
      </c>
      <c r="J527" s="250" t="s">
        <v>1574</v>
      </c>
      <c r="K527" s="255" t="s">
        <v>991</v>
      </c>
      <c r="L527" s="250" t="s">
        <v>3193</v>
      </c>
      <c r="M527" s="255">
        <v>21044</v>
      </c>
      <c r="N527" s="278">
        <v>44207</v>
      </c>
      <c r="O527" s="329" t="s">
        <v>67</v>
      </c>
      <c r="P527" s="386">
        <f t="shared" ref="P527:Q527" si="524">IF(B527=0,0,IF(YEAR(B527)=$Q$1,MONTH(B527)-$P$1+1,(YEAR(B527)-$Q$1)*12-$P$1+1+MONTH(B527)))</f>
        <v>1</v>
      </c>
      <c r="Q527" s="330">
        <f t="shared" si="524"/>
        <v>0</v>
      </c>
      <c r="R527" s="351" t="str">
        <f t="shared" si="3"/>
        <v>Gastos_Gerais</v>
      </c>
      <c r="S527" s="351" t="str">
        <f>IF(D527="","",IF(OR(D527=Plano!$A$1,D527=Plano!$B$1),"entrada","saída"))</f>
        <v>saída</v>
      </c>
      <c r="T527" s="334" t="s">
        <v>994</v>
      </c>
      <c r="U527" s="334">
        <v>15</v>
      </c>
      <c r="V527" s="269"/>
      <c r="W527" s="269"/>
    </row>
    <row r="528" spans="1:23" ht="216" customHeight="1" x14ac:dyDescent="0.2">
      <c r="A528" s="277">
        <f t="shared" si="0"/>
        <v>524</v>
      </c>
      <c r="B528" s="278">
        <v>44221</v>
      </c>
      <c r="C528" s="249">
        <v>44197</v>
      </c>
      <c r="D528" s="250" t="s">
        <v>99</v>
      </c>
      <c r="E528" s="250" t="s">
        <v>380</v>
      </c>
      <c r="F528" s="251">
        <v>520.28</v>
      </c>
      <c r="G528" s="255" t="s">
        <v>3194</v>
      </c>
      <c r="H528" s="250" t="s">
        <v>125</v>
      </c>
      <c r="I528" s="250" t="s">
        <v>3195</v>
      </c>
      <c r="J528" s="250" t="s">
        <v>3196</v>
      </c>
      <c r="K528" s="255" t="s">
        <v>560</v>
      </c>
      <c r="L528" s="250" t="s">
        <v>1016</v>
      </c>
      <c r="M528" s="255">
        <v>42587</v>
      </c>
      <c r="N528" s="278">
        <v>44222</v>
      </c>
      <c r="O528" s="329" t="s">
        <v>67</v>
      </c>
      <c r="P528" s="386">
        <f t="shared" ref="P528:Q528" si="525">IF(B528=0,0,IF(YEAR(B528)=$Q$1,MONTH(B528)-$P$1+1,(YEAR(B528)-$Q$1)*12-$P$1+1+MONTH(B528)))</f>
        <v>1</v>
      </c>
      <c r="Q528" s="330">
        <f t="shared" si="525"/>
        <v>1</v>
      </c>
      <c r="R528" s="351" t="str">
        <f t="shared" si="3"/>
        <v>Gastos_Gerais</v>
      </c>
      <c r="S528" s="351" t="str">
        <f>IF(D528="","",IF(OR(D528=Plano!$A$1,D528=Plano!$B$1),"entrada","saída"))</f>
        <v>saída</v>
      </c>
      <c r="T528" s="334" t="s">
        <v>1011</v>
      </c>
      <c r="U528" s="334">
        <v>1286</v>
      </c>
      <c r="V528" s="269"/>
      <c r="W528" s="269"/>
    </row>
    <row r="529" spans="1:23" ht="146.25" customHeight="1" x14ac:dyDescent="0.2">
      <c r="A529" s="277">
        <f t="shared" si="0"/>
        <v>525</v>
      </c>
      <c r="B529" s="278">
        <v>44221</v>
      </c>
      <c r="C529" s="249">
        <v>44197</v>
      </c>
      <c r="D529" s="250" t="s">
        <v>99</v>
      </c>
      <c r="E529" s="250" t="s">
        <v>364</v>
      </c>
      <c r="F529" s="251">
        <v>58.45</v>
      </c>
      <c r="G529" s="255" t="s">
        <v>3197</v>
      </c>
      <c r="H529" s="250" t="s">
        <v>125</v>
      </c>
      <c r="I529" s="250" t="s">
        <v>3198</v>
      </c>
      <c r="J529" s="250" t="s">
        <v>3199</v>
      </c>
      <c r="K529" s="255" t="s">
        <v>560</v>
      </c>
      <c r="L529" s="250" t="s">
        <v>1016</v>
      </c>
      <c r="M529" s="255" t="s">
        <v>3200</v>
      </c>
      <c r="N529" s="278">
        <v>44223</v>
      </c>
      <c r="O529" s="329" t="s">
        <v>67</v>
      </c>
      <c r="P529" s="386">
        <f t="shared" ref="P529:Q529" si="526">IF(B529=0,0,IF(YEAR(B529)=$Q$1,MONTH(B529)-$P$1+1,(YEAR(B529)-$Q$1)*12-$P$1+1+MONTH(B529)))</f>
        <v>1</v>
      </c>
      <c r="Q529" s="330">
        <f t="shared" si="526"/>
        <v>1</v>
      </c>
      <c r="R529" s="351" t="str">
        <f t="shared" si="3"/>
        <v>Gastos_Gerais</v>
      </c>
      <c r="S529" s="351" t="str">
        <f>IF(D529="","",IF(OR(D529=Plano!$A$1,D529=Plano!$B$1),"entrada","saída"))</f>
        <v>saída</v>
      </c>
      <c r="T529" s="334" t="s">
        <v>1011</v>
      </c>
      <c r="U529" s="334">
        <v>1287</v>
      </c>
      <c r="V529" s="269"/>
      <c r="W529" s="269"/>
    </row>
    <row r="530" spans="1:23" ht="69.75" customHeight="1" x14ac:dyDescent="0.2">
      <c r="A530" s="277">
        <f t="shared" si="0"/>
        <v>526</v>
      </c>
      <c r="B530" s="278">
        <v>44221</v>
      </c>
      <c r="C530" s="249">
        <v>44197</v>
      </c>
      <c r="D530" s="255" t="s">
        <v>99</v>
      </c>
      <c r="E530" s="255" t="s">
        <v>272</v>
      </c>
      <c r="F530" s="258">
        <v>10.45</v>
      </c>
      <c r="G530" s="255" t="s">
        <v>3201</v>
      </c>
      <c r="H530" s="250" t="s">
        <v>132</v>
      </c>
      <c r="I530" s="250" t="s">
        <v>949</v>
      </c>
      <c r="J530" s="255" t="s">
        <v>950</v>
      </c>
      <c r="K530" s="255" t="s">
        <v>951</v>
      </c>
      <c r="L530" s="250" t="s">
        <v>947</v>
      </c>
      <c r="M530" s="279" t="s">
        <v>114</v>
      </c>
      <c r="N530" s="278">
        <v>44221</v>
      </c>
      <c r="O530" s="329" t="s">
        <v>67</v>
      </c>
      <c r="P530" s="386">
        <f t="shared" ref="P530:Q530" si="527">IF(B530=0,0,IF(YEAR(B530)=$Q$1,MONTH(B530)-$P$1+1,(YEAR(B530)-$Q$1)*12-$P$1+1+MONTH(B530)))</f>
        <v>1</v>
      </c>
      <c r="Q530" s="330">
        <f t="shared" si="527"/>
        <v>1</v>
      </c>
      <c r="R530" s="351" t="str">
        <f t="shared" si="3"/>
        <v>Gastos_Gerais</v>
      </c>
      <c r="S530" s="351" t="str">
        <f>IF(D530="","",IF(OR(D530=Plano!$A$1,D530=Plano!$B$1),"entrada","saída"))</f>
        <v>saída</v>
      </c>
      <c r="T530" s="334" t="s">
        <v>114</v>
      </c>
      <c r="U530" s="334" t="s">
        <v>114</v>
      </c>
      <c r="V530" s="269"/>
      <c r="W530" s="269"/>
    </row>
    <row r="531" spans="1:23" ht="69.75" customHeight="1" x14ac:dyDescent="0.2">
      <c r="A531" s="277">
        <f t="shared" si="0"/>
        <v>527</v>
      </c>
      <c r="B531" s="278">
        <v>44221</v>
      </c>
      <c r="C531" s="249">
        <v>44197</v>
      </c>
      <c r="D531" s="255" t="s">
        <v>99</v>
      </c>
      <c r="E531" s="255" t="s">
        <v>272</v>
      </c>
      <c r="F531" s="258">
        <v>10.45</v>
      </c>
      <c r="G531" s="255" t="s">
        <v>3202</v>
      </c>
      <c r="H531" s="250" t="s">
        <v>115</v>
      </c>
      <c r="I531" s="250" t="s">
        <v>949</v>
      </c>
      <c r="J531" s="255" t="s">
        <v>950</v>
      </c>
      <c r="K531" s="255" t="s">
        <v>951</v>
      </c>
      <c r="L531" s="250" t="s">
        <v>947</v>
      </c>
      <c r="M531" s="279" t="s">
        <v>114</v>
      </c>
      <c r="N531" s="278">
        <v>44221</v>
      </c>
      <c r="O531" s="329" t="s">
        <v>67</v>
      </c>
      <c r="P531" s="386">
        <f t="shared" ref="P531:Q531" si="528">IF(B531=0,0,IF(YEAR(B531)=$Q$1,MONTH(B531)-$P$1+1,(YEAR(B531)-$Q$1)*12-$P$1+1+MONTH(B531)))</f>
        <v>1</v>
      </c>
      <c r="Q531" s="330">
        <f t="shared" si="528"/>
        <v>1</v>
      </c>
      <c r="R531" s="351" t="str">
        <f t="shared" si="3"/>
        <v>Gastos_Gerais</v>
      </c>
      <c r="S531" s="351" t="str">
        <f>IF(D531="","",IF(OR(D531=Plano!$A$1,D531=Plano!$B$1),"entrada","saída"))</f>
        <v>saída</v>
      </c>
      <c r="T531" s="334" t="s">
        <v>114</v>
      </c>
      <c r="U531" s="334" t="s">
        <v>114</v>
      </c>
      <c r="V531" s="269"/>
      <c r="W531" s="269"/>
    </row>
    <row r="532" spans="1:23" ht="69.75" customHeight="1" x14ac:dyDescent="0.2">
      <c r="A532" s="277">
        <f t="shared" si="0"/>
        <v>528</v>
      </c>
      <c r="B532" s="278">
        <v>44221</v>
      </c>
      <c r="C532" s="249">
        <v>44166</v>
      </c>
      <c r="D532" s="255" t="s">
        <v>104</v>
      </c>
      <c r="E532" s="255" t="s">
        <v>104</v>
      </c>
      <c r="F532" s="258">
        <v>16.7</v>
      </c>
      <c r="G532" s="255" t="s">
        <v>3185</v>
      </c>
      <c r="H532" s="250" t="s">
        <v>104</v>
      </c>
      <c r="I532" s="250" t="s">
        <v>488</v>
      </c>
      <c r="J532" s="255" t="s">
        <v>114</v>
      </c>
      <c r="K532" s="255" t="s">
        <v>466</v>
      </c>
      <c r="L532" s="250" t="s">
        <v>489</v>
      </c>
      <c r="M532" s="279" t="s">
        <v>114</v>
      </c>
      <c r="N532" s="278">
        <v>44196</v>
      </c>
      <c r="O532" s="329" t="s">
        <v>70</v>
      </c>
      <c r="P532" s="386">
        <f t="shared" ref="P532:Q532" si="529">IF(B532=0,0,IF(YEAR(B532)=$Q$1,MONTH(B532)-$P$1+1,(YEAR(B532)-$Q$1)*12-$P$1+1+MONTH(B532)))</f>
        <v>1</v>
      </c>
      <c r="Q532" s="330">
        <f t="shared" si="529"/>
        <v>0</v>
      </c>
      <c r="R532" s="351" t="str">
        <f t="shared" si="3"/>
        <v>Gastos_custeados_por_captação</v>
      </c>
      <c r="S532" s="351" t="str">
        <f>IF(D532="","",IF(OR(D532=Plano!$A$1,D532=Plano!$B$1),"entrada","saída"))</f>
        <v>saída</v>
      </c>
      <c r="T532" s="334" t="s">
        <v>114</v>
      </c>
      <c r="U532" s="334" t="s">
        <v>114</v>
      </c>
      <c r="V532" s="269"/>
      <c r="W532" s="269"/>
    </row>
    <row r="533" spans="1:23" ht="69.75" customHeight="1" x14ac:dyDescent="0.2">
      <c r="A533" s="277">
        <f t="shared" si="0"/>
        <v>529</v>
      </c>
      <c r="B533" s="278">
        <v>44221</v>
      </c>
      <c r="C533" s="249">
        <v>44105</v>
      </c>
      <c r="D533" s="250" t="s">
        <v>104</v>
      </c>
      <c r="E533" s="250" t="s">
        <v>104</v>
      </c>
      <c r="F533" s="251">
        <v>3000</v>
      </c>
      <c r="G533" s="255" t="s">
        <v>3203</v>
      </c>
      <c r="H533" s="250" t="s">
        <v>104</v>
      </c>
      <c r="I533" s="250" t="s">
        <v>3204</v>
      </c>
      <c r="J533" s="250" t="s">
        <v>3205</v>
      </c>
      <c r="K533" s="255" t="s">
        <v>1015</v>
      </c>
      <c r="L533" s="250" t="s">
        <v>1177</v>
      </c>
      <c r="M533" s="279" t="s">
        <v>114</v>
      </c>
      <c r="N533" s="278">
        <v>44215</v>
      </c>
      <c r="O533" s="329" t="s">
        <v>70</v>
      </c>
      <c r="P533" s="386">
        <f t="shared" ref="P533:Q533" si="530">IF(B533=0,0,IF(YEAR(B533)=$Q$1,MONTH(B533)-$P$1+1,(YEAR(B533)-$Q$1)*12-$P$1+1+MONTH(B533)))</f>
        <v>1</v>
      </c>
      <c r="Q533" s="330">
        <f t="shared" si="530"/>
        <v>-2</v>
      </c>
      <c r="R533" s="351" t="str">
        <f t="shared" si="3"/>
        <v>Gastos_custeados_por_captação</v>
      </c>
      <c r="S533" s="351" t="str">
        <f>IF(D533="","",IF(OR(D533=Plano!$A$1,D533=Plano!$B$1),"entrada","saída"))</f>
        <v>saída</v>
      </c>
      <c r="T533" s="334" t="s">
        <v>114</v>
      </c>
      <c r="U533" s="334" t="s">
        <v>114</v>
      </c>
      <c r="V533" s="269"/>
      <c r="W533" s="269"/>
    </row>
    <row r="534" spans="1:23" ht="69.75" customHeight="1" x14ac:dyDescent="0.2">
      <c r="A534" s="277">
        <f t="shared" si="0"/>
        <v>530</v>
      </c>
      <c r="B534" s="278">
        <v>44221</v>
      </c>
      <c r="C534" s="249">
        <v>44197</v>
      </c>
      <c r="D534" s="250" t="s">
        <v>104</v>
      </c>
      <c r="E534" s="250" t="s">
        <v>104</v>
      </c>
      <c r="F534" s="251">
        <v>300</v>
      </c>
      <c r="G534" s="255" t="s">
        <v>3206</v>
      </c>
      <c r="H534" s="250" t="s">
        <v>104</v>
      </c>
      <c r="I534" s="250" t="s">
        <v>3207</v>
      </c>
      <c r="J534" s="250" t="s">
        <v>646</v>
      </c>
      <c r="K534" s="255" t="s">
        <v>560</v>
      </c>
      <c r="L534" s="250" t="s">
        <v>1016</v>
      </c>
      <c r="M534" s="279">
        <v>4117690</v>
      </c>
      <c r="N534" s="278">
        <v>44223</v>
      </c>
      <c r="O534" s="329" t="s">
        <v>68</v>
      </c>
      <c r="P534" s="386">
        <f t="shared" ref="P534:Q534" si="531">IF(B534=0,0,IF(YEAR(B534)=$Q$1,MONTH(B534)-$P$1+1,(YEAR(B534)-$Q$1)*12-$P$1+1+MONTH(B534)))</f>
        <v>1</v>
      </c>
      <c r="Q534" s="330">
        <f t="shared" si="531"/>
        <v>1</v>
      </c>
      <c r="R534" s="351" t="str">
        <f t="shared" si="3"/>
        <v>Gastos_custeados_por_captação</v>
      </c>
      <c r="S534" s="351" t="str">
        <f>IF(D534="","",IF(OR(D534=Plano!$A$1,D534=Plano!$B$1),"entrada","saída"))</f>
        <v>saída</v>
      </c>
      <c r="T534" s="334" t="s">
        <v>114</v>
      </c>
      <c r="U534" s="334" t="s">
        <v>114</v>
      </c>
      <c r="V534" s="269"/>
      <c r="W534" s="269"/>
    </row>
    <row r="535" spans="1:23" ht="69.75" customHeight="1" x14ac:dyDescent="0.2">
      <c r="A535" s="277">
        <f t="shared" si="0"/>
        <v>531</v>
      </c>
      <c r="B535" s="278">
        <v>44222</v>
      </c>
      <c r="C535" s="256">
        <v>44166</v>
      </c>
      <c r="D535" s="255" t="s">
        <v>99</v>
      </c>
      <c r="E535" s="255" t="s">
        <v>222</v>
      </c>
      <c r="F535" s="258">
        <v>-103.08</v>
      </c>
      <c r="G535" s="255" t="s">
        <v>3014</v>
      </c>
      <c r="H535" s="255" t="s">
        <v>115</v>
      </c>
      <c r="I535" s="250" t="s">
        <v>3010</v>
      </c>
      <c r="J535" s="255" t="s">
        <v>850</v>
      </c>
      <c r="K535" s="255" t="s">
        <v>946</v>
      </c>
      <c r="L535" s="250" t="s">
        <v>947</v>
      </c>
      <c r="M535" s="390" t="s">
        <v>114</v>
      </c>
      <c r="N535" s="278">
        <v>44222</v>
      </c>
      <c r="O535" s="329" t="s">
        <v>67</v>
      </c>
      <c r="P535" s="386">
        <f t="shared" ref="P535:Q535" si="532">IF(B535=0,0,IF(YEAR(B535)=$Q$1,MONTH(B535)-$P$1+1,(YEAR(B535)-$Q$1)*12-$P$1+1+MONTH(B535)))</f>
        <v>1</v>
      </c>
      <c r="Q535" s="330">
        <f t="shared" si="532"/>
        <v>0</v>
      </c>
      <c r="R535" s="351" t="str">
        <f t="shared" si="3"/>
        <v>Gastos_Gerais</v>
      </c>
      <c r="S535" s="351" t="str">
        <f>IF(D535="","",IF(OR(D535=Plano!$A$1,D535=Plano!$B$1),"entrada","saída"))</f>
        <v>saída</v>
      </c>
      <c r="T535" s="334" t="s">
        <v>114</v>
      </c>
      <c r="U535" s="334" t="s">
        <v>114</v>
      </c>
      <c r="V535" s="269"/>
      <c r="W535" s="269"/>
    </row>
    <row r="536" spans="1:23" ht="211.5" customHeight="1" x14ac:dyDescent="0.2">
      <c r="A536" s="277">
        <f t="shared" si="0"/>
        <v>532</v>
      </c>
      <c r="B536" s="278">
        <v>44222</v>
      </c>
      <c r="C536" s="249">
        <v>44166</v>
      </c>
      <c r="D536" s="250" t="s">
        <v>99</v>
      </c>
      <c r="E536" s="250" t="s">
        <v>350</v>
      </c>
      <c r="F536" s="251">
        <v>50</v>
      </c>
      <c r="G536" s="255" t="s">
        <v>3177</v>
      </c>
      <c r="H536" s="250" t="s">
        <v>132</v>
      </c>
      <c r="I536" s="250" t="s">
        <v>3178</v>
      </c>
      <c r="J536" s="250" t="s">
        <v>3179</v>
      </c>
      <c r="K536" s="255" t="s">
        <v>1015</v>
      </c>
      <c r="L536" s="250" t="s">
        <v>1177</v>
      </c>
      <c r="M536" s="255" t="s">
        <v>114</v>
      </c>
      <c r="N536" s="278">
        <v>44219</v>
      </c>
      <c r="O536" s="329" t="s">
        <v>67</v>
      </c>
      <c r="P536" s="386">
        <f t="shared" ref="P536:Q536" si="533">IF(B536=0,0,IF(YEAR(B536)=$Q$1,MONTH(B536)-$P$1+1,(YEAR(B536)-$Q$1)*12-$P$1+1+MONTH(B536)))</f>
        <v>1</v>
      </c>
      <c r="Q536" s="330">
        <f t="shared" si="533"/>
        <v>0</v>
      </c>
      <c r="R536" s="351" t="str">
        <f t="shared" si="3"/>
        <v>Gastos_Gerais</v>
      </c>
      <c r="S536" s="351" t="str">
        <f>IF(D536="","",IF(OR(D536=Plano!$A$1,D536=Plano!$B$1),"entrada","saída"))</f>
        <v>saída</v>
      </c>
      <c r="T536" s="334" t="s">
        <v>994</v>
      </c>
      <c r="U536" s="334">
        <v>1023</v>
      </c>
      <c r="V536" s="269"/>
      <c r="W536" s="269"/>
    </row>
    <row r="537" spans="1:23" ht="69.75" customHeight="1" x14ac:dyDescent="0.2">
      <c r="A537" s="277">
        <f t="shared" si="0"/>
        <v>533</v>
      </c>
      <c r="B537" s="278">
        <v>44222</v>
      </c>
      <c r="C537" s="256">
        <v>44166</v>
      </c>
      <c r="D537" s="255" t="s">
        <v>99</v>
      </c>
      <c r="E537" s="255" t="s">
        <v>222</v>
      </c>
      <c r="F537" s="258">
        <v>773.3</v>
      </c>
      <c r="G537" s="255" t="s">
        <v>3020</v>
      </c>
      <c r="H537" s="255" t="s">
        <v>115</v>
      </c>
      <c r="I537" s="250" t="s">
        <v>525</v>
      </c>
      <c r="J537" s="255" t="s">
        <v>1568</v>
      </c>
      <c r="K537" s="255" t="s">
        <v>1375</v>
      </c>
      <c r="L537" s="250" t="s">
        <v>697</v>
      </c>
      <c r="M537" s="250">
        <v>4404820762</v>
      </c>
      <c r="N537" s="278">
        <v>44203</v>
      </c>
      <c r="O537" s="329" t="s">
        <v>67</v>
      </c>
      <c r="P537" s="386">
        <f t="shared" ref="P537:Q537" si="534">IF(B537=0,0,IF(YEAR(B537)=$Q$1,MONTH(B537)-$P$1+1,(YEAR(B537)-$Q$1)*12-$P$1+1+MONTH(B537)))</f>
        <v>1</v>
      </c>
      <c r="Q537" s="330">
        <f t="shared" si="534"/>
        <v>0</v>
      </c>
      <c r="R537" s="351" t="str">
        <f t="shared" si="3"/>
        <v>Gastos_Gerais</v>
      </c>
      <c r="S537" s="351" t="str">
        <f>IF(D537="","",IF(OR(D537=Plano!$A$1,D537=Plano!$B$1),"entrada","saída"))</f>
        <v>saída</v>
      </c>
      <c r="T537" s="334" t="s">
        <v>114</v>
      </c>
      <c r="U537" s="334" t="s">
        <v>114</v>
      </c>
      <c r="V537" s="269"/>
      <c r="W537" s="269"/>
    </row>
    <row r="538" spans="1:23" ht="69.75" customHeight="1" x14ac:dyDescent="0.2">
      <c r="A538" s="277">
        <f t="shared" si="0"/>
        <v>534</v>
      </c>
      <c r="B538" s="278">
        <v>44222</v>
      </c>
      <c r="C538" s="249">
        <v>44105</v>
      </c>
      <c r="D538" s="250" t="s">
        <v>104</v>
      </c>
      <c r="E538" s="250" t="s">
        <v>104</v>
      </c>
      <c r="F538" s="251">
        <v>5000</v>
      </c>
      <c r="G538" s="255" t="s">
        <v>3208</v>
      </c>
      <c r="H538" s="250" t="s">
        <v>104</v>
      </c>
      <c r="I538" s="250" t="s">
        <v>3209</v>
      </c>
      <c r="J538" s="250" t="s">
        <v>3210</v>
      </c>
      <c r="K538" s="255" t="s">
        <v>1015</v>
      </c>
      <c r="L538" s="250" t="s">
        <v>992</v>
      </c>
      <c r="M538" s="250">
        <v>38</v>
      </c>
      <c r="N538" s="278">
        <v>44222</v>
      </c>
      <c r="O538" s="329" t="s">
        <v>70</v>
      </c>
      <c r="P538" s="386">
        <f t="shared" ref="P538:Q538" si="535">IF(B538=0,0,IF(YEAR(B538)=$Q$1,MONTH(B538)-$P$1+1,(YEAR(B538)-$Q$1)*12-$P$1+1+MONTH(B538)))</f>
        <v>1</v>
      </c>
      <c r="Q538" s="330">
        <f t="shared" si="535"/>
        <v>-2</v>
      </c>
      <c r="R538" s="351" t="str">
        <f t="shared" si="3"/>
        <v>Gastos_custeados_por_captação</v>
      </c>
      <c r="S538" s="351" t="str">
        <f>IF(D538="","",IF(OR(D538=Plano!$A$1,D538=Plano!$B$1),"entrada","saída"))</f>
        <v>saída</v>
      </c>
      <c r="T538" s="334" t="s">
        <v>114</v>
      </c>
      <c r="U538" s="334" t="s">
        <v>114</v>
      </c>
      <c r="V538" s="269"/>
      <c r="W538" s="269"/>
    </row>
    <row r="539" spans="1:23" ht="69.75" customHeight="1" x14ac:dyDescent="0.2">
      <c r="A539" s="277">
        <f t="shared" si="0"/>
        <v>535</v>
      </c>
      <c r="B539" s="278">
        <v>44222</v>
      </c>
      <c r="C539" s="249">
        <v>44105</v>
      </c>
      <c r="D539" s="250" t="s">
        <v>104</v>
      </c>
      <c r="E539" s="250" t="s">
        <v>104</v>
      </c>
      <c r="F539" s="251">
        <v>420</v>
      </c>
      <c r="G539" s="255" t="s">
        <v>3211</v>
      </c>
      <c r="H539" s="250" t="s">
        <v>104</v>
      </c>
      <c r="I539" s="250" t="s">
        <v>3212</v>
      </c>
      <c r="J539" s="250" t="s">
        <v>3213</v>
      </c>
      <c r="K539" s="255" t="s">
        <v>1015</v>
      </c>
      <c r="L539" s="250" t="s">
        <v>1029</v>
      </c>
      <c r="M539" s="250">
        <v>1047</v>
      </c>
      <c r="N539" s="278">
        <v>44218</v>
      </c>
      <c r="O539" s="329" t="s">
        <v>70</v>
      </c>
      <c r="P539" s="386">
        <f t="shared" ref="P539:Q539" si="536">IF(B539=0,0,IF(YEAR(B539)=$Q$1,MONTH(B539)-$P$1+1,(YEAR(B539)-$Q$1)*12-$P$1+1+MONTH(B539)))</f>
        <v>1</v>
      </c>
      <c r="Q539" s="330">
        <f t="shared" si="536"/>
        <v>-2</v>
      </c>
      <c r="R539" s="351" t="str">
        <f t="shared" si="3"/>
        <v>Gastos_custeados_por_captação</v>
      </c>
      <c r="S539" s="351" t="str">
        <f>IF(D539="","",IF(OR(D539=Plano!$A$1,D539=Plano!$B$1),"entrada","saída"))</f>
        <v>saída</v>
      </c>
      <c r="T539" s="334" t="s">
        <v>114</v>
      </c>
      <c r="U539" s="334" t="s">
        <v>114</v>
      </c>
      <c r="V539" s="269"/>
      <c r="W539" s="269"/>
    </row>
    <row r="540" spans="1:23" ht="69.75" customHeight="1" x14ac:dyDescent="0.2">
      <c r="A540" s="277">
        <f t="shared" si="0"/>
        <v>536</v>
      </c>
      <c r="B540" s="278">
        <v>44222</v>
      </c>
      <c r="C540" s="249">
        <v>44197</v>
      </c>
      <c r="D540" s="250" t="s">
        <v>104</v>
      </c>
      <c r="E540" s="250" t="s">
        <v>104</v>
      </c>
      <c r="F540" s="251">
        <v>2000</v>
      </c>
      <c r="G540" s="255" t="s">
        <v>3214</v>
      </c>
      <c r="H540" s="250" t="s">
        <v>104</v>
      </c>
      <c r="I540" s="250" t="s">
        <v>3215</v>
      </c>
      <c r="J540" s="250" t="s">
        <v>3216</v>
      </c>
      <c r="K540" s="255" t="s">
        <v>1015</v>
      </c>
      <c r="L540" s="250" t="s">
        <v>1177</v>
      </c>
      <c r="M540" s="250" t="s">
        <v>114</v>
      </c>
      <c r="N540" s="278">
        <v>44221</v>
      </c>
      <c r="O540" s="329" t="s">
        <v>69</v>
      </c>
      <c r="P540" s="386">
        <f t="shared" ref="P540:Q540" si="537">IF(B540=0,0,IF(YEAR(B540)=$Q$1,MONTH(B540)-$P$1+1,(YEAR(B540)-$Q$1)*12-$P$1+1+MONTH(B540)))</f>
        <v>1</v>
      </c>
      <c r="Q540" s="330">
        <f t="shared" si="537"/>
        <v>1</v>
      </c>
      <c r="R540" s="351" t="str">
        <f t="shared" si="3"/>
        <v>Gastos_custeados_por_captação</v>
      </c>
      <c r="S540" s="351" t="str">
        <f>IF(D540="","",IF(OR(D540=Plano!$A$1,D540=Plano!$B$1),"entrada","saída"))</f>
        <v>saída</v>
      </c>
      <c r="T540" s="334" t="s">
        <v>114</v>
      </c>
      <c r="U540" s="334" t="s">
        <v>114</v>
      </c>
      <c r="V540" s="269"/>
      <c r="W540" s="269"/>
    </row>
    <row r="541" spans="1:23" ht="69.75" customHeight="1" x14ac:dyDescent="0.2">
      <c r="A541" s="277">
        <f t="shared" si="0"/>
        <v>537</v>
      </c>
      <c r="B541" s="278">
        <v>44222</v>
      </c>
      <c r="C541" s="249">
        <v>44166</v>
      </c>
      <c r="D541" s="250" t="s">
        <v>104</v>
      </c>
      <c r="E541" s="250" t="s">
        <v>104</v>
      </c>
      <c r="F541" s="251">
        <v>1250</v>
      </c>
      <c r="G541" s="255" t="s">
        <v>3217</v>
      </c>
      <c r="H541" s="250" t="s">
        <v>104</v>
      </c>
      <c r="I541" s="250" t="s">
        <v>3218</v>
      </c>
      <c r="J541" s="250" t="s">
        <v>438</v>
      </c>
      <c r="K541" s="255" t="s">
        <v>1015</v>
      </c>
      <c r="L541" s="250" t="s">
        <v>1016</v>
      </c>
      <c r="M541" s="250">
        <v>534</v>
      </c>
      <c r="N541" s="278">
        <v>44209</v>
      </c>
      <c r="O541" s="329" t="s">
        <v>68</v>
      </c>
      <c r="P541" s="386">
        <f t="shared" ref="P541:Q541" si="538">IF(B541=0,0,IF(YEAR(B541)=$Q$1,MONTH(B541)-$P$1+1,(YEAR(B541)-$Q$1)*12-$P$1+1+MONTH(B541)))</f>
        <v>1</v>
      </c>
      <c r="Q541" s="330">
        <f t="shared" si="538"/>
        <v>0</v>
      </c>
      <c r="R541" s="351" t="str">
        <f t="shared" si="3"/>
        <v>Gastos_custeados_por_captação</v>
      </c>
      <c r="S541" s="351" t="str">
        <f>IF(D541="","",IF(OR(D541=Plano!$A$1,D541=Plano!$B$1),"entrada","saída"))</f>
        <v>saída</v>
      </c>
      <c r="T541" s="334" t="s">
        <v>114</v>
      </c>
      <c r="U541" s="334" t="s">
        <v>114</v>
      </c>
      <c r="V541" s="269"/>
      <c r="W541" s="269"/>
    </row>
    <row r="542" spans="1:23" ht="200.25" customHeight="1" x14ac:dyDescent="0.2">
      <c r="A542" s="277">
        <f t="shared" si="0"/>
        <v>538</v>
      </c>
      <c r="B542" s="278">
        <v>44223</v>
      </c>
      <c r="C542" s="249">
        <v>44166</v>
      </c>
      <c r="D542" s="250" t="s">
        <v>99</v>
      </c>
      <c r="E542" s="250" t="s">
        <v>350</v>
      </c>
      <c r="F542" s="251">
        <v>800</v>
      </c>
      <c r="G542" s="255" t="s">
        <v>3219</v>
      </c>
      <c r="H542" s="250" t="s">
        <v>132</v>
      </c>
      <c r="I542" s="250" t="s">
        <v>3220</v>
      </c>
      <c r="J542" s="250" t="s">
        <v>3221</v>
      </c>
      <c r="K542" s="255" t="s">
        <v>1015</v>
      </c>
      <c r="L542" s="250" t="s">
        <v>1177</v>
      </c>
      <c r="M542" s="255" t="s">
        <v>114</v>
      </c>
      <c r="N542" s="278">
        <v>44223</v>
      </c>
      <c r="O542" s="329" t="s">
        <v>67</v>
      </c>
      <c r="P542" s="386">
        <f t="shared" ref="P542:Q542" si="539">IF(B542=0,0,IF(YEAR(B542)=$Q$1,MONTH(B542)-$P$1+1,(YEAR(B542)-$Q$1)*12-$P$1+1+MONTH(B542)))</f>
        <v>1</v>
      </c>
      <c r="Q542" s="330">
        <f t="shared" si="539"/>
        <v>0</v>
      </c>
      <c r="R542" s="351" t="str">
        <f t="shared" si="3"/>
        <v>Gastos_Gerais</v>
      </c>
      <c r="S542" s="351" t="str">
        <f>IF(D542="","",IF(OR(D542=Plano!$A$1,D542=Plano!$B$1),"entrada","saída"))</f>
        <v>saída</v>
      </c>
      <c r="T542" s="334" t="s">
        <v>994</v>
      </c>
      <c r="U542" s="334">
        <v>997</v>
      </c>
      <c r="V542" s="269"/>
      <c r="W542" s="269"/>
    </row>
    <row r="543" spans="1:23" ht="69.75" customHeight="1" x14ac:dyDescent="0.2">
      <c r="A543" s="277">
        <f t="shared" si="0"/>
        <v>539</v>
      </c>
      <c r="B543" s="278">
        <v>44223</v>
      </c>
      <c r="C543" s="256">
        <v>44197</v>
      </c>
      <c r="D543" s="255" t="s">
        <v>88</v>
      </c>
      <c r="E543" s="255" t="s">
        <v>194</v>
      </c>
      <c r="F543" s="258">
        <v>2271.85</v>
      </c>
      <c r="G543" s="255" t="s">
        <v>1260</v>
      </c>
      <c r="H543" s="255" t="s">
        <v>114</v>
      </c>
      <c r="I543" s="250" t="s">
        <v>532</v>
      </c>
      <c r="J543" s="255" t="s">
        <v>1261</v>
      </c>
      <c r="K543" s="255" t="s">
        <v>560</v>
      </c>
      <c r="L543" s="250" t="s">
        <v>1016</v>
      </c>
      <c r="M543" s="255">
        <v>702816</v>
      </c>
      <c r="N543" s="278">
        <v>44228</v>
      </c>
      <c r="O543" s="329" t="s">
        <v>67</v>
      </c>
      <c r="P543" s="386">
        <f t="shared" ref="P543:Q543" si="540">IF(B543=0,0,IF(YEAR(B543)=$Q$1,MONTH(B543)-$P$1+1,(YEAR(B543)-$Q$1)*12-$P$1+1+MONTH(B543)))</f>
        <v>1</v>
      </c>
      <c r="Q543" s="330">
        <f t="shared" si="540"/>
        <v>1</v>
      </c>
      <c r="R543" s="351" t="str">
        <f t="shared" si="3"/>
        <v>Gastos_com_Pessoal</v>
      </c>
      <c r="S543" s="351" t="str">
        <f>IF(D543="","",IF(OR(D543=Plano!$A$1,D543=Plano!$B$1),"entrada","saída"))</f>
        <v>saída</v>
      </c>
      <c r="T543" s="334" t="s">
        <v>114</v>
      </c>
      <c r="U543" s="334" t="s">
        <v>114</v>
      </c>
      <c r="V543" s="269"/>
      <c r="W543" s="269"/>
    </row>
    <row r="544" spans="1:23" ht="69.75" customHeight="1" x14ac:dyDescent="0.2">
      <c r="A544" s="277">
        <f t="shared" si="0"/>
        <v>540</v>
      </c>
      <c r="B544" s="278">
        <v>44223</v>
      </c>
      <c r="C544" s="256">
        <v>44197</v>
      </c>
      <c r="D544" s="255" t="s">
        <v>88</v>
      </c>
      <c r="E544" s="255" t="s">
        <v>194</v>
      </c>
      <c r="F544" s="258">
        <v>4985.2</v>
      </c>
      <c r="G544" s="255" t="s">
        <v>1609</v>
      </c>
      <c r="H544" s="255" t="s">
        <v>114</v>
      </c>
      <c r="I544" s="250" t="s">
        <v>532</v>
      </c>
      <c r="J544" s="255" t="s">
        <v>1261</v>
      </c>
      <c r="K544" s="255" t="s">
        <v>560</v>
      </c>
      <c r="L544" s="250" t="s">
        <v>1016</v>
      </c>
      <c r="M544" s="255">
        <v>697936</v>
      </c>
      <c r="N544" s="278">
        <v>44228</v>
      </c>
      <c r="O544" s="329" t="s">
        <v>67</v>
      </c>
      <c r="P544" s="386">
        <f t="shared" ref="P544:Q544" si="541">IF(B544=0,0,IF(YEAR(B544)=$Q$1,MONTH(B544)-$P$1+1,(YEAR(B544)-$Q$1)*12-$P$1+1+MONTH(B544)))</f>
        <v>1</v>
      </c>
      <c r="Q544" s="330">
        <f t="shared" si="541"/>
        <v>1</v>
      </c>
      <c r="R544" s="351" t="str">
        <f t="shared" si="3"/>
        <v>Gastos_com_Pessoal</v>
      </c>
      <c r="S544" s="351" t="str">
        <f>IF(D544="","",IF(OR(D544=Plano!$A$1,D544=Plano!$B$1),"entrada","saída"))</f>
        <v>saída</v>
      </c>
      <c r="T544" s="334" t="s">
        <v>114</v>
      </c>
      <c r="U544" s="334" t="s">
        <v>114</v>
      </c>
      <c r="V544" s="269"/>
      <c r="W544" s="269"/>
    </row>
    <row r="545" spans="1:23" ht="193.5" customHeight="1" x14ac:dyDescent="0.2">
      <c r="A545" s="277">
        <f t="shared" si="0"/>
        <v>541</v>
      </c>
      <c r="B545" s="278">
        <v>44224</v>
      </c>
      <c r="C545" s="249">
        <v>44166</v>
      </c>
      <c r="D545" s="250" t="s">
        <v>99</v>
      </c>
      <c r="E545" s="250" t="s">
        <v>350</v>
      </c>
      <c r="F545" s="251">
        <v>800</v>
      </c>
      <c r="G545" s="255" t="s">
        <v>3222</v>
      </c>
      <c r="H545" s="250" t="s">
        <v>132</v>
      </c>
      <c r="I545" s="250" t="s">
        <v>3223</v>
      </c>
      <c r="J545" s="250" t="s">
        <v>3224</v>
      </c>
      <c r="K545" s="255" t="s">
        <v>1015</v>
      </c>
      <c r="L545" s="250" t="s">
        <v>1177</v>
      </c>
      <c r="M545" s="255" t="s">
        <v>114</v>
      </c>
      <c r="N545" s="278">
        <v>44215</v>
      </c>
      <c r="O545" s="329" t="s">
        <v>67</v>
      </c>
      <c r="P545" s="386">
        <f t="shared" ref="P545:Q545" si="542">IF(B545=0,0,IF(YEAR(B545)=$Q$1,MONTH(B545)-$P$1+1,(YEAR(B545)-$Q$1)*12-$P$1+1+MONTH(B545)))</f>
        <v>1</v>
      </c>
      <c r="Q545" s="330">
        <f t="shared" si="542"/>
        <v>0</v>
      </c>
      <c r="R545" s="351" t="str">
        <f t="shared" si="3"/>
        <v>Gastos_Gerais</v>
      </c>
      <c r="S545" s="351" t="str">
        <f>IF(D545="","",IF(OR(D545=Plano!$A$1,D545=Plano!$B$1),"entrada","saída"))</f>
        <v>saída</v>
      </c>
      <c r="T545" s="334" t="s">
        <v>994</v>
      </c>
      <c r="U545" s="334">
        <v>998</v>
      </c>
      <c r="V545" s="269"/>
      <c r="W545" s="269"/>
    </row>
    <row r="546" spans="1:23" ht="163.5" customHeight="1" x14ac:dyDescent="0.2">
      <c r="A546" s="277">
        <f t="shared" si="0"/>
        <v>542</v>
      </c>
      <c r="B546" s="278">
        <v>44225</v>
      </c>
      <c r="C546" s="249">
        <v>44166</v>
      </c>
      <c r="D546" s="250" t="s">
        <v>99</v>
      </c>
      <c r="E546" s="250" t="s">
        <v>352</v>
      </c>
      <c r="F546" s="251">
        <v>102.48</v>
      </c>
      <c r="G546" s="255" t="s">
        <v>3225</v>
      </c>
      <c r="H546" s="250" t="s">
        <v>125</v>
      </c>
      <c r="I546" s="250" t="s">
        <v>3226</v>
      </c>
      <c r="J546" s="250" t="s">
        <v>3227</v>
      </c>
      <c r="K546" s="255" t="s">
        <v>991</v>
      </c>
      <c r="L546" s="250" t="s">
        <v>1029</v>
      </c>
      <c r="M546" s="255">
        <v>992</v>
      </c>
      <c r="N546" s="278">
        <v>44200</v>
      </c>
      <c r="O546" s="329" t="s">
        <v>67</v>
      </c>
      <c r="P546" s="386">
        <f t="shared" ref="P546:Q546" si="543">IF(B546=0,0,IF(YEAR(B546)=$Q$1,MONTH(B546)-$P$1+1,(YEAR(B546)-$Q$1)*12-$P$1+1+MONTH(B546)))</f>
        <v>1</v>
      </c>
      <c r="Q546" s="330">
        <f t="shared" si="543"/>
        <v>0</v>
      </c>
      <c r="R546" s="351" t="str">
        <f t="shared" si="3"/>
        <v>Gastos_Gerais</v>
      </c>
      <c r="S546" s="351" t="str">
        <f>IF(D546="","",IF(OR(D546=Plano!$A$1,D546=Plano!$B$1),"entrada","saída"))</f>
        <v>saída</v>
      </c>
      <c r="T546" s="334" t="s">
        <v>994</v>
      </c>
      <c r="U546" s="334">
        <v>770</v>
      </c>
      <c r="V546" s="269"/>
      <c r="W546" s="269"/>
    </row>
    <row r="547" spans="1:23" ht="69.75" customHeight="1" x14ac:dyDescent="0.2">
      <c r="A547" s="277">
        <f t="shared" si="0"/>
        <v>543</v>
      </c>
      <c r="B547" s="278">
        <v>44225</v>
      </c>
      <c r="C547" s="249">
        <v>44197</v>
      </c>
      <c r="D547" s="255" t="s">
        <v>99</v>
      </c>
      <c r="E547" s="255" t="s">
        <v>272</v>
      </c>
      <c r="F547" s="258">
        <v>10.45</v>
      </c>
      <c r="G547" s="255" t="s">
        <v>3228</v>
      </c>
      <c r="H547" s="250" t="s">
        <v>125</v>
      </c>
      <c r="I547" s="250" t="s">
        <v>949</v>
      </c>
      <c r="J547" s="255" t="s">
        <v>950</v>
      </c>
      <c r="K547" s="255" t="s">
        <v>951</v>
      </c>
      <c r="L547" s="250" t="s">
        <v>947</v>
      </c>
      <c r="M547" s="279" t="s">
        <v>114</v>
      </c>
      <c r="N547" s="278">
        <v>44225</v>
      </c>
      <c r="O547" s="329" t="s">
        <v>67</v>
      </c>
      <c r="P547" s="386">
        <f t="shared" ref="P547:Q547" si="544">IF(B547=0,0,IF(YEAR(B547)=$Q$1,MONTH(B547)-$P$1+1,(YEAR(B547)-$Q$1)*12-$P$1+1+MONTH(B547)))</f>
        <v>1</v>
      </c>
      <c r="Q547" s="330">
        <f t="shared" si="544"/>
        <v>1</v>
      </c>
      <c r="R547" s="351" t="str">
        <f t="shared" si="3"/>
        <v>Gastos_Gerais</v>
      </c>
      <c r="S547" s="351" t="str">
        <f>IF(D547="","",IF(OR(D547=Plano!$A$1,D547=Plano!$B$1),"entrada","saída"))</f>
        <v>saída</v>
      </c>
      <c r="T547" s="334" t="s">
        <v>114</v>
      </c>
      <c r="U547" s="334" t="s">
        <v>114</v>
      </c>
      <c r="V547" s="269"/>
      <c r="W547" s="269"/>
    </row>
    <row r="548" spans="1:23" ht="69.75" customHeight="1" x14ac:dyDescent="0.2">
      <c r="A548" s="277">
        <f t="shared" si="0"/>
        <v>544</v>
      </c>
      <c r="B548" s="278">
        <v>44227</v>
      </c>
      <c r="C548" s="256">
        <v>44197</v>
      </c>
      <c r="D548" s="255" t="s">
        <v>85</v>
      </c>
      <c r="E548" s="255" t="s">
        <v>85</v>
      </c>
      <c r="F548" s="258">
        <v>578.86</v>
      </c>
      <c r="G548" s="255" t="s">
        <v>953</v>
      </c>
      <c r="H548" s="255" t="s">
        <v>114</v>
      </c>
      <c r="I548" s="250" t="s">
        <v>945</v>
      </c>
      <c r="J548" s="255" t="s">
        <v>850</v>
      </c>
      <c r="K548" s="255" t="s">
        <v>946</v>
      </c>
      <c r="L548" s="250" t="s">
        <v>947</v>
      </c>
      <c r="M548" s="279" t="s">
        <v>114</v>
      </c>
      <c r="N548" s="278">
        <v>44227</v>
      </c>
      <c r="O548" s="329" t="s">
        <v>67</v>
      </c>
      <c r="P548" s="386">
        <f t="shared" ref="P548:Q548" si="545">IF(B548=0,0,IF(YEAR(B548)=$Q$1,MONTH(B548)-$P$1+1,(YEAR(B548)-$Q$1)*12-$P$1+1+MONTH(B548)))</f>
        <v>1</v>
      </c>
      <c r="Q548" s="330">
        <f t="shared" si="545"/>
        <v>1</v>
      </c>
      <c r="R548" s="351" t="str">
        <f t="shared" si="3"/>
        <v>Rendimentos_de_Aplicações_Fin.</v>
      </c>
      <c r="S548" s="351" t="str">
        <f>IF(D548="","",IF(OR(D548=Plano!$A$1,D548=Plano!$B$1),"entrada","saída"))</f>
        <v>entrada</v>
      </c>
      <c r="T548" s="334" t="s">
        <v>114</v>
      </c>
      <c r="U548" s="334" t="s">
        <v>114</v>
      </c>
      <c r="V548" s="269"/>
      <c r="W548" s="269"/>
    </row>
    <row r="549" spans="1:23" ht="69.75" customHeight="1" x14ac:dyDescent="0.2">
      <c r="A549" s="277">
        <f t="shared" si="0"/>
        <v>545</v>
      </c>
      <c r="B549" s="278">
        <v>44227</v>
      </c>
      <c r="C549" s="256">
        <v>44197</v>
      </c>
      <c r="D549" s="255" t="s">
        <v>99</v>
      </c>
      <c r="E549" s="255" t="s">
        <v>280</v>
      </c>
      <c r="F549" s="258">
        <v>119.22</v>
      </c>
      <c r="G549" s="255" t="s">
        <v>3229</v>
      </c>
      <c r="H549" s="255" t="s">
        <v>114</v>
      </c>
      <c r="I549" s="250" t="s">
        <v>488</v>
      </c>
      <c r="J549" s="255" t="s">
        <v>114</v>
      </c>
      <c r="K549" s="255" t="s">
        <v>466</v>
      </c>
      <c r="L549" s="250" t="s">
        <v>489</v>
      </c>
      <c r="M549" s="255" t="s">
        <v>114</v>
      </c>
      <c r="N549" s="278">
        <v>44227</v>
      </c>
      <c r="O549" s="329" t="s">
        <v>67</v>
      </c>
      <c r="P549" s="386">
        <f t="shared" ref="P549:Q549" si="546">IF(B549=0,0,IF(YEAR(B549)=$Q$1,MONTH(B549)-$P$1+1,(YEAR(B549)-$Q$1)*12-$P$1+1+MONTH(B549)))</f>
        <v>1</v>
      </c>
      <c r="Q549" s="330">
        <f t="shared" si="546"/>
        <v>1</v>
      </c>
      <c r="R549" s="351" t="str">
        <f t="shared" si="3"/>
        <v>Gastos_Gerais</v>
      </c>
      <c r="S549" s="351" t="str">
        <f>IF(D549="","",IF(OR(D549=Plano!$A$1,D549=Plano!$B$1),"entrada","saída"))</f>
        <v>saída</v>
      </c>
      <c r="T549" s="334" t="s">
        <v>114</v>
      </c>
      <c r="U549" s="334" t="s">
        <v>114</v>
      </c>
      <c r="V549" s="269"/>
      <c r="W549" s="269"/>
    </row>
    <row r="550" spans="1:23" ht="69.75" customHeight="1" x14ac:dyDescent="0.2">
      <c r="A550" s="277">
        <f t="shared" si="0"/>
        <v>546</v>
      </c>
      <c r="B550" s="278">
        <v>44227</v>
      </c>
      <c r="C550" s="256">
        <v>44197</v>
      </c>
      <c r="D550" s="255" t="s">
        <v>99</v>
      </c>
      <c r="E550" s="255" t="s">
        <v>278</v>
      </c>
      <c r="F550" s="258">
        <v>20.47</v>
      </c>
      <c r="G550" s="255" t="s">
        <v>3230</v>
      </c>
      <c r="H550" s="255" t="s">
        <v>114</v>
      </c>
      <c r="I550" s="250" t="s">
        <v>488</v>
      </c>
      <c r="J550" s="255" t="s">
        <v>114</v>
      </c>
      <c r="K550" s="255" t="s">
        <v>466</v>
      </c>
      <c r="L550" s="250" t="s">
        <v>489</v>
      </c>
      <c r="M550" s="255" t="s">
        <v>114</v>
      </c>
      <c r="N550" s="278">
        <v>44227</v>
      </c>
      <c r="O550" s="329" t="s">
        <v>67</v>
      </c>
      <c r="P550" s="386">
        <f t="shared" ref="P550:Q550" si="547">IF(B550=0,0,IF(YEAR(B550)=$Q$1,MONTH(B550)-$P$1+1,(YEAR(B550)-$Q$1)*12-$P$1+1+MONTH(B550)))</f>
        <v>1</v>
      </c>
      <c r="Q550" s="330">
        <f t="shared" si="547"/>
        <v>1</v>
      </c>
      <c r="R550" s="351" t="str">
        <f t="shared" si="3"/>
        <v>Gastos_Gerais</v>
      </c>
      <c r="S550" s="351" t="str">
        <f>IF(D550="","",IF(OR(D550=Plano!$A$1,D550=Plano!$B$1),"entrada","saída"))</f>
        <v>saída</v>
      </c>
      <c r="T550" s="334" t="s">
        <v>114</v>
      </c>
      <c r="U550" s="334" t="s">
        <v>114</v>
      </c>
      <c r="V550" s="269"/>
      <c r="W550" s="269"/>
    </row>
    <row r="551" spans="1:23" ht="69.75" customHeight="1" x14ac:dyDescent="0.2">
      <c r="A551" s="277">
        <f t="shared" si="0"/>
        <v>547</v>
      </c>
      <c r="B551" s="278">
        <v>44228</v>
      </c>
      <c r="C551" s="256">
        <v>44197</v>
      </c>
      <c r="D551" s="255" t="s">
        <v>88</v>
      </c>
      <c r="E551" s="255" t="s">
        <v>198</v>
      </c>
      <c r="F551" s="258">
        <v>-21.47</v>
      </c>
      <c r="G551" s="255" t="s">
        <v>982</v>
      </c>
      <c r="H551" s="255" t="s">
        <v>114</v>
      </c>
      <c r="I551" s="250" t="s">
        <v>983</v>
      </c>
      <c r="J551" s="255" t="s">
        <v>850</v>
      </c>
      <c r="K551" s="255" t="s">
        <v>946</v>
      </c>
      <c r="L551" s="250" t="s">
        <v>947</v>
      </c>
      <c r="M551" s="255" t="s">
        <v>114</v>
      </c>
      <c r="N551" s="278">
        <v>44228</v>
      </c>
      <c r="O551" s="329" t="s">
        <v>67</v>
      </c>
      <c r="P551" s="386">
        <f t="shared" ref="P551:Q551" si="548">IF(B551=0,0,IF(YEAR(B551)=$Q$1,MONTH(B551)-$P$1+1,(YEAR(B551)-$Q$1)*12-$P$1+1+MONTH(B551)))</f>
        <v>2</v>
      </c>
      <c r="Q551" s="330">
        <f t="shared" si="548"/>
        <v>1</v>
      </c>
      <c r="R551" s="351" t="str">
        <f t="shared" si="3"/>
        <v>Gastos_com_Pessoal</v>
      </c>
      <c r="S551" s="351" t="str">
        <f>IF(D551="","",IF(OR(D551=Plano!$A$1,D551=Plano!$B$1),"entrada","saída"))</f>
        <v>saída</v>
      </c>
      <c r="T551" s="334" t="s">
        <v>114</v>
      </c>
      <c r="U551" s="334" t="s">
        <v>114</v>
      </c>
      <c r="V551" s="269"/>
      <c r="W551" s="269"/>
    </row>
    <row r="552" spans="1:23" ht="69.75" customHeight="1" x14ac:dyDescent="0.2">
      <c r="A552" s="277">
        <f t="shared" si="0"/>
        <v>548</v>
      </c>
      <c r="B552" s="278">
        <v>44228</v>
      </c>
      <c r="C552" s="256">
        <v>44197</v>
      </c>
      <c r="D552" s="255" t="s">
        <v>88</v>
      </c>
      <c r="E552" s="255" t="s">
        <v>198</v>
      </c>
      <c r="F552" s="258">
        <v>-107.34</v>
      </c>
      <c r="G552" s="255" t="s">
        <v>987</v>
      </c>
      <c r="H552" s="255" t="s">
        <v>114</v>
      </c>
      <c r="I552" s="250" t="s">
        <v>983</v>
      </c>
      <c r="J552" s="255" t="s">
        <v>850</v>
      </c>
      <c r="K552" s="255" t="s">
        <v>946</v>
      </c>
      <c r="L552" s="250" t="s">
        <v>947</v>
      </c>
      <c r="M552" s="255" t="s">
        <v>114</v>
      </c>
      <c r="N552" s="278">
        <v>44228</v>
      </c>
      <c r="O552" s="329" t="s">
        <v>67</v>
      </c>
      <c r="P552" s="386">
        <f t="shared" ref="P552:Q552" si="549">IF(B552=0,0,IF(YEAR(B552)=$Q$1,MONTH(B552)-$P$1+1,(YEAR(B552)-$Q$1)*12-$P$1+1+MONTH(B552)))</f>
        <v>2</v>
      </c>
      <c r="Q552" s="330">
        <f t="shared" si="549"/>
        <v>1</v>
      </c>
      <c r="R552" s="351" t="str">
        <f t="shared" si="3"/>
        <v>Gastos_com_Pessoal</v>
      </c>
      <c r="S552" s="351" t="str">
        <f>IF(D552="","",IF(OR(D552=Plano!$A$1,D552=Plano!$B$1),"entrada","saída"))</f>
        <v>saída</v>
      </c>
      <c r="T552" s="334" t="s">
        <v>114</v>
      </c>
      <c r="U552" s="334" t="s">
        <v>114</v>
      </c>
      <c r="V552" s="269"/>
      <c r="W552" s="269"/>
    </row>
    <row r="553" spans="1:23" ht="69.75" customHeight="1" x14ac:dyDescent="0.2">
      <c r="A553" s="277">
        <f t="shared" si="0"/>
        <v>549</v>
      </c>
      <c r="B553" s="278">
        <v>44228</v>
      </c>
      <c r="C553" s="256">
        <v>44197</v>
      </c>
      <c r="D553" s="255" t="s">
        <v>88</v>
      </c>
      <c r="E553" s="255" t="s">
        <v>183</v>
      </c>
      <c r="F553" s="258">
        <v>-69.349999999999994</v>
      </c>
      <c r="G553" s="255" t="s">
        <v>986</v>
      </c>
      <c r="H553" s="255" t="s">
        <v>114</v>
      </c>
      <c r="I553" s="250" t="s">
        <v>983</v>
      </c>
      <c r="J553" s="255" t="s">
        <v>850</v>
      </c>
      <c r="K553" s="255" t="s">
        <v>946</v>
      </c>
      <c r="L553" s="250" t="s">
        <v>947</v>
      </c>
      <c r="M553" s="255" t="s">
        <v>114</v>
      </c>
      <c r="N553" s="278">
        <v>44228</v>
      </c>
      <c r="O553" s="329" t="s">
        <v>67</v>
      </c>
      <c r="P553" s="386">
        <f t="shared" ref="P553:Q553" si="550">IF(B553=0,0,IF(YEAR(B553)=$Q$1,MONTH(B553)-$P$1+1,(YEAR(B553)-$Q$1)*12-$P$1+1+MONTH(B553)))</f>
        <v>2</v>
      </c>
      <c r="Q553" s="330">
        <f t="shared" si="550"/>
        <v>1</v>
      </c>
      <c r="R553" s="351" t="str">
        <f t="shared" si="3"/>
        <v>Gastos_com_Pessoal</v>
      </c>
      <c r="S553" s="351" t="str">
        <f>IF(D553="","",IF(OR(D553=Plano!$A$1,D553=Plano!$B$1),"entrada","saída"))</f>
        <v>saída</v>
      </c>
      <c r="T553" s="334" t="s">
        <v>114</v>
      </c>
      <c r="U553" s="334" t="s">
        <v>114</v>
      </c>
      <c r="V553" s="269"/>
      <c r="W553" s="269"/>
    </row>
    <row r="554" spans="1:23" ht="69.75" customHeight="1" x14ac:dyDescent="0.2">
      <c r="A554" s="277">
        <f t="shared" si="0"/>
        <v>550</v>
      </c>
      <c r="B554" s="278">
        <v>44228</v>
      </c>
      <c r="C554" s="256">
        <v>44197</v>
      </c>
      <c r="D554" s="255" t="s">
        <v>88</v>
      </c>
      <c r="E554" s="255" t="s">
        <v>183</v>
      </c>
      <c r="F554" s="258">
        <v>-27.74</v>
      </c>
      <c r="G554" s="255" t="s">
        <v>984</v>
      </c>
      <c r="H554" s="255" t="s">
        <v>114</v>
      </c>
      <c r="I554" s="250" t="s">
        <v>983</v>
      </c>
      <c r="J554" s="255" t="s">
        <v>850</v>
      </c>
      <c r="K554" s="255" t="s">
        <v>946</v>
      </c>
      <c r="L554" s="250" t="s">
        <v>947</v>
      </c>
      <c r="M554" s="255" t="s">
        <v>114</v>
      </c>
      <c r="N554" s="278">
        <v>44228</v>
      </c>
      <c r="O554" s="329" t="s">
        <v>67</v>
      </c>
      <c r="P554" s="386">
        <f t="shared" ref="P554:Q554" si="551">IF(B554=0,0,IF(YEAR(B554)=$Q$1,MONTH(B554)-$P$1+1,(YEAR(B554)-$Q$1)*12-$P$1+1+MONTH(B554)))</f>
        <v>2</v>
      </c>
      <c r="Q554" s="330">
        <f t="shared" si="551"/>
        <v>1</v>
      </c>
      <c r="R554" s="351" t="str">
        <f t="shared" si="3"/>
        <v>Gastos_com_Pessoal</v>
      </c>
      <c r="S554" s="351" t="str">
        <f>IF(D554="","",IF(OR(D554=Plano!$A$1,D554=Plano!$B$1),"entrada","saída"))</f>
        <v>saída</v>
      </c>
      <c r="T554" s="334" t="s">
        <v>114</v>
      </c>
      <c r="U554" s="334" t="s">
        <v>114</v>
      </c>
      <c r="V554" s="269"/>
      <c r="W554" s="269"/>
    </row>
    <row r="555" spans="1:23" ht="69.75" customHeight="1" x14ac:dyDescent="0.2">
      <c r="A555" s="277">
        <f t="shared" si="0"/>
        <v>551</v>
      </c>
      <c r="B555" s="278">
        <v>44228</v>
      </c>
      <c r="C555" s="256">
        <v>44197</v>
      </c>
      <c r="D555" s="255" t="s">
        <v>88</v>
      </c>
      <c r="E555" s="255" t="s">
        <v>198</v>
      </c>
      <c r="F555" s="258">
        <v>-42.94</v>
      </c>
      <c r="G555" s="255" t="s">
        <v>2471</v>
      </c>
      <c r="H555" s="255" t="s">
        <v>114</v>
      </c>
      <c r="I555" s="250" t="s">
        <v>983</v>
      </c>
      <c r="J555" s="255" t="s">
        <v>850</v>
      </c>
      <c r="K555" s="255" t="s">
        <v>946</v>
      </c>
      <c r="L555" s="250" t="s">
        <v>947</v>
      </c>
      <c r="M555" s="255" t="s">
        <v>114</v>
      </c>
      <c r="N555" s="278">
        <v>44228</v>
      </c>
      <c r="O555" s="329" t="s">
        <v>67</v>
      </c>
      <c r="P555" s="386">
        <f t="shared" ref="P555:Q555" si="552">IF(B555=0,0,IF(YEAR(B555)=$Q$1,MONTH(B555)-$P$1+1,(YEAR(B555)-$Q$1)*12-$P$1+1+MONTH(B555)))</f>
        <v>2</v>
      </c>
      <c r="Q555" s="330">
        <f t="shared" si="552"/>
        <v>1</v>
      </c>
      <c r="R555" s="351" t="str">
        <f t="shared" si="3"/>
        <v>Gastos_com_Pessoal</v>
      </c>
      <c r="S555" s="351" t="str">
        <f>IF(D555="","",IF(OR(D555=Plano!$A$1,D555=Plano!$B$1),"entrada","saída"))</f>
        <v>saída</v>
      </c>
      <c r="T555" s="334" t="s">
        <v>114</v>
      </c>
      <c r="U555" s="334" t="s">
        <v>114</v>
      </c>
      <c r="V555" s="269"/>
      <c r="W555" s="269"/>
    </row>
    <row r="556" spans="1:23" ht="143.25" customHeight="1" x14ac:dyDescent="0.2">
      <c r="A556" s="277">
        <f t="shared" si="0"/>
        <v>552</v>
      </c>
      <c r="B556" s="278">
        <v>44228</v>
      </c>
      <c r="C556" s="249">
        <v>44197</v>
      </c>
      <c r="D556" s="250" t="s">
        <v>99</v>
      </c>
      <c r="E556" s="250" t="s">
        <v>330</v>
      </c>
      <c r="F556" s="251">
        <v>150</v>
      </c>
      <c r="G556" s="255" t="s">
        <v>3231</v>
      </c>
      <c r="H556" s="250" t="s">
        <v>115</v>
      </c>
      <c r="I556" s="250" t="s">
        <v>1640</v>
      </c>
      <c r="J556" s="250" t="s">
        <v>452</v>
      </c>
      <c r="K556" s="255" t="s">
        <v>560</v>
      </c>
      <c r="L556" s="250" t="s">
        <v>1016</v>
      </c>
      <c r="M556" s="255">
        <v>304713</v>
      </c>
      <c r="N556" s="278">
        <v>44201</v>
      </c>
      <c r="O556" s="329" t="s">
        <v>67</v>
      </c>
      <c r="P556" s="386">
        <f t="shared" ref="P556:Q556" si="553">IF(B556=0,0,IF(YEAR(B556)=$Q$1,MONTH(B556)-$P$1+1,(YEAR(B556)-$Q$1)*12-$P$1+1+MONTH(B556)))</f>
        <v>2</v>
      </c>
      <c r="Q556" s="330">
        <f t="shared" si="553"/>
        <v>1</v>
      </c>
      <c r="R556" s="351" t="str">
        <f t="shared" si="3"/>
        <v>Gastos_Gerais</v>
      </c>
      <c r="S556" s="351" t="str">
        <f>IF(D556="","",IF(OR(D556=Plano!$A$1,D556=Plano!$B$1),"entrada","saída"))</f>
        <v>saída</v>
      </c>
      <c r="T556" s="334" t="s">
        <v>1059</v>
      </c>
      <c r="U556" s="334">
        <v>1145</v>
      </c>
      <c r="V556" s="269"/>
      <c r="W556" s="269"/>
    </row>
    <row r="557" spans="1:23" ht="69.75" customHeight="1" x14ac:dyDescent="0.2">
      <c r="A557" s="277">
        <f t="shared" si="0"/>
        <v>553</v>
      </c>
      <c r="B557" s="278">
        <v>44228</v>
      </c>
      <c r="C557" s="249">
        <v>44197</v>
      </c>
      <c r="D557" s="255" t="s">
        <v>88</v>
      </c>
      <c r="E557" s="255" t="s">
        <v>183</v>
      </c>
      <c r="F557" s="258">
        <v>126.7</v>
      </c>
      <c r="G557" s="255" t="s">
        <v>3232</v>
      </c>
      <c r="H557" s="255" t="s">
        <v>114</v>
      </c>
      <c r="I557" s="250" t="s">
        <v>998</v>
      </c>
      <c r="J557" s="255" t="s">
        <v>999</v>
      </c>
      <c r="K557" s="255" t="s">
        <v>560</v>
      </c>
      <c r="L557" s="250" t="s">
        <v>1016</v>
      </c>
      <c r="M557" s="255" t="s">
        <v>3233</v>
      </c>
      <c r="N557" s="278">
        <v>44208</v>
      </c>
      <c r="O557" s="329" t="s">
        <v>67</v>
      </c>
      <c r="P557" s="386">
        <f t="shared" ref="P557:Q557" si="554">IF(B557=0,0,IF(YEAR(B557)=$Q$1,MONTH(B557)-$P$1+1,(YEAR(B557)-$Q$1)*12-$P$1+1+MONTH(B557)))</f>
        <v>2</v>
      </c>
      <c r="Q557" s="330">
        <f t="shared" si="554"/>
        <v>1</v>
      </c>
      <c r="R557" s="351" t="str">
        <f t="shared" si="3"/>
        <v>Gastos_com_Pessoal</v>
      </c>
      <c r="S557" s="351" t="str">
        <f>IF(D557="","",IF(OR(D557=Plano!$A$1,D557=Plano!$B$1),"entrada","saída"))</f>
        <v>saída</v>
      </c>
      <c r="T557" s="334" t="s">
        <v>114</v>
      </c>
      <c r="U557" s="334" t="s">
        <v>114</v>
      </c>
      <c r="V557" s="269"/>
      <c r="W557" s="269"/>
    </row>
    <row r="558" spans="1:23" ht="69.75" customHeight="1" x14ac:dyDescent="0.2">
      <c r="A558" s="277">
        <f t="shared" si="0"/>
        <v>554</v>
      </c>
      <c r="B558" s="278">
        <v>44228</v>
      </c>
      <c r="C558" s="249">
        <v>44197</v>
      </c>
      <c r="D558" s="255" t="s">
        <v>88</v>
      </c>
      <c r="E558" s="255" t="s">
        <v>183</v>
      </c>
      <c r="F558" s="258">
        <v>183.39</v>
      </c>
      <c r="G558" s="255" t="s">
        <v>3234</v>
      </c>
      <c r="H558" s="255" t="s">
        <v>114</v>
      </c>
      <c r="I558" s="250" t="s">
        <v>2475</v>
      </c>
      <c r="J558" s="255" t="s">
        <v>538</v>
      </c>
      <c r="K558" s="255" t="s">
        <v>560</v>
      </c>
      <c r="L558" s="250" t="s">
        <v>1016</v>
      </c>
      <c r="M558" s="255" t="s">
        <v>3235</v>
      </c>
      <c r="N558" s="278">
        <v>44208</v>
      </c>
      <c r="O558" s="329" t="s">
        <v>67</v>
      </c>
      <c r="P558" s="386">
        <f t="shared" ref="P558:Q558" si="555">IF(B558=0,0,IF(YEAR(B558)=$Q$1,MONTH(B558)-$P$1+1,(YEAR(B558)-$Q$1)*12-$P$1+1+MONTH(B558)))</f>
        <v>2</v>
      </c>
      <c r="Q558" s="330">
        <f t="shared" si="555"/>
        <v>1</v>
      </c>
      <c r="R558" s="351" t="str">
        <f t="shared" si="3"/>
        <v>Gastos_com_Pessoal</v>
      </c>
      <c r="S558" s="351" t="str">
        <f>IF(D558="","",IF(OR(D558=Plano!$A$1,D558=Plano!$B$1),"entrada","saída"))</f>
        <v>saída</v>
      </c>
      <c r="T558" s="334" t="s">
        <v>114</v>
      </c>
      <c r="U558" s="334" t="s">
        <v>114</v>
      </c>
      <c r="V558" s="269"/>
      <c r="W558" s="269"/>
    </row>
    <row r="559" spans="1:23" ht="69.75" customHeight="1" x14ac:dyDescent="0.2">
      <c r="A559" s="277">
        <f t="shared" si="0"/>
        <v>555</v>
      </c>
      <c r="B559" s="278">
        <v>44228</v>
      </c>
      <c r="C559" s="249">
        <v>44197</v>
      </c>
      <c r="D559" s="255" t="s">
        <v>88</v>
      </c>
      <c r="E559" s="255" t="s">
        <v>198</v>
      </c>
      <c r="F559" s="258">
        <v>515.26</v>
      </c>
      <c r="G559" s="255" t="s">
        <v>533</v>
      </c>
      <c r="H559" s="255" t="s">
        <v>114</v>
      </c>
      <c r="I559" s="250" t="s">
        <v>534</v>
      </c>
      <c r="J559" s="255" t="s">
        <v>535</v>
      </c>
      <c r="K559" s="255" t="s">
        <v>560</v>
      </c>
      <c r="L559" s="255" t="s">
        <v>2478</v>
      </c>
      <c r="M559" s="387">
        <v>8134322</v>
      </c>
      <c r="N559" s="278">
        <v>44213</v>
      </c>
      <c r="O559" s="329" t="s">
        <v>67</v>
      </c>
      <c r="P559" s="386">
        <f t="shared" ref="P559:Q559" si="556">IF(B559=0,0,IF(YEAR(B559)=$Q$1,MONTH(B559)-$P$1+1,(YEAR(B559)-$Q$1)*12-$P$1+1+MONTH(B559)))</f>
        <v>2</v>
      </c>
      <c r="Q559" s="330">
        <f t="shared" si="556"/>
        <v>1</v>
      </c>
      <c r="R559" s="351" t="str">
        <f t="shared" si="3"/>
        <v>Gastos_com_Pessoal</v>
      </c>
      <c r="S559" s="351" t="str">
        <f>IF(D559="","",IF(OR(D559=Plano!$A$1,D559=Plano!$B$1),"entrada","saída"))</f>
        <v>saída</v>
      </c>
      <c r="T559" s="334" t="s">
        <v>114</v>
      </c>
      <c r="U559" s="334" t="s">
        <v>114</v>
      </c>
      <c r="V559" s="269"/>
      <c r="W559" s="269"/>
    </row>
    <row r="560" spans="1:23" ht="138" customHeight="1" x14ac:dyDescent="0.2">
      <c r="A560" s="277">
        <f t="shared" si="0"/>
        <v>556</v>
      </c>
      <c r="B560" s="278">
        <v>44228</v>
      </c>
      <c r="C560" s="249">
        <v>44197</v>
      </c>
      <c r="D560" s="250" t="s">
        <v>99</v>
      </c>
      <c r="E560" s="250" t="s">
        <v>310</v>
      </c>
      <c r="F560" s="251">
        <v>1763.82</v>
      </c>
      <c r="G560" s="255" t="s">
        <v>3236</v>
      </c>
      <c r="H560" s="250" t="s">
        <v>125</v>
      </c>
      <c r="I560" s="250" t="s">
        <v>3237</v>
      </c>
      <c r="J560" s="250" t="s">
        <v>2627</v>
      </c>
      <c r="K560" s="255" t="s">
        <v>991</v>
      </c>
      <c r="L560" s="250" t="s">
        <v>1016</v>
      </c>
      <c r="M560" s="255" t="s">
        <v>1017</v>
      </c>
      <c r="N560" s="278">
        <v>44225</v>
      </c>
      <c r="O560" s="329" t="s">
        <v>67</v>
      </c>
      <c r="P560" s="386">
        <f t="shared" ref="P560:Q560" si="557">IF(B560=0,0,IF(YEAR(B560)=$Q$1,MONTH(B560)-$P$1+1,(YEAR(B560)-$Q$1)*12-$P$1+1+MONTH(B560)))</f>
        <v>2</v>
      </c>
      <c r="Q560" s="330">
        <f t="shared" si="557"/>
        <v>1</v>
      </c>
      <c r="R560" s="351" t="str">
        <f t="shared" si="3"/>
        <v>Gastos_Gerais</v>
      </c>
      <c r="S560" s="351" t="str">
        <f>IF(D560="","",IF(OR(D560=Plano!$A$1,D560=Plano!$B$1),"entrada","saída"))</f>
        <v>saída</v>
      </c>
      <c r="T560" s="334" t="s">
        <v>1059</v>
      </c>
      <c r="U560" s="334">
        <v>1258</v>
      </c>
      <c r="V560" s="269"/>
      <c r="W560" s="269"/>
    </row>
    <row r="561" spans="1:23" ht="159.75" customHeight="1" x14ac:dyDescent="0.2">
      <c r="A561" s="277">
        <f t="shared" si="0"/>
        <v>557</v>
      </c>
      <c r="B561" s="278">
        <v>44229</v>
      </c>
      <c r="C561" s="249">
        <v>44228</v>
      </c>
      <c r="D561" s="250" t="s">
        <v>101</v>
      </c>
      <c r="E561" s="250" t="s">
        <v>413</v>
      </c>
      <c r="F561" s="251">
        <v>1462.8</v>
      </c>
      <c r="G561" s="255" t="s">
        <v>3238</v>
      </c>
      <c r="H561" s="250" t="s">
        <v>114</v>
      </c>
      <c r="I561" s="250" t="s">
        <v>2460</v>
      </c>
      <c r="J561" s="250" t="s">
        <v>3239</v>
      </c>
      <c r="K561" s="255" t="s">
        <v>1015</v>
      </c>
      <c r="L561" s="250" t="s">
        <v>1016</v>
      </c>
      <c r="M561" s="255">
        <v>4610</v>
      </c>
      <c r="N561" s="278">
        <v>44229</v>
      </c>
      <c r="O561" s="329" t="s">
        <v>67</v>
      </c>
      <c r="P561" s="386">
        <f t="shared" ref="P561:Q561" si="558">IF(B561=0,0,IF(YEAR(B561)=$Q$1,MONTH(B561)-$P$1+1,(YEAR(B561)-$Q$1)*12-$P$1+1+MONTH(B561)))</f>
        <v>2</v>
      </c>
      <c r="Q561" s="330">
        <f t="shared" si="558"/>
        <v>2</v>
      </c>
      <c r="R561" s="351" t="str">
        <f t="shared" si="3"/>
        <v>Aquisição_de_Bens_Permanentes</v>
      </c>
      <c r="S561" s="351" t="str">
        <f>IF(D561="","",IF(OR(D561=Plano!$A$1,D561=Plano!$B$1),"entrada","saída"))</f>
        <v>saída</v>
      </c>
      <c r="T561" s="334" t="s">
        <v>1011</v>
      </c>
      <c r="U561" s="334">
        <v>1233</v>
      </c>
      <c r="V561" s="269"/>
      <c r="W561" s="269"/>
    </row>
    <row r="562" spans="1:23" ht="159.75" customHeight="1" x14ac:dyDescent="0.2">
      <c r="A562" s="277">
        <f t="shared" si="0"/>
        <v>558</v>
      </c>
      <c r="B562" s="278">
        <v>44229</v>
      </c>
      <c r="C562" s="249">
        <v>44228</v>
      </c>
      <c r="D562" s="255" t="s">
        <v>99</v>
      </c>
      <c r="E562" s="255" t="s">
        <v>312</v>
      </c>
      <c r="F562" s="258">
        <v>9.8800000000000008</v>
      </c>
      <c r="G562" s="255" t="s">
        <v>3240</v>
      </c>
      <c r="H562" s="250" t="s">
        <v>114</v>
      </c>
      <c r="I562" s="250" t="s">
        <v>2460</v>
      </c>
      <c r="J562" s="250" t="s">
        <v>3239</v>
      </c>
      <c r="K562" s="255" t="s">
        <v>1015</v>
      </c>
      <c r="L562" s="250" t="s">
        <v>1016</v>
      </c>
      <c r="M562" s="255">
        <v>4610</v>
      </c>
      <c r="N562" s="278">
        <v>44229</v>
      </c>
      <c r="O562" s="329" t="s">
        <v>67</v>
      </c>
      <c r="P562" s="386">
        <f t="shared" ref="P562:Q562" si="559">IF(B562=0,0,IF(YEAR(B562)=$Q$1,MONTH(B562)-$P$1+1,(YEAR(B562)-$Q$1)*12-$P$1+1+MONTH(B562)))</f>
        <v>2</v>
      </c>
      <c r="Q562" s="330">
        <f t="shared" si="559"/>
        <v>2</v>
      </c>
      <c r="R562" s="351" t="str">
        <f t="shared" si="3"/>
        <v>Gastos_Gerais</v>
      </c>
      <c r="S562" s="351" t="str">
        <f>IF(D562="","",IF(OR(D562=Plano!$A$1,D562=Plano!$B$1),"entrada","saída"))</f>
        <v>saída</v>
      </c>
      <c r="T562" s="334" t="s">
        <v>114</v>
      </c>
      <c r="U562" s="334" t="s">
        <v>114</v>
      </c>
      <c r="V562" s="269"/>
      <c r="W562" s="269"/>
    </row>
    <row r="563" spans="1:23" ht="163.5" customHeight="1" x14ac:dyDescent="0.2">
      <c r="A563" s="277">
        <f t="shared" si="0"/>
        <v>559</v>
      </c>
      <c r="B563" s="278">
        <v>44229</v>
      </c>
      <c r="C563" s="249">
        <v>43862</v>
      </c>
      <c r="D563" s="250" t="s">
        <v>99</v>
      </c>
      <c r="E563" s="250" t="s">
        <v>358</v>
      </c>
      <c r="F563" s="251">
        <v>356</v>
      </c>
      <c r="G563" s="255" t="s">
        <v>3241</v>
      </c>
      <c r="H563" s="250" t="s">
        <v>123</v>
      </c>
      <c r="I563" s="250" t="s">
        <v>3242</v>
      </c>
      <c r="J563" s="250" t="s">
        <v>3243</v>
      </c>
      <c r="K563" s="255" t="s">
        <v>1015</v>
      </c>
      <c r="L563" s="250" t="s">
        <v>1029</v>
      </c>
      <c r="M563" s="255">
        <v>780</v>
      </c>
      <c r="N563" s="278">
        <v>43927</v>
      </c>
      <c r="O563" s="329" t="s">
        <v>67</v>
      </c>
      <c r="P563" s="386">
        <f t="shared" ref="P563:Q563" si="560">IF(B563=0,0,IF(YEAR(B563)=$Q$1,MONTH(B563)-$P$1+1,(YEAR(B563)-$Q$1)*12-$P$1+1+MONTH(B563)))</f>
        <v>2</v>
      </c>
      <c r="Q563" s="330">
        <f t="shared" si="560"/>
        <v>-10</v>
      </c>
      <c r="R563" s="351" t="str">
        <f t="shared" si="3"/>
        <v>Gastos_Gerais</v>
      </c>
      <c r="S563" s="351" t="str">
        <f>IF(D563="","",IF(OR(D563=Plano!$A$1,D563=Plano!$B$1),"entrada","saída"))</f>
        <v>saída</v>
      </c>
      <c r="T563" s="334" t="s">
        <v>994</v>
      </c>
      <c r="U563" s="334">
        <v>168</v>
      </c>
      <c r="V563" s="269"/>
      <c r="W563" s="269"/>
    </row>
    <row r="564" spans="1:23" ht="69.75" customHeight="1" x14ac:dyDescent="0.2">
      <c r="A564" s="277">
        <f t="shared" si="0"/>
        <v>560</v>
      </c>
      <c r="B564" s="278">
        <v>44229</v>
      </c>
      <c r="C564" s="256">
        <v>44197</v>
      </c>
      <c r="D564" s="255" t="s">
        <v>99</v>
      </c>
      <c r="E564" s="255" t="s">
        <v>220</v>
      </c>
      <c r="F564" s="258">
        <v>22.01</v>
      </c>
      <c r="G564" s="255" t="s">
        <v>3244</v>
      </c>
      <c r="H564" s="255" t="s">
        <v>115</v>
      </c>
      <c r="I564" s="250" t="s">
        <v>3245</v>
      </c>
      <c r="J564" s="255" t="s">
        <v>3246</v>
      </c>
      <c r="K564" s="255" t="s">
        <v>1375</v>
      </c>
      <c r="L564" s="250" t="s">
        <v>697</v>
      </c>
      <c r="M564" s="279">
        <v>270139387295</v>
      </c>
      <c r="N564" s="278">
        <v>44229</v>
      </c>
      <c r="O564" s="329" t="s">
        <v>67</v>
      </c>
      <c r="P564" s="386">
        <f t="shared" ref="P564:Q564" si="561">IF(B564=0,0,IF(YEAR(B564)=$Q$1,MONTH(B564)-$P$1+1,(YEAR(B564)-$Q$1)*12-$P$1+1+MONTH(B564)))</f>
        <v>2</v>
      </c>
      <c r="Q564" s="330">
        <f t="shared" si="561"/>
        <v>1</v>
      </c>
      <c r="R564" s="351" t="str">
        <f t="shared" si="3"/>
        <v>Gastos_Gerais</v>
      </c>
      <c r="S564" s="351" t="str">
        <f>IF(D564="","",IF(OR(D564=Plano!$A$1,D564=Plano!$B$1),"entrada","saída"))</f>
        <v>saída</v>
      </c>
      <c r="T564" s="334" t="s">
        <v>114</v>
      </c>
      <c r="U564" s="334" t="s">
        <v>114</v>
      </c>
      <c r="V564" s="269"/>
      <c r="W564" s="269"/>
    </row>
    <row r="565" spans="1:23" ht="145.5" customHeight="1" x14ac:dyDescent="0.2">
      <c r="A565" s="277">
        <f t="shared" si="0"/>
        <v>561</v>
      </c>
      <c r="B565" s="278">
        <v>44229</v>
      </c>
      <c r="C565" s="249">
        <v>44197</v>
      </c>
      <c r="D565" s="250" t="s">
        <v>101</v>
      </c>
      <c r="E565" s="250" t="s">
        <v>413</v>
      </c>
      <c r="F565" s="251">
        <v>633.72</v>
      </c>
      <c r="G565" s="255" t="s">
        <v>2467</v>
      </c>
      <c r="H565" s="250" t="s">
        <v>114</v>
      </c>
      <c r="I565" s="250" t="s">
        <v>2466</v>
      </c>
      <c r="J565" s="250" t="s">
        <v>3247</v>
      </c>
      <c r="K565" s="255" t="s">
        <v>560</v>
      </c>
      <c r="L565" s="250" t="s">
        <v>1016</v>
      </c>
      <c r="M565" s="389">
        <v>22904</v>
      </c>
      <c r="N565" s="278">
        <v>44230</v>
      </c>
      <c r="O565" s="329" t="s">
        <v>67</v>
      </c>
      <c r="P565" s="386">
        <f t="shared" ref="P565:Q565" si="562">IF(B565=0,0,IF(YEAR(B565)=$Q$1,MONTH(B565)-$P$1+1,(YEAR(B565)-$Q$1)*12-$P$1+1+MONTH(B565)))</f>
        <v>2</v>
      </c>
      <c r="Q565" s="330">
        <f t="shared" si="562"/>
        <v>1</v>
      </c>
      <c r="R565" s="351" t="str">
        <f t="shared" si="3"/>
        <v>Aquisição_de_Bens_Permanentes</v>
      </c>
      <c r="S565" s="351" t="str">
        <f>IF(D565="","",IF(OR(D565=Plano!$A$1,D565=Plano!$B$1),"entrada","saída"))</f>
        <v>saída</v>
      </c>
      <c r="T565" s="334" t="s">
        <v>1011</v>
      </c>
      <c r="U565" s="334">
        <v>1285</v>
      </c>
      <c r="V565" s="269"/>
      <c r="W565" s="269"/>
    </row>
    <row r="566" spans="1:23" ht="117" customHeight="1" x14ac:dyDescent="0.2">
      <c r="A566" s="277">
        <f t="shared" si="0"/>
        <v>562</v>
      </c>
      <c r="B566" s="278">
        <v>44229</v>
      </c>
      <c r="C566" s="249">
        <v>44197</v>
      </c>
      <c r="D566" s="250" t="s">
        <v>99</v>
      </c>
      <c r="E566" s="250" t="s">
        <v>262</v>
      </c>
      <c r="F566" s="251">
        <v>3840</v>
      </c>
      <c r="G566" s="255" t="s">
        <v>501</v>
      </c>
      <c r="H566" s="250" t="s">
        <v>115</v>
      </c>
      <c r="I566" s="250" t="s">
        <v>2724</v>
      </c>
      <c r="J566" s="250" t="s">
        <v>503</v>
      </c>
      <c r="K566" s="255" t="s">
        <v>991</v>
      </c>
      <c r="L566" s="250" t="s">
        <v>1016</v>
      </c>
      <c r="M566" s="255" t="s">
        <v>1017</v>
      </c>
      <c r="N566" s="278">
        <v>44229</v>
      </c>
      <c r="O566" s="329" t="s">
        <v>67</v>
      </c>
      <c r="P566" s="386">
        <f t="shared" ref="P566:Q566" si="563">IF(B566=0,0,IF(YEAR(B566)=$Q$1,MONTH(B566)-$P$1+1,(YEAR(B566)-$Q$1)*12-$P$1+1+MONTH(B566)))</f>
        <v>2</v>
      </c>
      <c r="Q566" s="330">
        <f t="shared" si="563"/>
        <v>1</v>
      </c>
      <c r="R566" s="351" t="str">
        <f t="shared" si="3"/>
        <v>Gastos_Gerais</v>
      </c>
      <c r="S566" s="351" t="str">
        <f>IF(D566="","",IF(OR(D566=Plano!$A$1,D566=Plano!$B$1),"entrada","saída"))</f>
        <v>saída</v>
      </c>
      <c r="T566" s="334" t="s">
        <v>1059</v>
      </c>
      <c r="U566" s="334">
        <v>1136</v>
      </c>
      <c r="V566" s="269"/>
      <c r="W566" s="269"/>
    </row>
    <row r="567" spans="1:23" ht="114.75" customHeight="1" x14ac:dyDescent="0.2">
      <c r="A567" s="277">
        <f t="shared" si="0"/>
        <v>563</v>
      </c>
      <c r="B567" s="278">
        <v>44229</v>
      </c>
      <c r="C567" s="249">
        <v>44197</v>
      </c>
      <c r="D567" s="250" t="s">
        <v>99</v>
      </c>
      <c r="E567" s="250" t="s">
        <v>262</v>
      </c>
      <c r="F567" s="251">
        <v>3840</v>
      </c>
      <c r="G567" s="255" t="s">
        <v>504</v>
      </c>
      <c r="H567" s="250" t="s">
        <v>115</v>
      </c>
      <c r="I567" s="250" t="s">
        <v>2814</v>
      </c>
      <c r="J567" s="250" t="s">
        <v>506</v>
      </c>
      <c r="K567" s="255" t="s">
        <v>991</v>
      </c>
      <c r="L567" s="250" t="s">
        <v>1016</v>
      </c>
      <c r="M567" s="255" t="s">
        <v>1017</v>
      </c>
      <c r="N567" s="278">
        <v>44229</v>
      </c>
      <c r="O567" s="329" t="s">
        <v>67</v>
      </c>
      <c r="P567" s="386">
        <f t="shared" ref="P567:Q567" si="564">IF(B567=0,0,IF(YEAR(B567)=$Q$1,MONTH(B567)-$P$1+1,(YEAR(B567)-$Q$1)*12-$P$1+1+MONTH(B567)))</f>
        <v>2</v>
      </c>
      <c r="Q567" s="330">
        <f t="shared" si="564"/>
        <v>1</v>
      </c>
      <c r="R567" s="351" t="str">
        <f t="shared" si="3"/>
        <v>Gastos_Gerais</v>
      </c>
      <c r="S567" s="351" t="str">
        <f>IF(D567="","",IF(OR(D567=Plano!$A$1,D567=Plano!$B$1),"entrada","saída"))</f>
        <v>saída</v>
      </c>
      <c r="T567" s="334" t="s">
        <v>1059</v>
      </c>
      <c r="U567" s="334">
        <v>1135</v>
      </c>
      <c r="V567" s="269"/>
      <c r="W567" s="269"/>
    </row>
    <row r="568" spans="1:23" ht="167.25" customHeight="1" x14ac:dyDescent="0.2">
      <c r="A568" s="277">
        <f t="shared" si="0"/>
        <v>564</v>
      </c>
      <c r="B568" s="278">
        <v>44229</v>
      </c>
      <c r="C568" s="249">
        <v>44197</v>
      </c>
      <c r="D568" s="250" t="s">
        <v>104</v>
      </c>
      <c r="E568" s="250" t="s">
        <v>104</v>
      </c>
      <c r="F568" s="251">
        <v>2075.92</v>
      </c>
      <c r="G568" s="255" t="s">
        <v>2733</v>
      </c>
      <c r="H568" s="250" t="s">
        <v>104</v>
      </c>
      <c r="I568" s="250" t="s">
        <v>3248</v>
      </c>
      <c r="J568" s="250" t="s">
        <v>2735</v>
      </c>
      <c r="K568" s="255" t="s">
        <v>1015</v>
      </c>
      <c r="L568" s="250" t="s">
        <v>1029</v>
      </c>
      <c r="M568" s="255">
        <v>1053</v>
      </c>
      <c r="N568" s="278">
        <v>44229</v>
      </c>
      <c r="O568" s="329" t="s">
        <v>69</v>
      </c>
      <c r="P568" s="386">
        <f t="shared" ref="P568:Q568" si="565">IF(B568=0,0,IF(YEAR(B568)=$Q$1,MONTH(B568)-$P$1+1,(YEAR(B568)-$Q$1)*12-$P$1+1+MONTH(B568)))</f>
        <v>2</v>
      </c>
      <c r="Q568" s="330">
        <f t="shared" si="565"/>
        <v>1</v>
      </c>
      <c r="R568" s="351" t="str">
        <f t="shared" si="3"/>
        <v>Gastos_custeados_por_captação</v>
      </c>
      <c r="S568" s="351" t="str">
        <f>IF(D568="","",IF(OR(D568=Plano!$A$1,D568=Plano!$B$1),"entrada","saída"))</f>
        <v>saída</v>
      </c>
      <c r="T568" s="334" t="s">
        <v>994</v>
      </c>
      <c r="U568" s="334">
        <v>552</v>
      </c>
      <c r="V568" s="269"/>
      <c r="W568" s="269"/>
    </row>
    <row r="569" spans="1:23" ht="203.25" customHeight="1" x14ac:dyDescent="0.2">
      <c r="A569" s="277">
        <f t="shared" si="0"/>
        <v>565</v>
      </c>
      <c r="B569" s="278">
        <v>44229</v>
      </c>
      <c r="C569" s="256">
        <v>44197</v>
      </c>
      <c r="D569" s="250" t="s">
        <v>104</v>
      </c>
      <c r="E569" s="250" t="s">
        <v>104</v>
      </c>
      <c r="F569" s="251">
        <v>2462.5500000000002</v>
      </c>
      <c r="G569" s="255" t="s">
        <v>3249</v>
      </c>
      <c r="H569" s="250" t="s">
        <v>104</v>
      </c>
      <c r="I569" s="250" t="s">
        <v>3250</v>
      </c>
      <c r="J569" s="252" t="s">
        <v>3251</v>
      </c>
      <c r="K569" s="255" t="s">
        <v>1015</v>
      </c>
      <c r="L569" s="250" t="s">
        <v>1029</v>
      </c>
      <c r="M569" s="255">
        <v>1054</v>
      </c>
      <c r="N569" s="278">
        <v>44229</v>
      </c>
      <c r="O569" s="329" t="s">
        <v>68</v>
      </c>
      <c r="P569" s="386">
        <f t="shared" ref="P569:Q569" si="566">IF(B569=0,0,IF(YEAR(B569)=$Q$1,MONTH(B569)-$P$1+1,(YEAR(B569)-$Q$1)*12-$P$1+1+MONTH(B569)))</f>
        <v>2</v>
      </c>
      <c r="Q569" s="330">
        <f t="shared" si="566"/>
        <v>1</v>
      </c>
      <c r="R569" s="351" t="str">
        <f t="shared" si="3"/>
        <v>Gastos_custeados_por_captação</v>
      </c>
      <c r="S569" s="351" t="str">
        <f>IF(D569="","",IF(OR(D569=Plano!$A$1,D569=Plano!$B$1),"entrada","saída"))</f>
        <v>saída</v>
      </c>
      <c r="T569" s="334" t="s">
        <v>114</v>
      </c>
      <c r="U569" s="334" t="s">
        <v>114</v>
      </c>
      <c r="V569" s="269"/>
      <c r="W569" s="269"/>
    </row>
    <row r="570" spans="1:23" ht="69.75" customHeight="1" x14ac:dyDescent="0.2">
      <c r="A570" s="277">
        <f t="shared" si="0"/>
        <v>566</v>
      </c>
      <c r="B570" s="278">
        <v>44230</v>
      </c>
      <c r="C570" s="256">
        <v>44197</v>
      </c>
      <c r="D570" s="250" t="s">
        <v>99</v>
      </c>
      <c r="E570" s="255" t="s">
        <v>262</v>
      </c>
      <c r="F570" s="258">
        <v>-348.12</v>
      </c>
      <c r="G570" s="255" t="s">
        <v>3252</v>
      </c>
      <c r="H570" s="255" t="s">
        <v>115</v>
      </c>
      <c r="I570" s="250" t="s">
        <v>983</v>
      </c>
      <c r="J570" s="255" t="s">
        <v>850</v>
      </c>
      <c r="K570" s="255" t="s">
        <v>946</v>
      </c>
      <c r="L570" s="250" t="s">
        <v>947</v>
      </c>
      <c r="M570" s="255" t="s">
        <v>114</v>
      </c>
      <c r="N570" s="278">
        <v>44230</v>
      </c>
      <c r="O570" s="329" t="s">
        <v>67</v>
      </c>
      <c r="P570" s="386">
        <f t="shared" ref="P570:Q570" si="567">IF(B570=0,0,IF(YEAR(B570)=$Q$1,MONTH(B570)-$P$1+1,(YEAR(B570)-$Q$1)*12-$P$1+1+MONTH(B570)))</f>
        <v>2</v>
      </c>
      <c r="Q570" s="330">
        <f t="shared" si="567"/>
        <v>1</v>
      </c>
      <c r="R570" s="351" t="str">
        <f t="shared" si="3"/>
        <v>Gastos_Gerais</v>
      </c>
      <c r="S570" s="351" t="str">
        <f>IF(D570="","",IF(OR(D570=Plano!$A$1,D570=Plano!$B$1),"entrada","saída"))</f>
        <v>saída</v>
      </c>
      <c r="T570" s="334" t="s">
        <v>114</v>
      </c>
      <c r="U570" s="334" t="s">
        <v>114</v>
      </c>
      <c r="V570" s="269"/>
      <c r="W570" s="269"/>
    </row>
    <row r="571" spans="1:23" ht="69.75" customHeight="1" x14ac:dyDescent="0.2">
      <c r="A571" s="277">
        <f t="shared" si="0"/>
        <v>567</v>
      </c>
      <c r="B571" s="278">
        <v>44230</v>
      </c>
      <c r="C571" s="256">
        <v>44197</v>
      </c>
      <c r="D571" s="250" t="s">
        <v>99</v>
      </c>
      <c r="E571" s="255" t="s">
        <v>262</v>
      </c>
      <c r="F571" s="258">
        <v>-1276.44</v>
      </c>
      <c r="G571" s="255" t="s">
        <v>3253</v>
      </c>
      <c r="H571" s="255" t="s">
        <v>115</v>
      </c>
      <c r="I571" s="250" t="s">
        <v>983</v>
      </c>
      <c r="J571" s="255" t="s">
        <v>850</v>
      </c>
      <c r="K571" s="255" t="s">
        <v>946</v>
      </c>
      <c r="L571" s="250" t="s">
        <v>947</v>
      </c>
      <c r="M571" s="255" t="s">
        <v>114</v>
      </c>
      <c r="N571" s="278">
        <v>44230</v>
      </c>
      <c r="O571" s="329" t="s">
        <v>67</v>
      </c>
      <c r="P571" s="386">
        <f t="shared" ref="P571:Q571" si="568">IF(B571=0,0,IF(YEAR(B571)=$Q$1,MONTH(B571)-$P$1+1,(YEAR(B571)-$Q$1)*12-$P$1+1+MONTH(B571)))</f>
        <v>2</v>
      </c>
      <c r="Q571" s="330">
        <f t="shared" si="568"/>
        <v>1</v>
      </c>
      <c r="R571" s="351" t="str">
        <f t="shared" si="3"/>
        <v>Gastos_Gerais</v>
      </c>
      <c r="S571" s="351" t="str">
        <f>IF(D571="","",IF(OR(D571=Plano!$A$1,D571=Plano!$B$1),"entrada","saída"))</f>
        <v>saída</v>
      </c>
      <c r="T571" s="334" t="s">
        <v>114</v>
      </c>
      <c r="U571" s="334" t="s">
        <v>114</v>
      </c>
      <c r="V571" s="269"/>
      <c r="W571" s="269"/>
    </row>
    <row r="572" spans="1:23" ht="195" customHeight="1" x14ac:dyDescent="0.2">
      <c r="A572" s="277">
        <f t="shared" si="0"/>
        <v>568</v>
      </c>
      <c r="B572" s="278">
        <v>44230</v>
      </c>
      <c r="C572" s="249">
        <v>44136</v>
      </c>
      <c r="D572" s="250" t="s">
        <v>99</v>
      </c>
      <c r="E572" s="250" t="s">
        <v>358</v>
      </c>
      <c r="F572" s="251">
        <v>1166.52</v>
      </c>
      <c r="G572" s="255" t="s">
        <v>3254</v>
      </c>
      <c r="H572" s="250" t="s">
        <v>128</v>
      </c>
      <c r="I572" s="250" t="s">
        <v>3255</v>
      </c>
      <c r="J572" s="250" t="s">
        <v>3256</v>
      </c>
      <c r="K572" s="255" t="s">
        <v>1015</v>
      </c>
      <c r="L572" s="250" t="s">
        <v>1016</v>
      </c>
      <c r="M572" s="255">
        <v>487</v>
      </c>
      <c r="N572" s="278">
        <v>44229</v>
      </c>
      <c r="O572" s="329" t="s">
        <v>67</v>
      </c>
      <c r="P572" s="386">
        <f t="shared" ref="P572:Q572" si="569">IF(B572=0,0,IF(YEAR(B572)=$Q$1,MONTH(B572)-$P$1+1,(YEAR(B572)-$Q$1)*12-$P$1+1+MONTH(B572)))</f>
        <v>2</v>
      </c>
      <c r="Q572" s="330">
        <f t="shared" si="569"/>
        <v>-1</v>
      </c>
      <c r="R572" s="351" t="str">
        <f t="shared" si="3"/>
        <v>Gastos_Gerais</v>
      </c>
      <c r="S572" s="351" t="str">
        <f>IF(D572="","",IF(OR(D572=Plano!$A$1,D572=Plano!$B$1),"entrada","saída"))</f>
        <v>saída</v>
      </c>
      <c r="T572" s="334" t="s">
        <v>994</v>
      </c>
      <c r="U572" s="334">
        <v>943</v>
      </c>
      <c r="V572" s="269"/>
      <c r="W572" s="269"/>
    </row>
    <row r="573" spans="1:23" ht="69.75" customHeight="1" x14ac:dyDescent="0.2">
      <c r="A573" s="277">
        <f t="shared" si="0"/>
        <v>569</v>
      </c>
      <c r="B573" s="278">
        <v>44230</v>
      </c>
      <c r="C573" s="249">
        <v>44197</v>
      </c>
      <c r="D573" s="250" t="s">
        <v>99</v>
      </c>
      <c r="E573" s="250" t="s">
        <v>364</v>
      </c>
      <c r="F573" s="251">
        <v>4891.5</v>
      </c>
      <c r="G573" s="255" t="s">
        <v>3257</v>
      </c>
      <c r="H573" s="250" t="s">
        <v>132</v>
      </c>
      <c r="I573" s="250" t="s">
        <v>1557</v>
      </c>
      <c r="J573" s="250" t="s">
        <v>1558</v>
      </c>
      <c r="K573" s="255" t="s">
        <v>991</v>
      </c>
      <c r="L573" s="250" t="s">
        <v>1016</v>
      </c>
      <c r="M573" s="255" t="s">
        <v>1443</v>
      </c>
      <c r="N573" s="278">
        <v>44229</v>
      </c>
      <c r="O573" s="329" t="s">
        <v>67</v>
      </c>
      <c r="P573" s="386">
        <f t="shared" ref="P573:Q573" si="570">IF(B573=0,0,IF(YEAR(B573)=$Q$1,MONTH(B573)-$P$1+1,(YEAR(B573)-$Q$1)*12-$P$1+1+MONTH(B573)))</f>
        <v>2</v>
      </c>
      <c r="Q573" s="330">
        <f t="shared" si="570"/>
        <v>1</v>
      </c>
      <c r="R573" s="351" t="str">
        <f t="shared" si="3"/>
        <v>Gastos_Gerais</v>
      </c>
      <c r="S573" s="351" t="str">
        <f>IF(D573="","",IF(OR(D573=Plano!$A$1,D573=Plano!$B$1),"entrada","saída"))</f>
        <v>saída</v>
      </c>
      <c r="T573" s="334" t="s">
        <v>994</v>
      </c>
      <c r="U573" s="334">
        <v>942</v>
      </c>
      <c r="V573" s="269"/>
      <c r="W573" s="269"/>
    </row>
    <row r="574" spans="1:23" ht="122.25" customHeight="1" x14ac:dyDescent="0.2">
      <c r="A574" s="277">
        <f t="shared" si="0"/>
        <v>570</v>
      </c>
      <c r="B574" s="278">
        <v>44230</v>
      </c>
      <c r="C574" s="249">
        <v>44197</v>
      </c>
      <c r="D574" s="250" t="s">
        <v>99</v>
      </c>
      <c r="E574" s="250" t="s">
        <v>262</v>
      </c>
      <c r="F574" s="251">
        <v>3762.82</v>
      </c>
      <c r="G574" s="255" t="s">
        <v>499</v>
      </c>
      <c r="H574" s="250" t="s">
        <v>115</v>
      </c>
      <c r="I574" s="250" t="s">
        <v>3258</v>
      </c>
      <c r="J574" s="250" t="s">
        <v>500</v>
      </c>
      <c r="K574" s="255" t="s">
        <v>991</v>
      </c>
      <c r="L574" s="250" t="s">
        <v>1016</v>
      </c>
      <c r="M574" s="255" t="s">
        <v>1017</v>
      </c>
      <c r="N574" s="278">
        <v>44230</v>
      </c>
      <c r="O574" s="329" t="s">
        <v>67</v>
      </c>
      <c r="P574" s="386">
        <f t="shared" ref="P574:Q574" si="571">IF(B574=0,0,IF(YEAR(B574)=$Q$1,MONTH(B574)-$P$1+1,(YEAR(B574)-$Q$1)*12-$P$1+1+MONTH(B574)))</f>
        <v>2</v>
      </c>
      <c r="Q574" s="330">
        <f t="shared" si="571"/>
        <v>1</v>
      </c>
      <c r="R574" s="351" t="str">
        <f t="shared" si="3"/>
        <v>Gastos_Gerais</v>
      </c>
      <c r="S574" s="351" t="str">
        <f>IF(D574="","",IF(OR(D574=Plano!$A$1,D574=Plano!$B$1),"entrada","saída"))</f>
        <v>saída</v>
      </c>
      <c r="T574" s="334" t="s">
        <v>1059</v>
      </c>
      <c r="U574" s="334">
        <v>1137</v>
      </c>
      <c r="V574" s="269"/>
      <c r="W574" s="269"/>
    </row>
    <row r="575" spans="1:23" ht="163.5" customHeight="1" x14ac:dyDescent="0.2">
      <c r="A575" s="277">
        <f t="shared" si="0"/>
        <v>571</v>
      </c>
      <c r="B575" s="278">
        <v>44230</v>
      </c>
      <c r="C575" s="249">
        <v>44197</v>
      </c>
      <c r="D575" s="250" t="s">
        <v>99</v>
      </c>
      <c r="E575" s="250" t="s">
        <v>364</v>
      </c>
      <c r="F575" s="251">
        <v>14698.5</v>
      </c>
      <c r="G575" s="255" t="s">
        <v>3259</v>
      </c>
      <c r="H575" s="250" t="s">
        <v>132</v>
      </c>
      <c r="I575" s="250" t="s">
        <v>1602</v>
      </c>
      <c r="J575" s="250" t="s">
        <v>1393</v>
      </c>
      <c r="K575" s="255" t="s">
        <v>991</v>
      </c>
      <c r="L575" s="250" t="s">
        <v>1016</v>
      </c>
      <c r="M575" s="255" t="s">
        <v>1299</v>
      </c>
      <c r="N575" s="278">
        <v>44229</v>
      </c>
      <c r="O575" s="329" t="s">
        <v>67</v>
      </c>
      <c r="P575" s="386">
        <f t="shared" ref="P575:Q575" si="572">IF(B575=0,0,IF(YEAR(B575)=$Q$1,MONTH(B575)-$P$1+1,(YEAR(B575)-$Q$1)*12-$P$1+1+MONTH(B575)))</f>
        <v>2</v>
      </c>
      <c r="Q575" s="330">
        <f t="shared" si="572"/>
        <v>1</v>
      </c>
      <c r="R575" s="351" t="str">
        <f t="shared" si="3"/>
        <v>Gastos_Gerais</v>
      </c>
      <c r="S575" s="351" t="str">
        <f>IF(D575="","",IF(OR(D575=Plano!$A$1,D575=Plano!$B$1),"entrada","saída"))</f>
        <v>saída</v>
      </c>
      <c r="T575" s="334" t="s">
        <v>994</v>
      </c>
      <c r="U575" s="334">
        <v>891</v>
      </c>
      <c r="V575" s="269"/>
      <c r="W575" s="269"/>
    </row>
    <row r="576" spans="1:23" ht="121.5" customHeight="1" x14ac:dyDescent="0.2">
      <c r="A576" s="277">
        <f t="shared" si="0"/>
        <v>572</v>
      </c>
      <c r="B576" s="278">
        <v>44230</v>
      </c>
      <c r="C576" s="249">
        <v>44197</v>
      </c>
      <c r="D576" s="250" t="s">
        <v>99</v>
      </c>
      <c r="E576" s="250" t="s">
        <v>262</v>
      </c>
      <c r="F576" s="251">
        <v>2000</v>
      </c>
      <c r="G576" s="255" t="s">
        <v>510</v>
      </c>
      <c r="H576" s="250" t="s">
        <v>115</v>
      </c>
      <c r="I576" s="250" t="s">
        <v>3260</v>
      </c>
      <c r="J576" s="250" t="s">
        <v>512</v>
      </c>
      <c r="K576" s="255" t="s">
        <v>991</v>
      </c>
      <c r="L576" s="250" t="s">
        <v>1016</v>
      </c>
      <c r="M576" s="255" t="s">
        <v>1305</v>
      </c>
      <c r="N576" s="278">
        <v>44229</v>
      </c>
      <c r="O576" s="329" t="s">
        <v>67</v>
      </c>
      <c r="P576" s="386">
        <f t="shared" ref="P576:Q576" si="573">IF(B576=0,0,IF(YEAR(B576)=$Q$1,MONTH(B576)-$P$1+1,(YEAR(B576)-$Q$1)*12-$P$1+1+MONTH(B576)))</f>
        <v>2</v>
      </c>
      <c r="Q576" s="330">
        <f t="shared" si="573"/>
        <v>1</v>
      </c>
      <c r="R576" s="351" t="str">
        <f t="shared" si="3"/>
        <v>Gastos_Gerais</v>
      </c>
      <c r="S576" s="351" t="str">
        <f>IF(D576="","",IF(OR(D576=Plano!$A$1,D576=Plano!$B$1),"entrada","saída"))</f>
        <v>saída</v>
      </c>
      <c r="T576" s="334" t="s">
        <v>1082</v>
      </c>
      <c r="U576" s="334">
        <v>1235</v>
      </c>
      <c r="V576" s="269"/>
      <c r="W576" s="269"/>
    </row>
    <row r="577" spans="1:23" ht="173.25" customHeight="1" x14ac:dyDescent="0.2">
      <c r="A577" s="277">
        <f t="shared" si="0"/>
        <v>573</v>
      </c>
      <c r="B577" s="278">
        <v>44230</v>
      </c>
      <c r="C577" s="249">
        <v>44197</v>
      </c>
      <c r="D577" s="250" t="s">
        <v>99</v>
      </c>
      <c r="E577" s="250" t="s">
        <v>262</v>
      </c>
      <c r="F577" s="251">
        <v>1763.82</v>
      </c>
      <c r="G577" s="255" t="s">
        <v>3261</v>
      </c>
      <c r="H577" s="250" t="s">
        <v>115</v>
      </c>
      <c r="I577" s="250" t="s">
        <v>1717</v>
      </c>
      <c r="J577" s="250" t="s">
        <v>623</v>
      </c>
      <c r="K577" s="255" t="s">
        <v>991</v>
      </c>
      <c r="L577" s="250" t="s">
        <v>1016</v>
      </c>
      <c r="M577" s="255" t="s">
        <v>1049</v>
      </c>
      <c r="N577" s="278">
        <v>44229</v>
      </c>
      <c r="O577" s="329" t="s">
        <v>67</v>
      </c>
      <c r="P577" s="386">
        <f t="shared" ref="P577:Q577" si="574">IF(B577=0,0,IF(YEAR(B577)=$Q$1,MONTH(B577)-$P$1+1,(YEAR(B577)-$Q$1)*12-$P$1+1+MONTH(B577)))</f>
        <v>2</v>
      </c>
      <c r="Q577" s="330">
        <f t="shared" si="574"/>
        <v>1</v>
      </c>
      <c r="R577" s="351" t="str">
        <f t="shared" si="3"/>
        <v>Gastos_Gerais</v>
      </c>
      <c r="S577" s="351" t="str">
        <f>IF(D577="","",IF(OR(D577=Plano!$A$1,D577=Plano!$B$1),"entrada","saída"))</f>
        <v>saída</v>
      </c>
      <c r="T577" s="334" t="s">
        <v>1059</v>
      </c>
      <c r="U577" s="334">
        <v>1191</v>
      </c>
      <c r="V577" s="269"/>
      <c r="W577" s="269"/>
    </row>
    <row r="578" spans="1:23" ht="132.75" customHeight="1" x14ac:dyDescent="0.2">
      <c r="A578" s="277">
        <f t="shared" si="0"/>
        <v>574</v>
      </c>
      <c r="B578" s="278">
        <v>44230</v>
      </c>
      <c r="C578" s="249">
        <v>44197</v>
      </c>
      <c r="D578" s="250" t="s">
        <v>99</v>
      </c>
      <c r="E578" s="250" t="s">
        <v>262</v>
      </c>
      <c r="F578" s="251">
        <v>6467.34</v>
      </c>
      <c r="G578" s="255" t="s">
        <v>621</v>
      </c>
      <c r="H578" s="250" t="s">
        <v>115</v>
      </c>
      <c r="I578" s="250" t="s">
        <v>1078</v>
      </c>
      <c r="J578" s="250" t="s">
        <v>623</v>
      </c>
      <c r="K578" s="255" t="s">
        <v>991</v>
      </c>
      <c r="L578" s="250" t="s">
        <v>1016</v>
      </c>
      <c r="M578" s="255" t="s">
        <v>1211</v>
      </c>
      <c r="N578" s="278">
        <v>44229</v>
      </c>
      <c r="O578" s="329" t="s">
        <v>67</v>
      </c>
      <c r="P578" s="386">
        <f t="shared" ref="P578:Q578" si="575">IF(B578=0,0,IF(YEAR(B578)=$Q$1,MONTH(B578)-$P$1+1,(YEAR(B578)-$Q$1)*12-$P$1+1+MONTH(B578)))</f>
        <v>2</v>
      </c>
      <c r="Q578" s="330">
        <f t="shared" si="575"/>
        <v>1</v>
      </c>
      <c r="R578" s="351" t="str">
        <f t="shared" si="3"/>
        <v>Gastos_Gerais</v>
      </c>
      <c r="S578" s="351" t="str">
        <f>IF(D578="","",IF(OR(D578=Plano!$A$1,D578=Plano!$B$1),"entrada","saída"))</f>
        <v>saída</v>
      </c>
      <c r="T578" s="334" t="s">
        <v>1059</v>
      </c>
      <c r="U578" s="334">
        <v>1134</v>
      </c>
      <c r="V578" s="269"/>
      <c r="W578" s="269"/>
    </row>
    <row r="579" spans="1:23" ht="69.75" customHeight="1" x14ac:dyDescent="0.2">
      <c r="A579" s="277">
        <f t="shared" si="0"/>
        <v>575</v>
      </c>
      <c r="B579" s="278">
        <v>44230</v>
      </c>
      <c r="C579" s="249">
        <v>44197</v>
      </c>
      <c r="D579" s="250" t="s">
        <v>99</v>
      </c>
      <c r="E579" s="250" t="s">
        <v>290</v>
      </c>
      <c r="F579" s="251">
        <v>132.13</v>
      </c>
      <c r="G579" s="255" t="s">
        <v>3262</v>
      </c>
      <c r="H579" s="250" t="s">
        <v>115</v>
      </c>
      <c r="I579" s="250" t="s">
        <v>1705</v>
      </c>
      <c r="J579" s="250" t="s">
        <v>924</v>
      </c>
      <c r="K579" s="255" t="s">
        <v>991</v>
      </c>
      <c r="L579" s="250" t="s">
        <v>1016</v>
      </c>
      <c r="M579" s="255" t="s">
        <v>1688</v>
      </c>
      <c r="N579" s="278">
        <v>44229</v>
      </c>
      <c r="O579" s="329" t="s">
        <v>67</v>
      </c>
      <c r="P579" s="386">
        <f t="shared" ref="P579:Q579" si="576">IF(B579=0,0,IF(YEAR(B579)=$Q$1,MONTH(B579)-$P$1+1,(YEAR(B579)-$Q$1)*12-$P$1+1+MONTH(B579)))</f>
        <v>2</v>
      </c>
      <c r="Q579" s="330">
        <f t="shared" si="576"/>
        <v>1</v>
      </c>
      <c r="R579" s="351" t="str">
        <f t="shared" si="3"/>
        <v>Gastos_Gerais</v>
      </c>
      <c r="S579" s="351" t="str">
        <f>IF(D579="","",IF(OR(D579=Plano!$A$1,D579=Plano!$B$1),"entrada","saída"))</f>
        <v>saída</v>
      </c>
      <c r="T579" s="334" t="s">
        <v>994</v>
      </c>
      <c r="U579" s="334">
        <v>1315</v>
      </c>
      <c r="V579" s="269"/>
      <c r="W579" s="269"/>
    </row>
    <row r="580" spans="1:23" ht="285" customHeight="1" x14ac:dyDescent="0.2">
      <c r="A580" s="277">
        <f t="shared" si="0"/>
        <v>576</v>
      </c>
      <c r="B580" s="278">
        <v>44230</v>
      </c>
      <c r="C580" s="249">
        <v>44166</v>
      </c>
      <c r="D580" s="250" t="s">
        <v>99</v>
      </c>
      <c r="E580" s="250" t="s">
        <v>364</v>
      </c>
      <c r="F580" s="251">
        <v>8315.5499999999993</v>
      </c>
      <c r="G580" s="255" t="s">
        <v>3263</v>
      </c>
      <c r="H580" s="250" t="s">
        <v>132</v>
      </c>
      <c r="I580" s="250" t="s">
        <v>3264</v>
      </c>
      <c r="J580" s="250" t="s">
        <v>1558</v>
      </c>
      <c r="K580" s="255" t="s">
        <v>991</v>
      </c>
      <c r="L580" s="250" t="s">
        <v>1016</v>
      </c>
      <c r="M580" s="255" t="s">
        <v>1148</v>
      </c>
      <c r="N580" s="278">
        <v>44229</v>
      </c>
      <c r="O580" s="329" t="s">
        <v>67</v>
      </c>
      <c r="P580" s="386">
        <f t="shared" ref="P580:Q580" si="577">IF(B580=0,0,IF(YEAR(B580)=$Q$1,MONTH(B580)-$P$1+1,(YEAR(B580)-$Q$1)*12-$P$1+1+MONTH(B580)))</f>
        <v>2</v>
      </c>
      <c r="Q580" s="330">
        <f t="shared" si="577"/>
        <v>0</v>
      </c>
      <c r="R580" s="351" t="str">
        <f t="shared" si="3"/>
        <v>Gastos_Gerais</v>
      </c>
      <c r="S580" s="351" t="str">
        <f>IF(D580="","",IF(OR(D580=Plano!$A$1,D580=Plano!$B$1),"entrada","saída"))</f>
        <v>saída</v>
      </c>
      <c r="T580" s="334" t="s">
        <v>994</v>
      </c>
      <c r="U580" s="334">
        <v>896</v>
      </c>
      <c r="V580" s="269"/>
      <c r="W580" s="269"/>
    </row>
    <row r="581" spans="1:23" ht="69.75" customHeight="1" x14ac:dyDescent="0.2">
      <c r="A581" s="277">
        <f t="shared" si="0"/>
        <v>577</v>
      </c>
      <c r="B581" s="278">
        <v>44230</v>
      </c>
      <c r="C581" s="249">
        <v>44197</v>
      </c>
      <c r="D581" s="250" t="s">
        <v>99</v>
      </c>
      <c r="E581" s="250" t="s">
        <v>364</v>
      </c>
      <c r="F581" s="251">
        <v>4891.5</v>
      </c>
      <c r="G581" s="255" t="s">
        <v>3265</v>
      </c>
      <c r="H581" s="250" t="s">
        <v>132</v>
      </c>
      <c r="I581" s="250" t="s">
        <v>1557</v>
      </c>
      <c r="J581" s="250" t="s">
        <v>1558</v>
      </c>
      <c r="K581" s="255" t="s">
        <v>991</v>
      </c>
      <c r="L581" s="250" t="s">
        <v>1016</v>
      </c>
      <c r="M581" s="255" t="s">
        <v>1540</v>
      </c>
      <c r="N581" s="278">
        <v>44229</v>
      </c>
      <c r="O581" s="329" t="s">
        <v>67</v>
      </c>
      <c r="P581" s="386">
        <f t="shared" ref="P581:Q581" si="578">IF(B581=0,0,IF(YEAR(B581)=$Q$1,MONTH(B581)-$P$1+1,(YEAR(B581)-$Q$1)*12-$P$1+1+MONTH(B581)))</f>
        <v>2</v>
      </c>
      <c r="Q581" s="330">
        <f t="shared" si="578"/>
        <v>1</v>
      </c>
      <c r="R581" s="351" t="str">
        <f t="shared" si="3"/>
        <v>Gastos_Gerais</v>
      </c>
      <c r="S581" s="351" t="str">
        <f>IF(D581="","",IF(OR(D581=Plano!$A$1,D581=Plano!$B$1),"entrada","saída"))</f>
        <v>saída</v>
      </c>
      <c r="T581" s="334" t="s">
        <v>994</v>
      </c>
      <c r="U581" s="334">
        <v>1283</v>
      </c>
      <c r="V581" s="269"/>
      <c r="W581" s="269"/>
    </row>
    <row r="582" spans="1:23" ht="69.75" customHeight="1" x14ac:dyDescent="0.2">
      <c r="A582" s="277">
        <f t="shared" si="0"/>
        <v>578</v>
      </c>
      <c r="B582" s="278">
        <v>44230</v>
      </c>
      <c r="C582" s="249">
        <v>44228</v>
      </c>
      <c r="D582" s="255" t="s">
        <v>99</v>
      </c>
      <c r="E582" s="255" t="s">
        <v>272</v>
      </c>
      <c r="F582" s="258">
        <v>10.45</v>
      </c>
      <c r="G582" s="255" t="s">
        <v>3266</v>
      </c>
      <c r="H582" s="250" t="s">
        <v>115</v>
      </c>
      <c r="I582" s="250" t="s">
        <v>949</v>
      </c>
      <c r="J582" s="255" t="s">
        <v>950</v>
      </c>
      <c r="K582" s="255" t="s">
        <v>951</v>
      </c>
      <c r="L582" s="250" t="s">
        <v>947</v>
      </c>
      <c r="M582" s="279" t="s">
        <v>114</v>
      </c>
      <c r="N582" s="278">
        <v>44230</v>
      </c>
      <c r="O582" s="329" t="s">
        <v>67</v>
      </c>
      <c r="P582" s="386">
        <f t="shared" ref="P582:Q582" si="579">IF(B582=0,0,IF(YEAR(B582)=$Q$1,MONTH(B582)-$P$1+1,(YEAR(B582)-$Q$1)*12-$P$1+1+MONTH(B582)))</f>
        <v>2</v>
      </c>
      <c r="Q582" s="330">
        <f t="shared" si="579"/>
        <v>2</v>
      </c>
      <c r="R582" s="351" t="str">
        <f t="shared" si="3"/>
        <v>Gastos_Gerais</v>
      </c>
      <c r="S582" s="351" t="str">
        <f>IF(D582="","",IF(OR(D582=Plano!$A$1,D582=Plano!$B$1),"entrada","saída"))</f>
        <v>saída</v>
      </c>
      <c r="T582" s="334" t="s">
        <v>114</v>
      </c>
      <c r="U582" s="334" t="s">
        <v>114</v>
      </c>
      <c r="V582" s="269"/>
      <c r="W582" s="269"/>
    </row>
    <row r="583" spans="1:23" ht="69.75" customHeight="1" x14ac:dyDescent="0.2">
      <c r="A583" s="277">
        <f t="shared" si="0"/>
        <v>579</v>
      </c>
      <c r="B583" s="278">
        <v>44230</v>
      </c>
      <c r="C583" s="249">
        <v>44228</v>
      </c>
      <c r="D583" s="255" t="s">
        <v>99</v>
      </c>
      <c r="E583" s="255" t="s">
        <v>272</v>
      </c>
      <c r="F583" s="258">
        <v>10.45</v>
      </c>
      <c r="G583" s="255" t="s">
        <v>3267</v>
      </c>
      <c r="H583" s="250" t="s">
        <v>115</v>
      </c>
      <c r="I583" s="250" t="s">
        <v>949</v>
      </c>
      <c r="J583" s="255" t="s">
        <v>950</v>
      </c>
      <c r="K583" s="255" t="s">
        <v>951</v>
      </c>
      <c r="L583" s="250" t="s">
        <v>947</v>
      </c>
      <c r="M583" s="279" t="s">
        <v>114</v>
      </c>
      <c r="N583" s="278">
        <v>44230</v>
      </c>
      <c r="O583" s="329" t="s">
        <v>67</v>
      </c>
      <c r="P583" s="386">
        <f t="shared" ref="P583:Q583" si="580">IF(B583=0,0,IF(YEAR(B583)=$Q$1,MONTH(B583)-$P$1+1,(YEAR(B583)-$Q$1)*12-$P$1+1+MONTH(B583)))</f>
        <v>2</v>
      </c>
      <c r="Q583" s="330">
        <f t="shared" si="580"/>
        <v>2</v>
      </c>
      <c r="R583" s="351" t="str">
        <f t="shared" si="3"/>
        <v>Gastos_Gerais</v>
      </c>
      <c r="S583" s="351" t="str">
        <f>IF(D583="","",IF(OR(D583=Plano!$A$1,D583=Plano!$B$1),"entrada","saída"))</f>
        <v>saída</v>
      </c>
      <c r="T583" s="334" t="s">
        <v>114</v>
      </c>
      <c r="U583" s="334" t="s">
        <v>114</v>
      </c>
      <c r="V583" s="269"/>
      <c r="W583" s="269"/>
    </row>
    <row r="584" spans="1:23" ht="69.75" customHeight="1" x14ac:dyDescent="0.2">
      <c r="A584" s="277">
        <f t="shared" si="0"/>
        <v>580</v>
      </c>
      <c r="B584" s="278">
        <v>44230</v>
      </c>
      <c r="C584" s="249">
        <v>44228</v>
      </c>
      <c r="D584" s="255" t="s">
        <v>99</v>
      </c>
      <c r="E584" s="255" t="s">
        <v>272</v>
      </c>
      <c r="F584" s="258">
        <v>10.45</v>
      </c>
      <c r="G584" s="255" t="s">
        <v>3268</v>
      </c>
      <c r="H584" s="250" t="s">
        <v>132</v>
      </c>
      <c r="I584" s="250" t="s">
        <v>949</v>
      </c>
      <c r="J584" s="255" t="s">
        <v>950</v>
      </c>
      <c r="K584" s="255" t="s">
        <v>951</v>
      </c>
      <c r="L584" s="250" t="s">
        <v>947</v>
      </c>
      <c r="M584" s="279" t="s">
        <v>114</v>
      </c>
      <c r="N584" s="278">
        <v>44230</v>
      </c>
      <c r="O584" s="329" t="s">
        <v>67</v>
      </c>
      <c r="P584" s="386">
        <f t="shared" ref="P584:Q584" si="581">IF(B584=0,0,IF(YEAR(B584)=$Q$1,MONTH(B584)-$P$1+1,(YEAR(B584)-$Q$1)*12-$P$1+1+MONTH(B584)))</f>
        <v>2</v>
      </c>
      <c r="Q584" s="330">
        <f t="shared" si="581"/>
        <v>2</v>
      </c>
      <c r="R584" s="351" t="str">
        <f t="shared" si="3"/>
        <v>Gastos_Gerais</v>
      </c>
      <c r="S584" s="351" t="str">
        <f>IF(D584="","",IF(OR(D584=Plano!$A$1,D584=Plano!$B$1),"entrada","saída"))</f>
        <v>saída</v>
      </c>
      <c r="T584" s="334" t="s">
        <v>114</v>
      </c>
      <c r="U584" s="334" t="s">
        <v>114</v>
      </c>
      <c r="V584" s="269"/>
      <c r="W584" s="269"/>
    </row>
    <row r="585" spans="1:23" ht="69.75" customHeight="1" x14ac:dyDescent="0.2">
      <c r="A585" s="277">
        <f t="shared" si="0"/>
        <v>581</v>
      </c>
      <c r="B585" s="278">
        <v>44230</v>
      </c>
      <c r="C585" s="249">
        <v>44228</v>
      </c>
      <c r="D585" s="255" t="s">
        <v>99</v>
      </c>
      <c r="E585" s="255" t="s">
        <v>272</v>
      </c>
      <c r="F585" s="258">
        <v>10.45</v>
      </c>
      <c r="G585" s="255" t="s">
        <v>3269</v>
      </c>
      <c r="H585" s="250" t="s">
        <v>115</v>
      </c>
      <c r="I585" s="250" t="s">
        <v>949</v>
      </c>
      <c r="J585" s="255" t="s">
        <v>950</v>
      </c>
      <c r="K585" s="255" t="s">
        <v>951</v>
      </c>
      <c r="L585" s="250" t="s">
        <v>947</v>
      </c>
      <c r="M585" s="279" t="s">
        <v>114</v>
      </c>
      <c r="N585" s="278">
        <v>44230</v>
      </c>
      <c r="O585" s="329" t="s">
        <v>67</v>
      </c>
      <c r="P585" s="386">
        <f t="shared" ref="P585:Q585" si="582">IF(B585=0,0,IF(YEAR(B585)=$Q$1,MONTH(B585)-$P$1+1,(YEAR(B585)-$Q$1)*12-$P$1+1+MONTH(B585)))</f>
        <v>2</v>
      </c>
      <c r="Q585" s="330">
        <f t="shared" si="582"/>
        <v>2</v>
      </c>
      <c r="R585" s="351" t="str">
        <f t="shared" si="3"/>
        <v>Gastos_Gerais</v>
      </c>
      <c r="S585" s="351" t="str">
        <f>IF(D585="","",IF(OR(D585=Plano!$A$1,D585=Plano!$B$1),"entrada","saída"))</f>
        <v>saída</v>
      </c>
      <c r="T585" s="334" t="s">
        <v>114</v>
      </c>
      <c r="U585" s="334" t="s">
        <v>114</v>
      </c>
      <c r="V585" s="269"/>
      <c r="W585" s="269"/>
    </row>
    <row r="586" spans="1:23" ht="69.75" customHeight="1" x14ac:dyDescent="0.2">
      <c r="A586" s="277">
        <f t="shared" si="0"/>
        <v>582</v>
      </c>
      <c r="B586" s="278">
        <v>44230</v>
      </c>
      <c r="C586" s="249">
        <v>44228</v>
      </c>
      <c r="D586" s="255" t="s">
        <v>99</v>
      </c>
      <c r="E586" s="255" t="s">
        <v>272</v>
      </c>
      <c r="F586" s="258">
        <v>10.45</v>
      </c>
      <c r="G586" s="255" t="s">
        <v>3270</v>
      </c>
      <c r="H586" s="250" t="s">
        <v>132</v>
      </c>
      <c r="I586" s="250" t="s">
        <v>949</v>
      </c>
      <c r="J586" s="255" t="s">
        <v>950</v>
      </c>
      <c r="K586" s="255" t="s">
        <v>951</v>
      </c>
      <c r="L586" s="250" t="s">
        <v>947</v>
      </c>
      <c r="M586" s="279" t="s">
        <v>114</v>
      </c>
      <c r="N586" s="278">
        <v>44230</v>
      </c>
      <c r="O586" s="329" t="s">
        <v>67</v>
      </c>
      <c r="P586" s="386">
        <f t="shared" ref="P586:Q586" si="583">IF(B586=0,0,IF(YEAR(B586)=$Q$1,MONTH(B586)-$P$1+1,(YEAR(B586)-$Q$1)*12-$P$1+1+MONTH(B586)))</f>
        <v>2</v>
      </c>
      <c r="Q586" s="330">
        <f t="shared" si="583"/>
        <v>2</v>
      </c>
      <c r="R586" s="351" t="str">
        <f t="shared" si="3"/>
        <v>Gastos_Gerais</v>
      </c>
      <c r="S586" s="351" t="str">
        <f>IF(D586="","",IF(OR(D586=Plano!$A$1,D586=Plano!$B$1),"entrada","saída"))</f>
        <v>saída</v>
      </c>
      <c r="T586" s="334" t="s">
        <v>114</v>
      </c>
      <c r="U586" s="334" t="s">
        <v>114</v>
      </c>
      <c r="V586" s="269"/>
      <c r="W586" s="269"/>
    </row>
    <row r="587" spans="1:23" ht="69.75" customHeight="1" x14ac:dyDescent="0.2">
      <c r="A587" s="277">
        <f t="shared" si="0"/>
        <v>583</v>
      </c>
      <c r="B587" s="278">
        <v>44230</v>
      </c>
      <c r="C587" s="249">
        <v>44228</v>
      </c>
      <c r="D587" s="255" t="s">
        <v>99</v>
      </c>
      <c r="E587" s="255" t="s">
        <v>272</v>
      </c>
      <c r="F587" s="258">
        <v>10.45</v>
      </c>
      <c r="G587" s="255" t="s">
        <v>3271</v>
      </c>
      <c r="H587" s="250" t="s">
        <v>115</v>
      </c>
      <c r="I587" s="250" t="s">
        <v>949</v>
      </c>
      <c r="J587" s="255" t="s">
        <v>950</v>
      </c>
      <c r="K587" s="255" t="s">
        <v>951</v>
      </c>
      <c r="L587" s="250" t="s">
        <v>947</v>
      </c>
      <c r="M587" s="279" t="s">
        <v>114</v>
      </c>
      <c r="N587" s="278">
        <v>44230</v>
      </c>
      <c r="O587" s="329" t="s">
        <v>67</v>
      </c>
      <c r="P587" s="386">
        <f t="shared" ref="P587:Q587" si="584">IF(B587=0,0,IF(YEAR(B587)=$Q$1,MONTH(B587)-$P$1+1,(YEAR(B587)-$Q$1)*12-$P$1+1+MONTH(B587)))</f>
        <v>2</v>
      </c>
      <c r="Q587" s="330">
        <f t="shared" si="584"/>
        <v>2</v>
      </c>
      <c r="R587" s="351" t="str">
        <f t="shared" si="3"/>
        <v>Gastos_Gerais</v>
      </c>
      <c r="S587" s="351" t="str">
        <f>IF(D587="","",IF(OR(D587=Plano!$A$1,D587=Plano!$B$1),"entrada","saída"))</f>
        <v>saída</v>
      </c>
      <c r="T587" s="334" t="s">
        <v>114</v>
      </c>
      <c r="U587" s="334" t="s">
        <v>114</v>
      </c>
      <c r="V587" s="269"/>
      <c r="W587" s="269"/>
    </row>
    <row r="588" spans="1:23" ht="69.75" customHeight="1" x14ac:dyDescent="0.2">
      <c r="A588" s="277">
        <f t="shared" si="0"/>
        <v>584</v>
      </c>
      <c r="B588" s="278">
        <v>44230</v>
      </c>
      <c r="C588" s="249">
        <v>44228</v>
      </c>
      <c r="D588" s="255" t="s">
        <v>99</v>
      </c>
      <c r="E588" s="255" t="s">
        <v>272</v>
      </c>
      <c r="F588" s="258">
        <v>10.45</v>
      </c>
      <c r="G588" s="255" t="s">
        <v>3272</v>
      </c>
      <c r="H588" s="250" t="s">
        <v>115</v>
      </c>
      <c r="I588" s="250" t="s">
        <v>949</v>
      </c>
      <c r="J588" s="255" t="s">
        <v>950</v>
      </c>
      <c r="K588" s="255" t="s">
        <v>951</v>
      </c>
      <c r="L588" s="250" t="s">
        <v>947</v>
      </c>
      <c r="M588" s="279" t="s">
        <v>114</v>
      </c>
      <c r="N588" s="278">
        <v>44230</v>
      </c>
      <c r="O588" s="329" t="s">
        <v>67</v>
      </c>
      <c r="P588" s="386">
        <f t="shared" ref="P588:Q588" si="585">IF(B588=0,0,IF(YEAR(B588)=$Q$1,MONTH(B588)-$P$1+1,(YEAR(B588)-$Q$1)*12-$P$1+1+MONTH(B588)))</f>
        <v>2</v>
      </c>
      <c r="Q588" s="330">
        <f t="shared" si="585"/>
        <v>2</v>
      </c>
      <c r="R588" s="351" t="str">
        <f t="shared" si="3"/>
        <v>Gastos_Gerais</v>
      </c>
      <c r="S588" s="351" t="str">
        <f>IF(D588="","",IF(OR(D588=Plano!$A$1,D588=Plano!$B$1),"entrada","saída"))</f>
        <v>saída</v>
      </c>
      <c r="T588" s="334" t="s">
        <v>114</v>
      </c>
      <c r="U588" s="334" t="s">
        <v>114</v>
      </c>
      <c r="V588" s="269"/>
      <c r="W588" s="269"/>
    </row>
    <row r="589" spans="1:23" ht="208.5" customHeight="1" x14ac:dyDescent="0.2">
      <c r="A589" s="277">
        <f t="shared" si="0"/>
        <v>585</v>
      </c>
      <c r="B589" s="278">
        <v>44231</v>
      </c>
      <c r="C589" s="249">
        <v>44228</v>
      </c>
      <c r="D589" s="250" t="s">
        <v>99</v>
      </c>
      <c r="E589" s="250" t="s">
        <v>262</v>
      </c>
      <c r="F589" s="251">
        <v>3920</v>
      </c>
      <c r="G589" s="255" t="s">
        <v>468</v>
      </c>
      <c r="H589" s="250" t="s">
        <v>124</v>
      </c>
      <c r="I589" s="250" t="s">
        <v>2647</v>
      </c>
      <c r="J589" s="250" t="s">
        <v>470</v>
      </c>
      <c r="K589" s="255" t="s">
        <v>991</v>
      </c>
      <c r="L589" s="250" t="s">
        <v>3273</v>
      </c>
      <c r="M589" s="255" t="s">
        <v>1148</v>
      </c>
      <c r="N589" s="278">
        <v>44231</v>
      </c>
      <c r="O589" s="329" t="s">
        <v>67</v>
      </c>
      <c r="P589" s="386">
        <f t="shared" ref="P589:Q589" si="586">IF(B589=0,0,IF(YEAR(B589)=$Q$1,MONTH(B589)-$P$1+1,(YEAR(B589)-$Q$1)*12-$P$1+1+MONTH(B589)))</f>
        <v>2</v>
      </c>
      <c r="Q589" s="330">
        <f t="shared" si="586"/>
        <v>2</v>
      </c>
      <c r="R589" s="351" t="str">
        <f t="shared" si="3"/>
        <v>Gastos_Gerais</v>
      </c>
      <c r="S589" s="351" t="str">
        <f>IF(D589="","",IF(OR(D589=Plano!$A$1,D589=Plano!$B$1),"entrada","saída"))</f>
        <v>saída</v>
      </c>
      <c r="T589" s="334" t="s">
        <v>1059</v>
      </c>
      <c r="U589" s="334">
        <v>1269</v>
      </c>
      <c r="V589" s="269"/>
      <c r="W589" s="269"/>
    </row>
    <row r="590" spans="1:23" ht="116.25" customHeight="1" x14ac:dyDescent="0.2">
      <c r="A590" s="277">
        <f t="shared" si="0"/>
        <v>586</v>
      </c>
      <c r="B590" s="278">
        <v>44231</v>
      </c>
      <c r="C590" s="249">
        <v>44228</v>
      </c>
      <c r="D590" s="250" t="s">
        <v>99</v>
      </c>
      <c r="E590" s="250" t="s">
        <v>376</v>
      </c>
      <c r="F590" s="251">
        <v>2000</v>
      </c>
      <c r="G590" s="255" t="s">
        <v>477</v>
      </c>
      <c r="H590" s="250" t="s">
        <v>124</v>
      </c>
      <c r="I590" s="250" t="s">
        <v>2639</v>
      </c>
      <c r="J590" s="250" t="s">
        <v>479</v>
      </c>
      <c r="K590" s="255" t="s">
        <v>991</v>
      </c>
      <c r="L590" s="250" t="s">
        <v>1016</v>
      </c>
      <c r="M590" s="255" t="s">
        <v>1017</v>
      </c>
      <c r="N590" s="278">
        <v>44231</v>
      </c>
      <c r="O590" s="329" t="s">
        <v>67</v>
      </c>
      <c r="P590" s="386">
        <f t="shared" ref="P590:Q590" si="587">IF(B590=0,0,IF(YEAR(B590)=$Q$1,MONTH(B590)-$P$1+1,(YEAR(B590)-$Q$1)*12-$P$1+1+MONTH(B590)))</f>
        <v>2</v>
      </c>
      <c r="Q590" s="330">
        <f t="shared" si="587"/>
        <v>2</v>
      </c>
      <c r="R590" s="351" t="str">
        <f t="shared" si="3"/>
        <v>Gastos_Gerais</v>
      </c>
      <c r="S590" s="351" t="str">
        <f>IF(D590="","",IF(OR(D590=Plano!$A$1,D590=Plano!$B$1),"entrada","saída"))</f>
        <v>saída</v>
      </c>
      <c r="T590" s="334" t="s">
        <v>1082</v>
      </c>
      <c r="U590" s="334">
        <v>1268</v>
      </c>
      <c r="V590" s="269"/>
      <c r="W590" s="269"/>
    </row>
    <row r="591" spans="1:23" ht="195.75" customHeight="1" x14ac:dyDescent="0.2">
      <c r="A591" s="277">
        <f t="shared" si="0"/>
        <v>587</v>
      </c>
      <c r="B591" s="278">
        <v>44231</v>
      </c>
      <c r="C591" s="249">
        <v>44228</v>
      </c>
      <c r="D591" s="250" t="s">
        <v>99</v>
      </c>
      <c r="E591" s="250" t="s">
        <v>372</v>
      </c>
      <c r="F591" s="251">
        <v>2500</v>
      </c>
      <c r="G591" s="255" t="s">
        <v>471</v>
      </c>
      <c r="H591" s="250" t="s">
        <v>129</v>
      </c>
      <c r="I591" s="250" t="s">
        <v>1285</v>
      </c>
      <c r="J591" s="250" t="s">
        <v>473</v>
      </c>
      <c r="K591" s="255" t="s">
        <v>991</v>
      </c>
      <c r="L591" s="250" t="s">
        <v>1016</v>
      </c>
      <c r="M591" s="255">
        <v>116</v>
      </c>
      <c r="N591" s="278">
        <v>44231</v>
      </c>
      <c r="O591" s="329" t="s">
        <v>67</v>
      </c>
      <c r="P591" s="386">
        <f t="shared" ref="P591:Q591" si="588">IF(B591=0,0,IF(YEAR(B591)=$Q$1,MONTH(B591)-$P$1+1,(YEAR(B591)-$Q$1)*12-$P$1+1+MONTH(B591)))</f>
        <v>2</v>
      </c>
      <c r="Q591" s="330">
        <f t="shared" si="588"/>
        <v>2</v>
      </c>
      <c r="R591" s="351" t="str">
        <f t="shared" si="3"/>
        <v>Gastos_Gerais</v>
      </c>
      <c r="S591" s="351" t="str">
        <f>IF(D591="","",IF(OR(D591=Plano!$A$1,D591=Plano!$B$1),"entrada","saída"))</f>
        <v>saída</v>
      </c>
      <c r="T591" s="334" t="s">
        <v>1059</v>
      </c>
      <c r="U591" s="334">
        <v>1275</v>
      </c>
      <c r="V591" s="269"/>
      <c r="W591" s="269"/>
    </row>
    <row r="592" spans="1:23" ht="69.75" customHeight="1" x14ac:dyDescent="0.2">
      <c r="A592" s="277">
        <f t="shared" si="0"/>
        <v>588</v>
      </c>
      <c r="B592" s="278">
        <v>44231</v>
      </c>
      <c r="C592" s="249">
        <v>44228</v>
      </c>
      <c r="D592" s="255" t="s">
        <v>99</v>
      </c>
      <c r="E592" s="255" t="s">
        <v>272</v>
      </c>
      <c r="F592" s="258">
        <v>10.45</v>
      </c>
      <c r="G592" s="255" t="s">
        <v>3274</v>
      </c>
      <c r="H592" s="250" t="s">
        <v>124</v>
      </c>
      <c r="I592" s="250" t="s">
        <v>949</v>
      </c>
      <c r="J592" s="255" t="s">
        <v>950</v>
      </c>
      <c r="K592" s="255" t="s">
        <v>951</v>
      </c>
      <c r="L592" s="250" t="s">
        <v>947</v>
      </c>
      <c r="M592" s="279" t="s">
        <v>114</v>
      </c>
      <c r="N592" s="278">
        <v>44231</v>
      </c>
      <c r="O592" s="329" t="s">
        <v>67</v>
      </c>
      <c r="P592" s="386">
        <f t="shared" ref="P592:Q592" si="589">IF(B592=0,0,IF(YEAR(B592)=$Q$1,MONTH(B592)-$P$1+1,(YEAR(B592)-$Q$1)*12-$P$1+1+MONTH(B592)))</f>
        <v>2</v>
      </c>
      <c r="Q592" s="330">
        <f t="shared" si="589"/>
        <v>2</v>
      </c>
      <c r="R592" s="351" t="str">
        <f t="shared" si="3"/>
        <v>Gastos_Gerais</v>
      </c>
      <c r="S592" s="351" t="str">
        <f>IF(D592="","",IF(OR(D592=Plano!$A$1,D592=Plano!$B$1),"entrada","saída"))</f>
        <v>saída</v>
      </c>
      <c r="T592" s="334" t="s">
        <v>114</v>
      </c>
      <c r="U592" s="334" t="s">
        <v>114</v>
      </c>
      <c r="V592" s="269"/>
      <c r="W592" s="269"/>
    </row>
    <row r="593" spans="1:23" ht="69.75" customHeight="1" x14ac:dyDescent="0.2">
      <c r="A593" s="277">
        <f t="shared" si="0"/>
        <v>589</v>
      </c>
      <c r="B593" s="278">
        <v>44231</v>
      </c>
      <c r="C593" s="249">
        <v>44228</v>
      </c>
      <c r="D593" s="255" t="s">
        <v>99</v>
      </c>
      <c r="E593" s="255" t="s">
        <v>272</v>
      </c>
      <c r="F593" s="258">
        <v>10.45</v>
      </c>
      <c r="G593" s="255" t="s">
        <v>3275</v>
      </c>
      <c r="H593" s="250" t="s">
        <v>124</v>
      </c>
      <c r="I593" s="250" t="s">
        <v>949</v>
      </c>
      <c r="J593" s="255" t="s">
        <v>950</v>
      </c>
      <c r="K593" s="255" t="s">
        <v>951</v>
      </c>
      <c r="L593" s="250" t="s">
        <v>947</v>
      </c>
      <c r="M593" s="279" t="s">
        <v>114</v>
      </c>
      <c r="N593" s="278">
        <v>44231</v>
      </c>
      <c r="O593" s="329" t="s">
        <v>67</v>
      </c>
      <c r="P593" s="386">
        <f t="shared" ref="P593:Q593" si="590">IF(B593=0,0,IF(YEAR(B593)=$Q$1,MONTH(B593)-$P$1+1,(YEAR(B593)-$Q$1)*12-$P$1+1+MONTH(B593)))</f>
        <v>2</v>
      </c>
      <c r="Q593" s="330">
        <f t="shared" si="590"/>
        <v>2</v>
      </c>
      <c r="R593" s="351" t="str">
        <f t="shared" si="3"/>
        <v>Gastos_Gerais</v>
      </c>
      <c r="S593" s="351" t="str">
        <f>IF(D593="","",IF(OR(D593=Plano!$A$1,D593=Plano!$B$1),"entrada","saída"))</f>
        <v>saída</v>
      </c>
      <c r="T593" s="334" t="s">
        <v>114</v>
      </c>
      <c r="U593" s="334" t="s">
        <v>114</v>
      </c>
      <c r="V593" s="269"/>
      <c r="W593" s="269"/>
    </row>
    <row r="594" spans="1:23" ht="69.75" customHeight="1" x14ac:dyDescent="0.2">
      <c r="A594" s="277">
        <f t="shared" si="0"/>
        <v>590</v>
      </c>
      <c r="B594" s="278">
        <v>44231</v>
      </c>
      <c r="C594" s="249">
        <v>44228</v>
      </c>
      <c r="D594" s="255" t="s">
        <v>99</v>
      </c>
      <c r="E594" s="255" t="s">
        <v>272</v>
      </c>
      <c r="F594" s="258">
        <v>10.45</v>
      </c>
      <c r="G594" s="255" t="s">
        <v>3276</v>
      </c>
      <c r="H594" s="250" t="s">
        <v>129</v>
      </c>
      <c r="I594" s="250" t="s">
        <v>949</v>
      </c>
      <c r="J594" s="255" t="s">
        <v>950</v>
      </c>
      <c r="K594" s="255" t="s">
        <v>951</v>
      </c>
      <c r="L594" s="250" t="s">
        <v>947</v>
      </c>
      <c r="M594" s="279" t="s">
        <v>114</v>
      </c>
      <c r="N594" s="278">
        <v>44231</v>
      </c>
      <c r="O594" s="329" t="s">
        <v>67</v>
      </c>
      <c r="P594" s="386">
        <f t="shared" ref="P594:Q594" si="591">IF(B594=0,0,IF(YEAR(B594)=$Q$1,MONTH(B594)-$P$1+1,(YEAR(B594)-$Q$1)*12-$P$1+1+MONTH(B594)))</f>
        <v>2</v>
      </c>
      <c r="Q594" s="330">
        <f t="shared" si="591"/>
        <v>2</v>
      </c>
      <c r="R594" s="351" t="str">
        <f t="shared" si="3"/>
        <v>Gastos_Gerais</v>
      </c>
      <c r="S594" s="351" t="str">
        <f>IF(D594="","",IF(OR(D594=Plano!$A$1,D594=Plano!$B$1),"entrada","saída"))</f>
        <v>saída</v>
      </c>
      <c r="T594" s="334" t="s">
        <v>114</v>
      </c>
      <c r="U594" s="334" t="s">
        <v>114</v>
      </c>
      <c r="V594" s="269"/>
      <c r="W594" s="269"/>
    </row>
    <row r="595" spans="1:23" ht="226.5" customHeight="1" x14ac:dyDescent="0.2">
      <c r="A595" s="277">
        <f t="shared" si="0"/>
        <v>591</v>
      </c>
      <c r="B595" s="278">
        <v>44231</v>
      </c>
      <c r="C595" s="249">
        <v>44197</v>
      </c>
      <c r="D595" s="250" t="s">
        <v>104</v>
      </c>
      <c r="E595" s="255" t="s">
        <v>104</v>
      </c>
      <c r="F595" s="251">
        <v>2075.92</v>
      </c>
      <c r="G595" s="255" t="s">
        <v>2479</v>
      </c>
      <c r="H595" s="250" t="s">
        <v>104</v>
      </c>
      <c r="I595" s="250" t="s">
        <v>3277</v>
      </c>
      <c r="J595" s="250" t="s">
        <v>2481</v>
      </c>
      <c r="K595" s="255" t="s">
        <v>1015</v>
      </c>
      <c r="L595" s="250" t="s">
        <v>1029</v>
      </c>
      <c r="M595" s="279">
        <v>1056</v>
      </c>
      <c r="N595" s="278">
        <v>44231</v>
      </c>
      <c r="O595" s="329" t="s">
        <v>69</v>
      </c>
      <c r="P595" s="386">
        <f t="shared" ref="P595:Q595" si="592">IF(B595=0,0,IF(YEAR(B595)=$Q$1,MONTH(B595)-$P$1+1,(YEAR(B595)-$Q$1)*12-$P$1+1+MONTH(B595)))</f>
        <v>2</v>
      </c>
      <c r="Q595" s="330">
        <f t="shared" si="592"/>
        <v>1</v>
      </c>
      <c r="R595" s="351" t="str">
        <f t="shared" si="3"/>
        <v>Gastos_custeados_por_captação</v>
      </c>
      <c r="S595" s="351" t="str">
        <f>IF(D595="","",IF(OR(D595=Plano!$A$1,D595=Plano!$B$1),"entrada","saída"))</f>
        <v>saída</v>
      </c>
      <c r="T595" s="334" t="s">
        <v>994</v>
      </c>
      <c r="U595" s="334">
        <v>645</v>
      </c>
      <c r="V595" s="269"/>
      <c r="W595" s="269"/>
    </row>
    <row r="596" spans="1:23" ht="120.75" customHeight="1" x14ac:dyDescent="0.2">
      <c r="A596" s="277">
        <f t="shared" si="0"/>
        <v>592</v>
      </c>
      <c r="B596" s="278">
        <v>44231</v>
      </c>
      <c r="C596" s="249">
        <v>44136</v>
      </c>
      <c r="D596" s="250" t="s">
        <v>104</v>
      </c>
      <c r="E596" s="255" t="s">
        <v>104</v>
      </c>
      <c r="F596" s="251">
        <v>2500</v>
      </c>
      <c r="G596" s="255" t="s">
        <v>3278</v>
      </c>
      <c r="H596" s="250" t="s">
        <v>104</v>
      </c>
      <c r="I596" s="250" t="s">
        <v>2860</v>
      </c>
      <c r="J596" s="252" t="s">
        <v>2861</v>
      </c>
      <c r="K596" s="255" t="s">
        <v>1015</v>
      </c>
      <c r="L596" s="250" t="s">
        <v>1016</v>
      </c>
      <c r="M596" s="279">
        <v>43</v>
      </c>
      <c r="N596" s="278">
        <v>44231</v>
      </c>
      <c r="O596" s="329" t="s">
        <v>68</v>
      </c>
      <c r="P596" s="386">
        <f t="shared" ref="P596:Q596" si="593">IF(B596=0,0,IF(YEAR(B596)=$Q$1,MONTH(B596)-$P$1+1,(YEAR(B596)-$Q$1)*12-$P$1+1+MONTH(B596)))</f>
        <v>2</v>
      </c>
      <c r="Q596" s="330">
        <f t="shared" si="593"/>
        <v>-1</v>
      </c>
      <c r="R596" s="351" t="str">
        <f t="shared" si="3"/>
        <v>Gastos_custeados_por_captação</v>
      </c>
      <c r="S596" s="351" t="str">
        <f>IF(D596="","",IF(OR(D596=Plano!$A$1,D596=Plano!$B$1),"entrada","saída"))</f>
        <v>saída</v>
      </c>
      <c r="T596" s="334" t="s">
        <v>994</v>
      </c>
      <c r="U596" s="334">
        <v>917</v>
      </c>
      <c r="V596" s="269"/>
      <c r="W596" s="269"/>
    </row>
    <row r="597" spans="1:23" ht="192.75" customHeight="1" x14ac:dyDescent="0.2">
      <c r="A597" s="277">
        <f t="shared" si="0"/>
        <v>593</v>
      </c>
      <c r="B597" s="278">
        <v>44231</v>
      </c>
      <c r="C597" s="249">
        <v>44044</v>
      </c>
      <c r="D597" s="250" t="s">
        <v>104</v>
      </c>
      <c r="E597" s="255" t="s">
        <v>104</v>
      </c>
      <c r="F597" s="251">
        <v>1140</v>
      </c>
      <c r="G597" s="255" t="s">
        <v>3279</v>
      </c>
      <c r="H597" s="250" t="s">
        <v>104</v>
      </c>
      <c r="I597" s="250" t="s">
        <v>3280</v>
      </c>
      <c r="J597" s="252" t="s">
        <v>569</v>
      </c>
      <c r="K597" s="255" t="s">
        <v>1015</v>
      </c>
      <c r="L597" s="250" t="s">
        <v>1016</v>
      </c>
      <c r="M597" s="255" t="s">
        <v>3281</v>
      </c>
      <c r="N597" s="278">
        <v>44180</v>
      </c>
      <c r="O597" s="329" t="s">
        <v>68</v>
      </c>
      <c r="P597" s="386">
        <f t="shared" ref="P597:Q597" si="594">IF(B597=0,0,IF(YEAR(B597)=$Q$1,MONTH(B597)-$P$1+1,(YEAR(B597)-$Q$1)*12-$P$1+1+MONTH(B597)))</f>
        <v>2</v>
      </c>
      <c r="Q597" s="330">
        <f t="shared" si="594"/>
        <v>-4</v>
      </c>
      <c r="R597" s="351" t="str">
        <f t="shared" si="3"/>
        <v>Gastos_custeados_por_captação</v>
      </c>
      <c r="S597" s="351" t="str">
        <f>IF(D597="","",IF(OR(D597=Plano!$A$1,D597=Plano!$B$1),"entrada","saída"))</f>
        <v>saída</v>
      </c>
      <c r="T597" s="334" t="s">
        <v>114</v>
      </c>
      <c r="U597" s="334" t="s">
        <v>114</v>
      </c>
      <c r="V597" s="269"/>
      <c r="W597" s="269"/>
    </row>
    <row r="598" spans="1:23" ht="69.75" customHeight="1" x14ac:dyDescent="0.2">
      <c r="A598" s="277">
        <f t="shared" si="0"/>
        <v>594</v>
      </c>
      <c r="B598" s="278">
        <v>44231</v>
      </c>
      <c r="C598" s="249">
        <v>44105</v>
      </c>
      <c r="D598" s="250" t="s">
        <v>104</v>
      </c>
      <c r="E598" s="255" t="s">
        <v>104</v>
      </c>
      <c r="F598" s="251">
        <v>3429.65</v>
      </c>
      <c r="G598" s="255" t="s">
        <v>3282</v>
      </c>
      <c r="H598" s="250" t="s">
        <v>104</v>
      </c>
      <c r="I598" s="250" t="s">
        <v>3283</v>
      </c>
      <c r="J598" s="252" t="s">
        <v>3284</v>
      </c>
      <c r="K598" s="255" t="s">
        <v>1015</v>
      </c>
      <c r="L598" s="250" t="s">
        <v>1016</v>
      </c>
      <c r="M598" s="255">
        <v>20211</v>
      </c>
      <c r="N598" s="278">
        <v>44228</v>
      </c>
      <c r="O598" s="329" t="s">
        <v>70</v>
      </c>
      <c r="P598" s="386">
        <f t="shared" ref="P598:Q598" si="595">IF(B598=0,0,IF(YEAR(B598)=$Q$1,MONTH(B598)-$P$1+1,(YEAR(B598)-$Q$1)*12-$P$1+1+MONTH(B598)))</f>
        <v>2</v>
      </c>
      <c r="Q598" s="330">
        <f t="shared" si="595"/>
        <v>-2</v>
      </c>
      <c r="R598" s="351" t="str">
        <f t="shared" si="3"/>
        <v>Gastos_custeados_por_captação</v>
      </c>
      <c r="S598" s="351" t="str">
        <f>IF(D598="","",IF(OR(D598=Plano!$A$1,D598=Plano!$B$1),"entrada","saída"))</f>
        <v>saída</v>
      </c>
      <c r="T598" s="334" t="s">
        <v>994</v>
      </c>
      <c r="U598" s="334">
        <v>847</v>
      </c>
      <c r="V598" s="269"/>
      <c r="W598" s="269"/>
    </row>
    <row r="599" spans="1:23" ht="69.75" customHeight="1" x14ac:dyDescent="0.2">
      <c r="A599" s="277">
        <f t="shared" si="0"/>
        <v>595</v>
      </c>
      <c r="B599" s="278">
        <v>44232</v>
      </c>
      <c r="C599" s="256">
        <v>44197</v>
      </c>
      <c r="D599" s="255" t="s">
        <v>99</v>
      </c>
      <c r="E599" s="255" t="s">
        <v>228</v>
      </c>
      <c r="F599" s="258">
        <v>-1847.9</v>
      </c>
      <c r="G599" s="255" t="s">
        <v>3285</v>
      </c>
      <c r="H599" s="255" t="s">
        <v>115</v>
      </c>
      <c r="I599" s="250" t="s">
        <v>983</v>
      </c>
      <c r="J599" s="255" t="s">
        <v>850</v>
      </c>
      <c r="K599" s="255" t="s">
        <v>946</v>
      </c>
      <c r="L599" s="250" t="s">
        <v>947</v>
      </c>
      <c r="M599" s="255" t="s">
        <v>114</v>
      </c>
      <c r="N599" s="278">
        <v>44232</v>
      </c>
      <c r="O599" s="329" t="s">
        <v>67</v>
      </c>
      <c r="P599" s="386">
        <f t="shared" ref="P599:Q599" si="596">IF(B599=0,0,IF(YEAR(B599)=$Q$1,MONTH(B599)-$P$1+1,(YEAR(B599)-$Q$1)*12-$P$1+1+MONTH(B599)))</f>
        <v>2</v>
      </c>
      <c r="Q599" s="330">
        <f t="shared" si="596"/>
        <v>1</v>
      </c>
      <c r="R599" s="351" t="str">
        <f t="shared" si="3"/>
        <v>Gastos_Gerais</v>
      </c>
      <c r="S599" s="351" t="str">
        <f>IF(D599="","",IF(OR(D599=Plano!$A$1,D599=Plano!$B$1),"entrada","saída"))</f>
        <v>saída</v>
      </c>
      <c r="T599" s="334" t="s">
        <v>114</v>
      </c>
      <c r="U599" s="334" t="s">
        <v>114</v>
      </c>
      <c r="V599" s="269"/>
      <c r="W599" s="269"/>
    </row>
    <row r="600" spans="1:23" ht="69.75" customHeight="1" x14ac:dyDescent="0.2">
      <c r="A600" s="277">
        <f t="shared" si="0"/>
        <v>596</v>
      </c>
      <c r="B600" s="278">
        <v>44232</v>
      </c>
      <c r="C600" s="256">
        <v>44197</v>
      </c>
      <c r="D600" s="255" t="s">
        <v>99</v>
      </c>
      <c r="E600" s="255" t="s">
        <v>220</v>
      </c>
      <c r="F600" s="258">
        <v>-130.35</v>
      </c>
      <c r="G600" s="255" t="s">
        <v>3286</v>
      </c>
      <c r="H600" s="255" t="s">
        <v>115</v>
      </c>
      <c r="I600" s="250" t="s">
        <v>983</v>
      </c>
      <c r="J600" s="255" t="s">
        <v>850</v>
      </c>
      <c r="K600" s="255" t="s">
        <v>946</v>
      </c>
      <c r="L600" s="250" t="s">
        <v>947</v>
      </c>
      <c r="M600" s="255" t="s">
        <v>114</v>
      </c>
      <c r="N600" s="278">
        <v>44232</v>
      </c>
      <c r="O600" s="329" t="s">
        <v>67</v>
      </c>
      <c r="P600" s="386">
        <f t="shared" ref="P600:Q600" si="597">IF(B600=0,0,IF(YEAR(B600)=$Q$1,MONTH(B600)-$P$1+1,(YEAR(B600)-$Q$1)*12-$P$1+1+MONTH(B600)))</f>
        <v>2</v>
      </c>
      <c r="Q600" s="330">
        <f t="shared" si="597"/>
        <v>1</v>
      </c>
      <c r="R600" s="351" t="str">
        <f t="shared" si="3"/>
        <v>Gastos_Gerais</v>
      </c>
      <c r="S600" s="351" t="str">
        <f>IF(D600="","",IF(OR(D600=Plano!$A$1,D600=Plano!$B$1),"entrada","saída"))</f>
        <v>saída</v>
      </c>
      <c r="T600" s="334" t="s">
        <v>114</v>
      </c>
      <c r="U600" s="334" t="s">
        <v>114</v>
      </c>
      <c r="V600" s="269"/>
      <c r="W600" s="269"/>
    </row>
    <row r="601" spans="1:23" ht="69.75" customHeight="1" x14ac:dyDescent="0.2">
      <c r="A601" s="277">
        <f t="shared" si="0"/>
        <v>597</v>
      </c>
      <c r="B601" s="278">
        <v>44232</v>
      </c>
      <c r="C601" s="256">
        <v>44197</v>
      </c>
      <c r="D601" s="255" t="s">
        <v>88</v>
      </c>
      <c r="E601" s="255" t="s">
        <v>171</v>
      </c>
      <c r="F601" s="258">
        <v>-2041.88</v>
      </c>
      <c r="G601" s="255" t="s">
        <v>2740</v>
      </c>
      <c r="H601" s="255" t="s">
        <v>114</v>
      </c>
      <c r="I601" s="250" t="s">
        <v>983</v>
      </c>
      <c r="J601" s="255" t="s">
        <v>850</v>
      </c>
      <c r="K601" s="255" t="s">
        <v>946</v>
      </c>
      <c r="L601" s="250" t="s">
        <v>947</v>
      </c>
      <c r="M601" s="255" t="s">
        <v>114</v>
      </c>
      <c r="N601" s="278">
        <v>44232</v>
      </c>
      <c r="O601" s="329" t="s">
        <v>67</v>
      </c>
      <c r="P601" s="386">
        <f t="shared" ref="P601:Q601" si="598">IF(B601=0,0,IF(YEAR(B601)=$Q$1,MONTH(B601)-$P$1+1,(YEAR(B601)-$Q$1)*12-$P$1+1+MONTH(B601)))</f>
        <v>2</v>
      </c>
      <c r="Q601" s="330">
        <f t="shared" si="598"/>
        <v>1</v>
      </c>
      <c r="R601" s="351" t="str">
        <f t="shared" si="3"/>
        <v>Gastos_com_Pessoal</v>
      </c>
      <c r="S601" s="351" t="str">
        <f>IF(D601="","",IF(OR(D601=Plano!$A$1,D601=Plano!$B$1),"entrada","saída"))</f>
        <v>saída</v>
      </c>
      <c r="T601" s="334" t="s">
        <v>114</v>
      </c>
      <c r="U601" s="334" t="s">
        <v>114</v>
      </c>
      <c r="V601" s="269"/>
      <c r="W601" s="269"/>
    </row>
    <row r="602" spans="1:23" ht="91.5" customHeight="1" x14ac:dyDescent="0.2">
      <c r="A602" s="277">
        <f t="shared" si="0"/>
        <v>598</v>
      </c>
      <c r="B602" s="278">
        <v>44232</v>
      </c>
      <c r="C602" s="256">
        <v>44197</v>
      </c>
      <c r="D602" s="255" t="s">
        <v>99</v>
      </c>
      <c r="E602" s="255" t="s">
        <v>330</v>
      </c>
      <c r="F602" s="258">
        <v>-45.95</v>
      </c>
      <c r="G602" s="255" t="s">
        <v>3287</v>
      </c>
      <c r="H602" s="255" t="s">
        <v>115</v>
      </c>
      <c r="I602" s="250" t="s">
        <v>983</v>
      </c>
      <c r="J602" s="255" t="s">
        <v>850</v>
      </c>
      <c r="K602" s="255" t="s">
        <v>946</v>
      </c>
      <c r="L602" s="250" t="s">
        <v>947</v>
      </c>
      <c r="M602" s="255" t="s">
        <v>114</v>
      </c>
      <c r="N602" s="278">
        <v>44232</v>
      </c>
      <c r="O602" s="329" t="s">
        <v>67</v>
      </c>
      <c r="P602" s="386">
        <f t="shared" ref="P602:Q602" si="599">IF(B602=0,0,IF(YEAR(B602)=$Q$1,MONTH(B602)-$P$1+1,(YEAR(B602)-$Q$1)*12-$P$1+1+MONTH(B602)))</f>
        <v>2</v>
      </c>
      <c r="Q602" s="330">
        <f t="shared" si="599"/>
        <v>1</v>
      </c>
      <c r="R602" s="351" t="str">
        <f t="shared" si="3"/>
        <v>Gastos_Gerais</v>
      </c>
      <c r="S602" s="351" t="str">
        <f>IF(D602="","",IF(OR(D602=Plano!$A$1,D602=Plano!$B$1),"entrada","saída"))</f>
        <v>saída</v>
      </c>
      <c r="T602" s="334" t="s">
        <v>114</v>
      </c>
      <c r="U602" s="334" t="s">
        <v>114</v>
      </c>
      <c r="V602" s="269"/>
      <c r="W602" s="269"/>
    </row>
    <row r="603" spans="1:23" ht="69.75" customHeight="1" x14ac:dyDescent="0.2">
      <c r="A603" s="277">
        <f t="shared" si="0"/>
        <v>599</v>
      </c>
      <c r="B603" s="278">
        <v>44232</v>
      </c>
      <c r="C603" s="256">
        <v>44197</v>
      </c>
      <c r="D603" s="255" t="s">
        <v>99</v>
      </c>
      <c r="E603" s="255" t="s">
        <v>230</v>
      </c>
      <c r="F603" s="258">
        <v>-1265.99</v>
      </c>
      <c r="G603" s="255" t="s">
        <v>3288</v>
      </c>
      <c r="H603" s="255" t="s">
        <v>115</v>
      </c>
      <c r="I603" s="250" t="s">
        <v>983</v>
      </c>
      <c r="J603" s="255" t="s">
        <v>850</v>
      </c>
      <c r="K603" s="255" t="s">
        <v>946</v>
      </c>
      <c r="L603" s="250" t="s">
        <v>947</v>
      </c>
      <c r="M603" s="255" t="s">
        <v>114</v>
      </c>
      <c r="N603" s="278">
        <v>44232</v>
      </c>
      <c r="O603" s="329" t="s">
        <v>67</v>
      </c>
      <c r="P603" s="386">
        <f t="shared" ref="P603:Q603" si="600">IF(B603=0,0,IF(YEAR(B603)=$Q$1,MONTH(B603)-$P$1+1,(YEAR(B603)-$Q$1)*12-$P$1+1+MONTH(B603)))</f>
        <v>2</v>
      </c>
      <c r="Q603" s="330">
        <f t="shared" si="600"/>
        <v>1</v>
      </c>
      <c r="R603" s="351" t="str">
        <f t="shared" si="3"/>
        <v>Gastos_Gerais</v>
      </c>
      <c r="S603" s="351" t="str">
        <f>IF(D603="","",IF(OR(D603=Plano!$A$1,D603=Plano!$B$1),"entrada","saída"))</f>
        <v>saída</v>
      </c>
      <c r="T603" s="334" t="s">
        <v>114</v>
      </c>
      <c r="U603" s="334" t="s">
        <v>114</v>
      </c>
      <c r="V603" s="269"/>
      <c r="W603" s="269"/>
    </row>
    <row r="604" spans="1:23" ht="69.75" customHeight="1" x14ac:dyDescent="0.2">
      <c r="A604" s="277">
        <f t="shared" si="0"/>
        <v>600</v>
      </c>
      <c r="B604" s="278">
        <v>44232</v>
      </c>
      <c r="C604" s="256">
        <v>44197</v>
      </c>
      <c r="D604" s="255" t="s">
        <v>88</v>
      </c>
      <c r="E604" s="255" t="s">
        <v>171</v>
      </c>
      <c r="F604" s="258">
        <v>-186.44</v>
      </c>
      <c r="G604" s="255" t="s">
        <v>2738</v>
      </c>
      <c r="H604" s="255" t="s">
        <v>114</v>
      </c>
      <c r="I604" s="250" t="s">
        <v>983</v>
      </c>
      <c r="J604" s="255" t="s">
        <v>850</v>
      </c>
      <c r="K604" s="255" t="s">
        <v>946</v>
      </c>
      <c r="L604" s="250" t="s">
        <v>947</v>
      </c>
      <c r="M604" s="255" t="s">
        <v>114</v>
      </c>
      <c r="N604" s="278">
        <v>44232</v>
      </c>
      <c r="O604" s="329" t="s">
        <v>67</v>
      </c>
      <c r="P604" s="386">
        <f t="shared" ref="P604:Q604" si="601">IF(B604=0,0,IF(YEAR(B604)=$Q$1,MONTH(B604)-$P$1+1,(YEAR(B604)-$Q$1)*12-$P$1+1+MONTH(B604)))</f>
        <v>2</v>
      </c>
      <c r="Q604" s="330">
        <f t="shared" si="601"/>
        <v>1</v>
      </c>
      <c r="R604" s="351" t="str">
        <f t="shared" si="3"/>
        <v>Gastos_com_Pessoal</v>
      </c>
      <c r="S604" s="351" t="str">
        <f>IF(D604="","",IF(OR(D604=Plano!$A$1,D604=Plano!$B$1),"entrada","saída"))</f>
        <v>saída</v>
      </c>
      <c r="T604" s="334" t="s">
        <v>114</v>
      </c>
      <c r="U604" s="334" t="s">
        <v>114</v>
      </c>
      <c r="V604" s="269"/>
      <c r="W604" s="269"/>
    </row>
    <row r="605" spans="1:23" ht="69.75" customHeight="1" x14ac:dyDescent="0.2">
      <c r="A605" s="277">
        <f t="shared" si="0"/>
        <v>601</v>
      </c>
      <c r="B605" s="278">
        <v>44232</v>
      </c>
      <c r="C605" s="249">
        <v>44197</v>
      </c>
      <c r="D605" s="250" t="s">
        <v>99</v>
      </c>
      <c r="E605" s="250" t="s">
        <v>230</v>
      </c>
      <c r="F605" s="251">
        <v>5759.72</v>
      </c>
      <c r="G605" s="255" t="s">
        <v>3289</v>
      </c>
      <c r="H605" s="250" t="s">
        <v>115</v>
      </c>
      <c r="I605" s="250" t="s">
        <v>485</v>
      </c>
      <c r="J605" s="250" t="s">
        <v>486</v>
      </c>
      <c r="K605" s="255" t="s">
        <v>1015</v>
      </c>
      <c r="L605" s="250" t="s">
        <v>1177</v>
      </c>
      <c r="M605" s="255" t="s">
        <v>114</v>
      </c>
      <c r="N605" s="278">
        <v>44200</v>
      </c>
      <c r="O605" s="329" t="s">
        <v>67</v>
      </c>
      <c r="P605" s="386">
        <f t="shared" ref="P605:Q605" si="602">IF(B605=0,0,IF(YEAR(B605)=$Q$1,MONTH(B605)-$P$1+1,(YEAR(B605)-$Q$1)*12-$P$1+1+MONTH(B605)))</f>
        <v>2</v>
      </c>
      <c r="Q605" s="330">
        <f t="shared" si="602"/>
        <v>1</v>
      </c>
      <c r="R605" s="351" t="str">
        <f t="shared" si="3"/>
        <v>Gastos_Gerais</v>
      </c>
      <c r="S605" s="351" t="str">
        <f>IF(D605="","",IF(OR(D605=Plano!$A$1,D605=Plano!$B$1),"entrada","saída"))</f>
        <v>saída</v>
      </c>
      <c r="T605" s="334" t="s">
        <v>1059</v>
      </c>
      <c r="U605" s="334">
        <v>1115</v>
      </c>
      <c r="V605" s="269"/>
      <c r="W605" s="269"/>
    </row>
    <row r="606" spans="1:23" ht="195.75" customHeight="1" x14ac:dyDescent="0.2">
      <c r="A606" s="277">
        <f t="shared" si="0"/>
        <v>602</v>
      </c>
      <c r="B606" s="278">
        <v>44232</v>
      </c>
      <c r="C606" s="249">
        <v>44228</v>
      </c>
      <c r="D606" s="250" t="s">
        <v>99</v>
      </c>
      <c r="E606" s="250" t="s">
        <v>262</v>
      </c>
      <c r="F606" s="251">
        <v>3000</v>
      </c>
      <c r="G606" s="255" t="s">
        <v>474</v>
      </c>
      <c r="H606" s="250" t="s">
        <v>129</v>
      </c>
      <c r="I606" s="250" t="s">
        <v>1257</v>
      </c>
      <c r="J606" s="250" t="s">
        <v>476</v>
      </c>
      <c r="K606" s="255" t="s">
        <v>1015</v>
      </c>
      <c r="L606" s="250" t="s">
        <v>1016</v>
      </c>
      <c r="M606" s="255" t="s">
        <v>1017</v>
      </c>
      <c r="N606" s="278">
        <v>44231</v>
      </c>
      <c r="O606" s="329" t="s">
        <v>67</v>
      </c>
      <c r="P606" s="386">
        <f t="shared" ref="P606:Q606" si="603">IF(B606=0,0,IF(YEAR(B606)=$Q$1,MONTH(B606)-$P$1+1,(YEAR(B606)-$Q$1)*12-$P$1+1+MONTH(B606)))</f>
        <v>2</v>
      </c>
      <c r="Q606" s="330">
        <f t="shared" si="603"/>
        <v>2</v>
      </c>
      <c r="R606" s="351" t="str">
        <f t="shared" si="3"/>
        <v>Gastos_Gerais</v>
      </c>
      <c r="S606" s="351" t="str">
        <f>IF(D606="","",IF(OR(D606=Plano!$A$1,D606=Plano!$B$1),"entrada","saída"))</f>
        <v>saída</v>
      </c>
      <c r="T606" s="334" t="s">
        <v>1059</v>
      </c>
      <c r="U606" s="334">
        <v>1273</v>
      </c>
      <c r="V606" s="269"/>
      <c r="W606" s="269"/>
    </row>
    <row r="607" spans="1:23" ht="69.75" customHeight="1" x14ac:dyDescent="0.2">
      <c r="A607" s="277">
        <f t="shared" si="0"/>
        <v>603</v>
      </c>
      <c r="B607" s="278">
        <v>44232</v>
      </c>
      <c r="C607" s="256">
        <v>44197</v>
      </c>
      <c r="D607" s="255" t="s">
        <v>88</v>
      </c>
      <c r="E607" s="255" t="s">
        <v>90</v>
      </c>
      <c r="F607" s="258">
        <v>5394.92</v>
      </c>
      <c r="G607" s="255" t="s">
        <v>3290</v>
      </c>
      <c r="H607" s="255" t="s">
        <v>114</v>
      </c>
      <c r="I607" s="250" t="s">
        <v>1181</v>
      </c>
      <c r="J607" s="255" t="s">
        <v>1182</v>
      </c>
      <c r="K607" s="255" t="s">
        <v>991</v>
      </c>
      <c r="L607" s="250" t="s">
        <v>1183</v>
      </c>
      <c r="M607" s="279" t="s">
        <v>114</v>
      </c>
      <c r="N607" s="278">
        <v>44232</v>
      </c>
      <c r="O607" s="329" t="s">
        <v>67</v>
      </c>
      <c r="P607" s="386">
        <f t="shared" ref="P607:Q607" si="604">IF(B607=0,0,IF(YEAR(B607)=$Q$1,MONTH(B607)-$P$1+1,(YEAR(B607)-$Q$1)*12-$P$1+1+MONTH(B607)))</f>
        <v>2</v>
      </c>
      <c r="Q607" s="330">
        <f t="shared" si="604"/>
        <v>1</v>
      </c>
      <c r="R607" s="351" t="str">
        <f t="shared" si="3"/>
        <v>Gastos_com_Pessoal</v>
      </c>
      <c r="S607" s="351" t="str">
        <f>IF(D607="","",IF(OR(D607=Plano!$A$1,D607=Plano!$B$1),"entrada","saída"))</f>
        <v>saída</v>
      </c>
      <c r="T607" s="334" t="s">
        <v>114</v>
      </c>
      <c r="U607" s="334" t="s">
        <v>114</v>
      </c>
      <c r="V607" s="269"/>
      <c r="W607" s="269"/>
    </row>
    <row r="608" spans="1:23" ht="69.75" customHeight="1" x14ac:dyDescent="0.2">
      <c r="A608" s="277">
        <f t="shared" si="0"/>
        <v>604</v>
      </c>
      <c r="B608" s="278">
        <v>44232</v>
      </c>
      <c r="C608" s="256">
        <v>44197</v>
      </c>
      <c r="D608" s="255" t="s">
        <v>88</v>
      </c>
      <c r="E608" s="255" t="s">
        <v>90</v>
      </c>
      <c r="F608" s="258">
        <v>3075.47</v>
      </c>
      <c r="G608" s="255" t="s">
        <v>3291</v>
      </c>
      <c r="H608" s="255" t="s">
        <v>114</v>
      </c>
      <c r="I608" s="250" t="s">
        <v>1185</v>
      </c>
      <c r="J608" s="255" t="s">
        <v>1186</v>
      </c>
      <c r="K608" s="255" t="s">
        <v>991</v>
      </c>
      <c r="L608" s="250" t="s">
        <v>1183</v>
      </c>
      <c r="M608" s="279" t="s">
        <v>114</v>
      </c>
      <c r="N608" s="278">
        <v>44232</v>
      </c>
      <c r="O608" s="329" t="s">
        <v>67</v>
      </c>
      <c r="P608" s="386">
        <f t="shared" ref="P608:Q608" si="605">IF(B608=0,0,IF(YEAR(B608)=$Q$1,MONTH(B608)-$P$1+1,(YEAR(B608)-$Q$1)*12-$P$1+1+MONTH(B608)))</f>
        <v>2</v>
      </c>
      <c r="Q608" s="330">
        <f t="shared" si="605"/>
        <v>1</v>
      </c>
      <c r="R608" s="351" t="str">
        <f t="shared" si="3"/>
        <v>Gastos_com_Pessoal</v>
      </c>
      <c r="S608" s="351" t="str">
        <f>IF(D608="","",IF(OR(D608=Plano!$A$1,D608=Plano!$B$1),"entrada","saída"))</f>
        <v>saída</v>
      </c>
      <c r="T608" s="334" t="s">
        <v>114</v>
      </c>
      <c r="U608" s="334" t="s">
        <v>114</v>
      </c>
      <c r="V608" s="269"/>
      <c r="W608" s="269"/>
    </row>
    <row r="609" spans="1:23" ht="69.75" customHeight="1" x14ac:dyDescent="0.2">
      <c r="A609" s="277">
        <f t="shared" si="0"/>
        <v>605</v>
      </c>
      <c r="B609" s="278">
        <v>44232</v>
      </c>
      <c r="C609" s="256">
        <v>44197</v>
      </c>
      <c r="D609" s="255" t="s">
        <v>88</v>
      </c>
      <c r="E609" s="255" t="s">
        <v>90</v>
      </c>
      <c r="F609" s="258">
        <v>1416.44</v>
      </c>
      <c r="G609" s="255" t="s">
        <v>3292</v>
      </c>
      <c r="H609" s="255" t="s">
        <v>114</v>
      </c>
      <c r="I609" s="250" t="s">
        <v>1188</v>
      </c>
      <c r="J609" s="255" t="s">
        <v>1189</v>
      </c>
      <c r="K609" s="255" t="s">
        <v>991</v>
      </c>
      <c r="L609" s="250" t="s">
        <v>1183</v>
      </c>
      <c r="M609" s="279" t="s">
        <v>114</v>
      </c>
      <c r="N609" s="278">
        <v>44232</v>
      </c>
      <c r="O609" s="329" t="s">
        <v>67</v>
      </c>
      <c r="P609" s="386">
        <f t="shared" ref="P609:Q609" si="606">IF(B609=0,0,IF(YEAR(B609)=$Q$1,MONTH(B609)-$P$1+1,(YEAR(B609)-$Q$1)*12-$P$1+1+MONTH(B609)))</f>
        <v>2</v>
      </c>
      <c r="Q609" s="330">
        <f t="shared" si="606"/>
        <v>1</v>
      </c>
      <c r="R609" s="351" t="str">
        <f t="shared" si="3"/>
        <v>Gastos_com_Pessoal</v>
      </c>
      <c r="S609" s="351" t="str">
        <f>IF(D609="","",IF(OR(D609=Plano!$A$1,D609=Plano!$B$1),"entrada","saída"))</f>
        <v>saída</v>
      </c>
      <c r="T609" s="334" t="s">
        <v>114</v>
      </c>
      <c r="U609" s="334" t="s">
        <v>114</v>
      </c>
      <c r="V609" s="269"/>
      <c r="W609" s="269"/>
    </row>
    <row r="610" spans="1:23" ht="69.75" customHeight="1" x14ac:dyDescent="0.2">
      <c r="A610" s="277">
        <f t="shared" si="0"/>
        <v>606</v>
      </c>
      <c r="B610" s="278">
        <v>44232</v>
      </c>
      <c r="C610" s="256">
        <v>44197</v>
      </c>
      <c r="D610" s="255" t="s">
        <v>88</v>
      </c>
      <c r="E610" s="255" t="s">
        <v>90</v>
      </c>
      <c r="F610" s="258">
        <v>3549.36</v>
      </c>
      <c r="G610" s="255" t="s">
        <v>3293</v>
      </c>
      <c r="H610" s="255" t="s">
        <v>114</v>
      </c>
      <c r="I610" s="250" t="s">
        <v>1191</v>
      </c>
      <c r="J610" s="255" t="s">
        <v>1192</v>
      </c>
      <c r="K610" s="255" t="s">
        <v>991</v>
      </c>
      <c r="L610" s="250" t="s">
        <v>1183</v>
      </c>
      <c r="M610" s="279" t="s">
        <v>114</v>
      </c>
      <c r="N610" s="278">
        <v>44232</v>
      </c>
      <c r="O610" s="329" t="s">
        <v>67</v>
      </c>
      <c r="P610" s="386">
        <f t="shared" ref="P610:Q610" si="607">IF(B610=0,0,IF(YEAR(B610)=$Q$1,MONTH(B610)-$P$1+1,(YEAR(B610)-$Q$1)*12-$P$1+1+MONTH(B610)))</f>
        <v>2</v>
      </c>
      <c r="Q610" s="330">
        <f t="shared" si="607"/>
        <v>1</v>
      </c>
      <c r="R610" s="351" t="str">
        <f t="shared" si="3"/>
        <v>Gastos_com_Pessoal</v>
      </c>
      <c r="S610" s="351" t="str">
        <f>IF(D610="","",IF(OR(D610=Plano!$A$1,D610=Plano!$B$1),"entrada","saída"))</f>
        <v>saída</v>
      </c>
      <c r="T610" s="334" t="s">
        <v>114</v>
      </c>
      <c r="U610" s="334" t="s">
        <v>114</v>
      </c>
      <c r="V610" s="269"/>
      <c r="W610" s="269"/>
    </row>
    <row r="611" spans="1:23" ht="69.75" customHeight="1" x14ac:dyDescent="0.2">
      <c r="A611" s="277">
        <f t="shared" si="0"/>
        <v>607</v>
      </c>
      <c r="B611" s="278">
        <v>44232</v>
      </c>
      <c r="C611" s="256">
        <v>44197</v>
      </c>
      <c r="D611" s="255" t="s">
        <v>88</v>
      </c>
      <c r="E611" s="255" t="s">
        <v>90</v>
      </c>
      <c r="F611" s="258">
        <v>4413.74</v>
      </c>
      <c r="G611" s="255" t="s">
        <v>3294</v>
      </c>
      <c r="H611" s="255" t="s">
        <v>114</v>
      </c>
      <c r="I611" s="250" t="s">
        <v>2756</v>
      </c>
      <c r="J611" s="255" t="s">
        <v>2757</v>
      </c>
      <c r="K611" s="255" t="s">
        <v>991</v>
      </c>
      <c r="L611" s="250" t="s">
        <v>1183</v>
      </c>
      <c r="M611" s="279" t="s">
        <v>114</v>
      </c>
      <c r="N611" s="278">
        <v>44232</v>
      </c>
      <c r="O611" s="329" t="s">
        <v>67</v>
      </c>
      <c r="P611" s="386">
        <f t="shared" ref="P611:Q611" si="608">IF(B611=0,0,IF(YEAR(B611)=$Q$1,MONTH(B611)-$P$1+1,(YEAR(B611)-$Q$1)*12-$P$1+1+MONTH(B611)))</f>
        <v>2</v>
      </c>
      <c r="Q611" s="330">
        <f t="shared" si="608"/>
        <v>1</v>
      </c>
      <c r="R611" s="351" t="str">
        <f t="shared" si="3"/>
        <v>Gastos_com_Pessoal</v>
      </c>
      <c r="S611" s="351" t="str">
        <f>IF(D611="","",IF(OR(D611=Plano!$A$1,D611=Plano!$B$1),"entrada","saída"))</f>
        <v>saída</v>
      </c>
      <c r="T611" s="334" t="s">
        <v>114</v>
      </c>
      <c r="U611" s="334" t="s">
        <v>114</v>
      </c>
      <c r="V611" s="269"/>
      <c r="W611" s="269"/>
    </row>
    <row r="612" spans="1:23" ht="69.75" customHeight="1" x14ac:dyDescent="0.2">
      <c r="A612" s="277">
        <f t="shared" si="0"/>
        <v>608</v>
      </c>
      <c r="B612" s="278">
        <v>44232</v>
      </c>
      <c r="C612" s="256">
        <v>44197</v>
      </c>
      <c r="D612" s="255" t="s">
        <v>88</v>
      </c>
      <c r="E612" s="255" t="s">
        <v>90</v>
      </c>
      <c r="F612" s="258">
        <v>4393.93</v>
      </c>
      <c r="G612" s="255" t="s">
        <v>3294</v>
      </c>
      <c r="H612" s="255" t="s">
        <v>114</v>
      </c>
      <c r="I612" s="250" t="s">
        <v>2760</v>
      </c>
      <c r="J612" s="255" t="s">
        <v>2761</v>
      </c>
      <c r="K612" s="255" t="s">
        <v>991</v>
      </c>
      <c r="L612" s="250" t="s">
        <v>1183</v>
      </c>
      <c r="M612" s="279" t="s">
        <v>114</v>
      </c>
      <c r="N612" s="278">
        <v>44232</v>
      </c>
      <c r="O612" s="329" t="s">
        <v>67</v>
      </c>
      <c r="P612" s="386">
        <f t="shared" ref="P612:Q612" si="609">IF(B612=0,0,IF(YEAR(B612)=$Q$1,MONTH(B612)-$P$1+1,(YEAR(B612)-$Q$1)*12-$P$1+1+MONTH(B612)))</f>
        <v>2</v>
      </c>
      <c r="Q612" s="330">
        <f t="shared" si="609"/>
        <v>1</v>
      </c>
      <c r="R612" s="351" t="str">
        <f t="shared" si="3"/>
        <v>Gastos_com_Pessoal</v>
      </c>
      <c r="S612" s="351" t="str">
        <f>IF(D612="","",IF(OR(D612=Plano!$A$1,D612=Plano!$B$1),"entrada","saída"))</f>
        <v>saída</v>
      </c>
      <c r="T612" s="334" t="s">
        <v>114</v>
      </c>
      <c r="U612" s="334" t="s">
        <v>114</v>
      </c>
      <c r="V612" s="269"/>
      <c r="W612" s="269"/>
    </row>
    <row r="613" spans="1:23" ht="69.75" customHeight="1" x14ac:dyDescent="0.2">
      <c r="A613" s="277">
        <f t="shared" si="0"/>
        <v>609</v>
      </c>
      <c r="B613" s="278">
        <v>44232</v>
      </c>
      <c r="C613" s="256">
        <v>44197</v>
      </c>
      <c r="D613" s="255" t="s">
        <v>88</v>
      </c>
      <c r="E613" s="255" t="s">
        <v>90</v>
      </c>
      <c r="F613" s="258">
        <v>4413.74</v>
      </c>
      <c r="G613" s="255" t="s">
        <v>3294</v>
      </c>
      <c r="H613" s="255" t="s">
        <v>114</v>
      </c>
      <c r="I613" s="250" t="s">
        <v>1194</v>
      </c>
      <c r="J613" s="255" t="s">
        <v>1195</v>
      </c>
      <c r="K613" s="255" t="s">
        <v>991</v>
      </c>
      <c r="L613" s="250" t="s">
        <v>1183</v>
      </c>
      <c r="M613" s="279" t="s">
        <v>114</v>
      </c>
      <c r="N613" s="278">
        <v>44232</v>
      </c>
      <c r="O613" s="329" t="s">
        <v>67</v>
      </c>
      <c r="P613" s="386">
        <f t="shared" ref="P613:Q613" si="610">IF(B613=0,0,IF(YEAR(B613)=$Q$1,MONTH(B613)-$P$1+1,(YEAR(B613)-$Q$1)*12-$P$1+1+MONTH(B613)))</f>
        <v>2</v>
      </c>
      <c r="Q613" s="330">
        <f t="shared" si="610"/>
        <v>1</v>
      </c>
      <c r="R613" s="351" t="str">
        <f t="shared" si="3"/>
        <v>Gastos_com_Pessoal</v>
      </c>
      <c r="S613" s="351" t="str">
        <f>IF(D613="","",IF(OR(D613=Plano!$A$1,D613=Plano!$B$1),"entrada","saída"))</f>
        <v>saída</v>
      </c>
      <c r="T613" s="334" t="s">
        <v>114</v>
      </c>
      <c r="U613" s="334" t="s">
        <v>114</v>
      </c>
      <c r="V613" s="269"/>
      <c r="W613" s="269"/>
    </row>
    <row r="614" spans="1:23" ht="69.75" customHeight="1" x14ac:dyDescent="0.2">
      <c r="A614" s="277">
        <f t="shared" si="0"/>
        <v>610</v>
      </c>
      <c r="B614" s="278">
        <v>44232</v>
      </c>
      <c r="C614" s="256">
        <v>44197</v>
      </c>
      <c r="D614" s="255" t="s">
        <v>88</v>
      </c>
      <c r="E614" s="255" t="s">
        <v>90</v>
      </c>
      <c r="F614" s="258">
        <v>6116.33</v>
      </c>
      <c r="G614" s="255" t="s">
        <v>3295</v>
      </c>
      <c r="H614" s="255" t="s">
        <v>114</v>
      </c>
      <c r="I614" s="250" t="s">
        <v>1197</v>
      </c>
      <c r="J614" s="255" t="s">
        <v>1198</v>
      </c>
      <c r="K614" s="255" t="s">
        <v>991</v>
      </c>
      <c r="L614" s="250" t="s">
        <v>1183</v>
      </c>
      <c r="M614" s="279" t="s">
        <v>114</v>
      </c>
      <c r="N614" s="278">
        <v>44232</v>
      </c>
      <c r="O614" s="329" t="s">
        <v>67</v>
      </c>
      <c r="P614" s="386">
        <f t="shared" ref="P614:Q614" si="611">IF(B614=0,0,IF(YEAR(B614)=$Q$1,MONTH(B614)-$P$1+1,(YEAR(B614)-$Q$1)*12-$P$1+1+MONTH(B614)))</f>
        <v>2</v>
      </c>
      <c r="Q614" s="330">
        <f t="shared" si="611"/>
        <v>1</v>
      </c>
      <c r="R614" s="351" t="str">
        <f t="shared" si="3"/>
        <v>Gastos_com_Pessoal</v>
      </c>
      <c r="S614" s="351" t="str">
        <f>IF(D614="","",IF(OR(D614=Plano!$A$1,D614=Plano!$B$1),"entrada","saída"))</f>
        <v>saída</v>
      </c>
      <c r="T614" s="334" t="s">
        <v>114</v>
      </c>
      <c r="U614" s="334" t="s">
        <v>114</v>
      </c>
      <c r="V614" s="269"/>
      <c r="W614" s="269"/>
    </row>
    <row r="615" spans="1:23" ht="69.75" customHeight="1" x14ac:dyDescent="0.2">
      <c r="A615" s="277">
        <f t="shared" si="0"/>
        <v>611</v>
      </c>
      <c r="B615" s="278">
        <v>44232</v>
      </c>
      <c r="C615" s="256">
        <v>44197</v>
      </c>
      <c r="D615" s="255" t="s">
        <v>88</v>
      </c>
      <c r="E615" s="255" t="s">
        <v>90</v>
      </c>
      <c r="F615" s="258">
        <v>2632.35</v>
      </c>
      <c r="G615" s="255" t="s">
        <v>3296</v>
      </c>
      <c r="H615" s="255" t="s">
        <v>114</v>
      </c>
      <c r="I615" s="250" t="s">
        <v>1200</v>
      </c>
      <c r="J615" s="255" t="s">
        <v>1201</v>
      </c>
      <c r="K615" s="255" t="s">
        <v>991</v>
      </c>
      <c r="L615" s="250" t="s">
        <v>1183</v>
      </c>
      <c r="M615" s="279" t="s">
        <v>114</v>
      </c>
      <c r="N615" s="278">
        <v>44232</v>
      </c>
      <c r="O615" s="329" t="s">
        <v>67</v>
      </c>
      <c r="P615" s="386">
        <f t="shared" ref="P615:Q615" si="612">IF(B615=0,0,IF(YEAR(B615)=$Q$1,MONTH(B615)-$P$1+1,(YEAR(B615)-$Q$1)*12-$P$1+1+MONTH(B615)))</f>
        <v>2</v>
      </c>
      <c r="Q615" s="330">
        <f t="shared" si="612"/>
        <v>1</v>
      </c>
      <c r="R615" s="351" t="str">
        <f t="shared" si="3"/>
        <v>Gastos_com_Pessoal</v>
      </c>
      <c r="S615" s="351" t="str">
        <f>IF(D615="","",IF(OR(D615=Plano!$A$1,D615=Plano!$B$1),"entrada","saída"))</f>
        <v>saída</v>
      </c>
      <c r="T615" s="334" t="s">
        <v>114</v>
      </c>
      <c r="U615" s="334" t="s">
        <v>114</v>
      </c>
      <c r="V615" s="269"/>
      <c r="W615" s="269"/>
    </row>
    <row r="616" spans="1:23" ht="69.75" customHeight="1" x14ac:dyDescent="0.2">
      <c r="A616" s="277">
        <f t="shared" si="0"/>
        <v>612</v>
      </c>
      <c r="B616" s="278">
        <v>44232</v>
      </c>
      <c r="C616" s="256">
        <v>44197</v>
      </c>
      <c r="D616" s="255" t="s">
        <v>88</v>
      </c>
      <c r="E616" s="255" t="s">
        <v>90</v>
      </c>
      <c r="F616" s="258">
        <v>1004.77</v>
      </c>
      <c r="G616" s="255" t="s">
        <v>3297</v>
      </c>
      <c r="H616" s="255" t="s">
        <v>114</v>
      </c>
      <c r="I616" s="250" t="s">
        <v>1203</v>
      </c>
      <c r="J616" s="255" t="s">
        <v>1204</v>
      </c>
      <c r="K616" s="255" t="s">
        <v>991</v>
      </c>
      <c r="L616" s="250" t="s">
        <v>1183</v>
      </c>
      <c r="M616" s="279" t="s">
        <v>114</v>
      </c>
      <c r="N616" s="278">
        <v>44232</v>
      </c>
      <c r="O616" s="329" t="s">
        <v>67</v>
      </c>
      <c r="P616" s="386">
        <f t="shared" ref="P616:Q616" si="613">IF(B616=0,0,IF(YEAR(B616)=$Q$1,MONTH(B616)-$P$1+1,(YEAR(B616)-$Q$1)*12-$P$1+1+MONTH(B616)))</f>
        <v>2</v>
      </c>
      <c r="Q616" s="330">
        <f t="shared" si="613"/>
        <v>1</v>
      </c>
      <c r="R616" s="351" t="str">
        <f t="shared" si="3"/>
        <v>Gastos_com_Pessoal</v>
      </c>
      <c r="S616" s="351" t="str">
        <f>IF(D616="","",IF(OR(D616=Plano!$A$1,D616=Plano!$B$1),"entrada","saída"))</f>
        <v>saída</v>
      </c>
      <c r="T616" s="334" t="s">
        <v>114</v>
      </c>
      <c r="U616" s="334" t="s">
        <v>114</v>
      </c>
      <c r="V616" s="269"/>
      <c r="W616" s="269"/>
    </row>
    <row r="617" spans="1:23" ht="69.75" customHeight="1" x14ac:dyDescent="0.2">
      <c r="A617" s="277">
        <f t="shared" si="0"/>
        <v>613</v>
      </c>
      <c r="B617" s="278">
        <v>44232</v>
      </c>
      <c r="C617" s="256">
        <v>44197</v>
      </c>
      <c r="D617" s="255" t="s">
        <v>88</v>
      </c>
      <c r="E617" s="255" t="s">
        <v>90</v>
      </c>
      <c r="F617" s="258">
        <v>1515.25</v>
      </c>
      <c r="G617" s="255" t="s">
        <v>3292</v>
      </c>
      <c r="H617" s="255" t="s">
        <v>114</v>
      </c>
      <c r="I617" s="250" t="s">
        <v>1206</v>
      </c>
      <c r="J617" s="255" t="s">
        <v>1207</v>
      </c>
      <c r="K617" s="255" t="s">
        <v>991</v>
      </c>
      <c r="L617" s="250" t="s">
        <v>1183</v>
      </c>
      <c r="M617" s="279" t="s">
        <v>114</v>
      </c>
      <c r="N617" s="278">
        <v>44232</v>
      </c>
      <c r="O617" s="329" t="s">
        <v>67</v>
      </c>
      <c r="P617" s="386">
        <f t="shared" ref="P617:Q617" si="614">IF(B617=0,0,IF(YEAR(B617)=$Q$1,MONTH(B617)-$P$1+1,(YEAR(B617)-$Q$1)*12-$P$1+1+MONTH(B617)))</f>
        <v>2</v>
      </c>
      <c r="Q617" s="330">
        <f t="shared" si="614"/>
        <v>1</v>
      </c>
      <c r="R617" s="351" t="str">
        <f t="shared" si="3"/>
        <v>Gastos_com_Pessoal</v>
      </c>
      <c r="S617" s="351" t="str">
        <f>IF(D617="","",IF(OR(D617=Plano!$A$1,D617=Plano!$B$1),"entrada","saída"))</f>
        <v>saída</v>
      </c>
      <c r="T617" s="334" t="s">
        <v>114</v>
      </c>
      <c r="U617" s="334" t="s">
        <v>114</v>
      </c>
      <c r="V617" s="269"/>
      <c r="W617" s="269"/>
    </row>
    <row r="618" spans="1:23" ht="69.75" customHeight="1" x14ac:dyDescent="0.2">
      <c r="A618" s="277">
        <f t="shared" si="0"/>
        <v>614</v>
      </c>
      <c r="B618" s="278">
        <v>44232</v>
      </c>
      <c r="C618" s="249">
        <v>44166</v>
      </c>
      <c r="D618" s="250" t="s">
        <v>99</v>
      </c>
      <c r="E618" s="250" t="s">
        <v>336</v>
      </c>
      <c r="F618" s="251">
        <v>596</v>
      </c>
      <c r="G618" s="255" t="s">
        <v>3298</v>
      </c>
      <c r="H618" s="250" t="s">
        <v>116</v>
      </c>
      <c r="I618" s="250" t="s">
        <v>465</v>
      </c>
      <c r="J618" s="250" t="s">
        <v>114</v>
      </c>
      <c r="K618" s="250" t="s">
        <v>466</v>
      </c>
      <c r="L618" s="250" t="s">
        <v>467</v>
      </c>
      <c r="M618" s="250">
        <v>2255</v>
      </c>
      <c r="N618" s="278">
        <v>44232</v>
      </c>
      <c r="O618" s="329" t="s">
        <v>67</v>
      </c>
      <c r="P618" s="386">
        <f t="shared" ref="P618:Q618" si="615">IF(B618=0,0,IF(YEAR(B618)=$Q$1,MONTH(B618)-$P$1+1,(YEAR(B618)-$Q$1)*12-$P$1+1+MONTH(B618)))</f>
        <v>2</v>
      </c>
      <c r="Q618" s="330">
        <f t="shared" si="615"/>
        <v>0</v>
      </c>
      <c r="R618" s="351" t="str">
        <f t="shared" si="3"/>
        <v>Gastos_Gerais</v>
      </c>
      <c r="S618" s="351" t="str">
        <f>IF(D618="","",IF(OR(D618=Plano!$A$1,D618=Plano!$B$1),"entrada","saída"))</f>
        <v>saída</v>
      </c>
      <c r="T618" s="334" t="s">
        <v>114</v>
      </c>
      <c r="U618" s="334" t="s">
        <v>114</v>
      </c>
      <c r="V618" s="269"/>
      <c r="W618" s="269"/>
    </row>
    <row r="619" spans="1:23" ht="69.75" customHeight="1" x14ac:dyDescent="0.2">
      <c r="A619" s="277">
        <f t="shared" si="0"/>
        <v>615</v>
      </c>
      <c r="B619" s="278">
        <v>44232</v>
      </c>
      <c r="C619" s="249">
        <v>44166</v>
      </c>
      <c r="D619" s="250" t="s">
        <v>99</v>
      </c>
      <c r="E619" s="250" t="s">
        <v>352</v>
      </c>
      <c r="F619" s="251">
        <v>6.1</v>
      </c>
      <c r="G619" s="255" t="s">
        <v>3299</v>
      </c>
      <c r="H619" s="250" t="s">
        <v>125</v>
      </c>
      <c r="I619" s="250" t="s">
        <v>465</v>
      </c>
      <c r="J619" s="250" t="s">
        <v>114</v>
      </c>
      <c r="K619" s="250" t="s">
        <v>466</v>
      </c>
      <c r="L619" s="250" t="s">
        <v>467</v>
      </c>
      <c r="M619" s="255">
        <v>2256</v>
      </c>
      <c r="N619" s="278">
        <v>44232</v>
      </c>
      <c r="O619" s="329" t="s">
        <v>67</v>
      </c>
      <c r="P619" s="386">
        <f t="shared" ref="P619:Q619" si="616">IF(B619=0,0,IF(YEAR(B619)=$Q$1,MONTH(B619)-$P$1+1,(YEAR(B619)-$Q$1)*12-$P$1+1+MONTH(B619)))</f>
        <v>2</v>
      </c>
      <c r="Q619" s="330">
        <f t="shared" si="616"/>
        <v>0</v>
      </c>
      <c r="R619" s="351" t="str">
        <f t="shared" si="3"/>
        <v>Gastos_Gerais</v>
      </c>
      <c r="S619" s="351" t="str">
        <f>IF(D619="","",IF(OR(D619=Plano!$A$1,D619=Plano!$B$1),"entrada","saída"))</f>
        <v>saída</v>
      </c>
      <c r="T619" s="334" t="s">
        <v>114</v>
      </c>
      <c r="U619" s="334" t="s">
        <v>114</v>
      </c>
      <c r="V619" s="269"/>
      <c r="W619" s="269"/>
    </row>
    <row r="620" spans="1:23" ht="69.75" customHeight="1" x14ac:dyDescent="0.2">
      <c r="A620" s="277">
        <f t="shared" si="0"/>
        <v>616</v>
      </c>
      <c r="B620" s="278">
        <v>44232</v>
      </c>
      <c r="C620" s="249">
        <v>44166</v>
      </c>
      <c r="D620" s="250" t="s">
        <v>99</v>
      </c>
      <c r="E620" s="250" t="s">
        <v>330</v>
      </c>
      <c r="F620" s="251">
        <v>50</v>
      </c>
      <c r="G620" s="255" t="s">
        <v>3300</v>
      </c>
      <c r="H620" s="250" t="s">
        <v>125</v>
      </c>
      <c r="I620" s="250" t="s">
        <v>465</v>
      </c>
      <c r="J620" s="250" t="s">
        <v>114</v>
      </c>
      <c r="K620" s="250" t="s">
        <v>466</v>
      </c>
      <c r="L620" s="250" t="s">
        <v>467</v>
      </c>
      <c r="M620" s="255">
        <v>2257</v>
      </c>
      <c r="N620" s="278">
        <v>44232</v>
      </c>
      <c r="O620" s="329" t="s">
        <v>67</v>
      </c>
      <c r="P620" s="386">
        <f t="shared" ref="P620:Q620" si="617">IF(B620=0,0,IF(YEAR(B620)=$Q$1,MONTH(B620)-$P$1+1,(YEAR(B620)-$Q$1)*12-$P$1+1+MONTH(B620)))</f>
        <v>2</v>
      </c>
      <c r="Q620" s="330">
        <f t="shared" si="617"/>
        <v>0</v>
      </c>
      <c r="R620" s="351" t="str">
        <f t="shared" si="3"/>
        <v>Gastos_Gerais</v>
      </c>
      <c r="S620" s="351" t="str">
        <f>IF(D620="","",IF(OR(D620=Plano!$A$1,D620=Plano!$B$1),"entrada","saída"))</f>
        <v>saída</v>
      </c>
      <c r="T620" s="334" t="s">
        <v>114</v>
      </c>
      <c r="U620" s="334" t="s">
        <v>114</v>
      </c>
      <c r="V620" s="269"/>
      <c r="W620" s="269"/>
    </row>
    <row r="621" spans="1:23" ht="69.75" customHeight="1" x14ac:dyDescent="0.2">
      <c r="A621" s="277">
        <f t="shared" si="0"/>
        <v>617</v>
      </c>
      <c r="B621" s="278">
        <v>44232</v>
      </c>
      <c r="C621" s="249">
        <v>44166</v>
      </c>
      <c r="D621" s="250" t="s">
        <v>99</v>
      </c>
      <c r="E621" s="250" t="s">
        <v>336</v>
      </c>
      <c r="F621" s="251">
        <v>75</v>
      </c>
      <c r="G621" s="255" t="s">
        <v>3301</v>
      </c>
      <c r="H621" s="250" t="s">
        <v>117</v>
      </c>
      <c r="I621" s="250" t="s">
        <v>465</v>
      </c>
      <c r="J621" s="250" t="s">
        <v>114</v>
      </c>
      <c r="K621" s="250" t="s">
        <v>466</v>
      </c>
      <c r="L621" s="250" t="s">
        <v>467</v>
      </c>
      <c r="M621" s="255">
        <v>2258</v>
      </c>
      <c r="N621" s="278">
        <v>44232</v>
      </c>
      <c r="O621" s="329" t="s">
        <v>67</v>
      </c>
      <c r="P621" s="386">
        <f t="shared" ref="P621:Q621" si="618">IF(B621=0,0,IF(YEAR(B621)=$Q$1,MONTH(B621)-$P$1+1,(YEAR(B621)-$Q$1)*12-$P$1+1+MONTH(B621)))</f>
        <v>2</v>
      </c>
      <c r="Q621" s="330">
        <f t="shared" si="618"/>
        <v>0</v>
      </c>
      <c r="R621" s="351" t="str">
        <f t="shared" si="3"/>
        <v>Gastos_Gerais</v>
      </c>
      <c r="S621" s="351" t="str">
        <f>IF(D621="","",IF(OR(D621=Plano!$A$1,D621=Plano!$B$1),"entrada","saída"))</f>
        <v>saída</v>
      </c>
      <c r="T621" s="334" t="s">
        <v>114</v>
      </c>
      <c r="U621" s="334" t="s">
        <v>114</v>
      </c>
      <c r="V621" s="269"/>
      <c r="W621" s="269"/>
    </row>
    <row r="622" spans="1:23" ht="69.75" customHeight="1" x14ac:dyDescent="0.2">
      <c r="A622" s="277">
        <f t="shared" si="0"/>
        <v>618</v>
      </c>
      <c r="B622" s="278">
        <v>44232</v>
      </c>
      <c r="C622" s="249">
        <v>44166</v>
      </c>
      <c r="D622" s="250" t="s">
        <v>99</v>
      </c>
      <c r="E622" s="250" t="s">
        <v>262</v>
      </c>
      <c r="F622" s="251">
        <v>80</v>
      </c>
      <c r="G622" s="255" t="s">
        <v>3302</v>
      </c>
      <c r="H622" s="250" t="s">
        <v>117</v>
      </c>
      <c r="I622" s="250" t="s">
        <v>465</v>
      </c>
      <c r="J622" s="250" t="s">
        <v>114</v>
      </c>
      <c r="K622" s="250" t="s">
        <v>466</v>
      </c>
      <c r="L622" s="250" t="s">
        <v>467</v>
      </c>
      <c r="M622" s="255">
        <v>2259</v>
      </c>
      <c r="N622" s="278">
        <v>44232</v>
      </c>
      <c r="O622" s="329" t="s">
        <v>67</v>
      </c>
      <c r="P622" s="386">
        <f t="shared" ref="P622:Q622" si="619">IF(B622=0,0,IF(YEAR(B622)=$Q$1,MONTH(B622)-$P$1+1,(YEAR(B622)-$Q$1)*12-$P$1+1+MONTH(B622)))</f>
        <v>2</v>
      </c>
      <c r="Q622" s="330">
        <f t="shared" si="619"/>
        <v>0</v>
      </c>
      <c r="R622" s="351" t="str">
        <f t="shared" si="3"/>
        <v>Gastos_Gerais</v>
      </c>
      <c r="S622" s="351" t="str">
        <f>IF(D622="","",IF(OR(D622=Plano!$A$1,D622=Plano!$B$1),"entrada","saída"))</f>
        <v>saída</v>
      </c>
      <c r="T622" s="334" t="s">
        <v>114</v>
      </c>
      <c r="U622" s="334" t="s">
        <v>114</v>
      </c>
      <c r="V622" s="269"/>
      <c r="W622" s="269"/>
    </row>
    <row r="623" spans="1:23" ht="69.75" customHeight="1" x14ac:dyDescent="0.2">
      <c r="A623" s="277">
        <f t="shared" si="0"/>
        <v>619</v>
      </c>
      <c r="B623" s="278">
        <v>44232</v>
      </c>
      <c r="C623" s="249">
        <v>44166</v>
      </c>
      <c r="D623" s="250" t="s">
        <v>99</v>
      </c>
      <c r="E623" s="250" t="s">
        <v>336</v>
      </c>
      <c r="F623" s="251">
        <v>69</v>
      </c>
      <c r="G623" s="255" t="s">
        <v>3303</v>
      </c>
      <c r="H623" s="250" t="s">
        <v>116</v>
      </c>
      <c r="I623" s="250" t="s">
        <v>465</v>
      </c>
      <c r="J623" s="250" t="s">
        <v>114</v>
      </c>
      <c r="K623" s="250" t="s">
        <v>466</v>
      </c>
      <c r="L623" s="250" t="s">
        <v>467</v>
      </c>
      <c r="M623" s="250">
        <v>2261</v>
      </c>
      <c r="N623" s="278">
        <v>44232</v>
      </c>
      <c r="O623" s="329" t="s">
        <v>67</v>
      </c>
      <c r="P623" s="386">
        <f t="shared" ref="P623:Q623" si="620">IF(B623=0,0,IF(YEAR(B623)=$Q$1,MONTH(B623)-$P$1+1,(YEAR(B623)-$Q$1)*12-$P$1+1+MONTH(B623)))</f>
        <v>2</v>
      </c>
      <c r="Q623" s="330">
        <f t="shared" si="620"/>
        <v>0</v>
      </c>
      <c r="R623" s="351" t="str">
        <f t="shared" si="3"/>
        <v>Gastos_Gerais</v>
      </c>
      <c r="S623" s="351" t="str">
        <f>IF(D623="","",IF(OR(D623=Plano!$A$1,D623=Plano!$B$1),"entrada","saída"))</f>
        <v>saída</v>
      </c>
      <c r="T623" s="334" t="s">
        <v>114</v>
      </c>
      <c r="U623" s="334" t="s">
        <v>114</v>
      </c>
      <c r="V623" s="269"/>
      <c r="W623" s="269"/>
    </row>
    <row r="624" spans="1:23" ht="69.75" customHeight="1" x14ac:dyDescent="0.2">
      <c r="A624" s="277">
        <f t="shared" si="0"/>
        <v>620</v>
      </c>
      <c r="B624" s="278">
        <v>44232</v>
      </c>
      <c r="C624" s="249">
        <v>44166</v>
      </c>
      <c r="D624" s="250" t="s">
        <v>99</v>
      </c>
      <c r="E624" s="250" t="s">
        <v>236</v>
      </c>
      <c r="F624" s="251">
        <v>105</v>
      </c>
      <c r="G624" s="255" t="s">
        <v>3304</v>
      </c>
      <c r="H624" s="250" t="s">
        <v>116</v>
      </c>
      <c r="I624" s="250" t="s">
        <v>465</v>
      </c>
      <c r="J624" s="250" t="s">
        <v>114</v>
      </c>
      <c r="K624" s="250" t="s">
        <v>466</v>
      </c>
      <c r="L624" s="250" t="s">
        <v>467</v>
      </c>
      <c r="M624" s="255">
        <v>2262</v>
      </c>
      <c r="N624" s="278">
        <v>44232</v>
      </c>
      <c r="O624" s="329" t="s">
        <v>67</v>
      </c>
      <c r="P624" s="386">
        <f t="shared" ref="P624:Q624" si="621">IF(B624=0,0,IF(YEAR(B624)=$Q$1,MONTH(B624)-$P$1+1,(YEAR(B624)-$Q$1)*12-$P$1+1+MONTH(B624)))</f>
        <v>2</v>
      </c>
      <c r="Q624" s="330">
        <f t="shared" si="621"/>
        <v>0</v>
      </c>
      <c r="R624" s="351" t="str">
        <f t="shared" si="3"/>
        <v>Gastos_Gerais</v>
      </c>
      <c r="S624" s="351" t="str">
        <f>IF(D624="","",IF(OR(D624=Plano!$A$1,D624=Plano!$B$1),"entrada","saída"))</f>
        <v>saída</v>
      </c>
      <c r="T624" s="334" t="s">
        <v>114</v>
      </c>
      <c r="U624" s="334" t="s">
        <v>114</v>
      </c>
      <c r="V624" s="269"/>
      <c r="W624" s="269"/>
    </row>
    <row r="625" spans="1:23" ht="69.75" customHeight="1" x14ac:dyDescent="0.2">
      <c r="A625" s="277">
        <f t="shared" si="0"/>
        <v>621</v>
      </c>
      <c r="B625" s="278">
        <v>44232</v>
      </c>
      <c r="C625" s="249">
        <v>44166</v>
      </c>
      <c r="D625" s="250" t="s">
        <v>99</v>
      </c>
      <c r="E625" s="250" t="s">
        <v>358</v>
      </c>
      <c r="F625" s="251">
        <v>66.650000000000006</v>
      </c>
      <c r="G625" s="255" t="s">
        <v>3305</v>
      </c>
      <c r="H625" s="250" t="s">
        <v>131</v>
      </c>
      <c r="I625" s="250" t="s">
        <v>465</v>
      </c>
      <c r="J625" s="250" t="s">
        <v>114</v>
      </c>
      <c r="K625" s="250" t="s">
        <v>466</v>
      </c>
      <c r="L625" s="250" t="s">
        <v>467</v>
      </c>
      <c r="M625" s="255">
        <v>2263</v>
      </c>
      <c r="N625" s="278">
        <v>44232</v>
      </c>
      <c r="O625" s="329" t="s">
        <v>67</v>
      </c>
      <c r="P625" s="386">
        <f t="shared" ref="P625:Q625" si="622">IF(B625=0,0,IF(YEAR(B625)=$Q$1,MONTH(B625)-$P$1+1,(YEAR(B625)-$Q$1)*12-$P$1+1+MONTH(B625)))</f>
        <v>2</v>
      </c>
      <c r="Q625" s="330">
        <f t="shared" si="622"/>
        <v>0</v>
      </c>
      <c r="R625" s="351" t="str">
        <f t="shared" si="3"/>
        <v>Gastos_Gerais</v>
      </c>
      <c r="S625" s="351" t="str">
        <f>IF(D625="","",IF(OR(D625=Plano!$A$1,D625=Plano!$B$1),"entrada","saída"))</f>
        <v>saída</v>
      </c>
      <c r="T625" s="334" t="s">
        <v>114</v>
      </c>
      <c r="U625" s="334" t="s">
        <v>114</v>
      </c>
      <c r="V625" s="269"/>
      <c r="W625" s="269"/>
    </row>
    <row r="626" spans="1:23" ht="69.75" customHeight="1" x14ac:dyDescent="0.2">
      <c r="A626" s="277">
        <f t="shared" si="0"/>
        <v>622</v>
      </c>
      <c r="B626" s="278">
        <v>44232</v>
      </c>
      <c r="C626" s="249">
        <v>44136</v>
      </c>
      <c r="D626" s="250" t="s">
        <v>99</v>
      </c>
      <c r="E626" s="250" t="s">
        <v>358</v>
      </c>
      <c r="F626" s="251">
        <v>15</v>
      </c>
      <c r="G626" s="255" t="s">
        <v>3306</v>
      </c>
      <c r="H626" s="250" t="s">
        <v>116</v>
      </c>
      <c r="I626" s="250" t="s">
        <v>465</v>
      </c>
      <c r="J626" s="250" t="s">
        <v>114</v>
      </c>
      <c r="K626" s="250" t="s">
        <v>466</v>
      </c>
      <c r="L626" s="250" t="s">
        <v>467</v>
      </c>
      <c r="M626" s="255">
        <v>2265</v>
      </c>
      <c r="N626" s="278">
        <v>44232</v>
      </c>
      <c r="O626" s="329" t="s">
        <v>67</v>
      </c>
      <c r="P626" s="386">
        <f t="shared" ref="P626:Q626" si="623">IF(B626=0,0,IF(YEAR(B626)=$Q$1,MONTH(B626)-$P$1+1,(YEAR(B626)-$Q$1)*12-$P$1+1+MONTH(B626)))</f>
        <v>2</v>
      </c>
      <c r="Q626" s="330">
        <f t="shared" si="623"/>
        <v>-1</v>
      </c>
      <c r="R626" s="351" t="str">
        <f t="shared" si="3"/>
        <v>Gastos_Gerais</v>
      </c>
      <c r="S626" s="351" t="str">
        <f>IF(D626="","",IF(OR(D626=Plano!$A$1,D626=Plano!$B$1),"entrada","saída"))</f>
        <v>saída</v>
      </c>
      <c r="T626" s="334" t="s">
        <v>114</v>
      </c>
      <c r="U626" s="334" t="s">
        <v>114</v>
      </c>
      <c r="V626" s="269"/>
      <c r="W626" s="269"/>
    </row>
    <row r="627" spans="1:23" ht="69.75" customHeight="1" x14ac:dyDescent="0.2">
      <c r="A627" s="277">
        <f t="shared" si="0"/>
        <v>623</v>
      </c>
      <c r="B627" s="278">
        <v>44232</v>
      </c>
      <c r="C627" s="249">
        <v>44166</v>
      </c>
      <c r="D627" s="250" t="s">
        <v>99</v>
      </c>
      <c r="E627" s="250" t="s">
        <v>236</v>
      </c>
      <c r="F627" s="251">
        <v>45</v>
      </c>
      <c r="G627" s="255" t="s">
        <v>3307</v>
      </c>
      <c r="H627" s="250" t="s">
        <v>122</v>
      </c>
      <c r="I627" s="250" t="s">
        <v>465</v>
      </c>
      <c r="J627" s="250" t="s">
        <v>114</v>
      </c>
      <c r="K627" s="250" t="s">
        <v>466</v>
      </c>
      <c r="L627" s="250" t="s">
        <v>467</v>
      </c>
      <c r="M627" s="255">
        <v>2266</v>
      </c>
      <c r="N627" s="278">
        <v>44232</v>
      </c>
      <c r="O627" s="329" t="s">
        <v>67</v>
      </c>
      <c r="P627" s="386">
        <f t="shared" ref="P627:Q627" si="624">IF(B627=0,0,IF(YEAR(B627)=$Q$1,MONTH(B627)-$P$1+1,(YEAR(B627)-$Q$1)*12-$P$1+1+MONTH(B627)))</f>
        <v>2</v>
      </c>
      <c r="Q627" s="330">
        <f t="shared" si="624"/>
        <v>0</v>
      </c>
      <c r="R627" s="351" t="str">
        <f t="shared" si="3"/>
        <v>Gastos_Gerais</v>
      </c>
      <c r="S627" s="351" t="str">
        <f>IF(D627="","",IF(OR(D627=Plano!$A$1,D627=Plano!$B$1),"entrada","saída"))</f>
        <v>saída</v>
      </c>
      <c r="T627" s="334" t="s">
        <v>114</v>
      </c>
      <c r="U627" s="334" t="s">
        <v>114</v>
      </c>
      <c r="V627" s="269"/>
      <c r="W627" s="269"/>
    </row>
    <row r="628" spans="1:23" ht="69.75" customHeight="1" x14ac:dyDescent="0.2">
      <c r="A628" s="277">
        <f t="shared" si="0"/>
        <v>624</v>
      </c>
      <c r="B628" s="278">
        <v>44232</v>
      </c>
      <c r="C628" s="249">
        <v>44105</v>
      </c>
      <c r="D628" s="250" t="s">
        <v>99</v>
      </c>
      <c r="E628" s="250" t="s">
        <v>330</v>
      </c>
      <c r="F628" s="251">
        <v>100</v>
      </c>
      <c r="G628" s="255" t="s">
        <v>3308</v>
      </c>
      <c r="H628" s="250" t="s">
        <v>125</v>
      </c>
      <c r="I628" s="250" t="s">
        <v>465</v>
      </c>
      <c r="J628" s="250" t="s">
        <v>114</v>
      </c>
      <c r="K628" s="250" t="s">
        <v>466</v>
      </c>
      <c r="L628" s="250" t="s">
        <v>467</v>
      </c>
      <c r="M628" s="255">
        <v>2267</v>
      </c>
      <c r="N628" s="278">
        <v>44232</v>
      </c>
      <c r="O628" s="329" t="s">
        <v>67</v>
      </c>
      <c r="P628" s="386">
        <f t="shared" ref="P628:Q628" si="625">IF(B628=0,0,IF(YEAR(B628)=$Q$1,MONTH(B628)-$P$1+1,(YEAR(B628)-$Q$1)*12-$P$1+1+MONTH(B628)))</f>
        <v>2</v>
      </c>
      <c r="Q628" s="330">
        <f t="shared" si="625"/>
        <v>-2</v>
      </c>
      <c r="R628" s="351" t="str">
        <f t="shared" si="3"/>
        <v>Gastos_Gerais</v>
      </c>
      <c r="S628" s="351" t="str">
        <f>IF(D628="","",IF(OR(D628=Plano!$A$1,D628=Plano!$B$1),"entrada","saída"))</f>
        <v>saída</v>
      </c>
      <c r="T628" s="334" t="s">
        <v>114</v>
      </c>
      <c r="U628" s="334" t="s">
        <v>114</v>
      </c>
      <c r="V628" s="269"/>
      <c r="W628" s="269"/>
    </row>
    <row r="629" spans="1:23" ht="69.75" customHeight="1" x14ac:dyDescent="0.2">
      <c r="A629" s="277">
        <f t="shared" si="0"/>
        <v>625</v>
      </c>
      <c r="B629" s="278">
        <v>44232</v>
      </c>
      <c r="C629" s="249">
        <v>44136</v>
      </c>
      <c r="D629" s="250" t="s">
        <v>99</v>
      </c>
      <c r="E629" s="250" t="s">
        <v>358</v>
      </c>
      <c r="F629" s="251">
        <v>27</v>
      </c>
      <c r="G629" s="255" t="s">
        <v>3309</v>
      </c>
      <c r="H629" s="250" t="s">
        <v>128</v>
      </c>
      <c r="I629" s="250" t="s">
        <v>465</v>
      </c>
      <c r="J629" s="250" t="s">
        <v>114</v>
      </c>
      <c r="K629" s="250" t="s">
        <v>466</v>
      </c>
      <c r="L629" s="250" t="s">
        <v>467</v>
      </c>
      <c r="M629" s="255">
        <v>2270</v>
      </c>
      <c r="N629" s="278">
        <v>44232</v>
      </c>
      <c r="O629" s="329" t="s">
        <v>67</v>
      </c>
      <c r="P629" s="386">
        <f t="shared" ref="P629:Q629" si="626">IF(B629=0,0,IF(YEAR(B629)=$Q$1,MONTH(B629)-$P$1+1,(YEAR(B629)-$Q$1)*12-$P$1+1+MONTH(B629)))</f>
        <v>2</v>
      </c>
      <c r="Q629" s="330">
        <f t="shared" si="626"/>
        <v>-1</v>
      </c>
      <c r="R629" s="351" t="str">
        <f t="shared" si="3"/>
        <v>Gastos_Gerais</v>
      </c>
      <c r="S629" s="351" t="str">
        <f>IF(D629="","",IF(OR(D629=Plano!$A$1,D629=Plano!$B$1),"entrada","saída"))</f>
        <v>saída</v>
      </c>
      <c r="T629" s="334" t="s">
        <v>114</v>
      </c>
      <c r="U629" s="334" t="s">
        <v>114</v>
      </c>
      <c r="V629" s="269"/>
      <c r="W629" s="269"/>
    </row>
    <row r="630" spans="1:23" ht="69.75" customHeight="1" x14ac:dyDescent="0.2">
      <c r="A630" s="277">
        <f t="shared" si="0"/>
        <v>626</v>
      </c>
      <c r="B630" s="278">
        <v>44232</v>
      </c>
      <c r="C630" s="249">
        <v>44166</v>
      </c>
      <c r="D630" s="250" t="s">
        <v>99</v>
      </c>
      <c r="E630" s="250" t="s">
        <v>352</v>
      </c>
      <c r="F630" s="251">
        <v>96</v>
      </c>
      <c r="G630" s="255" t="s">
        <v>3310</v>
      </c>
      <c r="H630" s="250" t="s">
        <v>125</v>
      </c>
      <c r="I630" s="250" t="s">
        <v>465</v>
      </c>
      <c r="J630" s="250" t="s">
        <v>114</v>
      </c>
      <c r="K630" s="250" t="s">
        <v>466</v>
      </c>
      <c r="L630" s="250" t="s">
        <v>467</v>
      </c>
      <c r="M630" s="255">
        <v>2272</v>
      </c>
      <c r="N630" s="278">
        <v>44232</v>
      </c>
      <c r="O630" s="329" t="s">
        <v>67</v>
      </c>
      <c r="P630" s="386">
        <f t="shared" ref="P630:Q630" si="627">IF(B630=0,0,IF(YEAR(B630)=$Q$1,MONTH(B630)-$P$1+1,(YEAR(B630)-$Q$1)*12-$P$1+1+MONTH(B630)))</f>
        <v>2</v>
      </c>
      <c r="Q630" s="330">
        <f t="shared" si="627"/>
        <v>0</v>
      </c>
      <c r="R630" s="351" t="str">
        <f t="shared" si="3"/>
        <v>Gastos_Gerais</v>
      </c>
      <c r="S630" s="351" t="str">
        <f>IF(D630="","",IF(OR(D630=Plano!$A$1,D630=Plano!$B$1),"entrada","saída"))</f>
        <v>saída</v>
      </c>
      <c r="T630" s="334" t="s">
        <v>114</v>
      </c>
      <c r="U630" s="334" t="s">
        <v>114</v>
      </c>
      <c r="V630" s="269"/>
      <c r="W630" s="269"/>
    </row>
    <row r="631" spans="1:23" ht="69.75" customHeight="1" x14ac:dyDescent="0.2">
      <c r="A631" s="277">
        <f t="shared" si="0"/>
        <v>627</v>
      </c>
      <c r="B631" s="278">
        <v>44232</v>
      </c>
      <c r="C631" s="249">
        <v>44136</v>
      </c>
      <c r="D631" s="250" t="s">
        <v>99</v>
      </c>
      <c r="E631" s="250" t="s">
        <v>358</v>
      </c>
      <c r="F631" s="251">
        <v>50</v>
      </c>
      <c r="G631" s="255" t="s">
        <v>3311</v>
      </c>
      <c r="H631" s="250" t="s">
        <v>131</v>
      </c>
      <c r="I631" s="250" t="s">
        <v>465</v>
      </c>
      <c r="J631" s="250" t="s">
        <v>114</v>
      </c>
      <c r="K631" s="250" t="s">
        <v>466</v>
      </c>
      <c r="L631" s="250" t="s">
        <v>467</v>
      </c>
      <c r="M631" s="255">
        <v>2273</v>
      </c>
      <c r="N631" s="278">
        <v>44232</v>
      </c>
      <c r="O631" s="329" t="s">
        <v>67</v>
      </c>
      <c r="P631" s="386">
        <f t="shared" ref="P631:Q631" si="628">IF(B631=0,0,IF(YEAR(B631)=$Q$1,MONTH(B631)-$P$1+1,(YEAR(B631)-$Q$1)*12-$P$1+1+MONTH(B631)))</f>
        <v>2</v>
      </c>
      <c r="Q631" s="330">
        <f t="shared" si="628"/>
        <v>-1</v>
      </c>
      <c r="R631" s="351" t="str">
        <f t="shared" si="3"/>
        <v>Gastos_Gerais</v>
      </c>
      <c r="S631" s="351" t="str">
        <f>IF(D631="","",IF(OR(D631=Plano!$A$1,D631=Plano!$B$1),"entrada","saída"))</f>
        <v>saída</v>
      </c>
      <c r="T631" s="334" t="s">
        <v>114</v>
      </c>
      <c r="U631" s="334" t="s">
        <v>114</v>
      </c>
      <c r="V631" s="269"/>
      <c r="W631" s="269"/>
    </row>
    <row r="632" spans="1:23" ht="69.75" customHeight="1" x14ac:dyDescent="0.2">
      <c r="A632" s="277">
        <f t="shared" si="0"/>
        <v>628</v>
      </c>
      <c r="B632" s="278">
        <v>44232</v>
      </c>
      <c r="C632" s="249">
        <v>44136</v>
      </c>
      <c r="D632" s="250" t="s">
        <v>99</v>
      </c>
      <c r="E632" s="250" t="s">
        <v>358</v>
      </c>
      <c r="F632" s="251">
        <v>22.5</v>
      </c>
      <c r="G632" s="255" t="s">
        <v>3312</v>
      </c>
      <c r="H632" s="250" t="s">
        <v>128</v>
      </c>
      <c r="I632" s="250" t="s">
        <v>465</v>
      </c>
      <c r="J632" s="250" t="s">
        <v>114</v>
      </c>
      <c r="K632" s="250" t="s">
        <v>466</v>
      </c>
      <c r="L632" s="250" t="s">
        <v>467</v>
      </c>
      <c r="M632" s="255">
        <v>2274</v>
      </c>
      <c r="N632" s="278">
        <v>44232</v>
      </c>
      <c r="O632" s="329" t="s">
        <v>67</v>
      </c>
      <c r="P632" s="386">
        <f t="shared" ref="P632:Q632" si="629">IF(B632=0,0,IF(YEAR(B632)=$Q$1,MONTH(B632)-$P$1+1,(YEAR(B632)-$Q$1)*12-$P$1+1+MONTH(B632)))</f>
        <v>2</v>
      </c>
      <c r="Q632" s="330">
        <f t="shared" si="629"/>
        <v>-1</v>
      </c>
      <c r="R632" s="351" t="str">
        <f t="shared" si="3"/>
        <v>Gastos_Gerais</v>
      </c>
      <c r="S632" s="351" t="str">
        <f>IF(D632="","",IF(OR(D632=Plano!$A$1,D632=Plano!$B$1),"entrada","saída"))</f>
        <v>saída</v>
      </c>
      <c r="T632" s="334" t="s">
        <v>114</v>
      </c>
      <c r="U632" s="334" t="s">
        <v>114</v>
      </c>
      <c r="V632" s="269"/>
      <c r="W632" s="269"/>
    </row>
    <row r="633" spans="1:23" ht="69.75" customHeight="1" x14ac:dyDescent="0.2">
      <c r="A633" s="277">
        <f t="shared" si="0"/>
        <v>629</v>
      </c>
      <c r="B633" s="278">
        <v>44232</v>
      </c>
      <c r="C633" s="249">
        <v>44166</v>
      </c>
      <c r="D633" s="250" t="s">
        <v>99</v>
      </c>
      <c r="E633" s="250" t="s">
        <v>358</v>
      </c>
      <c r="F633" s="251">
        <v>25</v>
      </c>
      <c r="G633" s="255" t="s">
        <v>3313</v>
      </c>
      <c r="H633" s="250" t="s">
        <v>133</v>
      </c>
      <c r="I633" s="250" t="s">
        <v>465</v>
      </c>
      <c r="J633" s="250" t="s">
        <v>114</v>
      </c>
      <c r="K633" s="250" t="s">
        <v>466</v>
      </c>
      <c r="L633" s="250" t="s">
        <v>467</v>
      </c>
      <c r="M633" s="255">
        <v>2275</v>
      </c>
      <c r="N633" s="278">
        <v>44232</v>
      </c>
      <c r="O633" s="329" t="s">
        <v>67</v>
      </c>
      <c r="P633" s="386">
        <f t="shared" ref="P633:Q633" si="630">IF(B633=0,0,IF(YEAR(B633)=$Q$1,MONTH(B633)-$P$1+1,(YEAR(B633)-$Q$1)*12-$P$1+1+MONTH(B633)))</f>
        <v>2</v>
      </c>
      <c r="Q633" s="330">
        <f t="shared" si="630"/>
        <v>0</v>
      </c>
      <c r="R633" s="351" t="str">
        <f t="shared" si="3"/>
        <v>Gastos_Gerais</v>
      </c>
      <c r="S633" s="351" t="str">
        <f>IF(D633="","",IF(OR(D633=Plano!$A$1,D633=Plano!$B$1),"entrada","saída"))</f>
        <v>saída</v>
      </c>
      <c r="T633" s="334" t="s">
        <v>114</v>
      </c>
      <c r="U633" s="334" t="s">
        <v>114</v>
      </c>
      <c r="V633" s="269"/>
      <c r="W633" s="269"/>
    </row>
    <row r="634" spans="1:23" ht="69.75" customHeight="1" x14ac:dyDescent="0.2">
      <c r="A634" s="277">
        <f t="shared" si="0"/>
        <v>630</v>
      </c>
      <c r="B634" s="278">
        <v>44232</v>
      </c>
      <c r="C634" s="249">
        <v>44136</v>
      </c>
      <c r="D634" s="250" t="s">
        <v>99</v>
      </c>
      <c r="E634" s="250" t="s">
        <v>352</v>
      </c>
      <c r="F634" s="251">
        <v>50</v>
      </c>
      <c r="G634" s="255" t="s">
        <v>3314</v>
      </c>
      <c r="H634" s="250" t="s">
        <v>125</v>
      </c>
      <c r="I634" s="250" t="s">
        <v>465</v>
      </c>
      <c r="J634" s="250" t="s">
        <v>114</v>
      </c>
      <c r="K634" s="250" t="s">
        <v>466</v>
      </c>
      <c r="L634" s="250" t="s">
        <v>467</v>
      </c>
      <c r="M634" s="255">
        <v>2276</v>
      </c>
      <c r="N634" s="278">
        <v>44232</v>
      </c>
      <c r="O634" s="329" t="s">
        <v>67</v>
      </c>
      <c r="P634" s="386">
        <f t="shared" ref="P634:Q634" si="631">IF(B634=0,0,IF(YEAR(B634)=$Q$1,MONTH(B634)-$P$1+1,(YEAR(B634)-$Q$1)*12-$P$1+1+MONTH(B634)))</f>
        <v>2</v>
      </c>
      <c r="Q634" s="330">
        <f t="shared" si="631"/>
        <v>-1</v>
      </c>
      <c r="R634" s="351" t="str">
        <f t="shared" si="3"/>
        <v>Gastos_Gerais</v>
      </c>
      <c r="S634" s="351" t="str">
        <f>IF(D634="","",IF(OR(D634=Plano!$A$1,D634=Plano!$B$1),"entrada","saída"))</f>
        <v>saída</v>
      </c>
      <c r="T634" s="334" t="s">
        <v>114</v>
      </c>
      <c r="U634" s="334" t="s">
        <v>114</v>
      </c>
      <c r="V634" s="269"/>
      <c r="W634" s="269"/>
    </row>
    <row r="635" spans="1:23" ht="69.75" customHeight="1" x14ac:dyDescent="0.2">
      <c r="A635" s="277">
        <f t="shared" si="0"/>
        <v>631</v>
      </c>
      <c r="B635" s="278">
        <v>44232</v>
      </c>
      <c r="C635" s="249">
        <v>44197</v>
      </c>
      <c r="D635" s="250" t="s">
        <v>99</v>
      </c>
      <c r="E635" s="250" t="s">
        <v>358</v>
      </c>
      <c r="F635" s="251">
        <v>36.65</v>
      </c>
      <c r="G635" s="255" t="s">
        <v>3315</v>
      </c>
      <c r="H635" s="250" t="s">
        <v>131</v>
      </c>
      <c r="I635" s="250" t="s">
        <v>465</v>
      </c>
      <c r="J635" s="250" t="s">
        <v>114</v>
      </c>
      <c r="K635" s="250" t="s">
        <v>466</v>
      </c>
      <c r="L635" s="250" t="s">
        <v>467</v>
      </c>
      <c r="M635" s="255">
        <v>2277</v>
      </c>
      <c r="N635" s="278">
        <v>44232</v>
      </c>
      <c r="O635" s="329" t="s">
        <v>67</v>
      </c>
      <c r="P635" s="386">
        <f t="shared" ref="P635:Q635" si="632">IF(B635=0,0,IF(YEAR(B635)=$Q$1,MONTH(B635)-$P$1+1,(YEAR(B635)-$Q$1)*12-$P$1+1+MONTH(B635)))</f>
        <v>2</v>
      </c>
      <c r="Q635" s="330">
        <f t="shared" si="632"/>
        <v>1</v>
      </c>
      <c r="R635" s="351" t="str">
        <f t="shared" si="3"/>
        <v>Gastos_Gerais</v>
      </c>
      <c r="S635" s="351" t="str">
        <f>IF(D635="","",IF(OR(D635=Plano!$A$1,D635=Plano!$B$1),"entrada","saída"))</f>
        <v>saída</v>
      </c>
      <c r="T635" s="334" t="s">
        <v>114</v>
      </c>
      <c r="U635" s="334" t="s">
        <v>114</v>
      </c>
      <c r="V635" s="269"/>
      <c r="W635" s="269"/>
    </row>
    <row r="636" spans="1:23" ht="69.75" customHeight="1" x14ac:dyDescent="0.2">
      <c r="A636" s="277">
        <f t="shared" si="0"/>
        <v>632</v>
      </c>
      <c r="B636" s="278">
        <v>44232</v>
      </c>
      <c r="C636" s="249">
        <v>44197</v>
      </c>
      <c r="D636" s="250" t="s">
        <v>99</v>
      </c>
      <c r="E636" s="250" t="s">
        <v>358</v>
      </c>
      <c r="F636" s="251">
        <v>36.65</v>
      </c>
      <c r="G636" s="255" t="s">
        <v>3316</v>
      </c>
      <c r="H636" s="250" t="s">
        <v>131</v>
      </c>
      <c r="I636" s="250" t="s">
        <v>465</v>
      </c>
      <c r="J636" s="250" t="s">
        <v>114</v>
      </c>
      <c r="K636" s="250" t="s">
        <v>466</v>
      </c>
      <c r="L636" s="250" t="s">
        <v>467</v>
      </c>
      <c r="M636" s="255">
        <v>2278</v>
      </c>
      <c r="N636" s="278">
        <v>44232</v>
      </c>
      <c r="O636" s="329" t="s">
        <v>67</v>
      </c>
      <c r="P636" s="386">
        <f t="shared" ref="P636:Q636" si="633">IF(B636=0,0,IF(YEAR(B636)=$Q$1,MONTH(B636)-$P$1+1,(YEAR(B636)-$Q$1)*12-$P$1+1+MONTH(B636)))</f>
        <v>2</v>
      </c>
      <c r="Q636" s="330">
        <f t="shared" si="633"/>
        <v>1</v>
      </c>
      <c r="R636" s="351" t="str">
        <f t="shared" si="3"/>
        <v>Gastos_Gerais</v>
      </c>
      <c r="S636" s="351" t="str">
        <f>IF(D636="","",IF(OR(D636=Plano!$A$1,D636=Plano!$B$1),"entrada","saída"))</f>
        <v>saída</v>
      </c>
      <c r="T636" s="334" t="s">
        <v>114</v>
      </c>
      <c r="U636" s="334" t="s">
        <v>114</v>
      </c>
      <c r="V636" s="269"/>
      <c r="W636" s="269"/>
    </row>
    <row r="637" spans="1:23" ht="69.75" customHeight="1" x14ac:dyDescent="0.2">
      <c r="A637" s="277">
        <f t="shared" si="0"/>
        <v>633</v>
      </c>
      <c r="B637" s="278">
        <v>44232</v>
      </c>
      <c r="C637" s="249">
        <v>44197</v>
      </c>
      <c r="D637" s="250" t="s">
        <v>99</v>
      </c>
      <c r="E637" s="250" t="s">
        <v>358</v>
      </c>
      <c r="F637" s="251">
        <v>36.65</v>
      </c>
      <c r="G637" s="255" t="s">
        <v>3317</v>
      </c>
      <c r="H637" s="250" t="s">
        <v>131</v>
      </c>
      <c r="I637" s="250" t="s">
        <v>465</v>
      </c>
      <c r="J637" s="250" t="s">
        <v>114</v>
      </c>
      <c r="K637" s="250" t="s">
        <v>466</v>
      </c>
      <c r="L637" s="250" t="s">
        <v>467</v>
      </c>
      <c r="M637" s="255">
        <v>2279</v>
      </c>
      <c r="N637" s="278">
        <v>44232</v>
      </c>
      <c r="O637" s="329" t="s">
        <v>67</v>
      </c>
      <c r="P637" s="386">
        <f t="shared" ref="P637:Q637" si="634">IF(B637=0,0,IF(YEAR(B637)=$Q$1,MONTH(B637)-$P$1+1,(YEAR(B637)-$Q$1)*12-$P$1+1+MONTH(B637)))</f>
        <v>2</v>
      </c>
      <c r="Q637" s="330">
        <f t="shared" si="634"/>
        <v>1</v>
      </c>
      <c r="R637" s="351" t="str">
        <f t="shared" si="3"/>
        <v>Gastos_Gerais</v>
      </c>
      <c r="S637" s="351" t="str">
        <f>IF(D637="","",IF(OR(D637=Plano!$A$1,D637=Plano!$B$1),"entrada","saída"))</f>
        <v>saída</v>
      </c>
      <c r="T637" s="334" t="s">
        <v>114</v>
      </c>
      <c r="U637" s="334" t="s">
        <v>114</v>
      </c>
      <c r="V637" s="269"/>
      <c r="W637" s="269"/>
    </row>
    <row r="638" spans="1:23" ht="69.75" customHeight="1" x14ac:dyDescent="0.2">
      <c r="A638" s="277">
        <f t="shared" si="0"/>
        <v>634</v>
      </c>
      <c r="B638" s="278">
        <v>44232</v>
      </c>
      <c r="C638" s="249">
        <v>44197</v>
      </c>
      <c r="D638" s="250" t="s">
        <v>99</v>
      </c>
      <c r="E638" s="250" t="s">
        <v>358</v>
      </c>
      <c r="F638" s="251">
        <v>26.65</v>
      </c>
      <c r="G638" s="255" t="s">
        <v>3318</v>
      </c>
      <c r="H638" s="250" t="s">
        <v>131</v>
      </c>
      <c r="I638" s="250" t="s">
        <v>465</v>
      </c>
      <c r="J638" s="250" t="s">
        <v>114</v>
      </c>
      <c r="K638" s="250" t="s">
        <v>466</v>
      </c>
      <c r="L638" s="250" t="s">
        <v>467</v>
      </c>
      <c r="M638" s="255">
        <v>2280</v>
      </c>
      <c r="N638" s="278">
        <v>44232</v>
      </c>
      <c r="O638" s="329" t="s">
        <v>67</v>
      </c>
      <c r="P638" s="386">
        <f t="shared" ref="P638:Q638" si="635">IF(B638=0,0,IF(YEAR(B638)=$Q$1,MONTH(B638)-$P$1+1,(YEAR(B638)-$Q$1)*12-$P$1+1+MONTH(B638)))</f>
        <v>2</v>
      </c>
      <c r="Q638" s="330">
        <f t="shared" si="635"/>
        <v>1</v>
      </c>
      <c r="R638" s="351" t="str">
        <f t="shared" si="3"/>
        <v>Gastos_Gerais</v>
      </c>
      <c r="S638" s="351" t="str">
        <f>IF(D638="","",IF(OR(D638=Plano!$A$1,D638=Plano!$B$1),"entrada","saída"))</f>
        <v>saída</v>
      </c>
      <c r="T638" s="334" t="s">
        <v>114</v>
      </c>
      <c r="U638" s="334" t="s">
        <v>114</v>
      </c>
      <c r="V638" s="269"/>
      <c r="W638" s="269"/>
    </row>
    <row r="639" spans="1:23" ht="69.75" customHeight="1" x14ac:dyDescent="0.2">
      <c r="A639" s="277">
        <f t="shared" si="0"/>
        <v>635</v>
      </c>
      <c r="B639" s="278">
        <v>44232</v>
      </c>
      <c r="C639" s="249">
        <v>44197</v>
      </c>
      <c r="D639" s="250" t="s">
        <v>99</v>
      </c>
      <c r="E639" s="250" t="s">
        <v>364</v>
      </c>
      <c r="F639" s="251">
        <v>15</v>
      </c>
      <c r="G639" s="255" t="s">
        <v>3319</v>
      </c>
      <c r="H639" s="250" t="s">
        <v>125</v>
      </c>
      <c r="I639" s="250" t="s">
        <v>465</v>
      </c>
      <c r="J639" s="250" t="s">
        <v>114</v>
      </c>
      <c r="K639" s="250" t="s">
        <v>466</v>
      </c>
      <c r="L639" s="250" t="s">
        <v>467</v>
      </c>
      <c r="M639" s="255">
        <v>2281</v>
      </c>
      <c r="N639" s="278">
        <v>44232</v>
      </c>
      <c r="O639" s="329" t="s">
        <v>67</v>
      </c>
      <c r="P639" s="386">
        <f t="shared" ref="P639:Q639" si="636">IF(B639=0,0,IF(YEAR(B639)=$Q$1,MONTH(B639)-$P$1+1,(YEAR(B639)-$Q$1)*12-$P$1+1+MONTH(B639)))</f>
        <v>2</v>
      </c>
      <c r="Q639" s="330">
        <f t="shared" si="636"/>
        <v>1</v>
      </c>
      <c r="R639" s="351" t="str">
        <f t="shared" si="3"/>
        <v>Gastos_Gerais</v>
      </c>
      <c r="S639" s="351" t="str">
        <f>IF(D639="","",IF(OR(D639=Plano!$A$1,D639=Plano!$B$1),"entrada","saída"))</f>
        <v>saída</v>
      </c>
      <c r="T639" s="334" t="s">
        <v>114</v>
      </c>
      <c r="U639" s="334" t="s">
        <v>114</v>
      </c>
      <c r="V639" s="269"/>
      <c r="W639" s="269"/>
    </row>
    <row r="640" spans="1:23" ht="69.75" customHeight="1" x14ac:dyDescent="0.2">
      <c r="A640" s="277">
        <f t="shared" si="0"/>
        <v>636</v>
      </c>
      <c r="B640" s="278">
        <v>44232</v>
      </c>
      <c r="C640" s="249">
        <v>44197</v>
      </c>
      <c r="D640" s="250" t="s">
        <v>99</v>
      </c>
      <c r="E640" s="250" t="s">
        <v>358</v>
      </c>
      <c r="F640" s="251">
        <v>26.65</v>
      </c>
      <c r="G640" s="255" t="s">
        <v>3320</v>
      </c>
      <c r="H640" s="250" t="s">
        <v>131</v>
      </c>
      <c r="I640" s="250" t="s">
        <v>465</v>
      </c>
      <c r="J640" s="250" t="s">
        <v>114</v>
      </c>
      <c r="K640" s="250" t="s">
        <v>466</v>
      </c>
      <c r="L640" s="250" t="s">
        <v>467</v>
      </c>
      <c r="M640" s="255">
        <v>2282</v>
      </c>
      <c r="N640" s="278">
        <v>44232</v>
      </c>
      <c r="O640" s="329" t="s">
        <v>67</v>
      </c>
      <c r="P640" s="386">
        <f t="shared" ref="P640:Q640" si="637">IF(B640=0,0,IF(YEAR(B640)=$Q$1,MONTH(B640)-$P$1+1,(YEAR(B640)-$Q$1)*12-$P$1+1+MONTH(B640)))</f>
        <v>2</v>
      </c>
      <c r="Q640" s="330">
        <f t="shared" si="637"/>
        <v>1</v>
      </c>
      <c r="R640" s="351" t="str">
        <f t="shared" si="3"/>
        <v>Gastos_Gerais</v>
      </c>
      <c r="S640" s="351" t="str">
        <f>IF(D640="","",IF(OR(D640=Plano!$A$1,D640=Plano!$B$1),"entrada","saída"))</f>
        <v>saída</v>
      </c>
      <c r="T640" s="334" t="s">
        <v>114</v>
      </c>
      <c r="U640" s="334" t="s">
        <v>114</v>
      </c>
      <c r="V640" s="269"/>
      <c r="W640" s="269"/>
    </row>
    <row r="641" spans="1:23" ht="69.75" customHeight="1" x14ac:dyDescent="0.2">
      <c r="A641" s="277">
        <f t="shared" si="0"/>
        <v>637</v>
      </c>
      <c r="B641" s="278">
        <v>44232</v>
      </c>
      <c r="C641" s="249">
        <v>44166</v>
      </c>
      <c r="D641" s="250" t="s">
        <v>99</v>
      </c>
      <c r="E641" s="250" t="s">
        <v>262</v>
      </c>
      <c r="F641" s="251">
        <v>112.56</v>
      </c>
      <c r="G641" s="255" t="s">
        <v>3321</v>
      </c>
      <c r="H641" s="250" t="s">
        <v>115</v>
      </c>
      <c r="I641" s="250" t="s">
        <v>465</v>
      </c>
      <c r="J641" s="250" t="s">
        <v>114</v>
      </c>
      <c r="K641" s="250" t="s">
        <v>466</v>
      </c>
      <c r="L641" s="250" t="s">
        <v>467</v>
      </c>
      <c r="M641" s="255">
        <v>2283</v>
      </c>
      <c r="N641" s="278">
        <v>44232</v>
      </c>
      <c r="O641" s="329" t="s">
        <v>67</v>
      </c>
      <c r="P641" s="386">
        <f t="shared" ref="P641:Q641" si="638">IF(B641=0,0,IF(YEAR(B641)=$Q$1,MONTH(B641)-$P$1+1,(YEAR(B641)-$Q$1)*12-$P$1+1+MONTH(B641)))</f>
        <v>2</v>
      </c>
      <c r="Q641" s="330">
        <f t="shared" si="638"/>
        <v>0</v>
      </c>
      <c r="R641" s="351" t="str">
        <f t="shared" si="3"/>
        <v>Gastos_Gerais</v>
      </c>
      <c r="S641" s="351" t="str">
        <f>IF(D641="","",IF(OR(D641=Plano!$A$1,D641=Plano!$B$1),"entrada","saída"))</f>
        <v>saída</v>
      </c>
      <c r="T641" s="334" t="s">
        <v>114</v>
      </c>
      <c r="U641" s="334" t="s">
        <v>114</v>
      </c>
      <c r="V641" s="269"/>
      <c r="W641" s="269"/>
    </row>
    <row r="642" spans="1:23" ht="69.75" customHeight="1" x14ac:dyDescent="0.2">
      <c r="A642" s="277">
        <f t="shared" si="0"/>
        <v>638</v>
      </c>
      <c r="B642" s="278">
        <v>44232</v>
      </c>
      <c r="C642" s="249">
        <v>44166</v>
      </c>
      <c r="D642" s="250" t="s">
        <v>99</v>
      </c>
      <c r="E642" s="250" t="s">
        <v>336</v>
      </c>
      <c r="F642" s="251">
        <v>69</v>
      </c>
      <c r="G642" s="255" t="s">
        <v>3322</v>
      </c>
      <c r="H642" s="250" t="s">
        <v>116</v>
      </c>
      <c r="I642" s="250" t="s">
        <v>465</v>
      </c>
      <c r="J642" s="250" t="s">
        <v>114</v>
      </c>
      <c r="K642" s="250" t="s">
        <v>466</v>
      </c>
      <c r="L642" s="250" t="s">
        <v>467</v>
      </c>
      <c r="M642" s="255">
        <v>2284</v>
      </c>
      <c r="N642" s="278">
        <v>44232</v>
      </c>
      <c r="O642" s="329" t="s">
        <v>67</v>
      </c>
      <c r="P642" s="386">
        <f t="shared" ref="P642:Q642" si="639">IF(B642=0,0,IF(YEAR(B642)=$Q$1,MONTH(B642)-$P$1+1,(YEAR(B642)-$Q$1)*12-$P$1+1+MONTH(B642)))</f>
        <v>2</v>
      </c>
      <c r="Q642" s="330">
        <f t="shared" si="639"/>
        <v>0</v>
      </c>
      <c r="R642" s="351" t="str">
        <f t="shared" si="3"/>
        <v>Gastos_Gerais</v>
      </c>
      <c r="S642" s="351" t="str">
        <f>IF(D642="","",IF(OR(D642=Plano!$A$1,D642=Plano!$B$1),"entrada","saída"))</f>
        <v>saída</v>
      </c>
      <c r="T642" s="334" t="s">
        <v>114</v>
      </c>
      <c r="U642" s="334" t="s">
        <v>114</v>
      </c>
      <c r="V642" s="269"/>
      <c r="W642" s="269"/>
    </row>
    <row r="643" spans="1:23" ht="69.75" customHeight="1" x14ac:dyDescent="0.2">
      <c r="A643" s="277">
        <f t="shared" si="0"/>
        <v>639</v>
      </c>
      <c r="B643" s="278">
        <v>44232</v>
      </c>
      <c r="C643" s="249">
        <v>44136</v>
      </c>
      <c r="D643" s="250" t="s">
        <v>99</v>
      </c>
      <c r="E643" s="250" t="s">
        <v>312</v>
      </c>
      <c r="F643" s="251">
        <v>4</v>
      </c>
      <c r="G643" s="255" t="s">
        <v>3323</v>
      </c>
      <c r="H643" s="250" t="s">
        <v>125</v>
      </c>
      <c r="I643" s="250" t="s">
        <v>465</v>
      </c>
      <c r="J643" s="250" t="s">
        <v>114</v>
      </c>
      <c r="K643" s="250" t="s">
        <v>466</v>
      </c>
      <c r="L643" s="250" t="s">
        <v>467</v>
      </c>
      <c r="M643" s="255">
        <v>2285</v>
      </c>
      <c r="N643" s="278">
        <v>44232</v>
      </c>
      <c r="O643" s="329" t="s">
        <v>67</v>
      </c>
      <c r="P643" s="386">
        <f t="shared" ref="P643:Q643" si="640">IF(B643=0,0,IF(YEAR(B643)=$Q$1,MONTH(B643)-$P$1+1,(YEAR(B643)-$Q$1)*12-$P$1+1+MONTH(B643)))</f>
        <v>2</v>
      </c>
      <c r="Q643" s="330">
        <f t="shared" si="640"/>
        <v>-1</v>
      </c>
      <c r="R643" s="351" t="str">
        <f t="shared" si="3"/>
        <v>Gastos_Gerais</v>
      </c>
      <c r="S643" s="351" t="str">
        <f>IF(D643="","",IF(OR(D643=Plano!$A$1,D643=Plano!$B$1),"entrada","saída"))</f>
        <v>saída</v>
      </c>
      <c r="T643" s="334" t="s">
        <v>114</v>
      </c>
      <c r="U643" s="334" t="s">
        <v>114</v>
      </c>
      <c r="V643" s="269"/>
      <c r="W643" s="269"/>
    </row>
    <row r="644" spans="1:23" ht="69.75" customHeight="1" x14ac:dyDescent="0.2">
      <c r="A644" s="277">
        <f t="shared" si="0"/>
        <v>640</v>
      </c>
      <c r="B644" s="278">
        <v>44232</v>
      </c>
      <c r="C644" s="249">
        <v>44136</v>
      </c>
      <c r="D644" s="250" t="s">
        <v>99</v>
      </c>
      <c r="E644" s="250" t="s">
        <v>364</v>
      </c>
      <c r="F644" s="251">
        <v>120.6</v>
      </c>
      <c r="G644" s="255" t="s">
        <v>3324</v>
      </c>
      <c r="H644" s="250" t="s">
        <v>131</v>
      </c>
      <c r="I644" s="250" t="s">
        <v>465</v>
      </c>
      <c r="J644" s="250" t="s">
        <v>114</v>
      </c>
      <c r="K644" s="250" t="s">
        <v>466</v>
      </c>
      <c r="L644" s="250" t="s">
        <v>467</v>
      </c>
      <c r="M644" s="255">
        <v>2288</v>
      </c>
      <c r="N644" s="278">
        <v>44232</v>
      </c>
      <c r="O644" s="329" t="s">
        <v>67</v>
      </c>
      <c r="P644" s="386">
        <f t="shared" ref="P644:Q644" si="641">IF(B644=0,0,IF(YEAR(B644)=$Q$1,MONTH(B644)-$P$1+1,(YEAR(B644)-$Q$1)*12-$P$1+1+MONTH(B644)))</f>
        <v>2</v>
      </c>
      <c r="Q644" s="330">
        <f t="shared" si="641"/>
        <v>-1</v>
      </c>
      <c r="R644" s="351" t="str">
        <f t="shared" si="3"/>
        <v>Gastos_Gerais</v>
      </c>
      <c r="S644" s="351" t="str">
        <f>IF(D644="","",IF(OR(D644=Plano!$A$1,D644=Plano!$B$1),"entrada","saída"))</f>
        <v>saída</v>
      </c>
      <c r="T644" s="334" t="s">
        <v>114</v>
      </c>
      <c r="U644" s="334" t="s">
        <v>114</v>
      </c>
      <c r="V644" s="269"/>
      <c r="W644" s="269"/>
    </row>
    <row r="645" spans="1:23" ht="69.75" customHeight="1" x14ac:dyDescent="0.2">
      <c r="A645" s="277">
        <f t="shared" si="0"/>
        <v>641</v>
      </c>
      <c r="B645" s="278">
        <v>44232</v>
      </c>
      <c r="C645" s="249">
        <v>44166</v>
      </c>
      <c r="D645" s="250" t="s">
        <v>99</v>
      </c>
      <c r="E645" s="250" t="s">
        <v>384</v>
      </c>
      <c r="F645" s="251">
        <v>95</v>
      </c>
      <c r="G645" s="255" t="s">
        <v>3325</v>
      </c>
      <c r="H645" s="250" t="s">
        <v>128</v>
      </c>
      <c r="I645" s="250" t="s">
        <v>465</v>
      </c>
      <c r="J645" s="250" t="s">
        <v>114</v>
      </c>
      <c r="K645" s="250" t="s">
        <v>466</v>
      </c>
      <c r="L645" s="250" t="s">
        <v>467</v>
      </c>
      <c r="M645" s="255">
        <v>2291</v>
      </c>
      <c r="N645" s="278">
        <v>44232</v>
      </c>
      <c r="O645" s="329" t="s">
        <v>67</v>
      </c>
      <c r="P645" s="386">
        <f t="shared" ref="P645:Q645" si="642">IF(B645=0,0,IF(YEAR(B645)=$Q$1,MONTH(B645)-$P$1+1,(YEAR(B645)-$Q$1)*12-$P$1+1+MONTH(B645)))</f>
        <v>2</v>
      </c>
      <c r="Q645" s="330">
        <f t="shared" si="642"/>
        <v>0</v>
      </c>
      <c r="R645" s="351" t="str">
        <f t="shared" si="3"/>
        <v>Gastos_Gerais</v>
      </c>
      <c r="S645" s="351" t="str">
        <f>IF(D645="","",IF(OR(D645=Plano!$A$1,D645=Plano!$B$1),"entrada","saída"))</f>
        <v>saída</v>
      </c>
      <c r="T645" s="334" t="s">
        <v>114</v>
      </c>
      <c r="U645" s="334" t="s">
        <v>114</v>
      </c>
      <c r="V645" s="269"/>
      <c r="W645" s="269"/>
    </row>
    <row r="646" spans="1:23" ht="69.75" customHeight="1" x14ac:dyDescent="0.2">
      <c r="A646" s="277">
        <f t="shared" si="0"/>
        <v>642</v>
      </c>
      <c r="B646" s="278">
        <v>44232</v>
      </c>
      <c r="C646" s="249">
        <v>44105</v>
      </c>
      <c r="D646" s="250" t="s">
        <v>99</v>
      </c>
      <c r="E646" s="250" t="s">
        <v>236</v>
      </c>
      <c r="F646" s="251">
        <v>160.80000000000001</v>
      </c>
      <c r="G646" s="255" t="s">
        <v>3326</v>
      </c>
      <c r="H646" s="250" t="s">
        <v>132</v>
      </c>
      <c r="I646" s="250" t="s">
        <v>465</v>
      </c>
      <c r="J646" s="250" t="s">
        <v>114</v>
      </c>
      <c r="K646" s="250" t="s">
        <v>466</v>
      </c>
      <c r="L646" s="250" t="s">
        <v>467</v>
      </c>
      <c r="M646" s="255">
        <v>2292</v>
      </c>
      <c r="N646" s="278">
        <v>44232</v>
      </c>
      <c r="O646" s="329" t="s">
        <v>67</v>
      </c>
      <c r="P646" s="386">
        <f t="shared" ref="P646:Q646" si="643">IF(B646=0,0,IF(YEAR(B646)=$Q$1,MONTH(B646)-$P$1+1,(YEAR(B646)-$Q$1)*12-$P$1+1+MONTH(B646)))</f>
        <v>2</v>
      </c>
      <c r="Q646" s="330">
        <f t="shared" si="643"/>
        <v>-2</v>
      </c>
      <c r="R646" s="351" t="str">
        <f t="shared" si="3"/>
        <v>Gastos_Gerais</v>
      </c>
      <c r="S646" s="351" t="str">
        <f>IF(D646="","",IF(OR(D646=Plano!$A$1,D646=Plano!$B$1),"entrada","saída"))</f>
        <v>saída</v>
      </c>
      <c r="T646" s="334" t="s">
        <v>114</v>
      </c>
      <c r="U646" s="334" t="s">
        <v>114</v>
      </c>
      <c r="V646" s="269"/>
      <c r="W646" s="269"/>
    </row>
    <row r="647" spans="1:23" ht="69.75" customHeight="1" x14ac:dyDescent="0.2">
      <c r="A647" s="277">
        <f t="shared" si="0"/>
        <v>643</v>
      </c>
      <c r="B647" s="278">
        <v>44232</v>
      </c>
      <c r="C647" s="249">
        <v>44105</v>
      </c>
      <c r="D647" s="250" t="s">
        <v>99</v>
      </c>
      <c r="E647" s="250" t="s">
        <v>310</v>
      </c>
      <c r="F647" s="251">
        <v>102.51</v>
      </c>
      <c r="G647" s="255" t="s">
        <v>3327</v>
      </c>
      <c r="H647" s="250" t="s">
        <v>122</v>
      </c>
      <c r="I647" s="250" t="s">
        <v>465</v>
      </c>
      <c r="J647" s="250" t="s">
        <v>114</v>
      </c>
      <c r="K647" s="250" t="s">
        <v>466</v>
      </c>
      <c r="L647" s="250" t="s">
        <v>467</v>
      </c>
      <c r="M647" s="255">
        <v>2293</v>
      </c>
      <c r="N647" s="278">
        <v>44232</v>
      </c>
      <c r="O647" s="329" t="s">
        <v>67</v>
      </c>
      <c r="P647" s="386">
        <f t="shared" ref="P647:Q647" si="644">IF(B647=0,0,IF(YEAR(B647)=$Q$1,MONTH(B647)-$P$1+1,(YEAR(B647)-$Q$1)*12-$P$1+1+MONTH(B647)))</f>
        <v>2</v>
      </c>
      <c r="Q647" s="330">
        <f t="shared" si="644"/>
        <v>-2</v>
      </c>
      <c r="R647" s="351" t="str">
        <f t="shared" si="3"/>
        <v>Gastos_Gerais</v>
      </c>
      <c r="S647" s="351" t="str">
        <f>IF(D647="","",IF(OR(D647=Plano!$A$1,D647=Plano!$B$1),"entrada","saída"))</f>
        <v>saída</v>
      </c>
      <c r="T647" s="334" t="s">
        <v>114</v>
      </c>
      <c r="U647" s="334" t="s">
        <v>114</v>
      </c>
      <c r="V647" s="269"/>
      <c r="W647" s="269"/>
    </row>
    <row r="648" spans="1:23" ht="69.75" customHeight="1" x14ac:dyDescent="0.2">
      <c r="A648" s="277">
        <f t="shared" si="0"/>
        <v>644</v>
      </c>
      <c r="B648" s="278">
        <v>44232</v>
      </c>
      <c r="C648" s="249">
        <v>44166</v>
      </c>
      <c r="D648" s="250" t="s">
        <v>99</v>
      </c>
      <c r="E648" s="250" t="s">
        <v>352</v>
      </c>
      <c r="F648" s="251">
        <v>50.25</v>
      </c>
      <c r="G648" s="255" t="s">
        <v>3328</v>
      </c>
      <c r="H648" s="250" t="s">
        <v>132</v>
      </c>
      <c r="I648" s="250" t="s">
        <v>465</v>
      </c>
      <c r="J648" s="250" t="s">
        <v>114</v>
      </c>
      <c r="K648" s="250" t="s">
        <v>466</v>
      </c>
      <c r="L648" s="250" t="s">
        <v>467</v>
      </c>
      <c r="M648" s="255">
        <v>2294</v>
      </c>
      <c r="N648" s="278">
        <v>44232</v>
      </c>
      <c r="O648" s="329" t="s">
        <v>67</v>
      </c>
      <c r="P648" s="386">
        <f t="shared" ref="P648:Q648" si="645">IF(B648=0,0,IF(YEAR(B648)=$Q$1,MONTH(B648)-$P$1+1,(YEAR(B648)-$Q$1)*12-$P$1+1+MONTH(B648)))</f>
        <v>2</v>
      </c>
      <c r="Q648" s="330">
        <f t="shared" si="645"/>
        <v>0</v>
      </c>
      <c r="R648" s="351" t="str">
        <f t="shared" si="3"/>
        <v>Gastos_Gerais</v>
      </c>
      <c r="S648" s="351" t="str">
        <f>IF(D648="","",IF(OR(D648=Plano!$A$1,D648=Plano!$B$1),"entrada","saída"))</f>
        <v>saída</v>
      </c>
      <c r="T648" s="334" t="s">
        <v>114</v>
      </c>
      <c r="U648" s="334" t="s">
        <v>114</v>
      </c>
      <c r="V648" s="269"/>
      <c r="W648" s="269"/>
    </row>
    <row r="649" spans="1:23" ht="69.75" customHeight="1" x14ac:dyDescent="0.2">
      <c r="A649" s="277">
        <f t="shared" si="0"/>
        <v>645</v>
      </c>
      <c r="B649" s="278">
        <v>44232</v>
      </c>
      <c r="C649" s="249">
        <v>44197</v>
      </c>
      <c r="D649" s="250" t="s">
        <v>99</v>
      </c>
      <c r="E649" s="250" t="s">
        <v>310</v>
      </c>
      <c r="F649" s="251">
        <v>36.18</v>
      </c>
      <c r="G649" s="255" t="s">
        <v>3329</v>
      </c>
      <c r="H649" s="250" t="s">
        <v>125</v>
      </c>
      <c r="I649" s="250" t="s">
        <v>465</v>
      </c>
      <c r="J649" s="250" t="s">
        <v>114</v>
      </c>
      <c r="K649" s="250" t="s">
        <v>466</v>
      </c>
      <c r="L649" s="250" t="s">
        <v>467</v>
      </c>
      <c r="M649" s="255">
        <v>2295</v>
      </c>
      <c r="N649" s="278">
        <v>44232</v>
      </c>
      <c r="O649" s="329" t="s">
        <v>67</v>
      </c>
      <c r="P649" s="386">
        <f t="shared" ref="P649:Q649" si="646">IF(B649=0,0,IF(YEAR(B649)=$Q$1,MONTH(B649)-$P$1+1,(YEAR(B649)-$Q$1)*12-$P$1+1+MONTH(B649)))</f>
        <v>2</v>
      </c>
      <c r="Q649" s="330">
        <f t="shared" si="646"/>
        <v>1</v>
      </c>
      <c r="R649" s="351" t="str">
        <f t="shared" si="3"/>
        <v>Gastos_Gerais</v>
      </c>
      <c r="S649" s="351" t="str">
        <f>IF(D649="","",IF(OR(D649=Plano!$A$1,D649=Plano!$B$1),"entrada","saída"))</f>
        <v>saída</v>
      </c>
      <c r="T649" s="334" t="s">
        <v>114</v>
      </c>
      <c r="U649" s="334" t="s">
        <v>114</v>
      </c>
      <c r="V649" s="269"/>
      <c r="W649" s="269"/>
    </row>
    <row r="650" spans="1:23" ht="69.75" customHeight="1" x14ac:dyDescent="0.2">
      <c r="A650" s="277">
        <f t="shared" si="0"/>
        <v>646</v>
      </c>
      <c r="B650" s="278">
        <v>44232</v>
      </c>
      <c r="C650" s="249">
        <v>44166</v>
      </c>
      <c r="D650" s="250" t="s">
        <v>99</v>
      </c>
      <c r="E650" s="250" t="s">
        <v>336</v>
      </c>
      <c r="F650" s="251">
        <v>99</v>
      </c>
      <c r="G650" s="255" t="s">
        <v>3330</v>
      </c>
      <c r="H650" s="250" t="s">
        <v>118</v>
      </c>
      <c r="I650" s="250" t="s">
        <v>465</v>
      </c>
      <c r="J650" s="250" t="s">
        <v>114</v>
      </c>
      <c r="K650" s="250" t="s">
        <v>466</v>
      </c>
      <c r="L650" s="250" t="s">
        <v>467</v>
      </c>
      <c r="M650" s="255">
        <v>2296</v>
      </c>
      <c r="N650" s="278">
        <v>44232</v>
      </c>
      <c r="O650" s="329" t="s">
        <v>67</v>
      </c>
      <c r="P650" s="386">
        <f t="shared" ref="P650:Q650" si="647">IF(B650=0,0,IF(YEAR(B650)=$Q$1,MONTH(B650)-$P$1+1,(YEAR(B650)-$Q$1)*12-$P$1+1+MONTH(B650)))</f>
        <v>2</v>
      </c>
      <c r="Q650" s="330">
        <f t="shared" si="647"/>
        <v>0</v>
      </c>
      <c r="R650" s="351" t="str">
        <f t="shared" si="3"/>
        <v>Gastos_Gerais</v>
      </c>
      <c r="S650" s="351" t="str">
        <f>IF(D650="","",IF(OR(D650=Plano!$A$1,D650=Plano!$B$1),"entrada","saída"))</f>
        <v>saída</v>
      </c>
      <c r="T650" s="334" t="s">
        <v>114</v>
      </c>
      <c r="U650" s="334" t="s">
        <v>114</v>
      </c>
      <c r="V650" s="269"/>
      <c r="W650" s="269"/>
    </row>
    <row r="651" spans="1:23" ht="69.75" customHeight="1" x14ac:dyDescent="0.2">
      <c r="A651" s="277">
        <f t="shared" si="0"/>
        <v>647</v>
      </c>
      <c r="B651" s="278">
        <v>44232</v>
      </c>
      <c r="C651" s="249">
        <v>44105</v>
      </c>
      <c r="D651" s="250" t="s">
        <v>99</v>
      </c>
      <c r="E651" s="250" t="s">
        <v>364</v>
      </c>
      <c r="F651" s="251">
        <v>20.100000000000001</v>
      </c>
      <c r="G651" s="255" t="s">
        <v>3331</v>
      </c>
      <c r="H651" s="250" t="s">
        <v>132</v>
      </c>
      <c r="I651" s="250" t="s">
        <v>465</v>
      </c>
      <c r="J651" s="250" t="s">
        <v>114</v>
      </c>
      <c r="K651" s="250" t="s">
        <v>466</v>
      </c>
      <c r="L651" s="250" t="s">
        <v>467</v>
      </c>
      <c r="M651" s="255">
        <v>2297</v>
      </c>
      <c r="N651" s="278">
        <v>44232</v>
      </c>
      <c r="O651" s="329" t="s">
        <v>67</v>
      </c>
      <c r="P651" s="386">
        <f t="shared" ref="P651:Q651" si="648">IF(B651=0,0,IF(YEAR(B651)=$Q$1,MONTH(B651)-$P$1+1,(YEAR(B651)-$Q$1)*12-$P$1+1+MONTH(B651)))</f>
        <v>2</v>
      </c>
      <c r="Q651" s="330">
        <f t="shared" si="648"/>
        <v>-2</v>
      </c>
      <c r="R651" s="351" t="str">
        <f t="shared" si="3"/>
        <v>Gastos_Gerais</v>
      </c>
      <c r="S651" s="351" t="str">
        <f>IF(D651="","",IF(OR(D651=Plano!$A$1,D651=Plano!$B$1),"entrada","saída"))</f>
        <v>saída</v>
      </c>
      <c r="T651" s="334" t="s">
        <v>114</v>
      </c>
      <c r="U651" s="334" t="s">
        <v>114</v>
      </c>
      <c r="V651" s="269"/>
      <c r="W651" s="269"/>
    </row>
    <row r="652" spans="1:23" ht="69.75" customHeight="1" x14ac:dyDescent="0.2">
      <c r="A652" s="277">
        <f t="shared" si="0"/>
        <v>648</v>
      </c>
      <c r="B652" s="278">
        <v>44232</v>
      </c>
      <c r="C652" s="249">
        <v>44136</v>
      </c>
      <c r="D652" s="250" t="s">
        <v>99</v>
      </c>
      <c r="E652" s="250" t="s">
        <v>364</v>
      </c>
      <c r="F652" s="251">
        <v>201</v>
      </c>
      <c r="G652" s="255" t="s">
        <v>3332</v>
      </c>
      <c r="H652" s="250" t="s">
        <v>133</v>
      </c>
      <c r="I652" s="250" t="s">
        <v>465</v>
      </c>
      <c r="J652" s="250" t="s">
        <v>114</v>
      </c>
      <c r="K652" s="250" t="s">
        <v>466</v>
      </c>
      <c r="L652" s="250" t="s">
        <v>467</v>
      </c>
      <c r="M652" s="255">
        <v>2298</v>
      </c>
      <c r="N652" s="278">
        <v>44232</v>
      </c>
      <c r="O652" s="329" t="s">
        <v>67</v>
      </c>
      <c r="P652" s="386">
        <f t="shared" ref="P652:Q652" si="649">IF(B652=0,0,IF(YEAR(B652)=$Q$1,MONTH(B652)-$P$1+1,(YEAR(B652)-$Q$1)*12-$P$1+1+MONTH(B652)))</f>
        <v>2</v>
      </c>
      <c r="Q652" s="330">
        <f t="shared" si="649"/>
        <v>-1</v>
      </c>
      <c r="R652" s="351" t="str">
        <f t="shared" si="3"/>
        <v>Gastos_Gerais</v>
      </c>
      <c r="S652" s="351" t="str">
        <f>IF(D652="","",IF(OR(D652=Plano!$A$1,D652=Plano!$B$1),"entrada","saída"))</f>
        <v>saída</v>
      </c>
      <c r="T652" s="334" t="s">
        <v>114</v>
      </c>
      <c r="U652" s="334" t="s">
        <v>114</v>
      </c>
      <c r="V652" s="269"/>
      <c r="W652" s="269"/>
    </row>
    <row r="653" spans="1:23" ht="69.75" customHeight="1" x14ac:dyDescent="0.2">
      <c r="A653" s="277">
        <f t="shared" si="0"/>
        <v>649</v>
      </c>
      <c r="B653" s="278">
        <v>44232</v>
      </c>
      <c r="C653" s="249">
        <v>44166</v>
      </c>
      <c r="D653" s="250" t="s">
        <v>99</v>
      </c>
      <c r="E653" s="250" t="s">
        <v>236</v>
      </c>
      <c r="F653" s="251">
        <v>201</v>
      </c>
      <c r="G653" s="255" t="s">
        <v>3333</v>
      </c>
      <c r="H653" s="250" t="s">
        <v>132</v>
      </c>
      <c r="I653" s="250" t="s">
        <v>465</v>
      </c>
      <c r="J653" s="250" t="s">
        <v>114</v>
      </c>
      <c r="K653" s="250" t="s">
        <v>466</v>
      </c>
      <c r="L653" s="250" t="s">
        <v>467</v>
      </c>
      <c r="M653" s="255">
        <v>2299</v>
      </c>
      <c r="N653" s="278">
        <v>44232</v>
      </c>
      <c r="O653" s="329" t="s">
        <v>67</v>
      </c>
      <c r="P653" s="386">
        <f t="shared" ref="P653:Q653" si="650">IF(B653=0,0,IF(YEAR(B653)=$Q$1,MONTH(B653)-$P$1+1,(YEAR(B653)-$Q$1)*12-$P$1+1+MONTH(B653)))</f>
        <v>2</v>
      </c>
      <c r="Q653" s="330">
        <f t="shared" si="650"/>
        <v>0</v>
      </c>
      <c r="R653" s="351" t="str">
        <f t="shared" si="3"/>
        <v>Gastos_Gerais</v>
      </c>
      <c r="S653" s="351" t="str">
        <f>IF(D653="","",IF(OR(D653=Plano!$A$1,D653=Plano!$B$1),"entrada","saída"))</f>
        <v>saída</v>
      </c>
      <c r="T653" s="334" t="s">
        <v>114</v>
      </c>
      <c r="U653" s="334" t="s">
        <v>114</v>
      </c>
      <c r="V653" s="269"/>
      <c r="W653" s="269"/>
    </row>
    <row r="654" spans="1:23" ht="69.75" customHeight="1" x14ac:dyDescent="0.2">
      <c r="A654" s="277">
        <f t="shared" si="0"/>
        <v>650</v>
      </c>
      <c r="B654" s="278">
        <v>44232</v>
      </c>
      <c r="C654" s="249">
        <v>44166</v>
      </c>
      <c r="D654" s="250" t="s">
        <v>99</v>
      </c>
      <c r="E654" s="250" t="s">
        <v>336</v>
      </c>
      <c r="F654" s="251">
        <v>99</v>
      </c>
      <c r="G654" s="255" t="s">
        <v>3334</v>
      </c>
      <c r="H654" s="250" t="s">
        <v>118</v>
      </c>
      <c r="I654" s="250" t="s">
        <v>465</v>
      </c>
      <c r="J654" s="250" t="s">
        <v>114</v>
      </c>
      <c r="K654" s="250" t="s">
        <v>466</v>
      </c>
      <c r="L654" s="250" t="s">
        <v>467</v>
      </c>
      <c r="M654" s="255">
        <v>2300</v>
      </c>
      <c r="N654" s="278">
        <v>44232</v>
      </c>
      <c r="O654" s="329" t="s">
        <v>67</v>
      </c>
      <c r="P654" s="386">
        <f t="shared" ref="P654:Q654" si="651">IF(B654=0,0,IF(YEAR(B654)=$Q$1,MONTH(B654)-$P$1+1,(YEAR(B654)-$Q$1)*12-$P$1+1+MONTH(B654)))</f>
        <v>2</v>
      </c>
      <c r="Q654" s="330">
        <f t="shared" si="651"/>
        <v>0</v>
      </c>
      <c r="R654" s="351" t="str">
        <f t="shared" si="3"/>
        <v>Gastos_Gerais</v>
      </c>
      <c r="S654" s="351" t="str">
        <f>IF(D654="","",IF(OR(D654=Plano!$A$1,D654=Plano!$B$1),"entrada","saída"))</f>
        <v>saída</v>
      </c>
      <c r="T654" s="334" t="s">
        <v>114</v>
      </c>
      <c r="U654" s="334" t="s">
        <v>114</v>
      </c>
      <c r="V654" s="269"/>
      <c r="W654" s="269"/>
    </row>
    <row r="655" spans="1:23" ht="69.75" customHeight="1" x14ac:dyDescent="0.2">
      <c r="A655" s="277">
        <f t="shared" si="0"/>
        <v>651</v>
      </c>
      <c r="B655" s="278">
        <v>44232</v>
      </c>
      <c r="C655" s="249">
        <v>44166</v>
      </c>
      <c r="D655" s="250" t="s">
        <v>99</v>
      </c>
      <c r="E655" s="250" t="s">
        <v>336</v>
      </c>
      <c r="F655" s="251">
        <v>99</v>
      </c>
      <c r="G655" s="255" t="s">
        <v>3335</v>
      </c>
      <c r="H655" s="250" t="s">
        <v>118</v>
      </c>
      <c r="I655" s="250" t="s">
        <v>465</v>
      </c>
      <c r="J655" s="250" t="s">
        <v>114</v>
      </c>
      <c r="K655" s="250" t="s">
        <v>466</v>
      </c>
      <c r="L655" s="250" t="s">
        <v>467</v>
      </c>
      <c r="M655" s="255">
        <v>2301</v>
      </c>
      <c r="N655" s="278">
        <v>44232</v>
      </c>
      <c r="O655" s="329" t="s">
        <v>67</v>
      </c>
      <c r="P655" s="386">
        <f t="shared" ref="P655:Q655" si="652">IF(B655=0,0,IF(YEAR(B655)=$Q$1,MONTH(B655)-$P$1+1,(YEAR(B655)-$Q$1)*12-$P$1+1+MONTH(B655)))</f>
        <v>2</v>
      </c>
      <c r="Q655" s="330">
        <f t="shared" si="652"/>
        <v>0</v>
      </c>
      <c r="R655" s="351" t="str">
        <f t="shared" si="3"/>
        <v>Gastos_Gerais</v>
      </c>
      <c r="S655" s="351" t="str">
        <f>IF(D655="","",IF(OR(D655=Plano!$A$1,D655=Plano!$B$1),"entrada","saída"))</f>
        <v>saída</v>
      </c>
      <c r="T655" s="334" t="s">
        <v>114</v>
      </c>
      <c r="U655" s="334" t="s">
        <v>114</v>
      </c>
      <c r="V655" s="269"/>
      <c r="W655" s="269"/>
    </row>
    <row r="656" spans="1:23" ht="69.75" customHeight="1" x14ac:dyDescent="0.2">
      <c r="A656" s="277">
        <f t="shared" si="0"/>
        <v>652</v>
      </c>
      <c r="B656" s="278">
        <v>44232</v>
      </c>
      <c r="C656" s="249">
        <v>44166</v>
      </c>
      <c r="D656" s="250" t="s">
        <v>99</v>
      </c>
      <c r="E656" s="250" t="s">
        <v>364</v>
      </c>
      <c r="F656" s="251">
        <v>105.53</v>
      </c>
      <c r="G656" s="255" t="s">
        <v>3336</v>
      </c>
      <c r="H656" s="250" t="s">
        <v>132</v>
      </c>
      <c r="I656" s="250" t="s">
        <v>465</v>
      </c>
      <c r="J656" s="250" t="s">
        <v>114</v>
      </c>
      <c r="K656" s="250" t="s">
        <v>466</v>
      </c>
      <c r="L656" s="250" t="s">
        <v>467</v>
      </c>
      <c r="M656" s="255">
        <v>2302</v>
      </c>
      <c r="N656" s="278">
        <v>44232</v>
      </c>
      <c r="O656" s="329" t="s">
        <v>67</v>
      </c>
      <c r="P656" s="386">
        <f t="shared" ref="P656:Q656" si="653">IF(B656=0,0,IF(YEAR(B656)=$Q$1,MONTH(B656)-$P$1+1,(YEAR(B656)-$Q$1)*12-$P$1+1+MONTH(B656)))</f>
        <v>2</v>
      </c>
      <c r="Q656" s="330">
        <f t="shared" si="653"/>
        <v>0</v>
      </c>
      <c r="R656" s="351" t="str">
        <f t="shared" si="3"/>
        <v>Gastos_Gerais</v>
      </c>
      <c r="S656" s="351" t="str">
        <f>IF(D656="","",IF(OR(D656=Plano!$A$1,D656=Plano!$B$1),"entrada","saída"))</f>
        <v>saída</v>
      </c>
      <c r="T656" s="334" t="s">
        <v>114</v>
      </c>
      <c r="U656" s="334" t="s">
        <v>114</v>
      </c>
      <c r="V656" s="269"/>
      <c r="W656" s="269"/>
    </row>
    <row r="657" spans="1:23" ht="69.75" customHeight="1" x14ac:dyDescent="0.2">
      <c r="A657" s="277">
        <f t="shared" si="0"/>
        <v>653</v>
      </c>
      <c r="B657" s="278">
        <v>44232</v>
      </c>
      <c r="C657" s="249">
        <v>44166</v>
      </c>
      <c r="D657" s="250" t="s">
        <v>99</v>
      </c>
      <c r="E657" s="250" t="s">
        <v>226</v>
      </c>
      <c r="F657" s="251">
        <v>44.04</v>
      </c>
      <c r="G657" s="255" t="s">
        <v>3337</v>
      </c>
      <c r="H657" s="250" t="s">
        <v>128</v>
      </c>
      <c r="I657" s="250" t="s">
        <v>465</v>
      </c>
      <c r="J657" s="250" t="s">
        <v>114</v>
      </c>
      <c r="K657" s="250" t="s">
        <v>466</v>
      </c>
      <c r="L657" s="250" t="s">
        <v>467</v>
      </c>
      <c r="M657" s="255">
        <v>2303</v>
      </c>
      <c r="N657" s="278">
        <v>44232</v>
      </c>
      <c r="O657" s="329" t="s">
        <v>67</v>
      </c>
      <c r="P657" s="386">
        <f t="shared" ref="P657:Q657" si="654">IF(B657=0,0,IF(YEAR(B657)=$Q$1,MONTH(B657)-$P$1+1,(YEAR(B657)-$Q$1)*12-$P$1+1+MONTH(B657)))</f>
        <v>2</v>
      </c>
      <c r="Q657" s="330">
        <f t="shared" si="654"/>
        <v>0</v>
      </c>
      <c r="R657" s="351" t="str">
        <f t="shared" si="3"/>
        <v>Gastos_Gerais</v>
      </c>
      <c r="S657" s="351" t="str">
        <f>IF(D657="","",IF(OR(D657=Plano!$A$1,D657=Plano!$B$1),"entrada","saída"))</f>
        <v>saída</v>
      </c>
      <c r="T657" s="334" t="s">
        <v>114</v>
      </c>
      <c r="U657" s="334" t="s">
        <v>114</v>
      </c>
      <c r="V657" s="269"/>
      <c r="W657" s="269"/>
    </row>
    <row r="658" spans="1:23" ht="69.75" customHeight="1" x14ac:dyDescent="0.2">
      <c r="A658" s="277">
        <f t="shared" si="0"/>
        <v>654</v>
      </c>
      <c r="B658" s="278">
        <v>44232</v>
      </c>
      <c r="C658" s="249">
        <v>44166</v>
      </c>
      <c r="D658" s="250" t="s">
        <v>99</v>
      </c>
      <c r="E658" s="250" t="s">
        <v>336</v>
      </c>
      <c r="F658" s="251">
        <v>99</v>
      </c>
      <c r="G658" s="255" t="s">
        <v>3338</v>
      </c>
      <c r="H658" s="250" t="s">
        <v>118</v>
      </c>
      <c r="I658" s="250" t="s">
        <v>465</v>
      </c>
      <c r="J658" s="250" t="s">
        <v>114</v>
      </c>
      <c r="K658" s="250" t="s">
        <v>466</v>
      </c>
      <c r="L658" s="250" t="s">
        <v>467</v>
      </c>
      <c r="M658" s="255">
        <v>2304</v>
      </c>
      <c r="N658" s="278">
        <v>44232</v>
      </c>
      <c r="O658" s="329" t="s">
        <v>67</v>
      </c>
      <c r="P658" s="386">
        <f t="shared" ref="P658:Q658" si="655">IF(B658=0,0,IF(YEAR(B658)=$Q$1,MONTH(B658)-$P$1+1,(YEAR(B658)-$Q$1)*12-$P$1+1+MONTH(B658)))</f>
        <v>2</v>
      </c>
      <c r="Q658" s="330">
        <f t="shared" si="655"/>
        <v>0</v>
      </c>
      <c r="R658" s="351" t="str">
        <f t="shared" si="3"/>
        <v>Gastos_Gerais</v>
      </c>
      <c r="S658" s="351" t="str">
        <f>IF(D658="","",IF(OR(D658=Plano!$A$1,D658=Plano!$B$1),"entrada","saída"))</f>
        <v>saída</v>
      </c>
      <c r="T658" s="334" t="s">
        <v>114</v>
      </c>
      <c r="U658" s="334" t="s">
        <v>114</v>
      </c>
      <c r="V658" s="269"/>
      <c r="W658" s="269"/>
    </row>
    <row r="659" spans="1:23" ht="69.75" customHeight="1" x14ac:dyDescent="0.2">
      <c r="A659" s="277">
        <f t="shared" si="0"/>
        <v>655</v>
      </c>
      <c r="B659" s="278">
        <v>44232</v>
      </c>
      <c r="C659" s="249">
        <v>44105</v>
      </c>
      <c r="D659" s="250" t="s">
        <v>99</v>
      </c>
      <c r="E659" s="250" t="s">
        <v>330</v>
      </c>
      <c r="F659" s="251">
        <v>21.1</v>
      </c>
      <c r="G659" s="255" t="s">
        <v>3339</v>
      </c>
      <c r="H659" s="250" t="s">
        <v>131</v>
      </c>
      <c r="I659" s="250" t="s">
        <v>465</v>
      </c>
      <c r="J659" s="250" t="s">
        <v>114</v>
      </c>
      <c r="K659" s="250" t="s">
        <v>466</v>
      </c>
      <c r="L659" s="250" t="s">
        <v>467</v>
      </c>
      <c r="M659" s="255">
        <v>2305</v>
      </c>
      <c r="N659" s="278">
        <v>44232</v>
      </c>
      <c r="O659" s="329" t="s">
        <v>67</v>
      </c>
      <c r="P659" s="386">
        <f t="shared" ref="P659:Q659" si="656">IF(B659=0,0,IF(YEAR(B659)=$Q$1,MONTH(B659)-$P$1+1,(YEAR(B659)-$Q$1)*12-$P$1+1+MONTH(B659)))</f>
        <v>2</v>
      </c>
      <c r="Q659" s="330">
        <f t="shared" si="656"/>
        <v>-2</v>
      </c>
      <c r="R659" s="351" t="str">
        <f t="shared" si="3"/>
        <v>Gastos_Gerais</v>
      </c>
      <c r="S659" s="351" t="str">
        <f>IF(D659="","",IF(OR(D659=Plano!$A$1,D659=Plano!$B$1),"entrada","saída"))</f>
        <v>saída</v>
      </c>
      <c r="T659" s="334" t="s">
        <v>114</v>
      </c>
      <c r="U659" s="334" t="s">
        <v>114</v>
      </c>
      <c r="V659" s="269"/>
      <c r="W659" s="269"/>
    </row>
    <row r="660" spans="1:23" ht="69.75" customHeight="1" x14ac:dyDescent="0.2">
      <c r="A660" s="277">
        <f t="shared" si="0"/>
        <v>656</v>
      </c>
      <c r="B660" s="278">
        <v>44232</v>
      </c>
      <c r="C660" s="249">
        <v>44166</v>
      </c>
      <c r="D660" s="250" t="s">
        <v>99</v>
      </c>
      <c r="E660" s="250" t="s">
        <v>336</v>
      </c>
      <c r="F660" s="251">
        <v>99</v>
      </c>
      <c r="G660" s="255" t="s">
        <v>3340</v>
      </c>
      <c r="H660" s="250" t="s">
        <v>118</v>
      </c>
      <c r="I660" s="250" t="s">
        <v>465</v>
      </c>
      <c r="J660" s="250" t="s">
        <v>114</v>
      </c>
      <c r="K660" s="250" t="s">
        <v>466</v>
      </c>
      <c r="L660" s="250" t="s">
        <v>467</v>
      </c>
      <c r="M660" s="255">
        <v>2306</v>
      </c>
      <c r="N660" s="278">
        <v>44232</v>
      </c>
      <c r="O660" s="329" t="s">
        <v>67</v>
      </c>
      <c r="P660" s="386">
        <f t="shared" ref="P660:Q660" si="657">IF(B660=0,0,IF(YEAR(B660)=$Q$1,MONTH(B660)-$P$1+1,(YEAR(B660)-$Q$1)*12-$P$1+1+MONTH(B660)))</f>
        <v>2</v>
      </c>
      <c r="Q660" s="330">
        <f t="shared" si="657"/>
        <v>0</v>
      </c>
      <c r="R660" s="351" t="str">
        <f t="shared" si="3"/>
        <v>Gastos_Gerais</v>
      </c>
      <c r="S660" s="351" t="str">
        <f>IF(D660="","",IF(OR(D660=Plano!$A$1,D660=Plano!$B$1),"entrada","saída"))</f>
        <v>saída</v>
      </c>
      <c r="T660" s="334" t="s">
        <v>114</v>
      </c>
      <c r="U660" s="334" t="s">
        <v>114</v>
      </c>
      <c r="V660" s="269"/>
      <c r="W660" s="269"/>
    </row>
    <row r="661" spans="1:23" ht="69.75" customHeight="1" x14ac:dyDescent="0.2">
      <c r="A661" s="277">
        <f t="shared" si="0"/>
        <v>657</v>
      </c>
      <c r="B661" s="278">
        <v>44232</v>
      </c>
      <c r="C661" s="249">
        <v>44105</v>
      </c>
      <c r="D661" s="250" t="s">
        <v>99</v>
      </c>
      <c r="E661" s="250" t="s">
        <v>364</v>
      </c>
      <c r="F661" s="251">
        <v>241.2</v>
      </c>
      <c r="G661" s="255" t="s">
        <v>3341</v>
      </c>
      <c r="H661" s="250" t="s">
        <v>132</v>
      </c>
      <c r="I661" s="250" t="s">
        <v>465</v>
      </c>
      <c r="J661" s="250" t="s">
        <v>114</v>
      </c>
      <c r="K661" s="250" t="s">
        <v>466</v>
      </c>
      <c r="L661" s="250" t="s">
        <v>467</v>
      </c>
      <c r="M661" s="255">
        <v>2307</v>
      </c>
      <c r="N661" s="278">
        <v>44232</v>
      </c>
      <c r="O661" s="329" t="s">
        <v>67</v>
      </c>
      <c r="P661" s="386">
        <f t="shared" ref="P661:Q661" si="658">IF(B661=0,0,IF(YEAR(B661)=$Q$1,MONTH(B661)-$P$1+1,(YEAR(B661)-$Q$1)*12-$P$1+1+MONTH(B661)))</f>
        <v>2</v>
      </c>
      <c r="Q661" s="330">
        <f t="shared" si="658"/>
        <v>-2</v>
      </c>
      <c r="R661" s="351" t="str">
        <f t="shared" si="3"/>
        <v>Gastos_Gerais</v>
      </c>
      <c r="S661" s="351" t="str">
        <f>IF(D661="","",IF(OR(D661=Plano!$A$1,D661=Plano!$B$1),"entrada","saída"))</f>
        <v>saída</v>
      </c>
      <c r="T661" s="334" t="s">
        <v>114</v>
      </c>
      <c r="U661" s="334" t="s">
        <v>114</v>
      </c>
      <c r="V661" s="269"/>
      <c r="W661" s="269"/>
    </row>
    <row r="662" spans="1:23" ht="69.75" customHeight="1" x14ac:dyDescent="0.2">
      <c r="A662" s="277">
        <f t="shared" si="0"/>
        <v>658</v>
      </c>
      <c r="B662" s="278">
        <v>44232</v>
      </c>
      <c r="C662" s="249">
        <v>44166</v>
      </c>
      <c r="D662" s="250" t="s">
        <v>99</v>
      </c>
      <c r="E662" s="250" t="s">
        <v>226</v>
      </c>
      <c r="F662" s="251">
        <v>25.32</v>
      </c>
      <c r="G662" s="255" t="s">
        <v>3342</v>
      </c>
      <c r="H662" s="250" t="s">
        <v>128</v>
      </c>
      <c r="I662" s="250" t="s">
        <v>465</v>
      </c>
      <c r="J662" s="250" t="s">
        <v>114</v>
      </c>
      <c r="K662" s="250" t="s">
        <v>466</v>
      </c>
      <c r="L662" s="250" t="s">
        <v>467</v>
      </c>
      <c r="M662" s="255">
        <v>2308</v>
      </c>
      <c r="N662" s="278">
        <v>44232</v>
      </c>
      <c r="O662" s="329" t="s">
        <v>67</v>
      </c>
      <c r="P662" s="386">
        <f t="shared" ref="P662:Q662" si="659">IF(B662=0,0,IF(YEAR(B662)=$Q$1,MONTH(B662)-$P$1+1,(YEAR(B662)-$Q$1)*12-$P$1+1+MONTH(B662)))</f>
        <v>2</v>
      </c>
      <c r="Q662" s="330">
        <f t="shared" si="659"/>
        <v>0</v>
      </c>
      <c r="R662" s="351" t="str">
        <f t="shared" si="3"/>
        <v>Gastos_Gerais</v>
      </c>
      <c r="S662" s="351" t="str">
        <f>IF(D662="","",IF(OR(D662=Plano!$A$1,D662=Plano!$B$1),"entrada","saída"))</f>
        <v>saída</v>
      </c>
      <c r="T662" s="334" t="s">
        <v>114</v>
      </c>
      <c r="U662" s="334" t="s">
        <v>114</v>
      </c>
      <c r="V662" s="269"/>
      <c r="W662" s="269"/>
    </row>
    <row r="663" spans="1:23" ht="69.75" customHeight="1" x14ac:dyDescent="0.2">
      <c r="A663" s="277">
        <f t="shared" si="0"/>
        <v>659</v>
      </c>
      <c r="B663" s="278">
        <v>44232</v>
      </c>
      <c r="C663" s="249">
        <v>44166</v>
      </c>
      <c r="D663" s="250" t="s">
        <v>99</v>
      </c>
      <c r="E663" s="250" t="s">
        <v>336</v>
      </c>
      <c r="F663" s="251">
        <v>99</v>
      </c>
      <c r="G663" s="255" t="s">
        <v>3343</v>
      </c>
      <c r="H663" s="250" t="s">
        <v>118</v>
      </c>
      <c r="I663" s="250" t="s">
        <v>465</v>
      </c>
      <c r="J663" s="250" t="s">
        <v>114</v>
      </c>
      <c r="K663" s="250" t="s">
        <v>466</v>
      </c>
      <c r="L663" s="250" t="s">
        <v>467</v>
      </c>
      <c r="M663" s="255">
        <v>2309</v>
      </c>
      <c r="N663" s="278">
        <v>44232</v>
      </c>
      <c r="O663" s="329" t="s">
        <v>67</v>
      </c>
      <c r="P663" s="386">
        <f t="shared" ref="P663:Q663" si="660">IF(B663=0,0,IF(YEAR(B663)=$Q$1,MONTH(B663)-$P$1+1,(YEAR(B663)-$Q$1)*12-$P$1+1+MONTH(B663)))</f>
        <v>2</v>
      </c>
      <c r="Q663" s="330">
        <f t="shared" si="660"/>
        <v>0</v>
      </c>
      <c r="R663" s="351" t="str">
        <f t="shared" si="3"/>
        <v>Gastos_Gerais</v>
      </c>
      <c r="S663" s="351" t="str">
        <f>IF(D663="","",IF(OR(D663=Plano!$A$1,D663=Plano!$B$1),"entrada","saída"))</f>
        <v>saída</v>
      </c>
      <c r="T663" s="334" t="s">
        <v>114</v>
      </c>
      <c r="U663" s="334" t="s">
        <v>114</v>
      </c>
      <c r="V663" s="269"/>
      <c r="W663" s="269"/>
    </row>
    <row r="664" spans="1:23" ht="69.75" customHeight="1" x14ac:dyDescent="0.2">
      <c r="A664" s="277">
        <f t="shared" si="0"/>
        <v>660</v>
      </c>
      <c r="B664" s="278">
        <v>44232</v>
      </c>
      <c r="C664" s="249">
        <v>44166</v>
      </c>
      <c r="D664" s="250" t="s">
        <v>99</v>
      </c>
      <c r="E664" s="250" t="s">
        <v>244</v>
      </c>
      <c r="F664" s="251">
        <v>18.350000000000001</v>
      </c>
      <c r="G664" s="255" t="s">
        <v>3344</v>
      </c>
      <c r="H664" s="250" t="s">
        <v>122</v>
      </c>
      <c r="I664" s="250" t="s">
        <v>465</v>
      </c>
      <c r="J664" s="250" t="s">
        <v>114</v>
      </c>
      <c r="K664" s="250" t="s">
        <v>466</v>
      </c>
      <c r="L664" s="250" t="s">
        <v>467</v>
      </c>
      <c r="M664" s="255">
        <v>2310</v>
      </c>
      <c r="N664" s="278">
        <v>44232</v>
      </c>
      <c r="O664" s="329" t="s">
        <v>67</v>
      </c>
      <c r="P664" s="386">
        <f t="shared" ref="P664:Q664" si="661">IF(B664=0,0,IF(YEAR(B664)=$Q$1,MONTH(B664)-$P$1+1,(YEAR(B664)-$Q$1)*12-$P$1+1+MONTH(B664)))</f>
        <v>2</v>
      </c>
      <c r="Q664" s="330">
        <f t="shared" si="661"/>
        <v>0</v>
      </c>
      <c r="R664" s="351" t="str">
        <f t="shared" si="3"/>
        <v>Gastos_Gerais</v>
      </c>
      <c r="S664" s="351" t="str">
        <f>IF(D664="","",IF(OR(D664=Plano!$A$1,D664=Plano!$B$1),"entrada","saída"))</f>
        <v>saída</v>
      </c>
      <c r="T664" s="334" t="s">
        <v>114</v>
      </c>
      <c r="U664" s="334" t="s">
        <v>114</v>
      </c>
      <c r="V664" s="269"/>
      <c r="W664" s="269"/>
    </row>
    <row r="665" spans="1:23" ht="69.75" customHeight="1" x14ac:dyDescent="0.2">
      <c r="A665" s="277">
        <f t="shared" si="0"/>
        <v>661</v>
      </c>
      <c r="B665" s="278">
        <v>44232</v>
      </c>
      <c r="C665" s="249">
        <v>44166</v>
      </c>
      <c r="D665" s="250" t="s">
        <v>99</v>
      </c>
      <c r="E665" s="250" t="s">
        <v>266</v>
      </c>
      <c r="F665" s="251">
        <v>396.21</v>
      </c>
      <c r="G665" s="255" t="s">
        <v>3345</v>
      </c>
      <c r="H665" s="250" t="s">
        <v>131</v>
      </c>
      <c r="I665" s="250" t="s">
        <v>465</v>
      </c>
      <c r="J665" s="250" t="s">
        <v>114</v>
      </c>
      <c r="K665" s="250" t="s">
        <v>466</v>
      </c>
      <c r="L665" s="250" t="s">
        <v>467</v>
      </c>
      <c r="M665" s="255">
        <v>2311</v>
      </c>
      <c r="N665" s="278">
        <v>44232</v>
      </c>
      <c r="O665" s="329" t="s">
        <v>67</v>
      </c>
      <c r="P665" s="386">
        <f t="shared" ref="P665:Q665" si="662">IF(B665=0,0,IF(YEAR(B665)=$Q$1,MONTH(B665)-$P$1+1,(YEAR(B665)-$Q$1)*12-$P$1+1+MONTH(B665)))</f>
        <v>2</v>
      </c>
      <c r="Q665" s="330">
        <f t="shared" si="662"/>
        <v>0</v>
      </c>
      <c r="R665" s="351" t="str">
        <f t="shared" si="3"/>
        <v>Gastos_Gerais</v>
      </c>
      <c r="S665" s="351" t="str">
        <f>IF(D665="","",IF(OR(D665=Plano!$A$1,D665=Plano!$B$1),"entrada","saída"))</f>
        <v>saída</v>
      </c>
      <c r="T665" s="334" t="s">
        <v>114</v>
      </c>
      <c r="U665" s="334" t="s">
        <v>114</v>
      </c>
      <c r="V665" s="269"/>
      <c r="W665" s="269"/>
    </row>
    <row r="666" spans="1:23" ht="69.75" customHeight="1" x14ac:dyDescent="0.2">
      <c r="A666" s="277">
        <f t="shared" si="0"/>
        <v>662</v>
      </c>
      <c r="B666" s="278">
        <v>44232</v>
      </c>
      <c r="C666" s="249">
        <v>44166</v>
      </c>
      <c r="D666" s="250" t="s">
        <v>99</v>
      </c>
      <c r="E666" s="250" t="s">
        <v>336</v>
      </c>
      <c r="F666" s="251">
        <v>99</v>
      </c>
      <c r="G666" s="255" t="s">
        <v>3346</v>
      </c>
      <c r="H666" s="250" t="s">
        <v>118</v>
      </c>
      <c r="I666" s="250" t="s">
        <v>465</v>
      </c>
      <c r="J666" s="250" t="s">
        <v>114</v>
      </c>
      <c r="K666" s="250" t="s">
        <v>466</v>
      </c>
      <c r="L666" s="250" t="s">
        <v>467</v>
      </c>
      <c r="M666" s="255">
        <v>2312</v>
      </c>
      <c r="N666" s="278">
        <v>44232</v>
      </c>
      <c r="O666" s="329" t="s">
        <v>67</v>
      </c>
      <c r="P666" s="386">
        <f t="shared" ref="P666:Q666" si="663">IF(B666=0,0,IF(YEAR(B666)=$Q$1,MONTH(B666)-$P$1+1,(YEAR(B666)-$Q$1)*12-$P$1+1+MONTH(B666)))</f>
        <v>2</v>
      </c>
      <c r="Q666" s="330">
        <f t="shared" si="663"/>
        <v>0</v>
      </c>
      <c r="R666" s="351" t="str">
        <f t="shared" si="3"/>
        <v>Gastos_Gerais</v>
      </c>
      <c r="S666" s="351" t="str">
        <f>IF(D666="","",IF(OR(D666=Plano!$A$1,D666=Plano!$B$1),"entrada","saída"))</f>
        <v>saída</v>
      </c>
      <c r="T666" s="334" t="s">
        <v>114</v>
      </c>
      <c r="U666" s="334" t="s">
        <v>114</v>
      </c>
      <c r="V666" s="269"/>
      <c r="W666" s="269"/>
    </row>
    <row r="667" spans="1:23" ht="69.75" customHeight="1" x14ac:dyDescent="0.2">
      <c r="A667" s="277">
        <f t="shared" si="0"/>
        <v>663</v>
      </c>
      <c r="B667" s="278">
        <v>44232</v>
      </c>
      <c r="C667" s="249">
        <v>44166</v>
      </c>
      <c r="D667" s="250" t="s">
        <v>99</v>
      </c>
      <c r="E667" s="250" t="s">
        <v>244</v>
      </c>
      <c r="F667" s="251">
        <v>11.45</v>
      </c>
      <c r="G667" s="255" t="s">
        <v>3347</v>
      </c>
      <c r="H667" s="250" t="s">
        <v>126</v>
      </c>
      <c r="I667" s="250" t="s">
        <v>465</v>
      </c>
      <c r="J667" s="250" t="s">
        <v>114</v>
      </c>
      <c r="K667" s="250" t="s">
        <v>466</v>
      </c>
      <c r="L667" s="250" t="s">
        <v>467</v>
      </c>
      <c r="M667" s="255">
        <v>2313</v>
      </c>
      <c r="N667" s="278">
        <v>44232</v>
      </c>
      <c r="O667" s="329" t="s">
        <v>67</v>
      </c>
      <c r="P667" s="386">
        <f t="shared" ref="P667:Q667" si="664">IF(B667=0,0,IF(YEAR(B667)=$Q$1,MONTH(B667)-$P$1+1,(YEAR(B667)-$Q$1)*12-$P$1+1+MONTH(B667)))</f>
        <v>2</v>
      </c>
      <c r="Q667" s="330">
        <f t="shared" si="664"/>
        <v>0</v>
      </c>
      <c r="R667" s="351" t="str">
        <f t="shared" si="3"/>
        <v>Gastos_Gerais</v>
      </c>
      <c r="S667" s="351" t="str">
        <f>IF(D667="","",IF(OR(D667=Plano!$A$1,D667=Plano!$B$1),"entrada","saída"))</f>
        <v>saída</v>
      </c>
      <c r="T667" s="334" t="s">
        <v>114</v>
      </c>
      <c r="U667" s="334" t="s">
        <v>114</v>
      </c>
      <c r="V667" s="269"/>
      <c r="W667" s="269"/>
    </row>
    <row r="668" spans="1:23" ht="69.75" customHeight="1" x14ac:dyDescent="0.2">
      <c r="A668" s="277">
        <f t="shared" si="0"/>
        <v>664</v>
      </c>
      <c r="B668" s="278">
        <v>44232</v>
      </c>
      <c r="C668" s="249">
        <v>44166</v>
      </c>
      <c r="D668" s="250" t="s">
        <v>99</v>
      </c>
      <c r="E668" s="250" t="s">
        <v>336</v>
      </c>
      <c r="F668" s="251">
        <v>99</v>
      </c>
      <c r="G668" s="255" t="s">
        <v>3348</v>
      </c>
      <c r="H668" s="250" t="s">
        <v>118</v>
      </c>
      <c r="I668" s="250" t="s">
        <v>465</v>
      </c>
      <c r="J668" s="250" t="s">
        <v>114</v>
      </c>
      <c r="K668" s="250" t="s">
        <v>466</v>
      </c>
      <c r="L668" s="250" t="s">
        <v>467</v>
      </c>
      <c r="M668" s="255">
        <v>2314</v>
      </c>
      <c r="N668" s="278">
        <v>44232</v>
      </c>
      <c r="O668" s="329" t="s">
        <v>67</v>
      </c>
      <c r="P668" s="386">
        <f t="shared" ref="P668:Q668" si="665">IF(B668=0,0,IF(YEAR(B668)=$Q$1,MONTH(B668)-$P$1+1,(YEAR(B668)-$Q$1)*12-$P$1+1+MONTH(B668)))</f>
        <v>2</v>
      </c>
      <c r="Q668" s="330">
        <f t="shared" si="665"/>
        <v>0</v>
      </c>
      <c r="R668" s="351" t="str">
        <f t="shared" si="3"/>
        <v>Gastos_Gerais</v>
      </c>
      <c r="S668" s="351" t="str">
        <f>IF(D668="","",IF(OR(D668=Plano!$A$1,D668=Plano!$B$1),"entrada","saída"))</f>
        <v>saída</v>
      </c>
      <c r="T668" s="334" t="s">
        <v>114</v>
      </c>
      <c r="U668" s="334" t="s">
        <v>114</v>
      </c>
      <c r="V668" s="269"/>
      <c r="W668" s="269"/>
    </row>
    <row r="669" spans="1:23" ht="69.75" customHeight="1" x14ac:dyDescent="0.2">
      <c r="A669" s="277">
        <f t="shared" si="0"/>
        <v>665</v>
      </c>
      <c r="B669" s="278">
        <v>44232</v>
      </c>
      <c r="C669" s="249">
        <v>44166</v>
      </c>
      <c r="D669" s="250" t="s">
        <v>99</v>
      </c>
      <c r="E669" s="250" t="s">
        <v>336</v>
      </c>
      <c r="F669" s="251">
        <v>99</v>
      </c>
      <c r="G669" s="255" t="s">
        <v>3349</v>
      </c>
      <c r="H669" s="250" t="s">
        <v>118</v>
      </c>
      <c r="I669" s="250" t="s">
        <v>465</v>
      </c>
      <c r="J669" s="250" t="s">
        <v>114</v>
      </c>
      <c r="K669" s="250" t="s">
        <v>466</v>
      </c>
      <c r="L669" s="250" t="s">
        <v>467</v>
      </c>
      <c r="M669" s="255">
        <v>2315</v>
      </c>
      <c r="N669" s="278">
        <v>44232</v>
      </c>
      <c r="O669" s="329" t="s">
        <v>67</v>
      </c>
      <c r="P669" s="386">
        <f t="shared" ref="P669:Q669" si="666">IF(B669=0,0,IF(YEAR(B669)=$Q$1,MONTH(B669)-$P$1+1,(YEAR(B669)-$Q$1)*12-$P$1+1+MONTH(B669)))</f>
        <v>2</v>
      </c>
      <c r="Q669" s="330">
        <f t="shared" si="666"/>
        <v>0</v>
      </c>
      <c r="R669" s="351" t="str">
        <f t="shared" si="3"/>
        <v>Gastos_Gerais</v>
      </c>
      <c r="S669" s="351" t="str">
        <f>IF(D669="","",IF(OR(D669=Plano!$A$1,D669=Plano!$B$1),"entrada","saída"))</f>
        <v>saída</v>
      </c>
      <c r="T669" s="334" t="s">
        <v>114</v>
      </c>
      <c r="U669" s="334" t="s">
        <v>114</v>
      </c>
      <c r="V669" s="269"/>
      <c r="W669" s="269"/>
    </row>
    <row r="670" spans="1:23" ht="69.75" customHeight="1" x14ac:dyDescent="0.2">
      <c r="A670" s="277">
        <f t="shared" si="0"/>
        <v>666</v>
      </c>
      <c r="B670" s="278">
        <v>44232</v>
      </c>
      <c r="C670" s="249">
        <v>44166</v>
      </c>
      <c r="D670" s="250" t="s">
        <v>99</v>
      </c>
      <c r="E670" s="250" t="s">
        <v>336</v>
      </c>
      <c r="F670" s="251">
        <v>99</v>
      </c>
      <c r="G670" s="255" t="s">
        <v>3350</v>
      </c>
      <c r="H670" s="250" t="s">
        <v>116</v>
      </c>
      <c r="I670" s="250" t="s">
        <v>465</v>
      </c>
      <c r="J670" s="250" t="s">
        <v>114</v>
      </c>
      <c r="K670" s="250" t="s">
        <v>466</v>
      </c>
      <c r="L670" s="250" t="s">
        <v>467</v>
      </c>
      <c r="M670" s="255">
        <v>2316</v>
      </c>
      <c r="N670" s="278">
        <v>44232</v>
      </c>
      <c r="O670" s="329" t="s">
        <v>67</v>
      </c>
      <c r="P670" s="386">
        <f t="shared" ref="P670:Q670" si="667">IF(B670=0,0,IF(YEAR(B670)=$Q$1,MONTH(B670)-$P$1+1,(YEAR(B670)-$Q$1)*12-$P$1+1+MONTH(B670)))</f>
        <v>2</v>
      </c>
      <c r="Q670" s="330">
        <f t="shared" si="667"/>
        <v>0</v>
      </c>
      <c r="R670" s="351" t="str">
        <f t="shared" si="3"/>
        <v>Gastos_Gerais</v>
      </c>
      <c r="S670" s="351" t="str">
        <f>IF(D670="","",IF(OR(D670=Plano!$A$1,D670=Plano!$B$1),"entrada","saída"))</f>
        <v>saída</v>
      </c>
      <c r="T670" s="334" t="s">
        <v>114</v>
      </c>
      <c r="U670" s="334" t="s">
        <v>114</v>
      </c>
      <c r="V670" s="269"/>
      <c r="W670" s="269"/>
    </row>
    <row r="671" spans="1:23" ht="69.75" customHeight="1" x14ac:dyDescent="0.2">
      <c r="A671" s="277">
        <f t="shared" si="0"/>
        <v>667</v>
      </c>
      <c r="B671" s="278">
        <v>44232</v>
      </c>
      <c r="C671" s="249">
        <v>44197</v>
      </c>
      <c r="D671" s="250" t="s">
        <v>99</v>
      </c>
      <c r="E671" s="250" t="s">
        <v>364</v>
      </c>
      <c r="F671" s="251">
        <v>239</v>
      </c>
      <c r="G671" s="255" t="s">
        <v>3351</v>
      </c>
      <c r="H671" s="250" t="s">
        <v>125</v>
      </c>
      <c r="I671" s="250" t="s">
        <v>465</v>
      </c>
      <c r="J671" s="250" t="s">
        <v>114</v>
      </c>
      <c r="K671" s="250" t="s">
        <v>466</v>
      </c>
      <c r="L671" s="250" t="s">
        <v>467</v>
      </c>
      <c r="M671" s="255">
        <v>2317</v>
      </c>
      <c r="N671" s="278">
        <v>44232</v>
      </c>
      <c r="O671" s="329" t="s">
        <v>67</v>
      </c>
      <c r="P671" s="386">
        <f t="shared" ref="P671:Q671" si="668">IF(B671=0,0,IF(YEAR(B671)=$Q$1,MONTH(B671)-$P$1+1,(YEAR(B671)-$Q$1)*12-$P$1+1+MONTH(B671)))</f>
        <v>2</v>
      </c>
      <c r="Q671" s="330">
        <f t="shared" si="668"/>
        <v>1</v>
      </c>
      <c r="R671" s="351" t="str">
        <f t="shared" si="3"/>
        <v>Gastos_Gerais</v>
      </c>
      <c r="S671" s="351" t="str">
        <f>IF(D671="","",IF(OR(D671=Plano!$A$1,D671=Plano!$B$1),"entrada","saída"))</f>
        <v>saída</v>
      </c>
      <c r="T671" s="334" t="s">
        <v>114</v>
      </c>
      <c r="U671" s="334" t="s">
        <v>114</v>
      </c>
      <c r="V671" s="269"/>
      <c r="W671" s="269"/>
    </row>
    <row r="672" spans="1:23" ht="69.75" customHeight="1" x14ac:dyDescent="0.2">
      <c r="A672" s="277">
        <f t="shared" si="0"/>
        <v>668</v>
      </c>
      <c r="B672" s="278">
        <v>44232</v>
      </c>
      <c r="C672" s="249">
        <v>44197</v>
      </c>
      <c r="D672" s="250" t="s">
        <v>99</v>
      </c>
      <c r="E672" s="255" t="s">
        <v>266</v>
      </c>
      <c r="F672" s="258">
        <v>9.2799999999999994</v>
      </c>
      <c r="G672" s="255" t="s">
        <v>3352</v>
      </c>
      <c r="H672" s="255" t="s">
        <v>115</v>
      </c>
      <c r="I672" s="250" t="s">
        <v>465</v>
      </c>
      <c r="J672" s="250" t="s">
        <v>114</v>
      </c>
      <c r="K672" s="250" t="s">
        <v>466</v>
      </c>
      <c r="L672" s="250" t="s">
        <v>467</v>
      </c>
      <c r="M672" s="255">
        <v>2318</v>
      </c>
      <c r="N672" s="278">
        <v>44232</v>
      </c>
      <c r="O672" s="329" t="s">
        <v>67</v>
      </c>
      <c r="P672" s="386">
        <f t="shared" ref="P672:Q672" si="669">IF(B672=0,0,IF(YEAR(B672)=$Q$1,MONTH(B672)-$P$1+1,(YEAR(B672)-$Q$1)*12-$P$1+1+MONTH(B672)))</f>
        <v>2</v>
      </c>
      <c r="Q672" s="330">
        <f t="shared" si="669"/>
        <v>1</v>
      </c>
      <c r="R672" s="351" t="str">
        <f t="shared" si="3"/>
        <v>Gastos_Gerais</v>
      </c>
      <c r="S672" s="351" t="str">
        <f>IF(D672="","",IF(OR(D672=Plano!$A$1,D672=Plano!$B$1),"entrada","saída"))</f>
        <v>saída</v>
      </c>
      <c r="T672" s="334" t="s">
        <v>114</v>
      </c>
      <c r="U672" s="334" t="s">
        <v>114</v>
      </c>
      <c r="V672" s="269"/>
      <c r="W672" s="269"/>
    </row>
    <row r="673" spans="1:23" ht="69.75" customHeight="1" x14ac:dyDescent="0.2">
      <c r="A673" s="277">
        <f t="shared" si="0"/>
        <v>669</v>
      </c>
      <c r="B673" s="278">
        <v>44232</v>
      </c>
      <c r="C673" s="249">
        <v>44136</v>
      </c>
      <c r="D673" s="250" t="s">
        <v>99</v>
      </c>
      <c r="E673" s="250" t="s">
        <v>290</v>
      </c>
      <c r="F673" s="251">
        <v>15.36</v>
      </c>
      <c r="G673" s="255" t="s">
        <v>3353</v>
      </c>
      <c r="H673" s="250" t="s">
        <v>115</v>
      </c>
      <c r="I673" s="250" t="s">
        <v>465</v>
      </c>
      <c r="J673" s="250" t="s">
        <v>114</v>
      </c>
      <c r="K673" s="250" t="s">
        <v>466</v>
      </c>
      <c r="L673" s="250" t="s">
        <v>467</v>
      </c>
      <c r="M673" s="255">
        <v>2319</v>
      </c>
      <c r="N673" s="278">
        <v>44232</v>
      </c>
      <c r="O673" s="329" t="s">
        <v>67</v>
      </c>
      <c r="P673" s="386">
        <f t="shared" ref="P673:Q673" si="670">IF(B673=0,0,IF(YEAR(B673)=$Q$1,MONTH(B673)-$P$1+1,(YEAR(B673)-$Q$1)*12-$P$1+1+MONTH(B673)))</f>
        <v>2</v>
      </c>
      <c r="Q673" s="330">
        <f t="shared" si="670"/>
        <v>-1</v>
      </c>
      <c r="R673" s="351" t="str">
        <f t="shared" si="3"/>
        <v>Gastos_Gerais</v>
      </c>
      <c r="S673" s="351" t="str">
        <f>IF(D673="","",IF(OR(D673=Plano!$A$1,D673=Plano!$B$1),"entrada","saída"))</f>
        <v>saída</v>
      </c>
      <c r="T673" s="334" t="s">
        <v>114</v>
      </c>
      <c r="U673" s="334" t="s">
        <v>114</v>
      </c>
      <c r="V673" s="269"/>
      <c r="W673" s="269"/>
    </row>
    <row r="674" spans="1:23" ht="69.75" customHeight="1" x14ac:dyDescent="0.2">
      <c r="A674" s="277">
        <f t="shared" si="0"/>
        <v>670</v>
      </c>
      <c r="B674" s="278">
        <v>44232</v>
      </c>
      <c r="C674" s="249">
        <v>44166</v>
      </c>
      <c r="D674" s="250" t="s">
        <v>99</v>
      </c>
      <c r="E674" s="250" t="s">
        <v>290</v>
      </c>
      <c r="F674" s="251">
        <v>6.85</v>
      </c>
      <c r="G674" s="255" t="s">
        <v>3354</v>
      </c>
      <c r="H674" s="250" t="s">
        <v>115</v>
      </c>
      <c r="I674" s="250" t="s">
        <v>465</v>
      </c>
      <c r="J674" s="250" t="s">
        <v>114</v>
      </c>
      <c r="K674" s="250" t="s">
        <v>466</v>
      </c>
      <c r="L674" s="250" t="s">
        <v>467</v>
      </c>
      <c r="M674" s="255">
        <v>2320</v>
      </c>
      <c r="N674" s="278">
        <v>44232</v>
      </c>
      <c r="O674" s="329" t="s">
        <v>67</v>
      </c>
      <c r="P674" s="386">
        <f t="shared" ref="P674:Q674" si="671">IF(B674=0,0,IF(YEAR(B674)=$Q$1,MONTH(B674)-$P$1+1,(YEAR(B674)-$Q$1)*12-$P$1+1+MONTH(B674)))</f>
        <v>2</v>
      </c>
      <c r="Q674" s="330">
        <f t="shared" si="671"/>
        <v>0</v>
      </c>
      <c r="R674" s="351" t="str">
        <f t="shared" si="3"/>
        <v>Gastos_Gerais</v>
      </c>
      <c r="S674" s="351" t="str">
        <f>IF(D674="","",IF(OR(D674=Plano!$A$1,D674=Plano!$B$1),"entrada","saída"))</f>
        <v>saída</v>
      </c>
      <c r="T674" s="334" t="s">
        <v>114</v>
      </c>
      <c r="U674" s="334" t="s">
        <v>114</v>
      </c>
      <c r="V674" s="269"/>
      <c r="W674" s="269"/>
    </row>
    <row r="675" spans="1:23" ht="69.75" customHeight="1" x14ac:dyDescent="0.2">
      <c r="A675" s="277">
        <f t="shared" si="0"/>
        <v>671</v>
      </c>
      <c r="B675" s="278">
        <v>44232</v>
      </c>
      <c r="C675" s="249">
        <v>44197</v>
      </c>
      <c r="D675" s="250" t="s">
        <v>88</v>
      </c>
      <c r="E675" s="250" t="s">
        <v>183</v>
      </c>
      <c r="F675" s="251">
        <v>3.25</v>
      </c>
      <c r="G675" s="255" t="s">
        <v>3355</v>
      </c>
      <c r="H675" s="250" t="s">
        <v>114</v>
      </c>
      <c r="I675" s="250" t="s">
        <v>465</v>
      </c>
      <c r="J675" s="250" t="s">
        <v>114</v>
      </c>
      <c r="K675" s="250" t="s">
        <v>466</v>
      </c>
      <c r="L675" s="250" t="s">
        <v>467</v>
      </c>
      <c r="M675" s="255">
        <v>2321</v>
      </c>
      <c r="N675" s="278">
        <v>44232</v>
      </c>
      <c r="O675" s="329" t="s">
        <v>67</v>
      </c>
      <c r="P675" s="386">
        <f t="shared" ref="P675:Q675" si="672">IF(B675=0,0,IF(YEAR(B675)=$Q$1,MONTH(B675)-$P$1+1,(YEAR(B675)-$Q$1)*12-$P$1+1+MONTH(B675)))</f>
        <v>2</v>
      </c>
      <c r="Q675" s="330">
        <f t="shared" si="672"/>
        <v>1</v>
      </c>
      <c r="R675" s="351" t="str">
        <f t="shared" si="3"/>
        <v>Gastos_com_Pessoal</v>
      </c>
      <c r="S675" s="351" t="str">
        <f>IF(D675="","",IF(OR(D675=Plano!$A$1,D675=Plano!$B$1),"entrada","saída"))</f>
        <v>saída</v>
      </c>
      <c r="T675" s="334" t="s">
        <v>114</v>
      </c>
      <c r="U675" s="334" t="s">
        <v>114</v>
      </c>
      <c r="V675" s="269"/>
      <c r="W675" s="269"/>
    </row>
    <row r="676" spans="1:23" ht="69.75" customHeight="1" x14ac:dyDescent="0.2">
      <c r="A676" s="277">
        <f t="shared" si="0"/>
        <v>672</v>
      </c>
      <c r="B676" s="278">
        <v>44232</v>
      </c>
      <c r="C676" s="249">
        <v>44197</v>
      </c>
      <c r="D676" s="250" t="s">
        <v>88</v>
      </c>
      <c r="E676" s="250" t="s">
        <v>183</v>
      </c>
      <c r="F676" s="251">
        <v>5.67</v>
      </c>
      <c r="G676" s="255" t="s">
        <v>3356</v>
      </c>
      <c r="H676" s="250" t="s">
        <v>114</v>
      </c>
      <c r="I676" s="250" t="s">
        <v>465</v>
      </c>
      <c r="J676" s="250" t="s">
        <v>114</v>
      </c>
      <c r="K676" s="250" t="s">
        <v>466</v>
      </c>
      <c r="L676" s="250" t="s">
        <v>467</v>
      </c>
      <c r="M676" s="255">
        <v>2322</v>
      </c>
      <c r="N676" s="278">
        <v>44232</v>
      </c>
      <c r="O676" s="329" t="s">
        <v>67</v>
      </c>
      <c r="P676" s="386">
        <f t="shared" ref="P676:Q676" si="673">IF(B676=0,0,IF(YEAR(B676)=$Q$1,MONTH(B676)-$P$1+1,(YEAR(B676)-$Q$1)*12-$P$1+1+MONTH(B676)))</f>
        <v>2</v>
      </c>
      <c r="Q676" s="330">
        <f t="shared" si="673"/>
        <v>1</v>
      </c>
      <c r="R676" s="351" t="str">
        <f t="shared" si="3"/>
        <v>Gastos_com_Pessoal</v>
      </c>
      <c r="S676" s="351" t="str">
        <f>IF(D676="","",IF(OR(D676=Plano!$A$1,D676=Plano!$B$1),"entrada","saída"))</f>
        <v>saída</v>
      </c>
      <c r="T676" s="334" t="s">
        <v>114</v>
      </c>
      <c r="U676" s="334" t="s">
        <v>114</v>
      </c>
      <c r="V676" s="269"/>
      <c r="W676" s="269"/>
    </row>
    <row r="677" spans="1:23" ht="69.75" customHeight="1" x14ac:dyDescent="0.2">
      <c r="A677" s="277">
        <f t="shared" si="0"/>
        <v>673</v>
      </c>
      <c r="B677" s="278">
        <v>44232</v>
      </c>
      <c r="C677" s="256">
        <v>44197</v>
      </c>
      <c r="D677" s="255" t="s">
        <v>88</v>
      </c>
      <c r="E677" s="255" t="s">
        <v>192</v>
      </c>
      <c r="F677" s="258">
        <v>0.27</v>
      </c>
      <c r="G677" s="255" t="s">
        <v>3357</v>
      </c>
      <c r="H677" s="255" t="s">
        <v>114</v>
      </c>
      <c r="I677" s="250" t="s">
        <v>465</v>
      </c>
      <c r="J677" s="250" t="s">
        <v>114</v>
      </c>
      <c r="K677" s="250" t="s">
        <v>466</v>
      </c>
      <c r="L677" s="250" t="s">
        <v>467</v>
      </c>
      <c r="M677" s="255">
        <v>2323</v>
      </c>
      <c r="N677" s="278">
        <v>44232</v>
      </c>
      <c r="O677" s="329" t="s">
        <v>67</v>
      </c>
      <c r="P677" s="386">
        <f t="shared" ref="P677:Q677" si="674">IF(B677=0,0,IF(YEAR(B677)=$Q$1,MONTH(B677)-$P$1+1,(YEAR(B677)-$Q$1)*12-$P$1+1+MONTH(B677)))</f>
        <v>2</v>
      </c>
      <c r="Q677" s="330">
        <f t="shared" si="674"/>
        <v>1</v>
      </c>
      <c r="R677" s="351" t="str">
        <f t="shared" si="3"/>
        <v>Gastos_com_Pessoal</v>
      </c>
      <c r="S677" s="351" t="str">
        <f>IF(D677="","",IF(OR(D677=Plano!$A$1,D677=Plano!$B$1),"entrada","saída"))</f>
        <v>saída</v>
      </c>
      <c r="T677" s="334" t="s">
        <v>114</v>
      </c>
      <c r="U677" s="334" t="s">
        <v>114</v>
      </c>
      <c r="V677" s="269"/>
      <c r="W677" s="269"/>
    </row>
    <row r="678" spans="1:23" ht="69.75" customHeight="1" x14ac:dyDescent="0.2">
      <c r="A678" s="277">
        <f t="shared" si="0"/>
        <v>674</v>
      </c>
      <c r="B678" s="278">
        <v>44232</v>
      </c>
      <c r="C678" s="256">
        <v>44166</v>
      </c>
      <c r="D678" s="255" t="s">
        <v>88</v>
      </c>
      <c r="E678" s="255" t="s">
        <v>90</v>
      </c>
      <c r="F678" s="258">
        <v>7</v>
      </c>
      <c r="G678" s="255" t="s">
        <v>3358</v>
      </c>
      <c r="H678" s="255" t="s">
        <v>114</v>
      </c>
      <c r="I678" s="250" t="s">
        <v>465</v>
      </c>
      <c r="J678" s="250" t="s">
        <v>114</v>
      </c>
      <c r="K678" s="250" t="s">
        <v>466</v>
      </c>
      <c r="L678" s="250" t="s">
        <v>467</v>
      </c>
      <c r="M678" s="255">
        <v>2324</v>
      </c>
      <c r="N678" s="278">
        <v>44232</v>
      </c>
      <c r="O678" s="329" t="s">
        <v>67</v>
      </c>
      <c r="P678" s="386">
        <f t="shared" ref="P678:Q678" si="675">IF(B678=0,0,IF(YEAR(B678)=$Q$1,MONTH(B678)-$P$1+1,(YEAR(B678)-$Q$1)*12-$P$1+1+MONTH(B678)))</f>
        <v>2</v>
      </c>
      <c r="Q678" s="330">
        <f t="shared" si="675"/>
        <v>0</v>
      </c>
      <c r="R678" s="351" t="str">
        <f t="shared" si="3"/>
        <v>Gastos_com_Pessoal</v>
      </c>
      <c r="S678" s="351" t="str">
        <f>IF(D678="","",IF(OR(D678=Plano!$A$1,D678=Plano!$B$1),"entrada","saída"))</f>
        <v>saída</v>
      </c>
      <c r="T678" s="334" t="s">
        <v>114</v>
      </c>
      <c r="U678" s="334" t="s">
        <v>114</v>
      </c>
      <c r="V678" s="269"/>
      <c r="W678" s="269"/>
    </row>
    <row r="679" spans="1:23" ht="69.75" customHeight="1" x14ac:dyDescent="0.2">
      <c r="A679" s="277">
        <f t="shared" si="0"/>
        <v>675</v>
      </c>
      <c r="B679" s="278">
        <v>44232</v>
      </c>
      <c r="C679" s="256">
        <v>44228</v>
      </c>
      <c r="D679" s="255" t="s">
        <v>88</v>
      </c>
      <c r="E679" s="255" t="s">
        <v>196</v>
      </c>
      <c r="F679" s="258">
        <v>100.86</v>
      </c>
      <c r="G679" s="255" t="s">
        <v>3359</v>
      </c>
      <c r="H679" s="255" t="s">
        <v>114</v>
      </c>
      <c r="I679" s="250" t="s">
        <v>465</v>
      </c>
      <c r="J679" s="250" t="s">
        <v>114</v>
      </c>
      <c r="K679" s="250" t="s">
        <v>466</v>
      </c>
      <c r="L679" s="250" t="s">
        <v>467</v>
      </c>
      <c r="M679" s="255">
        <v>2325</v>
      </c>
      <c r="N679" s="278">
        <v>44232</v>
      </c>
      <c r="O679" s="329" t="s">
        <v>67</v>
      </c>
      <c r="P679" s="386">
        <f t="shared" ref="P679:Q679" si="676">IF(B679=0,0,IF(YEAR(B679)=$Q$1,MONTH(B679)-$P$1+1,(YEAR(B679)-$Q$1)*12-$P$1+1+MONTH(B679)))</f>
        <v>2</v>
      </c>
      <c r="Q679" s="330">
        <f t="shared" si="676"/>
        <v>2</v>
      </c>
      <c r="R679" s="351" t="str">
        <f t="shared" si="3"/>
        <v>Gastos_com_Pessoal</v>
      </c>
      <c r="S679" s="351" t="str">
        <f>IF(D679="","",IF(OR(D679=Plano!$A$1,D679=Plano!$B$1),"entrada","saída"))</f>
        <v>saída</v>
      </c>
      <c r="T679" s="334" t="s">
        <v>114</v>
      </c>
      <c r="U679" s="334" t="s">
        <v>114</v>
      </c>
      <c r="V679" s="269"/>
      <c r="W679" s="269"/>
    </row>
    <row r="680" spans="1:23" ht="69.75" customHeight="1" x14ac:dyDescent="0.2">
      <c r="A680" s="277">
        <f t="shared" si="0"/>
        <v>676</v>
      </c>
      <c r="B680" s="278">
        <v>44232</v>
      </c>
      <c r="C680" s="249">
        <v>44166</v>
      </c>
      <c r="D680" s="250" t="s">
        <v>99</v>
      </c>
      <c r="E680" s="250" t="s">
        <v>352</v>
      </c>
      <c r="F680" s="251">
        <v>134.4</v>
      </c>
      <c r="G680" s="255" t="s">
        <v>3360</v>
      </c>
      <c r="H680" s="250" t="s">
        <v>116</v>
      </c>
      <c r="I680" s="250" t="s">
        <v>465</v>
      </c>
      <c r="J680" s="250" t="s">
        <v>114</v>
      </c>
      <c r="K680" s="250" t="s">
        <v>466</v>
      </c>
      <c r="L680" s="250" t="s">
        <v>467</v>
      </c>
      <c r="M680" s="255">
        <v>2326</v>
      </c>
      <c r="N680" s="278">
        <v>44232</v>
      </c>
      <c r="O680" s="329" t="s">
        <v>67</v>
      </c>
      <c r="P680" s="386">
        <f t="shared" ref="P680:Q680" si="677">IF(B680=0,0,IF(YEAR(B680)=$Q$1,MONTH(B680)-$P$1+1,(YEAR(B680)-$Q$1)*12-$P$1+1+MONTH(B680)))</f>
        <v>2</v>
      </c>
      <c r="Q680" s="330">
        <f t="shared" si="677"/>
        <v>0</v>
      </c>
      <c r="R680" s="351" t="str">
        <f t="shared" si="3"/>
        <v>Gastos_Gerais</v>
      </c>
      <c r="S680" s="351" t="str">
        <f>IF(D680="","",IF(OR(D680=Plano!$A$1,D680=Plano!$B$1),"entrada","saída"))</f>
        <v>saída</v>
      </c>
      <c r="T680" s="334" t="s">
        <v>114</v>
      </c>
      <c r="U680" s="334" t="s">
        <v>114</v>
      </c>
      <c r="V680" s="269"/>
      <c r="W680" s="269"/>
    </row>
    <row r="681" spans="1:23" ht="69.75" customHeight="1" x14ac:dyDescent="0.2">
      <c r="A681" s="277">
        <f t="shared" si="0"/>
        <v>677</v>
      </c>
      <c r="B681" s="278">
        <v>44232</v>
      </c>
      <c r="C681" s="256">
        <v>44197</v>
      </c>
      <c r="D681" s="255" t="s">
        <v>88</v>
      </c>
      <c r="E681" s="255" t="s">
        <v>171</v>
      </c>
      <c r="F681" s="258">
        <v>9792.35</v>
      </c>
      <c r="G681" s="255" t="s">
        <v>3361</v>
      </c>
      <c r="H681" s="255" t="s">
        <v>114</v>
      </c>
      <c r="I681" s="250" t="s">
        <v>1259</v>
      </c>
      <c r="J681" s="255" t="s">
        <v>114</v>
      </c>
      <c r="K681" s="255" t="s">
        <v>466</v>
      </c>
      <c r="L681" s="250" t="s">
        <v>171</v>
      </c>
      <c r="M681" s="329" t="s">
        <v>114</v>
      </c>
      <c r="N681" s="278">
        <v>44232</v>
      </c>
      <c r="O681" s="329" t="s">
        <v>67</v>
      </c>
      <c r="P681" s="386">
        <f t="shared" ref="P681:Q681" si="678">IF(B681=0,0,IF(YEAR(B681)=$Q$1,MONTH(B681)-$P$1+1,(YEAR(B681)-$Q$1)*12-$P$1+1+MONTH(B681)))</f>
        <v>2</v>
      </c>
      <c r="Q681" s="330">
        <f t="shared" si="678"/>
        <v>1</v>
      </c>
      <c r="R681" s="351" t="str">
        <f t="shared" si="3"/>
        <v>Gastos_com_Pessoal</v>
      </c>
      <c r="S681" s="351" t="str">
        <f>IF(D681="","",IF(OR(D681=Plano!$A$1,D681=Plano!$B$1),"entrada","saída"))</f>
        <v>saída</v>
      </c>
      <c r="T681" s="334" t="s">
        <v>114</v>
      </c>
      <c r="U681" s="334" t="s">
        <v>114</v>
      </c>
      <c r="V681" s="269"/>
      <c r="W681" s="269"/>
    </row>
    <row r="682" spans="1:23" ht="69.75" customHeight="1" x14ac:dyDescent="0.2">
      <c r="A682" s="277">
        <f t="shared" si="0"/>
        <v>678</v>
      </c>
      <c r="B682" s="278">
        <v>44232</v>
      </c>
      <c r="C682" s="256">
        <v>44197</v>
      </c>
      <c r="D682" s="255" t="s">
        <v>99</v>
      </c>
      <c r="E682" s="255" t="s">
        <v>220</v>
      </c>
      <c r="F682" s="258">
        <v>456.26</v>
      </c>
      <c r="G682" s="255" t="s">
        <v>3362</v>
      </c>
      <c r="H682" s="255" t="s">
        <v>115</v>
      </c>
      <c r="I682" s="250" t="s">
        <v>522</v>
      </c>
      <c r="J682" s="255" t="s">
        <v>523</v>
      </c>
      <c r="K682" s="255" t="s">
        <v>1375</v>
      </c>
      <c r="L682" s="250" t="s">
        <v>1016</v>
      </c>
      <c r="M682" s="255" t="s">
        <v>3363</v>
      </c>
      <c r="N682" s="278">
        <v>44215</v>
      </c>
      <c r="O682" s="329" t="s">
        <v>67</v>
      </c>
      <c r="P682" s="386">
        <f t="shared" ref="P682:Q682" si="679">IF(B682=0,0,IF(YEAR(B682)=$Q$1,MONTH(B682)-$P$1+1,(YEAR(B682)-$Q$1)*12-$P$1+1+MONTH(B682)))</f>
        <v>2</v>
      </c>
      <c r="Q682" s="330">
        <f t="shared" si="679"/>
        <v>1</v>
      </c>
      <c r="R682" s="351" t="str">
        <f t="shared" si="3"/>
        <v>Gastos_Gerais</v>
      </c>
      <c r="S682" s="351" t="str">
        <f>IF(D682="","",IF(OR(D682=Plano!$A$1,D682=Plano!$B$1),"entrada","saída"))</f>
        <v>saída</v>
      </c>
      <c r="T682" s="334" t="s">
        <v>114</v>
      </c>
      <c r="U682" s="334" t="s">
        <v>114</v>
      </c>
      <c r="V682" s="269"/>
      <c r="W682" s="269"/>
    </row>
    <row r="683" spans="1:23" ht="69.75" customHeight="1" x14ac:dyDescent="0.2">
      <c r="A683" s="277">
        <f t="shared" si="0"/>
        <v>679</v>
      </c>
      <c r="B683" s="278">
        <v>44232</v>
      </c>
      <c r="C683" s="249">
        <v>44197</v>
      </c>
      <c r="D683" s="250" t="s">
        <v>99</v>
      </c>
      <c r="E683" s="250" t="s">
        <v>228</v>
      </c>
      <c r="F683" s="251">
        <v>7977.25</v>
      </c>
      <c r="G683" s="255" t="s">
        <v>3364</v>
      </c>
      <c r="H683" s="250" t="s">
        <v>115</v>
      </c>
      <c r="I683" s="250" t="s">
        <v>493</v>
      </c>
      <c r="J683" s="250" t="s">
        <v>494</v>
      </c>
      <c r="K683" s="255" t="s">
        <v>991</v>
      </c>
      <c r="L683" s="250" t="s">
        <v>1016</v>
      </c>
      <c r="M683" s="255" t="s">
        <v>3365</v>
      </c>
      <c r="N683" s="278">
        <v>44218</v>
      </c>
      <c r="O683" s="329" t="s">
        <v>67</v>
      </c>
      <c r="P683" s="386">
        <f t="shared" ref="P683:Q683" si="680">IF(B683=0,0,IF(YEAR(B683)=$Q$1,MONTH(B683)-$P$1+1,(YEAR(B683)-$Q$1)*12-$P$1+1+MONTH(B683)))</f>
        <v>2</v>
      </c>
      <c r="Q683" s="330">
        <f t="shared" si="680"/>
        <v>1</v>
      </c>
      <c r="R683" s="351" t="str">
        <f t="shared" si="3"/>
        <v>Gastos_Gerais</v>
      </c>
      <c r="S683" s="351" t="str">
        <f>IF(D683="","",IF(OR(D683=Plano!$A$1,D683=Plano!$B$1),"entrada","saída"))</f>
        <v>saída</v>
      </c>
      <c r="T683" s="334" t="s">
        <v>1059</v>
      </c>
      <c r="U683" s="334">
        <v>1114</v>
      </c>
      <c r="V683" s="269"/>
      <c r="W683" s="269"/>
    </row>
    <row r="684" spans="1:23" ht="153" customHeight="1" x14ac:dyDescent="0.2">
      <c r="A684" s="277">
        <f t="shared" si="0"/>
        <v>680</v>
      </c>
      <c r="B684" s="278">
        <v>44232</v>
      </c>
      <c r="C684" s="249">
        <v>44197</v>
      </c>
      <c r="D684" s="255" t="s">
        <v>99</v>
      </c>
      <c r="E684" s="255" t="s">
        <v>262</v>
      </c>
      <c r="F684" s="251">
        <v>1720</v>
      </c>
      <c r="G684" s="255" t="s">
        <v>3366</v>
      </c>
      <c r="H684" s="250" t="s">
        <v>115</v>
      </c>
      <c r="I684" s="250" t="s">
        <v>3367</v>
      </c>
      <c r="J684" s="250" t="s">
        <v>458</v>
      </c>
      <c r="K684" s="255" t="s">
        <v>991</v>
      </c>
      <c r="L684" s="250" t="s">
        <v>1029</v>
      </c>
      <c r="M684" s="255">
        <v>1055</v>
      </c>
      <c r="N684" s="278">
        <v>44231</v>
      </c>
      <c r="O684" s="329" t="s">
        <v>67</v>
      </c>
      <c r="P684" s="386">
        <f t="shared" ref="P684:Q684" si="681">IF(B684=0,0,IF(YEAR(B684)=$Q$1,MONTH(B684)-$P$1+1,(YEAR(B684)-$Q$1)*12-$P$1+1+MONTH(B684)))</f>
        <v>2</v>
      </c>
      <c r="Q684" s="330">
        <f t="shared" si="681"/>
        <v>1</v>
      </c>
      <c r="R684" s="351" t="str">
        <f t="shared" si="3"/>
        <v>Gastos_Gerais</v>
      </c>
      <c r="S684" s="351" t="str">
        <f>IF(D684="","",IF(OR(D684=Plano!$A$1,D684=Plano!$B$1),"entrada","saída"))</f>
        <v>saída</v>
      </c>
      <c r="T684" s="334" t="s">
        <v>1082</v>
      </c>
      <c r="U684" s="334">
        <v>1138</v>
      </c>
      <c r="V684" s="269"/>
      <c r="W684" s="269"/>
    </row>
    <row r="685" spans="1:23" ht="69.75" customHeight="1" x14ac:dyDescent="0.2">
      <c r="A685" s="277">
        <f t="shared" si="0"/>
        <v>681</v>
      </c>
      <c r="B685" s="278">
        <v>44232</v>
      </c>
      <c r="C685" s="256">
        <v>44197</v>
      </c>
      <c r="D685" s="255" t="s">
        <v>99</v>
      </c>
      <c r="E685" s="255" t="s">
        <v>270</v>
      </c>
      <c r="F685" s="258">
        <v>228.9</v>
      </c>
      <c r="G685" s="255" t="s">
        <v>3368</v>
      </c>
      <c r="H685" s="255" t="s">
        <v>115</v>
      </c>
      <c r="I685" s="250" t="s">
        <v>3369</v>
      </c>
      <c r="J685" s="255" t="s">
        <v>2668</v>
      </c>
      <c r="K685" s="255" t="s">
        <v>991</v>
      </c>
      <c r="L685" s="250" t="s">
        <v>1177</v>
      </c>
      <c r="M685" s="255" t="s">
        <v>114</v>
      </c>
      <c r="N685" s="278">
        <v>44232</v>
      </c>
      <c r="O685" s="329" t="s">
        <v>67</v>
      </c>
      <c r="P685" s="386">
        <f t="shared" ref="P685:Q685" si="682">IF(B685=0,0,IF(YEAR(B685)=$Q$1,MONTH(B685)-$P$1+1,(YEAR(B685)-$Q$1)*12-$P$1+1+MONTH(B685)))</f>
        <v>2</v>
      </c>
      <c r="Q685" s="330">
        <f t="shared" si="682"/>
        <v>1</v>
      </c>
      <c r="R685" s="351" t="str">
        <f t="shared" si="3"/>
        <v>Gastos_Gerais</v>
      </c>
      <c r="S685" s="351" t="str">
        <f>IF(D685="","",IF(OR(D685=Plano!$A$1,D685=Plano!$B$1),"entrada","saída"))</f>
        <v>saída</v>
      </c>
      <c r="T685" s="334" t="s">
        <v>114</v>
      </c>
      <c r="U685" s="334" t="s">
        <v>114</v>
      </c>
      <c r="V685" s="269"/>
      <c r="W685" s="269"/>
    </row>
    <row r="686" spans="1:23" ht="69.75" customHeight="1" x14ac:dyDescent="0.2">
      <c r="A686" s="277">
        <f t="shared" si="0"/>
        <v>682</v>
      </c>
      <c r="B686" s="278">
        <v>44232</v>
      </c>
      <c r="C686" s="256">
        <v>44197</v>
      </c>
      <c r="D686" s="255" t="s">
        <v>88</v>
      </c>
      <c r="E686" s="255" t="s">
        <v>90</v>
      </c>
      <c r="F686" s="258">
        <v>1841.48</v>
      </c>
      <c r="G686" s="255" t="s">
        <v>3370</v>
      </c>
      <c r="H686" s="255" t="s">
        <v>114</v>
      </c>
      <c r="I686" s="250" t="s">
        <v>1221</v>
      </c>
      <c r="J686" s="255" t="s">
        <v>1222</v>
      </c>
      <c r="K686" s="255" t="s">
        <v>991</v>
      </c>
      <c r="L686" s="250" t="s">
        <v>1183</v>
      </c>
      <c r="M686" s="279" t="s">
        <v>114</v>
      </c>
      <c r="N686" s="278">
        <v>44232</v>
      </c>
      <c r="O686" s="329" t="s">
        <v>67</v>
      </c>
      <c r="P686" s="386">
        <f t="shared" ref="P686:Q686" si="683">IF(B686=0,0,IF(YEAR(B686)=$Q$1,MONTH(B686)-$P$1+1,(YEAR(B686)-$Q$1)*12-$P$1+1+MONTH(B686)))</f>
        <v>2</v>
      </c>
      <c r="Q686" s="330">
        <f t="shared" si="683"/>
        <v>1</v>
      </c>
      <c r="R686" s="351" t="str">
        <f t="shared" si="3"/>
        <v>Gastos_com_Pessoal</v>
      </c>
      <c r="S686" s="351" t="str">
        <f>IF(D686="","",IF(OR(D686=Plano!$A$1,D686=Plano!$B$1),"entrada","saída"))</f>
        <v>saída</v>
      </c>
      <c r="T686" s="334" t="s">
        <v>114</v>
      </c>
      <c r="U686" s="334" t="s">
        <v>114</v>
      </c>
      <c r="V686" s="269"/>
      <c r="W686" s="269"/>
    </row>
    <row r="687" spans="1:23" ht="69.75" customHeight="1" x14ac:dyDescent="0.2">
      <c r="A687" s="277">
        <f t="shared" si="0"/>
        <v>683</v>
      </c>
      <c r="B687" s="278">
        <v>44232</v>
      </c>
      <c r="C687" s="256">
        <v>44197</v>
      </c>
      <c r="D687" s="255" t="s">
        <v>88</v>
      </c>
      <c r="E687" s="255" t="s">
        <v>90</v>
      </c>
      <c r="F687" s="258">
        <v>2725.06</v>
      </c>
      <c r="G687" s="255" t="s">
        <v>3371</v>
      </c>
      <c r="H687" s="255" t="s">
        <v>114</v>
      </c>
      <c r="I687" s="250" t="s">
        <v>1224</v>
      </c>
      <c r="J687" s="255" t="s">
        <v>1225</v>
      </c>
      <c r="K687" s="255" t="s">
        <v>991</v>
      </c>
      <c r="L687" s="250" t="s">
        <v>1183</v>
      </c>
      <c r="M687" s="279" t="s">
        <v>114</v>
      </c>
      <c r="N687" s="278">
        <v>44232</v>
      </c>
      <c r="O687" s="329" t="s">
        <v>67</v>
      </c>
      <c r="P687" s="386">
        <f t="shared" ref="P687:Q687" si="684">IF(B687=0,0,IF(YEAR(B687)=$Q$1,MONTH(B687)-$P$1+1,(YEAR(B687)-$Q$1)*12-$P$1+1+MONTH(B687)))</f>
        <v>2</v>
      </c>
      <c r="Q687" s="330">
        <f t="shared" si="684"/>
        <v>1</v>
      </c>
      <c r="R687" s="351" t="str">
        <f t="shared" si="3"/>
        <v>Gastos_com_Pessoal</v>
      </c>
      <c r="S687" s="351" t="str">
        <f>IF(D687="","",IF(OR(D687=Plano!$A$1,D687=Plano!$B$1),"entrada","saída"))</f>
        <v>saída</v>
      </c>
      <c r="T687" s="334" t="s">
        <v>114</v>
      </c>
      <c r="U687" s="334" t="s">
        <v>114</v>
      </c>
      <c r="V687" s="269"/>
      <c r="W687" s="269"/>
    </row>
    <row r="688" spans="1:23" ht="69.75" customHeight="1" x14ac:dyDescent="0.2">
      <c r="A688" s="277">
        <f t="shared" si="0"/>
        <v>684</v>
      </c>
      <c r="B688" s="278">
        <v>44232</v>
      </c>
      <c r="C688" s="256">
        <v>44197</v>
      </c>
      <c r="D688" s="255" t="s">
        <v>88</v>
      </c>
      <c r="E688" s="255" t="s">
        <v>90</v>
      </c>
      <c r="F688" s="258">
        <v>1416.44</v>
      </c>
      <c r="G688" s="255" t="s">
        <v>3292</v>
      </c>
      <c r="H688" s="255" t="s">
        <v>114</v>
      </c>
      <c r="I688" s="250" t="s">
        <v>1226</v>
      </c>
      <c r="J688" s="255" t="s">
        <v>1227</v>
      </c>
      <c r="K688" s="255" t="s">
        <v>991</v>
      </c>
      <c r="L688" s="250" t="s">
        <v>1183</v>
      </c>
      <c r="M688" s="279" t="s">
        <v>114</v>
      </c>
      <c r="N688" s="278">
        <v>44232</v>
      </c>
      <c r="O688" s="329" t="s">
        <v>67</v>
      </c>
      <c r="P688" s="386">
        <f t="shared" ref="P688:Q688" si="685">IF(B688=0,0,IF(YEAR(B688)=$Q$1,MONTH(B688)-$P$1+1,(YEAR(B688)-$Q$1)*12-$P$1+1+MONTH(B688)))</f>
        <v>2</v>
      </c>
      <c r="Q688" s="330">
        <f t="shared" si="685"/>
        <v>1</v>
      </c>
      <c r="R688" s="351" t="str">
        <f t="shared" si="3"/>
        <v>Gastos_com_Pessoal</v>
      </c>
      <c r="S688" s="351" t="str">
        <f>IF(D688="","",IF(OR(D688=Plano!$A$1,D688=Plano!$B$1),"entrada","saída"))</f>
        <v>saída</v>
      </c>
      <c r="T688" s="334" t="s">
        <v>114</v>
      </c>
      <c r="U688" s="334" t="s">
        <v>114</v>
      </c>
      <c r="V688" s="269"/>
      <c r="W688" s="269"/>
    </row>
    <row r="689" spans="1:23" ht="69.75" customHeight="1" x14ac:dyDescent="0.2">
      <c r="A689" s="277">
        <f t="shared" si="0"/>
        <v>685</v>
      </c>
      <c r="B689" s="278">
        <v>44232</v>
      </c>
      <c r="C689" s="256">
        <v>44197</v>
      </c>
      <c r="D689" s="255" t="s">
        <v>88</v>
      </c>
      <c r="E689" s="255" t="s">
        <v>90</v>
      </c>
      <c r="F689" s="258">
        <v>6400.73</v>
      </c>
      <c r="G689" s="255" t="s">
        <v>3372</v>
      </c>
      <c r="H689" s="255" t="s">
        <v>114</v>
      </c>
      <c r="I689" s="250" t="s">
        <v>1229</v>
      </c>
      <c r="J689" s="255" t="s">
        <v>1230</v>
      </c>
      <c r="K689" s="255" t="s">
        <v>991</v>
      </c>
      <c r="L689" s="250" t="s">
        <v>1183</v>
      </c>
      <c r="M689" s="279" t="s">
        <v>114</v>
      </c>
      <c r="N689" s="278">
        <v>44232</v>
      </c>
      <c r="O689" s="329" t="s">
        <v>67</v>
      </c>
      <c r="P689" s="386">
        <f t="shared" ref="P689:Q689" si="686">IF(B689=0,0,IF(YEAR(B689)=$Q$1,MONTH(B689)-$P$1+1,(YEAR(B689)-$Q$1)*12-$P$1+1+MONTH(B689)))</f>
        <v>2</v>
      </c>
      <c r="Q689" s="330">
        <f t="shared" si="686"/>
        <v>1</v>
      </c>
      <c r="R689" s="351" t="str">
        <f t="shared" si="3"/>
        <v>Gastos_com_Pessoal</v>
      </c>
      <c r="S689" s="351" t="str">
        <f>IF(D689="","",IF(OR(D689=Plano!$A$1,D689=Plano!$B$1),"entrada","saída"))</f>
        <v>saída</v>
      </c>
      <c r="T689" s="334" t="s">
        <v>114</v>
      </c>
      <c r="U689" s="334" t="s">
        <v>114</v>
      </c>
      <c r="V689" s="269"/>
      <c r="W689" s="269"/>
    </row>
    <row r="690" spans="1:23" ht="69.75" customHeight="1" x14ac:dyDescent="0.2">
      <c r="A690" s="277">
        <f t="shared" si="0"/>
        <v>686</v>
      </c>
      <c r="B690" s="278">
        <v>44232</v>
      </c>
      <c r="C690" s="256">
        <v>44197</v>
      </c>
      <c r="D690" s="255" t="s">
        <v>88</v>
      </c>
      <c r="E690" s="255" t="s">
        <v>90</v>
      </c>
      <c r="F690" s="258">
        <v>2799.57</v>
      </c>
      <c r="G690" s="255" t="s">
        <v>3373</v>
      </c>
      <c r="H690" s="255" t="s">
        <v>114</v>
      </c>
      <c r="I690" s="250" t="s">
        <v>1232</v>
      </c>
      <c r="J690" s="255" t="s">
        <v>1233</v>
      </c>
      <c r="K690" s="255" t="s">
        <v>991</v>
      </c>
      <c r="L690" s="250" t="s">
        <v>1183</v>
      </c>
      <c r="M690" s="279" t="s">
        <v>114</v>
      </c>
      <c r="N690" s="278">
        <v>44232</v>
      </c>
      <c r="O690" s="329" t="s">
        <v>67</v>
      </c>
      <c r="P690" s="386">
        <f t="shared" ref="P690:Q690" si="687">IF(B690=0,0,IF(YEAR(B690)=$Q$1,MONTH(B690)-$P$1+1,(YEAR(B690)-$Q$1)*12-$P$1+1+MONTH(B690)))</f>
        <v>2</v>
      </c>
      <c r="Q690" s="330">
        <f t="shared" si="687"/>
        <v>1</v>
      </c>
      <c r="R690" s="351" t="str">
        <f t="shared" si="3"/>
        <v>Gastos_com_Pessoal</v>
      </c>
      <c r="S690" s="351" t="str">
        <f>IF(D690="","",IF(OR(D690=Plano!$A$1,D690=Plano!$B$1),"entrada","saída"))</f>
        <v>saída</v>
      </c>
      <c r="T690" s="334" t="s">
        <v>114</v>
      </c>
      <c r="U690" s="334" t="s">
        <v>114</v>
      </c>
      <c r="V690" s="269"/>
      <c r="W690" s="269"/>
    </row>
    <row r="691" spans="1:23" ht="69.75" customHeight="1" x14ac:dyDescent="0.2">
      <c r="A691" s="277">
        <f t="shared" si="0"/>
        <v>687</v>
      </c>
      <c r="B691" s="278">
        <v>44232</v>
      </c>
      <c r="C691" s="249">
        <v>44228</v>
      </c>
      <c r="D691" s="255" t="s">
        <v>99</v>
      </c>
      <c r="E691" s="255" t="s">
        <v>272</v>
      </c>
      <c r="F691" s="258">
        <v>10.45</v>
      </c>
      <c r="G691" s="255" t="s">
        <v>2787</v>
      </c>
      <c r="H691" s="250" t="s">
        <v>114</v>
      </c>
      <c r="I691" s="250" t="s">
        <v>949</v>
      </c>
      <c r="J691" s="255" t="s">
        <v>950</v>
      </c>
      <c r="K691" s="255" t="s">
        <v>951</v>
      </c>
      <c r="L691" s="250" t="s">
        <v>947</v>
      </c>
      <c r="M691" s="279" t="s">
        <v>114</v>
      </c>
      <c r="N691" s="278">
        <v>44232</v>
      </c>
      <c r="O691" s="329" t="s">
        <v>67</v>
      </c>
      <c r="P691" s="386">
        <f t="shared" ref="P691:Q691" si="688">IF(B691=0,0,IF(YEAR(B691)=$Q$1,MONTH(B691)-$P$1+1,(YEAR(B691)-$Q$1)*12-$P$1+1+MONTH(B691)))</f>
        <v>2</v>
      </c>
      <c r="Q691" s="330">
        <f t="shared" si="688"/>
        <v>2</v>
      </c>
      <c r="R691" s="351" t="str">
        <f t="shared" si="3"/>
        <v>Gastos_Gerais</v>
      </c>
      <c r="S691" s="351" t="str">
        <f>IF(D691="","",IF(OR(D691=Plano!$A$1,D691=Plano!$B$1),"entrada","saída"))</f>
        <v>saída</v>
      </c>
      <c r="T691" s="334" t="s">
        <v>114</v>
      </c>
      <c r="U691" s="334" t="s">
        <v>114</v>
      </c>
      <c r="V691" s="269"/>
      <c r="W691" s="269"/>
    </row>
    <row r="692" spans="1:23" ht="69.75" customHeight="1" x14ac:dyDescent="0.2">
      <c r="A692" s="277">
        <f t="shared" si="0"/>
        <v>688</v>
      </c>
      <c r="B692" s="278">
        <v>44232</v>
      </c>
      <c r="C692" s="249">
        <v>44228</v>
      </c>
      <c r="D692" s="255" t="s">
        <v>99</v>
      </c>
      <c r="E692" s="255" t="s">
        <v>272</v>
      </c>
      <c r="F692" s="258">
        <v>10.45</v>
      </c>
      <c r="G692" s="255" t="s">
        <v>2788</v>
      </c>
      <c r="H692" s="250" t="s">
        <v>114</v>
      </c>
      <c r="I692" s="250" t="s">
        <v>949</v>
      </c>
      <c r="J692" s="255" t="s">
        <v>950</v>
      </c>
      <c r="K692" s="255" t="s">
        <v>951</v>
      </c>
      <c r="L692" s="250" t="s">
        <v>947</v>
      </c>
      <c r="M692" s="279" t="s">
        <v>114</v>
      </c>
      <c r="N692" s="278">
        <v>44232</v>
      </c>
      <c r="O692" s="329" t="s">
        <v>67</v>
      </c>
      <c r="P692" s="386">
        <f t="shared" ref="P692:Q692" si="689">IF(B692=0,0,IF(YEAR(B692)=$Q$1,MONTH(B692)-$P$1+1,(YEAR(B692)-$Q$1)*12-$P$1+1+MONTH(B692)))</f>
        <v>2</v>
      </c>
      <c r="Q692" s="330">
        <f t="shared" si="689"/>
        <v>2</v>
      </c>
      <c r="R692" s="351" t="str">
        <f t="shared" si="3"/>
        <v>Gastos_Gerais</v>
      </c>
      <c r="S692" s="351" t="str">
        <f>IF(D692="","",IF(OR(D692=Plano!$A$1,D692=Plano!$B$1),"entrada","saída"))</f>
        <v>saída</v>
      </c>
      <c r="T692" s="334" t="s">
        <v>114</v>
      </c>
      <c r="U692" s="334" t="s">
        <v>114</v>
      </c>
      <c r="V692" s="269"/>
      <c r="W692" s="269"/>
    </row>
    <row r="693" spans="1:23" ht="69.75" customHeight="1" x14ac:dyDescent="0.2">
      <c r="A693" s="277">
        <f t="shared" si="0"/>
        <v>689</v>
      </c>
      <c r="B693" s="278">
        <v>44232</v>
      </c>
      <c r="C693" s="249">
        <v>44228</v>
      </c>
      <c r="D693" s="255" t="s">
        <v>99</v>
      </c>
      <c r="E693" s="255" t="s">
        <v>272</v>
      </c>
      <c r="F693" s="258">
        <v>10.45</v>
      </c>
      <c r="G693" s="255" t="s">
        <v>2789</v>
      </c>
      <c r="H693" s="250" t="s">
        <v>114</v>
      </c>
      <c r="I693" s="250" t="s">
        <v>949</v>
      </c>
      <c r="J693" s="255" t="s">
        <v>950</v>
      </c>
      <c r="K693" s="255" t="s">
        <v>951</v>
      </c>
      <c r="L693" s="250" t="s">
        <v>947</v>
      </c>
      <c r="M693" s="279" t="s">
        <v>114</v>
      </c>
      <c r="N693" s="278">
        <v>44232</v>
      </c>
      <c r="O693" s="329" t="s">
        <v>67</v>
      </c>
      <c r="P693" s="386">
        <f t="shared" ref="P693:Q693" si="690">IF(B693=0,0,IF(YEAR(B693)=$Q$1,MONTH(B693)-$P$1+1,(YEAR(B693)-$Q$1)*12-$P$1+1+MONTH(B693)))</f>
        <v>2</v>
      </c>
      <c r="Q693" s="330">
        <f t="shared" si="690"/>
        <v>2</v>
      </c>
      <c r="R693" s="351" t="str">
        <f t="shared" si="3"/>
        <v>Gastos_Gerais</v>
      </c>
      <c r="S693" s="351" t="str">
        <f>IF(D693="","",IF(OR(D693=Plano!$A$1,D693=Plano!$B$1),"entrada","saída"))</f>
        <v>saída</v>
      </c>
      <c r="T693" s="334" t="s">
        <v>114</v>
      </c>
      <c r="U693" s="334" t="s">
        <v>114</v>
      </c>
      <c r="V693" s="269"/>
      <c r="W693" s="269"/>
    </row>
    <row r="694" spans="1:23" ht="69.75" customHeight="1" x14ac:dyDescent="0.2">
      <c r="A694" s="277">
        <f t="shared" si="0"/>
        <v>690</v>
      </c>
      <c r="B694" s="278">
        <v>44232</v>
      </c>
      <c r="C694" s="249">
        <v>44228</v>
      </c>
      <c r="D694" s="255" t="s">
        <v>99</v>
      </c>
      <c r="E694" s="255" t="s">
        <v>272</v>
      </c>
      <c r="F694" s="258">
        <v>10.45</v>
      </c>
      <c r="G694" s="255" t="s">
        <v>2790</v>
      </c>
      <c r="H694" s="250" t="s">
        <v>114</v>
      </c>
      <c r="I694" s="250" t="s">
        <v>949</v>
      </c>
      <c r="J694" s="255" t="s">
        <v>950</v>
      </c>
      <c r="K694" s="255" t="s">
        <v>951</v>
      </c>
      <c r="L694" s="250" t="s">
        <v>947</v>
      </c>
      <c r="M694" s="279" t="s">
        <v>114</v>
      </c>
      <c r="N694" s="278">
        <v>44232</v>
      </c>
      <c r="O694" s="329" t="s">
        <v>67</v>
      </c>
      <c r="P694" s="386">
        <f t="shared" ref="P694:Q694" si="691">IF(B694=0,0,IF(YEAR(B694)=$Q$1,MONTH(B694)-$P$1+1,(YEAR(B694)-$Q$1)*12-$P$1+1+MONTH(B694)))</f>
        <v>2</v>
      </c>
      <c r="Q694" s="330">
        <f t="shared" si="691"/>
        <v>2</v>
      </c>
      <c r="R694" s="351" t="str">
        <f t="shared" si="3"/>
        <v>Gastos_Gerais</v>
      </c>
      <c r="S694" s="351" t="str">
        <f>IF(D694="","",IF(OR(D694=Plano!$A$1,D694=Plano!$B$1),"entrada","saída"))</f>
        <v>saída</v>
      </c>
      <c r="T694" s="334" t="s">
        <v>114</v>
      </c>
      <c r="U694" s="334" t="s">
        <v>114</v>
      </c>
      <c r="V694" s="269"/>
      <c r="W694" s="269"/>
    </row>
    <row r="695" spans="1:23" ht="69.75" customHeight="1" x14ac:dyDescent="0.2">
      <c r="A695" s="277">
        <f t="shared" si="0"/>
        <v>691</v>
      </c>
      <c r="B695" s="278">
        <v>44232</v>
      </c>
      <c r="C695" s="249">
        <v>44228</v>
      </c>
      <c r="D695" s="255" t="s">
        <v>99</v>
      </c>
      <c r="E695" s="255" t="s">
        <v>272</v>
      </c>
      <c r="F695" s="258">
        <v>10.45</v>
      </c>
      <c r="G695" s="255" t="s">
        <v>2791</v>
      </c>
      <c r="H695" s="250" t="s">
        <v>114</v>
      </c>
      <c r="I695" s="250" t="s">
        <v>949</v>
      </c>
      <c r="J695" s="255" t="s">
        <v>950</v>
      </c>
      <c r="K695" s="255" t="s">
        <v>951</v>
      </c>
      <c r="L695" s="250" t="s">
        <v>947</v>
      </c>
      <c r="M695" s="279" t="s">
        <v>114</v>
      </c>
      <c r="N695" s="278">
        <v>44232</v>
      </c>
      <c r="O695" s="329" t="s">
        <v>67</v>
      </c>
      <c r="P695" s="386">
        <f t="shared" ref="P695:Q695" si="692">IF(B695=0,0,IF(YEAR(B695)=$Q$1,MONTH(B695)-$P$1+1,(YEAR(B695)-$Q$1)*12-$P$1+1+MONTH(B695)))</f>
        <v>2</v>
      </c>
      <c r="Q695" s="330">
        <f t="shared" si="692"/>
        <v>2</v>
      </c>
      <c r="R695" s="351" t="str">
        <f t="shared" si="3"/>
        <v>Gastos_Gerais</v>
      </c>
      <c r="S695" s="351" t="str">
        <f>IF(D695="","",IF(OR(D695=Plano!$A$1,D695=Plano!$B$1),"entrada","saída"))</f>
        <v>saída</v>
      </c>
      <c r="T695" s="334" t="s">
        <v>114</v>
      </c>
      <c r="U695" s="334" t="s">
        <v>114</v>
      </c>
      <c r="V695" s="269"/>
      <c r="W695" s="269"/>
    </row>
    <row r="696" spans="1:23" ht="69.75" customHeight="1" x14ac:dyDescent="0.2">
      <c r="A696" s="277">
        <f t="shared" si="0"/>
        <v>692</v>
      </c>
      <c r="B696" s="278">
        <v>44232</v>
      </c>
      <c r="C696" s="249">
        <v>44228</v>
      </c>
      <c r="D696" s="255" t="s">
        <v>99</v>
      </c>
      <c r="E696" s="255" t="s">
        <v>272</v>
      </c>
      <c r="F696" s="258">
        <v>10.45</v>
      </c>
      <c r="G696" s="255" t="s">
        <v>2792</v>
      </c>
      <c r="H696" s="250" t="s">
        <v>114</v>
      </c>
      <c r="I696" s="250" t="s">
        <v>949</v>
      </c>
      <c r="J696" s="255" t="s">
        <v>950</v>
      </c>
      <c r="K696" s="255" t="s">
        <v>951</v>
      </c>
      <c r="L696" s="250" t="s">
        <v>947</v>
      </c>
      <c r="M696" s="279" t="s">
        <v>114</v>
      </c>
      <c r="N696" s="278">
        <v>44232</v>
      </c>
      <c r="O696" s="329" t="s">
        <v>67</v>
      </c>
      <c r="P696" s="386">
        <f t="shared" ref="P696:Q696" si="693">IF(B696=0,0,IF(YEAR(B696)=$Q$1,MONTH(B696)-$P$1+1,(YEAR(B696)-$Q$1)*12-$P$1+1+MONTH(B696)))</f>
        <v>2</v>
      </c>
      <c r="Q696" s="330">
        <f t="shared" si="693"/>
        <v>2</v>
      </c>
      <c r="R696" s="351" t="str">
        <f t="shared" si="3"/>
        <v>Gastos_Gerais</v>
      </c>
      <c r="S696" s="351" t="str">
        <f>IF(D696="","",IF(OR(D696=Plano!$A$1,D696=Plano!$B$1),"entrada","saída"))</f>
        <v>saída</v>
      </c>
      <c r="T696" s="334" t="s">
        <v>114</v>
      </c>
      <c r="U696" s="334" t="s">
        <v>114</v>
      </c>
      <c r="V696" s="269"/>
      <c r="W696" s="269"/>
    </row>
    <row r="697" spans="1:23" ht="69.75" customHeight="1" x14ac:dyDescent="0.2">
      <c r="A697" s="277">
        <f t="shared" si="0"/>
        <v>693</v>
      </c>
      <c r="B697" s="278">
        <v>44232</v>
      </c>
      <c r="C697" s="249">
        <v>44228</v>
      </c>
      <c r="D697" s="255" t="s">
        <v>99</v>
      </c>
      <c r="E697" s="255" t="s">
        <v>272</v>
      </c>
      <c r="F697" s="258">
        <v>10.45</v>
      </c>
      <c r="G697" s="255" t="s">
        <v>2793</v>
      </c>
      <c r="H697" s="250" t="s">
        <v>114</v>
      </c>
      <c r="I697" s="250" t="s">
        <v>949</v>
      </c>
      <c r="J697" s="255" t="s">
        <v>950</v>
      </c>
      <c r="K697" s="255" t="s">
        <v>951</v>
      </c>
      <c r="L697" s="250" t="s">
        <v>947</v>
      </c>
      <c r="M697" s="279" t="s">
        <v>114</v>
      </c>
      <c r="N697" s="278">
        <v>44232</v>
      </c>
      <c r="O697" s="329" t="s">
        <v>67</v>
      </c>
      <c r="P697" s="386">
        <f t="shared" ref="P697:Q697" si="694">IF(B697=0,0,IF(YEAR(B697)=$Q$1,MONTH(B697)-$P$1+1,(YEAR(B697)-$Q$1)*12-$P$1+1+MONTH(B697)))</f>
        <v>2</v>
      </c>
      <c r="Q697" s="330">
        <f t="shared" si="694"/>
        <v>2</v>
      </c>
      <c r="R697" s="351" t="str">
        <f t="shared" si="3"/>
        <v>Gastos_Gerais</v>
      </c>
      <c r="S697" s="351" t="str">
        <f>IF(D697="","",IF(OR(D697=Plano!$A$1,D697=Plano!$B$1),"entrada","saída"))</f>
        <v>saída</v>
      </c>
      <c r="T697" s="334" t="s">
        <v>114</v>
      </c>
      <c r="U697" s="334" t="s">
        <v>114</v>
      </c>
      <c r="V697" s="269"/>
      <c r="W697" s="269"/>
    </row>
    <row r="698" spans="1:23" ht="69.75" customHeight="1" x14ac:dyDescent="0.2">
      <c r="A698" s="277">
        <f t="shared" si="0"/>
        <v>694</v>
      </c>
      <c r="B698" s="278">
        <v>44232</v>
      </c>
      <c r="C698" s="249">
        <v>44228</v>
      </c>
      <c r="D698" s="255" t="s">
        <v>99</v>
      </c>
      <c r="E698" s="255" t="s">
        <v>272</v>
      </c>
      <c r="F698" s="258">
        <v>10.45</v>
      </c>
      <c r="G698" s="255" t="s">
        <v>2794</v>
      </c>
      <c r="H698" s="250" t="s">
        <v>114</v>
      </c>
      <c r="I698" s="250" t="s">
        <v>949</v>
      </c>
      <c r="J698" s="255" t="s">
        <v>950</v>
      </c>
      <c r="K698" s="255" t="s">
        <v>951</v>
      </c>
      <c r="L698" s="250" t="s">
        <v>947</v>
      </c>
      <c r="M698" s="279" t="s">
        <v>114</v>
      </c>
      <c r="N698" s="278">
        <v>44232</v>
      </c>
      <c r="O698" s="329" t="s">
        <v>67</v>
      </c>
      <c r="P698" s="386">
        <f t="shared" ref="P698:Q698" si="695">IF(B698=0,0,IF(YEAR(B698)=$Q$1,MONTH(B698)-$P$1+1,(YEAR(B698)-$Q$1)*12-$P$1+1+MONTH(B698)))</f>
        <v>2</v>
      </c>
      <c r="Q698" s="330">
        <f t="shared" si="695"/>
        <v>2</v>
      </c>
      <c r="R698" s="351" t="str">
        <f t="shared" si="3"/>
        <v>Gastos_Gerais</v>
      </c>
      <c r="S698" s="351" t="str">
        <f>IF(D698="","",IF(OR(D698=Plano!$A$1,D698=Plano!$B$1),"entrada","saída"))</f>
        <v>saída</v>
      </c>
      <c r="T698" s="334" t="s">
        <v>114</v>
      </c>
      <c r="U698" s="334" t="s">
        <v>114</v>
      </c>
      <c r="V698" s="269"/>
      <c r="W698" s="269"/>
    </row>
    <row r="699" spans="1:23" ht="69.75" customHeight="1" x14ac:dyDescent="0.2">
      <c r="A699" s="277">
        <f t="shared" si="0"/>
        <v>695</v>
      </c>
      <c r="B699" s="278">
        <v>44232</v>
      </c>
      <c r="C699" s="249">
        <v>44228</v>
      </c>
      <c r="D699" s="255" t="s">
        <v>99</v>
      </c>
      <c r="E699" s="255" t="s">
        <v>272</v>
      </c>
      <c r="F699" s="258">
        <v>10.45</v>
      </c>
      <c r="G699" s="255" t="s">
        <v>2795</v>
      </c>
      <c r="H699" s="250" t="s">
        <v>114</v>
      </c>
      <c r="I699" s="250" t="s">
        <v>949</v>
      </c>
      <c r="J699" s="255" t="s">
        <v>950</v>
      </c>
      <c r="K699" s="255" t="s">
        <v>951</v>
      </c>
      <c r="L699" s="250" t="s">
        <v>947</v>
      </c>
      <c r="M699" s="279" t="s">
        <v>114</v>
      </c>
      <c r="N699" s="278">
        <v>44232</v>
      </c>
      <c r="O699" s="329" t="s">
        <v>67</v>
      </c>
      <c r="P699" s="386">
        <f t="shared" ref="P699:Q699" si="696">IF(B699=0,0,IF(YEAR(B699)=$Q$1,MONTH(B699)-$P$1+1,(YEAR(B699)-$Q$1)*12-$P$1+1+MONTH(B699)))</f>
        <v>2</v>
      </c>
      <c r="Q699" s="330">
        <f t="shared" si="696"/>
        <v>2</v>
      </c>
      <c r="R699" s="351" t="str">
        <f t="shared" si="3"/>
        <v>Gastos_Gerais</v>
      </c>
      <c r="S699" s="351" t="str">
        <f>IF(D699="","",IF(OR(D699=Plano!$A$1,D699=Plano!$B$1),"entrada","saída"))</f>
        <v>saída</v>
      </c>
      <c r="T699" s="334" t="s">
        <v>114</v>
      </c>
      <c r="U699" s="334" t="s">
        <v>114</v>
      </c>
      <c r="V699" s="269"/>
      <c r="W699" s="269"/>
    </row>
    <row r="700" spans="1:23" ht="69.75" customHeight="1" x14ac:dyDescent="0.2">
      <c r="A700" s="277">
        <f t="shared" si="0"/>
        <v>696</v>
      </c>
      <c r="B700" s="278">
        <v>44232</v>
      </c>
      <c r="C700" s="249">
        <v>44228</v>
      </c>
      <c r="D700" s="255" t="s">
        <v>99</v>
      </c>
      <c r="E700" s="255" t="s">
        <v>272</v>
      </c>
      <c r="F700" s="258">
        <v>10.45</v>
      </c>
      <c r="G700" s="255" t="s">
        <v>2796</v>
      </c>
      <c r="H700" s="250" t="s">
        <v>114</v>
      </c>
      <c r="I700" s="250" t="s">
        <v>949</v>
      </c>
      <c r="J700" s="255" t="s">
        <v>950</v>
      </c>
      <c r="K700" s="255" t="s">
        <v>951</v>
      </c>
      <c r="L700" s="250" t="s">
        <v>947</v>
      </c>
      <c r="M700" s="279" t="s">
        <v>114</v>
      </c>
      <c r="N700" s="278">
        <v>44232</v>
      </c>
      <c r="O700" s="329" t="s">
        <v>67</v>
      </c>
      <c r="P700" s="386">
        <f t="shared" ref="P700:Q700" si="697">IF(B700=0,0,IF(YEAR(B700)=$Q$1,MONTH(B700)-$P$1+1,(YEAR(B700)-$Q$1)*12-$P$1+1+MONTH(B700)))</f>
        <v>2</v>
      </c>
      <c r="Q700" s="330">
        <f t="shared" si="697"/>
        <v>2</v>
      </c>
      <c r="R700" s="351" t="str">
        <f t="shared" si="3"/>
        <v>Gastos_Gerais</v>
      </c>
      <c r="S700" s="351" t="str">
        <f>IF(D700="","",IF(OR(D700=Plano!$A$1,D700=Plano!$B$1),"entrada","saída"))</f>
        <v>saída</v>
      </c>
      <c r="T700" s="334" t="s">
        <v>114</v>
      </c>
      <c r="U700" s="334" t="s">
        <v>114</v>
      </c>
      <c r="V700" s="269"/>
      <c r="W700" s="269"/>
    </row>
    <row r="701" spans="1:23" ht="69.75" customHeight="1" x14ac:dyDescent="0.2">
      <c r="A701" s="277">
        <f t="shared" si="0"/>
        <v>697</v>
      </c>
      <c r="B701" s="278">
        <v>44232</v>
      </c>
      <c r="C701" s="249">
        <v>44228</v>
      </c>
      <c r="D701" s="255" t="s">
        <v>99</v>
      </c>
      <c r="E701" s="255" t="s">
        <v>272</v>
      </c>
      <c r="F701" s="258">
        <v>10.45</v>
      </c>
      <c r="G701" s="255" t="s">
        <v>2796</v>
      </c>
      <c r="H701" s="250" t="s">
        <v>114</v>
      </c>
      <c r="I701" s="250" t="s">
        <v>949</v>
      </c>
      <c r="J701" s="255" t="s">
        <v>950</v>
      </c>
      <c r="K701" s="255" t="s">
        <v>951</v>
      </c>
      <c r="L701" s="250" t="s">
        <v>947</v>
      </c>
      <c r="M701" s="279" t="s">
        <v>114</v>
      </c>
      <c r="N701" s="278">
        <v>44232</v>
      </c>
      <c r="O701" s="329" t="s">
        <v>67</v>
      </c>
      <c r="P701" s="386">
        <f t="shared" ref="P701:Q701" si="698">IF(B701=0,0,IF(YEAR(B701)=$Q$1,MONTH(B701)-$P$1+1,(YEAR(B701)-$Q$1)*12-$P$1+1+MONTH(B701)))</f>
        <v>2</v>
      </c>
      <c r="Q701" s="330">
        <f t="shared" si="698"/>
        <v>2</v>
      </c>
      <c r="R701" s="351" t="str">
        <f t="shared" si="3"/>
        <v>Gastos_Gerais</v>
      </c>
      <c r="S701" s="351" t="str">
        <f>IF(D701="","",IF(OR(D701=Plano!$A$1,D701=Plano!$B$1),"entrada","saída"))</f>
        <v>saída</v>
      </c>
      <c r="T701" s="334" t="s">
        <v>114</v>
      </c>
      <c r="U701" s="334" t="s">
        <v>114</v>
      </c>
      <c r="V701" s="269"/>
      <c r="W701" s="269"/>
    </row>
    <row r="702" spans="1:23" ht="69.75" customHeight="1" x14ac:dyDescent="0.2">
      <c r="A702" s="277">
        <f t="shared" si="0"/>
        <v>698</v>
      </c>
      <c r="B702" s="278">
        <v>44232</v>
      </c>
      <c r="C702" s="249">
        <v>44228</v>
      </c>
      <c r="D702" s="255" t="s">
        <v>99</v>
      </c>
      <c r="E702" s="255" t="s">
        <v>272</v>
      </c>
      <c r="F702" s="258">
        <v>10.45</v>
      </c>
      <c r="G702" s="255" t="s">
        <v>2684</v>
      </c>
      <c r="H702" s="255" t="s">
        <v>115</v>
      </c>
      <c r="I702" s="250" t="s">
        <v>949</v>
      </c>
      <c r="J702" s="255" t="s">
        <v>950</v>
      </c>
      <c r="K702" s="255" t="s">
        <v>951</v>
      </c>
      <c r="L702" s="250" t="s">
        <v>947</v>
      </c>
      <c r="M702" s="279" t="s">
        <v>114</v>
      </c>
      <c r="N702" s="278">
        <v>44232</v>
      </c>
      <c r="O702" s="329" t="s">
        <v>67</v>
      </c>
      <c r="P702" s="386">
        <f t="shared" ref="P702:Q702" si="699">IF(B702=0,0,IF(YEAR(B702)=$Q$1,MONTH(B702)-$P$1+1,(YEAR(B702)-$Q$1)*12-$P$1+1+MONTH(B702)))</f>
        <v>2</v>
      </c>
      <c r="Q702" s="330">
        <f t="shared" si="699"/>
        <v>2</v>
      </c>
      <c r="R702" s="351" t="str">
        <f t="shared" si="3"/>
        <v>Gastos_Gerais</v>
      </c>
      <c r="S702" s="351" t="str">
        <f>IF(D702="","",IF(OR(D702=Plano!$A$1,D702=Plano!$B$1),"entrada","saída"))</f>
        <v>saída</v>
      </c>
      <c r="T702" s="334" t="s">
        <v>114</v>
      </c>
      <c r="U702" s="334" t="s">
        <v>114</v>
      </c>
      <c r="V702" s="269"/>
      <c r="W702" s="269"/>
    </row>
    <row r="703" spans="1:23" ht="69.75" customHeight="1" x14ac:dyDescent="0.2">
      <c r="A703" s="277">
        <f t="shared" si="0"/>
        <v>699</v>
      </c>
      <c r="B703" s="278">
        <v>44232</v>
      </c>
      <c r="C703" s="249">
        <v>44228</v>
      </c>
      <c r="D703" s="255" t="s">
        <v>99</v>
      </c>
      <c r="E703" s="255" t="s">
        <v>272</v>
      </c>
      <c r="F703" s="258">
        <v>10.45</v>
      </c>
      <c r="G703" s="255" t="s">
        <v>3374</v>
      </c>
      <c r="H703" s="255" t="s">
        <v>115</v>
      </c>
      <c r="I703" s="250" t="s">
        <v>949</v>
      </c>
      <c r="J703" s="255" t="s">
        <v>950</v>
      </c>
      <c r="K703" s="255" t="s">
        <v>951</v>
      </c>
      <c r="L703" s="250" t="s">
        <v>947</v>
      </c>
      <c r="M703" s="279" t="s">
        <v>114</v>
      </c>
      <c r="N703" s="278">
        <v>44232</v>
      </c>
      <c r="O703" s="329" t="s">
        <v>67</v>
      </c>
      <c r="P703" s="386">
        <f t="shared" ref="P703:Q703" si="700">IF(B703=0,0,IF(YEAR(B703)=$Q$1,MONTH(B703)-$P$1+1,(YEAR(B703)-$Q$1)*12-$P$1+1+MONTH(B703)))</f>
        <v>2</v>
      </c>
      <c r="Q703" s="330">
        <f t="shared" si="700"/>
        <v>2</v>
      </c>
      <c r="R703" s="351" t="str">
        <f t="shared" si="3"/>
        <v>Gastos_Gerais</v>
      </c>
      <c r="S703" s="351" t="str">
        <f>IF(D703="","",IF(OR(D703=Plano!$A$1,D703=Plano!$B$1),"entrada","saída"))</f>
        <v>saída</v>
      </c>
      <c r="T703" s="334" t="s">
        <v>114</v>
      </c>
      <c r="U703" s="334" t="s">
        <v>114</v>
      </c>
      <c r="V703" s="269"/>
      <c r="W703" s="269"/>
    </row>
    <row r="704" spans="1:23" ht="69.75" customHeight="1" x14ac:dyDescent="0.2">
      <c r="A704" s="277">
        <f t="shared" si="0"/>
        <v>700</v>
      </c>
      <c r="B704" s="278">
        <v>44232</v>
      </c>
      <c r="C704" s="249">
        <v>44228</v>
      </c>
      <c r="D704" s="255" t="s">
        <v>99</v>
      </c>
      <c r="E704" s="255" t="s">
        <v>272</v>
      </c>
      <c r="F704" s="258">
        <v>10.45</v>
      </c>
      <c r="G704" s="255" t="s">
        <v>3375</v>
      </c>
      <c r="H704" s="255" t="s">
        <v>115</v>
      </c>
      <c r="I704" s="250" t="s">
        <v>949</v>
      </c>
      <c r="J704" s="255" t="s">
        <v>950</v>
      </c>
      <c r="K704" s="255" t="s">
        <v>951</v>
      </c>
      <c r="L704" s="250" t="s">
        <v>947</v>
      </c>
      <c r="M704" s="279" t="s">
        <v>114</v>
      </c>
      <c r="N704" s="278">
        <v>44232</v>
      </c>
      <c r="O704" s="329" t="s">
        <v>67</v>
      </c>
      <c r="P704" s="386">
        <f t="shared" ref="P704:Q704" si="701">IF(B704=0,0,IF(YEAR(B704)=$Q$1,MONTH(B704)-$P$1+1,(YEAR(B704)-$Q$1)*12-$P$1+1+MONTH(B704)))</f>
        <v>2</v>
      </c>
      <c r="Q704" s="330">
        <f t="shared" si="701"/>
        <v>2</v>
      </c>
      <c r="R704" s="351" t="str">
        <f t="shared" si="3"/>
        <v>Gastos_Gerais</v>
      </c>
      <c r="S704" s="351" t="str">
        <f>IF(D704="","",IF(OR(D704=Plano!$A$1,D704=Plano!$B$1),"entrada","saída"))</f>
        <v>saída</v>
      </c>
      <c r="T704" s="334" t="s">
        <v>114</v>
      </c>
      <c r="U704" s="334" t="s">
        <v>114</v>
      </c>
      <c r="V704" s="269"/>
      <c r="W704" s="269"/>
    </row>
    <row r="705" spans="1:23" ht="69.75" customHeight="1" x14ac:dyDescent="0.2">
      <c r="A705" s="277">
        <f t="shared" si="0"/>
        <v>701</v>
      </c>
      <c r="B705" s="278">
        <v>44232</v>
      </c>
      <c r="C705" s="249">
        <v>44228</v>
      </c>
      <c r="D705" s="255" t="s">
        <v>99</v>
      </c>
      <c r="E705" s="255" t="s">
        <v>272</v>
      </c>
      <c r="F705" s="258">
        <v>153</v>
      </c>
      <c r="G705" s="255" t="s">
        <v>1157</v>
      </c>
      <c r="H705" s="255" t="s">
        <v>115</v>
      </c>
      <c r="I705" s="250" t="s">
        <v>949</v>
      </c>
      <c r="J705" s="255" t="s">
        <v>950</v>
      </c>
      <c r="K705" s="255" t="s">
        <v>951</v>
      </c>
      <c r="L705" s="250" t="s">
        <v>947</v>
      </c>
      <c r="M705" s="279" t="s">
        <v>114</v>
      </c>
      <c r="N705" s="278">
        <v>44232</v>
      </c>
      <c r="O705" s="329" t="s">
        <v>67</v>
      </c>
      <c r="P705" s="386">
        <f t="shared" ref="P705:Q705" si="702">IF(B705=0,0,IF(YEAR(B705)=$Q$1,MONTH(B705)-$P$1+1,(YEAR(B705)-$Q$1)*12-$P$1+1+MONTH(B705)))</f>
        <v>2</v>
      </c>
      <c r="Q705" s="330">
        <f t="shared" si="702"/>
        <v>2</v>
      </c>
      <c r="R705" s="351" t="str">
        <f t="shared" si="3"/>
        <v>Gastos_Gerais</v>
      </c>
      <c r="S705" s="351" t="str">
        <f>IF(D705="","",IF(OR(D705=Plano!$A$1,D705=Plano!$B$1),"entrada","saída"))</f>
        <v>saída</v>
      </c>
      <c r="T705" s="334" t="s">
        <v>114</v>
      </c>
      <c r="U705" s="334" t="s">
        <v>114</v>
      </c>
      <c r="V705" s="269"/>
      <c r="W705" s="269"/>
    </row>
    <row r="706" spans="1:23" ht="69.75" customHeight="1" x14ac:dyDescent="0.2">
      <c r="A706" s="277">
        <f t="shared" si="0"/>
        <v>702</v>
      </c>
      <c r="B706" s="278">
        <v>44232</v>
      </c>
      <c r="C706" s="249">
        <v>44197</v>
      </c>
      <c r="D706" s="255" t="s">
        <v>104</v>
      </c>
      <c r="E706" s="255" t="s">
        <v>104</v>
      </c>
      <c r="F706" s="258">
        <v>1045</v>
      </c>
      <c r="G706" s="255" t="s">
        <v>3376</v>
      </c>
      <c r="H706" s="255" t="s">
        <v>104</v>
      </c>
      <c r="I706" s="250" t="s">
        <v>2819</v>
      </c>
      <c r="J706" s="250" t="s">
        <v>3377</v>
      </c>
      <c r="K706" s="255" t="s">
        <v>1015</v>
      </c>
      <c r="L706" s="250" t="s">
        <v>1177</v>
      </c>
      <c r="M706" s="255" t="s">
        <v>114</v>
      </c>
      <c r="N706" s="350">
        <v>44232</v>
      </c>
      <c r="O706" s="329" t="s">
        <v>69</v>
      </c>
      <c r="P706" s="386">
        <f t="shared" ref="P706:Q706" si="703">IF(B706=0,0,IF(YEAR(B706)=$Q$1,MONTH(B706)-$P$1+1,(YEAR(B706)-$Q$1)*12-$P$1+1+MONTH(B706)))</f>
        <v>2</v>
      </c>
      <c r="Q706" s="330">
        <f t="shared" si="703"/>
        <v>1</v>
      </c>
      <c r="R706" s="351" t="str">
        <f t="shared" si="3"/>
        <v>Gastos_custeados_por_captação</v>
      </c>
      <c r="S706" s="351" t="str">
        <f>IF(D706="","",IF(OR(D706=Plano!$A$1,D706=Plano!$B$1),"entrada","saída"))</f>
        <v>saída</v>
      </c>
      <c r="T706" s="334" t="s">
        <v>114</v>
      </c>
      <c r="U706" s="334" t="s">
        <v>114</v>
      </c>
      <c r="V706" s="269"/>
      <c r="W706" s="269"/>
    </row>
    <row r="707" spans="1:23" ht="69.75" customHeight="1" x14ac:dyDescent="0.2">
      <c r="A707" s="277">
        <f t="shared" si="0"/>
        <v>703</v>
      </c>
      <c r="B707" s="278">
        <v>44232</v>
      </c>
      <c r="C707" s="249">
        <v>44197</v>
      </c>
      <c r="D707" s="255" t="s">
        <v>104</v>
      </c>
      <c r="E707" s="255" t="s">
        <v>104</v>
      </c>
      <c r="F707" s="258">
        <v>1045</v>
      </c>
      <c r="G707" s="255" t="s">
        <v>3376</v>
      </c>
      <c r="H707" s="255" t="s">
        <v>104</v>
      </c>
      <c r="I707" s="250" t="s">
        <v>2821</v>
      </c>
      <c r="J707" s="250" t="s">
        <v>3378</v>
      </c>
      <c r="K707" s="255" t="s">
        <v>1015</v>
      </c>
      <c r="L707" s="250" t="s">
        <v>1177</v>
      </c>
      <c r="M707" s="255" t="s">
        <v>114</v>
      </c>
      <c r="N707" s="350">
        <v>44232</v>
      </c>
      <c r="O707" s="329" t="s">
        <v>69</v>
      </c>
      <c r="P707" s="386">
        <f t="shared" ref="P707:Q707" si="704">IF(B707=0,0,IF(YEAR(B707)=$Q$1,MONTH(B707)-$P$1+1,(YEAR(B707)-$Q$1)*12-$P$1+1+MONTH(B707)))</f>
        <v>2</v>
      </c>
      <c r="Q707" s="330">
        <f t="shared" si="704"/>
        <v>1</v>
      </c>
      <c r="R707" s="351" t="str">
        <f t="shared" si="3"/>
        <v>Gastos_custeados_por_captação</v>
      </c>
      <c r="S707" s="351" t="str">
        <f>IF(D707="","",IF(OR(D707=Plano!$A$1,D707=Plano!$B$1),"entrada","saída"))</f>
        <v>saída</v>
      </c>
      <c r="T707" s="334" t="s">
        <v>114</v>
      </c>
      <c r="U707" s="334" t="s">
        <v>114</v>
      </c>
      <c r="V707" s="269"/>
      <c r="W707" s="269"/>
    </row>
    <row r="708" spans="1:23" ht="69.75" customHeight="1" x14ac:dyDescent="0.2">
      <c r="A708" s="277">
        <f t="shared" si="0"/>
        <v>704</v>
      </c>
      <c r="B708" s="278">
        <v>44232</v>
      </c>
      <c r="C708" s="249">
        <v>44136</v>
      </c>
      <c r="D708" s="255" t="s">
        <v>104</v>
      </c>
      <c r="E708" s="255" t="s">
        <v>104</v>
      </c>
      <c r="F708" s="258">
        <v>162.5</v>
      </c>
      <c r="G708" s="252" t="s">
        <v>3379</v>
      </c>
      <c r="H708" s="255" t="s">
        <v>104</v>
      </c>
      <c r="I708" s="250" t="s">
        <v>465</v>
      </c>
      <c r="J708" s="250" t="s">
        <v>114</v>
      </c>
      <c r="K708" s="250" t="s">
        <v>466</v>
      </c>
      <c r="L708" s="250" t="s">
        <v>467</v>
      </c>
      <c r="M708" s="279">
        <v>2230</v>
      </c>
      <c r="N708" s="278">
        <v>44232</v>
      </c>
      <c r="O708" s="329" t="s">
        <v>69</v>
      </c>
      <c r="P708" s="386">
        <f t="shared" ref="P708:Q708" si="705">IF(B708=0,0,IF(YEAR(B708)=$Q$1,MONTH(B708)-$P$1+1,(YEAR(B708)-$Q$1)*12-$P$1+1+MONTH(B708)))</f>
        <v>2</v>
      </c>
      <c r="Q708" s="330">
        <f t="shared" si="705"/>
        <v>-1</v>
      </c>
      <c r="R708" s="351" t="str">
        <f t="shared" si="3"/>
        <v>Gastos_custeados_por_captação</v>
      </c>
      <c r="S708" s="351" t="str">
        <f>IF(D708="","",IF(OR(D708=Plano!$A$1,D708=Plano!$B$1),"entrada","saída"))</f>
        <v>saída</v>
      </c>
      <c r="T708" s="334" t="s">
        <v>114</v>
      </c>
      <c r="U708" s="334" t="s">
        <v>114</v>
      </c>
      <c r="V708" s="269"/>
      <c r="W708" s="269"/>
    </row>
    <row r="709" spans="1:23" ht="69.75" customHeight="1" x14ac:dyDescent="0.2">
      <c r="A709" s="277">
        <f t="shared" si="0"/>
        <v>705</v>
      </c>
      <c r="B709" s="278">
        <v>44232</v>
      </c>
      <c r="C709" s="249">
        <v>44166</v>
      </c>
      <c r="D709" s="255" t="s">
        <v>104</v>
      </c>
      <c r="E709" s="255" t="s">
        <v>104</v>
      </c>
      <c r="F709" s="258">
        <v>60</v>
      </c>
      <c r="G709" s="252" t="s">
        <v>3380</v>
      </c>
      <c r="H709" s="255" t="s">
        <v>104</v>
      </c>
      <c r="I709" s="250" t="s">
        <v>465</v>
      </c>
      <c r="J709" s="250" t="s">
        <v>114</v>
      </c>
      <c r="K709" s="250" t="s">
        <v>466</v>
      </c>
      <c r="L709" s="250" t="s">
        <v>467</v>
      </c>
      <c r="M709" s="279">
        <v>2231</v>
      </c>
      <c r="N709" s="278">
        <v>44232</v>
      </c>
      <c r="O709" s="329" t="s">
        <v>69</v>
      </c>
      <c r="P709" s="386">
        <f t="shared" ref="P709:Q709" si="706">IF(B709=0,0,IF(YEAR(B709)=$Q$1,MONTH(B709)-$P$1+1,(YEAR(B709)-$Q$1)*12-$P$1+1+MONTH(B709)))</f>
        <v>2</v>
      </c>
      <c r="Q709" s="330">
        <f t="shared" si="706"/>
        <v>0</v>
      </c>
      <c r="R709" s="351" t="str">
        <f t="shared" si="3"/>
        <v>Gastos_custeados_por_captação</v>
      </c>
      <c r="S709" s="351" t="str">
        <f>IF(D709="","",IF(OR(D709=Plano!$A$1,D709=Plano!$B$1),"entrada","saída"))</f>
        <v>saída</v>
      </c>
      <c r="T709" s="334" t="s">
        <v>114</v>
      </c>
      <c r="U709" s="334" t="s">
        <v>114</v>
      </c>
      <c r="V709" s="269"/>
      <c r="W709" s="269"/>
    </row>
    <row r="710" spans="1:23" ht="69.75" customHeight="1" x14ac:dyDescent="0.2">
      <c r="A710" s="277">
        <f t="shared" si="0"/>
        <v>706</v>
      </c>
      <c r="B710" s="278">
        <v>44232</v>
      </c>
      <c r="C710" s="249">
        <v>44166</v>
      </c>
      <c r="D710" s="255" t="s">
        <v>104</v>
      </c>
      <c r="E710" s="255" t="s">
        <v>104</v>
      </c>
      <c r="F710" s="258">
        <v>125</v>
      </c>
      <c r="G710" s="252" t="s">
        <v>3381</v>
      </c>
      <c r="H710" s="255" t="s">
        <v>104</v>
      </c>
      <c r="I710" s="250" t="s">
        <v>465</v>
      </c>
      <c r="J710" s="250" t="s">
        <v>114</v>
      </c>
      <c r="K710" s="250" t="s">
        <v>466</v>
      </c>
      <c r="L710" s="250" t="s">
        <v>467</v>
      </c>
      <c r="M710" s="279">
        <v>2233</v>
      </c>
      <c r="N710" s="278">
        <v>44232</v>
      </c>
      <c r="O710" s="329" t="s">
        <v>69</v>
      </c>
      <c r="P710" s="386">
        <f t="shared" ref="P710:Q710" si="707">IF(B710=0,0,IF(YEAR(B710)=$Q$1,MONTH(B710)-$P$1+1,(YEAR(B710)-$Q$1)*12-$P$1+1+MONTH(B710)))</f>
        <v>2</v>
      </c>
      <c r="Q710" s="330">
        <f t="shared" si="707"/>
        <v>0</v>
      </c>
      <c r="R710" s="351" t="str">
        <f t="shared" si="3"/>
        <v>Gastos_custeados_por_captação</v>
      </c>
      <c r="S710" s="351" t="str">
        <f>IF(D710="","",IF(OR(D710=Plano!$A$1,D710=Plano!$B$1),"entrada","saída"))</f>
        <v>saída</v>
      </c>
      <c r="T710" s="334" t="s">
        <v>114</v>
      </c>
      <c r="U710" s="334" t="s">
        <v>114</v>
      </c>
      <c r="V710" s="269"/>
      <c r="W710" s="269"/>
    </row>
    <row r="711" spans="1:23" ht="69.75" customHeight="1" x14ac:dyDescent="0.2">
      <c r="A711" s="277">
        <f t="shared" si="0"/>
        <v>707</v>
      </c>
      <c r="B711" s="278">
        <v>44232</v>
      </c>
      <c r="C711" s="249">
        <v>44166</v>
      </c>
      <c r="D711" s="255" t="s">
        <v>104</v>
      </c>
      <c r="E711" s="255" t="s">
        <v>104</v>
      </c>
      <c r="F711" s="258">
        <v>100</v>
      </c>
      <c r="G711" s="252" t="s">
        <v>3382</v>
      </c>
      <c r="H711" s="255" t="s">
        <v>104</v>
      </c>
      <c r="I711" s="250" t="s">
        <v>465</v>
      </c>
      <c r="J711" s="250" t="s">
        <v>114</v>
      </c>
      <c r="K711" s="250" t="s">
        <v>466</v>
      </c>
      <c r="L711" s="250" t="s">
        <v>467</v>
      </c>
      <c r="M711" s="279">
        <v>2234</v>
      </c>
      <c r="N711" s="278">
        <v>44232</v>
      </c>
      <c r="O711" s="329" t="s">
        <v>69</v>
      </c>
      <c r="P711" s="386">
        <f t="shared" ref="P711:Q711" si="708">IF(B711=0,0,IF(YEAR(B711)=$Q$1,MONTH(B711)-$P$1+1,(YEAR(B711)-$Q$1)*12-$P$1+1+MONTH(B711)))</f>
        <v>2</v>
      </c>
      <c r="Q711" s="330">
        <f t="shared" si="708"/>
        <v>0</v>
      </c>
      <c r="R711" s="351" t="str">
        <f t="shared" si="3"/>
        <v>Gastos_custeados_por_captação</v>
      </c>
      <c r="S711" s="351" t="str">
        <f>IF(D711="","",IF(OR(D711=Plano!$A$1,D711=Plano!$B$1),"entrada","saída"))</f>
        <v>saída</v>
      </c>
      <c r="T711" s="334" t="s">
        <v>114</v>
      </c>
      <c r="U711" s="334" t="s">
        <v>114</v>
      </c>
      <c r="V711" s="269"/>
      <c r="W711" s="269"/>
    </row>
    <row r="712" spans="1:23" ht="69.75" customHeight="1" x14ac:dyDescent="0.2">
      <c r="A712" s="277">
        <f t="shared" si="0"/>
        <v>708</v>
      </c>
      <c r="B712" s="278">
        <v>44232</v>
      </c>
      <c r="C712" s="249">
        <v>44166</v>
      </c>
      <c r="D712" s="255" t="s">
        <v>104</v>
      </c>
      <c r="E712" s="255" t="s">
        <v>104</v>
      </c>
      <c r="F712" s="258">
        <v>100</v>
      </c>
      <c r="G712" s="252" t="s">
        <v>3383</v>
      </c>
      <c r="H712" s="255" t="s">
        <v>104</v>
      </c>
      <c r="I712" s="250" t="s">
        <v>465</v>
      </c>
      <c r="J712" s="250" t="s">
        <v>114</v>
      </c>
      <c r="K712" s="250" t="s">
        <v>466</v>
      </c>
      <c r="L712" s="250" t="s">
        <v>467</v>
      </c>
      <c r="M712" s="279">
        <v>2236</v>
      </c>
      <c r="N712" s="278">
        <v>44232</v>
      </c>
      <c r="O712" s="329" t="s">
        <v>69</v>
      </c>
      <c r="P712" s="386">
        <f t="shared" ref="P712:Q712" si="709">IF(B712=0,0,IF(YEAR(B712)=$Q$1,MONTH(B712)-$P$1+1,(YEAR(B712)-$Q$1)*12-$P$1+1+MONTH(B712)))</f>
        <v>2</v>
      </c>
      <c r="Q712" s="330">
        <f t="shared" si="709"/>
        <v>0</v>
      </c>
      <c r="R712" s="351" t="str">
        <f t="shared" si="3"/>
        <v>Gastos_custeados_por_captação</v>
      </c>
      <c r="S712" s="351" t="str">
        <f>IF(D712="","",IF(OR(D712=Plano!$A$1,D712=Plano!$B$1),"entrada","saída"))</f>
        <v>saída</v>
      </c>
      <c r="T712" s="334" t="s">
        <v>114</v>
      </c>
      <c r="U712" s="334" t="s">
        <v>114</v>
      </c>
      <c r="V712" s="269"/>
      <c r="W712" s="269"/>
    </row>
    <row r="713" spans="1:23" ht="69.75" customHeight="1" x14ac:dyDescent="0.2">
      <c r="A713" s="277">
        <f t="shared" si="0"/>
        <v>709</v>
      </c>
      <c r="B713" s="278">
        <v>44232</v>
      </c>
      <c r="C713" s="249">
        <v>44136</v>
      </c>
      <c r="D713" s="255" t="s">
        <v>104</v>
      </c>
      <c r="E713" s="255" t="s">
        <v>104</v>
      </c>
      <c r="F713" s="258">
        <v>300</v>
      </c>
      <c r="G713" s="252" t="s">
        <v>3384</v>
      </c>
      <c r="H713" s="255" t="s">
        <v>104</v>
      </c>
      <c r="I713" s="250" t="s">
        <v>465</v>
      </c>
      <c r="J713" s="250" t="s">
        <v>114</v>
      </c>
      <c r="K713" s="250" t="s">
        <v>466</v>
      </c>
      <c r="L713" s="250" t="s">
        <v>467</v>
      </c>
      <c r="M713" s="279">
        <v>2237</v>
      </c>
      <c r="N713" s="278">
        <v>44232</v>
      </c>
      <c r="O713" s="329" t="s">
        <v>69</v>
      </c>
      <c r="P713" s="386">
        <f t="shared" ref="P713:Q713" si="710">IF(B713=0,0,IF(YEAR(B713)=$Q$1,MONTH(B713)-$P$1+1,(YEAR(B713)-$Q$1)*12-$P$1+1+MONTH(B713)))</f>
        <v>2</v>
      </c>
      <c r="Q713" s="330">
        <f t="shared" si="710"/>
        <v>-1</v>
      </c>
      <c r="R713" s="351" t="str">
        <f t="shared" si="3"/>
        <v>Gastos_custeados_por_captação</v>
      </c>
      <c r="S713" s="351" t="str">
        <f>IF(D713="","",IF(OR(D713=Plano!$A$1,D713=Plano!$B$1),"entrada","saída"))</f>
        <v>saída</v>
      </c>
      <c r="T713" s="334" t="s">
        <v>114</v>
      </c>
      <c r="U713" s="334" t="s">
        <v>114</v>
      </c>
      <c r="V713" s="269"/>
      <c r="W713" s="269"/>
    </row>
    <row r="714" spans="1:23" ht="69.75" customHeight="1" x14ac:dyDescent="0.2">
      <c r="A714" s="277">
        <f t="shared" si="0"/>
        <v>710</v>
      </c>
      <c r="B714" s="278">
        <v>44232</v>
      </c>
      <c r="C714" s="249">
        <v>44166</v>
      </c>
      <c r="D714" s="255" t="s">
        <v>104</v>
      </c>
      <c r="E714" s="255" t="s">
        <v>104</v>
      </c>
      <c r="F714" s="258">
        <v>50</v>
      </c>
      <c r="G714" s="252" t="s">
        <v>3385</v>
      </c>
      <c r="H714" s="255" t="s">
        <v>104</v>
      </c>
      <c r="I714" s="250" t="s">
        <v>465</v>
      </c>
      <c r="J714" s="250" t="s">
        <v>114</v>
      </c>
      <c r="K714" s="250" t="s">
        <v>466</v>
      </c>
      <c r="L714" s="250" t="s">
        <v>467</v>
      </c>
      <c r="M714" s="279">
        <v>2238</v>
      </c>
      <c r="N714" s="278">
        <v>44232</v>
      </c>
      <c r="O714" s="329" t="s">
        <v>69</v>
      </c>
      <c r="P714" s="386">
        <f t="shared" ref="P714:Q714" si="711">IF(B714=0,0,IF(YEAR(B714)=$Q$1,MONTH(B714)-$P$1+1,(YEAR(B714)-$Q$1)*12-$P$1+1+MONTH(B714)))</f>
        <v>2</v>
      </c>
      <c r="Q714" s="330">
        <f t="shared" si="711"/>
        <v>0</v>
      </c>
      <c r="R714" s="351" t="str">
        <f t="shared" si="3"/>
        <v>Gastos_custeados_por_captação</v>
      </c>
      <c r="S714" s="351" t="str">
        <f>IF(D714="","",IF(OR(D714=Plano!$A$1,D714=Plano!$B$1),"entrada","saída"))</f>
        <v>saída</v>
      </c>
      <c r="T714" s="334" t="s">
        <v>114</v>
      </c>
      <c r="U714" s="334" t="s">
        <v>114</v>
      </c>
      <c r="V714" s="269"/>
      <c r="W714" s="269"/>
    </row>
    <row r="715" spans="1:23" ht="69.75" customHeight="1" x14ac:dyDescent="0.2">
      <c r="A715" s="277">
        <f t="shared" si="0"/>
        <v>711</v>
      </c>
      <c r="B715" s="278">
        <v>44232</v>
      </c>
      <c r="C715" s="249">
        <v>44166</v>
      </c>
      <c r="D715" s="255" t="s">
        <v>104</v>
      </c>
      <c r="E715" s="255" t="s">
        <v>104</v>
      </c>
      <c r="F715" s="258">
        <v>50</v>
      </c>
      <c r="G715" s="252" t="s">
        <v>3386</v>
      </c>
      <c r="H715" s="255" t="s">
        <v>104</v>
      </c>
      <c r="I715" s="250" t="s">
        <v>465</v>
      </c>
      <c r="J715" s="250" t="s">
        <v>114</v>
      </c>
      <c r="K715" s="250" t="s">
        <v>466</v>
      </c>
      <c r="L715" s="250" t="s">
        <v>467</v>
      </c>
      <c r="M715" s="279">
        <v>2239</v>
      </c>
      <c r="N715" s="278">
        <v>44232</v>
      </c>
      <c r="O715" s="329" t="s">
        <v>69</v>
      </c>
      <c r="P715" s="386">
        <f t="shared" ref="P715:Q715" si="712">IF(B715=0,0,IF(YEAR(B715)=$Q$1,MONTH(B715)-$P$1+1,(YEAR(B715)-$Q$1)*12-$P$1+1+MONTH(B715)))</f>
        <v>2</v>
      </c>
      <c r="Q715" s="330">
        <f t="shared" si="712"/>
        <v>0</v>
      </c>
      <c r="R715" s="351" t="str">
        <f t="shared" si="3"/>
        <v>Gastos_custeados_por_captação</v>
      </c>
      <c r="S715" s="351" t="str">
        <f>IF(D715="","",IF(OR(D715=Plano!$A$1,D715=Plano!$B$1),"entrada","saída"))</f>
        <v>saída</v>
      </c>
      <c r="T715" s="334" t="s">
        <v>114</v>
      </c>
      <c r="U715" s="334" t="s">
        <v>114</v>
      </c>
      <c r="V715" s="269"/>
      <c r="W715" s="269"/>
    </row>
    <row r="716" spans="1:23" ht="69.75" customHeight="1" x14ac:dyDescent="0.2">
      <c r="A716" s="277">
        <f t="shared" si="0"/>
        <v>712</v>
      </c>
      <c r="B716" s="278">
        <v>44232</v>
      </c>
      <c r="C716" s="249">
        <v>44166</v>
      </c>
      <c r="D716" s="255" t="s">
        <v>104</v>
      </c>
      <c r="E716" s="255" t="s">
        <v>104</v>
      </c>
      <c r="F716" s="258">
        <v>73.349999999999994</v>
      </c>
      <c r="G716" s="252" t="s">
        <v>3387</v>
      </c>
      <c r="H716" s="255" t="s">
        <v>104</v>
      </c>
      <c r="I716" s="250" t="s">
        <v>465</v>
      </c>
      <c r="J716" s="250" t="s">
        <v>114</v>
      </c>
      <c r="K716" s="250" t="s">
        <v>466</v>
      </c>
      <c r="L716" s="250" t="s">
        <v>467</v>
      </c>
      <c r="M716" s="279">
        <v>2240</v>
      </c>
      <c r="N716" s="278">
        <v>44232</v>
      </c>
      <c r="O716" s="329" t="s">
        <v>69</v>
      </c>
      <c r="P716" s="386">
        <f t="shared" ref="P716:Q716" si="713">IF(B716=0,0,IF(YEAR(B716)=$Q$1,MONTH(B716)-$P$1+1,(YEAR(B716)-$Q$1)*12-$P$1+1+MONTH(B716)))</f>
        <v>2</v>
      </c>
      <c r="Q716" s="330">
        <f t="shared" si="713"/>
        <v>0</v>
      </c>
      <c r="R716" s="351" t="str">
        <f t="shared" si="3"/>
        <v>Gastos_custeados_por_captação</v>
      </c>
      <c r="S716" s="351" t="str">
        <f>IF(D716="","",IF(OR(D716=Plano!$A$1,D716=Plano!$B$1),"entrada","saída"))</f>
        <v>saída</v>
      </c>
      <c r="T716" s="334" t="s">
        <v>114</v>
      </c>
      <c r="U716" s="334" t="s">
        <v>114</v>
      </c>
      <c r="V716" s="269"/>
      <c r="W716" s="269"/>
    </row>
    <row r="717" spans="1:23" ht="69.75" customHeight="1" x14ac:dyDescent="0.2">
      <c r="A717" s="277">
        <f t="shared" si="0"/>
        <v>713</v>
      </c>
      <c r="B717" s="278">
        <v>44232</v>
      </c>
      <c r="C717" s="249">
        <v>44166</v>
      </c>
      <c r="D717" s="255" t="s">
        <v>104</v>
      </c>
      <c r="E717" s="255" t="s">
        <v>104</v>
      </c>
      <c r="F717" s="258">
        <v>125</v>
      </c>
      <c r="G717" s="252" t="s">
        <v>3388</v>
      </c>
      <c r="H717" s="255" t="s">
        <v>104</v>
      </c>
      <c r="I717" s="250" t="s">
        <v>465</v>
      </c>
      <c r="J717" s="250" t="s">
        <v>114</v>
      </c>
      <c r="K717" s="250" t="s">
        <v>466</v>
      </c>
      <c r="L717" s="250" t="s">
        <v>467</v>
      </c>
      <c r="M717" s="279">
        <v>2241</v>
      </c>
      <c r="N717" s="278">
        <v>44232</v>
      </c>
      <c r="O717" s="329" t="s">
        <v>69</v>
      </c>
      <c r="P717" s="386">
        <f t="shared" ref="P717:Q717" si="714">IF(B717=0,0,IF(YEAR(B717)=$Q$1,MONTH(B717)-$P$1+1,(YEAR(B717)-$Q$1)*12-$P$1+1+MONTH(B717)))</f>
        <v>2</v>
      </c>
      <c r="Q717" s="330">
        <f t="shared" si="714"/>
        <v>0</v>
      </c>
      <c r="R717" s="351" t="str">
        <f t="shared" si="3"/>
        <v>Gastos_custeados_por_captação</v>
      </c>
      <c r="S717" s="351" t="str">
        <f>IF(D717="","",IF(OR(D717=Plano!$A$1,D717=Plano!$B$1),"entrada","saída"))</f>
        <v>saída</v>
      </c>
      <c r="T717" s="334" t="s">
        <v>114</v>
      </c>
      <c r="U717" s="334" t="s">
        <v>114</v>
      </c>
      <c r="V717" s="269"/>
      <c r="W717" s="269"/>
    </row>
    <row r="718" spans="1:23" ht="69.75" customHeight="1" x14ac:dyDescent="0.2">
      <c r="A718" s="277">
        <f t="shared" si="0"/>
        <v>714</v>
      </c>
      <c r="B718" s="278">
        <v>44232</v>
      </c>
      <c r="C718" s="249">
        <v>44136</v>
      </c>
      <c r="D718" s="255" t="s">
        <v>104</v>
      </c>
      <c r="E718" s="255" t="s">
        <v>104</v>
      </c>
      <c r="F718" s="258">
        <v>175</v>
      </c>
      <c r="G718" s="252" t="s">
        <v>3389</v>
      </c>
      <c r="H718" s="255" t="s">
        <v>104</v>
      </c>
      <c r="I718" s="250" t="s">
        <v>465</v>
      </c>
      <c r="J718" s="250" t="s">
        <v>114</v>
      </c>
      <c r="K718" s="250" t="s">
        <v>466</v>
      </c>
      <c r="L718" s="250" t="s">
        <v>467</v>
      </c>
      <c r="M718" s="279">
        <v>2242</v>
      </c>
      <c r="N718" s="278">
        <v>44232</v>
      </c>
      <c r="O718" s="329" t="s">
        <v>69</v>
      </c>
      <c r="P718" s="386">
        <f t="shared" ref="P718:Q718" si="715">IF(B718=0,0,IF(YEAR(B718)=$Q$1,MONTH(B718)-$P$1+1,(YEAR(B718)-$Q$1)*12-$P$1+1+MONTH(B718)))</f>
        <v>2</v>
      </c>
      <c r="Q718" s="330">
        <f t="shared" si="715"/>
        <v>-1</v>
      </c>
      <c r="R718" s="351" t="str">
        <f t="shared" si="3"/>
        <v>Gastos_custeados_por_captação</v>
      </c>
      <c r="S718" s="351" t="str">
        <f>IF(D718="","",IF(OR(D718=Plano!$A$1,D718=Plano!$B$1),"entrada","saída"))</f>
        <v>saída</v>
      </c>
      <c r="T718" s="334" t="s">
        <v>114</v>
      </c>
      <c r="U718" s="334" t="s">
        <v>114</v>
      </c>
      <c r="V718" s="269"/>
      <c r="W718" s="269"/>
    </row>
    <row r="719" spans="1:23" ht="69.75" customHeight="1" x14ac:dyDescent="0.2">
      <c r="A719" s="277">
        <f t="shared" si="0"/>
        <v>715</v>
      </c>
      <c r="B719" s="278">
        <v>44232</v>
      </c>
      <c r="C719" s="249">
        <v>44136</v>
      </c>
      <c r="D719" s="255" t="s">
        <v>104</v>
      </c>
      <c r="E719" s="255" t="s">
        <v>104</v>
      </c>
      <c r="F719" s="258">
        <v>166</v>
      </c>
      <c r="G719" s="252" t="s">
        <v>3390</v>
      </c>
      <c r="H719" s="255" t="s">
        <v>104</v>
      </c>
      <c r="I719" s="250" t="s">
        <v>465</v>
      </c>
      <c r="J719" s="250" t="s">
        <v>114</v>
      </c>
      <c r="K719" s="250" t="s">
        <v>466</v>
      </c>
      <c r="L719" s="250" t="s">
        <v>467</v>
      </c>
      <c r="M719" s="279">
        <v>2243</v>
      </c>
      <c r="N719" s="278">
        <v>44232</v>
      </c>
      <c r="O719" s="329" t="s">
        <v>69</v>
      </c>
      <c r="P719" s="386">
        <f t="shared" ref="P719:Q719" si="716">IF(B719=0,0,IF(YEAR(B719)=$Q$1,MONTH(B719)-$P$1+1,(YEAR(B719)-$Q$1)*12-$P$1+1+MONTH(B719)))</f>
        <v>2</v>
      </c>
      <c r="Q719" s="330">
        <f t="shared" si="716"/>
        <v>-1</v>
      </c>
      <c r="R719" s="351" t="str">
        <f t="shared" si="3"/>
        <v>Gastos_custeados_por_captação</v>
      </c>
      <c r="S719" s="351" t="str">
        <f>IF(D719="","",IF(OR(D719=Plano!$A$1,D719=Plano!$B$1),"entrada","saída"))</f>
        <v>saída</v>
      </c>
      <c r="T719" s="334" t="s">
        <v>114</v>
      </c>
      <c r="U719" s="334" t="s">
        <v>114</v>
      </c>
      <c r="V719" s="269"/>
      <c r="W719" s="269"/>
    </row>
    <row r="720" spans="1:23" ht="69.75" customHeight="1" x14ac:dyDescent="0.2">
      <c r="A720" s="277">
        <f t="shared" si="0"/>
        <v>716</v>
      </c>
      <c r="B720" s="278">
        <v>44232</v>
      </c>
      <c r="C720" s="249">
        <v>44166</v>
      </c>
      <c r="D720" s="255" t="s">
        <v>104</v>
      </c>
      <c r="E720" s="255" t="s">
        <v>104</v>
      </c>
      <c r="F720" s="258">
        <v>150</v>
      </c>
      <c r="G720" s="252" t="s">
        <v>3391</v>
      </c>
      <c r="H720" s="255" t="s">
        <v>104</v>
      </c>
      <c r="I720" s="250" t="s">
        <v>465</v>
      </c>
      <c r="J720" s="250" t="s">
        <v>114</v>
      </c>
      <c r="K720" s="250" t="s">
        <v>466</v>
      </c>
      <c r="L720" s="250" t="s">
        <v>467</v>
      </c>
      <c r="M720" s="279">
        <v>2244</v>
      </c>
      <c r="N720" s="278">
        <v>44232</v>
      </c>
      <c r="O720" s="329" t="s">
        <v>69</v>
      </c>
      <c r="P720" s="386">
        <f t="shared" ref="P720:Q720" si="717">IF(B720=0,0,IF(YEAR(B720)=$Q$1,MONTH(B720)-$P$1+1,(YEAR(B720)-$Q$1)*12-$P$1+1+MONTH(B720)))</f>
        <v>2</v>
      </c>
      <c r="Q720" s="330">
        <f t="shared" si="717"/>
        <v>0</v>
      </c>
      <c r="R720" s="351" t="str">
        <f t="shared" si="3"/>
        <v>Gastos_custeados_por_captação</v>
      </c>
      <c r="S720" s="351" t="str">
        <f>IF(D720="","",IF(OR(D720=Plano!$A$1,D720=Plano!$B$1),"entrada","saída"))</f>
        <v>saída</v>
      </c>
      <c r="T720" s="334" t="s">
        <v>114</v>
      </c>
      <c r="U720" s="334" t="s">
        <v>114</v>
      </c>
      <c r="V720" s="269"/>
      <c r="W720" s="269"/>
    </row>
    <row r="721" spans="1:23" ht="69.75" customHeight="1" x14ac:dyDescent="0.2">
      <c r="A721" s="277">
        <f t="shared" si="0"/>
        <v>717</v>
      </c>
      <c r="B721" s="278">
        <v>44232</v>
      </c>
      <c r="C721" s="249">
        <v>44166</v>
      </c>
      <c r="D721" s="255" t="s">
        <v>104</v>
      </c>
      <c r="E721" s="255" t="s">
        <v>104</v>
      </c>
      <c r="F721" s="258">
        <v>40.200000000000003</v>
      </c>
      <c r="G721" s="252" t="s">
        <v>3392</v>
      </c>
      <c r="H721" s="255" t="s">
        <v>104</v>
      </c>
      <c r="I721" s="250" t="s">
        <v>465</v>
      </c>
      <c r="J721" s="250" t="s">
        <v>114</v>
      </c>
      <c r="K721" s="250" t="s">
        <v>466</v>
      </c>
      <c r="L721" s="250" t="s">
        <v>467</v>
      </c>
      <c r="M721" s="279">
        <v>2247</v>
      </c>
      <c r="N721" s="278">
        <v>44232</v>
      </c>
      <c r="O721" s="329" t="s">
        <v>69</v>
      </c>
      <c r="P721" s="386">
        <f t="shared" ref="P721:Q721" si="718">IF(B721=0,0,IF(YEAR(B721)=$Q$1,MONTH(B721)-$P$1+1,(YEAR(B721)-$Q$1)*12-$P$1+1+MONTH(B721)))</f>
        <v>2</v>
      </c>
      <c r="Q721" s="330">
        <f t="shared" si="718"/>
        <v>0</v>
      </c>
      <c r="R721" s="351" t="str">
        <f t="shared" si="3"/>
        <v>Gastos_custeados_por_captação</v>
      </c>
      <c r="S721" s="351" t="str">
        <f>IF(D721="","",IF(OR(D721=Plano!$A$1,D721=Plano!$B$1),"entrada","saída"))</f>
        <v>saída</v>
      </c>
      <c r="T721" s="334" t="s">
        <v>114</v>
      </c>
      <c r="U721" s="334" t="s">
        <v>114</v>
      </c>
      <c r="V721" s="269"/>
      <c r="W721" s="269"/>
    </row>
    <row r="722" spans="1:23" ht="69.75" customHeight="1" x14ac:dyDescent="0.2">
      <c r="A722" s="277">
        <f t="shared" si="0"/>
        <v>718</v>
      </c>
      <c r="B722" s="278">
        <v>44232</v>
      </c>
      <c r="C722" s="249">
        <v>44197</v>
      </c>
      <c r="D722" s="255" t="s">
        <v>104</v>
      </c>
      <c r="E722" s="255" t="s">
        <v>104</v>
      </c>
      <c r="F722" s="258">
        <v>1045</v>
      </c>
      <c r="G722" s="255" t="s">
        <v>3376</v>
      </c>
      <c r="H722" s="255" t="s">
        <v>104</v>
      </c>
      <c r="I722" s="250" t="s">
        <v>2807</v>
      </c>
      <c r="J722" s="250" t="s">
        <v>3393</v>
      </c>
      <c r="K722" s="250" t="s">
        <v>1015</v>
      </c>
      <c r="L722" s="250" t="s">
        <v>1177</v>
      </c>
      <c r="M722" s="279" t="s">
        <v>114</v>
      </c>
      <c r="N722" s="278">
        <v>44232</v>
      </c>
      <c r="O722" s="329" t="s">
        <v>68</v>
      </c>
      <c r="P722" s="386">
        <f t="shared" ref="P722:Q722" si="719">IF(B722=0,0,IF(YEAR(B722)=$Q$1,MONTH(B722)-$P$1+1,(YEAR(B722)-$Q$1)*12-$P$1+1+MONTH(B722)))</f>
        <v>2</v>
      </c>
      <c r="Q722" s="330">
        <f t="shared" si="719"/>
        <v>1</v>
      </c>
      <c r="R722" s="351" t="str">
        <f t="shared" si="3"/>
        <v>Gastos_custeados_por_captação</v>
      </c>
      <c r="S722" s="351" t="str">
        <f>IF(D722="","",IF(OR(D722=Plano!$A$1,D722=Plano!$B$1),"entrada","saída"))</f>
        <v>saída</v>
      </c>
      <c r="T722" s="334" t="s">
        <v>114</v>
      </c>
      <c r="U722" s="334" t="s">
        <v>114</v>
      </c>
      <c r="V722" s="269"/>
      <c r="W722" s="269"/>
    </row>
    <row r="723" spans="1:23" ht="69.75" customHeight="1" x14ac:dyDescent="0.2">
      <c r="A723" s="277">
        <f t="shared" si="0"/>
        <v>719</v>
      </c>
      <c r="B723" s="278">
        <v>44232</v>
      </c>
      <c r="C723" s="249">
        <v>44197</v>
      </c>
      <c r="D723" s="255" t="s">
        <v>104</v>
      </c>
      <c r="E723" s="255" t="s">
        <v>104</v>
      </c>
      <c r="F723" s="258">
        <v>143.04</v>
      </c>
      <c r="G723" s="252" t="s">
        <v>3394</v>
      </c>
      <c r="H723" s="255" t="s">
        <v>104</v>
      </c>
      <c r="I723" s="250" t="s">
        <v>465</v>
      </c>
      <c r="J723" s="250" t="s">
        <v>114</v>
      </c>
      <c r="K723" s="250" t="s">
        <v>466</v>
      </c>
      <c r="L723" s="250" t="s">
        <v>467</v>
      </c>
      <c r="M723" s="279">
        <v>2224</v>
      </c>
      <c r="N723" s="278">
        <v>44232</v>
      </c>
      <c r="O723" s="329" t="s">
        <v>68</v>
      </c>
      <c r="P723" s="386">
        <f t="shared" ref="P723:Q723" si="720">IF(B723=0,0,IF(YEAR(B723)=$Q$1,MONTH(B723)-$P$1+1,(YEAR(B723)-$Q$1)*12-$P$1+1+MONTH(B723)))</f>
        <v>2</v>
      </c>
      <c r="Q723" s="330">
        <f t="shared" si="720"/>
        <v>1</v>
      </c>
      <c r="R723" s="351" t="str">
        <f t="shared" si="3"/>
        <v>Gastos_custeados_por_captação</v>
      </c>
      <c r="S723" s="351" t="str">
        <f>IF(D723="","",IF(OR(D723=Plano!$A$1,D723=Plano!$B$1),"entrada","saída"))</f>
        <v>saída</v>
      </c>
      <c r="T723" s="334" t="s">
        <v>114</v>
      </c>
      <c r="U723" s="334" t="s">
        <v>114</v>
      </c>
      <c r="V723" s="269"/>
      <c r="W723" s="269"/>
    </row>
    <row r="724" spans="1:23" ht="69.75" customHeight="1" x14ac:dyDescent="0.2">
      <c r="A724" s="277">
        <f t="shared" si="0"/>
        <v>720</v>
      </c>
      <c r="B724" s="278">
        <v>44232</v>
      </c>
      <c r="C724" s="249">
        <v>44166</v>
      </c>
      <c r="D724" s="255" t="s">
        <v>104</v>
      </c>
      <c r="E724" s="255" t="s">
        <v>104</v>
      </c>
      <c r="F724" s="258">
        <v>100</v>
      </c>
      <c r="G724" s="252" t="s">
        <v>3395</v>
      </c>
      <c r="H724" s="255" t="s">
        <v>104</v>
      </c>
      <c r="I724" s="250" t="s">
        <v>465</v>
      </c>
      <c r="J724" s="250" t="s">
        <v>114</v>
      </c>
      <c r="K724" s="250" t="s">
        <v>466</v>
      </c>
      <c r="L724" s="250" t="s">
        <v>467</v>
      </c>
      <c r="M724" s="279">
        <v>2225</v>
      </c>
      <c r="N724" s="278">
        <v>44232</v>
      </c>
      <c r="O724" s="329" t="s">
        <v>68</v>
      </c>
      <c r="P724" s="386">
        <f t="shared" ref="P724:Q724" si="721">IF(B724=0,0,IF(YEAR(B724)=$Q$1,MONTH(B724)-$P$1+1,(YEAR(B724)-$Q$1)*12-$P$1+1+MONTH(B724)))</f>
        <v>2</v>
      </c>
      <c r="Q724" s="330">
        <f t="shared" si="721"/>
        <v>0</v>
      </c>
      <c r="R724" s="351" t="str">
        <f t="shared" si="3"/>
        <v>Gastos_custeados_por_captação</v>
      </c>
      <c r="S724" s="351" t="str">
        <f>IF(D724="","",IF(OR(D724=Plano!$A$1,D724=Plano!$B$1),"entrada","saída"))</f>
        <v>saída</v>
      </c>
      <c r="T724" s="334" t="s">
        <v>114</v>
      </c>
      <c r="U724" s="334" t="s">
        <v>114</v>
      </c>
      <c r="V724" s="269"/>
      <c r="W724" s="269"/>
    </row>
    <row r="725" spans="1:23" ht="69.75" customHeight="1" x14ac:dyDescent="0.2">
      <c r="A725" s="277">
        <f t="shared" si="0"/>
        <v>721</v>
      </c>
      <c r="B725" s="278">
        <v>44232</v>
      </c>
      <c r="C725" s="249">
        <v>44166</v>
      </c>
      <c r="D725" s="255" t="s">
        <v>104</v>
      </c>
      <c r="E725" s="255" t="s">
        <v>104</v>
      </c>
      <c r="F725" s="258">
        <v>50</v>
      </c>
      <c r="G725" s="252" t="s">
        <v>3396</v>
      </c>
      <c r="H725" s="255" t="s">
        <v>104</v>
      </c>
      <c r="I725" s="250" t="s">
        <v>465</v>
      </c>
      <c r="J725" s="250" t="s">
        <v>114</v>
      </c>
      <c r="K725" s="250" t="s">
        <v>466</v>
      </c>
      <c r="L725" s="250" t="s">
        <v>467</v>
      </c>
      <c r="M725" s="279">
        <v>2226</v>
      </c>
      <c r="N725" s="278">
        <v>44232</v>
      </c>
      <c r="O725" s="329" t="s">
        <v>68</v>
      </c>
      <c r="P725" s="386">
        <f t="shared" ref="P725:Q725" si="722">IF(B725=0,0,IF(YEAR(B725)=$Q$1,MONTH(B725)-$P$1+1,(YEAR(B725)-$Q$1)*12-$P$1+1+MONTH(B725)))</f>
        <v>2</v>
      </c>
      <c r="Q725" s="330">
        <f t="shared" si="722"/>
        <v>0</v>
      </c>
      <c r="R725" s="351" t="str">
        <f t="shared" si="3"/>
        <v>Gastos_custeados_por_captação</v>
      </c>
      <c r="S725" s="351" t="str">
        <f>IF(D725="","",IF(OR(D725=Plano!$A$1,D725=Plano!$B$1),"entrada","saída"))</f>
        <v>saída</v>
      </c>
      <c r="T725" s="334" t="s">
        <v>114</v>
      </c>
      <c r="U725" s="334" t="s">
        <v>114</v>
      </c>
      <c r="V725" s="269"/>
      <c r="W725" s="269"/>
    </row>
    <row r="726" spans="1:23" ht="69.75" customHeight="1" x14ac:dyDescent="0.2">
      <c r="A726" s="277">
        <f t="shared" si="0"/>
        <v>722</v>
      </c>
      <c r="B726" s="278">
        <v>44232</v>
      </c>
      <c r="C726" s="249">
        <v>44166</v>
      </c>
      <c r="D726" s="255" t="s">
        <v>104</v>
      </c>
      <c r="E726" s="255" t="s">
        <v>104</v>
      </c>
      <c r="F726" s="258">
        <v>50</v>
      </c>
      <c r="G726" s="252" t="s">
        <v>3397</v>
      </c>
      <c r="H726" s="255" t="s">
        <v>104</v>
      </c>
      <c r="I726" s="250" t="s">
        <v>465</v>
      </c>
      <c r="J726" s="250" t="s">
        <v>114</v>
      </c>
      <c r="K726" s="250" t="s">
        <v>466</v>
      </c>
      <c r="L726" s="250" t="s">
        <v>467</v>
      </c>
      <c r="M726" s="279">
        <v>2227</v>
      </c>
      <c r="N726" s="278">
        <v>44232</v>
      </c>
      <c r="O726" s="329" t="s">
        <v>68</v>
      </c>
      <c r="P726" s="386">
        <f t="shared" ref="P726:Q726" si="723">IF(B726=0,0,IF(YEAR(B726)=$Q$1,MONTH(B726)-$P$1+1,(YEAR(B726)-$Q$1)*12-$P$1+1+MONTH(B726)))</f>
        <v>2</v>
      </c>
      <c r="Q726" s="330">
        <f t="shared" si="723"/>
        <v>0</v>
      </c>
      <c r="R726" s="351" t="str">
        <f t="shared" si="3"/>
        <v>Gastos_custeados_por_captação</v>
      </c>
      <c r="S726" s="351" t="str">
        <f>IF(D726="","",IF(OR(D726=Plano!$A$1,D726=Plano!$B$1),"entrada","saída"))</f>
        <v>saída</v>
      </c>
      <c r="T726" s="334" t="s">
        <v>114</v>
      </c>
      <c r="U726" s="334" t="s">
        <v>114</v>
      </c>
      <c r="V726" s="269"/>
      <c r="W726" s="269"/>
    </row>
    <row r="727" spans="1:23" ht="69.75" customHeight="1" x14ac:dyDescent="0.2">
      <c r="A727" s="277">
        <f t="shared" si="0"/>
        <v>723</v>
      </c>
      <c r="B727" s="278">
        <v>44232</v>
      </c>
      <c r="C727" s="249">
        <v>44166</v>
      </c>
      <c r="D727" s="255" t="s">
        <v>104</v>
      </c>
      <c r="E727" s="255" t="s">
        <v>104</v>
      </c>
      <c r="F727" s="258">
        <v>75</v>
      </c>
      <c r="G727" s="252" t="s">
        <v>3398</v>
      </c>
      <c r="H727" s="255" t="s">
        <v>104</v>
      </c>
      <c r="I727" s="250" t="s">
        <v>465</v>
      </c>
      <c r="J727" s="250" t="s">
        <v>114</v>
      </c>
      <c r="K727" s="250" t="s">
        <v>466</v>
      </c>
      <c r="L727" s="250" t="s">
        <v>467</v>
      </c>
      <c r="M727" s="279">
        <v>2228</v>
      </c>
      <c r="N727" s="278">
        <v>44232</v>
      </c>
      <c r="O727" s="329" t="s">
        <v>68</v>
      </c>
      <c r="P727" s="386">
        <f t="shared" ref="P727:Q727" si="724">IF(B727=0,0,IF(YEAR(B727)=$Q$1,MONTH(B727)-$P$1+1,(YEAR(B727)-$Q$1)*12-$P$1+1+MONTH(B727)))</f>
        <v>2</v>
      </c>
      <c r="Q727" s="330">
        <f t="shared" si="724"/>
        <v>0</v>
      </c>
      <c r="R727" s="351" t="str">
        <f t="shared" si="3"/>
        <v>Gastos_custeados_por_captação</v>
      </c>
      <c r="S727" s="351" t="str">
        <f>IF(D727="","",IF(OR(D727=Plano!$A$1,D727=Plano!$B$1),"entrada","saída"))</f>
        <v>saída</v>
      </c>
      <c r="T727" s="334" t="s">
        <v>114</v>
      </c>
      <c r="U727" s="334" t="s">
        <v>114</v>
      </c>
      <c r="V727" s="269"/>
      <c r="W727" s="269"/>
    </row>
    <row r="728" spans="1:23" ht="69.75" customHeight="1" x14ac:dyDescent="0.2">
      <c r="A728" s="277">
        <f t="shared" si="0"/>
        <v>724</v>
      </c>
      <c r="B728" s="278">
        <v>44232</v>
      </c>
      <c r="C728" s="249">
        <v>44166</v>
      </c>
      <c r="D728" s="255" t="s">
        <v>104</v>
      </c>
      <c r="E728" s="255" t="s">
        <v>104</v>
      </c>
      <c r="F728" s="258">
        <v>125</v>
      </c>
      <c r="G728" s="252" t="s">
        <v>3399</v>
      </c>
      <c r="H728" s="255" t="s">
        <v>104</v>
      </c>
      <c r="I728" s="250" t="s">
        <v>465</v>
      </c>
      <c r="J728" s="250" t="s">
        <v>114</v>
      </c>
      <c r="K728" s="250" t="s">
        <v>466</v>
      </c>
      <c r="L728" s="250" t="s">
        <v>467</v>
      </c>
      <c r="M728" s="279">
        <v>2229</v>
      </c>
      <c r="N728" s="278">
        <v>44232</v>
      </c>
      <c r="O728" s="329" t="s">
        <v>68</v>
      </c>
      <c r="P728" s="386">
        <f t="shared" ref="P728:Q728" si="725">IF(B728=0,0,IF(YEAR(B728)=$Q$1,MONTH(B728)-$P$1+1,(YEAR(B728)-$Q$1)*12-$P$1+1+MONTH(B728)))</f>
        <v>2</v>
      </c>
      <c r="Q728" s="330">
        <f t="shared" si="725"/>
        <v>0</v>
      </c>
      <c r="R728" s="351" t="str">
        <f t="shared" si="3"/>
        <v>Gastos_custeados_por_captação</v>
      </c>
      <c r="S728" s="351" t="str">
        <f>IF(D728="","",IF(OR(D728=Plano!$A$1,D728=Plano!$B$1),"entrada","saída"))</f>
        <v>saída</v>
      </c>
      <c r="T728" s="334" t="s">
        <v>114</v>
      </c>
      <c r="U728" s="334" t="s">
        <v>114</v>
      </c>
      <c r="V728" s="269"/>
      <c r="W728" s="269"/>
    </row>
    <row r="729" spans="1:23" ht="69.75" customHeight="1" x14ac:dyDescent="0.2">
      <c r="A729" s="277">
        <f t="shared" si="0"/>
        <v>725</v>
      </c>
      <c r="B729" s="278">
        <v>44232</v>
      </c>
      <c r="C729" s="249">
        <v>44166</v>
      </c>
      <c r="D729" s="255" t="s">
        <v>104</v>
      </c>
      <c r="E729" s="255" t="s">
        <v>104</v>
      </c>
      <c r="F729" s="258">
        <v>77.180000000000007</v>
      </c>
      <c r="G729" s="252" t="s">
        <v>3400</v>
      </c>
      <c r="H729" s="255" t="s">
        <v>104</v>
      </c>
      <c r="I729" s="250" t="s">
        <v>465</v>
      </c>
      <c r="J729" s="250" t="s">
        <v>114</v>
      </c>
      <c r="K729" s="250" t="s">
        <v>466</v>
      </c>
      <c r="L729" s="250" t="s">
        <v>467</v>
      </c>
      <c r="M729" s="279">
        <v>2232</v>
      </c>
      <c r="N729" s="278">
        <v>44232</v>
      </c>
      <c r="O729" s="329" t="s">
        <v>68</v>
      </c>
      <c r="P729" s="386">
        <f t="shared" ref="P729:Q729" si="726">IF(B729=0,0,IF(YEAR(B729)=$Q$1,MONTH(B729)-$P$1+1,(YEAR(B729)-$Q$1)*12-$P$1+1+MONTH(B729)))</f>
        <v>2</v>
      </c>
      <c r="Q729" s="330">
        <f t="shared" si="726"/>
        <v>0</v>
      </c>
      <c r="R729" s="351" t="str">
        <f t="shared" si="3"/>
        <v>Gastos_custeados_por_captação</v>
      </c>
      <c r="S729" s="351" t="str">
        <f>IF(D729="","",IF(OR(D729=Plano!$A$1,D729=Plano!$B$1),"entrada","saída"))</f>
        <v>saída</v>
      </c>
      <c r="T729" s="334" t="s">
        <v>114</v>
      </c>
      <c r="U729" s="334" t="s">
        <v>114</v>
      </c>
      <c r="V729" s="269"/>
      <c r="W729" s="269"/>
    </row>
    <row r="730" spans="1:23" ht="69.75" customHeight="1" x14ac:dyDescent="0.2">
      <c r="A730" s="277">
        <f t="shared" si="0"/>
        <v>726</v>
      </c>
      <c r="B730" s="278">
        <v>44232</v>
      </c>
      <c r="C730" s="249">
        <v>44166</v>
      </c>
      <c r="D730" s="255" t="s">
        <v>104</v>
      </c>
      <c r="E730" s="255" t="s">
        <v>104</v>
      </c>
      <c r="F730" s="258">
        <v>90</v>
      </c>
      <c r="G730" s="252" t="s">
        <v>3401</v>
      </c>
      <c r="H730" s="255" t="s">
        <v>104</v>
      </c>
      <c r="I730" s="250" t="s">
        <v>465</v>
      </c>
      <c r="J730" s="250" t="s">
        <v>114</v>
      </c>
      <c r="K730" s="250" t="s">
        <v>466</v>
      </c>
      <c r="L730" s="250" t="s">
        <v>467</v>
      </c>
      <c r="M730" s="279">
        <v>2235</v>
      </c>
      <c r="N730" s="278">
        <v>44232</v>
      </c>
      <c r="O730" s="329" t="s">
        <v>68</v>
      </c>
      <c r="P730" s="386">
        <f t="shared" ref="P730:Q730" si="727">IF(B730=0,0,IF(YEAR(B730)=$Q$1,MONTH(B730)-$P$1+1,(YEAR(B730)-$Q$1)*12-$P$1+1+MONTH(B730)))</f>
        <v>2</v>
      </c>
      <c r="Q730" s="330">
        <f t="shared" si="727"/>
        <v>0</v>
      </c>
      <c r="R730" s="351" t="str">
        <f t="shared" si="3"/>
        <v>Gastos_custeados_por_captação</v>
      </c>
      <c r="S730" s="351" t="str">
        <f>IF(D730="","",IF(OR(D730=Plano!$A$1,D730=Plano!$B$1),"entrada","saída"))</f>
        <v>saída</v>
      </c>
      <c r="T730" s="334" t="s">
        <v>114</v>
      </c>
      <c r="U730" s="334" t="s">
        <v>114</v>
      </c>
      <c r="V730" s="269"/>
      <c r="W730" s="269"/>
    </row>
    <row r="731" spans="1:23" ht="171.75" customHeight="1" x14ac:dyDescent="0.2">
      <c r="A731" s="277">
        <f t="shared" si="0"/>
        <v>727</v>
      </c>
      <c r="B731" s="278">
        <v>44232</v>
      </c>
      <c r="C731" s="249">
        <v>44197</v>
      </c>
      <c r="D731" s="255" t="s">
        <v>104</v>
      </c>
      <c r="E731" s="255" t="s">
        <v>104</v>
      </c>
      <c r="F731" s="258">
        <v>1075</v>
      </c>
      <c r="G731" s="252" t="s">
        <v>3402</v>
      </c>
      <c r="H731" s="255" t="s">
        <v>104</v>
      </c>
      <c r="I731" s="250" t="s">
        <v>3403</v>
      </c>
      <c r="J731" s="252" t="s">
        <v>3147</v>
      </c>
      <c r="K731" s="250" t="s">
        <v>1015</v>
      </c>
      <c r="L731" s="250" t="s">
        <v>1029</v>
      </c>
      <c r="M731" s="279">
        <v>1057</v>
      </c>
      <c r="N731" s="278">
        <v>44231</v>
      </c>
      <c r="O731" s="329" t="s">
        <v>68</v>
      </c>
      <c r="P731" s="386">
        <f t="shared" ref="P731:Q731" si="728">IF(B731=0,0,IF(YEAR(B731)=$Q$1,MONTH(B731)-$P$1+1,(YEAR(B731)-$Q$1)*12-$P$1+1+MONTH(B731)))</f>
        <v>2</v>
      </c>
      <c r="Q731" s="330">
        <f t="shared" si="728"/>
        <v>1</v>
      </c>
      <c r="R731" s="351" t="str">
        <f t="shared" si="3"/>
        <v>Gastos_custeados_por_captação</v>
      </c>
      <c r="S731" s="351" t="str">
        <f>IF(D731="","",IF(OR(D731=Plano!$A$1,D731=Plano!$B$1),"entrada","saída"))</f>
        <v>saída</v>
      </c>
      <c r="T731" s="334" t="s">
        <v>114</v>
      </c>
      <c r="U731" s="334" t="s">
        <v>114</v>
      </c>
      <c r="V731" s="269"/>
      <c r="W731" s="269"/>
    </row>
    <row r="732" spans="1:23" ht="222.75" customHeight="1" x14ac:dyDescent="0.2">
      <c r="A732" s="277">
        <f t="shared" si="0"/>
        <v>728</v>
      </c>
      <c r="B732" s="278">
        <v>44232</v>
      </c>
      <c r="C732" s="249">
        <v>44197</v>
      </c>
      <c r="D732" s="255" t="s">
        <v>104</v>
      </c>
      <c r="E732" s="255" t="s">
        <v>104</v>
      </c>
      <c r="F732" s="258">
        <v>1050</v>
      </c>
      <c r="G732" s="252" t="s">
        <v>3404</v>
      </c>
      <c r="H732" s="255" t="s">
        <v>104</v>
      </c>
      <c r="I732" s="250" t="s">
        <v>3149</v>
      </c>
      <c r="J732" s="252" t="s">
        <v>3150</v>
      </c>
      <c r="K732" s="250" t="s">
        <v>1015</v>
      </c>
      <c r="L732" s="250" t="s">
        <v>1029</v>
      </c>
      <c r="M732" s="279">
        <v>1058</v>
      </c>
      <c r="N732" s="278">
        <v>44231</v>
      </c>
      <c r="O732" s="329" t="s">
        <v>68</v>
      </c>
      <c r="P732" s="386">
        <f t="shared" ref="P732:Q732" si="729">IF(B732=0,0,IF(YEAR(B732)=$Q$1,MONTH(B732)-$P$1+1,(YEAR(B732)-$Q$1)*12-$P$1+1+MONTH(B732)))</f>
        <v>2</v>
      </c>
      <c r="Q732" s="330">
        <f t="shared" si="729"/>
        <v>1</v>
      </c>
      <c r="R732" s="351" t="str">
        <f t="shared" si="3"/>
        <v>Gastos_custeados_por_captação</v>
      </c>
      <c r="S732" s="351" t="str">
        <f>IF(D732="","",IF(OR(D732=Plano!$A$1,D732=Plano!$B$1),"entrada","saída"))</f>
        <v>saída</v>
      </c>
      <c r="T732" s="334" t="s">
        <v>114</v>
      </c>
      <c r="U732" s="334" t="s">
        <v>114</v>
      </c>
      <c r="V732" s="269"/>
      <c r="W732" s="269"/>
    </row>
    <row r="733" spans="1:23" ht="69.75" customHeight="1" x14ac:dyDescent="0.2">
      <c r="A733" s="277">
        <f t="shared" si="0"/>
        <v>729</v>
      </c>
      <c r="B733" s="278">
        <v>44232</v>
      </c>
      <c r="C733" s="249">
        <v>44197</v>
      </c>
      <c r="D733" s="255" t="s">
        <v>104</v>
      </c>
      <c r="E733" s="255" t="s">
        <v>104</v>
      </c>
      <c r="F733" s="258">
        <v>2910</v>
      </c>
      <c r="G733" s="252" t="s">
        <v>2816</v>
      </c>
      <c r="H733" s="255" t="s">
        <v>104</v>
      </c>
      <c r="I733" s="250" t="s">
        <v>2817</v>
      </c>
      <c r="J733" s="252" t="s">
        <v>2818</v>
      </c>
      <c r="K733" s="250" t="s">
        <v>1015</v>
      </c>
      <c r="L733" s="250" t="s">
        <v>1016</v>
      </c>
      <c r="M733" s="255" t="s">
        <v>1045</v>
      </c>
      <c r="N733" s="278">
        <v>44232</v>
      </c>
      <c r="O733" s="329" t="s">
        <v>68</v>
      </c>
      <c r="P733" s="386">
        <f t="shared" ref="P733:Q733" si="730">IF(B733=0,0,IF(YEAR(B733)=$Q$1,MONTH(B733)-$P$1+1,(YEAR(B733)-$Q$1)*12-$P$1+1+MONTH(B733)))</f>
        <v>2</v>
      </c>
      <c r="Q733" s="330">
        <f t="shared" si="730"/>
        <v>1</v>
      </c>
      <c r="R733" s="351" t="str">
        <f t="shared" si="3"/>
        <v>Gastos_custeados_por_captação</v>
      </c>
      <c r="S733" s="351" t="str">
        <f>IF(D733="","",IF(OR(D733=Plano!$A$1,D733=Plano!$B$1),"entrada","saída"))</f>
        <v>saída</v>
      </c>
      <c r="T733" s="334" t="s">
        <v>994</v>
      </c>
      <c r="U733" s="334">
        <v>72</v>
      </c>
      <c r="V733" s="269"/>
      <c r="W733" s="269"/>
    </row>
    <row r="734" spans="1:23" ht="69.75" customHeight="1" x14ac:dyDescent="0.2">
      <c r="A734" s="277">
        <f t="shared" si="0"/>
        <v>730</v>
      </c>
      <c r="B734" s="278">
        <v>44232</v>
      </c>
      <c r="C734" s="249">
        <v>44105</v>
      </c>
      <c r="D734" s="255" t="s">
        <v>104</v>
      </c>
      <c r="E734" s="255" t="s">
        <v>104</v>
      </c>
      <c r="F734" s="258">
        <v>175</v>
      </c>
      <c r="G734" s="252" t="s">
        <v>3405</v>
      </c>
      <c r="H734" s="255" t="s">
        <v>104</v>
      </c>
      <c r="I734" s="250" t="s">
        <v>465</v>
      </c>
      <c r="J734" s="250" t="s">
        <v>114</v>
      </c>
      <c r="K734" s="250" t="s">
        <v>466</v>
      </c>
      <c r="L734" s="250" t="s">
        <v>467</v>
      </c>
      <c r="M734" s="279">
        <v>2200</v>
      </c>
      <c r="N734" s="278">
        <v>44232</v>
      </c>
      <c r="O734" s="329" t="s">
        <v>70</v>
      </c>
      <c r="P734" s="386">
        <f t="shared" ref="P734:Q734" si="731">IF(B734=0,0,IF(YEAR(B734)=$Q$1,MONTH(B734)-$P$1+1,(YEAR(B734)-$Q$1)*12-$P$1+1+MONTH(B734)))</f>
        <v>2</v>
      </c>
      <c r="Q734" s="330">
        <f t="shared" si="731"/>
        <v>-2</v>
      </c>
      <c r="R734" s="351" t="str">
        <f t="shared" si="3"/>
        <v>Gastos_custeados_por_captação</v>
      </c>
      <c r="S734" s="351" t="str">
        <f>IF(D734="","",IF(OR(D734=Plano!$A$1,D734=Plano!$B$1),"entrada","saída"))</f>
        <v>saída</v>
      </c>
      <c r="T734" s="334" t="s">
        <v>114</v>
      </c>
      <c r="U734" s="334" t="s">
        <v>114</v>
      </c>
      <c r="V734" s="269"/>
      <c r="W734" s="269"/>
    </row>
    <row r="735" spans="1:23" ht="69.75" customHeight="1" x14ac:dyDescent="0.2">
      <c r="A735" s="277">
        <f t="shared" si="0"/>
        <v>731</v>
      </c>
      <c r="B735" s="278">
        <v>44232</v>
      </c>
      <c r="C735" s="249">
        <v>44105</v>
      </c>
      <c r="D735" s="255" t="s">
        <v>104</v>
      </c>
      <c r="E735" s="255" t="s">
        <v>104</v>
      </c>
      <c r="F735" s="258">
        <v>250</v>
      </c>
      <c r="G735" s="252" t="s">
        <v>3406</v>
      </c>
      <c r="H735" s="255" t="s">
        <v>104</v>
      </c>
      <c r="I735" s="250" t="s">
        <v>465</v>
      </c>
      <c r="J735" s="250" t="s">
        <v>114</v>
      </c>
      <c r="K735" s="250" t="s">
        <v>466</v>
      </c>
      <c r="L735" s="250" t="s">
        <v>467</v>
      </c>
      <c r="M735" s="279">
        <v>2201</v>
      </c>
      <c r="N735" s="278">
        <v>44232</v>
      </c>
      <c r="O735" s="329" t="s">
        <v>70</v>
      </c>
      <c r="P735" s="386">
        <f t="shared" ref="P735:Q735" si="732">IF(B735=0,0,IF(YEAR(B735)=$Q$1,MONTH(B735)-$P$1+1,(YEAR(B735)-$Q$1)*12-$P$1+1+MONTH(B735)))</f>
        <v>2</v>
      </c>
      <c r="Q735" s="330">
        <f t="shared" si="732"/>
        <v>-2</v>
      </c>
      <c r="R735" s="351" t="str">
        <f t="shared" si="3"/>
        <v>Gastos_custeados_por_captação</v>
      </c>
      <c r="S735" s="351" t="str">
        <f>IF(D735="","",IF(OR(D735=Plano!$A$1,D735=Plano!$B$1),"entrada","saída"))</f>
        <v>saída</v>
      </c>
      <c r="T735" s="334" t="s">
        <v>114</v>
      </c>
      <c r="U735" s="334" t="s">
        <v>114</v>
      </c>
      <c r="V735" s="269"/>
      <c r="W735" s="269"/>
    </row>
    <row r="736" spans="1:23" ht="69.75" customHeight="1" x14ac:dyDescent="0.2">
      <c r="A736" s="277">
        <f t="shared" si="0"/>
        <v>732</v>
      </c>
      <c r="B736" s="278">
        <v>44232</v>
      </c>
      <c r="C736" s="249">
        <v>44105</v>
      </c>
      <c r="D736" s="255" t="s">
        <v>104</v>
      </c>
      <c r="E736" s="255" t="s">
        <v>104</v>
      </c>
      <c r="F736" s="258">
        <v>250</v>
      </c>
      <c r="G736" s="252" t="s">
        <v>3407</v>
      </c>
      <c r="H736" s="255" t="s">
        <v>104</v>
      </c>
      <c r="I736" s="250" t="s">
        <v>465</v>
      </c>
      <c r="J736" s="250" t="s">
        <v>114</v>
      </c>
      <c r="K736" s="250" t="s">
        <v>466</v>
      </c>
      <c r="L736" s="250" t="s">
        <v>467</v>
      </c>
      <c r="M736" s="279">
        <v>2202</v>
      </c>
      <c r="N736" s="278">
        <v>44232</v>
      </c>
      <c r="O736" s="329" t="s">
        <v>70</v>
      </c>
      <c r="P736" s="386">
        <f t="shared" ref="P736:Q736" si="733">IF(B736=0,0,IF(YEAR(B736)=$Q$1,MONTH(B736)-$P$1+1,(YEAR(B736)-$Q$1)*12-$P$1+1+MONTH(B736)))</f>
        <v>2</v>
      </c>
      <c r="Q736" s="330">
        <f t="shared" si="733"/>
        <v>-2</v>
      </c>
      <c r="R736" s="351" t="str">
        <f t="shared" si="3"/>
        <v>Gastos_custeados_por_captação</v>
      </c>
      <c r="S736" s="351" t="str">
        <f>IF(D736="","",IF(OR(D736=Plano!$A$1,D736=Plano!$B$1),"entrada","saída"))</f>
        <v>saída</v>
      </c>
      <c r="T736" s="334" t="s">
        <v>114</v>
      </c>
      <c r="U736" s="334" t="s">
        <v>114</v>
      </c>
      <c r="V736" s="269"/>
      <c r="W736" s="269"/>
    </row>
    <row r="737" spans="1:23" ht="69.75" customHeight="1" x14ac:dyDescent="0.2">
      <c r="A737" s="277">
        <f t="shared" si="0"/>
        <v>733</v>
      </c>
      <c r="B737" s="278">
        <v>44232</v>
      </c>
      <c r="C737" s="249">
        <v>44105</v>
      </c>
      <c r="D737" s="255" t="s">
        <v>104</v>
      </c>
      <c r="E737" s="255" t="s">
        <v>104</v>
      </c>
      <c r="F737" s="258">
        <v>25</v>
      </c>
      <c r="G737" s="252" t="s">
        <v>3408</v>
      </c>
      <c r="H737" s="255" t="s">
        <v>104</v>
      </c>
      <c r="I737" s="250" t="s">
        <v>465</v>
      </c>
      <c r="J737" s="250" t="s">
        <v>114</v>
      </c>
      <c r="K737" s="250" t="s">
        <v>466</v>
      </c>
      <c r="L737" s="250" t="s">
        <v>467</v>
      </c>
      <c r="M737" s="279">
        <v>2203</v>
      </c>
      <c r="N737" s="278">
        <v>44232</v>
      </c>
      <c r="O737" s="329" t="s">
        <v>70</v>
      </c>
      <c r="P737" s="386">
        <f t="shared" ref="P737:Q737" si="734">IF(B737=0,0,IF(YEAR(B737)=$Q$1,MONTH(B737)-$P$1+1,(YEAR(B737)-$Q$1)*12-$P$1+1+MONTH(B737)))</f>
        <v>2</v>
      </c>
      <c r="Q737" s="330">
        <f t="shared" si="734"/>
        <v>-2</v>
      </c>
      <c r="R737" s="351" t="str">
        <f t="shared" si="3"/>
        <v>Gastos_custeados_por_captação</v>
      </c>
      <c r="S737" s="351" t="str">
        <f>IF(D737="","",IF(OR(D737=Plano!$A$1,D737=Plano!$B$1),"entrada","saída"))</f>
        <v>saída</v>
      </c>
      <c r="T737" s="334" t="s">
        <v>114</v>
      </c>
      <c r="U737" s="334" t="s">
        <v>114</v>
      </c>
      <c r="V737" s="269"/>
      <c r="W737" s="269"/>
    </row>
    <row r="738" spans="1:23" ht="69.75" customHeight="1" x14ac:dyDescent="0.2">
      <c r="A738" s="277">
        <f t="shared" si="0"/>
        <v>734</v>
      </c>
      <c r="B738" s="278">
        <v>44232</v>
      </c>
      <c r="C738" s="249">
        <v>44105</v>
      </c>
      <c r="D738" s="255" t="s">
        <v>104</v>
      </c>
      <c r="E738" s="255" t="s">
        <v>104</v>
      </c>
      <c r="F738" s="258">
        <v>25</v>
      </c>
      <c r="G738" s="252" t="s">
        <v>3409</v>
      </c>
      <c r="H738" s="255" t="s">
        <v>104</v>
      </c>
      <c r="I738" s="250" t="s">
        <v>465</v>
      </c>
      <c r="J738" s="250" t="s">
        <v>114</v>
      </c>
      <c r="K738" s="250" t="s">
        <v>466</v>
      </c>
      <c r="L738" s="250" t="s">
        <v>467</v>
      </c>
      <c r="M738" s="279">
        <v>2204</v>
      </c>
      <c r="N738" s="278">
        <v>44232</v>
      </c>
      <c r="O738" s="329" t="s">
        <v>70</v>
      </c>
      <c r="P738" s="386">
        <f t="shared" ref="P738:Q738" si="735">IF(B738=0,0,IF(YEAR(B738)=$Q$1,MONTH(B738)-$P$1+1,(YEAR(B738)-$Q$1)*12-$P$1+1+MONTH(B738)))</f>
        <v>2</v>
      </c>
      <c r="Q738" s="330">
        <f t="shared" si="735"/>
        <v>-2</v>
      </c>
      <c r="R738" s="351" t="str">
        <f t="shared" si="3"/>
        <v>Gastos_custeados_por_captação</v>
      </c>
      <c r="S738" s="351" t="str">
        <f>IF(D738="","",IF(OR(D738=Plano!$A$1,D738=Plano!$B$1),"entrada","saída"))</f>
        <v>saída</v>
      </c>
      <c r="T738" s="334" t="s">
        <v>114</v>
      </c>
      <c r="U738" s="334" t="s">
        <v>114</v>
      </c>
      <c r="V738" s="269"/>
      <c r="W738" s="269"/>
    </row>
    <row r="739" spans="1:23" ht="69.75" customHeight="1" x14ac:dyDescent="0.2">
      <c r="A739" s="277">
        <f t="shared" si="0"/>
        <v>735</v>
      </c>
      <c r="B739" s="278">
        <v>44232</v>
      </c>
      <c r="C739" s="249">
        <v>44105</v>
      </c>
      <c r="D739" s="255" t="s">
        <v>104</v>
      </c>
      <c r="E739" s="255" t="s">
        <v>104</v>
      </c>
      <c r="F739" s="258">
        <v>25</v>
      </c>
      <c r="G739" s="252" t="s">
        <v>3410</v>
      </c>
      <c r="H739" s="255" t="s">
        <v>104</v>
      </c>
      <c r="I739" s="250" t="s">
        <v>465</v>
      </c>
      <c r="J739" s="250" t="s">
        <v>114</v>
      </c>
      <c r="K739" s="250" t="s">
        <v>466</v>
      </c>
      <c r="L739" s="250" t="s">
        <v>467</v>
      </c>
      <c r="M739" s="279">
        <v>2205</v>
      </c>
      <c r="N739" s="278">
        <v>44232</v>
      </c>
      <c r="O739" s="329" t="s">
        <v>70</v>
      </c>
      <c r="P739" s="386">
        <f t="shared" ref="P739:Q739" si="736">IF(B739=0,0,IF(YEAR(B739)=$Q$1,MONTH(B739)-$P$1+1,(YEAR(B739)-$Q$1)*12-$P$1+1+MONTH(B739)))</f>
        <v>2</v>
      </c>
      <c r="Q739" s="330">
        <f t="shared" si="736"/>
        <v>-2</v>
      </c>
      <c r="R739" s="351" t="str">
        <f t="shared" si="3"/>
        <v>Gastos_custeados_por_captação</v>
      </c>
      <c r="S739" s="351" t="str">
        <f>IF(D739="","",IF(OR(D739=Plano!$A$1,D739=Plano!$B$1),"entrada","saída"))</f>
        <v>saída</v>
      </c>
      <c r="T739" s="334" t="s">
        <v>114</v>
      </c>
      <c r="U739" s="334" t="s">
        <v>114</v>
      </c>
      <c r="V739" s="269"/>
      <c r="W739" s="269"/>
    </row>
    <row r="740" spans="1:23" ht="69.75" customHeight="1" x14ac:dyDescent="0.2">
      <c r="A740" s="277">
        <f t="shared" si="0"/>
        <v>736</v>
      </c>
      <c r="B740" s="278">
        <v>44232</v>
      </c>
      <c r="C740" s="249">
        <v>44105</v>
      </c>
      <c r="D740" s="255" t="s">
        <v>104</v>
      </c>
      <c r="E740" s="255" t="s">
        <v>104</v>
      </c>
      <c r="F740" s="251">
        <v>175</v>
      </c>
      <c r="G740" s="250" t="s">
        <v>3411</v>
      </c>
      <c r="H740" s="255" t="s">
        <v>104</v>
      </c>
      <c r="I740" s="250" t="s">
        <v>465</v>
      </c>
      <c r="J740" s="250" t="s">
        <v>114</v>
      </c>
      <c r="K740" s="250" t="s">
        <v>466</v>
      </c>
      <c r="L740" s="250" t="s">
        <v>467</v>
      </c>
      <c r="M740" s="279">
        <v>2206</v>
      </c>
      <c r="N740" s="278">
        <v>44232</v>
      </c>
      <c r="O740" s="329" t="s">
        <v>70</v>
      </c>
      <c r="P740" s="386">
        <f t="shared" ref="P740:Q740" si="737">IF(B740=0,0,IF(YEAR(B740)=$Q$1,MONTH(B740)-$P$1+1,(YEAR(B740)-$Q$1)*12-$P$1+1+MONTH(B740)))</f>
        <v>2</v>
      </c>
      <c r="Q740" s="330">
        <f t="shared" si="737"/>
        <v>-2</v>
      </c>
      <c r="R740" s="351" t="str">
        <f t="shared" si="3"/>
        <v>Gastos_custeados_por_captação</v>
      </c>
      <c r="S740" s="351" t="str">
        <f>IF(D740="","",IF(OR(D740=Plano!$A$1,D740=Plano!$B$1),"entrada","saída"))</f>
        <v>saída</v>
      </c>
      <c r="T740" s="334" t="s">
        <v>114</v>
      </c>
      <c r="U740" s="334" t="s">
        <v>114</v>
      </c>
      <c r="V740" s="269"/>
      <c r="W740" s="269"/>
    </row>
    <row r="741" spans="1:23" ht="69.75" customHeight="1" x14ac:dyDescent="0.2">
      <c r="A741" s="277">
        <f t="shared" si="0"/>
        <v>737</v>
      </c>
      <c r="B741" s="278">
        <v>44232</v>
      </c>
      <c r="C741" s="249">
        <v>44105</v>
      </c>
      <c r="D741" s="255" t="s">
        <v>104</v>
      </c>
      <c r="E741" s="255" t="s">
        <v>104</v>
      </c>
      <c r="F741" s="251">
        <v>25</v>
      </c>
      <c r="G741" s="250" t="s">
        <v>3412</v>
      </c>
      <c r="H741" s="255" t="s">
        <v>104</v>
      </c>
      <c r="I741" s="250" t="s">
        <v>465</v>
      </c>
      <c r="J741" s="250" t="s">
        <v>114</v>
      </c>
      <c r="K741" s="250" t="s">
        <v>466</v>
      </c>
      <c r="L741" s="250" t="s">
        <v>467</v>
      </c>
      <c r="M741" s="279">
        <v>2207</v>
      </c>
      <c r="N741" s="278">
        <v>44232</v>
      </c>
      <c r="O741" s="329" t="s">
        <v>70</v>
      </c>
      <c r="P741" s="386">
        <f t="shared" ref="P741:Q741" si="738">IF(B741=0,0,IF(YEAR(B741)=$Q$1,MONTH(B741)-$P$1+1,(YEAR(B741)-$Q$1)*12-$P$1+1+MONTH(B741)))</f>
        <v>2</v>
      </c>
      <c r="Q741" s="330">
        <f t="shared" si="738"/>
        <v>-2</v>
      </c>
      <c r="R741" s="351" t="str">
        <f t="shared" si="3"/>
        <v>Gastos_custeados_por_captação</v>
      </c>
      <c r="S741" s="351" t="str">
        <f>IF(D741="","",IF(OR(D741=Plano!$A$1,D741=Plano!$B$1),"entrada","saída"))</f>
        <v>saída</v>
      </c>
      <c r="T741" s="334" t="s">
        <v>114</v>
      </c>
      <c r="U741" s="334" t="s">
        <v>114</v>
      </c>
      <c r="V741" s="269"/>
      <c r="W741" s="269"/>
    </row>
    <row r="742" spans="1:23" ht="69.75" customHeight="1" x14ac:dyDescent="0.2">
      <c r="A742" s="277">
        <f t="shared" si="0"/>
        <v>738</v>
      </c>
      <c r="B742" s="278">
        <v>44232</v>
      </c>
      <c r="C742" s="249">
        <v>44105</v>
      </c>
      <c r="D742" s="255" t="s">
        <v>104</v>
      </c>
      <c r="E742" s="255" t="s">
        <v>104</v>
      </c>
      <c r="F742" s="258">
        <v>100</v>
      </c>
      <c r="G742" s="252" t="s">
        <v>3413</v>
      </c>
      <c r="H742" s="255" t="s">
        <v>104</v>
      </c>
      <c r="I742" s="250" t="s">
        <v>465</v>
      </c>
      <c r="J742" s="250" t="s">
        <v>114</v>
      </c>
      <c r="K742" s="250" t="s">
        <v>466</v>
      </c>
      <c r="L742" s="250" t="s">
        <v>467</v>
      </c>
      <c r="M742" s="279">
        <v>2208</v>
      </c>
      <c r="N742" s="278">
        <v>44232</v>
      </c>
      <c r="O742" s="329" t="s">
        <v>70</v>
      </c>
      <c r="P742" s="386">
        <f t="shared" ref="P742:Q742" si="739">IF(B742=0,0,IF(YEAR(B742)=$Q$1,MONTH(B742)-$P$1+1,(YEAR(B742)-$Q$1)*12-$P$1+1+MONTH(B742)))</f>
        <v>2</v>
      </c>
      <c r="Q742" s="330">
        <f t="shared" si="739"/>
        <v>-2</v>
      </c>
      <c r="R742" s="351" t="str">
        <f t="shared" si="3"/>
        <v>Gastos_custeados_por_captação</v>
      </c>
      <c r="S742" s="351" t="str">
        <f>IF(D742="","",IF(OR(D742=Plano!$A$1,D742=Plano!$B$1),"entrada","saída"))</f>
        <v>saída</v>
      </c>
      <c r="T742" s="334" t="s">
        <v>114</v>
      </c>
      <c r="U742" s="334" t="s">
        <v>114</v>
      </c>
      <c r="V742" s="269"/>
      <c r="W742" s="269"/>
    </row>
    <row r="743" spans="1:23" ht="69.75" customHeight="1" x14ac:dyDescent="0.2">
      <c r="A743" s="277">
        <f t="shared" si="0"/>
        <v>739</v>
      </c>
      <c r="B743" s="278">
        <v>44232</v>
      </c>
      <c r="C743" s="249">
        <v>44105</v>
      </c>
      <c r="D743" s="255" t="s">
        <v>104</v>
      </c>
      <c r="E743" s="255" t="s">
        <v>104</v>
      </c>
      <c r="F743" s="258">
        <v>150.75</v>
      </c>
      <c r="G743" s="252" t="s">
        <v>3414</v>
      </c>
      <c r="H743" s="255" t="s">
        <v>104</v>
      </c>
      <c r="I743" s="250" t="s">
        <v>465</v>
      </c>
      <c r="J743" s="250" t="s">
        <v>114</v>
      </c>
      <c r="K743" s="250" t="s">
        <v>466</v>
      </c>
      <c r="L743" s="250" t="s">
        <v>467</v>
      </c>
      <c r="M743" s="279">
        <v>2212</v>
      </c>
      <c r="N743" s="278">
        <v>44232</v>
      </c>
      <c r="O743" s="329" t="s">
        <v>70</v>
      </c>
      <c r="P743" s="386">
        <f t="shared" ref="P743:Q743" si="740">IF(B743=0,0,IF(YEAR(B743)=$Q$1,MONTH(B743)-$P$1+1,(YEAR(B743)-$Q$1)*12-$P$1+1+MONTH(B743)))</f>
        <v>2</v>
      </c>
      <c r="Q743" s="330">
        <f t="shared" si="740"/>
        <v>-2</v>
      </c>
      <c r="R743" s="351" t="str">
        <f t="shared" si="3"/>
        <v>Gastos_custeados_por_captação</v>
      </c>
      <c r="S743" s="351" t="str">
        <f>IF(D743="","",IF(OR(D743=Plano!$A$1,D743=Plano!$B$1),"entrada","saída"))</f>
        <v>saída</v>
      </c>
      <c r="T743" s="334" t="s">
        <v>114</v>
      </c>
      <c r="U743" s="334" t="s">
        <v>114</v>
      </c>
      <c r="V743" s="269"/>
      <c r="W743" s="269"/>
    </row>
    <row r="744" spans="1:23" ht="69.75" customHeight="1" x14ac:dyDescent="0.2">
      <c r="A744" s="277">
        <f t="shared" si="0"/>
        <v>740</v>
      </c>
      <c r="B744" s="278">
        <v>44232</v>
      </c>
      <c r="C744" s="249">
        <v>44105</v>
      </c>
      <c r="D744" s="255" t="s">
        <v>104</v>
      </c>
      <c r="E744" s="255" t="s">
        <v>104</v>
      </c>
      <c r="F744" s="258">
        <v>20.100000000000001</v>
      </c>
      <c r="G744" s="252" t="s">
        <v>3415</v>
      </c>
      <c r="H744" s="255" t="s">
        <v>104</v>
      </c>
      <c r="I744" s="250" t="s">
        <v>465</v>
      </c>
      <c r="J744" s="250" t="s">
        <v>114</v>
      </c>
      <c r="K744" s="250" t="s">
        <v>466</v>
      </c>
      <c r="L744" s="250" t="s">
        <v>467</v>
      </c>
      <c r="M744" s="279">
        <v>2214</v>
      </c>
      <c r="N744" s="278">
        <v>44232</v>
      </c>
      <c r="O744" s="329" t="s">
        <v>70</v>
      </c>
      <c r="P744" s="386">
        <f t="shared" ref="P744:Q744" si="741">IF(B744=0,0,IF(YEAR(B744)=$Q$1,MONTH(B744)-$P$1+1,(YEAR(B744)-$Q$1)*12-$P$1+1+MONTH(B744)))</f>
        <v>2</v>
      </c>
      <c r="Q744" s="330">
        <f t="shared" si="741"/>
        <v>-2</v>
      </c>
      <c r="R744" s="351" t="str">
        <f t="shared" si="3"/>
        <v>Gastos_custeados_por_captação</v>
      </c>
      <c r="S744" s="351" t="str">
        <f>IF(D744="","",IF(OR(D744=Plano!$A$1,D744=Plano!$B$1),"entrada","saída"))</f>
        <v>saída</v>
      </c>
      <c r="T744" s="334" t="s">
        <v>114</v>
      </c>
      <c r="U744" s="334" t="s">
        <v>114</v>
      </c>
      <c r="V744" s="269"/>
      <c r="W744" s="269"/>
    </row>
    <row r="745" spans="1:23" ht="69.75" customHeight="1" x14ac:dyDescent="0.2">
      <c r="A745" s="277">
        <f t="shared" si="0"/>
        <v>741</v>
      </c>
      <c r="B745" s="278">
        <v>44232</v>
      </c>
      <c r="C745" s="249">
        <v>44105</v>
      </c>
      <c r="D745" s="255" t="s">
        <v>104</v>
      </c>
      <c r="E745" s="255" t="s">
        <v>104</v>
      </c>
      <c r="F745" s="258">
        <v>120.6</v>
      </c>
      <c r="G745" s="252" t="s">
        <v>3416</v>
      </c>
      <c r="H745" s="255" t="s">
        <v>104</v>
      </c>
      <c r="I745" s="250" t="s">
        <v>465</v>
      </c>
      <c r="J745" s="250" t="s">
        <v>114</v>
      </c>
      <c r="K745" s="250" t="s">
        <v>466</v>
      </c>
      <c r="L745" s="250" t="s">
        <v>467</v>
      </c>
      <c r="M745" s="279">
        <v>2216</v>
      </c>
      <c r="N745" s="278">
        <v>44232</v>
      </c>
      <c r="O745" s="329" t="s">
        <v>70</v>
      </c>
      <c r="P745" s="386">
        <f t="shared" ref="P745:Q745" si="742">IF(B745=0,0,IF(YEAR(B745)=$Q$1,MONTH(B745)-$P$1+1,(YEAR(B745)-$Q$1)*12-$P$1+1+MONTH(B745)))</f>
        <v>2</v>
      </c>
      <c r="Q745" s="330">
        <f t="shared" si="742"/>
        <v>-2</v>
      </c>
      <c r="R745" s="351" t="str">
        <f t="shared" si="3"/>
        <v>Gastos_custeados_por_captação</v>
      </c>
      <c r="S745" s="351" t="str">
        <f>IF(D745="","",IF(OR(D745=Plano!$A$1,D745=Plano!$B$1),"entrada","saída"))</f>
        <v>saída</v>
      </c>
      <c r="T745" s="334" t="s">
        <v>114</v>
      </c>
      <c r="U745" s="334" t="s">
        <v>114</v>
      </c>
      <c r="V745" s="269"/>
      <c r="W745" s="269"/>
    </row>
    <row r="746" spans="1:23" ht="69.75" customHeight="1" x14ac:dyDescent="0.2">
      <c r="A746" s="277">
        <f t="shared" si="0"/>
        <v>742</v>
      </c>
      <c r="B746" s="278">
        <v>44232</v>
      </c>
      <c r="C746" s="249">
        <v>44105</v>
      </c>
      <c r="D746" s="255" t="s">
        <v>104</v>
      </c>
      <c r="E746" s="255" t="s">
        <v>104</v>
      </c>
      <c r="F746" s="258">
        <v>603</v>
      </c>
      <c r="G746" s="255" t="s">
        <v>3417</v>
      </c>
      <c r="H746" s="255" t="s">
        <v>104</v>
      </c>
      <c r="I746" s="250" t="s">
        <v>465</v>
      </c>
      <c r="J746" s="250" t="s">
        <v>114</v>
      </c>
      <c r="K746" s="250" t="s">
        <v>466</v>
      </c>
      <c r="L746" s="250" t="s">
        <v>467</v>
      </c>
      <c r="M746" s="279">
        <v>2218</v>
      </c>
      <c r="N746" s="278">
        <v>44232</v>
      </c>
      <c r="O746" s="329" t="s">
        <v>70</v>
      </c>
      <c r="P746" s="386">
        <f t="shared" ref="P746:Q746" si="743">IF(B746=0,0,IF(YEAR(B746)=$Q$1,MONTH(B746)-$P$1+1,(YEAR(B746)-$Q$1)*12-$P$1+1+MONTH(B746)))</f>
        <v>2</v>
      </c>
      <c r="Q746" s="330">
        <f t="shared" si="743"/>
        <v>-2</v>
      </c>
      <c r="R746" s="351" t="str">
        <f t="shared" si="3"/>
        <v>Gastos_custeados_por_captação</v>
      </c>
      <c r="S746" s="351" t="str">
        <f>IF(D746="","",IF(OR(D746=Plano!$A$1,D746=Plano!$B$1),"entrada","saída"))</f>
        <v>saída</v>
      </c>
      <c r="T746" s="334" t="s">
        <v>114</v>
      </c>
      <c r="U746" s="334" t="s">
        <v>114</v>
      </c>
      <c r="V746" s="269"/>
      <c r="W746" s="269"/>
    </row>
    <row r="747" spans="1:23" ht="146.25" customHeight="1" x14ac:dyDescent="0.2">
      <c r="A747" s="277">
        <f t="shared" si="0"/>
        <v>743</v>
      </c>
      <c r="B747" s="278">
        <v>44235</v>
      </c>
      <c r="C747" s="256">
        <v>44197</v>
      </c>
      <c r="D747" s="255" t="s">
        <v>99</v>
      </c>
      <c r="E747" s="255" t="s">
        <v>330</v>
      </c>
      <c r="F747" s="257">
        <v>237.6</v>
      </c>
      <c r="G747" s="255" t="s">
        <v>692</v>
      </c>
      <c r="H747" s="255" t="s">
        <v>115</v>
      </c>
      <c r="I747" s="250" t="s">
        <v>693</v>
      </c>
      <c r="J747" s="250" t="s">
        <v>694</v>
      </c>
      <c r="K747" s="255" t="s">
        <v>560</v>
      </c>
      <c r="L747" s="250" t="s">
        <v>1016</v>
      </c>
      <c r="M747" s="255">
        <v>27805</v>
      </c>
      <c r="N747" s="278">
        <v>44228</v>
      </c>
      <c r="O747" s="329" t="s">
        <v>67</v>
      </c>
      <c r="P747" s="386">
        <f t="shared" ref="P747:Q747" si="744">IF(B747=0,0,IF(YEAR(B747)=$Q$1,MONTH(B747)-$P$1+1,(YEAR(B747)-$Q$1)*12-$P$1+1+MONTH(B747)))</f>
        <v>2</v>
      </c>
      <c r="Q747" s="330">
        <f t="shared" si="744"/>
        <v>1</v>
      </c>
      <c r="R747" s="351" t="str">
        <f t="shared" si="3"/>
        <v>Gastos_Gerais</v>
      </c>
      <c r="S747" s="351" t="str">
        <f>IF(D747="","",IF(OR(D747=Plano!$A$1,D747=Plano!$B$1),"entrada","saída"))</f>
        <v>saída</v>
      </c>
      <c r="T747" s="334" t="s">
        <v>1059</v>
      </c>
      <c r="U747" s="334">
        <v>1141</v>
      </c>
      <c r="V747" s="269"/>
      <c r="W747" s="269"/>
    </row>
    <row r="748" spans="1:23" ht="153" customHeight="1" x14ac:dyDescent="0.2">
      <c r="A748" s="277">
        <f t="shared" si="0"/>
        <v>744</v>
      </c>
      <c r="B748" s="278">
        <v>44235</v>
      </c>
      <c r="C748" s="256">
        <v>44136</v>
      </c>
      <c r="D748" s="255" t="s">
        <v>104</v>
      </c>
      <c r="E748" s="255" t="s">
        <v>104</v>
      </c>
      <c r="F748" s="251">
        <v>8780.7999999999993</v>
      </c>
      <c r="G748" s="250" t="s">
        <v>3418</v>
      </c>
      <c r="H748" s="255" t="s">
        <v>104</v>
      </c>
      <c r="I748" s="250" t="s">
        <v>1057</v>
      </c>
      <c r="J748" s="252" t="s">
        <v>583</v>
      </c>
      <c r="K748" s="255" t="s">
        <v>1015</v>
      </c>
      <c r="L748" s="250" t="s">
        <v>1016</v>
      </c>
      <c r="M748" s="255" t="s">
        <v>1305</v>
      </c>
      <c r="N748" s="278">
        <v>44232</v>
      </c>
      <c r="O748" s="329" t="s">
        <v>69</v>
      </c>
      <c r="P748" s="386">
        <f t="shared" ref="P748:Q748" si="745">IF(B748=0,0,IF(YEAR(B748)=$Q$1,MONTH(B748)-$P$1+1,(YEAR(B748)-$Q$1)*12-$P$1+1+MONTH(B748)))</f>
        <v>2</v>
      </c>
      <c r="Q748" s="330">
        <f t="shared" si="745"/>
        <v>-1</v>
      </c>
      <c r="R748" s="351" t="str">
        <f t="shared" si="3"/>
        <v>Gastos_custeados_por_captação</v>
      </c>
      <c r="S748" s="351" t="str">
        <f>IF(D748="","",IF(OR(D748=Plano!$A$1,D748=Plano!$B$1),"entrada","saída"))</f>
        <v>saída</v>
      </c>
      <c r="T748" s="334" t="s">
        <v>1059</v>
      </c>
      <c r="U748" s="334">
        <v>837</v>
      </c>
      <c r="V748" s="269"/>
      <c r="W748" s="269"/>
    </row>
    <row r="749" spans="1:23" ht="163.5" customHeight="1" x14ac:dyDescent="0.2">
      <c r="A749" s="277">
        <f t="shared" si="0"/>
        <v>745</v>
      </c>
      <c r="B749" s="278">
        <v>44235</v>
      </c>
      <c r="C749" s="256">
        <v>44197</v>
      </c>
      <c r="D749" s="255" t="s">
        <v>104</v>
      </c>
      <c r="E749" s="255" t="s">
        <v>104</v>
      </c>
      <c r="F749" s="251">
        <v>6859.3</v>
      </c>
      <c r="G749" s="252" t="s">
        <v>3419</v>
      </c>
      <c r="H749" s="255" t="s">
        <v>104</v>
      </c>
      <c r="I749" s="250" t="s">
        <v>1405</v>
      </c>
      <c r="J749" s="252" t="s">
        <v>3420</v>
      </c>
      <c r="K749" s="255" t="s">
        <v>1015</v>
      </c>
      <c r="L749" s="250" t="s">
        <v>1016</v>
      </c>
      <c r="M749" s="255" t="s">
        <v>1017</v>
      </c>
      <c r="N749" s="278">
        <v>44232</v>
      </c>
      <c r="O749" s="329" t="s">
        <v>70</v>
      </c>
      <c r="P749" s="386">
        <f t="shared" ref="P749:Q749" si="746">IF(B749=0,0,IF(YEAR(B749)=$Q$1,MONTH(B749)-$P$1+1,(YEAR(B749)-$Q$1)*12-$P$1+1+MONTH(B749)))</f>
        <v>2</v>
      </c>
      <c r="Q749" s="330">
        <f t="shared" si="746"/>
        <v>1</v>
      </c>
      <c r="R749" s="351" t="str">
        <f t="shared" si="3"/>
        <v>Gastos_custeados_por_captação</v>
      </c>
      <c r="S749" s="351" t="str">
        <f>IF(D749="","",IF(OR(D749=Plano!$A$1,D749=Plano!$B$1),"entrada","saída"))</f>
        <v>saída</v>
      </c>
      <c r="T749" s="334" t="s">
        <v>994</v>
      </c>
      <c r="U749" s="334">
        <v>1282</v>
      </c>
      <c r="V749" s="269"/>
      <c r="W749" s="269"/>
    </row>
    <row r="750" spans="1:23" ht="69.75" customHeight="1" x14ac:dyDescent="0.2">
      <c r="A750" s="277">
        <f t="shared" si="0"/>
        <v>746</v>
      </c>
      <c r="B750" s="278">
        <v>44236</v>
      </c>
      <c r="C750" s="259">
        <v>44197</v>
      </c>
      <c r="D750" s="252" t="s">
        <v>99</v>
      </c>
      <c r="E750" s="252" t="s">
        <v>208</v>
      </c>
      <c r="F750" s="257">
        <v>-1485.24</v>
      </c>
      <c r="G750" s="255" t="s">
        <v>3421</v>
      </c>
      <c r="H750" s="252" t="s">
        <v>115</v>
      </c>
      <c r="I750" s="250" t="s">
        <v>983</v>
      </c>
      <c r="J750" s="255" t="s">
        <v>850</v>
      </c>
      <c r="K750" s="255" t="s">
        <v>1069</v>
      </c>
      <c r="L750" s="250" t="s">
        <v>947</v>
      </c>
      <c r="M750" s="255" t="s">
        <v>114</v>
      </c>
      <c r="N750" s="348">
        <v>44236</v>
      </c>
      <c r="O750" s="394" t="s">
        <v>67</v>
      </c>
      <c r="P750" s="386">
        <f t="shared" ref="P750:Q750" si="747">IF(B750=0,0,IF(YEAR(B750)=$Q$1,MONTH(B750)-$P$1+1,(YEAR(B750)-$Q$1)*12-$P$1+1+MONTH(B750)))</f>
        <v>2</v>
      </c>
      <c r="Q750" s="330">
        <f t="shared" si="747"/>
        <v>1</v>
      </c>
      <c r="R750" s="351" t="str">
        <f t="shared" si="3"/>
        <v>Gastos_Gerais</v>
      </c>
      <c r="S750" s="351" t="str">
        <f>IF(D750="","",IF(OR(D750=Plano!$A$1,D750=Plano!$B$1),"entrada","saída"))</f>
        <v>saída</v>
      </c>
      <c r="T750" s="334" t="s">
        <v>114</v>
      </c>
      <c r="U750" s="334" t="s">
        <v>114</v>
      </c>
      <c r="V750" s="269"/>
      <c r="W750" s="269"/>
    </row>
    <row r="751" spans="1:23" ht="69.75" customHeight="1" x14ac:dyDescent="0.2">
      <c r="A751" s="277">
        <f t="shared" si="0"/>
        <v>747</v>
      </c>
      <c r="B751" s="278">
        <v>44236</v>
      </c>
      <c r="C751" s="256">
        <v>44197</v>
      </c>
      <c r="D751" s="255" t="s">
        <v>99</v>
      </c>
      <c r="E751" s="252" t="s">
        <v>212</v>
      </c>
      <c r="F751" s="257">
        <v>-285.5</v>
      </c>
      <c r="G751" s="255" t="s">
        <v>3422</v>
      </c>
      <c r="H751" s="252" t="s">
        <v>115</v>
      </c>
      <c r="I751" s="250" t="s">
        <v>983</v>
      </c>
      <c r="J751" s="255" t="s">
        <v>850</v>
      </c>
      <c r="K751" s="255" t="s">
        <v>1069</v>
      </c>
      <c r="L751" s="250" t="s">
        <v>947</v>
      </c>
      <c r="M751" s="255" t="s">
        <v>114</v>
      </c>
      <c r="N751" s="348">
        <v>44236</v>
      </c>
      <c r="O751" s="394" t="s">
        <v>67</v>
      </c>
      <c r="P751" s="386">
        <f t="shared" ref="P751:Q751" si="748">IF(B751=0,0,IF(YEAR(B751)=$Q$1,MONTH(B751)-$P$1+1,(YEAR(B751)-$Q$1)*12-$P$1+1+MONTH(B751)))</f>
        <v>2</v>
      </c>
      <c r="Q751" s="330">
        <f t="shared" si="748"/>
        <v>1</v>
      </c>
      <c r="R751" s="351" t="str">
        <f t="shared" si="3"/>
        <v>Gastos_Gerais</v>
      </c>
      <c r="S751" s="351" t="str">
        <f>IF(D751="","",IF(OR(D751=Plano!$A$1,D751=Plano!$B$1),"entrada","saída"))</f>
        <v>saída</v>
      </c>
      <c r="T751" s="334" t="s">
        <v>114</v>
      </c>
      <c r="U751" s="334" t="s">
        <v>114</v>
      </c>
      <c r="V751" s="269"/>
      <c r="W751" s="269"/>
    </row>
    <row r="752" spans="1:23" ht="69.75" customHeight="1" x14ac:dyDescent="0.2">
      <c r="A752" s="277">
        <f t="shared" si="0"/>
        <v>748</v>
      </c>
      <c r="B752" s="278">
        <v>44236</v>
      </c>
      <c r="C752" s="256">
        <v>44197</v>
      </c>
      <c r="D752" s="255" t="s">
        <v>99</v>
      </c>
      <c r="E752" s="252" t="s">
        <v>208</v>
      </c>
      <c r="F752" s="258">
        <v>8809.2800000000007</v>
      </c>
      <c r="G752" s="255" t="s">
        <v>3423</v>
      </c>
      <c r="H752" s="255" t="s">
        <v>115</v>
      </c>
      <c r="I752" s="250" t="s">
        <v>518</v>
      </c>
      <c r="J752" s="252" t="s">
        <v>519</v>
      </c>
      <c r="K752" s="255" t="s">
        <v>560</v>
      </c>
      <c r="L752" s="250" t="s">
        <v>114</v>
      </c>
      <c r="M752" s="252">
        <v>2</v>
      </c>
      <c r="N752" s="348">
        <v>44217</v>
      </c>
      <c r="O752" s="329" t="s">
        <v>67</v>
      </c>
      <c r="P752" s="386">
        <f t="shared" ref="P752:Q752" si="749">IF(B752=0,0,IF(YEAR(B752)=$Q$1,MONTH(B752)-$P$1+1,(YEAR(B752)-$Q$1)*12-$P$1+1+MONTH(B752)))</f>
        <v>2</v>
      </c>
      <c r="Q752" s="330">
        <f t="shared" si="749"/>
        <v>1</v>
      </c>
      <c r="R752" s="351" t="str">
        <f t="shared" si="3"/>
        <v>Gastos_Gerais</v>
      </c>
      <c r="S752" s="351" t="str">
        <f>IF(D752="","",IF(OR(D752=Plano!$A$1,D752=Plano!$B$1),"entrada","saída"))</f>
        <v>saída</v>
      </c>
      <c r="T752" s="334" t="s">
        <v>114</v>
      </c>
      <c r="U752" s="334" t="s">
        <v>114</v>
      </c>
      <c r="V752" s="269"/>
      <c r="W752" s="269"/>
    </row>
    <row r="753" spans="1:23" ht="69.75" customHeight="1" x14ac:dyDescent="0.2">
      <c r="A753" s="277">
        <f t="shared" si="0"/>
        <v>749</v>
      </c>
      <c r="B753" s="278">
        <v>44236</v>
      </c>
      <c r="C753" s="256">
        <v>44197</v>
      </c>
      <c r="D753" s="255" t="s">
        <v>99</v>
      </c>
      <c r="E753" s="252" t="s">
        <v>212</v>
      </c>
      <c r="F753" s="258">
        <v>1693.33</v>
      </c>
      <c r="G753" s="255" t="s">
        <v>3424</v>
      </c>
      <c r="H753" s="255" t="s">
        <v>115</v>
      </c>
      <c r="I753" s="250" t="s">
        <v>518</v>
      </c>
      <c r="J753" s="252" t="s">
        <v>519</v>
      </c>
      <c r="K753" s="255" t="s">
        <v>560</v>
      </c>
      <c r="L753" s="250" t="s">
        <v>947</v>
      </c>
      <c r="M753" s="252" t="s">
        <v>114</v>
      </c>
      <c r="N753" s="278">
        <v>44236</v>
      </c>
      <c r="O753" s="329" t="s">
        <v>67</v>
      </c>
      <c r="P753" s="386">
        <f t="shared" ref="P753:Q753" si="750">IF(B753=0,0,IF(YEAR(B753)=$Q$1,MONTH(B753)-$P$1+1,(YEAR(B753)-$Q$1)*12-$P$1+1+MONTH(B753)))</f>
        <v>2</v>
      </c>
      <c r="Q753" s="330">
        <f t="shared" si="750"/>
        <v>1</v>
      </c>
      <c r="R753" s="351" t="str">
        <f t="shared" si="3"/>
        <v>Gastos_Gerais</v>
      </c>
      <c r="S753" s="351" t="str">
        <f>IF(D753="","",IF(OR(D753=Plano!$A$1,D753=Plano!$B$1),"entrada","saída"))</f>
        <v>saída</v>
      </c>
      <c r="T753" s="334" t="s">
        <v>114</v>
      </c>
      <c r="U753" s="334" t="s">
        <v>114</v>
      </c>
      <c r="V753" s="269"/>
      <c r="W753" s="269"/>
    </row>
    <row r="754" spans="1:23" ht="130.5" customHeight="1" x14ac:dyDescent="0.2">
      <c r="A754" s="277">
        <f t="shared" si="0"/>
        <v>750</v>
      </c>
      <c r="B754" s="278">
        <v>44236</v>
      </c>
      <c r="C754" s="256">
        <v>44197</v>
      </c>
      <c r="D754" s="255" t="s">
        <v>99</v>
      </c>
      <c r="E754" s="255" t="s">
        <v>254</v>
      </c>
      <c r="F754" s="257">
        <v>500</v>
      </c>
      <c r="G754" s="255" t="s">
        <v>651</v>
      </c>
      <c r="H754" s="255" t="s">
        <v>115</v>
      </c>
      <c r="I754" s="250" t="s">
        <v>1135</v>
      </c>
      <c r="J754" s="255" t="s">
        <v>652</v>
      </c>
      <c r="K754" s="255" t="s">
        <v>991</v>
      </c>
      <c r="L754" s="250" t="s">
        <v>1177</v>
      </c>
      <c r="M754" s="255" t="s">
        <v>114</v>
      </c>
      <c r="N754" s="278">
        <v>44231</v>
      </c>
      <c r="O754" s="329" t="s">
        <v>67</v>
      </c>
      <c r="P754" s="386">
        <f t="shared" ref="P754:Q754" si="751">IF(B754=0,0,IF(YEAR(B754)=$Q$1,MONTH(B754)-$P$1+1,(YEAR(B754)-$Q$1)*12-$P$1+1+MONTH(B754)))</f>
        <v>2</v>
      </c>
      <c r="Q754" s="330">
        <f t="shared" si="751"/>
        <v>1</v>
      </c>
      <c r="R754" s="351" t="str">
        <f t="shared" si="3"/>
        <v>Gastos_Gerais</v>
      </c>
      <c r="S754" s="351" t="str">
        <f>IF(D754="","",IF(OR(D754=Plano!$A$1,D754=Plano!$B$1),"entrada","saída"))</f>
        <v>saída</v>
      </c>
      <c r="T754" s="334" t="s">
        <v>1082</v>
      </c>
      <c r="U754" s="334">
        <v>1139</v>
      </c>
      <c r="V754" s="269"/>
      <c r="W754" s="269"/>
    </row>
    <row r="755" spans="1:23" ht="138" customHeight="1" x14ac:dyDescent="0.2">
      <c r="A755" s="277">
        <f t="shared" si="0"/>
        <v>751</v>
      </c>
      <c r="B755" s="278">
        <v>44236</v>
      </c>
      <c r="C755" s="256">
        <v>44197</v>
      </c>
      <c r="D755" s="255" t="s">
        <v>99</v>
      </c>
      <c r="E755" s="255" t="s">
        <v>254</v>
      </c>
      <c r="F755" s="258">
        <v>250</v>
      </c>
      <c r="G755" s="255" t="s">
        <v>651</v>
      </c>
      <c r="H755" s="255" t="s">
        <v>115</v>
      </c>
      <c r="I755" s="250" t="s">
        <v>1135</v>
      </c>
      <c r="J755" s="255" t="s">
        <v>652</v>
      </c>
      <c r="K755" s="255" t="s">
        <v>991</v>
      </c>
      <c r="L755" s="250" t="s">
        <v>1177</v>
      </c>
      <c r="M755" s="255" t="s">
        <v>114</v>
      </c>
      <c r="N755" s="278">
        <v>44231</v>
      </c>
      <c r="O755" s="329" t="s">
        <v>67</v>
      </c>
      <c r="P755" s="386">
        <f t="shared" ref="P755:Q755" si="752">IF(B755=0,0,IF(YEAR(B755)=$Q$1,MONTH(B755)-$P$1+1,(YEAR(B755)-$Q$1)*12-$P$1+1+MONTH(B755)))</f>
        <v>2</v>
      </c>
      <c r="Q755" s="330">
        <f t="shared" si="752"/>
        <v>1</v>
      </c>
      <c r="R755" s="351" t="str">
        <f t="shared" si="3"/>
        <v>Gastos_Gerais</v>
      </c>
      <c r="S755" s="351" t="str">
        <f>IF(D755="","",IF(OR(D755=Plano!$A$1,D755=Plano!$B$1),"entrada","saída"))</f>
        <v>saída</v>
      </c>
      <c r="T755" s="334" t="s">
        <v>1082</v>
      </c>
      <c r="U755" s="334">
        <v>1139</v>
      </c>
      <c r="V755" s="269"/>
      <c r="W755" s="269"/>
    </row>
    <row r="756" spans="1:23" ht="69.75" customHeight="1" x14ac:dyDescent="0.2">
      <c r="A756" s="277">
        <f t="shared" si="0"/>
        <v>752</v>
      </c>
      <c r="B756" s="278">
        <v>44236</v>
      </c>
      <c r="C756" s="256">
        <v>44228</v>
      </c>
      <c r="D756" s="255" t="s">
        <v>99</v>
      </c>
      <c r="E756" s="255" t="s">
        <v>272</v>
      </c>
      <c r="F756" s="258">
        <v>10.45</v>
      </c>
      <c r="G756" s="255" t="s">
        <v>3425</v>
      </c>
      <c r="H756" s="255" t="s">
        <v>115</v>
      </c>
      <c r="I756" s="250" t="s">
        <v>949</v>
      </c>
      <c r="J756" s="255" t="s">
        <v>950</v>
      </c>
      <c r="K756" s="255" t="s">
        <v>951</v>
      </c>
      <c r="L756" s="250" t="s">
        <v>947</v>
      </c>
      <c r="M756" s="279" t="s">
        <v>114</v>
      </c>
      <c r="N756" s="278">
        <v>44236</v>
      </c>
      <c r="O756" s="329" t="s">
        <v>67</v>
      </c>
      <c r="P756" s="386">
        <f t="shared" ref="P756:Q756" si="753">IF(B756=0,0,IF(YEAR(B756)=$Q$1,MONTH(B756)-$P$1+1,(YEAR(B756)-$Q$1)*12-$P$1+1+MONTH(B756)))</f>
        <v>2</v>
      </c>
      <c r="Q756" s="330">
        <f t="shared" si="753"/>
        <v>2</v>
      </c>
      <c r="R756" s="351" t="str">
        <f t="shared" si="3"/>
        <v>Gastos_Gerais</v>
      </c>
      <c r="S756" s="351" t="str">
        <f>IF(D756="","",IF(OR(D756=Plano!$A$1,D756=Plano!$B$1),"entrada","saída"))</f>
        <v>saída</v>
      </c>
      <c r="T756" s="334" t="s">
        <v>114</v>
      </c>
      <c r="U756" s="334" t="s">
        <v>114</v>
      </c>
      <c r="V756" s="269"/>
      <c r="W756" s="269"/>
    </row>
    <row r="757" spans="1:23" ht="69.75" customHeight="1" x14ac:dyDescent="0.2">
      <c r="A757" s="277">
        <f t="shared" si="0"/>
        <v>753</v>
      </c>
      <c r="B757" s="278">
        <v>44236</v>
      </c>
      <c r="C757" s="256">
        <v>44228</v>
      </c>
      <c r="D757" s="255" t="s">
        <v>99</v>
      </c>
      <c r="E757" s="255" t="s">
        <v>272</v>
      </c>
      <c r="F757" s="258">
        <v>10.45</v>
      </c>
      <c r="G757" s="255" t="s">
        <v>1149</v>
      </c>
      <c r="H757" s="255" t="s">
        <v>115</v>
      </c>
      <c r="I757" s="250" t="s">
        <v>949</v>
      </c>
      <c r="J757" s="255" t="s">
        <v>950</v>
      </c>
      <c r="K757" s="255" t="s">
        <v>951</v>
      </c>
      <c r="L757" s="250" t="s">
        <v>947</v>
      </c>
      <c r="M757" s="279" t="s">
        <v>114</v>
      </c>
      <c r="N757" s="278">
        <v>44236</v>
      </c>
      <c r="O757" s="329" t="s">
        <v>67</v>
      </c>
      <c r="P757" s="386">
        <f t="shared" ref="P757:Q757" si="754">IF(B757=0,0,IF(YEAR(B757)=$Q$1,MONTH(B757)-$P$1+1,(YEAR(B757)-$Q$1)*12-$P$1+1+MONTH(B757)))</f>
        <v>2</v>
      </c>
      <c r="Q757" s="330">
        <f t="shared" si="754"/>
        <v>2</v>
      </c>
      <c r="R757" s="351" t="str">
        <f t="shared" si="3"/>
        <v>Gastos_Gerais</v>
      </c>
      <c r="S757" s="351" t="str">
        <f>IF(D757="","",IF(OR(D757=Plano!$A$1,D757=Plano!$B$1),"entrada","saída"))</f>
        <v>saída</v>
      </c>
      <c r="T757" s="334" t="s">
        <v>114</v>
      </c>
      <c r="U757" s="334" t="s">
        <v>114</v>
      </c>
      <c r="V757" s="269"/>
      <c r="W757" s="269"/>
    </row>
    <row r="758" spans="1:23" ht="69.75" customHeight="1" x14ac:dyDescent="0.2">
      <c r="A758" s="277">
        <f t="shared" si="0"/>
        <v>754</v>
      </c>
      <c r="B758" s="278">
        <v>44237</v>
      </c>
      <c r="C758" s="256">
        <v>44197</v>
      </c>
      <c r="D758" s="255" t="s">
        <v>99</v>
      </c>
      <c r="E758" s="255" t="s">
        <v>266</v>
      </c>
      <c r="F758" s="258">
        <v>-131.18</v>
      </c>
      <c r="G758" s="255" t="s">
        <v>3426</v>
      </c>
      <c r="H758" s="255" t="s">
        <v>115</v>
      </c>
      <c r="I758" s="250" t="s">
        <v>983</v>
      </c>
      <c r="J758" s="255" t="s">
        <v>850</v>
      </c>
      <c r="K758" s="255" t="s">
        <v>946</v>
      </c>
      <c r="L758" s="250" t="s">
        <v>947</v>
      </c>
      <c r="M758" s="255" t="s">
        <v>114</v>
      </c>
      <c r="N758" s="278">
        <v>44237</v>
      </c>
      <c r="O758" s="329" t="s">
        <v>67</v>
      </c>
      <c r="P758" s="386">
        <f t="shared" ref="P758:Q758" si="755">IF(B758=0,0,IF(YEAR(B758)=$Q$1,MONTH(B758)-$P$1+1,(YEAR(B758)-$Q$1)*12-$P$1+1+MONTH(B758)))</f>
        <v>2</v>
      </c>
      <c r="Q758" s="330">
        <f t="shared" si="755"/>
        <v>1</v>
      </c>
      <c r="R758" s="351" t="str">
        <f t="shared" si="3"/>
        <v>Gastos_Gerais</v>
      </c>
      <c r="S758" s="351" t="str">
        <f>IF(D758="","",IF(OR(D758=Plano!$A$1,D758=Plano!$B$1),"entrada","saída"))</f>
        <v>saída</v>
      </c>
      <c r="T758" s="334" t="s">
        <v>114</v>
      </c>
      <c r="U758" s="334" t="s">
        <v>114</v>
      </c>
      <c r="V758" s="269"/>
      <c r="W758" s="269"/>
    </row>
    <row r="759" spans="1:23" ht="69.75" customHeight="1" x14ac:dyDescent="0.2">
      <c r="A759" s="277">
        <f t="shared" si="0"/>
        <v>755</v>
      </c>
      <c r="B759" s="278">
        <v>44237</v>
      </c>
      <c r="C759" s="256">
        <v>44197</v>
      </c>
      <c r="D759" s="255" t="s">
        <v>99</v>
      </c>
      <c r="E759" s="255" t="s">
        <v>246</v>
      </c>
      <c r="F759" s="258">
        <v>-176.46</v>
      </c>
      <c r="G759" s="255" t="s">
        <v>3427</v>
      </c>
      <c r="H759" s="255" t="s">
        <v>115</v>
      </c>
      <c r="I759" s="250" t="s">
        <v>983</v>
      </c>
      <c r="J759" s="255" t="s">
        <v>850</v>
      </c>
      <c r="K759" s="255" t="s">
        <v>946</v>
      </c>
      <c r="L759" s="250" t="s">
        <v>947</v>
      </c>
      <c r="M759" s="255" t="s">
        <v>114</v>
      </c>
      <c r="N759" s="278">
        <v>44237</v>
      </c>
      <c r="O759" s="329" t="s">
        <v>67</v>
      </c>
      <c r="P759" s="386">
        <f t="shared" ref="P759:Q759" si="756">IF(B759=0,0,IF(YEAR(B759)=$Q$1,MONTH(B759)-$P$1+1,(YEAR(B759)-$Q$1)*12-$P$1+1+MONTH(B759)))</f>
        <v>2</v>
      </c>
      <c r="Q759" s="330">
        <f t="shared" si="756"/>
        <v>1</v>
      </c>
      <c r="R759" s="351" t="str">
        <f t="shared" si="3"/>
        <v>Gastos_Gerais</v>
      </c>
      <c r="S759" s="351" t="str">
        <f>IF(D759="","",IF(OR(D759=Plano!$A$1,D759=Plano!$B$1),"entrada","saída"))</f>
        <v>saída</v>
      </c>
      <c r="T759" s="334" t="s">
        <v>114</v>
      </c>
      <c r="U759" s="334" t="s">
        <v>114</v>
      </c>
      <c r="V759" s="269"/>
      <c r="W759" s="269"/>
    </row>
    <row r="760" spans="1:23" ht="201.75" customHeight="1" x14ac:dyDescent="0.2">
      <c r="A760" s="277">
        <f t="shared" si="0"/>
        <v>756</v>
      </c>
      <c r="B760" s="278">
        <v>44237</v>
      </c>
      <c r="C760" s="249">
        <v>44197</v>
      </c>
      <c r="D760" s="250" t="s">
        <v>99</v>
      </c>
      <c r="E760" s="250" t="s">
        <v>224</v>
      </c>
      <c r="F760" s="251">
        <v>49.99</v>
      </c>
      <c r="G760" s="255" t="s">
        <v>642</v>
      </c>
      <c r="H760" s="250" t="s">
        <v>130</v>
      </c>
      <c r="I760" s="250" t="s">
        <v>1374</v>
      </c>
      <c r="J760" s="250" t="s">
        <v>644</v>
      </c>
      <c r="K760" s="255" t="s">
        <v>1375</v>
      </c>
      <c r="L760" s="250" t="s">
        <v>697</v>
      </c>
      <c r="M760" s="388">
        <v>2101954715950</v>
      </c>
      <c r="N760" s="278">
        <v>44212</v>
      </c>
      <c r="O760" s="329" t="s">
        <v>67</v>
      </c>
      <c r="P760" s="386">
        <f t="shared" ref="P760:Q760" si="757">IF(B760=0,0,IF(YEAR(B760)=$Q$1,MONTH(B760)-$P$1+1,(YEAR(B760)-$Q$1)*12-$P$1+1+MONTH(B760)))</f>
        <v>2</v>
      </c>
      <c r="Q760" s="330">
        <f t="shared" si="757"/>
        <v>1</v>
      </c>
      <c r="R760" s="351" t="str">
        <f t="shared" si="3"/>
        <v>Gastos_Gerais</v>
      </c>
      <c r="S760" s="351" t="str">
        <f>IF(D760="","",IF(OR(D760=Plano!$A$1,D760=Plano!$B$1),"entrada","saída"))</f>
        <v>saída</v>
      </c>
      <c r="T760" s="334" t="s">
        <v>1059</v>
      </c>
      <c r="U760" s="334">
        <v>277</v>
      </c>
      <c r="V760" s="269"/>
      <c r="W760" s="269"/>
    </row>
    <row r="761" spans="1:23" ht="134.25" customHeight="1" x14ac:dyDescent="0.2">
      <c r="A761" s="277">
        <f t="shared" si="0"/>
        <v>757</v>
      </c>
      <c r="B761" s="278">
        <v>44237</v>
      </c>
      <c r="C761" s="249">
        <v>44197</v>
      </c>
      <c r="D761" s="250" t="s">
        <v>99</v>
      </c>
      <c r="E761" s="250" t="s">
        <v>266</v>
      </c>
      <c r="F761" s="251">
        <v>255.72</v>
      </c>
      <c r="G761" s="255" t="s">
        <v>2877</v>
      </c>
      <c r="H761" s="250" t="s">
        <v>115</v>
      </c>
      <c r="I761" s="250" t="s">
        <v>1372</v>
      </c>
      <c r="J761" s="250" t="s">
        <v>482</v>
      </c>
      <c r="K761" s="255" t="s">
        <v>560</v>
      </c>
      <c r="L761" s="250" t="s">
        <v>1016</v>
      </c>
      <c r="M761" s="255" t="s">
        <v>1546</v>
      </c>
      <c r="N761" s="278">
        <v>44203</v>
      </c>
      <c r="O761" s="329" t="s">
        <v>67</v>
      </c>
      <c r="P761" s="386">
        <f t="shared" ref="P761:Q761" si="758">IF(B761=0,0,IF(YEAR(B761)=$Q$1,MONTH(B761)-$P$1+1,(YEAR(B761)-$Q$1)*12-$P$1+1+MONTH(B761)))</f>
        <v>2</v>
      </c>
      <c r="Q761" s="330">
        <f t="shared" si="758"/>
        <v>1</v>
      </c>
      <c r="R761" s="351" t="str">
        <f t="shared" si="3"/>
        <v>Gastos_Gerais</v>
      </c>
      <c r="S761" s="351" t="str">
        <f>IF(D761="","",IF(OR(D761=Plano!$A$1,D761=Plano!$B$1),"entrada","saída"))</f>
        <v>saída</v>
      </c>
      <c r="T761" s="334" t="s">
        <v>1082</v>
      </c>
      <c r="U761" s="334">
        <v>1133</v>
      </c>
      <c r="V761" s="269"/>
      <c r="W761" s="269"/>
    </row>
    <row r="762" spans="1:23" ht="117" customHeight="1" x14ac:dyDescent="0.2">
      <c r="A762" s="277">
        <f t="shared" si="0"/>
        <v>758</v>
      </c>
      <c r="B762" s="278">
        <v>44237</v>
      </c>
      <c r="C762" s="249">
        <v>44197</v>
      </c>
      <c r="D762" s="250" t="s">
        <v>99</v>
      </c>
      <c r="E762" s="250" t="s">
        <v>246</v>
      </c>
      <c r="F762" s="251">
        <v>600</v>
      </c>
      <c r="G762" s="255" t="s">
        <v>2879</v>
      </c>
      <c r="H762" s="250" t="s">
        <v>115</v>
      </c>
      <c r="I762" s="250" t="s">
        <v>1370</v>
      </c>
      <c r="J762" s="250" t="s">
        <v>2880</v>
      </c>
      <c r="K762" s="255" t="s">
        <v>991</v>
      </c>
      <c r="L762" s="250" t="s">
        <v>1016</v>
      </c>
      <c r="M762" s="255" t="s">
        <v>1211</v>
      </c>
      <c r="N762" s="278">
        <v>44230</v>
      </c>
      <c r="O762" s="329" t="s">
        <v>67</v>
      </c>
      <c r="P762" s="386">
        <f t="shared" ref="P762:Q762" si="759">IF(B762=0,0,IF(YEAR(B762)=$Q$1,MONTH(B762)-$P$1+1,(YEAR(B762)-$Q$1)*12-$P$1+1+MONTH(B762)))</f>
        <v>2</v>
      </c>
      <c r="Q762" s="330">
        <f t="shared" si="759"/>
        <v>1</v>
      </c>
      <c r="R762" s="351" t="str">
        <f t="shared" si="3"/>
        <v>Gastos_Gerais</v>
      </c>
      <c r="S762" s="351" t="str">
        <f>IF(D762="","",IF(OR(D762=Plano!$A$1,D762=Plano!$B$1),"entrada","saída"))</f>
        <v>saída</v>
      </c>
      <c r="T762" s="334" t="s">
        <v>1059</v>
      </c>
      <c r="U762" s="334">
        <v>1144</v>
      </c>
      <c r="V762" s="269"/>
      <c r="W762" s="269"/>
    </row>
    <row r="763" spans="1:23" ht="69.75" customHeight="1" x14ac:dyDescent="0.2">
      <c r="A763" s="277">
        <f t="shared" si="0"/>
        <v>759</v>
      </c>
      <c r="B763" s="278">
        <v>44237</v>
      </c>
      <c r="C763" s="256">
        <v>44197</v>
      </c>
      <c r="D763" s="255" t="s">
        <v>99</v>
      </c>
      <c r="E763" s="255" t="s">
        <v>216</v>
      </c>
      <c r="F763" s="258">
        <v>120.84</v>
      </c>
      <c r="G763" s="255" t="s">
        <v>3428</v>
      </c>
      <c r="H763" s="255" t="s">
        <v>129</v>
      </c>
      <c r="I763" s="250" t="s">
        <v>513</v>
      </c>
      <c r="J763" s="250" t="s">
        <v>514</v>
      </c>
      <c r="K763" s="250" t="s">
        <v>696</v>
      </c>
      <c r="L763" s="250" t="s">
        <v>1016</v>
      </c>
      <c r="M763" s="255" t="s">
        <v>114</v>
      </c>
      <c r="N763" s="278">
        <v>44214</v>
      </c>
      <c r="O763" s="329" t="s">
        <v>67</v>
      </c>
      <c r="P763" s="386">
        <f t="shared" ref="P763:Q763" si="760">IF(B763=0,0,IF(YEAR(B763)=$Q$1,MONTH(B763)-$P$1+1,(YEAR(B763)-$Q$1)*12-$P$1+1+MONTH(B763)))</f>
        <v>2</v>
      </c>
      <c r="Q763" s="330">
        <f t="shared" si="760"/>
        <v>1</v>
      </c>
      <c r="R763" s="351" t="str">
        <f t="shared" si="3"/>
        <v>Gastos_Gerais</v>
      </c>
      <c r="S763" s="351" t="str">
        <f>IF(D763="","",IF(OR(D763=Plano!$A$1,D763=Plano!$B$1),"entrada","saída"))</f>
        <v>saída</v>
      </c>
      <c r="T763" s="334" t="s">
        <v>114</v>
      </c>
      <c r="U763" s="334" t="s">
        <v>114</v>
      </c>
      <c r="V763" s="269"/>
      <c r="W763" s="269"/>
    </row>
    <row r="764" spans="1:23" ht="163.5" customHeight="1" x14ac:dyDescent="0.2">
      <c r="A764" s="277">
        <f t="shared" si="0"/>
        <v>760</v>
      </c>
      <c r="B764" s="278">
        <v>44237</v>
      </c>
      <c r="C764" s="249">
        <v>44197</v>
      </c>
      <c r="D764" s="250" t="s">
        <v>99</v>
      </c>
      <c r="E764" s="250" t="s">
        <v>352</v>
      </c>
      <c r="F764" s="251">
        <v>4899.5</v>
      </c>
      <c r="G764" s="255" t="s">
        <v>3429</v>
      </c>
      <c r="H764" s="250" t="s">
        <v>126</v>
      </c>
      <c r="I764" s="250" t="s">
        <v>3430</v>
      </c>
      <c r="J764" s="250" t="s">
        <v>3431</v>
      </c>
      <c r="K764" s="255" t="s">
        <v>991</v>
      </c>
      <c r="L764" s="250" t="s">
        <v>1016</v>
      </c>
      <c r="M764" s="255" t="s">
        <v>2429</v>
      </c>
      <c r="N764" s="278">
        <v>44271</v>
      </c>
      <c r="O764" s="329" t="s">
        <v>67</v>
      </c>
      <c r="P764" s="386">
        <f t="shared" ref="P764:Q764" si="761">IF(B764=0,0,IF(YEAR(B764)=$Q$1,MONTH(B764)-$P$1+1,(YEAR(B764)-$Q$1)*12-$P$1+1+MONTH(B764)))</f>
        <v>2</v>
      </c>
      <c r="Q764" s="330">
        <f t="shared" si="761"/>
        <v>1</v>
      </c>
      <c r="R764" s="351" t="str">
        <f t="shared" si="3"/>
        <v>Gastos_Gerais</v>
      </c>
      <c r="S764" s="351" t="str">
        <f>IF(D764="","",IF(OR(D764=Plano!$A$1,D764=Plano!$B$1),"entrada","saída"))</f>
        <v>saída</v>
      </c>
      <c r="T764" s="334" t="s">
        <v>1059</v>
      </c>
      <c r="U764" s="334">
        <v>1270</v>
      </c>
      <c r="V764" s="269"/>
      <c r="W764" s="269"/>
    </row>
    <row r="765" spans="1:23" ht="69.75" customHeight="1" x14ac:dyDescent="0.2">
      <c r="A765" s="277">
        <f t="shared" si="0"/>
        <v>761</v>
      </c>
      <c r="B765" s="278">
        <v>44237</v>
      </c>
      <c r="C765" s="256">
        <v>44228</v>
      </c>
      <c r="D765" s="255" t="s">
        <v>99</v>
      </c>
      <c r="E765" s="255" t="s">
        <v>272</v>
      </c>
      <c r="F765" s="258">
        <v>10.45</v>
      </c>
      <c r="G765" s="255" t="s">
        <v>3432</v>
      </c>
      <c r="H765" s="250" t="s">
        <v>126</v>
      </c>
      <c r="I765" s="250" t="s">
        <v>949</v>
      </c>
      <c r="J765" s="255" t="s">
        <v>950</v>
      </c>
      <c r="K765" s="255" t="s">
        <v>951</v>
      </c>
      <c r="L765" s="250" t="s">
        <v>947</v>
      </c>
      <c r="M765" s="279" t="s">
        <v>114</v>
      </c>
      <c r="N765" s="278">
        <v>44237</v>
      </c>
      <c r="O765" s="329" t="s">
        <v>67</v>
      </c>
      <c r="P765" s="386">
        <f t="shared" ref="P765:Q765" si="762">IF(B765=0,0,IF(YEAR(B765)=$Q$1,MONTH(B765)-$P$1+1,(YEAR(B765)-$Q$1)*12-$P$1+1+MONTH(B765)))</f>
        <v>2</v>
      </c>
      <c r="Q765" s="330">
        <f t="shared" si="762"/>
        <v>2</v>
      </c>
      <c r="R765" s="351" t="str">
        <f t="shared" si="3"/>
        <v>Gastos_Gerais</v>
      </c>
      <c r="S765" s="351" t="str">
        <f>IF(D765="","",IF(OR(D765=Plano!$A$1,D765=Plano!$B$1),"entrada","saída"))</f>
        <v>saída</v>
      </c>
      <c r="T765" s="334" t="s">
        <v>114</v>
      </c>
      <c r="U765" s="334" t="s">
        <v>114</v>
      </c>
      <c r="V765" s="269"/>
      <c r="W765" s="269"/>
    </row>
    <row r="766" spans="1:23" ht="194.25" customHeight="1" x14ac:dyDescent="0.2">
      <c r="A766" s="277">
        <f t="shared" si="0"/>
        <v>762</v>
      </c>
      <c r="B766" s="278">
        <v>44238</v>
      </c>
      <c r="C766" s="256">
        <v>44166</v>
      </c>
      <c r="D766" s="255" t="s">
        <v>99</v>
      </c>
      <c r="E766" s="255" t="s">
        <v>350</v>
      </c>
      <c r="F766" s="258">
        <v>300</v>
      </c>
      <c r="G766" s="255" t="s">
        <v>3433</v>
      </c>
      <c r="H766" s="255" t="s">
        <v>132</v>
      </c>
      <c r="I766" s="250" t="s">
        <v>3434</v>
      </c>
      <c r="J766" s="252" t="s">
        <v>3435</v>
      </c>
      <c r="K766" s="255" t="s">
        <v>1015</v>
      </c>
      <c r="L766" s="250" t="s">
        <v>1177</v>
      </c>
      <c r="M766" s="252" t="s">
        <v>114</v>
      </c>
      <c r="N766" s="278">
        <v>44238</v>
      </c>
      <c r="O766" s="329" t="s">
        <v>67</v>
      </c>
      <c r="P766" s="386">
        <f t="shared" ref="P766:Q766" si="763">IF(B766=0,0,IF(YEAR(B766)=$Q$1,MONTH(B766)-$P$1+1,(YEAR(B766)-$Q$1)*12-$P$1+1+MONTH(B766)))</f>
        <v>2</v>
      </c>
      <c r="Q766" s="330">
        <f t="shared" si="763"/>
        <v>0</v>
      </c>
      <c r="R766" s="351" t="str">
        <f t="shared" si="3"/>
        <v>Gastos_Gerais</v>
      </c>
      <c r="S766" s="351" t="str">
        <f>IF(D766="","",IF(OR(D766=Plano!$A$1,D766=Plano!$B$1),"entrada","saída"))</f>
        <v>saída</v>
      </c>
      <c r="T766" s="334" t="s">
        <v>994</v>
      </c>
      <c r="U766" s="334">
        <v>1001</v>
      </c>
      <c r="V766" s="269"/>
      <c r="W766" s="269"/>
    </row>
    <row r="767" spans="1:23" ht="209.25" customHeight="1" x14ac:dyDescent="0.2">
      <c r="A767" s="277">
        <f t="shared" si="0"/>
        <v>763</v>
      </c>
      <c r="B767" s="278">
        <v>44238</v>
      </c>
      <c r="C767" s="256">
        <v>44197</v>
      </c>
      <c r="D767" s="255" t="s">
        <v>99</v>
      </c>
      <c r="E767" s="255" t="s">
        <v>236</v>
      </c>
      <c r="F767" s="258">
        <v>2125.92</v>
      </c>
      <c r="G767" s="252" t="s">
        <v>2680</v>
      </c>
      <c r="H767" s="255" t="s">
        <v>122</v>
      </c>
      <c r="I767" s="250" t="s">
        <v>3436</v>
      </c>
      <c r="J767" s="252" t="s">
        <v>2682</v>
      </c>
      <c r="K767" s="255" t="s">
        <v>991</v>
      </c>
      <c r="L767" s="250" t="s">
        <v>1029</v>
      </c>
      <c r="M767" s="255">
        <v>1061</v>
      </c>
      <c r="N767" s="278">
        <v>44238</v>
      </c>
      <c r="O767" s="329" t="s">
        <v>67</v>
      </c>
      <c r="P767" s="386">
        <f t="shared" ref="P767:Q767" si="764">IF(B767=0,0,IF(YEAR(B767)=$Q$1,MONTH(B767)-$P$1+1,(YEAR(B767)-$Q$1)*12-$P$1+1+MONTH(B767)))</f>
        <v>2</v>
      </c>
      <c r="Q767" s="330">
        <f t="shared" si="764"/>
        <v>1</v>
      </c>
      <c r="R767" s="351" t="str">
        <f t="shared" si="3"/>
        <v>Gastos_Gerais</v>
      </c>
      <c r="S767" s="351" t="str">
        <f>IF(D767="","",IF(OR(D767=Plano!$A$1,D767=Plano!$B$1),"entrada","saída"))</f>
        <v>saída</v>
      </c>
      <c r="T767" s="334" t="s">
        <v>994</v>
      </c>
      <c r="U767" s="334">
        <v>271</v>
      </c>
      <c r="V767" s="269"/>
      <c r="W767" s="269"/>
    </row>
    <row r="768" spans="1:23" ht="150" customHeight="1" x14ac:dyDescent="0.2">
      <c r="A768" s="277">
        <f t="shared" si="0"/>
        <v>764</v>
      </c>
      <c r="B768" s="278">
        <v>44238</v>
      </c>
      <c r="C768" s="259">
        <v>44105</v>
      </c>
      <c r="D768" s="255" t="s">
        <v>99</v>
      </c>
      <c r="E768" s="255" t="s">
        <v>336</v>
      </c>
      <c r="F768" s="258">
        <v>1000</v>
      </c>
      <c r="G768" s="255" t="s">
        <v>3437</v>
      </c>
      <c r="H768" s="255" t="s">
        <v>132</v>
      </c>
      <c r="I768" s="250" t="s">
        <v>3438</v>
      </c>
      <c r="J768" s="252" t="s">
        <v>3439</v>
      </c>
      <c r="K768" s="255" t="s">
        <v>991</v>
      </c>
      <c r="L768" s="250" t="s">
        <v>1016</v>
      </c>
      <c r="M768" s="255">
        <v>13</v>
      </c>
      <c r="N768" s="278">
        <v>44238</v>
      </c>
      <c r="O768" s="329" t="s">
        <v>67</v>
      </c>
      <c r="P768" s="386">
        <f t="shared" ref="P768:Q768" si="765">IF(B768=0,0,IF(YEAR(B768)=$Q$1,MONTH(B768)-$P$1+1,(YEAR(B768)-$Q$1)*12-$P$1+1+MONTH(B768)))</f>
        <v>2</v>
      </c>
      <c r="Q768" s="330">
        <f t="shared" si="765"/>
        <v>-2</v>
      </c>
      <c r="R768" s="351" t="str">
        <f t="shared" si="3"/>
        <v>Gastos_Gerais</v>
      </c>
      <c r="S768" s="351" t="str">
        <f>IF(D768="","",IF(OR(D768=Plano!$A$1,D768=Plano!$B$1),"entrada","saída"))</f>
        <v>saída</v>
      </c>
      <c r="T768" s="334" t="s">
        <v>994</v>
      </c>
      <c r="U768" s="334">
        <v>854</v>
      </c>
      <c r="V768" s="269"/>
      <c r="W768" s="269"/>
    </row>
    <row r="769" spans="1:23" ht="69.75" customHeight="1" x14ac:dyDescent="0.2">
      <c r="A769" s="277">
        <f t="shared" si="0"/>
        <v>765</v>
      </c>
      <c r="B769" s="278">
        <v>44238</v>
      </c>
      <c r="C769" s="256">
        <v>44228</v>
      </c>
      <c r="D769" s="255" t="s">
        <v>99</v>
      </c>
      <c r="E769" s="255" t="s">
        <v>272</v>
      </c>
      <c r="F769" s="258">
        <v>10.45</v>
      </c>
      <c r="G769" s="255" t="s">
        <v>3440</v>
      </c>
      <c r="H769" s="255" t="s">
        <v>122</v>
      </c>
      <c r="I769" s="250" t="s">
        <v>949</v>
      </c>
      <c r="J769" s="255" t="s">
        <v>950</v>
      </c>
      <c r="K769" s="255" t="s">
        <v>951</v>
      </c>
      <c r="L769" s="250" t="s">
        <v>947</v>
      </c>
      <c r="M769" s="279" t="s">
        <v>114</v>
      </c>
      <c r="N769" s="278">
        <v>44238</v>
      </c>
      <c r="O769" s="329" t="s">
        <v>67</v>
      </c>
      <c r="P769" s="386">
        <f t="shared" ref="P769:Q769" si="766">IF(B769=0,0,IF(YEAR(B769)=$Q$1,MONTH(B769)-$P$1+1,(YEAR(B769)-$Q$1)*12-$P$1+1+MONTH(B769)))</f>
        <v>2</v>
      </c>
      <c r="Q769" s="330">
        <f t="shared" si="766"/>
        <v>2</v>
      </c>
      <c r="R769" s="351" t="str">
        <f t="shared" si="3"/>
        <v>Gastos_Gerais</v>
      </c>
      <c r="S769" s="351" t="str">
        <f>IF(D769="","",IF(OR(D769=Plano!$A$1,D769=Plano!$B$1),"entrada","saída"))</f>
        <v>saída</v>
      </c>
      <c r="T769" s="334" t="s">
        <v>114</v>
      </c>
      <c r="U769" s="334" t="s">
        <v>114</v>
      </c>
      <c r="V769" s="269"/>
      <c r="W769" s="269"/>
    </row>
    <row r="770" spans="1:23" ht="69.75" customHeight="1" x14ac:dyDescent="0.2">
      <c r="A770" s="277">
        <f t="shared" si="0"/>
        <v>766</v>
      </c>
      <c r="B770" s="278">
        <v>44238</v>
      </c>
      <c r="C770" s="256">
        <v>44228</v>
      </c>
      <c r="D770" s="255" t="s">
        <v>99</v>
      </c>
      <c r="E770" s="255" t="s">
        <v>272</v>
      </c>
      <c r="F770" s="258">
        <v>10.45</v>
      </c>
      <c r="G770" s="255" t="s">
        <v>3441</v>
      </c>
      <c r="H770" s="255" t="s">
        <v>132</v>
      </c>
      <c r="I770" s="250" t="s">
        <v>949</v>
      </c>
      <c r="J770" s="255" t="s">
        <v>950</v>
      </c>
      <c r="K770" s="255" t="s">
        <v>951</v>
      </c>
      <c r="L770" s="250" t="s">
        <v>947</v>
      </c>
      <c r="M770" s="279" t="s">
        <v>114</v>
      </c>
      <c r="N770" s="278">
        <v>44238</v>
      </c>
      <c r="O770" s="329" t="s">
        <v>67</v>
      </c>
      <c r="P770" s="386">
        <f t="shared" ref="P770:Q770" si="767">IF(B770=0,0,IF(YEAR(B770)=$Q$1,MONTH(B770)-$P$1+1,(YEAR(B770)-$Q$1)*12-$P$1+1+MONTH(B770)))</f>
        <v>2</v>
      </c>
      <c r="Q770" s="330">
        <f t="shared" si="767"/>
        <v>2</v>
      </c>
      <c r="R770" s="351" t="str">
        <f t="shared" si="3"/>
        <v>Gastos_Gerais</v>
      </c>
      <c r="S770" s="351" t="str">
        <f>IF(D770="","",IF(OR(D770=Plano!$A$1,D770=Plano!$B$1),"entrada","saída"))</f>
        <v>saída</v>
      </c>
      <c r="T770" s="334" t="s">
        <v>114</v>
      </c>
      <c r="U770" s="334" t="s">
        <v>114</v>
      </c>
      <c r="V770" s="269"/>
      <c r="W770" s="269"/>
    </row>
    <row r="771" spans="1:23" ht="69.75" customHeight="1" x14ac:dyDescent="0.2">
      <c r="A771" s="277">
        <f t="shared" si="0"/>
        <v>767</v>
      </c>
      <c r="B771" s="278">
        <v>44238</v>
      </c>
      <c r="C771" s="256">
        <v>44105</v>
      </c>
      <c r="D771" s="255" t="s">
        <v>104</v>
      </c>
      <c r="E771" s="255" t="s">
        <v>104</v>
      </c>
      <c r="F771" s="258">
        <v>3403.75</v>
      </c>
      <c r="G771" s="252" t="s">
        <v>3442</v>
      </c>
      <c r="H771" s="255" t="s">
        <v>104</v>
      </c>
      <c r="I771" s="250" t="s">
        <v>3443</v>
      </c>
      <c r="J771" s="252" t="s">
        <v>3444</v>
      </c>
      <c r="K771" s="255" t="s">
        <v>1015</v>
      </c>
      <c r="L771" s="250" t="s">
        <v>1016</v>
      </c>
      <c r="M771" s="255" t="s">
        <v>1148</v>
      </c>
      <c r="N771" s="278">
        <v>44235</v>
      </c>
      <c r="O771" s="329" t="s">
        <v>70</v>
      </c>
      <c r="P771" s="386">
        <f t="shared" ref="P771:Q771" si="768">IF(B771=0,0,IF(YEAR(B771)=$Q$1,MONTH(B771)-$P$1+1,(YEAR(B771)-$Q$1)*12-$P$1+1+MONTH(B771)))</f>
        <v>2</v>
      </c>
      <c r="Q771" s="330">
        <f t="shared" si="768"/>
        <v>-2</v>
      </c>
      <c r="R771" s="351" t="str">
        <f t="shared" si="3"/>
        <v>Gastos_custeados_por_captação</v>
      </c>
      <c r="S771" s="351" t="str">
        <f>IF(D771="","",IF(OR(D771=Plano!$A$1,D771=Plano!$B$1),"entrada","saída"))</f>
        <v>saída</v>
      </c>
      <c r="T771" s="334" t="s">
        <v>994</v>
      </c>
      <c r="U771" s="334">
        <v>846</v>
      </c>
      <c r="V771" s="269"/>
      <c r="W771" s="269"/>
    </row>
    <row r="772" spans="1:23" ht="69.75" customHeight="1" x14ac:dyDescent="0.2">
      <c r="A772" s="277">
        <f t="shared" si="0"/>
        <v>768</v>
      </c>
      <c r="B772" s="278">
        <v>44239</v>
      </c>
      <c r="C772" s="256">
        <v>44197</v>
      </c>
      <c r="D772" s="255" t="s">
        <v>99</v>
      </c>
      <c r="E772" s="255" t="s">
        <v>254</v>
      </c>
      <c r="F772" s="257">
        <v>-105.5</v>
      </c>
      <c r="G772" s="252" t="s">
        <v>3445</v>
      </c>
      <c r="H772" s="252" t="s">
        <v>115</v>
      </c>
      <c r="I772" s="252" t="s">
        <v>983</v>
      </c>
      <c r="J772" s="252" t="s">
        <v>850</v>
      </c>
      <c r="K772" s="252" t="s">
        <v>946</v>
      </c>
      <c r="L772" s="252" t="s">
        <v>947</v>
      </c>
      <c r="M772" s="252" t="s">
        <v>114</v>
      </c>
      <c r="N772" s="348">
        <v>44239</v>
      </c>
      <c r="O772" s="329" t="s">
        <v>67</v>
      </c>
      <c r="P772" s="386">
        <f t="shared" ref="P772:Q772" si="769">IF(B772=0,0,IF(YEAR(B772)=$Q$1,MONTH(B772)-$P$1+1,(YEAR(B772)-$Q$1)*12-$P$1+1+MONTH(B772)))</f>
        <v>2</v>
      </c>
      <c r="Q772" s="330">
        <f t="shared" si="769"/>
        <v>1</v>
      </c>
      <c r="R772" s="351" t="str">
        <f t="shared" si="3"/>
        <v>Gastos_Gerais</v>
      </c>
      <c r="S772" s="351" t="str">
        <f>IF(D772="","",IF(OR(D772=Plano!$A$1,D772=Plano!$B$1),"entrada","saída"))</f>
        <v>saída</v>
      </c>
      <c r="T772" s="334" t="s">
        <v>114</v>
      </c>
      <c r="U772" s="334" t="s">
        <v>114</v>
      </c>
      <c r="V772" s="269"/>
      <c r="W772" s="269"/>
    </row>
    <row r="773" spans="1:23" ht="69.75" customHeight="1" x14ac:dyDescent="0.2">
      <c r="A773" s="277">
        <f t="shared" si="0"/>
        <v>769</v>
      </c>
      <c r="B773" s="278">
        <v>44239</v>
      </c>
      <c r="C773" s="259">
        <v>44228</v>
      </c>
      <c r="D773" s="255" t="s">
        <v>88</v>
      </c>
      <c r="E773" s="255" t="s">
        <v>177</v>
      </c>
      <c r="F773" s="258">
        <v>3284.86</v>
      </c>
      <c r="G773" s="252" t="s">
        <v>3446</v>
      </c>
      <c r="H773" s="255" t="s">
        <v>114</v>
      </c>
      <c r="I773" s="250" t="s">
        <v>2756</v>
      </c>
      <c r="J773" s="255" t="s">
        <v>2757</v>
      </c>
      <c r="K773" s="255" t="s">
        <v>991</v>
      </c>
      <c r="L773" s="250" t="s">
        <v>1347</v>
      </c>
      <c r="M773" s="255" t="s">
        <v>114</v>
      </c>
      <c r="N773" s="278">
        <v>44239</v>
      </c>
      <c r="O773" s="329" t="s">
        <v>67</v>
      </c>
      <c r="P773" s="386">
        <f t="shared" ref="P773:Q773" si="770">IF(B773=0,0,IF(YEAR(B773)=$Q$1,MONTH(B773)-$P$1+1,(YEAR(B773)-$Q$1)*12-$P$1+1+MONTH(B773)))</f>
        <v>2</v>
      </c>
      <c r="Q773" s="330">
        <f t="shared" si="770"/>
        <v>2</v>
      </c>
      <c r="R773" s="351" t="str">
        <f t="shared" si="3"/>
        <v>Gastos_com_Pessoal</v>
      </c>
      <c r="S773" s="351" t="str">
        <f>IF(D773="","",IF(OR(D773=Plano!$A$1,D773=Plano!$B$1),"entrada","saída"))</f>
        <v>saída</v>
      </c>
      <c r="T773" s="334" t="s">
        <v>114</v>
      </c>
      <c r="U773" s="334" t="s">
        <v>114</v>
      </c>
      <c r="V773" s="269"/>
      <c r="W773" s="269"/>
    </row>
    <row r="774" spans="1:23" ht="163.5" customHeight="1" x14ac:dyDescent="0.2">
      <c r="A774" s="277">
        <f t="shared" si="0"/>
        <v>770</v>
      </c>
      <c r="B774" s="278">
        <v>44239</v>
      </c>
      <c r="C774" s="256">
        <v>44197</v>
      </c>
      <c r="D774" s="255" t="s">
        <v>99</v>
      </c>
      <c r="E774" s="255" t="s">
        <v>254</v>
      </c>
      <c r="F774" s="258">
        <v>500</v>
      </c>
      <c r="G774" s="255" t="s">
        <v>448</v>
      </c>
      <c r="H774" s="255" t="s">
        <v>115</v>
      </c>
      <c r="I774" s="250" t="s">
        <v>1376</v>
      </c>
      <c r="J774" s="252" t="s">
        <v>450</v>
      </c>
      <c r="K774" s="255" t="s">
        <v>991</v>
      </c>
      <c r="L774" s="252" t="s">
        <v>1378</v>
      </c>
      <c r="M774" s="329" t="s">
        <v>3447</v>
      </c>
      <c r="N774" s="278">
        <v>44239</v>
      </c>
      <c r="O774" s="329" t="s">
        <v>67</v>
      </c>
      <c r="P774" s="386">
        <f t="shared" ref="P774:Q774" si="771">IF(B774=0,0,IF(YEAR(B774)=$Q$1,MONTH(B774)-$P$1+1,(YEAR(B774)-$Q$1)*12-$P$1+1+MONTH(B774)))</f>
        <v>2</v>
      </c>
      <c r="Q774" s="330">
        <f t="shared" si="771"/>
        <v>1</v>
      </c>
      <c r="R774" s="351" t="str">
        <f t="shared" si="3"/>
        <v>Gastos_Gerais</v>
      </c>
      <c r="S774" s="351" t="str">
        <f>IF(D774="","",IF(OR(D774=Plano!$A$1,D774=Plano!$B$1),"entrada","saída"))</f>
        <v>saída</v>
      </c>
      <c r="T774" s="334" t="s">
        <v>1059</v>
      </c>
      <c r="U774" s="334">
        <v>1143</v>
      </c>
      <c r="V774" s="269"/>
      <c r="W774" s="269"/>
    </row>
    <row r="775" spans="1:23" ht="69.75" customHeight="1" x14ac:dyDescent="0.2">
      <c r="A775" s="277">
        <f t="shared" si="0"/>
        <v>771</v>
      </c>
      <c r="B775" s="278">
        <v>44239</v>
      </c>
      <c r="C775" s="256">
        <v>44228</v>
      </c>
      <c r="D775" s="255" t="s">
        <v>99</v>
      </c>
      <c r="E775" s="255" t="s">
        <v>272</v>
      </c>
      <c r="F775" s="258">
        <v>10.45</v>
      </c>
      <c r="G775" s="255" t="s">
        <v>3448</v>
      </c>
      <c r="H775" s="255" t="s">
        <v>114</v>
      </c>
      <c r="I775" s="250" t="s">
        <v>949</v>
      </c>
      <c r="J775" s="255" t="s">
        <v>950</v>
      </c>
      <c r="K775" s="255" t="s">
        <v>951</v>
      </c>
      <c r="L775" s="250" t="s">
        <v>947</v>
      </c>
      <c r="M775" s="279" t="s">
        <v>114</v>
      </c>
      <c r="N775" s="278">
        <v>44239</v>
      </c>
      <c r="O775" s="329" t="s">
        <v>67</v>
      </c>
      <c r="P775" s="386">
        <f t="shared" ref="P775:Q775" si="772">IF(B775=0,0,IF(YEAR(B775)=$Q$1,MONTH(B775)-$P$1+1,(YEAR(B775)-$Q$1)*12-$P$1+1+MONTH(B775)))</f>
        <v>2</v>
      </c>
      <c r="Q775" s="330">
        <f t="shared" si="772"/>
        <v>2</v>
      </c>
      <c r="R775" s="351" t="str">
        <f t="shared" si="3"/>
        <v>Gastos_Gerais</v>
      </c>
      <c r="S775" s="351" t="str">
        <f>IF(D775="","",IF(OR(D775=Plano!$A$1,D775=Plano!$B$1),"entrada","saída"))</f>
        <v>saída</v>
      </c>
      <c r="T775" s="334" t="s">
        <v>114</v>
      </c>
      <c r="U775" s="334" t="s">
        <v>114</v>
      </c>
      <c r="V775" s="269"/>
      <c r="W775" s="269"/>
    </row>
    <row r="776" spans="1:23" ht="69.75" customHeight="1" x14ac:dyDescent="0.2">
      <c r="A776" s="277">
        <f t="shared" si="0"/>
        <v>772</v>
      </c>
      <c r="B776" s="278">
        <v>44239</v>
      </c>
      <c r="C776" s="256">
        <v>44228</v>
      </c>
      <c r="D776" s="255" t="s">
        <v>99</v>
      </c>
      <c r="E776" s="255" t="s">
        <v>272</v>
      </c>
      <c r="F776" s="258">
        <v>10.45</v>
      </c>
      <c r="G776" s="255" t="s">
        <v>3449</v>
      </c>
      <c r="H776" s="255" t="s">
        <v>115</v>
      </c>
      <c r="I776" s="250" t="s">
        <v>949</v>
      </c>
      <c r="J776" s="255" t="s">
        <v>950</v>
      </c>
      <c r="K776" s="255" t="s">
        <v>951</v>
      </c>
      <c r="L776" s="250" t="s">
        <v>947</v>
      </c>
      <c r="M776" s="279" t="s">
        <v>114</v>
      </c>
      <c r="N776" s="278">
        <v>44239</v>
      </c>
      <c r="O776" s="329" t="s">
        <v>67</v>
      </c>
      <c r="P776" s="386">
        <f t="shared" ref="P776:Q776" si="773">IF(B776=0,0,IF(YEAR(B776)=$Q$1,MONTH(B776)-$P$1+1,(YEAR(B776)-$Q$1)*12-$P$1+1+MONTH(B776)))</f>
        <v>2</v>
      </c>
      <c r="Q776" s="330">
        <f t="shared" si="773"/>
        <v>2</v>
      </c>
      <c r="R776" s="351" t="str">
        <f t="shared" si="3"/>
        <v>Gastos_Gerais</v>
      </c>
      <c r="S776" s="351" t="str">
        <f>IF(D776="","",IF(OR(D776=Plano!$A$1,D776=Plano!$B$1),"entrada","saída"))</f>
        <v>saída</v>
      </c>
      <c r="T776" s="334" t="s">
        <v>114</v>
      </c>
      <c r="U776" s="334" t="s">
        <v>114</v>
      </c>
      <c r="V776" s="269"/>
      <c r="W776" s="269"/>
    </row>
    <row r="777" spans="1:23" ht="139.5" customHeight="1" x14ac:dyDescent="0.2">
      <c r="A777" s="277">
        <f t="shared" si="0"/>
        <v>773</v>
      </c>
      <c r="B777" s="278">
        <v>44239</v>
      </c>
      <c r="C777" s="256">
        <v>44166</v>
      </c>
      <c r="D777" s="255" t="s">
        <v>104</v>
      </c>
      <c r="E777" s="255" t="s">
        <v>104</v>
      </c>
      <c r="F777" s="258">
        <v>500</v>
      </c>
      <c r="G777" s="255" t="s">
        <v>3450</v>
      </c>
      <c r="H777" s="255" t="s">
        <v>104</v>
      </c>
      <c r="I777" s="250" t="s">
        <v>3451</v>
      </c>
      <c r="J777" s="255" t="s">
        <v>3452</v>
      </c>
      <c r="K777" s="255" t="s">
        <v>1015</v>
      </c>
      <c r="L777" s="250" t="s">
        <v>1016</v>
      </c>
      <c r="M777" s="255">
        <v>42</v>
      </c>
      <c r="N777" s="278">
        <v>44236</v>
      </c>
      <c r="O777" s="329" t="s">
        <v>68</v>
      </c>
      <c r="P777" s="386">
        <f t="shared" ref="P777:Q777" si="774">IF(B777=0,0,IF(YEAR(B777)=$Q$1,MONTH(B777)-$P$1+1,(YEAR(B777)-$Q$1)*12-$P$1+1+MONTH(B777)))</f>
        <v>2</v>
      </c>
      <c r="Q777" s="330">
        <f t="shared" si="774"/>
        <v>0</v>
      </c>
      <c r="R777" s="351" t="str">
        <f t="shared" si="3"/>
        <v>Gastos_custeados_por_captação</v>
      </c>
      <c r="S777" s="351" t="str">
        <f>IF(D777="","",IF(OR(D777=Plano!$A$1,D777=Plano!$B$1),"entrada","saída"))</f>
        <v>saída</v>
      </c>
      <c r="T777" s="334" t="s">
        <v>994</v>
      </c>
      <c r="U777" s="334">
        <v>1091</v>
      </c>
      <c r="V777" s="269"/>
      <c r="W777" s="269"/>
    </row>
    <row r="778" spans="1:23" ht="149.25" customHeight="1" x14ac:dyDescent="0.2">
      <c r="A778" s="277">
        <f t="shared" si="0"/>
        <v>774</v>
      </c>
      <c r="B778" s="278">
        <v>44239</v>
      </c>
      <c r="C778" s="256">
        <v>44197</v>
      </c>
      <c r="D778" s="255" t="s">
        <v>104</v>
      </c>
      <c r="E778" s="255" t="s">
        <v>104</v>
      </c>
      <c r="F778" s="258">
        <v>18324.13</v>
      </c>
      <c r="G778" s="255" t="s">
        <v>3453</v>
      </c>
      <c r="H778" s="255" t="s">
        <v>104</v>
      </c>
      <c r="I778" s="250" t="s">
        <v>1557</v>
      </c>
      <c r="J778" s="255" t="s">
        <v>1558</v>
      </c>
      <c r="K778" s="255" t="s">
        <v>1015</v>
      </c>
      <c r="L778" s="250" t="s">
        <v>1016</v>
      </c>
      <c r="M778" s="255" t="s">
        <v>1294</v>
      </c>
      <c r="N778" s="278">
        <v>44239</v>
      </c>
      <c r="O778" s="329" t="s">
        <v>70</v>
      </c>
      <c r="P778" s="386">
        <f t="shared" ref="P778:Q778" si="775">IF(B778=0,0,IF(YEAR(B778)=$Q$1,MONTH(B778)-$P$1+1,(YEAR(B778)-$Q$1)*12-$P$1+1+MONTH(B778)))</f>
        <v>2</v>
      </c>
      <c r="Q778" s="330">
        <f t="shared" si="775"/>
        <v>1</v>
      </c>
      <c r="R778" s="351" t="str">
        <f t="shared" si="3"/>
        <v>Gastos_custeados_por_captação</v>
      </c>
      <c r="S778" s="351" t="str">
        <f>IF(D778="","",IF(OR(D778=Plano!$A$1,D778=Plano!$B$1),"entrada","saída"))</f>
        <v>saída</v>
      </c>
      <c r="T778" s="334" t="s">
        <v>994</v>
      </c>
      <c r="U778" s="334">
        <v>1281</v>
      </c>
      <c r="V778" s="269"/>
      <c r="W778" s="269"/>
    </row>
    <row r="779" spans="1:23" ht="69.75" customHeight="1" x14ac:dyDescent="0.2">
      <c r="A779" s="277">
        <f t="shared" si="0"/>
        <v>775</v>
      </c>
      <c r="B779" s="278">
        <v>44244</v>
      </c>
      <c r="C779" s="256">
        <v>44228</v>
      </c>
      <c r="D779" s="255" t="s">
        <v>88</v>
      </c>
      <c r="E779" s="255" t="s">
        <v>196</v>
      </c>
      <c r="F779" s="257">
        <v>-3484.25</v>
      </c>
      <c r="G779" s="250" t="s">
        <v>1419</v>
      </c>
      <c r="H779" s="255" t="s">
        <v>114</v>
      </c>
      <c r="I779" s="250" t="s">
        <v>3010</v>
      </c>
      <c r="J779" s="255" t="s">
        <v>850</v>
      </c>
      <c r="K779" s="255" t="s">
        <v>946</v>
      </c>
      <c r="L779" s="250" t="s">
        <v>947</v>
      </c>
      <c r="M779" s="390" t="s">
        <v>114</v>
      </c>
      <c r="N779" s="278">
        <v>44244</v>
      </c>
      <c r="O779" s="329" t="s">
        <v>67</v>
      </c>
      <c r="P779" s="386">
        <f t="shared" ref="P779:Q779" si="776">IF(B779=0,0,IF(YEAR(B779)=$Q$1,MONTH(B779)-$P$1+1,(YEAR(B779)-$Q$1)*12-$P$1+1+MONTH(B779)))</f>
        <v>2</v>
      </c>
      <c r="Q779" s="330">
        <f t="shared" si="776"/>
        <v>2</v>
      </c>
      <c r="R779" s="351" t="str">
        <f t="shared" si="3"/>
        <v>Gastos_com_Pessoal</v>
      </c>
      <c r="S779" s="351" t="str">
        <f>IF(D779="","",IF(OR(D779=Plano!$A$1,D779=Plano!$B$1),"entrada","saída"))</f>
        <v>saída</v>
      </c>
      <c r="T779" s="334" t="s">
        <v>114</v>
      </c>
      <c r="U779" s="334" t="s">
        <v>114</v>
      </c>
      <c r="V779" s="269"/>
      <c r="W779" s="269"/>
    </row>
    <row r="780" spans="1:23" ht="69.75" customHeight="1" x14ac:dyDescent="0.2">
      <c r="A780" s="277">
        <f t="shared" si="0"/>
        <v>776</v>
      </c>
      <c r="B780" s="278">
        <v>44244</v>
      </c>
      <c r="C780" s="256">
        <v>44197</v>
      </c>
      <c r="D780" s="255" t="s">
        <v>99</v>
      </c>
      <c r="E780" s="255" t="s">
        <v>222</v>
      </c>
      <c r="F780" s="257">
        <v>-77.31</v>
      </c>
      <c r="G780" s="255" t="s">
        <v>3454</v>
      </c>
      <c r="H780" s="255" t="s">
        <v>115</v>
      </c>
      <c r="I780" s="250" t="s">
        <v>983</v>
      </c>
      <c r="J780" s="255" t="s">
        <v>850</v>
      </c>
      <c r="K780" s="255" t="s">
        <v>946</v>
      </c>
      <c r="L780" s="250" t="s">
        <v>947</v>
      </c>
      <c r="M780" s="255" t="s">
        <v>114</v>
      </c>
      <c r="N780" s="278">
        <v>44244</v>
      </c>
      <c r="O780" s="329" t="s">
        <v>67</v>
      </c>
      <c r="P780" s="386">
        <f t="shared" ref="P780:Q780" si="777">IF(B780=0,0,IF(YEAR(B780)=$Q$1,MONTH(B780)-$P$1+1,(YEAR(B780)-$Q$1)*12-$P$1+1+MONTH(B780)))</f>
        <v>2</v>
      </c>
      <c r="Q780" s="330">
        <f t="shared" si="777"/>
        <v>1</v>
      </c>
      <c r="R780" s="351" t="str">
        <f t="shared" si="3"/>
        <v>Gastos_Gerais</v>
      </c>
      <c r="S780" s="351" t="str">
        <f>IF(D780="","",IF(OR(D780=Plano!$A$1,D780=Plano!$B$1),"entrada","saída"))</f>
        <v>saída</v>
      </c>
      <c r="T780" s="334" t="s">
        <v>114</v>
      </c>
      <c r="U780" s="334" t="s">
        <v>114</v>
      </c>
      <c r="V780" s="269"/>
      <c r="W780" s="269"/>
    </row>
    <row r="781" spans="1:23" ht="69.75" customHeight="1" x14ac:dyDescent="0.2">
      <c r="A781" s="277">
        <f t="shared" si="0"/>
        <v>777</v>
      </c>
      <c r="B781" s="278">
        <v>44244</v>
      </c>
      <c r="C781" s="256">
        <v>44197</v>
      </c>
      <c r="D781" s="255" t="s">
        <v>99</v>
      </c>
      <c r="E781" s="255" t="s">
        <v>216</v>
      </c>
      <c r="F781" s="257">
        <v>-23.56</v>
      </c>
      <c r="G781" s="255" t="s">
        <v>3455</v>
      </c>
      <c r="H781" s="255" t="s">
        <v>115</v>
      </c>
      <c r="I781" s="250" t="s">
        <v>983</v>
      </c>
      <c r="J781" s="255" t="s">
        <v>850</v>
      </c>
      <c r="K781" s="255" t="s">
        <v>946</v>
      </c>
      <c r="L781" s="250" t="s">
        <v>947</v>
      </c>
      <c r="M781" s="255" t="s">
        <v>114</v>
      </c>
      <c r="N781" s="278">
        <v>44244</v>
      </c>
      <c r="O781" s="329" t="s">
        <v>67</v>
      </c>
      <c r="P781" s="386">
        <f t="shared" ref="P781:Q781" si="778">IF(B781=0,0,IF(YEAR(B781)=$Q$1,MONTH(B781)-$P$1+1,(YEAR(B781)-$Q$1)*12-$P$1+1+MONTH(B781)))</f>
        <v>2</v>
      </c>
      <c r="Q781" s="330">
        <f t="shared" si="778"/>
        <v>1</v>
      </c>
      <c r="R781" s="351" t="str">
        <f t="shared" si="3"/>
        <v>Gastos_Gerais</v>
      </c>
      <c r="S781" s="351" t="str">
        <f>IF(D781="","",IF(OR(D781=Plano!$A$1,D781=Plano!$B$1),"entrada","saída"))</f>
        <v>saída</v>
      </c>
      <c r="T781" s="334" t="s">
        <v>114</v>
      </c>
      <c r="U781" s="334" t="s">
        <v>114</v>
      </c>
      <c r="V781" s="269"/>
      <c r="W781" s="269"/>
    </row>
    <row r="782" spans="1:23" ht="69.75" customHeight="1" x14ac:dyDescent="0.2">
      <c r="A782" s="277">
        <f t="shared" si="0"/>
        <v>778</v>
      </c>
      <c r="B782" s="278">
        <v>44244</v>
      </c>
      <c r="C782" s="259">
        <v>44228</v>
      </c>
      <c r="D782" s="255" t="s">
        <v>88</v>
      </c>
      <c r="E782" s="255" t="s">
        <v>196</v>
      </c>
      <c r="F782" s="258">
        <v>-592.32000000000005</v>
      </c>
      <c r="G782" s="252" t="s">
        <v>1418</v>
      </c>
      <c r="H782" s="255" t="s">
        <v>114</v>
      </c>
      <c r="I782" s="250" t="s">
        <v>3010</v>
      </c>
      <c r="J782" s="255" t="s">
        <v>850</v>
      </c>
      <c r="K782" s="255" t="s">
        <v>946</v>
      </c>
      <c r="L782" s="250" t="s">
        <v>947</v>
      </c>
      <c r="M782" s="390" t="s">
        <v>114</v>
      </c>
      <c r="N782" s="278">
        <v>44244</v>
      </c>
      <c r="O782" s="329" t="s">
        <v>67</v>
      </c>
      <c r="P782" s="386">
        <f t="shared" ref="P782:Q782" si="779">IF(B782=0,0,IF(YEAR(B782)=$Q$1,MONTH(B782)-$P$1+1,(YEAR(B782)-$Q$1)*12-$P$1+1+MONTH(B782)))</f>
        <v>2</v>
      </c>
      <c r="Q782" s="330">
        <f t="shared" si="779"/>
        <v>2</v>
      </c>
      <c r="R782" s="351" t="str">
        <f t="shared" si="3"/>
        <v>Gastos_com_Pessoal</v>
      </c>
      <c r="S782" s="351" t="str">
        <f>IF(D782="","",IF(OR(D782=Plano!$A$1,D782=Plano!$B$1),"entrada","saída"))</f>
        <v>saída</v>
      </c>
      <c r="T782" s="334" t="s">
        <v>114</v>
      </c>
      <c r="U782" s="334" t="s">
        <v>114</v>
      </c>
      <c r="V782" s="269"/>
      <c r="W782" s="269"/>
    </row>
    <row r="783" spans="1:23" ht="69.75" customHeight="1" x14ac:dyDescent="0.2">
      <c r="A783" s="277">
        <f t="shared" si="0"/>
        <v>779</v>
      </c>
      <c r="B783" s="278">
        <v>44244</v>
      </c>
      <c r="C783" s="256">
        <v>44166</v>
      </c>
      <c r="D783" s="255" t="s">
        <v>88</v>
      </c>
      <c r="E783" s="252" t="s">
        <v>90</v>
      </c>
      <c r="F783" s="257">
        <v>-89.49</v>
      </c>
      <c r="G783" s="255" t="s">
        <v>3009</v>
      </c>
      <c r="H783" s="255" t="s">
        <v>114</v>
      </c>
      <c r="I783" s="250" t="s">
        <v>3010</v>
      </c>
      <c r="J783" s="255" t="s">
        <v>850</v>
      </c>
      <c r="K783" s="255" t="s">
        <v>946</v>
      </c>
      <c r="L783" s="250" t="s">
        <v>947</v>
      </c>
      <c r="M783" s="255" t="s">
        <v>114</v>
      </c>
      <c r="N783" s="278">
        <v>44244</v>
      </c>
      <c r="O783" s="329" t="s">
        <v>67</v>
      </c>
      <c r="P783" s="386">
        <f t="shared" ref="P783:Q783" si="780">IF(B783=0,0,IF(YEAR(B783)=$Q$1,MONTH(B783)-$P$1+1,(YEAR(B783)-$Q$1)*12-$P$1+1+MONTH(B783)))</f>
        <v>2</v>
      </c>
      <c r="Q783" s="330">
        <f t="shared" si="780"/>
        <v>0</v>
      </c>
      <c r="R783" s="351" t="str">
        <f t="shared" si="3"/>
        <v>Gastos_com_Pessoal</v>
      </c>
      <c r="S783" s="351" t="str">
        <f>IF(D783="","",IF(OR(D783=Plano!$A$1,D783=Plano!$B$1),"entrada","saída"))</f>
        <v>saída</v>
      </c>
      <c r="T783" s="334" t="s">
        <v>114</v>
      </c>
      <c r="U783" s="334" t="s">
        <v>114</v>
      </c>
      <c r="V783" s="269"/>
      <c r="W783" s="269"/>
    </row>
    <row r="784" spans="1:23" ht="69.75" customHeight="1" x14ac:dyDescent="0.2">
      <c r="A784" s="277">
        <f t="shared" si="0"/>
        <v>780</v>
      </c>
      <c r="B784" s="278">
        <v>44244</v>
      </c>
      <c r="C784" s="256">
        <v>44197</v>
      </c>
      <c r="D784" s="255" t="s">
        <v>99</v>
      </c>
      <c r="E784" s="255" t="s">
        <v>224</v>
      </c>
      <c r="F784" s="257">
        <v>-63.49</v>
      </c>
      <c r="G784" s="255" t="s">
        <v>3456</v>
      </c>
      <c r="H784" s="255" t="s">
        <v>115</v>
      </c>
      <c r="I784" s="250" t="s">
        <v>983</v>
      </c>
      <c r="J784" s="255" t="s">
        <v>850</v>
      </c>
      <c r="K784" s="255" t="s">
        <v>946</v>
      </c>
      <c r="L784" s="250" t="s">
        <v>947</v>
      </c>
      <c r="M784" s="255" t="s">
        <v>114</v>
      </c>
      <c r="N784" s="278">
        <v>44244</v>
      </c>
      <c r="O784" s="329" t="s">
        <v>67</v>
      </c>
      <c r="P784" s="386">
        <f t="shared" ref="P784:Q784" si="781">IF(B784=0,0,IF(YEAR(B784)=$Q$1,MONTH(B784)-$P$1+1,(YEAR(B784)-$Q$1)*12-$P$1+1+MONTH(B784)))</f>
        <v>2</v>
      </c>
      <c r="Q784" s="330">
        <f t="shared" si="781"/>
        <v>1</v>
      </c>
      <c r="R784" s="351" t="str">
        <f t="shared" si="3"/>
        <v>Gastos_Gerais</v>
      </c>
      <c r="S784" s="351" t="str">
        <f>IF(D784="","",IF(OR(D784=Plano!$A$1,D784=Plano!$B$1),"entrada","saída"))</f>
        <v>saída</v>
      </c>
      <c r="T784" s="334" t="s">
        <v>114</v>
      </c>
      <c r="U784" s="334" t="s">
        <v>114</v>
      </c>
      <c r="V784" s="269"/>
      <c r="W784" s="269"/>
    </row>
    <row r="785" spans="1:23" ht="169.5" customHeight="1" x14ac:dyDescent="0.2">
      <c r="A785" s="277">
        <f t="shared" si="0"/>
        <v>781</v>
      </c>
      <c r="B785" s="278">
        <v>44244</v>
      </c>
      <c r="C785" s="256">
        <v>44197</v>
      </c>
      <c r="D785" s="255" t="s">
        <v>99</v>
      </c>
      <c r="E785" s="255" t="s">
        <v>358</v>
      </c>
      <c r="F785" s="258">
        <v>615.72</v>
      </c>
      <c r="G785" s="255" t="s">
        <v>2483</v>
      </c>
      <c r="H785" s="255" t="s">
        <v>131</v>
      </c>
      <c r="I785" s="250" t="s">
        <v>3457</v>
      </c>
      <c r="J785" s="252" t="s">
        <v>2485</v>
      </c>
      <c r="K785" s="255" t="s">
        <v>1015</v>
      </c>
      <c r="L785" s="250" t="s">
        <v>1029</v>
      </c>
      <c r="M785" s="255">
        <v>1077</v>
      </c>
      <c r="N785" s="278">
        <v>44242</v>
      </c>
      <c r="O785" s="329" t="s">
        <v>67</v>
      </c>
      <c r="P785" s="386">
        <f t="shared" ref="P785:Q785" si="782">IF(B785=0,0,IF(YEAR(B785)=$Q$1,MONTH(B785)-$P$1+1,(YEAR(B785)-$Q$1)*12-$P$1+1+MONTH(B785)))</f>
        <v>2</v>
      </c>
      <c r="Q785" s="330">
        <f t="shared" si="782"/>
        <v>1</v>
      </c>
      <c r="R785" s="351" t="str">
        <f t="shared" si="3"/>
        <v>Gastos_Gerais</v>
      </c>
      <c r="S785" s="351" t="str">
        <f>IF(D785="","",IF(OR(D785=Plano!$A$1,D785=Plano!$B$1),"entrada","saída"))</f>
        <v>saída</v>
      </c>
      <c r="T785" s="334" t="s">
        <v>994</v>
      </c>
      <c r="U785" s="334">
        <v>840</v>
      </c>
      <c r="V785" s="269"/>
      <c r="W785" s="269"/>
    </row>
    <row r="786" spans="1:23" ht="195" customHeight="1" x14ac:dyDescent="0.2">
      <c r="A786" s="277">
        <f t="shared" si="0"/>
        <v>782</v>
      </c>
      <c r="B786" s="278">
        <v>44244</v>
      </c>
      <c r="C786" s="256">
        <v>44136</v>
      </c>
      <c r="D786" s="255" t="s">
        <v>99</v>
      </c>
      <c r="E786" s="255" t="s">
        <v>330</v>
      </c>
      <c r="F786" s="258">
        <v>3706.93</v>
      </c>
      <c r="G786" s="252" t="s">
        <v>3458</v>
      </c>
      <c r="H786" s="255" t="s">
        <v>125</v>
      </c>
      <c r="I786" s="250" t="s">
        <v>3459</v>
      </c>
      <c r="J786" s="252" t="s">
        <v>3460</v>
      </c>
      <c r="K786" s="255" t="s">
        <v>1015</v>
      </c>
      <c r="L786" s="250" t="s">
        <v>1029</v>
      </c>
      <c r="M786" s="255">
        <v>1076</v>
      </c>
      <c r="N786" s="278">
        <v>44242</v>
      </c>
      <c r="O786" s="329" t="s">
        <v>67</v>
      </c>
      <c r="P786" s="386">
        <f t="shared" ref="P786:Q786" si="783">IF(B786=0,0,IF(YEAR(B786)=$Q$1,MONTH(B786)-$P$1+1,(YEAR(B786)-$Q$1)*12-$P$1+1+MONTH(B786)))</f>
        <v>2</v>
      </c>
      <c r="Q786" s="330">
        <f t="shared" si="783"/>
        <v>-1</v>
      </c>
      <c r="R786" s="351" t="str">
        <f t="shared" si="3"/>
        <v>Gastos_Gerais</v>
      </c>
      <c r="S786" s="351" t="str">
        <f>IF(D786="","",IF(OR(D786=Plano!$A$1,D786=Plano!$B$1),"entrada","saída"))</f>
        <v>saída</v>
      </c>
      <c r="T786" s="334" t="s">
        <v>994</v>
      </c>
      <c r="U786" s="334">
        <v>653</v>
      </c>
      <c r="V786" s="269"/>
      <c r="W786" s="269"/>
    </row>
    <row r="787" spans="1:23" ht="69.75" customHeight="1" x14ac:dyDescent="0.2">
      <c r="A787" s="277">
        <f t="shared" si="0"/>
        <v>783</v>
      </c>
      <c r="B787" s="278">
        <v>44244</v>
      </c>
      <c r="C787" s="249">
        <v>44197</v>
      </c>
      <c r="D787" s="255" t="s">
        <v>99</v>
      </c>
      <c r="E787" s="255" t="s">
        <v>224</v>
      </c>
      <c r="F787" s="258">
        <v>317.45</v>
      </c>
      <c r="G787" s="255" t="s">
        <v>3461</v>
      </c>
      <c r="H787" s="255" t="s">
        <v>115</v>
      </c>
      <c r="I787" s="250" t="s">
        <v>522</v>
      </c>
      <c r="J787" s="252" t="s">
        <v>523</v>
      </c>
      <c r="K787" s="252" t="s">
        <v>1375</v>
      </c>
      <c r="L787" s="252" t="s">
        <v>697</v>
      </c>
      <c r="M787" s="255" t="s">
        <v>3462</v>
      </c>
      <c r="N787" s="278">
        <v>44228</v>
      </c>
      <c r="O787" s="329" t="s">
        <v>67</v>
      </c>
      <c r="P787" s="386">
        <f t="shared" ref="P787:Q787" si="784">IF(B787=0,0,IF(YEAR(B787)=$Q$1,MONTH(B787)-$P$1+1,(YEAR(B787)-$Q$1)*12-$P$1+1+MONTH(B787)))</f>
        <v>2</v>
      </c>
      <c r="Q787" s="330">
        <f t="shared" si="784"/>
        <v>1</v>
      </c>
      <c r="R787" s="351" t="str">
        <f t="shared" si="3"/>
        <v>Gastos_Gerais</v>
      </c>
      <c r="S787" s="351" t="str">
        <f>IF(D787="","",IF(OR(D787=Plano!$A$1,D787=Plano!$B$1),"entrada","saída"))</f>
        <v>saída</v>
      </c>
      <c r="T787" s="334" t="s">
        <v>114</v>
      </c>
      <c r="U787" s="334" t="s">
        <v>114</v>
      </c>
      <c r="V787" s="269"/>
      <c r="W787" s="269"/>
    </row>
    <row r="788" spans="1:23" ht="69.75" customHeight="1" x14ac:dyDescent="0.2">
      <c r="A788" s="277">
        <f t="shared" si="0"/>
        <v>784</v>
      </c>
      <c r="B788" s="278">
        <v>44244</v>
      </c>
      <c r="C788" s="256">
        <v>44197</v>
      </c>
      <c r="D788" s="255" t="s">
        <v>99</v>
      </c>
      <c r="E788" s="255" t="s">
        <v>312</v>
      </c>
      <c r="F788" s="258">
        <v>192.14</v>
      </c>
      <c r="G788" s="255" t="s">
        <v>439</v>
      </c>
      <c r="H788" s="255" t="s">
        <v>115</v>
      </c>
      <c r="I788" s="252" t="s">
        <v>1421</v>
      </c>
      <c r="J788" s="252" t="s">
        <v>441</v>
      </c>
      <c r="K788" s="255" t="s">
        <v>560</v>
      </c>
      <c r="L788" s="250" t="s">
        <v>1016</v>
      </c>
      <c r="M788" s="255">
        <v>2785438</v>
      </c>
      <c r="N788" s="278">
        <v>44229</v>
      </c>
      <c r="O788" s="329" t="s">
        <v>67</v>
      </c>
      <c r="P788" s="386">
        <f t="shared" ref="P788:Q788" si="785">IF(B788=0,0,IF(YEAR(B788)=$Q$1,MONTH(B788)-$P$1+1,(YEAR(B788)-$Q$1)*12-$P$1+1+MONTH(B788)))</f>
        <v>2</v>
      </c>
      <c r="Q788" s="330">
        <f t="shared" si="785"/>
        <v>1</v>
      </c>
      <c r="R788" s="351" t="str">
        <f t="shared" si="3"/>
        <v>Gastos_Gerais</v>
      </c>
      <c r="S788" s="351" t="str">
        <f>IF(D788="","",IF(OR(D788=Plano!$A$1,D788=Plano!$B$1),"entrada","saída"))</f>
        <v>saída</v>
      </c>
      <c r="T788" s="334" t="s">
        <v>1059</v>
      </c>
      <c r="U788" s="334">
        <v>1142</v>
      </c>
      <c r="V788" s="269"/>
      <c r="W788" s="269"/>
    </row>
    <row r="789" spans="1:23" ht="128.25" customHeight="1" x14ac:dyDescent="0.2">
      <c r="A789" s="277">
        <f t="shared" si="0"/>
        <v>785</v>
      </c>
      <c r="B789" s="278">
        <v>44244</v>
      </c>
      <c r="C789" s="256">
        <v>44166</v>
      </c>
      <c r="D789" s="255" t="s">
        <v>88</v>
      </c>
      <c r="E789" s="255" t="s">
        <v>90</v>
      </c>
      <c r="F789" s="258">
        <v>758.77</v>
      </c>
      <c r="G789" s="255" t="s">
        <v>3463</v>
      </c>
      <c r="H789" s="255" t="s">
        <v>114</v>
      </c>
      <c r="I789" s="250" t="s">
        <v>542</v>
      </c>
      <c r="J789" s="252" t="s">
        <v>543</v>
      </c>
      <c r="K789" s="255" t="s">
        <v>560</v>
      </c>
      <c r="L789" s="250" t="s">
        <v>1016</v>
      </c>
      <c r="M789" s="255" t="s">
        <v>3464</v>
      </c>
      <c r="N789" s="278">
        <v>44201</v>
      </c>
      <c r="O789" s="329" t="s">
        <v>67</v>
      </c>
      <c r="P789" s="386">
        <f t="shared" ref="P789:Q789" si="786">IF(B789=0,0,IF(YEAR(B789)=$Q$1,MONTH(B789)-$P$1+1,(YEAR(B789)-$Q$1)*12-$P$1+1+MONTH(B789)))</f>
        <v>2</v>
      </c>
      <c r="Q789" s="330">
        <f t="shared" si="786"/>
        <v>0</v>
      </c>
      <c r="R789" s="351" t="str">
        <f t="shared" si="3"/>
        <v>Gastos_com_Pessoal</v>
      </c>
      <c r="S789" s="351" t="str">
        <f>IF(D789="","",IF(OR(D789=Plano!$A$1,D789=Plano!$B$1),"entrada","saída"))</f>
        <v>saída</v>
      </c>
      <c r="T789" s="334" t="s">
        <v>114</v>
      </c>
      <c r="U789" s="334" t="s">
        <v>114</v>
      </c>
      <c r="V789" s="269"/>
      <c r="W789" s="269"/>
    </row>
    <row r="790" spans="1:23" ht="129.75" customHeight="1" x14ac:dyDescent="0.2">
      <c r="A790" s="277">
        <f t="shared" si="0"/>
        <v>786</v>
      </c>
      <c r="B790" s="278">
        <v>44244</v>
      </c>
      <c r="C790" s="256">
        <v>44228</v>
      </c>
      <c r="D790" s="255" t="s">
        <v>88</v>
      </c>
      <c r="E790" s="255" t="s">
        <v>196</v>
      </c>
      <c r="F790" s="258">
        <v>11105.33</v>
      </c>
      <c r="G790" s="255" t="s">
        <v>541</v>
      </c>
      <c r="H790" s="255" t="s">
        <v>114</v>
      </c>
      <c r="I790" s="252" t="s">
        <v>542</v>
      </c>
      <c r="J790" s="252" t="s">
        <v>543</v>
      </c>
      <c r="K790" s="255" t="s">
        <v>560</v>
      </c>
      <c r="L790" s="250" t="s">
        <v>1016</v>
      </c>
      <c r="M790" s="255" t="s">
        <v>3465</v>
      </c>
      <c r="N790" s="278">
        <v>44204</v>
      </c>
      <c r="O790" s="329" t="s">
        <v>67</v>
      </c>
      <c r="P790" s="386">
        <f t="shared" ref="P790:Q790" si="787">IF(B790=0,0,IF(YEAR(B790)=$Q$1,MONTH(B790)-$P$1+1,(YEAR(B790)-$Q$1)*12-$P$1+1+MONTH(B790)))</f>
        <v>2</v>
      </c>
      <c r="Q790" s="330">
        <f t="shared" si="787"/>
        <v>2</v>
      </c>
      <c r="R790" s="351" t="str">
        <f t="shared" si="3"/>
        <v>Gastos_com_Pessoal</v>
      </c>
      <c r="S790" s="351" t="str">
        <f>IF(D790="","",IF(OR(D790=Plano!$A$1,D790=Plano!$B$1),"entrada","saída"))</f>
        <v>saída</v>
      </c>
      <c r="T790" s="334" t="s">
        <v>114</v>
      </c>
      <c r="U790" s="334" t="s">
        <v>114</v>
      </c>
      <c r="V790" s="269"/>
      <c r="W790" s="269"/>
    </row>
    <row r="791" spans="1:23" ht="111" customHeight="1" x14ac:dyDescent="0.2">
      <c r="A791" s="277">
        <f t="shared" si="0"/>
        <v>787</v>
      </c>
      <c r="B791" s="278">
        <v>44244</v>
      </c>
      <c r="C791" s="256">
        <v>44197</v>
      </c>
      <c r="D791" s="255" t="s">
        <v>99</v>
      </c>
      <c r="E791" s="255" t="s">
        <v>356</v>
      </c>
      <c r="F791" s="258">
        <v>1400</v>
      </c>
      <c r="G791" s="255" t="s">
        <v>3466</v>
      </c>
      <c r="H791" s="255" t="s">
        <v>125</v>
      </c>
      <c r="I791" s="250" t="s">
        <v>1598</v>
      </c>
      <c r="J791" s="252" t="s">
        <v>1599</v>
      </c>
      <c r="K791" s="255" t="s">
        <v>991</v>
      </c>
      <c r="L791" s="250" t="s">
        <v>1016</v>
      </c>
      <c r="M791" s="255" t="s">
        <v>1148</v>
      </c>
      <c r="N791" s="278">
        <v>44239</v>
      </c>
      <c r="O791" s="329" t="s">
        <v>67</v>
      </c>
      <c r="P791" s="386">
        <f t="shared" ref="P791:Q791" si="788">IF(B791=0,0,IF(YEAR(B791)=$Q$1,MONTH(B791)-$P$1+1,(YEAR(B791)-$Q$1)*12-$P$1+1+MONTH(B791)))</f>
        <v>2</v>
      </c>
      <c r="Q791" s="330">
        <f t="shared" si="788"/>
        <v>1</v>
      </c>
      <c r="R791" s="351" t="str">
        <f t="shared" si="3"/>
        <v>Gastos_Gerais</v>
      </c>
      <c r="S791" s="351" t="str">
        <f>IF(D791="","",IF(OR(D791=Plano!$A$1,D791=Plano!$B$1),"entrada","saída"))</f>
        <v>saída</v>
      </c>
      <c r="T791" s="334" t="s">
        <v>1059</v>
      </c>
      <c r="U791" s="334">
        <v>1262</v>
      </c>
      <c r="V791" s="269"/>
      <c r="W791" s="269"/>
    </row>
    <row r="792" spans="1:23" ht="231" customHeight="1" x14ac:dyDescent="0.2">
      <c r="A792" s="277">
        <f t="shared" si="0"/>
        <v>788</v>
      </c>
      <c r="B792" s="278">
        <v>44244</v>
      </c>
      <c r="C792" s="256">
        <v>44197</v>
      </c>
      <c r="D792" s="255" t="s">
        <v>99</v>
      </c>
      <c r="E792" s="255" t="s">
        <v>262</v>
      </c>
      <c r="F792" s="258">
        <v>2000</v>
      </c>
      <c r="G792" s="255" t="s">
        <v>462</v>
      </c>
      <c r="H792" s="255" t="s">
        <v>125</v>
      </c>
      <c r="I792" s="252" t="s">
        <v>1331</v>
      </c>
      <c r="J792" s="252" t="s">
        <v>464</v>
      </c>
      <c r="K792" s="255" t="s">
        <v>991</v>
      </c>
      <c r="L792" s="250" t="s">
        <v>1016</v>
      </c>
      <c r="M792" s="255" t="s">
        <v>1017</v>
      </c>
      <c r="N792" s="278">
        <v>44242</v>
      </c>
      <c r="O792" s="329" t="s">
        <v>67</v>
      </c>
      <c r="P792" s="386">
        <f t="shared" ref="P792:Q792" si="789">IF(B792=0,0,IF(YEAR(B792)=$Q$1,MONTH(B792)-$P$1+1,(YEAR(B792)-$Q$1)*12-$P$1+1+MONTH(B792)))</f>
        <v>2</v>
      </c>
      <c r="Q792" s="330">
        <f t="shared" si="789"/>
        <v>1</v>
      </c>
      <c r="R792" s="351" t="str">
        <f t="shared" si="3"/>
        <v>Gastos_Gerais</v>
      </c>
      <c r="S792" s="351" t="str">
        <f>IF(D792="","",IF(OR(D792=Plano!$A$1,D792=Plano!$B$1),"entrada","saída"))</f>
        <v>saída</v>
      </c>
      <c r="T792" s="334" t="s">
        <v>1059</v>
      </c>
      <c r="U792" s="334">
        <v>956</v>
      </c>
      <c r="V792" s="269"/>
      <c r="W792" s="269"/>
    </row>
    <row r="793" spans="1:23" ht="143.25" customHeight="1" x14ac:dyDescent="0.2">
      <c r="A793" s="277">
        <f t="shared" si="0"/>
        <v>789</v>
      </c>
      <c r="B793" s="278">
        <v>44244</v>
      </c>
      <c r="C793" s="256">
        <v>44228</v>
      </c>
      <c r="D793" s="255" t="s">
        <v>99</v>
      </c>
      <c r="E793" s="255" t="s">
        <v>312</v>
      </c>
      <c r="F793" s="258">
        <v>500</v>
      </c>
      <c r="G793" s="255" t="s">
        <v>3467</v>
      </c>
      <c r="H793" s="255" t="s">
        <v>131</v>
      </c>
      <c r="I793" s="252" t="s">
        <v>3468</v>
      </c>
      <c r="J793" s="252" t="s">
        <v>601</v>
      </c>
      <c r="K793" s="255" t="s">
        <v>991</v>
      </c>
      <c r="L793" s="250" t="s">
        <v>1016</v>
      </c>
      <c r="M793" s="255">
        <v>316</v>
      </c>
      <c r="N793" s="278">
        <v>44242</v>
      </c>
      <c r="O793" s="329" t="s">
        <v>67</v>
      </c>
      <c r="P793" s="386">
        <f t="shared" ref="P793:Q793" si="790">IF(B793=0,0,IF(YEAR(B793)=$Q$1,MONTH(B793)-$P$1+1,(YEAR(B793)-$Q$1)*12-$P$1+1+MONTH(B793)))</f>
        <v>2</v>
      </c>
      <c r="Q793" s="330">
        <f t="shared" si="790"/>
        <v>2</v>
      </c>
      <c r="R793" s="351" t="str">
        <f t="shared" si="3"/>
        <v>Gastos_Gerais</v>
      </c>
      <c r="S793" s="351" t="str">
        <f>IF(D793="","",IF(OR(D793=Plano!$A$1,D793=Plano!$B$1),"entrada","saída"))</f>
        <v>saída</v>
      </c>
      <c r="T793" s="334" t="s">
        <v>994</v>
      </c>
      <c r="U793" s="334">
        <v>41</v>
      </c>
      <c r="V793" s="269"/>
      <c r="W793" s="269"/>
    </row>
    <row r="794" spans="1:23" ht="163.5" customHeight="1" x14ac:dyDescent="0.2">
      <c r="A794" s="277">
        <f t="shared" si="0"/>
        <v>790</v>
      </c>
      <c r="B794" s="350">
        <v>44244</v>
      </c>
      <c r="C794" s="249">
        <v>44166</v>
      </c>
      <c r="D794" s="250" t="s">
        <v>99</v>
      </c>
      <c r="E794" s="250" t="s">
        <v>266</v>
      </c>
      <c r="F794" s="251">
        <v>479.86</v>
      </c>
      <c r="G794" s="250" t="s">
        <v>3469</v>
      </c>
      <c r="H794" s="250" t="s">
        <v>125</v>
      </c>
      <c r="I794" s="250" t="s">
        <v>1447</v>
      </c>
      <c r="J794" s="250" t="s">
        <v>587</v>
      </c>
      <c r="K794" s="250" t="s">
        <v>991</v>
      </c>
      <c r="L794" s="250" t="s">
        <v>1016</v>
      </c>
      <c r="M794" s="250" t="s">
        <v>1049</v>
      </c>
      <c r="N794" s="350">
        <v>44243</v>
      </c>
      <c r="O794" s="353" t="s">
        <v>67</v>
      </c>
      <c r="P794" s="386">
        <f t="shared" ref="P794:Q794" si="791">IF(B794=0,0,IF(YEAR(B794)=$Q$1,MONTH(B794)-$P$1+1,(YEAR(B794)-$Q$1)*12-$P$1+1+MONTH(B794)))</f>
        <v>2</v>
      </c>
      <c r="Q794" s="330">
        <f t="shared" si="791"/>
        <v>0</v>
      </c>
      <c r="R794" s="351" t="str">
        <f t="shared" si="3"/>
        <v>Gastos_Gerais</v>
      </c>
      <c r="S794" s="351" t="str">
        <f>IF(D794="","",IF(OR(D794=Plano!$A$1,D794=Plano!$B$1),"entrada","saída"))</f>
        <v>saída</v>
      </c>
      <c r="T794" s="334" t="s">
        <v>994</v>
      </c>
      <c r="U794" s="334">
        <v>1118</v>
      </c>
      <c r="V794" s="269"/>
      <c r="W794" s="269"/>
    </row>
    <row r="795" spans="1:23" ht="69.75" customHeight="1" x14ac:dyDescent="0.2">
      <c r="A795" s="277">
        <f t="shared" si="0"/>
        <v>791</v>
      </c>
      <c r="B795" s="278">
        <v>44244</v>
      </c>
      <c r="C795" s="256">
        <v>44228</v>
      </c>
      <c r="D795" s="255" t="s">
        <v>99</v>
      </c>
      <c r="E795" s="255" t="s">
        <v>352</v>
      </c>
      <c r="F795" s="258">
        <v>2850</v>
      </c>
      <c r="G795" s="255" t="s">
        <v>564</v>
      </c>
      <c r="H795" s="255" t="s">
        <v>131</v>
      </c>
      <c r="I795" s="252" t="s">
        <v>1740</v>
      </c>
      <c r="J795" s="252" t="s">
        <v>567</v>
      </c>
      <c r="K795" s="255" t="s">
        <v>991</v>
      </c>
      <c r="L795" s="250" t="s">
        <v>1016</v>
      </c>
      <c r="M795" s="255" t="s">
        <v>1017</v>
      </c>
      <c r="N795" s="278">
        <v>44243</v>
      </c>
      <c r="O795" s="329" t="s">
        <v>67</v>
      </c>
      <c r="P795" s="386">
        <f t="shared" ref="P795:Q795" si="792">IF(B795=0,0,IF(YEAR(B795)=$Q$1,MONTH(B795)-$P$1+1,(YEAR(B795)-$Q$1)*12-$P$1+1+MONTH(B795)))</f>
        <v>2</v>
      </c>
      <c r="Q795" s="330">
        <f t="shared" si="792"/>
        <v>2</v>
      </c>
      <c r="R795" s="351" t="str">
        <f t="shared" si="3"/>
        <v>Gastos_Gerais</v>
      </c>
      <c r="S795" s="351" t="str">
        <f>IF(D795="","",IF(OR(D795=Plano!$A$1,D795=Plano!$B$1),"entrada","saída"))</f>
        <v>saída</v>
      </c>
      <c r="T795" s="334" t="s">
        <v>1059</v>
      </c>
      <c r="U795" s="334">
        <v>1279</v>
      </c>
      <c r="V795" s="269"/>
      <c r="W795" s="269"/>
    </row>
    <row r="796" spans="1:23" ht="231" customHeight="1" x14ac:dyDescent="0.2">
      <c r="A796" s="277">
        <f t="shared" si="0"/>
        <v>792</v>
      </c>
      <c r="B796" s="278">
        <v>44244</v>
      </c>
      <c r="C796" s="256">
        <v>44197</v>
      </c>
      <c r="D796" s="255" t="s">
        <v>99</v>
      </c>
      <c r="E796" s="255" t="s">
        <v>358</v>
      </c>
      <c r="F796" s="258">
        <v>615.72</v>
      </c>
      <c r="G796" s="255" t="s">
        <v>2881</v>
      </c>
      <c r="H796" s="255" t="s">
        <v>131</v>
      </c>
      <c r="I796" s="252" t="s">
        <v>2882</v>
      </c>
      <c r="J796" s="252" t="s">
        <v>825</v>
      </c>
      <c r="K796" s="255" t="s">
        <v>991</v>
      </c>
      <c r="L796" s="250" t="s">
        <v>1029</v>
      </c>
      <c r="M796" s="255">
        <v>1078</v>
      </c>
      <c r="N796" s="278">
        <v>44242</v>
      </c>
      <c r="O796" s="329" t="s">
        <v>67</v>
      </c>
      <c r="P796" s="386">
        <f t="shared" ref="P796:Q796" si="793">IF(B796=0,0,IF(YEAR(B796)=$Q$1,MONTH(B796)-$P$1+1,(YEAR(B796)-$Q$1)*12-$P$1+1+MONTH(B796)))</f>
        <v>2</v>
      </c>
      <c r="Q796" s="330">
        <f t="shared" si="793"/>
        <v>1</v>
      </c>
      <c r="R796" s="351" t="str">
        <f t="shared" si="3"/>
        <v>Gastos_Gerais</v>
      </c>
      <c r="S796" s="351" t="str">
        <f>IF(D796="","",IF(OR(D796=Plano!$A$1,D796=Plano!$B$1),"entrada","saída"))</f>
        <v>saída</v>
      </c>
      <c r="T796" s="334" t="s">
        <v>1082</v>
      </c>
      <c r="U796" s="334">
        <v>1011</v>
      </c>
      <c r="V796" s="269"/>
      <c r="W796" s="269"/>
    </row>
    <row r="797" spans="1:23" ht="209.25" customHeight="1" x14ac:dyDescent="0.2">
      <c r="A797" s="277">
        <f t="shared" si="0"/>
        <v>793</v>
      </c>
      <c r="B797" s="278">
        <v>44244</v>
      </c>
      <c r="C797" s="256">
        <v>44197</v>
      </c>
      <c r="D797" s="255" t="s">
        <v>99</v>
      </c>
      <c r="E797" s="255" t="s">
        <v>358</v>
      </c>
      <c r="F797" s="258">
        <v>615.72</v>
      </c>
      <c r="G797" s="255" t="s">
        <v>2951</v>
      </c>
      <c r="H797" s="255" t="s">
        <v>131</v>
      </c>
      <c r="I797" s="252" t="s">
        <v>2829</v>
      </c>
      <c r="J797" s="252" t="s">
        <v>2830</v>
      </c>
      <c r="K797" s="255" t="s">
        <v>991</v>
      </c>
      <c r="L797" s="250" t="s">
        <v>1029</v>
      </c>
      <c r="M797" s="255">
        <v>1079</v>
      </c>
      <c r="N797" s="278">
        <v>44242</v>
      </c>
      <c r="O797" s="329" t="s">
        <v>67</v>
      </c>
      <c r="P797" s="386">
        <f t="shared" ref="P797:Q797" si="794">IF(B797=0,0,IF(YEAR(B797)=$Q$1,MONTH(B797)-$P$1+1,(YEAR(B797)-$Q$1)*12-$P$1+1+MONTH(B797)))</f>
        <v>2</v>
      </c>
      <c r="Q797" s="330">
        <f t="shared" si="794"/>
        <v>1</v>
      </c>
      <c r="R797" s="351" t="str">
        <f t="shared" si="3"/>
        <v>Gastos_Gerais</v>
      </c>
      <c r="S797" s="351" t="str">
        <f>IF(D797="","",IF(OR(D797=Plano!$A$1,D797=Plano!$B$1),"entrada","saída"))</f>
        <v>saída</v>
      </c>
      <c r="T797" s="334" t="s">
        <v>994</v>
      </c>
      <c r="U797" s="334">
        <v>1013</v>
      </c>
      <c r="V797" s="269"/>
      <c r="W797" s="269"/>
    </row>
    <row r="798" spans="1:23" ht="212.25" customHeight="1" x14ac:dyDescent="0.2">
      <c r="A798" s="277">
        <f t="shared" si="0"/>
        <v>794</v>
      </c>
      <c r="B798" s="278">
        <v>44244</v>
      </c>
      <c r="C798" s="256">
        <v>44197</v>
      </c>
      <c r="D798" s="255" t="s">
        <v>99</v>
      </c>
      <c r="E798" s="255" t="s">
        <v>358</v>
      </c>
      <c r="F798" s="258">
        <v>392.28</v>
      </c>
      <c r="G798" s="255" t="s">
        <v>2947</v>
      </c>
      <c r="H798" s="255" t="s">
        <v>131</v>
      </c>
      <c r="I798" s="250" t="s">
        <v>2948</v>
      </c>
      <c r="J798" s="252" t="s">
        <v>745</v>
      </c>
      <c r="K798" s="255" t="s">
        <v>991</v>
      </c>
      <c r="L798" s="250" t="s">
        <v>1029</v>
      </c>
      <c r="M798" s="255">
        <v>1080</v>
      </c>
      <c r="N798" s="278">
        <v>44242</v>
      </c>
      <c r="O798" s="329" t="s">
        <v>67</v>
      </c>
      <c r="P798" s="386">
        <f t="shared" ref="P798:Q798" si="795">IF(B798=0,0,IF(YEAR(B798)=$Q$1,MONTH(B798)-$P$1+1,(YEAR(B798)-$Q$1)*12-$P$1+1+MONTH(B798)))</f>
        <v>2</v>
      </c>
      <c r="Q798" s="330">
        <f t="shared" si="795"/>
        <v>1</v>
      </c>
      <c r="R798" s="351" t="str">
        <f t="shared" si="3"/>
        <v>Gastos_Gerais</v>
      </c>
      <c r="S798" s="351" t="str">
        <f>IF(D798="","",IF(OR(D798=Plano!$A$1,D798=Plano!$B$1),"entrada","saída"))</f>
        <v>saída</v>
      </c>
      <c r="T798" s="334" t="s">
        <v>994</v>
      </c>
      <c r="U798" s="334">
        <v>842</v>
      </c>
      <c r="V798" s="269"/>
      <c r="W798" s="269"/>
    </row>
    <row r="799" spans="1:23" ht="233.25" customHeight="1" x14ac:dyDescent="0.2">
      <c r="A799" s="277">
        <f t="shared" si="0"/>
        <v>795</v>
      </c>
      <c r="B799" s="278">
        <v>44244</v>
      </c>
      <c r="C799" s="256">
        <v>44197</v>
      </c>
      <c r="D799" s="255" t="s">
        <v>99</v>
      </c>
      <c r="E799" s="255" t="s">
        <v>358</v>
      </c>
      <c r="F799" s="258">
        <v>615.72</v>
      </c>
      <c r="G799" s="255" t="s">
        <v>2951</v>
      </c>
      <c r="H799" s="255" t="s">
        <v>131</v>
      </c>
      <c r="I799" s="252" t="s">
        <v>2868</v>
      </c>
      <c r="J799" s="252" t="s">
        <v>826</v>
      </c>
      <c r="K799" s="255" t="s">
        <v>991</v>
      </c>
      <c r="L799" s="250" t="s">
        <v>1029</v>
      </c>
      <c r="M799" s="255">
        <v>1083</v>
      </c>
      <c r="N799" s="278">
        <v>44243</v>
      </c>
      <c r="O799" s="329" t="s">
        <v>67</v>
      </c>
      <c r="P799" s="386">
        <f t="shared" ref="P799:Q799" si="796">IF(B799=0,0,IF(YEAR(B799)=$Q$1,MONTH(B799)-$P$1+1,(YEAR(B799)-$Q$1)*12-$P$1+1+MONTH(B799)))</f>
        <v>2</v>
      </c>
      <c r="Q799" s="330">
        <f t="shared" si="796"/>
        <v>1</v>
      </c>
      <c r="R799" s="351" t="str">
        <f t="shared" si="3"/>
        <v>Gastos_Gerais</v>
      </c>
      <c r="S799" s="351" t="str">
        <f>IF(D799="","",IF(OR(D799=Plano!$A$1,D799=Plano!$B$1),"entrada","saída"))</f>
        <v>saída</v>
      </c>
      <c r="T799" s="334" t="s">
        <v>994</v>
      </c>
      <c r="U799" s="334">
        <v>1012</v>
      </c>
      <c r="V799" s="269"/>
      <c r="W799" s="269"/>
    </row>
    <row r="800" spans="1:23" ht="178.5" customHeight="1" x14ac:dyDescent="0.2">
      <c r="A800" s="277">
        <f t="shared" si="0"/>
        <v>796</v>
      </c>
      <c r="B800" s="278">
        <v>44244</v>
      </c>
      <c r="C800" s="256">
        <v>44197</v>
      </c>
      <c r="D800" s="255" t="s">
        <v>99</v>
      </c>
      <c r="E800" s="255" t="s">
        <v>330</v>
      </c>
      <c r="F800" s="258">
        <v>2000</v>
      </c>
      <c r="G800" s="255" t="s">
        <v>3470</v>
      </c>
      <c r="H800" s="255" t="s">
        <v>125</v>
      </c>
      <c r="I800" s="252" t="s">
        <v>3471</v>
      </c>
      <c r="J800" s="252" t="s">
        <v>3472</v>
      </c>
      <c r="K800" s="255" t="s">
        <v>991</v>
      </c>
      <c r="L800" s="250" t="s">
        <v>1016</v>
      </c>
      <c r="M800" s="255" t="s">
        <v>1443</v>
      </c>
      <c r="N800" s="278">
        <v>44243</v>
      </c>
      <c r="O800" s="329" t="s">
        <v>67</v>
      </c>
      <c r="P800" s="386">
        <f t="shared" ref="P800:Q800" si="797">IF(B800=0,0,IF(YEAR(B800)=$Q$1,MONTH(B800)-$P$1+1,(YEAR(B800)-$Q$1)*12-$P$1+1+MONTH(B800)))</f>
        <v>2</v>
      </c>
      <c r="Q800" s="330">
        <f t="shared" si="797"/>
        <v>1</v>
      </c>
      <c r="R800" s="351" t="str">
        <f t="shared" si="3"/>
        <v>Gastos_Gerais</v>
      </c>
      <c r="S800" s="351" t="str">
        <f>IF(D800="","",IF(OR(D800=Plano!$A$1,D800=Plano!$B$1),"entrada","saída"))</f>
        <v>saída</v>
      </c>
      <c r="T800" s="334" t="s">
        <v>994</v>
      </c>
      <c r="U800" s="334">
        <v>1178</v>
      </c>
      <c r="V800" s="269"/>
      <c r="W800" s="269"/>
    </row>
    <row r="801" spans="1:23" ht="189.75" customHeight="1" x14ac:dyDescent="0.2">
      <c r="A801" s="277">
        <f t="shared" si="0"/>
        <v>797</v>
      </c>
      <c r="B801" s="278">
        <v>44244</v>
      </c>
      <c r="C801" s="256">
        <v>44166</v>
      </c>
      <c r="D801" s="255" t="s">
        <v>99</v>
      </c>
      <c r="E801" s="255" t="s">
        <v>364</v>
      </c>
      <c r="F801" s="258">
        <v>2000</v>
      </c>
      <c r="G801" s="255" t="s">
        <v>3473</v>
      </c>
      <c r="H801" s="255" t="s">
        <v>125</v>
      </c>
      <c r="I801" s="252" t="s">
        <v>3474</v>
      </c>
      <c r="J801" s="252" t="s">
        <v>1357</v>
      </c>
      <c r="K801" s="255" t="s">
        <v>991</v>
      </c>
      <c r="L801" s="250" t="s">
        <v>1016</v>
      </c>
      <c r="M801" s="255" t="s">
        <v>1443</v>
      </c>
      <c r="N801" s="278">
        <v>44243</v>
      </c>
      <c r="O801" s="329" t="s">
        <v>67</v>
      </c>
      <c r="P801" s="386">
        <f t="shared" ref="P801:Q801" si="798">IF(B801=0,0,IF(YEAR(B801)=$Q$1,MONTH(B801)-$P$1+1,(YEAR(B801)-$Q$1)*12-$P$1+1+MONTH(B801)))</f>
        <v>2</v>
      </c>
      <c r="Q801" s="330">
        <f t="shared" si="798"/>
        <v>0</v>
      </c>
      <c r="R801" s="351" t="str">
        <f t="shared" si="3"/>
        <v>Gastos_Gerais</v>
      </c>
      <c r="S801" s="351" t="str">
        <f>IF(D801="","",IF(OR(D801=Plano!$A$1,D801=Plano!$B$1),"entrada","saída"))</f>
        <v>saída</v>
      </c>
      <c r="T801" s="334" t="s">
        <v>994</v>
      </c>
      <c r="U801" s="334">
        <v>1172</v>
      </c>
      <c r="V801" s="269"/>
      <c r="W801" s="269"/>
    </row>
    <row r="802" spans="1:23" ht="230.25" customHeight="1" x14ac:dyDescent="0.2">
      <c r="A802" s="277">
        <f t="shared" si="0"/>
        <v>798</v>
      </c>
      <c r="B802" s="278">
        <v>44244</v>
      </c>
      <c r="C802" s="256">
        <v>44136</v>
      </c>
      <c r="D802" s="255" t="s">
        <v>99</v>
      </c>
      <c r="E802" s="255" t="s">
        <v>330</v>
      </c>
      <c r="F802" s="258">
        <v>2075.92</v>
      </c>
      <c r="G802" s="255" t="s">
        <v>3475</v>
      </c>
      <c r="H802" s="255" t="s">
        <v>125</v>
      </c>
      <c r="I802" s="252" t="s">
        <v>3476</v>
      </c>
      <c r="J802" s="252" t="s">
        <v>3477</v>
      </c>
      <c r="K802" s="255" t="s">
        <v>991</v>
      </c>
      <c r="L802" s="250" t="s">
        <v>1029</v>
      </c>
      <c r="M802" s="255">
        <v>1082</v>
      </c>
      <c r="N802" s="278">
        <v>44243</v>
      </c>
      <c r="O802" s="329" t="s">
        <v>67</v>
      </c>
      <c r="P802" s="386">
        <f t="shared" ref="P802:Q802" si="799">IF(B802=0,0,IF(YEAR(B802)=$Q$1,MONTH(B802)-$P$1+1,(YEAR(B802)-$Q$1)*12-$P$1+1+MONTH(B802)))</f>
        <v>2</v>
      </c>
      <c r="Q802" s="330">
        <f t="shared" si="799"/>
        <v>-1</v>
      </c>
      <c r="R802" s="351" t="str">
        <f t="shared" si="3"/>
        <v>Gastos_Gerais</v>
      </c>
      <c r="S802" s="351" t="str">
        <f>IF(D802="","",IF(OR(D802=Plano!$A$1,D802=Plano!$B$1),"entrada","saída"))</f>
        <v>saída</v>
      </c>
      <c r="T802" s="334" t="s">
        <v>994</v>
      </c>
      <c r="U802" s="334">
        <v>1066</v>
      </c>
      <c r="V802" s="269"/>
      <c r="W802" s="269"/>
    </row>
    <row r="803" spans="1:23" ht="249.75" customHeight="1" x14ac:dyDescent="0.2">
      <c r="A803" s="277">
        <f t="shared" si="0"/>
        <v>799</v>
      </c>
      <c r="B803" s="278">
        <v>44244</v>
      </c>
      <c r="C803" s="256">
        <v>44105</v>
      </c>
      <c r="D803" s="255" t="s">
        <v>99</v>
      </c>
      <c r="E803" s="255" t="s">
        <v>336</v>
      </c>
      <c r="F803" s="258">
        <v>970</v>
      </c>
      <c r="G803" s="255" t="s">
        <v>3478</v>
      </c>
      <c r="H803" s="255" t="s">
        <v>125</v>
      </c>
      <c r="I803" s="250" t="s">
        <v>2649</v>
      </c>
      <c r="J803" s="252" t="s">
        <v>2650</v>
      </c>
      <c r="K803" s="255" t="s">
        <v>991</v>
      </c>
      <c r="L803" s="250" t="s">
        <v>1016</v>
      </c>
      <c r="M803" s="255" t="s">
        <v>1256</v>
      </c>
      <c r="N803" s="278">
        <v>44244</v>
      </c>
      <c r="O803" s="329" t="s">
        <v>67</v>
      </c>
      <c r="P803" s="386">
        <f t="shared" ref="P803:Q803" si="800">IF(B803=0,0,IF(YEAR(B803)=$Q$1,MONTH(B803)-$P$1+1,(YEAR(B803)-$Q$1)*12-$P$1+1+MONTH(B803)))</f>
        <v>2</v>
      </c>
      <c r="Q803" s="330">
        <f t="shared" si="800"/>
        <v>-2</v>
      </c>
      <c r="R803" s="351" t="str">
        <f t="shared" si="3"/>
        <v>Gastos_Gerais</v>
      </c>
      <c r="S803" s="351" t="str">
        <f>IF(D803="","",IF(OR(D803=Plano!$A$1,D803=Plano!$B$1),"entrada","saída"))</f>
        <v>saída</v>
      </c>
      <c r="T803" s="334" t="s">
        <v>994</v>
      </c>
      <c r="U803" s="334">
        <v>651</v>
      </c>
      <c r="V803" s="269"/>
      <c r="W803" s="269"/>
    </row>
    <row r="804" spans="1:23" ht="69.75" customHeight="1" x14ac:dyDescent="0.2">
      <c r="A804" s="277">
        <f t="shared" si="0"/>
        <v>800</v>
      </c>
      <c r="B804" s="278">
        <v>44244</v>
      </c>
      <c r="C804" s="256">
        <v>44228</v>
      </c>
      <c r="D804" s="255" t="s">
        <v>99</v>
      </c>
      <c r="E804" s="255" t="s">
        <v>352</v>
      </c>
      <c r="F804" s="258">
        <v>2565</v>
      </c>
      <c r="G804" s="255" t="s">
        <v>564</v>
      </c>
      <c r="H804" s="255" t="s">
        <v>131</v>
      </c>
      <c r="I804" s="252" t="s">
        <v>1332</v>
      </c>
      <c r="J804" s="252" t="s">
        <v>565</v>
      </c>
      <c r="K804" s="255" t="s">
        <v>991</v>
      </c>
      <c r="L804" s="250" t="s">
        <v>1016</v>
      </c>
      <c r="M804" s="255" t="s">
        <v>1148</v>
      </c>
      <c r="N804" s="278">
        <v>44243</v>
      </c>
      <c r="O804" s="329" t="s">
        <v>67</v>
      </c>
      <c r="P804" s="386">
        <f t="shared" ref="P804:Q804" si="801">IF(B804=0,0,IF(YEAR(B804)=$Q$1,MONTH(B804)-$P$1+1,(YEAR(B804)-$Q$1)*12-$P$1+1+MONTH(B804)))</f>
        <v>2</v>
      </c>
      <c r="Q804" s="330">
        <f t="shared" si="801"/>
        <v>2</v>
      </c>
      <c r="R804" s="351" t="str">
        <f t="shared" si="3"/>
        <v>Gastos_Gerais</v>
      </c>
      <c r="S804" s="351" t="str">
        <f>IF(D804="","",IF(OR(D804=Plano!$A$1,D804=Plano!$B$1),"entrada","saída"))</f>
        <v>saída</v>
      </c>
      <c r="T804" s="334" t="s">
        <v>1059</v>
      </c>
      <c r="U804" s="334">
        <v>1280</v>
      </c>
      <c r="V804" s="269"/>
      <c r="W804" s="269"/>
    </row>
    <row r="805" spans="1:23" ht="192" customHeight="1" x14ac:dyDescent="0.2">
      <c r="A805" s="277">
        <f t="shared" si="0"/>
        <v>801</v>
      </c>
      <c r="B805" s="278">
        <v>44244</v>
      </c>
      <c r="C805" s="256">
        <v>44136</v>
      </c>
      <c r="D805" s="255" t="s">
        <v>99</v>
      </c>
      <c r="E805" s="255" t="s">
        <v>352</v>
      </c>
      <c r="F805" s="258">
        <v>3039.5</v>
      </c>
      <c r="G805" s="255" t="s">
        <v>2891</v>
      </c>
      <c r="H805" s="255" t="s">
        <v>125</v>
      </c>
      <c r="I805" s="252" t="s">
        <v>2892</v>
      </c>
      <c r="J805" s="252" t="s">
        <v>2893</v>
      </c>
      <c r="K805" s="255" t="s">
        <v>991</v>
      </c>
      <c r="L805" s="250" t="s">
        <v>1029</v>
      </c>
      <c r="M805" s="255">
        <v>1084</v>
      </c>
      <c r="N805" s="278">
        <v>44244</v>
      </c>
      <c r="O805" s="329" t="s">
        <v>67</v>
      </c>
      <c r="P805" s="386">
        <f t="shared" ref="P805:Q805" si="802">IF(B805=0,0,IF(YEAR(B805)=$Q$1,MONTH(B805)-$P$1+1,(YEAR(B805)-$Q$1)*12-$P$1+1+MONTH(B805)))</f>
        <v>2</v>
      </c>
      <c r="Q805" s="330">
        <f t="shared" si="802"/>
        <v>-1</v>
      </c>
      <c r="R805" s="351" t="str">
        <f t="shared" si="3"/>
        <v>Gastos_Gerais</v>
      </c>
      <c r="S805" s="351" t="str">
        <f>IF(D805="","",IF(OR(D805=Plano!$A$1,D805=Plano!$B$1),"entrada","saída"))</f>
        <v>saída</v>
      </c>
      <c r="T805" s="334" t="s">
        <v>994</v>
      </c>
      <c r="U805" s="334">
        <v>652</v>
      </c>
      <c r="V805" s="269"/>
      <c r="W805" s="269"/>
    </row>
    <row r="806" spans="1:23" ht="69.75" customHeight="1" x14ac:dyDescent="0.2">
      <c r="A806" s="277">
        <f t="shared" si="0"/>
        <v>802</v>
      </c>
      <c r="B806" s="278">
        <v>44244</v>
      </c>
      <c r="C806" s="256">
        <v>44197</v>
      </c>
      <c r="D806" s="255" t="s">
        <v>99</v>
      </c>
      <c r="E806" s="255" t="s">
        <v>216</v>
      </c>
      <c r="F806" s="258">
        <v>247.71</v>
      </c>
      <c r="G806" s="255" t="s">
        <v>3479</v>
      </c>
      <c r="H806" s="255" t="s">
        <v>115</v>
      </c>
      <c r="I806" s="252" t="s">
        <v>513</v>
      </c>
      <c r="J806" s="252" t="s">
        <v>514</v>
      </c>
      <c r="K806" s="255" t="s">
        <v>696</v>
      </c>
      <c r="L806" s="250" t="s">
        <v>697</v>
      </c>
      <c r="M806" s="255">
        <v>53643217</v>
      </c>
      <c r="N806" s="278">
        <v>44222</v>
      </c>
      <c r="O806" s="329" t="s">
        <v>67</v>
      </c>
      <c r="P806" s="386">
        <f t="shared" ref="P806:Q806" si="803">IF(B806=0,0,IF(YEAR(B806)=$Q$1,MONTH(B806)-$P$1+1,(YEAR(B806)-$Q$1)*12-$P$1+1+MONTH(B806)))</f>
        <v>2</v>
      </c>
      <c r="Q806" s="330">
        <f t="shared" si="803"/>
        <v>1</v>
      </c>
      <c r="R806" s="351" t="str">
        <f t="shared" si="3"/>
        <v>Gastos_Gerais</v>
      </c>
      <c r="S806" s="351" t="str">
        <f>IF(D806="","",IF(OR(D806=Plano!$A$1,D806=Plano!$B$1),"entrada","saída"))</f>
        <v>saída</v>
      </c>
      <c r="T806" s="334" t="s">
        <v>114</v>
      </c>
      <c r="U806" s="334" t="s">
        <v>114</v>
      </c>
      <c r="V806" s="269"/>
      <c r="W806" s="269"/>
    </row>
    <row r="807" spans="1:23" ht="69.75" customHeight="1" x14ac:dyDescent="0.2">
      <c r="A807" s="277">
        <f t="shared" si="0"/>
        <v>803</v>
      </c>
      <c r="B807" s="278">
        <v>44244</v>
      </c>
      <c r="C807" s="256">
        <v>44197</v>
      </c>
      <c r="D807" s="255" t="s">
        <v>99</v>
      </c>
      <c r="E807" s="255" t="s">
        <v>222</v>
      </c>
      <c r="F807" s="258">
        <v>579.94000000000005</v>
      </c>
      <c r="G807" s="255" t="s">
        <v>3480</v>
      </c>
      <c r="H807" s="255" t="s">
        <v>115</v>
      </c>
      <c r="I807" s="252" t="s">
        <v>522</v>
      </c>
      <c r="J807" s="252" t="s">
        <v>523</v>
      </c>
      <c r="K807" s="255" t="s">
        <v>1375</v>
      </c>
      <c r="L807" s="252" t="s">
        <v>697</v>
      </c>
      <c r="M807" s="250" t="s">
        <v>114</v>
      </c>
      <c r="N807" s="278">
        <v>44228</v>
      </c>
      <c r="O807" s="329" t="s">
        <v>67</v>
      </c>
      <c r="P807" s="386">
        <f t="shared" ref="P807:Q807" si="804">IF(B807=0,0,IF(YEAR(B807)=$Q$1,MONTH(B807)-$P$1+1,(YEAR(B807)-$Q$1)*12-$P$1+1+MONTH(B807)))</f>
        <v>2</v>
      </c>
      <c r="Q807" s="330">
        <f t="shared" si="804"/>
        <v>1</v>
      </c>
      <c r="R807" s="351" t="str">
        <f t="shared" si="3"/>
        <v>Gastos_Gerais</v>
      </c>
      <c r="S807" s="351" t="str">
        <f>IF(D807="","",IF(OR(D807=Plano!$A$1,D807=Plano!$B$1),"entrada","saída"))</f>
        <v>saída</v>
      </c>
      <c r="T807" s="334" t="s">
        <v>114</v>
      </c>
      <c r="U807" s="334" t="s">
        <v>114</v>
      </c>
      <c r="V807" s="269"/>
      <c r="W807" s="269"/>
    </row>
    <row r="808" spans="1:23" ht="69.75" customHeight="1" x14ac:dyDescent="0.2">
      <c r="A808" s="277">
        <f t="shared" si="0"/>
        <v>804</v>
      </c>
      <c r="B808" s="278">
        <v>44244</v>
      </c>
      <c r="C808" s="256">
        <v>44228</v>
      </c>
      <c r="D808" s="255" t="s">
        <v>99</v>
      </c>
      <c r="E808" s="255" t="s">
        <v>272</v>
      </c>
      <c r="F808" s="258">
        <v>10.45</v>
      </c>
      <c r="G808" s="255" t="s">
        <v>3481</v>
      </c>
      <c r="H808" s="255" t="s">
        <v>125</v>
      </c>
      <c r="I808" s="250" t="s">
        <v>949</v>
      </c>
      <c r="J808" s="255" t="s">
        <v>950</v>
      </c>
      <c r="K808" s="255" t="s">
        <v>951</v>
      </c>
      <c r="L808" s="250" t="s">
        <v>947</v>
      </c>
      <c r="M808" s="279" t="s">
        <v>114</v>
      </c>
      <c r="N808" s="278">
        <v>44244</v>
      </c>
      <c r="O808" s="329" t="s">
        <v>67</v>
      </c>
      <c r="P808" s="386">
        <f t="shared" ref="P808:Q808" si="805">IF(B808=0,0,IF(YEAR(B808)=$Q$1,MONTH(B808)-$P$1+1,(YEAR(B808)-$Q$1)*12-$P$1+1+MONTH(B808)))</f>
        <v>2</v>
      </c>
      <c r="Q808" s="330">
        <f t="shared" si="805"/>
        <v>2</v>
      </c>
      <c r="R808" s="351" t="str">
        <f t="shared" si="3"/>
        <v>Gastos_Gerais</v>
      </c>
      <c r="S808" s="351" t="str">
        <f>IF(D808="","",IF(OR(D808=Plano!$A$1,D808=Plano!$B$1),"entrada","saída"))</f>
        <v>saída</v>
      </c>
      <c r="T808" s="334" t="s">
        <v>114</v>
      </c>
      <c r="U808" s="334" t="s">
        <v>114</v>
      </c>
      <c r="V808" s="269"/>
      <c r="W808" s="269"/>
    </row>
    <row r="809" spans="1:23" ht="69.75" customHeight="1" x14ac:dyDescent="0.2">
      <c r="A809" s="277">
        <f t="shared" si="0"/>
        <v>805</v>
      </c>
      <c r="B809" s="278">
        <v>44244</v>
      </c>
      <c r="C809" s="256">
        <v>44228</v>
      </c>
      <c r="D809" s="255" t="s">
        <v>99</v>
      </c>
      <c r="E809" s="255" t="s">
        <v>272</v>
      </c>
      <c r="F809" s="258">
        <v>10.45</v>
      </c>
      <c r="G809" s="255" t="s">
        <v>3482</v>
      </c>
      <c r="H809" s="255" t="s">
        <v>125</v>
      </c>
      <c r="I809" s="250" t="s">
        <v>949</v>
      </c>
      <c r="J809" s="255" t="s">
        <v>950</v>
      </c>
      <c r="K809" s="255" t="s">
        <v>951</v>
      </c>
      <c r="L809" s="250" t="s">
        <v>947</v>
      </c>
      <c r="M809" s="279" t="s">
        <v>114</v>
      </c>
      <c r="N809" s="278">
        <v>44244</v>
      </c>
      <c r="O809" s="329" t="s">
        <v>67</v>
      </c>
      <c r="P809" s="386">
        <f t="shared" ref="P809:Q809" si="806">IF(B809=0,0,IF(YEAR(B809)=$Q$1,MONTH(B809)-$P$1+1,(YEAR(B809)-$Q$1)*12-$P$1+1+MONTH(B809)))</f>
        <v>2</v>
      </c>
      <c r="Q809" s="330">
        <f t="shared" si="806"/>
        <v>2</v>
      </c>
      <c r="R809" s="351" t="str">
        <f t="shared" si="3"/>
        <v>Gastos_Gerais</v>
      </c>
      <c r="S809" s="351" t="str">
        <f>IF(D809="","",IF(OR(D809=Plano!$A$1,D809=Plano!$B$1),"entrada","saída"))</f>
        <v>saída</v>
      </c>
      <c r="T809" s="334" t="s">
        <v>114</v>
      </c>
      <c r="U809" s="334" t="s">
        <v>114</v>
      </c>
      <c r="V809" s="269"/>
      <c r="W809" s="269"/>
    </row>
    <row r="810" spans="1:23" ht="69.75" customHeight="1" x14ac:dyDescent="0.2">
      <c r="A810" s="277">
        <f t="shared" si="0"/>
        <v>806</v>
      </c>
      <c r="B810" s="278">
        <v>44244</v>
      </c>
      <c r="C810" s="256">
        <v>44228</v>
      </c>
      <c r="D810" s="255" t="s">
        <v>99</v>
      </c>
      <c r="E810" s="255" t="s">
        <v>272</v>
      </c>
      <c r="F810" s="258">
        <v>10.45</v>
      </c>
      <c r="G810" s="255" t="s">
        <v>3483</v>
      </c>
      <c r="H810" s="255" t="s">
        <v>131</v>
      </c>
      <c r="I810" s="250" t="s">
        <v>949</v>
      </c>
      <c r="J810" s="255" t="s">
        <v>950</v>
      </c>
      <c r="K810" s="255" t="s">
        <v>951</v>
      </c>
      <c r="L810" s="250" t="s">
        <v>947</v>
      </c>
      <c r="M810" s="279" t="s">
        <v>114</v>
      </c>
      <c r="N810" s="278">
        <v>44244</v>
      </c>
      <c r="O810" s="329" t="s">
        <v>67</v>
      </c>
      <c r="P810" s="386">
        <f t="shared" ref="P810:Q810" si="807">IF(B810=0,0,IF(YEAR(B810)=$Q$1,MONTH(B810)-$P$1+1,(YEAR(B810)-$Q$1)*12-$P$1+1+MONTH(B810)))</f>
        <v>2</v>
      </c>
      <c r="Q810" s="330">
        <f t="shared" si="807"/>
        <v>2</v>
      </c>
      <c r="R810" s="351" t="str">
        <f t="shared" si="3"/>
        <v>Gastos_Gerais</v>
      </c>
      <c r="S810" s="351" t="str">
        <f>IF(D810="","",IF(OR(D810=Plano!$A$1,D810=Plano!$B$1),"entrada","saída"))</f>
        <v>saída</v>
      </c>
      <c r="T810" s="334" t="s">
        <v>114</v>
      </c>
      <c r="U810" s="334" t="s">
        <v>114</v>
      </c>
      <c r="V810" s="269"/>
      <c r="W810" s="269"/>
    </row>
    <row r="811" spans="1:23" ht="69.75" customHeight="1" x14ac:dyDescent="0.2">
      <c r="A811" s="277">
        <f t="shared" si="0"/>
        <v>807</v>
      </c>
      <c r="B811" s="278">
        <v>44244</v>
      </c>
      <c r="C811" s="256">
        <v>44228</v>
      </c>
      <c r="D811" s="255" t="s">
        <v>99</v>
      </c>
      <c r="E811" s="255" t="s">
        <v>272</v>
      </c>
      <c r="F811" s="258">
        <v>10.45</v>
      </c>
      <c r="G811" s="255" t="s">
        <v>3484</v>
      </c>
      <c r="H811" s="255" t="s">
        <v>125</v>
      </c>
      <c r="I811" s="250" t="s">
        <v>949</v>
      </c>
      <c r="J811" s="255" t="s">
        <v>950</v>
      </c>
      <c r="K811" s="255" t="s">
        <v>951</v>
      </c>
      <c r="L811" s="250" t="s">
        <v>947</v>
      </c>
      <c r="M811" s="279" t="s">
        <v>114</v>
      </c>
      <c r="N811" s="278">
        <v>44244</v>
      </c>
      <c r="O811" s="329" t="s">
        <v>67</v>
      </c>
      <c r="P811" s="386">
        <f t="shared" ref="P811:Q811" si="808">IF(B811=0,0,IF(YEAR(B811)=$Q$1,MONTH(B811)-$P$1+1,(YEAR(B811)-$Q$1)*12-$P$1+1+MONTH(B811)))</f>
        <v>2</v>
      </c>
      <c r="Q811" s="330">
        <f t="shared" si="808"/>
        <v>2</v>
      </c>
      <c r="R811" s="351" t="str">
        <f t="shared" si="3"/>
        <v>Gastos_Gerais</v>
      </c>
      <c r="S811" s="351" t="str">
        <f>IF(D811="","",IF(OR(D811=Plano!$A$1,D811=Plano!$B$1),"entrada","saída"))</f>
        <v>saída</v>
      </c>
      <c r="T811" s="334" t="s">
        <v>114</v>
      </c>
      <c r="U811" s="334" t="s">
        <v>114</v>
      </c>
      <c r="V811" s="269"/>
      <c r="W811" s="269"/>
    </row>
    <row r="812" spans="1:23" ht="69.75" customHeight="1" x14ac:dyDescent="0.2">
      <c r="A812" s="277">
        <f t="shared" si="0"/>
        <v>808</v>
      </c>
      <c r="B812" s="278">
        <v>44244</v>
      </c>
      <c r="C812" s="256">
        <v>44228</v>
      </c>
      <c r="D812" s="255" t="s">
        <v>99</v>
      </c>
      <c r="E812" s="255" t="s">
        <v>272</v>
      </c>
      <c r="F812" s="258">
        <v>10.45</v>
      </c>
      <c r="G812" s="255" t="s">
        <v>3485</v>
      </c>
      <c r="H812" s="255" t="s">
        <v>131</v>
      </c>
      <c r="I812" s="250" t="s">
        <v>949</v>
      </c>
      <c r="J812" s="255" t="s">
        <v>950</v>
      </c>
      <c r="K812" s="255" t="s">
        <v>951</v>
      </c>
      <c r="L812" s="250" t="s">
        <v>947</v>
      </c>
      <c r="M812" s="279" t="s">
        <v>114</v>
      </c>
      <c r="N812" s="278">
        <v>44244</v>
      </c>
      <c r="O812" s="329" t="s">
        <v>67</v>
      </c>
      <c r="P812" s="386">
        <f t="shared" ref="P812:Q812" si="809">IF(B812=0,0,IF(YEAR(B812)=$Q$1,MONTH(B812)-$P$1+1,(YEAR(B812)-$Q$1)*12-$P$1+1+MONTH(B812)))</f>
        <v>2</v>
      </c>
      <c r="Q812" s="330">
        <f t="shared" si="809"/>
        <v>2</v>
      </c>
      <c r="R812" s="351" t="str">
        <f t="shared" si="3"/>
        <v>Gastos_Gerais</v>
      </c>
      <c r="S812" s="351" t="str">
        <f>IF(D812="","",IF(OR(D812=Plano!$A$1,D812=Plano!$B$1),"entrada","saída"))</f>
        <v>saída</v>
      </c>
      <c r="T812" s="334" t="s">
        <v>114</v>
      </c>
      <c r="U812" s="334" t="s">
        <v>114</v>
      </c>
      <c r="V812" s="269"/>
      <c r="W812" s="269"/>
    </row>
    <row r="813" spans="1:23" ht="69.75" customHeight="1" x14ac:dyDescent="0.2">
      <c r="A813" s="277">
        <f t="shared" si="0"/>
        <v>809</v>
      </c>
      <c r="B813" s="278">
        <v>44244</v>
      </c>
      <c r="C813" s="256">
        <v>44228</v>
      </c>
      <c r="D813" s="255" t="s">
        <v>99</v>
      </c>
      <c r="E813" s="255" t="s">
        <v>272</v>
      </c>
      <c r="F813" s="258">
        <v>10.45</v>
      </c>
      <c r="G813" s="255" t="s">
        <v>3486</v>
      </c>
      <c r="H813" s="255" t="s">
        <v>131</v>
      </c>
      <c r="I813" s="250" t="s">
        <v>949</v>
      </c>
      <c r="J813" s="255" t="s">
        <v>950</v>
      </c>
      <c r="K813" s="255" t="s">
        <v>951</v>
      </c>
      <c r="L813" s="250" t="s">
        <v>947</v>
      </c>
      <c r="M813" s="279" t="s">
        <v>114</v>
      </c>
      <c r="N813" s="278">
        <v>44244</v>
      </c>
      <c r="O813" s="329" t="s">
        <v>67</v>
      </c>
      <c r="P813" s="386">
        <f t="shared" ref="P813:Q813" si="810">IF(B813=0,0,IF(YEAR(B813)=$Q$1,MONTH(B813)-$P$1+1,(YEAR(B813)-$Q$1)*12-$P$1+1+MONTH(B813)))</f>
        <v>2</v>
      </c>
      <c r="Q813" s="330">
        <f t="shared" si="810"/>
        <v>2</v>
      </c>
      <c r="R813" s="351" t="str">
        <f t="shared" si="3"/>
        <v>Gastos_Gerais</v>
      </c>
      <c r="S813" s="351" t="str">
        <f>IF(D813="","",IF(OR(D813=Plano!$A$1,D813=Plano!$B$1),"entrada","saída"))</f>
        <v>saída</v>
      </c>
      <c r="T813" s="334" t="s">
        <v>114</v>
      </c>
      <c r="U813" s="334" t="s">
        <v>114</v>
      </c>
      <c r="V813" s="269"/>
      <c r="W813" s="269"/>
    </row>
    <row r="814" spans="1:23" ht="69.75" customHeight="1" x14ac:dyDescent="0.2">
      <c r="A814" s="277">
        <f t="shared" si="0"/>
        <v>810</v>
      </c>
      <c r="B814" s="278">
        <v>44244</v>
      </c>
      <c r="C814" s="256">
        <v>44228</v>
      </c>
      <c r="D814" s="255" t="s">
        <v>99</v>
      </c>
      <c r="E814" s="255" t="s">
        <v>272</v>
      </c>
      <c r="F814" s="258">
        <v>10.45</v>
      </c>
      <c r="G814" s="255" t="s">
        <v>3487</v>
      </c>
      <c r="H814" s="255" t="s">
        <v>131</v>
      </c>
      <c r="I814" s="250" t="s">
        <v>949</v>
      </c>
      <c r="J814" s="255" t="s">
        <v>950</v>
      </c>
      <c r="K814" s="255" t="s">
        <v>951</v>
      </c>
      <c r="L814" s="250" t="s">
        <v>947</v>
      </c>
      <c r="M814" s="279" t="s">
        <v>114</v>
      </c>
      <c r="N814" s="278">
        <v>44244</v>
      </c>
      <c r="O814" s="329" t="s">
        <v>67</v>
      </c>
      <c r="P814" s="386">
        <f t="shared" ref="P814:Q814" si="811">IF(B814=0,0,IF(YEAR(B814)=$Q$1,MONTH(B814)-$P$1+1,(YEAR(B814)-$Q$1)*12-$P$1+1+MONTH(B814)))</f>
        <v>2</v>
      </c>
      <c r="Q814" s="330">
        <f t="shared" si="811"/>
        <v>2</v>
      </c>
      <c r="R814" s="351" t="str">
        <f t="shared" si="3"/>
        <v>Gastos_Gerais</v>
      </c>
      <c r="S814" s="351" t="str">
        <f>IF(D814="","",IF(OR(D814=Plano!$A$1,D814=Plano!$B$1),"entrada","saída"))</f>
        <v>saída</v>
      </c>
      <c r="T814" s="334" t="s">
        <v>114</v>
      </c>
      <c r="U814" s="334" t="s">
        <v>114</v>
      </c>
      <c r="V814" s="269"/>
      <c r="W814" s="269"/>
    </row>
    <row r="815" spans="1:23" ht="69.75" customHeight="1" x14ac:dyDescent="0.2">
      <c r="A815" s="277">
        <f t="shared" si="0"/>
        <v>811</v>
      </c>
      <c r="B815" s="278">
        <v>44244</v>
      </c>
      <c r="C815" s="256">
        <v>44228</v>
      </c>
      <c r="D815" s="255" t="s">
        <v>99</v>
      </c>
      <c r="E815" s="255" t="s">
        <v>272</v>
      </c>
      <c r="F815" s="258">
        <v>10.45</v>
      </c>
      <c r="G815" s="255" t="s">
        <v>3488</v>
      </c>
      <c r="H815" s="255" t="s">
        <v>131</v>
      </c>
      <c r="I815" s="250" t="s">
        <v>949</v>
      </c>
      <c r="J815" s="255" t="s">
        <v>950</v>
      </c>
      <c r="K815" s="255" t="s">
        <v>951</v>
      </c>
      <c r="L815" s="250" t="s">
        <v>947</v>
      </c>
      <c r="M815" s="279" t="s">
        <v>114</v>
      </c>
      <c r="N815" s="278">
        <v>44244</v>
      </c>
      <c r="O815" s="329" t="s">
        <v>67</v>
      </c>
      <c r="P815" s="386">
        <f t="shared" ref="P815:Q815" si="812">IF(B815=0,0,IF(YEAR(B815)=$Q$1,MONTH(B815)-$P$1+1,(YEAR(B815)-$Q$1)*12-$P$1+1+MONTH(B815)))</f>
        <v>2</v>
      </c>
      <c r="Q815" s="330">
        <f t="shared" si="812"/>
        <v>2</v>
      </c>
      <c r="R815" s="351" t="str">
        <f t="shared" si="3"/>
        <v>Gastos_Gerais</v>
      </c>
      <c r="S815" s="351" t="str">
        <f>IF(D815="","",IF(OR(D815=Plano!$A$1,D815=Plano!$B$1),"entrada","saída"))</f>
        <v>saída</v>
      </c>
      <c r="T815" s="334" t="s">
        <v>114</v>
      </c>
      <c r="U815" s="334" t="s">
        <v>114</v>
      </c>
      <c r="V815" s="269"/>
      <c r="W815" s="269"/>
    </row>
    <row r="816" spans="1:23" ht="69.75" customHeight="1" x14ac:dyDescent="0.2">
      <c r="A816" s="277">
        <f t="shared" si="0"/>
        <v>812</v>
      </c>
      <c r="B816" s="278">
        <v>44244</v>
      </c>
      <c r="C816" s="256">
        <v>44228</v>
      </c>
      <c r="D816" s="255" t="s">
        <v>99</v>
      </c>
      <c r="E816" s="255" t="s">
        <v>272</v>
      </c>
      <c r="F816" s="258">
        <v>10.45</v>
      </c>
      <c r="G816" s="255" t="s">
        <v>3489</v>
      </c>
      <c r="H816" s="255" t="s">
        <v>131</v>
      </c>
      <c r="I816" s="250" t="s">
        <v>949</v>
      </c>
      <c r="J816" s="255" t="s">
        <v>950</v>
      </c>
      <c r="K816" s="255" t="s">
        <v>951</v>
      </c>
      <c r="L816" s="250" t="s">
        <v>947</v>
      </c>
      <c r="M816" s="279" t="s">
        <v>114</v>
      </c>
      <c r="N816" s="278">
        <v>44244</v>
      </c>
      <c r="O816" s="329" t="s">
        <v>67</v>
      </c>
      <c r="P816" s="386">
        <f t="shared" ref="P816:Q816" si="813">IF(B816=0,0,IF(YEAR(B816)=$Q$1,MONTH(B816)-$P$1+1,(YEAR(B816)-$Q$1)*12-$P$1+1+MONTH(B816)))</f>
        <v>2</v>
      </c>
      <c r="Q816" s="330">
        <f t="shared" si="813"/>
        <v>2</v>
      </c>
      <c r="R816" s="351" t="str">
        <f t="shared" si="3"/>
        <v>Gastos_Gerais</v>
      </c>
      <c r="S816" s="351" t="str">
        <f>IF(D816="","",IF(OR(D816=Plano!$A$1,D816=Plano!$B$1),"entrada","saída"))</f>
        <v>saída</v>
      </c>
      <c r="T816" s="334" t="s">
        <v>114</v>
      </c>
      <c r="U816" s="334" t="s">
        <v>114</v>
      </c>
      <c r="V816" s="269"/>
      <c r="W816" s="269"/>
    </row>
    <row r="817" spans="1:23" ht="69.75" customHeight="1" x14ac:dyDescent="0.2">
      <c r="A817" s="277">
        <f t="shared" si="0"/>
        <v>813</v>
      </c>
      <c r="B817" s="278">
        <v>44244</v>
      </c>
      <c r="C817" s="256">
        <v>44228</v>
      </c>
      <c r="D817" s="255" t="s">
        <v>99</v>
      </c>
      <c r="E817" s="255" t="s">
        <v>272</v>
      </c>
      <c r="F817" s="258">
        <v>10.45</v>
      </c>
      <c r="G817" s="255" t="s">
        <v>3490</v>
      </c>
      <c r="H817" s="255" t="s">
        <v>125</v>
      </c>
      <c r="I817" s="250" t="s">
        <v>949</v>
      </c>
      <c r="J817" s="255" t="s">
        <v>950</v>
      </c>
      <c r="K817" s="255" t="s">
        <v>951</v>
      </c>
      <c r="L817" s="250" t="s">
        <v>947</v>
      </c>
      <c r="M817" s="279" t="s">
        <v>114</v>
      </c>
      <c r="N817" s="278">
        <v>44244</v>
      </c>
      <c r="O817" s="329" t="s">
        <v>67</v>
      </c>
      <c r="P817" s="386">
        <f t="shared" ref="P817:Q817" si="814">IF(B817=0,0,IF(YEAR(B817)=$Q$1,MONTH(B817)-$P$1+1,(YEAR(B817)-$Q$1)*12-$P$1+1+MONTH(B817)))</f>
        <v>2</v>
      </c>
      <c r="Q817" s="330">
        <f t="shared" si="814"/>
        <v>2</v>
      </c>
      <c r="R817" s="351" t="str">
        <f t="shared" si="3"/>
        <v>Gastos_Gerais</v>
      </c>
      <c r="S817" s="351" t="str">
        <f>IF(D817="","",IF(OR(D817=Plano!$A$1,D817=Plano!$B$1),"entrada","saída"))</f>
        <v>saída</v>
      </c>
      <c r="T817" s="334" t="s">
        <v>114</v>
      </c>
      <c r="U817" s="334" t="s">
        <v>114</v>
      </c>
      <c r="V817" s="269"/>
      <c r="W817" s="269"/>
    </row>
    <row r="818" spans="1:23" ht="69.75" customHeight="1" x14ac:dyDescent="0.2">
      <c r="A818" s="277">
        <f t="shared" si="0"/>
        <v>814</v>
      </c>
      <c r="B818" s="278">
        <v>44244</v>
      </c>
      <c r="C818" s="256">
        <v>44228</v>
      </c>
      <c r="D818" s="255" t="s">
        <v>99</v>
      </c>
      <c r="E818" s="255" t="s">
        <v>272</v>
      </c>
      <c r="F818" s="258">
        <v>10.45</v>
      </c>
      <c r="G818" s="255" t="s">
        <v>3491</v>
      </c>
      <c r="H818" s="255" t="s">
        <v>125</v>
      </c>
      <c r="I818" s="250" t="s">
        <v>949</v>
      </c>
      <c r="J818" s="255" t="s">
        <v>950</v>
      </c>
      <c r="K818" s="255" t="s">
        <v>951</v>
      </c>
      <c r="L818" s="250" t="s">
        <v>947</v>
      </c>
      <c r="M818" s="279" t="s">
        <v>114</v>
      </c>
      <c r="N818" s="278">
        <v>44244</v>
      </c>
      <c r="O818" s="329" t="s">
        <v>67</v>
      </c>
      <c r="P818" s="386">
        <f t="shared" ref="P818:Q818" si="815">IF(B818=0,0,IF(YEAR(B818)=$Q$1,MONTH(B818)-$P$1+1,(YEAR(B818)-$Q$1)*12-$P$1+1+MONTH(B818)))</f>
        <v>2</v>
      </c>
      <c r="Q818" s="330">
        <f t="shared" si="815"/>
        <v>2</v>
      </c>
      <c r="R818" s="351" t="str">
        <f t="shared" si="3"/>
        <v>Gastos_Gerais</v>
      </c>
      <c r="S818" s="351" t="str">
        <f>IF(D818="","",IF(OR(D818=Plano!$A$1,D818=Plano!$B$1),"entrada","saída"))</f>
        <v>saída</v>
      </c>
      <c r="T818" s="334" t="s">
        <v>114</v>
      </c>
      <c r="U818" s="334" t="s">
        <v>114</v>
      </c>
      <c r="V818" s="269"/>
      <c r="W818" s="269"/>
    </row>
    <row r="819" spans="1:23" ht="69.75" customHeight="1" x14ac:dyDescent="0.2">
      <c r="A819" s="277">
        <f t="shared" si="0"/>
        <v>815</v>
      </c>
      <c r="B819" s="278">
        <v>44244</v>
      </c>
      <c r="C819" s="256">
        <v>44228</v>
      </c>
      <c r="D819" s="255" t="s">
        <v>99</v>
      </c>
      <c r="E819" s="255" t="s">
        <v>272</v>
      </c>
      <c r="F819" s="258">
        <v>10.45</v>
      </c>
      <c r="G819" s="255" t="s">
        <v>3492</v>
      </c>
      <c r="H819" s="255" t="s">
        <v>125</v>
      </c>
      <c r="I819" s="250" t="s">
        <v>949</v>
      </c>
      <c r="J819" s="255" t="s">
        <v>950</v>
      </c>
      <c r="K819" s="255" t="s">
        <v>951</v>
      </c>
      <c r="L819" s="250" t="s">
        <v>947</v>
      </c>
      <c r="M819" s="279" t="s">
        <v>114</v>
      </c>
      <c r="N819" s="278">
        <v>44244</v>
      </c>
      <c r="O819" s="329" t="s">
        <v>67</v>
      </c>
      <c r="P819" s="386">
        <f t="shared" ref="P819:Q819" si="816">IF(B819=0,0,IF(YEAR(B819)=$Q$1,MONTH(B819)-$P$1+1,(YEAR(B819)-$Q$1)*12-$P$1+1+MONTH(B819)))</f>
        <v>2</v>
      </c>
      <c r="Q819" s="330">
        <f t="shared" si="816"/>
        <v>2</v>
      </c>
      <c r="R819" s="351" t="str">
        <f t="shared" si="3"/>
        <v>Gastos_Gerais</v>
      </c>
      <c r="S819" s="351" t="str">
        <f>IF(D819="","",IF(OR(D819=Plano!$A$1,D819=Plano!$B$1),"entrada","saída"))</f>
        <v>saída</v>
      </c>
      <c r="T819" s="334" t="s">
        <v>114</v>
      </c>
      <c r="U819" s="334" t="s">
        <v>114</v>
      </c>
      <c r="V819" s="269"/>
      <c r="W819" s="269"/>
    </row>
    <row r="820" spans="1:23" ht="69.75" customHeight="1" x14ac:dyDescent="0.2">
      <c r="A820" s="277">
        <f t="shared" si="0"/>
        <v>816</v>
      </c>
      <c r="B820" s="278">
        <v>44244</v>
      </c>
      <c r="C820" s="256">
        <v>44228</v>
      </c>
      <c r="D820" s="255" t="s">
        <v>99</v>
      </c>
      <c r="E820" s="255" t="s">
        <v>272</v>
      </c>
      <c r="F820" s="258">
        <v>10.45</v>
      </c>
      <c r="G820" s="255" t="s">
        <v>3493</v>
      </c>
      <c r="H820" s="255" t="s">
        <v>125</v>
      </c>
      <c r="I820" s="250" t="s">
        <v>949</v>
      </c>
      <c r="J820" s="255" t="s">
        <v>950</v>
      </c>
      <c r="K820" s="255" t="s">
        <v>951</v>
      </c>
      <c r="L820" s="250" t="s">
        <v>947</v>
      </c>
      <c r="M820" s="279" t="s">
        <v>114</v>
      </c>
      <c r="N820" s="278">
        <v>44244</v>
      </c>
      <c r="O820" s="329" t="s">
        <v>67</v>
      </c>
      <c r="P820" s="386">
        <f t="shared" ref="P820:Q820" si="817">IF(B820=0,0,IF(YEAR(B820)=$Q$1,MONTH(B820)-$P$1+1,(YEAR(B820)-$Q$1)*12-$P$1+1+MONTH(B820)))</f>
        <v>2</v>
      </c>
      <c r="Q820" s="330">
        <f t="shared" si="817"/>
        <v>2</v>
      </c>
      <c r="R820" s="351" t="str">
        <f t="shared" si="3"/>
        <v>Gastos_Gerais</v>
      </c>
      <c r="S820" s="351" t="str">
        <f>IF(D820="","",IF(OR(D820=Plano!$A$1,D820=Plano!$B$1),"entrada","saída"))</f>
        <v>saída</v>
      </c>
      <c r="T820" s="334" t="s">
        <v>114</v>
      </c>
      <c r="U820" s="334" t="s">
        <v>114</v>
      </c>
      <c r="V820" s="269"/>
      <c r="W820" s="269"/>
    </row>
    <row r="821" spans="1:23" ht="69.75" customHeight="1" x14ac:dyDescent="0.2">
      <c r="A821" s="277">
        <f t="shared" si="0"/>
        <v>817</v>
      </c>
      <c r="B821" s="278">
        <v>44244</v>
      </c>
      <c r="C821" s="256">
        <v>44228</v>
      </c>
      <c r="D821" s="255" t="s">
        <v>99</v>
      </c>
      <c r="E821" s="255" t="s">
        <v>272</v>
      </c>
      <c r="F821" s="258">
        <v>10.45</v>
      </c>
      <c r="G821" s="255" t="s">
        <v>3494</v>
      </c>
      <c r="H821" s="255" t="s">
        <v>131</v>
      </c>
      <c r="I821" s="250" t="s">
        <v>949</v>
      </c>
      <c r="J821" s="255" t="s">
        <v>950</v>
      </c>
      <c r="K821" s="255" t="s">
        <v>951</v>
      </c>
      <c r="L821" s="250" t="s">
        <v>947</v>
      </c>
      <c r="M821" s="279" t="s">
        <v>114</v>
      </c>
      <c r="N821" s="278">
        <v>44244</v>
      </c>
      <c r="O821" s="329" t="s">
        <v>67</v>
      </c>
      <c r="P821" s="386">
        <f t="shared" ref="P821:Q821" si="818">IF(B821=0,0,IF(YEAR(B821)=$Q$1,MONTH(B821)-$P$1+1,(YEAR(B821)-$Q$1)*12-$P$1+1+MONTH(B821)))</f>
        <v>2</v>
      </c>
      <c r="Q821" s="330">
        <f t="shared" si="818"/>
        <v>2</v>
      </c>
      <c r="R821" s="351" t="str">
        <f t="shared" si="3"/>
        <v>Gastos_Gerais</v>
      </c>
      <c r="S821" s="351" t="str">
        <f>IF(D821="","",IF(OR(D821=Plano!$A$1,D821=Plano!$B$1),"entrada","saída"))</f>
        <v>saída</v>
      </c>
      <c r="T821" s="334" t="s">
        <v>114</v>
      </c>
      <c r="U821" s="334" t="s">
        <v>114</v>
      </c>
      <c r="V821" s="269"/>
      <c r="W821" s="269"/>
    </row>
    <row r="822" spans="1:23" ht="69.75" customHeight="1" x14ac:dyDescent="0.2">
      <c r="A822" s="277">
        <f t="shared" si="0"/>
        <v>818</v>
      </c>
      <c r="B822" s="278">
        <v>44244</v>
      </c>
      <c r="C822" s="256">
        <v>44228</v>
      </c>
      <c r="D822" s="255" t="s">
        <v>99</v>
      </c>
      <c r="E822" s="255" t="s">
        <v>272</v>
      </c>
      <c r="F822" s="258">
        <v>10.45</v>
      </c>
      <c r="G822" s="255" t="s">
        <v>3495</v>
      </c>
      <c r="H822" s="255" t="s">
        <v>125</v>
      </c>
      <c r="I822" s="250" t="s">
        <v>949</v>
      </c>
      <c r="J822" s="255" t="s">
        <v>950</v>
      </c>
      <c r="K822" s="255" t="s">
        <v>951</v>
      </c>
      <c r="L822" s="250" t="s">
        <v>947</v>
      </c>
      <c r="M822" s="279" t="s">
        <v>114</v>
      </c>
      <c r="N822" s="278">
        <v>44244</v>
      </c>
      <c r="O822" s="329" t="s">
        <v>67</v>
      </c>
      <c r="P822" s="386">
        <f t="shared" ref="P822:Q822" si="819">IF(B822=0,0,IF(YEAR(B822)=$Q$1,MONTH(B822)-$P$1+1,(YEAR(B822)-$Q$1)*12-$P$1+1+MONTH(B822)))</f>
        <v>2</v>
      </c>
      <c r="Q822" s="330">
        <f t="shared" si="819"/>
        <v>2</v>
      </c>
      <c r="R822" s="351" t="str">
        <f t="shared" si="3"/>
        <v>Gastos_Gerais</v>
      </c>
      <c r="S822" s="351" t="str">
        <f>IF(D822="","",IF(OR(D822=Plano!$A$1,D822=Plano!$B$1),"entrada","saída"))</f>
        <v>saída</v>
      </c>
      <c r="T822" s="334" t="s">
        <v>114</v>
      </c>
      <c r="U822" s="334" t="s">
        <v>114</v>
      </c>
      <c r="V822" s="269"/>
      <c r="W822" s="269"/>
    </row>
    <row r="823" spans="1:23" ht="109.5" customHeight="1" x14ac:dyDescent="0.2">
      <c r="A823" s="277">
        <f t="shared" si="0"/>
        <v>819</v>
      </c>
      <c r="B823" s="278">
        <v>44245</v>
      </c>
      <c r="C823" s="256">
        <v>44136</v>
      </c>
      <c r="D823" s="255" t="s">
        <v>99</v>
      </c>
      <c r="E823" s="255" t="s">
        <v>358</v>
      </c>
      <c r="F823" s="258">
        <v>1418.4</v>
      </c>
      <c r="G823" s="255" t="s">
        <v>3496</v>
      </c>
      <c r="H823" s="255" t="s">
        <v>118</v>
      </c>
      <c r="I823" s="252" t="s">
        <v>3497</v>
      </c>
      <c r="J823" s="252" t="s">
        <v>3498</v>
      </c>
      <c r="K823" s="255" t="s">
        <v>1015</v>
      </c>
      <c r="L823" s="250" t="s">
        <v>1016</v>
      </c>
      <c r="M823" s="255">
        <v>2156</v>
      </c>
      <c r="N823" s="278">
        <v>44245</v>
      </c>
      <c r="O823" s="329" t="s">
        <v>67</v>
      </c>
      <c r="P823" s="386">
        <f t="shared" ref="P823:Q823" si="820">IF(B823=0,0,IF(YEAR(B823)=$Q$1,MONTH(B823)-$P$1+1,(YEAR(B823)-$Q$1)*12-$P$1+1+MONTH(B823)))</f>
        <v>2</v>
      </c>
      <c r="Q823" s="330">
        <f t="shared" si="820"/>
        <v>-1</v>
      </c>
      <c r="R823" s="351" t="str">
        <f t="shared" si="3"/>
        <v>Gastos_Gerais</v>
      </c>
      <c r="S823" s="351" t="str">
        <f>IF(D823="","",IF(OR(D823=Plano!$A$1,D823=Plano!$B$1),"entrada","saída"))</f>
        <v>saída</v>
      </c>
      <c r="T823" s="334" t="s">
        <v>994</v>
      </c>
      <c r="U823" s="334">
        <v>965</v>
      </c>
      <c r="V823" s="269"/>
      <c r="W823" s="269"/>
    </row>
    <row r="824" spans="1:23" ht="148.5" customHeight="1" x14ac:dyDescent="0.2">
      <c r="A824" s="277">
        <f t="shared" si="0"/>
        <v>820</v>
      </c>
      <c r="B824" s="278">
        <v>44245</v>
      </c>
      <c r="C824" s="256">
        <v>44197</v>
      </c>
      <c r="D824" s="255" t="s">
        <v>99</v>
      </c>
      <c r="E824" s="255" t="s">
        <v>310</v>
      </c>
      <c r="F824" s="258">
        <v>1763.82</v>
      </c>
      <c r="G824" s="255" t="s">
        <v>3499</v>
      </c>
      <c r="H824" s="255" t="s">
        <v>125</v>
      </c>
      <c r="I824" s="252" t="s">
        <v>3237</v>
      </c>
      <c r="J824" s="252" t="s">
        <v>2627</v>
      </c>
      <c r="K824" s="255" t="s">
        <v>991</v>
      </c>
      <c r="L824" s="250" t="s">
        <v>1016</v>
      </c>
      <c r="M824" s="255" t="s">
        <v>1443</v>
      </c>
      <c r="N824" s="278">
        <v>44245</v>
      </c>
      <c r="O824" s="329" t="s">
        <v>67</v>
      </c>
      <c r="P824" s="386">
        <f t="shared" ref="P824:Q824" si="821">IF(B824=0,0,IF(YEAR(B824)=$Q$1,MONTH(B824)-$P$1+1,(YEAR(B824)-$Q$1)*12-$P$1+1+MONTH(B824)))</f>
        <v>2</v>
      </c>
      <c r="Q824" s="330">
        <f t="shared" si="821"/>
        <v>1</v>
      </c>
      <c r="R824" s="351" t="str">
        <f t="shared" si="3"/>
        <v>Gastos_Gerais</v>
      </c>
      <c r="S824" s="351" t="str">
        <f>IF(D824="","",IF(OR(D824=Plano!$A$1,D824=Plano!$B$1),"entrada","saída"))</f>
        <v>saída</v>
      </c>
      <c r="T824" s="334" t="s">
        <v>994</v>
      </c>
      <c r="U824" s="334">
        <v>1258</v>
      </c>
      <c r="V824" s="269"/>
      <c r="W824" s="269"/>
    </row>
    <row r="825" spans="1:23" ht="210" customHeight="1" x14ac:dyDescent="0.2">
      <c r="A825" s="277">
        <f t="shared" si="0"/>
        <v>821</v>
      </c>
      <c r="B825" s="278">
        <v>44245</v>
      </c>
      <c r="C825" s="256">
        <v>44166</v>
      </c>
      <c r="D825" s="255" t="s">
        <v>99</v>
      </c>
      <c r="E825" s="255" t="s">
        <v>238</v>
      </c>
      <c r="F825" s="258">
        <v>6000</v>
      </c>
      <c r="G825" s="255" t="s">
        <v>3500</v>
      </c>
      <c r="H825" s="255" t="s">
        <v>125</v>
      </c>
      <c r="I825" s="252" t="s">
        <v>3501</v>
      </c>
      <c r="J825" s="252" t="s">
        <v>3502</v>
      </c>
      <c r="K825" s="255" t="s">
        <v>991</v>
      </c>
      <c r="L825" s="250" t="s">
        <v>3503</v>
      </c>
      <c r="M825" s="255">
        <v>1242</v>
      </c>
      <c r="N825" s="278">
        <v>44244</v>
      </c>
      <c r="O825" s="329" t="s">
        <v>67</v>
      </c>
      <c r="P825" s="386">
        <f t="shared" ref="P825:Q825" si="822">IF(B825=0,0,IF(YEAR(B825)=$Q$1,MONTH(B825)-$P$1+1,(YEAR(B825)-$Q$1)*12-$P$1+1+MONTH(B825)))</f>
        <v>2</v>
      </c>
      <c r="Q825" s="330">
        <f t="shared" si="822"/>
        <v>0</v>
      </c>
      <c r="R825" s="351" t="str">
        <f t="shared" si="3"/>
        <v>Gastos_Gerais</v>
      </c>
      <c r="S825" s="351" t="str">
        <f>IF(D825="","",IF(OR(D825=Plano!$A$1,D825=Plano!$B$1),"entrada","saída"))</f>
        <v>saída</v>
      </c>
      <c r="T825" s="334" t="s">
        <v>994</v>
      </c>
      <c r="U825" s="334">
        <v>1171</v>
      </c>
      <c r="V825" s="269"/>
      <c r="W825" s="269"/>
    </row>
    <row r="826" spans="1:23" ht="69.75" customHeight="1" x14ac:dyDescent="0.2">
      <c r="A826" s="277">
        <f t="shared" si="0"/>
        <v>822</v>
      </c>
      <c r="B826" s="278">
        <v>44245</v>
      </c>
      <c r="C826" s="256">
        <v>44228</v>
      </c>
      <c r="D826" s="255" t="s">
        <v>99</v>
      </c>
      <c r="E826" s="255" t="s">
        <v>272</v>
      </c>
      <c r="F826" s="258">
        <v>10.45</v>
      </c>
      <c r="G826" s="255" t="s">
        <v>3504</v>
      </c>
      <c r="H826" s="255" t="s">
        <v>125</v>
      </c>
      <c r="I826" s="250" t="s">
        <v>949</v>
      </c>
      <c r="J826" s="255" t="s">
        <v>950</v>
      </c>
      <c r="K826" s="255" t="s">
        <v>951</v>
      </c>
      <c r="L826" s="250" t="s">
        <v>947</v>
      </c>
      <c r="M826" s="279" t="s">
        <v>114</v>
      </c>
      <c r="N826" s="278">
        <v>44245</v>
      </c>
      <c r="O826" s="329" t="s">
        <v>67</v>
      </c>
      <c r="P826" s="386">
        <f t="shared" ref="P826:Q826" si="823">IF(B826=0,0,IF(YEAR(B826)=$Q$1,MONTH(B826)-$P$1+1,(YEAR(B826)-$Q$1)*12-$P$1+1+MONTH(B826)))</f>
        <v>2</v>
      </c>
      <c r="Q826" s="330">
        <f t="shared" si="823"/>
        <v>2</v>
      </c>
      <c r="R826" s="351" t="str">
        <f t="shared" si="3"/>
        <v>Gastos_Gerais</v>
      </c>
      <c r="S826" s="351" t="str">
        <f>IF(D826="","",IF(OR(D826=Plano!$A$1,D826=Plano!$B$1),"entrada","saída"))</f>
        <v>saída</v>
      </c>
      <c r="T826" s="334" t="s">
        <v>114</v>
      </c>
      <c r="U826" s="334" t="s">
        <v>114</v>
      </c>
      <c r="V826" s="269"/>
      <c r="W826" s="269"/>
    </row>
    <row r="827" spans="1:23" ht="69.75" customHeight="1" x14ac:dyDescent="0.2">
      <c r="A827" s="277">
        <f t="shared" si="0"/>
        <v>823</v>
      </c>
      <c r="B827" s="278">
        <v>44245</v>
      </c>
      <c r="C827" s="256">
        <v>44228</v>
      </c>
      <c r="D827" s="255" t="s">
        <v>99</v>
      </c>
      <c r="E827" s="255" t="s">
        <v>272</v>
      </c>
      <c r="F827" s="258">
        <v>10.45</v>
      </c>
      <c r="G827" s="255" t="s">
        <v>3505</v>
      </c>
      <c r="H827" s="255" t="s">
        <v>125</v>
      </c>
      <c r="I827" s="250" t="s">
        <v>949</v>
      </c>
      <c r="J827" s="255" t="s">
        <v>950</v>
      </c>
      <c r="K827" s="255" t="s">
        <v>951</v>
      </c>
      <c r="L827" s="250" t="s">
        <v>947</v>
      </c>
      <c r="M827" s="279" t="s">
        <v>114</v>
      </c>
      <c r="N827" s="278">
        <v>44245</v>
      </c>
      <c r="O827" s="329" t="s">
        <v>67</v>
      </c>
      <c r="P827" s="386">
        <f t="shared" ref="P827:Q827" si="824">IF(B827=0,0,IF(YEAR(B827)=$Q$1,MONTH(B827)-$P$1+1,(YEAR(B827)-$Q$1)*12-$P$1+1+MONTH(B827)))</f>
        <v>2</v>
      </c>
      <c r="Q827" s="330">
        <f t="shared" si="824"/>
        <v>2</v>
      </c>
      <c r="R827" s="351" t="str">
        <f t="shared" si="3"/>
        <v>Gastos_Gerais</v>
      </c>
      <c r="S827" s="351" t="str">
        <f>IF(D827="","",IF(OR(D827=Plano!$A$1,D827=Plano!$B$1),"entrada","saída"))</f>
        <v>saída</v>
      </c>
      <c r="T827" s="334" t="s">
        <v>114</v>
      </c>
      <c r="U827" s="334" t="s">
        <v>114</v>
      </c>
      <c r="V827" s="269"/>
      <c r="W827" s="269"/>
    </row>
    <row r="828" spans="1:23" ht="92.25" customHeight="1" x14ac:dyDescent="0.2">
      <c r="A828" s="277">
        <f t="shared" si="0"/>
        <v>824</v>
      </c>
      <c r="B828" s="278">
        <v>44245</v>
      </c>
      <c r="C828" s="249">
        <v>44105</v>
      </c>
      <c r="D828" s="255" t="s">
        <v>104</v>
      </c>
      <c r="E828" s="255" t="s">
        <v>104</v>
      </c>
      <c r="F828" s="258">
        <v>1512</v>
      </c>
      <c r="G828" s="255" t="s">
        <v>3506</v>
      </c>
      <c r="H828" s="255" t="s">
        <v>104</v>
      </c>
      <c r="I828" s="252" t="s">
        <v>3507</v>
      </c>
      <c r="J828" s="252" t="s">
        <v>3508</v>
      </c>
      <c r="K828" s="255" t="s">
        <v>1015</v>
      </c>
      <c r="L828" s="250" t="s">
        <v>3509</v>
      </c>
      <c r="M828" s="279" t="s">
        <v>114</v>
      </c>
      <c r="N828" s="278">
        <v>44246</v>
      </c>
      <c r="O828" s="329" t="s">
        <v>69</v>
      </c>
      <c r="P828" s="386">
        <f t="shared" ref="P828:Q828" si="825">IF(B828=0,0,IF(YEAR(B828)=$Q$1,MONTH(B828)-$P$1+1,(YEAR(B828)-$Q$1)*12-$P$1+1+MONTH(B828)))</f>
        <v>2</v>
      </c>
      <c r="Q828" s="330">
        <f t="shared" si="825"/>
        <v>-2</v>
      </c>
      <c r="R828" s="351" t="str">
        <f t="shared" si="3"/>
        <v>Gastos_custeados_por_captação</v>
      </c>
      <c r="S828" s="351" t="str">
        <f>IF(D828="","",IF(OR(D828=Plano!$A$1,D828=Plano!$B$1),"entrada","saída"))</f>
        <v>saída</v>
      </c>
      <c r="T828" s="334" t="s">
        <v>994</v>
      </c>
      <c r="U828" s="334">
        <v>656</v>
      </c>
      <c r="V828" s="269"/>
      <c r="W828" s="269"/>
    </row>
    <row r="829" spans="1:23" ht="69.75" customHeight="1" x14ac:dyDescent="0.2">
      <c r="A829" s="277">
        <f t="shared" si="0"/>
        <v>825</v>
      </c>
      <c r="B829" s="278">
        <v>44246</v>
      </c>
      <c r="C829" s="256">
        <v>44197</v>
      </c>
      <c r="D829" s="255" t="s">
        <v>88</v>
      </c>
      <c r="E829" s="255" t="s">
        <v>90</v>
      </c>
      <c r="F829" s="258">
        <v>6584.09</v>
      </c>
      <c r="G829" s="252" t="s">
        <v>3510</v>
      </c>
      <c r="H829" s="255" t="s">
        <v>114</v>
      </c>
      <c r="I829" s="250" t="s">
        <v>530</v>
      </c>
      <c r="J829" s="252" t="s">
        <v>114</v>
      </c>
      <c r="K829" s="252" t="s">
        <v>466</v>
      </c>
      <c r="L829" s="252" t="s">
        <v>547</v>
      </c>
      <c r="M829" s="255" t="s">
        <v>114</v>
      </c>
      <c r="N829" s="278">
        <v>44246</v>
      </c>
      <c r="O829" s="329" t="s">
        <v>67</v>
      </c>
      <c r="P829" s="386">
        <f t="shared" ref="P829:Q829" si="826">IF(B829=0,0,IF(YEAR(B829)=$Q$1,MONTH(B829)-$P$1+1,(YEAR(B829)-$Q$1)*12-$P$1+1+MONTH(B829)))</f>
        <v>2</v>
      </c>
      <c r="Q829" s="330">
        <f t="shared" si="826"/>
        <v>1</v>
      </c>
      <c r="R829" s="351" t="str">
        <f t="shared" si="3"/>
        <v>Gastos_com_Pessoal</v>
      </c>
      <c r="S829" s="351" t="str">
        <f>IF(D829="","",IF(OR(D829=Plano!$A$1,D829=Plano!$B$1),"entrada","saída"))</f>
        <v>saída</v>
      </c>
      <c r="T829" s="334" t="s">
        <v>114</v>
      </c>
      <c r="U829" s="334" t="s">
        <v>114</v>
      </c>
      <c r="V829" s="269"/>
      <c r="W829" s="269"/>
    </row>
    <row r="830" spans="1:23" ht="69.75" customHeight="1" x14ac:dyDescent="0.2">
      <c r="A830" s="277">
        <f t="shared" si="0"/>
        <v>826</v>
      </c>
      <c r="B830" s="278">
        <v>44246</v>
      </c>
      <c r="C830" s="256">
        <v>44197</v>
      </c>
      <c r="D830" s="255" t="s">
        <v>88</v>
      </c>
      <c r="E830" s="255" t="s">
        <v>167</v>
      </c>
      <c r="F830" s="258">
        <v>24059.07</v>
      </c>
      <c r="G830" s="250" t="s">
        <v>3511</v>
      </c>
      <c r="H830" s="255" t="s">
        <v>114</v>
      </c>
      <c r="I830" s="250" t="s">
        <v>530</v>
      </c>
      <c r="J830" s="250" t="s">
        <v>114</v>
      </c>
      <c r="K830" s="255" t="s">
        <v>466</v>
      </c>
      <c r="L830" s="250" t="s">
        <v>547</v>
      </c>
      <c r="M830" s="255" t="s">
        <v>114</v>
      </c>
      <c r="N830" s="278">
        <v>44246</v>
      </c>
      <c r="O830" s="329" t="s">
        <v>67</v>
      </c>
      <c r="P830" s="386">
        <f t="shared" ref="P830:Q830" si="827">IF(B830=0,0,IF(YEAR(B830)=$Q$1,MONTH(B830)-$P$1+1,(YEAR(B830)-$Q$1)*12-$P$1+1+MONTH(B830)))</f>
        <v>2</v>
      </c>
      <c r="Q830" s="330">
        <f t="shared" si="827"/>
        <v>1</v>
      </c>
      <c r="R830" s="351" t="str">
        <f t="shared" si="3"/>
        <v>Gastos_com_Pessoal</v>
      </c>
      <c r="S830" s="351" t="str">
        <f>IF(D830="","",IF(OR(D830=Plano!$A$1,D830=Plano!$B$1),"entrada","saída"))</f>
        <v>saída</v>
      </c>
      <c r="T830" s="334" t="s">
        <v>114</v>
      </c>
      <c r="U830" s="334" t="s">
        <v>114</v>
      </c>
      <c r="V830" s="269"/>
      <c r="W830" s="269"/>
    </row>
    <row r="831" spans="1:23" ht="133.5" customHeight="1" x14ac:dyDescent="0.2">
      <c r="A831" s="277">
        <f t="shared" si="0"/>
        <v>827</v>
      </c>
      <c r="B831" s="278">
        <v>44246</v>
      </c>
      <c r="C831" s="256">
        <v>44197</v>
      </c>
      <c r="D831" s="255" t="s">
        <v>99</v>
      </c>
      <c r="E831" s="255" t="s">
        <v>366</v>
      </c>
      <c r="F831" s="258">
        <v>3500</v>
      </c>
      <c r="G831" s="255" t="s">
        <v>3512</v>
      </c>
      <c r="H831" s="255" t="s">
        <v>125</v>
      </c>
      <c r="I831" s="252" t="s">
        <v>1051</v>
      </c>
      <c r="J831" s="252" t="s">
        <v>711</v>
      </c>
      <c r="K831" s="255" t="s">
        <v>991</v>
      </c>
      <c r="L831" s="250" t="s">
        <v>1016</v>
      </c>
      <c r="M831" s="255" t="s">
        <v>1443</v>
      </c>
      <c r="N831" s="278">
        <v>44246</v>
      </c>
      <c r="O831" s="329" t="s">
        <v>67</v>
      </c>
      <c r="P831" s="386">
        <f t="shared" ref="P831:Q831" si="828">IF(B831=0,0,IF(YEAR(B831)=$Q$1,MONTH(B831)-$P$1+1,(YEAR(B831)-$Q$1)*12-$P$1+1+MONTH(B831)))</f>
        <v>2</v>
      </c>
      <c r="Q831" s="330">
        <f t="shared" si="828"/>
        <v>1</v>
      </c>
      <c r="R831" s="351" t="str">
        <f t="shared" si="3"/>
        <v>Gastos_Gerais</v>
      </c>
      <c r="S831" s="351" t="str">
        <f>IF(D831="","",IF(OR(D831=Plano!$A$1,D831=Plano!$B$1),"entrada","saída"))</f>
        <v>saída</v>
      </c>
      <c r="T831" s="334" t="s">
        <v>1059</v>
      </c>
      <c r="U831" s="334">
        <v>1265</v>
      </c>
      <c r="V831" s="269"/>
      <c r="W831" s="269"/>
    </row>
    <row r="832" spans="1:23" ht="69.75" customHeight="1" x14ac:dyDescent="0.2">
      <c r="A832" s="277">
        <f t="shared" si="0"/>
        <v>828</v>
      </c>
      <c r="B832" s="278">
        <v>44246</v>
      </c>
      <c r="C832" s="256">
        <v>44166</v>
      </c>
      <c r="D832" s="255" t="s">
        <v>99</v>
      </c>
      <c r="E832" s="255" t="s">
        <v>236</v>
      </c>
      <c r="F832" s="258">
        <v>112.45</v>
      </c>
      <c r="G832" s="252" t="s">
        <v>3513</v>
      </c>
      <c r="H832" s="255" t="s">
        <v>116</v>
      </c>
      <c r="I832" s="252" t="s">
        <v>488</v>
      </c>
      <c r="J832" s="252" t="s">
        <v>114</v>
      </c>
      <c r="K832" s="252" t="s">
        <v>466</v>
      </c>
      <c r="L832" s="252" t="s">
        <v>489</v>
      </c>
      <c r="M832" s="255" t="s">
        <v>114</v>
      </c>
      <c r="N832" s="278">
        <v>44246</v>
      </c>
      <c r="O832" s="329" t="s">
        <v>67</v>
      </c>
      <c r="P832" s="386">
        <f t="shared" ref="P832:Q832" si="829">IF(B832=0,0,IF(YEAR(B832)=$Q$1,MONTH(B832)-$P$1+1,(YEAR(B832)-$Q$1)*12-$P$1+1+MONTH(B832)))</f>
        <v>2</v>
      </c>
      <c r="Q832" s="330">
        <f t="shared" si="829"/>
        <v>0</v>
      </c>
      <c r="R832" s="351" t="str">
        <f t="shared" si="3"/>
        <v>Gastos_Gerais</v>
      </c>
      <c r="S832" s="351" t="str">
        <f>IF(D832="","",IF(OR(D832=Plano!$A$1,D832=Plano!$B$1),"entrada","saída"))</f>
        <v>saída</v>
      </c>
      <c r="T832" s="334" t="s">
        <v>114</v>
      </c>
      <c r="U832" s="334" t="s">
        <v>114</v>
      </c>
      <c r="V832" s="269"/>
      <c r="W832" s="269"/>
    </row>
    <row r="833" spans="1:23" ht="69.75" customHeight="1" x14ac:dyDescent="0.2">
      <c r="A833" s="277">
        <f t="shared" si="0"/>
        <v>829</v>
      </c>
      <c r="B833" s="278">
        <v>44246</v>
      </c>
      <c r="C833" s="256">
        <v>44166</v>
      </c>
      <c r="D833" s="255" t="s">
        <v>99</v>
      </c>
      <c r="E833" s="255" t="s">
        <v>336</v>
      </c>
      <c r="F833" s="258">
        <v>10.73</v>
      </c>
      <c r="G833" s="252" t="s">
        <v>3514</v>
      </c>
      <c r="H833" s="255" t="s">
        <v>116</v>
      </c>
      <c r="I833" s="252" t="s">
        <v>488</v>
      </c>
      <c r="J833" s="252" t="s">
        <v>114</v>
      </c>
      <c r="K833" s="252" t="s">
        <v>466</v>
      </c>
      <c r="L833" s="252" t="s">
        <v>489</v>
      </c>
      <c r="M833" s="255" t="s">
        <v>114</v>
      </c>
      <c r="N833" s="278">
        <v>44246</v>
      </c>
      <c r="O833" s="329" t="s">
        <v>67</v>
      </c>
      <c r="P833" s="386">
        <f t="shared" ref="P833:Q833" si="830">IF(B833=0,0,IF(YEAR(B833)=$Q$1,MONTH(B833)-$P$1+1,(YEAR(B833)-$Q$1)*12-$P$1+1+MONTH(B833)))</f>
        <v>2</v>
      </c>
      <c r="Q833" s="330">
        <f t="shared" si="830"/>
        <v>0</v>
      </c>
      <c r="R833" s="351" t="str">
        <f t="shared" si="3"/>
        <v>Gastos_Gerais</v>
      </c>
      <c r="S833" s="351" t="str">
        <f>IF(D833="","",IF(OR(D833=Plano!$A$1,D833=Plano!$B$1),"entrada","saída"))</f>
        <v>saída</v>
      </c>
      <c r="T833" s="334" t="s">
        <v>114</v>
      </c>
      <c r="U833" s="334" t="s">
        <v>114</v>
      </c>
      <c r="V833" s="269"/>
      <c r="W833" s="269"/>
    </row>
    <row r="834" spans="1:23" ht="69.75" customHeight="1" x14ac:dyDescent="0.2">
      <c r="A834" s="277">
        <f t="shared" si="0"/>
        <v>830</v>
      </c>
      <c r="B834" s="278">
        <v>44246</v>
      </c>
      <c r="C834" s="256">
        <v>44166</v>
      </c>
      <c r="D834" s="255" t="s">
        <v>99</v>
      </c>
      <c r="E834" s="255" t="s">
        <v>336</v>
      </c>
      <c r="F834" s="258">
        <v>24.08</v>
      </c>
      <c r="G834" s="252" t="s">
        <v>3515</v>
      </c>
      <c r="H834" s="255" t="s">
        <v>117</v>
      </c>
      <c r="I834" s="252" t="s">
        <v>488</v>
      </c>
      <c r="J834" s="252" t="s">
        <v>114</v>
      </c>
      <c r="K834" s="252" t="s">
        <v>466</v>
      </c>
      <c r="L834" s="252" t="s">
        <v>489</v>
      </c>
      <c r="M834" s="255" t="s">
        <v>114</v>
      </c>
      <c r="N834" s="278">
        <v>44246</v>
      </c>
      <c r="O834" s="329" t="s">
        <v>67</v>
      </c>
      <c r="P834" s="386">
        <f t="shared" ref="P834:Q834" si="831">IF(B834=0,0,IF(YEAR(B834)=$Q$1,MONTH(B834)-$P$1+1,(YEAR(B834)-$Q$1)*12-$P$1+1+MONTH(B834)))</f>
        <v>2</v>
      </c>
      <c r="Q834" s="330">
        <f t="shared" si="831"/>
        <v>0</v>
      </c>
      <c r="R834" s="351" t="str">
        <f t="shared" si="3"/>
        <v>Gastos_Gerais</v>
      </c>
      <c r="S834" s="351" t="str">
        <f>IF(D834="","",IF(OR(D834=Plano!$A$1,D834=Plano!$B$1),"entrada","saída"))</f>
        <v>saída</v>
      </c>
      <c r="T834" s="334" t="s">
        <v>114</v>
      </c>
      <c r="U834" s="334" t="s">
        <v>114</v>
      </c>
      <c r="V834" s="269"/>
      <c r="W834" s="269"/>
    </row>
    <row r="835" spans="1:23" ht="69.75" customHeight="1" x14ac:dyDescent="0.2">
      <c r="A835" s="277">
        <f t="shared" si="0"/>
        <v>831</v>
      </c>
      <c r="B835" s="278">
        <v>44246</v>
      </c>
      <c r="C835" s="256">
        <v>44197</v>
      </c>
      <c r="D835" s="255" t="s">
        <v>99</v>
      </c>
      <c r="E835" s="255" t="s">
        <v>358</v>
      </c>
      <c r="F835" s="258">
        <v>39.630000000000003</v>
      </c>
      <c r="G835" s="255" t="s">
        <v>3516</v>
      </c>
      <c r="H835" s="255" t="s">
        <v>131</v>
      </c>
      <c r="I835" s="252" t="s">
        <v>488</v>
      </c>
      <c r="J835" s="252" t="s">
        <v>114</v>
      </c>
      <c r="K835" s="252" t="s">
        <v>466</v>
      </c>
      <c r="L835" s="252" t="s">
        <v>489</v>
      </c>
      <c r="M835" s="255" t="s">
        <v>114</v>
      </c>
      <c r="N835" s="278">
        <v>44246</v>
      </c>
      <c r="O835" s="329" t="s">
        <v>67</v>
      </c>
      <c r="P835" s="386">
        <f t="shared" ref="P835:Q835" si="832">IF(B835=0,0,IF(YEAR(B835)=$Q$1,MONTH(B835)-$P$1+1,(YEAR(B835)-$Q$1)*12-$P$1+1+MONTH(B835)))</f>
        <v>2</v>
      </c>
      <c r="Q835" s="330">
        <f t="shared" si="832"/>
        <v>1</v>
      </c>
      <c r="R835" s="351" t="str">
        <f t="shared" si="3"/>
        <v>Gastos_Gerais</v>
      </c>
      <c r="S835" s="351" t="str">
        <f>IF(D835="","",IF(OR(D835=Plano!$A$1,D835=Plano!$B$1),"entrada","saída"))</f>
        <v>saída</v>
      </c>
      <c r="T835" s="334" t="s">
        <v>114</v>
      </c>
      <c r="U835" s="334" t="s">
        <v>114</v>
      </c>
      <c r="V835" s="269"/>
      <c r="W835" s="269"/>
    </row>
    <row r="836" spans="1:23" ht="69.75" customHeight="1" x14ac:dyDescent="0.2">
      <c r="A836" s="277">
        <f t="shared" si="0"/>
        <v>832</v>
      </c>
      <c r="B836" s="278">
        <v>44246</v>
      </c>
      <c r="C836" s="256">
        <v>44197</v>
      </c>
      <c r="D836" s="255" t="s">
        <v>99</v>
      </c>
      <c r="E836" s="255" t="s">
        <v>358</v>
      </c>
      <c r="F836" s="258">
        <v>39.630000000000003</v>
      </c>
      <c r="G836" s="255" t="s">
        <v>3517</v>
      </c>
      <c r="H836" s="255" t="s">
        <v>131</v>
      </c>
      <c r="I836" s="252" t="s">
        <v>488</v>
      </c>
      <c r="J836" s="252" t="s">
        <v>114</v>
      </c>
      <c r="K836" s="252" t="s">
        <v>466</v>
      </c>
      <c r="L836" s="252" t="s">
        <v>489</v>
      </c>
      <c r="M836" s="255" t="s">
        <v>114</v>
      </c>
      <c r="N836" s="278">
        <v>44246</v>
      </c>
      <c r="O836" s="329" t="s">
        <v>67</v>
      </c>
      <c r="P836" s="386">
        <f t="shared" ref="P836:Q836" si="833">IF(B836=0,0,IF(YEAR(B836)=$Q$1,MONTH(B836)-$P$1+1,(YEAR(B836)-$Q$1)*12-$P$1+1+MONTH(B836)))</f>
        <v>2</v>
      </c>
      <c r="Q836" s="330">
        <f t="shared" si="833"/>
        <v>1</v>
      </c>
      <c r="R836" s="351" t="str">
        <f t="shared" si="3"/>
        <v>Gastos_Gerais</v>
      </c>
      <c r="S836" s="351" t="str">
        <f>IF(D836="","",IF(OR(D836=Plano!$A$1,D836=Plano!$B$1),"entrada","saída"))</f>
        <v>saída</v>
      </c>
      <c r="T836" s="334" t="s">
        <v>114</v>
      </c>
      <c r="U836" s="334" t="s">
        <v>114</v>
      </c>
      <c r="V836" s="269"/>
      <c r="W836" s="269"/>
    </row>
    <row r="837" spans="1:23" ht="69.75" customHeight="1" x14ac:dyDescent="0.2">
      <c r="A837" s="277">
        <f t="shared" si="0"/>
        <v>833</v>
      </c>
      <c r="B837" s="278">
        <v>44246</v>
      </c>
      <c r="C837" s="256">
        <v>44197</v>
      </c>
      <c r="D837" s="255" t="s">
        <v>99</v>
      </c>
      <c r="E837" s="255" t="s">
        <v>358</v>
      </c>
      <c r="F837" s="257">
        <v>165.23</v>
      </c>
      <c r="G837" s="255" t="s">
        <v>3518</v>
      </c>
      <c r="H837" s="255" t="s">
        <v>131</v>
      </c>
      <c r="I837" s="252" t="s">
        <v>530</v>
      </c>
      <c r="J837" s="252" t="s">
        <v>114</v>
      </c>
      <c r="K837" s="252" t="s">
        <v>466</v>
      </c>
      <c r="L837" s="252" t="s">
        <v>547</v>
      </c>
      <c r="M837" s="255" t="s">
        <v>114</v>
      </c>
      <c r="N837" s="278">
        <v>44246</v>
      </c>
      <c r="O837" s="329" t="s">
        <v>67</v>
      </c>
      <c r="P837" s="386">
        <f t="shared" ref="P837:Q837" si="834">IF(B837=0,0,IF(YEAR(B837)=$Q$1,MONTH(B837)-$P$1+1,(YEAR(B837)-$Q$1)*12-$P$1+1+MONTH(B837)))</f>
        <v>2</v>
      </c>
      <c r="Q837" s="330">
        <f t="shared" si="834"/>
        <v>1</v>
      </c>
      <c r="R837" s="351" t="str">
        <f t="shared" si="3"/>
        <v>Gastos_Gerais</v>
      </c>
      <c r="S837" s="351" t="str">
        <f>IF(D837="","",IF(OR(D837=Plano!$A$1,D837=Plano!$B$1),"entrada","saída"))</f>
        <v>saída</v>
      </c>
      <c r="T837" s="334" t="s">
        <v>114</v>
      </c>
      <c r="U837" s="334" t="s">
        <v>114</v>
      </c>
      <c r="V837" s="269"/>
      <c r="W837" s="269"/>
    </row>
    <row r="838" spans="1:23" ht="69.75" customHeight="1" x14ac:dyDescent="0.2">
      <c r="A838" s="277">
        <f t="shared" si="0"/>
        <v>834</v>
      </c>
      <c r="B838" s="278">
        <v>44246</v>
      </c>
      <c r="C838" s="256">
        <v>44166</v>
      </c>
      <c r="D838" s="255" t="s">
        <v>99</v>
      </c>
      <c r="E838" s="255" t="s">
        <v>236</v>
      </c>
      <c r="F838" s="258">
        <v>1085</v>
      </c>
      <c r="G838" s="255" t="s">
        <v>3519</v>
      </c>
      <c r="H838" s="255" t="s">
        <v>116</v>
      </c>
      <c r="I838" s="252" t="s">
        <v>530</v>
      </c>
      <c r="J838" s="252" t="s">
        <v>114</v>
      </c>
      <c r="K838" s="252" t="s">
        <v>466</v>
      </c>
      <c r="L838" s="252" t="s">
        <v>547</v>
      </c>
      <c r="M838" s="255" t="s">
        <v>114</v>
      </c>
      <c r="N838" s="278">
        <v>44246</v>
      </c>
      <c r="O838" s="329" t="s">
        <v>67</v>
      </c>
      <c r="P838" s="386">
        <f t="shared" ref="P838:Q838" si="835">IF(B838=0,0,IF(YEAR(B838)=$Q$1,MONTH(B838)-$P$1+1,(YEAR(B838)-$Q$1)*12-$P$1+1+MONTH(B838)))</f>
        <v>2</v>
      </c>
      <c r="Q838" s="330">
        <f t="shared" si="835"/>
        <v>0</v>
      </c>
      <c r="R838" s="351" t="str">
        <f t="shared" si="3"/>
        <v>Gastos_Gerais</v>
      </c>
      <c r="S838" s="351" t="str">
        <f>IF(D838="","",IF(OR(D838=Plano!$A$1,D838=Plano!$B$1),"entrada","saída"))</f>
        <v>saída</v>
      </c>
      <c r="T838" s="334" t="s">
        <v>114</v>
      </c>
      <c r="U838" s="334" t="s">
        <v>114</v>
      </c>
      <c r="V838" s="269"/>
      <c r="W838" s="269"/>
    </row>
    <row r="839" spans="1:23" ht="69.75" customHeight="1" x14ac:dyDescent="0.2">
      <c r="A839" s="277">
        <f t="shared" si="0"/>
        <v>835</v>
      </c>
      <c r="B839" s="278">
        <v>44246</v>
      </c>
      <c r="C839" s="256">
        <v>44166</v>
      </c>
      <c r="D839" s="255" t="s">
        <v>99</v>
      </c>
      <c r="E839" s="255" t="s">
        <v>352</v>
      </c>
      <c r="F839" s="258">
        <v>595.20000000000005</v>
      </c>
      <c r="G839" s="255" t="s">
        <v>3520</v>
      </c>
      <c r="H839" s="255" t="s">
        <v>125</v>
      </c>
      <c r="I839" s="252" t="s">
        <v>530</v>
      </c>
      <c r="J839" s="252" t="s">
        <v>114</v>
      </c>
      <c r="K839" s="252" t="s">
        <v>466</v>
      </c>
      <c r="L839" s="252" t="s">
        <v>547</v>
      </c>
      <c r="M839" s="255" t="s">
        <v>114</v>
      </c>
      <c r="N839" s="278">
        <v>44246</v>
      </c>
      <c r="O839" s="329" t="s">
        <v>67</v>
      </c>
      <c r="P839" s="386">
        <f t="shared" ref="P839:Q839" si="836">IF(B839=0,0,IF(YEAR(B839)=$Q$1,MONTH(B839)-$P$1+1,(YEAR(B839)-$Q$1)*12-$P$1+1+MONTH(B839)))</f>
        <v>2</v>
      </c>
      <c r="Q839" s="330">
        <f t="shared" si="836"/>
        <v>0</v>
      </c>
      <c r="R839" s="351" t="str">
        <f t="shared" si="3"/>
        <v>Gastos_Gerais</v>
      </c>
      <c r="S839" s="351" t="str">
        <f>IF(D839="","",IF(OR(D839=Plano!$A$1,D839=Plano!$B$1),"entrada","saída"))</f>
        <v>saída</v>
      </c>
      <c r="T839" s="334" t="s">
        <v>114</v>
      </c>
      <c r="U839" s="334" t="s">
        <v>114</v>
      </c>
      <c r="V839" s="269"/>
      <c r="W839" s="269"/>
    </row>
    <row r="840" spans="1:23" ht="69.75" customHeight="1" x14ac:dyDescent="0.2">
      <c r="A840" s="277">
        <f t="shared" si="0"/>
        <v>836</v>
      </c>
      <c r="B840" s="278">
        <v>44246</v>
      </c>
      <c r="C840" s="256">
        <v>44166</v>
      </c>
      <c r="D840" s="255" t="s">
        <v>99</v>
      </c>
      <c r="E840" s="255" t="s">
        <v>336</v>
      </c>
      <c r="F840" s="258">
        <v>713</v>
      </c>
      <c r="G840" s="255" t="s">
        <v>3521</v>
      </c>
      <c r="H840" s="255" t="s">
        <v>116</v>
      </c>
      <c r="I840" s="252" t="s">
        <v>530</v>
      </c>
      <c r="J840" s="252" t="s">
        <v>114</v>
      </c>
      <c r="K840" s="252" t="s">
        <v>466</v>
      </c>
      <c r="L840" s="252" t="s">
        <v>547</v>
      </c>
      <c r="M840" s="255" t="s">
        <v>114</v>
      </c>
      <c r="N840" s="278">
        <v>44246</v>
      </c>
      <c r="O840" s="329" t="s">
        <v>67</v>
      </c>
      <c r="P840" s="386">
        <f t="shared" ref="P840:Q840" si="837">IF(B840=0,0,IF(YEAR(B840)=$Q$1,MONTH(B840)-$P$1+1,(YEAR(B840)-$Q$1)*12-$P$1+1+MONTH(B840)))</f>
        <v>2</v>
      </c>
      <c r="Q840" s="330">
        <f t="shared" si="837"/>
        <v>0</v>
      </c>
      <c r="R840" s="351" t="str">
        <f t="shared" si="3"/>
        <v>Gastos_Gerais</v>
      </c>
      <c r="S840" s="351" t="str">
        <f>IF(D840="","",IF(OR(D840=Plano!$A$1,D840=Plano!$B$1),"entrada","saída"))</f>
        <v>saída</v>
      </c>
      <c r="T840" s="334" t="s">
        <v>114</v>
      </c>
      <c r="U840" s="334" t="s">
        <v>114</v>
      </c>
      <c r="V840" s="269"/>
      <c r="W840" s="269"/>
    </row>
    <row r="841" spans="1:23" ht="69.75" customHeight="1" x14ac:dyDescent="0.2">
      <c r="A841" s="277">
        <f t="shared" si="0"/>
        <v>837</v>
      </c>
      <c r="B841" s="278">
        <v>44246</v>
      </c>
      <c r="C841" s="256">
        <v>44166</v>
      </c>
      <c r="D841" s="255" t="s">
        <v>99</v>
      </c>
      <c r="E841" s="255" t="s">
        <v>236</v>
      </c>
      <c r="F841" s="258">
        <v>465</v>
      </c>
      <c r="G841" s="255" t="s">
        <v>3522</v>
      </c>
      <c r="H841" s="255" t="s">
        <v>122</v>
      </c>
      <c r="I841" s="252" t="s">
        <v>530</v>
      </c>
      <c r="J841" s="252" t="s">
        <v>114</v>
      </c>
      <c r="K841" s="252" t="s">
        <v>466</v>
      </c>
      <c r="L841" s="252" t="s">
        <v>547</v>
      </c>
      <c r="M841" s="255" t="s">
        <v>114</v>
      </c>
      <c r="N841" s="278">
        <v>44246</v>
      </c>
      <c r="O841" s="329" t="s">
        <v>67</v>
      </c>
      <c r="P841" s="386">
        <f t="shared" ref="P841:Q841" si="838">IF(B841=0,0,IF(YEAR(B841)=$Q$1,MONTH(B841)-$P$1+1,(YEAR(B841)-$Q$1)*12-$P$1+1+MONTH(B841)))</f>
        <v>2</v>
      </c>
      <c r="Q841" s="330">
        <f t="shared" si="838"/>
        <v>0</v>
      </c>
      <c r="R841" s="351" t="str">
        <f t="shared" si="3"/>
        <v>Gastos_Gerais</v>
      </c>
      <c r="S841" s="351" t="str">
        <f>IF(D841="","",IF(OR(D841=Plano!$A$1,D841=Plano!$B$1),"entrada","saída"))</f>
        <v>saída</v>
      </c>
      <c r="T841" s="334" t="s">
        <v>114</v>
      </c>
      <c r="U841" s="334" t="s">
        <v>114</v>
      </c>
      <c r="V841" s="269"/>
      <c r="W841" s="269"/>
    </row>
    <row r="842" spans="1:23" ht="69.75" customHeight="1" x14ac:dyDescent="0.2">
      <c r="A842" s="277">
        <f t="shared" si="0"/>
        <v>838</v>
      </c>
      <c r="B842" s="278">
        <v>44246</v>
      </c>
      <c r="C842" s="256">
        <v>44166</v>
      </c>
      <c r="D842" s="255" t="s">
        <v>99</v>
      </c>
      <c r="E842" s="255" t="s">
        <v>336</v>
      </c>
      <c r="F842" s="258">
        <v>775</v>
      </c>
      <c r="G842" s="255" t="s">
        <v>3523</v>
      </c>
      <c r="H842" s="255" t="s">
        <v>117</v>
      </c>
      <c r="I842" s="252" t="s">
        <v>530</v>
      </c>
      <c r="J842" s="252" t="s">
        <v>114</v>
      </c>
      <c r="K842" s="252" t="s">
        <v>466</v>
      </c>
      <c r="L842" s="252" t="s">
        <v>547</v>
      </c>
      <c r="M842" s="255" t="s">
        <v>114</v>
      </c>
      <c r="N842" s="278">
        <v>44246</v>
      </c>
      <c r="O842" s="329" t="s">
        <v>67</v>
      </c>
      <c r="P842" s="386">
        <f t="shared" ref="P842:Q842" si="839">IF(B842=0,0,IF(YEAR(B842)=$Q$1,MONTH(B842)-$P$1+1,(YEAR(B842)-$Q$1)*12-$P$1+1+MONTH(B842)))</f>
        <v>2</v>
      </c>
      <c r="Q842" s="330">
        <f t="shared" si="839"/>
        <v>0</v>
      </c>
      <c r="R842" s="351" t="str">
        <f t="shared" si="3"/>
        <v>Gastos_Gerais</v>
      </c>
      <c r="S842" s="351" t="str">
        <f>IF(D842="","",IF(OR(D842=Plano!$A$1,D842=Plano!$B$1),"entrada","saída"))</f>
        <v>saída</v>
      </c>
      <c r="T842" s="334" t="s">
        <v>114</v>
      </c>
      <c r="U842" s="334" t="s">
        <v>114</v>
      </c>
      <c r="V842" s="269"/>
      <c r="W842" s="269"/>
    </row>
    <row r="843" spans="1:23" ht="69.75" customHeight="1" x14ac:dyDescent="0.2">
      <c r="A843" s="277">
        <f t="shared" si="0"/>
        <v>839</v>
      </c>
      <c r="B843" s="278">
        <v>44246</v>
      </c>
      <c r="C843" s="256">
        <v>44136</v>
      </c>
      <c r="D843" s="255" t="s">
        <v>99</v>
      </c>
      <c r="E843" s="255" t="s">
        <v>358</v>
      </c>
      <c r="F843" s="258">
        <v>310</v>
      </c>
      <c r="G843" s="255" t="s">
        <v>3524</v>
      </c>
      <c r="H843" s="255" t="s">
        <v>131</v>
      </c>
      <c r="I843" s="252" t="s">
        <v>530</v>
      </c>
      <c r="J843" s="252" t="s">
        <v>114</v>
      </c>
      <c r="K843" s="252" t="s">
        <v>466</v>
      </c>
      <c r="L843" s="252" t="s">
        <v>547</v>
      </c>
      <c r="M843" s="255" t="s">
        <v>114</v>
      </c>
      <c r="N843" s="278">
        <v>44246</v>
      </c>
      <c r="O843" s="329" t="s">
        <v>67</v>
      </c>
      <c r="P843" s="386">
        <f t="shared" ref="P843:Q843" si="840">IF(B843=0,0,IF(YEAR(B843)=$Q$1,MONTH(B843)-$P$1+1,(YEAR(B843)-$Q$1)*12-$P$1+1+MONTH(B843)))</f>
        <v>2</v>
      </c>
      <c r="Q843" s="330">
        <f t="shared" si="840"/>
        <v>-1</v>
      </c>
      <c r="R843" s="351" t="str">
        <f t="shared" si="3"/>
        <v>Gastos_Gerais</v>
      </c>
      <c r="S843" s="351" t="str">
        <f>IF(D843="","",IF(OR(D843=Plano!$A$1,D843=Plano!$B$1),"entrada","saída"))</f>
        <v>saída</v>
      </c>
      <c r="T843" s="334" t="s">
        <v>114</v>
      </c>
      <c r="U843" s="334" t="s">
        <v>114</v>
      </c>
      <c r="V843" s="269"/>
      <c r="W843" s="269"/>
    </row>
    <row r="844" spans="1:23" ht="69.75" customHeight="1" x14ac:dyDescent="0.2">
      <c r="A844" s="277">
        <f t="shared" si="0"/>
        <v>840</v>
      </c>
      <c r="B844" s="278">
        <v>44246</v>
      </c>
      <c r="C844" s="256">
        <v>44197</v>
      </c>
      <c r="D844" s="255" t="s">
        <v>99</v>
      </c>
      <c r="E844" s="255" t="s">
        <v>358</v>
      </c>
      <c r="F844" s="258">
        <v>227.23</v>
      </c>
      <c r="G844" s="255" t="s">
        <v>3525</v>
      </c>
      <c r="H844" s="255" t="s">
        <v>131</v>
      </c>
      <c r="I844" s="252" t="s">
        <v>530</v>
      </c>
      <c r="J844" s="252" t="s">
        <v>114</v>
      </c>
      <c r="K844" s="252" t="s">
        <v>466</v>
      </c>
      <c r="L844" s="252" t="s">
        <v>547</v>
      </c>
      <c r="M844" s="255" t="s">
        <v>114</v>
      </c>
      <c r="N844" s="278">
        <v>44246</v>
      </c>
      <c r="O844" s="329" t="s">
        <v>67</v>
      </c>
      <c r="P844" s="386">
        <f t="shared" ref="P844:Q844" si="841">IF(B844=0,0,IF(YEAR(B844)=$Q$1,MONTH(B844)-$P$1+1,(YEAR(B844)-$Q$1)*12-$P$1+1+MONTH(B844)))</f>
        <v>2</v>
      </c>
      <c r="Q844" s="330">
        <f t="shared" si="841"/>
        <v>1</v>
      </c>
      <c r="R844" s="351" t="str">
        <f t="shared" si="3"/>
        <v>Gastos_Gerais</v>
      </c>
      <c r="S844" s="351" t="str">
        <f>IF(D844="","",IF(OR(D844=Plano!$A$1,D844=Plano!$B$1),"entrada","saída"))</f>
        <v>saída</v>
      </c>
      <c r="T844" s="334" t="s">
        <v>114</v>
      </c>
      <c r="U844" s="334" t="s">
        <v>114</v>
      </c>
      <c r="V844" s="269"/>
      <c r="W844" s="269"/>
    </row>
    <row r="845" spans="1:23" ht="69.75" customHeight="1" x14ac:dyDescent="0.2">
      <c r="A845" s="277">
        <f t="shared" si="0"/>
        <v>841</v>
      </c>
      <c r="B845" s="278">
        <v>44246</v>
      </c>
      <c r="C845" s="256">
        <v>44166</v>
      </c>
      <c r="D845" s="255" t="s">
        <v>99</v>
      </c>
      <c r="E845" s="255" t="s">
        <v>358</v>
      </c>
      <c r="F845" s="258">
        <v>413.23</v>
      </c>
      <c r="G845" s="255" t="s">
        <v>3526</v>
      </c>
      <c r="H845" s="255" t="s">
        <v>131</v>
      </c>
      <c r="I845" s="252" t="s">
        <v>530</v>
      </c>
      <c r="J845" s="252" t="s">
        <v>114</v>
      </c>
      <c r="K845" s="252" t="s">
        <v>466</v>
      </c>
      <c r="L845" s="252" t="s">
        <v>547</v>
      </c>
      <c r="M845" s="255" t="s">
        <v>114</v>
      </c>
      <c r="N845" s="278">
        <v>44246</v>
      </c>
      <c r="O845" s="329" t="s">
        <v>67</v>
      </c>
      <c r="P845" s="386">
        <f t="shared" ref="P845:Q845" si="842">IF(B845=0,0,IF(YEAR(B845)=$Q$1,MONTH(B845)-$P$1+1,(YEAR(B845)-$Q$1)*12-$P$1+1+MONTH(B845)))</f>
        <v>2</v>
      </c>
      <c r="Q845" s="330">
        <f t="shared" si="842"/>
        <v>0</v>
      </c>
      <c r="R845" s="351" t="str">
        <f t="shared" si="3"/>
        <v>Gastos_Gerais</v>
      </c>
      <c r="S845" s="351" t="str">
        <f>IF(D845="","",IF(OR(D845=Plano!$A$1,D845=Plano!$B$1),"entrada","saída"))</f>
        <v>saída</v>
      </c>
      <c r="T845" s="334" t="s">
        <v>114</v>
      </c>
      <c r="U845" s="334" t="s">
        <v>114</v>
      </c>
      <c r="V845" s="269"/>
      <c r="W845" s="269"/>
    </row>
    <row r="846" spans="1:23" ht="69.75" customHeight="1" x14ac:dyDescent="0.2">
      <c r="A846" s="277">
        <f t="shared" si="0"/>
        <v>842</v>
      </c>
      <c r="B846" s="278">
        <v>44246</v>
      </c>
      <c r="C846" s="256">
        <v>44136</v>
      </c>
      <c r="D846" s="255" t="s">
        <v>99</v>
      </c>
      <c r="E846" s="255" t="s">
        <v>358</v>
      </c>
      <c r="F846" s="258">
        <v>595.20000000000005</v>
      </c>
      <c r="G846" s="255" t="s">
        <v>3527</v>
      </c>
      <c r="H846" s="255" t="s">
        <v>118</v>
      </c>
      <c r="I846" s="252" t="s">
        <v>530</v>
      </c>
      <c r="J846" s="252" t="s">
        <v>114</v>
      </c>
      <c r="K846" s="252" t="s">
        <v>466</v>
      </c>
      <c r="L846" s="252" t="s">
        <v>547</v>
      </c>
      <c r="M846" s="255" t="s">
        <v>114</v>
      </c>
      <c r="N846" s="278">
        <v>44246</v>
      </c>
      <c r="O846" s="329" t="s">
        <v>67</v>
      </c>
      <c r="P846" s="386">
        <f t="shared" ref="P846:Q846" si="843">IF(B846=0,0,IF(YEAR(B846)=$Q$1,MONTH(B846)-$P$1+1,(YEAR(B846)-$Q$1)*12-$P$1+1+MONTH(B846)))</f>
        <v>2</v>
      </c>
      <c r="Q846" s="330">
        <f t="shared" si="843"/>
        <v>-1</v>
      </c>
      <c r="R846" s="351" t="str">
        <f t="shared" si="3"/>
        <v>Gastos_Gerais</v>
      </c>
      <c r="S846" s="351" t="str">
        <f>IF(D846="","",IF(OR(D846=Plano!$A$1,D846=Plano!$B$1),"entrada","saída"))</f>
        <v>saída</v>
      </c>
      <c r="T846" s="334" t="s">
        <v>114</v>
      </c>
      <c r="U846" s="334" t="s">
        <v>114</v>
      </c>
      <c r="V846" s="269"/>
      <c r="W846" s="269"/>
    </row>
    <row r="847" spans="1:23" ht="69.75" customHeight="1" x14ac:dyDescent="0.2">
      <c r="A847" s="277">
        <f t="shared" si="0"/>
        <v>843</v>
      </c>
      <c r="B847" s="278">
        <v>44246</v>
      </c>
      <c r="C847" s="256">
        <v>44197</v>
      </c>
      <c r="D847" s="255" t="s">
        <v>99</v>
      </c>
      <c r="E847" s="255" t="s">
        <v>364</v>
      </c>
      <c r="F847" s="258">
        <v>93</v>
      </c>
      <c r="G847" s="255" t="s">
        <v>3528</v>
      </c>
      <c r="H847" s="255" t="s">
        <v>125</v>
      </c>
      <c r="I847" s="252" t="s">
        <v>530</v>
      </c>
      <c r="J847" s="252" t="s">
        <v>114</v>
      </c>
      <c r="K847" s="252" t="s">
        <v>466</v>
      </c>
      <c r="L847" s="252" t="s">
        <v>547</v>
      </c>
      <c r="M847" s="255" t="s">
        <v>114</v>
      </c>
      <c r="N847" s="278">
        <v>44246</v>
      </c>
      <c r="O847" s="329" t="s">
        <v>67</v>
      </c>
      <c r="P847" s="386">
        <f t="shared" ref="P847:Q847" si="844">IF(B847=0,0,IF(YEAR(B847)=$Q$1,MONTH(B847)-$P$1+1,(YEAR(B847)-$Q$1)*12-$P$1+1+MONTH(B847)))</f>
        <v>2</v>
      </c>
      <c r="Q847" s="330">
        <f t="shared" si="844"/>
        <v>1</v>
      </c>
      <c r="R847" s="351" t="str">
        <f t="shared" si="3"/>
        <v>Gastos_Gerais</v>
      </c>
      <c r="S847" s="351" t="str">
        <f>IF(D847="","",IF(OR(D847=Plano!$A$1,D847=Plano!$B$1),"entrada","saída"))</f>
        <v>saída</v>
      </c>
      <c r="T847" s="334" t="s">
        <v>114</v>
      </c>
      <c r="U847" s="334" t="s">
        <v>114</v>
      </c>
      <c r="V847" s="269"/>
      <c r="W847" s="269"/>
    </row>
    <row r="848" spans="1:23" ht="69.75" customHeight="1" x14ac:dyDescent="0.2">
      <c r="A848" s="277">
        <f t="shared" si="0"/>
        <v>844</v>
      </c>
      <c r="B848" s="278">
        <v>44246</v>
      </c>
      <c r="C848" s="256">
        <v>44136</v>
      </c>
      <c r="D848" s="255" t="s">
        <v>99</v>
      </c>
      <c r="E848" s="255" t="s">
        <v>358</v>
      </c>
      <c r="F848" s="258">
        <v>279</v>
      </c>
      <c r="G848" s="255" t="s">
        <v>3529</v>
      </c>
      <c r="H848" s="255" t="s">
        <v>128</v>
      </c>
      <c r="I848" s="252" t="s">
        <v>530</v>
      </c>
      <c r="J848" s="252" t="s">
        <v>114</v>
      </c>
      <c r="K848" s="252" t="s">
        <v>466</v>
      </c>
      <c r="L848" s="252" t="s">
        <v>547</v>
      </c>
      <c r="M848" s="255" t="s">
        <v>114</v>
      </c>
      <c r="N848" s="278">
        <v>44246</v>
      </c>
      <c r="O848" s="329" t="s">
        <v>67</v>
      </c>
      <c r="P848" s="386">
        <f t="shared" ref="P848:Q848" si="845">IF(B848=0,0,IF(YEAR(B848)=$Q$1,MONTH(B848)-$P$1+1,(YEAR(B848)-$Q$1)*12-$P$1+1+MONTH(B848)))</f>
        <v>2</v>
      </c>
      <c r="Q848" s="330">
        <f t="shared" si="845"/>
        <v>-1</v>
      </c>
      <c r="R848" s="351" t="str">
        <f t="shared" si="3"/>
        <v>Gastos_Gerais</v>
      </c>
      <c r="S848" s="351" t="str">
        <f>IF(D848="","",IF(OR(D848=Plano!$A$1,D848=Plano!$B$1),"entrada","saída"))</f>
        <v>saída</v>
      </c>
      <c r="T848" s="334" t="s">
        <v>114</v>
      </c>
      <c r="U848" s="334" t="s">
        <v>114</v>
      </c>
      <c r="V848" s="269"/>
      <c r="W848" s="269"/>
    </row>
    <row r="849" spans="1:23" ht="69.75" customHeight="1" x14ac:dyDescent="0.2">
      <c r="A849" s="277">
        <f t="shared" si="0"/>
        <v>845</v>
      </c>
      <c r="B849" s="278">
        <v>44246</v>
      </c>
      <c r="C849" s="256">
        <v>44197</v>
      </c>
      <c r="D849" s="255" t="s">
        <v>99</v>
      </c>
      <c r="E849" s="255" t="s">
        <v>358</v>
      </c>
      <c r="F849" s="258">
        <v>227.23</v>
      </c>
      <c r="G849" s="252" t="s">
        <v>3530</v>
      </c>
      <c r="H849" s="255" t="s">
        <v>131</v>
      </c>
      <c r="I849" s="252" t="s">
        <v>530</v>
      </c>
      <c r="J849" s="252" t="s">
        <v>114</v>
      </c>
      <c r="K849" s="252" t="s">
        <v>466</v>
      </c>
      <c r="L849" s="252" t="s">
        <v>547</v>
      </c>
      <c r="M849" s="255" t="s">
        <v>114</v>
      </c>
      <c r="N849" s="278">
        <v>44246</v>
      </c>
      <c r="O849" s="329" t="s">
        <v>67</v>
      </c>
      <c r="P849" s="386">
        <f t="shared" ref="P849:Q849" si="846">IF(B849=0,0,IF(YEAR(B849)=$Q$1,MONTH(B849)-$P$1+1,(YEAR(B849)-$Q$1)*12-$P$1+1+MONTH(B849)))</f>
        <v>2</v>
      </c>
      <c r="Q849" s="330">
        <f t="shared" si="846"/>
        <v>1</v>
      </c>
      <c r="R849" s="351" t="str">
        <f t="shared" si="3"/>
        <v>Gastos_Gerais</v>
      </c>
      <c r="S849" s="351" t="str">
        <f>IF(D849="","",IF(OR(D849=Plano!$A$1,D849=Plano!$B$1),"entrada","saída"))</f>
        <v>saída</v>
      </c>
      <c r="T849" s="334" t="s">
        <v>114</v>
      </c>
      <c r="U849" s="334" t="s">
        <v>114</v>
      </c>
      <c r="V849" s="269"/>
      <c r="W849" s="269"/>
    </row>
    <row r="850" spans="1:23" ht="69.75" customHeight="1" x14ac:dyDescent="0.2">
      <c r="A850" s="277">
        <f t="shared" si="0"/>
        <v>846</v>
      </c>
      <c r="B850" s="278">
        <v>44246</v>
      </c>
      <c r="C850" s="256">
        <v>44105</v>
      </c>
      <c r="D850" s="255" t="s">
        <v>99</v>
      </c>
      <c r="E850" s="255" t="s">
        <v>330</v>
      </c>
      <c r="F850" s="258">
        <v>620</v>
      </c>
      <c r="G850" s="255" t="s">
        <v>3531</v>
      </c>
      <c r="H850" s="255" t="s">
        <v>125</v>
      </c>
      <c r="I850" s="252" t="s">
        <v>530</v>
      </c>
      <c r="J850" s="252" t="s">
        <v>114</v>
      </c>
      <c r="K850" s="252" t="s">
        <v>466</v>
      </c>
      <c r="L850" s="252" t="s">
        <v>547</v>
      </c>
      <c r="M850" s="255" t="s">
        <v>114</v>
      </c>
      <c r="N850" s="278">
        <v>44246</v>
      </c>
      <c r="O850" s="329" t="s">
        <v>67</v>
      </c>
      <c r="P850" s="386">
        <f t="shared" ref="P850:Q850" si="847">IF(B850=0,0,IF(YEAR(B850)=$Q$1,MONTH(B850)-$P$1+1,(YEAR(B850)-$Q$1)*12-$P$1+1+MONTH(B850)))</f>
        <v>2</v>
      </c>
      <c r="Q850" s="330">
        <f t="shared" si="847"/>
        <v>-2</v>
      </c>
      <c r="R850" s="351" t="str">
        <f t="shared" si="3"/>
        <v>Gastos_Gerais</v>
      </c>
      <c r="S850" s="351" t="str">
        <f>IF(D850="","",IF(OR(D850=Plano!$A$1,D850=Plano!$B$1),"entrada","saída"))</f>
        <v>saída</v>
      </c>
      <c r="T850" s="334" t="s">
        <v>114</v>
      </c>
      <c r="U850" s="334" t="s">
        <v>114</v>
      </c>
      <c r="V850" s="269"/>
      <c r="W850" s="269"/>
    </row>
    <row r="851" spans="1:23" ht="69.75" customHeight="1" x14ac:dyDescent="0.2">
      <c r="A851" s="277">
        <f t="shared" si="0"/>
        <v>847</v>
      </c>
      <c r="B851" s="278">
        <v>44246</v>
      </c>
      <c r="C851" s="256">
        <v>44197</v>
      </c>
      <c r="D851" s="255" t="s">
        <v>99</v>
      </c>
      <c r="E851" s="255" t="s">
        <v>358</v>
      </c>
      <c r="F851" s="258">
        <v>165.23</v>
      </c>
      <c r="G851" s="255" t="s">
        <v>3532</v>
      </c>
      <c r="H851" s="255" t="s">
        <v>131</v>
      </c>
      <c r="I851" s="252" t="s">
        <v>530</v>
      </c>
      <c r="J851" s="252" t="s">
        <v>114</v>
      </c>
      <c r="K851" s="252" t="s">
        <v>466</v>
      </c>
      <c r="L851" s="252" t="s">
        <v>547</v>
      </c>
      <c r="M851" s="255" t="s">
        <v>114</v>
      </c>
      <c r="N851" s="278">
        <v>44246</v>
      </c>
      <c r="O851" s="329" t="s">
        <v>67</v>
      </c>
      <c r="P851" s="386">
        <f t="shared" ref="P851:Q851" si="848">IF(B851=0,0,IF(YEAR(B851)=$Q$1,MONTH(B851)-$P$1+1,(YEAR(B851)-$Q$1)*12-$P$1+1+MONTH(B851)))</f>
        <v>2</v>
      </c>
      <c r="Q851" s="330">
        <f t="shared" si="848"/>
        <v>1</v>
      </c>
      <c r="R851" s="351" t="str">
        <f t="shared" si="3"/>
        <v>Gastos_Gerais</v>
      </c>
      <c r="S851" s="351" t="str">
        <f>IF(D851="","",IF(OR(D851=Plano!$A$1,D851=Plano!$B$1),"entrada","saída"))</f>
        <v>saída</v>
      </c>
      <c r="T851" s="334" t="s">
        <v>114</v>
      </c>
      <c r="U851" s="334" t="s">
        <v>114</v>
      </c>
      <c r="V851" s="269"/>
      <c r="W851" s="269"/>
    </row>
    <row r="852" spans="1:23" ht="69.75" customHeight="1" x14ac:dyDescent="0.2">
      <c r="A852" s="277">
        <f t="shared" si="0"/>
        <v>848</v>
      </c>
      <c r="B852" s="278">
        <v>44246</v>
      </c>
      <c r="C852" s="256">
        <v>44136</v>
      </c>
      <c r="D852" s="252" t="s">
        <v>99</v>
      </c>
      <c r="E852" s="255" t="s">
        <v>352</v>
      </c>
      <c r="F852" s="257">
        <v>310</v>
      </c>
      <c r="G852" s="255" t="s">
        <v>3533</v>
      </c>
      <c r="H852" s="252" t="s">
        <v>125</v>
      </c>
      <c r="I852" s="252" t="s">
        <v>530</v>
      </c>
      <c r="J852" s="252" t="s">
        <v>114</v>
      </c>
      <c r="K852" s="252" t="s">
        <v>466</v>
      </c>
      <c r="L852" s="252" t="s">
        <v>547</v>
      </c>
      <c r="M852" s="255" t="s">
        <v>114</v>
      </c>
      <c r="N852" s="278">
        <v>44246</v>
      </c>
      <c r="O852" s="329" t="s">
        <v>67</v>
      </c>
      <c r="P852" s="386">
        <f t="shared" ref="P852:Q852" si="849">IF(B852=0,0,IF(YEAR(B852)=$Q$1,MONTH(B852)-$P$1+1,(YEAR(B852)-$Q$1)*12-$P$1+1+MONTH(B852)))</f>
        <v>2</v>
      </c>
      <c r="Q852" s="330">
        <f t="shared" si="849"/>
        <v>-1</v>
      </c>
      <c r="R852" s="351" t="str">
        <f t="shared" si="3"/>
        <v>Gastos_Gerais</v>
      </c>
      <c r="S852" s="351" t="str">
        <f>IF(D852="","",IF(OR(D852=Plano!$A$1,D852=Plano!$B$1),"entrada","saída"))</f>
        <v>saída</v>
      </c>
      <c r="T852" s="334" t="s">
        <v>114</v>
      </c>
      <c r="U852" s="334" t="s">
        <v>114</v>
      </c>
      <c r="V852" s="269"/>
      <c r="W852" s="269"/>
    </row>
    <row r="853" spans="1:23" ht="69.75" customHeight="1" x14ac:dyDescent="0.2">
      <c r="A853" s="277">
        <f t="shared" si="0"/>
        <v>849</v>
      </c>
      <c r="B853" s="278">
        <v>44246</v>
      </c>
      <c r="C853" s="256">
        <v>44136</v>
      </c>
      <c r="D853" s="255" t="s">
        <v>99</v>
      </c>
      <c r="E853" s="255" t="s">
        <v>358</v>
      </c>
      <c r="F853" s="258">
        <v>232.5</v>
      </c>
      <c r="G853" s="255" t="s">
        <v>3534</v>
      </c>
      <c r="H853" s="255" t="s">
        <v>128</v>
      </c>
      <c r="I853" s="252" t="s">
        <v>530</v>
      </c>
      <c r="J853" s="252" t="s">
        <v>114</v>
      </c>
      <c r="K853" s="252" t="s">
        <v>466</v>
      </c>
      <c r="L853" s="252" t="s">
        <v>547</v>
      </c>
      <c r="M853" s="255" t="s">
        <v>114</v>
      </c>
      <c r="N853" s="278">
        <v>44246</v>
      </c>
      <c r="O853" s="329" t="s">
        <v>67</v>
      </c>
      <c r="P853" s="386">
        <f t="shared" ref="P853:Q853" si="850">IF(B853=0,0,IF(YEAR(B853)=$Q$1,MONTH(B853)-$P$1+1,(YEAR(B853)-$Q$1)*12-$P$1+1+MONTH(B853)))</f>
        <v>2</v>
      </c>
      <c r="Q853" s="330">
        <f t="shared" si="850"/>
        <v>-1</v>
      </c>
      <c r="R853" s="351" t="str">
        <f t="shared" si="3"/>
        <v>Gastos_Gerais</v>
      </c>
      <c r="S853" s="351" t="str">
        <f>IF(D853="","",IF(OR(D853=Plano!$A$1,D853=Plano!$B$1),"entrada","saída"))</f>
        <v>saída</v>
      </c>
      <c r="T853" s="334" t="s">
        <v>114</v>
      </c>
      <c r="U853" s="334" t="s">
        <v>114</v>
      </c>
      <c r="V853" s="269"/>
      <c r="W853" s="269"/>
    </row>
    <row r="854" spans="1:23" ht="69.75" customHeight="1" x14ac:dyDescent="0.2">
      <c r="A854" s="277">
        <f t="shared" si="0"/>
        <v>850</v>
      </c>
      <c r="B854" s="278">
        <v>44246</v>
      </c>
      <c r="C854" s="256">
        <v>44166</v>
      </c>
      <c r="D854" s="255" t="s">
        <v>99</v>
      </c>
      <c r="E854" s="255" t="s">
        <v>358</v>
      </c>
      <c r="F854" s="258">
        <v>155</v>
      </c>
      <c r="G854" s="255" t="s">
        <v>3535</v>
      </c>
      <c r="H854" s="255" t="s">
        <v>133</v>
      </c>
      <c r="I854" s="252" t="s">
        <v>530</v>
      </c>
      <c r="J854" s="252" t="s">
        <v>114</v>
      </c>
      <c r="K854" s="252" t="s">
        <v>466</v>
      </c>
      <c r="L854" s="252" t="s">
        <v>547</v>
      </c>
      <c r="M854" s="255" t="s">
        <v>114</v>
      </c>
      <c r="N854" s="278">
        <v>44246</v>
      </c>
      <c r="O854" s="329" t="s">
        <v>67</v>
      </c>
      <c r="P854" s="386">
        <f t="shared" ref="P854:Q854" si="851">IF(B854=0,0,IF(YEAR(B854)=$Q$1,MONTH(B854)-$P$1+1,(YEAR(B854)-$Q$1)*12-$P$1+1+MONTH(B854)))</f>
        <v>2</v>
      </c>
      <c r="Q854" s="330">
        <f t="shared" si="851"/>
        <v>0</v>
      </c>
      <c r="R854" s="351" t="str">
        <f t="shared" si="3"/>
        <v>Gastos_Gerais</v>
      </c>
      <c r="S854" s="351" t="str">
        <f>IF(D854="","",IF(OR(D854=Plano!$A$1,D854=Plano!$B$1),"entrada","saída"))</f>
        <v>saída</v>
      </c>
      <c r="T854" s="334" t="s">
        <v>114</v>
      </c>
      <c r="U854" s="334" t="s">
        <v>114</v>
      </c>
      <c r="V854" s="269"/>
      <c r="W854" s="269"/>
    </row>
    <row r="855" spans="1:23" ht="69.75" customHeight="1" x14ac:dyDescent="0.2">
      <c r="A855" s="277">
        <f t="shared" si="0"/>
        <v>851</v>
      </c>
      <c r="B855" s="278">
        <v>44246</v>
      </c>
      <c r="C855" s="259">
        <v>44105</v>
      </c>
      <c r="D855" s="252" t="s">
        <v>99</v>
      </c>
      <c r="E855" s="252" t="s">
        <v>330</v>
      </c>
      <c r="F855" s="257">
        <v>620</v>
      </c>
      <c r="G855" s="255" t="s">
        <v>3536</v>
      </c>
      <c r="H855" s="252" t="s">
        <v>125</v>
      </c>
      <c r="I855" s="252" t="s">
        <v>530</v>
      </c>
      <c r="J855" s="252" t="s">
        <v>114</v>
      </c>
      <c r="K855" s="252" t="s">
        <v>466</v>
      </c>
      <c r="L855" s="252" t="s">
        <v>547</v>
      </c>
      <c r="M855" s="255" t="s">
        <v>114</v>
      </c>
      <c r="N855" s="278">
        <v>44246</v>
      </c>
      <c r="O855" s="329" t="s">
        <v>67</v>
      </c>
      <c r="P855" s="386">
        <f t="shared" ref="P855:Q855" si="852">IF(B855=0,0,IF(YEAR(B855)=$Q$1,MONTH(B855)-$P$1+1,(YEAR(B855)-$Q$1)*12-$P$1+1+MONTH(B855)))</f>
        <v>2</v>
      </c>
      <c r="Q855" s="330">
        <f t="shared" si="852"/>
        <v>-2</v>
      </c>
      <c r="R855" s="351" t="str">
        <f t="shared" si="3"/>
        <v>Gastos_Gerais</v>
      </c>
      <c r="S855" s="351" t="str">
        <f>IF(D855="","",IF(OR(D855=Plano!$A$1,D855=Plano!$B$1),"entrada","saída"))</f>
        <v>saída</v>
      </c>
      <c r="T855" s="334" t="s">
        <v>114</v>
      </c>
      <c r="U855" s="334" t="s">
        <v>114</v>
      </c>
      <c r="V855" s="269"/>
      <c r="W855" s="269"/>
    </row>
    <row r="856" spans="1:23" ht="69.75" customHeight="1" x14ac:dyDescent="0.2">
      <c r="A856" s="277">
        <f t="shared" si="0"/>
        <v>852</v>
      </c>
      <c r="B856" s="278">
        <v>44246</v>
      </c>
      <c r="C856" s="256">
        <v>44166</v>
      </c>
      <c r="D856" s="255" t="s">
        <v>99</v>
      </c>
      <c r="E856" s="255" t="s">
        <v>352</v>
      </c>
      <c r="F856" s="258">
        <v>37.82</v>
      </c>
      <c r="G856" s="255" t="s">
        <v>3537</v>
      </c>
      <c r="H856" s="255" t="s">
        <v>125</v>
      </c>
      <c r="I856" s="252" t="s">
        <v>530</v>
      </c>
      <c r="J856" s="252" t="s">
        <v>114</v>
      </c>
      <c r="K856" s="252" t="s">
        <v>466</v>
      </c>
      <c r="L856" s="252" t="s">
        <v>547</v>
      </c>
      <c r="M856" s="255" t="s">
        <v>114</v>
      </c>
      <c r="N856" s="278">
        <v>44246</v>
      </c>
      <c r="O856" s="329" t="s">
        <v>67</v>
      </c>
      <c r="P856" s="386">
        <f t="shared" ref="P856:Q856" si="853">IF(B856=0,0,IF(YEAR(B856)=$Q$1,MONTH(B856)-$P$1+1,(YEAR(B856)-$Q$1)*12-$P$1+1+MONTH(B856)))</f>
        <v>2</v>
      </c>
      <c r="Q856" s="330">
        <f t="shared" si="853"/>
        <v>0</v>
      </c>
      <c r="R856" s="351" t="str">
        <f t="shared" si="3"/>
        <v>Gastos_Gerais</v>
      </c>
      <c r="S856" s="351" t="str">
        <f>IF(D856="","",IF(OR(D856=Plano!$A$1,D856=Plano!$B$1),"entrada","saída"))</f>
        <v>saída</v>
      </c>
      <c r="T856" s="334" t="s">
        <v>114</v>
      </c>
      <c r="U856" s="334" t="s">
        <v>114</v>
      </c>
      <c r="V856" s="269"/>
      <c r="W856" s="269"/>
    </row>
    <row r="857" spans="1:23" ht="69.75" customHeight="1" x14ac:dyDescent="0.2">
      <c r="A857" s="277">
        <f t="shared" si="0"/>
        <v>853</v>
      </c>
      <c r="B857" s="278">
        <v>44246</v>
      </c>
      <c r="C857" s="256">
        <v>44166</v>
      </c>
      <c r="D857" s="255" t="s">
        <v>99</v>
      </c>
      <c r="E857" s="255" t="s">
        <v>330</v>
      </c>
      <c r="F857" s="258">
        <v>310</v>
      </c>
      <c r="G857" s="255" t="s">
        <v>3538</v>
      </c>
      <c r="H857" s="255" t="s">
        <v>125</v>
      </c>
      <c r="I857" s="252" t="s">
        <v>530</v>
      </c>
      <c r="J857" s="252" t="s">
        <v>114</v>
      </c>
      <c r="K857" s="252" t="s">
        <v>466</v>
      </c>
      <c r="L857" s="252" t="s">
        <v>547</v>
      </c>
      <c r="M857" s="255" t="s">
        <v>114</v>
      </c>
      <c r="N857" s="278">
        <v>44246</v>
      </c>
      <c r="O857" s="329" t="s">
        <v>67</v>
      </c>
      <c r="P857" s="386">
        <f t="shared" ref="P857:Q857" si="854">IF(B857=0,0,IF(YEAR(B857)=$Q$1,MONTH(B857)-$P$1+1,(YEAR(B857)-$Q$1)*12-$P$1+1+MONTH(B857)))</f>
        <v>2</v>
      </c>
      <c r="Q857" s="330">
        <f t="shared" si="854"/>
        <v>0</v>
      </c>
      <c r="R857" s="351" t="str">
        <f t="shared" si="3"/>
        <v>Gastos_Gerais</v>
      </c>
      <c r="S857" s="351" t="str">
        <f>IF(D857="","",IF(OR(D857=Plano!$A$1,D857=Plano!$B$1),"entrada","saída"))</f>
        <v>saída</v>
      </c>
      <c r="T857" s="334" t="s">
        <v>114</v>
      </c>
      <c r="U857" s="334" t="s">
        <v>114</v>
      </c>
      <c r="V857" s="269"/>
      <c r="W857" s="269"/>
    </row>
    <row r="858" spans="1:23" ht="69.75" customHeight="1" x14ac:dyDescent="0.2">
      <c r="A858" s="277">
        <f t="shared" si="0"/>
        <v>854</v>
      </c>
      <c r="B858" s="278">
        <v>44246</v>
      </c>
      <c r="C858" s="256">
        <v>44166</v>
      </c>
      <c r="D858" s="255" t="s">
        <v>99</v>
      </c>
      <c r="E858" s="255" t="s">
        <v>262</v>
      </c>
      <c r="F858" s="258">
        <v>496</v>
      </c>
      <c r="G858" s="255" t="s">
        <v>3539</v>
      </c>
      <c r="H858" s="255" t="s">
        <v>117</v>
      </c>
      <c r="I858" s="252" t="s">
        <v>530</v>
      </c>
      <c r="J858" s="252" t="s">
        <v>114</v>
      </c>
      <c r="K858" s="252" t="s">
        <v>466</v>
      </c>
      <c r="L858" s="252" t="s">
        <v>547</v>
      </c>
      <c r="M858" s="255" t="s">
        <v>114</v>
      </c>
      <c r="N858" s="278">
        <v>44246</v>
      </c>
      <c r="O858" s="329" t="s">
        <v>67</v>
      </c>
      <c r="P858" s="386">
        <f t="shared" ref="P858:Q858" si="855">IF(B858=0,0,IF(YEAR(B858)=$Q$1,MONTH(B858)-$P$1+1,(YEAR(B858)-$Q$1)*12-$P$1+1+MONTH(B858)))</f>
        <v>2</v>
      </c>
      <c r="Q858" s="330">
        <f t="shared" si="855"/>
        <v>0</v>
      </c>
      <c r="R858" s="351" t="str">
        <f t="shared" si="3"/>
        <v>Gastos_Gerais</v>
      </c>
      <c r="S858" s="351" t="str">
        <f>IF(D858="","",IF(OR(D858=Plano!$A$1,D858=Plano!$B$1),"entrada","saída"))</f>
        <v>saída</v>
      </c>
      <c r="T858" s="334" t="s">
        <v>114</v>
      </c>
      <c r="U858" s="334" t="s">
        <v>114</v>
      </c>
      <c r="V858" s="269"/>
      <c r="W858" s="269"/>
    </row>
    <row r="859" spans="1:23" ht="69.75" customHeight="1" x14ac:dyDescent="0.2">
      <c r="A859" s="277">
        <f t="shared" si="0"/>
        <v>855</v>
      </c>
      <c r="B859" s="278">
        <v>44246</v>
      </c>
      <c r="C859" s="256">
        <v>44197</v>
      </c>
      <c r="D859" s="255" t="s">
        <v>99</v>
      </c>
      <c r="E859" s="255" t="s">
        <v>358</v>
      </c>
      <c r="F859" s="258">
        <v>227.23</v>
      </c>
      <c r="G859" s="252" t="s">
        <v>3540</v>
      </c>
      <c r="H859" s="255" t="s">
        <v>131</v>
      </c>
      <c r="I859" s="252" t="s">
        <v>530</v>
      </c>
      <c r="J859" s="252" t="s">
        <v>114</v>
      </c>
      <c r="K859" s="252" t="s">
        <v>466</v>
      </c>
      <c r="L859" s="252" t="s">
        <v>547</v>
      </c>
      <c r="M859" s="255" t="s">
        <v>114</v>
      </c>
      <c r="N859" s="278">
        <v>44246</v>
      </c>
      <c r="O859" s="329" t="s">
        <v>67</v>
      </c>
      <c r="P859" s="386">
        <f t="shared" ref="P859:Q859" si="856">IF(B859=0,0,IF(YEAR(B859)=$Q$1,MONTH(B859)-$P$1+1,(YEAR(B859)-$Q$1)*12-$P$1+1+MONTH(B859)))</f>
        <v>2</v>
      </c>
      <c r="Q859" s="330">
        <f t="shared" si="856"/>
        <v>1</v>
      </c>
      <c r="R859" s="351" t="str">
        <f t="shared" si="3"/>
        <v>Gastos_Gerais</v>
      </c>
      <c r="S859" s="351" t="str">
        <f>IF(D859="","",IF(OR(D859=Plano!$A$1,D859=Plano!$B$1),"entrada","saída"))</f>
        <v>saída</v>
      </c>
      <c r="T859" s="334" t="s">
        <v>114</v>
      </c>
      <c r="U859" s="334" t="s">
        <v>114</v>
      </c>
      <c r="V859" s="269"/>
      <c r="W859" s="269"/>
    </row>
    <row r="860" spans="1:23" ht="69.75" customHeight="1" x14ac:dyDescent="0.2">
      <c r="A860" s="277">
        <f t="shared" si="0"/>
        <v>856</v>
      </c>
      <c r="B860" s="278">
        <v>44246</v>
      </c>
      <c r="C860" s="256">
        <v>44136</v>
      </c>
      <c r="D860" s="255" t="s">
        <v>99</v>
      </c>
      <c r="E860" s="255" t="s">
        <v>358</v>
      </c>
      <c r="F860" s="258">
        <v>155</v>
      </c>
      <c r="G860" s="255" t="s">
        <v>3541</v>
      </c>
      <c r="H860" s="255" t="s">
        <v>116</v>
      </c>
      <c r="I860" s="252" t="s">
        <v>530</v>
      </c>
      <c r="J860" s="252" t="s">
        <v>114</v>
      </c>
      <c r="K860" s="252" t="s">
        <v>466</v>
      </c>
      <c r="L860" s="252" t="s">
        <v>547</v>
      </c>
      <c r="M860" s="255" t="s">
        <v>114</v>
      </c>
      <c r="N860" s="278">
        <v>44246</v>
      </c>
      <c r="O860" s="329" t="s">
        <v>67</v>
      </c>
      <c r="P860" s="386">
        <f t="shared" ref="P860:Q860" si="857">IF(B860=0,0,IF(YEAR(B860)=$Q$1,MONTH(B860)-$P$1+1,(YEAR(B860)-$Q$1)*12-$P$1+1+MONTH(B860)))</f>
        <v>2</v>
      </c>
      <c r="Q860" s="330">
        <f t="shared" si="857"/>
        <v>-1</v>
      </c>
      <c r="R860" s="351" t="str">
        <f t="shared" si="3"/>
        <v>Gastos_Gerais</v>
      </c>
      <c r="S860" s="351" t="str">
        <f>IF(D860="","",IF(OR(D860=Plano!$A$1,D860=Plano!$B$1),"entrada","saída"))</f>
        <v>saída</v>
      </c>
      <c r="T860" s="334" t="s">
        <v>114</v>
      </c>
      <c r="U860" s="334" t="s">
        <v>114</v>
      </c>
      <c r="V860" s="269"/>
      <c r="W860" s="269"/>
    </row>
    <row r="861" spans="1:23" ht="69.75" customHeight="1" x14ac:dyDescent="0.2">
      <c r="A861" s="277">
        <f t="shared" si="0"/>
        <v>857</v>
      </c>
      <c r="B861" s="278">
        <v>44246</v>
      </c>
      <c r="C861" s="256">
        <v>44166</v>
      </c>
      <c r="D861" s="255" t="s">
        <v>88</v>
      </c>
      <c r="E861" s="255" t="s">
        <v>90</v>
      </c>
      <c r="F861" s="258">
        <v>10002.23</v>
      </c>
      <c r="G861" s="255" t="s">
        <v>3542</v>
      </c>
      <c r="H861" s="255" t="s">
        <v>114</v>
      </c>
      <c r="I861" s="252" t="s">
        <v>488</v>
      </c>
      <c r="J861" s="252" t="s">
        <v>114</v>
      </c>
      <c r="K861" s="252" t="s">
        <v>466</v>
      </c>
      <c r="L861" s="252" t="s">
        <v>489</v>
      </c>
      <c r="M861" s="255" t="s">
        <v>114</v>
      </c>
      <c r="N861" s="278">
        <v>44246</v>
      </c>
      <c r="O861" s="329" t="s">
        <v>67</v>
      </c>
      <c r="P861" s="386">
        <f t="shared" ref="P861:Q861" si="858">IF(B861=0,0,IF(YEAR(B861)=$Q$1,MONTH(B861)-$P$1+1,(YEAR(B861)-$Q$1)*12-$P$1+1+MONTH(B861)))</f>
        <v>2</v>
      </c>
      <c r="Q861" s="330">
        <f t="shared" si="858"/>
        <v>0</v>
      </c>
      <c r="R861" s="351" t="str">
        <f t="shared" si="3"/>
        <v>Gastos_com_Pessoal</v>
      </c>
      <c r="S861" s="351" t="str">
        <f>IF(D861="","",IF(OR(D861=Plano!$A$1,D861=Plano!$B$1),"entrada","saída"))</f>
        <v>saída</v>
      </c>
      <c r="T861" s="334" t="s">
        <v>114</v>
      </c>
      <c r="U861" s="334" t="s">
        <v>114</v>
      </c>
      <c r="V861" s="269"/>
      <c r="W861" s="269"/>
    </row>
    <row r="862" spans="1:23" ht="69.75" customHeight="1" x14ac:dyDescent="0.2">
      <c r="A862" s="277">
        <f t="shared" si="0"/>
        <v>858</v>
      </c>
      <c r="B862" s="278">
        <v>44246</v>
      </c>
      <c r="C862" s="256">
        <v>44197</v>
      </c>
      <c r="D862" s="255" t="s">
        <v>88</v>
      </c>
      <c r="E862" s="255" t="s">
        <v>177</v>
      </c>
      <c r="F862" s="258">
        <v>1346.47</v>
      </c>
      <c r="G862" s="255" t="s">
        <v>3543</v>
      </c>
      <c r="H862" s="255" t="s">
        <v>114</v>
      </c>
      <c r="I862" s="252" t="s">
        <v>488</v>
      </c>
      <c r="J862" s="252" t="s">
        <v>114</v>
      </c>
      <c r="K862" s="252" t="s">
        <v>466</v>
      </c>
      <c r="L862" s="252" t="s">
        <v>489</v>
      </c>
      <c r="M862" s="255" t="s">
        <v>114</v>
      </c>
      <c r="N862" s="278">
        <v>44246</v>
      </c>
      <c r="O862" s="329" t="s">
        <v>67</v>
      </c>
      <c r="P862" s="386">
        <f t="shared" ref="P862:Q862" si="859">IF(B862=0,0,IF(YEAR(B862)=$Q$1,MONTH(B862)-$P$1+1,(YEAR(B862)-$Q$1)*12-$P$1+1+MONTH(B862)))</f>
        <v>2</v>
      </c>
      <c r="Q862" s="330">
        <f t="shared" si="859"/>
        <v>1</v>
      </c>
      <c r="R862" s="351" t="str">
        <f t="shared" si="3"/>
        <v>Gastos_com_Pessoal</v>
      </c>
      <c r="S862" s="351" t="str">
        <f>IF(D862="","",IF(OR(D862=Plano!$A$1,D862=Plano!$B$1),"entrada","saída"))</f>
        <v>saída</v>
      </c>
      <c r="T862" s="334" t="s">
        <v>114</v>
      </c>
      <c r="U862" s="334" t="s">
        <v>114</v>
      </c>
      <c r="V862" s="269"/>
      <c r="W862" s="269"/>
    </row>
    <row r="863" spans="1:23" ht="69.75" customHeight="1" x14ac:dyDescent="0.2">
      <c r="A863" s="277">
        <f t="shared" si="0"/>
        <v>859</v>
      </c>
      <c r="B863" s="278">
        <v>44246</v>
      </c>
      <c r="C863" s="256">
        <v>44136</v>
      </c>
      <c r="D863" s="255" t="s">
        <v>88</v>
      </c>
      <c r="E863" s="255" t="s">
        <v>90</v>
      </c>
      <c r="F863" s="258">
        <v>11.75</v>
      </c>
      <c r="G863" s="252" t="s">
        <v>3544</v>
      </c>
      <c r="H863" s="255" t="s">
        <v>114</v>
      </c>
      <c r="I863" s="252" t="s">
        <v>488</v>
      </c>
      <c r="J863" s="252" t="s">
        <v>114</v>
      </c>
      <c r="K863" s="252" t="s">
        <v>466</v>
      </c>
      <c r="L863" s="252" t="s">
        <v>489</v>
      </c>
      <c r="M863" s="255" t="s">
        <v>114</v>
      </c>
      <c r="N863" s="278">
        <v>44246</v>
      </c>
      <c r="O863" s="329" t="s">
        <v>67</v>
      </c>
      <c r="P863" s="386">
        <f t="shared" ref="P863:Q863" si="860">IF(B863=0,0,IF(YEAR(B863)=$Q$1,MONTH(B863)-$P$1+1,(YEAR(B863)-$Q$1)*12-$P$1+1+MONTH(B863)))</f>
        <v>2</v>
      </c>
      <c r="Q863" s="330">
        <f t="shared" si="860"/>
        <v>-1</v>
      </c>
      <c r="R863" s="351" t="str">
        <f t="shared" si="3"/>
        <v>Gastos_com_Pessoal</v>
      </c>
      <c r="S863" s="351" t="str">
        <f>IF(D863="","",IF(OR(D863=Plano!$A$1,D863=Plano!$B$1),"entrada","saída"))</f>
        <v>saída</v>
      </c>
      <c r="T863" s="334" t="s">
        <v>114</v>
      </c>
      <c r="U863" s="334" t="s">
        <v>114</v>
      </c>
      <c r="V863" s="269"/>
      <c r="W863" s="269"/>
    </row>
    <row r="864" spans="1:23" ht="69.75" customHeight="1" x14ac:dyDescent="0.2">
      <c r="A864" s="277">
        <f t="shared" si="0"/>
        <v>860</v>
      </c>
      <c r="B864" s="278">
        <v>44246</v>
      </c>
      <c r="C864" s="256">
        <v>44166</v>
      </c>
      <c r="D864" s="255" t="s">
        <v>99</v>
      </c>
      <c r="E864" s="255" t="s">
        <v>228</v>
      </c>
      <c r="F864" s="258">
        <v>170.19</v>
      </c>
      <c r="G864" s="255" t="s">
        <v>3545</v>
      </c>
      <c r="H864" s="255" t="s">
        <v>115</v>
      </c>
      <c r="I864" s="252" t="s">
        <v>488</v>
      </c>
      <c r="J864" s="252" t="s">
        <v>114</v>
      </c>
      <c r="K864" s="252" t="s">
        <v>466</v>
      </c>
      <c r="L864" s="252" t="s">
        <v>489</v>
      </c>
      <c r="M864" s="255" t="s">
        <v>114</v>
      </c>
      <c r="N864" s="278">
        <v>44246</v>
      </c>
      <c r="O864" s="329" t="s">
        <v>67</v>
      </c>
      <c r="P864" s="386">
        <f t="shared" ref="P864:Q864" si="861">IF(B864=0,0,IF(YEAR(B864)=$Q$1,MONTH(B864)-$P$1+1,(YEAR(B864)-$Q$1)*12-$P$1+1+MONTH(B864)))</f>
        <v>2</v>
      </c>
      <c r="Q864" s="330">
        <f t="shared" si="861"/>
        <v>0</v>
      </c>
      <c r="R864" s="351" t="str">
        <f t="shared" si="3"/>
        <v>Gastos_Gerais</v>
      </c>
      <c r="S864" s="351" t="str">
        <f>IF(D864="","",IF(OR(D864=Plano!$A$1,D864=Plano!$B$1),"entrada","saída"))</f>
        <v>saída</v>
      </c>
      <c r="T864" s="334" t="s">
        <v>114</v>
      </c>
      <c r="U864" s="334" t="s">
        <v>114</v>
      </c>
      <c r="V864" s="269"/>
      <c r="W864" s="269"/>
    </row>
    <row r="865" spans="1:23" ht="69.75" customHeight="1" x14ac:dyDescent="0.2">
      <c r="A865" s="277">
        <f t="shared" si="0"/>
        <v>861</v>
      </c>
      <c r="B865" s="278">
        <v>44246</v>
      </c>
      <c r="C865" s="256">
        <v>44166</v>
      </c>
      <c r="D865" s="255" t="s">
        <v>99</v>
      </c>
      <c r="E865" s="255" t="s">
        <v>266</v>
      </c>
      <c r="F865" s="258">
        <v>1316.7</v>
      </c>
      <c r="G865" s="255" t="s">
        <v>3546</v>
      </c>
      <c r="H865" s="255" t="s">
        <v>131</v>
      </c>
      <c r="I865" s="252" t="s">
        <v>530</v>
      </c>
      <c r="J865" s="252" t="s">
        <v>114</v>
      </c>
      <c r="K865" s="252" t="s">
        <v>466</v>
      </c>
      <c r="L865" s="252" t="s">
        <v>547</v>
      </c>
      <c r="M865" s="255" t="s">
        <v>114</v>
      </c>
      <c r="N865" s="278">
        <v>44246</v>
      </c>
      <c r="O865" s="329" t="s">
        <v>67</v>
      </c>
      <c r="P865" s="386">
        <f t="shared" ref="P865:Q865" si="862">IF(B865=0,0,IF(YEAR(B865)=$Q$1,MONTH(B865)-$P$1+1,(YEAR(B865)-$Q$1)*12-$P$1+1+MONTH(B865)))</f>
        <v>2</v>
      </c>
      <c r="Q865" s="330">
        <f t="shared" si="862"/>
        <v>0</v>
      </c>
      <c r="R865" s="351" t="str">
        <f t="shared" si="3"/>
        <v>Gastos_Gerais</v>
      </c>
      <c r="S865" s="351" t="str">
        <f>IF(D865="","",IF(OR(D865=Plano!$A$1,D865=Plano!$B$1),"entrada","saída"))</f>
        <v>saída</v>
      </c>
      <c r="T865" s="334" t="s">
        <v>114</v>
      </c>
      <c r="U865" s="334" t="s">
        <v>114</v>
      </c>
      <c r="V865" s="269"/>
      <c r="W865" s="269"/>
    </row>
    <row r="866" spans="1:23" ht="69.75" customHeight="1" x14ac:dyDescent="0.2">
      <c r="A866" s="277">
        <f t="shared" si="0"/>
        <v>862</v>
      </c>
      <c r="B866" s="278">
        <v>44246</v>
      </c>
      <c r="C866" s="256">
        <v>44197</v>
      </c>
      <c r="D866" s="255" t="s">
        <v>99</v>
      </c>
      <c r="E866" s="255" t="s">
        <v>228</v>
      </c>
      <c r="F866" s="258">
        <v>127.5</v>
      </c>
      <c r="G866" s="255" t="s">
        <v>3547</v>
      </c>
      <c r="H866" s="255" t="s">
        <v>115</v>
      </c>
      <c r="I866" s="252" t="s">
        <v>488</v>
      </c>
      <c r="J866" s="252" t="s">
        <v>114</v>
      </c>
      <c r="K866" s="252" t="s">
        <v>466</v>
      </c>
      <c r="L866" s="252" t="s">
        <v>489</v>
      </c>
      <c r="M866" s="255" t="s">
        <v>114</v>
      </c>
      <c r="N866" s="278">
        <v>44246</v>
      </c>
      <c r="O866" s="329" t="s">
        <v>67</v>
      </c>
      <c r="P866" s="386">
        <f t="shared" ref="P866:Q866" si="863">IF(B866=0,0,IF(YEAR(B866)=$Q$1,MONTH(B866)-$P$1+1,(YEAR(B866)-$Q$1)*12-$P$1+1+MONTH(B866)))</f>
        <v>2</v>
      </c>
      <c r="Q866" s="330">
        <f t="shared" si="863"/>
        <v>1</v>
      </c>
      <c r="R866" s="351" t="str">
        <f t="shared" si="3"/>
        <v>Gastos_Gerais</v>
      </c>
      <c r="S866" s="351" t="str">
        <f>IF(D866="","",IF(OR(D866=Plano!$A$1,D866=Plano!$B$1),"entrada","saída"))</f>
        <v>saída</v>
      </c>
      <c r="T866" s="334" t="s">
        <v>114</v>
      </c>
      <c r="U866" s="334" t="s">
        <v>114</v>
      </c>
      <c r="V866" s="269"/>
      <c r="W866" s="269"/>
    </row>
    <row r="867" spans="1:23" ht="69.75" customHeight="1" x14ac:dyDescent="0.2">
      <c r="A867" s="277">
        <f t="shared" si="0"/>
        <v>863</v>
      </c>
      <c r="B867" s="278">
        <v>44246</v>
      </c>
      <c r="C867" s="256">
        <v>44228</v>
      </c>
      <c r="D867" s="255" t="s">
        <v>99</v>
      </c>
      <c r="E867" s="255" t="s">
        <v>272</v>
      </c>
      <c r="F867" s="258">
        <v>10.45</v>
      </c>
      <c r="G867" s="255" t="s">
        <v>3548</v>
      </c>
      <c r="H867" s="255" t="s">
        <v>125</v>
      </c>
      <c r="I867" s="250" t="s">
        <v>949</v>
      </c>
      <c r="J867" s="255" t="s">
        <v>950</v>
      </c>
      <c r="K867" s="255" t="s">
        <v>951</v>
      </c>
      <c r="L867" s="250" t="s">
        <v>947</v>
      </c>
      <c r="M867" s="279" t="s">
        <v>114</v>
      </c>
      <c r="N867" s="278">
        <v>44246</v>
      </c>
      <c r="O867" s="329" t="s">
        <v>67</v>
      </c>
      <c r="P867" s="386">
        <f t="shared" ref="P867:Q867" si="864">IF(B867=0,0,IF(YEAR(B867)=$Q$1,MONTH(B867)-$P$1+1,(YEAR(B867)-$Q$1)*12-$P$1+1+MONTH(B867)))</f>
        <v>2</v>
      </c>
      <c r="Q867" s="330">
        <f t="shared" si="864"/>
        <v>2</v>
      </c>
      <c r="R867" s="351" t="str">
        <f t="shared" si="3"/>
        <v>Gastos_Gerais</v>
      </c>
      <c r="S867" s="351" t="str">
        <f>IF(D867="","",IF(OR(D867=Plano!$A$1,D867=Plano!$B$1),"entrada","saída"))</f>
        <v>saída</v>
      </c>
      <c r="T867" s="334" t="s">
        <v>114</v>
      </c>
      <c r="U867" s="334" t="s">
        <v>114</v>
      </c>
      <c r="V867" s="269"/>
      <c r="W867" s="269"/>
    </row>
    <row r="868" spans="1:23" ht="69.75" customHeight="1" x14ac:dyDescent="0.2">
      <c r="A868" s="277">
        <f t="shared" si="0"/>
        <v>864</v>
      </c>
      <c r="B868" s="278">
        <v>44246</v>
      </c>
      <c r="C868" s="256">
        <v>44105</v>
      </c>
      <c r="D868" s="255" t="s">
        <v>104</v>
      </c>
      <c r="E868" s="255" t="s">
        <v>104</v>
      </c>
      <c r="F868" s="258">
        <v>112.45</v>
      </c>
      <c r="G868" s="252" t="s">
        <v>3549</v>
      </c>
      <c r="H868" s="255" t="s">
        <v>104</v>
      </c>
      <c r="I868" s="252" t="s">
        <v>488</v>
      </c>
      <c r="J868" s="252" t="s">
        <v>114</v>
      </c>
      <c r="K868" s="252" t="s">
        <v>466</v>
      </c>
      <c r="L868" s="252" t="s">
        <v>489</v>
      </c>
      <c r="M868" s="279" t="s">
        <v>114</v>
      </c>
      <c r="N868" s="278">
        <v>44246</v>
      </c>
      <c r="O868" s="329" t="s">
        <v>70</v>
      </c>
      <c r="P868" s="386">
        <f t="shared" ref="P868:Q868" si="865">IF(B868=0,0,IF(YEAR(B868)=$Q$1,MONTH(B868)-$P$1+1,(YEAR(B868)-$Q$1)*12-$P$1+1+MONTH(B868)))</f>
        <v>2</v>
      </c>
      <c r="Q868" s="330">
        <f t="shared" si="865"/>
        <v>-2</v>
      </c>
      <c r="R868" s="351" t="str">
        <f t="shared" si="3"/>
        <v>Gastos_custeados_por_captação</v>
      </c>
      <c r="S868" s="351" t="str">
        <f>IF(D868="","",IF(OR(D868=Plano!$A$1,D868=Plano!$B$1),"entrada","saída"))</f>
        <v>saída</v>
      </c>
      <c r="T868" s="334" t="s">
        <v>114</v>
      </c>
      <c r="U868" s="334" t="s">
        <v>114</v>
      </c>
      <c r="V868" s="269"/>
      <c r="W868" s="269"/>
    </row>
    <row r="869" spans="1:23" ht="69.75" customHeight="1" x14ac:dyDescent="0.2">
      <c r="A869" s="277">
        <f t="shared" si="0"/>
        <v>865</v>
      </c>
      <c r="B869" s="278">
        <v>44246</v>
      </c>
      <c r="C869" s="256">
        <v>44105</v>
      </c>
      <c r="D869" s="255" t="s">
        <v>104</v>
      </c>
      <c r="E869" s="255" t="s">
        <v>104</v>
      </c>
      <c r="F869" s="258">
        <v>112.45</v>
      </c>
      <c r="G869" s="252" t="s">
        <v>3550</v>
      </c>
      <c r="H869" s="255" t="s">
        <v>104</v>
      </c>
      <c r="I869" s="252" t="s">
        <v>488</v>
      </c>
      <c r="J869" s="252" t="s">
        <v>114</v>
      </c>
      <c r="K869" s="252" t="s">
        <v>466</v>
      </c>
      <c r="L869" s="252" t="s">
        <v>489</v>
      </c>
      <c r="M869" s="279" t="s">
        <v>114</v>
      </c>
      <c r="N869" s="278">
        <v>44246</v>
      </c>
      <c r="O869" s="329" t="s">
        <v>70</v>
      </c>
      <c r="P869" s="386">
        <f t="shared" ref="P869:Q869" si="866">IF(B869=0,0,IF(YEAR(B869)=$Q$1,MONTH(B869)-$P$1+1,(YEAR(B869)-$Q$1)*12-$P$1+1+MONTH(B869)))</f>
        <v>2</v>
      </c>
      <c r="Q869" s="330">
        <f t="shared" si="866"/>
        <v>-2</v>
      </c>
      <c r="R869" s="351" t="str">
        <f t="shared" si="3"/>
        <v>Gastos_custeados_por_captação</v>
      </c>
      <c r="S869" s="351" t="str">
        <f>IF(D869="","",IF(OR(D869=Plano!$A$1,D869=Plano!$B$1),"entrada","saída"))</f>
        <v>saída</v>
      </c>
      <c r="T869" s="334" t="s">
        <v>114</v>
      </c>
      <c r="U869" s="334" t="s">
        <v>114</v>
      </c>
      <c r="V869" s="269"/>
      <c r="W869" s="269"/>
    </row>
    <row r="870" spans="1:23" ht="69.75" customHeight="1" x14ac:dyDescent="0.2">
      <c r="A870" s="277">
        <f t="shared" si="0"/>
        <v>866</v>
      </c>
      <c r="B870" s="278">
        <v>44246</v>
      </c>
      <c r="C870" s="256">
        <v>44105</v>
      </c>
      <c r="D870" s="255" t="s">
        <v>104</v>
      </c>
      <c r="E870" s="255" t="s">
        <v>104</v>
      </c>
      <c r="F870" s="258">
        <v>365.12</v>
      </c>
      <c r="G870" s="252" t="s">
        <v>3551</v>
      </c>
      <c r="H870" s="255" t="s">
        <v>104</v>
      </c>
      <c r="I870" s="252" t="s">
        <v>488</v>
      </c>
      <c r="J870" s="252" t="s">
        <v>114</v>
      </c>
      <c r="K870" s="252" t="s">
        <v>466</v>
      </c>
      <c r="L870" s="252" t="s">
        <v>489</v>
      </c>
      <c r="M870" s="279" t="s">
        <v>114</v>
      </c>
      <c r="N870" s="278">
        <v>44246</v>
      </c>
      <c r="O870" s="329" t="s">
        <v>70</v>
      </c>
      <c r="P870" s="386">
        <f t="shared" ref="P870:Q870" si="867">IF(B870=0,0,IF(YEAR(B870)=$Q$1,MONTH(B870)-$P$1+1,(YEAR(B870)-$Q$1)*12-$P$1+1+MONTH(B870)))</f>
        <v>2</v>
      </c>
      <c r="Q870" s="330">
        <f t="shared" si="867"/>
        <v>-2</v>
      </c>
      <c r="R870" s="351" t="str">
        <f t="shared" si="3"/>
        <v>Gastos_custeados_por_captação</v>
      </c>
      <c r="S870" s="351" t="str">
        <f>IF(D870="","",IF(OR(D870=Plano!$A$1,D870=Plano!$B$1),"entrada","saída"))</f>
        <v>saída</v>
      </c>
      <c r="T870" s="334" t="s">
        <v>114</v>
      </c>
      <c r="U870" s="334" t="s">
        <v>114</v>
      </c>
      <c r="V870" s="269"/>
      <c r="W870" s="269"/>
    </row>
    <row r="871" spans="1:23" ht="69.75" customHeight="1" x14ac:dyDescent="0.2">
      <c r="A871" s="277">
        <f t="shared" si="0"/>
        <v>867</v>
      </c>
      <c r="B871" s="278">
        <v>44246</v>
      </c>
      <c r="C871" s="256">
        <v>44105</v>
      </c>
      <c r="D871" s="255" t="s">
        <v>104</v>
      </c>
      <c r="E871" s="255" t="s">
        <v>104</v>
      </c>
      <c r="F871" s="258">
        <v>365.12</v>
      </c>
      <c r="G871" s="255" t="s">
        <v>3552</v>
      </c>
      <c r="H871" s="255" t="s">
        <v>104</v>
      </c>
      <c r="I871" s="252" t="s">
        <v>488</v>
      </c>
      <c r="J871" s="252" t="s">
        <v>114</v>
      </c>
      <c r="K871" s="252" t="s">
        <v>466</v>
      </c>
      <c r="L871" s="252" t="s">
        <v>489</v>
      </c>
      <c r="M871" s="279" t="s">
        <v>114</v>
      </c>
      <c r="N871" s="278">
        <v>44246</v>
      </c>
      <c r="O871" s="329" t="s">
        <v>70</v>
      </c>
      <c r="P871" s="386">
        <f t="shared" ref="P871:Q871" si="868">IF(B871=0,0,IF(YEAR(B871)=$Q$1,MONTH(B871)-$P$1+1,(YEAR(B871)-$Q$1)*12-$P$1+1+MONTH(B871)))</f>
        <v>2</v>
      </c>
      <c r="Q871" s="330">
        <f t="shared" si="868"/>
        <v>-2</v>
      </c>
      <c r="R871" s="351" t="str">
        <f t="shared" si="3"/>
        <v>Gastos_custeados_por_captação</v>
      </c>
      <c r="S871" s="351" t="str">
        <f>IF(D871="","",IF(OR(D871=Plano!$A$1,D871=Plano!$B$1),"entrada","saída"))</f>
        <v>saída</v>
      </c>
      <c r="T871" s="334" t="s">
        <v>114</v>
      </c>
      <c r="U871" s="334" t="s">
        <v>114</v>
      </c>
      <c r="V871" s="269"/>
      <c r="W871" s="269"/>
    </row>
    <row r="872" spans="1:23" ht="69.75" customHeight="1" x14ac:dyDescent="0.2">
      <c r="A872" s="277">
        <f t="shared" si="0"/>
        <v>868</v>
      </c>
      <c r="B872" s="278">
        <v>44246</v>
      </c>
      <c r="C872" s="256">
        <v>44105</v>
      </c>
      <c r="D872" s="255" t="s">
        <v>104</v>
      </c>
      <c r="E872" s="255" t="s">
        <v>104</v>
      </c>
      <c r="F872" s="258">
        <v>1085</v>
      </c>
      <c r="G872" s="255" t="s">
        <v>3553</v>
      </c>
      <c r="H872" s="255" t="s">
        <v>104</v>
      </c>
      <c r="I872" s="252" t="s">
        <v>530</v>
      </c>
      <c r="J872" s="252" t="s">
        <v>114</v>
      </c>
      <c r="K872" s="252" t="s">
        <v>466</v>
      </c>
      <c r="L872" s="252" t="s">
        <v>547</v>
      </c>
      <c r="M872" s="255" t="s">
        <v>114</v>
      </c>
      <c r="N872" s="278">
        <v>44246</v>
      </c>
      <c r="O872" s="329" t="s">
        <v>70</v>
      </c>
      <c r="P872" s="386">
        <f t="shared" ref="P872:Q872" si="869">IF(B872=0,0,IF(YEAR(B872)=$Q$1,MONTH(B872)-$P$1+1,(YEAR(B872)-$Q$1)*12-$P$1+1+MONTH(B872)))</f>
        <v>2</v>
      </c>
      <c r="Q872" s="330">
        <f t="shared" si="869"/>
        <v>-2</v>
      </c>
      <c r="R872" s="351" t="str">
        <f t="shared" si="3"/>
        <v>Gastos_custeados_por_captação</v>
      </c>
      <c r="S872" s="351" t="str">
        <f>IF(D872="","",IF(OR(D872=Plano!$A$1,D872=Plano!$B$1),"entrada","saída"))</f>
        <v>saída</v>
      </c>
      <c r="T872" s="334" t="s">
        <v>114</v>
      </c>
      <c r="U872" s="334" t="s">
        <v>114</v>
      </c>
      <c r="V872" s="269"/>
      <c r="W872" s="269"/>
    </row>
    <row r="873" spans="1:23" ht="69.75" customHeight="1" x14ac:dyDescent="0.2">
      <c r="A873" s="277">
        <f t="shared" si="0"/>
        <v>869</v>
      </c>
      <c r="B873" s="278">
        <v>44246</v>
      </c>
      <c r="C873" s="256">
        <v>44105</v>
      </c>
      <c r="D873" s="255" t="s">
        <v>104</v>
      </c>
      <c r="E873" s="255" t="s">
        <v>104</v>
      </c>
      <c r="F873" s="258">
        <v>155</v>
      </c>
      <c r="G873" s="255" t="s">
        <v>3554</v>
      </c>
      <c r="H873" s="255" t="s">
        <v>104</v>
      </c>
      <c r="I873" s="252" t="s">
        <v>530</v>
      </c>
      <c r="J873" s="252" t="s">
        <v>114</v>
      </c>
      <c r="K873" s="252" t="s">
        <v>466</v>
      </c>
      <c r="L873" s="252" t="s">
        <v>547</v>
      </c>
      <c r="M873" s="255" t="s">
        <v>114</v>
      </c>
      <c r="N873" s="278">
        <v>44246</v>
      </c>
      <c r="O873" s="329" t="s">
        <v>70</v>
      </c>
      <c r="P873" s="386">
        <f t="shared" ref="P873:Q873" si="870">IF(B873=0,0,IF(YEAR(B873)=$Q$1,MONTH(B873)-$P$1+1,(YEAR(B873)-$Q$1)*12-$P$1+1+MONTH(B873)))</f>
        <v>2</v>
      </c>
      <c r="Q873" s="330">
        <f t="shared" si="870"/>
        <v>-2</v>
      </c>
      <c r="R873" s="351" t="str">
        <f t="shared" si="3"/>
        <v>Gastos_custeados_por_captação</v>
      </c>
      <c r="S873" s="351" t="str">
        <f>IF(D873="","",IF(OR(D873=Plano!$A$1,D873=Plano!$B$1),"entrada","saída"))</f>
        <v>saída</v>
      </c>
      <c r="T873" s="334" t="s">
        <v>114</v>
      </c>
      <c r="U873" s="334" t="s">
        <v>114</v>
      </c>
      <c r="V873" s="269"/>
      <c r="W873" s="269"/>
    </row>
    <row r="874" spans="1:23" ht="69.75" customHeight="1" x14ac:dyDescent="0.2">
      <c r="A874" s="277">
        <f t="shared" si="0"/>
        <v>870</v>
      </c>
      <c r="B874" s="278">
        <v>44246</v>
      </c>
      <c r="C874" s="256">
        <v>44105</v>
      </c>
      <c r="D874" s="255" t="s">
        <v>104</v>
      </c>
      <c r="E874" s="255" t="s">
        <v>104</v>
      </c>
      <c r="F874" s="258">
        <v>155</v>
      </c>
      <c r="G874" s="255" t="s">
        <v>3555</v>
      </c>
      <c r="H874" s="255" t="s">
        <v>104</v>
      </c>
      <c r="I874" s="252" t="s">
        <v>530</v>
      </c>
      <c r="J874" s="252" t="s">
        <v>114</v>
      </c>
      <c r="K874" s="252" t="s">
        <v>466</v>
      </c>
      <c r="L874" s="252" t="s">
        <v>547</v>
      </c>
      <c r="M874" s="255" t="s">
        <v>114</v>
      </c>
      <c r="N874" s="278">
        <v>44246</v>
      </c>
      <c r="O874" s="329" t="s">
        <v>70</v>
      </c>
      <c r="P874" s="386">
        <f t="shared" ref="P874:Q874" si="871">IF(B874=0,0,IF(YEAR(B874)=$Q$1,MONTH(B874)-$P$1+1,(YEAR(B874)-$Q$1)*12-$P$1+1+MONTH(B874)))</f>
        <v>2</v>
      </c>
      <c r="Q874" s="330">
        <f t="shared" si="871"/>
        <v>-2</v>
      </c>
      <c r="R874" s="351" t="str">
        <f t="shared" si="3"/>
        <v>Gastos_custeados_por_captação</v>
      </c>
      <c r="S874" s="351" t="str">
        <f>IF(D874="","",IF(OR(D874=Plano!$A$1,D874=Plano!$B$1),"entrada","saída"))</f>
        <v>saída</v>
      </c>
      <c r="T874" s="334" t="s">
        <v>114</v>
      </c>
      <c r="U874" s="334" t="s">
        <v>114</v>
      </c>
      <c r="V874" s="269"/>
      <c r="W874" s="269"/>
    </row>
    <row r="875" spans="1:23" ht="69.75" customHeight="1" x14ac:dyDescent="0.2">
      <c r="A875" s="277">
        <f t="shared" si="0"/>
        <v>871</v>
      </c>
      <c r="B875" s="278">
        <v>44246</v>
      </c>
      <c r="C875" s="256">
        <v>44105</v>
      </c>
      <c r="D875" s="255" t="s">
        <v>104</v>
      </c>
      <c r="E875" s="255" t="s">
        <v>104</v>
      </c>
      <c r="F875" s="258">
        <v>1085</v>
      </c>
      <c r="G875" s="255" t="s">
        <v>3556</v>
      </c>
      <c r="H875" s="255" t="s">
        <v>104</v>
      </c>
      <c r="I875" s="252" t="s">
        <v>530</v>
      </c>
      <c r="J875" s="252" t="s">
        <v>114</v>
      </c>
      <c r="K875" s="252" t="s">
        <v>466</v>
      </c>
      <c r="L875" s="252" t="s">
        <v>547</v>
      </c>
      <c r="M875" s="255" t="s">
        <v>114</v>
      </c>
      <c r="N875" s="278">
        <v>44246</v>
      </c>
      <c r="O875" s="329" t="s">
        <v>70</v>
      </c>
      <c r="P875" s="386">
        <f t="shared" ref="P875:Q875" si="872">IF(B875=0,0,IF(YEAR(B875)=$Q$1,MONTH(B875)-$P$1+1,(YEAR(B875)-$Q$1)*12-$P$1+1+MONTH(B875)))</f>
        <v>2</v>
      </c>
      <c r="Q875" s="330">
        <f t="shared" si="872"/>
        <v>-2</v>
      </c>
      <c r="R875" s="351" t="str">
        <f t="shared" si="3"/>
        <v>Gastos_custeados_por_captação</v>
      </c>
      <c r="S875" s="351" t="str">
        <f>IF(D875="","",IF(OR(D875=Plano!$A$1,D875=Plano!$B$1),"entrada","saída"))</f>
        <v>saída</v>
      </c>
      <c r="T875" s="334" t="s">
        <v>114</v>
      </c>
      <c r="U875" s="334" t="s">
        <v>114</v>
      </c>
      <c r="V875" s="269"/>
      <c r="W875" s="269"/>
    </row>
    <row r="876" spans="1:23" ht="69.75" customHeight="1" x14ac:dyDescent="0.2">
      <c r="A876" s="277">
        <f t="shared" si="0"/>
        <v>872</v>
      </c>
      <c r="B876" s="278">
        <v>44246</v>
      </c>
      <c r="C876" s="256">
        <v>44105</v>
      </c>
      <c r="D876" s="255" t="s">
        <v>104</v>
      </c>
      <c r="E876" s="255" t="s">
        <v>104</v>
      </c>
      <c r="F876" s="258">
        <v>1550</v>
      </c>
      <c r="G876" s="255" t="s">
        <v>3557</v>
      </c>
      <c r="H876" s="255" t="s">
        <v>104</v>
      </c>
      <c r="I876" s="252" t="s">
        <v>530</v>
      </c>
      <c r="J876" s="252" t="s">
        <v>114</v>
      </c>
      <c r="K876" s="252" t="s">
        <v>466</v>
      </c>
      <c r="L876" s="252" t="s">
        <v>547</v>
      </c>
      <c r="M876" s="255" t="s">
        <v>114</v>
      </c>
      <c r="N876" s="278">
        <v>44246</v>
      </c>
      <c r="O876" s="329" t="s">
        <v>70</v>
      </c>
      <c r="P876" s="386">
        <f t="shared" ref="P876:Q876" si="873">IF(B876=0,0,IF(YEAR(B876)=$Q$1,MONTH(B876)-$P$1+1,(YEAR(B876)-$Q$1)*12-$P$1+1+MONTH(B876)))</f>
        <v>2</v>
      </c>
      <c r="Q876" s="330">
        <f t="shared" si="873"/>
        <v>-2</v>
      </c>
      <c r="R876" s="351" t="str">
        <f t="shared" si="3"/>
        <v>Gastos_custeados_por_captação</v>
      </c>
      <c r="S876" s="351" t="str">
        <f>IF(D876="","",IF(OR(D876=Plano!$A$1,D876=Plano!$B$1),"entrada","saída"))</f>
        <v>saída</v>
      </c>
      <c r="T876" s="334" t="s">
        <v>114</v>
      </c>
      <c r="U876" s="334" t="s">
        <v>114</v>
      </c>
      <c r="V876" s="269"/>
      <c r="W876" s="269"/>
    </row>
    <row r="877" spans="1:23" ht="69.75" customHeight="1" x14ac:dyDescent="0.2">
      <c r="A877" s="277">
        <f t="shared" si="0"/>
        <v>873</v>
      </c>
      <c r="B877" s="278">
        <v>44246</v>
      </c>
      <c r="C877" s="256">
        <v>44105</v>
      </c>
      <c r="D877" s="255" t="s">
        <v>104</v>
      </c>
      <c r="E877" s="255" t="s">
        <v>104</v>
      </c>
      <c r="F877" s="258">
        <v>155</v>
      </c>
      <c r="G877" s="255" t="s">
        <v>3558</v>
      </c>
      <c r="H877" s="255" t="s">
        <v>104</v>
      </c>
      <c r="I877" s="252" t="s">
        <v>530</v>
      </c>
      <c r="J877" s="252" t="s">
        <v>114</v>
      </c>
      <c r="K877" s="252" t="s">
        <v>466</v>
      </c>
      <c r="L877" s="252" t="s">
        <v>547</v>
      </c>
      <c r="M877" s="255" t="s">
        <v>114</v>
      </c>
      <c r="N877" s="278">
        <v>44246</v>
      </c>
      <c r="O877" s="329" t="s">
        <v>70</v>
      </c>
      <c r="P877" s="386">
        <f t="shared" ref="P877:Q877" si="874">IF(B877=0,0,IF(YEAR(B877)=$Q$1,MONTH(B877)-$P$1+1,(YEAR(B877)-$Q$1)*12-$P$1+1+MONTH(B877)))</f>
        <v>2</v>
      </c>
      <c r="Q877" s="330">
        <f t="shared" si="874"/>
        <v>-2</v>
      </c>
      <c r="R877" s="351" t="str">
        <f t="shared" si="3"/>
        <v>Gastos_custeados_por_captação</v>
      </c>
      <c r="S877" s="351" t="str">
        <f>IF(D877="","",IF(OR(D877=Plano!$A$1,D877=Plano!$B$1),"entrada","saída"))</f>
        <v>saída</v>
      </c>
      <c r="T877" s="334" t="s">
        <v>114</v>
      </c>
      <c r="U877" s="334" t="s">
        <v>114</v>
      </c>
      <c r="V877" s="269"/>
      <c r="W877" s="269"/>
    </row>
    <row r="878" spans="1:23" ht="69.75" customHeight="1" x14ac:dyDescent="0.2">
      <c r="A878" s="277">
        <f t="shared" si="0"/>
        <v>874</v>
      </c>
      <c r="B878" s="278">
        <v>44246</v>
      </c>
      <c r="C878" s="256">
        <v>44105</v>
      </c>
      <c r="D878" s="255" t="s">
        <v>104</v>
      </c>
      <c r="E878" s="255" t="s">
        <v>104</v>
      </c>
      <c r="F878" s="258">
        <v>1550</v>
      </c>
      <c r="G878" s="255" t="s">
        <v>3559</v>
      </c>
      <c r="H878" s="255" t="s">
        <v>104</v>
      </c>
      <c r="I878" s="252" t="s">
        <v>530</v>
      </c>
      <c r="J878" s="252" t="s">
        <v>114</v>
      </c>
      <c r="K878" s="252" t="s">
        <v>466</v>
      </c>
      <c r="L878" s="252" t="s">
        <v>547</v>
      </c>
      <c r="M878" s="255" t="s">
        <v>114</v>
      </c>
      <c r="N878" s="278">
        <v>44246</v>
      </c>
      <c r="O878" s="329" t="s">
        <v>70</v>
      </c>
      <c r="P878" s="386">
        <f t="shared" ref="P878:Q878" si="875">IF(B878=0,0,IF(YEAR(B878)=$Q$1,MONTH(B878)-$P$1+1,(YEAR(B878)-$Q$1)*12-$P$1+1+MONTH(B878)))</f>
        <v>2</v>
      </c>
      <c r="Q878" s="330">
        <f t="shared" si="875"/>
        <v>-2</v>
      </c>
      <c r="R878" s="351" t="str">
        <f t="shared" si="3"/>
        <v>Gastos_custeados_por_captação</v>
      </c>
      <c r="S878" s="351" t="str">
        <f>IF(D878="","",IF(OR(D878=Plano!$A$1,D878=Plano!$B$1),"entrada","saída"))</f>
        <v>saída</v>
      </c>
      <c r="T878" s="334" t="s">
        <v>114</v>
      </c>
      <c r="U878" s="334" t="s">
        <v>114</v>
      </c>
      <c r="V878" s="269"/>
      <c r="W878" s="269"/>
    </row>
    <row r="879" spans="1:23" ht="69.75" customHeight="1" x14ac:dyDescent="0.2">
      <c r="A879" s="277">
        <f t="shared" si="0"/>
        <v>875</v>
      </c>
      <c r="B879" s="278">
        <v>44246</v>
      </c>
      <c r="C879" s="256">
        <v>44105</v>
      </c>
      <c r="D879" s="255" t="s">
        <v>104</v>
      </c>
      <c r="E879" s="255" t="s">
        <v>104</v>
      </c>
      <c r="F879" s="258">
        <v>155</v>
      </c>
      <c r="G879" s="255" t="s">
        <v>3560</v>
      </c>
      <c r="H879" s="255" t="s">
        <v>104</v>
      </c>
      <c r="I879" s="252" t="s">
        <v>530</v>
      </c>
      <c r="J879" s="252" t="s">
        <v>114</v>
      </c>
      <c r="K879" s="252" t="s">
        <v>466</v>
      </c>
      <c r="L879" s="252" t="s">
        <v>547</v>
      </c>
      <c r="M879" s="255" t="s">
        <v>114</v>
      </c>
      <c r="N879" s="278">
        <v>44246</v>
      </c>
      <c r="O879" s="329" t="s">
        <v>70</v>
      </c>
      <c r="P879" s="386">
        <f t="shared" ref="P879:Q879" si="876">IF(B879=0,0,IF(YEAR(B879)=$Q$1,MONTH(B879)-$P$1+1,(YEAR(B879)-$Q$1)*12-$P$1+1+MONTH(B879)))</f>
        <v>2</v>
      </c>
      <c r="Q879" s="330">
        <f t="shared" si="876"/>
        <v>-2</v>
      </c>
      <c r="R879" s="351" t="str">
        <f t="shared" si="3"/>
        <v>Gastos_custeados_por_captação</v>
      </c>
      <c r="S879" s="351" t="str">
        <f>IF(D879="","",IF(OR(D879=Plano!$A$1,D879=Plano!$B$1),"entrada","saída"))</f>
        <v>saída</v>
      </c>
      <c r="T879" s="334" t="s">
        <v>114</v>
      </c>
      <c r="U879" s="334" t="s">
        <v>114</v>
      </c>
      <c r="V879" s="269"/>
      <c r="W879" s="269"/>
    </row>
    <row r="880" spans="1:23" ht="69.75" customHeight="1" x14ac:dyDescent="0.2">
      <c r="A880" s="277">
        <f t="shared" si="0"/>
        <v>876</v>
      </c>
      <c r="B880" s="278">
        <v>44246</v>
      </c>
      <c r="C880" s="256">
        <v>44105</v>
      </c>
      <c r="D880" s="255" t="s">
        <v>104</v>
      </c>
      <c r="E880" s="255" t="s">
        <v>104</v>
      </c>
      <c r="F880" s="257">
        <v>95.2</v>
      </c>
      <c r="G880" s="255" t="s">
        <v>3561</v>
      </c>
      <c r="H880" s="255" t="s">
        <v>104</v>
      </c>
      <c r="I880" s="252" t="s">
        <v>488</v>
      </c>
      <c r="J880" s="252" t="s">
        <v>114</v>
      </c>
      <c r="K880" s="252" t="s">
        <v>466</v>
      </c>
      <c r="L880" s="252" t="s">
        <v>489</v>
      </c>
      <c r="M880" s="279" t="s">
        <v>114</v>
      </c>
      <c r="N880" s="278">
        <v>44246</v>
      </c>
      <c r="O880" s="329" t="s">
        <v>70</v>
      </c>
      <c r="P880" s="386">
        <f t="shared" ref="P880:Q880" si="877">IF(B880=0,0,IF(YEAR(B880)=$Q$1,MONTH(B880)-$P$1+1,(YEAR(B880)-$Q$1)*12-$P$1+1+MONTH(B880)))</f>
        <v>2</v>
      </c>
      <c r="Q880" s="330">
        <f t="shared" si="877"/>
        <v>-2</v>
      </c>
      <c r="R880" s="351" t="str">
        <f t="shared" si="3"/>
        <v>Gastos_custeados_por_captação</v>
      </c>
      <c r="S880" s="351" t="str">
        <f>IF(D880="","",IF(OR(D880=Plano!$A$1,D880=Plano!$B$1),"entrada","saída"))</f>
        <v>saída</v>
      </c>
      <c r="T880" s="334" t="s">
        <v>114</v>
      </c>
      <c r="U880" s="334" t="s">
        <v>114</v>
      </c>
      <c r="V880" s="269"/>
      <c r="W880" s="269"/>
    </row>
    <row r="881" spans="1:23" ht="162" customHeight="1" x14ac:dyDescent="0.2">
      <c r="A881" s="277">
        <f t="shared" si="0"/>
        <v>877</v>
      </c>
      <c r="B881" s="278">
        <v>44246</v>
      </c>
      <c r="C881" s="256">
        <v>44166</v>
      </c>
      <c r="D881" s="255" t="s">
        <v>104</v>
      </c>
      <c r="E881" s="255" t="s">
        <v>104</v>
      </c>
      <c r="F881" s="257">
        <v>1000</v>
      </c>
      <c r="G881" s="255" t="s">
        <v>3562</v>
      </c>
      <c r="H881" s="255" t="s">
        <v>104</v>
      </c>
      <c r="I881" s="252" t="s">
        <v>2959</v>
      </c>
      <c r="J881" s="252" t="s">
        <v>714</v>
      </c>
      <c r="K881" s="252" t="s">
        <v>1015</v>
      </c>
      <c r="L881" s="252" t="s">
        <v>1016</v>
      </c>
      <c r="M881" s="255" t="s">
        <v>1148</v>
      </c>
      <c r="N881" s="278">
        <v>44246</v>
      </c>
      <c r="O881" s="329" t="s">
        <v>68</v>
      </c>
      <c r="P881" s="386">
        <f t="shared" ref="P881:Q881" si="878">IF(B881=0,0,IF(YEAR(B881)=$Q$1,MONTH(B881)-$P$1+1,(YEAR(B881)-$Q$1)*12-$P$1+1+MONTH(B881)))</f>
        <v>2</v>
      </c>
      <c r="Q881" s="330">
        <f t="shared" si="878"/>
        <v>0</v>
      </c>
      <c r="R881" s="351" t="str">
        <f t="shared" si="3"/>
        <v>Gastos_custeados_por_captação</v>
      </c>
      <c r="S881" s="351" t="str">
        <f>IF(D881="","",IF(OR(D881=Plano!$A$1,D881=Plano!$B$1),"entrada","saída"))</f>
        <v>saída</v>
      </c>
      <c r="T881" s="334" t="s">
        <v>994</v>
      </c>
      <c r="U881" s="334">
        <v>1150</v>
      </c>
      <c r="V881" s="269"/>
      <c r="W881" s="269"/>
    </row>
    <row r="882" spans="1:23" ht="69.75" customHeight="1" x14ac:dyDescent="0.2">
      <c r="A882" s="277">
        <f t="shared" si="0"/>
        <v>878</v>
      </c>
      <c r="B882" s="278">
        <v>44246</v>
      </c>
      <c r="C882" s="256">
        <v>44166</v>
      </c>
      <c r="D882" s="255" t="s">
        <v>104</v>
      </c>
      <c r="E882" s="255" t="s">
        <v>104</v>
      </c>
      <c r="F882" s="257">
        <v>24.08</v>
      </c>
      <c r="G882" s="255" t="s">
        <v>3563</v>
      </c>
      <c r="H882" s="255" t="s">
        <v>104</v>
      </c>
      <c r="I882" s="252" t="s">
        <v>488</v>
      </c>
      <c r="J882" s="252" t="s">
        <v>114</v>
      </c>
      <c r="K882" s="252" t="s">
        <v>466</v>
      </c>
      <c r="L882" s="252" t="s">
        <v>489</v>
      </c>
      <c r="M882" s="279" t="s">
        <v>114</v>
      </c>
      <c r="N882" s="278">
        <v>44246</v>
      </c>
      <c r="O882" s="329" t="s">
        <v>68</v>
      </c>
      <c r="P882" s="386">
        <f t="shared" ref="P882:Q882" si="879">IF(B882=0,0,IF(YEAR(B882)=$Q$1,MONTH(B882)-$P$1+1,(YEAR(B882)-$Q$1)*12-$P$1+1+MONTH(B882)))</f>
        <v>2</v>
      </c>
      <c r="Q882" s="330">
        <f t="shared" si="879"/>
        <v>0</v>
      </c>
      <c r="R882" s="351" t="str">
        <f t="shared" si="3"/>
        <v>Gastos_custeados_por_captação</v>
      </c>
      <c r="S882" s="351" t="str">
        <f>IF(D882="","",IF(OR(D882=Plano!$A$1,D882=Plano!$B$1),"entrada","saída"))</f>
        <v>saída</v>
      </c>
      <c r="T882" s="334" t="s">
        <v>114</v>
      </c>
      <c r="U882" s="334" t="s">
        <v>114</v>
      </c>
      <c r="V882" s="269"/>
      <c r="W882" s="269"/>
    </row>
    <row r="883" spans="1:23" ht="69.75" customHeight="1" x14ac:dyDescent="0.2">
      <c r="A883" s="277">
        <f t="shared" si="0"/>
        <v>879</v>
      </c>
      <c r="B883" s="278">
        <v>44246</v>
      </c>
      <c r="C883" s="256">
        <v>44166</v>
      </c>
      <c r="D883" s="255" t="s">
        <v>104</v>
      </c>
      <c r="E883" s="255" t="s">
        <v>104</v>
      </c>
      <c r="F883" s="257">
        <v>24.08</v>
      </c>
      <c r="G883" s="255" t="s">
        <v>3564</v>
      </c>
      <c r="H883" s="255" t="s">
        <v>104</v>
      </c>
      <c r="I883" s="252" t="s">
        <v>488</v>
      </c>
      <c r="J883" s="252" t="s">
        <v>114</v>
      </c>
      <c r="K883" s="252" t="s">
        <v>466</v>
      </c>
      <c r="L883" s="252" t="s">
        <v>489</v>
      </c>
      <c r="M883" s="279" t="s">
        <v>114</v>
      </c>
      <c r="N883" s="278">
        <v>44246</v>
      </c>
      <c r="O883" s="329" t="s">
        <v>68</v>
      </c>
      <c r="P883" s="386">
        <f t="shared" ref="P883:Q883" si="880">IF(B883=0,0,IF(YEAR(B883)=$Q$1,MONTH(B883)-$P$1+1,(YEAR(B883)-$Q$1)*12-$P$1+1+MONTH(B883)))</f>
        <v>2</v>
      </c>
      <c r="Q883" s="330">
        <f t="shared" si="880"/>
        <v>0</v>
      </c>
      <c r="R883" s="351" t="str">
        <f t="shared" si="3"/>
        <v>Gastos_custeados_por_captação</v>
      </c>
      <c r="S883" s="351" t="str">
        <f>IF(D883="","",IF(OR(D883=Plano!$A$1,D883=Plano!$B$1),"entrada","saída"))</f>
        <v>saída</v>
      </c>
      <c r="T883" s="334" t="s">
        <v>114</v>
      </c>
      <c r="U883" s="334" t="s">
        <v>114</v>
      </c>
      <c r="V883" s="269"/>
      <c r="W883" s="269"/>
    </row>
    <row r="884" spans="1:23" ht="69.75" customHeight="1" x14ac:dyDescent="0.2">
      <c r="A884" s="277">
        <f t="shared" si="0"/>
        <v>880</v>
      </c>
      <c r="B884" s="278">
        <v>44246</v>
      </c>
      <c r="C884" s="256">
        <v>44166</v>
      </c>
      <c r="D884" s="255" t="s">
        <v>104</v>
      </c>
      <c r="E884" s="255" t="s">
        <v>104</v>
      </c>
      <c r="F884" s="257">
        <v>775</v>
      </c>
      <c r="G884" s="255" t="s">
        <v>3565</v>
      </c>
      <c r="H884" s="255" t="s">
        <v>104</v>
      </c>
      <c r="I884" s="252" t="s">
        <v>530</v>
      </c>
      <c r="J884" s="252" t="s">
        <v>114</v>
      </c>
      <c r="K884" s="252" t="s">
        <v>466</v>
      </c>
      <c r="L884" s="252" t="s">
        <v>547</v>
      </c>
      <c r="M884" s="255" t="s">
        <v>114</v>
      </c>
      <c r="N884" s="278">
        <v>44246</v>
      </c>
      <c r="O884" s="329" t="s">
        <v>68</v>
      </c>
      <c r="P884" s="386">
        <f t="shared" ref="P884:Q884" si="881">IF(B884=0,0,IF(YEAR(B884)=$Q$1,MONTH(B884)-$P$1+1,(YEAR(B884)-$Q$1)*12-$P$1+1+MONTH(B884)))</f>
        <v>2</v>
      </c>
      <c r="Q884" s="330">
        <f t="shared" si="881"/>
        <v>0</v>
      </c>
      <c r="R884" s="351" t="str">
        <f t="shared" si="3"/>
        <v>Gastos_custeados_por_captação</v>
      </c>
      <c r="S884" s="351" t="str">
        <f>IF(D884="","",IF(OR(D884=Plano!$A$1,D884=Plano!$B$1),"entrada","saída"))</f>
        <v>saída</v>
      </c>
      <c r="T884" s="334" t="s">
        <v>114</v>
      </c>
      <c r="U884" s="334" t="s">
        <v>114</v>
      </c>
      <c r="V884" s="269"/>
      <c r="W884" s="269"/>
    </row>
    <row r="885" spans="1:23" ht="69.75" customHeight="1" x14ac:dyDescent="0.2">
      <c r="A885" s="277">
        <f t="shared" si="0"/>
        <v>881</v>
      </c>
      <c r="B885" s="278">
        <v>44246</v>
      </c>
      <c r="C885" s="256">
        <v>44166</v>
      </c>
      <c r="D885" s="255" t="s">
        <v>104</v>
      </c>
      <c r="E885" s="255" t="s">
        <v>104</v>
      </c>
      <c r="F885" s="257">
        <v>775</v>
      </c>
      <c r="G885" s="255" t="s">
        <v>3566</v>
      </c>
      <c r="H885" s="255" t="s">
        <v>104</v>
      </c>
      <c r="I885" s="252" t="s">
        <v>530</v>
      </c>
      <c r="J885" s="252" t="s">
        <v>114</v>
      </c>
      <c r="K885" s="252" t="s">
        <v>466</v>
      </c>
      <c r="L885" s="252" t="s">
        <v>547</v>
      </c>
      <c r="M885" s="255" t="s">
        <v>114</v>
      </c>
      <c r="N885" s="278">
        <v>44246</v>
      </c>
      <c r="O885" s="329" t="s">
        <v>68</v>
      </c>
      <c r="P885" s="386">
        <f t="shared" ref="P885:Q885" si="882">IF(B885=0,0,IF(YEAR(B885)=$Q$1,MONTH(B885)-$P$1+1,(YEAR(B885)-$Q$1)*12-$P$1+1+MONTH(B885)))</f>
        <v>2</v>
      </c>
      <c r="Q885" s="330">
        <f t="shared" si="882"/>
        <v>0</v>
      </c>
      <c r="R885" s="351" t="str">
        <f t="shared" si="3"/>
        <v>Gastos_custeados_por_captação</v>
      </c>
      <c r="S885" s="351" t="str">
        <f>IF(D885="","",IF(OR(D885=Plano!$A$1,D885=Plano!$B$1),"entrada","saída"))</f>
        <v>saída</v>
      </c>
      <c r="T885" s="334" t="s">
        <v>114</v>
      </c>
      <c r="U885" s="334" t="s">
        <v>114</v>
      </c>
      <c r="V885" s="269"/>
      <c r="W885" s="269"/>
    </row>
    <row r="886" spans="1:23" ht="69.75" customHeight="1" x14ac:dyDescent="0.2">
      <c r="A886" s="277">
        <f t="shared" si="0"/>
        <v>882</v>
      </c>
      <c r="B886" s="278">
        <v>44246</v>
      </c>
      <c r="C886" s="256">
        <v>44166</v>
      </c>
      <c r="D886" s="255" t="s">
        <v>104</v>
      </c>
      <c r="E886" s="255" t="s">
        <v>104</v>
      </c>
      <c r="F886" s="257">
        <v>620</v>
      </c>
      <c r="G886" s="255" t="s">
        <v>3567</v>
      </c>
      <c r="H886" s="255" t="s">
        <v>104</v>
      </c>
      <c r="I886" s="252" t="s">
        <v>530</v>
      </c>
      <c r="J886" s="252" t="s">
        <v>114</v>
      </c>
      <c r="K886" s="252" t="s">
        <v>466</v>
      </c>
      <c r="L886" s="252" t="s">
        <v>547</v>
      </c>
      <c r="M886" s="255" t="s">
        <v>114</v>
      </c>
      <c r="N886" s="278">
        <v>44246</v>
      </c>
      <c r="O886" s="329" t="s">
        <v>68</v>
      </c>
      <c r="P886" s="386">
        <f t="shared" ref="P886:Q886" si="883">IF(B886=0,0,IF(YEAR(B886)=$Q$1,MONTH(B886)-$P$1+1,(YEAR(B886)-$Q$1)*12-$P$1+1+MONTH(B886)))</f>
        <v>2</v>
      </c>
      <c r="Q886" s="330">
        <f t="shared" si="883"/>
        <v>0</v>
      </c>
      <c r="R886" s="351" t="str">
        <f t="shared" si="3"/>
        <v>Gastos_custeados_por_captação</v>
      </c>
      <c r="S886" s="351" t="str">
        <f>IF(D886="","",IF(OR(D886=Plano!$A$1,D886=Plano!$B$1),"entrada","saída"))</f>
        <v>saída</v>
      </c>
      <c r="T886" s="334" t="s">
        <v>114</v>
      </c>
      <c r="U886" s="334" t="s">
        <v>114</v>
      </c>
      <c r="V886" s="269"/>
      <c r="W886" s="269"/>
    </row>
    <row r="887" spans="1:23" ht="69.75" customHeight="1" x14ac:dyDescent="0.2">
      <c r="A887" s="277">
        <f t="shared" si="0"/>
        <v>883</v>
      </c>
      <c r="B887" s="278">
        <v>44246</v>
      </c>
      <c r="C887" s="256">
        <v>44166</v>
      </c>
      <c r="D887" s="255" t="s">
        <v>104</v>
      </c>
      <c r="E887" s="255" t="s">
        <v>104</v>
      </c>
      <c r="F887" s="257">
        <v>310</v>
      </c>
      <c r="G887" s="255" t="s">
        <v>3568</v>
      </c>
      <c r="H887" s="255" t="s">
        <v>104</v>
      </c>
      <c r="I887" s="252" t="s">
        <v>530</v>
      </c>
      <c r="J887" s="252" t="s">
        <v>114</v>
      </c>
      <c r="K887" s="252" t="s">
        <v>466</v>
      </c>
      <c r="L887" s="252" t="s">
        <v>547</v>
      </c>
      <c r="M887" s="255" t="s">
        <v>114</v>
      </c>
      <c r="N887" s="278">
        <v>44246</v>
      </c>
      <c r="O887" s="329" t="s">
        <v>68</v>
      </c>
      <c r="P887" s="386">
        <f t="shared" ref="P887:Q887" si="884">IF(B887=0,0,IF(YEAR(B887)=$Q$1,MONTH(B887)-$P$1+1,(YEAR(B887)-$Q$1)*12-$P$1+1+MONTH(B887)))</f>
        <v>2</v>
      </c>
      <c r="Q887" s="330">
        <f t="shared" si="884"/>
        <v>0</v>
      </c>
      <c r="R887" s="351" t="str">
        <f t="shared" si="3"/>
        <v>Gastos_custeados_por_captação</v>
      </c>
      <c r="S887" s="351" t="str">
        <f>IF(D887="","",IF(OR(D887=Plano!$A$1,D887=Plano!$B$1),"entrada","saída"))</f>
        <v>saída</v>
      </c>
      <c r="T887" s="334" t="s">
        <v>114</v>
      </c>
      <c r="U887" s="334" t="s">
        <v>114</v>
      </c>
      <c r="V887" s="269"/>
      <c r="W887" s="269"/>
    </row>
    <row r="888" spans="1:23" ht="69.75" customHeight="1" x14ac:dyDescent="0.2">
      <c r="A888" s="277">
        <f t="shared" si="0"/>
        <v>884</v>
      </c>
      <c r="B888" s="278">
        <v>44246</v>
      </c>
      <c r="C888" s="256">
        <v>44166</v>
      </c>
      <c r="D888" s="255" t="s">
        <v>104</v>
      </c>
      <c r="E888" s="255" t="s">
        <v>104</v>
      </c>
      <c r="F888" s="257">
        <v>310</v>
      </c>
      <c r="G888" s="255" t="s">
        <v>3569</v>
      </c>
      <c r="H888" s="255" t="s">
        <v>104</v>
      </c>
      <c r="I888" s="252" t="s">
        <v>530</v>
      </c>
      <c r="J888" s="252" t="s">
        <v>114</v>
      </c>
      <c r="K888" s="252" t="s">
        <v>466</v>
      </c>
      <c r="L888" s="252" t="s">
        <v>547</v>
      </c>
      <c r="M888" s="255" t="s">
        <v>114</v>
      </c>
      <c r="N888" s="278">
        <v>44246</v>
      </c>
      <c r="O888" s="329" t="s">
        <v>68</v>
      </c>
      <c r="P888" s="386">
        <f t="shared" ref="P888:Q888" si="885">IF(B888=0,0,IF(YEAR(B888)=$Q$1,MONTH(B888)-$P$1+1,(YEAR(B888)-$Q$1)*12-$P$1+1+MONTH(B888)))</f>
        <v>2</v>
      </c>
      <c r="Q888" s="330">
        <f t="shared" si="885"/>
        <v>0</v>
      </c>
      <c r="R888" s="351" t="str">
        <f t="shared" si="3"/>
        <v>Gastos_custeados_por_captação</v>
      </c>
      <c r="S888" s="351" t="str">
        <f>IF(D888="","",IF(OR(D888=Plano!$A$1,D888=Plano!$B$1),"entrada","saída"))</f>
        <v>saída</v>
      </c>
      <c r="T888" s="334" t="s">
        <v>114</v>
      </c>
      <c r="U888" s="334" t="s">
        <v>114</v>
      </c>
      <c r="V888" s="269"/>
      <c r="W888" s="269"/>
    </row>
    <row r="889" spans="1:23" ht="69.75" customHeight="1" x14ac:dyDescent="0.2">
      <c r="A889" s="277">
        <f t="shared" si="0"/>
        <v>885</v>
      </c>
      <c r="B889" s="278">
        <v>44246</v>
      </c>
      <c r="C889" s="249">
        <v>44166</v>
      </c>
      <c r="D889" s="255" t="s">
        <v>104</v>
      </c>
      <c r="E889" s="255" t="s">
        <v>104</v>
      </c>
      <c r="F889" s="257">
        <v>164.61</v>
      </c>
      <c r="G889" s="255" t="s">
        <v>3570</v>
      </c>
      <c r="H889" s="255" t="s">
        <v>104</v>
      </c>
      <c r="I889" s="252" t="s">
        <v>488</v>
      </c>
      <c r="J889" s="252" t="s">
        <v>114</v>
      </c>
      <c r="K889" s="252" t="s">
        <v>466</v>
      </c>
      <c r="L889" s="252" t="s">
        <v>489</v>
      </c>
      <c r="M889" s="255" t="s">
        <v>114</v>
      </c>
      <c r="N889" s="278">
        <v>44246</v>
      </c>
      <c r="O889" s="329" t="s">
        <v>69</v>
      </c>
      <c r="P889" s="386">
        <f t="shared" ref="P889:Q889" si="886">IF(B889=0,0,IF(YEAR(B889)=$Q$1,MONTH(B889)-$P$1+1,(YEAR(B889)-$Q$1)*12-$P$1+1+MONTH(B889)))</f>
        <v>2</v>
      </c>
      <c r="Q889" s="330">
        <f t="shared" si="886"/>
        <v>0</v>
      </c>
      <c r="R889" s="351" t="str">
        <f t="shared" si="3"/>
        <v>Gastos_custeados_por_captação</v>
      </c>
      <c r="S889" s="351" t="str">
        <f>IF(D889="","",IF(OR(D889=Plano!$A$1,D889=Plano!$B$1),"entrada","saída"))</f>
        <v>saída</v>
      </c>
      <c r="T889" s="334" t="s">
        <v>114</v>
      </c>
      <c r="U889" s="334" t="s">
        <v>114</v>
      </c>
      <c r="V889" s="269"/>
      <c r="W889" s="269"/>
    </row>
    <row r="890" spans="1:23" ht="69.75" customHeight="1" x14ac:dyDescent="0.2">
      <c r="A890" s="277">
        <f t="shared" si="0"/>
        <v>886</v>
      </c>
      <c r="B890" s="278">
        <v>44246</v>
      </c>
      <c r="C890" s="249">
        <v>44166</v>
      </c>
      <c r="D890" s="255" t="s">
        <v>104</v>
      </c>
      <c r="E890" s="255" t="s">
        <v>104</v>
      </c>
      <c r="F890" s="257">
        <v>620</v>
      </c>
      <c r="G890" s="255" t="s">
        <v>3571</v>
      </c>
      <c r="H890" s="255" t="s">
        <v>104</v>
      </c>
      <c r="I890" s="252" t="s">
        <v>530</v>
      </c>
      <c r="J890" s="252" t="s">
        <v>114</v>
      </c>
      <c r="K890" s="252" t="s">
        <v>466</v>
      </c>
      <c r="L890" s="252" t="s">
        <v>547</v>
      </c>
      <c r="M890" s="255" t="s">
        <v>114</v>
      </c>
      <c r="N890" s="278">
        <v>44246</v>
      </c>
      <c r="O890" s="329" t="s">
        <v>69</v>
      </c>
      <c r="P890" s="386">
        <f t="shared" ref="P890:Q890" si="887">IF(B890=0,0,IF(YEAR(B890)=$Q$1,MONTH(B890)-$P$1+1,(YEAR(B890)-$Q$1)*12-$P$1+1+MONTH(B890)))</f>
        <v>2</v>
      </c>
      <c r="Q890" s="330">
        <f t="shared" si="887"/>
        <v>0</v>
      </c>
      <c r="R890" s="351" t="str">
        <f t="shared" si="3"/>
        <v>Gastos_custeados_por_captação</v>
      </c>
      <c r="S890" s="351" t="str">
        <f>IF(D890="","",IF(OR(D890=Plano!$A$1,D890=Plano!$B$1),"entrada","saída"))</f>
        <v>saída</v>
      </c>
      <c r="T890" s="334" t="s">
        <v>114</v>
      </c>
      <c r="U890" s="334" t="s">
        <v>114</v>
      </c>
      <c r="V890" s="269"/>
      <c r="W890" s="269"/>
    </row>
    <row r="891" spans="1:23" ht="69.75" customHeight="1" x14ac:dyDescent="0.2">
      <c r="A891" s="277">
        <f t="shared" si="0"/>
        <v>887</v>
      </c>
      <c r="B891" s="278">
        <v>44246</v>
      </c>
      <c r="C891" s="249">
        <v>44136</v>
      </c>
      <c r="D891" s="255" t="s">
        <v>104</v>
      </c>
      <c r="E891" s="255" t="s">
        <v>104</v>
      </c>
      <c r="F891" s="257">
        <v>1007.5</v>
      </c>
      <c r="G891" s="255" t="s">
        <v>3572</v>
      </c>
      <c r="H891" s="255" t="s">
        <v>104</v>
      </c>
      <c r="I891" s="252" t="s">
        <v>530</v>
      </c>
      <c r="J891" s="252" t="s">
        <v>114</v>
      </c>
      <c r="K891" s="252" t="s">
        <v>466</v>
      </c>
      <c r="L891" s="252" t="s">
        <v>547</v>
      </c>
      <c r="M891" s="255" t="s">
        <v>114</v>
      </c>
      <c r="N891" s="278">
        <v>44246</v>
      </c>
      <c r="O891" s="329" t="s">
        <v>69</v>
      </c>
      <c r="P891" s="386">
        <f t="shared" ref="P891:Q891" si="888">IF(B891=0,0,IF(YEAR(B891)=$Q$1,MONTH(B891)-$P$1+1,(YEAR(B891)-$Q$1)*12-$P$1+1+MONTH(B891)))</f>
        <v>2</v>
      </c>
      <c r="Q891" s="330">
        <f t="shared" si="888"/>
        <v>-1</v>
      </c>
      <c r="R891" s="351" t="str">
        <f t="shared" si="3"/>
        <v>Gastos_custeados_por_captação</v>
      </c>
      <c r="S891" s="351" t="str">
        <f>IF(D891="","",IF(OR(D891=Plano!$A$1,D891=Plano!$B$1),"entrada","saída"))</f>
        <v>saída</v>
      </c>
      <c r="T891" s="334" t="s">
        <v>114</v>
      </c>
      <c r="U891" s="334" t="s">
        <v>114</v>
      </c>
      <c r="V891" s="269"/>
      <c r="W891" s="269"/>
    </row>
    <row r="892" spans="1:23" ht="69.75" customHeight="1" x14ac:dyDescent="0.2">
      <c r="A892" s="277">
        <f t="shared" si="0"/>
        <v>888</v>
      </c>
      <c r="B892" s="278">
        <v>44246</v>
      </c>
      <c r="C892" s="249">
        <v>44166</v>
      </c>
      <c r="D892" s="255" t="s">
        <v>104</v>
      </c>
      <c r="E892" s="255" t="s">
        <v>104</v>
      </c>
      <c r="F892" s="257">
        <v>775</v>
      </c>
      <c r="G892" s="255" t="s">
        <v>3573</v>
      </c>
      <c r="H892" s="255" t="s">
        <v>104</v>
      </c>
      <c r="I892" s="252" t="s">
        <v>530</v>
      </c>
      <c r="J892" s="252" t="s">
        <v>114</v>
      </c>
      <c r="K892" s="252" t="s">
        <v>466</v>
      </c>
      <c r="L892" s="252" t="s">
        <v>547</v>
      </c>
      <c r="M892" s="255" t="s">
        <v>114</v>
      </c>
      <c r="N892" s="278">
        <v>44246</v>
      </c>
      <c r="O892" s="329" t="s">
        <v>69</v>
      </c>
      <c r="P892" s="386">
        <f t="shared" ref="P892:Q892" si="889">IF(B892=0,0,IF(YEAR(B892)=$Q$1,MONTH(B892)-$P$1+1,(YEAR(B892)-$Q$1)*12-$P$1+1+MONTH(B892)))</f>
        <v>2</v>
      </c>
      <c r="Q892" s="330">
        <f t="shared" si="889"/>
        <v>0</v>
      </c>
      <c r="R892" s="351" t="str">
        <f t="shared" si="3"/>
        <v>Gastos_custeados_por_captação</v>
      </c>
      <c r="S892" s="351" t="str">
        <f>IF(D892="","",IF(OR(D892=Plano!$A$1,D892=Plano!$B$1),"entrada","saída"))</f>
        <v>saída</v>
      </c>
      <c r="T892" s="334" t="s">
        <v>114</v>
      </c>
      <c r="U892" s="334" t="s">
        <v>114</v>
      </c>
      <c r="V892" s="269"/>
      <c r="W892" s="269"/>
    </row>
    <row r="893" spans="1:23" ht="69.75" customHeight="1" x14ac:dyDescent="0.2">
      <c r="A893" s="277">
        <f t="shared" si="0"/>
        <v>889</v>
      </c>
      <c r="B893" s="278">
        <v>44246</v>
      </c>
      <c r="C893" s="249">
        <v>44166</v>
      </c>
      <c r="D893" s="255" t="s">
        <v>104</v>
      </c>
      <c r="E893" s="255" t="s">
        <v>104</v>
      </c>
      <c r="F893" s="257">
        <v>620</v>
      </c>
      <c r="G893" s="255" t="s">
        <v>3574</v>
      </c>
      <c r="H893" s="255" t="s">
        <v>104</v>
      </c>
      <c r="I893" s="252" t="s">
        <v>530</v>
      </c>
      <c r="J893" s="252" t="s">
        <v>114</v>
      </c>
      <c r="K893" s="252" t="s">
        <v>466</v>
      </c>
      <c r="L893" s="252" t="s">
        <v>547</v>
      </c>
      <c r="M893" s="255" t="s">
        <v>114</v>
      </c>
      <c r="N893" s="278">
        <v>44246</v>
      </c>
      <c r="O893" s="329" t="s">
        <v>69</v>
      </c>
      <c r="P893" s="386">
        <f t="shared" ref="P893:Q893" si="890">IF(B893=0,0,IF(YEAR(B893)=$Q$1,MONTH(B893)-$P$1+1,(YEAR(B893)-$Q$1)*12-$P$1+1+MONTH(B893)))</f>
        <v>2</v>
      </c>
      <c r="Q893" s="330">
        <f t="shared" si="890"/>
        <v>0</v>
      </c>
      <c r="R893" s="351" t="str">
        <f t="shared" si="3"/>
        <v>Gastos_custeados_por_captação</v>
      </c>
      <c r="S893" s="351" t="str">
        <f>IF(D893="","",IF(OR(D893=Plano!$A$1,D893=Plano!$B$1),"entrada","saída"))</f>
        <v>saída</v>
      </c>
      <c r="T893" s="334" t="s">
        <v>114</v>
      </c>
      <c r="U893" s="334" t="s">
        <v>114</v>
      </c>
      <c r="V893" s="269"/>
      <c r="W893" s="269"/>
    </row>
    <row r="894" spans="1:23" ht="69.75" customHeight="1" x14ac:dyDescent="0.2">
      <c r="A894" s="277">
        <f t="shared" si="0"/>
        <v>890</v>
      </c>
      <c r="B894" s="278">
        <v>44246</v>
      </c>
      <c r="C894" s="249">
        <v>44166</v>
      </c>
      <c r="D894" s="255" t="s">
        <v>104</v>
      </c>
      <c r="E894" s="255" t="s">
        <v>104</v>
      </c>
      <c r="F894" s="257">
        <v>310</v>
      </c>
      <c r="G894" s="255" t="s">
        <v>3575</v>
      </c>
      <c r="H894" s="255" t="s">
        <v>104</v>
      </c>
      <c r="I894" s="252" t="s">
        <v>530</v>
      </c>
      <c r="J894" s="252" t="s">
        <v>114</v>
      </c>
      <c r="K894" s="252" t="s">
        <v>466</v>
      </c>
      <c r="L894" s="252" t="s">
        <v>547</v>
      </c>
      <c r="M894" s="255" t="s">
        <v>114</v>
      </c>
      <c r="N894" s="278">
        <v>44246</v>
      </c>
      <c r="O894" s="329" t="s">
        <v>69</v>
      </c>
      <c r="P894" s="386">
        <f t="shared" ref="P894:Q894" si="891">IF(B894=0,0,IF(YEAR(B894)=$Q$1,MONTH(B894)-$P$1+1,(YEAR(B894)-$Q$1)*12-$P$1+1+MONTH(B894)))</f>
        <v>2</v>
      </c>
      <c r="Q894" s="330">
        <f t="shared" si="891"/>
        <v>0</v>
      </c>
      <c r="R894" s="351" t="str">
        <f t="shared" si="3"/>
        <v>Gastos_custeados_por_captação</v>
      </c>
      <c r="S894" s="351" t="str">
        <f>IF(D894="","",IF(OR(D894=Plano!$A$1,D894=Plano!$B$1),"entrada","saída"))</f>
        <v>saída</v>
      </c>
      <c r="T894" s="334" t="s">
        <v>114</v>
      </c>
      <c r="U894" s="334" t="s">
        <v>114</v>
      </c>
      <c r="V894" s="269"/>
      <c r="W894" s="269"/>
    </row>
    <row r="895" spans="1:23" ht="69.75" customHeight="1" x14ac:dyDescent="0.2">
      <c r="A895" s="277">
        <f t="shared" si="0"/>
        <v>891</v>
      </c>
      <c r="B895" s="278">
        <v>44246</v>
      </c>
      <c r="C895" s="249">
        <v>44166</v>
      </c>
      <c r="D895" s="255" t="s">
        <v>104</v>
      </c>
      <c r="E895" s="255" t="s">
        <v>104</v>
      </c>
      <c r="F895" s="257">
        <v>620</v>
      </c>
      <c r="G895" s="255" t="s">
        <v>3576</v>
      </c>
      <c r="H895" s="255" t="s">
        <v>104</v>
      </c>
      <c r="I895" s="252" t="s">
        <v>530</v>
      </c>
      <c r="J895" s="252" t="s">
        <v>114</v>
      </c>
      <c r="K895" s="252" t="s">
        <v>466</v>
      </c>
      <c r="L895" s="252" t="s">
        <v>547</v>
      </c>
      <c r="M895" s="255" t="s">
        <v>114</v>
      </c>
      <c r="N895" s="278">
        <v>44246</v>
      </c>
      <c r="O895" s="329" t="s">
        <v>69</v>
      </c>
      <c r="P895" s="386">
        <f t="shared" ref="P895:Q895" si="892">IF(B895=0,0,IF(YEAR(B895)=$Q$1,MONTH(B895)-$P$1+1,(YEAR(B895)-$Q$1)*12-$P$1+1+MONTH(B895)))</f>
        <v>2</v>
      </c>
      <c r="Q895" s="330">
        <f t="shared" si="892"/>
        <v>0</v>
      </c>
      <c r="R895" s="351" t="str">
        <f t="shared" si="3"/>
        <v>Gastos_custeados_por_captação</v>
      </c>
      <c r="S895" s="351" t="str">
        <f>IF(D895="","",IF(OR(D895=Plano!$A$1,D895=Plano!$B$1),"entrada","saída"))</f>
        <v>saída</v>
      </c>
      <c r="T895" s="334" t="s">
        <v>114</v>
      </c>
      <c r="U895" s="334" t="s">
        <v>114</v>
      </c>
      <c r="V895" s="269"/>
      <c r="W895" s="269"/>
    </row>
    <row r="896" spans="1:23" ht="69.75" customHeight="1" x14ac:dyDescent="0.2">
      <c r="A896" s="277">
        <f t="shared" si="0"/>
        <v>892</v>
      </c>
      <c r="B896" s="278">
        <v>44246</v>
      </c>
      <c r="C896" s="249">
        <v>44166</v>
      </c>
      <c r="D896" s="255" t="s">
        <v>104</v>
      </c>
      <c r="E896" s="255" t="s">
        <v>104</v>
      </c>
      <c r="F896" s="257">
        <v>310</v>
      </c>
      <c r="G896" s="255" t="s">
        <v>3577</v>
      </c>
      <c r="H896" s="255" t="s">
        <v>104</v>
      </c>
      <c r="I896" s="252" t="s">
        <v>530</v>
      </c>
      <c r="J896" s="252" t="s">
        <v>114</v>
      </c>
      <c r="K896" s="252" t="s">
        <v>466</v>
      </c>
      <c r="L896" s="252" t="s">
        <v>547</v>
      </c>
      <c r="M896" s="255" t="s">
        <v>114</v>
      </c>
      <c r="N896" s="278">
        <v>44246</v>
      </c>
      <c r="O896" s="329" t="s">
        <v>69</v>
      </c>
      <c r="P896" s="386">
        <f t="shared" ref="P896:Q896" si="893">IF(B896=0,0,IF(YEAR(B896)=$Q$1,MONTH(B896)-$P$1+1,(YEAR(B896)-$Q$1)*12-$P$1+1+MONTH(B896)))</f>
        <v>2</v>
      </c>
      <c r="Q896" s="330">
        <f t="shared" si="893"/>
        <v>0</v>
      </c>
      <c r="R896" s="351" t="str">
        <f t="shared" si="3"/>
        <v>Gastos_custeados_por_captação</v>
      </c>
      <c r="S896" s="351" t="str">
        <f>IF(D896="","",IF(OR(D896=Plano!$A$1,D896=Plano!$B$1),"entrada","saída"))</f>
        <v>saída</v>
      </c>
      <c r="T896" s="334" t="s">
        <v>114</v>
      </c>
      <c r="U896" s="334" t="s">
        <v>114</v>
      </c>
      <c r="V896" s="269"/>
      <c r="W896" s="269"/>
    </row>
    <row r="897" spans="1:23" ht="69.75" customHeight="1" x14ac:dyDescent="0.2">
      <c r="A897" s="277">
        <f t="shared" si="0"/>
        <v>893</v>
      </c>
      <c r="B897" s="278">
        <v>44246</v>
      </c>
      <c r="C897" s="249">
        <v>44166</v>
      </c>
      <c r="D897" s="255" t="s">
        <v>104</v>
      </c>
      <c r="E897" s="255" t="s">
        <v>104</v>
      </c>
      <c r="F897" s="257">
        <v>454.77</v>
      </c>
      <c r="G897" s="255" t="s">
        <v>3578</v>
      </c>
      <c r="H897" s="255" t="s">
        <v>104</v>
      </c>
      <c r="I897" s="252" t="s">
        <v>530</v>
      </c>
      <c r="J897" s="252" t="s">
        <v>114</v>
      </c>
      <c r="K897" s="252" t="s">
        <v>466</v>
      </c>
      <c r="L897" s="252" t="s">
        <v>547</v>
      </c>
      <c r="M897" s="255" t="s">
        <v>114</v>
      </c>
      <c r="N897" s="278">
        <v>44246</v>
      </c>
      <c r="O897" s="329" t="s">
        <v>69</v>
      </c>
      <c r="P897" s="386">
        <f t="shared" ref="P897:Q897" si="894">IF(B897=0,0,IF(YEAR(B897)=$Q$1,MONTH(B897)-$P$1+1,(YEAR(B897)-$Q$1)*12-$P$1+1+MONTH(B897)))</f>
        <v>2</v>
      </c>
      <c r="Q897" s="330">
        <f t="shared" si="894"/>
        <v>0</v>
      </c>
      <c r="R897" s="351" t="str">
        <f t="shared" si="3"/>
        <v>Gastos_custeados_por_captação</v>
      </c>
      <c r="S897" s="351" t="str">
        <f>IF(D897="","",IF(OR(D897=Plano!$A$1,D897=Plano!$B$1),"entrada","saída"))</f>
        <v>saída</v>
      </c>
      <c r="T897" s="334" t="s">
        <v>114</v>
      </c>
      <c r="U897" s="334" t="s">
        <v>114</v>
      </c>
      <c r="V897" s="269"/>
      <c r="W897" s="269"/>
    </row>
    <row r="898" spans="1:23" ht="69.75" customHeight="1" x14ac:dyDescent="0.2">
      <c r="A898" s="277">
        <f t="shared" si="0"/>
        <v>894</v>
      </c>
      <c r="B898" s="278">
        <v>44246</v>
      </c>
      <c r="C898" s="249">
        <v>44166</v>
      </c>
      <c r="D898" s="255" t="s">
        <v>104</v>
      </c>
      <c r="E898" s="255" t="s">
        <v>104</v>
      </c>
      <c r="F898" s="257">
        <v>775</v>
      </c>
      <c r="G898" s="255" t="s">
        <v>3579</v>
      </c>
      <c r="H898" s="255" t="s">
        <v>104</v>
      </c>
      <c r="I898" s="252" t="s">
        <v>530</v>
      </c>
      <c r="J898" s="252" t="s">
        <v>114</v>
      </c>
      <c r="K898" s="252" t="s">
        <v>466</v>
      </c>
      <c r="L898" s="252" t="s">
        <v>547</v>
      </c>
      <c r="M898" s="255" t="s">
        <v>114</v>
      </c>
      <c r="N898" s="278">
        <v>44246</v>
      </c>
      <c r="O898" s="329" t="s">
        <v>69</v>
      </c>
      <c r="P898" s="386">
        <f t="shared" ref="P898:Q898" si="895">IF(B898=0,0,IF(YEAR(B898)=$Q$1,MONTH(B898)-$P$1+1,(YEAR(B898)-$Q$1)*12-$P$1+1+MONTH(B898)))</f>
        <v>2</v>
      </c>
      <c r="Q898" s="330">
        <f t="shared" si="895"/>
        <v>0</v>
      </c>
      <c r="R898" s="351" t="str">
        <f t="shared" si="3"/>
        <v>Gastos_custeados_por_captação</v>
      </c>
      <c r="S898" s="351" t="str">
        <f>IF(D898="","",IF(OR(D898=Plano!$A$1,D898=Plano!$B$1),"entrada","saída"))</f>
        <v>saída</v>
      </c>
      <c r="T898" s="334" t="s">
        <v>114</v>
      </c>
      <c r="U898" s="334" t="s">
        <v>114</v>
      </c>
      <c r="V898" s="269"/>
      <c r="W898" s="269"/>
    </row>
    <row r="899" spans="1:23" ht="69.75" customHeight="1" x14ac:dyDescent="0.2">
      <c r="A899" s="277">
        <f t="shared" si="0"/>
        <v>895</v>
      </c>
      <c r="B899" s="278">
        <v>44246</v>
      </c>
      <c r="C899" s="249">
        <v>44136</v>
      </c>
      <c r="D899" s="255" t="s">
        <v>104</v>
      </c>
      <c r="E899" s="255" t="s">
        <v>104</v>
      </c>
      <c r="F899" s="257">
        <v>1860</v>
      </c>
      <c r="G899" s="255" t="s">
        <v>3580</v>
      </c>
      <c r="H899" s="255" t="s">
        <v>104</v>
      </c>
      <c r="I899" s="252" t="s">
        <v>530</v>
      </c>
      <c r="J899" s="252" t="s">
        <v>114</v>
      </c>
      <c r="K899" s="252" t="s">
        <v>466</v>
      </c>
      <c r="L899" s="252" t="s">
        <v>547</v>
      </c>
      <c r="M899" s="255" t="s">
        <v>114</v>
      </c>
      <c r="N899" s="278">
        <v>44246</v>
      </c>
      <c r="O899" s="329" t="s">
        <v>69</v>
      </c>
      <c r="P899" s="386">
        <f t="shared" ref="P899:Q899" si="896">IF(B899=0,0,IF(YEAR(B899)=$Q$1,MONTH(B899)-$P$1+1,(YEAR(B899)-$Q$1)*12-$P$1+1+MONTH(B899)))</f>
        <v>2</v>
      </c>
      <c r="Q899" s="330">
        <f t="shared" si="896"/>
        <v>-1</v>
      </c>
      <c r="R899" s="351" t="str">
        <f t="shared" si="3"/>
        <v>Gastos_custeados_por_captação</v>
      </c>
      <c r="S899" s="351" t="str">
        <f>IF(D899="","",IF(OR(D899=Plano!$A$1,D899=Plano!$B$1),"entrada","saída"))</f>
        <v>saída</v>
      </c>
      <c r="T899" s="334" t="s">
        <v>114</v>
      </c>
      <c r="U899" s="334" t="s">
        <v>114</v>
      </c>
      <c r="V899" s="269"/>
      <c r="W899" s="269"/>
    </row>
    <row r="900" spans="1:23" ht="69.75" customHeight="1" x14ac:dyDescent="0.2">
      <c r="A900" s="277">
        <f t="shared" si="0"/>
        <v>896</v>
      </c>
      <c r="B900" s="278">
        <v>44246</v>
      </c>
      <c r="C900" s="249">
        <v>44166</v>
      </c>
      <c r="D900" s="255" t="s">
        <v>104</v>
      </c>
      <c r="E900" s="255" t="s">
        <v>104</v>
      </c>
      <c r="F900" s="251">
        <v>21.87</v>
      </c>
      <c r="G900" s="255" t="s">
        <v>3581</v>
      </c>
      <c r="H900" s="255" t="s">
        <v>104</v>
      </c>
      <c r="I900" s="252" t="s">
        <v>488</v>
      </c>
      <c r="J900" s="252" t="s">
        <v>114</v>
      </c>
      <c r="K900" s="252" t="s">
        <v>466</v>
      </c>
      <c r="L900" s="252" t="s">
        <v>489</v>
      </c>
      <c r="M900" s="279" t="s">
        <v>114</v>
      </c>
      <c r="N900" s="278">
        <v>44246</v>
      </c>
      <c r="O900" s="329" t="s">
        <v>69</v>
      </c>
      <c r="P900" s="386">
        <f t="shared" ref="P900:Q900" si="897">IF(B900=0,0,IF(YEAR(B900)=$Q$1,MONTH(B900)-$P$1+1,(YEAR(B900)-$Q$1)*12-$P$1+1+MONTH(B900)))</f>
        <v>2</v>
      </c>
      <c r="Q900" s="330">
        <f t="shared" si="897"/>
        <v>0</v>
      </c>
      <c r="R900" s="351" t="str">
        <f t="shared" si="3"/>
        <v>Gastos_custeados_por_captação</v>
      </c>
      <c r="S900" s="351" t="str">
        <f>IF(D900="","",IF(OR(D900=Plano!$A$1,D900=Plano!$B$1),"entrada","saída"))</f>
        <v>saída</v>
      </c>
      <c r="T900" s="334" t="s">
        <v>114</v>
      </c>
      <c r="U900" s="334" t="s">
        <v>114</v>
      </c>
      <c r="V900" s="269"/>
      <c r="W900" s="269"/>
    </row>
    <row r="901" spans="1:23" ht="69.75" customHeight="1" x14ac:dyDescent="0.2">
      <c r="A901" s="277">
        <f t="shared" si="0"/>
        <v>897</v>
      </c>
      <c r="B901" s="278">
        <v>44246</v>
      </c>
      <c r="C901" s="249">
        <v>44166</v>
      </c>
      <c r="D901" s="255" t="s">
        <v>104</v>
      </c>
      <c r="E901" s="255" t="s">
        <v>104</v>
      </c>
      <c r="F901" s="251">
        <v>24.08</v>
      </c>
      <c r="G901" s="255" t="s">
        <v>3582</v>
      </c>
      <c r="H901" s="255" t="s">
        <v>104</v>
      </c>
      <c r="I901" s="252" t="s">
        <v>488</v>
      </c>
      <c r="J901" s="252" t="s">
        <v>114</v>
      </c>
      <c r="K901" s="252" t="s">
        <v>466</v>
      </c>
      <c r="L901" s="252" t="s">
        <v>489</v>
      </c>
      <c r="M901" s="279" t="s">
        <v>114</v>
      </c>
      <c r="N901" s="278">
        <v>44246</v>
      </c>
      <c r="O901" s="329" t="s">
        <v>69</v>
      </c>
      <c r="P901" s="386">
        <f t="shared" ref="P901:Q901" si="898">IF(B901=0,0,IF(YEAR(B901)=$Q$1,MONTH(B901)-$P$1+1,(YEAR(B901)-$Q$1)*12-$P$1+1+MONTH(B901)))</f>
        <v>2</v>
      </c>
      <c r="Q901" s="330">
        <f t="shared" si="898"/>
        <v>0</v>
      </c>
      <c r="R901" s="351" t="str">
        <f t="shared" si="3"/>
        <v>Gastos_custeados_por_captação</v>
      </c>
      <c r="S901" s="351" t="str">
        <f>IF(D901="","",IF(OR(D901=Plano!$A$1,D901=Plano!$B$1),"entrada","saída"))</f>
        <v>saída</v>
      </c>
      <c r="T901" s="334" t="s">
        <v>114</v>
      </c>
      <c r="U901" s="334" t="s">
        <v>114</v>
      </c>
      <c r="V901" s="269"/>
      <c r="W901" s="269"/>
    </row>
    <row r="902" spans="1:23" ht="69.75" customHeight="1" x14ac:dyDescent="0.2">
      <c r="A902" s="277">
        <f t="shared" si="0"/>
        <v>898</v>
      </c>
      <c r="B902" s="278">
        <v>44246</v>
      </c>
      <c r="C902" s="249">
        <v>44136</v>
      </c>
      <c r="D902" s="255" t="s">
        <v>104</v>
      </c>
      <c r="E902" s="255" t="s">
        <v>104</v>
      </c>
      <c r="F902" s="251">
        <v>599.14</v>
      </c>
      <c r="G902" s="255" t="s">
        <v>3583</v>
      </c>
      <c r="H902" s="255" t="s">
        <v>104</v>
      </c>
      <c r="I902" s="252" t="s">
        <v>488</v>
      </c>
      <c r="J902" s="252" t="s">
        <v>114</v>
      </c>
      <c r="K902" s="252" t="s">
        <v>466</v>
      </c>
      <c r="L902" s="252" t="s">
        <v>489</v>
      </c>
      <c r="M902" s="279" t="s">
        <v>114</v>
      </c>
      <c r="N902" s="278">
        <v>44246</v>
      </c>
      <c r="O902" s="329" t="s">
        <v>69</v>
      </c>
      <c r="P902" s="386">
        <f t="shared" ref="P902:Q902" si="899">IF(B902=0,0,IF(YEAR(B902)=$Q$1,MONTH(B902)-$P$1+1,(YEAR(B902)-$Q$1)*12-$P$1+1+MONTH(B902)))</f>
        <v>2</v>
      </c>
      <c r="Q902" s="330">
        <f t="shared" si="899"/>
        <v>-1</v>
      </c>
      <c r="R902" s="351" t="str">
        <f t="shared" si="3"/>
        <v>Gastos_custeados_por_captação</v>
      </c>
      <c r="S902" s="351" t="str">
        <f>IF(D902="","",IF(OR(D902=Plano!$A$1,D902=Plano!$B$1),"entrada","saída"))</f>
        <v>saída</v>
      </c>
      <c r="T902" s="334" t="s">
        <v>114</v>
      </c>
      <c r="U902" s="334" t="s">
        <v>114</v>
      </c>
      <c r="V902" s="269"/>
      <c r="W902" s="269"/>
    </row>
    <row r="903" spans="1:23" ht="69.75" customHeight="1" x14ac:dyDescent="0.2">
      <c r="A903" s="277">
        <f t="shared" si="0"/>
        <v>899</v>
      </c>
      <c r="B903" s="278">
        <v>44246</v>
      </c>
      <c r="C903" s="249">
        <v>44136</v>
      </c>
      <c r="D903" s="255" t="s">
        <v>104</v>
      </c>
      <c r="E903" s="255" t="s">
        <v>104</v>
      </c>
      <c r="F903" s="251">
        <v>79.08</v>
      </c>
      <c r="G903" s="255" t="s">
        <v>3584</v>
      </c>
      <c r="H903" s="255" t="s">
        <v>104</v>
      </c>
      <c r="I903" s="252" t="s">
        <v>488</v>
      </c>
      <c r="J903" s="252" t="s">
        <v>114</v>
      </c>
      <c r="K903" s="252" t="s">
        <v>466</v>
      </c>
      <c r="L903" s="252" t="s">
        <v>489</v>
      </c>
      <c r="M903" s="279" t="s">
        <v>114</v>
      </c>
      <c r="N903" s="278">
        <v>44246</v>
      </c>
      <c r="O903" s="329" t="s">
        <v>69</v>
      </c>
      <c r="P903" s="386">
        <f t="shared" ref="P903:Q903" si="900">IF(B903=0,0,IF(YEAR(B903)=$Q$1,MONTH(B903)-$P$1+1,(YEAR(B903)-$Q$1)*12-$P$1+1+MONTH(B903)))</f>
        <v>2</v>
      </c>
      <c r="Q903" s="330">
        <f t="shared" si="900"/>
        <v>-1</v>
      </c>
      <c r="R903" s="351" t="str">
        <f t="shared" si="3"/>
        <v>Gastos_custeados_por_captação</v>
      </c>
      <c r="S903" s="351" t="str">
        <f>IF(D903="","",IF(OR(D903=Plano!$A$1,D903=Plano!$B$1),"entrada","saída"))</f>
        <v>saída</v>
      </c>
      <c r="T903" s="334" t="s">
        <v>114</v>
      </c>
      <c r="U903" s="334" t="s">
        <v>114</v>
      </c>
      <c r="V903" s="269"/>
      <c r="W903" s="269"/>
    </row>
    <row r="904" spans="1:23" ht="69.75" customHeight="1" x14ac:dyDescent="0.2">
      <c r="A904" s="277">
        <f t="shared" si="0"/>
        <v>900</v>
      </c>
      <c r="B904" s="278">
        <v>44246</v>
      </c>
      <c r="C904" s="249">
        <v>44166</v>
      </c>
      <c r="D904" s="255" t="s">
        <v>104</v>
      </c>
      <c r="E904" s="255" t="s">
        <v>104</v>
      </c>
      <c r="F904" s="251">
        <v>24.08</v>
      </c>
      <c r="G904" s="255" t="s">
        <v>3585</v>
      </c>
      <c r="H904" s="255" t="s">
        <v>104</v>
      </c>
      <c r="I904" s="252" t="s">
        <v>488</v>
      </c>
      <c r="J904" s="252" t="s">
        <v>114</v>
      </c>
      <c r="K904" s="252" t="s">
        <v>466</v>
      </c>
      <c r="L904" s="252" t="s">
        <v>489</v>
      </c>
      <c r="M904" s="279" t="s">
        <v>114</v>
      </c>
      <c r="N904" s="278">
        <v>44246</v>
      </c>
      <c r="O904" s="329" t="s">
        <v>69</v>
      </c>
      <c r="P904" s="386">
        <f t="shared" ref="P904:Q904" si="901">IF(B904=0,0,IF(YEAR(B904)=$Q$1,MONTH(B904)-$P$1+1,(YEAR(B904)-$Q$1)*12-$P$1+1+MONTH(B904)))</f>
        <v>2</v>
      </c>
      <c r="Q904" s="330">
        <f t="shared" si="901"/>
        <v>0</v>
      </c>
      <c r="R904" s="351" t="str">
        <f t="shared" si="3"/>
        <v>Gastos_custeados_por_captação</v>
      </c>
      <c r="S904" s="351" t="str">
        <f>IF(D904="","",IF(OR(D904=Plano!$A$1,D904=Plano!$B$1),"entrada","saída"))</f>
        <v>saída</v>
      </c>
      <c r="T904" s="334" t="s">
        <v>114</v>
      </c>
      <c r="U904" s="334" t="s">
        <v>114</v>
      </c>
      <c r="V904" s="269"/>
      <c r="W904" s="269"/>
    </row>
    <row r="905" spans="1:23" ht="226.5" customHeight="1" x14ac:dyDescent="0.2">
      <c r="A905" s="277">
        <f t="shared" si="0"/>
        <v>901</v>
      </c>
      <c r="B905" s="278">
        <v>44249</v>
      </c>
      <c r="C905" s="256">
        <v>44197</v>
      </c>
      <c r="D905" s="255" t="s">
        <v>99</v>
      </c>
      <c r="E905" s="255" t="s">
        <v>244</v>
      </c>
      <c r="F905" s="257">
        <v>481.55</v>
      </c>
      <c r="G905" s="255" t="s">
        <v>3049</v>
      </c>
      <c r="H905" s="255" t="s">
        <v>122</v>
      </c>
      <c r="I905" s="250" t="s">
        <v>3047</v>
      </c>
      <c r="J905" s="255" t="s">
        <v>3586</v>
      </c>
      <c r="K905" s="255" t="s">
        <v>560</v>
      </c>
      <c r="L905" s="250" t="s">
        <v>1016</v>
      </c>
      <c r="M905" s="255" t="s">
        <v>1944</v>
      </c>
      <c r="N905" s="278">
        <v>44234</v>
      </c>
      <c r="O905" s="329" t="s">
        <v>67</v>
      </c>
      <c r="P905" s="386">
        <f t="shared" ref="P905:Q905" si="902">IF(B905=0,0,IF(YEAR(B905)=$Q$1,MONTH(B905)-$P$1+1,(YEAR(B905)-$Q$1)*12-$P$1+1+MONTH(B905)))</f>
        <v>2</v>
      </c>
      <c r="Q905" s="330">
        <f t="shared" si="902"/>
        <v>1</v>
      </c>
      <c r="R905" s="351" t="str">
        <f t="shared" si="3"/>
        <v>Gastos_Gerais</v>
      </c>
      <c r="S905" s="351" t="str">
        <f>IF(D905="","",IF(OR(D905=Plano!$A$1,D905=Plano!$B$1),"entrada","saída"))</f>
        <v>saída</v>
      </c>
      <c r="T905" s="334" t="s">
        <v>1059</v>
      </c>
      <c r="U905" s="334">
        <v>300</v>
      </c>
      <c r="V905" s="269"/>
      <c r="W905" s="269"/>
    </row>
    <row r="906" spans="1:23" ht="121.5" customHeight="1" x14ac:dyDescent="0.2">
      <c r="A906" s="277">
        <f t="shared" si="0"/>
        <v>902</v>
      </c>
      <c r="B906" s="278">
        <v>44249</v>
      </c>
      <c r="C906" s="256">
        <v>44197</v>
      </c>
      <c r="D906" s="255" t="s">
        <v>99</v>
      </c>
      <c r="E906" s="255" t="s">
        <v>226</v>
      </c>
      <c r="F906" s="258">
        <v>664.54</v>
      </c>
      <c r="G906" s="255" t="s">
        <v>3587</v>
      </c>
      <c r="H906" s="255" t="s">
        <v>128</v>
      </c>
      <c r="I906" s="250" t="s">
        <v>3047</v>
      </c>
      <c r="J906" s="255" t="s">
        <v>3586</v>
      </c>
      <c r="K906" s="255" t="s">
        <v>560</v>
      </c>
      <c r="L906" s="250" t="s">
        <v>1016</v>
      </c>
      <c r="M906" s="255" t="s">
        <v>1675</v>
      </c>
      <c r="N906" s="278">
        <v>44234</v>
      </c>
      <c r="O906" s="329" t="s">
        <v>67</v>
      </c>
      <c r="P906" s="386">
        <f t="shared" ref="P906:Q906" si="903">IF(B906=0,0,IF(YEAR(B906)=$Q$1,MONTH(B906)-$P$1+1,(YEAR(B906)-$Q$1)*12-$P$1+1+MONTH(B906)))</f>
        <v>2</v>
      </c>
      <c r="Q906" s="330">
        <f t="shared" si="903"/>
        <v>1</v>
      </c>
      <c r="R906" s="351" t="str">
        <f t="shared" si="3"/>
        <v>Gastos_Gerais</v>
      </c>
      <c r="S906" s="351" t="str">
        <f>IF(D906="","",IF(OR(D906=Plano!$A$1,D906=Plano!$B$1),"entrada","saída"))</f>
        <v>saída</v>
      </c>
      <c r="T906" s="334" t="s">
        <v>1059</v>
      </c>
      <c r="U906" s="334">
        <v>134</v>
      </c>
      <c r="V906" s="269"/>
      <c r="W906" s="269"/>
    </row>
    <row r="907" spans="1:23" ht="155.25" customHeight="1" x14ac:dyDescent="0.2">
      <c r="A907" s="277">
        <f t="shared" si="0"/>
        <v>903</v>
      </c>
      <c r="B907" s="278">
        <v>44249</v>
      </c>
      <c r="C907" s="256">
        <v>44197</v>
      </c>
      <c r="D907" s="255" t="s">
        <v>99</v>
      </c>
      <c r="E907" s="255" t="s">
        <v>244</v>
      </c>
      <c r="F907" s="258">
        <v>300.49</v>
      </c>
      <c r="G907" s="252" t="s">
        <v>3046</v>
      </c>
      <c r="H907" s="255" t="s">
        <v>126</v>
      </c>
      <c r="I907" s="250" t="s">
        <v>3047</v>
      </c>
      <c r="J907" s="255" t="s">
        <v>3586</v>
      </c>
      <c r="K907" s="255" t="s">
        <v>560</v>
      </c>
      <c r="L907" s="250" t="s">
        <v>1016</v>
      </c>
      <c r="M907" s="255" t="s">
        <v>2111</v>
      </c>
      <c r="N907" s="278">
        <v>44234</v>
      </c>
      <c r="O907" s="329" t="s">
        <v>67</v>
      </c>
      <c r="P907" s="386">
        <f t="shared" ref="P907:Q907" si="904">IF(B907=0,0,IF(YEAR(B907)=$Q$1,MONTH(B907)-$P$1+1,(YEAR(B907)-$Q$1)*12-$P$1+1+MONTH(B907)))</f>
        <v>2</v>
      </c>
      <c r="Q907" s="330">
        <f t="shared" si="904"/>
        <v>1</v>
      </c>
      <c r="R907" s="351" t="str">
        <f t="shared" si="3"/>
        <v>Gastos_Gerais</v>
      </c>
      <c r="S907" s="351" t="str">
        <f>IF(D907="","",IF(OR(D907=Plano!$A$1,D907=Plano!$B$1),"entrada","saída"))</f>
        <v>saída</v>
      </c>
      <c r="T907" s="334" t="s">
        <v>1059</v>
      </c>
      <c r="U907" s="334">
        <v>469</v>
      </c>
      <c r="V907" s="269"/>
      <c r="W907" s="269"/>
    </row>
    <row r="908" spans="1:23" ht="139.5" customHeight="1" x14ac:dyDescent="0.2">
      <c r="A908" s="277">
        <f t="shared" si="0"/>
        <v>904</v>
      </c>
      <c r="B908" s="278">
        <v>44249</v>
      </c>
      <c r="C908" s="256">
        <v>44197</v>
      </c>
      <c r="D908" s="255" t="s">
        <v>99</v>
      </c>
      <c r="E908" s="255" t="s">
        <v>226</v>
      </c>
      <c r="F908" s="258">
        <v>1155.72</v>
      </c>
      <c r="G908" s="255" t="s">
        <v>3588</v>
      </c>
      <c r="H908" s="255" t="s">
        <v>128</v>
      </c>
      <c r="I908" s="250" t="s">
        <v>3047</v>
      </c>
      <c r="J908" s="255" t="s">
        <v>3586</v>
      </c>
      <c r="K908" s="255" t="s">
        <v>560</v>
      </c>
      <c r="L908" s="250" t="s">
        <v>1016</v>
      </c>
      <c r="M908" s="255" t="s">
        <v>1730</v>
      </c>
      <c r="N908" s="278">
        <v>44234</v>
      </c>
      <c r="O908" s="329" t="s">
        <v>67</v>
      </c>
      <c r="P908" s="386">
        <f t="shared" ref="P908:Q908" si="905">IF(B908=0,0,IF(YEAR(B908)=$Q$1,MONTH(B908)-$P$1+1,(YEAR(B908)-$Q$1)*12-$P$1+1+MONTH(B908)))</f>
        <v>2</v>
      </c>
      <c r="Q908" s="330">
        <f t="shared" si="905"/>
        <v>1</v>
      </c>
      <c r="R908" s="351" t="str">
        <f t="shared" si="3"/>
        <v>Gastos_Gerais</v>
      </c>
      <c r="S908" s="351" t="str">
        <f>IF(D908="","",IF(OR(D908=Plano!$A$1,D908=Plano!$B$1),"entrada","saída"))</f>
        <v>saída</v>
      </c>
      <c r="T908" s="334" t="s">
        <v>1059</v>
      </c>
      <c r="U908" s="334">
        <v>135</v>
      </c>
      <c r="V908" s="269"/>
      <c r="W908" s="269"/>
    </row>
    <row r="909" spans="1:23" ht="69.75" customHeight="1" x14ac:dyDescent="0.2">
      <c r="A909" s="277">
        <f t="shared" si="0"/>
        <v>905</v>
      </c>
      <c r="B909" s="278">
        <v>44249</v>
      </c>
      <c r="C909" s="256">
        <v>44228</v>
      </c>
      <c r="D909" s="255" t="s">
        <v>88</v>
      </c>
      <c r="E909" s="255" t="s">
        <v>194</v>
      </c>
      <c r="F909" s="258">
        <v>2416.0500000000002</v>
      </c>
      <c r="G909" s="255" t="s">
        <v>1260</v>
      </c>
      <c r="H909" s="255" t="s">
        <v>114</v>
      </c>
      <c r="I909" s="252" t="s">
        <v>532</v>
      </c>
      <c r="J909" s="252" t="s">
        <v>1261</v>
      </c>
      <c r="K909" s="255" t="s">
        <v>560</v>
      </c>
      <c r="L909" s="252" t="s">
        <v>1016</v>
      </c>
      <c r="M909" s="252">
        <v>385946</v>
      </c>
      <c r="N909" s="348">
        <v>44256</v>
      </c>
      <c r="O909" s="329" t="s">
        <v>67</v>
      </c>
      <c r="P909" s="386">
        <f t="shared" ref="P909:Q909" si="906">IF(B909=0,0,IF(YEAR(B909)=$Q$1,MONTH(B909)-$P$1+1,(YEAR(B909)-$Q$1)*12-$P$1+1+MONTH(B909)))</f>
        <v>2</v>
      </c>
      <c r="Q909" s="330">
        <f t="shared" si="906"/>
        <v>2</v>
      </c>
      <c r="R909" s="351" t="str">
        <f t="shared" si="3"/>
        <v>Gastos_com_Pessoal</v>
      </c>
      <c r="S909" s="351" t="str">
        <f>IF(D909="","",IF(OR(D909=Plano!$A$1,D909=Plano!$B$1),"entrada","saída"))</f>
        <v>saída</v>
      </c>
      <c r="T909" s="334" t="s">
        <v>114</v>
      </c>
      <c r="U909" s="334" t="s">
        <v>114</v>
      </c>
      <c r="V909" s="269"/>
      <c r="W909" s="269"/>
    </row>
    <row r="910" spans="1:23" ht="69.75" customHeight="1" x14ac:dyDescent="0.2">
      <c r="A910" s="277">
        <f t="shared" si="0"/>
        <v>906</v>
      </c>
      <c r="B910" s="278">
        <v>44249</v>
      </c>
      <c r="C910" s="256">
        <v>44228</v>
      </c>
      <c r="D910" s="255" t="s">
        <v>88</v>
      </c>
      <c r="E910" s="255" t="s">
        <v>194</v>
      </c>
      <c r="F910" s="258">
        <v>3955.2</v>
      </c>
      <c r="G910" s="255" t="s">
        <v>1609</v>
      </c>
      <c r="H910" s="255" t="s">
        <v>114</v>
      </c>
      <c r="I910" s="252" t="s">
        <v>532</v>
      </c>
      <c r="J910" s="252" t="s">
        <v>1261</v>
      </c>
      <c r="K910" s="255" t="s">
        <v>560</v>
      </c>
      <c r="L910" s="252" t="s">
        <v>1016</v>
      </c>
      <c r="M910" s="252">
        <v>367841</v>
      </c>
      <c r="N910" s="348">
        <v>44256</v>
      </c>
      <c r="O910" s="329" t="s">
        <v>67</v>
      </c>
      <c r="P910" s="386">
        <f t="shared" ref="P910:Q910" si="907">IF(B910=0,0,IF(YEAR(B910)=$Q$1,MONTH(B910)-$P$1+1,(YEAR(B910)-$Q$1)*12-$P$1+1+MONTH(B910)))</f>
        <v>2</v>
      </c>
      <c r="Q910" s="330">
        <f t="shared" si="907"/>
        <v>2</v>
      </c>
      <c r="R910" s="351" t="str">
        <f t="shared" si="3"/>
        <v>Gastos_com_Pessoal</v>
      </c>
      <c r="S910" s="351" t="str">
        <f>IF(D910="","",IF(OR(D910=Plano!$A$1,D910=Plano!$B$1),"entrada","saída"))</f>
        <v>saída</v>
      </c>
      <c r="T910" s="334" t="s">
        <v>114</v>
      </c>
      <c r="U910" s="334" t="s">
        <v>114</v>
      </c>
      <c r="V910" s="269"/>
      <c r="W910" s="269"/>
    </row>
    <row r="911" spans="1:23" ht="69.75" customHeight="1" x14ac:dyDescent="0.2">
      <c r="A911" s="277">
        <f t="shared" si="0"/>
        <v>907</v>
      </c>
      <c r="B911" s="278">
        <v>44249</v>
      </c>
      <c r="C911" s="256">
        <v>44256</v>
      </c>
      <c r="D911" s="255" t="s">
        <v>88</v>
      </c>
      <c r="E911" s="255" t="s">
        <v>192</v>
      </c>
      <c r="F911" s="258">
        <v>497.48</v>
      </c>
      <c r="G911" s="252" t="s">
        <v>3589</v>
      </c>
      <c r="H911" s="255" t="s">
        <v>114</v>
      </c>
      <c r="I911" s="252" t="s">
        <v>3590</v>
      </c>
      <c r="J911" s="252" t="s">
        <v>3591</v>
      </c>
      <c r="K911" s="255" t="s">
        <v>560</v>
      </c>
      <c r="L911" s="252" t="s">
        <v>1016</v>
      </c>
      <c r="M911" s="252" t="s">
        <v>3592</v>
      </c>
      <c r="N911" s="348">
        <v>44249</v>
      </c>
      <c r="O911" s="329" t="s">
        <v>67</v>
      </c>
      <c r="P911" s="386">
        <f t="shared" ref="P911:Q911" si="908">IF(B911=0,0,IF(YEAR(B911)=$Q$1,MONTH(B911)-$P$1+1,(YEAR(B911)-$Q$1)*12-$P$1+1+MONTH(B911)))</f>
        <v>2</v>
      </c>
      <c r="Q911" s="330">
        <f t="shared" si="908"/>
        <v>3</v>
      </c>
      <c r="R911" s="351" t="str">
        <f t="shared" si="3"/>
        <v>Gastos_com_Pessoal</v>
      </c>
      <c r="S911" s="351" t="str">
        <f>IF(D911="","",IF(OR(D911=Plano!$A$1,D911=Plano!$B$1),"entrada","saída"))</f>
        <v>saída</v>
      </c>
      <c r="T911" s="334" t="s">
        <v>114</v>
      </c>
      <c r="U911" s="334" t="s">
        <v>114</v>
      </c>
      <c r="V911" s="269"/>
      <c r="W911" s="269"/>
    </row>
    <row r="912" spans="1:23" ht="69.75" customHeight="1" x14ac:dyDescent="0.2">
      <c r="A912" s="277">
        <f t="shared" si="0"/>
        <v>908</v>
      </c>
      <c r="B912" s="278">
        <v>44249</v>
      </c>
      <c r="C912" s="256">
        <v>44256</v>
      </c>
      <c r="D912" s="255" t="s">
        <v>88</v>
      </c>
      <c r="E912" s="255" t="s">
        <v>192</v>
      </c>
      <c r="F912" s="258">
        <v>290.74</v>
      </c>
      <c r="G912" s="252" t="s">
        <v>3589</v>
      </c>
      <c r="H912" s="255" t="s">
        <v>114</v>
      </c>
      <c r="I912" s="252" t="s">
        <v>1032</v>
      </c>
      <c r="J912" s="252" t="s">
        <v>3161</v>
      </c>
      <c r="K912" s="255" t="s">
        <v>560</v>
      </c>
      <c r="L912" s="252" t="s">
        <v>1016</v>
      </c>
      <c r="M912" s="252" t="s">
        <v>3593</v>
      </c>
      <c r="N912" s="348">
        <v>44251</v>
      </c>
      <c r="O912" s="329" t="s">
        <v>67</v>
      </c>
      <c r="P912" s="386">
        <f t="shared" ref="P912:Q912" si="909">IF(B912=0,0,IF(YEAR(B912)=$Q$1,MONTH(B912)-$P$1+1,(YEAR(B912)-$Q$1)*12-$P$1+1+MONTH(B912)))</f>
        <v>2</v>
      </c>
      <c r="Q912" s="330">
        <f t="shared" si="909"/>
        <v>3</v>
      </c>
      <c r="R912" s="351" t="str">
        <f t="shared" si="3"/>
        <v>Gastos_com_Pessoal</v>
      </c>
      <c r="S912" s="351" t="str">
        <f>IF(D912="","",IF(OR(D912=Plano!$A$1,D912=Plano!$B$1),"entrada","saída"))</f>
        <v>saída</v>
      </c>
      <c r="T912" s="334" t="s">
        <v>114</v>
      </c>
      <c r="U912" s="334" t="s">
        <v>114</v>
      </c>
      <c r="V912" s="269"/>
      <c r="W912" s="269"/>
    </row>
    <row r="913" spans="1:23" ht="146.25" customHeight="1" x14ac:dyDescent="0.2">
      <c r="A913" s="277">
        <f t="shared" si="0"/>
        <v>909</v>
      </c>
      <c r="B913" s="278">
        <v>44249</v>
      </c>
      <c r="C913" s="256">
        <v>44166</v>
      </c>
      <c r="D913" s="255" t="s">
        <v>99</v>
      </c>
      <c r="E913" s="255" t="s">
        <v>312</v>
      </c>
      <c r="F913" s="258">
        <v>400</v>
      </c>
      <c r="G913" s="255" t="s">
        <v>3594</v>
      </c>
      <c r="H913" s="255" t="s">
        <v>125</v>
      </c>
      <c r="I913" s="250" t="s">
        <v>2678</v>
      </c>
      <c r="J913" s="252" t="s">
        <v>2679</v>
      </c>
      <c r="K913" s="255" t="s">
        <v>991</v>
      </c>
      <c r="L913" s="250" t="s">
        <v>3595</v>
      </c>
      <c r="M913" s="255">
        <v>297</v>
      </c>
      <c r="N913" s="278">
        <v>44246</v>
      </c>
      <c r="O913" s="329" t="s">
        <v>67</v>
      </c>
      <c r="P913" s="386">
        <f t="shared" ref="P913:Q913" si="910">IF(B913=0,0,IF(YEAR(B913)=$Q$1,MONTH(B913)-$P$1+1,(YEAR(B913)-$Q$1)*12-$P$1+1+MONTH(B913)))</f>
        <v>2</v>
      </c>
      <c r="Q913" s="330">
        <f t="shared" si="910"/>
        <v>0</v>
      </c>
      <c r="R913" s="351" t="str">
        <f t="shared" si="3"/>
        <v>Gastos_Gerais</v>
      </c>
      <c r="S913" s="351" t="str">
        <f>IF(D913="","",IF(OR(D913=Plano!$A$1,D913=Plano!$B$1),"entrada","saída"))</f>
        <v>saída</v>
      </c>
      <c r="T913" s="334" t="s">
        <v>994</v>
      </c>
      <c r="U913" s="334">
        <v>1085</v>
      </c>
      <c r="V913" s="269"/>
      <c r="W913" s="269"/>
    </row>
    <row r="914" spans="1:23" ht="218.25" customHeight="1" x14ac:dyDescent="0.2">
      <c r="A914" s="277">
        <f t="shared" si="0"/>
        <v>910</v>
      </c>
      <c r="B914" s="278">
        <v>44249</v>
      </c>
      <c r="C914" s="256">
        <v>44075</v>
      </c>
      <c r="D914" s="255" t="s">
        <v>99</v>
      </c>
      <c r="E914" s="255" t="s">
        <v>330</v>
      </c>
      <c r="F914" s="258">
        <v>420</v>
      </c>
      <c r="G914" s="252" t="s">
        <v>3596</v>
      </c>
      <c r="H914" s="255" t="s">
        <v>118</v>
      </c>
      <c r="I914" s="252" t="s">
        <v>3597</v>
      </c>
      <c r="J914" s="252" t="s">
        <v>3598</v>
      </c>
      <c r="K914" s="255" t="s">
        <v>991</v>
      </c>
      <c r="L914" s="250" t="s">
        <v>1029</v>
      </c>
      <c r="M914" s="255">
        <v>1085</v>
      </c>
      <c r="N914" s="278">
        <v>44246</v>
      </c>
      <c r="O914" s="329" t="s">
        <v>67</v>
      </c>
      <c r="P914" s="386">
        <f t="shared" ref="P914:Q914" si="911">IF(B914=0,0,IF(YEAR(B914)=$Q$1,MONTH(B914)-$P$1+1,(YEAR(B914)-$Q$1)*12-$P$1+1+MONTH(B914)))</f>
        <v>2</v>
      </c>
      <c r="Q914" s="330">
        <f t="shared" si="911"/>
        <v>-3</v>
      </c>
      <c r="R914" s="351" t="str">
        <f t="shared" si="3"/>
        <v>Gastos_Gerais</v>
      </c>
      <c r="S914" s="351" t="str">
        <f>IF(D914="","",IF(OR(D914=Plano!$A$1,D914=Plano!$B$1),"entrada","saída"))</f>
        <v>saída</v>
      </c>
      <c r="T914" s="334" t="s">
        <v>994</v>
      </c>
      <c r="U914" s="334">
        <v>615</v>
      </c>
      <c r="V914" s="269"/>
      <c r="W914" s="269"/>
    </row>
    <row r="915" spans="1:23" ht="69.75" customHeight="1" x14ac:dyDescent="0.2">
      <c r="A915" s="277">
        <f t="shared" si="0"/>
        <v>911</v>
      </c>
      <c r="B915" s="278">
        <v>44249</v>
      </c>
      <c r="C915" s="256">
        <v>44228</v>
      </c>
      <c r="D915" s="255" t="s">
        <v>99</v>
      </c>
      <c r="E915" s="255" t="s">
        <v>272</v>
      </c>
      <c r="F915" s="258">
        <v>10.45</v>
      </c>
      <c r="G915" s="255" t="s">
        <v>3599</v>
      </c>
      <c r="H915" s="255" t="s">
        <v>125</v>
      </c>
      <c r="I915" s="250" t="s">
        <v>949</v>
      </c>
      <c r="J915" s="255" t="s">
        <v>950</v>
      </c>
      <c r="K915" s="255" t="s">
        <v>951</v>
      </c>
      <c r="L915" s="250" t="s">
        <v>947</v>
      </c>
      <c r="M915" s="279" t="s">
        <v>114</v>
      </c>
      <c r="N915" s="278">
        <v>44249</v>
      </c>
      <c r="O915" s="329" t="s">
        <v>67</v>
      </c>
      <c r="P915" s="386">
        <f t="shared" ref="P915:Q915" si="912">IF(B915=0,0,IF(YEAR(B915)=$Q$1,MONTH(B915)-$P$1+1,(YEAR(B915)-$Q$1)*12-$P$1+1+MONTH(B915)))</f>
        <v>2</v>
      </c>
      <c r="Q915" s="330">
        <f t="shared" si="912"/>
        <v>2</v>
      </c>
      <c r="R915" s="351" t="str">
        <f t="shared" si="3"/>
        <v>Gastos_Gerais</v>
      </c>
      <c r="S915" s="351" t="str">
        <f>IF(D915="","",IF(OR(D915=Plano!$A$1,D915=Plano!$B$1),"entrada","saída"))</f>
        <v>saída</v>
      </c>
      <c r="T915" s="334" t="s">
        <v>114</v>
      </c>
      <c r="U915" s="334" t="s">
        <v>114</v>
      </c>
      <c r="V915" s="269"/>
      <c r="W915" s="269"/>
    </row>
    <row r="916" spans="1:23" ht="69.75" customHeight="1" x14ac:dyDescent="0.2">
      <c r="A916" s="277">
        <f t="shared" si="0"/>
        <v>912</v>
      </c>
      <c r="B916" s="278">
        <v>44249</v>
      </c>
      <c r="C916" s="256">
        <v>44228</v>
      </c>
      <c r="D916" s="255" t="s">
        <v>99</v>
      </c>
      <c r="E916" s="255" t="s">
        <v>272</v>
      </c>
      <c r="F916" s="258">
        <v>10.45</v>
      </c>
      <c r="G916" s="255" t="s">
        <v>3600</v>
      </c>
      <c r="H916" s="255" t="s">
        <v>118</v>
      </c>
      <c r="I916" s="250" t="s">
        <v>949</v>
      </c>
      <c r="J916" s="255" t="s">
        <v>950</v>
      </c>
      <c r="K916" s="255" t="s">
        <v>951</v>
      </c>
      <c r="L916" s="250" t="s">
        <v>947</v>
      </c>
      <c r="M916" s="279" t="s">
        <v>114</v>
      </c>
      <c r="N916" s="278">
        <v>44249</v>
      </c>
      <c r="O916" s="329" t="s">
        <v>67</v>
      </c>
      <c r="P916" s="386">
        <f t="shared" ref="P916:Q916" si="913">IF(B916=0,0,IF(YEAR(B916)=$Q$1,MONTH(B916)-$P$1+1,(YEAR(B916)-$Q$1)*12-$P$1+1+MONTH(B916)))</f>
        <v>2</v>
      </c>
      <c r="Q916" s="330">
        <f t="shared" si="913"/>
        <v>2</v>
      </c>
      <c r="R916" s="351" t="str">
        <f t="shared" si="3"/>
        <v>Gastos_Gerais</v>
      </c>
      <c r="S916" s="351" t="str">
        <f>IF(D916="","",IF(OR(D916=Plano!$A$1,D916=Plano!$B$1),"entrada","saída"))</f>
        <v>saída</v>
      </c>
      <c r="T916" s="334" t="s">
        <v>114</v>
      </c>
      <c r="U916" s="334" t="s">
        <v>114</v>
      </c>
      <c r="V916" s="269"/>
      <c r="W916" s="269"/>
    </row>
    <row r="917" spans="1:23" ht="178.5" customHeight="1" x14ac:dyDescent="0.2">
      <c r="A917" s="277">
        <f t="shared" si="0"/>
        <v>913</v>
      </c>
      <c r="B917" s="278">
        <v>44249</v>
      </c>
      <c r="C917" s="256">
        <v>44105</v>
      </c>
      <c r="D917" s="255" t="s">
        <v>104</v>
      </c>
      <c r="E917" s="255" t="s">
        <v>104</v>
      </c>
      <c r="F917" s="251">
        <v>2827.55</v>
      </c>
      <c r="G917" s="250" t="s">
        <v>3601</v>
      </c>
      <c r="H917" s="255" t="s">
        <v>104</v>
      </c>
      <c r="I917" s="250" t="s">
        <v>3602</v>
      </c>
      <c r="J917" s="255" t="s">
        <v>3603</v>
      </c>
      <c r="K917" s="255" t="s">
        <v>1015</v>
      </c>
      <c r="L917" s="250" t="s">
        <v>1029</v>
      </c>
      <c r="M917" s="279">
        <v>1048</v>
      </c>
      <c r="N917" s="278">
        <v>44221</v>
      </c>
      <c r="O917" s="329" t="s">
        <v>70</v>
      </c>
      <c r="P917" s="386">
        <f t="shared" ref="P917:Q917" si="914">IF(B917=0,0,IF(YEAR(B917)=$Q$1,MONTH(B917)-$P$1+1,(YEAR(B917)-$Q$1)*12-$P$1+1+MONTH(B917)))</f>
        <v>2</v>
      </c>
      <c r="Q917" s="330">
        <f t="shared" si="914"/>
        <v>-2</v>
      </c>
      <c r="R917" s="351" t="str">
        <f t="shared" si="3"/>
        <v>Gastos_custeados_por_captação</v>
      </c>
      <c r="S917" s="351" t="str">
        <f>IF(D917="","",IF(OR(D917=Plano!$A$1,D917=Plano!$B$1),"entrada","saída"))</f>
        <v>saída</v>
      </c>
      <c r="T917" s="334" t="s">
        <v>994</v>
      </c>
      <c r="U917" s="334">
        <v>844</v>
      </c>
      <c r="V917" s="269"/>
      <c r="W917" s="269"/>
    </row>
    <row r="918" spans="1:23" ht="179.25" customHeight="1" x14ac:dyDescent="0.2">
      <c r="A918" s="277">
        <f t="shared" si="0"/>
        <v>914</v>
      </c>
      <c r="B918" s="278">
        <v>44249</v>
      </c>
      <c r="C918" s="256">
        <v>44228</v>
      </c>
      <c r="D918" s="255" t="s">
        <v>104</v>
      </c>
      <c r="E918" s="255" t="s">
        <v>104</v>
      </c>
      <c r="F918" s="258">
        <v>10290</v>
      </c>
      <c r="G918" s="255" t="s">
        <v>3604</v>
      </c>
      <c r="H918" s="255" t="s">
        <v>104</v>
      </c>
      <c r="I918" s="250" t="s">
        <v>3605</v>
      </c>
      <c r="J918" s="255" t="s">
        <v>3606</v>
      </c>
      <c r="K918" s="252" t="s">
        <v>1015</v>
      </c>
      <c r="L918" s="250" t="s">
        <v>1016</v>
      </c>
      <c r="M918" s="279">
        <v>404.2</v>
      </c>
      <c r="N918" s="278">
        <v>44246</v>
      </c>
      <c r="O918" s="329" t="s">
        <v>70</v>
      </c>
      <c r="P918" s="386">
        <f t="shared" ref="P918:Q918" si="915">IF(B918=0,0,IF(YEAR(B918)=$Q$1,MONTH(B918)-$P$1+1,(YEAR(B918)-$Q$1)*12-$P$1+1+MONTH(B918)))</f>
        <v>2</v>
      </c>
      <c r="Q918" s="330">
        <f t="shared" si="915"/>
        <v>2</v>
      </c>
      <c r="R918" s="351" t="str">
        <f t="shared" si="3"/>
        <v>Gastos_custeados_por_captação</v>
      </c>
      <c r="S918" s="351" t="str">
        <f>IF(D918="","",IF(OR(D918=Plano!$A$1,D918=Plano!$B$1),"entrada","saída"))</f>
        <v>saída</v>
      </c>
      <c r="T918" s="334" t="s">
        <v>994</v>
      </c>
      <c r="U918" s="334">
        <v>1330</v>
      </c>
      <c r="V918" s="269"/>
      <c r="W918" s="269"/>
    </row>
    <row r="919" spans="1:23" ht="197.25" customHeight="1" x14ac:dyDescent="0.2">
      <c r="A919" s="277">
        <f t="shared" si="0"/>
        <v>915</v>
      </c>
      <c r="B919" s="278">
        <v>44249</v>
      </c>
      <c r="C919" s="256">
        <v>44228</v>
      </c>
      <c r="D919" s="255" t="s">
        <v>104</v>
      </c>
      <c r="E919" s="255" t="s">
        <v>104</v>
      </c>
      <c r="F919" s="257">
        <v>139.32</v>
      </c>
      <c r="G919" s="255" t="s">
        <v>3607</v>
      </c>
      <c r="H919" s="255" t="s">
        <v>104</v>
      </c>
      <c r="I919" s="252" t="s">
        <v>3608</v>
      </c>
      <c r="J919" s="252" t="s">
        <v>3609</v>
      </c>
      <c r="K919" s="252" t="s">
        <v>1015</v>
      </c>
      <c r="L919" s="252" t="s">
        <v>1016</v>
      </c>
      <c r="M919" s="255" t="s">
        <v>3610</v>
      </c>
      <c r="N919" s="278">
        <v>44255</v>
      </c>
      <c r="O919" s="329" t="s">
        <v>68</v>
      </c>
      <c r="P919" s="386">
        <f t="shared" ref="P919:Q919" si="916">IF(B919=0,0,IF(YEAR(B919)=$Q$1,MONTH(B919)-$P$1+1,(YEAR(B919)-$Q$1)*12-$P$1+1+MONTH(B919)))</f>
        <v>2</v>
      </c>
      <c r="Q919" s="330">
        <f t="shared" si="916"/>
        <v>2</v>
      </c>
      <c r="R919" s="351" t="str">
        <f t="shared" si="3"/>
        <v>Gastos_custeados_por_captação</v>
      </c>
      <c r="S919" s="351" t="str">
        <f>IF(D919="","",IF(OR(D919=Plano!$A$1,D919=Plano!$B$1),"entrada","saída"))</f>
        <v>saída</v>
      </c>
      <c r="T919" s="334" t="s">
        <v>994</v>
      </c>
      <c r="U919" s="334">
        <v>1347</v>
      </c>
      <c r="V919" s="269"/>
      <c r="W919" s="269"/>
    </row>
    <row r="920" spans="1:23" ht="162.75" customHeight="1" x14ac:dyDescent="0.2">
      <c r="A920" s="277">
        <f t="shared" si="0"/>
        <v>916</v>
      </c>
      <c r="B920" s="278">
        <v>44250</v>
      </c>
      <c r="C920" s="256">
        <v>44105</v>
      </c>
      <c r="D920" s="255" t="s">
        <v>99</v>
      </c>
      <c r="E920" s="255" t="s">
        <v>224</v>
      </c>
      <c r="F920" s="257">
        <v>4018</v>
      </c>
      <c r="G920" s="255" t="s">
        <v>434</v>
      </c>
      <c r="H920" s="255" t="s">
        <v>123</v>
      </c>
      <c r="I920" s="252" t="s">
        <v>532</v>
      </c>
      <c r="J920" s="255" t="s">
        <v>1337</v>
      </c>
      <c r="K920" s="255" t="s">
        <v>560</v>
      </c>
      <c r="L920" s="252" t="s">
        <v>1016</v>
      </c>
      <c r="M920" s="252">
        <v>235856</v>
      </c>
      <c r="N920" s="348">
        <v>44252</v>
      </c>
      <c r="O920" s="329" t="s">
        <v>67</v>
      </c>
      <c r="P920" s="386">
        <f t="shared" ref="P920:Q920" si="917">IF(B920=0,0,IF(YEAR(B920)=$Q$1,MONTH(B920)-$P$1+1,(YEAR(B920)-$Q$1)*12-$P$1+1+MONTH(B920)))</f>
        <v>2</v>
      </c>
      <c r="Q920" s="330">
        <f t="shared" si="917"/>
        <v>-2</v>
      </c>
      <c r="R920" s="351" t="str">
        <f t="shared" si="3"/>
        <v>Gastos_Gerais</v>
      </c>
      <c r="S920" s="351" t="str">
        <f>IF(D920="","",IF(OR(D920=Plano!$A$1,D920=Plano!$B$1),"entrada","saída"))</f>
        <v>saída</v>
      </c>
      <c r="T920" s="334" t="s">
        <v>1059</v>
      </c>
      <c r="U920" s="334">
        <v>528</v>
      </c>
      <c r="V920" s="269"/>
      <c r="W920" s="269"/>
    </row>
    <row r="921" spans="1:23" ht="220.5" customHeight="1" x14ac:dyDescent="0.2">
      <c r="A921" s="277">
        <f t="shared" si="0"/>
        <v>917</v>
      </c>
      <c r="B921" s="278">
        <v>44250</v>
      </c>
      <c r="C921" s="256">
        <v>44197</v>
      </c>
      <c r="D921" s="255" t="s">
        <v>99</v>
      </c>
      <c r="E921" s="255" t="s">
        <v>356</v>
      </c>
      <c r="F921" s="258">
        <v>136.44999999999999</v>
      </c>
      <c r="G921" s="255" t="s">
        <v>3611</v>
      </c>
      <c r="H921" s="255" t="s">
        <v>125</v>
      </c>
      <c r="I921" s="252" t="s">
        <v>2161</v>
      </c>
      <c r="J921" s="252" t="s">
        <v>3612</v>
      </c>
      <c r="K921" s="255" t="s">
        <v>560</v>
      </c>
      <c r="L921" s="250" t="s">
        <v>1016</v>
      </c>
      <c r="M921" s="255">
        <v>294437</v>
      </c>
      <c r="N921" s="278">
        <v>44222</v>
      </c>
      <c r="O921" s="329" t="s">
        <v>67</v>
      </c>
      <c r="P921" s="386">
        <f t="shared" ref="P921:Q921" si="918">IF(B921=0,0,IF(YEAR(B921)=$Q$1,MONTH(B921)-$P$1+1,(YEAR(B921)-$Q$1)*12-$P$1+1+MONTH(B921)))</f>
        <v>2</v>
      </c>
      <c r="Q921" s="330">
        <f t="shared" si="918"/>
        <v>1</v>
      </c>
      <c r="R921" s="351" t="str">
        <f t="shared" si="3"/>
        <v>Gastos_Gerais</v>
      </c>
      <c r="S921" s="351" t="str">
        <f>IF(D921="","",IF(OR(D921=Plano!$A$1,D921=Plano!$B$1),"entrada","saída"))</f>
        <v>saída</v>
      </c>
      <c r="T921" s="334" t="s">
        <v>1011</v>
      </c>
      <c r="U921" s="334">
        <v>1288</v>
      </c>
      <c r="V921" s="269"/>
      <c r="W921" s="269"/>
    </row>
    <row r="922" spans="1:23" ht="233.25" customHeight="1" x14ac:dyDescent="0.2">
      <c r="A922" s="277">
        <f t="shared" si="0"/>
        <v>918</v>
      </c>
      <c r="B922" s="278">
        <v>44250</v>
      </c>
      <c r="C922" s="256">
        <v>44197</v>
      </c>
      <c r="D922" s="255" t="s">
        <v>99</v>
      </c>
      <c r="E922" s="255" t="s">
        <v>266</v>
      </c>
      <c r="F922" s="258">
        <v>10257.09</v>
      </c>
      <c r="G922" s="252" t="s">
        <v>3613</v>
      </c>
      <c r="H922" s="255" t="s">
        <v>131</v>
      </c>
      <c r="I922" s="252" t="s">
        <v>1447</v>
      </c>
      <c r="J922" s="252" t="s">
        <v>3025</v>
      </c>
      <c r="K922" s="255" t="s">
        <v>991</v>
      </c>
      <c r="L922" s="250" t="s">
        <v>1016</v>
      </c>
      <c r="M922" s="255" t="s">
        <v>3614</v>
      </c>
      <c r="N922" s="278">
        <v>44249</v>
      </c>
      <c r="O922" s="329" t="s">
        <v>67</v>
      </c>
      <c r="P922" s="386">
        <f t="shared" ref="P922:Q922" si="919">IF(B922=0,0,IF(YEAR(B922)=$Q$1,MONTH(B922)-$P$1+1,(YEAR(B922)-$Q$1)*12-$P$1+1+MONTH(B922)))</f>
        <v>2</v>
      </c>
      <c r="Q922" s="330">
        <f t="shared" si="919"/>
        <v>1</v>
      </c>
      <c r="R922" s="351" t="str">
        <f t="shared" si="3"/>
        <v>Gastos_Gerais</v>
      </c>
      <c r="S922" s="351" t="str">
        <f>IF(D922="","",IF(OR(D922=Plano!$A$1,D922=Plano!$B$1),"entrada","saída"))</f>
        <v>saída</v>
      </c>
      <c r="T922" s="334" t="s">
        <v>994</v>
      </c>
      <c r="U922" s="334">
        <v>1108</v>
      </c>
      <c r="V922" s="269"/>
      <c r="W922" s="269"/>
    </row>
    <row r="923" spans="1:23" ht="211.5" customHeight="1" x14ac:dyDescent="0.2">
      <c r="A923" s="277">
        <f t="shared" si="0"/>
        <v>919</v>
      </c>
      <c r="B923" s="278">
        <v>44250</v>
      </c>
      <c r="C923" s="256">
        <v>44228</v>
      </c>
      <c r="D923" s="255" t="s">
        <v>99</v>
      </c>
      <c r="E923" s="255" t="s">
        <v>312</v>
      </c>
      <c r="F923" s="258">
        <v>600</v>
      </c>
      <c r="G923" s="255" t="s">
        <v>3615</v>
      </c>
      <c r="H923" s="255" t="s">
        <v>125</v>
      </c>
      <c r="I923" s="252" t="s">
        <v>2678</v>
      </c>
      <c r="J923" s="252" t="s">
        <v>2679</v>
      </c>
      <c r="K923" s="255" t="s">
        <v>991</v>
      </c>
      <c r="L923" s="250" t="s">
        <v>3595</v>
      </c>
      <c r="M923" s="255">
        <v>298</v>
      </c>
      <c r="N923" s="278">
        <v>44250</v>
      </c>
      <c r="O923" s="329" t="s">
        <v>67</v>
      </c>
      <c r="P923" s="386">
        <f t="shared" ref="P923:Q923" si="920">IF(B923=0,0,IF(YEAR(B923)=$Q$1,MONTH(B923)-$P$1+1,(YEAR(B923)-$Q$1)*12-$P$1+1+MONTH(B923)))</f>
        <v>2</v>
      </c>
      <c r="Q923" s="330">
        <f t="shared" si="920"/>
        <v>2</v>
      </c>
      <c r="R923" s="351" t="str">
        <f t="shared" si="3"/>
        <v>Gastos_Gerais</v>
      </c>
      <c r="S923" s="351" t="str">
        <f>IF(D923="","",IF(OR(D923=Plano!$A$1,D923=Plano!$B$1),"entrada","saída"))</f>
        <v>saída</v>
      </c>
      <c r="T923" s="334" t="s">
        <v>994</v>
      </c>
      <c r="U923" s="334">
        <v>1337</v>
      </c>
      <c r="V923" s="269"/>
      <c r="W923" s="269"/>
    </row>
    <row r="924" spans="1:23" ht="69.75" customHeight="1" x14ac:dyDescent="0.2">
      <c r="A924" s="277">
        <f t="shared" si="0"/>
        <v>920</v>
      </c>
      <c r="B924" s="278">
        <v>44250</v>
      </c>
      <c r="C924" s="256">
        <v>44228</v>
      </c>
      <c r="D924" s="255" t="s">
        <v>99</v>
      </c>
      <c r="E924" s="255" t="s">
        <v>272</v>
      </c>
      <c r="F924" s="258">
        <v>10.45</v>
      </c>
      <c r="G924" s="255" t="s">
        <v>3616</v>
      </c>
      <c r="H924" s="255" t="s">
        <v>131</v>
      </c>
      <c r="I924" s="250" t="s">
        <v>949</v>
      </c>
      <c r="J924" s="255" t="s">
        <v>950</v>
      </c>
      <c r="K924" s="255" t="s">
        <v>951</v>
      </c>
      <c r="L924" s="250" t="s">
        <v>947</v>
      </c>
      <c r="M924" s="279" t="s">
        <v>114</v>
      </c>
      <c r="N924" s="278">
        <v>44250</v>
      </c>
      <c r="O924" s="329" t="s">
        <v>67</v>
      </c>
      <c r="P924" s="386">
        <f t="shared" ref="P924:Q924" si="921">IF(B924=0,0,IF(YEAR(B924)=$Q$1,MONTH(B924)-$P$1+1,(YEAR(B924)-$Q$1)*12-$P$1+1+MONTH(B924)))</f>
        <v>2</v>
      </c>
      <c r="Q924" s="330">
        <f t="shared" si="921"/>
        <v>2</v>
      </c>
      <c r="R924" s="351" t="str">
        <f t="shared" si="3"/>
        <v>Gastos_Gerais</v>
      </c>
      <c r="S924" s="351" t="str">
        <f>IF(D924="","",IF(OR(D924=Plano!$A$1,D924=Plano!$B$1),"entrada","saída"))</f>
        <v>saída</v>
      </c>
      <c r="T924" s="334" t="s">
        <v>114</v>
      </c>
      <c r="U924" s="334" t="s">
        <v>114</v>
      </c>
      <c r="V924" s="269"/>
      <c r="W924" s="269"/>
    </row>
    <row r="925" spans="1:23" ht="69.75" customHeight="1" x14ac:dyDescent="0.2">
      <c r="A925" s="277">
        <f t="shared" si="0"/>
        <v>921</v>
      </c>
      <c r="B925" s="278">
        <v>44250</v>
      </c>
      <c r="C925" s="256">
        <v>44228</v>
      </c>
      <c r="D925" s="255" t="s">
        <v>99</v>
      </c>
      <c r="E925" s="255" t="s">
        <v>272</v>
      </c>
      <c r="F925" s="258">
        <v>10.45</v>
      </c>
      <c r="G925" s="255" t="s">
        <v>3617</v>
      </c>
      <c r="H925" s="255" t="s">
        <v>125</v>
      </c>
      <c r="I925" s="250" t="s">
        <v>949</v>
      </c>
      <c r="J925" s="255" t="s">
        <v>950</v>
      </c>
      <c r="K925" s="255" t="s">
        <v>951</v>
      </c>
      <c r="L925" s="250" t="s">
        <v>947</v>
      </c>
      <c r="M925" s="279" t="s">
        <v>114</v>
      </c>
      <c r="N925" s="278">
        <v>44250</v>
      </c>
      <c r="O925" s="329" t="s">
        <v>67</v>
      </c>
      <c r="P925" s="386">
        <f t="shared" ref="P925:Q925" si="922">IF(B925=0,0,IF(YEAR(B925)=$Q$1,MONTH(B925)-$P$1+1,(YEAR(B925)-$Q$1)*12-$P$1+1+MONTH(B925)))</f>
        <v>2</v>
      </c>
      <c r="Q925" s="330">
        <f t="shared" si="922"/>
        <v>2</v>
      </c>
      <c r="R925" s="351" t="str">
        <f t="shared" si="3"/>
        <v>Gastos_Gerais</v>
      </c>
      <c r="S925" s="351" t="str">
        <f>IF(D925="","",IF(OR(D925=Plano!$A$1,D925=Plano!$B$1),"entrada","saída"))</f>
        <v>saída</v>
      </c>
      <c r="T925" s="334" t="s">
        <v>114</v>
      </c>
      <c r="U925" s="334" t="s">
        <v>114</v>
      </c>
      <c r="V925" s="269"/>
      <c r="W925" s="269"/>
    </row>
    <row r="926" spans="1:23" ht="162.75" customHeight="1" x14ac:dyDescent="0.2">
      <c r="A926" s="277">
        <f t="shared" si="0"/>
        <v>922</v>
      </c>
      <c r="B926" s="278">
        <v>44250</v>
      </c>
      <c r="C926" s="256">
        <v>44197</v>
      </c>
      <c r="D926" s="255" t="s">
        <v>104</v>
      </c>
      <c r="E926" s="255" t="s">
        <v>104</v>
      </c>
      <c r="F926" s="258">
        <v>2396.83</v>
      </c>
      <c r="G926" s="252" t="s">
        <v>3618</v>
      </c>
      <c r="H926" s="255" t="s">
        <v>104</v>
      </c>
      <c r="I926" s="252" t="s">
        <v>3619</v>
      </c>
      <c r="J926" s="252" t="s">
        <v>3620</v>
      </c>
      <c r="K926" s="255" t="s">
        <v>1015</v>
      </c>
      <c r="L926" s="250" t="s">
        <v>1016</v>
      </c>
      <c r="M926" s="255" t="s">
        <v>1600</v>
      </c>
      <c r="N926" s="278">
        <v>44251</v>
      </c>
      <c r="O926" s="329" t="s">
        <v>70</v>
      </c>
      <c r="P926" s="386">
        <f t="shared" ref="P926:Q926" si="923">IF(B926=0,0,IF(YEAR(B926)=$Q$1,MONTH(B926)-$P$1+1,(YEAR(B926)-$Q$1)*12-$P$1+1+MONTH(B926)))</f>
        <v>2</v>
      </c>
      <c r="Q926" s="330">
        <f t="shared" si="923"/>
        <v>1</v>
      </c>
      <c r="R926" s="351" t="str">
        <f t="shared" si="3"/>
        <v>Gastos_custeados_por_captação</v>
      </c>
      <c r="S926" s="351" t="str">
        <f>IF(D926="","",IF(OR(D926=Plano!$A$1,D926=Plano!$B$1),"entrada","saída"))</f>
        <v>saída</v>
      </c>
      <c r="T926" s="334" t="s">
        <v>994</v>
      </c>
      <c r="U926" s="334">
        <v>985</v>
      </c>
      <c r="V926" s="269"/>
      <c r="W926" s="269"/>
    </row>
    <row r="927" spans="1:23" ht="136.5" customHeight="1" x14ac:dyDescent="0.2">
      <c r="A927" s="277">
        <f t="shared" si="0"/>
        <v>923</v>
      </c>
      <c r="B927" s="278">
        <v>44251</v>
      </c>
      <c r="C927" s="256">
        <v>44228</v>
      </c>
      <c r="D927" s="255" t="s">
        <v>104</v>
      </c>
      <c r="E927" s="255" t="s">
        <v>104</v>
      </c>
      <c r="F927" s="257">
        <v>629.14</v>
      </c>
      <c r="G927" s="252" t="s">
        <v>3621</v>
      </c>
      <c r="H927" s="255" t="s">
        <v>104</v>
      </c>
      <c r="I927" s="250" t="s">
        <v>2197</v>
      </c>
      <c r="J927" s="252" t="s">
        <v>3622</v>
      </c>
      <c r="K927" s="255" t="s">
        <v>1015</v>
      </c>
      <c r="L927" s="250" t="s">
        <v>1016</v>
      </c>
      <c r="M927" s="255" t="s">
        <v>3623</v>
      </c>
      <c r="N927" s="278">
        <v>44250</v>
      </c>
      <c r="O927" s="329" t="s">
        <v>69</v>
      </c>
      <c r="P927" s="386">
        <f t="shared" ref="P927:Q927" si="924">IF(B927=0,0,IF(YEAR(B927)=$Q$1,MONTH(B927)-$P$1+1,(YEAR(B927)-$Q$1)*12-$P$1+1+MONTH(B927)))</f>
        <v>2</v>
      </c>
      <c r="Q927" s="330">
        <f t="shared" si="924"/>
        <v>2</v>
      </c>
      <c r="R927" s="351" t="str">
        <f t="shared" si="3"/>
        <v>Gastos_custeados_por_captação</v>
      </c>
      <c r="S927" s="351" t="str">
        <f>IF(D927="","",IF(OR(D927=Plano!$A$1,D927=Plano!$B$1),"entrada","saída"))</f>
        <v>saída</v>
      </c>
      <c r="T927" s="334" t="s">
        <v>1082</v>
      </c>
      <c r="U927" s="334">
        <v>1340</v>
      </c>
      <c r="V927" s="269"/>
      <c r="W927" s="269"/>
    </row>
    <row r="928" spans="1:23" ht="157.5" customHeight="1" x14ac:dyDescent="0.2">
      <c r="A928" s="277">
        <f t="shared" si="0"/>
        <v>924</v>
      </c>
      <c r="B928" s="278">
        <v>44251</v>
      </c>
      <c r="C928" s="249">
        <v>44136</v>
      </c>
      <c r="D928" s="255" t="s">
        <v>104</v>
      </c>
      <c r="E928" s="255" t="s">
        <v>104</v>
      </c>
      <c r="F928" s="258">
        <v>442.2</v>
      </c>
      <c r="G928" s="255" t="s">
        <v>3624</v>
      </c>
      <c r="H928" s="255" t="s">
        <v>104</v>
      </c>
      <c r="I928" s="250" t="s">
        <v>2197</v>
      </c>
      <c r="J928" s="252" t="s">
        <v>3622</v>
      </c>
      <c r="K928" s="255" t="s">
        <v>1015</v>
      </c>
      <c r="L928" s="250" t="s">
        <v>1016</v>
      </c>
      <c r="M928" s="255" t="s">
        <v>3625</v>
      </c>
      <c r="N928" s="278">
        <v>44250</v>
      </c>
      <c r="O928" s="329" t="s">
        <v>69</v>
      </c>
      <c r="P928" s="386">
        <f t="shared" ref="P928:Q928" si="925">IF(B928=0,0,IF(YEAR(B928)=$Q$1,MONTH(B928)-$P$1+1,(YEAR(B928)-$Q$1)*12-$P$1+1+MONTH(B928)))</f>
        <v>2</v>
      </c>
      <c r="Q928" s="330">
        <f t="shared" si="925"/>
        <v>-1</v>
      </c>
      <c r="R928" s="351" t="str">
        <f t="shared" si="3"/>
        <v>Gastos_custeados_por_captação</v>
      </c>
      <c r="S928" s="351" t="str">
        <f>IF(D928="","",IF(OR(D928=Plano!$A$1,D928=Plano!$B$1),"entrada","saída"))</f>
        <v>saída</v>
      </c>
      <c r="T928" s="334" t="s">
        <v>114</v>
      </c>
      <c r="U928" s="334" t="s">
        <v>114</v>
      </c>
      <c r="V928" s="269"/>
      <c r="W928" s="269"/>
    </row>
    <row r="929" spans="1:23" ht="69.75" customHeight="1" x14ac:dyDescent="0.2">
      <c r="A929" s="277">
        <f t="shared" si="0"/>
        <v>925</v>
      </c>
      <c r="B929" s="278">
        <v>44252</v>
      </c>
      <c r="C929" s="256">
        <v>44197</v>
      </c>
      <c r="D929" s="255" t="s">
        <v>99</v>
      </c>
      <c r="E929" s="255" t="s">
        <v>254</v>
      </c>
      <c r="F929" s="258">
        <v>-91.79</v>
      </c>
      <c r="G929" s="255" t="s">
        <v>3626</v>
      </c>
      <c r="H929" s="255" t="s">
        <v>115</v>
      </c>
      <c r="I929" s="250" t="s">
        <v>983</v>
      </c>
      <c r="J929" s="255" t="s">
        <v>850</v>
      </c>
      <c r="K929" s="255" t="s">
        <v>946</v>
      </c>
      <c r="L929" s="250" t="s">
        <v>947</v>
      </c>
      <c r="M929" s="255" t="s">
        <v>114</v>
      </c>
      <c r="N929" s="278">
        <v>44252</v>
      </c>
      <c r="O929" s="329" t="s">
        <v>67</v>
      </c>
      <c r="P929" s="386">
        <f t="shared" ref="P929:Q929" si="926">IF(B929=0,0,IF(YEAR(B929)=$Q$1,MONTH(B929)-$P$1+1,(YEAR(B929)-$Q$1)*12-$P$1+1+MONTH(B929)))</f>
        <v>2</v>
      </c>
      <c r="Q929" s="330">
        <f t="shared" si="926"/>
        <v>1</v>
      </c>
      <c r="R929" s="351" t="str">
        <f t="shared" si="3"/>
        <v>Gastos_Gerais</v>
      </c>
      <c r="S929" s="351" t="str">
        <f>IF(D929="","",IF(OR(D929=Plano!$A$1,D929=Plano!$B$1),"entrada","saída"))</f>
        <v>saída</v>
      </c>
      <c r="T929" s="334" t="s">
        <v>114</v>
      </c>
      <c r="U929" s="334" t="s">
        <v>114</v>
      </c>
      <c r="V929" s="269"/>
      <c r="W929" s="269"/>
    </row>
    <row r="930" spans="1:23" ht="69.75" customHeight="1" x14ac:dyDescent="0.2">
      <c r="A930" s="277">
        <f t="shared" si="0"/>
        <v>926</v>
      </c>
      <c r="B930" s="278">
        <v>44252</v>
      </c>
      <c r="C930" s="256">
        <v>44197</v>
      </c>
      <c r="D930" s="255" t="s">
        <v>99</v>
      </c>
      <c r="E930" s="255" t="s">
        <v>222</v>
      </c>
      <c r="F930" s="258">
        <v>-165.12</v>
      </c>
      <c r="G930" s="255" t="s">
        <v>3627</v>
      </c>
      <c r="H930" s="255" t="s">
        <v>115</v>
      </c>
      <c r="I930" s="250" t="s">
        <v>983</v>
      </c>
      <c r="J930" s="255" t="s">
        <v>850</v>
      </c>
      <c r="K930" s="255" t="s">
        <v>946</v>
      </c>
      <c r="L930" s="250" t="s">
        <v>947</v>
      </c>
      <c r="M930" s="255" t="s">
        <v>114</v>
      </c>
      <c r="N930" s="278">
        <v>44252</v>
      </c>
      <c r="O930" s="329" t="s">
        <v>67</v>
      </c>
      <c r="P930" s="386">
        <f t="shared" ref="P930:Q930" si="927">IF(B930=0,0,IF(YEAR(B930)=$Q$1,MONTH(B930)-$P$1+1,(YEAR(B930)-$Q$1)*12-$P$1+1+MONTH(B930)))</f>
        <v>2</v>
      </c>
      <c r="Q930" s="330">
        <f t="shared" si="927"/>
        <v>1</v>
      </c>
      <c r="R930" s="351" t="str">
        <f t="shared" si="3"/>
        <v>Gastos_Gerais</v>
      </c>
      <c r="S930" s="351" t="str">
        <f>IF(D930="","",IF(OR(D930=Plano!$A$1,D930=Plano!$B$1),"entrada","saída"))</f>
        <v>saída</v>
      </c>
      <c r="T930" s="334" t="s">
        <v>114</v>
      </c>
      <c r="U930" s="334" t="s">
        <v>114</v>
      </c>
      <c r="V930" s="269"/>
      <c r="W930" s="269"/>
    </row>
    <row r="931" spans="1:23" ht="69.75" customHeight="1" x14ac:dyDescent="0.2">
      <c r="A931" s="277">
        <f t="shared" si="0"/>
        <v>927</v>
      </c>
      <c r="B931" s="278">
        <v>44252</v>
      </c>
      <c r="C931" s="256">
        <v>44197</v>
      </c>
      <c r="D931" s="255" t="s">
        <v>57</v>
      </c>
      <c r="E931" s="255" t="s">
        <v>57</v>
      </c>
      <c r="F931" s="258">
        <v>415.84</v>
      </c>
      <c r="G931" s="255" t="s">
        <v>3628</v>
      </c>
      <c r="H931" s="255" t="s">
        <v>114</v>
      </c>
      <c r="I931" s="250" t="s">
        <v>3181</v>
      </c>
      <c r="J931" s="255" t="s">
        <v>850</v>
      </c>
      <c r="K931" s="255" t="s">
        <v>946</v>
      </c>
      <c r="L931" s="250" t="s">
        <v>947</v>
      </c>
      <c r="M931" s="255" t="s">
        <v>114</v>
      </c>
      <c r="N931" s="278">
        <v>44252</v>
      </c>
      <c r="O931" s="329" t="s">
        <v>67</v>
      </c>
      <c r="P931" s="386">
        <f t="shared" ref="P931:Q931" si="928">IF(B931=0,0,IF(YEAR(B931)=$Q$1,MONTH(B931)-$P$1+1,(YEAR(B931)-$Q$1)*12-$P$1+1+MONTH(B931)))</f>
        <v>2</v>
      </c>
      <c r="Q931" s="330">
        <f t="shared" si="928"/>
        <v>1</v>
      </c>
      <c r="R931" s="351" t="str">
        <f t="shared" si="3"/>
        <v>Transferência_para_Reserva_de_Recursos</v>
      </c>
      <c r="S931" s="351" t="str">
        <f>IF(D931="","",IF(OR(D931=Plano!$A$1,D931=Plano!$B$1),"entrada","saída"))</f>
        <v>saída</v>
      </c>
      <c r="T931" s="334" t="s">
        <v>114</v>
      </c>
      <c r="U931" s="334" t="s">
        <v>114</v>
      </c>
      <c r="V931" s="269"/>
      <c r="W931" s="269"/>
    </row>
    <row r="932" spans="1:23" ht="152.25" customHeight="1" x14ac:dyDescent="0.2">
      <c r="A932" s="277">
        <f t="shared" si="0"/>
        <v>928</v>
      </c>
      <c r="B932" s="278">
        <v>44252</v>
      </c>
      <c r="C932" s="256">
        <v>44197</v>
      </c>
      <c r="D932" s="255" t="s">
        <v>99</v>
      </c>
      <c r="E932" s="255" t="s">
        <v>254</v>
      </c>
      <c r="F932" s="257">
        <v>435</v>
      </c>
      <c r="G932" s="255" t="s">
        <v>445</v>
      </c>
      <c r="H932" s="255" t="s">
        <v>115</v>
      </c>
      <c r="I932" s="250" t="s">
        <v>1573</v>
      </c>
      <c r="J932" s="252" t="s">
        <v>447</v>
      </c>
      <c r="K932" s="255" t="s">
        <v>991</v>
      </c>
      <c r="L932" s="250" t="s">
        <v>3193</v>
      </c>
      <c r="M932" s="255">
        <v>21092</v>
      </c>
      <c r="N932" s="278">
        <v>44238</v>
      </c>
      <c r="O932" s="329" t="s">
        <v>67</v>
      </c>
      <c r="P932" s="386">
        <f t="shared" ref="P932:Q932" si="929">IF(B932=0,0,IF(YEAR(B932)=$Q$1,MONTH(B932)-$P$1+1,(YEAR(B932)-$Q$1)*12-$P$1+1+MONTH(B932)))</f>
        <v>2</v>
      </c>
      <c r="Q932" s="330">
        <f t="shared" si="929"/>
        <v>1</v>
      </c>
      <c r="R932" s="351" t="str">
        <f t="shared" si="3"/>
        <v>Gastos_Gerais</v>
      </c>
      <c r="S932" s="351" t="str">
        <f>IF(D932="","",IF(OR(D932=Plano!$A$1,D932=Plano!$B$1),"entrada","saída"))</f>
        <v>saída</v>
      </c>
      <c r="T932" s="334" t="s">
        <v>1059</v>
      </c>
      <c r="U932" s="334">
        <v>1117</v>
      </c>
      <c r="V932" s="269"/>
      <c r="W932" s="269"/>
    </row>
    <row r="933" spans="1:23" ht="69.75" customHeight="1" x14ac:dyDescent="0.2">
      <c r="A933" s="277">
        <f t="shared" si="0"/>
        <v>929</v>
      </c>
      <c r="B933" s="278">
        <v>44252</v>
      </c>
      <c r="C933" s="256">
        <v>44228</v>
      </c>
      <c r="D933" s="255" t="s">
        <v>99</v>
      </c>
      <c r="E933" s="255" t="s">
        <v>216</v>
      </c>
      <c r="F933" s="258">
        <v>122.03</v>
      </c>
      <c r="G933" s="255" t="s">
        <v>3629</v>
      </c>
      <c r="H933" s="255" t="s">
        <v>129</v>
      </c>
      <c r="I933" s="252" t="s">
        <v>513</v>
      </c>
      <c r="J933" s="252" t="s">
        <v>514</v>
      </c>
      <c r="K933" s="255" t="s">
        <v>696</v>
      </c>
      <c r="L933" s="250" t="s">
        <v>1016</v>
      </c>
      <c r="M933" s="255">
        <v>54808355</v>
      </c>
      <c r="N933" s="278">
        <v>44248</v>
      </c>
      <c r="O933" s="329" t="s">
        <v>67</v>
      </c>
      <c r="P933" s="386">
        <f t="shared" ref="P933:Q933" si="930">IF(B933=0,0,IF(YEAR(B933)=$Q$1,MONTH(B933)-$P$1+1,(YEAR(B933)-$Q$1)*12-$P$1+1+MONTH(B933)))</f>
        <v>2</v>
      </c>
      <c r="Q933" s="330">
        <f t="shared" si="930"/>
        <v>2</v>
      </c>
      <c r="R933" s="351" t="str">
        <f t="shared" si="3"/>
        <v>Gastos_Gerais</v>
      </c>
      <c r="S933" s="351" t="str">
        <f>IF(D933="","",IF(OR(D933=Plano!$A$1,D933=Plano!$B$1),"entrada","saída"))</f>
        <v>saída</v>
      </c>
      <c r="T933" s="334" t="s">
        <v>114</v>
      </c>
      <c r="U933" s="334" t="s">
        <v>114</v>
      </c>
      <c r="V933" s="269"/>
      <c r="W933" s="269"/>
    </row>
    <row r="934" spans="1:23" ht="69.75" customHeight="1" x14ac:dyDescent="0.2">
      <c r="A934" s="277">
        <f t="shared" si="0"/>
        <v>930</v>
      </c>
      <c r="B934" s="278">
        <v>44252</v>
      </c>
      <c r="C934" s="256">
        <v>44197</v>
      </c>
      <c r="D934" s="255" t="s">
        <v>88</v>
      </c>
      <c r="E934" s="255" t="s">
        <v>169</v>
      </c>
      <c r="F934" s="258">
        <v>945.5</v>
      </c>
      <c r="G934" s="255" t="s">
        <v>3630</v>
      </c>
      <c r="H934" s="255" t="s">
        <v>114</v>
      </c>
      <c r="I934" s="250" t="s">
        <v>488</v>
      </c>
      <c r="J934" s="250" t="s">
        <v>114</v>
      </c>
      <c r="K934" s="250" t="s">
        <v>466</v>
      </c>
      <c r="L934" s="250" t="s">
        <v>489</v>
      </c>
      <c r="M934" s="250" t="s">
        <v>114</v>
      </c>
      <c r="N934" s="278">
        <v>44252</v>
      </c>
      <c r="O934" s="329" t="s">
        <v>67</v>
      </c>
      <c r="P934" s="386">
        <f t="shared" ref="P934:Q934" si="931">IF(B934=0,0,IF(YEAR(B934)=$Q$1,MONTH(B934)-$P$1+1,(YEAR(B934)-$Q$1)*12-$P$1+1+MONTH(B934)))</f>
        <v>2</v>
      </c>
      <c r="Q934" s="330">
        <f t="shared" si="931"/>
        <v>1</v>
      </c>
      <c r="R934" s="351" t="str">
        <f t="shared" si="3"/>
        <v>Gastos_com_Pessoal</v>
      </c>
      <c r="S934" s="351" t="str">
        <f>IF(D934="","",IF(OR(D934=Plano!$A$1,D934=Plano!$B$1),"entrada","saída"))</f>
        <v>saída</v>
      </c>
      <c r="T934" s="334" t="s">
        <v>114</v>
      </c>
      <c r="U934" s="334" t="s">
        <v>114</v>
      </c>
      <c r="V934" s="269"/>
      <c r="W934" s="269"/>
    </row>
    <row r="935" spans="1:23" ht="69.75" customHeight="1" x14ac:dyDescent="0.2">
      <c r="A935" s="277">
        <f t="shared" si="0"/>
        <v>931</v>
      </c>
      <c r="B935" s="278">
        <v>44252</v>
      </c>
      <c r="C935" s="256">
        <v>44197</v>
      </c>
      <c r="D935" s="255" t="s">
        <v>99</v>
      </c>
      <c r="E935" s="255" t="s">
        <v>276</v>
      </c>
      <c r="F935" s="258">
        <v>23.33</v>
      </c>
      <c r="G935" s="255" t="s">
        <v>3631</v>
      </c>
      <c r="H935" s="255" t="s">
        <v>114</v>
      </c>
      <c r="I935" s="250" t="s">
        <v>488</v>
      </c>
      <c r="J935" s="252" t="s">
        <v>114</v>
      </c>
      <c r="K935" s="252" t="s">
        <v>466</v>
      </c>
      <c r="L935" s="252" t="s">
        <v>489</v>
      </c>
      <c r="M935" s="255" t="s">
        <v>114</v>
      </c>
      <c r="N935" s="278">
        <v>44227</v>
      </c>
      <c r="O935" s="329" t="s">
        <v>67</v>
      </c>
      <c r="P935" s="386">
        <f t="shared" ref="P935:Q935" si="932">IF(B935=0,0,IF(YEAR(B935)=$Q$1,MONTH(B935)-$P$1+1,(YEAR(B935)-$Q$1)*12-$P$1+1+MONTH(B935)))</f>
        <v>2</v>
      </c>
      <c r="Q935" s="330">
        <f t="shared" si="932"/>
        <v>1</v>
      </c>
      <c r="R935" s="351" t="str">
        <f t="shared" si="3"/>
        <v>Gastos_Gerais</v>
      </c>
      <c r="S935" s="351" t="str">
        <f>IF(D935="","",IF(OR(D935=Plano!$A$1,D935=Plano!$B$1),"entrada","saída"))</f>
        <v>saída</v>
      </c>
      <c r="T935" s="334" t="s">
        <v>114</v>
      </c>
      <c r="U935" s="334" t="s">
        <v>114</v>
      </c>
      <c r="V935" s="269"/>
      <c r="W935" s="269"/>
    </row>
    <row r="936" spans="1:23" ht="69.75" customHeight="1" x14ac:dyDescent="0.2">
      <c r="A936" s="277">
        <f t="shared" si="0"/>
        <v>932</v>
      </c>
      <c r="B936" s="278">
        <v>44252</v>
      </c>
      <c r="C936" s="256">
        <v>44197</v>
      </c>
      <c r="D936" s="255" t="s">
        <v>99</v>
      </c>
      <c r="E936" s="255" t="s">
        <v>330</v>
      </c>
      <c r="F936" s="258">
        <v>19905.97</v>
      </c>
      <c r="G936" s="255" t="s">
        <v>3632</v>
      </c>
      <c r="H936" s="255" t="s">
        <v>129</v>
      </c>
      <c r="I936" s="252" t="s">
        <v>558</v>
      </c>
      <c r="J936" s="252" t="s">
        <v>559</v>
      </c>
      <c r="K936" s="255" t="s">
        <v>560</v>
      </c>
      <c r="L936" s="250" t="s">
        <v>114</v>
      </c>
      <c r="M936" s="255" t="s">
        <v>114</v>
      </c>
      <c r="N936" s="278">
        <v>44252</v>
      </c>
      <c r="O936" s="329" t="s">
        <v>67</v>
      </c>
      <c r="P936" s="386">
        <f t="shared" ref="P936:Q936" si="933">IF(B936=0,0,IF(YEAR(B936)=$Q$1,MONTH(B936)-$P$1+1,(YEAR(B936)-$Q$1)*12-$P$1+1+MONTH(B936)))</f>
        <v>2</v>
      </c>
      <c r="Q936" s="330">
        <f t="shared" si="933"/>
        <v>1</v>
      </c>
      <c r="R936" s="351" t="str">
        <f t="shared" si="3"/>
        <v>Gastos_Gerais</v>
      </c>
      <c r="S936" s="351" t="str">
        <f>IF(D936="","",IF(OR(D936=Plano!$A$1,D936=Plano!$B$1),"entrada","saída"))</f>
        <v>saída</v>
      </c>
      <c r="T936" s="334" t="s">
        <v>114</v>
      </c>
      <c r="U936" s="334" t="s">
        <v>114</v>
      </c>
      <c r="V936" s="269"/>
      <c r="W936" s="269"/>
    </row>
    <row r="937" spans="1:23" ht="69.75" customHeight="1" x14ac:dyDescent="0.2">
      <c r="A937" s="277">
        <f t="shared" si="0"/>
        <v>933</v>
      </c>
      <c r="B937" s="278">
        <v>44252</v>
      </c>
      <c r="C937" s="256">
        <v>44197</v>
      </c>
      <c r="D937" s="255" t="s">
        <v>99</v>
      </c>
      <c r="E937" s="255" t="s">
        <v>224</v>
      </c>
      <c r="F937" s="257">
        <v>74.34</v>
      </c>
      <c r="G937" s="255" t="s">
        <v>3187</v>
      </c>
      <c r="H937" s="252" t="s">
        <v>115</v>
      </c>
      <c r="I937" s="252" t="s">
        <v>522</v>
      </c>
      <c r="J937" s="252" t="s">
        <v>523</v>
      </c>
      <c r="K937" s="255" t="s">
        <v>1375</v>
      </c>
      <c r="L937" s="250" t="s">
        <v>697</v>
      </c>
      <c r="M937" s="255" t="s">
        <v>114</v>
      </c>
      <c r="N937" s="278">
        <v>44252</v>
      </c>
      <c r="O937" s="329" t="s">
        <v>67</v>
      </c>
      <c r="P937" s="386">
        <f t="shared" ref="P937:Q937" si="934">IF(B937=0,0,IF(YEAR(B937)=$Q$1,MONTH(B937)-$P$1+1,(YEAR(B937)-$Q$1)*12-$P$1+1+MONTH(B937)))</f>
        <v>2</v>
      </c>
      <c r="Q937" s="330">
        <f t="shared" si="934"/>
        <v>1</v>
      </c>
      <c r="R937" s="351" t="str">
        <f t="shared" si="3"/>
        <v>Gastos_Gerais</v>
      </c>
      <c r="S937" s="351" t="str">
        <f>IF(D937="","",IF(OR(D937=Plano!$A$1,D937=Plano!$B$1),"entrada","saída"))</f>
        <v>saída</v>
      </c>
      <c r="T937" s="334" t="s">
        <v>114</v>
      </c>
      <c r="U937" s="334" t="s">
        <v>114</v>
      </c>
      <c r="V937" s="269"/>
      <c r="W937" s="269"/>
    </row>
    <row r="938" spans="1:23" ht="69.75" customHeight="1" x14ac:dyDescent="0.2">
      <c r="A938" s="277">
        <f t="shared" si="0"/>
        <v>934</v>
      </c>
      <c r="B938" s="278">
        <v>44252</v>
      </c>
      <c r="C938" s="256">
        <v>44197</v>
      </c>
      <c r="D938" s="255" t="s">
        <v>99</v>
      </c>
      <c r="E938" s="255" t="s">
        <v>222</v>
      </c>
      <c r="F938" s="258">
        <v>773.4</v>
      </c>
      <c r="G938" s="255" t="s">
        <v>3633</v>
      </c>
      <c r="H938" s="255" t="s">
        <v>115</v>
      </c>
      <c r="I938" s="250" t="s">
        <v>525</v>
      </c>
      <c r="J938" s="255" t="s">
        <v>1568</v>
      </c>
      <c r="K938" s="255" t="s">
        <v>1375</v>
      </c>
      <c r="L938" s="250" t="s">
        <v>697</v>
      </c>
      <c r="M938" s="255">
        <v>4425215106</v>
      </c>
      <c r="N938" s="278">
        <v>44234</v>
      </c>
      <c r="O938" s="329" t="s">
        <v>67</v>
      </c>
      <c r="P938" s="386">
        <f t="shared" ref="P938:Q938" si="935">IF(B938=0,0,IF(YEAR(B938)=$Q$1,MONTH(B938)-$P$1+1,(YEAR(B938)-$Q$1)*12-$P$1+1+MONTH(B938)))</f>
        <v>2</v>
      </c>
      <c r="Q938" s="330">
        <f t="shared" si="935"/>
        <v>1</v>
      </c>
      <c r="R938" s="351" t="str">
        <f t="shared" si="3"/>
        <v>Gastos_Gerais</v>
      </c>
      <c r="S938" s="351" t="str">
        <f>IF(D938="","",IF(OR(D938=Plano!$A$1,D938=Plano!$B$1),"entrada","saída"))</f>
        <v>saída</v>
      </c>
      <c r="T938" s="334" t="s">
        <v>114</v>
      </c>
      <c r="U938" s="334" t="s">
        <v>114</v>
      </c>
      <c r="V938" s="269"/>
      <c r="W938" s="269"/>
    </row>
    <row r="939" spans="1:23" ht="69.75" customHeight="1" x14ac:dyDescent="0.2">
      <c r="A939" s="277">
        <f t="shared" si="0"/>
        <v>935</v>
      </c>
      <c r="B939" s="278">
        <v>44252</v>
      </c>
      <c r="C939" s="256">
        <v>44228</v>
      </c>
      <c r="D939" s="255" t="s">
        <v>99</v>
      </c>
      <c r="E939" s="255" t="s">
        <v>272</v>
      </c>
      <c r="F939" s="258">
        <v>10.45</v>
      </c>
      <c r="G939" s="255" t="s">
        <v>1585</v>
      </c>
      <c r="H939" s="255" t="s">
        <v>115</v>
      </c>
      <c r="I939" s="250" t="s">
        <v>949</v>
      </c>
      <c r="J939" s="255" t="s">
        <v>950</v>
      </c>
      <c r="K939" s="255" t="s">
        <v>951</v>
      </c>
      <c r="L939" s="250" t="s">
        <v>947</v>
      </c>
      <c r="M939" s="279" t="s">
        <v>114</v>
      </c>
      <c r="N939" s="278">
        <v>44252</v>
      </c>
      <c r="O939" s="329" t="s">
        <v>67</v>
      </c>
      <c r="P939" s="386">
        <f t="shared" ref="P939:Q939" si="936">IF(B939=0,0,IF(YEAR(B939)=$Q$1,MONTH(B939)-$P$1+1,(YEAR(B939)-$Q$1)*12-$P$1+1+MONTH(B939)))</f>
        <v>2</v>
      </c>
      <c r="Q939" s="330">
        <f t="shared" si="936"/>
        <v>2</v>
      </c>
      <c r="R939" s="351" t="str">
        <f t="shared" si="3"/>
        <v>Gastos_Gerais</v>
      </c>
      <c r="S939" s="351" t="str">
        <f>IF(D939="","",IF(OR(D939=Plano!$A$1,D939=Plano!$B$1),"entrada","saída"))</f>
        <v>saída</v>
      </c>
      <c r="T939" s="334" t="s">
        <v>114</v>
      </c>
      <c r="U939" s="334" t="s">
        <v>114</v>
      </c>
      <c r="V939" s="269"/>
      <c r="W939" s="269"/>
    </row>
    <row r="940" spans="1:23" ht="69.75" customHeight="1" x14ac:dyDescent="0.2">
      <c r="A940" s="277">
        <f t="shared" si="0"/>
        <v>936</v>
      </c>
      <c r="B940" s="278">
        <v>44252</v>
      </c>
      <c r="C940" s="256">
        <v>44197</v>
      </c>
      <c r="D940" s="255" t="s">
        <v>104</v>
      </c>
      <c r="E940" s="255" t="s">
        <v>104</v>
      </c>
      <c r="F940" s="258">
        <v>11.96</v>
      </c>
      <c r="G940" s="255" t="s">
        <v>3634</v>
      </c>
      <c r="H940" s="250" t="s">
        <v>104</v>
      </c>
      <c r="I940" s="250" t="s">
        <v>488</v>
      </c>
      <c r="J940" s="255" t="s">
        <v>114</v>
      </c>
      <c r="K940" s="255" t="s">
        <v>466</v>
      </c>
      <c r="L940" s="250" t="s">
        <v>489</v>
      </c>
      <c r="M940" s="279" t="s">
        <v>114</v>
      </c>
      <c r="N940" s="278">
        <v>44227</v>
      </c>
      <c r="O940" s="329" t="s">
        <v>70</v>
      </c>
      <c r="P940" s="386">
        <f t="shared" ref="P940:Q940" si="937">IF(B940=0,0,IF(YEAR(B940)=$Q$1,MONTH(B940)-$P$1+1,(YEAR(B940)-$Q$1)*12-$P$1+1+MONTH(B940)))</f>
        <v>2</v>
      </c>
      <c r="Q940" s="330">
        <f t="shared" si="937"/>
        <v>1</v>
      </c>
      <c r="R940" s="351" t="str">
        <f t="shared" si="3"/>
        <v>Gastos_custeados_por_captação</v>
      </c>
      <c r="S940" s="351" t="str">
        <f>IF(D940="","",IF(OR(D940=Plano!$A$1,D940=Plano!$B$1),"entrada","saída"))</f>
        <v>saída</v>
      </c>
      <c r="T940" s="334" t="s">
        <v>114</v>
      </c>
      <c r="U940" s="334" t="s">
        <v>114</v>
      </c>
      <c r="V940" s="269"/>
      <c r="W940" s="269"/>
    </row>
    <row r="941" spans="1:23" ht="69.75" customHeight="1" x14ac:dyDescent="0.2">
      <c r="A941" s="277">
        <f t="shared" si="0"/>
        <v>937</v>
      </c>
      <c r="B941" s="278">
        <v>44252</v>
      </c>
      <c r="C941" s="256">
        <v>44228</v>
      </c>
      <c r="D941" s="255" t="s">
        <v>104</v>
      </c>
      <c r="E941" s="255" t="s">
        <v>104</v>
      </c>
      <c r="F941" s="257">
        <v>300</v>
      </c>
      <c r="G941" s="255" t="s">
        <v>3635</v>
      </c>
      <c r="H941" s="250" t="s">
        <v>104</v>
      </c>
      <c r="I941" s="252" t="s">
        <v>3207</v>
      </c>
      <c r="J941" s="252" t="s">
        <v>3636</v>
      </c>
      <c r="K941" s="255" t="s">
        <v>1015</v>
      </c>
      <c r="L941" s="252" t="s">
        <v>1016</v>
      </c>
      <c r="M941" s="252">
        <v>4245245</v>
      </c>
      <c r="N941" s="278">
        <v>44253</v>
      </c>
      <c r="O941" s="329" t="s">
        <v>68</v>
      </c>
      <c r="P941" s="386">
        <f t="shared" ref="P941:Q941" si="938">IF(B941=0,0,IF(YEAR(B941)=$Q$1,MONTH(B941)-$P$1+1,(YEAR(B941)-$Q$1)*12-$P$1+1+MONTH(B941)))</f>
        <v>2</v>
      </c>
      <c r="Q941" s="330">
        <f t="shared" si="938"/>
        <v>2</v>
      </c>
      <c r="R941" s="351" t="str">
        <f t="shared" si="3"/>
        <v>Gastos_custeados_por_captação</v>
      </c>
      <c r="S941" s="351" t="str">
        <f>IF(D941="","",IF(OR(D941=Plano!$A$1,D941=Plano!$B$1),"entrada","saída"))</f>
        <v>saída</v>
      </c>
      <c r="T941" s="334" t="s">
        <v>1082</v>
      </c>
      <c r="U941" s="334">
        <v>389</v>
      </c>
      <c r="V941" s="269"/>
      <c r="W941" s="269"/>
    </row>
    <row r="942" spans="1:23" ht="183" customHeight="1" x14ac:dyDescent="0.2">
      <c r="A942" s="277">
        <f t="shared" si="0"/>
        <v>938</v>
      </c>
      <c r="B942" s="278">
        <v>44252</v>
      </c>
      <c r="C942" s="256">
        <v>44228</v>
      </c>
      <c r="D942" s="255" t="s">
        <v>104</v>
      </c>
      <c r="E942" s="255" t="s">
        <v>104</v>
      </c>
      <c r="F942" s="257">
        <v>4488.75</v>
      </c>
      <c r="G942" s="255" t="s">
        <v>3637</v>
      </c>
      <c r="H942" s="250" t="s">
        <v>104</v>
      </c>
      <c r="I942" s="252" t="s">
        <v>3638</v>
      </c>
      <c r="J942" s="252" t="s">
        <v>3639</v>
      </c>
      <c r="K942" s="255" t="s">
        <v>1015</v>
      </c>
      <c r="L942" s="252" t="s">
        <v>1016</v>
      </c>
      <c r="M942" s="252" t="s">
        <v>1294</v>
      </c>
      <c r="N942" s="278">
        <v>44250</v>
      </c>
      <c r="O942" s="329" t="s">
        <v>69</v>
      </c>
      <c r="P942" s="386">
        <f t="shared" ref="P942:Q942" si="939">IF(B942=0,0,IF(YEAR(B942)=$Q$1,MONTH(B942)-$P$1+1,(YEAR(B942)-$Q$1)*12-$P$1+1+MONTH(B942)))</f>
        <v>2</v>
      </c>
      <c r="Q942" s="330">
        <f t="shared" si="939"/>
        <v>2</v>
      </c>
      <c r="R942" s="351" t="str">
        <f t="shared" si="3"/>
        <v>Gastos_custeados_por_captação</v>
      </c>
      <c r="S942" s="351" t="str">
        <f>IF(D942="","",IF(OR(D942=Plano!$A$1,D942=Plano!$B$1),"entrada","saída"))</f>
        <v>saída</v>
      </c>
      <c r="T942" s="334" t="s">
        <v>1082</v>
      </c>
      <c r="U942" s="334">
        <v>1328</v>
      </c>
      <c r="V942" s="269"/>
      <c r="W942" s="269"/>
    </row>
    <row r="943" spans="1:23" ht="69.75" customHeight="1" x14ac:dyDescent="0.2">
      <c r="A943" s="277">
        <f t="shared" si="0"/>
        <v>939</v>
      </c>
      <c r="B943" s="278">
        <v>44253</v>
      </c>
      <c r="C943" s="259">
        <v>44256</v>
      </c>
      <c r="D943" s="255" t="s">
        <v>88</v>
      </c>
      <c r="E943" s="255" t="s">
        <v>177</v>
      </c>
      <c r="F943" s="258">
        <v>3716.62</v>
      </c>
      <c r="G943" s="252" t="s">
        <v>3640</v>
      </c>
      <c r="H943" s="255" t="s">
        <v>114</v>
      </c>
      <c r="I943" s="250" t="s">
        <v>1185</v>
      </c>
      <c r="J943" s="255" t="s">
        <v>1186</v>
      </c>
      <c r="K943" s="255" t="s">
        <v>991</v>
      </c>
      <c r="L943" s="250" t="s">
        <v>1347</v>
      </c>
      <c r="M943" s="255" t="s">
        <v>114</v>
      </c>
      <c r="N943" s="278">
        <v>44253</v>
      </c>
      <c r="O943" s="329" t="s">
        <v>67</v>
      </c>
      <c r="P943" s="386">
        <f t="shared" ref="P943:Q943" si="940">IF(B943=0,0,IF(YEAR(B943)=$Q$1,MONTH(B943)-$P$1+1,(YEAR(B943)-$Q$1)*12-$P$1+1+MONTH(B943)))</f>
        <v>2</v>
      </c>
      <c r="Q943" s="330">
        <f t="shared" si="940"/>
        <v>3</v>
      </c>
      <c r="R943" s="351" t="str">
        <f t="shared" si="3"/>
        <v>Gastos_com_Pessoal</v>
      </c>
      <c r="S943" s="351" t="str">
        <f>IF(D943="","",IF(OR(D943=Plano!$A$1,D943=Plano!$B$1),"entrada","saída"))</f>
        <v>saída</v>
      </c>
      <c r="T943" s="334" t="s">
        <v>114</v>
      </c>
      <c r="U943" s="334" t="s">
        <v>114</v>
      </c>
      <c r="V943" s="269"/>
      <c r="W943" s="269"/>
    </row>
    <row r="944" spans="1:23" ht="69.75" customHeight="1" x14ac:dyDescent="0.2">
      <c r="A944" s="277">
        <f t="shared" si="0"/>
        <v>940</v>
      </c>
      <c r="B944" s="278">
        <v>44253</v>
      </c>
      <c r="C944" s="259">
        <v>44228</v>
      </c>
      <c r="D944" s="255" t="s">
        <v>88</v>
      </c>
      <c r="E944" s="255" t="s">
        <v>181</v>
      </c>
      <c r="F944" s="258">
        <v>12004.77</v>
      </c>
      <c r="G944" s="255" t="s">
        <v>3641</v>
      </c>
      <c r="H944" s="255" t="s">
        <v>114</v>
      </c>
      <c r="I944" s="250" t="s">
        <v>2760</v>
      </c>
      <c r="J944" s="255" t="s">
        <v>3642</v>
      </c>
      <c r="K944" s="255" t="s">
        <v>991</v>
      </c>
      <c r="L944" s="250" t="s">
        <v>3643</v>
      </c>
      <c r="M944" s="255" t="s">
        <v>114</v>
      </c>
      <c r="N944" s="278">
        <v>44253</v>
      </c>
      <c r="O944" s="329" t="s">
        <v>67</v>
      </c>
      <c r="P944" s="386">
        <f t="shared" ref="P944:Q944" si="941">IF(B944=0,0,IF(YEAR(B944)=$Q$1,MONTH(B944)-$P$1+1,(YEAR(B944)-$Q$1)*12-$P$1+1+MONTH(B944)))</f>
        <v>2</v>
      </c>
      <c r="Q944" s="330">
        <f t="shared" si="941"/>
        <v>2</v>
      </c>
      <c r="R944" s="351" t="str">
        <f t="shared" si="3"/>
        <v>Gastos_com_Pessoal</v>
      </c>
      <c r="S944" s="351" t="str">
        <f>IF(D944="","",IF(OR(D944=Plano!$A$1,D944=Plano!$B$1),"entrada","saída"))</f>
        <v>saída</v>
      </c>
      <c r="T944" s="334" t="s">
        <v>114</v>
      </c>
      <c r="U944" s="334" t="s">
        <v>114</v>
      </c>
      <c r="V944" s="269"/>
      <c r="W944" s="269"/>
    </row>
    <row r="945" spans="1:23" ht="69.75" customHeight="1" x14ac:dyDescent="0.2">
      <c r="A945" s="277">
        <f t="shared" si="0"/>
        <v>941</v>
      </c>
      <c r="B945" s="278">
        <v>44253</v>
      </c>
      <c r="C945" s="259">
        <v>44228</v>
      </c>
      <c r="D945" s="255" t="s">
        <v>88</v>
      </c>
      <c r="E945" s="255" t="s">
        <v>173</v>
      </c>
      <c r="F945" s="258">
        <v>2805.96</v>
      </c>
      <c r="G945" s="255" t="s">
        <v>3644</v>
      </c>
      <c r="H945" s="255" t="s">
        <v>114</v>
      </c>
      <c r="I945" s="250" t="s">
        <v>1259</v>
      </c>
      <c r="J945" s="255" t="s">
        <v>114</v>
      </c>
      <c r="K945" s="255" t="s">
        <v>466</v>
      </c>
      <c r="L945" s="250" t="s">
        <v>171</v>
      </c>
      <c r="M945" s="329" t="s">
        <v>114</v>
      </c>
      <c r="N945" s="278">
        <v>44253</v>
      </c>
      <c r="O945" s="329" t="s">
        <v>67</v>
      </c>
      <c r="P945" s="386">
        <f t="shared" ref="P945:Q945" si="942">IF(B945=0,0,IF(YEAR(B945)=$Q$1,MONTH(B945)-$P$1+1,(YEAR(B945)-$Q$1)*12-$P$1+1+MONTH(B945)))</f>
        <v>2</v>
      </c>
      <c r="Q945" s="330">
        <f t="shared" si="942"/>
        <v>2</v>
      </c>
      <c r="R945" s="351" t="str">
        <f t="shared" si="3"/>
        <v>Gastos_com_Pessoal</v>
      </c>
      <c r="S945" s="351" t="str">
        <f>IF(D945="","",IF(OR(D945=Plano!$A$1,D945=Plano!$B$1),"entrada","saída"))</f>
        <v>saída</v>
      </c>
      <c r="T945" s="334" t="s">
        <v>114</v>
      </c>
      <c r="U945" s="334" t="s">
        <v>114</v>
      </c>
      <c r="V945" s="269"/>
      <c r="W945" s="269"/>
    </row>
    <row r="946" spans="1:23" ht="114.75" customHeight="1" x14ac:dyDescent="0.2">
      <c r="A946" s="277">
        <f t="shared" si="0"/>
        <v>942</v>
      </c>
      <c r="B946" s="278">
        <v>44253</v>
      </c>
      <c r="C946" s="256">
        <v>44228</v>
      </c>
      <c r="D946" s="255" t="s">
        <v>99</v>
      </c>
      <c r="E946" s="255" t="s">
        <v>330</v>
      </c>
      <c r="F946" s="258">
        <v>197.1</v>
      </c>
      <c r="G946" s="252" t="s">
        <v>3645</v>
      </c>
      <c r="H946" s="255" t="s">
        <v>116</v>
      </c>
      <c r="I946" s="250" t="s">
        <v>3646</v>
      </c>
      <c r="J946" s="255" t="s">
        <v>3647</v>
      </c>
      <c r="K946" s="255" t="s">
        <v>560</v>
      </c>
      <c r="L946" s="250" t="s">
        <v>1016</v>
      </c>
      <c r="M946" s="255" t="s">
        <v>3648</v>
      </c>
      <c r="N946" s="278">
        <v>44256</v>
      </c>
      <c r="O946" s="329" t="s">
        <v>67</v>
      </c>
      <c r="P946" s="386">
        <f t="shared" ref="P946:Q946" si="943">IF(B946=0,0,IF(YEAR(B946)=$Q$1,MONTH(B946)-$P$1+1,(YEAR(B946)-$Q$1)*12-$P$1+1+MONTH(B946)))</f>
        <v>2</v>
      </c>
      <c r="Q946" s="330">
        <f t="shared" si="943"/>
        <v>2</v>
      </c>
      <c r="R946" s="351" t="str">
        <f t="shared" si="3"/>
        <v>Gastos_Gerais</v>
      </c>
      <c r="S946" s="351" t="str">
        <f>IF(D946="","",IF(OR(D946=Plano!$A$1,D946=Plano!$B$1),"entrada","saída"))</f>
        <v>saída</v>
      </c>
      <c r="T946" s="334" t="s">
        <v>1011</v>
      </c>
      <c r="U946" s="334">
        <v>1357</v>
      </c>
      <c r="V946" s="269"/>
      <c r="W946" s="269"/>
    </row>
    <row r="947" spans="1:23" ht="233.25" customHeight="1" x14ac:dyDescent="0.2">
      <c r="A947" s="277">
        <f t="shared" si="0"/>
        <v>943</v>
      </c>
      <c r="B947" s="278">
        <v>44253</v>
      </c>
      <c r="C947" s="256">
        <v>44166</v>
      </c>
      <c r="D947" s="255" t="s">
        <v>99</v>
      </c>
      <c r="E947" s="255" t="s">
        <v>350</v>
      </c>
      <c r="F947" s="258">
        <v>800</v>
      </c>
      <c r="G947" s="255" t="s">
        <v>3649</v>
      </c>
      <c r="H947" s="255" t="s">
        <v>132</v>
      </c>
      <c r="I947" s="252" t="s">
        <v>3650</v>
      </c>
      <c r="J947" s="252" t="s">
        <v>3221</v>
      </c>
      <c r="K947" s="255" t="s">
        <v>991</v>
      </c>
      <c r="L947" s="250" t="s">
        <v>1136</v>
      </c>
      <c r="M947" s="329" t="s">
        <v>114</v>
      </c>
      <c r="N947" s="278">
        <v>44252</v>
      </c>
      <c r="O947" s="329" t="s">
        <v>67</v>
      </c>
      <c r="P947" s="386">
        <f t="shared" ref="P947:Q947" si="944">IF(B947=0,0,IF(YEAR(B947)=$Q$1,MONTH(B947)-$P$1+1,(YEAR(B947)-$Q$1)*12-$P$1+1+MONTH(B947)))</f>
        <v>2</v>
      </c>
      <c r="Q947" s="330">
        <f t="shared" si="944"/>
        <v>0</v>
      </c>
      <c r="R947" s="351" t="str">
        <f t="shared" si="3"/>
        <v>Gastos_Gerais</v>
      </c>
      <c r="S947" s="351" t="str">
        <f>IF(D947="","",IF(OR(D947=Plano!$A$1,D947=Plano!$B$1),"entrada","saída"))</f>
        <v>saída</v>
      </c>
      <c r="T947" s="334" t="s">
        <v>994</v>
      </c>
      <c r="U947" s="334">
        <v>1086</v>
      </c>
      <c r="V947" s="269"/>
      <c r="W947" s="269"/>
    </row>
    <row r="948" spans="1:23" ht="233.25" customHeight="1" x14ac:dyDescent="0.2">
      <c r="A948" s="277">
        <f t="shared" si="0"/>
        <v>944</v>
      </c>
      <c r="B948" s="278">
        <v>44253</v>
      </c>
      <c r="C948" s="256">
        <v>44105</v>
      </c>
      <c r="D948" s="255" t="s">
        <v>99</v>
      </c>
      <c r="E948" s="255" t="s">
        <v>358</v>
      </c>
      <c r="F948" s="258">
        <v>1600</v>
      </c>
      <c r="G948" s="255" t="s">
        <v>3651</v>
      </c>
      <c r="H948" s="255" t="s">
        <v>116</v>
      </c>
      <c r="I948" s="252" t="s">
        <v>3652</v>
      </c>
      <c r="J948" s="252" t="s">
        <v>3653</v>
      </c>
      <c r="K948" s="255" t="s">
        <v>991</v>
      </c>
      <c r="L948" s="250" t="s">
        <v>1177</v>
      </c>
      <c r="M948" s="255" t="s">
        <v>114</v>
      </c>
      <c r="N948" s="278">
        <v>44253</v>
      </c>
      <c r="O948" s="329" t="s">
        <v>67</v>
      </c>
      <c r="P948" s="386">
        <f t="shared" ref="P948:Q948" si="945">IF(B948=0,0,IF(YEAR(B948)=$Q$1,MONTH(B948)-$P$1+1,(YEAR(B948)-$Q$1)*12-$P$1+1+MONTH(B948)))</f>
        <v>2</v>
      </c>
      <c r="Q948" s="330">
        <f t="shared" si="945"/>
        <v>-2</v>
      </c>
      <c r="R948" s="351" t="str">
        <f t="shared" si="3"/>
        <v>Gastos_Gerais</v>
      </c>
      <c r="S948" s="351" t="str">
        <f>IF(D948="","",IF(OR(D948=Plano!$A$1,D948=Plano!$B$1),"entrada","saída"))</f>
        <v>saída</v>
      </c>
      <c r="T948" s="334" t="s">
        <v>994</v>
      </c>
      <c r="U948" s="334">
        <v>818</v>
      </c>
      <c r="V948" s="269"/>
      <c r="W948" s="269"/>
    </row>
    <row r="949" spans="1:23" ht="69.75" customHeight="1" x14ac:dyDescent="0.2">
      <c r="A949" s="277">
        <f t="shared" si="0"/>
        <v>945</v>
      </c>
      <c r="B949" s="278">
        <v>44253</v>
      </c>
      <c r="C949" s="256">
        <v>44228</v>
      </c>
      <c r="D949" s="255" t="s">
        <v>99</v>
      </c>
      <c r="E949" s="255" t="s">
        <v>272</v>
      </c>
      <c r="F949" s="258">
        <v>10.45</v>
      </c>
      <c r="G949" s="255" t="s">
        <v>3654</v>
      </c>
      <c r="H949" s="255" t="s">
        <v>115</v>
      </c>
      <c r="I949" s="250" t="s">
        <v>949</v>
      </c>
      <c r="J949" s="255" t="s">
        <v>950</v>
      </c>
      <c r="K949" s="255" t="s">
        <v>951</v>
      </c>
      <c r="L949" s="250" t="s">
        <v>947</v>
      </c>
      <c r="M949" s="279" t="s">
        <v>114</v>
      </c>
      <c r="N949" s="278">
        <v>44253</v>
      </c>
      <c r="O949" s="329" t="s">
        <v>67</v>
      </c>
      <c r="P949" s="386">
        <f t="shared" ref="P949:Q949" si="946">IF(B949=0,0,IF(YEAR(B949)=$Q$1,MONTH(B949)-$P$1+1,(YEAR(B949)-$Q$1)*12-$P$1+1+MONTH(B949)))</f>
        <v>2</v>
      </c>
      <c r="Q949" s="330">
        <f t="shared" si="946"/>
        <v>2</v>
      </c>
      <c r="R949" s="351" t="str">
        <f t="shared" si="3"/>
        <v>Gastos_Gerais</v>
      </c>
      <c r="S949" s="351" t="str">
        <f>IF(D949="","",IF(OR(D949=Plano!$A$1,D949=Plano!$B$1),"entrada","saída"))</f>
        <v>saída</v>
      </c>
      <c r="T949" s="334" t="s">
        <v>114</v>
      </c>
      <c r="U949" s="334" t="s">
        <v>114</v>
      </c>
      <c r="V949" s="269"/>
      <c r="W949" s="269"/>
    </row>
    <row r="950" spans="1:23" ht="69.75" customHeight="1" x14ac:dyDescent="0.2">
      <c r="A950" s="277">
        <f t="shared" si="0"/>
        <v>946</v>
      </c>
      <c r="B950" s="278">
        <v>44253</v>
      </c>
      <c r="C950" s="256">
        <v>44228</v>
      </c>
      <c r="D950" s="255" t="s">
        <v>99</v>
      </c>
      <c r="E950" s="255" t="s">
        <v>272</v>
      </c>
      <c r="F950" s="258">
        <v>10.45</v>
      </c>
      <c r="G950" s="255" t="s">
        <v>3655</v>
      </c>
      <c r="H950" s="255" t="s">
        <v>115</v>
      </c>
      <c r="I950" s="250" t="s">
        <v>949</v>
      </c>
      <c r="J950" s="255" t="s">
        <v>950</v>
      </c>
      <c r="K950" s="255" t="s">
        <v>951</v>
      </c>
      <c r="L950" s="250" t="s">
        <v>947</v>
      </c>
      <c r="M950" s="279" t="s">
        <v>114</v>
      </c>
      <c r="N950" s="278">
        <v>44253</v>
      </c>
      <c r="O950" s="329" t="s">
        <v>67</v>
      </c>
      <c r="P950" s="386">
        <f t="shared" ref="P950:Q950" si="947">IF(B950=0,0,IF(YEAR(B950)=$Q$1,MONTH(B950)-$P$1+1,(YEAR(B950)-$Q$1)*12-$P$1+1+MONTH(B950)))</f>
        <v>2</v>
      </c>
      <c r="Q950" s="330">
        <f t="shared" si="947"/>
        <v>2</v>
      </c>
      <c r="R950" s="351" t="str">
        <f t="shared" si="3"/>
        <v>Gastos_Gerais</v>
      </c>
      <c r="S950" s="351" t="str">
        <f>IF(D950="","",IF(OR(D950=Plano!$A$1,D950=Plano!$B$1),"entrada","saída"))</f>
        <v>saída</v>
      </c>
      <c r="T950" s="334" t="s">
        <v>114</v>
      </c>
      <c r="U950" s="334" t="s">
        <v>114</v>
      </c>
      <c r="V950" s="269"/>
      <c r="W950" s="269"/>
    </row>
    <row r="951" spans="1:23" ht="69.75" customHeight="1" x14ac:dyDescent="0.2">
      <c r="A951" s="277">
        <f t="shared" si="0"/>
        <v>947</v>
      </c>
      <c r="B951" s="278">
        <v>44253</v>
      </c>
      <c r="C951" s="256">
        <v>44228</v>
      </c>
      <c r="D951" s="255" t="s">
        <v>99</v>
      </c>
      <c r="E951" s="255" t="s">
        <v>272</v>
      </c>
      <c r="F951" s="258">
        <v>10.45</v>
      </c>
      <c r="G951" s="255" t="s">
        <v>3656</v>
      </c>
      <c r="H951" s="255" t="s">
        <v>115</v>
      </c>
      <c r="I951" s="250" t="s">
        <v>949</v>
      </c>
      <c r="J951" s="255" t="s">
        <v>950</v>
      </c>
      <c r="K951" s="255" t="s">
        <v>951</v>
      </c>
      <c r="L951" s="250" t="s">
        <v>947</v>
      </c>
      <c r="M951" s="279" t="s">
        <v>114</v>
      </c>
      <c r="N951" s="278">
        <v>44253</v>
      </c>
      <c r="O951" s="329" t="s">
        <v>67</v>
      </c>
      <c r="P951" s="386">
        <f t="shared" ref="P951:Q951" si="948">IF(B951=0,0,IF(YEAR(B951)=$Q$1,MONTH(B951)-$P$1+1,(YEAR(B951)-$Q$1)*12-$P$1+1+MONTH(B951)))</f>
        <v>2</v>
      </c>
      <c r="Q951" s="330">
        <f t="shared" si="948"/>
        <v>2</v>
      </c>
      <c r="R951" s="351" t="str">
        <f t="shared" si="3"/>
        <v>Gastos_Gerais</v>
      </c>
      <c r="S951" s="351" t="str">
        <f>IF(D951="","",IF(OR(D951=Plano!$A$1,D951=Plano!$B$1),"entrada","saída"))</f>
        <v>saída</v>
      </c>
      <c r="T951" s="334" t="s">
        <v>114</v>
      </c>
      <c r="U951" s="334" t="s">
        <v>114</v>
      </c>
      <c r="V951" s="269"/>
      <c r="W951" s="269"/>
    </row>
    <row r="952" spans="1:23" ht="69.75" customHeight="1" x14ac:dyDescent="0.2">
      <c r="A952" s="277">
        <f t="shared" si="0"/>
        <v>948</v>
      </c>
      <c r="B952" s="278">
        <v>44253</v>
      </c>
      <c r="C952" s="256">
        <v>44228</v>
      </c>
      <c r="D952" s="255" t="s">
        <v>99</v>
      </c>
      <c r="E952" s="255" t="s">
        <v>272</v>
      </c>
      <c r="F952" s="258">
        <v>10.45</v>
      </c>
      <c r="G952" s="255" t="s">
        <v>3657</v>
      </c>
      <c r="H952" s="255" t="s">
        <v>115</v>
      </c>
      <c r="I952" s="250" t="s">
        <v>949</v>
      </c>
      <c r="J952" s="255" t="s">
        <v>950</v>
      </c>
      <c r="K952" s="255" t="s">
        <v>951</v>
      </c>
      <c r="L952" s="250" t="s">
        <v>947</v>
      </c>
      <c r="M952" s="279" t="s">
        <v>114</v>
      </c>
      <c r="N952" s="278">
        <v>44253</v>
      </c>
      <c r="O952" s="329" t="s">
        <v>67</v>
      </c>
      <c r="P952" s="386">
        <f t="shared" ref="P952:Q952" si="949">IF(B952=0,0,IF(YEAR(B952)=$Q$1,MONTH(B952)-$P$1+1,(YEAR(B952)-$Q$1)*12-$P$1+1+MONTH(B952)))</f>
        <v>2</v>
      </c>
      <c r="Q952" s="330">
        <f t="shared" si="949"/>
        <v>2</v>
      </c>
      <c r="R952" s="351" t="str">
        <f t="shared" si="3"/>
        <v>Gastos_Gerais</v>
      </c>
      <c r="S952" s="351" t="str">
        <f>IF(D952="","",IF(OR(D952=Plano!$A$1,D952=Plano!$B$1),"entrada","saída"))</f>
        <v>saída</v>
      </c>
      <c r="T952" s="334" t="s">
        <v>114</v>
      </c>
      <c r="U952" s="334" t="s">
        <v>114</v>
      </c>
      <c r="V952" s="269"/>
      <c r="W952" s="269"/>
    </row>
    <row r="953" spans="1:23" ht="69.75" customHeight="1" x14ac:dyDescent="0.2">
      <c r="A953" s="277">
        <f t="shared" si="0"/>
        <v>949</v>
      </c>
      <c r="B953" s="278">
        <v>44253</v>
      </c>
      <c r="C953" s="256">
        <v>44228</v>
      </c>
      <c r="D953" s="255" t="s">
        <v>85</v>
      </c>
      <c r="E953" s="255" t="s">
        <v>85</v>
      </c>
      <c r="F953" s="258">
        <v>298.95999999999998</v>
      </c>
      <c r="G953" s="255" t="s">
        <v>956</v>
      </c>
      <c r="H953" s="255" t="s">
        <v>114</v>
      </c>
      <c r="I953" s="250" t="s">
        <v>945</v>
      </c>
      <c r="J953" s="255" t="s">
        <v>850</v>
      </c>
      <c r="K953" s="255" t="s">
        <v>946</v>
      </c>
      <c r="L953" s="250" t="s">
        <v>947</v>
      </c>
      <c r="M953" s="279" t="s">
        <v>114</v>
      </c>
      <c r="N953" s="278">
        <v>44253</v>
      </c>
      <c r="O953" s="329" t="s">
        <v>67</v>
      </c>
      <c r="P953" s="386">
        <f t="shared" ref="P953:Q953" si="950">IF(B953=0,0,IF(YEAR(B953)=$Q$1,MONTH(B953)-$P$1+1,(YEAR(B953)-$Q$1)*12-$P$1+1+MONTH(B953)))</f>
        <v>2</v>
      </c>
      <c r="Q953" s="330">
        <f t="shared" si="950"/>
        <v>2</v>
      </c>
      <c r="R953" s="351" t="str">
        <f t="shared" si="3"/>
        <v>Rendimentos_de_Aplicações_Fin.</v>
      </c>
      <c r="S953" s="351" t="str">
        <f>IF(D953="","",IF(OR(D953=Plano!$A$1,D953=Plano!$B$1),"entrada","saída"))</f>
        <v>entrada</v>
      </c>
      <c r="T953" s="334" t="s">
        <v>114</v>
      </c>
      <c r="U953" s="334" t="s">
        <v>114</v>
      </c>
      <c r="V953" s="269"/>
      <c r="W953" s="269"/>
    </row>
    <row r="954" spans="1:23" ht="69.75" customHeight="1" x14ac:dyDescent="0.2">
      <c r="A954" s="277">
        <f t="shared" si="0"/>
        <v>950</v>
      </c>
      <c r="B954" s="278">
        <v>44253</v>
      </c>
      <c r="C954" s="256">
        <v>44228</v>
      </c>
      <c r="D954" s="255" t="s">
        <v>99</v>
      </c>
      <c r="E954" s="255" t="s">
        <v>280</v>
      </c>
      <c r="F954" s="258">
        <v>44.94</v>
      </c>
      <c r="G954" s="255" t="s">
        <v>3658</v>
      </c>
      <c r="H954" s="255" t="s">
        <v>114</v>
      </c>
      <c r="I954" s="250" t="s">
        <v>488</v>
      </c>
      <c r="J954" s="255" t="s">
        <v>114</v>
      </c>
      <c r="K954" s="255" t="s">
        <v>466</v>
      </c>
      <c r="L954" s="250" t="s">
        <v>489</v>
      </c>
      <c r="M954" s="255" t="s">
        <v>114</v>
      </c>
      <c r="N954" s="278">
        <v>44253</v>
      </c>
      <c r="O954" s="329" t="s">
        <v>67</v>
      </c>
      <c r="P954" s="386">
        <f t="shared" ref="P954:Q954" si="951">IF(B954=0,0,IF(YEAR(B954)=$Q$1,MONTH(B954)-$P$1+1,(YEAR(B954)-$Q$1)*12-$P$1+1+MONTH(B954)))</f>
        <v>2</v>
      </c>
      <c r="Q954" s="330">
        <f t="shared" si="951"/>
        <v>2</v>
      </c>
      <c r="R954" s="351" t="str">
        <f t="shared" si="3"/>
        <v>Gastos_Gerais</v>
      </c>
      <c r="S954" s="351" t="str">
        <f>IF(D954="","",IF(OR(D954=Plano!$A$1,D954=Plano!$B$1),"entrada","saída"))</f>
        <v>saída</v>
      </c>
      <c r="T954" s="334" t="s">
        <v>114</v>
      </c>
      <c r="U954" s="334" t="s">
        <v>114</v>
      </c>
      <c r="V954" s="269"/>
      <c r="W954" s="269"/>
    </row>
    <row r="955" spans="1:23" ht="69.75" customHeight="1" x14ac:dyDescent="0.2">
      <c r="A955" s="277">
        <f t="shared" si="0"/>
        <v>951</v>
      </c>
      <c r="B955" s="278">
        <v>44253</v>
      </c>
      <c r="C955" s="256">
        <v>44228</v>
      </c>
      <c r="D955" s="255" t="s">
        <v>99</v>
      </c>
      <c r="E955" s="255" t="s">
        <v>278</v>
      </c>
      <c r="F955" s="258">
        <v>24.95</v>
      </c>
      <c r="G955" s="255" t="s">
        <v>3659</v>
      </c>
      <c r="H955" s="255" t="s">
        <v>114</v>
      </c>
      <c r="I955" s="250" t="s">
        <v>488</v>
      </c>
      <c r="J955" s="255" t="s">
        <v>114</v>
      </c>
      <c r="K955" s="255" t="s">
        <v>466</v>
      </c>
      <c r="L955" s="250" t="s">
        <v>489</v>
      </c>
      <c r="M955" s="255" t="s">
        <v>114</v>
      </c>
      <c r="N955" s="278">
        <v>44253</v>
      </c>
      <c r="O955" s="329" t="s">
        <v>67</v>
      </c>
      <c r="P955" s="386">
        <f t="shared" ref="P955:Q955" si="952">IF(B955=0,0,IF(YEAR(B955)=$Q$1,MONTH(B955)-$P$1+1,(YEAR(B955)-$Q$1)*12-$P$1+1+MONTH(B955)))</f>
        <v>2</v>
      </c>
      <c r="Q955" s="330">
        <f t="shared" si="952"/>
        <v>2</v>
      </c>
      <c r="R955" s="351" t="str">
        <f t="shared" si="3"/>
        <v>Gastos_Gerais</v>
      </c>
      <c r="S955" s="351" t="str">
        <f>IF(D955="","",IF(OR(D955=Plano!$A$1,D955=Plano!$B$1),"entrada","saída"))</f>
        <v>saída</v>
      </c>
      <c r="T955" s="334" t="s">
        <v>114</v>
      </c>
      <c r="U955" s="334" t="s">
        <v>114</v>
      </c>
      <c r="V955" s="269"/>
      <c r="W955" s="269"/>
    </row>
    <row r="956" spans="1:23" ht="69.75" customHeight="1" x14ac:dyDescent="0.2">
      <c r="A956" s="277">
        <f t="shared" si="0"/>
        <v>952</v>
      </c>
      <c r="B956" s="278">
        <v>44253</v>
      </c>
      <c r="C956" s="249">
        <v>44136</v>
      </c>
      <c r="D956" s="255" t="s">
        <v>104</v>
      </c>
      <c r="E956" s="255" t="s">
        <v>104</v>
      </c>
      <c r="F956" s="258">
        <v>3912</v>
      </c>
      <c r="G956" s="255" t="s">
        <v>3660</v>
      </c>
      <c r="H956" s="255" t="s">
        <v>104</v>
      </c>
      <c r="I956" s="250" t="s">
        <v>3017</v>
      </c>
      <c r="J956" s="255" t="s">
        <v>3661</v>
      </c>
      <c r="K956" s="255" t="s">
        <v>1015</v>
      </c>
      <c r="L956" s="250" t="s">
        <v>1016</v>
      </c>
      <c r="M956" s="255" t="s">
        <v>1052</v>
      </c>
      <c r="N956" s="278">
        <v>44252</v>
      </c>
      <c r="O956" s="329" t="s">
        <v>69</v>
      </c>
      <c r="P956" s="386">
        <f t="shared" ref="P956:Q956" si="953">IF(B956=0,0,IF(YEAR(B956)=$Q$1,MONTH(B956)-$P$1+1,(YEAR(B956)-$Q$1)*12-$P$1+1+MONTH(B956)))</f>
        <v>2</v>
      </c>
      <c r="Q956" s="330">
        <f t="shared" si="953"/>
        <v>-1</v>
      </c>
      <c r="R956" s="351" t="str">
        <f t="shared" si="3"/>
        <v>Gastos_custeados_por_captação</v>
      </c>
      <c r="S956" s="351" t="str">
        <f>IF(D956="","",IF(OR(D956=Plano!$A$1,D956=Plano!$B$1),"entrada","saída"))</f>
        <v>saída</v>
      </c>
      <c r="T956" s="334" t="s">
        <v>994</v>
      </c>
      <c r="U956" s="334">
        <v>836</v>
      </c>
      <c r="V956" s="269"/>
      <c r="W956" s="269"/>
    </row>
    <row r="957" spans="1:23" ht="142.5" customHeight="1" x14ac:dyDescent="0.2">
      <c r="A957" s="277">
        <f t="shared" si="0"/>
        <v>953</v>
      </c>
      <c r="B957" s="278">
        <v>44253</v>
      </c>
      <c r="C957" s="259">
        <v>44228</v>
      </c>
      <c r="D957" s="255" t="s">
        <v>104</v>
      </c>
      <c r="E957" s="255" t="s">
        <v>104</v>
      </c>
      <c r="F957" s="258">
        <v>216</v>
      </c>
      <c r="G957" s="255" t="s">
        <v>3662</v>
      </c>
      <c r="H957" s="255" t="s">
        <v>104</v>
      </c>
      <c r="I957" s="250" t="s">
        <v>3663</v>
      </c>
      <c r="J957" s="255" t="s">
        <v>3664</v>
      </c>
      <c r="K957" s="255" t="s">
        <v>1015</v>
      </c>
      <c r="L957" s="250" t="s">
        <v>1016</v>
      </c>
      <c r="M957" s="255">
        <v>52779</v>
      </c>
      <c r="N957" s="278">
        <v>44239</v>
      </c>
      <c r="O957" s="329" t="s">
        <v>69</v>
      </c>
      <c r="P957" s="386">
        <f t="shared" ref="P957:Q957" si="954">IF(B957=0,0,IF(YEAR(B957)=$Q$1,MONTH(B957)-$P$1+1,(YEAR(B957)-$Q$1)*12-$P$1+1+MONTH(B957)))</f>
        <v>2</v>
      </c>
      <c r="Q957" s="330">
        <f t="shared" si="954"/>
        <v>2</v>
      </c>
      <c r="R957" s="351" t="str">
        <f t="shared" si="3"/>
        <v>Gastos_custeados_por_captação</v>
      </c>
      <c r="S957" s="351" t="str">
        <f>IF(D957="","",IF(OR(D957=Plano!$A$1,D957=Plano!$B$1),"entrada","saída"))</f>
        <v>saída</v>
      </c>
      <c r="T957" s="334" t="s">
        <v>1011</v>
      </c>
      <c r="U957" s="334">
        <v>1333</v>
      </c>
      <c r="V957" s="269"/>
      <c r="W957" s="269"/>
    </row>
    <row r="958" spans="1:23" ht="69.75" customHeight="1" x14ac:dyDescent="0.2">
      <c r="A958" s="277">
        <f t="shared" si="0"/>
        <v>954</v>
      </c>
      <c r="B958" s="278">
        <v>44256</v>
      </c>
      <c r="C958" s="256">
        <v>44228</v>
      </c>
      <c r="D958" s="255" t="s">
        <v>88</v>
      </c>
      <c r="E958" s="255" t="s">
        <v>198</v>
      </c>
      <c r="F958" s="258">
        <v>-21.47</v>
      </c>
      <c r="G958" s="255" t="s">
        <v>982</v>
      </c>
      <c r="H958" s="252" t="s">
        <v>114</v>
      </c>
      <c r="I958" s="250" t="s">
        <v>983</v>
      </c>
      <c r="J958" s="255" t="s">
        <v>850</v>
      </c>
      <c r="K958" s="255" t="s">
        <v>946</v>
      </c>
      <c r="L958" s="250" t="s">
        <v>947</v>
      </c>
      <c r="M958" s="255" t="s">
        <v>114</v>
      </c>
      <c r="N958" s="278">
        <v>44256</v>
      </c>
      <c r="O958" s="329" t="s">
        <v>67</v>
      </c>
      <c r="P958" s="386">
        <f t="shared" ref="P958:Q958" si="955">IF(B958=0,0,IF(YEAR(B958)=$Q$1,MONTH(B958)-$P$1+1,(YEAR(B958)-$Q$1)*12-$P$1+1+MONTH(B958)))</f>
        <v>3</v>
      </c>
      <c r="Q958" s="330">
        <f t="shared" si="955"/>
        <v>2</v>
      </c>
      <c r="R958" s="351" t="str">
        <f t="shared" si="3"/>
        <v>Gastos_com_Pessoal</v>
      </c>
      <c r="S958" s="351" t="str">
        <f>IF(D958="","",IF(OR(D958=Plano!$A$1,D958=Plano!$B$1),"entrada","saída"))</f>
        <v>saída</v>
      </c>
      <c r="T958" s="334" t="s">
        <v>114</v>
      </c>
      <c r="U958" s="334" t="s">
        <v>114</v>
      </c>
      <c r="V958" s="269"/>
      <c r="W958" s="269"/>
    </row>
    <row r="959" spans="1:23" ht="69.75" customHeight="1" x14ac:dyDescent="0.2">
      <c r="A959" s="277">
        <f t="shared" si="0"/>
        <v>955</v>
      </c>
      <c r="B959" s="278">
        <v>44256</v>
      </c>
      <c r="C959" s="256">
        <v>44228</v>
      </c>
      <c r="D959" s="255" t="s">
        <v>88</v>
      </c>
      <c r="E959" s="255" t="s">
        <v>198</v>
      </c>
      <c r="F959" s="258">
        <v>-107.35</v>
      </c>
      <c r="G959" s="255" t="s">
        <v>987</v>
      </c>
      <c r="H959" s="252" t="s">
        <v>114</v>
      </c>
      <c r="I959" s="250" t="s">
        <v>983</v>
      </c>
      <c r="J959" s="255" t="s">
        <v>850</v>
      </c>
      <c r="K959" s="255" t="s">
        <v>946</v>
      </c>
      <c r="L959" s="250" t="s">
        <v>947</v>
      </c>
      <c r="M959" s="255" t="s">
        <v>114</v>
      </c>
      <c r="N959" s="278">
        <v>44256</v>
      </c>
      <c r="O959" s="329" t="s">
        <v>67</v>
      </c>
      <c r="P959" s="386">
        <f t="shared" ref="P959:Q959" si="956">IF(B959=0,0,IF(YEAR(B959)=$Q$1,MONTH(B959)-$P$1+1,(YEAR(B959)-$Q$1)*12-$P$1+1+MONTH(B959)))</f>
        <v>3</v>
      </c>
      <c r="Q959" s="330">
        <f t="shared" si="956"/>
        <v>2</v>
      </c>
      <c r="R959" s="351" t="str">
        <f t="shared" si="3"/>
        <v>Gastos_com_Pessoal</v>
      </c>
      <c r="S959" s="351" t="str">
        <f>IF(D959="","",IF(OR(D959=Plano!$A$1,D959=Plano!$B$1),"entrada","saída"))</f>
        <v>saída</v>
      </c>
      <c r="T959" s="334" t="s">
        <v>114</v>
      </c>
      <c r="U959" s="334" t="s">
        <v>114</v>
      </c>
      <c r="V959" s="269"/>
      <c r="W959" s="269"/>
    </row>
    <row r="960" spans="1:23" ht="69.75" customHeight="1" x14ac:dyDescent="0.2">
      <c r="A960" s="277">
        <f t="shared" si="0"/>
        <v>956</v>
      </c>
      <c r="B960" s="278">
        <v>44256</v>
      </c>
      <c r="C960" s="256">
        <v>44228</v>
      </c>
      <c r="D960" s="255" t="s">
        <v>88</v>
      </c>
      <c r="E960" s="255" t="s">
        <v>183</v>
      </c>
      <c r="F960" s="258">
        <v>-69.349999999999994</v>
      </c>
      <c r="G960" s="255" t="s">
        <v>986</v>
      </c>
      <c r="H960" s="252" t="s">
        <v>114</v>
      </c>
      <c r="I960" s="250" t="s">
        <v>983</v>
      </c>
      <c r="J960" s="255" t="s">
        <v>850</v>
      </c>
      <c r="K960" s="255" t="s">
        <v>946</v>
      </c>
      <c r="L960" s="250" t="s">
        <v>947</v>
      </c>
      <c r="M960" s="255" t="s">
        <v>114</v>
      </c>
      <c r="N960" s="278">
        <v>44256</v>
      </c>
      <c r="O960" s="329" t="s">
        <v>67</v>
      </c>
      <c r="P960" s="386">
        <f t="shared" ref="P960:Q960" si="957">IF(B960=0,0,IF(YEAR(B960)=$Q$1,MONTH(B960)-$P$1+1,(YEAR(B960)-$Q$1)*12-$P$1+1+MONTH(B960)))</f>
        <v>3</v>
      </c>
      <c r="Q960" s="330">
        <f t="shared" si="957"/>
        <v>2</v>
      </c>
      <c r="R960" s="351" t="str">
        <f t="shared" si="3"/>
        <v>Gastos_com_Pessoal</v>
      </c>
      <c r="S960" s="351" t="str">
        <f>IF(D960="","",IF(OR(D960=Plano!$A$1,D960=Plano!$B$1),"entrada","saída"))</f>
        <v>saída</v>
      </c>
      <c r="T960" s="334" t="s">
        <v>114</v>
      </c>
      <c r="U960" s="334" t="s">
        <v>114</v>
      </c>
      <c r="V960" s="269"/>
      <c r="W960" s="269"/>
    </row>
    <row r="961" spans="1:23" ht="69.75" customHeight="1" x14ac:dyDescent="0.2">
      <c r="A961" s="277">
        <f t="shared" si="0"/>
        <v>957</v>
      </c>
      <c r="B961" s="278">
        <v>44256</v>
      </c>
      <c r="C961" s="256">
        <v>44228</v>
      </c>
      <c r="D961" s="255" t="s">
        <v>88</v>
      </c>
      <c r="E961" s="255" t="s">
        <v>183</v>
      </c>
      <c r="F961" s="258">
        <v>-27.74</v>
      </c>
      <c r="G961" s="255" t="s">
        <v>984</v>
      </c>
      <c r="H961" s="252" t="s">
        <v>114</v>
      </c>
      <c r="I961" s="250" t="s">
        <v>983</v>
      </c>
      <c r="J961" s="255" t="s">
        <v>850</v>
      </c>
      <c r="K961" s="255" t="s">
        <v>946</v>
      </c>
      <c r="L961" s="250" t="s">
        <v>947</v>
      </c>
      <c r="M961" s="255" t="s">
        <v>114</v>
      </c>
      <c r="N961" s="278">
        <v>44256</v>
      </c>
      <c r="O961" s="329" t="s">
        <v>67</v>
      </c>
      <c r="P961" s="386">
        <f t="shared" ref="P961:Q961" si="958">IF(B961=0,0,IF(YEAR(B961)=$Q$1,MONTH(B961)-$P$1+1,(YEAR(B961)-$Q$1)*12-$P$1+1+MONTH(B961)))</f>
        <v>3</v>
      </c>
      <c r="Q961" s="330">
        <f t="shared" si="958"/>
        <v>2</v>
      </c>
      <c r="R961" s="351" t="str">
        <f t="shared" si="3"/>
        <v>Gastos_com_Pessoal</v>
      </c>
      <c r="S961" s="351" t="str">
        <f>IF(D961="","",IF(OR(D961=Plano!$A$1,D961=Plano!$B$1),"entrada","saída"))</f>
        <v>saída</v>
      </c>
      <c r="T961" s="334" t="s">
        <v>114</v>
      </c>
      <c r="U961" s="334" t="s">
        <v>114</v>
      </c>
      <c r="V961" s="269"/>
      <c r="W961" s="269"/>
    </row>
    <row r="962" spans="1:23" ht="69.75" customHeight="1" x14ac:dyDescent="0.2">
      <c r="A962" s="277">
        <f t="shared" si="0"/>
        <v>958</v>
      </c>
      <c r="B962" s="278">
        <v>44256</v>
      </c>
      <c r="C962" s="256">
        <v>44228</v>
      </c>
      <c r="D962" s="255" t="s">
        <v>88</v>
      </c>
      <c r="E962" s="255" t="s">
        <v>198</v>
      </c>
      <c r="F962" s="258">
        <v>-42.94</v>
      </c>
      <c r="G962" s="255" t="s">
        <v>2471</v>
      </c>
      <c r="H962" s="252" t="s">
        <v>114</v>
      </c>
      <c r="I962" s="250" t="s">
        <v>983</v>
      </c>
      <c r="J962" s="255" t="s">
        <v>850</v>
      </c>
      <c r="K962" s="255" t="s">
        <v>946</v>
      </c>
      <c r="L962" s="250" t="s">
        <v>947</v>
      </c>
      <c r="M962" s="255" t="s">
        <v>114</v>
      </c>
      <c r="N962" s="278">
        <v>44256</v>
      </c>
      <c r="O962" s="329" t="s">
        <v>67</v>
      </c>
      <c r="P962" s="386">
        <f t="shared" ref="P962:Q962" si="959">IF(B962=0,0,IF(YEAR(B962)=$Q$1,MONTH(B962)-$P$1+1,(YEAR(B962)-$Q$1)*12-$P$1+1+MONTH(B962)))</f>
        <v>3</v>
      </c>
      <c r="Q962" s="330">
        <f t="shared" si="959"/>
        <v>2</v>
      </c>
      <c r="R962" s="351" t="str">
        <f t="shared" si="3"/>
        <v>Gastos_com_Pessoal</v>
      </c>
      <c r="S962" s="351" t="str">
        <f>IF(D962="","",IF(OR(D962=Plano!$A$1,D962=Plano!$B$1),"entrada","saída"))</f>
        <v>saída</v>
      </c>
      <c r="T962" s="334" t="s">
        <v>114</v>
      </c>
      <c r="U962" s="334" t="s">
        <v>114</v>
      </c>
      <c r="V962" s="269"/>
      <c r="W962" s="269"/>
    </row>
    <row r="963" spans="1:23" ht="69.75" customHeight="1" x14ac:dyDescent="0.2">
      <c r="A963" s="277">
        <f t="shared" si="0"/>
        <v>959</v>
      </c>
      <c r="B963" s="278">
        <v>44256</v>
      </c>
      <c r="C963" s="256">
        <v>44166</v>
      </c>
      <c r="D963" s="255" t="s">
        <v>99</v>
      </c>
      <c r="E963" s="255" t="s">
        <v>230</v>
      </c>
      <c r="F963" s="258">
        <v>5059.54</v>
      </c>
      <c r="G963" s="255" t="s">
        <v>3665</v>
      </c>
      <c r="H963" s="255" t="s">
        <v>115</v>
      </c>
      <c r="I963" s="250" t="s">
        <v>485</v>
      </c>
      <c r="J963" s="252" t="s">
        <v>486</v>
      </c>
      <c r="K963" s="255" t="s">
        <v>1015</v>
      </c>
      <c r="L963" s="250" t="s">
        <v>3666</v>
      </c>
      <c r="M963" s="255" t="s">
        <v>114</v>
      </c>
      <c r="N963" s="278">
        <v>44253</v>
      </c>
      <c r="O963" s="329" t="s">
        <v>67</v>
      </c>
      <c r="P963" s="386">
        <f t="shared" ref="P963:Q963" si="960">IF(B963=0,0,IF(YEAR(B963)=$Q$1,MONTH(B963)-$P$1+1,(YEAR(B963)-$Q$1)*12-$P$1+1+MONTH(B963)))</f>
        <v>3</v>
      </c>
      <c r="Q963" s="330">
        <f t="shared" si="960"/>
        <v>0</v>
      </c>
      <c r="R963" s="351" t="str">
        <f t="shared" si="3"/>
        <v>Gastos_Gerais</v>
      </c>
      <c r="S963" s="351" t="str">
        <f>IF(D963="","",IF(OR(D963=Plano!$A$1,D963=Plano!$B$1),"entrada","saída"))</f>
        <v>saída</v>
      </c>
      <c r="T963" s="334" t="s">
        <v>994</v>
      </c>
      <c r="U963" s="334">
        <v>99</v>
      </c>
      <c r="V963" s="269"/>
      <c r="W963" s="269"/>
    </row>
    <row r="964" spans="1:23" ht="132" customHeight="1" x14ac:dyDescent="0.2">
      <c r="A964" s="277">
        <f t="shared" si="0"/>
        <v>960</v>
      </c>
      <c r="B964" s="278">
        <v>44256</v>
      </c>
      <c r="C964" s="256">
        <v>44228</v>
      </c>
      <c r="D964" s="255" t="s">
        <v>99</v>
      </c>
      <c r="E964" s="255" t="s">
        <v>330</v>
      </c>
      <c r="F964" s="258">
        <v>150</v>
      </c>
      <c r="G964" s="255" t="s">
        <v>3231</v>
      </c>
      <c r="H964" s="255" t="s">
        <v>115</v>
      </c>
      <c r="I964" s="252" t="s">
        <v>1640</v>
      </c>
      <c r="J964" s="252" t="s">
        <v>452</v>
      </c>
      <c r="K964" s="255" t="s">
        <v>560</v>
      </c>
      <c r="L964" s="250" t="s">
        <v>3667</v>
      </c>
      <c r="M964" s="255">
        <v>9203</v>
      </c>
      <c r="N964" s="278">
        <v>44228</v>
      </c>
      <c r="O964" s="329" t="s">
        <v>67</v>
      </c>
      <c r="P964" s="386">
        <f t="shared" ref="P964:Q964" si="961">IF(B964=0,0,IF(YEAR(B964)=$Q$1,MONTH(B964)-$P$1+1,(YEAR(B964)-$Q$1)*12-$P$1+1+MONTH(B964)))</f>
        <v>3</v>
      </c>
      <c r="Q964" s="330">
        <f t="shared" si="961"/>
        <v>2</v>
      </c>
      <c r="R964" s="351" t="str">
        <f t="shared" si="3"/>
        <v>Gastos_Gerais</v>
      </c>
      <c r="S964" s="351" t="str">
        <f>IF(D964="","",IF(OR(D964=Plano!$A$1,D964=Plano!$B$1),"entrada","saída"))</f>
        <v>saída</v>
      </c>
      <c r="T964" s="334" t="s">
        <v>1059</v>
      </c>
      <c r="U964" s="334">
        <v>1145</v>
      </c>
      <c r="V964" s="269"/>
      <c r="W964" s="269"/>
    </row>
    <row r="965" spans="1:23" ht="69.75" customHeight="1" x14ac:dyDescent="0.2">
      <c r="A965" s="277">
        <f t="shared" si="0"/>
        <v>961</v>
      </c>
      <c r="B965" s="278">
        <v>44256</v>
      </c>
      <c r="C965" s="256">
        <v>44228</v>
      </c>
      <c r="D965" s="255" t="s">
        <v>88</v>
      </c>
      <c r="E965" s="255" t="s">
        <v>183</v>
      </c>
      <c r="F965" s="258">
        <v>126.7</v>
      </c>
      <c r="G965" s="255" t="s">
        <v>3668</v>
      </c>
      <c r="H965" s="252" t="s">
        <v>114</v>
      </c>
      <c r="I965" s="250" t="s">
        <v>998</v>
      </c>
      <c r="J965" s="252" t="s">
        <v>999</v>
      </c>
      <c r="K965" s="255" t="s">
        <v>560</v>
      </c>
      <c r="L965" s="250" t="s">
        <v>992</v>
      </c>
      <c r="M965" s="255" t="s">
        <v>2390</v>
      </c>
      <c r="N965" s="278">
        <v>44238</v>
      </c>
      <c r="O965" s="329" t="s">
        <v>67</v>
      </c>
      <c r="P965" s="386">
        <f t="shared" ref="P965:Q965" si="962">IF(B965=0,0,IF(YEAR(B965)=$Q$1,MONTH(B965)-$P$1+1,(YEAR(B965)-$Q$1)*12-$P$1+1+MONTH(B965)))</f>
        <v>3</v>
      </c>
      <c r="Q965" s="330">
        <f t="shared" si="962"/>
        <v>2</v>
      </c>
      <c r="R965" s="351" t="str">
        <f t="shared" si="3"/>
        <v>Gastos_com_Pessoal</v>
      </c>
      <c r="S965" s="351" t="str">
        <f>IF(D965="","",IF(OR(D965=Plano!$A$1,D965=Plano!$B$1),"entrada","saída"))</f>
        <v>saída</v>
      </c>
      <c r="T965" s="334" t="s">
        <v>114</v>
      </c>
      <c r="U965" s="334" t="s">
        <v>114</v>
      </c>
      <c r="V965" s="269"/>
      <c r="W965" s="269"/>
    </row>
    <row r="966" spans="1:23" ht="69.75" customHeight="1" x14ac:dyDescent="0.2">
      <c r="A966" s="277">
        <f t="shared" si="0"/>
        <v>962</v>
      </c>
      <c r="B966" s="278">
        <v>44256</v>
      </c>
      <c r="C966" s="256">
        <v>44228</v>
      </c>
      <c r="D966" s="255" t="s">
        <v>88</v>
      </c>
      <c r="E966" s="255" t="s">
        <v>183</v>
      </c>
      <c r="F966" s="258">
        <v>183.39</v>
      </c>
      <c r="G966" s="255" t="s">
        <v>3669</v>
      </c>
      <c r="H966" s="252" t="s">
        <v>114</v>
      </c>
      <c r="I966" s="250" t="s">
        <v>537</v>
      </c>
      <c r="J966" s="252" t="s">
        <v>538</v>
      </c>
      <c r="K966" s="255" t="s">
        <v>560</v>
      </c>
      <c r="L966" s="250" t="s">
        <v>992</v>
      </c>
      <c r="M966" s="255" t="s">
        <v>3670</v>
      </c>
      <c r="N966" s="278">
        <v>44238</v>
      </c>
      <c r="O966" s="329" t="s">
        <v>67</v>
      </c>
      <c r="P966" s="386">
        <f t="shared" ref="P966:Q966" si="963">IF(B966=0,0,IF(YEAR(B966)=$Q$1,MONTH(B966)-$P$1+1,(YEAR(B966)-$Q$1)*12-$P$1+1+MONTH(B966)))</f>
        <v>3</v>
      </c>
      <c r="Q966" s="330">
        <f t="shared" si="963"/>
        <v>2</v>
      </c>
      <c r="R966" s="351" t="str">
        <f t="shared" si="3"/>
        <v>Gastos_com_Pessoal</v>
      </c>
      <c r="S966" s="351" t="str">
        <f>IF(D966="","",IF(OR(D966=Plano!$A$1,D966=Plano!$B$1),"entrada","saída"))</f>
        <v>saída</v>
      </c>
      <c r="T966" s="334" t="s">
        <v>114</v>
      </c>
      <c r="U966" s="334" t="s">
        <v>114</v>
      </c>
      <c r="V966" s="269"/>
      <c r="W966" s="269"/>
    </row>
    <row r="967" spans="1:23" ht="69.75" customHeight="1" x14ac:dyDescent="0.2">
      <c r="A967" s="277">
        <f t="shared" si="0"/>
        <v>963</v>
      </c>
      <c r="B967" s="278">
        <v>44256</v>
      </c>
      <c r="C967" s="256">
        <v>44228</v>
      </c>
      <c r="D967" s="255" t="s">
        <v>88</v>
      </c>
      <c r="E967" s="255" t="s">
        <v>198</v>
      </c>
      <c r="F967" s="258">
        <v>515.26</v>
      </c>
      <c r="G967" s="255" t="s">
        <v>533</v>
      </c>
      <c r="H967" s="252" t="s">
        <v>114</v>
      </c>
      <c r="I967" s="250" t="s">
        <v>534</v>
      </c>
      <c r="J967" s="252" t="s">
        <v>535</v>
      </c>
      <c r="K967" s="255" t="s">
        <v>560</v>
      </c>
      <c r="L967" s="255" t="s">
        <v>697</v>
      </c>
      <c r="M967" s="255" t="s">
        <v>1001</v>
      </c>
      <c r="N967" s="278">
        <v>44244</v>
      </c>
      <c r="O967" s="329" t="s">
        <v>67</v>
      </c>
      <c r="P967" s="386">
        <f t="shared" ref="P967:Q967" si="964">IF(B967=0,0,IF(YEAR(B967)=$Q$1,MONTH(B967)-$P$1+1,(YEAR(B967)-$Q$1)*12-$P$1+1+MONTH(B967)))</f>
        <v>3</v>
      </c>
      <c r="Q967" s="330">
        <f t="shared" si="964"/>
        <v>2</v>
      </c>
      <c r="R967" s="351" t="str">
        <f t="shared" si="3"/>
        <v>Gastos_com_Pessoal</v>
      </c>
      <c r="S967" s="351" t="str">
        <f>IF(D967="","",IF(OR(D967=Plano!$A$1,D967=Plano!$B$1),"entrada","saída"))</f>
        <v>saída</v>
      </c>
      <c r="T967" s="334" t="s">
        <v>114</v>
      </c>
      <c r="U967" s="334" t="s">
        <v>114</v>
      </c>
      <c r="V967" s="269"/>
      <c r="W967" s="269"/>
    </row>
    <row r="968" spans="1:23" ht="138.75" customHeight="1" x14ac:dyDescent="0.2">
      <c r="A968" s="277">
        <f t="shared" si="0"/>
        <v>964</v>
      </c>
      <c r="B968" s="278">
        <v>44256</v>
      </c>
      <c r="C968" s="256">
        <v>44197</v>
      </c>
      <c r="D968" s="255" t="s">
        <v>99</v>
      </c>
      <c r="E968" s="255" t="s">
        <v>364</v>
      </c>
      <c r="F968" s="258">
        <v>838</v>
      </c>
      <c r="G968" s="255" t="s">
        <v>3671</v>
      </c>
      <c r="H968" s="255" t="s">
        <v>130</v>
      </c>
      <c r="I968" s="250" t="s">
        <v>3672</v>
      </c>
      <c r="J968" s="252" t="s">
        <v>3673</v>
      </c>
      <c r="K968" s="255" t="s">
        <v>560</v>
      </c>
      <c r="L968" s="250" t="s">
        <v>1016</v>
      </c>
      <c r="M968" s="255">
        <v>59860</v>
      </c>
      <c r="N968" s="278">
        <v>44228</v>
      </c>
      <c r="O968" s="329" t="s">
        <v>67</v>
      </c>
      <c r="P968" s="386">
        <f t="shared" ref="P968:Q968" si="965">IF(B968=0,0,IF(YEAR(B968)=$Q$1,MONTH(B968)-$P$1+1,(YEAR(B968)-$Q$1)*12-$P$1+1+MONTH(B968)))</f>
        <v>3</v>
      </c>
      <c r="Q968" s="330">
        <f t="shared" si="965"/>
        <v>1</v>
      </c>
      <c r="R968" s="351" t="str">
        <f t="shared" si="3"/>
        <v>Gastos_Gerais</v>
      </c>
      <c r="S968" s="351" t="str">
        <f>IF(D968="","",IF(OR(D968=Plano!$A$1,D968=Plano!$B$1),"entrada","saída"))</f>
        <v>saída</v>
      </c>
      <c r="T968" s="334" t="s">
        <v>1011</v>
      </c>
      <c r="U968" s="334">
        <v>1307</v>
      </c>
      <c r="V968" s="269"/>
      <c r="W968" s="269"/>
    </row>
    <row r="969" spans="1:23" ht="201.75" customHeight="1" x14ac:dyDescent="0.2">
      <c r="A969" s="277">
        <f t="shared" si="0"/>
        <v>965</v>
      </c>
      <c r="B969" s="278">
        <v>44256</v>
      </c>
      <c r="C969" s="249">
        <v>44105</v>
      </c>
      <c r="D969" s="255" t="s">
        <v>104</v>
      </c>
      <c r="E969" s="255" t="s">
        <v>104</v>
      </c>
      <c r="F969" s="258">
        <v>1100</v>
      </c>
      <c r="G969" s="255" t="s">
        <v>3674</v>
      </c>
      <c r="H969" s="255" t="s">
        <v>104</v>
      </c>
      <c r="I969" s="252" t="s">
        <v>1726</v>
      </c>
      <c r="J969" s="252" t="s">
        <v>601</v>
      </c>
      <c r="K969" s="255" t="s">
        <v>1015</v>
      </c>
      <c r="L969" s="250" t="s">
        <v>1016</v>
      </c>
      <c r="M969" s="255">
        <v>318</v>
      </c>
      <c r="N969" s="278">
        <v>44252</v>
      </c>
      <c r="O969" s="329" t="s">
        <v>69</v>
      </c>
      <c r="P969" s="386">
        <f t="shared" ref="P969:Q969" si="966">IF(B969=0,0,IF(YEAR(B969)=$Q$1,MONTH(B969)-$P$1+1,(YEAR(B969)-$Q$1)*12-$P$1+1+MONTH(B969)))</f>
        <v>3</v>
      </c>
      <c r="Q969" s="330">
        <f t="shared" si="966"/>
        <v>-2</v>
      </c>
      <c r="R969" s="351" t="str">
        <f t="shared" si="3"/>
        <v>Gastos_custeados_por_captação</v>
      </c>
      <c r="S969" s="351" t="str">
        <f>IF(D969="","",IF(OR(D969=Plano!$A$1,D969=Plano!$B$1),"entrada","saída"))</f>
        <v>saída</v>
      </c>
      <c r="T969" s="334" t="s">
        <v>994</v>
      </c>
      <c r="U969" s="334">
        <v>671</v>
      </c>
      <c r="V969" s="269"/>
      <c r="W969" s="269"/>
    </row>
    <row r="970" spans="1:23" ht="180.75" customHeight="1" x14ac:dyDescent="0.2">
      <c r="A970" s="277">
        <f t="shared" si="0"/>
        <v>966</v>
      </c>
      <c r="B970" s="278">
        <v>44256</v>
      </c>
      <c r="C970" s="249">
        <v>44197</v>
      </c>
      <c r="D970" s="255" t="s">
        <v>104</v>
      </c>
      <c r="E970" s="255" t="s">
        <v>104</v>
      </c>
      <c r="F970" s="258">
        <v>5250</v>
      </c>
      <c r="G970" s="255" t="s">
        <v>3675</v>
      </c>
      <c r="H970" s="255" t="s">
        <v>104</v>
      </c>
      <c r="I970" s="252" t="s">
        <v>3676</v>
      </c>
      <c r="J970" s="252" t="s">
        <v>3677</v>
      </c>
      <c r="K970" s="255" t="s">
        <v>1015</v>
      </c>
      <c r="L970" s="250" t="s">
        <v>1016</v>
      </c>
      <c r="M970" s="255" t="s">
        <v>1443</v>
      </c>
      <c r="N970" s="278">
        <v>44252</v>
      </c>
      <c r="O970" s="329" t="s">
        <v>70</v>
      </c>
      <c r="P970" s="386">
        <f t="shared" ref="P970:Q970" si="967">IF(B970=0,0,IF(YEAR(B970)=$Q$1,MONTH(B970)-$P$1+1,(YEAR(B970)-$Q$1)*12-$P$1+1+MONTH(B970)))</f>
        <v>3</v>
      </c>
      <c r="Q970" s="330">
        <f t="shared" si="967"/>
        <v>1</v>
      </c>
      <c r="R970" s="351" t="str">
        <f t="shared" si="3"/>
        <v>Gastos_custeados_por_captação</v>
      </c>
      <c r="S970" s="351" t="str">
        <f>IF(D970="","",IF(OR(D970=Plano!$A$1,D970=Plano!$B$1),"entrada","saída"))</f>
        <v>saída</v>
      </c>
      <c r="T970" s="334" t="s">
        <v>994</v>
      </c>
      <c r="U970" s="334">
        <v>1284</v>
      </c>
      <c r="V970" s="269"/>
      <c r="W970" s="269"/>
    </row>
    <row r="971" spans="1:23" ht="87.75" customHeight="1" x14ac:dyDescent="0.2">
      <c r="A971" s="277">
        <f t="shared" si="0"/>
        <v>967</v>
      </c>
      <c r="B971" s="278">
        <v>44257</v>
      </c>
      <c r="C971" s="256">
        <v>44228</v>
      </c>
      <c r="D971" s="255" t="s">
        <v>99</v>
      </c>
      <c r="E971" s="255" t="s">
        <v>352</v>
      </c>
      <c r="F971" s="258">
        <v>285</v>
      </c>
      <c r="G971" s="255" t="s">
        <v>3678</v>
      </c>
      <c r="H971" s="255" t="s">
        <v>131</v>
      </c>
      <c r="I971" s="252" t="s">
        <v>1332</v>
      </c>
      <c r="J971" s="252" t="s">
        <v>565</v>
      </c>
      <c r="K971" s="255" t="s">
        <v>991</v>
      </c>
      <c r="L971" s="250" t="s">
        <v>1016</v>
      </c>
      <c r="M971" s="255" t="s">
        <v>1443</v>
      </c>
      <c r="N971" s="278">
        <v>44257</v>
      </c>
      <c r="O971" s="329" t="s">
        <v>67</v>
      </c>
      <c r="P971" s="386">
        <f t="shared" ref="P971:Q971" si="968">IF(B971=0,0,IF(YEAR(B971)=$Q$1,MONTH(B971)-$P$1+1,(YEAR(B971)-$Q$1)*12-$P$1+1+MONTH(B971)))</f>
        <v>3</v>
      </c>
      <c r="Q971" s="330">
        <f t="shared" si="968"/>
        <v>2</v>
      </c>
      <c r="R971" s="351" t="str">
        <f t="shared" si="3"/>
        <v>Gastos_Gerais</v>
      </c>
      <c r="S971" s="351" t="str">
        <f>IF(D971="","",IF(OR(D971=Plano!$A$1,D971=Plano!$B$1),"entrada","saída"))</f>
        <v>saída</v>
      </c>
      <c r="T971" s="334" t="s">
        <v>1059</v>
      </c>
      <c r="U971" s="334">
        <v>1280</v>
      </c>
      <c r="V971" s="269"/>
      <c r="W971" s="269"/>
    </row>
    <row r="972" spans="1:23" ht="193.5" customHeight="1" x14ac:dyDescent="0.2">
      <c r="A972" s="277">
        <f t="shared" si="0"/>
        <v>968</v>
      </c>
      <c r="B972" s="278">
        <v>44257</v>
      </c>
      <c r="C972" s="249">
        <v>44228</v>
      </c>
      <c r="D972" s="255" t="s">
        <v>104</v>
      </c>
      <c r="E972" s="255" t="s">
        <v>104</v>
      </c>
      <c r="F972" s="251">
        <v>2300</v>
      </c>
      <c r="G972" s="255" t="s">
        <v>3679</v>
      </c>
      <c r="H972" s="255" t="s">
        <v>104</v>
      </c>
      <c r="I972" s="252" t="s">
        <v>1623</v>
      </c>
      <c r="J972" s="252" t="s">
        <v>2619</v>
      </c>
      <c r="K972" s="255" t="s">
        <v>1015</v>
      </c>
      <c r="L972" s="250" t="s">
        <v>1016</v>
      </c>
      <c r="M972" s="255">
        <v>60</v>
      </c>
      <c r="N972" s="278">
        <v>44256</v>
      </c>
      <c r="O972" s="329" t="s">
        <v>68</v>
      </c>
      <c r="P972" s="386">
        <f t="shared" ref="P972:Q972" si="969">IF(B972=0,0,IF(YEAR(B972)=$Q$1,MONTH(B972)-$P$1+1,(YEAR(B972)-$Q$1)*12-$P$1+1+MONTH(B972)))</f>
        <v>3</v>
      </c>
      <c r="Q972" s="330">
        <f t="shared" si="969"/>
        <v>2</v>
      </c>
      <c r="R972" s="351" t="str">
        <f t="shared" si="3"/>
        <v>Gastos_custeados_por_captação</v>
      </c>
      <c r="S972" s="351" t="str">
        <f>IF(D972="","",IF(OR(D972=Plano!$A$1,D972=Plano!$B$1),"entrada","saída"))</f>
        <v>saída</v>
      </c>
      <c r="T972" s="334" t="s">
        <v>1082</v>
      </c>
      <c r="U972" s="334">
        <v>1192</v>
      </c>
      <c r="V972" s="269"/>
      <c r="W972" s="269"/>
    </row>
    <row r="973" spans="1:23" ht="69.75" customHeight="1" x14ac:dyDescent="0.2">
      <c r="A973" s="277">
        <f t="shared" si="0"/>
        <v>969</v>
      </c>
      <c r="B973" s="278">
        <v>44257</v>
      </c>
      <c r="C973" s="249">
        <v>44228</v>
      </c>
      <c r="D973" s="255" t="s">
        <v>104</v>
      </c>
      <c r="E973" s="255" t="s">
        <v>104</v>
      </c>
      <c r="F973" s="251">
        <v>2300</v>
      </c>
      <c r="G973" s="255" t="s">
        <v>3680</v>
      </c>
      <c r="H973" s="255" t="s">
        <v>104</v>
      </c>
      <c r="I973" s="252" t="s">
        <v>3681</v>
      </c>
      <c r="J973" s="252" t="s">
        <v>3682</v>
      </c>
      <c r="K973" s="255" t="s">
        <v>1015</v>
      </c>
      <c r="L973" s="250" t="s">
        <v>1016</v>
      </c>
      <c r="M973" s="255">
        <v>25</v>
      </c>
      <c r="N973" s="278">
        <v>44257</v>
      </c>
      <c r="O973" s="329" t="s">
        <v>68</v>
      </c>
      <c r="P973" s="386">
        <f t="shared" ref="P973:Q973" si="970">IF(B973=0,0,IF(YEAR(B973)=$Q$1,MONTH(B973)-$P$1+1,(YEAR(B973)-$Q$1)*12-$P$1+1+MONTH(B973)))</f>
        <v>3</v>
      </c>
      <c r="Q973" s="330">
        <f t="shared" si="970"/>
        <v>2</v>
      </c>
      <c r="R973" s="351" t="str">
        <f t="shared" si="3"/>
        <v>Gastos_custeados_por_captação</v>
      </c>
      <c r="S973" s="351" t="str">
        <f>IF(D973="","",IF(OR(D973=Plano!$A$1,D973=Plano!$B$1),"entrada","saída"))</f>
        <v>saída</v>
      </c>
      <c r="T973" s="334" t="s">
        <v>1082</v>
      </c>
      <c r="U973" s="334">
        <v>1411</v>
      </c>
      <c r="V973" s="269"/>
      <c r="W973" s="269"/>
    </row>
    <row r="974" spans="1:23" ht="202.5" customHeight="1" x14ac:dyDescent="0.2">
      <c r="A974" s="277">
        <f t="shared" si="0"/>
        <v>970</v>
      </c>
      <c r="B974" s="278">
        <v>44257</v>
      </c>
      <c r="C974" s="249">
        <v>44228</v>
      </c>
      <c r="D974" s="255" t="s">
        <v>104</v>
      </c>
      <c r="E974" s="255" t="s">
        <v>104</v>
      </c>
      <c r="F974" s="251">
        <v>2300</v>
      </c>
      <c r="G974" s="255" t="s">
        <v>3683</v>
      </c>
      <c r="H974" s="255" t="s">
        <v>104</v>
      </c>
      <c r="I974" s="252" t="s">
        <v>1625</v>
      </c>
      <c r="J974" s="252" t="s">
        <v>2613</v>
      </c>
      <c r="K974" s="255" t="s">
        <v>1015</v>
      </c>
      <c r="L974" s="250" t="s">
        <v>1016</v>
      </c>
      <c r="M974" s="255">
        <v>20</v>
      </c>
      <c r="N974" s="278">
        <v>44257</v>
      </c>
      <c r="O974" s="329" t="s">
        <v>68</v>
      </c>
      <c r="P974" s="386">
        <f t="shared" ref="P974:Q974" si="971">IF(B974=0,0,IF(YEAR(B974)=$Q$1,MONTH(B974)-$P$1+1,(YEAR(B974)-$Q$1)*12-$P$1+1+MONTH(B974)))</f>
        <v>3</v>
      </c>
      <c r="Q974" s="330">
        <f t="shared" si="971"/>
        <v>2</v>
      </c>
      <c r="R974" s="351" t="str">
        <f t="shared" si="3"/>
        <v>Gastos_custeados_por_captação</v>
      </c>
      <c r="S974" s="351" t="str">
        <f>IF(D974="","",IF(OR(D974=Plano!$A$1,D974=Plano!$B$1),"entrada","saída"))</f>
        <v>saída</v>
      </c>
      <c r="T974" s="334" t="s">
        <v>1082</v>
      </c>
      <c r="U974" s="334">
        <v>1196</v>
      </c>
      <c r="V974" s="269"/>
      <c r="W974" s="269"/>
    </row>
    <row r="975" spans="1:23" ht="180.75" customHeight="1" x14ac:dyDescent="0.2">
      <c r="A975" s="277">
        <f t="shared" si="0"/>
        <v>971</v>
      </c>
      <c r="B975" s="278">
        <v>44257</v>
      </c>
      <c r="C975" s="249">
        <v>44228</v>
      </c>
      <c r="D975" s="255" t="s">
        <v>104</v>
      </c>
      <c r="E975" s="255" t="s">
        <v>104</v>
      </c>
      <c r="F975" s="251">
        <v>2300</v>
      </c>
      <c r="G975" s="255" t="s">
        <v>3683</v>
      </c>
      <c r="H975" s="255" t="s">
        <v>104</v>
      </c>
      <c r="I975" s="252" t="s">
        <v>2493</v>
      </c>
      <c r="J975" s="252" t="s">
        <v>2494</v>
      </c>
      <c r="K975" s="255" t="s">
        <v>1015</v>
      </c>
      <c r="L975" s="250" t="s">
        <v>1016</v>
      </c>
      <c r="M975" s="255" t="s">
        <v>3684</v>
      </c>
      <c r="N975" s="278">
        <v>44257</v>
      </c>
      <c r="O975" s="329" t="s">
        <v>68</v>
      </c>
      <c r="P975" s="386">
        <f t="shared" ref="P975:Q975" si="972">IF(B975=0,0,IF(YEAR(B975)=$Q$1,MONTH(B975)-$P$1+1,(YEAR(B975)-$Q$1)*12-$P$1+1+MONTH(B975)))</f>
        <v>3</v>
      </c>
      <c r="Q975" s="330">
        <f t="shared" si="972"/>
        <v>2</v>
      </c>
      <c r="R975" s="351" t="str">
        <f t="shared" si="3"/>
        <v>Gastos_custeados_por_captação</v>
      </c>
      <c r="S975" s="351" t="str">
        <f>IF(D975="","",IF(OR(D975=Plano!$A$1,D975=Plano!$B$1),"entrada","saída"))</f>
        <v>saída</v>
      </c>
      <c r="T975" s="334" t="s">
        <v>1082</v>
      </c>
      <c r="U975" s="334">
        <v>1195</v>
      </c>
      <c r="V975" s="269"/>
      <c r="W975" s="269"/>
    </row>
    <row r="976" spans="1:23" ht="134.25" customHeight="1" x14ac:dyDescent="0.2">
      <c r="A976" s="277">
        <f t="shared" si="0"/>
        <v>972</v>
      </c>
      <c r="B976" s="278">
        <v>44258</v>
      </c>
      <c r="C976" s="256">
        <v>44228</v>
      </c>
      <c r="D976" s="255" t="s">
        <v>99</v>
      </c>
      <c r="E976" s="255" t="s">
        <v>288</v>
      </c>
      <c r="F976" s="258">
        <v>180.5</v>
      </c>
      <c r="G976" s="255" t="s">
        <v>3685</v>
      </c>
      <c r="H976" s="255" t="s">
        <v>115</v>
      </c>
      <c r="I976" s="252" t="s">
        <v>1525</v>
      </c>
      <c r="J976" s="252" t="s">
        <v>1526</v>
      </c>
      <c r="K976" s="255" t="s">
        <v>560</v>
      </c>
      <c r="L976" s="250" t="s">
        <v>1016</v>
      </c>
      <c r="M976" s="255">
        <v>22352</v>
      </c>
      <c r="N976" s="278">
        <v>44246</v>
      </c>
      <c r="O976" s="329" t="s">
        <v>67</v>
      </c>
      <c r="P976" s="386">
        <f t="shared" ref="P976:Q976" si="973">IF(B976=0,0,IF(YEAR(B976)=$Q$1,MONTH(B976)-$P$1+1,(YEAR(B976)-$Q$1)*12-$P$1+1+MONTH(B976)))</f>
        <v>3</v>
      </c>
      <c r="Q976" s="330">
        <f t="shared" si="973"/>
        <v>2</v>
      </c>
      <c r="R976" s="351" t="str">
        <f t="shared" si="3"/>
        <v>Gastos_Gerais</v>
      </c>
      <c r="S976" s="351" t="str">
        <f>IF(D976="","",IF(OR(D976=Plano!$A$1,D976=Plano!$B$1),"entrada","saída"))</f>
        <v>saída</v>
      </c>
      <c r="T976" s="334" t="s">
        <v>1011</v>
      </c>
      <c r="U976" s="334">
        <v>1342</v>
      </c>
      <c r="V976" s="269"/>
      <c r="W976" s="269"/>
    </row>
    <row r="977" spans="1:23" ht="197.25" customHeight="1" x14ac:dyDescent="0.2">
      <c r="A977" s="277">
        <f t="shared" si="0"/>
        <v>973</v>
      </c>
      <c r="B977" s="278">
        <v>44258</v>
      </c>
      <c r="C977" s="249">
        <v>44105</v>
      </c>
      <c r="D977" s="255" t="s">
        <v>104</v>
      </c>
      <c r="E977" s="255" t="s">
        <v>104</v>
      </c>
      <c r="F977" s="251">
        <f>3150-2250+450</f>
        <v>1350</v>
      </c>
      <c r="G977" s="255" t="s">
        <v>3686</v>
      </c>
      <c r="H977" s="255" t="s">
        <v>104</v>
      </c>
      <c r="I977" s="252" t="s">
        <v>2899</v>
      </c>
      <c r="J977" s="252" t="s">
        <v>2900</v>
      </c>
      <c r="K977" s="255" t="s">
        <v>1015</v>
      </c>
      <c r="L977" s="250" t="s">
        <v>1016</v>
      </c>
      <c r="M977" s="255" t="s">
        <v>1148</v>
      </c>
      <c r="N977" s="278">
        <v>44258</v>
      </c>
      <c r="O977" s="329" t="s">
        <v>69</v>
      </c>
      <c r="P977" s="386">
        <f t="shared" ref="P977:Q977" si="974">IF(B977=0,0,IF(YEAR(B977)=$Q$1,MONTH(B977)-$P$1+1,(YEAR(B977)-$Q$1)*12-$P$1+1+MONTH(B977)))</f>
        <v>3</v>
      </c>
      <c r="Q977" s="330">
        <f t="shared" si="974"/>
        <v>-2</v>
      </c>
      <c r="R977" s="351" t="str">
        <f t="shared" si="3"/>
        <v>Gastos_custeados_por_captação</v>
      </c>
      <c r="S977" s="351" t="str">
        <f>IF(D977="","",IF(OR(D977=Plano!$A$1,D977=Plano!$B$1),"entrada","saída"))</f>
        <v>saída</v>
      </c>
      <c r="T977" s="334" t="s">
        <v>994</v>
      </c>
      <c r="U977" s="334">
        <v>737</v>
      </c>
      <c r="V977" s="269"/>
      <c r="W977" s="269"/>
    </row>
    <row r="978" spans="1:23" ht="156.75" customHeight="1" x14ac:dyDescent="0.2">
      <c r="A978" s="277">
        <f t="shared" si="0"/>
        <v>974</v>
      </c>
      <c r="B978" s="278">
        <v>44258</v>
      </c>
      <c r="C978" s="259">
        <v>44228</v>
      </c>
      <c r="D978" s="255" t="s">
        <v>104</v>
      </c>
      <c r="E978" s="255" t="s">
        <v>104</v>
      </c>
      <c r="F978" s="258">
        <v>2075.92</v>
      </c>
      <c r="G978" s="255" t="s">
        <v>631</v>
      </c>
      <c r="H978" s="255" t="s">
        <v>104</v>
      </c>
      <c r="I978" s="252" t="s">
        <v>2734</v>
      </c>
      <c r="J978" s="252" t="s">
        <v>2735</v>
      </c>
      <c r="K978" s="255" t="s">
        <v>1015</v>
      </c>
      <c r="L978" s="250" t="s">
        <v>1029</v>
      </c>
      <c r="M978" s="255">
        <v>1091</v>
      </c>
      <c r="N978" s="278">
        <v>44258</v>
      </c>
      <c r="O978" s="329" t="s">
        <v>69</v>
      </c>
      <c r="P978" s="386">
        <f t="shared" ref="P978:Q978" si="975">IF(B978=0,0,IF(YEAR(B978)=$Q$1,MONTH(B978)-$P$1+1,(YEAR(B978)-$Q$1)*12-$P$1+1+MONTH(B978)))</f>
        <v>3</v>
      </c>
      <c r="Q978" s="330">
        <f t="shared" si="975"/>
        <v>2</v>
      </c>
      <c r="R978" s="351" t="str">
        <f t="shared" si="3"/>
        <v>Gastos_custeados_por_captação</v>
      </c>
      <c r="S978" s="351" t="str">
        <f>IF(D978="","",IF(OR(D978=Plano!$A$1,D978=Plano!$B$1),"entrada","saída"))</f>
        <v>saída</v>
      </c>
      <c r="T978" s="334" t="s">
        <v>994</v>
      </c>
      <c r="U978" s="334">
        <v>552</v>
      </c>
      <c r="V978" s="269"/>
      <c r="W978" s="269"/>
    </row>
    <row r="979" spans="1:23" ht="69.75" customHeight="1" x14ac:dyDescent="0.2">
      <c r="A979" s="277">
        <f t="shared" si="0"/>
        <v>975</v>
      </c>
      <c r="B979" s="278">
        <v>44258</v>
      </c>
      <c r="C979" s="259">
        <v>44075</v>
      </c>
      <c r="D979" s="255" t="s">
        <v>104</v>
      </c>
      <c r="E979" s="255" t="s">
        <v>104</v>
      </c>
      <c r="F979" s="258">
        <v>4000</v>
      </c>
      <c r="G979" s="255" t="s">
        <v>3687</v>
      </c>
      <c r="H979" s="255" t="s">
        <v>104</v>
      </c>
      <c r="I979" s="252" t="s">
        <v>2418</v>
      </c>
      <c r="J979" s="252" t="s">
        <v>850</v>
      </c>
      <c r="K979" s="255" t="s">
        <v>1015</v>
      </c>
      <c r="L979" s="250" t="s">
        <v>1177</v>
      </c>
      <c r="M979" s="255" t="s">
        <v>3688</v>
      </c>
      <c r="N979" s="278">
        <v>44258</v>
      </c>
      <c r="O979" s="329" t="s">
        <v>70</v>
      </c>
      <c r="P979" s="386">
        <f t="shared" ref="P979:Q979" si="976">IF(B979=0,0,IF(YEAR(B979)=$Q$1,MONTH(B979)-$P$1+1,(YEAR(B979)-$Q$1)*12-$P$1+1+MONTH(B979)))</f>
        <v>3</v>
      </c>
      <c r="Q979" s="330">
        <f t="shared" si="976"/>
        <v>-3</v>
      </c>
      <c r="R979" s="351" t="str">
        <f t="shared" si="3"/>
        <v>Gastos_custeados_por_captação</v>
      </c>
      <c r="S979" s="351" t="str">
        <f>IF(D979="","",IF(OR(D979=Plano!$A$1,D979=Plano!$B$1),"entrada","saída"))</f>
        <v>saída</v>
      </c>
      <c r="T979" s="334" t="s">
        <v>114</v>
      </c>
      <c r="U979" s="334" t="s">
        <v>114</v>
      </c>
      <c r="V979" s="269"/>
      <c r="W979" s="269"/>
    </row>
    <row r="980" spans="1:23" ht="69.75" customHeight="1" x14ac:dyDescent="0.2">
      <c r="A980" s="277">
        <f t="shared" si="0"/>
        <v>976</v>
      </c>
      <c r="B980" s="278">
        <v>44258</v>
      </c>
      <c r="C980" s="259">
        <v>44105</v>
      </c>
      <c r="D980" s="255" t="s">
        <v>104</v>
      </c>
      <c r="E980" s="255" t="s">
        <v>104</v>
      </c>
      <c r="F980" s="258">
        <v>4000</v>
      </c>
      <c r="G980" s="255" t="s">
        <v>3689</v>
      </c>
      <c r="H980" s="255" t="s">
        <v>104</v>
      </c>
      <c r="I980" s="252" t="s">
        <v>2418</v>
      </c>
      <c r="J980" s="252" t="s">
        <v>850</v>
      </c>
      <c r="K980" s="255" t="s">
        <v>1015</v>
      </c>
      <c r="L980" s="250" t="s">
        <v>1177</v>
      </c>
      <c r="M980" s="255" t="s">
        <v>3690</v>
      </c>
      <c r="N980" s="278">
        <v>44258</v>
      </c>
      <c r="O980" s="329" t="s">
        <v>70</v>
      </c>
      <c r="P980" s="386">
        <f t="shared" ref="P980:Q980" si="977">IF(B980=0,0,IF(YEAR(B980)=$Q$1,MONTH(B980)-$P$1+1,(YEAR(B980)-$Q$1)*12-$P$1+1+MONTH(B980)))</f>
        <v>3</v>
      </c>
      <c r="Q980" s="330">
        <f t="shared" si="977"/>
        <v>-2</v>
      </c>
      <c r="R980" s="351" t="str">
        <f t="shared" si="3"/>
        <v>Gastos_custeados_por_captação</v>
      </c>
      <c r="S980" s="351" t="str">
        <f>IF(D980="","",IF(OR(D980=Plano!$A$1,D980=Plano!$B$1),"entrada","saída"))</f>
        <v>saída</v>
      </c>
      <c r="T980" s="334" t="s">
        <v>114</v>
      </c>
      <c r="U980" s="334" t="s">
        <v>114</v>
      </c>
      <c r="V980" s="269"/>
      <c r="W980" s="269"/>
    </row>
    <row r="981" spans="1:23" ht="69.75" customHeight="1" x14ac:dyDescent="0.2">
      <c r="A981" s="277">
        <f t="shared" si="0"/>
        <v>977</v>
      </c>
      <c r="B981" s="278">
        <v>44258</v>
      </c>
      <c r="C981" s="259">
        <v>44136</v>
      </c>
      <c r="D981" s="255" t="s">
        <v>104</v>
      </c>
      <c r="E981" s="255" t="s">
        <v>104</v>
      </c>
      <c r="F981" s="258">
        <v>4000</v>
      </c>
      <c r="G981" s="255" t="s">
        <v>3691</v>
      </c>
      <c r="H981" s="255" t="s">
        <v>104</v>
      </c>
      <c r="I981" s="252" t="s">
        <v>2418</v>
      </c>
      <c r="J981" s="252" t="s">
        <v>850</v>
      </c>
      <c r="K981" s="255" t="s">
        <v>1015</v>
      </c>
      <c r="L981" s="250" t="s">
        <v>1177</v>
      </c>
      <c r="M981" s="255" t="s">
        <v>3692</v>
      </c>
      <c r="N981" s="278">
        <v>44258</v>
      </c>
      <c r="O981" s="329" t="s">
        <v>70</v>
      </c>
      <c r="P981" s="386">
        <f t="shared" ref="P981:Q981" si="978">IF(B981=0,0,IF(YEAR(B981)=$Q$1,MONTH(B981)-$P$1+1,(YEAR(B981)-$Q$1)*12-$P$1+1+MONTH(B981)))</f>
        <v>3</v>
      </c>
      <c r="Q981" s="330">
        <f t="shared" si="978"/>
        <v>-1</v>
      </c>
      <c r="R981" s="351" t="str">
        <f t="shared" si="3"/>
        <v>Gastos_custeados_por_captação</v>
      </c>
      <c r="S981" s="351" t="str">
        <f>IF(D981="","",IF(OR(D981=Plano!$A$1,D981=Plano!$B$1),"entrada","saída"))</f>
        <v>saída</v>
      </c>
      <c r="T981" s="334" t="s">
        <v>114</v>
      </c>
      <c r="U981" s="334" t="s">
        <v>114</v>
      </c>
      <c r="V981" s="269"/>
      <c r="W981" s="269"/>
    </row>
    <row r="982" spans="1:23" ht="69.75" customHeight="1" x14ac:dyDescent="0.2">
      <c r="A982" s="277">
        <f t="shared" si="0"/>
        <v>978</v>
      </c>
      <c r="B982" s="278">
        <v>44258</v>
      </c>
      <c r="C982" s="259">
        <v>44075</v>
      </c>
      <c r="D982" s="255" t="s">
        <v>104</v>
      </c>
      <c r="E982" s="255" t="s">
        <v>104</v>
      </c>
      <c r="F982" s="258">
        <v>3500</v>
      </c>
      <c r="G982" s="255" t="s">
        <v>3693</v>
      </c>
      <c r="H982" s="255" t="s">
        <v>104</v>
      </c>
      <c r="I982" s="252" t="s">
        <v>2418</v>
      </c>
      <c r="J982" s="252" t="s">
        <v>850</v>
      </c>
      <c r="K982" s="255" t="s">
        <v>1015</v>
      </c>
      <c r="L982" s="250" t="s">
        <v>1177</v>
      </c>
      <c r="M982" s="255" t="s">
        <v>3694</v>
      </c>
      <c r="N982" s="278">
        <v>44258</v>
      </c>
      <c r="O982" s="329" t="s">
        <v>70</v>
      </c>
      <c r="P982" s="386">
        <f t="shared" ref="P982:Q982" si="979">IF(B982=0,0,IF(YEAR(B982)=$Q$1,MONTH(B982)-$P$1+1,(YEAR(B982)-$Q$1)*12-$P$1+1+MONTH(B982)))</f>
        <v>3</v>
      </c>
      <c r="Q982" s="330">
        <f t="shared" si="979"/>
        <v>-3</v>
      </c>
      <c r="R982" s="351" t="str">
        <f t="shared" si="3"/>
        <v>Gastos_custeados_por_captação</v>
      </c>
      <c r="S982" s="351" t="str">
        <f>IF(D982="","",IF(OR(D982=Plano!$A$1,D982=Plano!$B$1),"entrada","saída"))</f>
        <v>saída</v>
      </c>
      <c r="T982" s="334" t="s">
        <v>114</v>
      </c>
      <c r="U982" s="334" t="s">
        <v>114</v>
      </c>
      <c r="V982" s="269"/>
      <c r="W982" s="269"/>
    </row>
    <row r="983" spans="1:23" ht="69.75" customHeight="1" x14ac:dyDescent="0.2">
      <c r="A983" s="277">
        <f t="shared" si="0"/>
        <v>979</v>
      </c>
      <c r="B983" s="278">
        <v>44258</v>
      </c>
      <c r="C983" s="259">
        <v>44166</v>
      </c>
      <c r="D983" s="255" t="s">
        <v>104</v>
      </c>
      <c r="E983" s="255" t="s">
        <v>104</v>
      </c>
      <c r="F983" s="258">
        <v>4000</v>
      </c>
      <c r="G983" s="255" t="s">
        <v>3695</v>
      </c>
      <c r="H983" s="255" t="s">
        <v>104</v>
      </c>
      <c r="I983" s="252" t="s">
        <v>2418</v>
      </c>
      <c r="J983" s="252" t="s">
        <v>850</v>
      </c>
      <c r="K983" s="255" t="s">
        <v>1015</v>
      </c>
      <c r="L983" s="250" t="s">
        <v>1177</v>
      </c>
      <c r="M983" s="255" t="s">
        <v>3696</v>
      </c>
      <c r="N983" s="278">
        <v>44258</v>
      </c>
      <c r="O983" s="329" t="s">
        <v>70</v>
      </c>
      <c r="P983" s="386">
        <f t="shared" ref="P983:Q983" si="980">IF(B983=0,0,IF(YEAR(B983)=$Q$1,MONTH(B983)-$P$1+1,(YEAR(B983)-$Q$1)*12-$P$1+1+MONTH(B983)))</f>
        <v>3</v>
      </c>
      <c r="Q983" s="330">
        <f t="shared" si="980"/>
        <v>0</v>
      </c>
      <c r="R983" s="351" t="str">
        <f t="shared" si="3"/>
        <v>Gastos_custeados_por_captação</v>
      </c>
      <c r="S983" s="351" t="str">
        <f>IF(D983="","",IF(OR(D983=Plano!$A$1,D983=Plano!$B$1),"entrada","saída"))</f>
        <v>saída</v>
      </c>
      <c r="T983" s="334" t="s">
        <v>114</v>
      </c>
      <c r="U983" s="334" t="s">
        <v>114</v>
      </c>
      <c r="V983" s="269"/>
      <c r="W983" s="269"/>
    </row>
    <row r="984" spans="1:23" ht="69.75" customHeight="1" x14ac:dyDescent="0.2">
      <c r="A984" s="277">
        <f t="shared" si="0"/>
        <v>980</v>
      </c>
      <c r="B984" s="278">
        <v>44258</v>
      </c>
      <c r="C984" s="259">
        <v>44197</v>
      </c>
      <c r="D984" s="255" t="s">
        <v>104</v>
      </c>
      <c r="E984" s="255" t="s">
        <v>104</v>
      </c>
      <c r="F984" s="258">
        <v>4000</v>
      </c>
      <c r="G984" s="255" t="s">
        <v>3697</v>
      </c>
      <c r="H984" s="255" t="s">
        <v>104</v>
      </c>
      <c r="I984" s="252" t="s">
        <v>2418</v>
      </c>
      <c r="J984" s="252" t="s">
        <v>850</v>
      </c>
      <c r="K984" s="255" t="s">
        <v>1015</v>
      </c>
      <c r="L984" s="250" t="s">
        <v>1177</v>
      </c>
      <c r="M984" s="255" t="s">
        <v>3698</v>
      </c>
      <c r="N984" s="278">
        <v>44258</v>
      </c>
      <c r="O984" s="329" t="s">
        <v>70</v>
      </c>
      <c r="P984" s="386">
        <f t="shared" ref="P984:Q984" si="981">IF(B984=0,0,IF(YEAR(B984)=$Q$1,MONTH(B984)-$P$1+1,(YEAR(B984)-$Q$1)*12-$P$1+1+MONTH(B984)))</f>
        <v>3</v>
      </c>
      <c r="Q984" s="330">
        <f t="shared" si="981"/>
        <v>1</v>
      </c>
      <c r="R984" s="351" t="str">
        <f t="shared" si="3"/>
        <v>Gastos_custeados_por_captação</v>
      </c>
      <c r="S984" s="351" t="str">
        <f>IF(D984="","",IF(OR(D984=Plano!$A$1,D984=Plano!$B$1),"entrada","saída"))</f>
        <v>saída</v>
      </c>
      <c r="T984" s="334" t="s">
        <v>114</v>
      </c>
      <c r="U984" s="334" t="s">
        <v>114</v>
      </c>
      <c r="V984" s="269"/>
      <c r="W984" s="269"/>
    </row>
    <row r="985" spans="1:23" ht="69.75" customHeight="1" x14ac:dyDescent="0.2">
      <c r="A985" s="277">
        <f t="shared" si="0"/>
        <v>981</v>
      </c>
      <c r="B985" s="278">
        <v>44258</v>
      </c>
      <c r="C985" s="259">
        <v>44105</v>
      </c>
      <c r="D985" s="255" t="s">
        <v>104</v>
      </c>
      <c r="E985" s="255" t="s">
        <v>104</v>
      </c>
      <c r="F985" s="258">
        <v>3500</v>
      </c>
      <c r="G985" s="255" t="s">
        <v>3699</v>
      </c>
      <c r="H985" s="255" t="s">
        <v>104</v>
      </c>
      <c r="I985" s="252" t="s">
        <v>2418</v>
      </c>
      <c r="J985" s="252" t="s">
        <v>850</v>
      </c>
      <c r="K985" s="255" t="s">
        <v>1015</v>
      </c>
      <c r="L985" s="250" t="s">
        <v>1177</v>
      </c>
      <c r="M985" s="255" t="s">
        <v>3700</v>
      </c>
      <c r="N985" s="278">
        <v>44258</v>
      </c>
      <c r="O985" s="329" t="s">
        <v>70</v>
      </c>
      <c r="P985" s="386">
        <f t="shared" ref="P985:Q985" si="982">IF(B985=0,0,IF(YEAR(B985)=$Q$1,MONTH(B985)-$P$1+1,(YEAR(B985)-$Q$1)*12-$P$1+1+MONTH(B985)))</f>
        <v>3</v>
      </c>
      <c r="Q985" s="330">
        <f t="shared" si="982"/>
        <v>-2</v>
      </c>
      <c r="R985" s="351" t="str">
        <f t="shared" si="3"/>
        <v>Gastos_custeados_por_captação</v>
      </c>
      <c r="S985" s="351" t="str">
        <f>IF(D985="","",IF(OR(D985=Plano!$A$1,D985=Plano!$B$1),"entrada","saída"))</f>
        <v>saída</v>
      </c>
      <c r="T985" s="334" t="s">
        <v>114</v>
      </c>
      <c r="U985" s="334" t="s">
        <v>114</v>
      </c>
      <c r="V985" s="269"/>
      <c r="W985" s="269"/>
    </row>
    <row r="986" spans="1:23" ht="69.75" customHeight="1" x14ac:dyDescent="0.2">
      <c r="A986" s="277">
        <f t="shared" si="0"/>
        <v>982</v>
      </c>
      <c r="B986" s="278">
        <v>44258</v>
      </c>
      <c r="C986" s="259">
        <v>44136</v>
      </c>
      <c r="D986" s="255" t="s">
        <v>104</v>
      </c>
      <c r="E986" s="255" t="s">
        <v>104</v>
      </c>
      <c r="F986" s="258">
        <v>3500</v>
      </c>
      <c r="G986" s="255" t="s">
        <v>3701</v>
      </c>
      <c r="H986" s="255" t="s">
        <v>104</v>
      </c>
      <c r="I986" s="252" t="s">
        <v>2418</v>
      </c>
      <c r="J986" s="252" t="s">
        <v>850</v>
      </c>
      <c r="K986" s="255" t="s">
        <v>1015</v>
      </c>
      <c r="L986" s="250" t="s">
        <v>1177</v>
      </c>
      <c r="M986" s="255" t="s">
        <v>3702</v>
      </c>
      <c r="N986" s="278">
        <v>44258</v>
      </c>
      <c r="O986" s="329" t="s">
        <v>70</v>
      </c>
      <c r="P986" s="386">
        <f t="shared" ref="P986:Q986" si="983">IF(B986=0,0,IF(YEAR(B986)=$Q$1,MONTH(B986)-$P$1+1,(YEAR(B986)-$Q$1)*12-$P$1+1+MONTH(B986)))</f>
        <v>3</v>
      </c>
      <c r="Q986" s="330">
        <f t="shared" si="983"/>
        <v>-1</v>
      </c>
      <c r="R986" s="351" t="str">
        <f t="shared" si="3"/>
        <v>Gastos_custeados_por_captação</v>
      </c>
      <c r="S986" s="351" t="str">
        <f>IF(D986="","",IF(OR(D986=Plano!$A$1,D986=Plano!$B$1),"entrada","saída"))</f>
        <v>saída</v>
      </c>
      <c r="T986" s="334" t="s">
        <v>114</v>
      </c>
      <c r="U986" s="334" t="s">
        <v>114</v>
      </c>
      <c r="V986" s="269"/>
      <c r="W986" s="269"/>
    </row>
    <row r="987" spans="1:23" ht="69.75" customHeight="1" x14ac:dyDescent="0.2">
      <c r="A987" s="277">
        <f t="shared" si="0"/>
        <v>983</v>
      </c>
      <c r="B987" s="278">
        <v>44258</v>
      </c>
      <c r="C987" s="259">
        <v>44166</v>
      </c>
      <c r="D987" s="255" t="s">
        <v>104</v>
      </c>
      <c r="E987" s="255" t="s">
        <v>104</v>
      </c>
      <c r="F987" s="258">
        <v>3500</v>
      </c>
      <c r="G987" s="255" t="s">
        <v>3703</v>
      </c>
      <c r="H987" s="255" t="s">
        <v>104</v>
      </c>
      <c r="I987" s="252" t="s">
        <v>2418</v>
      </c>
      <c r="J987" s="252" t="s">
        <v>850</v>
      </c>
      <c r="K987" s="255" t="s">
        <v>1015</v>
      </c>
      <c r="L987" s="250" t="s">
        <v>1177</v>
      </c>
      <c r="M987" s="255" t="s">
        <v>3704</v>
      </c>
      <c r="N987" s="278">
        <v>44258</v>
      </c>
      <c r="O987" s="329" t="s">
        <v>70</v>
      </c>
      <c r="P987" s="386">
        <f t="shared" ref="P987:Q987" si="984">IF(B987=0,0,IF(YEAR(B987)=$Q$1,MONTH(B987)-$P$1+1,(YEAR(B987)-$Q$1)*12-$P$1+1+MONTH(B987)))</f>
        <v>3</v>
      </c>
      <c r="Q987" s="330">
        <f t="shared" si="984"/>
        <v>0</v>
      </c>
      <c r="R987" s="351" t="str">
        <f t="shared" si="3"/>
        <v>Gastos_custeados_por_captação</v>
      </c>
      <c r="S987" s="351" t="str">
        <f>IF(D987="","",IF(OR(D987=Plano!$A$1,D987=Plano!$B$1),"entrada","saída"))</f>
        <v>saída</v>
      </c>
      <c r="T987" s="334" t="s">
        <v>114</v>
      </c>
      <c r="U987" s="334" t="s">
        <v>114</v>
      </c>
      <c r="V987" s="269"/>
      <c r="W987" s="269"/>
    </row>
    <row r="988" spans="1:23" ht="69.75" customHeight="1" x14ac:dyDescent="0.2">
      <c r="A988" s="277">
        <f t="shared" si="0"/>
        <v>984</v>
      </c>
      <c r="B988" s="278">
        <v>44258</v>
      </c>
      <c r="C988" s="256">
        <v>44197</v>
      </c>
      <c r="D988" s="255" t="s">
        <v>104</v>
      </c>
      <c r="E988" s="255" t="s">
        <v>104</v>
      </c>
      <c r="F988" s="258">
        <v>3500</v>
      </c>
      <c r="G988" s="255" t="s">
        <v>3705</v>
      </c>
      <c r="H988" s="255" t="s">
        <v>104</v>
      </c>
      <c r="I988" s="252" t="s">
        <v>2418</v>
      </c>
      <c r="J988" s="252" t="s">
        <v>850</v>
      </c>
      <c r="K988" s="255" t="s">
        <v>1015</v>
      </c>
      <c r="L988" s="250" t="s">
        <v>1177</v>
      </c>
      <c r="M988" s="255" t="s">
        <v>3706</v>
      </c>
      <c r="N988" s="278">
        <v>44258</v>
      </c>
      <c r="O988" s="329" t="s">
        <v>70</v>
      </c>
      <c r="P988" s="386">
        <f t="shared" ref="P988:Q988" si="985">IF(B988=0,0,IF(YEAR(B988)=$Q$1,MONTH(B988)-$P$1+1,(YEAR(B988)-$Q$1)*12-$P$1+1+MONTH(B988)))</f>
        <v>3</v>
      </c>
      <c r="Q988" s="330">
        <f t="shared" si="985"/>
        <v>1</v>
      </c>
      <c r="R988" s="351" t="str">
        <f t="shared" si="3"/>
        <v>Gastos_custeados_por_captação</v>
      </c>
      <c r="S988" s="351" t="str">
        <f>IF(D988="","",IF(OR(D988=Plano!$A$1,D988=Plano!$B$1),"entrada","saída"))</f>
        <v>saída</v>
      </c>
      <c r="T988" s="334" t="s">
        <v>114</v>
      </c>
      <c r="U988" s="334" t="s">
        <v>114</v>
      </c>
      <c r="V988" s="269"/>
      <c r="W988" s="269"/>
    </row>
    <row r="989" spans="1:23" ht="69.75" customHeight="1" x14ac:dyDescent="0.2">
      <c r="A989" s="277">
        <f t="shared" si="0"/>
        <v>985</v>
      </c>
      <c r="B989" s="278">
        <v>44258</v>
      </c>
      <c r="C989" s="249">
        <v>44228</v>
      </c>
      <c r="D989" s="255" t="s">
        <v>104</v>
      </c>
      <c r="E989" s="255" t="s">
        <v>104</v>
      </c>
      <c r="F989" s="251">
        <v>2300</v>
      </c>
      <c r="G989" s="255" t="s">
        <v>3680</v>
      </c>
      <c r="H989" s="255" t="s">
        <v>104</v>
      </c>
      <c r="I989" s="252" t="s">
        <v>2609</v>
      </c>
      <c r="J989" s="252" t="s">
        <v>2610</v>
      </c>
      <c r="K989" s="255" t="s">
        <v>1015</v>
      </c>
      <c r="L989" s="250" t="s">
        <v>1016</v>
      </c>
      <c r="M989" s="255">
        <v>39</v>
      </c>
      <c r="N989" s="278">
        <v>44257</v>
      </c>
      <c r="O989" s="329" t="s">
        <v>68</v>
      </c>
      <c r="P989" s="386">
        <f t="shared" ref="P989:Q989" si="986">IF(B989=0,0,IF(YEAR(B989)=$Q$1,MONTH(B989)-$P$1+1,(YEAR(B989)-$Q$1)*12-$P$1+1+MONTH(B989)))</f>
        <v>3</v>
      </c>
      <c r="Q989" s="330">
        <f t="shared" si="986"/>
        <v>2</v>
      </c>
      <c r="R989" s="351" t="str">
        <f t="shared" si="3"/>
        <v>Gastos_custeados_por_captação</v>
      </c>
      <c r="S989" s="351" t="str">
        <f>IF(D989="","",IF(OR(D989=Plano!$A$1,D989=Plano!$B$1),"entrada","saída"))</f>
        <v>saída</v>
      </c>
      <c r="T989" s="334" t="s">
        <v>1082</v>
      </c>
      <c r="U989" s="334">
        <v>1231</v>
      </c>
      <c r="V989" s="269"/>
      <c r="W989" s="269"/>
    </row>
    <row r="990" spans="1:23" ht="174" customHeight="1" x14ac:dyDescent="0.2">
      <c r="A990" s="277">
        <f t="shared" si="0"/>
        <v>986</v>
      </c>
      <c r="B990" s="278">
        <v>44258</v>
      </c>
      <c r="C990" s="249">
        <v>44228</v>
      </c>
      <c r="D990" s="255" t="s">
        <v>104</v>
      </c>
      <c r="E990" s="255" t="s">
        <v>104</v>
      </c>
      <c r="F990" s="258">
        <v>2300</v>
      </c>
      <c r="G990" s="255" t="s">
        <v>3707</v>
      </c>
      <c r="H990" s="255" t="s">
        <v>104</v>
      </c>
      <c r="I990" s="252" t="s">
        <v>3708</v>
      </c>
      <c r="J990" s="252" t="s">
        <v>2488</v>
      </c>
      <c r="K990" s="255" t="s">
        <v>1015</v>
      </c>
      <c r="L990" s="250" t="s">
        <v>1016</v>
      </c>
      <c r="M990" s="255">
        <v>15</v>
      </c>
      <c r="N990" s="278">
        <v>44257</v>
      </c>
      <c r="O990" s="329" t="s">
        <v>68</v>
      </c>
      <c r="P990" s="386">
        <f t="shared" ref="P990:Q990" si="987">IF(B990=0,0,IF(YEAR(B990)=$Q$1,MONTH(B990)-$P$1+1,(YEAR(B990)-$Q$1)*12-$P$1+1+MONTH(B990)))</f>
        <v>3</v>
      </c>
      <c r="Q990" s="330">
        <f t="shared" si="987"/>
        <v>2</v>
      </c>
      <c r="R990" s="351" t="str">
        <f t="shared" si="3"/>
        <v>Gastos_custeados_por_captação</v>
      </c>
      <c r="S990" s="351" t="str">
        <f>IF(D990="","",IF(OR(D990=Plano!$A$1,D990=Plano!$B$1),"entrada","saída"))</f>
        <v>saída</v>
      </c>
      <c r="T990" s="334" t="s">
        <v>1082</v>
      </c>
      <c r="U990" s="334">
        <v>1223</v>
      </c>
      <c r="V990" s="269"/>
      <c r="W990" s="269"/>
    </row>
    <row r="991" spans="1:23" ht="69.75" customHeight="1" x14ac:dyDescent="0.2">
      <c r="A991" s="277">
        <f t="shared" si="0"/>
        <v>987</v>
      </c>
      <c r="B991" s="278">
        <v>44258</v>
      </c>
      <c r="C991" s="249">
        <v>44228</v>
      </c>
      <c r="D991" s="255" t="s">
        <v>104</v>
      </c>
      <c r="E991" s="255" t="s">
        <v>104</v>
      </c>
      <c r="F991" s="258">
        <v>19404</v>
      </c>
      <c r="G991" s="255" t="s">
        <v>3709</v>
      </c>
      <c r="H991" s="255" t="s">
        <v>104</v>
      </c>
      <c r="I991" s="252" t="s">
        <v>1140</v>
      </c>
      <c r="J991" s="252" t="s">
        <v>929</v>
      </c>
      <c r="K991" s="255" t="s">
        <v>1015</v>
      </c>
      <c r="L991" s="250" t="s">
        <v>1016</v>
      </c>
      <c r="M991" s="255">
        <v>173</v>
      </c>
      <c r="N991" s="278">
        <v>44258</v>
      </c>
      <c r="O991" s="329" t="s">
        <v>68</v>
      </c>
      <c r="P991" s="386">
        <f t="shared" ref="P991:Q991" si="988">IF(B991=0,0,IF(YEAR(B991)=$Q$1,MONTH(B991)-$P$1+1,(YEAR(B991)-$Q$1)*12-$P$1+1+MONTH(B991)))</f>
        <v>3</v>
      </c>
      <c r="Q991" s="330">
        <f t="shared" si="988"/>
        <v>2</v>
      </c>
      <c r="R991" s="351" t="str">
        <f t="shared" si="3"/>
        <v>Gastos_custeados_por_captação</v>
      </c>
      <c r="S991" s="351" t="str">
        <f>IF(D991="","",IF(OR(D991=Plano!$A$1,D991=Plano!$B$1),"entrada","saída"))</f>
        <v>saída</v>
      </c>
      <c r="T991" s="334" t="s">
        <v>1082</v>
      </c>
      <c r="U991" s="334">
        <v>1232</v>
      </c>
      <c r="V991" s="269"/>
      <c r="W991" s="269"/>
    </row>
    <row r="992" spans="1:23" ht="195.75" customHeight="1" x14ac:dyDescent="0.2">
      <c r="A992" s="277">
        <f t="shared" si="0"/>
        <v>988</v>
      </c>
      <c r="B992" s="278">
        <v>44258</v>
      </c>
      <c r="C992" s="249">
        <v>44228</v>
      </c>
      <c r="D992" s="255" t="s">
        <v>104</v>
      </c>
      <c r="E992" s="255" t="s">
        <v>104</v>
      </c>
      <c r="F992" s="258">
        <v>2300</v>
      </c>
      <c r="G992" s="255" t="s">
        <v>3710</v>
      </c>
      <c r="H992" s="255" t="s">
        <v>104</v>
      </c>
      <c r="I992" s="252" t="s">
        <v>3711</v>
      </c>
      <c r="J992" s="252" t="s">
        <v>3712</v>
      </c>
      <c r="K992" s="255" t="s">
        <v>1015</v>
      </c>
      <c r="L992" s="250" t="s">
        <v>1016</v>
      </c>
      <c r="M992" s="255">
        <v>29</v>
      </c>
      <c r="N992" s="278">
        <v>44257</v>
      </c>
      <c r="O992" s="329" t="s">
        <v>68</v>
      </c>
      <c r="P992" s="386">
        <f t="shared" ref="P992:Q992" si="989">IF(B992=0,0,IF(YEAR(B992)=$Q$1,MONTH(B992)-$P$1+1,(YEAR(B992)-$Q$1)*12-$P$1+1+MONTH(B992)))</f>
        <v>3</v>
      </c>
      <c r="Q992" s="330">
        <f t="shared" si="989"/>
        <v>2</v>
      </c>
      <c r="R992" s="351" t="str">
        <f t="shared" si="3"/>
        <v>Gastos_custeados_por_captação</v>
      </c>
      <c r="S992" s="351" t="str">
        <f>IF(D992="","",IF(OR(D992=Plano!$A$1,D992=Plano!$B$1),"entrada","saída"))</f>
        <v>saída</v>
      </c>
      <c r="T992" s="334" t="s">
        <v>1082</v>
      </c>
      <c r="U992" s="334">
        <v>1224</v>
      </c>
      <c r="V992" s="269"/>
      <c r="W992" s="269"/>
    </row>
    <row r="993" spans="1:23" ht="186" customHeight="1" x14ac:dyDescent="0.2">
      <c r="A993" s="277">
        <f t="shared" si="0"/>
        <v>989</v>
      </c>
      <c r="B993" s="278">
        <v>44258</v>
      </c>
      <c r="C993" s="256">
        <v>44197</v>
      </c>
      <c r="D993" s="255" t="s">
        <v>104</v>
      </c>
      <c r="E993" s="255" t="s">
        <v>104</v>
      </c>
      <c r="F993" s="258">
        <v>2300</v>
      </c>
      <c r="G993" s="255" t="s">
        <v>3713</v>
      </c>
      <c r="H993" s="255" t="s">
        <v>104</v>
      </c>
      <c r="I993" s="252" t="s">
        <v>3714</v>
      </c>
      <c r="J993" s="252" t="s">
        <v>2496</v>
      </c>
      <c r="K993" s="255" t="s">
        <v>1015</v>
      </c>
      <c r="L993" s="250" t="s">
        <v>1016</v>
      </c>
      <c r="M993" s="255">
        <v>58</v>
      </c>
      <c r="N993" s="278">
        <v>44257</v>
      </c>
      <c r="O993" s="329" t="s">
        <v>68</v>
      </c>
      <c r="P993" s="386">
        <f t="shared" ref="P993:Q993" si="990">IF(B993=0,0,IF(YEAR(B993)=$Q$1,MONTH(B993)-$P$1+1,(YEAR(B993)-$Q$1)*12-$P$1+1+MONTH(B993)))</f>
        <v>3</v>
      </c>
      <c r="Q993" s="330">
        <f t="shared" si="990"/>
        <v>1</v>
      </c>
      <c r="R993" s="351" t="str">
        <f t="shared" si="3"/>
        <v>Gastos_custeados_por_captação</v>
      </c>
      <c r="S993" s="351" t="str">
        <f>IF(D993="","",IF(OR(D993=Plano!$A$1,D993=Plano!$B$1),"entrada","saída"))</f>
        <v>saída</v>
      </c>
      <c r="T993" s="334" t="s">
        <v>1082</v>
      </c>
      <c r="U993" s="334">
        <v>1406</v>
      </c>
      <c r="V993" s="269"/>
      <c r="W993" s="269"/>
    </row>
    <row r="994" spans="1:23" ht="201.75" customHeight="1" x14ac:dyDescent="0.2">
      <c r="A994" s="277">
        <f t="shared" si="0"/>
        <v>990</v>
      </c>
      <c r="B994" s="278">
        <v>44258</v>
      </c>
      <c r="C994" s="249">
        <v>44228</v>
      </c>
      <c r="D994" s="255" t="s">
        <v>104</v>
      </c>
      <c r="E994" s="255" t="s">
        <v>104</v>
      </c>
      <c r="F994" s="251">
        <v>2300</v>
      </c>
      <c r="G994" s="255" t="s">
        <v>3715</v>
      </c>
      <c r="H994" s="255" t="s">
        <v>104</v>
      </c>
      <c r="I994" s="252" t="s">
        <v>1638</v>
      </c>
      <c r="J994" s="252" t="s">
        <v>2889</v>
      </c>
      <c r="K994" s="255" t="s">
        <v>1015</v>
      </c>
      <c r="L994" s="250" t="s">
        <v>1016</v>
      </c>
      <c r="M994" s="255" t="s">
        <v>1017</v>
      </c>
      <c r="N994" s="278">
        <v>44257</v>
      </c>
      <c r="O994" s="329" t="s">
        <v>68</v>
      </c>
      <c r="P994" s="386">
        <f t="shared" ref="P994:Q994" si="991">IF(B994=0,0,IF(YEAR(B994)=$Q$1,MONTH(B994)-$P$1+1,(YEAR(B994)-$Q$1)*12-$P$1+1+MONTH(B994)))</f>
        <v>3</v>
      </c>
      <c r="Q994" s="330">
        <f t="shared" si="991"/>
        <v>2</v>
      </c>
      <c r="R994" s="351" t="str">
        <f t="shared" si="3"/>
        <v>Gastos_custeados_por_captação</v>
      </c>
      <c r="S994" s="351" t="str">
        <f>IF(D994="","",IF(OR(D994=Plano!$A$1,D994=Plano!$B$1),"entrada","saída"))</f>
        <v>saída</v>
      </c>
      <c r="T994" s="334" t="s">
        <v>1082</v>
      </c>
      <c r="U994" s="334">
        <v>1198</v>
      </c>
      <c r="V994" s="269"/>
      <c r="W994" s="269"/>
    </row>
    <row r="995" spans="1:23" ht="210.75" customHeight="1" x14ac:dyDescent="0.2">
      <c r="A995" s="277">
        <f t="shared" si="0"/>
        <v>991</v>
      </c>
      <c r="B995" s="278">
        <v>44258</v>
      </c>
      <c r="C995" s="249">
        <v>44228</v>
      </c>
      <c r="D995" s="255" t="s">
        <v>104</v>
      </c>
      <c r="E995" s="255" t="s">
        <v>104</v>
      </c>
      <c r="F995" s="251">
        <v>2300</v>
      </c>
      <c r="G995" s="255" t="s">
        <v>3710</v>
      </c>
      <c r="H995" s="255" t="s">
        <v>104</v>
      </c>
      <c r="I995" s="252" t="s">
        <v>2640</v>
      </c>
      <c r="J995" s="252" t="s">
        <v>3716</v>
      </c>
      <c r="K995" s="255" t="s">
        <v>1015</v>
      </c>
      <c r="L995" s="250" t="s">
        <v>1016</v>
      </c>
      <c r="M995" s="255" t="s">
        <v>3684</v>
      </c>
      <c r="N995" s="278">
        <v>44258</v>
      </c>
      <c r="O995" s="329" t="s">
        <v>68</v>
      </c>
      <c r="P995" s="386">
        <f t="shared" ref="P995:Q995" si="992">IF(B995=0,0,IF(YEAR(B995)=$Q$1,MONTH(B995)-$P$1+1,(YEAR(B995)-$Q$1)*12-$P$1+1+MONTH(B995)))</f>
        <v>3</v>
      </c>
      <c r="Q995" s="330">
        <f t="shared" si="992"/>
        <v>2</v>
      </c>
      <c r="R995" s="351" t="str">
        <f t="shared" si="3"/>
        <v>Gastos_custeados_por_captação</v>
      </c>
      <c r="S995" s="351" t="str">
        <f>IF(D995="","",IF(OR(D995=Plano!$A$1,D995=Plano!$B$1),"entrada","saída"))</f>
        <v>saída</v>
      </c>
      <c r="T995" s="334" t="s">
        <v>1082</v>
      </c>
      <c r="U995" s="334">
        <v>1419</v>
      </c>
      <c r="V995" s="269"/>
      <c r="W995" s="269"/>
    </row>
    <row r="996" spans="1:23" ht="211.5" customHeight="1" x14ac:dyDescent="0.2">
      <c r="A996" s="277">
        <f t="shared" si="0"/>
        <v>992</v>
      </c>
      <c r="B996" s="278">
        <v>44258</v>
      </c>
      <c r="C996" s="249">
        <v>44228</v>
      </c>
      <c r="D996" s="255" t="s">
        <v>104</v>
      </c>
      <c r="E996" s="255" t="s">
        <v>104</v>
      </c>
      <c r="F996" s="251">
        <v>2300</v>
      </c>
      <c r="G996" s="255" t="s">
        <v>3683</v>
      </c>
      <c r="H996" s="255" t="s">
        <v>104</v>
      </c>
      <c r="I996" s="252" t="s">
        <v>3717</v>
      </c>
      <c r="J996" s="252" t="s">
        <v>1630</v>
      </c>
      <c r="K996" s="255" t="s">
        <v>1015</v>
      </c>
      <c r="L996" s="250" t="s">
        <v>1016</v>
      </c>
      <c r="M996" s="255" t="s">
        <v>3684</v>
      </c>
      <c r="N996" s="278">
        <v>44257</v>
      </c>
      <c r="O996" s="329" t="s">
        <v>68</v>
      </c>
      <c r="P996" s="386">
        <f t="shared" ref="P996:Q996" si="993">IF(B996=0,0,IF(YEAR(B996)=$Q$1,MONTH(B996)-$P$1+1,(YEAR(B996)-$Q$1)*12-$P$1+1+MONTH(B996)))</f>
        <v>3</v>
      </c>
      <c r="Q996" s="330">
        <f t="shared" si="993"/>
        <v>2</v>
      </c>
      <c r="R996" s="351" t="str">
        <f t="shared" si="3"/>
        <v>Gastos_custeados_por_captação</v>
      </c>
      <c r="S996" s="351" t="str">
        <f>IF(D996="","",IF(OR(D996=Plano!$A$1,D996=Plano!$B$1),"entrada","saída"))</f>
        <v>saída</v>
      </c>
      <c r="T996" s="334" t="s">
        <v>1082</v>
      </c>
      <c r="U996" s="334">
        <v>1200</v>
      </c>
      <c r="V996" s="269"/>
      <c r="W996" s="269"/>
    </row>
    <row r="997" spans="1:23" ht="99" customHeight="1" x14ac:dyDescent="0.2">
      <c r="A997" s="277">
        <f t="shared" si="0"/>
        <v>993</v>
      </c>
      <c r="B997" s="278">
        <v>44258</v>
      </c>
      <c r="C997" s="249">
        <v>44228</v>
      </c>
      <c r="D997" s="255" t="s">
        <v>104</v>
      </c>
      <c r="E997" s="255" t="s">
        <v>104</v>
      </c>
      <c r="F997" s="251">
        <v>2300</v>
      </c>
      <c r="G997" s="255" t="s">
        <v>3680</v>
      </c>
      <c r="H997" s="255" t="s">
        <v>104</v>
      </c>
      <c r="I997" s="252" t="s">
        <v>3718</v>
      </c>
      <c r="J997" s="252" t="s">
        <v>2662</v>
      </c>
      <c r="K997" s="255" t="s">
        <v>1015</v>
      </c>
      <c r="L997" s="250" t="s">
        <v>1016</v>
      </c>
      <c r="M997" s="255" t="s">
        <v>3684</v>
      </c>
      <c r="N997" s="278">
        <v>44258</v>
      </c>
      <c r="O997" s="329" t="s">
        <v>68</v>
      </c>
      <c r="P997" s="386">
        <f t="shared" ref="P997:Q997" si="994">IF(B997=0,0,IF(YEAR(B997)=$Q$1,MONTH(B997)-$P$1+1,(YEAR(B997)-$Q$1)*12-$P$1+1+MONTH(B997)))</f>
        <v>3</v>
      </c>
      <c r="Q997" s="330">
        <f t="shared" si="994"/>
        <v>2</v>
      </c>
      <c r="R997" s="351" t="str">
        <f t="shared" si="3"/>
        <v>Gastos_custeados_por_captação</v>
      </c>
      <c r="S997" s="351" t="str">
        <f>IF(D997="","",IF(OR(D997=Plano!$A$1,D997=Plano!$B$1),"entrada","saída"))</f>
        <v>saída</v>
      </c>
      <c r="T997" s="334" t="s">
        <v>1082</v>
      </c>
      <c r="U997" s="334">
        <v>1229</v>
      </c>
      <c r="V997" s="269"/>
      <c r="W997" s="269"/>
    </row>
    <row r="998" spans="1:23" ht="228" customHeight="1" x14ac:dyDescent="0.2">
      <c r="A998" s="277">
        <f t="shared" si="0"/>
        <v>994</v>
      </c>
      <c r="B998" s="278">
        <v>44258</v>
      </c>
      <c r="C998" s="249">
        <v>44228</v>
      </c>
      <c r="D998" s="255" t="s">
        <v>104</v>
      </c>
      <c r="E998" s="255" t="s">
        <v>104</v>
      </c>
      <c r="F998" s="251">
        <v>2300</v>
      </c>
      <c r="G998" s="255" t="s">
        <v>3710</v>
      </c>
      <c r="H998" s="255" t="s">
        <v>104</v>
      </c>
      <c r="I998" s="250" t="s">
        <v>3719</v>
      </c>
      <c r="J998" s="252" t="s">
        <v>2643</v>
      </c>
      <c r="K998" s="255" t="s">
        <v>1015</v>
      </c>
      <c r="L998" s="250" t="s">
        <v>1016</v>
      </c>
      <c r="M998" s="255" t="s">
        <v>3684</v>
      </c>
      <c r="N998" s="278">
        <v>44257</v>
      </c>
      <c r="O998" s="329" t="s">
        <v>68</v>
      </c>
      <c r="P998" s="386">
        <f t="shared" ref="P998:Q998" si="995">IF(B998=0,0,IF(YEAR(B998)=$Q$1,MONTH(B998)-$P$1+1,(YEAR(B998)-$Q$1)*12-$P$1+1+MONTH(B998)))</f>
        <v>3</v>
      </c>
      <c r="Q998" s="330">
        <f t="shared" si="995"/>
        <v>2</v>
      </c>
      <c r="R998" s="351" t="str">
        <f t="shared" si="3"/>
        <v>Gastos_custeados_por_captação</v>
      </c>
      <c r="S998" s="351" t="str">
        <f>IF(D998="","",IF(OR(D998=Plano!$A$1,D998=Plano!$B$1),"entrada","saída"))</f>
        <v>saída</v>
      </c>
      <c r="T998" s="334" t="s">
        <v>1082</v>
      </c>
      <c r="U998" s="334">
        <v>1230</v>
      </c>
      <c r="V998" s="269"/>
      <c r="W998" s="269"/>
    </row>
    <row r="999" spans="1:23" ht="191.25" customHeight="1" x14ac:dyDescent="0.2">
      <c r="A999" s="277">
        <f t="shared" si="0"/>
        <v>995</v>
      </c>
      <c r="B999" s="278">
        <v>44258</v>
      </c>
      <c r="C999" s="249">
        <v>44228</v>
      </c>
      <c r="D999" s="255" t="s">
        <v>104</v>
      </c>
      <c r="E999" s="255" t="s">
        <v>104</v>
      </c>
      <c r="F999" s="251">
        <v>2300</v>
      </c>
      <c r="G999" s="255" t="s">
        <v>3720</v>
      </c>
      <c r="H999" s="255" t="s">
        <v>104</v>
      </c>
      <c r="I999" s="252" t="s">
        <v>1043</v>
      </c>
      <c r="J999" s="252" t="s">
        <v>1044</v>
      </c>
      <c r="K999" s="255" t="s">
        <v>1015</v>
      </c>
      <c r="L999" s="250" t="s">
        <v>1016</v>
      </c>
      <c r="M999" s="255" t="s">
        <v>3721</v>
      </c>
      <c r="N999" s="278">
        <v>44257</v>
      </c>
      <c r="O999" s="329" t="s">
        <v>68</v>
      </c>
      <c r="P999" s="386">
        <f t="shared" ref="P999:Q999" si="996">IF(B999=0,0,IF(YEAR(B999)=$Q$1,MONTH(B999)-$P$1+1,(YEAR(B999)-$Q$1)*12-$P$1+1+MONTH(B999)))</f>
        <v>3</v>
      </c>
      <c r="Q999" s="330">
        <f t="shared" si="996"/>
        <v>2</v>
      </c>
      <c r="R999" s="351" t="str">
        <f t="shared" si="3"/>
        <v>Gastos_custeados_por_captação</v>
      </c>
      <c r="S999" s="351" t="str">
        <f>IF(D999="","",IF(OR(D999=Plano!$A$1,D999=Plano!$B$1),"entrada","saída"))</f>
        <v>saída</v>
      </c>
      <c r="T999" s="334" t="s">
        <v>1082</v>
      </c>
      <c r="U999" s="334">
        <v>1204</v>
      </c>
      <c r="V999" s="269"/>
      <c r="W999" s="269"/>
    </row>
    <row r="1000" spans="1:23" ht="208.5" customHeight="1" x14ac:dyDescent="0.2">
      <c r="A1000" s="277">
        <f t="shared" si="0"/>
        <v>996</v>
      </c>
      <c r="B1000" s="278">
        <v>44258</v>
      </c>
      <c r="C1000" s="249">
        <v>44228</v>
      </c>
      <c r="D1000" s="255" t="s">
        <v>104</v>
      </c>
      <c r="E1000" s="255" t="s">
        <v>104</v>
      </c>
      <c r="F1000" s="251">
        <v>2300</v>
      </c>
      <c r="G1000" s="255" t="s">
        <v>3710</v>
      </c>
      <c r="H1000" s="255" t="s">
        <v>104</v>
      </c>
      <c r="I1000" s="252" t="s">
        <v>3722</v>
      </c>
      <c r="J1000" s="252" t="s">
        <v>2632</v>
      </c>
      <c r="K1000" s="255" t="s">
        <v>1015</v>
      </c>
      <c r="L1000" s="250" t="s">
        <v>1016</v>
      </c>
      <c r="M1000" s="255" t="s">
        <v>3721</v>
      </c>
      <c r="N1000" s="278">
        <v>44257</v>
      </c>
      <c r="O1000" s="329" t="s">
        <v>68</v>
      </c>
      <c r="P1000" s="386">
        <f t="shared" ref="P1000:Q1000" si="997">IF(B1000=0,0,IF(YEAR(B1000)=$Q$1,MONTH(B1000)-$P$1+1,(YEAR(B1000)-$Q$1)*12-$P$1+1+MONTH(B1000)))</f>
        <v>3</v>
      </c>
      <c r="Q1000" s="330">
        <f t="shared" si="997"/>
        <v>2</v>
      </c>
      <c r="R1000" s="351" t="str">
        <f t="shared" si="3"/>
        <v>Gastos_custeados_por_captação</v>
      </c>
      <c r="S1000" s="351" t="str">
        <f>IF(D1000="","",IF(OR(D1000=Plano!$A$1,D1000=Plano!$B$1),"entrada","saída"))</f>
        <v>saída</v>
      </c>
      <c r="T1000" s="334" t="s">
        <v>1082</v>
      </c>
      <c r="U1000" s="334">
        <v>1217</v>
      </c>
      <c r="V1000" s="269"/>
      <c r="W1000" s="269"/>
    </row>
    <row r="1001" spans="1:23" ht="210.75" customHeight="1" x14ac:dyDescent="0.2">
      <c r="A1001" s="277">
        <f t="shared" si="0"/>
        <v>997</v>
      </c>
      <c r="B1001" s="278">
        <v>44258</v>
      </c>
      <c r="C1001" s="249">
        <v>44228</v>
      </c>
      <c r="D1001" s="255" t="s">
        <v>104</v>
      </c>
      <c r="E1001" s="255" t="s">
        <v>104</v>
      </c>
      <c r="F1001" s="251">
        <v>2300</v>
      </c>
      <c r="G1001" s="255" t="s">
        <v>3710</v>
      </c>
      <c r="H1001" s="255" t="s">
        <v>104</v>
      </c>
      <c r="I1001" s="252" t="s">
        <v>3723</v>
      </c>
      <c r="J1001" s="252" t="s">
        <v>2634</v>
      </c>
      <c r="K1001" s="255" t="s">
        <v>1015</v>
      </c>
      <c r="L1001" s="250" t="s">
        <v>1016</v>
      </c>
      <c r="M1001" s="255" t="s">
        <v>3721</v>
      </c>
      <c r="N1001" s="278">
        <v>44257</v>
      </c>
      <c r="O1001" s="329" t="s">
        <v>68</v>
      </c>
      <c r="P1001" s="386">
        <f t="shared" ref="P1001:Q1001" si="998">IF(B1001=0,0,IF(YEAR(B1001)=$Q$1,MONTH(B1001)-$P$1+1,(YEAR(B1001)-$Q$1)*12-$P$1+1+MONTH(B1001)))</f>
        <v>3</v>
      </c>
      <c r="Q1001" s="330">
        <f t="shared" si="998"/>
        <v>2</v>
      </c>
      <c r="R1001" s="351" t="str">
        <f t="shared" si="3"/>
        <v>Gastos_custeados_por_captação</v>
      </c>
      <c r="S1001" s="351" t="str">
        <f>IF(D1001="","",IF(OR(D1001=Plano!$A$1,D1001=Plano!$B$1),"entrada","saída"))</f>
        <v>saída</v>
      </c>
      <c r="T1001" s="334" t="s">
        <v>1082</v>
      </c>
      <c r="U1001" s="334">
        <v>1410</v>
      </c>
      <c r="V1001" s="269"/>
      <c r="W1001" s="269"/>
    </row>
    <row r="1002" spans="1:23" ht="69.75" customHeight="1" x14ac:dyDescent="0.2">
      <c r="A1002" s="277">
        <f t="shared" si="0"/>
        <v>998</v>
      </c>
      <c r="B1002" s="350">
        <v>44258</v>
      </c>
      <c r="C1002" s="249">
        <v>44075</v>
      </c>
      <c r="D1002" s="250" t="s">
        <v>104</v>
      </c>
      <c r="E1002" s="250" t="s">
        <v>104</v>
      </c>
      <c r="F1002" s="251">
        <v>-4000</v>
      </c>
      <c r="G1002" s="250" t="s">
        <v>3724</v>
      </c>
      <c r="H1002" s="250" t="s">
        <v>104</v>
      </c>
      <c r="I1002" s="250" t="s">
        <v>2418</v>
      </c>
      <c r="J1002" s="250" t="s">
        <v>850</v>
      </c>
      <c r="K1002" s="250" t="s">
        <v>1015</v>
      </c>
      <c r="L1002" s="250" t="s">
        <v>1177</v>
      </c>
      <c r="M1002" s="250" t="s">
        <v>3725</v>
      </c>
      <c r="N1002" s="350">
        <v>44258</v>
      </c>
      <c r="O1002" s="353" t="s">
        <v>71</v>
      </c>
      <c r="P1002" s="386">
        <f t="shared" ref="P1002:Q1002" si="999">IF(B1002=0,0,IF(YEAR(B1002)=$Q$1,MONTH(B1002)-$P$1+1,(YEAR(B1002)-$Q$1)*12-$P$1+1+MONTH(B1002)))</f>
        <v>3</v>
      </c>
      <c r="Q1002" s="330">
        <f t="shared" si="999"/>
        <v>-3</v>
      </c>
      <c r="R1002" s="351" t="str">
        <f t="shared" si="3"/>
        <v>Gastos_custeados_por_captação</v>
      </c>
      <c r="S1002" s="351" t="str">
        <f>IF(D1002="","",IF(OR(D1002=Plano!$A$1,D1002=Plano!$B$1),"entrada","saída"))</f>
        <v>saída</v>
      </c>
      <c r="T1002" s="334" t="s">
        <v>114</v>
      </c>
      <c r="U1002" s="334" t="s">
        <v>114</v>
      </c>
      <c r="V1002" s="269"/>
      <c r="W1002" s="269"/>
    </row>
    <row r="1003" spans="1:23" ht="69.75" customHeight="1" x14ac:dyDescent="0.2">
      <c r="A1003" s="277">
        <f t="shared" si="0"/>
        <v>999</v>
      </c>
      <c r="B1003" s="350">
        <v>44258</v>
      </c>
      <c r="C1003" s="249">
        <v>44105</v>
      </c>
      <c r="D1003" s="250" t="s">
        <v>104</v>
      </c>
      <c r="E1003" s="250" t="s">
        <v>104</v>
      </c>
      <c r="F1003" s="251">
        <v>-4000</v>
      </c>
      <c r="G1003" s="250" t="s">
        <v>3726</v>
      </c>
      <c r="H1003" s="250" t="s">
        <v>104</v>
      </c>
      <c r="I1003" s="250" t="s">
        <v>2418</v>
      </c>
      <c r="J1003" s="250" t="s">
        <v>850</v>
      </c>
      <c r="K1003" s="250" t="s">
        <v>1015</v>
      </c>
      <c r="L1003" s="250" t="s">
        <v>1177</v>
      </c>
      <c r="M1003" s="250" t="s">
        <v>3690</v>
      </c>
      <c r="N1003" s="350">
        <v>44258</v>
      </c>
      <c r="O1003" s="353" t="s">
        <v>71</v>
      </c>
      <c r="P1003" s="386">
        <f t="shared" ref="P1003:Q1003" si="1000">IF(B1003=0,0,IF(YEAR(B1003)=$Q$1,MONTH(B1003)-$P$1+1,(YEAR(B1003)-$Q$1)*12-$P$1+1+MONTH(B1003)))</f>
        <v>3</v>
      </c>
      <c r="Q1003" s="330">
        <f t="shared" si="1000"/>
        <v>-2</v>
      </c>
      <c r="R1003" s="351" t="str">
        <f t="shared" si="3"/>
        <v>Gastos_custeados_por_captação</v>
      </c>
      <c r="S1003" s="351" t="str">
        <f>IF(D1003="","",IF(OR(D1003=Plano!$A$1,D1003=Plano!$B$1),"entrada","saída"))</f>
        <v>saída</v>
      </c>
      <c r="T1003" s="334" t="s">
        <v>114</v>
      </c>
      <c r="U1003" s="334" t="s">
        <v>114</v>
      </c>
      <c r="V1003" s="269"/>
      <c r="W1003" s="269"/>
    </row>
    <row r="1004" spans="1:23" ht="69.75" customHeight="1" x14ac:dyDescent="0.2">
      <c r="A1004" s="277">
        <f t="shared" si="0"/>
        <v>1000</v>
      </c>
      <c r="B1004" s="350">
        <v>44258</v>
      </c>
      <c r="C1004" s="249">
        <v>44136</v>
      </c>
      <c r="D1004" s="250" t="s">
        <v>104</v>
      </c>
      <c r="E1004" s="250" t="s">
        <v>104</v>
      </c>
      <c r="F1004" s="251">
        <v>-4000</v>
      </c>
      <c r="G1004" s="250" t="s">
        <v>3727</v>
      </c>
      <c r="H1004" s="250" t="s">
        <v>104</v>
      </c>
      <c r="I1004" s="250" t="s">
        <v>2418</v>
      </c>
      <c r="J1004" s="250" t="s">
        <v>850</v>
      </c>
      <c r="K1004" s="250" t="s">
        <v>1015</v>
      </c>
      <c r="L1004" s="250" t="s">
        <v>1177</v>
      </c>
      <c r="M1004" s="250" t="s">
        <v>3692</v>
      </c>
      <c r="N1004" s="350">
        <v>44258</v>
      </c>
      <c r="O1004" s="353" t="s">
        <v>71</v>
      </c>
      <c r="P1004" s="386">
        <f t="shared" ref="P1004:Q1004" si="1001">IF(B1004=0,0,IF(YEAR(B1004)=$Q$1,MONTH(B1004)-$P$1+1,(YEAR(B1004)-$Q$1)*12-$P$1+1+MONTH(B1004)))</f>
        <v>3</v>
      </c>
      <c r="Q1004" s="330">
        <f t="shared" si="1001"/>
        <v>-1</v>
      </c>
      <c r="R1004" s="351" t="str">
        <f t="shared" si="3"/>
        <v>Gastos_custeados_por_captação</v>
      </c>
      <c r="S1004" s="351" t="str">
        <f>IF(D1004="","",IF(OR(D1004=Plano!$A$1,D1004=Plano!$B$1),"entrada","saída"))</f>
        <v>saída</v>
      </c>
      <c r="T1004" s="334" t="s">
        <v>114</v>
      </c>
      <c r="U1004" s="334" t="s">
        <v>114</v>
      </c>
      <c r="V1004" s="269"/>
      <c r="W1004" s="269"/>
    </row>
    <row r="1005" spans="1:23" ht="69.75" customHeight="1" x14ac:dyDescent="0.2">
      <c r="A1005" s="277">
        <f t="shared" si="0"/>
        <v>1001</v>
      </c>
      <c r="B1005" s="350">
        <v>44258</v>
      </c>
      <c r="C1005" s="249">
        <v>44075</v>
      </c>
      <c r="D1005" s="250" t="s">
        <v>104</v>
      </c>
      <c r="E1005" s="250" t="s">
        <v>104</v>
      </c>
      <c r="F1005" s="251">
        <v>-3500</v>
      </c>
      <c r="G1005" s="250" t="s">
        <v>3728</v>
      </c>
      <c r="H1005" s="250" t="s">
        <v>104</v>
      </c>
      <c r="I1005" s="250" t="s">
        <v>2418</v>
      </c>
      <c r="J1005" s="250" t="s">
        <v>850</v>
      </c>
      <c r="K1005" s="250" t="s">
        <v>1015</v>
      </c>
      <c r="L1005" s="250" t="s">
        <v>1177</v>
      </c>
      <c r="M1005" s="250" t="s">
        <v>3694</v>
      </c>
      <c r="N1005" s="350">
        <v>44258</v>
      </c>
      <c r="O1005" s="353" t="s">
        <v>71</v>
      </c>
      <c r="P1005" s="386">
        <f t="shared" ref="P1005:Q1005" si="1002">IF(B1005=0,0,IF(YEAR(B1005)=$Q$1,MONTH(B1005)-$P$1+1,(YEAR(B1005)-$Q$1)*12-$P$1+1+MONTH(B1005)))</f>
        <v>3</v>
      </c>
      <c r="Q1005" s="330">
        <f t="shared" si="1002"/>
        <v>-3</v>
      </c>
      <c r="R1005" s="351" t="str">
        <f t="shared" si="3"/>
        <v>Gastos_custeados_por_captação</v>
      </c>
      <c r="S1005" s="351" t="str">
        <f>IF(D1005="","",IF(OR(D1005=Plano!$A$1,D1005=Plano!$B$1),"entrada","saída"))</f>
        <v>saída</v>
      </c>
      <c r="T1005" s="334" t="s">
        <v>114</v>
      </c>
      <c r="U1005" s="334" t="s">
        <v>114</v>
      </c>
      <c r="V1005" s="269"/>
      <c r="W1005" s="269"/>
    </row>
    <row r="1006" spans="1:23" ht="69.75" customHeight="1" x14ac:dyDescent="0.2">
      <c r="A1006" s="277">
        <f t="shared" si="0"/>
        <v>1002</v>
      </c>
      <c r="B1006" s="350">
        <v>44258</v>
      </c>
      <c r="C1006" s="249">
        <v>44166</v>
      </c>
      <c r="D1006" s="250" t="s">
        <v>104</v>
      </c>
      <c r="E1006" s="250" t="s">
        <v>104</v>
      </c>
      <c r="F1006" s="251">
        <v>-4000</v>
      </c>
      <c r="G1006" s="250" t="s">
        <v>3729</v>
      </c>
      <c r="H1006" s="250" t="s">
        <v>104</v>
      </c>
      <c r="I1006" s="250" t="s">
        <v>2418</v>
      </c>
      <c r="J1006" s="250" t="s">
        <v>850</v>
      </c>
      <c r="K1006" s="250" t="s">
        <v>1015</v>
      </c>
      <c r="L1006" s="250" t="s">
        <v>1177</v>
      </c>
      <c r="M1006" s="250" t="s">
        <v>3696</v>
      </c>
      <c r="N1006" s="350">
        <v>44258</v>
      </c>
      <c r="O1006" s="353" t="s">
        <v>71</v>
      </c>
      <c r="P1006" s="386">
        <f t="shared" ref="P1006:Q1006" si="1003">IF(B1006=0,0,IF(YEAR(B1006)=$Q$1,MONTH(B1006)-$P$1+1,(YEAR(B1006)-$Q$1)*12-$P$1+1+MONTH(B1006)))</f>
        <v>3</v>
      </c>
      <c r="Q1006" s="330">
        <f t="shared" si="1003"/>
        <v>0</v>
      </c>
      <c r="R1006" s="351" t="str">
        <f t="shared" si="3"/>
        <v>Gastos_custeados_por_captação</v>
      </c>
      <c r="S1006" s="351" t="str">
        <f>IF(D1006="","",IF(OR(D1006=Plano!$A$1,D1006=Plano!$B$1),"entrada","saída"))</f>
        <v>saída</v>
      </c>
      <c r="T1006" s="334" t="s">
        <v>114</v>
      </c>
      <c r="U1006" s="334" t="s">
        <v>114</v>
      </c>
      <c r="V1006" s="269"/>
      <c r="W1006" s="269"/>
    </row>
    <row r="1007" spans="1:23" ht="69.75" customHeight="1" x14ac:dyDescent="0.2">
      <c r="A1007" s="277">
        <f t="shared" si="0"/>
        <v>1003</v>
      </c>
      <c r="B1007" s="350">
        <v>44258</v>
      </c>
      <c r="C1007" s="249">
        <v>44197</v>
      </c>
      <c r="D1007" s="250" t="s">
        <v>104</v>
      </c>
      <c r="E1007" s="250" t="s">
        <v>104</v>
      </c>
      <c r="F1007" s="251">
        <v>-4000</v>
      </c>
      <c r="G1007" s="250" t="s">
        <v>3730</v>
      </c>
      <c r="H1007" s="250" t="s">
        <v>104</v>
      </c>
      <c r="I1007" s="250" t="s">
        <v>2418</v>
      </c>
      <c r="J1007" s="250" t="s">
        <v>850</v>
      </c>
      <c r="K1007" s="250" t="s">
        <v>1015</v>
      </c>
      <c r="L1007" s="250" t="s">
        <v>1177</v>
      </c>
      <c r="M1007" s="250" t="s">
        <v>3698</v>
      </c>
      <c r="N1007" s="350">
        <v>44258</v>
      </c>
      <c r="O1007" s="353" t="s">
        <v>71</v>
      </c>
      <c r="P1007" s="386">
        <f t="shared" ref="P1007:Q1007" si="1004">IF(B1007=0,0,IF(YEAR(B1007)=$Q$1,MONTH(B1007)-$P$1+1,(YEAR(B1007)-$Q$1)*12-$P$1+1+MONTH(B1007)))</f>
        <v>3</v>
      </c>
      <c r="Q1007" s="330">
        <f t="shared" si="1004"/>
        <v>1</v>
      </c>
      <c r="R1007" s="351" t="str">
        <f t="shared" si="3"/>
        <v>Gastos_custeados_por_captação</v>
      </c>
      <c r="S1007" s="351" t="str">
        <f>IF(D1007="","",IF(OR(D1007=Plano!$A$1,D1007=Plano!$B$1),"entrada","saída"))</f>
        <v>saída</v>
      </c>
      <c r="T1007" s="334" t="s">
        <v>114</v>
      </c>
      <c r="U1007" s="334" t="s">
        <v>114</v>
      </c>
      <c r="V1007" s="269"/>
      <c r="W1007" s="269"/>
    </row>
    <row r="1008" spans="1:23" ht="69.75" customHeight="1" x14ac:dyDescent="0.2">
      <c r="A1008" s="277">
        <f t="shared" si="0"/>
        <v>1004</v>
      </c>
      <c r="B1008" s="350">
        <v>44258</v>
      </c>
      <c r="C1008" s="249">
        <v>44105</v>
      </c>
      <c r="D1008" s="250" t="s">
        <v>104</v>
      </c>
      <c r="E1008" s="250" t="s">
        <v>104</v>
      </c>
      <c r="F1008" s="251">
        <v>-3500</v>
      </c>
      <c r="G1008" s="250" t="s">
        <v>3731</v>
      </c>
      <c r="H1008" s="250" t="s">
        <v>104</v>
      </c>
      <c r="I1008" s="250" t="s">
        <v>2418</v>
      </c>
      <c r="J1008" s="250" t="s">
        <v>850</v>
      </c>
      <c r="K1008" s="250" t="s">
        <v>1015</v>
      </c>
      <c r="L1008" s="250" t="s">
        <v>1177</v>
      </c>
      <c r="M1008" s="250" t="s">
        <v>3700</v>
      </c>
      <c r="N1008" s="350">
        <v>44258</v>
      </c>
      <c r="O1008" s="353" t="s">
        <v>71</v>
      </c>
      <c r="P1008" s="386">
        <f t="shared" ref="P1008:Q1008" si="1005">IF(B1008=0,0,IF(YEAR(B1008)=$Q$1,MONTH(B1008)-$P$1+1,(YEAR(B1008)-$Q$1)*12-$P$1+1+MONTH(B1008)))</f>
        <v>3</v>
      </c>
      <c r="Q1008" s="330">
        <f t="shared" si="1005"/>
        <v>-2</v>
      </c>
      <c r="R1008" s="351" t="str">
        <f t="shared" si="3"/>
        <v>Gastos_custeados_por_captação</v>
      </c>
      <c r="S1008" s="351" t="str">
        <f>IF(D1008="","",IF(OR(D1008=Plano!$A$1,D1008=Plano!$B$1),"entrada","saída"))</f>
        <v>saída</v>
      </c>
      <c r="T1008" s="334" t="s">
        <v>114</v>
      </c>
      <c r="U1008" s="334" t="s">
        <v>114</v>
      </c>
      <c r="V1008" s="269"/>
      <c r="W1008" s="269"/>
    </row>
    <row r="1009" spans="1:23" ht="69.75" customHeight="1" x14ac:dyDescent="0.2">
      <c r="A1009" s="277">
        <f t="shared" si="0"/>
        <v>1005</v>
      </c>
      <c r="B1009" s="350">
        <v>44258</v>
      </c>
      <c r="C1009" s="249">
        <v>44136</v>
      </c>
      <c r="D1009" s="250" t="s">
        <v>104</v>
      </c>
      <c r="E1009" s="250" t="s">
        <v>104</v>
      </c>
      <c r="F1009" s="251">
        <v>-3500</v>
      </c>
      <c r="G1009" s="250" t="s">
        <v>3732</v>
      </c>
      <c r="H1009" s="250" t="s">
        <v>104</v>
      </c>
      <c r="I1009" s="250" t="s">
        <v>2418</v>
      </c>
      <c r="J1009" s="250" t="s">
        <v>850</v>
      </c>
      <c r="K1009" s="250" t="s">
        <v>1015</v>
      </c>
      <c r="L1009" s="250" t="s">
        <v>1177</v>
      </c>
      <c r="M1009" s="250" t="s">
        <v>3702</v>
      </c>
      <c r="N1009" s="350">
        <v>44258</v>
      </c>
      <c r="O1009" s="353" t="s">
        <v>71</v>
      </c>
      <c r="P1009" s="386">
        <f t="shared" ref="P1009:Q1009" si="1006">IF(B1009=0,0,IF(YEAR(B1009)=$Q$1,MONTH(B1009)-$P$1+1,(YEAR(B1009)-$Q$1)*12-$P$1+1+MONTH(B1009)))</f>
        <v>3</v>
      </c>
      <c r="Q1009" s="330">
        <f t="shared" si="1006"/>
        <v>-1</v>
      </c>
      <c r="R1009" s="351" t="str">
        <f t="shared" si="3"/>
        <v>Gastos_custeados_por_captação</v>
      </c>
      <c r="S1009" s="351" t="str">
        <f>IF(D1009="","",IF(OR(D1009=Plano!$A$1,D1009=Plano!$B$1),"entrada","saída"))</f>
        <v>saída</v>
      </c>
      <c r="T1009" s="334" t="s">
        <v>114</v>
      </c>
      <c r="U1009" s="334" t="s">
        <v>114</v>
      </c>
      <c r="V1009" s="269"/>
      <c r="W1009" s="269"/>
    </row>
    <row r="1010" spans="1:23" ht="69.75" customHeight="1" x14ac:dyDescent="0.2">
      <c r="A1010" s="277">
        <f t="shared" si="0"/>
        <v>1006</v>
      </c>
      <c r="B1010" s="350">
        <v>44258</v>
      </c>
      <c r="C1010" s="249">
        <v>44166</v>
      </c>
      <c r="D1010" s="250" t="s">
        <v>104</v>
      </c>
      <c r="E1010" s="250" t="s">
        <v>104</v>
      </c>
      <c r="F1010" s="251">
        <v>-3500</v>
      </c>
      <c r="G1010" s="250" t="s">
        <v>3733</v>
      </c>
      <c r="H1010" s="250" t="s">
        <v>104</v>
      </c>
      <c r="I1010" s="250" t="s">
        <v>2418</v>
      </c>
      <c r="J1010" s="250" t="s">
        <v>850</v>
      </c>
      <c r="K1010" s="250" t="s">
        <v>1015</v>
      </c>
      <c r="L1010" s="250" t="s">
        <v>1177</v>
      </c>
      <c r="M1010" s="250" t="s">
        <v>3704</v>
      </c>
      <c r="N1010" s="350">
        <v>44258</v>
      </c>
      <c r="O1010" s="353" t="s">
        <v>71</v>
      </c>
      <c r="P1010" s="386">
        <f t="shared" ref="P1010:Q1010" si="1007">IF(B1010=0,0,IF(YEAR(B1010)=$Q$1,MONTH(B1010)-$P$1+1,(YEAR(B1010)-$Q$1)*12-$P$1+1+MONTH(B1010)))</f>
        <v>3</v>
      </c>
      <c r="Q1010" s="330">
        <f t="shared" si="1007"/>
        <v>0</v>
      </c>
      <c r="R1010" s="351" t="str">
        <f t="shared" si="3"/>
        <v>Gastos_custeados_por_captação</v>
      </c>
      <c r="S1010" s="351" t="str">
        <f>IF(D1010="","",IF(OR(D1010=Plano!$A$1,D1010=Plano!$B$1),"entrada","saída"))</f>
        <v>saída</v>
      </c>
      <c r="T1010" s="334" t="s">
        <v>114</v>
      </c>
      <c r="U1010" s="334" t="s">
        <v>114</v>
      </c>
      <c r="V1010" s="269"/>
      <c r="W1010" s="269"/>
    </row>
    <row r="1011" spans="1:23" ht="69.75" customHeight="1" x14ac:dyDescent="0.2">
      <c r="A1011" s="277">
        <f t="shared" si="0"/>
        <v>1007</v>
      </c>
      <c r="B1011" s="350">
        <v>44258</v>
      </c>
      <c r="C1011" s="249">
        <v>44197</v>
      </c>
      <c r="D1011" s="250" t="s">
        <v>104</v>
      </c>
      <c r="E1011" s="250" t="s">
        <v>104</v>
      </c>
      <c r="F1011" s="251">
        <v>-3500</v>
      </c>
      <c r="G1011" s="250" t="s">
        <v>3734</v>
      </c>
      <c r="H1011" s="250" t="s">
        <v>104</v>
      </c>
      <c r="I1011" s="250" t="s">
        <v>2418</v>
      </c>
      <c r="J1011" s="250" t="s">
        <v>850</v>
      </c>
      <c r="K1011" s="250" t="s">
        <v>1015</v>
      </c>
      <c r="L1011" s="250" t="s">
        <v>1177</v>
      </c>
      <c r="M1011" s="250" t="s">
        <v>3706</v>
      </c>
      <c r="N1011" s="350">
        <v>44258</v>
      </c>
      <c r="O1011" s="353" t="s">
        <v>71</v>
      </c>
      <c r="P1011" s="386">
        <f t="shared" ref="P1011:Q1011" si="1008">IF(B1011=0,0,IF(YEAR(B1011)=$Q$1,MONTH(B1011)-$P$1+1,(YEAR(B1011)-$Q$1)*12-$P$1+1+MONTH(B1011)))</f>
        <v>3</v>
      </c>
      <c r="Q1011" s="330">
        <f t="shared" si="1008"/>
        <v>1</v>
      </c>
      <c r="R1011" s="351" t="str">
        <f t="shared" si="3"/>
        <v>Gastos_custeados_por_captação</v>
      </c>
      <c r="S1011" s="351" t="str">
        <f>IF(D1011="","",IF(OR(D1011=Plano!$A$1,D1011=Plano!$B$1),"entrada","saída"))</f>
        <v>saída</v>
      </c>
      <c r="T1011" s="334" t="s">
        <v>114</v>
      </c>
      <c r="U1011" s="334" t="s">
        <v>114</v>
      </c>
      <c r="V1011" s="269"/>
      <c r="W1011" s="269"/>
    </row>
    <row r="1012" spans="1:23" ht="69.75" customHeight="1" x14ac:dyDescent="0.2">
      <c r="A1012" s="277">
        <f t="shared" si="0"/>
        <v>1008</v>
      </c>
      <c r="B1012" s="278">
        <v>44259</v>
      </c>
      <c r="C1012" s="256">
        <v>44197</v>
      </c>
      <c r="D1012" s="255" t="s">
        <v>99</v>
      </c>
      <c r="E1012" s="255" t="s">
        <v>218</v>
      </c>
      <c r="F1012" s="258">
        <v>-61.44</v>
      </c>
      <c r="G1012" s="255" t="s">
        <v>3735</v>
      </c>
      <c r="H1012" s="255" t="s">
        <v>115</v>
      </c>
      <c r="I1012" s="250" t="s">
        <v>983</v>
      </c>
      <c r="J1012" s="255" t="s">
        <v>850</v>
      </c>
      <c r="K1012" s="255" t="s">
        <v>946</v>
      </c>
      <c r="L1012" s="250" t="s">
        <v>947</v>
      </c>
      <c r="M1012" s="255" t="s">
        <v>114</v>
      </c>
      <c r="N1012" s="278">
        <v>44259</v>
      </c>
      <c r="O1012" s="329" t="s">
        <v>67</v>
      </c>
      <c r="P1012" s="386">
        <f t="shared" ref="P1012:Q1012" si="1009">IF(B1012=0,0,IF(YEAR(B1012)=$Q$1,MONTH(B1012)-$P$1+1,(YEAR(B1012)-$Q$1)*12-$P$1+1+MONTH(B1012)))</f>
        <v>3</v>
      </c>
      <c r="Q1012" s="330">
        <f t="shared" si="1009"/>
        <v>1</v>
      </c>
      <c r="R1012" s="351" t="str">
        <f t="shared" si="3"/>
        <v>Gastos_Gerais</v>
      </c>
      <c r="S1012" s="351" t="str">
        <f>IF(D1012="","",IF(OR(D1012=Plano!$A$1,D1012=Plano!$B$1),"entrada","saída"))</f>
        <v>saída</v>
      </c>
      <c r="T1012" s="334" t="s">
        <v>114</v>
      </c>
      <c r="U1012" s="334" t="s">
        <v>114</v>
      </c>
      <c r="V1012" s="269"/>
      <c r="W1012" s="269"/>
    </row>
    <row r="1013" spans="1:23" ht="259.5" customHeight="1" x14ac:dyDescent="0.2">
      <c r="A1013" s="277">
        <f t="shared" si="0"/>
        <v>1009</v>
      </c>
      <c r="B1013" s="278">
        <v>44259</v>
      </c>
      <c r="C1013" s="256">
        <v>44228</v>
      </c>
      <c r="D1013" s="255" t="s">
        <v>99</v>
      </c>
      <c r="E1013" s="255" t="s">
        <v>364</v>
      </c>
      <c r="F1013" s="258">
        <v>800</v>
      </c>
      <c r="G1013" s="255" t="s">
        <v>3736</v>
      </c>
      <c r="H1013" s="255" t="s">
        <v>118</v>
      </c>
      <c r="I1013" s="252" t="s">
        <v>1022</v>
      </c>
      <c r="J1013" s="252" t="s">
        <v>833</v>
      </c>
      <c r="K1013" s="255" t="s">
        <v>1015</v>
      </c>
      <c r="L1013" s="250" t="s">
        <v>1016</v>
      </c>
      <c r="M1013" s="255">
        <v>226</v>
      </c>
      <c r="N1013" s="278">
        <v>44259</v>
      </c>
      <c r="O1013" s="329" t="s">
        <v>67</v>
      </c>
      <c r="P1013" s="386">
        <f t="shared" ref="P1013:Q1013" si="1010">IF(B1013=0,0,IF(YEAR(B1013)=$Q$1,MONTH(B1013)-$P$1+1,(YEAR(B1013)-$Q$1)*12-$P$1+1+MONTH(B1013)))</f>
        <v>3</v>
      </c>
      <c r="Q1013" s="330">
        <f t="shared" si="1010"/>
        <v>2</v>
      </c>
      <c r="R1013" s="351" t="str">
        <f t="shared" si="3"/>
        <v>Gastos_Gerais</v>
      </c>
      <c r="S1013" s="351" t="str">
        <f>IF(D1013="","",IF(OR(D1013=Plano!$A$1,D1013=Plano!$B$1),"entrada","saída"))</f>
        <v>saída</v>
      </c>
      <c r="T1013" s="334" t="s">
        <v>994</v>
      </c>
      <c r="U1013" s="334">
        <v>1369</v>
      </c>
      <c r="V1013" s="269"/>
      <c r="W1013" s="269"/>
    </row>
    <row r="1014" spans="1:23" ht="69.75" customHeight="1" x14ac:dyDescent="0.2">
      <c r="A1014" s="277">
        <f t="shared" si="0"/>
        <v>1010</v>
      </c>
      <c r="B1014" s="278">
        <v>44259</v>
      </c>
      <c r="C1014" s="256">
        <v>44197</v>
      </c>
      <c r="D1014" s="255" t="s">
        <v>99</v>
      </c>
      <c r="E1014" s="255" t="s">
        <v>218</v>
      </c>
      <c r="F1014" s="258">
        <v>280.8</v>
      </c>
      <c r="G1014" s="255" t="s">
        <v>3188</v>
      </c>
      <c r="H1014" s="255" t="s">
        <v>115</v>
      </c>
      <c r="I1014" s="252" t="s">
        <v>515</v>
      </c>
      <c r="J1014" s="252" t="s">
        <v>516</v>
      </c>
      <c r="K1014" s="255" t="s">
        <v>700</v>
      </c>
      <c r="L1014" s="250" t="s">
        <v>697</v>
      </c>
      <c r="M1014" s="279" t="s">
        <v>3737</v>
      </c>
      <c r="N1014" s="278">
        <v>44259</v>
      </c>
      <c r="O1014" s="329" t="s">
        <v>67</v>
      </c>
      <c r="P1014" s="386">
        <f t="shared" ref="P1014:Q1014" si="1011">IF(B1014=0,0,IF(YEAR(B1014)=$Q$1,MONTH(B1014)-$P$1+1,(YEAR(B1014)-$Q$1)*12-$P$1+1+MONTH(B1014)))</f>
        <v>3</v>
      </c>
      <c r="Q1014" s="330">
        <f t="shared" si="1011"/>
        <v>1</v>
      </c>
      <c r="R1014" s="351" t="str">
        <f t="shared" si="3"/>
        <v>Gastos_Gerais</v>
      </c>
      <c r="S1014" s="351" t="str">
        <f>IF(D1014="","",IF(OR(D1014=Plano!$A$1,D1014=Plano!$B$1),"entrada","saída"))</f>
        <v>saída</v>
      </c>
      <c r="T1014" s="334" t="s">
        <v>114</v>
      </c>
      <c r="U1014" s="334" t="s">
        <v>114</v>
      </c>
      <c r="V1014" s="269"/>
      <c r="W1014" s="269"/>
    </row>
    <row r="1015" spans="1:23" ht="69.75" customHeight="1" x14ac:dyDescent="0.2">
      <c r="A1015" s="277">
        <f t="shared" si="0"/>
        <v>1011</v>
      </c>
      <c r="B1015" s="278">
        <v>44259</v>
      </c>
      <c r="C1015" s="256">
        <v>44228</v>
      </c>
      <c r="D1015" s="255" t="s">
        <v>99</v>
      </c>
      <c r="E1015" s="255" t="s">
        <v>218</v>
      </c>
      <c r="F1015" s="258">
        <v>172.77</v>
      </c>
      <c r="G1015" s="255" t="s">
        <v>3738</v>
      </c>
      <c r="H1015" s="255" t="s">
        <v>129</v>
      </c>
      <c r="I1015" s="250" t="s">
        <v>515</v>
      </c>
      <c r="J1015" s="255" t="s">
        <v>699</v>
      </c>
      <c r="K1015" s="255" t="s">
        <v>700</v>
      </c>
      <c r="L1015" s="250" t="s">
        <v>697</v>
      </c>
      <c r="M1015" s="277" t="s">
        <v>3739</v>
      </c>
      <c r="N1015" s="278">
        <v>44259</v>
      </c>
      <c r="O1015" s="329" t="s">
        <v>67</v>
      </c>
      <c r="P1015" s="386">
        <f t="shared" ref="P1015:Q1015" si="1012">IF(B1015=0,0,IF(YEAR(B1015)=$Q$1,MONTH(B1015)-$P$1+1,(YEAR(B1015)-$Q$1)*12-$P$1+1+MONTH(B1015)))</f>
        <v>3</v>
      </c>
      <c r="Q1015" s="330">
        <f t="shared" si="1012"/>
        <v>2</v>
      </c>
      <c r="R1015" s="351" t="str">
        <f t="shared" si="3"/>
        <v>Gastos_Gerais</v>
      </c>
      <c r="S1015" s="351" t="str">
        <f>IF(D1015="","",IF(OR(D1015=Plano!$A$1,D1015=Plano!$B$1),"entrada","saída"))</f>
        <v>saída</v>
      </c>
      <c r="T1015" s="334" t="s">
        <v>114</v>
      </c>
      <c r="U1015" s="334" t="s">
        <v>114</v>
      </c>
      <c r="V1015" s="269"/>
      <c r="W1015" s="269"/>
    </row>
    <row r="1016" spans="1:23" ht="212.25" customHeight="1" x14ac:dyDescent="0.2">
      <c r="A1016" s="277">
        <f t="shared" si="0"/>
        <v>1012</v>
      </c>
      <c r="B1016" s="278">
        <v>44259</v>
      </c>
      <c r="C1016" s="256">
        <v>44228</v>
      </c>
      <c r="D1016" s="255" t="s">
        <v>99</v>
      </c>
      <c r="E1016" s="255" t="s">
        <v>312</v>
      </c>
      <c r="F1016" s="258">
        <v>600</v>
      </c>
      <c r="G1016" s="255" t="s">
        <v>3740</v>
      </c>
      <c r="H1016" s="255" t="s">
        <v>125</v>
      </c>
      <c r="I1016" s="252" t="s">
        <v>2678</v>
      </c>
      <c r="J1016" s="252" t="s">
        <v>2679</v>
      </c>
      <c r="K1016" s="255" t="s">
        <v>991</v>
      </c>
      <c r="L1016" s="250" t="s">
        <v>3595</v>
      </c>
      <c r="M1016" s="255">
        <v>299</v>
      </c>
      <c r="N1016" s="278">
        <v>44258</v>
      </c>
      <c r="O1016" s="329" t="s">
        <v>67</v>
      </c>
      <c r="P1016" s="386">
        <f t="shared" ref="P1016:Q1016" si="1013">IF(B1016=0,0,IF(YEAR(B1016)=$Q$1,MONTH(B1016)-$P$1+1,(YEAR(B1016)-$Q$1)*12-$P$1+1+MONTH(B1016)))</f>
        <v>3</v>
      </c>
      <c r="Q1016" s="330">
        <f t="shared" si="1013"/>
        <v>2</v>
      </c>
      <c r="R1016" s="351" t="str">
        <f t="shared" si="3"/>
        <v>Gastos_Gerais</v>
      </c>
      <c r="S1016" s="351" t="str">
        <f>IF(D1016="","",IF(OR(D1016=Plano!$A$1,D1016=Plano!$B$1),"entrada","saída"))</f>
        <v>saída</v>
      </c>
      <c r="T1016" s="334" t="s">
        <v>994</v>
      </c>
      <c r="U1016" s="334">
        <v>1349</v>
      </c>
      <c r="V1016" s="269"/>
      <c r="W1016" s="269"/>
    </row>
    <row r="1017" spans="1:23" ht="233.25" customHeight="1" x14ac:dyDescent="0.2">
      <c r="A1017" s="277">
        <f t="shared" si="0"/>
        <v>1013</v>
      </c>
      <c r="B1017" s="278">
        <v>44259</v>
      </c>
      <c r="C1017" s="256">
        <v>44228</v>
      </c>
      <c r="D1017" s="255" t="s">
        <v>99</v>
      </c>
      <c r="E1017" s="255" t="s">
        <v>262</v>
      </c>
      <c r="F1017" s="258">
        <v>2000</v>
      </c>
      <c r="G1017" s="255" t="s">
        <v>462</v>
      </c>
      <c r="H1017" s="255" t="s">
        <v>125</v>
      </c>
      <c r="I1017" s="252" t="s">
        <v>1331</v>
      </c>
      <c r="J1017" s="252" t="s">
        <v>464</v>
      </c>
      <c r="K1017" s="255" t="s">
        <v>991</v>
      </c>
      <c r="L1017" s="250" t="s">
        <v>1016</v>
      </c>
      <c r="M1017" s="255" t="s">
        <v>1443</v>
      </c>
      <c r="N1017" s="278">
        <v>44258</v>
      </c>
      <c r="O1017" s="329" t="s">
        <v>67</v>
      </c>
      <c r="P1017" s="386">
        <f t="shared" ref="P1017:Q1017" si="1014">IF(B1017=0,0,IF(YEAR(B1017)=$Q$1,MONTH(B1017)-$P$1+1,(YEAR(B1017)-$Q$1)*12-$P$1+1+MONTH(B1017)))</f>
        <v>3</v>
      </c>
      <c r="Q1017" s="330">
        <f t="shared" si="1014"/>
        <v>2</v>
      </c>
      <c r="R1017" s="351" t="str">
        <f t="shared" si="3"/>
        <v>Gastos_Gerais</v>
      </c>
      <c r="S1017" s="351" t="str">
        <f>IF(D1017="","",IF(OR(D1017=Plano!$A$1,D1017=Plano!$B$1),"entrada","saída"))</f>
        <v>saída</v>
      </c>
      <c r="T1017" s="334" t="s">
        <v>1059</v>
      </c>
      <c r="U1017" s="334">
        <v>956</v>
      </c>
      <c r="V1017" s="269"/>
      <c r="W1017" s="269"/>
    </row>
    <row r="1018" spans="1:23" ht="202.5" customHeight="1" x14ac:dyDescent="0.2">
      <c r="A1018" s="277">
        <f t="shared" si="0"/>
        <v>1014</v>
      </c>
      <c r="B1018" s="278">
        <v>44259</v>
      </c>
      <c r="C1018" s="256">
        <v>44256</v>
      </c>
      <c r="D1018" s="255" t="s">
        <v>104</v>
      </c>
      <c r="E1018" s="255" t="s">
        <v>104</v>
      </c>
      <c r="F1018" s="257">
        <v>4488.75</v>
      </c>
      <c r="G1018" s="255" t="s">
        <v>3637</v>
      </c>
      <c r="H1018" s="255" t="s">
        <v>104</v>
      </c>
      <c r="I1018" s="252" t="s">
        <v>3638</v>
      </c>
      <c r="J1018" s="252" t="s">
        <v>3639</v>
      </c>
      <c r="K1018" s="255" t="s">
        <v>1015</v>
      </c>
      <c r="L1018" s="250" t="s">
        <v>1016</v>
      </c>
      <c r="M1018" s="255" t="s">
        <v>1058</v>
      </c>
      <c r="N1018" s="278">
        <v>44256</v>
      </c>
      <c r="O1018" s="329" t="s">
        <v>69</v>
      </c>
      <c r="P1018" s="386">
        <f t="shared" ref="P1018:Q1018" si="1015">IF(B1018=0,0,IF(YEAR(B1018)=$Q$1,MONTH(B1018)-$P$1+1,(YEAR(B1018)-$Q$1)*12-$P$1+1+MONTH(B1018)))</f>
        <v>3</v>
      </c>
      <c r="Q1018" s="330">
        <f t="shared" si="1015"/>
        <v>3</v>
      </c>
      <c r="R1018" s="351" t="str">
        <f t="shared" si="3"/>
        <v>Gastos_custeados_por_captação</v>
      </c>
      <c r="S1018" s="351" t="str">
        <f>IF(D1018="","",IF(OR(D1018=Plano!$A$1,D1018=Plano!$B$1),"entrada","saída"))</f>
        <v>saída</v>
      </c>
      <c r="T1018" s="334" t="s">
        <v>994</v>
      </c>
      <c r="U1018" s="334">
        <v>1328</v>
      </c>
      <c r="V1018" s="269"/>
      <c r="W1018" s="269"/>
    </row>
    <row r="1019" spans="1:23" ht="191.25" customHeight="1" x14ac:dyDescent="0.2">
      <c r="A1019" s="277">
        <f t="shared" si="0"/>
        <v>1015</v>
      </c>
      <c r="B1019" s="278">
        <v>44259</v>
      </c>
      <c r="C1019" s="256">
        <v>44105</v>
      </c>
      <c r="D1019" s="255" t="s">
        <v>104</v>
      </c>
      <c r="E1019" s="255" t="s">
        <v>104</v>
      </c>
      <c r="F1019" s="257">
        <v>800</v>
      </c>
      <c r="G1019" s="255" t="s">
        <v>3741</v>
      </c>
      <c r="H1019" s="255" t="s">
        <v>104</v>
      </c>
      <c r="I1019" s="252" t="s">
        <v>1022</v>
      </c>
      <c r="J1019" s="252" t="s">
        <v>833</v>
      </c>
      <c r="K1019" s="255" t="s">
        <v>1015</v>
      </c>
      <c r="L1019" s="250" t="s">
        <v>1016</v>
      </c>
      <c r="M1019" s="255">
        <v>227</v>
      </c>
      <c r="N1019" s="278">
        <v>44259</v>
      </c>
      <c r="O1019" s="329" t="s">
        <v>68</v>
      </c>
      <c r="P1019" s="386">
        <f t="shared" ref="P1019:Q1019" si="1016">IF(B1019=0,0,IF(YEAR(B1019)=$Q$1,MONTH(B1019)-$P$1+1,(YEAR(B1019)-$Q$1)*12-$P$1+1+MONTH(B1019)))</f>
        <v>3</v>
      </c>
      <c r="Q1019" s="330">
        <f t="shared" si="1016"/>
        <v>-2</v>
      </c>
      <c r="R1019" s="351" t="str">
        <f t="shared" si="3"/>
        <v>Gastos_custeados_por_captação</v>
      </c>
      <c r="S1019" s="351" t="str">
        <f>IF(D1019="","",IF(OR(D1019=Plano!$A$1,D1019=Plano!$B$1),"entrada","saída"))</f>
        <v>saída</v>
      </c>
      <c r="T1019" s="334" t="s">
        <v>994</v>
      </c>
      <c r="U1019" s="334">
        <v>739</v>
      </c>
      <c r="V1019" s="269"/>
      <c r="W1019" s="269"/>
    </row>
    <row r="1020" spans="1:23" ht="201.75" customHeight="1" x14ac:dyDescent="0.2">
      <c r="A1020" s="277">
        <f t="shared" si="0"/>
        <v>1016</v>
      </c>
      <c r="B1020" s="278">
        <v>44259</v>
      </c>
      <c r="C1020" s="249">
        <v>44228</v>
      </c>
      <c r="D1020" s="255" t="s">
        <v>104</v>
      </c>
      <c r="E1020" s="255" t="s">
        <v>104</v>
      </c>
      <c r="F1020" s="257">
        <v>1967.27</v>
      </c>
      <c r="G1020" s="255" t="s">
        <v>3742</v>
      </c>
      <c r="H1020" s="255" t="s">
        <v>104</v>
      </c>
      <c r="I1020" s="252" t="s">
        <v>3743</v>
      </c>
      <c r="J1020" s="252" t="s">
        <v>3744</v>
      </c>
      <c r="K1020" s="255" t="s">
        <v>1015</v>
      </c>
      <c r="L1020" s="250" t="s">
        <v>1029</v>
      </c>
      <c r="M1020" s="255">
        <v>1087</v>
      </c>
      <c r="N1020" s="278">
        <v>44258</v>
      </c>
      <c r="O1020" s="329" t="s">
        <v>68</v>
      </c>
      <c r="P1020" s="386">
        <f t="shared" ref="P1020:Q1020" si="1017">IF(B1020=0,0,IF(YEAR(B1020)=$Q$1,MONTH(B1020)-$P$1+1,(YEAR(B1020)-$Q$1)*12-$P$1+1+MONTH(B1020)))</f>
        <v>3</v>
      </c>
      <c r="Q1020" s="330">
        <f t="shared" si="1017"/>
        <v>2</v>
      </c>
      <c r="R1020" s="351" t="str">
        <f t="shared" si="3"/>
        <v>Gastos_custeados_por_captação</v>
      </c>
      <c r="S1020" s="351" t="str">
        <f>IF(D1020="","",IF(OR(D1020=Plano!$A$1,D1020=Plano!$B$1),"entrada","saída"))</f>
        <v>saída</v>
      </c>
      <c r="T1020" s="334" t="s">
        <v>1082</v>
      </c>
      <c r="U1020" s="334">
        <v>1216</v>
      </c>
      <c r="V1020" s="269"/>
      <c r="W1020" s="269"/>
    </row>
    <row r="1021" spans="1:23" ht="156.75" customHeight="1" x14ac:dyDescent="0.2">
      <c r="A1021" s="277">
        <f t="shared" si="0"/>
        <v>1017</v>
      </c>
      <c r="B1021" s="278">
        <v>44259</v>
      </c>
      <c r="C1021" s="249">
        <v>44228</v>
      </c>
      <c r="D1021" s="255" t="s">
        <v>104</v>
      </c>
      <c r="E1021" s="255" t="s">
        <v>104</v>
      </c>
      <c r="F1021" s="257">
        <v>1344</v>
      </c>
      <c r="G1021" s="255" t="s">
        <v>3745</v>
      </c>
      <c r="H1021" s="255" t="s">
        <v>104</v>
      </c>
      <c r="I1021" s="250" t="s">
        <v>1776</v>
      </c>
      <c r="J1021" s="252" t="s">
        <v>1777</v>
      </c>
      <c r="K1021" s="255" t="s">
        <v>1015</v>
      </c>
      <c r="L1021" s="250" t="s">
        <v>1029</v>
      </c>
      <c r="M1021" s="255">
        <v>1088</v>
      </c>
      <c r="N1021" s="278">
        <v>44258</v>
      </c>
      <c r="O1021" s="329" t="s">
        <v>68</v>
      </c>
      <c r="P1021" s="386">
        <f t="shared" ref="P1021:Q1021" si="1018">IF(B1021=0,0,IF(YEAR(B1021)=$Q$1,MONTH(B1021)-$P$1+1,(YEAR(B1021)-$Q$1)*12-$P$1+1+MONTH(B1021)))</f>
        <v>3</v>
      </c>
      <c r="Q1021" s="330">
        <f t="shared" si="1018"/>
        <v>2</v>
      </c>
      <c r="R1021" s="351" t="str">
        <f t="shared" si="3"/>
        <v>Gastos_custeados_por_captação</v>
      </c>
      <c r="S1021" s="351" t="str">
        <f>IF(D1021="","",IF(OR(D1021=Plano!$A$1,D1021=Plano!$B$1),"entrada","saída"))</f>
        <v>saída</v>
      </c>
      <c r="T1021" s="334" t="s">
        <v>1082</v>
      </c>
      <c r="U1021" s="334">
        <v>1405</v>
      </c>
      <c r="V1021" s="269"/>
      <c r="W1021" s="269"/>
    </row>
    <row r="1022" spans="1:23" ht="233.25" customHeight="1" x14ac:dyDescent="0.2">
      <c r="A1022" s="277">
        <f t="shared" si="0"/>
        <v>1018</v>
      </c>
      <c r="B1022" s="278">
        <v>44259</v>
      </c>
      <c r="C1022" s="249">
        <v>44228</v>
      </c>
      <c r="D1022" s="255" t="s">
        <v>104</v>
      </c>
      <c r="E1022" s="255" t="s">
        <v>104</v>
      </c>
      <c r="F1022" s="257">
        <v>2075.92</v>
      </c>
      <c r="G1022" s="255" t="s">
        <v>3746</v>
      </c>
      <c r="H1022" s="255" t="s">
        <v>104</v>
      </c>
      <c r="I1022" s="252" t="s">
        <v>3250</v>
      </c>
      <c r="J1022" s="252" t="s">
        <v>3251</v>
      </c>
      <c r="K1022" s="255" t="s">
        <v>1015</v>
      </c>
      <c r="L1022" s="250" t="s">
        <v>1029</v>
      </c>
      <c r="M1022" s="255">
        <v>1090</v>
      </c>
      <c r="N1022" s="278">
        <v>44258</v>
      </c>
      <c r="O1022" s="329" t="s">
        <v>68</v>
      </c>
      <c r="P1022" s="386">
        <f t="shared" ref="P1022:Q1022" si="1019">IF(B1022=0,0,IF(YEAR(B1022)=$Q$1,MONTH(B1022)-$P$1+1,(YEAR(B1022)-$Q$1)*12-$P$1+1+MONTH(B1022)))</f>
        <v>3</v>
      </c>
      <c r="Q1022" s="330">
        <f t="shared" si="1019"/>
        <v>2</v>
      </c>
      <c r="R1022" s="351" t="str">
        <f t="shared" si="3"/>
        <v>Gastos_custeados_por_captação</v>
      </c>
      <c r="S1022" s="351" t="str">
        <f>IF(D1022="","",IF(OR(D1022=Plano!$A$1,D1022=Plano!$B$1),"entrada","saída"))</f>
        <v>saída</v>
      </c>
      <c r="T1022" s="334" t="s">
        <v>1082</v>
      </c>
      <c r="U1022" s="334">
        <v>1303</v>
      </c>
      <c r="V1022" s="269"/>
      <c r="W1022" s="269"/>
    </row>
    <row r="1023" spans="1:23" ht="207" customHeight="1" x14ac:dyDescent="0.2">
      <c r="A1023" s="277">
        <f t="shared" si="0"/>
        <v>1019</v>
      </c>
      <c r="B1023" s="278">
        <v>44259</v>
      </c>
      <c r="C1023" s="249">
        <v>44228</v>
      </c>
      <c r="D1023" s="255" t="s">
        <v>104</v>
      </c>
      <c r="E1023" s="255" t="s">
        <v>104</v>
      </c>
      <c r="F1023" s="257">
        <v>2300</v>
      </c>
      <c r="G1023" s="255" t="s">
        <v>3679</v>
      </c>
      <c r="H1023" s="255" t="s">
        <v>104</v>
      </c>
      <c r="I1023" s="252" t="s">
        <v>1631</v>
      </c>
      <c r="J1023" s="252" t="s">
        <v>1632</v>
      </c>
      <c r="K1023" s="255" t="s">
        <v>1015</v>
      </c>
      <c r="L1023" s="250" t="s">
        <v>1016</v>
      </c>
      <c r="M1023" s="255" t="s">
        <v>3747</v>
      </c>
      <c r="N1023" s="278">
        <v>44259</v>
      </c>
      <c r="O1023" s="329" t="s">
        <v>68</v>
      </c>
      <c r="P1023" s="386">
        <f t="shared" ref="P1023:Q1023" si="1020">IF(B1023=0,0,IF(YEAR(B1023)=$Q$1,MONTH(B1023)-$P$1+1,(YEAR(B1023)-$Q$1)*12-$P$1+1+MONTH(B1023)))</f>
        <v>3</v>
      </c>
      <c r="Q1023" s="330">
        <f t="shared" si="1020"/>
        <v>2</v>
      </c>
      <c r="R1023" s="351" t="str">
        <f t="shared" si="3"/>
        <v>Gastos_custeados_por_captação</v>
      </c>
      <c r="S1023" s="351" t="str">
        <f>IF(D1023="","",IF(OR(D1023=Plano!$A$1,D1023=Plano!$B$1),"entrada","saída"))</f>
        <v>saída</v>
      </c>
      <c r="T1023" s="334" t="s">
        <v>1082</v>
      </c>
      <c r="U1023" s="334">
        <v>1201</v>
      </c>
      <c r="V1023" s="269"/>
      <c r="W1023" s="269"/>
    </row>
    <row r="1024" spans="1:23" ht="69.75" customHeight="1" x14ac:dyDescent="0.2">
      <c r="A1024" s="277">
        <f t="shared" si="0"/>
        <v>1020</v>
      </c>
      <c r="B1024" s="278">
        <v>44259</v>
      </c>
      <c r="C1024" s="249">
        <v>44228</v>
      </c>
      <c r="D1024" s="255" t="s">
        <v>104</v>
      </c>
      <c r="E1024" s="255" t="s">
        <v>104</v>
      </c>
      <c r="F1024" s="251">
        <v>2300</v>
      </c>
      <c r="G1024" s="255" t="s">
        <v>3680</v>
      </c>
      <c r="H1024" s="255" t="s">
        <v>104</v>
      </c>
      <c r="I1024" s="252" t="s">
        <v>3748</v>
      </c>
      <c r="J1024" s="252" t="s">
        <v>2637</v>
      </c>
      <c r="K1024" s="255" t="s">
        <v>1015</v>
      </c>
      <c r="L1024" s="250" t="s">
        <v>1016</v>
      </c>
      <c r="M1024" s="255" t="s">
        <v>1443</v>
      </c>
      <c r="N1024" s="278">
        <v>44258</v>
      </c>
      <c r="O1024" s="329" t="s">
        <v>68</v>
      </c>
      <c r="P1024" s="386">
        <f t="shared" ref="P1024:Q1024" si="1021">IF(B1024=0,0,IF(YEAR(B1024)=$Q$1,MONTH(B1024)-$P$1+1,(YEAR(B1024)-$Q$1)*12-$P$1+1+MONTH(B1024)))</f>
        <v>3</v>
      </c>
      <c r="Q1024" s="330">
        <f t="shared" si="1021"/>
        <v>2</v>
      </c>
      <c r="R1024" s="351" t="str">
        <f t="shared" si="3"/>
        <v>Gastos_custeados_por_captação</v>
      </c>
      <c r="S1024" s="351" t="str">
        <f>IF(D1024="","",IF(OR(D1024=Plano!$A$1,D1024=Plano!$B$1),"entrada","saída"))</f>
        <v>saída</v>
      </c>
      <c r="T1024" s="334" t="s">
        <v>1082</v>
      </c>
      <c r="U1024" s="334">
        <v>1414</v>
      </c>
      <c r="V1024" s="269"/>
      <c r="W1024" s="269"/>
    </row>
    <row r="1025" spans="1:23" ht="217.5" customHeight="1" x14ac:dyDescent="0.2">
      <c r="A1025" s="277">
        <f t="shared" si="0"/>
        <v>1021</v>
      </c>
      <c r="B1025" s="278">
        <v>44259</v>
      </c>
      <c r="C1025" s="249">
        <v>44228</v>
      </c>
      <c r="D1025" s="255" t="s">
        <v>104</v>
      </c>
      <c r="E1025" s="255" t="s">
        <v>104</v>
      </c>
      <c r="F1025" s="257">
        <v>2000</v>
      </c>
      <c r="G1025" s="255" t="s">
        <v>3749</v>
      </c>
      <c r="H1025" s="255" t="s">
        <v>104</v>
      </c>
      <c r="I1025" s="252" t="s">
        <v>1043</v>
      </c>
      <c r="J1025" s="252" t="s">
        <v>1044</v>
      </c>
      <c r="K1025" s="255" t="s">
        <v>1015</v>
      </c>
      <c r="L1025" s="250" t="s">
        <v>1016</v>
      </c>
      <c r="M1025" s="255" t="s">
        <v>1294</v>
      </c>
      <c r="N1025" s="278">
        <v>44258</v>
      </c>
      <c r="O1025" s="329" t="s">
        <v>68</v>
      </c>
      <c r="P1025" s="386">
        <f t="shared" ref="P1025:Q1025" si="1022">IF(B1025=0,0,IF(YEAR(B1025)=$Q$1,MONTH(B1025)-$P$1+1,(YEAR(B1025)-$Q$1)*12-$P$1+1+MONTH(B1025)))</f>
        <v>3</v>
      </c>
      <c r="Q1025" s="330">
        <f t="shared" si="1022"/>
        <v>2</v>
      </c>
      <c r="R1025" s="351" t="str">
        <f t="shared" si="3"/>
        <v>Gastos_custeados_por_captação</v>
      </c>
      <c r="S1025" s="351" t="str">
        <f>IF(D1025="","",IF(OR(D1025=Plano!$A$1,D1025=Plano!$B$1),"entrada","saída"))</f>
        <v>saída</v>
      </c>
      <c r="T1025" s="334" t="s">
        <v>994</v>
      </c>
      <c r="U1025" s="334">
        <v>1358</v>
      </c>
      <c r="V1025" s="269"/>
      <c r="W1025" s="269"/>
    </row>
    <row r="1026" spans="1:23" ht="213" customHeight="1" x14ac:dyDescent="0.2">
      <c r="A1026" s="277">
        <f t="shared" si="0"/>
        <v>1022</v>
      </c>
      <c r="B1026" s="278">
        <v>44259</v>
      </c>
      <c r="C1026" s="249">
        <v>44228</v>
      </c>
      <c r="D1026" s="255" t="s">
        <v>104</v>
      </c>
      <c r="E1026" s="255" t="s">
        <v>104</v>
      </c>
      <c r="F1026" s="257">
        <v>2300</v>
      </c>
      <c r="G1026" s="255" t="s">
        <v>3710</v>
      </c>
      <c r="H1026" s="255" t="s">
        <v>104</v>
      </c>
      <c r="I1026" s="250" t="s">
        <v>2672</v>
      </c>
      <c r="J1026" s="252" t="s">
        <v>2673</v>
      </c>
      <c r="K1026" s="255" t="s">
        <v>1015</v>
      </c>
      <c r="L1026" s="250" t="s">
        <v>1016</v>
      </c>
      <c r="M1026" s="255" t="s">
        <v>1017</v>
      </c>
      <c r="N1026" s="278">
        <v>44258</v>
      </c>
      <c r="O1026" s="329" t="s">
        <v>68</v>
      </c>
      <c r="P1026" s="386">
        <f t="shared" ref="P1026:Q1026" si="1023">IF(B1026=0,0,IF(YEAR(B1026)=$Q$1,MONTH(B1026)-$P$1+1,(YEAR(B1026)-$Q$1)*12-$P$1+1+MONTH(B1026)))</f>
        <v>3</v>
      </c>
      <c r="Q1026" s="330">
        <f t="shared" si="1023"/>
        <v>2</v>
      </c>
      <c r="R1026" s="351" t="str">
        <f t="shared" si="3"/>
        <v>Gastos_custeados_por_captação</v>
      </c>
      <c r="S1026" s="351" t="str">
        <f>IF(D1026="","",IF(OR(D1026=Plano!$A$1,D1026=Plano!$B$1),"entrada","saída"))</f>
        <v>saída</v>
      </c>
      <c r="T1026" s="334" t="s">
        <v>1082</v>
      </c>
      <c r="U1026" s="334">
        <v>1415</v>
      </c>
      <c r="V1026" s="269"/>
      <c r="W1026" s="269"/>
    </row>
    <row r="1027" spans="1:23" ht="69.75" customHeight="1" x14ac:dyDescent="0.2">
      <c r="A1027" s="277">
        <f t="shared" si="0"/>
        <v>1023</v>
      </c>
      <c r="B1027" s="278">
        <v>44260</v>
      </c>
      <c r="C1027" s="256">
        <v>44228</v>
      </c>
      <c r="D1027" s="255" t="s">
        <v>99</v>
      </c>
      <c r="E1027" s="255" t="s">
        <v>330</v>
      </c>
      <c r="F1027" s="257">
        <v>-74.7</v>
      </c>
      <c r="G1027" s="395" t="s">
        <v>3750</v>
      </c>
      <c r="H1027" s="255" t="s">
        <v>115</v>
      </c>
      <c r="I1027" s="250" t="s">
        <v>983</v>
      </c>
      <c r="J1027" s="255" t="s">
        <v>850</v>
      </c>
      <c r="K1027" s="255" t="s">
        <v>946</v>
      </c>
      <c r="L1027" s="250" t="s">
        <v>947</v>
      </c>
      <c r="M1027" s="255" t="s">
        <v>114</v>
      </c>
      <c r="N1027" s="278">
        <v>44260</v>
      </c>
      <c r="O1027" s="329" t="s">
        <v>67</v>
      </c>
      <c r="P1027" s="386">
        <f t="shared" ref="P1027:Q1027" si="1024">IF(B1027=0,0,IF(YEAR(B1027)=$Q$1,MONTH(B1027)-$P$1+1,(YEAR(B1027)-$Q$1)*12-$P$1+1+MONTH(B1027)))</f>
        <v>3</v>
      </c>
      <c r="Q1027" s="330">
        <f t="shared" si="1024"/>
        <v>2</v>
      </c>
      <c r="R1027" s="351" t="str">
        <f t="shared" si="3"/>
        <v>Gastos_Gerais</v>
      </c>
      <c r="S1027" s="351" t="str">
        <f>IF(D1027="","",IF(OR(D1027=Plano!$A$1,D1027=Plano!$B$1),"entrada","saída"))</f>
        <v>saída</v>
      </c>
      <c r="T1027" s="334" t="s">
        <v>114</v>
      </c>
      <c r="U1027" s="334" t="s">
        <v>114</v>
      </c>
      <c r="V1027" s="269"/>
      <c r="W1027" s="269"/>
    </row>
    <row r="1028" spans="1:23" ht="69.75" customHeight="1" x14ac:dyDescent="0.2">
      <c r="A1028" s="277">
        <f t="shared" si="0"/>
        <v>1024</v>
      </c>
      <c r="B1028" s="278">
        <v>44260</v>
      </c>
      <c r="C1028" s="256">
        <v>44228</v>
      </c>
      <c r="D1028" s="255" t="s">
        <v>88</v>
      </c>
      <c r="E1028" s="255" t="s">
        <v>171</v>
      </c>
      <c r="F1028" s="258">
        <v>-2041.86</v>
      </c>
      <c r="G1028" s="255" t="s">
        <v>3751</v>
      </c>
      <c r="H1028" s="255" t="s">
        <v>114</v>
      </c>
      <c r="I1028" s="250" t="s">
        <v>983</v>
      </c>
      <c r="J1028" s="255" t="s">
        <v>850</v>
      </c>
      <c r="K1028" s="255" t="s">
        <v>946</v>
      </c>
      <c r="L1028" s="250" t="s">
        <v>947</v>
      </c>
      <c r="M1028" s="255" t="s">
        <v>114</v>
      </c>
      <c r="N1028" s="278">
        <v>44260</v>
      </c>
      <c r="O1028" s="329" t="s">
        <v>67</v>
      </c>
      <c r="P1028" s="386">
        <f t="shared" ref="P1028:Q1028" si="1025">IF(B1028=0,0,IF(YEAR(B1028)=$Q$1,MONTH(B1028)-$P$1+1,(YEAR(B1028)-$Q$1)*12-$P$1+1+MONTH(B1028)))</f>
        <v>3</v>
      </c>
      <c r="Q1028" s="330">
        <f t="shared" si="1025"/>
        <v>2</v>
      </c>
      <c r="R1028" s="351" t="str">
        <f t="shared" si="3"/>
        <v>Gastos_com_Pessoal</v>
      </c>
      <c r="S1028" s="351" t="str">
        <f>IF(D1028="","",IF(OR(D1028=Plano!$A$1,D1028=Plano!$B$1),"entrada","saída"))</f>
        <v>saída</v>
      </c>
      <c r="T1028" s="334" t="s">
        <v>114</v>
      </c>
      <c r="U1028" s="334" t="s">
        <v>114</v>
      </c>
      <c r="V1028" s="269"/>
      <c r="W1028" s="269"/>
    </row>
    <row r="1029" spans="1:23" ht="69.75" customHeight="1" x14ac:dyDescent="0.2">
      <c r="A1029" s="277">
        <f t="shared" si="0"/>
        <v>1025</v>
      </c>
      <c r="B1029" s="278">
        <v>44260</v>
      </c>
      <c r="C1029" s="256">
        <v>44228</v>
      </c>
      <c r="D1029" s="255" t="s">
        <v>99</v>
      </c>
      <c r="E1029" s="255" t="s">
        <v>330</v>
      </c>
      <c r="F1029" s="258">
        <v>-74.7</v>
      </c>
      <c r="G1029" s="255" t="s">
        <v>3752</v>
      </c>
      <c r="H1029" s="255" t="s">
        <v>115</v>
      </c>
      <c r="I1029" s="250" t="s">
        <v>983</v>
      </c>
      <c r="J1029" s="255" t="s">
        <v>850</v>
      </c>
      <c r="K1029" s="255" t="s">
        <v>946</v>
      </c>
      <c r="L1029" s="250" t="s">
        <v>947</v>
      </c>
      <c r="M1029" s="255" t="s">
        <v>114</v>
      </c>
      <c r="N1029" s="278">
        <v>44260</v>
      </c>
      <c r="O1029" s="329" t="s">
        <v>67</v>
      </c>
      <c r="P1029" s="386">
        <f t="shared" ref="P1029:Q1029" si="1026">IF(B1029=0,0,IF(YEAR(B1029)=$Q$1,MONTH(B1029)-$P$1+1,(YEAR(B1029)-$Q$1)*12-$P$1+1+MONTH(B1029)))</f>
        <v>3</v>
      </c>
      <c r="Q1029" s="330">
        <f t="shared" si="1026"/>
        <v>2</v>
      </c>
      <c r="R1029" s="351" t="str">
        <f t="shared" si="3"/>
        <v>Gastos_Gerais</v>
      </c>
      <c r="S1029" s="351" t="str">
        <f>IF(D1029="","",IF(OR(D1029=Plano!$A$1,D1029=Plano!$B$1),"entrada","saída"))</f>
        <v>saída</v>
      </c>
      <c r="T1029" s="334" t="s">
        <v>114</v>
      </c>
      <c r="U1029" s="334" t="s">
        <v>114</v>
      </c>
      <c r="V1029" s="269"/>
      <c r="W1029" s="269"/>
    </row>
    <row r="1030" spans="1:23" ht="69.75" customHeight="1" x14ac:dyDescent="0.2">
      <c r="A1030" s="277">
        <f t="shared" si="0"/>
        <v>1026</v>
      </c>
      <c r="B1030" s="278">
        <v>44260</v>
      </c>
      <c r="C1030" s="256">
        <v>44228</v>
      </c>
      <c r="D1030" s="255" t="s">
        <v>88</v>
      </c>
      <c r="E1030" s="255" t="s">
        <v>171</v>
      </c>
      <c r="F1030" s="258">
        <v>-234.21</v>
      </c>
      <c r="G1030" s="252" t="s">
        <v>3753</v>
      </c>
      <c r="H1030" s="255" t="s">
        <v>114</v>
      </c>
      <c r="I1030" s="250" t="s">
        <v>983</v>
      </c>
      <c r="J1030" s="255" t="s">
        <v>850</v>
      </c>
      <c r="K1030" s="255" t="s">
        <v>946</v>
      </c>
      <c r="L1030" s="250" t="s">
        <v>947</v>
      </c>
      <c r="M1030" s="255" t="s">
        <v>114</v>
      </c>
      <c r="N1030" s="278">
        <v>44260</v>
      </c>
      <c r="O1030" s="329" t="s">
        <v>67</v>
      </c>
      <c r="P1030" s="386">
        <f t="shared" ref="P1030:Q1030" si="1027">IF(B1030=0,0,IF(YEAR(B1030)=$Q$1,MONTH(B1030)-$P$1+1,(YEAR(B1030)-$Q$1)*12-$P$1+1+MONTH(B1030)))</f>
        <v>3</v>
      </c>
      <c r="Q1030" s="330">
        <f t="shared" si="1027"/>
        <v>2</v>
      </c>
      <c r="R1030" s="351" t="str">
        <f t="shared" si="3"/>
        <v>Gastos_com_Pessoal</v>
      </c>
      <c r="S1030" s="351" t="str">
        <f>IF(D1030="","",IF(OR(D1030=Plano!$A$1,D1030=Plano!$B$1),"entrada","saída"))</f>
        <v>saída</v>
      </c>
      <c r="T1030" s="334" t="s">
        <v>114</v>
      </c>
      <c r="U1030" s="334" t="s">
        <v>114</v>
      </c>
      <c r="V1030" s="269"/>
      <c r="W1030" s="269"/>
    </row>
    <row r="1031" spans="1:23" ht="69.75" customHeight="1" x14ac:dyDescent="0.2">
      <c r="A1031" s="277">
        <f t="shared" si="0"/>
        <v>1027</v>
      </c>
      <c r="B1031" s="278">
        <v>44260</v>
      </c>
      <c r="C1031" s="256">
        <v>44228</v>
      </c>
      <c r="D1031" s="255" t="s">
        <v>99</v>
      </c>
      <c r="E1031" s="255" t="s">
        <v>228</v>
      </c>
      <c r="F1031" s="257">
        <v>-2093.5500000000002</v>
      </c>
      <c r="G1031" s="396" t="s">
        <v>3754</v>
      </c>
      <c r="H1031" s="255" t="s">
        <v>115</v>
      </c>
      <c r="I1031" s="250" t="s">
        <v>983</v>
      </c>
      <c r="J1031" s="255" t="s">
        <v>850</v>
      </c>
      <c r="K1031" s="255" t="s">
        <v>1069</v>
      </c>
      <c r="L1031" s="250" t="s">
        <v>947</v>
      </c>
      <c r="M1031" s="255" t="s">
        <v>114</v>
      </c>
      <c r="N1031" s="278">
        <v>44260</v>
      </c>
      <c r="O1031" s="329" t="s">
        <v>67</v>
      </c>
      <c r="P1031" s="386">
        <f t="shared" ref="P1031:Q1031" si="1028">IF(B1031=0,0,IF(YEAR(B1031)=$Q$1,MONTH(B1031)-$P$1+1,(YEAR(B1031)-$Q$1)*12-$P$1+1+MONTH(B1031)))</f>
        <v>3</v>
      </c>
      <c r="Q1031" s="330">
        <f t="shared" si="1028"/>
        <v>2</v>
      </c>
      <c r="R1031" s="351" t="str">
        <f t="shared" si="3"/>
        <v>Gastos_Gerais</v>
      </c>
      <c r="S1031" s="351" t="str">
        <f>IF(D1031="","",IF(OR(D1031=Plano!$A$1,D1031=Plano!$B$1),"entrada","saída"))</f>
        <v>saída</v>
      </c>
      <c r="T1031" s="334" t="s">
        <v>114</v>
      </c>
      <c r="U1031" s="334" t="s">
        <v>114</v>
      </c>
      <c r="V1031" s="269"/>
      <c r="W1031" s="269"/>
    </row>
    <row r="1032" spans="1:23" ht="162" customHeight="1" x14ac:dyDescent="0.2">
      <c r="A1032" s="277">
        <f t="shared" si="0"/>
        <v>1028</v>
      </c>
      <c r="B1032" s="278">
        <v>44260</v>
      </c>
      <c r="C1032" s="259">
        <v>44228</v>
      </c>
      <c r="D1032" s="255" t="s">
        <v>99</v>
      </c>
      <c r="E1032" s="255" t="s">
        <v>262</v>
      </c>
      <c r="F1032" s="257">
        <v>-475.38</v>
      </c>
      <c r="G1032" s="396" t="s">
        <v>3755</v>
      </c>
      <c r="H1032" s="255" t="s">
        <v>115</v>
      </c>
      <c r="I1032" s="250" t="s">
        <v>983</v>
      </c>
      <c r="J1032" s="255" t="s">
        <v>850</v>
      </c>
      <c r="K1032" s="255" t="s">
        <v>1069</v>
      </c>
      <c r="L1032" s="250" t="s">
        <v>947</v>
      </c>
      <c r="M1032" s="255" t="s">
        <v>114</v>
      </c>
      <c r="N1032" s="278">
        <v>44260</v>
      </c>
      <c r="O1032" s="329" t="s">
        <v>67</v>
      </c>
      <c r="P1032" s="386">
        <f t="shared" ref="P1032:Q1032" si="1029">IF(B1032=0,0,IF(YEAR(B1032)=$Q$1,MONTH(B1032)-$P$1+1,(YEAR(B1032)-$Q$1)*12-$P$1+1+MONTH(B1032)))</f>
        <v>3</v>
      </c>
      <c r="Q1032" s="330">
        <f t="shared" si="1029"/>
        <v>2</v>
      </c>
      <c r="R1032" s="351" t="str">
        <f t="shared" si="3"/>
        <v>Gastos_Gerais</v>
      </c>
      <c r="S1032" s="351" t="str">
        <f>IF(D1032="","",IF(OR(D1032=Plano!$A$1,D1032=Plano!$B$1),"entrada","saída"))</f>
        <v>saída</v>
      </c>
      <c r="T1032" s="334" t="s">
        <v>114</v>
      </c>
      <c r="U1032" s="334" t="s">
        <v>114</v>
      </c>
      <c r="V1032" s="269"/>
      <c r="W1032" s="269"/>
    </row>
    <row r="1033" spans="1:23" ht="103.5" customHeight="1" x14ac:dyDescent="0.2">
      <c r="A1033" s="277">
        <f t="shared" si="0"/>
        <v>1029</v>
      </c>
      <c r="B1033" s="278">
        <v>44260</v>
      </c>
      <c r="C1033" s="256">
        <v>44228</v>
      </c>
      <c r="D1033" s="255" t="s">
        <v>99</v>
      </c>
      <c r="E1033" s="255" t="s">
        <v>262</v>
      </c>
      <c r="F1033" s="257">
        <v>-1473.06</v>
      </c>
      <c r="G1033" s="396" t="s">
        <v>3756</v>
      </c>
      <c r="H1033" s="255" t="s">
        <v>115</v>
      </c>
      <c r="I1033" s="250" t="s">
        <v>983</v>
      </c>
      <c r="J1033" s="255" t="s">
        <v>850</v>
      </c>
      <c r="K1033" s="255" t="s">
        <v>1069</v>
      </c>
      <c r="L1033" s="250" t="s">
        <v>947</v>
      </c>
      <c r="M1033" s="255" t="s">
        <v>114</v>
      </c>
      <c r="N1033" s="278">
        <v>44260</v>
      </c>
      <c r="O1033" s="329" t="s">
        <v>67</v>
      </c>
      <c r="P1033" s="386">
        <f t="shared" ref="P1033:Q1033" si="1030">IF(B1033=0,0,IF(YEAR(B1033)=$Q$1,MONTH(B1033)-$P$1+1,(YEAR(B1033)-$Q$1)*12-$P$1+1+MONTH(B1033)))</f>
        <v>3</v>
      </c>
      <c r="Q1033" s="330">
        <f t="shared" si="1030"/>
        <v>2</v>
      </c>
      <c r="R1033" s="351" t="str">
        <f t="shared" si="3"/>
        <v>Gastos_Gerais</v>
      </c>
      <c r="S1033" s="351" t="str">
        <f>IF(D1033="","",IF(OR(D1033=Plano!$A$1,D1033=Plano!$B$1),"entrada","saída"))</f>
        <v>saída</v>
      </c>
      <c r="T1033" s="334" t="s">
        <v>114</v>
      </c>
      <c r="U1033" s="334" t="s">
        <v>114</v>
      </c>
      <c r="V1033" s="269"/>
      <c r="W1033" s="269"/>
    </row>
    <row r="1034" spans="1:23" ht="69.75" customHeight="1" x14ac:dyDescent="0.2">
      <c r="A1034" s="277">
        <f t="shared" si="0"/>
        <v>1030</v>
      </c>
      <c r="B1034" s="278">
        <v>44260</v>
      </c>
      <c r="C1034" s="256">
        <v>44228</v>
      </c>
      <c r="D1034" s="255" t="s">
        <v>99</v>
      </c>
      <c r="E1034" s="255" t="s">
        <v>230</v>
      </c>
      <c r="F1034" s="257">
        <v>-1433.59</v>
      </c>
      <c r="G1034" s="396" t="s">
        <v>3757</v>
      </c>
      <c r="H1034" s="255" t="s">
        <v>115</v>
      </c>
      <c r="I1034" s="250" t="s">
        <v>983</v>
      </c>
      <c r="J1034" s="255" t="s">
        <v>850</v>
      </c>
      <c r="K1034" s="255" t="s">
        <v>1069</v>
      </c>
      <c r="L1034" s="250" t="s">
        <v>947</v>
      </c>
      <c r="M1034" s="255" t="s">
        <v>114</v>
      </c>
      <c r="N1034" s="278">
        <v>44260</v>
      </c>
      <c r="O1034" s="329" t="s">
        <v>67</v>
      </c>
      <c r="P1034" s="386">
        <f t="shared" ref="P1034:Q1034" si="1031">IF(B1034=0,0,IF(YEAR(B1034)=$Q$1,MONTH(B1034)-$P$1+1,(YEAR(B1034)-$Q$1)*12-$P$1+1+MONTH(B1034)))</f>
        <v>3</v>
      </c>
      <c r="Q1034" s="330">
        <f t="shared" si="1031"/>
        <v>2</v>
      </c>
      <c r="R1034" s="351" t="str">
        <f t="shared" si="3"/>
        <v>Gastos_Gerais</v>
      </c>
      <c r="S1034" s="351" t="str">
        <f>IF(D1034="","",IF(OR(D1034=Plano!$A$1,D1034=Plano!$B$1),"entrada","saída"))</f>
        <v>saída</v>
      </c>
      <c r="T1034" s="334" t="s">
        <v>114</v>
      </c>
      <c r="U1034" s="334" t="s">
        <v>114</v>
      </c>
      <c r="V1034" s="269"/>
      <c r="W1034" s="269"/>
    </row>
    <row r="1035" spans="1:23" ht="69.75" customHeight="1" x14ac:dyDescent="0.2">
      <c r="A1035" s="277">
        <f t="shared" si="0"/>
        <v>1031</v>
      </c>
      <c r="B1035" s="278">
        <v>44260</v>
      </c>
      <c r="C1035" s="256">
        <v>44228</v>
      </c>
      <c r="D1035" s="255" t="s">
        <v>88</v>
      </c>
      <c r="E1035" s="255" t="s">
        <v>90</v>
      </c>
      <c r="F1035" s="257">
        <v>2742.61</v>
      </c>
      <c r="G1035" s="255" t="s">
        <v>3758</v>
      </c>
      <c r="H1035" s="255" t="s">
        <v>114</v>
      </c>
      <c r="I1035" s="250" t="s">
        <v>1221</v>
      </c>
      <c r="J1035" s="255" t="s">
        <v>1222</v>
      </c>
      <c r="K1035" s="255" t="s">
        <v>1015</v>
      </c>
      <c r="L1035" s="250" t="s">
        <v>1183</v>
      </c>
      <c r="M1035" s="255" t="s">
        <v>114</v>
      </c>
      <c r="N1035" s="278">
        <v>44260</v>
      </c>
      <c r="O1035" s="329" t="s">
        <v>67</v>
      </c>
      <c r="P1035" s="386">
        <f t="shared" ref="P1035:Q1035" si="1032">IF(B1035=0,0,IF(YEAR(B1035)=$Q$1,MONTH(B1035)-$P$1+1,(YEAR(B1035)-$Q$1)*12-$P$1+1+MONTH(B1035)))</f>
        <v>3</v>
      </c>
      <c r="Q1035" s="330">
        <f t="shared" si="1032"/>
        <v>2</v>
      </c>
      <c r="R1035" s="351" t="str">
        <f t="shared" si="3"/>
        <v>Gastos_com_Pessoal</v>
      </c>
      <c r="S1035" s="351" t="str">
        <f>IF(D1035="","",IF(OR(D1035=Plano!$A$1,D1035=Plano!$B$1),"entrada","saída"))</f>
        <v>saída</v>
      </c>
      <c r="T1035" s="334" t="s">
        <v>114</v>
      </c>
      <c r="U1035" s="334" t="s">
        <v>114</v>
      </c>
      <c r="V1035" s="269"/>
      <c r="W1035" s="269"/>
    </row>
    <row r="1036" spans="1:23" ht="69.75" customHeight="1" x14ac:dyDescent="0.2">
      <c r="A1036" s="277">
        <f t="shared" si="0"/>
        <v>1032</v>
      </c>
      <c r="B1036" s="278">
        <v>44260</v>
      </c>
      <c r="C1036" s="256">
        <v>44228</v>
      </c>
      <c r="D1036" s="255" t="s">
        <v>88</v>
      </c>
      <c r="E1036" s="255" t="s">
        <v>90</v>
      </c>
      <c r="F1036" s="257">
        <v>2573.5100000000002</v>
      </c>
      <c r="G1036" s="255" t="s">
        <v>3759</v>
      </c>
      <c r="H1036" s="255" t="s">
        <v>114</v>
      </c>
      <c r="I1036" s="250" t="s">
        <v>1224</v>
      </c>
      <c r="J1036" s="255" t="s">
        <v>1225</v>
      </c>
      <c r="K1036" s="255" t="s">
        <v>1015</v>
      </c>
      <c r="L1036" s="250" t="s">
        <v>1183</v>
      </c>
      <c r="M1036" s="255" t="s">
        <v>114</v>
      </c>
      <c r="N1036" s="278">
        <v>44260</v>
      </c>
      <c r="O1036" s="329" t="s">
        <v>67</v>
      </c>
      <c r="P1036" s="386">
        <f t="shared" ref="P1036:Q1036" si="1033">IF(B1036=0,0,IF(YEAR(B1036)=$Q$1,MONTH(B1036)-$P$1+1,(YEAR(B1036)-$Q$1)*12-$P$1+1+MONTH(B1036)))</f>
        <v>3</v>
      </c>
      <c r="Q1036" s="330">
        <f t="shared" si="1033"/>
        <v>2</v>
      </c>
      <c r="R1036" s="351" t="str">
        <f t="shared" si="3"/>
        <v>Gastos_com_Pessoal</v>
      </c>
      <c r="S1036" s="351" t="str">
        <f>IF(D1036="","",IF(OR(D1036=Plano!$A$1,D1036=Plano!$B$1),"entrada","saída"))</f>
        <v>saída</v>
      </c>
      <c r="T1036" s="334" t="s">
        <v>114</v>
      </c>
      <c r="U1036" s="334" t="s">
        <v>114</v>
      </c>
      <c r="V1036" s="269"/>
      <c r="W1036" s="269"/>
    </row>
    <row r="1037" spans="1:23" ht="69.75" customHeight="1" x14ac:dyDescent="0.2">
      <c r="A1037" s="277">
        <f t="shared" si="0"/>
        <v>1033</v>
      </c>
      <c r="B1037" s="278">
        <v>44260</v>
      </c>
      <c r="C1037" s="256">
        <v>44228</v>
      </c>
      <c r="D1037" s="255" t="s">
        <v>88</v>
      </c>
      <c r="E1037" s="255" t="s">
        <v>90</v>
      </c>
      <c r="F1037" s="257">
        <v>1416.43</v>
      </c>
      <c r="G1037" s="255" t="s">
        <v>3760</v>
      </c>
      <c r="H1037" s="255" t="s">
        <v>114</v>
      </c>
      <c r="I1037" s="250" t="s">
        <v>1226</v>
      </c>
      <c r="J1037" s="255" t="s">
        <v>1227</v>
      </c>
      <c r="K1037" s="255" t="s">
        <v>1015</v>
      </c>
      <c r="L1037" s="250" t="s">
        <v>1183</v>
      </c>
      <c r="M1037" s="255" t="s">
        <v>114</v>
      </c>
      <c r="N1037" s="278">
        <v>44260</v>
      </c>
      <c r="O1037" s="329" t="s">
        <v>67</v>
      </c>
      <c r="P1037" s="386">
        <f t="shared" ref="P1037:Q1037" si="1034">IF(B1037=0,0,IF(YEAR(B1037)=$Q$1,MONTH(B1037)-$P$1+1,(YEAR(B1037)-$Q$1)*12-$P$1+1+MONTH(B1037)))</f>
        <v>3</v>
      </c>
      <c r="Q1037" s="330">
        <f t="shared" si="1034"/>
        <v>2</v>
      </c>
      <c r="R1037" s="351" t="str">
        <f t="shared" si="3"/>
        <v>Gastos_com_Pessoal</v>
      </c>
      <c r="S1037" s="351" t="str">
        <f>IF(D1037="","",IF(OR(D1037=Plano!$A$1,D1037=Plano!$B$1),"entrada","saída"))</f>
        <v>saída</v>
      </c>
      <c r="T1037" s="334" t="s">
        <v>114</v>
      </c>
      <c r="U1037" s="334" t="s">
        <v>114</v>
      </c>
      <c r="V1037" s="269"/>
      <c r="W1037" s="269"/>
    </row>
    <row r="1038" spans="1:23" ht="195" customHeight="1" x14ac:dyDescent="0.2">
      <c r="A1038" s="277">
        <f t="shared" si="0"/>
        <v>1034</v>
      </c>
      <c r="B1038" s="278">
        <v>44260</v>
      </c>
      <c r="C1038" s="259">
        <v>44256</v>
      </c>
      <c r="D1038" s="255" t="s">
        <v>99</v>
      </c>
      <c r="E1038" s="255" t="s">
        <v>262</v>
      </c>
      <c r="F1038" s="257">
        <v>3000</v>
      </c>
      <c r="G1038" s="255" t="s">
        <v>474</v>
      </c>
      <c r="H1038" s="255" t="s">
        <v>129</v>
      </c>
      <c r="I1038" s="252" t="s">
        <v>1257</v>
      </c>
      <c r="J1038" s="252" t="s">
        <v>476</v>
      </c>
      <c r="K1038" s="255" t="s">
        <v>1015</v>
      </c>
      <c r="L1038" s="250" t="s">
        <v>1016</v>
      </c>
      <c r="M1038" s="255" t="s">
        <v>1540</v>
      </c>
      <c r="N1038" s="278">
        <v>44259</v>
      </c>
      <c r="O1038" s="329" t="s">
        <v>67</v>
      </c>
      <c r="P1038" s="386">
        <f t="shared" ref="P1038:Q1038" si="1035">IF(B1038=0,0,IF(YEAR(B1038)=$Q$1,MONTH(B1038)-$P$1+1,(YEAR(B1038)-$Q$1)*12-$P$1+1+MONTH(B1038)))</f>
        <v>3</v>
      </c>
      <c r="Q1038" s="330">
        <f t="shared" si="1035"/>
        <v>3</v>
      </c>
      <c r="R1038" s="351" t="str">
        <f t="shared" si="3"/>
        <v>Gastos_Gerais</v>
      </c>
      <c r="S1038" s="351" t="str">
        <f>IF(D1038="","",IF(OR(D1038=Plano!$A$1,D1038=Plano!$B$1),"entrada","saída"))</f>
        <v>saída</v>
      </c>
      <c r="T1038" s="334" t="s">
        <v>1059</v>
      </c>
      <c r="U1038" s="334">
        <v>1273</v>
      </c>
      <c r="V1038" s="269"/>
      <c r="W1038" s="269"/>
    </row>
    <row r="1039" spans="1:23" ht="69.75" customHeight="1" x14ac:dyDescent="0.2">
      <c r="A1039" s="277">
        <f t="shared" si="0"/>
        <v>1035</v>
      </c>
      <c r="B1039" s="278">
        <v>44260</v>
      </c>
      <c r="C1039" s="256">
        <v>44228</v>
      </c>
      <c r="D1039" s="255" t="s">
        <v>88</v>
      </c>
      <c r="E1039" s="255" t="s">
        <v>90</v>
      </c>
      <c r="F1039" s="257">
        <v>12231.1</v>
      </c>
      <c r="G1039" s="255" t="s">
        <v>3761</v>
      </c>
      <c r="H1039" s="255" t="s">
        <v>114</v>
      </c>
      <c r="I1039" s="250" t="s">
        <v>1229</v>
      </c>
      <c r="J1039" s="255" t="s">
        <v>1230</v>
      </c>
      <c r="K1039" s="255" t="s">
        <v>1015</v>
      </c>
      <c r="L1039" s="250" t="s">
        <v>1183</v>
      </c>
      <c r="M1039" s="255" t="s">
        <v>114</v>
      </c>
      <c r="N1039" s="278">
        <v>44260</v>
      </c>
      <c r="O1039" s="329" t="s">
        <v>67</v>
      </c>
      <c r="P1039" s="386">
        <f t="shared" ref="P1039:Q1039" si="1036">IF(B1039=0,0,IF(YEAR(B1039)=$Q$1,MONTH(B1039)-$P$1+1,(YEAR(B1039)-$Q$1)*12-$P$1+1+MONTH(B1039)))</f>
        <v>3</v>
      </c>
      <c r="Q1039" s="330">
        <f t="shared" si="1036"/>
        <v>2</v>
      </c>
      <c r="R1039" s="351" t="str">
        <f t="shared" si="3"/>
        <v>Gastos_com_Pessoal</v>
      </c>
      <c r="S1039" s="351" t="str">
        <f>IF(D1039="","",IF(OR(D1039=Plano!$A$1,D1039=Plano!$B$1),"entrada","saída"))</f>
        <v>saída</v>
      </c>
      <c r="T1039" s="334" t="s">
        <v>114</v>
      </c>
      <c r="U1039" s="334" t="s">
        <v>114</v>
      </c>
      <c r="V1039" s="269"/>
      <c r="W1039" s="269"/>
    </row>
    <row r="1040" spans="1:23" ht="69.75" customHeight="1" x14ac:dyDescent="0.2">
      <c r="A1040" s="277">
        <f t="shared" si="0"/>
        <v>1036</v>
      </c>
      <c r="B1040" s="278">
        <v>44260</v>
      </c>
      <c r="C1040" s="256">
        <v>44228</v>
      </c>
      <c r="D1040" s="255" t="s">
        <v>88</v>
      </c>
      <c r="E1040" s="255" t="s">
        <v>90</v>
      </c>
      <c r="F1040" s="257">
        <v>2799.57</v>
      </c>
      <c r="G1040" s="255" t="s">
        <v>3762</v>
      </c>
      <c r="H1040" s="255" t="s">
        <v>114</v>
      </c>
      <c r="I1040" s="250" t="s">
        <v>1232</v>
      </c>
      <c r="J1040" s="255" t="s">
        <v>1233</v>
      </c>
      <c r="K1040" s="255" t="s">
        <v>1015</v>
      </c>
      <c r="L1040" s="250" t="s">
        <v>1183</v>
      </c>
      <c r="M1040" s="255" t="s">
        <v>114</v>
      </c>
      <c r="N1040" s="278">
        <v>44260</v>
      </c>
      <c r="O1040" s="329" t="s">
        <v>67</v>
      </c>
      <c r="P1040" s="386">
        <f t="shared" ref="P1040:Q1040" si="1037">IF(B1040=0,0,IF(YEAR(B1040)=$Q$1,MONTH(B1040)-$P$1+1,(YEAR(B1040)-$Q$1)*12-$P$1+1+MONTH(B1040)))</f>
        <v>3</v>
      </c>
      <c r="Q1040" s="330">
        <f t="shared" si="1037"/>
        <v>2</v>
      </c>
      <c r="R1040" s="351" t="str">
        <f t="shared" si="3"/>
        <v>Gastos_com_Pessoal</v>
      </c>
      <c r="S1040" s="351" t="str">
        <f>IF(D1040="","",IF(OR(D1040=Plano!$A$1,D1040=Plano!$B$1),"entrada","saída"))</f>
        <v>saída</v>
      </c>
      <c r="T1040" s="334" t="s">
        <v>114</v>
      </c>
      <c r="U1040" s="334" t="s">
        <v>114</v>
      </c>
      <c r="V1040" s="269"/>
      <c r="W1040" s="269"/>
    </row>
    <row r="1041" spans="1:23" ht="69.75" customHeight="1" x14ac:dyDescent="0.2">
      <c r="A1041" s="277">
        <f t="shared" si="0"/>
        <v>1037</v>
      </c>
      <c r="B1041" s="278">
        <v>44260</v>
      </c>
      <c r="C1041" s="256">
        <v>44228</v>
      </c>
      <c r="D1041" s="255" t="s">
        <v>88</v>
      </c>
      <c r="E1041" s="255" t="s">
        <v>90</v>
      </c>
      <c r="F1041" s="257">
        <v>1986.95</v>
      </c>
      <c r="G1041" s="250" t="s">
        <v>3763</v>
      </c>
      <c r="H1041" s="255" t="s">
        <v>114</v>
      </c>
      <c r="I1041" s="250" t="s">
        <v>1235</v>
      </c>
      <c r="J1041" s="255" t="s">
        <v>1236</v>
      </c>
      <c r="K1041" s="255" t="s">
        <v>1015</v>
      </c>
      <c r="L1041" s="250" t="s">
        <v>1183</v>
      </c>
      <c r="M1041" s="255" t="s">
        <v>114</v>
      </c>
      <c r="N1041" s="278">
        <v>44260</v>
      </c>
      <c r="O1041" s="329" t="s">
        <v>67</v>
      </c>
      <c r="P1041" s="386">
        <f t="shared" ref="P1041:Q1041" si="1038">IF(B1041=0,0,IF(YEAR(B1041)=$Q$1,MONTH(B1041)-$P$1+1,(YEAR(B1041)-$Q$1)*12-$P$1+1+MONTH(B1041)))</f>
        <v>3</v>
      </c>
      <c r="Q1041" s="330">
        <f t="shared" si="1038"/>
        <v>2</v>
      </c>
      <c r="R1041" s="351" t="str">
        <f t="shared" si="3"/>
        <v>Gastos_com_Pessoal</v>
      </c>
      <c r="S1041" s="351" t="str">
        <f>IF(D1041="","",IF(OR(D1041=Plano!$A$1,D1041=Plano!$B$1),"entrada","saída"))</f>
        <v>saída</v>
      </c>
      <c r="T1041" s="334" t="s">
        <v>114</v>
      </c>
      <c r="U1041" s="334" t="s">
        <v>114</v>
      </c>
      <c r="V1041" s="269"/>
      <c r="W1041" s="269"/>
    </row>
    <row r="1042" spans="1:23" ht="179.25" customHeight="1" x14ac:dyDescent="0.2">
      <c r="A1042" s="277">
        <f t="shared" si="0"/>
        <v>1038</v>
      </c>
      <c r="B1042" s="278">
        <v>44260</v>
      </c>
      <c r="C1042" s="256">
        <v>44228</v>
      </c>
      <c r="D1042" s="255" t="s">
        <v>99</v>
      </c>
      <c r="E1042" s="255" t="s">
        <v>262</v>
      </c>
      <c r="F1042" s="257">
        <v>1764</v>
      </c>
      <c r="G1042" s="255" t="s">
        <v>3261</v>
      </c>
      <c r="H1042" s="255" t="s">
        <v>115</v>
      </c>
      <c r="I1042" s="250" t="s">
        <v>1078</v>
      </c>
      <c r="J1042" s="252" t="s">
        <v>623</v>
      </c>
      <c r="K1042" s="255" t="s">
        <v>991</v>
      </c>
      <c r="L1042" s="250" t="s">
        <v>1016</v>
      </c>
      <c r="M1042" s="255" t="s">
        <v>3764</v>
      </c>
      <c r="N1042" s="278">
        <v>44259</v>
      </c>
      <c r="O1042" s="329" t="s">
        <v>67</v>
      </c>
      <c r="P1042" s="386">
        <f t="shared" ref="P1042:Q1042" si="1039">IF(B1042=0,0,IF(YEAR(B1042)=$Q$1,MONTH(B1042)-$P$1+1,(YEAR(B1042)-$Q$1)*12-$P$1+1+MONTH(B1042)))</f>
        <v>3</v>
      </c>
      <c r="Q1042" s="330">
        <f t="shared" si="1039"/>
        <v>2</v>
      </c>
      <c r="R1042" s="351" t="str">
        <f t="shared" si="3"/>
        <v>Gastos_Gerais</v>
      </c>
      <c r="S1042" s="351" t="str">
        <f>IF(D1042="","",IF(OR(D1042=Plano!$A$1,D1042=Plano!$B$1),"entrada","saída"))</f>
        <v>saída</v>
      </c>
      <c r="T1042" s="334" t="s">
        <v>1059</v>
      </c>
      <c r="U1042" s="334">
        <v>1191</v>
      </c>
      <c r="V1042" s="269"/>
      <c r="W1042" s="269"/>
    </row>
    <row r="1043" spans="1:23" ht="134.25" customHeight="1" x14ac:dyDescent="0.2">
      <c r="A1043" s="277">
        <f t="shared" si="0"/>
        <v>1039</v>
      </c>
      <c r="B1043" s="278">
        <v>44260</v>
      </c>
      <c r="C1043" s="256">
        <v>44228</v>
      </c>
      <c r="D1043" s="255" t="s">
        <v>99</v>
      </c>
      <c r="E1043" s="255" t="s">
        <v>262</v>
      </c>
      <c r="F1043" s="257">
        <v>6467.34</v>
      </c>
      <c r="G1043" s="255" t="s">
        <v>621</v>
      </c>
      <c r="H1043" s="255" t="s">
        <v>115</v>
      </c>
      <c r="I1043" s="250" t="s">
        <v>1078</v>
      </c>
      <c r="J1043" s="252" t="s">
        <v>623</v>
      </c>
      <c r="K1043" s="255" t="s">
        <v>991</v>
      </c>
      <c r="L1043" s="250" t="s">
        <v>1016</v>
      </c>
      <c r="M1043" s="255" t="s">
        <v>3765</v>
      </c>
      <c r="N1043" s="278">
        <v>44259</v>
      </c>
      <c r="O1043" s="329" t="s">
        <v>67</v>
      </c>
      <c r="P1043" s="386">
        <f t="shared" ref="P1043:Q1043" si="1040">IF(B1043=0,0,IF(YEAR(B1043)=$Q$1,MONTH(B1043)-$P$1+1,(YEAR(B1043)-$Q$1)*12-$P$1+1+MONTH(B1043)))</f>
        <v>3</v>
      </c>
      <c r="Q1043" s="330">
        <f t="shared" si="1040"/>
        <v>2</v>
      </c>
      <c r="R1043" s="351" t="str">
        <f t="shared" si="3"/>
        <v>Gastos_Gerais</v>
      </c>
      <c r="S1043" s="351" t="str">
        <f>IF(D1043="","",IF(OR(D1043=Plano!$A$1,D1043=Plano!$B$1),"entrada","saída"))</f>
        <v>saída</v>
      </c>
      <c r="T1043" s="334" t="s">
        <v>1059</v>
      </c>
      <c r="U1043" s="334">
        <v>1134</v>
      </c>
      <c r="V1043" s="269"/>
      <c r="W1043" s="269"/>
    </row>
    <row r="1044" spans="1:23" ht="69.75" customHeight="1" x14ac:dyDescent="0.2">
      <c r="A1044" s="277">
        <f t="shared" si="0"/>
        <v>1040</v>
      </c>
      <c r="B1044" s="278">
        <v>44260</v>
      </c>
      <c r="C1044" s="259">
        <v>44256</v>
      </c>
      <c r="D1044" s="255" t="s">
        <v>88</v>
      </c>
      <c r="E1044" s="255" t="s">
        <v>177</v>
      </c>
      <c r="F1044" s="257">
        <v>3424.71</v>
      </c>
      <c r="G1044" s="255" t="s">
        <v>3766</v>
      </c>
      <c r="H1044" s="255" t="s">
        <v>114</v>
      </c>
      <c r="I1044" s="250" t="s">
        <v>1200</v>
      </c>
      <c r="J1044" s="250" t="s">
        <v>1201</v>
      </c>
      <c r="K1044" s="255" t="s">
        <v>991</v>
      </c>
      <c r="L1044" s="250" t="s">
        <v>1347</v>
      </c>
      <c r="M1044" s="255" t="s">
        <v>114</v>
      </c>
      <c r="N1044" s="278">
        <v>44260</v>
      </c>
      <c r="O1044" s="329" t="s">
        <v>67</v>
      </c>
      <c r="P1044" s="386">
        <f t="shared" ref="P1044:Q1044" si="1041">IF(B1044=0,0,IF(YEAR(B1044)=$Q$1,MONTH(B1044)-$P$1+1,(YEAR(B1044)-$Q$1)*12-$P$1+1+MONTH(B1044)))</f>
        <v>3</v>
      </c>
      <c r="Q1044" s="330">
        <f t="shared" si="1041"/>
        <v>3</v>
      </c>
      <c r="R1044" s="351" t="str">
        <f t="shared" si="3"/>
        <v>Gastos_com_Pessoal</v>
      </c>
      <c r="S1044" s="351" t="str">
        <f>IF(D1044="","",IF(OR(D1044=Plano!$A$1,D1044=Plano!$B$1),"entrada","saída"))</f>
        <v>saída</v>
      </c>
      <c r="T1044" s="334" t="s">
        <v>114</v>
      </c>
      <c r="U1044" s="334" t="s">
        <v>114</v>
      </c>
      <c r="V1044" s="269"/>
      <c r="W1044" s="269"/>
    </row>
    <row r="1045" spans="1:23" ht="93.75" customHeight="1" x14ac:dyDescent="0.2">
      <c r="A1045" s="277">
        <f t="shared" si="0"/>
        <v>1041</v>
      </c>
      <c r="B1045" s="278">
        <v>44260</v>
      </c>
      <c r="C1045" s="256">
        <v>44228</v>
      </c>
      <c r="D1045" s="255" t="s">
        <v>99</v>
      </c>
      <c r="E1045" s="255" t="s">
        <v>228</v>
      </c>
      <c r="F1045" s="258">
        <v>7977.25</v>
      </c>
      <c r="G1045" s="255" t="s">
        <v>492</v>
      </c>
      <c r="H1045" s="255" t="s">
        <v>115</v>
      </c>
      <c r="I1045" s="250" t="s">
        <v>493</v>
      </c>
      <c r="J1045" s="252" t="s">
        <v>1137</v>
      </c>
      <c r="K1045" s="255" t="s">
        <v>991</v>
      </c>
      <c r="L1045" s="250" t="s">
        <v>1016</v>
      </c>
      <c r="M1045" s="255" t="s">
        <v>3767</v>
      </c>
      <c r="N1045" s="278">
        <v>44249</v>
      </c>
      <c r="O1045" s="329" t="s">
        <v>67</v>
      </c>
      <c r="P1045" s="386">
        <f t="shared" ref="P1045:Q1045" si="1042">IF(B1045=0,0,IF(YEAR(B1045)=$Q$1,MONTH(B1045)-$P$1+1,(YEAR(B1045)-$Q$1)*12-$P$1+1+MONTH(B1045)))</f>
        <v>3</v>
      </c>
      <c r="Q1045" s="330">
        <f t="shared" si="1042"/>
        <v>2</v>
      </c>
      <c r="R1045" s="351" t="str">
        <f t="shared" si="3"/>
        <v>Gastos_Gerais</v>
      </c>
      <c r="S1045" s="351" t="str">
        <f>IF(D1045="","",IF(OR(D1045=Plano!$A$1,D1045=Plano!$B$1),"entrada","saída"))</f>
        <v>saída</v>
      </c>
      <c r="T1045" s="334" t="s">
        <v>1059</v>
      </c>
      <c r="U1045" s="334">
        <v>1114</v>
      </c>
      <c r="V1045" s="269"/>
      <c r="W1045" s="269"/>
    </row>
    <row r="1046" spans="1:23" ht="69.75" customHeight="1" x14ac:dyDescent="0.2">
      <c r="A1046" s="277">
        <f t="shared" si="0"/>
        <v>1042</v>
      </c>
      <c r="B1046" s="278">
        <v>44260</v>
      </c>
      <c r="C1046" s="256">
        <v>44228</v>
      </c>
      <c r="D1046" s="255" t="s">
        <v>99</v>
      </c>
      <c r="E1046" s="255" t="s">
        <v>330</v>
      </c>
      <c r="F1046" s="258">
        <v>19905.97</v>
      </c>
      <c r="G1046" s="255" t="s">
        <v>3768</v>
      </c>
      <c r="H1046" s="255" t="s">
        <v>129</v>
      </c>
      <c r="I1046" s="252" t="s">
        <v>558</v>
      </c>
      <c r="J1046" s="252" t="s">
        <v>559</v>
      </c>
      <c r="K1046" s="255" t="s">
        <v>560</v>
      </c>
      <c r="L1046" s="250" t="s">
        <v>114</v>
      </c>
      <c r="M1046" s="255" t="s">
        <v>114</v>
      </c>
      <c r="N1046" s="278">
        <v>44260</v>
      </c>
      <c r="O1046" s="329" t="s">
        <v>67</v>
      </c>
      <c r="P1046" s="386">
        <f t="shared" ref="P1046:Q1046" si="1043">IF(B1046=0,0,IF(YEAR(B1046)=$Q$1,MONTH(B1046)-$P$1+1,(YEAR(B1046)-$Q$1)*12-$P$1+1+MONTH(B1046)))</f>
        <v>3</v>
      </c>
      <c r="Q1046" s="330">
        <f t="shared" si="1043"/>
        <v>2</v>
      </c>
      <c r="R1046" s="351" t="str">
        <f t="shared" si="3"/>
        <v>Gastos_Gerais</v>
      </c>
      <c r="S1046" s="351" t="str">
        <f>IF(D1046="","",IF(OR(D1046=Plano!$A$1,D1046=Plano!$B$1),"entrada","saída"))</f>
        <v>saída</v>
      </c>
      <c r="T1046" s="334" t="s">
        <v>114</v>
      </c>
      <c r="U1046" s="334" t="s">
        <v>114</v>
      </c>
      <c r="V1046" s="269"/>
      <c r="W1046" s="269"/>
    </row>
    <row r="1047" spans="1:23" ht="69.75" customHeight="1" x14ac:dyDescent="0.2">
      <c r="A1047" s="277">
        <f t="shared" si="0"/>
        <v>1043</v>
      </c>
      <c r="B1047" s="278">
        <v>44260</v>
      </c>
      <c r="C1047" s="259">
        <v>44228</v>
      </c>
      <c r="D1047" s="255" t="s">
        <v>88</v>
      </c>
      <c r="E1047" s="255" t="s">
        <v>90</v>
      </c>
      <c r="F1047" s="258">
        <v>9915.89</v>
      </c>
      <c r="G1047" s="255" t="s">
        <v>3769</v>
      </c>
      <c r="H1047" s="255" t="s">
        <v>114</v>
      </c>
      <c r="I1047" s="250" t="s">
        <v>1181</v>
      </c>
      <c r="J1047" s="255" t="s">
        <v>1182</v>
      </c>
      <c r="K1047" s="255" t="s">
        <v>991</v>
      </c>
      <c r="L1047" s="250" t="s">
        <v>1183</v>
      </c>
      <c r="M1047" s="255" t="s">
        <v>114</v>
      </c>
      <c r="N1047" s="278">
        <v>44260</v>
      </c>
      <c r="O1047" s="329" t="s">
        <v>67</v>
      </c>
      <c r="P1047" s="386">
        <f t="shared" ref="P1047:Q1047" si="1044">IF(B1047=0,0,IF(YEAR(B1047)=$Q$1,MONTH(B1047)-$P$1+1,(YEAR(B1047)-$Q$1)*12-$P$1+1+MONTH(B1047)))</f>
        <v>3</v>
      </c>
      <c r="Q1047" s="330">
        <f t="shared" si="1044"/>
        <v>2</v>
      </c>
      <c r="R1047" s="351" t="str">
        <f t="shared" si="3"/>
        <v>Gastos_com_Pessoal</v>
      </c>
      <c r="S1047" s="351" t="str">
        <f>IF(D1047="","",IF(OR(D1047=Plano!$A$1,D1047=Plano!$B$1),"entrada","saída"))</f>
        <v>saída</v>
      </c>
      <c r="T1047" s="334" t="s">
        <v>114</v>
      </c>
      <c r="U1047" s="334" t="s">
        <v>114</v>
      </c>
      <c r="V1047" s="269"/>
      <c r="W1047" s="269"/>
    </row>
    <row r="1048" spans="1:23" ht="69.75" customHeight="1" x14ac:dyDescent="0.2">
      <c r="A1048" s="277">
        <f t="shared" si="0"/>
        <v>1044</v>
      </c>
      <c r="B1048" s="278">
        <v>44260</v>
      </c>
      <c r="C1048" s="259">
        <v>44228</v>
      </c>
      <c r="D1048" s="255" t="s">
        <v>88</v>
      </c>
      <c r="E1048" s="255" t="s">
        <v>90</v>
      </c>
      <c r="F1048" s="258">
        <v>2958.58</v>
      </c>
      <c r="G1048" s="255" t="s">
        <v>3770</v>
      </c>
      <c r="H1048" s="255" t="s">
        <v>114</v>
      </c>
      <c r="I1048" s="250" t="s">
        <v>1185</v>
      </c>
      <c r="J1048" s="250" t="s">
        <v>1186</v>
      </c>
      <c r="K1048" s="255" t="s">
        <v>991</v>
      </c>
      <c r="L1048" s="250" t="s">
        <v>1183</v>
      </c>
      <c r="M1048" s="255" t="s">
        <v>114</v>
      </c>
      <c r="N1048" s="278">
        <v>44260</v>
      </c>
      <c r="O1048" s="329" t="s">
        <v>67</v>
      </c>
      <c r="P1048" s="386">
        <f t="shared" ref="P1048:Q1048" si="1045">IF(B1048=0,0,IF(YEAR(B1048)=$Q$1,MONTH(B1048)-$P$1+1,(YEAR(B1048)-$Q$1)*12-$P$1+1+MONTH(B1048)))</f>
        <v>3</v>
      </c>
      <c r="Q1048" s="330">
        <f t="shared" si="1045"/>
        <v>2</v>
      </c>
      <c r="R1048" s="351" t="str">
        <f t="shared" si="3"/>
        <v>Gastos_com_Pessoal</v>
      </c>
      <c r="S1048" s="351" t="str">
        <f>IF(D1048="","",IF(OR(D1048=Plano!$A$1,D1048=Plano!$B$1),"entrada","saída"))</f>
        <v>saída</v>
      </c>
      <c r="T1048" s="334" t="s">
        <v>114</v>
      </c>
      <c r="U1048" s="334" t="s">
        <v>114</v>
      </c>
      <c r="V1048" s="269"/>
      <c r="W1048" s="269"/>
    </row>
    <row r="1049" spans="1:23" ht="69.75" customHeight="1" x14ac:dyDescent="0.2">
      <c r="A1049" s="277">
        <f t="shared" si="0"/>
        <v>1045</v>
      </c>
      <c r="B1049" s="278">
        <v>44260</v>
      </c>
      <c r="C1049" s="259">
        <v>44228</v>
      </c>
      <c r="D1049" s="255" t="s">
        <v>88</v>
      </c>
      <c r="E1049" s="255" t="s">
        <v>90</v>
      </c>
      <c r="F1049" s="258">
        <v>1416.43</v>
      </c>
      <c r="G1049" s="255" t="s">
        <v>3760</v>
      </c>
      <c r="H1049" s="255" t="s">
        <v>114</v>
      </c>
      <c r="I1049" s="250" t="s">
        <v>1188</v>
      </c>
      <c r="J1049" s="250" t="s">
        <v>1189</v>
      </c>
      <c r="K1049" s="255" t="s">
        <v>991</v>
      </c>
      <c r="L1049" s="250" t="s">
        <v>1183</v>
      </c>
      <c r="M1049" s="255" t="s">
        <v>114</v>
      </c>
      <c r="N1049" s="278">
        <v>44260</v>
      </c>
      <c r="O1049" s="329" t="s">
        <v>67</v>
      </c>
      <c r="P1049" s="386">
        <f t="shared" ref="P1049:Q1049" si="1046">IF(B1049=0,0,IF(YEAR(B1049)=$Q$1,MONTH(B1049)-$P$1+1,(YEAR(B1049)-$Q$1)*12-$P$1+1+MONTH(B1049)))</f>
        <v>3</v>
      </c>
      <c r="Q1049" s="330">
        <f t="shared" si="1046"/>
        <v>2</v>
      </c>
      <c r="R1049" s="351" t="str">
        <f t="shared" si="3"/>
        <v>Gastos_com_Pessoal</v>
      </c>
      <c r="S1049" s="351" t="str">
        <f>IF(D1049="","",IF(OR(D1049=Plano!$A$1,D1049=Plano!$B$1),"entrada","saída"))</f>
        <v>saída</v>
      </c>
      <c r="T1049" s="334" t="s">
        <v>114</v>
      </c>
      <c r="U1049" s="334" t="s">
        <v>114</v>
      </c>
      <c r="V1049" s="269"/>
      <c r="W1049" s="269"/>
    </row>
    <row r="1050" spans="1:23" ht="69.75" customHeight="1" x14ac:dyDescent="0.2">
      <c r="A1050" s="277">
        <f t="shared" si="0"/>
        <v>1046</v>
      </c>
      <c r="B1050" s="278">
        <v>44260</v>
      </c>
      <c r="C1050" s="259">
        <v>44228</v>
      </c>
      <c r="D1050" s="255" t="s">
        <v>88</v>
      </c>
      <c r="E1050" s="255" t="s">
        <v>90</v>
      </c>
      <c r="F1050" s="258">
        <v>3549.36</v>
      </c>
      <c r="G1050" s="255" t="s">
        <v>3771</v>
      </c>
      <c r="H1050" s="255" t="s">
        <v>114</v>
      </c>
      <c r="I1050" s="250" t="s">
        <v>1191</v>
      </c>
      <c r="J1050" s="255" t="s">
        <v>1192</v>
      </c>
      <c r="K1050" s="255" t="s">
        <v>991</v>
      </c>
      <c r="L1050" s="250" t="s">
        <v>1183</v>
      </c>
      <c r="M1050" s="255" t="s">
        <v>114</v>
      </c>
      <c r="N1050" s="278">
        <v>44260</v>
      </c>
      <c r="O1050" s="329" t="s">
        <v>67</v>
      </c>
      <c r="P1050" s="386">
        <f t="shared" ref="P1050:Q1050" si="1047">IF(B1050=0,0,IF(YEAR(B1050)=$Q$1,MONTH(B1050)-$P$1+1,(YEAR(B1050)-$Q$1)*12-$P$1+1+MONTH(B1050)))</f>
        <v>3</v>
      </c>
      <c r="Q1050" s="330">
        <f t="shared" si="1047"/>
        <v>2</v>
      </c>
      <c r="R1050" s="351" t="str">
        <f t="shared" si="3"/>
        <v>Gastos_com_Pessoal</v>
      </c>
      <c r="S1050" s="351" t="str">
        <f>IF(D1050="","",IF(OR(D1050=Plano!$A$1,D1050=Plano!$B$1),"entrada","saída"))</f>
        <v>saída</v>
      </c>
      <c r="T1050" s="334" t="s">
        <v>114</v>
      </c>
      <c r="U1050" s="334" t="s">
        <v>114</v>
      </c>
      <c r="V1050" s="269"/>
      <c r="W1050" s="269"/>
    </row>
    <row r="1051" spans="1:23" ht="69.75" customHeight="1" x14ac:dyDescent="0.2">
      <c r="A1051" s="277">
        <f t="shared" si="0"/>
        <v>1047</v>
      </c>
      <c r="B1051" s="278">
        <v>44260</v>
      </c>
      <c r="C1051" s="259">
        <v>44228</v>
      </c>
      <c r="D1051" s="255" t="s">
        <v>88</v>
      </c>
      <c r="E1051" s="255" t="s">
        <v>90</v>
      </c>
      <c r="F1051" s="258">
        <v>2825.86</v>
      </c>
      <c r="G1051" s="255" t="s">
        <v>3772</v>
      </c>
      <c r="H1051" s="255" t="s">
        <v>114</v>
      </c>
      <c r="I1051" s="250" t="s">
        <v>2756</v>
      </c>
      <c r="J1051" s="250" t="s">
        <v>2757</v>
      </c>
      <c r="K1051" s="255" t="s">
        <v>991</v>
      </c>
      <c r="L1051" s="250" t="s">
        <v>1183</v>
      </c>
      <c r="M1051" s="255" t="s">
        <v>114</v>
      </c>
      <c r="N1051" s="278">
        <v>44260</v>
      </c>
      <c r="O1051" s="329" t="s">
        <v>67</v>
      </c>
      <c r="P1051" s="386">
        <f t="shared" ref="P1051:Q1051" si="1048">IF(B1051=0,0,IF(YEAR(B1051)=$Q$1,MONTH(B1051)-$P$1+1,(YEAR(B1051)-$Q$1)*12-$P$1+1+MONTH(B1051)))</f>
        <v>3</v>
      </c>
      <c r="Q1051" s="330">
        <f t="shared" si="1048"/>
        <v>2</v>
      </c>
      <c r="R1051" s="351" t="str">
        <f t="shared" si="3"/>
        <v>Gastos_com_Pessoal</v>
      </c>
      <c r="S1051" s="351" t="str">
        <f>IF(D1051="","",IF(OR(D1051=Plano!$A$1,D1051=Plano!$B$1),"entrada","saída"))</f>
        <v>saída</v>
      </c>
      <c r="T1051" s="334" t="s">
        <v>114</v>
      </c>
      <c r="U1051" s="334" t="s">
        <v>114</v>
      </c>
      <c r="V1051" s="269"/>
      <c r="W1051" s="269"/>
    </row>
    <row r="1052" spans="1:23" ht="69.75" customHeight="1" x14ac:dyDescent="0.2">
      <c r="A1052" s="277">
        <f t="shared" si="0"/>
        <v>1048</v>
      </c>
      <c r="B1052" s="278">
        <v>44260</v>
      </c>
      <c r="C1052" s="259">
        <v>44228</v>
      </c>
      <c r="D1052" s="255" t="s">
        <v>88</v>
      </c>
      <c r="E1052" s="255" t="s">
        <v>90</v>
      </c>
      <c r="F1052" s="257">
        <v>4413.74</v>
      </c>
      <c r="G1052" s="255" t="s">
        <v>3773</v>
      </c>
      <c r="H1052" s="255" t="s">
        <v>114</v>
      </c>
      <c r="I1052" s="250" t="s">
        <v>1194</v>
      </c>
      <c r="J1052" s="250" t="s">
        <v>1195</v>
      </c>
      <c r="K1052" s="255" t="s">
        <v>991</v>
      </c>
      <c r="L1052" s="250" t="s">
        <v>1183</v>
      </c>
      <c r="M1052" s="255" t="s">
        <v>114</v>
      </c>
      <c r="N1052" s="278">
        <v>44260</v>
      </c>
      <c r="O1052" s="329" t="s">
        <v>67</v>
      </c>
      <c r="P1052" s="386">
        <f t="shared" ref="P1052:Q1052" si="1049">IF(B1052=0,0,IF(YEAR(B1052)=$Q$1,MONTH(B1052)-$P$1+1,(YEAR(B1052)-$Q$1)*12-$P$1+1+MONTH(B1052)))</f>
        <v>3</v>
      </c>
      <c r="Q1052" s="330">
        <f t="shared" si="1049"/>
        <v>2</v>
      </c>
      <c r="R1052" s="351" t="str">
        <f t="shared" si="3"/>
        <v>Gastos_com_Pessoal</v>
      </c>
      <c r="S1052" s="351" t="str">
        <f>IF(D1052="","",IF(OR(D1052=Plano!$A$1,D1052=Plano!$B$1),"entrada","saída"))</f>
        <v>saída</v>
      </c>
      <c r="T1052" s="334" t="s">
        <v>114</v>
      </c>
      <c r="U1052" s="334" t="s">
        <v>114</v>
      </c>
      <c r="V1052" s="269"/>
      <c r="W1052" s="269"/>
    </row>
    <row r="1053" spans="1:23" ht="69.75" customHeight="1" x14ac:dyDescent="0.2">
      <c r="A1053" s="277">
        <f t="shared" si="0"/>
        <v>1049</v>
      </c>
      <c r="B1053" s="278">
        <v>44260</v>
      </c>
      <c r="C1053" s="259">
        <v>44228</v>
      </c>
      <c r="D1053" s="255" t="s">
        <v>88</v>
      </c>
      <c r="E1053" s="255" t="s">
        <v>90</v>
      </c>
      <c r="F1053" s="258">
        <v>10081.69</v>
      </c>
      <c r="G1053" s="255" t="s">
        <v>3774</v>
      </c>
      <c r="H1053" s="255" t="s">
        <v>114</v>
      </c>
      <c r="I1053" s="250" t="s">
        <v>1197</v>
      </c>
      <c r="J1053" s="255" t="s">
        <v>1198</v>
      </c>
      <c r="K1053" s="255" t="s">
        <v>991</v>
      </c>
      <c r="L1053" s="250" t="s">
        <v>1183</v>
      </c>
      <c r="M1053" s="255" t="s">
        <v>114</v>
      </c>
      <c r="N1053" s="278">
        <v>44260</v>
      </c>
      <c r="O1053" s="329" t="s">
        <v>67</v>
      </c>
      <c r="P1053" s="386">
        <f t="shared" ref="P1053:Q1053" si="1050">IF(B1053=0,0,IF(YEAR(B1053)=$Q$1,MONTH(B1053)-$P$1+1,(YEAR(B1053)-$Q$1)*12-$P$1+1+MONTH(B1053)))</f>
        <v>3</v>
      </c>
      <c r="Q1053" s="330">
        <f t="shared" si="1050"/>
        <v>2</v>
      </c>
      <c r="R1053" s="351" t="str">
        <f t="shared" si="3"/>
        <v>Gastos_com_Pessoal</v>
      </c>
      <c r="S1053" s="351" t="str">
        <f>IF(D1053="","",IF(OR(D1053=Plano!$A$1,D1053=Plano!$B$1),"entrada","saída"))</f>
        <v>saída</v>
      </c>
      <c r="T1053" s="334" t="s">
        <v>114</v>
      </c>
      <c r="U1053" s="334" t="s">
        <v>114</v>
      </c>
      <c r="V1053" s="269"/>
      <c r="W1053" s="269"/>
    </row>
    <row r="1054" spans="1:23" ht="69.75" customHeight="1" x14ac:dyDescent="0.2">
      <c r="A1054" s="277">
        <f t="shared" si="0"/>
        <v>1050</v>
      </c>
      <c r="B1054" s="278">
        <v>44260</v>
      </c>
      <c r="C1054" s="259">
        <v>44228</v>
      </c>
      <c r="D1054" s="255" t="s">
        <v>88</v>
      </c>
      <c r="E1054" s="255" t="s">
        <v>90</v>
      </c>
      <c r="F1054" s="258">
        <v>2699.22</v>
      </c>
      <c r="G1054" s="255" t="s">
        <v>3775</v>
      </c>
      <c r="H1054" s="255" t="s">
        <v>114</v>
      </c>
      <c r="I1054" s="250" t="s">
        <v>1200</v>
      </c>
      <c r="J1054" s="250" t="s">
        <v>1201</v>
      </c>
      <c r="K1054" s="255" t="s">
        <v>991</v>
      </c>
      <c r="L1054" s="250" t="s">
        <v>1183</v>
      </c>
      <c r="M1054" s="255" t="s">
        <v>114</v>
      </c>
      <c r="N1054" s="278">
        <v>44260</v>
      </c>
      <c r="O1054" s="329" t="s">
        <v>67</v>
      </c>
      <c r="P1054" s="386">
        <f t="shared" ref="P1054:Q1054" si="1051">IF(B1054=0,0,IF(YEAR(B1054)=$Q$1,MONTH(B1054)-$P$1+1,(YEAR(B1054)-$Q$1)*12-$P$1+1+MONTH(B1054)))</f>
        <v>3</v>
      </c>
      <c r="Q1054" s="330">
        <f t="shared" si="1051"/>
        <v>2</v>
      </c>
      <c r="R1054" s="351" t="str">
        <f t="shared" si="3"/>
        <v>Gastos_com_Pessoal</v>
      </c>
      <c r="S1054" s="351" t="str">
        <f>IF(D1054="","",IF(OR(D1054=Plano!$A$1,D1054=Plano!$B$1),"entrada","saída"))</f>
        <v>saída</v>
      </c>
      <c r="T1054" s="334" t="s">
        <v>114</v>
      </c>
      <c r="U1054" s="334" t="s">
        <v>114</v>
      </c>
      <c r="V1054" s="269"/>
      <c r="W1054" s="269"/>
    </row>
    <row r="1055" spans="1:23" ht="69.75" customHeight="1" x14ac:dyDescent="0.2">
      <c r="A1055" s="277">
        <f t="shared" si="0"/>
        <v>1051</v>
      </c>
      <c r="B1055" s="278">
        <v>44260</v>
      </c>
      <c r="C1055" s="259">
        <v>44228</v>
      </c>
      <c r="D1055" s="255" t="s">
        <v>88</v>
      </c>
      <c r="E1055" s="255" t="s">
        <v>90</v>
      </c>
      <c r="F1055" s="258">
        <v>1004.77</v>
      </c>
      <c r="G1055" s="255" t="s">
        <v>3776</v>
      </c>
      <c r="H1055" s="255" t="s">
        <v>114</v>
      </c>
      <c r="I1055" s="250" t="s">
        <v>1203</v>
      </c>
      <c r="J1055" s="250" t="s">
        <v>1204</v>
      </c>
      <c r="K1055" s="255" t="s">
        <v>991</v>
      </c>
      <c r="L1055" s="250" t="s">
        <v>1183</v>
      </c>
      <c r="M1055" s="255" t="s">
        <v>114</v>
      </c>
      <c r="N1055" s="278">
        <v>44260</v>
      </c>
      <c r="O1055" s="329" t="s">
        <v>67</v>
      </c>
      <c r="P1055" s="386">
        <f t="shared" ref="P1055:Q1055" si="1052">IF(B1055=0,0,IF(YEAR(B1055)=$Q$1,MONTH(B1055)-$P$1+1,(YEAR(B1055)-$Q$1)*12-$P$1+1+MONTH(B1055)))</f>
        <v>3</v>
      </c>
      <c r="Q1055" s="330">
        <f t="shared" si="1052"/>
        <v>2</v>
      </c>
      <c r="R1055" s="351" t="str">
        <f t="shared" si="3"/>
        <v>Gastos_com_Pessoal</v>
      </c>
      <c r="S1055" s="351" t="str">
        <f>IF(D1055="","",IF(OR(D1055=Plano!$A$1,D1055=Plano!$B$1),"entrada","saída"))</f>
        <v>saída</v>
      </c>
      <c r="T1055" s="334" t="s">
        <v>114</v>
      </c>
      <c r="U1055" s="334" t="s">
        <v>114</v>
      </c>
      <c r="V1055" s="269"/>
      <c r="W1055" s="269"/>
    </row>
    <row r="1056" spans="1:23" ht="69.75" customHeight="1" x14ac:dyDescent="0.2">
      <c r="A1056" s="277">
        <f t="shared" si="0"/>
        <v>1052</v>
      </c>
      <c r="B1056" s="278">
        <v>44260</v>
      </c>
      <c r="C1056" s="259">
        <v>44228</v>
      </c>
      <c r="D1056" s="255" t="s">
        <v>88</v>
      </c>
      <c r="E1056" s="255" t="s">
        <v>90</v>
      </c>
      <c r="F1056" s="258">
        <v>1416.43</v>
      </c>
      <c r="G1056" s="255" t="s">
        <v>3777</v>
      </c>
      <c r="H1056" s="255" t="s">
        <v>114</v>
      </c>
      <c r="I1056" s="250" t="s">
        <v>1206</v>
      </c>
      <c r="J1056" s="250" t="s">
        <v>1207</v>
      </c>
      <c r="K1056" s="255" t="s">
        <v>991</v>
      </c>
      <c r="L1056" s="250" t="s">
        <v>1183</v>
      </c>
      <c r="M1056" s="255" t="s">
        <v>114</v>
      </c>
      <c r="N1056" s="278">
        <v>44260</v>
      </c>
      <c r="O1056" s="329" t="s">
        <v>67</v>
      </c>
      <c r="P1056" s="386">
        <f t="shared" ref="P1056:Q1056" si="1053">IF(B1056=0,0,IF(YEAR(B1056)=$Q$1,MONTH(B1056)-$P$1+1,(YEAR(B1056)-$Q$1)*12-$P$1+1+MONTH(B1056)))</f>
        <v>3</v>
      </c>
      <c r="Q1056" s="330">
        <f t="shared" si="1053"/>
        <v>2</v>
      </c>
      <c r="R1056" s="351" t="str">
        <f t="shared" si="3"/>
        <v>Gastos_com_Pessoal</v>
      </c>
      <c r="S1056" s="351" t="str">
        <f>IF(D1056="","",IF(OR(D1056=Plano!$A$1,D1056=Plano!$B$1),"entrada","saída"))</f>
        <v>saída</v>
      </c>
      <c r="T1056" s="334" t="s">
        <v>114</v>
      </c>
      <c r="U1056" s="334" t="s">
        <v>114</v>
      </c>
      <c r="V1056" s="269"/>
      <c r="W1056" s="269"/>
    </row>
    <row r="1057" spans="1:23" ht="69.75" customHeight="1" x14ac:dyDescent="0.2">
      <c r="A1057" s="277">
        <f t="shared" si="0"/>
        <v>1053</v>
      </c>
      <c r="B1057" s="278">
        <v>44260</v>
      </c>
      <c r="C1057" s="256">
        <v>44136</v>
      </c>
      <c r="D1057" s="255" t="s">
        <v>99</v>
      </c>
      <c r="E1057" s="255" t="s">
        <v>358</v>
      </c>
      <c r="F1057" s="258">
        <v>33.479999999999997</v>
      </c>
      <c r="G1057" s="255" t="s">
        <v>3778</v>
      </c>
      <c r="H1057" s="255" t="s">
        <v>128</v>
      </c>
      <c r="I1057" s="250" t="s">
        <v>465</v>
      </c>
      <c r="J1057" s="250" t="s">
        <v>114</v>
      </c>
      <c r="K1057" s="250" t="s">
        <v>466</v>
      </c>
      <c r="L1057" s="250" t="s">
        <v>467</v>
      </c>
      <c r="M1057" s="255">
        <v>2340</v>
      </c>
      <c r="N1057" s="278">
        <v>44260</v>
      </c>
      <c r="O1057" s="329" t="s">
        <v>67</v>
      </c>
      <c r="P1057" s="386">
        <f t="shared" ref="P1057:Q1057" si="1054">IF(B1057=0,0,IF(YEAR(B1057)=$Q$1,MONTH(B1057)-$P$1+1,(YEAR(B1057)-$Q$1)*12-$P$1+1+MONTH(B1057)))</f>
        <v>3</v>
      </c>
      <c r="Q1057" s="330">
        <f t="shared" si="1054"/>
        <v>-1</v>
      </c>
      <c r="R1057" s="351" t="str">
        <f t="shared" si="3"/>
        <v>Gastos_Gerais</v>
      </c>
      <c r="S1057" s="351" t="str">
        <f>IF(D1057="","",IF(OR(D1057=Plano!$A$1,D1057=Plano!$B$1),"entrada","saída"))</f>
        <v>saída</v>
      </c>
      <c r="T1057" s="334" t="s">
        <v>114</v>
      </c>
      <c r="U1057" s="334" t="s">
        <v>114</v>
      </c>
      <c r="V1057" s="269"/>
      <c r="W1057" s="269"/>
    </row>
    <row r="1058" spans="1:23" ht="69.75" customHeight="1" x14ac:dyDescent="0.2">
      <c r="A1058" s="277">
        <f t="shared" si="0"/>
        <v>1054</v>
      </c>
      <c r="B1058" s="278">
        <v>44260</v>
      </c>
      <c r="C1058" s="256">
        <v>44197</v>
      </c>
      <c r="D1058" s="255" t="s">
        <v>99</v>
      </c>
      <c r="E1058" s="255" t="s">
        <v>262</v>
      </c>
      <c r="F1058" s="258">
        <v>60</v>
      </c>
      <c r="G1058" s="255" t="s">
        <v>3779</v>
      </c>
      <c r="H1058" s="255" t="s">
        <v>115</v>
      </c>
      <c r="I1058" s="250" t="s">
        <v>465</v>
      </c>
      <c r="J1058" s="250" t="s">
        <v>114</v>
      </c>
      <c r="K1058" s="250" t="s">
        <v>466</v>
      </c>
      <c r="L1058" s="250" t="s">
        <v>467</v>
      </c>
      <c r="M1058" s="255">
        <v>2341</v>
      </c>
      <c r="N1058" s="278">
        <v>44260</v>
      </c>
      <c r="O1058" s="329" t="s">
        <v>67</v>
      </c>
      <c r="P1058" s="386">
        <f t="shared" ref="P1058:Q1058" si="1055">IF(B1058=0,0,IF(YEAR(B1058)=$Q$1,MONTH(B1058)-$P$1+1,(YEAR(B1058)-$Q$1)*12-$P$1+1+MONTH(B1058)))</f>
        <v>3</v>
      </c>
      <c r="Q1058" s="330">
        <f t="shared" si="1055"/>
        <v>1</v>
      </c>
      <c r="R1058" s="351" t="str">
        <f t="shared" si="3"/>
        <v>Gastos_Gerais</v>
      </c>
      <c r="S1058" s="351" t="str">
        <f>IF(D1058="","",IF(OR(D1058=Plano!$A$1,D1058=Plano!$B$1),"entrada","saída"))</f>
        <v>saída</v>
      </c>
      <c r="T1058" s="334" t="s">
        <v>114</v>
      </c>
      <c r="U1058" s="334" t="s">
        <v>114</v>
      </c>
      <c r="V1058" s="269"/>
      <c r="W1058" s="269"/>
    </row>
    <row r="1059" spans="1:23" ht="69.75" customHeight="1" x14ac:dyDescent="0.2">
      <c r="A1059" s="277">
        <f t="shared" si="0"/>
        <v>1055</v>
      </c>
      <c r="B1059" s="278">
        <v>44260</v>
      </c>
      <c r="C1059" s="256">
        <v>44197</v>
      </c>
      <c r="D1059" s="255" t="s">
        <v>99</v>
      </c>
      <c r="E1059" s="255" t="s">
        <v>236</v>
      </c>
      <c r="F1059" s="258">
        <v>75</v>
      </c>
      <c r="G1059" s="252" t="s">
        <v>3780</v>
      </c>
      <c r="H1059" s="255" t="s">
        <v>122</v>
      </c>
      <c r="I1059" s="250" t="s">
        <v>465</v>
      </c>
      <c r="J1059" s="250" t="s">
        <v>114</v>
      </c>
      <c r="K1059" s="255" t="s">
        <v>466</v>
      </c>
      <c r="L1059" s="250" t="s">
        <v>467</v>
      </c>
      <c r="M1059" s="255">
        <v>2342</v>
      </c>
      <c r="N1059" s="278">
        <v>44260</v>
      </c>
      <c r="O1059" s="329" t="s">
        <v>67</v>
      </c>
      <c r="P1059" s="386">
        <f t="shared" ref="P1059:Q1059" si="1056">IF(B1059=0,0,IF(YEAR(B1059)=$Q$1,MONTH(B1059)-$P$1+1,(YEAR(B1059)-$Q$1)*12-$P$1+1+MONTH(B1059)))</f>
        <v>3</v>
      </c>
      <c r="Q1059" s="330">
        <f t="shared" si="1056"/>
        <v>1</v>
      </c>
      <c r="R1059" s="351" t="str">
        <f t="shared" si="3"/>
        <v>Gastos_Gerais</v>
      </c>
      <c r="S1059" s="351" t="str">
        <f>IF(D1059="","",IF(OR(D1059=Plano!$A$1,D1059=Plano!$B$1),"entrada","saída"))</f>
        <v>saída</v>
      </c>
      <c r="T1059" s="334" t="s">
        <v>114</v>
      </c>
      <c r="U1059" s="334" t="s">
        <v>114</v>
      </c>
      <c r="V1059" s="269"/>
      <c r="W1059" s="269"/>
    </row>
    <row r="1060" spans="1:23" ht="69.75" customHeight="1" x14ac:dyDescent="0.2">
      <c r="A1060" s="277">
        <f t="shared" si="0"/>
        <v>1056</v>
      </c>
      <c r="B1060" s="278">
        <v>44260</v>
      </c>
      <c r="C1060" s="249">
        <v>44136</v>
      </c>
      <c r="D1060" s="255" t="s">
        <v>99</v>
      </c>
      <c r="E1060" s="255" t="s">
        <v>330</v>
      </c>
      <c r="F1060" s="258">
        <v>240</v>
      </c>
      <c r="G1060" s="250" t="s">
        <v>3781</v>
      </c>
      <c r="H1060" s="255" t="s">
        <v>125</v>
      </c>
      <c r="I1060" s="250" t="s">
        <v>465</v>
      </c>
      <c r="J1060" s="250" t="s">
        <v>114</v>
      </c>
      <c r="K1060" s="255" t="s">
        <v>466</v>
      </c>
      <c r="L1060" s="250" t="s">
        <v>467</v>
      </c>
      <c r="M1060" s="255">
        <v>2343</v>
      </c>
      <c r="N1060" s="278">
        <v>44260</v>
      </c>
      <c r="O1060" s="329" t="s">
        <v>67</v>
      </c>
      <c r="P1060" s="386">
        <f t="shared" ref="P1060:Q1060" si="1057">IF(B1060=0,0,IF(YEAR(B1060)=$Q$1,MONTH(B1060)-$P$1+1,(YEAR(B1060)-$Q$1)*12-$P$1+1+MONTH(B1060)))</f>
        <v>3</v>
      </c>
      <c r="Q1060" s="330">
        <f t="shared" si="1057"/>
        <v>-1</v>
      </c>
      <c r="R1060" s="351" t="str">
        <f t="shared" si="3"/>
        <v>Gastos_Gerais</v>
      </c>
      <c r="S1060" s="351" t="str">
        <f>IF(D1060="","",IF(OR(D1060=Plano!$A$1,D1060=Plano!$B$1),"entrada","saída"))</f>
        <v>saída</v>
      </c>
      <c r="T1060" s="334" t="s">
        <v>114</v>
      </c>
      <c r="U1060" s="334" t="s">
        <v>114</v>
      </c>
      <c r="V1060" s="269"/>
      <c r="W1060" s="269"/>
    </row>
    <row r="1061" spans="1:23" ht="69.75" customHeight="1" x14ac:dyDescent="0.2">
      <c r="A1061" s="277">
        <f t="shared" si="0"/>
        <v>1057</v>
      </c>
      <c r="B1061" s="278">
        <v>44260</v>
      </c>
      <c r="C1061" s="249">
        <v>44197</v>
      </c>
      <c r="D1061" s="255" t="s">
        <v>99</v>
      </c>
      <c r="E1061" s="255" t="s">
        <v>358</v>
      </c>
      <c r="F1061" s="258">
        <v>36.65</v>
      </c>
      <c r="G1061" s="250" t="s">
        <v>3782</v>
      </c>
      <c r="H1061" s="255" t="s">
        <v>131</v>
      </c>
      <c r="I1061" s="250" t="s">
        <v>465</v>
      </c>
      <c r="J1061" s="250" t="s">
        <v>114</v>
      </c>
      <c r="K1061" s="255" t="s">
        <v>466</v>
      </c>
      <c r="L1061" s="250" t="s">
        <v>467</v>
      </c>
      <c r="M1061" s="255">
        <v>2344</v>
      </c>
      <c r="N1061" s="278">
        <v>44260</v>
      </c>
      <c r="O1061" s="329" t="s">
        <v>67</v>
      </c>
      <c r="P1061" s="386">
        <f t="shared" ref="P1061:Q1061" si="1058">IF(B1061=0,0,IF(YEAR(B1061)=$Q$1,MONTH(B1061)-$P$1+1,(YEAR(B1061)-$Q$1)*12-$P$1+1+MONTH(B1061)))</f>
        <v>3</v>
      </c>
      <c r="Q1061" s="330">
        <f t="shared" si="1058"/>
        <v>1</v>
      </c>
      <c r="R1061" s="351" t="str">
        <f t="shared" si="3"/>
        <v>Gastos_Gerais</v>
      </c>
      <c r="S1061" s="351" t="str">
        <f>IF(D1061="","",IF(OR(D1061=Plano!$A$1,D1061=Plano!$B$1),"entrada","saída"))</f>
        <v>saída</v>
      </c>
      <c r="T1061" s="334" t="s">
        <v>114</v>
      </c>
      <c r="U1061" s="334" t="s">
        <v>114</v>
      </c>
      <c r="V1061" s="269"/>
      <c r="W1061" s="269"/>
    </row>
    <row r="1062" spans="1:23" ht="69.75" customHeight="1" x14ac:dyDescent="0.2">
      <c r="A1062" s="277">
        <f t="shared" si="0"/>
        <v>1058</v>
      </c>
      <c r="B1062" s="278">
        <v>44260</v>
      </c>
      <c r="C1062" s="249">
        <v>44197</v>
      </c>
      <c r="D1062" s="255" t="s">
        <v>99</v>
      </c>
      <c r="E1062" s="255" t="s">
        <v>358</v>
      </c>
      <c r="F1062" s="258">
        <v>36.65</v>
      </c>
      <c r="G1062" s="250" t="s">
        <v>3783</v>
      </c>
      <c r="H1062" s="255" t="s">
        <v>131</v>
      </c>
      <c r="I1062" s="250" t="s">
        <v>465</v>
      </c>
      <c r="J1062" s="250" t="s">
        <v>114</v>
      </c>
      <c r="K1062" s="255" t="s">
        <v>466</v>
      </c>
      <c r="L1062" s="250" t="s">
        <v>467</v>
      </c>
      <c r="M1062" s="255">
        <v>2345</v>
      </c>
      <c r="N1062" s="278">
        <v>44260</v>
      </c>
      <c r="O1062" s="329" t="s">
        <v>67</v>
      </c>
      <c r="P1062" s="386">
        <f t="shared" ref="P1062:Q1062" si="1059">IF(B1062=0,0,IF(YEAR(B1062)=$Q$1,MONTH(B1062)-$P$1+1,(YEAR(B1062)-$Q$1)*12-$P$1+1+MONTH(B1062)))</f>
        <v>3</v>
      </c>
      <c r="Q1062" s="330">
        <f t="shared" si="1059"/>
        <v>1</v>
      </c>
      <c r="R1062" s="351" t="str">
        <f t="shared" si="3"/>
        <v>Gastos_Gerais</v>
      </c>
      <c r="S1062" s="351" t="str">
        <f>IF(D1062="","",IF(OR(D1062=Plano!$A$1,D1062=Plano!$B$1),"entrada","saída"))</f>
        <v>saída</v>
      </c>
      <c r="T1062" s="334" t="s">
        <v>114</v>
      </c>
      <c r="U1062" s="334" t="s">
        <v>114</v>
      </c>
      <c r="V1062" s="269"/>
      <c r="W1062" s="269"/>
    </row>
    <row r="1063" spans="1:23" ht="69.75" customHeight="1" x14ac:dyDescent="0.2">
      <c r="A1063" s="277">
        <f t="shared" si="0"/>
        <v>1059</v>
      </c>
      <c r="B1063" s="278">
        <v>44260</v>
      </c>
      <c r="C1063" s="249">
        <v>44197</v>
      </c>
      <c r="D1063" s="255" t="s">
        <v>99</v>
      </c>
      <c r="E1063" s="255" t="s">
        <v>358</v>
      </c>
      <c r="F1063" s="258">
        <v>36.65</v>
      </c>
      <c r="G1063" s="250" t="s">
        <v>3784</v>
      </c>
      <c r="H1063" s="255" t="s">
        <v>131</v>
      </c>
      <c r="I1063" s="250" t="s">
        <v>465</v>
      </c>
      <c r="J1063" s="250" t="s">
        <v>114</v>
      </c>
      <c r="K1063" s="255" t="s">
        <v>466</v>
      </c>
      <c r="L1063" s="250" t="s">
        <v>467</v>
      </c>
      <c r="M1063" s="255">
        <v>2346</v>
      </c>
      <c r="N1063" s="278">
        <v>44260</v>
      </c>
      <c r="O1063" s="329" t="s">
        <v>67</v>
      </c>
      <c r="P1063" s="386">
        <f t="shared" ref="P1063:Q1063" si="1060">IF(B1063=0,0,IF(YEAR(B1063)=$Q$1,MONTH(B1063)-$P$1+1,(YEAR(B1063)-$Q$1)*12-$P$1+1+MONTH(B1063)))</f>
        <v>3</v>
      </c>
      <c r="Q1063" s="330">
        <f t="shared" si="1060"/>
        <v>1</v>
      </c>
      <c r="R1063" s="351" t="str">
        <f t="shared" si="3"/>
        <v>Gastos_Gerais</v>
      </c>
      <c r="S1063" s="351" t="str">
        <f>IF(D1063="","",IF(OR(D1063=Plano!$A$1,D1063=Plano!$B$1),"entrada","saída"))</f>
        <v>saída</v>
      </c>
      <c r="T1063" s="334" t="s">
        <v>114</v>
      </c>
      <c r="U1063" s="334" t="s">
        <v>114</v>
      </c>
      <c r="V1063" s="269"/>
      <c r="W1063" s="269"/>
    </row>
    <row r="1064" spans="1:23" ht="69.75" customHeight="1" x14ac:dyDescent="0.2">
      <c r="A1064" s="277">
        <f t="shared" si="0"/>
        <v>1060</v>
      </c>
      <c r="B1064" s="278">
        <v>44260</v>
      </c>
      <c r="C1064" s="249">
        <v>44197</v>
      </c>
      <c r="D1064" s="255" t="s">
        <v>99</v>
      </c>
      <c r="E1064" s="255" t="s">
        <v>358</v>
      </c>
      <c r="F1064" s="258">
        <v>23.35</v>
      </c>
      <c r="G1064" s="250" t="s">
        <v>3785</v>
      </c>
      <c r="H1064" s="255" t="s">
        <v>131</v>
      </c>
      <c r="I1064" s="250" t="s">
        <v>465</v>
      </c>
      <c r="J1064" s="250" t="s">
        <v>114</v>
      </c>
      <c r="K1064" s="255" t="s">
        <v>466</v>
      </c>
      <c r="L1064" s="250" t="s">
        <v>467</v>
      </c>
      <c r="M1064" s="255">
        <v>2347</v>
      </c>
      <c r="N1064" s="278">
        <v>44260</v>
      </c>
      <c r="O1064" s="329" t="s">
        <v>67</v>
      </c>
      <c r="P1064" s="386">
        <f t="shared" ref="P1064:Q1064" si="1061">IF(B1064=0,0,IF(YEAR(B1064)=$Q$1,MONTH(B1064)-$P$1+1,(YEAR(B1064)-$Q$1)*12-$P$1+1+MONTH(B1064)))</f>
        <v>3</v>
      </c>
      <c r="Q1064" s="330">
        <f t="shared" si="1061"/>
        <v>1</v>
      </c>
      <c r="R1064" s="351" t="str">
        <f t="shared" si="3"/>
        <v>Gastos_Gerais</v>
      </c>
      <c r="S1064" s="351" t="str">
        <f>IF(D1064="","",IF(OR(D1064=Plano!$A$1,D1064=Plano!$B$1),"entrada","saída"))</f>
        <v>saída</v>
      </c>
      <c r="T1064" s="334" t="s">
        <v>114</v>
      </c>
      <c r="U1064" s="334" t="s">
        <v>114</v>
      </c>
      <c r="V1064" s="269"/>
      <c r="W1064" s="269"/>
    </row>
    <row r="1065" spans="1:23" ht="69.75" customHeight="1" x14ac:dyDescent="0.2">
      <c r="A1065" s="277">
        <f t="shared" si="0"/>
        <v>1061</v>
      </c>
      <c r="B1065" s="278">
        <v>44260</v>
      </c>
      <c r="C1065" s="249">
        <v>44136</v>
      </c>
      <c r="D1065" s="255" t="s">
        <v>99</v>
      </c>
      <c r="E1065" s="255" t="s">
        <v>330</v>
      </c>
      <c r="F1065" s="258">
        <v>125</v>
      </c>
      <c r="G1065" s="250" t="s">
        <v>3786</v>
      </c>
      <c r="H1065" s="255" t="s">
        <v>125</v>
      </c>
      <c r="I1065" s="250" t="s">
        <v>465</v>
      </c>
      <c r="J1065" s="250" t="s">
        <v>114</v>
      </c>
      <c r="K1065" s="255" t="s">
        <v>466</v>
      </c>
      <c r="L1065" s="250" t="s">
        <v>467</v>
      </c>
      <c r="M1065" s="255">
        <v>2348</v>
      </c>
      <c r="N1065" s="278">
        <v>44260</v>
      </c>
      <c r="O1065" s="329" t="s">
        <v>67</v>
      </c>
      <c r="P1065" s="386">
        <f t="shared" ref="P1065:Q1065" si="1062">IF(B1065=0,0,IF(YEAR(B1065)=$Q$1,MONTH(B1065)-$P$1+1,(YEAR(B1065)-$Q$1)*12-$P$1+1+MONTH(B1065)))</f>
        <v>3</v>
      </c>
      <c r="Q1065" s="330">
        <f t="shared" si="1062"/>
        <v>-1</v>
      </c>
      <c r="R1065" s="351" t="str">
        <f t="shared" si="3"/>
        <v>Gastos_Gerais</v>
      </c>
      <c r="S1065" s="351" t="str">
        <f>IF(D1065="","",IF(OR(D1065=Plano!$A$1,D1065=Plano!$B$1),"entrada","saída"))</f>
        <v>saída</v>
      </c>
      <c r="T1065" s="334" t="s">
        <v>114</v>
      </c>
      <c r="U1065" s="334" t="s">
        <v>114</v>
      </c>
      <c r="V1065" s="269"/>
      <c r="W1065" s="269"/>
    </row>
    <row r="1066" spans="1:23" ht="69.75" customHeight="1" x14ac:dyDescent="0.2">
      <c r="A1066" s="277">
        <f t="shared" si="0"/>
        <v>1062</v>
      </c>
      <c r="B1066" s="278">
        <v>44260</v>
      </c>
      <c r="C1066" s="249">
        <v>44197</v>
      </c>
      <c r="D1066" s="255" t="s">
        <v>99</v>
      </c>
      <c r="E1066" s="255" t="s">
        <v>358</v>
      </c>
      <c r="F1066" s="258">
        <v>36.65</v>
      </c>
      <c r="G1066" s="250" t="s">
        <v>3787</v>
      </c>
      <c r="H1066" s="255" t="s">
        <v>131</v>
      </c>
      <c r="I1066" s="250" t="s">
        <v>465</v>
      </c>
      <c r="J1066" s="250" t="s">
        <v>114</v>
      </c>
      <c r="K1066" s="255" t="s">
        <v>466</v>
      </c>
      <c r="L1066" s="250" t="s">
        <v>467</v>
      </c>
      <c r="M1066" s="255">
        <v>2349</v>
      </c>
      <c r="N1066" s="278">
        <v>44260</v>
      </c>
      <c r="O1066" s="329" t="s">
        <v>67</v>
      </c>
      <c r="P1066" s="386">
        <f t="shared" ref="P1066:Q1066" si="1063">IF(B1066=0,0,IF(YEAR(B1066)=$Q$1,MONTH(B1066)-$P$1+1,(YEAR(B1066)-$Q$1)*12-$P$1+1+MONTH(B1066)))</f>
        <v>3</v>
      </c>
      <c r="Q1066" s="330">
        <f t="shared" si="1063"/>
        <v>1</v>
      </c>
      <c r="R1066" s="351" t="str">
        <f t="shared" si="3"/>
        <v>Gastos_Gerais</v>
      </c>
      <c r="S1066" s="351" t="str">
        <f>IF(D1066="","",IF(OR(D1066=Plano!$A$1,D1066=Plano!$B$1),"entrada","saída"))</f>
        <v>saída</v>
      </c>
      <c r="T1066" s="334" t="s">
        <v>114</v>
      </c>
      <c r="U1066" s="334" t="s">
        <v>114</v>
      </c>
      <c r="V1066" s="269"/>
      <c r="W1066" s="269"/>
    </row>
    <row r="1067" spans="1:23" ht="69.75" customHeight="1" x14ac:dyDescent="0.2">
      <c r="A1067" s="277">
        <f t="shared" si="0"/>
        <v>1063</v>
      </c>
      <c r="B1067" s="278">
        <v>44260</v>
      </c>
      <c r="C1067" s="249">
        <v>44136</v>
      </c>
      <c r="D1067" s="255" t="s">
        <v>99</v>
      </c>
      <c r="E1067" s="255" t="s">
        <v>352</v>
      </c>
      <c r="F1067" s="258">
        <v>190</v>
      </c>
      <c r="G1067" s="250" t="s">
        <v>3788</v>
      </c>
      <c r="H1067" s="255" t="s">
        <v>125</v>
      </c>
      <c r="I1067" s="250" t="s">
        <v>465</v>
      </c>
      <c r="J1067" s="250" t="s">
        <v>114</v>
      </c>
      <c r="K1067" s="255" t="s">
        <v>466</v>
      </c>
      <c r="L1067" s="250" t="s">
        <v>467</v>
      </c>
      <c r="M1067" s="255">
        <v>2350</v>
      </c>
      <c r="N1067" s="278">
        <v>44260</v>
      </c>
      <c r="O1067" s="329" t="s">
        <v>67</v>
      </c>
      <c r="P1067" s="386">
        <f t="shared" ref="P1067:Q1067" si="1064">IF(B1067=0,0,IF(YEAR(B1067)=$Q$1,MONTH(B1067)-$P$1+1,(YEAR(B1067)-$Q$1)*12-$P$1+1+MONTH(B1067)))</f>
        <v>3</v>
      </c>
      <c r="Q1067" s="330">
        <f t="shared" si="1064"/>
        <v>-1</v>
      </c>
      <c r="R1067" s="351" t="str">
        <f t="shared" si="3"/>
        <v>Gastos_Gerais</v>
      </c>
      <c r="S1067" s="351" t="str">
        <f>IF(D1067="","",IF(OR(D1067=Plano!$A$1,D1067=Plano!$B$1),"entrada","saída"))</f>
        <v>saída</v>
      </c>
      <c r="T1067" s="334" t="s">
        <v>114</v>
      </c>
      <c r="U1067" s="334" t="s">
        <v>114</v>
      </c>
      <c r="V1067" s="269"/>
      <c r="W1067" s="269"/>
    </row>
    <row r="1068" spans="1:23" ht="69.75" customHeight="1" x14ac:dyDescent="0.2">
      <c r="A1068" s="277">
        <f t="shared" si="0"/>
        <v>1064</v>
      </c>
      <c r="B1068" s="278">
        <v>44260</v>
      </c>
      <c r="C1068" s="249">
        <v>44075</v>
      </c>
      <c r="D1068" s="255" t="s">
        <v>99</v>
      </c>
      <c r="E1068" s="255" t="s">
        <v>330</v>
      </c>
      <c r="F1068" s="258">
        <v>25</v>
      </c>
      <c r="G1068" s="250" t="s">
        <v>3789</v>
      </c>
      <c r="H1068" s="255" t="s">
        <v>118</v>
      </c>
      <c r="I1068" s="250" t="s">
        <v>465</v>
      </c>
      <c r="J1068" s="250" t="s">
        <v>114</v>
      </c>
      <c r="K1068" s="255" t="s">
        <v>466</v>
      </c>
      <c r="L1068" s="250" t="s">
        <v>467</v>
      </c>
      <c r="M1068" s="255">
        <v>2351</v>
      </c>
      <c r="N1068" s="278">
        <v>44260</v>
      </c>
      <c r="O1068" s="329" t="s">
        <v>67</v>
      </c>
      <c r="P1068" s="386">
        <f t="shared" ref="P1068:Q1068" si="1065">IF(B1068=0,0,IF(YEAR(B1068)=$Q$1,MONTH(B1068)-$P$1+1,(YEAR(B1068)-$Q$1)*12-$P$1+1+MONTH(B1068)))</f>
        <v>3</v>
      </c>
      <c r="Q1068" s="330">
        <f t="shared" si="1065"/>
        <v>-3</v>
      </c>
      <c r="R1068" s="351" t="str">
        <f t="shared" si="3"/>
        <v>Gastos_Gerais</v>
      </c>
      <c r="S1068" s="351" t="str">
        <f>IF(D1068="","",IF(OR(D1068=Plano!$A$1,D1068=Plano!$B$1),"entrada","saída"))</f>
        <v>saída</v>
      </c>
      <c r="T1068" s="334" t="s">
        <v>114</v>
      </c>
      <c r="U1068" s="334" t="s">
        <v>114</v>
      </c>
      <c r="V1068" s="269"/>
      <c r="W1068" s="269"/>
    </row>
    <row r="1069" spans="1:23" ht="69.75" customHeight="1" x14ac:dyDescent="0.2">
      <c r="A1069" s="277">
        <f t="shared" si="0"/>
        <v>1065</v>
      </c>
      <c r="B1069" s="278">
        <v>44260</v>
      </c>
      <c r="C1069" s="249">
        <v>44228</v>
      </c>
      <c r="D1069" s="255" t="s">
        <v>99</v>
      </c>
      <c r="E1069" s="255" t="s">
        <v>352</v>
      </c>
      <c r="F1069" s="258">
        <v>150</v>
      </c>
      <c r="G1069" s="250" t="s">
        <v>3790</v>
      </c>
      <c r="H1069" s="255" t="s">
        <v>131</v>
      </c>
      <c r="I1069" s="250" t="s">
        <v>465</v>
      </c>
      <c r="J1069" s="250" t="s">
        <v>114</v>
      </c>
      <c r="K1069" s="255" t="s">
        <v>466</v>
      </c>
      <c r="L1069" s="250" t="s">
        <v>467</v>
      </c>
      <c r="M1069" s="255">
        <v>2352</v>
      </c>
      <c r="N1069" s="278">
        <v>44260</v>
      </c>
      <c r="O1069" s="329" t="s">
        <v>67</v>
      </c>
      <c r="P1069" s="386">
        <f t="shared" ref="P1069:Q1069" si="1066">IF(B1069=0,0,IF(YEAR(B1069)=$Q$1,MONTH(B1069)-$P$1+1,(YEAR(B1069)-$Q$1)*12-$P$1+1+MONTH(B1069)))</f>
        <v>3</v>
      </c>
      <c r="Q1069" s="330">
        <f t="shared" si="1066"/>
        <v>2</v>
      </c>
      <c r="R1069" s="351" t="str">
        <f t="shared" si="3"/>
        <v>Gastos_Gerais</v>
      </c>
      <c r="S1069" s="351" t="str">
        <f>IF(D1069="","",IF(OR(D1069=Plano!$A$1,D1069=Plano!$B$1),"entrada","saída"))</f>
        <v>saída</v>
      </c>
      <c r="T1069" s="334" t="s">
        <v>114</v>
      </c>
      <c r="U1069" s="334" t="s">
        <v>114</v>
      </c>
      <c r="V1069" s="269"/>
      <c r="W1069" s="269"/>
    </row>
    <row r="1070" spans="1:23" ht="69.75" customHeight="1" x14ac:dyDescent="0.2">
      <c r="A1070" s="277">
        <f t="shared" si="0"/>
        <v>1066</v>
      </c>
      <c r="B1070" s="278">
        <v>44260</v>
      </c>
      <c r="C1070" s="249">
        <v>44197</v>
      </c>
      <c r="D1070" s="255" t="s">
        <v>99</v>
      </c>
      <c r="E1070" s="255" t="s">
        <v>262</v>
      </c>
      <c r="F1070" s="258">
        <v>77.180000000000007</v>
      </c>
      <c r="G1070" s="255" t="s">
        <v>3791</v>
      </c>
      <c r="H1070" s="255" t="s">
        <v>115</v>
      </c>
      <c r="I1070" s="250" t="s">
        <v>465</v>
      </c>
      <c r="J1070" s="250" t="s">
        <v>114</v>
      </c>
      <c r="K1070" s="255" t="s">
        <v>466</v>
      </c>
      <c r="L1070" s="250" t="s">
        <v>467</v>
      </c>
      <c r="M1070" s="255">
        <v>2353</v>
      </c>
      <c r="N1070" s="278">
        <v>44260</v>
      </c>
      <c r="O1070" s="329" t="s">
        <v>67</v>
      </c>
      <c r="P1070" s="386">
        <f t="shared" ref="P1070:Q1070" si="1067">IF(B1070=0,0,IF(YEAR(B1070)=$Q$1,MONTH(B1070)-$P$1+1,(YEAR(B1070)-$Q$1)*12-$P$1+1+MONTH(B1070)))</f>
        <v>3</v>
      </c>
      <c r="Q1070" s="330">
        <f t="shared" si="1067"/>
        <v>1</v>
      </c>
      <c r="R1070" s="351" t="str">
        <f t="shared" si="3"/>
        <v>Gastos_Gerais</v>
      </c>
      <c r="S1070" s="351" t="str">
        <f>IF(D1070="","",IF(OR(D1070=Plano!$A$1,D1070=Plano!$B$1),"entrada","saída"))</f>
        <v>saída</v>
      </c>
      <c r="T1070" s="334" t="s">
        <v>114</v>
      </c>
      <c r="U1070" s="334" t="s">
        <v>114</v>
      </c>
      <c r="V1070" s="269"/>
      <c r="W1070" s="269"/>
    </row>
    <row r="1071" spans="1:23" ht="69.75" customHeight="1" x14ac:dyDescent="0.2">
      <c r="A1071" s="277">
        <f t="shared" si="0"/>
        <v>1067</v>
      </c>
      <c r="B1071" s="278">
        <v>44260</v>
      </c>
      <c r="C1071" s="249">
        <v>44166</v>
      </c>
      <c r="D1071" s="255" t="s">
        <v>99</v>
      </c>
      <c r="E1071" s="255" t="s">
        <v>364</v>
      </c>
      <c r="F1071" s="258">
        <v>184.45</v>
      </c>
      <c r="G1071" s="255" t="s">
        <v>3792</v>
      </c>
      <c r="H1071" s="255" t="s">
        <v>132</v>
      </c>
      <c r="I1071" s="250" t="s">
        <v>465</v>
      </c>
      <c r="J1071" s="250" t="s">
        <v>114</v>
      </c>
      <c r="K1071" s="255" t="s">
        <v>466</v>
      </c>
      <c r="L1071" s="250" t="s">
        <v>467</v>
      </c>
      <c r="M1071" s="255">
        <v>2354</v>
      </c>
      <c r="N1071" s="278">
        <v>44260</v>
      </c>
      <c r="O1071" s="329" t="s">
        <v>67</v>
      </c>
      <c r="P1071" s="386">
        <f t="shared" ref="P1071:Q1071" si="1068">IF(B1071=0,0,IF(YEAR(B1071)=$Q$1,MONTH(B1071)-$P$1+1,(YEAR(B1071)-$Q$1)*12-$P$1+1+MONTH(B1071)))</f>
        <v>3</v>
      </c>
      <c r="Q1071" s="330">
        <f t="shared" si="1068"/>
        <v>0</v>
      </c>
      <c r="R1071" s="351" t="str">
        <f t="shared" si="3"/>
        <v>Gastos_Gerais</v>
      </c>
      <c r="S1071" s="351" t="str">
        <f>IF(D1071="","",IF(OR(D1071=Plano!$A$1,D1071=Plano!$B$1),"entrada","saída"))</f>
        <v>saída</v>
      </c>
      <c r="T1071" s="334" t="s">
        <v>114</v>
      </c>
      <c r="U1071" s="334" t="s">
        <v>114</v>
      </c>
      <c r="V1071" s="269"/>
      <c r="W1071" s="269"/>
    </row>
    <row r="1072" spans="1:23" ht="69.75" customHeight="1" x14ac:dyDescent="0.2">
      <c r="A1072" s="277">
        <f t="shared" si="0"/>
        <v>1068</v>
      </c>
      <c r="B1072" s="278">
        <v>44260</v>
      </c>
      <c r="C1072" s="249">
        <v>44228</v>
      </c>
      <c r="D1072" s="255" t="s">
        <v>99</v>
      </c>
      <c r="E1072" s="255" t="s">
        <v>352</v>
      </c>
      <c r="F1072" s="258">
        <v>135</v>
      </c>
      <c r="G1072" s="255" t="s">
        <v>3793</v>
      </c>
      <c r="H1072" s="255" t="s">
        <v>131</v>
      </c>
      <c r="I1072" s="250" t="s">
        <v>465</v>
      </c>
      <c r="J1072" s="250" t="s">
        <v>114</v>
      </c>
      <c r="K1072" s="255" t="s">
        <v>466</v>
      </c>
      <c r="L1072" s="250" t="s">
        <v>467</v>
      </c>
      <c r="M1072" s="255">
        <v>2355</v>
      </c>
      <c r="N1072" s="278">
        <v>44260</v>
      </c>
      <c r="O1072" s="329" t="s">
        <v>67</v>
      </c>
      <c r="P1072" s="386">
        <f t="shared" ref="P1072:Q1072" si="1069">IF(B1072=0,0,IF(YEAR(B1072)=$Q$1,MONTH(B1072)-$P$1+1,(YEAR(B1072)-$Q$1)*12-$P$1+1+MONTH(B1072)))</f>
        <v>3</v>
      </c>
      <c r="Q1072" s="330">
        <f t="shared" si="1069"/>
        <v>2</v>
      </c>
      <c r="R1072" s="351" t="str">
        <f t="shared" si="3"/>
        <v>Gastos_Gerais</v>
      </c>
      <c r="S1072" s="351" t="str">
        <f>IF(D1072="","",IF(OR(D1072=Plano!$A$1,D1072=Plano!$B$1),"entrada","saída"))</f>
        <v>saída</v>
      </c>
      <c r="T1072" s="334" t="s">
        <v>114</v>
      </c>
      <c r="U1072" s="334" t="s">
        <v>114</v>
      </c>
      <c r="V1072" s="269"/>
      <c r="W1072" s="269"/>
    </row>
    <row r="1073" spans="1:23" ht="69.75" customHeight="1" x14ac:dyDescent="0.2">
      <c r="A1073" s="277">
        <f t="shared" si="0"/>
        <v>1069</v>
      </c>
      <c r="B1073" s="278">
        <v>44260</v>
      </c>
      <c r="C1073" s="249">
        <v>44228</v>
      </c>
      <c r="D1073" s="255" t="s">
        <v>99</v>
      </c>
      <c r="E1073" s="255" t="s">
        <v>262</v>
      </c>
      <c r="F1073" s="258">
        <v>80</v>
      </c>
      <c r="G1073" s="255" t="s">
        <v>3794</v>
      </c>
      <c r="H1073" s="255" t="s">
        <v>124</v>
      </c>
      <c r="I1073" s="250" t="s">
        <v>465</v>
      </c>
      <c r="J1073" s="250" t="s">
        <v>114</v>
      </c>
      <c r="K1073" s="255" t="s">
        <v>466</v>
      </c>
      <c r="L1073" s="250" t="s">
        <v>467</v>
      </c>
      <c r="M1073" s="255">
        <v>2356</v>
      </c>
      <c r="N1073" s="278">
        <v>44260</v>
      </c>
      <c r="O1073" s="329" t="s">
        <v>67</v>
      </c>
      <c r="P1073" s="386">
        <f t="shared" ref="P1073:Q1073" si="1070">IF(B1073=0,0,IF(YEAR(B1073)=$Q$1,MONTH(B1073)-$P$1+1,(YEAR(B1073)-$Q$1)*12-$P$1+1+MONTH(B1073)))</f>
        <v>3</v>
      </c>
      <c r="Q1073" s="330">
        <f t="shared" si="1070"/>
        <v>2</v>
      </c>
      <c r="R1073" s="351" t="str">
        <f t="shared" si="3"/>
        <v>Gastos_Gerais</v>
      </c>
      <c r="S1073" s="351" t="str">
        <f>IF(D1073="","",IF(OR(D1073=Plano!$A$1,D1073=Plano!$B$1),"entrada","saída"))</f>
        <v>saída</v>
      </c>
      <c r="T1073" s="334" t="s">
        <v>114</v>
      </c>
      <c r="U1073" s="334" t="s">
        <v>114</v>
      </c>
      <c r="V1073" s="269"/>
      <c r="W1073" s="269"/>
    </row>
    <row r="1074" spans="1:23" ht="69.75" customHeight="1" x14ac:dyDescent="0.2">
      <c r="A1074" s="277">
        <f t="shared" si="0"/>
        <v>1070</v>
      </c>
      <c r="B1074" s="278">
        <v>44260</v>
      </c>
      <c r="C1074" s="249">
        <v>44197</v>
      </c>
      <c r="D1074" s="255" t="s">
        <v>99</v>
      </c>
      <c r="E1074" s="255" t="s">
        <v>352</v>
      </c>
      <c r="F1074" s="258">
        <v>100.5</v>
      </c>
      <c r="G1074" s="255" t="s">
        <v>3795</v>
      </c>
      <c r="H1074" s="255" t="s">
        <v>126</v>
      </c>
      <c r="I1074" s="250" t="s">
        <v>465</v>
      </c>
      <c r="J1074" s="250" t="s">
        <v>114</v>
      </c>
      <c r="K1074" s="255" t="s">
        <v>466</v>
      </c>
      <c r="L1074" s="250" t="s">
        <v>467</v>
      </c>
      <c r="M1074" s="255">
        <v>2357</v>
      </c>
      <c r="N1074" s="278">
        <v>44260</v>
      </c>
      <c r="O1074" s="329" t="s">
        <v>67</v>
      </c>
      <c r="P1074" s="386">
        <f t="shared" ref="P1074:Q1074" si="1071">IF(B1074=0,0,IF(YEAR(B1074)=$Q$1,MONTH(B1074)-$P$1+1,(YEAR(B1074)-$Q$1)*12-$P$1+1+MONTH(B1074)))</f>
        <v>3</v>
      </c>
      <c r="Q1074" s="330">
        <f t="shared" si="1071"/>
        <v>1</v>
      </c>
      <c r="R1074" s="351" t="str">
        <f t="shared" si="3"/>
        <v>Gastos_Gerais</v>
      </c>
      <c r="S1074" s="351" t="str">
        <f>IF(D1074="","",IF(OR(D1074=Plano!$A$1,D1074=Plano!$B$1),"entrada","saída"))</f>
        <v>saída</v>
      </c>
      <c r="T1074" s="334" t="s">
        <v>114</v>
      </c>
      <c r="U1074" s="334" t="s">
        <v>114</v>
      </c>
      <c r="V1074" s="269"/>
      <c r="W1074" s="269"/>
    </row>
    <row r="1075" spans="1:23" ht="69.75" customHeight="1" x14ac:dyDescent="0.2">
      <c r="A1075" s="277">
        <f t="shared" si="0"/>
        <v>1071</v>
      </c>
      <c r="B1075" s="278">
        <v>44260</v>
      </c>
      <c r="C1075" s="249">
        <v>44197</v>
      </c>
      <c r="D1075" s="255" t="s">
        <v>99</v>
      </c>
      <c r="E1075" s="255" t="s">
        <v>262</v>
      </c>
      <c r="F1075" s="258">
        <v>36.18</v>
      </c>
      <c r="G1075" s="255" t="s">
        <v>3796</v>
      </c>
      <c r="H1075" s="255" t="s">
        <v>115</v>
      </c>
      <c r="I1075" s="250" t="s">
        <v>465</v>
      </c>
      <c r="J1075" s="250" t="s">
        <v>114</v>
      </c>
      <c r="K1075" s="255" t="s">
        <v>466</v>
      </c>
      <c r="L1075" s="250" t="s">
        <v>467</v>
      </c>
      <c r="M1075" s="255">
        <v>2358</v>
      </c>
      <c r="N1075" s="278">
        <v>44260</v>
      </c>
      <c r="O1075" s="329" t="s">
        <v>67</v>
      </c>
      <c r="P1075" s="386">
        <f t="shared" ref="P1075:Q1075" si="1072">IF(B1075=0,0,IF(YEAR(B1075)=$Q$1,MONTH(B1075)-$P$1+1,(YEAR(B1075)-$Q$1)*12-$P$1+1+MONTH(B1075)))</f>
        <v>3</v>
      </c>
      <c r="Q1075" s="330">
        <f t="shared" si="1072"/>
        <v>1</v>
      </c>
      <c r="R1075" s="351" t="str">
        <f t="shared" si="3"/>
        <v>Gastos_Gerais</v>
      </c>
      <c r="S1075" s="351" t="str">
        <f>IF(D1075="","",IF(OR(D1075=Plano!$A$1,D1075=Plano!$B$1),"entrada","saída"))</f>
        <v>saída</v>
      </c>
      <c r="T1075" s="334" t="s">
        <v>114</v>
      </c>
      <c r="U1075" s="334" t="s">
        <v>114</v>
      </c>
      <c r="V1075" s="269"/>
      <c r="W1075" s="269"/>
    </row>
    <row r="1076" spans="1:23" ht="69.75" customHeight="1" x14ac:dyDescent="0.2">
      <c r="A1076" s="277">
        <f t="shared" si="0"/>
        <v>1072</v>
      </c>
      <c r="B1076" s="278">
        <v>44260</v>
      </c>
      <c r="C1076" s="249">
        <v>44197</v>
      </c>
      <c r="D1076" s="255" t="s">
        <v>99</v>
      </c>
      <c r="E1076" s="255" t="s">
        <v>310</v>
      </c>
      <c r="F1076" s="258">
        <v>36.18</v>
      </c>
      <c r="G1076" s="250" t="s">
        <v>3797</v>
      </c>
      <c r="H1076" s="255" t="s">
        <v>125</v>
      </c>
      <c r="I1076" s="250" t="s">
        <v>465</v>
      </c>
      <c r="J1076" s="250" t="s">
        <v>114</v>
      </c>
      <c r="K1076" s="255" t="s">
        <v>466</v>
      </c>
      <c r="L1076" s="250" t="s">
        <v>467</v>
      </c>
      <c r="M1076" s="255">
        <v>2359</v>
      </c>
      <c r="N1076" s="278">
        <v>44260</v>
      </c>
      <c r="O1076" s="329" t="s">
        <v>67</v>
      </c>
      <c r="P1076" s="386">
        <f t="shared" ref="P1076:Q1076" si="1073">IF(B1076=0,0,IF(YEAR(B1076)=$Q$1,MONTH(B1076)-$P$1+1,(YEAR(B1076)-$Q$1)*12-$P$1+1+MONTH(B1076)))</f>
        <v>3</v>
      </c>
      <c r="Q1076" s="330">
        <f t="shared" si="1073"/>
        <v>1</v>
      </c>
      <c r="R1076" s="351" t="str">
        <f t="shared" si="3"/>
        <v>Gastos_Gerais</v>
      </c>
      <c r="S1076" s="351" t="str">
        <f>IF(D1076="","",IF(OR(D1076=Plano!$A$1,D1076=Plano!$B$1),"entrada","saída"))</f>
        <v>saída</v>
      </c>
      <c r="T1076" s="334" t="s">
        <v>114</v>
      </c>
      <c r="U1076" s="334" t="s">
        <v>114</v>
      </c>
      <c r="V1076" s="269"/>
      <c r="W1076" s="269"/>
    </row>
    <row r="1077" spans="1:23" ht="69.75" customHeight="1" x14ac:dyDescent="0.2">
      <c r="A1077" s="277">
        <f t="shared" si="0"/>
        <v>1073</v>
      </c>
      <c r="B1077" s="278">
        <v>44260</v>
      </c>
      <c r="C1077" s="249">
        <v>44197</v>
      </c>
      <c r="D1077" s="255" t="s">
        <v>99</v>
      </c>
      <c r="E1077" s="255" t="s">
        <v>364</v>
      </c>
      <c r="F1077" s="258">
        <v>108.5</v>
      </c>
      <c r="G1077" s="255" t="s">
        <v>3798</v>
      </c>
      <c r="H1077" s="255" t="s">
        <v>132</v>
      </c>
      <c r="I1077" s="250" t="s">
        <v>465</v>
      </c>
      <c r="J1077" s="250" t="s">
        <v>114</v>
      </c>
      <c r="K1077" s="255" t="s">
        <v>466</v>
      </c>
      <c r="L1077" s="250" t="s">
        <v>467</v>
      </c>
      <c r="M1077" s="255">
        <v>2360</v>
      </c>
      <c r="N1077" s="278">
        <v>44260</v>
      </c>
      <c r="O1077" s="329" t="s">
        <v>67</v>
      </c>
      <c r="P1077" s="386">
        <f t="shared" ref="P1077:Q1077" si="1074">IF(B1077=0,0,IF(YEAR(B1077)=$Q$1,MONTH(B1077)-$P$1+1,(YEAR(B1077)-$Q$1)*12-$P$1+1+MONTH(B1077)))</f>
        <v>3</v>
      </c>
      <c r="Q1077" s="330">
        <f t="shared" si="1074"/>
        <v>1</v>
      </c>
      <c r="R1077" s="351" t="str">
        <f t="shared" si="3"/>
        <v>Gastos_Gerais</v>
      </c>
      <c r="S1077" s="351" t="str">
        <f>IF(D1077="","",IF(OR(D1077=Plano!$A$1,D1077=Plano!$B$1),"entrada","saída"))</f>
        <v>saída</v>
      </c>
      <c r="T1077" s="334" t="s">
        <v>114</v>
      </c>
      <c r="U1077" s="334" t="s">
        <v>114</v>
      </c>
      <c r="V1077" s="269"/>
      <c r="W1077" s="269"/>
    </row>
    <row r="1078" spans="1:23" ht="69.75" customHeight="1" x14ac:dyDescent="0.2">
      <c r="A1078" s="277">
        <f t="shared" si="0"/>
        <v>1074</v>
      </c>
      <c r="B1078" s="278">
        <v>44260</v>
      </c>
      <c r="C1078" s="249">
        <v>44197</v>
      </c>
      <c r="D1078" s="255" t="s">
        <v>99</v>
      </c>
      <c r="E1078" s="255" t="s">
        <v>364</v>
      </c>
      <c r="F1078" s="258">
        <v>108.5</v>
      </c>
      <c r="G1078" s="255" t="s">
        <v>3799</v>
      </c>
      <c r="H1078" s="255" t="s">
        <v>132</v>
      </c>
      <c r="I1078" s="250" t="s">
        <v>465</v>
      </c>
      <c r="J1078" s="250" t="s">
        <v>114</v>
      </c>
      <c r="K1078" s="255" t="s">
        <v>466</v>
      </c>
      <c r="L1078" s="250" t="s">
        <v>467</v>
      </c>
      <c r="M1078" s="255">
        <v>2361</v>
      </c>
      <c r="N1078" s="278">
        <v>44260</v>
      </c>
      <c r="O1078" s="329" t="s">
        <v>67</v>
      </c>
      <c r="P1078" s="386">
        <f t="shared" ref="P1078:Q1078" si="1075">IF(B1078=0,0,IF(YEAR(B1078)=$Q$1,MONTH(B1078)-$P$1+1,(YEAR(B1078)-$Q$1)*12-$P$1+1+MONTH(B1078)))</f>
        <v>3</v>
      </c>
      <c r="Q1078" s="330">
        <f t="shared" si="1075"/>
        <v>1</v>
      </c>
      <c r="R1078" s="351" t="str">
        <f t="shared" si="3"/>
        <v>Gastos_Gerais</v>
      </c>
      <c r="S1078" s="351" t="str">
        <f>IF(D1078="","",IF(OR(D1078=Plano!$A$1,D1078=Plano!$B$1),"entrada","saída"))</f>
        <v>saída</v>
      </c>
      <c r="T1078" s="334" t="s">
        <v>114</v>
      </c>
      <c r="U1078" s="334" t="s">
        <v>114</v>
      </c>
      <c r="V1078" s="269"/>
      <c r="W1078" s="269"/>
    </row>
    <row r="1079" spans="1:23" ht="69.75" customHeight="1" x14ac:dyDescent="0.2">
      <c r="A1079" s="277">
        <f t="shared" si="0"/>
        <v>1075</v>
      </c>
      <c r="B1079" s="278">
        <v>44260</v>
      </c>
      <c r="C1079" s="249">
        <v>44197</v>
      </c>
      <c r="D1079" s="255" t="s">
        <v>99</v>
      </c>
      <c r="E1079" s="255" t="s">
        <v>364</v>
      </c>
      <c r="F1079" s="258">
        <v>301.5</v>
      </c>
      <c r="G1079" s="255" t="s">
        <v>3800</v>
      </c>
      <c r="H1079" s="255" t="s">
        <v>132</v>
      </c>
      <c r="I1079" s="250" t="s">
        <v>465</v>
      </c>
      <c r="J1079" s="250" t="s">
        <v>114</v>
      </c>
      <c r="K1079" s="255" t="s">
        <v>466</v>
      </c>
      <c r="L1079" s="250" t="s">
        <v>467</v>
      </c>
      <c r="M1079" s="255">
        <v>2362</v>
      </c>
      <c r="N1079" s="278">
        <v>44260</v>
      </c>
      <c r="O1079" s="329" t="s">
        <v>67</v>
      </c>
      <c r="P1079" s="386">
        <f t="shared" ref="P1079:Q1079" si="1076">IF(B1079=0,0,IF(YEAR(B1079)=$Q$1,MONTH(B1079)-$P$1+1,(YEAR(B1079)-$Q$1)*12-$P$1+1+MONTH(B1079)))</f>
        <v>3</v>
      </c>
      <c r="Q1079" s="330">
        <f t="shared" si="1076"/>
        <v>1</v>
      </c>
      <c r="R1079" s="351" t="str">
        <f t="shared" si="3"/>
        <v>Gastos_Gerais</v>
      </c>
      <c r="S1079" s="351" t="str">
        <f>IF(D1079="","",IF(OR(D1079=Plano!$A$1,D1079=Plano!$B$1),"entrada","saída"))</f>
        <v>saída</v>
      </c>
      <c r="T1079" s="334" t="s">
        <v>114</v>
      </c>
      <c r="U1079" s="334" t="s">
        <v>114</v>
      </c>
      <c r="V1079" s="269"/>
      <c r="W1079" s="269"/>
    </row>
    <row r="1080" spans="1:23" ht="69.75" customHeight="1" x14ac:dyDescent="0.2">
      <c r="A1080" s="277">
        <f t="shared" si="0"/>
        <v>1076</v>
      </c>
      <c r="B1080" s="278">
        <v>44260</v>
      </c>
      <c r="C1080" s="249">
        <v>44166</v>
      </c>
      <c r="D1080" s="255" t="s">
        <v>99</v>
      </c>
      <c r="E1080" s="255" t="s">
        <v>266</v>
      </c>
      <c r="F1080" s="258">
        <v>18.54</v>
      </c>
      <c r="G1080" s="250" t="s">
        <v>3801</v>
      </c>
      <c r="H1080" s="255" t="s">
        <v>125</v>
      </c>
      <c r="I1080" s="250" t="s">
        <v>465</v>
      </c>
      <c r="J1080" s="250" t="s">
        <v>114</v>
      </c>
      <c r="K1080" s="255" t="s">
        <v>466</v>
      </c>
      <c r="L1080" s="250" t="s">
        <v>467</v>
      </c>
      <c r="M1080" s="255">
        <v>2363</v>
      </c>
      <c r="N1080" s="278">
        <v>44260</v>
      </c>
      <c r="O1080" s="329" t="s">
        <v>67</v>
      </c>
      <c r="P1080" s="386">
        <f t="shared" ref="P1080:Q1080" si="1077">IF(B1080=0,0,IF(YEAR(B1080)=$Q$1,MONTH(B1080)-$P$1+1,(YEAR(B1080)-$Q$1)*12-$P$1+1+MONTH(B1080)))</f>
        <v>3</v>
      </c>
      <c r="Q1080" s="330">
        <f t="shared" si="1077"/>
        <v>0</v>
      </c>
      <c r="R1080" s="351" t="str">
        <f t="shared" si="3"/>
        <v>Gastos_Gerais</v>
      </c>
      <c r="S1080" s="351" t="str">
        <f>IF(D1080="","",IF(OR(D1080=Plano!$A$1,D1080=Plano!$B$1),"entrada","saída"))</f>
        <v>saída</v>
      </c>
      <c r="T1080" s="334" t="s">
        <v>114</v>
      </c>
      <c r="U1080" s="334" t="s">
        <v>114</v>
      </c>
      <c r="V1080" s="269"/>
      <c r="W1080" s="269"/>
    </row>
    <row r="1081" spans="1:23" ht="69.75" customHeight="1" x14ac:dyDescent="0.2">
      <c r="A1081" s="277">
        <f t="shared" si="0"/>
        <v>1077</v>
      </c>
      <c r="B1081" s="278">
        <v>44260</v>
      </c>
      <c r="C1081" s="249">
        <v>44197</v>
      </c>
      <c r="D1081" s="255" t="s">
        <v>99</v>
      </c>
      <c r="E1081" s="255" t="s">
        <v>262</v>
      </c>
      <c r="F1081" s="258">
        <v>132.66</v>
      </c>
      <c r="G1081" s="252" t="s">
        <v>3802</v>
      </c>
      <c r="H1081" s="255" t="s">
        <v>115</v>
      </c>
      <c r="I1081" s="250" t="s">
        <v>465</v>
      </c>
      <c r="J1081" s="250" t="s">
        <v>114</v>
      </c>
      <c r="K1081" s="255" t="s">
        <v>466</v>
      </c>
      <c r="L1081" s="250" t="s">
        <v>467</v>
      </c>
      <c r="M1081" s="255">
        <v>2365</v>
      </c>
      <c r="N1081" s="278">
        <v>44260</v>
      </c>
      <c r="O1081" s="329" t="s">
        <v>67</v>
      </c>
      <c r="P1081" s="386">
        <f t="shared" ref="P1081:Q1081" si="1078">IF(B1081=0,0,IF(YEAR(B1081)=$Q$1,MONTH(B1081)-$P$1+1,(YEAR(B1081)-$Q$1)*12-$P$1+1+MONTH(B1081)))</f>
        <v>3</v>
      </c>
      <c r="Q1081" s="330">
        <f t="shared" si="1078"/>
        <v>1</v>
      </c>
      <c r="R1081" s="351" t="str">
        <f t="shared" si="3"/>
        <v>Gastos_Gerais</v>
      </c>
      <c r="S1081" s="351" t="str">
        <f>IF(D1081="","",IF(OR(D1081=Plano!$A$1,D1081=Plano!$B$1),"entrada","saída"))</f>
        <v>saída</v>
      </c>
      <c r="T1081" s="334" t="s">
        <v>114</v>
      </c>
      <c r="U1081" s="334" t="s">
        <v>114</v>
      </c>
      <c r="V1081" s="269"/>
      <c r="W1081" s="269"/>
    </row>
    <row r="1082" spans="1:23" ht="69.75" customHeight="1" x14ac:dyDescent="0.2">
      <c r="A1082" s="277">
        <f t="shared" si="0"/>
        <v>1078</v>
      </c>
      <c r="B1082" s="278">
        <v>44260</v>
      </c>
      <c r="C1082" s="259">
        <v>44197</v>
      </c>
      <c r="D1082" s="255" t="s">
        <v>99</v>
      </c>
      <c r="E1082" s="255" t="s">
        <v>266</v>
      </c>
      <c r="F1082" s="258">
        <v>396.21</v>
      </c>
      <c r="G1082" s="250" t="s">
        <v>3803</v>
      </c>
      <c r="H1082" s="255" t="s">
        <v>131</v>
      </c>
      <c r="I1082" s="250" t="s">
        <v>465</v>
      </c>
      <c r="J1082" s="250" t="s">
        <v>114</v>
      </c>
      <c r="K1082" s="255" t="s">
        <v>466</v>
      </c>
      <c r="L1082" s="250" t="s">
        <v>467</v>
      </c>
      <c r="M1082" s="255">
        <v>2366</v>
      </c>
      <c r="N1082" s="278">
        <v>44260</v>
      </c>
      <c r="O1082" s="329" t="s">
        <v>67</v>
      </c>
      <c r="P1082" s="386">
        <f t="shared" ref="P1082:Q1082" si="1079">IF(B1082=0,0,IF(YEAR(B1082)=$Q$1,MONTH(B1082)-$P$1+1,(YEAR(B1082)-$Q$1)*12-$P$1+1+MONTH(B1082)))</f>
        <v>3</v>
      </c>
      <c r="Q1082" s="330">
        <f t="shared" si="1079"/>
        <v>1</v>
      </c>
      <c r="R1082" s="351" t="str">
        <f t="shared" si="3"/>
        <v>Gastos_Gerais</v>
      </c>
      <c r="S1082" s="351" t="str">
        <f>IF(D1082="","",IF(OR(D1082=Plano!$A$1,D1082=Plano!$B$1),"entrada","saída"))</f>
        <v>saída</v>
      </c>
      <c r="T1082" s="334" t="s">
        <v>114</v>
      </c>
      <c r="U1082" s="334" t="s">
        <v>114</v>
      </c>
      <c r="V1082" s="269"/>
      <c r="W1082" s="269"/>
    </row>
    <row r="1083" spans="1:23" ht="69.75" customHeight="1" x14ac:dyDescent="0.2">
      <c r="A1083" s="277">
        <f t="shared" si="0"/>
        <v>1079</v>
      </c>
      <c r="B1083" s="278">
        <v>44260</v>
      </c>
      <c r="C1083" s="249">
        <v>44197</v>
      </c>
      <c r="D1083" s="255" t="s">
        <v>99</v>
      </c>
      <c r="E1083" s="255" t="s">
        <v>244</v>
      </c>
      <c r="F1083" s="258">
        <v>18.45</v>
      </c>
      <c r="G1083" s="250" t="s">
        <v>3804</v>
      </c>
      <c r="H1083" s="255" t="s">
        <v>122</v>
      </c>
      <c r="I1083" s="250" t="s">
        <v>465</v>
      </c>
      <c r="J1083" s="250" t="s">
        <v>114</v>
      </c>
      <c r="K1083" s="255" t="s">
        <v>466</v>
      </c>
      <c r="L1083" s="250" t="s">
        <v>467</v>
      </c>
      <c r="M1083" s="255">
        <v>2367</v>
      </c>
      <c r="N1083" s="278">
        <v>44260</v>
      </c>
      <c r="O1083" s="329" t="s">
        <v>67</v>
      </c>
      <c r="P1083" s="386">
        <f t="shared" ref="P1083:Q1083" si="1080">IF(B1083=0,0,IF(YEAR(B1083)=$Q$1,MONTH(B1083)-$P$1+1,(YEAR(B1083)-$Q$1)*12-$P$1+1+MONTH(B1083)))</f>
        <v>3</v>
      </c>
      <c r="Q1083" s="330">
        <f t="shared" si="1080"/>
        <v>1</v>
      </c>
      <c r="R1083" s="351" t="str">
        <f t="shared" si="3"/>
        <v>Gastos_Gerais</v>
      </c>
      <c r="S1083" s="351" t="str">
        <f>IF(D1083="","",IF(OR(D1083=Plano!$A$1,D1083=Plano!$B$1),"entrada","saída"))</f>
        <v>saída</v>
      </c>
      <c r="T1083" s="334" t="s">
        <v>114</v>
      </c>
      <c r="U1083" s="334" t="s">
        <v>114</v>
      </c>
      <c r="V1083" s="269"/>
      <c r="W1083" s="269"/>
    </row>
    <row r="1084" spans="1:23" ht="69.75" customHeight="1" x14ac:dyDescent="0.2">
      <c r="A1084" s="277">
        <f t="shared" si="0"/>
        <v>1080</v>
      </c>
      <c r="B1084" s="278">
        <v>44260</v>
      </c>
      <c r="C1084" s="249">
        <v>44197</v>
      </c>
      <c r="D1084" s="255" t="s">
        <v>99</v>
      </c>
      <c r="E1084" s="255" t="s">
        <v>226</v>
      </c>
      <c r="F1084" s="258">
        <v>44.28</v>
      </c>
      <c r="G1084" s="250" t="s">
        <v>3805</v>
      </c>
      <c r="H1084" s="255" t="s">
        <v>128</v>
      </c>
      <c r="I1084" s="250" t="s">
        <v>465</v>
      </c>
      <c r="J1084" s="250" t="s">
        <v>114</v>
      </c>
      <c r="K1084" s="255" t="s">
        <v>466</v>
      </c>
      <c r="L1084" s="250" t="s">
        <v>467</v>
      </c>
      <c r="M1084" s="255">
        <v>2368</v>
      </c>
      <c r="N1084" s="278">
        <v>44260</v>
      </c>
      <c r="O1084" s="329" t="s">
        <v>67</v>
      </c>
      <c r="P1084" s="386">
        <f t="shared" ref="P1084:Q1084" si="1081">IF(B1084=0,0,IF(YEAR(B1084)=$Q$1,MONTH(B1084)-$P$1+1,(YEAR(B1084)-$Q$1)*12-$P$1+1+MONTH(B1084)))</f>
        <v>3</v>
      </c>
      <c r="Q1084" s="330">
        <f t="shared" si="1081"/>
        <v>1</v>
      </c>
      <c r="R1084" s="351" t="str">
        <f t="shared" si="3"/>
        <v>Gastos_Gerais</v>
      </c>
      <c r="S1084" s="351" t="str">
        <f>IF(D1084="","",IF(OR(D1084=Plano!$A$1,D1084=Plano!$B$1),"entrada","saída"))</f>
        <v>saída</v>
      </c>
      <c r="T1084" s="334" t="s">
        <v>114</v>
      </c>
      <c r="U1084" s="334" t="s">
        <v>114</v>
      </c>
      <c r="V1084" s="269"/>
      <c r="W1084" s="269"/>
    </row>
    <row r="1085" spans="1:23" ht="69.75" customHeight="1" x14ac:dyDescent="0.2">
      <c r="A1085" s="277">
        <f t="shared" si="0"/>
        <v>1081</v>
      </c>
      <c r="B1085" s="278">
        <v>44260</v>
      </c>
      <c r="C1085" s="249">
        <v>44197</v>
      </c>
      <c r="D1085" s="255" t="s">
        <v>99</v>
      </c>
      <c r="E1085" s="255" t="s">
        <v>226</v>
      </c>
      <c r="F1085" s="258">
        <v>25.46</v>
      </c>
      <c r="G1085" s="250" t="s">
        <v>3806</v>
      </c>
      <c r="H1085" s="255" t="s">
        <v>128</v>
      </c>
      <c r="I1085" s="250" t="s">
        <v>465</v>
      </c>
      <c r="J1085" s="250" t="s">
        <v>114</v>
      </c>
      <c r="K1085" s="255" t="s">
        <v>466</v>
      </c>
      <c r="L1085" s="250" t="s">
        <v>467</v>
      </c>
      <c r="M1085" s="255">
        <v>2369</v>
      </c>
      <c r="N1085" s="278">
        <v>44260</v>
      </c>
      <c r="O1085" s="329" t="s">
        <v>67</v>
      </c>
      <c r="P1085" s="386">
        <f t="shared" ref="P1085:Q1085" si="1082">IF(B1085=0,0,IF(YEAR(B1085)=$Q$1,MONTH(B1085)-$P$1+1,(YEAR(B1085)-$Q$1)*12-$P$1+1+MONTH(B1085)))</f>
        <v>3</v>
      </c>
      <c r="Q1085" s="330">
        <f t="shared" si="1082"/>
        <v>1</v>
      </c>
      <c r="R1085" s="351" t="str">
        <f t="shared" si="3"/>
        <v>Gastos_Gerais</v>
      </c>
      <c r="S1085" s="351" t="str">
        <f>IF(D1085="","",IF(OR(D1085=Plano!$A$1,D1085=Plano!$B$1),"entrada","saída"))</f>
        <v>saída</v>
      </c>
      <c r="T1085" s="334" t="s">
        <v>114</v>
      </c>
      <c r="U1085" s="334" t="s">
        <v>114</v>
      </c>
      <c r="V1085" s="269"/>
      <c r="W1085" s="269"/>
    </row>
    <row r="1086" spans="1:23" ht="69.75" customHeight="1" x14ac:dyDescent="0.2">
      <c r="A1086" s="277">
        <f t="shared" si="0"/>
        <v>1082</v>
      </c>
      <c r="B1086" s="278">
        <v>44260</v>
      </c>
      <c r="C1086" s="249">
        <v>44197</v>
      </c>
      <c r="D1086" s="255" t="s">
        <v>99</v>
      </c>
      <c r="E1086" s="255" t="s">
        <v>244</v>
      </c>
      <c r="F1086" s="258">
        <v>11.51</v>
      </c>
      <c r="G1086" s="250" t="s">
        <v>3807</v>
      </c>
      <c r="H1086" s="255" t="s">
        <v>126</v>
      </c>
      <c r="I1086" s="250" t="s">
        <v>465</v>
      </c>
      <c r="J1086" s="250" t="s">
        <v>114</v>
      </c>
      <c r="K1086" s="255" t="s">
        <v>466</v>
      </c>
      <c r="L1086" s="250" t="s">
        <v>467</v>
      </c>
      <c r="M1086" s="255">
        <v>2370</v>
      </c>
      <c r="N1086" s="278">
        <v>44260</v>
      </c>
      <c r="O1086" s="329" t="s">
        <v>67</v>
      </c>
      <c r="P1086" s="386">
        <f t="shared" ref="P1086:Q1086" si="1083">IF(B1086=0,0,IF(YEAR(B1086)=$Q$1,MONTH(B1086)-$P$1+1,(YEAR(B1086)-$Q$1)*12-$P$1+1+MONTH(B1086)))</f>
        <v>3</v>
      </c>
      <c r="Q1086" s="330">
        <f t="shared" si="1083"/>
        <v>1</v>
      </c>
      <c r="R1086" s="351" t="str">
        <f t="shared" si="3"/>
        <v>Gastos_Gerais</v>
      </c>
      <c r="S1086" s="351" t="str">
        <f>IF(D1086="","",IF(OR(D1086=Plano!$A$1,D1086=Plano!$B$1),"entrada","saída"))</f>
        <v>saída</v>
      </c>
      <c r="T1086" s="334" t="s">
        <v>114</v>
      </c>
      <c r="U1086" s="334" t="s">
        <v>114</v>
      </c>
      <c r="V1086" s="269"/>
      <c r="W1086" s="269"/>
    </row>
    <row r="1087" spans="1:23" ht="69.75" customHeight="1" x14ac:dyDescent="0.2">
      <c r="A1087" s="277">
        <f t="shared" si="0"/>
        <v>1083</v>
      </c>
      <c r="B1087" s="278">
        <v>44260</v>
      </c>
      <c r="C1087" s="249">
        <v>44197</v>
      </c>
      <c r="D1087" s="255" t="s">
        <v>99</v>
      </c>
      <c r="E1087" s="255" t="s">
        <v>290</v>
      </c>
      <c r="F1087" s="258">
        <v>2.77</v>
      </c>
      <c r="G1087" s="255" t="s">
        <v>3808</v>
      </c>
      <c r="H1087" s="255" t="s">
        <v>115</v>
      </c>
      <c r="I1087" s="250" t="s">
        <v>465</v>
      </c>
      <c r="J1087" s="250" t="s">
        <v>114</v>
      </c>
      <c r="K1087" s="255" t="s">
        <v>466</v>
      </c>
      <c r="L1087" s="250" t="s">
        <v>467</v>
      </c>
      <c r="M1087" s="255">
        <v>2371</v>
      </c>
      <c r="N1087" s="278">
        <v>44260</v>
      </c>
      <c r="O1087" s="329" t="s">
        <v>67</v>
      </c>
      <c r="P1087" s="386">
        <f t="shared" ref="P1087:Q1087" si="1084">IF(B1087=0,0,IF(YEAR(B1087)=$Q$1,MONTH(B1087)-$P$1+1,(YEAR(B1087)-$Q$1)*12-$P$1+1+MONTH(B1087)))</f>
        <v>3</v>
      </c>
      <c r="Q1087" s="330">
        <f t="shared" si="1084"/>
        <v>1</v>
      </c>
      <c r="R1087" s="351" t="str">
        <f t="shared" si="3"/>
        <v>Gastos_Gerais</v>
      </c>
      <c r="S1087" s="351" t="str">
        <f>IF(D1087="","",IF(OR(D1087=Plano!$A$1,D1087=Plano!$B$1),"entrada","saída"))</f>
        <v>saída</v>
      </c>
      <c r="T1087" s="334" t="s">
        <v>114</v>
      </c>
      <c r="U1087" s="334" t="s">
        <v>114</v>
      </c>
      <c r="V1087" s="269"/>
      <c r="W1087" s="269"/>
    </row>
    <row r="1088" spans="1:23" ht="69.75" customHeight="1" x14ac:dyDescent="0.2">
      <c r="A1088" s="277">
        <f t="shared" si="0"/>
        <v>1084</v>
      </c>
      <c r="B1088" s="278">
        <v>44260</v>
      </c>
      <c r="C1088" s="249">
        <v>44228</v>
      </c>
      <c r="D1088" s="255" t="s">
        <v>99</v>
      </c>
      <c r="E1088" s="255" t="s">
        <v>266</v>
      </c>
      <c r="F1088" s="258">
        <v>9.2799999999999994</v>
      </c>
      <c r="G1088" s="255" t="s">
        <v>3809</v>
      </c>
      <c r="H1088" s="255" t="s">
        <v>115</v>
      </c>
      <c r="I1088" s="250" t="s">
        <v>465</v>
      </c>
      <c r="J1088" s="250" t="s">
        <v>114</v>
      </c>
      <c r="K1088" s="255" t="s">
        <v>466</v>
      </c>
      <c r="L1088" s="250" t="s">
        <v>467</v>
      </c>
      <c r="M1088" s="255">
        <v>2372</v>
      </c>
      <c r="N1088" s="278">
        <v>44260</v>
      </c>
      <c r="O1088" s="329" t="s">
        <v>67</v>
      </c>
      <c r="P1088" s="386">
        <f t="shared" ref="P1088:Q1088" si="1085">IF(B1088=0,0,IF(YEAR(B1088)=$Q$1,MONTH(B1088)-$P$1+1,(YEAR(B1088)-$Q$1)*12-$P$1+1+MONTH(B1088)))</f>
        <v>3</v>
      </c>
      <c r="Q1088" s="330">
        <f t="shared" si="1085"/>
        <v>2</v>
      </c>
      <c r="R1088" s="351" t="str">
        <f t="shared" si="3"/>
        <v>Gastos_Gerais</v>
      </c>
      <c r="S1088" s="351" t="str">
        <f>IF(D1088="","",IF(OR(D1088=Plano!$A$1,D1088=Plano!$B$1),"entrada","saída"))</f>
        <v>saída</v>
      </c>
      <c r="T1088" s="334" t="s">
        <v>114</v>
      </c>
      <c r="U1088" s="334" t="s">
        <v>114</v>
      </c>
      <c r="V1088" s="269"/>
      <c r="W1088" s="269"/>
    </row>
    <row r="1089" spans="1:23" ht="69.75" customHeight="1" x14ac:dyDescent="0.2">
      <c r="A1089" s="277">
        <f t="shared" si="0"/>
        <v>1085</v>
      </c>
      <c r="B1089" s="278">
        <v>44260</v>
      </c>
      <c r="C1089" s="249">
        <v>44228</v>
      </c>
      <c r="D1089" s="255" t="s">
        <v>88</v>
      </c>
      <c r="E1089" s="255" t="s">
        <v>183</v>
      </c>
      <c r="F1089" s="258">
        <v>3.25</v>
      </c>
      <c r="G1089" s="255" t="s">
        <v>3810</v>
      </c>
      <c r="H1089" s="255" t="s">
        <v>114</v>
      </c>
      <c r="I1089" s="250" t="s">
        <v>465</v>
      </c>
      <c r="J1089" s="250" t="s">
        <v>114</v>
      </c>
      <c r="K1089" s="255" t="s">
        <v>466</v>
      </c>
      <c r="L1089" s="250" t="s">
        <v>467</v>
      </c>
      <c r="M1089" s="255">
        <v>2373</v>
      </c>
      <c r="N1089" s="278">
        <v>44260</v>
      </c>
      <c r="O1089" s="329" t="s">
        <v>67</v>
      </c>
      <c r="P1089" s="386">
        <f t="shared" ref="P1089:Q1089" si="1086">IF(B1089=0,0,IF(YEAR(B1089)=$Q$1,MONTH(B1089)-$P$1+1,(YEAR(B1089)-$Q$1)*12-$P$1+1+MONTH(B1089)))</f>
        <v>3</v>
      </c>
      <c r="Q1089" s="330">
        <f t="shared" si="1086"/>
        <v>2</v>
      </c>
      <c r="R1089" s="351" t="str">
        <f t="shared" si="3"/>
        <v>Gastos_com_Pessoal</v>
      </c>
      <c r="S1089" s="351" t="str">
        <f>IF(D1089="","",IF(OR(D1089=Plano!$A$1,D1089=Plano!$B$1),"entrada","saída"))</f>
        <v>saída</v>
      </c>
      <c r="T1089" s="334" t="s">
        <v>114</v>
      </c>
      <c r="U1089" s="334" t="s">
        <v>114</v>
      </c>
      <c r="V1089" s="269"/>
      <c r="W1089" s="269"/>
    </row>
    <row r="1090" spans="1:23" ht="69.75" customHeight="1" x14ac:dyDescent="0.2">
      <c r="A1090" s="277">
        <f t="shared" si="0"/>
        <v>1086</v>
      </c>
      <c r="B1090" s="278">
        <v>44260</v>
      </c>
      <c r="C1090" s="249">
        <v>44228</v>
      </c>
      <c r="D1090" s="255" t="s">
        <v>88</v>
      </c>
      <c r="E1090" s="255" t="s">
        <v>183</v>
      </c>
      <c r="F1090" s="258">
        <v>5.67</v>
      </c>
      <c r="G1090" s="255" t="s">
        <v>3811</v>
      </c>
      <c r="H1090" s="255" t="s">
        <v>114</v>
      </c>
      <c r="I1090" s="250" t="s">
        <v>465</v>
      </c>
      <c r="J1090" s="250" t="s">
        <v>114</v>
      </c>
      <c r="K1090" s="255" t="s">
        <v>466</v>
      </c>
      <c r="L1090" s="250" t="s">
        <v>467</v>
      </c>
      <c r="M1090" s="255">
        <v>2374</v>
      </c>
      <c r="N1090" s="278">
        <v>44260</v>
      </c>
      <c r="O1090" s="329" t="s">
        <v>67</v>
      </c>
      <c r="P1090" s="386">
        <f t="shared" ref="P1090:Q1090" si="1087">IF(B1090=0,0,IF(YEAR(B1090)=$Q$1,MONTH(B1090)-$P$1+1,(YEAR(B1090)-$Q$1)*12-$P$1+1+MONTH(B1090)))</f>
        <v>3</v>
      </c>
      <c r="Q1090" s="330">
        <f t="shared" si="1087"/>
        <v>2</v>
      </c>
      <c r="R1090" s="351" t="str">
        <f t="shared" si="3"/>
        <v>Gastos_com_Pessoal</v>
      </c>
      <c r="S1090" s="351" t="str">
        <f>IF(D1090="","",IF(OR(D1090=Plano!$A$1,D1090=Plano!$B$1),"entrada","saída"))</f>
        <v>saída</v>
      </c>
      <c r="T1090" s="334" t="s">
        <v>114</v>
      </c>
      <c r="U1090" s="334" t="s">
        <v>114</v>
      </c>
      <c r="V1090" s="269"/>
      <c r="W1090" s="269"/>
    </row>
    <row r="1091" spans="1:23" ht="69.75" customHeight="1" x14ac:dyDescent="0.2">
      <c r="A1091" s="277">
        <f t="shared" si="0"/>
        <v>1087</v>
      </c>
      <c r="B1091" s="278">
        <v>44260</v>
      </c>
      <c r="C1091" s="259">
        <v>44256</v>
      </c>
      <c r="D1091" s="255" t="s">
        <v>88</v>
      </c>
      <c r="E1091" s="255" t="s">
        <v>192</v>
      </c>
      <c r="F1091" s="258">
        <v>0.25</v>
      </c>
      <c r="G1091" s="255" t="s">
        <v>3812</v>
      </c>
      <c r="H1091" s="255" t="s">
        <v>114</v>
      </c>
      <c r="I1091" s="250" t="s">
        <v>465</v>
      </c>
      <c r="J1091" s="250" t="s">
        <v>114</v>
      </c>
      <c r="K1091" s="255" t="s">
        <v>466</v>
      </c>
      <c r="L1091" s="250" t="s">
        <v>467</v>
      </c>
      <c r="M1091" s="255">
        <v>2375</v>
      </c>
      <c r="N1091" s="278">
        <v>44260</v>
      </c>
      <c r="O1091" s="329" t="s">
        <v>67</v>
      </c>
      <c r="P1091" s="386">
        <f t="shared" ref="P1091:Q1091" si="1088">IF(B1091=0,0,IF(YEAR(B1091)=$Q$1,MONTH(B1091)-$P$1+1,(YEAR(B1091)-$Q$1)*12-$P$1+1+MONTH(B1091)))</f>
        <v>3</v>
      </c>
      <c r="Q1091" s="330">
        <f t="shared" si="1088"/>
        <v>3</v>
      </c>
      <c r="R1091" s="351" t="str">
        <f t="shared" si="3"/>
        <v>Gastos_com_Pessoal</v>
      </c>
      <c r="S1091" s="351" t="str">
        <f>IF(D1091="","",IF(OR(D1091=Plano!$A$1,D1091=Plano!$B$1),"entrada","saída"))</f>
        <v>saída</v>
      </c>
      <c r="T1091" s="334" t="s">
        <v>114</v>
      </c>
      <c r="U1091" s="334" t="s">
        <v>114</v>
      </c>
      <c r="V1091" s="269"/>
      <c r="W1091" s="269"/>
    </row>
    <row r="1092" spans="1:23" ht="69.75" customHeight="1" x14ac:dyDescent="0.2">
      <c r="A1092" s="277">
        <f t="shared" si="0"/>
        <v>1088</v>
      </c>
      <c r="B1092" s="278">
        <v>44260</v>
      </c>
      <c r="C1092" s="259">
        <v>44256</v>
      </c>
      <c r="D1092" s="255" t="s">
        <v>88</v>
      </c>
      <c r="E1092" s="255" t="s">
        <v>192</v>
      </c>
      <c r="F1092" s="258">
        <v>0.14000000000000001</v>
      </c>
      <c r="G1092" s="255" t="s">
        <v>3813</v>
      </c>
      <c r="H1092" s="255" t="s">
        <v>114</v>
      </c>
      <c r="I1092" s="250" t="s">
        <v>465</v>
      </c>
      <c r="J1092" s="250" t="s">
        <v>114</v>
      </c>
      <c r="K1092" s="255" t="s">
        <v>466</v>
      </c>
      <c r="L1092" s="250" t="s">
        <v>467</v>
      </c>
      <c r="M1092" s="255">
        <v>2376</v>
      </c>
      <c r="N1092" s="278">
        <v>44260</v>
      </c>
      <c r="O1092" s="329" t="s">
        <v>67</v>
      </c>
      <c r="P1092" s="386">
        <f t="shared" ref="P1092:Q1092" si="1089">IF(B1092=0,0,IF(YEAR(B1092)=$Q$1,MONTH(B1092)-$P$1+1,(YEAR(B1092)-$Q$1)*12-$P$1+1+MONTH(B1092)))</f>
        <v>3</v>
      </c>
      <c r="Q1092" s="330">
        <f t="shared" si="1089"/>
        <v>3</v>
      </c>
      <c r="R1092" s="351" t="str">
        <f t="shared" si="3"/>
        <v>Gastos_com_Pessoal</v>
      </c>
      <c r="S1092" s="351" t="str">
        <f>IF(D1092="","",IF(OR(D1092=Plano!$A$1,D1092=Plano!$B$1),"entrada","saída"))</f>
        <v>saída</v>
      </c>
      <c r="T1092" s="334" t="s">
        <v>114</v>
      </c>
      <c r="U1092" s="334" t="s">
        <v>114</v>
      </c>
      <c r="V1092" s="269"/>
      <c r="W1092" s="269"/>
    </row>
    <row r="1093" spans="1:23" ht="69.75" customHeight="1" x14ac:dyDescent="0.2">
      <c r="A1093" s="277">
        <f t="shared" si="0"/>
        <v>1089</v>
      </c>
      <c r="B1093" s="278">
        <v>44260</v>
      </c>
      <c r="C1093" s="259">
        <v>44197</v>
      </c>
      <c r="D1093" s="252" t="s">
        <v>88</v>
      </c>
      <c r="E1093" s="252" t="s">
        <v>90</v>
      </c>
      <c r="F1093" s="257">
        <v>3.16</v>
      </c>
      <c r="G1093" s="252" t="s">
        <v>3814</v>
      </c>
      <c r="H1093" s="255" t="s">
        <v>114</v>
      </c>
      <c r="I1093" s="250" t="s">
        <v>465</v>
      </c>
      <c r="J1093" s="250" t="s">
        <v>114</v>
      </c>
      <c r="K1093" s="255" t="s">
        <v>466</v>
      </c>
      <c r="L1093" s="250" t="s">
        <v>467</v>
      </c>
      <c r="M1093" s="255">
        <v>2377</v>
      </c>
      <c r="N1093" s="278">
        <v>44260</v>
      </c>
      <c r="O1093" s="329" t="s">
        <v>67</v>
      </c>
      <c r="P1093" s="386">
        <f t="shared" ref="P1093:Q1093" si="1090">IF(B1093=0,0,IF(YEAR(B1093)=$Q$1,MONTH(B1093)-$P$1+1,(YEAR(B1093)-$Q$1)*12-$P$1+1+MONTH(B1093)))</f>
        <v>3</v>
      </c>
      <c r="Q1093" s="330">
        <f t="shared" si="1090"/>
        <v>1</v>
      </c>
      <c r="R1093" s="351" t="str">
        <f t="shared" si="3"/>
        <v>Gastos_com_Pessoal</v>
      </c>
      <c r="S1093" s="351" t="str">
        <f>IF(D1093="","",IF(OR(D1093=Plano!$A$1,D1093=Plano!$B$1),"entrada","saída"))</f>
        <v>saída</v>
      </c>
      <c r="T1093" s="334" t="s">
        <v>114</v>
      </c>
      <c r="U1093" s="334" t="s">
        <v>114</v>
      </c>
      <c r="V1093" s="269"/>
      <c r="W1093" s="269"/>
    </row>
    <row r="1094" spans="1:23" ht="69.75" customHeight="1" x14ac:dyDescent="0.2">
      <c r="A1094" s="277">
        <f t="shared" si="0"/>
        <v>1090</v>
      </c>
      <c r="B1094" s="278">
        <v>44260</v>
      </c>
      <c r="C1094" s="259">
        <v>44256</v>
      </c>
      <c r="D1094" s="252" t="s">
        <v>88</v>
      </c>
      <c r="E1094" s="252" t="s">
        <v>196</v>
      </c>
      <c r="F1094" s="257">
        <v>81.62</v>
      </c>
      <c r="G1094" s="252" t="s">
        <v>3815</v>
      </c>
      <c r="H1094" s="255" t="s">
        <v>114</v>
      </c>
      <c r="I1094" s="250" t="s">
        <v>465</v>
      </c>
      <c r="J1094" s="250" t="s">
        <v>114</v>
      </c>
      <c r="K1094" s="255" t="s">
        <v>466</v>
      </c>
      <c r="L1094" s="250" t="s">
        <v>467</v>
      </c>
      <c r="M1094" s="255">
        <v>2378</v>
      </c>
      <c r="N1094" s="278">
        <v>44260</v>
      </c>
      <c r="O1094" s="329" t="s">
        <v>67</v>
      </c>
      <c r="P1094" s="386">
        <f t="shared" ref="P1094:Q1094" si="1091">IF(B1094=0,0,IF(YEAR(B1094)=$Q$1,MONTH(B1094)-$P$1+1,(YEAR(B1094)-$Q$1)*12-$P$1+1+MONTH(B1094)))</f>
        <v>3</v>
      </c>
      <c r="Q1094" s="330">
        <f t="shared" si="1091"/>
        <v>3</v>
      </c>
      <c r="R1094" s="351" t="str">
        <f t="shared" si="3"/>
        <v>Gastos_com_Pessoal</v>
      </c>
      <c r="S1094" s="351" t="str">
        <f>IF(D1094="","",IF(OR(D1094=Plano!$A$1,D1094=Plano!$B$1),"entrada","saída"))</f>
        <v>saída</v>
      </c>
      <c r="T1094" s="334" t="s">
        <v>114</v>
      </c>
      <c r="U1094" s="334" t="s">
        <v>114</v>
      </c>
      <c r="V1094" s="269"/>
      <c r="W1094" s="269"/>
    </row>
    <row r="1095" spans="1:23" ht="69.75" customHeight="1" x14ac:dyDescent="0.2">
      <c r="A1095" s="277">
        <f t="shared" si="0"/>
        <v>1091</v>
      </c>
      <c r="B1095" s="278">
        <v>44260</v>
      </c>
      <c r="C1095" s="249">
        <v>44105</v>
      </c>
      <c r="D1095" s="255" t="s">
        <v>99</v>
      </c>
      <c r="E1095" s="255" t="s">
        <v>336</v>
      </c>
      <c r="F1095" s="258">
        <v>30</v>
      </c>
      <c r="G1095" s="250" t="s">
        <v>3816</v>
      </c>
      <c r="H1095" s="255" t="s">
        <v>125</v>
      </c>
      <c r="I1095" s="250" t="s">
        <v>465</v>
      </c>
      <c r="J1095" s="250" t="s">
        <v>114</v>
      </c>
      <c r="K1095" s="255" t="s">
        <v>466</v>
      </c>
      <c r="L1095" s="250" t="s">
        <v>467</v>
      </c>
      <c r="M1095" s="255">
        <v>2419</v>
      </c>
      <c r="N1095" s="278">
        <v>44260</v>
      </c>
      <c r="O1095" s="329" t="s">
        <v>67</v>
      </c>
      <c r="P1095" s="386">
        <f t="shared" ref="P1095:Q1095" si="1092">IF(B1095=0,0,IF(YEAR(B1095)=$Q$1,MONTH(B1095)-$P$1+1,(YEAR(B1095)-$Q$1)*12-$P$1+1+MONTH(B1095)))</f>
        <v>3</v>
      </c>
      <c r="Q1095" s="330">
        <f t="shared" si="1092"/>
        <v>-2</v>
      </c>
      <c r="R1095" s="351" t="str">
        <f t="shared" si="3"/>
        <v>Gastos_Gerais</v>
      </c>
      <c r="S1095" s="351" t="str">
        <f>IF(D1095="","",IF(OR(D1095=Plano!$A$1,D1095=Plano!$B$1),"entrada","saída"))</f>
        <v>saída</v>
      </c>
      <c r="T1095" s="334" t="s">
        <v>114</v>
      </c>
      <c r="U1095" s="334" t="s">
        <v>114</v>
      </c>
      <c r="V1095" s="269"/>
      <c r="W1095" s="269"/>
    </row>
    <row r="1096" spans="1:23" ht="148.5" customHeight="1" x14ac:dyDescent="0.2">
      <c r="A1096" s="277">
        <f t="shared" si="0"/>
        <v>1092</v>
      </c>
      <c r="B1096" s="278">
        <v>44260</v>
      </c>
      <c r="C1096" s="249">
        <v>44228</v>
      </c>
      <c r="D1096" s="255" t="s">
        <v>99</v>
      </c>
      <c r="E1096" s="255" t="s">
        <v>330</v>
      </c>
      <c r="F1096" s="258">
        <v>311.25</v>
      </c>
      <c r="G1096" s="255" t="s">
        <v>692</v>
      </c>
      <c r="H1096" s="255" t="s">
        <v>115</v>
      </c>
      <c r="I1096" s="252" t="s">
        <v>3817</v>
      </c>
      <c r="J1096" s="252" t="s">
        <v>3818</v>
      </c>
      <c r="K1096" s="255" t="s">
        <v>560</v>
      </c>
      <c r="L1096" s="250" t="s">
        <v>1016</v>
      </c>
      <c r="M1096" s="255">
        <v>28724</v>
      </c>
      <c r="N1096" s="278">
        <v>44256</v>
      </c>
      <c r="O1096" s="329" t="s">
        <v>67</v>
      </c>
      <c r="P1096" s="386">
        <f t="shared" ref="P1096:Q1096" si="1093">IF(B1096=0,0,IF(YEAR(B1096)=$Q$1,MONTH(B1096)-$P$1+1,(YEAR(B1096)-$Q$1)*12-$P$1+1+MONTH(B1096)))</f>
        <v>3</v>
      </c>
      <c r="Q1096" s="330">
        <f t="shared" si="1093"/>
        <v>2</v>
      </c>
      <c r="R1096" s="351" t="str">
        <f t="shared" si="3"/>
        <v>Gastos_Gerais</v>
      </c>
      <c r="S1096" s="351" t="str">
        <f>IF(D1096="","",IF(OR(D1096=Plano!$A$1,D1096=Plano!$B$1),"entrada","saída"))</f>
        <v>saída</v>
      </c>
      <c r="T1096" s="334" t="s">
        <v>1059</v>
      </c>
      <c r="U1096" s="334">
        <v>1141</v>
      </c>
      <c r="V1096" s="269"/>
      <c r="W1096" s="269"/>
    </row>
    <row r="1097" spans="1:23" ht="69.75" customHeight="1" x14ac:dyDescent="0.2">
      <c r="A1097" s="277">
        <f t="shared" si="0"/>
        <v>1093</v>
      </c>
      <c r="B1097" s="278">
        <v>44260</v>
      </c>
      <c r="C1097" s="256">
        <v>44228</v>
      </c>
      <c r="D1097" s="255" t="s">
        <v>88</v>
      </c>
      <c r="E1097" s="255" t="s">
        <v>171</v>
      </c>
      <c r="F1097" s="258">
        <v>9013.5</v>
      </c>
      <c r="G1097" s="255" t="s">
        <v>3819</v>
      </c>
      <c r="H1097" s="255" t="s">
        <v>114</v>
      </c>
      <c r="I1097" s="250" t="s">
        <v>1259</v>
      </c>
      <c r="J1097" s="255" t="s">
        <v>114</v>
      </c>
      <c r="K1097" s="255" t="s">
        <v>466</v>
      </c>
      <c r="L1097" s="250" t="s">
        <v>171</v>
      </c>
      <c r="M1097" s="329" t="s">
        <v>114</v>
      </c>
      <c r="N1097" s="278">
        <v>44260</v>
      </c>
      <c r="O1097" s="329" t="s">
        <v>67</v>
      </c>
      <c r="P1097" s="386">
        <f t="shared" ref="P1097:Q1097" si="1094">IF(B1097=0,0,IF(YEAR(B1097)=$Q$1,MONTH(B1097)-$P$1+1,(YEAR(B1097)-$Q$1)*12-$P$1+1+MONTH(B1097)))</f>
        <v>3</v>
      </c>
      <c r="Q1097" s="330">
        <f t="shared" si="1094"/>
        <v>2</v>
      </c>
      <c r="R1097" s="351" t="str">
        <f t="shared" si="3"/>
        <v>Gastos_com_Pessoal</v>
      </c>
      <c r="S1097" s="351" t="str">
        <f>IF(D1097="","",IF(OR(D1097=Plano!$A$1,D1097=Plano!$B$1),"entrada","saída"))</f>
        <v>saída</v>
      </c>
      <c r="T1097" s="334" t="s">
        <v>114</v>
      </c>
      <c r="U1097" s="334" t="s">
        <v>114</v>
      </c>
      <c r="V1097" s="269"/>
      <c r="W1097" s="269"/>
    </row>
    <row r="1098" spans="1:23" ht="231" customHeight="1" x14ac:dyDescent="0.2">
      <c r="A1098" s="277">
        <f t="shared" si="0"/>
        <v>1094</v>
      </c>
      <c r="B1098" s="278">
        <v>44260</v>
      </c>
      <c r="C1098" s="259">
        <v>44228</v>
      </c>
      <c r="D1098" s="255" t="s">
        <v>99</v>
      </c>
      <c r="E1098" s="255" t="s">
        <v>364</v>
      </c>
      <c r="F1098" s="258">
        <v>1800</v>
      </c>
      <c r="G1098" s="255" t="s">
        <v>3820</v>
      </c>
      <c r="H1098" s="255" t="s">
        <v>118</v>
      </c>
      <c r="I1098" s="252" t="s">
        <v>1051</v>
      </c>
      <c r="J1098" s="252" t="s">
        <v>711</v>
      </c>
      <c r="K1098" s="255" t="s">
        <v>991</v>
      </c>
      <c r="L1098" s="250" t="s">
        <v>1016</v>
      </c>
      <c r="M1098" s="255" t="s">
        <v>3821</v>
      </c>
      <c r="N1098" s="278">
        <v>44260</v>
      </c>
      <c r="O1098" s="329" t="s">
        <v>67</v>
      </c>
      <c r="P1098" s="386">
        <f t="shared" ref="P1098:Q1098" si="1095">IF(B1098=0,0,IF(YEAR(B1098)=$Q$1,MONTH(B1098)-$P$1+1,(YEAR(B1098)-$Q$1)*12-$P$1+1+MONTH(B1098)))</f>
        <v>3</v>
      </c>
      <c r="Q1098" s="330">
        <f t="shared" si="1095"/>
        <v>2</v>
      </c>
      <c r="R1098" s="351" t="str">
        <f t="shared" si="3"/>
        <v>Gastos_Gerais</v>
      </c>
      <c r="S1098" s="351" t="str">
        <f>IF(D1098="","",IF(OR(D1098=Plano!$A$1,D1098=Plano!$B$1),"entrada","saída"))</f>
        <v>saída</v>
      </c>
      <c r="T1098" s="334" t="s">
        <v>994</v>
      </c>
      <c r="U1098" s="334">
        <v>1367</v>
      </c>
      <c r="V1098" s="269"/>
      <c r="W1098" s="269"/>
    </row>
    <row r="1099" spans="1:23" ht="213" customHeight="1" x14ac:dyDescent="0.2">
      <c r="A1099" s="277">
        <f t="shared" si="0"/>
        <v>1095</v>
      </c>
      <c r="B1099" s="278">
        <v>44260</v>
      </c>
      <c r="C1099" s="249">
        <v>44256</v>
      </c>
      <c r="D1099" s="255" t="s">
        <v>99</v>
      </c>
      <c r="E1099" s="255" t="s">
        <v>262</v>
      </c>
      <c r="F1099" s="258">
        <v>3920</v>
      </c>
      <c r="G1099" s="255" t="s">
        <v>468</v>
      </c>
      <c r="H1099" s="255" t="s">
        <v>124</v>
      </c>
      <c r="I1099" s="252" t="s">
        <v>1295</v>
      </c>
      <c r="J1099" s="252" t="s">
        <v>470</v>
      </c>
      <c r="K1099" s="255" t="s">
        <v>991</v>
      </c>
      <c r="L1099" s="250" t="s">
        <v>1016</v>
      </c>
      <c r="M1099" s="255" t="s">
        <v>1443</v>
      </c>
      <c r="N1099" s="278">
        <v>44259</v>
      </c>
      <c r="O1099" s="329" t="s">
        <v>67</v>
      </c>
      <c r="P1099" s="386">
        <f t="shared" ref="P1099:Q1099" si="1096">IF(B1099=0,0,IF(YEAR(B1099)=$Q$1,MONTH(B1099)-$P$1+1,(YEAR(B1099)-$Q$1)*12-$P$1+1+MONTH(B1099)))</f>
        <v>3</v>
      </c>
      <c r="Q1099" s="330">
        <f t="shared" si="1096"/>
        <v>3</v>
      </c>
      <c r="R1099" s="351" t="str">
        <f t="shared" si="3"/>
        <v>Gastos_Gerais</v>
      </c>
      <c r="S1099" s="351" t="str">
        <f>IF(D1099="","",IF(OR(D1099=Plano!$A$1,D1099=Plano!$B$1),"entrada","saída"))</f>
        <v>saída</v>
      </c>
      <c r="T1099" s="334" t="s">
        <v>1059</v>
      </c>
      <c r="U1099" s="334">
        <v>1269</v>
      </c>
      <c r="V1099" s="269"/>
      <c r="W1099" s="269"/>
    </row>
    <row r="1100" spans="1:23" ht="156.75" customHeight="1" x14ac:dyDescent="0.2">
      <c r="A1100" s="277">
        <f t="shared" si="0"/>
        <v>1096</v>
      </c>
      <c r="B1100" s="278">
        <v>44260</v>
      </c>
      <c r="C1100" s="249">
        <v>44256</v>
      </c>
      <c r="D1100" s="255" t="s">
        <v>99</v>
      </c>
      <c r="E1100" s="255" t="s">
        <v>376</v>
      </c>
      <c r="F1100" s="258">
        <v>2000</v>
      </c>
      <c r="G1100" s="255" t="s">
        <v>477</v>
      </c>
      <c r="H1100" s="255" t="s">
        <v>124</v>
      </c>
      <c r="I1100" s="252" t="s">
        <v>1293</v>
      </c>
      <c r="J1100" s="252" t="s">
        <v>479</v>
      </c>
      <c r="K1100" s="255" t="s">
        <v>991</v>
      </c>
      <c r="L1100" s="250" t="s">
        <v>1016</v>
      </c>
      <c r="M1100" s="255" t="s">
        <v>3747</v>
      </c>
      <c r="N1100" s="278">
        <v>44259</v>
      </c>
      <c r="O1100" s="329" t="s">
        <v>67</v>
      </c>
      <c r="P1100" s="386">
        <f t="shared" ref="P1100:Q1100" si="1097">IF(B1100=0,0,IF(YEAR(B1100)=$Q$1,MONTH(B1100)-$P$1+1,(YEAR(B1100)-$Q$1)*12-$P$1+1+MONTH(B1100)))</f>
        <v>3</v>
      </c>
      <c r="Q1100" s="330">
        <f t="shared" si="1097"/>
        <v>3</v>
      </c>
      <c r="R1100" s="351" t="str">
        <f t="shared" si="3"/>
        <v>Gastos_Gerais</v>
      </c>
      <c r="S1100" s="351" t="str">
        <f>IF(D1100="","",IF(OR(D1100=Plano!$A$1,D1100=Plano!$B$1),"entrada","saída"))</f>
        <v>saída</v>
      </c>
      <c r="T1100" s="334" t="s">
        <v>1059</v>
      </c>
      <c r="U1100" s="334">
        <v>1268</v>
      </c>
      <c r="V1100" s="269"/>
      <c r="W1100" s="269"/>
    </row>
    <row r="1101" spans="1:23" ht="180.75" customHeight="1" x14ac:dyDescent="0.2">
      <c r="A1101" s="277">
        <f t="shared" si="0"/>
        <v>1097</v>
      </c>
      <c r="B1101" s="278">
        <v>44260</v>
      </c>
      <c r="C1101" s="249">
        <v>44256</v>
      </c>
      <c r="D1101" s="255" t="s">
        <v>99</v>
      </c>
      <c r="E1101" s="255" t="s">
        <v>372</v>
      </c>
      <c r="F1101" s="258">
        <v>2500</v>
      </c>
      <c r="G1101" s="255" t="s">
        <v>471</v>
      </c>
      <c r="H1101" s="255" t="s">
        <v>129</v>
      </c>
      <c r="I1101" s="252" t="s">
        <v>1285</v>
      </c>
      <c r="J1101" s="252" t="s">
        <v>473</v>
      </c>
      <c r="K1101" s="255" t="s">
        <v>991</v>
      </c>
      <c r="L1101" s="250" t="s">
        <v>1016</v>
      </c>
      <c r="M1101" s="255">
        <v>117</v>
      </c>
      <c r="N1101" s="278">
        <v>44259</v>
      </c>
      <c r="O1101" s="329" t="s">
        <v>67</v>
      </c>
      <c r="P1101" s="386">
        <f t="shared" ref="P1101:Q1101" si="1098">IF(B1101=0,0,IF(YEAR(B1101)=$Q$1,MONTH(B1101)-$P$1+1,(YEAR(B1101)-$Q$1)*12-$P$1+1+MONTH(B1101)))</f>
        <v>3</v>
      </c>
      <c r="Q1101" s="330">
        <f t="shared" si="1098"/>
        <v>3</v>
      </c>
      <c r="R1101" s="351" t="str">
        <f t="shared" si="3"/>
        <v>Gastos_Gerais</v>
      </c>
      <c r="S1101" s="351" t="str">
        <f>IF(D1101="","",IF(OR(D1101=Plano!$A$1,D1101=Plano!$B$1),"entrada","saída"))</f>
        <v>saída</v>
      </c>
      <c r="T1101" s="334" t="s">
        <v>1059</v>
      </c>
      <c r="U1101" s="334">
        <v>1275</v>
      </c>
      <c r="V1101" s="269"/>
      <c r="W1101" s="269"/>
    </row>
    <row r="1102" spans="1:23" ht="233.25" customHeight="1" x14ac:dyDescent="0.2">
      <c r="A1102" s="277">
        <f t="shared" si="0"/>
        <v>1098</v>
      </c>
      <c r="B1102" s="278">
        <v>44260</v>
      </c>
      <c r="C1102" s="249">
        <v>44228</v>
      </c>
      <c r="D1102" s="255" t="s">
        <v>99</v>
      </c>
      <c r="E1102" s="255" t="s">
        <v>370</v>
      </c>
      <c r="F1102" s="258">
        <v>4462.92</v>
      </c>
      <c r="G1102" s="255" t="s">
        <v>3822</v>
      </c>
      <c r="H1102" s="255" t="s">
        <v>116</v>
      </c>
      <c r="I1102" s="252" t="s">
        <v>1140</v>
      </c>
      <c r="J1102" s="252" t="s">
        <v>929</v>
      </c>
      <c r="K1102" s="255" t="s">
        <v>991</v>
      </c>
      <c r="L1102" s="250" t="s">
        <v>1016</v>
      </c>
      <c r="M1102" s="255">
        <v>173</v>
      </c>
      <c r="N1102" s="278">
        <v>44259</v>
      </c>
      <c r="O1102" s="329" t="s">
        <v>67</v>
      </c>
      <c r="P1102" s="386">
        <f t="shared" ref="P1102:Q1102" si="1099">IF(B1102=0,0,IF(YEAR(B1102)=$Q$1,MONTH(B1102)-$P$1+1,(YEAR(B1102)-$Q$1)*12-$P$1+1+MONTH(B1102)))</f>
        <v>3</v>
      </c>
      <c r="Q1102" s="330">
        <f t="shared" si="1099"/>
        <v>2</v>
      </c>
      <c r="R1102" s="351" t="str">
        <f t="shared" si="3"/>
        <v>Gastos_Gerais</v>
      </c>
      <c r="S1102" s="351" t="str">
        <f>IF(D1102="","",IF(OR(D1102=Plano!$A$1,D1102=Plano!$B$1),"entrada","saída"))</f>
        <v>saída</v>
      </c>
      <c r="T1102" s="334" t="s">
        <v>1059</v>
      </c>
      <c r="U1102" s="334">
        <v>1361</v>
      </c>
      <c r="V1102" s="269"/>
      <c r="W1102" s="269"/>
    </row>
    <row r="1103" spans="1:23" ht="233.25" customHeight="1" x14ac:dyDescent="0.2">
      <c r="A1103" s="277">
        <f t="shared" si="0"/>
        <v>1099</v>
      </c>
      <c r="B1103" s="278">
        <v>44260</v>
      </c>
      <c r="C1103" s="249">
        <v>44228</v>
      </c>
      <c r="D1103" s="255" t="s">
        <v>99</v>
      </c>
      <c r="E1103" s="255" t="s">
        <v>370</v>
      </c>
      <c r="F1103" s="258">
        <v>7342.5</v>
      </c>
      <c r="G1103" s="255" t="s">
        <v>1529</v>
      </c>
      <c r="H1103" s="255" t="s">
        <v>125</v>
      </c>
      <c r="I1103" s="252" t="s">
        <v>1530</v>
      </c>
      <c r="J1103" s="252" t="s">
        <v>1531</v>
      </c>
      <c r="K1103" s="255" t="s">
        <v>991</v>
      </c>
      <c r="L1103" s="250" t="s">
        <v>1016</v>
      </c>
      <c r="M1103" s="255" t="s">
        <v>3721</v>
      </c>
      <c r="N1103" s="278">
        <v>44259</v>
      </c>
      <c r="O1103" s="329" t="s">
        <v>67</v>
      </c>
      <c r="P1103" s="386">
        <f t="shared" ref="P1103:Q1103" si="1100">IF(B1103=0,0,IF(YEAR(B1103)=$Q$1,MONTH(B1103)-$P$1+1,(YEAR(B1103)-$Q$1)*12-$P$1+1+MONTH(B1103)))</f>
        <v>3</v>
      </c>
      <c r="Q1103" s="330">
        <f t="shared" si="1100"/>
        <v>2</v>
      </c>
      <c r="R1103" s="351" t="str">
        <f t="shared" si="3"/>
        <v>Gastos_Gerais</v>
      </c>
      <c r="S1103" s="351" t="str">
        <f>IF(D1103="","",IF(OR(D1103=Plano!$A$1,D1103=Plano!$B$1),"entrada","saída"))</f>
        <v>saída</v>
      </c>
      <c r="T1103" s="334" t="s">
        <v>1059</v>
      </c>
      <c r="U1103" s="334">
        <v>1261</v>
      </c>
      <c r="V1103" s="269"/>
      <c r="W1103" s="269"/>
    </row>
    <row r="1104" spans="1:23" ht="163.5" customHeight="1" x14ac:dyDescent="0.2">
      <c r="A1104" s="277">
        <f t="shared" si="0"/>
        <v>1100</v>
      </c>
      <c r="B1104" s="278">
        <v>44260</v>
      </c>
      <c r="C1104" s="249">
        <v>44228</v>
      </c>
      <c r="D1104" s="255" t="s">
        <v>99</v>
      </c>
      <c r="E1104" s="255" t="s">
        <v>230</v>
      </c>
      <c r="F1104" s="258">
        <v>5759.72</v>
      </c>
      <c r="G1104" s="255" t="s">
        <v>484</v>
      </c>
      <c r="H1104" s="255" t="s">
        <v>115</v>
      </c>
      <c r="I1104" s="250" t="s">
        <v>485</v>
      </c>
      <c r="J1104" s="252" t="s">
        <v>1255</v>
      </c>
      <c r="K1104" s="255" t="s">
        <v>1015</v>
      </c>
      <c r="L1104" s="250" t="s">
        <v>3666</v>
      </c>
      <c r="M1104" s="255" t="s">
        <v>114</v>
      </c>
      <c r="N1104" s="278">
        <v>44259</v>
      </c>
      <c r="O1104" s="329" t="s">
        <v>67</v>
      </c>
      <c r="P1104" s="386">
        <f t="shared" ref="P1104:Q1104" si="1101">IF(B1104=0,0,IF(YEAR(B1104)=$Q$1,MONTH(B1104)-$P$1+1,(YEAR(B1104)-$Q$1)*12-$P$1+1+MONTH(B1104)))</f>
        <v>3</v>
      </c>
      <c r="Q1104" s="330">
        <f t="shared" si="1101"/>
        <v>2</v>
      </c>
      <c r="R1104" s="351" t="str">
        <f t="shared" si="3"/>
        <v>Gastos_Gerais</v>
      </c>
      <c r="S1104" s="351" t="str">
        <f>IF(D1104="","",IF(OR(D1104=Plano!$A$1,D1104=Plano!$B$1),"entrada","saída"))</f>
        <v>saída</v>
      </c>
      <c r="T1104" s="334" t="s">
        <v>1059</v>
      </c>
      <c r="U1104" s="334">
        <v>1115</v>
      </c>
      <c r="V1104" s="269"/>
      <c r="W1104" s="269"/>
    </row>
    <row r="1105" spans="1:23" ht="69.75" customHeight="1" x14ac:dyDescent="0.2">
      <c r="A1105" s="277">
        <f t="shared" si="0"/>
        <v>1101</v>
      </c>
      <c r="B1105" s="278">
        <v>44260</v>
      </c>
      <c r="C1105" s="249">
        <v>44256</v>
      </c>
      <c r="D1105" s="255" t="s">
        <v>99</v>
      </c>
      <c r="E1105" s="255" t="s">
        <v>272</v>
      </c>
      <c r="F1105" s="258">
        <v>10.45</v>
      </c>
      <c r="G1105" s="255" t="s">
        <v>3823</v>
      </c>
      <c r="H1105" s="255" t="s">
        <v>115</v>
      </c>
      <c r="I1105" s="250" t="s">
        <v>949</v>
      </c>
      <c r="J1105" s="255" t="s">
        <v>950</v>
      </c>
      <c r="K1105" s="255" t="s">
        <v>951</v>
      </c>
      <c r="L1105" s="250" t="s">
        <v>947</v>
      </c>
      <c r="M1105" s="279" t="s">
        <v>114</v>
      </c>
      <c r="N1105" s="278">
        <v>44260</v>
      </c>
      <c r="O1105" s="329" t="s">
        <v>67</v>
      </c>
      <c r="P1105" s="386">
        <f t="shared" ref="P1105:Q1105" si="1102">IF(B1105=0,0,IF(YEAR(B1105)=$Q$1,MONTH(B1105)-$P$1+1,(YEAR(B1105)-$Q$1)*12-$P$1+1+MONTH(B1105)))</f>
        <v>3</v>
      </c>
      <c r="Q1105" s="330">
        <f t="shared" si="1102"/>
        <v>3</v>
      </c>
      <c r="R1105" s="351" t="str">
        <f t="shared" si="3"/>
        <v>Gastos_Gerais</v>
      </c>
      <c r="S1105" s="351" t="str">
        <f>IF(D1105="","",IF(OR(D1105=Plano!$A$1,D1105=Plano!$B$1),"entrada","saída"))</f>
        <v>saída</v>
      </c>
      <c r="T1105" s="334" t="s">
        <v>114</v>
      </c>
      <c r="U1105" s="334" t="s">
        <v>114</v>
      </c>
      <c r="V1105" s="269"/>
      <c r="W1105" s="269"/>
    </row>
    <row r="1106" spans="1:23" ht="69.75" customHeight="1" x14ac:dyDescent="0.2">
      <c r="A1106" s="277">
        <f t="shared" si="0"/>
        <v>1102</v>
      </c>
      <c r="B1106" s="278">
        <v>44260</v>
      </c>
      <c r="C1106" s="249">
        <v>44256</v>
      </c>
      <c r="D1106" s="255" t="s">
        <v>99</v>
      </c>
      <c r="E1106" s="255" t="s">
        <v>272</v>
      </c>
      <c r="F1106" s="258">
        <v>10.45</v>
      </c>
      <c r="G1106" s="255" t="s">
        <v>3824</v>
      </c>
      <c r="H1106" s="255" t="s">
        <v>114</v>
      </c>
      <c r="I1106" s="250" t="s">
        <v>949</v>
      </c>
      <c r="J1106" s="255" t="s">
        <v>950</v>
      </c>
      <c r="K1106" s="255" t="s">
        <v>951</v>
      </c>
      <c r="L1106" s="250" t="s">
        <v>947</v>
      </c>
      <c r="M1106" s="279" t="s">
        <v>114</v>
      </c>
      <c r="N1106" s="278">
        <v>44260</v>
      </c>
      <c r="O1106" s="329" t="s">
        <v>67</v>
      </c>
      <c r="P1106" s="386">
        <f t="shared" ref="P1106:Q1106" si="1103">IF(B1106=0,0,IF(YEAR(B1106)=$Q$1,MONTH(B1106)-$P$1+1,(YEAR(B1106)-$Q$1)*12-$P$1+1+MONTH(B1106)))</f>
        <v>3</v>
      </c>
      <c r="Q1106" s="330">
        <f t="shared" si="1103"/>
        <v>3</v>
      </c>
      <c r="R1106" s="351" t="str">
        <f t="shared" si="3"/>
        <v>Gastos_Gerais</v>
      </c>
      <c r="S1106" s="351" t="str">
        <f>IF(D1106="","",IF(OR(D1106=Plano!$A$1,D1106=Plano!$B$1),"entrada","saída"))</f>
        <v>saída</v>
      </c>
      <c r="T1106" s="334" t="s">
        <v>114</v>
      </c>
      <c r="U1106" s="334" t="s">
        <v>114</v>
      </c>
      <c r="V1106" s="269"/>
      <c r="W1106" s="269"/>
    </row>
    <row r="1107" spans="1:23" ht="69.75" customHeight="1" x14ac:dyDescent="0.2">
      <c r="A1107" s="277">
        <f t="shared" si="0"/>
        <v>1103</v>
      </c>
      <c r="B1107" s="278">
        <v>44260</v>
      </c>
      <c r="C1107" s="249">
        <v>44256</v>
      </c>
      <c r="D1107" s="255" t="s">
        <v>99</v>
      </c>
      <c r="E1107" s="255" t="s">
        <v>272</v>
      </c>
      <c r="F1107" s="258">
        <v>10.45</v>
      </c>
      <c r="G1107" s="255" t="s">
        <v>3825</v>
      </c>
      <c r="H1107" s="255" t="s">
        <v>115</v>
      </c>
      <c r="I1107" s="250" t="s">
        <v>949</v>
      </c>
      <c r="J1107" s="255" t="s">
        <v>950</v>
      </c>
      <c r="K1107" s="255" t="s">
        <v>951</v>
      </c>
      <c r="L1107" s="250" t="s">
        <v>947</v>
      </c>
      <c r="M1107" s="279" t="s">
        <v>114</v>
      </c>
      <c r="N1107" s="278">
        <v>44260</v>
      </c>
      <c r="O1107" s="329" t="s">
        <v>67</v>
      </c>
      <c r="P1107" s="386">
        <f t="shared" ref="P1107:Q1107" si="1104">IF(B1107=0,0,IF(YEAR(B1107)=$Q$1,MONTH(B1107)-$P$1+1,(YEAR(B1107)-$Q$1)*12-$P$1+1+MONTH(B1107)))</f>
        <v>3</v>
      </c>
      <c r="Q1107" s="330">
        <f t="shared" si="1104"/>
        <v>3</v>
      </c>
      <c r="R1107" s="351" t="str">
        <f t="shared" si="3"/>
        <v>Gastos_Gerais</v>
      </c>
      <c r="S1107" s="351" t="str">
        <f>IF(D1107="","",IF(OR(D1107=Plano!$A$1,D1107=Plano!$B$1),"entrada","saída"))</f>
        <v>saída</v>
      </c>
      <c r="T1107" s="334" t="s">
        <v>114</v>
      </c>
      <c r="U1107" s="334" t="s">
        <v>114</v>
      </c>
      <c r="V1107" s="269"/>
      <c r="W1107" s="269"/>
    </row>
    <row r="1108" spans="1:23" ht="69.75" customHeight="1" x14ac:dyDescent="0.2">
      <c r="A1108" s="277">
        <f t="shared" si="0"/>
        <v>1104</v>
      </c>
      <c r="B1108" s="278">
        <v>44260</v>
      </c>
      <c r="C1108" s="249">
        <v>44256</v>
      </c>
      <c r="D1108" s="255" t="s">
        <v>99</v>
      </c>
      <c r="E1108" s="255" t="s">
        <v>272</v>
      </c>
      <c r="F1108" s="258">
        <v>10.45</v>
      </c>
      <c r="G1108" s="255" t="s">
        <v>1237</v>
      </c>
      <c r="H1108" s="255" t="s">
        <v>114</v>
      </c>
      <c r="I1108" s="250" t="s">
        <v>949</v>
      </c>
      <c r="J1108" s="255" t="s">
        <v>950</v>
      </c>
      <c r="K1108" s="255" t="s">
        <v>951</v>
      </c>
      <c r="L1108" s="250" t="s">
        <v>947</v>
      </c>
      <c r="M1108" s="279" t="s">
        <v>114</v>
      </c>
      <c r="N1108" s="278">
        <v>44260</v>
      </c>
      <c r="O1108" s="329" t="s">
        <v>67</v>
      </c>
      <c r="P1108" s="386">
        <f t="shared" ref="P1108:Q1108" si="1105">IF(B1108=0,0,IF(YEAR(B1108)=$Q$1,MONTH(B1108)-$P$1+1,(YEAR(B1108)-$Q$1)*12-$P$1+1+MONTH(B1108)))</f>
        <v>3</v>
      </c>
      <c r="Q1108" s="330">
        <f t="shared" si="1105"/>
        <v>3</v>
      </c>
      <c r="R1108" s="351" t="str">
        <f t="shared" si="3"/>
        <v>Gastos_Gerais</v>
      </c>
      <c r="S1108" s="351" t="str">
        <f>IF(D1108="","",IF(OR(D1108=Plano!$A$1,D1108=Plano!$B$1),"entrada","saída"))</f>
        <v>saída</v>
      </c>
      <c r="T1108" s="334" t="s">
        <v>114</v>
      </c>
      <c r="U1108" s="334" t="s">
        <v>114</v>
      </c>
      <c r="V1108" s="269"/>
      <c r="W1108" s="269"/>
    </row>
    <row r="1109" spans="1:23" ht="69.75" customHeight="1" x14ac:dyDescent="0.2">
      <c r="A1109" s="277">
        <f t="shared" si="0"/>
        <v>1105</v>
      </c>
      <c r="B1109" s="278">
        <v>44260</v>
      </c>
      <c r="C1109" s="249">
        <v>44256</v>
      </c>
      <c r="D1109" s="255" t="s">
        <v>99</v>
      </c>
      <c r="E1109" s="255" t="s">
        <v>272</v>
      </c>
      <c r="F1109" s="258">
        <v>10.45</v>
      </c>
      <c r="G1109" s="255" t="s">
        <v>3826</v>
      </c>
      <c r="H1109" s="255" t="s">
        <v>114</v>
      </c>
      <c r="I1109" s="250" t="s">
        <v>949</v>
      </c>
      <c r="J1109" s="255" t="s">
        <v>950</v>
      </c>
      <c r="K1109" s="255" t="s">
        <v>951</v>
      </c>
      <c r="L1109" s="250" t="s">
        <v>947</v>
      </c>
      <c r="M1109" s="279" t="s">
        <v>114</v>
      </c>
      <c r="N1109" s="278">
        <v>44260</v>
      </c>
      <c r="O1109" s="329" t="s">
        <v>67</v>
      </c>
      <c r="P1109" s="386">
        <f t="shared" ref="P1109:Q1109" si="1106">IF(B1109=0,0,IF(YEAR(B1109)=$Q$1,MONTH(B1109)-$P$1+1,(YEAR(B1109)-$Q$1)*12-$P$1+1+MONTH(B1109)))</f>
        <v>3</v>
      </c>
      <c r="Q1109" s="330">
        <f t="shared" si="1106"/>
        <v>3</v>
      </c>
      <c r="R1109" s="351" t="str">
        <f t="shared" si="3"/>
        <v>Gastos_Gerais</v>
      </c>
      <c r="S1109" s="351" t="str">
        <f>IF(D1109="","",IF(OR(D1109=Plano!$A$1,D1109=Plano!$B$1),"entrada","saída"))</f>
        <v>saída</v>
      </c>
      <c r="T1109" s="334" t="s">
        <v>114</v>
      </c>
      <c r="U1109" s="334" t="s">
        <v>114</v>
      </c>
      <c r="V1109" s="269"/>
      <c r="W1109" s="269"/>
    </row>
    <row r="1110" spans="1:23" ht="69.75" customHeight="1" x14ac:dyDescent="0.2">
      <c r="A1110" s="277">
        <f t="shared" si="0"/>
        <v>1106</v>
      </c>
      <c r="B1110" s="278">
        <v>44260</v>
      </c>
      <c r="C1110" s="249">
        <v>44256</v>
      </c>
      <c r="D1110" s="255" t="s">
        <v>99</v>
      </c>
      <c r="E1110" s="255" t="s">
        <v>272</v>
      </c>
      <c r="F1110" s="258">
        <v>10.45</v>
      </c>
      <c r="G1110" s="255" t="s">
        <v>3827</v>
      </c>
      <c r="H1110" s="255" t="s">
        <v>114</v>
      </c>
      <c r="I1110" s="250" t="s">
        <v>949</v>
      </c>
      <c r="J1110" s="255" t="s">
        <v>950</v>
      </c>
      <c r="K1110" s="255" t="s">
        <v>951</v>
      </c>
      <c r="L1110" s="250" t="s">
        <v>947</v>
      </c>
      <c r="M1110" s="279" t="s">
        <v>114</v>
      </c>
      <c r="N1110" s="278">
        <v>44260</v>
      </c>
      <c r="O1110" s="329" t="s">
        <v>67</v>
      </c>
      <c r="P1110" s="386">
        <f t="shared" ref="P1110:Q1110" si="1107">IF(B1110=0,0,IF(YEAR(B1110)=$Q$1,MONTH(B1110)-$P$1+1,(YEAR(B1110)-$Q$1)*12-$P$1+1+MONTH(B1110)))</f>
        <v>3</v>
      </c>
      <c r="Q1110" s="330">
        <f t="shared" si="1107"/>
        <v>3</v>
      </c>
      <c r="R1110" s="351" t="str">
        <f t="shared" si="3"/>
        <v>Gastos_Gerais</v>
      </c>
      <c r="S1110" s="351" t="str">
        <f>IF(D1110="","",IF(OR(D1110=Plano!$A$1,D1110=Plano!$B$1),"entrada","saída"))</f>
        <v>saída</v>
      </c>
      <c r="T1110" s="334" t="s">
        <v>114</v>
      </c>
      <c r="U1110" s="334" t="s">
        <v>114</v>
      </c>
      <c r="V1110" s="269"/>
      <c r="W1110" s="269"/>
    </row>
    <row r="1111" spans="1:23" ht="69.75" customHeight="1" x14ac:dyDescent="0.2">
      <c r="A1111" s="277">
        <f t="shared" si="0"/>
        <v>1107</v>
      </c>
      <c r="B1111" s="278">
        <v>44260</v>
      </c>
      <c r="C1111" s="249">
        <v>44256</v>
      </c>
      <c r="D1111" s="255" t="s">
        <v>99</v>
      </c>
      <c r="E1111" s="255" t="s">
        <v>272</v>
      </c>
      <c r="F1111" s="258">
        <v>10.45</v>
      </c>
      <c r="G1111" s="255" t="s">
        <v>2278</v>
      </c>
      <c r="H1111" s="255" t="s">
        <v>114</v>
      </c>
      <c r="I1111" s="250" t="s">
        <v>949</v>
      </c>
      <c r="J1111" s="255" t="s">
        <v>950</v>
      </c>
      <c r="K1111" s="255" t="s">
        <v>951</v>
      </c>
      <c r="L1111" s="250" t="s">
        <v>947</v>
      </c>
      <c r="M1111" s="279" t="s">
        <v>114</v>
      </c>
      <c r="N1111" s="278">
        <v>44260</v>
      </c>
      <c r="O1111" s="329" t="s">
        <v>67</v>
      </c>
      <c r="P1111" s="386">
        <f t="shared" ref="P1111:Q1111" si="1108">IF(B1111=0,0,IF(YEAR(B1111)=$Q$1,MONTH(B1111)-$P$1+1,(YEAR(B1111)-$Q$1)*12-$P$1+1+MONTH(B1111)))</f>
        <v>3</v>
      </c>
      <c r="Q1111" s="330">
        <f t="shared" si="1108"/>
        <v>3</v>
      </c>
      <c r="R1111" s="351" t="str">
        <f t="shared" si="3"/>
        <v>Gastos_Gerais</v>
      </c>
      <c r="S1111" s="351" t="str">
        <f>IF(D1111="","",IF(OR(D1111=Plano!$A$1,D1111=Plano!$B$1),"entrada","saída"))</f>
        <v>saída</v>
      </c>
      <c r="T1111" s="334" t="s">
        <v>114</v>
      </c>
      <c r="U1111" s="334" t="s">
        <v>114</v>
      </c>
      <c r="V1111" s="269"/>
      <c r="W1111" s="269"/>
    </row>
    <row r="1112" spans="1:23" ht="69.75" customHeight="1" x14ac:dyDescent="0.2">
      <c r="A1112" s="277">
        <f t="shared" si="0"/>
        <v>1108</v>
      </c>
      <c r="B1112" s="278">
        <v>44260</v>
      </c>
      <c r="C1112" s="249">
        <v>44256</v>
      </c>
      <c r="D1112" s="255" t="s">
        <v>99</v>
      </c>
      <c r="E1112" s="255" t="s">
        <v>272</v>
      </c>
      <c r="F1112" s="258">
        <v>10.45</v>
      </c>
      <c r="G1112" s="255" t="s">
        <v>3828</v>
      </c>
      <c r="H1112" s="255" t="s">
        <v>114</v>
      </c>
      <c r="I1112" s="250" t="s">
        <v>949</v>
      </c>
      <c r="J1112" s="255" t="s">
        <v>950</v>
      </c>
      <c r="K1112" s="255" t="s">
        <v>951</v>
      </c>
      <c r="L1112" s="250" t="s">
        <v>947</v>
      </c>
      <c r="M1112" s="279" t="s">
        <v>114</v>
      </c>
      <c r="N1112" s="278">
        <v>44260</v>
      </c>
      <c r="O1112" s="329" t="s">
        <v>67</v>
      </c>
      <c r="P1112" s="386">
        <f t="shared" ref="P1112:Q1112" si="1109">IF(B1112=0,0,IF(YEAR(B1112)=$Q$1,MONTH(B1112)-$P$1+1,(YEAR(B1112)-$Q$1)*12-$P$1+1+MONTH(B1112)))</f>
        <v>3</v>
      </c>
      <c r="Q1112" s="330">
        <f t="shared" si="1109"/>
        <v>3</v>
      </c>
      <c r="R1112" s="351" t="str">
        <f t="shared" si="3"/>
        <v>Gastos_Gerais</v>
      </c>
      <c r="S1112" s="351" t="str">
        <f>IF(D1112="","",IF(OR(D1112=Plano!$A$1,D1112=Plano!$B$1),"entrada","saída"))</f>
        <v>saída</v>
      </c>
      <c r="T1112" s="334" t="s">
        <v>114</v>
      </c>
      <c r="U1112" s="334" t="s">
        <v>114</v>
      </c>
      <c r="V1112" s="269"/>
      <c r="W1112" s="269"/>
    </row>
    <row r="1113" spans="1:23" ht="69.75" customHeight="1" x14ac:dyDescent="0.2">
      <c r="A1113" s="277">
        <f t="shared" si="0"/>
        <v>1109</v>
      </c>
      <c r="B1113" s="278">
        <v>44260</v>
      </c>
      <c r="C1113" s="249">
        <v>44256</v>
      </c>
      <c r="D1113" s="255" t="s">
        <v>99</v>
      </c>
      <c r="E1113" s="255" t="s">
        <v>272</v>
      </c>
      <c r="F1113" s="258">
        <v>10.45</v>
      </c>
      <c r="G1113" s="255" t="s">
        <v>1242</v>
      </c>
      <c r="H1113" s="255" t="s">
        <v>114</v>
      </c>
      <c r="I1113" s="250" t="s">
        <v>949</v>
      </c>
      <c r="J1113" s="255" t="s">
        <v>950</v>
      </c>
      <c r="K1113" s="255" t="s">
        <v>951</v>
      </c>
      <c r="L1113" s="250" t="s">
        <v>947</v>
      </c>
      <c r="M1113" s="279" t="s">
        <v>114</v>
      </c>
      <c r="N1113" s="278">
        <v>44260</v>
      </c>
      <c r="O1113" s="329" t="s">
        <v>67</v>
      </c>
      <c r="P1113" s="386">
        <f t="shared" ref="P1113:Q1113" si="1110">IF(B1113=0,0,IF(YEAR(B1113)=$Q$1,MONTH(B1113)-$P$1+1,(YEAR(B1113)-$Q$1)*12-$P$1+1+MONTH(B1113)))</f>
        <v>3</v>
      </c>
      <c r="Q1113" s="330">
        <f t="shared" si="1110"/>
        <v>3</v>
      </c>
      <c r="R1113" s="351" t="str">
        <f t="shared" si="3"/>
        <v>Gastos_Gerais</v>
      </c>
      <c r="S1113" s="351" t="str">
        <f>IF(D1113="","",IF(OR(D1113=Plano!$A$1,D1113=Plano!$B$1),"entrada","saída"))</f>
        <v>saída</v>
      </c>
      <c r="T1113" s="334" t="s">
        <v>114</v>
      </c>
      <c r="U1113" s="334" t="s">
        <v>114</v>
      </c>
      <c r="V1113" s="269"/>
      <c r="W1113" s="269"/>
    </row>
    <row r="1114" spans="1:23" ht="69.75" customHeight="1" x14ac:dyDescent="0.2">
      <c r="A1114" s="277">
        <f t="shared" si="0"/>
        <v>1110</v>
      </c>
      <c r="B1114" s="278">
        <v>44260</v>
      </c>
      <c r="C1114" s="249">
        <v>44256</v>
      </c>
      <c r="D1114" s="255" t="s">
        <v>99</v>
      </c>
      <c r="E1114" s="255" t="s">
        <v>272</v>
      </c>
      <c r="F1114" s="258">
        <v>10.45</v>
      </c>
      <c r="G1114" s="255" t="s">
        <v>1814</v>
      </c>
      <c r="H1114" s="255" t="s">
        <v>114</v>
      </c>
      <c r="I1114" s="250" t="s">
        <v>949</v>
      </c>
      <c r="J1114" s="255" t="s">
        <v>950</v>
      </c>
      <c r="K1114" s="255" t="s">
        <v>951</v>
      </c>
      <c r="L1114" s="250" t="s">
        <v>947</v>
      </c>
      <c r="M1114" s="279" t="s">
        <v>114</v>
      </c>
      <c r="N1114" s="278">
        <v>44260</v>
      </c>
      <c r="O1114" s="329" t="s">
        <v>67</v>
      </c>
      <c r="P1114" s="386">
        <f t="shared" ref="P1114:Q1114" si="1111">IF(B1114=0,0,IF(YEAR(B1114)=$Q$1,MONTH(B1114)-$P$1+1,(YEAR(B1114)-$Q$1)*12-$P$1+1+MONTH(B1114)))</f>
        <v>3</v>
      </c>
      <c r="Q1114" s="330">
        <f t="shared" si="1111"/>
        <v>3</v>
      </c>
      <c r="R1114" s="351" t="str">
        <f t="shared" si="3"/>
        <v>Gastos_Gerais</v>
      </c>
      <c r="S1114" s="351" t="str">
        <f>IF(D1114="","",IF(OR(D1114=Plano!$A$1,D1114=Plano!$B$1),"entrada","saída"))</f>
        <v>saída</v>
      </c>
      <c r="T1114" s="334" t="s">
        <v>114</v>
      </c>
      <c r="U1114" s="334" t="s">
        <v>114</v>
      </c>
      <c r="V1114" s="269"/>
      <c r="W1114" s="269"/>
    </row>
    <row r="1115" spans="1:23" ht="69.75" customHeight="1" x14ac:dyDescent="0.2">
      <c r="A1115" s="277">
        <f t="shared" si="0"/>
        <v>1111</v>
      </c>
      <c r="B1115" s="278">
        <v>44260</v>
      </c>
      <c r="C1115" s="249">
        <v>44256</v>
      </c>
      <c r="D1115" s="255" t="s">
        <v>99</v>
      </c>
      <c r="E1115" s="255" t="s">
        <v>272</v>
      </c>
      <c r="F1115" s="258">
        <v>10.45</v>
      </c>
      <c r="G1115" s="255" t="s">
        <v>3829</v>
      </c>
      <c r="H1115" s="255" t="s">
        <v>114</v>
      </c>
      <c r="I1115" s="250" t="s">
        <v>949</v>
      </c>
      <c r="J1115" s="255" t="s">
        <v>950</v>
      </c>
      <c r="K1115" s="255" t="s">
        <v>951</v>
      </c>
      <c r="L1115" s="250" t="s">
        <v>947</v>
      </c>
      <c r="M1115" s="279" t="s">
        <v>114</v>
      </c>
      <c r="N1115" s="278">
        <v>44260</v>
      </c>
      <c r="O1115" s="329" t="s">
        <v>67</v>
      </c>
      <c r="P1115" s="386">
        <f t="shared" ref="P1115:Q1115" si="1112">IF(B1115=0,0,IF(YEAR(B1115)=$Q$1,MONTH(B1115)-$P$1+1,(YEAR(B1115)-$Q$1)*12-$P$1+1+MONTH(B1115)))</f>
        <v>3</v>
      </c>
      <c r="Q1115" s="330">
        <f t="shared" si="1112"/>
        <v>3</v>
      </c>
      <c r="R1115" s="351" t="str">
        <f t="shared" si="3"/>
        <v>Gastos_Gerais</v>
      </c>
      <c r="S1115" s="351" t="str">
        <f>IF(D1115="","",IF(OR(D1115=Plano!$A$1,D1115=Plano!$B$1),"entrada","saída"))</f>
        <v>saída</v>
      </c>
      <c r="T1115" s="334" t="s">
        <v>114</v>
      </c>
      <c r="U1115" s="334" t="s">
        <v>114</v>
      </c>
      <c r="V1115" s="269"/>
      <c r="W1115" s="269"/>
    </row>
    <row r="1116" spans="1:23" ht="69.75" customHeight="1" x14ac:dyDescent="0.2">
      <c r="A1116" s="277">
        <f t="shared" si="0"/>
        <v>1112</v>
      </c>
      <c r="B1116" s="278">
        <v>44260</v>
      </c>
      <c r="C1116" s="249">
        <v>44256</v>
      </c>
      <c r="D1116" s="255" t="s">
        <v>99</v>
      </c>
      <c r="E1116" s="255" t="s">
        <v>272</v>
      </c>
      <c r="F1116" s="258">
        <v>10.45</v>
      </c>
      <c r="G1116" s="255" t="s">
        <v>3830</v>
      </c>
      <c r="H1116" s="255" t="s">
        <v>114</v>
      </c>
      <c r="I1116" s="250" t="s">
        <v>949</v>
      </c>
      <c r="J1116" s="255" t="s">
        <v>950</v>
      </c>
      <c r="K1116" s="255" t="s">
        <v>951</v>
      </c>
      <c r="L1116" s="250" t="s">
        <v>947</v>
      </c>
      <c r="M1116" s="279" t="s">
        <v>114</v>
      </c>
      <c r="N1116" s="278">
        <v>44260</v>
      </c>
      <c r="O1116" s="329" t="s">
        <v>67</v>
      </c>
      <c r="P1116" s="386">
        <f t="shared" ref="P1116:Q1116" si="1113">IF(B1116=0,0,IF(YEAR(B1116)=$Q$1,MONTH(B1116)-$P$1+1,(YEAR(B1116)-$Q$1)*12-$P$1+1+MONTH(B1116)))</f>
        <v>3</v>
      </c>
      <c r="Q1116" s="330">
        <f t="shared" si="1113"/>
        <v>3</v>
      </c>
      <c r="R1116" s="351" t="str">
        <f t="shared" si="3"/>
        <v>Gastos_Gerais</v>
      </c>
      <c r="S1116" s="351" t="str">
        <f>IF(D1116="","",IF(OR(D1116=Plano!$A$1,D1116=Plano!$B$1),"entrada","saída"))</f>
        <v>saída</v>
      </c>
      <c r="T1116" s="334" t="s">
        <v>114</v>
      </c>
      <c r="U1116" s="334" t="s">
        <v>114</v>
      </c>
      <c r="V1116" s="269"/>
      <c r="W1116" s="269"/>
    </row>
    <row r="1117" spans="1:23" ht="69.75" customHeight="1" x14ac:dyDescent="0.2">
      <c r="A1117" s="277">
        <f t="shared" si="0"/>
        <v>1113</v>
      </c>
      <c r="B1117" s="278">
        <v>44260</v>
      </c>
      <c r="C1117" s="249">
        <v>44256</v>
      </c>
      <c r="D1117" s="255" t="s">
        <v>99</v>
      </c>
      <c r="E1117" s="255" t="s">
        <v>272</v>
      </c>
      <c r="F1117" s="258">
        <v>10.45</v>
      </c>
      <c r="G1117" s="255" t="s">
        <v>3831</v>
      </c>
      <c r="H1117" s="255" t="s">
        <v>118</v>
      </c>
      <c r="I1117" s="250" t="s">
        <v>949</v>
      </c>
      <c r="J1117" s="255" t="s">
        <v>950</v>
      </c>
      <c r="K1117" s="255" t="s">
        <v>951</v>
      </c>
      <c r="L1117" s="250" t="s">
        <v>947</v>
      </c>
      <c r="M1117" s="279" t="s">
        <v>114</v>
      </c>
      <c r="N1117" s="278">
        <v>44260</v>
      </c>
      <c r="O1117" s="329" t="s">
        <v>67</v>
      </c>
      <c r="P1117" s="386">
        <f t="shared" ref="P1117:Q1117" si="1114">IF(B1117=0,0,IF(YEAR(B1117)=$Q$1,MONTH(B1117)-$P$1+1,(YEAR(B1117)-$Q$1)*12-$P$1+1+MONTH(B1117)))</f>
        <v>3</v>
      </c>
      <c r="Q1117" s="330">
        <f t="shared" si="1114"/>
        <v>3</v>
      </c>
      <c r="R1117" s="351" t="str">
        <f t="shared" si="3"/>
        <v>Gastos_Gerais</v>
      </c>
      <c r="S1117" s="351" t="str">
        <f>IF(D1117="","",IF(OR(D1117=Plano!$A$1,D1117=Plano!$B$1),"entrada","saída"))</f>
        <v>saída</v>
      </c>
      <c r="T1117" s="334" t="s">
        <v>114</v>
      </c>
      <c r="U1117" s="334" t="s">
        <v>114</v>
      </c>
      <c r="V1117" s="269"/>
      <c r="W1117" s="269"/>
    </row>
    <row r="1118" spans="1:23" ht="69.75" customHeight="1" x14ac:dyDescent="0.2">
      <c r="A1118" s="277">
        <f t="shared" si="0"/>
        <v>1114</v>
      </c>
      <c r="B1118" s="278">
        <v>44260</v>
      </c>
      <c r="C1118" s="249">
        <v>44256</v>
      </c>
      <c r="D1118" s="255" t="s">
        <v>99</v>
      </c>
      <c r="E1118" s="255" t="s">
        <v>272</v>
      </c>
      <c r="F1118" s="258">
        <v>10.45</v>
      </c>
      <c r="G1118" s="255" t="s">
        <v>1324</v>
      </c>
      <c r="H1118" s="255" t="s">
        <v>124</v>
      </c>
      <c r="I1118" s="250" t="s">
        <v>949</v>
      </c>
      <c r="J1118" s="255" t="s">
        <v>950</v>
      </c>
      <c r="K1118" s="255" t="s">
        <v>951</v>
      </c>
      <c r="L1118" s="250" t="s">
        <v>947</v>
      </c>
      <c r="M1118" s="279" t="s">
        <v>114</v>
      </c>
      <c r="N1118" s="278">
        <v>44260</v>
      </c>
      <c r="O1118" s="329" t="s">
        <v>67</v>
      </c>
      <c r="P1118" s="386">
        <f t="shared" ref="P1118:Q1118" si="1115">IF(B1118=0,0,IF(YEAR(B1118)=$Q$1,MONTH(B1118)-$P$1+1,(YEAR(B1118)-$Q$1)*12-$P$1+1+MONTH(B1118)))</f>
        <v>3</v>
      </c>
      <c r="Q1118" s="330">
        <f t="shared" si="1115"/>
        <v>3</v>
      </c>
      <c r="R1118" s="351" t="str">
        <f t="shared" si="3"/>
        <v>Gastos_Gerais</v>
      </c>
      <c r="S1118" s="351" t="str">
        <f>IF(D1118="","",IF(OR(D1118=Plano!$A$1,D1118=Plano!$B$1),"entrada","saída"))</f>
        <v>saída</v>
      </c>
      <c r="T1118" s="334" t="s">
        <v>114</v>
      </c>
      <c r="U1118" s="334" t="s">
        <v>114</v>
      </c>
      <c r="V1118" s="269"/>
      <c r="W1118" s="269"/>
    </row>
    <row r="1119" spans="1:23" ht="69.75" customHeight="1" x14ac:dyDescent="0.2">
      <c r="A1119" s="277">
        <f t="shared" si="0"/>
        <v>1115</v>
      </c>
      <c r="B1119" s="278">
        <v>44260</v>
      </c>
      <c r="C1119" s="249">
        <v>44256</v>
      </c>
      <c r="D1119" s="255" t="s">
        <v>99</v>
      </c>
      <c r="E1119" s="255" t="s">
        <v>272</v>
      </c>
      <c r="F1119" s="258">
        <v>10.45</v>
      </c>
      <c r="G1119" s="255" t="s">
        <v>1323</v>
      </c>
      <c r="H1119" s="255" t="s">
        <v>124</v>
      </c>
      <c r="I1119" s="250" t="s">
        <v>949</v>
      </c>
      <c r="J1119" s="255" t="s">
        <v>950</v>
      </c>
      <c r="K1119" s="255" t="s">
        <v>951</v>
      </c>
      <c r="L1119" s="250" t="s">
        <v>947</v>
      </c>
      <c r="M1119" s="279" t="s">
        <v>114</v>
      </c>
      <c r="N1119" s="278">
        <v>44260</v>
      </c>
      <c r="O1119" s="329" t="s">
        <v>67</v>
      </c>
      <c r="P1119" s="386">
        <f t="shared" ref="P1119:Q1119" si="1116">IF(B1119=0,0,IF(YEAR(B1119)=$Q$1,MONTH(B1119)-$P$1+1,(YEAR(B1119)-$Q$1)*12-$P$1+1+MONTH(B1119)))</f>
        <v>3</v>
      </c>
      <c r="Q1119" s="330">
        <f t="shared" si="1116"/>
        <v>3</v>
      </c>
      <c r="R1119" s="351" t="str">
        <f t="shared" si="3"/>
        <v>Gastos_Gerais</v>
      </c>
      <c r="S1119" s="351" t="str">
        <f>IF(D1119="","",IF(OR(D1119=Plano!$A$1,D1119=Plano!$B$1),"entrada","saída"))</f>
        <v>saída</v>
      </c>
      <c r="T1119" s="334" t="s">
        <v>114</v>
      </c>
      <c r="U1119" s="334" t="s">
        <v>114</v>
      </c>
      <c r="V1119" s="269"/>
      <c r="W1119" s="269"/>
    </row>
    <row r="1120" spans="1:23" ht="69.75" customHeight="1" x14ac:dyDescent="0.2">
      <c r="A1120" s="277">
        <f t="shared" si="0"/>
        <v>1116</v>
      </c>
      <c r="B1120" s="278">
        <v>44260</v>
      </c>
      <c r="C1120" s="249">
        <v>44256</v>
      </c>
      <c r="D1120" s="255" t="s">
        <v>99</v>
      </c>
      <c r="E1120" s="255" t="s">
        <v>272</v>
      </c>
      <c r="F1120" s="258">
        <v>10.45</v>
      </c>
      <c r="G1120" s="255" t="s">
        <v>1320</v>
      </c>
      <c r="H1120" s="255" t="s">
        <v>129</v>
      </c>
      <c r="I1120" s="250" t="s">
        <v>949</v>
      </c>
      <c r="J1120" s="255" t="s">
        <v>950</v>
      </c>
      <c r="K1120" s="255" t="s">
        <v>951</v>
      </c>
      <c r="L1120" s="250" t="s">
        <v>947</v>
      </c>
      <c r="M1120" s="279" t="s">
        <v>114</v>
      </c>
      <c r="N1120" s="278">
        <v>44260</v>
      </c>
      <c r="O1120" s="329" t="s">
        <v>67</v>
      </c>
      <c r="P1120" s="386">
        <f t="shared" ref="P1120:Q1120" si="1117">IF(B1120=0,0,IF(YEAR(B1120)=$Q$1,MONTH(B1120)-$P$1+1,(YEAR(B1120)-$Q$1)*12-$P$1+1+MONTH(B1120)))</f>
        <v>3</v>
      </c>
      <c r="Q1120" s="330">
        <f t="shared" si="1117"/>
        <v>3</v>
      </c>
      <c r="R1120" s="351" t="str">
        <f t="shared" si="3"/>
        <v>Gastos_Gerais</v>
      </c>
      <c r="S1120" s="351" t="str">
        <f>IF(D1120="","",IF(OR(D1120=Plano!$A$1,D1120=Plano!$B$1),"entrada","saída"))</f>
        <v>saída</v>
      </c>
      <c r="T1120" s="334" t="s">
        <v>114</v>
      </c>
      <c r="U1120" s="334" t="s">
        <v>114</v>
      </c>
      <c r="V1120" s="269"/>
      <c r="W1120" s="269"/>
    </row>
    <row r="1121" spans="1:23" ht="69.75" customHeight="1" x14ac:dyDescent="0.2">
      <c r="A1121" s="277">
        <f t="shared" si="0"/>
        <v>1117</v>
      </c>
      <c r="B1121" s="278">
        <v>44260</v>
      </c>
      <c r="C1121" s="249">
        <v>44256</v>
      </c>
      <c r="D1121" s="255" t="s">
        <v>99</v>
      </c>
      <c r="E1121" s="255" t="s">
        <v>272</v>
      </c>
      <c r="F1121" s="258">
        <v>10.45</v>
      </c>
      <c r="G1121" s="255" t="s">
        <v>3832</v>
      </c>
      <c r="H1121" s="255" t="s">
        <v>116</v>
      </c>
      <c r="I1121" s="250" t="s">
        <v>949</v>
      </c>
      <c r="J1121" s="255" t="s">
        <v>950</v>
      </c>
      <c r="K1121" s="255" t="s">
        <v>951</v>
      </c>
      <c r="L1121" s="250" t="s">
        <v>947</v>
      </c>
      <c r="M1121" s="279" t="s">
        <v>114</v>
      </c>
      <c r="N1121" s="278">
        <v>44260</v>
      </c>
      <c r="O1121" s="329" t="s">
        <v>67</v>
      </c>
      <c r="P1121" s="386">
        <f t="shared" ref="P1121:Q1121" si="1118">IF(B1121=0,0,IF(YEAR(B1121)=$Q$1,MONTH(B1121)-$P$1+1,(YEAR(B1121)-$Q$1)*12-$P$1+1+MONTH(B1121)))</f>
        <v>3</v>
      </c>
      <c r="Q1121" s="330">
        <f t="shared" si="1118"/>
        <v>3</v>
      </c>
      <c r="R1121" s="351" t="str">
        <f t="shared" si="3"/>
        <v>Gastos_Gerais</v>
      </c>
      <c r="S1121" s="351" t="str">
        <f>IF(D1121="","",IF(OR(D1121=Plano!$A$1,D1121=Plano!$B$1),"entrada","saída"))</f>
        <v>saída</v>
      </c>
      <c r="T1121" s="334" t="s">
        <v>114</v>
      </c>
      <c r="U1121" s="334" t="s">
        <v>114</v>
      </c>
      <c r="V1121" s="269"/>
      <c r="W1121" s="269"/>
    </row>
    <row r="1122" spans="1:23" ht="69.75" customHeight="1" x14ac:dyDescent="0.2">
      <c r="A1122" s="277">
        <f t="shared" si="0"/>
        <v>1118</v>
      </c>
      <c r="B1122" s="278">
        <v>44260</v>
      </c>
      <c r="C1122" s="249">
        <v>44256</v>
      </c>
      <c r="D1122" s="255" t="s">
        <v>99</v>
      </c>
      <c r="E1122" s="255" t="s">
        <v>272</v>
      </c>
      <c r="F1122" s="258">
        <v>10.45</v>
      </c>
      <c r="G1122" s="255" t="s">
        <v>3833</v>
      </c>
      <c r="H1122" s="255" t="s">
        <v>125</v>
      </c>
      <c r="I1122" s="250" t="s">
        <v>949</v>
      </c>
      <c r="J1122" s="255" t="s">
        <v>950</v>
      </c>
      <c r="K1122" s="255" t="s">
        <v>951</v>
      </c>
      <c r="L1122" s="250" t="s">
        <v>947</v>
      </c>
      <c r="M1122" s="279" t="s">
        <v>114</v>
      </c>
      <c r="N1122" s="278">
        <v>44260</v>
      </c>
      <c r="O1122" s="329" t="s">
        <v>67</v>
      </c>
      <c r="P1122" s="386">
        <f t="shared" ref="P1122:Q1122" si="1119">IF(B1122=0,0,IF(YEAR(B1122)=$Q$1,MONTH(B1122)-$P$1+1,(YEAR(B1122)-$Q$1)*12-$P$1+1+MONTH(B1122)))</f>
        <v>3</v>
      </c>
      <c r="Q1122" s="330">
        <f t="shared" si="1119"/>
        <v>3</v>
      </c>
      <c r="R1122" s="351" t="str">
        <f t="shared" si="3"/>
        <v>Gastos_Gerais</v>
      </c>
      <c r="S1122" s="351" t="str">
        <f>IF(D1122="","",IF(OR(D1122=Plano!$A$1,D1122=Plano!$B$1),"entrada","saída"))</f>
        <v>saída</v>
      </c>
      <c r="T1122" s="334" t="s">
        <v>114</v>
      </c>
      <c r="U1122" s="334" t="s">
        <v>114</v>
      </c>
      <c r="V1122" s="269"/>
      <c r="W1122" s="269"/>
    </row>
    <row r="1123" spans="1:23" ht="69.75" customHeight="1" x14ac:dyDescent="0.2">
      <c r="A1123" s="277">
        <f t="shared" si="0"/>
        <v>1119</v>
      </c>
      <c r="B1123" s="278">
        <v>44260</v>
      </c>
      <c r="C1123" s="249">
        <v>44256</v>
      </c>
      <c r="D1123" s="255" t="s">
        <v>99</v>
      </c>
      <c r="E1123" s="255" t="s">
        <v>272</v>
      </c>
      <c r="F1123" s="258">
        <v>153</v>
      </c>
      <c r="G1123" s="255" t="s">
        <v>2719</v>
      </c>
      <c r="H1123" s="255" t="s">
        <v>115</v>
      </c>
      <c r="I1123" s="250" t="s">
        <v>949</v>
      </c>
      <c r="J1123" s="255" t="s">
        <v>950</v>
      </c>
      <c r="K1123" s="255" t="s">
        <v>951</v>
      </c>
      <c r="L1123" s="250" t="s">
        <v>947</v>
      </c>
      <c r="M1123" s="279" t="s">
        <v>114</v>
      </c>
      <c r="N1123" s="278">
        <v>44260</v>
      </c>
      <c r="O1123" s="329" t="s">
        <v>67</v>
      </c>
      <c r="P1123" s="386">
        <f t="shared" ref="P1123:Q1123" si="1120">IF(B1123=0,0,IF(YEAR(B1123)=$Q$1,MONTH(B1123)-$P$1+1,(YEAR(B1123)-$Q$1)*12-$P$1+1+MONTH(B1123)))</f>
        <v>3</v>
      </c>
      <c r="Q1123" s="330">
        <f t="shared" si="1120"/>
        <v>3</v>
      </c>
      <c r="R1123" s="351" t="str">
        <f t="shared" si="3"/>
        <v>Gastos_Gerais</v>
      </c>
      <c r="S1123" s="351" t="str">
        <f>IF(D1123="","",IF(OR(D1123=Plano!$A$1,D1123=Plano!$B$1),"entrada","saída"))</f>
        <v>saída</v>
      </c>
      <c r="T1123" s="334" t="s">
        <v>114</v>
      </c>
      <c r="U1123" s="334" t="s">
        <v>114</v>
      </c>
      <c r="V1123" s="269"/>
      <c r="W1123" s="269"/>
    </row>
    <row r="1124" spans="1:23" ht="69.75" customHeight="1" x14ac:dyDescent="0.2">
      <c r="A1124" s="277">
        <f t="shared" si="0"/>
        <v>1120</v>
      </c>
      <c r="B1124" s="278">
        <v>44260</v>
      </c>
      <c r="C1124" s="249">
        <v>44197</v>
      </c>
      <c r="D1124" s="255" t="s">
        <v>104</v>
      </c>
      <c r="E1124" s="255" t="s">
        <v>104</v>
      </c>
      <c r="F1124" s="251">
        <v>125</v>
      </c>
      <c r="G1124" s="255" t="s">
        <v>3834</v>
      </c>
      <c r="H1124" s="255" t="s">
        <v>104</v>
      </c>
      <c r="I1124" s="252" t="s">
        <v>465</v>
      </c>
      <c r="J1124" s="252" t="s">
        <v>114</v>
      </c>
      <c r="K1124" s="252" t="s">
        <v>466</v>
      </c>
      <c r="L1124" s="252" t="s">
        <v>467</v>
      </c>
      <c r="M1124" s="279">
        <v>2383</v>
      </c>
      <c r="N1124" s="278">
        <v>44260</v>
      </c>
      <c r="O1124" s="329" t="s">
        <v>69</v>
      </c>
      <c r="P1124" s="386">
        <f t="shared" ref="P1124:Q1124" si="1121">IF(B1124=0,0,IF(YEAR(B1124)=$Q$1,MONTH(B1124)-$P$1+1,(YEAR(B1124)-$Q$1)*12-$P$1+1+MONTH(B1124)))</f>
        <v>3</v>
      </c>
      <c r="Q1124" s="330">
        <f t="shared" si="1121"/>
        <v>1</v>
      </c>
      <c r="R1124" s="351" t="str">
        <f t="shared" si="3"/>
        <v>Gastos_custeados_por_captação</v>
      </c>
      <c r="S1124" s="351" t="str">
        <f>IF(D1124="","",IF(OR(D1124=Plano!$A$1,D1124=Plano!$B$1),"entrada","saída"))</f>
        <v>saída</v>
      </c>
      <c r="T1124" s="334" t="s">
        <v>114</v>
      </c>
      <c r="U1124" s="334" t="s">
        <v>114</v>
      </c>
      <c r="V1124" s="269"/>
      <c r="W1124" s="269"/>
    </row>
    <row r="1125" spans="1:23" ht="69.75" customHeight="1" x14ac:dyDescent="0.2">
      <c r="A1125" s="277">
        <f t="shared" si="0"/>
        <v>1121</v>
      </c>
      <c r="B1125" s="278">
        <v>44260</v>
      </c>
      <c r="C1125" s="249">
        <v>44197</v>
      </c>
      <c r="D1125" s="255" t="s">
        <v>104</v>
      </c>
      <c r="E1125" s="255" t="s">
        <v>104</v>
      </c>
      <c r="F1125" s="251">
        <v>125</v>
      </c>
      <c r="G1125" s="255" t="s">
        <v>3835</v>
      </c>
      <c r="H1125" s="255" t="s">
        <v>104</v>
      </c>
      <c r="I1125" s="252" t="s">
        <v>465</v>
      </c>
      <c r="J1125" s="252" t="s">
        <v>114</v>
      </c>
      <c r="K1125" s="252" t="s">
        <v>466</v>
      </c>
      <c r="L1125" s="252" t="s">
        <v>467</v>
      </c>
      <c r="M1125" s="279">
        <v>2384</v>
      </c>
      <c r="N1125" s="278">
        <v>44260</v>
      </c>
      <c r="O1125" s="329" t="s">
        <v>69</v>
      </c>
      <c r="P1125" s="386">
        <f t="shared" ref="P1125:Q1125" si="1122">IF(B1125=0,0,IF(YEAR(B1125)=$Q$1,MONTH(B1125)-$P$1+1,(YEAR(B1125)-$Q$1)*12-$P$1+1+MONTH(B1125)))</f>
        <v>3</v>
      </c>
      <c r="Q1125" s="330">
        <f t="shared" si="1122"/>
        <v>1</v>
      </c>
      <c r="R1125" s="351" t="str">
        <f t="shared" si="3"/>
        <v>Gastos_custeados_por_captação</v>
      </c>
      <c r="S1125" s="351" t="str">
        <f>IF(D1125="","",IF(OR(D1125=Plano!$A$1,D1125=Plano!$B$1),"entrada","saída"))</f>
        <v>saída</v>
      </c>
      <c r="T1125" s="334" t="s">
        <v>114</v>
      </c>
      <c r="U1125" s="334" t="s">
        <v>114</v>
      </c>
      <c r="V1125" s="269"/>
      <c r="W1125" s="269"/>
    </row>
    <row r="1126" spans="1:23" ht="69.75" customHeight="1" x14ac:dyDescent="0.2">
      <c r="A1126" s="277">
        <f t="shared" si="0"/>
        <v>1122</v>
      </c>
      <c r="B1126" s="278">
        <v>44260</v>
      </c>
      <c r="C1126" s="249">
        <v>44136</v>
      </c>
      <c r="D1126" s="255" t="s">
        <v>104</v>
      </c>
      <c r="E1126" s="255" t="s">
        <v>104</v>
      </c>
      <c r="F1126" s="251">
        <v>179.2</v>
      </c>
      <c r="G1126" s="250" t="s">
        <v>3836</v>
      </c>
      <c r="H1126" s="255" t="s">
        <v>104</v>
      </c>
      <c r="I1126" s="252" t="s">
        <v>465</v>
      </c>
      <c r="J1126" s="252" t="s">
        <v>114</v>
      </c>
      <c r="K1126" s="252" t="s">
        <v>466</v>
      </c>
      <c r="L1126" s="252" t="s">
        <v>467</v>
      </c>
      <c r="M1126" s="279">
        <v>2385</v>
      </c>
      <c r="N1126" s="278">
        <v>44260</v>
      </c>
      <c r="O1126" s="329" t="s">
        <v>69</v>
      </c>
      <c r="P1126" s="386">
        <f t="shared" ref="P1126:Q1126" si="1123">IF(B1126=0,0,IF(YEAR(B1126)=$Q$1,MONTH(B1126)-$P$1+1,(YEAR(B1126)-$Q$1)*12-$P$1+1+MONTH(B1126)))</f>
        <v>3</v>
      </c>
      <c r="Q1126" s="330">
        <f t="shared" si="1123"/>
        <v>-1</v>
      </c>
      <c r="R1126" s="351" t="str">
        <f t="shared" si="3"/>
        <v>Gastos_custeados_por_captação</v>
      </c>
      <c r="S1126" s="351" t="str">
        <f>IF(D1126="","",IF(OR(D1126=Plano!$A$1,D1126=Plano!$B$1),"entrada","saída"))</f>
        <v>saída</v>
      </c>
      <c r="T1126" s="334" t="s">
        <v>114</v>
      </c>
      <c r="U1126" s="334" t="s">
        <v>114</v>
      </c>
      <c r="V1126" s="269"/>
      <c r="W1126" s="269"/>
    </row>
    <row r="1127" spans="1:23" ht="69.75" customHeight="1" x14ac:dyDescent="0.2">
      <c r="A1127" s="277">
        <f t="shared" si="0"/>
        <v>1123</v>
      </c>
      <c r="B1127" s="278">
        <v>44260</v>
      </c>
      <c r="C1127" s="256">
        <v>44228</v>
      </c>
      <c r="D1127" s="255" t="s">
        <v>104</v>
      </c>
      <c r="E1127" s="255" t="s">
        <v>104</v>
      </c>
      <c r="F1127" s="251">
        <v>236.25</v>
      </c>
      <c r="G1127" s="255" t="s">
        <v>3837</v>
      </c>
      <c r="H1127" s="255" t="s">
        <v>104</v>
      </c>
      <c r="I1127" s="252" t="s">
        <v>465</v>
      </c>
      <c r="J1127" s="252" t="s">
        <v>114</v>
      </c>
      <c r="K1127" s="252" t="s">
        <v>466</v>
      </c>
      <c r="L1127" s="252" t="s">
        <v>467</v>
      </c>
      <c r="M1127" s="279">
        <v>2386</v>
      </c>
      <c r="N1127" s="278">
        <v>44260</v>
      </c>
      <c r="O1127" s="329" t="s">
        <v>69</v>
      </c>
      <c r="P1127" s="386">
        <f t="shared" ref="P1127:Q1127" si="1124">IF(B1127=0,0,IF(YEAR(B1127)=$Q$1,MONTH(B1127)-$P$1+1,(YEAR(B1127)-$Q$1)*12-$P$1+1+MONTH(B1127)))</f>
        <v>3</v>
      </c>
      <c r="Q1127" s="330">
        <f t="shared" si="1124"/>
        <v>2</v>
      </c>
      <c r="R1127" s="351" t="str">
        <f t="shared" si="3"/>
        <v>Gastos_custeados_por_captação</v>
      </c>
      <c r="S1127" s="351" t="str">
        <f>IF(D1127="","",IF(OR(D1127=Plano!$A$1,D1127=Plano!$B$1),"entrada","saída"))</f>
        <v>saída</v>
      </c>
      <c r="T1127" s="334" t="s">
        <v>114</v>
      </c>
      <c r="U1127" s="334" t="s">
        <v>114</v>
      </c>
      <c r="V1127" s="269"/>
      <c r="W1127" s="269"/>
    </row>
    <row r="1128" spans="1:23" ht="69.75" customHeight="1" x14ac:dyDescent="0.2">
      <c r="A1128" s="277">
        <f t="shared" si="0"/>
        <v>1124</v>
      </c>
      <c r="B1128" s="278">
        <v>44260</v>
      </c>
      <c r="C1128" s="249">
        <v>44136</v>
      </c>
      <c r="D1128" s="255" t="s">
        <v>104</v>
      </c>
      <c r="E1128" s="255" t="s">
        <v>104</v>
      </c>
      <c r="F1128" s="251">
        <v>88</v>
      </c>
      <c r="G1128" s="255" t="s">
        <v>3838</v>
      </c>
      <c r="H1128" s="255" t="s">
        <v>104</v>
      </c>
      <c r="I1128" s="252" t="s">
        <v>465</v>
      </c>
      <c r="J1128" s="252" t="s">
        <v>114</v>
      </c>
      <c r="K1128" s="252" t="s">
        <v>466</v>
      </c>
      <c r="L1128" s="252" t="s">
        <v>467</v>
      </c>
      <c r="M1128" s="279">
        <v>2387</v>
      </c>
      <c r="N1128" s="278">
        <v>44260</v>
      </c>
      <c r="O1128" s="329" t="s">
        <v>69</v>
      </c>
      <c r="P1128" s="386">
        <f t="shared" ref="P1128:Q1128" si="1125">IF(B1128=0,0,IF(YEAR(B1128)=$Q$1,MONTH(B1128)-$P$1+1,(YEAR(B1128)-$Q$1)*12-$P$1+1+MONTH(B1128)))</f>
        <v>3</v>
      </c>
      <c r="Q1128" s="330">
        <f t="shared" si="1125"/>
        <v>-1</v>
      </c>
      <c r="R1128" s="351" t="str">
        <f t="shared" si="3"/>
        <v>Gastos_custeados_por_captação</v>
      </c>
      <c r="S1128" s="351" t="str">
        <f>IF(D1128="","",IF(OR(D1128=Plano!$A$1,D1128=Plano!$B$1),"entrada","saída"))</f>
        <v>saída</v>
      </c>
      <c r="T1128" s="334" t="s">
        <v>114</v>
      </c>
      <c r="U1128" s="334" t="s">
        <v>114</v>
      </c>
      <c r="V1128" s="269"/>
      <c r="W1128" s="269"/>
    </row>
    <row r="1129" spans="1:23" ht="69.75" customHeight="1" x14ac:dyDescent="0.2">
      <c r="A1129" s="277">
        <f t="shared" si="0"/>
        <v>1125</v>
      </c>
      <c r="B1129" s="278">
        <v>44260</v>
      </c>
      <c r="C1129" s="256">
        <v>44228</v>
      </c>
      <c r="D1129" s="255" t="s">
        <v>104</v>
      </c>
      <c r="E1129" s="255" t="s">
        <v>104</v>
      </c>
      <c r="F1129" s="251">
        <v>27.86</v>
      </c>
      <c r="G1129" s="255" t="s">
        <v>3839</v>
      </c>
      <c r="H1129" s="255" t="s">
        <v>104</v>
      </c>
      <c r="I1129" s="252" t="s">
        <v>465</v>
      </c>
      <c r="J1129" s="252" t="s">
        <v>114</v>
      </c>
      <c r="K1129" s="252" t="s">
        <v>466</v>
      </c>
      <c r="L1129" s="252" t="s">
        <v>467</v>
      </c>
      <c r="M1129" s="279">
        <v>2388</v>
      </c>
      <c r="N1129" s="278">
        <v>44260</v>
      </c>
      <c r="O1129" s="329" t="s">
        <v>69</v>
      </c>
      <c r="P1129" s="386">
        <f t="shared" ref="P1129:Q1129" si="1126">IF(B1129=0,0,IF(YEAR(B1129)=$Q$1,MONTH(B1129)-$P$1+1,(YEAR(B1129)-$Q$1)*12-$P$1+1+MONTH(B1129)))</f>
        <v>3</v>
      </c>
      <c r="Q1129" s="330">
        <f t="shared" si="1126"/>
        <v>2</v>
      </c>
      <c r="R1129" s="351" t="str">
        <f t="shared" si="3"/>
        <v>Gastos_custeados_por_captação</v>
      </c>
      <c r="S1129" s="351" t="str">
        <f>IF(D1129="","",IF(OR(D1129=Plano!$A$1,D1129=Plano!$B$1),"entrada","saída"))</f>
        <v>saída</v>
      </c>
      <c r="T1129" s="334" t="s">
        <v>114</v>
      </c>
      <c r="U1129" s="334" t="s">
        <v>114</v>
      </c>
      <c r="V1129" s="269"/>
      <c r="W1129" s="269"/>
    </row>
    <row r="1130" spans="1:23" ht="69.75" customHeight="1" x14ac:dyDescent="0.2">
      <c r="A1130" s="277">
        <f t="shared" si="0"/>
        <v>1126</v>
      </c>
      <c r="B1130" s="278">
        <v>44260</v>
      </c>
      <c r="C1130" s="249">
        <v>44136</v>
      </c>
      <c r="D1130" s="255" t="s">
        <v>104</v>
      </c>
      <c r="E1130" s="255" t="s">
        <v>104</v>
      </c>
      <c r="F1130" s="251">
        <v>17.8</v>
      </c>
      <c r="G1130" s="255" t="s">
        <v>3840</v>
      </c>
      <c r="H1130" s="255" t="s">
        <v>104</v>
      </c>
      <c r="I1130" s="252" t="s">
        <v>465</v>
      </c>
      <c r="J1130" s="252" t="s">
        <v>114</v>
      </c>
      <c r="K1130" s="252" t="s">
        <v>466</v>
      </c>
      <c r="L1130" s="252" t="s">
        <v>467</v>
      </c>
      <c r="M1130" s="279">
        <v>2389</v>
      </c>
      <c r="N1130" s="278">
        <v>44260</v>
      </c>
      <c r="O1130" s="329" t="s">
        <v>69</v>
      </c>
      <c r="P1130" s="386">
        <f t="shared" ref="P1130:Q1130" si="1127">IF(B1130=0,0,IF(YEAR(B1130)=$Q$1,MONTH(B1130)-$P$1+1,(YEAR(B1130)-$Q$1)*12-$P$1+1+MONTH(B1130)))</f>
        <v>3</v>
      </c>
      <c r="Q1130" s="330">
        <f t="shared" si="1127"/>
        <v>-1</v>
      </c>
      <c r="R1130" s="351" t="str">
        <f t="shared" si="3"/>
        <v>Gastos_custeados_por_captação</v>
      </c>
      <c r="S1130" s="351" t="str">
        <f>IF(D1130="","",IF(OR(D1130=Plano!$A$1,D1130=Plano!$B$1),"entrada","saída"))</f>
        <v>saída</v>
      </c>
      <c r="T1130" s="334" t="s">
        <v>114</v>
      </c>
      <c r="U1130" s="334" t="s">
        <v>114</v>
      </c>
      <c r="V1130" s="269"/>
      <c r="W1130" s="269"/>
    </row>
    <row r="1131" spans="1:23" ht="69.75" customHeight="1" x14ac:dyDescent="0.2">
      <c r="A1131" s="277">
        <f t="shared" si="0"/>
        <v>1127</v>
      </c>
      <c r="B1131" s="278">
        <v>44260</v>
      </c>
      <c r="C1131" s="249">
        <v>44105</v>
      </c>
      <c r="D1131" s="255" t="s">
        <v>104</v>
      </c>
      <c r="E1131" s="255" t="s">
        <v>104</v>
      </c>
      <c r="F1131" s="251">
        <v>70.349999999999994</v>
      </c>
      <c r="G1131" s="250" t="s">
        <v>3841</v>
      </c>
      <c r="H1131" s="255" t="s">
        <v>104</v>
      </c>
      <c r="I1131" s="252" t="s">
        <v>465</v>
      </c>
      <c r="J1131" s="252" t="s">
        <v>114</v>
      </c>
      <c r="K1131" s="252" t="s">
        <v>466</v>
      </c>
      <c r="L1131" s="252" t="s">
        <v>467</v>
      </c>
      <c r="M1131" s="279">
        <v>2329</v>
      </c>
      <c r="N1131" s="278">
        <v>44260</v>
      </c>
      <c r="O1131" s="329" t="s">
        <v>70</v>
      </c>
      <c r="P1131" s="386">
        <f t="shared" ref="P1131:Q1131" si="1128">IF(B1131=0,0,IF(YEAR(B1131)=$Q$1,MONTH(B1131)-$P$1+1,(YEAR(B1131)-$Q$1)*12-$P$1+1+MONTH(B1131)))</f>
        <v>3</v>
      </c>
      <c r="Q1131" s="330">
        <f t="shared" si="1128"/>
        <v>-2</v>
      </c>
      <c r="R1131" s="351" t="str">
        <f t="shared" si="3"/>
        <v>Gastos_custeados_por_captação</v>
      </c>
      <c r="S1131" s="351" t="str">
        <f>IF(D1131="","",IF(OR(D1131=Plano!$A$1,D1131=Plano!$B$1),"entrada","saída"))</f>
        <v>saída</v>
      </c>
      <c r="T1131" s="334" t="s">
        <v>114</v>
      </c>
      <c r="U1131" s="334" t="s">
        <v>114</v>
      </c>
      <c r="V1131" s="269"/>
      <c r="W1131" s="269"/>
    </row>
    <row r="1132" spans="1:23" ht="69.75" customHeight="1" x14ac:dyDescent="0.2">
      <c r="A1132" s="277">
        <f t="shared" si="0"/>
        <v>1128</v>
      </c>
      <c r="B1132" s="278">
        <v>44260</v>
      </c>
      <c r="C1132" s="249">
        <v>44197</v>
      </c>
      <c r="D1132" s="255" t="s">
        <v>104</v>
      </c>
      <c r="E1132" s="255" t="s">
        <v>104</v>
      </c>
      <c r="F1132" s="251">
        <v>140.69999999999999</v>
      </c>
      <c r="G1132" s="250" t="s">
        <v>3842</v>
      </c>
      <c r="H1132" s="255" t="s">
        <v>104</v>
      </c>
      <c r="I1132" s="252" t="s">
        <v>465</v>
      </c>
      <c r="J1132" s="252" t="s">
        <v>114</v>
      </c>
      <c r="K1132" s="252" t="s">
        <v>466</v>
      </c>
      <c r="L1132" s="252" t="s">
        <v>467</v>
      </c>
      <c r="M1132" s="279">
        <v>2330</v>
      </c>
      <c r="N1132" s="278">
        <v>44260</v>
      </c>
      <c r="O1132" s="329" t="s">
        <v>70</v>
      </c>
      <c r="P1132" s="386">
        <f t="shared" ref="P1132:Q1132" si="1129">IF(B1132=0,0,IF(YEAR(B1132)=$Q$1,MONTH(B1132)-$P$1+1,(YEAR(B1132)-$Q$1)*12-$P$1+1+MONTH(B1132)))</f>
        <v>3</v>
      </c>
      <c r="Q1132" s="330">
        <f t="shared" si="1129"/>
        <v>1</v>
      </c>
      <c r="R1132" s="351" t="str">
        <f t="shared" si="3"/>
        <v>Gastos_custeados_por_captação</v>
      </c>
      <c r="S1132" s="351" t="str">
        <f>IF(D1132="","",IF(OR(D1132=Plano!$A$1,D1132=Plano!$B$1),"entrada","saída"))</f>
        <v>saída</v>
      </c>
      <c r="T1132" s="334" t="s">
        <v>114</v>
      </c>
      <c r="U1132" s="334" t="s">
        <v>114</v>
      </c>
      <c r="V1132" s="269"/>
      <c r="W1132" s="269"/>
    </row>
    <row r="1133" spans="1:23" ht="69.75" customHeight="1" x14ac:dyDescent="0.2">
      <c r="A1133" s="277">
        <f t="shared" si="0"/>
        <v>1129</v>
      </c>
      <c r="B1133" s="278">
        <v>44260</v>
      </c>
      <c r="C1133" s="249">
        <v>44105</v>
      </c>
      <c r="D1133" s="255" t="s">
        <v>104</v>
      </c>
      <c r="E1133" s="255" t="s">
        <v>104</v>
      </c>
      <c r="F1133" s="251">
        <v>96.25</v>
      </c>
      <c r="G1133" s="250" t="s">
        <v>3843</v>
      </c>
      <c r="H1133" s="255" t="s">
        <v>104</v>
      </c>
      <c r="I1133" s="252" t="s">
        <v>465</v>
      </c>
      <c r="J1133" s="252" t="s">
        <v>114</v>
      </c>
      <c r="K1133" s="252" t="s">
        <v>466</v>
      </c>
      <c r="L1133" s="252" t="s">
        <v>467</v>
      </c>
      <c r="M1133" s="279">
        <v>2331</v>
      </c>
      <c r="N1133" s="278">
        <v>44260</v>
      </c>
      <c r="O1133" s="329" t="s">
        <v>70</v>
      </c>
      <c r="P1133" s="386">
        <f t="shared" ref="P1133:Q1133" si="1130">IF(B1133=0,0,IF(YEAR(B1133)=$Q$1,MONTH(B1133)-$P$1+1,(YEAR(B1133)-$Q$1)*12-$P$1+1+MONTH(B1133)))</f>
        <v>3</v>
      </c>
      <c r="Q1133" s="330">
        <f t="shared" si="1130"/>
        <v>-2</v>
      </c>
      <c r="R1133" s="351" t="str">
        <f t="shared" si="3"/>
        <v>Gastos_custeados_por_captação</v>
      </c>
      <c r="S1133" s="351" t="str">
        <f>IF(D1133="","",IF(OR(D1133=Plano!$A$1,D1133=Plano!$B$1),"entrada","saída"))</f>
        <v>saída</v>
      </c>
      <c r="T1133" s="334" t="s">
        <v>114</v>
      </c>
      <c r="U1133" s="334" t="s">
        <v>114</v>
      </c>
      <c r="V1133" s="269"/>
      <c r="W1133" s="269"/>
    </row>
    <row r="1134" spans="1:23" ht="69.75" customHeight="1" x14ac:dyDescent="0.2">
      <c r="A1134" s="277">
        <f t="shared" si="0"/>
        <v>1130</v>
      </c>
      <c r="B1134" s="278">
        <v>44260</v>
      </c>
      <c r="C1134" s="249">
        <v>44228</v>
      </c>
      <c r="D1134" s="255" t="s">
        <v>104</v>
      </c>
      <c r="E1134" s="255" t="s">
        <v>104</v>
      </c>
      <c r="F1134" s="251">
        <v>210</v>
      </c>
      <c r="G1134" s="255" t="s">
        <v>3844</v>
      </c>
      <c r="H1134" s="255" t="s">
        <v>104</v>
      </c>
      <c r="I1134" s="252" t="s">
        <v>465</v>
      </c>
      <c r="J1134" s="252" t="s">
        <v>114</v>
      </c>
      <c r="K1134" s="252" t="s">
        <v>466</v>
      </c>
      <c r="L1134" s="252" t="s">
        <v>467</v>
      </c>
      <c r="M1134" s="279">
        <v>2332</v>
      </c>
      <c r="N1134" s="278">
        <v>44260</v>
      </c>
      <c r="O1134" s="329" t="s">
        <v>70</v>
      </c>
      <c r="P1134" s="386">
        <f t="shared" ref="P1134:Q1134" si="1131">IF(B1134=0,0,IF(YEAR(B1134)=$Q$1,MONTH(B1134)-$P$1+1,(YEAR(B1134)-$Q$1)*12-$P$1+1+MONTH(B1134)))</f>
        <v>3</v>
      </c>
      <c r="Q1134" s="330">
        <f t="shared" si="1131"/>
        <v>2</v>
      </c>
      <c r="R1134" s="351" t="str">
        <f t="shared" si="3"/>
        <v>Gastos_custeados_por_captação</v>
      </c>
      <c r="S1134" s="351" t="str">
        <f>IF(D1134="","",IF(OR(D1134=Plano!$A$1,D1134=Plano!$B$1),"entrada","saída"))</f>
        <v>saída</v>
      </c>
      <c r="T1134" s="334" t="s">
        <v>114</v>
      </c>
      <c r="U1134" s="334" t="s">
        <v>114</v>
      </c>
      <c r="V1134" s="269"/>
      <c r="W1134" s="269"/>
    </row>
    <row r="1135" spans="1:23" ht="69.75" customHeight="1" x14ac:dyDescent="0.2">
      <c r="A1135" s="277">
        <f t="shared" si="0"/>
        <v>1131</v>
      </c>
      <c r="B1135" s="278">
        <v>44260</v>
      </c>
      <c r="C1135" s="249">
        <v>44197</v>
      </c>
      <c r="D1135" s="255" t="s">
        <v>104</v>
      </c>
      <c r="E1135" s="255" t="s">
        <v>104</v>
      </c>
      <c r="F1135" s="251">
        <v>375.87</v>
      </c>
      <c r="G1135" s="250" t="s">
        <v>3845</v>
      </c>
      <c r="H1135" s="255" t="s">
        <v>104</v>
      </c>
      <c r="I1135" s="252" t="s">
        <v>465</v>
      </c>
      <c r="J1135" s="252" t="s">
        <v>114</v>
      </c>
      <c r="K1135" s="252" t="s">
        <v>466</v>
      </c>
      <c r="L1135" s="252" t="s">
        <v>467</v>
      </c>
      <c r="M1135" s="279">
        <v>2333</v>
      </c>
      <c r="N1135" s="278">
        <v>44260</v>
      </c>
      <c r="O1135" s="329" t="s">
        <v>70</v>
      </c>
      <c r="P1135" s="386">
        <f t="shared" ref="P1135:Q1135" si="1132">IF(B1135=0,0,IF(YEAR(B1135)=$Q$1,MONTH(B1135)-$P$1+1,(YEAR(B1135)-$Q$1)*12-$P$1+1+MONTH(B1135)))</f>
        <v>3</v>
      </c>
      <c r="Q1135" s="330">
        <f t="shared" si="1132"/>
        <v>1</v>
      </c>
      <c r="R1135" s="351" t="str">
        <f t="shared" si="3"/>
        <v>Gastos_custeados_por_captação</v>
      </c>
      <c r="S1135" s="351" t="str">
        <f>IF(D1135="","",IF(OR(D1135=Plano!$A$1,D1135=Plano!$B$1),"entrada","saída"))</f>
        <v>saída</v>
      </c>
      <c r="T1135" s="334" t="s">
        <v>114</v>
      </c>
      <c r="U1135" s="334" t="s">
        <v>114</v>
      </c>
      <c r="V1135" s="269"/>
      <c r="W1135" s="269"/>
    </row>
    <row r="1136" spans="1:23" ht="69.75" customHeight="1" x14ac:dyDescent="0.2">
      <c r="A1136" s="277">
        <f t="shared" si="0"/>
        <v>1132</v>
      </c>
      <c r="B1136" s="278">
        <v>44260</v>
      </c>
      <c r="C1136" s="259">
        <v>44197</v>
      </c>
      <c r="D1136" s="255" t="s">
        <v>104</v>
      </c>
      <c r="E1136" s="255" t="s">
        <v>104</v>
      </c>
      <c r="F1136" s="257">
        <v>53.16</v>
      </c>
      <c r="G1136" s="255" t="s">
        <v>3846</v>
      </c>
      <c r="H1136" s="255" t="s">
        <v>104</v>
      </c>
      <c r="I1136" s="252" t="s">
        <v>465</v>
      </c>
      <c r="J1136" s="252" t="s">
        <v>114</v>
      </c>
      <c r="K1136" s="252" t="s">
        <v>466</v>
      </c>
      <c r="L1136" s="252" t="s">
        <v>467</v>
      </c>
      <c r="M1136" s="279">
        <v>2334</v>
      </c>
      <c r="N1136" s="278">
        <v>44260</v>
      </c>
      <c r="O1136" s="329" t="s">
        <v>70</v>
      </c>
      <c r="P1136" s="386">
        <f t="shared" ref="P1136:Q1136" si="1133">IF(B1136=0,0,IF(YEAR(B1136)=$Q$1,MONTH(B1136)-$P$1+1,(YEAR(B1136)-$Q$1)*12-$P$1+1+MONTH(B1136)))</f>
        <v>3</v>
      </c>
      <c r="Q1136" s="330">
        <f t="shared" si="1133"/>
        <v>1</v>
      </c>
      <c r="R1136" s="351" t="str">
        <f t="shared" si="3"/>
        <v>Gastos_custeados_por_captação</v>
      </c>
      <c r="S1136" s="351" t="str">
        <f>IF(D1136="","",IF(OR(D1136=Plano!$A$1,D1136=Plano!$B$1),"entrada","saída"))</f>
        <v>saída</v>
      </c>
      <c r="T1136" s="334" t="s">
        <v>114</v>
      </c>
      <c r="U1136" s="334" t="s">
        <v>114</v>
      </c>
      <c r="V1136" s="269"/>
      <c r="W1136" s="269"/>
    </row>
    <row r="1137" spans="1:23" ht="125.25" customHeight="1" x14ac:dyDescent="0.2">
      <c r="A1137" s="277">
        <f t="shared" si="0"/>
        <v>1133</v>
      </c>
      <c r="B1137" s="350">
        <v>44260</v>
      </c>
      <c r="C1137" s="249">
        <v>44228</v>
      </c>
      <c r="D1137" s="250" t="s">
        <v>104</v>
      </c>
      <c r="E1137" s="250" t="s">
        <v>104</v>
      </c>
      <c r="F1137" s="251">
        <v>3840</v>
      </c>
      <c r="G1137" s="250" t="s">
        <v>501</v>
      </c>
      <c r="H1137" s="250" t="s">
        <v>104</v>
      </c>
      <c r="I1137" s="250" t="s">
        <v>2724</v>
      </c>
      <c r="J1137" s="250" t="s">
        <v>2725</v>
      </c>
      <c r="K1137" s="250" t="s">
        <v>1015</v>
      </c>
      <c r="L1137" s="250" t="s">
        <v>1016</v>
      </c>
      <c r="M1137" s="250" t="s">
        <v>1148</v>
      </c>
      <c r="N1137" s="350">
        <v>44258</v>
      </c>
      <c r="O1137" s="353" t="s">
        <v>71</v>
      </c>
      <c r="P1137" s="386">
        <f t="shared" ref="P1137:Q1137" si="1134">IF(B1137=0,0,IF(YEAR(B1137)=$Q$1,MONTH(B1137)-$P$1+1,(YEAR(B1137)-$Q$1)*12-$P$1+1+MONTH(B1137)))</f>
        <v>3</v>
      </c>
      <c r="Q1137" s="330">
        <f t="shared" si="1134"/>
        <v>2</v>
      </c>
      <c r="R1137" s="351" t="str">
        <f t="shared" si="3"/>
        <v>Gastos_custeados_por_captação</v>
      </c>
      <c r="S1137" s="351" t="str">
        <f>IF(D1137="","",IF(OR(D1137=Plano!$A$1,D1137=Plano!$B$1),"entrada","saída"))</f>
        <v>saída</v>
      </c>
      <c r="T1137" s="334" t="s">
        <v>1082</v>
      </c>
      <c r="U1137" s="334">
        <v>1136</v>
      </c>
      <c r="V1137" s="269"/>
      <c r="W1137" s="269"/>
    </row>
    <row r="1138" spans="1:23" ht="148.5" customHeight="1" x14ac:dyDescent="0.2">
      <c r="A1138" s="277">
        <f t="shared" si="0"/>
        <v>1134</v>
      </c>
      <c r="B1138" s="350">
        <v>44260</v>
      </c>
      <c r="C1138" s="249">
        <v>44228</v>
      </c>
      <c r="D1138" s="250" t="s">
        <v>104</v>
      </c>
      <c r="E1138" s="250" t="s">
        <v>104</v>
      </c>
      <c r="F1138" s="251">
        <v>3762.82</v>
      </c>
      <c r="G1138" s="250" t="s">
        <v>499</v>
      </c>
      <c r="H1138" s="250" t="s">
        <v>104</v>
      </c>
      <c r="I1138" s="250" t="s">
        <v>3847</v>
      </c>
      <c r="J1138" s="250" t="s">
        <v>2728</v>
      </c>
      <c r="K1138" s="250" t="s">
        <v>1015</v>
      </c>
      <c r="L1138" s="250" t="s">
        <v>1016</v>
      </c>
      <c r="M1138" s="250" t="s">
        <v>1148</v>
      </c>
      <c r="N1138" s="350">
        <v>44258</v>
      </c>
      <c r="O1138" s="353" t="s">
        <v>71</v>
      </c>
      <c r="P1138" s="386">
        <f t="shared" ref="P1138:Q1138" si="1135">IF(B1138=0,0,IF(YEAR(B1138)=$Q$1,MONTH(B1138)-$P$1+1,(YEAR(B1138)-$Q$1)*12-$P$1+1+MONTH(B1138)))</f>
        <v>3</v>
      </c>
      <c r="Q1138" s="330">
        <f t="shared" si="1135"/>
        <v>2</v>
      </c>
      <c r="R1138" s="351" t="str">
        <f t="shared" si="3"/>
        <v>Gastos_custeados_por_captação</v>
      </c>
      <c r="S1138" s="351" t="str">
        <f>IF(D1138="","",IF(OR(D1138=Plano!$A$1,D1138=Plano!$B$1),"entrada","saída"))</f>
        <v>saída</v>
      </c>
      <c r="T1138" s="334" t="s">
        <v>1082</v>
      </c>
      <c r="U1138" s="334">
        <v>1137</v>
      </c>
      <c r="V1138" s="269"/>
      <c r="W1138" s="269"/>
    </row>
    <row r="1139" spans="1:23" ht="132.75" customHeight="1" x14ac:dyDescent="0.2">
      <c r="A1139" s="277">
        <f t="shared" si="0"/>
        <v>1135</v>
      </c>
      <c r="B1139" s="350">
        <v>44260</v>
      </c>
      <c r="C1139" s="249">
        <v>44228</v>
      </c>
      <c r="D1139" s="250" t="s">
        <v>104</v>
      </c>
      <c r="E1139" s="250" t="s">
        <v>104</v>
      </c>
      <c r="F1139" s="251">
        <v>3840</v>
      </c>
      <c r="G1139" s="250" t="s">
        <v>504</v>
      </c>
      <c r="H1139" s="250" t="s">
        <v>104</v>
      </c>
      <c r="I1139" s="250" t="s">
        <v>3848</v>
      </c>
      <c r="J1139" s="250" t="s">
        <v>2815</v>
      </c>
      <c r="K1139" s="250" t="s">
        <v>1015</v>
      </c>
      <c r="L1139" s="250" t="s">
        <v>1016</v>
      </c>
      <c r="M1139" s="250" t="s">
        <v>1148</v>
      </c>
      <c r="N1139" s="350">
        <v>44258</v>
      </c>
      <c r="O1139" s="353" t="s">
        <v>71</v>
      </c>
      <c r="P1139" s="386">
        <f t="shared" ref="P1139:Q1139" si="1136">IF(B1139=0,0,IF(YEAR(B1139)=$Q$1,MONTH(B1139)-$P$1+1,(YEAR(B1139)-$Q$1)*12-$P$1+1+MONTH(B1139)))</f>
        <v>3</v>
      </c>
      <c r="Q1139" s="330">
        <f t="shared" si="1136"/>
        <v>2</v>
      </c>
      <c r="R1139" s="351" t="str">
        <f t="shared" si="3"/>
        <v>Gastos_custeados_por_captação</v>
      </c>
      <c r="S1139" s="351" t="str">
        <f>IF(D1139="","",IF(OR(D1139=Plano!$A$1,D1139=Plano!$B$1),"entrada","saída"))</f>
        <v>saída</v>
      </c>
      <c r="T1139" s="334" t="s">
        <v>1082</v>
      </c>
      <c r="U1139" s="334">
        <v>1135</v>
      </c>
      <c r="V1139" s="269"/>
      <c r="W1139" s="269"/>
    </row>
    <row r="1140" spans="1:23" ht="142.5" customHeight="1" x14ac:dyDescent="0.2">
      <c r="A1140" s="277">
        <f t="shared" si="0"/>
        <v>1136</v>
      </c>
      <c r="B1140" s="350">
        <v>44260</v>
      </c>
      <c r="C1140" s="249">
        <v>44228</v>
      </c>
      <c r="D1140" s="250" t="s">
        <v>104</v>
      </c>
      <c r="E1140" s="250" t="s">
        <v>104</v>
      </c>
      <c r="F1140" s="251">
        <v>2000</v>
      </c>
      <c r="G1140" s="250" t="s">
        <v>510</v>
      </c>
      <c r="H1140" s="250" t="s">
        <v>104</v>
      </c>
      <c r="I1140" s="250" t="s">
        <v>3260</v>
      </c>
      <c r="J1140" s="250" t="s">
        <v>512</v>
      </c>
      <c r="K1140" s="250" t="s">
        <v>1015</v>
      </c>
      <c r="L1140" s="250" t="s">
        <v>1016</v>
      </c>
      <c r="M1140" s="250" t="s">
        <v>1017</v>
      </c>
      <c r="N1140" s="350">
        <v>44258</v>
      </c>
      <c r="O1140" s="353" t="s">
        <v>71</v>
      </c>
      <c r="P1140" s="386">
        <f t="shared" ref="P1140:Q1140" si="1137">IF(B1140=0,0,IF(YEAR(B1140)=$Q$1,MONTH(B1140)-$P$1+1,(YEAR(B1140)-$Q$1)*12-$P$1+1+MONTH(B1140)))</f>
        <v>3</v>
      </c>
      <c r="Q1140" s="330">
        <f t="shared" si="1137"/>
        <v>2</v>
      </c>
      <c r="R1140" s="351" t="str">
        <f t="shared" si="3"/>
        <v>Gastos_custeados_por_captação</v>
      </c>
      <c r="S1140" s="351" t="str">
        <f>IF(D1140="","",IF(OR(D1140=Plano!$A$1,D1140=Plano!$B$1),"entrada","saída"))</f>
        <v>saída</v>
      </c>
      <c r="T1140" s="334" t="s">
        <v>1082</v>
      </c>
      <c r="U1140" s="334">
        <v>1235</v>
      </c>
      <c r="V1140" s="269"/>
      <c r="W1140" s="269"/>
    </row>
    <row r="1141" spans="1:23" ht="133.5" customHeight="1" x14ac:dyDescent="0.2">
      <c r="A1141" s="277">
        <f t="shared" si="0"/>
        <v>1137</v>
      </c>
      <c r="B1141" s="350">
        <v>44260</v>
      </c>
      <c r="C1141" s="249">
        <v>44228</v>
      </c>
      <c r="D1141" s="250" t="s">
        <v>104</v>
      </c>
      <c r="E1141" s="250" t="s">
        <v>104</v>
      </c>
      <c r="F1141" s="251">
        <v>1720</v>
      </c>
      <c r="G1141" s="250" t="s">
        <v>456</v>
      </c>
      <c r="H1141" s="250" t="s">
        <v>104</v>
      </c>
      <c r="I1141" s="250" t="s">
        <v>3367</v>
      </c>
      <c r="J1141" s="250" t="s">
        <v>458</v>
      </c>
      <c r="K1141" s="250" t="s">
        <v>1015</v>
      </c>
      <c r="L1141" s="250" t="s">
        <v>1029</v>
      </c>
      <c r="M1141" s="393">
        <v>1092</v>
      </c>
      <c r="N1141" s="350">
        <v>44258</v>
      </c>
      <c r="O1141" s="353" t="s">
        <v>71</v>
      </c>
      <c r="P1141" s="386">
        <f t="shared" ref="P1141:Q1141" si="1138">IF(B1141=0,0,IF(YEAR(B1141)=$Q$1,MONTH(B1141)-$P$1+1,(YEAR(B1141)-$Q$1)*12-$P$1+1+MONTH(B1141)))</f>
        <v>3</v>
      </c>
      <c r="Q1141" s="330">
        <f t="shared" si="1138"/>
        <v>2</v>
      </c>
      <c r="R1141" s="351" t="str">
        <f t="shared" si="3"/>
        <v>Gastos_custeados_por_captação</v>
      </c>
      <c r="S1141" s="351" t="str">
        <f>IF(D1141="","",IF(OR(D1141=Plano!$A$1,D1141=Plano!$B$1),"entrada","saída"))</f>
        <v>saída</v>
      </c>
      <c r="T1141" s="334" t="s">
        <v>1082</v>
      </c>
      <c r="U1141" s="334">
        <v>1138</v>
      </c>
      <c r="V1141" s="269"/>
      <c r="W1141" s="269"/>
    </row>
    <row r="1142" spans="1:23" ht="69.75" customHeight="1" x14ac:dyDescent="0.2">
      <c r="A1142" s="277">
        <f t="shared" si="0"/>
        <v>1138</v>
      </c>
      <c r="B1142" s="350">
        <v>44260</v>
      </c>
      <c r="C1142" s="249">
        <v>44228</v>
      </c>
      <c r="D1142" s="250" t="s">
        <v>104</v>
      </c>
      <c r="E1142" s="250" t="s">
        <v>104</v>
      </c>
      <c r="F1142" s="251">
        <v>1045</v>
      </c>
      <c r="G1142" s="250" t="s">
        <v>3849</v>
      </c>
      <c r="H1142" s="250" t="s">
        <v>104</v>
      </c>
      <c r="I1142" s="250" t="s">
        <v>2807</v>
      </c>
      <c r="J1142" s="250" t="s">
        <v>3393</v>
      </c>
      <c r="K1142" s="250" t="s">
        <v>1015</v>
      </c>
      <c r="L1142" s="250" t="s">
        <v>1177</v>
      </c>
      <c r="M1142" s="393" t="s">
        <v>114</v>
      </c>
      <c r="N1142" s="350">
        <v>44260</v>
      </c>
      <c r="O1142" s="353" t="s">
        <v>71</v>
      </c>
      <c r="P1142" s="386">
        <f t="shared" ref="P1142:Q1142" si="1139">IF(B1142=0,0,IF(YEAR(B1142)=$Q$1,MONTH(B1142)-$P$1+1,(YEAR(B1142)-$Q$1)*12-$P$1+1+MONTH(B1142)))</f>
        <v>3</v>
      </c>
      <c r="Q1142" s="330">
        <f t="shared" si="1139"/>
        <v>2</v>
      </c>
      <c r="R1142" s="351" t="str">
        <f t="shared" si="3"/>
        <v>Gastos_custeados_por_captação</v>
      </c>
      <c r="S1142" s="351" t="str">
        <f>IF(D1142="","",IF(OR(D1142=Plano!$A$1,D1142=Plano!$B$1),"entrada","saída"))</f>
        <v>saída</v>
      </c>
      <c r="T1142" s="334" t="s">
        <v>114</v>
      </c>
      <c r="U1142" s="334" t="s">
        <v>114</v>
      </c>
      <c r="V1142" s="269"/>
      <c r="W1142" s="269"/>
    </row>
    <row r="1143" spans="1:23" ht="69.75" customHeight="1" x14ac:dyDescent="0.2">
      <c r="A1143" s="277">
        <f t="shared" si="0"/>
        <v>1139</v>
      </c>
      <c r="B1143" s="350">
        <v>44260</v>
      </c>
      <c r="C1143" s="249">
        <v>44228</v>
      </c>
      <c r="D1143" s="250" t="s">
        <v>104</v>
      </c>
      <c r="E1143" s="250" t="s">
        <v>104</v>
      </c>
      <c r="F1143" s="251">
        <v>1045</v>
      </c>
      <c r="G1143" s="250" t="s">
        <v>3849</v>
      </c>
      <c r="H1143" s="250" t="s">
        <v>104</v>
      </c>
      <c r="I1143" s="250" t="s">
        <v>2819</v>
      </c>
      <c r="J1143" s="250" t="s">
        <v>3850</v>
      </c>
      <c r="K1143" s="250" t="s">
        <v>1015</v>
      </c>
      <c r="L1143" s="250" t="s">
        <v>1177</v>
      </c>
      <c r="M1143" s="393" t="s">
        <v>114</v>
      </c>
      <c r="N1143" s="350">
        <v>44260</v>
      </c>
      <c r="O1143" s="353" t="s">
        <v>71</v>
      </c>
      <c r="P1143" s="386">
        <f t="shared" ref="P1143:Q1143" si="1140">IF(B1143=0,0,IF(YEAR(B1143)=$Q$1,MONTH(B1143)-$P$1+1,(YEAR(B1143)-$Q$1)*12-$P$1+1+MONTH(B1143)))</f>
        <v>3</v>
      </c>
      <c r="Q1143" s="330">
        <f t="shared" si="1140"/>
        <v>2</v>
      </c>
      <c r="R1143" s="351" t="str">
        <f t="shared" si="3"/>
        <v>Gastos_custeados_por_captação</v>
      </c>
      <c r="S1143" s="351" t="str">
        <f>IF(D1143="","",IF(OR(D1143=Plano!$A$1,D1143=Plano!$B$1),"entrada","saída"))</f>
        <v>saída</v>
      </c>
      <c r="T1143" s="334" t="s">
        <v>114</v>
      </c>
      <c r="U1143" s="334" t="s">
        <v>114</v>
      </c>
      <c r="V1143" s="269"/>
      <c r="W1143" s="269"/>
    </row>
    <row r="1144" spans="1:23" ht="69.75" customHeight="1" x14ac:dyDescent="0.2">
      <c r="A1144" s="277">
        <f t="shared" si="0"/>
        <v>1140</v>
      </c>
      <c r="B1144" s="348">
        <v>44260</v>
      </c>
      <c r="C1144" s="249">
        <v>44197</v>
      </c>
      <c r="D1144" s="252" t="s">
        <v>104</v>
      </c>
      <c r="E1144" s="252" t="s">
        <v>104</v>
      </c>
      <c r="F1144" s="251">
        <v>150</v>
      </c>
      <c r="G1144" s="250" t="s">
        <v>3851</v>
      </c>
      <c r="H1144" s="252" t="s">
        <v>104</v>
      </c>
      <c r="I1144" s="252" t="s">
        <v>465</v>
      </c>
      <c r="J1144" s="252" t="s">
        <v>114</v>
      </c>
      <c r="K1144" s="252" t="s">
        <v>466</v>
      </c>
      <c r="L1144" s="252" t="s">
        <v>467</v>
      </c>
      <c r="M1144" s="397">
        <v>2379</v>
      </c>
      <c r="N1144" s="348">
        <v>44260</v>
      </c>
      <c r="O1144" s="394" t="s">
        <v>68</v>
      </c>
      <c r="P1144" s="386">
        <f t="shared" ref="P1144:Q1144" si="1141">IF(B1144=0,0,IF(YEAR(B1144)=$Q$1,MONTH(B1144)-$P$1+1,(YEAR(B1144)-$Q$1)*12-$P$1+1+MONTH(B1144)))</f>
        <v>3</v>
      </c>
      <c r="Q1144" s="330">
        <f t="shared" si="1141"/>
        <v>1</v>
      </c>
      <c r="R1144" s="351" t="str">
        <f t="shared" si="3"/>
        <v>Gastos_custeados_por_captação</v>
      </c>
      <c r="S1144" s="351" t="str">
        <f>IF(D1144="","",IF(OR(D1144=Plano!$A$1,D1144=Plano!$B$1),"entrada","saída"))</f>
        <v>saída</v>
      </c>
      <c r="T1144" s="334" t="s">
        <v>114</v>
      </c>
      <c r="U1144" s="334" t="s">
        <v>114</v>
      </c>
      <c r="V1144" s="269"/>
      <c r="W1144" s="269"/>
    </row>
    <row r="1145" spans="1:23" ht="69.75" customHeight="1" x14ac:dyDescent="0.2">
      <c r="A1145" s="277">
        <f t="shared" si="0"/>
        <v>1141</v>
      </c>
      <c r="B1145" s="348">
        <v>44260</v>
      </c>
      <c r="C1145" s="249">
        <v>44197</v>
      </c>
      <c r="D1145" s="252" t="s">
        <v>104</v>
      </c>
      <c r="E1145" s="252" t="s">
        <v>104</v>
      </c>
      <c r="F1145" s="251">
        <v>37.5</v>
      </c>
      <c r="G1145" s="250" t="s">
        <v>3852</v>
      </c>
      <c r="H1145" s="252" t="s">
        <v>104</v>
      </c>
      <c r="I1145" s="252" t="s">
        <v>465</v>
      </c>
      <c r="J1145" s="252" t="s">
        <v>114</v>
      </c>
      <c r="K1145" s="252" t="s">
        <v>466</v>
      </c>
      <c r="L1145" s="252" t="s">
        <v>467</v>
      </c>
      <c r="M1145" s="397">
        <v>2380</v>
      </c>
      <c r="N1145" s="348">
        <v>44260</v>
      </c>
      <c r="O1145" s="394" t="s">
        <v>68</v>
      </c>
      <c r="P1145" s="386">
        <f t="shared" ref="P1145:Q1145" si="1142">IF(B1145=0,0,IF(YEAR(B1145)=$Q$1,MONTH(B1145)-$P$1+1,(YEAR(B1145)-$Q$1)*12-$P$1+1+MONTH(B1145)))</f>
        <v>3</v>
      </c>
      <c r="Q1145" s="330">
        <f t="shared" si="1142"/>
        <v>1</v>
      </c>
      <c r="R1145" s="351" t="str">
        <f t="shared" si="3"/>
        <v>Gastos_custeados_por_captação</v>
      </c>
      <c r="S1145" s="351" t="str">
        <f>IF(D1145="","",IF(OR(D1145=Plano!$A$1,D1145=Plano!$B$1),"entrada","saída"))</f>
        <v>saída</v>
      </c>
      <c r="T1145" s="334" t="s">
        <v>114</v>
      </c>
      <c r="U1145" s="334" t="s">
        <v>114</v>
      </c>
      <c r="V1145" s="269"/>
      <c r="W1145" s="269"/>
    </row>
    <row r="1146" spans="1:23" ht="69.75" customHeight="1" x14ac:dyDescent="0.2">
      <c r="A1146" s="277">
        <f t="shared" si="0"/>
        <v>1142</v>
      </c>
      <c r="B1146" s="348">
        <v>44260</v>
      </c>
      <c r="C1146" s="249">
        <v>44197</v>
      </c>
      <c r="D1146" s="252" t="s">
        <v>104</v>
      </c>
      <c r="E1146" s="252" t="s">
        <v>104</v>
      </c>
      <c r="F1146" s="251">
        <v>62.5</v>
      </c>
      <c r="G1146" s="250" t="s">
        <v>3853</v>
      </c>
      <c r="H1146" s="252" t="s">
        <v>104</v>
      </c>
      <c r="I1146" s="252" t="s">
        <v>465</v>
      </c>
      <c r="J1146" s="252" t="s">
        <v>114</v>
      </c>
      <c r="K1146" s="252" t="s">
        <v>466</v>
      </c>
      <c r="L1146" s="252" t="s">
        <v>467</v>
      </c>
      <c r="M1146" s="397">
        <v>2381</v>
      </c>
      <c r="N1146" s="348">
        <v>44260</v>
      </c>
      <c r="O1146" s="394" t="s">
        <v>68</v>
      </c>
      <c r="P1146" s="386">
        <f t="shared" ref="P1146:Q1146" si="1143">IF(B1146=0,0,IF(YEAR(B1146)=$Q$1,MONTH(B1146)-$P$1+1,(YEAR(B1146)-$Q$1)*12-$P$1+1+MONTH(B1146)))</f>
        <v>3</v>
      </c>
      <c r="Q1146" s="330">
        <f t="shared" si="1143"/>
        <v>1</v>
      </c>
      <c r="R1146" s="351" t="str">
        <f t="shared" si="3"/>
        <v>Gastos_custeados_por_captação</v>
      </c>
      <c r="S1146" s="351" t="str">
        <f>IF(D1146="","",IF(OR(D1146=Plano!$A$1,D1146=Plano!$B$1),"entrada","saída"))</f>
        <v>saída</v>
      </c>
      <c r="T1146" s="334" t="s">
        <v>114</v>
      </c>
      <c r="U1146" s="334" t="s">
        <v>114</v>
      </c>
      <c r="V1146" s="269"/>
      <c r="W1146" s="269"/>
    </row>
    <row r="1147" spans="1:23" ht="69.75" customHeight="1" x14ac:dyDescent="0.2">
      <c r="A1147" s="277">
        <f t="shared" si="0"/>
        <v>1143</v>
      </c>
      <c r="B1147" s="348">
        <v>44260</v>
      </c>
      <c r="C1147" s="249">
        <v>44197</v>
      </c>
      <c r="D1147" s="252" t="s">
        <v>104</v>
      </c>
      <c r="E1147" s="252" t="s">
        <v>104</v>
      </c>
      <c r="F1147" s="251">
        <v>90</v>
      </c>
      <c r="G1147" s="250" t="s">
        <v>3854</v>
      </c>
      <c r="H1147" s="252" t="s">
        <v>104</v>
      </c>
      <c r="I1147" s="252" t="s">
        <v>465</v>
      </c>
      <c r="J1147" s="252" t="s">
        <v>114</v>
      </c>
      <c r="K1147" s="252" t="s">
        <v>466</v>
      </c>
      <c r="L1147" s="252" t="s">
        <v>467</v>
      </c>
      <c r="M1147" s="397">
        <v>2382</v>
      </c>
      <c r="N1147" s="348">
        <v>44260</v>
      </c>
      <c r="O1147" s="394" t="s">
        <v>68</v>
      </c>
      <c r="P1147" s="386">
        <f t="shared" ref="P1147:Q1147" si="1144">IF(B1147=0,0,IF(YEAR(B1147)=$Q$1,MONTH(B1147)-$P$1+1,(YEAR(B1147)-$Q$1)*12-$P$1+1+MONTH(B1147)))</f>
        <v>3</v>
      </c>
      <c r="Q1147" s="330">
        <f t="shared" si="1144"/>
        <v>1</v>
      </c>
      <c r="R1147" s="351" t="str">
        <f t="shared" si="3"/>
        <v>Gastos_custeados_por_captação</v>
      </c>
      <c r="S1147" s="351" t="str">
        <f>IF(D1147="","",IF(OR(D1147=Plano!$A$1,D1147=Plano!$B$1),"entrada","saída"))</f>
        <v>saída</v>
      </c>
      <c r="T1147" s="334" t="s">
        <v>114</v>
      </c>
      <c r="U1147" s="334" t="s">
        <v>114</v>
      </c>
      <c r="V1147" s="269"/>
      <c r="W1147" s="269"/>
    </row>
    <row r="1148" spans="1:23" ht="186" customHeight="1" x14ac:dyDescent="0.2">
      <c r="A1148" s="277">
        <f t="shared" si="0"/>
        <v>1144</v>
      </c>
      <c r="B1148" s="348">
        <v>44260</v>
      </c>
      <c r="C1148" s="249">
        <v>44228</v>
      </c>
      <c r="D1148" s="252" t="s">
        <v>104</v>
      </c>
      <c r="E1148" s="252" t="s">
        <v>104</v>
      </c>
      <c r="F1148" s="257">
        <v>2075.92</v>
      </c>
      <c r="G1148" s="255" t="s">
        <v>1163</v>
      </c>
      <c r="H1148" s="252" t="s">
        <v>104</v>
      </c>
      <c r="I1148" s="252" t="s">
        <v>1738</v>
      </c>
      <c r="J1148" s="252" t="s">
        <v>1165</v>
      </c>
      <c r="K1148" s="252" t="s">
        <v>1015</v>
      </c>
      <c r="L1148" s="252" t="s">
        <v>1029</v>
      </c>
      <c r="M1148" s="397">
        <v>1093</v>
      </c>
      <c r="N1148" s="348">
        <v>44259</v>
      </c>
      <c r="O1148" s="394" t="s">
        <v>68</v>
      </c>
      <c r="P1148" s="386">
        <f t="shared" ref="P1148:Q1148" si="1145">IF(B1148=0,0,IF(YEAR(B1148)=$Q$1,MONTH(B1148)-$P$1+1,(YEAR(B1148)-$Q$1)*12-$P$1+1+MONTH(B1148)))</f>
        <v>3</v>
      </c>
      <c r="Q1148" s="330">
        <f t="shared" si="1145"/>
        <v>2</v>
      </c>
      <c r="R1148" s="351" t="str">
        <f t="shared" si="3"/>
        <v>Gastos_custeados_por_captação</v>
      </c>
      <c r="S1148" s="351" t="str">
        <f>IF(D1148="","",IF(OR(D1148=Plano!$A$1,D1148=Plano!$B$1),"entrada","saída"))</f>
        <v>saída</v>
      </c>
      <c r="T1148" s="334" t="s">
        <v>1082</v>
      </c>
      <c r="U1148" s="334">
        <v>1299</v>
      </c>
      <c r="V1148" s="269"/>
      <c r="W1148" s="269"/>
    </row>
    <row r="1149" spans="1:23" ht="149.25" customHeight="1" x14ac:dyDescent="0.2">
      <c r="A1149" s="277">
        <f t="shared" si="0"/>
        <v>1145</v>
      </c>
      <c r="B1149" s="348">
        <v>44260</v>
      </c>
      <c r="C1149" s="249">
        <v>44228</v>
      </c>
      <c r="D1149" s="252" t="s">
        <v>104</v>
      </c>
      <c r="E1149" s="252" t="s">
        <v>104</v>
      </c>
      <c r="F1149" s="257">
        <v>2125.92</v>
      </c>
      <c r="G1149" s="255" t="s">
        <v>548</v>
      </c>
      <c r="H1149" s="252" t="s">
        <v>104</v>
      </c>
      <c r="I1149" s="252" t="s">
        <v>1739</v>
      </c>
      <c r="J1149" s="252" t="s">
        <v>550</v>
      </c>
      <c r="K1149" s="252" t="s">
        <v>1015</v>
      </c>
      <c r="L1149" s="252" t="s">
        <v>1029</v>
      </c>
      <c r="M1149" s="397">
        <v>1094</v>
      </c>
      <c r="N1149" s="348">
        <v>44259</v>
      </c>
      <c r="O1149" s="394" t="s">
        <v>68</v>
      </c>
      <c r="P1149" s="386">
        <f t="shared" ref="P1149:Q1149" si="1146">IF(B1149=0,0,IF(YEAR(B1149)=$Q$1,MONTH(B1149)-$P$1+1,(YEAR(B1149)-$Q$1)*12-$P$1+1+MONTH(B1149)))</f>
        <v>3</v>
      </c>
      <c r="Q1149" s="330">
        <f t="shared" si="1146"/>
        <v>2</v>
      </c>
      <c r="R1149" s="351" t="str">
        <f t="shared" si="3"/>
        <v>Gastos_custeados_por_captação</v>
      </c>
      <c r="S1149" s="351" t="str">
        <f>IF(D1149="","",IF(OR(D1149=Plano!$A$1,D1149=Plano!$B$1),"entrada","saída"))</f>
        <v>saída</v>
      </c>
      <c r="T1149" s="334" t="s">
        <v>1082</v>
      </c>
      <c r="U1149" s="334">
        <v>1301</v>
      </c>
      <c r="V1149" s="269"/>
      <c r="W1149" s="269"/>
    </row>
    <row r="1150" spans="1:23" ht="176.25" customHeight="1" x14ac:dyDescent="0.2">
      <c r="A1150" s="277">
        <f t="shared" si="0"/>
        <v>1146</v>
      </c>
      <c r="B1150" s="348">
        <v>44260</v>
      </c>
      <c r="C1150" s="249">
        <v>44228</v>
      </c>
      <c r="D1150" s="252" t="s">
        <v>104</v>
      </c>
      <c r="E1150" s="252" t="s">
        <v>104</v>
      </c>
      <c r="F1150" s="251">
        <v>3201</v>
      </c>
      <c r="G1150" s="255" t="s">
        <v>3855</v>
      </c>
      <c r="H1150" s="252" t="s">
        <v>104</v>
      </c>
      <c r="I1150" s="250" t="s">
        <v>2649</v>
      </c>
      <c r="J1150" s="252" t="s">
        <v>3856</v>
      </c>
      <c r="K1150" s="252" t="s">
        <v>1015</v>
      </c>
      <c r="L1150" s="252" t="s">
        <v>1016</v>
      </c>
      <c r="M1150" s="252" t="s">
        <v>2429</v>
      </c>
      <c r="N1150" s="348">
        <v>44260</v>
      </c>
      <c r="O1150" s="394" t="s">
        <v>68</v>
      </c>
      <c r="P1150" s="386">
        <f t="shared" ref="P1150:Q1150" si="1147">IF(B1150=0,0,IF(YEAR(B1150)=$Q$1,MONTH(B1150)-$P$1+1,(YEAR(B1150)-$Q$1)*12-$P$1+1+MONTH(B1150)))</f>
        <v>3</v>
      </c>
      <c r="Q1150" s="330">
        <f t="shared" si="1147"/>
        <v>2</v>
      </c>
      <c r="R1150" s="351" t="str">
        <f t="shared" si="3"/>
        <v>Gastos_custeados_por_captação</v>
      </c>
      <c r="S1150" s="351" t="str">
        <f>IF(D1150="","",IF(OR(D1150=Plano!$A$1,D1150=Plano!$B$1),"entrada","saída"))</f>
        <v>saída</v>
      </c>
      <c r="T1150" s="334" t="s">
        <v>1082</v>
      </c>
      <c r="U1150" s="334">
        <v>1205</v>
      </c>
      <c r="V1150" s="269"/>
      <c r="W1150" s="269"/>
    </row>
    <row r="1151" spans="1:23" ht="184.5" customHeight="1" x14ac:dyDescent="0.2">
      <c r="A1151" s="277">
        <f t="shared" si="0"/>
        <v>1147</v>
      </c>
      <c r="B1151" s="348">
        <v>44260</v>
      </c>
      <c r="C1151" s="249">
        <v>44228</v>
      </c>
      <c r="D1151" s="252" t="s">
        <v>104</v>
      </c>
      <c r="E1151" s="252" t="s">
        <v>104</v>
      </c>
      <c r="F1151" s="251">
        <v>3201</v>
      </c>
      <c r="G1151" s="255" t="s">
        <v>3857</v>
      </c>
      <c r="H1151" s="252" t="s">
        <v>104</v>
      </c>
      <c r="I1151" s="250" t="s">
        <v>2649</v>
      </c>
      <c r="J1151" s="252" t="s">
        <v>3856</v>
      </c>
      <c r="K1151" s="252" t="s">
        <v>1015</v>
      </c>
      <c r="L1151" s="252" t="s">
        <v>1016</v>
      </c>
      <c r="M1151" s="252" t="s">
        <v>1394</v>
      </c>
      <c r="N1151" s="348">
        <v>44260</v>
      </c>
      <c r="O1151" s="394" t="s">
        <v>68</v>
      </c>
      <c r="P1151" s="386">
        <f t="shared" ref="P1151:Q1151" si="1148">IF(B1151=0,0,IF(YEAR(B1151)=$Q$1,MONTH(B1151)-$P$1+1,(YEAR(B1151)-$Q$1)*12-$P$1+1+MONTH(B1151)))</f>
        <v>3</v>
      </c>
      <c r="Q1151" s="330">
        <f t="shared" si="1148"/>
        <v>2</v>
      </c>
      <c r="R1151" s="351" t="str">
        <f t="shared" si="3"/>
        <v>Gastos_custeados_por_captação</v>
      </c>
      <c r="S1151" s="351" t="str">
        <f>IF(D1151="","",IF(OR(D1151=Plano!$A$1,D1151=Plano!$B$1),"entrada","saída"))</f>
        <v>saída</v>
      </c>
      <c r="T1151" s="334" t="s">
        <v>1082</v>
      </c>
      <c r="U1151" s="334">
        <v>1214</v>
      </c>
      <c r="V1151" s="269"/>
      <c r="W1151" s="269"/>
    </row>
    <row r="1152" spans="1:23" ht="182.25" customHeight="1" x14ac:dyDescent="0.2">
      <c r="A1152" s="277">
        <f t="shared" si="0"/>
        <v>1148</v>
      </c>
      <c r="B1152" s="348">
        <v>44260</v>
      </c>
      <c r="C1152" s="249">
        <v>44228</v>
      </c>
      <c r="D1152" s="252" t="s">
        <v>104</v>
      </c>
      <c r="E1152" s="252" t="s">
        <v>104</v>
      </c>
      <c r="F1152" s="251">
        <v>3201</v>
      </c>
      <c r="G1152" s="255" t="s">
        <v>3858</v>
      </c>
      <c r="H1152" s="252" t="s">
        <v>104</v>
      </c>
      <c r="I1152" s="250" t="s">
        <v>2649</v>
      </c>
      <c r="J1152" s="252" t="s">
        <v>3856</v>
      </c>
      <c r="K1152" s="252" t="s">
        <v>1015</v>
      </c>
      <c r="L1152" s="252" t="s">
        <v>1016</v>
      </c>
      <c r="M1152" s="252" t="s">
        <v>3859</v>
      </c>
      <c r="N1152" s="348">
        <v>44260</v>
      </c>
      <c r="O1152" s="394" t="s">
        <v>68</v>
      </c>
      <c r="P1152" s="386">
        <f t="shared" ref="P1152:Q1152" si="1149">IF(B1152=0,0,IF(YEAR(B1152)=$Q$1,MONTH(B1152)-$P$1+1,(YEAR(B1152)-$Q$1)*12-$P$1+1+MONTH(B1152)))</f>
        <v>3</v>
      </c>
      <c r="Q1152" s="330">
        <f t="shared" si="1149"/>
        <v>2</v>
      </c>
      <c r="R1152" s="351" t="str">
        <f t="shared" si="3"/>
        <v>Gastos_custeados_por_captação</v>
      </c>
      <c r="S1152" s="351" t="str">
        <f>IF(D1152="","",IF(OR(D1152=Plano!$A$1,D1152=Plano!$B$1),"entrada","saída"))</f>
        <v>saída</v>
      </c>
      <c r="T1152" s="334" t="s">
        <v>1082</v>
      </c>
      <c r="U1152" s="334">
        <v>1207</v>
      </c>
      <c r="V1152" s="269"/>
      <c r="W1152" s="269"/>
    </row>
    <row r="1153" spans="1:23" ht="163.5" customHeight="1" x14ac:dyDescent="0.2">
      <c r="A1153" s="277">
        <f t="shared" si="0"/>
        <v>1149</v>
      </c>
      <c r="B1153" s="348">
        <v>44260</v>
      </c>
      <c r="C1153" s="249">
        <v>44228</v>
      </c>
      <c r="D1153" s="252" t="s">
        <v>104</v>
      </c>
      <c r="E1153" s="252" t="s">
        <v>104</v>
      </c>
      <c r="F1153" s="251">
        <v>3201</v>
      </c>
      <c r="G1153" s="255" t="s">
        <v>3860</v>
      </c>
      <c r="H1153" s="252" t="s">
        <v>104</v>
      </c>
      <c r="I1153" s="250" t="s">
        <v>2649</v>
      </c>
      <c r="J1153" s="252" t="s">
        <v>3856</v>
      </c>
      <c r="K1153" s="252" t="s">
        <v>1015</v>
      </c>
      <c r="L1153" s="252" t="s">
        <v>1016</v>
      </c>
      <c r="M1153" s="252" t="s">
        <v>2152</v>
      </c>
      <c r="N1153" s="348">
        <v>44260</v>
      </c>
      <c r="O1153" s="394" t="s">
        <v>68</v>
      </c>
      <c r="P1153" s="386">
        <f t="shared" ref="P1153:Q1153" si="1150">IF(B1153=0,0,IF(YEAR(B1153)=$Q$1,MONTH(B1153)-$P$1+1,(YEAR(B1153)-$Q$1)*12-$P$1+1+MONTH(B1153)))</f>
        <v>3</v>
      </c>
      <c r="Q1153" s="330">
        <f t="shared" si="1150"/>
        <v>2</v>
      </c>
      <c r="R1153" s="351" t="str">
        <f t="shared" si="3"/>
        <v>Gastos_custeados_por_captação</v>
      </c>
      <c r="S1153" s="351" t="str">
        <f>IF(D1153="","",IF(OR(D1153=Plano!$A$1,D1153=Plano!$B$1),"entrada","saída"))</f>
        <v>saída</v>
      </c>
      <c r="T1153" s="334" t="s">
        <v>1082</v>
      </c>
      <c r="U1153" s="334">
        <v>1208</v>
      </c>
      <c r="V1153" s="269"/>
      <c r="W1153" s="269"/>
    </row>
    <row r="1154" spans="1:23" ht="186" customHeight="1" x14ac:dyDescent="0.2">
      <c r="A1154" s="277">
        <f t="shared" si="0"/>
        <v>1150</v>
      </c>
      <c r="B1154" s="348">
        <v>44260</v>
      </c>
      <c r="C1154" s="249">
        <v>44228</v>
      </c>
      <c r="D1154" s="252" t="s">
        <v>104</v>
      </c>
      <c r="E1154" s="252" t="s">
        <v>104</v>
      </c>
      <c r="F1154" s="251">
        <v>3201</v>
      </c>
      <c r="G1154" s="255" t="s">
        <v>3861</v>
      </c>
      <c r="H1154" s="252" t="s">
        <v>104</v>
      </c>
      <c r="I1154" s="250" t="s">
        <v>2649</v>
      </c>
      <c r="J1154" s="252" t="s">
        <v>3856</v>
      </c>
      <c r="K1154" s="252" t="s">
        <v>1015</v>
      </c>
      <c r="L1154" s="252" t="s">
        <v>1016</v>
      </c>
      <c r="M1154" s="252" t="s">
        <v>1045</v>
      </c>
      <c r="N1154" s="348">
        <v>44260</v>
      </c>
      <c r="O1154" s="394" t="s">
        <v>68</v>
      </c>
      <c r="P1154" s="386">
        <f t="shared" ref="P1154:Q1154" si="1151">IF(B1154=0,0,IF(YEAR(B1154)=$Q$1,MONTH(B1154)-$P$1+1,(YEAR(B1154)-$Q$1)*12-$P$1+1+MONTH(B1154)))</f>
        <v>3</v>
      </c>
      <c r="Q1154" s="330">
        <f t="shared" si="1151"/>
        <v>2</v>
      </c>
      <c r="R1154" s="351" t="str">
        <f t="shared" si="3"/>
        <v>Gastos_custeados_por_captação</v>
      </c>
      <c r="S1154" s="351" t="str">
        <f>IF(D1154="","",IF(OR(D1154=Plano!$A$1,D1154=Plano!$B$1),"entrada","saída"))</f>
        <v>saída</v>
      </c>
      <c r="T1154" s="334" t="s">
        <v>1082</v>
      </c>
      <c r="U1154" s="334">
        <v>1209</v>
      </c>
      <c r="V1154" s="269"/>
      <c r="W1154" s="269"/>
    </row>
    <row r="1155" spans="1:23" ht="171" customHeight="1" x14ac:dyDescent="0.2">
      <c r="A1155" s="277">
        <f t="shared" si="0"/>
        <v>1151</v>
      </c>
      <c r="B1155" s="348">
        <v>44260</v>
      </c>
      <c r="C1155" s="249">
        <v>44228</v>
      </c>
      <c r="D1155" s="252" t="s">
        <v>104</v>
      </c>
      <c r="E1155" s="252" t="s">
        <v>104</v>
      </c>
      <c r="F1155" s="251">
        <v>3201</v>
      </c>
      <c r="G1155" s="255" t="s">
        <v>3862</v>
      </c>
      <c r="H1155" s="252" t="s">
        <v>104</v>
      </c>
      <c r="I1155" s="250" t="s">
        <v>2649</v>
      </c>
      <c r="J1155" s="252" t="s">
        <v>3856</v>
      </c>
      <c r="K1155" s="252" t="s">
        <v>1015</v>
      </c>
      <c r="L1155" s="252" t="s">
        <v>1016</v>
      </c>
      <c r="M1155" s="252" t="s">
        <v>1052</v>
      </c>
      <c r="N1155" s="348">
        <v>44260</v>
      </c>
      <c r="O1155" s="394" t="s">
        <v>68</v>
      </c>
      <c r="P1155" s="386">
        <f t="shared" ref="P1155:Q1155" si="1152">IF(B1155=0,0,IF(YEAR(B1155)=$Q$1,MONTH(B1155)-$P$1+1,(YEAR(B1155)-$Q$1)*12-$P$1+1+MONTH(B1155)))</f>
        <v>3</v>
      </c>
      <c r="Q1155" s="330">
        <f t="shared" si="1152"/>
        <v>2</v>
      </c>
      <c r="R1155" s="351" t="str">
        <f t="shared" si="3"/>
        <v>Gastos_custeados_por_captação</v>
      </c>
      <c r="S1155" s="351" t="str">
        <f>IF(D1155="","",IF(OR(D1155=Plano!$A$1,D1155=Plano!$B$1),"entrada","saída"))</f>
        <v>saída</v>
      </c>
      <c r="T1155" s="334" t="s">
        <v>1082</v>
      </c>
      <c r="U1155" s="334">
        <v>1210</v>
      </c>
      <c r="V1155" s="269"/>
      <c r="W1155" s="269"/>
    </row>
    <row r="1156" spans="1:23" ht="150.75" customHeight="1" x14ac:dyDescent="0.2">
      <c r="A1156" s="277">
        <f t="shared" si="0"/>
        <v>1152</v>
      </c>
      <c r="B1156" s="348">
        <v>44260</v>
      </c>
      <c r="C1156" s="249">
        <v>44228</v>
      </c>
      <c r="D1156" s="252" t="s">
        <v>104</v>
      </c>
      <c r="E1156" s="252" t="s">
        <v>104</v>
      </c>
      <c r="F1156" s="251">
        <v>3201</v>
      </c>
      <c r="G1156" s="255" t="s">
        <v>3863</v>
      </c>
      <c r="H1156" s="252" t="s">
        <v>104</v>
      </c>
      <c r="I1156" s="250" t="s">
        <v>2649</v>
      </c>
      <c r="J1156" s="252" t="s">
        <v>3856</v>
      </c>
      <c r="K1156" s="252" t="s">
        <v>1015</v>
      </c>
      <c r="L1156" s="252" t="s">
        <v>1016</v>
      </c>
      <c r="M1156" s="252" t="s">
        <v>1608</v>
      </c>
      <c r="N1156" s="348">
        <v>44260</v>
      </c>
      <c r="O1156" s="394" t="s">
        <v>68</v>
      </c>
      <c r="P1156" s="386">
        <f t="shared" ref="P1156:Q1156" si="1153">IF(B1156=0,0,IF(YEAR(B1156)=$Q$1,MONTH(B1156)-$P$1+1,(YEAR(B1156)-$Q$1)*12-$P$1+1+MONTH(B1156)))</f>
        <v>3</v>
      </c>
      <c r="Q1156" s="330">
        <f t="shared" si="1153"/>
        <v>2</v>
      </c>
      <c r="R1156" s="351" t="str">
        <f t="shared" si="3"/>
        <v>Gastos_custeados_por_captação</v>
      </c>
      <c r="S1156" s="351" t="str">
        <f>IF(D1156="","",IF(OR(D1156=Plano!$A$1,D1156=Plano!$B$1),"entrada","saída"))</f>
        <v>saída</v>
      </c>
      <c r="T1156" s="334" t="s">
        <v>1082</v>
      </c>
      <c r="U1156" s="334">
        <v>1211</v>
      </c>
      <c r="V1156" s="269"/>
      <c r="W1156" s="269"/>
    </row>
    <row r="1157" spans="1:23" ht="165.75" customHeight="1" x14ac:dyDescent="0.2">
      <c r="A1157" s="277">
        <f t="shared" si="0"/>
        <v>1153</v>
      </c>
      <c r="B1157" s="348">
        <v>44260</v>
      </c>
      <c r="C1157" s="249">
        <v>44228</v>
      </c>
      <c r="D1157" s="252" t="s">
        <v>104</v>
      </c>
      <c r="E1157" s="252" t="s">
        <v>104</v>
      </c>
      <c r="F1157" s="251">
        <v>3201</v>
      </c>
      <c r="G1157" s="255" t="s">
        <v>3864</v>
      </c>
      <c r="H1157" s="252" t="s">
        <v>104</v>
      </c>
      <c r="I1157" s="250" t="s">
        <v>2649</v>
      </c>
      <c r="J1157" s="252" t="s">
        <v>3856</v>
      </c>
      <c r="K1157" s="252" t="s">
        <v>1015</v>
      </c>
      <c r="L1157" s="252" t="s">
        <v>1016</v>
      </c>
      <c r="M1157" s="252" t="s">
        <v>1329</v>
      </c>
      <c r="N1157" s="348">
        <v>44260</v>
      </c>
      <c r="O1157" s="394" t="s">
        <v>68</v>
      </c>
      <c r="P1157" s="386">
        <f t="shared" ref="P1157:Q1157" si="1154">IF(B1157=0,0,IF(YEAR(B1157)=$Q$1,MONTH(B1157)-$P$1+1,(YEAR(B1157)-$Q$1)*12-$P$1+1+MONTH(B1157)))</f>
        <v>3</v>
      </c>
      <c r="Q1157" s="330">
        <f t="shared" si="1154"/>
        <v>2</v>
      </c>
      <c r="R1157" s="351" t="str">
        <f t="shared" si="3"/>
        <v>Gastos_custeados_por_captação</v>
      </c>
      <c r="S1157" s="351" t="str">
        <f>IF(D1157="","",IF(OR(D1157=Plano!$A$1,D1157=Plano!$B$1),"entrada","saída"))</f>
        <v>saída</v>
      </c>
      <c r="T1157" s="334" t="s">
        <v>1082</v>
      </c>
      <c r="U1157" s="334">
        <v>1212</v>
      </c>
      <c r="V1157" s="269"/>
      <c r="W1157" s="269"/>
    </row>
    <row r="1158" spans="1:23" ht="161.25" customHeight="1" x14ac:dyDescent="0.2">
      <c r="A1158" s="277">
        <f t="shared" si="0"/>
        <v>1154</v>
      </c>
      <c r="B1158" s="348">
        <v>44260</v>
      </c>
      <c r="C1158" s="249">
        <v>44228</v>
      </c>
      <c r="D1158" s="252" t="s">
        <v>104</v>
      </c>
      <c r="E1158" s="252" t="s">
        <v>104</v>
      </c>
      <c r="F1158" s="251">
        <v>3201</v>
      </c>
      <c r="G1158" s="255" t="s">
        <v>3865</v>
      </c>
      <c r="H1158" s="252" t="s">
        <v>104</v>
      </c>
      <c r="I1158" s="250" t="s">
        <v>2649</v>
      </c>
      <c r="J1158" s="252" t="s">
        <v>3856</v>
      </c>
      <c r="K1158" s="252" t="s">
        <v>1015</v>
      </c>
      <c r="L1158" s="252" t="s">
        <v>1016</v>
      </c>
      <c r="M1158" s="397"/>
      <c r="N1158" s="348">
        <v>44260</v>
      </c>
      <c r="O1158" s="394" t="s">
        <v>68</v>
      </c>
      <c r="P1158" s="386">
        <f t="shared" ref="P1158:Q1158" si="1155">IF(B1158=0,0,IF(YEAR(B1158)=$Q$1,MONTH(B1158)-$P$1+1,(YEAR(B1158)-$Q$1)*12-$P$1+1+MONTH(B1158)))</f>
        <v>3</v>
      </c>
      <c r="Q1158" s="330">
        <f t="shared" si="1155"/>
        <v>2</v>
      </c>
      <c r="R1158" s="351" t="str">
        <f t="shared" si="3"/>
        <v>Gastos_custeados_por_captação</v>
      </c>
      <c r="S1158" s="351" t="str">
        <f>IF(D1158="","",IF(OR(D1158=Plano!$A$1,D1158=Plano!$B$1),"entrada","saída"))</f>
        <v>saída</v>
      </c>
      <c r="T1158" s="334" t="s">
        <v>1082</v>
      </c>
      <c r="U1158" s="334">
        <v>1213</v>
      </c>
      <c r="V1158" s="269"/>
      <c r="W1158" s="269"/>
    </row>
    <row r="1159" spans="1:23" ht="69.75" customHeight="1" x14ac:dyDescent="0.2">
      <c r="A1159" s="277">
        <f t="shared" si="0"/>
        <v>1155</v>
      </c>
      <c r="B1159" s="278">
        <v>44263</v>
      </c>
      <c r="C1159" s="256">
        <v>44228</v>
      </c>
      <c r="D1159" s="255" t="s">
        <v>99</v>
      </c>
      <c r="E1159" s="255" t="s">
        <v>270</v>
      </c>
      <c r="F1159" s="258">
        <v>-56.45</v>
      </c>
      <c r="G1159" s="396" t="s">
        <v>3866</v>
      </c>
      <c r="H1159" s="255" t="s">
        <v>115</v>
      </c>
      <c r="I1159" s="250" t="s">
        <v>983</v>
      </c>
      <c r="J1159" s="255" t="s">
        <v>850</v>
      </c>
      <c r="K1159" s="255" t="s">
        <v>946</v>
      </c>
      <c r="L1159" s="250" t="s">
        <v>947</v>
      </c>
      <c r="M1159" s="255" t="s">
        <v>114</v>
      </c>
      <c r="N1159" s="278">
        <v>44263</v>
      </c>
      <c r="O1159" s="329" t="s">
        <v>67</v>
      </c>
      <c r="P1159" s="386">
        <f t="shared" ref="P1159:Q1159" si="1156">IF(B1159=0,0,IF(YEAR(B1159)=$Q$1,MONTH(B1159)-$P$1+1,(YEAR(B1159)-$Q$1)*12-$P$1+1+MONTH(B1159)))</f>
        <v>3</v>
      </c>
      <c r="Q1159" s="330">
        <f t="shared" si="1156"/>
        <v>2</v>
      </c>
      <c r="R1159" s="351" t="str">
        <f t="shared" si="3"/>
        <v>Gastos_Gerais</v>
      </c>
      <c r="S1159" s="351" t="str">
        <f>IF(D1159="","",IF(OR(D1159=Plano!$A$1,D1159=Plano!$B$1),"entrada","saída"))</f>
        <v>saída</v>
      </c>
      <c r="T1159" s="334" t="s">
        <v>114</v>
      </c>
      <c r="U1159" s="334" t="s">
        <v>114</v>
      </c>
      <c r="V1159" s="269"/>
      <c r="W1159" s="269"/>
    </row>
    <row r="1160" spans="1:23" ht="149.25" customHeight="1" x14ac:dyDescent="0.2">
      <c r="A1160" s="277">
        <f t="shared" si="0"/>
        <v>1156</v>
      </c>
      <c r="B1160" s="278">
        <v>44263</v>
      </c>
      <c r="C1160" s="256">
        <v>44228</v>
      </c>
      <c r="D1160" s="255" t="s">
        <v>99</v>
      </c>
      <c r="E1160" s="255" t="s">
        <v>262</v>
      </c>
      <c r="F1160" s="258">
        <v>-270</v>
      </c>
      <c r="G1160" s="396" t="s">
        <v>3867</v>
      </c>
      <c r="H1160" s="255" t="s">
        <v>115</v>
      </c>
      <c r="I1160" s="250" t="s">
        <v>983</v>
      </c>
      <c r="J1160" s="255" t="s">
        <v>850</v>
      </c>
      <c r="K1160" s="255" t="s">
        <v>946</v>
      </c>
      <c r="L1160" s="250" t="s">
        <v>947</v>
      </c>
      <c r="M1160" s="255" t="s">
        <v>114</v>
      </c>
      <c r="N1160" s="278">
        <v>44263</v>
      </c>
      <c r="O1160" s="329" t="s">
        <v>67</v>
      </c>
      <c r="P1160" s="386">
        <f t="shared" ref="P1160:Q1160" si="1157">IF(B1160=0,0,IF(YEAR(B1160)=$Q$1,MONTH(B1160)-$P$1+1,(YEAR(B1160)-$Q$1)*12-$P$1+1+MONTH(B1160)))</f>
        <v>3</v>
      </c>
      <c r="Q1160" s="330">
        <f t="shared" si="1157"/>
        <v>2</v>
      </c>
      <c r="R1160" s="351" t="str">
        <f t="shared" si="3"/>
        <v>Gastos_Gerais</v>
      </c>
      <c r="S1160" s="351" t="str">
        <f>IF(D1160="","",IF(OR(D1160=Plano!$A$1,D1160=Plano!$B$1),"entrada","saída"))</f>
        <v>saída</v>
      </c>
      <c r="T1160" s="334" t="s">
        <v>114</v>
      </c>
      <c r="U1160" s="334" t="s">
        <v>114</v>
      </c>
      <c r="V1160" s="269"/>
      <c r="W1160" s="269"/>
    </row>
    <row r="1161" spans="1:23" ht="69.75" customHeight="1" x14ac:dyDescent="0.2">
      <c r="A1161" s="277">
        <f t="shared" si="0"/>
        <v>1157</v>
      </c>
      <c r="B1161" s="278">
        <v>44263</v>
      </c>
      <c r="C1161" s="256">
        <v>44228</v>
      </c>
      <c r="D1161" s="255" t="s">
        <v>99</v>
      </c>
      <c r="E1161" s="255" t="s">
        <v>270</v>
      </c>
      <c r="F1161" s="258">
        <v>488.32</v>
      </c>
      <c r="G1161" s="255" t="s">
        <v>2666</v>
      </c>
      <c r="H1161" s="255" t="s">
        <v>115</v>
      </c>
      <c r="I1161" s="250" t="s">
        <v>2667</v>
      </c>
      <c r="J1161" s="255" t="s">
        <v>3868</v>
      </c>
      <c r="K1161" s="255" t="s">
        <v>991</v>
      </c>
      <c r="L1161" s="250" t="s">
        <v>1177</v>
      </c>
      <c r="M1161" s="255" t="s">
        <v>114</v>
      </c>
      <c r="N1161" s="278">
        <v>44263</v>
      </c>
      <c r="O1161" s="329" t="s">
        <v>67</v>
      </c>
      <c r="P1161" s="386">
        <f t="shared" ref="P1161:Q1161" si="1158">IF(B1161=0,0,IF(YEAR(B1161)=$Q$1,MONTH(B1161)-$P$1+1,(YEAR(B1161)-$Q$1)*12-$P$1+1+MONTH(B1161)))</f>
        <v>3</v>
      </c>
      <c r="Q1161" s="330">
        <f t="shared" si="1158"/>
        <v>2</v>
      </c>
      <c r="R1161" s="351" t="str">
        <f t="shared" si="3"/>
        <v>Gastos_Gerais</v>
      </c>
      <c r="S1161" s="351" t="str">
        <f>IF(D1161="","",IF(OR(D1161=Plano!$A$1,D1161=Plano!$B$1),"entrada","saída"))</f>
        <v>saída</v>
      </c>
      <c r="T1161" s="334" t="s">
        <v>114</v>
      </c>
      <c r="U1161" s="334" t="s">
        <v>114</v>
      </c>
      <c r="V1161" s="269"/>
      <c r="W1161" s="269"/>
    </row>
    <row r="1162" spans="1:23" ht="129.75" customHeight="1" x14ac:dyDescent="0.2">
      <c r="A1162" s="277">
        <f t="shared" si="0"/>
        <v>1158</v>
      </c>
      <c r="B1162" s="278">
        <v>44263</v>
      </c>
      <c r="C1162" s="256">
        <v>44228</v>
      </c>
      <c r="D1162" s="255" t="s">
        <v>99</v>
      </c>
      <c r="E1162" s="255" t="s">
        <v>254</v>
      </c>
      <c r="F1162" s="258">
        <v>500</v>
      </c>
      <c r="G1162" s="255" t="s">
        <v>651</v>
      </c>
      <c r="H1162" s="255" t="s">
        <v>115</v>
      </c>
      <c r="I1162" s="250" t="s">
        <v>1135</v>
      </c>
      <c r="J1162" s="252" t="s">
        <v>652</v>
      </c>
      <c r="K1162" s="255" t="s">
        <v>991</v>
      </c>
      <c r="L1162" s="250" t="s">
        <v>1177</v>
      </c>
      <c r="M1162" s="255" t="s">
        <v>114</v>
      </c>
      <c r="N1162" s="278">
        <v>44263</v>
      </c>
      <c r="O1162" s="329" t="s">
        <v>67</v>
      </c>
      <c r="P1162" s="386">
        <f t="shared" ref="P1162:Q1162" si="1159">IF(B1162=0,0,IF(YEAR(B1162)=$Q$1,MONTH(B1162)-$P$1+1,(YEAR(B1162)-$Q$1)*12-$P$1+1+MONTH(B1162)))</f>
        <v>3</v>
      </c>
      <c r="Q1162" s="330">
        <f t="shared" si="1159"/>
        <v>2</v>
      </c>
      <c r="R1162" s="351" t="str">
        <f t="shared" si="3"/>
        <v>Gastos_Gerais</v>
      </c>
      <c r="S1162" s="351" t="str">
        <f>IF(D1162="","",IF(OR(D1162=Plano!$A$1,D1162=Plano!$B$1),"entrada","saída"))</f>
        <v>saída</v>
      </c>
      <c r="T1162" s="334" t="s">
        <v>1059</v>
      </c>
      <c r="U1162" s="334">
        <v>1139</v>
      </c>
      <c r="V1162" s="269"/>
      <c r="W1162" s="269"/>
    </row>
    <row r="1163" spans="1:23" ht="133.5" customHeight="1" x14ac:dyDescent="0.2">
      <c r="A1163" s="277">
        <f t="shared" si="0"/>
        <v>1159</v>
      </c>
      <c r="B1163" s="278">
        <v>44263</v>
      </c>
      <c r="C1163" s="256">
        <v>44228</v>
      </c>
      <c r="D1163" s="255" t="s">
        <v>99</v>
      </c>
      <c r="E1163" s="255" t="s">
        <v>254</v>
      </c>
      <c r="F1163" s="258">
        <v>250</v>
      </c>
      <c r="G1163" s="255" t="s">
        <v>651</v>
      </c>
      <c r="H1163" s="255" t="s">
        <v>115</v>
      </c>
      <c r="I1163" s="250" t="s">
        <v>1135</v>
      </c>
      <c r="J1163" s="252" t="s">
        <v>652</v>
      </c>
      <c r="K1163" s="255" t="s">
        <v>991</v>
      </c>
      <c r="L1163" s="250" t="s">
        <v>1177</v>
      </c>
      <c r="M1163" s="255" t="s">
        <v>114</v>
      </c>
      <c r="N1163" s="278">
        <v>44263</v>
      </c>
      <c r="O1163" s="329" t="s">
        <v>67</v>
      </c>
      <c r="P1163" s="386">
        <f t="shared" ref="P1163:Q1163" si="1160">IF(B1163=0,0,IF(YEAR(B1163)=$Q$1,MONTH(B1163)-$P$1+1,(YEAR(B1163)-$Q$1)*12-$P$1+1+MONTH(B1163)))</f>
        <v>3</v>
      </c>
      <c r="Q1163" s="330">
        <f t="shared" si="1160"/>
        <v>2</v>
      </c>
      <c r="R1163" s="351" t="str">
        <f t="shared" si="3"/>
        <v>Gastos_Gerais</v>
      </c>
      <c r="S1163" s="351" t="str">
        <f>IF(D1163="","",IF(OR(D1163=Plano!$A$1,D1163=Plano!$B$1),"entrada","saída"))</f>
        <v>saída</v>
      </c>
      <c r="T1163" s="334" t="s">
        <v>1059</v>
      </c>
      <c r="U1163" s="334">
        <v>1139</v>
      </c>
      <c r="V1163" s="269"/>
      <c r="W1163" s="269"/>
    </row>
    <row r="1164" spans="1:23" ht="69.75" customHeight="1" x14ac:dyDescent="0.2">
      <c r="A1164" s="277">
        <f t="shared" si="0"/>
        <v>1160</v>
      </c>
      <c r="B1164" s="278">
        <v>44263</v>
      </c>
      <c r="C1164" s="249">
        <v>44256</v>
      </c>
      <c r="D1164" s="255" t="s">
        <v>99</v>
      </c>
      <c r="E1164" s="255" t="s">
        <v>272</v>
      </c>
      <c r="F1164" s="258">
        <v>10.45</v>
      </c>
      <c r="G1164" s="255" t="s">
        <v>3869</v>
      </c>
      <c r="H1164" s="255" t="s">
        <v>115</v>
      </c>
      <c r="I1164" s="250" t="s">
        <v>949</v>
      </c>
      <c r="J1164" s="255" t="s">
        <v>950</v>
      </c>
      <c r="K1164" s="255" t="s">
        <v>951</v>
      </c>
      <c r="L1164" s="250" t="s">
        <v>947</v>
      </c>
      <c r="M1164" s="279" t="s">
        <v>114</v>
      </c>
      <c r="N1164" s="278">
        <v>44263</v>
      </c>
      <c r="O1164" s="329" t="s">
        <v>67</v>
      </c>
      <c r="P1164" s="386">
        <f t="shared" ref="P1164:Q1164" si="1161">IF(B1164=0,0,IF(YEAR(B1164)=$Q$1,MONTH(B1164)-$P$1+1,(YEAR(B1164)-$Q$1)*12-$P$1+1+MONTH(B1164)))</f>
        <v>3</v>
      </c>
      <c r="Q1164" s="330">
        <f t="shared" si="1161"/>
        <v>3</v>
      </c>
      <c r="R1164" s="351" t="str">
        <f t="shared" si="3"/>
        <v>Gastos_Gerais</v>
      </c>
      <c r="S1164" s="351" t="str">
        <f>IF(D1164="","",IF(OR(D1164=Plano!$A$1,D1164=Plano!$B$1),"entrada","saída"))</f>
        <v>saída</v>
      </c>
      <c r="T1164" s="334" t="s">
        <v>114</v>
      </c>
      <c r="U1164" s="334" t="s">
        <v>114</v>
      </c>
      <c r="V1164" s="269"/>
      <c r="W1164" s="269"/>
    </row>
    <row r="1165" spans="1:23" ht="69.75" customHeight="1" x14ac:dyDescent="0.2">
      <c r="A1165" s="277">
        <f t="shared" si="0"/>
        <v>1161</v>
      </c>
      <c r="B1165" s="278">
        <v>44263</v>
      </c>
      <c r="C1165" s="249">
        <v>44256</v>
      </c>
      <c r="D1165" s="255" t="s">
        <v>99</v>
      </c>
      <c r="E1165" s="255" t="s">
        <v>272</v>
      </c>
      <c r="F1165" s="258">
        <v>10.45</v>
      </c>
      <c r="G1165" s="255" t="s">
        <v>1149</v>
      </c>
      <c r="H1165" s="255" t="s">
        <v>115</v>
      </c>
      <c r="I1165" s="250" t="s">
        <v>949</v>
      </c>
      <c r="J1165" s="255" t="s">
        <v>950</v>
      </c>
      <c r="K1165" s="255" t="s">
        <v>951</v>
      </c>
      <c r="L1165" s="250" t="s">
        <v>947</v>
      </c>
      <c r="M1165" s="279" t="s">
        <v>114</v>
      </c>
      <c r="N1165" s="278">
        <v>44263</v>
      </c>
      <c r="O1165" s="329" t="s">
        <v>67</v>
      </c>
      <c r="P1165" s="386">
        <f t="shared" ref="P1165:Q1165" si="1162">IF(B1165=0,0,IF(YEAR(B1165)=$Q$1,MONTH(B1165)-$P$1+1,(YEAR(B1165)-$Q$1)*12-$P$1+1+MONTH(B1165)))</f>
        <v>3</v>
      </c>
      <c r="Q1165" s="330">
        <f t="shared" si="1162"/>
        <v>3</v>
      </c>
      <c r="R1165" s="351" t="str">
        <f t="shared" si="3"/>
        <v>Gastos_Gerais</v>
      </c>
      <c r="S1165" s="351" t="str">
        <f>IF(D1165="","",IF(OR(D1165=Plano!$A$1,D1165=Plano!$B$1),"entrada","saída"))</f>
        <v>saída</v>
      </c>
      <c r="T1165" s="334" t="s">
        <v>114</v>
      </c>
      <c r="U1165" s="334" t="s">
        <v>114</v>
      </c>
      <c r="V1165" s="269"/>
      <c r="W1165" s="269"/>
    </row>
    <row r="1166" spans="1:23" ht="69.75" customHeight="1" x14ac:dyDescent="0.2">
      <c r="A1166" s="277">
        <f t="shared" si="0"/>
        <v>1162</v>
      </c>
      <c r="B1166" s="278">
        <v>44263</v>
      </c>
      <c r="C1166" s="249">
        <v>44256</v>
      </c>
      <c r="D1166" s="255" t="s">
        <v>99</v>
      </c>
      <c r="E1166" s="255" t="s">
        <v>272</v>
      </c>
      <c r="F1166" s="258">
        <v>10.45</v>
      </c>
      <c r="G1166" s="255" t="s">
        <v>1149</v>
      </c>
      <c r="H1166" s="255" t="s">
        <v>115</v>
      </c>
      <c r="I1166" s="250" t="s">
        <v>949</v>
      </c>
      <c r="J1166" s="255" t="s">
        <v>950</v>
      </c>
      <c r="K1166" s="255" t="s">
        <v>951</v>
      </c>
      <c r="L1166" s="250" t="s">
        <v>947</v>
      </c>
      <c r="M1166" s="279" t="s">
        <v>114</v>
      </c>
      <c r="N1166" s="278">
        <v>44263</v>
      </c>
      <c r="O1166" s="329" t="s">
        <v>67</v>
      </c>
      <c r="P1166" s="386">
        <f t="shared" ref="P1166:Q1166" si="1163">IF(B1166=0,0,IF(YEAR(B1166)=$Q$1,MONTH(B1166)-$P$1+1,(YEAR(B1166)-$Q$1)*12-$P$1+1+MONTH(B1166)))</f>
        <v>3</v>
      </c>
      <c r="Q1166" s="330">
        <f t="shared" si="1163"/>
        <v>3</v>
      </c>
      <c r="R1166" s="351" t="str">
        <f t="shared" si="3"/>
        <v>Gastos_Gerais</v>
      </c>
      <c r="S1166" s="351" t="str">
        <f>IF(D1166="","",IF(OR(D1166=Plano!$A$1,D1166=Plano!$B$1),"entrada","saída"))</f>
        <v>saída</v>
      </c>
      <c r="T1166" s="334" t="s">
        <v>114</v>
      </c>
      <c r="U1166" s="334" t="s">
        <v>114</v>
      </c>
      <c r="V1166" s="269"/>
      <c r="W1166" s="269"/>
    </row>
    <row r="1167" spans="1:23" ht="155.25" customHeight="1" x14ac:dyDescent="0.2">
      <c r="A1167" s="277">
        <f t="shared" si="0"/>
        <v>1163</v>
      </c>
      <c r="B1167" s="278">
        <v>44263</v>
      </c>
      <c r="C1167" s="256">
        <v>44197</v>
      </c>
      <c r="D1167" s="255" t="s">
        <v>104</v>
      </c>
      <c r="E1167" s="255" t="s">
        <v>104</v>
      </c>
      <c r="F1167" s="258">
        <v>600</v>
      </c>
      <c r="G1167" s="255" t="s">
        <v>3870</v>
      </c>
      <c r="H1167" s="255" t="s">
        <v>104</v>
      </c>
      <c r="I1167" s="250" t="s">
        <v>3871</v>
      </c>
      <c r="J1167" s="255" t="s">
        <v>3872</v>
      </c>
      <c r="K1167" s="255" t="s">
        <v>1015</v>
      </c>
      <c r="L1167" s="250" t="s">
        <v>1016</v>
      </c>
      <c r="M1167" s="279">
        <v>6533</v>
      </c>
      <c r="N1167" s="278">
        <v>44235</v>
      </c>
      <c r="O1167" s="329" t="s">
        <v>69</v>
      </c>
      <c r="P1167" s="386">
        <f t="shared" ref="P1167:Q1167" si="1164">IF(B1167=0,0,IF(YEAR(B1167)=$Q$1,MONTH(B1167)-$P$1+1,(YEAR(B1167)-$Q$1)*12-$P$1+1+MONTH(B1167)))</f>
        <v>3</v>
      </c>
      <c r="Q1167" s="330">
        <f t="shared" si="1164"/>
        <v>1</v>
      </c>
      <c r="R1167" s="351" t="str">
        <f t="shared" si="3"/>
        <v>Gastos_custeados_por_captação</v>
      </c>
      <c r="S1167" s="351" t="str">
        <f>IF(D1167="","",IF(OR(D1167=Plano!$A$1,D1167=Plano!$B$1),"entrada","saída"))</f>
        <v>saída</v>
      </c>
      <c r="T1167" s="334" t="s">
        <v>1011</v>
      </c>
      <c r="U1167" s="334">
        <v>1277</v>
      </c>
      <c r="V1167" s="269"/>
      <c r="W1167" s="269"/>
    </row>
    <row r="1168" spans="1:23" ht="144" customHeight="1" x14ac:dyDescent="0.2">
      <c r="A1168" s="277">
        <f t="shared" si="0"/>
        <v>1164</v>
      </c>
      <c r="B1168" s="278">
        <v>44263</v>
      </c>
      <c r="C1168" s="249">
        <v>44228</v>
      </c>
      <c r="D1168" s="255" t="s">
        <v>104</v>
      </c>
      <c r="E1168" s="255" t="s">
        <v>104</v>
      </c>
      <c r="F1168" s="258">
        <v>2125.92</v>
      </c>
      <c r="G1168" s="255" t="s">
        <v>1168</v>
      </c>
      <c r="H1168" s="255" t="s">
        <v>104</v>
      </c>
      <c r="I1168" s="252" t="s">
        <v>1169</v>
      </c>
      <c r="J1168" s="252" t="s">
        <v>1170</v>
      </c>
      <c r="K1168" s="255" t="s">
        <v>1015</v>
      </c>
      <c r="L1168" s="250" t="s">
        <v>1029</v>
      </c>
      <c r="M1168" s="279">
        <v>1096</v>
      </c>
      <c r="N1168" s="278">
        <v>44260</v>
      </c>
      <c r="O1168" s="329" t="s">
        <v>69</v>
      </c>
      <c r="P1168" s="386">
        <f t="shared" ref="P1168:Q1168" si="1165">IF(B1168=0,0,IF(YEAR(B1168)=$Q$1,MONTH(B1168)-$P$1+1,(YEAR(B1168)-$Q$1)*12-$P$1+1+MONTH(B1168)))</f>
        <v>3</v>
      </c>
      <c r="Q1168" s="330">
        <f t="shared" si="1165"/>
        <v>2</v>
      </c>
      <c r="R1168" s="351" t="str">
        <f t="shared" si="3"/>
        <v>Gastos_custeados_por_captação</v>
      </c>
      <c r="S1168" s="351" t="str">
        <f>IF(D1168="","",IF(OR(D1168=Plano!$A$1,D1168=Plano!$B$1),"entrada","saída"))</f>
        <v>saída</v>
      </c>
      <c r="T1168" s="334" t="s">
        <v>1082</v>
      </c>
      <c r="U1168" s="334">
        <v>1302</v>
      </c>
      <c r="V1168" s="269"/>
      <c r="W1168" s="269"/>
    </row>
    <row r="1169" spans="1:23" ht="69.75" customHeight="1" x14ac:dyDescent="0.2">
      <c r="A1169" s="277">
        <f t="shared" si="0"/>
        <v>1165</v>
      </c>
      <c r="B1169" s="350">
        <v>44263</v>
      </c>
      <c r="C1169" s="249">
        <v>44256</v>
      </c>
      <c r="D1169" s="250" t="s">
        <v>104</v>
      </c>
      <c r="E1169" s="250" t="s">
        <v>272</v>
      </c>
      <c r="F1169" s="251">
        <v>10.45</v>
      </c>
      <c r="G1169" s="250" t="s">
        <v>3873</v>
      </c>
      <c r="H1169" s="250" t="s">
        <v>104</v>
      </c>
      <c r="I1169" s="250" t="s">
        <v>949</v>
      </c>
      <c r="J1169" s="250" t="s">
        <v>950</v>
      </c>
      <c r="K1169" s="250" t="s">
        <v>951</v>
      </c>
      <c r="L1169" s="250" t="s">
        <v>947</v>
      </c>
      <c r="M1169" s="393" t="s">
        <v>114</v>
      </c>
      <c r="N1169" s="350">
        <v>44263</v>
      </c>
      <c r="O1169" s="353" t="s">
        <v>71</v>
      </c>
      <c r="P1169" s="386">
        <f t="shared" ref="P1169:Q1169" si="1166">IF(B1169=0,0,IF(YEAR(B1169)=$Q$1,MONTH(B1169)-$P$1+1,(YEAR(B1169)-$Q$1)*12-$P$1+1+MONTH(B1169)))</f>
        <v>3</v>
      </c>
      <c r="Q1169" s="330">
        <f t="shared" si="1166"/>
        <v>3</v>
      </c>
      <c r="R1169" s="351" t="str">
        <f t="shared" si="3"/>
        <v>Gastos_custeados_por_captação</v>
      </c>
      <c r="S1169" s="351" t="str">
        <f>IF(D1169="","",IF(OR(D1169=Plano!$A$1,D1169=Plano!$B$1),"entrada","saída"))</f>
        <v>saída</v>
      </c>
      <c r="T1169" s="334" t="s">
        <v>114</v>
      </c>
      <c r="U1169" s="334" t="s">
        <v>114</v>
      </c>
      <c r="V1169" s="269"/>
      <c r="W1169" s="269"/>
    </row>
    <row r="1170" spans="1:23" ht="69.75" customHeight="1" x14ac:dyDescent="0.2">
      <c r="A1170" s="277">
        <f t="shared" si="0"/>
        <v>1166</v>
      </c>
      <c r="B1170" s="350">
        <v>44263</v>
      </c>
      <c r="C1170" s="249">
        <v>44256</v>
      </c>
      <c r="D1170" s="250" t="s">
        <v>104</v>
      </c>
      <c r="E1170" s="250" t="s">
        <v>272</v>
      </c>
      <c r="F1170" s="251">
        <v>10.45</v>
      </c>
      <c r="G1170" s="250" t="s">
        <v>3873</v>
      </c>
      <c r="H1170" s="250" t="s">
        <v>104</v>
      </c>
      <c r="I1170" s="250" t="s">
        <v>949</v>
      </c>
      <c r="J1170" s="250" t="s">
        <v>950</v>
      </c>
      <c r="K1170" s="250" t="s">
        <v>951</v>
      </c>
      <c r="L1170" s="250" t="s">
        <v>947</v>
      </c>
      <c r="M1170" s="393" t="s">
        <v>114</v>
      </c>
      <c r="N1170" s="350">
        <v>44263</v>
      </c>
      <c r="O1170" s="353" t="s">
        <v>71</v>
      </c>
      <c r="P1170" s="386">
        <f t="shared" ref="P1170:Q1170" si="1167">IF(B1170=0,0,IF(YEAR(B1170)=$Q$1,MONTH(B1170)-$P$1+1,(YEAR(B1170)-$Q$1)*12-$P$1+1+MONTH(B1170)))</f>
        <v>3</v>
      </c>
      <c r="Q1170" s="330">
        <f t="shared" si="1167"/>
        <v>3</v>
      </c>
      <c r="R1170" s="351" t="str">
        <f t="shared" si="3"/>
        <v>Gastos_custeados_por_captação</v>
      </c>
      <c r="S1170" s="351" t="str">
        <f>IF(D1170="","",IF(OR(D1170=Plano!$A$1,D1170=Plano!$B$1),"entrada","saída"))</f>
        <v>saída</v>
      </c>
      <c r="T1170" s="334" t="s">
        <v>114</v>
      </c>
      <c r="U1170" s="334" t="s">
        <v>114</v>
      </c>
      <c r="V1170" s="269"/>
      <c r="W1170" s="269"/>
    </row>
    <row r="1171" spans="1:23" ht="120.75" customHeight="1" x14ac:dyDescent="0.2">
      <c r="A1171" s="277">
        <f t="shared" si="0"/>
        <v>1167</v>
      </c>
      <c r="B1171" s="348">
        <v>44263</v>
      </c>
      <c r="C1171" s="249">
        <v>44228</v>
      </c>
      <c r="D1171" s="252" t="s">
        <v>104</v>
      </c>
      <c r="E1171" s="252" t="s">
        <v>104</v>
      </c>
      <c r="F1171" s="251">
        <v>2300</v>
      </c>
      <c r="G1171" s="255" t="s">
        <v>3680</v>
      </c>
      <c r="H1171" s="252" t="s">
        <v>104</v>
      </c>
      <c r="I1171" s="252" t="s">
        <v>2745</v>
      </c>
      <c r="J1171" s="252" t="s">
        <v>2746</v>
      </c>
      <c r="K1171" s="252" t="s">
        <v>1015</v>
      </c>
      <c r="L1171" s="252" t="s">
        <v>1016</v>
      </c>
      <c r="M1171" s="397">
        <v>49</v>
      </c>
      <c r="N1171" s="348">
        <v>44260</v>
      </c>
      <c r="O1171" s="394" t="s">
        <v>68</v>
      </c>
      <c r="P1171" s="386">
        <f t="shared" ref="P1171:Q1171" si="1168">IF(B1171=0,0,IF(YEAR(B1171)=$Q$1,MONTH(B1171)-$P$1+1,(YEAR(B1171)-$Q$1)*12-$P$1+1+MONTH(B1171)))</f>
        <v>3</v>
      </c>
      <c r="Q1171" s="330">
        <f t="shared" si="1168"/>
        <v>2</v>
      </c>
      <c r="R1171" s="351" t="str">
        <f t="shared" si="3"/>
        <v>Gastos_custeados_por_captação</v>
      </c>
      <c r="S1171" s="351" t="str">
        <f>IF(D1171="","",IF(OR(D1171=Plano!$A$1,D1171=Plano!$B$1),"entrada","saída"))</f>
        <v>saída</v>
      </c>
      <c r="T1171" s="334" t="s">
        <v>1082</v>
      </c>
      <c r="U1171" s="334">
        <v>1225</v>
      </c>
      <c r="V1171" s="398"/>
      <c r="W1171" s="398"/>
    </row>
    <row r="1172" spans="1:23" ht="186.75" customHeight="1" x14ac:dyDescent="0.2">
      <c r="A1172" s="277">
        <f t="shared" si="0"/>
        <v>1168</v>
      </c>
      <c r="B1172" s="348">
        <v>44263</v>
      </c>
      <c r="C1172" s="249">
        <v>44228</v>
      </c>
      <c r="D1172" s="252" t="s">
        <v>104</v>
      </c>
      <c r="E1172" s="252" t="s">
        <v>104</v>
      </c>
      <c r="F1172" s="251">
        <v>2300</v>
      </c>
      <c r="G1172" s="255" t="s">
        <v>3874</v>
      </c>
      <c r="H1172" s="252" t="s">
        <v>104</v>
      </c>
      <c r="I1172" s="250" t="s">
        <v>1047</v>
      </c>
      <c r="J1172" s="252" t="s">
        <v>1048</v>
      </c>
      <c r="K1172" s="252" t="s">
        <v>1015</v>
      </c>
      <c r="L1172" s="252" t="s">
        <v>1016</v>
      </c>
      <c r="M1172" s="252" t="s">
        <v>1017</v>
      </c>
      <c r="N1172" s="348">
        <v>44260</v>
      </c>
      <c r="O1172" s="394" t="s">
        <v>68</v>
      </c>
      <c r="P1172" s="386">
        <f t="shared" ref="P1172:Q1172" si="1169">IF(B1172=0,0,IF(YEAR(B1172)=$Q$1,MONTH(B1172)-$P$1+1,(YEAR(B1172)-$Q$1)*12-$P$1+1+MONTH(B1172)))</f>
        <v>3</v>
      </c>
      <c r="Q1172" s="330">
        <f t="shared" si="1169"/>
        <v>2</v>
      </c>
      <c r="R1172" s="351" t="str">
        <f t="shared" si="3"/>
        <v>Gastos_custeados_por_captação</v>
      </c>
      <c r="S1172" s="351" t="str">
        <f>IF(D1172="","",IF(OR(D1172=Plano!$A$1,D1172=Plano!$B$1),"entrada","saída"))</f>
        <v>saída</v>
      </c>
      <c r="T1172" s="334" t="s">
        <v>1082</v>
      </c>
      <c r="U1172" s="334">
        <v>1193</v>
      </c>
      <c r="V1172" s="398"/>
      <c r="W1172" s="398"/>
    </row>
    <row r="1173" spans="1:23" ht="198.75" customHeight="1" x14ac:dyDescent="0.2">
      <c r="A1173" s="277">
        <f t="shared" si="0"/>
        <v>1169</v>
      </c>
      <c r="B1173" s="348">
        <v>44263</v>
      </c>
      <c r="C1173" s="249">
        <v>44228</v>
      </c>
      <c r="D1173" s="252" t="s">
        <v>104</v>
      </c>
      <c r="E1173" s="252" t="s">
        <v>104</v>
      </c>
      <c r="F1173" s="251">
        <v>2300</v>
      </c>
      <c r="G1173" s="255" t="s">
        <v>3679</v>
      </c>
      <c r="H1173" s="252" t="s">
        <v>104</v>
      </c>
      <c r="I1173" s="250" t="s">
        <v>2915</v>
      </c>
      <c r="J1173" s="252" t="s">
        <v>1648</v>
      </c>
      <c r="K1173" s="252" t="s">
        <v>1015</v>
      </c>
      <c r="L1173" s="252" t="s">
        <v>1016</v>
      </c>
      <c r="M1173" s="397">
        <v>147</v>
      </c>
      <c r="N1173" s="348">
        <v>44260</v>
      </c>
      <c r="O1173" s="394" t="s">
        <v>68</v>
      </c>
      <c r="P1173" s="386">
        <f t="shared" ref="P1173:Q1173" si="1170">IF(B1173=0,0,IF(YEAR(B1173)=$Q$1,MONTH(B1173)-$P$1+1,(YEAR(B1173)-$Q$1)*12-$P$1+1+MONTH(B1173)))</f>
        <v>3</v>
      </c>
      <c r="Q1173" s="330">
        <f t="shared" si="1170"/>
        <v>2</v>
      </c>
      <c r="R1173" s="351" t="str">
        <f t="shared" si="3"/>
        <v>Gastos_custeados_por_captação</v>
      </c>
      <c r="S1173" s="351" t="str">
        <f>IF(D1173="","",IF(OR(D1173=Plano!$A$1,D1173=Plano!$B$1),"entrada","saída"))</f>
        <v>saída</v>
      </c>
      <c r="T1173" s="334" t="s">
        <v>1082</v>
      </c>
      <c r="U1173" s="334">
        <v>1197</v>
      </c>
      <c r="V1173" s="398"/>
      <c r="W1173" s="398"/>
    </row>
    <row r="1174" spans="1:23" ht="105.75" customHeight="1" x14ac:dyDescent="0.2">
      <c r="A1174" s="277">
        <f t="shared" si="0"/>
        <v>1170</v>
      </c>
      <c r="B1174" s="348">
        <v>44263</v>
      </c>
      <c r="C1174" s="249">
        <v>44228</v>
      </c>
      <c r="D1174" s="252" t="s">
        <v>104</v>
      </c>
      <c r="E1174" s="252" t="s">
        <v>104</v>
      </c>
      <c r="F1174" s="251">
        <v>2300</v>
      </c>
      <c r="G1174" s="255" t="s">
        <v>3680</v>
      </c>
      <c r="H1174" s="252" t="s">
        <v>104</v>
      </c>
      <c r="I1174" s="252" t="s">
        <v>2890</v>
      </c>
      <c r="J1174" s="252" t="s">
        <v>672</v>
      </c>
      <c r="K1174" s="252" t="s">
        <v>1015</v>
      </c>
      <c r="L1174" s="252" t="s">
        <v>1016</v>
      </c>
      <c r="M1174" s="397">
        <v>162</v>
      </c>
      <c r="N1174" s="348">
        <v>44259</v>
      </c>
      <c r="O1174" s="394" t="s">
        <v>68</v>
      </c>
      <c r="P1174" s="386">
        <f t="shared" ref="P1174:Q1174" si="1171">IF(B1174=0,0,IF(YEAR(B1174)=$Q$1,MONTH(B1174)-$P$1+1,(YEAR(B1174)-$Q$1)*12-$P$1+1+MONTH(B1174)))</f>
        <v>3</v>
      </c>
      <c r="Q1174" s="330">
        <f t="shared" si="1171"/>
        <v>2</v>
      </c>
      <c r="R1174" s="351" t="str">
        <f t="shared" si="3"/>
        <v>Gastos_custeados_por_captação</v>
      </c>
      <c r="S1174" s="351" t="str">
        <f>IF(D1174="","",IF(OR(D1174=Plano!$A$1,D1174=Plano!$B$1),"entrada","saída"))</f>
        <v>saída</v>
      </c>
      <c r="T1174" s="334" t="s">
        <v>1082</v>
      </c>
      <c r="U1174" s="334">
        <v>1220</v>
      </c>
      <c r="V1174" s="398"/>
      <c r="W1174" s="398"/>
    </row>
    <row r="1175" spans="1:23" ht="180" customHeight="1" x14ac:dyDescent="0.2">
      <c r="A1175" s="277">
        <f t="shared" si="0"/>
        <v>1171</v>
      </c>
      <c r="B1175" s="348">
        <v>44263</v>
      </c>
      <c r="C1175" s="249">
        <v>44228</v>
      </c>
      <c r="D1175" s="252" t="s">
        <v>104</v>
      </c>
      <c r="E1175" s="252" t="s">
        <v>104</v>
      </c>
      <c r="F1175" s="257">
        <v>569.6</v>
      </c>
      <c r="G1175" s="252" t="s">
        <v>3875</v>
      </c>
      <c r="H1175" s="252" t="s">
        <v>104</v>
      </c>
      <c r="I1175" s="252" t="s">
        <v>1535</v>
      </c>
      <c r="J1175" s="252" t="s">
        <v>1536</v>
      </c>
      <c r="K1175" s="252" t="s">
        <v>1015</v>
      </c>
      <c r="L1175" s="252" t="s">
        <v>1029</v>
      </c>
      <c r="M1175" s="397">
        <v>1095</v>
      </c>
      <c r="N1175" s="348">
        <v>44259</v>
      </c>
      <c r="O1175" s="394" t="s">
        <v>68</v>
      </c>
      <c r="P1175" s="386">
        <f t="shared" ref="P1175:Q1175" si="1172">IF(B1175=0,0,IF(YEAR(B1175)=$Q$1,MONTH(B1175)-$P$1+1,(YEAR(B1175)-$Q$1)*12-$P$1+1+MONTH(B1175)))</f>
        <v>3</v>
      </c>
      <c r="Q1175" s="330">
        <f t="shared" si="1172"/>
        <v>2</v>
      </c>
      <c r="R1175" s="351" t="str">
        <f t="shared" si="3"/>
        <v>Gastos_custeados_por_captação</v>
      </c>
      <c r="S1175" s="351" t="str">
        <f>IF(D1175="","",IF(OR(D1175=Plano!$A$1,D1175=Plano!$B$1),"entrada","saída"))</f>
        <v>saída</v>
      </c>
      <c r="T1175" s="334" t="s">
        <v>994</v>
      </c>
      <c r="U1175" s="334">
        <v>1370</v>
      </c>
      <c r="V1175" s="398"/>
      <c r="W1175" s="398"/>
    </row>
    <row r="1176" spans="1:23" ht="69.75" customHeight="1" x14ac:dyDescent="0.2">
      <c r="A1176" s="277">
        <f t="shared" si="0"/>
        <v>1172</v>
      </c>
      <c r="B1176" s="278">
        <v>44264</v>
      </c>
      <c r="C1176" s="256">
        <v>44228</v>
      </c>
      <c r="D1176" s="255" t="s">
        <v>99</v>
      </c>
      <c r="E1176" s="255" t="s">
        <v>208</v>
      </c>
      <c r="F1176" s="258">
        <v>-1781.24</v>
      </c>
      <c r="G1176" s="255" t="s">
        <v>3876</v>
      </c>
      <c r="H1176" s="255" t="s">
        <v>115</v>
      </c>
      <c r="I1176" s="250" t="s">
        <v>983</v>
      </c>
      <c r="J1176" s="255" t="s">
        <v>850</v>
      </c>
      <c r="K1176" s="255" t="s">
        <v>946</v>
      </c>
      <c r="L1176" s="250" t="s">
        <v>947</v>
      </c>
      <c r="M1176" s="255" t="s">
        <v>114</v>
      </c>
      <c r="N1176" s="278">
        <v>44264</v>
      </c>
      <c r="O1176" s="329" t="s">
        <v>67</v>
      </c>
      <c r="P1176" s="386">
        <f t="shared" ref="P1176:Q1176" si="1173">IF(B1176=0,0,IF(YEAR(B1176)=$Q$1,MONTH(B1176)-$P$1+1,(YEAR(B1176)-$Q$1)*12-$P$1+1+MONTH(B1176)))</f>
        <v>3</v>
      </c>
      <c r="Q1176" s="330">
        <f t="shared" si="1173"/>
        <v>2</v>
      </c>
      <c r="R1176" s="351" t="str">
        <f t="shared" si="3"/>
        <v>Gastos_Gerais</v>
      </c>
      <c r="S1176" s="351" t="str">
        <f>IF(D1176="","",IF(OR(D1176=Plano!$A$1,D1176=Plano!$B$1),"entrada","saída"))</f>
        <v>saída</v>
      </c>
      <c r="T1176" s="334" t="s">
        <v>114</v>
      </c>
      <c r="U1176" s="334" t="s">
        <v>114</v>
      </c>
      <c r="V1176" s="269"/>
      <c r="W1176" s="269"/>
    </row>
    <row r="1177" spans="1:23" ht="69.75" customHeight="1" x14ac:dyDescent="0.2">
      <c r="A1177" s="277">
        <f t="shared" si="0"/>
        <v>1173</v>
      </c>
      <c r="B1177" s="278">
        <v>44264</v>
      </c>
      <c r="C1177" s="256">
        <v>44228</v>
      </c>
      <c r="D1177" s="255" t="s">
        <v>99</v>
      </c>
      <c r="E1177" s="255" t="s">
        <v>212</v>
      </c>
      <c r="F1177" s="258">
        <v>-342.39</v>
      </c>
      <c r="G1177" s="255" t="s">
        <v>3876</v>
      </c>
      <c r="H1177" s="255" t="s">
        <v>115</v>
      </c>
      <c r="I1177" s="250" t="s">
        <v>983</v>
      </c>
      <c r="J1177" s="255" t="s">
        <v>850</v>
      </c>
      <c r="K1177" s="255" t="s">
        <v>946</v>
      </c>
      <c r="L1177" s="250" t="s">
        <v>947</v>
      </c>
      <c r="M1177" s="255" t="s">
        <v>114</v>
      </c>
      <c r="N1177" s="278">
        <v>44264</v>
      </c>
      <c r="O1177" s="329" t="s">
        <v>67</v>
      </c>
      <c r="P1177" s="386">
        <f t="shared" ref="P1177:Q1177" si="1174">IF(B1177=0,0,IF(YEAR(B1177)=$Q$1,MONTH(B1177)-$P$1+1,(YEAR(B1177)-$Q$1)*12-$P$1+1+MONTH(B1177)))</f>
        <v>3</v>
      </c>
      <c r="Q1177" s="330">
        <f t="shared" si="1174"/>
        <v>2</v>
      </c>
      <c r="R1177" s="351" t="str">
        <f t="shared" si="3"/>
        <v>Gastos_Gerais</v>
      </c>
      <c r="S1177" s="351" t="str">
        <f>IF(D1177="","",IF(OR(D1177=Plano!$A$1,D1177=Plano!$B$1),"entrada","saída"))</f>
        <v>saída</v>
      </c>
      <c r="T1177" s="334" t="s">
        <v>114</v>
      </c>
      <c r="U1177" s="334" t="s">
        <v>114</v>
      </c>
      <c r="V1177" s="269"/>
      <c r="W1177" s="269"/>
    </row>
    <row r="1178" spans="1:23" ht="69.75" customHeight="1" x14ac:dyDescent="0.2">
      <c r="A1178" s="277">
        <f t="shared" si="0"/>
        <v>1174</v>
      </c>
      <c r="B1178" s="278">
        <v>44264</v>
      </c>
      <c r="C1178" s="256">
        <v>44228</v>
      </c>
      <c r="D1178" s="255" t="s">
        <v>99</v>
      </c>
      <c r="E1178" s="255" t="s">
        <v>208</v>
      </c>
      <c r="F1178" s="258">
        <v>8819.0400000000009</v>
      </c>
      <c r="G1178" s="255" t="s">
        <v>3877</v>
      </c>
      <c r="H1178" s="255" t="s">
        <v>115</v>
      </c>
      <c r="I1178" s="252" t="s">
        <v>518</v>
      </c>
      <c r="J1178" s="252" t="s">
        <v>519</v>
      </c>
      <c r="K1178" s="255" t="s">
        <v>560</v>
      </c>
      <c r="L1178" s="250" t="s">
        <v>114</v>
      </c>
      <c r="M1178" s="255">
        <v>3</v>
      </c>
      <c r="N1178" s="278">
        <v>44264</v>
      </c>
      <c r="O1178" s="329" t="s">
        <v>67</v>
      </c>
      <c r="P1178" s="386">
        <f t="shared" ref="P1178:Q1178" si="1175">IF(B1178=0,0,IF(YEAR(B1178)=$Q$1,MONTH(B1178)-$P$1+1,(YEAR(B1178)-$Q$1)*12-$P$1+1+MONTH(B1178)))</f>
        <v>3</v>
      </c>
      <c r="Q1178" s="330">
        <f t="shared" si="1175"/>
        <v>2</v>
      </c>
      <c r="R1178" s="351" t="str">
        <f t="shared" si="3"/>
        <v>Gastos_Gerais</v>
      </c>
      <c r="S1178" s="351" t="str">
        <f>IF(D1178="","",IF(OR(D1178=Plano!$A$1,D1178=Plano!$B$1),"entrada","saída"))</f>
        <v>saída</v>
      </c>
      <c r="T1178" s="334" t="s">
        <v>114</v>
      </c>
      <c r="U1178" s="334" t="s">
        <v>114</v>
      </c>
      <c r="V1178" s="269"/>
      <c r="W1178" s="269"/>
    </row>
    <row r="1179" spans="1:23" ht="69.75" customHeight="1" x14ac:dyDescent="0.2">
      <c r="A1179" s="277">
        <f t="shared" si="0"/>
        <v>1175</v>
      </c>
      <c r="B1179" s="278">
        <v>44264</v>
      </c>
      <c r="C1179" s="256">
        <v>44228</v>
      </c>
      <c r="D1179" s="255" t="s">
        <v>99</v>
      </c>
      <c r="E1179" s="255" t="s">
        <v>212</v>
      </c>
      <c r="F1179" s="258">
        <v>1693.33</v>
      </c>
      <c r="G1179" s="255" t="s">
        <v>3878</v>
      </c>
      <c r="H1179" s="255" t="s">
        <v>115</v>
      </c>
      <c r="I1179" s="252" t="s">
        <v>518</v>
      </c>
      <c r="J1179" s="252" t="s">
        <v>519</v>
      </c>
      <c r="K1179" s="255" t="s">
        <v>560</v>
      </c>
      <c r="L1179" s="250" t="s">
        <v>947</v>
      </c>
      <c r="M1179" s="255" t="s">
        <v>114</v>
      </c>
      <c r="N1179" s="278">
        <v>44264</v>
      </c>
      <c r="O1179" s="329" t="s">
        <v>67</v>
      </c>
      <c r="P1179" s="386">
        <f t="shared" ref="P1179:Q1179" si="1176">IF(B1179=0,0,IF(YEAR(B1179)=$Q$1,MONTH(B1179)-$P$1+1,(YEAR(B1179)-$Q$1)*12-$P$1+1+MONTH(B1179)))</f>
        <v>3</v>
      </c>
      <c r="Q1179" s="330">
        <f t="shared" si="1176"/>
        <v>2</v>
      </c>
      <c r="R1179" s="351" t="str">
        <f t="shared" si="3"/>
        <v>Gastos_Gerais</v>
      </c>
      <c r="S1179" s="351" t="str">
        <f>IF(D1179="","",IF(OR(D1179=Plano!$A$1,D1179=Plano!$B$1),"entrada","saída"))</f>
        <v>saída</v>
      </c>
      <c r="T1179" s="334" t="s">
        <v>114</v>
      </c>
      <c r="U1179" s="334" t="s">
        <v>114</v>
      </c>
      <c r="V1179" s="269"/>
      <c r="W1179" s="269"/>
    </row>
    <row r="1180" spans="1:23" ht="69.75" customHeight="1" x14ac:dyDescent="0.2">
      <c r="A1180" s="277">
        <f t="shared" si="0"/>
        <v>1176</v>
      </c>
      <c r="B1180" s="278">
        <v>44264</v>
      </c>
      <c r="C1180" s="256">
        <v>44197</v>
      </c>
      <c r="D1180" s="255" t="s">
        <v>99</v>
      </c>
      <c r="E1180" s="255" t="s">
        <v>330</v>
      </c>
      <c r="F1180" s="258">
        <v>180.87</v>
      </c>
      <c r="G1180" s="255" t="s">
        <v>3879</v>
      </c>
      <c r="H1180" s="255" t="s">
        <v>115</v>
      </c>
      <c r="I1180" s="250" t="s">
        <v>1197</v>
      </c>
      <c r="J1180" s="255" t="s">
        <v>3880</v>
      </c>
      <c r="K1180" s="255" t="s">
        <v>991</v>
      </c>
      <c r="L1180" s="250" t="s">
        <v>3881</v>
      </c>
      <c r="M1180" s="255" t="s">
        <v>114</v>
      </c>
      <c r="N1180" s="278">
        <v>44228</v>
      </c>
      <c r="O1180" s="329" t="s">
        <v>67</v>
      </c>
      <c r="P1180" s="386">
        <f t="shared" ref="P1180:Q1180" si="1177">IF(B1180=0,0,IF(YEAR(B1180)=$Q$1,MONTH(B1180)-$P$1+1,(YEAR(B1180)-$Q$1)*12-$P$1+1+MONTH(B1180)))</f>
        <v>3</v>
      </c>
      <c r="Q1180" s="330">
        <f t="shared" si="1177"/>
        <v>1</v>
      </c>
      <c r="R1180" s="351" t="str">
        <f t="shared" si="3"/>
        <v>Gastos_Gerais</v>
      </c>
      <c r="S1180" s="351" t="str">
        <f>IF(D1180="","",IF(OR(D1180=Plano!$A$1,D1180=Plano!$B$1),"entrada","saída"))</f>
        <v>saída</v>
      </c>
      <c r="T1180" s="334" t="s">
        <v>994</v>
      </c>
      <c r="U1180" s="334">
        <v>1253</v>
      </c>
      <c r="V1180" s="269"/>
      <c r="W1180" s="269"/>
    </row>
    <row r="1181" spans="1:23" ht="69.75" customHeight="1" x14ac:dyDescent="0.2">
      <c r="A1181" s="277">
        <f t="shared" si="0"/>
        <v>1177</v>
      </c>
      <c r="B1181" s="278">
        <v>44264</v>
      </c>
      <c r="C1181" s="249">
        <v>44256</v>
      </c>
      <c r="D1181" s="255" t="s">
        <v>99</v>
      </c>
      <c r="E1181" s="255" t="s">
        <v>272</v>
      </c>
      <c r="F1181" s="258">
        <v>10.45</v>
      </c>
      <c r="G1181" s="255" t="s">
        <v>3882</v>
      </c>
      <c r="H1181" s="255" t="s">
        <v>115</v>
      </c>
      <c r="I1181" s="250" t="s">
        <v>949</v>
      </c>
      <c r="J1181" s="255" t="s">
        <v>950</v>
      </c>
      <c r="K1181" s="255" t="s">
        <v>951</v>
      </c>
      <c r="L1181" s="250" t="s">
        <v>947</v>
      </c>
      <c r="M1181" s="279" t="s">
        <v>114</v>
      </c>
      <c r="N1181" s="278">
        <v>44264</v>
      </c>
      <c r="O1181" s="329" t="s">
        <v>67</v>
      </c>
      <c r="P1181" s="386">
        <f t="shared" ref="P1181:Q1181" si="1178">IF(B1181=0,0,IF(YEAR(B1181)=$Q$1,MONTH(B1181)-$P$1+1,(YEAR(B1181)-$Q$1)*12-$P$1+1+MONTH(B1181)))</f>
        <v>3</v>
      </c>
      <c r="Q1181" s="330">
        <f t="shared" si="1178"/>
        <v>3</v>
      </c>
      <c r="R1181" s="351" t="str">
        <f t="shared" si="3"/>
        <v>Gastos_Gerais</v>
      </c>
      <c r="S1181" s="351" t="str">
        <f>IF(D1181="","",IF(OR(D1181=Plano!$A$1,D1181=Plano!$B$1),"entrada","saída"))</f>
        <v>saída</v>
      </c>
      <c r="T1181" s="334" t="s">
        <v>114</v>
      </c>
      <c r="U1181" s="334" t="s">
        <v>114</v>
      </c>
      <c r="V1181" s="269"/>
      <c r="W1181" s="269"/>
    </row>
    <row r="1182" spans="1:23" ht="138.75" customHeight="1" x14ac:dyDescent="0.2">
      <c r="A1182" s="277">
        <f t="shared" si="0"/>
        <v>1178</v>
      </c>
      <c r="B1182" s="278">
        <v>44264</v>
      </c>
      <c r="C1182" s="249">
        <v>44105</v>
      </c>
      <c r="D1182" s="255" t="s">
        <v>104</v>
      </c>
      <c r="E1182" s="255" t="s">
        <v>104</v>
      </c>
      <c r="F1182" s="258">
        <v>500</v>
      </c>
      <c r="G1182" s="255" t="s">
        <v>3883</v>
      </c>
      <c r="H1182" s="255" t="s">
        <v>104</v>
      </c>
      <c r="I1182" s="252" t="s">
        <v>3884</v>
      </c>
      <c r="J1182" s="252" t="s">
        <v>3885</v>
      </c>
      <c r="K1182" s="255" t="s">
        <v>1015</v>
      </c>
      <c r="L1182" s="250" t="s">
        <v>1016</v>
      </c>
      <c r="M1182" s="279">
        <v>404.2</v>
      </c>
      <c r="N1182" s="278">
        <v>44263</v>
      </c>
      <c r="O1182" s="329" t="s">
        <v>69</v>
      </c>
      <c r="P1182" s="386">
        <f t="shared" ref="P1182:Q1182" si="1179">IF(B1182=0,0,IF(YEAR(B1182)=$Q$1,MONTH(B1182)-$P$1+1,(YEAR(B1182)-$Q$1)*12-$P$1+1+MONTH(B1182)))</f>
        <v>3</v>
      </c>
      <c r="Q1182" s="330">
        <f t="shared" si="1179"/>
        <v>-2</v>
      </c>
      <c r="R1182" s="351" t="str">
        <f t="shared" si="3"/>
        <v>Gastos_custeados_por_captação</v>
      </c>
      <c r="S1182" s="351" t="str">
        <f>IF(D1182="","",IF(OR(D1182=Plano!$A$1,D1182=Plano!$B$1),"entrada","saída"))</f>
        <v>saída</v>
      </c>
      <c r="T1182" s="334" t="s">
        <v>994</v>
      </c>
      <c r="U1182" s="334">
        <v>735</v>
      </c>
      <c r="V1182" s="269"/>
      <c r="W1182" s="269"/>
    </row>
    <row r="1183" spans="1:23" ht="126" customHeight="1" x14ac:dyDescent="0.2">
      <c r="A1183" s="277">
        <f t="shared" si="0"/>
        <v>1179</v>
      </c>
      <c r="B1183" s="278">
        <v>44264</v>
      </c>
      <c r="C1183" s="256">
        <v>44228</v>
      </c>
      <c r="D1183" s="255" t="s">
        <v>104</v>
      </c>
      <c r="E1183" s="255" t="s">
        <v>104</v>
      </c>
      <c r="F1183" s="258">
        <v>3500</v>
      </c>
      <c r="G1183" s="255" t="s">
        <v>3886</v>
      </c>
      <c r="H1183" s="255" t="s">
        <v>104</v>
      </c>
      <c r="I1183" s="250" t="s">
        <v>3887</v>
      </c>
      <c r="J1183" s="255" t="s">
        <v>3888</v>
      </c>
      <c r="K1183" s="255" t="s">
        <v>1015</v>
      </c>
      <c r="L1183" s="250" t="s">
        <v>1016</v>
      </c>
      <c r="M1183" s="279">
        <v>265715</v>
      </c>
      <c r="N1183" s="278">
        <v>44236</v>
      </c>
      <c r="O1183" s="329" t="s">
        <v>69</v>
      </c>
      <c r="P1183" s="386">
        <f t="shared" ref="P1183:Q1183" si="1180">IF(B1183=0,0,IF(YEAR(B1183)=$Q$1,MONTH(B1183)-$P$1+1,(YEAR(B1183)-$Q$1)*12-$P$1+1+MONTH(B1183)))</f>
        <v>3</v>
      </c>
      <c r="Q1183" s="330">
        <f t="shared" si="1180"/>
        <v>2</v>
      </c>
      <c r="R1183" s="351" t="str">
        <f t="shared" si="3"/>
        <v>Gastos_custeados_por_captação</v>
      </c>
      <c r="S1183" s="351" t="str">
        <f>IF(D1183="","",IF(OR(D1183=Plano!$A$1,D1183=Plano!$B$1),"entrada","saída"))</f>
        <v>saída</v>
      </c>
      <c r="T1183" s="334" t="s">
        <v>1011</v>
      </c>
      <c r="U1183" s="334">
        <v>1321</v>
      </c>
      <c r="V1183" s="269"/>
      <c r="W1183" s="269"/>
    </row>
    <row r="1184" spans="1:23" ht="118.5" customHeight="1" x14ac:dyDescent="0.2">
      <c r="A1184" s="277">
        <f t="shared" si="0"/>
        <v>1180</v>
      </c>
      <c r="B1184" s="278">
        <v>44264</v>
      </c>
      <c r="C1184" s="256">
        <v>44228</v>
      </c>
      <c r="D1184" s="255" t="s">
        <v>104</v>
      </c>
      <c r="E1184" s="255" t="s">
        <v>104</v>
      </c>
      <c r="F1184" s="258">
        <v>175</v>
      </c>
      <c r="G1184" s="255" t="s">
        <v>3889</v>
      </c>
      <c r="H1184" s="255" t="s">
        <v>104</v>
      </c>
      <c r="I1184" s="250" t="s">
        <v>3887</v>
      </c>
      <c r="J1184" s="255" t="s">
        <v>3888</v>
      </c>
      <c r="K1184" s="255" t="s">
        <v>1015</v>
      </c>
      <c r="L1184" s="250" t="s">
        <v>1016</v>
      </c>
      <c r="M1184" s="279">
        <v>265716</v>
      </c>
      <c r="N1184" s="278">
        <v>44236</v>
      </c>
      <c r="O1184" s="329" t="s">
        <v>69</v>
      </c>
      <c r="P1184" s="386">
        <f t="shared" ref="P1184:Q1184" si="1181">IF(B1184=0,0,IF(YEAR(B1184)=$Q$1,MONTH(B1184)-$P$1+1,(YEAR(B1184)-$Q$1)*12-$P$1+1+MONTH(B1184)))</f>
        <v>3</v>
      </c>
      <c r="Q1184" s="330">
        <f t="shared" si="1181"/>
        <v>2</v>
      </c>
      <c r="R1184" s="351" t="str">
        <f t="shared" si="3"/>
        <v>Gastos_custeados_por_captação</v>
      </c>
      <c r="S1184" s="351" t="str">
        <f>IF(D1184="","",IF(OR(D1184=Plano!$A$1,D1184=Plano!$B$1),"entrada","saída"))</f>
        <v>saída</v>
      </c>
      <c r="T1184" s="334" t="s">
        <v>1011</v>
      </c>
      <c r="U1184" s="334">
        <v>1323</v>
      </c>
      <c r="V1184" s="269"/>
      <c r="W1184" s="269"/>
    </row>
    <row r="1185" spans="1:23" ht="227.25" customHeight="1" x14ac:dyDescent="0.2">
      <c r="A1185" s="277">
        <f t="shared" si="0"/>
        <v>1181</v>
      </c>
      <c r="B1185" s="278">
        <v>44264</v>
      </c>
      <c r="C1185" s="249">
        <v>44228</v>
      </c>
      <c r="D1185" s="255" t="s">
        <v>104</v>
      </c>
      <c r="E1185" s="255" t="s">
        <v>104</v>
      </c>
      <c r="F1185" s="258">
        <v>3201</v>
      </c>
      <c r="G1185" s="255" t="s">
        <v>3890</v>
      </c>
      <c r="H1185" s="255" t="s">
        <v>104</v>
      </c>
      <c r="I1185" s="250" t="s">
        <v>2649</v>
      </c>
      <c r="J1185" s="252" t="s">
        <v>859</v>
      </c>
      <c r="K1185" s="255" t="s">
        <v>1015</v>
      </c>
      <c r="L1185" s="250" t="s">
        <v>1016</v>
      </c>
      <c r="M1185" s="252" t="s">
        <v>1600</v>
      </c>
      <c r="N1185" s="278">
        <v>44260</v>
      </c>
      <c r="O1185" s="329" t="s">
        <v>68</v>
      </c>
      <c r="P1185" s="386">
        <f t="shared" ref="P1185:Q1185" si="1182">IF(B1185=0,0,IF(YEAR(B1185)=$Q$1,MONTH(B1185)-$P$1+1,(YEAR(B1185)-$Q$1)*12-$P$1+1+MONTH(B1185)))</f>
        <v>3</v>
      </c>
      <c r="Q1185" s="330">
        <f t="shared" si="1182"/>
        <v>2</v>
      </c>
      <c r="R1185" s="351" t="str">
        <f t="shared" si="3"/>
        <v>Gastos_custeados_por_captação</v>
      </c>
      <c r="S1185" s="351" t="str">
        <f>IF(D1185="","",IF(OR(D1185=Plano!$A$1,D1185=Plano!$B$1),"entrada","saída"))</f>
        <v>saída</v>
      </c>
      <c r="T1185" s="334" t="s">
        <v>1082</v>
      </c>
      <c r="U1185" s="334">
        <v>1206</v>
      </c>
      <c r="V1185" s="269"/>
      <c r="W1185" s="269"/>
    </row>
    <row r="1186" spans="1:23" ht="120" customHeight="1" x14ac:dyDescent="0.2">
      <c r="A1186" s="277">
        <f t="shared" si="0"/>
        <v>1182</v>
      </c>
      <c r="B1186" s="278">
        <v>44264</v>
      </c>
      <c r="C1186" s="249">
        <v>44228</v>
      </c>
      <c r="D1186" s="255" t="s">
        <v>104</v>
      </c>
      <c r="E1186" s="255" t="s">
        <v>104</v>
      </c>
      <c r="F1186" s="251">
        <v>2300</v>
      </c>
      <c r="G1186" s="255" t="s">
        <v>3680</v>
      </c>
      <c r="H1186" s="255" t="s">
        <v>104</v>
      </c>
      <c r="I1186" s="252" t="s">
        <v>3891</v>
      </c>
      <c r="J1186" s="252" t="s">
        <v>2923</v>
      </c>
      <c r="K1186" s="255" t="s">
        <v>1015</v>
      </c>
      <c r="L1186" s="250" t="s">
        <v>1016</v>
      </c>
      <c r="M1186" s="252" t="s">
        <v>1017</v>
      </c>
      <c r="N1186" s="278">
        <v>44263</v>
      </c>
      <c r="O1186" s="329" t="s">
        <v>68</v>
      </c>
      <c r="P1186" s="386">
        <f t="shared" ref="P1186:Q1186" si="1183">IF(B1186=0,0,IF(YEAR(B1186)=$Q$1,MONTH(B1186)-$P$1+1,(YEAR(B1186)-$Q$1)*12-$P$1+1+MONTH(B1186)))</f>
        <v>3</v>
      </c>
      <c r="Q1186" s="330">
        <f t="shared" si="1183"/>
        <v>2</v>
      </c>
      <c r="R1186" s="351" t="str">
        <f t="shared" si="3"/>
        <v>Gastos_custeados_por_captação</v>
      </c>
      <c r="S1186" s="351" t="str">
        <f>IF(D1186="","",IF(OR(D1186=Plano!$A$1,D1186=Plano!$B$1),"entrada","saída"))</f>
        <v>saída</v>
      </c>
      <c r="T1186" s="334" t="s">
        <v>1082</v>
      </c>
      <c r="U1186" s="334">
        <v>1228</v>
      </c>
      <c r="V1186" s="269"/>
      <c r="W1186" s="269"/>
    </row>
    <row r="1187" spans="1:23" ht="190.5" customHeight="1" x14ac:dyDescent="0.2">
      <c r="A1187" s="277">
        <f t="shared" si="0"/>
        <v>1183</v>
      </c>
      <c r="B1187" s="278">
        <v>44264</v>
      </c>
      <c r="C1187" s="249">
        <v>44228</v>
      </c>
      <c r="D1187" s="255" t="s">
        <v>104</v>
      </c>
      <c r="E1187" s="255" t="s">
        <v>104</v>
      </c>
      <c r="F1187" s="251">
        <v>2300</v>
      </c>
      <c r="G1187" s="255" t="s">
        <v>3683</v>
      </c>
      <c r="H1187" s="255" t="s">
        <v>104</v>
      </c>
      <c r="I1187" s="250" t="s">
        <v>2770</v>
      </c>
      <c r="J1187" s="252" t="s">
        <v>2771</v>
      </c>
      <c r="K1187" s="255" t="s">
        <v>1015</v>
      </c>
      <c r="L1187" s="250" t="s">
        <v>1016</v>
      </c>
      <c r="M1187" s="252" t="s">
        <v>1017</v>
      </c>
      <c r="N1187" s="278">
        <v>44264</v>
      </c>
      <c r="O1187" s="329" t="s">
        <v>68</v>
      </c>
      <c r="P1187" s="386">
        <f t="shared" ref="P1187:Q1187" si="1184">IF(B1187=0,0,IF(YEAR(B1187)=$Q$1,MONTH(B1187)-$P$1+1,(YEAR(B1187)-$Q$1)*12-$P$1+1+MONTH(B1187)))</f>
        <v>3</v>
      </c>
      <c r="Q1187" s="330">
        <f t="shared" si="1184"/>
        <v>2</v>
      </c>
      <c r="R1187" s="351" t="str">
        <f t="shared" si="3"/>
        <v>Gastos_custeados_por_captação</v>
      </c>
      <c r="S1187" s="351" t="str">
        <f>IF(D1187="","",IF(OR(D1187=Plano!$A$1,D1187=Plano!$B$1),"entrada","saída"))</f>
        <v>saída</v>
      </c>
      <c r="T1187" s="334" t="s">
        <v>1082</v>
      </c>
      <c r="U1187" s="334">
        <v>1199</v>
      </c>
      <c r="V1187" s="269"/>
      <c r="W1187" s="269"/>
    </row>
    <row r="1188" spans="1:23" ht="69.75" customHeight="1" x14ac:dyDescent="0.2">
      <c r="A1188" s="277">
        <f t="shared" si="0"/>
        <v>1184</v>
      </c>
      <c r="B1188" s="278">
        <v>44265</v>
      </c>
      <c r="C1188" s="249">
        <v>44228</v>
      </c>
      <c r="D1188" s="255" t="s">
        <v>99</v>
      </c>
      <c r="E1188" s="255" t="s">
        <v>266</v>
      </c>
      <c r="F1188" s="258">
        <v>-112.7</v>
      </c>
      <c r="G1188" s="255" t="s">
        <v>3892</v>
      </c>
      <c r="H1188" s="255" t="s">
        <v>115</v>
      </c>
      <c r="I1188" s="250" t="s">
        <v>983</v>
      </c>
      <c r="J1188" s="255" t="s">
        <v>850</v>
      </c>
      <c r="K1188" s="255" t="s">
        <v>946</v>
      </c>
      <c r="L1188" s="250" t="s">
        <v>947</v>
      </c>
      <c r="M1188" s="255" t="s">
        <v>114</v>
      </c>
      <c r="N1188" s="278">
        <v>44265</v>
      </c>
      <c r="O1188" s="329" t="s">
        <v>67</v>
      </c>
      <c r="P1188" s="386">
        <f t="shared" ref="P1188:Q1188" si="1185">IF(B1188=0,0,IF(YEAR(B1188)=$Q$1,MONTH(B1188)-$P$1+1,(YEAR(B1188)-$Q$1)*12-$P$1+1+MONTH(B1188)))</f>
        <v>3</v>
      </c>
      <c r="Q1188" s="330">
        <f t="shared" si="1185"/>
        <v>2</v>
      </c>
      <c r="R1188" s="351" t="str">
        <f t="shared" si="3"/>
        <v>Gastos_Gerais</v>
      </c>
      <c r="S1188" s="351" t="str">
        <f>IF(D1188="","",IF(OR(D1188=Plano!$A$1,D1188=Plano!$B$1),"entrada","saída"))</f>
        <v>saída</v>
      </c>
      <c r="T1188" s="334" t="s">
        <v>114</v>
      </c>
      <c r="U1188" s="334" t="s">
        <v>114</v>
      </c>
      <c r="V1188" s="269"/>
      <c r="W1188" s="269"/>
    </row>
    <row r="1189" spans="1:23" ht="69.75" customHeight="1" x14ac:dyDescent="0.2">
      <c r="A1189" s="277">
        <f t="shared" si="0"/>
        <v>1185</v>
      </c>
      <c r="B1189" s="278">
        <v>44265</v>
      </c>
      <c r="C1189" s="249">
        <v>44228</v>
      </c>
      <c r="D1189" s="255" t="s">
        <v>99</v>
      </c>
      <c r="E1189" s="255" t="s">
        <v>246</v>
      </c>
      <c r="F1189" s="258">
        <v>-197.34</v>
      </c>
      <c r="G1189" s="255" t="s">
        <v>3893</v>
      </c>
      <c r="H1189" s="255" t="s">
        <v>115</v>
      </c>
      <c r="I1189" s="250" t="s">
        <v>983</v>
      </c>
      <c r="J1189" s="255" t="s">
        <v>850</v>
      </c>
      <c r="K1189" s="255" t="s">
        <v>946</v>
      </c>
      <c r="L1189" s="250" t="s">
        <v>947</v>
      </c>
      <c r="M1189" s="255" t="s">
        <v>114</v>
      </c>
      <c r="N1189" s="278">
        <v>44265</v>
      </c>
      <c r="O1189" s="329" t="s">
        <v>67</v>
      </c>
      <c r="P1189" s="386">
        <f t="shared" ref="P1189:Q1189" si="1186">IF(B1189=0,0,IF(YEAR(B1189)=$Q$1,MONTH(B1189)-$P$1+1,(YEAR(B1189)-$Q$1)*12-$P$1+1+MONTH(B1189)))</f>
        <v>3</v>
      </c>
      <c r="Q1189" s="330">
        <f t="shared" si="1186"/>
        <v>2</v>
      </c>
      <c r="R1189" s="351" t="str">
        <f t="shared" si="3"/>
        <v>Gastos_Gerais</v>
      </c>
      <c r="S1189" s="351" t="str">
        <f>IF(D1189="","",IF(OR(D1189=Plano!$A$1,D1189=Plano!$B$1),"entrada","saída"))</f>
        <v>saída</v>
      </c>
      <c r="T1189" s="334" t="s">
        <v>114</v>
      </c>
      <c r="U1189" s="334" t="s">
        <v>114</v>
      </c>
      <c r="V1189" s="269"/>
      <c r="W1189" s="269"/>
    </row>
    <row r="1190" spans="1:23" ht="202.5" customHeight="1" x14ac:dyDescent="0.2">
      <c r="A1190" s="277">
        <f t="shared" si="0"/>
        <v>1186</v>
      </c>
      <c r="B1190" s="278">
        <v>44265</v>
      </c>
      <c r="C1190" s="249">
        <v>44228</v>
      </c>
      <c r="D1190" s="255" t="s">
        <v>99</v>
      </c>
      <c r="E1190" s="255" t="s">
        <v>224</v>
      </c>
      <c r="F1190" s="258">
        <v>49.99</v>
      </c>
      <c r="G1190" s="255" t="s">
        <v>642</v>
      </c>
      <c r="H1190" s="255" t="s">
        <v>130</v>
      </c>
      <c r="I1190" s="252" t="s">
        <v>1374</v>
      </c>
      <c r="J1190" s="252" t="s">
        <v>644</v>
      </c>
      <c r="K1190" s="255" t="s">
        <v>1375</v>
      </c>
      <c r="L1190" s="250" t="s">
        <v>1016</v>
      </c>
      <c r="M1190" s="255">
        <v>1181158</v>
      </c>
      <c r="N1190" s="278" t="s">
        <v>3894</v>
      </c>
      <c r="O1190" s="329" t="s">
        <v>67</v>
      </c>
      <c r="P1190" s="386">
        <f t="shared" ref="P1190:Q1190" si="1187">IF(B1190=0,0,IF(YEAR(B1190)=$Q$1,MONTH(B1190)-$P$1+1,(YEAR(B1190)-$Q$1)*12-$P$1+1+MONTH(B1190)))</f>
        <v>3</v>
      </c>
      <c r="Q1190" s="330">
        <f t="shared" si="1187"/>
        <v>2</v>
      </c>
      <c r="R1190" s="351" t="str">
        <f t="shared" si="3"/>
        <v>Gastos_Gerais</v>
      </c>
      <c r="S1190" s="351" t="str">
        <f>IF(D1190="","",IF(OR(D1190=Plano!$A$1,D1190=Plano!$B$1),"entrada","saída"))</f>
        <v>saída</v>
      </c>
      <c r="T1190" s="334" t="s">
        <v>1059</v>
      </c>
      <c r="U1190" s="334">
        <v>277</v>
      </c>
      <c r="V1190" s="269"/>
      <c r="W1190" s="269"/>
    </row>
    <row r="1191" spans="1:23" ht="126" customHeight="1" x14ac:dyDescent="0.2">
      <c r="A1191" s="277">
        <f t="shared" si="0"/>
        <v>1187</v>
      </c>
      <c r="B1191" s="278">
        <v>44265</v>
      </c>
      <c r="C1191" s="249">
        <v>44228</v>
      </c>
      <c r="D1191" s="255" t="s">
        <v>99</v>
      </c>
      <c r="E1191" s="255" t="s">
        <v>266</v>
      </c>
      <c r="F1191" s="258">
        <v>255.72</v>
      </c>
      <c r="G1191" s="255" t="s">
        <v>480</v>
      </c>
      <c r="H1191" s="255" t="s">
        <v>115</v>
      </c>
      <c r="I1191" s="252" t="s">
        <v>1372</v>
      </c>
      <c r="J1191" s="252" t="s">
        <v>482</v>
      </c>
      <c r="K1191" s="255" t="s">
        <v>560</v>
      </c>
      <c r="L1191" s="250" t="s">
        <v>1016</v>
      </c>
      <c r="M1191" s="255" t="s">
        <v>3895</v>
      </c>
      <c r="N1191" s="278">
        <v>44231</v>
      </c>
      <c r="O1191" s="329" t="s">
        <v>67</v>
      </c>
      <c r="P1191" s="386">
        <f t="shared" ref="P1191:Q1191" si="1188">IF(B1191=0,0,IF(YEAR(B1191)=$Q$1,MONTH(B1191)-$P$1+1,(YEAR(B1191)-$Q$1)*12-$P$1+1+MONTH(B1191)))</f>
        <v>3</v>
      </c>
      <c r="Q1191" s="330">
        <f t="shared" si="1188"/>
        <v>2</v>
      </c>
      <c r="R1191" s="351" t="str">
        <f t="shared" si="3"/>
        <v>Gastos_Gerais</v>
      </c>
      <c r="S1191" s="351" t="str">
        <f>IF(D1191="","",IF(OR(D1191=Plano!$A$1,D1191=Plano!$B$1),"entrada","saída"))</f>
        <v>saída</v>
      </c>
      <c r="T1191" s="334" t="s">
        <v>1059</v>
      </c>
      <c r="U1191" s="334">
        <v>1133</v>
      </c>
      <c r="V1191" s="269"/>
      <c r="W1191" s="269"/>
    </row>
    <row r="1192" spans="1:23" ht="135.75" customHeight="1" x14ac:dyDescent="0.2">
      <c r="A1192" s="277">
        <f t="shared" si="0"/>
        <v>1188</v>
      </c>
      <c r="B1192" s="278">
        <v>44265</v>
      </c>
      <c r="C1192" s="249">
        <v>44228</v>
      </c>
      <c r="D1192" s="255" t="s">
        <v>99</v>
      </c>
      <c r="E1192" s="255" t="s">
        <v>246</v>
      </c>
      <c r="F1192" s="257">
        <v>600</v>
      </c>
      <c r="G1192" s="252" t="s">
        <v>1369</v>
      </c>
      <c r="H1192" s="255" t="s">
        <v>115</v>
      </c>
      <c r="I1192" s="250" t="s">
        <v>1370</v>
      </c>
      <c r="J1192" s="252" t="s">
        <v>1371</v>
      </c>
      <c r="K1192" s="255" t="s">
        <v>560</v>
      </c>
      <c r="L1192" s="250" t="s">
        <v>1016</v>
      </c>
      <c r="M1192" s="255" t="s">
        <v>3896</v>
      </c>
      <c r="N1192" s="278">
        <v>44259</v>
      </c>
      <c r="O1192" s="329" t="s">
        <v>67</v>
      </c>
      <c r="P1192" s="386">
        <f t="shared" ref="P1192:Q1192" si="1189">IF(B1192=0,0,IF(YEAR(B1192)=$Q$1,MONTH(B1192)-$P$1+1,(YEAR(B1192)-$Q$1)*12-$P$1+1+MONTH(B1192)))</f>
        <v>3</v>
      </c>
      <c r="Q1192" s="330">
        <f t="shared" si="1189"/>
        <v>2</v>
      </c>
      <c r="R1192" s="351" t="str">
        <f t="shared" si="3"/>
        <v>Gastos_Gerais</v>
      </c>
      <c r="S1192" s="351" t="str">
        <f>IF(D1192="","",IF(OR(D1192=Plano!$A$1,D1192=Plano!$B$1),"entrada","saída"))</f>
        <v>saída</v>
      </c>
      <c r="T1192" s="334" t="s">
        <v>1059</v>
      </c>
      <c r="U1192" s="334">
        <v>1144</v>
      </c>
      <c r="V1192" s="269"/>
      <c r="W1192" s="269"/>
    </row>
    <row r="1193" spans="1:23" ht="189.75" customHeight="1" x14ac:dyDescent="0.2">
      <c r="A1193" s="277">
        <f t="shared" si="0"/>
        <v>1189</v>
      </c>
      <c r="B1193" s="278">
        <v>44265</v>
      </c>
      <c r="C1193" s="249">
        <v>44228</v>
      </c>
      <c r="D1193" s="255" t="s">
        <v>99</v>
      </c>
      <c r="E1193" s="255" t="s">
        <v>336</v>
      </c>
      <c r="F1193" s="258">
        <v>420</v>
      </c>
      <c r="G1193" s="255" t="s">
        <v>3897</v>
      </c>
      <c r="H1193" s="255" t="s">
        <v>116</v>
      </c>
      <c r="I1193" s="252" t="s">
        <v>3898</v>
      </c>
      <c r="J1193" s="252" t="s">
        <v>3899</v>
      </c>
      <c r="K1193" s="255" t="s">
        <v>991</v>
      </c>
      <c r="L1193" s="250" t="s">
        <v>1029</v>
      </c>
      <c r="M1193" s="255">
        <v>1099</v>
      </c>
      <c r="N1193" s="278">
        <v>44264</v>
      </c>
      <c r="O1193" s="329" t="s">
        <v>67</v>
      </c>
      <c r="P1193" s="386">
        <f t="shared" ref="P1193:Q1193" si="1190">IF(B1193=0,0,IF(YEAR(B1193)=$Q$1,MONTH(B1193)-$P$1+1,(YEAR(B1193)-$Q$1)*12-$P$1+1+MONTH(B1193)))</f>
        <v>3</v>
      </c>
      <c r="Q1193" s="330">
        <f t="shared" si="1190"/>
        <v>2</v>
      </c>
      <c r="R1193" s="351" t="str">
        <f t="shared" si="3"/>
        <v>Gastos_Gerais</v>
      </c>
      <c r="S1193" s="351" t="str">
        <f>IF(D1193="","",IF(OR(D1193=Plano!$A$1,D1193=Plano!$B$1),"entrada","saída"))</f>
        <v>saída</v>
      </c>
      <c r="T1193" s="334" t="s">
        <v>994</v>
      </c>
      <c r="U1193" s="334">
        <v>778</v>
      </c>
      <c r="V1193" s="269"/>
      <c r="W1193" s="269"/>
    </row>
    <row r="1194" spans="1:23" ht="69.75" customHeight="1" x14ac:dyDescent="0.2">
      <c r="A1194" s="277">
        <f t="shared" si="0"/>
        <v>1190</v>
      </c>
      <c r="B1194" s="278">
        <v>44265</v>
      </c>
      <c r="C1194" s="249">
        <v>44228</v>
      </c>
      <c r="D1194" s="255" t="s">
        <v>99</v>
      </c>
      <c r="E1194" s="255" t="s">
        <v>352</v>
      </c>
      <c r="F1194" s="258">
        <v>2850</v>
      </c>
      <c r="G1194" s="255" t="s">
        <v>564</v>
      </c>
      <c r="H1194" s="255" t="s">
        <v>131</v>
      </c>
      <c r="I1194" s="252" t="s">
        <v>1332</v>
      </c>
      <c r="J1194" s="252" t="s">
        <v>565</v>
      </c>
      <c r="K1194" s="255" t="s">
        <v>991</v>
      </c>
      <c r="L1194" s="250" t="s">
        <v>1016</v>
      </c>
      <c r="M1194" s="255" t="s">
        <v>1540</v>
      </c>
      <c r="N1194" s="278">
        <v>44265</v>
      </c>
      <c r="O1194" s="329" t="s">
        <v>67</v>
      </c>
      <c r="P1194" s="386">
        <f t="shared" ref="P1194:Q1194" si="1191">IF(B1194=0,0,IF(YEAR(B1194)=$Q$1,MONTH(B1194)-$P$1+1,(YEAR(B1194)-$Q$1)*12-$P$1+1+MONTH(B1194)))</f>
        <v>3</v>
      </c>
      <c r="Q1194" s="330">
        <f t="shared" si="1191"/>
        <v>2</v>
      </c>
      <c r="R1194" s="351" t="str">
        <f t="shared" si="3"/>
        <v>Gastos_Gerais</v>
      </c>
      <c r="S1194" s="351" t="str">
        <f>IF(D1194="","",IF(OR(D1194=Plano!$A$1,D1194=Plano!$B$1),"entrada","saída"))</f>
        <v>saída</v>
      </c>
      <c r="T1194" s="334" t="s">
        <v>1059</v>
      </c>
      <c r="U1194" s="334">
        <v>1280</v>
      </c>
      <c r="V1194" s="269"/>
      <c r="W1194" s="269"/>
    </row>
    <row r="1195" spans="1:23" ht="163.5" customHeight="1" x14ac:dyDescent="0.2">
      <c r="A1195" s="277">
        <f t="shared" si="0"/>
        <v>1191</v>
      </c>
      <c r="B1195" s="278">
        <v>44265</v>
      </c>
      <c r="C1195" s="249">
        <v>44105</v>
      </c>
      <c r="D1195" s="255" t="s">
        <v>99</v>
      </c>
      <c r="E1195" s="255" t="s">
        <v>336</v>
      </c>
      <c r="F1195" s="258">
        <v>500</v>
      </c>
      <c r="G1195" s="255" t="s">
        <v>3900</v>
      </c>
      <c r="H1195" s="255" t="s">
        <v>132</v>
      </c>
      <c r="I1195" s="252" t="s">
        <v>3901</v>
      </c>
      <c r="J1195" s="252" t="s">
        <v>3902</v>
      </c>
      <c r="K1195" s="255" t="s">
        <v>991</v>
      </c>
      <c r="L1195" s="250" t="s">
        <v>1016</v>
      </c>
      <c r="M1195" s="255">
        <v>11</v>
      </c>
      <c r="N1195" s="278">
        <v>44264</v>
      </c>
      <c r="O1195" s="329" t="s">
        <v>67</v>
      </c>
      <c r="P1195" s="386">
        <f t="shared" ref="P1195:Q1195" si="1192">IF(B1195=0,0,IF(YEAR(B1195)=$Q$1,MONTH(B1195)-$P$1+1,(YEAR(B1195)-$Q$1)*12-$P$1+1+MONTH(B1195)))</f>
        <v>3</v>
      </c>
      <c r="Q1195" s="330">
        <f t="shared" si="1192"/>
        <v>-2</v>
      </c>
      <c r="R1195" s="351" t="str">
        <f t="shared" si="3"/>
        <v>Gastos_Gerais</v>
      </c>
      <c r="S1195" s="351" t="str">
        <f>IF(D1195="","",IF(OR(D1195=Plano!$A$1,D1195=Plano!$B$1),"entrada","saída"))</f>
        <v>saída</v>
      </c>
      <c r="T1195" s="334" t="s">
        <v>994</v>
      </c>
      <c r="U1195" s="334">
        <v>1022</v>
      </c>
      <c r="V1195" s="269"/>
      <c r="W1195" s="269"/>
    </row>
    <row r="1196" spans="1:23" ht="69.75" customHeight="1" x14ac:dyDescent="0.2">
      <c r="A1196" s="277">
        <f t="shared" si="0"/>
        <v>1192</v>
      </c>
      <c r="B1196" s="278">
        <v>44265</v>
      </c>
      <c r="C1196" s="249">
        <v>44256</v>
      </c>
      <c r="D1196" s="255" t="s">
        <v>99</v>
      </c>
      <c r="E1196" s="255" t="s">
        <v>272</v>
      </c>
      <c r="F1196" s="258">
        <v>10.45</v>
      </c>
      <c r="G1196" s="255" t="s">
        <v>3903</v>
      </c>
      <c r="H1196" s="255" t="s">
        <v>116</v>
      </c>
      <c r="I1196" s="250" t="s">
        <v>949</v>
      </c>
      <c r="J1196" s="255" t="s">
        <v>950</v>
      </c>
      <c r="K1196" s="255" t="s">
        <v>951</v>
      </c>
      <c r="L1196" s="250" t="s">
        <v>947</v>
      </c>
      <c r="M1196" s="279" t="s">
        <v>114</v>
      </c>
      <c r="N1196" s="278">
        <v>44265</v>
      </c>
      <c r="O1196" s="329" t="s">
        <v>67</v>
      </c>
      <c r="P1196" s="386">
        <f t="shared" ref="P1196:Q1196" si="1193">IF(B1196=0,0,IF(YEAR(B1196)=$Q$1,MONTH(B1196)-$P$1+1,(YEAR(B1196)-$Q$1)*12-$P$1+1+MONTH(B1196)))</f>
        <v>3</v>
      </c>
      <c r="Q1196" s="330">
        <f t="shared" si="1193"/>
        <v>3</v>
      </c>
      <c r="R1196" s="351" t="str">
        <f t="shared" si="3"/>
        <v>Gastos_Gerais</v>
      </c>
      <c r="S1196" s="351" t="str">
        <f>IF(D1196="","",IF(OR(D1196=Plano!$A$1,D1196=Plano!$B$1),"entrada","saída"))</f>
        <v>saída</v>
      </c>
      <c r="T1196" s="334" t="s">
        <v>114</v>
      </c>
      <c r="U1196" s="334" t="s">
        <v>114</v>
      </c>
      <c r="V1196" s="269"/>
      <c r="W1196" s="269"/>
    </row>
    <row r="1197" spans="1:23" ht="69.75" customHeight="1" x14ac:dyDescent="0.2">
      <c r="A1197" s="277">
        <f t="shared" si="0"/>
        <v>1193</v>
      </c>
      <c r="B1197" s="278">
        <v>44265</v>
      </c>
      <c r="C1197" s="249">
        <v>44256</v>
      </c>
      <c r="D1197" s="255" t="s">
        <v>99</v>
      </c>
      <c r="E1197" s="255" t="s">
        <v>272</v>
      </c>
      <c r="F1197" s="258">
        <v>10.45</v>
      </c>
      <c r="G1197" s="255" t="s">
        <v>3494</v>
      </c>
      <c r="H1197" s="255" t="s">
        <v>131</v>
      </c>
      <c r="I1197" s="250" t="s">
        <v>949</v>
      </c>
      <c r="J1197" s="255" t="s">
        <v>950</v>
      </c>
      <c r="K1197" s="255" t="s">
        <v>951</v>
      </c>
      <c r="L1197" s="250" t="s">
        <v>947</v>
      </c>
      <c r="M1197" s="279" t="s">
        <v>114</v>
      </c>
      <c r="N1197" s="278">
        <v>44265</v>
      </c>
      <c r="O1197" s="329" t="s">
        <v>67</v>
      </c>
      <c r="P1197" s="386">
        <f t="shared" ref="P1197:Q1197" si="1194">IF(B1197=0,0,IF(YEAR(B1197)=$Q$1,MONTH(B1197)-$P$1+1,(YEAR(B1197)-$Q$1)*12-$P$1+1+MONTH(B1197)))</f>
        <v>3</v>
      </c>
      <c r="Q1197" s="330">
        <f t="shared" si="1194"/>
        <v>3</v>
      </c>
      <c r="R1197" s="351" t="str">
        <f t="shared" si="3"/>
        <v>Gastos_Gerais</v>
      </c>
      <c r="S1197" s="351" t="str">
        <f>IF(D1197="","",IF(OR(D1197=Plano!$A$1,D1197=Plano!$B$1),"entrada","saída"))</f>
        <v>saída</v>
      </c>
      <c r="T1197" s="334" t="s">
        <v>114</v>
      </c>
      <c r="U1197" s="334" t="s">
        <v>114</v>
      </c>
      <c r="V1197" s="269"/>
      <c r="W1197" s="269"/>
    </row>
    <row r="1198" spans="1:23" ht="69.75" customHeight="1" x14ac:dyDescent="0.2">
      <c r="A1198" s="277">
        <f t="shared" si="0"/>
        <v>1194</v>
      </c>
      <c r="B1198" s="278">
        <v>44265</v>
      </c>
      <c r="C1198" s="249">
        <v>44256</v>
      </c>
      <c r="D1198" s="255" t="s">
        <v>99</v>
      </c>
      <c r="E1198" s="255" t="s">
        <v>272</v>
      </c>
      <c r="F1198" s="258">
        <v>10.45</v>
      </c>
      <c r="G1198" s="255" t="s">
        <v>3904</v>
      </c>
      <c r="H1198" s="255" t="s">
        <v>132</v>
      </c>
      <c r="I1198" s="250" t="s">
        <v>949</v>
      </c>
      <c r="J1198" s="255" t="s">
        <v>950</v>
      </c>
      <c r="K1198" s="255" t="s">
        <v>951</v>
      </c>
      <c r="L1198" s="250" t="s">
        <v>947</v>
      </c>
      <c r="M1198" s="279" t="s">
        <v>114</v>
      </c>
      <c r="N1198" s="278">
        <v>44265</v>
      </c>
      <c r="O1198" s="329" t="s">
        <v>67</v>
      </c>
      <c r="P1198" s="386">
        <f t="shared" ref="P1198:Q1198" si="1195">IF(B1198=0,0,IF(YEAR(B1198)=$Q$1,MONTH(B1198)-$P$1+1,(YEAR(B1198)-$Q$1)*12-$P$1+1+MONTH(B1198)))</f>
        <v>3</v>
      </c>
      <c r="Q1198" s="330">
        <f t="shared" si="1195"/>
        <v>3</v>
      </c>
      <c r="R1198" s="351" t="str">
        <f t="shared" si="3"/>
        <v>Gastos_Gerais</v>
      </c>
      <c r="S1198" s="351" t="str">
        <f>IF(D1198="","",IF(OR(D1198=Plano!$A$1,D1198=Plano!$B$1),"entrada","saída"))</f>
        <v>saída</v>
      </c>
      <c r="T1198" s="334" t="s">
        <v>114</v>
      </c>
      <c r="U1198" s="334" t="s">
        <v>114</v>
      </c>
      <c r="V1198" s="269"/>
      <c r="W1198" s="269"/>
    </row>
    <row r="1199" spans="1:23" ht="69.75" customHeight="1" x14ac:dyDescent="0.2">
      <c r="A1199" s="277">
        <f t="shared" si="0"/>
        <v>1195</v>
      </c>
      <c r="B1199" s="278">
        <v>44266</v>
      </c>
      <c r="C1199" s="249">
        <v>44228</v>
      </c>
      <c r="D1199" s="255" t="s">
        <v>99</v>
      </c>
      <c r="E1199" s="255" t="s">
        <v>254</v>
      </c>
      <c r="F1199" s="258">
        <v>-297.39999999999998</v>
      </c>
      <c r="G1199" s="252" t="s">
        <v>3905</v>
      </c>
      <c r="H1199" s="255" t="s">
        <v>115</v>
      </c>
      <c r="I1199" s="252" t="s">
        <v>983</v>
      </c>
      <c r="J1199" s="252" t="s">
        <v>850</v>
      </c>
      <c r="K1199" s="255" t="s">
        <v>946</v>
      </c>
      <c r="L1199" s="250" t="s">
        <v>947</v>
      </c>
      <c r="M1199" s="255" t="s">
        <v>114</v>
      </c>
      <c r="N1199" s="278">
        <v>44266</v>
      </c>
      <c r="O1199" s="329" t="s">
        <v>67</v>
      </c>
      <c r="P1199" s="386">
        <f t="shared" ref="P1199:Q1199" si="1196">IF(B1199=0,0,IF(YEAR(B1199)=$Q$1,MONTH(B1199)-$P$1+1,(YEAR(B1199)-$Q$1)*12-$P$1+1+MONTH(B1199)))</f>
        <v>3</v>
      </c>
      <c r="Q1199" s="330">
        <f t="shared" si="1196"/>
        <v>2</v>
      </c>
      <c r="R1199" s="351" t="str">
        <f t="shared" si="3"/>
        <v>Gastos_Gerais</v>
      </c>
      <c r="S1199" s="351" t="str">
        <f>IF(D1199="","",IF(OR(D1199=Plano!$A$1,D1199=Plano!$B$1),"entrada","saída"))</f>
        <v>saída</v>
      </c>
      <c r="T1199" s="334" t="s">
        <v>114</v>
      </c>
      <c r="U1199" s="334" t="s">
        <v>114</v>
      </c>
      <c r="V1199" s="269"/>
      <c r="W1199" s="269"/>
    </row>
    <row r="1200" spans="1:23" ht="195" customHeight="1" x14ac:dyDescent="0.2">
      <c r="A1200" s="277">
        <f t="shared" si="0"/>
        <v>1196</v>
      </c>
      <c r="B1200" s="278">
        <v>44266</v>
      </c>
      <c r="C1200" s="249">
        <v>44228</v>
      </c>
      <c r="D1200" s="255" t="s">
        <v>99</v>
      </c>
      <c r="E1200" s="255" t="s">
        <v>336</v>
      </c>
      <c r="F1200" s="258">
        <v>420</v>
      </c>
      <c r="G1200" s="255" t="s">
        <v>3906</v>
      </c>
      <c r="H1200" s="255" t="s">
        <v>116</v>
      </c>
      <c r="I1200" s="252" t="s">
        <v>3907</v>
      </c>
      <c r="J1200" s="252" t="s">
        <v>3908</v>
      </c>
      <c r="K1200" s="255" t="s">
        <v>1015</v>
      </c>
      <c r="L1200" s="250" t="s">
        <v>1029</v>
      </c>
      <c r="M1200" s="255">
        <v>1098</v>
      </c>
      <c r="N1200" s="278" t="s">
        <v>3909</v>
      </c>
      <c r="O1200" s="329" t="s">
        <v>67</v>
      </c>
      <c r="P1200" s="386">
        <f t="shared" ref="P1200:Q1200" si="1197">IF(B1200=0,0,IF(YEAR(B1200)=$Q$1,MONTH(B1200)-$P$1+1,(YEAR(B1200)-$Q$1)*12-$P$1+1+MONTH(B1200)))</f>
        <v>3</v>
      </c>
      <c r="Q1200" s="330">
        <f t="shared" si="1197"/>
        <v>2</v>
      </c>
      <c r="R1200" s="351" t="str">
        <f t="shared" si="3"/>
        <v>Gastos_Gerais</v>
      </c>
      <c r="S1200" s="351" t="str">
        <f>IF(D1200="","",IF(OR(D1200=Plano!$A$1,D1200=Plano!$B$1),"entrada","saída"))</f>
        <v>saída</v>
      </c>
      <c r="T1200" s="334" t="s">
        <v>994</v>
      </c>
      <c r="U1200" s="334">
        <v>759</v>
      </c>
      <c r="V1200" s="269"/>
      <c r="W1200" s="269"/>
    </row>
    <row r="1201" spans="1:23" ht="163.5" customHeight="1" x14ac:dyDescent="0.2">
      <c r="A1201" s="277">
        <f t="shared" si="0"/>
        <v>1197</v>
      </c>
      <c r="B1201" s="278">
        <v>44266</v>
      </c>
      <c r="C1201" s="249">
        <v>44228</v>
      </c>
      <c r="D1201" s="255" t="s">
        <v>99</v>
      </c>
      <c r="E1201" s="255" t="s">
        <v>254</v>
      </c>
      <c r="F1201" s="258">
        <v>500</v>
      </c>
      <c r="G1201" s="255" t="s">
        <v>448</v>
      </c>
      <c r="H1201" s="255" t="s">
        <v>115</v>
      </c>
      <c r="I1201" s="250" t="s">
        <v>1376</v>
      </c>
      <c r="J1201" s="252" t="s">
        <v>1377</v>
      </c>
      <c r="K1201" s="255" t="s">
        <v>560</v>
      </c>
      <c r="L1201" s="250" t="s">
        <v>1378</v>
      </c>
      <c r="M1201" s="255" t="s">
        <v>3910</v>
      </c>
      <c r="N1201" s="278">
        <v>44256</v>
      </c>
      <c r="O1201" s="329" t="s">
        <v>67</v>
      </c>
      <c r="P1201" s="386">
        <f t="shared" ref="P1201:Q1201" si="1198">IF(B1201=0,0,IF(YEAR(B1201)=$Q$1,MONTH(B1201)-$P$1+1,(YEAR(B1201)-$Q$1)*12-$P$1+1+MONTH(B1201)))</f>
        <v>3</v>
      </c>
      <c r="Q1201" s="330">
        <f t="shared" si="1198"/>
        <v>2</v>
      </c>
      <c r="R1201" s="351" t="str">
        <f t="shared" si="3"/>
        <v>Gastos_Gerais</v>
      </c>
      <c r="S1201" s="351" t="str">
        <f>IF(D1201="","",IF(OR(D1201=Plano!$A$1,D1201=Plano!$B$1),"entrada","saída"))</f>
        <v>saída</v>
      </c>
      <c r="T1201" s="334" t="s">
        <v>1059</v>
      </c>
      <c r="U1201" s="334">
        <v>1143</v>
      </c>
      <c r="V1201" s="269"/>
      <c r="W1201" s="269"/>
    </row>
    <row r="1202" spans="1:23" ht="189" customHeight="1" x14ac:dyDescent="0.2">
      <c r="A1202" s="277">
        <f t="shared" si="0"/>
        <v>1198</v>
      </c>
      <c r="B1202" s="278">
        <v>44266</v>
      </c>
      <c r="C1202" s="259">
        <v>44228</v>
      </c>
      <c r="D1202" s="255" t="s">
        <v>99</v>
      </c>
      <c r="E1202" s="255" t="s">
        <v>266</v>
      </c>
      <c r="F1202" s="258">
        <v>6641.02</v>
      </c>
      <c r="G1202" s="252" t="s">
        <v>3911</v>
      </c>
      <c r="H1202" s="255" t="s">
        <v>129</v>
      </c>
      <c r="I1202" s="252" t="s">
        <v>1447</v>
      </c>
      <c r="J1202" s="252" t="s">
        <v>587</v>
      </c>
      <c r="K1202" s="255" t="s">
        <v>991</v>
      </c>
      <c r="L1202" s="250" t="s">
        <v>1016</v>
      </c>
      <c r="M1202" s="255" t="s">
        <v>1058</v>
      </c>
      <c r="N1202" s="278">
        <v>44264</v>
      </c>
      <c r="O1202" s="329" t="s">
        <v>67</v>
      </c>
      <c r="P1202" s="386">
        <f t="shared" ref="P1202:Q1202" si="1199">IF(B1202=0,0,IF(YEAR(B1202)=$Q$1,MONTH(B1202)-$P$1+1,(YEAR(B1202)-$Q$1)*12-$P$1+1+MONTH(B1202)))</f>
        <v>3</v>
      </c>
      <c r="Q1202" s="330">
        <f t="shared" si="1199"/>
        <v>2</v>
      </c>
      <c r="R1202" s="351" t="str">
        <f t="shared" si="3"/>
        <v>Gastos_Gerais</v>
      </c>
      <c r="S1202" s="351" t="str">
        <f>IF(D1202="","",IF(OR(D1202=Plano!$A$1,D1202=Plano!$B$1),"entrada","saída"))</f>
        <v>saída</v>
      </c>
      <c r="T1202" s="334" t="s">
        <v>1059</v>
      </c>
      <c r="U1202" s="334">
        <v>1309</v>
      </c>
      <c r="V1202" s="269"/>
      <c r="W1202" s="269"/>
    </row>
    <row r="1203" spans="1:23" ht="69.75" customHeight="1" x14ac:dyDescent="0.2">
      <c r="A1203" s="277">
        <f t="shared" si="0"/>
        <v>1199</v>
      </c>
      <c r="B1203" s="278">
        <v>44266</v>
      </c>
      <c r="C1203" s="249">
        <v>44256</v>
      </c>
      <c r="D1203" s="255" t="s">
        <v>99</v>
      </c>
      <c r="E1203" s="255" t="s">
        <v>352</v>
      </c>
      <c r="F1203" s="258">
        <v>2850</v>
      </c>
      <c r="G1203" s="255" t="s">
        <v>564</v>
      </c>
      <c r="H1203" s="255" t="s">
        <v>131</v>
      </c>
      <c r="I1203" s="252" t="s">
        <v>1740</v>
      </c>
      <c r="J1203" s="252" t="s">
        <v>567</v>
      </c>
      <c r="K1203" s="255" t="s">
        <v>991</v>
      </c>
      <c r="L1203" s="250" t="s">
        <v>1016</v>
      </c>
      <c r="M1203" s="255" t="s">
        <v>1299</v>
      </c>
      <c r="N1203" s="278">
        <v>44266</v>
      </c>
      <c r="O1203" s="329" t="s">
        <v>67</v>
      </c>
      <c r="P1203" s="386">
        <f t="shared" ref="P1203:Q1203" si="1200">IF(B1203=0,0,IF(YEAR(B1203)=$Q$1,MONTH(B1203)-$P$1+1,(YEAR(B1203)-$Q$1)*12-$P$1+1+MONTH(B1203)))</f>
        <v>3</v>
      </c>
      <c r="Q1203" s="330">
        <f t="shared" si="1200"/>
        <v>3</v>
      </c>
      <c r="R1203" s="351" t="str">
        <f t="shared" si="3"/>
        <v>Gastos_Gerais</v>
      </c>
      <c r="S1203" s="351" t="str">
        <f>IF(D1203="","",IF(OR(D1203=Plano!$A$1,D1203=Plano!$B$1),"entrada","saída"))</f>
        <v>saída</v>
      </c>
      <c r="T1203" s="334" t="s">
        <v>1059</v>
      </c>
      <c r="U1203" s="334">
        <v>1279</v>
      </c>
      <c r="V1203" s="269"/>
      <c r="W1203" s="269"/>
    </row>
    <row r="1204" spans="1:23" ht="152.25" customHeight="1" x14ac:dyDescent="0.2">
      <c r="A1204" s="277">
        <f t="shared" si="0"/>
        <v>1200</v>
      </c>
      <c r="B1204" s="278">
        <v>44266</v>
      </c>
      <c r="C1204" s="249">
        <v>44197</v>
      </c>
      <c r="D1204" s="255" t="s">
        <v>99</v>
      </c>
      <c r="E1204" s="255" t="s">
        <v>336</v>
      </c>
      <c r="F1204" s="258">
        <v>1400</v>
      </c>
      <c r="G1204" s="255" t="s">
        <v>1537</v>
      </c>
      <c r="H1204" s="255" t="s">
        <v>125</v>
      </c>
      <c r="I1204" s="252" t="s">
        <v>1538</v>
      </c>
      <c r="J1204" s="252" t="s">
        <v>1539</v>
      </c>
      <c r="K1204" s="255" t="s">
        <v>991</v>
      </c>
      <c r="L1204" s="250" t="s">
        <v>1016</v>
      </c>
      <c r="M1204" s="255" t="s">
        <v>1305</v>
      </c>
      <c r="N1204" s="278">
        <v>44265</v>
      </c>
      <c r="O1204" s="329" t="s">
        <v>67</v>
      </c>
      <c r="P1204" s="386">
        <f t="shared" ref="P1204:Q1204" si="1201">IF(B1204=0,0,IF(YEAR(B1204)=$Q$1,MONTH(B1204)-$P$1+1,(YEAR(B1204)-$Q$1)*12-$P$1+1+MONTH(B1204)))</f>
        <v>3</v>
      </c>
      <c r="Q1204" s="330">
        <f t="shared" si="1201"/>
        <v>1</v>
      </c>
      <c r="R1204" s="351" t="str">
        <f t="shared" si="3"/>
        <v>Gastos_Gerais</v>
      </c>
      <c r="S1204" s="351" t="str">
        <f>IF(D1204="","",IF(OR(D1204=Plano!$A$1,D1204=Plano!$B$1),"entrada","saída"))</f>
        <v>saída</v>
      </c>
      <c r="T1204" s="334" t="s">
        <v>1059</v>
      </c>
      <c r="U1204" s="334">
        <v>1263</v>
      </c>
      <c r="V1204" s="269"/>
      <c r="W1204" s="269"/>
    </row>
    <row r="1205" spans="1:23" ht="69.75" customHeight="1" x14ac:dyDescent="0.2">
      <c r="A1205" s="277">
        <f t="shared" si="0"/>
        <v>1201</v>
      </c>
      <c r="B1205" s="278">
        <v>44266</v>
      </c>
      <c r="C1205" s="249">
        <v>44256</v>
      </c>
      <c r="D1205" s="255" t="s">
        <v>99</v>
      </c>
      <c r="E1205" s="255" t="s">
        <v>272</v>
      </c>
      <c r="F1205" s="258">
        <v>10.45</v>
      </c>
      <c r="G1205" s="255" t="s">
        <v>3912</v>
      </c>
      <c r="H1205" s="255" t="s">
        <v>129</v>
      </c>
      <c r="I1205" s="250" t="s">
        <v>949</v>
      </c>
      <c r="J1205" s="255" t="s">
        <v>950</v>
      </c>
      <c r="K1205" s="255" t="s">
        <v>951</v>
      </c>
      <c r="L1205" s="250" t="s">
        <v>947</v>
      </c>
      <c r="M1205" s="279" t="s">
        <v>114</v>
      </c>
      <c r="N1205" s="278">
        <v>44266</v>
      </c>
      <c r="O1205" s="329" t="s">
        <v>67</v>
      </c>
      <c r="P1205" s="386">
        <f t="shared" ref="P1205:Q1205" si="1202">IF(B1205=0,0,IF(YEAR(B1205)=$Q$1,MONTH(B1205)-$P$1+1,(YEAR(B1205)-$Q$1)*12-$P$1+1+MONTH(B1205)))</f>
        <v>3</v>
      </c>
      <c r="Q1205" s="330">
        <f t="shared" si="1202"/>
        <v>3</v>
      </c>
      <c r="R1205" s="351" t="str">
        <f t="shared" si="3"/>
        <v>Gastos_Gerais</v>
      </c>
      <c r="S1205" s="351" t="str">
        <f>IF(D1205="","",IF(OR(D1205=Plano!$A$1,D1205=Plano!$B$1),"entrada","saída"))</f>
        <v>saída</v>
      </c>
      <c r="T1205" s="334" t="s">
        <v>114</v>
      </c>
      <c r="U1205" s="334" t="s">
        <v>114</v>
      </c>
      <c r="V1205" s="269"/>
      <c r="W1205" s="269"/>
    </row>
    <row r="1206" spans="1:23" ht="69.75" customHeight="1" x14ac:dyDescent="0.2">
      <c r="A1206" s="277">
        <f t="shared" si="0"/>
        <v>1202</v>
      </c>
      <c r="B1206" s="278">
        <v>44266</v>
      </c>
      <c r="C1206" s="249">
        <v>44256</v>
      </c>
      <c r="D1206" s="255" t="s">
        <v>99</v>
      </c>
      <c r="E1206" s="255" t="s">
        <v>272</v>
      </c>
      <c r="F1206" s="258">
        <v>10.45</v>
      </c>
      <c r="G1206" s="255" t="s">
        <v>3485</v>
      </c>
      <c r="H1206" s="255" t="s">
        <v>131</v>
      </c>
      <c r="I1206" s="250" t="s">
        <v>949</v>
      </c>
      <c r="J1206" s="255" t="s">
        <v>950</v>
      </c>
      <c r="K1206" s="255" t="s">
        <v>951</v>
      </c>
      <c r="L1206" s="250" t="s">
        <v>947</v>
      </c>
      <c r="M1206" s="279" t="s">
        <v>114</v>
      </c>
      <c r="N1206" s="278">
        <v>44266</v>
      </c>
      <c r="O1206" s="329" t="s">
        <v>67</v>
      </c>
      <c r="P1206" s="386">
        <f t="shared" ref="P1206:Q1206" si="1203">IF(B1206=0,0,IF(YEAR(B1206)=$Q$1,MONTH(B1206)-$P$1+1,(YEAR(B1206)-$Q$1)*12-$P$1+1+MONTH(B1206)))</f>
        <v>3</v>
      </c>
      <c r="Q1206" s="330">
        <f t="shared" si="1203"/>
        <v>3</v>
      </c>
      <c r="R1206" s="351" t="str">
        <f t="shared" si="3"/>
        <v>Gastos_Gerais</v>
      </c>
      <c r="S1206" s="351" t="str">
        <f>IF(D1206="","",IF(OR(D1206=Plano!$A$1,D1206=Plano!$B$1),"entrada","saída"))</f>
        <v>saída</v>
      </c>
      <c r="T1206" s="334" t="s">
        <v>114</v>
      </c>
      <c r="U1206" s="334" t="s">
        <v>114</v>
      </c>
      <c r="V1206" s="269"/>
      <c r="W1206" s="269"/>
    </row>
    <row r="1207" spans="1:23" ht="69.75" customHeight="1" x14ac:dyDescent="0.2">
      <c r="A1207" s="277">
        <f t="shared" si="0"/>
        <v>1203</v>
      </c>
      <c r="B1207" s="278">
        <v>44266</v>
      </c>
      <c r="C1207" s="249">
        <v>44256</v>
      </c>
      <c r="D1207" s="255" t="s">
        <v>99</v>
      </c>
      <c r="E1207" s="255" t="s">
        <v>272</v>
      </c>
      <c r="F1207" s="258">
        <v>10.45</v>
      </c>
      <c r="G1207" s="255" t="s">
        <v>3913</v>
      </c>
      <c r="H1207" s="255" t="s">
        <v>125</v>
      </c>
      <c r="I1207" s="250" t="s">
        <v>949</v>
      </c>
      <c r="J1207" s="255" t="s">
        <v>950</v>
      </c>
      <c r="K1207" s="255" t="s">
        <v>951</v>
      </c>
      <c r="L1207" s="250" t="s">
        <v>947</v>
      </c>
      <c r="M1207" s="279" t="s">
        <v>114</v>
      </c>
      <c r="N1207" s="278">
        <v>44266</v>
      </c>
      <c r="O1207" s="329" t="s">
        <v>67</v>
      </c>
      <c r="P1207" s="386">
        <f t="shared" ref="P1207:Q1207" si="1204">IF(B1207=0,0,IF(YEAR(B1207)=$Q$1,MONTH(B1207)-$P$1+1,(YEAR(B1207)-$Q$1)*12-$P$1+1+MONTH(B1207)))</f>
        <v>3</v>
      </c>
      <c r="Q1207" s="330">
        <f t="shared" si="1204"/>
        <v>3</v>
      </c>
      <c r="R1207" s="351" t="str">
        <f t="shared" si="3"/>
        <v>Gastos_Gerais</v>
      </c>
      <c r="S1207" s="351" t="str">
        <f>IF(D1207="","",IF(OR(D1207=Plano!$A$1,D1207=Plano!$B$1),"entrada","saída"))</f>
        <v>saída</v>
      </c>
      <c r="T1207" s="334" t="s">
        <v>114</v>
      </c>
      <c r="U1207" s="334" t="s">
        <v>114</v>
      </c>
      <c r="V1207" s="269"/>
      <c r="W1207" s="269"/>
    </row>
    <row r="1208" spans="1:23" ht="69.75" customHeight="1" x14ac:dyDescent="0.2">
      <c r="A1208" s="277">
        <f t="shared" si="0"/>
        <v>1204</v>
      </c>
      <c r="B1208" s="278">
        <v>44267</v>
      </c>
      <c r="C1208" s="256">
        <v>44228</v>
      </c>
      <c r="D1208" s="255" t="s">
        <v>99</v>
      </c>
      <c r="E1208" s="255" t="s">
        <v>208</v>
      </c>
      <c r="F1208" s="258">
        <v>-1.97</v>
      </c>
      <c r="G1208" s="255" t="s">
        <v>3914</v>
      </c>
      <c r="H1208" s="255" t="s">
        <v>115</v>
      </c>
      <c r="I1208" s="252" t="s">
        <v>983</v>
      </c>
      <c r="J1208" s="252" t="s">
        <v>850</v>
      </c>
      <c r="K1208" s="255" t="s">
        <v>946</v>
      </c>
      <c r="L1208" s="250" t="s">
        <v>947</v>
      </c>
      <c r="M1208" s="255" t="s">
        <v>114</v>
      </c>
      <c r="N1208" s="278">
        <v>44267</v>
      </c>
      <c r="O1208" s="329" t="s">
        <v>67</v>
      </c>
      <c r="P1208" s="386">
        <f t="shared" ref="P1208:Q1208" si="1205">IF(B1208=0,0,IF(YEAR(B1208)=$Q$1,MONTH(B1208)-$P$1+1,(YEAR(B1208)-$Q$1)*12-$P$1+1+MONTH(B1208)))</f>
        <v>3</v>
      </c>
      <c r="Q1208" s="330">
        <f t="shared" si="1205"/>
        <v>2</v>
      </c>
      <c r="R1208" s="351" t="str">
        <f t="shared" si="3"/>
        <v>Gastos_Gerais</v>
      </c>
      <c r="S1208" s="351" t="str">
        <f>IF(D1208="","",IF(OR(D1208=Plano!$A$1,D1208=Plano!$B$1),"entrada","saída"))</f>
        <v>saída</v>
      </c>
      <c r="T1208" s="334" t="s">
        <v>114</v>
      </c>
      <c r="U1208" s="334" t="s">
        <v>114</v>
      </c>
      <c r="V1208" s="269"/>
      <c r="W1208" s="269"/>
    </row>
    <row r="1209" spans="1:23" ht="69.75" customHeight="1" x14ac:dyDescent="0.2">
      <c r="A1209" s="277">
        <f t="shared" si="0"/>
        <v>1205</v>
      </c>
      <c r="B1209" s="278">
        <v>44267</v>
      </c>
      <c r="C1209" s="249">
        <v>44228</v>
      </c>
      <c r="D1209" s="255" t="s">
        <v>99</v>
      </c>
      <c r="E1209" s="255" t="s">
        <v>220</v>
      </c>
      <c r="F1209" s="258">
        <v>-120.12</v>
      </c>
      <c r="G1209" s="255" t="s">
        <v>3915</v>
      </c>
      <c r="H1209" s="255" t="s">
        <v>115</v>
      </c>
      <c r="I1209" s="252" t="s">
        <v>983</v>
      </c>
      <c r="J1209" s="252" t="s">
        <v>850</v>
      </c>
      <c r="K1209" s="255" t="s">
        <v>1069</v>
      </c>
      <c r="L1209" s="250" t="s">
        <v>947</v>
      </c>
      <c r="M1209" s="255" t="s">
        <v>114</v>
      </c>
      <c r="N1209" s="278">
        <v>44267</v>
      </c>
      <c r="O1209" s="329" t="s">
        <v>67</v>
      </c>
      <c r="P1209" s="386">
        <f t="shared" ref="P1209:Q1209" si="1206">IF(B1209=0,0,IF(YEAR(B1209)=$Q$1,MONTH(B1209)-$P$1+1,(YEAR(B1209)-$Q$1)*12-$P$1+1+MONTH(B1209)))</f>
        <v>3</v>
      </c>
      <c r="Q1209" s="330">
        <f t="shared" si="1206"/>
        <v>2</v>
      </c>
      <c r="R1209" s="351" t="str">
        <f t="shared" si="3"/>
        <v>Gastos_Gerais</v>
      </c>
      <c r="S1209" s="351" t="str">
        <f>IF(D1209="","",IF(OR(D1209=Plano!$A$1,D1209=Plano!$B$1),"entrada","saída"))</f>
        <v>saída</v>
      </c>
      <c r="T1209" s="334" t="s">
        <v>114</v>
      </c>
      <c r="U1209" s="334" t="s">
        <v>114</v>
      </c>
      <c r="V1209" s="269"/>
      <c r="W1209" s="269"/>
    </row>
    <row r="1210" spans="1:23" ht="69.75" customHeight="1" x14ac:dyDescent="0.2">
      <c r="A1210" s="277">
        <f t="shared" si="0"/>
        <v>1206</v>
      </c>
      <c r="B1210" s="278">
        <v>44267</v>
      </c>
      <c r="C1210" s="249">
        <v>44228</v>
      </c>
      <c r="D1210" s="255" t="s">
        <v>99</v>
      </c>
      <c r="E1210" s="255" t="s">
        <v>220</v>
      </c>
      <c r="F1210" s="258">
        <v>426.42</v>
      </c>
      <c r="G1210" s="255" t="s">
        <v>3916</v>
      </c>
      <c r="H1210" s="255" t="s">
        <v>115</v>
      </c>
      <c r="I1210" s="252" t="s">
        <v>522</v>
      </c>
      <c r="J1210" s="252" t="s">
        <v>523</v>
      </c>
      <c r="K1210" s="255" t="s">
        <v>1375</v>
      </c>
      <c r="L1210" s="250" t="s">
        <v>1016</v>
      </c>
      <c r="M1210" s="255" t="s">
        <v>3917</v>
      </c>
      <c r="N1210" s="278">
        <v>44246</v>
      </c>
      <c r="O1210" s="329" t="s">
        <v>67</v>
      </c>
      <c r="P1210" s="386">
        <f t="shared" ref="P1210:Q1210" si="1207">IF(B1210=0,0,IF(YEAR(B1210)=$Q$1,MONTH(B1210)-$P$1+1,(YEAR(B1210)-$Q$1)*12-$P$1+1+MONTH(B1210)))</f>
        <v>3</v>
      </c>
      <c r="Q1210" s="330">
        <f t="shared" si="1207"/>
        <v>2</v>
      </c>
      <c r="R1210" s="351" t="str">
        <f t="shared" si="3"/>
        <v>Gastos_Gerais</v>
      </c>
      <c r="S1210" s="351" t="str">
        <f>IF(D1210="","",IF(OR(D1210=Plano!$A$1,D1210=Plano!$B$1),"entrada","saída"))</f>
        <v>saída</v>
      </c>
      <c r="T1210" s="334" t="s">
        <v>114</v>
      </c>
      <c r="U1210" s="334" t="s">
        <v>114</v>
      </c>
      <c r="V1210" s="269"/>
      <c r="W1210" s="269"/>
    </row>
    <row r="1211" spans="1:23" ht="69.75" customHeight="1" x14ac:dyDescent="0.2">
      <c r="A1211" s="277">
        <f t="shared" si="0"/>
        <v>1207</v>
      </c>
      <c r="B1211" s="278">
        <v>44270</v>
      </c>
      <c r="C1211" s="256">
        <v>44256</v>
      </c>
      <c r="D1211" s="255" t="s">
        <v>88</v>
      </c>
      <c r="E1211" s="255" t="s">
        <v>196</v>
      </c>
      <c r="F1211" s="258">
        <v>-592.32000000000005</v>
      </c>
      <c r="G1211" s="255" t="s">
        <v>3918</v>
      </c>
      <c r="H1211" s="255" t="s">
        <v>114</v>
      </c>
      <c r="I1211" s="250" t="s">
        <v>3010</v>
      </c>
      <c r="J1211" s="255" t="s">
        <v>850</v>
      </c>
      <c r="K1211" s="255" t="s">
        <v>946</v>
      </c>
      <c r="L1211" s="250" t="s">
        <v>947</v>
      </c>
      <c r="M1211" s="255" t="s">
        <v>114</v>
      </c>
      <c r="N1211" s="278">
        <v>44270</v>
      </c>
      <c r="O1211" s="329" t="s">
        <v>67</v>
      </c>
      <c r="P1211" s="386">
        <f t="shared" ref="P1211:Q1211" si="1208">IF(B1211=0,0,IF(YEAR(B1211)=$Q$1,MONTH(B1211)-$P$1+1,(YEAR(B1211)-$Q$1)*12-$P$1+1+MONTH(B1211)))</f>
        <v>3</v>
      </c>
      <c r="Q1211" s="330">
        <f t="shared" si="1208"/>
        <v>3</v>
      </c>
      <c r="R1211" s="351" t="str">
        <f t="shared" si="3"/>
        <v>Gastos_com_Pessoal</v>
      </c>
      <c r="S1211" s="351" t="str">
        <f>IF(D1211="","",IF(OR(D1211=Plano!$A$1,D1211=Plano!$B$1),"entrada","saída"))</f>
        <v>saída</v>
      </c>
      <c r="T1211" s="334" t="s">
        <v>114</v>
      </c>
      <c r="U1211" s="334" t="s">
        <v>114</v>
      </c>
      <c r="V1211" s="269"/>
      <c r="W1211" s="269"/>
    </row>
    <row r="1212" spans="1:23" ht="69.75" customHeight="1" x14ac:dyDescent="0.2">
      <c r="A1212" s="277">
        <f t="shared" si="0"/>
        <v>1208</v>
      </c>
      <c r="B1212" s="278">
        <v>44270</v>
      </c>
      <c r="C1212" s="256">
        <v>44197</v>
      </c>
      <c r="D1212" s="255" t="s">
        <v>88</v>
      </c>
      <c r="E1212" s="255" t="s">
        <v>90</v>
      </c>
      <c r="F1212" s="258">
        <v>-49.22</v>
      </c>
      <c r="G1212" s="255" t="s">
        <v>3919</v>
      </c>
      <c r="H1212" s="255" t="s">
        <v>114</v>
      </c>
      <c r="I1212" s="250" t="s">
        <v>3010</v>
      </c>
      <c r="J1212" s="255" t="s">
        <v>850</v>
      </c>
      <c r="K1212" s="255" t="s">
        <v>946</v>
      </c>
      <c r="L1212" s="250" t="s">
        <v>947</v>
      </c>
      <c r="M1212" s="255" t="s">
        <v>114</v>
      </c>
      <c r="N1212" s="278">
        <v>44270</v>
      </c>
      <c r="O1212" s="329" t="s">
        <v>67</v>
      </c>
      <c r="P1212" s="386">
        <f t="shared" ref="P1212:Q1212" si="1209">IF(B1212=0,0,IF(YEAR(B1212)=$Q$1,MONTH(B1212)-$P$1+1,(YEAR(B1212)-$Q$1)*12-$P$1+1+MONTH(B1212)))</f>
        <v>3</v>
      </c>
      <c r="Q1212" s="330">
        <f t="shared" si="1209"/>
        <v>1</v>
      </c>
      <c r="R1212" s="351" t="str">
        <f t="shared" si="3"/>
        <v>Gastos_com_Pessoal</v>
      </c>
      <c r="S1212" s="351" t="str">
        <f>IF(D1212="","",IF(OR(D1212=Plano!$A$1,D1212=Plano!$B$1),"entrada","saída"))</f>
        <v>saída</v>
      </c>
      <c r="T1212" s="334" t="s">
        <v>114</v>
      </c>
      <c r="U1212" s="334" t="s">
        <v>114</v>
      </c>
      <c r="V1212" s="269"/>
      <c r="W1212" s="269"/>
    </row>
    <row r="1213" spans="1:23" ht="69.75" customHeight="1" x14ac:dyDescent="0.2">
      <c r="A1213" s="277">
        <f t="shared" si="0"/>
        <v>1209</v>
      </c>
      <c r="B1213" s="278">
        <v>44270</v>
      </c>
      <c r="C1213" s="256">
        <v>44197</v>
      </c>
      <c r="D1213" s="255" t="s">
        <v>88</v>
      </c>
      <c r="E1213" s="255" t="s">
        <v>90</v>
      </c>
      <c r="F1213" s="258">
        <v>-30.31</v>
      </c>
      <c r="G1213" s="255" t="s">
        <v>3920</v>
      </c>
      <c r="H1213" s="255" t="s">
        <v>114</v>
      </c>
      <c r="I1213" s="250" t="s">
        <v>3010</v>
      </c>
      <c r="J1213" s="255" t="s">
        <v>850</v>
      </c>
      <c r="K1213" s="255" t="s">
        <v>946</v>
      </c>
      <c r="L1213" s="250" t="s">
        <v>947</v>
      </c>
      <c r="M1213" s="255" t="s">
        <v>114</v>
      </c>
      <c r="N1213" s="278">
        <v>44270</v>
      </c>
      <c r="O1213" s="329" t="s">
        <v>67</v>
      </c>
      <c r="P1213" s="386">
        <f t="shared" ref="P1213:Q1213" si="1210">IF(B1213=0,0,IF(YEAR(B1213)=$Q$1,MONTH(B1213)-$P$1+1,(YEAR(B1213)-$Q$1)*12-$P$1+1+MONTH(B1213)))</f>
        <v>3</v>
      </c>
      <c r="Q1213" s="330">
        <f t="shared" si="1210"/>
        <v>1</v>
      </c>
      <c r="R1213" s="351" t="str">
        <f t="shared" si="3"/>
        <v>Gastos_com_Pessoal</v>
      </c>
      <c r="S1213" s="351" t="str">
        <f>IF(D1213="","",IF(OR(D1213=Plano!$A$1,D1213=Plano!$B$1),"entrada","saída"))</f>
        <v>saída</v>
      </c>
      <c r="T1213" s="334" t="s">
        <v>114</v>
      </c>
      <c r="U1213" s="334" t="s">
        <v>114</v>
      </c>
      <c r="V1213" s="269"/>
      <c r="W1213" s="269"/>
    </row>
    <row r="1214" spans="1:23" ht="69.75" customHeight="1" x14ac:dyDescent="0.2">
      <c r="A1214" s="277">
        <f t="shared" si="0"/>
        <v>1210</v>
      </c>
      <c r="B1214" s="278">
        <v>44270</v>
      </c>
      <c r="C1214" s="256">
        <v>44256</v>
      </c>
      <c r="D1214" s="255" t="s">
        <v>88</v>
      </c>
      <c r="E1214" s="255" t="s">
        <v>196</v>
      </c>
      <c r="F1214" s="258">
        <v>-1899.31</v>
      </c>
      <c r="G1214" s="250" t="s">
        <v>1419</v>
      </c>
      <c r="H1214" s="255" t="s">
        <v>114</v>
      </c>
      <c r="I1214" s="250" t="s">
        <v>3010</v>
      </c>
      <c r="J1214" s="255" t="s">
        <v>850</v>
      </c>
      <c r="K1214" s="255" t="s">
        <v>946</v>
      </c>
      <c r="L1214" s="250" t="s">
        <v>947</v>
      </c>
      <c r="M1214" s="255" t="s">
        <v>114</v>
      </c>
      <c r="N1214" s="278">
        <v>44270</v>
      </c>
      <c r="O1214" s="329" t="s">
        <v>67</v>
      </c>
      <c r="P1214" s="386">
        <f t="shared" ref="P1214:Q1214" si="1211">IF(B1214=0,0,IF(YEAR(B1214)=$Q$1,MONTH(B1214)-$P$1+1,(YEAR(B1214)-$Q$1)*12-$P$1+1+MONTH(B1214)))</f>
        <v>3</v>
      </c>
      <c r="Q1214" s="330">
        <f t="shared" si="1211"/>
        <v>3</v>
      </c>
      <c r="R1214" s="351" t="str">
        <f t="shared" si="3"/>
        <v>Gastos_com_Pessoal</v>
      </c>
      <c r="S1214" s="351" t="str">
        <f>IF(D1214="","",IF(OR(D1214=Plano!$A$1,D1214=Plano!$B$1),"entrada","saída"))</f>
        <v>saída</v>
      </c>
      <c r="T1214" s="334" t="s">
        <v>114</v>
      </c>
      <c r="U1214" s="334" t="s">
        <v>114</v>
      </c>
      <c r="V1214" s="269"/>
      <c r="W1214" s="269"/>
    </row>
    <row r="1215" spans="1:23" ht="249.75" customHeight="1" x14ac:dyDescent="0.2">
      <c r="A1215" s="277">
        <f t="shared" si="0"/>
        <v>1211</v>
      </c>
      <c r="B1215" s="278">
        <v>44270</v>
      </c>
      <c r="C1215" s="249">
        <v>44228</v>
      </c>
      <c r="D1215" s="255" t="s">
        <v>99</v>
      </c>
      <c r="E1215" s="255" t="s">
        <v>364</v>
      </c>
      <c r="F1215" s="258">
        <v>1000</v>
      </c>
      <c r="G1215" s="255" t="s">
        <v>3921</v>
      </c>
      <c r="H1215" s="255" t="s">
        <v>118</v>
      </c>
      <c r="I1215" s="250" t="s">
        <v>2959</v>
      </c>
      <c r="J1215" s="255" t="s">
        <v>3922</v>
      </c>
      <c r="K1215" s="255" t="s">
        <v>1015</v>
      </c>
      <c r="L1215" s="250" t="s">
        <v>1016</v>
      </c>
      <c r="M1215" s="255" t="s">
        <v>1443</v>
      </c>
      <c r="N1215" s="278">
        <v>44258</v>
      </c>
      <c r="O1215" s="329" t="s">
        <v>67</v>
      </c>
      <c r="P1215" s="386">
        <f t="shared" ref="P1215:Q1215" si="1212">IF(B1215=0,0,IF(YEAR(B1215)=$Q$1,MONTH(B1215)-$P$1+1,(YEAR(B1215)-$Q$1)*12-$P$1+1+MONTH(B1215)))</f>
        <v>3</v>
      </c>
      <c r="Q1215" s="330">
        <f t="shared" si="1212"/>
        <v>2</v>
      </c>
      <c r="R1215" s="351" t="str">
        <f t="shared" si="3"/>
        <v>Gastos_Gerais</v>
      </c>
      <c r="S1215" s="351" t="str">
        <f>IF(D1215="","",IF(OR(D1215=Plano!$A$1,D1215=Plano!$B$1),"entrada","saída"))</f>
        <v>saída</v>
      </c>
      <c r="T1215" s="334" t="s">
        <v>994</v>
      </c>
      <c r="U1215" s="334">
        <v>1368</v>
      </c>
      <c r="V1215" s="269"/>
      <c r="W1215" s="269"/>
    </row>
    <row r="1216" spans="1:23" ht="156" customHeight="1" x14ac:dyDescent="0.2">
      <c r="A1216" s="277">
        <f t="shared" si="0"/>
        <v>1212</v>
      </c>
      <c r="B1216" s="278">
        <v>44270</v>
      </c>
      <c r="C1216" s="249">
        <v>44228</v>
      </c>
      <c r="D1216" s="255" t="s">
        <v>99</v>
      </c>
      <c r="E1216" s="255" t="s">
        <v>352</v>
      </c>
      <c r="F1216" s="258">
        <v>2694.72</v>
      </c>
      <c r="G1216" s="255" t="s">
        <v>579</v>
      </c>
      <c r="H1216" s="255" t="s">
        <v>132</v>
      </c>
      <c r="I1216" s="252" t="s">
        <v>1328</v>
      </c>
      <c r="J1216" s="252" t="s">
        <v>581</v>
      </c>
      <c r="K1216" s="255" t="s">
        <v>1015</v>
      </c>
      <c r="L1216" s="250" t="s">
        <v>1016</v>
      </c>
      <c r="M1216" s="255" t="s">
        <v>3821</v>
      </c>
      <c r="N1216" s="278">
        <v>44270</v>
      </c>
      <c r="O1216" s="329" t="s">
        <v>67</v>
      </c>
      <c r="P1216" s="386">
        <f t="shared" ref="P1216:Q1216" si="1213">IF(B1216=0,0,IF(YEAR(B1216)=$Q$1,MONTH(B1216)-$P$1+1,(YEAR(B1216)-$Q$1)*12-$P$1+1+MONTH(B1216)))</f>
        <v>3</v>
      </c>
      <c r="Q1216" s="330">
        <f t="shared" si="1213"/>
        <v>2</v>
      </c>
      <c r="R1216" s="351" t="str">
        <f t="shared" si="3"/>
        <v>Gastos_Gerais</v>
      </c>
      <c r="S1216" s="351" t="str">
        <f>IF(D1216="","",IF(OR(D1216=Plano!$A$1,D1216=Plano!$B$1),"entrada","saída"))</f>
        <v>saída</v>
      </c>
      <c r="T1216" s="334" t="s">
        <v>1059</v>
      </c>
      <c r="U1216" s="334">
        <v>1338</v>
      </c>
      <c r="V1216" s="269"/>
      <c r="W1216" s="269"/>
    </row>
    <row r="1217" spans="1:23" ht="147.75" customHeight="1" x14ac:dyDescent="0.2">
      <c r="A1217" s="277">
        <f t="shared" si="0"/>
        <v>1213</v>
      </c>
      <c r="B1217" s="278">
        <v>44270</v>
      </c>
      <c r="C1217" s="249">
        <v>44228</v>
      </c>
      <c r="D1217" s="255" t="s">
        <v>99</v>
      </c>
      <c r="E1217" s="255" t="s">
        <v>364</v>
      </c>
      <c r="F1217" s="258">
        <v>5389.45</v>
      </c>
      <c r="G1217" s="255" t="s">
        <v>570</v>
      </c>
      <c r="H1217" s="255" t="s">
        <v>132</v>
      </c>
      <c r="I1217" s="250" t="s">
        <v>1300</v>
      </c>
      <c r="J1217" s="255" t="s">
        <v>3923</v>
      </c>
      <c r="K1217" s="255" t="s">
        <v>991</v>
      </c>
      <c r="L1217" s="250" t="s">
        <v>1016</v>
      </c>
      <c r="M1217" s="255" t="s">
        <v>1211</v>
      </c>
      <c r="N1217" s="278">
        <v>44267</v>
      </c>
      <c r="O1217" s="329" t="s">
        <v>67</v>
      </c>
      <c r="P1217" s="386">
        <f t="shared" ref="P1217:Q1217" si="1214">IF(B1217=0,0,IF(YEAR(B1217)=$Q$1,MONTH(B1217)-$P$1+1,(YEAR(B1217)-$Q$1)*12-$P$1+1+MONTH(B1217)))</f>
        <v>3</v>
      </c>
      <c r="Q1217" s="330">
        <f t="shared" si="1214"/>
        <v>2</v>
      </c>
      <c r="R1217" s="351" t="str">
        <f t="shared" si="3"/>
        <v>Gastos_Gerais</v>
      </c>
      <c r="S1217" s="351" t="str">
        <f>IF(D1217="","",IF(OR(D1217=Plano!$A$1,D1217=Plano!$B$1),"entrada","saída"))</f>
        <v>saída</v>
      </c>
      <c r="T1217" s="334" t="s">
        <v>1059</v>
      </c>
      <c r="U1217" s="334">
        <v>1339</v>
      </c>
      <c r="V1217" s="269"/>
      <c r="W1217" s="269"/>
    </row>
    <row r="1218" spans="1:23" ht="147.75" customHeight="1" x14ac:dyDescent="0.2">
      <c r="A1218" s="277">
        <f t="shared" si="0"/>
        <v>1214</v>
      </c>
      <c r="B1218" s="278">
        <v>44270</v>
      </c>
      <c r="C1218" s="249">
        <v>44256</v>
      </c>
      <c r="D1218" s="255" t="s">
        <v>88</v>
      </c>
      <c r="E1218" s="255" t="s">
        <v>196</v>
      </c>
      <c r="F1218" s="258">
        <v>8987.6299999999992</v>
      </c>
      <c r="G1218" s="255" t="s">
        <v>541</v>
      </c>
      <c r="H1218" s="255" t="s">
        <v>114</v>
      </c>
      <c r="I1218" s="252" t="s">
        <v>542</v>
      </c>
      <c r="J1218" s="252" t="s">
        <v>543</v>
      </c>
      <c r="K1218" s="255" t="s">
        <v>560</v>
      </c>
      <c r="L1218" s="250" t="s">
        <v>1016</v>
      </c>
      <c r="M1218" s="255" t="s">
        <v>3924</v>
      </c>
      <c r="N1218" s="278">
        <v>44232</v>
      </c>
      <c r="O1218" s="329" t="s">
        <v>67</v>
      </c>
      <c r="P1218" s="386">
        <f t="shared" ref="P1218:Q1218" si="1215">IF(B1218=0,0,IF(YEAR(B1218)=$Q$1,MONTH(B1218)-$P$1+1,(YEAR(B1218)-$Q$1)*12-$P$1+1+MONTH(B1218)))</f>
        <v>3</v>
      </c>
      <c r="Q1218" s="330">
        <f t="shared" si="1215"/>
        <v>3</v>
      </c>
      <c r="R1218" s="351" t="str">
        <f t="shared" si="3"/>
        <v>Gastos_com_Pessoal</v>
      </c>
      <c r="S1218" s="351" t="str">
        <f>IF(D1218="","",IF(OR(D1218=Plano!$A$1,D1218=Plano!$B$1),"entrada","saída"))</f>
        <v>saída</v>
      </c>
      <c r="T1218" s="334" t="s">
        <v>1059</v>
      </c>
      <c r="U1218" s="334">
        <v>284</v>
      </c>
      <c r="V1218" s="269"/>
      <c r="W1218" s="269"/>
    </row>
    <row r="1219" spans="1:23" ht="125.25" customHeight="1" x14ac:dyDescent="0.2">
      <c r="A1219" s="277">
        <f t="shared" si="0"/>
        <v>1215</v>
      </c>
      <c r="B1219" s="278">
        <v>44270</v>
      </c>
      <c r="C1219" s="249">
        <v>44197</v>
      </c>
      <c r="D1219" s="255" t="s">
        <v>88</v>
      </c>
      <c r="E1219" s="255" t="s">
        <v>90</v>
      </c>
      <c r="F1219" s="258">
        <v>347.43</v>
      </c>
      <c r="G1219" s="255" t="s">
        <v>3925</v>
      </c>
      <c r="H1219" s="255" t="s">
        <v>114</v>
      </c>
      <c r="I1219" s="252" t="s">
        <v>542</v>
      </c>
      <c r="J1219" s="252" t="s">
        <v>543</v>
      </c>
      <c r="K1219" s="255" t="s">
        <v>560</v>
      </c>
      <c r="L1219" s="250" t="s">
        <v>1016</v>
      </c>
      <c r="M1219" s="255" t="s">
        <v>3926</v>
      </c>
      <c r="N1219" s="278">
        <v>44229</v>
      </c>
      <c r="O1219" s="329" t="s">
        <v>67</v>
      </c>
      <c r="P1219" s="386">
        <f t="shared" ref="P1219:Q1219" si="1216">IF(B1219=0,0,IF(YEAR(B1219)=$Q$1,MONTH(B1219)-$P$1+1,(YEAR(B1219)-$Q$1)*12-$P$1+1+MONTH(B1219)))</f>
        <v>3</v>
      </c>
      <c r="Q1219" s="330">
        <f t="shared" si="1216"/>
        <v>1</v>
      </c>
      <c r="R1219" s="351" t="str">
        <f t="shared" si="3"/>
        <v>Gastos_com_Pessoal</v>
      </c>
      <c r="S1219" s="351" t="str">
        <f>IF(D1219="","",IF(OR(D1219=Plano!$A$1,D1219=Plano!$B$1),"entrada","saída"))</f>
        <v>saída</v>
      </c>
      <c r="T1219" s="334" t="s">
        <v>1059</v>
      </c>
      <c r="U1219" s="334">
        <v>284</v>
      </c>
      <c r="V1219" s="269"/>
      <c r="W1219" s="269"/>
    </row>
    <row r="1220" spans="1:23" ht="69.75" customHeight="1" x14ac:dyDescent="0.2">
      <c r="A1220" s="277">
        <f t="shared" si="0"/>
        <v>1216</v>
      </c>
      <c r="B1220" s="278">
        <v>44270</v>
      </c>
      <c r="C1220" s="249">
        <v>44228</v>
      </c>
      <c r="D1220" s="255" t="s">
        <v>99</v>
      </c>
      <c r="E1220" s="255" t="s">
        <v>312</v>
      </c>
      <c r="F1220" s="258">
        <v>195.15</v>
      </c>
      <c r="G1220" s="255" t="s">
        <v>439</v>
      </c>
      <c r="H1220" s="255" t="s">
        <v>115</v>
      </c>
      <c r="I1220" s="252" t="s">
        <v>1421</v>
      </c>
      <c r="J1220" s="252" t="s">
        <v>441</v>
      </c>
      <c r="K1220" s="255" t="s">
        <v>560</v>
      </c>
      <c r="L1220" s="250" t="s">
        <v>1016</v>
      </c>
      <c r="M1220" s="255">
        <v>2954603</v>
      </c>
      <c r="N1220" s="278">
        <v>44256</v>
      </c>
      <c r="O1220" s="329" t="s">
        <v>67</v>
      </c>
      <c r="P1220" s="386">
        <f t="shared" ref="P1220:Q1220" si="1217">IF(B1220=0,0,IF(YEAR(B1220)=$Q$1,MONTH(B1220)-$P$1+1,(YEAR(B1220)-$Q$1)*12-$P$1+1+MONTH(B1220)))</f>
        <v>3</v>
      </c>
      <c r="Q1220" s="330">
        <f t="shared" si="1217"/>
        <v>2</v>
      </c>
      <c r="R1220" s="351" t="str">
        <f t="shared" si="3"/>
        <v>Gastos_Gerais</v>
      </c>
      <c r="S1220" s="351" t="str">
        <f>IF(D1220="","",IF(OR(D1220=Plano!$A$1,D1220=Plano!$B$1),"entrada","saída"))</f>
        <v>saída</v>
      </c>
      <c r="T1220" s="334" t="s">
        <v>1059</v>
      </c>
      <c r="U1220" s="334">
        <v>1142</v>
      </c>
      <c r="V1220" s="269"/>
      <c r="W1220" s="269"/>
    </row>
    <row r="1221" spans="1:23" ht="69.75" customHeight="1" x14ac:dyDescent="0.2">
      <c r="A1221" s="277">
        <f t="shared" si="0"/>
        <v>1217</v>
      </c>
      <c r="B1221" s="278">
        <v>44270</v>
      </c>
      <c r="C1221" s="249">
        <v>44228</v>
      </c>
      <c r="D1221" s="255" t="s">
        <v>99</v>
      </c>
      <c r="E1221" s="255" t="s">
        <v>272</v>
      </c>
      <c r="F1221" s="258">
        <v>10.45</v>
      </c>
      <c r="G1221" s="255" t="s">
        <v>3927</v>
      </c>
      <c r="H1221" s="255" t="s">
        <v>132</v>
      </c>
      <c r="I1221" s="250" t="s">
        <v>949</v>
      </c>
      <c r="J1221" s="255" t="s">
        <v>950</v>
      </c>
      <c r="K1221" s="255" t="s">
        <v>951</v>
      </c>
      <c r="L1221" s="250" t="s">
        <v>947</v>
      </c>
      <c r="M1221" s="279" t="s">
        <v>114</v>
      </c>
      <c r="N1221" s="278">
        <v>44270</v>
      </c>
      <c r="O1221" s="329" t="s">
        <v>67</v>
      </c>
      <c r="P1221" s="386">
        <f t="shared" ref="P1221:Q1221" si="1218">IF(B1221=0,0,IF(YEAR(B1221)=$Q$1,MONTH(B1221)-$P$1+1,(YEAR(B1221)-$Q$1)*12-$P$1+1+MONTH(B1221)))</f>
        <v>3</v>
      </c>
      <c r="Q1221" s="330">
        <f t="shared" si="1218"/>
        <v>2</v>
      </c>
      <c r="R1221" s="351" t="str">
        <f t="shared" si="3"/>
        <v>Gastos_Gerais</v>
      </c>
      <c r="S1221" s="351" t="str">
        <f>IF(D1221="","",IF(OR(D1221=Plano!$A$1,D1221=Plano!$B$1),"entrada","saída"))</f>
        <v>saída</v>
      </c>
      <c r="T1221" s="334" t="s">
        <v>114</v>
      </c>
      <c r="U1221" s="334" t="s">
        <v>114</v>
      </c>
      <c r="V1221" s="269"/>
      <c r="W1221" s="269"/>
    </row>
    <row r="1222" spans="1:23" ht="130.5" customHeight="1" x14ac:dyDescent="0.2">
      <c r="A1222" s="277">
        <f t="shared" si="0"/>
        <v>1218</v>
      </c>
      <c r="B1222" s="278">
        <v>44270</v>
      </c>
      <c r="C1222" s="249">
        <v>44228</v>
      </c>
      <c r="D1222" s="255" t="s">
        <v>104</v>
      </c>
      <c r="E1222" s="255" t="s">
        <v>104</v>
      </c>
      <c r="F1222" s="258">
        <v>16250</v>
      </c>
      <c r="G1222" s="255" t="s">
        <v>3928</v>
      </c>
      <c r="H1222" s="255" t="s">
        <v>104</v>
      </c>
      <c r="I1222" s="250" t="s">
        <v>3929</v>
      </c>
      <c r="J1222" s="255" t="s">
        <v>3930</v>
      </c>
      <c r="K1222" s="255" t="s">
        <v>1015</v>
      </c>
      <c r="L1222" s="250" t="s">
        <v>1016</v>
      </c>
      <c r="M1222" s="279">
        <v>112</v>
      </c>
      <c r="N1222" s="278">
        <v>44265</v>
      </c>
      <c r="O1222" s="329" t="s">
        <v>69</v>
      </c>
      <c r="P1222" s="386">
        <f t="shared" ref="P1222:Q1222" si="1219">IF(B1222=0,0,IF(YEAR(B1222)=$Q$1,MONTH(B1222)-$P$1+1,(YEAR(B1222)-$Q$1)*12-$P$1+1+MONTH(B1222)))</f>
        <v>3</v>
      </c>
      <c r="Q1222" s="330">
        <f t="shared" si="1219"/>
        <v>2</v>
      </c>
      <c r="R1222" s="351" t="str">
        <f t="shared" si="3"/>
        <v>Gastos_custeados_por_captação</v>
      </c>
      <c r="S1222" s="351" t="str">
        <f>IF(D1222="","",IF(OR(D1222=Plano!$A$1,D1222=Plano!$B$1),"entrada","saída"))</f>
        <v>saída</v>
      </c>
      <c r="T1222" s="334" t="s">
        <v>994</v>
      </c>
      <c r="U1222" s="334">
        <v>1335</v>
      </c>
      <c r="V1222" s="269"/>
      <c r="W1222" s="269"/>
    </row>
    <row r="1223" spans="1:23" ht="137.25" customHeight="1" x14ac:dyDescent="0.2">
      <c r="A1223" s="277">
        <f t="shared" si="0"/>
        <v>1219</v>
      </c>
      <c r="B1223" s="278">
        <v>44270</v>
      </c>
      <c r="C1223" s="249">
        <v>44228</v>
      </c>
      <c r="D1223" s="255" t="s">
        <v>104</v>
      </c>
      <c r="E1223" s="255" t="s">
        <v>104</v>
      </c>
      <c r="F1223" s="258">
        <v>3000</v>
      </c>
      <c r="G1223" s="255" t="s">
        <v>495</v>
      </c>
      <c r="H1223" s="255" t="s">
        <v>104</v>
      </c>
      <c r="I1223" s="252" t="s">
        <v>3931</v>
      </c>
      <c r="J1223" s="252" t="s">
        <v>496</v>
      </c>
      <c r="K1223" s="255" t="s">
        <v>1015</v>
      </c>
      <c r="L1223" s="250" t="s">
        <v>1016</v>
      </c>
      <c r="M1223" s="255" t="s">
        <v>1299</v>
      </c>
      <c r="N1223" s="278">
        <v>44266</v>
      </c>
      <c r="O1223" s="329" t="s">
        <v>69</v>
      </c>
      <c r="P1223" s="386">
        <f t="shared" ref="P1223:Q1223" si="1220">IF(B1223=0,0,IF(YEAR(B1223)=$Q$1,MONTH(B1223)-$P$1+1,(YEAR(B1223)-$Q$1)*12-$P$1+1+MONTH(B1223)))</f>
        <v>3</v>
      </c>
      <c r="Q1223" s="330">
        <f t="shared" si="1220"/>
        <v>2</v>
      </c>
      <c r="R1223" s="351" t="str">
        <f t="shared" si="3"/>
        <v>Gastos_custeados_por_captação</v>
      </c>
      <c r="S1223" s="351" t="str">
        <f>IF(D1223="","",IF(OR(D1223=Plano!$A$1,D1223=Plano!$B$1),"entrada","saída"))</f>
        <v>saída</v>
      </c>
      <c r="T1223" s="334" t="s">
        <v>1082</v>
      </c>
      <c r="U1223" s="334">
        <v>1300</v>
      </c>
      <c r="V1223" s="269"/>
      <c r="W1223" s="269"/>
    </row>
    <row r="1224" spans="1:23" ht="129.75" customHeight="1" x14ac:dyDescent="0.2">
      <c r="A1224" s="277">
        <f t="shared" si="0"/>
        <v>1220</v>
      </c>
      <c r="B1224" s="278">
        <v>44270</v>
      </c>
      <c r="C1224" s="249">
        <v>44228</v>
      </c>
      <c r="D1224" s="255" t="s">
        <v>104</v>
      </c>
      <c r="E1224" s="255" t="s">
        <v>104</v>
      </c>
      <c r="F1224" s="258">
        <v>16250</v>
      </c>
      <c r="G1224" s="255" t="s">
        <v>3928</v>
      </c>
      <c r="H1224" s="255" t="s">
        <v>104</v>
      </c>
      <c r="I1224" s="250" t="s">
        <v>3932</v>
      </c>
      <c r="J1224" s="255" t="s">
        <v>3933</v>
      </c>
      <c r="K1224" s="255" t="s">
        <v>1015</v>
      </c>
      <c r="L1224" s="250" t="s">
        <v>1016</v>
      </c>
      <c r="M1224" s="255" t="s">
        <v>1148</v>
      </c>
      <c r="N1224" s="278">
        <v>44266</v>
      </c>
      <c r="O1224" s="329" t="s">
        <v>69</v>
      </c>
      <c r="P1224" s="386">
        <f t="shared" ref="P1224:Q1224" si="1221">IF(B1224=0,0,IF(YEAR(B1224)=$Q$1,MONTH(B1224)-$P$1+1,(YEAR(B1224)-$Q$1)*12-$P$1+1+MONTH(B1224)))</f>
        <v>3</v>
      </c>
      <c r="Q1224" s="330">
        <f t="shared" si="1221"/>
        <v>2</v>
      </c>
      <c r="R1224" s="351" t="str">
        <f t="shared" si="3"/>
        <v>Gastos_custeados_por_captação</v>
      </c>
      <c r="S1224" s="351" t="str">
        <f>IF(D1224="","",IF(OR(D1224=Plano!$A$1,D1224=Plano!$B$1),"entrada","saída"))</f>
        <v>saída</v>
      </c>
      <c r="T1224" s="334" t="s">
        <v>994</v>
      </c>
      <c r="U1224" s="334">
        <v>1334</v>
      </c>
      <c r="V1224" s="269"/>
      <c r="W1224" s="269"/>
    </row>
    <row r="1225" spans="1:23" ht="150" customHeight="1" x14ac:dyDescent="0.2">
      <c r="A1225" s="277">
        <f t="shared" si="0"/>
        <v>1221</v>
      </c>
      <c r="B1225" s="278">
        <v>44270</v>
      </c>
      <c r="C1225" s="249">
        <v>44228</v>
      </c>
      <c r="D1225" s="255" t="s">
        <v>104</v>
      </c>
      <c r="E1225" s="255" t="s">
        <v>104</v>
      </c>
      <c r="F1225" s="257">
        <v>63</v>
      </c>
      <c r="G1225" s="255" t="s">
        <v>3934</v>
      </c>
      <c r="H1225" s="255" t="s">
        <v>104</v>
      </c>
      <c r="I1225" s="250" t="s">
        <v>2197</v>
      </c>
      <c r="J1225" s="255" t="s">
        <v>444</v>
      </c>
      <c r="K1225" s="255" t="s">
        <v>1015</v>
      </c>
      <c r="L1225" s="250" t="s">
        <v>1016</v>
      </c>
      <c r="M1225" s="255" t="s">
        <v>3935</v>
      </c>
      <c r="N1225" s="278">
        <v>44250</v>
      </c>
      <c r="O1225" s="329" t="s">
        <v>69</v>
      </c>
      <c r="P1225" s="386">
        <f t="shared" ref="P1225:Q1225" si="1222">IF(B1225=0,0,IF(YEAR(B1225)=$Q$1,MONTH(B1225)-$P$1+1,(YEAR(B1225)-$Q$1)*12-$P$1+1+MONTH(B1225)))</f>
        <v>3</v>
      </c>
      <c r="Q1225" s="330">
        <f t="shared" si="1222"/>
        <v>2</v>
      </c>
      <c r="R1225" s="351" t="str">
        <f t="shared" si="3"/>
        <v>Gastos_custeados_por_captação</v>
      </c>
      <c r="S1225" s="351" t="str">
        <f>IF(D1225="","",IF(OR(D1225=Plano!$A$1,D1225=Plano!$B$1),"entrada","saída"))</f>
        <v>saída</v>
      </c>
      <c r="T1225" s="334" t="s">
        <v>1082</v>
      </c>
      <c r="U1225" s="334">
        <v>1340</v>
      </c>
      <c r="V1225" s="269"/>
      <c r="W1225" s="269"/>
    </row>
    <row r="1226" spans="1:23" ht="69.75" customHeight="1" x14ac:dyDescent="0.2">
      <c r="A1226" s="277">
        <f t="shared" si="0"/>
        <v>1222</v>
      </c>
      <c r="B1226" s="350">
        <v>44270</v>
      </c>
      <c r="C1226" s="249">
        <v>44256</v>
      </c>
      <c r="D1226" s="250" t="s">
        <v>104</v>
      </c>
      <c r="E1226" s="250" t="s">
        <v>104</v>
      </c>
      <c r="F1226" s="251">
        <v>153</v>
      </c>
      <c r="G1226" s="250" t="s">
        <v>1157</v>
      </c>
      <c r="H1226" s="250" t="s">
        <v>104</v>
      </c>
      <c r="I1226" s="250" t="s">
        <v>949</v>
      </c>
      <c r="J1226" s="250" t="s">
        <v>950</v>
      </c>
      <c r="K1226" s="250" t="s">
        <v>951</v>
      </c>
      <c r="L1226" s="250" t="s">
        <v>947</v>
      </c>
      <c r="M1226" s="393" t="s">
        <v>114</v>
      </c>
      <c r="N1226" s="350">
        <v>44270</v>
      </c>
      <c r="O1226" s="353" t="s">
        <v>71</v>
      </c>
      <c r="P1226" s="386">
        <f t="shared" ref="P1226:Q1226" si="1223">IF(B1226=0,0,IF(YEAR(B1226)=$Q$1,MONTH(B1226)-$P$1+1,(YEAR(B1226)-$Q$1)*12-$P$1+1+MONTH(B1226)))</f>
        <v>3</v>
      </c>
      <c r="Q1226" s="330">
        <f t="shared" si="1223"/>
        <v>3</v>
      </c>
      <c r="R1226" s="351" t="str">
        <f t="shared" si="3"/>
        <v>Gastos_custeados_por_captação</v>
      </c>
      <c r="S1226" s="351" t="str">
        <f>IF(D1226="","",IF(OR(D1226=Plano!$A$1,D1226=Plano!$B$1),"entrada","saída"))</f>
        <v>saída</v>
      </c>
      <c r="T1226" s="334" t="s">
        <v>114</v>
      </c>
      <c r="U1226" s="334" t="s">
        <v>114</v>
      </c>
      <c r="V1226" s="269"/>
      <c r="W1226" s="269"/>
    </row>
    <row r="1227" spans="1:23" ht="120.75" customHeight="1" x14ac:dyDescent="0.2">
      <c r="A1227" s="277">
        <f t="shared" si="0"/>
        <v>1223</v>
      </c>
      <c r="B1227" s="278">
        <v>44271</v>
      </c>
      <c r="C1227" s="249">
        <v>44228</v>
      </c>
      <c r="D1227" s="255" t="s">
        <v>99</v>
      </c>
      <c r="E1227" s="255" t="s">
        <v>364</v>
      </c>
      <c r="F1227" s="258">
        <v>620.41</v>
      </c>
      <c r="G1227" s="255" t="s">
        <v>3936</v>
      </c>
      <c r="H1227" s="255" t="s">
        <v>122</v>
      </c>
      <c r="I1227" s="250" t="s">
        <v>3937</v>
      </c>
      <c r="J1227" s="255" t="s">
        <v>850</v>
      </c>
      <c r="K1227" s="255" t="s">
        <v>1015</v>
      </c>
      <c r="L1227" s="250" t="s">
        <v>1136</v>
      </c>
      <c r="M1227" s="255" t="s">
        <v>114</v>
      </c>
      <c r="N1227" s="278">
        <v>44271</v>
      </c>
      <c r="O1227" s="329" t="s">
        <v>67</v>
      </c>
      <c r="P1227" s="386">
        <f t="shared" ref="P1227:Q1227" si="1224">IF(B1227=0,0,IF(YEAR(B1227)=$Q$1,MONTH(B1227)-$P$1+1,(YEAR(B1227)-$Q$1)*12-$P$1+1+MONTH(B1227)))</f>
        <v>3</v>
      </c>
      <c r="Q1227" s="330">
        <f t="shared" si="1224"/>
        <v>2</v>
      </c>
      <c r="R1227" s="351" t="str">
        <f t="shared" si="3"/>
        <v>Gastos_Gerais</v>
      </c>
      <c r="S1227" s="351" t="str">
        <f>IF(D1227="","",IF(OR(D1227=Plano!$A$1,D1227=Plano!$B$1),"entrada","saída"))</f>
        <v>saída</v>
      </c>
      <c r="T1227" s="334" t="s">
        <v>994</v>
      </c>
      <c r="U1227" s="334">
        <v>1332</v>
      </c>
      <c r="V1227" s="269"/>
      <c r="W1227" s="269"/>
    </row>
    <row r="1228" spans="1:23" ht="69.75" customHeight="1" x14ac:dyDescent="0.2">
      <c r="A1228" s="277">
        <f t="shared" si="0"/>
        <v>1224</v>
      </c>
      <c r="B1228" s="278">
        <v>44272</v>
      </c>
      <c r="C1228" s="249">
        <v>44228</v>
      </c>
      <c r="D1228" s="255" t="s">
        <v>99</v>
      </c>
      <c r="E1228" s="255" t="s">
        <v>218</v>
      </c>
      <c r="F1228" s="258">
        <v>-66.510000000000005</v>
      </c>
      <c r="G1228" s="255" t="s">
        <v>3938</v>
      </c>
      <c r="H1228" s="255" t="s">
        <v>115</v>
      </c>
      <c r="I1228" s="250" t="s">
        <v>3010</v>
      </c>
      <c r="J1228" s="255" t="s">
        <v>850</v>
      </c>
      <c r="K1228" s="255" t="s">
        <v>946</v>
      </c>
      <c r="L1228" s="250" t="s">
        <v>947</v>
      </c>
      <c r="M1228" s="390" t="s">
        <v>114</v>
      </c>
      <c r="N1228" s="278">
        <v>44272</v>
      </c>
      <c r="O1228" s="329" t="s">
        <v>67</v>
      </c>
      <c r="P1228" s="386">
        <f t="shared" ref="P1228:Q1228" si="1225">IF(B1228=0,0,IF(YEAR(B1228)=$Q$1,MONTH(B1228)-$P$1+1,(YEAR(B1228)-$Q$1)*12-$P$1+1+MONTH(B1228)))</f>
        <v>3</v>
      </c>
      <c r="Q1228" s="330">
        <f t="shared" si="1225"/>
        <v>2</v>
      </c>
      <c r="R1228" s="351" t="str">
        <f t="shared" si="3"/>
        <v>Gastos_Gerais</v>
      </c>
      <c r="S1228" s="351" t="str">
        <f>IF(D1228="","",IF(OR(D1228=Plano!$A$1,D1228=Plano!$B$1),"entrada","saída"))</f>
        <v>saída</v>
      </c>
      <c r="T1228" s="334" t="s">
        <v>114</v>
      </c>
      <c r="U1228" s="334" t="s">
        <v>114</v>
      </c>
      <c r="V1228" s="269"/>
      <c r="W1228" s="269"/>
    </row>
    <row r="1229" spans="1:23" ht="69.75" customHeight="1" x14ac:dyDescent="0.2">
      <c r="A1229" s="277">
        <f t="shared" si="0"/>
        <v>1225</v>
      </c>
      <c r="B1229" s="278">
        <v>44272</v>
      </c>
      <c r="C1229" s="249">
        <v>44228</v>
      </c>
      <c r="D1229" s="255" t="s">
        <v>99</v>
      </c>
      <c r="E1229" s="255" t="s">
        <v>216</v>
      </c>
      <c r="F1229" s="258">
        <v>-28.71</v>
      </c>
      <c r="G1229" s="255" t="s">
        <v>3939</v>
      </c>
      <c r="H1229" s="255" t="s">
        <v>115</v>
      </c>
      <c r="I1229" s="250" t="s">
        <v>983</v>
      </c>
      <c r="J1229" s="255" t="s">
        <v>850</v>
      </c>
      <c r="K1229" s="255" t="s">
        <v>946</v>
      </c>
      <c r="L1229" s="250" t="s">
        <v>947</v>
      </c>
      <c r="M1229" s="255" t="s">
        <v>114</v>
      </c>
      <c r="N1229" s="278">
        <v>44272</v>
      </c>
      <c r="O1229" s="329" t="s">
        <v>67</v>
      </c>
      <c r="P1229" s="386">
        <f t="shared" ref="P1229:Q1229" si="1226">IF(B1229=0,0,IF(YEAR(B1229)=$Q$1,MONTH(B1229)-$P$1+1,(YEAR(B1229)-$Q$1)*12-$P$1+1+MONTH(B1229)))</f>
        <v>3</v>
      </c>
      <c r="Q1229" s="330">
        <f t="shared" si="1226"/>
        <v>2</v>
      </c>
      <c r="R1229" s="351" t="str">
        <f t="shared" si="3"/>
        <v>Gastos_Gerais</v>
      </c>
      <c r="S1229" s="351" t="str">
        <f>IF(D1229="","",IF(OR(D1229=Plano!$A$1,D1229=Plano!$B$1),"entrada","saída"))</f>
        <v>saída</v>
      </c>
      <c r="T1229" s="334" t="s">
        <v>114</v>
      </c>
      <c r="U1229" s="334" t="s">
        <v>114</v>
      </c>
      <c r="V1229" s="269"/>
      <c r="W1229" s="269"/>
    </row>
    <row r="1230" spans="1:23" ht="69.75" customHeight="1" x14ac:dyDescent="0.2">
      <c r="A1230" s="277">
        <f t="shared" si="0"/>
        <v>1226</v>
      </c>
      <c r="B1230" s="278">
        <v>44272</v>
      </c>
      <c r="C1230" s="256">
        <v>44228</v>
      </c>
      <c r="D1230" s="255" t="s">
        <v>99</v>
      </c>
      <c r="E1230" s="255" t="s">
        <v>222</v>
      </c>
      <c r="F1230" s="258">
        <v>-123.82</v>
      </c>
      <c r="G1230" s="255" t="s">
        <v>3940</v>
      </c>
      <c r="H1230" s="255" t="s">
        <v>115</v>
      </c>
      <c r="I1230" s="250" t="s">
        <v>983</v>
      </c>
      <c r="J1230" s="255" t="s">
        <v>850</v>
      </c>
      <c r="K1230" s="255" t="s">
        <v>946</v>
      </c>
      <c r="L1230" s="250" t="s">
        <v>947</v>
      </c>
      <c r="M1230" s="255" t="s">
        <v>114</v>
      </c>
      <c r="N1230" s="278">
        <v>44272</v>
      </c>
      <c r="O1230" s="329" t="s">
        <v>67</v>
      </c>
      <c r="P1230" s="386">
        <f t="shared" ref="P1230:Q1230" si="1227">IF(B1230=0,0,IF(YEAR(B1230)=$Q$1,MONTH(B1230)-$P$1+1,(YEAR(B1230)-$Q$1)*12-$P$1+1+MONTH(B1230)))</f>
        <v>3</v>
      </c>
      <c r="Q1230" s="330">
        <f t="shared" si="1227"/>
        <v>2</v>
      </c>
      <c r="R1230" s="351" t="str">
        <f t="shared" si="3"/>
        <v>Gastos_Gerais</v>
      </c>
      <c r="S1230" s="351" t="str">
        <f>IF(D1230="","",IF(OR(D1230=Plano!$A$1,D1230=Plano!$B$1),"entrada","saída"))</f>
        <v>saída</v>
      </c>
      <c r="T1230" s="334" t="s">
        <v>114</v>
      </c>
      <c r="U1230" s="334" t="s">
        <v>114</v>
      </c>
      <c r="V1230" s="269"/>
      <c r="W1230" s="269"/>
    </row>
    <row r="1231" spans="1:23" ht="69.75" customHeight="1" x14ac:dyDescent="0.2">
      <c r="A1231" s="277">
        <f t="shared" si="0"/>
        <v>1227</v>
      </c>
      <c r="B1231" s="278">
        <v>44272</v>
      </c>
      <c r="C1231" s="249">
        <v>44228</v>
      </c>
      <c r="D1231" s="255" t="s">
        <v>99</v>
      </c>
      <c r="E1231" s="255" t="s">
        <v>222</v>
      </c>
      <c r="F1231" s="258">
        <v>579.94000000000005</v>
      </c>
      <c r="G1231" s="255" t="s">
        <v>524</v>
      </c>
      <c r="H1231" s="255" t="s">
        <v>115</v>
      </c>
      <c r="I1231" s="252" t="s">
        <v>522</v>
      </c>
      <c r="J1231" s="252" t="s">
        <v>523</v>
      </c>
      <c r="K1231" s="255" t="s">
        <v>1375</v>
      </c>
      <c r="L1231" s="250" t="s">
        <v>697</v>
      </c>
      <c r="M1231" s="255" t="s">
        <v>114</v>
      </c>
      <c r="N1231" s="278">
        <v>44256</v>
      </c>
      <c r="O1231" s="329" t="s">
        <v>67</v>
      </c>
      <c r="P1231" s="386">
        <f t="shared" ref="P1231:Q1231" si="1228">IF(B1231=0,0,IF(YEAR(B1231)=$Q$1,MONTH(B1231)-$P$1+1,(YEAR(B1231)-$Q$1)*12-$P$1+1+MONTH(B1231)))</f>
        <v>3</v>
      </c>
      <c r="Q1231" s="330">
        <f t="shared" si="1228"/>
        <v>2</v>
      </c>
      <c r="R1231" s="351" t="str">
        <f t="shared" si="3"/>
        <v>Gastos_Gerais</v>
      </c>
      <c r="S1231" s="351" t="str">
        <f>IF(D1231="","",IF(OR(D1231=Plano!$A$1,D1231=Plano!$B$1),"entrada","saída"))</f>
        <v>saída</v>
      </c>
      <c r="T1231" s="334" t="s">
        <v>114</v>
      </c>
      <c r="U1231" s="334" t="s">
        <v>114</v>
      </c>
      <c r="V1231" s="269"/>
      <c r="W1231" s="269"/>
    </row>
    <row r="1232" spans="1:23" ht="69.75" customHeight="1" x14ac:dyDescent="0.2">
      <c r="A1232" s="277">
        <f t="shared" si="0"/>
        <v>1228</v>
      </c>
      <c r="B1232" s="278">
        <v>44272</v>
      </c>
      <c r="C1232" s="256">
        <v>44228</v>
      </c>
      <c r="D1232" s="255" t="s">
        <v>99</v>
      </c>
      <c r="E1232" s="255" t="s">
        <v>218</v>
      </c>
      <c r="F1232" s="258">
        <v>303.97000000000003</v>
      </c>
      <c r="G1232" s="255" t="s">
        <v>3941</v>
      </c>
      <c r="H1232" s="255" t="s">
        <v>115</v>
      </c>
      <c r="I1232" s="252" t="s">
        <v>515</v>
      </c>
      <c r="J1232" s="252" t="s">
        <v>516</v>
      </c>
      <c r="K1232" s="255" t="s">
        <v>700</v>
      </c>
      <c r="L1232" s="250" t="s">
        <v>697</v>
      </c>
      <c r="M1232" s="255" t="s">
        <v>3942</v>
      </c>
      <c r="N1232" s="278">
        <v>44259</v>
      </c>
      <c r="O1232" s="329" t="s">
        <v>67</v>
      </c>
      <c r="P1232" s="386">
        <f t="shared" ref="P1232:Q1232" si="1229">IF(B1232=0,0,IF(YEAR(B1232)=$Q$1,MONTH(B1232)-$P$1+1,(YEAR(B1232)-$Q$1)*12-$P$1+1+MONTH(B1232)))</f>
        <v>3</v>
      </c>
      <c r="Q1232" s="330">
        <f t="shared" si="1229"/>
        <v>2</v>
      </c>
      <c r="R1232" s="351" t="str">
        <f t="shared" si="3"/>
        <v>Gastos_Gerais</v>
      </c>
      <c r="S1232" s="351" t="str">
        <f>IF(D1232="","",IF(OR(D1232=Plano!$A$1,D1232=Plano!$B$1),"entrada","saída"))</f>
        <v>saída</v>
      </c>
      <c r="T1232" s="334" t="s">
        <v>114</v>
      </c>
      <c r="U1232" s="334" t="s">
        <v>114</v>
      </c>
      <c r="V1232" s="269"/>
      <c r="W1232" s="269"/>
    </row>
    <row r="1233" spans="1:23" ht="69.75" customHeight="1" x14ac:dyDescent="0.2">
      <c r="A1233" s="277">
        <f t="shared" si="0"/>
        <v>1229</v>
      </c>
      <c r="B1233" s="278">
        <v>44272</v>
      </c>
      <c r="C1233" s="249">
        <v>44228</v>
      </c>
      <c r="D1233" s="255" t="s">
        <v>99</v>
      </c>
      <c r="E1233" s="255" t="s">
        <v>216</v>
      </c>
      <c r="F1233" s="258">
        <v>301.93</v>
      </c>
      <c r="G1233" s="252" t="s">
        <v>3943</v>
      </c>
      <c r="H1233" s="255" t="s">
        <v>115</v>
      </c>
      <c r="I1233" s="250" t="s">
        <v>513</v>
      </c>
      <c r="J1233" s="252" t="s">
        <v>514</v>
      </c>
      <c r="K1233" s="255" t="s">
        <v>696</v>
      </c>
      <c r="L1233" s="250" t="s">
        <v>1016</v>
      </c>
      <c r="M1233" s="255">
        <v>55096980</v>
      </c>
      <c r="N1233" s="278">
        <v>44252</v>
      </c>
      <c r="O1233" s="329" t="s">
        <v>67</v>
      </c>
      <c r="P1233" s="386">
        <f t="shared" ref="P1233:Q1233" si="1230">IF(B1233=0,0,IF(YEAR(B1233)=$Q$1,MONTH(B1233)-$P$1+1,(YEAR(B1233)-$Q$1)*12-$P$1+1+MONTH(B1233)))</f>
        <v>3</v>
      </c>
      <c r="Q1233" s="330">
        <f t="shared" si="1230"/>
        <v>2</v>
      </c>
      <c r="R1233" s="351" t="str">
        <f t="shared" si="3"/>
        <v>Gastos_Gerais</v>
      </c>
      <c r="S1233" s="351" t="str">
        <f>IF(D1233="","",IF(OR(D1233=Plano!$A$1,D1233=Plano!$B$1),"entrada","saída"))</f>
        <v>saída</v>
      </c>
      <c r="T1233" s="334" t="s">
        <v>114</v>
      </c>
      <c r="U1233" s="334" t="s">
        <v>114</v>
      </c>
      <c r="V1233" s="269"/>
      <c r="W1233" s="269"/>
    </row>
    <row r="1234" spans="1:23" ht="181.5" customHeight="1" x14ac:dyDescent="0.2">
      <c r="A1234" s="277">
        <f t="shared" si="0"/>
        <v>1230</v>
      </c>
      <c r="B1234" s="278">
        <v>44272</v>
      </c>
      <c r="C1234" s="249">
        <v>44228</v>
      </c>
      <c r="D1234" s="255" t="s">
        <v>99</v>
      </c>
      <c r="E1234" s="255" t="s">
        <v>352</v>
      </c>
      <c r="F1234" s="258">
        <v>4750</v>
      </c>
      <c r="G1234" s="255" t="s">
        <v>3429</v>
      </c>
      <c r="H1234" s="255" t="s">
        <v>126</v>
      </c>
      <c r="I1234" s="252" t="s">
        <v>3430</v>
      </c>
      <c r="J1234" s="252" t="s">
        <v>3431</v>
      </c>
      <c r="K1234" s="255" t="s">
        <v>991</v>
      </c>
      <c r="L1234" s="250" t="s">
        <v>1016</v>
      </c>
      <c r="M1234" s="255" t="s">
        <v>1407</v>
      </c>
      <c r="N1234" s="278">
        <v>44271</v>
      </c>
      <c r="O1234" s="329" t="s">
        <v>67</v>
      </c>
      <c r="P1234" s="386">
        <f t="shared" ref="P1234:Q1234" si="1231">IF(B1234=0,0,IF(YEAR(B1234)=$Q$1,MONTH(B1234)-$P$1+1,(YEAR(B1234)-$Q$1)*12-$P$1+1+MONTH(B1234)))</f>
        <v>3</v>
      </c>
      <c r="Q1234" s="330">
        <f t="shared" si="1231"/>
        <v>2</v>
      </c>
      <c r="R1234" s="351" t="str">
        <f t="shared" si="3"/>
        <v>Gastos_Gerais</v>
      </c>
      <c r="S1234" s="351" t="str">
        <f>IF(D1234="","",IF(OR(D1234=Plano!$A$1,D1234=Plano!$B$1),"entrada","saída"))</f>
        <v>saída</v>
      </c>
      <c r="T1234" s="334" t="s">
        <v>1059</v>
      </c>
      <c r="U1234" s="334">
        <v>1270</v>
      </c>
      <c r="V1234" s="269"/>
      <c r="W1234" s="269"/>
    </row>
    <row r="1235" spans="1:23" ht="69.75" customHeight="1" x14ac:dyDescent="0.2">
      <c r="A1235" s="277">
        <f t="shared" si="0"/>
        <v>1231</v>
      </c>
      <c r="B1235" s="278">
        <v>44272</v>
      </c>
      <c r="C1235" s="249">
        <v>44256</v>
      </c>
      <c r="D1235" s="255" t="s">
        <v>99</v>
      </c>
      <c r="E1235" s="255" t="s">
        <v>272</v>
      </c>
      <c r="F1235" s="258">
        <v>10.45</v>
      </c>
      <c r="G1235" s="255" t="s">
        <v>3432</v>
      </c>
      <c r="H1235" s="255" t="s">
        <v>126</v>
      </c>
      <c r="I1235" s="250" t="s">
        <v>949</v>
      </c>
      <c r="J1235" s="255" t="s">
        <v>950</v>
      </c>
      <c r="K1235" s="255" t="s">
        <v>951</v>
      </c>
      <c r="L1235" s="250" t="s">
        <v>947</v>
      </c>
      <c r="M1235" s="279" t="s">
        <v>114</v>
      </c>
      <c r="N1235" s="278">
        <v>44272</v>
      </c>
      <c r="O1235" s="329" t="s">
        <v>67</v>
      </c>
      <c r="P1235" s="386">
        <f t="shared" ref="P1235:Q1235" si="1232">IF(B1235=0,0,IF(YEAR(B1235)=$Q$1,MONTH(B1235)-$P$1+1,(YEAR(B1235)-$Q$1)*12-$P$1+1+MONTH(B1235)))</f>
        <v>3</v>
      </c>
      <c r="Q1235" s="330">
        <f t="shared" si="1232"/>
        <v>3</v>
      </c>
      <c r="R1235" s="351" t="str">
        <f t="shared" si="3"/>
        <v>Gastos_Gerais</v>
      </c>
      <c r="S1235" s="351" t="str">
        <f>IF(D1235="","",IF(OR(D1235=Plano!$A$1,D1235=Plano!$B$1),"entrada","saída"))</f>
        <v>saída</v>
      </c>
      <c r="T1235" s="334" t="s">
        <v>114</v>
      </c>
      <c r="U1235" s="334" t="s">
        <v>114</v>
      </c>
      <c r="V1235" s="269"/>
      <c r="W1235" s="269"/>
    </row>
    <row r="1236" spans="1:23" ht="88.5" customHeight="1" x14ac:dyDescent="0.2">
      <c r="A1236" s="277">
        <f t="shared" si="0"/>
        <v>1232</v>
      </c>
      <c r="B1236" s="278">
        <v>44272</v>
      </c>
      <c r="C1236" s="249">
        <v>44228</v>
      </c>
      <c r="D1236" s="255" t="s">
        <v>104</v>
      </c>
      <c r="E1236" s="255" t="s">
        <v>104</v>
      </c>
      <c r="F1236" s="258">
        <v>3880</v>
      </c>
      <c r="G1236" s="255" t="s">
        <v>3944</v>
      </c>
      <c r="H1236" s="255" t="s">
        <v>104</v>
      </c>
      <c r="I1236" s="250" t="s">
        <v>2817</v>
      </c>
      <c r="J1236" s="255" t="s">
        <v>608</v>
      </c>
      <c r="K1236" s="255" t="s">
        <v>1015</v>
      </c>
      <c r="L1236" s="250" t="s">
        <v>1016</v>
      </c>
      <c r="M1236" s="255" t="s">
        <v>1944</v>
      </c>
      <c r="N1236" s="278">
        <v>44272</v>
      </c>
      <c r="O1236" s="329" t="s">
        <v>68</v>
      </c>
      <c r="P1236" s="386">
        <f t="shared" ref="P1236:Q1236" si="1233">IF(B1236=0,0,IF(YEAR(B1236)=$Q$1,MONTH(B1236)-$P$1+1,(YEAR(B1236)-$Q$1)*12-$P$1+1+MONTH(B1236)))</f>
        <v>3</v>
      </c>
      <c r="Q1236" s="330">
        <f t="shared" si="1233"/>
        <v>2</v>
      </c>
      <c r="R1236" s="351" t="str">
        <f t="shared" si="3"/>
        <v>Gastos_custeados_por_captação</v>
      </c>
      <c r="S1236" s="351" t="str">
        <f>IF(D1236="","",IF(OR(D1236=Plano!$A$1,D1236=Plano!$B$1),"entrada","saída"))</f>
        <v>saída</v>
      </c>
      <c r="T1236" s="334" t="s">
        <v>1082</v>
      </c>
      <c r="U1236" s="334">
        <v>1413</v>
      </c>
      <c r="V1236" s="269"/>
      <c r="W1236" s="269"/>
    </row>
    <row r="1237" spans="1:23" ht="111" customHeight="1" x14ac:dyDescent="0.2">
      <c r="A1237" s="277">
        <f t="shared" si="0"/>
        <v>1233</v>
      </c>
      <c r="B1237" s="278">
        <v>44272</v>
      </c>
      <c r="C1237" s="249">
        <v>44228</v>
      </c>
      <c r="D1237" s="255" t="s">
        <v>104</v>
      </c>
      <c r="E1237" s="255" t="s">
        <v>104</v>
      </c>
      <c r="F1237" s="258">
        <v>952.56</v>
      </c>
      <c r="G1237" s="255" t="s">
        <v>3945</v>
      </c>
      <c r="H1237" s="255" t="s">
        <v>104</v>
      </c>
      <c r="I1237" s="250" t="s">
        <v>3946</v>
      </c>
      <c r="J1237" s="255" t="s">
        <v>3947</v>
      </c>
      <c r="K1237" s="255" t="s">
        <v>1015</v>
      </c>
      <c r="L1237" s="250" t="s">
        <v>1029</v>
      </c>
      <c r="M1237" s="279">
        <v>1100</v>
      </c>
      <c r="N1237" s="278">
        <v>44270</v>
      </c>
      <c r="O1237" s="329" t="s">
        <v>69</v>
      </c>
      <c r="P1237" s="386">
        <f t="shared" ref="P1237:Q1237" si="1234">IF(B1237=0,0,IF(YEAR(B1237)=$Q$1,MONTH(B1237)-$P$1+1,(YEAR(B1237)-$Q$1)*12-$P$1+1+MONTH(B1237)))</f>
        <v>3</v>
      </c>
      <c r="Q1237" s="330">
        <f t="shared" si="1234"/>
        <v>2</v>
      </c>
      <c r="R1237" s="351" t="str">
        <f t="shared" si="3"/>
        <v>Gastos_custeados_por_captação</v>
      </c>
      <c r="S1237" s="351" t="str">
        <f>IF(D1237="","",IF(OR(D1237=Plano!$A$1,D1237=Plano!$B$1),"entrada","saída"))</f>
        <v>saída</v>
      </c>
      <c r="T1237" s="334" t="s">
        <v>1082</v>
      </c>
      <c r="U1237" s="334">
        <v>1364</v>
      </c>
      <c r="V1237" s="269"/>
      <c r="W1237" s="269"/>
    </row>
    <row r="1238" spans="1:23" ht="105" customHeight="1" x14ac:dyDescent="0.2">
      <c r="A1238" s="277">
        <f t="shared" si="0"/>
        <v>1234</v>
      </c>
      <c r="B1238" s="278">
        <v>44273</v>
      </c>
      <c r="C1238" s="249">
        <v>44256</v>
      </c>
      <c r="D1238" s="255" t="s">
        <v>99</v>
      </c>
      <c r="E1238" s="255" t="s">
        <v>294</v>
      </c>
      <c r="F1238" s="258">
        <v>51.7</v>
      </c>
      <c r="G1238" s="255" t="s">
        <v>3948</v>
      </c>
      <c r="H1238" s="255" t="s">
        <v>128</v>
      </c>
      <c r="I1238" s="252" t="s">
        <v>3949</v>
      </c>
      <c r="J1238" s="252" t="s">
        <v>3950</v>
      </c>
      <c r="K1238" s="255" t="s">
        <v>991</v>
      </c>
      <c r="L1238" s="250" t="s">
        <v>1016</v>
      </c>
      <c r="M1238" s="250">
        <v>3185</v>
      </c>
      <c r="N1238" s="278">
        <v>44273</v>
      </c>
      <c r="O1238" s="329" t="s">
        <v>67</v>
      </c>
      <c r="P1238" s="386">
        <f t="shared" ref="P1238:Q1238" si="1235">IF(B1238=0,0,IF(YEAR(B1238)=$Q$1,MONTH(B1238)-$P$1+1,(YEAR(B1238)-$Q$1)*12-$P$1+1+MONTH(B1238)))</f>
        <v>3</v>
      </c>
      <c r="Q1238" s="330">
        <f t="shared" si="1235"/>
        <v>3</v>
      </c>
      <c r="R1238" s="351" t="str">
        <f t="shared" si="3"/>
        <v>Gastos_Gerais</v>
      </c>
      <c r="S1238" s="351" t="str">
        <f>IF(D1238="","",IF(OR(D1238=Plano!$A$1,D1238=Plano!$B$1),"entrada","saída"))</f>
        <v>saída</v>
      </c>
      <c r="T1238" s="334" t="s">
        <v>1011</v>
      </c>
      <c r="U1238" s="334">
        <v>1432</v>
      </c>
      <c r="V1238" s="269"/>
      <c r="W1238" s="269"/>
    </row>
    <row r="1239" spans="1:23" ht="69.75" customHeight="1" x14ac:dyDescent="0.2">
      <c r="A1239" s="277">
        <f t="shared" si="0"/>
        <v>1235</v>
      </c>
      <c r="B1239" s="278">
        <v>44273</v>
      </c>
      <c r="C1239" s="249">
        <v>44256</v>
      </c>
      <c r="D1239" s="255" t="s">
        <v>99</v>
      </c>
      <c r="E1239" s="255" t="s">
        <v>272</v>
      </c>
      <c r="F1239" s="258">
        <v>10.45</v>
      </c>
      <c r="G1239" s="255" t="s">
        <v>3951</v>
      </c>
      <c r="H1239" s="255" t="s">
        <v>128</v>
      </c>
      <c r="I1239" s="250" t="s">
        <v>949</v>
      </c>
      <c r="J1239" s="255" t="s">
        <v>950</v>
      </c>
      <c r="K1239" s="255" t="s">
        <v>951</v>
      </c>
      <c r="L1239" s="250" t="s">
        <v>947</v>
      </c>
      <c r="M1239" s="279" t="s">
        <v>114</v>
      </c>
      <c r="N1239" s="278">
        <v>44273</v>
      </c>
      <c r="O1239" s="329" t="s">
        <v>67</v>
      </c>
      <c r="P1239" s="386">
        <f t="shared" ref="P1239:Q1239" si="1236">IF(B1239=0,0,IF(YEAR(B1239)=$Q$1,MONTH(B1239)-$P$1+1,(YEAR(B1239)-$Q$1)*12-$P$1+1+MONTH(B1239)))</f>
        <v>3</v>
      </c>
      <c r="Q1239" s="330">
        <f t="shared" si="1236"/>
        <v>3</v>
      </c>
      <c r="R1239" s="351" t="str">
        <f t="shared" si="3"/>
        <v>Gastos_Gerais</v>
      </c>
      <c r="S1239" s="351" t="str">
        <f>IF(D1239="","",IF(OR(D1239=Plano!$A$1,D1239=Plano!$B$1),"entrada","saída"))</f>
        <v>saída</v>
      </c>
      <c r="T1239" s="334" t="s">
        <v>114</v>
      </c>
      <c r="U1239" s="334" t="s">
        <v>114</v>
      </c>
      <c r="V1239" s="269"/>
      <c r="W1239" s="269"/>
    </row>
    <row r="1240" spans="1:23" ht="143.25" customHeight="1" x14ac:dyDescent="0.2">
      <c r="A1240" s="277">
        <f t="shared" si="0"/>
        <v>1236</v>
      </c>
      <c r="B1240" s="278">
        <v>44274</v>
      </c>
      <c r="C1240" s="249">
        <v>44197</v>
      </c>
      <c r="D1240" s="255" t="s">
        <v>99</v>
      </c>
      <c r="E1240" s="255" t="s">
        <v>352</v>
      </c>
      <c r="F1240" s="258">
        <v>-156</v>
      </c>
      <c r="G1240" s="255" t="s">
        <v>3952</v>
      </c>
      <c r="H1240" s="255" t="s">
        <v>126</v>
      </c>
      <c r="I1240" s="250" t="s">
        <v>983</v>
      </c>
      <c r="J1240" s="255" t="s">
        <v>850</v>
      </c>
      <c r="K1240" s="255" t="s">
        <v>946</v>
      </c>
      <c r="L1240" s="250" t="s">
        <v>947</v>
      </c>
      <c r="M1240" s="279" t="s">
        <v>114</v>
      </c>
      <c r="N1240" s="278">
        <v>44274</v>
      </c>
      <c r="O1240" s="329" t="s">
        <v>67</v>
      </c>
      <c r="P1240" s="386">
        <f t="shared" ref="P1240:Q1240" si="1237">IF(B1240=0,0,IF(YEAR(B1240)=$Q$1,MONTH(B1240)-$P$1+1,(YEAR(B1240)-$Q$1)*12-$P$1+1+MONTH(B1240)))</f>
        <v>3</v>
      </c>
      <c r="Q1240" s="330">
        <f t="shared" si="1237"/>
        <v>1</v>
      </c>
      <c r="R1240" s="351" t="str">
        <f t="shared" si="3"/>
        <v>Gastos_Gerais</v>
      </c>
      <c r="S1240" s="351" t="str">
        <f>IF(D1240="","",IF(OR(D1240=Plano!$A$1,D1240=Plano!$B$1),"entrada","saída"))</f>
        <v>saída</v>
      </c>
      <c r="T1240" s="334" t="s">
        <v>114</v>
      </c>
      <c r="U1240" s="334" t="s">
        <v>114</v>
      </c>
      <c r="V1240" s="269"/>
      <c r="W1240" s="269"/>
    </row>
    <row r="1241" spans="1:23" ht="69.75" customHeight="1" x14ac:dyDescent="0.2">
      <c r="A1241" s="277">
        <f t="shared" si="0"/>
        <v>1237</v>
      </c>
      <c r="B1241" s="278">
        <v>44274</v>
      </c>
      <c r="C1241" s="249">
        <v>44197</v>
      </c>
      <c r="D1241" s="255" t="s">
        <v>88</v>
      </c>
      <c r="E1241" s="255" t="s">
        <v>90</v>
      </c>
      <c r="F1241" s="251">
        <v>4924.8100000000004</v>
      </c>
      <c r="G1241" s="255" t="s">
        <v>3953</v>
      </c>
      <c r="H1241" s="255" t="s">
        <v>114</v>
      </c>
      <c r="I1241" s="250" t="s">
        <v>488</v>
      </c>
      <c r="J1241" s="250" t="s">
        <v>114</v>
      </c>
      <c r="K1241" s="250" t="s">
        <v>466</v>
      </c>
      <c r="L1241" s="250" t="s">
        <v>489</v>
      </c>
      <c r="M1241" s="255" t="s">
        <v>114</v>
      </c>
      <c r="N1241" s="278">
        <v>44255</v>
      </c>
      <c r="O1241" s="329" t="s">
        <v>67</v>
      </c>
      <c r="P1241" s="386">
        <f t="shared" ref="P1241:Q1241" si="1238">IF(B1241=0,0,IF(YEAR(B1241)=$Q$1,MONTH(B1241)-$P$1+1,(YEAR(B1241)-$Q$1)*12-$P$1+1+MONTH(B1241)))</f>
        <v>3</v>
      </c>
      <c r="Q1241" s="330">
        <f t="shared" si="1238"/>
        <v>1</v>
      </c>
      <c r="R1241" s="351" t="str">
        <f t="shared" si="3"/>
        <v>Gastos_com_Pessoal</v>
      </c>
      <c r="S1241" s="351" t="str">
        <f>IF(D1241="","",IF(OR(D1241=Plano!$A$1,D1241=Plano!$B$1),"entrada","saída"))</f>
        <v>saída</v>
      </c>
      <c r="T1241" s="334" t="s">
        <v>114</v>
      </c>
      <c r="U1241" s="334" t="s">
        <v>114</v>
      </c>
      <c r="V1241" s="269"/>
      <c r="W1241" s="269"/>
    </row>
    <row r="1242" spans="1:23" ht="69.75" customHeight="1" x14ac:dyDescent="0.2">
      <c r="A1242" s="277">
        <f t="shared" si="0"/>
        <v>1238</v>
      </c>
      <c r="B1242" s="278">
        <v>44274</v>
      </c>
      <c r="C1242" s="249">
        <v>44228</v>
      </c>
      <c r="D1242" s="255" t="s">
        <v>88</v>
      </c>
      <c r="E1242" s="255" t="s">
        <v>177</v>
      </c>
      <c r="F1242" s="257">
        <v>162.27000000000001</v>
      </c>
      <c r="G1242" s="255" t="s">
        <v>3954</v>
      </c>
      <c r="H1242" s="255" t="s">
        <v>114</v>
      </c>
      <c r="I1242" s="250" t="s">
        <v>488</v>
      </c>
      <c r="J1242" s="250" t="s">
        <v>114</v>
      </c>
      <c r="K1242" s="250" t="s">
        <v>466</v>
      </c>
      <c r="L1242" s="250" t="s">
        <v>489</v>
      </c>
      <c r="M1242" s="255" t="s">
        <v>114</v>
      </c>
      <c r="N1242" s="278">
        <v>44255</v>
      </c>
      <c r="O1242" s="329" t="s">
        <v>67</v>
      </c>
      <c r="P1242" s="386">
        <f t="shared" ref="P1242:Q1242" si="1239">IF(B1242=0,0,IF(YEAR(B1242)=$Q$1,MONTH(B1242)-$P$1+1,(YEAR(B1242)-$Q$1)*12-$P$1+1+MONTH(B1242)))</f>
        <v>3</v>
      </c>
      <c r="Q1242" s="330">
        <f t="shared" si="1239"/>
        <v>2</v>
      </c>
      <c r="R1242" s="351" t="str">
        <f t="shared" si="3"/>
        <v>Gastos_com_Pessoal</v>
      </c>
      <c r="S1242" s="351" t="str">
        <f>IF(D1242="","",IF(OR(D1242=Plano!$A$1,D1242=Plano!$B$1),"entrada","saída"))</f>
        <v>saída</v>
      </c>
      <c r="T1242" s="334" t="s">
        <v>114</v>
      </c>
      <c r="U1242" s="334" t="s">
        <v>114</v>
      </c>
      <c r="V1242" s="269"/>
      <c r="W1242" s="269"/>
    </row>
    <row r="1243" spans="1:23" ht="69.75" customHeight="1" x14ac:dyDescent="0.2">
      <c r="A1243" s="277">
        <f t="shared" si="0"/>
        <v>1239</v>
      </c>
      <c r="B1243" s="278">
        <v>44274</v>
      </c>
      <c r="C1243" s="249">
        <v>44256</v>
      </c>
      <c r="D1243" s="255" t="s">
        <v>88</v>
      </c>
      <c r="E1243" s="255" t="s">
        <v>177</v>
      </c>
      <c r="F1243" s="257">
        <v>205</v>
      </c>
      <c r="G1243" s="252" t="s">
        <v>3955</v>
      </c>
      <c r="H1243" s="255" t="s">
        <v>114</v>
      </c>
      <c r="I1243" s="250" t="s">
        <v>488</v>
      </c>
      <c r="J1243" s="250" t="s">
        <v>114</v>
      </c>
      <c r="K1243" s="250" t="s">
        <v>466</v>
      </c>
      <c r="L1243" s="250" t="s">
        <v>489</v>
      </c>
      <c r="M1243" s="255" t="s">
        <v>114</v>
      </c>
      <c r="N1243" s="278">
        <v>44255</v>
      </c>
      <c r="O1243" s="329" t="s">
        <v>67</v>
      </c>
      <c r="P1243" s="386">
        <f t="shared" ref="P1243:Q1243" si="1240">IF(B1243=0,0,IF(YEAR(B1243)=$Q$1,MONTH(B1243)-$P$1+1,(YEAR(B1243)-$Q$1)*12-$P$1+1+MONTH(B1243)))</f>
        <v>3</v>
      </c>
      <c r="Q1243" s="330">
        <f t="shared" si="1240"/>
        <v>3</v>
      </c>
      <c r="R1243" s="351" t="str">
        <f t="shared" si="3"/>
        <v>Gastos_com_Pessoal</v>
      </c>
      <c r="S1243" s="351" t="str">
        <f>IF(D1243="","",IF(OR(D1243=Plano!$A$1,D1243=Plano!$B$1),"entrada","saída"))</f>
        <v>saída</v>
      </c>
      <c r="T1243" s="334" t="s">
        <v>114</v>
      </c>
      <c r="U1243" s="334" t="s">
        <v>114</v>
      </c>
      <c r="V1243" s="269"/>
      <c r="W1243" s="269"/>
    </row>
    <row r="1244" spans="1:23" ht="69.75" customHeight="1" x14ac:dyDescent="0.2">
      <c r="A1244" s="277">
        <f t="shared" si="0"/>
        <v>1240</v>
      </c>
      <c r="B1244" s="278">
        <v>44274</v>
      </c>
      <c r="C1244" s="249">
        <v>44228</v>
      </c>
      <c r="D1244" s="255" t="s">
        <v>88</v>
      </c>
      <c r="E1244" s="255" t="s">
        <v>90</v>
      </c>
      <c r="F1244" s="251">
        <v>6376.92</v>
      </c>
      <c r="G1244" s="252" t="s">
        <v>3956</v>
      </c>
      <c r="H1244" s="255" t="s">
        <v>114</v>
      </c>
      <c r="I1244" s="250" t="s">
        <v>530</v>
      </c>
      <c r="J1244" s="250" t="s">
        <v>114</v>
      </c>
      <c r="K1244" s="255" t="s">
        <v>466</v>
      </c>
      <c r="L1244" s="250" t="s">
        <v>547</v>
      </c>
      <c r="M1244" s="255" t="s">
        <v>114</v>
      </c>
      <c r="N1244" s="278">
        <v>44274</v>
      </c>
      <c r="O1244" s="329" t="s">
        <v>67</v>
      </c>
      <c r="P1244" s="386">
        <f t="shared" ref="P1244:Q1244" si="1241">IF(B1244=0,0,IF(YEAR(B1244)=$Q$1,MONTH(B1244)-$P$1+1,(YEAR(B1244)-$Q$1)*12-$P$1+1+MONTH(B1244)))</f>
        <v>3</v>
      </c>
      <c r="Q1244" s="330">
        <f t="shared" si="1241"/>
        <v>2</v>
      </c>
      <c r="R1244" s="351" t="str">
        <f t="shared" si="3"/>
        <v>Gastos_com_Pessoal</v>
      </c>
      <c r="S1244" s="351" t="str">
        <f>IF(D1244="","",IF(OR(D1244=Plano!$A$1,D1244=Plano!$B$1),"entrada","saída"))</f>
        <v>saída</v>
      </c>
      <c r="T1244" s="334" t="s">
        <v>114</v>
      </c>
      <c r="U1244" s="334" t="s">
        <v>114</v>
      </c>
      <c r="V1244" s="269"/>
      <c r="W1244" s="269"/>
    </row>
    <row r="1245" spans="1:23" ht="69.75" customHeight="1" x14ac:dyDescent="0.2">
      <c r="A1245" s="277">
        <f t="shared" si="0"/>
        <v>1241</v>
      </c>
      <c r="B1245" s="278">
        <v>44274</v>
      </c>
      <c r="C1245" s="249">
        <v>44228</v>
      </c>
      <c r="D1245" s="255" t="s">
        <v>88</v>
      </c>
      <c r="E1245" s="255" t="s">
        <v>177</v>
      </c>
      <c r="F1245" s="251">
        <v>332.23</v>
      </c>
      <c r="G1245" s="252" t="s">
        <v>3957</v>
      </c>
      <c r="H1245" s="255" t="s">
        <v>114</v>
      </c>
      <c r="I1245" s="250" t="s">
        <v>530</v>
      </c>
      <c r="J1245" s="250" t="s">
        <v>114</v>
      </c>
      <c r="K1245" s="255" t="s">
        <v>466</v>
      </c>
      <c r="L1245" s="250" t="s">
        <v>547</v>
      </c>
      <c r="M1245" s="255" t="s">
        <v>114</v>
      </c>
      <c r="N1245" s="278">
        <v>44274</v>
      </c>
      <c r="O1245" s="329" t="s">
        <v>67</v>
      </c>
      <c r="P1245" s="386">
        <f t="shared" ref="P1245:Q1245" si="1242">IF(B1245=0,0,IF(YEAR(B1245)=$Q$1,MONTH(B1245)-$P$1+1,(YEAR(B1245)-$Q$1)*12-$P$1+1+MONTH(B1245)))</f>
        <v>3</v>
      </c>
      <c r="Q1245" s="330">
        <f t="shared" si="1242"/>
        <v>2</v>
      </c>
      <c r="R1245" s="351" t="str">
        <f t="shared" si="3"/>
        <v>Gastos_com_Pessoal</v>
      </c>
      <c r="S1245" s="351" t="str">
        <f>IF(D1245="","",IF(OR(D1245=Plano!$A$1,D1245=Plano!$B$1),"entrada","saída"))</f>
        <v>saída</v>
      </c>
      <c r="T1245" s="334" t="s">
        <v>114</v>
      </c>
      <c r="U1245" s="334" t="s">
        <v>114</v>
      </c>
      <c r="V1245" s="269"/>
      <c r="W1245" s="269"/>
    </row>
    <row r="1246" spans="1:23" ht="69.75" customHeight="1" x14ac:dyDescent="0.2">
      <c r="A1246" s="277">
        <f t="shared" si="0"/>
        <v>1242</v>
      </c>
      <c r="B1246" s="278">
        <v>44274</v>
      </c>
      <c r="C1246" s="249">
        <v>44228</v>
      </c>
      <c r="D1246" s="255" t="s">
        <v>88</v>
      </c>
      <c r="E1246" s="255" t="s">
        <v>181</v>
      </c>
      <c r="F1246" s="251">
        <v>68.89</v>
      </c>
      <c r="G1246" s="252" t="s">
        <v>3958</v>
      </c>
      <c r="H1246" s="255" t="s">
        <v>114</v>
      </c>
      <c r="I1246" s="250" t="s">
        <v>530</v>
      </c>
      <c r="J1246" s="250" t="s">
        <v>114</v>
      </c>
      <c r="K1246" s="255" t="s">
        <v>466</v>
      </c>
      <c r="L1246" s="250" t="s">
        <v>547</v>
      </c>
      <c r="M1246" s="255" t="s">
        <v>114</v>
      </c>
      <c r="N1246" s="278">
        <v>44274</v>
      </c>
      <c r="O1246" s="329" t="s">
        <v>67</v>
      </c>
      <c r="P1246" s="386">
        <f t="shared" ref="P1246:Q1246" si="1243">IF(B1246=0,0,IF(YEAR(B1246)=$Q$1,MONTH(B1246)-$P$1+1,(YEAR(B1246)-$Q$1)*12-$P$1+1+MONTH(B1246)))</f>
        <v>3</v>
      </c>
      <c r="Q1246" s="330">
        <f t="shared" si="1243"/>
        <v>2</v>
      </c>
      <c r="R1246" s="351" t="str">
        <f t="shared" si="3"/>
        <v>Gastos_com_Pessoal</v>
      </c>
      <c r="S1246" s="351" t="str">
        <f>IF(D1246="","",IF(OR(D1246=Plano!$A$1,D1246=Plano!$B$1),"entrada","saída"))</f>
        <v>saída</v>
      </c>
      <c r="T1246" s="334" t="s">
        <v>114</v>
      </c>
      <c r="U1246" s="334" t="s">
        <v>114</v>
      </c>
      <c r="V1246" s="269"/>
      <c r="W1246" s="269"/>
    </row>
    <row r="1247" spans="1:23" ht="69.75" customHeight="1" x14ac:dyDescent="0.2">
      <c r="A1247" s="277">
        <f t="shared" si="0"/>
        <v>1243</v>
      </c>
      <c r="B1247" s="278">
        <v>44274</v>
      </c>
      <c r="C1247" s="249">
        <v>44228</v>
      </c>
      <c r="D1247" s="255" t="s">
        <v>88</v>
      </c>
      <c r="E1247" s="255" t="s">
        <v>167</v>
      </c>
      <c r="F1247" s="258">
        <v>22863.15</v>
      </c>
      <c r="G1247" s="250" t="s">
        <v>3959</v>
      </c>
      <c r="H1247" s="255" t="s">
        <v>114</v>
      </c>
      <c r="I1247" s="250" t="s">
        <v>530</v>
      </c>
      <c r="J1247" s="250" t="s">
        <v>114</v>
      </c>
      <c r="K1247" s="255" t="s">
        <v>466</v>
      </c>
      <c r="L1247" s="250" t="s">
        <v>547</v>
      </c>
      <c r="M1247" s="255" t="s">
        <v>114</v>
      </c>
      <c r="N1247" s="278">
        <v>44274</v>
      </c>
      <c r="O1247" s="329" t="s">
        <v>67</v>
      </c>
      <c r="P1247" s="386">
        <f t="shared" ref="P1247:Q1247" si="1244">IF(B1247=0,0,IF(YEAR(B1247)=$Q$1,MONTH(B1247)-$P$1+1,(YEAR(B1247)-$Q$1)*12-$P$1+1+MONTH(B1247)))</f>
        <v>3</v>
      </c>
      <c r="Q1247" s="330">
        <f t="shared" si="1244"/>
        <v>2</v>
      </c>
      <c r="R1247" s="351" t="str">
        <f t="shared" si="3"/>
        <v>Gastos_com_Pessoal</v>
      </c>
      <c r="S1247" s="351" t="str">
        <f>IF(D1247="","",IF(OR(D1247=Plano!$A$1,D1247=Plano!$B$1),"entrada","saída"))</f>
        <v>saída</v>
      </c>
      <c r="T1247" s="334" t="s">
        <v>114</v>
      </c>
      <c r="U1247" s="334" t="s">
        <v>114</v>
      </c>
      <c r="V1247" s="269"/>
      <c r="W1247" s="269"/>
    </row>
    <row r="1248" spans="1:23" ht="69.75" customHeight="1" x14ac:dyDescent="0.2">
      <c r="A1248" s="277">
        <f t="shared" si="0"/>
        <v>1244</v>
      </c>
      <c r="B1248" s="278">
        <v>44274</v>
      </c>
      <c r="C1248" s="249">
        <v>44197</v>
      </c>
      <c r="D1248" s="255" t="s">
        <v>99</v>
      </c>
      <c r="E1248" s="255" t="s">
        <v>236</v>
      </c>
      <c r="F1248" s="257">
        <v>24.08</v>
      </c>
      <c r="G1248" s="252" t="s">
        <v>3960</v>
      </c>
      <c r="H1248" s="255" t="s">
        <v>122</v>
      </c>
      <c r="I1248" s="250" t="s">
        <v>488</v>
      </c>
      <c r="J1248" s="252" t="s">
        <v>114</v>
      </c>
      <c r="K1248" s="252" t="s">
        <v>466</v>
      </c>
      <c r="L1248" s="252" t="s">
        <v>489</v>
      </c>
      <c r="M1248" s="255" t="s">
        <v>114</v>
      </c>
      <c r="N1248" s="278">
        <v>44274</v>
      </c>
      <c r="O1248" s="329" t="s">
        <v>67</v>
      </c>
      <c r="P1248" s="386">
        <f t="shared" ref="P1248:Q1248" si="1245">IF(B1248=0,0,IF(YEAR(B1248)=$Q$1,MONTH(B1248)-$P$1+1,(YEAR(B1248)-$Q$1)*12-$P$1+1+MONTH(B1248)))</f>
        <v>3</v>
      </c>
      <c r="Q1248" s="330">
        <f t="shared" si="1245"/>
        <v>1</v>
      </c>
      <c r="R1248" s="351" t="str">
        <f t="shared" si="3"/>
        <v>Gastos_Gerais</v>
      </c>
      <c r="S1248" s="351" t="str">
        <f>IF(D1248="","",IF(OR(D1248=Plano!$A$1,D1248=Plano!$B$1),"entrada","saída"))</f>
        <v>saída</v>
      </c>
      <c r="T1248" s="334" t="s">
        <v>114</v>
      </c>
      <c r="U1248" s="334" t="s">
        <v>114</v>
      </c>
      <c r="V1248" s="269"/>
      <c r="W1248" s="269"/>
    </row>
    <row r="1249" spans="1:23" ht="69.75" customHeight="1" x14ac:dyDescent="0.2">
      <c r="A1249" s="277">
        <f t="shared" si="0"/>
        <v>1245</v>
      </c>
      <c r="B1249" s="278">
        <v>44274</v>
      </c>
      <c r="C1249" s="249">
        <v>44136</v>
      </c>
      <c r="D1249" s="255" t="s">
        <v>99</v>
      </c>
      <c r="E1249" s="255" t="s">
        <v>330</v>
      </c>
      <c r="F1249" s="251">
        <v>325.07</v>
      </c>
      <c r="G1249" s="250" t="s">
        <v>3961</v>
      </c>
      <c r="H1249" s="255" t="s">
        <v>125</v>
      </c>
      <c r="I1249" s="250" t="s">
        <v>488</v>
      </c>
      <c r="J1249" s="252" t="s">
        <v>114</v>
      </c>
      <c r="K1249" s="252" t="s">
        <v>466</v>
      </c>
      <c r="L1249" s="252" t="s">
        <v>489</v>
      </c>
      <c r="M1249" s="255" t="s">
        <v>114</v>
      </c>
      <c r="N1249" s="278">
        <v>44274</v>
      </c>
      <c r="O1249" s="329" t="s">
        <v>67</v>
      </c>
      <c r="P1249" s="386">
        <f t="shared" ref="P1249:Q1249" si="1246">IF(B1249=0,0,IF(YEAR(B1249)=$Q$1,MONTH(B1249)-$P$1+1,(YEAR(B1249)-$Q$1)*12-$P$1+1+MONTH(B1249)))</f>
        <v>3</v>
      </c>
      <c r="Q1249" s="330">
        <f t="shared" si="1246"/>
        <v>-1</v>
      </c>
      <c r="R1249" s="351" t="str">
        <f t="shared" si="3"/>
        <v>Gastos_Gerais</v>
      </c>
      <c r="S1249" s="351" t="str">
        <f>IF(D1249="","",IF(OR(D1249=Plano!$A$1,D1249=Plano!$B$1),"entrada","saída"))</f>
        <v>saída</v>
      </c>
      <c r="T1249" s="334" t="s">
        <v>114</v>
      </c>
      <c r="U1249" s="334" t="s">
        <v>114</v>
      </c>
      <c r="V1249" s="269"/>
      <c r="W1249" s="269"/>
    </row>
    <row r="1250" spans="1:23" ht="69.75" customHeight="1" x14ac:dyDescent="0.2">
      <c r="A1250" s="277">
        <f t="shared" si="0"/>
        <v>1246</v>
      </c>
      <c r="B1250" s="278">
        <v>44274</v>
      </c>
      <c r="C1250" s="249">
        <v>44136</v>
      </c>
      <c r="D1250" s="255" t="s">
        <v>99</v>
      </c>
      <c r="E1250" s="255" t="s">
        <v>352</v>
      </c>
      <c r="F1250" s="251">
        <v>152.5</v>
      </c>
      <c r="G1250" s="250" t="s">
        <v>3962</v>
      </c>
      <c r="H1250" s="255" t="s">
        <v>125</v>
      </c>
      <c r="I1250" s="250" t="s">
        <v>488</v>
      </c>
      <c r="J1250" s="252" t="s">
        <v>114</v>
      </c>
      <c r="K1250" s="252" t="s">
        <v>466</v>
      </c>
      <c r="L1250" s="252" t="s">
        <v>489</v>
      </c>
      <c r="M1250" s="255" t="s">
        <v>114</v>
      </c>
      <c r="N1250" s="278">
        <v>44274</v>
      </c>
      <c r="O1250" s="329" t="s">
        <v>67</v>
      </c>
      <c r="P1250" s="386">
        <f t="shared" ref="P1250:Q1250" si="1247">IF(B1250=0,0,IF(YEAR(B1250)=$Q$1,MONTH(B1250)-$P$1+1,(YEAR(B1250)-$Q$1)*12-$P$1+1+MONTH(B1250)))</f>
        <v>3</v>
      </c>
      <c r="Q1250" s="330">
        <f t="shared" si="1247"/>
        <v>-1</v>
      </c>
      <c r="R1250" s="351" t="str">
        <f t="shared" si="3"/>
        <v>Gastos_Gerais</v>
      </c>
      <c r="S1250" s="351" t="str">
        <f>IF(D1250="","",IF(OR(D1250=Plano!$A$1,D1250=Plano!$B$1),"entrada","saída"))</f>
        <v>saída</v>
      </c>
      <c r="T1250" s="334" t="s">
        <v>114</v>
      </c>
      <c r="U1250" s="334" t="s">
        <v>114</v>
      </c>
      <c r="V1250" s="269"/>
      <c r="W1250" s="269"/>
    </row>
    <row r="1251" spans="1:23" ht="69.75" customHeight="1" x14ac:dyDescent="0.2">
      <c r="A1251" s="277">
        <f t="shared" si="0"/>
        <v>1247</v>
      </c>
      <c r="B1251" s="278">
        <v>44274</v>
      </c>
      <c r="C1251" s="249">
        <v>44136</v>
      </c>
      <c r="D1251" s="255" t="s">
        <v>99</v>
      </c>
      <c r="E1251" s="255" t="s">
        <v>330</v>
      </c>
      <c r="F1251" s="251">
        <v>24.08</v>
      </c>
      <c r="G1251" s="250" t="s">
        <v>3963</v>
      </c>
      <c r="H1251" s="255" t="s">
        <v>125</v>
      </c>
      <c r="I1251" s="250" t="s">
        <v>488</v>
      </c>
      <c r="J1251" s="252" t="s">
        <v>114</v>
      </c>
      <c r="K1251" s="252" t="s">
        <v>466</v>
      </c>
      <c r="L1251" s="252" t="s">
        <v>489</v>
      </c>
      <c r="M1251" s="255" t="s">
        <v>114</v>
      </c>
      <c r="N1251" s="278">
        <v>44274</v>
      </c>
      <c r="O1251" s="329" t="s">
        <v>67</v>
      </c>
      <c r="P1251" s="386">
        <f t="shared" ref="P1251:Q1251" si="1248">IF(B1251=0,0,IF(YEAR(B1251)=$Q$1,MONTH(B1251)-$P$1+1,(YEAR(B1251)-$Q$1)*12-$P$1+1+MONTH(B1251)))</f>
        <v>3</v>
      </c>
      <c r="Q1251" s="330">
        <f t="shared" si="1248"/>
        <v>-1</v>
      </c>
      <c r="R1251" s="351" t="str">
        <f t="shared" si="3"/>
        <v>Gastos_Gerais</v>
      </c>
      <c r="S1251" s="351" t="str">
        <f>IF(D1251="","",IF(OR(D1251=Plano!$A$1,D1251=Plano!$B$1),"entrada","saída"))</f>
        <v>saída</v>
      </c>
      <c r="T1251" s="334" t="s">
        <v>114</v>
      </c>
      <c r="U1251" s="334" t="s">
        <v>114</v>
      </c>
      <c r="V1251" s="269"/>
      <c r="W1251" s="269"/>
    </row>
    <row r="1252" spans="1:23" ht="69.75" customHeight="1" x14ac:dyDescent="0.2">
      <c r="A1252" s="277">
        <f t="shared" si="0"/>
        <v>1248</v>
      </c>
      <c r="B1252" s="278">
        <v>44274</v>
      </c>
      <c r="C1252" s="249">
        <v>44197</v>
      </c>
      <c r="D1252" s="255" t="s">
        <v>99</v>
      </c>
      <c r="E1252" s="255" t="s">
        <v>358</v>
      </c>
      <c r="F1252" s="251">
        <v>227.23</v>
      </c>
      <c r="G1252" s="250" t="s">
        <v>3964</v>
      </c>
      <c r="H1252" s="255" t="s">
        <v>131</v>
      </c>
      <c r="I1252" s="250" t="s">
        <v>530</v>
      </c>
      <c r="J1252" s="250" t="s">
        <v>114</v>
      </c>
      <c r="K1252" s="255" t="s">
        <v>466</v>
      </c>
      <c r="L1252" s="250" t="s">
        <v>547</v>
      </c>
      <c r="M1252" s="255" t="s">
        <v>114</v>
      </c>
      <c r="N1252" s="278">
        <v>44274</v>
      </c>
      <c r="O1252" s="329" t="s">
        <v>67</v>
      </c>
      <c r="P1252" s="386">
        <f t="shared" ref="P1252:Q1252" si="1249">IF(B1252=0,0,IF(YEAR(B1252)=$Q$1,MONTH(B1252)-$P$1+1,(YEAR(B1252)-$Q$1)*12-$P$1+1+MONTH(B1252)))</f>
        <v>3</v>
      </c>
      <c r="Q1252" s="330">
        <f t="shared" si="1249"/>
        <v>1</v>
      </c>
      <c r="R1252" s="351" t="str">
        <f t="shared" si="3"/>
        <v>Gastos_Gerais</v>
      </c>
      <c r="S1252" s="351" t="str">
        <f>IF(D1252="","",IF(OR(D1252=Plano!$A$1,D1252=Plano!$B$1),"entrada","saída"))</f>
        <v>saída</v>
      </c>
      <c r="T1252" s="334" t="s">
        <v>114</v>
      </c>
      <c r="U1252" s="334" t="s">
        <v>114</v>
      </c>
      <c r="V1252" s="269"/>
      <c r="W1252" s="269"/>
    </row>
    <row r="1253" spans="1:23" ht="69.75" customHeight="1" x14ac:dyDescent="0.2">
      <c r="A1253" s="277">
        <f t="shared" si="0"/>
        <v>1249</v>
      </c>
      <c r="B1253" s="278">
        <v>44274</v>
      </c>
      <c r="C1253" s="249">
        <v>44075</v>
      </c>
      <c r="D1253" s="255" t="s">
        <v>99</v>
      </c>
      <c r="E1253" s="255" t="s">
        <v>330</v>
      </c>
      <c r="F1253" s="251">
        <v>155</v>
      </c>
      <c r="G1253" s="250" t="s">
        <v>3965</v>
      </c>
      <c r="H1253" s="255" t="s">
        <v>118</v>
      </c>
      <c r="I1253" s="250" t="s">
        <v>530</v>
      </c>
      <c r="J1253" s="250" t="s">
        <v>114</v>
      </c>
      <c r="K1253" s="255" t="s">
        <v>466</v>
      </c>
      <c r="L1253" s="250" t="s">
        <v>547</v>
      </c>
      <c r="M1253" s="255" t="s">
        <v>114</v>
      </c>
      <c r="N1253" s="278">
        <v>44274</v>
      </c>
      <c r="O1253" s="329" t="s">
        <v>67</v>
      </c>
      <c r="P1253" s="386">
        <f t="shared" ref="P1253:Q1253" si="1250">IF(B1253=0,0,IF(YEAR(B1253)=$Q$1,MONTH(B1253)-$P$1+1,(YEAR(B1253)-$Q$1)*12-$P$1+1+MONTH(B1253)))</f>
        <v>3</v>
      </c>
      <c r="Q1253" s="330">
        <f t="shared" si="1250"/>
        <v>-3</v>
      </c>
      <c r="R1253" s="351" t="str">
        <f t="shared" si="3"/>
        <v>Gastos_Gerais</v>
      </c>
      <c r="S1253" s="351" t="str">
        <f>IF(D1253="","",IF(OR(D1253=Plano!$A$1,D1253=Plano!$B$1),"entrada","saída"))</f>
        <v>saída</v>
      </c>
      <c r="T1253" s="334" t="s">
        <v>114</v>
      </c>
      <c r="U1253" s="334" t="s">
        <v>114</v>
      </c>
      <c r="V1253" s="269"/>
      <c r="W1253" s="269"/>
    </row>
    <row r="1254" spans="1:23" ht="69.75" customHeight="1" x14ac:dyDescent="0.2">
      <c r="A1254" s="277">
        <f t="shared" si="0"/>
        <v>1250</v>
      </c>
      <c r="B1254" s="278">
        <v>44274</v>
      </c>
      <c r="C1254" s="249">
        <v>44197</v>
      </c>
      <c r="D1254" s="255" t="s">
        <v>99</v>
      </c>
      <c r="E1254" s="255" t="s">
        <v>236</v>
      </c>
      <c r="F1254" s="257">
        <v>775</v>
      </c>
      <c r="G1254" s="255" t="s">
        <v>3966</v>
      </c>
      <c r="H1254" s="255" t="s">
        <v>122</v>
      </c>
      <c r="I1254" s="250" t="s">
        <v>530</v>
      </c>
      <c r="J1254" s="250" t="s">
        <v>114</v>
      </c>
      <c r="K1254" s="255" t="s">
        <v>466</v>
      </c>
      <c r="L1254" s="250" t="s">
        <v>547</v>
      </c>
      <c r="M1254" s="255" t="s">
        <v>114</v>
      </c>
      <c r="N1254" s="278">
        <v>44274</v>
      </c>
      <c r="O1254" s="329" t="s">
        <v>67</v>
      </c>
      <c r="P1254" s="386">
        <f t="shared" ref="P1254:Q1254" si="1251">IF(B1254=0,0,IF(YEAR(B1254)=$Q$1,MONTH(B1254)-$P$1+1,(YEAR(B1254)-$Q$1)*12-$P$1+1+MONTH(B1254)))</f>
        <v>3</v>
      </c>
      <c r="Q1254" s="330">
        <f t="shared" si="1251"/>
        <v>1</v>
      </c>
      <c r="R1254" s="351" t="str">
        <f t="shared" si="3"/>
        <v>Gastos_Gerais</v>
      </c>
      <c r="S1254" s="351" t="str">
        <f>IF(D1254="","",IF(OR(D1254=Plano!$A$1,D1254=Plano!$B$1),"entrada","saída"))</f>
        <v>saída</v>
      </c>
      <c r="T1254" s="334" t="s">
        <v>114</v>
      </c>
      <c r="U1254" s="334" t="s">
        <v>114</v>
      </c>
      <c r="V1254" s="269"/>
      <c r="W1254" s="269"/>
    </row>
    <row r="1255" spans="1:23" ht="69.75" customHeight="1" x14ac:dyDescent="0.2">
      <c r="A1255" s="277">
        <f t="shared" si="0"/>
        <v>1251</v>
      </c>
      <c r="B1255" s="278">
        <v>44274</v>
      </c>
      <c r="C1255" s="249">
        <v>44197</v>
      </c>
      <c r="D1255" s="255" t="s">
        <v>99</v>
      </c>
      <c r="E1255" s="255" t="s">
        <v>358</v>
      </c>
      <c r="F1255" s="251">
        <v>227.23</v>
      </c>
      <c r="G1255" s="250" t="s">
        <v>3967</v>
      </c>
      <c r="H1255" s="255" t="s">
        <v>131</v>
      </c>
      <c r="I1255" s="250" t="s">
        <v>530</v>
      </c>
      <c r="J1255" s="250" t="s">
        <v>114</v>
      </c>
      <c r="K1255" s="255" t="s">
        <v>466</v>
      </c>
      <c r="L1255" s="250" t="s">
        <v>547</v>
      </c>
      <c r="M1255" s="255" t="s">
        <v>114</v>
      </c>
      <c r="N1255" s="278">
        <v>44274</v>
      </c>
      <c r="O1255" s="329" t="s">
        <v>67</v>
      </c>
      <c r="P1255" s="386">
        <f t="shared" ref="P1255:Q1255" si="1252">IF(B1255=0,0,IF(YEAR(B1255)=$Q$1,MONTH(B1255)-$P$1+1,(YEAR(B1255)-$Q$1)*12-$P$1+1+MONTH(B1255)))</f>
        <v>3</v>
      </c>
      <c r="Q1255" s="330">
        <f t="shared" si="1252"/>
        <v>1</v>
      </c>
      <c r="R1255" s="351" t="str">
        <f t="shared" si="3"/>
        <v>Gastos_Gerais</v>
      </c>
      <c r="S1255" s="351" t="str">
        <f>IF(D1255="","",IF(OR(D1255=Plano!$A$1,D1255=Plano!$B$1),"entrada","saída"))</f>
        <v>saída</v>
      </c>
      <c r="T1255" s="334" t="s">
        <v>114</v>
      </c>
      <c r="U1255" s="334" t="s">
        <v>114</v>
      </c>
      <c r="V1255" s="269"/>
      <c r="W1255" s="269"/>
    </row>
    <row r="1256" spans="1:23" ht="69.75" customHeight="1" x14ac:dyDescent="0.2">
      <c r="A1256" s="277">
        <f t="shared" si="0"/>
        <v>1252</v>
      </c>
      <c r="B1256" s="278">
        <v>44274</v>
      </c>
      <c r="C1256" s="249">
        <v>44197</v>
      </c>
      <c r="D1256" s="255" t="s">
        <v>99</v>
      </c>
      <c r="E1256" s="255" t="s">
        <v>358</v>
      </c>
      <c r="F1256" s="251">
        <v>227.23</v>
      </c>
      <c r="G1256" s="250" t="s">
        <v>3968</v>
      </c>
      <c r="H1256" s="255" t="s">
        <v>131</v>
      </c>
      <c r="I1256" s="250" t="s">
        <v>530</v>
      </c>
      <c r="J1256" s="250" t="s">
        <v>114</v>
      </c>
      <c r="K1256" s="255" t="s">
        <v>466</v>
      </c>
      <c r="L1256" s="250" t="s">
        <v>547</v>
      </c>
      <c r="M1256" s="255" t="s">
        <v>114</v>
      </c>
      <c r="N1256" s="278">
        <v>44274</v>
      </c>
      <c r="O1256" s="329" t="s">
        <v>67</v>
      </c>
      <c r="P1256" s="386">
        <f t="shared" ref="P1256:Q1256" si="1253">IF(B1256=0,0,IF(YEAR(B1256)=$Q$1,MONTH(B1256)-$P$1+1,(YEAR(B1256)-$Q$1)*12-$P$1+1+MONTH(B1256)))</f>
        <v>3</v>
      </c>
      <c r="Q1256" s="330">
        <f t="shared" si="1253"/>
        <v>1</v>
      </c>
      <c r="R1256" s="351" t="str">
        <f t="shared" si="3"/>
        <v>Gastos_Gerais</v>
      </c>
      <c r="S1256" s="351" t="str">
        <f>IF(D1256="","",IF(OR(D1256=Plano!$A$1,D1256=Plano!$B$1),"entrada","saída"))</f>
        <v>saída</v>
      </c>
      <c r="T1256" s="334" t="s">
        <v>114</v>
      </c>
      <c r="U1256" s="334" t="s">
        <v>114</v>
      </c>
      <c r="V1256" s="269"/>
      <c r="W1256" s="269"/>
    </row>
    <row r="1257" spans="1:23" ht="69.75" customHeight="1" x14ac:dyDescent="0.2">
      <c r="A1257" s="277">
        <f t="shared" si="0"/>
        <v>1253</v>
      </c>
      <c r="B1257" s="278">
        <v>44274</v>
      </c>
      <c r="C1257" s="249">
        <v>44197</v>
      </c>
      <c r="D1257" s="255" t="s">
        <v>99</v>
      </c>
      <c r="E1257" s="255" t="s">
        <v>262</v>
      </c>
      <c r="F1257" s="251">
        <v>620</v>
      </c>
      <c r="G1257" s="255" t="s">
        <v>3969</v>
      </c>
      <c r="H1257" s="255" t="s">
        <v>115</v>
      </c>
      <c r="I1257" s="250" t="s">
        <v>530</v>
      </c>
      <c r="J1257" s="250" t="s">
        <v>114</v>
      </c>
      <c r="K1257" s="255" t="s">
        <v>466</v>
      </c>
      <c r="L1257" s="250" t="s">
        <v>547</v>
      </c>
      <c r="M1257" s="255" t="s">
        <v>114</v>
      </c>
      <c r="N1257" s="278">
        <v>44274</v>
      </c>
      <c r="O1257" s="329" t="s">
        <v>67</v>
      </c>
      <c r="P1257" s="386">
        <f t="shared" ref="P1257:Q1257" si="1254">IF(B1257=0,0,IF(YEAR(B1257)=$Q$1,MONTH(B1257)-$P$1+1,(YEAR(B1257)-$Q$1)*12-$P$1+1+MONTH(B1257)))</f>
        <v>3</v>
      </c>
      <c r="Q1257" s="330">
        <f t="shared" si="1254"/>
        <v>1</v>
      </c>
      <c r="R1257" s="351" t="str">
        <f t="shared" si="3"/>
        <v>Gastos_Gerais</v>
      </c>
      <c r="S1257" s="351" t="str">
        <f>IF(D1257="","",IF(OR(D1257=Plano!$A$1,D1257=Plano!$B$1),"entrada","saída"))</f>
        <v>saída</v>
      </c>
      <c r="T1257" s="334" t="s">
        <v>114</v>
      </c>
      <c r="U1257" s="334" t="s">
        <v>114</v>
      </c>
      <c r="V1257" s="269"/>
      <c r="W1257" s="269"/>
    </row>
    <row r="1258" spans="1:23" ht="69.75" customHeight="1" x14ac:dyDescent="0.2">
      <c r="A1258" s="277">
        <f t="shared" si="0"/>
        <v>1254</v>
      </c>
      <c r="B1258" s="278">
        <v>44274</v>
      </c>
      <c r="C1258" s="249">
        <v>44136</v>
      </c>
      <c r="D1258" s="255" t="s">
        <v>99</v>
      </c>
      <c r="E1258" s="255" t="s">
        <v>330</v>
      </c>
      <c r="F1258" s="251">
        <v>1488</v>
      </c>
      <c r="G1258" s="250" t="s">
        <v>3970</v>
      </c>
      <c r="H1258" s="255" t="s">
        <v>125</v>
      </c>
      <c r="I1258" s="250" t="s">
        <v>530</v>
      </c>
      <c r="J1258" s="250" t="s">
        <v>114</v>
      </c>
      <c r="K1258" s="255" t="s">
        <v>466</v>
      </c>
      <c r="L1258" s="250" t="s">
        <v>547</v>
      </c>
      <c r="M1258" s="255" t="s">
        <v>114</v>
      </c>
      <c r="N1258" s="278">
        <v>44274</v>
      </c>
      <c r="O1258" s="329" t="s">
        <v>67</v>
      </c>
      <c r="P1258" s="386">
        <f t="shared" ref="P1258:Q1258" si="1255">IF(B1258=0,0,IF(YEAR(B1258)=$Q$1,MONTH(B1258)-$P$1+1,(YEAR(B1258)-$Q$1)*12-$P$1+1+MONTH(B1258)))</f>
        <v>3</v>
      </c>
      <c r="Q1258" s="330">
        <f t="shared" si="1255"/>
        <v>-1</v>
      </c>
      <c r="R1258" s="351" t="str">
        <f t="shared" si="3"/>
        <v>Gastos_Gerais</v>
      </c>
      <c r="S1258" s="351" t="str">
        <f>IF(D1258="","",IF(OR(D1258=Plano!$A$1,D1258=Plano!$B$1),"entrada","saída"))</f>
        <v>saída</v>
      </c>
      <c r="T1258" s="334" t="s">
        <v>114</v>
      </c>
      <c r="U1258" s="334" t="s">
        <v>114</v>
      </c>
      <c r="V1258" s="269"/>
      <c r="W1258" s="269"/>
    </row>
    <row r="1259" spans="1:23" ht="69.75" customHeight="1" x14ac:dyDescent="0.2">
      <c r="A1259" s="277">
        <f t="shared" si="0"/>
        <v>1255</v>
      </c>
      <c r="B1259" s="278">
        <v>44274</v>
      </c>
      <c r="C1259" s="249">
        <v>44197</v>
      </c>
      <c r="D1259" s="255" t="s">
        <v>99</v>
      </c>
      <c r="E1259" s="255" t="s">
        <v>358</v>
      </c>
      <c r="F1259" s="251">
        <v>144.77000000000001</v>
      </c>
      <c r="G1259" s="250" t="s">
        <v>3971</v>
      </c>
      <c r="H1259" s="255" t="s">
        <v>131</v>
      </c>
      <c r="I1259" s="250" t="s">
        <v>530</v>
      </c>
      <c r="J1259" s="250" t="s">
        <v>114</v>
      </c>
      <c r="K1259" s="255" t="s">
        <v>466</v>
      </c>
      <c r="L1259" s="250" t="s">
        <v>547</v>
      </c>
      <c r="M1259" s="255" t="s">
        <v>114</v>
      </c>
      <c r="N1259" s="278">
        <v>44274</v>
      </c>
      <c r="O1259" s="329" t="s">
        <v>67</v>
      </c>
      <c r="P1259" s="386">
        <f t="shared" ref="P1259:Q1259" si="1256">IF(B1259=0,0,IF(YEAR(B1259)=$Q$1,MONTH(B1259)-$P$1+1,(YEAR(B1259)-$Q$1)*12-$P$1+1+MONTH(B1259)))</f>
        <v>3</v>
      </c>
      <c r="Q1259" s="330">
        <f t="shared" si="1256"/>
        <v>1</v>
      </c>
      <c r="R1259" s="351" t="str">
        <f t="shared" si="3"/>
        <v>Gastos_Gerais</v>
      </c>
      <c r="S1259" s="351" t="str">
        <f>IF(D1259="","",IF(OR(D1259=Plano!$A$1,D1259=Plano!$B$1),"entrada","saída"))</f>
        <v>saída</v>
      </c>
      <c r="T1259" s="334" t="s">
        <v>114</v>
      </c>
      <c r="U1259" s="334" t="s">
        <v>114</v>
      </c>
      <c r="V1259" s="269"/>
      <c r="W1259" s="269"/>
    </row>
    <row r="1260" spans="1:23" ht="69.75" customHeight="1" x14ac:dyDescent="0.2">
      <c r="A1260" s="277">
        <f t="shared" si="0"/>
        <v>1256</v>
      </c>
      <c r="B1260" s="278">
        <v>44274</v>
      </c>
      <c r="C1260" s="249">
        <v>44197</v>
      </c>
      <c r="D1260" s="255" t="s">
        <v>99</v>
      </c>
      <c r="E1260" s="255" t="s">
        <v>358</v>
      </c>
      <c r="F1260" s="251">
        <v>227.23</v>
      </c>
      <c r="G1260" s="250" t="s">
        <v>3972</v>
      </c>
      <c r="H1260" s="255" t="s">
        <v>131</v>
      </c>
      <c r="I1260" s="250" t="s">
        <v>530</v>
      </c>
      <c r="J1260" s="250" t="s">
        <v>114</v>
      </c>
      <c r="K1260" s="255" t="s">
        <v>466</v>
      </c>
      <c r="L1260" s="250" t="s">
        <v>547</v>
      </c>
      <c r="M1260" s="255" t="s">
        <v>114</v>
      </c>
      <c r="N1260" s="278">
        <v>44274</v>
      </c>
      <c r="O1260" s="329" t="s">
        <v>67</v>
      </c>
      <c r="P1260" s="386">
        <f t="shared" ref="P1260:Q1260" si="1257">IF(B1260=0,0,IF(YEAR(B1260)=$Q$1,MONTH(B1260)-$P$1+1,(YEAR(B1260)-$Q$1)*12-$P$1+1+MONTH(B1260)))</f>
        <v>3</v>
      </c>
      <c r="Q1260" s="330">
        <f t="shared" si="1257"/>
        <v>1</v>
      </c>
      <c r="R1260" s="351" t="str">
        <f t="shared" si="3"/>
        <v>Gastos_Gerais</v>
      </c>
      <c r="S1260" s="351" t="str">
        <f>IF(D1260="","",IF(OR(D1260=Plano!$A$1,D1260=Plano!$B$1),"entrada","saída"))</f>
        <v>saída</v>
      </c>
      <c r="T1260" s="334" t="s">
        <v>114</v>
      </c>
      <c r="U1260" s="334" t="s">
        <v>114</v>
      </c>
      <c r="V1260" s="269"/>
      <c r="W1260" s="269"/>
    </row>
    <row r="1261" spans="1:23" ht="69.75" customHeight="1" x14ac:dyDescent="0.2">
      <c r="A1261" s="277">
        <f t="shared" si="0"/>
        <v>1257</v>
      </c>
      <c r="B1261" s="278">
        <v>44274</v>
      </c>
      <c r="C1261" s="249">
        <v>44136</v>
      </c>
      <c r="D1261" s="255" t="s">
        <v>99</v>
      </c>
      <c r="E1261" s="255" t="s">
        <v>352</v>
      </c>
      <c r="F1261" s="251">
        <v>1178</v>
      </c>
      <c r="G1261" s="250" t="s">
        <v>3973</v>
      </c>
      <c r="H1261" s="255" t="s">
        <v>125</v>
      </c>
      <c r="I1261" s="250" t="s">
        <v>530</v>
      </c>
      <c r="J1261" s="250" t="s">
        <v>114</v>
      </c>
      <c r="K1261" s="255" t="s">
        <v>466</v>
      </c>
      <c r="L1261" s="250" t="s">
        <v>547</v>
      </c>
      <c r="M1261" s="255" t="s">
        <v>114</v>
      </c>
      <c r="N1261" s="278">
        <v>44274</v>
      </c>
      <c r="O1261" s="329" t="s">
        <v>67</v>
      </c>
      <c r="P1261" s="386">
        <f t="shared" ref="P1261:Q1261" si="1258">IF(B1261=0,0,IF(YEAR(B1261)=$Q$1,MONTH(B1261)-$P$1+1,(YEAR(B1261)-$Q$1)*12-$P$1+1+MONTH(B1261)))</f>
        <v>3</v>
      </c>
      <c r="Q1261" s="330">
        <f t="shared" si="1258"/>
        <v>-1</v>
      </c>
      <c r="R1261" s="351" t="str">
        <f t="shared" si="3"/>
        <v>Gastos_Gerais</v>
      </c>
      <c r="S1261" s="351" t="str">
        <f>IF(D1261="","",IF(OR(D1261=Plano!$A$1,D1261=Plano!$B$1),"entrada","saída"))</f>
        <v>saída</v>
      </c>
      <c r="T1261" s="334" t="s">
        <v>114</v>
      </c>
      <c r="U1261" s="334" t="s">
        <v>114</v>
      </c>
      <c r="V1261" s="269"/>
      <c r="W1261" s="269"/>
    </row>
    <row r="1262" spans="1:23" ht="69.75" customHeight="1" x14ac:dyDescent="0.2">
      <c r="A1262" s="277">
        <f t="shared" si="0"/>
        <v>1258</v>
      </c>
      <c r="B1262" s="278">
        <v>44274</v>
      </c>
      <c r="C1262" s="249">
        <v>44136</v>
      </c>
      <c r="D1262" s="255" t="s">
        <v>99</v>
      </c>
      <c r="E1262" s="255" t="s">
        <v>330</v>
      </c>
      <c r="F1262" s="251">
        <v>775</v>
      </c>
      <c r="G1262" s="250" t="s">
        <v>3974</v>
      </c>
      <c r="H1262" s="255" t="s">
        <v>125</v>
      </c>
      <c r="I1262" s="250" t="s">
        <v>530</v>
      </c>
      <c r="J1262" s="250" t="s">
        <v>114</v>
      </c>
      <c r="K1262" s="255" t="s">
        <v>466</v>
      </c>
      <c r="L1262" s="250" t="s">
        <v>547</v>
      </c>
      <c r="M1262" s="255" t="s">
        <v>114</v>
      </c>
      <c r="N1262" s="278">
        <v>44274</v>
      </c>
      <c r="O1262" s="329" t="s">
        <v>67</v>
      </c>
      <c r="P1262" s="386">
        <f t="shared" ref="P1262:Q1262" si="1259">IF(B1262=0,0,IF(YEAR(B1262)=$Q$1,MONTH(B1262)-$P$1+1,(YEAR(B1262)-$Q$1)*12-$P$1+1+MONTH(B1262)))</f>
        <v>3</v>
      </c>
      <c r="Q1262" s="330">
        <f t="shared" si="1259"/>
        <v>-1</v>
      </c>
      <c r="R1262" s="351" t="str">
        <f t="shared" si="3"/>
        <v>Gastos_Gerais</v>
      </c>
      <c r="S1262" s="351" t="str">
        <f>IF(D1262="","",IF(OR(D1262=Plano!$A$1,D1262=Plano!$B$1),"entrada","saída"))</f>
        <v>saída</v>
      </c>
      <c r="T1262" s="334" t="s">
        <v>114</v>
      </c>
      <c r="U1262" s="334" t="s">
        <v>114</v>
      </c>
      <c r="V1262" s="269"/>
      <c r="W1262" s="269"/>
    </row>
    <row r="1263" spans="1:23" ht="69.75" customHeight="1" x14ac:dyDescent="0.2">
      <c r="A1263" s="277">
        <f t="shared" si="0"/>
        <v>1259</v>
      </c>
      <c r="B1263" s="278">
        <v>44274</v>
      </c>
      <c r="C1263" s="249">
        <v>44166</v>
      </c>
      <c r="D1263" s="255" t="s">
        <v>99</v>
      </c>
      <c r="E1263" s="255" t="s">
        <v>266</v>
      </c>
      <c r="F1263" s="251">
        <v>61.6</v>
      </c>
      <c r="G1263" s="250" t="s">
        <v>3975</v>
      </c>
      <c r="H1263" s="255" t="s">
        <v>125</v>
      </c>
      <c r="I1263" s="250" t="s">
        <v>530</v>
      </c>
      <c r="J1263" s="250" t="s">
        <v>114</v>
      </c>
      <c r="K1263" s="255" t="s">
        <v>466</v>
      </c>
      <c r="L1263" s="250" t="s">
        <v>547</v>
      </c>
      <c r="M1263" s="255" t="s">
        <v>114</v>
      </c>
      <c r="N1263" s="278">
        <v>44274</v>
      </c>
      <c r="O1263" s="329" t="s">
        <v>67</v>
      </c>
      <c r="P1263" s="386">
        <f t="shared" ref="P1263:Q1263" si="1260">IF(B1263=0,0,IF(YEAR(B1263)=$Q$1,MONTH(B1263)-$P$1+1,(YEAR(B1263)-$Q$1)*12-$P$1+1+MONTH(B1263)))</f>
        <v>3</v>
      </c>
      <c r="Q1263" s="330">
        <f t="shared" si="1260"/>
        <v>0</v>
      </c>
      <c r="R1263" s="351" t="str">
        <f t="shared" si="3"/>
        <v>Gastos_Gerais</v>
      </c>
      <c r="S1263" s="351" t="str">
        <f>IF(D1263="","",IF(OR(D1263=Plano!$A$1,D1263=Plano!$B$1),"entrada","saída"))</f>
        <v>saída</v>
      </c>
      <c r="T1263" s="334" t="s">
        <v>114</v>
      </c>
      <c r="U1263" s="334" t="s">
        <v>114</v>
      </c>
      <c r="V1263" s="269"/>
      <c r="W1263" s="269"/>
    </row>
    <row r="1264" spans="1:23" ht="69.75" customHeight="1" x14ac:dyDescent="0.2">
      <c r="A1264" s="277">
        <f t="shared" si="0"/>
        <v>1260</v>
      </c>
      <c r="B1264" s="278">
        <v>44274</v>
      </c>
      <c r="C1264" s="259">
        <v>44197</v>
      </c>
      <c r="D1264" s="255" t="s">
        <v>99</v>
      </c>
      <c r="E1264" s="255" t="s">
        <v>266</v>
      </c>
      <c r="F1264" s="251">
        <v>1316.7</v>
      </c>
      <c r="G1264" s="250" t="s">
        <v>3976</v>
      </c>
      <c r="H1264" s="255" t="s">
        <v>131</v>
      </c>
      <c r="I1264" s="250" t="s">
        <v>530</v>
      </c>
      <c r="J1264" s="250" t="s">
        <v>114</v>
      </c>
      <c r="K1264" s="255" t="s">
        <v>466</v>
      </c>
      <c r="L1264" s="250" t="s">
        <v>547</v>
      </c>
      <c r="M1264" s="255" t="s">
        <v>114</v>
      </c>
      <c r="N1264" s="278">
        <v>44274</v>
      </c>
      <c r="O1264" s="329" t="s">
        <v>67</v>
      </c>
      <c r="P1264" s="386">
        <f t="shared" ref="P1264:Q1264" si="1261">IF(B1264=0,0,IF(YEAR(B1264)=$Q$1,MONTH(B1264)-$P$1+1,(YEAR(B1264)-$Q$1)*12-$P$1+1+MONTH(B1264)))</f>
        <v>3</v>
      </c>
      <c r="Q1264" s="330">
        <f t="shared" si="1261"/>
        <v>1</v>
      </c>
      <c r="R1264" s="351" t="str">
        <f t="shared" si="3"/>
        <v>Gastos_Gerais</v>
      </c>
      <c r="S1264" s="351" t="str">
        <f>IF(D1264="","",IF(OR(D1264=Plano!$A$1,D1264=Plano!$B$1),"entrada","saída"))</f>
        <v>saída</v>
      </c>
      <c r="T1264" s="334" t="s">
        <v>114</v>
      </c>
      <c r="U1264" s="334" t="s">
        <v>114</v>
      </c>
      <c r="V1264" s="269"/>
      <c r="W1264" s="269"/>
    </row>
    <row r="1265" spans="1:23" ht="69.75" customHeight="1" x14ac:dyDescent="0.2">
      <c r="A1265" s="277">
        <f t="shared" si="0"/>
        <v>1261</v>
      </c>
      <c r="B1265" s="278">
        <v>44274</v>
      </c>
      <c r="C1265" s="256">
        <v>44136</v>
      </c>
      <c r="D1265" s="255" t="s">
        <v>99</v>
      </c>
      <c r="E1265" s="255" t="s">
        <v>358</v>
      </c>
      <c r="F1265" s="251">
        <v>21.6</v>
      </c>
      <c r="G1265" s="255" t="s">
        <v>3977</v>
      </c>
      <c r="H1265" s="255" t="s">
        <v>118</v>
      </c>
      <c r="I1265" s="250" t="s">
        <v>488</v>
      </c>
      <c r="J1265" s="250" t="s">
        <v>114</v>
      </c>
      <c r="K1265" s="255" t="s">
        <v>466</v>
      </c>
      <c r="L1265" s="250" t="s">
        <v>489</v>
      </c>
      <c r="M1265" s="255" t="s">
        <v>114</v>
      </c>
      <c r="N1265" s="278">
        <v>44274</v>
      </c>
      <c r="O1265" s="329" t="s">
        <v>67</v>
      </c>
      <c r="P1265" s="386">
        <f t="shared" ref="P1265:Q1265" si="1262">IF(B1265=0,0,IF(YEAR(B1265)=$Q$1,MONTH(B1265)-$P$1+1,(YEAR(B1265)-$Q$1)*12-$P$1+1+MONTH(B1265)))</f>
        <v>3</v>
      </c>
      <c r="Q1265" s="330">
        <f t="shared" si="1262"/>
        <v>-1</v>
      </c>
      <c r="R1265" s="351" t="str">
        <f t="shared" si="3"/>
        <v>Gastos_Gerais</v>
      </c>
      <c r="S1265" s="351" t="str">
        <f>IF(D1265="","",IF(OR(D1265=Plano!$A$1,D1265=Plano!$B$1),"entrada","saída"))</f>
        <v>saída</v>
      </c>
      <c r="T1265" s="334" t="s">
        <v>114</v>
      </c>
      <c r="U1265" s="334" t="s">
        <v>114</v>
      </c>
      <c r="V1265" s="269"/>
      <c r="W1265" s="269"/>
    </row>
    <row r="1266" spans="1:23" ht="69.75" customHeight="1" x14ac:dyDescent="0.2">
      <c r="A1266" s="277">
        <f t="shared" si="0"/>
        <v>1262</v>
      </c>
      <c r="B1266" s="278">
        <v>44274</v>
      </c>
      <c r="C1266" s="249">
        <v>44166</v>
      </c>
      <c r="D1266" s="255" t="s">
        <v>88</v>
      </c>
      <c r="E1266" s="255" t="s">
        <v>90</v>
      </c>
      <c r="F1266" s="257">
        <v>12.43</v>
      </c>
      <c r="G1266" s="252" t="s">
        <v>3978</v>
      </c>
      <c r="H1266" s="255" t="s">
        <v>114</v>
      </c>
      <c r="I1266" s="250" t="s">
        <v>488</v>
      </c>
      <c r="J1266" s="250" t="s">
        <v>114</v>
      </c>
      <c r="K1266" s="255" t="s">
        <v>466</v>
      </c>
      <c r="L1266" s="250" t="s">
        <v>489</v>
      </c>
      <c r="M1266" s="255" t="s">
        <v>114</v>
      </c>
      <c r="N1266" s="278">
        <v>44274</v>
      </c>
      <c r="O1266" s="329" t="s">
        <v>67</v>
      </c>
      <c r="P1266" s="386">
        <f t="shared" ref="P1266:Q1266" si="1263">IF(B1266=0,0,IF(YEAR(B1266)=$Q$1,MONTH(B1266)-$P$1+1,(YEAR(B1266)-$Q$1)*12-$P$1+1+MONTH(B1266)))</f>
        <v>3</v>
      </c>
      <c r="Q1266" s="330">
        <f t="shared" si="1263"/>
        <v>0</v>
      </c>
      <c r="R1266" s="351" t="str">
        <f t="shared" si="3"/>
        <v>Gastos_com_Pessoal</v>
      </c>
      <c r="S1266" s="351" t="str">
        <f>IF(D1266="","",IF(OR(D1266=Plano!$A$1,D1266=Plano!$B$1),"entrada","saída"))</f>
        <v>saída</v>
      </c>
      <c r="T1266" s="334" t="s">
        <v>114</v>
      </c>
      <c r="U1266" s="334" t="s">
        <v>114</v>
      </c>
      <c r="V1266" s="269"/>
      <c r="W1266" s="269"/>
    </row>
    <row r="1267" spans="1:23" ht="69.75" customHeight="1" x14ac:dyDescent="0.2">
      <c r="A1267" s="277">
        <f t="shared" si="0"/>
        <v>1263</v>
      </c>
      <c r="B1267" s="278">
        <v>44274</v>
      </c>
      <c r="C1267" s="249">
        <v>44228</v>
      </c>
      <c r="D1267" s="255" t="s">
        <v>99</v>
      </c>
      <c r="E1267" s="255" t="s">
        <v>228</v>
      </c>
      <c r="F1267" s="258">
        <v>127.5</v>
      </c>
      <c r="G1267" s="252" t="s">
        <v>3979</v>
      </c>
      <c r="H1267" s="255" t="s">
        <v>115</v>
      </c>
      <c r="I1267" s="250" t="s">
        <v>488</v>
      </c>
      <c r="J1267" s="250" t="s">
        <v>114</v>
      </c>
      <c r="K1267" s="255" t="s">
        <v>466</v>
      </c>
      <c r="L1267" s="250" t="s">
        <v>489</v>
      </c>
      <c r="M1267" s="255" t="s">
        <v>114</v>
      </c>
      <c r="N1267" s="278">
        <v>44255</v>
      </c>
      <c r="O1267" s="329" t="s">
        <v>67</v>
      </c>
      <c r="P1267" s="386">
        <f t="shared" ref="P1267:Q1267" si="1264">IF(B1267=0,0,IF(YEAR(B1267)=$Q$1,MONTH(B1267)-$P$1+1,(YEAR(B1267)-$Q$1)*12-$P$1+1+MONTH(B1267)))</f>
        <v>3</v>
      </c>
      <c r="Q1267" s="330">
        <f t="shared" si="1264"/>
        <v>2</v>
      </c>
      <c r="R1267" s="351" t="str">
        <f t="shared" si="3"/>
        <v>Gastos_Gerais</v>
      </c>
      <c r="S1267" s="351" t="str">
        <f>IF(D1267="","",IF(OR(D1267=Plano!$A$1,D1267=Plano!$B$1),"entrada","saída"))</f>
        <v>saída</v>
      </c>
      <c r="T1267" s="334" t="s">
        <v>114</v>
      </c>
      <c r="U1267" s="334" t="s">
        <v>114</v>
      </c>
      <c r="V1267" s="269"/>
      <c r="W1267" s="269"/>
    </row>
    <row r="1268" spans="1:23" ht="69.75" customHeight="1" x14ac:dyDescent="0.2">
      <c r="A1268" s="277">
        <f t="shared" si="0"/>
        <v>1264</v>
      </c>
      <c r="B1268" s="278">
        <v>44274</v>
      </c>
      <c r="C1268" s="249">
        <v>44197</v>
      </c>
      <c r="D1268" s="255" t="s">
        <v>99</v>
      </c>
      <c r="E1268" s="255" t="s">
        <v>228</v>
      </c>
      <c r="F1268" s="258">
        <v>395.25</v>
      </c>
      <c r="G1268" s="255" t="s">
        <v>3980</v>
      </c>
      <c r="H1268" s="255" t="s">
        <v>115</v>
      </c>
      <c r="I1268" s="250" t="s">
        <v>488</v>
      </c>
      <c r="J1268" s="250" t="s">
        <v>114</v>
      </c>
      <c r="K1268" s="255" t="s">
        <v>466</v>
      </c>
      <c r="L1268" s="250" t="s">
        <v>489</v>
      </c>
      <c r="M1268" s="255" t="s">
        <v>114</v>
      </c>
      <c r="N1268" s="278">
        <v>44255</v>
      </c>
      <c r="O1268" s="329" t="s">
        <v>67</v>
      </c>
      <c r="P1268" s="386">
        <f t="shared" ref="P1268:Q1268" si="1265">IF(B1268=0,0,IF(YEAR(B1268)=$Q$1,MONTH(B1268)-$P$1+1,(YEAR(B1268)-$Q$1)*12-$P$1+1+MONTH(B1268)))</f>
        <v>3</v>
      </c>
      <c r="Q1268" s="330">
        <f t="shared" si="1265"/>
        <v>1</v>
      </c>
      <c r="R1268" s="351" t="str">
        <f t="shared" si="3"/>
        <v>Gastos_Gerais</v>
      </c>
      <c r="S1268" s="351" t="str">
        <f>IF(D1268="","",IF(OR(D1268=Plano!$A$1,D1268=Plano!$B$1),"entrada","saída"))</f>
        <v>saída</v>
      </c>
      <c r="T1268" s="334" t="s">
        <v>114</v>
      </c>
      <c r="U1268" s="334" t="s">
        <v>114</v>
      </c>
      <c r="V1268" s="269"/>
      <c r="W1268" s="269"/>
    </row>
    <row r="1269" spans="1:23" ht="147" customHeight="1" x14ac:dyDescent="0.2">
      <c r="A1269" s="277">
        <f t="shared" si="0"/>
        <v>1265</v>
      </c>
      <c r="B1269" s="278">
        <v>44274</v>
      </c>
      <c r="C1269" s="249">
        <v>44197</v>
      </c>
      <c r="D1269" s="255" t="s">
        <v>99</v>
      </c>
      <c r="E1269" s="255" t="s">
        <v>352</v>
      </c>
      <c r="F1269" s="258">
        <v>156</v>
      </c>
      <c r="G1269" s="255" t="s">
        <v>3981</v>
      </c>
      <c r="H1269" s="255" t="s">
        <v>126</v>
      </c>
      <c r="I1269" s="250" t="s">
        <v>465</v>
      </c>
      <c r="J1269" s="250" t="s">
        <v>114</v>
      </c>
      <c r="K1269" s="255" t="s">
        <v>466</v>
      </c>
      <c r="L1269" s="250" t="s">
        <v>467</v>
      </c>
      <c r="M1269" s="255">
        <v>2425</v>
      </c>
      <c r="N1269" s="278">
        <v>44274</v>
      </c>
      <c r="O1269" s="329" t="s">
        <v>67</v>
      </c>
      <c r="P1269" s="386">
        <f t="shared" ref="P1269:Q1269" si="1266">IF(B1269=0,0,IF(YEAR(B1269)=$Q$1,MONTH(B1269)-$P$1+1,(YEAR(B1269)-$Q$1)*12-$P$1+1+MONTH(B1269)))</f>
        <v>3</v>
      </c>
      <c r="Q1269" s="330">
        <f t="shared" si="1266"/>
        <v>1</v>
      </c>
      <c r="R1269" s="351" t="str">
        <f t="shared" si="3"/>
        <v>Gastos_Gerais</v>
      </c>
      <c r="S1269" s="351" t="str">
        <f>IF(D1269="","",IF(OR(D1269=Plano!$A$1,D1269=Plano!$B$1),"entrada","saída"))</f>
        <v>saída</v>
      </c>
      <c r="T1269" s="334" t="s">
        <v>114</v>
      </c>
      <c r="U1269" s="334" t="s">
        <v>114</v>
      </c>
      <c r="V1269" s="269"/>
      <c r="W1269" s="269"/>
    </row>
    <row r="1270" spans="1:23" ht="69.75" customHeight="1" x14ac:dyDescent="0.2">
      <c r="A1270" s="277">
        <f t="shared" si="0"/>
        <v>1266</v>
      </c>
      <c r="B1270" s="278">
        <v>44274</v>
      </c>
      <c r="C1270" s="249">
        <v>44105</v>
      </c>
      <c r="D1270" s="255" t="s">
        <v>104</v>
      </c>
      <c r="E1270" s="255" t="s">
        <v>104</v>
      </c>
      <c r="F1270" s="258">
        <v>420</v>
      </c>
      <c r="G1270" s="250" t="s">
        <v>3982</v>
      </c>
      <c r="H1270" s="255" t="s">
        <v>104</v>
      </c>
      <c r="I1270" s="252" t="s">
        <v>3983</v>
      </c>
      <c r="J1270" s="252" t="s">
        <v>3984</v>
      </c>
      <c r="K1270" s="255" t="s">
        <v>1015</v>
      </c>
      <c r="L1270" s="250" t="s">
        <v>1029</v>
      </c>
      <c r="M1270" s="255">
        <v>1049</v>
      </c>
      <c r="N1270" s="278">
        <v>44221</v>
      </c>
      <c r="O1270" s="329" t="s">
        <v>70</v>
      </c>
      <c r="P1270" s="386">
        <f t="shared" ref="P1270:Q1270" si="1267">IF(B1270=0,0,IF(YEAR(B1270)=$Q$1,MONTH(B1270)-$P$1+1,(YEAR(B1270)-$Q$1)*12-$P$1+1+MONTH(B1270)))</f>
        <v>3</v>
      </c>
      <c r="Q1270" s="330">
        <f t="shared" si="1267"/>
        <v>-2</v>
      </c>
      <c r="R1270" s="351" t="str">
        <f t="shared" si="3"/>
        <v>Gastos_custeados_por_captação</v>
      </c>
      <c r="S1270" s="351" t="str">
        <f>IF(D1270="","",IF(OR(D1270=Plano!$A$1,D1270=Plano!$B$1),"entrada","saída"))</f>
        <v>saída</v>
      </c>
      <c r="T1270" s="334" t="s">
        <v>994</v>
      </c>
      <c r="U1270" s="334">
        <v>1101</v>
      </c>
      <c r="V1270" s="269"/>
      <c r="W1270" s="269"/>
    </row>
    <row r="1271" spans="1:23" ht="150" customHeight="1" x14ac:dyDescent="0.2">
      <c r="A1271" s="277">
        <f t="shared" si="0"/>
        <v>1267</v>
      </c>
      <c r="B1271" s="278">
        <v>44274</v>
      </c>
      <c r="C1271" s="249">
        <v>44228</v>
      </c>
      <c r="D1271" s="255" t="s">
        <v>104</v>
      </c>
      <c r="E1271" s="255" t="s">
        <v>104</v>
      </c>
      <c r="F1271" s="258">
        <v>952.56</v>
      </c>
      <c r="G1271" s="250" t="s">
        <v>3945</v>
      </c>
      <c r="H1271" s="255" t="s">
        <v>104</v>
      </c>
      <c r="I1271" s="252" t="s">
        <v>2008</v>
      </c>
      <c r="J1271" s="252" t="s">
        <v>2009</v>
      </c>
      <c r="K1271" s="255" t="s">
        <v>1015</v>
      </c>
      <c r="L1271" s="250" t="s">
        <v>1029</v>
      </c>
      <c r="M1271" s="255">
        <v>1101</v>
      </c>
      <c r="N1271" s="278">
        <v>44273</v>
      </c>
      <c r="O1271" s="329" t="s">
        <v>69</v>
      </c>
      <c r="P1271" s="386">
        <f t="shared" ref="P1271:Q1271" si="1268">IF(B1271=0,0,IF(YEAR(B1271)=$Q$1,MONTH(B1271)-$P$1+1,(YEAR(B1271)-$Q$1)*12-$P$1+1+MONTH(B1271)))</f>
        <v>3</v>
      </c>
      <c r="Q1271" s="330">
        <f t="shared" si="1268"/>
        <v>2</v>
      </c>
      <c r="R1271" s="351" t="str">
        <f t="shared" si="3"/>
        <v>Gastos_custeados_por_captação</v>
      </c>
      <c r="S1271" s="351" t="str">
        <f>IF(D1271="","",IF(OR(D1271=Plano!$A$1,D1271=Plano!$B$1),"entrada","saída"))</f>
        <v>saída</v>
      </c>
      <c r="T1271" s="334" t="s">
        <v>1082</v>
      </c>
      <c r="U1271" s="334">
        <v>1352</v>
      </c>
      <c r="V1271" s="269"/>
      <c r="W1271" s="269"/>
    </row>
    <row r="1272" spans="1:23" ht="69.75" customHeight="1" x14ac:dyDescent="0.2">
      <c r="A1272" s="277">
        <f t="shared" si="0"/>
        <v>1268</v>
      </c>
      <c r="B1272" s="278">
        <v>44274</v>
      </c>
      <c r="C1272" s="249">
        <v>44197</v>
      </c>
      <c r="D1272" s="255" t="s">
        <v>104</v>
      </c>
      <c r="E1272" s="255" t="s">
        <v>104</v>
      </c>
      <c r="F1272" s="251">
        <v>24.08</v>
      </c>
      <c r="G1272" s="255" t="s">
        <v>3985</v>
      </c>
      <c r="H1272" s="255" t="s">
        <v>104</v>
      </c>
      <c r="I1272" s="252" t="s">
        <v>488</v>
      </c>
      <c r="J1272" s="252" t="s">
        <v>114</v>
      </c>
      <c r="K1272" s="252" t="s">
        <v>466</v>
      </c>
      <c r="L1272" s="252" t="s">
        <v>489</v>
      </c>
      <c r="M1272" s="255" t="s">
        <v>114</v>
      </c>
      <c r="N1272" s="278">
        <v>44255</v>
      </c>
      <c r="O1272" s="329" t="s">
        <v>69</v>
      </c>
      <c r="P1272" s="386">
        <f t="shared" ref="P1272:Q1272" si="1269">IF(B1272=0,0,IF(YEAR(B1272)=$Q$1,MONTH(B1272)-$P$1+1,(YEAR(B1272)-$Q$1)*12-$P$1+1+MONTH(B1272)))</f>
        <v>3</v>
      </c>
      <c r="Q1272" s="330">
        <f t="shared" si="1269"/>
        <v>1</v>
      </c>
      <c r="R1272" s="351" t="str">
        <f t="shared" si="3"/>
        <v>Gastos_custeados_por_captação</v>
      </c>
      <c r="S1272" s="351" t="str">
        <f>IF(D1272="","",IF(OR(D1272=Plano!$A$1,D1272=Plano!$B$1),"entrada","saída"))</f>
        <v>saída</v>
      </c>
      <c r="T1272" s="334" t="s">
        <v>114</v>
      </c>
      <c r="U1272" s="334" t="s">
        <v>114</v>
      </c>
      <c r="V1272" s="269"/>
      <c r="W1272" s="269"/>
    </row>
    <row r="1273" spans="1:23" ht="69.75" customHeight="1" x14ac:dyDescent="0.2">
      <c r="A1273" s="277">
        <f t="shared" si="0"/>
        <v>1269</v>
      </c>
      <c r="B1273" s="278">
        <v>44274</v>
      </c>
      <c r="C1273" s="249">
        <v>44197</v>
      </c>
      <c r="D1273" s="255" t="s">
        <v>104</v>
      </c>
      <c r="E1273" s="255" t="s">
        <v>104</v>
      </c>
      <c r="F1273" s="251">
        <v>24.08</v>
      </c>
      <c r="G1273" s="255" t="s">
        <v>3986</v>
      </c>
      <c r="H1273" s="255" t="s">
        <v>104</v>
      </c>
      <c r="I1273" s="252" t="s">
        <v>488</v>
      </c>
      <c r="J1273" s="252" t="s">
        <v>114</v>
      </c>
      <c r="K1273" s="255" t="s">
        <v>114</v>
      </c>
      <c r="L1273" s="252" t="s">
        <v>489</v>
      </c>
      <c r="M1273" s="255" t="s">
        <v>114</v>
      </c>
      <c r="N1273" s="278">
        <v>44255</v>
      </c>
      <c r="O1273" s="329" t="s">
        <v>69</v>
      </c>
      <c r="P1273" s="386">
        <f t="shared" ref="P1273:Q1273" si="1270">IF(B1273=0,0,IF(YEAR(B1273)=$Q$1,MONTH(B1273)-$P$1+1,(YEAR(B1273)-$Q$1)*12-$P$1+1+MONTH(B1273)))</f>
        <v>3</v>
      </c>
      <c r="Q1273" s="330">
        <f t="shared" si="1270"/>
        <v>1</v>
      </c>
      <c r="R1273" s="351" t="str">
        <f t="shared" si="3"/>
        <v>Gastos_custeados_por_captação</v>
      </c>
      <c r="S1273" s="351" t="str">
        <f>IF(D1273="","",IF(OR(D1273=Plano!$A$1,D1273=Plano!$B$1),"entrada","saída"))</f>
        <v>saída</v>
      </c>
      <c r="T1273" s="334" t="s">
        <v>114</v>
      </c>
      <c r="U1273" s="334" t="s">
        <v>114</v>
      </c>
      <c r="V1273" s="269"/>
      <c r="W1273" s="269"/>
    </row>
    <row r="1274" spans="1:23" ht="69.75" customHeight="1" x14ac:dyDescent="0.2">
      <c r="A1274" s="277">
        <f t="shared" si="0"/>
        <v>1270</v>
      </c>
      <c r="B1274" s="278">
        <v>44274</v>
      </c>
      <c r="C1274" s="249">
        <v>44197</v>
      </c>
      <c r="D1274" s="255" t="s">
        <v>104</v>
      </c>
      <c r="E1274" s="255" t="s">
        <v>104</v>
      </c>
      <c r="F1274" s="251">
        <v>775</v>
      </c>
      <c r="G1274" s="255" t="s">
        <v>3987</v>
      </c>
      <c r="H1274" s="255" t="s">
        <v>104</v>
      </c>
      <c r="I1274" s="252" t="s">
        <v>530</v>
      </c>
      <c r="J1274" s="252" t="s">
        <v>114</v>
      </c>
      <c r="K1274" s="252" t="s">
        <v>466</v>
      </c>
      <c r="L1274" s="252" t="s">
        <v>547</v>
      </c>
      <c r="M1274" s="255" t="s">
        <v>114</v>
      </c>
      <c r="N1274" s="278">
        <v>44274</v>
      </c>
      <c r="O1274" s="329" t="s">
        <v>69</v>
      </c>
      <c r="P1274" s="386">
        <f t="shared" ref="P1274:Q1274" si="1271">IF(B1274=0,0,IF(YEAR(B1274)=$Q$1,MONTH(B1274)-$P$1+1,(YEAR(B1274)-$Q$1)*12-$P$1+1+MONTH(B1274)))</f>
        <v>3</v>
      </c>
      <c r="Q1274" s="330">
        <f t="shared" si="1271"/>
        <v>1</v>
      </c>
      <c r="R1274" s="351" t="str">
        <f t="shared" si="3"/>
        <v>Gastos_custeados_por_captação</v>
      </c>
      <c r="S1274" s="351" t="str">
        <f>IF(D1274="","",IF(OR(D1274=Plano!$A$1,D1274=Plano!$B$1),"entrada","saída"))</f>
        <v>saída</v>
      </c>
      <c r="T1274" s="334" t="s">
        <v>114</v>
      </c>
      <c r="U1274" s="334" t="s">
        <v>114</v>
      </c>
      <c r="V1274" s="269"/>
      <c r="W1274" s="269"/>
    </row>
    <row r="1275" spans="1:23" ht="69.75" customHeight="1" x14ac:dyDescent="0.2">
      <c r="A1275" s="277">
        <f t="shared" si="0"/>
        <v>1271</v>
      </c>
      <c r="B1275" s="278">
        <v>44274</v>
      </c>
      <c r="C1275" s="249">
        <v>44197</v>
      </c>
      <c r="D1275" s="255" t="s">
        <v>104</v>
      </c>
      <c r="E1275" s="255" t="s">
        <v>104</v>
      </c>
      <c r="F1275" s="251">
        <v>775</v>
      </c>
      <c r="G1275" s="255" t="s">
        <v>3988</v>
      </c>
      <c r="H1275" s="255" t="s">
        <v>104</v>
      </c>
      <c r="I1275" s="252" t="s">
        <v>530</v>
      </c>
      <c r="J1275" s="252" t="s">
        <v>114</v>
      </c>
      <c r="K1275" s="252" t="s">
        <v>466</v>
      </c>
      <c r="L1275" s="252" t="s">
        <v>547</v>
      </c>
      <c r="M1275" s="255" t="s">
        <v>114</v>
      </c>
      <c r="N1275" s="278">
        <v>44274</v>
      </c>
      <c r="O1275" s="329" t="s">
        <v>69</v>
      </c>
      <c r="P1275" s="386">
        <f t="shared" ref="P1275:Q1275" si="1272">IF(B1275=0,0,IF(YEAR(B1275)=$Q$1,MONTH(B1275)-$P$1+1,(YEAR(B1275)-$Q$1)*12-$P$1+1+MONTH(B1275)))</f>
        <v>3</v>
      </c>
      <c r="Q1275" s="330">
        <f t="shared" si="1272"/>
        <v>1</v>
      </c>
      <c r="R1275" s="351" t="str">
        <f t="shared" si="3"/>
        <v>Gastos_custeados_por_captação</v>
      </c>
      <c r="S1275" s="351" t="str">
        <f>IF(D1275="","",IF(OR(D1275=Plano!$A$1,D1275=Plano!$B$1),"entrada","saída"))</f>
        <v>saída</v>
      </c>
      <c r="T1275" s="334" t="s">
        <v>114</v>
      </c>
      <c r="U1275" s="334" t="s">
        <v>114</v>
      </c>
      <c r="V1275" s="269"/>
      <c r="W1275" s="269"/>
    </row>
    <row r="1276" spans="1:23" ht="132" customHeight="1" x14ac:dyDescent="0.2">
      <c r="A1276" s="277">
        <f t="shared" si="0"/>
        <v>1272</v>
      </c>
      <c r="B1276" s="278">
        <v>44274</v>
      </c>
      <c r="C1276" s="249">
        <v>44105</v>
      </c>
      <c r="D1276" s="255" t="s">
        <v>104</v>
      </c>
      <c r="E1276" s="255" t="s">
        <v>104</v>
      </c>
      <c r="F1276" s="258">
        <v>24570.89</v>
      </c>
      <c r="G1276" s="255" t="s">
        <v>3989</v>
      </c>
      <c r="H1276" s="255" t="s">
        <v>104</v>
      </c>
      <c r="I1276" s="252" t="s">
        <v>3990</v>
      </c>
      <c r="J1276" s="252" t="s">
        <v>3991</v>
      </c>
      <c r="K1276" s="255" t="s">
        <v>1015</v>
      </c>
      <c r="L1276" s="255" t="s">
        <v>697</v>
      </c>
      <c r="M1276" s="255" t="s">
        <v>3992</v>
      </c>
      <c r="N1276" s="278">
        <v>44259</v>
      </c>
      <c r="O1276" s="329" t="s">
        <v>69</v>
      </c>
      <c r="P1276" s="386">
        <f t="shared" ref="P1276:Q1276" si="1273">IF(B1276=0,0,IF(YEAR(B1276)=$Q$1,MONTH(B1276)-$P$1+1,(YEAR(B1276)-$Q$1)*12-$P$1+1+MONTH(B1276)))</f>
        <v>3</v>
      </c>
      <c r="Q1276" s="330">
        <f t="shared" si="1273"/>
        <v>-2</v>
      </c>
      <c r="R1276" s="351" t="str">
        <f t="shared" si="3"/>
        <v>Gastos_custeados_por_captação</v>
      </c>
      <c r="S1276" s="351" t="str">
        <f>IF(D1276="","",IF(OR(D1276=Plano!$A$1,D1276=Plano!$B$1),"entrada","saída"))</f>
        <v>saída</v>
      </c>
      <c r="T1276" s="334" t="s">
        <v>994</v>
      </c>
      <c r="U1276" s="334">
        <v>655</v>
      </c>
      <c r="V1276" s="269"/>
      <c r="W1276" s="269"/>
    </row>
    <row r="1277" spans="1:23" ht="69.75" customHeight="1" x14ac:dyDescent="0.2">
      <c r="A1277" s="277">
        <f t="shared" si="0"/>
        <v>1273</v>
      </c>
      <c r="B1277" s="278">
        <v>44274</v>
      </c>
      <c r="C1277" s="249">
        <v>44228</v>
      </c>
      <c r="D1277" s="255" t="s">
        <v>104</v>
      </c>
      <c r="E1277" s="255" t="s">
        <v>104</v>
      </c>
      <c r="F1277" s="258">
        <v>10700</v>
      </c>
      <c r="G1277" s="255" t="s">
        <v>3993</v>
      </c>
      <c r="H1277" s="255" t="s">
        <v>104</v>
      </c>
      <c r="I1277" s="252" t="s">
        <v>3994</v>
      </c>
      <c r="J1277" s="252" t="s">
        <v>3995</v>
      </c>
      <c r="K1277" s="255" t="s">
        <v>1015</v>
      </c>
      <c r="L1277" s="255" t="s">
        <v>1016</v>
      </c>
      <c r="M1277" s="255">
        <v>48</v>
      </c>
      <c r="N1277" s="278">
        <v>44274</v>
      </c>
      <c r="O1277" s="329" t="s">
        <v>69</v>
      </c>
      <c r="P1277" s="386">
        <f t="shared" ref="P1277:Q1277" si="1274">IF(B1277=0,0,IF(YEAR(B1277)=$Q$1,MONTH(B1277)-$P$1+1,(YEAR(B1277)-$Q$1)*12-$P$1+1+MONTH(B1277)))</f>
        <v>3</v>
      </c>
      <c r="Q1277" s="330">
        <f t="shared" si="1274"/>
        <v>2</v>
      </c>
      <c r="R1277" s="351" t="str">
        <f t="shared" si="3"/>
        <v>Gastos_custeados_por_captação</v>
      </c>
      <c r="S1277" s="351" t="str">
        <f>IF(D1277="","",IF(OR(D1277=Plano!$A$1,D1277=Plano!$B$1),"entrada","saída"))</f>
        <v>saída</v>
      </c>
      <c r="T1277" s="334" t="s">
        <v>994</v>
      </c>
      <c r="U1277" s="334">
        <v>1313</v>
      </c>
      <c r="V1277" s="269"/>
      <c r="W1277" s="269"/>
    </row>
    <row r="1278" spans="1:23" ht="144.75" customHeight="1" x14ac:dyDescent="0.2">
      <c r="A1278" s="277">
        <f t="shared" si="0"/>
        <v>1274</v>
      </c>
      <c r="B1278" s="278">
        <v>44274</v>
      </c>
      <c r="C1278" s="249">
        <v>44228</v>
      </c>
      <c r="D1278" s="255" t="s">
        <v>104</v>
      </c>
      <c r="E1278" s="255" t="s">
        <v>104</v>
      </c>
      <c r="F1278" s="258">
        <v>6000</v>
      </c>
      <c r="G1278" s="255" t="s">
        <v>3996</v>
      </c>
      <c r="H1278" s="255" t="s">
        <v>104</v>
      </c>
      <c r="I1278" s="252" t="s">
        <v>3994</v>
      </c>
      <c r="J1278" s="252" t="s">
        <v>3995</v>
      </c>
      <c r="K1278" s="255" t="s">
        <v>1015</v>
      </c>
      <c r="L1278" s="255" t="s">
        <v>1016</v>
      </c>
      <c r="M1278" s="255">
        <v>49</v>
      </c>
      <c r="N1278" s="278">
        <v>44274</v>
      </c>
      <c r="O1278" s="329" t="s">
        <v>69</v>
      </c>
      <c r="P1278" s="386">
        <f t="shared" ref="P1278:Q1278" si="1275">IF(B1278=0,0,IF(YEAR(B1278)=$Q$1,MONTH(B1278)-$P$1+1,(YEAR(B1278)-$Q$1)*12-$P$1+1+MONTH(B1278)))</f>
        <v>3</v>
      </c>
      <c r="Q1278" s="330">
        <f t="shared" si="1275"/>
        <v>2</v>
      </c>
      <c r="R1278" s="351" t="str">
        <f t="shared" si="3"/>
        <v>Gastos_custeados_por_captação</v>
      </c>
      <c r="S1278" s="351" t="str">
        <f>IF(D1278="","",IF(OR(D1278=Plano!$A$1,D1278=Plano!$B$1),"entrada","saída"))</f>
        <v>saída</v>
      </c>
      <c r="T1278" s="334" t="s">
        <v>994</v>
      </c>
      <c r="U1278" s="334">
        <v>1326</v>
      </c>
      <c r="V1278" s="269"/>
      <c r="W1278" s="269"/>
    </row>
    <row r="1279" spans="1:23" ht="69.75" customHeight="1" x14ac:dyDescent="0.2">
      <c r="A1279" s="277">
        <f t="shared" si="0"/>
        <v>1275</v>
      </c>
      <c r="B1279" s="278">
        <v>44274</v>
      </c>
      <c r="C1279" s="249">
        <v>44197</v>
      </c>
      <c r="D1279" s="255" t="s">
        <v>104</v>
      </c>
      <c r="E1279" s="255" t="s">
        <v>104</v>
      </c>
      <c r="F1279" s="251">
        <v>57.45</v>
      </c>
      <c r="G1279" s="250" t="s">
        <v>3997</v>
      </c>
      <c r="H1279" s="255" t="s">
        <v>104</v>
      </c>
      <c r="I1279" s="252" t="s">
        <v>488</v>
      </c>
      <c r="J1279" s="252" t="s">
        <v>114</v>
      </c>
      <c r="K1279" s="252" t="s">
        <v>466</v>
      </c>
      <c r="L1279" s="252" t="s">
        <v>489</v>
      </c>
      <c r="M1279" s="255" t="s">
        <v>114</v>
      </c>
      <c r="N1279" s="278">
        <v>44255</v>
      </c>
      <c r="O1279" s="329" t="s">
        <v>68</v>
      </c>
      <c r="P1279" s="386">
        <f t="shared" ref="P1279:Q1279" si="1276">IF(B1279=0,0,IF(YEAR(B1279)=$Q$1,MONTH(B1279)-$P$1+1,(YEAR(B1279)-$Q$1)*12-$P$1+1+MONTH(B1279)))</f>
        <v>3</v>
      </c>
      <c r="Q1279" s="330">
        <f t="shared" si="1276"/>
        <v>1</v>
      </c>
      <c r="R1279" s="351" t="str">
        <f t="shared" si="3"/>
        <v>Gastos_custeados_por_captação</v>
      </c>
      <c r="S1279" s="351" t="str">
        <f>IF(D1279="","",IF(OR(D1279=Plano!$A$1,D1279=Plano!$B$1),"entrada","saída"))</f>
        <v>saída</v>
      </c>
      <c r="T1279" s="334" t="s">
        <v>114</v>
      </c>
      <c r="U1279" s="334" t="s">
        <v>114</v>
      </c>
      <c r="V1279" s="269"/>
      <c r="W1279" s="269"/>
    </row>
    <row r="1280" spans="1:23" ht="69.75" customHeight="1" x14ac:dyDescent="0.2">
      <c r="A1280" s="277">
        <f t="shared" si="0"/>
        <v>1276</v>
      </c>
      <c r="B1280" s="278">
        <v>44274</v>
      </c>
      <c r="C1280" s="249">
        <v>44197</v>
      </c>
      <c r="D1280" s="255" t="s">
        <v>104</v>
      </c>
      <c r="E1280" s="255" t="s">
        <v>104</v>
      </c>
      <c r="F1280" s="258">
        <v>930</v>
      </c>
      <c r="G1280" s="250" t="s">
        <v>3998</v>
      </c>
      <c r="H1280" s="255" t="s">
        <v>104</v>
      </c>
      <c r="I1280" s="252" t="s">
        <v>530</v>
      </c>
      <c r="J1280" s="252" t="s">
        <v>114</v>
      </c>
      <c r="K1280" s="252" t="s">
        <v>466</v>
      </c>
      <c r="L1280" s="252" t="s">
        <v>547</v>
      </c>
      <c r="M1280" s="255" t="s">
        <v>114</v>
      </c>
      <c r="N1280" s="278">
        <v>44274</v>
      </c>
      <c r="O1280" s="329" t="s">
        <v>68</v>
      </c>
      <c r="P1280" s="386">
        <f t="shared" ref="P1280:Q1280" si="1277">IF(B1280=0,0,IF(YEAR(B1280)=$Q$1,MONTH(B1280)-$P$1+1,(YEAR(B1280)-$Q$1)*12-$P$1+1+MONTH(B1280)))</f>
        <v>3</v>
      </c>
      <c r="Q1280" s="330">
        <f t="shared" si="1277"/>
        <v>1</v>
      </c>
      <c r="R1280" s="351" t="str">
        <f t="shared" si="3"/>
        <v>Gastos_custeados_por_captação</v>
      </c>
      <c r="S1280" s="351" t="str">
        <f>IF(D1280="","",IF(OR(D1280=Plano!$A$1,D1280=Plano!$B$1),"entrada","saída"))</f>
        <v>saída</v>
      </c>
      <c r="T1280" s="334" t="s">
        <v>114</v>
      </c>
      <c r="U1280" s="334" t="s">
        <v>114</v>
      </c>
      <c r="V1280" s="269"/>
      <c r="W1280" s="269"/>
    </row>
    <row r="1281" spans="1:23" ht="69.75" customHeight="1" x14ac:dyDescent="0.2">
      <c r="A1281" s="277">
        <f t="shared" si="0"/>
        <v>1277</v>
      </c>
      <c r="B1281" s="278">
        <v>44274</v>
      </c>
      <c r="C1281" s="249">
        <v>44197</v>
      </c>
      <c r="D1281" s="255" t="s">
        <v>104</v>
      </c>
      <c r="E1281" s="255" t="s">
        <v>104</v>
      </c>
      <c r="F1281" s="251">
        <v>387.5</v>
      </c>
      <c r="G1281" s="250" t="s">
        <v>3999</v>
      </c>
      <c r="H1281" s="255" t="s">
        <v>104</v>
      </c>
      <c r="I1281" s="252" t="s">
        <v>530</v>
      </c>
      <c r="J1281" s="252" t="s">
        <v>114</v>
      </c>
      <c r="K1281" s="252" t="s">
        <v>466</v>
      </c>
      <c r="L1281" s="252" t="s">
        <v>547</v>
      </c>
      <c r="M1281" s="255" t="s">
        <v>114</v>
      </c>
      <c r="N1281" s="278">
        <v>44274</v>
      </c>
      <c r="O1281" s="329" t="s">
        <v>68</v>
      </c>
      <c r="P1281" s="386">
        <f t="shared" ref="P1281:Q1281" si="1278">IF(B1281=0,0,IF(YEAR(B1281)=$Q$1,MONTH(B1281)-$P$1+1,(YEAR(B1281)-$Q$1)*12-$P$1+1+MONTH(B1281)))</f>
        <v>3</v>
      </c>
      <c r="Q1281" s="330">
        <f t="shared" si="1278"/>
        <v>1</v>
      </c>
      <c r="R1281" s="351" t="str">
        <f t="shared" si="3"/>
        <v>Gastos_custeados_por_captação</v>
      </c>
      <c r="S1281" s="351" t="str">
        <f>IF(D1281="","",IF(OR(D1281=Plano!$A$1,D1281=Plano!$B$1),"entrada","saída"))</f>
        <v>saída</v>
      </c>
      <c r="T1281" s="334" t="s">
        <v>114</v>
      </c>
      <c r="U1281" s="334" t="s">
        <v>114</v>
      </c>
      <c r="V1281" s="269"/>
      <c r="W1281" s="269"/>
    </row>
    <row r="1282" spans="1:23" ht="69.75" customHeight="1" x14ac:dyDescent="0.2">
      <c r="A1282" s="277">
        <f t="shared" si="0"/>
        <v>1278</v>
      </c>
      <c r="B1282" s="278">
        <v>44274</v>
      </c>
      <c r="C1282" s="249">
        <v>44197</v>
      </c>
      <c r="D1282" s="255" t="s">
        <v>104</v>
      </c>
      <c r="E1282" s="255" t="s">
        <v>104</v>
      </c>
      <c r="F1282" s="251">
        <v>387.5</v>
      </c>
      <c r="G1282" s="250" t="s">
        <v>4000</v>
      </c>
      <c r="H1282" s="255" t="s">
        <v>104</v>
      </c>
      <c r="I1282" s="252" t="s">
        <v>530</v>
      </c>
      <c r="J1282" s="252" t="s">
        <v>114</v>
      </c>
      <c r="K1282" s="252" t="s">
        <v>466</v>
      </c>
      <c r="L1282" s="252" t="s">
        <v>547</v>
      </c>
      <c r="M1282" s="255" t="s">
        <v>114</v>
      </c>
      <c r="N1282" s="278">
        <v>44274</v>
      </c>
      <c r="O1282" s="329" t="s">
        <v>68</v>
      </c>
      <c r="P1282" s="386">
        <f t="shared" ref="P1282:Q1282" si="1279">IF(B1282=0,0,IF(YEAR(B1282)=$Q$1,MONTH(B1282)-$P$1+1,(YEAR(B1282)-$Q$1)*12-$P$1+1+MONTH(B1282)))</f>
        <v>3</v>
      </c>
      <c r="Q1282" s="330">
        <f t="shared" si="1279"/>
        <v>1</v>
      </c>
      <c r="R1282" s="351" t="str">
        <f t="shared" si="3"/>
        <v>Gastos_custeados_por_captação</v>
      </c>
      <c r="S1282" s="351" t="str">
        <f>IF(D1282="","",IF(OR(D1282=Plano!$A$1,D1282=Plano!$B$1),"entrada","saída"))</f>
        <v>saída</v>
      </c>
      <c r="T1282" s="334" t="s">
        <v>114</v>
      </c>
      <c r="U1282" s="334" t="s">
        <v>114</v>
      </c>
      <c r="V1282" s="269"/>
      <c r="W1282" s="269"/>
    </row>
    <row r="1283" spans="1:23" ht="133.5" customHeight="1" x14ac:dyDescent="0.2">
      <c r="A1283" s="277">
        <f t="shared" si="0"/>
        <v>1279</v>
      </c>
      <c r="B1283" s="278">
        <v>44274</v>
      </c>
      <c r="C1283" s="249">
        <v>44228</v>
      </c>
      <c r="D1283" s="255" t="s">
        <v>104</v>
      </c>
      <c r="E1283" s="255" t="s">
        <v>104</v>
      </c>
      <c r="F1283" s="258">
        <v>2231</v>
      </c>
      <c r="G1283" s="255" t="s">
        <v>4001</v>
      </c>
      <c r="H1283" s="255" t="s">
        <v>104</v>
      </c>
      <c r="I1283" s="250" t="s">
        <v>2649</v>
      </c>
      <c r="J1283" s="252" t="s">
        <v>859</v>
      </c>
      <c r="K1283" s="255" t="s">
        <v>1015</v>
      </c>
      <c r="L1283" s="255" t="s">
        <v>1016</v>
      </c>
      <c r="M1283" s="255" t="s">
        <v>1301</v>
      </c>
      <c r="N1283" s="278">
        <v>44273</v>
      </c>
      <c r="O1283" s="329" t="s">
        <v>68</v>
      </c>
      <c r="P1283" s="386">
        <f t="shared" ref="P1283:Q1283" si="1280">IF(B1283=0,0,IF(YEAR(B1283)=$Q$1,MONTH(B1283)-$P$1+1,(YEAR(B1283)-$Q$1)*12-$P$1+1+MONTH(B1283)))</f>
        <v>3</v>
      </c>
      <c r="Q1283" s="330">
        <f t="shared" si="1280"/>
        <v>2</v>
      </c>
      <c r="R1283" s="351" t="str">
        <f t="shared" si="3"/>
        <v>Gastos_custeados_por_captação</v>
      </c>
      <c r="S1283" s="351" t="str">
        <f>IF(D1283="","",IF(OR(D1283=Plano!$A$1,D1283=Plano!$B$1),"entrada","saída"))</f>
        <v>saída</v>
      </c>
      <c r="T1283" s="334" t="s">
        <v>1082</v>
      </c>
      <c r="U1283" s="334">
        <v>1227</v>
      </c>
      <c r="V1283" s="269"/>
      <c r="W1283" s="269"/>
    </row>
    <row r="1284" spans="1:23" ht="69.75" customHeight="1" x14ac:dyDescent="0.2">
      <c r="A1284" s="277">
        <f t="shared" si="0"/>
        <v>1280</v>
      </c>
      <c r="B1284" s="278">
        <v>44277</v>
      </c>
      <c r="C1284" s="249">
        <v>44228</v>
      </c>
      <c r="D1284" s="255" t="s">
        <v>99</v>
      </c>
      <c r="E1284" s="255" t="s">
        <v>224</v>
      </c>
      <c r="F1284" s="258">
        <v>-85.23</v>
      </c>
      <c r="G1284" s="255" t="s">
        <v>4002</v>
      </c>
      <c r="H1284" s="255" t="s">
        <v>115</v>
      </c>
      <c r="I1284" s="250" t="s">
        <v>983</v>
      </c>
      <c r="J1284" s="255" t="s">
        <v>850</v>
      </c>
      <c r="K1284" s="255" t="s">
        <v>946</v>
      </c>
      <c r="L1284" s="250" t="s">
        <v>947</v>
      </c>
      <c r="M1284" s="255" t="s">
        <v>114</v>
      </c>
      <c r="N1284" s="278">
        <v>44277</v>
      </c>
      <c r="O1284" s="329" t="s">
        <v>67</v>
      </c>
      <c r="P1284" s="386">
        <f t="shared" ref="P1284:Q1284" si="1281">IF(B1284=0,0,IF(YEAR(B1284)=$Q$1,MONTH(B1284)-$P$1+1,(YEAR(B1284)-$Q$1)*12-$P$1+1+MONTH(B1284)))</f>
        <v>3</v>
      </c>
      <c r="Q1284" s="330">
        <f t="shared" si="1281"/>
        <v>2</v>
      </c>
      <c r="R1284" s="351" t="str">
        <f t="shared" si="3"/>
        <v>Gastos_Gerais</v>
      </c>
      <c r="S1284" s="351" t="str">
        <f>IF(D1284="","",IF(OR(D1284=Plano!$A$1,D1284=Plano!$B$1),"entrada","saída"))</f>
        <v>saída</v>
      </c>
      <c r="T1284" s="334" t="s">
        <v>114</v>
      </c>
      <c r="U1284" s="334" t="s">
        <v>114</v>
      </c>
      <c r="V1284" s="269"/>
      <c r="W1284" s="269"/>
    </row>
    <row r="1285" spans="1:23" ht="120" customHeight="1" x14ac:dyDescent="0.2">
      <c r="A1285" s="277">
        <f t="shared" si="0"/>
        <v>1281</v>
      </c>
      <c r="B1285" s="278">
        <v>44277</v>
      </c>
      <c r="C1285" s="249">
        <v>44228</v>
      </c>
      <c r="D1285" s="255" t="s">
        <v>99</v>
      </c>
      <c r="E1285" s="255" t="s">
        <v>244</v>
      </c>
      <c r="F1285" s="258">
        <v>300.20999999999998</v>
      </c>
      <c r="G1285" s="255" t="s">
        <v>3046</v>
      </c>
      <c r="H1285" s="255" t="s">
        <v>125</v>
      </c>
      <c r="I1285" s="252" t="s">
        <v>3047</v>
      </c>
      <c r="J1285" s="252" t="s">
        <v>3048</v>
      </c>
      <c r="K1285" s="255" t="s">
        <v>560</v>
      </c>
      <c r="L1285" s="250" t="s">
        <v>1016</v>
      </c>
      <c r="M1285" s="255" t="s">
        <v>4003</v>
      </c>
      <c r="N1285" s="278">
        <v>44258</v>
      </c>
      <c r="O1285" s="329" t="s">
        <v>67</v>
      </c>
      <c r="P1285" s="386">
        <f t="shared" ref="P1285:Q1285" si="1282">IF(B1285=0,0,IF(YEAR(B1285)=$Q$1,MONTH(B1285)-$P$1+1,(YEAR(B1285)-$Q$1)*12-$P$1+1+MONTH(B1285)))</f>
        <v>3</v>
      </c>
      <c r="Q1285" s="330">
        <f t="shared" si="1282"/>
        <v>2</v>
      </c>
      <c r="R1285" s="351" t="str">
        <f t="shared" si="3"/>
        <v>Gastos_Gerais</v>
      </c>
      <c r="S1285" s="351" t="str">
        <f>IF(D1285="","",IF(OR(D1285=Plano!$A$1,D1285=Plano!$B$1),"entrada","saída"))</f>
        <v>saída</v>
      </c>
      <c r="T1285" s="334" t="s">
        <v>1059</v>
      </c>
      <c r="U1285" s="334">
        <v>469</v>
      </c>
      <c r="V1285" s="269"/>
      <c r="W1285" s="269"/>
    </row>
    <row r="1286" spans="1:23" ht="138.75" customHeight="1" x14ac:dyDescent="0.2">
      <c r="A1286" s="277">
        <f t="shared" si="0"/>
        <v>1282</v>
      </c>
      <c r="B1286" s="278">
        <v>44277</v>
      </c>
      <c r="C1286" s="249">
        <v>44228</v>
      </c>
      <c r="D1286" s="255" t="s">
        <v>99</v>
      </c>
      <c r="E1286" s="255" t="s">
        <v>226</v>
      </c>
      <c r="F1286" s="258">
        <v>663.92</v>
      </c>
      <c r="G1286" s="255" t="s">
        <v>4004</v>
      </c>
      <c r="H1286" s="255" t="s">
        <v>128</v>
      </c>
      <c r="I1286" s="252" t="s">
        <v>3047</v>
      </c>
      <c r="J1286" s="252" t="s">
        <v>3050</v>
      </c>
      <c r="K1286" s="255" t="s">
        <v>560</v>
      </c>
      <c r="L1286" s="250" t="s">
        <v>1016</v>
      </c>
      <c r="M1286" s="255" t="s">
        <v>4005</v>
      </c>
      <c r="N1286" s="278">
        <v>44258</v>
      </c>
      <c r="O1286" s="329" t="s">
        <v>67</v>
      </c>
      <c r="P1286" s="386">
        <f t="shared" ref="P1286:Q1286" si="1283">IF(B1286=0,0,IF(YEAR(B1286)=$Q$1,MONTH(B1286)-$P$1+1,(YEAR(B1286)-$Q$1)*12-$P$1+1+MONTH(B1286)))</f>
        <v>3</v>
      </c>
      <c r="Q1286" s="330">
        <f t="shared" si="1283"/>
        <v>2</v>
      </c>
      <c r="R1286" s="351" t="str">
        <f t="shared" si="3"/>
        <v>Gastos_Gerais</v>
      </c>
      <c r="S1286" s="351" t="str">
        <f>IF(D1286="","",IF(OR(D1286=Plano!$A$1,D1286=Plano!$B$1),"entrada","saída"))</f>
        <v>saída</v>
      </c>
      <c r="T1286" s="334" t="s">
        <v>1059</v>
      </c>
      <c r="U1286" s="334">
        <v>134</v>
      </c>
      <c r="V1286" s="269"/>
      <c r="W1286" s="269"/>
    </row>
    <row r="1287" spans="1:23" ht="120" customHeight="1" x14ac:dyDescent="0.2">
      <c r="A1287" s="277">
        <f t="shared" si="0"/>
        <v>1283</v>
      </c>
      <c r="B1287" s="278">
        <v>44277</v>
      </c>
      <c r="C1287" s="249">
        <v>44228</v>
      </c>
      <c r="D1287" s="255" t="s">
        <v>99</v>
      </c>
      <c r="E1287" s="255" t="s">
        <v>226</v>
      </c>
      <c r="F1287" s="258">
        <v>1154.6400000000001</v>
      </c>
      <c r="G1287" s="255" t="s">
        <v>4006</v>
      </c>
      <c r="H1287" s="255" t="s">
        <v>128</v>
      </c>
      <c r="I1287" s="252" t="s">
        <v>3047</v>
      </c>
      <c r="J1287" s="252" t="s">
        <v>3050</v>
      </c>
      <c r="K1287" s="255" t="s">
        <v>560</v>
      </c>
      <c r="L1287" s="250" t="s">
        <v>1016</v>
      </c>
      <c r="M1287" s="255" t="s">
        <v>4007</v>
      </c>
      <c r="N1287" s="278">
        <v>44258</v>
      </c>
      <c r="O1287" s="329" t="s">
        <v>67</v>
      </c>
      <c r="P1287" s="386">
        <f t="shared" ref="P1287:Q1287" si="1284">IF(B1287=0,0,IF(YEAR(B1287)=$Q$1,MONTH(B1287)-$P$1+1,(YEAR(B1287)-$Q$1)*12-$P$1+1+MONTH(B1287)))</f>
        <v>3</v>
      </c>
      <c r="Q1287" s="330">
        <f t="shared" si="1284"/>
        <v>2</v>
      </c>
      <c r="R1287" s="351" t="str">
        <f t="shared" si="3"/>
        <v>Gastos_Gerais</v>
      </c>
      <c r="S1287" s="351" t="str">
        <f>IF(D1287="","",IF(OR(D1287=Plano!$A$1,D1287=Plano!$B$1),"entrada","saída"))</f>
        <v>saída</v>
      </c>
      <c r="T1287" s="334" t="s">
        <v>1059</v>
      </c>
      <c r="U1287" s="334">
        <v>135</v>
      </c>
      <c r="V1287" s="269"/>
      <c r="W1287" s="269"/>
    </row>
    <row r="1288" spans="1:23" ht="196.5" customHeight="1" x14ac:dyDescent="0.2">
      <c r="A1288" s="277">
        <f t="shared" si="0"/>
        <v>1284</v>
      </c>
      <c r="B1288" s="278">
        <v>44277</v>
      </c>
      <c r="C1288" s="249">
        <v>44228</v>
      </c>
      <c r="D1288" s="255" t="s">
        <v>99</v>
      </c>
      <c r="E1288" s="255" t="s">
        <v>244</v>
      </c>
      <c r="F1288" s="258">
        <v>481.1</v>
      </c>
      <c r="G1288" s="255" t="s">
        <v>3049</v>
      </c>
      <c r="H1288" s="255" t="s">
        <v>122</v>
      </c>
      <c r="I1288" s="252" t="s">
        <v>3047</v>
      </c>
      <c r="J1288" s="252" t="s">
        <v>3050</v>
      </c>
      <c r="K1288" s="255" t="s">
        <v>560</v>
      </c>
      <c r="L1288" s="250" t="s">
        <v>1016</v>
      </c>
      <c r="M1288" s="255" t="s">
        <v>4008</v>
      </c>
      <c r="N1288" s="278">
        <v>44258</v>
      </c>
      <c r="O1288" s="329" t="s">
        <v>67</v>
      </c>
      <c r="P1288" s="386">
        <f t="shared" ref="P1288:Q1288" si="1285">IF(B1288=0,0,IF(YEAR(B1288)=$Q$1,MONTH(B1288)-$P$1+1,(YEAR(B1288)-$Q$1)*12-$P$1+1+MONTH(B1288)))</f>
        <v>3</v>
      </c>
      <c r="Q1288" s="330">
        <f t="shared" si="1285"/>
        <v>2</v>
      </c>
      <c r="R1288" s="351" t="str">
        <f t="shared" si="3"/>
        <v>Gastos_Gerais</v>
      </c>
      <c r="S1288" s="351" t="str">
        <f>IF(D1288="","",IF(OR(D1288=Plano!$A$1,D1288=Plano!$B$1),"entrada","saída"))</f>
        <v>saída</v>
      </c>
      <c r="T1288" s="334" t="s">
        <v>1059</v>
      </c>
      <c r="U1288" s="334">
        <v>300</v>
      </c>
      <c r="V1288" s="269"/>
      <c r="W1288" s="269"/>
    </row>
    <row r="1289" spans="1:23" ht="69.75" customHeight="1" x14ac:dyDescent="0.2">
      <c r="A1289" s="277">
        <f t="shared" si="0"/>
        <v>1285</v>
      </c>
      <c r="B1289" s="278">
        <v>44277</v>
      </c>
      <c r="C1289" s="249">
        <v>44228</v>
      </c>
      <c r="D1289" s="255" t="s">
        <v>99</v>
      </c>
      <c r="E1289" s="255" t="s">
        <v>224</v>
      </c>
      <c r="F1289" s="258">
        <v>322.70999999999998</v>
      </c>
      <c r="G1289" s="255" t="s">
        <v>4009</v>
      </c>
      <c r="H1289" s="255" t="s">
        <v>115</v>
      </c>
      <c r="I1289" s="252" t="s">
        <v>522</v>
      </c>
      <c r="J1289" s="252" t="s">
        <v>523</v>
      </c>
      <c r="K1289" s="255" t="s">
        <v>1375</v>
      </c>
      <c r="L1289" s="250" t="s">
        <v>697</v>
      </c>
      <c r="M1289" s="252" t="s">
        <v>4010</v>
      </c>
      <c r="N1289" s="278">
        <v>44256</v>
      </c>
      <c r="O1289" s="329" t="s">
        <v>67</v>
      </c>
      <c r="P1289" s="386">
        <f t="shared" ref="P1289:Q1289" si="1286">IF(B1289=0,0,IF(YEAR(B1289)=$Q$1,MONTH(B1289)-$P$1+1,(YEAR(B1289)-$Q$1)*12-$P$1+1+MONTH(B1289)))</f>
        <v>3</v>
      </c>
      <c r="Q1289" s="330">
        <f t="shared" si="1286"/>
        <v>2</v>
      </c>
      <c r="R1289" s="351" t="str">
        <f t="shared" si="3"/>
        <v>Gastos_Gerais</v>
      </c>
      <c r="S1289" s="351" t="str">
        <f>IF(D1289="","",IF(OR(D1289=Plano!$A$1,D1289=Plano!$B$1),"entrada","saída"))</f>
        <v>saída</v>
      </c>
      <c r="T1289" s="334" t="s">
        <v>114</v>
      </c>
      <c r="U1289" s="334" t="s">
        <v>114</v>
      </c>
      <c r="V1289" s="269"/>
      <c r="W1289" s="269"/>
    </row>
    <row r="1290" spans="1:23" ht="69.75" customHeight="1" x14ac:dyDescent="0.2">
      <c r="A1290" s="277">
        <f t="shared" si="0"/>
        <v>1286</v>
      </c>
      <c r="B1290" s="278">
        <v>44278</v>
      </c>
      <c r="C1290" s="256">
        <v>44256</v>
      </c>
      <c r="D1290" s="255" t="s">
        <v>99</v>
      </c>
      <c r="E1290" s="255" t="s">
        <v>216</v>
      </c>
      <c r="F1290" s="258">
        <v>117.41</v>
      </c>
      <c r="G1290" s="255" t="s">
        <v>4011</v>
      </c>
      <c r="H1290" s="255" t="s">
        <v>129</v>
      </c>
      <c r="I1290" s="250" t="s">
        <v>513</v>
      </c>
      <c r="J1290" s="252" t="s">
        <v>514</v>
      </c>
      <c r="K1290" s="255" t="s">
        <v>696</v>
      </c>
      <c r="L1290" s="250" t="s">
        <v>697</v>
      </c>
      <c r="M1290" s="255" t="s">
        <v>114</v>
      </c>
      <c r="N1290" s="278">
        <v>44272</v>
      </c>
      <c r="O1290" s="329" t="s">
        <v>67</v>
      </c>
      <c r="P1290" s="386">
        <f t="shared" ref="P1290:Q1290" si="1287">IF(B1290=0,0,IF(YEAR(B1290)=$Q$1,MONTH(B1290)-$P$1+1,(YEAR(B1290)-$Q$1)*12-$P$1+1+MONTH(B1290)))</f>
        <v>3</v>
      </c>
      <c r="Q1290" s="330">
        <f t="shared" si="1287"/>
        <v>3</v>
      </c>
      <c r="R1290" s="351" t="str">
        <f t="shared" si="3"/>
        <v>Gastos_Gerais</v>
      </c>
      <c r="S1290" s="351" t="str">
        <f>IF(D1290="","",IF(OR(D1290=Plano!$A$1,D1290=Plano!$B$1),"entrada","saída"))</f>
        <v>saída</v>
      </c>
      <c r="T1290" s="334" t="s">
        <v>114</v>
      </c>
      <c r="U1290" s="334" t="s">
        <v>114</v>
      </c>
      <c r="V1290" s="269"/>
      <c r="W1290" s="269"/>
    </row>
    <row r="1291" spans="1:23" ht="69.75" customHeight="1" x14ac:dyDescent="0.2">
      <c r="A1291" s="277">
        <f t="shared" si="0"/>
        <v>1287</v>
      </c>
      <c r="B1291" s="278">
        <v>44279</v>
      </c>
      <c r="C1291" s="256">
        <v>44256</v>
      </c>
      <c r="D1291" s="255" t="s">
        <v>88</v>
      </c>
      <c r="E1291" s="255" t="s">
        <v>192</v>
      </c>
      <c r="F1291" s="258">
        <v>109.03</v>
      </c>
      <c r="G1291" s="252" t="s">
        <v>4012</v>
      </c>
      <c r="H1291" s="255" t="s">
        <v>114</v>
      </c>
      <c r="I1291" s="252" t="s">
        <v>1032</v>
      </c>
      <c r="J1291" s="252" t="s">
        <v>1033</v>
      </c>
      <c r="K1291" s="255" t="s">
        <v>560</v>
      </c>
      <c r="L1291" s="252" t="s">
        <v>1016</v>
      </c>
      <c r="M1291" s="255" t="s">
        <v>4013</v>
      </c>
      <c r="N1291" s="278">
        <v>44281</v>
      </c>
      <c r="O1291" s="329" t="s">
        <v>67</v>
      </c>
      <c r="P1291" s="386">
        <f t="shared" ref="P1291:Q1291" si="1288">IF(B1291=0,0,IF(YEAR(B1291)=$Q$1,MONTH(B1291)-$P$1+1,(YEAR(B1291)-$Q$1)*12-$P$1+1+MONTH(B1291)))</f>
        <v>3</v>
      </c>
      <c r="Q1291" s="330">
        <f t="shared" si="1288"/>
        <v>3</v>
      </c>
      <c r="R1291" s="351" t="str">
        <f t="shared" si="3"/>
        <v>Gastos_com_Pessoal</v>
      </c>
      <c r="S1291" s="351" t="str">
        <f>IF(D1291="","",IF(OR(D1291=Plano!$A$1,D1291=Plano!$B$1),"entrada","saída"))</f>
        <v>saída</v>
      </c>
      <c r="T1291" s="334" t="s">
        <v>114</v>
      </c>
      <c r="U1291" s="334" t="s">
        <v>114</v>
      </c>
      <c r="V1291" s="269"/>
      <c r="W1291" s="269"/>
    </row>
    <row r="1292" spans="1:23" ht="95.25" customHeight="1" x14ac:dyDescent="0.2">
      <c r="A1292" s="277">
        <f t="shared" si="0"/>
        <v>1288</v>
      </c>
      <c r="B1292" s="278">
        <v>44279</v>
      </c>
      <c r="C1292" s="256">
        <v>44228</v>
      </c>
      <c r="D1292" s="255" t="s">
        <v>104</v>
      </c>
      <c r="E1292" s="255" t="s">
        <v>104</v>
      </c>
      <c r="F1292" s="258">
        <v>500</v>
      </c>
      <c r="G1292" s="252" t="s">
        <v>4014</v>
      </c>
      <c r="H1292" s="255" t="s">
        <v>104</v>
      </c>
      <c r="I1292" s="252" t="s">
        <v>4015</v>
      </c>
      <c r="J1292" s="252" t="s">
        <v>4016</v>
      </c>
      <c r="K1292" s="255" t="s">
        <v>1015</v>
      </c>
      <c r="L1292" s="252" t="s">
        <v>1016</v>
      </c>
      <c r="M1292" s="255">
        <v>82</v>
      </c>
      <c r="N1292" s="278">
        <v>44278</v>
      </c>
      <c r="O1292" s="329" t="s">
        <v>69</v>
      </c>
      <c r="P1292" s="386">
        <f t="shared" ref="P1292:Q1292" si="1289">IF(B1292=0,0,IF(YEAR(B1292)=$Q$1,MONTH(B1292)-$P$1+1,(YEAR(B1292)-$Q$1)*12-$P$1+1+MONTH(B1292)))</f>
        <v>3</v>
      </c>
      <c r="Q1292" s="330">
        <f t="shared" si="1289"/>
        <v>2</v>
      </c>
      <c r="R1292" s="351" t="str">
        <f t="shared" si="3"/>
        <v>Gastos_custeados_por_captação</v>
      </c>
      <c r="S1292" s="351" t="str">
        <f>IF(D1292="","",IF(OR(D1292=Plano!$A$1,D1292=Plano!$B$1),"entrada","saída"))</f>
        <v>saída</v>
      </c>
      <c r="T1292" s="334" t="s">
        <v>994</v>
      </c>
      <c r="U1292" s="334">
        <v>1353</v>
      </c>
      <c r="V1292" s="269"/>
      <c r="W1292" s="269"/>
    </row>
    <row r="1293" spans="1:23" ht="157.5" customHeight="1" x14ac:dyDescent="0.2">
      <c r="A1293" s="277">
        <f t="shared" si="0"/>
        <v>1289</v>
      </c>
      <c r="B1293" s="278">
        <v>44279</v>
      </c>
      <c r="C1293" s="256">
        <v>44256</v>
      </c>
      <c r="D1293" s="255" t="s">
        <v>104</v>
      </c>
      <c r="E1293" s="255" t="s">
        <v>104</v>
      </c>
      <c r="F1293" s="258">
        <v>1400</v>
      </c>
      <c r="G1293" s="252" t="s">
        <v>4017</v>
      </c>
      <c r="H1293" s="255" t="s">
        <v>104</v>
      </c>
      <c r="I1293" s="252" t="s">
        <v>1726</v>
      </c>
      <c r="J1293" s="252" t="s">
        <v>601</v>
      </c>
      <c r="K1293" s="255" t="s">
        <v>1015</v>
      </c>
      <c r="L1293" s="252" t="s">
        <v>1016</v>
      </c>
      <c r="M1293" s="255">
        <v>320</v>
      </c>
      <c r="N1293" s="278">
        <v>44277</v>
      </c>
      <c r="O1293" s="329" t="s">
        <v>69</v>
      </c>
      <c r="P1293" s="386">
        <f t="shared" ref="P1293:Q1293" si="1290">IF(B1293=0,0,IF(YEAR(B1293)=$Q$1,MONTH(B1293)-$P$1+1,(YEAR(B1293)-$Q$1)*12-$P$1+1+MONTH(B1293)))</f>
        <v>3</v>
      </c>
      <c r="Q1293" s="330">
        <f t="shared" si="1290"/>
        <v>3</v>
      </c>
      <c r="R1293" s="351" t="str">
        <f t="shared" si="3"/>
        <v>Gastos_custeados_por_captação</v>
      </c>
      <c r="S1293" s="351" t="str">
        <f>IF(D1293="","",IF(OR(D1293=Plano!$A$1,D1293=Plano!$B$1),"entrada","saída"))</f>
        <v>saída</v>
      </c>
      <c r="T1293" s="334" t="s">
        <v>1082</v>
      </c>
      <c r="U1293" s="334">
        <v>1429</v>
      </c>
      <c r="V1293" s="269"/>
      <c r="W1293" s="269"/>
    </row>
    <row r="1294" spans="1:23" ht="180" customHeight="1" x14ac:dyDescent="0.2">
      <c r="A1294" s="277">
        <f t="shared" si="0"/>
        <v>1290</v>
      </c>
      <c r="B1294" s="278">
        <v>44279</v>
      </c>
      <c r="C1294" s="249">
        <v>44228</v>
      </c>
      <c r="D1294" s="255" t="s">
        <v>104</v>
      </c>
      <c r="E1294" s="255" t="s">
        <v>104</v>
      </c>
      <c r="F1294" s="251">
        <v>2300</v>
      </c>
      <c r="G1294" s="255" t="s">
        <v>3679</v>
      </c>
      <c r="H1294" s="255" t="s">
        <v>104</v>
      </c>
      <c r="I1294" s="252" t="s">
        <v>1633</v>
      </c>
      <c r="J1294" s="252" t="s">
        <v>1634</v>
      </c>
      <c r="K1294" s="255" t="s">
        <v>1015</v>
      </c>
      <c r="L1294" s="252" t="s">
        <v>1016</v>
      </c>
      <c r="M1294" s="255" t="s">
        <v>1017</v>
      </c>
      <c r="N1294" s="278">
        <v>44278</v>
      </c>
      <c r="O1294" s="329" t="s">
        <v>68</v>
      </c>
      <c r="P1294" s="386">
        <f t="shared" ref="P1294:Q1294" si="1291">IF(B1294=0,0,IF(YEAR(B1294)=$Q$1,MONTH(B1294)-$P$1+1,(YEAR(B1294)-$Q$1)*12-$P$1+1+MONTH(B1294)))</f>
        <v>3</v>
      </c>
      <c r="Q1294" s="330">
        <f t="shared" si="1291"/>
        <v>2</v>
      </c>
      <c r="R1294" s="351" t="str">
        <f t="shared" si="3"/>
        <v>Gastos_custeados_por_captação</v>
      </c>
      <c r="S1294" s="351" t="str">
        <f>IF(D1294="","",IF(OR(D1294=Plano!$A$1,D1294=Plano!$B$1),"entrada","saída"))</f>
        <v>saída</v>
      </c>
      <c r="T1294" s="334" t="s">
        <v>1082</v>
      </c>
      <c r="U1294" s="334">
        <v>1194</v>
      </c>
      <c r="V1294" s="269"/>
      <c r="W1294" s="269"/>
    </row>
    <row r="1295" spans="1:23" ht="69.75" customHeight="1" x14ac:dyDescent="0.2">
      <c r="A1295" s="277">
        <f t="shared" si="0"/>
        <v>1291</v>
      </c>
      <c r="B1295" s="278">
        <v>44280</v>
      </c>
      <c r="C1295" s="256">
        <v>44228</v>
      </c>
      <c r="D1295" s="255" t="s">
        <v>99</v>
      </c>
      <c r="E1295" s="255" t="s">
        <v>254</v>
      </c>
      <c r="F1295" s="258">
        <v>-114.88</v>
      </c>
      <c r="G1295" s="255" t="s">
        <v>4018</v>
      </c>
      <c r="H1295" s="255" t="s">
        <v>115</v>
      </c>
      <c r="I1295" s="250" t="s">
        <v>983</v>
      </c>
      <c r="J1295" s="255" t="s">
        <v>850</v>
      </c>
      <c r="K1295" s="255" t="s">
        <v>1069</v>
      </c>
      <c r="L1295" s="250" t="s">
        <v>947</v>
      </c>
      <c r="M1295" s="255" t="s">
        <v>114</v>
      </c>
      <c r="N1295" s="278">
        <v>44280</v>
      </c>
      <c r="O1295" s="329" t="s">
        <v>67</v>
      </c>
      <c r="P1295" s="386">
        <f t="shared" ref="P1295:Q1295" si="1292">IF(B1295=0,0,IF(YEAR(B1295)=$Q$1,MONTH(B1295)-$P$1+1,(YEAR(B1295)-$Q$1)*12-$P$1+1+MONTH(B1295)))</f>
        <v>3</v>
      </c>
      <c r="Q1295" s="330">
        <f t="shared" si="1292"/>
        <v>2</v>
      </c>
      <c r="R1295" s="351" t="str">
        <f t="shared" si="3"/>
        <v>Gastos_Gerais</v>
      </c>
      <c r="S1295" s="351" t="str">
        <f>IF(D1295="","",IF(OR(D1295=Plano!$A$1,D1295=Plano!$B$1),"entrada","saída"))</f>
        <v>saída</v>
      </c>
      <c r="T1295" s="334" t="s">
        <v>114</v>
      </c>
      <c r="U1295" s="334" t="s">
        <v>114</v>
      </c>
      <c r="V1295" s="269"/>
      <c r="W1295" s="269"/>
    </row>
    <row r="1296" spans="1:23" ht="69.75" customHeight="1" x14ac:dyDescent="0.2">
      <c r="A1296" s="277">
        <f t="shared" si="0"/>
        <v>1292</v>
      </c>
      <c r="B1296" s="278">
        <v>44280</v>
      </c>
      <c r="C1296" s="256">
        <v>44228</v>
      </c>
      <c r="D1296" s="255" t="s">
        <v>99</v>
      </c>
      <c r="E1296" s="255" t="s">
        <v>222</v>
      </c>
      <c r="F1296" s="258">
        <v>-204.23</v>
      </c>
      <c r="G1296" s="255" t="s">
        <v>4019</v>
      </c>
      <c r="H1296" s="255" t="s">
        <v>115</v>
      </c>
      <c r="I1296" s="250" t="s">
        <v>983</v>
      </c>
      <c r="J1296" s="255" t="s">
        <v>850</v>
      </c>
      <c r="K1296" s="255" t="s">
        <v>1069</v>
      </c>
      <c r="L1296" s="250" t="s">
        <v>947</v>
      </c>
      <c r="M1296" s="255" t="s">
        <v>114</v>
      </c>
      <c r="N1296" s="278">
        <v>44280</v>
      </c>
      <c r="O1296" s="329" t="s">
        <v>67</v>
      </c>
      <c r="P1296" s="386">
        <f t="shared" ref="P1296:Q1296" si="1293">IF(B1296=0,0,IF(YEAR(B1296)=$Q$1,MONTH(B1296)-$P$1+1,(YEAR(B1296)-$Q$1)*12-$P$1+1+MONTH(B1296)))</f>
        <v>3</v>
      </c>
      <c r="Q1296" s="330">
        <f t="shared" si="1293"/>
        <v>2</v>
      </c>
      <c r="R1296" s="351" t="str">
        <f t="shared" si="3"/>
        <v>Gastos_Gerais</v>
      </c>
      <c r="S1296" s="351" t="str">
        <f>IF(D1296="","",IF(OR(D1296=Plano!$A$1,D1296=Plano!$B$1),"entrada","saída"))</f>
        <v>saída</v>
      </c>
      <c r="T1296" s="334" t="s">
        <v>114</v>
      </c>
      <c r="U1296" s="334" t="s">
        <v>114</v>
      </c>
      <c r="V1296" s="269"/>
      <c r="W1296" s="269"/>
    </row>
    <row r="1297" spans="1:23" ht="69.75" customHeight="1" x14ac:dyDescent="0.2">
      <c r="A1297" s="277">
        <f t="shared" si="0"/>
        <v>1293</v>
      </c>
      <c r="B1297" s="278">
        <v>44280</v>
      </c>
      <c r="C1297" s="249">
        <v>44228</v>
      </c>
      <c r="D1297" s="255" t="s">
        <v>99</v>
      </c>
      <c r="E1297" s="255" t="s">
        <v>224</v>
      </c>
      <c r="F1297" s="258">
        <v>74.34</v>
      </c>
      <c r="G1297" s="255" t="s">
        <v>4020</v>
      </c>
      <c r="H1297" s="255" t="s">
        <v>115</v>
      </c>
      <c r="I1297" s="252" t="s">
        <v>522</v>
      </c>
      <c r="J1297" s="252" t="s">
        <v>523</v>
      </c>
      <c r="K1297" s="255" t="s">
        <v>1375</v>
      </c>
      <c r="L1297" s="250" t="s">
        <v>697</v>
      </c>
      <c r="M1297" s="255" t="s">
        <v>114</v>
      </c>
      <c r="N1297" s="278">
        <v>44258</v>
      </c>
      <c r="O1297" s="329" t="s">
        <v>67</v>
      </c>
      <c r="P1297" s="386">
        <f t="shared" ref="P1297:Q1297" si="1294">IF(B1297=0,0,IF(YEAR(B1297)=$Q$1,MONTH(B1297)-$P$1+1,(YEAR(B1297)-$Q$1)*12-$P$1+1+MONTH(B1297)))</f>
        <v>3</v>
      </c>
      <c r="Q1297" s="330">
        <f t="shared" si="1294"/>
        <v>2</v>
      </c>
      <c r="R1297" s="351" t="str">
        <f t="shared" si="3"/>
        <v>Gastos_Gerais</v>
      </c>
      <c r="S1297" s="351" t="str">
        <f>IF(D1297="","",IF(OR(D1297=Plano!$A$1,D1297=Plano!$B$1),"entrada","saída"))</f>
        <v>saída</v>
      </c>
      <c r="T1297" s="334" t="s">
        <v>114</v>
      </c>
      <c r="U1297" s="334" t="s">
        <v>114</v>
      </c>
      <c r="V1297" s="269"/>
      <c r="W1297" s="269"/>
    </row>
    <row r="1298" spans="1:23" ht="69.75" customHeight="1" x14ac:dyDescent="0.2">
      <c r="A1298" s="277">
        <f t="shared" si="0"/>
        <v>1294</v>
      </c>
      <c r="B1298" s="278">
        <v>44280</v>
      </c>
      <c r="C1298" s="256">
        <v>44228</v>
      </c>
      <c r="D1298" s="255" t="s">
        <v>99</v>
      </c>
      <c r="E1298" s="255" t="s">
        <v>222</v>
      </c>
      <c r="F1298" s="258">
        <v>773.3</v>
      </c>
      <c r="G1298" s="255" t="s">
        <v>4021</v>
      </c>
      <c r="H1298" s="255" t="s">
        <v>115</v>
      </c>
      <c r="I1298" s="250" t="s">
        <v>525</v>
      </c>
      <c r="J1298" s="255" t="s">
        <v>1568</v>
      </c>
      <c r="K1298" s="255" t="s">
        <v>1375</v>
      </c>
      <c r="L1298" s="250" t="s">
        <v>697</v>
      </c>
      <c r="M1298" s="255">
        <v>4444476514</v>
      </c>
      <c r="N1298" s="278">
        <v>44262</v>
      </c>
      <c r="O1298" s="329" t="s">
        <v>67</v>
      </c>
      <c r="P1298" s="386">
        <f t="shared" ref="P1298:Q1298" si="1295">IF(B1298=0,0,IF(YEAR(B1298)=$Q$1,MONTH(B1298)-$P$1+1,(YEAR(B1298)-$Q$1)*12-$P$1+1+MONTH(B1298)))</f>
        <v>3</v>
      </c>
      <c r="Q1298" s="330">
        <f t="shared" si="1295"/>
        <v>2</v>
      </c>
      <c r="R1298" s="351" t="str">
        <f t="shared" si="3"/>
        <v>Gastos_Gerais</v>
      </c>
      <c r="S1298" s="351" t="str">
        <f>IF(D1298="","",IF(OR(D1298=Plano!$A$1,D1298=Plano!$B$1),"entrada","saída"))</f>
        <v>saída</v>
      </c>
      <c r="T1298" s="334" t="s">
        <v>114</v>
      </c>
      <c r="U1298" s="334" t="s">
        <v>114</v>
      </c>
      <c r="V1298" s="269"/>
      <c r="W1298" s="269"/>
    </row>
    <row r="1299" spans="1:23" ht="163.5" customHeight="1" x14ac:dyDescent="0.2">
      <c r="A1299" s="277">
        <f t="shared" si="0"/>
        <v>1295</v>
      </c>
      <c r="B1299" s="278">
        <v>44280</v>
      </c>
      <c r="C1299" s="256">
        <v>44228</v>
      </c>
      <c r="D1299" s="255" t="s">
        <v>99</v>
      </c>
      <c r="E1299" s="255" t="s">
        <v>254</v>
      </c>
      <c r="F1299" s="258">
        <v>435</v>
      </c>
      <c r="G1299" s="255" t="s">
        <v>445</v>
      </c>
      <c r="H1299" s="255" t="s">
        <v>115</v>
      </c>
      <c r="I1299" s="252" t="s">
        <v>1573</v>
      </c>
      <c r="J1299" s="255" t="s">
        <v>1574</v>
      </c>
      <c r="K1299" s="255" t="s">
        <v>991</v>
      </c>
      <c r="L1299" s="250" t="s">
        <v>3193</v>
      </c>
      <c r="M1299" s="255">
        <v>21139</v>
      </c>
      <c r="N1299" s="278">
        <v>44266</v>
      </c>
      <c r="O1299" s="329" t="s">
        <v>67</v>
      </c>
      <c r="P1299" s="386">
        <f t="shared" ref="P1299:Q1299" si="1296">IF(B1299=0,0,IF(YEAR(B1299)=$Q$1,MONTH(B1299)-$P$1+1,(YEAR(B1299)-$Q$1)*12-$P$1+1+MONTH(B1299)))</f>
        <v>3</v>
      </c>
      <c r="Q1299" s="330">
        <f t="shared" si="1296"/>
        <v>2</v>
      </c>
      <c r="R1299" s="351" t="str">
        <f t="shared" si="3"/>
        <v>Gastos_Gerais</v>
      </c>
      <c r="S1299" s="351" t="str">
        <f>IF(D1299="","",IF(OR(D1299=Plano!$A$1,D1299=Plano!$B$1),"entrada","saída"))</f>
        <v>saída</v>
      </c>
      <c r="T1299" s="334" t="s">
        <v>1059</v>
      </c>
      <c r="U1299" s="334">
        <v>1117</v>
      </c>
      <c r="V1299" s="269"/>
      <c r="W1299" s="269"/>
    </row>
    <row r="1300" spans="1:23" ht="69.75" customHeight="1" x14ac:dyDescent="0.2">
      <c r="A1300" s="277">
        <f t="shared" si="0"/>
        <v>1296</v>
      </c>
      <c r="B1300" s="278">
        <v>44280</v>
      </c>
      <c r="C1300" s="256">
        <v>44228</v>
      </c>
      <c r="D1300" s="255" t="s">
        <v>88</v>
      </c>
      <c r="E1300" s="255" t="s">
        <v>169</v>
      </c>
      <c r="F1300" s="258">
        <v>898.61</v>
      </c>
      <c r="G1300" s="255" t="s">
        <v>4022</v>
      </c>
      <c r="H1300" s="255" t="s">
        <v>114</v>
      </c>
      <c r="I1300" s="250" t="s">
        <v>488</v>
      </c>
      <c r="J1300" s="255" t="s">
        <v>114</v>
      </c>
      <c r="K1300" s="255" t="s">
        <v>466</v>
      </c>
      <c r="L1300" s="250" t="s">
        <v>489</v>
      </c>
      <c r="M1300" s="255" t="s">
        <v>114</v>
      </c>
      <c r="N1300" s="278">
        <v>44255</v>
      </c>
      <c r="O1300" s="329" t="s">
        <v>67</v>
      </c>
      <c r="P1300" s="386">
        <f t="shared" ref="P1300:Q1300" si="1297">IF(B1300=0,0,IF(YEAR(B1300)=$Q$1,MONTH(B1300)-$P$1+1,(YEAR(B1300)-$Q$1)*12-$P$1+1+MONTH(B1300)))</f>
        <v>3</v>
      </c>
      <c r="Q1300" s="330">
        <f t="shared" si="1297"/>
        <v>2</v>
      </c>
      <c r="R1300" s="351" t="str">
        <f t="shared" si="3"/>
        <v>Gastos_com_Pessoal</v>
      </c>
      <c r="S1300" s="351" t="str">
        <f>IF(D1300="","",IF(OR(D1300=Plano!$A$1,D1300=Plano!$B$1),"entrada","saída"))</f>
        <v>saída</v>
      </c>
      <c r="T1300" s="334" t="s">
        <v>114</v>
      </c>
      <c r="U1300" s="334" t="s">
        <v>114</v>
      </c>
      <c r="V1300" s="269"/>
      <c r="W1300" s="269"/>
    </row>
    <row r="1301" spans="1:23" ht="69.75" customHeight="1" x14ac:dyDescent="0.2">
      <c r="A1301" s="277">
        <f t="shared" si="0"/>
        <v>1297</v>
      </c>
      <c r="B1301" s="278">
        <v>44280</v>
      </c>
      <c r="C1301" s="256">
        <v>44228</v>
      </c>
      <c r="D1301" s="255" t="s">
        <v>99</v>
      </c>
      <c r="E1301" s="255" t="s">
        <v>276</v>
      </c>
      <c r="F1301" s="258">
        <v>12.06</v>
      </c>
      <c r="G1301" s="255" t="s">
        <v>4023</v>
      </c>
      <c r="H1301" s="255" t="s">
        <v>114</v>
      </c>
      <c r="I1301" s="252" t="s">
        <v>488</v>
      </c>
      <c r="J1301" s="252" t="s">
        <v>114</v>
      </c>
      <c r="K1301" s="252" t="s">
        <v>466</v>
      </c>
      <c r="L1301" s="252" t="s">
        <v>489</v>
      </c>
      <c r="M1301" s="255" t="s">
        <v>114</v>
      </c>
      <c r="N1301" s="278">
        <v>44255</v>
      </c>
      <c r="O1301" s="329" t="s">
        <v>67</v>
      </c>
      <c r="P1301" s="386">
        <f t="shared" ref="P1301:Q1301" si="1298">IF(B1301=0,0,IF(YEAR(B1301)=$Q$1,MONTH(B1301)-$P$1+1,(YEAR(B1301)-$Q$1)*12-$P$1+1+MONTH(B1301)))</f>
        <v>3</v>
      </c>
      <c r="Q1301" s="330">
        <f t="shared" si="1298"/>
        <v>2</v>
      </c>
      <c r="R1301" s="351" t="str">
        <f t="shared" si="3"/>
        <v>Gastos_Gerais</v>
      </c>
      <c r="S1301" s="351" t="str">
        <f>IF(D1301="","",IF(OR(D1301=Plano!$A$1,D1301=Plano!$B$1),"entrada","saída"))</f>
        <v>saída</v>
      </c>
      <c r="T1301" s="334" t="s">
        <v>114</v>
      </c>
      <c r="U1301" s="334" t="s">
        <v>114</v>
      </c>
      <c r="V1301" s="269"/>
      <c r="W1301" s="269"/>
    </row>
    <row r="1302" spans="1:23" ht="69.75" customHeight="1" x14ac:dyDescent="0.2">
      <c r="A1302" s="277">
        <f t="shared" si="0"/>
        <v>1298</v>
      </c>
      <c r="B1302" s="278">
        <v>44280</v>
      </c>
      <c r="C1302" s="256">
        <v>44256</v>
      </c>
      <c r="D1302" s="255" t="s">
        <v>99</v>
      </c>
      <c r="E1302" s="255" t="s">
        <v>272</v>
      </c>
      <c r="F1302" s="258">
        <v>10.45</v>
      </c>
      <c r="G1302" s="255" t="s">
        <v>4024</v>
      </c>
      <c r="H1302" s="255" t="s">
        <v>115</v>
      </c>
      <c r="I1302" s="250" t="s">
        <v>949</v>
      </c>
      <c r="J1302" s="255" t="s">
        <v>950</v>
      </c>
      <c r="K1302" s="255" t="s">
        <v>951</v>
      </c>
      <c r="L1302" s="250" t="s">
        <v>947</v>
      </c>
      <c r="M1302" s="279" t="s">
        <v>114</v>
      </c>
      <c r="N1302" s="278">
        <v>44280</v>
      </c>
      <c r="O1302" s="329" t="s">
        <v>67</v>
      </c>
      <c r="P1302" s="386">
        <f t="shared" ref="P1302:Q1302" si="1299">IF(B1302=0,0,IF(YEAR(B1302)=$Q$1,MONTH(B1302)-$P$1+1,(YEAR(B1302)-$Q$1)*12-$P$1+1+MONTH(B1302)))</f>
        <v>3</v>
      </c>
      <c r="Q1302" s="330">
        <f t="shared" si="1299"/>
        <v>3</v>
      </c>
      <c r="R1302" s="351" t="str">
        <f t="shared" si="3"/>
        <v>Gastos_Gerais</v>
      </c>
      <c r="S1302" s="351" t="str">
        <f>IF(D1302="","",IF(OR(D1302=Plano!$A$1,D1302=Plano!$B$1),"entrada","saída"))</f>
        <v>saída</v>
      </c>
      <c r="T1302" s="334" t="s">
        <v>114</v>
      </c>
      <c r="U1302" s="334" t="s">
        <v>114</v>
      </c>
      <c r="V1302" s="269"/>
      <c r="W1302" s="269"/>
    </row>
    <row r="1303" spans="1:23" ht="69.75" customHeight="1" x14ac:dyDescent="0.2">
      <c r="A1303" s="277">
        <f t="shared" si="0"/>
        <v>1299</v>
      </c>
      <c r="B1303" s="278">
        <v>44280</v>
      </c>
      <c r="C1303" s="256">
        <v>44256</v>
      </c>
      <c r="D1303" s="255" t="s">
        <v>104</v>
      </c>
      <c r="E1303" s="255" t="s">
        <v>104</v>
      </c>
      <c r="F1303" s="258">
        <v>300</v>
      </c>
      <c r="G1303" s="255" t="s">
        <v>3635</v>
      </c>
      <c r="H1303" s="250" t="s">
        <v>104</v>
      </c>
      <c r="I1303" s="252" t="s">
        <v>3207</v>
      </c>
      <c r="J1303" s="252" t="s">
        <v>3636</v>
      </c>
      <c r="K1303" s="255" t="s">
        <v>1015</v>
      </c>
      <c r="L1303" s="250" t="s">
        <v>1016</v>
      </c>
      <c r="M1303" s="279">
        <v>4361592</v>
      </c>
      <c r="N1303" s="278">
        <v>44281</v>
      </c>
      <c r="O1303" s="329" t="s">
        <v>68</v>
      </c>
      <c r="P1303" s="386">
        <f t="shared" ref="P1303:Q1303" si="1300">IF(B1303=0,0,IF(YEAR(B1303)=$Q$1,MONTH(B1303)-$P$1+1,(YEAR(B1303)-$Q$1)*12-$P$1+1+MONTH(B1303)))</f>
        <v>3</v>
      </c>
      <c r="Q1303" s="330">
        <f t="shared" si="1300"/>
        <v>3</v>
      </c>
      <c r="R1303" s="351" t="str">
        <f t="shared" si="3"/>
        <v>Gastos_custeados_por_captação</v>
      </c>
      <c r="S1303" s="351" t="str">
        <f>IF(D1303="","",IF(OR(D1303=Plano!$A$1,D1303=Plano!$B$1),"entrada","saída"))</f>
        <v>saída</v>
      </c>
      <c r="T1303" s="334" t="s">
        <v>1082</v>
      </c>
      <c r="U1303" s="334">
        <v>389</v>
      </c>
      <c r="V1303" s="269"/>
      <c r="W1303" s="269"/>
    </row>
    <row r="1304" spans="1:23" ht="147.75" customHeight="1" x14ac:dyDescent="0.2">
      <c r="A1304" s="277">
        <f t="shared" si="0"/>
        <v>1300</v>
      </c>
      <c r="B1304" s="278">
        <v>44281</v>
      </c>
      <c r="C1304" s="249">
        <v>44228</v>
      </c>
      <c r="D1304" s="255" t="s">
        <v>99</v>
      </c>
      <c r="E1304" s="255" t="s">
        <v>330</v>
      </c>
      <c r="F1304" s="258">
        <v>86.28</v>
      </c>
      <c r="G1304" s="255" t="s">
        <v>4025</v>
      </c>
      <c r="H1304" s="255" t="s">
        <v>116</v>
      </c>
      <c r="I1304" s="252" t="s">
        <v>2161</v>
      </c>
      <c r="J1304" s="252" t="s">
        <v>2162</v>
      </c>
      <c r="K1304" s="255" t="s">
        <v>560</v>
      </c>
      <c r="L1304" s="250" t="s">
        <v>1016</v>
      </c>
      <c r="M1304" s="255">
        <v>300559</v>
      </c>
      <c r="N1304" s="278">
        <v>44253</v>
      </c>
      <c r="O1304" s="329" t="s">
        <v>67</v>
      </c>
      <c r="P1304" s="386">
        <f t="shared" ref="P1304:Q1304" si="1301">IF(B1304=0,0,IF(YEAR(B1304)=$Q$1,MONTH(B1304)-$P$1+1,(YEAR(B1304)-$Q$1)*12-$P$1+1+MONTH(B1304)))</f>
        <v>3</v>
      </c>
      <c r="Q1304" s="330">
        <f t="shared" si="1301"/>
        <v>2</v>
      </c>
      <c r="R1304" s="351" t="str">
        <f t="shared" si="3"/>
        <v>Gastos_Gerais</v>
      </c>
      <c r="S1304" s="351" t="str">
        <f>IF(D1304="","",IF(OR(D1304=Plano!$A$1,D1304=Plano!$B$1),"entrada","saída"))</f>
        <v>saída</v>
      </c>
      <c r="T1304" s="334" t="s">
        <v>1011</v>
      </c>
      <c r="U1304" s="334">
        <v>1356</v>
      </c>
      <c r="V1304" s="269"/>
      <c r="W1304" s="269"/>
    </row>
    <row r="1305" spans="1:23" ht="161.25" customHeight="1" x14ac:dyDescent="0.2">
      <c r="A1305" s="277">
        <f t="shared" si="0"/>
        <v>1301</v>
      </c>
      <c r="B1305" s="278">
        <v>44281</v>
      </c>
      <c r="C1305" s="249">
        <v>44228</v>
      </c>
      <c r="D1305" s="255" t="s">
        <v>99</v>
      </c>
      <c r="E1305" s="255" t="s">
        <v>336</v>
      </c>
      <c r="F1305" s="258">
        <v>2125.92</v>
      </c>
      <c r="G1305" s="255" t="s">
        <v>4026</v>
      </c>
      <c r="H1305" s="255" t="s">
        <v>117</v>
      </c>
      <c r="I1305" s="252" t="s">
        <v>2849</v>
      </c>
      <c r="J1305" s="252" t="s">
        <v>1761</v>
      </c>
      <c r="K1305" s="255" t="s">
        <v>991</v>
      </c>
      <c r="L1305" s="250" t="s">
        <v>1029</v>
      </c>
      <c r="M1305" s="255">
        <v>1089</v>
      </c>
      <c r="N1305" s="278">
        <v>44258</v>
      </c>
      <c r="O1305" s="329" t="s">
        <v>67</v>
      </c>
      <c r="P1305" s="386">
        <f t="shared" ref="P1305:Q1305" si="1302">IF(B1305=0,0,IF(YEAR(B1305)=$Q$1,MONTH(B1305)-$P$1+1,(YEAR(B1305)-$Q$1)*12-$P$1+1+MONTH(B1305)))</f>
        <v>3</v>
      </c>
      <c r="Q1305" s="330">
        <f t="shared" si="1302"/>
        <v>2</v>
      </c>
      <c r="R1305" s="351" t="str">
        <f t="shared" si="3"/>
        <v>Gastos_Gerais</v>
      </c>
      <c r="S1305" s="351" t="str">
        <f>IF(D1305="","",IF(OR(D1305=Plano!$A$1,D1305=Plano!$B$1),"entrada","saída"))</f>
        <v>saída</v>
      </c>
      <c r="T1305" s="334" t="s">
        <v>1059</v>
      </c>
      <c r="U1305" s="334">
        <v>1202</v>
      </c>
      <c r="V1305" s="269"/>
      <c r="W1305" s="269"/>
    </row>
    <row r="1306" spans="1:23" ht="69.75" customHeight="1" x14ac:dyDescent="0.2">
      <c r="A1306" s="277">
        <f t="shared" si="0"/>
        <v>1302</v>
      </c>
      <c r="B1306" s="278">
        <v>44281</v>
      </c>
      <c r="C1306" s="256">
        <v>44256</v>
      </c>
      <c r="D1306" s="255" t="s">
        <v>99</v>
      </c>
      <c r="E1306" s="255" t="s">
        <v>272</v>
      </c>
      <c r="F1306" s="258">
        <v>10.45</v>
      </c>
      <c r="G1306" s="255" t="s">
        <v>4027</v>
      </c>
      <c r="H1306" s="255" t="s">
        <v>117</v>
      </c>
      <c r="I1306" s="250" t="s">
        <v>949</v>
      </c>
      <c r="J1306" s="255" t="s">
        <v>950</v>
      </c>
      <c r="K1306" s="255" t="s">
        <v>951</v>
      </c>
      <c r="L1306" s="250" t="s">
        <v>947</v>
      </c>
      <c r="M1306" s="279" t="s">
        <v>114</v>
      </c>
      <c r="N1306" s="278">
        <v>44281</v>
      </c>
      <c r="O1306" s="329" t="s">
        <v>67</v>
      </c>
      <c r="P1306" s="386">
        <f t="shared" ref="P1306:Q1306" si="1303">IF(B1306=0,0,IF(YEAR(B1306)=$Q$1,MONTH(B1306)-$P$1+1,(YEAR(B1306)-$Q$1)*12-$P$1+1+MONTH(B1306)))</f>
        <v>3</v>
      </c>
      <c r="Q1306" s="330">
        <f t="shared" si="1303"/>
        <v>3</v>
      </c>
      <c r="R1306" s="351" t="str">
        <f t="shared" si="3"/>
        <v>Gastos_Gerais</v>
      </c>
      <c r="S1306" s="351" t="str">
        <f>IF(D1306="","",IF(OR(D1306=Plano!$A$1,D1306=Plano!$B$1),"entrada","saída"))</f>
        <v>saída</v>
      </c>
      <c r="T1306" s="334" t="s">
        <v>114</v>
      </c>
      <c r="U1306" s="334" t="s">
        <v>114</v>
      </c>
      <c r="V1306" s="269"/>
      <c r="W1306" s="269"/>
    </row>
    <row r="1307" spans="1:23" ht="69.75" customHeight="1" x14ac:dyDescent="0.2">
      <c r="A1307" s="277">
        <f t="shared" si="0"/>
        <v>1303</v>
      </c>
      <c r="B1307" s="278">
        <v>44284</v>
      </c>
      <c r="C1307" s="256">
        <v>44256</v>
      </c>
      <c r="D1307" s="255" t="s">
        <v>99</v>
      </c>
      <c r="E1307" s="255" t="s">
        <v>218</v>
      </c>
      <c r="F1307" s="258">
        <v>74.099999999999994</v>
      </c>
      <c r="G1307" s="255" t="s">
        <v>4028</v>
      </c>
      <c r="H1307" s="255" t="s">
        <v>129</v>
      </c>
      <c r="I1307" s="250" t="s">
        <v>515</v>
      </c>
      <c r="J1307" s="255" t="s">
        <v>699</v>
      </c>
      <c r="K1307" s="255" t="s">
        <v>700</v>
      </c>
      <c r="L1307" s="250" t="s">
        <v>697</v>
      </c>
      <c r="M1307" s="255" t="s">
        <v>4029</v>
      </c>
      <c r="N1307" s="278" t="s">
        <v>4030</v>
      </c>
      <c r="O1307" s="329" t="s">
        <v>67</v>
      </c>
      <c r="P1307" s="386">
        <f t="shared" ref="P1307:Q1307" si="1304">IF(B1307=0,0,IF(YEAR(B1307)=$Q$1,MONTH(B1307)-$P$1+1,(YEAR(B1307)-$Q$1)*12-$P$1+1+MONTH(B1307)))</f>
        <v>3</v>
      </c>
      <c r="Q1307" s="330">
        <f t="shared" si="1304"/>
        <v>3</v>
      </c>
      <c r="R1307" s="351" t="str">
        <f t="shared" si="3"/>
        <v>Gastos_Gerais</v>
      </c>
      <c r="S1307" s="351" t="str">
        <f>IF(D1307="","",IF(OR(D1307=Plano!$A$1,D1307=Plano!$B$1),"entrada","saída"))</f>
        <v>saída</v>
      </c>
      <c r="T1307" s="334" t="s">
        <v>114</v>
      </c>
      <c r="U1307" s="334" t="s">
        <v>114</v>
      </c>
      <c r="V1307" s="269"/>
      <c r="W1307" s="269"/>
    </row>
    <row r="1308" spans="1:23" ht="135" customHeight="1" x14ac:dyDescent="0.2">
      <c r="A1308" s="277">
        <f t="shared" si="0"/>
        <v>1304</v>
      </c>
      <c r="B1308" s="278">
        <v>44284</v>
      </c>
      <c r="C1308" s="259">
        <v>44228</v>
      </c>
      <c r="D1308" s="255" t="s">
        <v>99</v>
      </c>
      <c r="E1308" s="255" t="s">
        <v>382</v>
      </c>
      <c r="F1308" s="258">
        <v>15704.99</v>
      </c>
      <c r="G1308" s="252" t="s">
        <v>4031</v>
      </c>
      <c r="H1308" s="255" t="s">
        <v>131</v>
      </c>
      <c r="I1308" s="252" t="s">
        <v>4032</v>
      </c>
      <c r="J1308" s="255" t="s">
        <v>4033</v>
      </c>
      <c r="K1308" s="255" t="s">
        <v>991</v>
      </c>
      <c r="L1308" s="250" t="s">
        <v>1016</v>
      </c>
      <c r="M1308" s="255">
        <v>698</v>
      </c>
      <c r="N1308" s="278">
        <v>44257</v>
      </c>
      <c r="O1308" s="329" t="s">
        <v>67</v>
      </c>
      <c r="P1308" s="386">
        <f t="shared" ref="P1308:Q1308" si="1305">IF(B1308=0,0,IF(YEAR(B1308)=$Q$1,MONTH(B1308)-$P$1+1,(YEAR(B1308)-$Q$1)*12-$P$1+1+MONTH(B1308)))</f>
        <v>3</v>
      </c>
      <c r="Q1308" s="330">
        <f t="shared" si="1305"/>
        <v>2</v>
      </c>
      <c r="R1308" s="351" t="str">
        <f t="shared" si="3"/>
        <v>Gastos_Gerais</v>
      </c>
      <c r="S1308" s="351" t="str">
        <f>IF(D1308="","",IF(OR(D1308=Plano!$A$1,D1308=Plano!$B$1),"entrada","saída"))</f>
        <v>saída</v>
      </c>
      <c r="T1308" s="334" t="s">
        <v>994</v>
      </c>
      <c r="U1308" s="334">
        <v>1311</v>
      </c>
      <c r="V1308" s="269"/>
      <c r="W1308" s="269"/>
    </row>
    <row r="1309" spans="1:23" ht="69.75" customHeight="1" x14ac:dyDescent="0.2">
      <c r="A1309" s="277">
        <f t="shared" si="0"/>
        <v>1305</v>
      </c>
      <c r="B1309" s="278">
        <v>44284</v>
      </c>
      <c r="C1309" s="256">
        <v>44256</v>
      </c>
      <c r="D1309" s="255" t="s">
        <v>88</v>
      </c>
      <c r="E1309" s="255" t="s">
        <v>194</v>
      </c>
      <c r="F1309" s="258">
        <v>2727.39</v>
      </c>
      <c r="G1309" s="255" t="s">
        <v>1260</v>
      </c>
      <c r="H1309" s="255" t="s">
        <v>114</v>
      </c>
      <c r="I1309" s="250" t="s">
        <v>532</v>
      </c>
      <c r="J1309" s="255" t="s">
        <v>1261</v>
      </c>
      <c r="K1309" s="255" t="s">
        <v>560</v>
      </c>
      <c r="L1309" s="250" t="s">
        <v>1016</v>
      </c>
      <c r="M1309" s="255">
        <v>52884</v>
      </c>
      <c r="N1309" s="278">
        <v>44287</v>
      </c>
      <c r="O1309" s="329" t="s">
        <v>67</v>
      </c>
      <c r="P1309" s="386">
        <f t="shared" ref="P1309:Q1309" si="1306">IF(B1309=0,0,IF(YEAR(B1309)=$Q$1,MONTH(B1309)-$P$1+1,(YEAR(B1309)-$Q$1)*12-$P$1+1+MONTH(B1309)))</f>
        <v>3</v>
      </c>
      <c r="Q1309" s="330">
        <f t="shared" si="1306"/>
        <v>3</v>
      </c>
      <c r="R1309" s="351" t="str">
        <f t="shared" si="3"/>
        <v>Gastos_com_Pessoal</v>
      </c>
      <c r="S1309" s="351" t="str">
        <f>IF(D1309="","",IF(OR(D1309=Plano!$A$1,D1309=Plano!$B$1),"entrada","saída"))</f>
        <v>saída</v>
      </c>
      <c r="T1309" s="334" t="s">
        <v>114</v>
      </c>
      <c r="U1309" s="334" t="s">
        <v>114</v>
      </c>
      <c r="V1309" s="269"/>
      <c r="W1309" s="269"/>
    </row>
    <row r="1310" spans="1:23" ht="69.75" customHeight="1" x14ac:dyDescent="0.2">
      <c r="A1310" s="277">
        <f t="shared" si="0"/>
        <v>1306</v>
      </c>
      <c r="B1310" s="278">
        <v>44284</v>
      </c>
      <c r="C1310" s="256">
        <v>44256</v>
      </c>
      <c r="D1310" s="255" t="s">
        <v>88</v>
      </c>
      <c r="E1310" s="255" t="s">
        <v>194</v>
      </c>
      <c r="F1310" s="258">
        <v>3749.2</v>
      </c>
      <c r="G1310" s="255" t="s">
        <v>1609</v>
      </c>
      <c r="H1310" s="255" t="s">
        <v>114</v>
      </c>
      <c r="I1310" s="252" t="s">
        <v>532</v>
      </c>
      <c r="J1310" s="255" t="s">
        <v>1261</v>
      </c>
      <c r="K1310" s="255" t="s">
        <v>560</v>
      </c>
      <c r="L1310" s="250" t="s">
        <v>1016</v>
      </c>
      <c r="M1310" s="255">
        <v>47301</v>
      </c>
      <c r="N1310" s="278">
        <v>44287</v>
      </c>
      <c r="O1310" s="329" t="s">
        <v>67</v>
      </c>
      <c r="P1310" s="386">
        <f t="shared" ref="P1310:Q1310" si="1307">IF(B1310=0,0,IF(YEAR(B1310)=$Q$1,MONTH(B1310)-$P$1+1,(YEAR(B1310)-$Q$1)*12-$P$1+1+MONTH(B1310)))</f>
        <v>3</v>
      </c>
      <c r="Q1310" s="330">
        <f t="shared" si="1307"/>
        <v>3</v>
      </c>
      <c r="R1310" s="351" t="str">
        <f t="shared" si="3"/>
        <v>Gastos_com_Pessoal</v>
      </c>
      <c r="S1310" s="351" t="str">
        <f>IF(D1310="","",IF(OR(D1310=Plano!$A$1,D1310=Plano!$B$1),"entrada","saída"))</f>
        <v>saída</v>
      </c>
      <c r="T1310" s="334" t="s">
        <v>114</v>
      </c>
      <c r="U1310" s="334" t="s">
        <v>114</v>
      </c>
      <c r="V1310" s="269"/>
      <c r="W1310" s="269"/>
    </row>
    <row r="1311" spans="1:23" ht="69.75" customHeight="1" x14ac:dyDescent="0.2">
      <c r="A1311" s="277">
        <f t="shared" si="0"/>
        <v>1307</v>
      </c>
      <c r="B1311" s="278">
        <v>44284</v>
      </c>
      <c r="C1311" s="256">
        <v>44256</v>
      </c>
      <c r="D1311" s="255" t="s">
        <v>99</v>
      </c>
      <c r="E1311" s="255" t="s">
        <v>272</v>
      </c>
      <c r="F1311" s="258">
        <v>10.45</v>
      </c>
      <c r="G1311" s="255" t="s">
        <v>4034</v>
      </c>
      <c r="H1311" s="255" t="s">
        <v>131</v>
      </c>
      <c r="I1311" s="250" t="s">
        <v>949</v>
      </c>
      <c r="J1311" s="255" t="s">
        <v>950</v>
      </c>
      <c r="K1311" s="255" t="s">
        <v>951</v>
      </c>
      <c r="L1311" s="250" t="s">
        <v>947</v>
      </c>
      <c r="M1311" s="279" t="s">
        <v>114</v>
      </c>
      <c r="N1311" s="278">
        <v>44284</v>
      </c>
      <c r="O1311" s="329" t="s">
        <v>67</v>
      </c>
      <c r="P1311" s="386">
        <f t="shared" ref="P1311:Q1311" si="1308">IF(B1311=0,0,IF(YEAR(B1311)=$Q$1,MONTH(B1311)-$P$1+1,(YEAR(B1311)-$Q$1)*12-$P$1+1+MONTH(B1311)))</f>
        <v>3</v>
      </c>
      <c r="Q1311" s="330">
        <f t="shared" si="1308"/>
        <v>3</v>
      </c>
      <c r="R1311" s="351" t="str">
        <f t="shared" si="3"/>
        <v>Gastos_Gerais</v>
      </c>
      <c r="S1311" s="351" t="str">
        <f>IF(D1311="","",IF(OR(D1311=Plano!$A$1,D1311=Plano!$B$1),"entrada","saída"))</f>
        <v>saída</v>
      </c>
      <c r="T1311" s="334" t="s">
        <v>114</v>
      </c>
      <c r="U1311" s="334" t="s">
        <v>114</v>
      </c>
      <c r="V1311" s="269"/>
      <c r="W1311" s="269"/>
    </row>
    <row r="1312" spans="1:23" ht="93.75" customHeight="1" x14ac:dyDescent="0.2">
      <c r="A1312" s="277">
        <f t="shared" si="0"/>
        <v>1308</v>
      </c>
      <c r="B1312" s="278">
        <v>44285</v>
      </c>
      <c r="C1312" s="249">
        <v>44256</v>
      </c>
      <c r="D1312" s="255" t="s">
        <v>99</v>
      </c>
      <c r="E1312" s="255" t="s">
        <v>330</v>
      </c>
      <c r="F1312" s="258">
        <v>150</v>
      </c>
      <c r="G1312" s="255" t="s">
        <v>3231</v>
      </c>
      <c r="H1312" s="255" t="s">
        <v>115</v>
      </c>
      <c r="I1312" s="250" t="s">
        <v>1640</v>
      </c>
      <c r="J1312" s="252" t="s">
        <v>452</v>
      </c>
      <c r="K1312" s="255" t="s">
        <v>560</v>
      </c>
      <c r="L1312" s="250" t="s">
        <v>3667</v>
      </c>
      <c r="M1312" s="255">
        <v>27402</v>
      </c>
      <c r="N1312" s="278" t="s">
        <v>4035</v>
      </c>
      <c r="O1312" s="329" t="s">
        <v>67</v>
      </c>
      <c r="P1312" s="386">
        <f t="shared" ref="P1312:Q1312" si="1309">IF(B1312=0,0,IF(YEAR(B1312)=$Q$1,MONTH(B1312)-$P$1+1,(YEAR(B1312)-$Q$1)*12-$P$1+1+MONTH(B1312)))</f>
        <v>3</v>
      </c>
      <c r="Q1312" s="330">
        <f t="shared" si="1309"/>
        <v>3</v>
      </c>
      <c r="R1312" s="351" t="str">
        <f t="shared" si="3"/>
        <v>Gastos_Gerais</v>
      </c>
      <c r="S1312" s="351" t="str">
        <f>IF(D1312="","",IF(OR(D1312=Plano!$A$1,D1312=Plano!$B$1),"entrada","saída"))</f>
        <v>saída</v>
      </c>
      <c r="T1312" s="334" t="s">
        <v>1059</v>
      </c>
      <c r="U1312" s="334">
        <v>1145</v>
      </c>
      <c r="V1312" s="269"/>
      <c r="W1312" s="269"/>
    </row>
    <row r="1313" spans="1:23" ht="69.75" customHeight="1" x14ac:dyDescent="0.2">
      <c r="A1313" s="277">
        <f t="shared" si="0"/>
        <v>1309</v>
      </c>
      <c r="B1313" s="278">
        <v>44286</v>
      </c>
      <c r="C1313" s="256">
        <v>44256</v>
      </c>
      <c r="D1313" s="255" t="s">
        <v>99</v>
      </c>
      <c r="E1313" s="255" t="s">
        <v>280</v>
      </c>
      <c r="F1313" s="258">
        <v>87.11</v>
      </c>
      <c r="G1313" s="255" t="s">
        <v>4036</v>
      </c>
      <c r="H1313" s="255" t="s">
        <v>114</v>
      </c>
      <c r="I1313" s="250" t="s">
        <v>488</v>
      </c>
      <c r="J1313" s="255" t="s">
        <v>114</v>
      </c>
      <c r="K1313" s="255" t="s">
        <v>466</v>
      </c>
      <c r="L1313" s="250" t="s">
        <v>489</v>
      </c>
      <c r="M1313" s="255" t="s">
        <v>114</v>
      </c>
      <c r="N1313" s="278">
        <v>44286</v>
      </c>
      <c r="O1313" s="329" t="s">
        <v>67</v>
      </c>
      <c r="P1313" s="386">
        <f t="shared" ref="P1313:Q1313" si="1310">IF(B1313=0,0,IF(YEAR(B1313)=$Q$1,MONTH(B1313)-$P$1+1,(YEAR(B1313)-$Q$1)*12-$P$1+1+MONTH(B1313)))</f>
        <v>3</v>
      </c>
      <c r="Q1313" s="330">
        <f t="shared" si="1310"/>
        <v>3</v>
      </c>
      <c r="R1313" s="351" t="str">
        <f t="shared" si="3"/>
        <v>Gastos_Gerais</v>
      </c>
      <c r="S1313" s="351" t="str">
        <f>IF(D1313="","",IF(OR(D1313=Plano!$A$1,D1313=Plano!$B$1),"entrada","saída"))</f>
        <v>saída</v>
      </c>
      <c r="T1313" s="334" t="s">
        <v>114</v>
      </c>
      <c r="U1313" s="334" t="s">
        <v>114</v>
      </c>
      <c r="V1313" s="269"/>
      <c r="W1313" s="269"/>
    </row>
    <row r="1314" spans="1:23" ht="69.75" customHeight="1" x14ac:dyDescent="0.2">
      <c r="A1314" s="277">
        <f t="shared" si="0"/>
        <v>1310</v>
      </c>
      <c r="B1314" s="278">
        <v>44286</v>
      </c>
      <c r="C1314" s="256">
        <v>44256</v>
      </c>
      <c r="D1314" s="255" t="s">
        <v>99</v>
      </c>
      <c r="E1314" s="255" t="s">
        <v>278</v>
      </c>
      <c r="F1314" s="258">
        <v>3.1</v>
      </c>
      <c r="G1314" s="255" t="s">
        <v>4037</v>
      </c>
      <c r="H1314" s="255" t="s">
        <v>114</v>
      </c>
      <c r="I1314" s="250" t="s">
        <v>488</v>
      </c>
      <c r="J1314" s="255" t="s">
        <v>114</v>
      </c>
      <c r="K1314" s="255" t="s">
        <v>466</v>
      </c>
      <c r="L1314" s="250" t="s">
        <v>489</v>
      </c>
      <c r="M1314" s="255" t="s">
        <v>114</v>
      </c>
      <c r="N1314" s="278">
        <v>44286</v>
      </c>
      <c r="O1314" s="329" t="s">
        <v>67</v>
      </c>
      <c r="P1314" s="386">
        <f t="shared" ref="P1314:Q1314" si="1311">IF(B1314=0,0,IF(YEAR(B1314)=$Q$1,MONTH(B1314)-$P$1+1,(YEAR(B1314)-$Q$1)*12-$P$1+1+MONTH(B1314)))</f>
        <v>3</v>
      </c>
      <c r="Q1314" s="330">
        <f t="shared" si="1311"/>
        <v>3</v>
      </c>
      <c r="R1314" s="351" t="str">
        <f t="shared" si="3"/>
        <v>Gastos_Gerais</v>
      </c>
      <c r="S1314" s="351" t="str">
        <f>IF(D1314="","",IF(OR(D1314=Plano!$A$1,D1314=Plano!$B$1),"entrada","saída"))</f>
        <v>saída</v>
      </c>
      <c r="T1314" s="334" t="s">
        <v>114</v>
      </c>
      <c r="U1314" s="334" t="s">
        <v>114</v>
      </c>
      <c r="V1314" s="269"/>
      <c r="W1314" s="269"/>
    </row>
    <row r="1315" spans="1:23" ht="69.75" customHeight="1" x14ac:dyDescent="0.2">
      <c r="A1315" s="277">
        <f t="shared" si="0"/>
        <v>1311</v>
      </c>
      <c r="B1315" s="278">
        <v>44286</v>
      </c>
      <c r="C1315" s="256">
        <v>44256</v>
      </c>
      <c r="D1315" s="255" t="s">
        <v>85</v>
      </c>
      <c r="E1315" s="255" t="s">
        <v>85</v>
      </c>
      <c r="F1315" s="258">
        <v>389.71</v>
      </c>
      <c r="G1315" s="255" t="s">
        <v>4038</v>
      </c>
      <c r="H1315" s="255" t="s">
        <v>114</v>
      </c>
      <c r="I1315" s="250" t="s">
        <v>945</v>
      </c>
      <c r="J1315" s="255" t="s">
        <v>850</v>
      </c>
      <c r="K1315" s="255" t="s">
        <v>946</v>
      </c>
      <c r="L1315" s="250" t="s">
        <v>947</v>
      </c>
      <c r="M1315" s="279" t="s">
        <v>114</v>
      </c>
      <c r="N1315" s="278">
        <v>44286</v>
      </c>
      <c r="O1315" s="329" t="s">
        <v>67</v>
      </c>
      <c r="P1315" s="386">
        <f t="shared" ref="P1315:Q1315" si="1312">IF(B1315=0,0,IF(YEAR(B1315)=$Q$1,MONTH(B1315)-$P$1+1,(YEAR(B1315)-$Q$1)*12-$P$1+1+MONTH(B1315)))</f>
        <v>3</v>
      </c>
      <c r="Q1315" s="330">
        <f t="shared" si="1312"/>
        <v>3</v>
      </c>
      <c r="R1315" s="351" t="str">
        <f t="shared" si="3"/>
        <v>Rendimentos_de_Aplicações_Fin.</v>
      </c>
      <c r="S1315" s="351" t="str">
        <f>IF(D1315="","",IF(OR(D1315=Plano!$A$1,D1315=Plano!$B$1),"entrada","saída"))</f>
        <v>entrada</v>
      </c>
      <c r="T1315" s="334" t="s">
        <v>114</v>
      </c>
      <c r="U1315" s="334" t="s">
        <v>114</v>
      </c>
      <c r="V1315" s="269"/>
      <c r="W1315" s="269"/>
    </row>
    <row r="1316" spans="1:23" ht="120" customHeight="1" x14ac:dyDescent="0.2">
      <c r="A1316" s="399" t="str">
        <f t="shared" si="0"/>
        <v/>
      </c>
      <c r="B1316" s="359"/>
      <c r="C1316" s="360"/>
      <c r="D1316" s="361"/>
      <c r="E1316" s="361"/>
      <c r="F1316" s="362"/>
      <c r="G1316" s="361"/>
      <c r="H1316" s="361"/>
      <c r="I1316" s="363"/>
      <c r="J1316" s="361"/>
      <c r="K1316" s="361"/>
      <c r="L1316" s="363"/>
      <c r="M1316" s="361"/>
      <c r="N1316" s="359"/>
      <c r="O1316" s="400"/>
      <c r="P1316" s="330">
        <f t="shared" ref="P1316:Q1316" si="1313">IF(B1316=0,0,IF(YEAR(B1316)=$Q$1,MONTH(B1316)-$P$1+1,(YEAR(B1316)-$Q$1)*12-$P$1+1+MONTH(B1316)))</f>
        <v>0</v>
      </c>
      <c r="Q1316" s="330">
        <f t="shared" si="1313"/>
        <v>0</v>
      </c>
      <c r="R1316" s="351" t="str">
        <f t="shared" si="3"/>
        <v/>
      </c>
      <c r="S1316" s="351" t="str">
        <f>IF(D1316="","",IF(OR(D1316=Plano!$A$1,D1316=Plano!$B$1),"entrada","saída"))</f>
        <v/>
      </c>
      <c r="T1316" s="334"/>
      <c r="U1316" s="334"/>
      <c r="V1316" s="269"/>
      <c r="W1316" s="269"/>
    </row>
    <row r="1317" spans="1:23" ht="120" customHeight="1" x14ac:dyDescent="0.2">
      <c r="A1317" s="401" t="str">
        <f t="shared" si="0"/>
        <v/>
      </c>
      <c r="B1317" s="278"/>
      <c r="C1317" s="256"/>
      <c r="D1317" s="255"/>
      <c r="E1317" s="255"/>
      <c r="F1317" s="258"/>
      <c r="G1317" s="255"/>
      <c r="H1317" s="255"/>
      <c r="I1317" s="250"/>
      <c r="J1317" s="255"/>
      <c r="K1317" s="255"/>
      <c r="L1317" s="250"/>
      <c r="M1317" s="255"/>
      <c r="N1317" s="278"/>
      <c r="O1317" s="329"/>
      <c r="P1317" s="330">
        <f t="shared" ref="P1317:Q1317" si="1314">IF(B1317=0,0,IF(YEAR(B1317)=$Q$1,MONTH(B1317)-$P$1+1,(YEAR(B1317)-$Q$1)*12-$P$1+1+MONTH(B1317)))</f>
        <v>0</v>
      </c>
      <c r="Q1317" s="330">
        <f t="shared" si="1314"/>
        <v>0</v>
      </c>
      <c r="R1317" s="351" t="str">
        <f t="shared" si="3"/>
        <v/>
      </c>
      <c r="S1317" s="351" t="str">
        <f>IF(D1317="","",IF(OR(D1317=Plano!$A$1,D1317=Plano!$B$1),"entrada","saída"))</f>
        <v/>
      </c>
      <c r="T1317" s="334"/>
      <c r="U1317" s="334"/>
      <c r="V1317" s="269"/>
      <c r="W1317" s="269"/>
    </row>
    <row r="1318" spans="1:23" ht="120" customHeight="1" x14ac:dyDescent="0.2">
      <c r="A1318" s="401" t="str">
        <f t="shared" si="0"/>
        <v/>
      </c>
      <c r="B1318" s="278"/>
      <c r="C1318" s="256"/>
      <c r="D1318" s="255"/>
      <c r="E1318" s="255"/>
      <c r="F1318" s="258"/>
      <c r="G1318" s="255"/>
      <c r="H1318" s="255"/>
      <c r="I1318" s="250"/>
      <c r="J1318" s="255"/>
      <c r="K1318" s="255"/>
      <c r="L1318" s="250"/>
      <c r="M1318" s="255"/>
      <c r="N1318" s="278"/>
      <c r="O1318" s="329"/>
      <c r="P1318" s="330">
        <f t="shared" ref="P1318:Q1318" si="1315">IF(B1318=0,0,IF(YEAR(B1318)=$Q$1,MONTH(B1318)-$P$1+1,(YEAR(B1318)-$Q$1)*12-$P$1+1+MONTH(B1318)))</f>
        <v>0</v>
      </c>
      <c r="Q1318" s="330">
        <f t="shared" si="1315"/>
        <v>0</v>
      </c>
      <c r="R1318" s="351" t="str">
        <f t="shared" si="3"/>
        <v/>
      </c>
      <c r="S1318" s="351" t="str">
        <f>IF(D1318="","",IF(OR(D1318=Plano!$A$1,D1318=Plano!$B$1),"entrada","saída"))</f>
        <v/>
      </c>
      <c r="T1318" s="334"/>
      <c r="U1318" s="334"/>
      <c r="V1318" s="269"/>
      <c r="W1318" s="269"/>
    </row>
    <row r="1319" spans="1:23" ht="120" customHeight="1" x14ac:dyDescent="0.2">
      <c r="A1319" s="401" t="str">
        <f t="shared" si="0"/>
        <v/>
      </c>
      <c r="B1319" s="278"/>
      <c r="C1319" s="256"/>
      <c r="D1319" s="255"/>
      <c r="E1319" s="255"/>
      <c r="F1319" s="258"/>
      <c r="G1319" s="255"/>
      <c r="H1319" s="255"/>
      <c r="I1319" s="250"/>
      <c r="J1319" s="255"/>
      <c r="K1319" s="255"/>
      <c r="L1319" s="250"/>
      <c r="M1319" s="255"/>
      <c r="N1319" s="278"/>
      <c r="O1319" s="329"/>
      <c r="P1319" s="330">
        <f t="shared" ref="P1319:Q1319" si="1316">IF(B1319=0,0,IF(YEAR(B1319)=$Q$1,MONTH(B1319)-$P$1+1,(YEAR(B1319)-$Q$1)*12-$P$1+1+MONTH(B1319)))</f>
        <v>0</v>
      </c>
      <c r="Q1319" s="330">
        <f t="shared" si="1316"/>
        <v>0</v>
      </c>
      <c r="R1319" s="351" t="str">
        <f t="shared" si="3"/>
        <v/>
      </c>
      <c r="S1319" s="351" t="str">
        <f>IF(D1319="","",IF(OR(D1319=Plano!$A$1,D1319=Plano!$B$1),"entrada","saída"))</f>
        <v/>
      </c>
      <c r="T1319" s="334"/>
      <c r="U1319" s="334"/>
      <c r="V1319" s="269"/>
      <c r="W1319" s="269"/>
    </row>
    <row r="1320" spans="1:23" ht="120" customHeight="1" x14ac:dyDescent="0.2">
      <c r="A1320" s="401" t="str">
        <f t="shared" si="0"/>
        <v/>
      </c>
      <c r="B1320" s="278"/>
      <c r="C1320" s="256"/>
      <c r="D1320" s="255"/>
      <c r="E1320" s="255"/>
      <c r="F1320" s="258"/>
      <c r="G1320" s="255"/>
      <c r="H1320" s="255"/>
      <c r="I1320" s="250"/>
      <c r="J1320" s="255"/>
      <c r="K1320" s="255"/>
      <c r="L1320" s="250"/>
      <c r="M1320" s="255"/>
      <c r="N1320" s="278"/>
      <c r="O1320" s="329"/>
      <c r="P1320" s="330">
        <f t="shared" ref="P1320:Q1320" si="1317">IF(B1320=0,0,IF(YEAR(B1320)=$Q$1,MONTH(B1320)-$P$1+1,(YEAR(B1320)-$Q$1)*12-$P$1+1+MONTH(B1320)))</f>
        <v>0</v>
      </c>
      <c r="Q1320" s="330">
        <f t="shared" si="1317"/>
        <v>0</v>
      </c>
      <c r="R1320" s="351" t="str">
        <f t="shared" si="3"/>
        <v/>
      </c>
      <c r="S1320" s="351" t="str">
        <f>IF(D1320="","",IF(OR(D1320=Plano!$A$1,D1320=Plano!$B$1),"entrada","saída"))</f>
        <v/>
      </c>
      <c r="T1320" s="334"/>
      <c r="U1320" s="334"/>
      <c r="V1320" s="269"/>
      <c r="W1320" s="269"/>
    </row>
    <row r="1321" spans="1:23" ht="120" customHeight="1" x14ac:dyDescent="0.2">
      <c r="A1321" s="401" t="str">
        <f t="shared" si="0"/>
        <v/>
      </c>
      <c r="B1321" s="278"/>
      <c r="C1321" s="256"/>
      <c r="D1321" s="255"/>
      <c r="E1321" s="255"/>
      <c r="F1321" s="258"/>
      <c r="G1321" s="255"/>
      <c r="H1321" s="255"/>
      <c r="I1321" s="250"/>
      <c r="J1321" s="255"/>
      <c r="K1321" s="255"/>
      <c r="L1321" s="250"/>
      <c r="M1321" s="255"/>
      <c r="N1321" s="278"/>
      <c r="O1321" s="329"/>
      <c r="P1321" s="330">
        <f t="shared" ref="P1321:Q1321" si="1318">IF(B1321=0,0,IF(YEAR(B1321)=$Q$1,MONTH(B1321)-$P$1+1,(YEAR(B1321)-$Q$1)*12-$P$1+1+MONTH(B1321)))</f>
        <v>0</v>
      </c>
      <c r="Q1321" s="330">
        <f t="shared" si="1318"/>
        <v>0</v>
      </c>
      <c r="R1321" s="351" t="str">
        <f t="shared" si="3"/>
        <v/>
      </c>
      <c r="S1321" s="351" t="str">
        <f>IF(D1321="","",IF(OR(D1321=Plano!$A$1,D1321=Plano!$B$1),"entrada","saída"))</f>
        <v/>
      </c>
      <c r="T1321" s="334"/>
      <c r="U1321" s="334"/>
      <c r="V1321" s="269"/>
      <c r="W1321" s="269"/>
    </row>
    <row r="1322" spans="1:23" ht="120" customHeight="1" x14ac:dyDescent="0.2">
      <c r="A1322" s="401" t="str">
        <f t="shared" si="0"/>
        <v/>
      </c>
      <c r="B1322" s="278"/>
      <c r="C1322" s="256"/>
      <c r="D1322" s="255"/>
      <c r="E1322" s="255"/>
      <c r="F1322" s="258"/>
      <c r="G1322" s="255"/>
      <c r="H1322" s="255"/>
      <c r="I1322" s="250"/>
      <c r="J1322" s="255"/>
      <c r="K1322" s="255"/>
      <c r="L1322" s="250"/>
      <c r="M1322" s="255"/>
      <c r="N1322" s="278"/>
      <c r="O1322" s="329"/>
      <c r="P1322" s="330">
        <f t="shared" ref="P1322:Q1322" si="1319">IF(B1322=0,0,IF(YEAR(B1322)=$Q$1,MONTH(B1322)-$P$1+1,(YEAR(B1322)-$Q$1)*12-$P$1+1+MONTH(B1322)))</f>
        <v>0</v>
      </c>
      <c r="Q1322" s="330">
        <f t="shared" si="1319"/>
        <v>0</v>
      </c>
      <c r="R1322" s="351" t="str">
        <f t="shared" si="3"/>
        <v/>
      </c>
      <c r="S1322" s="351" t="str">
        <f>IF(D1322="","",IF(OR(D1322=Plano!$A$1,D1322=Plano!$B$1),"entrada","saída"))</f>
        <v/>
      </c>
      <c r="T1322" s="334"/>
      <c r="U1322" s="334"/>
      <c r="V1322" s="269"/>
      <c r="W1322" s="269"/>
    </row>
    <row r="1323" spans="1:23" ht="120" customHeight="1" x14ac:dyDescent="0.2">
      <c r="A1323" s="401" t="str">
        <f t="shared" si="0"/>
        <v/>
      </c>
      <c r="B1323" s="278"/>
      <c r="C1323" s="256"/>
      <c r="D1323" s="255"/>
      <c r="E1323" s="255"/>
      <c r="F1323" s="258"/>
      <c r="G1323" s="255"/>
      <c r="H1323" s="255"/>
      <c r="I1323" s="250"/>
      <c r="J1323" s="255"/>
      <c r="K1323" s="255"/>
      <c r="L1323" s="250"/>
      <c r="M1323" s="255"/>
      <c r="N1323" s="278"/>
      <c r="O1323" s="329"/>
      <c r="P1323" s="330">
        <f t="shared" ref="P1323:Q1323" si="1320">IF(B1323=0,0,IF(YEAR(B1323)=$Q$1,MONTH(B1323)-$P$1+1,(YEAR(B1323)-$Q$1)*12-$P$1+1+MONTH(B1323)))</f>
        <v>0</v>
      </c>
      <c r="Q1323" s="330">
        <f t="shared" si="1320"/>
        <v>0</v>
      </c>
      <c r="R1323" s="351" t="str">
        <f t="shared" si="3"/>
        <v/>
      </c>
      <c r="S1323" s="351" t="str">
        <f>IF(D1323="","",IF(OR(D1323=Plano!$A$1,D1323=Plano!$B$1),"entrada","saída"))</f>
        <v/>
      </c>
      <c r="T1323" s="334"/>
      <c r="U1323" s="334"/>
      <c r="V1323" s="269"/>
      <c r="W1323" s="269"/>
    </row>
    <row r="1324" spans="1:23" ht="120" customHeight="1" x14ac:dyDescent="0.2">
      <c r="A1324" s="401" t="str">
        <f t="shared" si="0"/>
        <v/>
      </c>
      <c r="B1324" s="278"/>
      <c r="C1324" s="256"/>
      <c r="D1324" s="255"/>
      <c r="E1324" s="255"/>
      <c r="F1324" s="258"/>
      <c r="G1324" s="255"/>
      <c r="H1324" s="255"/>
      <c r="I1324" s="250"/>
      <c r="J1324" s="255"/>
      <c r="K1324" s="255"/>
      <c r="L1324" s="250"/>
      <c r="M1324" s="255"/>
      <c r="N1324" s="278"/>
      <c r="O1324" s="329"/>
      <c r="P1324" s="330">
        <f t="shared" ref="P1324:Q1324" si="1321">IF(B1324=0,0,IF(YEAR(B1324)=$Q$1,MONTH(B1324)-$P$1+1,(YEAR(B1324)-$Q$1)*12-$P$1+1+MONTH(B1324)))</f>
        <v>0</v>
      </c>
      <c r="Q1324" s="330">
        <f t="shared" si="1321"/>
        <v>0</v>
      </c>
      <c r="R1324" s="351" t="str">
        <f t="shared" si="3"/>
        <v/>
      </c>
      <c r="S1324" s="351" t="str">
        <f>IF(D1324="","",IF(OR(D1324=Plano!$A$1,D1324=Plano!$B$1),"entrada","saída"))</f>
        <v/>
      </c>
      <c r="T1324" s="334"/>
      <c r="U1324" s="334"/>
      <c r="V1324" s="269"/>
      <c r="W1324" s="269"/>
    </row>
    <row r="1325" spans="1:23" ht="120" customHeight="1" x14ac:dyDescent="0.2">
      <c r="A1325" s="401" t="str">
        <f t="shared" si="0"/>
        <v/>
      </c>
      <c r="B1325" s="278"/>
      <c r="C1325" s="256"/>
      <c r="D1325" s="255"/>
      <c r="E1325" s="255"/>
      <c r="F1325" s="258"/>
      <c r="G1325" s="255"/>
      <c r="H1325" s="255"/>
      <c r="I1325" s="250"/>
      <c r="J1325" s="255"/>
      <c r="K1325" s="255"/>
      <c r="L1325" s="250"/>
      <c r="M1325" s="255"/>
      <c r="N1325" s="278"/>
      <c r="O1325" s="329"/>
      <c r="P1325" s="330">
        <f t="shared" ref="P1325:Q1325" si="1322">IF(B1325=0,0,IF(YEAR(B1325)=$Q$1,MONTH(B1325)-$P$1+1,(YEAR(B1325)-$Q$1)*12-$P$1+1+MONTH(B1325)))</f>
        <v>0</v>
      </c>
      <c r="Q1325" s="330">
        <f t="shared" si="1322"/>
        <v>0</v>
      </c>
      <c r="R1325" s="351" t="str">
        <f t="shared" si="3"/>
        <v/>
      </c>
      <c r="S1325" s="351" t="str">
        <f>IF(D1325="","",IF(OR(D1325=Plano!$A$1,D1325=Plano!$B$1),"entrada","saída"))</f>
        <v/>
      </c>
      <c r="T1325" s="334"/>
      <c r="U1325" s="334"/>
      <c r="V1325" s="269"/>
      <c r="W1325" s="269"/>
    </row>
    <row r="1326" spans="1:23" ht="120" customHeight="1" x14ac:dyDescent="0.2">
      <c r="A1326" s="401" t="str">
        <f t="shared" si="0"/>
        <v/>
      </c>
      <c r="B1326" s="278"/>
      <c r="C1326" s="256"/>
      <c r="D1326" s="255"/>
      <c r="E1326" s="255"/>
      <c r="F1326" s="258"/>
      <c r="G1326" s="255"/>
      <c r="H1326" s="255"/>
      <c r="I1326" s="250"/>
      <c r="J1326" s="255"/>
      <c r="K1326" s="255"/>
      <c r="L1326" s="250"/>
      <c r="M1326" s="255"/>
      <c r="N1326" s="278"/>
      <c r="O1326" s="329"/>
      <c r="P1326" s="330">
        <f t="shared" ref="P1326:Q1326" si="1323">IF(B1326=0,0,IF(YEAR(B1326)=$Q$1,MONTH(B1326)-$P$1+1,(YEAR(B1326)-$Q$1)*12-$P$1+1+MONTH(B1326)))</f>
        <v>0</v>
      </c>
      <c r="Q1326" s="330">
        <f t="shared" si="1323"/>
        <v>0</v>
      </c>
      <c r="R1326" s="351" t="str">
        <f t="shared" si="3"/>
        <v/>
      </c>
      <c r="S1326" s="351" t="str">
        <f>IF(D1326="","",IF(OR(D1326=Plano!$A$1,D1326=Plano!$B$1),"entrada","saída"))</f>
        <v/>
      </c>
      <c r="T1326" s="334"/>
      <c r="U1326" s="334"/>
      <c r="V1326" s="269"/>
      <c r="W1326" s="269"/>
    </row>
    <row r="1327" spans="1:23" ht="120" customHeight="1" x14ac:dyDescent="0.2">
      <c r="A1327" s="401" t="str">
        <f t="shared" si="0"/>
        <v/>
      </c>
      <c r="B1327" s="278"/>
      <c r="C1327" s="256"/>
      <c r="D1327" s="255"/>
      <c r="E1327" s="255"/>
      <c r="F1327" s="258"/>
      <c r="G1327" s="255"/>
      <c r="H1327" s="255"/>
      <c r="I1327" s="250"/>
      <c r="J1327" s="255"/>
      <c r="K1327" s="255"/>
      <c r="L1327" s="250"/>
      <c r="M1327" s="255"/>
      <c r="N1327" s="278"/>
      <c r="O1327" s="329"/>
      <c r="P1327" s="330">
        <f t="shared" ref="P1327:Q1327" si="1324">IF(B1327=0,0,IF(YEAR(B1327)=$Q$1,MONTH(B1327)-$P$1+1,(YEAR(B1327)-$Q$1)*12-$P$1+1+MONTH(B1327)))</f>
        <v>0</v>
      </c>
      <c r="Q1327" s="330">
        <f t="shared" si="1324"/>
        <v>0</v>
      </c>
      <c r="R1327" s="351" t="e">
        <f t="shared" ref="R1327:R2634" si="1325">#N/A</f>
        <v>#N/A</v>
      </c>
      <c r="S1327" s="351" t="str">
        <f>IF(D1327="","",IF(OR(D1327=Plano!$A$1,D1327=Plano!$B$1),"entrada","saída"))</f>
        <v/>
      </c>
      <c r="T1327" s="334"/>
      <c r="U1327" s="334"/>
      <c r="V1327" s="269"/>
      <c r="W1327" s="269"/>
    </row>
    <row r="1328" spans="1:23" ht="120" customHeight="1" x14ac:dyDescent="0.2">
      <c r="A1328" s="401" t="str">
        <f t="shared" si="0"/>
        <v/>
      </c>
      <c r="B1328" s="278"/>
      <c r="C1328" s="256"/>
      <c r="D1328" s="255"/>
      <c r="E1328" s="255"/>
      <c r="F1328" s="258"/>
      <c r="G1328" s="255"/>
      <c r="H1328" s="255"/>
      <c r="I1328" s="250"/>
      <c r="J1328" s="255"/>
      <c r="K1328" s="255"/>
      <c r="L1328" s="250"/>
      <c r="M1328" s="255"/>
      <c r="N1328" s="278"/>
      <c r="O1328" s="329"/>
      <c r="P1328" s="402">
        <f t="shared" ref="P1328:Q1328" si="1326">IF(B1328=0,0,IF(YEAR(B1328)=$Q$1,MONTH(B1328)-$P$1+1,(YEAR(B1328)-$Q$1)*12-$P$1+1+MONTH(B1328)))</f>
        <v>0</v>
      </c>
      <c r="Q1328" s="402">
        <f t="shared" si="1326"/>
        <v>0</v>
      </c>
      <c r="R1328" s="356" t="e">
        <f t="shared" si="1325"/>
        <v>#N/A</v>
      </c>
      <c r="S1328" s="356" t="str">
        <f>IF(D1328="","",IF(OR(D1328=Plano!$A$1,D1328=Plano!$B$1),"entrada","saída"))</f>
        <v/>
      </c>
      <c r="T1328" s="345"/>
      <c r="U1328" s="345"/>
      <c r="V1328" s="269"/>
      <c r="W1328" s="269"/>
    </row>
    <row r="1329" spans="1:23" ht="120" customHeight="1" x14ac:dyDescent="0.2">
      <c r="A1329" s="401" t="str">
        <f t="shared" si="0"/>
        <v/>
      </c>
      <c r="B1329" s="278"/>
      <c r="C1329" s="256"/>
      <c r="D1329" s="255"/>
      <c r="E1329" s="255"/>
      <c r="F1329" s="258"/>
      <c r="G1329" s="255"/>
      <c r="H1329" s="255"/>
      <c r="I1329" s="250"/>
      <c r="J1329" s="255"/>
      <c r="K1329" s="255"/>
      <c r="L1329" s="250"/>
      <c r="M1329" s="255"/>
      <c r="N1329" s="278"/>
      <c r="O1329" s="329"/>
      <c r="P1329" s="402">
        <f t="shared" ref="P1329:Q1329" si="1327">IF(B1329=0,0,IF(YEAR(B1329)=$Q$1,MONTH(B1329)-$P$1+1,(YEAR(B1329)-$Q$1)*12-$P$1+1+MONTH(B1329)))</f>
        <v>0</v>
      </c>
      <c r="Q1329" s="402">
        <f t="shared" si="1327"/>
        <v>0</v>
      </c>
      <c r="R1329" s="356" t="e">
        <f t="shared" si="1325"/>
        <v>#N/A</v>
      </c>
      <c r="S1329" s="356" t="str">
        <f>IF(D1329="","",IF(OR(D1329=Plano!$A$1,D1329=Plano!$B$1),"entrada","saída"))</f>
        <v/>
      </c>
      <c r="T1329" s="345"/>
      <c r="U1329" s="345"/>
      <c r="V1329" s="269"/>
      <c r="W1329" s="269"/>
    </row>
    <row r="1330" spans="1:23" ht="120" customHeight="1" x14ac:dyDescent="0.2">
      <c r="A1330" s="401" t="str">
        <f t="shared" si="0"/>
        <v/>
      </c>
      <c r="B1330" s="278"/>
      <c r="C1330" s="256"/>
      <c r="D1330" s="255"/>
      <c r="E1330" s="255"/>
      <c r="F1330" s="258"/>
      <c r="G1330" s="255"/>
      <c r="H1330" s="255"/>
      <c r="I1330" s="250"/>
      <c r="J1330" s="255"/>
      <c r="K1330" s="255"/>
      <c r="L1330" s="250"/>
      <c r="M1330" s="255"/>
      <c r="N1330" s="278"/>
      <c r="O1330" s="329"/>
      <c r="P1330" s="402">
        <f t="shared" ref="P1330:Q1330" si="1328">IF(B1330=0,0,IF(YEAR(B1330)=$Q$1,MONTH(B1330)-$P$1+1,(YEAR(B1330)-$Q$1)*12-$P$1+1+MONTH(B1330)))</f>
        <v>0</v>
      </c>
      <c r="Q1330" s="402">
        <f t="shared" si="1328"/>
        <v>0</v>
      </c>
      <c r="R1330" s="356" t="e">
        <f t="shared" si="1325"/>
        <v>#N/A</v>
      </c>
      <c r="S1330" s="356" t="str">
        <f>IF(D1330="","",IF(OR(D1330=Plano!$A$1,D1330=Plano!$B$1),"entrada","saída"))</f>
        <v/>
      </c>
      <c r="T1330" s="345"/>
      <c r="U1330" s="345"/>
      <c r="V1330" s="269"/>
      <c r="W1330" s="269"/>
    </row>
    <row r="1331" spans="1:23" ht="120" customHeight="1" x14ac:dyDescent="0.2">
      <c r="A1331" s="401" t="str">
        <f t="shared" si="0"/>
        <v/>
      </c>
      <c r="B1331" s="278"/>
      <c r="C1331" s="256"/>
      <c r="D1331" s="255"/>
      <c r="E1331" s="255"/>
      <c r="F1331" s="258"/>
      <c r="G1331" s="255"/>
      <c r="H1331" s="255"/>
      <c r="I1331" s="250"/>
      <c r="J1331" s="255"/>
      <c r="K1331" s="255"/>
      <c r="L1331" s="250"/>
      <c r="M1331" s="255"/>
      <c r="N1331" s="278"/>
      <c r="O1331" s="329"/>
      <c r="P1331" s="402">
        <f t="shared" ref="P1331:Q1331" si="1329">IF(B1331=0,0,IF(YEAR(B1331)=$Q$1,MONTH(B1331)-$P$1+1,(YEAR(B1331)-$Q$1)*12-$P$1+1+MONTH(B1331)))</f>
        <v>0</v>
      </c>
      <c r="Q1331" s="402">
        <f t="shared" si="1329"/>
        <v>0</v>
      </c>
      <c r="R1331" s="356" t="e">
        <f t="shared" si="1325"/>
        <v>#N/A</v>
      </c>
      <c r="S1331" s="356" t="str">
        <f>IF(D1331="","",IF(OR(D1331=Plano!$A$1,D1331=Plano!$B$1),"entrada","saída"))</f>
        <v/>
      </c>
      <c r="T1331" s="345"/>
      <c r="U1331" s="345"/>
      <c r="V1331" s="269"/>
      <c r="W1331" s="269"/>
    </row>
    <row r="1332" spans="1:23" ht="120" customHeight="1" x14ac:dyDescent="0.2">
      <c r="A1332" s="401" t="str">
        <f t="shared" si="0"/>
        <v/>
      </c>
      <c r="B1332" s="278"/>
      <c r="C1332" s="256"/>
      <c r="D1332" s="255"/>
      <c r="E1332" s="255"/>
      <c r="F1332" s="258"/>
      <c r="G1332" s="255"/>
      <c r="H1332" s="255"/>
      <c r="I1332" s="250"/>
      <c r="J1332" s="255"/>
      <c r="K1332" s="255"/>
      <c r="L1332" s="250"/>
      <c r="M1332" s="255"/>
      <c r="N1332" s="278"/>
      <c r="O1332" s="329"/>
      <c r="P1332" s="402">
        <f t="shared" ref="P1332:Q1332" si="1330">IF(B1332=0,0,IF(YEAR(B1332)=$Q$1,MONTH(B1332)-$P$1+1,(YEAR(B1332)-$Q$1)*12-$P$1+1+MONTH(B1332)))</f>
        <v>0</v>
      </c>
      <c r="Q1332" s="402">
        <f t="shared" si="1330"/>
        <v>0</v>
      </c>
      <c r="R1332" s="356" t="e">
        <f t="shared" si="1325"/>
        <v>#N/A</v>
      </c>
      <c r="S1332" s="356" t="str">
        <f>IF(D1332="","",IF(OR(D1332=Plano!$A$1,D1332=Plano!$B$1),"entrada","saída"))</f>
        <v/>
      </c>
      <c r="T1332" s="345"/>
      <c r="U1332" s="345"/>
      <c r="V1332" s="269"/>
      <c r="W1332" s="269"/>
    </row>
    <row r="1333" spans="1:23" ht="120" customHeight="1" x14ac:dyDescent="0.2">
      <c r="A1333" s="401" t="str">
        <f t="shared" si="0"/>
        <v/>
      </c>
      <c r="B1333" s="278"/>
      <c r="C1333" s="256"/>
      <c r="D1333" s="255"/>
      <c r="E1333" s="255"/>
      <c r="F1333" s="258"/>
      <c r="G1333" s="255"/>
      <c r="H1333" s="255"/>
      <c r="I1333" s="250"/>
      <c r="J1333" s="255"/>
      <c r="K1333" s="255"/>
      <c r="L1333" s="250"/>
      <c r="M1333" s="255"/>
      <c r="N1333" s="278"/>
      <c r="O1333" s="329"/>
      <c r="P1333" s="402">
        <f t="shared" ref="P1333:Q1333" si="1331">IF(B1333=0,0,IF(YEAR(B1333)=$Q$1,MONTH(B1333)-$P$1+1,(YEAR(B1333)-$Q$1)*12-$P$1+1+MONTH(B1333)))</f>
        <v>0</v>
      </c>
      <c r="Q1333" s="402">
        <f t="shared" si="1331"/>
        <v>0</v>
      </c>
      <c r="R1333" s="356" t="e">
        <f t="shared" si="1325"/>
        <v>#N/A</v>
      </c>
      <c r="S1333" s="356" t="str">
        <f>IF(D1333="","",IF(OR(D1333=Plano!$A$1,D1333=Plano!$B$1),"entrada","saída"))</f>
        <v/>
      </c>
      <c r="T1333" s="345"/>
      <c r="U1333" s="345"/>
      <c r="V1333" s="269"/>
      <c r="W1333" s="269"/>
    </row>
    <row r="1334" spans="1:23" ht="120" customHeight="1" x14ac:dyDescent="0.2">
      <c r="A1334" s="401" t="str">
        <f t="shared" si="0"/>
        <v/>
      </c>
      <c r="B1334" s="278"/>
      <c r="C1334" s="256"/>
      <c r="D1334" s="255"/>
      <c r="E1334" s="255"/>
      <c r="F1334" s="258"/>
      <c r="G1334" s="255"/>
      <c r="H1334" s="255"/>
      <c r="I1334" s="250"/>
      <c r="J1334" s="255"/>
      <c r="K1334" s="255"/>
      <c r="L1334" s="250"/>
      <c r="M1334" s="255"/>
      <c r="N1334" s="278"/>
      <c r="O1334" s="329"/>
      <c r="P1334" s="402">
        <f t="shared" ref="P1334:Q1334" si="1332">IF(B1334=0,0,IF(YEAR(B1334)=$Q$1,MONTH(B1334)-$P$1+1,(YEAR(B1334)-$Q$1)*12-$P$1+1+MONTH(B1334)))</f>
        <v>0</v>
      </c>
      <c r="Q1334" s="402">
        <f t="shared" si="1332"/>
        <v>0</v>
      </c>
      <c r="R1334" s="356" t="e">
        <f t="shared" si="1325"/>
        <v>#N/A</v>
      </c>
      <c r="S1334" s="356" t="str">
        <f>IF(D1334="","",IF(OR(D1334=Plano!$A$1,D1334=Plano!$B$1),"entrada","saída"))</f>
        <v/>
      </c>
      <c r="T1334" s="345"/>
      <c r="U1334" s="345"/>
      <c r="V1334" s="269"/>
      <c r="W1334" s="269"/>
    </row>
    <row r="1335" spans="1:23" ht="120" customHeight="1" x14ac:dyDescent="0.2">
      <c r="A1335" s="401" t="str">
        <f t="shared" si="0"/>
        <v/>
      </c>
      <c r="B1335" s="278"/>
      <c r="C1335" s="256"/>
      <c r="D1335" s="255"/>
      <c r="E1335" s="255"/>
      <c r="F1335" s="258"/>
      <c r="G1335" s="255"/>
      <c r="H1335" s="255"/>
      <c r="I1335" s="250"/>
      <c r="J1335" s="255"/>
      <c r="K1335" s="255"/>
      <c r="L1335" s="250"/>
      <c r="M1335" s="255"/>
      <c r="N1335" s="278"/>
      <c r="O1335" s="329"/>
      <c r="P1335" s="402">
        <f t="shared" ref="P1335:Q1335" si="1333">IF(B1335=0,0,IF(YEAR(B1335)=$Q$1,MONTH(B1335)-$P$1+1,(YEAR(B1335)-$Q$1)*12-$P$1+1+MONTH(B1335)))</f>
        <v>0</v>
      </c>
      <c r="Q1335" s="402">
        <f t="shared" si="1333"/>
        <v>0</v>
      </c>
      <c r="R1335" s="356" t="e">
        <f t="shared" si="1325"/>
        <v>#N/A</v>
      </c>
      <c r="S1335" s="356" t="str">
        <f>IF(D1335="","",IF(OR(D1335=Plano!$A$1,D1335=Plano!$B$1),"entrada","saída"))</f>
        <v/>
      </c>
      <c r="T1335" s="345"/>
      <c r="U1335" s="345"/>
      <c r="V1335" s="269"/>
      <c r="W1335" s="269"/>
    </row>
    <row r="1336" spans="1:23" ht="120" customHeight="1" x14ac:dyDescent="0.2">
      <c r="A1336" s="401" t="str">
        <f t="shared" si="0"/>
        <v/>
      </c>
      <c r="B1336" s="278"/>
      <c r="C1336" s="256"/>
      <c r="D1336" s="255"/>
      <c r="E1336" s="255"/>
      <c r="F1336" s="258"/>
      <c r="G1336" s="255"/>
      <c r="H1336" s="255"/>
      <c r="I1336" s="250"/>
      <c r="J1336" s="255"/>
      <c r="K1336" s="255"/>
      <c r="L1336" s="250"/>
      <c r="M1336" s="255"/>
      <c r="N1336" s="278"/>
      <c r="O1336" s="329"/>
      <c r="P1336" s="402">
        <f t="shared" ref="P1336:Q1336" si="1334">IF(B1336=0,0,IF(YEAR(B1336)=$Q$1,MONTH(B1336)-$P$1+1,(YEAR(B1336)-$Q$1)*12-$P$1+1+MONTH(B1336)))</f>
        <v>0</v>
      </c>
      <c r="Q1336" s="402">
        <f t="shared" si="1334"/>
        <v>0</v>
      </c>
      <c r="R1336" s="356" t="e">
        <f t="shared" si="1325"/>
        <v>#N/A</v>
      </c>
      <c r="S1336" s="356" t="str">
        <f>IF(D1336="","",IF(OR(D1336=Plano!$A$1,D1336=Plano!$B$1),"entrada","saída"))</f>
        <v/>
      </c>
      <c r="T1336" s="345"/>
      <c r="U1336" s="345"/>
      <c r="V1336" s="269"/>
      <c r="W1336" s="269"/>
    </row>
    <row r="1337" spans="1:23" ht="120" customHeight="1" x14ac:dyDescent="0.2">
      <c r="A1337" s="401" t="str">
        <f t="shared" si="0"/>
        <v/>
      </c>
      <c r="B1337" s="278"/>
      <c r="C1337" s="256"/>
      <c r="D1337" s="255"/>
      <c r="E1337" s="255"/>
      <c r="F1337" s="258"/>
      <c r="G1337" s="255"/>
      <c r="H1337" s="255"/>
      <c r="I1337" s="250"/>
      <c r="J1337" s="255"/>
      <c r="K1337" s="255"/>
      <c r="L1337" s="250"/>
      <c r="M1337" s="255"/>
      <c r="N1337" s="278"/>
      <c r="O1337" s="329"/>
      <c r="P1337" s="402">
        <f t="shared" ref="P1337:Q1337" si="1335">IF(B1337=0,0,IF(YEAR(B1337)=$Q$1,MONTH(B1337)-$P$1+1,(YEAR(B1337)-$Q$1)*12-$P$1+1+MONTH(B1337)))</f>
        <v>0</v>
      </c>
      <c r="Q1337" s="402">
        <f t="shared" si="1335"/>
        <v>0</v>
      </c>
      <c r="R1337" s="356" t="e">
        <f t="shared" si="1325"/>
        <v>#N/A</v>
      </c>
      <c r="S1337" s="356" t="str">
        <f>IF(D1337="","",IF(OR(D1337=Plano!$A$1,D1337=Plano!$B$1),"entrada","saída"))</f>
        <v/>
      </c>
      <c r="T1337" s="345"/>
      <c r="U1337" s="345"/>
      <c r="V1337" s="269"/>
      <c r="W1337" s="269"/>
    </row>
    <row r="1338" spans="1:23" ht="120" customHeight="1" x14ac:dyDescent="0.2">
      <c r="A1338" s="401" t="str">
        <f t="shared" si="0"/>
        <v/>
      </c>
      <c r="B1338" s="278"/>
      <c r="C1338" s="256"/>
      <c r="D1338" s="255"/>
      <c r="E1338" s="255"/>
      <c r="F1338" s="258"/>
      <c r="G1338" s="255"/>
      <c r="H1338" s="255"/>
      <c r="I1338" s="250"/>
      <c r="J1338" s="255"/>
      <c r="K1338" s="255"/>
      <c r="L1338" s="250"/>
      <c r="M1338" s="255"/>
      <c r="N1338" s="278"/>
      <c r="O1338" s="329"/>
      <c r="P1338" s="402">
        <f t="shared" ref="P1338:Q1338" si="1336">IF(B1338=0,0,IF(YEAR(B1338)=$Q$1,MONTH(B1338)-$P$1+1,(YEAR(B1338)-$Q$1)*12-$P$1+1+MONTH(B1338)))</f>
        <v>0</v>
      </c>
      <c r="Q1338" s="402">
        <f t="shared" si="1336"/>
        <v>0</v>
      </c>
      <c r="R1338" s="356" t="e">
        <f t="shared" si="1325"/>
        <v>#N/A</v>
      </c>
      <c r="S1338" s="356" t="str">
        <f>IF(D1338="","",IF(OR(D1338=Plano!$A$1,D1338=Plano!$B$1),"entrada","saída"))</f>
        <v/>
      </c>
      <c r="T1338" s="345"/>
      <c r="U1338" s="345"/>
      <c r="V1338" s="269"/>
      <c r="W1338" s="269"/>
    </row>
    <row r="1339" spans="1:23" ht="120" customHeight="1" x14ac:dyDescent="0.2">
      <c r="A1339" s="401" t="str">
        <f t="shared" si="0"/>
        <v/>
      </c>
      <c r="B1339" s="278"/>
      <c r="C1339" s="256"/>
      <c r="D1339" s="255"/>
      <c r="E1339" s="255"/>
      <c r="F1339" s="258"/>
      <c r="G1339" s="255"/>
      <c r="H1339" s="255"/>
      <c r="I1339" s="250"/>
      <c r="J1339" s="255"/>
      <c r="K1339" s="255"/>
      <c r="L1339" s="250"/>
      <c r="M1339" s="255"/>
      <c r="N1339" s="278"/>
      <c r="O1339" s="329"/>
      <c r="P1339" s="402">
        <f t="shared" ref="P1339:Q1339" si="1337">IF(B1339=0,0,IF(YEAR(B1339)=$Q$1,MONTH(B1339)-$P$1+1,(YEAR(B1339)-$Q$1)*12-$P$1+1+MONTH(B1339)))</f>
        <v>0</v>
      </c>
      <c r="Q1339" s="402">
        <f t="shared" si="1337"/>
        <v>0</v>
      </c>
      <c r="R1339" s="356" t="e">
        <f t="shared" si="1325"/>
        <v>#N/A</v>
      </c>
      <c r="S1339" s="356" t="str">
        <f>IF(D1339="","",IF(OR(D1339=Plano!$A$1,D1339=Plano!$B$1),"entrada","saída"))</f>
        <v/>
      </c>
      <c r="T1339" s="345"/>
      <c r="U1339" s="345"/>
      <c r="V1339" s="269"/>
      <c r="W1339" s="269"/>
    </row>
    <row r="1340" spans="1:23" ht="120" customHeight="1" x14ac:dyDescent="0.2">
      <c r="A1340" s="401" t="str">
        <f t="shared" si="0"/>
        <v/>
      </c>
      <c r="B1340" s="278"/>
      <c r="C1340" s="256"/>
      <c r="D1340" s="255"/>
      <c r="E1340" s="255"/>
      <c r="F1340" s="258"/>
      <c r="G1340" s="255"/>
      <c r="H1340" s="255"/>
      <c r="I1340" s="250"/>
      <c r="J1340" s="255"/>
      <c r="K1340" s="255"/>
      <c r="L1340" s="250"/>
      <c r="M1340" s="255"/>
      <c r="N1340" s="278"/>
      <c r="O1340" s="329"/>
      <c r="P1340" s="402">
        <f t="shared" ref="P1340:Q1340" si="1338">IF(B1340=0,0,IF(YEAR(B1340)=$Q$1,MONTH(B1340)-$P$1+1,(YEAR(B1340)-$Q$1)*12-$P$1+1+MONTH(B1340)))</f>
        <v>0</v>
      </c>
      <c r="Q1340" s="402">
        <f t="shared" si="1338"/>
        <v>0</v>
      </c>
      <c r="R1340" s="356" t="e">
        <f t="shared" si="1325"/>
        <v>#N/A</v>
      </c>
      <c r="S1340" s="356" t="str">
        <f>IF(D1340="","",IF(OR(D1340=Plano!$A$1,D1340=Plano!$B$1),"entrada","saída"))</f>
        <v/>
      </c>
      <c r="T1340" s="345"/>
      <c r="U1340" s="345"/>
      <c r="V1340" s="269"/>
      <c r="W1340" s="269"/>
    </row>
    <row r="1341" spans="1:23" ht="120" customHeight="1" x14ac:dyDescent="0.2">
      <c r="A1341" s="401" t="str">
        <f t="shared" si="0"/>
        <v/>
      </c>
      <c r="B1341" s="278"/>
      <c r="C1341" s="256"/>
      <c r="D1341" s="255"/>
      <c r="E1341" s="255"/>
      <c r="F1341" s="258"/>
      <c r="G1341" s="255"/>
      <c r="H1341" s="255"/>
      <c r="I1341" s="250"/>
      <c r="J1341" s="255"/>
      <c r="K1341" s="255"/>
      <c r="L1341" s="250"/>
      <c r="M1341" s="255"/>
      <c r="N1341" s="278"/>
      <c r="O1341" s="329"/>
      <c r="P1341" s="402">
        <f t="shared" ref="P1341:Q1341" si="1339">IF(B1341=0,0,IF(YEAR(B1341)=$Q$1,MONTH(B1341)-$P$1+1,(YEAR(B1341)-$Q$1)*12-$P$1+1+MONTH(B1341)))</f>
        <v>0</v>
      </c>
      <c r="Q1341" s="402">
        <f t="shared" si="1339"/>
        <v>0</v>
      </c>
      <c r="R1341" s="356" t="e">
        <f t="shared" si="1325"/>
        <v>#N/A</v>
      </c>
      <c r="S1341" s="356" t="str">
        <f>IF(D1341="","",IF(OR(D1341=Plano!$A$1,D1341=Plano!$B$1),"entrada","saída"))</f>
        <v/>
      </c>
      <c r="T1341" s="345"/>
      <c r="U1341" s="345"/>
      <c r="V1341" s="269"/>
      <c r="W1341" s="269"/>
    </row>
    <row r="1342" spans="1:23" ht="120" customHeight="1" x14ac:dyDescent="0.2">
      <c r="A1342" s="401" t="str">
        <f t="shared" si="0"/>
        <v/>
      </c>
      <c r="B1342" s="278"/>
      <c r="C1342" s="256"/>
      <c r="D1342" s="255"/>
      <c r="E1342" s="255"/>
      <c r="F1342" s="258"/>
      <c r="G1342" s="255"/>
      <c r="H1342" s="255"/>
      <c r="I1342" s="250"/>
      <c r="J1342" s="255"/>
      <c r="K1342" s="255"/>
      <c r="L1342" s="250"/>
      <c r="M1342" s="255"/>
      <c r="N1342" s="278"/>
      <c r="O1342" s="329"/>
      <c r="P1342" s="402">
        <f t="shared" ref="P1342:Q1342" si="1340">IF(B1342=0,0,IF(YEAR(B1342)=$Q$1,MONTH(B1342)-$P$1+1,(YEAR(B1342)-$Q$1)*12-$P$1+1+MONTH(B1342)))</f>
        <v>0</v>
      </c>
      <c r="Q1342" s="402">
        <f t="shared" si="1340"/>
        <v>0</v>
      </c>
      <c r="R1342" s="356" t="e">
        <f t="shared" si="1325"/>
        <v>#N/A</v>
      </c>
      <c r="S1342" s="356" t="str">
        <f>IF(D1342="","",IF(OR(D1342=Plano!$A$1,D1342=Plano!$B$1),"entrada","saída"))</f>
        <v/>
      </c>
      <c r="T1342" s="345"/>
      <c r="U1342" s="345"/>
      <c r="V1342" s="269"/>
      <c r="W1342" s="269"/>
    </row>
    <row r="1343" spans="1:23" ht="120" customHeight="1" x14ac:dyDescent="0.2">
      <c r="A1343" s="401" t="str">
        <f t="shared" si="0"/>
        <v/>
      </c>
      <c r="B1343" s="278"/>
      <c r="C1343" s="256"/>
      <c r="D1343" s="255"/>
      <c r="E1343" s="255"/>
      <c r="F1343" s="258"/>
      <c r="G1343" s="255"/>
      <c r="H1343" s="255"/>
      <c r="I1343" s="250"/>
      <c r="J1343" s="255"/>
      <c r="K1343" s="255"/>
      <c r="L1343" s="250"/>
      <c r="M1343" s="255"/>
      <c r="N1343" s="278"/>
      <c r="O1343" s="329"/>
      <c r="P1343" s="402">
        <f t="shared" ref="P1343:Q1343" si="1341">IF(B1343=0,0,IF(YEAR(B1343)=$Q$1,MONTH(B1343)-$P$1+1,(YEAR(B1343)-$Q$1)*12-$P$1+1+MONTH(B1343)))</f>
        <v>0</v>
      </c>
      <c r="Q1343" s="402">
        <f t="shared" si="1341"/>
        <v>0</v>
      </c>
      <c r="R1343" s="356" t="e">
        <f t="shared" si="1325"/>
        <v>#N/A</v>
      </c>
      <c r="S1343" s="356" t="str">
        <f>IF(D1343="","",IF(OR(D1343=Plano!$A$1,D1343=Plano!$B$1),"entrada","saída"))</f>
        <v/>
      </c>
      <c r="T1343" s="345"/>
      <c r="U1343" s="345"/>
      <c r="V1343" s="269"/>
      <c r="W1343" s="269"/>
    </row>
    <row r="1344" spans="1:23" ht="120" customHeight="1" x14ac:dyDescent="0.2">
      <c r="A1344" s="401" t="str">
        <f t="shared" si="0"/>
        <v/>
      </c>
      <c r="B1344" s="278"/>
      <c r="C1344" s="256"/>
      <c r="D1344" s="255"/>
      <c r="E1344" s="255"/>
      <c r="F1344" s="258"/>
      <c r="G1344" s="255"/>
      <c r="H1344" s="255"/>
      <c r="I1344" s="250"/>
      <c r="J1344" s="255"/>
      <c r="K1344" s="255"/>
      <c r="L1344" s="250"/>
      <c r="M1344" s="255"/>
      <c r="N1344" s="278"/>
      <c r="O1344" s="329"/>
      <c r="P1344" s="402">
        <f t="shared" ref="P1344:Q1344" si="1342">IF(B1344=0,0,IF(YEAR(B1344)=$Q$1,MONTH(B1344)-$P$1+1,(YEAR(B1344)-$Q$1)*12-$P$1+1+MONTH(B1344)))</f>
        <v>0</v>
      </c>
      <c r="Q1344" s="402">
        <f t="shared" si="1342"/>
        <v>0</v>
      </c>
      <c r="R1344" s="356" t="e">
        <f t="shared" si="1325"/>
        <v>#N/A</v>
      </c>
      <c r="S1344" s="356" t="str">
        <f>IF(D1344="","",IF(OR(D1344=Plano!$A$1,D1344=Plano!$B$1),"entrada","saída"))</f>
        <v/>
      </c>
      <c r="T1344" s="345"/>
      <c r="U1344" s="345"/>
      <c r="V1344" s="269"/>
      <c r="W1344" s="269"/>
    </row>
    <row r="1345" spans="1:23" ht="120" customHeight="1" x14ac:dyDescent="0.2">
      <c r="A1345" s="401" t="str">
        <f t="shared" si="0"/>
        <v/>
      </c>
      <c r="B1345" s="278"/>
      <c r="C1345" s="256"/>
      <c r="D1345" s="255"/>
      <c r="E1345" s="255"/>
      <c r="F1345" s="258"/>
      <c r="G1345" s="255"/>
      <c r="H1345" s="255"/>
      <c r="I1345" s="250"/>
      <c r="J1345" s="255"/>
      <c r="K1345" s="255"/>
      <c r="L1345" s="250"/>
      <c r="M1345" s="255"/>
      <c r="N1345" s="278"/>
      <c r="O1345" s="329"/>
      <c r="P1345" s="402">
        <f t="shared" ref="P1345:Q1345" si="1343">IF(B1345=0,0,IF(YEAR(B1345)=$Q$1,MONTH(B1345)-$P$1+1,(YEAR(B1345)-$Q$1)*12-$P$1+1+MONTH(B1345)))</f>
        <v>0</v>
      </c>
      <c r="Q1345" s="402">
        <f t="shared" si="1343"/>
        <v>0</v>
      </c>
      <c r="R1345" s="356" t="e">
        <f t="shared" si="1325"/>
        <v>#N/A</v>
      </c>
      <c r="S1345" s="356" t="str">
        <f>IF(D1345="","",IF(OR(D1345=Plano!$A$1,D1345=Plano!$B$1),"entrada","saída"))</f>
        <v/>
      </c>
      <c r="T1345" s="345"/>
      <c r="U1345" s="345"/>
      <c r="V1345" s="269"/>
      <c r="W1345" s="269"/>
    </row>
    <row r="1346" spans="1:23" ht="120" customHeight="1" x14ac:dyDescent="0.2">
      <c r="A1346" s="401" t="str">
        <f t="shared" si="0"/>
        <v/>
      </c>
      <c r="B1346" s="278"/>
      <c r="C1346" s="256"/>
      <c r="D1346" s="255"/>
      <c r="E1346" s="255"/>
      <c r="F1346" s="258"/>
      <c r="G1346" s="255"/>
      <c r="H1346" s="255"/>
      <c r="I1346" s="250"/>
      <c r="J1346" s="255"/>
      <c r="K1346" s="255"/>
      <c r="L1346" s="250"/>
      <c r="M1346" s="255"/>
      <c r="N1346" s="278"/>
      <c r="O1346" s="329"/>
      <c r="P1346" s="402">
        <f t="shared" ref="P1346:Q1346" si="1344">IF(B1346=0,0,IF(YEAR(B1346)=$Q$1,MONTH(B1346)-$P$1+1,(YEAR(B1346)-$Q$1)*12-$P$1+1+MONTH(B1346)))</f>
        <v>0</v>
      </c>
      <c r="Q1346" s="402">
        <f t="shared" si="1344"/>
        <v>0</v>
      </c>
      <c r="R1346" s="356" t="e">
        <f t="shared" si="1325"/>
        <v>#N/A</v>
      </c>
      <c r="S1346" s="356" t="str">
        <f>IF(D1346="","",IF(OR(D1346=Plano!$A$1,D1346=Plano!$B$1),"entrada","saída"))</f>
        <v/>
      </c>
      <c r="T1346" s="345"/>
      <c r="U1346" s="345"/>
      <c r="V1346" s="269"/>
      <c r="W1346" s="269"/>
    </row>
    <row r="1347" spans="1:23" ht="120" customHeight="1" x14ac:dyDescent="0.2">
      <c r="A1347" s="401" t="str">
        <f t="shared" si="0"/>
        <v/>
      </c>
      <c r="B1347" s="278"/>
      <c r="C1347" s="256"/>
      <c r="D1347" s="255"/>
      <c r="E1347" s="255"/>
      <c r="F1347" s="258"/>
      <c r="G1347" s="255"/>
      <c r="H1347" s="255"/>
      <c r="I1347" s="250"/>
      <c r="J1347" s="255"/>
      <c r="K1347" s="255"/>
      <c r="L1347" s="250"/>
      <c r="M1347" s="255"/>
      <c r="N1347" s="278"/>
      <c r="O1347" s="329"/>
      <c r="P1347" s="402">
        <f t="shared" ref="P1347:Q1347" si="1345">IF(B1347=0,0,IF(YEAR(B1347)=$Q$1,MONTH(B1347)-$P$1+1,(YEAR(B1347)-$Q$1)*12-$P$1+1+MONTH(B1347)))</f>
        <v>0</v>
      </c>
      <c r="Q1347" s="402">
        <f t="shared" si="1345"/>
        <v>0</v>
      </c>
      <c r="R1347" s="356" t="e">
        <f t="shared" si="1325"/>
        <v>#N/A</v>
      </c>
      <c r="S1347" s="356" t="str">
        <f>IF(D1347="","",IF(OR(D1347=Plano!$A$1,D1347=Plano!$B$1),"entrada","saída"))</f>
        <v/>
      </c>
      <c r="T1347" s="345"/>
      <c r="U1347" s="345"/>
      <c r="V1347" s="269"/>
      <c r="W1347" s="269"/>
    </row>
    <row r="1348" spans="1:23" ht="120" customHeight="1" x14ac:dyDescent="0.2">
      <c r="A1348" s="401" t="str">
        <f t="shared" si="0"/>
        <v/>
      </c>
      <c r="B1348" s="278"/>
      <c r="C1348" s="256"/>
      <c r="D1348" s="255"/>
      <c r="E1348" s="255"/>
      <c r="F1348" s="258"/>
      <c r="G1348" s="255"/>
      <c r="H1348" s="255"/>
      <c r="I1348" s="250"/>
      <c r="J1348" s="255"/>
      <c r="K1348" s="255"/>
      <c r="L1348" s="250"/>
      <c r="M1348" s="255"/>
      <c r="N1348" s="278"/>
      <c r="O1348" s="329"/>
      <c r="P1348" s="402">
        <f t="shared" ref="P1348:Q1348" si="1346">IF(B1348=0,0,IF(YEAR(B1348)=$Q$1,MONTH(B1348)-$P$1+1,(YEAR(B1348)-$Q$1)*12-$P$1+1+MONTH(B1348)))</f>
        <v>0</v>
      </c>
      <c r="Q1348" s="402">
        <f t="shared" si="1346"/>
        <v>0</v>
      </c>
      <c r="R1348" s="356" t="e">
        <f t="shared" si="1325"/>
        <v>#N/A</v>
      </c>
      <c r="S1348" s="356" t="str">
        <f>IF(D1348="","",IF(OR(D1348=Plano!$A$1,D1348=Plano!$B$1),"entrada","saída"))</f>
        <v/>
      </c>
      <c r="T1348" s="345"/>
      <c r="U1348" s="345"/>
      <c r="V1348" s="269"/>
      <c r="W1348" s="269"/>
    </row>
    <row r="1349" spans="1:23" ht="120" customHeight="1" x14ac:dyDescent="0.2">
      <c r="A1349" s="401" t="str">
        <f t="shared" si="0"/>
        <v/>
      </c>
      <c r="B1349" s="278"/>
      <c r="C1349" s="256"/>
      <c r="D1349" s="255"/>
      <c r="E1349" s="255"/>
      <c r="F1349" s="258"/>
      <c r="G1349" s="255"/>
      <c r="H1349" s="255"/>
      <c r="I1349" s="250"/>
      <c r="J1349" s="255"/>
      <c r="K1349" s="255"/>
      <c r="L1349" s="250"/>
      <c r="M1349" s="255"/>
      <c r="N1349" s="278"/>
      <c r="O1349" s="329"/>
      <c r="P1349" s="402">
        <f t="shared" ref="P1349:Q1349" si="1347">IF(B1349=0,0,IF(YEAR(B1349)=$Q$1,MONTH(B1349)-$P$1+1,(YEAR(B1349)-$Q$1)*12-$P$1+1+MONTH(B1349)))</f>
        <v>0</v>
      </c>
      <c r="Q1349" s="402">
        <f t="shared" si="1347"/>
        <v>0</v>
      </c>
      <c r="R1349" s="356" t="e">
        <f t="shared" si="1325"/>
        <v>#N/A</v>
      </c>
      <c r="S1349" s="356" t="str">
        <f>IF(D1349="","",IF(OR(D1349=Plano!$A$1,D1349=Plano!$B$1),"entrada","saída"))</f>
        <v/>
      </c>
      <c r="T1349" s="345"/>
      <c r="U1349" s="345"/>
      <c r="V1349" s="269"/>
      <c r="W1349" s="269"/>
    </row>
    <row r="1350" spans="1:23" ht="120" customHeight="1" x14ac:dyDescent="0.2">
      <c r="A1350" s="401" t="str">
        <f t="shared" si="0"/>
        <v/>
      </c>
      <c r="B1350" s="278"/>
      <c r="C1350" s="256"/>
      <c r="D1350" s="255"/>
      <c r="E1350" s="255"/>
      <c r="F1350" s="258"/>
      <c r="G1350" s="255"/>
      <c r="H1350" s="255"/>
      <c r="I1350" s="250"/>
      <c r="J1350" s="255"/>
      <c r="K1350" s="255"/>
      <c r="L1350" s="250"/>
      <c r="M1350" s="255"/>
      <c r="N1350" s="278"/>
      <c r="O1350" s="329"/>
      <c r="P1350" s="402">
        <f t="shared" ref="P1350:Q1350" si="1348">IF(B1350=0,0,IF(YEAR(B1350)=$Q$1,MONTH(B1350)-$P$1+1,(YEAR(B1350)-$Q$1)*12-$P$1+1+MONTH(B1350)))</f>
        <v>0</v>
      </c>
      <c r="Q1350" s="402">
        <f t="shared" si="1348"/>
        <v>0</v>
      </c>
      <c r="R1350" s="356" t="e">
        <f t="shared" si="1325"/>
        <v>#N/A</v>
      </c>
      <c r="S1350" s="356" t="str">
        <f>IF(D1350="","",IF(OR(D1350=Plano!$A$1,D1350=Plano!$B$1),"entrada","saída"))</f>
        <v/>
      </c>
      <c r="T1350" s="345"/>
      <c r="U1350" s="345"/>
      <c r="V1350" s="269"/>
      <c r="W1350" s="269"/>
    </row>
    <row r="1351" spans="1:23" ht="120" customHeight="1" x14ac:dyDescent="0.2">
      <c r="A1351" s="401" t="str">
        <f t="shared" si="0"/>
        <v/>
      </c>
      <c r="B1351" s="278"/>
      <c r="C1351" s="256"/>
      <c r="D1351" s="255"/>
      <c r="E1351" s="255"/>
      <c r="F1351" s="258"/>
      <c r="G1351" s="255"/>
      <c r="H1351" s="255"/>
      <c r="I1351" s="250"/>
      <c r="J1351" s="255"/>
      <c r="K1351" s="255"/>
      <c r="L1351" s="250"/>
      <c r="M1351" s="255"/>
      <c r="N1351" s="278"/>
      <c r="O1351" s="329"/>
      <c r="P1351" s="402">
        <f t="shared" ref="P1351:Q1351" si="1349">IF(B1351=0,0,IF(YEAR(B1351)=$Q$1,MONTH(B1351)-$P$1+1,(YEAR(B1351)-$Q$1)*12-$P$1+1+MONTH(B1351)))</f>
        <v>0</v>
      </c>
      <c r="Q1351" s="402">
        <f t="shared" si="1349"/>
        <v>0</v>
      </c>
      <c r="R1351" s="356" t="e">
        <f t="shared" si="1325"/>
        <v>#N/A</v>
      </c>
      <c r="S1351" s="356" t="str">
        <f>IF(D1351="","",IF(OR(D1351=Plano!$A$1,D1351=Plano!$B$1),"entrada","saída"))</f>
        <v/>
      </c>
      <c r="T1351" s="345"/>
      <c r="U1351" s="345"/>
      <c r="V1351" s="269"/>
      <c r="W1351" s="269"/>
    </row>
    <row r="1352" spans="1:23" ht="120" customHeight="1" x14ac:dyDescent="0.2">
      <c r="A1352" s="401" t="str">
        <f t="shared" si="0"/>
        <v/>
      </c>
      <c r="B1352" s="278"/>
      <c r="C1352" s="256"/>
      <c r="D1352" s="255"/>
      <c r="E1352" s="255"/>
      <c r="F1352" s="258"/>
      <c r="G1352" s="255"/>
      <c r="H1352" s="255"/>
      <c r="I1352" s="250"/>
      <c r="J1352" s="255"/>
      <c r="K1352" s="255"/>
      <c r="L1352" s="250"/>
      <c r="M1352" s="255"/>
      <c r="N1352" s="278"/>
      <c r="O1352" s="329"/>
      <c r="P1352" s="402">
        <f t="shared" ref="P1352:Q1352" si="1350">IF(B1352=0,0,IF(YEAR(B1352)=$Q$1,MONTH(B1352)-$P$1+1,(YEAR(B1352)-$Q$1)*12-$P$1+1+MONTH(B1352)))</f>
        <v>0</v>
      </c>
      <c r="Q1352" s="402">
        <f t="shared" si="1350"/>
        <v>0</v>
      </c>
      <c r="R1352" s="356" t="e">
        <f t="shared" si="1325"/>
        <v>#N/A</v>
      </c>
      <c r="S1352" s="356" t="str">
        <f>IF(D1352="","",IF(OR(D1352=Plano!$A$1,D1352=Plano!$B$1),"entrada","saída"))</f>
        <v/>
      </c>
      <c r="T1352" s="345"/>
      <c r="U1352" s="345"/>
      <c r="V1352" s="269"/>
      <c r="W1352" s="269"/>
    </row>
    <row r="1353" spans="1:23" ht="120" customHeight="1" x14ac:dyDescent="0.2">
      <c r="A1353" s="401" t="str">
        <f t="shared" si="0"/>
        <v/>
      </c>
      <c r="B1353" s="278"/>
      <c r="C1353" s="256"/>
      <c r="D1353" s="255"/>
      <c r="E1353" s="255"/>
      <c r="F1353" s="258"/>
      <c r="G1353" s="255"/>
      <c r="H1353" s="255"/>
      <c r="I1353" s="250"/>
      <c r="J1353" s="255"/>
      <c r="K1353" s="255"/>
      <c r="L1353" s="250"/>
      <c r="M1353" s="255"/>
      <c r="N1353" s="278"/>
      <c r="O1353" s="329"/>
      <c r="P1353" s="402">
        <f t="shared" ref="P1353:Q1353" si="1351">IF(B1353=0,0,IF(YEAR(B1353)=$Q$1,MONTH(B1353)-$P$1+1,(YEAR(B1353)-$Q$1)*12-$P$1+1+MONTH(B1353)))</f>
        <v>0</v>
      </c>
      <c r="Q1353" s="402">
        <f t="shared" si="1351"/>
        <v>0</v>
      </c>
      <c r="R1353" s="356" t="e">
        <f t="shared" si="1325"/>
        <v>#N/A</v>
      </c>
      <c r="S1353" s="356" t="str">
        <f>IF(D1353="","",IF(OR(D1353=Plano!$A$1,D1353=Plano!$B$1),"entrada","saída"))</f>
        <v/>
      </c>
      <c r="T1353" s="345"/>
      <c r="U1353" s="345"/>
      <c r="V1353" s="269"/>
      <c r="W1353" s="269"/>
    </row>
    <row r="1354" spans="1:23" ht="120" customHeight="1" x14ac:dyDescent="0.2">
      <c r="A1354" s="401" t="str">
        <f t="shared" si="0"/>
        <v/>
      </c>
      <c r="B1354" s="278"/>
      <c r="C1354" s="256"/>
      <c r="D1354" s="255"/>
      <c r="E1354" s="255"/>
      <c r="F1354" s="258"/>
      <c r="G1354" s="255"/>
      <c r="H1354" s="255"/>
      <c r="I1354" s="250"/>
      <c r="J1354" s="255"/>
      <c r="K1354" s="255"/>
      <c r="L1354" s="250"/>
      <c r="M1354" s="255"/>
      <c r="N1354" s="278"/>
      <c r="O1354" s="329"/>
      <c r="P1354" s="402">
        <f t="shared" ref="P1354:Q1354" si="1352">IF(B1354=0,0,IF(YEAR(B1354)=$Q$1,MONTH(B1354)-$P$1+1,(YEAR(B1354)-$Q$1)*12-$P$1+1+MONTH(B1354)))</f>
        <v>0</v>
      </c>
      <c r="Q1354" s="402">
        <f t="shared" si="1352"/>
        <v>0</v>
      </c>
      <c r="R1354" s="356" t="e">
        <f t="shared" si="1325"/>
        <v>#N/A</v>
      </c>
      <c r="S1354" s="356" t="str">
        <f>IF(D1354="","",IF(OR(D1354=Plano!$A$1,D1354=Plano!$B$1),"entrada","saída"))</f>
        <v/>
      </c>
      <c r="T1354" s="345"/>
      <c r="U1354" s="345"/>
      <c r="V1354" s="269"/>
      <c r="W1354" s="269"/>
    </row>
    <row r="1355" spans="1:23" ht="120" customHeight="1" x14ac:dyDescent="0.2">
      <c r="A1355" s="401" t="str">
        <f t="shared" si="0"/>
        <v/>
      </c>
      <c r="B1355" s="278"/>
      <c r="C1355" s="256"/>
      <c r="D1355" s="255"/>
      <c r="E1355" s="255"/>
      <c r="F1355" s="258"/>
      <c r="G1355" s="255"/>
      <c r="H1355" s="255"/>
      <c r="I1355" s="250"/>
      <c r="J1355" s="255"/>
      <c r="K1355" s="255"/>
      <c r="L1355" s="250"/>
      <c r="M1355" s="255"/>
      <c r="N1355" s="278"/>
      <c r="O1355" s="329"/>
      <c r="P1355" s="402">
        <f t="shared" ref="P1355:Q1355" si="1353">IF(B1355=0,0,IF(YEAR(B1355)=$Q$1,MONTH(B1355)-$P$1+1,(YEAR(B1355)-$Q$1)*12-$P$1+1+MONTH(B1355)))</f>
        <v>0</v>
      </c>
      <c r="Q1355" s="402">
        <f t="shared" si="1353"/>
        <v>0</v>
      </c>
      <c r="R1355" s="356" t="e">
        <f t="shared" si="1325"/>
        <v>#N/A</v>
      </c>
      <c r="S1355" s="356" t="str">
        <f>IF(D1355="","",IF(OR(D1355=Plano!$A$1,D1355=Plano!$B$1),"entrada","saída"))</f>
        <v/>
      </c>
      <c r="T1355" s="345"/>
      <c r="U1355" s="345"/>
      <c r="V1355" s="269"/>
      <c r="W1355" s="269"/>
    </row>
    <row r="1356" spans="1:23" ht="120" customHeight="1" x14ac:dyDescent="0.2">
      <c r="A1356" s="401" t="str">
        <f t="shared" si="0"/>
        <v/>
      </c>
      <c r="B1356" s="278"/>
      <c r="C1356" s="256"/>
      <c r="D1356" s="255"/>
      <c r="E1356" s="255"/>
      <c r="F1356" s="258"/>
      <c r="G1356" s="255"/>
      <c r="H1356" s="255"/>
      <c r="I1356" s="250"/>
      <c r="J1356" s="255"/>
      <c r="K1356" s="255"/>
      <c r="L1356" s="250"/>
      <c r="M1356" s="255"/>
      <c r="N1356" s="278"/>
      <c r="O1356" s="329"/>
      <c r="P1356" s="402">
        <f t="shared" ref="P1356:Q1356" si="1354">IF(B1356=0,0,IF(YEAR(B1356)=$Q$1,MONTH(B1356)-$P$1+1,(YEAR(B1356)-$Q$1)*12-$P$1+1+MONTH(B1356)))</f>
        <v>0</v>
      </c>
      <c r="Q1356" s="402">
        <f t="shared" si="1354"/>
        <v>0</v>
      </c>
      <c r="R1356" s="356" t="e">
        <f t="shared" si="1325"/>
        <v>#N/A</v>
      </c>
      <c r="S1356" s="356" t="str">
        <f>IF(D1356="","",IF(OR(D1356=Plano!$A$1,D1356=Plano!$B$1),"entrada","saída"))</f>
        <v/>
      </c>
      <c r="T1356" s="345"/>
      <c r="U1356" s="345"/>
      <c r="V1356" s="269"/>
      <c r="W1356" s="269"/>
    </row>
    <row r="1357" spans="1:23" ht="120" customHeight="1" x14ac:dyDescent="0.2">
      <c r="A1357" s="401" t="str">
        <f t="shared" si="0"/>
        <v/>
      </c>
      <c r="B1357" s="278"/>
      <c r="C1357" s="256"/>
      <c r="D1357" s="255"/>
      <c r="E1357" s="255"/>
      <c r="F1357" s="258"/>
      <c r="G1357" s="255"/>
      <c r="H1357" s="255"/>
      <c r="I1357" s="250"/>
      <c r="J1357" s="255"/>
      <c r="K1357" s="255"/>
      <c r="L1357" s="250"/>
      <c r="M1357" s="255"/>
      <c r="N1357" s="278"/>
      <c r="O1357" s="329"/>
      <c r="P1357" s="402">
        <f t="shared" ref="P1357:Q1357" si="1355">IF(B1357=0,0,IF(YEAR(B1357)=$Q$1,MONTH(B1357)-$P$1+1,(YEAR(B1357)-$Q$1)*12-$P$1+1+MONTH(B1357)))</f>
        <v>0</v>
      </c>
      <c r="Q1357" s="402">
        <f t="shared" si="1355"/>
        <v>0</v>
      </c>
      <c r="R1357" s="356" t="e">
        <f t="shared" si="1325"/>
        <v>#N/A</v>
      </c>
      <c r="S1357" s="356" t="str">
        <f>IF(D1357="","",IF(OR(D1357=Plano!$A$1,D1357=Plano!$B$1),"entrada","saída"))</f>
        <v/>
      </c>
      <c r="T1357" s="345"/>
      <c r="U1357" s="345"/>
      <c r="V1357" s="269"/>
      <c r="W1357" s="269"/>
    </row>
    <row r="1358" spans="1:23" ht="120" customHeight="1" x14ac:dyDescent="0.2">
      <c r="A1358" s="401" t="str">
        <f t="shared" si="0"/>
        <v/>
      </c>
      <c r="B1358" s="278"/>
      <c r="C1358" s="256"/>
      <c r="D1358" s="255"/>
      <c r="E1358" s="255"/>
      <c r="F1358" s="258"/>
      <c r="G1358" s="255"/>
      <c r="H1358" s="255"/>
      <c r="I1358" s="250"/>
      <c r="J1358" s="255"/>
      <c r="K1358" s="255"/>
      <c r="L1358" s="250"/>
      <c r="M1358" s="255"/>
      <c r="N1358" s="278"/>
      <c r="O1358" s="329"/>
      <c r="P1358" s="402">
        <f t="shared" ref="P1358:Q1358" si="1356">IF(B1358=0,0,IF(YEAR(B1358)=$Q$1,MONTH(B1358)-$P$1+1,(YEAR(B1358)-$Q$1)*12-$P$1+1+MONTH(B1358)))</f>
        <v>0</v>
      </c>
      <c r="Q1358" s="402">
        <f t="shared" si="1356"/>
        <v>0</v>
      </c>
      <c r="R1358" s="356" t="e">
        <f t="shared" si="1325"/>
        <v>#N/A</v>
      </c>
      <c r="S1358" s="356" t="str">
        <f>IF(D1358="","",IF(OR(D1358=Plano!$A$1,D1358=Plano!$B$1),"entrada","saída"))</f>
        <v/>
      </c>
      <c r="T1358" s="345"/>
      <c r="U1358" s="345"/>
      <c r="V1358" s="269"/>
      <c r="W1358" s="269"/>
    </row>
    <row r="1359" spans="1:23" ht="120" customHeight="1" x14ac:dyDescent="0.2">
      <c r="A1359" s="401" t="str">
        <f t="shared" si="0"/>
        <v/>
      </c>
      <c r="B1359" s="278"/>
      <c r="C1359" s="256"/>
      <c r="D1359" s="255"/>
      <c r="E1359" s="255"/>
      <c r="F1359" s="258"/>
      <c r="G1359" s="255"/>
      <c r="H1359" s="255"/>
      <c r="I1359" s="250"/>
      <c r="J1359" s="255"/>
      <c r="K1359" s="255"/>
      <c r="L1359" s="250"/>
      <c r="M1359" s="255"/>
      <c r="N1359" s="278"/>
      <c r="O1359" s="329"/>
      <c r="P1359" s="402">
        <f t="shared" ref="P1359:Q1359" si="1357">IF(B1359=0,0,IF(YEAR(B1359)=$Q$1,MONTH(B1359)-$P$1+1,(YEAR(B1359)-$Q$1)*12-$P$1+1+MONTH(B1359)))</f>
        <v>0</v>
      </c>
      <c r="Q1359" s="402">
        <f t="shared" si="1357"/>
        <v>0</v>
      </c>
      <c r="R1359" s="356" t="e">
        <f t="shared" si="1325"/>
        <v>#N/A</v>
      </c>
      <c r="S1359" s="356" t="str">
        <f>IF(D1359="","",IF(OR(D1359=Plano!$A$1,D1359=Plano!$B$1),"entrada","saída"))</f>
        <v/>
      </c>
      <c r="T1359" s="345"/>
      <c r="U1359" s="345"/>
      <c r="V1359" s="269"/>
      <c r="W1359" s="269"/>
    </row>
    <row r="1360" spans="1:23" ht="120" customHeight="1" x14ac:dyDescent="0.2">
      <c r="A1360" s="401" t="str">
        <f t="shared" si="0"/>
        <v/>
      </c>
      <c r="B1360" s="278"/>
      <c r="C1360" s="256"/>
      <c r="D1360" s="255"/>
      <c r="E1360" s="255"/>
      <c r="F1360" s="258"/>
      <c r="G1360" s="255"/>
      <c r="H1360" s="255"/>
      <c r="I1360" s="250"/>
      <c r="J1360" s="255"/>
      <c r="K1360" s="255"/>
      <c r="L1360" s="250"/>
      <c r="M1360" s="255"/>
      <c r="N1360" s="278"/>
      <c r="O1360" s="329"/>
      <c r="P1360" s="402">
        <f t="shared" ref="P1360:Q1360" si="1358">IF(B1360=0,0,IF(YEAR(B1360)=$Q$1,MONTH(B1360)-$P$1+1,(YEAR(B1360)-$Q$1)*12-$P$1+1+MONTH(B1360)))</f>
        <v>0</v>
      </c>
      <c r="Q1360" s="402">
        <f t="shared" si="1358"/>
        <v>0</v>
      </c>
      <c r="R1360" s="356" t="e">
        <f t="shared" si="1325"/>
        <v>#N/A</v>
      </c>
      <c r="S1360" s="356" t="str">
        <f>IF(D1360="","",IF(OR(D1360=Plano!$A$1,D1360=Plano!$B$1),"entrada","saída"))</f>
        <v/>
      </c>
      <c r="T1360" s="345"/>
      <c r="U1360" s="345"/>
      <c r="V1360" s="269"/>
      <c r="W1360" s="269"/>
    </row>
    <row r="1361" spans="1:23" ht="120" customHeight="1" x14ac:dyDescent="0.2">
      <c r="A1361" s="401" t="str">
        <f t="shared" si="0"/>
        <v/>
      </c>
      <c r="B1361" s="278"/>
      <c r="C1361" s="256"/>
      <c r="D1361" s="255"/>
      <c r="E1361" s="255"/>
      <c r="F1361" s="258"/>
      <c r="G1361" s="255"/>
      <c r="H1361" s="255"/>
      <c r="I1361" s="250"/>
      <c r="J1361" s="255"/>
      <c r="K1361" s="255"/>
      <c r="L1361" s="250"/>
      <c r="M1361" s="255"/>
      <c r="N1361" s="278"/>
      <c r="O1361" s="329"/>
      <c r="P1361" s="402">
        <f t="shared" ref="P1361:Q1361" si="1359">IF(B1361=0,0,IF(YEAR(B1361)=$Q$1,MONTH(B1361)-$P$1+1,(YEAR(B1361)-$Q$1)*12-$P$1+1+MONTH(B1361)))</f>
        <v>0</v>
      </c>
      <c r="Q1361" s="402">
        <f t="shared" si="1359"/>
        <v>0</v>
      </c>
      <c r="R1361" s="356" t="e">
        <f t="shared" si="1325"/>
        <v>#N/A</v>
      </c>
      <c r="S1361" s="356" t="str">
        <f>IF(D1361="","",IF(OR(D1361=Plano!$A$1,D1361=Plano!$B$1),"entrada","saída"))</f>
        <v/>
      </c>
      <c r="T1361" s="345"/>
      <c r="U1361" s="345"/>
      <c r="V1361" s="269"/>
      <c r="W1361" s="269"/>
    </row>
    <row r="1362" spans="1:23" ht="120" customHeight="1" x14ac:dyDescent="0.2">
      <c r="A1362" s="401" t="str">
        <f t="shared" si="0"/>
        <v/>
      </c>
      <c r="B1362" s="278"/>
      <c r="C1362" s="256"/>
      <c r="D1362" s="255"/>
      <c r="E1362" s="255"/>
      <c r="F1362" s="258"/>
      <c r="G1362" s="255"/>
      <c r="H1362" s="255"/>
      <c r="I1362" s="250"/>
      <c r="J1362" s="255"/>
      <c r="K1362" s="255"/>
      <c r="L1362" s="250"/>
      <c r="M1362" s="255"/>
      <c r="N1362" s="278"/>
      <c r="O1362" s="329"/>
      <c r="P1362" s="402">
        <f t="shared" ref="P1362:Q1362" si="1360">IF(B1362=0,0,IF(YEAR(B1362)=$Q$1,MONTH(B1362)-$P$1+1,(YEAR(B1362)-$Q$1)*12-$P$1+1+MONTH(B1362)))</f>
        <v>0</v>
      </c>
      <c r="Q1362" s="402">
        <f t="shared" si="1360"/>
        <v>0</v>
      </c>
      <c r="R1362" s="356" t="e">
        <f t="shared" si="1325"/>
        <v>#N/A</v>
      </c>
      <c r="S1362" s="356" t="str">
        <f>IF(D1362="","",IF(OR(D1362=Plano!$A$1,D1362=Plano!$B$1),"entrada","saída"))</f>
        <v/>
      </c>
      <c r="T1362" s="345"/>
      <c r="U1362" s="345"/>
      <c r="V1362" s="269"/>
      <c r="W1362" s="269"/>
    </row>
    <row r="1363" spans="1:23" ht="120" customHeight="1" x14ac:dyDescent="0.2">
      <c r="A1363" s="401" t="str">
        <f t="shared" si="0"/>
        <v/>
      </c>
      <c r="B1363" s="278"/>
      <c r="C1363" s="256"/>
      <c r="D1363" s="255"/>
      <c r="E1363" s="255"/>
      <c r="F1363" s="258"/>
      <c r="G1363" s="255"/>
      <c r="H1363" s="255"/>
      <c r="I1363" s="250"/>
      <c r="J1363" s="255"/>
      <c r="K1363" s="255"/>
      <c r="L1363" s="250"/>
      <c r="M1363" s="255"/>
      <c r="N1363" s="278"/>
      <c r="O1363" s="329"/>
      <c r="P1363" s="402">
        <f t="shared" ref="P1363:Q1363" si="1361">IF(B1363=0,0,IF(YEAR(B1363)=$Q$1,MONTH(B1363)-$P$1+1,(YEAR(B1363)-$Q$1)*12-$P$1+1+MONTH(B1363)))</f>
        <v>0</v>
      </c>
      <c r="Q1363" s="402">
        <f t="shared" si="1361"/>
        <v>0</v>
      </c>
      <c r="R1363" s="356" t="e">
        <f t="shared" si="1325"/>
        <v>#N/A</v>
      </c>
      <c r="S1363" s="356" t="str">
        <f>IF(D1363="","",IF(OR(D1363=Plano!$A$1,D1363=Plano!$B$1),"entrada","saída"))</f>
        <v/>
      </c>
      <c r="T1363" s="345"/>
      <c r="U1363" s="345"/>
      <c r="V1363" s="269"/>
      <c r="W1363" s="269"/>
    </row>
    <row r="1364" spans="1:23" ht="120" customHeight="1" x14ac:dyDescent="0.2">
      <c r="A1364" s="401" t="str">
        <f t="shared" si="0"/>
        <v/>
      </c>
      <c r="B1364" s="278"/>
      <c r="C1364" s="256"/>
      <c r="D1364" s="255"/>
      <c r="E1364" s="255"/>
      <c r="F1364" s="258"/>
      <c r="G1364" s="255"/>
      <c r="H1364" s="255"/>
      <c r="I1364" s="250"/>
      <c r="J1364" s="255"/>
      <c r="K1364" s="255"/>
      <c r="L1364" s="250"/>
      <c r="M1364" s="255"/>
      <c r="N1364" s="278"/>
      <c r="O1364" s="329"/>
      <c r="P1364" s="402">
        <f t="shared" ref="P1364:Q1364" si="1362">IF(B1364=0,0,IF(YEAR(B1364)=$Q$1,MONTH(B1364)-$P$1+1,(YEAR(B1364)-$Q$1)*12-$P$1+1+MONTH(B1364)))</f>
        <v>0</v>
      </c>
      <c r="Q1364" s="402">
        <f t="shared" si="1362"/>
        <v>0</v>
      </c>
      <c r="R1364" s="356" t="e">
        <f t="shared" si="1325"/>
        <v>#N/A</v>
      </c>
      <c r="S1364" s="356" t="str">
        <f>IF(D1364="","",IF(OR(D1364=Plano!$A$1,D1364=Plano!$B$1),"entrada","saída"))</f>
        <v/>
      </c>
      <c r="T1364" s="345"/>
      <c r="U1364" s="345"/>
      <c r="V1364" s="269"/>
      <c r="W1364" s="269"/>
    </row>
    <row r="1365" spans="1:23" ht="120" customHeight="1" x14ac:dyDescent="0.2">
      <c r="A1365" s="401" t="str">
        <f t="shared" si="0"/>
        <v/>
      </c>
      <c r="B1365" s="278"/>
      <c r="C1365" s="256"/>
      <c r="D1365" s="255"/>
      <c r="E1365" s="255"/>
      <c r="F1365" s="258"/>
      <c r="G1365" s="255"/>
      <c r="H1365" s="255"/>
      <c r="I1365" s="250"/>
      <c r="J1365" s="255"/>
      <c r="K1365" s="255"/>
      <c r="L1365" s="250"/>
      <c r="M1365" s="255"/>
      <c r="N1365" s="278"/>
      <c r="O1365" s="329"/>
      <c r="P1365" s="402">
        <f t="shared" ref="P1365:Q1365" si="1363">IF(B1365=0,0,IF(YEAR(B1365)=$Q$1,MONTH(B1365)-$P$1+1,(YEAR(B1365)-$Q$1)*12-$P$1+1+MONTH(B1365)))</f>
        <v>0</v>
      </c>
      <c r="Q1365" s="402">
        <f t="shared" si="1363"/>
        <v>0</v>
      </c>
      <c r="R1365" s="356" t="e">
        <f t="shared" si="1325"/>
        <v>#N/A</v>
      </c>
      <c r="S1365" s="356" t="str">
        <f>IF(D1365="","",IF(OR(D1365=Plano!$A$1,D1365=Plano!$B$1),"entrada","saída"))</f>
        <v/>
      </c>
      <c r="T1365" s="345"/>
      <c r="U1365" s="345"/>
      <c r="V1365" s="269"/>
      <c r="W1365" s="269"/>
    </row>
    <row r="1366" spans="1:23" ht="120" customHeight="1" x14ac:dyDescent="0.2">
      <c r="A1366" s="401" t="str">
        <f t="shared" si="0"/>
        <v/>
      </c>
      <c r="B1366" s="278"/>
      <c r="C1366" s="256"/>
      <c r="D1366" s="255"/>
      <c r="E1366" s="255"/>
      <c r="F1366" s="258"/>
      <c r="G1366" s="255"/>
      <c r="H1366" s="255"/>
      <c r="I1366" s="250"/>
      <c r="J1366" s="255"/>
      <c r="K1366" s="255"/>
      <c r="L1366" s="250"/>
      <c r="M1366" s="255"/>
      <c r="N1366" s="278"/>
      <c r="O1366" s="329"/>
      <c r="P1366" s="402">
        <f t="shared" ref="P1366:Q1366" si="1364">IF(B1366=0,0,IF(YEAR(B1366)=$Q$1,MONTH(B1366)-$P$1+1,(YEAR(B1366)-$Q$1)*12-$P$1+1+MONTH(B1366)))</f>
        <v>0</v>
      </c>
      <c r="Q1366" s="402">
        <f t="shared" si="1364"/>
        <v>0</v>
      </c>
      <c r="R1366" s="356" t="e">
        <f t="shared" si="1325"/>
        <v>#N/A</v>
      </c>
      <c r="S1366" s="356" t="str">
        <f>IF(D1366="","",IF(OR(D1366=Plano!$A$1,D1366=Plano!$B$1),"entrada","saída"))</f>
        <v/>
      </c>
      <c r="T1366" s="345"/>
      <c r="U1366" s="345"/>
      <c r="V1366" s="269"/>
      <c r="W1366" s="269"/>
    </row>
    <row r="1367" spans="1:23" ht="120" customHeight="1" x14ac:dyDescent="0.2">
      <c r="A1367" s="401" t="str">
        <f t="shared" si="0"/>
        <v/>
      </c>
      <c r="B1367" s="278"/>
      <c r="C1367" s="256"/>
      <c r="D1367" s="255"/>
      <c r="E1367" s="255"/>
      <c r="F1367" s="258"/>
      <c r="G1367" s="255"/>
      <c r="H1367" s="255"/>
      <c r="I1367" s="250"/>
      <c r="J1367" s="255"/>
      <c r="K1367" s="255"/>
      <c r="L1367" s="250"/>
      <c r="M1367" s="255"/>
      <c r="N1367" s="278"/>
      <c r="O1367" s="329"/>
      <c r="P1367" s="402">
        <f t="shared" ref="P1367:Q1367" si="1365">IF(B1367=0,0,IF(YEAR(B1367)=$Q$1,MONTH(B1367)-$P$1+1,(YEAR(B1367)-$Q$1)*12-$P$1+1+MONTH(B1367)))</f>
        <v>0</v>
      </c>
      <c r="Q1367" s="402">
        <f t="shared" si="1365"/>
        <v>0</v>
      </c>
      <c r="R1367" s="356" t="e">
        <f t="shared" si="1325"/>
        <v>#N/A</v>
      </c>
      <c r="S1367" s="356" t="str">
        <f>IF(D1367="","",IF(OR(D1367=Plano!$A$1,D1367=Plano!$B$1),"entrada","saída"))</f>
        <v/>
      </c>
      <c r="T1367" s="345"/>
      <c r="U1367" s="345"/>
      <c r="V1367" s="269"/>
      <c r="W1367" s="269"/>
    </row>
    <row r="1368" spans="1:23" ht="120" customHeight="1" x14ac:dyDescent="0.2">
      <c r="A1368" s="401" t="str">
        <f t="shared" si="0"/>
        <v/>
      </c>
      <c r="B1368" s="278"/>
      <c r="C1368" s="256"/>
      <c r="D1368" s="255"/>
      <c r="E1368" s="255"/>
      <c r="F1368" s="258"/>
      <c r="G1368" s="255"/>
      <c r="H1368" s="255"/>
      <c r="I1368" s="250"/>
      <c r="J1368" s="255"/>
      <c r="K1368" s="255"/>
      <c r="L1368" s="250"/>
      <c r="M1368" s="255"/>
      <c r="N1368" s="278"/>
      <c r="O1368" s="329"/>
      <c r="P1368" s="402">
        <f t="shared" ref="P1368:Q1368" si="1366">IF(B1368=0,0,IF(YEAR(B1368)=$Q$1,MONTH(B1368)-$P$1+1,(YEAR(B1368)-$Q$1)*12-$P$1+1+MONTH(B1368)))</f>
        <v>0</v>
      </c>
      <c r="Q1368" s="402">
        <f t="shared" si="1366"/>
        <v>0</v>
      </c>
      <c r="R1368" s="356" t="e">
        <f t="shared" si="1325"/>
        <v>#N/A</v>
      </c>
      <c r="S1368" s="356" t="str">
        <f>IF(D1368="","",IF(OR(D1368=Plano!$A$1,D1368=Plano!$B$1),"entrada","saída"))</f>
        <v/>
      </c>
      <c r="T1368" s="345"/>
      <c r="U1368" s="345"/>
      <c r="V1368" s="269"/>
      <c r="W1368" s="269"/>
    </row>
    <row r="1369" spans="1:23" ht="120" customHeight="1" x14ac:dyDescent="0.2">
      <c r="A1369" s="401" t="str">
        <f t="shared" si="0"/>
        <v/>
      </c>
      <c r="B1369" s="278"/>
      <c r="C1369" s="256"/>
      <c r="D1369" s="255"/>
      <c r="E1369" s="255"/>
      <c r="F1369" s="258"/>
      <c r="G1369" s="255"/>
      <c r="H1369" s="255"/>
      <c r="I1369" s="250"/>
      <c r="J1369" s="255"/>
      <c r="K1369" s="255"/>
      <c r="L1369" s="250"/>
      <c r="M1369" s="255"/>
      <c r="N1369" s="278"/>
      <c r="O1369" s="329"/>
      <c r="P1369" s="402">
        <f t="shared" ref="P1369:Q1369" si="1367">IF(B1369=0,0,IF(YEAR(B1369)=$Q$1,MONTH(B1369)-$P$1+1,(YEAR(B1369)-$Q$1)*12-$P$1+1+MONTH(B1369)))</f>
        <v>0</v>
      </c>
      <c r="Q1369" s="402">
        <f t="shared" si="1367"/>
        <v>0</v>
      </c>
      <c r="R1369" s="356" t="e">
        <f t="shared" si="1325"/>
        <v>#N/A</v>
      </c>
      <c r="S1369" s="356" t="str">
        <f>IF(D1369="","",IF(OR(D1369=Plano!$A$1,D1369=Plano!$B$1),"entrada","saída"))</f>
        <v/>
      </c>
      <c r="T1369" s="345"/>
      <c r="U1369" s="345"/>
      <c r="V1369" s="269"/>
      <c r="W1369" s="269"/>
    </row>
    <row r="1370" spans="1:23" ht="120" customHeight="1" x14ac:dyDescent="0.2">
      <c r="A1370" s="401" t="str">
        <f t="shared" si="0"/>
        <v/>
      </c>
      <c r="B1370" s="278"/>
      <c r="C1370" s="256"/>
      <c r="D1370" s="255"/>
      <c r="E1370" s="255"/>
      <c r="F1370" s="258"/>
      <c r="G1370" s="255"/>
      <c r="H1370" s="255"/>
      <c r="I1370" s="250"/>
      <c r="J1370" s="255"/>
      <c r="K1370" s="255"/>
      <c r="L1370" s="250"/>
      <c r="M1370" s="255"/>
      <c r="N1370" s="278"/>
      <c r="O1370" s="329"/>
      <c r="P1370" s="402">
        <f t="shared" ref="P1370:Q1370" si="1368">IF(B1370=0,0,IF(YEAR(B1370)=$Q$1,MONTH(B1370)-$P$1+1,(YEAR(B1370)-$Q$1)*12-$P$1+1+MONTH(B1370)))</f>
        <v>0</v>
      </c>
      <c r="Q1370" s="402">
        <f t="shared" si="1368"/>
        <v>0</v>
      </c>
      <c r="R1370" s="356" t="e">
        <f t="shared" si="1325"/>
        <v>#N/A</v>
      </c>
      <c r="S1370" s="356" t="str">
        <f>IF(D1370="","",IF(OR(D1370=Plano!$A$1,D1370=Plano!$B$1),"entrada","saída"))</f>
        <v/>
      </c>
      <c r="T1370" s="345"/>
      <c r="U1370" s="345"/>
      <c r="V1370" s="269"/>
      <c r="W1370" s="269"/>
    </row>
    <row r="1371" spans="1:23" ht="120" customHeight="1" x14ac:dyDescent="0.2">
      <c r="A1371" s="401" t="str">
        <f t="shared" si="0"/>
        <v/>
      </c>
      <c r="B1371" s="278"/>
      <c r="C1371" s="256"/>
      <c r="D1371" s="255"/>
      <c r="E1371" s="255"/>
      <c r="F1371" s="258"/>
      <c r="G1371" s="255"/>
      <c r="H1371" s="255"/>
      <c r="I1371" s="250"/>
      <c r="J1371" s="255"/>
      <c r="K1371" s="255"/>
      <c r="L1371" s="250"/>
      <c r="M1371" s="255"/>
      <c r="N1371" s="278"/>
      <c r="O1371" s="329"/>
      <c r="P1371" s="402">
        <f t="shared" ref="P1371:Q1371" si="1369">IF(B1371=0,0,IF(YEAR(B1371)=$Q$1,MONTH(B1371)-$P$1+1,(YEAR(B1371)-$Q$1)*12-$P$1+1+MONTH(B1371)))</f>
        <v>0</v>
      </c>
      <c r="Q1371" s="402">
        <f t="shared" si="1369"/>
        <v>0</v>
      </c>
      <c r="R1371" s="356" t="e">
        <f t="shared" si="1325"/>
        <v>#N/A</v>
      </c>
      <c r="S1371" s="356" t="str">
        <f>IF(D1371="","",IF(OR(D1371=Plano!$A$1,D1371=Plano!$B$1),"entrada","saída"))</f>
        <v/>
      </c>
      <c r="T1371" s="345"/>
      <c r="U1371" s="345"/>
      <c r="V1371" s="269"/>
      <c r="W1371" s="269"/>
    </row>
    <row r="1372" spans="1:23" ht="120" customHeight="1" x14ac:dyDescent="0.2">
      <c r="A1372" s="401" t="str">
        <f t="shared" si="0"/>
        <v/>
      </c>
      <c r="B1372" s="278"/>
      <c r="C1372" s="256"/>
      <c r="D1372" s="255"/>
      <c r="E1372" s="255"/>
      <c r="F1372" s="258"/>
      <c r="G1372" s="255"/>
      <c r="H1372" s="255"/>
      <c r="I1372" s="250"/>
      <c r="J1372" s="255"/>
      <c r="K1372" s="255"/>
      <c r="L1372" s="250"/>
      <c r="M1372" s="255"/>
      <c r="N1372" s="278"/>
      <c r="O1372" s="329"/>
      <c r="P1372" s="402">
        <f t="shared" ref="P1372:Q1372" si="1370">IF(B1372=0,0,IF(YEAR(B1372)=$Q$1,MONTH(B1372)-$P$1+1,(YEAR(B1372)-$Q$1)*12-$P$1+1+MONTH(B1372)))</f>
        <v>0</v>
      </c>
      <c r="Q1372" s="402">
        <f t="shared" si="1370"/>
        <v>0</v>
      </c>
      <c r="R1372" s="356" t="e">
        <f t="shared" si="1325"/>
        <v>#N/A</v>
      </c>
      <c r="S1372" s="356" t="str">
        <f>IF(D1372="","",IF(OR(D1372=Plano!$A$1,D1372=Plano!$B$1),"entrada","saída"))</f>
        <v/>
      </c>
      <c r="T1372" s="345"/>
      <c r="U1372" s="345"/>
      <c r="V1372" s="269"/>
      <c r="W1372" s="269"/>
    </row>
    <row r="1373" spans="1:23" ht="120" customHeight="1" x14ac:dyDescent="0.2">
      <c r="A1373" s="401" t="str">
        <f t="shared" si="0"/>
        <v/>
      </c>
      <c r="B1373" s="278"/>
      <c r="C1373" s="256"/>
      <c r="D1373" s="255"/>
      <c r="E1373" s="255"/>
      <c r="F1373" s="258"/>
      <c r="G1373" s="255"/>
      <c r="H1373" s="255"/>
      <c r="I1373" s="250"/>
      <c r="J1373" s="255"/>
      <c r="K1373" s="255"/>
      <c r="L1373" s="250"/>
      <c r="M1373" s="255"/>
      <c r="N1373" s="278"/>
      <c r="O1373" s="329"/>
      <c r="P1373" s="402">
        <f t="shared" ref="P1373:Q1373" si="1371">IF(B1373=0,0,IF(YEAR(B1373)=$Q$1,MONTH(B1373)-$P$1+1,(YEAR(B1373)-$Q$1)*12-$P$1+1+MONTH(B1373)))</f>
        <v>0</v>
      </c>
      <c r="Q1373" s="402">
        <f t="shared" si="1371"/>
        <v>0</v>
      </c>
      <c r="R1373" s="356" t="e">
        <f t="shared" si="1325"/>
        <v>#N/A</v>
      </c>
      <c r="S1373" s="356" t="str">
        <f>IF(D1373="","",IF(OR(D1373=Plano!$A$1,D1373=Plano!$B$1),"entrada","saída"))</f>
        <v/>
      </c>
      <c r="T1373" s="345"/>
      <c r="U1373" s="345"/>
      <c r="V1373" s="269"/>
      <c r="W1373" s="269"/>
    </row>
    <row r="1374" spans="1:23" ht="120" customHeight="1" x14ac:dyDescent="0.2">
      <c r="A1374" s="401" t="str">
        <f t="shared" si="0"/>
        <v/>
      </c>
      <c r="B1374" s="278"/>
      <c r="C1374" s="256"/>
      <c r="D1374" s="255"/>
      <c r="E1374" s="255"/>
      <c r="F1374" s="258"/>
      <c r="G1374" s="255"/>
      <c r="H1374" s="255"/>
      <c r="I1374" s="250"/>
      <c r="J1374" s="255"/>
      <c r="K1374" s="255"/>
      <c r="L1374" s="250"/>
      <c r="M1374" s="255"/>
      <c r="N1374" s="278"/>
      <c r="O1374" s="329"/>
      <c r="P1374" s="402">
        <f t="shared" ref="P1374:Q1374" si="1372">IF(B1374=0,0,IF(YEAR(B1374)=$Q$1,MONTH(B1374)-$P$1+1,(YEAR(B1374)-$Q$1)*12-$P$1+1+MONTH(B1374)))</f>
        <v>0</v>
      </c>
      <c r="Q1374" s="402">
        <f t="shared" si="1372"/>
        <v>0</v>
      </c>
      <c r="R1374" s="356" t="e">
        <f t="shared" si="1325"/>
        <v>#N/A</v>
      </c>
      <c r="S1374" s="356" t="str">
        <f>IF(D1374="","",IF(OR(D1374=Plano!$A$1,D1374=Plano!$B$1),"entrada","saída"))</f>
        <v/>
      </c>
      <c r="T1374" s="345"/>
      <c r="U1374" s="345"/>
      <c r="V1374" s="269"/>
      <c r="W1374" s="269"/>
    </row>
    <row r="1375" spans="1:23" ht="120" customHeight="1" x14ac:dyDescent="0.2">
      <c r="A1375" s="401" t="str">
        <f t="shared" si="0"/>
        <v/>
      </c>
      <c r="B1375" s="278"/>
      <c r="C1375" s="256"/>
      <c r="D1375" s="255"/>
      <c r="E1375" s="255"/>
      <c r="F1375" s="258"/>
      <c r="G1375" s="255"/>
      <c r="H1375" s="255"/>
      <c r="I1375" s="250"/>
      <c r="J1375" s="255"/>
      <c r="K1375" s="255"/>
      <c r="L1375" s="250"/>
      <c r="M1375" s="255"/>
      <c r="N1375" s="278"/>
      <c r="O1375" s="329"/>
      <c r="P1375" s="402">
        <f t="shared" ref="P1375:Q1375" si="1373">IF(B1375=0,0,IF(YEAR(B1375)=$Q$1,MONTH(B1375)-$P$1+1,(YEAR(B1375)-$Q$1)*12-$P$1+1+MONTH(B1375)))</f>
        <v>0</v>
      </c>
      <c r="Q1375" s="402">
        <f t="shared" si="1373"/>
        <v>0</v>
      </c>
      <c r="R1375" s="356" t="e">
        <f t="shared" si="1325"/>
        <v>#N/A</v>
      </c>
      <c r="S1375" s="356" t="str">
        <f>IF(D1375="","",IF(OR(D1375=Plano!$A$1,D1375=Plano!$B$1),"entrada","saída"))</f>
        <v/>
      </c>
      <c r="T1375" s="345"/>
      <c r="U1375" s="345"/>
      <c r="V1375" s="269"/>
      <c r="W1375" s="269"/>
    </row>
    <row r="1376" spans="1:23" ht="120" customHeight="1" x14ac:dyDescent="0.2">
      <c r="A1376" s="401" t="str">
        <f t="shared" si="0"/>
        <v/>
      </c>
      <c r="B1376" s="278"/>
      <c r="C1376" s="256"/>
      <c r="D1376" s="255"/>
      <c r="E1376" s="255"/>
      <c r="F1376" s="258"/>
      <c r="G1376" s="255"/>
      <c r="H1376" s="255"/>
      <c r="I1376" s="250"/>
      <c r="J1376" s="255"/>
      <c r="K1376" s="255"/>
      <c r="L1376" s="250"/>
      <c r="M1376" s="255"/>
      <c r="N1376" s="278"/>
      <c r="O1376" s="329"/>
      <c r="P1376" s="402">
        <f t="shared" ref="P1376:Q1376" si="1374">IF(B1376=0,0,IF(YEAR(B1376)=$Q$1,MONTH(B1376)-$P$1+1,(YEAR(B1376)-$Q$1)*12-$P$1+1+MONTH(B1376)))</f>
        <v>0</v>
      </c>
      <c r="Q1376" s="402">
        <f t="shared" si="1374"/>
        <v>0</v>
      </c>
      <c r="R1376" s="356" t="e">
        <f t="shared" si="1325"/>
        <v>#N/A</v>
      </c>
      <c r="S1376" s="356" t="str">
        <f>IF(D1376="","",IF(OR(D1376=Plano!$A$1,D1376=Plano!$B$1),"entrada","saída"))</f>
        <v/>
      </c>
      <c r="T1376" s="345"/>
      <c r="U1376" s="345"/>
      <c r="V1376" s="269"/>
      <c r="W1376" s="269"/>
    </row>
    <row r="1377" spans="1:23" ht="120" customHeight="1" x14ac:dyDescent="0.2">
      <c r="A1377" s="401" t="str">
        <f t="shared" si="0"/>
        <v/>
      </c>
      <c r="B1377" s="278"/>
      <c r="C1377" s="256"/>
      <c r="D1377" s="255"/>
      <c r="E1377" s="255"/>
      <c r="F1377" s="258"/>
      <c r="G1377" s="255"/>
      <c r="H1377" s="255"/>
      <c r="I1377" s="250"/>
      <c r="J1377" s="255"/>
      <c r="K1377" s="255"/>
      <c r="L1377" s="250"/>
      <c r="M1377" s="255"/>
      <c r="N1377" s="278"/>
      <c r="O1377" s="329"/>
      <c r="P1377" s="402">
        <f t="shared" ref="P1377:Q1377" si="1375">IF(B1377=0,0,IF(YEAR(B1377)=$Q$1,MONTH(B1377)-$P$1+1,(YEAR(B1377)-$Q$1)*12-$P$1+1+MONTH(B1377)))</f>
        <v>0</v>
      </c>
      <c r="Q1377" s="402">
        <f t="shared" si="1375"/>
        <v>0</v>
      </c>
      <c r="R1377" s="356" t="e">
        <f t="shared" si="1325"/>
        <v>#N/A</v>
      </c>
      <c r="S1377" s="356" t="str">
        <f>IF(D1377="","",IF(OR(D1377=Plano!$A$1,D1377=Plano!$B$1),"entrada","saída"))</f>
        <v/>
      </c>
      <c r="T1377" s="345"/>
      <c r="U1377" s="345"/>
      <c r="V1377" s="269"/>
      <c r="W1377" s="269"/>
    </row>
    <row r="1378" spans="1:23" ht="120" customHeight="1" x14ac:dyDescent="0.2">
      <c r="A1378" s="401" t="str">
        <f t="shared" si="0"/>
        <v/>
      </c>
      <c r="B1378" s="278"/>
      <c r="C1378" s="256"/>
      <c r="D1378" s="255"/>
      <c r="E1378" s="255"/>
      <c r="F1378" s="258"/>
      <c r="G1378" s="255"/>
      <c r="H1378" s="255"/>
      <c r="I1378" s="250"/>
      <c r="J1378" s="255"/>
      <c r="K1378" s="255"/>
      <c r="L1378" s="250"/>
      <c r="M1378" s="255"/>
      <c r="N1378" s="278"/>
      <c r="O1378" s="329"/>
      <c r="P1378" s="402">
        <f t="shared" ref="P1378:Q1378" si="1376">IF(B1378=0,0,IF(YEAR(B1378)=$Q$1,MONTH(B1378)-$P$1+1,(YEAR(B1378)-$Q$1)*12-$P$1+1+MONTH(B1378)))</f>
        <v>0</v>
      </c>
      <c r="Q1378" s="402">
        <f t="shared" si="1376"/>
        <v>0</v>
      </c>
      <c r="R1378" s="356" t="e">
        <f t="shared" si="1325"/>
        <v>#N/A</v>
      </c>
      <c r="S1378" s="356" t="str">
        <f>IF(D1378="","",IF(OR(D1378=Plano!$A$1,D1378=Plano!$B$1),"entrada","saída"))</f>
        <v/>
      </c>
      <c r="T1378" s="345"/>
      <c r="U1378" s="345"/>
      <c r="V1378" s="269"/>
      <c r="W1378" s="269"/>
    </row>
    <row r="1379" spans="1:23" ht="120" customHeight="1" x14ac:dyDescent="0.2">
      <c r="A1379" s="401" t="str">
        <f t="shared" si="0"/>
        <v/>
      </c>
      <c r="B1379" s="278"/>
      <c r="C1379" s="256"/>
      <c r="D1379" s="255"/>
      <c r="E1379" s="255"/>
      <c r="F1379" s="258"/>
      <c r="G1379" s="255"/>
      <c r="H1379" s="255"/>
      <c r="I1379" s="250"/>
      <c r="J1379" s="255"/>
      <c r="K1379" s="255"/>
      <c r="L1379" s="250"/>
      <c r="M1379" s="255"/>
      <c r="N1379" s="278"/>
      <c r="O1379" s="329"/>
      <c r="P1379" s="402">
        <f t="shared" ref="P1379:Q1379" si="1377">IF(B1379=0,0,IF(YEAR(B1379)=$Q$1,MONTH(B1379)-$P$1+1,(YEAR(B1379)-$Q$1)*12-$P$1+1+MONTH(B1379)))</f>
        <v>0</v>
      </c>
      <c r="Q1379" s="402">
        <f t="shared" si="1377"/>
        <v>0</v>
      </c>
      <c r="R1379" s="356" t="e">
        <f t="shared" si="1325"/>
        <v>#N/A</v>
      </c>
      <c r="S1379" s="356" t="str">
        <f>IF(D1379="","",IF(OR(D1379=Plano!$A$1,D1379=Plano!$B$1),"entrada","saída"))</f>
        <v/>
      </c>
      <c r="T1379" s="345"/>
      <c r="U1379" s="345"/>
      <c r="V1379" s="269"/>
      <c r="W1379" s="269"/>
    </row>
    <row r="1380" spans="1:23" ht="120" customHeight="1" x14ac:dyDescent="0.2">
      <c r="A1380" s="401" t="str">
        <f t="shared" si="0"/>
        <v/>
      </c>
      <c r="B1380" s="278"/>
      <c r="C1380" s="256"/>
      <c r="D1380" s="255"/>
      <c r="E1380" s="255"/>
      <c r="F1380" s="258"/>
      <c r="G1380" s="255"/>
      <c r="H1380" s="255"/>
      <c r="I1380" s="250"/>
      <c r="J1380" s="255"/>
      <c r="K1380" s="255"/>
      <c r="L1380" s="250"/>
      <c r="M1380" s="255"/>
      <c r="N1380" s="278"/>
      <c r="O1380" s="329"/>
      <c r="P1380" s="402">
        <f t="shared" ref="P1380:Q1380" si="1378">IF(B1380=0,0,IF(YEAR(B1380)=$Q$1,MONTH(B1380)-$P$1+1,(YEAR(B1380)-$Q$1)*12-$P$1+1+MONTH(B1380)))</f>
        <v>0</v>
      </c>
      <c r="Q1380" s="402">
        <f t="shared" si="1378"/>
        <v>0</v>
      </c>
      <c r="R1380" s="356" t="e">
        <f t="shared" si="1325"/>
        <v>#N/A</v>
      </c>
      <c r="S1380" s="356" t="str">
        <f>IF(D1380="","",IF(OR(D1380=Plano!$A$1,D1380=Plano!$B$1),"entrada","saída"))</f>
        <v/>
      </c>
      <c r="T1380" s="345"/>
      <c r="U1380" s="345"/>
      <c r="V1380" s="269"/>
      <c r="W1380" s="269"/>
    </row>
    <row r="1381" spans="1:23" ht="120" customHeight="1" x14ac:dyDescent="0.2">
      <c r="A1381" s="401" t="str">
        <f t="shared" si="0"/>
        <v/>
      </c>
      <c r="B1381" s="278"/>
      <c r="C1381" s="256"/>
      <c r="D1381" s="255"/>
      <c r="E1381" s="255"/>
      <c r="F1381" s="258"/>
      <c r="G1381" s="255"/>
      <c r="H1381" s="255"/>
      <c r="I1381" s="250"/>
      <c r="J1381" s="255"/>
      <c r="K1381" s="255"/>
      <c r="L1381" s="250"/>
      <c r="M1381" s="255"/>
      <c r="N1381" s="278"/>
      <c r="O1381" s="329"/>
      <c r="P1381" s="402">
        <f t="shared" ref="P1381:Q1381" si="1379">IF(B1381=0,0,IF(YEAR(B1381)=$Q$1,MONTH(B1381)-$P$1+1,(YEAR(B1381)-$Q$1)*12-$P$1+1+MONTH(B1381)))</f>
        <v>0</v>
      </c>
      <c r="Q1381" s="402">
        <f t="shared" si="1379"/>
        <v>0</v>
      </c>
      <c r="R1381" s="356" t="e">
        <f t="shared" si="1325"/>
        <v>#N/A</v>
      </c>
      <c r="S1381" s="356" t="str">
        <f>IF(D1381="","",IF(OR(D1381=Plano!$A$1,D1381=Plano!$B$1),"entrada","saída"))</f>
        <v/>
      </c>
      <c r="T1381" s="345"/>
      <c r="U1381" s="345"/>
      <c r="V1381" s="269"/>
      <c r="W1381" s="269"/>
    </row>
    <row r="1382" spans="1:23" ht="120" customHeight="1" x14ac:dyDescent="0.2">
      <c r="A1382" s="401" t="str">
        <f t="shared" si="0"/>
        <v/>
      </c>
      <c r="B1382" s="278"/>
      <c r="C1382" s="256"/>
      <c r="D1382" s="255"/>
      <c r="E1382" s="255"/>
      <c r="F1382" s="258"/>
      <c r="G1382" s="255"/>
      <c r="H1382" s="255"/>
      <c r="I1382" s="250"/>
      <c r="J1382" s="255"/>
      <c r="K1382" s="255"/>
      <c r="L1382" s="250"/>
      <c r="M1382" s="255"/>
      <c r="N1382" s="278"/>
      <c r="O1382" s="329"/>
      <c r="P1382" s="402">
        <f t="shared" ref="P1382:Q1382" si="1380">IF(B1382=0,0,IF(YEAR(B1382)=$Q$1,MONTH(B1382)-$P$1+1,(YEAR(B1382)-$Q$1)*12-$P$1+1+MONTH(B1382)))</f>
        <v>0</v>
      </c>
      <c r="Q1382" s="402">
        <f t="shared" si="1380"/>
        <v>0</v>
      </c>
      <c r="R1382" s="356" t="e">
        <f t="shared" si="1325"/>
        <v>#N/A</v>
      </c>
      <c r="S1382" s="356" t="str">
        <f>IF(D1382="","",IF(OR(D1382=Plano!$A$1,D1382=Plano!$B$1),"entrada","saída"))</f>
        <v/>
      </c>
      <c r="T1382" s="345"/>
      <c r="U1382" s="345"/>
      <c r="V1382" s="269"/>
      <c r="W1382" s="269"/>
    </row>
    <row r="1383" spans="1:23" ht="120" customHeight="1" x14ac:dyDescent="0.2">
      <c r="A1383" s="401" t="str">
        <f t="shared" si="0"/>
        <v/>
      </c>
      <c r="B1383" s="278"/>
      <c r="C1383" s="256"/>
      <c r="D1383" s="255"/>
      <c r="E1383" s="255"/>
      <c r="F1383" s="258"/>
      <c r="G1383" s="255"/>
      <c r="H1383" s="255"/>
      <c r="I1383" s="250"/>
      <c r="J1383" s="255"/>
      <c r="K1383" s="255"/>
      <c r="L1383" s="250"/>
      <c r="M1383" s="255"/>
      <c r="N1383" s="278"/>
      <c r="O1383" s="329"/>
      <c r="P1383" s="402">
        <f t="shared" ref="P1383:Q1383" si="1381">IF(B1383=0,0,IF(YEAR(B1383)=$Q$1,MONTH(B1383)-$P$1+1,(YEAR(B1383)-$Q$1)*12-$P$1+1+MONTH(B1383)))</f>
        <v>0</v>
      </c>
      <c r="Q1383" s="402">
        <f t="shared" si="1381"/>
        <v>0</v>
      </c>
      <c r="R1383" s="356" t="e">
        <f t="shared" si="1325"/>
        <v>#N/A</v>
      </c>
      <c r="S1383" s="356" t="str">
        <f>IF(D1383="","",IF(OR(D1383=Plano!$A$1,D1383=Plano!$B$1),"entrada","saída"))</f>
        <v/>
      </c>
      <c r="T1383" s="345"/>
      <c r="U1383" s="345"/>
      <c r="V1383" s="269"/>
      <c r="W1383" s="269"/>
    </row>
    <row r="1384" spans="1:23" ht="120" customHeight="1" x14ac:dyDescent="0.2">
      <c r="A1384" s="401" t="str">
        <f t="shared" si="0"/>
        <v/>
      </c>
      <c r="B1384" s="278"/>
      <c r="C1384" s="256"/>
      <c r="D1384" s="255"/>
      <c r="E1384" s="255"/>
      <c r="F1384" s="258"/>
      <c r="G1384" s="255"/>
      <c r="H1384" s="255"/>
      <c r="I1384" s="250"/>
      <c r="J1384" s="255"/>
      <c r="K1384" s="255"/>
      <c r="L1384" s="250"/>
      <c r="M1384" s="255"/>
      <c r="N1384" s="278"/>
      <c r="O1384" s="329"/>
      <c r="P1384" s="402">
        <f t="shared" ref="P1384:Q1384" si="1382">IF(B1384=0,0,IF(YEAR(B1384)=$Q$1,MONTH(B1384)-$P$1+1,(YEAR(B1384)-$Q$1)*12-$P$1+1+MONTH(B1384)))</f>
        <v>0</v>
      </c>
      <c r="Q1384" s="402">
        <f t="shared" si="1382"/>
        <v>0</v>
      </c>
      <c r="R1384" s="356" t="e">
        <f t="shared" si="1325"/>
        <v>#N/A</v>
      </c>
      <c r="S1384" s="356" t="str">
        <f>IF(D1384="","",IF(OR(D1384=Plano!$A$1,D1384=Plano!$B$1),"entrada","saída"))</f>
        <v/>
      </c>
      <c r="T1384" s="345"/>
      <c r="U1384" s="345"/>
      <c r="V1384" s="269"/>
      <c r="W1384" s="269"/>
    </row>
    <row r="1385" spans="1:23" ht="120" customHeight="1" x14ac:dyDescent="0.2">
      <c r="A1385" s="401" t="str">
        <f t="shared" si="0"/>
        <v/>
      </c>
      <c r="B1385" s="278"/>
      <c r="C1385" s="256"/>
      <c r="D1385" s="255"/>
      <c r="E1385" s="255"/>
      <c r="F1385" s="258"/>
      <c r="G1385" s="255"/>
      <c r="H1385" s="255"/>
      <c r="I1385" s="250"/>
      <c r="J1385" s="255"/>
      <c r="K1385" s="255"/>
      <c r="L1385" s="250"/>
      <c r="M1385" s="255"/>
      <c r="N1385" s="278"/>
      <c r="O1385" s="329"/>
      <c r="P1385" s="402">
        <f t="shared" ref="P1385:Q1385" si="1383">IF(B1385=0,0,IF(YEAR(B1385)=$Q$1,MONTH(B1385)-$P$1+1,(YEAR(B1385)-$Q$1)*12-$P$1+1+MONTH(B1385)))</f>
        <v>0</v>
      </c>
      <c r="Q1385" s="402">
        <f t="shared" si="1383"/>
        <v>0</v>
      </c>
      <c r="R1385" s="356" t="e">
        <f t="shared" si="1325"/>
        <v>#N/A</v>
      </c>
      <c r="S1385" s="356" t="str">
        <f>IF(D1385="","",IF(OR(D1385=Plano!$A$1,D1385=Plano!$B$1),"entrada","saída"))</f>
        <v/>
      </c>
      <c r="T1385" s="345"/>
      <c r="U1385" s="345"/>
      <c r="V1385" s="269"/>
      <c r="W1385" s="269"/>
    </row>
    <row r="1386" spans="1:23" ht="120" customHeight="1" x14ac:dyDescent="0.2">
      <c r="A1386" s="401" t="str">
        <f t="shared" si="0"/>
        <v/>
      </c>
      <c r="B1386" s="278"/>
      <c r="C1386" s="256"/>
      <c r="D1386" s="255"/>
      <c r="E1386" s="255"/>
      <c r="F1386" s="258"/>
      <c r="G1386" s="255"/>
      <c r="H1386" s="255"/>
      <c r="I1386" s="250"/>
      <c r="J1386" s="255"/>
      <c r="K1386" s="255"/>
      <c r="L1386" s="250"/>
      <c r="M1386" s="255"/>
      <c r="N1386" s="278"/>
      <c r="O1386" s="329"/>
      <c r="P1386" s="402">
        <f t="shared" ref="P1386:Q1386" si="1384">IF(B1386=0,0,IF(YEAR(B1386)=$Q$1,MONTH(B1386)-$P$1+1,(YEAR(B1386)-$Q$1)*12-$P$1+1+MONTH(B1386)))</f>
        <v>0</v>
      </c>
      <c r="Q1386" s="402">
        <f t="shared" si="1384"/>
        <v>0</v>
      </c>
      <c r="R1386" s="356" t="e">
        <f t="shared" si="1325"/>
        <v>#N/A</v>
      </c>
      <c r="S1386" s="356" t="str">
        <f>IF(D1386="","",IF(OR(D1386=Plano!$A$1,D1386=Plano!$B$1),"entrada","saída"))</f>
        <v/>
      </c>
      <c r="T1386" s="345"/>
      <c r="U1386" s="345"/>
      <c r="V1386" s="269"/>
      <c r="W1386" s="269"/>
    </row>
    <row r="1387" spans="1:23" ht="120" customHeight="1" x14ac:dyDescent="0.2">
      <c r="A1387" s="401" t="str">
        <f t="shared" si="0"/>
        <v/>
      </c>
      <c r="B1387" s="278"/>
      <c r="C1387" s="256"/>
      <c r="D1387" s="255"/>
      <c r="E1387" s="255"/>
      <c r="F1387" s="258"/>
      <c r="G1387" s="255"/>
      <c r="H1387" s="255"/>
      <c r="I1387" s="250"/>
      <c r="J1387" s="255"/>
      <c r="K1387" s="255"/>
      <c r="L1387" s="250"/>
      <c r="M1387" s="255"/>
      <c r="N1387" s="278"/>
      <c r="O1387" s="329"/>
      <c r="P1387" s="402">
        <f t="shared" ref="P1387:Q1387" si="1385">IF(B1387=0,0,IF(YEAR(B1387)=$Q$1,MONTH(B1387)-$P$1+1,(YEAR(B1387)-$Q$1)*12-$P$1+1+MONTH(B1387)))</f>
        <v>0</v>
      </c>
      <c r="Q1387" s="402">
        <f t="shared" si="1385"/>
        <v>0</v>
      </c>
      <c r="R1387" s="356" t="e">
        <f t="shared" si="1325"/>
        <v>#N/A</v>
      </c>
      <c r="S1387" s="356" t="str">
        <f>IF(D1387="","",IF(OR(D1387=Plano!$A$1,D1387=Plano!$B$1),"entrada","saída"))</f>
        <v/>
      </c>
      <c r="T1387" s="345"/>
      <c r="U1387" s="345"/>
      <c r="V1387" s="269"/>
      <c r="W1387" s="269"/>
    </row>
    <row r="1388" spans="1:23" ht="120" customHeight="1" x14ac:dyDescent="0.2">
      <c r="A1388" s="401" t="str">
        <f t="shared" si="0"/>
        <v/>
      </c>
      <c r="B1388" s="278"/>
      <c r="C1388" s="256"/>
      <c r="D1388" s="255"/>
      <c r="E1388" s="255"/>
      <c r="F1388" s="258"/>
      <c r="G1388" s="255"/>
      <c r="H1388" s="255"/>
      <c r="I1388" s="250"/>
      <c r="J1388" s="255"/>
      <c r="K1388" s="255"/>
      <c r="L1388" s="250"/>
      <c r="M1388" s="255"/>
      <c r="N1388" s="278"/>
      <c r="O1388" s="329"/>
      <c r="P1388" s="402">
        <f t="shared" ref="P1388:Q1388" si="1386">IF(B1388=0,0,IF(YEAR(B1388)=$Q$1,MONTH(B1388)-$P$1+1,(YEAR(B1388)-$Q$1)*12-$P$1+1+MONTH(B1388)))</f>
        <v>0</v>
      </c>
      <c r="Q1388" s="402">
        <f t="shared" si="1386"/>
        <v>0</v>
      </c>
      <c r="R1388" s="356" t="e">
        <f t="shared" si="1325"/>
        <v>#N/A</v>
      </c>
      <c r="S1388" s="356" t="str">
        <f>IF(D1388="","",IF(OR(D1388=Plano!$A$1,D1388=Plano!$B$1),"entrada","saída"))</f>
        <v/>
      </c>
      <c r="T1388" s="345"/>
      <c r="U1388" s="345"/>
      <c r="V1388" s="269"/>
      <c r="W1388" s="269"/>
    </row>
    <row r="1389" spans="1:23" ht="120" customHeight="1" x14ac:dyDescent="0.2">
      <c r="A1389" s="401" t="str">
        <f t="shared" si="0"/>
        <v/>
      </c>
      <c r="B1389" s="278"/>
      <c r="C1389" s="256"/>
      <c r="D1389" s="255"/>
      <c r="E1389" s="255"/>
      <c r="F1389" s="258"/>
      <c r="G1389" s="255"/>
      <c r="H1389" s="255"/>
      <c r="I1389" s="250"/>
      <c r="J1389" s="255"/>
      <c r="K1389" s="255"/>
      <c r="L1389" s="250"/>
      <c r="M1389" s="255"/>
      <c r="N1389" s="278"/>
      <c r="O1389" s="329"/>
      <c r="P1389" s="402">
        <f t="shared" ref="P1389:Q1389" si="1387">IF(B1389=0,0,IF(YEAR(B1389)=$Q$1,MONTH(B1389)-$P$1+1,(YEAR(B1389)-$Q$1)*12-$P$1+1+MONTH(B1389)))</f>
        <v>0</v>
      </c>
      <c r="Q1389" s="402">
        <f t="shared" si="1387"/>
        <v>0</v>
      </c>
      <c r="R1389" s="356" t="e">
        <f t="shared" si="1325"/>
        <v>#N/A</v>
      </c>
      <c r="S1389" s="356" t="str">
        <f>IF(D1389="","",IF(OR(D1389=Plano!$A$1,D1389=Plano!$B$1),"entrada","saída"))</f>
        <v/>
      </c>
      <c r="T1389" s="345"/>
      <c r="U1389" s="345"/>
      <c r="V1389" s="269"/>
      <c r="W1389" s="269"/>
    </row>
    <row r="1390" spans="1:23" ht="120" customHeight="1" x14ac:dyDescent="0.2">
      <c r="A1390" s="401" t="str">
        <f t="shared" si="0"/>
        <v/>
      </c>
      <c r="B1390" s="278"/>
      <c r="C1390" s="256"/>
      <c r="D1390" s="255"/>
      <c r="E1390" s="255"/>
      <c r="F1390" s="258"/>
      <c r="G1390" s="255"/>
      <c r="H1390" s="255"/>
      <c r="I1390" s="250"/>
      <c r="J1390" s="255"/>
      <c r="K1390" s="255"/>
      <c r="L1390" s="250"/>
      <c r="M1390" s="255"/>
      <c r="N1390" s="278"/>
      <c r="O1390" s="329"/>
      <c r="P1390" s="402">
        <f t="shared" ref="P1390:Q1390" si="1388">IF(B1390=0,0,IF(YEAR(B1390)=$Q$1,MONTH(B1390)-$P$1+1,(YEAR(B1390)-$Q$1)*12-$P$1+1+MONTH(B1390)))</f>
        <v>0</v>
      </c>
      <c r="Q1390" s="402">
        <f t="shared" si="1388"/>
        <v>0</v>
      </c>
      <c r="R1390" s="356" t="e">
        <f t="shared" si="1325"/>
        <v>#N/A</v>
      </c>
      <c r="S1390" s="356" t="str">
        <f>IF(D1390="","",IF(OR(D1390=Plano!$A$1,D1390=Plano!$B$1),"entrada","saída"))</f>
        <v/>
      </c>
      <c r="T1390" s="345"/>
      <c r="U1390" s="345"/>
      <c r="V1390" s="269"/>
      <c r="W1390" s="269"/>
    </row>
    <row r="1391" spans="1:23" ht="120" customHeight="1" x14ac:dyDescent="0.2">
      <c r="A1391" s="401" t="str">
        <f t="shared" si="0"/>
        <v/>
      </c>
      <c r="B1391" s="278"/>
      <c r="C1391" s="256"/>
      <c r="D1391" s="255"/>
      <c r="E1391" s="255"/>
      <c r="F1391" s="258"/>
      <c r="G1391" s="255"/>
      <c r="H1391" s="255"/>
      <c r="I1391" s="250"/>
      <c r="J1391" s="255"/>
      <c r="K1391" s="255"/>
      <c r="L1391" s="250"/>
      <c r="M1391" s="255"/>
      <c r="N1391" s="278"/>
      <c r="O1391" s="329"/>
      <c r="P1391" s="402">
        <f t="shared" ref="P1391:Q1391" si="1389">IF(B1391=0,0,IF(YEAR(B1391)=$Q$1,MONTH(B1391)-$P$1+1,(YEAR(B1391)-$Q$1)*12-$P$1+1+MONTH(B1391)))</f>
        <v>0</v>
      </c>
      <c r="Q1391" s="402">
        <f t="shared" si="1389"/>
        <v>0</v>
      </c>
      <c r="R1391" s="356" t="e">
        <f t="shared" si="1325"/>
        <v>#N/A</v>
      </c>
      <c r="S1391" s="356" t="str">
        <f>IF(D1391="","",IF(OR(D1391=Plano!$A$1,D1391=Plano!$B$1),"entrada","saída"))</f>
        <v/>
      </c>
      <c r="T1391" s="345"/>
      <c r="U1391" s="345"/>
      <c r="V1391" s="269"/>
      <c r="W1391" s="269"/>
    </row>
    <row r="1392" spans="1:23" ht="120" customHeight="1" x14ac:dyDescent="0.2">
      <c r="A1392" s="401" t="str">
        <f t="shared" si="0"/>
        <v/>
      </c>
      <c r="B1392" s="278"/>
      <c r="C1392" s="256"/>
      <c r="D1392" s="255"/>
      <c r="E1392" s="255"/>
      <c r="F1392" s="258"/>
      <c r="G1392" s="255"/>
      <c r="H1392" s="255"/>
      <c r="I1392" s="250"/>
      <c r="J1392" s="255"/>
      <c r="K1392" s="255"/>
      <c r="L1392" s="250"/>
      <c r="M1392" s="255"/>
      <c r="N1392" s="278"/>
      <c r="O1392" s="329"/>
      <c r="P1392" s="402">
        <f t="shared" ref="P1392:Q1392" si="1390">IF(B1392=0,0,IF(YEAR(B1392)=$Q$1,MONTH(B1392)-$P$1+1,(YEAR(B1392)-$Q$1)*12-$P$1+1+MONTH(B1392)))</f>
        <v>0</v>
      </c>
      <c r="Q1392" s="402">
        <f t="shared" si="1390"/>
        <v>0</v>
      </c>
      <c r="R1392" s="356" t="e">
        <f t="shared" si="1325"/>
        <v>#N/A</v>
      </c>
      <c r="S1392" s="356" t="str">
        <f>IF(D1392="","",IF(OR(D1392=Plano!$A$1,D1392=Plano!$B$1),"entrada","saída"))</f>
        <v/>
      </c>
      <c r="T1392" s="345"/>
      <c r="U1392" s="345"/>
      <c r="V1392" s="269"/>
      <c r="W1392" s="269"/>
    </row>
    <row r="1393" spans="1:23" ht="120" customHeight="1" x14ac:dyDescent="0.2">
      <c r="A1393" s="401" t="str">
        <f t="shared" si="0"/>
        <v/>
      </c>
      <c r="B1393" s="278"/>
      <c r="C1393" s="256"/>
      <c r="D1393" s="255"/>
      <c r="E1393" s="255"/>
      <c r="F1393" s="258"/>
      <c r="G1393" s="255"/>
      <c r="H1393" s="255"/>
      <c r="I1393" s="250"/>
      <c r="J1393" s="255"/>
      <c r="K1393" s="255"/>
      <c r="L1393" s="250"/>
      <c r="M1393" s="255"/>
      <c r="N1393" s="278"/>
      <c r="O1393" s="329"/>
      <c r="P1393" s="402">
        <f t="shared" ref="P1393:Q1393" si="1391">IF(B1393=0,0,IF(YEAR(B1393)=$Q$1,MONTH(B1393)-$P$1+1,(YEAR(B1393)-$Q$1)*12-$P$1+1+MONTH(B1393)))</f>
        <v>0</v>
      </c>
      <c r="Q1393" s="402">
        <f t="shared" si="1391"/>
        <v>0</v>
      </c>
      <c r="R1393" s="356" t="e">
        <f t="shared" si="1325"/>
        <v>#N/A</v>
      </c>
      <c r="S1393" s="356" t="str">
        <f>IF(D1393="","",IF(OR(D1393=Plano!$A$1,D1393=Plano!$B$1),"entrada","saída"))</f>
        <v/>
      </c>
      <c r="T1393" s="345"/>
      <c r="U1393" s="345"/>
      <c r="V1393" s="269"/>
      <c r="W1393" s="269"/>
    </row>
    <row r="1394" spans="1:23" ht="120" customHeight="1" x14ac:dyDescent="0.2">
      <c r="A1394" s="401" t="str">
        <f t="shared" si="0"/>
        <v/>
      </c>
      <c r="B1394" s="278"/>
      <c r="C1394" s="256"/>
      <c r="D1394" s="255"/>
      <c r="E1394" s="255"/>
      <c r="F1394" s="258"/>
      <c r="G1394" s="255"/>
      <c r="H1394" s="255"/>
      <c r="I1394" s="250"/>
      <c r="J1394" s="255"/>
      <c r="K1394" s="255"/>
      <c r="L1394" s="250"/>
      <c r="M1394" s="255"/>
      <c r="N1394" s="278"/>
      <c r="O1394" s="329"/>
      <c r="P1394" s="402">
        <f t="shared" ref="P1394:Q1394" si="1392">IF(B1394=0,0,IF(YEAR(B1394)=$Q$1,MONTH(B1394)-$P$1+1,(YEAR(B1394)-$Q$1)*12-$P$1+1+MONTH(B1394)))</f>
        <v>0</v>
      </c>
      <c r="Q1394" s="402">
        <f t="shared" si="1392"/>
        <v>0</v>
      </c>
      <c r="R1394" s="356" t="e">
        <f t="shared" si="1325"/>
        <v>#N/A</v>
      </c>
      <c r="S1394" s="356" t="str">
        <f>IF(D1394="","",IF(OR(D1394=Plano!$A$1,D1394=Plano!$B$1),"entrada","saída"))</f>
        <v/>
      </c>
      <c r="T1394" s="345"/>
      <c r="U1394" s="345"/>
      <c r="V1394" s="269"/>
      <c r="W1394" s="269"/>
    </row>
    <row r="1395" spans="1:23" ht="120" customHeight="1" x14ac:dyDescent="0.2">
      <c r="A1395" s="401" t="str">
        <f t="shared" si="0"/>
        <v/>
      </c>
      <c r="B1395" s="278"/>
      <c r="C1395" s="256"/>
      <c r="D1395" s="255"/>
      <c r="E1395" s="255"/>
      <c r="F1395" s="258"/>
      <c r="G1395" s="255"/>
      <c r="H1395" s="255"/>
      <c r="I1395" s="250"/>
      <c r="J1395" s="255"/>
      <c r="K1395" s="255"/>
      <c r="L1395" s="250"/>
      <c r="M1395" s="255"/>
      <c r="N1395" s="278"/>
      <c r="O1395" s="329"/>
      <c r="P1395" s="402">
        <f t="shared" ref="P1395:Q1395" si="1393">IF(B1395=0,0,IF(YEAR(B1395)=$Q$1,MONTH(B1395)-$P$1+1,(YEAR(B1395)-$Q$1)*12-$P$1+1+MONTH(B1395)))</f>
        <v>0</v>
      </c>
      <c r="Q1395" s="402">
        <f t="shared" si="1393"/>
        <v>0</v>
      </c>
      <c r="R1395" s="356" t="e">
        <f t="shared" si="1325"/>
        <v>#N/A</v>
      </c>
      <c r="S1395" s="356" t="str">
        <f>IF(D1395="","",IF(OR(D1395=Plano!$A$1,D1395=Plano!$B$1),"entrada","saída"))</f>
        <v/>
      </c>
      <c r="T1395" s="345"/>
      <c r="U1395" s="345"/>
      <c r="V1395" s="269"/>
      <c r="W1395" s="269"/>
    </row>
    <row r="1396" spans="1:23" ht="120" customHeight="1" x14ac:dyDescent="0.2">
      <c r="A1396" s="401" t="str">
        <f t="shared" si="0"/>
        <v/>
      </c>
      <c r="B1396" s="278"/>
      <c r="C1396" s="256"/>
      <c r="D1396" s="255"/>
      <c r="E1396" s="255"/>
      <c r="F1396" s="258"/>
      <c r="G1396" s="255"/>
      <c r="H1396" s="255"/>
      <c r="I1396" s="250"/>
      <c r="J1396" s="255"/>
      <c r="K1396" s="255"/>
      <c r="L1396" s="250"/>
      <c r="M1396" s="255"/>
      <c r="N1396" s="278"/>
      <c r="O1396" s="329"/>
      <c r="P1396" s="402">
        <f t="shared" ref="P1396:Q1396" si="1394">IF(B1396=0,0,IF(YEAR(B1396)=$Q$1,MONTH(B1396)-$P$1+1,(YEAR(B1396)-$Q$1)*12-$P$1+1+MONTH(B1396)))</f>
        <v>0</v>
      </c>
      <c r="Q1396" s="402">
        <f t="shared" si="1394"/>
        <v>0</v>
      </c>
      <c r="R1396" s="356" t="e">
        <f t="shared" si="1325"/>
        <v>#N/A</v>
      </c>
      <c r="S1396" s="356" t="str">
        <f>IF(D1396="","",IF(OR(D1396=Plano!$A$1,D1396=Plano!$B$1),"entrada","saída"))</f>
        <v/>
      </c>
      <c r="T1396" s="345"/>
      <c r="U1396" s="345"/>
      <c r="V1396" s="269"/>
      <c r="W1396" s="269"/>
    </row>
    <row r="1397" spans="1:23" ht="120" customHeight="1" x14ac:dyDescent="0.2">
      <c r="A1397" s="401" t="str">
        <f t="shared" si="0"/>
        <v/>
      </c>
      <c r="B1397" s="278"/>
      <c r="C1397" s="256"/>
      <c r="D1397" s="255"/>
      <c r="E1397" s="255"/>
      <c r="F1397" s="258"/>
      <c r="G1397" s="255"/>
      <c r="H1397" s="255"/>
      <c r="I1397" s="250"/>
      <c r="J1397" s="255"/>
      <c r="K1397" s="255"/>
      <c r="L1397" s="250"/>
      <c r="M1397" s="255"/>
      <c r="N1397" s="278"/>
      <c r="O1397" s="329"/>
      <c r="P1397" s="402">
        <f t="shared" ref="P1397:Q1397" si="1395">IF(B1397=0,0,IF(YEAR(B1397)=$Q$1,MONTH(B1397)-$P$1+1,(YEAR(B1397)-$Q$1)*12-$P$1+1+MONTH(B1397)))</f>
        <v>0</v>
      </c>
      <c r="Q1397" s="402">
        <f t="shared" si="1395"/>
        <v>0</v>
      </c>
      <c r="R1397" s="356" t="e">
        <f t="shared" si="1325"/>
        <v>#N/A</v>
      </c>
      <c r="S1397" s="356" t="str">
        <f>IF(D1397="","",IF(OR(D1397=Plano!$A$1,D1397=Plano!$B$1),"entrada","saída"))</f>
        <v/>
      </c>
      <c r="T1397" s="345"/>
      <c r="U1397" s="345"/>
      <c r="V1397" s="269"/>
      <c r="W1397" s="269"/>
    </row>
    <row r="1398" spans="1:23" ht="120" customHeight="1" x14ac:dyDescent="0.2">
      <c r="A1398" s="401" t="str">
        <f t="shared" si="0"/>
        <v/>
      </c>
      <c r="B1398" s="278"/>
      <c r="C1398" s="256"/>
      <c r="D1398" s="255"/>
      <c r="E1398" s="255"/>
      <c r="F1398" s="258"/>
      <c r="G1398" s="255"/>
      <c r="H1398" s="255"/>
      <c r="I1398" s="250"/>
      <c r="J1398" s="255"/>
      <c r="K1398" s="255"/>
      <c r="L1398" s="250"/>
      <c r="M1398" s="255"/>
      <c r="N1398" s="278"/>
      <c r="O1398" s="329"/>
      <c r="P1398" s="402">
        <f t="shared" ref="P1398:Q1398" si="1396">IF(B1398=0,0,IF(YEAR(B1398)=$Q$1,MONTH(B1398)-$P$1+1,(YEAR(B1398)-$Q$1)*12-$P$1+1+MONTH(B1398)))</f>
        <v>0</v>
      </c>
      <c r="Q1398" s="402">
        <f t="shared" si="1396"/>
        <v>0</v>
      </c>
      <c r="R1398" s="356" t="e">
        <f t="shared" si="1325"/>
        <v>#N/A</v>
      </c>
      <c r="S1398" s="356" t="str">
        <f>IF(D1398="","",IF(OR(D1398=Plano!$A$1,D1398=Plano!$B$1),"entrada","saída"))</f>
        <v/>
      </c>
      <c r="T1398" s="345"/>
      <c r="U1398" s="345"/>
      <c r="V1398" s="269"/>
      <c r="W1398" s="269"/>
    </row>
    <row r="1399" spans="1:23" ht="120" customHeight="1" x14ac:dyDescent="0.2">
      <c r="A1399" s="401" t="str">
        <f t="shared" si="0"/>
        <v/>
      </c>
      <c r="B1399" s="278"/>
      <c r="C1399" s="256"/>
      <c r="D1399" s="255"/>
      <c r="E1399" s="255"/>
      <c r="F1399" s="258"/>
      <c r="G1399" s="255"/>
      <c r="H1399" s="255"/>
      <c r="I1399" s="250"/>
      <c r="J1399" s="255"/>
      <c r="K1399" s="255"/>
      <c r="L1399" s="250"/>
      <c r="M1399" s="255"/>
      <c r="N1399" s="278"/>
      <c r="O1399" s="329"/>
      <c r="P1399" s="402">
        <f t="shared" ref="P1399:Q1399" si="1397">IF(B1399=0,0,IF(YEAR(B1399)=$Q$1,MONTH(B1399)-$P$1+1,(YEAR(B1399)-$Q$1)*12-$P$1+1+MONTH(B1399)))</f>
        <v>0</v>
      </c>
      <c r="Q1399" s="402">
        <f t="shared" si="1397"/>
        <v>0</v>
      </c>
      <c r="R1399" s="356" t="e">
        <f t="shared" si="1325"/>
        <v>#N/A</v>
      </c>
      <c r="S1399" s="356" t="str">
        <f>IF(D1399="","",IF(OR(D1399=Plano!$A$1,D1399=Plano!$B$1),"entrada","saída"))</f>
        <v/>
      </c>
      <c r="T1399" s="345"/>
      <c r="U1399" s="345"/>
      <c r="V1399" s="269"/>
      <c r="W1399" s="269"/>
    </row>
    <row r="1400" spans="1:23" ht="120" customHeight="1" x14ac:dyDescent="0.2">
      <c r="A1400" s="401" t="str">
        <f t="shared" si="0"/>
        <v/>
      </c>
      <c r="B1400" s="278"/>
      <c r="C1400" s="256"/>
      <c r="D1400" s="255"/>
      <c r="E1400" s="255"/>
      <c r="F1400" s="258"/>
      <c r="G1400" s="255"/>
      <c r="H1400" s="255"/>
      <c r="I1400" s="250"/>
      <c r="J1400" s="255"/>
      <c r="K1400" s="255"/>
      <c r="L1400" s="250"/>
      <c r="M1400" s="255"/>
      <c r="N1400" s="278"/>
      <c r="O1400" s="329"/>
      <c r="P1400" s="402">
        <f t="shared" ref="P1400:Q1400" si="1398">IF(B1400=0,0,IF(YEAR(B1400)=$Q$1,MONTH(B1400)-$P$1+1,(YEAR(B1400)-$Q$1)*12-$P$1+1+MONTH(B1400)))</f>
        <v>0</v>
      </c>
      <c r="Q1400" s="402">
        <f t="shared" si="1398"/>
        <v>0</v>
      </c>
      <c r="R1400" s="356" t="e">
        <f t="shared" si="1325"/>
        <v>#N/A</v>
      </c>
      <c r="S1400" s="356" t="str">
        <f>IF(D1400="","",IF(OR(D1400=Plano!$A$1,D1400=Plano!$B$1),"entrada","saída"))</f>
        <v/>
      </c>
      <c r="T1400" s="345"/>
      <c r="U1400" s="345"/>
      <c r="V1400" s="269"/>
      <c r="W1400" s="269"/>
    </row>
    <row r="1401" spans="1:23" ht="120" customHeight="1" x14ac:dyDescent="0.2">
      <c r="A1401" s="401" t="str">
        <f t="shared" si="0"/>
        <v/>
      </c>
      <c r="B1401" s="278"/>
      <c r="C1401" s="256"/>
      <c r="D1401" s="255"/>
      <c r="E1401" s="255"/>
      <c r="F1401" s="258"/>
      <c r="G1401" s="255"/>
      <c r="H1401" s="255"/>
      <c r="I1401" s="250"/>
      <c r="J1401" s="255"/>
      <c r="K1401" s="255"/>
      <c r="L1401" s="250"/>
      <c r="M1401" s="255"/>
      <c r="N1401" s="278"/>
      <c r="O1401" s="329"/>
      <c r="P1401" s="402">
        <f t="shared" ref="P1401:Q1401" si="1399">IF(B1401=0,0,IF(YEAR(B1401)=$Q$1,MONTH(B1401)-$P$1+1,(YEAR(B1401)-$Q$1)*12-$P$1+1+MONTH(B1401)))</f>
        <v>0</v>
      </c>
      <c r="Q1401" s="402">
        <f t="shared" si="1399"/>
        <v>0</v>
      </c>
      <c r="R1401" s="356" t="e">
        <f t="shared" si="1325"/>
        <v>#N/A</v>
      </c>
      <c r="S1401" s="356" t="str">
        <f>IF(D1401="","",IF(OR(D1401=Plano!$A$1,D1401=Plano!$B$1),"entrada","saída"))</f>
        <v/>
      </c>
      <c r="T1401" s="345"/>
      <c r="U1401" s="345"/>
      <c r="V1401" s="269"/>
      <c r="W1401" s="269"/>
    </row>
    <row r="1402" spans="1:23" ht="120" customHeight="1" x14ac:dyDescent="0.2">
      <c r="A1402" s="401" t="str">
        <f t="shared" si="0"/>
        <v/>
      </c>
      <c r="B1402" s="278"/>
      <c r="C1402" s="256"/>
      <c r="D1402" s="255"/>
      <c r="E1402" s="255"/>
      <c r="F1402" s="258"/>
      <c r="G1402" s="255"/>
      <c r="H1402" s="255"/>
      <c r="I1402" s="250"/>
      <c r="J1402" s="255"/>
      <c r="K1402" s="255"/>
      <c r="L1402" s="250"/>
      <c r="M1402" s="255"/>
      <c r="N1402" s="278"/>
      <c r="O1402" s="329"/>
      <c r="P1402" s="402">
        <f t="shared" ref="P1402:Q1402" si="1400">IF(B1402=0,0,IF(YEAR(B1402)=$Q$1,MONTH(B1402)-$P$1+1,(YEAR(B1402)-$Q$1)*12-$P$1+1+MONTH(B1402)))</f>
        <v>0</v>
      </c>
      <c r="Q1402" s="402">
        <f t="shared" si="1400"/>
        <v>0</v>
      </c>
      <c r="R1402" s="356" t="e">
        <f t="shared" si="1325"/>
        <v>#N/A</v>
      </c>
      <c r="S1402" s="356" t="str">
        <f>IF(D1402="","",IF(OR(D1402=Plano!$A$1,D1402=Plano!$B$1),"entrada","saída"))</f>
        <v/>
      </c>
      <c r="T1402" s="345"/>
      <c r="U1402" s="345"/>
      <c r="V1402" s="269"/>
      <c r="W1402" s="269"/>
    </row>
    <row r="1403" spans="1:23" ht="120" customHeight="1" x14ac:dyDescent="0.2">
      <c r="A1403" s="401" t="str">
        <f t="shared" si="0"/>
        <v/>
      </c>
      <c r="B1403" s="278"/>
      <c r="C1403" s="256"/>
      <c r="D1403" s="255"/>
      <c r="E1403" s="255"/>
      <c r="F1403" s="258"/>
      <c r="G1403" s="255"/>
      <c r="H1403" s="255"/>
      <c r="I1403" s="250"/>
      <c r="J1403" s="255"/>
      <c r="K1403" s="255"/>
      <c r="L1403" s="250"/>
      <c r="M1403" s="255"/>
      <c r="N1403" s="278"/>
      <c r="O1403" s="329"/>
      <c r="P1403" s="402">
        <f t="shared" ref="P1403:Q1403" si="1401">IF(B1403=0,0,IF(YEAR(B1403)=$Q$1,MONTH(B1403)-$P$1+1,(YEAR(B1403)-$Q$1)*12-$P$1+1+MONTH(B1403)))</f>
        <v>0</v>
      </c>
      <c r="Q1403" s="402">
        <f t="shared" si="1401"/>
        <v>0</v>
      </c>
      <c r="R1403" s="356" t="e">
        <f t="shared" si="1325"/>
        <v>#N/A</v>
      </c>
      <c r="S1403" s="356" t="str">
        <f>IF(D1403="","",IF(OR(D1403=Plano!$A$1,D1403=Plano!$B$1),"entrada","saída"))</f>
        <v/>
      </c>
      <c r="T1403" s="345"/>
      <c r="U1403" s="345"/>
      <c r="V1403" s="269"/>
      <c r="W1403" s="269"/>
    </row>
    <row r="1404" spans="1:23" ht="120" customHeight="1" x14ac:dyDescent="0.2">
      <c r="A1404" s="401" t="str">
        <f t="shared" si="0"/>
        <v/>
      </c>
      <c r="B1404" s="278"/>
      <c r="C1404" s="256"/>
      <c r="D1404" s="255"/>
      <c r="E1404" s="255"/>
      <c r="F1404" s="258"/>
      <c r="G1404" s="255"/>
      <c r="H1404" s="255"/>
      <c r="I1404" s="250"/>
      <c r="J1404" s="255"/>
      <c r="K1404" s="255"/>
      <c r="L1404" s="250"/>
      <c r="M1404" s="255"/>
      <c r="N1404" s="278"/>
      <c r="O1404" s="329"/>
      <c r="P1404" s="402">
        <f t="shared" ref="P1404:Q1404" si="1402">IF(B1404=0,0,IF(YEAR(B1404)=$Q$1,MONTH(B1404)-$P$1+1,(YEAR(B1404)-$Q$1)*12-$P$1+1+MONTH(B1404)))</f>
        <v>0</v>
      </c>
      <c r="Q1404" s="402">
        <f t="shared" si="1402"/>
        <v>0</v>
      </c>
      <c r="R1404" s="356" t="e">
        <f t="shared" si="1325"/>
        <v>#N/A</v>
      </c>
      <c r="S1404" s="356" t="str">
        <f>IF(D1404="","",IF(OR(D1404=Plano!$A$1,D1404=Plano!$B$1),"entrada","saída"))</f>
        <v/>
      </c>
      <c r="T1404" s="345"/>
      <c r="U1404" s="345"/>
      <c r="V1404" s="269"/>
      <c r="W1404" s="269"/>
    </row>
    <row r="1405" spans="1:23" ht="120" customHeight="1" x14ac:dyDescent="0.2">
      <c r="A1405" s="401" t="str">
        <f t="shared" si="0"/>
        <v/>
      </c>
      <c r="B1405" s="278"/>
      <c r="C1405" s="256"/>
      <c r="D1405" s="255"/>
      <c r="E1405" s="255"/>
      <c r="F1405" s="258"/>
      <c r="G1405" s="255"/>
      <c r="H1405" s="255"/>
      <c r="I1405" s="250"/>
      <c r="J1405" s="255"/>
      <c r="K1405" s="255"/>
      <c r="L1405" s="250"/>
      <c r="M1405" s="255"/>
      <c r="N1405" s="278"/>
      <c r="O1405" s="329"/>
      <c r="P1405" s="402">
        <f t="shared" ref="P1405:Q1405" si="1403">IF(B1405=0,0,IF(YEAR(B1405)=$Q$1,MONTH(B1405)-$P$1+1,(YEAR(B1405)-$Q$1)*12-$P$1+1+MONTH(B1405)))</f>
        <v>0</v>
      </c>
      <c r="Q1405" s="402">
        <f t="shared" si="1403"/>
        <v>0</v>
      </c>
      <c r="R1405" s="356" t="e">
        <f t="shared" si="1325"/>
        <v>#N/A</v>
      </c>
      <c r="S1405" s="356" t="str">
        <f>IF(D1405="","",IF(OR(D1405=Plano!$A$1,D1405=Plano!$B$1),"entrada","saída"))</f>
        <v/>
      </c>
      <c r="T1405" s="345"/>
      <c r="U1405" s="345"/>
      <c r="V1405" s="269"/>
      <c r="W1405" s="269"/>
    </row>
    <row r="1406" spans="1:23" ht="120" customHeight="1" x14ac:dyDescent="0.2">
      <c r="A1406" s="401" t="str">
        <f t="shared" si="0"/>
        <v/>
      </c>
      <c r="B1406" s="278"/>
      <c r="C1406" s="256"/>
      <c r="D1406" s="255"/>
      <c r="E1406" s="255"/>
      <c r="F1406" s="258"/>
      <c r="G1406" s="255"/>
      <c r="H1406" s="255"/>
      <c r="I1406" s="250"/>
      <c r="J1406" s="255"/>
      <c r="K1406" s="255"/>
      <c r="L1406" s="250"/>
      <c r="M1406" s="255"/>
      <c r="N1406" s="278"/>
      <c r="O1406" s="329"/>
      <c r="P1406" s="402">
        <f t="shared" ref="P1406:Q1406" si="1404">IF(B1406=0,0,IF(YEAR(B1406)=$Q$1,MONTH(B1406)-$P$1+1,(YEAR(B1406)-$Q$1)*12-$P$1+1+MONTH(B1406)))</f>
        <v>0</v>
      </c>
      <c r="Q1406" s="402">
        <f t="shared" si="1404"/>
        <v>0</v>
      </c>
      <c r="R1406" s="356" t="e">
        <f t="shared" si="1325"/>
        <v>#N/A</v>
      </c>
      <c r="S1406" s="356" t="str">
        <f>IF(D1406="","",IF(OR(D1406=Plano!$A$1,D1406=Plano!$B$1),"entrada","saída"))</f>
        <v/>
      </c>
      <c r="T1406" s="345"/>
      <c r="U1406" s="345"/>
      <c r="V1406" s="269"/>
      <c r="W1406" s="269"/>
    </row>
    <row r="1407" spans="1:23" ht="120" customHeight="1" x14ac:dyDescent="0.2">
      <c r="A1407" s="401" t="str">
        <f t="shared" si="0"/>
        <v/>
      </c>
      <c r="B1407" s="278"/>
      <c r="C1407" s="256"/>
      <c r="D1407" s="255"/>
      <c r="E1407" s="255"/>
      <c r="F1407" s="258"/>
      <c r="G1407" s="255"/>
      <c r="H1407" s="255"/>
      <c r="I1407" s="250"/>
      <c r="J1407" s="255"/>
      <c r="K1407" s="255"/>
      <c r="L1407" s="250"/>
      <c r="M1407" s="255"/>
      <c r="N1407" s="278"/>
      <c r="O1407" s="329"/>
      <c r="P1407" s="402">
        <f t="shared" ref="P1407:Q1407" si="1405">IF(B1407=0,0,IF(YEAR(B1407)=$Q$1,MONTH(B1407)-$P$1+1,(YEAR(B1407)-$Q$1)*12-$P$1+1+MONTH(B1407)))</f>
        <v>0</v>
      </c>
      <c r="Q1407" s="402">
        <f t="shared" si="1405"/>
        <v>0</v>
      </c>
      <c r="R1407" s="356" t="e">
        <f t="shared" si="1325"/>
        <v>#N/A</v>
      </c>
      <c r="S1407" s="356" t="str">
        <f>IF(D1407="","",IF(OR(D1407=Plano!$A$1,D1407=Plano!$B$1),"entrada","saída"))</f>
        <v/>
      </c>
      <c r="T1407" s="345"/>
      <c r="U1407" s="345"/>
      <c r="V1407" s="269"/>
      <c r="W1407" s="269"/>
    </row>
    <row r="1408" spans="1:23" ht="120" customHeight="1" x14ac:dyDescent="0.2">
      <c r="A1408" s="401" t="str">
        <f t="shared" si="0"/>
        <v/>
      </c>
      <c r="B1408" s="278"/>
      <c r="C1408" s="256"/>
      <c r="D1408" s="255"/>
      <c r="E1408" s="255"/>
      <c r="F1408" s="258"/>
      <c r="G1408" s="255"/>
      <c r="H1408" s="255"/>
      <c r="I1408" s="250"/>
      <c r="J1408" s="255"/>
      <c r="K1408" s="255"/>
      <c r="L1408" s="250"/>
      <c r="M1408" s="255"/>
      <c r="N1408" s="278"/>
      <c r="O1408" s="329"/>
      <c r="P1408" s="402">
        <f t="shared" ref="P1408:Q1408" si="1406">IF(B1408=0,0,IF(YEAR(B1408)=$Q$1,MONTH(B1408)-$P$1+1,(YEAR(B1408)-$Q$1)*12-$P$1+1+MONTH(B1408)))</f>
        <v>0</v>
      </c>
      <c r="Q1408" s="402">
        <f t="shared" si="1406"/>
        <v>0</v>
      </c>
      <c r="R1408" s="356" t="e">
        <f t="shared" si="1325"/>
        <v>#N/A</v>
      </c>
      <c r="S1408" s="356" t="str">
        <f>IF(D1408="","",IF(OR(D1408=Plano!$A$1,D1408=Plano!$B$1),"entrada","saída"))</f>
        <v/>
      </c>
      <c r="T1408" s="345"/>
      <c r="U1408" s="345"/>
      <c r="V1408" s="269"/>
      <c r="W1408" s="269"/>
    </row>
    <row r="1409" spans="1:23" ht="120" customHeight="1" x14ac:dyDescent="0.2">
      <c r="A1409" s="401" t="str">
        <f t="shared" si="0"/>
        <v/>
      </c>
      <c r="B1409" s="278"/>
      <c r="C1409" s="256"/>
      <c r="D1409" s="255"/>
      <c r="E1409" s="255"/>
      <c r="F1409" s="258"/>
      <c r="G1409" s="255"/>
      <c r="H1409" s="255"/>
      <c r="I1409" s="250"/>
      <c r="J1409" s="255"/>
      <c r="K1409" s="255"/>
      <c r="L1409" s="250"/>
      <c r="M1409" s="255"/>
      <c r="N1409" s="278"/>
      <c r="O1409" s="329"/>
      <c r="P1409" s="402">
        <f t="shared" ref="P1409:Q1409" si="1407">IF(B1409=0,0,IF(YEAR(B1409)=$Q$1,MONTH(B1409)-$P$1+1,(YEAR(B1409)-$Q$1)*12-$P$1+1+MONTH(B1409)))</f>
        <v>0</v>
      </c>
      <c r="Q1409" s="402">
        <f t="shared" si="1407"/>
        <v>0</v>
      </c>
      <c r="R1409" s="356" t="e">
        <f t="shared" si="1325"/>
        <v>#N/A</v>
      </c>
      <c r="S1409" s="356" t="str">
        <f>IF(D1409="","",IF(OR(D1409=Plano!$A$1,D1409=Plano!$B$1),"entrada","saída"))</f>
        <v/>
      </c>
      <c r="T1409" s="345"/>
      <c r="U1409" s="345"/>
      <c r="V1409" s="269"/>
      <c r="W1409" s="269"/>
    </row>
    <row r="1410" spans="1:23" ht="120" customHeight="1" x14ac:dyDescent="0.2">
      <c r="A1410" s="401" t="str">
        <f t="shared" si="0"/>
        <v/>
      </c>
      <c r="B1410" s="278"/>
      <c r="C1410" s="256"/>
      <c r="D1410" s="255"/>
      <c r="E1410" s="255"/>
      <c r="F1410" s="258"/>
      <c r="G1410" s="255"/>
      <c r="H1410" s="255"/>
      <c r="I1410" s="250"/>
      <c r="J1410" s="255"/>
      <c r="K1410" s="255"/>
      <c r="L1410" s="250"/>
      <c r="M1410" s="255"/>
      <c r="N1410" s="278"/>
      <c r="O1410" s="329"/>
      <c r="P1410" s="402">
        <f t="shared" ref="P1410:Q1410" si="1408">IF(B1410=0,0,IF(YEAR(B1410)=$Q$1,MONTH(B1410)-$P$1+1,(YEAR(B1410)-$Q$1)*12-$P$1+1+MONTH(B1410)))</f>
        <v>0</v>
      </c>
      <c r="Q1410" s="402">
        <f t="shared" si="1408"/>
        <v>0</v>
      </c>
      <c r="R1410" s="356" t="e">
        <f t="shared" si="1325"/>
        <v>#N/A</v>
      </c>
      <c r="S1410" s="356" t="str">
        <f>IF(D1410="","",IF(OR(D1410=Plano!$A$1,D1410=Plano!$B$1),"entrada","saída"))</f>
        <v/>
      </c>
      <c r="T1410" s="345"/>
      <c r="U1410" s="345"/>
      <c r="V1410" s="269"/>
      <c r="W1410" s="269"/>
    </row>
    <row r="1411" spans="1:23" ht="120" customHeight="1" x14ac:dyDescent="0.2">
      <c r="A1411" s="401" t="str">
        <f t="shared" si="0"/>
        <v/>
      </c>
      <c r="B1411" s="278"/>
      <c r="C1411" s="256"/>
      <c r="D1411" s="255"/>
      <c r="E1411" s="255"/>
      <c r="F1411" s="258"/>
      <c r="G1411" s="255"/>
      <c r="H1411" s="255"/>
      <c r="I1411" s="250"/>
      <c r="J1411" s="255"/>
      <c r="K1411" s="255"/>
      <c r="L1411" s="250"/>
      <c r="M1411" s="255"/>
      <c r="N1411" s="278"/>
      <c r="O1411" s="329"/>
      <c r="P1411" s="402">
        <f t="shared" ref="P1411:Q1411" si="1409">IF(B1411=0,0,IF(YEAR(B1411)=$Q$1,MONTH(B1411)-$P$1+1,(YEAR(B1411)-$Q$1)*12-$P$1+1+MONTH(B1411)))</f>
        <v>0</v>
      </c>
      <c r="Q1411" s="402">
        <f t="shared" si="1409"/>
        <v>0</v>
      </c>
      <c r="R1411" s="356" t="e">
        <f t="shared" si="1325"/>
        <v>#N/A</v>
      </c>
      <c r="S1411" s="356" t="str">
        <f>IF(D1411="","",IF(OR(D1411=Plano!$A$1,D1411=Plano!$B$1),"entrada","saída"))</f>
        <v/>
      </c>
      <c r="T1411" s="345"/>
      <c r="U1411" s="345"/>
      <c r="V1411" s="269"/>
      <c r="W1411" s="269"/>
    </row>
    <row r="1412" spans="1:23" ht="120" customHeight="1" x14ac:dyDescent="0.2">
      <c r="A1412" s="401" t="str">
        <f t="shared" si="0"/>
        <v/>
      </c>
      <c r="B1412" s="278"/>
      <c r="C1412" s="256"/>
      <c r="D1412" s="255"/>
      <c r="E1412" s="255"/>
      <c r="F1412" s="258"/>
      <c r="G1412" s="255"/>
      <c r="H1412" s="255"/>
      <c r="I1412" s="250"/>
      <c r="J1412" s="255"/>
      <c r="K1412" s="255"/>
      <c r="L1412" s="250"/>
      <c r="M1412" s="255"/>
      <c r="N1412" s="278"/>
      <c r="O1412" s="329"/>
      <c r="P1412" s="402">
        <f t="shared" ref="P1412:Q1412" si="1410">IF(B1412=0,0,IF(YEAR(B1412)=$Q$1,MONTH(B1412)-$P$1+1,(YEAR(B1412)-$Q$1)*12-$P$1+1+MONTH(B1412)))</f>
        <v>0</v>
      </c>
      <c r="Q1412" s="402">
        <f t="shared" si="1410"/>
        <v>0</v>
      </c>
      <c r="R1412" s="356" t="e">
        <f t="shared" si="1325"/>
        <v>#N/A</v>
      </c>
      <c r="S1412" s="356" t="str">
        <f>IF(D1412="","",IF(OR(D1412=Plano!$A$1,D1412=Plano!$B$1),"entrada","saída"))</f>
        <v/>
      </c>
      <c r="T1412" s="345"/>
      <c r="U1412" s="345"/>
      <c r="V1412" s="269"/>
      <c r="W1412" s="269"/>
    </row>
    <row r="1413" spans="1:23" ht="120" customHeight="1" x14ac:dyDescent="0.2">
      <c r="A1413" s="401" t="str">
        <f t="shared" si="0"/>
        <v/>
      </c>
      <c r="B1413" s="278"/>
      <c r="C1413" s="256"/>
      <c r="D1413" s="255"/>
      <c r="E1413" s="255"/>
      <c r="F1413" s="258"/>
      <c r="G1413" s="255"/>
      <c r="H1413" s="255"/>
      <c r="I1413" s="250"/>
      <c r="J1413" s="255"/>
      <c r="K1413" s="255"/>
      <c r="L1413" s="250"/>
      <c r="M1413" s="255"/>
      <c r="N1413" s="277"/>
      <c r="O1413" s="329"/>
      <c r="P1413" s="402">
        <f t="shared" ref="P1413:Q1413" si="1411">IF(B1413=0,0,IF(YEAR(B1413)=$Q$1,MONTH(B1413)-$P$1+1,(YEAR(B1413)-$Q$1)*12-$P$1+1+MONTH(B1413)))</f>
        <v>0</v>
      </c>
      <c r="Q1413" s="402">
        <f t="shared" si="1411"/>
        <v>0</v>
      </c>
      <c r="R1413" s="356" t="e">
        <f t="shared" si="1325"/>
        <v>#N/A</v>
      </c>
      <c r="S1413" s="356" t="str">
        <f>IF(D1413="","",IF(OR(D1413=Plano!$A$1,D1413=Plano!$B$1),"entrada","saída"))</f>
        <v/>
      </c>
      <c r="T1413" s="345"/>
      <c r="U1413" s="345"/>
      <c r="V1413" s="269"/>
      <c r="W1413" s="269"/>
    </row>
    <row r="1414" spans="1:23" ht="120" customHeight="1" x14ac:dyDescent="0.2">
      <c r="A1414" s="401" t="str">
        <f t="shared" si="0"/>
        <v/>
      </c>
      <c r="B1414" s="278"/>
      <c r="C1414" s="256"/>
      <c r="D1414" s="255"/>
      <c r="E1414" s="255"/>
      <c r="F1414" s="258"/>
      <c r="G1414" s="255"/>
      <c r="H1414" s="255"/>
      <c r="I1414" s="250"/>
      <c r="J1414" s="255"/>
      <c r="K1414" s="255"/>
      <c r="L1414" s="250"/>
      <c r="M1414" s="255"/>
      <c r="N1414" s="277"/>
      <c r="O1414" s="329"/>
      <c r="P1414" s="402">
        <f t="shared" ref="P1414:Q1414" si="1412">IF(B1414=0,0,IF(YEAR(B1414)=$Q$1,MONTH(B1414)-$P$1+1,(YEAR(B1414)-$Q$1)*12-$P$1+1+MONTH(B1414)))</f>
        <v>0</v>
      </c>
      <c r="Q1414" s="402">
        <f t="shared" si="1412"/>
        <v>0</v>
      </c>
      <c r="R1414" s="356" t="e">
        <f t="shared" si="1325"/>
        <v>#N/A</v>
      </c>
      <c r="S1414" s="356" t="str">
        <f>IF(D1414="","",IF(OR(D1414=Plano!$A$1,D1414=Plano!$B$1),"entrada","saída"))</f>
        <v/>
      </c>
      <c r="T1414" s="345"/>
      <c r="U1414" s="345"/>
      <c r="V1414" s="269"/>
      <c r="W1414" s="269"/>
    </row>
    <row r="1415" spans="1:23" ht="120" customHeight="1" x14ac:dyDescent="0.2">
      <c r="A1415" s="401" t="str">
        <f t="shared" si="0"/>
        <v/>
      </c>
      <c r="B1415" s="278"/>
      <c r="C1415" s="256"/>
      <c r="D1415" s="255"/>
      <c r="E1415" s="255"/>
      <c r="F1415" s="258"/>
      <c r="G1415" s="255"/>
      <c r="H1415" s="255"/>
      <c r="I1415" s="250"/>
      <c r="J1415" s="255"/>
      <c r="K1415" s="255"/>
      <c r="L1415" s="250"/>
      <c r="M1415" s="255"/>
      <c r="N1415" s="277"/>
      <c r="O1415" s="329"/>
      <c r="P1415" s="402">
        <f t="shared" ref="P1415:Q1415" si="1413">IF(B1415=0,0,IF(YEAR(B1415)=$Q$1,MONTH(B1415)-$P$1+1,(YEAR(B1415)-$Q$1)*12-$P$1+1+MONTH(B1415)))</f>
        <v>0</v>
      </c>
      <c r="Q1415" s="402">
        <f t="shared" si="1413"/>
        <v>0</v>
      </c>
      <c r="R1415" s="356" t="e">
        <f t="shared" si="1325"/>
        <v>#N/A</v>
      </c>
      <c r="S1415" s="356" t="str">
        <f>IF(D1415="","",IF(OR(D1415=Plano!$A$1,D1415=Plano!$B$1),"entrada","saída"))</f>
        <v/>
      </c>
      <c r="T1415" s="345"/>
      <c r="U1415" s="345"/>
      <c r="V1415" s="269"/>
      <c r="W1415" s="269"/>
    </row>
    <row r="1416" spans="1:23" ht="120" customHeight="1" x14ac:dyDescent="0.2">
      <c r="A1416" s="401" t="str">
        <f t="shared" si="0"/>
        <v/>
      </c>
      <c r="B1416" s="278"/>
      <c r="C1416" s="256"/>
      <c r="D1416" s="255"/>
      <c r="E1416" s="255"/>
      <c r="F1416" s="258"/>
      <c r="G1416" s="255"/>
      <c r="H1416" s="255"/>
      <c r="I1416" s="250"/>
      <c r="J1416" s="255"/>
      <c r="K1416" s="255"/>
      <c r="L1416" s="250"/>
      <c r="M1416" s="255"/>
      <c r="N1416" s="277"/>
      <c r="O1416" s="329"/>
      <c r="P1416" s="402">
        <f t="shared" ref="P1416:Q1416" si="1414">IF(B1416=0,0,IF(YEAR(B1416)=$Q$1,MONTH(B1416)-$P$1+1,(YEAR(B1416)-$Q$1)*12-$P$1+1+MONTH(B1416)))</f>
        <v>0</v>
      </c>
      <c r="Q1416" s="402">
        <f t="shared" si="1414"/>
        <v>0</v>
      </c>
      <c r="R1416" s="356" t="e">
        <f t="shared" si="1325"/>
        <v>#N/A</v>
      </c>
      <c r="S1416" s="356" t="str">
        <f>IF(D1416="","",IF(OR(D1416=Plano!$A$1,D1416=Plano!$B$1),"entrada","saída"))</f>
        <v/>
      </c>
      <c r="T1416" s="345"/>
      <c r="U1416" s="345"/>
      <c r="V1416" s="269"/>
      <c r="W1416" s="269"/>
    </row>
    <row r="1417" spans="1:23" ht="120" customHeight="1" x14ac:dyDescent="0.2">
      <c r="A1417" s="401" t="str">
        <f t="shared" si="0"/>
        <v/>
      </c>
      <c r="B1417" s="278"/>
      <c r="C1417" s="256"/>
      <c r="D1417" s="255"/>
      <c r="E1417" s="255"/>
      <c r="F1417" s="258"/>
      <c r="G1417" s="255"/>
      <c r="H1417" s="255"/>
      <c r="I1417" s="250"/>
      <c r="J1417" s="255"/>
      <c r="K1417" s="255"/>
      <c r="L1417" s="250"/>
      <c r="M1417" s="255"/>
      <c r="N1417" s="277"/>
      <c r="O1417" s="329"/>
      <c r="P1417" s="402">
        <f t="shared" ref="P1417:Q1417" si="1415">IF(B1417=0,0,IF(YEAR(B1417)=$Q$1,MONTH(B1417)-$P$1+1,(YEAR(B1417)-$Q$1)*12-$P$1+1+MONTH(B1417)))</f>
        <v>0</v>
      </c>
      <c r="Q1417" s="402">
        <f t="shared" si="1415"/>
        <v>0</v>
      </c>
      <c r="R1417" s="356" t="e">
        <f t="shared" si="1325"/>
        <v>#N/A</v>
      </c>
      <c r="S1417" s="356" t="str">
        <f>IF(D1417="","",IF(OR(D1417=Plano!$A$1,D1417=Plano!$B$1),"entrada","saída"))</f>
        <v/>
      </c>
      <c r="T1417" s="345"/>
      <c r="U1417" s="345"/>
      <c r="V1417" s="269"/>
      <c r="W1417" s="269"/>
    </row>
    <row r="1418" spans="1:23" ht="120" customHeight="1" x14ac:dyDescent="0.2">
      <c r="A1418" s="401" t="str">
        <f t="shared" si="0"/>
        <v/>
      </c>
      <c r="B1418" s="278"/>
      <c r="C1418" s="256"/>
      <c r="D1418" s="255"/>
      <c r="E1418" s="255"/>
      <c r="F1418" s="258"/>
      <c r="G1418" s="255"/>
      <c r="H1418" s="255"/>
      <c r="I1418" s="250"/>
      <c r="J1418" s="255"/>
      <c r="K1418" s="255"/>
      <c r="L1418" s="250"/>
      <c r="M1418" s="255"/>
      <c r="N1418" s="277"/>
      <c r="O1418" s="329"/>
      <c r="P1418" s="402">
        <f t="shared" ref="P1418:Q1418" si="1416">IF(B1418=0,0,IF(YEAR(B1418)=$Q$1,MONTH(B1418)-$P$1+1,(YEAR(B1418)-$Q$1)*12-$P$1+1+MONTH(B1418)))</f>
        <v>0</v>
      </c>
      <c r="Q1418" s="402">
        <f t="shared" si="1416"/>
        <v>0</v>
      </c>
      <c r="R1418" s="356" t="e">
        <f t="shared" si="1325"/>
        <v>#N/A</v>
      </c>
      <c r="S1418" s="356" t="str">
        <f>IF(D1418="","",IF(OR(D1418=Plano!$A$1,D1418=Plano!$B$1),"entrada","saída"))</f>
        <v/>
      </c>
      <c r="T1418" s="345"/>
      <c r="U1418" s="345"/>
      <c r="V1418" s="269"/>
      <c r="W1418" s="269"/>
    </row>
    <row r="1419" spans="1:23" ht="120" customHeight="1" x14ac:dyDescent="0.2">
      <c r="A1419" s="401" t="str">
        <f t="shared" si="0"/>
        <v/>
      </c>
      <c r="B1419" s="278"/>
      <c r="C1419" s="256"/>
      <c r="D1419" s="255"/>
      <c r="E1419" s="255"/>
      <c r="F1419" s="258"/>
      <c r="G1419" s="255"/>
      <c r="H1419" s="255"/>
      <c r="I1419" s="250"/>
      <c r="J1419" s="255"/>
      <c r="K1419" s="255"/>
      <c r="L1419" s="250"/>
      <c r="M1419" s="255"/>
      <c r="N1419" s="277"/>
      <c r="O1419" s="329"/>
      <c r="P1419" s="402">
        <f t="shared" ref="P1419:Q1419" si="1417">IF(B1419=0,0,IF(YEAR(B1419)=$Q$1,MONTH(B1419)-$P$1+1,(YEAR(B1419)-$Q$1)*12-$P$1+1+MONTH(B1419)))</f>
        <v>0</v>
      </c>
      <c r="Q1419" s="402">
        <f t="shared" si="1417"/>
        <v>0</v>
      </c>
      <c r="R1419" s="356" t="e">
        <f t="shared" si="1325"/>
        <v>#N/A</v>
      </c>
      <c r="S1419" s="356" t="str">
        <f>IF(D1419="","",IF(OR(D1419=Plano!$A$1,D1419=Plano!$B$1),"entrada","saída"))</f>
        <v/>
      </c>
      <c r="T1419" s="345"/>
      <c r="U1419" s="345"/>
      <c r="V1419" s="269"/>
      <c r="W1419" s="269"/>
    </row>
    <row r="1420" spans="1:23" ht="120" customHeight="1" x14ac:dyDescent="0.2">
      <c r="A1420" s="401" t="str">
        <f t="shared" si="0"/>
        <v/>
      </c>
      <c r="B1420" s="278"/>
      <c r="C1420" s="256"/>
      <c r="D1420" s="255"/>
      <c r="E1420" s="255"/>
      <c r="F1420" s="258"/>
      <c r="G1420" s="255"/>
      <c r="H1420" s="255"/>
      <c r="I1420" s="250"/>
      <c r="J1420" s="255"/>
      <c r="K1420" s="255"/>
      <c r="L1420" s="250"/>
      <c r="M1420" s="255"/>
      <c r="N1420" s="277"/>
      <c r="O1420" s="329"/>
      <c r="P1420" s="402">
        <f t="shared" ref="P1420:Q1420" si="1418">IF(B1420=0,0,IF(YEAR(B1420)=$Q$1,MONTH(B1420)-$P$1+1,(YEAR(B1420)-$Q$1)*12-$P$1+1+MONTH(B1420)))</f>
        <v>0</v>
      </c>
      <c r="Q1420" s="402">
        <f t="shared" si="1418"/>
        <v>0</v>
      </c>
      <c r="R1420" s="356" t="e">
        <f t="shared" si="1325"/>
        <v>#N/A</v>
      </c>
      <c r="S1420" s="356" t="str">
        <f>IF(D1420="","",IF(OR(D1420=Plano!$A$1,D1420=Plano!$B$1),"entrada","saída"))</f>
        <v/>
      </c>
      <c r="T1420" s="345"/>
      <c r="U1420" s="345"/>
      <c r="V1420" s="269"/>
      <c r="W1420" s="269"/>
    </row>
    <row r="1421" spans="1:23" ht="120" customHeight="1" x14ac:dyDescent="0.2">
      <c r="A1421" s="401" t="str">
        <f t="shared" si="0"/>
        <v/>
      </c>
      <c r="B1421" s="278"/>
      <c r="C1421" s="256"/>
      <c r="D1421" s="255"/>
      <c r="E1421" s="255"/>
      <c r="F1421" s="258"/>
      <c r="G1421" s="255"/>
      <c r="H1421" s="255"/>
      <c r="I1421" s="250"/>
      <c r="J1421" s="255"/>
      <c r="K1421" s="255"/>
      <c r="L1421" s="250"/>
      <c r="M1421" s="255"/>
      <c r="N1421" s="277"/>
      <c r="O1421" s="329"/>
      <c r="P1421" s="402">
        <f t="shared" ref="P1421:Q1421" si="1419">IF(B1421=0,0,IF(YEAR(B1421)=$Q$1,MONTH(B1421)-$P$1+1,(YEAR(B1421)-$Q$1)*12-$P$1+1+MONTH(B1421)))</f>
        <v>0</v>
      </c>
      <c r="Q1421" s="402">
        <f t="shared" si="1419"/>
        <v>0</v>
      </c>
      <c r="R1421" s="356" t="e">
        <f t="shared" si="1325"/>
        <v>#N/A</v>
      </c>
      <c r="S1421" s="356" t="str">
        <f>IF(D1421="","",IF(OR(D1421=Plano!$A$1,D1421=Plano!$B$1),"entrada","saída"))</f>
        <v/>
      </c>
      <c r="T1421" s="345"/>
      <c r="U1421" s="345"/>
      <c r="V1421" s="269"/>
      <c r="W1421" s="269"/>
    </row>
    <row r="1422" spans="1:23" ht="120" customHeight="1" x14ac:dyDescent="0.2">
      <c r="A1422" s="401" t="str">
        <f t="shared" si="0"/>
        <v/>
      </c>
      <c r="B1422" s="278"/>
      <c r="C1422" s="256"/>
      <c r="D1422" s="255"/>
      <c r="E1422" s="255"/>
      <c r="F1422" s="258"/>
      <c r="G1422" s="255"/>
      <c r="H1422" s="255"/>
      <c r="I1422" s="250"/>
      <c r="J1422" s="255"/>
      <c r="K1422" s="255"/>
      <c r="L1422" s="250"/>
      <c r="M1422" s="255"/>
      <c r="N1422" s="277"/>
      <c r="O1422" s="329"/>
      <c r="P1422" s="402">
        <f t="shared" ref="P1422:Q1422" si="1420">IF(B1422=0,0,IF(YEAR(B1422)=$Q$1,MONTH(B1422)-$P$1+1,(YEAR(B1422)-$Q$1)*12-$P$1+1+MONTH(B1422)))</f>
        <v>0</v>
      </c>
      <c r="Q1422" s="402">
        <f t="shared" si="1420"/>
        <v>0</v>
      </c>
      <c r="R1422" s="356" t="e">
        <f t="shared" si="1325"/>
        <v>#N/A</v>
      </c>
      <c r="S1422" s="356" t="str">
        <f>IF(D1422="","",IF(OR(D1422=Plano!$A$1,D1422=Plano!$B$1),"entrada","saída"))</f>
        <v/>
      </c>
      <c r="T1422" s="345"/>
      <c r="U1422" s="345"/>
      <c r="V1422" s="269"/>
      <c r="W1422" s="269"/>
    </row>
    <row r="1423" spans="1:23" ht="120" customHeight="1" x14ac:dyDescent="0.2">
      <c r="A1423" s="401" t="str">
        <f t="shared" si="0"/>
        <v/>
      </c>
      <c r="B1423" s="278"/>
      <c r="C1423" s="256"/>
      <c r="D1423" s="255"/>
      <c r="E1423" s="255"/>
      <c r="F1423" s="258"/>
      <c r="G1423" s="255"/>
      <c r="H1423" s="255"/>
      <c r="I1423" s="250"/>
      <c r="J1423" s="255"/>
      <c r="K1423" s="255"/>
      <c r="L1423" s="250"/>
      <c r="M1423" s="255"/>
      <c r="N1423" s="277"/>
      <c r="O1423" s="329"/>
      <c r="P1423" s="402">
        <f t="shared" ref="P1423:Q1423" si="1421">IF(B1423=0,0,IF(YEAR(B1423)=$Q$1,MONTH(B1423)-$P$1+1,(YEAR(B1423)-$Q$1)*12-$P$1+1+MONTH(B1423)))</f>
        <v>0</v>
      </c>
      <c r="Q1423" s="402">
        <f t="shared" si="1421"/>
        <v>0</v>
      </c>
      <c r="R1423" s="356" t="e">
        <f t="shared" si="1325"/>
        <v>#N/A</v>
      </c>
      <c r="S1423" s="356" t="str">
        <f>IF(D1423="","",IF(OR(D1423=Plano!$A$1,D1423=Plano!$B$1),"entrada","saída"))</f>
        <v/>
      </c>
      <c r="T1423" s="345"/>
      <c r="U1423" s="345"/>
      <c r="V1423" s="269"/>
      <c r="W1423" s="269"/>
    </row>
    <row r="1424" spans="1:23" ht="120" customHeight="1" x14ac:dyDescent="0.2">
      <c r="A1424" s="401" t="str">
        <f t="shared" si="0"/>
        <v/>
      </c>
      <c r="B1424" s="278"/>
      <c r="C1424" s="256"/>
      <c r="D1424" s="255"/>
      <c r="E1424" s="255"/>
      <c r="F1424" s="258"/>
      <c r="G1424" s="255"/>
      <c r="H1424" s="255"/>
      <c r="I1424" s="250"/>
      <c r="J1424" s="255"/>
      <c r="K1424" s="255"/>
      <c r="L1424" s="250"/>
      <c r="M1424" s="255"/>
      <c r="N1424" s="277"/>
      <c r="O1424" s="329"/>
      <c r="P1424" s="402">
        <f t="shared" ref="P1424:Q1424" si="1422">IF(B1424=0,0,IF(YEAR(B1424)=$Q$1,MONTH(B1424)-$P$1+1,(YEAR(B1424)-$Q$1)*12-$P$1+1+MONTH(B1424)))</f>
        <v>0</v>
      </c>
      <c r="Q1424" s="402">
        <f t="shared" si="1422"/>
        <v>0</v>
      </c>
      <c r="R1424" s="356" t="e">
        <f t="shared" si="1325"/>
        <v>#N/A</v>
      </c>
      <c r="S1424" s="356" t="str">
        <f>IF(D1424="","",IF(OR(D1424=Plano!$A$1,D1424=Plano!$B$1),"entrada","saída"))</f>
        <v/>
      </c>
      <c r="T1424" s="345"/>
      <c r="U1424" s="345"/>
      <c r="V1424" s="269"/>
      <c r="W1424" s="269"/>
    </row>
    <row r="1425" spans="1:23" ht="120" customHeight="1" x14ac:dyDescent="0.2">
      <c r="A1425" s="401" t="str">
        <f t="shared" si="0"/>
        <v/>
      </c>
      <c r="B1425" s="278"/>
      <c r="C1425" s="256"/>
      <c r="D1425" s="255"/>
      <c r="E1425" s="255"/>
      <c r="F1425" s="258"/>
      <c r="G1425" s="255"/>
      <c r="H1425" s="255"/>
      <c r="I1425" s="250"/>
      <c r="J1425" s="255"/>
      <c r="K1425" s="255"/>
      <c r="L1425" s="250"/>
      <c r="M1425" s="255"/>
      <c r="N1425" s="277"/>
      <c r="O1425" s="329"/>
      <c r="P1425" s="402">
        <f t="shared" ref="P1425:Q1425" si="1423">IF(B1425=0,0,IF(YEAR(B1425)=$Q$1,MONTH(B1425)-$P$1+1,(YEAR(B1425)-$Q$1)*12-$P$1+1+MONTH(B1425)))</f>
        <v>0</v>
      </c>
      <c r="Q1425" s="402">
        <f t="shared" si="1423"/>
        <v>0</v>
      </c>
      <c r="R1425" s="356" t="e">
        <f t="shared" si="1325"/>
        <v>#N/A</v>
      </c>
      <c r="S1425" s="356" t="str">
        <f>IF(D1425="","",IF(OR(D1425=Plano!$A$1,D1425=Plano!$B$1),"entrada","saída"))</f>
        <v/>
      </c>
      <c r="T1425" s="345"/>
      <c r="U1425" s="345"/>
      <c r="V1425" s="269"/>
      <c r="W1425" s="269"/>
    </row>
    <row r="1426" spans="1:23" ht="120" customHeight="1" x14ac:dyDescent="0.2">
      <c r="A1426" s="401" t="str">
        <f t="shared" si="0"/>
        <v/>
      </c>
      <c r="B1426" s="278"/>
      <c r="C1426" s="256"/>
      <c r="D1426" s="255"/>
      <c r="E1426" s="255"/>
      <c r="F1426" s="258"/>
      <c r="G1426" s="255"/>
      <c r="H1426" s="255"/>
      <c r="I1426" s="250"/>
      <c r="J1426" s="255"/>
      <c r="K1426" s="255"/>
      <c r="L1426" s="250"/>
      <c r="M1426" s="255"/>
      <c r="N1426" s="277"/>
      <c r="O1426" s="329"/>
      <c r="P1426" s="402">
        <f t="shared" ref="P1426:Q1426" si="1424">IF(B1426=0,0,IF(YEAR(B1426)=$Q$1,MONTH(B1426)-$P$1+1,(YEAR(B1426)-$Q$1)*12-$P$1+1+MONTH(B1426)))</f>
        <v>0</v>
      </c>
      <c r="Q1426" s="402">
        <f t="shared" si="1424"/>
        <v>0</v>
      </c>
      <c r="R1426" s="356" t="e">
        <f t="shared" si="1325"/>
        <v>#N/A</v>
      </c>
      <c r="S1426" s="356" t="str">
        <f>IF(D1426="","",IF(OR(D1426=Plano!$A$1,D1426=Plano!$B$1),"entrada","saída"))</f>
        <v/>
      </c>
      <c r="T1426" s="345"/>
      <c r="U1426" s="345"/>
      <c r="V1426" s="269"/>
      <c r="W1426" s="269"/>
    </row>
    <row r="1427" spans="1:23" ht="120" customHeight="1" x14ac:dyDescent="0.2">
      <c r="A1427" s="401" t="str">
        <f t="shared" si="0"/>
        <v/>
      </c>
      <c r="B1427" s="278"/>
      <c r="C1427" s="256"/>
      <c r="D1427" s="255"/>
      <c r="E1427" s="255"/>
      <c r="F1427" s="258"/>
      <c r="G1427" s="255"/>
      <c r="H1427" s="255"/>
      <c r="I1427" s="250"/>
      <c r="J1427" s="255"/>
      <c r="K1427" s="255"/>
      <c r="L1427" s="250"/>
      <c r="M1427" s="255"/>
      <c r="N1427" s="277"/>
      <c r="O1427" s="329"/>
      <c r="P1427" s="402">
        <f t="shared" ref="P1427:Q1427" si="1425">IF(B1427=0,0,IF(YEAR(B1427)=$Q$1,MONTH(B1427)-$P$1+1,(YEAR(B1427)-$Q$1)*12-$P$1+1+MONTH(B1427)))</f>
        <v>0</v>
      </c>
      <c r="Q1427" s="402">
        <f t="shared" si="1425"/>
        <v>0</v>
      </c>
      <c r="R1427" s="356" t="e">
        <f t="shared" si="1325"/>
        <v>#N/A</v>
      </c>
      <c r="S1427" s="356" t="str">
        <f>IF(D1427="","",IF(OR(D1427=Plano!$A$1,D1427=Plano!$B$1),"entrada","saída"))</f>
        <v/>
      </c>
      <c r="T1427" s="345"/>
      <c r="U1427" s="345"/>
      <c r="V1427" s="269"/>
      <c r="W1427" s="269"/>
    </row>
    <row r="1428" spans="1:23" ht="120" customHeight="1" x14ac:dyDescent="0.2">
      <c r="A1428" s="401" t="str">
        <f t="shared" si="0"/>
        <v/>
      </c>
      <c r="B1428" s="278"/>
      <c r="C1428" s="256"/>
      <c r="D1428" s="255"/>
      <c r="E1428" s="255"/>
      <c r="F1428" s="258"/>
      <c r="G1428" s="255"/>
      <c r="H1428" s="255"/>
      <c r="I1428" s="250"/>
      <c r="J1428" s="255"/>
      <c r="K1428" s="255"/>
      <c r="L1428" s="250"/>
      <c r="M1428" s="255"/>
      <c r="N1428" s="277"/>
      <c r="O1428" s="329"/>
      <c r="P1428" s="402">
        <f t="shared" ref="P1428:Q1428" si="1426">IF(B1428=0,0,IF(YEAR(B1428)=$Q$1,MONTH(B1428)-$P$1+1,(YEAR(B1428)-$Q$1)*12-$P$1+1+MONTH(B1428)))</f>
        <v>0</v>
      </c>
      <c r="Q1428" s="402">
        <f t="shared" si="1426"/>
        <v>0</v>
      </c>
      <c r="R1428" s="356" t="e">
        <f t="shared" si="1325"/>
        <v>#N/A</v>
      </c>
      <c r="S1428" s="356" t="str">
        <f>IF(D1428="","",IF(OR(D1428=Plano!$A$1,D1428=Plano!$B$1),"entrada","saída"))</f>
        <v/>
      </c>
      <c r="T1428" s="345"/>
      <c r="U1428" s="345"/>
      <c r="V1428" s="269"/>
      <c r="W1428" s="269"/>
    </row>
    <row r="1429" spans="1:23" ht="120" customHeight="1" x14ac:dyDescent="0.2">
      <c r="A1429" s="401" t="str">
        <f t="shared" si="0"/>
        <v/>
      </c>
      <c r="B1429" s="278"/>
      <c r="C1429" s="256"/>
      <c r="D1429" s="255"/>
      <c r="E1429" s="255"/>
      <c r="F1429" s="258"/>
      <c r="G1429" s="255"/>
      <c r="H1429" s="255"/>
      <c r="I1429" s="250"/>
      <c r="J1429" s="255"/>
      <c r="K1429" s="255"/>
      <c r="L1429" s="250"/>
      <c r="M1429" s="255"/>
      <c r="N1429" s="277"/>
      <c r="O1429" s="329"/>
      <c r="P1429" s="402">
        <f t="shared" ref="P1429:Q1429" si="1427">IF(B1429=0,0,IF(YEAR(B1429)=$Q$1,MONTH(B1429)-$P$1+1,(YEAR(B1429)-$Q$1)*12-$P$1+1+MONTH(B1429)))</f>
        <v>0</v>
      </c>
      <c r="Q1429" s="402">
        <f t="shared" si="1427"/>
        <v>0</v>
      </c>
      <c r="R1429" s="356" t="e">
        <f t="shared" si="1325"/>
        <v>#N/A</v>
      </c>
      <c r="S1429" s="356" t="str">
        <f>IF(D1429="","",IF(OR(D1429=Plano!$A$1,D1429=Plano!$B$1),"entrada","saída"))</f>
        <v/>
      </c>
      <c r="T1429" s="345"/>
      <c r="U1429" s="345"/>
      <c r="V1429" s="269"/>
      <c r="W1429" s="269"/>
    </row>
    <row r="1430" spans="1:23" ht="120" customHeight="1" x14ac:dyDescent="0.2">
      <c r="A1430" s="401" t="str">
        <f t="shared" si="0"/>
        <v/>
      </c>
      <c r="B1430" s="278"/>
      <c r="C1430" s="256"/>
      <c r="D1430" s="255"/>
      <c r="E1430" s="255"/>
      <c r="F1430" s="258"/>
      <c r="G1430" s="255"/>
      <c r="H1430" s="255"/>
      <c r="I1430" s="250"/>
      <c r="J1430" s="255"/>
      <c r="K1430" s="255"/>
      <c r="L1430" s="250"/>
      <c r="M1430" s="255"/>
      <c r="N1430" s="277"/>
      <c r="O1430" s="329"/>
      <c r="P1430" s="402">
        <f t="shared" ref="P1430:Q1430" si="1428">IF(B1430=0,0,IF(YEAR(B1430)=$Q$1,MONTH(B1430)-$P$1+1,(YEAR(B1430)-$Q$1)*12-$P$1+1+MONTH(B1430)))</f>
        <v>0</v>
      </c>
      <c r="Q1430" s="402">
        <f t="shared" si="1428"/>
        <v>0</v>
      </c>
      <c r="R1430" s="356" t="e">
        <f t="shared" si="1325"/>
        <v>#N/A</v>
      </c>
      <c r="S1430" s="356" t="str">
        <f>IF(D1430="","",IF(OR(D1430=Plano!$A$1,D1430=Plano!$B$1),"entrada","saída"))</f>
        <v/>
      </c>
      <c r="T1430" s="345"/>
      <c r="U1430" s="345"/>
      <c r="V1430" s="269"/>
      <c r="W1430" s="269"/>
    </row>
    <row r="1431" spans="1:23" ht="120" customHeight="1" x14ac:dyDescent="0.2">
      <c r="A1431" s="401" t="str">
        <f t="shared" si="0"/>
        <v/>
      </c>
      <c r="B1431" s="278"/>
      <c r="C1431" s="256"/>
      <c r="D1431" s="255"/>
      <c r="E1431" s="255"/>
      <c r="F1431" s="258"/>
      <c r="G1431" s="255"/>
      <c r="H1431" s="255"/>
      <c r="I1431" s="250"/>
      <c r="J1431" s="255"/>
      <c r="K1431" s="255"/>
      <c r="L1431" s="250"/>
      <c r="M1431" s="255"/>
      <c r="N1431" s="277"/>
      <c r="O1431" s="329"/>
      <c r="P1431" s="402">
        <f t="shared" ref="P1431:Q1431" si="1429">IF(B1431=0,0,IF(YEAR(B1431)=$Q$1,MONTH(B1431)-$P$1+1,(YEAR(B1431)-$Q$1)*12-$P$1+1+MONTH(B1431)))</f>
        <v>0</v>
      </c>
      <c r="Q1431" s="402">
        <f t="shared" si="1429"/>
        <v>0</v>
      </c>
      <c r="R1431" s="356" t="e">
        <f t="shared" si="1325"/>
        <v>#N/A</v>
      </c>
      <c r="S1431" s="356" t="str">
        <f>IF(D1431="","",IF(OR(D1431=Plano!$A$1,D1431=Plano!$B$1),"entrada","saída"))</f>
        <v/>
      </c>
      <c r="T1431" s="345"/>
      <c r="U1431" s="345"/>
      <c r="V1431" s="269"/>
      <c r="W1431" s="269"/>
    </row>
    <row r="1432" spans="1:23" ht="120" customHeight="1" x14ac:dyDescent="0.2">
      <c r="A1432" s="401" t="str">
        <f t="shared" si="0"/>
        <v/>
      </c>
      <c r="B1432" s="278"/>
      <c r="C1432" s="256"/>
      <c r="D1432" s="255"/>
      <c r="E1432" s="255"/>
      <c r="F1432" s="258"/>
      <c r="G1432" s="255"/>
      <c r="H1432" s="255"/>
      <c r="I1432" s="250"/>
      <c r="J1432" s="255"/>
      <c r="K1432" s="255"/>
      <c r="L1432" s="250"/>
      <c r="M1432" s="255"/>
      <c r="N1432" s="277"/>
      <c r="O1432" s="329"/>
      <c r="P1432" s="402">
        <f t="shared" ref="P1432:Q1432" si="1430">IF(B1432=0,0,IF(YEAR(B1432)=$Q$1,MONTH(B1432)-$P$1+1,(YEAR(B1432)-$Q$1)*12-$P$1+1+MONTH(B1432)))</f>
        <v>0</v>
      </c>
      <c r="Q1432" s="402">
        <f t="shared" si="1430"/>
        <v>0</v>
      </c>
      <c r="R1432" s="356" t="e">
        <f t="shared" si="1325"/>
        <v>#N/A</v>
      </c>
      <c r="S1432" s="356" t="str">
        <f>IF(D1432="","",IF(OR(D1432=Plano!$A$1,D1432=Plano!$B$1),"entrada","saída"))</f>
        <v/>
      </c>
      <c r="T1432" s="345"/>
      <c r="U1432" s="345"/>
      <c r="V1432" s="269"/>
      <c r="W1432" s="269"/>
    </row>
    <row r="1433" spans="1:23" ht="120" customHeight="1" x14ac:dyDescent="0.2">
      <c r="A1433" s="401" t="str">
        <f t="shared" si="0"/>
        <v/>
      </c>
      <c r="B1433" s="278"/>
      <c r="C1433" s="256"/>
      <c r="D1433" s="255"/>
      <c r="E1433" s="255"/>
      <c r="F1433" s="258"/>
      <c r="G1433" s="255"/>
      <c r="H1433" s="255"/>
      <c r="I1433" s="250"/>
      <c r="J1433" s="255"/>
      <c r="K1433" s="255"/>
      <c r="L1433" s="250"/>
      <c r="M1433" s="255"/>
      <c r="N1433" s="277"/>
      <c r="O1433" s="329"/>
      <c r="P1433" s="402">
        <f t="shared" ref="P1433:Q1433" si="1431">IF(B1433=0,0,IF(YEAR(B1433)=$Q$1,MONTH(B1433)-$P$1+1,(YEAR(B1433)-$Q$1)*12-$P$1+1+MONTH(B1433)))</f>
        <v>0</v>
      </c>
      <c r="Q1433" s="402">
        <f t="shared" si="1431"/>
        <v>0</v>
      </c>
      <c r="R1433" s="356" t="e">
        <f t="shared" si="1325"/>
        <v>#N/A</v>
      </c>
      <c r="S1433" s="356" t="str">
        <f>IF(D1433="","",IF(OR(D1433=Plano!$A$1,D1433=Plano!$B$1),"entrada","saída"))</f>
        <v/>
      </c>
      <c r="T1433" s="345"/>
      <c r="U1433" s="345"/>
      <c r="V1433" s="269"/>
      <c r="W1433" s="269"/>
    </row>
    <row r="1434" spans="1:23" ht="120" customHeight="1" x14ac:dyDescent="0.2">
      <c r="A1434" s="401" t="str">
        <f t="shared" si="0"/>
        <v/>
      </c>
      <c r="B1434" s="278"/>
      <c r="C1434" s="256"/>
      <c r="D1434" s="255"/>
      <c r="E1434" s="255"/>
      <c r="F1434" s="258"/>
      <c r="G1434" s="255"/>
      <c r="H1434" s="255"/>
      <c r="I1434" s="250"/>
      <c r="J1434" s="255"/>
      <c r="K1434" s="255"/>
      <c r="L1434" s="250"/>
      <c r="M1434" s="255"/>
      <c r="N1434" s="277"/>
      <c r="O1434" s="329"/>
      <c r="P1434" s="402">
        <f t="shared" ref="P1434:Q1434" si="1432">IF(B1434=0,0,IF(YEAR(B1434)=$Q$1,MONTH(B1434)-$P$1+1,(YEAR(B1434)-$Q$1)*12-$P$1+1+MONTH(B1434)))</f>
        <v>0</v>
      </c>
      <c r="Q1434" s="402">
        <f t="shared" si="1432"/>
        <v>0</v>
      </c>
      <c r="R1434" s="356" t="e">
        <f t="shared" si="1325"/>
        <v>#N/A</v>
      </c>
      <c r="S1434" s="356" t="str">
        <f>IF(D1434="","",IF(OR(D1434=Plano!$A$1,D1434=Plano!$B$1),"entrada","saída"))</f>
        <v/>
      </c>
      <c r="T1434" s="345"/>
      <c r="U1434" s="345"/>
      <c r="V1434" s="269"/>
      <c r="W1434" s="269"/>
    </row>
    <row r="1435" spans="1:23" ht="120" customHeight="1" x14ac:dyDescent="0.2">
      <c r="A1435" s="401" t="str">
        <f t="shared" si="0"/>
        <v/>
      </c>
      <c r="B1435" s="278"/>
      <c r="C1435" s="256"/>
      <c r="D1435" s="255"/>
      <c r="E1435" s="255"/>
      <c r="F1435" s="258"/>
      <c r="G1435" s="255"/>
      <c r="H1435" s="255"/>
      <c r="I1435" s="250"/>
      <c r="J1435" s="255"/>
      <c r="K1435" s="255"/>
      <c r="L1435" s="250"/>
      <c r="M1435" s="255"/>
      <c r="N1435" s="277"/>
      <c r="O1435" s="329"/>
      <c r="P1435" s="402">
        <f t="shared" ref="P1435:Q1435" si="1433">IF(B1435=0,0,IF(YEAR(B1435)=$Q$1,MONTH(B1435)-$P$1+1,(YEAR(B1435)-$Q$1)*12-$P$1+1+MONTH(B1435)))</f>
        <v>0</v>
      </c>
      <c r="Q1435" s="402">
        <f t="shared" si="1433"/>
        <v>0</v>
      </c>
      <c r="R1435" s="356" t="e">
        <f t="shared" si="1325"/>
        <v>#N/A</v>
      </c>
      <c r="S1435" s="356" t="str">
        <f>IF(D1435="","",IF(OR(D1435=Plano!$A$1,D1435=Plano!$B$1),"entrada","saída"))</f>
        <v/>
      </c>
      <c r="T1435" s="345"/>
      <c r="U1435" s="345"/>
      <c r="V1435" s="269"/>
      <c r="W1435" s="269"/>
    </row>
    <row r="1436" spans="1:23" ht="120" customHeight="1" x14ac:dyDescent="0.2">
      <c r="A1436" s="401" t="str">
        <f t="shared" si="0"/>
        <v/>
      </c>
      <c r="B1436" s="278"/>
      <c r="C1436" s="256"/>
      <c r="D1436" s="255"/>
      <c r="E1436" s="255"/>
      <c r="F1436" s="258"/>
      <c r="G1436" s="255"/>
      <c r="H1436" s="255"/>
      <c r="I1436" s="250"/>
      <c r="J1436" s="255"/>
      <c r="K1436" s="255"/>
      <c r="L1436" s="250"/>
      <c r="M1436" s="255"/>
      <c r="N1436" s="277"/>
      <c r="O1436" s="329"/>
      <c r="P1436" s="402">
        <f t="shared" ref="P1436:Q1436" si="1434">IF(B1436=0,0,IF(YEAR(B1436)=$Q$1,MONTH(B1436)-$P$1+1,(YEAR(B1436)-$Q$1)*12-$P$1+1+MONTH(B1436)))</f>
        <v>0</v>
      </c>
      <c r="Q1436" s="402">
        <f t="shared" si="1434"/>
        <v>0</v>
      </c>
      <c r="R1436" s="356" t="e">
        <f t="shared" si="1325"/>
        <v>#N/A</v>
      </c>
      <c r="S1436" s="356" t="str">
        <f>IF(D1436="","",IF(OR(D1436=Plano!$A$1,D1436=Plano!$B$1),"entrada","saída"))</f>
        <v/>
      </c>
      <c r="T1436" s="345"/>
      <c r="U1436" s="345"/>
      <c r="V1436" s="269"/>
      <c r="W1436" s="269"/>
    </row>
    <row r="1437" spans="1:23" ht="120" customHeight="1" x14ac:dyDescent="0.2">
      <c r="A1437" s="401" t="str">
        <f t="shared" si="0"/>
        <v/>
      </c>
      <c r="B1437" s="278"/>
      <c r="C1437" s="256"/>
      <c r="D1437" s="255"/>
      <c r="E1437" s="255"/>
      <c r="F1437" s="258"/>
      <c r="G1437" s="255"/>
      <c r="H1437" s="255"/>
      <c r="I1437" s="250"/>
      <c r="J1437" s="255"/>
      <c r="K1437" s="255"/>
      <c r="L1437" s="250"/>
      <c r="M1437" s="255"/>
      <c r="N1437" s="277"/>
      <c r="O1437" s="329"/>
      <c r="P1437" s="402">
        <f t="shared" ref="P1437:Q1437" si="1435">IF(B1437=0,0,IF(YEAR(B1437)=$Q$1,MONTH(B1437)-$P$1+1,(YEAR(B1437)-$Q$1)*12-$P$1+1+MONTH(B1437)))</f>
        <v>0</v>
      </c>
      <c r="Q1437" s="402">
        <f t="shared" si="1435"/>
        <v>0</v>
      </c>
      <c r="R1437" s="356" t="e">
        <f t="shared" si="1325"/>
        <v>#N/A</v>
      </c>
      <c r="S1437" s="356" t="str">
        <f>IF(D1437="","",IF(OR(D1437=Plano!$A$1,D1437=Plano!$B$1),"entrada","saída"))</f>
        <v/>
      </c>
      <c r="T1437" s="345"/>
      <c r="U1437" s="345"/>
      <c r="V1437" s="269"/>
      <c r="W1437" s="269"/>
    </row>
    <row r="1438" spans="1:23" ht="120" customHeight="1" x14ac:dyDescent="0.2">
      <c r="A1438" s="401" t="str">
        <f t="shared" si="0"/>
        <v/>
      </c>
      <c r="B1438" s="278"/>
      <c r="C1438" s="256"/>
      <c r="D1438" s="255"/>
      <c r="E1438" s="255"/>
      <c r="F1438" s="258"/>
      <c r="G1438" s="255"/>
      <c r="H1438" s="255"/>
      <c r="I1438" s="250"/>
      <c r="J1438" s="255"/>
      <c r="K1438" s="255"/>
      <c r="L1438" s="250"/>
      <c r="M1438" s="255"/>
      <c r="N1438" s="277"/>
      <c r="O1438" s="329"/>
      <c r="P1438" s="402">
        <f t="shared" ref="P1438:Q1438" si="1436">IF(B1438=0,0,IF(YEAR(B1438)=$Q$1,MONTH(B1438)-$P$1+1,(YEAR(B1438)-$Q$1)*12-$P$1+1+MONTH(B1438)))</f>
        <v>0</v>
      </c>
      <c r="Q1438" s="402">
        <f t="shared" si="1436"/>
        <v>0</v>
      </c>
      <c r="R1438" s="356" t="e">
        <f t="shared" si="1325"/>
        <v>#N/A</v>
      </c>
      <c r="S1438" s="356" t="str">
        <f>IF(D1438="","",IF(OR(D1438=Plano!$A$1,D1438=Plano!$B$1),"entrada","saída"))</f>
        <v/>
      </c>
      <c r="T1438" s="345"/>
      <c r="U1438" s="345"/>
      <c r="V1438" s="269"/>
      <c r="W1438" s="269"/>
    </row>
    <row r="1439" spans="1:23" ht="120" customHeight="1" x14ac:dyDescent="0.2">
      <c r="A1439" s="401" t="str">
        <f t="shared" si="0"/>
        <v/>
      </c>
      <c r="B1439" s="278"/>
      <c r="C1439" s="256"/>
      <c r="D1439" s="255"/>
      <c r="E1439" s="255"/>
      <c r="F1439" s="258"/>
      <c r="G1439" s="255"/>
      <c r="H1439" s="255"/>
      <c r="I1439" s="250"/>
      <c r="J1439" s="255"/>
      <c r="K1439" s="255"/>
      <c r="L1439" s="250"/>
      <c r="M1439" s="255"/>
      <c r="N1439" s="277"/>
      <c r="O1439" s="329"/>
      <c r="P1439" s="402">
        <f t="shared" ref="P1439:Q1439" si="1437">IF(B1439=0,0,IF(YEAR(B1439)=$Q$1,MONTH(B1439)-$P$1+1,(YEAR(B1439)-$Q$1)*12-$P$1+1+MONTH(B1439)))</f>
        <v>0</v>
      </c>
      <c r="Q1439" s="402">
        <f t="shared" si="1437"/>
        <v>0</v>
      </c>
      <c r="R1439" s="356" t="e">
        <f t="shared" si="1325"/>
        <v>#N/A</v>
      </c>
      <c r="S1439" s="356" t="str">
        <f>IF(D1439="","",IF(OR(D1439=Plano!$A$1,D1439=Plano!$B$1),"entrada","saída"))</f>
        <v/>
      </c>
      <c r="T1439" s="345"/>
      <c r="U1439" s="345"/>
      <c r="V1439" s="269"/>
      <c r="W1439" s="269"/>
    </row>
    <row r="1440" spans="1:23" ht="120" customHeight="1" x14ac:dyDescent="0.2">
      <c r="A1440" s="401" t="str">
        <f t="shared" si="0"/>
        <v/>
      </c>
      <c r="B1440" s="278"/>
      <c r="C1440" s="256"/>
      <c r="D1440" s="255"/>
      <c r="E1440" s="255"/>
      <c r="F1440" s="258"/>
      <c r="G1440" s="255"/>
      <c r="H1440" s="255"/>
      <c r="I1440" s="250"/>
      <c r="J1440" s="255"/>
      <c r="K1440" s="255"/>
      <c r="L1440" s="250"/>
      <c r="M1440" s="255"/>
      <c r="N1440" s="277"/>
      <c r="O1440" s="329"/>
      <c r="P1440" s="402">
        <f t="shared" ref="P1440:Q1440" si="1438">IF(B1440=0,0,IF(YEAR(B1440)=$Q$1,MONTH(B1440)-$P$1+1,(YEAR(B1440)-$Q$1)*12-$P$1+1+MONTH(B1440)))</f>
        <v>0</v>
      </c>
      <c r="Q1440" s="402">
        <f t="shared" si="1438"/>
        <v>0</v>
      </c>
      <c r="R1440" s="356" t="e">
        <f t="shared" si="1325"/>
        <v>#N/A</v>
      </c>
      <c r="S1440" s="356" t="str">
        <f>IF(D1440="","",IF(OR(D1440=Plano!$A$1,D1440=Plano!$B$1),"entrada","saída"))</f>
        <v/>
      </c>
      <c r="T1440" s="345"/>
      <c r="U1440" s="345"/>
      <c r="V1440" s="269"/>
      <c r="W1440" s="269"/>
    </row>
    <row r="1441" spans="1:23" ht="120" customHeight="1" x14ac:dyDescent="0.2">
      <c r="A1441" s="401" t="str">
        <f t="shared" si="0"/>
        <v/>
      </c>
      <c r="B1441" s="278"/>
      <c r="C1441" s="256"/>
      <c r="D1441" s="255"/>
      <c r="E1441" s="255"/>
      <c r="F1441" s="258"/>
      <c r="G1441" s="255"/>
      <c r="H1441" s="255"/>
      <c r="I1441" s="250"/>
      <c r="J1441" s="255"/>
      <c r="K1441" s="255"/>
      <c r="L1441" s="250"/>
      <c r="M1441" s="255"/>
      <c r="N1441" s="277"/>
      <c r="O1441" s="329"/>
      <c r="P1441" s="402">
        <f t="shared" ref="P1441:Q1441" si="1439">IF(B1441=0,0,IF(YEAR(B1441)=$Q$1,MONTH(B1441)-$P$1+1,(YEAR(B1441)-$Q$1)*12-$P$1+1+MONTH(B1441)))</f>
        <v>0</v>
      </c>
      <c r="Q1441" s="402">
        <f t="shared" si="1439"/>
        <v>0</v>
      </c>
      <c r="R1441" s="356" t="e">
        <f t="shared" si="1325"/>
        <v>#N/A</v>
      </c>
      <c r="S1441" s="356" t="str">
        <f>IF(D1441="","",IF(OR(D1441=Plano!$A$1,D1441=Plano!$B$1),"entrada","saída"))</f>
        <v/>
      </c>
      <c r="T1441" s="345"/>
      <c r="U1441" s="345"/>
      <c r="V1441" s="269"/>
      <c r="W1441" s="269"/>
    </row>
    <row r="1442" spans="1:23" ht="120" customHeight="1" x14ac:dyDescent="0.2">
      <c r="A1442" s="401" t="str">
        <f t="shared" si="0"/>
        <v/>
      </c>
      <c r="B1442" s="278"/>
      <c r="C1442" s="256"/>
      <c r="D1442" s="255"/>
      <c r="E1442" s="255"/>
      <c r="F1442" s="258"/>
      <c r="G1442" s="255"/>
      <c r="H1442" s="255"/>
      <c r="I1442" s="250"/>
      <c r="J1442" s="255"/>
      <c r="K1442" s="255"/>
      <c r="L1442" s="250"/>
      <c r="M1442" s="255"/>
      <c r="N1442" s="277"/>
      <c r="O1442" s="329"/>
      <c r="P1442" s="402">
        <f t="shared" ref="P1442:Q1442" si="1440">IF(B1442=0,0,IF(YEAR(B1442)=$Q$1,MONTH(B1442)-$P$1+1,(YEAR(B1442)-$Q$1)*12-$P$1+1+MONTH(B1442)))</f>
        <v>0</v>
      </c>
      <c r="Q1442" s="402">
        <f t="shared" si="1440"/>
        <v>0</v>
      </c>
      <c r="R1442" s="356" t="e">
        <f t="shared" si="1325"/>
        <v>#N/A</v>
      </c>
      <c r="S1442" s="356" t="str">
        <f>IF(D1442="","",IF(OR(D1442=Plano!$A$1,D1442=Plano!$B$1),"entrada","saída"))</f>
        <v/>
      </c>
      <c r="T1442" s="345"/>
      <c r="U1442" s="345"/>
      <c r="V1442" s="269"/>
      <c r="W1442" s="269"/>
    </row>
    <row r="1443" spans="1:23" ht="120" customHeight="1" x14ac:dyDescent="0.2">
      <c r="A1443" s="401" t="str">
        <f t="shared" si="0"/>
        <v/>
      </c>
      <c r="B1443" s="278"/>
      <c r="C1443" s="256"/>
      <c r="D1443" s="255"/>
      <c r="E1443" s="255"/>
      <c r="F1443" s="258"/>
      <c r="G1443" s="255"/>
      <c r="H1443" s="255"/>
      <c r="I1443" s="250"/>
      <c r="J1443" s="255"/>
      <c r="K1443" s="255"/>
      <c r="L1443" s="250"/>
      <c r="M1443" s="255"/>
      <c r="N1443" s="277"/>
      <c r="O1443" s="329"/>
      <c r="P1443" s="402">
        <f t="shared" ref="P1443:Q1443" si="1441">IF(B1443=0,0,IF(YEAR(B1443)=$Q$1,MONTH(B1443)-$P$1+1,(YEAR(B1443)-$Q$1)*12-$P$1+1+MONTH(B1443)))</f>
        <v>0</v>
      </c>
      <c r="Q1443" s="402">
        <f t="shared" si="1441"/>
        <v>0</v>
      </c>
      <c r="R1443" s="356" t="e">
        <f t="shared" si="1325"/>
        <v>#N/A</v>
      </c>
      <c r="S1443" s="356" t="str">
        <f>IF(D1443="","",IF(OR(D1443=Plano!$A$1,D1443=Plano!$B$1),"entrada","saída"))</f>
        <v/>
      </c>
      <c r="T1443" s="345"/>
      <c r="U1443" s="345"/>
      <c r="V1443" s="269"/>
      <c r="W1443" s="269"/>
    </row>
    <row r="1444" spans="1:23" ht="120" customHeight="1" x14ac:dyDescent="0.2">
      <c r="A1444" s="401" t="str">
        <f t="shared" si="0"/>
        <v/>
      </c>
      <c r="B1444" s="278"/>
      <c r="C1444" s="256"/>
      <c r="D1444" s="255"/>
      <c r="E1444" s="255"/>
      <c r="F1444" s="258"/>
      <c r="G1444" s="255"/>
      <c r="H1444" s="255"/>
      <c r="I1444" s="250"/>
      <c r="J1444" s="255"/>
      <c r="K1444" s="255"/>
      <c r="L1444" s="250"/>
      <c r="M1444" s="255"/>
      <c r="N1444" s="277"/>
      <c r="O1444" s="329"/>
      <c r="P1444" s="402">
        <f t="shared" ref="P1444:Q1444" si="1442">IF(B1444=0,0,IF(YEAR(B1444)=$Q$1,MONTH(B1444)-$P$1+1,(YEAR(B1444)-$Q$1)*12-$P$1+1+MONTH(B1444)))</f>
        <v>0</v>
      </c>
      <c r="Q1444" s="402">
        <f t="shared" si="1442"/>
        <v>0</v>
      </c>
      <c r="R1444" s="356" t="e">
        <f t="shared" si="1325"/>
        <v>#N/A</v>
      </c>
      <c r="S1444" s="356" t="str">
        <f>IF(D1444="","",IF(OR(D1444=Plano!$A$1,D1444=Plano!$B$1),"entrada","saída"))</f>
        <v/>
      </c>
      <c r="T1444" s="345"/>
      <c r="U1444" s="345"/>
      <c r="V1444" s="269"/>
      <c r="W1444" s="269"/>
    </row>
    <row r="1445" spans="1:23" ht="120" customHeight="1" x14ac:dyDescent="0.2">
      <c r="A1445" s="401" t="str">
        <f t="shared" si="0"/>
        <v/>
      </c>
      <c r="B1445" s="278"/>
      <c r="C1445" s="256"/>
      <c r="D1445" s="255"/>
      <c r="E1445" s="255"/>
      <c r="F1445" s="258"/>
      <c r="G1445" s="255"/>
      <c r="H1445" s="255"/>
      <c r="I1445" s="250"/>
      <c r="J1445" s="255"/>
      <c r="K1445" s="255"/>
      <c r="L1445" s="250"/>
      <c r="M1445" s="255"/>
      <c r="N1445" s="277"/>
      <c r="O1445" s="329"/>
      <c r="P1445" s="402">
        <f t="shared" ref="P1445:Q1445" si="1443">IF(B1445=0,0,IF(YEAR(B1445)=$Q$1,MONTH(B1445)-$P$1+1,(YEAR(B1445)-$Q$1)*12-$P$1+1+MONTH(B1445)))</f>
        <v>0</v>
      </c>
      <c r="Q1445" s="402">
        <f t="shared" si="1443"/>
        <v>0</v>
      </c>
      <c r="R1445" s="356" t="e">
        <f t="shared" si="1325"/>
        <v>#N/A</v>
      </c>
      <c r="S1445" s="356" t="str">
        <f>IF(D1445="","",IF(OR(D1445=Plano!$A$1,D1445=Plano!$B$1),"entrada","saída"))</f>
        <v/>
      </c>
      <c r="T1445" s="345"/>
      <c r="U1445" s="345"/>
      <c r="V1445" s="269"/>
      <c r="W1445" s="269"/>
    </row>
    <row r="1446" spans="1:23" ht="120" customHeight="1" x14ac:dyDescent="0.2">
      <c r="A1446" s="401" t="str">
        <f t="shared" si="0"/>
        <v/>
      </c>
      <c r="B1446" s="278"/>
      <c r="C1446" s="256"/>
      <c r="D1446" s="255"/>
      <c r="E1446" s="255"/>
      <c r="F1446" s="258"/>
      <c r="G1446" s="255"/>
      <c r="H1446" s="255"/>
      <c r="I1446" s="250"/>
      <c r="J1446" s="255"/>
      <c r="K1446" s="255"/>
      <c r="L1446" s="250"/>
      <c r="M1446" s="255"/>
      <c r="N1446" s="277"/>
      <c r="O1446" s="329"/>
      <c r="P1446" s="402">
        <f t="shared" ref="P1446:Q1446" si="1444">IF(B1446=0,0,IF(YEAR(B1446)=$Q$1,MONTH(B1446)-$P$1+1,(YEAR(B1446)-$Q$1)*12-$P$1+1+MONTH(B1446)))</f>
        <v>0</v>
      </c>
      <c r="Q1446" s="402">
        <f t="shared" si="1444"/>
        <v>0</v>
      </c>
      <c r="R1446" s="356" t="e">
        <f t="shared" si="1325"/>
        <v>#N/A</v>
      </c>
      <c r="S1446" s="356" t="str">
        <f>IF(D1446="","",IF(OR(D1446=Plano!$A$1,D1446=Plano!$B$1),"entrada","saída"))</f>
        <v/>
      </c>
      <c r="T1446" s="345"/>
      <c r="U1446" s="345"/>
      <c r="V1446" s="269"/>
      <c r="W1446" s="269"/>
    </row>
    <row r="1447" spans="1:23" ht="120" customHeight="1" x14ac:dyDescent="0.2">
      <c r="A1447" s="401" t="str">
        <f t="shared" si="0"/>
        <v/>
      </c>
      <c r="B1447" s="278"/>
      <c r="C1447" s="256"/>
      <c r="D1447" s="255"/>
      <c r="E1447" s="255"/>
      <c r="F1447" s="258"/>
      <c r="G1447" s="255"/>
      <c r="H1447" s="255"/>
      <c r="I1447" s="250"/>
      <c r="J1447" s="255"/>
      <c r="K1447" s="255"/>
      <c r="L1447" s="250"/>
      <c r="M1447" s="255"/>
      <c r="N1447" s="277"/>
      <c r="O1447" s="329"/>
      <c r="P1447" s="402">
        <f t="shared" ref="P1447:Q1447" si="1445">IF(B1447=0,0,IF(YEAR(B1447)=$Q$1,MONTH(B1447)-$P$1+1,(YEAR(B1447)-$Q$1)*12-$P$1+1+MONTH(B1447)))</f>
        <v>0</v>
      </c>
      <c r="Q1447" s="402">
        <f t="shared" si="1445"/>
        <v>0</v>
      </c>
      <c r="R1447" s="356" t="e">
        <f t="shared" si="1325"/>
        <v>#N/A</v>
      </c>
      <c r="S1447" s="356" t="str">
        <f>IF(D1447="","",IF(OR(D1447=Plano!$A$1,D1447=Plano!$B$1),"entrada","saída"))</f>
        <v/>
      </c>
      <c r="T1447" s="345"/>
      <c r="U1447" s="345"/>
      <c r="V1447" s="269"/>
      <c r="W1447" s="269"/>
    </row>
    <row r="1448" spans="1:23" ht="120" customHeight="1" x14ac:dyDescent="0.2">
      <c r="A1448" s="401" t="str">
        <f t="shared" si="0"/>
        <v/>
      </c>
      <c r="B1448" s="278"/>
      <c r="C1448" s="256"/>
      <c r="D1448" s="255"/>
      <c r="E1448" s="255"/>
      <c r="F1448" s="258"/>
      <c r="G1448" s="255"/>
      <c r="H1448" s="255"/>
      <c r="I1448" s="250"/>
      <c r="J1448" s="255"/>
      <c r="K1448" s="255"/>
      <c r="L1448" s="250"/>
      <c r="M1448" s="255"/>
      <c r="N1448" s="277"/>
      <c r="O1448" s="329"/>
      <c r="P1448" s="402">
        <f t="shared" ref="P1448:Q1448" si="1446">IF(B1448=0,0,IF(YEAR(B1448)=$Q$1,MONTH(B1448)-$P$1+1,(YEAR(B1448)-$Q$1)*12-$P$1+1+MONTH(B1448)))</f>
        <v>0</v>
      </c>
      <c r="Q1448" s="402">
        <f t="shared" si="1446"/>
        <v>0</v>
      </c>
      <c r="R1448" s="356" t="e">
        <f t="shared" si="1325"/>
        <v>#N/A</v>
      </c>
      <c r="S1448" s="356" t="str">
        <f>IF(D1448="","",IF(OR(D1448=Plano!$A$1,D1448=Plano!$B$1),"entrada","saída"))</f>
        <v/>
      </c>
      <c r="T1448" s="345"/>
      <c r="U1448" s="345"/>
      <c r="V1448" s="269"/>
      <c r="W1448" s="269"/>
    </row>
    <row r="1449" spans="1:23" ht="120" customHeight="1" x14ac:dyDescent="0.2">
      <c r="A1449" s="401" t="str">
        <f t="shared" si="0"/>
        <v/>
      </c>
      <c r="B1449" s="278"/>
      <c r="C1449" s="256"/>
      <c r="D1449" s="255"/>
      <c r="E1449" s="255"/>
      <c r="F1449" s="258"/>
      <c r="G1449" s="255"/>
      <c r="H1449" s="255"/>
      <c r="I1449" s="250"/>
      <c r="J1449" s="255"/>
      <c r="K1449" s="255"/>
      <c r="L1449" s="250"/>
      <c r="M1449" s="255"/>
      <c r="N1449" s="277"/>
      <c r="O1449" s="329"/>
      <c r="P1449" s="402">
        <f t="shared" ref="P1449:Q1449" si="1447">IF(B1449=0,0,IF(YEAR(B1449)=$Q$1,MONTH(B1449)-$P$1+1,(YEAR(B1449)-$Q$1)*12-$P$1+1+MONTH(B1449)))</f>
        <v>0</v>
      </c>
      <c r="Q1449" s="402">
        <f t="shared" si="1447"/>
        <v>0</v>
      </c>
      <c r="R1449" s="356" t="e">
        <f t="shared" si="1325"/>
        <v>#N/A</v>
      </c>
      <c r="S1449" s="356" t="str">
        <f>IF(D1449="","",IF(OR(D1449=Plano!$A$1,D1449=Plano!$B$1),"entrada","saída"))</f>
        <v/>
      </c>
      <c r="T1449" s="345"/>
      <c r="U1449" s="345"/>
      <c r="V1449" s="269"/>
      <c r="W1449" s="269"/>
    </row>
    <row r="1450" spans="1:23" ht="120" customHeight="1" x14ac:dyDescent="0.2">
      <c r="A1450" s="401" t="str">
        <f t="shared" si="0"/>
        <v/>
      </c>
      <c r="B1450" s="278"/>
      <c r="C1450" s="256"/>
      <c r="D1450" s="255"/>
      <c r="E1450" s="255"/>
      <c r="F1450" s="258"/>
      <c r="G1450" s="255"/>
      <c r="H1450" s="255"/>
      <c r="I1450" s="250"/>
      <c r="J1450" s="255"/>
      <c r="K1450" s="255"/>
      <c r="L1450" s="250"/>
      <c r="M1450" s="255"/>
      <c r="N1450" s="277"/>
      <c r="O1450" s="329"/>
      <c r="P1450" s="402">
        <f t="shared" ref="P1450:Q1450" si="1448">IF(B1450=0,0,IF(YEAR(B1450)=$Q$1,MONTH(B1450)-$P$1+1,(YEAR(B1450)-$Q$1)*12-$P$1+1+MONTH(B1450)))</f>
        <v>0</v>
      </c>
      <c r="Q1450" s="402">
        <f t="shared" si="1448"/>
        <v>0</v>
      </c>
      <c r="R1450" s="356" t="e">
        <f t="shared" si="1325"/>
        <v>#N/A</v>
      </c>
      <c r="S1450" s="356" t="str">
        <f>IF(D1450="","",IF(OR(D1450=Plano!$A$1,D1450=Plano!$B$1),"entrada","saída"))</f>
        <v/>
      </c>
      <c r="T1450" s="345"/>
      <c r="U1450" s="345"/>
      <c r="V1450" s="269"/>
      <c r="W1450" s="269"/>
    </row>
    <row r="1451" spans="1:23" ht="120" customHeight="1" x14ac:dyDescent="0.2">
      <c r="A1451" s="401" t="str">
        <f t="shared" si="0"/>
        <v/>
      </c>
      <c r="B1451" s="278"/>
      <c r="C1451" s="256"/>
      <c r="D1451" s="255"/>
      <c r="E1451" s="255"/>
      <c r="F1451" s="258"/>
      <c r="G1451" s="255"/>
      <c r="H1451" s="255"/>
      <c r="I1451" s="250"/>
      <c r="J1451" s="255"/>
      <c r="K1451" s="255"/>
      <c r="L1451" s="250"/>
      <c r="M1451" s="255"/>
      <c r="N1451" s="277"/>
      <c r="O1451" s="329"/>
      <c r="P1451" s="402">
        <f t="shared" ref="P1451:Q1451" si="1449">IF(B1451=0,0,IF(YEAR(B1451)=$Q$1,MONTH(B1451)-$P$1+1,(YEAR(B1451)-$Q$1)*12-$P$1+1+MONTH(B1451)))</f>
        <v>0</v>
      </c>
      <c r="Q1451" s="402">
        <f t="shared" si="1449"/>
        <v>0</v>
      </c>
      <c r="R1451" s="356" t="e">
        <f t="shared" si="1325"/>
        <v>#N/A</v>
      </c>
      <c r="S1451" s="356" t="str">
        <f>IF(D1451="","",IF(OR(D1451=Plano!$A$1,D1451=Plano!$B$1),"entrada","saída"))</f>
        <v/>
      </c>
      <c r="T1451" s="345"/>
      <c r="U1451" s="345"/>
      <c r="V1451" s="269"/>
      <c r="W1451" s="269"/>
    </row>
    <row r="1452" spans="1:23" ht="120" customHeight="1" x14ac:dyDescent="0.2">
      <c r="A1452" s="401" t="str">
        <f t="shared" si="0"/>
        <v/>
      </c>
      <c r="B1452" s="278"/>
      <c r="C1452" s="256"/>
      <c r="D1452" s="255"/>
      <c r="E1452" s="255"/>
      <c r="F1452" s="258"/>
      <c r="G1452" s="255"/>
      <c r="H1452" s="255"/>
      <c r="I1452" s="250"/>
      <c r="J1452" s="255"/>
      <c r="K1452" s="255"/>
      <c r="L1452" s="250"/>
      <c r="M1452" s="255"/>
      <c r="N1452" s="277"/>
      <c r="O1452" s="329"/>
      <c r="P1452" s="402">
        <f t="shared" ref="P1452:Q1452" si="1450">IF(B1452=0,0,IF(YEAR(B1452)=$Q$1,MONTH(B1452)-$P$1+1,(YEAR(B1452)-$Q$1)*12-$P$1+1+MONTH(B1452)))</f>
        <v>0</v>
      </c>
      <c r="Q1452" s="402">
        <f t="shared" si="1450"/>
        <v>0</v>
      </c>
      <c r="R1452" s="356" t="e">
        <f t="shared" si="1325"/>
        <v>#N/A</v>
      </c>
      <c r="S1452" s="356" t="str">
        <f>IF(D1452="","",IF(OR(D1452=Plano!$A$1,D1452=Plano!$B$1),"entrada","saída"))</f>
        <v/>
      </c>
      <c r="T1452" s="345"/>
      <c r="U1452" s="345"/>
      <c r="V1452" s="269"/>
      <c r="W1452" s="269"/>
    </row>
    <row r="1453" spans="1:23" ht="120" customHeight="1" x14ac:dyDescent="0.2">
      <c r="A1453" s="401" t="str">
        <f t="shared" si="0"/>
        <v/>
      </c>
      <c r="B1453" s="278"/>
      <c r="C1453" s="256"/>
      <c r="D1453" s="255"/>
      <c r="E1453" s="255"/>
      <c r="F1453" s="258"/>
      <c r="G1453" s="255"/>
      <c r="H1453" s="255"/>
      <c r="I1453" s="250"/>
      <c r="J1453" s="255"/>
      <c r="K1453" s="255"/>
      <c r="L1453" s="250"/>
      <c r="M1453" s="255"/>
      <c r="N1453" s="277"/>
      <c r="O1453" s="329"/>
      <c r="P1453" s="402">
        <f t="shared" ref="P1453:Q1453" si="1451">IF(B1453=0,0,IF(YEAR(B1453)=$Q$1,MONTH(B1453)-$P$1+1,(YEAR(B1453)-$Q$1)*12-$P$1+1+MONTH(B1453)))</f>
        <v>0</v>
      </c>
      <c r="Q1453" s="402">
        <f t="shared" si="1451"/>
        <v>0</v>
      </c>
      <c r="R1453" s="356" t="e">
        <f t="shared" si="1325"/>
        <v>#N/A</v>
      </c>
      <c r="S1453" s="356" t="str">
        <f>IF(D1453="","",IF(OR(D1453=Plano!$A$1,D1453=Plano!$B$1),"entrada","saída"))</f>
        <v/>
      </c>
      <c r="T1453" s="345"/>
      <c r="U1453" s="345"/>
      <c r="V1453" s="269"/>
      <c r="W1453" s="269"/>
    </row>
    <row r="1454" spans="1:23" ht="120" customHeight="1" x14ac:dyDescent="0.2">
      <c r="A1454" s="401" t="str">
        <f t="shared" si="0"/>
        <v/>
      </c>
      <c r="B1454" s="278"/>
      <c r="C1454" s="256"/>
      <c r="D1454" s="255"/>
      <c r="E1454" s="255"/>
      <c r="F1454" s="258"/>
      <c r="G1454" s="255"/>
      <c r="H1454" s="255"/>
      <c r="I1454" s="250"/>
      <c r="J1454" s="255"/>
      <c r="K1454" s="255"/>
      <c r="L1454" s="250"/>
      <c r="M1454" s="255"/>
      <c r="N1454" s="277"/>
      <c r="O1454" s="329"/>
      <c r="P1454" s="402">
        <f t="shared" ref="P1454:Q1454" si="1452">IF(B1454=0,0,IF(YEAR(B1454)=$Q$1,MONTH(B1454)-$P$1+1,(YEAR(B1454)-$Q$1)*12-$P$1+1+MONTH(B1454)))</f>
        <v>0</v>
      </c>
      <c r="Q1454" s="402">
        <f t="shared" si="1452"/>
        <v>0</v>
      </c>
      <c r="R1454" s="356" t="e">
        <f t="shared" si="1325"/>
        <v>#N/A</v>
      </c>
      <c r="S1454" s="356" t="str">
        <f>IF(D1454="","",IF(OR(D1454=Plano!$A$1,D1454=Plano!$B$1),"entrada","saída"))</f>
        <v/>
      </c>
      <c r="T1454" s="345"/>
      <c r="U1454" s="345"/>
      <c r="V1454" s="269"/>
      <c r="W1454" s="269"/>
    </row>
    <row r="1455" spans="1:23" ht="120" customHeight="1" x14ac:dyDescent="0.2">
      <c r="A1455" s="401" t="str">
        <f t="shared" si="0"/>
        <v/>
      </c>
      <c r="B1455" s="278"/>
      <c r="C1455" s="256"/>
      <c r="D1455" s="255"/>
      <c r="E1455" s="255"/>
      <c r="F1455" s="258"/>
      <c r="G1455" s="255"/>
      <c r="H1455" s="255"/>
      <c r="I1455" s="250"/>
      <c r="J1455" s="255"/>
      <c r="K1455" s="255"/>
      <c r="L1455" s="250"/>
      <c r="M1455" s="255"/>
      <c r="N1455" s="277"/>
      <c r="O1455" s="329"/>
      <c r="P1455" s="402">
        <f t="shared" ref="P1455:Q1455" si="1453">IF(B1455=0,0,IF(YEAR(B1455)=$Q$1,MONTH(B1455)-$P$1+1,(YEAR(B1455)-$Q$1)*12-$P$1+1+MONTH(B1455)))</f>
        <v>0</v>
      </c>
      <c r="Q1455" s="402">
        <f t="shared" si="1453"/>
        <v>0</v>
      </c>
      <c r="R1455" s="356" t="e">
        <f t="shared" si="1325"/>
        <v>#N/A</v>
      </c>
      <c r="S1455" s="356" t="str">
        <f>IF(D1455="","",IF(OR(D1455=Plano!$A$1,D1455=Plano!$B$1),"entrada","saída"))</f>
        <v/>
      </c>
      <c r="T1455" s="345"/>
      <c r="U1455" s="345"/>
      <c r="V1455" s="269"/>
      <c r="W1455" s="269"/>
    </row>
    <row r="1456" spans="1:23" ht="120" customHeight="1" x14ac:dyDescent="0.2">
      <c r="A1456" s="401" t="str">
        <f t="shared" si="0"/>
        <v/>
      </c>
      <c r="B1456" s="278"/>
      <c r="C1456" s="256"/>
      <c r="D1456" s="255"/>
      <c r="E1456" s="255"/>
      <c r="F1456" s="258"/>
      <c r="G1456" s="255"/>
      <c r="H1456" s="255"/>
      <c r="I1456" s="250"/>
      <c r="J1456" s="255"/>
      <c r="K1456" s="255"/>
      <c r="L1456" s="250"/>
      <c r="M1456" s="255"/>
      <c r="N1456" s="277"/>
      <c r="O1456" s="329"/>
      <c r="P1456" s="402">
        <f t="shared" ref="P1456:Q1456" si="1454">IF(B1456=0,0,IF(YEAR(B1456)=$Q$1,MONTH(B1456)-$P$1+1,(YEAR(B1456)-$Q$1)*12-$P$1+1+MONTH(B1456)))</f>
        <v>0</v>
      </c>
      <c r="Q1456" s="402">
        <f t="shared" si="1454"/>
        <v>0</v>
      </c>
      <c r="R1456" s="356" t="e">
        <f t="shared" si="1325"/>
        <v>#N/A</v>
      </c>
      <c r="S1456" s="356" t="str">
        <f>IF(D1456="","",IF(OR(D1456=Plano!$A$1,D1456=Plano!$B$1),"entrada","saída"))</f>
        <v/>
      </c>
      <c r="T1456" s="345"/>
      <c r="U1456" s="345"/>
      <c r="V1456" s="269"/>
      <c r="W1456" s="269"/>
    </row>
    <row r="1457" spans="1:23" ht="120" customHeight="1" x14ac:dyDescent="0.2">
      <c r="A1457" s="401" t="str">
        <f t="shared" si="0"/>
        <v/>
      </c>
      <c r="B1457" s="278"/>
      <c r="C1457" s="256"/>
      <c r="D1457" s="255"/>
      <c r="E1457" s="255"/>
      <c r="F1457" s="258"/>
      <c r="G1457" s="255"/>
      <c r="H1457" s="255"/>
      <c r="I1457" s="250"/>
      <c r="J1457" s="255"/>
      <c r="K1457" s="255"/>
      <c r="L1457" s="250"/>
      <c r="M1457" s="255"/>
      <c r="N1457" s="277"/>
      <c r="O1457" s="329"/>
      <c r="P1457" s="402">
        <f t="shared" ref="P1457:Q1457" si="1455">IF(B1457=0,0,IF(YEAR(B1457)=$Q$1,MONTH(B1457)-$P$1+1,(YEAR(B1457)-$Q$1)*12-$P$1+1+MONTH(B1457)))</f>
        <v>0</v>
      </c>
      <c r="Q1457" s="402">
        <f t="shared" si="1455"/>
        <v>0</v>
      </c>
      <c r="R1457" s="356" t="e">
        <f t="shared" si="1325"/>
        <v>#N/A</v>
      </c>
      <c r="S1457" s="356" t="str">
        <f>IF(D1457="","",IF(OR(D1457=Plano!$A$1,D1457=Plano!$B$1),"entrada","saída"))</f>
        <v/>
      </c>
      <c r="T1457" s="345"/>
      <c r="U1457" s="345"/>
      <c r="V1457" s="269"/>
      <c r="W1457" s="269"/>
    </row>
    <row r="1458" spans="1:23" ht="120" customHeight="1" x14ac:dyDescent="0.2">
      <c r="A1458" s="401" t="str">
        <f t="shared" si="0"/>
        <v/>
      </c>
      <c r="B1458" s="278"/>
      <c r="C1458" s="256"/>
      <c r="D1458" s="255"/>
      <c r="E1458" s="255"/>
      <c r="F1458" s="258"/>
      <c r="G1458" s="255"/>
      <c r="H1458" s="255"/>
      <c r="I1458" s="250"/>
      <c r="J1458" s="255"/>
      <c r="K1458" s="255"/>
      <c r="L1458" s="250"/>
      <c r="M1458" s="255"/>
      <c r="N1458" s="277"/>
      <c r="O1458" s="329"/>
      <c r="P1458" s="402">
        <f t="shared" ref="P1458:Q1458" si="1456">IF(B1458=0,0,IF(YEAR(B1458)=$Q$1,MONTH(B1458)-$P$1+1,(YEAR(B1458)-$Q$1)*12-$P$1+1+MONTH(B1458)))</f>
        <v>0</v>
      </c>
      <c r="Q1458" s="402">
        <f t="shared" si="1456"/>
        <v>0</v>
      </c>
      <c r="R1458" s="356" t="e">
        <f t="shared" si="1325"/>
        <v>#N/A</v>
      </c>
      <c r="S1458" s="356" t="str">
        <f>IF(D1458="","",IF(OR(D1458=Plano!$A$1,D1458=Plano!$B$1),"entrada","saída"))</f>
        <v/>
      </c>
      <c r="T1458" s="345"/>
      <c r="U1458" s="345"/>
      <c r="V1458" s="269"/>
      <c r="W1458" s="269"/>
    </row>
    <row r="1459" spans="1:23" ht="120" customHeight="1" x14ac:dyDescent="0.2">
      <c r="A1459" s="401" t="str">
        <f t="shared" si="0"/>
        <v/>
      </c>
      <c r="B1459" s="278"/>
      <c r="C1459" s="256"/>
      <c r="D1459" s="255"/>
      <c r="E1459" s="255"/>
      <c r="F1459" s="258"/>
      <c r="G1459" s="255"/>
      <c r="H1459" s="255"/>
      <c r="I1459" s="250"/>
      <c r="J1459" s="255"/>
      <c r="K1459" s="255"/>
      <c r="L1459" s="250"/>
      <c r="M1459" s="255"/>
      <c r="N1459" s="277"/>
      <c r="O1459" s="329"/>
      <c r="P1459" s="402">
        <f t="shared" ref="P1459:Q1459" si="1457">IF(B1459=0,0,IF(YEAR(B1459)=$Q$1,MONTH(B1459)-$P$1+1,(YEAR(B1459)-$Q$1)*12-$P$1+1+MONTH(B1459)))</f>
        <v>0</v>
      </c>
      <c r="Q1459" s="402">
        <f t="shared" si="1457"/>
        <v>0</v>
      </c>
      <c r="R1459" s="356" t="e">
        <f t="shared" si="1325"/>
        <v>#N/A</v>
      </c>
      <c r="S1459" s="356" t="str">
        <f>IF(D1459="","",IF(OR(D1459=Plano!$A$1,D1459=Plano!$B$1),"entrada","saída"))</f>
        <v/>
      </c>
      <c r="T1459" s="345"/>
      <c r="U1459" s="345"/>
      <c r="V1459" s="269"/>
      <c r="W1459" s="269"/>
    </row>
    <row r="1460" spans="1:23" ht="120" customHeight="1" x14ac:dyDescent="0.2">
      <c r="A1460" s="401" t="str">
        <f t="shared" si="0"/>
        <v/>
      </c>
      <c r="B1460" s="278"/>
      <c r="C1460" s="256"/>
      <c r="D1460" s="255"/>
      <c r="E1460" s="255"/>
      <c r="F1460" s="258"/>
      <c r="G1460" s="255"/>
      <c r="H1460" s="255"/>
      <c r="I1460" s="250"/>
      <c r="J1460" s="255"/>
      <c r="K1460" s="255"/>
      <c r="L1460" s="250"/>
      <c r="M1460" s="255"/>
      <c r="N1460" s="277"/>
      <c r="O1460" s="329"/>
      <c r="P1460" s="402">
        <f t="shared" ref="P1460:Q1460" si="1458">IF(B1460=0,0,IF(YEAR(B1460)=$Q$1,MONTH(B1460)-$P$1+1,(YEAR(B1460)-$Q$1)*12-$P$1+1+MONTH(B1460)))</f>
        <v>0</v>
      </c>
      <c r="Q1460" s="402">
        <f t="shared" si="1458"/>
        <v>0</v>
      </c>
      <c r="R1460" s="356" t="e">
        <f t="shared" si="1325"/>
        <v>#N/A</v>
      </c>
      <c r="S1460" s="356" t="str">
        <f>IF(D1460="","",IF(OR(D1460=Plano!$A$1,D1460=Plano!$B$1),"entrada","saída"))</f>
        <v/>
      </c>
      <c r="T1460" s="345"/>
      <c r="U1460" s="345"/>
      <c r="V1460" s="269"/>
      <c r="W1460" s="269"/>
    </row>
    <row r="1461" spans="1:23" ht="120" customHeight="1" x14ac:dyDescent="0.2">
      <c r="A1461" s="401" t="str">
        <f t="shared" si="0"/>
        <v/>
      </c>
      <c r="B1461" s="278"/>
      <c r="C1461" s="256"/>
      <c r="D1461" s="255"/>
      <c r="E1461" s="255"/>
      <c r="F1461" s="258"/>
      <c r="G1461" s="255"/>
      <c r="H1461" s="255"/>
      <c r="I1461" s="250"/>
      <c r="J1461" s="255"/>
      <c r="K1461" s="255"/>
      <c r="L1461" s="250"/>
      <c r="M1461" s="255"/>
      <c r="N1461" s="277"/>
      <c r="O1461" s="329"/>
      <c r="P1461" s="402">
        <f t="shared" ref="P1461:Q1461" si="1459">IF(B1461=0,0,IF(YEAR(B1461)=$Q$1,MONTH(B1461)-$P$1+1,(YEAR(B1461)-$Q$1)*12-$P$1+1+MONTH(B1461)))</f>
        <v>0</v>
      </c>
      <c r="Q1461" s="402">
        <f t="shared" si="1459"/>
        <v>0</v>
      </c>
      <c r="R1461" s="356" t="e">
        <f t="shared" si="1325"/>
        <v>#N/A</v>
      </c>
      <c r="S1461" s="356" t="str">
        <f>IF(D1461="","",IF(OR(D1461=Plano!$A$1,D1461=Plano!$B$1),"entrada","saída"))</f>
        <v/>
      </c>
      <c r="T1461" s="345"/>
      <c r="U1461" s="345"/>
      <c r="V1461" s="269"/>
      <c r="W1461" s="269"/>
    </row>
    <row r="1462" spans="1:23" ht="120" customHeight="1" x14ac:dyDescent="0.2">
      <c r="A1462" s="401" t="str">
        <f t="shared" si="0"/>
        <v/>
      </c>
      <c r="B1462" s="278"/>
      <c r="C1462" s="256"/>
      <c r="D1462" s="255"/>
      <c r="E1462" s="255"/>
      <c r="F1462" s="258"/>
      <c r="G1462" s="255"/>
      <c r="H1462" s="255"/>
      <c r="I1462" s="250"/>
      <c r="J1462" s="255"/>
      <c r="K1462" s="255"/>
      <c r="L1462" s="250"/>
      <c r="M1462" s="255"/>
      <c r="N1462" s="277"/>
      <c r="O1462" s="329"/>
      <c r="P1462" s="402">
        <f t="shared" ref="P1462:Q1462" si="1460">IF(B1462=0,0,IF(YEAR(B1462)=$Q$1,MONTH(B1462)-$P$1+1,(YEAR(B1462)-$Q$1)*12-$P$1+1+MONTH(B1462)))</f>
        <v>0</v>
      </c>
      <c r="Q1462" s="402">
        <f t="shared" si="1460"/>
        <v>0</v>
      </c>
      <c r="R1462" s="356" t="e">
        <f t="shared" si="1325"/>
        <v>#N/A</v>
      </c>
      <c r="S1462" s="356" t="str">
        <f>IF(D1462="","",IF(OR(D1462=Plano!$A$1,D1462=Plano!$B$1),"entrada","saída"))</f>
        <v/>
      </c>
      <c r="T1462" s="345"/>
      <c r="U1462" s="345"/>
      <c r="V1462" s="269"/>
      <c r="W1462" s="269"/>
    </row>
    <row r="1463" spans="1:23" ht="120" customHeight="1" x14ac:dyDescent="0.2">
      <c r="A1463" s="401" t="str">
        <f t="shared" si="0"/>
        <v/>
      </c>
      <c r="B1463" s="278"/>
      <c r="C1463" s="256"/>
      <c r="D1463" s="255"/>
      <c r="E1463" s="255"/>
      <c r="F1463" s="258"/>
      <c r="G1463" s="255"/>
      <c r="H1463" s="255"/>
      <c r="I1463" s="250"/>
      <c r="J1463" s="255"/>
      <c r="K1463" s="255"/>
      <c r="L1463" s="250"/>
      <c r="M1463" s="255"/>
      <c r="N1463" s="277"/>
      <c r="O1463" s="329"/>
      <c r="P1463" s="402">
        <f t="shared" ref="P1463:Q1463" si="1461">IF(B1463=0,0,IF(YEAR(B1463)=$Q$1,MONTH(B1463)-$P$1+1,(YEAR(B1463)-$Q$1)*12-$P$1+1+MONTH(B1463)))</f>
        <v>0</v>
      </c>
      <c r="Q1463" s="402">
        <f t="shared" si="1461"/>
        <v>0</v>
      </c>
      <c r="R1463" s="356" t="e">
        <f t="shared" si="1325"/>
        <v>#N/A</v>
      </c>
      <c r="S1463" s="356" t="str">
        <f>IF(D1463="","",IF(OR(D1463=Plano!$A$1,D1463=Plano!$B$1),"entrada","saída"))</f>
        <v/>
      </c>
      <c r="T1463" s="345"/>
      <c r="U1463" s="345"/>
      <c r="V1463" s="269"/>
      <c r="W1463" s="269"/>
    </row>
    <row r="1464" spans="1:23" ht="120" customHeight="1" x14ac:dyDescent="0.2">
      <c r="A1464" s="401" t="str">
        <f t="shared" si="0"/>
        <v/>
      </c>
      <c r="B1464" s="278"/>
      <c r="C1464" s="256"/>
      <c r="D1464" s="255"/>
      <c r="E1464" s="255"/>
      <c r="F1464" s="258"/>
      <c r="G1464" s="255"/>
      <c r="H1464" s="255"/>
      <c r="I1464" s="250"/>
      <c r="J1464" s="255"/>
      <c r="K1464" s="255"/>
      <c r="L1464" s="250"/>
      <c r="M1464" s="255"/>
      <c r="N1464" s="277"/>
      <c r="O1464" s="329"/>
      <c r="P1464" s="402">
        <f t="shared" ref="P1464:Q1464" si="1462">IF(B1464=0,0,IF(YEAR(B1464)=$Q$1,MONTH(B1464)-$P$1+1,(YEAR(B1464)-$Q$1)*12-$P$1+1+MONTH(B1464)))</f>
        <v>0</v>
      </c>
      <c r="Q1464" s="402">
        <f t="shared" si="1462"/>
        <v>0</v>
      </c>
      <c r="R1464" s="356" t="e">
        <f t="shared" si="1325"/>
        <v>#N/A</v>
      </c>
      <c r="S1464" s="356" t="str">
        <f>IF(D1464="","",IF(OR(D1464=Plano!$A$1,D1464=Plano!$B$1),"entrada","saída"))</f>
        <v/>
      </c>
      <c r="T1464" s="345"/>
      <c r="U1464" s="345"/>
      <c r="V1464" s="269"/>
      <c r="W1464" s="269"/>
    </row>
    <row r="1465" spans="1:23" ht="120" customHeight="1" x14ac:dyDescent="0.2">
      <c r="A1465" s="401" t="str">
        <f t="shared" si="0"/>
        <v/>
      </c>
      <c r="B1465" s="278"/>
      <c r="C1465" s="256"/>
      <c r="D1465" s="255"/>
      <c r="E1465" s="255"/>
      <c r="F1465" s="258"/>
      <c r="G1465" s="255"/>
      <c r="H1465" s="255"/>
      <c r="I1465" s="250"/>
      <c r="J1465" s="255"/>
      <c r="K1465" s="255"/>
      <c r="L1465" s="250"/>
      <c r="M1465" s="255"/>
      <c r="N1465" s="277"/>
      <c r="O1465" s="329"/>
      <c r="P1465" s="402">
        <f t="shared" ref="P1465:Q1465" si="1463">IF(B1465=0,0,IF(YEAR(B1465)=$Q$1,MONTH(B1465)-$P$1+1,(YEAR(B1465)-$Q$1)*12-$P$1+1+MONTH(B1465)))</f>
        <v>0</v>
      </c>
      <c r="Q1465" s="402">
        <f t="shared" si="1463"/>
        <v>0</v>
      </c>
      <c r="R1465" s="356" t="e">
        <f t="shared" si="1325"/>
        <v>#N/A</v>
      </c>
      <c r="S1465" s="356" t="str">
        <f>IF(D1465="","",IF(OR(D1465=Plano!$A$1,D1465=Plano!$B$1),"entrada","saída"))</f>
        <v/>
      </c>
      <c r="T1465" s="345"/>
      <c r="U1465" s="345"/>
      <c r="V1465" s="269"/>
      <c r="W1465" s="269"/>
    </row>
    <row r="1466" spans="1:23" ht="120" customHeight="1" x14ac:dyDescent="0.2">
      <c r="A1466" s="401" t="str">
        <f t="shared" si="0"/>
        <v/>
      </c>
      <c r="B1466" s="278"/>
      <c r="C1466" s="256"/>
      <c r="D1466" s="255"/>
      <c r="E1466" s="255"/>
      <c r="F1466" s="258"/>
      <c r="G1466" s="255"/>
      <c r="H1466" s="255"/>
      <c r="I1466" s="250"/>
      <c r="J1466" s="255"/>
      <c r="K1466" s="255"/>
      <c r="L1466" s="250"/>
      <c r="M1466" s="255"/>
      <c r="N1466" s="277"/>
      <c r="O1466" s="329"/>
      <c r="P1466" s="402">
        <f t="shared" ref="P1466:Q1466" si="1464">IF(B1466=0,0,IF(YEAR(B1466)=$Q$1,MONTH(B1466)-$P$1+1,(YEAR(B1466)-$Q$1)*12-$P$1+1+MONTH(B1466)))</f>
        <v>0</v>
      </c>
      <c r="Q1466" s="402">
        <f t="shared" si="1464"/>
        <v>0</v>
      </c>
      <c r="R1466" s="356" t="e">
        <f t="shared" si="1325"/>
        <v>#N/A</v>
      </c>
      <c r="S1466" s="356" t="str">
        <f>IF(D1466="","",IF(OR(D1466=Plano!$A$1,D1466=Plano!$B$1),"entrada","saída"))</f>
        <v/>
      </c>
      <c r="T1466" s="345"/>
      <c r="U1466" s="345"/>
      <c r="V1466" s="269"/>
      <c r="W1466" s="269"/>
    </row>
    <row r="1467" spans="1:23" ht="120" customHeight="1" x14ac:dyDescent="0.2">
      <c r="A1467" s="401" t="str">
        <f t="shared" si="0"/>
        <v/>
      </c>
      <c r="B1467" s="278"/>
      <c r="C1467" s="256"/>
      <c r="D1467" s="255"/>
      <c r="E1467" s="255"/>
      <c r="F1467" s="258"/>
      <c r="G1467" s="255"/>
      <c r="H1467" s="255"/>
      <c r="I1467" s="250"/>
      <c r="J1467" s="255"/>
      <c r="K1467" s="255"/>
      <c r="L1467" s="250"/>
      <c r="M1467" s="255"/>
      <c r="N1467" s="277"/>
      <c r="O1467" s="329"/>
      <c r="P1467" s="402">
        <f t="shared" ref="P1467:Q1467" si="1465">IF(B1467=0,0,IF(YEAR(B1467)=$Q$1,MONTH(B1467)-$P$1+1,(YEAR(B1467)-$Q$1)*12-$P$1+1+MONTH(B1467)))</f>
        <v>0</v>
      </c>
      <c r="Q1467" s="402">
        <f t="shared" si="1465"/>
        <v>0</v>
      </c>
      <c r="R1467" s="356" t="e">
        <f t="shared" si="1325"/>
        <v>#N/A</v>
      </c>
      <c r="S1467" s="356" t="str">
        <f>IF(D1467="","",IF(OR(D1467=Plano!$A$1,D1467=Plano!$B$1),"entrada","saída"))</f>
        <v/>
      </c>
      <c r="T1467" s="345"/>
      <c r="U1467" s="345"/>
      <c r="V1467" s="269"/>
      <c r="W1467" s="269"/>
    </row>
    <row r="1468" spans="1:23" ht="120" customHeight="1" x14ac:dyDescent="0.2">
      <c r="A1468" s="401" t="str">
        <f t="shared" si="0"/>
        <v/>
      </c>
      <c r="B1468" s="278"/>
      <c r="C1468" s="256"/>
      <c r="D1468" s="255"/>
      <c r="E1468" s="255"/>
      <c r="F1468" s="258"/>
      <c r="G1468" s="255"/>
      <c r="H1468" s="255"/>
      <c r="I1468" s="250"/>
      <c r="J1468" s="255"/>
      <c r="K1468" s="255"/>
      <c r="L1468" s="250"/>
      <c r="M1468" s="255"/>
      <c r="N1468" s="277"/>
      <c r="O1468" s="329"/>
      <c r="P1468" s="402">
        <f t="shared" ref="P1468:Q1468" si="1466">IF(B1468=0,0,IF(YEAR(B1468)=$Q$1,MONTH(B1468)-$P$1+1,(YEAR(B1468)-$Q$1)*12-$P$1+1+MONTH(B1468)))</f>
        <v>0</v>
      </c>
      <c r="Q1468" s="402">
        <f t="shared" si="1466"/>
        <v>0</v>
      </c>
      <c r="R1468" s="356" t="e">
        <f t="shared" si="1325"/>
        <v>#N/A</v>
      </c>
      <c r="S1468" s="356" t="str">
        <f>IF(D1468="","",IF(OR(D1468=Plano!$A$1,D1468=Plano!$B$1),"entrada","saída"))</f>
        <v/>
      </c>
      <c r="T1468" s="345"/>
      <c r="U1468" s="345"/>
      <c r="V1468" s="269"/>
      <c r="W1468" s="269"/>
    </row>
    <row r="1469" spans="1:23" ht="120" customHeight="1" x14ac:dyDescent="0.2">
      <c r="A1469" s="401" t="str">
        <f t="shared" si="0"/>
        <v/>
      </c>
      <c r="B1469" s="278"/>
      <c r="C1469" s="256"/>
      <c r="D1469" s="255"/>
      <c r="E1469" s="255"/>
      <c r="F1469" s="258"/>
      <c r="G1469" s="255"/>
      <c r="H1469" s="255"/>
      <c r="I1469" s="250"/>
      <c r="J1469" s="255"/>
      <c r="K1469" s="255"/>
      <c r="L1469" s="250"/>
      <c r="M1469" s="255"/>
      <c r="N1469" s="277"/>
      <c r="O1469" s="329"/>
      <c r="P1469" s="402">
        <f t="shared" ref="P1469:Q1469" si="1467">IF(B1469=0,0,IF(YEAR(B1469)=$Q$1,MONTH(B1469)-$P$1+1,(YEAR(B1469)-$Q$1)*12-$P$1+1+MONTH(B1469)))</f>
        <v>0</v>
      </c>
      <c r="Q1469" s="402">
        <f t="shared" si="1467"/>
        <v>0</v>
      </c>
      <c r="R1469" s="356" t="e">
        <f t="shared" si="1325"/>
        <v>#N/A</v>
      </c>
      <c r="S1469" s="356" t="str">
        <f>IF(D1469="","",IF(OR(D1469=Plano!$A$1,D1469=Plano!$B$1),"entrada","saída"))</f>
        <v/>
      </c>
      <c r="T1469" s="345"/>
      <c r="U1469" s="345"/>
      <c r="V1469" s="269"/>
      <c r="W1469" s="269"/>
    </row>
    <row r="1470" spans="1:23" ht="120" customHeight="1" x14ac:dyDescent="0.2">
      <c r="A1470" s="401" t="str">
        <f t="shared" si="0"/>
        <v/>
      </c>
      <c r="B1470" s="278"/>
      <c r="C1470" s="256"/>
      <c r="D1470" s="255"/>
      <c r="E1470" s="255"/>
      <c r="F1470" s="258"/>
      <c r="G1470" s="255"/>
      <c r="H1470" s="255"/>
      <c r="I1470" s="250"/>
      <c r="J1470" s="255"/>
      <c r="K1470" s="255"/>
      <c r="L1470" s="250"/>
      <c r="M1470" s="255"/>
      <c r="N1470" s="277"/>
      <c r="O1470" s="329"/>
      <c r="P1470" s="402">
        <f t="shared" ref="P1470:Q1470" si="1468">IF(B1470=0,0,IF(YEAR(B1470)=$Q$1,MONTH(B1470)-$P$1+1,(YEAR(B1470)-$Q$1)*12-$P$1+1+MONTH(B1470)))</f>
        <v>0</v>
      </c>
      <c r="Q1470" s="402">
        <f t="shared" si="1468"/>
        <v>0</v>
      </c>
      <c r="R1470" s="356" t="e">
        <f t="shared" si="1325"/>
        <v>#N/A</v>
      </c>
      <c r="S1470" s="356" t="str">
        <f>IF(D1470="","",IF(OR(D1470=Plano!$A$1,D1470=Plano!$B$1),"entrada","saída"))</f>
        <v/>
      </c>
      <c r="T1470" s="345"/>
      <c r="U1470" s="345"/>
      <c r="V1470" s="269"/>
      <c r="W1470" s="269"/>
    </row>
    <row r="1471" spans="1:23" ht="120" customHeight="1" x14ac:dyDescent="0.2">
      <c r="A1471" s="401" t="str">
        <f t="shared" si="0"/>
        <v/>
      </c>
      <c r="B1471" s="278"/>
      <c r="C1471" s="256"/>
      <c r="D1471" s="255"/>
      <c r="E1471" s="255"/>
      <c r="F1471" s="258"/>
      <c r="G1471" s="255"/>
      <c r="H1471" s="255"/>
      <c r="I1471" s="250"/>
      <c r="J1471" s="255"/>
      <c r="K1471" s="255"/>
      <c r="L1471" s="250"/>
      <c r="M1471" s="255"/>
      <c r="N1471" s="277"/>
      <c r="O1471" s="329"/>
      <c r="P1471" s="402">
        <f t="shared" ref="P1471:Q1471" si="1469">IF(B1471=0,0,IF(YEAR(B1471)=$Q$1,MONTH(B1471)-$P$1+1,(YEAR(B1471)-$Q$1)*12-$P$1+1+MONTH(B1471)))</f>
        <v>0</v>
      </c>
      <c r="Q1471" s="402">
        <f t="shared" si="1469"/>
        <v>0</v>
      </c>
      <c r="R1471" s="356" t="e">
        <f t="shared" si="1325"/>
        <v>#N/A</v>
      </c>
      <c r="S1471" s="356" t="str">
        <f>IF(D1471="","",IF(OR(D1471=Plano!$A$1,D1471=Plano!$B$1),"entrada","saída"))</f>
        <v/>
      </c>
      <c r="T1471" s="345"/>
      <c r="U1471" s="345"/>
      <c r="V1471" s="269"/>
      <c r="W1471" s="269"/>
    </row>
    <row r="1472" spans="1:23" ht="120" customHeight="1" x14ac:dyDescent="0.2">
      <c r="A1472" s="401" t="str">
        <f t="shared" si="0"/>
        <v/>
      </c>
      <c r="B1472" s="278"/>
      <c r="C1472" s="256"/>
      <c r="D1472" s="255"/>
      <c r="E1472" s="255"/>
      <c r="F1472" s="258"/>
      <c r="G1472" s="255"/>
      <c r="H1472" s="255"/>
      <c r="I1472" s="250"/>
      <c r="J1472" s="255"/>
      <c r="K1472" s="255"/>
      <c r="L1472" s="250"/>
      <c r="M1472" s="255"/>
      <c r="N1472" s="277"/>
      <c r="O1472" s="329"/>
      <c r="P1472" s="402">
        <f t="shared" ref="P1472:Q1472" si="1470">IF(B1472=0,0,IF(YEAR(B1472)=$Q$1,MONTH(B1472)-$P$1+1,(YEAR(B1472)-$Q$1)*12-$P$1+1+MONTH(B1472)))</f>
        <v>0</v>
      </c>
      <c r="Q1472" s="402">
        <f t="shared" si="1470"/>
        <v>0</v>
      </c>
      <c r="R1472" s="356" t="e">
        <f t="shared" si="1325"/>
        <v>#N/A</v>
      </c>
      <c r="S1472" s="356" t="str">
        <f>IF(D1472="","",IF(OR(D1472=Plano!$A$1,D1472=Plano!$B$1),"entrada","saída"))</f>
        <v/>
      </c>
      <c r="T1472" s="345"/>
      <c r="U1472" s="345"/>
      <c r="V1472" s="269"/>
      <c r="W1472" s="269"/>
    </row>
    <row r="1473" spans="1:23" ht="120" customHeight="1" x14ac:dyDescent="0.2">
      <c r="A1473" s="403" t="str">
        <f t="shared" si="0"/>
        <v/>
      </c>
      <c r="B1473" s="278"/>
      <c r="C1473" s="256"/>
      <c r="D1473" s="255"/>
      <c r="E1473" s="255"/>
      <c r="F1473" s="258"/>
      <c r="G1473" s="255"/>
      <c r="H1473" s="255"/>
      <c r="I1473" s="250"/>
      <c r="J1473" s="255"/>
      <c r="K1473" s="255"/>
      <c r="L1473" s="250"/>
      <c r="M1473" s="255"/>
      <c r="N1473" s="277"/>
      <c r="O1473" s="329"/>
      <c r="P1473" s="402">
        <f t="shared" ref="P1473:Q1473" si="1471">IF(B1473=0,0,IF(YEAR(B1473)=$Q$1,MONTH(B1473)-$P$1+1,(YEAR(B1473)-$Q$1)*12-$P$1+1+MONTH(B1473)))</f>
        <v>0</v>
      </c>
      <c r="Q1473" s="402">
        <f t="shared" si="1471"/>
        <v>0</v>
      </c>
      <c r="R1473" s="356" t="e">
        <f t="shared" si="1325"/>
        <v>#N/A</v>
      </c>
      <c r="S1473" s="356" t="str">
        <f>IF(D1473="","",IF(OR(D1473=Plano!$A$1,D1473=Plano!$B$1),"entrada","saída"))</f>
        <v/>
      </c>
      <c r="T1473" s="345"/>
      <c r="U1473" s="345"/>
      <c r="V1473" s="269"/>
      <c r="W1473" s="269"/>
    </row>
    <row r="1474" spans="1:23" ht="120" customHeight="1" x14ac:dyDescent="0.2">
      <c r="A1474" s="403" t="str">
        <f t="shared" si="0"/>
        <v/>
      </c>
      <c r="B1474" s="278"/>
      <c r="C1474" s="256"/>
      <c r="D1474" s="255"/>
      <c r="E1474" s="255"/>
      <c r="F1474" s="258"/>
      <c r="G1474" s="255"/>
      <c r="H1474" s="255"/>
      <c r="I1474" s="250"/>
      <c r="J1474" s="255"/>
      <c r="K1474" s="255"/>
      <c r="L1474" s="250"/>
      <c r="M1474" s="255"/>
      <c r="N1474" s="277"/>
      <c r="O1474" s="329"/>
      <c r="P1474" s="402">
        <f t="shared" ref="P1474:Q1474" si="1472">IF(B1474=0,0,IF(YEAR(B1474)=$Q$1,MONTH(B1474)-$P$1+1,(YEAR(B1474)-$Q$1)*12-$P$1+1+MONTH(B1474)))</f>
        <v>0</v>
      </c>
      <c r="Q1474" s="402">
        <f t="shared" si="1472"/>
        <v>0</v>
      </c>
      <c r="R1474" s="356" t="e">
        <f t="shared" si="1325"/>
        <v>#N/A</v>
      </c>
      <c r="S1474" s="356" t="str">
        <f>IF(D1474="","",IF(OR(D1474=Plano!$A$1,D1474=Plano!$B$1),"entrada","saída"))</f>
        <v/>
      </c>
      <c r="T1474" s="345"/>
      <c r="U1474" s="345"/>
      <c r="V1474" s="269"/>
      <c r="W1474" s="269"/>
    </row>
    <row r="1475" spans="1:23" ht="120" customHeight="1" x14ac:dyDescent="0.2">
      <c r="A1475" s="403" t="str">
        <f t="shared" si="0"/>
        <v/>
      </c>
      <c r="B1475" s="278"/>
      <c r="C1475" s="256"/>
      <c r="D1475" s="255"/>
      <c r="E1475" s="255"/>
      <c r="F1475" s="258"/>
      <c r="G1475" s="255"/>
      <c r="H1475" s="255"/>
      <c r="I1475" s="250"/>
      <c r="J1475" s="255"/>
      <c r="K1475" s="255"/>
      <c r="L1475" s="250"/>
      <c r="M1475" s="255"/>
      <c r="N1475" s="277"/>
      <c r="O1475" s="329"/>
      <c r="P1475" s="402">
        <f t="shared" ref="P1475:Q1475" si="1473">IF(B1475=0,0,IF(YEAR(B1475)=$Q$1,MONTH(B1475)-$P$1+1,(YEAR(B1475)-$Q$1)*12-$P$1+1+MONTH(B1475)))</f>
        <v>0</v>
      </c>
      <c r="Q1475" s="402">
        <f t="shared" si="1473"/>
        <v>0</v>
      </c>
      <c r="R1475" s="356" t="e">
        <f t="shared" si="1325"/>
        <v>#N/A</v>
      </c>
      <c r="S1475" s="356" t="str">
        <f>IF(D1475="","",IF(OR(D1475=Plano!$A$1,D1475=Plano!$B$1),"entrada","saída"))</f>
        <v/>
      </c>
      <c r="T1475" s="345"/>
      <c r="U1475" s="345"/>
      <c r="V1475" s="269"/>
      <c r="W1475" s="269"/>
    </row>
    <row r="1476" spans="1:23" ht="120" customHeight="1" x14ac:dyDescent="0.2">
      <c r="A1476" s="403" t="str">
        <f t="shared" si="0"/>
        <v/>
      </c>
      <c r="B1476" s="278"/>
      <c r="C1476" s="256"/>
      <c r="D1476" s="255"/>
      <c r="E1476" s="255"/>
      <c r="F1476" s="258"/>
      <c r="G1476" s="255"/>
      <c r="H1476" s="255"/>
      <c r="I1476" s="250"/>
      <c r="J1476" s="255"/>
      <c r="K1476" s="255"/>
      <c r="L1476" s="250"/>
      <c r="M1476" s="255"/>
      <c r="N1476" s="277"/>
      <c r="O1476" s="329"/>
      <c r="P1476" s="402">
        <f t="shared" ref="P1476:Q1476" si="1474">IF(B1476=0,0,IF(YEAR(B1476)=$Q$1,MONTH(B1476)-$P$1+1,(YEAR(B1476)-$Q$1)*12-$P$1+1+MONTH(B1476)))</f>
        <v>0</v>
      </c>
      <c r="Q1476" s="402">
        <f t="shared" si="1474"/>
        <v>0</v>
      </c>
      <c r="R1476" s="356" t="e">
        <f t="shared" si="1325"/>
        <v>#N/A</v>
      </c>
      <c r="S1476" s="356" t="str">
        <f>IF(D1476="","",IF(OR(D1476=Plano!$A$1,D1476=Plano!$B$1),"entrada","saída"))</f>
        <v/>
      </c>
      <c r="T1476" s="345"/>
      <c r="U1476" s="345"/>
      <c r="V1476" s="269"/>
      <c r="W1476" s="269"/>
    </row>
    <row r="1477" spans="1:23" ht="120" customHeight="1" x14ac:dyDescent="0.2">
      <c r="A1477" s="403" t="str">
        <f t="shared" si="0"/>
        <v/>
      </c>
      <c r="B1477" s="278"/>
      <c r="C1477" s="256"/>
      <c r="D1477" s="255"/>
      <c r="E1477" s="255"/>
      <c r="F1477" s="258"/>
      <c r="G1477" s="255"/>
      <c r="H1477" s="255"/>
      <c r="I1477" s="250"/>
      <c r="J1477" s="255"/>
      <c r="K1477" s="255"/>
      <c r="L1477" s="250"/>
      <c r="M1477" s="255"/>
      <c r="N1477" s="277"/>
      <c r="O1477" s="329"/>
      <c r="P1477" s="402">
        <f t="shared" ref="P1477:Q1477" si="1475">IF(B1477=0,0,IF(YEAR(B1477)=$Q$1,MONTH(B1477)-$P$1+1,(YEAR(B1477)-$Q$1)*12-$P$1+1+MONTH(B1477)))</f>
        <v>0</v>
      </c>
      <c r="Q1477" s="402">
        <f t="shared" si="1475"/>
        <v>0</v>
      </c>
      <c r="R1477" s="356" t="e">
        <f t="shared" si="1325"/>
        <v>#N/A</v>
      </c>
      <c r="S1477" s="356" t="str">
        <f>IF(D1477="","",IF(OR(D1477=Plano!$A$1,D1477=Plano!$B$1),"entrada","saída"))</f>
        <v/>
      </c>
      <c r="T1477" s="345"/>
      <c r="U1477" s="345"/>
      <c r="V1477" s="269"/>
      <c r="W1477" s="269"/>
    </row>
    <row r="1478" spans="1:23" ht="120" customHeight="1" x14ac:dyDescent="0.2">
      <c r="A1478" s="403" t="str">
        <f t="shared" si="0"/>
        <v/>
      </c>
      <c r="B1478" s="278"/>
      <c r="C1478" s="256"/>
      <c r="D1478" s="255"/>
      <c r="E1478" s="255"/>
      <c r="F1478" s="258"/>
      <c r="G1478" s="255"/>
      <c r="H1478" s="255"/>
      <c r="I1478" s="250"/>
      <c r="J1478" s="255"/>
      <c r="K1478" s="255"/>
      <c r="L1478" s="250"/>
      <c r="M1478" s="255"/>
      <c r="N1478" s="277"/>
      <c r="O1478" s="329"/>
      <c r="P1478" s="402">
        <f t="shared" ref="P1478:Q1478" si="1476">IF(B1478=0,0,IF(YEAR(B1478)=$Q$1,MONTH(B1478)-$P$1+1,(YEAR(B1478)-$Q$1)*12-$P$1+1+MONTH(B1478)))</f>
        <v>0</v>
      </c>
      <c r="Q1478" s="402">
        <f t="shared" si="1476"/>
        <v>0</v>
      </c>
      <c r="R1478" s="356" t="e">
        <f t="shared" si="1325"/>
        <v>#N/A</v>
      </c>
      <c r="S1478" s="356" t="str">
        <f>IF(D1478="","",IF(OR(D1478=Plano!$A$1,D1478=Plano!$B$1),"entrada","saída"))</f>
        <v/>
      </c>
      <c r="T1478" s="345"/>
      <c r="U1478" s="345"/>
      <c r="V1478" s="269"/>
      <c r="W1478" s="269"/>
    </row>
    <row r="1479" spans="1:23" ht="120" customHeight="1" x14ac:dyDescent="0.2">
      <c r="A1479" s="403" t="str">
        <f t="shared" si="0"/>
        <v/>
      </c>
      <c r="B1479" s="278"/>
      <c r="C1479" s="256"/>
      <c r="D1479" s="255"/>
      <c r="E1479" s="255"/>
      <c r="F1479" s="258"/>
      <c r="G1479" s="255"/>
      <c r="H1479" s="255"/>
      <c r="I1479" s="250"/>
      <c r="J1479" s="255"/>
      <c r="K1479" s="255"/>
      <c r="L1479" s="250"/>
      <c r="M1479" s="255"/>
      <c r="N1479" s="277"/>
      <c r="O1479" s="329"/>
      <c r="P1479" s="402">
        <f t="shared" ref="P1479:Q1479" si="1477">IF(B1479=0,0,IF(YEAR(B1479)=$Q$1,MONTH(B1479)-$P$1+1,(YEAR(B1479)-$Q$1)*12-$P$1+1+MONTH(B1479)))</f>
        <v>0</v>
      </c>
      <c r="Q1479" s="402">
        <f t="shared" si="1477"/>
        <v>0</v>
      </c>
      <c r="R1479" s="356" t="e">
        <f t="shared" si="1325"/>
        <v>#N/A</v>
      </c>
      <c r="S1479" s="356" t="str">
        <f>IF(D1479="","",IF(OR(D1479=Plano!$A$1,D1479=Plano!$B$1),"entrada","saída"))</f>
        <v/>
      </c>
      <c r="T1479" s="345"/>
      <c r="U1479" s="345"/>
      <c r="V1479" s="269"/>
      <c r="W1479" s="269"/>
    </row>
    <row r="1480" spans="1:23" ht="120" customHeight="1" x14ac:dyDescent="0.2">
      <c r="A1480" s="403" t="str">
        <f t="shared" si="0"/>
        <v/>
      </c>
      <c r="B1480" s="278"/>
      <c r="C1480" s="256"/>
      <c r="D1480" s="255"/>
      <c r="E1480" s="255"/>
      <c r="F1480" s="258"/>
      <c r="G1480" s="255"/>
      <c r="H1480" s="255"/>
      <c r="I1480" s="250"/>
      <c r="J1480" s="255"/>
      <c r="K1480" s="255"/>
      <c r="L1480" s="250"/>
      <c r="M1480" s="255"/>
      <c r="N1480" s="277"/>
      <c r="O1480" s="329"/>
      <c r="P1480" s="402">
        <f t="shared" ref="P1480:Q1480" si="1478">IF(B1480=0,0,IF(YEAR(B1480)=$Q$1,MONTH(B1480)-$P$1+1,(YEAR(B1480)-$Q$1)*12-$P$1+1+MONTH(B1480)))</f>
        <v>0</v>
      </c>
      <c r="Q1480" s="402">
        <f t="shared" si="1478"/>
        <v>0</v>
      </c>
      <c r="R1480" s="356" t="e">
        <f t="shared" si="1325"/>
        <v>#N/A</v>
      </c>
      <c r="S1480" s="356" t="str">
        <f>IF(D1480="","",IF(OR(D1480=Plano!$A$1,D1480=Plano!$B$1),"entrada","saída"))</f>
        <v/>
      </c>
      <c r="T1480" s="345"/>
      <c r="U1480" s="345"/>
      <c r="V1480" s="269"/>
      <c r="W1480" s="269"/>
    </row>
    <row r="1481" spans="1:23" ht="120" customHeight="1" x14ac:dyDescent="0.2">
      <c r="A1481" s="403" t="str">
        <f t="shared" si="0"/>
        <v/>
      </c>
      <c r="B1481" s="278"/>
      <c r="C1481" s="256"/>
      <c r="D1481" s="255"/>
      <c r="E1481" s="255"/>
      <c r="F1481" s="258"/>
      <c r="G1481" s="255"/>
      <c r="H1481" s="255"/>
      <c r="I1481" s="250"/>
      <c r="J1481" s="255"/>
      <c r="K1481" s="255"/>
      <c r="L1481" s="250"/>
      <c r="M1481" s="255"/>
      <c r="N1481" s="277"/>
      <c r="O1481" s="329"/>
      <c r="P1481" s="402">
        <f t="shared" ref="P1481:Q1481" si="1479">IF(B1481=0,0,IF(YEAR(B1481)=$Q$1,MONTH(B1481)-$P$1+1,(YEAR(B1481)-$Q$1)*12-$P$1+1+MONTH(B1481)))</f>
        <v>0</v>
      </c>
      <c r="Q1481" s="402">
        <f t="shared" si="1479"/>
        <v>0</v>
      </c>
      <c r="R1481" s="356" t="e">
        <f t="shared" si="1325"/>
        <v>#N/A</v>
      </c>
      <c r="S1481" s="356" t="str">
        <f>IF(D1481="","",IF(OR(D1481=Plano!$A$1,D1481=Plano!$B$1),"entrada","saída"))</f>
        <v/>
      </c>
      <c r="T1481" s="345"/>
      <c r="U1481" s="345"/>
      <c r="V1481" s="269"/>
      <c r="W1481" s="269"/>
    </row>
    <row r="1482" spans="1:23" ht="120" customHeight="1" x14ac:dyDescent="0.2">
      <c r="A1482" s="403" t="str">
        <f t="shared" si="0"/>
        <v/>
      </c>
      <c r="B1482" s="278"/>
      <c r="C1482" s="256"/>
      <c r="D1482" s="255"/>
      <c r="E1482" s="255"/>
      <c r="F1482" s="258"/>
      <c r="G1482" s="255"/>
      <c r="H1482" s="255"/>
      <c r="I1482" s="250"/>
      <c r="J1482" s="255"/>
      <c r="K1482" s="255"/>
      <c r="L1482" s="250"/>
      <c r="M1482" s="255"/>
      <c r="N1482" s="277"/>
      <c r="O1482" s="329"/>
      <c r="P1482" s="402">
        <f t="shared" ref="P1482:Q1482" si="1480">IF(B1482=0,0,IF(YEAR(B1482)=$Q$1,MONTH(B1482)-$P$1+1,(YEAR(B1482)-$Q$1)*12-$P$1+1+MONTH(B1482)))</f>
        <v>0</v>
      </c>
      <c r="Q1482" s="402">
        <f t="shared" si="1480"/>
        <v>0</v>
      </c>
      <c r="R1482" s="356" t="e">
        <f t="shared" si="1325"/>
        <v>#N/A</v>
      </c>
      <c r="S1482" s="356" t="str">
        <f>IF(D1482="","",IF(OR(D1482=Plano!$A$1,D1482=Plano!$B$1),"entrada","saída"))</f>
        <v/>
      </c>
      <c r="T1482" s="345"/>
      <c r="U1482" s="345"/>
      <c r="V1482" s="269"/>
      <c r="W1482" s="269"/>
    </row>
    <row r="1483" spans="1:23" ht="120" customHeight="1" x14ac:dyDescent="0.2">
      <c r="A1483" s="403" t="str">
        <f t="shared" si="0"/>
        <v/>
      </c>
      <c r="B1483" s="278"/>
      <c r="C1483" s="256"/>
      <c r="D1483" s="255"/>
      <c r="E1483" s="255"/>
      <c r="F1483" s="258"/>
      <c r="G1483" s="255"/>
      <c r="H1483" s="255"/>
      <c r="I1483" s="250"/>
      <c r="J1483" s="255"/>
      <c r="K1483" s="255"/>
      <c r="L1483" s="250"/>
      <c r="M1483" s="255"/>
      <c r="N1483" s="277"/>
      <c r="O1483" s="329"/>
      <c r="P1483" s="402">
        <f t="shared" ref="P1483:Q1483" si="1481">IF(B1483=0,0,IF(YEAR(B1483)=$Q$1,MONTH(B1483)-$P$1+1,(YEAR(B1483)-$Q$1)*12-$P$1+1+MONTH(B1483)))</f>
        <v>0</v>
      </c>
      <c r="Q1483" s="402">
        <f t="shared" si="1481"/>
        <v>0</v>
      </c>
      <c r="R1483" s="356" t="e">
        <f t="shared" si="1325"/>
        <v>#N/A</v>
      </c>
      <c r="S1483" s="356" t="str">
        <f>IF(D1483="","",IF(OR(D1483=Plano!$A$1,D1483=Plano!$B$1),"entrada","saída"))</f>
        <v/>
      </c>
      <c r="T1483" s="345"/>
      <c r="U1483" s="345"/>
      <c r="V1483" s="269"/>
      <c r="W1483" s="269"/>
    </row>
    <row r="1484" spans="1:23" ht="120" customHeight="1" x14ac:dyDescent="0.2">
      <c r="A1484" s="403" t="str">
        <f t="shared" si="0"/>
        <v/>
      </c>
      <c r="B1484" s="278"/>
      <c r="C1484" s="256"/>
      <c r="D1484" s="255"/>
      <c r="E1484" s="255"/>
      <c r="F1484" s="258"/>
      <c r="G1484" s="255"/>
      <c r="H1484" s="255"/>
      <c r="I1484" s="250"/>
      <c r="J1484" s="255"/>
      <c r="K1484" s="255"/>
      <c r="L1484" s="250"/>
      <c r="M1484" s="255"/>
      <c r="N1484" s="277"/>
      <c r="O1484" s="329"/>
      <c r="P1484" s="402">
        <f t="shared" ref="P1484:Q1484" si="1482">IF(B1484=0,0,IF(YEAR(B1484)=$Q$1,MONTH(B1484)-$P$1+1,(YEAR(B1484)-$Q$1)*12-$P$1+1+MONTH(B1484)))</f>
        <v>0</v>
      </c>
      <c r="Q1484" s="402">
        <f t="shared" si="1482"/>
        <v>0</v>
      </c>
      <c r="R1484" s="356" t="e">
        <f t="shared" si="1325"/>
        <v>#N/A</v>
      </c>
      <c r="S1484" s="356" t="str">
        <f>IF(D1484="","",IF(OR(D1484=Plano!$A$1,D1484=Plano!$B$1),"entrada","saída"))</f>
        <v/>
      </c>
      <c r="T1484" s="345"/>
      <c r="U1484" s="345"/>
      <c r="V1484" s="269"/>
      <c r="W1484" s="269"/>
    </row>
    <row r="1485" spans="1:23" ht="120" customHeight="1" x14ac:dyDescent="0.2">
      <c r="A1485" s="403" t="str">
        <f t="shared" si="0"/>
        <v/>
      </c>
      <c r="B1485" s="278"/>
      <c r="C1485" s="256"/>
      <c r="D1485" s="255"/>
      <c r="E1485" s="255"/>
      <c r="F1485" s="258"/>
      <c r="G1485" s="255"/>
      <c r="H1485" s="255"/>
      <c r="I1485" s="250"/>
      <c r="J1485" s="255"/>
      <c r="K1485" s="255"/>
      <c r="L1485" s="250"/>
      <c r="M1485" s="255"/>
      <c r="N1485" s="277"/>
      <c r="O1485" s="329"/>
      <c r="P1485" s="402">
        <f t="shared" ref="P1485:Q1485" si="1483">IF(B1485=0,0,IF(YEAR(B1485)=$Q$1,MONTH(B1485)-$P$1+1,(YEAR(B1485)-$Q$1)*12-$P$1+1+MONTH(B1485)))</f>
        <v>0</v>
      </c>
      <c r="Q1485" s="402">
        <f t="shared" si="1483"/>
        <v>0</v>
      </c>
      <c r="R1485" s="356" t="e">
        <f t="shared" si="1325"/>
        <v>#N/A</v>
      </c>
      <c r="S1485" s="356" t="str">
        <f>IF(D1485="","",IF(OR(D1485=Plano!$A$1,D1485=Plano!$B$1),"entrada","saída"))</f>
        <v/>
      </c>
      <c r="T1485" s="345"/>
      <c r="U1485" s="345"/>
      <c r="V1485" s="269"/>
      <c r="W1485" s="269"/>
    </row>
    <row r="1486" spans="1:23" ht="120" customHeight="1" x14ac:dyDescent="0.2">
      <c r="A1486" s="403" t="str">
        <f t="shared" si="0"/>
        <v/>
      </c>
      <c r="B1486" s="278"/>
      <c r="C1486" s="256"/>
      <c r="D1486" s="255"/>
      <c r="E1486" s="255"/>
      <c r="F1486" s="258"/>
      <c r="G1486" s="255"/>
      <c r="H1486" s="255"/>
      <c r="I1486" s="250"/>
      <c r="J1486" s="255"/>
      <c r="K1486" s="255"/>
      <c r="L1486" s="250"/>
      <c r="M1486" s="255"/>
      <c r="N1486" s="277"/>
      <c r="O1486" s="329"/>
      <c r="P1486" s="402">
        <f t="shared" ref="P1486:Q1486" si="1484">IF(B1486=0,0,IF(YEAR(B1486)=$Q$1,MONTH(B1486)-$P$1+1,(YEAR(B1486)-$Q$1)*12-$P$1+1+MONTH(B1486)))</f>
        <v>0</v>
      </c>
      <c r="Q1486" s="402">
        <f t="shared" si="1484"/>
        <v>0</v>
      </c>
      <c r="R1486" s="356" t="e">
        <f t="shared" si="1325"/>
        <v>#N/A</v>
      </c>
      <c r="S1486" s="356" t="str">
        <f>IF(D1486="","",IF(OR(D1486=Plano!$A$1,D1486=Plano!$B$1),"entrada","saída"))</f>
        <v/>
      </c>
      <c r="T1486" s="345"/>
      <c r="U1486" s="345"/>
      <c r="V1486" s="269"/>
      <c r="W1486" s="269"/>
    </row>
    <row r="1487" spans="1:23" ht="120" customHeight="1" x14ac:dyDescent="0.2">
      <c r="A1487" s="403" t="str">
        <f t="shared" si="0"/>
        <v/>
      </c>
      <c r="B1487" s="278"/>
      <c r="C1487" s="256"/>
      <c r="D1487" s="255"/>
      <c r="E1487" s="255"/>
      <c r="F1487" s="258"/>
      <c r="G1487" s="255"/>
      <c r="H1487" s="255"/>
      <c r="I1487" s="250"/>
      <c r="J1487" s="255"/>
      <c r="K1487" s="255"/>
      <c r="L1487" s="250"/>
      <c r="M1487" s="255"/>
      <c r="N1487" s="277"/>
      <c r="O1487" s="329"/>
      <c r="P1487" s="402">
        <f t="shared" ref="P1487:Q1487" si="1485">IF(B1487=0,0,IF(YEAR(B1487)=$Q$1,MONTH(B1487)-$P$1+1,(YEAR(B1487)-$Q$1)*12-$P$1+1+MONTH(B1487)))</f>
        <v>0</v>
      </c>
      <c r="Q1487" s="402">
        <f t="shared" si="1485"/>
        <v>0</v>
      </c>
      <c r="R1487" s="356" t="e">
        <f t="shared" si="1325"/>
        <v>#N/A</v>
      </c>
      <c r="S1487" s="356" t="str">
        <f>IF(D1487="","",IF(OR(D1487=Plano!$A$1,D1487=Plano!$B$1),"entrada","saída"))</f>
        <v/>
      </c>
      <c r="T1487" s="345"/>
      <c r="U1487" s="345"/>
      <c r="V1487" s="269"/>
      <c r="W1487" s="269"/>
    </row>
    <row r="1488" spans="1:23" ht="120" customHeight="1" x14ac:dyDescent="0.2">
      <c r="A1488" s="403" t="str">
        <f t="shared" si="0"/>
        <v/>
      </c>
      <c r="B1488" s="278"/>
      <c r="C1488" s="256"/>
      <c r="D1488" s="255"/>
      <c r="E1488" s="255"/>
      <c r="F1488" s="258"/>
      <c r="G1488" s="255"/>
      <c r="H1488" s="255"/>
      <c r="I1488" s="250"/>
      <c r="J1488" s="255"/>
      <c r="K1488" s="255"/>
      <c r="L1488" s="250"/>
      <c r="M1488" s="255"/>
      <c r="N1488" s="277"/>
      <c r="O1488" s="329"/>
      <c r="P1488" s="402">
        <f t="shared" ref="P1488:Q1488" si="1486">IF(B1488=0,0,IF(YEAR(B1488)=$Q$1,MONTH(B1488)-$P$1+1,(YEAR(B1488)-$Q$1)*12-$P$1+1+MONTH(B1488)))</f>
        <v>0</v>
      </c>
      <c r="Q1488" s="402">
        <f t="shared" si="1486"/>
        <v>0</v>
      </c>
      <c r="R1488" s="356" t="e">
        <f t="shared" si="1325"/>
        <v>#N/A</v>
      </c>
      <c r="S1488" s="356" t="str">
        <f>IF(D1488="","",IF(OR(D1488=Plano!$A$1,D1488=Plano!$B$1),"entrada","saída"))</f>
        <v/>
      </c>
      <c r="T1488" s="345"/>
      <c r="U1488" s="345"/>
      <c r="V1488" s="269"/>
      <c r="W1488" s="269"/>
    </row>
    <row r="1489" spans="1:23" ht="120" customHeight="1" x14ac:dyDescent="0.2">
      <c r="A1489" s="403" t="str">
        <f t="shared" si="0"/>
        <v/>
      </c>
      <c r="B1489" s="278"/>
      <c r="C1489" s="256"/>
      <c r="D1489" s="255"/>
      <c r="E1489" s="255"/>
      <c r="F1489" s="258"/>
      <c r="G1489" s="255"/>
      <c r="H1489" s="255"/>
      <c r="I1489" s="250"/>
      <c r="J1489" s="255"/>
      <c r="K1489" s="255"/>
      <c r="L1489" s="250"/>
      <c r="M1489" s="255"/>
      <c r="N1489" s="277"/>
      <c r="O1489" s="329"/>
      <c r="P1489" s="402">
        <f t="shared" ref="P1489:Q1489" si="1487">IF(B1489=0,0,IF(YEAR(B1489)=$Q$1,MONTH(B1489)-$P$1+1,(YEAR(B1489)-$Q$1)*12-$P$1+1+MONTH(B1489)))</f>
        <v>0</v>
      </c>
      <c r="Q1489" s="402">
        <f t="shared" si="1487"/>
        <v>0</v>
      </c>
      <c r="R1489" s="356" t="e">
        <f t="shared" si="1325"/>
        <v>#N/A</v>
      </c>
      <c r="S1489" s="356" t="str">
        <f>IF(D1489="","",IF(OR(D1489=Plano!$A$1,D1489=Plano!$B$1),"entrada","saída"))</f>
        <v/>
      </c>
      <c r="T1489" s="345"/>
      <c r="U1489" s="345"/>
      <c r="V1489" s="269"/>
      <c r="W1489" s="269"/>
    </row>
    <row r="1490" spans="1:23" ht="120" customHeight="1" x14ac:dyDescent="0.2">
      <c r="A1490" s="403" t="str">
        <f t="shared" si="0"/>
        <v/>
      </c>
      <c r="B1490" s="278"/>
      <c r="C1490" s="256"/>
      <c r="D1490" s="255"/>
      <c r="E1490" s="255"/>
      <c r="F1490" s="258"/>
      <c r="G1490" s="255"/>
      <c r="H1490" s="255"/>
      <c r="I1490" s="250"/>
      <c r="J1490" s="255"/>
      <c r="K1490" s="255"/>
      <c r="L1490" s="250"/>
      <c r="M1490" s="255"/>
      <c r="N1490" s="277"/>
      <c r="O1490" s="329"/>
      <c r="P1490" s="402">
        <f t="shared" ref="P1490:Q1490" si="1488">IF(B1490=0,0,IF(YEAR(B1490)=$Q$1,MONTH(B1490)-$P$1+1,(YEAR(B1490)-$Q$1)*12-$P$1+1+MONTH(B1490)))</f>
        <v>0</v>
      </c>
      <c r="Q1490" s="402">
        <f t="shared" si="1488"/>
        <v>0</v>
      </c>
      <c r="R1490" s="356" t="e">
        <f t="shared" si="1325"/>
        <v>#N/A</v>
      </c>
      <c r="S1490" s="356" t="str">
        <f>IF(D1490="","",IF(OR(D1490=Plano!$A$1,D1490=Plano!$B$1),"entrada","saída"))</f>
        <v/>
      </c>
      <c r="T1490" s="345"/>
      <c r="U1490" s="345"/>
      <c r="V1490" s="269"/>
      <c r="W1490" s="269"/>
    </row>
    <row r="1491" spans="1:23" ht="120" customHeight="1" x14ac:dyDescent="0.2">
      <c r="A1491" s="403" t="str">
        <f t="shared" si="0"/>
        <v/>
      </c>
      <c r="B1491" s="278"/>
      <c r="C1491" s="256"/>
      <c r="D1491" s="255"/>
      <c r="E1491" s="255"/>
      <c r="F1491" s="258"/>
      <c r="G1491" s="255"/>
      <c r="H1491" s="255"/>
      <c r="I1491" s="250"/>
      <c r="J1491" s="255"/>
      <c r="K1491" s="255"/>
      <c r="L1491" s="250"/>
      <c r="M1491" s="255"/>
      <c r="N1491" s="277"/>
      <c r="O1491" s="329"/>
      <c r="P1491" s="402">
        <f t="shared" ref="P1491:Q1491" si="1489">IF(B1491=0,0,IF(YEAR(B1491)=$Q$1,MONTH(B1491)-$P$1+1,(YEAR(B1491)-$Q$1)*12-$P$1+1+MONTH(B1491)))</f>
        <v>0</v>
      </c>
      <c r="Q1491" s="402">
        <f t="shared" si="1489"/>
        <v>0</v>
      </c>
      <c r="R1491" s="356" t="e">
        <f t="shared" si="1325"/>
        <v>#N/A</v>
      </c>
      <c r="S1491" s="356" t="str">
        <f>IF(D1491="","",IF(OR(D1491=Plano!$A$1,D1491=Plano!$B$1),"entrada","saída"))</f>
        <v/>
      </c>
      <c r="T1491" s="345"/>
      <c r="U1491" s="345"/>
      <c r="V1491" s="269"/>
      <c r="W1491" s="269"/>
    </row>
    <row r="1492" spans="1:23" ht="120" customHeight="1" x14ac:dyDescent="0.2">
      <c r="A1492" s="403" t="str">
        <f t="shared" si="0"/>
        <v/>
      </c>
      <c r="B1492" s="278"/>
      <c r="C1492" s="256"/>
      <c r="D1492" s="255"/>
      <c r="E1492" s="255"/>
      <c r="F1492" s="258"/>
      <c r="G1492" s="255"/>
      <c r="H1492" s="255"/>
      <c r="I1492" s="250"/>
      <c r="J1492" s="255"/>
      <c r="K1492" s="255"/>
      <c r="L1492" s="250"/>
      <c r="M1492" s="255"/>
      <c r="N1492" s="277"/>
      <c r="O1492" s="329"/>
      <c r="P1492" s="402">
        <f t="shared" ref="P1492:Q1492" si="1490">IF(B1492=0,0,IF(YEAR(B1492)=$Q$1,MONTH(B1492)-$P$1+1,(YEAR(B1492)-$Q$1)*12-$P$1+1+MONTH(B1492)))</f>
        <v>0</v>
      </c>
      <c r="Q1492" s="402">
        <f t="shared" si="1490"/>
        <v>0</v>
      </c>
      <c r="R1492" s="356" t="e">
        <f t="shared" si="1325"/>
        <v>#N/A</v>
      </c>
      <c r="S1492" s="356" t="str">
        <f>IF(D1492="","",IF(OR(D1492=Plano!$A$1,D1492=Plano!$B$1),"entrada","saída"))</f>
        <v/>
      </c>
      <c r="T1492" s="345"/>
      <c r="U1492" s="345"/>
      <c r="V1492" s="269"/>
      <c r="W1492" s="269"/>
    </row>
    <row r="1493" spans="1:23" ht="120" customHeight="1" x14ac:dyDescent="0.2">
      <c r="A1493" s="403" t="str">
        <f t="shared" si="0"/>
        <v/>
      </c>
      <c r="B1493" s="278"/>
      <c r="C1493" s="256"/>
      <c r="D1493" s="255"/>
      <c r="E1493" s="255"/>
      <c r="F1493" s="258"/>
      <c r="G1493" s="255"/>
      <c r="H1493" s="255"/>
      <c r="I1493" s="250"/>
      <c r="J1493" s="255"/>
      <c r="K1493" s="255"/>
      <c r="L1493" s="250"/>
      <c r="M1493" s="255"/>
      <c r="N1493" s="277"/>
      <c r="O1493" s="329"/>
      <c r="P1493" s="402">
        <f t="shared" ref="P1493:Q1493" si="1491">IF(B1493=0,0,IF(YEAR(B1493)=$Q$1,MONTH(B1493)-$P$1+1,(YEAR(B1493)-$Q$1)*12-$P$1+1+MONTH(B1493)))</f>
        <v>0</v>
      </c>
      <c r="Q1493" s="402">
        <f t="shared" si="1491"/>
        <v>0</v>
      </c>
      <c r="R1493" s="356" t="e">
        <f t="shared" si="1325"/>
        <v>#N/A</v>
      </c>
      <c r="S1493" s="356" t="str">
        <f>IF(D1493="","",IF(OR(D1493=Plano!$A$1,D1493=Plano!$B$1),"entrada","saída"))</f>
        <v/>
      </c>
      <c r="T1493" s="345"/>
      <c r="U1493" s="345"/>
      <c r="V1493" s="269"/>
      <c r="W1493" s="269"/>
    </row>
    <row r="1494" spans="1:23" ht="120" customHeight="1" x14ac:dyDescent="0.2">
      <c r="A1494" s="403" t="str">
        <f t="shared" si="0"/>
        <v/>
      </c>
      <c r="B1494" s="278"/>
      <c r="C1494" s="256"/>
      <c r="D1494" s="255"/>
      <c r="E1494" s="255"/>
      <c r="F1494" s="258"/>
      <c r="G1494" s="255"/>
      <c r="H1494" s="255"/>
      <c r="I1494" s="250"/>
      <c r="J1494" s="255"/>
      <c r="K1494" s="255"/>
      <c r="L1494" s="250"/>
      <c r="M1494" s="255"/>
      <c r="N1494" s="277"/>
      <c r="O1494" s="329"/>
      <c r="P1494" s="402">
        <f t="shared" ref="P1494:Q1494" si="1492">IF(B1494=0,0,IF(YEAR(B1494)=$Q$1,MONTH(B1494)-$P$1+1,(YEAR(B1494)-$Q$1)*12-$P$1+1+MONTH(B1494)))</f>
        <v>0</v>
      </c>
      <c r="Q1494" s="402">
        <f t="shared" si="1492"/>
        <v>0</v>
      </c>
      <c r="R1494" s="356" t="e">
        <f t="shared" si="1325"/>
        <v>#N/A</v>
      </c>
      <c r="S1494" s="356" t="str">
        <f>IF(D1494="","",IF(OR(D1494=Plano!$A$1,D1494=Plano!$B$1),"entrada","saída"))</f>
        <v/>
      </c>
      <c r="T1494" s="345"/>
      <c r="U1494" s="345"/>
      <c r="V1494" s="269"/>
      <c r="W1494" s="269"/>
    </row>
    <row r="1495" spans="1:23" ht="120" customHeight="1" x14ac:dyDescent="0.2">
      <c r="A1495" s="403" t="str">
        <f t="shared" si="0"/>
        <v/>
      </c>
      <c r="B1495" s="278"/>
      <c r="C1495" s="256"/>
      <c r="D1495" s="255"/>
      <c r="E1495" s="255"/>
      <c r="F1495" s="258"/>
      <c r="G1495" s="255"/>
      <c r="H1495" s="255"/>
      <c r="I1495" s="250"/>
      <c r="J1495" s="255"/>
      <c r="K1495" s="255"/>
      <c r="L1495" s="250"/>
      <c r="M1495" s="255"/>
      <c r="N1495" s="277"/>
      <c r="O1495" s="329"/>
      <c r="P1495" s="402">
        <f t="shared" ref="P1495:Q1495" si="1493">IF(B1495=0,0,IF(YEAR(B1495)=$Q$1,MONTH(B1495)-$P$1+1,(YEAR(B1495)-$Q$1)*12-$P$1+1+MONTH(B1495)))</f>
        <v>0</v>
      </c>
      <c r="Q1495" s="402">
        <f t="shared" si="1493"/>
        <v>0</v>
      </c>
      <c r="R1495" s="356" t="e">
        <f t="shared" si="1325"/>
        <v>#N/A</v>
      </c>
      <c r="S1495" s="356" t="str">
        <f>IF(D1495="","",IF(OR(D1495=Plano!$A$1,D1495=Plano!$B$1),"entrada","saída"))</f>
        <v/>
      </c>
      <c r="T1495" s="345"/>
      <c r="U1495" s="345"/>
      <c r="V1495" s="269"/>
      <c r="W1495" s="269"/>
    </row>
    <row r="1496" spans="1:23" ht="120" customHeight="1" x14ac:dyDescent="0.2">
      <c r="A1496" s="403" t="str">
        <f t="shared" si="0"/>
        <v/>
      </c>
      <c r="B1496" s="278"/>
      <c r="C1496" s="256"/>
      <c r="D1496" s="255"/>
      <c r="E1496" s="255"/>
      <c r="F1496" s="258"/>
      <c r="G1496" s="255"/>
      <c r="H1496" s="255"/>
      <c r="I1496" s="250"/>
      <c r="J1496" s="255"/>
      <c r="K1496" s="255"/>
      <c r="L1496" s="250"/>
      <c r="M1496" s="255"/>
      <c r="N1496" s="277"/>
      <c r="O1496" s="329"/>
      <c r="P1496" s="402">
        <f t="shared" ref="P1496:Q1496" si="1494">IF(B1496=0,0,IF(YEAR(B1496)=$Q$1,MONTH(B1496)-$P$1+1,(YEAR(B1496)-$Q$1)*12-$P$1+1+MONTH(B1496)))</f>
        <v>0</v>
      </c>
      <c r="Q1496" s="402">
        <f t="shared" si="1494"/>
        <v>0</v>
      </c>
      <c r="R1496" s="356" t="e">
        <f t="shared" si="1325"/>
        <v>#N/A</v>
      </c>
      <c r="S1496" s="356" t="str">
        <f>IF(D1496="","",IF(OR(D1496=Plano!$A$1,D1496=Plano!$B$1),"entrada","saída"))</f>
        <v/>
      </c>
      <c r="T1496" s="345"/>
      <c r="U1496" s="345"/>
      <c r="V1496" s="269"/>
      <c r="W1496" s="269"/>
    </row>
    <row r="1497" spans="1:23" ht="120" customHeight="1" x14ac:dyDescent="0.2">
      <c r="A1497" s="403" t="str">
        <f t="shared" si="0"/>
        <v/>
      </c>
      <c r="B1497" s="278"/>
      <c r="C1497" s="256"/>
      <c r="D1497" s="255"/>
      <c r="E1497" s="255"/>
      <c r="F1497" s="258"/>
      <c r="G1497" s="255"/>
      <c r="H1497" s="255"/>
      <c r="I1497" s="250"/>
      <c r="J1497" s="255"/>
      <c r="K1497" s="255"/>
      <c r="L1497" s="250"/>
      <c r="M1497" s="255"/>
      <c r="N1497" s="277"/>
      <c r="O1497" s="329"/>
      <c r="P1497" s="402">
        <f t="shared" ref="P1497:Q1497" si="1495">IF(B1497=0,0,IF(YEAR(B1497)=$Q$1,MONTH(B1497)-$P$1+1,(YEAR(B1497)-$Q$1)*12-$P$1+1+MONTH(B1497)))</f>
        <v>0</v>
      </c>
      <c r="Q1497" s="402">
        <f t="shared" si="1495"/>
        <v>0</v>
      </c>
      <c r="R1497" s="356" t="e">
        <f t="shared" si="1325"/>
        <v>#N/A</v>
      </c>
      <c r="S1497" s="356" t="str">
        <f>IF(D1497="","",IF(OR(D1497=Plano!$A$1,D1497=Plano!$B$1),"entrada","saída"))</f>
        <v/>
      </c>
      <c r="T1497" s="345"/>
      <c r="U1497" s="345"/>
      <c r="V1497" s="269"/>
      <c r="W1497" s="269"/>
    </row>
    <row r="1498" spans="1:23" ht="120" customHeight="1" x14ac:dyDescent="0.2">
      <c r="A1498" s="403" t="str">
        <f t="shared" si="0"/>
        <v/>
      </c>
      <c r="B1498" s="278"/>
      <c r="C1498" s="256"/>
      <c r="D1498" s="255"/>
      <c r="E1498" s="255"/>
      <c r="F1498" s="258"/>
      <c r="G1498" s="255"/>
      <c r="H1498" s="255"/>
      <c r="I1498" s="250"/>
      <c r="J1498" s="255"/>
      <c r="K1498" s="255"/>
      <c r="L1498" s="250"/>
      <c r="M1498" s="255"/>
      <c r="N1498" s="277"/>
      <c r="O1498" s="329"/>
      <c r="P1498" s="402">
        <f t="shared" ref="P1498:Q1498" si="1496">IF(B1498=0,0,IF(YEAR(B1498)=$Q$1,MONTH(B1498)-$P$1+1,(YEAR(B1498)-$Q$1)*12-$P$1+1+MONTH(B1498)))</f>
        <v>0</v>
      </c>
      <c r="Q1498" s="402">
        <f t="shared" si="1496"/>
        <v>0</v>
      </c>
      <c r="R1498" s="356" t="e">
        <f t="shared" si="1325"/>
        <v>#N/A</v>
      </c>
      <c r="S1498" s="356" t="str">
        <f>IF(D1498="","",IF(OR(D1498=Plano!$A$1,D1498=Plano!$B$1),"entrada","saída"))</f>
        <v/>
      </c>
      <c r="T1498" s="345"/>
      <c r="U1498" s="345"/>
      <c r="V1498" s="269"/>
      <c r="W1498" s="269"/>
    </row>
    <row r="1499" spans="1:23" ht="120" customHeight="1" x14ac:dyDescent="0.2">
      <c r="A1499" s="403" t="str">
        <f t="shared" si="0"/>
        <v/>
      </c>
      <c r="B1499" s="278"/>
      <c r="C1499" s="256"/>
      <c r="D1499" s="255"/>
      <c r="E1499" s="255"/>
      <c r="F1499" s="258"/>
      <c r="G1499" s="255"/>
      <c r="H1499" s="255"/>
      <c r="I1499" s="250"/>
      <c r="J1499" s="255"/>
      <c r="K1499" s="255"/>
      <c r="L1499" s="250"/>
      <c r="M1499" s="255"/>
      <c r="N1499" s="277"/>
      <c r="O1499" s="329"/>
      <c r="P1499" s="402">
        <f t="shared" ref="P1499:Q1499" si="1497">IF(B1499=0,0,IF(YEAR(B1499)=$Q$1,MONTH(B1499)-$P$1+1,(YEAR(B1499)-$Q$1)*12-$P$1+1+MONTH(B1499)))</f>
        <v>0</v>
      </c>
      <c r="Q1499" s="402">
        <f t="shared" si="1497"/>
        <v>0</v>
      </c>
      <c r="R1499" s="356" t="e">
        <f t="shared" si="1325"/>
        <v>#N/A</v>
      </c>
      <c r="S1499" s="356" t="str">
        <f>IF(D1499="","",IF(OR(D1499=Plano!$A$1,D1499=Plano!$B$1),"entrada","saída"))</f>
        <v/>
      </c>
      <c r="T1499" s="345"/>
      <c r="U1499" s="345"/>
      <c r="V1499" s="269"/>
      <c r="W1499" s="269"/>
    </row>
    <row r="1500" spans="1:23" ht="120" customHeight="1" x14ac:dyDescent="0.2">
      <c r="A1500" s="403" t="str">
        <f t="shared" si="0"/>
        <v/>
      </c>
      <c r="B1500" s="278"/>
      <c r="C1500" s="256"/>
      <c r="D1500" s="255"/>
      <c r="E1500" s="255"/>
      <c r="F1500" s="258"/>
      <c r="G1500" s="255"/>
      <c r="H1500" s="255"/>
      <c r="I1500" s="250"/>
      <c r="J1500" s="255"/>
      <c r="K1500" s="255"/>
      <c r="L1500" s="250"/>
      <c r="M1500" s="255"/>
      <c r="N1500" s="277"/>
      <c r="O1500" s="329"/>
      <c r="P1500" s="402">
        <f t="shared" ref="P1500:Q1500" si="1498">IF(B1500=0,0,IF(YEAR(B1500)=$Q$1,MONTH(B1500)-$P$1+1,(YEAR(B1500)-$Q$1)*12-$P$1+1+MONTH(B1500)))</f>
        <v>0</v>
      </c>
      <c r="Q1500" s="402">
        <f t="shared" si="1498"/>
        <v>0</v>
      </c>
      <c r="R1500" s="356" t="e">
        <f t="shared" si="1325"/>
        <v>#N/A</v>
      </c>
      <c r="S1500" s="356" t="str">
        <f>IF(D1500="","",IF(OR(D1500=Plano!$A$1,D1500=Plano!$B$1),"entrada","saída"))</f>
        <v/>
      </c>
      <c r="T1500" s="345"/>
      <c r="U1500" s="345"/>
      <c r="V1500" s="269"/>
      <c r="W1500" s="269"/>
    </row>
    <row r="1501" spans="1:23" ht="120" customHeight="1" x14ac:dyDescent="0.2">
      <c r="A1501" s="403" t="str">
        <f t="shared" si="0"/>
        <v/>
      </c>
      <c r="B1501" s="278"/>
      <c r="C1501" s="256"/>
      <c r="D1501" s="255"/>
      <c r="E1501" s="255"/>
      <c r="F1501" s="258"/>
      <c r="G1501" s="255"/>
      <c r="H1501" s="255"/>
      <c r="I1501" s="250"/>
      <c r="J1501" s="255"/>
      <c r="K1501" s="255"/>
      <c r="L1501" s="250"/>
      <c r="M1501" s="255"/>
      <c r="N1501" s="277"/>
      <c r="O1501" s="329"/>
      <c r="P1501" s="402">
        <f t="shared" ref="P1501:Q1501" si="1499">IF(B1501=0,0,IF(YEAR(B1501)=$Q$1,MONTH(B1501)-$P$1+1,(YEAR(B1501)-$Q$1)*12-$P$1+1+MONTH(B1501)))</f>
        <v>0</v>
      </c>
      <c r="Q1501" s="402">
        <f t="shared" si="1499"/>
        <v>0</v>
      </c>
      <c r="R1501" s="356" t="e">
        <f t="shared" si="1325"/>
        <v>#N/A</v>
      </c>
      <c r="S1501" s="356" t="str">
        <f>IF(D1501="","",IF(OR(D1501=Plano!$A$1,D1501=Plano!$B$1),"entrada","saída"))</f>
        <v/>
      </c>
      <c r="T1501" s="345"/>
      <c r="U1501" s="345"/>
      <c r="V1501" s="269"/>
      <c r="W1501" s="269"/>
    </row>
    <row r="1502" spans="1:23" ht="120" customHeight="1" x14ac:dyDescent="0.2">
      <c r="A1502" s="403" t="str">
        <f t="shared" si="0"/>
        <v/>
      </c>
      <c r="B1502" s="278"/>
      <c r="C1502" s="256"/>
      <c r="D1502" s="255"/>
      <c r="E1502" s="255"/>
      <c r="F1502" s="258"/>
      <c r="G1502" s="255"/>
      <c r="H1502" s="255"/>
      <c r="I1502" s="250"/>
      <c r="J1502" s="255"/>
      <c r="K1502" s="255"/>
      <c r="L1502" s="250"/>
      <c r="M1502" s="255"/>
      <c r="N1502" s="277"/>
      <c r="O1502" s="329"/>
      <c r="P1502" s="402">
        <f t="shared" ref="P1502:Q1502" si="1500">IF(B1502=0,0,IF(YEAR(B1502)=$Q$1,MONTH(B1502)-$P$1+1,(YEAR(B1502)-$Q$1)*12-$P$1+1+MONTH(B1502)))</f>
        <v>0</v>
      </c>
      <c r="Q1502" s="402">
        <f t="shared" si="1500"/>
        <v>0</v>
      </c>
      <c r="R1502" s="356" t="e">
        <f t="shared" si="1325"/>
        <v>#N/A</v>
      </c>
      <c r="S1502" s="356" t="str">
        <f>IF(D1502="","",IF(OR(D1502=Plano!$A$1,D1502=Plano!$B$1),"entrada","saída"))</f>
        <v/>
      </c>
      <c r="T1502" s="345"/>
      <c r="U1502" s="345"/>
      <c r="V1502" s="269"/>
      <c r="W1502" s="269"/>
    </row>
    <row r="1503" spans="1:23" ht="120" customHeight="1" x14ac:dyDescent="0.2">
      <c r="A1503" s="403" t="str">
        <f t="shared" si="0"/>
        <v/>
      </c>
      <c r="B1503" s="278"/>
      <c r="C1503" s="256"/>
      <c r="D1503" s="255"/>
      <c r="E1503" s="255"/>
      <c r="F1503" s="258"/>
      <c r="G1503" s="255"/>
      <c r="H1503" s="255"/>
      <c r="I1503" s="250"/>
      <c r="J1503" s="255"/>
      <c r="K1503" s="255"/>
      <c r="L1503" s="250"/>
      <c r="M1503" s="255"/>
      <c r="N1503" s="277"/>
      <c r="O1503" s="329"/>
      <c r="P1503" s="402">
        <f t="shared" ref="P1503:Q1503" si="1501">IF(B1503=0,0,IF(YEAR(B1503)=$Q$1,MONTH(B1503)-$P$1+1,(YEAR(B1503)-$Q$1)*12-$P$1+1+MONTH(B1503)))</f>
        <v>0</v>
      </c>
      <c r="Q1503" s="402">
        <f t="shared" si="1501"/>
        <v>0</v>
      </c>
      <c r="R1503" s="356" t="e">
        <f t="shared" si="1325"/>
        <v>#N/A</v>
      </c>
      <c r="S1503" s="356" t="str">
        <f>IF(D1503="","",IF(OR(D1503=Plano!$A$1,D1503=Plano!$B$1),"entrada","saída"))</f>
        <v/>
      </c>
      <c r="T1503" s="345"/>
      <c r="U1503" s="345"/>
      <c r="V1503" s="269"/>
      <c r="W1503" s="269"/>
    </row>
    <row r="1504" spans="1:23" ht="120" customHeight="1" x14ac:dyDescent="0.2">
      <c r="A1504" s="403" t="str">
        <f t="shared" si="0"/>
        <v/>
      </c>
      <c r="B1504" s="278"/>
      <c r="C1504" s="256"/>
      <c r="D1504" s="255"/>
      <c r="E1504" s="255"/>
      <c r="F1504" s="258"/>
      <c r="G1504" s="255"/>
      <c r="H1504" s="255"/>
      <c r="I1504" s="250"/>
      <c r="J1504" s="255"/>
      <c r="K1504" s="255"/>
      <c r="L1504" s="250"/>
      <c r="M1504" s="255"/>
      <c r="N1504" s="277"/>
      <c r="O1504" s="329"/>
      <c r="P1504" s="402">
        <f t="shared" ref="P1504:Q1504" si="1502">IF(B1504=0,0,IF(YEAR(B1504)=$Q$1,MONTH(B1504)-$P$1+1,(YEAR(B1504)-$Q$1)*12-$P$1+1+MONTH(B1504)))</f>
        <v>0</v>
      </c>
      <c r="Q1504" s="402">
        <f t="shared" si="1502"/>
        <v>0</v>
      </c>
      <c r="R1504" s="356" t="e">
        <f t="shared" si="1325"/>
        <v>#N/A</v>
      </c>
      <c r="S1504" s="356" t="str">
        <f>IF(D1504="","",IF(OR(D1504=Plano!$A$1,D1504=Plano!$B$1),"entrada","saída"))</f>
        <v/>
      </c>
      <c r="T1504" s="345"/>
      <c r="U1504" s="345"/>
      <c r="V1504" s="269"/>
      <c r="W1504" s="269"/>
    </row>
    <row r="1505" spans="1:23" ht="120" customHeight="1" x14ac:dyDescent="0.2">
      <c r="A1505" s="403" t="str">
        <f t="shared" si="0"/>
        <v/>
      </c>
      <c r="B1505" s="278"/>
      <c r="C1505" s="256"/>
      <c r="D1505" s="255"/>
      <c r="E1505" s="255"/>
      <c r="F1505" s="258"/>
      <c r="G1505" s="255"/>
      <c r="H1505" s="255"/>
      <c r="I1505" s="250"/>
      <c r="J1505" s="255"/>
      <c r="K1505" s="255"/>
      <c r="L1505" s="250"/>
      <c r="M1505" s="255"/>
      <c r="N1505" s="277"/>
      <c r="O1505" s="329"/>
      <c r="P1505" s="402">
        <f t="shared" ref="P1505:Q1505" si="1503">IF(B1505=0,0,IF(YEAR(B1505)=$Q$1,MONTH(B1505)-$P$1+1,(YEAR(B1505)-$Q$1)*12-$P$1+1+MONTH(B1505)))</f>
        <v>0</v>
      </c>
      <c r="Q1505" s="402">
        <f t="shared" si="1503"/>
        <v>0</v>
      </c>
      <c r="R1505" s="356" t="e">
        <f t="shared" si="1325"/>
        <v>#N/A</v>
      </c>
      <c r="S1505" s="356" t="str">
        <f>IF(D1505="","",IF(OR(D1505=Plano!$A$1,D1505=Plano!$B$1),"entrada","saída"))</f>
        <v/>
      </c>
      <c r="T1505" s="345"/>
      <c r="U1505" s="345"/>
      <c r="V1505" s="269"/>
      <c r="W1505" s="269"/>
    </row>
    <row r="1506" spans="1:23" ht="120" customHeight="1" x14ac:dyDescent="0.2">
      <c r="A1506" s="403" t="str">
        <f t="shared" si="0"/>
        <v/>
      </c>
      <c r="B1506" s="278"/>
      <c r="C1506" s="256"/>
      <c r="D1506" s="255"/>
      <c r="E1506" s="255"/>
      <c r="F1506" s="258"/>
      <c r="G1506" s="255"/>
      <c r="H1506" s="255"/>
      <c r="I1506" s="250"/>
      <c r="J1506" s="255"/>
      <c r="K1506" s="255"/>
      <c r="L1506" s="250"/>
      <c r="M1506" s="255"/>
      <c r="N1506" s="277"/>
      <c r="O1506" s="329"/>
      <c r="P1506" s="402">
        <f t="shared" ref="P1506:Q1506" si="1504">IF(B1506=0,0,IF(YEAR(B1506)=$Q$1,MONTH(B1506)-$P$1+1,(YEAR(B1506)-$Q$1)*12-$P$1+1+MONTH(B1506)))</f>
        <v>0</v>
      </c>
      <c r="Q1506" s="402">
        <f t="shared" si="1504"/>
        <v>0</v>
      </c>
      <c r="R1506" s="356" t="e">
        <f t="shared" si="1325"/>
        <v>#N/A</v>
      </c>
      <c r="S1506" s="356" t="str">
        <f>IF(D1506="","",IF(OR(D1506=Plano!$A$1,D1506=Plano!$B$1),"entrada","saída"))</f>
        <v/>
      </c>
      <c r="T1506" s="345"/>
      <c r="U1506" s="345"/>
      <c r="V1506" s="269"/>
      <c r="W1506" s="269"/>
    </row>
    <row r="1507" spans="1:23" ht="120" customHeight="1" x14ac:dyDescent="0.2">
      <c r="A1507" s="403" t="str">
        <f t="shared" si="0"/>
        <v/>
      </c>
      <c r="B1507" s="278"/>
      <c r="C1507" s="256"/>
      <c r="D1507" s="255"/>
      <c r="E1507" s="255"/>
      <c r="F1507" s="258"/>
      <c r="G1507" s="255"/>
      <c r="H1507" s="255"/>
      <c r="I1507" s="250"/>
      <c r="J1507" s="255"/>
      <c r="K1507" s="255"/>
      <c r="L1507" s="250"/>
      <c r="M1507" s="255"/>
      <c r="N1507" s="277"/>
      <c r="O1507" s="329"/>
      <c r="P1507" s="402">
        <f t="shared" ref="P1507:Q1507" si="1505">IF(B1507=0,0,IF(YEAR(B1507)=$Q$1,MONTH(B1507)-$P$1+1,(YEAR(B1507)-$Q$1)*12-$P$1+1+MONTH(B1507)))</f>
        <v>0</v>
      </c>
      <c r="Q1507" s="402">
        <f t="shared" si="1505"/>
        <v>0</v>
      </c>
      <c r="R1507" s="356" t="e">
        <f t="shared" si="1325"/>
        <v>#N/A</v>
      </c>
      <c r="S1507" s="356" t="str">
        <f>IF(D1507="","",IF(OR(D1507=Plano!$A$1,D1507=Plano!$B$1),"entrada","saída"))</f>
        <v/>
      </c>
      <c r="T1507" s="345"/>
      <c r="U1507" s="345"/>
      <c r="V1507" s="269"/>
      <c r="W1507" s="269"/>
    </row>
    <row r="1508" spans="1:23" ht="120" customHeight="1" x14ac:dyDescent="0.2">
      <c r="A1508" s="403" t="str">
        <f t="shared" si="0"/>
        <v/>
      </c>
      <c r="B1508" s="278"/>
      <c r="C1508" s="256"/>
      <c r="D1508" s="255"/>
      <c r="E1508" s="255"/>
      <c r="F1508" s="258"/>
      <c r="G1508" s="255"/>
      <c r="H1508" s="255"/>
      <c r="I1508" s="250"/>
      <c r="J1508" s="255"/>
      <c r="K1508" s="255"/>
      <c r="L1508" s="250"/>
      <c r="M1508" s="255"/>
      <c r="N1508" s="277"/>
      <c r="O1508" s="329"/>
      <c r="P1508" s="402">
        <f t="shared" ref="P1508:Q1508" si="1506">IF(B1508=0,0,IF(YEAR(B1508)=$Q$1,MONTH(B1508)-$P$1+1,(YEAR(B1508)-$Q$1)*12-$P$1+1+MONTH(B1508)))</f>
        <v>0</v>
      </c>
      <c r="Q1508" s="402">
        <f t="shared" si="1506"/>
        <v>0</v>
      </c>
      <c r="R1508" s="356" t="e">
        <f t="shared" si="1325"/>
        <v>#N/A</v>
      </c>
      <c r="S1508" s="356" t="str">
        <f>IF(D1508="","",IF(OR(D1508=Plano!$A$1,D1508=Plano!$B$1),"entrada","saída"))</f>
        <v/>
      </c>
      <c r="T1508" s="345"/>
      <c r="U1508" s="345"/>
      <c r="V1508" s="269"/>
      <c r="W1508" s="269"/>
    </row>
    <row r="1509" spans="1:23" ht="120" customHeight="1" x14ac:dyDescent="0.2">
      <c r="A1509" s="403" t="str">
        <f t="shared" si="0"/>
        <v/>
      </c>
      <c r="B1509" s="278"/>
      <c r="C1509" s="256"/>
      <c r="D1509" s="255"/>
      <c r="E1509" s="255"/>
      <c r="F1509" s="258"/>
      <c r="G1509" s="255"/>
      <c r="H1509" s="255"/>
      <c r="I1509" s="250"/>
      <c r="J1509" s="255"/>
      <c r="K1509" s="255"/>
      <c r="L1509" s="250"/>
      <c r="M1509" s="255"/>
      <c r="N1509" s="277"/>
      <c r="O1509" s="329"/>
      <c r="P1509" s="402">
        <f t="shared" ref="P1509:Q1509" si="1507">IF(B1509=0,0,IF(YEAR(B1509)=$Q$1,MONTH(B1509)-$P$1+1,(YEAR(B1509)-$Q$1)*12-$P$1+1+MONTH(B1509)))</f>
        <v>0</v>
      </c>
      <c r="Q1509" s="402">
        <f t="shared" si="1507"/>
        <v>0</v>
      </c>
      <c r="R1509" s="356" t="e">
        <f t="shared" si="1325"/>
        <v>#N/A</v>
      </c>
      <c r="S1509" s="356" t="str">
        <f>IF(D1509="","",IF(OR(D1509=Plano!$A$1,D1509=Plano!$B$1),"entrada","saída"))</f>
        <v/>
      </c>
      <c r="T1509" s="345"/>
      <c r="U1509" s="345"/>
      <c r="V1509" s="269"/>
      <c r="W1509" s="269"/>
    </row>
    <row r="1510" spans="1:23" ht="120" customHeight="1" x14ac:dyDescent="0.2">
      <c r="A1510" s="403" t="str">
        <f t="shared" si="0"/>
        <v/>
      </c>
      <c r="B1510" s="278"/>
      <c r="C1510" s="256"/>
      <c r="D1510" s="255"/>
      <c r="E1510" s="255"/>
      <c r="F1510" s="258"/>
      <c r="G1510" s="255"/>
      <c r="H1510" s="255"/>
      <c r="I1510" s="250"/>
      <c r="J1510" s="255"/>
      <c r="K1510" s="255"/>
      <c r="L1510" s="250"/>
      <c r="M1510" s="255"/>
      <c r="N1510" s="277"/>
      <c r="O1510" s="329"/>
      <c r="P1510" s="402">
        <f t="shared" ref="P1510:Q1510" si="1508">IF(B1510=0,0,IF(YEAR(B1510)=$Q$1,MONTH(B1510)-$P$1+1,(YEAR(B1510)-$Q$1)*12-$P$1+1+MONTH(B1510)))</f>
        <v>0</v>
      </c>
      <c r="Q1510" s="402">
        <f t="shared" si="1508"/>
        <v>0</v>
      </c>
      <c r="R1510" s="356" t="e">
        <f t="shared" si="1325"/>
        <v>#N/A</v>
      </c>
      <c r="S1510" s="356" t="str">
        <f>IF(D1510="","",IF(OR(D1510=Plano!$A$1,D1510=Plano!$B$1),"entrada","saída"))</f>
        <v/>
      </c>
      <c r="T1510" s="345"/>
      <c r="U1510" s="345"/>
      <c r="V1510" s="269"/>
      <c r="W1510" s="269"/>
    </row>
    <row r="1511" spans="1:23" ht="120" customHeight="1" x14ac:dyDescent="0.2">
      <c r="A1511" s="403" t="str">
        <f t="shared" si="0"/>
        <v/>
      </c>
      <c r="B1511" s="278"/>
      <c r="C1511" s="256"/>
      <c r="D1511" s="255"/>
      <c r="E1511" s="255"/>
      <c r="F1511" s="258"/>
      <c r="G1511" s="255"/>
      <c r="H1511" s="255"/>
      <c r="I1511" s="250"/>
      <c r="J1511" s="255"/>
      <c r="K1511" s="255"/>
      <c r="L1511" s="250"/>
      <c r="M1511" s="255"/>
      <c r="N1511" s="277"/>
      <c r="O1511" s="329"/>
      <c r="P1511" s="402">
        <f t="shared" ref="P1511:Q1511" si="1509">IF(B1511=0,0,IF(YEAR(B1511)=$Q$1,MONTH(B1511)-$P$1+1,(YEAR(B1511)-$Q$1)*12-$P$1+1+MONTH(B1511)))</f>
        <v>0</v>
      </c>
      <c r="Q1511" s="402">
        <f t="shared" si="1509"/>
        <v>0</v>
      </c>
      <c r="R1511" s="356" t="e">
        <f t="shared" si="1325"/>
        <v>#N/A</v>
      </c>
      <c r="S1511" s="356" t="str">
        <f>IF(D1511="","",IF(OR(D1511=Plano!$A$1,D1511=Plano!$B$1),"entrada","saída"))</f>
        <v/>
      </c>
      <c r="T1511" s="345"/>
      <c r="U1511" s="345"/>
      <c r="V1511" s="269"/>
      <c r="W1511" s="269"/>
    </row>
    <row r="1512" spans="1:23" ht="120" customHeight="1" x14ac:dyDescent="0.2">
      <c r="A1512" s="403" t="str">
        <f t="shared" si="0"/>
        <v/>
      </c>
      <c r="B1512" s="278"/>
      <c r="C1512" s="256"/>
      <c r="D1512" s="255"/>
      <c r="E1512" s="255"/>
      <c r="F1512" s="258"/>
      <c r="G1512" s="255"/>
      <c r="H1512" s="255"/>
      <c r="I1512" s="250"/>
      <c r="J1512" s="255"/>
      <c r="K1512" s="255"/>
      <c r="L1512" s="250"/>
      <c r="M1512" s="255"/>
      <c r="N1512" s="277"/>
      <c r="O1512" s="329"/>
      <c r="P1512" s="402">
        <f t="shared" ref="P1512:Q1512" si="1510">IF(B1512=0,0,IF(YEAR(B1512)=$Q$1,MONTH(B1512)-$P$1+1,(YEAR(B1512)-$Q$1)*12-$P$1+1+MONTH(B1512)))</f>
        <v>0</v>
      </c>
      <c r="Q1512" s="402">
        <f t="shared" si="1510"/>
        <v>0</v>
      </c>
      <c r="R1512" s="356" t="e">
        <f t="shared" si="1325"/>
        <v>#N/A</v>
      </c>
      <c r="S1512" s="356" t="str">
        <f>IF(D1512="","",IF(OR(D1512=Plano!$A$1,D1512=Plano!$B$1),"entrada","saída"))</f>
        <v/>
      </c>
      <c r="T1512" s="345"/>
      <c r="U1512" s="345"/>
      <c r="V1512" s="269"/>
      <c r="W1512" s="269"/>
    </row>
    <row r="1513" spans="1:23" ht="120" customHeight="1" x14ac:dyDescent="0.2">
      <c r="A1513" s="403" t="str">
        <f t="shared" si="0"/>
        <v/>
      </c>
      <c r="B1513" s="278"/>
      <c r="C1513" s="256"/>
      <c r="D1513" s="255"/>
      <c r="E1513" s="255"/>
      <c r="F1513" s="258"/>
      <c r="G1513" s="255"/>
      <c r="H1513" s="255"/>
      <c r="I1513" s="250"/>
      <c r="J1513" s="255"/>
      <c r="K1513" s="255"/>
      <c r="L1513" s="250"/>
      <c r="M1513" s="255"/>
      <c r="N1513" s="277"/>
      <c r="O1513" s="329"/>
      <c r="P1513" s="402">
        <f t="shared" ref="P1513:Q1513" si="1511">IF(B1513=0,0,IF(YEAR(B1513)=$Q$1,MONTH(B1513)-$P$1+1,(YEAR(B1513)-$Q$1)*12-$P$1+1+MONTH(B1513)))</f>
        <v>0</v>
      </c>
      <c r="Q1513" s="402">
        <f t="shared" si="1511"/>
        <v>0</v>
      </c>
      <c r="R1513" s="356" t="e">
        <f t="shared" si="1325"/>
        <v>#N/A</v>
      </c>
      <c r="S1513" s="356" t="str">
        <f>IF(D1513="","",IF(OR(D1513=Plano!$A$1,D1513=Plano!$B$1),"entrada","saída"))</f>
        <v/>
      </c>
      <c r="T1513" s="345"/>
      <c r="U1513" s="345"/>
      <c r="V1513" s="269"/>
      <c r="W1513" s="269"/>
    </row>
    <row r="1514" spans="1:23" ht="120" customHeight="1" x14ac:dyDescent="0.2">
      <c r="A1514" s="403" t="str">
        <f t="shared" si="0"/>
        <v/>
      </c>
      <c r="B1514" s="278"/>
      <c r="C1514" s="256"/>
      <c r="D1514" s="255"/>
      <c r="E1514" s="255"/>
      <c r="F1514" s="258"/>
      <c r="G1514" s="255"/>
      <c r="H1514" s="255"/>
      <c r="I1514" s="250"/>
      <c r="J1514" s="255"/>
      <c r="K1514" s="255"/>
      <c r="L1514" s="250"/>
      <c r="M1514" s="255"/>
      <c r="N1514" s="277"/>
      <c r="O1514" s="329"/>
      <c r="P1514" s="402">
        <f t="shared" ref="P1514:Q1514" si="1512">IF(B1514=0,0,IF(YEAR(B1514)=$Q$1,MONTH(B1514)-$P$1+1,(YEAR(B1514)-$Q$1)*12-$P$1+1+MONTH(B1514)))</f>
        <v>0</v>
      </c>
      <c r="Q1514" s="402">
        <f t="shared" si="1512"/>
        <v>0</v>
      </c>
      <c r="R1514" s="356" t="e">
        <f t="shared" si="1325"/>
        <v>#N/A</v>
      </c>
      <c r="S1514" s="356" t="str">
        <f>IF(D1514="","",IF(OR(D1514=Plano!$A$1,D1514=Plano!$B$1),"entrada","saída"))</f>
        <v/>
      </c>
      <c r="T1514" s="345"/>
      <c r="U1514" s="345"/>
      <c r="V1514" s="269"/>
      <c r="W1514" s="269"/>
    </row>
    <row r="1515" spans="1:23" ht="120" customHeight="1" x14ac:dyDescent="0.2">
      <c r="A1515" s="403" t="str">
        <f t="shared" si="0"/>
        <v/>
      </c>
      <c r="B1515" s="278"/>
      <c r="C1515" s="256"/>
      <c r="D1515" s="255"/>
      <c r="E1515" s="255"/>
      <c r="F1515" s="258"/>
      <c r="G1515" s="255"/>
      <c r="H1515" s="255"/>
      <c r="I1515" s="250"/>
      <c r="J1515" s="255"/>
      <c r="K1515" s="255"/>
      <c r="L1515" s="250"/>
      <c r="M1515" s="255"/>
      <c r="N1515" s="277"/>
      <c r="O1515" s="329"/>
      <c r="P1515" s="402">
        <f t="shared" ref="P1515:Q1515" si="1513">IF(B1515=0,0,IF(YEAR(B1515)=$Q$1,MONTH(B1515)-$P$1+1,(YEAR(B1515)-$Q$1)*12-$P$1+1+MONTH(B1515)))</f>
        <v>0</v>
      </c>
      <c r="Q1515" s="402">
        <f t="shared" si="1513"/>
        <v>0</v>
      </c>
      <c r="R1515" s="356" t="e">
        <f t="shared" si="1325"/>
        <v>#N/A</v>
      </c>
      <c r="S1515" s="356" t="str">
        <f>IF(D1515="","",IF(OR(D1515=Plano!$A$1,D1515=Plano!$B$1),"entrada","saída"))</f>
        <v/>
      </c>
      <c r="T1515" s="345"/>
      <c r="U1515" s="345"/>
      <c r="V1515" s="269"/>
      <c r="W1515" s="269"/>
    </row>
    <row r="1516" spans="1:23" ht="120" customHeight="1" x14ac:dyDescent="0.2">
      <c r="A1516" s="403" t="str">
        <f t="shared" si="0"/>
        <v/>
      </c>
      <c r="B1516" s="278"/>
      <c r="C1516" s="256"/>
      <c r="D1516" s="255"/>
      <c r="E1516" s="255"/>
      <c r="F1516" s="258"/>
      <c r="G1516" s="255"/>
      <c r="H1516" s="255"/>
      <c r="I1516" s="250"/>
      <c r="J1516" s="255"/>
      <c r="K1516" s="255"/>
      <c r="L1516" s="250"/>
      <c r="M1516" s="255"/>
      <c r="N1516" s="277"/>
      <c r="O1516" s="329"/>
      <c r="P1516" s="402">
        <f t="shared" ref="P1516:Q1516" si="1514">IF(B1516=0,0,IF(YEAR(B1516)=$Q$1,MONTH(B1516)-$P$1+1,(YEAR(B1516)-$Q$1)*12-$P$1+1+MONTH(B1516)))</f>
        <v>0</v>
      </c>
      <c r="Q1516" s="402">
        <f t="shared" si="1514"/>
        <v>0</v>
      </c>
      <c r="R1516" s="356" t="e">
        <f t="shared" si="1325"/>
        <v>#N/A</v>
      </c>
      <c r="S1516" s="356" t="str">
        <f>IF(D1516="","",IF(OR(D1516=Plano!$A$1,D1516=Plano!$B$1),"entrada","saída"))</f>
        <v/>
      </c>
      <c r="T1516" s="345"/>
      <c r="U1516" s="345"/>
      <c r="V1516" s="269"/>
      <c r="W1516" s="269"/>
    </row>
    <row r="1517" spans="1:23" ht="120" customHeight="1" x14ac:dyDescent="0.2">
      <c r="A1517" s="403" t="str">
        <f t="shared" si="0"/>
        <v/>
      </c>
      <c r="B1517" s="278"/>
      <c r="C1517" s="256"/>
      <c r="D1517" s="255"/>
      <c r="E1517" s="255"/>
      <c r="F1517" s="258"/>
      <c r="G1517" s="255"/>
      <c r="H1517" s="255"/>
      <c r="I1517" s="250"/>
      <c r="J1517" s="255"/>
      <c r="K1517" s="255"/>
      <c r="L1517" s="250"/>
      <c r="M1517" s="255"/>
      <c r="N1517" s="277"/>
      <c r="O1517" s="329"/>
      <c r="P1517" s="402">
        <f t="shared" ref="P1517:Q1517" si="1515">IF(B1517=0,0,IF(YEAR(B1517)=$Q$1,MONTH(B1517)-$P$1+1,(YEAR(B1517)-$Q$1)*12-$P$1+1+MONTH(B1517)))</f>
        <v>0</v>
      </c>
      <c r="Q1517" s="402">
        <f t="shared" si="1515"/>
        <v>0</v>
      </c>
      <c r="R1517" s="356" t="e">
        <f t="shared" si="1325"/>
        <v>#N/A</v>
      </c>
      <c r="S1517" s="356" t="str">
        <f>IF(D1517="","",IF(OR(D1517=Plano!$A$1,D1517=Plano!$B$1),"entrada","saída"))</f>
        <v/>
      </c>
      <c r="T1517" s="345"/>
      <c r="U1517" s="345"/>
      <c r="V1517" s="269"/>
      <c r="W1517" s="269"/>
    </row>
    <row r="1518" spans="1:23" ht="120" customHeight="1" x14ac:dyDescent="0.2">
      <c r="A1518" s="403" t="str">
        <f t="shared" si="0"/>
        <v/>
      </c>
      <c r="B1518" s="278"/>
      <c r="C1518" s="256"/>
      <c r="D1518" s="255"/>
      <c r="E1518" s="255"/>
      <c r="F1518" s="258"/>
      <c r="G1518" s="255"/>
      <c r="H1518" s="255"/>
      <c r="I1518" s="250"/>
      <c r="J1518" s="255"/>
      <c r="K1518" s="255"/>
      <c r="L1518" s="250"/>
      <c r="M1518" s="255"/>
      <c r="N1518" s="277"/>
      <c r="O1518" s="329"/>
      <c r="P1518" s="402">
        <f t="shared" ref="P1518:Q1518" si="1516">IF(B1518=0,0,IF(YEAR(B1518)=$Q$1,MONTH(B1518)-$P$1+1,(YEAR(B1518)-$Q$1)*12-$P$1+1+MONTH(B1518)))</f>
        <v>0</v>
      </c>
      <c r="Q1518" s="402">
        <f t="shared" si="1516"/>
        <v>0</v>
      </c>
      <c r="R1518" s="356" t="e">
        <f t="shared" si="1325"/>
        <v>#N/A</v>
      </c>
      <c r="S1518" s="356" t="str">
        <f>IF(D1518="","",IF(OR(D1518=Plano!$A$1,D1518=Plano!$B$1),"entrada","saída"))</f>
        <v/>
      </c>
      <c r="T1518" s="345"/>
      <c r="U1518" s="345"/>
      <c r="V1518" s="269"/>
      <c r="W1518" s="269"/>
    </row>
    <row r="1519" spans="1:23" ht="120" customHeight="1" x14ac:dyDescent="0.2">
      <c r="A1519" s="403" t="str">
        <f t="shared" si="0"/>
        <v/>
      </c>
      <c r="B1519" s="278"/>
      <c r="C1519" s="256"/>
      <c r="D1519" s="255"/>
      <c r="E1519" s="255"/>
      <c r="F1519" s="258"/>
      <c r="G1519" s="255"/>
      <c r="H1519" s="255"/>
      <c r="I1519" s="250"/>
      <c r="J1519" s="255"/>
      <c r="K1519" s="255"/>
      <c r="L1519" s="250"/>
      <c r="M1519" s="255"/>
      <c r="N1519" s="277"/>
      <c r="O1519" s="329"/>
      <c r="P1519" s="402">
        <f t="shared" ref="P1519:Q1519" si="1517">IF(B1519=0,0,IF(YEAR(B1519)=$Q$1,MONTH(B1519)-$P$1+1,(YEAR(B1519)-$Q$1)*12-$P$1+1+MONTH(B1519)))</f>
        <v>0</v>
      </c>
      <c r="Q1519" s="402">
        <f t="shared" si="1517"/>
        <v>0</v>
      </c>
      <c r="R1519" s="356" t="e">
        <f t="shared" si="1325"/>
        <v>#N/A</v>
      </c>
      <c r="S1519" s="356" t="str">
        <f>IF(D1519="","",IF(OR(D1519=Plano!$A$1,D1519=Plano!$B$1),"entrada","saída"))</f>
        <v/>
      </c>
      <c r="T1519" s="345"/>
      <c r="U1519" s="345"/>
      <c r="V1519" s="269"/>
      <c r="W1519" s="269"/>
    </row>
    <row r="1520" spans="1:23" ht="120" customHeight="1" x14ac:dyDescent="0.2">
      <c r="A1520" s="403" t="str">
        <f t="shared" si="0"/>
        <v/>
      </c>
      <c r="B1520" s="278"/>
      <c r="C1520" s="256"/>
      <c r="D1520" s="255"/>
      <c r="E1520" s="255"/>
      <c r="F1520" s="258"/>
      <c r="G1520" s="255"/>
      <c r="H1520" s="255"/>
      <c r="I1520" s="250"/>
      <c r="J1520" s="255"/>
      <c r="K1520" s="255"/>
      <c r="L1520" s="250"/>
      <c r="M1520" s="255"/>
      <c r="N1520" s="277"/>
      <c r="O1520" s="329"/>
      <c r="P1520" s="402">
        <f t="shared" ref="P1520:Q1520" si="1518">IF(B1520=0,0,IF(YEAR(B1520)=$Q$1,MONTH(B1520)-$P$1+1,(YEAR(B1520)-$Q$1)*12-$P$1+1+MONTH(B1520)))</f>
        <v>0</v>
      </c>
      <c r="Q1520" s="402">
        <f t="shared" si="1518"/>
        <v>0</v>
      </c>
      <c r="R1520" s="356" t="e">
        <f t="shared" si="1325"/>
        <v>#N/A</v>
      </c>
      <c r="S1520" s="356" t="str">
        <f>IF(D1520="","",IF(OR(D1520=Plano!$A$1,D1520=Plano!$B$1),"entrada","saída"))</f>
        <v/>
      </c>
      <c r="T1520" s="345"/>
      <c r="U1520" s="345"/>
      <c r="V1520" s="269"/>
      <c r="W1520" s="269"/>
    </row>
    <row r="1521" spans="1:23" ht="120" customHeight="1" x14ac:dyDescent="0.2">
      <c r="A1521" s="403" t="str">
        <f t="shared" si="0"/>
        <v/>
      </c>
      <c r="B1521" s="278"/>
      <c r="C1521" s="256"/>
      <c r="D1521" s="255"/>
      <c r="E1521" s="255"/>
      <c r="F1521" s="258"/>
      <c r="G1521" s="255"/>
      <c r="H1521" s="255"/>
      <c r="I1521" s="250"/>
      <c r="J1521" s="255"/>
      <c r="K1521" s="255"/>
      <c r="L1521" s="250"/>
      <c r="M1521" s="255"/>
      <c r="N1521" s="277"/>
      <c r="O1521" s="329"/>
      <c r="P1521" s="402">
        <f t="shared" ref="P1521:Q1521" si="1519">IF(B1521=0,0,IF(YEAR(B1521)=$Q$1,MONTH(B1521)-$P$1+1,(YEAR(B1521)-$Q$1)*12-$P$1+1+MONTH(B1521)))</f>
        <v>0</v>
      </c>
      <c r="Q1521" s="402">
        <f t="shared" si="1519"/>
        <v>0</v>
      </c>
      <c r="R1521" s="356" t="e">
        <f t="shared" si="1325"/>
        <v>#N/A</v>
      </c>
      <c r="S1521" s="356" t="str">
        <f>IF(D1521="","",IF(OR(D1521=Plano!$A$1,D1521=Plano!$B$1),"entrada","saída"))</f>
        <v/>
      </c>
      <c r="T1521" s="345"/>
      <c r="U1521" s="345"/>
      <c r="V1521" s="269"/>
      <c r="W1521" s="269"/>
    </row>
    <row r="1522" spans="1:23" ht="120" customHeight="1" x14ac:dyDescent="0.2">
      <c r="A1522" s="403" t="str">
        <f t="shared" si="0"/>
        <v/>
      </c>
      <c r="B1522" s="278"/>
      <c r="C1522" s="256"/>
      <c r="D1522" s="255"/>
      <c r="E1522" s="255"/>
      <c r="F1522" s="258"/>
      <c r="G1522" s="255"/>
      <c r="H1522" s="255"/>
      <c r="I1522" s="250"/>
      <c r="J1522" s="255"/>
      <c r="K1522" s="255"/>
      <c r="L1522" s="250"/>
      <c r="M1522" s="255"/>
      <c r="N1522" s="277"/>
      <c r="O1522" s="329"/>
      <c r="P1522" s="402">
        <f t="shared" ref="P1522:Q1522" si="1520">IF(B1522=0,0,IF(YEAR(B1522)=$Q$1,MONTH(B1522)-$P$1+1,(YEAR(B1522)-$Q$1)*12-$P$1+1+MONTH(B1522)))</f>
        <v>0</v>
      </c>
      <c r="Q1522" s="402">
        <f t="shared" si="1520"/>
        <v>0</v>
      </c>
      <c r="R1522" s="356" t="e">
        <f t="shared" si="1325"/>
        <v>#N/A</v>
      </c>
      <c r="S1522" s="356" t="str">
        <f>IF(D1522="","",IF(OR(D1522=Plano!$A$1,D1522=Plano!$B$1),"entrada","saída"))</f>
        <v/>
      </c>
      <c r="T1522" s="345"/>
      <c r="U1522" s="345"/>
      <c r="V1522" s="269"/>
      <c r="W1522" s="269"/>
    </row>
    <row r="1523" spans="1:23" ht="120" customHeight="1" x14ac:dyDescent="0.2">
      <c r="A1523" s="403" t="str">
        <f t="shared" si="0"/>
        <v/>
      </c>
      <c r="B1523" s="278"/>
      <c r="C1523" s="256"/>
      <c r="D1523" s="255"/>
      <c r="E1523" s="255"/>
      <c r="F1523" s="258"/>
      <c r="G1523" s="255"/>
      <c r="H1523" s="255"/>
      <c r="I1523" s="250"/>
      <c r="J1523" s="255"/>
      <c r="K1523" s="255"/>
      <c r="L1523" s="250"/>
      <c r="M1523" s="255"/>
      <c r="N1523" s="277"/>
      <c r="O1523" s="329"/>
      <c r="P1523" s="402">
        <f t="shared" ref="P1523:Q1523" si="1521">IF(B1523=0,0,IF(YEAR(B1523)=$Q$1,MONTH(B1523)-$P$1+1,(YEAR(B1523)-$Q$1)*12-$P$1+1+MONTH(B1523)))</f>
        <v>0</v>
      </c>
      <c r="Q1523" s="402">
        <f t="shared" si="1521"/>
        <v>0</v>
      </c>
      <c r="R1523" s="356" t="e">
        <f t="shared" si="1325"/>
        <v>#N/A</v>
      </c>
      <c r="S1523" s="356" t="str">
        <f>IF(D1523="","",IF(OR(D1523=Plano!$A$1,D1523=Plano!$B$1),"entrada","saída"))</f>
        <v/>
      </c>
      <c r="T1523" s="345"/>
      <c r="U1523" s="345"/>
      <c r="V1523" s="269"/>
      <c r="W1523" s="269"/>
    </row>
    <row r="1524" spans="1:23" ht="120" customHeight="1" x14ac:dyDescent="0.2">
      <c r="A1524" s="403" t="str">
        <f t="shared" si="0"/>
        <v/>
      </c>
      <c r="B1524" s="278"/>
      <c r="C1524" s="256"/>
      <c r="D1524" s="255"/>
      <c r="E1524" s="255"/>
      <c r="F1524" s="258"/>
      <c r="G1524" s="255"/>
      <c r="H1524" s="255"/>
      <c r="I1524" s="250"/>
      <c r="J1524" s="255"/>
      <c r="K1524" s="255"/>
      <c r="L1524" s="250"/>
      <c r="M1524" s="255"/>
      <c r="N1524" s="277"/>
      <c r="O1524" s="329"/>
      <c r="P1524" s="402">
        <f t="shared" ref="P1524:Q1524" si="1522">IF(B1524=0,0,IF(YEAR(B1524)=$Q$1,MONTH(B1524)-$P$1+1,(YEAR(B1524)-$Q$1)*12-$P$1+1+MONTH(B1524)))</f>
        <v>0</v>
      </c>
      <c r="Q1524" s="402">
        <f t="shared" si="1522"/>
        <v>0</v>
      </c>
      <c r="R1524" s="356" t="e">
        <f t="shared" si="1325"/>
        <v>#N/A</v>
      </c>
      <c r="S1524" s="356" t="str">
        <f>IF(D1524="","",IF(OR(D1524=Plano!$A$1,D1524=Plano!$B$1),"entrada","saída"))</f>
        <v/>
      </c>
      <c r="T1524" s="345"/>
      <c r="U1524" s="345"/>
      <c r="V1524" s="269"/>
      <c r="W1524" s="269"/>
    </row>
    <row r="1525" spans="1:23" ht="120" customHeight="1" x14ac:dyDescent="0.2">
      <c r="A1525" s="403" t="str">
        <f t="shared" si="0"/>
        <v/>
      </c>
      <c r="B1525" s="278"/>
      <c r="C1525" s="256"/>
      <c r="D1525" s="255"/>
      <c r="E1525" s="255"/>
      <c r="F1525" s="258"/>
      <c r="G1525" s="255"/>
      <c r="H1525" s="255"/>
      <c r="I1525" s="250"/>
      <c r="J1525" s="255"/>
      <c r="K1525" s="255"/>
      <c r="L1525" s="250"/>
      <c r="M1525" s="255"/>
      <c r="N1525" s="277"/>
      <c r="O1525" s="329"/>
      <c r="P1525" s="402">
        <f t="shared" ref="P1525:Q1525" si="1523">IF(B1525=0,0,IF(YEAR(B1525)=$Q$1,MONTH(B1525)-$P$1+1,(YEAR(B1525)-$Q$1)*12-$P$1+1+MONTH(B1525)))</f>
        <v>0</v>
      </c>
      <c r="Q1525" s="402">
        <f t="shared" si="1523"/>
        <v>0</v>
      </c>
      <c r="R1525" s="356" t="e">
        <f t="shared" si="1325"/>
        <v>#N/A</v>
      </c>
      <c r="S1525" s="356" t="str">
        <f>IF(D1525="","",IF(OR(D1525=Plano!$A$1,D1525=Plano!$B$1),"entrada","saída"))</f>
        <v/>
      </c>
      <c r="T1525" s="345"/>
      <c r="U1525" s="345"/>
      <c r="V1525" s="269"/>
      <c r="W1525" s="269"/>
    </row>
    <row r="1526" spans="1:23" ht="120" customHeight="1" x14ac:dyDescent="0.2">
      <c r="A1526" s="403" t="str">
        <f t="shared" si="0"/>
        <v/>
      </c>
      <c r="B1526" s="278"/>
      <c r="C1526" s="256"/>
      <c r="D1526" s="255"/>
      <c r="E1526" s="255"/>
      <c r="F1526" s="258"/>
      <c r="G1526" s="255"/>
      <c r="H1526" s="255"/>
      <c r="I1526" s="250"/>
      <c r="J1526" s="255"/>
      <c r="K1526" s="255"/>
      <c r="L1526" s="250"/>
      <c r="M1526" s="255"/>
      <c r="N1526" s="277"/>
      <c r="O1526" s="329"/>
      <c r="P1526" s="402">
        <f t="shared" ref="P1526:Q1526" si="1524">IF(B1526=0,0,IF(YEAR(B1526)=$Q$1,MONTH(B1526)-$P$1+1,(YEAR(B1526)-$Q$1)*12-$P$1+1+MONTH(B1526)))</f>
        <v>0</v>
      </c>
      <c r="Q1526" s="402">
        <f t="shared" si="1524"/>
        <v>0</v>
      </c>
      <c r="R1526" s="356" t="e">
        <f t="shared" si="1325"/>
        <v>#N/A</v>
      </c>
      <c r="S1526" s="356" t="str">
        <f>IF(D1526="","",IF(OR(D1526=Plano!$A$1,D1526=Plano!$B$1),"entrada","saída"))</f>
        <v/>
      </c>
      <c r="T1526" s="345"/>
      <c r="U1526" s="345"/>
      <c r="V1526" s="269"/>
      <c r="W1526" s="269"/>
    </row>
    <row r="1527" spans="1:23" ht="120" customHeight="1" x14ac:dyDescent="0.2">
      <c r="A1527" s="403" t="str">
        <f t="shared" si="0"/>
        <v/>
      </c>
      <c r="B1527" s="278"/>
      <c r="C1527" s="256"/>
      <c r="D1527" s="255"/>
      <c r="E1527" s="255"/>
      <c r="F1527" s="258"/>
      <c r="G1527" s="255"/>
      <c r="H1527" s="255"/>
      <c r="I1527" s="250"/>
      <c r="J1527" s="255"/>
      <c r="K1527" s="255"/>
      <c r="L1527" s="250"/>
      <c r="M1527" s="255"/>
      <c r="N1527" s="277"/>
      <c r="O1527" s="329"/>
      <c r="P1527" s="402">
        <f t="shared" ref="P1527:Q1527" si="1525">IF(B1527=0,0,IF(YEAR(B1527)=$Q$1,MONTH(B1527)-$P$1+1,(YEAR(B1527)-$Q$1)*12-$P$1+1+MONTH(B1527)))</f>
        <v>0</v>
      </c>
      <c r="Q1527" s="402">
        <f t="shared" si="1525"/>
        <v>0</v>
      </c>
      <c r="R1527" s="356" t="e">
        <f t="shared" si="1325"/>
        <v>#N/A</v>
      </c>
      <c r="S1527" s="356" t="str">
        <f>IF(D1527="","",IF(OR(D1527=Plano!$A$1,D1527=Plano!$B$1),"entrada","saída"))</f>
        <v/>
      </c>
      <c r="T1527" s="345"/>
      <c r="U1527" s="345"/>
      <c r="V1527" s="269"/>
      <c r="W1527" s="269"/>
    </row>
    <row r="1528" spans="1:23" ht="120" customHeight="1" x14ac:dyDescent="0.2">
      <c r="A1528" s="403" t="str">
        <f t="shared" si="0"/>
        <v/>
      </c>
      <c r="B1528" s="278"/>
      <c r="C1528" s="256"/>
      <c r="D1528" s="255"/>
      <c r="E1528" s="255"/>
      <c r="F1528" s="258"/>
      <c r="G1528" s="255"/>
      <c r="H1528" s="255"/>
      <c r="I1528" s="250"/>
      <c r="J1528" s="255"/>
      <c r="K1528" s="255"/>
      <c r="L1528" s="250"/>
      <c r="M1528" s="255"/>
      <c r="N1528" s="277"/>
      <c r="O1528" s="329"/>
      <c r="P1528" s="402">
        <f t="shared" ref="P1528:Q1528" si="1526">IF(B1528=0,0,IF(YEAR(B1528)=$Q$1,MONTH(B1528)-$P$1+1,(YEAR(B1528)-$Q$1)*12-$P$1+1+MONTH(B1528)))</f>
        <v>0</v>
      </c>
      <c r="Q1528" s="402">
        <f t="shared" si="1526"/>
        <v>0</v>
      </c>
      <c r="R1528" s="356" t="e">
        <f t="shared" si="1325"/>
        <v>#N/A</v>
      </c>
      <c r="S1528" s="356" t="str">
        <f>IF(D1528="","",IF(OR(D1528=Plano!$A$1,D1528=Plano!$B$1),"entrada","saída"))</f>
        <v/>
      </c>
      <c r="T1528" s="345"/>
      <c r="U1528" s="345"/>
      <c r="V1528" s="269"/>
      <c r="W1528" s="269"/>
    </row>
    <row r="1529" spans="1:23" ht="120" customHeight="1" x14ac:dyDescent="0.2">
      <c r="A1529" s="403" t="str">
        <f t="shared" si="0"/>
        <v/>
      </c>
      <c r="B1529" s="278"/>
      <c r="C1529" s="256"/>
      <c r="D1529" s="255"/>
      <c r="E1529" s="255"/>
      <c r="F1529" s="258"/>
      <c r="G1529" s="255"/>
      <c r="H1529" s="255"/>
      <c r="I1529" s="250"/>
      <c r="J1529" s="255"/>
      <c r="K1529" s="255"/>
      <c r="L1529" s="250"/>
      <c r="M1529" s="255"/>
      <c r="N1529" s="277"/>
      <c r="O1529" s="329"/>
      <c r="P1529" s="402">
        <f t="shared" ref="P1529:Q1529" si="1527">IF(B1529=0,0,IF(YEAR(B1529)=$Q$1,MONTH(B1529)-$P$1+1,(YEAR(B1529)-$Q$1)*12-$P$1+1+MONTH(B1529)))</f>
        <v>0</v>
      </c>
      <c r="Q1529" s="402">
        <f t="shared" si="1527"/>
        <v>0</v>
      </c>
      <c r="R1529" s="356" t="e">
        <f t="shared" si="1325"/>
        <v>#N/A</v>
      </c>
      <c r="S1529" s="356" t="str">
        <f>IF(D1529="","",IF(OR(D1529=Plano!$A$1,D1529=Plano!$B$1),"entrada","saída"))</f>
        <v/>
      </c>
      <c r="T1529" s="345"/>
      <c r="U1529" s="345"/>
      <c r="V1529" s="269"/>
      <c r="W1529" s="269"/>
    </row>
    <row r="1530" spans="1:23" ht="120" customHeight="1" x14ac:dyDescent="0.2">
      <c r="A1530" s="403" t="str">
        <f t="shared" si="0"/>
        <v/>
      </c>
      <c r="B1530" s="278"/>
      <c r="C1530" s="256"/>
      <c r="D1530" s="255"/>
      <c r="E1530" s="255"/>
      <c r="F1530" s="258"/>
      <c r="G1530" s="255"/>
      <c r="H1530" s="255"/>
      <c r="I1530" s="250"/>
      <c r="J1530" s="255"/>
      <c r="K1530" s="255"/>
      <c r="L1530" s="250"/>
      <c r="M1530" s="255"/>
      <c r="N1530" s="277"/>
      <c r="O1530" s="329"/>
      <c r="P1530" s="402">
        <f t="shared" ref="P1530:Q1530" si="1528">IF(B1530=0,0,IF(YEAR(B1530)=$Q$1,MONTH(B1530)-$P$1+1,(YEAR(B1530)-$Q$1)*12-$P$1+1+MONTH(B1530)))</f>
        <v>0</v>
      </c>
      <c r="Q1530" s="402">
        <f t="shared" si="1528"/>
        <v>0</v>
      </c>
      <c r="R1530" s="356" t="e">
        <f t="shared" si="1325"/>
        <v>#N/A</v>
      </c>
      <c r="S1530" s="356" t="str">
        <f>IF(D1530="","",IF(OR(D1530=Plano!$A$1,D1530=Plano!$B$1),"entrada","saída"))</f>
        <v/>
      </c>
      <c r="T1530" s="345"/>
      <c r="U1530" s="345"/>
      <c r="V1530" s="269"/>
      <c r="W1530" s="269"/>
    </row>
    <row r="1531" spans="1:23" ht="120" customHeight="1" x14ac:dyDescent="0.2">
      <c r="A1531" s="403" t="str">
        <f t="shared" si="0"/>
        <v/>
      </c>
      <c r="B1531" s="278"/>
      <c r="C1531" s="256"/>
      <c r="D1531" s="255"/>
      <c r="E1531" s="255"/>
      <c r="F1531" s="258"/>
      <c r="G1531" s="255"/>
      <c r="H1531" s="255"/>
      <c r="I1531" s="250"/>
      <c r="J1531" s="255"/>
      <c r="K1531" s="255"/>
      <c r="L1531" s="250"/>
      <c r="M1531" s="255"/>
      <c r="N1531" s="277"/>
      <c r="O1531" s="329"/>
      <c r="P1531" s="402">
        <f t="shared" ref="P1531:Q1531" si="1529">IF(B1531=0,0,IF(YEAR(B1531)=$Q$1,MONTH(B1531)-$P$1+1,(YEAR(B1531)-$Q$1)*12-$P$1+1+MONTH(B1531)))</f>
        <v>0</v>
      </c>
      <c r="Q1531" s="402">
        <f t="shared" si="1529"/>
        <v>0</v>
      </c>
      <c r="R1531" s="356" t="e">
        <f t="shared" si="1325"/>
        <v>#N/A</v>
      </c>
      <c r="S1531" s="356" t="str">
        <f>IF(D1531="","",IF(OR(D1531=Plano!$A$1,D1531=Plano!$B$1),"entrada","saída"))</f>
        <v/>
      </c>
      <c r="T1531" s="345"/>
      <c r="U1531" s="345"/>
      <c r="V1531" s="269"/>
      <c r="W1531" s="269"/>
    </row>
    <row r="1532" spans="1:23" ht="120" customHeight="1" x14ac:dyDescent="0.2">
      <c r="A1532" s="403" t="str">
        <f t="shared" si="0"/>
        <v/>
      </c>
      <c r="B1532" s="278"/>
      <c r="C1532" s="256"/>
      <c r="D1532" s="255"/>
      <c r="E1532" s="255"/>
      <c r="F1532" s="258"/>
      <c r="G1532" s="255"/>
      <c r="H1532" s="255"/>
      <c r="I1532" s="250"/>
      <c r="J1532" s="255"/>
      <c r="K1532" s="255"/>
      <c r="L1532" s="250"/>
      <c r="M1532" s="255"/>
      <c r="N1532" s="277"/>
      <c r="O1532" s="329"/>
      <c r="P1532" s="402">
        <f t="shared" ref="P1532:Q1532" si="1530">IF(B1532=0,0,IF(YEAR(B1532)=$Q$1,MONTH(B1532)-$P$1+1,(YEAR(B1532)-$Q$1)*12-$P$1+1+MONTH(B1532)))</f>
        <v>0</v>
      </c>
      <c r="Q1532" s="402">
        <f t="shared" si="1530"/>
        <v>0</v>
      </c>
      <c r="R1532" s="356" t="e">
        <f t="shared" si="1325"/>
        <v>#N/A</v>
      </c>
      <c r="S1532" s="356" t="str">
        <f>IF(D1532="","",IF(OR(D1532=Plano!$A$1,D1532=Plano!$B$1),"entrada","saída"))</f>
        <v/>
      </c>
      <c r="T1532" s="345"/>
      <c r="U1532" s="345"/>
      <c r="V1532" s="269"/>
      <c r="W1532" s="269"/>
    </row>
    <row r="1533" spans="1:23" ht="120" customHeight="1" x14ac:dyDescent="0.2">
      <c r="A1533" s="403" t="str">
        <f t="shared" si="0"/>
        <v/>
      </c>
      <c r="B1533" s="278"/>
      <c r="C1533" s="256"/>
      <c r="D1533" s="255"/>
      <c r="E1533" s="255"/>
      <c r="F1533" s="258"/>
      <c r="G1533" s="255"/>
      <c r="H1533" s="255"/>
      <c r="I1533" s="250"/>
      <c r="J1533" s="255"/>
      <c r="K1533" s="255"/>
      <c r="L1533" s="250"/>
      <c r="M1533" s="255"/>
      <c r="N1533" s="277"/>
      <c r="O1533" s="329"/>
      <c r="P1533" s="402">
        <f t="shared" ref="P1533:Q1533" si="1531">IF(B1533=0,0,IF(YEAR(B1533)=$Q$1,MONTH(B1533)-$P$1+1,(YEAR(B1533)-$Q$1)*12-$P$1+1+MONTH(B1533)))</f>
        <v>0</v>
      </c>
      <c r="Q1533" s="402">
        <f t="shared" si="1531"/>
        <v>0</v>
      </c>
      <c r="R1533" s="356" t="e">
        <f t="shared" si="1325"/>
        <v>#N/A</v>
      </c>
      <c r="S1533" s="356" t="str">
        <f>IF(D1533="","",IF(OR(D1533=Plano!$A$1,D1533=Plano!$B$1),"entrada","saída"))</f>
        <v/>
      </c>
      <c r="T1533" s="345"/>
      <c r="U1533" s="345"/>
      <c r="V1533" s="269"/>
      <c r="W1533" s="269"/>
    </row>
    <row r="1534" spans="1:23" ht="120" customHeight="1" x14ac:dyDescent="0.2">
      <c r="A1534" s="403" t="str">
        <f t="shared" si="0"/>
        <v/>
      </c>
      <c r="B1534" s="278"/>
      <c r="C1534" s="256"/>
      <c r="D1534" s="255"/>
      <c r="E1534" s="255"/>
      <c r="F1534" s="258"/>
      <c r="G1534" s="255"/>
      <c r="H1534" s="255"/>
      <c r="I1534" s="250"/>
      <c r="J1534" s="255"/>
      <c r="K1534" s="255"/>
      <c r="L1534" s="250"/>
      <c r="M1534" s="255"/>
      <c r="N1534" s="277"/>
      <c r="O1534" s="329"/>
      <c r="P1534" s="402">
        <f t="shared" ref="P1534:Q1534" si="1532">IF(B1534=0,0,IF(YEAR(B1534)=$Q$1,MONTH(B1534)-$P$1+1,(YEAR(B1534)-$Q$1)*12-$P$1+1+MONTH(B1534)))</f>
        <v>0</v>
      </c>
      <c r="Q1534" s="402">
        <f t="shared" si="1532"/>
        <v>0</v>
      </c>
      <c r="R1534" s="356" t="e">
        <f t="shared" si="1325"/>
        <v>#N/A</v>
      </c>
      <c r="S1534" s="356" t="str">
        <f>IF(D1534="","",IF(OR(D1534=Plano!$A$1,D1534=Plano!$B$1),"entrada","saída"))</f>
        <v/>
      </c>
      <c r="T1534" s="345"/>
      <c r="U1534" s="345"/>
      <c r="V1534" s="269"/>
      <c r="W1534" s="269"/>
    </row>
    <row r="1535" spans="1:23" ht="120" customHeight="1" x14ac:dyDescent="0.2">
      <c r="A1535" s="403" t="str">
        <f t="shared" si="0"/>
        <v/>
      </c>
      <c r="B1535" s="278"/>
      <c r="C1535" s="256"/>
      <c r="D1535" s="255"/>
      <c r="E1535" s="255"/>
      <c r="F1535" s="258"/>
      <c r="G1535" s="255"/>
      <c r="H1535" s="255"/>
      <c r="I1535" s="250"/>
      <c r="J1535" s="255"/>
      <c r="K1535" s="255"/>
      <c r="L1535" s="250"/>
      <c r="M1535" s="255"/>
      <c r="N1535" s="277"/>
      <c r="O1535" s="329"/>
      <c r="P1535" s="402">
        <f t="shared" ref="P1535:Q1535" si="1533">IF(B1535=0,0,IF(YEAR(B1535)=$Q$1,MONTH(B1535)-$P$1+1,(YEAR(B1535)-$Q$1)*12-$P$1+1+MONTH(B1535)))</f>
        <v>0</v>
      </c>
      <c r="Q1535" s="402">
        <f t="shared" si="1533"/>
        <v>0</v>
      </c>
      <c r="R1535" s="356" t="e">
        <f t="shared" si="1325"/>
        <v>#N/A</v>
      </c>
      <c r="S1535" s="356" t="str">
        <f>IF(D1535="","",IF(OR(D1535=Plano!$A$1,D1535=Plano!$B$1),"entrada","saída"))</f>
        <v/>
      </c>
      <c r="T1535" s="345"/>
      <c r="U1535" s="345"/>
      <c r="V1535" s="269"/>
      <c r="W1535" s="269"/>
    </row>
    <row r="1536" spans="1:23" ht="120" customHeight="1" x14ac:dyDescent="0.2">
      <c r="A1536" s="403" t="str">
        <f t="shared" si="0"/>
        <v/>
      </c>
      <c r="B1536" s="278"/>
      <c r="C1536" s="256"/>
      <c r="D1536" s="255"/>
      <c r="E1536" s="255"/>
      <c r="F1536" s="258"/>
      <c r="G1536" s="255"/>
      <c r="H1536" s="255"/>
      <c r="I1536" s="250"/>
      <c r="J1536" s="255"/>
      <c r="K1536" s="255"/>
      <c r="L1536" s="250"/>
      <c r="M1536" s="255"/>
      <c r="N1536" s="277"/>
      <c r="O1536" s="329"/>
      <c r="P1536" s="402">
        <f t="shared" ref="P1536:Q1536" si="1534">IF(B1536=0,0,IF(YEAR(B1536)=$Q$1,MONTH(B1536)-$P$1+1,(YEAR(B1536)-$Q$1)*12-$P$1+1+MONTH(B1536)))</f>
        <v>0</v>
      </c>
      <c r="Q1536" s="402">
        <f t="shared" si="1534"/>
        <v>0</v>
      </c>
      <c r="R1536" s="356" t="e">
        <f t="shared" si="1325"/>
        <v>#N/A</v>
      </c>
      <c r="S1536" s="356" t="str">
        <f>IF(D1536="","",IF(OR(D1536=Plano!$A$1,D1536=Plano!$B$1),"entrada","saída"))</f>
        <v/>
      </c>
      <c r="T1536" s="345"/>
      <c r="U1536" s="345"/>
      <c r="V1536" s="269"/>
      <c r="W1536" s="269"/>
    </row>
    <row r="1537" spans="1:23" ht="120" customHeight="1" x14ac:dyDescent="0.2">
      <c r="A1537" s="403" t="str">
        <f t="shared" si="0"/>
        <v/>
      </c>
      <c r="B1537" s="278"/>
      <c r="C1537" s="256"/>
      <c r="D1537" s="255"/>
      <c r="E1537" s="255"/>
      <c r="F1537" s="258"/>
      <c r="G1537" s="255"/>
      <c r="H1537" s="255"/>
      <c r="I1537" s="250"/>
      <c r="J1537" s="255"/>
      <c r="K1537" s="255"/>
      <c r="L1537" s="250"/>
      <c r="M1537" s="255"/>
      <c r="N1537" s="277"/>
      <c r="O1537" s="329"/>
      <c r="P1537" s="402">
        <f t="shared" ref="P1537:Q1537" si="1535">IF(B1537=0,0,IF(YEAR(B1537)=$Q$1,MONTH(B1537)-$P$1+1,(YEAR(B1537)-$Q$1)*12-$P$1+1+MONTH(B1537)))</f>
        <v>0</v>
      </c>
      <c r="Q1537" s="402">
        <f t="shared" si="1535"/>
        <v>0</v>
      </c>
      <c r="R1537" s="356" t="e">
        <f t="shared" si="1325"/>
        <v>#N/A</v>
      </c>
      <c r="S1537" s="356" t="str">
        <f>IF(D1537="","",IF(OR(D1537=Plano!$A$1,D1537=Plano!$B$1),"entrada","saída"))</f>
        <v/>
      </c>
      <c r="T1537" s="345"/>
      <c r="U1537" s="345"/>
      <c r="V1537" s="269"/>
      <c r="W1537" s="269"/>
    </row>
    <row r="1538" spans="1:23" ht="120" customHeight="1" x14ac:dyDescent="0.2">
      <c r="A1538" s="403" t="str">
        <f t="shared" si="0"/>
        <v/>
      </c>
      <c r="B1538" s="278"/>
      <c r="C1538" s="256"/>
      <c r="D1538" s="255"/>
      <c r="E1538" s="255"/>
      <c r="F1538" s="258"/>
      <c r="G1538" s="255"/>
      <c r="H1538" s="255"/>
      <c r="I1538" s="250"/>
      <c r="J1538" s="255"/>
      <c r="K1538" s="255"/>
      <c r="L1538" s="250"/>
      <c r="M1538" s="255"/>
      <c r="N1538" s="277"/>
      <c r="O1538" s="329"/>
      <c r="P1538" s="402">
        <f t="shared" ref="P1538:Q1538" si="1536">IF(B1538=0,0,IF(YEAR(B1538)=$Q$1,MONTH(B1538)-$P$1+1,(YEAR(B1538)-$Q$1)*12-$P$1+1+MONTH(B1538)))</f>
        <v>0</v>
      </c>
      <c r="Q1538" s="402">
        <f t="shared" si="1536"/>
        <v>0</v>
      </c>
      <c r="R1538" s="356" t="e">
        <f t="shared" si="1325"/>
        <v>#N/A</v>
      </c>
      <c r="S1538" s="356" t="str">
        <f>IF(D1538="","",IF(OR(D1538=Plano!$A$1,D1538=Plano!$B$1),"entrada","saída"))</f>
        <v/>
      </c>
      <c r="T1538" s="345"/>
      <c r="U1538" s="345"/>
      <c r="V1538" s="269"/>
      <c r="W1538" s="269"/>
    </row>
    <row r="1539" spans="1:23" ht="120" customHeight="1" x14ac:dyDescent="0.2">
      <c r="A1539" s="403" t="str">
        <f t="shared" si="0"/>
        <v/>
      </c>
      <c r="B1539" s="278"/>
      <c r="C1539" s="256"/>
      <c r="D1539" s="255"/>
      <c r="E1539" s="255"/>
      <c r="F1539" s="258"/>
      <c r="G1539" s="255"/>
      <c r="H1539" s="255"/>
      <c r="I1539" s="250"/>
      <c r="J1539" s="255"/>
      <c r="K1539" s="255"/>
      <c r="L1539" s="250"/>
      <c r="M1539" s="255"/>
      <c r="N1539" s="277"/>
      <c r="O1539" s="329"/>
      <c r="P1539" s="402">
        <f t="shared" ref="P1539:Q1539" si="1537">IF(B1539=0,0,IF(YEAR(B1539)=$Q$1,MONTH(B1539)-$P$1+1,(YEAR(B1539)-$Q$1)*12-$P$1+1+MONTH(B1539)))</f>
        <v>0</v>
      </c>
      <c r="Q1539" s="402">
        <f t="shared" si="1537"/>
        <v>0</v>
      </c>
      <c r="R1539" s="356" t="e">
        <f t="shared" si="1325"/>
        <v>#N/A</v>
      </c>
      <c r="S1539" s="356" t="str">
        <f>IF(D1539="","",IF(OR(D1539=Plano!$A$1,D1539=Plano!$B$1),"entrada","saída"))</f>
        <v/>
      </c>
      <c r="T1539" s="345"/>
      <c r="U1539" s="345"/>
      <c r="V1539" s="269"/>
      <c r="W1539" s="269"/>
    </row>
    <row r="1540" spans="1:23" ht="120" customHeight="1" x14ac:dyDescent="0.2">
      <c r="A1540" s="403" t="str">
        <f t="shared" si="0"/>
        <v/>
      </c>
      <c r="B1540" s="278"/>
      <c r="C1540" s="256"/>
      <c r="D1540" s="255"/>
      <c r="E1540" s="255"/>
      <c r="F1540" s="258"/>
      <c r="G1540" s="255"/>
      <c r="H1540" s="255"/>
      <c r="I1540" s="250"/>
      <c r="J1540" s="255"/>
      <c r="K1540" s="255"/>
      <c r="L1540" s="250"/>
      <c r="M1540" s="255"/>
      <c r="N1540" s="277"/>
      <c r="O1540" s="329"/>
      <c r="P1540" s="402">
        <f t="shared" ref="P1540:Q1540" si="1538">IF(B1540=0,0,IF(YEAR(B1540)=$Q$1,MONTH(B1540)-$P$1+1,(YEAR(B1540)-$Q$1)*12-$P$1+1+MONTH(B1540)))</f>
        <v>0</v>
      </c>
      <c r="Q1540" s="402">
        <f t="shared" si="1538"/>
        <v>0</v>
      </c>
      <c r="R1540" s="356" t="e">
        <f t="shared" si="1325"/>
        <v>#N/A</v>
      </c>
      <c r="S1540" s="356" t="str">
        <f>IF(D1540="","",IF(OR(D1540=Plano!$A$1,D1540=Plano!$B$1),"entrada","saída"))</f>
        <v/>
      </c>
      <c r="T1540" s="345"/>
      <c r="U1540" s="345"/>
      <c r="V1540" s="269"/>
      <c r="W1540" s="269"/>
    </row>
    <row r="1541" spans="1:23" ht="120" customHeight="1" x14ac:dyDescent="0.2">
      <c r="A1541" s="403" t="str">
        <f t="shared" si="0"/>
        <v/>
      </c>
      <c r="B1541" s="278"/>
      <c r="C1541" s="256"/>
      <c r="D1541" s="255"/>
      <c r="E1541" s="255"/>
      <c r="F1541" s="258"/>
      <c r="G1541" s="255"/>
      <c r="H1541" s="255"/>
      <c r="I1541" s="250"/>
      <c r="J1541" s="255"/>
      <c r="K1541" s="255"/>
      <c r="L1541" s="250"/>
      <c r="M1541" s="255"/>
      <c r="N1541" s="277"/>
      <c r="O1541" s="329"/>
      <c r="P1541" s="402">
        <f t="shared" ref="P1541:Q1541" si="1539">IF(B1541=0,0,IF(YEAR(B1541)=$Q$1,MONTH(B1541)-$P$1+1,(YEAR(B1541)-$Q$1)*12-$P$1+1+MONTH(B1541)))</f>
        <v>0</v>
      </c>
      <c r="Q1541" s="402">
        <f t="shared" si="1539"/>
        <v>0</v>
      </c>
      <c r="R1541" s="356" t="e">
        <f t="shared" si="1325"/>
        <v>#N/A</v>
      </c>
      <c r="S1541" s="356" t="str">
        <f>IF(D1541="","",IF(OR(D1541=Plano!$A$1,D1541=Plano!$B$1),"entrada","saída"))</f>
        <v/>
      </c>
      <c r="T1541" s="345"/>
      <c r="U1541" s="345"/>
      <c r="V1541" s="269"/>
      <c r="W1541" s="269"/>
    </row>
    <row r="1542" spans="1:23" ht="120" customHeight="1" x14ac:dyDescent="0.2">
      <c r="A1542" s="403" t="str">
        <f t="shared" si="0"/>
        <v/>
      </c>
      <c r="B1542" s="278"/>
      <c r="C1542" s="256"/>
      <c r="D1542" s="255"/>
      <c r="E1542" s="255"/>
      <c r="F1542" s="258"/>
      <c r="G1542" s="255"/>
      <c r="H1542" s="255"/>
      <c r="I1542" s="250"/>
      <c r="J1542" s="255"/>
      <c r="K1542" s="255"/>
      <c r="L1542" s="250"/>
      <c r="M1542" s="255"/>
      <c r="N1542" s="277"/>
      <c r="O1542" s="329"/>
      <c r="P1542" s="402">
        <f t="shared" ref="P1542:Q1542" si="1540">IF(B1542=0,0,IF(YEAR(B1542)=$Q$1,MONTH(B1542)-$P$1+1,(YEAR(B1542)-$Q$1)*12-$P$1+1+MONTH(B1542)))</f>
        <v>0</v>
      </c>
      <c r="Q1542" s="402">
        <f t="shared" si="1540"/>
        <v>0</v>
      </c>
      <c r="R1542" s="356" t="e">
        <f t="shared" si="1325"/>
        <v>#N/A</v>
      </c>
      <c r="S1542" s="356" t="str">
        <f>IF(D1542="","",IF(OR(D1542=Plano!$A$1,D1542=Plano!$B$1),"entrada","saída"))</f>
        <v/>
      </c>
      <c r="T1542" s="345"/>
      <c r="U1542" s="345"/>
      <c r="V1542" s="269"/>
      <c r="W1542" s="269"/>
    </row>
    <row r="1543" spans="1:23" ht="120" customHeight="1" x14ac:dyDescent="0.2">
      <c r="A1543" s="403" t="str">
        <f t="shared" si="0"/>
        <v/>
      </c>
      <c r="B1543" s="278"/>
      <c r="C1543" s="256"/>
      <c r="D1543" s="255"/>
      <c r="E1543" s="255"/>
      <c r="F1543" s="258"/>
      <c r="G1543" s="255"/>
      <c r="H1543" s="255"/>
      <c r="I1543" s="250"/>
      <c r="J1543" s="255"/>
      <c r="K1543" s="255"/>
      <c r="L1543" s="250"/>
      <c r="M1543" s="255"/>
      <c r="N1543" s="277"/>
      <c r="O1543" s="329"/>
      <c r="P1543" s="402">
        <f t="shared" ref="P1543:Q1543" si="1541">IF(B1543=0,0,IF(YEAR(B1543)=$Q$1,MONTH(B1543)-$P$1+1,(YEAR(B1543)-$Q$1)*12-$P$1+1+MONTH(B1543)))</f>
        <v>0</v>
      </c>
      <c r="Q1543" s="402">
        <f t="shared" si="1541"/>
        <v>0</v>
      </c>
      <c r="R1543" s="356" t="e">
        <f t="shared" si="1325"/>
        <v>#N/A</v>
      </c>
      <c r="S1543" s="356" t="str">
        <f>IF(D1543="","",IF(OR(D1543=Plano!$A$1,D1543=Plano!$B$1),"entrada","saída"))</f>
        <v/>
      </c>
      <c r="T1543" s="345"/>
      <c r="U1543" s="345"/>
      <c r="V1543" s="269"/>
      <c r="W1543" s="269"/>
    </row>
    <row r="1544" spans="1:23" ht="120" customHeight="1" x14ac:dyDescent="0.2">
      <c r="A1544" s="403" t="str">
        <f t="shared" si="0"/>
        <v/>
      </c>
      <c r="B1544" s="278"/>
      <c r="C1544" s="256"/>
      <c r="D1544" s="255"/>
      <c r="E1544" s="255"/>
      <c r="F1544" s="258"/>
      <c r="G1544" s="255"/>
      <c r="H1544" s="255"/>
      <c r="I1544" s="250"/>
      <c r="J1544" s="255"/>
      <c r="K1544" s="255"/>
      <c r="L1544" s="250"/>
      <c r="M1544" s="255"/>
      <c r="N1544" s="277"/>
      <c r="O1544" s="329"/>
      <c r="P1544" s="402">
        <f t="shared" ref="P1544:Q1544" si="1542">IF(B1544=0,0,IF(YEAR(B1544)=$Q$1,MONTH(B1544)-$P$1+1,(YEAR(B1544)-$Q$1)*12-$P$1+1+MONTH(B1544)))</f>
        <v>0</v>
      </c>
      <c r="Q1544" s="402">
        <f t="shared" si="1542"/>
        <v>0</v>
      </c>
      <c r="R1544" s="356" t="e">
        <f t="shared" si="1325"/>
        <v>#N/A</v>
      </c>
      <c r="S1544" s="356" t="str">
        <f>IF(D1544="","",IF(OR(D1544=Plano!$A$1,D1544=Plano!$B$1),"entrada","saída"))</f>
        <v/>
      </c>
      <c r="T1544" s="345"/>
      <c r="U1544" s="345"/>
      <c r="V1544" s="269"/>
      <c r="W1544" s="269"/>
    </row>
    <row r="1545" spans="1:23" ht="120" customHeight="1" x14ac:dyDescent="0.2">
      <c r="A1545" s="403" t="str">
        <f t="shared" si="0"/>
        <v/>
      </c>
      <c r="B1545" s="278"/>
      <c r="C1545" s="256"/>
      <c r="D1545" s="255"/>
      <c r="E1545" s="255"/>
      <c r="F1545" s="258"/>
      <c r="G1545" s="255"/>
      <c r="H1545" s="255"/>
      <c r="I1545" s="250"/>
      <c r="J1545" s="255"/>
      <c r="K1545" s="255"/>
      <c r="L1545" s="250"/>
      <c r="M1545" s="255"/>
      <c r="N1545" s="277"/>
      <c r="O1545" s="329"/>
      <c r="P1545" s="402">
        <f t="shared" ref="P1545:Q1545" si="1543">IF(B1545=0,0,IF(YEAR(B1545)=$Q$1,MONTH(B1545)-$P$1+1,(YEAR(B1545)-$Q$1)*12-$P$1+1+MONTH(B1545)))</f>
        <v>0</v>
      </c>
      <c r="Q1545" s="402">
        <f t="shared" si="1543"/>
        <v>0</v>
      </c>
      <c r="R1545" s="356" t="e">
        <f t="shared" si="1325"/>
        <v>#N/A</v>
      </c>
      <c r="S1545" s="356" t="str">
        <f>IF(D1545="","",IF(OR(D1545=Plano!$A$1,D1545=Plano!$B$1),"entrada","saída"))</f>
        <v/>
      </c>
      <c r="T1545" s="345"/>
      <c r="U1545" s="345"/>
      <c r="V1545" s="269"/>
      <c r="W1545" s="269"/>
    </row>
    <row r="1546" spans="1:23" ht="120" customHeight="1" x14ac:dyDescent="0.2">
      <c r="A1546" s="403" t="str">
        <f t="shared" si="0"/>
        <v/>
      </c>
      <c r="B1546" s="278"/>
      <c r="C1546" s="256"/>
      <c r="D1546" s="255"/>
      <c r="E1546" s="255"/>
      <c r="F1546" s="258"/>
      <c r="G1546" s="255"/>
      <c r="H1546" s="255"/>
      <c r="I1546" s="250"/>
      <c r="J1546" s="255"/>
      <c r="K1546" s="255"/>
      <c r="L1546" s="250"/>
      <c r="M1546" s="255"/>
      <c r="N1546" s="277"/>
      <c r="O1546" s="329"/>
      <c r="P1546" s="402">
        <f t="shared" ref="P1546:Q1546" si="1544">IF(B1546=0,0,IF(YEAR(B1546)=$Q$1,MONTH(B1546)-$P$1+1,(YEAR(B1546)-$Q$1)*12-$P$1+1+MONTH(B1546)))</f>
        <v>0</v>
      </c>
      <c r="Q1546" s="402">
        <f t="shared" si="1544"/>
        <v>0</v>
      </c>
      <c r="R1546" s="356" t="e">
        <f t="shared" si="1325"/>
        <v>#N/A</v>
      </c>
      <c r="S1546" s="356" t="str">
        <f>IF(D1546="","",IF(OR(D1546=Plano!$A$1,D1546=Plano!$B$1),"entrada","saída"))</f>
        <v/>
      </c>
      <c r="T1546" s="345"/>
      <c r="U1546" s="345"/>
      <c r="V1546" s="269"/>
      <c r="W1546" s="269"/>
    </row>
    <row r="1547" spans="1:23" ht="120" customHeight="1" x14ac:dyDescent="0.2">
      <c r="A1547" s="403" t="str">
        <f t="shared" si="0"/>
        <v/>
      </c>
      <c r="B1547" s="278"/>
      <c r="C1547" s="256"/>
      <c r="D1547" s="255"/>
      <c r="E1547" s="255"/>
      <c r="F1547" s="258"/>
      <c r="G1547" s="255"/>
      <c r="H1547" s="255"/>
      <c r="I1547" s="250"/>
      <c r="J1547" s="255"/>
      <c r="K1547" s="255"/>
      <c r="L1547" s="250"/>
      <c r="M1547" s="255"/>
      <c r="N1547" s="277"/>
      <c r="O1547" s="329"/>
      <c r="P1547" s="402">
        <f t="shared" ref="P1547:Q1547" si="1545">IF(B1547=0,0,IF(YEAR(B1547)=$Q$1,MONTH(B1547)-$P$1+1,(YEAR(B1547)-$Q$1)*12-$P$1+1+MONTH(B1547)))</f>
        <v>0</v>
      </c>
      <c r="Q1547" s="402">
        <f t="shared" si="1545"/>
        <v>0</v>
      </c>
      <c r="R1547" s="356" t="e">
        <f t="shared" si="1325"/>
        <v>#N/A</v>
      </c>
      <c r="S1547" s="356" t="str">
        <f>IF(D1547="","",IF(OR(D1547=Plano!$A$1,D1547=Plano!$B$1),"entrada","saída"))</f>
        <v/>
      </c>
      <c r="T1547" s="345"/>
      <c r="U1547" s="345"/>
      <c r="V1547" s="269"/>
      <c r="W1547" s="269"/>
    </row>
    <row r="1548" spans="1:23" ht="120" customHeight="1" x14ac:dyDescent="0.2">
      <c r="A1548" s="403" t="str">
        <f t="shared" si="0"/>
        <v/>
      </c>
      <c r="B1548" s="278"/>
      <c r="C1548" s="256"/>
      <c r="D1548" s="255"/>
      <c r="E1548" s="255"/>
      <c r="F1548" s="258"/>
      <c r="G1548" s="255"/>
      <c r="H1548" s="255"/>
      <c r="I1548" s="250"/>
      <c r="J1548" s="255"/>
      <c r="K1548" s="255"/>
      <c r="L1548" s="250"/>
      <c r="M1548" s="255"/>
      <c r="N1548" s="277"/>
      <c r="O1548" s="329"/>
      <c r="P1548" s="402">
        <f t="shared" ref="P1548:Q1548" si="1546">IF(B1548=0,0,IF(YEAR(B1548)=$Q$1,MONTH(B1548)-$P$1+1,(YEAR(B1548)-$Q$1)*12-$P$1+1+MONTH(B1548)))</f>
        <v>0</v>
      </c>
      <c r="Q1548" s="402">
        <f t="shared" si="1546"/>
        <v>0</v>
      </c>
      <c r="R1548" s="356" t="e">
        <f t="shared" si="1325"/>
        <v>#N/A</v>
      </c>
      <c r="S1548" s="356" t="str">
        <f>IF(D1548="","",IF(OR(D1548=Plano!$A$1,D1548=Plano!$B$1),"entrada","saída"))</f>
        <v/>
      </c>
      <c r="T1548" s="345"/>
      <c r="U1548" s="345"/>
      <c r="V1548" s="269"/>
      <c r="W1548" s="269"/>
    </row>
    <row r="1549" spans="1:23" ht="120" customHeight="1" x14ac:dyDescent="0.2">
      <c r="A1549" s="403" t="str">
        <f t="shared" si="0"/>
        <v/>
      </c>
      <c r="B1549" s="278"/>
      <c r="C1549" s="256"/>
      <c r="D1549" s="255"/>
      <c r="E1549" s="255"/>
      <c r="F1549" s="258"/>
      <c r="G1549" s="255"/>
      <c r="H1549" s="255"/>
      <c r="I1549" s="250"/>
      <c r="J1549" s="255"/>
      <c r="K1549" s="255"/>
      <c r="L1549" s="250"/>
      <c r="M1549" s="255"/>
      <c r="N1549" s="277"/>
      <c r="O1549" s="329"/>
      <c r="P1549" s="402">
        <f t="shared" ref="P1549:Q1549" si="1547">IF(B1549=0,0,IF(YEAR(B1549)=$Q$1,MONTH(B1549)-$P$1+1,(YEAR(B1549)-$Q$1)*12-$P$1+1+MONTH(B1549)))</f>
        <v>0</v>
      </c>
      <c r="Q1549" s="402">
        <f t="shared" si="1547"/>
        <v>0</v>
      </c>
      <c r="R1549" s="356" t="e">
        <f t="shared" si="1325"/>
        <v>#N/A</v>
      </c>
      <c r="S1549" s="356" t="str">
        <f>IF(D1549="","",IF(OR(D1549=Plano!$A$1,D1549=Plano!$B$1),"entrada","saída"))</f>
        <v/>
      </c>
      <c r="T1549" s="345"/>
      <c r="U1549" s="345"/>
      <c r="V1549" s="269"/>
      <c r="W1549" s="269"/>
    </row>
    <row r="1550" spans="1:23" ht="120" customHeight="1" x14ac:dyDescent="0.2">
      <c r="A1550" s="403" t="str">
        <f t="shared" si="0"/>
        <v/>
      </c>
      <c r="B1550" s="278"/>
      <c r="C1550" s="256"/>
      <c r="D1550" s="255"/>
      <c r="E1550" s="255"/>
      <c r="F1550" s="258"/>
      <c r="G1550" s="255"/>
      <c r="H1550" s="255"/>
      <c r="I1550" s="250"/>
      <c r="J1550" s="255"/>
      <c r="K1550" s="255"/>
      <c r="L1550" s="250"/>
      <c r="M1550" s="255"/>
      <c r="N1550" s="277"/>
      <c r="O1550" s="329"/>
      <c r="P1550" s="402">
        <f t="shared" ref="P1550:Q1550" si="1548">IF(B1550=0,0,IF(YEAR(B1550)=$Q$1,MONTH(B1550)-$P$1+1,(YEAR(B1550)-$Q$1)*12-$P$1+1+MONTH(B1550)))</f>
        <v>0</v>
      </c>
      <c r="Q1550" s="402">
        <f t="shared" si="1548"/>
        <v>0</v>
      </c>
      <c r="R1550" s="356" t="e">
        <f t="shared" si="1325"/>
        <v>#N/A</v>
      </c>
      <c r="S1550" s="356" t="str">
        <f>IF(D1550="","",IF(OR(D1550=Plano!$A$1,D1550=Plano!$B$1),"entrada","saída"))</f>
        <v/>
      </c>
      <c r="T1550" s="345"/>
      <c r="U1550" s="345"/>
      <c r="V1550" s="269"/>
      <c r="W1550" s="269"/>
    </row>
    <row r="1551" spans="1:23" ht="120" customHeight="1" x14ac:dyDescent="0.2">
      <c r="A1551" s="403" t="str">
        <f t="shared" si="0"/>
        <v/>
      </c>
      <c r="B1551" s="278"/>
      <c r="C1551" s="256"/>
      <c r="D1551" s="255"/>
      <c r="E1551" s="255"/>
      <c r="F1551" s="258"/>
      <c r="G1551" s="255"/>
      <c r="H1551" s="255"/>
      <c r="I1551" s="250"/>
      <c r="J1551" s="255"/>
      <c r="K1551" s="255"/>
      <c r="L1551" s="250"/>
      <c r="M1551" s="255"/>
      <c r="N1551" s="277"/>
      <c r="O1551" s="329"/>
      <c r="P1551" s="402">
        <f t="shared" ref="P1551:Q1551" si="1549">IF(B1551=0,0,IF(YEAR(B1551)=$Q$1,MONTH(B1551)-$P$1+1,(YEAR(B1551)-$Q$1)*12-$P$1+1+MONTH(B1551)))</f>
        <v>0</v>
      </c>
      <c r="Q1551" s="402">
        <f t="shared" si="1549"/>
        <v>0</v>
      </c>
      <c r="R1551" s="356" t="e">
        <f t="shared" si="1325"/>
        <v>#N/A</v>
      </c>
      <c r="S1551" s="356" t="str">
        <f>IF(D1551="","",IF(OR(D1551=Plano!$A$1,D1551=Plano!$B$1),"entrada","saída"))</f>
        <v/>
      </c>
      <c r="T1551" s="345"/>
      <c r="U1551" s="345"/>
      <c r="V1551" s="269"/>
      <c r="W1551" s="269"/>
    </row>
    <row r="1552" spans="1:23" ht="120" customHeight="1" x14ac:dyDescent="0.2">
      <c r="A1552" s="403" t="str">
        <f t="shared" si="0"/>
        <v/>
      </c>
      <c r="B1552" s="278"/>
      <c r="C1552" s="256"/>
      <c r="D1552" s="255"/>
      <c r="E1552" s="255"/>
      <c r="F1552" s="258"/>
      <c r="G1552" s="255"/>
      <c r="H1552" s="255"/>
      <c r="I1552" s="250"/>
      <c r="J1552" s="255"/>
      <c r="K1552" s="255"/>
      <c r="L1552" s="250"/>
      <c r="M1552" s="255"/>
      <c r="N1552" s="277"/>
      <c r="O1552" s="329"/>
      <c r="P1552" s="402">
        <f t="shared" ref="P1552:Q1552" si="1550">IF(B1552=0,0,IF(YEAR(B1552)=$Q$1,MONTH(B1552)-$P$1+1,(YEAR(B1552)-$Q$1)*12-$P$1+1+MONTH(B1552)))</f>
        <v>0</v>
      </c>
      <c r="Q1552" s="402">
        <f t="shared" si="1550"/>
        <v>0</v>
      </c>
      <c r="R1552" s="356" t="e">
        <f t="shared" si="1325"/>
        <v>#N/A</v>
      </c>
      <c r="S1552" s="356" t="str">
        <f>IF(D1552="","",IF(OR(D1552=Plano!$A$1,D1552=Plano!$B$1),"entrada","saída"))</f>
        <v/>
      </c>
      <c r="T1552" s="345"/>
      <c r="U1552" s="345"/>
      <c r="V1552" s="269"/>
      <c r="W1552" s="269"/>
    </row>
    <row r="1553" spans="1:23" ht="120" customHeight="1" x14ac:dyDescent="0.2">
      <c r="A1553" s="403" t="str">
        <f t="shared" si="0"/>
        <v/>
      </c>
      <c r="B1553" s="278"/>
      <c r="C1553" s="256"/>
      <c r="D1553" s="255"/>
      <c r="E1553" s="255"/>
      <c r="F1553" s="258"/>
      <c r="G1553" s="255"/>
      <c r="H1553" s="255"/>
      <c r="I1553" s="250"/>
      <c r="J1553" s="255"/>
      <c r="K1553" s="255"/>
      <c r="L1553" s="250"/>
      <c r="M1553" s="255"/>
      <c r="N1553" s="277"/>
      <c r="O1553" s="329"/>
      <c r="P1553" s="402">
        <f t="shared" ref="P1553:Q1553" si="1551">IF(B1553=0,0,IF(YEAR(B1553)=$Q$1,MONTH(B1553)-$P$1+1,(YEAR(B1553)-$Q$1)*12-$P$1+1+MONTH(B1553)))</f>
        <v>0</v>
      </c>
      <c r="Q1553" s="402">
        <f t="shared" si="1551"/>
        <v>0</v>
      </c>
      <c r="R1553" s="356" t="e">
        <f t="shared" si="1325"/>
        <v>#N/A</v>
      </c>
      <c r="S1553" s="356" t="str">
        <f>IF(D1553="","",IF(OR(D1553=Plano!$A$1,D1553=Plano!$B$1),"entrada","saída"))</f>
        <v/>
      </c>
      <c r="T1553" s="345"/>
      <c r="U1553" s="345"/>
      <c r="V1553" s="269"/>
      <c r="W1553" s="269"/>
    </row>
    <row r="1554" spans="1:23" ht="120" customHeight="1" x14ac:dyDescent="0.2">
      <c r="A1554" s="403" t="str">
        <f t="shared" si="0"/>
        <v/>
      </c>
      <c r="B1554" s="278"/>
      <c r="C1554" s="256"/>
      <c r="D1554" s="255"/>
      <c r="E1554" s="255"/>
      <c r="F1554" s="258"/>
      <c r="G1554" s="255"/>
      <c r="H1554" s="255"/>
      <c r="I1554" s="250"/>
      <c r="J1554" s="255"/>
      <c r="K1554" s="255"/>
      <c r="L1554" s="250"/>
      <c r="M1554" s="255"/>
      <c r="N1554" s="277"/>
      <c r="O1554" s="329"/>
      <c r="P1554" s="402">
        <f t="shared" ref="P1554:Q1554" si="1552">IF(B1554=0,0,IF(YEAR(B1554)=$Q$1,MONTH(B1554)-$P$1+1,(YEAR(B1554)-$Q$1)*12-$P$1+1+MONTH(B1554)))</f>
        <v>0</v>
      </c>
      <c r="Q1554" s="402">
        <f t="shared" si="1552"/>
        <v>0</v>
      </c>
      <c r="R1554" s="356" t="e">
        <f t="shared" si="1325"/>
        <v>#N/A</v>
      </c>
      <c r="S1554" s="356" t="str">
        <f>IF(D1554="","",IF(OR(D1554=Plano!$A$1,D1554=Plano!$B$1),"entrada","saída"))</f>
        <v/>
      </c>
      <c r="T1554" s="345"/>
      <c r="U1554" s="345"/>
      <c r="V1554" s="269"/>
      <c r="W1554" s="269"/>
    </row>
    <row r="1555" spans="1:23" ht="120" customHeight="1" x14ac:dyDescent="0.2">
      <c r="A1555" s="403" t="str">
        <f t="shared" si="0"/>
        <v/>
      </c>
      <c r="B1555" s="278"/>
      <c r="C1555" s="256"/>
      <c r="D1555" s="255"/>
      <c r="E1555" s="255"/>
      <c r="F1555" s="258"/>
      <c r="G1555" s="255"/>
      <c r="H1555" s="255"/>
      <c r="I1555" s="250"/>
      <c r="J1555" s="255"/>
      <c r="K1555" s="255"/>
      <c r="L1555" s="250"/>
      <c r="M1555" s="255"/>
      <c r="N1555" s="277"/>
      <c r="O1555" s="329"/>
      <c r="P1555" s="402">
        <f t="shared" ref="P1555:Q1555" si="1553">IF(B1555=0,0,IF(YEAR(B1555)=$Q$1,MONTH(B1555)-$P$1+1,(YEAR(B1555)-$Q$1)*12-$P$1+1+MONTH(B1555)))</f>
        <v>0</v>
      </c>
      <c r="Q1555" s="402">
        <f t="shared" si="1553"/>
        <v>0</v>
      </c>
      <c r="R1555" s="356" t="e">
        <f t="shared" si="1325"/>
        <v>#N/A</v>
      </c>
      <c r="S1555" s="356" t="str">
        <f>IF(D1555="","",IF(OR(D1555=Plano!$A$1,D1555=Plano!$B$1),"entrada","saída"))</f>
        <v/>
      </c>
      <c r="T1555" s="345"/>
      <c r="U1555" s="345"/>
      <c r="V1555" s="269"/>
      <c r="W1555" s="269"/>
    </row>
    <row r="1556" spans="1:23" ht="120" customHeight="1" x14ac:dyDescent="0.2">
      <c r="A1556" s="403" t="str">
        <f t="shared" si="0"/>
        <v/>
      </c>
      <c r="B1556" s="278"/>
      <c r="C1556" s="256"/>
      <c r="D1556" s="255"/>
      <c r="E1556" s="255"/>
      <c r="F1556" s="258"/>
      <c r="G1556" s="255"/>
      <c r="H1556" s="255"/>
      <c r="I1556" s="250"/>
      <c r="J1556" s="255"/>
      <c r="K1556" s="255"/>
      <c r="L1556" s="250"/>
      <c r="M1556" s="255"/>
      <c r="N1556" s="277"/>
      <c r="O1556" s="329"/>
      <c r="P1556" s="402">
        <f t="shared" ref="P1556:Q1556" si="1554">IF(B1556=0,0,IF(YEAR(B1556)=$Q$1,MONTH(B1556)-$P$1+1,(YEAR(B1556)-$Q$1)*12-$P$1+1+MONTH(B1556)))</f>
        <v>0</v>
      </c>
      <c r="Q1556" s="402">
        <f t="shared" si="1554"/>
        <v>0</v>
      </c>
      <c r="R1556" s="356" t="e">
        <f t="shared" si="1325"/>
        <v>#N/A</v>
      </c>
      <c r="S1556" s="356" t="str">
        <f>IF(D1556="","",IF(OR(D1556=Plano!$A$1,D1556=Plano!$B$1),"entrada","saída"))</f>
        <v/>
      </c>
      <c r="T1556" s="345"/>
      <c r="U1556" s="345"/>
      <c r="V1556" s="269"/>
      <c r="W1556" s="269"/>
    </row>
    <row r="1557" spans="1:23" ht="120" customHeight="1" x14ac:dyDescent="0.2">
      <c r="A1557" s="403" t="str">
        <f t="shared" si="0"/>
        <v/>
      </c>
      <c r="B1557" s="278"/>
      <c r="C1557" s="256"/>
      <c r="D1557" s="255"/>
      <c r="E1557" s="255"/>
      <c r="F1557" s="258"/>
      <c r="G1557" s="255"/>
      <c r="H1557" s="255"/>
      <c r="I1557" s="250"/>
      <c r="J1557" s="255"/>
      <c r="K1557" s="255"/>
      <c r="L1557" s="250"/>
      <c r="M1557" s="255"/>
      <c r="N1557" s="277"/>
      <c r="O1557" s="329"/>
      <c r="P1557" s="402">
        <f t="shared" ref="P1557:Q1557" si="1555">IF(B1557=0,0,IF(YEAR(B1557)=$Q$1,MONTH(B1557)-$P$1+1,(YEAR(B1557)-$Q$1)*12-$P$1+1+MONTH(B1557)))</f>
        <v>0</v>
      </c>
      <c r="Q1557" s="402">
        <f t="shared" si="1555"/>
        <v>0</v>
      </c>
      <c r="R1557" s="356" t="e">
        <f t="shared" si="1325"/>
        <v>#N/A</v>
      </c>
      <c r="S1557" s="356" t="str">
        <f>IF(D1557="","",IF(OR(D1557=Plano!$A$1,D1557=Plano!$B$1),"entrada","saída"))</f>
        <v/>
      </c>
      <c r="T1557" s="345"/>
      <c r="U1557" s="345"/>
      <c r="V1557" s="269"/>
      <c r="W1557" s="269"/>
    </row>
    <row r="1558" spans="1:23" ht="120" customHeight="1" x14ac:dyDescent="0.2">
      <c r="A1558" s="403" t="str">
        <f t="shared" si="0"/>
        <v/>
      </c>
      <c r="B1558" s="278"/>
      <c r="C1558" s="256"/>
      <c r="D1558" s="255"/>
      <c r="E1558" s="255"/>
      <c r="F1558" s="258"/>
      <c r="G1558" s="255"/>
      <c r="H1558" s="255"/>
      <c r="I1558" s="250"/>
      <c r="J1558" s="255"/>
      <c r="K1558" s="255"/>
      <c r="L1558" s="250"/>
      <c r="M1558" s="255"/>
      <c r="N1558" s="277"/>
      <c r="O1558" s="329"/>
      <c r="P1558" s="402">
        <f t="shared" ref="P1558:Q1558" si="1556">IF(B1558=0,0,IF(YEAR(B1558)=$Q$1,MONTH(B1558)-$P$1+1,(YEAR(B1558)-$Q$1)*12-$P$1+1+MONTH(B1558)))</f>
        <v>0</v>
      </c>
      <c r="Q1558" s="402">
        <f t="shared" si="1556"/>
        <v>0</v>
      </c>
      <c r="R1558" s="356" t="e">
        <f t="shared" si="1325"/>
        <v>#N/A</v>
      </c>
      <c r="S1558" s="356" t="str">
        <f>IF(D1558="","",IF(OR(D1558=Plano!$A$1,D1558=Plano!$B$1),"entrada","saída"))</f>
        <v/>
      </c>
      <c r="T1558" s="345"/>
      <c r="U1558" s="345"/>
      <c r="V1558" s="269"/>
      <c r="W1558" s="269"/>
    </row>
    <row r="1559" spans="1:23" ht="120" customHeight="1" x14ac:dyDescent="0.2">
      <c r="A1559" s="403" t="str">
        <f t="shared" si="0"/>
        <v/>
      </c>
      <c r="B1559" s="278"/>
      <c r="C1559" s="256"/>
      <c r="D1559" s="255"/>
      <c r="E1559" s="255"/>
      <c r="F1559" s="258"/>
      <c r="G1559" s="255"/>
      <c r="H1559" s="255"/>
      <c r="I1559" s="250"/>
      <c r="J1559" s="255"/>
      <c r="K1559" s="255"/>
      <c r="L1559" s="250"/>
      <c r="M1559" s="255"/>
      <c r="N1559" s="277"/>
      <c r="O1559" s="329"/>
      <c r="P1559" s="402">
        <f t="shared" ref="P1559:Q1559" si="1557">IF(B1559=0,0,IF(YEAR(B1559)=$Q$1,MONTH(B1559)-$P$1+1,(YEAR(B1559)-$Q$1)*12-$P$1+1+MONTH(B1559)))</f>
        <v>0</v>
      </c>
      <c r="Q1559" s="402">
        <f t="shared" si="1557"/>
        <v>0</v>
      </c>
      <c r="R1559" s="356" t="e">
        <f t="shared" si="1325"/>
        <v>#N/A</v>
      </c>
      <c r="S1559" s="356" t="str">
        <f>IF(D1559="","",IF(OR(D1559=Plano!$A$1,D1559=Plano!$B$1),"entrada","saída"))</f>
        <v/>
      </c>
      <c r="T1559" s="345"/>
      <c r="U1559" s="345"/>
      <c r="V1559" s="269"/>
      <c r="W1559" s="269"/>
    </row>
    <row r="1560" spans="1:23" ht="120" customHeight="1" x14ac:dyDescent="0.2">
      <c r="A1560" s="403" t="str">
        <f t="shared" si="0"/>
        <v/>
      </c>
      <c r="B1560" s="278"/>
      <c r="C1560" s="256"/>
      <c r="D1560" s="255"/>
      <c r="E1560" s="255"/>
      <c r="F1560" s="258"/>
      <c r="G1560" s="255"/>
      <c r="H1560" s="255"/>
      <c r="I1560" s="250"/>
      <c r="J1560" s="255"/>
      <c r="K1560" s="255"/>
      <c r="L1560" s="250"/>
      <c r="M1560" s="255"/>
      <c r="N1560" s="277"/>
      <c r="O1560" s="329"/>
      <c r="P1560" s="402">
        <f t="shared" ref="P1560:Q1560" si="1558">IF(B1560=0,0,IF(YEAR(B1560)=$Q$1,MONTH(B1560)-$P$1+1,(YEAR(B1560)-$Q$1)*12-$P$1+1+MONTH(B1560)))</f>
        <v>0</v>
      </c>
      <c r="Q1560" s="402">
        <f t="shared" si="1558"/>
        <v>0</v>
      </c>
      <c r="R1560" s="356" t="e">
        <f t="shared" si="1325"/>
        <v>#N/A</v>
      </c>
      <c r="S1560" s="356" t="str">
        <f>IF(D1560="","",IF(OR(D1560=Plano!$A$1,D1560=Plano!$B$1),"entrada","saída"))</f>
        <v/>
      </c>
      <c r="T1560" s="345"/>
      <c r="U1560" s="345"/>
      <c r="V1560" s="269"/>
      <c r="W1560" s="269"/>
    </row>
    <row r="1561" spans="1:23" ht="120" customHeight="1" x14ac:dyDescent="0.2">
      <c r="A1561" s="403" t="str">
        <f t="shared" si="0"/>
        <v/>
      </c>
      <c r="B1561" s="278"/>
      <c r="C1561" s="256"/>
      <c r="D1561" s="255"/>
      <c r="E1561" s="255"/>
      <c r="F1561" s="258"/>
      <c r="G1561" s="255"/>
      <c r="H1561" s="255"/>
      <c r="I1561" s="250"/>
      <c r="J1561" s="255"/>
      <c r="K1561" s="255"/>
      <c r="L1561" s="250"/>
      <c r="M1561" s="255"/>
      <c r="N1561" s="277"/>
      <c r="O1561" s="329"/>
      <c r="P1561" s="402">
        <f t="shared" ref="P1561:Q1561" si="1559">IF(B1561=0,0,IF(YEAR(B1561)=$Q$1,MONTH(B1561)-$P$1+1,(YEAR(B1561)-$Q$1)*12-$P$1+1+MONTH(B1561)))</f>
        <v>0</v>
      </c>
      <c r="Q1561" s="402">
        <f t="shared" si="1559"/>
        <v>0</v>
      </c>
      <c r="R1561" s="356" t="e">
        <f t="shared" si="1325"/>
        <v>#N/A</v>
      </c>
      <c r="S1561" s="356" t="str">
        <f>IF(D1561="","",IF(OR(D1561=Plano!$A$1,D1561=Plano!$B$1),"entrada","saída"))</f>
        <v/>
      </c>
      <c r="T1561" s="345"/>
      <c r="U1561" s="345"/>
      <c r="V1561" s="269"/>
      <c r="W1561" s="269"/>
    </row>
    <row r="1562" spans="1:23" ht="120" customHeight="1" x14ac:dyDescent="0.2">
      <c r="A1562" s="403" t="str">
        <f t="shared" si="0"/>
        <v/>
      </c>
      <c r="B1562" s="278"/>
      <c r="C1562" s="256"/>
      <c r="D1562" s="255"/>
      <c r="E1562" s="255"/>
      <c r="F1562" s="258"/>
      <c r="G1562" s="255"/>
      <c r="H1562" s="255"/>
      <c r="I1562" s="250"/>
      <c r="J1562" s="255"/>
      <c r="K1562" s="255"/>
      <c r="L1562" s="250"/>
      <c r="M1562" s="255"/>
      <c r="N1562" s="277"/>
      <c r="O1562" s="329"/>
      <c r="P1562" s="402">
        <f t="shared" ref="P1562:Q1562" si="1560">IF(B1562=0,0,IF(YEAR(B1562)=$Q$1,MONTH(B1562)-$P$1+1,(YEAR(B1562)-$Q$1)*12-$P$1+1+MONTH(B1562)))</f>
        <v>0</v>
      </c>
      <c r="Q1562" s="402">
        <f t="shared" si="1560"/>
        <v>0</v>
      </c>
      <c r="R1562" s="356" t="e">
        <f t="shared" si="1325"/>
        <v>#N/A</v>
      </c>
      <c r="S1562" s="356" t="str">
        <f>IF(D1562="","",IF(OR(D1562=Plano!$A$1,D1562=Plano!$B$1),"entrada","saída"))</f>
        <v/>
      </c>
      <c r="T1562" s="345"/>
      <c r="U1562" s="345"/>
      <c r="V1562" s="269"/>
      <c r="W1562" s="269"/>
    </row>
    <row r="1563" spans="1:23" ht="120" customHeight="1" x14ac:dyDescent="0.2">
      <c r="A1563" s="403" t="str">
        <f t="shared" si="0"/>
        <v/>
      </c>
      <c r="B1563" s="278"/>
      <c r="C1563" s="256"/>
      <c r="D1563" s="255"/>
      <c r="E1563" s="255"/>
      <c r="F1563" s="258"/>
      <c r="G1563" s="255"/>
      <c r="H1563" s="255"/>
      <c r="I1563" s="250"/>
      <c r="J1563" s="255"/>
      <c r="K1563" s="255"/>
      <c r="L1563" s="250"/>
      <c r="M1563" s="255"/>
      <c r="N1563" s="277"/>
      <c r="O1563" s="329"/>
      <c r="P1563" s="402">
        <f t="shared" ref="P1563:Q1563" si="1561">IF(B1563=0,0,IF(YEAR(B1563)=$Q$1,MONTH(B1563)-$P$1+1,(YEAR(B1563)-$Q$1)*12-$P$1+1+MONTH(B1563)))</f>
        <v>0</v>
      </c>
      <c r="Q1563" s="402">
        <f t="shared" si="1561"/>
        <v>0</v>
      </c>
      <c r="R1563" s="356" t="e">
        <f t="shared" si="1325"/>
        <v>#N/A</v>
      </c>
      <c r="S1563" s="356" t="str">
        <f>IF(D1563="","",IF(OR(D1563=Plano!$A$1,D1563=Plano!$B$1),"entrada","saída"))</f>
        <v/>
      </c>
      <c r="T1563" s="345"/>
      <c r="U1563" s="345"/>
      <c r="V1563" s="269"/>
      <c r="W1563" s="269"/>
    </row>
    <row r="1564" spans="1:23" ht="120" customHeight="1" x14ac:dyDescent="0.2">
      <c r="A1564" s="403" t="str">
        <f t="shared" si="0"/>
        <v/>
      </c>
      <c r="B1564" s="278"/>
      <c r="C1564" s="256"/>
      <c r="D1564" s="255"/>
      <c r="E1564" s="255"/>
      <c r="F1564" s="258"/>
      <c r="G1564" s="255"/>
      <c r="H1564" s="255"/>
      <c r="I1564" s="250"/>
      <c r="J1564" s="255"/>
      <c r="K1564" s="255"/>
      <c r="L1564" s="250"/>
      <c r="M1564" s="255"/>
      <c r="N1564" s="277"/>
      <c r="O1564" s="329"/>
      <c r="P1564" s="402">
        <f t="shared" ref="P1564:Q1564" si="1562">IF(B1564=0,0,IF(YEAR(B1564)=$Q$1,MONTH(B1564)-$P$1+1,(YEAR(B1564)-$Q$1)*12-$P$1+1+MONTH(B1564)))</f>
        <v>0</v>
      </c>
      <c r="Q1564" s="402">
        <f t="shared" si="1562"/>
        <v>0</v>
      </c>
      <c r="R1564" s="356" t="e">
        <f t="shared" si="1325"/>
        <v>#N/A</v>
      </c>
      <c r="S1564" s="356" t="str">
        <f>IF(D1564="","",IF(OR(D1564=Plano!$A$1,D1564=Plano!$B$1),"entrada","saída"))</f>
        <v/>
      </c>
      <c r="T1564" s="345"/>
      <c r="U1564" s="345"/>
      <c r="V1564" s="269"/>
      <c r="W1564" s="269"/>
    </row>
    <row r="1565" spans="1:23" ht="120" customHeight="1" x14ac:dyDescent="0.2">
      <c r="A1565" s="403" t="str">
        <f t="shared" si="0"/>
        <v/>
      </c>
      <c r="B1565" s="278"/>
      <c r="C1565" s="256"/>
      <c r="D1565" s="255"/>
      <c r="E1565" s="255"/>
      <c r="F1565" s="258"/>
      <c r="G1565" s="255"/>
      <c r="H1565" s="255"/>
      <c r="I1565" s="250"/>
      <c r="J1565" s="255"/>
      <c r="K1565" s="255"/>
      <c r="L1565" s="250"/>
      <c r="M1565" s="255"/>
      <c r="N1565" s="277"/>
      <c r="O1565" s="329"/>
      <c r="P1565" s="402">
        <f t="shared" ref="P1565:Q1565" si="1563">IF(B1565=0,0,IF(YEAR(B1565)=$Q$1,MONTH(B1565)-$P$1+1,(YEAR(B1565)-$Q$1)*12-$P$1+1+MONTH(B1565)))</f>
        <v>0</v>
      </c>
      <c r="Q1565" s="402">
        <f t="shared" si="1563"/>
        <v>0</v>
      </c>
      <c r="R1565" s="356" t="e">
        <f t="shared" si="1325"/>
        <v>#N/A</v>
      </c>
      <c r="S1565" s="356" t="str">
        <f>IF(D1565="","",IF(OR(D1565=Plano!$A$1,D1565=Plano!$B$1),"entrada","saída"))</f>
        <v/>
      </c>
      <c r="T1565" s="345"/>
      <c r="U1565" s="345"/>
      <c r="V1565" s="269"/>
      <c r="W1565" s="269"/>
    </row>
    <row r="1566" spans="1:23" ht="120" customHeight="1" x14ac:dyDescent="0.2">
      <c r="A1566" s="403" t="str">
        <f t="shared" si="0"/>
        <v/>
      </c>
      <c r="B1566" s="278"/>
      <c r="C1566" s="256"/>
      <c r="D1566" s="255"/>
      <c r="E1566" s="255"/>
      <c r="F1566" s="258"/>
      <c r="G1566" s="255"/>
      <c r="H1566" s="255"/>
      <c r="I1566" s="250"/>
      <c r="J1566" s="255"/>
      <c r="K1566" s="255"/>
      <c r="L1566" s="250"/>
      <c r="M1566" s="255"/>
      <c r="N1566" s="277"/>
      <c r="O1566" s="329"/>
      <c r="P1566" s="402">
        <f t="shared" ref="P1566:Q1566" si="1564">IF(B1566=0,0,IF(YEAR(B1566)=$Q$1,MONTH(B1566)-$P$1+1,(YEAR(B1566)-$Q$1)*12-$P$1+1+MONTH(B1566)))</f>
        <v>0</v>
      </c>
      <c r="Q1566" s="402">
        <f t="shared" si="1564"/>
        <v>0</v>
      </c>
      <c r="R1566" s="356" t="e">
        <f t="shared" si="1325"/>
        <v>#N/A</v>
      </c>
      <c r="S1566" s="356" t="str">
        <f>IF(D1566="","",IF(OR(D1566=Plano!$A$1,D1566=Plano!$B$1),"entrada","saída"))</f>
        <v/>
      </c>
      <c r="T1566" s="345"/>
      <c r="U1566" s="345"/>
      <c r="V1566" s="269"/>
      <c r="W1566" s="269"/>
    </row>
    <row r="1567" spans="1:23" ht="120" customHeight="1" x14ac:dyDescent="0.2">
      <c r="A1567" s="403" t="str">
        <f t="shared" si="0"/>
        <v/>
      </c>
      <c r="B1567" s="278"/>
      <c r="C1567" s="256"/>
      <c r="D1567" s="255"/>
      <c r="E1567" s="255"/>
      <c r="F1567" s="258"/>
      <c r="G1567" s="255"/>
      <c r="H1567" s="255"/>
      <c r="I1567" s="250"/>
      <c r="J1567" s="255"/>
      <c r="K1567" s="255"/>
      <c r="L1567" s="250"/>
      <c r="M1567" s="255"/>
      <c r="N1567" s="277"/>
      <c r="O1567" s="329"/>
      <c r="P1567" s="402">
        <f t="shared" ref="P1567:Q1567" si="1565">IF(B1567=0,0,IF(YEAR(B1567)=$Q$1,MONTH(B1567)-$P$1+1,(YEAR(B1567)-$Q$1)*12-$P$1+1+MONTH(B1567)))</f>
        <v>0</v>
      </c>
      <c r="Q1567" s="402">
        <f t="shared" si="1565"/>
        <v>0</v>
      </c>
      <c r="R1567" s="356" t="e">
        <f t="shared" si="1325"/>
        <v>#N/A</v>
      </c>
      <c r="S1567" s="356" t="str">
        <f>IF(D1567="","",IF(OR(D1567=Plano!$A$1,D1567=Plano!$B$1),"entrada","saída"))</f>
        <v/>
      </c>
      <c r="T1567" s="345"/>
      <c r="U1567" s="345"/>
      <c r="V1567" s="269"/>
      <c r="W1567" s="269"/>
    </row>
    <row r="1568" spans="1:23" ht="120" customHeight="1" x14ac:dyDescent="0.2">
      <c r="A1568" s="403" t="str">
        <f t="shared" si="0"/>
        <v/>
      </c>
      <c r="B1568" s="278"/>
      <c r="C1568" s="256"/>
      <c r="D1568" s="255"/>
      <c r="E1568" s="255"/>
      <c r="F1568" s="258"/>
      <c r="G1568" s="255"/>
      <c r="H1568" s="255"/>
      <c r="I1568" s="250"/>
      <c r="J1568" s="255"/>
      <c r="K1568" s="255"/>
      <c r="L1568" s="250"/>
      <c r="M1568" s="255"/>
      <c r="N1568" s="277"/>
      <c r="O1568" s="329"/>
      <c r="P1568" s="402">
        <f t="shared" ref="P1568:Q1568" si="1566">IF(B1568=0,0,IF(YEAR(B1568)=$Q$1,MONTH(B1568)-$P$1+1,(YEAR(B1568)-$Q$1)*12-$P$1+1+MONTH(B1568)))</f>
        <v>0</v>
      </c>
      <c r="Q1568" s="402">
        <f t="shared" si="1566"/>
        <v>0</v>
      </c>
      <c r="R1568" s="356" t="e">
        <f t="shared" si="1325"/>
        <v>#N/A</v>
      </c>
      <c r="S1568" s="356" t="str">
        <f>IF(D1568="","",IF(OR(D1568=Plano!$A$1,D1568=Plano!$B$1),"entrada","saída"))</f>
        <v/>
      </c>
      <c r="T1568" s="345"/>
      <c r="U1568" s="345"/>
      <c r="V1568" s="269"/>
      <c r="W1568" s="269"/>
    </row>
    <row r="1569" spans="1:23" ht="120" customHeight="1" x14ac:dyDescent="0.2">
      <c r="A1569" s="403" t="str">
        <f t="shared" si="0"/>
        <v/>
      </c>
      <c r="B1569" s="278"/>
      <c r="C1569" s="256"/>
      <c r="D1569" s="255"/>
      <c r="E1569" s="255"/>
      <c r="F1569" s="258"/>
      <c r="G1569" s="255"/>
      <c r="H1569" s="255"/>
      <c r="I1569" s="250"/>
      <c r="J1569" s="255"/>
      <c r="K1569" s="255"/>
      <c r="L1569" s="250"/>
      <c r="M1569" s="255"/>
      <c r="N1569" s="277"/>
      <c r="O1569" s="329"/>
      <c r="P1569" s="402">
        <f t="shared" ref="P1569:Q1569" si="1567">IF(B1569=0,0,IF(YEAR(B1569)=$Q$1,MONTH(B1569)-$P$1+1,(YEAR(B1569)-$Q$1)*12-$P$1+1+MONTH(B1569)))</f>
        <v>0</v>
      </c>
      <c r="Q1569" s="402">
        <f t="shared" si="1567"/>
        <v>0</v>
      </c>
      <c r="R1569" s="356" t="e">
        <f t="shared" si="1325"/>
        <v>#N/A</v>
      </c>
      <c r="S1569" s="356" t="str">
        <f>IF(D1569="","",IF(OR(D1569=Plano!$A$1,D1569=Plano!$B$1),"entrada","saída"))</f>
        <v/>
      </c>
      <c r="T1569" s="345"/>
      <c r="U1569" s="345"/>
      <c r="V1569" s="269"/>
      <c r="W1569" s="269"/>
    </row>
    <row r="1570" spans="1:23" ht="120" customHeight="1" x14ac:dyDescent="0.2">
      <c r="A1570" s="403" t="str">
        <f t="shared" si="0"/>
        <v/>
      </c>
      <c r="B1570" s="278"/>
      <c r="C1570" s="256"/>
      <c r="D1570" s="255"/>
      <c r="E1570" s="255"/>
      <c r="F1570" s="258"/>
      <c r="G1570" s="255"/>
      <c r="H1570" s="255"/>
      <c r="I1570" s="250"/>
      <c r="J1570" s="255"/>
      <c r="K1570" s="255"/>
      <c r="L1570" s="250"/>
      <c r="M1570" s="255"/>
      <c r="N1570" s="277"/>
      <c r="O1570" s="329"/>
      <c r="P1570" s="402">
        <f t="shared" ref="P1570:Q1570" si="1568">IF(B1570=0,0,IF(YEAR(B1570)=$Q$1,MONTH(B1570)-$P$1+1,(YEAR(B1570)-$Q$1)*12-$P$1+1+MONTH(B1570)))</f>
        <v>0</v>
      </c>
      <c r="Q1570" s="402">
        <f t="shared" si="1568"/>
        <v>0</v>
      </c>
      <c r="R1570" s="356" t="e">
        <f t="shared" si="1325"/>
        <v>#N/A</v>
      </c>
      <c r="S1570" s="356" t="str">
        <f>IF(D1570="","",IF(OR(D1570=Plano!$A$1,D1570=Plano!$B$1),"entrada","saída"))</f>
        <v/>
      </c>
      <c r="T1570" s="345"/>
      <c r="U1570" s="345"/>
      <c r="V1570" s="269"/>
      <c r="W1570" s="269"/>
    </row>
    <row r="1571" spans="1:23" ht="120" customHeight="1" x14ac:dyDescent="0.2">
      <c r="A1571" s="403" t="str">
        <f t="shared" si="0"/>
        <v/>
      </c>
      <c r="B1571" s="278"/>
      <c r="C1571" s="256"/>
      <c r="D1571" s="255"/>
      <c r="E1571" s="255"/>
      <c r="F1571" s="258"/>
      <c r="G1571" s="255"/>
      <c r="H1571" s="255"/>
      <c r="I1571" s="250"/>
      <c r="J1571" s="255"/>
      <c r="K1571" s="255"/>
      <c r="L1571" s="250"/>
      <c r="M1571" s="255"/>
      <c r="N1571" s="277"/>
      <c r="O1571" s="329"/>
      <c r="P1571" s="402">
        <f t="shared" ref="P1571:Q1571" si="1569">IF(B1571=0,0,IF(YEAR(B1571)=$Q$1,MONTH(B1571)-$P$1+1,(YEAR(B1571)-$Q$1)*12-$P$1+1+MONTH(B1571)))</f>
        <v>0</v>
      </c>
      <c r="Q1571" s="402">
        <f t="shared" si="1569"/>
        <v>0</v>
      </c>
      <c r="R1571" s="356" t="e">
        <f t="shared" si="1325"/>
        <v>#N/A</v>
      </c>
      <c r="S1571" s="356" t="str">
        <f>IF(D1571="","",IF(OR(D1571=Plano!$A$1,D1571=Plano!$B$1),"entrada","saída"))</f>
        <v/>
      </c>
      <c r="T1571" s="345"/>
      <c r="U1571" s="345"/>
      <c r="V1571" s="269"/>
      <c r="W1571" s="269"/>
    </row>
    <row r="1572" spans="1:23" ht="120" customHeight="1" x14ac:dyDescent="0.2">
      <c r="A1572" s="403" t="str">
        <f t="shared" si="0"/>
        <v/>
      </c>
      <c r="B1572" s="278"/>
      <c r="C1572" s="256"/>
      <c r="D1572" s="255"/>
      <c r="E1572" s="255"/>
      <c r="F1572" s="258"/>
      <c r="G1572" s="255"/>
      <c r="H1572" s="255"/>
      <c r="I1572" s="250"/>
      <c r="J1572" s="255"/>
      <c r="K1572" s="255"/>
      <c r="L1572" s="250"/>
      <c r="M1572" s="255"/>
      <c r="N1572" s="277"/>
      <c r="O1572" s="329"/>
      <c r="P1572" s="402">
        <f t="shared" ref="P1572:Q1572" si="1570">IF(B1572=0,0,IF(YEAR(B1572)=$Q$1,MONTH(B1572)-$P$1+1,(YEAR(B1572)-$Q$1)*12-$P$1+1+MONTH(B1572)))</f>
        <v>0</v>
      </c>
      <c r="Q1572" s="402">
        <f t="shared" si="1570"/>
        <v>0</v>
      </c>
      <c r="R1572" s="356" t="e">
        <f t="shared" si="1325"/>
        <v>#N/A</v>
      </c>
      <c r="S1572" s="356" t="str">
        <f>IF(D1572="","",IF(OR(D1572=Plano!$A$1,D1572=Plano!$B$1),"entrada","saída"))</f>
        <v/>
      </c>
      <c r="T1572" s="345"/>
      <c r="U1572" s="345"/>
      <c r="V1572" s="269"/>
      <c r="W1572" s="269"/>
    </row>
    <row r="1573" spans="1:23" ht="120" customHeight="1" x14ac:dyDescent="0.2">
      <c r="A1573" s="403" t="str">
        <f t="shared" si="0"/>
        <v/>
      </c>
      <c r="B1573" s="278"/>
      <c r="C1573" s="256"/>
      <c r="D1573" s="255"/>
      <c r="E1573" s="255"/>
      <c r="F1573" s="258"/>
      <c r="G1573" s="255"/>
      <c r="H1573" s="255"/>
      <c r="I1573" s="250"/>
      <c r="J1573" s="255"/>
      <c r="K1573" s="255"/>
      <c r="L1573" s="250"/>
      <c r="M1573" s="255"/>
      <c r="N1573" s="277"/>
      <c r="O1573" s="329"/>
      <c r="P1573" s="402">
        <f t="shared" ref="P1573:Q1573" si="1571">IF(B1573=0,0,IF(YEAR(B1573)=$Q$1,MONTH(B1573)-$P$1+1,(YEAR(B1573)-$Q$1)*12-$P$1+1+MONTH(B1573)))</f>
        <v>0</v>
      </c>
      <c r="Q1573" s="402">
        <f t="shared" si="1571"/>
        <v>0</v>
      </c>
      <c r="R1573" s="356" t="e">
        <f t="shared" si="1325"/>
        <v>#N/A</v>
      </c>
      <c r="S1573" s="356" t="str">
        <f>IF(D1573="","",IF(OR(D1573=Plano!$A$1,D1573=Plano!$B$1),"entrada","saída"))</f>
        <v/>
      </c>
      <c r="T1573" s="345"/>
      <c r="U1573" s="345"/>
      <c r="V1573" s="269"/>
      <c r="W1573" s="269"/>
    </row>
    <row r="1574" spans="1:23" ht="120" customHeight="1" x14ac:dyDescent="0.2">
      <c r="A1574" s="403" t="str">
        <f t="shared" si="0"/>
        <v/>
      </c>
      <c r="B1574" s="278"/>
      <c r="C1574" s="256"/>
      <c r="D1574" s="255"/>
      <c r="E1574" s="255"/>
      <c r="F1574" s="258"/>
      <c r="G1574" s="255"/>
      <c r="H1574" s="255"/>
      <c r="I1574" s="250"/>
      <c r="J1574" s="255"/>
      <c r="K1574" s="255"/>
      <c r="L1574" s="250"/>
      <c r="M1574" s="255"/>
      <c r="N1574" s="277"/>
      <c r="O1574" s="329"/>
      <c r="P1574" s="402">
        <f t="shared" ref="P1574:Q1574" si="1572">IF(B1574=0,0,IF(YEAR(B1574)=$Q$1,MONTH(B1574)-$P$1+1,(YEAR(B1574)-$Q$1)*12-$P$1+1+MONTH(B1574)))</f>
        <v>0</v>
      </c>
      <c r="Q1574" s="402">
        <f t="shared" si="1572"/>
        <v>0</v>
      </c>
      <c r="R1574" s="356" t="e">
        <f t="shared" si="1325"/>
        <v>#N/A</v>
      </c>
      <c r="S1574" s="356" t="str">
        <f>IF(D1574="","",IF(OR(D1574=Plano!$A$1,D1574=Plano!$B$1),"entrada","saída"))</f>
        <v/>
      </c>
      <c r="T1574" s="345"/>
      <c r="U1574" s="345"/>
      <c r="V1574" s="269"/>
      <c r="W1574" s="269"/>
    </row>
    <row r="1575" spans="1:23" ht="120" customHeight="1" x14ac:dyDescent="0.2">
      <c r="A1575" s="403" t="str">
        <f t="shared" si="0"/>
        <v/>
      </c>
      <c r="B1575" s="278"/>
      <c r="C1575" s="256"/>
      <c r="D1575" s="255"/>
      <c r="E1575" s="255"/>
      <c r="F1575" s="258"/>
      <c r="G1575" s="255"/>
      <c r="H1575" s="255"/>
      <c r="I1575" s="250"/>
      <c r="J1575" s="255"/>
      <c r="K1575" s="255"/>
      <c r="L1575" s="250"/>
      <c r="M1575" s="255"/>
      <c r="N1575" s="277"/>
      <c r="O1575" s="329"/>
      <c r="P1575" s="402">
        <f t="shared" ref="P1575:Q1575" si="1573">IF(B1575=0,0,IF(YEAR(B1575)=$Q$1,MONTH(B1575)-$P$1+1,(YEAR(B1575)-$Q$1)*12-$P$1+1+MONTH(B1575)))</f>
        <v>0</v>
      </c>
      <c r="Q1575" s="402">
        <f t="shared" si="1573"/>
        <v>0</v>
      </c>
      <c r="R1575" s="356" t="e">
        <f t="shared" si="1325"/>
        <v>#N/A</v>
      </c>
      <c r="S1575" s="356" t="str">
        <f>IF(D1575="","",IF(OR(D1575=Plano!$A$1,D1575=Plano!$B$1),"entrada","saída"))</f>
        <v/>
      </c>
      <c r="T1575" s="345"/>
      <c r="U1575" s="345"/>
      <c r="V1575" s="269"/>
      <c r="W1575" s="269"/>
    </row>
    <row r="1576" spans="1:23" ht="120" customHeight="1" x14ac:dyDescent="0.2">
      <c r="A1576" s="403" t="str">
        <f t="shared" si="0"/>
        <v/>
      </c>
      <c r="B1576" s="278"/>
      <c r="C1576" s="256"/>
      <c r="D1576" s="255"/>
      <c r="E1576" s="255"/>
      <c r="F1576" s="258"/>
      <c r="G1576" s="255"/>
      <c r="H1576" s="255"/>
      <c r="I1576" s="250"/>
      <c r="J1576" s="255"/>
      <c r="K1576" s="255"/>
      <c r="L1576" s="250"/>
      <c r="M1576" s="255"/>
      <c r="N1576" s="277"/>
      <c r="O1576" s="329"/>
      <c r="P1576" s="402">
        <f t="shared" ref="P1576:Q1576" si="1574">IF(B1576=0,0,IF(YEAR(B1576)=$Q$1,MONTH(B1576)-$P$1+1,(YEAR(B1576)-$Q$1)*12-$P$1+1+MONTH(B1576)))</f>
        <v>0</v>
      </c>
      <c r="Q1576" s="402">
        <f t="shared" si="1574"/>
        <v>0</v>
      </c>
      <c r="R1576" s="356" t="e">
        <f t="shared" si="1325"/>
        <v>#N/A</v>
      </c>
      <c r="S1576" s="356" t="str">
        <f>IF(D1576="","",IF(OR(D1576=Plano!$A$1,D1576=Plano!$B$1),"entrada","saída"))</f>
        <v/>
      </c>
      <c r="T1576" s="345"/>
      <c r="U1576" s="345"/>
      <c r="V1576" s="269"/>
      <c r="W1576" s="269"/>
    </row>
    <row r="1577" spans="1:23" ht="120" customHeight="1" x14ac:dyDescent="0.2">
      <c r="A1577" s="403" t="str">
        <f t="shared" si="0"/>
        <v/>
      </c>
      <c r="B1577" s="278"/>
      <c r="C1577" s="256"/>
      <c r="D1577" s="255"/>
      <c r="E1577" s="255"/>
      <c r="F1577" s="258"/>
      <c r="G1577" s="255"/>
      <c r="H1577" s="255"/>
      <c r="I1577" s="250"/>
      <c r="J1577" s="255"/>
      <c r="K1577" s="255"/>
      <c r="L1577" s="250"/>
      <c r="M1577" s="255"/>
      <c r="N1577" s="277"/>
      <c r="O1577" s="329"/>
      <c r="P1577" s="402">
        <f t="shared" ref="P1577:Q1577" si="1575">IF(B1577=0,0,IF(YEAR(B1577)=$Q$1,MONTH(B1577)-$P$1+1,(YEAR(B1577)-$Q$1)*12-$P$1+1+MONTH(B1577)))</f>
        <v>0</v>
      </c>
      <c r="Q1577" s="402">
        <f t="shared" si="1575"/>
        <v>0</v>
      </c>
      <c r="R1577" s="356" t="e">
        <f t="shared" si="1325"/>
        <v>#N/A</v>
      </c>
      <c r="S1577" s="356" t="str">
        <f>IF(D1577="","",IF(OR(D1577=Plano!$A$1,D1577=Plano!$B$1),"entrada","saída"))</f>
        <v/>
      </c>
      <c r="T1577" s="345"/>
      <c r="U1577" s="345"/>
      <c r="V1577" s="269"/>
      <c r="W1577" s="269"/>
    </row>
    <row r="1578" spans="1:23" ht="120" customHeight="1" x14ac:dyDescent="0.2">
      <c r="A1578" s="403" t="str">
        <f t="shared" si="0"/>
        <v/>
      </c>
      <c r="B1578" s="278"/>
      <c r="C1578" s="256"/>
      <c r="D1578" s="255"/>
      <c r="E1578" s="255"/>
      <c r="F1578" s="258"/>
      <c r="G1578" s="255"/>
      <c r="H1578" s="255"/>
      <c r="I1578" s="250"/>
      <c r="J1578" s="255"/>
      <c r="K1578" s="255"/>
      <c r="L1578" s="250"/>
      <c r="M1578" s="255"/>
      <c r="N1578" s="277"/>
      <c r="O1578" s="329"/>
      <c r="P1578" s="402">
        <f t="shared" ref="P1578:Q1578" si="1576">IF(B1578=0,0,IF(YEAR(B1578)=$Q$1,MONTH(B1578)-$P$1+1,(YEAR(B1578)-$Q$1)*12-$P$1+1+MONTH(B1578)))</f>
        <v>0</v>
      </c>
      <c r="Q1578" s="402">
        <f t="shared" si="1576"/>
        <v>0</v>
      </c>
      <c r="R1578" s="356" t="e">
        <f t="shared" si="1325"/>
        <v>#N/A</v>
      </c>
      <c r="S1578" s="356" t="str">
        <f>IF(D1578="","",IF(OR(D1578=Plano!$A$1,D1578=Plano!$B$1),"entrada","saída"))</f>
        <v/>
      </c>
      <c r="T1578" s="345"/>
      <c r="U1578" s="345"/>
      <c r="V1578" s="269"/>
      <c r="W1578" s="269"/>
    </row>
    <row r="1579" spans="1:23" ht="120" customHeight="1" x14ac:dyDescent="0.2">
      <c r="A1579" s="403" t="str">
        <f t="shared" si="0"/>
        <v/>
      </c>
      <c r="B1579" s="278"/>
      <c r="C1579" s="256"/>
      <c r="D1579" s="255"/>
      <c r="E1579" s="255"/>
      <c r="F1579" s="258"/>
      <c r="G1579" s="255"/>
      <c r="H1579" s="255"/>
      <c r="I1579" s="250"/>
      <c r="J1579" s="255"/>
      <c r="K1579" s="255"/>
      <c r="L1579" s="250"/>
      <c r="M1579" s="255"/>
      <c r="N1579" s="277"/>
      <c r="O1579" s="329"/>
      <c r="P1579" s="402">
        <f t="shared" ref="P1579:Q1579" si="1577">IF(B1579=0,0,IF(YEAR(B1579)=$Q$1,MONTH(B1579)-$P$1+1,(YEAR(B1579)-$Q$1)*12-$P$1+1+MONTH(B1579)))</f>
        <v>0</v>
      </c>
      <c r="Q1579" s="402">
        <f t="shared" si="1577"/>
        <v>0</v>
      </c>
      <c r="R1579" s="356" t="e">
        <f t="shared" si="1325"/>
        <v>#N/A</v>
      </c>
      <c r="S1579" s="356" t="str">
        <f>IF(D1579="","",IF(OR(D1579=Plano!$A$1,D1579=Plano!$B$1),"entrada","saída"))</f>
        <v/>
      </c>
      <c r="T1579" s="345"/>
      <c r="U1579" s="345"/>
      <c r="V1579" s="269"/>
      <c r="W1579" s="269"/>
    </row>
    <row r="1580" spans="1:23" ht="120" customHeight="1" x14ac:dyDescent="0.2">
      <c r="A1580" s="403" t="str">
        <f t="shared" si="0"/>
        <v/>
      </c>
      <c r="B1580" s="278"/>
      <c r="C1580" s="256"/>
      <c r="D1580" s="255"/>
      <c r="E1580" s="255"/>
      <c r="F1580" s="258"/>
      <c r="G1580" s="255"/>
      <c r="H1580" s="255"/>
      <c r="I1580" s="250"/>
      <c r="J1580" s="255"/>
      <c r="K1580" s="255"/>
      <c r="L1580" s="250"/>
      <c r="M1580" s="255"/>
      <c r="N1580" s="277"/>
      <c r="O1580" s="329"/>
      <c r="P1580" s="402">
        <f t="shared" ref="P1580:Q1580" si="1578">IF(B1580=0,0,IF(YEAR(B1580)=$Q$1,MONTH(B1580)-$P$1+1,(YEAR(B1580)-$Q$1)*12-$P$1+1+MONTH(B1580)))</f>
        <v>0</v>
      </c>
      <c r="Q1580" s="402">
        <f t="shared" si="1578"/>
        <v>0</v>
      </c>
      <c r="R1580" s="356" t="e">
        <f t="shared" si="1325"/>
        <v>#N/A</v>
      </c>
      <c r="S1580" s="356" t="str">
        <f>IF(D1580="","",IF(OR(D1580=Plano!$A$1,D1580=Plano!$B$1),"entrada","saída"))</f>
        <v/>
      </c>
      <c r="T1580" s="345"/>
      <c r="U1580" s="345"/>
      <c r="V1580" s="269"/>
      <c r="W1580" s="269"/>
    </row>
    <row r="1581" spans="1:23" ht="120" customHeight="1" x14ac:dyDescent="0.2">
      <c r="A1581" s="403" t="str">
        <f t="shared" si="0"/>
        <v/>
      </c>
      <c r="B1581" s="278"/>
      <c r="C1581" s="256"/>
      <c r="D1581" s="255"/>
      <c r="E1581" s="255"/>
      <c r="F1581" s="258"/>
      <c r="G1581" s="255"/>
      <c r="H1581" s="255"/>
      <c r="I1581" s="250"/>
      <c r="J1581" s="255"/>
      <c r="K1581" s="255"/>
      <c r="L1581" s="250"/>
      <c r="M1581" s="255"/>
      <c r="N1581" s="277"/>
      <c r="O1581" s="329"/>
      <c r="P1581" s="402">
        <f t="shared" ref="P1581:Q1581" si="1579">IF(B1581=0,0,IF(YEAR(B1581)=$Q$1,MONTH(B1581)-$P$1+1,(YEAR(B1581)-$Q$1)*12-$P$1+1+MONTH(B1581)))</f>
        <v>0</v>
      </c>
      <c r="Q1581" s="402">
        <f t="shared" si="1579"/>
        <v>0</v>
      </c>
      <c r="R1581" s="356" t="e">
        <f t="shared" si="1325"/>
        <v>#N/A</v>
      </c>
      <c r="S1581" s="356" t="str">
        <f>IF(D1581="","",IF(OR(D1581=Plano!$A$1,D1581=Plano!$B$1),"entrada","saída"))</f>
        <v/>
      </c>
      <c r="T1581" s="345"/>
      <c r="U1581" s="345"/>
      <c r="V1581" s="269"/>
      <c r="W1581" s="269"/>
    </row>
    <row r="1582" spans="1:23" ht="120" customHeight="1" x14ac:dyDescent="0.2">
      <c r="A1582" s="403" t="str">
        <f t="shared" si="0"/>
        <v/>
      </c>
      <c r="B1582" s="278"/>
      <c r="C1582" s="256"/>
      <c r="D1582" s="255"/>
      <c r="E1582" s="255"/>
      <c r="F1582" s="258"/>
      <c r="G1582" s="255"/>
      <c r="H1582" s="255"/>
      <c r="I1582" s="250"/>
      <c r="J1582" s="255"/>
      <c r="K1582" s="255"/>
      <c r="L1582" s="250"/>
      <c r="M1582" s="255"/>
      <c r="N1582" s="277"/>
      <c r="O1582" s="329"/>
      <c r="P1582" s="402">
        <f t="shared" ref="P1582:Q1582" si="1580">IF(B1582=0,0,IF(YEAR(B1582)=$Q$1,MONTH(B1582)-$P$1+1,(YEAR(B1582)-$Q$1)*12-$P$1+1+MONTH(B1582)))</f>
        <v>0</v>
      </c>
      <c r="Q1582" s="402">
        <f t="shared" si="1580"/>
        <v>0</v>
      </c>
      <c r="R1582" s="356" t="e">
        <f t="shared" si="1325"/>
        <v>#N/A</v>
      </c>
      <c r="S1582" s="356" t="str">
        <f>IF(D1582="","",IF(OR(D1582=Plano!$A$1,D1582=Plano!$B$1),"entrada","saída"))</f>
        <v/>
      </c>
      <c r="T1582" s="345"/>
      <c r="U1582" s="345"/>
      <c r="V1582" s="269"/>
      <c r="W1582" s="269"/>
    </row>
    <row r="1583" spans="1:23" ht="120" customHeight="1" x14ac:dyDescent="0.2">
      <c r="A1583" s="403" t="str">
        <f t="shared" si="0"/>
        <v/>
      </c>
      <c r="B1583" s="278"/>
      <c r="C1583" s="256"/>
      <c r="D1583" s="255"/>
      <c r="E1583" s="255"/>
      <c r="F1583" s="258"/>
      <c r="G1583" s="255"/>
      <c r="H1583" s="255"/>
      <c r="I1583" s="250"/>
      <c r="J1583" s="255"/>
      <c r="K1583" s="255"/>
      <c r="L1583" s="250"/>
      <c r="M1583" s="255"/>
      <c r="N1583" s="277"/>
      <c r="O1583" s="329"/>
      <c r="P1583" s="402">
        <f t="shared" ref="P1583:Q1583" si="1581">IF(B1583=0,0,IF(YEAR(B1583)=$Q$1,MONTH(B1583)-$P$1+1,(YEAR(B1583)-$Q$1)*12-$P$1+1+MONTH(B1583)))</f>
        <v>0</v>
      </c>
      <c r="Q1583" s="402">
        <f t="shared" si="1581"/>
        <v>0</v>
      </c>
      <c r="R1583" s="356" t="e">
        <f t="shared" si="1325"/>
        <v>#N/A</v>
      </c>
      <c r="S1583" s="356" t="str">
        <f>IF(D1583="","",IF(OR(D1583=Plano!$A$1,D1583=Plano!$B$1),"entrada","saída"))</f>
        <v/>
      </c>
      <c r="T1583" s="345"/>
      <c r="U1583" s="345"/>
      <c r="V1583" s="269"/>
      <c r="W1583" s="269"/>
    </row>
    <row r="1584" spans="1:23" ht="120" customHeight="1" x14ac:dyDescent="0.2">
      <c r="A1584" s="403" t="str">
        <f t="shared" si="0"/>
        <v/>
      </c>
      <c r="B1584" s="278"/>
      <c r="C1584" s="256"/>
      <c r="D1584" s="255"/>
      <c r="E1584" s="255"/>
      <c r="F1584" s="258"/>
      <c r="G1584" s="255"/>
      <c r="H1584" s="255"/>
      <c r="I1584" s="250"/>
      <c r="J1584" s="255"/>
      <c r="K1584" s="255"/>
      <c r="L1584" s="250"/>
      <c r="M1584" s="255"/>
      <c r="N1584" s="277"/>
      <c r="O1584" s="329"/>
      <c r="P1584" s="402">
        <f t="shared" ref="P1584:Q1584" si="1582">IF(B1584=0,0,IF(YEAR(B1584)=$Q$1,MONTH(B1584)-$P$1+1,(YEAR(B1584)-$Q$1)*12-$P$1+1+MONTH(B1584)))</f>
        <v>0</v>
      </c>
      <c r="Q1584" s="402">
        <f t="shared" si="1582"/>
        <v>0</v>
      </c>
      <c r="R1584" s="356" t="e">
        <f t="shared" si="1325"/>
        <v>#N/A</v>
      </c>
      <c r="S1584" s="356" t="str">
        <f>IF(D1584="","",IF(OR(D1584=Plano!$A$1,D1584=Plano!$B$1),"entrada","saída"))</f>
        <v/>
      </c>
      <c r="T1584" s="345"/>
      <c r="U1584" s="345"/>
      <c r="V1584" s="269"/>
      <c r="W1584" s="269"/>
    </row>
    <row r="1585" spans="1:23" ht="120" customHeight="1" x14ac:dyDescent="0.2">
      <c r="A1585" s="403" t="str">
        <f t="shared" si="0"/>
        <v/>
      </c>
      <c r="B1585" s="278"/>
      <c r="C1585" s="256"/>
      <c r="D1585" s="255"/>
      <c r="E1585" s="255"/>
      <c r="F1585" s="258"/>
      <c r="G1585" s="255"/>
      <c r="H1585" s="255"/>
      <c r="I1585" s="250"/>
      <c r="J1585" s="255"/>
      <c r="K1585" s="255"/>
      <c r="L1585" s="250"/>
      <c r="M1585" s="255"/>
      <c r="N1585" s="277"/>
      <c r="O1585" s="329"/>
      <c r="P1585" s="402">
        <f t="shared" ref="P1585:Q1585" si="1583">IF(B1585=0,0,IF(YEAR(B1585)=$Q$1,MONTH(B1585)-$P$1+1,(YEAR(B1585)-$Q$1)*12-$P$1+1+MONTH(B1585)))</f>
        <v>0</v>
      </c>
      <c r="Q1585" s="402">
        <f t="shared" si="1583"/>
        <v>0</v>
      </c>
      <c r="R1585" s="356" t="e">
        <f t="shared" si="1325"/>
        <v>#N/A</v>
      </c>
      <c r="S1585" s="356" t="str">
        <f>IF(D1585="","",IF(OR(D1585=Plano!$A$1,D1585=Plano!$B$1),"entrada","saída"))</f>
        <v/>
      </c>
      <c r="T1585" s="345"/>
      <c r="U1585" s="345"/>
      <c r="V1585" s="269"/>
      <c r="W1585" s="269"/>
    </row>
    <row r="1586" spans="1:23" ht="120" customHeight="1" x14ac:dyDescent="0.2">
      <c r="A1586" s="403" t="str">
        <f t="shared" si="0"/>
        <v/>
      </c>
      <c r="B1586" s="278"/>
      <c r="C1586" s="256"/>
      <c r="D1586" s="255"/>
      <c r="E1586" s="255"/>
      <c r="F1586" s="258"/>
      <c r="G1586" s="255"/>
      <c r="H1586" s="255"/>
      <c r="I1586" s="250"/>
      <c r="J1586" s="255"/>
      <c r="K1586" s="255"/>
      <c r="L1586" s="250"/>
      <c r="M1586" s="255"/>
      <c r="N1586" s="277"/>
      <c r="O1586" s="329"/>
      <c r="P1586" s="402">
        <f t="shared" ref="P1586:Q1586" si="1584">IF(B1586=0,0,IF(YEAR(B1586)=$Q$1,MONTH(B1586)-$P$1+1,(YEAR(B1586)-$Q$1)*12-$P$1+1+MONTH(B1586)))</f>
        <v>0</v>
      </c>
      <c r="Q1586" s="402">
        <f t="shared" si="1584"/>
        <v>0</v>
      </c>
      <c r="R1586" s="356" t="e">
        <f t="shared" si="1325"/>
        <v>#N/A</v>
      </c>
      <c r="S1586" s="356" t="str">
        <f>IF(D1586="","",IF(OR(D1586=Plano!$A$1,D1586=Plano!$B$1),"entrada","saída"))</f>
        <v/>
      </c>
      <c r="T1586" s="345"/>
      <c r="U1586" s="345"/>
      <c r="V1586" s="269"/>
      <c r="W1586" s="269"/>
    </row>
    <row r="1587" spans="1:23" ht="120" customHeight="1" x14ac:dyDescent="0.2">
      <c r="A1587" s="403" t="str">
        <f t="shared" si="0"/>
        <v/>
      </c>
      <c r="B1587" s="278"/>
      <c r="C1587" s="256"/>
      <c r="D1587" s="255"/>
      <c r="E1587" s="255"/>
      <c r="F1587" s="258"/>
      <c r="G1587" s="255"/>
      <c r="H1587" s="255"/>
      <c r="I1587" s="250"/>
      <c r="J1587" s="255"/>
      <c r="K1587" s="255"/>
      <c r="L1587" s="250"/>
      <c r="M1587" s="255"/>
      <c r="N1587" s="277"/>
      <c r="O1587" s="329"/>
      <c r="P1587" s="402">
        <f t="shared" ref="P1587:Q1587" si="1585">IF(B1587=0,0,IF(YEAR(B1587)=$Q$1,MONTH(B1587)-$P$1+1,(YEAR(B1587)-$Q$1)*12-$P$1+1+MONTH(B1587)))</f>
        <v>0</v>
      </c>
      <c r="Q1587" s="402">
        <f t="shared" si="1585"/>
        <v>0</v>
      </c>
      <c r="R1587" s="356" t="e">
        <f t="shared" si="1325"/>
        <v>#N/A</v>
      </c>
      <c r="S1587" s="356" t="str">
        <f>IF(D1587="","",IF(OR(D1587=Plano!$A$1,D1587=Plano!$B$1),"entrada","saída"))</f>
        <v/>
      </c>
      <c r="T1587" s="345"/>
      <c r="U1587" s="345"/>
      <c r="V1587" s="269"/>
      <c r="W1587" s="269"/>
    </row>
    <row r="1588" spans="1:23" ht="120" customHeight="1" x14ac:dyDescent="0.2">
      <c r="A1588" s="403" t="str">
        <f t="shared" si="0"/>
        <v/>
      </c>
      <c r="B1588" s="278"/>
      <c r="C1588" s="256"/>
      <c r="D1588" s="255"/>
      <c r="E1588" s="255"/>
      <c r="F1588" s="258"/>
      <c r="G1588" s="255"/>
      <c r="H1588" s="255"/>
      <c r="I1588" s="250"/>
      <c r="J1588" s="255"/>
      <c r="K1588" s="255"/>
      <c r="L1588" s="250"/>
      <c r="M1588" s="255"/>
      <c r="N1588" s="277"/>
      <c r="O1588" s="329"/>
      <c r="P1588" s="402">
        <f t="shared" ref="P1588:Q1588" si="1586">IF(B1588=0,0,IF(YEAR(B1588)=$Q$1,MONTH(B1588)-$P$1+1,(YEAR(B1588)-$Q$1)*12-$P$1+1+MONTH(B1588)))</f>
        <v>0</v>
      </c>
      <c r="Q1588" s="402">
        <f t="shared" si="1586"/>
        <v>0</v>
      </c>
      <c r="R1588" s="356" t="e">
        <f t="shared" si="1325"/>
        <v>#N/A</v>
      </c>
      <c r="S1588" s="356" t="str">
        <f>IF(D1588="","",IF(OR(D1588=Plano!$A$1,D1588=Plano!$B$1),"entrada","saída"))</f>
        <v/>
      </c>
      <c r="T1588" s="345"/>
      <c r="U1588" s="345"/>
      <c r="V1588" s="269"/>
      <c r="W1588" s="269"/>
    </row>
    <row r="1589" spans="1:23" ht="120" customHeight="1" x14ac:dyDescent="0.2">
      <c r="A1589" s="403" t="str">
        <f t="shared" si="0"/>
        <v/>
      </c>
      <c r="B1589" s="278"/>
      <c r="C1589" s="256"/>
      <c r="D1589" s="255"/>
      <c r="E1589" s="255"/>
      <c r="F1589" s="258"/>
      <c r="G1589" s="255"/>
      <c r="H1589" s="255"/>
      <c r="I1589" s="250"/>
      <c r="J1589" s="255"/>
      <c r="K1589" s="255"/>
      <c r="L1589" s="250"/>
      <c r="M1589" s="255"/>
      <c r="N1589" s="277"/>
      <c r="O1589" s="329"/>
      <c r="P1589" s="402">
        <f t="shared" ref="P1589:Q1589" si="1587">IF(B1589=0,0,IF(YEAR(B1589)=$Q$1,MONTH(B1589)-$P$1+1,(YEAR(B1589)-$Q$1)*12-$P$1+1+MONTH(B1589)))</f>
        <v>0</v>
      </c>
      <c r="Q1589" s="402">
        <f t="shared" si="1587"/>
        <v>0</v>
      </c>
      <c r="R1589" s="356" t="e">
        <f t="shared" si="1325"/>
        <v>#N/A</v>
      </c>
      <c r="S1589" s="356" t="str">
        <f>IF(D1589="","",IF(OR(D1589=Plano!$A$1,D1589=Plano!$B$1),"entrada","saída"))</f>
        <v/>
      </c>
      <c r="T1589" s="345"/>
      <c r="U1589" s="345"/>
      <c r="V1589" s="269"/>
      <c r="W1589" s="269"/>
    </row>
    <row r="1590" spans="1:23" ht="120" customHeight="1" x14ac:dyDescent="0.2">
      <c r="A1590" s="403" t="str">
        <f t="shared" si="0"/>
        <v/>
      </c>
      <c r="B1590" s="278"/>
      <c r="C1590" s="256"/>
      <c r="D1590" s="255"/>
      <c r="E1590" s="255"/>
      <c r="F1590" s="258"/>
      <c r="G1590" s="255"/>
      <c r="H1590" s="255"/>
      <c r="I1590" s="250"/>
      <c r="J1590" s="255"/>
      <c r="K1590" s="255"/>
      <c r="L1590" s="250"/>
      <c r="M1590" s="255"/>
      <c r="N1590" s="277"/>
      <c r="O1590" s="329"/>
      <c r="P1590" s="402">
        <f t="shared" ref="P1590:Q1590" si="1588">IF(B1590=0,0,IF(YEAR(B1590)=$Q$1,MONTH(B1590)-$P$1+1,(YEAR(B1590)-$Q$1)*12-$P$1+1+MONTH(B1590)))</f>
        <v>0</v>
      </c>
      <c r="Q1590" s="402">
        <f t="shared" si="1588"/>
        <v>0</v>
      </c>
      <c r="R1590" s="356" t="e">
        <f t="shared" si="1325"/>
        <v>#N/A</v>
      </c>
      <c r="S1590" s="356" t="str">
        <f>IF(D1590="","",IF(OR(D1590=Plano!$A$1,D1590=Plano!$B$1),"entrada","saída"))</f>
        <v/>
      </c>
      <c r="T1590" s="345"/>
      <c r="U1590" s="345"/>
      <c r="V1590" s="269"/>
      <c r="W1590" s="269"/>
    </row>
    <row r="1591" spans="1:23" ht="120" customHeight="1" x14ac:dyDescent="0.2">
      <c r="A1591" s="403" t="str">
        <f t="shared" si="0"/>
        <v/>
      </c>
      <c r="B1591" s="278"/>
      <c r="C1591" s="256"/>
      <c r="D1591" s="255"/>
      <c r="E1591" s="255"/>
      <c r="F1591" s="258"/>
      <c r="G1591" s="255"/>
      <c r="H1591" s="255"/>
      <c r="I1591" s="250"/>
      <c r="J1591" s="255"/>
      <c r="K1591" s="255"/>
      <c r="L1591" s="250"/>
      <c r="M1591" s="255"/>
      <c r="N1591" s="277"/>
      <c r="O1591" s="329"/>
      <c r="P1591" s="402">
        <f t="shared" ref="P1591:Q1591" si="1589">IF(B1591=0,0,IF(YEAR(B1591)=$Q$1,MONTH(B1591)-$P$1+1,(YEAR(B1591)-$Q$1)*12-$P$1+1+MONTH(B1591)))</f>
        <v>0</v>
      </c>
      <c r="Q1591" s="402">
        <f t="shared" si="1589"/>
        <v>0</v>
      </c>
      <c r="R1591" s="356" t="e">
        <f t="shared" si="1325"/>
        <v>#N/A</v>
      </c>
      <c r="S1591" s="356" t="str">
        <f>IF(D1591="","",IF(OR(D1591=Plano!$A$1,D1591=Plano!$B$1),"entrada","saída"))</f>
        <v/>
      </c>
      <c r="T1591" s="345"/>
      <c r="U1591" s="345"/>
      <c r="V1591" s="269"/>
      <c r="W1591" s="269"/>
    </row>
    <row r="1592" spans="1:23" ht="120" customHeight="1" x14ac:dyDescent="0.2">
      <c r="A1592" s="403" t="str">
        <f t="shared" si="0"/>
        <v/>
      </c>
      <c r="B1592" s="278"/>
      <c r="C1592" s="256"/>
      <c r="D1592" s="255"/>
      <c r="E1592" s="255"/>
      <c r="F1592" s="258"/>
      <c r="G1592" s="255"/>
      <c r="H1592" s="255"/>
      <c r="I1592" s="250"/>
      <c r="J1592" s="255"/>
      <c r="K1592" s="255"/>
      <c r="L1592" s="250"/>
      <c r="M1592" s="255"/>
      <c r="N1592" s="277"/>
      <c r="O1592" s="329"/>
      <c r="P1592" s="402">
        <f t="shared" ref="P1592:Q1592" si="1590">IF(B1592=0,0,IF(YEAR(B1592)=$Q$1,MONTH(B1592)-$P$1+1,(YEAR(B1592)-$Q$1)*12-$P$1+1+MONTH(B1592)))</f>
        <v>0</v>
      </c>
      <c r="Q1592" s="402">
        <f t="shared" si="1590"/>
        <v>0</v>
      </c>
      <c r="R1592" s="356" t="e">
        <f t="shared" si="1325"/>
        <v>#N/A</v>
      </c>
      <c r="S1592" s="356" t="str">
        <f>IF(D1592="","",IF(OR(D1592=Plano!$A$1,D1592=Plano!$B$1),"entrada","saída"))</f>
        <v/>
      </c>
      <c r="T1592" s="345"/>
      <c r="U1592" s="345"/>
      <c r="V1592" s="269"/>
      <c r="W1592" s="269"/>
    </row>
    <row r="1593" spans="1:23" ht="120" customHeight="1" x14ac:dyDescent="0.2">
      <c r="A1593" s="403" t="str">
        <f t="shared" si="0"/>
        <v/>
      </c>
      <c r="B1593" s="278"/>
      <c r="C1593" s="256"/>
      <c r="D1593" s="255"/>
      <c r="E1593" s="255"/>
      <c r="F1593" s="258"/>
      <c r="G1593" s="255"/>
      <c r="H1593" s="255"/>
      <c r="I1593" s="250"/>
      <c r="J1593" s="255"/>
      <c r="K1593" s="255"/>
      <c r="L1593" s="250"/>
      <c r="M1593" s="255"/>
      <c r="N1593" s="277"/>
      <c r="O1593" s="329"/>
      <c r="P1593" s="402">
        <f t="shared" ref="P1593:Q1593" si="1591">IF(B1593=0,0,IF(YEAR(B1593)=$Q$1,MONTH(B1593)-$P$1+1,(YEAR(B1593)-$Q$1)*12-$P$1+1+MONTH(B1593)))</f>
        <v>0</v>
      </c>
      <c r="Q1593" s="402">
        <f t="shared" si="1591"/>
        <v>0</v>
      </c>
      <c r="R1593" s="356" t="e">
        <f t="shared" si="1325"/>
        <v>#N/A</v>
      </c>
      <c r="S1593" s="356" t="str">
        <f>IF(D1593="","",IF(OR(D1593=Plano!$A$1,D1593=Plano!$B$1),"entrada","saída"))</f>
        <v/>
      </c>
      <c r="T1593" s="345"/>
      <c r="U1593" s="345"/>
      <c r="V1593" s="269"/>
      <c r="W1593" s="269"/>
    </row>
    <row r="1594" spans="1:23" ht="120" customHeight="1" x14ac:dyDescent="0.2">
      <c r="A1594" s="403" t="str">
        <f t="shared" si="0"/>
        <v/>
      </c>
      <c r="B1594" s="278"/>
      <c r="C1594" s="256"/>
      <c r="D1594" s="255"/>
      <c r="E1594" s="255"/>
      <c r="F1594" s="258"/>
      <c r="G1594" s="255"/>
      <c r="H1594" s="255"/>
      <c r="I1594" s="250"/>
      <c r="J1594" s="255"/>
      <c r="K1594" s="255"/>
      <c r="L1594" s="250"/>
      <c r="M1594" s="255"/>
      <c r="N1594" s="277"/>
      <c r="O1594" s="329"/>
      <c r="P1594" s="402">
        <f t="shared" ref="P1594:Q1594" si="1592">IF(B1594=0,0,IF(YEAR(B1594)=$Q$1,MONTH(B1594)-$P$1+1,(YEAR(B1594)-$Q$1)*12-$P$1+1+MONTH(B1594)))</f>
        <v>0</v>
      </c>
      <c r="Q1594" s="402">
        <f t="shared" si="1592"/>
        <v>0</v>
      </c>
      <c r="R1594" s="356" t="e">
        <f t="shared" si="1325"/>
        <v>#N/A</v>
      </c>
      <c r="S1594" s="356" t="str">
        <f>IF(D1594="","",IF(OR(D1594=Plano!$A$1,D1594=Plano!$B$1),"entrada","saída"))</f>
        <v/>
      </c>
      <c r="T1594" s="345"/>
      <c r="U1594" s="345"/>
      <c r="V1594" s="269"/>
      <c r="W1594" s="269"/>
    </row>
    <row r="1595" spans="1:23" ht="120" customHeight="1" x14ac:dyDescent="0.2">
      <c r="A1595" s="403" t="str">
        <f t="shared" si="0"/>
        <v/>
      </c>
      <c r="B1595" s="278"/>
      <c r="C1595" s="256"/>
      <c r="D1595" s="255"/>
      <c r="E1595" s="255"/>
      <c r="F1595" s="258"/>
      <c r="G1595" s="255"/>
      <c r="H1595" s="255"/>
      <c r="I1595" s="250"/>
      <c r="J1595" s="255"/>
      <c r="K1595" s="255"/>
      <c r="L1595" s="250"/>
      <c r="M1595" s="255"/>
      <c r="N1595" s="277"/>
      <c r="O1595" s="329"/>
      <c r="P1595" s="402">
        <f t="shared" ref="P1595:Q1595" si="1593">IF(B1595=0,0,IF(YEAR(B1595)=$Q$1,MONTH(B1595)-$P$1+1,(YEAR(B1595)-$Q$1)*12-$P$1+1+MONTH(B1595)))</f>
        <v>0</v>
      </c>
      <c r="Q1595" s="402">
        <f t="shared" si="1593"/>
        <v>0</v>
      </c>
      <c r="R1595" s="356" t="e">
        <f t="shared" si="1325"/>
        <v>#N/A</v>
      </c>
      <c r="S1595" s="356" t="str">
        <f>IF(D1595="","",IF(OR(D1595=Plano!$A$1,D1595=Plano!$B$1),"entrada","saída"))</f>
        <v/>
      </c>
      <c r="T1595" s="345"/>
      <c r="U1595" s="345"/>
      <c r="V1595" s="269"/>
      <c r="W1595" s="269"/>
    </row>
    <row r="1596" spans="1:23" ht="120" customHeight="1" x14ac:dyDescent="0.2">
      <c r="A1596" s="403" t="str">
        <f t="shared" si="0"/>
        <v/>
      </c>
      <c r="B1596" s="278"/>
      <c r="C1596" s="256"/>
      <c r="D1596" s="255"/>
      <c r="E1596" s="255"/>
      <c r="F1596" s="258"/>
      <c r="G1596" s="255"/>
      <c r="H1596" s="255"/>
      <c r="I1596" s="250"/>
      <c r="J1596" s="255"/>
      <c r="K1596" s="255"/>
      <c r="L1596" s="250"/>
      <c r="M1596" s="255"/>
      <c r="N1596" s="277"/>
      <c r="O1596" s="329"/>
      <c r="P1596" s="402">
        <f t="shared" ref="P1596:Q1596" si="1594">IF(B1596=0,0,IF(YEAR(B1596)=$Q$1,MONTH(B1596)-$P$1+1,(YEAR(B1596)-$Q$1)*12-$P$1+1+MONTH(B1596)))</f>
        <v>0</v>
      </c>
      <c r="Q1596" s="402">
        <f t="shared" si="1594"/>
        <v>0</v>
      </c>
      <c r="R1596" s="356" t="e">
        <f t="shared" si="1325"/>
        <v>#N/A</v>
      </c>
      <c r="S1596" s="356" t="str">
        <f>IF(D1596="","",IF(OR(D1596=Plano!$A$1,D1596=Plano!$B$1),"entrada","saída"))</f>
        <v/>
      </c>
      <c r="T1596" s="345"/>
      <c r="U1596" s="345"/>
      <c r="V1596" s="269"/>
      <c r="W1596" s="269"/>
    </row>
    <row r="1597" spans="1:23" ht="120" customHeight="1" x14ac:dyDescent="0.2">
      <c r="A1597" s="403" t="str">
        <f t="shared" si="0"/>
        <v/>
      </c>
      <c r="B1597" s="278"/>
      <c r="C1597" s="256"/>
      <c r="D1597" s="255"/>
      <c r="E1597" s="255"/>
      <c r="F1597" s="258"/>
      <c r="G1597" s="255"/>
      <c r="H1597" s="255"/>
      <c r="I1597" s="250"/>
      <c r="J1597" s="255"/>
      <c r="K1597" s="255"/>
      <c r="L1597" s="250"/>
      <c r="M1597" s="255"/>
      <c r="N1597" s="277"/>
      <c r="O1597" s="329"/>
      <c r="P1597" s="402">
        <f t="shared" ref="P1597:Q1597" si="1595">IF(B1597=0,0,IF(YEAR(B1597)=$Q$1,MONTH(B1597)-$P$1+1,(YEAR(B1597)-$Q$1)*12-$P$1+1+MONTH(B1597)))</f>
        <v>0</v>
      </c>
      <c r="Q1597" s="402">
        <f t="shared" si="1595"/>
        <v>0</v>
      </c>
      <c r="R1597" s="356" t="e">
        <f t="shared" si="1325"/>
        <v>#N/A</v>
      </c>
      <c r="S1597" s="356" t="str">
        <f>IF(D1597="","",IF(OR(D1597=Plano!$A$1,D1597=Plano!$B$1),"entrada","saída"))</f>
        <v/>
      </c>
      <c r="T1597" s="345"/>
      <c r="U1597" s="345"/>
      <c r="V1597" s="269"/>
      <c r="W1597" s="269"/>
    </row>
    <row r="1598" spans="1:23" ht="120" customHeight="1" x14ac:dyDescent="0.2">
      <c r="A1598" s="403" t="str">
        <f t="shared" si="0"/>
        <v/>
      </c>
      <c r="B1598" s="278"/>
      <c r="C1598" s="256"/>
      <c r="D1598" s="255"/>
      <c r="E1598" s="255"/>
      <c r="F1598" s="258"/>
      <c r="G1598" s="255"/>
      <c r="H1598" s="255"/>
      <c r="I1598" s="250"/>
      <c r="J1598" s="255"/>
      <c r="K1598" s="255"/>
      <c r="L1598" s="250"/>
      <c r="M1598" s="255"/>
      <c r="N1598" s="277"/>
      <c r="O1598" s="329"/>
      <c r="P1598" s="402">
        <f t="shared" ref="P1598:Q1598" si="1596">IF(B1598=0,0,IF(YEAR(B1598)=$Q$1,MONTH(B1598)-$P$1+1,(YEAR(B1598)-$Q$1)*12-$P$1+1+MONTH(B1598)))</f>
        <v>0</v>
      </c>
      <c r="Q1598" s="402">
        <f t="shared" si="1596"/>
        <v>0</v>
      </c>
      <c r="R1598" s="356" t="e">
        <f t="shared" si="1325"/>
        <v>#N/A</v>
      </c>
      <c r="S1598" s="356" t="str">
        <f>IF(D1598="","",IF(OR(D1598=Plano!$A$1,D1598=Plano!$B$1),"entrada","saída"))</f>
        <v/>
      </c>
      <c r="T1598" s="345"/>
      <c r="U1598" s="345"/>
      <c r="V1598" s="269"/>
      <c r="W1598" s="269"/>
    </row>
    <row r="1599" spans="1:23" ht="120" customHeight="1" x14ac:dyDescent="0.2">
      <c r="A1599" s="403" t="str">
        <f t="shared" si="0"/>
        <v/>
      </c>
      <c r="B1599" s="278"/>
      <c r="C1599" s="256"/>
      <c r="D1599" s="255"/>
      <c r="E1599" s="255"/>
      <c r="F1599" s="258"/>
      <c r="G1599" s="255"/>
      <c r="H1599" s="255"/>
      <c r="I1599" s="250"/>
      <c r="J1599" s="255"/>
      <c r="K1599" s="255"/>
      <c r="L1599" s="250"/>
      <c r="M1599" s="255"/>
      <c r="N1599" s="277"/>
      <c r="O1599" s="329"/>
      <c r="P1599" s="402">
        <f t="shared" ref="P1599:Q1599" si="1597">IF(B1599=0,0,IF(YEAR(B1599)=$Q$1,MONTH(B1599)-$P$1+1,(YEAR(B1599)-$Q$1)*12-$P$1+1+MONTH(B1599)))</f>
        <v>0</v>
      </c>
      <c r="Q1599" s="402">
        <f t="shared" si="1597"/>
        <v>0</v>
      </c>
      <c r="R1599" s="356" t="e">
        <f t="shared" si="1325"/>
        <v>#N/A</v>
      </c>
      <c r="S1599" s="356" t="str">
        <f>IF(D1599="","",IF(OR(D1599=Plano!$A$1,D1599=Plano!$B$1),"entrada","saída"))</f>
        <v/>
      </c>
      <c r="T1599" s="345"/>
      <c r="U1599" s="345"/>
      <c r="V1599" s="269"/>
      <c r="W1599" s="269"/>
    </row>
    <row r="1600" spans="1:23" ht="120" customHeight="1" x14ac:dyDescent="0.2">
      <c r="A1600" s="403" t="str">
        <f t="shared" si="0"/>
        <v/>
      </c>
      <c r="B1600" s="278"/>
      <c r="C1600" s="256"/>
      <c r="D1600" s="255"/>
      <c r="E1600" s="255"/>
      <c r="F1600" s="258"/>
      <c r="G1600" s="255"/>
      <c r="H1600" s="255"/>
      <c r="I1600" s="250"/>
      <c r="J1600" s="255"/>
      <c r="K1600" s="255"/>
      <c r="L1600" s="250"/>
      <c r="M1600" s="255"/>
      <c r="N1600" s="277"/>
      <c r="O1600" s="329"/>
      <c r="P1600" s="402">
        <f t="shared" ref="P1600:Q1600" si="1598">IF(B1600=0,0,IF(YEAR(B1600)=$Q$1,MONTH(B1600)-$P$1+1,(YEAR(B1600)-$Q$1)*12-$P$1+1+MONTH(B1600)))</f>
        <v>0</v>
      </c>
      <c r="Q1600" s="402">
        <f t="shared" si="1598"/>
        <v>0</v>
      </c>
      <c r="R1600" s="356" t="e">
        <f t="shared" si="1325"/>
        <v>#N/A</v>
      </c>
      <c r="S1600" s="356" t="str">
        <f>IF(D1600="","",IF(OR(D1600=Plano!$A$1,D1600=Plano!$B$1),"entrada","saída"))</f>
        <v/>
      </c>
      <c r="T1600" s="345"/>
      <c r="U1600" s="345"/>
      <c r="V1600" s="269"/>
      <c r="W1600" s="269"/>
    </row>
    <row r="1601" spans="1:23" ht="120" customHeight="1" x14ac:dyDescent="0.2">
      <c r="A1601" s="403" t="str">
        <f t="shared" si="0"/>
        <v/>
      </c>
      <c r="B1601" s="278"/>
      <c r="C1601" s="256"/>
      <c r="D1601" s="255"/>
      <c r="E1601" s="255"/>
      <c r="F1601" s="258"/>
      <c r="G1601" s="255"/>
      <c r="H1601" s="255"/>
      <c r="I1601" s="250"/>
      <c r="J1601" s="255"/>
      <c r="K1601" s="255"/>
      <c r="L1601" s="250"/>
      <c r="M1601" s="255"/>
      <c r="N1601" s="277"/>
      <c r="O1601" s="329"/>
      <c r="P1601" s="402">
        <f t="shared" ref="P1601:Q1601" si="1599">IF(B1601=0,0,IF(YEAR(B1601)=$Q$1,MONTH(B1601)-$P$1+1,(YEAR(B1601)-$Q$1)*12-$P$1+1+MONTH(B1601)))</f>
        <v>0</v>
      </c>
      <c r="Q1601" s="402">
        <f t="shared" si="1599"/>
        <v>0</v>
      </c>
      <c r="R1601" s="356" t="e">
        <f t="shared" si="1325"/>
        <v>#N/A</v>
      </c>
      <c r="S1601" s="356" t="str">
        <f>IF(D1601="","",IF(OR(D1601=Plano!$A$1,D1601=Plano!$B$1),"entrada","saída"))</f>
        <v/>
      </c>
      <c r="T1601" s="345"/>
      <c r="U1601" s="345"/>
      <c r="V1601" s="269"/>
      <c r="W1601" s="269"/>
    </row>
    <row r="1602" spans="1:23" ht="120" customHeight="1" x14ac:dyDescent="0.2">
      <c r="A1602" s="403" t="str">
        <f t="shared" si="0"/>
        <v/>
      </c>
      <c r="B1602" s="278"/>
      <c r="C1602" s="256"/>
      <c r="D1602" s="255"/>
      <c r="E1602" s="255"/>
      <c r="F1602" s="258"/>
      <c r="G1602" s="255"/>
      <c r="H1602" s="255"/>
      <c r="I1602" s="250"/>
      <c r="J1602" s="255"/>
      <c r="K1602" s="255"/>
      <c r="L1602" s="250"/>
      <c r="M1602" s="255"/>
      <c r="N1602" s="277"/>
      <c r="O1602" s="329"/>
      <c r="P1602" s="402">
        <f t="shared" ref="P1602:Q1602" si="1600">IF(B1602=0,0,IF(YEAR(B1602)=$Q$1,MONTH(B1602)-$P$1+1,(YEAR(B1602)-$Q$1)*12-$P$1+1+MONTH(B1602)))</f>
        <v>0</v>
      </c>
      <c r="Q1602" s="402">
        <f t="shared" si="1600"/>
        <v>0</v>
      </c>
      <c r="R1602" s="356" t="e">
        <f t="shared" si="1325"/>
        <v>#N/A</v>
      </c>
      <c r="S1602" s="356" t="str">
        <f>IF(D1602="","",IF(OR(D1602=Plano!$A$1,D1602=Plano!$B$1),"entrada","saída"))</f>
        <v/>
      </c>
      <c r="T1602" s="345"/>
      <c r="U1602" s="345"/>
      <c r="V1602" s="269"/>
      <c r="W1602" s="269"/>
    </row>
    <row r="1603" spans="1:23" ht="120" customHeight="1" x14ac:dyDescent="0.2">
      <c r="A1603" s="403" t="str">
        <f t="shared" si="0"/>
        <v/>
      </c>
      <c r="B1603" s="278"/>
      <c r="C1603" s="256"/>
      <c r="D1603" s="255"/>
      <c r="E1603" s="255"/>
      <c r="F1603" s="258"/>
      <c r="G1603" s="255"/>
      <c r="H1603" s="255"/>
      <c r="I1603" s="250"/>
      <c r="J1603" s="255"/>
      <c r="K1603" s="255"/>
      <c r="L1603" s="250"/>
      <c r="M1603" s="255"/>
      <c r="N1603" s="277"/>
      <c r="O1603" s="329"/>
      <c r="P1603" s="402">
        <f t="shared" ref="P1603:Q1603" si="1601">IF(B1603=0,0,IF(YEAR(B1603)=$Q$1,MONTH(B1603)-$P$1+1,(YEAR(B1603)-$Q$1)*12-$P$1+1+MONTH(B1603)))</f>
        <v>0</v>
      </c>
      <c r="Q1603" s="402">
        <f t="shared" si="1601"/>
        <v>0</v>
      </c>
      <c r="R1603" s="356" t="e">
        <f t="shared" si="1325"/>
        <v>#N/A</v>
      </c>
      <c r="S1603" s="356" t="str">
        <f>IF(D1603="","",IF(OR(D1603=Plano!$A$1,D1603=Plano!$B$1),"entrada","saída"))</f>
        <v/>
      </c>
      <c r="T1603" s="345"/>
      <c r="U1603" s="345"/>
      <c r="V1603" s="269"/>
      <c r="W1603" s="269"/>
    </row>
    <row r="1604" spans="1:23" ht="120" customHeight="1" x14ac:dyDescent="0.2">
      <c r="A1604" s="403" t="str">
        <f t="shared" si="0"/>
        <v/>
      </c>
      <c r="B1604" s="278"/>
      <c r="C1604" s="256"/>
      <c r="D1604" s="255"/>
      <c r="E1604" s="255"/>
      <c r="F1604" s="258"/>
      <c r="G1604" s="255"/>
      <c r="H1604" s="255"/>
      <c r="I1604" s="250"/>
      <c r="J1604" s="255"/>
      <c r="K1604" s="255"/>
      <c r="L1604" s="250"/>
      <c r="M1604" s="255"/>
      <c r="N1604" s="277"/>
      <c r="O1604" s="329"/>
      <c r="P1604" s="402">
        <f t="shared" ref="P1604:Q1604" si="1602">IF(B1604=0,0,IF(YEAR(B1604)=$Q$1,MONTH(B1604)-$P$1+1,(YEAR(B1604)-$Q$1)*12-$P$1+1+MONTH(B1604)))</f>
        <v>0</v>
      </c>
      <c r="Q1604" s="402">
        <f t="shared" si="1602"/>
        <v>0</v>
      </c>
      <c r="R1604" s="356" t="e">
        <f t="shared" si="1325"/>
        <v>#N/A</v>
      </c>
      <c r="S1604" s="356" t="str">
        <f>IF(D1604="","",IF(OR(D1604=Plano!$A$1,D1604=Plano!$B$1),"entrada","saída"))</f>
        <v/>
      </c>
      <c r="T1604" s="345"/>
      <c r="U1604" s="345"/>
      <c r="V1604" s="269"/>
      <c r="W1604" s="269"/>
    </row>
    <row r="1605" spans="1:23" ht="120" customHeight="1" x14ac:dyDescent="0.2">
      <c r="A1605" s="403" t="str">
        <f t="shared" si="0"/>
        <v/>
      </c>
      <c r="B1605" s="278"/>
      <c r="C1605" s="256"/>
      <c r="D1605" s="255"/>
      <c r="E1605" s="255"/>
      <c r="F1605" s="258"/>
      <c r="G1605" s="255"/>
      <c r="H1605" s="255"/>
      <c r="I1605" s="250"/>
      <c r="J1605" s="255"/>
      <c r="K1605" s="255"/>
      <c r="L1605" s="250"/>
      <c r="M1605" s="255"/>
      <c r="N1605" s="277"/>
      <c r="O1605" s="329"/>
      <c r="P1605" s="402">
        <f t="shared" ref="P1605:Q1605" si="1603">IF(B1605=0,0,IF(YEAR(B1605)=$Q$1,MONTH(B1605)-$P$1+1,(YEAR(B1605)-$Q$1)*12-$P$1+1+MONTH(B1605)))</f>
        <v>0</v>
      </c>
      <c r="Q1605" s="402">
        <f t="shared" si="1603"/>
        <v>0</v>
      </c>
      <c r="R1605" s="356" t="e">
        <f t="shared" si="1325"/>
        <v>#N/A</v>
      </c>
      <c r="S1605" s="356" t="str">
        <f>IF(D1605="","",IF(OR(D1605=Plano!$A$1,D1605=Plano!$B$1),"entrada","saída"))</f>
        <v/>
      </c>
      <c r="T1605" s="345"/>
      <c r="U1605" s="345"/>
      <c r="V1605" s="269"/>
      <c r="W1605" s="269"/>
    </row>
    <row r="1606" spans="1:23" ht="120" customHeight="1" x14ac:dyDescent="0.2">
      <c r="A1606" s="403" t="str">
        <f t="shared" si="0"/>
        <v/>
      </c>
      <c r="B1606" s="278"/>
      <c r="C1606" s="256"/>
      <c r="D1606" s="255"/>
      <c r="E1606" s="255"/>
      <c r="F1606" s="258"/>
      <c r="G1606" s="255"/>
      <c r="H1606" s="255"/>
      <c r="I1606" s="250"/>
      <c r="J1606" s="255"/>
      <c r="K1606" s="255"/>
      <c r="L1606" s="250"/>
      <c r="M1606" s="255"/>
      <c r="N1606" s="277"/>
      <c r="O1606" s="329"/>
      <c r="P1606" s="402">
        <f t="shared" ref="P1606:Q1606" si="1604">IF(B1606=0,0,IF(YEAR(B1606)=$Q$1,MONTH(B1606)-$P$1+1,(YEAR(B1606)-$Q$1)*12-$P$1+1+MONTH(B1606)))</f>
        <v>0</v>
      </c>
      <c r="Q1606" s="402">
        <f t="shared" si="1604"/>
        <v>0</v>
      </c>
      <c r="R1606" s="356" t="e">
        <f t="shared" si="1325"/>
        <v>#N/A</v>
      </c>
      <c r="S1606" s="356" t="str">
        <f>IF(D1606="","",IF(OR(D1606=Plano!$A$1,D1606=Plano!$B$1),"entrada","saída"))</f>
        <v/>
      </c>
      <c r="T1606" s="345"/>
      <c r="U1606" s="345"/>
      <c r="V1606" s="269"/>
      <c r="W1606" s="269"/>
    </row>
    <row r="1607" spans="1:23" ht="120" customHeight="1" x14ac:dyDescent="0.2">
      <c r="A1607" s="403" t="str">
        <f t="shared" si="0"/>
        <v/>
      </c>
      <c r="B1607" s="278"/>
      <c r="C1607" s="256"/>
      <c r="D1607" s="255"/>
      <c r="E1607" s="255"/>
      <c r="F1607" s="258"/>
      <c r="G1607" s="255"/>
      <c r="H1607" s="255"/>
      <c r="I1607" s="250"/>
      <c r="J1607" s="255"/>
      <c r="K1607" s="255"/>
      <c r="L1607" s="250"/>
      <c r="M1607" s="255"/>
      <c r="N1607" s="277"/>
      <c r="O1607" s="329"/>
      <c r="P1607" s="402">
        <f t="shared" ref="P1607:Q1607" si="1605">IF(B1607=0,0,IF(YEAR(B1607)=$Q$1,MONTH(B1607)-$P$1+1,(YEAR(B1607)-$Q$1)*12-$P$1+1+MONTH(B1607)))</f>
        <v>0</v>
      </c>
      <c r="Q1607" s="402">
        <f t="shared" si="1605"/>
        <v>0</v>
      </c>
      <c r="R1607" s="356" t="e">
        <f t="shared" si="1325"/>
        <v>#N/A</v>
      </c>
      <c r="S1607" s="356" t="str">
        <f>IF(D1607="","",IF(OR(D1607=Plano!$A$1,D1607=Plano!$B$1),"entrada","saída"))</f>
        <v/>
      </c>
      <c r="T1607" s="345"/>
      <c r="U1607" s="345"/>
      <c r="V1607" s="269"/>
      <c r="W1607" s="269"/>
    </row>
    <row r="1608" spans="1:23" ht="120" customHeight="1" x14ac:dyDescent="0.2">
      <c r="A1608" s="403" t="str">
        <f t="shared" si="0"/>
        <v/>
      </c>
      <c r="B1608" s="278"/>
      <c r="C1608" s="256"/>
      <c r="D1608" s="255"/>
      <c r="E1608" s="255"/>
      <c r="F1608" s="258"/>
      <c r="G1608" s="255"/>
      <c r="H1608" s="255"/>
      <c r="I1608" s="250"/>
      <c r="J1608" s="255"/>
      <c r="K1608" s="255"/>
      <c r="L1608" s="250"/>
      <c r="M1608" s="255"/>
      <c r="N1608" s="277"/>
      <c r="O1608" s="329"/>
      <c r="P1608" s="402">
        <f t="shared" ref="P1608:Q1608" si="1606">IF(B1608=0,0,IF(YEAR(B1608)=$Q$1,MONTH(B1608)-$P$1+1,(YEAR(B1608)-$Q$1)*12-$P$1+1+MONTH(B1608)))</f>
        <v>0</v>
      </c>
      <c r="Q1608" s="402">
        <f t="shared" si="1606"/>
        <v>0</v>
      </c>
      <c r="R1608" s="356" t="e">
        <f t="shared" si="1325"/>
        <v>#N/A</v>
      </c>
      <c r="S1608" s="356" t="str">
        <f>IF(D1608="","",IF(OR(D1608=Plano!$A$1,D1608=Plano!$B$1),"entrada","saída"))</f>
        <v/>
      </c>
      <c r="T1608" s="345"/>
      <c r="U1608" s="345"/>
      <c r="V1608" s="269"/>
      <c r="W1608" s="269"/>
    </row>
    <row r="1609" spans="1:23" ht="120" customHeight="1" x14ac:dyDescent="0.2">
      <c r="A1609" s="403" t="str">
        <f t="shared" si="0"/>
        <v/>
      </c>
      <c r="B1609" s="278"/>
      <c r="C1609" s="256"/>
      <c r="D1609" s="255"/>
      <c r="E1609" s="255"/>
      <c r="F1609" s="258"/>
      <c r="G1609" s="255"/>
      <c r="H1609" s="255"/>
      <c r="I1609" s="250"/>
      <c r="J1609" s="255"/>
      <c r="K1609" s="255"/>
      <c r="L1609" s="250"/>
      <c r="M1609" s="255"/>
      <c r="N1609" s="277"/>
      <c r="O1609" s="329"/>
      <c r="P1609" s="402">
        <f t="shared" ref="P1609:Q1609" si="1607">IF(B1609=0,0,IF(YEAR(B1609)=$Q$1,MONTH(B1609)-$P$1+1,(YEAR(B1609)-$Q$1)*12-$P$1+1+MONTH(B1609)))</f>
        <v>0</v>
      </c>
      <c r="Q1609" s="402">
        <f t="shared" si="1607"/>
        <v>0</v>
      </c>
      <c r="R1609" s="356" t="e">
        <f t="shared" si="1325"/>
        <v>#N/A</v>
      </c>
      <c r="S1609" s="356" t="str">
        <f>IF(D1609="","",IF(OR(D1609=Plano!$A$1,D1609=Plano!$B$1),"entrada","saída"))</f>
        <v/>
      </c>
      <c r="T1609" s="345"/>
      <c r="U1609" s="345"/>
      <c r="V1609" s="269"/>
      <c r="W1609" s="269"/>
    </row>
    <row r="1610" spans="1:23" ht="120" customHeight="1" x14ac:dyDescent="0.2">
      <c r="A1610" s="403" t="str">
        <f t="shared" si="0"/>
        <v/>
      </c>
      <c r="B1610" s="278"/>
      <c r="C1610" s="256"/>
      <c r="D1610" s="255"/>
      <c r="E1610" s="255"/>
      <c r="F1610" s="258"/>
      <c r="G1610" s="255"/>
      <c r="H1610" s="255"/>
      <c r="I1610" s="250"/>
      <c r="J1610" s="255"/>
      <c r="K1610" s="255"/>
      <c r="L1610" s="250"/>
      <c r="M1610" s="255"/>
      <c r="N1610" s="277"/>
      <c r="O1610" s="329"/>
      <c r="P1610" s="402">
        <f t="shared" ref="P1610:Q1610" si="1608">IF(B1610=0,0,IF(YEAR(B1610)=$Q$1,MONTH(B1610)-$P$1+1,(YEAR(B1610)-$Q$1)*12-$P$1+1+MONTH(B1610)))</f>
        <v>0</v>
      </c>
      <c r="Q1610" s="402">
        <f t="shared" si="1608"/>
        <v>0</v>
      </c>
      <c r="R1610" s="356" t="e">
        <f t="shared" si="1325"/>
        <v>#N/A</v>
      </c>
      <c r="S1610" s="356" t="str">
        <f>IF(D1610="","",IF(OR(D1610=Plano!$A$1,D1610=Plano!$B$1),"entrada","saída"))</f>
        <v/>
      </c>
      <c r="T1610" s="345"/>
      <c r="U1610" s="345"/>
      <c r="V1610" s="269"/>
      <c r="W1610" s="269"/>
    </row>
    <row r="1611" spans="1:23" ht="120" customHeight="1" x14ac:dyDescent="0.2">
      <c r="A1611" s="403" t="str">
        <f t="shared" si="0"/>
        <v/>
      </c>
      <c r="B1611" s="278"/>
      <c r="C1611" s="256"/>
      <c r="D1611" s="255"/>
      <c r="E1611" s="255"/>
      <c r="F1611" s="258"/>
      <c r="G1611" s="255"/>
      <c r="H1611" s="255"/>
      <c r="I1611" s="250"/>
      <c r="J1611" s="255"/>
      <c r="K1611" s="255"/>
      <c r="L1611" s="250"/>
      <c r="M1611" s="255"/>
      <c r="N1611" s="277"/>
      <c r="O1611" s="329"/>
      <c r="P1611" s="402">
        <f t="shared" ref="P1611:Q1611" si="1609">IF(B1611=0,0,IF(YEAR(B1611)=$Q$1,MONTH(B1611)-$P$1+1,(YEAR(B1611)-$Q$1)*12-$P$1+1+MONTH(B1611)))</f>
        <v>0</v>
      </c>
      <c r="Q1611" s="402">
        <f t="shared" si="1609"/>
        <v>0</v>
      </c>
      <c r="R1611" s="356" t="e">
        <f t="shared" si="1325"/>
        <v>#N/A</v>
      </c>
      <c r="S1611" s="356" t="str">
        <f>IF(D1611="","",IF(OR(D1611=Plano!$A$1,D1611=Plano!$B$1),"entrada","saída"))</f>
        <v/>
      </c>
      <c r="T1611" s="345"/>
      <c r="U1611" s="345"/>
      <c r="V1611" s="269"/>
      <c r="W1611" s="269"/>
    </row>
    <row r="1612" spans="1:23" ht="120" customHeight="1" x14ac:dyDescent="0.2">
      <c r="A1612" s="403" t="str">
        <f t="shared" si="0"/>
        <v/>
      </c>
      <c r="B1612" s="278"/>
      <c r="C1612" s="256"/>
      <c r="D1612" s="255"/>
      <c r="E1612" s="255"/>
      <c r="F1612" s="258"/>
      <c r="G1612" s="255"/>
      <c r="H1612" s="255"/>
      <c r="I1612" s="250"/>
      <c r="J1612" s="255"/>
      <c r="K1612" s="255"/>
      <c r="L1612" s="250"/>
      <c r="M1612" s="255"/>
      <c r="N1612" s="277"/>
      <c r="O1612" s="329"/>
      <c r="P1612" s="402">
        <f t="shared" ref="P1612:Q1612" si="1610">IF(B1612=0,0,IF(YEAR(B1612)=$Q$1,MONTH(B1612)-$P$1+1,(YEAR(B1612)-$Q$1)*12-$P$1+1+MONTH(B1612)))</f>
        <v>0</v>
      </c>
      <c r="Q1612" s="402">
        <f t="shared" si="1610"/>
        <v>0</v>
      </c>
      <c r="R1612" s="356" t="e">
        <f t="shared" si="1325"/>
        <v>#N/A</v>
      </c>
      <c r="S1612" s="356" t="str">
        <f>IF(D1612="","",IF(OR(D1612=Plano!$A$1,D1612=Plano!$B$1),"entrada","saída"))</f>
        <v/>
      </c>
      <c r="T1612" s="345"/>
      <c r="U1612" s="345"/>
      <c r="V1612" s="269"/>
      <c r="W1612" s="269"/>
    </row>
    <row r="1613" spans="1:23" ht="120" customHeight="1" x14ac:dyDescent="0.2">
      <c r="A1613" s="403" t="str">
        <f t="shared" si="0"/>
        <v/>
      </c>
      <c r="B1613" s="278"/>
      <c r="C1613" s="256"/>
      <c r="D1613" s="255"/>
      <c r="E1613" s="255"/>
      <c r="F1613" s="258"/>
      <c r="G1613" s="255"/>
      <c r="H1613" s="255"/>
      <c r="I1613" s="250"/>
      <c r="J1613" s="255"/>
      <c r="K1613" s="255"/>
      <c r="L1613" s="250"/>
      <c r="M1613" s="255"/>
      <c r="N1613" s="277"/>
      <c r="O1613" s="329"/>
      <c r="P1613" s="402">
        <f t="shared" ref="P1613:Q1613" si="1611">IF(B1613=0,0,IF(YEAR(B1613)=$Q$1,MONTH(B1613)-$P$1+1,(YEAR(B1613)-$Q$1)*12-$P$1+1+MONTH(B1613)))</f>
        <v>0</v>
      </c>
      <c r="Q1613" s="402">
        <f t="shared" si="1611"/>
        <v>0</v>
      </c>
      <c r="R1613" s="356" t="e">
        <f t="shared" si="1325"/>
        <v>#N/A</v>
      </c>
      <c r="S1613" s="356" t="str">
        <f>IF(D1613="","",IF(OR(D1613=Plano!$A$1,D1613=Plano!$B$1),"entrada","saída"))</f>
        <v/>
      </c>
      <c r="T1613" s="345"/>
      <c r="U1613" s="345"/>
      <c r="V1613" s="269"/>
      <c r="W1613" s="269"/>
    </row>
    <row r="1614" spans="1:23" ht="120" customHeight="1" x14ac:dyDescent="0.2">
      <c r="A1614" s="403" t="str">
        <f t="shared" si="0"/>
        <v/>
      </c>
      <c r="B1614" s="278"/>
      <c r="C1614" s="256"/>
      <c r="D1614" s="255"/>
      <c r="E1614" s="255"/>
      <c r="F1614" s="258"/>
      <c r="G1614" s="255"/>
      <c r="H1614" s="255"/>
      <c r="I1614" s="250"/>
      <c r="J1614" s="255"/>
      <c r="K1614" s="255"/>
      <c r="L1614" s="250"/>
      <c r="M1614" s="255"/>
      <c r="N1614" s="277"/>
      <c r="O1614" s="329"/>
      <c r="P1614" s="402">
        <f t="shared" ref="P1614:Q1614" si="1612">IF(B1614=0,0,IF(YEAR(B1614)=$Q$1,MONTH(B1614)-$P$1+1,(YEAR(B1614)-$Q$1)*12-$P$1+1+MONTH(B1614)))</f>
        <v>0</v>
      </c>
      <c r="Q1614" s="402">
        <f t="shared" si="1612"/>
        <v>0</v>
      </c>
      <c r="R1614" s="356" t="e">
        <f t="shared" si="1325"/>
        <v>#N/A</v>
      </c>
      <c r="S1614" s="356" t="str">
        <f>IF(D1614="","",IF(OR(D1614=Plano!$A$1,D1614=Plano!$B$1),"entrada","saída"))</f>
        <v/>
      </c>
      <c r="T1614" s="345"/>
      <c r="U1614" s="345"/>
      <c r="V1614" s="269"/>
      <c r="W1614" s="269"/>
    </row>
    <row r="1615" spans="1:23" ht="120" customHeight="1" x14ac:dyDescent="0.2">
      <c r="A1615" s="403" t="str">
        <f t="shared" si="0"/>
        <v/>
      </c>
      <c r="B1615" s="278"/>
      <c r="C1615" s="256"/>
      <c r="D1615" s="255"/>
      <c r="E1615" s="255"/>
      <c r="F1615" s="258"/>
      <c r="G1615" s="255"/>
      <c r="H1615" s="255"/>
      <c r="I1615" s="250"/>
      <c r="J1615" s="255"/>
      <c r="K1615" s="255"/>
      <c r="L1615" s="250"/>
      <c r="M1615" s="255"/>
      <c r="N1615" s="277"/>
      <c r="O1615" s="329"/>
      <c r="P1615" s="402">
        <f t="shared" ref="P1615:Q1615" si="1613">IF(B1615=0,0,IF(YEAR(B1615)=$Q$1,MONTH(B1615)-$P$1+1,(YEAR(B1615)-$Q$1)*12-$P$1+1+MONTH(B1615)))</f>
        <v>0</v>
      </c>
      <c r="Q1615" s="402">
        <f t="shared" si="1613"/>
        <v>0</v>
      </c>
      <c r="R1615" s="356" t="e">
        <f t="shared" si="1325"/>
        <v>#N/A</v>
      </c>
      <c r="S1615" s="356" t="str">
        <f>IF(D1615="","",IF(OR(D1615=Plano!$A$1,D1615=Plano!$B$1),"entrada","saída"))</f>
        <v/>
      </c>
      <c r="T1615" s="345"/>
      <c r="U1615" s="345"/>
      <c r="V1615" s="269"/>
      <c r="W1615" s="269"/>
    </row>
    <row r="1616" spans="1:23" ht="120" customHeight="1" x14ac:dyDescent="0.2">
      <c r="A1616" s="403" t="str">
        <f t="shared" si="0"/>
        <v/>
      </c>
      <c r="B1616" s="278"/>
      <c r="C1616" s="256"/>
      <c r="D1616" s="255"/>
      <c r="E1616" s="255"/>
      <c r="F1616" s="258"/>
      <c r="G1616" s="255"/>
      <c r="H1616" s="255"/>
      <c r="I1616" s="250"/>
      <c r="J1616" s="255"/>
      <c r="K1616" s="255"/>
      <c r="L1616" s="250"/>
      <c r="M1616" s="255"/>
      <c r="N1616" s="277"/>
      <c r="O1616" s="329"/>
      <c r="P1616" s="402">
        <f t="shared" ref="P1616:Q1616" si="1614">IF(B1616=0,0,IF(YEAR(B1616)=$Q$1,MONTH(B1616)-$P$1+1,(YEAR(B1616)-$Q$1)*12-$P$1+1+MONTH(B1616)))</f>
        <v>0</v>
      </c>
      <c r="Q1616" s="402">
        <f t="shared" si="1614"/>
        <v>0</v>
      </c>
      <c r="R1616" s="356" t="e">
        <f t="shared" si="1325"/>
        <v>#N/A</v>
      </c>
      <c r="S1616" s="356" t="str">
        <f>IF(D1616="","",IF(OR(D1616=Plano!$A$1,D1616=Plano!$B$1),"entrada","saída"))</f>
        <v/>
      </c>
      <c r="T1616" s="345"/>
      <c r="U1616" s="345"/>
      <c r="V1616" s="269"/>
      <c r="W1616" s="269"/>
    </row>
    <row r="1617" spans="1:23" ht="120" customHeight="1" x14ac:dyDescent="0.2">
      <c r="A1617" s="403" t="str">
        <f t="shared" si="0"/>
        <v/>
      </c>
      <c r="B1617" s="278"/>
      <c r="C1617" s="256"/>
      <c r="D1617" s="255"/>
      <c r="E1617" s="255"/>
      <c r="F1617" s="258"/>
      <c r="G1617" s="255"/>
      <c r="H1617" s="255"/>
      <c r="I1617" s="250"/>
      <c r="J1617" s="255"/>
      <c r="K1617" s="255"/>
      <c r="L1617" s="250"/>
      <c r="M1617" s="255"/>
      <c r="N1617" s="277"/>
      <c r="O1617" s="329"/>
      <c r="P1617" s="402">
        <f t="shared" ref="P1617:Q1617" si="1615">IF(B1617=0,0,IF(YEAR(B1617)=$Q$1,MONTH(B1617)-$P$1+1,(YEAR(B1617)-$Q$1)*12-$P$1+1+MONTH(B1617)))</f>
        <v>0</v>
      </c>
      <c r="Q1617" s="402">
        <f t="shared" si="1615"/>
        <v>0</v>
      </c>
      <c r="R1617" s="356" t="e">
        <f t="shared" si="1325"/>
        <v>#N/A</v>
      </c>
      <c r="S1617" s="356" t="str">
        <f>IF(D1617="","",IF(OR(D1617=Plano!$A$1,D1617=Plano!$B$1),"entrada","saída"))</f>
        <v/>
      </c>
      <c r="T1617" s="345"/>
      <c r="U1617" s="345"/>
      <c r="V1617" s="269"/>
      <c r="W1617" s="269"/>
    </row>
    <row r="1618" spans="1:23" ht="120" customHeight="1" x14ac:dyDescent="0.2">
      <c r="A1618" s="403" t="str">
        <f t="shared" si="0"/>
        <v/>
      </c>
      <c r="B1618" s="278"/>
      <c r="C1618" s="256"/>
      <c r="D1618" s="255"/>
      <c r="E1618" s="255"/>
      <c r="F1618" s="258"/>
      <c r="G1618" s="255"/>
      <c r="H1618" s="255"/>
      <c r="I1618" s="250"/>
      <c r="J1618" s="255"/>
      <c r="K1618" s="255"/>
      <c r="L1618" s="250"/>
      <c r="M1618" s="255"/>
      <c r="N1618" s="277"/>
      <c r="O1618" s="329"/>
      <c r="P1618" s="402">
        <f t="shared" ref="P1618:Q1618" si="1616">IF(B1618=0,0,IF(YEAR(B1618)=$Q$1,MONTH(B1618)-$P$1+1,(YEAR(B1618)-$Q$1)*12-$P$1+1+MONTH(B1618)))</f>
        <v>0</v>
      </c>
      <c r="Q1618" s="402">
        <f t="shared" si="1616"/>
        <v>0</v>
      </c>
      <c r="R1618" s="356" t="e">
        <f t="shared" si="1325"/>
        <v>#N/A</v>
      </c>
      <c r="S1618" s="356" t="str">
        <f>IF(D1618="","",IF(OR(D1618=Plano!$A$1,D1618=Plano!$B$1),"entrada","saída"))</f>
        <v/>
      </c>
      <c r="T1618" s="345"/>
      <c r="U1618" s="345"/>
      <c r="V1618" s="269"/>
      <c r="W1618" s="269"/>
    </row>
    <row r="1619" spans="1:23" ht="12.75" customHeight="1" x14ac:dyDescent="0.2">
      <c r="A1619" s="289" t="str">
        <f t="shared" si="0"/>
        <v/>
      </c>
      <c r="B1619" s="290"/>
      <c r="C1619" s="404"/>
      <c r="D1619" s="291"/>
      <c r="E1619" s="291"/>
      <c r="F1619" s="292"/>
      <c r="G1619" s="291"/>
      <c r="H1619" s="291"/>
      <c r="I1619" s="293"/>
      <c r="J1619" s="291"/>
      <c r="K1619" s="291"/>
      <c r="L1619" s="293"/>
      <c r="M1619" s="291"/>
      <c r="N1619" s="289"/>
      <c r="O1619" s="358"/>
      <c r="P1619" s="280">
        <f t="shared" ref="P1619:Q1619" si="1617">IF(B1619=0,0,IF(YEAR(B1619)=$Q$1,MONTH(B1619)-$P$1+1,(YEAR(B1619)-$Q$1)*12-$P$1+1+MONTH(B1619)))</f>
        <v>0</v>
      </c>
      <c r="Q1619" s="280">
        <f t="shared" si="1617"/>
        <v>0</v>
      </c>
      <c r="R1619" s="405" t="e">
        <f t="shared" si="1325"/>
        <v>#N/A</v>
      </c>
      <c r="S1619" s="269" t="str">
        <f>IF(D1619="","",IF(OR(D1619=Plano!$A$1,D1619=Plano!$B$1),"entrada","saída"))</f>
        <v/>
      </c>
      <c r="T1619" s="406"/>
      <c r="U1619" s="406"/>
      <c r="V1619" s="269"/>
      <c r="W1619" s="269"/>
    </row>
    <row r="1620" spans="1:23" ht="12.75" customHeight="1" x14ac:dyDescent="0.2">
      <c r="A1620" s="289" t="str">
        <f t="shared" si="0"/>
        <v/>
      </c>
      <c r="B1620" s="290"/>
      <c r="C1620" s="404"/>
      <c r="D1620" s="291"/>
      <c r="E1620" s="291"/>
      <c r="F1620" s="292"/>
      <c r="G1620" s="291"/>
      <c r="H1620" s="291"/>
      <c r="I1620" s="293"/>
      <c r="J1620" s="291"/>
      <c r="K1620" s="291"/>
      <c r="L1620" s="293"/>
      <c r="M1620" s="291"/>
      <c r="N1620" s="289"/>
      <c r="O1620" s="358"/>
      <c r="P1620" s="402">
        <f t="shared" ref="P1620:Q1620" si="1618">IF(B1620=0,0,IF(YEAR(B1620)=$Q$1,MONTH(B1620)-$P$1+1,(YEAR(B1620)-$Q$1)*12-$P$1+1+MONTH(B1620)))</f>
        <v>0</v>
      </c>
      <c r="Q1620" s="402">
        <f t="shared" si="1618"/>
        <v>0</v>
      </c>
      <c r="R1620" s="356" t="e">
        <f t="shared" si="1325"/>
        <v>#N/A</v>
      </c>
      <c r="S1620" s="269" t="str">
        <f>IF(D1620="","",IF(OR(D1620=Plano!$A$1,D1620=Plano!$B$1),"entrada","saída"))</f>
        <v/>
      </c>
      <c r="T1620" s="406"/>
      <c r="U1620" s="406"/>
      <c r="V1620" s="269"/>
      <c r="W1620" s="269"/>
    </row>
    <row r="1621" spans="1:23" ht="12.75" customHeight="1" x14ac:dyDescent="0.2">
      <c r="A1621" s="289" t="str">
        <f t="shared" si="0"/>
        <v/>
      </c>
      <c r="B1621" s="290"/>
      <c r="C1621" s="404"/>
      <c r="D1621" s="291"/>
      <c r="E1621" s="291"/>
      <c r="F1621" s="292"/>
      <c r="G1621" s="291"/>
      <c r="H1621" s="291"/>
      <c r="I1621" s="293"/>
      <c r="J1621" s="291"/>
      <c r="K1621" s="291"/>
      <c r="L1621" s="293"/>
      <c r="M1621" s="291"/>
      <c r="N1621" s="289"/>
      <c r="O1621" s="358"/>
      <c r="P1621" s="402">
        <f t="shared" ref="P1621:Q1621" si="1619">IF(B1621=0,0,IF(YEAR(B1621)=$Q$1,MONTH(B1621)-$P$1+1,(YEAR(B1621)-$Q$1)*12-$P$1+1+MONTH(B1621)))</f>
        <v>0</v>
      </c>
      <c r="Q1621" s="402">
        <f t="shared" si="1619"/>
        <v>0</v>
      </c>
      <c r="R1621" s="356" t="e">
        <f t="shared" si="1325"/>
        <v>#N/A</v>
      </c>
      <c r="S1621" s="269" t="str">
        <f>IF(D1621="","",IF(OR(D1621=Plano!$A$1,D1621=Plano!$B$1),"entrada","saída"))</f>
        <v/>
      </c>
      <c r="T1621" s="406"/>
      <c r="U1621" s="406"/>
      <c r="V1621" s="269"/>
      <c r="W1621" s="269"/>
    </row>
    <row r="1622" spans="1:23" ht="12.75" customHeight="1" x14ac:dyDescent="0.2">
      <c r="A1622" s="289" t="str">
        <f t="shared" si="0"/>
        <v/>
      </c>
      <c r="B1622" s="290"/>
      <c r="C1622" s="404"/>
      <c r="D1622" s="291"/>
      <c r="E1622" s="291"/>
      <c r="F1622" s="292"/>
      <c r="G1622" s="291"/>
      <c r="H1622" s="291"/>
      <c r="I1622" s="293"/>
      <c r="J1622" s="291"/>
      <c r="K1622" s="291"/>
      <c r="L1622" s="293"/>
      <c r="M1622" s="291"/>
      <c r="N1622" s="289"/>
      <c r="O1622" s="358"/>
      <c r="P1622" s="402">
        <f t="shared" ref="P1622:Q1622" si="1620">IF(B1622=0,0,IF(YEAR(B1622)=$Q$1,MONTH(B1622)-$P$1+1,(YEAR(B1622)-$Q$1)*12-$P$1+1+MONTH(B1622)))</f>
        <v>0</v>
      </c>
      <c r="Q1622" s="402">
        <f t="shared" si="1620"/>
        <v>0</v>
      </c>
      <c r="R1622" s="356" t="e">
        <f t="shared" si="1325"/>
        <v>#N/A</v>
      </c>
      <c r="S1622" s="269" t="str">
        <f>IF(D1622="","",IF(OR(D1622=Plano!$A$1,D1622=Plano!$B$1),"entrada","saída"))</f>
        <v/>
      </c>
      <c r="T1622" s="406"/>
      <c r="U1622" s="406"/>
      <c r="V1622" s="269"/>
      <c r="W1622" s="269"/>
    </row>
    <row r="1623" spans="1:23" ht="12.75" customHeight="1" x14ac:dyDescent="0.2">
      <c r="A1623" s="289" t="str">
        <f t="shared" si="0"/>
        <v/>
      </c>
      <c r="B1623" s="290"/>
      <c r="C1623" s="404"/>
      <c r="D1623" s="291"/>
      <c r="E1623" s="291"/>
      <c r="F1623" s="292"/>
      <c r="G1623" s="291"/>
      <c r="H1623" s="291"/>
      <c r="I1623" s="293"/>
      <c r="J1623" s="291"/>
      <c r="K1623" s="291"/>
      <c r="L1623" s="293"/>
      <c r="M1623" s="291"/>
      <c r="N1623" s="289"/>
      <c r="O1623" s="358"/>
      <c r="P1623" s="402">
        <f t="shared" ref="P1623:Q1623" si="1621">IF(B1623=0,0,IF(YEAR(B1623)=$Q$1,MONTH(B1623)-$P$1+1,(YEAR(B1623)-$Q$1)*12-$P$1+1+MONTH(B1623)))</f>
        <v>0</v>
      </c>
      <c r="Q1623" s="402">
        <f t="shared" si="1621"/>
        <v>0</v>
      </c>
      <c r="R1623" s="356" t="e">
        <f t="shared" si="1325"/>
        <v>#N/A</v>
      </c>
      <c r="S1623" s="269" t="str">
        <f>IF(D1623="","",IF(OR(D1623=Plano!$A$1,D1623=Plano!$B$1),"entrada","saída"))</f>
        <v/>
      </c>
      <c r="T1623" s="406"/>
      <c r="U1623" s="406"/>
      <c r="V1623" s="269"/>
      <c r="W1623" s="269"/>
    </row>
    <row r="1624" spans="1:23" ht="12.75" customHeight="1" x14ac:dyDescent="0.2">
      <c r="A1624" s="289" t="str">
        <f t="shared" si="0"/>
        <v/>
      </c>
      <c r="B1624" s="290"/>
      <c r="C1624" s="404"/>
      <c r="D1624" s="291"/>
      <c r="E1624" s="291"/>
      <c r="F1624" s="292"/>
      <c r="G1624" s="291"/>
      <c r="H1624" s="291"/>
      <c r="I1624" s="293"/>
      <c r="J1624" s="291"/>
      <c r="K1624" s="291"/>
      <c r="L1624" s="293"/>
      <c r="M1624" s="291"/>
      <c r="N1624" s="289"/>
      <c r="O1624" s="358"/>
      <c r="P1624" s="402">
        <f t="shared" ref="P1624:Q1624" si="1622">IF(B1624=0,0,IF(YEAR(B1624)=$Q$1,MONTH(B1624)-$P$1+1,(YEAR(B1624)-$Q$1)*12-$P$1+1+MONTH(B1624)))</f>
        <v>0</v>
      </c>
      <c r="Q1624" s="402">
        <f t="shared" si="1622"/>
        <v>0</v>
      </c>
      <c r="R1624" s="356" t="e">
        <f t="shared" si="1325"/>
        <v>#N/A</v>
      </c>
      <c r="S1624" s="269" t="str">
        <f>IF(D1624="","",IF(OR(D1624=Plano!$A$1,D1624=Plano!$B$1),"entrada","saída"))</f>
        <v/>
      </c>
      <c r="T1624" s="406"/>
      <c r="U1624" s="406"/>
      <c r="V1624" s="269"/>
      <c r="W1624" s="269"/>
    </row>
    <row r="1625" spans="1:23" ht="12.75" customHeight="1" x14ac:dyDescent="0.2">
      <c r="A1625" s="289" t="str">
        <f t="shared" si="0"/>
        <v/>
      </c>
      <c r="B1625" s="290"/>
      <c r="C1625" s="404"/>
      <c r="D1625" s="291"/>
      <c r="E1625" s="291"/>
      <c r="F1625" s="292"/>
      <c r="G1625" s="291"/>
      <c r="H1625" s="291"/>
      <c r="I1625" s="293"/>
      <c r="J1625" s="291"/>
      <c r="K1625" s="291"/>
      <c r="L1625" s="293"/>
      <c r="M1625" s="291"/>
      <c r="N1625" s="289"/>
      <c r="O1625" s="358"/>
      <c r="P1625" s="402">
        <f t="shared" ref="P1625:Q1625" si="1623">IF(B1625=0,0,IF(YEAR(B1625)=$Q$1,MONTH(B1625)-$P$1+1,(YEAR(B1625)-$Q$1)*12-$P$1+1+MONTH(B1625)))</f>
        <v>0</v>
      </c>
      <c r="Q1625" s="402">
        <f t="shared" si="1623"/>
        <v>0</v>
      </c>
      <c r="R1625" s="356" t="e">
        <f t="shared" si="1325"/>
        <v>#N/A</v>
      </c>
      <c r="S1625" s="269" t="str">
        <f>IF(D1625="","",IF(OR(D1625=Plano!$A$1,D1625=Plano!$B$1),"entrada","saída"))</f>
        <v/>
      </c>
      <c r="T1625" s="406"/>
      <c r="U1625" s="406"/>
      <c r="V1625" s="269"/>
      <c r="W1625" s="269"/>
    </row>
    <row r="1626" spans="1:23" ht="12.75" customHeight="1" x14ac:dyDescent="0.2">
      <c r="A1626" s="289" t="str">
        <f t="shared" si="0"/>
        <v/>
      </c>
      <c r="B1626" s="290"/>
      <c r="C1626" s="404"/>
      <c r="D1626" s="291"/>
      <c r="E1626" s="291"/>
      <c r="F1626" s="292"/>
      <c r="G1626" s="291"/>
      <c r="H1626" s="291"/>
      <c r="I1626" s="293"/>
      <c r="J1626" s="291"/>
      <c r="K1626" s="291"/>
      <c r="L1626" s="293"/>
      <c r="M1626" s="291"/>
      <c r="N1626" s="289"/>
      <c r="O1626" s="358"/>
      <c r="P1626" s="402">
        <f t="shared" ref="P1626:Q1626" si="1624">IF(B1626=0,0,IF(YEAR(B1626)=$Q$1,MONTH(B1626)-$P$1+1,(YEAR(B1626)-$Q$1)*12-$P$1+1+MONTH(B1626)))</f>
        <v>0</v>
      </c>
      <c r="Q1626" s="402">
        <f t="shared" si="1624"/>
        <v>0</v>
      </c>
      <c r="R1626" s="356" t="e">
        <f t="shared" si="1325"/>
        <v>#N/A</v>
      </c>
      <c r="S1626" s="269" t="str">
        <f>IF(D1626="","",IF(OR(D1626=Plano!$A$1,D1626=Plano!$B$1),"entrada","saída"))</f>
        <v/>
      </c>
      <c r="T1626" s="406"/>
      <c r="U1626" s="406"/>
      <c r="V1626" s="269"/>
      <c r="W1626" s="269"/>
    </row>
    <row r="1627" spans="1:23" ht="12.75" customHeight="1" x14ac:dyDescent="0.2">
      <c r="A1627" s="289" t="str">
        <f t="shared" si="0"/>
        <v/>
      </c>
      <c r="B1627" s="290"/>
      <c r="C1627" s="404"/>
      <c r="D1627" s="291"/>
      <c r="E1627" s="291"/>
      <c r="F1627" s="292"/>
      <c r="G1627" s="291"/>
      <c r="H1627" s="291"/>
      <c r="I1627" s="293"/>
      <c r="J1627" s="291"/>
      <c r="K1627" s="291"/>
      <c r="L1627" s="293"/>
      <c r="M1627" s="291"/>
      <c r="N1627" s="289"/>
      <c r="O1627" s="358"/>
      <c r="P1627" s="402">
        <f t="shared" ref="P1627:Q1627" si="1625">IF(B1627=0,0,IF(YEAR(B1627)=$Q$1,MONTH(B1627)-$P$1+1,(YEAR(B1627)-$Q$1)*12-$P$1+1+MONTH(B1627)))</f>
        <v>0</v>
      </c>
      <c r="Q1627" s="402">
        <f t="shared" si="1625"/>
        <v>0</v>
      </c>
      <c r="R1627" s="356" t="e">
        <f t="shared" si="1325"/>
        <v>#N/A</v>
      </c>
      <c r="S1627" s="269" t="str">
        <f>IF(D1627="","",IF(OR(D1627=Plano!$A$1,D1627=Plano!$B$1),"entrada","saída"))</f>
        <v/>
      </c>
      <c r="T1627" s="406"/>
      <c r="U1627" s="406"/>
      <c r="V1627" s="269"/>
      <c r="W1627" s="269"/>
    </row>
    <row r="1628" spans="1:23" ht="12.75" customHeight="1" x14ac:dyDescent="0.2">
      <c r="A1628" s="289" t="str">
        <f t="shared" si="0"/>
        <v/>
      </c>
      <c r="B1628" s="290"/>
      <c r="C1628" s="404"/>
      <c r="D1628" s="291"/>
      <c r="E1628" s="291"/>
      <c r="F1628" s="292"/>
      <c r="G1628" s="291"/>
      <c r="H1628" s="291"/>
      <c r="I1628" s="293"/>
      <c r="J1628" s="291"/>
      <c r="K1628" s="291"/>
      <c r="L1628" s="293"/>
      <c r="M1628" s="291"/>
      <c r="N1628" s="289"/>
      <c r="O1628" s="358"/>
      <c r="P1628" s="402">
        <f t="shared" ref="P1628:Q1628" si="1626">IF(B1628=0,0,IF(YEAR(B1628)=$Q$1,MONTH(B1628)-$P$1+1,(YEAR(B1628)-$Q$1)*12-$P$1+1+MONTH(B1628)))</f>
        <v>0</v>
      </c>
      <c r="Q1628" s="402">
        <f t="shared" si="1626"/>
        <v>0</v>
      </c>
      <c r="R1628" s="356" t="e">
        <f t="shared" si="1325"/>
        <v>#N/A</v>
      </c>
      <c r="S1628" s="269" t="str">
        <f>IF(D1628="","",IF(OR(D1628=Plano!$A$1,D1628=Plano!$B$1),"entrada","saída"))</f>
        <v/>
      </c>
      <c r="T1628" s="406"/>
      <c r="U1628" s="406"/>
      <c r="V1628" s="269"/>
      <c r="W1628" s="269"/>
    </row>
    <row r="1629" spans="1:23" ht="12.75" customHeight="1" x14ac:dyDescent="0.2">
      <c r="A1629" s="289" t="str">
        <f t="shared" si="0"/>
        <v/>
      </c>
      <c r="B1629" s="290"/>
      <c r="C1629" s="404"/>
      <c r="D1629" s="291"/>
      <c r="E1629" s="291"/>
      <c r="F1629" s="292"/>
      <c r="G1629" s="291"/>
      <c r="H1629" s="291"/>
      <c r="I1629" s="293"/>
      <c r="J1629" s="291"/>
      <c r="K1629" s="291"/>
      <c r="L1629" s="293"/>
      <c r="M1629" s="291"/>
      <c r="N1629" s="289"/>
      <c r="O1629" s="358"/>
      <c r="P1629" s="402">
        <f t="shared" ref="P1629:Q1629" si="1627">IF(B1629=0,0,IF(YEAR(B1629)=$Q$1,MONTH(B1629)-$P$1+1,(YEAR(B1629)-$Q$1)*12-$P$1+1+MONTH(B1629)))</f>
        <v>0</v>
      </c>
      <c r="Q1629" s="402">
        <f t="shared" si="1627"/>
        <v>0</v>
      </c>
      <c r="R1629" s="356" t="e">
        <f t="shared" si="1325"/>
        <v>#N/A</v>
      </c>
      <c r="S1629" s="269" t="str">
        <f>IF(D1629="","",IF(OR(D1629=Plano!$A$1,D1629=Plano!$B$1),"entrada","saída"))</f>
        <v/>
      </c>
      <c r="T1629" s="406"/>
      <c r="U1629" s="406"/>
      <c r="V1629" s="269"/>
      <c r="W1629" s="269"/>
    </row>
    <row r="1630" spans="1:23" ht="12.75" customHeight="1" x14ac:dyDescent="0.2">
      <c r="A1630" s="289" t="str">
        <f t="shared" si="0"/>
        <v/>
      </c>
      <c r="B1630" s="290"/>
      <c r="C1630" s="404"/>
      <c r="D1630" s="291"/>
      <c r="E1630" s="291"/>
      <c r="F1630" s="292"/>
      <c r="G1630" s="291"/>
      <c r="H1630" s="291"/>
      <c r="I1630" s="293"/>
      <c r="J1630" s="291"/>
      <c r="K1630" s="291"/>
      <c r="L1630" s="293"/>
      <c r="M1630" s="291"/>
      <c r="N1630" s="289"/>
      <c r="O1630" s="358"/>
      <c r="P1630" s="402">
        <f t="shared" ref="P1630:Q1630" si="1628">IF(B1630=0,0,IF(YEAR(B1630)=$Q$1,MONTH(B1630)-$P$1+1,(YEAR(B1630)-$Q$1)*12-$P$1+1+MONTH(B1630)))</f>
        <v>0</v>
      </c>
      <c r="Q1630" s="402">
        <f t="shared" si="1628"/>
        <v>0</v>
      </c>
      <c r="R1630" s="356" t="e">
        <f t="shared" si="1325"/>
        <v>#N/A</v>
      </c>
      <c r="S1630" s="269" t="str">
        <f>IF(D1630="","",IF(OR(D1630=Plano!$A$1,D1630=Plano!$B$1),"entrada","saída"))</f>
        <v/>
      </c>
      <c r="T1630" s="406"/>
      <c r="U1630" s="406"/>
      <c r="V1630" s="269"/>
      <c r="W1630" s="269"/>
    </row>
    <row r="1631" spans="1:23" ht="12.75" customHeight="1" x14ac:dyDescent="0.2">
      <c r="A1631" s="289" t="str">
        <f t="shared" si="0"/>
        <v/>
      </c>
      <c r="B1631" s="290"/>
      <c r="C1631" s="404"/>
      <c r="D1631" s="291"/>
      <c r="E1631" s="291"/>
      <c r="F1631" s="292"/>
      <c r="G1631" s="291"/>
      <c r="H1631" s="291"/>
      <c r="I1631" s="293"/>
      <c r="J1631" s="291"/>
      <c r="K1631" s="291"/>
      <c r="L1631" s="293"/>
      <c r="M1631" s="291"/>
      <c r="N1631" s="289"/>
      <c r="O1631" s="358"/>
      <c r="P1631" s="402">
        <f t="shared" ref="P1631:Q1631" si="1629">IF(B1631=0,0,IF(YEAR(B1631)=$Q$1,MONTH(B1631)-$P$1+1,(YEAR(B1631)-$Q$1)*12-$P$1+1+MONTH(B1631)))</f>
        <v>0</v>
      </c>
      <c r="Q1631" s="402">
        <f t="shared" si="1629"/>
        <v>0</v>
      </c>
      <c r="R1631" s="356" t="e">
        <f t="shared" si="1325"/>
        <v>#N/A</v>
      </c>
      <c r="S1631" s="269" t="str">
        <f>IF(D1631="","",IF(OR(D1631=Plano!$A$1,D1631=Plano!$B$1),"entrada","saída"))</f>
        <v/>
      </c>
      <c r="T1631" s="406"/>
      <c r="U1631" s="406"/>
      <c r="V1631" s="269"/>
      <c r="W1631" s="269"/>
    </row>
    <row r="1632" spans="1:23" ht="12.75" customHeight="1" x14ac:dyDescent="0.2">
      <c r="A1632" s="289" t="str">
        <f t="shared" si="0"/>
        <v/>
      </c>
      <c r="B1632" s="290"/>
      <c r="C1632" s="404"/>
      <c r="D1632" s="291"/>
      <c r="E1632" s="291"/>
      <c r="F1632" s="292"/>
      <c r="G1632" s="291"/>
      <c r="H1632" s="291"/>
      <c r="I1632" s="293"/>
      <c r="J1632" s="291"/>
      <c r="K1632" s="291"/>
      <c r="L1632" s="293"/>
      <c r="M1632" s="291"/>
      <c r="N1632" s="289"/>
      <c r="O1632" s="358"/>
      <c r="P1632" s="402">
        <f t="shared" ref="P1632:Q1632" si="1630">IF(B1632=0,0,IF(YEAR(B1632)=$Q$1,MONTH(B1632)-$P$1+1,(YEAR(B1632)-$Q$1)*12-$P$1+1+MONTH(B1632)))</f>
        <v>0</v>
      </c>
      <c r="Q1632" s="402">
        <f t="shared" si="1630"/>
        <v>0</v>
      </c>
      <c r="R1632" s="356" t="e">
        <f t="shared" si="1325"/>
        <v>#N/A</v>
      </c>
      <c r="S1632" s="269" t="str">
        <f>IF(D1632="","",IF(OR(D1632=Plano!$A$1,D1632=Plano!$B$1),"entrada","saída"))</f>
        <v/>
      </c>
      <c r="T1632" s="406"/>
      <c r="U1632" s="406"/>
      <c r="V1632" s="269"/>
      <c r="W1632" s="269"/>
    </row>
    <row r="1633" spans="1:23" ht="12.75" customHeight="1" x14ac:dyDescent="0.2">
      <c r="A1633" s="289" t="str">
        <f t="shared" si="0"/>
        <v/>
      </c>
      <c r="B1633" s="290"/>
      <c r="C1633" s="404"/>
      <c r="D1633" s="291"/>
      <c r="E1633" s="291"/>
      <c r="F1633" s="292"/>
      <c r="G1633" s="291"/>
      <c r="H1633" s="291"/>
      <c r="I1633" s="293"/>
      <c r="J1633" s="291"/>
      <c r="K1633" s="291"/>
      <c r="L1633" s="293"/>
      <c r="M1633" s="291"/>
      <c r="N1633" s="290"/>
      <c r="O1633" s="358"/>
      <c r="P1633" s="402">
        <f t="shared" ref="P1633:Q1633" si="1631">IF(B1633=0,0,IF(YEAR(B1633)=$Q$1,MONTH(B1633)-$P$1+1,(YEAR(B1633)-$Q$1)*12-$P$1+1+MONTH(B1633)))</f>
        <v>0</v>
      </c>
      <c r="Q1633" s="402">
        <f t="shared" si="1631"/>
        <v>0</v>
      </c>
      <c r="R1633" s="356" t="e">
        <f t="shared" si="1325"/>
        <v>#N/A</v>
      </c>
      <c r="S1633" s="269" t="str">
        <f>IF(D1633="","",IF(OR(D1633=Plano!$A$1,D1633=Plano!$B$1),"entrada","saída"))</f>
        <v/>
      </c>
      <c r="T1633" s="406"/>
      <c r="U1633" s="406"/>
      <c r="V1633" s="269"/>
      <c r="W1633" s="269"/>
    </row>
    <row r="1634" spans="1:23" ht="12.75" customHeight="1" x14ac:dyDescent="0.2">
      <c r="A1634" s="289" t="str">
        <f t="shared" si="0"/>
        <v/>
      </c>
      <c r="B1634" s="290"/>
      <c r="C1634" s="404"/>
      <c r="D1634" s="291"/>
      <c r="E1634" s="291"/>
      <c r="F1634" s="292"/>
      <c r="G1634" s="291"/>
      <c r="H1634" s="291"/>
      <c r="I1634" s="293"/>
      <c r="J1634" s="291"/>
      <c r="K1634" s="291"/>
      <c r="L1634" s="293"/>
      <c r="M1634" s="291"/>
      <c r="N1634" s="290"/>
      <c r="O1634" s="358"/>
      <c r="P1634" s="402">
        <f t="shared" ref="P1634:Q1634" si="1632">IF(B1634=0,0,IF(YEAR(B1634)=$Q$1,MONTH(B1634)-$P$1+1,(YEAR(B1634)-$Q$1)*12-$P$1+1+MONTH(B1634)))</f>
        <v>0</v>
      </c>
      <c r="Q1634" s="402">
        <f t="shared" si="1632"/>
        <v>0</v>
      </c>
      <c r="R1634" s="356" t="e">
        <f t="shared" si="1325"/>
        <v>#N/A</v>
      </c>
      <c r="S1634" s="269" t="str">
        <f>IF(D1634="","",IF(OR(D1634=Plano!$A$1,D1634=Plano!$B$1),"entrada","saída"))</f>
        <v/>
      </c>
      <c r="T1634" s="406"/>
      <c r="U1634" s="406"/>
      <c r="V1634" s="269"/>
      <c r="W1634" s="269"/>
    </row>
    <row r="1635" spans="1:23" ht="12.75" customHeight="1" x14ac:dyDescent="0.2">
      <c r="A1635" s="289" t="str">
        <f t="shared" si="0"/>
        <v/>
      </c>
      <c r="B1635" s="290"/>
      <c r="C1635" s="404"/>
      <c r="D1635" s="291"/>
      <c r="E1635" s="291"/>
      <c r="F1635" s="292"/>
      <c r="G1635" s="291"/>
      <c r="H1635" s="291"/>
      <c r="I1635" s="293"/>
      <c r="J1635" s="291"/>
      <c r="K1635" s="291"/>
      <c r="L1635" s="293"/>
      <c r="M1635" s="291"/>
      <c r="N1635" s="290"/>
      <c r="O1635" s="358"/>
      <c r="P1635" s="402">
        <f t="shared" ref="P1635:Q1635" si="1633">IF(B1635=0,0,IF(YEAR(B1635)=$Q$1,MONTH(B1635)-$P$1+1,(YEAR(B1635)-$Q$1)*12-$P$1+1+MONTH(B1635)))</f>
        <v>0</v>
      </c>
      <c r="Q1635" s="402">
        <f t="shared" si="1633"/>
        <v>0</v>
      </c>
      <c r="R1635" s="356" t="e">
        <f t="shared" si="1325"/>
        <v>#N/A</v>
      </c>
      <c r="S1635" s="269" t="str">
        <f>IF(D1635="","",IF(OR(D1635=Plano!$A$1,D1635=Plano!$B$1),"entrada","saída"))</f>
        <v/>
      </c>
      <c r="T1635" s="406"/>
      <c r="U1635" s="406"/>
      <c r="V1635" s="269"/>
      <c r="W1635" s="269"/>
    </row>
    <row r="1636" spans="1:23" ht="12.75" customHeight="1" x14ac:dyDescent="0.2">
      <c r="A1636" s="289" t="str">
        <f t="shared" si="0"/>
        <v/>
      </c>
      <c r="B1636" s="290"/>
      <c r="C1636" s="404"/>
      <c r="D1636" s="291"/>
      <c r="E1636" s="291"/>
      <c r="F1636" s="292"/>
      <c r="G1636" s="291"/>
      <c r="H1636" s="291"/>
      <c r="I1636" s="293"/>
      <c r="J1636" s="291"/>
      <c r="K1636" s="291"/>
      <c r="L1636" s="293"/>
      <c r="M1636" s="291"/>
      <c r="N1636" s="290"/>
      <c r="O1636" s="358"/>
      <c r="P1636" s="402">
        <f t="shared" ref="P1636:Q1636" si="1634">IF(B1636=0,0,IF(YEAR(B1636)=$Q$1,MONTH(B1636)-$P$1+1,(YEAR(B1636)-$Q$1)*12-$P$1+1+MONTH(B1636)))</f>
        <v>0</v>
      </c>
      <c r="Q1636" s="402">
        <f t="shared" si="1634"/>
        <v>0</v>
      </c>
      <c r="R1636" s="356" t="e">
        <f t="shared" si="1325"/>
        <v>#N/A</v>
      </c>
      <c r="S1636" s="269" t="str">
        <f>IF(D1636="","",IF(OR(D1636=Plano!$A$1,D1636=Plano!$B$1),"entrada","saída"))</f>
        <v/>
      </c>
      <c r="T1636" s="406"/>
      <c r="U1636" s="406"/>
      <c r="V1636" s="269"/>
      <c r="W1636" s="269"/>
    </row>
    <row r="1637" spans="1:23" ht="12.75" customHeight="1" x14ac:dyDescent="0.2">
      <c r="A1637" s="289" t="str">
        <f t="shared" si="0"/>
        <v/>
      </c>
      <c r="B1637" s="290"/>
      <c r="C1637" s="404"/>
      <c r="D1637" s="291"/>
      <c r="E1637" s="291"/>
      <c r="F1637" s="292"/>
      <c r="G1637" s="291"/>
      <c r="H1637" s="291"/>
      <c r="I1637" s="293"/>
      <c r="J1637" s="291"/>
      <c r="K1637" s="291"/>
      <c r="L1637" s="293"/>
      <c r="M1637" s="291"/>
      <c r="N1637" s="290"/>
      <c r="O1637" s="358"/>
      <c r="P1637" s="402">
        <f t="shared" ref="P1637:Q1637" si="1635">IF(B1637=0,0,IF(YEAR(B1637)=$Q$1,MONTH(B1637)-$P$1+1,(YEAR(B1637)-$Q$1)*12-$P$1+1+MONTH(B1637)))</f>
        <v>0</v>
      </c>
      <c r="Q1637" s="402">
        <f t="shared" si="1635"/>
        <v>0</v>
      </c>
      <c r="R1637" s="356" t="e">
        <f t="shared" si="1325"/>
        <v>#N/A</v>
      </c>
      <c r="S1637" s="269" t="str">
        <f>IF(D1637="","",IF(OR(D1637=Plano!$A$1,D1637=Plano!$B$1),"entrada","saída"))</f>
        <v/>
      </c>
      <c r="T1637" s="406"/>
      <c r="U1637" s="406"/>
      <c r="V1637" s="269"/>
      <c r="W1637" s="269"/>
    </row>
    <row r="1638" spans="1:23" ht="12.75" customHeight="1" x14ac:dyDescent="0.2">
      <c r="A1638" s="289" t="str">
        <f t="shared" si="0"/>
        <v/>
      </c>
      <c r="B1638" s="290"/>
      <c r="C1638" s="404"/>
      <c r="D1638" s="291"/>
      <c r="E1638" s="291"/>
      <c r="F1638" s="292"/>
      <c r="G1638" s="291"/>
      <c r="H1638" s="291"/>
      <c r="I1638" s="293"/>
      <c r="J1638" s="291"/>
      <c r="K1638" s="291"/>
      <c r="L1638" s="293"/>
      <c r="M1638" s="291"/>
      <c r="N1638" s="290"/>
      <c r="O1638" s="358"/>
      <c r="P1638" s="402">
        <f t="shared" ref="P1638:Q1638" si="1636">IF(B1638=0,0,IF(YEAR(B1638)=$Q$1,MONTH(B1638)-$P$1+1,(YEAR(B1638)-$Q$1)*12-$P$1+1+MONTH(B1638)))</f>
        <v>0</v>
      </c>
      <c r="Q1638" s="402">
        <f t="shared" si="1636"/>
        <v>0</v>
      </c>
      <c r="R1638" s="356" t="e">
        <f t="shared" si="1325"/>
        <v>#N/A</v>
      </c>
      <c r="S1638" s="269" t="str">
        <f>IF(D1638="","",IF(OR(D1638=Plano!$A$1,D1638=Plano!$B$1),"entrada","saída"))</f>
        <v/>
      </c>
      <c r="T1638" s="406"/>
      <c r="U1638" s="406"/>
      <c r="V1638" s="269"/>
      <c r="W1638" s="269"/>
    </row>
    <row r="1639" spans="1:23" ht="12.75" customHeight="1" x14ac:dyDescent="0.2">
      <c r="A1639" s="289" t="str">
        <f t="shared" si="0"/>
        <v/>
      </c>
      <c r="B1639" s="290"/>
      <c r="C1639" s="404"/>
      <c r="D1639" s="291"/>
      <c r="E1639" s="291"/>
      <c r="F1639" s="292"/>
      <c r="G1639" s="291"/>
      <c r="H1639" s="291"/>
      <c r="I1639" s="293"/>
      <c r="J1639" s="291"/>
      <c r="K1639" s="291"/>
      <c r="L1639" s="293"/>
      <c r="M1639" s="291"/>
      <c r="N1639" s="290"/>
      <c r="O1639" s="358"/>
      <c r="P1639" s="402">
        <f t="shared" ref="P1639:Q1639" si="1637">IF(B1639=0,0,IF(YEAR(B1639)=$Q$1,MONTH(B1639)-$P$1+1,(YEAR(B1639)-$Q$1)*12-$P$1+1+MONTH(B1639)))</f>
        <v>0</v>
      </c>
      <c r="Q1639" s="402">
        <f t="shared" si="1637"/>
        <v>0</v>
      </c>
      <c r="R1639" s="356" t="e">
        <f t="shared" si="1325"/>
        <v>#N/A</v>
      </c>
      <c r="S1639" s="269" t="str">
        <f>IF(D1639="","",IF(OR(D1639=Plano!$A$1,D1639=Plano!$B$1),"entrada","saída"))</f>
        <v/>
      </c>
      <c r="T1639" s="406"/>
      <c r="U1639" s="406"/>
      <c r="V1639" s="269"/>
      <c r="W1639" s="269"/>
    </row>
    <row r="1640" spans="1:23" ht="12.75" customHeight="1" x14ac:dyDescent="0.2">
      <c r="A1640" s="289" t="str">
        <f t="shared" si="0"/>
        <v/>
      </c>
      <c r="B1640" s="290"/>
      <c r="C1640" s="404"/>
      <c r="D1640" s="291"/>
      <c r="E1640" s="291"/>
      <c r="F1640" s="292"/>
      <c r="G1640" s="291"/>
      <c r="H1640" s="291"/>
      <c r="I1640" s="293"/>
      <c r="J1640" s="291"/>
      <c r="K1640" s="291"/>
      <c r="L1640" s="293"/>
      <c r="M1640" s="291"/>
      <c r="N1640" s="290"/>
      <c r="O1640" s="358"/>
      <c r="P1640" s="402">
        <f t="shared" ref="P1640:Q1640" si="1638">IF(B1640=0,0,IF(YEAR(B1640)=$Q$1,MONTH(B1640)-$P$1+1,(YEAR(B1640)-$Q$1)*12-$P$1+1+MONTH(B1640)))</f>
        <v>0</v>
      </c>
      <c r="Q1640" s="402">
        <f t="shared" si="1638"/>
        <v>0</v>
      </c>
      <c r="R1640" s="356" t="e">
        <f t="shared" si="1325"/>
        <v>#N/A</v>
      </c>
      <c r="S1640" s="269" t="str">
        <f>IF(D1640="","",IF(OR(D1640=Plano!$A$1,D1640=Plano!$B$1),"entrada","saída"))</f>
        <v/>
      </c>
      <c r="T1640" s="406"/>
      <c r="U1640" s="406"/>
      <c r="V1640" s="269"/>
      <c r="W1640" s="269"/>
    </row>
    <row r="1641" spans="1:23" ht="12.75" customHeight="1" x14ac:dyDescent="0.2">
      <c r="A1641" s="289" t="str">
        <f t="shared" si="0"/>
        <v/>
      </c>
      <c r="B1641" s="290"/>
      <c r="C1641" s="404"/>
      <c r="D1641" s="291"/>
      <c r="E1641" s="291"/>
      <c r="F1641" s="292"/>
      <c r="G1641" s="291"/>
      <c r="H1641" s="291"/>
      <c r="I1641" s="293"/>
      <c r="J1641" s="291"/>
      <c r="K1641" s="291"/>
      <c r="L1641" s="293"/>
      <c r="M1641" s="291"/>
      <c r="N1641" s="290"/>
      <c r="O1641" s="358"/>
      <c r="P1641" s="402">
        <f t="shared" ref="P1641:Q1641" si="1639">IF(B1641=0,0,IF(YEAR(B1641)=$Q$1,MONTH(B1641)-$P$1+1,(YEAR(B1641)-$Q$1)*12-$P$1+1+MONTH(B1641)))</f>
        <v>0</v>
      </c>
      <c r="Q1641" s="402">
        <f t="shared" si="1639"/>
        <v>0</v>
      </c>
      <c r="R1641" s="356" t="e">
        <f t="shared" si="1325"/>
        <v>#N/A</v>
      </c>
      <c r="S1641" s="269" t="str">
        <f>IF(D1641="","",IF(OR(D1641=Plano!$A$1,D1641=Plano!$B$1),"entrada","saída"))</f>
        <v/>
      </c>
      <c r="T1641" s="406"/>
      <c r="U1641" s="406"/>
      <c r="V1641" s="269"/>
      <c r="W1641" s="269"/>
    </row>
    <row r="1642" spans="1:23" ht="12.75" customHeight="1" x14ac:dyDescent="0.2">
      <c r="A1642" s="289" t="str">
        <f t="shared" si="0"/>
        <v/>
      </c>
      <c r="B1642" s="290"/>
      <c r="C1642" s="404"/>
      <c r="D1642" s="291"/>
      <c r="E1642" s="291"/>
      <c r="F1642" s="292"/>
      <c r="G1642" s="291"/>
      <c r="H1642" s="291"/>
      <c r="I1642" s="293"/>
      <c r="J1642" s="291"/>
      <c r="K1642" s="291"/>
      <c r="L1642" s="293"/>
      <c r="M1642" s="291"/>
      <c r="N1642" s="290"/>
      <c r="O1642" s="358"/>
      <c r="P1642" s="402">
        <f t="shared" ref="P1642:Q1642" si="1640">IF(B1642=0,0,IF(YEAR(B1642)=$Q$1,MONTH(B1642)-$P$1+1,(YEAR(B1642)-$Q$1)*12-$P$1+1+MONTH(B1642)))</f>
        <v>0</v>
      </c>
      <c r="Q1642" s="402">
        <f t="shared" si="1640"/>
        <v>0</v>
      </c>
      <c r="R1642" s="356" t="e">
        <f t="shared" si="1325"/>
        <v>#N/A</v>
      </c>
      <c r="S1642" s="269" t="str">
        <f>IF(D1642="","",IF(OR(D1642=Plano!$A$1,D1642=Plano!$B$1),"entrada","saída"))</f>
        <v/>
      </c>
      <c r="T1642" s="406"/>
      <c r="U1642" s="406"/>
      <c r="V1642" s="269"/>
      <c r="W1642" s="269"/>
    </row>
    <row r="1643" spans="1:23" ht="12.75" customHeight="1" x14ac:dyDescent="0.2">
      <c r="A1643" s="289" t="str">
        <f t="shared" si="0"/>
        <v/>
      </c>
      <c r="B1643" s="290"/>
      <c r="C1643" s="404"/>
      <c r="D1643" s="291"/>
      <c r="E1643" s="291"/>
      <c r="F1643" s="292"/>
      <c r="G1643" s="291"/>
      <c r="H1643" s="291"/>
      <c r="I1643" s="293"/>
      <c r="J1643" s="291"/>
      <c r="K1643" s="291"/>
      <c r="L1643" s="293"/>
      <c r="M1643" s="291"/>
      <c r="N1643" s="290"/>
      <c r="O1643" s="358"/>
      <c r="P1643" s="402">
        <f t="shared" ref="P1643:Q1643" si="1641">IF(B1643=0,0,IF(YEAR(B1643)=$Q$1,MONTH(B1643)-$P$1+1,(YEAR(B1643)-$Q$1)*12-$P$1+1+MONTH(B1643)))</f>
        <v>0</v>
      </c>
      <c r="Q1643" s="402">
        <f t="shared" si="1641"/>
        <v>0</v>
      </c>
      <c r="R1643" s="356" t="e">
        <f t="shared" si="1325"/>
        <v>#N/A</v>
      </c>
      <c r="S1643" s="269" t="str">
        <f>IF(D1643="","",IF(OR(D1643=Plano!$A$1,D1643=Plano!$B$1),"entrada","saída"))</f>
        <v/>
      </c>
      <c r="T1643" s="406"/>
      <c r="U1643" s="406"/>
      <c r="V1643" s="269"/>
      <c r="W1643" s="269"/>
    </row>
    <row r="1644" spans="1:23" ht="12.75" customHeight="1" x14ac:dyDescent="0.2">
      <c r="A1644" s="289" t="str">
        <f t="shared" si="0"/>
        <v/>
      </c>
      <c r="B1644" s="290"/>
      <c r="C1644" s="404"/>
      <c r="D1644" s="291"/>
      <c r="E1644" s="291"/>
      <c r="F1644" s="292"/>
      <c r="G1644" s="291"/>
      <c r="H1644" s="291"/>
      <c r="I1644" s="293"/>
      <c r="J1644" s="291"/>
      <c r="K1644" s="291"/>
      <c r="L1644" s="293"/>
      <c r="M1644" s="291"/>
      <c r="N1644" s="290"/>
      <c r="O1644" s="358"/>
      <c r="P1644" s="402">
        <f t="shared" ref="P1644:Q1644" si="1642">IF(B1644=0,0,IF(YEAR(B1644)=$Q$1,MONTH(B1644)-$P$1+1,(YEAR(B1644)-$Q$1)*12-$P$1+1+MONTH(B1644)))</f>
        <v>0</v>
      </c>
      <c r="Q1644" s="402">
        <f t="shared" si="1642"/>
        <v>0</v>
      </c>
      <c r="R1644" s="356" t="e">
        <f t="shared" si="1325"/>
        <v>#N/A</v>
      </c>
      <c r="S1644" s="269" t="str">
        <f>IF(D1644="","",IF(OR(D1644=Plano!$A$1,D1644=Plano!$B$1),"entrada","saída"))</f>
        <v/>
      </c>
      <c r="T1644" s="406"/>
      <c r="U1644" s="406"/>
      <c r="V1644" s="269"/>
      <c r="W1644" s="269"/>
    </row>
    <row r="1645" spans="1:23" ht="12.75" customHeight="1" x14ac:dyDescent="0.2">
      <c r="A1645" s="289" t="str">
        <f t="shared" si="0"/>
        <v/>
      </c>
      <c r="B1645" s="290"/>
      <c r="C1645" s="404"/>
      <c r="D1645" s="291"/>
      <c r="E1645" s="291"/>
      <c r="F1645" s="292"/>
      <c r="G1645" s="291"/>
      <c r="H1645" s="291"/>
      <c r="I1645" s="293"/>
      <c r="J1645" s="291"/>
      <c r="K1645" s="291"/>
      <c r="L1645" s="293"/>
      <c r="M1645" s="291"/>
      <c r="N1645" s="290"/>
      <c r="O1645" s="358"/>
      <c r="P1645" s="402">
        <f t="shared" ref="P1645:Q1645" si="1643">IF(B1645=0,0,IF(YEAR(B1645)=$Q$1,MONTH(B1645)-$P$1+1,(YEAR(B1645)-$Q$1)*12-$P$1+1+MONTH(B1645)))</f>
        <v>0</v>
      </c>
      <c r="Q1645" s="402">
        <f t="shared" si="1643"/>
        <v>0</v>
      </c>
      <c r="R1645" s="356" t="e">
        <f t="shared" si="1325"/>
        <v>#N/A</v>
      </c>
      <c r="S1645" s="269" t="str">
        <f>IF(D1645="","",IF(OR(D1645=Plano!$A$1,D1645=Plano!$B$1),"entrada","saída"))</f>
        <v/>
      </c>
      <c r="T1645" s="406"/>
      <c r="U1645" s="406"/>
      <c r="V1645" s="269"/>
      <c r="W1645" s="269"/>
    </row>
    <row r="1646" spans="1:23" ht="12.75" customHeight="1" x14ac:dyDescent="0.2">
      <c r="A1646" s="289" t="str">
        <f t="shared" si="0"/>
        <v/>
      </c>
      <c r="B1646" s="290"/>
      <c r="C1646" s="404"/>
      <c r="D1646" s="291"/>
      <c r="E1646" s="291"/>
      <c r="F1646" s="292"/>
      <c r="G1646" s="291"/>
      <c r="H1646" s="291"/>
      <c r="I1646" s="293"/>
      <c r="J1646" s="291"/>
      <c r="K1646" s="291"/>
      <c r="L1646" s="293"/>
      <c r="M1646" s="291"/>
      <c r="N1646" s="290"/>
      <c r="O1646" s="358"/>
      <c r="P1646" s="402">
        <f t="shared" ref="P1646:Q1646" si="1644">IF(B1646=0,0,IF(YEAR(B1646)=$Q$1,MONTH(B1646)-$P$1+1,(YEAR(B1646)-$Q$1)*12-$P$1+1+MONTH(B1646)))</f>
        <v>0</v>
      </c>
      <c r="Q1646" s="402">
        <f t="shared" si="1644"/>
        <v>0</v>
      </c>
      <c r="R1646" s="356" t="e">
        <f t="shared" si="1325"/>
        <v>#N/A</v>
      </c>
      <c r="S1646" s="269" t="str">
        <f>IF(D1646="","",IF(OR(D1646=Plano!$A$1,D1646=Plano!$B$1),"entrada","saída"))</f>
        <v/>
      </c>
      <c r="T1646" s="406"/>
      <c r="U1646" s="406"/>
      <c r="V1646" s="269"/>
      <c r="W1646" s="269"/>
    </row>
    <row r="1647" spans="1:23" ht="12.75" customHeight="1" x14ac:dyDescent="0.2">
      <c r="A1647" s="289" t="str">
        <f t="shared" si="0"/>
        <v/>
      </c>
      <c r="B1647" s="290"/>
      <c r="C1647" s="404"/>
      <c r="D1647" s="291"/>
      <c r="E1647" s="291"/>
      <c r="F1647" s="292"/>
      <c r="G1647" s="291"/>
      <c r="H1647" s="291"/>
      <c r="I1647" s="293"/>
      <c r="J1647" s="291"/>
      <c r="K1647" s="291"/>
      <c r="L1647" s="293"/>
      <c r="M1647" s="291"/>
      <c r="N1647" s="290"/>
      <c r="O1647" s="358"/>
      <c r="P1647" s="402">
        <f t="shared" ref="P1647:Q1647" si="1645">IF(B1647=0,0,IF(YEAR(B1647)=$Q$1,MONTH(B1647)-$P$1+1,(YEAR(B1647)-$Q$1)*12-$P$1+1+MONTH(B1647)))</f>
        <v>0</v>
      </c>
      <c r="Q1647" s="402">
        <f t="shared" si="1645"/>
        <v>0</v>
      </c>
      <c r="R1647" s="356" t="e">
        <f t="shared" si="1325"/>
        <v>#N/A</v>
      </c>
      <c r="S1647" s="269" t="str">
        <f>IF(D1647="","",IF(OR(D1647=Plano!$A$1,D1647=Plano!$B$1),"entrada","saída"))</f>
        <v/>
      </c>
      <c r="T1647" s="406"/>
      <c r="U1647" s="406"/>
      <c r="V1647" s="269"/>
      <c r="W1647" s="269"/>
    </row>
    <row r="1648" spans="1:23" ht="12.75" customHeight="1" x14ac:dyDescent="0.2">
      <c r="A1648" s="289" t="str">
        <f t="shared" si="0"/>
        <v/>
      </c>
      <c r="B1648" s="290"/>
      <c r="C1648" s="404"/>
      <c r="D1648" s="291"/>
      <c r="E1648" s="291"/>
      <c r="F1648" s="292"/>
      <c r="G1648" s="291"/>
      <c r="H1648" s="291"/>
      <c r="I1648" s="293"/>
      <c r="J1648" s="291"/>
      <c r="K1648" s="291"/>
      <c r="L1648" s="293"/>
      <c r="M1648" s="291"/>
      <c r="N1648" s="290"/>
      <c r="O1648" s="358"/>
      <c r="P1648" s="402">
        <f t="shared" ref="P1648:Q1648" si="1646">IF(B1648=0,0,IF(YEAR(B1648)=$Q$1,MONTH(B1648)-$P$1+1,(YEAR(B1648)-$Q$1)*12-$P$1+1+MONTH(B1648)))</f>
        <v>0</v>
      </c>
      <c r="Q1648" s="402">
        <f t="shared" si="1646"/>
        <v>0</v>
      </c>
      <c r="R1648" s="356" t="e">
        <f t="shared" si="1325"/>
        <v>#N/A</v>
      </c>
      <c r="S1648" s="269" t="str">
        <f>IF(D1648="","",IF(OR(D1648=Plano!$A$1,D1648=Plano!$B$1),"entrada","saída"))</f>
        <v/>
      </c>
      <c r="T1648" s="406"/>
      <c r="U1648" s="406"/>
      <c r="V1648" s="269"/>
      <c r="W1648" s="269"/>
    </row>
    <row r="1649" spans="1:23" ht="12.75" customHeight="1" x14ac:dyDescent="0.2">
      <c r="A1649" s="289" t="str">
        <f t="shared" si="0"/>
        <v/>
      </c>
      <c r="B1649" s="290"/>
      <c r="C1649" s="404"/>
      <c r="D1649" s="291"/>
      <c r="E1649" s="291"/>
      <c r="F1649" s="292"/>
      <c r="G1649" s="291"/>
      <c r="H1649" s="291"/>
      <c r="I1649" s="293"/>
      <c r="J1649" s="291"/>
      <c r="K1649" s="291"/>
      <c r="L1649" s="293"/>
      <c r="M1649" s="291"/>
      <c r="N1649" s="290"/>
      <c r="O1649" s="358"/>
      <c r="P1649" s="402">
        <f t="shared" ref="P1649:Q1649" si="1647">IF(B1649=0,0,IF(YEAR(B1649)=$Q$1,MONTH(B1649)-$P$1+1,(YEAR(B1649)-$Q$1)*12-$P$1+1+MONTH(B1649)))</f>
        <v>0</v>
      </c>
      <c r="Q1649" s="402">
        <f t="shared" si="1647"/>
        <v>0</v>
      </c>
      <c r="R1649" s="356" t="e">
        <f t="shared" si="1325"/>
        <v>#N/A</v>
      </c>
      <c r="S1649" s="269" t="str">
        <f>IF(D1649="","",IF(OR(D1649=Plano!$A$1,D1649=Plano!$B$1),"entrada","saída"))</f>
        <v/>
      </c>
      <c r="T1649" s="406"/>
      <c r="U1649" s="406"/>
      <c r="V1649" s="269"/>
      <c r="W1649" s="269"/>
    </row>
    <row r="1650" spans="1:23" ht="12.75" customHeight="1" x14ac:dyDescent="0.2">
      <c r="A1650" s="289" t="str">
        <f t="shared" si="0"/>
        <v/>
      </c>
      <c r="B1650" s="290"/>
      <c r="C1650" s="404"/>
      <c r="D1650" s="291"/>
      <c r="E1650" s="291"/>
      <c r="F1650" s="292"/>
      <c r="G1650" s="291"/>
      <c r="H1650" s="291"/>
      <c r="I1650" s="293"/>
      <c r="J1650" s="291"/>
      <c r="K1650" s="291"/>
      <c r="L1650" s="293"/>
      <c r="M1650" s="291"/>
      <c r="N1650" s="290"/>
      <c r="O1650" s="358"/>
      <c r="P1650" s="402">
        <f t="shared" ref="P1650:Q1650" si="1648">IF(B1650=0,0,IF(YEAR(B1650)=$Q$1,MONTH(B1650)-$P$1+1,(YEAR(B1650)-$Q$1)*12-$P$1+1+MONTH(B1650)))</f>
        <v>0</v>
      </c>
      <c r="Q1650" s="402">
        <f t="shared" si="1648"/>
        <v>0</v>
      </c>
      <c r="R1650" s="356" t="e">
        <f t="shared" si="1325"/>
        <v>#N/A</v>
      </c>
      <c r="S1650" s="269" t="str">
        <f>IF(D1650="","",IF(OR(D1650=Plano!$A$1,D1650=Plano!$B$1),"entrada","saída"))</f>
        <v/>
      </c>
      <c r="T1650" s="406"/>
      <c r="U1650" s="406"/>
      <c r="V1650" s="269"/>
      <c r="W1650" s="269"/>
    </row>
    <row r="1651" spans="1:23" ht="12.75" customHeight="1" x14ac:dyDescent="0.2">
      <c r="A1651" s="289" t="str">
        <f t="shared" si="0"/>
        <v/>
      </c>
      <c r="B1651" s="290"/>
      <c r="C1651" s="404"/>
      <c r="D1651" s="291"/>
      <c r="E1651" s="291"/>
      <c r="F1651" s="292"/>
      <c r="G1651" s="291"/>
      <c r="H1651" s="291"/>
      <c r="I1651" s="293"/>
      <c r="J1651" s="291"/>
      <c r="K1651" s="291"/>
      <c r="L1651" s="293"/>
      <c r="M1651" s="291"/>
      <c r="N1651" s="290"/>
      <c r="O1651" s="358"/>
      <c r="P1651" s="402">
        <f t="shared" ref="P1651:Q1651" si="1649">IF(B1651=0,0,IF(YEAR(B1651)=$Q$1,MONTH(B1651)-$P$1+1,(YEAR(B1651)-$Q$1)*12-$P$1+1+MONTH(B1651)))</f>
        <v>0</v>
      </c>
      <c r="Q1651" s="402">
        <f t="shared" si="1649"/>
        <v>0</v>
      </c>
      <c r="R1651" s="356" t="e">
        <f t="shared" si="1325"/>
        <v>#N/A</v>
      </c>
      <c r="S1651" s="269" t="str">
        <f>IF(D1651="","",IF(OR(D1651=Plano!$A$1,D1651=Plano!$B$1),"entrada","saída"))</f>
        <v/>
      </c>
      <c r="T1651" s="406"/>
      <c r="U1651" s="406"/>
      <c r="V1651" s="269"/>
      <c r="W1651" s="269"/>
    </row>
    <row r="1652" spans="1:23" ht="12.75" customHeight="1" x14ac:dyDescent="0.2">
      <c r="A1652" s="289" t="str">
        <f t="shared" si="0"/>
        <v/>
      </c>
      <c r="B1652" s="290"/>
      <c r="C1652" s="404"/>
      <c r="D1652" s="291"/>
      <c r="E1652" s="291"/>
      <c r="F1652" s="292"/>
      <c r="G1652" s="291"/>
      <c r="H1652" s="291"/>
      <c r="I1652" s="293"/>
      <c r="J1652" s="291"/>
      <c r="K1652" s="291"/>
      <c r="L1652" s="293"/>
      <c r="M1652" s="291"/>
      <c r="N1652" s="290"/>
      <c r="O1652" s="358"/>
      <c r="P1652" s="402">
        <f t="shared" ref="P1652:Q1652" si="1650">IF(B1652=0,0,IF(YEAR(B1652)=$Q$1,MONTH(B1652)-$P$1+1,(YEAR(B1652)-$Q$1)*12-$P$1+1+MONTH(B1652)))</f>
        <v>0</v>
      </c>
      <c r="Q1652" s="402">
        <f t="shared" si="1650"/>
        <v>0</v>
      </c>
      <c r="R1652" s="356" t="e">
        <f t="shared" si="1325"/>
        <v>#N/A</v>
      </c>
      <c r="S1652" s="269" t="str">
        <f>IF(D1652="","",IF(OR(D1652=Plano!$A$1,D1652=Plano!$B$1),"entrada","saída"))</f>
        <v/>
      </c>
      <c r="T1652" s="406"/>
      <c r="U1652" s="406"/>
      <c r="V1652" s="269"/>
      <c r="W1652" s="269"/>
    </row>
    <row r="1653" spans="1:23" ht="12.75" customHeight="1" x14ac:dyDescent="0.2">
      <c r="A1653" s="289" t="str">
        <f t="shared" si="0"/>
        <v/>
      </c>
      <c r="B1653" s="290"/>
      <c r="C1653" s="404"/>
      <c r="D1653" s="291"/>
      <c r="E1653" s="291"/>
      <c r="F1653" s="292"/>
      <c r="G1653" s="291"/>
      <c r="H1653" s="291"/>
      <c r="I1653" s="293"/>
      <c r="J1653" s="291"/>
      <c r="K1653" s="291"/>
      <c r="L1653" s="293"/>
      <c r="M1653" s="291"/>
      <c r="N1653" s="290"/>
      <c r="O1653" s="358"/>
      <c r="P1653" s="402">
        <f t="shared" ref="P1653:Q1653" si="1651">IF(B1653=0,0,IF(YEAR(B1653)=$Q$1,MONTH(B1653)-$P$1+1,(YEAR(B1653)-$Q$1)*12-$P$1+1+MONTH(B1653)))</f>
        <v>0</v>
      </c>
      <c r="Q1653" s="402">
        <f t="shared" si="1651"/>
        <v>0</v>
      </c>
      <c r="R1653" s="356" t="e">
        <f t="shared" si="1325"/>
        <v>#N/A</v>
      </c>
      <c r="S1653" s="269" t="str">
        <f>IF(D1653="","",IF(OR(D1653=Plano!$A$1,D1653=Plano!$B$1),"entrada","saída"))</f>
        <v/>
      </c>
      <c r="T1653" s="406"/>
      <c r="U1653" s="406"/>
      <c r="V1653" s="269"/>
      <c r="W1653" s="269"/>
    </row>
    <row r="1654" spans="1:23" ht="12.75" customHeight="1" x14ac:dyDescent="0.2">
      <c r="A1654" s="289" t="str">
        <f t="shared" si="0"/>
        <v/>
      </c>
      <c r="B1654" s="290"/>
      <c r="C1654" s="404"/>
      <c r="D1654" s="291"/>
      <c r="E1654" s="291"/>
      <c r="F1654" s="292"/>
      <c r="G1654" s="291"/>
      <c r="H1654" s="291"/>
      <c r="I1654" s="293"/>
      <c r="J1654" s="291"/>
      <c r="K1654" s="291"/>
      <c r="L1654" s="293"/>
      <c r="M1654" s="291"/>
      <c r="N1654" s="290"/>
      <c r="O1654" s="358"/>
      <c r="P1654" s="402">
        <f t="shared" ref="P1654:Q1654" si="1652">IF(B1654=0,0,IF(YEAR(B1654)=$Q$1,MONTH(B1654)-$P$1+1,(YEAR(B1654)-$Q$1)*12-$P$1+1+MONTH(B1654)))</f>
        <v>0</v>
      </c>
      <c r="Q1654" s="402">
        <f t="shared" si="1652"/>
        <v>0</v>
      </c>
      <c r="R1654" s="356" t="e">
        <f t="shared" si="1325"/>
        <v>#N/A</v>
      </c>
      <c r="S1654" s="269" t="str">
        <f>IF(D1654="","",IF(OR(D1654=Plano!$A$1,D1654=Plano!$B$1),"entrada","saída"))</f>
        <v/>
      </c>
      <c r="T1654" s="406"/>
      <c r="U1654" s="406"/>
      <c r="V1654" s="269"/>
      <c r="W1654" s="269"/>
    </row>
    <row r="1655" spans="1:23" ht="12.75" customHeight="1" x14ac:dyDescent="0.2">
      <c r="A1655" s="289" t="str">
        <f t="shared" si="0"/>
        <v/>
      </c>
      <c r="B1655" s="290"/>
      <c r="C1655" s="404"/>
      <c r="D1655" s="291"/>
      <c r="E1655" s="291"/>
      <c r="F1655" s="292"/>
      <c r="G1655" s="291"/>
      <c r="H1655" s="291"/>
      <c r="I1655" s="293"/>
      <c r="J1655" s="291"/>
      <c r="K1655" s="291"/>
      <c r="L1655" s="293"/>
      <c r="M1655" s="291"/>
      <c r="N1655" s="290"/>
      <c r="O1655" s="358"/>
      <c r="P1655" s="402">
        <f t="shared" ref="P1655:Q1655" si="1653">IF(B1655=0,0,IF(YEAR(B1655)=$Q$1,MONTH(B1655)-$P$1+1,(YEAR(B1655)-$Q$1)*12-$P$1+1+MONTH(B1655)))</f>
        <v>0</v>
      </c>
      <c r="Q1655" s="402">
        <f t="shared" si="1653"/>
        <v>0</v>
      </c>
      <c r="R1655" s="356" t="e">
        <f t="shared" si="1325"/>
        <v>#N/A</v>
      </c>
      <c r="S1655" s="269" t="str">
        <f>IF(D1655="","",IF(OR(D1655=Plano!$A$1,D1655=Plano!$B$1),"entrada","saída"))</f>
        <v/>
      </c>
      <c r="T1655" s="406"/>
      <c r="U1655" s="406"/>
      <c r="V1655" s="269"/>
      <c r="W1655" s="269"/>
    </row>
    <row r="1656" spans="1:23" ht="12.75" customHeight="1" x14ac:dyDescent="0.2">
      <c r="A1656" s="289" t="str">
        <f t="shared" si="0"/>
        <v/>
      </c>
      <c r="B1656" s="290"/>
      <c r="C1656" s="404"/>
      <c r="D1656" s="291"/>
      <c r="E1656" s="291"/>
      <c r="F1656" s="292"/>
      <c r="G1656" s="291"/>
      <c r="H1656" s="291"/>
      <c r="I1656" s="293"/>
      <c r="J1656" s="291"/>
      <c r="K1656" s="291"/>
      <c r="L1656" s="293"/>
      <c r="M1656" s="291"/>
      <c r="N1656" s="290"/>
      <c r="O1656" s="358"/>
      <c r="P1656" s="402">
        <f t="shared" ref="P1656:Q1656" si="1654">IF(B1656=0,0,IF(YEAR(B1656)=$Q$1,MONTH(B1656)-$P$1+1,(YEAR(B1656)-$Q$1)*12-$P$1+1+MONTH(B1656)))</f>
        <v>0</v>
      </c>
      <c r="Q1656" s="402">
        <f t="shared" si="1654"/>
        <v>0</v>
      </c>
      <c r="R1656" s="356" t="e">
        <f t="shared" si="1325"/>
        <v>#N/A</v>
      </c>
      <c r="S1656" s="269" t="str">
        <f>IF(D1656="","",IF(OR(D1656=Plano!$A$1,D1656=Plano!$B$1),"entrada","saída"))</f>
        <v/>
      </c>
      <c r="T1656" s="406"/>
      <c r="U1656" s="406"/>
      <c r="V1656" s="269"/>
      <c r="W1656" s="269"/>
    </row>
    <row r="1657" spans="1:23" ht="12.75" customHeight="1" x14ac:dyDescent="0.2">
      <c r="A1657" s="289" t="str">
        <f t="shared" si="0"/>
        <v/>
      </c>
      <c r="B1657" s="290"/>
      <c r="C1657" s="404"/>
      <c r="D1657" s="291"/>
      <c r="E1657" s="291"/>
      <c r="F1657" s="292"/>
      <c r="G1657" s="291"/>
      <c r="H1657" s="291"/>
      <c r="I1657" s="293"/>
      <c r="J1657" s="291"/>
      <c r="K1657" s="291"/>
      <c r="L1657" s="293"/>
      <c r="M1657" s="291"/>
      <c r="N1657" s="290"/>
      <c r="O1657" s="358"/>
      <c r="P1657" s="402">
        <f t="shared" ref="P1657:Q1657" si="1655">IF(B1657=0,0,IF(YEAR(B1657)=$Q$1,MONTH(B1657)-$P$1+1,(YEAR(B1657)-$Q$1)*12-$P$1+1+MONTH(B1657)))</f>
        <v>0</v>
      </c>
      <c r="Q1657" s="402">
        <f t="shared" si="1655"/>
        <v>0</v>
      </c>
      <c r="R1657" s="356" t="e">
        <f t="shared" si="1325"/>
        <v>#N/A</v>
      </c>
      <c r="S1657" s="269" t="str">
        <f>IF(D1657="","",IF(OR(D1657=Plano!$A$1,D1657=Plano!$B$1),"entrada","saída"))</f>
        <v/>
      </c>
      <c r="T1657" s="406"/>
      <c r="U1657" s="406"/>
      <c r="V1657" s="269"/>
      <c r="W1657" s="269"/>
    </row>
    <row r="1658" spans="1:23" ht="12.75" customHeight="1" x14ac:dyDescent="0.2">
      <c r="A1658" s="289" t="str">
        <f t="shared" si="0"/>
        <v/>
      </c>
      <c r="B1658" s="290"/>
      <c r="C1658" s="404"/>
      <c r="D1658" s="291"/>
      <c r="E1658" s="291"/>
      <c r="F1658" s="292"/>
      <c r="G1658" s="291"/>
      <c r="H1658" s="291"/>
      <c r="I1658" s="293"/>
      <c r="J1658" s="291"/>
      <c r="K1658" s="291"/>
      <c r="L1658" s="293"/>
      <c r="M1658" s="291"/>
      <c r="N1658" s="290"/>
      <c r="O1658" s="358"/>
      <c r="P1658" s="402">
        <f t="shared" ref="P1658:Q1658" si="1656">IF(B1658=0,0,IF(YEAR(B1658)=$Q$1,MONTH(B1658)-$P$1+1,(YEAR(B1658)-$Q$1)*12-$P$1+1+MONTH(B1658)))</f>
        <v>0</v>
      </c>
      <c r="Q1658" s="402">
        <f t="shared" si="1656"/>
        <v>0</v>
      </c>
      <c r="R1658" s="356" t="e">
        <f t="shared" si="1325"/>
        <v>#N/A</v>
      </c>
      <c r="S1658" s="269" t="str">
        <f>IF(D1658="","",IF(OR(D1658=Plano!$A$1,D1658=Plano!$B$1),"entrada","saída"))</f>
        <v/>
      </c>
      <c r="T1658" s="406"/>
      <c r="U1658" s="406"/>
      <c r="V1658" s="269"/>
      <c r="W1658" s="269"/>
    </row>
    <row r="1659" spans="1:23" ht="12.75" customHeight="1" x14ac:dyDescent="0.2">
      <c r="A1659" s="289" t="str">
        <f t="shared" si="0"/>
        <v/>
      </c>
      <c r="B1659" s="290"/>
      <c r="C1659" s="404"/>
      <c r="D1659" s="291"/>
      <c r="E1659" s="291"/>
      <c r="F1659" s="292"/>
      <c r="G1659" s="291"/>
      <c r="H1659" s="291"/>
      <c r="I1659" s="293"/>
      <c r="J1659" s="291"/>
      <c r="K1659" s="291"/>
      <c r="L1659" s="293"/>
      <c r="M1659" s="291"/>
      <c r="N1659" s="289"/>
      <c r="O1659" s="358"/>
      <c r="P1659" s="402">
        <f t="shared" ref="P1659:Q1659" si="1657">IF(B1659=0,0,IF(YEAR(B1659)=$Q$1,MONTH(B1659)-$P$1+1,(YEAR(B1659)-$Q$1)*12-$P$1+1+MONTH(B1659)))</f>
        <v>0</v>
      </c>
      <c r="Q1659" s="402">
        <f t="shared" si="1657"/>
        <v>0</v>
      </c>
      <c r="R1659" s="356" t="e">
        <f t="shared" si="1325"/>
        <v>#N/A</v>
      </c>
      <c r="S1659" s="269" t="str">
        <f>IF(D1659="","",IF(OR(D1659=Plano!$A$1,D1659=Plano!$B$1),"entrada","saída"))</f>
        <v/>
      </c>
      <c r="T1659" s="406"/>
      <c r="U1659" s="406"/>
      <c r="V1659" s="269"/>
      <c r="W1659" s="269"/>
    </row>
    <row r="1660" spans="1:23" ht="12.75" customHeight="1" x14ac:dyDescent="0.2">
      <c r="A1660" s="289" t="str">
        <f t="shared" si="0"/>
        <v/>
      </c>
      <c r="B1660" s="290"/>
      <c r="C1660" s="404"/>
      <c r="D1660" s="291"/>
      <c r="E1660" s="291"/>
      <c r="F1660" s="292"/>
      <c r="G1660" s="291"/>
      <c r="H1660" s="291"/>
      <c r="I1660" s="293"/>
      <c r="J1660" s="291"/>
      <c r="K1660" s="291"/>
      <c r="L1660" s="293"/>
      <c r="M1660" s="291"/>
      <c r="N1660" s="289"/>
      <c r="O1660" s="358"/>
      <c r="P1660" s="402">
        <f t="shared" ref="P1660:Q1660" si="1658">IF(B1660=0,0,IF(YEAR(B1660)=$Q$1,MONTH(B1660)-$P$1+1,(YEAR(B1660)-$Q$1)*12-$P$1+1+MONTH(B1660)))</f>
        <v>0</v>
      </c>
      <c r="Q1660" s="402">
        <f t="shared" si="1658"/>
        <v>0</v>
      </c>
      <c r="R1660" s="356" t="e">
        <f t="shared" si="1325"/>
        <v>#N/A</v>
      </c>
      <c r="S1660" s="269" t="str">
        <f>IF(D1660="","",IF(OR(D1660=Plano!$A$1,D1660=Plano!$B$1),"entrada","saída"))</f>
        <v/>
      </c>
      <c r="T1660" s="406"/>
      <c r="U1660" s="406"/>
      <c r="V1660" s="269"/>
      <c r="W1660" s="269"/>
    </row>
    <row r="1661" spans="1:23" ht="12.75" customHeight="1" x14ac:dyDescent="0.2">
      <c r="A1661" s="289" t="str">
        <f t="shared" si="0"/>
        <v/>
      </c>
      <c r="B1661" s="290"/>
      <c r="C1661" s="404"/>
      <c r="D1661" s="291"/>
      <c r="E1661" s="291"/>
      <c r="F1661" s="292"/>
      <c r="G1661" s="291"/>
      <c r="H1661" s="291"/>
      <c r="I1661" s="293"/>
      <c r="J1661" s="291"/>
      <c r="K1661" s="291"/>
      <c r="L1661" s="293"/>
      <c r="M1661" s="291"/>
      <c r="N1661" s="289"/>
      <c r="O1661" s="358"/>
      <c r="P1661" s="402">
        <f t="shared" ref="P1661:Q1661" si="1659">IF(B1661=0,0,IF(YEAR(B1661)=$Q$1,MONTH(B1661)-$P$1+1,(YEAR(B1661)-$Q$1)*12-$P$1+1+MONTH(B1661)))</f>
        <v>0</v>
      </c>
      <c r="Q1661" s="402">
        <f t="shared" si="1659"/>
        <v>0</v>
      </c>
      <c r="R1661" s="356" t="e">
        <f t="shared" si="1325"/>
        <v>#N/A</v>
      </c>
      <c r="S1661" s="269" t="str">
        <f>IF(D1661="","",IF(OR(D1661=Plano!$A$1,D1661=Plano!$B$1),"entrada","saída"))</f>
        <v/>
      </c>
      <c r="T1661" s="406"/>
      <c r="U1661" s="406"/>
      <c r="V1661" s="269"/>
      <c r="W1661" s="269"/>
    </row>
    <row r="1662" spans="1:23" ht="12.75" customHeight="1" x14ac:dyDescent="0.2">
      <c r="A1662" s="289" t="str">
        <f t="shared" si="0"/>
        <v/>
      </c>
      <c r="B1662" s="290"/>
      <c r="C1662" s="404"/>
      <c r="D1662" s="291"/>
      <c r="E1662" s="291"/>
      <c r="F1662" s="292"/>
      <c r="G1662" s="291"/>
      <c r="H1662" s="291"/>
      <c r="I1662" s="293"/>
      <c r="J1662" s="291"/>
      <c r="K1662" s="291"/>
      <c r="L1662" s="293"/>
      <c r="M1662" s="291"/>
      <c r="N1662" s="289"/>
      <c r="O1662" s="358"/>
      <c r="P1662" s="402">
        <f t="shared" ref="P1662:Q1662" si="1660">IF(B1662=0,0,IF(YEAR(B1662)=$Q$1,MONTH(B1662)-$P$1+1,(YEAR(B1662)-$Q$1)*12-$P$1+1+MONTH(B1662)))</f>
        <v>0</v>
      </c>
      <c r="Q1662" s="402">
        <f t="shared" si="1660"/>
        <v>0</v>
      </c>
      <c r="R1662" s="356" t="e">
        <f t="shared" si="1325"/>
        <v>#N/A</v>
      </c>
      <c r="S1662" s="269" t="str">
        <f>IF(D1662="","",IF(OR(D1662=Plano!$A$1,D1662=Plano!$B$1),"entrada","saída"))</f>
        <v/>
      </c>
      <c r="T1662" s="406"/>
      <c r="U1662" s="406"/>
      <c r="V1662" s="269"/>
      <c r="W1662" s="269"/>
    </row>
    <row r="1663" spans="1:23" ht="12.75" customHeight="1" x14ac:dyDescent="0.2">
      <c r="A1663" s="289" t="str">
        <f t="shared" si="0"/>
        <v/>
      </c>
      <c r="B1663" s="290"/>
      <c r="C1663" s="404"/>
      <c r="D1663" s="291"/>
      <c r="E1663" s="291"/>
      <c r="F1663" s="292"/>
      <c r="G1663" s="291"/>
      <c r="H1663" s="291"/>
      <c r="I1663" s="293"/>
      <c r="J1663" s="291"/>
      <c r="K1663" s="291"/>
      <c r="L1663" s="293"/>
      <c r="M1663" s="291"/>
      <c r="N1663" s="289"/>
      <c r="O1663" s="358"/>
      <c r="P1663" s="402">
        <f t="shared" ref="P1663:Q1663" si="1661">IF(B1663=0,0,IF(YEAR(B1663)=$Q$1,MONTH(B1663)-$P$1+1,(YEAR(B1663)-$Q$1)*12-$P$1+1+MONTH(B1663)))</f>
        <v>0</v>
      </c>
      <c r="Q1663" s="402">
        <f t="shared" si="1661"/>
        <v>0</v>
      </c>
      <c r="R1663" s="356" t="e">
        <f t="shared" si="1325"/>
        <v>#N/A</v>
      </c>
      <c r="S1663" s="269" t="str">
        <f>IF(D1663="","",IF(OR(D1663=Plano!$A$1,D1663=Plano!$B$1),"entrada","saída"))</f>
        <v/>
      </c>
      <c r="T1663" s="406"/>
      <c r="U1663" s="406"/>
      <c r="V1663" s="269"/>
      <c r="W1663" s="269"/>
    </row>
    <row r="1664" spans="1:23" ht="12.75" customHeight="1" x14ac:dyDescent="0.2">
      <c r="A1664" s="289" t="str">
        <f t="shared" si="0"/>
        <v/>
      </c>
      <c r="B1664" s="290"/>
      <c r="C1664" s="404"/>
      <c r="D1664" s="291"/>
      <c r="E1664" s="291"/>
      <c r="F1664" s="292"/>
      <c r="G1664" s="291"/>
      <c r="H1664" s="291"/>
      <c r="I1664" s="293"/>
      <c r="J1664" s="291"/>
      <c r="K1664" s="291"/>
      <c r="L1664" s="293"/>
      <c r="M1664" s="291"/>
      <c r="N1664" s="289"/>
      <c r="O1664" s="358"/>
      <c r="P1664" s="402">
        <f t="shared" ref="P1664:Q1664" si="1662">IF(B1664=0,0,IF(YEAR(B1664)=$Q$1,MONTH(B1664)-$P$1+1,(YEAR(B1664)-$Q$1)*12-$P$1+1+MONTH(B1664)))</f>
        <v>0</v>
      </c>
      <c r="Q1664" s="402">
        <f t="shared" si="1662"/>
        <v>0</v>
      </c>
      <c r="R1664" s="356" t="e">
        <f t="shared" si="1325"/>
        <v>#N/A</v>
      </c>
      <c r="S1664" s="269" t="str">
        <f>IF(D1664="","",IF(OR(D1664=Plano!$A$1,D1664=Plano!$B$1),"entrada","saída"))</f>
        <v/>
      </c>
      <c r="T1664" s="406"/>
      <c r="U1664" s="406"/>
      <c r="V1664" s="269"/>
      <c r="W1664" s="269"/>
    </row>
    <row r="1665" spans="1:23" ht="12.75" customHeight="1" x14ac:dyDescent="0.2">
      <c r="A1665" s="289" t="str">
        <f t="shared" si="0"/>
        <v/>
      </c>
      <c r="B1665" s="290"/>
      <c r="C1665" s="404"/>
      <c r="D1665" s="291"/>
      <c r="E1665" s="291"/>
      <c r="F1665" s="292"/>
      <c r="G1665" s="291"/>
      <c r="H1665" s="291"/>
      <c r="I1665" s="293"/>
      <c r="J1665" s="291"/>
      <c r="K1665" s="291"/>
      <c r="L1665" s="293"/>
      <c r="M1665" s="291"/>
      <c r="N1665" s="289"/>
      <c r="O1665" s="358"/>
      <c r="P1665" s="402">
        <f t="shared" ref="P1665:Q1665" si="1663">IF(B1665=0,0,IF(YEAR(B1665)=$Q$1,MONTH(B1665)-$P$1+1,(YEAR(B1665)-$Q$1)*12-$P$1+1+MONTH(B1665)))</f>
        <v>0</v>
      </c>
      <c r="Q1665" s="402">
        <f t="shared" si="1663"/>
        <v>0</v>
      </c>
      <c r="R1665" s="356" t="e">
        <f t="shared" si="1325"/>
        <v>#N/A</v>
      </c>
      <c r="S1665" s="269" t="str">
        <f>IF(D1665="","",IF(OR(D1665=Plano!$A$1,D1665=Plano!$B$1),"entrada","saída"))</f>
        <v/>
      </c>
      <c r="T1665" s="406"/>
      <c r="U1665" s="406"/>
      <c r="V1665" s="269"/>
      <c r="W1665" s="269"/>
    </row>
    <row r="1666" spans="1:23" ht="12.75" customHeight="1" x14ac:dyDescent="0.2">
      <c r="A1666" s="289" t="str">
        <f t="shared" si="0"/>
        <v/>
      </c>
      <c r="B1666" s="290"/>
      <c r="C1666" s="404"/>
      <c r="D1666" s="291"/>
      <c r="E1666" s="291"/>
      <c r="F1666" s="292"/>
      <c r="G1666" s="291"/>
      <c r="H1666" s="291"/>
      <c r="I1666" s="293"/>
      <c r="J1666" s="291"/>
      <c r="K1666" s="291"/>
      <c r="L1666" s="293"/>
      <c r="M1666" s="291"/>
      <c r="N1666" s="289"/>
      <c r="O1666" s="358"/>
      <c r="P1666" s="402">
        <f t="shared" ref="P1666:Q1666" si="1664">IF(B1666=0,0,IF(YEAR(B1666)=$Q$1,MONTH(B1666)-$P$1+1,(YEAR(B1666)-$Q$1)*12-$P$1+1+MONTH(B1666)))</f>
        <v>0</v>
      </c>
      <c r="Q1666" s="402">
        <f t="shared" si="1664"/>
        <v>0</v>
      </c>
      <c r="R1666" s="356" t="e">
        <f t="shared" si="1325"/>
        <v>#N/A</v>
      </c>
      <c r="S1666" s="269" t="str">
        <f>IF(D1666="","",IF(OR(D1666=Plano!$A$1,D1666=Plano!$B$1),"entrada","saída"))</f>
        <v/>
      </c>
      <c r="T1666" s="406"/>
      <c r="U1666" s="406"/>
      <c r="V1666" s="269"/>
      <c r="W1666" s="269"/>
    </row>
    <row r="1667" spans="1:23" ht="12.75" customHeight="1" x14ac:dyDescent="0.2">
      <c r="A1667" s="289" t="str">
        <f t="shared" si="0"/>
        <v/>
      </c>
      <c r="B1667" s="290"/>
      <c r="C1667" s="404"/>
      <c r="D1667" s="291"/>
      <c r="E1667" s="291"/>
      <c r="F1667" s="292"/>
      <c r="G1667" s="291"/>
      <c r="H1667" s="291"/>
      <c r="I1667" s="293"/>
      <c r="J1667" s="291"/>
      <c r="K1667" s="291"/>
      <c r="L1667" s="293"/>
      <c r="M1667" s="291"/>
      <c r="N1667" s="289"/>
      <c r="O1667" s="358"/>
      <c r="P1667" s="402">
        <f t="shared" ref="P1667:Q1667" si="1665">IF(B1667=0,0,IF(YEAR(B1667)=$Q$1,MONTH(B1667)-$P$1+1,(YEAR(B1667)-$Q$1)*12-$P$1+1+MONTH(B1667)))</f>
        <v>0</v>
      </c>
      <c r="Q1667" s="402">
        <f t="shared" si="1665"/>
        <v>0</v>
      </c>
      <c r="R1667" s="356" t="e">
        <f t="shared" si="1325"/>
        <v>#N/A</v>
      </c>
      <c r="S1667" s="269" t="str">
        <f>IF(D1667="","",IF(OR(D1667=Plano!$A$1,D1667=Plano!$B$1),"entrada","saída"))</f>
        <v/>
      </c>
      <c r="T1667" s="406"/>
      <c r="U1667" s="406"/>
      <c r="V1667" s="269"/>
      <c r="W1667" s="269"/>
    </row>
    <row r="1668" spans="1:23" ht="12.75" customHeight="1" x14ac:dyDescent="0.2">
      <c r="A1668" s="289" t="str">
        <f t="shared" si="0"/>
        <v/>
      </c>
      <c r="B1668" s="290"/>
      <c r="C1668" s="404"/>
      <c r="D1668" s="291"/>
      <c r="E1668" s="291"/>
      <c r="F1668" s="292"/>
      <c r="G1668" s="291"/>
      <c r="H1668" s="291"/>
      <c r="I1668" s="293"/>
      <c r="J1668" s="291"/>
      <c r="K1668" s="291"/>
      <c r="L1668" s="293"/>
      <c r="M1668" s="291"/>
      <c r="N1668" s="289"/>
      <c r="O1668" s="358"/>
      <c r="P1668" s="402">
        <f t="shared" ref="P1668:Q1668" si="1666">IF(B1668=0,0,IF(YEAR(B1668)=$Q$1,MONTH(B1668)-$P$1+1,(YEAR(B1668)-$Q$1)*12-$P$1+1+MONTH(B1668)))</f>
        <v>0</v>
      </c>
      <c r="Q1668" s="402">
        <f t="shared" si="1666"/>
        <v>0</v>
      </c>
      <c r="R1668" s="356" t="e">
        <f t="shared" si="1325"/>
        <v>#N/A</v>
      </c>
      <c r="S1668" s="269" t="str">
        <f>IF(D1668="","",IF(OR(D1668=Plano!$A$1,D1668=Plano!$B$1),"entrada","saída"))</f>
        <v/>
      </c>
      <c r="T1668" s="406"/>
      <c r="U1668" s="406"/>
      <c r="V1668" s="269"/>
      <c r="W1668" s="269"/>
    </row>
    <row r="1669" spans="1:23" ht="12.75" customHeight="1" x14ac:dyDescent="0.2">
      <c r="A1669" s="289" t="str">
        <f t="shared" si="0"/>
        <v/>
      </c>
      <c r="B1669" s="290"/>
      <c r="C1669" s="404"/>
      <c r="D1669" s="291"/>
      <c r="E1669" s="291"/>
      <c r="F1669" s="292"/>
      <c r="G1669" s="291"/>
      <c r="H1669" s="291"/>
      <c r="I1669" s="293"/>
      <c r="J1669" s="291"/>
      <c r="K1669" s="291"/>
      <c r="L1669" s="293"/>
      <c r="M1669" s="291"/>
      <c r="N1669" s="289"/>
      <c r="O1669" s="358"/>
      <c r="P1669" s="402">
        <f t="shared" ref="P1669:Q1669" si="1667">IF(B1669=0,0,IF(YEAR(B1669)=$Q$1,MONTH(B1669)-$P$1+1,(YEAR(B1669)-$Q$1)*12-$P$1+1+MONTH(B1669)))</f>
        <v>0</v>
      </c>
      <c r="Q1669" s="402">
        <f t="shared" si="1667"/>
        <v>0</v>
      </c>
      <c r="R1669" s="356" t="e">
        <f t="shared" si="1325"/>
        <v>#N/A</v>
      </c>
      <c r="S1669" s="269" t="str">
        <f>IF(D1669="","",IF(OR(D1669=Plano!$A$1,D1669=Plano!$B$1),"entrada","saída"))</f>
        <v/>
      </c>
      <c r="T1669" s="406"/>
      <c r="U1669" s="406"/>
      <c r="V1669" s="269"/>
      <c r="W1669" s="269"/>
    </row>
    <row r="1670" spans="1:23" ht="12.75" customHeight="1" x14ac:dyDescent="0.2">
      <c r="A1670" s="289" t="str">
        <f t="shared" si="0"/>
        <v/>
      </c>
      <c r="B1670" s="290"/>
      <c r="C1670" s="404"/>
      <c r="D1670" s="291"/>
      <c r="E1670" s="291"/>
      <c r="F1670" s="292"/>
      <c r="G1670" s="291"/>
      <c r="H1670" s="291"/>
      <c r="I1670" s="293"/>
      <c r="J1670" s="291"/>
      <c r="K1670" s="291"/>
      <c r="L1670" s="293"/>
      <c r="M1670" s="291"/>
      <c r="N1670" s="289"/>
      <c r="O1670" s="358"/>
      <c r="P1670" s="402">
        <f t="shared" ref="P1670:Q1670" si="1668">IF(B1670=0,0,IF(YEAR(B1670)=$Q$1,MONTH(B1670)-$P$1+1,(YEAR(B1670)-$Q$1)*12-$P$1+1+MONTH(B1670)))</f>
        <v>0</v>
      </c>
      <c r="Q1670" s="402">
        <f t="shared" si="1668"/>
        <v>0</v>
      </c>
      <c r="R1670" s="356" t="e">
        <f t="shared" si="1325"/>
        <v>#N/A</v>
      </c>
      <c r="S1670" s="269" t="str">
        <f>IF(D1670="","",IF(OR(D1670=Plano!$A$1,D1670=Plano!$B$1),"entrada","saída"))</f>
        <v/>
      </c>
      <c r="T1670" s="406"/>
      <c r="U1670" s="406"/>
      <c r="V1670" s="269"/>
      <c r="W1670" s="269"/>
    </row>
    <row r="1671" spans="1:23" ht="12.75" customHeight="1" x14ac:dyDescent="0.2">
      <c r="A1671" s="289" t="str">
        <f t="shared" si="0"/>
        <v/>
      </c>
      <c r="B1671" s="290"/>
      <c r="C1671" s="404"/>
      <c r="D1671" s="291"/>
      <c r="E1671" s="291"/>
      <c r="F1671" s="292"/>
      <c r="G1671" s="291"/>
      <c r="H1671" s="291"/>
      <c r="I1671" s="293"/>
      <c r="J1671" s="291"/>
      <c r="K1671" s="291"/>
      <c r="L1671" s="293"/>
      <c r="M1671" s="291"/>
      <c r="N1671" s="289"/>
      <c r="O1671" s="358"/>
      <c r="P1671" s="402">
        <f t="shared" ref="P1671:Q1671" si="1669">IF(B1671=0,0,IF(YEAR(B1671)=$Q$1,MONTH(B1671)-$P$1+1,(YEAR(B1671)-$Q$1)*12-$P$1+1+MONTH(B1671)))</f>
        <v>0</v>
      </c>
      <c r="Q1671" s="402">
        <f t="shared" si="1669"/>
        <v>0</v>
      </c>
      <c r="R1671" s="356" t="e">
        <f t="shared" si="1325"/>
        <v>#N/A</v>
      </c>
      <c r="S1671" s="269" t="str">
        <f>IF(D1671="","",IF(OR(D1671=Plano!$A$1,D1671=Plano!$B$1),"entrada","saída"))</f>
        <v/>
      </c>
      <c r="T1671" s="406"/>
      <c r="U1671" s="406"/>
      <c r="V1671" s="269"/>
      <c r="W1671" s="269"/>
    </row>
    <row r="1672" spans="1:23" ht="12.75" customHeight="1" x14ac:dyDescent="0.2">
      <c r="A1672" s="289" t="str">
        <f t="shared" si="0"/>
        <v/>
      </c>
      <c r="B1672" s="290"/>
      <c r="C1672" s="404"/>
      <c r="D1672" s="291"/>
      <c r="E1672" s="291"/>
      <c r="F1672" s="292"/>
      <c r="G1672" s="291"/>
      <c r="H1672" s="291"/>
      <c r="I1672" s="293"/>
      <c r="J1672" s="291"/>
      <c r="K1672" s="291"/>
      <c r="L1672" s="293"/>
      <c r="M1672" s="291"/>
      <c r="N1672" s="289"/>
      <c r="O1672" s="358"/>
      <c r="P1672" s="402">
        <f t="shared" ref="P1672:Q1672" si="1670">IF(B1672=0,0,IF(YEAR(B1672)=$Q$1,MONTH(B1672)-$P$1+1,(YEAR(B1672)-$Q$1)*12-$P$1+1+MONTH(B1672)))</f>
        <v>0</v>
      </c>
      <c r="Q1672" s="402">
        <f t="shared" si="1670"/>
        <v>0</v>
      </c>
      <c r="R1672" s="356" t="e">
        <f t="shared" si="1325"/>
        <v>#N/A</v>
      </c>
      <c r="S1672" s="269" t="str">
        <f>IF(D1672="","",IF(OR(D1672=Plano!$A$1,D1672=Plano!$B$1),"entrada","saída"))</f>
        <v/>
      </c>
      <c r="T1672" s="406"/>
      <c r="U1672" s="406"/>
      <c r="V1672" s="269"/>
      <c r="W1672" s="269"/>
    </row>
    <row r="1673" spans="1:23" ht="12.75" customHeight="1" x14ac:dyDescent="0.2">
      <c r="A1673" s="289" t="str">
        <f t="shared" si="0"/>
        <v/>
      </c>
      <c r="B1673" s="290"/>
      <c r="C1673" s="404"/>
      <c r="D1673" s="291"/>
      <c r="E1673" s="291"/>
      <c r="F1673" s="292"/>
      <c r="G1673" s="291"/>
      <c r="H1673" s="291"/>
      <c r="I1673" s="293"/>
      <c r="J1673" s="291"/>
      <c r="K1673" s="291"/>
      <c r="L1673" s="293"/>
      <c r="M1673" s="291"/>
      <c r="N1673" s="289"/>
      <c r="O1673" s="358"/>
      <c r="P1673" s="402">
        <f t="shared" ref="P1673:Q1673" si="1671">IF(B1673=0,0,IF(YEAR(B1673)=$Q$1,MONTH(B1673)-$P$1+1,(YEAR(B1673)-$Q$1)*12-$P$1+1+MONTH(B1673)))</f>
        <v>0</v>
      </c>
      <c r="Q1673" s="402">
        <f t="shared" si="1671"/>
        <v>0</v>
      </c>
      <c r="R1673" s="356" t="e">
        <f t="shared" si="1325"/>
        <v>#N/A</v>
      </c>
      <c r="S1673" s="269" t="str">
        <f>IF(D1673="","",IF(OR(D1673=Plano!$A$1,D1673=Plano!$B$1),"entrada","saída"))</f>
        <v/>
      </c>
      <c r="T1673" s="406"/>
      <c r="U1673" s="406"/>
      <c r="V1673" s="269"/>
      <c r="W1673" s="269"/>
    </row>
    <row r="1674" spans="1:23" ht="12.75" customHeight="1" x14ac:dyDescent="0.2">
      <c r="A1674" s="289" t="str">
        <f t="shared" si="0"/>
        <v/>
      </c>
      <c r="B1674" s="290"/>
      <c r="C1674" s="404"/>
      <c r="D1674" s="291"/>
      <c r="E1674" s="291"/>
      <c r="F1674" s="292"/>
      <c r="G1674" s="291"/>
      <c r="H1674" s="291"/>
      <c r="I1674" s="293"/>
      <c r="J1674" s="291"/>
      <c r="K1674" s="291"/>
      <c r="L1674" s="293"/>
      <c r="M1674" s="291"/>
      <c r="N1674" s="289"/>
      <c r="O1674" s="358"/>
      <c r="P1674" s="402">
        <f t="shared" ref="P1674:Q1674" si="1672">IF(B1674=0,0,IF(YEAR(B1674)=$Q$1,MONTH(B1674)-$P$1+1,(YEAR(B1674)-$Q$1)*12-$P$1+1+MONTH(B1674)))</f>
        <v>0</v>
      </c>
      <c r="Q1674" s="402">
        <f t="shared" si="1672"/>
        <v>0</v>
      </c>
      <c r="R1674" s="356" t="e">
        <f t="shared" si="1325"/>
        <v>#N/A</v>
      </c>
      <c r="S1674" s="269" t="str">
        <f>IF(D1674="","",IF(OR(D1674=Plano!$A$1,D1674=Plano!$B$1),"entrada","saída"))</f>
        <v/>
      </c>
      <c r="T1674" s="406"/>
      <c r="U1674" s="406"/>
      <c r="V1674" s="269"/>
      <c r="W1674" s="269"/>
    </row>
    <row r="1675" spans="1:23" ht="12.75" customHeight="1" x14ac:dyDescent="0.2">
      <c r="A1675" s="289" t="str">
        <f t="shared" si="0"/>
        <v/>
      </c>
      <c r="B1675" s="290"/>
      <c r="C1675" s="404"/>
      <c r="D1675" s="291"/>
      <c r="E1675" s="291"/>
      <c r="F1675" s="292"/>
      <c r="G1675" s="291"/>
      <c r="H1675" s="291"/>
      <c r="I1675" s="293"/>
      <c r="J1675" s="291"/>
      <c r="K1675" s="291"/>
      <c r="L1675" s="293"/>
      <c r="M1675" s="291"/>
      <c r="N1675" s="289"/>
      <c r="O1675" s="358"/>
      <c r="P1675" s="402">
        <f t="shared" ref="P1675:Q1675" si="1673">IF(B1675=0,0,IF(YEAR(B1675)=$Q$1,MONTH(B1675)-$P$1+1,(YEAR(B1675)-$Q$1)*12-$P$1+1+MONTH(B1675)))</f>
        <v>0</v>
      </c>
      <c r="Q1675" s="402">
        <f t="shared" si="1673"/>
        <v>0</v>
      </c>
      <c r="R1675" s="356" t="e">
        <f t="shared" si="1325"/>
        <v>#N/A</v>
      </c>
      <c r="S1675" s="269" t="str">
        <f>IF(D1675="","",IF(OR(D1675=Plano!$A$1,D1675=Plano!$B$1),"entrada","saída"))</f>
        <v/>
      </c>
      <c r="T1675" s="406"/>
      <c r="U1675" s="406"/>
      <c r="V1675" s="269"/>
      <c r="W1675" s="269"/>
    </row>
    <row r="1676" spans="1:23" ht="12.75" customHeight="1" x14ac:dyDescent="0.2">
      <c r="A1676" s="289" t="str">
        <f t="shared" si="0"/>
        <v/>
      </c>
      <c r="B1676" s="290"/>
      <c r="C1676" s="404"/>
      <c r="D1676" s="291"/>
      <c r="E1676" s="291"/>
      <c r="F1676" s="292"/>
      <c r="G1676" s="291"/>
      <c r="H1676" s="291"/>
      <c r="I1676" s="293"/>
      <c r="J1676" s="291"/>
      <c r="K1676" s="291"/>
      <c r="L1676" s="293"/>
      <c r="M1676" s="291"/>
      <c r="N1676" s="289"/>
      <c r="O1676" s="358"/>
      <c r="P1676" s="402">
        <f t="shared" ref="P1676:Q1676" si="1674">IF(B1676=0,0,IF(YEAR(B1676)=$Q$1,MONTH(B1676)-$P$1+1,(YEAR(B1676)-$Q$1)*12-$P$1+1+MONTH(B1676)))</f>
        <v>0</v>
      </c>
      <c r="Q1676" s="402">
        <f t="shared" si="1674"/>
        <v>0</v>
      </c>
      <c r="R1676" s="356" t="e">
        <f t="shared" si="1325"/>
        <v>#N/A</v>
      </c>
      <c r="S1676" s="269" t="str">
        <f>IF(D1676="","",IF(OR(D1676=Plano!$A$1,D1676=Plano!$B$1),"entrada","saída"))</f>
        <v/>
      </c>
      <c r="T1676" s="406"/>
      <c r="U1676" s="406"/>
      <c r="V1676" s="269"/>
      <c r="W1676" s="269"/>
    </row>
    <row r="1677" spans="1:23" ht="12.75" customHeight="1" x14ac:dyDescent="0.2">
      <c r="A1677" s="289" t="str">
        <f t="shared" si="0"/>
        <v/>
      </c>
      <c r="B1677" s="290"/>
      <c r="C1677" s="404"/>
      <c r="D1677" s="291"/>
      <c r="E1677" s="291"/>
      <c r="F1677" s="292"/>
      <c r="G1677" s="291"/>
      <c r="H1677" s="291"/>
      <c r="I1677" s="293"/>
      <c r="J1677" s="291"/>
      <c r="K1677" s="291"/>
      <c r="L1677" s="293"/>
      <c r="M1677" s="291"/>
      <c r="N1677" s="289"/>
      <c r="O1677" s="358"/>
      <c r="P1677" s="402">
        <f t="shared" ref="P1677:Q1677" si="1675">IF(B1677=0,0,IF(YEAR(B1677)=$Q$1,MONTH(B1677)-$P$1+1,(YEAR(B1677)-$Q$1)*12-$P$1+1+MONTH(B1677)))</f>
        <v>0</v>
      </c>
      <c r="Q1677" s="402">
        <f t="shared" si="1675"/>
        <v>0</v>
      </c>
      <c r="R1677" s="356" t="e">
        <f t="shared" si="1325"/>
        <v>#N/A</v>
      </c>
      <c r="S1677" s="269" t="str">
        <f>IF(D1677="","",IF(OR(D1677=Plano!$A$1,D1677=Plano!$B$1),"entrada","saída"))</f>
        <v/>
      </c>
      <c r="T1677" s="406"/>
      <c r="U1677" s="406"/>
      <c r="V1677" s="269"/>
      <c r="W1677" s="269"/>
    </row>
    <row r="1678" spans="1:23" ht="12.75" customHeight="1" x14ac:dyDescent="0.2">
      <c r="A1678" s="289" t="str">
        <f t="shared" si="0"/>
        <v/>
      </c>
      <c r="B1678" s="290"/>
      <c r="C1678" s="404"/>
      <c r="D1678" s="291"/>
      <c r="E1678" s="291"/>
      <c r="F1678" s="292"/>
      <c r="G1678" s="291"/>
      <c r="H1678" s="291"/>
      <c r="I1678" s="293"/>
      <c r="J1678" s="291"/>
      <c r="K1678" s="291"/>
      <c r="L1678" s="293"/>
      <c r="M1678" s="291"/>
      <c r="N1678" s="289"/>
      <c r="O1678" s="358"/>
      <c r="P1678" s="402">
        <f t="shared" ref="P1678:Q1678" si="1676">IF(B1678=0,0,IF(YEAR(B1678)=$Q$1,MONTH(B1678)-$P$1+1,(YEAR(B1678)-$Q$1)*12-$P$1+1+MONTH(B1678)))</f>
        <v>0</v>
      </c>
      <c r="Q1678" s="402">
        <f t="shared" si="1676"/>
        <v>0</v>
      </c>
      <c r="R1678" s="356" t="e">
        <f t="shared" si="1325"/>
        <v>#N/A</v>
      </c>
      <c r="S1678" s="269" t="str">
        <f>IF(D1678="","",IF(OR(D1678=Plano!$A$1,D1678=Plano!$B$1),"entrada","saída"))</f>
        <v/>
      </c>
      <c r="T1678" s="406"/>
      <c r="U1678" s="406"/>
      <c r="V1678" s="269"/>
      <c r="W1678" s="269"/>
    </row>
    <row r="1679" spans="1:23" ht="12.75" customHeight="1" x14ac:dyDescent="0.2">
      <c r="A1679" s="289" t="str">
        <f t="shared" si="0"/>
        <v/>
      </c>
      <c r="B1679" s="290"/>
      <c r="C1679" s="404"/>
      <c r="D1679" s="291"/>
      <c r="E1679" s="291"/>
      <c r="F1679" s="292"/>
      <c r="G1679" s="291"/>
      <c r="H1679" s="291"/>
      <c r="I1679" s="293"/>
      <c r="J1679" s="291"/>
      <c r="K1679" s="291"/>
      <c r="L1679" s="293"/>
      <c r="M1679" s="291"/>
      <c r="N1679" s="289"/>
      <c r="O1679" s="358"/>
      <c r="P1679" s="402">
        <f t="shared" ref="P1679:Q1679" si="1677">IF(B1679=0,0,IF(YEAR(B1679)=$Q$1,MONTH(B1679)-$P$1+1,(YEAR(B1679)-$Q$1)*12-$P$1+1+MONTH(B1679)))</f>
        <v>0</v>
      </c>
      <c r="Q1679" s="402">
        <f t="shared" si="1677"/>
        <v>0</v>
      </c>
      <c r="R1679" s="356" t="e">
        <f t="shared" si="1325"/>
        <v>#N/A</v>
      </c>
      <c r="S1679" s="269" t="str">
        <f>IF(D1679="","",IF(OR(D1679=Plano!$A$1,D1679=Plano!$B$1),"entrada","saída"))</f>
        <v/>
      </c>
      <c r="T1679" s="406"/>
      <c r="U1679" s="406"/>
      <c r="V1679" s="269"/>
      <c r="W1679" s="269"/>
    </row>
    <row r="1680" spans="1:23" ht="12.75" customHeight="1" x14ac:dyDescent="0.2">
      <c r="A1680" s="289" t="str">
        <f t="shared" si="0"/>
        <v/>
      </c>
      <c r="B1680" s="290"/>
      <c r="C1680" s="404"/>
      <c r="D1680" s="291"/>
      <c r="E1680" s="291"/>
      <c r="F1680" s="292"/>
      <c r="G1680" s="291"/>
      <c r="H1680" s="291"/>
      <c r="I1680" s="293"/>
      <c r="J1680" s="291"/>
      <c r="K1680" s="291"/>
      <c r="L1680" s="293"/>
      <c r="M1680" s="291"/>
      <c r="N1680" s="289"/>
      <c r="O1680" s="358"/>
      <c r="P1680" s="402">
        <f t="shared" ref="P1680:Q1680" si="1678">IF(B1680=0,0,IF(YEAR(B1680)=$Q$1,MONTH(B1680)-$P$1+1,(YEAR(B1680)-$Q$1)*12-$P$1+1+MONTH(B1680)))</f>
        <v>0</v>
      </c>
      <c r="Q1680" s="402">
        <f t="shared" si="1678"/>
        <v>0</v>
      </c>
      <c r="R1680" s="356" t="e">
        <f t="shared" si="1325"/>
        <v>#N/A</v>
      </c>
      <c r="S1680" s="269" t="str">
        <f>IF(D1680="","",IF(OR(D1680=Plano!$A$1,D1680=Plano!$B$1),"entrada","saída"))</f>
        <v/>
      </c>
      <c r="T1680" s="406"/>
      <c r="U1680" s="406"/>
      <c r="V1680" s="269"/>
      <c r="W1680" s="269"/>
    </row>
    <row r="1681" spans="1:23" ht="12.75" customHeight="1" x14ac:dyDescent="0.2">
      <c r="A1681" s="289" t="str">
        <f t="shared" si="0"/>
        <v/>
      </c>
      <c r="B1681" s="290"/>
      <c r="C1681" s="404"/>
      <c r="D1681" s="291"/>
      <c r="E1681" s="291"/>
      <c r="F1681" s="292"/>
      <c r="G1681" s="291"/>
      <c r="H1681" s="291"/>
      <c r="I1681" s="293"/>
      <c r="J1681" s="291"/>
      <c r="K1681" s="291"/>
      <c r="L1681" s="293"/>
      <c r="M1681" s="291"/>
      <c r="N1681" s="289"/>
      <c r="O1681" s="358"/>
      <c r="P1681" s="402">
        <f t="shared" ref="P1681:Q1681" si="1679">IF(B1681=0,0,IF(YEAR(B1681)=$Q$1,MONTH(B1681)-$P$1+1,(YEAR(B1681)-$Q$1)*12-$P$1+1+MONTH(B1681)))</f>
        <v>0</v>
      </c>
      <c r="Q1681" s="402">
        <f t="shared" si="1679"/>
        <v>0</v>
      </c>
      <c r="R1681" s="356" t="e">
        <f t="shared" si="1325"/>
        <v>#N/A</v>
      </c>
      <c r="S1681" s="269" t="str">
        <f>IF(D1681="","",IF(OR(D1681=Plano!$A$1,D1681=Plano!$B$1),"entrada","saída"))</f>
        <v/>
      </c>
      <c r="T1681" s="406"/>
      <c r="U1681" s="406"/>
      <c r="V1681" s="269"/>
      <c r="W1681" s="269"/>
    </row>
    <row r="1682" spans="1:23" ht="12.75" customHeight="1" x14ac:dyDescent="0.2">
      <c r="A1682" s="289" t="str">
        <f t="shared" si="0"/>
        <v/>
      </c>
      <c r="B1682" s="290"/>
      <c r="C1682" s="404"/>
      <c r="D1682" s="291"/>
      <c r="E1682" s="291"/>
      <c r="F1682" s="292"/>
      <c r="G1682" s="291"/>
      <c r="H1682" s="291"/>
      <c r="I1682" s="293"/>
      <c r="J1682" s="291"/>
      <c r="K1682" s="291"/>
      <c r="L1682" s="293"/>
      <c r="M1682" s="291"/>
      <c r="N1682" s="289"/>
      <c r="O1682" s="358"/>
      <c r="P1682" s="402">
        <f t="shared" ref="P1682:Q1682" si="1680">IF(B1682=0,0,IF(YEAR(B1682)=$Q$1,MONTH(B1682)-$P$1+1,(YEAR(B1682)-$Q$1)*12-$P$1+1+MONTH(B1682)))</f>
        <v>0</v>
      </c>
      <c r="Q1682" s="402">
        <f t="shared" si="1680"/>
        <v>0</v>
      </c>
      <c r="R1682" s="356" t="e">
        <f t="shared" si="1325"/>
        <v>#N/A</v>
      </c>
      <c r="S1682" s="269" t="str">
        <f>IF(D1682="","",IF(OR(D1682=Plano!$A$1,D1682=Plano!$B$1),"entrada","saída"))</f>
        <v/>
      </c>
      <c r="T1682" s="406"/>
      <c r="U1682" s="406"/>
      <c r="V1682" s="269"/>
      <c r="W1682" s="269"/>
    </row>
    <row r="1683" spans="1:23" ht="12.75" customHeight="1" x14ac:dyDescent="0.2">
      <c r="A1683" s="289" t="str">
        <f t="shared" si="0"/>
        <v/>
      </c>
      <c r="B1683" s="290"/>
      <c r="C1683" s="404"/>
      <c r="D1683" s="291"/>
      <c r="E1683" s="291"/>
      <c r="F1683" s="292"/>
      <c r="G1683" s="291"/>
      <c r="H1683" s="291"/>
      <c r="I1683" s="293"/>
      <c r="J1683" s="291"/>
      <c r="K1683" s="291"/>
      <c r="L1683" s="293"/>
      <c r="M1683" s="291"/>
      <c r="N1683" s="289"/>
      <c r="O1683" s="358"/>
      <c r="P1683" s="402">
        <f t="shared" ref="P1683:Q1683" si="1681">IF(B1683=0,0,IF(YEAR(B1683)=$Q$1,MONTH(B1683)-$P$1+1,(YEAR(B1683)-$Q$1)*12-$P$1+1+MONTH(B1683)))</f>
        <v>0</v>
      </c>
      <c r="Q1683" s="402">
        <f t="shared" si="1681"/>
        <v>0</v>
      </c>
      <c r="R1683" s="356" t="e">
        <f t="shared" si="1325"/>
        <v>#N/A</v>
      </c>
      <c r="S1683" s="269" t="str">
        <f>IF(D1683="","",IF(OR(D1683=Plano!$A$1,D1683=Plano!$B$1),"entrada","saída"))</f>
        <v/>
      </c>
      <c r="T1683" s="406"/>
      <c r="U1683" s="406"/>
      <c r="V1683" s="269"/>
      <c r="W1683" s="269"/>
    </row>
    <row r="1684" spans="1:23" ht="12.75" customHeight="1" x14ac:dyDescent="0.2">
      <c r="A1684" s="289" t="str">
        <f t="shared" si="0"/>
        <v/>
      </c>
      <c r="B1684" s="290"/>
      <c r="C1684" s="404"/>
      <c r="D1684" s="291"/>
      <c r="E1684" s="291"/>
      <c r="F1684" s="292"/>
      <c r="G1684" s="291"/>
      <c r="H1684" s="291"/>
      <c r="I1684" s="293"/>
      <c r="J1684" s="291"/>
      <c r="K1684" s="291"/>
      <c r="L1684" s="293"/>
      <c r="M1684" s="291"/>
      <c r="N1684" s="289"/>
      <c r="O1684" s="358"/>
      <c r="P1684" s="402">
        <f t="shared" ref="P1684:Q1684" si="1682">IF(B1684=0,0,IF(YEAR(B1684)=$Q$1,MONTH(B1684)-$P$1+1,(YEAR(B1684)-$Q$1)*12-$P$1+1+MONTH(B1684)))</f>
        <v>0</v>
      </c>
      <c r="Q1684" s="402">
        <f t="shared" si="1682"/>
        <v>0</v>
      </c>
      <c r="R1684" s="356" t="e">
        <f t="shared" si="1325"/>
        <v>#N/A</v>
      </c>
      <c r="S1684" s="269" t="str">
        <f>IF(D1684="","",IF(OR(D1684=Plano!$A$1,D1684=Plano!$B$1),"entrada","saída"))</f>
        <v/>
      </c>
      <c r="T1684" s="406"/>
      <c r="U1684" s="406"/>
      <c r="V1684" s="269"/>
      <c r="W1684" s="269"/>
    </row>
    <row r="1685" spans="1:23" ht="12.75" customHeight="1" x14ac:dyDescent="0.2">
      <c r="A1685" s="289" t="str">
        <f t="shared" si="0"/>
        <v/>
      </c>
      <c r="B1685" s="290"/>
      <c r="C1685" s="404"/>
      <c r="D1685" s="291"/>
      <c r="E1685" s="291"/>
      <c r="F1685" s="292"/>
      <c r="G1685" s="291"/>
      <c r="H1685" s="291"/>
      <c r="I1685" s="293"/>
      <c r="J1685" s="291"/>
      <c r="K1685" s="291"/>
      <c r="L1685" s="293"/>
      <c r="M1685" s="291"/>
      <c r="N1685" s="289"/>
      <c r="O1685" s="358"/>
      <c r="P1685" s="402">
        <f t="shared" ref="P1685:Q1685" si="1683">IF(B1685=0,0,IF(YEAR(B1685)=$Q$1,MONTH(B1685)-$P$1+1,(YEAR(B1685)-$Q$1)*12-$P$1+1+MONTH(B1685)))</f>
        <v>0</v>
      </c>
      <c r="Q1685" s="402">
        <f t="shared" si="1683"/>
        <v>0</v>
      </c>
      <c r="R1685" s="356" t="e">
        <f t="shared" si="1325"/>
        <v>#N/A</v>
      </c>
      <c r="S1685" s="269" t="str">
        <f>IF(D1685="","",IF(OR(D1685=Plano!$A$1,D1685=Plano!$B$1),"entrada","saída"))</f>
        <v/>
      </c>
      <c r="T1685" s="406"/>
      <c r="U1685" s="406"/>
      <c r="V1685" s="269"/>
      <c r="W1685" s="269"/>
    </row>
    <row r="1686" spans="1:23" ht="12.75" customHeight="1" x14ac:dyDescent="0.2">
      <c r="A1686" s="289" t="str">
        <f t="shared" si="0"/>
        <v/>
      </c>
      <c r="B1686" s="290"/>
      <c r="C1686" s="404"/>
      <c r="D1686" s="291"/>
      <c r="E1686" s="291"/>
      <c r="F1686" s="292"/>
      <c r="G1686" s="291"/>
      <c r="H1686" s="291"/>
      <c r="I1686" s="293"/>
      <c r="J1686" s="291"/>
      <c r="K1686" s="291"/>
      <c r="L1686" s="293"/>
      <c r="M1686" s="291"/>
      <c r="N1686" s="289"/>
      <c r="O1686" s="358"/>
      <c r="P1686" s="402">
        <f t="shared" ref="P1686:Q1686" si="1684">IF(B1686=0,0,IF(YEAR(B1686)=$Q$1,MONTH(B1686)-$P$1+1,(YEAR(B1686)-$Q$1)*12-$P$1+1+MONTH(B1686)))</f>
        <v>0</v>
      </c>
      <c r="Q1686" s="402">
        <f t="shared" si="1684"/>
        <v>0</v>
      </c>
      <c r="R1686" s="356" t="e">
        <f t="shared" si="1325"/>
        <v>#N/A</v>
      </c>
      <c r="S1686" s="269" t="str">
        <f>IF(D1686="","",IF(OR(D1686=Plano!$A$1,D1686=Plano!$B$1),"entrada","saída"))</f>
        <v/>
      </c>
      <c r="T1686" s="406"/>
      <c r="U1686" s="406"/>
      <c r="V1686" s="269"/>
      <c r="W1686" s="269"/>
    </row>
    <row r="1687" spans="1:23" ht="12.75" customHeight="1" x14ac:dyDescent="0.2">
      <c r="A1687" s="289" t="str">
        <f t="shared" si="0"/>
        <v/>
      </c>
      <c r="B1687" s="290"/>
      <c r="C1687" s="404"/>
      <c r="D1687" s="291"/>
      <c r="E1687" s="291"/>
      <c r="F1687" s="292"/>
      <c r="G1687" s="291"/>
      <c r="H1687" s="291"/>
      <c r="I1687" s="293"/>
      <c r="J1687" s="291"/>
      <c r="K1687" s="291"/>
      <c r="L1687" s="293"/>
      <c r="M1687" s="291"/>
      <c r="N1687" s="289"/>
      <c r="O1687" s="358"/>
      <c r="P1687" s="402">
        <f t="shared" ref="P1687:Q1687" si="1685">IF(B1687=0,0,IF(YEAR(B1687)=$Q$1,MONTH(B1687)-$P$1+1,(YEAR(B1687)-$Q$1)*12-$P$1+1+MONTH(B1687)))</f>
        <v>0</v>
      </c>
      <c r="Q1687" s="402">
        <f t="shared" si="1685"/>
        <v>0</v>
      </c>
      <c r="R1687" s="356" t="e">
        <f t="shared" si="1325"/>
        <v>#N/A</v>
      </c>
      <c r="S1687" s="269" t="str">
        <f>IF(D1687="","",IF(OR(D1687=Plano!$A$1,D1687=Plano!$B$1),"entrada","saída"))</f>
        <v/>
      </c>
      <c r="T1687" s="406"/>
      <c r="U1687" s="406"/>
      <c r="V1687" s="269"/>
      <c r="W1687" s="269"/>
    </row>
    <row r="1688" spans="1:23" ht="12.75" customHeight="1" x14ac:dyDescent="0.2">
      <c r="A1688" s="289" t="str">
        <f t="shared" si="0"/>
        <v/>
      </c>
      <c r="B1688" s="290"/>
      <c r="C1688" s="404"/>
      <c r="D1688" s="291"/>
      <c r="E1688" s="291"/>
      <c r="F1688" s="292"/>
      <c r="G1688" s="291"/>
      <c r="H1688" s="291"/>
      <c r="I1688" s="293"/>
      <c r="J1688" s="291"/>
      <c r="K1688" s="291"/>
      <c r="L1688" s="293"/>
      <c r="M1688" s="291"/>
      <c r="N1688" s="289"/>
      <c r="O1688" s="358"/>
      <c r="P1688" s="402">
        <f t="shared" ref="P1688:Q1688" si="1686">IF(B1688=0,0,IF(YEAR(B1688)=$Q$1,MONTH(B1688)-$P$1+1,(YEAR(B1688)-$Q$1)*12-$P$1+1+MONTH(B1688)))</f>
        <v>0</v>
      </c>
      <c r="Q1688" s="402">
        <f t="shared" si="1686"/>
        <v>0</v>
      </c>
      <c r="R1688" s="356" t="e">
        <f t="shared" si="1325"/>
        <v>#N/A</v>
      </c>
      <c r="S1688" s="269" t="str">
        <f>IF(D1688="","",IF(OR(D1688=Plano!$A$1,D1688=Plano!$B$1),"entrada","saída"))</f>
        <v/>
      </c>
      <c r="T1688" s="406"/>
      <c r="U1688" s="406"/>
      <c r="V1688" s="269"/>
      <c r="W1688" s="269"/>
    </row>
    <row r="1689" spans="1:23" ht="12.75" customHeight="1" x14ac:dyDescent="0.2">
      <c r="A1689" s="289" t="str">
        <f t="shared" si="0"/>
        <v/>
      </c>
      <c r="B1689" s="290"/>
      <c r="C1689" s="404"/>
      <c r="D1689" s="291"/>
      <c r="E1689" s="291"/>
      <c r="F1689" s="292"/>
      <c r="G1689" s="291"/>
      <c r="H1689" s="291"/>
      <c r="I1689" s="293"/>
      <c r="J1689" s="291"/>
      <c r="K1689" s="291"/>
      <c r="L1689" s="293"/>
      <c r="M1689" s="291"/>
      <c r="N1689" s="289"/>
      <c r="O1689" s="358"/>
      <c r="P1689" s="402">
        <f t="shared" ref="P1689:Q1689" si="1687">IF(B1689=0,0,IF(YEAR(B1689)=$Q$1,MONTH(B1689)-$P$1+1,(YEAR(B1689)-$Q$1)*12-$P$1+1+MONTH(B1689)))</f>
        <v>0</v>
      </c>
      <c r="Q1689" s="402">
        <f t="shared" si="1687"/>
        <v>0</v>
      </c>
      <c r="R1689" s="356" t="e">
        <f t="shared" si="1325"/>
        <v>#N/A</v>
      </c>
      <c r="S1689" s="269" t="str">
        <f>IF(D1689="","",IF(OR(D1689=Plano!$A$1,D1689=Plano!$B$1),"entrada","saída"))</f>
        <v/>
      </c>
      <c r="T1689" s="406"/>
      <c r="U1689" s="406"/>
      <c r="V1689" s="269"/>
      <c r="W1689" s="269"/>
    </row>
    <row r="1690" spans="1:23" ht="12.75" customHeight="1" x14ac:dyDescent="0.2">
      <c r="A1690" s="289" t="str">
        <f t="shared" si="0"/>
        <v/>
      </c>
      <c r="B1690" s="290"/>
      <c r="C1690" s="404"/>
      <c r="D1690" s="291"/>
      <c r="E1690" s="291"/>
      <c r="F1690" s="292"/>
      <c r="G1690" s="291"/>
      <c r="H1690" s="291"/>
      <c r="I1690" s="293"/>
      <c r="J1690" s="291"/>
      <c r="K1690" s="291"/>
      <c r="L1690" s="293"/>
      <c r="M1690" s="291"/>
      <c r="N1690" s="289"/>
      <c r="O1690" s="358"/>
      <c r="P1690" s="402">
        <f t="shared" ref="P1690:Q1690" si="1688">IF(B1690=0,0,IF(YEAR(B1690)=$Q$1,MONTH(B1690)-$P$1+1,(YEAR(B1690)-$Q$1)*12-$P$1+1+MONTH(B1690)))</f>
        <v>0</v>
      </c>
      <c r="Q1690" s="402">
        <f t="shared" si="1688"/>
        <v>0</v>
      </c>
      <c r="R1690" s="356" t="e">
        <f t="shared" si="1325"/>
        <v>#N/A</v>
      </c>
      <c r="S1690" s="269" t="str">
        <f>IF(D1690="","",IF(OR(D1690=Plano!$A$1,D1690=Plano!$B$1),"entrada","saída"))</f>
        <v/>
      </c>
      <c r="T1690" s="406"/>
      <c r="U1690" s="406"/>
      <c r="V1690" s="269"/>
      <c r="W1690" s="269"/>
    </row>
    <row r="1691" spans="1:23" ht="12.75" customHeight="1" x14ac:dyDescent="0.2">
      <c r="A1691" s="289" t="str">
        <f t="shared" si="0"/>
        <v/>
      </c>
      <c r="B1691" s="290"/>
      <c r="C1691" s="404"/>
      <c r="D1691" s="291"/>
      <c r="E1691" s="291"/>
      <c r="F1691" s="292"/>
      <c r="G1691" s="291"/>
      <c r="H1691" s="291"/>
      <c r="I1691" s="293"/>
      <c r="J1691" s="291"/>
      <c r="K1691" s="291"/>
      <c r="L1691" s="293"/>
      <c r="M1691" s="291"/>
      <c r="N1691" s="289"/>
      <c r="O1691" s="358"/>
      <c r="P1691" s="402">
        <f t="shared" ref="P1691:Q1691" si="1689">IF(B1691=0,0,IF(YEAR(B1691)=$Q$1,MONTH(B1691)-$P$1+1,(YEAR(B1691)-$Q$1)*12-$P$1+1+MONTH(B1691)))</f>
        <v>0</v>
      </c>
      <c r="Q1691" s="402">
        <f t="shared" si="1689"/>
        <v>0</v>
      </c>
      <c r="R1691" s="356" t="e">
        <f t="shared" si="1325"/>
        <v>#N/A</v>
      </c>
      <c r="S1691" s="269" t="str">
        <f>IF(D1691="","",IF(OR(D1691=Plano!$A$1,D1691=Plano!$B$1),"entrada","saída"))</f>
        <v/>
      </c>
      <c r="T1691" s="406"/>
      <c r="U1691" s="406"/>
      <c r="V1691" s="269"/>
      <c r="W1691" s="269"/>
    </row>
    <row r="1692" spans="1:23" ht="12.75" customHeight="1" x14ac:dyDescent="0.2">
      <c r="A1692" s="289" t="str">
        <f t="shared" si="0"/>
        <v/>
      </c>
      <c r="B1692" s="290"/>
      <c r="C1692" s="404"/>
      <c r="D1692" s="291"/>
      <c r="E1692" s="291"/>
      <c r="F1692" s="292"/>
      <c r="G1692" s="291"/>
      <c r="H1692" s="291"/>
      <c r="I1692" s="293"/>
      <c r="J1692" s="291"/>
      <c r="K1692" s="291"/>
      <c r="L1692" s="293"/>
      <c r="M1692" s="291"/>
      <c r="N1692" s="289"/>
      <c r="O1692" s="358"/>
      <c r="P1692" s="402">
        <f t="shared" ref="P1692:Q1692" si="1690">IF(B1692=0,0,IF(YEAR(B1692)=$Q$1,MONTH(B1692)-$P$1+1,(YEAR(B1692)-$Q$1)*12-$P$1+1+MONTH(B1692)))</f>
        <v>0</v>
      </c>
      <c r="Q1692" s="402">
        <f t="shared" si="1690"/>
        <v>0</v>
      </c>
      <c r="R1692" s="356" t="e">
        <f t="shared" si="1325"/>
        <v>#N/A</v>
      </c>
      <c r="S1692" s="269" t="str">
        <f>IF(D1692="","",IF(OR(D1692=Plano!$A$1,D1692=Plano!$B$1),"entrada","saída"))</f>
        <v/>
      </c>
      <c r="T1692" s="406"/>
      <c r="U1692" s="406"/>
      <c r="V1692" s="269"/>
      <c r="W1692" s="269"/>
    </row>
    <row r="1693" spans="1:23" ht="12.75" customHeight="1" x14ac:dyDescent="0.2">
      <c r="A1693" s="289" t="str">
        <f t="shared" si="0"/>
        <v/>
      </c>
      <c r="B1693" s="290"/>
      <c r="C1693" s="404"/>
      <c r="D1693" s="291"/>
      <c r="E1693" s="291"/>
      <c r="F1693" s="292"/>
      <c r="G1693" s="291"/>
      <c r="H1693" s="291"/>
      <c r="I1693" s="293"/>
      <c r="J1693" s="291"/>
      <c r="K1693" s="291"/>
      <c r="L1693" s="293"/>
      <c r="M1693" s="291"/>
      <c r="N1693" s="289"/>
      <c r="O1693" s="358"/>
      <c r="P1693" s="402">
        <f t="shared" ref="P1693:Q1693" si="1691">IF(B1693=0,0,IF(YEAR(B1693)=$Q$1,MONTH(B1693)-$P$1+1,(YEAR(B1693)-$Q$1)*12-$P$1+1+MONTH(B1693)))</f>
        <v>0</v>
      </c>
      <c r="Q1693" s="402">
        <f t="shared" si="1691"/>
        <v>0</v>
      </c>
      <c r="R1693" s="356" t="e">
        <f t="shared" si="1325"/>
        <v>#N/A</v>
      </c>
      <c r="S1693" s="269" t="str">
        <f>IF(D1693="","",IF(OR(D1693=Plano!$A$1,D1693=Plano!$B$1),"entrada","saída"))</f>
        <v/>
      </c>
      <c r="T1693" s="406"/>
      <c r="U1693" s="406"/>
      <c r="V1693" s="269"/>
      <c r="W1693" s="269"/>
    </row>
    <row r="1694" spans="1:23" ht="12.75" customHeight="1" x14ac:dyDescent="0.2">
      <c r="A1694" s="289" t="str">
        <f t="shared" si="0"/>
        <v/>
      </c>
      <c r="B1694" s="290"/>
      <c r="C1694" s="404"/>
      <c r="D1694" s="291"/>
      <c r="E1694" s="291"/>
      <c r="F1694" s="292"/>
      <c r="G1694" s="291"/>
      <c r="H1694" s="291"/>
      <c r="I1694" s="293"/>
      <c r="J1694" s="291"/>
      <c r="K1694" s="291"/>
      <c r="L1694" s="293"/>
      <c r="M1694" s="291"/>
      <c r="N1694" s="289"/>
      <c r="O1694" s="358"/>
      <c r="P1694" s="402">
        <f t="shared" ref="P1694:Q1694" si="1692">IF(B1694=0,0,IF(YEAR(B1694)=$Q$1,MONTH(B1694)-$P$1+1,(YEAR(B1694)-$Q$1)*12-$P$1+1+MONTH(B1694)))</f>
        <v>0</v>
      </c>
      <c r="Q1694" s="402">
        <f t="shared" si="1692"/>
        <v>0</v>
      </c>
      <c r="R1694" s="356" t="e">
        <f t="shared" si="1325"/>
        <v>#N/A</v>
      </c>
      <c r="S1694" s="269" t="str">
        <f>IF(D1694="","",IF(OR(D1694=Plano!$A$1,D1694=Plano!$B$1),"entrada","saída"))</f>
        <v/>
      </c>
      <c r="T1694" s="406"/>
      <c r="U1694" s="406"/>
      <c r="V1694" s="269"/>
      <c r="W1694" s="269"/>
    </row>
    <row r="1695" spans="1:23" ht="12.75" customHeight="1" x14ac:dyDescent="0.2">
      <c r="A1695" s="289" t="str">
        <f t="shared" si="0"/>
        <v/>
      </c>
      <c r="B1695" s="290"/>
      <c r="C1695" s="404"/>
      <c r="D1695" s="291"/>
      <c r="E1695" s="291"/>
      <c r="F1695" s="292"/>
      <c r="G1695" s="291"/>
      <c r="H1695" s="291"/>
      <c r="I1695" s="293"/>
      <c r="J1695" s="291"/>
      <c r="K1695" s="291"/>
      <c r="L1695" s="293"/>
      <c r="M1695" s="291"/>
      <c r="N1695" s="289"/>
      <c r="O1695" s="358"/>
      <c r="P1695" s="402">
        <f t="shared" ref="P1695:Q1695" si="1693">IF(B1695=0,0,IF(YEAR(B1695)=$Q$1,MONTH(B1695)-$P$1+1,(YEAR(B1695)-$Q$1)*12-$P$1+1+MONTH(B1695)))</f>
        <v>0</v>
      </c>
      <c r="Q1695" s="402">
        <f t="shared" si="1693"/>
        <v>0</v>
      </c>
      <c r="R1695" s="356" t="e">
        <f t="shared" si="1325"/>
        <v>#N/A</v>
      </c>
      <c r="S1695" s="269" t="str">
        <f>IF(D1695="","",IF(OR(D1695=Plano!$A$1,D1695=Plano!$B$1),"entrada","saída"))</f>
        <v/>
      </c>
      <c r="T1695" s="406"/>
      <c r="U1695" s="406"/>
      <c r="V1695" s="269"/>
      <c r="W1695" s="269"/>
    </row>
    <row r="1696" spans="1:23" ht="12.75" customHeight="1" x14ac:dyDescent="0.2">
      <c r="A1696" s="289" t="str">
        <f t="shared" si="0"/>
        <v/>
      </c>
      <c r="B1696" s="290"/>
      <c r="C1696" s="404"/>
      <c r="D1696" s="291"/>
      <c r="E1696" s="291"/>
      <c r="F1696" s="292"/>
      <c r="G1696" s="291"/>
      <c r="H1696" s="291"/>
      <c r="I1696" s="293"/>
      <c r="J1696" s="291"/>
      <c r="K1696" s="291"/>
      <c r="L1696" s="293"/>
      <c r="M1696" s="291"/>
      <c r="N1696" s="289"/>
      <c r="O1696" s="358"/>
      <c r="P1696" s="402">
        <f t="shared" ref="P1696:Q1696" si="1694">IF(B1696=0,0,IF(YEAR(B1696)=$Q$1,MONTH(B1696)-$P$1+1,(YEAR(B1696)-$Q$1)*12-$P$1+1+MONTH(B1696)))</f>
        <v>0</v>
      </c>
      <c r="Q1696" s="402">
        <f t="shared" si="1694"/>
        <v>0</v>
      </c>
      <c r="R1696" s="356" t="e">
        <f t="shared" si="1325"/>
        <v>#N/A</v>
      </c>
      <c r="S1696" s="269" t="str">
        <f>IF(D1696="","",IF(OR(D1696=Plano!$A$1,D1696=Plano!$B$1),"entrada","saída"))</f>
        <v/>
      </c>
      <c r="T1696" s="406"/>
      <c r="U1696" s="406"/>
      <c r="V1696" s="269"/>
      <c r="W1696" s="269"/>
    </row>
    <row r="1697" spans="1:23" ht="12.75" customHeight="1" x14ac:dyDescent="0.2">
      <c r="A1697" s="289" t="str">
        <f t="shared" si="0"/>
        <v/>
      </c>
      <c r="B1697" s="290"/>
      <c r="C1697" s="404"/>
      <c r="D1697" s="291"/>
      <c r="E1697" s="291"/>
      <c r="F1697" s="292"/>
      <c r="G1697" s="291"/>
      <c r="H1697" s="291"/>
      <c r="I1697" s="293"/>
      <c r="J1697" s="291"/>
      <c r="K1697" s="291"/>
      <c r="L1697" s="293"/>
      <c r="M1697" s="291"/>
      <c r="N1697" s="289"/>
      <c r="O1697" s="358"/>
      <c r="P1697" s="402">
        <f t="shared" ref="P1697:Q1697" si="1695">IF(B1697=0,0,IF(YEAR(B1697)=$Q$1,MONTH(B1697)-$P$1+1,(YEAR(B1697)-$Q$1)*12-$P$1+1+MONTH(B1697)))</f>
        <v>0</v>
      </c>
      <c r="Q1697" s="402">
        <f t="shared" si="1695"/>
        <v>0</v>
      </c>
      <c r="R1697" s="356" t="e">
        <f t="shared" si="1325"/>
        <v>#N/A</v>
      </c>
      <c r="S1697" s="269" t="str">
        <f>IF(D1697="","",IF(OR(D1697=Plano!$A$1,D1697=Plano!$B$1),"entrada","saída"))</f>
        <v/>
      </c>
      <c r="T1697" s="406"/>
      <c r="U1697" s="406"/>
      <c r="V1697" s="269"/>
      <c r="W1697" s="269"/>
    </row>
    <row r="1698" spans="1:23" ht="12.75" customHeight="1" x14ac:dyDescent="0.2">
      <c r="A1698" s="289" t="str">
        <f t="shared" si="0"/>
        <v/>
      </c>
      <c r="B1698" s="290"/>
      <c r="C1698" s="404"/>
      <c r="D1698" s="291"/>
      <c r="E1698" s="291"/>
      <c r="F1698" s="292"/>
      <c r="G1698" s="291"/>
      <c r="H1698" s="291"/>
      <c r="I1698" s="293"/>
      <c r="J1698" s="291"/>
      <c r="K1698" s="291"/>
      <c r="L1698" s="293"/>
      <c r="M1698" s="291"/>
      <c r="N1698" s="289"/>
      <c r="O1698" s="358"/>
      <c r="P1698" s="402">
        <f t="shared" ref="P1698:Q1698" si="1696">IF(B1698=0,0,IF(YEAR(B1698)=$Q$1,MONTH(B1698)-$P$1+1,(YEAR(B1698)-$Q$1)*12-$P$1+1+MONTH(B1698)))</f>
        <v>0</v>
      </c>
      <c r="Q1698" s="402">
        <f t="shared" si="1696"/>
        <v>0</v>
      </c>
      <c r="R1698" s="356" t="e">
        <f t="shared" si="1325"/>
        <v>#N/A</v>
      </c>
      <c r="S1698" s="269" t="str">
        <f>IF(D1698="","",IF(OR(D1698=Plano!$A$1,D1698=Plano!$B$1),"entrada","saída"))</f>
        <v/>
      </c>
      <c r="T1698" s="406"/>
      <c r="U1698" s="406"/>
      <c r="V1698" s="269"/>
      <c r="W1698" s="269"/>
    </row>
    <row r="1699" spans="1:23" ht="12.75" customHeight="1" x14ac:dyDescent="0.2">
      <c r="A1699" s="289" t="str">
        <f t="shared" si="0"/>
        <v/>
      </c>
      <c r="B1699" s="290"/>
      <c r="C1699" s="404"/>
      <c r="D1699" s="291"/>
      <c r="E1699" s="291"/>
      <c r="F1699" s="292"/>
      <c r="G1699" s="291"/>
      <c r="H1699" s="291"/>
      <c r="I1699" s="293"/>
      <c r="J1699" s="291"/>
      <c r="K1699" s="291"/>
      <c r="L1699" s="293"/>
      <c r="M1699" s="291"/>
      <c r="N1699" s="289"/>
      <c r="O1699" s="358"/>
      <c r="P1699" s="402">
        <f t="shared" ref="P1699:Q1699" si="1697">IF(B1699=0,0,IF(YEAR(B1699)=$Q$1,MONTH(B1699)-$P$1+1,(YEAR(B1699)-$Q$1)*12-$P$1+1+MONTH(B1699)))</f>
        <v>0</v>
      </c>
      <c r="Q1699" s="402">
        <f t="shared" si="1697"/>
        <v>0</v>
      </c>
      <c r="R1699" s="356" t="e">
        <f t="shared" si="1325"/>
        <v>#N/A</v>
      </c>
      <c r="S1699" s="269" t="str">
        <f>IF(D1699="","",IF(OR(D1699=Plano!$A$1,D1699=Plano!$B$1),"entrada","saída"))</f>
        <v/>
      </c>
      <c r="T1699" s="406"/>
      <c r="U1699" s="406"/>
      <c r="V1699" s="269"/>
      <c r="W1699" s="269"/>
    </row>
    <row r="1700" spans="1:23" ht="12.75" customHeight="1" x14ac:dyDescent="0.2">
      <c r="A1700" s="289" t="str">
        <f t="shared" si="0"/>
        <v/>
      </c>
      <c r="B1700" s="290"/>
      <c r="C1700" s="404"/>
      <c r="D1700" s="291"/>
      <c r="E1700" s="291"/>
      <c r="F1700" s="292"/>
      <c r="G1700" s="291"/>
      <c r="H1700" s="291"/>
      <c r="I1700" s="293"/>
      <c r="J1700" s="291"/>
      <c r="K1700" s="291"/>
      <c r="L1700" s="293"/>
      <c r="M1700" s="291"/>
      <c r="N1700" s="289"/>
      <c r="O1700" s="358"/>
      <c r="P1700" s="402">
        <f t="shared" ref="P1700:Q1700" si="1698">IF(B1700=0,0,IF(YEAR(B1700)=$Q$1,MONTH(B1700)-$P$1+1,(YEAR(B1700)-$Q$1)*12-$P$1+1+MONTH(B1700)))</f>
        <v>0</v>
      </c>
      <c r="Q1700" s="402">
        <f t="shared" si="1698"/>
        <v>0</v>
      </c>
      <c r="R1700" s="356" t="e">
        <f t="shared" si="1325"/>
        <v>#N/A</v>
      </c>
      <c r="S1700" s="269" t="str">
        <f>IF(D1700="","",IF(OR(D1700=Plano!$A$1,D1700=Plano!$B$1),"entrada","saída"))</f>
        <v/>
      </c>
      <c r="T1700" s="406"/>
      <c r="U1700" s="406"/>
      <c r="V1700" s="269"/>
      <c r="W1700" s="269"/>
    </row>
    <row r="1701" spans="1:23" ht="12.75" customHeight="1" x14ac:dyDescent="0.2">
      <c r="A1701" s="289" t="str">
        <f t="shared" si="0"/>
        <v/>
      </c>
      <c r="B1701" s="290"/>
      <c r="C1701" s="404"/>
      <c r="D1701" s="291"/>
      <c r="E1701" s="291"/>
      <c r="F1701" s="292"/>
      <c r="G1701" s="291"/>
      <c r="H1701" s="291"/>
      <c r="I1701" s="293"/>
      <c r="J1701" s="291"/>
      <c r="K1701" s="291"/>
      <c r="L1701" s="293"/>
      <c r="M1701" s="291"/>
      <c r="N1701" s="289"/>
      <c r="O1701" s="358"/>
      <c r="P1701" s="402">
        <f t="shared" ref="P1701:Q1701" si="1699">IF(B1701=0,0,IF(YEAR(B1701)=$Q$1,MONTH(B1701)-$P$1+1,(YEAR(B1701)-$Q$1)*12-$P$1+1+MONTH(B1701)))</f>
        <v>0</v>
      </c>
      <c r="Q1701" s="402">
        <f t="shared" si="1699"/>
        <v>0</v>
      </c>
      <c r="R1701" s="356" t="e">
        <f t="shared" si="1325"/>
        <v>#N/A</v>
      </c>
      <c r="S1701" s="269" t="str">
        <f>IF(D1701="","",IF(OR(D1701=Plano!$A$1,D1701=Plano!$B$1),"entrada","saída"))</f>
        <v/>
      </c>
      <c r="T1701" s="406"/>
      <c r="U1701" s="406"/>
      <c r="V1701" s="269"/>
      <c r="W1701" s="269"/>
    </row>
    <row r="1702" spans="1:23" ht="12.75" customHeight="1" x14ac:dyDescent="0.2">
      <c r="A1702" s="289" t="str">
        <f t="shared" si="0"/>
        <v/>
      </c>
      <c r="B1702" s="290"/>
      <c r="C1702" s="404"/>
      <c r="D1702" s="291"/>
      <c r="E1702" s="291"/>
      <c r="F1702" s="292"/>
      <c r="G1702" s="291"/>
      <c r="H1702" s="291"/>
      <c r="I1702" s="293"/>
      <c r="J1702" s="291"/>
      <c r="K1702" s="291"/>
      <c r="L1702" s="293"/>
      <c r="M1702" s="291"/>
      <c r="N1702" s="289"/>
      <c r="O1702" s="358"/>
      <c r="P1702" s="402">
        <f t="shared" ref="P1702:Q1702" si="1700">IF(B1702=0,0,IF(YEAR(B1702)=$Q$1,MONTH(B1702)-$P$1+1,(YEAR(B1702)-$Q$1)*12-$P$1+1+MONTH(B1702)))</f>
        <v>0</v>
      </c>
      <c r="Q1702" s="402">
        <f t="shared" si="1700"/>
        <v>0</v>
      </c>
      <c r="R1702" s="356" t="e">
        <f t="shared" si="1325"/>
        <v>#N/A</v>
      </c>
      <c r="S1702" s="269" t="str">
        <f>IF(D1702="","",IF(OR(D1702=Plano!$A$1,D1702=Plano!$B$1),"entrada","saída"))</f>
        <v/>
      </c>
      <c r="T1702" s="406"/>
      <c r="U1702" s="406"/>
      <c r="V1702" s="269"/>
      <c r="W1702" s="269"/>
    </row>
    <row r="1703" spans="1:23" ht="12.75" customHeight="1" x14ac:dyDescent="0.2">
      <c r="A1703" s="289" t="str">
        <f t="shared" si="0"/>
        <v/>
      </c>
      <c r="B1703" s="290"/>
      <c r="C1703" s="404"/>
      <c r="D1703" s="291"/>
      <c r="E1703" s="291"/>
      <c r="F1703" s="292"/>
      <c r="G1703" s="291"/>
      <c r="H1703" s="291"/>
      <c r="I1703" s="293"/>
      <c r="J1703" s="291"/>
      <c r="K1703" s="291"/>
      <c r="L1703" s="293"/>
      <c r="M1703" s="291"/>
      <c r="N1703" s="289"/>
      <c r="O1703" s="358"/>
      <c r="P1703" s="402">
        <f t="shared" ref="P1703:Q1703" si="1701">IF(B1703=0,0,IF(YEAR(B1703)=$Q$1,MONTH(B1703)-$P$1+1,(YEAR(B1703)-$Q$1)*12-$P$1+1+MONTH(B1703)))</f>
        <v>0</v>
      </c>
      <c r="Q1703" s="402">
        <f t="shared" si="1701"/>
        <v>0</v>
      </c>
      <c r="R1703" s="356" t="e">
        <f t="shared" si="1325"/>
        <v>#N/A</v>
      </c>
      <c r="S1703" s="269" t="str">
        <f>IF(D1703="","",IF(OR(D1703=Plano!$A$1,D1703=Plano!$B$1),"entrada","saída"))</f>
        <v/>
      </c>
      <c r="T1703" s="406"/>
      <c r="U1703" s="406"/>
      <c r="V1703" s="269"/>
      <c r="W1703" s="269"/>
    </row>
    <row r="1704" spans="1:23" ht="12.75" customHeight="1" x14ac:dyDescent="0.2">
      <c r="A1704" s="289" t="str">
        <f t="shared" si="0"/>
        <v/>
      </c>
      <c r="B1704" s="290"/>
      <c r="C1704" s="404"/>
      <c r="D1704" s="291"/>
      <c r="E1704" s="291"/>
      <c r="F1704" s="292"/>
      <c r="G1704" s="291"/>
      <c r="H1704" s="291"/>
      <c r="I1704" s="293"/>
      <c r="J1704" s="291"/>
      <c r="K1704" s="291"/>
      <c r="L1704" s="293"/>
      <c r="M1704" s="291"/>
      <c r="N1704" s="289"/>
      <c r="O1704" s="358"/>
      <c r="P1704" s="402">
        <f t="shared" ref="P1704:Q1704" si="1702">IF(B1704=0,0,IF(YEAR(B1704)=$Q$1,MONTH(B1704)-$P$1+1,(YEAR(B1704)-$Q$1)*12-$P$1+1+MONTH(B1704)))</f>
        <v>0</v>
      </c>
      <c r="Q1704" s="402">
        <f t="shared" si="1702"/>
        <v>0</v>
      </c>
      <c r="R1704" s="356" t="e">
        <f t="shared" si="1325"/>
        <v>#N/A</v>
      </c>
      <c r="S1704" s="269" t="str">
        <f>IF(D1704="","",IF(OR(D1704=Plano!$A$1,D1704=Plano!$B$1),"entrada","saída"))</f>
        <v/>
      </c>
      <c r="T1704" s="406"/>
      <c r="U1704" s="406"/>
      <c r="V1704" s="269"/>
      <c r="W1704" s="269"/>
    </row>
    <row r="1705" spans="1:23" ht="12.75" customHeight="1" x14ac:dyDescent="0.2">
      <c r="A1705" s="289" t="str">
        <f t="shared" si="0"/>
        <v/>
      </c>
      <c r="B1705" s="290"/>
      <c r="C1705" s="404"/>
      <c r="D1705" s="291"/>
      <c r="E1705" s="291"/>
      <c r="F1705" s="292"/>
      <c r="G1705" s="291"/>
      <c r="H1705" s="291"/>
      <c r="I1705" s="293"/>
      <c r="J1705" s="291"/>
      <c r="K1705" s="291"/>
      <c r="L1705" s="293"/>
      <c r="M1705" s="291"/>
      <c r="N1705" s="289"/>
      <c r="O1705" s="358"/>
      <c r="P1705" s="402">
        <f t="shared" ref="P1705:Q1705" si="1703">IF(B1705=0,0,IF(YEAR(B1705)=$Q$1,MONTH(B1705)-$P$1+1,(YEAR(B1705)-$Q$1)*12-$P$1+1+MONTH(B1705)))</f>
        <v>0</v>
      </c>
      <c r="Q1705" s="402">
        <f t="shared" si="1703"/>
        <v>0</v>
      </c>
      <c r="R1705" s="356" t="e">
        <f t="shared" si="1325"/>
        <v>#N/A</v>
      </c>
      <c r="S1705" s="269" t="str">
        <f>IF(D1705="","",IF(OR(D1705=Plano!$A$1,D1705=Plano!$B$1),"entrada","saída"))</f>
        <v/>
      </c>
      <c r="T1705" s="406"/>
      <c r="U1705" s="406"/>
      <c r="V1705" s="269"/>
      <c r="W1705" s="269"/>
    </row>
    <row r="1706" spans="1:23" ht="12.75" customHeight="1" x14ac:dyDescent="0.2">
      <c r="A1706" s="289" t="str">
        <f t="shared" si="0"/>
        <v/>
      </c>
      <c r="B1706" s="290"/>
      <c r="C1706" s="404"/>
      <c r="D1706" s="291"/>
      <c r="E1706" s="291"/>
      <c r="F1706" s="292"/>
      <c r="G1706" s="291"/>
      <c r="H1706" s="291"/>
      <c r="I1706" s="293"/>
      <c r="J1706" s="291"/>
      <c r="K1706" s="291"/>
      <c r="L1706" s="293"/>
      <c r="M1706" s="291"/>
      <c r="N1706" s="289"/>
      <c r="O1706" s="358"/>
      <c r="P1706" s="402">
        <f t="shared" ref="P1706:Q1706" si="1704">IF(B1706=0,0,IF(YEAR(B1706)=$Q$1,MONTH(B1706)-$P$1+1,(YEAR(B1706)-$Q$1)*12-$P$1+1+MONTH(B1706)))</f>
        <v>0</v>
      </c>
      <c r="Q1706" s="402">
        <f t="shared" si="1704"/>
        <v>0</v>
      </c>
      <c r="R1706" s="356" t="e">
        <f t="shared" si="1325"/>
        <v>#N/A</v>
      </c>
      <c r="S1706" s="269" t="str">
        <f>IF(D1706="","",IF(OR(D1706=Plano!$A$1,D1706=Plano!$B$1),"entrada","saída"))</f>
        <v/>
      </c>
      <c r="T1706" s="406"/>
      <c r="U1706" s="406"/>
      <c r="V1706" s="269"/>
      <c r="W1706" s="269"/>
    </row>
    <row r="1707" spans="1:23" ht="12.75" customHeight="1" x14ac:dyDescent="0.2">
      <c r="A1707" s="289" t="str">
        <f t="shared" si="0"/>
        <v/>
      </c>
      <c r="B1707" s="290"/>
      <c r="C1707" s="404"/>
      <c r="D1707" s="291"/>
      <c r="E1707" s="291"/>
      <c r="F1707" s="292"/>
      <c r="G1707" s="291"/>
      <c r="H1707" s="291"/>
      <c r="I1707" s="293"/>
      <c r="J1707" s="291"/>
      <c r="K1707" s="291"/>
      <c r="L1707" s="293"/>
      <c r="M1707" s="291"/>
      <c r="N1707" s="289"/>
      <c r="O1707" s="358"/>
      <c r="P1707" s="402">
        <f t="shared" ref="P1707:Q1707" si="1705">IF(B1707=0,0,IF(YEAR(B1707)=$Q$1,MONTH(B1707)-$P$1+1,(YEAR(B1707)-$Q$1)*12-$P$1+1+MONTH(B1707)))</f>
        <v>0</v>
      </c>
      <c r="Q1707" s="402">
        <f t="shared" si="1705"/>
        <v>0</v>
      </c>
      <c r="R1707" s="356" t="e">
        <f t="shared" si="1325"/>
        <v>#N/A</v>
      </c>
      <c r="S1707" s="269" t="str">
        <f>IF(D1707="","",IF(OR(D1707=Plano!$A$1,D1707=Plano!$B$1),"entrada","saída"))</f>
        <v/>
      </c>
      <c r="T1707" s="406"/>
      <c r="U1707" s="406"/>
      <c r="V1707" s="269"/>
      <c r="W1707" s="269"/>
    </row>
    <row r="1708" spans="1:23" ht="12.75" customHeight="1" x14ac:dyDescent="0.2">
      <c r="A1708" s="289" t="str">
        <f t="shared" si="0"/>
        <v/>
      </c>
      <c r="B1708" s="290"/>
      <c r="C1708" s="404"/>
      <c r="D1708" s="291"/>
      <c r="E1708" s="291"/>
      <c r="F1708" s="292"/>
      <c r="G1708" s="291"/>
      <c r="H1708" s="291"/>
      <c r="I1708" s="293"/>
      <c r="J1708" s="291"/>
      <c r="K1708" s="291"/>
      <c r="L1708" s="293"/>
      <c r="M1708" s="291"/>
      <c r="N1708" s="289"/>
      <c r="O1708" s="358"/>
      <c r="P1708" s="402">
        <f t="shared" ref="P1708:Q1708" si="1706">IF(B1708=0,0,IF(YEAR(B1708)=$Q$1,MONTH(B1708)-$P$1+1,(YEAR(B1708)-$Q$1)*12-$P$1+1+MONTH(B1708)))</f>
        <v>0</v>
      </c>
      <c r="Q1708" s="402">
        <f t="shared" si="1706"/>
        <v>0</v>
      </c>
      <c r="R1708" s="356" t="e">
        <f t="shared" si="1325"/>
        <v>#N/A</v>
      </c>
      <c r="S1708" s="269" t="str">
        <f>IF(D1708="","",IF(OR(D1708=Plano!$A$1,D1708=Plano!$B$1),"entrada","saída"))</f>
        <v/>
      </c>
      <c r="T1708" s="406"/>
      <c r="U1708" s="406"/>
      <c r="V1708" s="269"/>
      <c r="W1708" s="269"/>
    </row>
    <row r="1709" spans="1:23" ht="12.75" customHeight="1" x14ac:dyDescent="0.2">
      <c r="A1709" s="289" t="str">
        <f t="shared" si="0"/>
        <v/>
      </c>
      <c r="B1709" s="290"/>
      <c r="C1709" s="404"/>
      <c r="D1709" s="291"/>
      <c r="E1709" s="291"/>
      <c r="F1709" s="292"/>
      <c r="G1709" s="291"/>
      <c r="H1709" s="291"/>
      <c r="I1709" s="293"/>
      <c r="J1709" s="291"/>
      <c r="K1709" s="291"/>
      <c r="L1709" s="293"/>
      <c r="M1709" s="291"/>
      <c r="N1709" s="289"/>
      <c r="O1709" s="358"/>
      <c r="P1709" s="402">
        <f t="shared" ref="P1709:Q1709" si="1707">IF(B1709=0,0,IF(YEAR(B1709)=$Q$1,MONTH(B1709)-$P$1+1,(YEAR(B1709)-$Q$1)*12-$P$1+1+MONTH(B1709)))</f>
        <v>0</v>
      </c>
      <c r="Q1709" s="402">
        <f t="shared" si="1707"/>
        <v>0</v>
      </c>
      <c r="R1709" s="356" t="e">
        <f t="shared" si="1325"/>
        <v>#N/A</v>
      </c>
      <c r="S1709" s="269" t="str">
        <f>IF(D1709="","",IF(OR(D1709=Plano!$A$1,D1709=Plano!$B$1),"entrada","saída"))</f>
        <v/>
      </c>
      <c r="T1709" s="406"/>
      <c r="U1709" s="406"/>
      <c r="V1709" s="269"/>
      <c r="W1709" s="269"/>
    </row>
    <row r="1710" spans="1:23" ht="12.75" customHeight="1" x14ac:dyDescent="0.2">
      <c r="A1710" s="289" t="str">
        <f t="shared" si="0"/>
        <v/>
      </c>
      <c r="B1710" s="290"/>
      <c r="C1710" s="404"/>
      <c r="D1710" s="291"/>
      <c r="E1710" s="291"/>
      <c r="F1710" s="292"/>
      <c r="G1710" s="291"/>
      <c r="H1710" s="291"/>
      <c r="I1710" s="293"/>
      <c r="J1710" s="291"/>
      <c r="K1710" s="291"/>
      <c r="L1710" s="293"/>
      <c r="M1710" s="291"/>
      <c r="N1710" s="289"/>
      <c r="O1710" s="358"/>
      <c r="P1710" s="402">
        <f t="shared" ref="P1710:Q1710" si="1708">IF(B1710=0,0,IF(YEAR(B1710)=$Q$1,MONTH(B1710)-$P$1+1,(YEAR(B1710)-$Q$1)*12-$P$1+1+MONTH(B1710)))</f>
        <v>0</v>
      </c>
      <c r="Q1710" s="402">
        <f t="shared" si="1708"/>
        <v>0</v>
      </c>
      <c r="R1710" s="356" t="e">
        <f t="shared" si="1325"/>
        <v>#N/A</v>
      </c>
      <c r="S1710" s="269" t="str">
        <f>IF(D1710="","",IF(OR(D1710=Plano!$A$1,D1710=Plano!$B$1),"entrada","saída"))</f>
        <v/>
      </c>
      <c r="T1710" s="406"/>
      <c r="U1710" s="406"/>
      <c r="V1710" s="269"/>
      <c r="W1710" s="269"/>
    </row>
    <row r="1711" spans="1:23" ht="12.75" customHeight="1" x14ac:dyDescent="0.2">
      <c r="A1711" s="289" t="str">
        <f t="shared" si="0"/>
        <v/>
      </c>
      <c r="B1711" s="290"/>
      <c r="C1711" s="404"/>
      <c r="D1711" s="291"/>
      <c r="E1711" s="291"/>
      <c r="F1711" s="292"/>
      <c r="G1711" s="291"/>
      <c r="H1711" s="291"/>
      <c r="I1711" s="293"/>
      <c r="J1711" s="291"/>
      <c r="K1711" s="291"/>
      <c r="L1711" s="293"/>
      <c r="M1711" s="291"/>
      <c r="N1711" s="289"/>
      <c r="O1711" s="358"/>
      <c r="P1711" s="402">
        <f t="shared" ref="P1711:Q1711" si="1709">IF(B1711=0,0,IF(YEAR(B1711)=$Q$1,MONTH(B1711)-$P$1+1,(YEAR(B1711)-$Q$1)*12-$P$1+1+MONTH(B1711)))</f>
        <v>0</v>
      </c>
      <c r="Q1711" s="402">
        <f t="shared" si="1709"/>
        <v>0</v>
      </c>
      <c r="R1711" s="356" t="e">
        <f t="shared" si="1325"/>
        <v>#N/A</v>
      </c>
      <c r="S1711" s="269" t="str">
        <f>IF(D1711="","",IF(OR(D1711=Plano!$A$1,D1711=Plano!$B$1),"entrada","saída"))</f>
        <v/>
      </c>
      <c r="T1711" s="406"/>
      <c r="U1711" s="406"/>
      <c r="V1711" s="269"/>
      <c r="W1711" s="269"/>
    </row>
    <row r="1712" spans="1:23" ht="12.75" customHeight="1" x14ac:dyDescent="0.2">
      <c r="A1712" s="289" t="str">
        <f t="shared" si="0"/>
        <v/>
      </c>
      <c r="B1712" s="290"/>
      <c r="C1712" s="404"/>
      <c r="D1712" s="291"/>
      <c r="E1712" s="291"/>
      <c r="F1712" s="292"/>
      <c r="G1712" s="291"/>
      <c r="H1712" s="291"/>
      <c r="I1712" s="293"/>
      <c r="J1712" s="291"/>
      <c r="K1712" s="291"/>
      <c r="L1712" s="293"/>
      <c r="M1712" s="291"/>
      <c r="N1712" s="289"/>
      <c r="O1712" s="358"/>
      <c r="P1712" s="402">
        <f t="shared" ref="P1712:Q1712" si="1710">IF(B1712=0,0,IF(YEAR(B1712)=$Q$1,MONTH(B1712)-$P$1+1,(YEAR(B1712)-$Q$1)*12-$P$1+1+MONTH(B1712)))</f>
        <v>0</v>
      </c>
      <c r="Q1712" s="402">
        <f t="shared" si="1710"/>
        <v>0</v>
      </c>
      <c r="R1712" s="356" t="e">
        <f t="shared" si="1325"/>
        <v>#N/A</v>
      </c>
      <c r="S1712" s="269" t="str">
        <f>IF(D1712="","",IF(OR(D1712=Plano!$A$1,D1712=Plano!$B$1),"entrada","saída"))</f>
        <v/>
      </c>
      <c r="T1712" s="406"/>
      <c r="U1712" s="406"/>
      <c r="V1712" s="269"/>
      <c r="W1712" s="269"/>
    </row>
    <row r="1713" spans="1:23" ht="12.75" customHeight="1" x14ac:dyDescent="0.2">
      <c r="A1713" s="289" t="str">
        <f t="shared" si="0"/>
        <v/>
      </c>
      <c r="B1713" s="290"/>
      <c r="C1713" s="404"/>
      <c r="D1713" s="291"/>
      <c r="E1713" s="291"/>
      <c r="F1713" s="292"/>
      <c r="G1713" s="291"/>
      <c r="H1713" s="291"/>
      <c r="I1713" s="293"/>
      <c r="J1713" s="291"/>
      <c r="K1713" s="291"/>
      <c r="L1713" s="293"/>
      <c r="M1713" s="291"/>
      <c r="N1713" s="289"/>
      <c r="O1713" s="358"/>
      <c r="P1713" s="402">
        <f t="shared" ref="P1713:Q1713" si="1711">IF(B1713=0,0,IF(YEAR(B1713)=$Q$1,MONTH(B1713)-$P$1+1,(YEAR(B1713)-$Q$1)*12-$P$1+1+MONTH(B1713)))</f>
        <v>0</v>
      </c>
      <c r="Q1713" s="402">
        <f t="shared" si="1711"/>
        <v>0</v>
      </c>
      <c r="R1713" s="356" t="e">
        <f t="shared" si="1325"/>
        <v>#N/A</v>
      </c>
      <c r="S1713" s="269" t="str">
        <f>IF(D1713="","",IF(OR(D1713=Plano!$A$1,D1713=Plano!$B$1),"entrada","saída"))</f>
        <v/>
      </c>
      <c r="T1713" s="406"/>
      <c r="U1713" s="406"/>
      <c r="V1713" s="269"/>
      <c r="W1713" s="269"/>
    </row>
    <row r="1714" spans="1:23" ht="12.75" customHeight="1" x14ac:dyDescent="0.2">
      <c r="A1714" s="289" t="str">
        <f t="shared" si="0"/>
        <v/>
      </c>
      <c r="B1714" s="290"/>
      <c r="C1714" s="404"/>
      <c r="D1714" s="291"/>
      <c r="E1714" s="291"/>
      <c r="F1714" s="292"/>
      <c r="G1714" s="291"/>
      <c r="H1714" s="291"/>
      <c r="I1714" s="293"/>
      <c r="J1714" s="291"/>
      <c r="K1714" s="291"/>
      <c r="L1714" s="293"/>
      <c r="M1714" s="291"/>
      <c r="N1714" s="289"/>
      <c r="O1714" s="358"/>
      <c r="P1714" s="402">
        <f t="shared" ref="P1714:Q1714" si="1712">IF(B1714=0,0,IF(YEAR(B1714)=$Q$1,MONTH(B1714)-$P$1+1,(YEAR(B1714)-$Q$1)*12-$P$1+1+MONTH(B1714)))</f>
        <v>0</v>
      </c>
      <c r="Q1714" s="402">
        <f t="shared" si="1712"/>
        <v>0</v>
      </c>
      <c r="R1714" s="356" t="e">
        <f t="shared" si="1325"/>
        <v>#N/A</v>
      </c>
      <c r="S1714" s="269" t="str">
        <f>IF(D1714="","",IF(OR(D1714=Plano!$A$1,D1714=Plano!$B$1),"entrada","saída"))</f>
        <v/>
      </c>
      <c r="T1714" s="406"/>
      <c r="U1714" s="406"/>
      <c r="V1714" s="269"/>
      <c r="W1714" s="269"/>
    </row>
    <row r="1715" spans="1:23" ht="12.75" customHeight="1" x14ac:dyDescent="0.2">
      <c r="A1715" s="289" t="str">
        <f t="shared" si="0"/>
        <v/>
      </c>
      <c r="B1715" s="290"/>
      <c r="C1715" s="404"/>
      <c r="D1715" s="291"/>
      <c r="E1715" s="291"/>
      <c r="F1715" s="292"/>
      <c r="G1715" s="291"/>
      <c r="H1715" s="291"/>
      <c r="I1715" s="293"/>
      <c r="J1715" s="291"/>
      <c r="K1715" s="291"/>
      <c r="L1715" s="293"/>
      <c r="M1715" s="291"/>
      <c r="N1715" s="289"/>
      <c r="O1715" s="358"/>
      <c r="P1715" s="402">
        <f t="shared" ref="P1715:Q1715" si="1713">IF(B1715=0,0,IF(YEAR(B1715)=$Q$1,MONTH(B1715)-$P$1+1,(YEAR(B1715)-$Q$1)*12-$P$1+1+MONTH(B1715)))</f>
        <v>0</v>
      </c>
      <c r="Q1715" s="402">
        <f t="shared" si="1713"/>
        <v>0</v>
      </c>
      <c r="R1715" s="356" t="e">
        <f t="shared" si="1325"/>
        <v>#N/A</v>
      </c>
      <c r="S1715" s="269" t="str">
        <f>IF(D1715="","",IF(OR(D1715=Plano!$A$1,D1715=Plano!$B$1),"entrada","saída"))</f>
        <v/>
      </c>
      <c r="T1715" s="406"/>
      <c r="U1715" s="406"/>
      <c r="V1715" s="269"/>
      <c r="W1715" s="269"/>
    </row>
    <row r="1716" spans="1:23" ht="12.75" customHeight="1" x14ac:dyDescent="0.2">
      <c r="A1716" s="289" t="str">
        <f t="shared" si="0"/>
        <v/>
      </c>
      <c r="B1716" s="290"/>
      <c r="C1716" s="404"/>
      <c r="D1716" s="291"/>
      <c r="E1716" s="291"/>
      <c r="F1716" s="292"/>
      <c r="G1716" s="291"/>
      <c r="H1716" s="291"/>
      <c r="I1716" s="293"/>
      <c r="J1716" s="291"/>
      <c r="K1716" s="291"/>
      <c r="L1716" s="293"/>
      <c r="M1716" s="291"/>
      <c r="N1716" s="289"/>
      <c r="O1716" s="358"/>
      <c r="P1716" s="402">
        <f t="shared" ref="P1716:Q1716" si="1714">IF(B1716=0,0,IF(YEAR(B1716)=$Q$1,MONTH(B1716)-$P$1+1,(YEAR(B1716)-$Q$1)*12-$P$1+1+MONTH(B1716)))</f>
        <v>0</v>
      </c>
      <c r="Q1716" s="402">
        <f t="shared" si="1714"/>
        <v>0</v>
      </c>
      <c r="R1716" s="356" t="e">
        <f t="shared" si="1325"/>
        <v>#N/A</v>
      </c>
      <c r="S1716" s="269" t="str">
        <f>IF(D1716="","",IF(OR(D1716=Plano!$A$1,D1716=Plano!$B$1),"entrada","saída"))</f>
        <v/>
      </c>
      <c r="T1716" s="406"/>
      <c r="U1716" s="406"/>
      <c r="V1716" s="269"/>
      <c r="W1716" s="269"/>
    </row>
    <row r="1717" spans="1:23" ht="12.75" customHeight="1" x14ac:dyDescent="0.2">
      <c r="A1717" s="289" t="str">
        <f t="shared" si="0"/>
        <v/>
      </c>
      <c r="B1717" s="290"/>
      <c r="C1717" s="404"/>
      <c r="D1717" s="291"/>
      <c r="E1717" s="291"/>
      <c r="F1717" s="292"/>
      <c r="G1717" s="291"/>
      <c r="H1717" s="291"/>
      <c r="I1717" s="293"/>
      <c r="J1717" s="291"/>
      <c r="K1717" s="291"/>
      <c r="L1717" s="293"/>
      <c r="M1717" s="291"/>
      <c r="N1717" s="289"/>
      <c r="O1717" s="358"/>
      <c r="P1717" s="402">
        <f t="shared" ref="P1717:Q1717" si="1715">IF(B1717=0,0,IF(YEAR(B1717)=$Q$1,MONTH(B1717)-$P$1+1,(YEAR(B1717)-$Q$1)*12-$P$1+1+MONTH(B1717)))</f>
        <v>0</v>
      </c>
      <c r="Q1717" s="402">
        <f t="shared" si="1715"/>
        <v>0</v>
      </c>
      <c r="R1717" s="356" t="e">
        <f t="shared" si="1325"/>
        <v>#N/A</v>
      </c>
      <c r="S1717" s="269" t="str">
        <f>IF(D1717="","",IF(OR(D1717=Plano!$A$1,D1717=Plano!$B$1),"entrada","saída"))</f>
        <v/>
      </c>
      <c r="T1717" s="406"/>
      <c r="U1717" s="406"/>
      <c r="V1717" s="269"/>
      <c r="W1717" s="269"/>
    </row>
    <row r="1718" spans="1:23" ht="12.75" customHeight="1" x14ac:dyDescent="0.2">
      <c r="A1718" s="289" t="str">
        <f t="shared" si="0"/>
        <v/>
      </c>
      <c r="B1718" s="290"/>
      <c r="C1718" s="404"/>
      <c r="D1718" s="291"/>
      <c r="E1718" s="291"/>
      <c r="F1718" s="292"/>
      <c r="G1718" s="291"/>
      <c r="H1718" s="291"/>
      <c r="I1718" s="293"/>
      <c r="J1718" s="291"/>
      <c r="K1718" s="291"/>
      <c r="L1718" s="293"/>
      <c r="M1718" s="291"/>
      <c r="N1718" s="289"/>
      <c r="O1718" s="358"/>
      <c r="P1718" s="402">
        <f t="shared" ref="P1718:Q1718" si="1716">IF(B1718=0,0,IF(YEAR(B1718)=$Q$1,MONTH(B1718)-$P$1+1,(YEAR(B1718)-$Q$1)*12-$P$1+1+MONTH(B1718)))</f>
        <v>0</v>
      </c>
      <c r="Q1718" s="402">
        <f t="shared" si="1716"/>
        <v>0</v>
      </c>
      <c r="R1718" s="356" t="e">
        <f t="shared" si="1325"/>
        <v>#N/A</v>
      </c>
      <c r="S1718" s="269" t="str">
        <f>IF(D1718="","",IF(OR(D1718=Plano!$A$1,D1718=Plano!$B$1),"entrada","saída"))</f>
        <v/>
      </c>
      <c r="T1718" s="406"/>
      <c r="U1718" s="406"/>
      <c r="V1718" s="269"/>
      <c r="W1718" s="269"/>
    </row>
    <row r="1719" spans="1:23" ht="12.75" customHeight="1" x14ac:dyDescent="0.2">
      <c r="A1719" s="289" t="str">
        <f t="shared" si="0"/>
        <v/>
      </c>
      <c r="B1719" s="290"/>
      <c r="C1719" s="404"/>
      <c r="D1719" s="291"/>
      <c r="E1719" s="291"/>
      <c r="F1719" s="292"/>
      <c r="G1719" s="291"/>
      <c r="H1719" s="291"/>
      <c r="I1719" s="293"/>
      <c r="J1719" s="291"/>
      <c r="K1719" s="291"/>
      <c r="L1719" s="293"/>
      <c r="M1719" s="291"/>
      <c r="N1719" s="289"/>
      <c r="O1719" s="358"/>
      <c r="P1719" s="402">
        <f t="shared" ref="P1719:Q1719" si="1717">IF(B1719=0,0,IF(YEAR(B1719)=$Q$1,MONTH(B1719)-$P$1+1,(YEAR(B1719)-$Q$1)*12-$P$1+1+MONTH(B1719)))</f>
        <v>0</v>
      </c>
      <c r="Q1719" s="402">
        <f t="shared" si="1717"/>
        <v>0</v>
      </c>
      <c r="R1719" s="356" t="e">
        <f t="shared" si="1325"/>
        <v>#N/A</v>
      </c>
      <c r="S1719" s="269" t="str">
        <f>IF(D1719="","",IF(OR(D1719=Plano!$A$1,D1719=Plano!$B$1),"entrada","saída"))</f>
        <v/>
      </c>
      <c r="T1719" s="406"/>
      <c r="U1719" s="406"/>
      <c r="V1719" s="269"/>
      <c r="W1719" s="269"/>
    </row>
    <row r="1720" spans="1:23" ht="12.75" customHeight="1" x14ac:dyDescent="0.2">
      <c r="A1720" s="289" t="str">
        <f t="shared" si="0"/>
        <v/>
      </c>
      <c r="B1720" s="290"/>
      <c r="C1720" s="404"/>
      <c r="D1720" s="291"/>
      <c r="E1720" s="291"/>
      <c r="F1720" s="292"/>
      <c r="G1720" s="291"/>
      <c r="H1720" s="291"/>
      <c r="I1720" s="293"/>
      <c r="J1720" s="291"/>
      <c r="K1720" s="291"/>
      <c r="L1720" s="293"/>
      <c r="M1720" s="291"/>
      <c r="N1720" s="289"/>
      <c r="O1720" s="358"/>
      <c r="P1720" s="402">
        <f t="shared" ref="P1720:Q1720" si="1718">IF(B1720=0,0,IF(YEAR(B1720)=$Q$1,MONTH(B1720)-$P$1+1,(YEAR(B1720)-$Q$1)*12-$P$1+1+MONTH(B1720)))</f>
        <v>0</v>
      </c>
      <c r="Q1720" s="402">
        <f t="shared" si="1718"/>
        <v>0</v>
      </c>
      <c r="R1720" s="356" t="e">
        <f t="shared" si="1325"/>
        <v>#N/A</v>
      </c>
      <c r="S1720" s="269" t="str">
        <f>IF(D1720="","",IF(OR(D1720=Plano!$A$1,D1720=Plano!$B$1),"entrada","saída"))</f>
        <v/>
      </c>
      <c r="T1720" s="406"/>
      <c r="U1720" s="406"/>
      <c r="V1720" s="269"/>
      <c r="W1720" s="269"/>
    </row>
    <row r="1721" spans="1:23" ht="12.75" customHeight="1" x14ac:dyDescent="0.2">
      <c r="A1721" s="289" t="str">
        <f t="shared" si="0"/>
        <v/>
      </c>
      <c r="B1721" s="290"/>
      <c r="C1721" s="404"/>
      <c r="D1721" s="291"/>
      <c r="E1721" s="291"/>
      <c r="F1721" s="292"/>
      <c r="G1721" s="291"/>
      <c r="H1721" s="291"/>
      <c r="I1721" s="293"/>
      <c r="J1721" s="291"/>
      <c r="K1721" s="291"/>
      <c r="L1721" s="293"/>
      <c r="M1721" s="291"/>
      <c r="N1721" s="289"/>
      <c r="O1721" s="358"/>
      <c r="P1721" s="402">
        <f t="shared" ref="P1721:Q1721" si="1719">IF(B1721=0,0,IF(YEAR(B1721)=$Q$1,MONTH(B1721)-$P$1+1,(YEAR(B1721)-$Q$1)*12-$P$1+1+MONTH(B1721)))</f>
        <v>0</v>
      </c>
      <c r="Q1721" s="402">
        <f t="shared" si="1719"/>
        <v>0</v>
      </c>
      <c r="R1721" s="356" t="e">
        <f t="shared" si="1325"/>
        <v>#N/A</v>
      </c>
      <c r="S1721" s="269" t="str">
        <f>IF(D1721="","",IF(OR(D1721=Plano!$A$1,D1721=Plano!$B$1),"entrada","saída"))</f>
        <v/>
      </c>
      <c r="T1721" s="406"/>
      <c r="U1721" s="406"/>
      <c r="V1721" s="269"/>
      <c r="W1721" s="269"/>
    </row>
    <row r="1722" spans="1:23" ht="12.75" customHeight="1" x14ac:dyDescent="0.2">
      <c r="A1722" s="289" t="str">
        <f t="shared" si="0"/>
        <v/>
      </c>
      <c r="B1722" s="290"/>
      <c r="C1722" s="404"/>
      <c r="D1722" s="291"/>
      <c r="E1722" s="291"/>
      <c r="F1722" s="292"/>
      <c r="G1722" s="291"/>
      <c r="H1722" s="291"/>
      <c r="I1722" s="293"/>
      <c r="J1722" s="291"/>
      <c r="K1722" s="291"/>
      <c r="L1722" s="293"/>
      <c r="M1722" s="291"/>
      <c r="N1722" s="289"/>
      <c r="O1722" s="358"/>
      <c r="P1722" s="402">
        <f t="shared" ref="P1722:Q1722" si="1720">IF(B1722=0,0,IF(YEAR(B1722)=$Q$1,MONTH(B1722)-$P$1+1,(YEAR(B1722)-$Q$1)*12-$P$1+1+MONTH(B1722)))</f>
        <v>0</v>
      </c>
      <c r="Q1722" s="402">
        <f t="shared" si="1720"/>
        <v>0</v>
      </c>
      <c r="R1722" s="356" t="e">
        <f t="shared" si="1325"/>
        <v>#N/A</v>
      </c>
      <c r="S1722" s="269" t="str">
        <f>IF(D1722="","",IF(OR(D1722=Plano!$A$1,D1722=Plano!$B$1),"entrada","saída"))</f>
        <v/>
      </c>
      <c r="T1722" s="406"/>
      <c r="U1722" s="406"/>
      <c r="V1722" s="269"/>
      <c r="W1722" s="269"/>
    </row>
    <row r="1723" spans="1:23" ht="12.75" customHeight="1" x14ac:dyDescent="0.2">
      <c r="A1723" s="289" t="str">
        <f t="shared" si="0"/>
        <v/>
      </c>
      <c r="B1723" s="290"/>
      <c r="C1723" s="404"/>
      <c r="D1723" s="291"/>
      <c r="E1723" s="291"/>
      <c r="F1723" s="292"/>
      <c r="G1723" s="291"/>
      <c r="H1723" s="291"/>
      <c r="I1723" s="293"/>
      <c r="J1723" s="291"/>
      <c r="K1723" s="291"/>
      <c r="L1723" s="293"/>
      <c r="M1723" s="291"/>
      <c r="N1723" s="289"/>
      <c r="O1723" s="358"/>
      <c r="P1723" s="402">
        <f t="shared" ref="P1723:Q1723" si="1721">IF(B1723=0,0,IF(YEAR(B1723)=$Q$1,MONTH(B1723)-$P$1+1,(YEAR(B1723)-$Q$1)*12-$P$1+1+MONTH(B1723)))</f>
        <v>0</v>
      </c>
      <c r="Q1723" s="402">
        <f t="shared" si="1721"/>
        <v>0</v>
      </c>
      <c r="R1723" s="356" t="e">
        <f t="shared" si="1325"/>
        <v>#N/A</v>
      </c>
      <c r="S1723" s="269" t="str">
        <f>IF(D1723="","",IF(OR(D1723=Plano!$A$1,D1723=Plano!$B$1),"entrada","saída"))</f>
        <v/>
      </c>
      <c r="T1723" s="406"/>
      <c r="U1723" s="406"/>
      <c r="V1723" s="269"/>
      <c r="W1723" s="269"/>
    </row>
    <row r="1724" spans="1:23" ht="12.75" customHeight="1" x14ac:dyDescent="0.2">
      <c r="A1724" s="289" t="str">
        <f t="shared" si="0"/>
        <v/>
      </c>
      <c r="B1724" s="290"/>
      <c r="C1724" s="404"/>
      <c r="D1724" s="291"/>
      <c r="E1724" s="291"/>
      <c r="F1724" s="292"/>
      <c r="G1724" s="291"/>
      <c r="H1724" s="291"/>
      <c r="I1724" s="293"/>
      <c r="J1724" s="291"/>
      <c r="K1724" s="291"/>
      <c r="L1724" s="293"/>
      <c r="M1724" s="291"/>
      <c r="N1724" s="289"/>
      <c r="O1724" s="358"/>
      <c r="P1724" s="402">
        <f t="shared" ref="P1724:Q1724" si="1722">IF(B1724=0,0,IF(YEAR(B1724)=$Q$1,MONTH(B1724)-$P$1+1,(YEAR(B1724)-$Q$1)*12-$P$1+1+MONTH(B1724)))</f>
        <v>0</v>
      </c>
      <c r="Q1724" s="402">
        <f t="shared" si="1722"/>
        <v>0</v>
      </c>
      <c r="R1724" s="356" t="e">
        <f t="shared" si="1325"/>
        <v>#N/A</v>
      </c>
      <c r="S1724" s="269" t="str">
        <f>IF(D1724="","",IF(OR(D1724=Plano!$A$1,D1724=Plano!$B$1),"entrada","saída"))</f>
        <v/>
      </c>
      <c r="T1724" s="406"/>
      <c r="U1724" s="406"/>
      <c r="V1724" s="269"/>
      <c r="W1724" s="269"/>
    </row>
    <row r="1725" spans="1:23" ht="12.75" customHeight="1" x14ac:dyDescent="0.2">
      <c r="A1725" s="289" t="str">
        <f t="shared" si="0"/>
        <v/>
      </c>
      <c r="B1725" s="290"/>
      <c r="C1725" s="404"/>
      <c r="D1725" s="291"/>
      <c r="E1725" s="291"/>
      <c r="F1725" s="292"/>
      <c r="G1725" s="291"/>
      <c r="H1725" s="291"/>
      <c r="I1725" s="293"/>
      <c r="J1725" s="291"/>
      <c r="K1725" s="291"/>
      <c r="L1725" s="293"/>
      <c r="M1725" s="291"/>
      <c r="N1725" s="289"/>
      <c r="O1725" s="358"/>
      <c r="P1725" s="402">
        <f t="shared" ref="P1725:Q1725" si="1723">IF(B1725=0,0,IF(YEAR(B1725)=$Q$1,MONTH(B1725)-$P$1+1,(YEAR(B1725)-$Q$1)*12-$P$1+1+MONTH(B1725)))</f>
        <v>0</v>
      </c>
      <c r="Q1725" s="402">
        <f t="shared" si="1723"/>
        <v>0</v>
      </c>
      <c r="R1725" s="356" t="e">
        <f t="shared" si="1325"/>
        <v>#N/A</v>
      </c>
      <c r="S1725" s="269" t="str">
        <f>IF(D1725="","",IF(OR(D1725=Plano!$A$1,D1725=Plano!$B$1),"entrada","saída"))</f>
        <v/>
      </c>
      <c r="T1725" s="406"/>
      <c r="U1725" s="406"/>
      <c r="V1725" s="269"/>
      <c r="W1725" s="269"/>
    </row>
    <row r="1726" spans="1:23" ht="12.75" customHeight="1" x14ac:dyDescent="0.2">
      <c r="A1726" s="289" t="str">
        <f t="shared" si="0"/>
        <v/>
      </c>
      <c r="B1726" s="290"/>
      <c r="C1726" s="404"/>
      <c r="D1726" s="291"/>
      <c r="E1726" s="291"/>
      <c r="F1726" s="292"/>
      <c r="G1726" s="291"/>
      <c r="H1726" s="291"/>
      <c r="I1726" s="293"/>
      <c r="J1726" s="291"/>
      <c r="K1726" s="291"/>
      <c r="L1726" s="293"/>
      <c r="M1726" s="291"/>
      <c r="N1726" s="289"/>
      <c r="O1726" s="358"/>
      <c r="P1726" s="402">
        <f t="shared" ref="P1726:Q1726" si="1724">IF(B1726=0,0,IF(YEAR(B1726)=$Q$1,MONTH(B1726)-$P$1+1,(YEAR(B1726)-$Q$1)*12-$P$1+1+MONTH(B1726)))</f>
        <v>0</v>
      </c>
      <c r="Q1726" s="402">
        <f t="shared" si="1724"/>
        <v>0</v>
      </c>
      <c r="R1726" s="356" t="e">
        <f t="shared" si="1325"/>
        <v>#N/A</v>
      </c>
      <c r="S1726" s="269" t="str">
        <f>IF(D1726="","",IF(OR(D1726=Plano!$A$1,D1726=Plano!$B$1),"entrada","saída"))</f>
        <v/>
      </c>
      <c r="T1726" s="406"/>
      <c r="U1726" s="406"/>
      <c r="V1726" s="269"/>
      <c r="W1726" s="269"/>
    </row>
    <row r="1727" spans="1:23" ht="12.75" customHeight="1" x14ac:dyDescent="0.2">
      <c r="A1727" s="289" t="str">
        <f t="shared" si="0"/>
        <v/>
      </c>
      <c r="B1727" s="290"/>
      <c r="C1727" s="404"/>
      <c r="D1727" s="291"/>
      <c r="E1727" s="291"/>
      <c r="F1727" s="292"/>
      <c r="G1727" s="291"/>
      <c r="H1727" s="291"/>
      <c r="I1727" s="293"/>
      <c r="J1727" s="291"/>
      <c r="K1727" s="291"/>
      <c r="L1727" s="293"/>
      <c r="M1727" s="291"/>
      <c r="N1727" s="289"/>
      <c r="O1727" s="358"/>
      <c r="P1727" s="402">
        <f t="shared" ref="P1727:Q1727" si="1725">IF(B1727=0,0,IF(YEAR(B1727)=$Q$1,MONTH(B1727)-$P$1+1,(YEAR(B1727)-$Q$1)*12-$P$1+1+MONTH(B1727)))</f>
        <v>0</v>
      </c>
      <c r="Q1727" s="402">
        <f t="shared" si="1725"/>
        <v>0</v>
      </c>
      <c r="R1727" s="356" t="e">
        <f t="shared" si="1325"/>
        <v>#N/A</v>
      </c>
      <c r="S1727" s="269" t="str">
        <f>IF(D1727="","",IF(OR(D1727=Plano!$A$1,D1727=Plano!$B$1),"entrada","saída"))</f>
        <v/>
      </c>
      <c r="T1727" s="406"/>
      <c r="U1727" s="406"/>
      <c r="V1727" s="269"/>
      <c r="W1727" s="269"/>
    </row>
    <row r="1728" spans="1:23" ht="12.75" customHeight="1" x14ac:dyDescent="0.2">
      <c r="A1728" s="289" t="str">
        <f t="shared" si="0"/>
        <v/>
      </c>
      <c r="B1728" s="290"/>
      <c r="C1728" s="404"/>
      <c r="D1728" s="291"/>
      <c r="E1728" s="291"/>
      <c r="F1728" s="292"/>
      <c r="G1728" s="291"/>
      <c r="H1728" s="291"/>
      <c r="I1728" s="293"/>
      <c r="J1728" s="291"/>
      <c r="K1728" s="291"/>
      <c r="L1728" s="293"/>
      <c r="M1728" s="291"/>
      <c r="N1728" s="289"/>
      <c r="O1728" s="358"/>
      <c r="P1728" s="402">
        <f t="shared" ref="P1728:Q1728" si="1726">IF(B1728=0,0,IF(YEAR(B1728)=$Q$1,MONTH(B1728)-$P$1+1,(YEAR(B1728)-$Q$1)*12-$P$1+1+MONTH(B1728)))</f>
        <v>0</v>
      </c>
      <c r="Q1728" s="402">
        <f t="shared" si="1726"/>
        <v>0</v>
      </c>
      <c r="R1728" s="356" t="e">
        <f t="shared" si="1325"/>
        <v>#N/A</v>
      </c>
      <c r="S1728" s="269" t="str">
        <f>IF(D1728="","",IF(OR(D1728=Plano!$A$1,D1728=Plano!$B$1),"entrada","saída"))</f>
        <v/>
      </c>
      <c r="T1728" s="406"/>
      <c r="U1728" s="406"/>
      <c r="V1728" s="269"/>
      <c r="W1728" s="269"/>
    </row>
    <row r="1729" spans="1:23" ht="12.75" customHeight="1" x14ac:dyDescent="0.2">
      <c r="A1729" s="289" t="str">
        <f t="shared" si="0"/>
        <v/>
      </c>
      <c r="B1729" s="290"/>
      <c r="C1729" s="404"/>
      <c r="D1729" s="291"/>
      <c r="E1729" s="291"/>
      <c r="F1729" s="292"/>
      <c r="G1729" s="291"/>
      <c r="H1729" s="291"/>
      <c r="I1729" s="293"/>
      <c r="J1729" s="291"/>
      <c r="K1729" s="291"/>
      <c r="L1729" s="293"/>
      <c r="M1729" s="291"/>
      <c r="N1729" s="289"/>
      <c r="O1729" s="358"/>
      <c r="P1729" s="402">
        <f t="shared" ref="P1729:Q1729" si="1727">IF(B1729=0,0,IF(YEAR(B1729)=$Q$1,MONTH(B1729)-$P$1+1,(YEAR(B1729)-$Q$1)*12-$P$1+1+MONTH(B1729)))</f>
        <v>0</v>
      </c>
      <c r="Q1729" s="402">
        <f t="shared" si="1727"/>
        <v>0</v>
      </c>
      <c r="R1729" s="356" t="e">
        <f t="shared" si="1325"/>
        <v>#N/A</v>
      </c>
      <c r="S1729" s="269" t="str">
        <f>IF(D1729="","",IF(OR(D1729=Plano!$A$1,D1729=Plano!$B$1),"entrada","saída"))</f>
        <v/>
      </c>
      <c r="T1729" s="406"/>
      <c r="U1729" s="406"/>
      <c r="V1729" s="269"/>
      <c r="W1729" s="269"/>
    </row>
    <row r="1730" spans="1:23" ht="12.75" customHeight="1" x14ac:dyDescent="0.2">
      <c r="A1730" s="289" t="str">
        <f t="shared" si="0"/>
        <v/>
      </c>
      <c r="B1730" s="290"/>
      <c r="C1730" s="404"/>
      <c r="D1730" s="291"/>
      <c r="E1730" s="291"/>
      <c r="F1730" s="292"/>
      <c r="G1730" s="291"/>
      <c r="H1730" s="291"/>
      <c r="I1730" s="293"/>
      <c r="J1730" s="291"/>
      <c r="K1730" s="291"/>
      <c r="L1730" s="293"/>
      <c r="M1730" s="291"/>
      <c r="N1730" s="289"/>
      <c r="O1730" s="358"/>
      <c r="P1730" s="402">
        <f t="shared" ref="P1730:Q1730" si="1728">IF(B1730=0,0,IF(YEAR(B1730)=$Q$1,MONTH(B1730)-$P$1+1,(YEAR(B1730)-$Q$1)*12-$P$1+1+MONTH(B1730)))</f>
        <v>0</v>
      </c>
      <c r="Q1730" s="402">
        <f t="shared" si="1728"/>
        <v>0</v>
      </c>
      <c r="R1730" s="356" t="e">
        <f t="shared" si="1325"/>
        <v>#N/A</v>
      </c>
      <c r="S1730" s="269" t="str">
        <f>IF(D1730="","",IF(OR(D1730=Plano!$A$1,D1730=Plano!$B$1),"entrada","saída"))</f>
        <v/>
      </c>
      <c r="T1730" s="406"/>
      <c r="U1730" s="406"/>
      <c r="V1730" s="269"/>
      <c r="W1730" s="269"/>
    </row>
    <row r="1731" spans="1:23" ht="12.75" customHeight="1" x14ac:dyDescent="0.2">
      <c r="A1731" s="289" t="str">
        <f t="shared" si="0"/>
        <v/>
      </c>
      <c r="B1731" s="290"/>
      <c r="C1731" s="404"/>
      <c r="D1731" s="291"/>
      <c r="E1731" s="291"/>
      <c r="F1731" s="292"/>
      <c r="G1731" s="291"/>
      <c r="H1731" s="291"/>
      <c r="I1731" s="293"/>
      <c r="J1731" s="291"/>
      <c r="K1731" s="291"/>
      <c r="L1731" s="293"/>
      <c r="M1731" s="291"/>
      <c r="N1731" s="289"/>
      <c r="O1731" s="358"/>
      <c r="P1731" s="402">
        <f t="shared" ref="P1731:Q1731" si="1729">IF(B1731=0,0,IF(YEAR(B1731)=$Q$1,MONTH(B1731)-$P$1+1,(YEAR(B1731)-$Q$1)*12-$P$1+1+MONTH(B1731)))</f>
        <v>0</v>
      </c>
      <c r="Q1731" s="402">
        <f t="shared" si="1729"/>
        <v>0</v>
      </c>
      <c r="R1731" s="356" t="e">
        <f t="shared" si="1325"/>
        <v>#N/A</v>
      </c>
      <c r="S1731" s="269" t="str">
        <f>IF(D1731="","",IF(OR(D1731=Plano!$A$1,D1731=Plano!$B$1),"entrada","saída"))</f>
        <v/>
      </c>
      <c r="T1731" s="406"/>
      <c r="U1731" s="406"/>
      <c r="V1731" s="269"/>
      <c r="W1731" s="269"/>
    </row>
    <row r="1732" spans="1:23" ht="12.75" customHeight="1" x14ac:dyDescent="0.2">
      <c r="A1732" s="289" t="str">
        <f t="shared" si="0"/>
        <v/>
      </c>
      <c r="B1732" s="290"/>
      <c r="C1732" s="404"/>
      <c r="D1732" s="291"/>
      <c r="E1732" s="291"/>
      <c r="F1732" s="292"/>
      <c r="G1732" s="291"/>
      <c r="H1732" s="291"/>
      <c r="I1732" s="293"/>
      <c r="J1732" s="291"/>
      <c r="K1732" s="291"/>
      <c r="L1732" s="293"/>
      <c r="M1732" s="291"/>
      <c r="N1732" s="289"/>
      <c r="O1732" s="358"/>
      <c r="P1732" s="402">
        <f t="shared" ref="P1732:Q1732" si="1730">IF(B1732=0,0,IF(YEAR(B1732)=$Q$1,MONTH(B1732)-$P$1+1,(YEAR(B1732)-$Q$1)*12-$P$1+1+MONTH(B1732)))</f>
        <v>0</v>
      </c>
      <c r="Q1732" s="402">
        <f t="shared" si="1730"/>
        <v>0</v>
      </c>
      <c r="R1732" s="356" t="e">
        <f t="shared" si="1325"/>
        <v>#N/A</v>
      </c>
      <c r="S1732" s="269" t="str">
        <f>IF(D1732="","",IF(OR(D1732=Plano!$A$1,D1732=Plano!$B$1),"entrada","saída"))</f>
        <v/>
      </c>
      <c r="T1732" s="406"/>
      <c r="U1732" s="406"/>
      <c r="V1732" s="269"/>
      <c r="W1732" s="269"/>
    </row>
    <row r="1733" spans="1:23" ht="12.75" customHeight="1" x14ac:dyDescent="0.2">
      <c r="A1733" s="289" t="str">
        <f t="shared" si="0"/>
        <v/>
      </c>
      <c r="B1733" s="290"/>
      <c r="C1733" s="404"/>
      <c r="D1733" s="291"/>
      <c r="E1733" s="291"/>
      <c r="F1733" s="292"/>
      <c r="G1733" s="291"/>
      <c r="H1733" s="291"/>
      <c r="I1733" s="293"/>
      <c r="J1733" s="291"/>
      <c r="K1733" s="291"/>
      <c r="L1733" s="293"/>
      <c r="M1733" s="291"/>
      <c r="N1733" s="289"/>
      <c r="O1733" s="358"/>
      <c r="P1733" s="402">
        <f t="shared" ref="P1733:Q1733" si="1731">IF(B1733=0,0,IF(YEAR(B1733)=$Q$1,MONTH(B1733)-$P$1+1,(YEAR(B1733)-$Q$1)*12-$P$1+1+MONTH(B1733)))</f>
        <v>0</v>
      </c>
      <c r="Q1733" s="402">
        <f t="shared" si="1731"/>
        <v>0</v>
      </c>
      <c r="R1733" s="356" t="e">
        <f t="shared" si="1325"/>
        <v>#N/A</v>
      </c>
      <c r="S1733" s="269" t="str">
        <f>IF(D1733="","",IF(OR(D1733=Plano!$A$1,D1733=Plano!$B$1),"entrada","saída"))</f>
        <v/>
      </c>
      <c r="T1733" s="406"/>
      <c r="U1733" s="406"/>
      <c r="V1733" s="269"/>
      <c r="W1733" s="269"/>
    </row>
    <row r="1734" spans="1:23" ht="12.75" customHeight="1" x14ac:dyDescent="0.2">
      <c r="A1734" s="289" t="str">
        <f t="shared" si="0"/>
        <v/>
      </c>
      <c r="B1734" s="290"/>
      <c r="C1734" s="404"/>
      <c r="D1734" s="291"/>
      <c r="E1734" s="291"/>
      <c r="F1734" s="292"/>
      <c r="G1734" s="291"/>
      <c r="H1734" s="291"/>
      <c r="I1734" s="293"/>
      <c r="J1734" s="291"/>
      <c r="K1734" s="291"/>
      <c r="L1734" s="293"/>
      <c r="M1734" s="291"/>
      <c r="N1734" s="289"/>
      <c r="O1734" s="358"/>
      <c r="P1734" s="402">
        <f t="shared" ref="P1734:Q1734" si="1732">IF(B1734=0,0,IF(YEAR(B1734)=$Q$1,MONTH(B1734)-$P$1+1,(YEAR(B1734)-$Q$1)*12-$P$1+1+MONTH(B1734)))</f>
        <v>0</v>
      </c>
      <c r="Q1734" s="402">
        <f t="shared" si="1732"/>
        <v>0</v>
      </c>
      <c r="R1734" s="356" t="e">
        <f t="shared" si="1325"/>
        <v>#N/A</v>
      </c>
      <c r="S1734" s="269" t="str">
        <f>IF(D1734="","",IF(OR(D1734=Plano!$A$1,D1734=Plano!$B$1),"entrada","saída"))</f>
        <v/>
      </c>
      <c r="T1734" s="406"/>
      <c r="U1734" s="406"/>
      <c r="V1734" s="269"/>
      <c r="W1734" s="269"/>
    </row>
    <row r="1735" spans="1:23" ht="12.75" customHeight="1" x14ac:dyDescent="0.2">
      <c r="A1735" s="289" t="str">
        <f t="shared" si="0"/>
        <v/>
      </c>
      <c r="B1735" s="290"/>
      <c r="C1735" s="404"/>
      <c r="D1735" s="291"/>
      <c r="E1735" s="291"/>
      <c r="F1735" s="292"/>
      <c r="G1735" s="291"/>
      <c r="H1735" s="291"/>
      <c r="I1735" s="293"/>
      <c r="J1735" s="291"/>
      <c r="K1735" s="291"/>
      <c r="L1735" s="293"/>
      <c r="M1735" s="291"/>
      <c r="N1735" s="289"/>
      <c r="O1735" s="358"/>
      <c r="P1735" s="402">
        <f t="shared" ref="P1735:Q1735" si="1733">IF(B1735=0,0,IF(YEAR(B1735)=$Q$1,MONTH(B1735)-$P$1+1,(YEAR(B1735)-$Q$1)*12-$P$1+1+MONTH(B1735)))</f>
        <v>0</v>
      </c>
      <c r="Q1735" s="402">
        <f t="shared" si="1733"/>
        <v>0</v>
      </c>
      <c r="R1735" s="356" t="e">
        <f t="shared" si="1325"/>
        <v>#N/A</v>
      </c>
      <c r="S1735" s="269" t="str">
        <f>IF(D1735="","",IF(OR(D1735=Plano!$A$1,D1735=Plano!$B$1),"entrada","saída"))</f>
        <v/>
      </c>
      <c r="T1735" s="406"/>
      <c r="U1735" s="406"/>
      <c r="V1735" s="269"/>
      <c r="W1735" s="269"/>
    </row>
    <row r="1736" spans="1:23" ht="12.75" customHeight="1" x14ac:dyDescent="0.2">
      <c r="A1736" s="289" t="str">
        <f t="shared" si="0"/>
        <v/>
      </c>
      <c r="B1736" s="290"/>
      <c r="C1736" s="404"/>
      <c r="D1736" s="291"/>
      <c r="E1736" s="291"/>
      <c r="F1736" s="292"/>
      <c r="G1736" s="291"/>
      <c r="H1736" s="291"/>
      <c r="I1736" s="293"/>
      <c r="J1736" s="291"/>
      <c r="K1736" s="291"/>
      <c r="L1736" s="293"/>
      <c r="M1736" s="291"/>
      <c r="N1736" s="289"/>
      <c r="O1736" s="358"/>
      <c r="P1736" s="402">
        <f t="shared" ref="P1736:Q1736" si="1734">IF(B1736=0,0,IF(YEAR(B1736)=$Q$1,MONTH(B1736)-$P$1+1,(YEAR(B1736)-$Q$1)*12-$P$1+1+MONTH(B1736)))</f>
        <v>0</v>
      </c>
      <c r="Q1736" s="402">
        <f t="shared" si="1734"/>
        <v>0</v>
      </c>
      <c r="R1736" s="356" t="e">
        <f t="shared" si="1325"/>
        <v>#N/A</v>
      </c>
      <c r="S1736" s="269" t="str">
        <f>IF(D1736="","",IF(OR(D1736=Plano!$A$1,D1736=Plano!$B$1),"entrada","saída"))</f>
        <v/>
      </c>
      <c r="T1736" s="406"/>
      <c r="U1736" s="406"/>
      <c r="V1736" s="269"/>
      <c r="W1736" s="269"/>
    </row>
    <row r="1737" spans="1:23" ht="12.75" customHeight="1" x14ac:dyDescent="0.2">
      <c r="A1737" s="289" t="str">
        <f t="shared" si="0"/>
        <v/>
      </c>
      <c r="B1737" s="290"/>
      <c r="C1737" s="404"/>
      <c r="D1737" s="291"/>
      <c r="E1737" s="291"/>
      <c r="F1737" s="292"/>
      <c r="G1737" s="291"/>
      <c r="H1737" s="291"/>
      <c r="I1737" s="293"/>
      <c r="J1737" s="291"/>
      <c r="K1737" s="291"/>
      <c r="L1737" s="293"/>
      <c r="M1737" s="291"/>
      <c r="N1737" s="289"/>
      <c r="O1737" s="358"/>
      <c r="P1737" s="402">
        <f t="shared" ref="P1737:Q1737" si="1735">IF(B1737=0,0,IF(YEAR(B1737)=$Q$1,MONTH(B1737)-$P$1+1,(YEAR(B1737)-$Q$1)*12-$P$1+1+MONTH(B1737)))</f>
        <v>0</v>
      </c>
      <c r="Q1737" s="402">
        <f t="shared" si="1735"/>
        <v>0</v>
      </c>
      <c r="R1737" s="356" t="e">
        <f t="shared" si="1325"/>
        <v>#N/A</v>
      </c>
      <c r="S1737" s="269" t="str">
        <f>IF(D1737="","",IF(OR(D1737=Plano!$A$1,D1737=Plano!$B$1),"entrada","saída"))</f>
        <v/>
      </c>
      <c r="T1737" s="406"/>
      <c r="U1737" s="406"/>
      <c r="V1737" s="269"/>
      <c r="W1737" s="269"/>
    </row>
    <row r="1738" spans="1:23" ht="12.75" customHeight="1" x14ac:dyDescent="0.2">
      <c r="A1738" s="289" t="str">
        <f t="shared" si="0"/>
        <v/>
      </c>
      <c r="B1738" s="290"/>
      <c r="C1738" s="404"/>
      <c r="D1738" s="291"/>
      <c r="E1738" s="291"/>
      <c r="F1738" s="292"/>
      <c r="G1738" s="291"/>
      <c r="H1738" s="291"/>
      <c r="I1738" s="293"/>
      <c r="J1738" s="291"/>
      <c r="K1738" s="291"/>
      <c r="L1738" s="293"/>
      <c r="M1738" s="291"/>
      <c r="N1738" s="289"/>
      <c r="O1738" s="358"/>
      <c r="P1738" s="402">
        <f t="shared" ref="P1738:Q1738" si="1736">IF(B1738=0,0,IF(YEAR(B1738)=$Q$1,MONTH(B1738)-$P$1+1,(YEAR(B1738)-$Q$1)*12-$P$1+1+MONTH(B1738)))</f>
        <v>0</v>
      </c>
      <c r="Q1738" s="402">
        <f t="shared" si="1736"/>
        <v>0</v>
      </c>
      <c r="R1738" s="356" t="e">
        <f t="shared" si="1325"/>
        <v>#N/A</v>
      </c>
      <c r="S1738" s="269" t="str">
        <f>IF(D1738="","",IF(OR(D1738=Plano!$A$1,D1738=Plano!$B$1),"entrada","saída"))</f>
        <v/>
      </c>
      <c r="T1738" s="406"/>
      <c r="U1738" s="406"/>
      <c r="V1738" s="269"/>
      <c r="W1738" s="269"/>
    </row>
    <row r="1739" spans="1:23" ht="12.75" customHeight="1" x14ac:dyDescent="0.2">
      <c r="A1739" s="289" t="str">
        <f t="shared" si="0"/>
        <v/>
      </c>
      <c r="B1739" s="290"/>
      <c r="C1739" s="404"/>
      <c r="D1739" s="291"/>
      <c r="E1739" s="291"/>
      <c r="F1739" s="292"/>
      <c r="G1739" s="291"/>
      <c r="H1739" s="291"/>
      <c r="I1739" s="293"/>
      <c r="J1739" s="291"/>
      <c r="K1739" s="291"/>
      <c r="L1739" s="293"/>
      <c r="M1739" s="291"/>
      <c r="N1739" s="289"/>
      <c r="O1739" s="358"/>
      <c r="P1739" s="402">
        <f t="shared" ref="P1739:Q1739" si="1737">IF(B1739=0,0,IF(YEAR(B1739)=$Q$1,MONTH(B1739)-$P$1+1,(YEAR(B1739)-$Q$1)*12-$P$1+1+MONTH(B1739)))</f>
        <v>0</v>
      </c>
      <c r="Q1739" s="402">
        <f t="shared" si="1737"/>
        <v>0</v>
      </c>
      <c r="R1739" s="356" t="e">
        <f t="shared" si="1325"/>
        <v>#N/A</v>
      </c>
      <c r="S1739" s="269" t="str">
        <f>IF(D1739="","",IF(OR(D1739=Plano!$A$1,D1739=Plano!$B$1),"entrada","saída"))</f>
        <v/>
      </c>
      <c r="T1739" s="406"/>
      <c r="U1739" s="406"/>
      <c r="V1739" s="269"/>
      <c r="W1739" s="269"/>
    </row>
    <row r="1740" spans="1:23" ht="12.75" customHeight="1" x14ac:dyDescent="0.2">
      <c r="A1740" s="289" t="str">
        <f t="shared" si="0"/>
        <v/>
      </c>
      <c r="B1740" s="290"/>
      <c r="C1740" s="404"/>
      <c r="D1740" s="291"/>
      <c r="E1740" s="291"/>
      <c r="F1740" s="292"/>
      <c r="G1740" s="291"/>
      <c r="H1740" s="291"/>
      <c r="I1740" s="293"/>
      <c r="J1740" s="291"/>
      <c r="K1740" s="291"/>
      <c r="L1740" s="293"/>
      <c r="M1740" s="291"/>
      <c r="N1740" s="289"/>
      <c r="O1740" s="358"/>
      <c r="P1740" s="402">
        <f t="shared" ref="P1740:Q1740" si="1738">IF(B1740=0,0,IF(YEAR(B1740)=$Q$1,MONTH(B1740)-$P$1+1,(YEAR(B1740)-$Q$1)*12-$P$1+1+MONTH(B1740)))</f>
        <v>0</v>
      </c>
      <c r="Q1740" s="402">
        <f t="shared" si="1738"/>
        <v>0</v>
      </c>
      <c r="R1740" s="356" t="e">
        <f t="shared" si="1325"/>
        <v>#N/A</v>
      </c>
      <c r="S1740" s="269" t="str">
        <f>IF(D1740="","",IF(OR(D1740=Plano!$A$1,D1740=Plano!$B$1),"entrada","saída"))</f>
        <v/>
      </c>
      <c r="T1740" s="406"/>
      <c r="U1740" s="406"/>
      <c r="V1740" s="269"/>
      <c r="W1740" s="269"/>
    </row>
    <row r="1741" spans="1:23" ht="12.75" customHeight="1" x14ac:dyDescent="0.2">
      <c r="A1741" s="289" t="str">
        <f t="shared" si="0"/>
        <v/>
      </c>
      <c r="B1741" s="290"/>
      <c r="C1741" s="404"/>
      <c r="D1741" s="291"/>
      <c r="E1741" s="291"/>
      <c r="F1741" s="292"/>
      <c r="G1741" s="291"/>
      <c r="H1741" s="291"/>
      <c r="I1741" s="293"/>
      <c r="J1741" s="291"/>
      <c r="K1741" s="291"/>
      <c r="L1741" s="293"/>
      <c r="M1741" s="291"/>
      <c r="N1741" s="289"/>
      <c r="O1741" s="358"/>
      <c r="P1741" s="402">
        <f t="shared" ref="P1741:Q1741" si="1739">IF(B1741=0,0,IF(YEAR(B1741)=$Q$1,MONTH(B1741)-$P$1+1,(YEAR(B1741)-$Q$1)*12-$P$1+1+MONTH(B1741)))</f>
        <v>0</v>
      </c>
      <c r="Q1741" s="402">
        <f t="shared" si="1739"/>
        <v>0</v>
      </c>
      <c r="R1741" s="356" t="e">
        <f t="shared" si="1325"/>
        <v>#N/A</v>
      </c>
      <c r="S1741" s="269" t="str">
        <f>IF(D1741="","",IF(OR(D1741=Plano!$A$1,D1741=Plano!$B$1),"entrada","saída"))</f>
        <v/>
      </c>
      <c r="T1741" s="406"/>
      <c r="U1741" s="406"/>
      <c r="V1741" s="269"/>
      <c r="W1741" s="269"/>
    </row>
    <row r="1742" spans="1:23" ht="12.75" customHeight="1" x14ac:dyDescent="0.2">
      <c r="A1742" s="289" t="str">
        <f t="shared" si="0"/>
        <v/>
      </c>
      <c r="B1742" s="290"/>
      <c r="C1742" s="404"/>
      <c r="D1742" s="291"/>
      <c r="E1742" s="291"/>
      <c r="F1742" s="292"/>
      <c r="G1742" s="291"/>
      <c r="H1742" s="291"/>
      <c r="I1742" s="293"/>
      <c r="J1742" s="291"/>
      <c r="K1742" s="291"/>
      <c r="L1742" s="293"/>
      <c r="M1742" s="291"/>
      <c r="N1742" s="289"/>
      <c r="O1742" s="358"/>
      <c r="P1742" s="402">
        <f t="shared" ref="P1742:Q1742" si="1740">IF(B1742=0,0,IF(YEAR(B1742)=$Q$1,MONTH(B1742)-$P$1+1,(YEAR(B1742)-$Q$1)*12-$P$1+1+MONTH(B1742)))</f>
        <v>0</v>
      </c>
      <c r="Q1742" s="402">
        <f t="shared" si="1740"/>
        <v>0</v>
      </c>
      <c r="R1742" s="356" t="e">
        <f t="shared" si="1325"/>
        <v>#N/A</v>
      </c>
      <c r="S1742" s="269" t="str">
        <f>IF(D1742="","",IF(OR(D1742=Plano!$A$1,D1742=Plano!$B$1),"entrada","saída"))</f>
        <v/>
      </c>
      <c r="T1742" s="406"/>
      <c r="U1742" s="406"/>
      <c r="V1742" s="269"/>
      <c r="W1742" s="269"/>
    </row>
    <row r="1743" spans="1:23" ht="12.75" customHeight="1" x14ac:dyDescent="0.2">
      <c r="A1743" s="289" t="str">
        <f t="shared" si="0"/>
        <v/>
      </c>
      <c r="B1743" s="290"/>
      <c r="C1743" s="404"/>
      <c r="D1743" s="291"/>
      <c r="E1743" s="291"/>
      <c r="F1743" s="292"/>
      <c r="G1743" s="291"/>
      <c r="H1743" s="291"/>
      <c r="I1743" s="293"/>
      <c r="J1743" s="291"/>
      <c r="K1743" s="291"/>
      <c r="L1743" s="293"/>
      <c r="M1743" s="291"/>
      <c r="N1743" s="289"/>
      <c r="O1743" s="358"/>
      <c r="P1743" s="402">
        <f t="shared" ref="P1743:Q1743" si="1741">IF(B1743=0,0,IF(YEAR(B1743)=$Q$1,MONTH(B1743)-$P$1+1,(YEAR(B1743)-$Q$1)*12-$P$1+1+MONTH(B1743)))</f>
        <v>0</v>
      </c>
      <c r="Q1743" s="402">
        <f t="shared" si="1741"/>
        <v>0</v>
      </c>
      <c r="R1743" s="356" t="e">
        <f t="shared" si="1325"/>
        <v>#N/A</v>
      </c>
      <c r="S1743" s="269" t="str">
        <f>IF(D1743="","",IF(OR(D1743=Plano!$A$1,D1743=Plano!$B$1),"entrada","saída"))</f>
        <v/>
      </c>
      <c r="T1743" s="406"/>
      <c r="U1743" s="406"/>
      <c r="V1743" s="269"/>
      <c r="W1743" s="269"/>
    </row>
    <row r="1744" spans="1:23" ht="12.75" customHeight="1" x14ac:dyDescent="0.2">
      <c r="A1744" s="289" t="str">
        <f t="shared" si="0"/>
        <v/>
      </c>
      <c r="B1744" s="290"/>
      <c r="C1744" s="404"/>
      <c r="D1744" s="291"/>
      <c r="E1744" s="291"/>
      <c r="F1744" s="292"/>
      <c r="G1744" s="291"/>
      <c r="H1744" s="291"/>
      <c r="I1744" s="293"/>
      <c r="J1744" s="291"/>
      <c r="K1744" s="291"/>
      <c r="L1744" s="293"/>
      <c r="M1744" s="291"/>
      <c r="N1744" s="289"/>
      <c r="O1744" s="358"/>
      <c r="P1744" s="402">
        <f t="shared" ref="P1744:Q1744" si="1742">IF(B1744=0,0,IF(YEAR(B1744)=$Q$1,MONTH(B1744)-$P$1+1,(YEAR(B1744)-$Q$1)*12-$P$1+1+MONTH(B1744)))</f>
        <v>0</v>
      </c>
      <c r="Q1744" s="402">
        <f t="shared" si="1742"/>
        <v>0</v>
      </c>
      <c r="R1744" s="356" t="e">
        <f t="shared" si="1325"/>
        <v>#N/A</v>
      </c>
      <c r="S1744" s="269" t="str">
        <f>IF(D1744="","",IF(OR(D1744=Plano!$A$1,D1744=Plano!$B$1),"entrada","saída"))</f>
        <v/>
      </c>
      <c r="T1744" s="406"/>
      <c r="U1744" s="406"/>
      <c r="V1744" s="269"/>
      <c r="W1744" s="269"/>
    </row>
    <row r="1745" spans="1:23" ht="12.75" customHeight="1" x14ac:dyDescent="0.2">
      <c r="A1745" s="289" t="str">
        <f t="shared" si="0"/>
        <v/>
      </c>
      <c r="B1745" s="290"/>
      <c r="C1745" s="404"/>
      <c r="D1745" s="291"/>
      <c r="E1745" s="291"/>
      <c r="F1745" s="292"/>
      <c r="G1745" s="291"/>
      <c r="H1745" s="291"/>
      <c r="I1745" s="293"/>
      <c r="J1745" s="291"/>
      <c r="K1745" s="291"/>
      <c r="L1745" s="293"/>
      <c r="M1745" s="291"/>
      <c r="N1745" s="289"/>
      <c r="O1745" s="358"/>
      <c r="P1745" s="402">
        <f t="shared" ref="P1745:Q1745" si="1743">IF(B1745=0,0,IF(YEAR(B1745)=$Q$1,MONTH(B1745)-$P$1+1,(YEAR(B1745)-$Q$1)*12-$P$1+1+MONTH(B1745)))</f>
        <v>0</v>
      </c>
      <c r="Q1745" s="402">
        <f t="shared" si="1743"/>
        <v>0</v>
      </c>
      <c r="R1745" s="356" t="e">
        <f t="shared" si="1325"/>
        <v>#N/A</v>
      </c>
      <c r="S1745" s="269" t="str">
        <f>IF(D1745="","",IF(OR(D1745=Plano!$A$1,D1745=Plano!$B$1),"entrada","saída"))</f>
        <v/>
      </c>
      <c r="T1745" s="406"/>
      <c r="U1745" s="406"/>
      <c r="V1745" s="269"/>
      <c r="W1745" s="269"/>
    </row>
    <row r="1746" spans="1:23" ht="12.75" customHeight="1" x14ac:dyDescent="0.2">
      <c r="A1746" s="289" t="str">
        <f t="shared" si="0"/>
        <v/>
      </c>
      <c r="B1746" s="290"/>
      <c r="C1746" s="404"/>
      <c r="D1746" s="291"/>
      <c r="E1746" s="291"/>
      <c r="F1746" s="292"/>
      <c r="G1746" s="291"/>
      <c r="H1746" s="291"/>
      <c r="I1746" s="293"/>
      <c r="J1746" s="291"/>
      <c r="K1746" s="291"/>
      <c r="L1746" s="293"/>
      <c r="M1746" s="291"/>
      <c r="N1746" s="289"/>
      <c r="O1746" s="358"/>
      <c r="P1746" s="402">
        <f t="shared" ref="P1746:Q1746" si="1744">IF(B1746=0,0,IF(YEAR(B1746)=$Q$1,MONTH(B1746)-$P$1+1,(YEAR(B1746)-$Q$1)*12-$P$1+1+MONTH(B1746)))</f>
        <v>0</v>
      </c>
      <c r="Q1746" s="402">
        <f t="shared" si="1744"/>
        <v>0</v>
      </c>
      <c r="R1746" s="356" t="e">
        <f t="shared" si="1325"/>
        <v>#N/A</v>
      </c>
      <c r="S1746" s="269" t="str">
        <f>IF(D1746="","",IF(OR(D1746=Plano!$A$1,D1746=Plano!$B$1),"entrada","saída"))</f>
        <v/>
      </c>
      <c r="T1746" s="406"/>
      <c r="U1746" s="406"/>
      <c r="V1746" s="269"/>
      <c r="W1746" s="269"/>
    </row>
    <row r="1747" spans="1:23" ht="12.75" customHeight="1" x14ac:dyDescent="0.2">
      <c r="A1747" s="289" t="str">
        <f t="shared" si="0"/>
        <v/>
      </c>
      <c r="B1747" s="290"/>
      <c r="C1747" s="404"/>
      <c r="D1747" s="291"/>
      <c r="E1747" s="291"/>
      <c r="F1747" s="292"/>
      <c r="G1747" s="291"/>
      <c r="H1747" s="291"/>
      <c r="I1747" s="293"/>
      <c r="J1747" s="291"/>
      <c r="K1747" s="291"/>
      <c r="L1747" s="293"/>
      <c r="M1747" s="291"/>
      <c r="N1747" s="289"/>
      <c r="O1747" s="358"/>
      <c r="P1747" s="402">
        <f t="shared" ref="P1747:Q1747" si="1745">IF(B1747=0,0,IF(YEAR(B1747)=$Q$1,MONTH(B1747)-$P$1+1,(YEAR(B1747)-$Q$1)*12-$P$1+1+MONTH(B1747)))</f>
        <v>0</v>
      </c>
      <c r="Q1747" s="402">
        <f t="shared" si="1745"/>
        <v>0</v>
      </c>
      <c r="R1747" s="356" t="e">
        <f t="shared" si="1325"/>
        <v>#N/A</v>
      </c>
      <c r="S1747" s="269" t="str">
        <f>IF(D1747="","",IF(OR(D1747=Plano!$A$1,D1747=Plano!$B$1),"entrada","saída"))</f>
        <v/>
      </c>
      <c r="T1747" s="406"/>
      <c r="U1747" s="406"/>
      <c r="V1747" s="269"/>
      <c r="W1747" s="269"/>
    </row>
    <row r="1748" spans="1:23" ht="12.75" customHeight="1" x14ac:dyDescent="0.2">
      <c r="A1748" s="289" t="str">
        <f t="shared" si="0"/>
        <v/>
      </c>
      <c r="B1748" s="290"/>
      <c r="C1748" s="404"/>
      <c r="D1748" s="291"/>
      <c r="E1748" s="291"/>
      <c r="F1748" s="292"/>
      <c r="G1748" s="291"/>
      <c r="H1748" s="291"/>
      <c r="I1748" s="293"/>
      <c r="J1748" s="291"/>
      <c r="K1748" s="291"/>
      <c r="L1748" s="293"/>
      <c r="M1748" s="291"/>
      <c r="N1748" s="289"/>
      <c r="O1748" s="358"/>
      <c r="P1748" s="402">
        <f t="shared" ref="P1748:Q1748" si="1746">IF(B1748=0,0,IF(YEAR(B1748)=$Q$1,MONTH(B1748)-$P$1+1,(YEAR(B1748)-$Q$1)*12-$P$1+1+MONTH(B1748)))</f>
        <v>0</v>
      </c>
      <c r="Q1748" s="402">
        <f t="shared" si="1746"/>
        <v>0</v>
      </c>
      <c r="R1748" s="356" t="e">
        <f t="shared" si="1325"/>
        <v>#N/A</v>
      </c>
      <c r="S1748" s="269" t="str">
        <f>IF(D1748="","",IF(OR(D1748=Plano!$A$1,D1748=Plano!$B$1),"entrada","saída"))</f>
        <v/>
      </c>
      <c r="T1748" s="406"/>
      <c r="U1748" s="406"/>
      <c r="V1748" s="269"/>
      <c r="W1748" s="269"/>
    </row>
    <row r="1749" spans="1:23" ht="12.75" customHeight="1" x14ac:dyDescent="0.2">
      <c r="A1749" s="289" t="str">
        <f t="shared" si="0"/>
        <v/>
      </c>
      <c r="B1749" s="290"/>
      <c r="C1749" s="404"/>
      <c r="D1749" s="291"/>
      <c r="E1749" s="291"/>
      <c r="F1749" s="292"/>
      <c r="G1749" s="291"/>
      <c r="H1749" s="291"/>
      <c r="I1749" s="293"/>
      <c r="J1749" s="291"/>
      <c r="K1749" s="291"/>
      <c r="L1749" s="293"/>
      <c r="M1749" s="291"/>
      <c r="N1749" s="289"/>
      <c r="O1749" s="358"/>
      <c r="P1749" s="402">
        <f t="shared" ref="P1749:Q1749" si="1747">IF(B1749=0,0,IF(YEAR(B1749)=$Q$1,MONTH(B1749)-$P$1+1,(YEAR(B1749)-$Q$1)*12-$P$1+1+MONTH(B1749)))</f>
        <v>0</v>
      </c>
      <c r="Q1749" s="402">
        <f t="shared" si="1747"/>
        <v>0</v>
      </c>
      <c r="R1749" s="356" t="e">
        <f t="shared" si="1325"/>
        <v>#N/A</v>
      </c>
      <c r="S1749" s="269" t="str">
        <f>IF(D1749="","",IF(OR(D1749=Plano!$A$1,D1749=Plano!$B$1),"entrada","saída"))</f>
        <v/>
      </c>
      <c r="T1749" s="406"/>
      <c r="U1749" s="406"/>
      <c r="V1749" s="269"/>
      <c r="W1749" s="269"/>
    </row>
    <row r="1750" spans="1:23" ht="12.75" customHeight="1" x14ac:dyDescent="0.2">
      <c r="A1750" s="289" t="str">
        <f t="shared" si="0"/>
        <v/>
      </c>
      <c r="B1750" s="290"/>
      <c r="C1750" s="404"/>
      <c r="D1750" s="291"/>
      <c r="E1750" s="291"/>
      <c r="F1750" s="292"/>
      <c r="G1750" s="291"/>
      <c r="H1750" s="291"/>
      <c r="I1750" s="293"/>
      <c r="J1750" s="291"/>
      <c r="K1750" s="291"/>
      <c r="L1750" s="293"/>
      <c r="M1750" s="291"/>
      <c r="N1750" s="289"/>
      <c r="O1750" s="358"/>
      <c r="P1750" s="402">
        <f t="shared" ref="P1750:Q1750" si="1748">IF(B1750=0,0,IF(YEAR(B1750)=$Q$1,MONTH(B1750)-$P$1+1,(YEAR(B1750)-$Q$1)*12-$P$1+1+MONTH(B1750)))</f>
        <v>0</v>
      </c>
      <c r="Q1750" s="402">
        <f t="shared" si="1748"/>
        <v>0</v>
      </c>
      <c r="R1750" s="356" t="e">
        <f t="shared" si="1325"/>
        <v>#N/A</v>
      </c>
      <c r="S1750" s="269" t="str">
        <f>IF(D1750="","",IF(OR(D1750=Plano!$A$1,D1750=Plano!$B$1),"entrada","saída"))</f>
        <v/>
      </c>
      <c r="T1750" s="406"/>
      <c r="U1750" s="406"/>
      <c r="V1750" s="269"/>
      <c r="W1750" s="269"/>
    </row>
    <row r="1751" spans="1:23" ht="12.75" customHeight="1" x14ac:dyDescent="0.2">
      <c r="A1751" s="289" t="str">
        <f t="shared" si="0"/>
        <v/>
      </c>
      <c r="B1751" s="290"/>
      <c r="C1751" s="404"/>
      <c r="D1751" s="291"/>
      <c r="E1751" s="291"/>
      <c r="F1751" s="292"/>
      <c r="G1751" s="291"/>
      <c r="H1751" s="291"/>
      <c r="I1751" s="293"/>
      <c r="J1751" s="291"/>
      <c r="K1751" s="291"/>
      <c r="L1751" s="293"/>
      <c r="M1751" s="291"/>
      <c r="N1751" s="289"/>
      <c r="O1751" s="358"/>
      <c r="P1751" s="402">
        <f t="shared" ref="P1751:Q1751" si="1749">IF(B1751=0,0,IF(YEAR(B1751)=$Q$1,MONTH(B1751)-$P$1+1,(YEAR(B1751)-$Q$1)*12-$P$1+1+MONTH(B1751)))</f>
        <v>0</v>
      </c>
      <c r="Q1751" s="402">
        <f t="shared" si="1749"/>
        <v>0</v>
      </c>
      <c r="R1751" s="356" t="e">
        <f t="shared" si="1325"/>
        <v>#N/A</v>
      </c>
      <c r="S1751" s="269" t="str">
        <f>IF(D1751="","",IF(OR(D1751=Plano!$A$1,D1751=Plano!$B$1),"entrada","saída"))</f>
        <v/>
      </c>
      <c r="T1751" s="406"/>
      <c r="U1751" s="406"/>
      <c r="V1751" s="269"/>
      <c r="W1751" s="269"/>
    </row>
    <row r="1752" spans="1:23" ht="12.75" customHeight="1" x14ac:dyDescent="0.2">
      <c r="A1752" s="289" t="str">
        <f t="shared" si="0"/>
        <v/>
      </c>
      <c r="B1752" s="290"/>
      <c r="C1752" s="404"/>
      <c r="D1752" s="291"/>
      <c r="E1752" s="291"/>
      <c r="F1752" s="292"/>
      <c r="G1752" s="291"/>
      <c r="H1752" s="291"/>
      <c r="I1752" s="293"/>
      <c r="J1752" s="291"/>
      <c r="K1752" s="291"/>
      <c r="L1752" s="293"/>
      <c r="M1752" s="291"/>
      <c r="N1752" s="289"/>
      <c r="O1752" s="358"/>
      <c r="P1752" s="402">
        <f t="shared" ref="P1752:Q1752" si="1750">IF(B1752=0,0,IF(YEAR(B1752)=$Q$1,MONTH(B1752)-$P$1+1,(YEAR(B1752)-$Q$1)*12-$P$1+1+MONTH(B1752)))</f>
        <v>0</v>
      </c>
      <c r="Q1752" s="402">
        <f t="shared" si="1750"/>
        <v>0</v>
      </c>
      <c r="R1752" s="356" t="e">
        <f t="shared" si="1325"/>
        <v>#N/A</v>
      </c>
      <c r="S1752" s="269" t="str">
        <f>IF(D1752="","",IF(OR(D1752=Plano!$A$1,D1752=Plano!$B$1),"entrada","saída"))</f>
        <v/>
      </c>
      <c r="T1752" s="406"/>
      <c r="U1752" s="406"/>
      <c r="V1752" s="269"/>
      <c r="W1752" s="269"/>
    </row>
    <row r="1753" spans="1:23" ht="12.75" customHeight="1" x14ac:dyDescent="0.2">
      <c r="A1753" s="289" t="str">
        <f t="shared" si="0"/>
        <v/>
      </c>
      <c r="B1753" s="290"/>
      <c r="C1753" s="404"/>
      <c r="D1753" s="291"/>
      <c r="E1753" s="291"/>
      <c r="F1753" s="292"/>
      <c r="G1753" s="291"/>
      <c r="H1753" s="291"/>
      <c r="I1753" s="293"/>
      <c r="J1753" s="291"/>
      <c r="K1753" s="291"/>
      <c r="L1753" s="293"/>
      <c r="M1753" s="291"/>
      <c r="N1753" s="289"/>
      <c r="O1753" s="358"/>
      <c r="P1753" s="402">
        <f t="shared" ref="P1753:Q1753" si="1751">IF(B1753=0,0,IF(YEAR(B1753)=$Q$1,MONTH(B1753)-$P$1+1,(YEAR(B1753)-$Q$1)*12-$P$1+1+MONTH(B1753)))</f>
        <v>0</v>
      </c>
      <c r="Q1753" s="402">
        <f t="shared" si="1751"/>
        <v>0</v>
      </c>
      <c r="R1753" s="356" t="e">
        <f t="shared" si="1325"/>
        <v>#N/A</v>
      </c>
      <c r="S1753" s="269" t="str">
        <f>IF(D1753="","",IF(OR(D1753=Plano!$A$1,D1753=Plano!$B$1),"entrada","saída"))</f>
        <v/>
      </c>
      <c r="T1753" s="406"/>
      <c r="U1753" s="406"/>
      <c r="V1753" s="269"/>
      <c r="W1753" s="269"/>
    </row>
    <row r="1754" spans="1:23" ht="12.75" customHeight="1" x14ac:dyDescent="0.2">
      <c r="A1754" s="289" t="str">
        <f t="shared" si="0"/>
        <v/>
      </c>
      <c r="B1754" s="290"/>
      <c r="C1754" s="404"/>
      <c r="D1754" s="291"/>
      <c r="E1754" s="291"/>
      <c r="F1754" s="292"/>
      <c r="G1754" s="291"/>
      <c r="H1754" s="291"/>
      <c r="I1754" s="293"/>
      <c r="J1754" s="291"/>
      <c r="K1754" s="291"/>
      <c r="L1754" s="293"/>
      <c r="M1754" s="291"/>
      <c r="N1754" s="289"/>
      <c r="O1754" s="358"/>
      <c r="P1754" s="402">
        <f t="shared" ref="P1754:Q1754" si="1752">IF(B1754=0,0,IF(YEAR(B1754)=$Q$1,MONTH(B1754)-$P$1+1,(YEAR(B1754)-$Q$1)*12-$P$1+1+MONTH(B1754)))</f>
        <v>0</v>
      </c>
      <c r="Q1754" s="402">
        <f t="shared" si="1752"/>
        <v>0</v>
      </c>
      <c r="R1754" s="356" t="e">
        <f t="shared" si="1325"/>
        <v>#N/A</v>
      </c>
      <c r="S1754" s="269" t="str">
        <f>IF(D1754="","",IF(OR(D1754=Plano!$A$1,D1754=Plano!$B$1),"entrada","saída"))</f>
        <v/>
      </c>
      <c r="T1754" s="406"/>
      <c r="U1754" s="406"/>
      <c r="V1754" s="269"/>
      <c r="W1754" s="269"/>
    </row>
    <row r="1755" spans="1:23" ht="12.75" customHeight="1" x14ac:dyDescent="0.2">
      <c r="A1755" s="289" t="str">
        <f t="shared" si="0"/>
        <v/>
      </c>
      <c r="B1755" s="290"/>
      <c r="C1755" s="404"/>
      <c r="D1755" s="291"/>
      <c r="E1755" s="291"/>
      <c r="F1755" s="292"/>
      <c r="G1755" s="291"/>
      <c r="H1755" s="291"/>
      <c r="I1755" s="293"/>
      <c r="J1755" s="291"/>
      <c r="K1755" s="291"/>
      <c r="L1755" s="293"/>
      <c r="M1755" s="291"/>
      <c r="N1755" s="289"/>
      <c r="O1755" s="358"/>
      <c r="P1755" s="402">
        <f t="shared" ref="P1755:Q1755" si="1753">IF(B1755=0,0,IF(YEAR(B1755)=$Q$1,MONTH(B1755)-$P$1+1,(YEAR(B1755)-$Q$1)*12-$P$1+1+MONTH(B1755)))</f>
        <v>0</v>
      </c>
      <c r="Q1755" s="402">
        <f t="shared" si="1753"/>
        <v>0</v>
      </c>
      <c r="R1755" s="356" t="e">
        <f t="shared" si="1325"/>
        <v>#N/A</v>
      </c>
      <c r="S1755" s="269" t="str">
        <f>IF(D1755="","",IF(OR(D1755=Plano!$A$1,D1755=Plano!$B$1),"entrada","saída"))</f>
        <v/>
      </c>
      <c r="T1755" s="406"/>
      <c r="U1755" s="406"/>
      <c r="V1755" s="269"/>
      <c r="W1755" s="269"/>
    </row>
    <row r="1756" spans="1:23" ht="12.75" customHeight="1" x14ac:dyDescent="0.2">
      <c r="A1756" s="289" t="str">
        <f t="shared" si="0"/>
        <v/>
      </c>
      <c r="B1756" s="290"/>
      <c r="C1756" s="404"/>
      <c r="D1756" s="291"/>
      <c r="E1756" s="291"/>
      <c r="F1756" s="292"/>
      <c r="G1756" s="291"/>
      <c r="H1756" s="291"/>
      <c r="I1756" s="293"/>
      <c r="J1756" s="291"/>
      <c r="K1756" s="291"/>
      <c r="L1756" s="293"/>
      <c r="M1756" s="291"/>
      <c r="N1756" s="289"/>
      <c r="O1756" s="358"/>
      <c r="P1756" s="402">
        <f t="shared" ref="P1756:Q1756" si="1754">IF(B1756=0,0,IF(YEAR(B1756)=$Q$1,MONTH(B1756)-$P$1+1,(YEAR(B1756)-$Q$1)*12-$P$1+1+MONTH(B1756)))</f>
        <v>0</v>
      </c>
      <c r="Q1756" s="402">
        <f t="shared" si="1754"/>
        <v>0</v>
      </c>
      <c r="R1756" s="356" t="e">
        <f t="shared" si="1325"/>
        <v>#N/A</v>
      </c>
      <c r="S1756" s="269" t="str">
        <f>IF(D1756="","",IF(OR(D1756=Plano!$A$1,D1756=Plano!$B$1),"entrada","saída"))</f>
        <v/>
      </c>
      <c r="T1756" s="406"/>
      <c r="U1756" s="406"/>
      <c r="V1756" s="269"/>
      <c r="W1756" s="269"/>
    </row>
    <row r="1757" spans="1:23" ht="12.75" customHeight="1" x14ac:dyDescent="0.2">
      <c r="A1757" s="289" t="str">
        <f t="shared" si="0"/>
        <v/>
      </c>
      <c r="B1757" s="290"/>
      <c r="C1757" s="404"/>
      <c r="D1757" s="291"/>
      <c r="E1757" s="291"/>
      <c r="F1757" s="292"/>
      <c r="G1757" s="291"/>
      <c r="H1757" s="291"/>
      <c r="I1757" s="293"/>
      <c r="J1757" s="291"/>
      <c r="K1757" s="291"/>
      <c r="L1757" s="293"/>
      <c r="M1757" s="291"/>
      <c r="N1757" s="289"/>
      <c r="O1757" s="358"/>
      <c r="P1757" s="402">
        <f t="shared" ref="P1757:Q1757" si="1755">IF(B1757=0,0,IF(YEAR(B1757)=$Q$1,MONTH(B1757)-$P$1+1,(YEAR(B1757)-$Q$1)*12-$P$1+1+MONTH(B1757)))</f>
        <v>0</v>
      </c>
      <c r="Q1757" s="402">
        <f t="shared" si="1755"/>
        <v>0</v>
      </c>
      <c r="R1757" s="356" t="e">
        <f t="shared" si="1325"/>
        <v>#N/A</v>
      </c>
      <c r="S1757" s="269" t="str">
        <f>IF(D1757="","",IF(OR(D1757=Plano!$A$1,D1757=Plano!$B$1),"entrada","saída"))</f>
        <v/>
      </c>
      <c r="T1757" s="406"/>
      <c r="U1757" s="406"/>
      <c r="V1757" s="269"/>
      <c r="W1757" s="269"/>
    </row>
    <row r="1758" spans="1:23" ht="12.75" customHeight="1" x14ac:dyDescent="0.2">
      <c r="A1758" s="289" t="str">
        <f t="shared" si="0"/>
        <v/>
      </c>
      <c r="B1758" s="290"/>
      <c r="C1758" s="404"/>
      <c r="D1758" s="291"/>
      <c r="E1758" s="291"/>
      <c r="F1758" s="292"/>
      <c r="G1758" s="291"/>
      <c r="H1758" s="291"/>
      <c r="I1758" s="293"/>
      <c r="J1758" s="291"/>
      <c r="K1758" s="291"/>
      <c r="L1758" s="293"/>
      <c r="M1758" s="291"/>
      <c r="N1758" s="289"/>
      <c r="O1758" s="358"/>
      <c r="P1758" s="402">
        <f t="shared" ref="P1758:Q1758" si="1756">IF(B1758=0,0,IF(YEAR(B1758)=$Q$1,MONTH(B1758)-$P$1+1,(YEAR(B1758)-$Q$1)*12-$P$1+1+MONTH(B1758)))</f>
        <v>0</v>
      </c>
      <c r="Q1758" s="402">
        <f t="shared" si="1756"/>
        <v>0</v>
      </c>
      <c r="R1758" s="356" t="e">
        <f t="shared" si="1325"/>
        <v>#N/A</v>
      </c>
      <c r="S1758" s="269" t="str">
        <f>IF(D1758="","",IF(OR(D1758=Plano!$A$1,D1758=Plano!$B$1),"entrada","saída"))</f>
        <v/>
      </c>
      <c r="T1758" s="406"/>
      <c r="U1758" s="406"/>
      <c r="V1758" s="269"/>
      <c r="W1758" s="269"/>
    </row>
    <row r="1759" spans="1:23" ht="12.75" customHeight="1" x14ac:dyDescent="0.2">
      <c r="A1759" s="289" t="str">
        <f t="shared" si="0"/>
        <v/>
      </c>
      <c r="B1759" s="290"/>
      <c r="C1759" s="404"/>
      <c r="D1759" s="291"/>
      <c r="E1759" s="291"/>
      <c r="F1759" s="292"/>
      <c r="G1759" s="291"/>
      <c r="H1759" s="291"/>
      <c r="I1759" s="293"/>
      <c r="J1759" s="291"/>
      <c r="K1759" s="291"/>
      <c r="L1759" s="293"/>
      <c r="M1759" s="291"/>
      <c r="N1759" s="289"/>
      <c r="O1759" s="358"/>
      <c r="P1759" s="402">
        <f t="shared" ref="P1759:Q1759" si="1757">IF(B1759=0,0,IF(YEAR(B1759)=$Q$1,MONTH(B1759)-$P$1+1,(YEAR(B1759)-$Q$1)*12-$P$1+1+MONTH(B1759)))</f>
        <v>0</v>
      </c>
      <c r="Q1759" s="402">
        <f t="shared" si="1757"/>
        <v>0</v>
      </c>
      <c r="R1759" s="356" t="e">
        <f t="shared" si="1325"/>
        <v>#N/A</v>
      </c>
      <c r="S1759" s="269" t="str">
        <f>IF(D1759="","",IF(OR(D1759=Plano!$A$1,D1759=Plano!$B$1),"entrada","saída"))</f>
        <v/>
      </c>
      <c r="T1759" s="406"/>
      <c r="U1759" s="406"/>
      <c r="V1759" s="269"/>
      <c r="W1759" s="269"/>
    </row>
    <row r="1760" spans="1:23" ht="12.75" customHeight="1" x14ac:dyDescent="0.2">
      <c r="A1760" s="289" t="str">
        <f t="shared" si="0"/>
        <v/>
      </c>
      <c r="B1760" s="290"/>
      <c r="C1760" s="404"/>
      <c r="D1760" s="291"/>
      <c r="E1760" s="291"/>
      <c r="F1760" s="292"/>
      <c r="G1760" s="291"/>
      <c r="H1760" s="291"/>
      <c r="I1760" s="293"/>
      <c r="J1760" s="291"/>
      <c r="K1760" s="291"/>
      <c r="L1760" s="293"/>
      <c r="M1760" s="291"/>
      <c r="N1760" s="289"/>
      <c r="O1760" s="358"/>
      <c r="P1760" s="402">
        <f t="shared" ref="P1760:Q1760" si="1758">IF(B1760=0,0,IF(YEAR(B1760)=$Q$1,MONTH(B1760)-$P$1+1,(YEAR(B1760)-$Q$1)*12-$P$1+1+MONTH(B1760)))</f>
        <v>0</v>
      </c>
      <c r="Q1760" s="402">
        <f t="shared" si="1758"/>
        <v>0</v>
      </c>
      <c r="R1760" s="356" t="e">
        <f t="shared" si="1325"/>
        <v>#N/A</v>
      </c>
      <c r="S1760" s="269" t="str">
        <f>IF(D1760="","",IF(OR(D1760=Plano!$A$1,D1760=Plano!$B$1),"entrada","saída"))</f>
        <v/>
      </c>
      <c r="T1760" s="406"/>
      <c r="U1760" s="406"/>
      <c r="V1760" s="269"/>
      <c r="W1760" s="269"/>
    </row>
    <row r="1761" spans="1:23" ht="12.75" customHeight="1" x14ac:dyDescent="0.2">
      <c r="A1761" s="289" t="str">
        <f t="shared" si="0"/>
        <v/>
      </c>
      <c r="B1761" s="290"/>
      <c r="C1761" s="404"/>
      <c r="D1761" s="291"/>
      <c r="E1761" s="291"/>
      <c r="F1761" s="292"/>
      <c r="G1761" s="291"/>
      <c r="H1761" s="291"/>
      <c r="I1761" s="293"/>
      <c r="J1761" s="291"/>
      <c r="K1761" s="291"/>
      <c r="L1761" s="293"/>
      <c r="M1761" s="291"/>
      <c r="N1761" s="289"/>
      <c r="O1761" s="358"/>
      <c r="P1761" s="402">
        <f t="shared" ref="P1761:Q1761" si="1759">IF(B1761=0,0,IF(YEAR(B1761)=$Q$1,MONTH(B1761)-$P$1+1,(YEAR(B1761)-$Q$1)*12-$P$1+1+MONTH(B1761)))</f>
        <v>0</v>
      </c>
      <c r="Q1761" s="402">
        <f t="shared" si="1759"/>
        <v>0</v>
      </c>
      <c r="R1761" s="356" t="e">
        <f t="shared" si="1325"/>
        <v>#N/A</v>
      </c>
      <c r="S1761" s="269" t="str">
        <f>IF(D1761="","",IF(OR(D1761=Plano!$A$1,D1761=Plano!$B$1),"entrada","saída"))</f>
        <v/>
      </c>
      <c r="T1761" s="406"/>
      <c r="U1761" s="406"/>
      <c r="V1761" s="269"/>
      <c r="W1761" s="269"/>
    </row>
    <row r="1762" spans="1:23" ht="12.75" customHeight="1" x14ac:dyDescent="0.2">
      <c r="A1762" s="289" t="str">
        <f t="shared" si="0"/>
        <v/>
      </c>
      <c r="B1762" s="290"/>
      <c r="C1762" s="404"/>
      <c r="D1762" s="291"/>
      <c r="E1762" s="291"/>
      <c r="F1762" s="292"/>
      <c r="G1762" s="291"/>
      <c r="H1762" s="291"/>
      <c r="I1762" s="293"/>
      <c r="J1762" s="291"/>
      <c r="K1762" s="291"/>
      <c r="L1762" s="293"/>
      <c r="M1762" s="291"/>
      <c r="N1762" s="289"/>
      <c r="O1762" s="358"/>
      <c r="P1762" s="402">
        <f t="shared" ref="P1762:Q1762" si="1760">IF(B1762=0,0,IF(YEAR(B1762)=$Q$1,MONTH(B1762)-$P$1+1,(YEAR(B1762)-$Q$1)*12-$P$1+1+MONTH(B1762)))</f>
        <v>0</v>
      </c>
      <c r="Q1762" s="402">
        <f t="shared" si="1760"/>
        <v>0</v>
      </c>
      <c r="R1762" s="356" t="e">
        <f t="shared" si="1325"/>
        <v>#N/A</v>
      </c>
      <c r="S1762" s="269" t="str">
        <f>IF(D1762="","",IF(OR(D1762=Plano!$A$1,D1762=Plano!$B$1),"entrada","saída"))</f>
        <v/>
      </c>
      <c r="T1762" s="406"/>
      <c r="U1762" s="406"/>
      <c r="V1762" s="269"/>
      <c r="W1762" s="269"/>
    </row>
    <row r="1763" spans="1:23" ht="12.75" customHeight="1" x14ac:dyDescent="0.2">
      <c r="A1763" s="289" t="str">
        <f t="shared" si="0"/>
        <v/>
      </c>
      <c r="B1763" s="290"/>
      <c r="C1763" s="404"/>
      <c r="D1763" s="291"/>
      <c r="E1763" s="291"/>
      <c r="F1763" s="292"/>
      <c r="G1763" s="291"/>
      <c r="H1763" s="291"/>
      <c r="I1763" s="293"/>
      <c r="J1763" s="291"/>
      <c r="K1763" s="291"/>
      <c r="L1763" s="293"/>
      <c r="M1763" s="291"/>
      <c r="N1763" s="289"/>
      <c r="O1763" s="358"/>
      <c r="P1763" s="402">
        <f t="shared" ref="P1763:Q1763" si="1761">IF(B1763=0,0,IF(YEAR(B1763)=$Q$1,MONTH(B1763)-$P$1+1,(YEAR(B1763)-$Q$1)*12-$P$1+1+MONTH(B1763)))</f>
        <v>0</v>
      </c>
      <c r="Q1763" s="402">
        <f t="shared" si="1761"/>
        <v>0</v>
      </c>
      <c r="R1763" s="356" t="e">
        <f t="shared" si="1325"/>
        <v>#N/A</v>
      </c>
      <c r="S1763" s="269" t="str">
        <f>IF(D1763="","",IF(OR(D1763=Plano!$A$1,D1763=Plano!$B$1),"entrada","saída"))</f>
        <v/>
      </c>
      <c r="T1763" s="406"/>
      <c r="U1763" s="406"/>
      <c r="V1763" s="269"/>
      <c r="W1763" s="269"/>
    </row>
    <row r="1764" spans="1:23" ht="12.75" customHeight="1" x14ac:dyDescent="0.2">
      <c r="A1764" s="289" t="str">
        <f t="shared" si="0"/>
        <v/>
      </c>
      <c r="B1764" s="290"/>
      <c r="C1764" s="404"/>
      <c r="D1764" s="291"/>
      <c r="E1764" s="291"/>
      <c r="F1764" s="292"/>
      <c r="G1764" s="291"/>
      <c r="H1764" s="291"/>
      <c r="I1764" s="293"/>
      <c r="J1764" s="291"/>
      <c r="K1764" s="291"/>
      <c r="L1764" s="293"/>
      <c r="M1764" s="291"/>
      <c r="N1764" s="289"/>
      <c r="O1764" s="358"/>
      <c r="P1764" s="402">
        <f t="shared" ref="P1764:Q1764" si="1762">IF(B1764=0,0,IF(YEAR(B1764)=$Q$1,MONTH(B1764)-$P$1+1,(YEAR(B1764)-$Q$1)*12-$P$1+1+MONTH(B1764)))</f>
        <v>0</v>
      </c>
      <c r="Q1764" s="402">
        <f t="shared" si="1762"/>
        <v>0</v>
      </c>
      <c r="R1764" s="356" t="e">
        <f t="shared" si="1325"/>
        <v>#N/A</v>
      </c>
      <c r="S1764" s="269" t="str">
        <f>IF(D1764="","",IF(OR(D1764=Plano!$A$1,D1764=Plano!$B$1),"entrada","saída"))</f>
        <v/>
      </c>
      <c r="T1764" s="406"/>
      <c r="U1764" s="406"/>
      <c r="V1764" s="269"/>
      <c r="W1764" s="269"/>
    </row>
    <row r="1765" spans="1:23" ht="12.75" customHeight="1" x14ac:dyDescent="0.2">
      <c r="A1765" s="289" t="str">
        <f t="shared" si="0"/>
        <v/>
      </c>
      <c r="B1765" s="290"/>
      <c r="C1765" s="404"/>
      <c r="D1765" s="291"/>
      <c r="E1765" s="291"/>
      <c r="F1765" s="292"/>
      <c r="G1765" s="291"/>
      <c r="H1765" s="291"/>
      <c r="I1765" s="293"/>
      <c r="J1765" s="291"/>
      <c r="K1765" s="291"/>
      <c r="L1765" s="293"/>
      <c r="M1765" s="291"/>
      <c r="N1765" s="289"/>
      <c r="O1765" s="358"/>
      <c r="P1765" s="402">
        <f t="shared" ref="P1765:Q1765" si="1763">IF(B1765=0,0,IF(YEAR(B1765)=$Q$1,MONTH(B1765)-$P$1+1,(YEAR(B1765)-$Q$1)*12-$P$1+1+MONTH(B1765)))</f>
        <v>0</v>
      </c>
      <c r="Q1765" s="402">
        <f t="shared" si="1763"/>
        <v>0</v>
      </c>
      <c r="R1765" s="356" t="e">
        <f t="shared" si="1325"/>
        <v>#N/A</v>
      </c>
      <c r="S1765" s="269" t="str">
        <f>IF(D1765="","",IF(OR(D1765=Plano!$A$1,D1765=Plano!$B$1),"entrada","saída"))</f>
        <v/>
      </c>
      <c r="T1765" s="406"/>
      <c r="U1765" s="406"/>
      <c r="V1765" s="269"/>
      <c r="W1765" s="269"/>
    </row>
    <row r="1766" spans="1:23" ht="12.75" customHeight="1" x14ac:dyDescent="0.2">
      <c r="A1766" s="289" t="str">
        <f t="shared" si="0"/>
        <v/>
      </c>
      <c r="B1766" s="290"/>
      <c r="C1766" s="404"/>
      <c r="D1766" s="291"/>
      <c r="E1766" s="291"/>
      <c r="F1766" s="292"/>
      <c r="G1766" s="291"/>
      <c r="H1766" s="291"/>
      <c r="I1766" s="293"/>
      <c r="J1766" s="291"/>
      <c r="K1766" s="291"/>
      <c r="L1766" s="293"/>
      <c r="M1766" s="291"/>
      <c r="N1766" s="289"/>
      <c r="O1766" s="358"/>
      <c r="P1766" s="402">
        <f t="shared" ref="P1766:Q1766" si="1764">IF(B1766=0,0,IF(YEAR(B1766)=$Q$1,MONTH(B1766)-$P$1+1,(YEAR(B1766)-$Q$1)*12-$P$1+1+MONTH(B1766)))</f>
        <v>0</v>
      </c>
      <c r="Q1766" s="402">
        <f t="shared" si="1764"/>
        <v>0</v>
      </c>
      <c r="R1766" s="356" t="e">
        <f t="shared" si="1325"/>
        <v>#N/A</v>
      </c>
      <c r="S1766" s="269" t="str">
        <f>IF(D1766="","",IF(OR(D1766=Plano!$A$1,D1766=Plano!$B$1),"entrada","saída"))</f>
        <v/>
      </c>
      <c r="T1766" s="406"/>
      <c r="U1766" s="406"/>
      <c r="V1766" s="269"/>
      <c r="W1766" s="269"/>
    </row>
    <row r="1767" spans="1:23" ht="12.75" customHeight="1" x14ac:dyDescent="0.2">
      <c r="A1767" s="289" t="str">
        <f t="shared" si="0"/>
        <v/>
      </c>
      <c r="B1767" s="290"/>
      <c r="C1767" s="404"/>
      <c r="D1767" s="291"/>
      <c r="E1767" s="291"/>
      <c r="F1767" s="292"/>
      <c r="G1767" s="291"/>
      <c r="H1767" s="291"/>
      <c r="I1767" s="293"/>
      <c r="J1767" s="291"/>
      <c r="K1767" s="291"/>
      <c r="L1767" s="293"/>
      <c r="M1767" s="291"/>
      <c r="N1767" s="289"/>
      <c r="O1767" s="358"/>
      <c r="P1767" s="402">
        <f t="shared" ref="P1767:Q1767" si="1765">IF(B1767=0,0,IF(YEAR(B1767)=$Q$1,MONTH(B1767)-$P$1+1,(YEAR(B1767)-$Q$1)*12-$P$1+1+MONTH(B1767)))</f>
        <v>0</v>
      </c>
      <c r="Q1767" s="402">
        <f t="shared" si="1765"/>
        <v>0</v>
      </c>
      <c r="R1767" s="356" t="e">
        <f t="shared" si="1325"/>
        <v>#N/A</v>
      </c>
      <c r="S1767" s="269" t="str">
        <f>IF(D1767="","",IF(OR(D1767=Plano!$A$1,D1767=Plano!$B$1),"entrada","saída"))</f>
        <v/>
      </c>
      <c r="T1767" s="406"/>
      <c r="U1767" s="406"/>
      <c r="V1767" s="269"/>
      <c r="W1767" s="269"/>
    </row>
    <row r="1768" spans="1:23" ht="12.75" customHeight="1" x14ac:dyDescent="0.2">
      <c r="A1768" s="289" t="str">
        <f t="shared" si="0"/>
        <v/>
      </c>
      <c r="B1768" s="290"/>
      <c r="C1768" s="404"/>
      <c r="D1768" s="291"/>
      <c r="E1768" s="291"/>
      <c r="F1768" s="292"/>
      <c r="G1768" s="291"/>
      <c r="H1768" s="291"/>
      <c r="I1768" s="293"/>
      <c r="J1768" s="291"/>
      <c r="K1768" s="291"/>
      <c r="L1768" s="293"/>
      <c r="M1768" s="291"/>
      <c r="N1768" s="289"/>
      <c r="O1768" s="358"/>
      <c r="P1768" s="402">
        <f t="shared" ref="P1768:Q1768" si="1766">IF(B1768=0,0,IF(YEAR(B1768)=$Q$1,MONTH(B1768)-$P$1+1,(YEAR(B1768)-$Q$1)*12-$P$1+1+MONTH(B1768)))</f>
        <v>0</v>
      </c>
      <c r="Q1768" s="402">
        <f t="shared" si="1766"/>
        <v>0</v>
      </c>
      <c r="R1768" s="356" t="e">
        <f t="shared" si="1325"/>
        <v>#N/A</v>
      </c>
      <c r="S1768" s="269" t="str">
        <f>IF(D1768="","",IF(OR(D1768=Plano!$A$1,D1768=Plano!$B$1),"entrada","saída"))</f>
        <v/>
      </c>
      <c r="T1768" s="406"/>
      <c r="U1768" s="406"/>
      <c r="V1768" s="269"/>
      <c r="W1768" s="269"/>
    </row>
    <row r="1769" spans="1:23" ht="12.75" customHeight="1" x14ac:dyDescent="0.2">
      <c r="A1769" s="289" t="str">
        <f t="shared" si="0"/>
        <v/>
      </c>
      <c r="B1769" s="290"/>
      <c r="C1769" s="404"/>
      <c r="D1769" s="291"/>
      <c r="E1769" s="291"/>
      <c r="F1769" s="292"/>
      <c r="G1769" s="291"/>
      <c r="H1769" s="291"/>
      <c r="I1769" s="293"/>
      <c r="J1769" s="291"/>
      <c r="K1769" s="291"/>
      <c r="L1769" s="293"/>
      <c r="M1769" s="291"/>
      <c r="N1769" s="289"/>
      <c r="O1769" s="358"/>
      <c r="P1769" s="402">
        <f t="shared" ref="P1769:Q1769" si="1767">IF(B1769=0,0,IF(YEAR(B1769)=$Q$1,MONTH(B1769)-$P$1+1,(YEAR(B1769)-$Q$1)*12-$P$1+1+MONTH(B1769)))</f>
        <v>0</v>
      </c>
      <c r="Q1769" s="402">
        <f t="shared" si="1767"/>
        <v>0</v>
      </c>
      <c r="R1769" s="356" t="e">
        <f t="shared" si="1325"/>
        <v>#N/A</v>
      </c>
      <c r="S1769" s="269" t="str">
        <f>IF(D1769="","",IF(OR(D1769=Plano!$A$1,D1769=Plano!$B$1),"entrada","saída"))</f>
        <v/>
      </c>
      <c r="T1769" s="406"/>
      <c r="U1769" s="406"/>
      <c r="V1769" s="269"/>
      <c r="W1769" s="269"/>
    </row>
    <row r="1770" spans="1:23" ht="12.75" customHeight="1" x14ac:dyDescent="0.2">
      <c r="A1770" s="289" t="str">
        <f t="shared" si="0"/>
        <v/>
      </c>
      <c r="B1770" s="290"/>
      <c r="C1770" s="404"/>
      <c r="D1770" s="291"/>
      <c r="E1770" s="291"/>
      <c r="F1770" s="292"/>
      <c r="G1770" s="291"/>
      <c r="H1770" s="291"/>
      <c r="I1770" s="293"/>
      <c r="J1770" s="291"/>
      <c r="K1770" s="291"/>
      <c r="L1770" s="293"/>
      <c r="M1770" s="291"/>
      <c r="N1770" s="289"/>
      <c r="O1770" s="358"/>
      <c r="P1770" s="402">
        <f t="shared" ref="P1770:Q1770" si="1768">IF(B1770=0,0,IF(YEAR(B1770)=$Q$1,MONTH(B1770)-$P$1+1,(YEAR(B1770)-$Q$1)*12-$P$1+1+MONTH(B1770)))</f>
        <v>0</v>
      </c>
      <c r="Q1770" s="402">
        <f t="shared" si="1768"/>
        <v>0</v>
      </c>
      <c r="R1770" s="356" t="e">
        <f t="shared" si="1325"/>
        <v>#N/A</v>
      </c>
      <c r="S1770" s="269" t="str">
        <f>IF(D1770="","",IF(OR(D1770=Plano!$A$1,D1770=Plano!$B$1),"entrada","saída"))</f>
        <v/>
      </c>
      <c r="T1770" s="406"/>
      <c r="U1770" s="406"/>
      <c r="V1770" s="269"/>
      <c r="W1770" s="269"/>
    </row>
    <row r="1771" spans="1:23" ht="12.75" customHeight="1" x14ac:dyDescent="0.2">
      <c r="A1771" s="289" t="str">
        <f t="shared" si="0"/>
        <v/>
      </c>
      <c r="B1771" s="290"/>
      <c r="C1771" s="404"/>
      <c r="D1771" s="291"/>
      <c r="E1771" s="291"/>
      <c r="F1771" s="292"/>
      <c r="G1771" s="291"/>
      <c r="H1771" s="291"/>
      <c r="I1771" s="293"/>
      <c r="J1771" s="291"/>
      <c r="K1771" s="291"/>
      <c r="L1771" s="293"/>
      <c r="M1771" s="291"/>
      <c r="N1771" s="289"/>
      <c r="O1771" s="358"/>
      <c r="P1771" s="402">
        <f t="shared" ref="P1771:Q1771" si="1769">IF(B1771=0,0,IF(YEAR(B1771)=$Q$1,MONTH(B1771)-$P$1+1,(YEAR(B1771)-$Q$1)*12-$P$1+1+MONTH(B1771)))</f>
        <v>0</v>
      </c>
      <c r="Q1771" s="402">
        <f t="shared" si="1769"/>
        <v>0</v>
      </c>
      <c r="R1771" s="356" t="e">
        <f t="shared" si="1325"/>
        <v>#N/A</v>
      </c>
      <c r="S1771" s="269" t="str">
        <f>IF(D1771="","",IF(OR(D1771=Plano!$A$1,D1771=Plano!$B$1),"entrada","saída"))</f>
        <v/>
      </c>
      <c r="T1771" s="406"/>
      <c r="U1771" s="406"/>
      <c r="V1771" s="269"/>
      <c r="W1771" s="269"/>
    </row>
    <row r="1772" spans="1:23" ht="12.75" customHeight="1" x14ac:dyDescent="0.2">
      <c r="A1772" s="289" t="str">
        <f t="shared" si="0"/>
        <v/>
      </c>
      <c r="B1772" s="290"/>
      <c r="C1772" s="404"/>
      <c r="D1772" s="291"/>
      <c r="E1772" s="291"/>
      <c r="F1772" s="292"/>
      <c r="G1772" s="291"/>
      <c r="H1772" s="291"/>
      <c r="I1772" s="293"/>
      <c r="J1772" s="291"/>
      <c r="K1772" s="291"/>
      <c r="L1772" s="293"/>
      <c r="M1772" s="291"/>
      <c r="N1772" s="289"/>
      <c r="O1772" s="358"/>
      <c r="P1772" s="402">
        <f t="shared" ref="P1772:Q1772" si="1770">IF(B1772=0,0,IF(YEAR(B1772)=$Q$1,MONTH(B1772)-$P$1+1,(YEAR(B1772)-$Q$1)*12-$P$1+1+MONTH(B1772)))</f>
        <v>0</v>
      </c>
      <c r="Q1772" s="402">
        <f t="shared" si="1770"/>
        <v>0</v>
      </c>
      <c r="R1772" s="356" t="e">
        <f t="shared" si="1325"/>
        <v>#N/A</v>
      </c>
      <c r="S1772" s="269" t="str">
        <f>IF(D1772="","",IF(OR(D1772=Plano!$A$1,D1772=Plano!$B$1),"entrada","saída"))</f>
        <v/>
      </c>
      <c r="T1772" s="406"/>
      <c r="U1772" s="406"/>
      <c r="V1772" s="269"/>
      <c r="W1772" s="269"/>
    </row>
    <row r="1773" spans="1:23" ht="12.75" customHeight="1" x14ac:dyDescent="0.2">
      <c r="A1773" s="289" t="str">
        <f t="shared" si="0"/>
        <v/>
      </c>
      <c r="B1773" s="290"/>
      <c r="C1773" s="404"/>
      <c r="D1773" s="291"/>
      <c r="E1773" s="291"/>
      <c r="F1773" s="292"/>
      <c r="G1773" s="291"/>
      <c r="H1773" s="291"/>
      <c r="I1773" s="293"/>
      <c r="J1773" s="291"/>
      <c r="K1773" s="291"/>
      <c r="L1773" s="293"/>
      <c r="M1773" s="291"/>
      <c r="N1773" s="289"/>
      <c r="O1773" s="358"/>
      <c r="P1773" s="402">
        <f t="shared" ref="P1773:Q1773" si="1771">IF(B1773=0,0,IF(YEAR(B1773)=$Q$1,MONTH(B1773)-$P$1+1,(YEAR(B1773)-$Q$1)*12-$P$1+1+MONTH(B1773)))</f>
        <v>0</v>
      </c>
      <c r="Q1773" s="402">
        <f t="shared" si="1771"/>
        <v>0</v>
      </c>
      <c r="R1773" s="356" t="e">
        <f t="shared" si="1325"/>
        <v>#N/A</v>
      </c>
      <c r="S1773" s="269" t="str">
        <f>IF(D1773="","",IF(OR(D1773=Plano!$A$1,D1773=Plano!$B$1),"entrada","saída"))</f>
        <v/>
      </c>
      <c r="T1773" s="406"/>
      <c r="U1773" s="406"/>
      <c r="V1773" s="269"/>
      <c r="W1773" s="269"/>
    </row>
    <row r="1774" spans="1:23" ht="12.75" customHeight="1" x14ac:dyDescent="0.2">
      <c r="A1774" s="289" t="str">
        <f t="shared" si="0"/>
        <v/>
      </c>
      <c r="B1774" s="290"/>
      <c r="C1774" s="404"/>
      <c r="D1774" s="291"/>
      <c r="E1774" s="291"/>
      <c r="F1774" s="292"/>
      <c r="G1774" s="291"/>
      <c r="H1774" s="291"/>
      <c r="I1774" s="293"/>
      <c r="J1774" s="291"/>
      <c r="K1774" s="291"/>
      <c r="L1774" s="293"/>
      <c r="M1774" s="291"/>
      <c r="N1774" s="289"/>
      <c r="O1774" s="358"/>
      <c r="P1774" s="402">
        <f t="shared" ref="P1774:Q1774" si="1772">IF(B1774=0,0,IF(YEAR(B1774)=$Q$1,MONTH(B1774)-$P$1+1,(YEAR(B1774)-$Q$1)*12-$P$1+1+MONTH(B1774)))</f>
        <v>0</v>
      </c>
      <c r="Q1774" s="402">
        <f t="shared" si="1772"/>
        <v>0</v>
      </c>
      <c r="R1774" s="356" t="e">
        <f t="shared" si="1325"/>
        <v>#N/A</v>
      </c>
      <c r="S1774" s="269" t="str">
        <f>IF(D1774="","",IF(OR(D1774=Plano!$A$1,D1774=Plano!$B$1),"entrada","saída"))</f>
        <v/>
      </c>
      <c r="T1774" s="406"/>
      <c r="U1774" s="406"/>
      <c r="V1774" s="269"/>
      <c r="W1774" s="269"/>
    </row>
    <row r="1775" spans="1:23" ht="12.75" customHeight="1" x14ac:dyDescent="0.2">
      <c r="A1775" s="289" t="str">
        <f t="shared" si="0"/>
        <v/>
      </c>
      <c r="B1775" s="290"/>
      <c r="C1775" s="404"/>
      <c r="D1775" s="291"/>
      <c r="E1775" s="291"/>
      <c r="F1775" s="292"/>
      <c r="G1775" s="291"/>
      <c r="H1775" s="291"/>
      <c r="I1775" s="293"/>
      <c r="J1775" s="291"/>
      <c r="K1775" s="291"/>
      <c r="L1775" s="293"/>
      <c r="M1775" s="291"/>
      <c r="N1775" s="289"/>
      <c r="O1775" s="358"/>
      <c r="P1775" s="402">
        <f t="shared" ref="P1775:Q1775" si="1773">IF(B1775=0,0,IF(YEAR(B1775)=$Q$1,MONTH(B1775)-$P$1+1,(YEAR(B1775)-$Q$1)*12-$P$1+1+MONTH(B1775)))</f>
        <v>0</v>
      </c>
      <c r="Q1775" s="402">
        <f t="shared" si="1773"/>
        <v>0</v>
      </c>
      <c r="R1775" s="356" t="e">
        <f t="shared" si="1325"/>
        <v>#N/A</v>
      </c>
      <c r="S1775" s="269" t="str">
        <f>IF(D1775="","",IF(OR(D1775=Plano!$A$1,D1775=Plano!$B$1),"entrada","saída"))</f>
        <v/>
      </c>
      <c r="T1775" s="406"/>
      <c r="U1775" s="406"/>
      <c r="V1775" s="269"/>
      <c r="W1775" s="269"/>
    </row>
    <row r="1776" spans="1:23" ht="12.75" customHeight="1" x14ac:dyDescent="0.2">
      <c r="A1776" s="289" t="str">
        <f t="shared" si="0"/>
        <v/>
      </c>
      <c r="B1776" s="290"/>
      <c r="C1776" s="404"/>
      <c r="D1776" s="291"/>
      <c r="E1776" s="291"/>
      <c r="F1776" s="292"/>
      <c r="G1776" s="291"/>
      <c r="H1776" s="291"/>
      <c r="I1776" s="293"/>
      <c r="J1776" s="291"/>
      <c r="K1776" s="291"/>
      <c r="L1776" s="293"/>
      <c r="M1776" s="291"/>
      <c r="N1776" s="289"/>
      <c r="O1776" s="358"/>
      <c r="P1776" s="402">
        <f t="shared" ref="P1776:Q1776" si="1774">IF(B1776=0,0,IF(YEAR(B1776)=$Q$1,MONTH(B1776)-$P$1+1,(YEAR(B1776)-$Q$1)*12-$P$1+1+MONTH(B1776)))</f>
        <v>0</v>
      </c>
      <c r="Q1776" s="402">
        <f t="shared" si="1774"/>
        <v>0</v>
      </c>
      <c r="R1776" s="356" t="e">
        <f t="shared" si="1325"/>
        <v>#N/A</v>
      </c>
      <c r="S1776" s="269" t="str">
        <f>IF(D1776="","",IF(OR(D1776=Plano!$A$1,D1776=Plano!$B$1),"entrada","saída"))</f>
        <v/>
      </c>
      <c r="T1776" s="406"/>
      <c r="U1776" s="406"/>
      <c r="V1776" s="269"/>
      <c r="W1776" s="269"/>
    </row>
    <row r="1777" spans="1:23" ht="12.75" customHeight="1" x14ac:dyDescent="0.2">
      <c r="A1777" s="289" t="str">
        <f t="shared" si="0"/>
        <v/>
      </c>
      <c r="B1777" s="290"/>
      <c r="C1777" s="404"/>
      <c r="D1777" s="291"/>
      <c r="E1777" s="291"/>
      <c r="F1777" s="292"/>
      <c r="G1777" s="291"/>
      <c r="H1777" s="291"/>
      <c r="I1777" s="293"/>
      <c r="J1777" s="291"/>
      <c r="K1777" s="291"/>
      <c r="L1777" s="293"/>
      <c r="M1777" s="291"/>
      <c r="N1777" s="289"/>
      <c r="O1777" s="358"/>
      <c r="P1777" s="402">
        <f t="shared" ref="P1777:Q1777" si="1775">IF(B1777=0,0,IF(YEAR(B1777)=$Q$1,MONTH(B1777)-$P$1+1,(YEAR(B1777)-$Q$1)*12-$P$1+1+MONTH(B1777)))</f>
        <v>0</v>
      </c>
      <c r="Q1777" s="402">
        <f t="shared" si="1775"/>
        <v>0</v>
      </c>
      <c r="R1777" s="356" t="e">
        <f t="shared" si="1325"/>
        <v>#N/A</v>
      </c>
      <c r="S1777" s="269" t="str">
        <f>IF(D1777="","",IF(OR(D1777=Plano!$A$1,D1777=Plano!$B$1),"entrada","saída"))</f>
        <v/>
      </c>
      <c r="T1777" s="406"/>
      <c r="U1777" s="406"/>
      <c r="V1777" s="269"/>
      <c r="W1777" s="269"/>
    </row>
    <row r="1778" spans="1:23" ht="12.75" customHeight="1" x14ac:dyDescent="0.2">
      <c r="A1778" s="289" t="str">
        <f t="shared" si="0"/>
        <v/>
      </c>
      <c r="B1778" s="290"/>
      <c r="C1778" s="404"/>
      <c r="D1778" s="291"/>
      <c r="E1778" s="291"/>
      <c r="F1778" s="292"/>
      <c r="G1778" s="291"/>
      <c r="H1778" s="291"/>
      <c r="I1778" s="293"/>
      <c r="J1778" s="291"/>
      <c r="K1778" s="291"/>
      <c r="L1778" s="293"/>
      <c r="M1778" s="291"/>
      <c r="N1778" s="289"/>
      <c r="O1778" s="358"/>
      <c r="P1778" s="402">
        <f t="shared" ref="P1778:Q1778" si="1776">IF(B1778=0,0,IF(YEAR(B1778)=$Q$1,MONTH(B1778)-$P$1+1,(YEAR(B1778)-$Q$1)*12-$P$1+1+MONTH(B1778)))</f>
        <v>0</v>
      </c>
      <c r="Q1778" s="402">
        <f t="shared" si="1776"/>
        <v>0</v>
      </c>
      <c r="R1778" s="356" t="e">
        <f t="shared" si="1325"/>
        <v>#N/A</v>
      </c>
      <c r="S1778" s="269" t="str">
        <f>IF(D1778="","",IF(OR(D1778=Plano!$A$1,D1778=Plano!$B$1),"entrada","saída"))</f>
        <v/>
      </c>
      <c r="T1778" s="406"/>
      <c r="U1778" s="406"/>
      <c r="V1778" s="269"/>
      <c r="W1778" s="269"/>
    </row>
    <row r="1779" spans="1:23" ht="12.75" customHeight="1" x14ac:dyDescent="0.2">
      <c r="A1779" s="289" t="str">
        <f t="shared" si="0"/>
        <v/>
      </c>
      <c r="B1779" s="290"/>
      <c r="C1779" s="404"/>
      <c r="D1779" s="291"/>
      <c r="E1779" s="291"/>
      <c r="F1779" s="292"/>
      <c r="G1779" s="291"/>
      <c r="H1779" s="291"/>
      <c r="I1779" s="293"/>
      <c r="J1779" s="291"/>
      <c r="K1779" s="291"/>
      <c r="L1779" s="293"/>
      <c r="M1779" s="291"/>
      <c r="N1779" s="289"/>
      <c r="O1779" s="358"/>
      <c r="P1779" s="402">
        <f t="shared" ref="P1779:Q1779" si="1777">IF(B1779=0,0,IF(YEAR(B1779)=$Q$1,MONTH(B1779)-$P$1+1,(YEAR(B1779)-$Q$1)*12-$P$1+1+MONTH(B1779)))</f>
        <v>0</v>
      </c>
      <c r="Q1779" s="402">
        <f t="shared" si="1777"/>
        <v>0</v>
      </c>
      <c r="R1779" s="356" t="e">
        <f t="shared" si="1325"/>
        <v>#N/A</v>
      </c>
      <c r="S1779" s="269" t="str">
        <f>IF(D1779="","",IF(OR(D1779=Plano!$A$1,D1779=Plano!$B$1),"entrada","saída"))</f>
        <v/>
      </c>
      <c r="T1779" s="406"/>
      <c r="U1779" s="406"/>
      <c r="V1779" s="269"/>
      <c r="W1779" s="269"/>
    </row>
    <row r="1780" spans="1:23" ht="12.75" customHeight="1" x14ac:dyDescent="0.2">
      <c r="A1780" s="289" t="str">
        <f t="shared" si="0"/>
        <v/>
      </c>
      <c r="B1780" s="290"/>
      <c r="C1780" s="404"/>
      <c r="D1780" s="291"/>
      <c r="E1780" s="291"/>
      <c r="F1780" s="292"/>
      <c r="G1780" s="291"/>
      <c r="H1780" s="291"/>
      <c r="I1780" s="293"/>
      <c r="J1780" s="291"/>
      <c r="K1780" s="291"/>
      <c r="L1780" s="293"/>
      <c r="M1780" s="291"/>
      <c r="N1780" s="289"/>
      <c r="O1780" s="358"/>
      <c r="P1780" s="402">
        <f t="shared" ref="P1780:Q1780" si="1778">IF(B1780=0,0,IF(YEAR(B1780)=$Q$1,MONTH(B1780)-$P$1+1,(YEAR(B1780)-$Q$1)*12-$P$1+1+MONTH(B1780)))</f>
        <v>0</v>
      </c>
      <c r="Q1780" s="402">
        <f t="shared" si="1778"/>
        <v>0</v>
      </c>
      <c r="R1780" s="356" t="e">
        <f t="shared" si="1325"/>
        <v>#N/A</v>
      </c>
      <c r="S1780" s="269" t="str">
        <f>IF(D1780="","",IF(OR(D1780=Plano!$A$1,D1780=Plano!$B$1),"entrada","saída"))</f>
        <v/>
      </c>
      <c r="T1780" s="406"/>
      <c r="U1780" s="406"/>
      <c r="V1780" s="269"/>
      <c r="W1780" s="269"/>
    </row>
    <row r="1781" spans="1:23" ht="12.75" customHeight="1" x14ac:dyDescent="0.2">
      <c r="A1781" s="289" t="str">
        <f t="shared" si="0"/>
        <v/>
      </c>
      <c r="B1781" s="290"/>
      <c r="C1781" s="404"/>
      <c r="D1781" s="291"/>
      <c r="E1781" s="291"/>
      <c r="F1781" s="292"/>
      <c r="G1781" s="291"/>
      <c r="H1781" s="291"/>
      <c r="I1781" s="293"/>
      <c r="J1781" s="291"/>
      <c r="K1781" s="291"/>
      <c r="L1781" s="293"/>
      <c r="M1781" s="291"/>
      <c r="N1781" s="289"/>
      <c r="O1781" s="358"/>
      <c r="P1781" s="402">
        <f t="shared" ref="P1781:Q1781" si="1779">IF(B1781=0,0,IF(YEAR(B1781)=$Q$1,MONTH(B1781)-$P$1+1,(YEAR(B1781)-$Q$1)*12-$P$1+1+MONTH(B1781)))</f>
        <v>0</v>
      </c>
      <c r="Q1781" s="402">
        <f t="shared" si="1779"/>
        <v>0</v>
      </c>
      <c r="R1781" s="356" t="e">
        <f t="shared" si="1325"/>
        <v>#N/A</v>
      </c>
      <c r="S1781" s="269" t="str">
        <f>IF(D1781="","",IF(OR(D1781=Plano!$A$1,D1781=Plano!$B$1),"entrada","saída"))</f>
        <v/>
      </c>
      <c r="T1781" s="406"/>
      <c r="U1781" s="406"/>
      <c r="V1781" s="269"/>
      <c r="W1781" s="269"/>
    </row>
    <row r="1782" spans="1:23" ht="12.75" customHeight="1" x14ac:dyDescent="0.2">
      <c r="A1782" s="289" t="str">
        <f t="shared" si="0"/>
        <v/>
      </c>
      <c r="B1782" s="290"/>
      <c r="C1782" s="404"/>
      <c r="D1782" s="291"/>
      <c r="E1782" s="291"/>
      <c r="F1782" s="292"/>
      <c r="G1782" s="291"/>
      <c r="H1782" s="291"/>
      <c r="I1782" s="293"/>
      <c r="J1782" s="291"/>
      <c r="K1782" s="291"/>
      <c r="L1782" s="293"/>
      <c r="M1782" s="291"/>
      <c r="N1782" s="289"/>
      <c r="O1782" s="358"/>
      <c r="P1782" s="402">
        <f t="shared" ref="P1782:Q1782" si="1780">IF(B1782=0,0,IF(YEAR(B1782)=$Q$1,MONTH(B1782)-$P$1+1,(YEAR(B1782)-$Q$1)*12-$P$1+1+MONTH(B1782)))</f>
        <v>0</v>
      </c>
      <c r="Q1782" s="402">
        <f t="shared" si="1780"/>
        <v>0</v>
      </c>
      <c r="R1782" s="356" t="e">
        <f t="shared" si="1325"/>
        <v>#N/A</v>
      </c>
      <c r="S1782" s="269" t="str">
        <f>IF(D1782="","",IF(OR(D1782=Plano!$A$1,D1782=Plano!$B$1),"entrada","saída"))</f>
        <v/>
      </c>
      <c r="T1782" s="406"/>
      <c r="U1782" s="406"/>
      <c r="V1782" s="269"/>
      <c r="W1782" s="269"/>
    </row>
    <row r="1783" spans="1:23" ht="12.75" customHeight="1" x14ac:dyDescent="0.2">
      <c r="A1783" s="289" t="str">
        <f t="shared" si="0"/>
        <v/>
      </c>
      <c r="B1783" s="290"/>
      <c r="C1783" s="404"/>
      <c r="D1783" s="291"/>
      <c r="E1783" s="291"/>
      <c r="F1783" s="292"/>
      <c r="G1783" s="291"/>
      <c r="H1783" s="291"/>
      <c r="I1783" s="293"/>
      <c r="J1783" s="291"/>
      <c r="K1783" s="291"/>
      <c r="L1783" s="293"/>
      <c r="M1783" s="291"/>
      <c r="N1783" s="289"/>
      <c r="O1783" s="358"/>
      <c r="P1783" s="402">
        <f t="shared" ref="P1783:Q1783" si="1781">IF(B1783=0,0,IF(YEAR(B1783)=$Q$1,MONTH(B1783)-$P$1+1,(YEAR(B1783)-$Q$1)*12-$P$1+1+MONTH(B1783)))</f>
        <v>0</v>
      </c>
      <c r="Q1783" s="402">
        <f t="shared" si="1781"/>
        <v>0</v>
      </c>
      <c r="R1783" s="356" t="e">
        <f t="shared" si="1325"/>
        <v>#N/A</v>
      </c>
      <c r="S1783" s="269" t="str">
        <f>IF(D1783="","",IF(OR(D1783=Plano!$A$1,D1783=Plano!$B$1),"entrada","saída"))</f>
        <v/>
      </c>
      <c r="T1783" s="406"/>
      <c r="U1783" s="406"/>
      <c r="V1783" s="269"/>
      <c r="W1783" s="269"/>
    </row>
    <row r="1784" spans="1:23" ht="12.75" customHeight="1" x14ac:dyDescent="0.2">
      <c r="A1784" s="289" t="str">
        <f t="shared" si="0"/>
        <v/>
      </c>
      <c r="B1784" s="290"/>
      <c r="C1784" s="404"/>
      <c r="D1784" s="291"/>
      <c r="E1784" s="291"/>
      <c r="F1784" s="292"/>
      <c r="G1784" s="291"/>
      <c r="H1784" s="291"/>
      <c r="I1784" s="293"/>
      <c r="J1784" s="291"/>
      <c r="K1784" s="291"/>
      <c r="L1784" s="293"/>
      <c r="M1784" s="291"/>
      <c r="N1784" s="289"/>
      <c r="O1784" s="358"/>
      <c r="P1784" s="402">
        <f t="shared" ref="P1784:Q1784" si="1782">IF(B1784=0,0,IF(YEAR(B1784)=$Q$1,MONTH(B1784)-$P$1+1,(YEAR(B1784)-$Q$1)*12-$P$1+1+MONTH(B1784)))</f>
        <v>0</v>
      </c>
      <c r="Q1784" s="402">
        <f t="shared" si="1782"/>
        <v>0</v>
      </c>
      <c r="R1784" s="356" t="e">
        <f t="shared" si="1325"/>
        <v>#N/A</v>
      </c>
      <c r="S1784" s="269" t="str">
        <f>IF(D1784="","",IF(OR(D1784=Plano!$A$1,D1784=Plano!$B$1),"entrada","saída"))</f>
        <v/>
      </c>
      <c r="T1784" s="406"/>
      <c r="U1784" s="406"/>
      <c r="V1784" s="269"/>
      <c r="W1784" s="269"/>
    </row>
    <row r="1785" spans="1:23" ht="12.75" customHeight="1" x14ac:dyDescent="0.2">
      <c r="A1785" s="289" t="str">
        <f t="shared" si="0"/>
        <v/>
      </c>
      <c r="B1785" s="290"/>
      <c r="C1785" s="404"/>
      <c r="D1785" s="291"/>
      <c r="E1785" s="291"/>
      <c r="F1785" s="292"/>
      <c r="G1785" s="291"/>
      <c r="H1785" s="291"/>
      <c r="I1785" s="293"/>
      <c r="J1785" s="291"/>
      <c r="K1785" s="291"/>
      <c r="L1785" s="293"/>
      <c r="M1785" s="291"/>
      <c r="N1785" s="289"/>
      <c r="O1785" s="358"/>
      <c r="P1785" s="402">
        <f t="shared" ref="P1785:Q1785" si="1783">IF(B1785=0,0,IF(YEAR(B1785)=$Q$1,MONTH(B1785)-$P$1+1,(YEAR(B1785)-$Q$1)*12-$P$1+1+MONTH(B1785)))</f>
        <v>0</v>
      </c>
      <c r="Q1785" s="402">
        <f t="shared" si="1783"/>
        <v>0</v>
      </c>
      <c r="R1785" s="356" t="e">
        <f t="shared" si="1325"/>
        <v>#N/A</v>
      </c>
      <c r="S1785" s="269" t="str">
        <f>IF(D1785="","",IF(OR(D1785=Plano!$A$1,D1785=Plano!$B$1),"entrada","saída"))</f>
        <v/>
      </c>
      <c r="T1785" s="406"/>
      <c r="U1785" s="406"/>
      <c r="V1785" s="269"/>
      <c r="W1785" s="269"/>
    </row>
    <row r="1786" spans="1:23" ht="12.75" customHeight="1" x14ac:dyDescent="0.2">
      <c r="A1786" s="289" t="str">
        <f t="shared" si="0"/>
        <v/>
      </c>
      <c r="B1786" s="290"/>
      <c r="C1786" s="404"/>
      <c r="D1786" s="291"/>
      <c r="E1786" s="291"/>
      <c r="F1786" s="292"/>
      <c r="G1786" s="291"/>
      <c r="H1786" s="291"/>
      <c r="I1786" s="293"/>
      <c r="J1786" s="291"/>
      <c r="K1786" s="291"/>
      <c r="L1786" s="293"/>
      <c r="M1786" s="291"/>
      <c r="N1786" s="289"/>
      <c r="O1786" s="358"/>
      <c r="P1786" s="402">
        <f t="shared" ref="P1786:Q1786" si="1784">IF(B1786=0,0,IF(YEAR(B1786)=$Q$1,MONTH(B1786)-$P$1+1,(YEAR(B1786)-$Q$1)*12-$P$1+1+MONTH(B1786)))</f>
        <v>0</v>
      </c>
      <c r="Q1786" s="402">
        <f t="shared" si="1784"/>
        <v>0</v>
      </c>
      <c r="R1786" s="356" t="e">
        <f t="shared" si="1325"/>
        <v>#N/A</v>
      </c>
      <c r="S1786" s="269" t="str">
        <f>IF(D1786="","",IF(OR(D1786=Plano!$A$1,D1786=Plano!$B$1),"entrada","saída"))</f>
        <v/>
      </c>
      <c r="T1786" s="406"/>
      <c r="U1786" s="406"/>
      <c r="V1786" s="269"/>
      <c r="W1786" s="269"/>
    </row>
    <row r="1787" spans="1:23" ht="12.75" customHeight="1" x14ac:dyDescent="0.2">
      <c r="A1787" s="289" t="str">
        <f t="shared" si="0"/>
        <v/>
      </c>
      <c r="B1787" s="290"/>
      <c r="C1787" s="404"/>
      <c r="D1787" s="291"/>
      <c r="E1787" s="291"/>
      <c r="F1787" s="292"/>
      <c r="G1787" s="291"/>
      <c r="H1787" s="291"/>
      <c r="I1787" s="293"/>
      <c r="J1787" s="291"/>
      <c r="K1787" s="291"/>
      <c r="L1787" s="293"/>
      <c r="M1787" s="291"/>
      <c r="N1787" s="289"/>
      <c r="O1787" s="358"/>
      <c r="P1787" s="402">
        <f t="shared" ref="P1787:Q1787" si="1785">IF(B1787=0,0,IF(YEAR(B1787)=$Q$1,MONTH(B1787)-$P$1+1,(YEAR(B1787)-$Q$1)*12-$P$1+1+MONTH(B1787)))</f>
        <v>0</v>
      </c>
      <c r="Q1787" s="402">
        <f t="shared" si="1785"/>
        <v>0</v>
      </c>
      <c r="R1787" s="356" t="e">
        <f t="shared" si="1325"/>
        <v>#N/A</v>
      </c>
      <c r="S1787" s="269" t="str">
        <f>IF(D1787="","",IF(OR(D1787=Plano!$A$1,D1787=Plano!$B$1),"entrada","saída"))</f>
        <v/>
      </c>
      <c r="T1787" s="406"/>
      <c r="U1787" s="406"/>
      <c r="V1787" s="269"/>
      <c r="W1787" s="269"/>
    </row>
    <row r="1788" spans="1:23" ht="12.75" customHeight="1" x14ac:dyDescent="0.2">
      <c r="A1788" s="289" t="str">
        <f t="shared" si="0"/>
        <v/>
      </c>
      <c r="B1788" s="290"/>
      <c r="C1788" s="404"/>
      <c r="D1788" s="291"/>
      <c r="E1788" s="291"/>
      <c r="F1788" s="292"/>
      <c r="G1788" s="291"/>
      <c r="H1788" s="291"/>
      <c r="I1788" s="293"/>
      <c r="J1788" s="291"/>
      <c r="K1788" s="291"/>
      <c r="L1788" s="293"/>
      <c r="M1788" s="291"/>
      <c r="N1788" s="289"/>
      <c r="O1788" s="358"/>
      <c r="P1788" s="402">
        <f t="shared" ref="P1788:Q1788" si="1786">IF(B1788=0,0,IF(YEAR(B1788)=$Q$1,MONTH(B1788)-$P$1+1,(YEAR(B1788)-$Q$1)*12-$P$1+1+MONTH(B1788)))</f>
        <v>0</v>
      </c>
      <c r="Q1788" s="402">
        <f t="shared" si="1786"/>
        <v>0</v>
      </c>
      <c r="R1788" s="356" t="e">
        <f t="shared" si="1325"/>
        <v>#N/A</v>
      </c>
      <c r="S1788" s="269" t="str">
        <f>IF(D1788="","",IF(OR(D1788=Plano!$A$1,D1788=Plano!$B$1),"entrada","saída"))</f>
        <v/>
      </c>
      <c r="T1788" s="406"/>
      <c r="U1788" s="406"/>
      <c r="V1788" s="269"/>
      <c r="W1788" s="269"/>
    </row>
    <row r="1789" spans="1:23" ht="12.75" customHeight="1" x14ac:dyDescent="0.2">
      <c r="A1789" s="289" t="str">
        <f t="shared" si="0"/>
        <v/>
      </c>
      <c r="B1789" s="290"/>
      <c r="C1789" s="404"/>
      <c r="D1789" s="291"/>
      <c r="E1789" s="291"/>
      <c r="F1789" s="292"/>
      <c r="G1789" s="291"/>
      <c r="H1789" s="291"/>
      <c r="I1789" s="293"/>
      <c r="J1789" s="291"/>
      <c r="K1789" s="291"/>
      <c r="L1789" s="293"/>
      <c r="M1789" s="291"/>
      <c r="N1789" s="289"/>
      <c r="O1789" s="358"/>
      <c r="P1789" s="402">
        <f t="shared" ref="P1789:Q1789" si="1787">IF(B1789=0,0,IF(YEAR(B1789)=$Q$1,MONTH(B1789)-$P$1+1,(YEAR(B1789)-$Q$1)*12-$P$1+1+MONTH(B1789)))</f>
        <v>0</v>
      </c>
      <c r="Q1789" s="402">
        <f t="shared" si="1787"/>
        <v>0</v>
      </c>
      <c r="R1789" s="356" t="e">
        <f t="shared" si="1325"/>
        <v>#N/A</v>
      </c>
      <c r="S1789" s="269" t="str">
        <f>IF(D1789="","",IF(OR(D1789=Plano!$A$1,D1789=Plano!$B$1),"entrada","saída"))</f>
        <v/>
      </c>
      <c r="T1789" s="406"/>
      <c r="U1789" s="406"/>
      <c r="V1789" s="269"/>
      <c r="W1789" s="269"/>
    </row>
    <row r="1790" spans="1:23" ht="12.75" customHeight="1" x14ac:dyDescent="0.2">
      <c r="A1790" s="289" t="str">
        <f t="shared" si="0"/>
        <v/>
      </c>
      <c r="B1790" s="290"/>
      <c r="C1790" s="404"/>
      <c r="D1790" s="291"/>
      <c r="E1790" s="291"/>
      <c r="F1790" s="292"/>
      <c r="G1790" s="291"/>
      <c r="H1790" s="291"/>
      <c r="I1790" s="293"/>
      <c r="J1790" s="291"/>
      <c r="K1790" s="291"/>
      <c r="L1790" s="293"/>
      <c r="M1790" s="291"/>
      <c r="N1790" s="289"/>
      <c r="O1790" s="358"/>
      <c r="P1790" s="402">
        <f t="shared" ref="P1790:Q1790" si="1788">IF(B1790=0,0,IF(YEAR(B1790)=$Q$1,MONTH(B1790)-$P$1+1,(YEAR(B1790)-$Q$1)*12-$P$1+1+MONTH(B1790)))</f>
        <v>0</v>
      </c>
      <c r="Q1790" s="402">
        <f t="shared" si="1788"/>
        <v>0</v>
      </c>
      <c r="R1790" s="356" t="e">
        <f t="shared" si="1325"/>
        <v>#N/A</v>
      </c>
      <c r="S1790" s="269" t="str">
        <f>IF(D1790="","",IF(OR(D1790=Plano!$A$1,D1790=Plano!$B$1),"entrada","saída"))</f>
        <v/>
      </c>
      <c r="T1790" s="406"/>
      <c r="U1790" s="406"/>
      <c r="V1790" s="269"/>
      <c r="W1790" s="269"/>
    </row>
    <row r="1791" spans="1:23" ht="12.75" customHeight="1" x14ac:dyDescent="0.2">
      <c r="A1791" s="289" t="str">
        <f t="shared" si="0"/>
        <v/>
      </c>
      <c r="B1791" s="290"/>
      <c r="C1791" s="404"/>
      <c r="D1791" s="291"/>
      <c r="E1791" s="291"/>
      <c r="F1791" s="292"/>
      <c r="G1791" s="291"/>
      <c r="H1791" s="291"/>
      <c r="I1791" s="293"/>
      <c r="J1791" s="291"/>
      <c r="K1791" s="291"/>
      <c r="L1791" s="293"/>
      <c r="M1791" s="291"/>
      <c r="N1791" s="289"/>
      <c r="O1791" s="358"/>
      <c r="P1791" s="402">
        <f t="shared" ref="P1791:Q1791" si="1789">IF(B1791=0,0,IF(YEAR(B1791)=$Q$1,MONTH(B1791)-$P$1+1,(YEAR(B1791)-$Q$1)*12-$P$1+1+MONTH(B1791)))</f>
        <v>0</v>
      </c>
      <c r="Q1791" s="402">
        <f t="shared" si="1789"/>
        <v>0</v>
      </c>
      <c r="R1791" s="356" t="e">
        <f t="shared" si="1325"/>
        <v>#N/A</v>
      </c>
      <c r="S1791" s="269" t="str">
        <f>IF(D1791="","",IF(OR(D1791=Plano!$A$1,D1791=Plano!$B$1),"entrada","saída"))</f>
        <v/>
      </c>
      <c r="T1791" s="406"/>
      <c r="U1791" s="406"/>
      <c r="V1791" s="269"/>
      <c r="W1791" s="269"/>
    </row>
    <row r="1792" spans="1:23" ht="12.75" customHeight="1" x14ac:dyDescent="0.2">
      <c r="A1792" s="289" t="str">
        <f t="shared" si="0"/>
        <v/>
      </c>
      <c r="B1792" s="290"/>
      <c r="C1792" s="404"/>
      <c r="D1792" s="291"/>
      <c r="E1792" s="291"/>
      <c r="F1792" s="292"/>
      <c r="G1792" s="291"/>
      <c r="H1792" s="291"/>
      <c r="I1792" s="293"/>
      <c r="J1792" s="291"/>
      <c r="K1792" s="291"/>
      <c r="L1792" s="293"/>
      <c r="M1792" s="291"/>
      <c r="N1792" s="289"/>
      <c r="O1792" s="358"/>
      <c r="P1792" s="402">
        <f t="shared" ref="P1792:Q1792" si="1790">IF(B1792=0,0,IF(YEAR(B1792)=$Q$1,MONTH(B1792)-$P$1+1,(YEAR(B1792)-$Q$1)*12-$P$1+1+MONTH(B1792)))</f>
        <v>0</v>
      </c>
      <c r="Q1792" s="402">
        <f t="shared" si="1790"/>
        <v>0</v>
      </c>
      <c r="R1792" s="356" t="e">
        <f t="shared" si="1325"/>
        <v>#N/A</v>
      </c>
      <c r="S1792" s="269" t="str">
        <f>IF(D1792="","",IF(OR(D1792=Plano!$A$1,D1792=Plano!$B$1),"entrada","saída"))</f>
        <v/>
      </c>
      <c r="T1792" s="406"/>
      <c r="U1792" s="406"/>
      <c r="V1792" s="269"/>
      <c r="W1792" s="269"/>
    </row>
    <row r="1793" spans="1:23" ht="12.75" customHeight="1" x14ac:dyDescent="0.2">
      <c r="A1793" s="289" t="str">
        <f t="shared" si="0"/>
        <v/>
      </c>
      <c r="B1793" s="290"/>
      <c r="C1793" s="404"/>
      <c r="D1793" s="291"/>
      <c r="E1793" s="291"/>
      <c r="F1793" s="292"/>
      <c r="G1793" s="291"/>
      <c r="H1793" s="291"/>
      <c r="I1793" s="293"/>
      <c r="J1793" s="291"/>
      <c r="K1793" s="291"/>
      <c r="L1793" s="293"/>
      <c r="M1793" s="291"/>
      <c r="N1793" s="289"/>
      <c r="O1793" s="358"/>
      <c r="P1793" s="402">
        <f t="shared" ref="P1793:Q1793" si="1791">IF(B1793=0,0,IF(YEAR(B1793)=$Q$1,MONTH(B1793)-$P$1+1,(YEAR(B1793)-$Q$1)*12-$P$1+1+MONTH(B1793)))</f>
        <v>0</v>
      </c>
      <c r="Q1793" s="402">
        <f t="shared" si="1791"/>
        <v>0</v>
      </c>
      <c r="R1793" s="356" t="e">
        <f t="shared" si="1325"/>
        <v>#N/A</v>
      </c>
      <c r="S1793" s="269" t="str">
        <f>IF(D1793="","",IF(OR(D1793=Plano!$A$1,D1793=Plano!$B$1),"entrada","saída"))</f>
        <v/>
      </c>
      <c r="T1793" s="406"/>
      <c r="U1793" s="406"/>
      <c r="V1793" s="269"/>
      <c r="W1793" s="269"/>
    </row>
    <row r="1794" spans="1:23" ht="12.75" customHeight="1" x14ac:dyDescent="0.2">
      <c r="A1794" s="289" t="str">
        <f t="shared" si="0"/>
        <v/>
      </c>
      <c r="B1794" s="290"/>
      <c r="C1794" s="404"/>
      <c r="D1794" s="291"/>
      <c r="E1794" s="291"/>
      <c r="F1794" s="292"/>
      <c r="G1794" s="291"/>
      <c r="H1794" s="291"/>
      <c r="I1794" s="293"/>
      <c r="J1794" s="291"/>
      <c r="K1794" s="291"/>
      <c r="L1794" s="293"/>
      <c r="M1794" s="291"/>
      <c r="N1794" s="289"/>
      <c r="O1794" s="358"/>
      <c r="P1794" s="402">
        <f t="shared" ref="P1794:Q1794" si="1792">IF(B1794=0,0,IF(YEAR(B1794)=$Q$1,MONTH(B1794)-$P$1+1,(YEAR(B1794)-$Q$1)*12-$P$1+1+MONTH(B1794)))</f>
        <v>0</v>
      </c>
      <c r="Q1794" s="402">
        <f t="shared" si="1792"/>
        <v>0</v>
      </c>
      <c r="R1794" s="356" t="e">
        <f t="shared" si="1325"/>
        <v>#N/A</v>
      </c>
      <c r="S1794" s="269" t="str">
        <f>IF(D1794="","",IF(OR(D1794=Plano!$A$1,D1794=Plano!$B$1),"entrada","saída"))</f>
        <v/>
      </c>
      <c r="T1794" s="406"/>
      <c r="U1794" s="406"/>
      <c r="V1794" s="269"/>
      <c r="W1794" s="269"/>
    </row>
    <row r="1795" spans="1:23" ht="12.75" customHeight="1" x14ac:dyDescent="0.2">
      <c r="A1795" s="289" t="str">
        <f t="shared" si="0"/>
        <v/>
      </c>
      <c r="B1795" s="290"/>
      <c r="C1795" s="404"/>
      <c r="D1795" s="291"/>
      <c r="E1795" s="291"/>
      <c r="F1795" s="292"/>
      <c r="G1795" s="291"/>
      <c r="H1795" s="291"/>
      <c r="I1795" s="293"/>
      <c r="J1795" s="291"/>
      <c r="K1795" s="291"/>
      <c r="L1795" s="293"/>
      <c r="M1795" s="291"/>
      <c r="N1795" s="289"/>
      <c r="O1795" s="358"/>
      <c r="P1795" s="402">
        <f t="shared" ref="P1795:Q1795" si="1793">IF(B1795=0,0,IF(YEAR(B1795)=$Q$1,MONTH(B1795)-$P$1+1,(YEAR(B1795)-$Q$1)*12-$P$1+1+MONTH(B1795)))</f>
        <v>0</v>
      </c>
      <c r="Q1795" s="402">
        <f t="shared" si="1793"/>
        <v>0</v>
      </c>
      <c r="R1795" s="356" t="e">
        <f t="shared" si="1325"/>
        <v>#N/A</v>
      </c>
      <c r="S1795" s="269" t="str">
        <f>IF(D1795="","",IF(OR(D1795=Plano!$A$1,D1795=Plano!$B$1),"entrada","saída"))</f>
        <v/>
      </c>
      <c r="T1795" s="406"/>
      <c r="U1795" s="406"/>
      <c r="V1795" s="269"/>
      <c r="W1795" s="269"/>
    </row>
    <row r="1796" spans="1:23" ht="12.75" customHeight="1" x14ac:dyDescent="0.2">
      <c r="A1796" s="289" t="str">
        <f t="shared" si="0"/>
        <v/>
      </c>
      <c r="B1796" s="290"/>
      <c r="C1796" s="404"/>
      <c r="D1796" s="291"/>
      <c r="E1796" s="291"/>
      <c r="F1796" s="292"/>
      <c r="G1796" s="291"/>
      <c r="H1796" s="291"/>
      <c r="I1796" s="293"/>
      <c r="J1796" s="291"/>
      <c r="K1796" s="291"/>
      <c r="L1796" s="293"/>
      <c r="M1796" s="291"/>
      <c r="N1796" s="289"/>
      <c r="O1796" s="358"/>
      <c r="P1796" s="402">
        <f t="shared" ref="P1796:Q1796" si="1794">IF(B1796=0,0,IF(YEAR(B1796)=$Q$1,MONTH(B1796)-$P$1+1,(YEAR(B1796)-$Q$1)*12-$P$1+1+MONTH(B1796)))</f>
        <v>0</v>
      </c>
      <c r="Q1796" s="402">
        <f t="shared" si="1794"/>
        <v>0</v>
      </c>
      <c r="R1796" s="356" t="e">
        <f t="shared" si="1325"/>
        <v>#N/A</v>
      </c>
      <c r="S1796" s="269" t="str">
        <f>IF(D1796="","",IF(OR(D1796=Plano!$A$1,D1796=Plano!$B$1),"entrada","saída"))</f>
        <v/>
      </c>
      <c r="T1796" s="406"/>
      <c r="U1796" s="406"/>
      <c r="V1796" s="269"/>
      <c r="W1796" s="269"/>
    </row>
    <row r="1797" spans="1:23" ht="12.75" customHeight="1" x14ac:dyDescent="0.2">
      <c r="A1797" s="289" t="str">
        <f t="shared" si="0"/>
        <v/>
      </c>
      <c r="B1797" s="290"/>
      <c r="C1797" s="404"/>
      <c r="D1797" s="291"/>
      <c r="E1797" s="291"/>
      <c r="F1797" s="292"/>
      <c r="G1797" s="291"/>
      <c r="H1797" s="291"/>
      <c r="I1797" s="293"/>
      <c r="J1797" s="291"/>
      <c r="K1797" s="291"/>
      <c r="L1797" s="293"/>
      <c r="M1797" s="291"/>
      <c r="N1797" s="289"/>
      <c r="O1797" s="358"/>
      <c r="P1797" s="402">
        <f t="shared" ref="P1797:Q1797" si="1795">IF(B1797=0,0,IF(YEAR(B1797)=$Q$1,MONTH(B1797)-$P$1+1,(YEAR(B1797)-$Q$1)*12-$P$1+1+MONTH(B1797)))</f>
        <v>0</v>
      </c>
      <c r="Q1797" s="402">
        <f t="shared" si="1795"/>
        <v>0</v>
      </c>
      <c r="R1797" s="356" t="e">
        <f t="shared" si="1325"/>
        <v>#N/A</v>
      </c>
      <c r="S1797" s="269" t="str">
        <f>IF(D1797="","",IF(OR(D1797=Plano!$A$1,D1797=Plano!$B$1),"entrada","saída"))</f>
        <v/>
      </c>
      <c r="T1797" s="406"/>
      <c r="U1797" s="406"/>
      <c r="V1797" s="269"/>
      <c r="W1797" s="269"/>
    </row>
    <row r="1798" spans="1:23" ht="12.75" customHeight="1" x14ac:dyDescent="0.2">
      <c r="A1798" s="289" t="str">
        <f t="shared" si="0"/>
        <v/>
      </c>
      <c r="B1798" s="290"/>
      <c r="C1798" s="404"/>
      <c r="D1798" s="291"/>
      <c r="E1798" s="291"/>
      <c r="F1798" s="292"/>
      <c r="G1798" s="291"/>
      <c r="H1798" s="291"/>
      <c r="I1798" s="293"/>
      <c r="J1798" s="291"/>
      <c r="K1798" s="291"/>
      <c r="L1798" s="293"/>
      <c r="M1798" s="291"/>
      <c r="N1798" s="289"/>
      <c r="O1798" s="358"/>
      <c r="P1798" s="402">
        <f t="shared" ref="P1798:Q1798" si="1796">IF(B1798=0,0,IF(YEAR(B1798)=$Q$1,MONTH(B1798)-$P$1+1,(YEAR(B1798)-$Q$1)*12-$P$1+1+MONTH(B1798)))</f>
        <v>0</v>
      </c>
      <c r="Q1798" s="402">
        <f t="shared" si="1796"/>
        <v>0</v>
      </c>
      <c r="R1798" s="356" t="e">
        <f t="shared" si="1325"/>
        <v>#N/A</v>
      </c>
      <c r="S1798" s="269" t="str">
        <f>IF(D1798="","",IF(OR(D1798=Plano!$A$1,D1798=Plano!$B$1),"entrada","saída"))</f>
        <v/>
      </c>
      <c r="T1798" s="406"/>
      <c r="U1798" s="406"/>
      <c r="V1798" s="269"/>
      <c r="W1798" s="269"/>
    </row>
    <row r="1799" spans="1:23" ht="12.75" customHeight="1" x14ac:dyDescent="0.2">
      <c r="A1799" s="289" t="str">
        <f t="shared" si="0"/>
        <v/>
      </c>
      <c r="B1799" s="290"/>
      <c r="C1799" s="404"/>
      <c r="D1799" s="291"/>
      <c r="E1799" s="291"/>
      <c r="F1799" s="292"/>
      <c r="G1799" s="291"/>
      <c r="H1799" s="291"/>
      <c r="I1799" s="293"/>
      <c r="J1799" s="291"/>
      <c r="K1799" s="291"/>
      <c r="L1799" s="293"/>
      <c r="M1799" s="291"/>
      <c r="N1799" s="289"/>
      <c r="O1799" s="358"/>
      <c r="P1799" s="402">
        <f t="shared" ref="P1799:Q1799" si="1797">IF(B1799=0,0,IF(YEAR(B1799)=$Q$1,MONTH(B1799)-$P$1+1,(YEAR(B1799)-$Q$1)*12-$P$1+1+MONTH(B1799)))</f>
        <v>0</v>
      </c>
      <c r="Q1799" s="402">
        <f t="shared" si="1797"/>
        <v>0</v>
      </c>
      <c r="R1799" s="356" t="e">
        <f t="shared" si="1325"/>
        <v>#N/A</v>
      </c>
      <c r="S1799" s="269" t="str">
        <f>IF(D1799="","",IF(OR(D1799=Plano!$A$1,D1799=Plano!$B$1),"entrada","saída"))</f>
        <v/>
      </c>
      <c r="T1799" s="406"/>
      <c r="U1799" s="406"/>
      <c r="V1799" s="269"/>
      <c r="W1799" s="269"/>
    </row>
    <row r="1800" spans="1:23" ht="12.75" customHeight="1" x14ac:dyDescent="0.2">
      <c r="A1800" s="289" t="str">
        <f t="shared" si="0"/>
        <v/>
      </c>
      <c r="B1800" s="290"/>
      <c r="C1800" s="404"/>
      <c r="D1800" s="291"/>
      <c r="E1800" s="291"/>
      <c r="F1800" s="292"/>
      <c r="G1800" s="291"/>
      <c r="H1800" s="291"/>
      <c r="I1800" s="293"/>
      <c r="J1800" s="291"/>
      <c r="K1800" s="291"/>
      <c r="L1800" s="293"/>
      <c r="M1800" s="291"/>
      <c r="N1800" s="289"/>
      <c r="O1800" s="358"/>
      <c r="P1800" s="402">
        <f t="shared" ref="P1800:Q1800" si="1798">IF(B1800=0,0,IF(YEAR(B1800)=$Q$1,MONTH(B1800)-$P$1+1,(YEAR(B1800)-$Q$1)*12-$P$1+1+MONTH(B1800)))</f>
        <v>0</v>
      </c>
      <c r="Q1800" s="402">
        <f t="shared" si="1798"/>
        <v>0</v>
      </c>
      <c r="R1800" s="356" t="e">
        <f t="shared" si="1325"/>
        <v>#N/A</v>
      </c>
      <c r="S1800" s="269" t="str">
        <f>IF(D1800="","",IF(OR(D1800=Plano!$A$1,D1800=Plano!$B$1),"entrada","saída"))</f>
        <v/>
      </c>
      <c r="T1800" s="406"/>
      <c r="U1800" s="406"/>
      <c r="V1800" s="269"/>
      <c r="W1800" s="269"/>
    </row>
    <row r="1801" spans="1:23" ht="12.75" customHeight="1" x14ac:dyDescent="0.2">
      <c r="A1801" s="289" t="str">
        <f t="shared" si="0"/>
        <v/>
      </c>
      <c r="B1801" s="290"/>
      <c r="C1801" s="404"/>
      <c r="D1801" s="291"/>
      <c r="E1801" s="291"/>
      <c r="F1801" s="292"/>
      <c r="G1801" s="291"/>
      <c r="H1801" s="291"/>
      <c r="I1801" s="293"/>
      <c r="J1801" s="291"/>
      <c r="K1801" s="291"/>
      <c r="L1801" s="293"/>
      <c r="M1801" s="291"/>
      <c r="N1801" s="289"/>
      <c r="O1801" s="358"/>
      <c r="P1801" s="402">
        <f t="shared" ref="P1801:Q1801" si="1799">IF(B1801=0,0,IF(YEAR(B1801)=$Q$1,MONTH(B1801)-$P$1+1,(YEAR(B1801)-$Q$1)*12-$P$1+1+MONTH(B1801)))</f>
        <v>0</v>
      </c>
      <c r="Q1801" s="402">
        <f t="shared" si="1799"/>
        <v>0</v>
      </c>
      <c r="R1801" s="356" t="e">
        <f t="shared" si="1325"/>
        <v>#N/A</v>
      </c>
      <c r="S1801" s="269" t="str">
        <f>IF(D1801="","",IF(OR(D1801=Plano!$A$1,D1801=Plano!$B$1),"entrada","saída"))</f>
        <v/>
      </c>
      <c r="T1801" s="406"/>
      <c r="U1801" s="406"/>
      <c r="V1801" s="269"/>
      <c r="W1801" s="269"/>
    </row>
    <row r="1802" spans="1:23" ht="12.75" customHeight="1" x14ac:dyDescent="0.2">
      <c r="A1802" s="289" t="str">
        <f t="shared" si="0"/>
        <v/>
      </c>
      <c r="B1802" s="290"/>
      <c r="C1802" s="404"/>
      <c r="D1802" s="291"/>
      <c r="E1802" s="291"/>
      <c r="F1802" s="292"/>
      <c r="G1802" s="291"/>
      <c r="H1802" s="291"/>
      <c r="I1802" s="293"/>
      <c r="J1802" s="291"/>
      <c r="K1802" s="291"/>
      <c r="L1802" s="293"/>
      <c r="M1802" s="291"/>
      <c r="N1802" s="289"/>
      <c r="O1802" s="358"/>
      <c r="P1802" s="402">
        <f t="shared" ref="P1802:Q1802" si="1800">IF(B1802=0,0,IF(YEAR(B1802)=$Q$1,MONTH(B1802)-$P$1+1,(YEAR(B1802)-$Q$1)*12-$P$1+1+MONTH(B1802)))</f>
        <v>0</v>
      </c>
      <c r="Q1802" s="402">
        <f t="shared" si="1800"/>
        <v>0</v>
      </c>
      <c r="R1802" s="356" t="e">
        <f t="shared" si="1325"/>
        <v>#N/A</v>
      </c>
      <c r="S1802" s="269" t="str">
        <f>IF(D1802="","",IF(OR(D1802=Plano!$A$1,D1802=Plano!$B$1),"entrada","saída"))</f>
        <v/>
      </c>
      <c r="T1802" s="406"/>
      <c r="U1802" s="406"/>
      <c r="V1802" s="269"/>
      <c r="W1802" s="269"/>
    </row>
    <row r="1803" spans="1:23" ht="12.75" customHeight="1" x14ac:dyDescent="0.2">
      <c r="A1803" s="289" t="str">
        <f t="shared" si="0"/>
        <v/>
      </c>
      <c r="B1803" s="290"/>
      <c r="C1803" s="404"/>
      <c r="D1803" s="291"/>
      <c r="E1803" s="291"/>
      <c r="F1803" s="292"/>
      <c r="G1803" s="291"/>
      <c r="H1803" s="291"/>
      <c r="I1803" s="293"/>
      <c r="J1803" s="291"/>
      <c r="K1803" s="291"/>
      <c r="L1803" s="293"/>
      <c r="M1803" s="291"/>
      <c r="N1803" s="289"/>
      <c r="O1803" s="358"/>
      <c r="P1803" s="402">
        <f t="shared" ref="P1803:Q1803" si="1801">IF(B1803=0,0,IF(YEAR(B1803)=$Q$1,MONTH(B1803)-$P$1+1,(YEAR(B1803)-$Q$1)*12-$P$1+1+MONTH(B1803)))</f>
        <v>0</v>
      </c>
      <c r="Q1803" s="402">
        <f t="shared" si="1801"/>
        <v>0</v>
      </c>
      <c r="R1803" s="356" t="e">
        <f t="shared" si="1325"/>
        <v>#N/A</v>
      </c>
      <c r="S1803" s="269" t="str">
        <f>IF(D1803="","",IF(OR(D1803=Plano!$A$1,D1803=Plano!$B$1),"entrada","saída"))</f>
        <v/>
      </c>
      <c r="T1803" s="406"/>
      <c r="U1803" s="406"/>
      <c r="V1803" s="269"/>
      <c r="W1803" s="269"/>
    </row>
    <row r="1804" spans="1:23" ht="12.75" customHeight="1" x14ac:dyDescent="0.2">
      <c r="A1804" s="289" t="str">
        <f t="shared" si="0"/>
        <v/>
      </c>
      <c r="B1804" s="290"/>
      <c r="C1804" s="404"/>
      <c r="D1804" s="291"/>
      <c r="E1804" s="291"/>
      <c r="F1804" s="292"/>
      <c r="G1804" s="291"/>
      <c r="H1804" s="291"/>
      <c r="I1804" s="293"/>
      <c r="J1804" s="291"/>
      <c r="K1804" s="291"/>
      <c r="L1804" s="293"/>
      <c r="M1804" s="291"/>
      <c r="N1804" s="289"/>
      <c r="O1804" s="358"/>
      <c r="P1804" s="402">
        <f t="shared" ref="P1804:Q1804" si="1802">IF(B1804=0,0,IF(YEAR(B1804)=$Q$1,MONTH(B1804)-$P$1+1,(YEAR(B1804)-$Q$1)*12-$P$1+1+MONTH(B1804)))</f>
        <v>0</v>
      </c>
      <c r="Q1804" s="402">
        <f t="shared" si="1802"/>
        <v>0</v>
      </c>
      <c r="R1804" s="356" t="e">
        <f t="shared" si="1325"/>
        <v>#N/A</v>
      </c>
      <c r="S1804" s="269" t="str">
        <f>IF(D1804="","",IF(OR(D1804=Plano!$A$1,D1804=Plano!$B$1),"entrada","saída"))</f>
        <v/>
      </c>
      <c r="T1804" s="406"/>
      <c r="U1804" s="406"/>
      <c r="V1804" s="269"/>
      <c r="W1804" s="269"/>
    </row>
    <row r="1805" spans="1:23" ht="12.75" customHeight="1" x14ac:dyDescent="0.2">
      <c r="A1805" s="289" t="str">
        <f t="shared" si="0"/>
        <v/>
      </c>
      <c r="B1805" s="290"/>
      <c r="C1805" s="404"/>
      <c r="D1805" s="291"/>
      <c r="E1805" s="291"/>
      <c r="F1805" s="292"/>
      <c r="G1805" s="291"/>
      <c r="H1805" s="291"/>
      <c r="I1805" s="293"/>
      <c r="J1805" s="291"/>
      <c r="K1805" s="291"/>
      <c r="L1805" s="293"/>
      <c r="M1805" s="291"/>
      <c r="N1805" s="289"/>
      <c r="O1805" s="358"/>
      <c r="P1805" s="402">
        <f t="shared" ref="P1805:Q1805" si="1803">IF(B1805=0,0,IF(YEAR(B1805)=$Q$1,MONTH(B1805)-$P$1+1,(YEAR(B1805)-$Q$1)*12-$P$1+1+MONTH(B1805)))</f>
        <v>0</v>
      </c>
      <c r="Q1805" s="402">
        <f t="shared" si="1803"/>
        <v>0</v>
      </c>
      <c r="R1805" s="356" t="e">
        <f t="shared" si="1325"/>
        <v>#N/A</v>
      </c>
      <c r="S1805" s="269" t="str">
        <f>IF(D1805="","",IF(OR(D1805=Plano!$A$1,D1805=Plano!$B$1),"entrada","saída"))</f>
        <v/>
      </c>
      <c r="T1805" s="406"/>
      <c r="U1805" s="406"/>
      <c r="V1805" s="269"/>
      <c r="W1805" s="269"/>
    </row>
    <row r="1806" spans="1:23" ht="12.75" customHeight="1" x14ac:dyDescent="0.2">
      <c r="A1806" s="289" t="str">
        <f t="shared" si="0"/>
        <v/>
      </c>
      <c r="B1806" s="290"/>
      <c r="C1806" s="404"/>
      <c r="D1806" s="291"/>
      <c r="E1806" s="291"/>
      <c r="F1806" s="292"/>
      <c r="G1806" s="291"/>
      <c r="H1806" s="291"/>
      <c r="I1806" s="293"/>
      <c r="J1806" s="291"/>
      <c r="K1806" s="291"/>
      <c r="L1806" s="293"/>
      <c r="M1806" s="291"/>
      <c r="N1806" s="289"/>
      <c r="O1806" s="358"/>
      <c r="P1806" s="402">
        <f t="shared" ref="P1806:Q1806" si="1804">IF(B1806=0,0,IF(YEAR(B1806)=$Q$1,MONTH(B1806)-$P$1+1,(YEAR(B1806)-$Q$1)*12-$P$1+1+MONTH(B1806)))</f>
        <v>0</v>
      </c>
      <c r="Q1806" s="402">
        <f t="shared" si="1804"/>
        <v>0</v>
      </c>
      <c r="R1806" s="356" t="e">
        <f t="shared" si="1325"/>
        <v>#N/A</v>
      </c>
      <c r="S1806" s="269" t="str">
        <f>IF(D1806="","",IF(OR(D1806=Plano!$A$1,D1806=Plano!$B$1),"entrada","saída"))</f>
        <v/>
      </c>
      <c r="T1806" s="406"/>
      <c r="U1806" s="406"/>
      <c r="V1806" s="269"/>
      <c r="W1806" s="269"/>
    </row>
    <row r="1807" spans="1:23" ht="12.75" customHeight="1" x14ac:dyDescent="0.2">
      <c r="A1807" s="289" t="str">
        <f t="shared" si="0"/>
        <v/>
      </c>
      <c r="B1807" s="290"/>
      <c r="C1807" s="404"/>
      <c r="D1807" s="291"/>
      <c r="E1807" s="291"/>
      <c r="F1807" s="292"/>
      <c r="G1807" s="291"/>
      <c r="H1807" s="291"/>
      <c r="I1807" s="293"/>
      <c r="J1807" s="291"/>
      <c r="K1807" s="291"/>
      <c r="L1807" s="293"/>
      <c r="M1807" s="291"/>
      <c r="N1807" s="289"/>
      <c r="O1807" s="358"/>
      <c r="P1807" s="402">
        <f t="shared" ref="P1807:Q1807" si="1805">IF(B1807=0,0,IF(YEAR(B1807)=$Q$1,MONTH(B1807)-$P$1+1,(YEAR(B1807)-$Q$1)*12-$P$1+1+MONTH(B1807)))</f>
        <v>0</v>
      </c>
      <c r="Q1807" s="402">
        <f t="shared" si="1805"/>
        <v>0</v>
      </c>
      <c r="R1807" s="356" t="e">
        <f t="shared" si="1325"/>
        <v>#N/A</v>
      </c>
      <c r="S1807" s="269" t="str">
        <f>IF(D1807="","",IF(OR(D1807=Plano!$A$1,D1807=Plano!$B$1),"entrada","saída"))</f>
        <v/>
      </c>
      <c r="T1807" s="406"/>
      <c r="U1807" s="406"/>
      <c r="V1807" s="269"/>
      <c r="W1807" s="269"/>
    </row>
    <row r="1808" spans="1:23" ht="12.75" customHeight="1" x14ac:dyDescent="0.2">
      <c r="A1808" s="289" t="str">
        <f t="shared" si="0"/>
        <v/>
      </c>
      <c r="B1808" s="290"/>
      <c r="C1808" s="404"/>
      <c r="D1808" s="291"/>
      <c r="E1808" s="291"/>
      <c r="F1808" s="292"/>
      <c r="G1808" s="291"/>
      <c r="H1808" s="291"/>
      <c r="I1808" s="293"/>
      <c r="J1808" s="291"/>
      <c r="K1808" s="291"/>
      <c r="L1808" s="293"/>
      <c r="M1808" s="291"/>
      <c r="N1808" s="289"/>
      <c r="O1808" s="358"/>
      <c r="P1808" s="402">
        <f t="shared" ref="P1808:Q1808" si="1806">IF(B1808=0,0,IF(YEAR(B1808)=$Q$1,MONTH(B1808)-$P$1+1,(YEAR(B1808)-$Q$1)*12-$P$1+1+MONTH(B1808)))</f>
        <v>0</v>
      </c>
      <c r="Q1808" s="402">
        <f t="shared" si="1806"/>
        <v>0</v>
      </c>
      <c r="R1808" s="356" t="e">
        <f t="shared" si="1325"/>
        <v>#N/A</v>
      </c>
      <c r="S1808" s="269" t="str">
        <f>IF(D1808="","",IF(OR(D1808=Plano!$A$1,D1808=Plano!$B$1),"entrada","saída"))</f>
        <v/>
      </c>
      <c r="T1808" s="406"/>
      <c r="U1808" s="406"/>
      <c r="V1808" s="269"/>
      <c r="W1808" s="269"/>
    </row>
    <row r="1809" spans="1:23" ht="12.75" customHeight="1" x14ac:dyDescent="0.2">
      <c r="A1809" s="289" t="str">
        <f t="shared" si="0"/>
        <v/>
      </c>
      <c r="B1809" s="290"/>
      <c r="C1809" s="404"/>
      <c r="D1809" s="291"/>
      <c r="E1809" s="291"/>
      <c r="F1809" s="292"/>
      <c r="G1809" s="291"/>
      <c r="H1809" s="291"/>
      <c r="I1809" s="293"/>
      <c r="J1809" s="291"/>
      <c r="K1809" s="291"/>
      <c r="L1809" s="293"/>
      <c r="M1809" s="291"/>
      <c r="N1809" s="289"/>
      <c r="O1809" s="358"/>
      <c r="P1809" s="402">
        <f t="shared" ref="P1809:Q1809" si="1807">IF(B1809=0,0,IF(YEAR(B1809)=$Q$1,MONTH(B1809)-$P$1+1,(YEAR(B1809)-$Q$1)*12-$P$1+1+MONTH(B1809)))</f>
        <v>0</v>
      </c>
      <c r="Q1809" s="402">
        <f t="shared" si="1807"/>
        <v>0</v>
      </c>
      <c r="R1809" s="356" t="e">
        <f t="shared" si="1325"/>
        <v>#N/A</v>
      </c>
      <c r="S1809" s="269" t="str">
        <f>IF(D1809="","",IF(OR(D1809=Plano!$A$1,D1809=Plano!$B$1),"entrada","saída"))</f>
        <v/>
      </c>
      <c r="T1809" s="406"/>
      <c r="U1809" s="406"/>
      <c r="V1809" s="269"/>
      <c r="W1809" s="269"/>
    </row>
    <row r="1810" spans="1:23" ht="12.75" customHeight="1" x14ac:dyDescent="0.2">
      <c r="A1810" s="289" t="str">
        <f t="shared" si="0"/>
        <v/>
      </c>
      <c r="B1810" s="290"/>
      <c r="C1810" s="404"/>
      <c r="D1810" s="291"/>
      <c r="E1810" s="291"/>
      <c r="F1810" s="292"/>
      <c r="G1810" s="291"/>
      <c r="H1810" s="291"/>
      <c r="I1810" s="293"/>
      <c r="J1810" s="291"/>
      <c r="K1810" s="291"/>
      <c r="L1810" s="293"/>
      <c r="M1810" s="291"/>
      <c r="N1810" s="289"/>
      <c r="O1810" s="358"/>
      <c r="P1810" s="402">
        <f t="shared" ref="P1810:Q1810" si="1808">IF(B1810=0,0,IF(YEAR(B1810)=$Q$1,MONTH(B1810)-$P$1+1,(YEAR(B1810)-$Q$1)*12-$P$1+1+MONTH(B1810)))</f>
        <v>0</v>
      </c>
      <c r="Q1810" s="402">
        <f t="shared" si="1808"/>
        <v>0</v>
      </c>
      <c r="R1810" s="356" t="e">
        <f t="shared" si="1325"/>
        <v>#N/A</v>
      </c>
      <c r="S1810" s="269" t="str">
        <f>IF(D1810="","",IF(OR(D1810=Plano!$A$1,D1810=Plano!$B$1),"entrada","saída"))</f>
        <v/>
      </c>
      <c r="T1810" s="406"/>
      <c r="U1810" s="406"/>
      <c r="V1810" s="269"/>
      <c r="W1810" s="269"/>
    </row>
    <row r="1811" spans="1:23" ht="12.75" customHeight="1" x14ac:dyDescent="0.2">
      <c r="A1811" s="289" t="str">
        <f t="shared" si="0"/>
        <v/>
      </c>
      <c r="B1811" s="290"/>
      <c r="C1811" s="404"/>
      <c r="D1811" s="291"/>
      <c r="E1811" s="291"/>
      <c r="F1811" s="292"/>
      <c r="G1811" s="291"/>
      <c r="H1811" s="291"/>
      <c r="I1811" s="293"/>
      <c r="J1811" s="291"/>
      <c r="K1811" s="291"/>
      <c r="L1811" s="293"/>
      <c r="M1811" s="291"/>
      <c r="N1811" s="289"/>
      <c r="O1811" s="358"/>
      <c r="P1811" s="402">
        <f t="shared" ref="P1811:Q1811" si="1809">IF(B1811=0,0,IF(YEAR(B1811)=$Q$1,MONTH(B1811)-$P$1+1,(YEAR(B1811)-$Q$1)*12-$P$1+1+MONTH(B1811)))</f>
        <v>0</v>
      </c>
      <c r="Q1811" s="402">
        <f t="shared" si="1809"/>
        <v>0</v>
      </c>
      <c r="R1811" s="356" t="e">
        <f t="shared" si="1325"/>
        <v>#N/A</v>
      </c>
      <c r="S1811" s="269" t="str">
        <f>IF(D1811="","",IF(OR(D1811=Plano!$A$1,D1811=Plano!$B$1),"entrada","saída"))</f>
        <v/>
      </c>
      <c r="T1811" s="406"/>
      <c r="U1811" s="406"/>
      <c r="V1811" s="269"/>
      <c r="W1811" s="269"/>
    </row>
    <row r="1812" spans="1:23" ht="12.75" customHeight="1" x14ac:dyDescent="0.2">
      <c r="A1812" s="289" t="str">
        <f t="shared" si="0"/>
        <v/>
      </c>
      <c r="B1812" s="290"/>
      <c r="C1812" s="404"/>
      <c r="D1812" s="291"/>
      <c r="E1812" s="291"/>
      <c r="F1812" s="292"/>
      <c r="G1812" s="291"/>
      <c r="H1812" s="291"/>
      <c r="I1812" s="293"/>
      <c r="J1812" s="291"/>
      <c r="K1812" s="291"/>
      <c r="L1812" s="293"/>
      <c r="M1812" s="291"/>
      <c r="N1812" s="289"/>
      <c r="O1812" s="358"/>
      <c r="P1812" s="402">
        <f t="shared" ref="P1812:Q1812" si="1810">IF(B1812=0,0,IF(YEAR(B1812)=$Q$1,MONTH(B1812)-$P$1+1,(YEAR(B1812)-$Q$1)*12-$P$1+1+MONTH(B1812)))</f>
        <v>0</v>
      </c>
      <c r="Q1812" s="402">
        <f t="shared" si="1810"/>
        <v>0</v>
      </c>
      <c r="R1812" s="356" t="e">
        <f t="shared" si="1325"/>
        <v>#N/A</v>
      </c>
      <c r="S1812" s="269" t="str">
        <f>IF(D1812="","",IF(OR(D1812=Plano!$A$1,D1812=Plano!$B$1),"entrada","saída"))</f>
        <v/>
      </c>
      <c r="T1812" s="406"/>
      <c r="U1812" s="406"/>
      <c r="V1812" s="269"/>
      <c r="W1812" s="269"/>
    </row>
    <row r="1813" spans="1:23" ht="12.75" customHeight="1" x14ac:dyDescent="0.2">
      <c r="A1813" s="289" t="str">
        <f t="shared" si="0"/>
        <v/>
      </c>
      <c r="B1813" s="290"/>
      <c r="C1813" s="404"/>
      <c r="D1813" s="291"/>
      <c r="E1813" s="291"/>
      <c r="F1813" s="292"/>
      <c r="G1813" s="291"/>
      <c r="H1813" s="291"/>
      <c r="I1813" s="293"/>
      <c r="J1813" s="291"/>
      <c r="K1813" s="291"/>
      <c r="L1813" s="293"/>
      <c r="M1813" s="291"/>
      <c r="N1813" s="289"/>
      <c r="O1813" s="358"/>
      <c r="P1813" s="402">
        <f t="shared" ref="P1813:Q1813" si="1811">IF(B1813=0,0,IF(YEAR(B1813)=$Q$1,MONTH(B1813)-$P$1+1,(YEAR(B1813)-$Q$1)*12-$P$1+1+MONTH(B1813)))</f>
        <v>0</v>
      </c>
      <c r="Q1813" s="402">
        <f t="shared" si="1811"/>
        <v>0</v>
      </c>
      <c r="R1813" s="356" t="e">
        <f t="shared" si="1325"/>
        <v>#N/A</v>
      </c>
      <c r="S1813" s="269" t="str">
        <f>IF(D1813="","",IF(OR(D1813=Plano!$A$1,D1813=Plano!$B$1),"entrada","saída"))</f>
        <v/>
      </c>
      <c r="T1813" s="406"/>
      <c r="U1813" s="406"/>
      <c r="V1813" s="269"/>
      <c r="W1813" s="269"/>
    </row>
    <row r="1814" spans="1:23" ht="12.75" customHeight="1" x14ac:dyDescent="0.2">
      <c r="A1814" s="289" t="str">
        <f t="shared" si="0"/>
        <v/>
      </c>
      <c r="B1814" s="290"/>
      <c r="C1814" s="404"/>
      <c r="D1814" s="291"/>
      <c r="E1814" s="291"/>
      <c r="F1814" s="292"/>
      <c r="G1814" s="291"/>
      <c r="H1814" s="291"/>
      <c r="I1814" s="293"/>
      <c r="J1814" s="291"/>
      <c r="K1814" s="291"/>
      <c r="L1814" s="293"/>
      <c r="M1814" s="291"/>
      <c r="N1814" s="289"/>
      <c r="O1814" s="358"/>
      <c r="P1814" s="402">
        <f t="shared" ref="P1814:Q1814" si="1812">IF(B1814=0,0,IF(YEAR(B1814)=$Q$1,MONTH(B1814)-$P$1+1,(YEAR(B1814)-$Q$1)*12-$P$1+1+MONTH(B1814)))</f>
        <v>0</v>
      </c>
      <c r="Q1814" s="402">
        <f t="shared" si="1812"/>
        <v>0</v>
      </c>
      <c r="R1814" s="356" t="e">
        <f t="shared" si="1325"/>
        <v>#N/A</v>
      </c>
      <c r="S1814" s="269" t="str">
        <f>IF(D1814="","",IF(OR(D1814=Plano!$A$1,D1814=Plano!$B$1),"entrada","saída"))</f>
        <v/>
      </c>
      <c r="T1814" s="406"/>
      <c r="U1814" s="406"/>
      <c r="V1814" s="269"/>
      <c r="W1814" s="269"/>
    </row>
    <row r="1815" spans="1:23" ht="12.75" customHeight="1" x14ac:dyDescent="0.2">
      <c r="A1815" s="289" t="str">
        <f t="shared" si="0"/>
        <v/>
      </c>
      <c r="B1815" s="290"/>
      <c r="C1815" s="404"/>
      <c r="D1815" s="291"/>
      <c r="E1815" s="291"/>
      <c r="F1815" s="292"/>
      <c r="G1815" s="291"/>
      <c r="H1815" s="291"/>
      <c r="I1815" s="293"/>
      <c r="J1815" s="291"/>
      <c r="K1815" s="291"/>
      <c r="L1815" s="293"/>
      <c r="M1815" s="291"/>
      <c r="N1815" s="289"/>
      <c r="O1815" s="358"/>
      <c r="P1815" s="402">
        <f t="shared" ref="P1815:Q1815" si="1813">IF(B1815=0,0,IF(YEAR(B1815)=$Q$1,MONTH(B1815)-$P$1+1,(YEAR(B1815)-$Q$1)*12-$P$1+1+MONTH(B1815)))</f>
        <v>0</v>
      </c>
      <c r="Q1815" s="402">
        <f t="shared" si="1813"/>
        <v>0</v>
      </c>
      <c r="R1815" s="356" t="e">
        <f t="shared" si="1325"/>
        <v>#N/A</v>
      </c>
      <c r="S1815" s="269" t="str">
        <f>IF(D1815="","",IF(OR(D1815=Plano!$A$1,D1815=Plano!$B$1),"entrada","saída"))</f>
        <v/>
      </c>
      <c r="T1815" s="406"/>
      <c r="U1815" s="406"/>
      <c r="V1815" s="269"/>
      <c r="W1815" s="269"/>
    </row>
    <row r="1816" spans="1:23" ht="12.75" customHeight="1" x14ac:dyDescent="0.2">
      <c r="A1816" s="289" t="str">
        <f t="shared" si="0"/>
        <v/>
      </c>
      <c r="B1816" s="290"/>
      <c r="C1816" s="404"/>
      <c r="D1816" s="291"/>
      <c r="E1816" s="291"/>
      <c r="F1816" s="292"/>
      <c r="G1816" s="291"/>
      <c r="H1816" s="291"/>
      <c r="I1816" s="293"/>
      <c r="J1816" s="291"/>
      <c r="K1816" s="291"/>
      <c r="L1816" s="293"/>
      <c r="M1816" s="291"/>
      <c r="N1816" s="289"/>
      <c r="O1816" s="358"/>
      <c r="P1816" s="402">
        <f t="shared" ref="P1816:Q1816" si="1814">IF(B1816=0,0,IF(YEAR(B1816)=$Q$1,MONTH(B1816)-$P$1+1,(YEAR(B1816)-$Q$1)*12-$P$1+1+MONTH(B1816)))</f>
        <v>0</v>
      </c>
      <c r="Q1816" s="402">
        <f t="shared" si="1814"/>
        <v>0</v>
      </c>
      <c r="R1816" s="356" t="e">
        <f t="shared" si="1325"/>
        <v>#N/A</v>
      </c>
      <c r="S1816" s="269" t="str">
        <f>IF(D1816="","",IF(OR(D1816=Plano!$A$1,D1816=Plano!$B$1),"entrada","saída"))</f>
        <v/>
      </c>
      <c r="T1816" s="406"/>
      <c r="U1816" s="406"/>
      <c r="V1816" s="269"/>
      <c r="W1816" s="269"/>
    </row>
    <row r="1817" spans="1:23" ht="12.75" customHeight="1" x14ac:dyDescent="0.2">
      <c r="A1817" s="289" t="str">
        <f t="shared" si="0"/>
        <v/>
      </c>
      <c r="B1817" s="290"/>
      <c r="C1817" s="404"/>
      <c r="D1817" s="291"/>
      <c r="E1817" s="291"/>
      <c r="F1817" s="292"/>
      <c r="G1817" s="291"/>
      <c r="H1817" s="291"/>
      <c r="I1817" s="293"/>
      <c r="J1817" s="291"/>
      <c r="K1817" s="291"/>
      <c r="L1817" s="293"/>
      <c r="M1817" s="291"/>
      <c r="N1817" s="289"/>
      <c r="O1817" s="358"/>
      <c r="P1817" s="402">
        <f t="shared" ref="P1817:Q1817" si="1815">IF(B1817=0,0,IF(YEAR(B1817)=$Q$1,MONTH(B1817)-$P$1+1,(YEAR(B1817)-$Q$1)*12-$P$1+1+MONTH(B1817)))</f>
        <v>0</v>
      </c>
      <c r="Q1817" s="402">
        <f t="shared" si="1815"/>
        <v>0</v>
      </c>
      <c r="R1817" s="356" t="e">
        <f t="shared" si="1325"/>
        <v>#N/A</v>
      </c>
      <c r="S1817" s="269" t="str">
        <f>IF(D1817="","",IF(OR(D1817=Plano!$A$1,D1817=Plano!$B$1),"entrada","saída"))</f>
        <v/>
      </c>
      <c r="T1817" s="406"/>
      <c r="U1817" s="406"/>
      <c r="V1817" s="269"/>
      <c r="W1817" s="269"/>
    </row>
    <row r="1818" spans="1:23" ht="12.75" customHeight="1" x14ac:dyDescent="0.2">
      <c r="A1818" s="289" t="str">
        <f t="shared" si="0"/>
        <v/>
      </c>
      <c r="B1818" s="290"/>
      <c r="C1818" s="404"/>
      <c r="D1818" s="291"/>
      <c r="E1818" s="291"/>
      <c r="F1818" s="292"/>
      <c r="G1818" s="291"/>
      <c r="H1818" s="291"/>
      <c r="I1818" s="293"/>
      <c r="J1818" s="291"/>
      <c r="K1818" s="291"/>
      <c r="L1818" s="293"/>
      <c r="M1818" s="291"/>
      <c r="N1818" s="289"/>
      <c r="O1818" s="358"/>
      <c r="P1818" s="402">
        <f t="shared" ref="P1818:Q1818" si="1816">IF(B1818=0,0,IF(YEAR(B1818)=$Q$1,MONTH(B1818)-$P$1+1,(YEAR(B1818)-$Q$1)*12-$P$1+1+MONTH(B1818)))</f>
        <v>0</v>
      </c>
      <c r="Q1818" s="402">
        <f t="shared" si="1816"/>
        <v>0</v>
      </c>
      <c r="R1818" s="356" t="e">
        <f t="shared" si="1325"/>
        <v>#N/A</v>
      </c>
      <c r="S1818" s="269" t="str">
        <f>IF(D1818="","",IF(OR(D1818=Plano!$A$1,D1818=Plano!$B$1),"entrada","saída"))</f>
        <v/>
      </c>
      <c r="T1818" s="406"/>
      <c r="U1818" s="406"/>
      <c r="V1818" s="269"/>
      <c r="W1818" s="269"/>
    </row>
    <row r="1819" spans="1:23" ht="12.75" customHeight="1" x14ac:dyDescent="0.2">
      <c r="A1819" s="289" t="str">
        <f t="shared" si="0"/>
        <v/>
      </c>
      <c r="B1819" s="290"/>
      <c r="C1819" s="404"/>
      <c r="D1819" s="291"/>
      <c r="E1819" s="291"/>
      <c r="F1819" s="292"/>
      <c r="G1819" s="291"/>
      <c r="H1819" s="291"/>
      <c r="I1819" s="293"/>
      <c r="J1819" s="291"/>
      <c r="K1819" s="291"/>
      <c r="L1819" s="293"/>
      <c r="M1819" s="291"/>
      <c r="N1819" s="289"/>
      <c r="O1819" s="358"/>
      <c r="P1819" s="402">
        <f t="shared" ref="P1819:Q1819" si="1817">IF(B1819=0,0,IF(YEAR(B1819)=$Q$1,MONTH(B1819)-$P$1+1,(YEAR(B1819)-$Q$1)*12-$P$1+1+MONTH(B1819)))</f>
        <v>0</v>
      </c>
      <c r="Q1819" s="402">
        <f t="shared" si="1817"/>
        <v>0</v>
      </c>
      <c r="R1819" s="356" t="e">
        <f t="shared" si="1325"/>
        <v>#N/A</v>
      </c>
      <c r="S1819" s="269" t="str">
        <f>IF(D1819="","",IF(OR(D1819=Plano!$A$1,D1819=Plano!$B$1),"entrada","saída"))</f>
        <v/>
      </c>
      <c r="T1819" s="406"/>
      <c r="U1819" s="406"/>
      <c r="V1819" s="269"/>
      <c r="W1819" s="269"/>
    </row>
    <row r="1820" spans="1:23" ht="12.75" customHeight="1" x14ac:dyDescent="0.2">
      <c r="A1820" s="289" t="str">
        <f t="shared" si="0"/>
        <v/>
      </c>
      <c r="B1820" s="290"/>
      <c r="C1820" s="404"/>
      <c r="D1820" s="291"/>
      <c r="E1820" s="291"/>
      <c r="F1820" s="292"/>
      <c r="G1820" s="291"/>
      <c r="H1820" s="291"/>
      <c r="I1820" s="293"/>
      <c r="J1820" s="291"/>
      <c r="K1820" s="291"/>
      <c r="L1820" s="293"/>
      <c r="M1820" s="291"/>
      <c r="N1820" s="289"/>
      <c r="O1820" s="358"/>
      <c r="P1820" s="402">
        <f t="shared" ref="P1820:Q1820" si="1818">IF(B1820=0,0,IF(YEAR(B1820)=$Q$1,MONTH(B1820)-$P$1+1,(YEAR(B1820)-$Q$1)*12-$P$1+1+MONTH(B1820)))</f>
        <v>0</v>
      </c>
      <c r="Q1820" s="402">
        <f t="shared" si="1818"/>
        <v>0</v>
      </c>
      <c r="R1820" s="356" t="e">
        <f t="shared" si="1325"/>
        <v>#N/A</v>
      </c>
      <c r="S1820" s="269" t="str">
        <f>IF(D1820="","",IF(OR(D1820=Plano!$A$1,D1820=Plano!$B$1),"entrada","saída"))</f>
        <v/>
      </c>
      <c r="T1820" s="406"/>
      <c r="U1820" s="406"/>
      <c r="V1820" s="269"/>
      <c r="W1820" s="269"/>
    </row>
    <row r="1821" spans="1:23" ht="12.75" customHeight="1" x14ac:dyDescent="0.2">
      <c r="A1821" s="289" t="str">
        <f t="shared" si="0"/>
        <v/>
      </c>
      <c r="B1821" s="290"/>
      <c r="C1821" s="404"/>
      <c r="D1821" s="291"/>
      <c r="E1821" s="291"/>
      <c r="F1821" s="292"/>
      <c r="G1821" s="291"/>
      <c r="H1821" s="291"/>
      <c r="I1821" s="293"/>
      <c r="J1821" s="291"/>
      <c r="K1821" s="291"/>
      <c r="L1821" s="293"/>
      <c r="M1821" s="291"/>
      <c r="N1821" s="289"/>
      <c r="O1821" s="358"/>
      <c r="P1821" s="402">
        <f t="shared" ref="P1821:Q1821" si="1819">IF(B1821=0,0,IF(YEAR(B1821)=$Q$1,MONTH(B1821)-$P$1+1,(YEAR(B1821)-$Q$1)*12-$P$1+1+MONTH(B1821)))</f>
        <v>0</v>
      </c>
      <c r="Q1821" s="402">
        <f t="shared" si="1819"/>
        <v>0</v>
      </c>
      <c r="R1821" s="356" t="e">
        <f t="shared" si="1325"/>
        <v>#N/A</v>
      </c>
      <c r="S1821" s="269" t="str">
        <f>IF(D1821="","",IF(OR(D1821=Plano!$A$1,D1821=Plano!$B$1),"entrada","saída"))</f>
        <v/>
      </c>
      <c r="T1821" s="406"/>
      <c r="U1821" s="406"/>
      <c r="V1821" s="269"/>
      <c r="W1821" s="269"/>
    </row>
    <row r="1822" spans="1:23" ht="12.75" customHeight="1" x14ac:dyDescent="0.2">
      <c r="A1822" s="289" t="str">
        <f t="shared" si="0"/>
        <v/>
      </c>
      <c r="B1822" s="290"/>
      <c r="C1822" s="404"/>
      <c r="D1822" s="291"/>
      <c r="E1822" s="291"/>
      <c r="F1822" s="292"/>
      <c r="G1822" s="291"/>
      <c r="H1822" s="291"/>
      <c r="I1822" s="293"/>
      <c r="J1822" s="291"/>
      <c r="K1822" s="291"/>
      <c r="L1822" s="293"/>
      <c r="M1822" s="291"/>
      <c r="N1822" s="289"/>
      <c r="O1822" s="358"/>
      <c r="P1822" s="402">
        <f t="shared" ref="P1822:Q1822" si="1820">IF(B1822=0,0,IF(YEAR(B1822)=$Q$1,MONTH(B1822)-$P$1+1,(YEAR(B1822)-$Q$1)*12-$P$1+1+MONTH(B1822)))</f>
        <v>0</v>
      </c>
      <c r="Q1822" s="402">
        <f t="shared" si="1820"/>
        <v>0</v>
      </c>
      <c r="R1822" s="356" t="e">
        <f t="shared" si="1325"/>
        <v>#N/A</v>
      </c>
      <c r="S1822" s="269" t="str">
        <f>IF(D1822="","",IF(OR(D1822=Plano!$A$1,D1822=Plano!$B$1),"entrada","saída"))</f>
        <v/>
      </c>
      <c r="T1822" s="406"/>
      <c r="U1822" s="406"/>
      <c r="V1822" s="269"/>
      <c r="W1822" s="269"/>
    </row>
    <row r="1823" spans="1:23" ht="12.75" customHeight="1" x14ac:dyDescent="0.2">
      <c r="A1823" s="289" t="str">
        <f t="shared" si="0"/>
        <v/>
      </c>
      <c r="B1823" s="290"/>
      <c r="C1823" s="404"/>
      <c r="D1823" s="291"/>
      <c r="E1823" s="291"/>
      <c r="F1823" s="292"/>
      <c r="G1823" s="291"/>
      <c r="H1823" s="291"/>
      <c r="I1823" s="293"/>
      <c r="J1823" s="291"/>
      <c r="K1823" s="291"/>
      <c r="L1823" s="293"/>
      <c r="M1823" s="291"/>
      <c r="N1823" s="289"/>
      <c r="O1823" s="358"/>
      <c r="P1823" s="402">
        <f t="shared" ref="P1823:Q1823" si="1821">IF(B1823=0,0,IF(YEAR(B1823)=$Q$1,MONTH(B1823)-$P$1+1,(YEAR(B1823)-$Q$1)*12-$P$1+1+MONTH(B1823)))</f>
        <v>0</v>
      </c>
      <c r="Q1823" s="402">
        <f t="shared" si="1821"/>
        <v>0</v>
      </c>
      <c r="R1823" s="356" t="e">
        <f t="shared" si="1325"/>
        <v>#N/A</v>
      </c>
      <c r="S1823" s="269" t="str">
        <f>IF(D1823="","",IF(OR(D1823=Plano!$A$1,D1823=Plano!$B$1),"entrada","saída"))</f>
        <v/>
      </c>
      <c r="T1823" s="406"/>
      <c r="U1823" s="406"/>
      <c r="V1823" s="269"/>
      <c r="W1823" s="269"/>
    </row>
    <row r="1824" spans="1:23" ht="12.75" customHeight="1" x14ac:dyDescent="0.2">
      <c r="A1824" s="289" t="str">
        <f t="shared" si="0"/>
        <v/>
      </c>
      <c r="B1824" s="290"/>
      <c r="C1824" s="404"/>
      <c r="D1824" s="291"/>
      <c r="E1824" s="291"/>
      <c r="F1824" s="292"/>
      <c r="G1824" s="291"/>
      <c r="H1824" s="291"/>
      <c r="I1824" s="293"/>
      <c r="J1824" s="291"/>
      <c r="K1824" s="291"/>
      <c r="L1824" s="293"/>
      <c r="M1824" s="291"/>
      <c r="N1824" s="289"/>
      <c r="O1824" s="358"/>
      <c r="P1824" s="402">
        <f t="shared" ref="P1824:Q1824" si="1822">IF(B1824=0,0,IF(YEAR(B1824)=$Q$1,MONTH(B1824)-$P$1+1,(YEAR(B1824)-$Q$1)*12-$P$1+1+MONTH(B1824)))</f>
        <v>0</v>
      </c>
      <c r="Q1824" s="402">
        <f t="shared" si="1822"/>
        <v>0</v>
      </c>
      <c r="R1824" s="356" t="e">
        <f t="shared" si="1325"/>
        <v>#N/A</v>
      </c>
      <c r="S1824" s="269" t="str">
        <f>IF(D1824="","",IF(OR(D1824=Plano!$A$1,D1824=Plano!$B$1),"entrada","saída"))</f>
        <v/>
      </c>
      <c r="T1824" s="406"/>
      <c r="U1824" s="406"/>
      <c r="V1824" s="269"/>
      <c r="W1824" s="269"/>
    </row>
    <row r="1825" spans="1:23" ht="12.75" customHeight="1" x14ac:dyDescent="0.2">
      <c r="A1825" s="289" t="str">
        <f t="shared" si="0"/>
        <v/>
      </c>
      <c r="B1825" s="290"/>
      <c r="C1825" s="404"/>
      <c r="D1825" s="291"/>
      <c r="E1825" s="291"/>
      <c r="F1825" s="292"/>
      <c r="G1825" s="291"/>
      <c r="H1825" s="291"/>
      <c r="I1825" s="293"/>
      <c r="J1825" s="291"/>
      <c r="K1825" s="291"/>
      <c r="L1825" s="293"/>
      <c r="M1825" s="291"/>
      <c r="N1825" s="289"/>
      <c r="O1825" s="358"/>
      <c r="P1825" s="402">
        <f t="shared" ref="P1825:Q1825" si="1823">IF(B1825=0,0,IF(YEAR(B1825)=$Q$1,MONTH(B1825)-$P$1+1,(YEAR(B1825)-$Q$1)*12-$P$1+1+MONTH(B1825)))</f>
        <v>0</v>
      </c>
      <c r="Q1825" s="402">
        <f t="shared" si="1823"/>
        <v>0</v>
      </c>
      <c r="R1825" s="356" t="e">
        <f t="shared" si="1325"/>
        <v>#N/A</v>
      </c>
      <c r="S1825" s="269" t="str">
        <f>IF(D1825="","",IF(OR(D1825=Plano!$A$1,D1825=Plano!$B$1),"entrada","saída"))</f>
        <v/>
      </c>
      <c r="T1825" s="406"/>
      <c r="U1825" s="406"/>
      <c r="V1825" s="269"/>
      <c r="W1825" s="269"/>
    </row>
    <row r="1826" spans="1:23" ht="12.75" customHeight="1" x14ac:dyDescent="0.2">
      <c r="A1826" s="289" t="str">
        <f t="shared" si="0"/>
        <v/>
      </c>
      <c r="B1826" s="290"/>
      <c r="C1826" s="404"/>
      <c r="D1826" s="291"/>
      <c r="E1826" s="291"/>
      <c r="F1826" s="292"/>
      <c r="G1826" s="291"/>
      <c r="H1826" s="291"/>
      <c r="I1826" s="293"/>
      <c r="J1826" s="291"/>
      <c r="K1826" s="291"/>
      <c r="L1826" s="293"/>
      <c r="M1826" s="291"/>
      <c r="N1826" s="289"/>
      <c r="O1826" s="358"/>
      <c r="P1826" s="402">
        <f t="shared" ref="P1826:Q1826" si="1824">IF(B1826=0,0,IF(YEAR(B1826)=$Q$1,MONTH(B1826)-$P$1+1,(YEAR(B1826)-$Q$1)*12-$P$1+1+MONTH(B1826)))</f>
        <v>0</v>
      </c>
      <c r="Q1826" s="402">
        <f t="shared" si="1824"/>
        <v>0</v>
      </c>
      <c r="R1826" s="356" t="e">
        <f t="shared" si="1325"/>
        <v>#N/A</v>
      </c>
      <c r="S1826" s="269" t="str">
        <f>IF(D1826="","",IF(OR(D1826=Plano!$A$1,D1826=Plano!$B$1),"entrada","saída"))</f>
        <v/>
      </c>
      <c r="T1826" s="406"/>
      <c r="U1826" s="406"/>
      <c r="V1826" s="269"/>
      <c r="W1826" s="269"/>
    </row>
    <row r="1827" spans="1:23" ht="12.75" customHeight="1" x14ac:dyDescent="0.2">
      <c r="A1827" s="289" t="str">
        <f t="shared" si="0"/>
        <v/>
      </c>
      <c r="B1827" s="290"/>
      <c r="C1827" s="404"/>
      <c r="D1827" s="291"/>
      <c r="E1827" s="291"/>
      <c r="F1827" s="292"/>
      <c r="G1827" s="291"/>
      <c r="H1827" s="291"/>
      <c r="I1827" s="293"/>
      <c r="J1827" s="291"/>
      <c r="K1827" s="291"/>
      <c r="L1827" s="293"/>
      <c r="M1827" s="291"/>
      <c r="N1827" s="289"/>
      <c r="O1827" s="358"/>
      <c r="P1827" s="402">
        <f t="shared" ref="P1827:Q1827" si="1825">IF(B1827=0,0,IF(YEAR(B1827)=$Q$1,MONTH(B1827)-$P$1+1,(YEAR(B1827)-$Q$1)*12-$P$1+1+MONTH(B1827)))</f>
        <v>0</v>
      </c>
      <c r="Q1827" s="402">
        <f t="shared" si="1825"/>
        <v>0</v>
      </c>
      <c r="R1827" s="356" t="e">
        <f t="shared" si="1325"/>
        <v>#N/A</v>
      </c>
      <c r="S1827" s="269" t="str">
        <f>IF(D1827="","",IF(OR(D1827=Plano!$A$1,D1827=Plano!$B$1),"entrada","saída"))</f>
        <v/>
      </c>
      <c r="T1827" s="406"/>
      <c r="U1827" s="406"/>
      <c r="V1827" s="269"/>
      <c r="W1827" s="269"/>
    </row>
    <row r="1828" spans="1:23" ht="12.75" customHeight="1" x14ac:dyDescent="0.2">
      <c r="A1828" s="289" t="str">
        <f t="shared" si="0"/>
        <v/>
      </c>
      <c r="B1828" s="290"/>
      <c r="C1828" s="404"/>
      <c r="D1828" s="291"/>
      <c r="E1828" s="291"/>
      <c r="F1828" s="292"/>
      <c r="G1828" s="291"/>
      <c r="H1828" s="291"/>
      <c r="I1828" s="293"/>
      <c r="J1828" s="291"/>
      <c r="K1828" s="291"/>
      <c r="L1828" s="293"/>
      <c r="M1828" s="291"/>
      <c r="N1828" s="289"/>
      <c r="O1828" s="358"/>
      <c r="P1828" s="402">
        <f t="shared" ref="P1828:Q1828" si="1826">IF(B1828=0,0,IF(YEAR(B1828)=$Q$1,MONTH(B1828)-$P$1+1,(YEAR(B1828)-$Q$1)*12-$P$1+1+MONTH(B1828)))</f>
        <v>0</v>
      </c>
      <c r="Q1828" s="402">
        <f t="shared" si="1826"/>
        <v>0</v>
      </c>
      <c r="R1828" s="356" t="e">
        <f t="shared" si="1325"/>
        <v>#N/A</v>
      </c>
      <c r="S1828" s="269" t="str">
        <f>IF(D1828="","",IF(OR(D1828=Plano!$A$1,D1828=Plano!$B$1),"entrada","saída"))</f>
        <v/>
      </c>
      <c r="T1828" s="406"/>
      <c r="U1828" s="406"/>
      <c r="V1828" s="269"/>
      <c r="W1828" s="269"/>
    </row>
    <row r="1829" spans="1:23" ht="12.75" customHeight="1" x14ac:dyDescent="0.2">
      <c r="A1829" s="289" t="str">
        <f t="shared" si="0"/>
        <v/>
      </c>
      <c r="B1829" s="290"/>
      <c r="C1829" s="404"/>
      <c r="D1829" s="291"/>
      <c r="E1829" s="291"/>
      <c r="F1829" s="292"/>
      <c r="G1829" s="291"/>
      <c r="H1829" s="291"/>
      <c r="I1829" s="293"/>
      <c r="J1829" s="291"/>
      <c r="K1829" s="291"/>
      <c r="L1829" s="293"/>
      <c r="M1829" s="291"/>
      <c r="N1829" s="289"/>
      <c r="O1829" s="358"/>
      <c r="P1829" s="402">
        <f t="shared" ref="P1829:Q1829" si="1827">IF(B1829=0,0,IF(YEAR(B1829)=$Q$1,MONTH(B1829)-$P$1+1,(YEAR(B1829)-$Q$1)*12-$P$1+1+MONTH(B1829)))</f>
        <v>0</v>
      </c>
      <c r="Q1829" s="402">
        <f t="shared" si="1827"/>
        <v>0</v>
      </c>
      <c r="R1829" s="356" t="e">
        <f t="shared" si="1325"/>
        <v>#N/A</v>
      </c>
      <c r="S1829" s="269" t="str">
        <f>IF(D1829="","",IF(OR(D1829=Plano!$A$1,D1829=Plano!$B$1),"entrada","saída"))</f>
        <v/>
      </c>
      <c r="T1829" s="406"/>
      <c r="U1829" s="406"/>
      <c r="V1829" s="269"/>
      <c r="W1829" s="269"/>
    </row>
    <row r="1830" spans="1:23" ht="12.75" customHeight="1" x14ac:dyDescent="0.2">
      <c r="A1830" s="289" t="str">
        <f t="shared" si="0"/>
        <v/>
      </c>
      <c r="B1830" s="290"/>
      <c r="C1830" s="404"/>
      <c r="D1830" s="291"/>
      <c r="E1830" s="291"/>
      <c r="F1830" s="292"/>
      <c r="G1830" s="291"/>
      <c r="H1830" s="291"/>
      <c r="I1830" s="293"/>
      <c r="J1830" s="291"/>
      <c r="K1830" s="291"/>
      <c r="L1830" s="293"/>
      <c r="M1830" s="291"/>
      <c r="N1830" s="289"/>
      <c r="O1830" s="358"/>
      <c r="P1830" s="402">
        <f t="shared" ref="P1830:Q1830" si="1828">IF(B1830=0,0,IF(YEAR(B1830)=$Q$1,MONTH(B1830)-$P$1+1,(YEAR(B1830)-$Q$1)*12-$P$1+1+MONTH(B1830)))</f>
        <v>0</v>
      </c>
      <c r="Q1830" s="402">
        <f t="shared" si="1828"/>
        <v>0</v>
      </c>
      <c r="R1830" s="356" t="e">
        <f t="shared" si="1325"/>
        <v>#N/A</v>
      </c>
      <c r="S1830" s="269" t="str">
        <f>IF(D1830="","",IF(OR(D1830=Plano!$A$1,D1830=Plano!$B$1),"entrada","saída"))</f>
        <v/>
      </c>
      <c r="T1830" s="406"/>
      <c r="U1830" s="406"/>
      <c r="V1830" s="269"/>
      <c r="W1830" s="269"/>
    </row>
    <row r="1831" spans="1:23" ht="12.75" customHeight="1" x14ac:dyDescent="0.2">
      <c r="A1831" s="289" t="str">
        <f t="shared" si="0"/>
        <v/>
      </c>
      <c r="B1831" s="290"/>
      <c r="C1831" s="404"/>
      <c r="D1831" s="291"/>
      <c r="E1831" s="291"/>
      <c r="F1831" s="292"/>
      <c r="G1831" s="291"/>
      <c r="H1831" s="291"/>
      <c r="I1831" s="293"/>
      <c r="J1831" s="291"/>
      <c r="K1831" s="291"/>
      <c r="L1831" s="293"/>
      <c r="M1831" s="291"/>
      <c r="N1831" s="289"/>
      <c r="O1831" s="358"/>
      <c r="P1831" s="402">
        <f t="shared" ref="P1831:Q1831" si="1829">IF(B1831=0,0,IF(YEAR(B1831)=$Q$1,MONTH(B1831)-$P$1+1,(YEAR(B1831)-$Q$1)*12-$P$1+1+MONTH(B1831)))</f>
        <v>0</v>
      </c>
      <c r="Q1831" s="402">
        <f t="shared" si="1829"/>
        <v>0</v>
      </c>
      <c r="R1831" s="356" t="e">
        <f t="shared" si="1325"/>
        <v>#N/A</v>
      </c>
      <c r="S1831" s="269" t="str">
        <f>IF(D1831="","",IF(OR(D1831=Plano!$A$1,D1831=Plano!$B$1),"entrada","saída"))</f>
        <v/>
      </c>
      <c r="T1831" s="406"/>
      <c r="U1831" s="406"/>
      <c r="V1831" s="269"/>
      <c r="W1831" s="269"/>
    </row>
    <row r="1832" spans="1:23" ht="12.75" customHeight="1" x14ac:dyDescent="0.2">
      <c r="A1832" s="289" t="str">
        <f t="shared" si="0"/>
        <v/>
      </c>
      <c r="B1832" s="290"/>
      <c r="C1832" s="404"/>
      <c r="D1832" s="291"/>
      <c r="E1832" s="291"/>
      <c r="F1832" s="292"/>
      <c r="G1832" s="291"/>
      <c r="H1832" s="291"/>
      <c r="I1832" s="293"/>
      <c r="J1832" s="291"/>
      <c r="K1832" s="291"/>
      <c r="L1832" s="293"/>
      <c r="M1832" s="291"/>
      <c r="N1832" s="289"/>
      <c r="O1832" s="358"/>
      <c r="P1832" s="402">
        <f t="shared" ref="P1832:Q1832" si="1830">IF(B1832=0,0,IF(YEAR(B1832)=$Q$1,MONTH(B1832)-$P$1+1,(YEAR(B1832)-$Q$1)*12-$P$1+1+MONTH(B1832)))</f>
        <v>0</v>
      </c>
      <c r="Q1832" s="402">
        <f t="shared" si="1830"/>
        <v>0</v>
      </c>
      <c r="R1832" s="356" t="e">
        <f t="shared" si="1325"/>
        <v>#N/A</v>
      </c>
      <c r="S1832" s="269" t="str">
        <f>IF(D1832="","",IF(OR(D1832=Plano!$A$1,D1832=Plano!$B$1),"entrada","saída"))</f>
        <v/>
      </c>
      <c r="T1832" s="406"/>
      <c r="U1832" s="406"/>
      <c r="V1832" s="269"/>
      <c r="W1832" s="269"/>
    </row>
    <row r="1833" spans="1:23" ht="12.75" customHeight="1" x14ac:dyDescent="0.2">
      <c r="A1833" s="289" t="str">
        <f t="shared" si="0"/>
        <v/>
      </c>
      <c r="B1833" s="290"/>
      <c r="C1833" s="404"/>
      <c r="D1833" s="291"/>
      <c r="E1833" s="291"/>
      <c r="F1833" s="292"/>
      <c r="G1833" s="291"/>
      <c r="H1833" s="291"/>
      <c r="I1833" s="293"/>
      <c r="J1833" s="291"/>
      <c r="K1833" s="291"/>
      <c r="L1833" s="293"/>
      <c r="M1833" s="291"/>
      <c r="N1833" s="289"/>
      <c r="O1833" s="358"/>
      <c r="P1833" s="402">
        <f t="shared" ref="P1833:Q1833" si="1831">IF(B1833=0,0,IF(YEAR(B1833)=$Q$1,MONTH(B1833)-$P$1+1,(YEAR(B1833)-$Q$1)*12-$P$1+1+MONTH(B1833)))</f>
        <v>0</v>
      </c>
      <c r="Q1833" s="402">
        <f t="shared" si="1831"/>
        <v>0</v>
      </c>
      <c r="R1833" s="356" t="e">
        <f t="shared" si="1325"/>
        <v>#N/A</v>
      </c>
      <c r="S1833" s="269" t="str">
        <f>IF(D1833="","",IF(OR(D1833=Plano!$A$1,D1833=Plano!$B$1),"entrada","saída"))</f>
        <v/>
      </c>
      <c r="T1833" s="406"/>
      <c r="U1833" s="406"/>
      <c r="V1833" s="269"/>
      <c r="W1833" s="269"/>
    </row>
    <row r="1834" spans="1:23" ht="12.75" customHeight="1" x14ac:dyDescent="0.2">
      <c r="A1834" s="289" t="str">
        <f t="shared" si="0"/>
        <v/>
      </c>
      <c r="B1834" s="290"/>
      <c r="C1834" s="404"/>
      <c r="D1834" s="291"/>
      <c r="E1834" s="291"/>
      <c r="F1834" s="292"/>
      <c r="G1834" s="291"/>
      <c r="H1834" s="291"/>
      <c r="I1834" s="293"/>
      <c r="J1834" s="291"/>
      <c r="K1834" s="291"/>
      <c r="L1834" s="293"/>
      <c r="M1834" s="291"/>
      <c r="N1834" s="289"/>
      <c r="O1834" s="358"/>
      <c r="P1834" s="402">
        <f t="shared" ref="P1834:Q1834" si="1832">IF(B1834=0,0,IF(YEAR(B1834)=$Q$1,MONTH(B1834)-$P$1+1,(YEAR(B1834)-$Q$1)*12-$P$1+1+MONTH(B1834)))</f>
        <v>0</v>
      </c>
      <c r="Q1834" s="402">
        <f t="shared" si="1832"/>
        <v>0</v>
      </c>
      <c r="R1834" s="356" t="e">
        <f t="shared" si="1325"/>
        <v>#N/A</v>
      </c>
      <c r="S1834" s="269" t="str">
        <f>IF(D1834="","",IF(OR(D1834=Plano!$A$1,D1834=Plano!$B$1),"entrada","saída"))</f>
        <v/>
      </c>
      <c r="T1834" s="406"/>
      <c r="U1834" s="406"/>
      <c r="V1834" s="269"/>
      <c r="W1834" s="269"/>
    </row>
    <row r="1835" spans="1:23" ht="12.75" customHeight="1" x14ac:dyDescent="0.2">
      <c r="A1835" s="289" t="str">
        <f t="shared" si="0"/>
        <v/>
      </c>
      <c r="B1835" s="290"/>
      <c r="C1835" s="404"/>
      <c r="D1835" s="291"/>
      <c r="E1835" s="291"/>
      <c r="F1835" s="292"/>
      <c r="G1835" s="291"/>
      <c r="H1835" s="291"/>
      <c r="I1835" s="293"/>
      <c r="J1835" s="291"/>
      <c r="K1835" s="291"/>
      <c r="L1835" s="293"/>
      <c r="M1835" s="291"/>
      <c r="N1835" s="289"/>
      <c r="O1835" s="358"/>
      <c r="P1835" s="402">
        <f t="shared" ref="P1835:Q1835" si="1833">IF(B1835=0,0,IF(YEAR(B1835)=$Q$1,MONTH(B1835)-$P$1+1,(YEAR(B1835)-$Q$1)*12-$P$1+1+MONTH(B1835)))</f>
        <v>0</v>
      </c>
      <c r="Q1835" s="402">
        <f t="shared" si="1833"/>
        <v>0</v>
      </c>
      <c r="R1835" s="356" t="e">
        <f t="shared" si="1325"/>
        <v>#N/A</v>
      </c>
      <c r="S1835" s="269" t="str">
        <f>IF(D1835="","",IF(OR(D1835=Plano!$A$1,D1835=Plano!$B$1),"entrada","saída"))</f>
        <v/>
      </c>
      <c r="T1835" s="406"/>
      <c r="U1835" s="406"/>
      <c r="V1835" s="269"/>
      <c r="W1835" s="269"/>
    </row>
    <row r="1836" spans="1:23" ht="12.75" customHeight="1" x14ac:dyDescent="0.2">
      <c r="A1836" s="289" t="str">
        <f t="shared" si="0"/>
        <v/>
      </c>
      <c r="B1836" s="290"/>
      <c r="C1836" s="404"/>
      <c r="D1836" s="291"/>
      <c r="E1836" s="291"/>
      <c r="F1836" s="292"/>
      <c r="G1836" s="291"/>
      <c r="H1836" s="291"/>
      <c r="I1836" s="293"/>
      <c r="J1836" s="291"/>
      <c r="K1836" s="291"/>
      <c r="L1836" s="293"/>
      <c r="M1836" s="291"/>
      <c r="N1836" s="289"/>
      <c r="O1836" s="358"/>
      <c r="P1836" s="402">
        <f t="shared" ref="P1836:Q1836" si="1834">IF(B1836=0,0,IF(YEAR(B1836)=$Q$1,MONTH(B1836)-$P$1+1,(YEAR(B1836)-$Q$1)*12-$P$1+1+MONTH(B1836)))</f>
        <v>0</v>
      </c>
      <c r="Q1836" s="402">
        <f t="shared" si="1834"/>
        <v>0</v>
      </c>
      <c r="R1836" s="356" t="e">
        <f t="shared" si="1325"/>
        <v>#N/A</v>
      </c>
      <c r="S1836" s="269" t="str">
        <f>IF(D1836="","",IF(OR(D1836=Plano!$A$1,D1836=Plano!$B$1),"entrada","saída"))</f>
        <v/>
      </c>
      <c r="T1836" s="406"/>
      <c r="U1836" s="406"/>
      <c r="V1836" s="269"/>
      <c r="W1836" s="269"/>
    </row>
    <row r="1837" spans="1:23" ht="12.75" customHeight="1" x14ac:dyDescent="0.2">
      <c r="A1837" s="289" t="str">
        <f t="shared" si="0"/>
        <v/>
      </c>
      <c r="B1837" s="290"/>
      <c r="C1837" s="404"/>
      <c r="D1837" s="291"/>
      <c r="E1837" s="291"/>
      <c r="F1837" s="292"/>
      <c r="G1837" s="291"/>
      <c r="H1837" s="291"/>
      <c r="I1837" s="293"/>
      <c r="J1837" s="291"/>
      <c r="K1837" s="291"/>
      <c r="L1837" s="293"/>
      <c r="M1837" s="291"/>
      <c r="N1837" s="289"/>
      <c r="O1837" s="358"/>
      <c r="P1837" s="402">
        <f t="shared" ref="P1837:Q1837" si="1835">IF(B1837=0,0,IF(YEAR(B1837)=$Q$1,MONTH(B1837)-$P$1+1,(YEAR(B1837)-$Q$1)*12-$P$1+1+MONTH(B1837)))</f>
        <v>0</v>
      </c>
      <c r="Q1837" s="402">
        <f t="shared" si="1835"/>
        <v>0</v>
      </c>
      <c r="R1837" s="356" t="e">
        <f t="shared" si="1325"/>
        <v>#N/A</v>
      </c>
      <c r="S1837" s="269" t="str">
        <f>IF(D1837="","",IF(OR(D1837=Plano!$A$1,D1837=Plano!$B$1),"entrada","saída"))</f>
        <v/>
      </c>
      <c r="T1837" s="406"/>
      <c r="U1837" s="406"/>
      <c r="V1837" s="269"/>
      <c r="W1837" s="269"/>
    </row>
    <row r="1838" spans="1:23" ht="12.75" customHeight="1" x14ac:dyDescent="0.2">
      <c r="A1838" s="289" t="str">
        <f t="shared" si="0"/>
        <v/>
      </c>
      <c r="B1838" s="290"/>
      <c r="C1838" s="404"/>
      <c r="D1838" s="291"/>
      <c r="E1838" s="291"/>
      <c r="F1838" s="292"/>
      <c r="G1838" s="291"/>
      <c r="H1838" s="291"/>
      <c r="I1838" s="293"/>
      <c r="J1838" s="291"/>
      <c r="K1838" s="291"/>
      <c r="L1838" s="293"/>
      <c r="M1838" s="291"/>
      <c r="N1838" s="289"/>
      <c r="O1838" s="358"/>
      <c r="P1838" s="402">
        <f t="shared" ref="P1838:Q1838" si="1836">IF(B1838=0,0,IF(YEAR(B1838)=$Q$1,MONTH(B1838)-$P$1+1,(YEAR(B1838)-$Q$1)*12-$P$1+1+MONTH(B1838)))</f>
        <v>0</v>
      </c>
      <c r="Q1838" s="402">
        <f t="shared" si="1836"/>
        <v>0</v>
      </c>
      <c r="R1838" s="356" t="e">
        <f t="shared" si="1325"/>
        <v>#N/A</v>
      </c>
      <c r="S1838" s="269" t="str">
        <f>IF(D1838="","",IF(OR(D1838=Plano!$A$1,D1838=Plano!$B$1),"entrada","saída"))</f>
        <v/>
      </c>
      <c r="T1838" s="406"/>
      <c r="U1838" s="406"/>
      <c r="V1838" s="269"/>
      <c r="W1838" s="269"/>
    </row>
    <row r="1839" spans="1:23" ht="12.75" customHeight="1" x14ac:dyDescent="0.2">
      <c r="A1839" s="289" t="str">
        <f t="shared" si="0"/>
        <v/>
      </c>
      <c r="B1839" s="290"/>
      <c r="C1839" s="404"/>
      <c r="D1839" s="291"/>
      <c r="E1839" s="291"/>
      <c r="F1839" s="292"/>
      <c r="G1839" s="291"/>
      <c r="H1839" s="291"/>
      <c r="I1839" s="293"/>
      <c r="J1839" s="291"/>
      <c r="K1839" s="291"/>
      <c r="L1839" s="293"/>
      <c r="M1839" s="291"/>
      <c r="N1839" s="289"/>
      <c r="O1839" s="358"/>
      <c r="P1839" s="402">
        <f t="shared" ref="P1839:Q1839" si="1837">IF(B1839=0,0,IF(YEAR(B1839)=$Q$1,MONTH(B1839)-$P$1+1,(YEAR(B1839)-$Q$1)*12-$P$1+1+MONTH(B1839)))</f>
        <v>0</v>
      </c>
      <c r="Q1839" s="402">
        <f t="shared" si="1837"/>
        <v>0</v>
      </c>
      <c r="R1839" s="356" t="e">
        <f t="shared" si="1325"/>
        <v>#N/A</v>
      </c>
      <c r="S1839" s="269" t="str">
        <f>IF(D1839="","",IF(OR(D1839=Plano!$A$1,D1839=Plano!$B$1),"entrada","saída"))</f>
        <v/>
      </c>
      <c r="T1839" s="406"/>
      <c r="U1839" s="406"/>
      <c r="V1839" s="269"/>
      <c r="W1839" s="269"/>
    </row>
    <row r="1840" spans="1:23" ht="12.75" customHeight="1" x14ac:dyDescent="0.2">
      <c r="A1840" s="289" t="str">
        <f t="shared" si="0"/>
        <v/>
      </c>
      <c r="B1840" s="290"/>
      <c r="C1840" s="404"/>
      <c r="D1840" s="291"/>
      <c r="E1840" s="291"/>
      <c r="F1840" s="292"/>
      <c r="G1840" s="291"/>
      <c r="H1840" s="291"/>
      <c r="I1840" s="293"/>
      <c r="J1840" s="291"/>
      <c r="K1840" s="291"/>
      <c r="L1840" s="293"/>
      <c r="M1840" s="291"/>
      <c r="N1840" s="289"/>
      <c r="O1840" s="358"/>
      <c r="P1840" s="402">
        <f t="shared" ref="P1840:Q1840" si="1838">IF(B1840=0,0,IF(YEAR(B1840)=$Q$1,MONTH(B1840)-$P$1+1,(YEAR(B1840)-$Q$1)*12-$P$1+1+MONTH(B1840)))</f>
        <v>0</v>
      </c>
      <c r="Q1840" s="402">
        <f t="shared" si="1838"/>
        <v>0</v>
      </c>
      <c r="R1840" s="356" t="e">
        <f t="shared" si="1325"/>
        <v>#N/A</v>
      </c>
      <c r="S1840" s="269" t="str">
        <f>IF(D1840="","",IF(OR(D1840=Plano!$A$1,D1840=Plano!$B$1),"entrada","saída"))</f>
        <v/>
      </c>
      <c r="T1840" s="406"/>
      <c r="U1840" s="406"/>
      <c r="V1840" s="269"/>
      <c r="W1840" s="269"/>
    </row>
    <row r="1841" spans="1:23" ht="12.75" customHeight="1" x14ac:dyDescent="0.2">
      <c r="A1841" s="289" t="str">
        <f t="shared" si="0"/>
        <v/>
      </c>
      <c r="B1841" s="290"/>
      <c r="C1841" s="404"/>
      <c r="D1841" s="291"/>
      <c r="E1841" s="291"/>
      <c r="F1841" s="292"/>
      <c r="G1841" s="291"/>
      <c r="H1841" s="291"/>
      <c r="I1841" s="293"/>
      <c r="J1841" s="291"/>
      <c r="K1841" s="291"/>
      <c r="L1841" s="293"/>
      <c r="M1841" s="291"/>
      <c r="N1841" s="289"/>
      <c r="O1841" s="358"/>
      <c r="P1841" s="402">
        <f t="shared" ref="P1841:Q1841" si="1839">IF(B1841=0,0,IF(YEAR(B1841)=$Q$1,MONTH(B1841)-$P$1+1,(YEAR(B1841)-$Q$1)*12-$P$1+1+MONTH(B1841)))</f>
        <v>0</v>
      </c>
      <c r="Q1841" s="402">
        <f t="shared" si="1839"/>
        <v>0</v>
      </c>
      <c r="R1841" s="356" t="e">
        <f t="shared" si="1325"/>
        <v>#N/A</v>
      </c>
      <c r="S1841" s="269" t="str">
        <f>IF(D1841="","",IF(OR(D1841=Plano!$A$1,D1841=Plano!$B$1),"entrada","saída"))</f>
        <v/>
      </c>
      <c r="T1841" s="406"/>
      <c r="U1841" s="406"/>
      <c r="V1841" s="269"/>
      <c r="W1841" s="269"/>
    </row>
    <row r="1842" spans="1:23" ht="12.75" customHeight="1" x14ac:dyDescent="0.2">
      <c r="A1842" s="289" t="str">
        <f t="shared" si="0"/>
        <v/>
      </c>
      <c r="B1842" s="290"/>
      <c r="C1842" s="404"/>
      <c r="D1842" s="291"/>
      <c r="E1842" s="291"/>
      <c r="F1842" s="292"/>
      <c r="G1842" s="291"/>
      <c r="H1842" s="291"/>
      <c r="I1842" s="293"/>
      <c r="J1842" s="291"/>
      <c r="K1842" s="291"/>
      <c r="L1842" s="293"/>
      <c r="M1842" s="291"/>
      <c r="N1842" s="289"/>
      <c r="O1842" s="358"/>
      <c r="P1842" s="402">
        <f t="shared" ref="P1842:Q1842" si="1840">IF(B1842=0,0,IF(YEAR(B1842)=$Q$1,MONTH(B1842)-$P$1+1,(YEAR(B1842)-$Q$1)*12-$P$1+1+MONTH(B1842)))</f>
        <v>0</v>
      </c>
      <c r="Q1842" s="402">
        <f t="shared" si="1840"/>
        <v>0</v>
      </c>
      <c r="R1842" s="356" t="e">
        <f t="shared" si="1325"/>
        <v>#N/A</v>
      </c>
      <c r="S1842" s="269" t="str">
        <f>IF(D1842="","",IF(OR(D1842=Plano!$A$1,D1842=Plano!$B$1),"entrada","saída"))</f>
        <v/>
      </c>
      <c r="T1842" s="406"/>
      <c r="U1842" s="406"/>
      <c r="V1842" s="269"/>
      <c r="W1842" s="269"/>
    </row>
    <row r="1843" spans="1:23" ht="12.75" customHeight="1" x14ac:dyDescent="0.2">
      <c r="A1843" s="289" t="str">
        <f t="shared" si="0"/>
        <v/>
      </c>
      <c r="B1843" s="290"/>
      <c r="C1843" s="404"/>
      <c r="D1843" s="291"/>
      <c r="E1843" s="291"/>
      <c r="F1843" s="292"/>
      <c r="G1843" s="291"/>
      <c r="H1843" s="291"/>
      <c r="I1843" s="293"/>
      <c r="J1843" s="291"/>
      <c r="K1843" s="291"/>
      <c r="L1843" s="293"/>
      <c r="M1843" s="291"/>
      <c r="N1843" s="289"/>
      <c r="O1843" s="358"/>
      <c r="P1843" s="402">
        <f t="shared" ref="P1843:Q1843" si="1841">IF(B1843=0,0,IF(YEAR(B1843)=$Q$1,MONTH(B1843)-$P$1+1,(YEAR(B1843)-$Q$1)*12-$P$1+1+MONTH(B1843)))</f>
        <v>0</v>
      </c>
      <c r="Q1843" s="402">
        <f t="shared" si="1841"/>
        <v>0</v>
      </c>
      <c r="R1843" s="356" t="e">
        <f t="shared" si="1325"/>
        <v>#N/A</v>
      </c>
      <c r="S1843" s="269" t="str">
        <f>IF(D1843="","",IF(OR(D1843=Plano!$A$1,D1843=Plano!$B$1),"entrada","saída"))</f>
        <v/>
      </c>
      <c r="T1843" s="406"/>
      <c r="U1843" s="406"/>
      <c r="V1843" s="269"/>
      <c r="W1843" s="269"/>
    </row>
    <row r="1844" spans="1:23" ht="12.75" customHeight="1" x14ac:dyDescent="0.2">
      <c r="A1844" s="289" t="str">
        <f t="shared" si="0"/>
        <v/>
      </c>
      <c r="B1844" s="290"/>
      <c r="C1844" s="404"/>
      <c r="D1844" s="291"/>
      <c r="E1844" s="291"/>
      <c r="F1844" s="292"/>
      <c r="G1844" s="291"/>
      <c r="H1844" s="291"/>
      <c r="I1844" s="293"/>
      <c r="J1844" s="291"/>
      <c r="K1844" s="291"/>
      <c r="L1844" s="293"/>
      <c r="M1844" s="291"/>
      <c r="N1844" s="289"/>
      <c r="O1844" s="358"/>
      <c r="P1844" s="402">
        <f t="shared" ref="P1844:Q1844" si="1842">IF(B1844=0,0,IF(YEAR(B1844)=$Q$1,MONTH(B1844)-$P$1+1,(YEAR(B1844)-$Q$1)*12-$P$1+1+MONTH(B1844)))</f>
        <v>0</v>
      </c>
      <c r="Q1844" s="402">
        <f t="shared" si="1842"/>
        <v>0</v>
      </c>
      <c r="R1844" s="356" t="e">
        <f t="shared" si="1325"/>
        <v>#N/A</v>
      </c>
      <c r="S1844" s="269" t="str">
        <f>IF(D1844="","",IF(OR(D1844=Plano!$A$1,D1844=Plano!$B$1),"entrada","saída"))</f>
        <v/>
      </c>
      <c r="T1844" s="406"/>
      <c r="U1844" s="406"/>
      <c r="V1844" s="269"/>
      <c r="W1844" s="269"/>
    </row>
    <row r="1845" spans="1:23" ht="12.75" customHeight="1" x14ac:dyDescent="0.2">
      <c r="A1845" s="289" t="str">
        <f t="shared" si="0"/>
        <v/>
      </c>
      <c r="B1845" s="290"/>
      <c r="C1845" s="404"/>
      <c r="D1845" s="291"/>
      <c r="E1845" s="291"/>
      <c r="F1845" s="292"/>
      <c r="G1845" s="291"/>
      <c r="H1845" s="291"/>
      <c r="I1845" s="293"/>
      <c r="J1845" s="291"/>
      <c r="K1845" s="291"/>
      <c r="L1845" s="293"/>
      <c r="M1845" s="291"/>
      <c r="N1845" s="289"/>
      <c r="O1845" s="358"/>
      <c r="P1845" s="402">
        <f t="shared" ref="P1845:Q1845" si="1843">IF(B1845=0,0,IF(YEAR(B1845)=$Q$1,MONTH(B1845)-$P$1+1,(YEAR(B1845)-$Q$1)*12-$P$1+1+MONTH(B1845)))</f>
        <v>0</v>
      </c>
      <c r="Q1845" s="402">
        <f t="shared" si="1843"/>
        <v>0</v>
      </c>
      <c r="R1845" s="356" t="e">
        <f t="shared" si="1325"/>
        <v>#N/A</v>
      </c>
      <c r="S1845" s="269" t="str">
        <f>IF(D1845="","",IF(OR(D1845=Plano!$A$1,D1845=Plano!$B$1),"entrada","saída"))</f>
        <v/>
      </c>
      <c r="T1845" s="406"/>
      <c r="U1845" s="406"/>
      <c r="V1845" s="269"/>
      <c r="W1845" s="269"/>
    </row>
    <row r="1846" spans="1:23" ht="12.75" customHeight="1" x14ac:dyDescent="0.2">
      <c r="A1846" s="289" t="str">
        <f t="shared" si="0"/>
        <v/>
      </c>
      <c r="B1846" s="290"/>
      <c r="C1846" s="404"/>
      <c r="D1846" s="291"/>
      <c r="E1846" s="291"/>
      <c r="F1846" s="292"/>
      <c r="G1846" s="291"/>
      <c r="H1846" s="291"/>
      <c r="I1846" s="293"/>
      <c r="J1846" s="291"/>
      <c r="K1846" s="291"/>
      <c r="L1846" s="293"/>
      <c r="M1846" s="291"/>
      <c r="N1846" s="289"/>
      <c r="O1846" s="358"/>
      <c r="P1846" s="402">
        <f t="shared" ref="P1846:Q1846" si="1844">IF(B1846=0,0,IF(YEAR(B1846)=$Q$1,MONTH(B1846)-$P$1+1,(YEAR(B1846)-$Q$1)*12-$P$1+1+MONTH(B1846)))</f>
        <v>0</v>
      </c>
      <c r="Q1846" s="402">
        <f t="shared" si="1844"/>
        <v>0</v>
      </c>
      <c r="R1846" s="356" t="e">
        <f t="shared" si="1325"/>
        <v>#N/A</v>
      </c>
      <c r="S1846" s="269" t="str">
        <f>IF(D1846="","",IF(OR(D1846=Plano!$A$1,D1846=Plano!$B$1),"entrada","saída"))</f>
        <v/>
      </c>
      <c r="T1846" s="406"/>
      <c r="U1846" s="406"/>
      <c r="V1846" s="269"/>
      <c r="W1846" s="269"/>
    </row>
    <row r="1847" spans="1:23" ht="12.75" customHeight="1" x14ac:dyDescent="0.2">
      <c r="A1847" s="289" t="str">
        <f t="shared" si="0"/>
        <v/>
      </c>
      <c r="B1847" s="290"/>
      <c r="C1847" s="404"/>
      <c r="D1847" s="291"/>
      <c r="E1847" s="291"/>
      <c r="F1847" s="292"/>
      <c r="G1847" s="291"/>
      <c r="H1847" s="291"/>
      <c r="I1847" s="293"/>
      <c r="J1847" s="291"/>
      <c r="K1847" s="291"/>
      <c r="L1847" s="293"/>
      <c r="M1847" s="291"/>
      <c r="N1847" s="289"/>
      <c r="O1847" s="358"/>
      <c r="P1847" s="402">
        <f t="shared" ref="P1847:Q1847" si="1845">IF(B1847=0,0,IF(YEAR(B1847)=$Q$1,MONTH(B1847)-$P$1+1,(YEAR(B1847)-$Q$1)*12-$P$1+1+MONTH(B1847)))</f>
        <v>0</v>
      </c>
      <c r="Q1847" s="402">
        <f t="shared" si="1845"/>
        <v>0</v>
      </c>
      <c r="R1847" s="356" t="e">
        <f t="shared" si="1325"/>
        <v>#N/A</v>
      </c>
      <c r="S1847" s="269" t="str">
        <f>IF(D1847="","",IF(OR(D1847=Plano!$A$1,D1847=Plano!$B$1),"entrada","saída"))</f>
        <v/>
      </c>
      <c r="T1847" s="406"/>
      <c r="U1847" s="406"/>
      <c r="V1847" s="269"/>
      <c r="W1847" s="269"/>
    </row>
    <row r="1848" spans="1:23" ht="12.75" customHeight="1" x14ac:dyDescent="0.2">
      <c r="A1848" s="289" t="str">
        <f t="shared" si="0"/>
        <v/>
      </c>
      <c r="B1848" s="290"/>
      <c r="C1848" s="404"/>
      <c r="D1848" s="291"/>
      <c r="E1848" s="291"/>
      <c r="F1848" s="292"/>
      <c r="G1848" s="291"/>
      <c r="H1848" s="291"/>
      <c r="I1848" s="293"/>
      <c r="J1848" s="291"/>
      <c r="K1848" s="291"/>
      <c r="L1848" s="293"/>
      <c r="M1848" s="291"/>
      <c r="N1848" s="289"/>
      <c r="O1848" s="358"/>
      <c r="P1848" s="402">
        <f t="shared" ref="P1848:Q1848" si="1846">IF(B1848=0,0,IF(YEAR(B1848)=$Q$1,MONTH(B1848)-$P$1+1,(YEAR(B1848)-$Q$1)*12-$P$1+1+MONTH(B1848)))</f>
        <v>0</v>
      </c>
      <c r="Q1848" s="402">
        <f t="shared" si="1846"/>
        <v>0</v>
      </c>
      <c r="R1848" s="356" t="e">
        <f t="shared" si="1325"/>
        <v>#N/A</v>
      </c>
      <c r="S1848" s="269" t="str">
        <f>IF(D1848="","",IF(OR(D1848=Plano!$A$1,D1848=Plano!$B$1),"entrada","saída"))</f>
        <v/>
      </c>
      <c r="T1848" s="406"/>
      <c r="U1848" s="406"/>
      <c r="V1848" s="269"/>
      <c r="W1848" s="269"/>
    </row>
    <row r="1849" spans="1:23" ht="12.75" customHeight="1" x14ac:dyDescent="0.2">
      <c r="A1849" s="289" t="str">
        <f t="shared" si="0"/>
        <v/>
      </c>
      <c r="B1849" s="290"/>
      <c r="C1849" s="404"/>
      <c r="D1849" s="291"/>
      <c r="E1849" s="291"/>
      <c r="F1849" s="292"/>
      <c r="G1849" s="291"/>
      <c r="H1849" s="291"/>
      <c r="I1849" s="293"/>
      <c r="J1849" s="291"/>
      <c r="K1849" s="291"/>
      <c r="L1849" s="293"/>
      <c r="M1849" s="291"/>
      <c r="N1849" s="289"/>
      <c r="O1849" s="358"/>
      <c r="P1849" s="402">
        <f t="shared" ref="P1849:Q1849" si="1847">IF(B1849=0,0,IF(YEAR(B1849)=$Q$1,MONTH(B1849)-$P$1+1,(YEAR(B1849)-$Q$1)*12-$P$1+1+MONTH(B1849)))</f>
        <v>0</v>
      </c>
      <c r="Q1849" s="402">
        <f t="shared" si="1847"/>
        <v>0</v>
      </c>
      <c r="R1849" s="356" t="e">
        <f t="shared" si="1325"/>
        <v>#N/A</v>
      </c>
      <c r="S1849" s="269" t="str">
        <f>IF(D1849="","",IF(OR(D1849=Plano!$A$1,D1849=Plano!$B$1),"entrada","saída"))</f>
        <v/>
      </c>
      <c r="T1849" s="406"/>
      <c r="U1849" s="406"/>
      <c r="V1849" s="269"/>
      <c r="W1849" s="269"/>
    </row>
    <row r="1850" spans="1:23" ht="12.75" customHeight="1" x14ac:dyDescent="0.2">
      <c r="A1850" s="289" t="str">
        <f t="shared" si="0"/>
        <v/>
      </c>
      <c r="B1850" s="290"/>
      <c r="C1850" s="404"/>
      <c r="D1850" s="291"/>
      <c r="E1850" s="291"/>
      <c r="F1850" s="292"/>
      <c r="G1850" s="291"/>
      <c r="H1850" s="291"/>
      <c r="I1850" s="293"/>
      <c r="J1850" s="291"/>
      <c r="K1850" s="291"/>
      <c r="L1850" s="293"/>
      <c r="M1850" s="291"/>
      <c r="N1850" s="289"/>
      <c r="O1850" s="358"/>
      <c r="P1850" s="402">
        <f t="shared" ref="P1850:Q1850" si="1848">IF(B1850=0,0,IF(YEAR(B1850)=$Q$1,MONTH(B1850)-$P$1+1,(YEAR(B1850)-$Q$1)*12-$P$1+1+MONTH(B1850)))</f>
        <v>0</v>
      </c>
      <c r="Q1850" s="402">
        <f t="shared" si="1848"/>
        <v>0</v>
      </c>
      <c r="R1850" s="356" t="e">
        <f t="shared" si="1325"/>
        <v>#N/A</v>
      </c>
      <c r="S1850" s="269" t="str">
        <f>IF(D1850="","",IF(OR(D1850=Plano!$A$1,D1850=Plano!$B$1),"entrada","saída"))</f>
        <v/>
      </c>
      <c r="T1850" s="406"/>
      <c r="U1850" s="406"/>
      <c r="V1850" s="269"/>
      <c r="W1850" s="269"/>
    </row>
    <row r="1851" spans="1:23" ht="12.75" customHeight="1" x14ac:dyDescent="0.2">
      <c r="A1851" s="289" t="str">
        <f t="shared" si="0"/>
        <v/>
      </c>
      <c r="B1851" s="290"/>
      <c r="C1851" s="404"/>
      <c r="D1851" s="291"/>
      <c r="E1851" s="291"/>
      <c r="F1851" s="292"/>
      <c r="G1851" s="291"/>
      <c r="H1851" s="291"/>
      <c r="I1851" s="293"/>
      <c r="J1851" s="291"/>
      <c r="K1851" s="291"/>
      <c r="L1851" s="293"/>
      <c r="M1851" s="291"/>
      <c r="N1851" s="289"/>
      <c r="O1851" s="358"/>
      <c r="P1851" s="402">
        <f t="shared" ref="P1851:Q1851" si="1849">IF(B1851=0,0,IF(YEAR(B1851)=$Q$1,MONTH(B1851)-$P$1+1,(YEAR(B1851)-$Q$1)*12-$P$1+1+MONTH(B1851)))</f>
        <v>0</v>
      </c>
      <c r="Q1851" s="402">
        <f t="shared" si="1849"/>
        <v>0</v>
      </c>
      <c r="R1851" s="356" t="e">
        <f t="shared" si="1325"/>
        <v>#N/A</v>
      </c>
      <c r="S1851" s="269" t="str">
        <f>IF(D1851="","",IF(OR(D1851=Plano!$A$1,D1851=Plano!$B$1),"entrada","saída"))</f>
        <v/>
      </c>
      <c r="T1851" s="406"/>
      <c r="U1851" s="406"/>
      <c r="V1851" s="269"/>
      <c r="W1851" s="269"/>
    </row>
    <row r="1852" spans="1:23" ht="12.75" customHeight="1" x14ac:dyDescent="0.2">
      <c r="A1852" s="289" t="str">
        <f t="shared" si="0"/>
        <v/>
      </c>
      <c r="B1852" s="290"/>
      <c r="C1852" s="404"/>
      <c r="D1852" s="291"/>
      <c r="E1852" s="291"/>
      <c r="F1852" s="292"/>
      <c r="G1852" s="291"/>
      <c r="H1852" s="291"/>
      <c r="I1852" s="293"/>
      <c r="J1852" s="291"/>
      <c r="K1852" s="291"/>
      <c r="L1852" s="293"/>
      <c r="M1852" s="291"/>
      <c r="N1852" s="289"/>
      <c r="O1852" s="358"/>
      <c r="P1852" s="402">
        <f t="shared" ref="P1852:Q1852" si="1850">IF(B1852=0,0,IF(YEAR(B1852)=$Q$1,MONTH(B1852)-$P$1+1,(YEAR(B1852)-$Q$1)*12-$P$1+1+MONTH(B1852)))</f>
        <v>0</v>
      </c>
      <c r="Q1852" s="402">
        <f t="shared" si="1850"/>
        <v>0</v>
      </c>
      <c r="R1852" s="356" t="e">
        <f t="shared" si="1325"/>
        <v>#N/A</v>
      </c>
      <c r="S1852" s="269" t="str">
        <f>IF(D1852="","",IF(OR(D1852=Plano!$A$1,D1852=Plano!$B$1),"entrada","saída"))</f>
        <v/>
      </c>
      <c r="T1852" s="406"/>
      <c r="U1852" s="406"/>
      <c r="V1852" s="269"/>
      <c r="W1852" s="269"/>
    </row>
    <row r="1853" spans="1:23" ht="12.75" customHeight="1" x14ac:dyDescent="0.2">
      <c r="A1853" s="289" t="str">
        <f t="shared" si="0"/>
        <v/>
      </c>
      <c r="B1853" s="290"/>
      <c r="C1853" s="404"/>
      <c r="D1853" s="291"/>
      <c r="E1853" s="291"/>
      <c r="F1853" s="292"/>
      <c r="G1853" s="291"/>
      <c r="H1853" s="291"/>
      <c r="I1853" s="293"/>
      <c r="J1853" s="291"/>
      <c r="K1853" s="291"/>
      <c r="L1853" s="293"/>
      <c r="M1853" s="291"/>
      <c r="N1853" s="289"/>
      <c r="O1853" s="358"/>
      <c r="P1853" s="402">
        <f t="shared" ref="P1853:Q1853" si="1851">IF(B1853=0,0,IF(YEAR(B1853)=$Q$1,MONTH(B1853)-$P$1+1,(YEAR(B1853)-$Q$1)*12-$P$1+1+MONTH(B1853)))</f>
        <v>0</v>
      </c>
      <c r="Q1853" s="402">
        <f t="shared" si="1851"/>
        <v>0</v>
      </c>
      <c r="R1853" s="356" t="e">
        <f t="shared" si="1325"/>
        <v>#N/A</v>
      </c>
      <c r="S1853" s="269" t="str">
        <f>IF(D1853="","",IF(OR(D1853=Plano!$A$1,D1853=Plano!$B$1),"entrada","saída"))</f>
        <v/>
      </c>
      <c r="T1853" s="406"/>
      <c r="U1853" s="406"/>
      <c r="V1853" s="269"/>
      <c r="W1853" s="269"/>
    </row>
    <row r="1854" spans="1:23" ht="12.75" customHeight="1" x14ac:dyDescent="0.2">
      <c r="A1854" s="289" t="str">
        <f t="shared" si="0"/>
        <v/>
      </c>
      <c r="B1854" s="290"/>
      <c r="C1854" s="404"/>
      <c r="D1854" s="291"/>
      <c r="E1854" s="291"/>
      <c r="F1854" s="292"/>
      <c r="G1854" s="291"/>
      <c r="H1854" s="291"/>
      <c r="I1854" s="293"/>
      <c r="J1854" s="291"/>
      <c r="K1854" s="291"/>
      <c r="L1854" s="293"/>
      <c r="M1854" s="291"/>
      <c r="N1854" s="289"/>
      <c r="O1854" s="358"/>
      <c r="P1854" s="402">
        <f t="shared" ref="P1854:Q1854" si="1852">IF(B1854=0,0,IF(YEAR(B1854)=$Q$1,MONTH(B1854)-$P$1+1,(YEAR(B1854)-$Q$1)*12-$P$1+1+MONTH(B1854)))</f>
        <v>0</v>
      </c>
      <c r="Q1854" s="402">
        <f t="shared" si="1852"/>
        <v>0</v>
      </c>
      <c r="R1854" s="356" t="e">
        <f t="shared" si="1325"/>
        <v>#N/A</v>
      </c>
      <c r="S1854" s="269" t="str">
        <f>IF(D1854="","",IF(OR(D1854=Plano!$A$1,D1854=Plano!$B$1),"entrada","saída"))</f>
        <v/>
      </c>
      <c r="T1854" s="406"/>
      <c r="U1854" s="406"/>
      <c r="V1854" s="269"/>
      <c r="W1854" s="269"/>
    </row>
    <row r="1855" spans="1:23" ht="12.75" customHeight="1" x14ac:dyDescent="0.2">
      <c r="A1855" s="289" t="str">
        <f t="shared" si="0"/>
        <v/>
      </c>
      <c r="B1855" s="290"/>
      <c r="C1855" s="404"/>
      <c r="D1855" s="291"/>
      <c r="E1855" s="291"/>
      <c r="F1855" s="292"/>
      <c r="G1855" s="291"/>
      <c r="H1855" s="291"/>
      <c r="I1855" s="293"/>
      <c r="J1855" s="291"/>
      <c r="K1855" s="291"/>
      <c r="L1855" s="293"/>
      <c r="M1855" s="291"/>
      <c r="N1855" s="289"/>
      <c r="O1855" s="358"/>
      <c r="P1855" s="402">
        <f t="shared" ref="P1855:Q1855" si="1853">IF(B1855=0,0,IF(YEAR(B1855)=$Q$1,MONTH(B1855)-$P$1+1,(YEAR(B1855)-$Q$1)*12-$P$1+1+MONTH(B1855)))</f>
        <v>0</v>
      </c>
      <c r="Q1855" s="402">
        <f t="shared" si="1853"/>
        <v>0</v>
      </c>
      <c r="R1855" s="356" t="e">
        <f t="shared" si="1325"/>
        <v>#N/A</v>
      </c>
      <c r="S1855" s="269" t="str">
        <f>IF(D1855="","",IF(OR(D1855=Plano!$A$1,D1855=Plano!$B$1),"entrada","saída"))</f>
        <v/>
      </c>
      <c r="T1855" s="406"/>
      <c r="U1855" s="406"/>
      <c r="V1855" s="269"/>
      <c r="W1855" s="269"/>
    </row>
    <row r="1856" spans="1:23" ht="12.75" customHeight="1" x14ac:dyDescent="0.2">
      <c r="A1856" s="289" t="str">
        <f t="shared" si="0"/>
        <v/>
      </c>
      <c r="B1856" s="290"/>
      <c r="C1856" s="404"/>
      <c r="D1856" s="291"/>
      <c r="E1856" s="291"/>
      <c r="F1856" s="292"/>
      <c r="G1856" s="291"/>
      <c r="H1856" s="291"/>
      <c r="I1856" s="293"/>
      <c r="J1856" s="291"/>
      <c r="K1856" s="291"/>
      <c r="L1856" s="293"/>
      <c r="M1856" s="291"/>
      <c r="N1856" s="289"/>
      <c r="O1856" s="358"/>
      <c r="P1856" s="402">
        <f t="shared" ref="P1856:Q1856" si="1854">IF(B1856=0,0,IF(YEAR(B1856)=$Q$1,MONTH(B1856)-$P$1+1,(YEAR(B1856)-$Q$1)*12-$P$1+1+MONTH(B1856)))</f>
        <v>0</v>
      </c>
      <c r="Q1856" s="402">
        <f t="shared" si="1854"/>
        <v>0</v>
      </c>
      <c r="R1856" s="356" t="e">
        <f t="shared" si="1325"/>
        <v>#N/A</v>
      </c>
      <c r="S1856" s="269" t="str">
        <f>IF(D1856="","",IF(OR(D1856=Plano!$A$1,D1856=Plano!$B$1),"entrada","saída"))</f>
        <v/>
      </c>
      <c r="T1856" s="406"/>
      <c r="U1856" s="406"/>
      <c r="V1856" s="269"/>
      <c r="W1856" s="269"/>
    </row>
    <row r="1857" spans="1:23" ht="12.75" customHeight="1" x14ac:dyDescent="0.2">
      <c r="A1857" s="289" t="str">
        <f t="shared" si="0"/>
        <v/>
      </c>
      <c r="B1857" s="290"/>
      <c r="C1857" s="404"/>
      <c r="D1857" s="291"/>
      <c r="E1857" s="291"/>
      <c r="F1857" s="292"/>
      <c r="G1857" s="291"/>
      <c r="H1857" s="291"/>
      <c r="I1857" s="293"/>
      <c r="J1857" s="291"/>
      <c r="K1857" s="291"/>
      <c r="L1857" s="293"/>
      <c r="M1857" s="291"/>
      <c r="N1857" s="289"/>
      <c r="O1857" s="358"/>
      <c r="P1857" s="402">
        <f t="shared" ref="P1857:Q1857" si="1855">IF(B1857=0,0,IF(YEAR(B1857)=$Q$1,MONTH(B1857)-$P$1+1,(YEAR(B1857)-$Q$1)*12-$P$1+1+MONTH(B1857)))</f>
        <v>0</v>
      </c>
      <c r="Q1857" s="402">
        <f t="shared" si="1855"/>
        <v>0</v>
      </c>
      <c r="R1857" s="356" t="e">
        <f t="shared" si="1325"/>
        <v>#N/A</v>
      </c>
      <c r="S1857" s="269" t="str">
        <f>IF(D1857="","",IF(OR(D1857=Plano!$A$1,D1857=Plano!$B$1),"entrada","saída"))</f>
        <v/>
      </c>
      <c r="T1857" s="406"/>
      <c r="U1857" s="406"/>
      <c r="V1857" s="269"/>
      <c r="W1857" s="269"/>
    </row>
    <row r="1858" spans="1:23" ht="12.75" customHeight="1" x14ac:dyDescent="0.2">
      <c r="A1858" s="289" t="str">
        <f t="shared" si="0"/>
        <v/>
      </c>
      <c r="B1858" s="290"/>
      <c r="C1858" s="404"/>
      <c r="D1858" s="291"/>
      <c r="E1858" s="291"/>
      <c r="F1858" s="292"/>
      <c r="G1858" s="291"/>
      <c r="H1858" s="291"/>
      <c r="I1858" s="293"/>
      <c r="J1858" s="291"/>
      <c r="K1858" s="291"/>
      <c r="L1858" s="293"/>
      <c r="M1858" s="291"/>
      <c r="N1858" s="289"/>
      <c r="O1858" s="358"/>
      <c r="P1858" s="402">
        <f t="shared" ref="P1858:Q1858" si="1856">IF(B1858=0,0,IF(YEAR(B1858)=$Q$1,MONTH(B1858)-$P$1+1,(YEAR(B1858)-$Q$1)*12-$P$1+1+MONTH(B1858)))</f>
        <v>0</v>
      </c>
      <c r="Q1858" s="402">
        <f t="shared" si="1856"/>
        <v>0</v>
      </c>
      <c r="R1858" s="356" t="e">
        <f t="shared" si="1325"/>
        <v>#N/A</v>
      </c>
      <c r="S1858" s="269" t="str">
        <f>IF(D1858="","",IF(OR(D1858=Plano!$A$1,D1858=Plano!$B$1),"entrada","saída"))</f>
        <v/>
      </c>
      <c r="T1858" s="406"/>
      <c r="U1858" s="406"/>
      <c r="V1858" s="269"/>
      <c r="W1858" s="269"/>
    </row>
    <row r="1859" spans="1:23" ht="12.75" customHeight="1" x14ac:dyDescent="0.2">
      <c r="A1859" s="289" t="str">
        <f t="shared" si="0"/>
        <v/>
      </c>
      <c r="B1859" s="290"/>
      <c r="C1859" s="404"/>
      <c r="D1859" s="291"/>
      <c r="E1859" s="291"/>
      <c r="F1859" s="292"/>
      <c r="G1859" s="291"/>
      <c r="H1859" s="291"/>
      <c r="I1859" s="293"/>
      <c r="J1859" s="291"/>
      <c r="K1859" s="291"/>
      <c r="L1859" s="293"/>
      <c r="M1859" s="291"/>
      <c r="N1859" s="289"/>
      <c r="O1859" s="358"/>
      <c r="P1859" s="402">
        <f t="shared" ref="P1859:Q1859" si="1857">IF(B1859=0,0,IF(YEAR(B1859)=$Q$1,MONTH(B1859)-$P$1+1,(YEAR(B1859)-$Q$1)*12-$P$1+1+MONTH(B1859)))</f>
        <v>0</v>
      </c>
      <c r="Q1859" s="402">
        <f t="shared" si="1857"/>
        <v>0</v>
      </c>
      <c r="R1859" s="356" t="e">
        <f t="shared" si="1325"/>
        <v>#N/A</v>
      </c>
      <c r="S1859" s="269" t="str">
        <f>IF(D1859="","",IF(OR(D1859=Plano!$A$1,D1859=Plano!$B$1),"entrada","saída"))</f>
        <v/>
      </c>
      <c r="T1859" s="406"/>
      <c r="U1859" s="406"/>
      <c r="V1859" s="269"/>
      <c r="W1859" s="269"/>
    </row>
    <row r="1860" spans="1:23" ht="12.75" customHeight="1" x14ac:dyDescent="0.2">
      <c r="A1860" s="289" t="str">
        <f t="shared" si="0"/>
        <v/>
      </c>
      <c r="B1860" s="290"/>
      <c r="C1860" s="404"/>
      <c r="D1860" s="291"/>
      <c r="E1860" s="291"/>
      <c r="F1860" s="292"/>
      <c r="G1860" s="291"/>
      <c r="H1860" s="291"/>
      <c r="I1860" s="293"/>
      <c r="J1860" s="291"/>
      <c r="K1860" s="291"/>
      <c r="L1860" s="293"/>
      <c r="M1860" s="291"/>
      <c r="N1860" s="289"/>
      <c r="O1860" s="358"/>
      <c r="P1860" s="402">
        <f t="shared" ref="P1860:Q1860" si="1858">IF(B1860=0,0,IF(YEAR(B1860)=$Q$1,MONTH(B1860)-$P$1+1,(YEAR(B1860)-$Q$1)*12-$P$1+1+MONTH(B1860)))</f>
        <v>0</v>
      </c>
      <c r="Q1860" s="402">
        <f t="shared" si="1858"/>
        <v>0</v>
      </c>
      <c r="R1860" s="356" t="e">
        <f t="shared" si="1325"/>
        <v>#N/A</v>
      </c>
      <c r="S1860" s="269" t="str">
        <f>IF(D1860="","",IF(OR(D1860=Plano!$A$1,D1860=Plano!$B$1),"entrada","saída"))</f>
        <v/>
      </c>
      <c r="T1860" s="406"/>
      <c r="U1860" s="406"/>
      <c r="V1860" s="269"/>
      <c r="W1860" s="269"/>
    </row>
    <row r="1861" spans="1:23" ht="12.75" customHeight="1" x14ac:dyDescent="0.2">
      <c r="A1861" s="289" t="str">
        <f t="shared" si="0"/>
        <v/>
      </c>
      <c r="B1861" s="290"/>
      <c r="C1861" s="404"/>
      <c r="D1861" s="291"/>
      <c r="E1861" s="291"/>
      <c r="F1861" s="292"/>
      <c r="G1861" s="291"/>
      <c r="H1861" s="291"/>
      <c r="I1861" s="293"/>
      <c r="J1861" s="291"/>
      <c r="K1861" s="291"/>
      <c r="L1861" s="293"/>
      <c r="M1861" s="291"/>
      <c r="N1861" s="289"/>
      <c r="O1861" s="358"/>
      <c r="P1861" s="402">
        <f t="shared" ref="P1861:Q1861" si="1859">IF(B1861=0,0,IF(YEAR(B1861)=$Q$1,MONTH(B1861)-$P$1+1,(YEAR(B1861)-$Q$1)*12-$P$1+1+MONTH(B1861)))</f>
        <v>0</v>
      </c>
      <c r="Q1861" s="402">
        <f t="shared" si="1859"/>
        <v>0</v>
      </c>
      <c r="R1861" s="356" t="e">
        <f t="shared" si="1325"/>
        <v>#N/A</v>
      </c>
      <c r="S1861" s="269" t="str">
        <f>IF(D1861="","",IF(OR(D1861=Plano!$A$1,D1861=Plano!$B$1),"entrada","saída"))</f>
        <v/>
      </c>
      <c r="T1861" s="406"/>
      <c r="U1861" s="406"/>
      <c r="V1861" s="269"/>
      <c r="W1861" s="269"/>
    </row>
    <row r="1862" spans="1:23" ht="12.75" customHeight="1" x14ac:dyDescent="0.2">
      <c r="A1862" s="289" t="str">
        <f t="shared" si="0"/>
        <v/>
      </c>
      <c r="B1862" s="290"/>
      <c r="C1862" s="404"/>
      <c r="D1862" s="291"/>
      <c r="E1862" s="291"/>
      <c r="F1862" s="292"/>
      <c r="G1862" s="291"/>
      <c r="H1862" s="291"/>
      <c r="I1862" s="293"/>
      <c r="J1862" s="291"/>
      <c r="K1862" s="291"/>
      <c r="L1862" s="293"/>
      <c r="M1862" s="291"/>
      <c r="N1862" s="289"/>
      <c r="O1862" s="358"/>
      <c r="P1862" s="402">
        <f t="shared" ref="P1862:Q1862" si="1860">IF(B1862=0,0,IF(YEAR(B1862)=$Q$1,MONTH(B1862)-$P$1+1,(YEAR(B1862)-$Q$1)*12-$P$1+1+MONTH(B1862)))</f>
        <v>0</v>
      </c>
      <c r="Q1862" s="402">
        <f t="shared" si="1860"/>
        <v>0</v>
      </c>
      <c r="R1862" s="356" t="e">
        <f t="shared" si="1325"/>
        <v>#N/A</v>
      </c>
      <c r="S1862" s="269" t="str">
        <f>IF(D1862="","",IF(OR(D1862=Plano!$A$1,D1862=Plano!$B$1),"entrada","saída"))</f>
        <v/>
      </c>
      <c r="T1862" s="406"/>
      <c r="U1862" s="406"/>
      <c r="V1862" s="269"/>
      <c r="W1862" s="269"/>
    </row>
    <row r="1863" spans="1:23" ht="12.75" customHeight="1" x14ac:dyDescent="0.2">
      <c r="A1863" s="289" t="str">
        <f t="shared" si="0"/>
        <v/>
      </c>
      <c r="B1863" s="290"/>
      <c r="C1863" s="404"/>
      <c r="D1863" s="291"/>
      <c r="E1863" s="291"/>
      <c r="F1863" s="292"/>
      <c r="G1863" s="291"/>
      <c r="H1863" s="291"/>
      <c r="I1863" s="293"/>
      <c r="J1863" s="291"/>
      <c r="K1863" s="291"/>
      <c r="L1863" s="293"/>
      <c r="M1863" s="291"/>
      <c r="N1863" s="289"/>
      <c r="O1863" s="358"/>
      <c r="P1863" s="402">
        <f t="shared" ref="P1863:Q1863" si="1861">IF(B1863=0,0,IF(YEAR(B1863)=$Q$1,MONTH(B1863)-$P$1+1,(YEAR(B1863)-$Q$1)*12-$P$1+1+MONTH(B1863)))</f>
        <v>0</v>
      </c>
      <c r="Q1863" s="402">
        <f t="shared" si="1861"/>
        <v>0</v>
      </c>
      <c r="R1863" s="356" t="e">
        <f t="shared" si="1325"/>
        <v>#N/A</v>
      </c>
      <c r="S1863" s="269" t="str">
        <f>IF(D1863="","",IF(OR(D1863=Plano!$A$1,D1863=Plano!$B$1),"entrada","saída"))</f>
        <v/>
      </c>
      <c r="T1863" s="406"/>
      <c r="U1863" s="406"/>
      <c r="V1863" s="269"/>
      <c r="W1863" s="269"/>
    </row>
    <row r="1864" spans="1:23" ht="12.75" customHeight="1" x14ac:dyDescent="0.2">
      <c r="A1864" s="289" t="str">
        <f t="shared" si="0"/>
        <v/>
      </c>
      <c r="B1864" s="290"/>
      <c r="C1864" s="404"/>
      <c r="D1864" s="291"/>
      <c r="E1864" s="291"/>
      <c r="F1864" s="292"/>
      <c r="G1864" s="291"/>
      <c r="H1864" s="291"/>
      <c r="I1864" s="293"/>
      <c r="J1864" s="291"/>
      <c r="K1864" s="291"/>
      <c r="L1864" s="293"/>
      <c r="M1864" s="291"/>
      <c r="N1864" s="289"/>
      <c r="O1864" s="358"/>
      <c r="P1864" s="402">
        <f t="shared" ref="P1864:Q1864" si="1862">IF(B1864=0,0,IF(YEAR(B1864)=$Q$1,MONTH(B1864)-$P$1+1,(YEAR(B1864)-$Q$1)*12-$P$1+1+MONTH(B1864)))</f>
        <v>0</v>
      </c>
      <c r="Q1864" s="402">
        <f t="shared" si="1862"/>
        <v>0</v>
      </c>
      <c r="R1864" s="356" t="e">
        <f t="shared" si="1325"/>
        <v>#N/A</v>
      </c>
      <c r="S1864" s="269" t="str">
        <f>IF(D1864="","",IF(OR(D1864=Plano!$A$1,D1864=Plano!$B$1),"entrada","saída"))</f>
        <v/>
      </c>
      <c r="T1864" s="406"/>
      <c r="U1864" s="406"/>
      <c r="V1864" s="269"/>
      <c r="W1864" s="269"/>
    </row>
    <row r="1865" spans="1:23" ht="12.75" customHeight="1" x14ac:dyDescent="0.2">
      <c r="A1865" s="289" t="str">
        <f t="shared" si="0"/>
        <v/>
      </c>
      <c r="B1865" s="290"/>
      <c r="C1865" s="404"/>
      <c r="D1865" s="291"/>
      <c r="E1865" s="291"/>
      <c r="F1865" s="292"/>
      <c r="G1865" s="291"/>
      <c r="H1865" s="291"/>
      <c r="I1865" s="293"/>
      <c r="J1865" s="291"/>
      <c r="K1865" s="291"/>
      <c r="L1865" s="293"/>
      <c r="M1865" s="291"/>
      <c r="N1865" s="289"/>
      <c r="O1865" s="358"/>
      <c r="P1865" s="402">
        <f t="shared" ref="P1865:Q1865" si="1863">IF(B1865=0,0,IF(YEAR(B1865)=$Q$1,MONTH(B1865)-$P$1+1,(YEAR(B1865)-$Q$1)*12-$P$1+1+MONTH(B1865)))</f>
        <v>0</v>
      </c>
      <c r="Q1865" s="402">
        <f t="shared" si="1863"/>
        <v>0</v>
      </c>
      <c r="R1865" s="356" t="e">
        <f t="shared" si="1325"/>
        <v>#N/A</v>
      </c>
      <c r="S1865" s="269" t="str">
        <f>IF(D1865="","",IF(OR(D1865=Plano!$A$1,D1865=Plano!$B$1),"entrada","saída"))</f>
        <v/>
      </c>
      <c r="T1865" s="406"/>
      <c r="U1865" s="406"/>
      <c r="V1865" s="269"/>
      <c r="W1865" s="269"/>
    </row>
    <row r="1866" spans="1:23" ht="12.75" customHeight="1" x14ac:dyDescent="0.2">
      <c r="A1866" s="289" t="str">
        <f t="shared" si="0"/>
        <v/>
      </c>
      <c r="B1866" s="290"/>
      <c r="C1866" s="404"/>
      <c r="D1866" s="291"/>
      <c r="E1866" s="291"/>
      <c r="F1866" s="292"/>
      <c r="G1866" s="291"/>
      <c r="H1866" s="291"/>
      <c r="I1866" s="293"/>
      <c r="J1866" s="291"/>
      <c r="K1866" s="291"/>
      <c r="L1866" s="293"/>
      <c r="M1866" s="291"/>
      <c r="N1866" s="289"/>
      <c r="O1866" s="358"/>
      <c r="P1866" s="402">
        <f t="shared" ref="P1866:Q1866" si="1864">IF(B1866=0,0,IF(YEAR(B1866)=$Q$1,MONTH(B1866)-$P$1+1,(YEAR(B1866)-$Q$1)*12-$P$1+1+MONTH(B1866)))</f>
        <v>0</v>
      </c>
      <c r="Q1866" s="402">
        <f t="shared" si="1864"/>
        <v>0</v>
      </c>
      <c r="R1866" s="356" t="e">
        <f t="shared" si="1325"/>
        <v>#N/A</v>
      </c>
      <c r="S1866" s="269" t="str">
        <f>IF(D1866="","",IF(OR(D1866=Plano!$A$1,D1866=Plano!$B$1),"entrada","saída"))</f>
        <v/>
      </c>
      <c r="T1866" s="406"/>
      <c r="U1866" s="406"/>
      <c r="V1866" s="269"/>
      <c r="W1866" s="269"/>
    </row>
    <row r="1867" spans="1:23" ht="12.75" customHeight="1" x14ac:dyDescent="0.2">
      <c r="A1867" s="289" t="str">
        <f t="shared" si="0"/>
        <v/>
      </c>
      <c r="B1867" s="290"/>
      <c r="C1867" s="404"/>
      <c r="D1867" s="291"/>
      <c r="E1867" s="291"/>
      <c r="F1867" s="292"/>
      <c r="G1867" s="291"/>
      <c r="H1867" s="291"/>
      <c r="I1867" s="293"/>
      <c r="J1867" s="291"/>
      <c r="K1867" s="291"/>
      <c r="L1867" s="293"/>
      <c r="M1867" s="291"/>
      <c r="N1867" s="289"/>
      <c r="O1867" s="358"/>
      <c r="P1867" s="402">
        <f t="shared" ref="P1867:Q1867" si="1865">IF(B1867=0,0,IF(YEAR(B1867)=$Q$1,MONTH(B1867)-$P$1+1,(YEAR(B1867)-$Q$1)*12-$P$1+1+MONTH(B1867)))</f>
        <v>0</v>
      </c>
      <c r="Q1867" s="402">
        <f t="shared" si="1865"/>
        <v>0</v>
      </c>
      <c r="R1867" s="356" t="e">
        <f t="shared" si="1325"/>
        <v>#N/A</v>
      </c>
      <c r="S1867" s="269" t="str">
        <f>IF(D1867="","",IF(OR(D1867=Plano!$A$1,D1867=Plano!$B$1),"entrada","saída"))</f>
        <v/>
      </c>
      <c r="T1867" s="406"/>
      <c r="U1867" s="406"/>
      <c r="V1867" s="269"/>
      <c r="W1867" s="269"/>
    </row>
    <row r="1868" spans="1:23" ht="12.75" customHeight="1" x14ac:dyDescent="0.2">
      <c r="A1868" s="289" t="str">
        <f t="shared" si="0"/>
        <v/>
      </c>
      <c r="B1868" s="290"/>
      <c r="C1868" s="404"/>
      <c r="D1868" s="291"/>
      <c r="E1868" s="291"/>
      <c r="F1868" s="292"/>
      <c r="G1868" s="291"/>
      <c r="H1868" s="291"/>
      <c r="I1868" s="293"/>
      <c r="J1868" s="291"/>
      <c r="K1868" s="291"/>
      <c r="L1868" s="293"/>
      <c r="M1868" s="291"/>
      <c r="N1868" s="289"/>
      <c r="O1868" s="358"/>
      <c r="P1868" s="402">
        <f t="shared" ref="P1868:Q1868" si="1866">IF(B1868=0,0,IF(YEAR(B1868)=$Q$1,MONTH(B1868)-$P$1+1,(YEAR(B1868)-$Q$1)*12-$P$1+1+MONTH(B1868)))</f>
        <v>0</v>
      </c>
      <c r="Q1868" s="402">
        <f t="shared" si="1866"/>
        <v>0</v>
      </c>
      <c r="R1868" s="356" t="e">
        <f t="shared" si="1325"/>
        <v>#N/A</v>
      </c>
      <c r="S1868" s="269" t="str">
        <f>IF(D1868="","",IF(OR(D1868=Plano!$A$1,D1868=Plano!$B$1),"entrada","saída"))</f>
        <v/>
      </c>
      <c r="T1868" s="406"/>
      <c r="U1868" s="406"/>
      <c r="V1868" s="269"/>
      <c r="W1868" s="269"/>
    </row>
    <row r="1869" spans="1:23" ht="12.75" customHeight="1" x14ac:dyDescent="0.2">
      <c r="A1869" s="289" t="str">
        <f t="shared" si="0"/>
        <v/>
      </c>
      <c r="B1869" s="290"/>
      <c r="C1869" s="404"/>
      <c r="D1869" s="291"/>
      <c r="E1869" s="291"/>
      <c r="F1869" s="292"/>
      <c r="G1869" s="291"/>
      <c r="H1869" s="291"/>
      <c r="I1869" s="293"/>
      <c r="J1869" s="291"/>
      <c r="K1869" s="291"/>
      <c r="L1869" s="293"/>
      <c r="M1869" s="291"/>
      <c r="N1869" s="289"/>
      <c r="O1869" s="358"/>
      <c r="P1869" s="402">
        <f t="shared" ref="P1869:Q1869" si="1867">IF(B1869=0,0,IF(YEAR(B1869)=$Q$1,MONTH(B1869)-$P$1+1,(YEAR(B1869)-$Q$1)*12-$P$1+1+MONTH(B1869)))</f>
        <v>0</v>
      </c>
      <c r="Q1869" s="402">
        <f t="shared" si="1867"/>
        <v>0</v>
      </c>
      <c r="R1869" s="356" t="e">
        <f t="shared" si="1325"/>
        <v>#N/A</v>
      </c>
      <c r="S1869" s="269" t="str">
        <f>IF(D1869="","",IF(OR(D1869=Plano!$A$1,D1869=Plano!$B$1),"entrada","saída"))</f>
        <v/>
      </c>
      <c r="T1869" s="406"/>
      <c r="U1869" s="406"/>
      <c r="V1869" s="269"/>
      <c r="W1869" s="269"/>
    </row>
    <row r="1870" spans="1:23" ht="12.75" customHeight="1" x14ac:dyDescent="0.2">
      <c r="A1870" s="289" t="str">
        <f t="shared" si="0"/>
        <v/>
      </c>
      <c r="B1870" s="290"/>
      <c r="C1870" s="404"/>
      <c r="D1870" s="291"/>
      <c r="E1870" s="291"/>
      <c r="F1870" s="292"/>
      <c r="G1870" s="291"/>
      <c r="H1870" s="291"/>
      <c r="I1870" s="293"/>
      <c r="J1870" s="291"/>
      <c r="K1870" s="291"/>
      <c r="L1870" s="293"/>
      <c r="M1870" s="291"/>
      <c r="N1870" s="289"/>
      <c r="O1870" s="358"/>
      <c r="P1870" s="402">
        <f t="shared" ref="P1870:Q1870" si="1868">IF(B1870=0,0,IF(YEAR(B1870)=$Q$1,MONTH(B1870)-$P$1+1,(YEAR(B1870)-$Q$1)*12-$P$1+1+MONTH(B1870)))</f>
        <v>0</v>
      </c>
      <c r="Q1870" s="402">
        <f t="shared" si="1868"/>
        <v>0</v>
      </c>
      <c r="R1870" s="356" t="e">
        <f t="shared" si="1325"/>
        <v>#N/A</v>
      </c>
      <c r="S1870" s="269" t="str">
        <f>IF(D1870="","",IF(OR(D1870=Plano!$A$1,D1870=Plano!$B$1),"entrada","saída"))</f>
        <v/>
      </c>
      <c r="T1870" s="406"/>
      <c r="U1870" s="406"/>
      <c r="V1870" s="269"/>
      <c r="W1870" s="269"/>
    </row>
    <row r="1871" spans="1:23" ht="12.75" customHeight="1" x14ac:dyDescent="0.2">
      <c r="A1871" s="289" t="str">
        <f t="shared" si="0"/>
        <v/>
      </c>
      <c r="B1871" s="290"/>
      <c r="C1871" s="404"/>
      <c r="D1871" s="291"/>
      <c r="E1871" s="291"/>
      <c r="F1871" s="292"/>
      <c r="G1871" s="291"/>
      <c r="H1871" s="291"/>
      <c r="I1871" s="293"/>
      <c r="J1871" s="291"/>
      <c r="K1871" s="291"/>
      <c r="L1871" s="293"/>
      <c r="M1871" s="291"/>
      <c r="N1871" s="289"/>
      <c r="O1871" s="358"/>
      <c r="P1871" s="402">
        <f t="shared" ref="P1871:Q1871" si="1869">IF(B1871=0,0,IF(YEAR(B1871)=$Q$1,MONTH(B1871)-$P$1+1,(YEAR(B1871)-$Q$1)*12-$P$1+1+MONTH(B1871)))</f>
        <v>0</v>
      </c>
      <c r="Q1871" s="402">
        <f t="shared" si="1869"/>
        <v>0</v>
      </c>
      <c r="R1871" s="356" t="e">
        <f t="shared" si="1325"/>
        <v>#N/A</v>
      </c>
      <c r="S1871" s="269" t="str">
        <f>IF(D1871="","",IF(OR(D1871=Plano!$A$1,D1871=Plano!$B$1),"entrada","saída"))</f>
        <v/>
      </c>
      <c r="T1871" s="406"/>
      <c r="U1871" s="406"/>
      <c r="V1871" s="269"/>
      <c r="W1871" s="269"/>
    </row>
    <row r="1872" spans="1:23" ht="12.75" customHeight="1" x14ac:dyDescent="0.2">
      <c r="A1872" s="289" t="str">
        <f t="shared" si="0"/>
        <v/>
      </c>
      <c r="B1872" s="290"/>
      <c r="C1872" s="404"/>
      <c r="D1872" s="291"/>
      <c r="E1872" s="291"/>
      <c r="F1872" s="292"/>
      <c r="G1872" s="291"/>
      <c r="H1872" s="291"/>
      <c r="I1872" s="293"/>
      <c r="J1872" s="291"/>
      <c r="K1872" s="291"/>
      <c r="L1872" s="293"/>
      <c r="M1872" s="291"/>
      <c r="N1872" s="289"/>
      <c r="O1872" s="358"/>
      <c r="P1872" s="402">
        <f t="shared" ref="P1872:Q1872" si="1870">IF(B1872=0,0,IF(YEAR(B1872)=$Q$1,MONTH(B1872)-$P$1+1,(YEAR(B1872)-$Q$1)*12-$P$1+1+MONTH(B1872)))</f>
        <v>0</v>
      </c>
      <c r="Q1872" s="402">
        <f t="shared" si="1870"/>
        <v>0</v>
      </c>
      <c r="R1872" s="356" t="e">
        <f t="shared" si="1325"/>
        <v>#N/A</v>
      </c>
      <c r="S1872" s="269" t="str">
        <f>IF(D1872="","",IF(OR(D1872=Plano!$A$1,D1872=Plano!$B$1),"entrada","saída"))</f>
        <v/>
      </c>
      <c r="T1872" s="406"/>
      <c r="U1872" s="406"/>
      <c r="V1872" s="269"/>
      <c r="W1872" s="269"/>
    </row>
    <row r="1873" spans="1:23" ht="12.75" customHeight="1" x14ac:dyDescent="0.2">
      <c r="A1873" s="289" t="str">
        <f t="shared" si="0"/>
        <v/>
      </c>
      <c r="B1873" s="290"/>
      <c r="C1873" s="404"/>
      <c r="D1873" s="291"/>
      <c r="E1873" s="291"/>
      <c r="F1873" s="292"/>
      <c r="G1873" s="291"/>
      <c r="H1873" s="291"/>
      <c r="I1873" s="293"/>
      <c r="J1873" s="291"/>
      <c r="K1873" s="291"/>
      <c r="L1873" s="293"/>
      <c r="M1873" s="291"/>
      <c r="N1873" s="289"/>
      <c r="O1873" s="358"/>
      <c r="P1873" s="402">
        <f t="shared" ref="P1873:Q1873" si="1871">IF(B1873=0,0,IF(YEAR(B1873)=$Q$1,MONTH(B1873)-$P$1+1,(YEAR(B1873)-$Q$1)*12-$P$1+1+MONTH(B1873)))</f>
        <v>0</v>
      </c>
      <c r="Q1873" s="402">
        <f t="shared" si="1871"/>
        <v>0</v>
      </c>
      <c r="R1873" s="356" t="e">
        <f t="shared" si="1325"/>
        <v>#N/A</v>
      </c>
      <c r="S1873" s="269" t="str">
        <f>IF(D1873="","",IF(OR(D1873=Plano!$A$1,D1873=Plano!$B$1),"entrada","saída"))</f>
        <v/>
      </c>
      <c r="T1873" s="406"/>
      <c r="U1873" s="406"/>
      <c r="V1873" s="269"/>
      <c r="W1873" s="269"/>
    </row>
    <row r="1874" spans="1:23" ht="12.75" customHeight="1" x14ac:dyDescent="0.2">
      <c r="A1874" s="289" t="str">
        <f t="shared" si="0"/>
        <v/>
      </c>
      <c r="B1874" s="290"/>
      <c r="C1874" s="404"/>
      <c r="D1874" s="291"/>
      <c r="E1874" s="291"/>
      <c r="F1874" s="292"/>
      <c r="G1874" s="291"/>
      <c r="H1874" s="291"/>
      <c r="I1874" s="293"/>
      <c r="J1874" s="291"/>
      <c r="K1874" s="291"/>
      <c r="L1874" s="293"/>
      <c r="M1874" s="291"/>
      <c r="N1874" s="289"/>
      <c r="O1874" s="358"/>
      <c r="P1874" s="402">
        <f t="shared" ref="P1874:Q1874" si="1872">IF(B1874=0,0,IF(YEAR(B1874)=$Q$1,MONTH(B1874)-$P$1+1,(YEAR(B1874)-$Q$1)*12-$P$1+1+MONTH(B1874)))</f>
        <v>0</v>
      </c>
      <c r="Q1874" s="402">
        <f t="shared" si="1872"/>
        <v>0</v>
      </c>
      <c r="R1874" s="356" t="e">
        <f t="shared" si="1325"/>
        <v>#N/A</v>
      </c>
      <c r="S1874" s="269" t="str">
        <f>IF(D1874="","",IF(OR(D1874=Plano!$A$1,D1874=Plano!$B$1),"entrada","saída"))</f>
        <v/>
      </c>
      <c r="T1874" s="406"/>
      <c r="U1874" s="406"/>
      <c r="V1874" s="269"/>
      <c r="W1874" s="269"/>
    </row>
    <row r="1875" spans="1:23" ht="12.75" customHeight="1" x14ac:dyDescent="0.2">
      <c r="A1875" s="289" t="str">
        <f t="shared" si="0"/>
        <v/>
      </c>
      <c r="B1875" s="290"/>
      <c r="C1875" s="404"/>
      <c r="D1875" s="291"/>
      <c r="E1875" s="291"/>
      <c r="F1875" s="292"/>
      <c r="G1875" s="291"/>
      <c r="H1875" s="291"/>
      <c r="I1875" s="293"/>
      <c r="J1875" s="291"/>
      <c r="K1875" s="291"/>
      <c r="L1875" s="293"/>
      <c r="M1875" s="291"/>
      <c r="N1875" s="289"/>
      <c r="O1875" s="358"/>
      <c r="P1875" s="402">
        <f t="shared" ref="P1875:Q1875" si="1873">IF(B1875=0,0,IF(YEAR(B1875)=$Q$1,MONTH(B1875)-$P$1+1,(YEAR(B1875)-$Q$1)*12-$P$1+1+MONTH(B1875)))</f>
        <v>0</v>
      </c>
      <c r="Q1875" s="402">
        <f t="shared" si="1873"/>
        <v>0</v>
      </c>
      <c r="R1875" s="356" t="e">
        <f t="shared" si="1325"/>
        <v>#N/A</v>
      </c>
      <c r="S1875" s="269" t="str">
        <f>IF(D1875="","",IF(OR(D1875=Plano!$A$1,D1875=Plano!$B$1),"entrada","saída"))</f>
        <v/>
      </c>
      <c r="T1875" s="406"/>
      <c r="U1875" s="406"/>
      <c r="V1875" s="269"/>
      <c r="W1875" s="269"/>
    </row>
    <row r="1876" spans="1:23" ht="12.75" customHeight="1" x14ac:dyDescent="0.2">
      <c r="A1876" s="289" t="str">
        <f t="shared" si="0"/>
        <v/>
      </c>
      <c r="B1876" s="290"/>
      <c r="C1876" s="404"/>
      <c r="D1876" s="291"/>
      <c r="E1876" s="291"/>
      <c r="F1876" s="292"/>
      <c r="G1876" s="291"/>
      <c r="H1876" s="291"/>
      <c r="I1876" s="293"/>
      <c r="J1876" s="291"/>
      <c r="K1876" s="291"/>
      <c r="L1876" s="293"/>
      <c r="M1876" s="291"/>
      <c r="N1876" s="289"/>
      <c r="O1876" s="358"/>
      <c r="P1876" s="402">
        <f t="shared" ref="P1876:Q1876" si="1874">IF(B1876=0,0,IF(YEAR(B1876)=$Q$1,MONTH(B1876)-$P$1+1,(YEAR(B1876)-$Q$1)*12-$P$1+1+MONTH(B1876)))</f>
        <v>0</v>
      </c>
      <c r="Q1876" s="402">
        <f t="shared" si="1874"/>
        <v>0</v>
      </c>
      <c r="R1876" s="356" t="e">
        <f t="shared" si="1325"/>
        <v>#N/A</v>
      </c>
      <c r="S1876" s="269" t="str">
        <f>IF(D1876="","",IF(OR(D1876=Plano!$A$1,D1876=Plano!$B$1),"entrada","saída"))</f>
        <v/>
      </c>
      <c r="T1876" s="406"/>
      <c r="U1876" s="406"/>
      <c r="V1876" s="269"/>
      <c r="W1876" s="269"/>
    </row>
    <row r="1877" spans="1:23" ht="12.75" customHeight="1" x14ac:dyDescent="0.2">
      <c r="A1877" s="289" t="str">
        <f t="shared" si="0"/>
        <v/>
      </c>
      <c r="B1877" s="290"/>
      <c r="C1877" s="404"/>
      <c r="D1877" s="291"/>
      <c r="E1877" s="291"/>
      <c r="F1877" s="292"/>
      <c r="G1877" s="291"/>
      <c r="H1877" s="291"/>
      <c r="I1877" s="293"/>
      <c r="J1877" s="291"/>
      <c r="K1877" s="291"/>
      <c r="L1877" s="293"/>
      <c r="M1877" s="291"/>
      <c r="N1877" s="289"/>
      <c r="O1877" s="358"/>
      <c r="P1877" s="402">
        <f t="shared" ref="P1877:Q1877" si="1875">IF(B1877=0,0,IF(YEAR(B1877)=$Q$1,MONTH(B1877)-$P$1+1,(YEAR(B1877)-$Q$1)*12-$P$1+1+MONTH(B1877)))</f>
        <v>0</v>
      </c>
      <c r="Q1877" s="402">
        <f t="shared" si="1875"/>
        <v>0</v>
      </c>
      <c r="R1877" s="356" t="e">
        <f t="shared" si="1325"/>
        <v>#N/A</v>
      </c>
      <c r="S1877" s="269" t="str">
        <f>IF(D1877="","",IF(OR(D1877=Plano!$A$1,D1877=Plano!$B$1),"entrada","saída"))</f>
        <v/>
      </c>
      <c r="T1877" s="406"/>
      <c r="U1877" s="406"/>
      <c r="V1877" s="269"/>
      <c r="W1877" s="269"/>
    </row>
    <row r="1878" spans="1:23" ht="12.75" customHeight="1" x14ac:dyDescent="0.2">
      <c r="A1878" s="289" t="str">
        <f t="shared" si="0"/>
        <v/>
      </c>
      <c r="B1878" s="290"/>
      <c r="C1878" s="404"/>
      <c r="D1878" s="291"/>
      <c r="E1878" s="291"/>
      <c r="F1878" s="292"/>
      <c r="G1878" s="291"/>
      <c r="H1878" s="291"/>
      <c r="I1878" s="293"/>
      <c r="J1878" s="291"/>
      <c r="K1878" s="291"/>
      <c r="L1878" s="293"/>
      <c r="M1878" s="291"/>
      <c r="N1878" s="289"/>
      <c r="O1878" s="358"/>
      <c r="P1878" s="402">
        <f t="shared" ref="P1878:Q1878" si="1876">IF(B1878=0,0,IF(YEAR(B1878)=$Q$1,MONTH(B1878)-$P$1+1,(YEAR(B1878)-$Q$1)*12-$P$1+1+MONTH(B1878)))</f>
        <v>0</v>
      </c>
      <c r="Q1878" s="402">
        <f t="shared" si="1876"/>
        <v>0</v>
      </c>
      <c r="R1878" s="356" t="e">
        <f t="shared" si="1325"/>
        <v>#N/A</v>
      </c>
      <c r="S1878" s="269" t="str">
        <f>IF(D1878="","",IF(OR(D1878=Plano!$A$1,D1878=Plano!$B$1),"entrada","saída"))</f>
        <v/>
      </c>
      <c r="T1878" s="406"/>
      <c r="U1878" s="406"/>
      <c r="V1878" s="269"/>
      <c r="W1878" s="269"/>
    </row>
    <row r="1879" spans="1:23" ht="12.75" customHeight="1" x14ac:dyDescent="0.2">
      <c r="A1879" s="289" t="str">
        <f t="shared" si="0"/>
        <v/>
      </c>
      <c r="B1879" s="290"/>
      <c r="C1879" s="404"/>
      <c r="D1879" s="291"/>
      <c r="E1879" s="291"/>
      <c r="F1879" s="292"/>
      <c r="G1879" s="291"/>
      <c r="H1879" s="291"/>
      <c r="I1879" s="293"/>
      <c r="J1879" s="291"/>
      <c r="K1879" s="291"/>
      <c r="L1879" s="293"/>
      <c r="M1879" s="291"/>
      <c r="N1879" s="289"/>
      <c r="O1879" s="358"/>
      <c r="P1879" s="402">
        <f t="shared" ref="P1879:Q1879" si="1877">IF(B1879=0,0,IF(YEAR(B1879)=$Q$1,MONTH(B1879)-$P$1+1,(YEAR(B1879)-$Q$1)*12-$P$1+1+MONTH(B1879)))</f>
        <v>0</v>
      </c>
      <c r="Q1879" s="402">
        <f t="shared" si="1877"/>
        <v>0</v>
      </c>
      <c r="R1879" s="356" t="e">
        <f t="shared" si="1325"/>
        <v>#N/A</v>
      </c>
      <c r="S1879" s="269" t="str">
        <f>IF(D1879="","",IF(OR(D1879=Plano!$A$1,D1879=Plano!$B$1),"entrada","saída"))</f>
        <v/>
      </c>
      <c r="T1879" s="406"/>
      <c r="U1879" s="406"/>
      <c r="V1879" s="269"/>
      <c r="W1879" s="269"/>
    </row>
    <row r="1880" spans="1:23" ht="12.75" customHeight="1" x14ac:dyDescent="0.2">
      <c r="A1880" s="289" t="str">
        <f t="shared" si="0"/>
        <v/>
      </c>
      <c r="B1880" s="290"/>
      <c r="C1880" s="404"/>
      <c r="D1880" s="291"/>
      <c r="E1880" s="291"/>
      <c r="F1880" s="292"/>
      <c r="G1880" s="291"/>
      <c r="H1880" s="291"/>
      <c r="I1880" s="293"/>
      <c r="J1880" s="291"/>
      <c r="K1880" s="291"/>
      <c r="L1880" s="293"/>
      <c r="M1880" s="291"/>
      <c r="N1880" s="289"/>
      <c r="O1880" s="358"/>
      <c r="P1880" s="402">
        <f t="shared" ref="P1880:Q1880" si="1878">IF(B1880=0,0,IF(YEAR(B1880)=$Q$1,MONTH(B1880)-$P$1+1,(YEAR(B1880)-$Q$1)*12-$P$1+1+MONTH(B1880)))</f>
        <v>0</v>
      </c>
      <c r="Q1880" s="402">
        <f t="shared" si="1878"/>
        <v>0</v>
      </c>
      <c r="R1880" s="356" t="e">
        <f t="shared" si="1325"/>
        <v>#N/A</v>
      </c>
      <c r="S1880" s="269" t="str">
        <f>IF(D1880="","",IF(OR(D1880=Plano!$A$1,D1880=Plano!$B$1),"entrada","saída"))</f>
        <v/>
      </c>
      <c r="T1880" s="406"/>
      <c r="U1880" s="406"/>
      <c r="V1880" s="269"/>
      <c r="W1880" s="269"/>
    </row>
    <row r="1881" spans="1:23" ht="12.75" customHeight="1" x14ac:dyDescent="0.2">
      <c r="A1881" s="289" t="str">
        <f t="shared" si="0"/>
        <v/>
      </c>
      <c r="B1881" s="290"/>
      <c r="C1881" s="404"/>
      <c r="D1881" s="291"/>
      <c r="E1881" s="291"/>
      <c r="F1881" s="292"/>
      <c r="G1881" s="291"/>
      <c r="H1881" s="291"/>
      <c r="I1881" s="293"/>
      <c r="J1881" s="291"/>
      <c r="K1881" s="291"/>
      <c r="L1881" s="293"/>
      <c r="M1881" s="291"/>
      <c r="N1881" s="289"/>
      <c r="O1881" s="358"/>
      <c r="P1881" s="402">
        <f t="shared" ref="P1881:Q1881" si="1879">IF(B1881=0,0,IF(YEAR(B1881)=$Q$1,MONTH(B1881)-$P$1+1,(YEAR(B1881)-$Q$1)*12-$P$1+1+MONTH(B1881)))</f>
        <v>0</v>
      </c>
      <c r="Q1881" s="402">
        <f t="shared" si="1879"/>
        <v>0</v>
      </c>
      <c r="R1881" s="356" t="e">
        <f t="shared" si="1325"/>
        <v>#N/A</v>
      </c>
      <c r="S1881" s="269" t="str">
        <f>IF(D1881="","",IF(OR(D1881=Plano!$A$1,D1881=Plano!$B$1),"entrada","saída"))</f>
        <v/>
      </c>
      <c r="T1881" s="406"/>
      <c r="U1881" s="406"/>
      <c r="V1881" s="269"/>
      <c r="W1881" s="269"/>
    </row>
    <row r="1882" spans="1:23" ht="12.75" customHeight="1" x14ac:dyDescent="0.2">
      <c r="A1882" s="289" t="str">
        <f t="shared" si="0"/>
        <v/>
      </c>
      <c r="B1882" s="290"/>
      <c r="C1882" s="404"/>
      <c r="D1882" s="291"/>
      <c r="E1882" s="291"/>
      <c r="F1882" s="292"/>
      <c r="G1882" s="291"/>
      <c r="H1882" s="291"/>
      <c r="I1882" s="293"/>
      <c r="J1882" s="291"/>
      <c r="K1882" s="291"/>
      <c r="L1882" s="293"/>
      <c r="M1882" s="291"/>
      <c r="N1882" s="289"/>
      <c r="O1882" s="358"/>
      <c r="P1882" s="402">
        <f t="shared" ref="P1882:Q1882" si="1880">IF(B1882=0,0,IF(YEAR(B1882)=$Q$1,MONTH(B1882)-$P$1+1,(YEAR(B1882)-$Q$1)*12-$P$1+1+MONTH(B1882)))</f>
        <v>0</v>
      </c>
      <c r="Q1882" s="402">
        <f t="shared" si="1880"/>
        <v>0</v>
      </c>
      <c r="R1882" s="356" t="e">
        <f t="shared" si="1325"/>
        <v>#N/A</v>
      </c>
      <c r="S1882" s="269" t="str">
        <f>IF(D1882="","",IF(OR(D1882=Plano!$A$1,D1882=Plano!$B$1),"entrada","saída"))</f>
        <v/>
      </c>
      <c r="T1882" s="406"/>
      <c r="U1882" s="406"/>
      <c r="V1882" s="269"/>
      <c r="W1882" s="269"/>
    </row>
    <row r="1883" spans="1:23" ht="12.75" customHeight="1" x14ac:dyDescent="0.2">
      <c r="A1883" s="289" t="str">
        <f t="shared" si="0"/>
        <v/>
      </c>
      <c r="B1883" s="290"/>
      <c r="C1883" s="404"/>
      <c r="D1883" s="291"/>
      <c r="E1883" s="291"/>
      <c r="F1883" s="292"/>
      <c r="G1883" s="291"/>
      <c r="H1883" s="291"/>
      <c r="I1883" s="293"/>
      <c r="J1883" s="291"/>
      <c r="K1883" s="291"/>
      <c r="L1883" s="293"/>
      <c r="M1883" s="291"/>
      <c r="N1883" s="289"/>
      <c r="O1883" s="358"/>
      <c r="P1883" s="402">
        <f t="shared" ref="P1883:Q1883" si="1881">IF(B1883=0,0,IF(YEAR(B1883)=$Q$1,MONTH(B1883)-$P$1+1,(YEAR(B1883)-$Q$1)*12-$P$1+1+MONTH(B1883)))</f>
        <v>0</v>
      </c>
      <c r="Q1883" s="402">
        <f t="shared" si="1881"/>
        <v>0</v>
      </c>
      <c r="R1883" s="356" t="e">
        <f t="shared" si="1325"/>
        <v>#N/A</v>
      </c>
      <c r="S1883" s="269" t="str">
        <f>IF(D1883="","",IF(OR(D1883=Plano!$A$1,D1883=Plano!$B$1),"entrada","saída"))</f>
        <v/>
      </c>
      <c r="T1883" s="406"/>
      <c r="U1883" s="406"/>
      <c r="V1883" s="269"/>
      <c r="W1883" s="269"/>
    </row>
    <row r="1884" spans="1:23" ht="12.75" customHeight="1" x14ac:dyDescent="0.2">
      <c r="A1884" s="289" t="str">
        <f t="shared" si="0"/>
        <v/>
      </c>
      <c r="B1884" s="290"/>
      <c r="C1884" s="404"/>
      <c r="D1884" s="291"/>
      <c r="E1884" s="291"/>
      <c r="F1884" s="292"/>
      <c r="G1884" s="291"/>
      <c r="H1884" s="291"/>
      <c r="I1884" s="293"/>
      <c r="J1884" s="291"/>
      <c r="K1884" s="291"/>
      <c r="L1884" s="293"/>
      <c r="M1884" s="291"/>
      <c r="N1884" s="289"/>
      <c r="O1884" s="358"/>
      <c r="P1884" s="402">
        <f t="shared" ref="P1884:Q1884" si="1882">IF(B1884=0,0,IF(YEAR(B1884)=$Q$1,MONTH(B1884)-$P$1+1,(YEAR(B1884)-$Q$1)*12-$P$1+1+MONTH(B1884)))</f>
        <v>0</v>
      </c>
      <c r="Q1884" s="402">
        <f t="shared" si="1882"/>
        <v>0</v>
      </c>
      <c r="R1884" s="356" t="e">
        <f t="shared" si="1325"/>
        <v>#N/A</v>
      </c>
      <c r="S1884" s="269" t="str">
        <f>IF(D1884="","",IF(OR(D1884=Plano!$A$1,D1884=Plano!$B$1),"entrada","saída"))</f>
        <v/>
      </c>
      <c r="T1884" s="406"/>
      <c r="U1884" s="406"/>
      <c r="V1884" s="269"/>
      <c r="W1884" s="269"/>
    </row>
    <row r="1885" spans="1:23" ht="12.75" customHeight="1" x14ac:dyDescent="0.2">
      <c r="A1885" s="289" t="str">
        <f t="shared" si="0"/>
        <v/>
      </c>
      <c r="B1885" s="290"/>
      <c r="C1885" s="404"/>
      <c r="D1885" s="291"/>
      <c r="E1885" s="291"/>
      <c r="F1885" s="292"/>
      <c r="G1885" s="291"/>
      <c r="H1885" s="291"/>
      <c r="I1885" s="293"/>
      <c r="J1885" s="291"/>
      <c r="K1885" s="291"/>
      <c r="L1885" s="293"/>
      <c r="M1885" s="291"/>
      <c r="N1885" s="289"/>
      <c r="O1885" s="358"/>
      <c r="P1885" s="402">
        <f t="shared" ref="P1885:Q1885" si="1883">IF(B1885=0,0,IF(YEAR(B1885)=$Q$1,MONTH(B1885)-$P$1+1,(YEAR(B1885)-$Q$1)*12-$P$1+1+MONTH(B1885)))</f>
        <v>0</v>
      </c>
      <c r="Q1885" s="402">
        <f t="shared" si="1883"/>
        <v>0</v>
      </c>
      <c r="R1885" s="356" t="e">
        <f t="shared" si="1325"/>
        <v>#N/A</v>
      </c>
      <c r="S1885" s="269" t="str">
        <f>IF(D1885="","",IF(OR(D1885=Plano!$A$1,D1885=Plano!$B$1),"entrada","saída"))</f>
        <v/>
      </c>
      <c r="T1885" s="406"/>
      <c r="U1885" s="406"/>
      <c r="V1885" s="269"/>
      <c r="W1885" s="269"/>
    </row>
    <row r="1886" spans="1:23" ht="12.75" customHeight="1" x14ac:dyDescent="0.2">
      <c r="A1886" s="289" t="str">
        <f t="shared" si="0"/>
        <v/>
      </c>
      <c r="B1886" s="290"/>
      <c r="C1886" s="404"/>
      <c r="D1886" s="291"/>
      <c r="E1886" s="291"/>
      <c r="F1886" s="292"/>
      <c r="G1886" s="291"/>
      <c r="H1886" s="291"/>
      <c r="I1886" s="293"/>
      <c r="J1886" s="291"/>
      <c r="K1886" s="291"/>
      <c r="L1886" s="293"/>
      <c r="M1886" s="291"/>
      <c r="N1886" s="289"/>
      <c r="O1886" s="358"/>
      <c r="P1886" s="402">
        <f t="shared" ref="P1886:Q1886" si="1884">IF(B1886=0,0,IF(YEAR(B1886)=$Q$1,MONTH(B1886)-$P$1+1,(YEAR(B1886)-$Q$1)*12-$P$1+1+MONTH(B1886)))</f>
        <v>0</v>
      </c>
      <c r="Q1886" s="402">
        <f t="shared" si="1884"/>
        <v>0</v>
      </c>
      <c r="R1886" s="356" t="e">
        <f t="shared" si="1325"/>
        <v>#N/A</v>
      </c>
      <c r="S1886" s="269" t="str">
        <f>IF(D1886="","",IF(OR(D1886=Plano!$A$1,D1886=Plano!$B$1),"entrada","saída"))</f>
        <v/>
      </c>
      <c r="T1886" s="406"/>
      <c r="U1886" s="406"/>
      <c r="V1886" s="269"/>
      <c r="W1886" s="269"/>
    </row>
    <row r="1887" spans="1:23" ht="12.75" customHeight="1" x14ac:dyDescent="0.2">
      <c r="A1887" s="289" t="str">
        <f t="shared" si="0"/>
        <v/>
      </c>
      <c r="B1887" s="290"/>
      <c r="C1887" s="404"/>
      <c r="D1887" s="291"/>
      <c r="E1887" s="291"/>
      <c r="F1887" s="292"/>
      <c r="G1887" s="291"/>
      <c r="H1887" s="291"/>
      <c r="I1887" s="293"/>
      <c r="J1887" s="291"/>
      <c r="K1887" s="291"/>
      <c r="L1887" s="293"/>
      <c r="M1887" s="291"/>
      <c r="N1887" s="289"/>
      <c r="O1887" s="358"/>
      <c r="P1887" s="402">
        <f t="shared" ref="P1887:Q1887" si="1885">IF(B1887=0,0,IF(YEAR(B1887)=$Q$1,MONTH(B1887)-$P$1+1,(YEAR(B1887)-$Q$1)*12-$P$1+1+MONTH(B1887)))</f>
        <v>0</v>
      </c>
      <c r="Q1887" s="402">
        <f t="shared" si="1885"/>
        <v>0</v>
      </c>
      <c r="R1887" s="356" t="e">
        <f t="shared" si="1325"/>
        <v>#N/A</v>
      </c>
      <c r="S1887" s="269" t="str">
        <f>IF(D1887="","",IF(OR(D1887=Plano!$A$1,D1887=Plano!$B$1),"entrada","saída"))</f>
        <v/>
      </c>
      <c r="T1887" s="406"/>
      <c r="U1887" s="406"/>
      <c r="V1887" s="269"/>
      <c r="W1887" s="269"/>
    </row>
    <row r="1888" spans="1:23" ht="12.75" customHeight="1" x14ac:dyDescent="0.2">
      <c r="A1888" s="289" t="str">
        <f t="shared" si="0"/>
        <v/>
      </c>
      <c r="B1888" s="290"/>
      <c r="C1888" s="404"/>
      <c r="D1888" s="291"/>
      <c r="E1888" s="291"/>
      <c r="F1888" s="292"/>
      <c r="G1888" s="291"/>
      <c r="H1888" s="291"/>
      <c r="I1888" s="293"/>
      <c r="J1888" s="291"/>
      <c r="K1888" s="291"/>
      <c r="L1888" s="293"/>
      <c r="M1888" s="291"/>
      <c r="N1888" s="289"/>
      <c r="O1888" s="358"/>
      <c r="P1888" s="402">
        <f t="shared" ref="P1888:Q1888" si="1886">IF(B1888=0,0,IF(YEAR(B1888)=$Q$1,MONTH(B1888)-$P$1+1,(YEAR(B1888)-$Q$1)*12-$P$1+1+MONTH(B1888)))</f>
        <v>0</v>
      </c>
      <c r="Q1888" s="402">
        <f t="shared" si="1886"/>
        <v>0</v>
      </c>
      <c r="R1888" s="356" t="e">
        <f t="shared" si="1325"/>
        <v>#N/A</v>
      </c>
      <c r="S1888" s="269" t="str">
        <f>IF(D1888="","",IF(OR(D1888=Plano!$A$1,D1888=Plano!$B$1),"entrada","saída"))</f>
        <v/>
      </c>
      <c r="T1888" s="406"/>
      <c r="U1888" s="406"/>
      <c r="V1888" s="269"/>
      <c r="W1888" s="269"/>
    </row>
    <row r="1889" spans="1:23" ht="12.75" customHeight="1" x14ac:dyDescent="0.2">
      <c r="A1889" s="289" t="str">
        <f t="shared" si="0"/>
        <v/>
      </c>
      <c r="B1889" s="290"/>
      <c r="C1889" s="404"/>
      <c r="D1889" s="291"/>
      <c r="E1889" s="291"/>
      <c r="F1889" s="292"/>
      <c r="G1889" s="291"/>
      <c r="H1889" s="291"/>
      <c r="I1889" s="293"/>
      <c r="J1889" s="291"/>
      <c r="K1889" s="291"/>
      <c r="L1889" s="293"/>
      <c r="M1889" s="291"/>
      <c r="N1889" s="289"/>
      <c r="O1889" s="358"/>
      <c r="P1889" s="402">
        <f t="shared" ref="P1889:Q1889" si="1887">IF(B1889=0,0,IF(YEAR(B1889)=$Q$1,MONTH(B1889)-$P$1+1,(YEAR(B1889)-$Q$1)*12-$P$1+1+MONTH(B1889)))</f>
        <v>0</v>
      </c>
      <c r="Q1889" s="402">
        <f t="shared" si="1887"/>
        <v>0</v>
      </c>
      <c r="R1889" s="356" t="e">
        <f t="shared" si="1325"/>
        <v>#N/A</v>
      </c>
      <c r="S1889" s="269" t="str">
        <f>IF(D1889="","",IF(OR(D1889=Plano!$A$1,D1889=Plano!$B$1),"entrada","saída"))</f>
        <v/>
      </c>
      <c r="T1889" s="406"/>
      <c r="U1889" s="406"/>
      <c r="V1889" s="269"/>
      <c r="W1889" s="269"/>
    </row>
    <row r="1890" spans="1:23" ht="12.75" customHeight="1" x14ac:dyDescent="0.2">
      <c r="A1890" s="289" t="str">
        <f t="shared" si="0"/>
        <v/>
      </c>
      <c r="B1890" s="290"/>
      <c r="C1890" s="404"/>
      <c r="D1890" s="291"/>
      <c r="E1890" s="291"/>
      <c r="F1890" s="292"/>
      <c r="G1890" s="291"/>
      <c r="H1890" s="291"/>
      <c r="I1890" s="293"/>
      <c r="J1890" s="291"/>
      <c r="K1890" s="291"/>
      <c r="L1890" s="293"/>
      <c r="M1890" s="291"/>
      <c r="N1890" s="289"/>
      <c r="O1890" s="358"/>
      <c r="P1890" s="402">
        <f t="shared" ref="P1890:Q1890" si="1888">IF(B1890=0,0,IF(YEAR(B1890)=$Q$1,MONTH(B1890)-$P$1+1,(YEAR(B1890)-$Q$1)*12-$P$1+1+MONTH(B1890)))</f>
        <v>0</v>
      </c>
      <c r="Q1890" s="402">
        <f t="shared" si="1888"/>
        <v>0</v>
      </c>
      <c r="R1890" s="356" t="e">
        <f t="shared" si="1325"/>
        <v>#N/A</v>
      </c>
      <c r="S1890" s="269" t="str">
        <f>IF(D1890="","",IF(OR(D1890=Plano!$A$1,D1890=Plano!$B$1),"entrada","saída"))</f>
        <v/>
      </c>
      <c r="T1890" s="406"/>
      <c r="U1890" s="406"/>
      <c r="V1890" s="269"/>
      <c r="W1890" s="269"/>
    </row>
    <row r="1891" spans="1:23" ht="12.75" customHeight="1" x14ac:dyDescent="0.2">
      <c r="A1891" s="289" t="str">
        <f t="shared" si="0"/>
        <v/>
      </c>
      <c r="B1891" s="290"/>
      <c r="C1891" s="404"/>
      <c r="D1891" s="291"/>
      <c r="E1891" s="291"/>
      <c r="F1891" s="292"/>
      <c r="G1891" s="291"/>
      <c r="H1891" s="291"/>
      <c r="I1891" s="293"/>
      <c r="J1891" s="291"/>
      <c r="K1891" s="291"/>
      <c r="L1891" s="293"/>
      <c r="M1891" s="291"/>
      <c r="N1891" s="289"/>
      <c r="O1891" s="358"/>
      <c r="P1891" s="402">
        <f t="shared" ref="P1891:Q1891" si="1889">IF(B1891=0,0,IF(YEAR(B1891)=$Q$1,MONTH(B1891)-$P$1+1,(YEAR(B1891)-$Q$1)*12-$P$1+1+MONTH(B1891)))</f>
        <v>0</v>
      </c>
      <c r="Q1891" s="402">
        <f t="shared" si="1889"/>
        <v>0</v>
      </c>
      <c r="R1891" s="356" t="e">
        <f t="shared" si="1325"/>
        <v>#N/A</v>
      </c>
      <c r="S1891" s="269" t="str">
        <f>IF(D1891="","",IF(OR(D1891=Plano!$A$1,D1891=Plano!$B$1),"entrada","saída"))</f>
        <v/>
      </c>
      <c r="T1891" s="406"/>
      <c r="U1891" s="406"/>
      <c r="V1891" s="269"/>
      <c r="W1891" s="269"/>
    </row>
    <row r="1892" spans="1:23" ht="12.75" customHeight="1" x14ac:dyDescent="0.2">
      <c r="A1892" s="289" t="str">
        <f t="shared" si="0"/>
        <v/>
      </c>
      <c r="B1892" s="290"/>
      <c r="C1892" s="404"/>
      <c r="D1892" s="291"/>
      <c r="E1892" s="291"/>
      <c r="F1892" s="292"/>
      <c r="G1892" s="291"/>
      <c r="H1892" s="291"/>
      <c r="I1892" s="293"/>
      <c r="J1892" s="291"/>
      <c r="K1892" s="291"/>
      <c r="L1892" s="293"/>
      <c r="M1892" s="291"/>
      <c r="N1892" s="289"/>
      <c r="O1892" s="358"/>
      <c r="P1892" s="402">
        <f t="shared" ref="P1892:Q1892" si="1890">IF(B1892=0,0,IF(YEAR(B1892)=$Q$1,MONTH(B1892)-$P$1+1,(YEAR(B1892)-$Q$1)*12-$P$1+1+MONTH(B1892)))</f>
        <v>0</v>
      </c>
      <c r="Q1892" s="402">
        <f t="shared" si="1890"/>
        <v>0</v>
      </c>
      <c r="R1892" s="356" t="e">
        <f t="shared" si="1325"/>
        <v>#N/A</v>
      </c>
      <c r="S1892" s="269" t="str">
        <f>IF(D1892="","",IF(OR(D1892=Plano!$A$1,D1892=Plano!$B$1),"entrada","saída"))</f>
        <v/>
      </c>
      <c r="T1892" s="406"/>
      <c r="U1892" s="406"/>
      <c r="V1892" s="269"/>
      <c r="W1892" s="269"/>
    </row>
    <row r="1893" spans="1:23" ht="12.75" customHeight="1" x14ac:dyDescent="0.2">
      <c r="A1893" s="289" t="str">
        <f t="shared" si="0"/>
        <v/>
      </c>
      <c r="B1893" s="290"/>
      <c r="C1893" s="404"/>
      <c r="D1893" s="291"/>
      <c r="E1893" s="291"/>
      <c r="F1893" s="292"/>
      <c r="G1893" s="291"/>
      <c r="H1893" s="291"/>
      <c r="I1893" s="293"/>
      <c r="J1893" s="291"/>
      <c r="K1893" s="291"/>
      <c r="L1893" s="293"/>
      <c r="M1893" s="291"/>
      <c r="N1893" s="289"/>
      <c r="O1893" s="358"/>
      <c r="P1893" s="402">
        <f t="shared" ref="P1893:Q1893" si="1891">IF(B1893=0,0,IF(YEAR(B1893)=$Q$1,MONTH(B1893)-$P$1+1,(YEAR(B1893)-$Q$1)*12-$P$1+1+MONTH(B1893)))</f>
        <v>0</v>
      </c>
      <c r="Q1893" s="402">
        <f t="shared" si="1891"/>
        <v>0</v>
      </c>
      <c r="R1893" s="356" t="e">
        <f t="shared" si="1325"/>
        <v>#N/A</v>
      </c>
      <c r="S1893" s="269" t="str">
        <f>IF(D1893="","",IF(OR(D1893=Plano!$A$1,D1893=Plano!$B$1),"entrada","saída"))</f>
        <v/>
      </c>
      <c r="T1893" s="406"/>
      <c r="U1893" s="406"/>
      <c r="V1893" s="269"/>
      <c r="W1893" s="269"/>
    </row>
    <row r="1894" spans="1:23" ht="12.75" customHeight="1" x14ac:dyDescent="0.2">
      <c r="A1894" s="289" t="str">
        <f t="shared" si="0"/>
        <v/>
      </c>
      <c r="B1894" s="290"/>
      <c r="C1894" s="404"/>
      <c r="D1894" s="291"/>
      <c r="E1894" s="291"/>
      <c r="F1894" s="292"/>
      <c r="G1894" s="291"/>
      <c r="H1894" s="291"/>
      <c r="I1894" s="293"/>
      <c r="J1894" s="291"/>
      <c r="K1894" s="291"/>
      <c r="L1894" s="293"/>
      <c r="M1894" s="291"/>
      <c r="N1894" s="289"/>
      <c r="O1894" s="358"/>
      <c r="P1894" s="402">
        <f t="shared" ref="P1894:Q1894" si="1892">IF(B1894=0,0,IF(YEAR(B1894)=$Q$1,MONTH(B1894)-$P$1+1,(YEAR(B1894)-$Q$1)*12-$P$1+1+MONTH(B1894)))</f>
        <v>0</v>
      </c>
      <c r="Q1894" s="402">
        <f t="shared" si="1892"/>
        <v>0</v>
      </c>
      <c r="R1894" s="356" t="e">
        <f t="shared" si="1325"/>
        <v>#N/A</v>
      </c>
      <c r="S1894" s="269" t="str">
        <f>IF(D1894="","",IF(OR(D1894=Plano!$A$1,D1894=Plano!$B$1),"entrada","saída"))</f>
        <v/>
      </c>
      <c r="T1894" s="406"/>
      <c r="U1894" s="406"/>
      <c r="V1894" s="269"/>
      <c r="W1894" s="269"/>
    </row>
    <row r="1895" spans="1:23" ht="12.75" customHeight="1" x14ac:dyDescent="0.2">
      <c r="A1895" s="289" t="str">
        <f t="shared" si="0"/>
        <v/>
      </c>
      <c r="B1895" s="290"/>
      <c r="C1895" s="404"/>
      <c r="D1895" s="291"/>
      <c r="E1895" s="291"/>
      <c r="F1895" s="292"/>
      <c r="G1895" s="291"/>
      <c r="H1895" s="291"/>
      <c r="I1895" s="293"/>
      <c r="J1895" s="291"/>
      <c r="K1895" s="291"/>
      <c r="L1895" s="293"/>
      <c r="M1895" s="291"/>
      <c r="N1895" s="289"/>
      <c r="O1895" s="358"/>
      <c r="P1895" s="402">
        <f t="shared" ref="P1895:Q1895" si="1893">IF(B1895=0,0,IF(YEAR(B1895)=$Q$1,MONTH(B1895)-$P$1+1,(YEAR(B1895)-$Q$1)*12-$P$1+1+MONTH(B1895)))</f>
        <v>0</v>
      </c>
      <c r="Q1895" s="402">
        <f t="shared" si="1893"/>
        <v>0</v>
      </c>
      <c r="R1895" s="356" t="e">
        <f t="shared" si="1325"/>
        <v>#N/A</v>
      </c>
      <c r="S1895" s="269" t="str">
        <f>IF(D1895="","",IF(OR(D1895=Plano!$A$1,D1895=Plano!$B$1),"entrada","saída"))</f>
        <v/>
      </c>
      <c r="T1895" s="406"/>
      <c r="U1895" s="406"/>
      <c r="V1895" s="269"/>
      <c r="W1895" s="269"/>
    </row>
    <row r="1896" spans="1:23" ht="12.75" customHeight="1" x14ac:dyDescent="0.2">
      <c r="A1896" s="289" t="str">
        <f t="shared" si="0"/>
        <v/>
      </c>
      <c r="B1896" s="290"/>
      <c r="C1896" s="404"/>
      <c r="D1896" s="291"/>
      <c r="E1896" s="291"/>
      <c r="F1896" s="292"/>
      <c r="G1896" s="291"/>
      <c r="H1896" s="291"/>
      <c r="I1896" s="293"/>
      <c r="J1896" s="291"/>
      <c r="K1896" s="291"/>
      <c r="L1896" s="293"/>
      <c r="M1896" s="291"/>
      <c r="N1896" s="289"/>
      <c r="O1896" s="358"/>
      <c r="P1896" s="402">
        <f t="shared" ref="P1896:Q1896" si="1894">IF(B1896=0,0,IF(YEAR(B1896)=$Q$1,MONTH(B1896)-$P$1+1,(YEAR(B1896)-$Q$1)*12-$P$1+1+MONTH(B1896)))</f>
        <v>0</v>
      </c>
      <c r="Q1896" s="402">
        <f t="shared" si="1894"/>
        <v>0</v>
      </c>
      <c r="R1896" s="356" t="e">
        <f t="shared" si="1325"/>
        <v>#N/A</v>
      </c>
      <c r="S1896" s="269" t="str">
        <f>IF(D1896="","",IF(OR(D1896=Plano!$A$1,D1896=Plano!$B$1),"entrada","saída"))</f>
        <v/>
      </c>
      <c r="T1896" s="406"/>
      <c r="U1896" s="406"/>
      <c r="V1896" s="269"/>
      <c r="W1896" s="269"/>
    </row>
    <row r="1897" spans="1:23" ht="12.75" customHeight="1" x14ac:dyDescent="0.2">
      <c r="A1897" s="289" t="str">
        <f t="shared" si="0"/>
        <v/>
      </c>
      <c r="B1897" s="290"/>
      <c r="C1897" s="404"/>
      <c r="D1897" s="291"/>
      <c r="E1897" s="291"/>
      <c r="F1897" s="292"/>
      <c r="G1897" s="291"/>
      <c r="H1897" s="291"/>
      <c r="I1897" s="293"/>
      <c r="J1897" s="291"/>
      <c r="K1897" s="291"/>
      <c r="L1897" s="293"/>
      <c r="M1897" s="291"/>
      <c r="N1897" s="289"/>
      <c r="O1897" s="358"/>
      <c r="P1897" s="402">
        <f t="shared" ref="P1897:Q1897" si="1895">IF(B1897=0,0,IF(YEAR(B1897)=$Q$1,MONTH(B1897)-$P$1+1,(YEAR(B1897)-$Q$1)*12-$P$1+1+MONTH(B1897)))</f>
        <v>0</v>
      </c>
      <c r="Q1897" s="402">
        <f t="shared" si="1895"/>
        <v>0</v>
      </c>
      <c r="R1897" s="356" t="e">
        <f t="shared" si="1325"/>
        <v>#N/A</v>
      </c>
      <c r="S1897" s="269" t="str">
        <f>IF(D1897="","",IF(OR(D1897=Plano!$A$1,D1897=Plano!$B$1),"entrada","saída"))</f>
        <v/>
      </c>
      <c r="T1897" s="406"/>
      <c r="U1897" s="406"/>
      <c r="V1897" s="269"/>
      <c r="W1897" s="269"/>
    </row>
    <row r="1898" spans="1:23" ht="12.75" customHeight="1" x14ac:dyDescent="0.2">
      <c r="A1898" s="289" t="str">
        <f t="shared" si="0"/>
        <v/>
      </c>
      <c r="B1898" s="290"/>
      <c r="C1898" s="404"/>
      <c r="D1898" s="291"/>
      <c r="E1898" s="291"/>
      <c r="F1898" s="292"/>
      <c r="G1898" s="291"/>
      <c r="H1898" s="291"/>
      <c r="I1898" s="293"/>
      <c r="J1898" s="291"/>
      <c r="K1898" s="291"/>
      <c r="L1898" s="293"/>
      <c r="M1898" s="291"/>
      <c r="N1898" s="289"/>
      <c r="O1898" s="358"/>
      <c r="P1898" s="402">
        <f t="shared" ref="P1898:Q1898" si="1896">IF(B1898=0,0,IF(YEAR(B1898)=$Q$1,MONTH(B1898)-$P$1+1,(YEAR(B1898)-$Q$1)*12-$P$1+1+MONTH(B1898)))</f>
        <v>0</v>
      </c>
      <c r="Q1898" s="402">
        <f t="shared" si="1896"/>
        <v>0</v>
      </c>
      <c r="R1898" s="356" t="e">
        <f t="shared" si="1325"/>
        <v>#N/A</v>
      </c>
      <c r="S1898" s="269" t="str">
        <f>IF(D1898="","",IF(OR(D1898=Plano!$A$1,D1898=Plano!$B$1),"entrada","saída"))</f>
        <v/>
      </c>
      <c r="T1898" s="406"/>
      <c r="U1898" s="406"/>
      <c r="V1898" s="269"/>
      <c r="W1898" s="269"/>
    </row>
    <row r="1899" spans="1:23" ht="12.75" customHeight="1" x14ac:dyDescent="0.2">
      <c r="A1899" s="289" t="str">
        <f t="shared" si="0"/>
        <v/>
      </c>
      <c r="B1899" s="290"/>
      <c r="C1899" s="404"/>
      <c r="D1899" s="291"/>
      <c r="E1899" s="291"/>
      <c r="F1899" s="292"/>
      <c r="G1899" s="291"/>
      <c r="H1899" s="291"/>
      <c r="I1899" s="293"/>
      <c r="J1899" s="291"/>
      <c r="K1899" s="291"/>
      <c r="L1899" s="293"/>
      <c r="M1899" s="291"/>
      <c r="N1899" s="289"/>
      <c r="O1899" s="358"/>
      <c r="P1899" s="402">
        <f t="shared" ref="P1899:Q1899" si="1897">IF(B1899=0,0,IF(YEAR(B1899)=$Q$1,MONTH(B1899)-$P$1+1,(YEAR(B1899)-$Q$1)*12-$P$1+1+MONTH(B1899)))</f>
        <v>0</v>
      </c>
      <c r="Q1899" s="402">
        <f t="shared" si="1897"/>
        <v>0</v>
      </c>
      <c r="R1899" s="356" t="e">
        <f t="shared" si="1325"/>
        <v>#N/A</v>
      </c>
      <c r="S1899" s="269" t="str">
        <f>IF(D1899="","",IF(OR(D1899=Plano!$A$1,D1899=Plano!$B$1),"entrada","saída"))</f>
        <v/>
      </c>
      <c r="T1899" s="406"/>
      <c r="U1899" s="406"/>
      <c r="V1899" s="269"/>
      <c r="W1899" s="269"/>
    </row>
    <row r="1900" spans="1:23" ht="12.75" customHeight="1" x14ac:dyDescent="0.2">
      <c r="A1900" s="289" t="str">
        <f t="shared" si="0"/>
        <v/>
      </c>
      <c r="B1900" s="290"/>
      <c r="C1900" s="404"/>
      <c r="D1900" s="291"/>
      <c r="E1900" s="291"/>
      <c r="F1900" s="292"/>
      <c r="G1900" s="291"/>
      <c r="H1900" s="291"/>
      <c r="I1900" s="293"/>
      <c r="J1900" s="291"/>
      <c r="K1900" s="291"/>
      <c r="L1900" s="293"/>
      <c r="M1900" s="291"/>
      <c r="N1900" s="289"/>
      <c r="O1900" s="358"/>
      <c r="P1900" s="402">
        <f t="shared" ref="P1900:Q1900" si="1898">IF(B1900=0,0,IF(YEAR(B1900)=$Q$1,MONTH(B1900)-$P$1+1,(YEAR(B1900)-$Q$1)*12-$P$1+1+MONTH(B1900)))</f>
        <v>0</v>
      </c>
      <c r="Q1900" s="402">
        <f t="shared" si="1898"/>
        <v>0</v>
      </c>
      <c r="R1900" s="356" t="e">
        <f t="shared" si="1325"/>
        <v>#N/A</v>
      </c>
      <c r="S1900" s="269" t="str">
        <f>IF(D1900="","",IF(OR(D1900=Plano!$A$1,D1900=Plano!$B$1),"entrada","saída"))</f>
        <v/>
      </c>
      <c r="T1900" s="406"/>
      <c r="U1900" s="406"/>
      <c r="V1900" s="269"/>
      <c r="W1900" s="269"/>
    </row>
    <row r="1901" spans="1:23" ht="12.75" customHeight="1" x14ac:dyDescent="0.2">
      <c r="A1901" s="289" t="str">
        <f t="shared" si="0"/>
        <v/>
      </c>
      <c r="B1901" s="290"/>
      <c r="C1901" s="404"/>
      <c r="D1901" s="291"/>
      <c r="E1901" s="291"/>
      <c r="F1901" s="292"/>
      <c r="G1901" s="291"/>
      <c r="H1901" s="291"/>
      <c r="I1901" s="293"/>
      <c r="J1901" s="291"/>
      <c r="K1901" s="291"/>
      <c r="L1901" s="293"/>
      <c r="M1901" s="291"/>
      <c r="N1901" s="289"/>
      <c r="O1901" s="358"/>
      <c r="P1901" s="402">
        <f t="shared" ref="P1901:Q1901" si="1899">IF(B1901=0,0,IF(YEAR(B1901)=$Q$1,MONTH(B1901)-$P$1+1,(YEAR(B1901)-$Q$1)*12-$P$1+1+MONTH(B1901)))</f>
        <v>0</v>
      </c>
      <c r="Q1901" s="402">
        <f t="shared" si="1899"/>
        <v>0</v>
      </c>
      <c r="R1901" s="356" t="e">
        <f t="shared" si="1325"/>
        <v>#N/A</v>
      </c>
      <c r="S1901" s="269" t="str">
        <f>IF(D1901="","",IF(OR(D1901=Plano!$A$1,D1901=Plano!$B$1),"entrada","saída"))</f>
        <v/>
      </c>
      <c r="T1901" s="406"/>
      <c r="U1901" s="406"/>
      <c r="V1901" s="269"/>
      <c r="W1901" s="269"/>
    </row>
    <row r="1902" spans="1:23" ht="12.75" customHeight="1" x14ac:dyDescent="0.2">
      <c r="A1902" s="289" t="str">
        <f t="shared" si="0"/>
        <v/>
      </c>
      <c r="B1902" s="290"/>
      <c r="C1902" s="404"/>
      <c r="D1902" s="291"/>
      <c r="E1902" s="291"/>
      <c r="F1902" s="292"/>
      <c r="G1902" s="291"/>
      <c r="H1902" s="291"/>
      <c r="I1902" s="293"/>
      <c r="J1902" s="291"/>
      <c r="K1902" s="291"/>
      <c r="L1902" s="293"/>
      <c r="M1902" s="291"/>
      <c r="N1902" s="289"/>
      <c r="O1902" s="358"/>
      <c r="P1902" s="402">
        <f t="shared" ref="P1902:Q1902" si="1900">IF(B1902=0,0,IF(YEAR(B1902)=$Q$1,MONTH(B1902)-$P$1+1,(YEAR(B1902)-$Q$1)*12-$P$1+1+MONTH(B1902)))</f>
        <v>0</v>
      </c>
      <c r="Q1902" s="402">
        <f t="shared" si="1900"/>
        <v>0</v>
      </c>
      <c r="R1902" s="356" t="e">
        <f t="shared" si="1325"/>
        <v>#N/A</v>
      </c>
      <c r="S1902" s="269" t="str">
        <f>IF(D1902="","",IF(OR(D1902=Plano!$A$1,D1902=Plano!$B$1),"entrada","saída"))</f>
        <v/>
      </c>
      <c r="T1902" s="406"/>
      <c r="U1902" s="406"/>
      <c r="V1902" s="269"/>
      <c r="W1902" s="269"/>
    </row>
    <row r="1903" spans="1:23" ht="12.75" customHeight="1" x14ac:dyDescent="0.2">
      <c r="A1903" s="289" t="str">
        <f t="shared" si="0"/>
        <v/>
      </c>
      <c r="B1903" s="290"/>
      <c r="C1903" s="404"/>
      <c r="D1903" s="291"/>
      <c r="E1903" s="291"/>
      <c r="F1903" s="292"/>
      <c r="G1903" s="291"/>
      <c r="H1903" s="291"/>
      <c r="I1903" s="293"/>
      <c r="J1903" s="291"/>
      <c r="K1903" s="291"/>
      <c r="L1903" s="293"/>
      <c r="M1903" s="291"/>
      <c r="N1903" s="289"/>
      <c r="O1903" s="358"/>
      <c r="P1903" s="402">
        <f t="shared" ref="P1903:Q1903" si="1901">IF(B1903=0,0,IF(YEAR(B1903)=$Q$1,MONTH(B1903)-$P$1+1,(YEAR(B1903)-$Q$1)*12-$P$1+1+MONTH(B1903)))</f>
        <v>0</v>
      </c>
      <c r="Q1903" s="402">
        <f t="shared" si="1901"/>
        <v>0</v>
      </c>
      <c r="R1903" s="356" t="e">
        <f t="shared" si="1325"/>
        <v>#N/A</v>
      </c>
      <c r="S1903" s="269" t="str">
        <f>IF(D1903="","",IF(OR(D1903=Plano!$A$1,D1903=Plano!$B$1),"entrada","saída"))</f>
        <v/>
      </c>
      <c r="T1903" s="406"/>
      <c r="U1903" s="406"/>
      <c r="V1903" s="269"/>
      <c r="W1903" s="269"/>
    </row>
    <row r="1904" spans="1:23" ht="12.75" customHeight="1" x14ac:dyDescent="0.2">
      <c r="A1904" s="289" t="str">
        <f t="shared" si="0"/>
        <v/>
      </c>
      <c r="B1904" s="290"/>
      <c r="C1904" s="404"/>
      <c r="D1904" s="291"/>
      <c r="E1904" s="291"/>
      <c r="F1904" s="292"/>
      <c r="G1904" s="291"/>
      <c r="H1904" s="291"/>
      <c r="I1904" s="293"/>
      <c r="J1904" s="291"/>
      <c r="K1904" s="291"/>
      <c r="L1904" s="293"/>
      <c r="M1904" s="291"/>
      <c r="N1904" s="289"/>
      <c r="O1904" s="358"/>
      <c r="P1904" s="402">
        <f t="shared" ref="P1904:Q1904" si="1902">IF(B1904=0,0,IF(YEAR(B1904)=$Q$1,MONTH(B1904)-$P$1+1,(YEAR(B1904)-$Q$1)*12-$P$1+1+MONTH(B1904)))</f>
        <v>0</v>
      </c>
      <c r="Q1904" s="402">
        <f t="shared" si="1902"/>
        <v>0</v>
      </c>
      <c r="R1904" s="356" t="e">
        <f t="shared" si="1325"/>
        <v>#N/A</v>
      </c>
      <c r="S1904" s="269" t="str">
        <f>IF(D1904="","",IF(OR(D1904=Plano!$A$1,D1904=Plano!$B$1),"entrada","saída"))</f>
        <v/>
      </c>
      <c r="T1904" s="406"/>
      <c r="U1904" s="406"/>
      <c r="V1904" s="269"/>
      <c r="W1904" s="269"/>
    </row>
    <row r="1905" spans="1:23" ht="12.75" customHeight="1" x14ac:dyDescent="0.2">
      <c r="A1905" s="289" t="str">
        <f t="shared" si="0"/>
        <v/>
      </c>
      <c r="B1905" s="290"/>
      <c r="C1905" s="404"/>
      <c r="D1905" s="291"/>
      <c r="E1905" s="291"/>
      <c r="F1905" s="292"/>
      <c r="G1905" s="291"/>
      <c r="H1905" s="291"/>
      <c r="I1905" s="293"/>
      <c r="J1905" s="291"/>
      <c r="K1905" s="291"/>
      <c r="L1905" s="293"/>
      <c r="M1905" s="291"/>
      <c r="N1905" s="289"/>
      <c r="O1905" s="358"/>
      <c r="P1905" s="402">
        <f t="shared" ref="P1905:Q1905" si="1903">IF(B1905=0,0,IF(YEAR(B1905)=$Q$1,MONTH(B1905)-$P$1+1,(YEAR(B1905)-$Q$1)*12-$P$1+1+MONTH(B1905)))</f>
        <v>0</v>
      </c>
      <c r="Q1905" s="402">
        <f t="shared" si="1903"/>
        <v>0</v>
      </c>
      <c r="R1905" s="356" t="e">
        <f t="shared" si="1325"/>
        <v>#N/A</v>
      </c>
      <c r="S1905" s="269" t="str">
        <f>IF(D1905="","",IF(OR(D1905=Plano!$A$1,D1905=Plano!$B$1),"entrada","saída"))</f>
        <v/>
      </c>
      <c r="T1905" s="406"/>
      <c r="U1905" s="406"/>
      <c r="V1905" s="269"/>
      <c r="W1905" s="269"/>
    </row>
    <row r="1906" spans="1:23" ht="12.75" customHeight="1" x14ac:dyDescent="0.2">
      <c r="A1906" s="289" t="str">
        <f t="shared" si="0"/>
        <v/>
      </c>
      <c r="B1906" s="290"/>
      <c r="C1906" s="404"/>
      <c r="D1906" s="291"/>
      <c r="E1906" s="291"/>
      <c r="F1906" s="292"/>
      <c r="G1906" s="291"/>
      <c r="H1906" s="291"/>
      <c r="I1906" s="293"/>
      <c r="J1906" s="291"/>
      <c r="K1906" s="291"/>
      <c r="L1906" s="293"/>
      <c r="M1906" s="291"/>
      <c r="N1906" s="289"/>
      <c r="O1906" s="358"/>
      <c r="P1906" s="402">
        <f t="shared" ref="P1906:Q1906" si="1904">IF(B1906=0,0,IF(YEAR(B1906)=$Q$1,MONTH(B1906)-$P$1+1,(YEAR(B1906)-$Q$1)*12-$P$1+1+MONTH(B1906)))</f>
        <v>0</v>
      </c>
      <c r="Q1906" s="402">
        <f t="shared" si="1904"/>
        <v>0</v>
      </c>
      <c r="R1906" s="356" t="e">
        <f t="shared" si="1325"/>
        <v>#N/A</v>
      </c>
      <c r="S1906" s="269" t="str">
        <f>IF(D1906="","",IF(OR(D1906=Plano!$A$1,D1906=Plano!$B$1),"entrada","saída"))</f>
        <v/>
      </c>
      <c r="T1906" s="406"/>
      <c r="U1906" s="406"/>
      <c r="V1906" s="269"/>
      <c r="W1906" s="269"/>
    </row>
    <row r="1907" spans="1:23" ht="12.75" customHeight="1" x14ac:dyDescent="0.2">
      <c r="A1907" s="289" t="str">
        <f t="shared" si="0"/>
        <v/>
      </c>
      <c r="B1907" s="290"/>
      <c r="C1907" s="404"/>
      <c r="D1907" s="291"/>
      <c r="E1907" s="291"/>
      <c r="F1907" s="292"/>
      <c r="G1907" s="291"/>
      <c r="H1907" s="291"/>
      <c r="I1907" s="293"/>
      <c r="J1907" s="291"/>
      <c r="K1907" s="291"/>
      <c r="L1907" s="293"/>
      <c r="M1907" s="291"/>
      <c r="N1907" s="289"/>
      <c r="O1907" s="358"/>
      <c r="P1907" s="402">
        <f t="shared" ref="P1907:Q1907" si="1905">IF(B1907=0,0,IF(YEAR(B1907)=$Q$1,MONTH(B1907)-$P$1+1,(YEAR(B1907)-$Q$1)*12-$P$1+1+MONTH(B1907)))</f>
        <v>0</v>
      </c>
      <c r="Q1907" s="402">
        <f t="shared" si="1905"/>
        <v>0</v>
      </c>
      <c r="R1907" s="356" t="e">
        <f t="shared" si="1325"/>
        <v>#N/A</v>
      </c>
      <c r="S1907" s="269" t="str">
        <f>IF(D1907="","",IF(OR(D1907=Plano!$A$1,D1907=Plano!$B$1),"entrada","saída"))</f>
        <v/>
      </c>
      <c r="T1907" s="406"/>
      <c r="U1907" s="406"/>
      <c r="V1907" s="269"/>
      <c r="W1907" s="269"/>
    </row>
    <row r="1908" spans="1:23" ht="12.75" customHeight="1" x14ac:dyDescent="0.2">
      <c r="A1908" s="289" t="str">
        <f t="shared" si="0"/>
        <v/>
      </c>
      <c r="B1908" s="290"/>
      <c r="C1908" s="404"/>
      <c r="D1908" s="291"/>
      <c r="E1908" s="291"/>
      <c r="F1908" s="292"/>
      <c r="G1908" s="291"/>
      <c r="H1908" s="291"/>
      <c r="I1908" s="293"/>
      <c r="J1908" s="291"/>
      <c r="K1908" s="291"/>
      <c r="L1908" s="293"/>
      <c r="M1908" s="291"/>
      <c r="N1908" s="289"/>
      <c r="O1908" s="358"/>
      <c r="P1908" s="402">
        <f t="shared" ref="P1908:Q1908" si="1906">IF(B1908=0,0,IF(YEAR(B1908)=$Q$1,MONTH(B1908)-$P$1+1,(YEAR(B1908)-$Q$1)*12-$P$1+1+MONTH(B1908)))</f>
        <v>0</v>
      </c>
      <c r="Q1908" s="402">
        <f t="shared" si="1906"/>
        <v>0</v>
      </c>
      <c r="R1908" s="356" t="e">
        <f t="shared" si="1325"/>
        <v>#N/A</v>
      </c>
      <c r="S1908" s="269" t="str">
        <f>IF(D1908="","",IF(OR(D1908=Plano!$A$1,D1908=Plano!$B$1),"entrada","saída"))</f>
        <v/>
      </c>
      <c r="T1908" s="406"/>
      <c r="U1908" s="406"/>
      <c r="V1908" s="269"/>
      <c r="W1908" s="269"/>
    </row>
    <row r="1909" spans="1:23" ht="12.75" customHeight="1" x14ac:dyDescent="0.2">
      <c r="A1909" s="289" t="str">
        <f t="shared" si="0"/>
        <v/>
      </c>
      <c r="B1909" s="290"/>
      <c r="C1909" s="404"/>
      <c r="D1909" s="291"/>
      <c r="E1909" s="291"/>
      <c r="F1909" s="292"/>
      <c r="G1909" s="291"/>
      <c r="H1909" s="291"/>
      <c r="I1909" s="293"/>
      <c r="J1909" s="291"/>
      <c r="K1909" s="291"/>
      <c r="L1909" s="293"/>
      <c r="M1909" s="291"/>
      <c r="N1909" s="289"/>
      <c r="O1909" s="358"/>
      <c r="P1909" s="402">
        <f t="shared" ref="P1909:Q1909" si="1907">IF(B1909=0,0,IF(YEAR(B1909)=$Q$1,MONTH(B1909)-$P$1+1,(YEAR(B1909)-$Q$1)*12-$P$1+1+MONTH(B1909)))</f>
        <v>0</v>
      </c>
      <c r="Q1909" s="402">
        <f t="shared" si="1907"/>
        <v>0</v>
      </c>
      <c r="R1909" s="356" t="e">
        <f t="shared" si="1325"/>
        <v>#N/A</v>
      </c>
      <c r="S1909" s="269" t="str">
        <f>IF(D1909="","",IF(OR(D1909=Plano!$A$1,D1909=Plano!$B$1),"entrada","saída"))</f>
        <v/>
      </c>
      <c r="T1909" s="406"/>
      <c r="U1909" s="406"/>
      <c r="V1909" s="269"/>
      <c r="W1909" s="269"/>
    </row>
    <row r="1910" spans="1:23" ht="12.75" customHeight="1" x14ac:dyDescent="0.2">
      <c r="A1910" s="289" t="str">
        <f t="shared" si="0"/>
        <v/>
      </c>
      <c r="B1910" s="290"/>
      <c r="C1910" s="404"/>
      <c r="D1910" s="291"/>
      <c r="E1910" s="291"/>
      <c r="F1910" s="292"/>
      <c r="G1910" s="291"/>
      <c r="H1910" s="291"/>
      <c r="I1910" s="293"/>
      <c r="J1910" s="291"/>
      <c r="K1910" s="291"/>
      <c r="L1910" s="293"/>
      <c r="M1910" s="291"/>
      <c r="N1910" s="289"/>
      <c r="O1910" s="358"/>
      <c r="P1910" s="402">
        <f t="shared" ref="P1910:Q1910" si="1908">IF(B1910=0,0,IF(YEAR(B1910)=$Q$1,MONTH(B1910)-$P$1+1,(YEAR(B1910)-$Q$1)*12-$P$1+1+MONTH(B1910)))</f>
        <v>0</v>
      </c>
      <c r="Q1910" s="402">
        <f t="shared" si="1908"/>
        <v>0</v>
      </c>
      <c r="R1910" s="356" t="e">
        <f t="shared" si="1325"/>
        <v>#N/A</v>
      </c>
      <c r="S1910" s="269" t="str">
        <f>IF(D1910="","",IF(OR(D1910=Plano!$A$1,D1910=Plano!$B$1),"entrada","saída"))</f>
        <v/>
      </c>
      <c r="T1910" s="406"/>
      <c r="U1910" s="406"/>
      <c r="V1910" s="269"/>
      <c r="W1910" s="269"/>
    </row>
    <row r="1911" spans="1:23" ht="12.75" customHeight="1" x14ac:dyDescent="0.2">
      <c r="A1911" s="289" t="str">
        <f t="shared" si="0"/>
        <v/>
      </c>
      <c r="B1911" s="290"/>
      <c r="C1911" s="404"/>
      <c r="D1911" s="291"/>
      <c r="E1911" s="291"/>
      <c r="F1911" s="292"/>
      <c r="G1911" s="291"/>
      <c r="H1911" s="291"/>
      <c r="I1911" s="293"/>
      <c r="J1911" s="291"/>
      <c r="K1911" s="291"/>
      <c r="L1911" s="293"/>
      <c r="M1911" s="291"/>
      <c r="N1911" s="289"/>
      <c r="O1911" s="358"/>
      <c r="P1911" s="402">
        <f t="shared" ref="P1911:Q1911" si="1909">IF(B1911=0,0,IF(YEAR(B1911)=$Q$1,MONTH(B1911)-$P$1+1,(YEAR(B1911)-$Q$1)*12-$P$1+1+MONTH(B1911)))</f>
        <v>0</v>
      </c>
      <c r="Q1911" s="402">
        <f t="shared" si="1909"/>
        <v>0</v>
      </c>
      <c r="R1911" s="356" t="e">
        <f t="shared" si="1325"/>
        <v>#N/A</v>
      </c>
      <c r="S1911" s="269" t="str">
        <f>IF(D1911="","",IF(OR(D1911=Plano!$A$1,D1911=Plano!$B$1),"entrada","saída"))</f>
        <v/>
      </c>
      <c r="T1911" s="406"/>
      <c r="U1911" s="406"/>
      <c r="V1911" s="269"/>
      <c r="W1911" s="269"/>
    </row>
    <row r="1912" spans="1:23" ht="12.75" customHeight="1" x14ac:dyDescent="0.2">
      <c r="A1912" s="289" t="str">
        <f t="shared" si="0"/>
        <v/>
      </c>
      <c r="B1912" s="290"/>
      <c r="C1912" s="404"/>
      <c r="D1912" s="291"/>
      <c r="E1912" s="291"/>
      <c r="F1912" s="292"/>
      <c r="G1912" s="291"/>
      <c r="H1912" s="291"/>
      <c r="I1912" s="293"/>
      <c r="J1912" s="291"/>
      <c r="K1912" s="291"/>
      <c r="L1912" s="293"/>
      <c r="M1912" s="291"/>
      <c r="N1912" s="289"/>
      <c r="O1912" s="358"/>
      <c r="P1912" s="402">
        <f t="shared" ref="P1912:Q1912" si="1910">IF(B1912=0,0,IF(YEAR(B1912)=$Q$1,MONTH(B1912)-$P$1+1,(YEAR(B1912)-$Q$1)*12-$P$1+1+MONTH(B1912)))</f>
        <v>0</v>
      </c>
      <c r="Q1912" s="402">
        <f t="shared" si="1910"/>
        <v>0</v>
      </c>
      <c r="R1912" s="356" t="e">
        <f t="shared" si="1325"/>
        <v>#N/A</v>
      </c>
      <c r="S1912" s="269" t="str">
        <f>IF(D1912="","",IF(OR(D1912=Plano!$A$1,D1912=Plano!$B$1),"entrada","saída"))</f>
        <v/>
      </c>
      <c r="T1912" s="406"/>
      <c r="U1912" s="406"/>
      <c r="V1912" s="269"/>
      <c r="W1912" s="269"/>
    </row>
    <row r="1913" spans="1:23" ht="12.75" customHeight="1" x14ac:dyDescent="0.2">
      <c r="A1913" s="289" t="str">
        <f t="shared" si="0"/>
        <v/>
      </c>
      <c r="B1913" s="290"/>
      <c r="C1913" s="404"/>
      <c r="D1913" s="291"/>
      <c r="E1913" s="291"/>
      <c r="F1913" s="292"/>
      <c r="G1913" s="291"/>
      <c r="H1913" s="291"/>
      <c r="I1913" s="293"/>
      <c r="J1913" s="291"/>
      <c r="K1913" s="291"/>
      <c r="L1913" s="293"/>
      <c r="M1913" s="291"/>
      <c r="N1913" s="289"/>
      <c r="O1913" s="358"/>
      <c r="P1913" s="402">
        <f t="shared" ref="P1913:Q1913" si="1911">IF(B1913=0,0,IF(YEAR(B1913)=$Q$1,MONTH(B1913)-$P$1+1,(YEAR(B1913)-$Q$1)*12-$P$1+1+MONTH(B1913)))</f>
        <v>0</v>
      </c>
      <c r="Q1913" s="402">
        <f t="shared" si="1911"/>
        <v>0</v>
      </c>
      <c r="R1913" s="356" t="e">
        <f t="shared" si="1325"/>
        <v>#N/A</v>
      </c>
      <c r="S1913" s="269" t="str">
        <f>IF(D1913="","",IF(OR(D1913=Plano!$A$1,D1913=Plano!$B$1),"entrada","saída"))</f>
        <v/>
      </c>
      <c r="T1913" s="406"/>
      <c r="U1913" s="406"/>
      <c r="V1913" s="269"/>
      <c r="W1913" s="269"/>
    </row>
    <row r="1914" spans="1:23" ht="12.75" customHeight="1" x14ac:dyDescent="0.2">
      <c r="A1914" s="289" t="str">
        <f t="shared" si="0"/>
        <v/>
      </c>
      <c r="B1914" s="290"/>
      <c r="C1914" s="404"/>
      <c r="D1914" s="291"/>
      <c r="E1914" s="291"/>
      <c r="F1914" s="292"/>
      <c r="G1914" s="291"/>
      <c r="H1914" s="291"/>
      <c r="I1914" s="293"/>
      <c r="J1914" s="291"/>
      <c r="K1914" s="291"/>
      <c r="L1914" s="293"/>
      <c r="M1914" s="291"/>
      <c r="N1914" s="289"/>
      <c r="O1914" s="358"/>
      <c r="P1914" s="402">
        <f t="shared" ref="P1914:Q1914" si="1912">IF(B1914=0,0,IF(YEAR(B1914)=$Q$1,MONTH(B1914)-$P$1+1,(YEAR(B1914)-$Q$1)*12-$P$1+1+MONTH(B1914)))</f>
        <v>0</v>
      </c>
      <c r="Q1914" s="402">
        <f t="shared" si="1912"/>
        <v>0</v>
      </c>
      <c r="R1914" s="356" t="e">
        <f t="shared" si="1325"/>
        <v>#N/A</v>
      </c>
      <c r="S1914" s="269" t="str">
        <f>IF(D1914="","",IF(OR(D1914=Plano!$A$1,D1914=Plano!$B$1),"entrada","saída"))</f>
        <v/>
      </c>
      <c r="T1914" s="406"/>
      <c r="U1914" s="406"/>
      <c r="V1914" s="269"/>
      <c r="W1914" s="269"/>
    </row>
    <row r="1915" spans="1:23" ht="12.75" customHeight="1" x14ac:dyDescent="0.2">
      <c r="A1915" s="289" t="str">
        <f t="shared" si="0"/>
        <v/>
      </c>
      <c r="B1915" s="290"/>
      <c r="C1915" s="404"/>
      <c r="D1915" s="291"/>
      <c r="E1915" s="291"/>
      <c r="F1915" s="292"/>
      <c r="G1915" s="291"/>
      <c r="H1915" s="291"/>
      <c r="I1915" s="293"/>
      <c r="J1915" s="291"/>
      <c r="K1915" s="291"/>
      <c r="L1915" s="293"/>
      <c r="M1915" s="291"/>
      <c r="N1915" s="289"/>
      <c r="O1915" s="358"/>
      <c r="P1915" s="402">
        <f t="shared" ref="P1915:Q1915" si="1913">IF(B1915=0,0,IF(YEAR(B1915)=$Q$1,MONTH(B1915)-$P$1+1,(YEAR(B1915)-$Q$1)*12-$P$1+1+MONTH(B1915)))</f>
        <v>0</v>
      </c>
      <c r="Q1915" s="402">
        <f t="shared" si="1913"/>
        <v>0</v>
      </c>
      <c r="R1915" s="356" t="e">
        <f t="shared" si="1325"/>
        <v>#N/A</v>
      </c>
      <c r="S1915" s="269" t="str">
        <f>IF(D1915="","",IF(OR(D1915=Plano!$A$1,D1915=Plano!$B$1),"entrada","saída"))</f>
        <v/>
      </c>
      <c r="T1915" s="406"/>
      <c r="U1915" s="406"/>
      <c r="V1915" s="269"/>
      <c r="W1915" s="269"/>
    </row>
    <row r="1916" spans="1:23" ht="12.75" customHeight="1" x14ac:dyDescent="0.2">
      <c r="A1916" s="289" t="str">
        <f t="shared" si="0"/>
        <v/>
      </c>
      <c r="B1916" s="290"/>
      <c r="C1916" s="404"/>
      <c r="D1916" s="291"/>
      <c r="E1916" s="291"/>
      <c r="F1916" s="292"/>
      <c r="G1916" s="291"/>
      <c r="H1916" s="291"/>
      <c r="I1916" s="293"/>
      <c r="J1916" s="291"/>
      <c r="K1916" s="291"/>
      <c r="L1916" s="293"/>
      <c r="M1916" s="291"/>
      <c r="N1916" s="289"/>
      <c r="O1916" s="358"/>
      <c r="P1916" s="402">
        <f t="shared" ref="P1916:Q1916" si="1914">IF(B1916=0,0,IF(YEAR(B1916)=$Q$1,MONTH(B1916)-$P$1+1,(YEAR(B1916)-$Q$1)*12-$P$1+1+MONTH(B1916)))</f>
        <v>0</v>
      </c>
      <c r="Q1916" s="402">
        <f t="shared" si="1914"/>
        <v>0</v>
      </c>
      <c r="R1916" s="356" t="e">
        <f t="shared" si="1325"/>
        <v>#N/A</v>
      </c>
      <c r="S1916" s="269" t="str">
        <f>IF(D1916="","",IF(OR(D1916=Plano!$A$1,D1916=Plano!$B$1),"entrada","saída"))</f>
        <v/>
      </c>
      <c r="T1916" s="406"/>
      <c r="U1916" s="406"/>
      <c r="V1916" s="269"/>
      <c r="W1916" s="269"/>
    </row>
    <row r="1917" spans="1:23" ht="12.75" customHeight="1" x14ac:dyDescent="0.2">
      <c r="A1917" s="289" t="str">
        <f t="shared" si="0"/>
        <v/>
      </c>
      <c r="B1917" s="290"/>
      <c r="C1917" s="404"/>
      <c r="D1917" s="291"/>
      <c r="E1917" s="291"/>
      <c r="F1917" s="292"/>
      <c r="G1917" s="291"/>
      <c r="H1917" s="291"/>
      <c r="I1917" s="293"/>
      <c r="J1917" s="291"/>
      <c r="K1917" s="291"/>
      <c r="L1917" s="293"/>
      <c r="M1917" s="291"/>
      <c r="N1917" s="289"/>
      <c r="O1917" s="358"/>
      <c r="P1917" s="402">
        <f t="shared" ref="P1917:Q1917" si="1915">IF(B1917=0,0,IF(YEAR(B1917)=$Q$1,MONTH(B1917)-$P$1+1,(YEAR(B1917)-$Q$1)*12-$P$1+1+MONTH(B1917)))</f>
        <v>0</v>
      </c>
      <c r="Q1917" s="402">
        <f t="shared" si="1915"/>
        <v>0</v>
      </c>
      <c r="R1917" s="356" t="e">
        <f t="shared" si="1325"/>
        <v>#N/A</v>
      </c>
      <c r="S1917" s="269" t="str">
        <f>IF(D1917="","",IF(OR(D1917=Plano!$A$1,D1917=Plano!$B$1),"entrada","saída"))</f>
        <v/>
      </c>
      <c r="T1917" s="406"/>
      <c r="U1917" s="406"/>
      <c r="V1917" s="269"/>
      <c r="W1917" s="269"/>
    </row>
    <row r="1918" spans="1:23" ht="12.75" customHeight="1" x14ac:dyDescent="0.2">
      <c r="A1918" s="289" t="str">
        <f t="shared" si="0"/>
        <v/>
      </c>
      <c r="B1918" s="290"/>
      <c r="C1918" s="404"/>
      <c r="D1918" s="291"/>
      <c r="E1918" s="291"/>
      <c r="F1918" s="292"/>
      <c r="G1918" s="291"/>
      <c r="H1918" s="291"/>
      <c r="I1918" s="293"/>
      <c r="J1918" s="291"/>
      <c r="K1918" s="291"/>
      <c r="L1918" s="293"/>
      <c r="M1918" s="291"/>
      <c r="N1918" s="289"/>
      <c r="O1918" s="358"/>
      <c r="P1918" s="402">
        <f t="shared" ref="P1918:Q1918" si="1916">IF(B1918=0,0,IF(YEAR(B1918)=$Q$1,MONTH(B1918)-$P$1+1,(YEAR(B1918)-$Q$1)*12-$P$1+1+MONTH(B1918)))</f>
        <v>0</v>
      </c>
      <c r="Q1918" s="402">
        <f t="shared" si="1916"/>
        <v>0</v>
      </c>
      <c r="R1918" s="356" t="e">
        <f t="shared" si="1325"/>
        <v>#N/A</v>
      </c>
      <c r="S1918" s="269" t="str">
        <f>IF(D1918="","",IF(OR(D1918=Plano!$A$1,D1918=Plano!$B$1),"entrada","saída"))</f>
        <v/>
      </c>
      <c r="T1918" s="406"/>
      <c r="U1918" s="406"/>
      <c r="V1918" s="269"/>
      <c r="W1918" s="269"/>
    </row>
    <row r="1919" spans="1:23" ht="12.75" customHeight="1" x14ac:dyDescent="0.2">
      <c r="A1919" s="289" t="str">
        <f t="shared" si="0"/>
        <v/>
      </c>
      <c r="B1919" s="290"/>
      <c r="C1919" s="404"/>
      <c r="D1919" s="291"/>
      <c r="E1919" s="291"/>
      <c r="F1919" s="292"/>
      <c r="G1919" s="291"/>
      <c r="H1919" s="291"/>
      <c r="I1919" s="293"/>
      <c r="J1919" s="291"/>
      <c r="K1919" s="291"/>
      <c r="L1919" s="293"/>
      <c r="M1919" s="291"/>
      <c r="N1919" s="289"/>
      <c r="O1919" s="358"/>
      <c r="P1919" s="402">
        <f t="shared" ref="P1919:Q1919" si="1917">IF(B1919=0,0,IF(YEAR(B1919)=$Q$1,MONTH(B1919)-$P$1+1,(YEAR(B1919)-$Q$1)*12-$P$1+1+MONTH(B1919)))</f>
        <v>0</v>
      </c>
      <c r="Q1919" s="402">
        <f t="shared" si="1917"/>
        <v>0</v>
      </c>
      <c r="R1919" s="356" t="e">
        <f t="shared" si="1325"/>
        <v>#N/A</v>
      </c>
      <c r="S1919" s="269" t="str">
        <f>IF(D1919="","",IF(OR(D1919=Plano!$A$1,D1919=Plano!$B$1),"entrada","saída"))</f>
        <v/>
      </c>
      <c r="T1919" s="406"/>
      <c r="U1919" s="406"/>
      <c r="V1919" s="269"/>
      <c r="W1919" s="269"/>
    </row>
    <row r="1920" spans="1:23" ht="12.75" customHeight="1" x14ac:dyDescent="0.2">
      <c r="A1920" s="289" t="str">
        <f t="shared" si="0"/>
        <v/>
      </c>
      <c r="B1920" s="290"/>
      <c r="C1920" s="404"/>
      <c r="D1920" s="291"/>
      <c r="E1920" s="291"/>
      <c r="F1920" s="292"/>
      <c r="G1920" s="291"/>
      <c r="H1920" s="291"/>
      <c r="I1920" s="293"/>
      <c r="J1920" s="291"/>
      <c r="K1920" s="291"/>
      <c r="L1920" s="293"/>
      <c r="M1920" s="291"/>
      <c r="N1920" s="289"/>
      <c r="O1920" s="358"/>
      <c r="P1920" s="402">
        <f t="shared" ref="P1920:Q1920" si="1918">IF(B1920=0,0,IF(YEAR(B1920)=$Q$1,MONTH(B1920)-$P$1+1,(YEAR(B1920)-$Q$1)*12-$P$1+1+MONTH(B1920)))</f>
        <v>0</v>
      </c>
      <c r="Q1920" s="402">
        <f t="shared" si="1918"/>
        <v>0</v>
      </c>
      <c r="R1920" s="356" t="e">
        <f t="shared" si="1325"/>
        <v>#N/A</v>
      </c>
      <c r="S1920" s="269" t="str">
        <f>IF(D1920="","",IF(OR(D1920=Plano!$A$1,D1920=Plano!$B$1),"entrada","saída"))</f>
        <v/>
      </c>
      <c r="T1920" s="406"/>
      <c r="U1920" s="406"/>
      <c r="V1920" s="269"/>
      <c r="W1920" s="269"/>
    </row>
    <row r="1921" spans="1:23" ht="12.75" customHeight="1" x14ac:dyDescent="0.2">
      <c r="A1921" s="289" t="str">
        <f t="shared" si="0"/>
        <v/>
      </c>
      <c r="B1921" s="290"/>
      <c r="C1921" s="404"/>
      <c r="D1921" s="291"/>
      <c r="E1921" s="291"/>
      <c r="F1921" s="292"/>
      <c r="G1921" s="291"/>
      <c r="H1921" s="291"/>
      <c r="I1921" s="293"/>
      <c r="J1921" s="291"/>
      <c r="K1921" s="291"/>
      <c r="L1921" s="293"/>
      <c r="M1921" s="291"/>
      <c r="N1921" s="289"/>
      <c r="O1921" s="358"/>
      <c r="P1921" s="402">
        <f t="shared" ref="P1921:Q1921" si="1919">IF(B1921=0,0,IF(YEAR(B1921)=$Q$1,MONTH(B1921)-$P$1+1,(YEAR(B1921)-$Q$1)*12-$P$1+1+MONTH(B1921)))</f>
        <v>0</v>
      </c>
      <c r="Q1921" s="402">
        <f t="shared" si="1919"/>
        <v>0</v>
      </c>
      <c r="R1921" s="356" t="e">
        <f t="shared" si="1325"/>
        <v>#N/A</v>
      </c>
      <c r="S1921" s="269" t="str">
        <f>IF(D1921="","",IF(OR(D1921=Plano!$A$1,D1921=Plano!$B$1),"entrada","saída"))</f>
        <v/>
      </c>
      <c r="T1921" s="406"/>
      <c r="U1921" s="406"/>
      <c r="V1921" s="269"/>
      <c r="W1921" s="269"/>
    </row>
    <row r="1922" spans="1:23" ht="12.75" customHeight="1" x14ac:dyDescent="0.2">
      <c r="A1922" s="289" t="str">
        <f t="shared" si="0"/>
        <v/>
      </c>
      <c r="B1922" s="290"/>
      <c r="C1922" s="404"/>
      <c r="D1922" s="291"/>
      <c r="E1922" s="291"/>
      <c r="F1922" s="292"/>
      <c r="G1922" s="291"/>
      <c r="H1922" s="291"/>
      <c r="I1922" s="293"/>
      <c r="J1922" s="291"/>
      <c r="K1922" s="291"/>
      <c r="L1922" s="293"/>
      <c r="M1922" s="291"/>
      <c r="N1922" s="289"/>
      <c r="O1922" s="358"/>
      <c r="P1922" s="402">
        <f t="shared" ref="P1922:Q1922" si="1920">IF(B1922=0,0,IF(YEAR(B1922)=$Q$1,MONTH(B1922)-$P$1+1,(YEAR(B1922)-$Q$1)*12-$P$1+1+MONTH(B1922)))</f>
        <v>0</v>
      </c>
      <c r="Q1922" s="402">
        <f t="shared" si="1920"/>
        <v>0</v>
      </c>
      <c r="R1922" s="356" t="e">
        <f t="shared" si="1325"/>
        <v>#N/A</v>
      </c>
      <c r="S1922" s="269" t="str">
        <f>IF(D1922="","",IF(OR(D1922=Plano!$A$1,D1922=Plano!$B$1),"entrada","saída"))</f>
        <v/>
      </c>
      <c r="T1922" s="406"/>
      <c r="U1922" s="406"/>
      <c r="V1922" s="269"/>
      <c r="W1922" s="269"/>
    </row>
    <row r="1923" spans="1:23" ht="12.75" customHeight="1" x14ac:dyDescent="0.2">
      <c r="A1923" s="289" t="str">
        <f t="shared" si="0"/>
        <v/>
      </c>
      <c r="B1923" s="290"/>
      <c r="C1923" s="404"/>
      <c r="D1923" s="291"/>
      <c r="E1923" s="291"/>
      <c r="F1923" s="292"/>
      <c r="G1923" s="291"/>
      <c r="H1923" s="291"/>
      <c r="I1923" s="293"/>
      <c r="J1923" s="291"/>
      <c r="K1923" s="291"/>
      <c r="L1923" s="293"/>
      <c r="M1923" s="291"/>
      <c r="N1923" s="289"/>
      <c r="O1923" s="358"/>
      <c r="P1923" s="402">
        <f t="shared" ref="P1923:Q1923" si="1921">IF(B1923=0,0,IF(YEAR(B1923)=$Q$1,MONTH(B1923)-$P$1+1,(YEAR(B1923)-$Q$1)*12-$P$1+1+MONTH(B1923)))</f>
        <v>0</v>
      </c>
      <c r="Q1923" s="402">
        <f t="shared" si="1921"/>
        <v>0</v>
      </c>
      <c r="R1923" s="356" t="e">
        <f t="shared" si="1325"/>
        <v>#N/A</v>
      </c>
      <c r="S1923" s="269" t="str">
        <f>IF(D1923="","",IF(OR(D1923=Plano!$A$1,D1923=Plano!$B$1),"entrada","saída"))</f>
        <v/>
      </c>
      <c r="T1923" s="406"/>
      <c r="U1923" s="406"/>
      <c r="V1923" s="269"/>
      <c r="W1923" s="269"/>
    </row>
    <row r="1924" spans="1:23" ht="12.75" customHeight="1" x14ac:dyDescent="0.2">
      <c r="A1924" s="289" t="str">
        <f t="shared" si="0"/>
        <v/>
      </c>
      <c r="B1924" s="290"/>
      <c r="C1924" s="404"/>
      <c r="D1924" s="291"/>
      <c r="E1924" s="291"/>
      <c r="F1924" s="292"/>
      <c r="G1924" s="291"/>
      <c r="H1924" s="291"/>
      <c r="I1924" s="293"/>
      <c r="J1924" s="291"/>
      <c r="K1924" s="291"/>
      <c r="L1924" s="293"/>
      <c r="M1924" s="291"/>
      <c r="N1924" s="289"/>
      <c r="O1924" s="358"/>
      <c r="P1924" s="402">
        <f t="shared" ref="P1924:Q1924" si="1922">IF(B1924=0,0,IF(YEAR(B1924)=$Q$1,MONTH(B1924)-$P$1+1,(YEAR(B1924)-$Q$1)*12-$P$1+1+MONTH(B1924)))</f>
        <v>0</v>
      </c>
      <c r="Q1924" s="402">
        <f t="shared" si="1922"/>
        <v>0</v>
      </c>
      <c r="R1924" s="356" t="e">
        <f t="shared" si="1325"/>
        <v>#N/A</v>
      </c>
      <c r="S1924" s="269" t="str">
        <f>IF(D1924="","",IF(OR(D1924=Plano!$A$1,D1924=Plano!$B$1),"entrada","saída"))</f>
        <v/>
      </c>
      <c r="T1924" s="406"/>
      <c r="U1924" s="406"/>
      <c r="V1924" s="269"/>
      <c r="W1924" s="269"/>
    </row>
    <row r="1925" spans="1:23" ht="12.75" customHeight="1" x14ac:dyDescent="0.2">
      <c r="A1925" s="289" t="str">
        <f t="shared" si="0"/>
        <v/>
      </c>
      <c r="B1925" s="290"/>
      <c r="C1925" s="404"/>
      <c r="D1925" s="291"/>
      <c r="E1925" s="291"/>
      <c r="F1925" s="292"/>
      <c r="G1925" s="291"/>
      <c r="H1925" s="291"/>
      <c r="I1925" s="293"/>
      <c r="J1925" s="291"/>
      <c r="K1925" s="291"/>
      <c r="L1925" s="293"/>
      <c r="M1925" s="291"/>
      <c r="N1925" s="289"/>
      <c r="O1925" s="358"/>
      <c r="P1925" s="402">
        <f t="shared" ref="P1925:Q1925" si="1923">IF(B1925=0,0,IF(YEAR(B1925)=$Q$1,MONTH(B1925)-$P$1+1,(YEAR(B1925)-$Q$1)*12-$P$1+1+MONTH(B1925)))</f>
        <v>0</v>
      </c>
      <c r="Q1925" s="402">
        <f t="shared" si="1923"/>
        <v>0</v>
      </c>
      <c r="R1925" s="356" t="e">
        <f t="shared" si="1325"/>
        <v>#N/A</v>
      </c>
      <c r="S1925" s="269" t="str">
        <f>IF(D1925="","",IF(OR(D1925=Plano!$A$1,D1925=Plano!$B$1),"entrada","saída"))</f>
        <v/>
      </c>
      <c r="T1925" s="406"/>
      <c r="U1925" s="406"/>
      <c r="V1925" s="269"/>
      <c r="W1925" s="269"/>
    </row>
    <row r="1926" spans="1:23" ht="12.75" customHeight="1" x14ac:dyDescent="0.2">
      <c r="A1926" s="289" t="str">
        <f t="shared" si="0"/>
        <v/>
      </c>
      <c r="B1926" s="290"/>
      <c r="C1926" s="404"/>
      <c r="D1926" s="291"/>
      <c r="E1926" s="291"/>
      <c r="F1926" s="292"/>
      <c r="G1926" s="291"/>
      <c r="H1926" s="291"/>
      <c r="I1926" s="293"/>
      <c r="J1926" s="291"/>
      <c r="K1926" s="291"/>
      <c r="L1926" s="293"/>
      <c r="M1926" s="291"/>
      <c r="N1926" s="289"/>
      <c r="O1926" s="358"/>
      <c r="P1926" s="402">
        <f t="shared" ref="P1926:Q1926" si="1924">IF(B1926=0,0,IF(YEAR(B1926)=$Q$1,MONTH(B1926)-$P$1+1,(YEAR(B1926)-$Q$1)*12-$P$1+1+MONTH(B1926)))</f>
        <v>0</v>
      </c>
      <c r="Q1926" s="402">
        <f t="shared" si="1924"/>
        <v>0</v>
      </c>
      <c r="R1926" s="356" t="e">
        <f t="shared" si="1325"/>
        <v>#N/A</v>
      </c>
      <c r="S1926" s="269" t="str">
        <f>IF(D1926="","",IF(OR(D1926=Plano!$A$1,D1926=Plano!$B$1),"entrada","saída"))</f>
        <v/>
      </c>
      <c r="T1926" s="406"/>
      <c r="U1926" s="406"/>
      <c r="V1926" s="269"/>
      <c r="W1926" s="269"/>
    </row>
    <row r="1927" spans="1:23" ht="12.75" customHeight="1" x14ac:dyDescent="0.2">
      <c r="A1927" s="289" t="str">
        <f t="shared" si="0"/>
        <v/>
      </c>
      <c r="B1927" s="290"/>
      <c r="C1927" s="404"/>
      <c r="D1927" s="291"/>
      <c r="E1927" s="291"/>
      <c r="F1927" s="292"/>
      <c r="G1927" s="291"/>
      <c r="H1927" s="291"/>
      <c r="I1927" s="293"/>
      <c r="J1927" s="291"/>
      <c r="K1927" s="291"/>
      <c r="L1927" s="293"/>
      <c r="M1927" s="291"/>
      <c r="N1927" s="289"/>
      <c r="O1927" s="358"/>
      <c r="P1927" s="402">
        <f t="shared" ref="P1927:Q1927" si="1925">IF(B1927=0,0,IF(YEAR(B1927)=$Q$1,MONTH(B1927)-$P$1+1,(YEAR(B1927)-$Q$1)*12-$P$1+1+MONTH(B1927)))</f>
        <v>0</v>
      </c>
      <c r="Q1927" s="402">
        <f t="shared" si="1925"/>
        <v>0</v>
      </c>
      <c r="R1927" s="356" t="e">
        <f t="shared" si="1325"/>
        <v>#N/A</v>
      </c>
      <c r="S1927" s="269" t="str">
        <f>IF(D1927="","",IF(OR(D1927=Plano!$A$1,D1927=Plano!$B$1),"entrada","saída"))</f>
        <v/>
      </c>
      <c r="T1927" s="406"/>
      <c r="U1927" s="406"/>
      <c r="V1927" s="269"/>
      <c r="W1927" s="269"/>
    </row>
    <row r="1928" spans="1:23" ht="12.75" customHeight="1" x14ac:dyDescent="0.2">
      <c r="A1928" s="289" t="str">
        <f t="shared" si="0"/>
        <v/>
      </c>
      <c r="B1928" s="290"/>
      <c r="C1928" s="404"/>
      <c r="D1928" s="291"/>
      <c r="E1928" s="291"/>
      <c r="F1928" s="292"/>
      <c r="G1928" s="291"/>
      <c r="H1928" s="291"/>
      <c r="I1928" s="293"/>
      <c r="J1928" s="291"/>
      <c r="K1928" s="291"/>
      <c r="L1928" s="293"/>
      <c r="M1928" s="291"/>
      <c r="N1928" s="289"/>
      <c r="O1928" s="358"/>
      <c r="P1928" s="402">
        <f t="shared" ref="P1928:Q1928" si="1926">IF(B1928=0,0,IF(YEAR(B1928)=$Q$1,MONTH(B1928)-$P$1+1,(YEAR(B1928)-$Q$1)*12-$P$1+1+MONTH(B1928)))</f>
        <v>0</v>
      </c>
      <c r="Q1928" s="402">
        <f t="shared" si="1926"/>
        <v>0</v>
      </c>
      <c r="R1928" s="356" t="e">
        <f t="shared" si="1325"/>
        <v>#N/A</v>
      </c>
      <c r="S1928" s="269" t="str">
        <f>IF(D1928="","",IF(OR(D1928=Plano!$A$1,D1928=Plano!$B$1),"entrada","saída"))</f>
        <v/>
      </c>
      <c r="T1928" s="406"/>
      <c r="U1928" s="406"/>
      <c r="V1928" s="269"/>
      <c r="W1928" s="269"/>
    </row>
    <row r="1929" spans="1:23" ht="12.75" customHeight="1" x14ac:dyDescent="0.2">
      <c r="A1929" s="289" t="str">
        <f t="shared" si="0"/>
        <v/>
      </c>
      <c r="B1929" s="290"/>
      <c r="C1929" s="404"/>
      <c r="D1929" s="291"/>
      <c r="E1929" s="291"/>
      <c r="F1929" s="292"/>
      <c r="G1929" s="291"/>
      <c r="H1929" s="291"/>
      <c r="I1929" s="293"/>
      <c r="J1929" s="291"/>
      <c r="K1929" s="291"/>
      <c r="L1929" s="293"/>
      <c r="M1929" s="291"/>
      <c r="N1929" s="289"/>
      <c r="O1929" s="358"/>
      <c r="P1929" s="402">
        <f t="shared" ref="P1929:Q1929" si="1927">IF(B1929=0,0,IF(YEAR(B1929)=$Q$1,MONTH(B1929)-$P$1+1,(YEAR(B1929)-$Q$1)*12-$P$1+1+MONTH(B1929)))</f>
        <v>0</v>
      </c>
      <c r="Q1929" s="402">
        <f t="shared" si="1927"/>
        <v>0</v>
      </c>
      <c r="R1929" s="356" t="e">
        <f t="shared" si="1325"/>
        <v>#N/A</v>
      </c>
      <c r="S1929" s="269" t="str">
        <f>IF(D1929="","",IF(OR(D1929=Plano!$A$1,D1929=Plano!$B$1),"entrada","saída"))</f>
        <v/>
      </c>
      <c r="T1929" s="406"/>
      <c r="U1929" s="406"/>
      <c r="V1929" s="269"/>
      <c r="W1929" s="269"/>
    </row>
    <row r="1930" spans="1:23" ht="12.75" customHeight="1" x14ac:dyDescent="0.2">
      <c r="A1930" s="289" t="str">
        <f t="shared" si="0"/>
        <v/>
      </c>
      <c r="B1930" s="290"/>
      <c r="C1930" s="404"/>
      <c r="D1930" s="291"/>
      <c r="E1930" s="291"/>
      <c r="F1930" s="292"/>
      <c r="G1930" s="291"/>
      <c r="H1930" s="291"/>
      <c r="I1930" s="293"/>
      <c r="J1930" s="291"/>
      <c r="K1930" s="291"/>
      <c r="L1930" s="293"/>
      <c r="M1930" s="291"/>
      <c r="N1930" s="289"/>
      <c r="O1930" s="358"/>
      <c r="P1930" s="402">
        <f t="shared" ref="P1930:Q1930" si="1928">IF(B1930=0,0,IF(YEAR(B1930)=$Q$1,MONTH(B1930)-$P$1+1,(YEAR(B1930)-$Q$1)*12-$P$1+1+MONTH(B1930)))</f>
        <v>0</v>
      </c>
      <c r="Q1930" s="402">
        <f t="shared" si="1928"/>
        <v>0</v>
      </c>
      <c r="R1930" s="356" t="e">
        <f t="shared" si="1325"/>
        <v>#N/A</v>
      </c>
      <c r="S1930" s="269" t="str">
        <f>IF(D1930="","",IF(OR(D1930=Plano!$A$1,D1930=Plano!$B$1),"entrada","saída"))</f>
        <v/>
      </c>
      <c r="T1930" s="406"/>
      <c r="U1930" s="406"/>
      <c r="V1930" s="269"/>
      <c r="W1930" s="269"/>
    </row>
    <row r="1931" spans="1:23" ht="12.75" customHeight="1" x14ac:dyDescent="0.2">
      <c r="A1931" s="289" t="str">
        <f t="shared" si="0"/>
        <v/>
      </c>
      <c r="B1931" s="290"/>
      <c r="C1931" s="404"/>
      <c r="D1931" s="291"/>
      <c r="E1931" s="291"/>
      <c r="F1931" s="292"/>
      <c r="G1931" s="291"/>
      <c r="H1931" s="291"/>
      <c r="I1931" s="293"/>
      <c r="J1931" s="291"/>
      <c r="K1931" s="291"/>
      <c r="L1931" s="293"/>
      <c r="M1931" s="291"/>
      <c r="N1931" s="289"/>
      <c r="O1931" s="358"/>
      <c r="P1931" s="402">
        <f t="shared" ref="P1931:Q1931" si="1929">IF(B1931=0,0,IF(YEAR(B1931)=$Q$1,MONTH(B1931)-$P$1+1,(YEAR(B1931)-$Q$1)*12-$P$1+1+MONTH(B1931)))</f>
        <v>0</v>
      </c>
      <c r="Q1931" s="402">
        <f t="shared" si="1929"/>
        <v>0</v>
      </c>
      <c r="R1931" s="356" t="e">
        <f t="shared" si="1325"/>
        <v>#N/A</v>
      </c>
      <c r="S1931" s="269" t="str">
        <f>IF(D1931="","",IF(OR(D1931=Plano!$A$1,D1931=Plano!$B$1),"entrada","saída"))</f>
        <v/>
      </c>
      <c r="T1931" s="406"/>
      <c r="U1931" s="406"/>
      <c r="V1931" s="269"/>
      <c r="W1931" s="269"/>
    </row>
    <row r="1932" spans="1:23" ht="12.75" customHeight="1" x14ac:dyDescent="0.2">
      <c r="A1932" s="289" t="str">
        <f t="shared" si="0"/>
        <v/>
      </c>
      <c r="B1932" s="290"/>
      <c r="C1932" s="404"/>
      <c r="D1932" s="291"/>
      <c r="E1932" s="291"/>
      <c r="F1932" s="292"/>
      <c r="G1932" s="291"/>
      <c r="H1932" s="291"/>
      <c r="I1932" s="293"/>
      <c r="J1932" s="291"/>
      <c r="K1932" s="291"/>
      <c r="L1932" s="293"/>
      <c r="M1932" s="291"/>
      <c r="N1932" s="289"/>
      <c r="O1932" s="358"/>
      <c r="P1932" s="402">
        <f t="shared" ref="P1932:Q1932" si="1930">IF(B1932=0,0,IF(YEAR(B1932)=$Q$1,MONTH(B1932)-$P$1+1,(YEAR(B1932)-$Q$1)*12-$P$1+1+MONTH(B1932)))</f>
        <v>0</v>
      </c>
      <c r="Q1932" s="402">
        <f t="shared" si="1930"/>
        <v>0</v>
      </c>
      <c r="R1932" s="356" t="e">
        <f t="shared" si="1325"/>
        <v>#N/A</v>
      </c>
      <c r="S1932" s="269" t="str">
        <f>IF(D1932="","",IF(OR(D1932=Plano!$A$1,D1932=Plano!$B$1),"entrada","saída"))</f>
        <v/>
      </c>
      <c r="T1932" s="406"/>
      <c r="U1932" s="406"/>
      <c r="V1932" s="269"/>
      <c r="W1932" s="269"/>
    </row>
    <row r="1933" spans="1:23" ht="12.75" customHeight="1" x14ac:dyDescent="0.2">
      <c r="A1933" s="289" t="str">
        <f t="shared" si="0"/>
        <v/>
      </c>
      <c r="B1933" s="290"/>
      <c r="C1933" s="404"/>
      <c r="D1933" s="291"/>
      <c r="E1933" s="291"/>
      <c r="F1933" s="292"/>
      <c r="G1933" s="291"/>
      <c r="H1933" s="291"/>
      <c r="I1933" s="293"/>
      <c r="J1933" s="291"/>
      <c r="K1933" s="291"/>
      <c r="L1933" s="293"/>
      <c r="M1933" s="291"/>
      <c r="N1933" s="289"/>
      <c r="O1933" s="358"/>
      <c r="P1933" s="402">
        <f t="shared" ref="P1933:Q1933" si="1931">IF(B1933=0,0,IF(YEAR(B1933)=$Q$1,MONTH(B1933)-$P$1+1,(YEAR(B1933)-$Q$1)*12-$P$1+1+MONTH(B1933)))</f>
        <v>0</v>
      </c>
      <c r="Q1933" s="402">
        <f t="shared" si="1931"/>
        <v>0</v>
      </c>
      <c r="R1933" s="356" t="e">
        <f t="shared" si="1325"/>
        <v>#N/A</v>
      </c>
      <c r="S1933" s="269" t="str">
        <f>IF(D1933="","",IF(OR(D1933=Plano!$A$1,D1933=Plano!$B$1),"entrada","saída"))</f>
        <v/>
      </c>
      <c r="T1933" s="406"/>
      <c r="U1933" s="406"/>
      <c r="V1933" s="269"/>
      <c r="W1933" s="269"/>
    </row>
    <row r="1934" spans="1:23" ht="12.75" customHeight="1" x14ac:dyDescent="0.2">
      <c r="A1934" s="289" t="str">
        <f t="shared" si="0"/>
        <v/>
      </c>
      <c r="B1934" s="290"/>
      <c r="C1934" s="404"/>
      <c r="D1934" s="291"/>
      <c r="E1934" s="291"/>
      <c r="F1934" s="292"/>
      <c r="G1934" s="291"/>
      <c r="H1934" s="291"/>
      <c r="I1934" s="293"/>
      <c r="J1934" s="291"/>
      <c r="K1934" s="291"/>
      <c r="L1934" s="293"/>
      <c r="M1934" s="291"/>
      <c r="N1934" s="289"/>
      <c r="O1934" s="358"/>
      <c r="P1934" s="402">
        <f t="shared" ref="P1934:Q1934" si="1932">IF(B1934=0,0,IF(YEAR(B1934)=$Q$1,MONTH(B1934)-$P$1+1,(YEAR(B1934)-$Q$1)*12-$P$1+1+MONTH(B1934)))</f>
        <v>0</v>
      </c>
      <c r="Q1934" s="402">
        <f t="shared" si="1932"/>
        <v>0</v>
      </c>
      <c r="R1934" s="356" t="e">
        <f t="shared" si="1325"/>
        <v>#N/A</v>
      </c>
      <c r="S1934" s="269" t="str">
        <f>IF(D1934="","",IF(OR(D1934=Plano!$A$1,D1934=Plano!$B$1),"entrada","saída"))</f>
        <v/>
      </c>
      <c r="T1934" s="406"/>
      <c r="U1934" s="406"/>
      <c r="V1934" s="269"/>
      <c r="W1934" s="269"/>
    </row>
    <row r="1935" spans="1:23" ht="12.75" customHeight="1" x14ac:dyDescent="0.2">
      <c r="A1935" s="289" t="str">
        <f t="shared" si="0"/>
        <v/>
      </c>
      <c r="B1935" s="290"/>
      <c r="C1935" s="404"/>
      <c r="D1935" s="291"/>
      <c r="E1935" s="291"/>
      <c r="F1935" s="292"/>
      <c r="G1935" s="291"/>
      <c r="H1935" s="291"/>
      <c r="I1935" s="293"/>
      <c r="J1935" s="291"/>
      <c r="K1935" s="291"/>
      <c r="L1935" s="293"/>
      <c r="M1935" s="291"/>
      <c r="N1935" s="289"/>
      <c r="O1935" s="358"/>
      <c r="P1935" s="402">
        <f t="shared" ref="P1935:Q1935" si="1933">IF(B1935=0,0,IF(YEAR(B1935)=$Q$1,MONTH(B1935)-$P$1+1,(YEAR(B1935)-$Q$1)*12-$P$1+1+MONTH(B1935)))</f>
        <v>0</v>
      </c>
      <c r="Q1935" s="402">
        <f t="shared" si="1933"/>
        <v>0</v>
      </c>
      <c r="R1935" s="356" t="e">
        <f t="shared" si="1325"/>
        <v>#N/A</v>
      </c>
      <c r="S1935" s="269" t="str">
        <f>IF(D1935="","",IF(OR(D1935=Plano!$A$1,D1935=Plano!$B$1),"entrada","saída"))</f>
        <v/>
      </c>
      <c r="T1935" s="406"/>
      <c r="U1935" s="406"/>
      <c r="V1935" s="269"/>
      <c r="W1935" s="269"/>
    </row>
    <row r="1936" spans="1:23" ht="12.75" customHeight="1" x14ac:dyDescent="0.2">
      <c r="A1936" s="289" t="str">
        <f t="shared" si="0"/>
        <v/>
      </c>
      <c r="B1936" s="290"/>
      <c r="C1936" s="404"/>
      <c r="D1936" s="291"/>
      <c r="E1936" s="291"/>
      <c r="F1936" s="292"/>
      <c r="G1936" s="291"/>
      <c r="H1936" s="291"/>
      <c r="I1936" s="293"/>
      <c r="J1936" s="291"/>
      <c r="K1936" s="291"/>
      <c r="L1936" s="293"/>
      <c r="M1936" s="291"/>
      <c r="N1936" s="289"/>
      <c r="O1936" s="358"/>
      <c r="P1936" s="402">
        <f t="shared" ref="P1936:Q1936" si="1934">IF(B1936=0,0,IF(YEAR(B1936)=$Q$1,MONTH(B1936)-$P$1+1,(YEAR(B1936)-$Q$1)*12-$P$1+1+MONTH(B1936)))</f>
        <v>0</v>
      </c>
      <c r="Q1936" s="402">
        <f t="shared" si="1934"/>
        <v>0</v>
      </c>
      <c r="R1936" s="356" t="e">
        <f t="shared" si="1325"/>
        <v>#N/A</v>
      </c>
      <c r="S1936" s="269" t="str">
        <f>IF(D1936="","",IF(OR(D1936=Plano!$A$1,D1936=Plano!$B$1),"entrada","saída"))</f>
        <v/>
      </c>
      <c r="T1936" s="406"/>
      <c r="U1936" s="406"/>
      <c r="V1936" s="269"/>
      <c r="W1936" s="269"/>
    </row>
    <row r="1937" spans="1:23" ht="12.75" customHeight="1" x14ac:dyDescent="0.2">
      <c r="A1937" s="289" t="str">
        <f t="shared" si="0"/>
        <v/>
      </c>
      <c r="B1937" s="290"/>
      <c r="C1937" s="404"/>
      <c r="D1937" s="291"/>
      <c r="E1937" s="291"/>
      <c r="F1937" s="292"/>
      <c r="G1937" s="291"/>
      <c r="H1937" s="291"/>
      <c r="I1937" s="293"/>
      <c r="J1937" s="291"/>
      <c r="K1937" s="291"/>
      <c r="L1937" s="293"/>
      <c r="M1937" s="291"/>
      <c r="N1937" s="289"/>
      <c r="O1937" s="358"/>
      <c r="P1937" s="402">
        <f t="shared" ref="P1937:Q1937" si="1935">IF(B1937=0,0,IF(YEAR(B1937)=$Q$1,MONTH(B1937)-$P$1+1,(YEAR(B1937)-$Q$1)*12-$P$1+1+MONTH(B1937)))</f>
        <v>0</v>
      </c>
      <c r="Q1937" s="402">
        <f t="shared" si="1935"/>
        <v>0</v>
      </c>
      <c r="R1937" s="356" t="e">
        <f t="shared" si="1325"/>
        <v>#N/A</v>
      </c>
      <c r="S1937" s="269" t="str">
        <f>IF(D1937="","",IF(OR(D1937=Plano!$A$1,D1937=Plano!$B$1),"entrada","saída"))</f>
        <v/>
      </c>
      <c r="T1937" s="406"/>
      <c r="U1937" s="406"/>
      <c r="V1937" s="269"/>
      <c r="W1937" s="269"/>
    </row>
    <row r="1938" spans="1:23" ht="12.75" customHeight="1" x14ac:dyDescent="0.2">
      <c r="A1938" s="289" t="str">
        <f t="shared" si="0"/>
        <v/>
      </c>
      <c r="B1938" s="290"/>
      <c r="C1938" s="404"/>
      <c r="D1938" s="291"/>
      <c r="E1938" s="291"/>
      <c r="F1938" s="292"/>
      <c r="G1938" s="291"/>
      <c r="H1938" s="291"/>
      <c r="I1938" s="293"/>
      <c r="J1938" s="291"/>
      <c r="K1938" s="291"/>
      <c r="L1938" s="293"/>
      <c r="M1938" s="291"/>
      <c r="N1938" s="289"/>
      <c r="O1938" s="358"/>
      <c r="P1938" s="402">
        <f t="shared" ref="P1938:Q1938" si="1936">IF(B1938=0,0,IF(YEAR(B1938)=$Q$1,MONTH(B1938)-$P$1+1,(YEAR(B1938)-$Q$1)*12-$P$1+1+MONTH(B1938)))</f>
        <v>0</v>
      </c>
      <c r="Q1938" s="402">
        <f t="shared" si="1936"/>
        <v>0</v>
      </c>
      <c r="R1938" s="356" t="e">
        <f t="shared" si="1325"/>
        <v>#N/A</v>
      </c>
      <c r="S1938" s="269" t="str">
        <f>IF(D1938="","",IF(OR(D1938=Plano!$A$1,D1938=Plano!$B$1),"entrada","saída"))</f>
        <v/>
      </c>
      <c r="T1938" s="406"/>
      <c r="U1938" s="406"/>
      <c r="V1938" s="269"/>
      <c r="W1938" s="269"/>
    </row>
    <row r="1939" spans="1:23" ht="12.75" customHeight="1" x14ac:dyDescent="0.2">
      <c r="A1939" s="289" t="str">
        <f t="shared" si="0"/>
        <v/>
      </c>
      <c r="B1939" s="290"/>
      <c r="C1939" s="404"/>
      <c r="D1939" s="291"/>
      <c r="E1939" s="291"/>
      <c r="F1939" s="292"/>
      <c r="G1939" s="291"/>
      <c r="H1939" s="291"/>
      <c r="I1939" s="293"/>
      <c r="J1939" s="291"/>
      <c r="K1939" s="291"/>
      <c r="L1939" s="293"/>
      <c r="M1939" s="291"/>
      <c r="N1939" s="289"/>
      <c r="O1939" s="358"/>
      <c r="P1939" s="402">
        <f t="shared" ref="P1939:Q1939" si="1937">IF(B1939=0,0,IF(YEAR(B1939)=$Q$1,MONTH(B1939)-$P$1+1,(YEAR(B1939)-$Q$1)*12-$P$1+1+MONTH(B1939)))</f>
        <v>0</v>
      </c>
      <c r="Q1939" s="402">
        <f t="shared" si="1937"/>
        <v>0</v>
      </c>
      <c r="R1939" s="356" t="e">
        <f t="shared" si="1325"/>
        <v>#N/A</v>
      </c>
      <c r="S1939" s="269" t="str">
        <f>IF(D1939="","",IF(OR(D1939=Plano!$A$1,D1939=Plano!$B$1),"entrada","saída"))</f>
        <v/>
      </c>
      <c r="T1939" s="406"/>
      <c r="U1939" s="406"/>
      <c r="V1939" s="269"/>
      <c r="W1939" s="269"/>
    </row>
    <row r="1940" spans="1:23" ht="12.75" customHeight="1" x14ac:dyDescent="0.2">
      <c r="A1940" s="289" t="str">
        <f t="shared" si="0"/>
        <v/>
      </c>
      <c r="B1940" s="290"/>
      <c r="C1940" s="404"/>
      <c r="D1940" s="291"/>
      <c r="E1940" s="291"/>
      <c r="F1940" s="292"/>
      <c r="G1940" s="291"/>
      <c r="H1940" s="291"/>
      <c r="I1940" s="293"/>
      <c r="J1940" s="291"/>
      <c r="K1940" s="291"/>
      <c r="L1940" s="293"/>
      <c r="M1940" s="291"/>
      <c r="N1940" s="289"/>
      <c r="O1940" s="358"/>
      <c r="P1940" s="402">
        <f t="shared" ref="P1940:Q1940" si="1938">IF(B1940=0,0,IF(YEAR(B1940)=$Q$1,MONTH(B1940)-$P$1+1,(YEAR(B1940)-$Q$1)*12-$P$1+1+MONTH(B1940)))</f>
        <v>0</v>
      </c>
      <c r="Q1940" s="402">
        <f t="shared" si="1938"/>
        <v>0</v>
      </c>
      <c r="R1940" s="356" t="e">
        <f t="shared" si="1325"/>
        <v>#N/A</v>
      </c>
      <c r="S1940" s="269" t="str">
        <f>IF(D1940="","",IF(OR(D1940=Plano!$A$1,D1940=Plano!$B$1),"entrada","saída"))</f>
        <v/>
      </c>
      <c r="T1940" s="406"/>
      <c r="U1940" s="406"/>
      <c r="V1940" s="269"/>
      <c r="W1940" s="269"/>
    </row>
    <row r="1941" spans="1:23" ht="12.75" customHeight="1" x14ac:dyDescent="0.2">
      <c r="A1941" s="289" t="str">
        <f t="shared" si="0"/>
        <v/>
      </c>
      <c r="B1941" s="290"/>
      <c r="C1941" s="404"/>
      <c r="D1941" s="291"/>
      <c r="E1941" s="291"/>
      <c r="F1941" s="292"/>
      <c r="G1941" s="291"/>
      <c r="H1941" s="291"/>
      <c r="I1941" s="293"/>
      <c r="J1941" s="291"/>
      <c r="K1941" s="291"/>
      <c r="L1941" s="293"/>
      <c r="M1941" s="291"/>
      <c r="N1941" s="289"/>
      <c r="O1941" s="358"/>
      <c r="P1941" s="402">
        <f t="shared" ref="P1941:Q1941" si="1939">IF(B1941=0,0,IF(YEAR(B1941)=$Q$1,MONTH(B1941)-$P$1+1,(YEAR(B1941)-$Q$1)*12-$P$1+1+MONTH(B1941)))</f>
        <v>0</v>
      </c>
      <c r="Q1941" s="402">
        <f t="shared" si="1939"/>
        <v>0</v>
      </c>
      <c r="R1941" s="356" t="e">
        <f t="shared" si="1325"/>
        <v>#N/A</v>
      </c>
      <c r="S1941" s="269" t="str">
        <f>IF(D1941="","",IF(OR(D1941=Plano!$A$1,D1941=Plano!$B$1),"entrada","saída"))</f>
        <v/>
      </c>
      <c r="T1941" s="406"/>
      <c r="U1941" s="406"/>
      <c r="V1941" s="269"/>
      <c r="W1941" s="269"/>
    </row>
    <row r="1942" spans="1:23" ht="12.75" customHeight="1" x14ac:dyDescent="0.2">
      <c r="A1942" s="289" t="str">
        <f t="shared" si="0"/>
        <v/>
      </c>
      <c r="B1942" s="290"/>
      <c r="C1942" s="404"/>
      <c r="D1942" s="291"/>
      <c r="E1942" s="291"/>
      <c r="F1942" s="292"/>
      <c r="G1942" s="291"/>
      <c r="H1942" s="291"/>
      <c r="I1942" s="293"/>
      <c r="J1942" s="291"/>
      <c r="K1942" s="291"/>
      <c r="L1942" s="293"/>
      <c r="M1942" s="291"/>
      <c r="N1942" s="289"/>
      <c r="O1942" s="358"/>
      <c r="P1942" s="402">
        <f t="shared" ref="P1942:Q1942" si="1940">IF(B1942=0,0,IF(YEAR(B1942)=$Q$1,MONTH(B1942)-$P$1+1,(YEAR(B1942)-$Q$1)*12-$P$1+1+MONTH(B1942)))</f>
        <v>0</v>
      </c>
      <c r="Q1942" s="402">
        <f t="shared" si="1940"/>
        <v>0</v>
      </c>
      <c r="R1942" s="356" t="e">
        <f t="shared" si="1325"/>
        <v>#N/A</v>
      </c>
      <c r="S1942" s="269" t="str">
        <f>IF(D1942="","",IF(OR(D1942=Plano!$A$1,D1942=Plano!$B$1),"entrada","saída"))</f>
        <v/>
      </c>
      <c r="T1942" s="406"/>
      <c r="U1942" s="406"/>
      <c r="V1942" s="269"/>
      <c r="W1942" s="269"/>
    </row>
    <row r="1943" spans="1:23" ht="12.75" customHeight="1" x14ac:dyDescent="0.2">
      <c r="A1943" s="289" t="str">
        <f t="shared" si="0"/>
        <v/>
      </c>
      <c r="B1943" s="290"/>
      <c r="C1943" s="404"/>
      <c r="D1943" s="291"/>
      <c r="E1943" s="291"/>
      <c r="F1943" s="292"/>
      <c r="G1943" s="291"/>
      <c r="H1943" s="291"/>
      <c r="I1943" s="293"/>
      <c r="J1943" s="291"/>
      <c r="K1943" s="291"/>
      <c r="L1943" s="293"/>
      <c r="M1943" s="291"/>
      <c r="N1943" s="289"/>
      <c r="O1943" s="358"/>
      <c r="P1943" s="402">
        <f t="shared" ref="P1943:Q1943" si="1941">IF(B1943=0,0,IF(YEAR(B1943)=$Q$1,MONTH(B1943)-$P$1+1,(YEAR(B1943)-$Q$1)*12-$P$1+1+MONTH(B1943)))</f>
        <v>0</v>
      </c>
      <c r="Q1943" s="402">
        <f t="shared" si="1941"/>
        <v>0</v>
      </c>
      <c r="R1943" s="356" t="e">
        <f t="shared" si="1325"/>
        <v>#N/A</v>
      </c>
      <c r="S1943" s="269" t="str">
        <f>IF(D1943="","",IF(OR(D1943=Plano!$A$1,D1943=Plano!$B$1),"entrada","saída"))</f>
        <v/>
      </c>
      <c r="T1943" s="406"/>
      <c r="U1943" s="406"/>
      <c r="V1943" s="269"/>
      <c r="W1943" s="269"/>
    </row>
    <row r="1944" spans="1:23" ht="12.75" customHeight="1" x14ac:dyDescent="0.2">
      <c r="A1944" s="289" t="str">
        <f t="shared" si="0"/>
        <v/>
      </c>
      <c r="B1944" s="290"/>
      <c r="C1944" s="404"/>
      <c r="D1944" s="291"/>
      <c r="E1944" s="291"/>
      <c r="F1944" s="292"/>
      <c r="G1944" s="291"/>
      <c r="H1944" s="291"/>
      <c r="I1944" s="293"/>
      <c r="J1944" s="291"/>
      <c r="K1944" s="291"/>
      <c r="L1944" s="293"/>
      <c r="M1944" s="291"/>
      <c r="N1944" s="289"/>
      <c r="O1944" s="358"/>
      <c r="P1944" s="402">
        <f t="shared" ref="P1944:Q1944" si="1942">IF(B1944=0,0,IF(YEAR(B1944)=$Q$1,MONTH(B1944)-$P$1+1,(YEAR(B1944)-$Q$1)*12-$P$1+1+MONTH(B1944)))</f>
        <v>0</v>
      </c>
      <c r="Q1944" s="402">
        <f t="shared" si="1942"/>
        <v>0</v>
      </c>
      <c r="R1944" s="356" t="e">
        <f t="shared" si="1325"/>
        <v>#N/A</v>
      </c>
      <c r="S1944" s="269" t="str">
        <f>IF(D1944="","",IF(OR(D1944=Plano!$A$1,D1944=Plano!$B$1),"entrada","saída"))</f>
        <v/>
      </c>
      <c r="T1944" s="406"/>
      <c r="U1944" s="406"/>
      <c r="V1944" s="269"/>
      <c r="W1944" s="269"/>
    </row>
    <row r="1945" spans="1:23" ht="12.75" customHeight="1" x14ac:dyDescent="0.2">
      <c r="A1945" s="289" t="str">
        <f t="shared" si="0"/>
        <v/>
      </c>
      <c r="B1945" s="290"/>
      <c r="C1945" s="404"/>
      <c r="D1945" s="291"/>
      <c r="E1945" s="291"/>
      <c r="F1945" s="292"/>
      <c r="G1945" s="291"/>
      <c r="H1945" s="291"/>
      <c r="I1945" s="293"/>
      <c r="J1945" s="291"/>
      <c r="K1945" s="291"/>
      <c r="L1945" s="293"/>
      <c r="M1945" s="291"/>
      <c r="N1945" s="289"/>
      <c r="O1945" s="358"/>
      <c r="P1945" s="402">
        <f t="shared" ref="P1945:Q1945" si="1943">IF(B1945=0,0,IF(YEAR(B1945)=$Q$1,MONTH(B1945)-$P$1+1,(YEAR(B1945)-$Q$1)*12-$P$1+1+MONTH(B1945)))</f>
        <v>0</v>
      </c>
      <c r="Q1945" s="402">
        <f t="shared" si="1943"/>
        <v>0</v>
      </c>
      <c r="R1945" s="356" t="e">
        <f t="shared" si="1325"/>
        <v>#N/A</v>
      </c>
      <c r="S1945" s="269" t="str">
        <f>IF(D1945="","",IF(OR(D1945=Plano!$A$1,D1945=Plano!$B$1),"entrada","saída"))</f>
        <v/>
      </c>
      <c r="T1945" s="406"/>
      <c r="U1945" s="406"/>
      <c r="V1945" s="269"/>
      <c r="W1945" s="269"/>
    </row>
    <row r="1946" spans="1:23" ht="12.75" customHeight="1" x14ac:dyDescent="0.2">
      <c r="A1946" s="289" t="str">
        <f t="shared" si="0"/>
        <v/>
      </c>
      <c r="B1946" s="290"/>
      <c r="C1946" s="404"/>
      <c r="D1946" s="291"/>
      <c r="E1946" s="291"/>
      <c r="F1946" s="292"/>
      <c r="G1946" s="291"/>
      <c r="H1946" s="291"/>
      <c r="I1946" s="293"/>
      <c r="J1946" s="291"/>
      <c r="K1946" s="291"/>
      <c r="L1946" s="293"/>
      <c r="M1946" s="291"/>
      <c r="N1946" s="289"/>
      <c r="O1946" s="358"/>
      <c r="P1946" s="402">
        <f t="shared" ref="P1946:Q1946" si="1944">IF(B1946=0,0,IF(YEAR(B1946)=$Q$1,MONTH(B1946)-$P$1+1,(YEAR(B1946)-$Q$1)*12-$P$1+1+MONTH(B1946)))</f>
        <v>0</v>
      </c>
      <c r="Q1946" s="402">
        <f t="shared" si="1944"/>
        <v>0</v>
      </c>
      <c r="R1946" s="356" t="e">
        <f t="shared" si="1325"/>
        <v>#N/A</v>
      </c>
      <c r="S1946" s="269" t="str">
        <f>IF(D1946="","",IF(OR(D1946=Plano!$A$1,D1946=Plano!$B$1),"entrada","saída"))</f>
        <v/>
      </c>
      <c r="T1946" s="406"/>
      <c r="U1946" s="406"/>
      <c r="V1946" s="269"/>
      <c r="W1946" s="269"/>
    </row>
    <row r="1947" spans="1:23" ht="12.75" customHeight="1" x14ac:dyDescent="0.2">
      <c r="A1947" s="289" t="str">
        <f t="shared" si="0"/>
        <v/>
      </c>
      <c r="B1947" s="290"/>
      <c r="C1947" s="404"/>
      <c r="D1947" s="291"/>
      <c r="E1947" s="291"/>
      <c r="F1947" s="292"/>
      <c r="G1947" s="291"/>
      <c r="H1947" s="291"/>
      <c r="I1947" s="293"/>
      <c r="J1947" s="291"/>
      <c r="K1947" s="291"/>
      <c r="L1947" s="293"/>
      <c r="M1947" s="291"/>
      <c r="N1947" s="289"/>
      <c r="O1947" s="358"/>
      <c r="P1947" s="402">
        <f t="shared" ref="P1947:Q1947" si="1945">IF(B1947=0,0,IF(YEAR(B1947)=$Q$1,MONTH(B1947)-$P$1+1,(YEAR(B1947)-$Q$1)*12-$P$1+1+MONTH(B1947)))</f>
        <v>0</v>
      </c>
      <c r="Q1947" s="402">
        <f t="shared" si="1945"/>
        <v>0</v>
      </c>
      <c r="R1947" s="356" t="e">
        <f t="shared" si="1325"/>
        <v>#N/A</v>
      </c>
      <c r="S1947" s="269" t="str">
        <f>IF(D1947="","",IF(OR(D1947=Plano!$A$1,D1947=Plano!$B$1),"entrada","saída"))</f>
        <v/>
      </c>
      <c r="T1947" s="269"/>
      <c r="U1947" s="269"/>
      <c r="V1947" s="269"/>
      <c r="W1947" s="269"/>
    </row>
    <row r="1948" spans="1:23" ht="12.75" customHeight="1" x14ac:dyDescent="0.2">
      <c r="A1948" s="289" t="str">
        <f t="shared" si="0"/>
        <v/>
      </c>
      <c r="B1948" s="290"/>
      <c r="C1948" s="404"/>
      <c r="D1948" s="291"/>
      <c r="E1948" s="291"/>
      <c r="F1948" s="292"/>
      <c r="G1948" s="291"/>
      <c r="H1948" s="291"/>
      <c r="I1948" s="293"/>
      <c r="J1948" s="291"/>
      <c r="K1948" s="291"/>
      <c r="L1948" s="293"/>
      <c r="M1948" s="291"/>
      <c r="N1948" s="289"/>
      <c r="O1948" s="358"/>
      <c r="P1948" s="402">
        <f t="shared" ref="P1948:Q1948" si="1946">IF(B1948=0,0,IF(YEAR(B1948)=$Q$1,MONTH(B1948)-$P$1+1,(YEAR(B1948)-$Q$1)*12-$P$1+1+MONTH(B1948)))</f>
        <v>0</v>
      </c>
      <c r="Q1948" s="402">
        <f t="shared" si="1946"/>
        <v>0</v>
      </c>
      <c r="R1948" s="356" t="e">
        <f t="shared" si="1325"/>
        <v>#N/A</v>
      </c>
      <c r="S1948" s="269" t="str">
        <f>IF(D1948="","",IF(OR(D1948=Plano!$A$1,D1948=Plano!$B$1),"entrada","saída"))</f>
        <v/>
      </c>
      <c r="T1948" s="269"/>
      <c r="U1948" s="269"/>
      <c r="V1948" s="269"/>
      <c r="W1948" s="269"/>
    </row>
    <row r="1949" spans="1:23" ht="12.75" customHeight="1" x14ac:dyDescent="0.2">
      <c r="A1949" s="289" t="str">
        <f t="shared" si="0"/>
        <v/>
      </c>
      <c r="B1949" s="290"/>
      <c r="C1949" s="404"/>
      <c r="D1949" s="291"/>
      <c r="E1949" s="291"/>
      <c r="F1949" s="292"/>
      <c r="G1949" s="291"/>
      <c r="H1949" s="291"/>
      <c r="I1949" s="293"/>
      <c r="J1949" s="291"/>
      <c r="K1949" s="291"/>
      <c r="L1949" s="293"/>
      <c r="M1949" s="291"/>
      <c r="N1949" s="289"/>
      <c r="O1949" s="358"/>
      <c r="P1949" s="402">
        <f t="shared" ref="P1949:Q1949" si="1947">IF(B1949=0,0,IF(YEAR(B1949)=$Q$1,MONTH(B1949)-$P$1+1,(YEAR(B1949)-$Q$1)*12-$P$1+1+MONTH(B1949)))</f>
        <v>0</v>
      </c>
      <c r="Q1949" s="402">
        <f t="shared" si="1947"/>
        <v>0</v>
      </c>
      <c r="R1949" s="356" t="e">
        <f t="shared" si="1325"/>
        <v>#N/A</v>
      </c>
      <c r="S1949" s="269" t="str">
        <f>IF(D1949="","",IF(OR(D1949=Plano!$A$1,D1949=Plano!$B$1),"entrada","saída"))</f>
        <v/>
      </c>
      <c r="T1949" s="269"/>
      <c r="U1949" s="269"/>
      <c r="V1949" s="269"/>
      <c r="W1949" s="269"/>
    </row>
    <row r="1950" spans="1:23" ht="12.75" customHeight="1" x14ac:dyDescent="0.2">
      <c r="A1950" s="289" t="str">
        <f t="shared" si="0"/>
        <v/>
      </c>
      <c r="B1950" s="290"/>
      <c r="C1950" s="404"/>
      <c r="D1950" s="291"/>
      <c r="E1950" s="291"/>
      <c r="F1950" s="292"/>
      <c r="G1950" s="291"/>
      <c r="H1950" s="291"/>
      <c r="I1950" s="293"/>
      <c r="J1950" s="291"/>
      <c r="K1950" s="291"/>
      <c r="L1950" s="293"/>
      <c r="M1950" s="291"/>
      <c r="N1950" s="289"/>
      <c r="O1950" s="358"/>
      <c r="P1950" s="402">
        <f t="shared" ref="P1950:Q1950" si="1948">IF(B1950=0,0,IF(YEAR(B1950)=$Q$1,MONTH(B1950)-$P$1+1,(YEAR(B1950)-$Q$1)*12-$P$1+1+MONTH(B1950)))</f>
        <v>0</v>
      </c>
      <c r="Q1950" s="402">
        <f t="shared" si="1948"/>
        <v>0</v>
      </c>
      <c r="R1950" s="356" t="e">
        <f t="shared" si="1325"/>
        <v>#N/A</v>
      </c>
      <c r="S1950" s="269" t="str">
        <f>IF(D1950="","",IF(OR(D1950=Plano!$A$1,D1950=Plano!$B$1),"entrada","saída"))</f>
        <v/>
      </c>
      <c r="T1950" s="269"/>
      <c r="U1950" s="269"/>
      <c r="V1950" s="269"/>
      <c r="W1950" s="269"/>
    </row>
    <row r="1951" spans="1:23" ht="12.75" customHeight="1" x14ac:dyDescent="0.2">
      <c r="A1951" s="289" t="str">
        <f t="shared" si="0"/>
        <v/>
      </c>
      <c r="B1951" s="290"/>
      <c r="C1951" s="404"/>
      <c r="D1951" s="291"/>
      <c r="E1951" s="291"/>
      <c r="F1951" s="292"/>
      <c r="G1951" s="291"/>
      <c r="H1951" s="291"/>
      <c r="I1951" s="293"/>
      <c r="J1951" s="291"/>
      <c r="K1951" s="291"/>
      <c r="L1951" s="293"/>
      <c r="M1951" s="291"/>
      <c r="N1951" s="289"/>
      <c r="O1951" s="358"/>
      <c r="P1951" s="402">
        <f t="shared" ref="P1951:Q1951" si="1949">IF(B1951=0,0,IF(YEAR(B1951)=$Q$1,MONTH(B1951)-$P$1+1,(YEAR(B1951)-$Q$1)*12-$P$1+1+MONTH(B1951)))</f>
        <v>0</v>
      </c>
      <c r="Q1951" s="402">
        <f t="shared" si="1949"/>
        <v>0</v>
      </c>
      <c r="R1951" s="356" t="e">
        <f t="shared" si="1325"/>
        <v>#N/A</v>
      </c>
      <c r="S1951" s="269" t="str">
        <f>IF(D1951="","",IF(OR(D1951=Plano!$A$1,D1951=Plano!$B$1),"entrada","saída"))</f>
        <v/>
      </c>
      <c r="T1951" s="269"/>
      <c r="U1951" s="269"/>
      <c r="V1951" s="269"/>
      <c r="W1951" s="269"/>
    </row>
    <row r="1952" spans="1:23" ht="12.75" customHeight="1" x14ac:dyDescent="0.2">
      <c r="A1952" s="289" t="str">
        <f t="shared" si="0"/>
        <v/>
      </c>
      <c r="B1952" s="290"/>
      <c r="C1952" s="404"/>
      <c r="D1952" s="291"/>
      <c r="E1952" s="291"/>
      <c r="F1952" s="292"/>
      <c r="G1952" s="291"/>
      <c r="H1952" s="291"/>
      <c r="I1952" s="293"/>
      <c r="J1952" s="291"/>
      <c r="K1952" s="291"/>
      <c r="L1952" s="293"/>
      <c r="M1952" s="291"/>
      <c r="N1952" s="289"/>
      <c r="O1952" s="358"/>
      <c r="P1952" s="402">
        <f t="shared" ref="P1952:Q1952" si="1950">IF(B1952=0,0,IF(YEAR(B1952)=$Q$1,MONTH(B1952)-$P$1+1,(YEAR(B1952)-$Q$1)*12-$P$1+1+MONTH(B1952)))</f>
        <v>0</v>
      </c>
      <c r="Q1952" s="402">
        <f t="shared" si="1950"/>
        <v>0</v>
      </c>
      <c r="R1952" s="356" t="e">
        <f t="shared" si="1325"/>
        <v>#N/A</v>
      </c>
      <c r="S1952" s="269" t="str">
        <f>IF(D1952="","",IF(OR(D1952=Plano!$A$1,D1952=Plano!$B$1),"entrada","saída"))</f>
        <v/>
      </c>
      <c r="T1952" s="269"/>
      <c r="U1952" s="269"/>
      <c r="V1952" s="269"/>
      <c r="W1952" s="269"/>
    </row>
    <row r="1953" spans="1:23" ht="12.75" customHeight="1" x14ac:dyDescent="0.2">
      <c r="A1953" s="289" t="str">
        <f t="shared" si="0"/>
        <v/>
      </c>
      <c r="B1953" s="290"/>
      <c r="C1953" s="404"/>
      <c r="D1953" s="291"/>
      <c r="E1953" s="291"/>
      <c r="F1953" s="292"/>
      <c r="G1953" s="291"/>
      <c r="H1953" s="291"/>
      <c r="I1953" s="293"/>
      <c r="J1953" s="291"/>
      <c r="K1953" s="291"/>
      <c r="L1953" s="293"/>
      <c r="M1953" s="291"/>
      <c r="N1953" s="289"/>
      <c r="O1953" s="358"/>
      <c r="P1953" s="402">
        <f t="shared" ref="P1953:Q1953" si="1951">IF(B1953=0,0,IF(YEAR(B1953)=$Q$1,MONTH(B1953)-$P$1+1,(YEAR(B1953)-$Q$1)*12-$P$1+1+MONTH(B1953)))</f>
        <v>0</v>
      </c>
      <c r="Q1953" s="402">
        <f t="shared" si="1951"/>
        <v>0</v>
      </c>
      <c r="R1953" s="356" t="e">
        <f t="shared" si="1325"/>
        <v>#N/A</v>
      </c>
      <c r="S1953" s="269" t="str">
        <f>IF(D1953="","",IF(OR(D1953=Plano!$A$1,D1953=Plano!$B$1),"entrada","saída"))</f>
        <v/>
      </c>
      <c r="T1953" s="269"/>
      <c r="U1953" s="269"/>
      <c r="V1953" s="269"/>
      <c r="W1953" s="269"/>
    </row>
    <row r="1954" spans="1:23" ht="12.75" customHeight="1" x14ac:dyDescent="0.2">
      <c r="A1954" s="289" t="str">
        <f t="shared" si="0"/>
        <v/>
      </c>
      <c r="B1954" s="290"/>
      <c r="C1954" s="404"/>
      <c r="D1954" s="291"/>
      <c r="E1954" s="291"/>
      <c r="F1954" s="292"/>
      <c r="G1954" s="291"/>
      <c r="H1954" s="291"/>
      <c r="I1954" s="293"/>
      <c r="J1954" s="291"/>
      <c r="K1954" s="291"/>
      <c r="L1954" s="293"/>
      <c r="M1954" s="291"/>
      <c r="N1954" s="289"/>
      <c r="O1954" s="358"/>
      <c r="P1954" s="402">
        <f t="shared" ref="P1954:Q1954" si="1952">IF(B1954=0,0,IF(YEAR(B1954)=$Q$1,MONTH(B1954)-$P$1+1,(YEAR(B1954)-$Q$1)*12-$P$1+1+MONTH(B1954)))</f>
        <v>0</v>
      </c>
      <c r="Q1954" s="402">
        <f t="shared" si="1952"/>
        <v>0</v>
      </c>
      <c r="R1954" s="356" t="e">
        <f t="shared" si="1325"/>
        <v>#N/A</v>
      </c>
      <c r="S1954" s="269" t="str">
        <f>IF(D1954="","",IF(OR(D1954=Plano!$A$1,D1954=Plano!$B$1),"entrada","saída"))</f>
        <v/>
      </c>
      <c r="T1954" s="269"/>
      <c r="U1954" s="269"/>
      <c r="V1954" s="269"/>
      <c r="W1954" s="269"/>
    </row>
    <row r="1955" spans="1:23" ht="12.75" customHeight="1" x14ac:dyDescent="0.2">
      <c r="A1955" s="289" t="str">
        <f t="shared" si="0"/>
        <v/>
      </c>
      <c r="B1955" s="290"/>
      <c r="C1955" s="404"/>
      <c r="D1955" s="291"/>
      <c r="E1955" s="291"/>
      <c r="F1955" s="292"/>
      <c r="G1955" s="291"/>
      <c r="H1955" s="291"/>
      <c r="I1955" s="293"/>
      <c r="J1955" s="291"/>
      <c r="K1955" s="291"/>
      <c r="L1955" s="293"/>
      <c r="M1955" s="291"/>
      <c r="N1955" s="289"/>
      <c r="O1955" s="358"/>
      <c r="P1955" s="402">
        <f t="shared" ref="P1955:Q1955" si="1953">IF(B1955=0,0,IF(YEAR(B1955)=$Q$1,MONTH(B1955)-$P$1+1,(YEAR(B1955)-$Q$1)*12-$P$1+1+MONTH(B1955)))</f>
        <v>0</v>
      </c>
      <c r="Q1955" s="402">
        <f t="shared" si="1953"/>
        <v>0</v>
      </c>
      <c r="R1955" s="356" t="e">
        <f t="shared" si="1325"/>
        <v>#N/A</v>
      </c>
      <c r="S1955" s="269" t="str">
        <f>IF(D1955="","",IF(OR(D1955=Plano!$A$1,D1955=Plano!$B$1),"entrada","saída"))</f>
        <v/>
      </c>
      <c r="T1955" s="269"/>
      <c r="U1955" s="269"/>
      <c r="V1955" s="269"/>
      <c r="W1955" s="269"/>
    </row>
    <row r="1956" spans="1:23" ht="12.75" customHeight="1" x14ac:dyDescent="0.2">
      <c r="A1956" s="289" t="str">
        <f t="shared" si="0"/>
        <v/>
      </c>
      <c r="B1956" s="290"/>
      <c r="C1956" s="404"/>
      <c r="D1956" s="291"/>
      <c r="E1956" s="291"/>
      <c r="F1956" s="292"/>
      <c r="G1956" s="291"/>
      <c r="H1956" s="291"/>
      <c r="I1956" s="293"/>
      <c r="J1956" s="291"/>
      <c r="K1956" s="291"/>
      <c r="L1956" s="293"/>
      <c r="M1956" s="291"/>
      <c r="N1956" s="289"/>
      <c r="O1956" s="358"/>
      <c r="P1956" s="402">
        <f t="shared" ref="P1956:Q1956" si="1954">IF(B1956=0,0,IF(YEAR(B1956)=$Q$1,MONTH(B1956)-$P$1+1,(YEAR(B1956)-$Q$1)*12-$P$1+1+MONTH(B1956)))</f>
        <v>0</v>
      </c>
      <c r="Q1956" s="402">
        <f t="shared" si="1954"/>
        <v>0</v>
      </c>
      <c r="R1956" s="356" t="e">
        <f t="shared" si="1325"/>
        <v>#N/A</v>
      </c>
      <c r="S1956" s="269" t="str">
        <f>IF(D1956="","",IF(OR(D1956=Plano!$A$1,D1956=Plano!$B$1),"entrada","saída"))</f>
        <v/>
      </c>
      <c r="T1956" s="269"/>
      <c r="U1956" s="269"/>
      <c r="V1956" s="269"/>
      <c r="W1956" s="269"/>
    </row>
    <row r="1957" spans="1:23" ht="12.75" customHeight="1" x14ac:dyDescent="0.2">
      <c r="A1957" s="289" t="str">
        <f t="shared" si="0"/>
        <v/>
      </c>
      <c r="B1957" s="290"/>
      <c r="C1957" s="404"/>
      <c r="D1957" s="291"/>
      <c r="E1957" s="291"/>
      <c r="F1957" s="292"/>
      <c r="G1957" s="291"/>
      <c r="H1957" s="291"/>
      <c r="I1957" s="293"/>
      <c r="J1957" s="291"/>
      <c r="K1957" s="291"/>
      <c r="L1957" s="293"/>
      <c r="M1957" s="291"/>
      <c r="N1957" s="289"/>
      <c r="O1957" s="358"/>
      <c r="P1957" s="402">
        <f t="shared" ref="P1957:Q1957" si="1955">IF(B1957=0,0,IF(YEAR(B1957)=$Q$1,MONTH(B1957)-$P$1+1,(YEAR(B1957)-$Q$1)*12-$P$1+1+MONTH(B1957)))</f>
        <v>0</v>
      </c>
      <c r="Q1957" s="402">
        <f t="shared" si="1955"/>
        <v>0</v>
      </c>
      <c r="R1957" s="356" t="e">
        <f t="shared" si="1325"/>
        <v>#N/A</v>
      </c>
      <c r="S1957" s="269" t="str">
        <f>IF(D1957="","",IF(OR(D1957=Plano!$A$1,D1957=Plano!$B$1),"entrada","saída"))</f>
        <v/>
      </c>
      <c r="T1957" s="269"/>
      <c r="U1957" s="269"/>
      <c r="V1957" s="269"/>
      <c r="W1957" s="269"/>
    </row>
    <row r="1958" spans="1:23" ht="12.75" customHeight="1" x14ac:dyDescent="0.2">
      <c r="A1958" s="289" t="str">
        <f t="shared" si="0"/>
        <v/>
      </c>
      <c r="B1958" s="290"/>
      <c r="C1958" s="404"/>
      <c r="D1958" s="291"/>
      <c r="E1958" s="291"/>
      <c r="F1958" s="292"/>
      <c r="G1958" s="291"/>
      <c r="H1958" s="291"/>
      <c r="I1958" s="293"/>
      <c r="J1958" s="291"/>
      <c r="K1958" s="291"/>
      <c r="L1958" s="293"/>
      <c r="M1958" s="291"/>
      <c r="N1958" s="289"/>
      <c r="O1958" s="358"/>
      <c r="P1958" s="402">
        <f t="shared" ref="P1958:Q1958" si="1956">IF(B1958=0,0,IF(YEAR(B1958)=$Q$1,MONTH(B1958)-$P$1+1,(YEAR(B1958)-$Q$1)*12-$P$1+1+MONTH(B1958)))</f>
        <v>0</v>
      </c>
      <c r="Q1958" s="402">
        <f t="shared" si="1956"/>
        <v>0</v>
      </c>
      <c r="R1958" s="356" t="e">
        <f t="shared" si="1325"/>
        <v>#N/A</v>
      </c>
      <c r="S1958" s="269" t="str">
        <f>IF(D1958="","",IF(OR(D1958=Plano!$A$1,D1958=Plano!$B$1),"entrada","saída"))</f>
        <v/>
      </c>
      <c r="T1958" s="269"/>
      <c r="U1958" s="269"/>
      <c r="V1958" s="269"/>
      <c r="W1958" s="269"/>
    </row>
    <row r="1959" spans="1:23" ht="12.75" customHeight="1" x14ac:dyDescent="0.2">
      <c r="A1959" s="289" t="str">
        <f t="shared" si="0"/>
        <v/>
      </c>
      <c r="B1959" s="290"/>
      <c r="C1959" s="404"/>
      <c r="D1959" s="291"/>
      <c r="E1959" s="291"/>
      <c r="F1959" s="292"/>
      <c r="G1959" s="291"/>
      <c r="H1959" s="291"/>
      <c r="I1959" s="293"/>
      <c r="J1959" s="291"/>
      <c r="K1959" s="291"/>
      <c r="L1959" s="293"/>
      <c r="M1959" s="291"/>
      <c r="N1959" s="289"/>
      <c r="O1959" s="358"/>
      <c r="P1959" s="402">
        <f t="shared" ref="P1959:Q1959" si="1957">IF(B1959=0,0,IF(YEAR(B1959)=$Q$1,MONTH(B1959)-$P$1+1,(YEAR(B1959)-$Q$1)*12-$P$1+1+MONTH(B1959)))</f>
        <v>0</v>
      </c>
      <c r="Q1959" s="402">
        <f t="shared" si="1957"/>
        <v>0</v>
      </c>
      <c r="R1959" s="356" t="e">
        <f t="shared" si="1325"/>
        <v>#N/A</v>
      </c>
      <c r="S1959" s="269" t="str">
        <f>IF(D1959="","",IF(OR(D1959=Plano!$A$1,D1959=Plano!$B$1),"entrada","saída"))</f>
        <v/>
      </c>
      <c r="T1959" s="269"/>
      <c r="U1959" s="269"/>
      <c r="V1959" s="269"/>
      <c r="W1959" s="269"/>
    </row>
    <row r="1960" spans="1:23" ht="12.75" customHeight="1" x14ac:dyDescent="0.2">
      <c r="A1960" s="289" t="str">
        <f t="shared" si="0"/>
        <v/>
      </c>
      <c r="B1960" s="290"/>
      <c r="C1960" s="404"/>
      <c r="D1960" s="291"/>
      <c r="E1960" s="291"/>
      <c r="F1960" s="292"/>
      <c r="G1960" s="291"/>
      <c r="H1960" s="291"/>
      <c r="I1960" s="293"/>
      <c r="J1960" s="291"/>
      <c r="K1960" s="291"/>
      <c r="L1960" s="293"/>
      <c r="M1960" s="291"/>
      <c r="N1960" s="289"/>
      <c r="O1960" s="358"/>
      <c r="P1960" s="402">
        <f t="shared" ref="P1960:Q1960" si="1958">IF(B1960=0,0,IF(YEAR(B1960)=$Q$1,MONTH(B1960)-$P$1+1,(YEAR(B1960)-$Q$1)*12-$P$1+1+MONTH(B1960)))</f>
        <v>0</v>
      </c>
      <c r="Q1960" s="402">
        <f t="shared" si="1958"/>
        <v>0</v>
      </c>
      <c r="R1960" s="356" t="e">
        <f t="shared" si="1325"/>
        <v>#N/A</v>
      </c>
      <c r="S1960" s="269" t="str">
        <f>IF(D1960="","",IF(OR(D1960=Plano!$A$1,D1960=Plano!$B$1),"entrada","saída"))</f>
        <v/>
      </c>
      <c r="T1960" s="269"/>
      <c r="U1960" s="269"/>
      <c r="V1960" s="269"/>
      <c r="W1960" s="269"/>
    </row>
    <row r="1961" spans="1:23" ht="12.75" customHeight="1" x14ac:dyDescent="0.2">
      <c r="A1961" s="289" t="str">
        <f t="shared" si="0"/>
        <v/>
      </c>
      <c r="B1961" s="290"/>
      <c r="C1961" s="404"/>
      <c r="D1961" s="291"/>
      <c r="E1961" s="291"/>
      <c r="F1961" s="292"/>
      <c r="G1961" s="291"/>
      <c r="H1961" s="291"/>
      <c r="I1961" s="293"/>
      <c r="J1961" s="291"/>
      <c r="K1961" s="291"/>
      <c r="L1961" s="293"/>
      <c r="M1961" s="291"/>
      <c r="N1961" s="289"/>
      <c r="O1961" s="358"/>
      <c r="P1961" s="402">
        <f t="shared" ref="P1961:Q1961" si="1959">IF(B1961=0,0,IF(YEAR(B1961)=$Q$1,MONTH(B1961)-$P$1+1,(YEAR(B1961)-$Q$1)*12-$P$1+1+MONTH(B1961)))</f>
        <v>0</v>
      </c>
      <c r="Q1961" s="402">
        <f t="shared" si="1959"/>
        <v>0</v>
      </c>
      <c r="R1961" s="356" t="e">
        <f t="shared" si="1325"/>
        <v>#N/A</v>
      </c>
      <c r="S1961" s="269" t="str">
        <f>IF(D1961="","",IF(OR(D1961=Plano!$A$1,D1961=Plano!$B$1),"entrada","saída"))</f>
        <v/>
      </c>
      <c r="T1961" s="269"/>
      <c r="U1961" s="269"/>
      <c r="V1961" s="269"/>
      <c r="W1961" s="269"/>
    </row>
    <row r="1962" spans="1:23" ht="12.75" customHeight="1" x14ac:dyDescent="0.2">
      <c r="A1962" s="289" t="str">
        <f t="shared" si="0"/>
        <v/>
      </c>
      <c r="B1962" s="290"/>
      <c r="C1962" s="404"/>
      <c r="D1962" s="291"/>
      <c r="E1962" s="291"/>
      <c r="F1962" s="292"/>
      <c r="G1962" s="291"/>
      <c r="H1962" s="291"/>
      <c r="I1962" s="293"/>
      <c r="J1962" s="291"/>
      <c r="K1962" s="291"/>
      <c r="L1962" s="293"/>
      <c r="M1962" s="291"/>
      <c r="N1962" s="289"/>
      <c r="O1962" s="358"/>
      <c r="P1962" s="402">
        <f t="shared" ref="P1962:Q1962" si="1960">IF(B1962=0,0,IF(YEAR(B1962)=$Q$1,MONTH(B1962)-$P$1+1,(YEAR(B1962)-$Q$1)*12-$P$1+1+MONTH(B1962)))</f>
        <v>0</v>
      </c>
      <c r="Q1962" s="402">
        <f t="shared" si="1960"/>
        <v>0</v>
      </c>
      <c r="R1962" s="356" t="e">
        <f t="shared" si="1325"/>
        <v>#N/A</v>
      </c>
      <c r="S1962" s="269" t="str">
        <f>IF(D1962="","",IF(OR(D1962=Plano!$A$1,D1962=Plano!$B$1),"entrada","saída"))</f>
        <v/>
      </c>
      <c r="T1962" s="269"/>
      <c r="U1962" s="269"/>
      <c r="V1962" s="269"/>
      <c r="W1962" s="269"/>
    </row>
    <row r="1963" spans="1:23" ht="12.75" customHeight="1" x14ac:dyDescent="0.2">
      <c r="A1963" s="289" t="str">
        <f t="shared" si="0"/>
        <v/>
      </c>
      <c r="B1963" s="290"/>
      <c r="C1963" s="404"/>
      <c r="D1963" s="291"/>
      <c r="E1963" s="291"/>
      <c r="F1963" s="292"/>
      <c r="G1963" s="291"/>
      <c r="H1963" s="291"/>
      <c r="I1963" s="293"/>
      <c r="J1963" s="291"/>
      <c r="K1963" s="291"/>
      <c r="L1963" s="293"/>
      <c r="M1963" s="291"/>
      <c r="N1963" s="289"/>
      <c r="O1963" s="358"/>
      <c r="P1963" s="402">
        <f t="shared" ref="P1963:Q1963" si="1961">IF(B1963=0,0,IF(YEAR(B1963)=$Q$1,MONTH(B1963)-$P$1+1,(YEAR(B1963)-$Q$1)*12-$P$1+1+MONTH(B1963)))</f>
        <v>0</v>
      </c>
      <c r="Q1963" s="402">
        <f t="shared" si="1961"/>
        <v>0</v>
      </c>
      <c r="R1963" s="356" t="e">
        <f t="shared" si="1325"/>
        <v>#N/A</v>
      </c>
      <c r="S1963" s="269" t="str">
        <f>IF(D1963="","",IF(OR(D1963=Plano!$A$1,D1963=Plano!$B$1),"entrada","saída"))</f>
        <v/>
      </c>
      <c r="T1963" s="269"/>
      <c r="U1963" s="269"/>
      <c r="V1963" s="269"/>
      <c r="W1963" s="269"/>
    </row>
    <row r="1964" spans="1:23" ht="12.75" customHeight="1" x14ac:dyDescent="0.2">
      <c r="A1964" s="289" t="str">
        <f t="shared" si="0"/>
        <v/>
      </c>
      <c r="B1964" s="290"/>
      <c r="C1964" s="404"/>
      <c r="D1964" s="291"/>
      <c r="E1964" s="291"/>
      <c r="F1964" s="292"/>
      <c r="G1964" s="291"/>
      <c r="H1964" s="291"/>
      <c r="I1964" s="293"/>
      <c r="J1964" s="291"/>
      <c r="K1964" s="291"/>
      <c r="L1964" s="293"/>
      <c r="M1964" s="291"/>
      <c r="N1964" s="289"/>
      <c r="O1964" s="358"/>
      <c r="P1964" s="402">
        <f t="shared" ref="P1964:Q1964" si="1962">IF(B1964=0,0,IF(YEAR(B1964)=$Q$1,MONTH(B1964)-$P$1+1,(YEAR(B1964)-$Q$1)*12-$P$1+1+MONTH(B1964)))</f>
        <v>0</v>
      </c>
      <c r="Q1964" s="402">
        <f t="shared" si="1962"/>
        <v>0</v>
      </c>
      <c r="R1964" s="356" t="e">
        <f t="shared" si="1325"/>
        <v>#N/A</v>
      </c>
      <c r="S1964" s="269" t="str">
        <f>IF(D1964="","",IF(OR(D1964=Plano!$A$1,D1964=Plano!$B$1),"entrada","saída"))</f>
        <v/>
      </c>
      <c r="T1964" s="269"/>
      <c r="U1964" s="269"/>
      <c r="V1964" s="269"/>
      <c r="W1964" s="269"/>
    </row>
    <row r="1965" spans="1:23" ht="12.75" customHeight="1" x14ac:dyDescent="0.2">
      <c r="A1965" s="289" t="str">
        <f t="shared" si="0"/>
        <v/>
      </c>
      <c r="B1965" s="290"/>
      <c r="C1965" s="404"/>
      <c r="D1965" s="291"/>
      <c r="E1965" s="291"/>
      <c r="F1965" s="292"/>
      <c r="G1965" s="291"/>
      <c r="H1965" s="291"/>
      <c r="I1965" s="293"/>
      <c r="J1965" s="291"/>
      <c r="K1965" s="291"/>
      <c r="L1965" s="293"/>
      <c r="M1965" s="291"/>
      <c r="N1965" s="289"/>
      <c r="O1965" s="358"/>
      <c r="P1965" s="402">
        <f t="shared" ref="P1965:Q1965" si="1963">IF(B1965=0,0,IF(YEAR(B1965)=$Q$1,MONTH(B1965)-$P$1+1,(YEAR(B1965)-$Q$1)*12-$P$1+1+MONTH(B1965)))</f>
        <v>0</v>
      </c>
      <c r="Q1965" s="402">
        <f t="shared" si="1963"/>
        <v>0</v>
      </c>
      <c r="R1965" s="356" t="e">
        <f t="shared" si="1325"/>
        <v>#N/A</v>
      </c>
      <c r="S1965" s="269" t="str">
        <f>IF(D1965="","",IF(OR(D1965=Plano!$A$1,D1965=Plano!$B$1),"entrada","saída"))</f>
        <v/>
      </c>
      <c r="T1965" s="269"/>
      <c r="U1965" s="269"/>
      <c r="V1965" s="269"/>
      <c r="W1965" s="269"/>
    </row>
    <row r="1966" spans="1:23" ht="12.75" customHeight="1" x14ac:dyDescent="0.2">
      <c r="A1966" s="289" t="str">
        <f t="shared" si="0"/>
        <v/>
      </c>
      <c r="B1966" s="290"/>
      <c r="C1966" s="404"/>
      <c r="D1966" s="291"/>
      <c r="E1966" s="291"/>
      <c r="F1966" s="292"/>
      <c r="G1966" s="291"/>
      <c r="H1966" s="291"/>
      <c r="I1966" s="293"/>
      <c r="J1966" s="291"/>
      <c r="K1966" s="291"/>
      <c r="L1966" s="293"/>
      <c r="M1966" s="291"/>
      <c r="N1966" s="289"/>
      <c r="O1966" s="358"/>
      <c r="P1966" s="402">
        <f t="shared" ref="P1966:Q1966" si="1964">IF(B1966=0,0,IF(YEAR(B1966)=$Q$1,MONTH(B1966)-$P$1+1,(YEAR(B1966)-$Q$1)*12-$P$1+1+MONTH(B1966)))</f>
        <v>0</v>
      </c>
      <c r="Q1966" s="402">
        <f t="shared" si="1964"/>
        <v>0</v>
      </c>
      <c r="R1966" s="356" t="e">
        <f t="shared" si="1325"/>
        <v>#N/A</v>
      </c>
      <c r="S1966" s="269" t="str">
        <f>IF(D1966="","",IF(OR(D1966=Plano!$A$1,D1966=Plano!$B$1),"entrada","saída"))</f>
        <v/>
      </c>
      <c r="T1966" s="269"/>
      <c r="U1966" s="269"/>
      <c r="V1966" s="269"/>
      <c r="W1966" s="269"/>
    </row>
    <row r="1967" spans="1:23" ht="12.75" customHeight="1" x14ac:dyDescent="0.2">
      <c r="A1967" s="289" t="str">
        <f t="shared" si="0"/>
        <v/>
      </c>
      <c r="B1967" s="290"/>
      <c r="C1967" s="404"/>
      <c r="D1967" s="291"/>
      <c r="E1967" s="291"/>
      <c r="F1967" s="292"/>
      <c r="G1967" s="291"/>
      <c r="H1967" s="291"/>
      <c r="I1967" s="293"/>
      <c r="J1967" s="291"/>
      <c r="K1967" s="291"/>
      <c r="L1967" s="293"/>
      <c r="M1967" s="291"/>
      <c r="N1967" s="289"/>
      <c r="O1967" s="358"/>
      <c r="P1967" s="402">
        <f t="shared" ref="P1967:Q1967" si="1965">IF(B1967=0,0,IF(YEAR(B1967)=$Q$1,MONTH(B1967)-$P$1+1,(YEAR(B1967)-$Q$1)*12-$P$1+1+MONTH(B1967)))</f>
        <v>0</v>
      </c>
      <c r="Q1967" s="402">
        <f t="shared" si="1965"/>
        <v>0</v>
      </c>
      <c r="R1967" s="356" t="e">
        <f t="shared" si="1325"/>
        <v>#N/A</v>
      </c>
      <c r="S1967" s="269" t="str">
        <f>IF(D1967="","",IF(OR(D1967=Plano!$A$1,D1967=Plano!$B$1),"entrada","saída"))</f>
        <v/>
      </c>
      <c r="T1967" s="269"/>
      <c r="U1967" s="269"/>
      <c r="V1967" s="269"/>
      <c r="W1967" s="269"/>
    </row>
    <row r="1968" spans="1:23" ht="12.75" customHeight="1" x14ac:dyDescent="0.2">
      <c r="A1968" s="289" t="str">
        <f t="shared" si="0"/>
        <v/>
      </c>
      <c r="B1968" s="290"/>
      <c r="C1968" s="404"/>
      <c r="D1968" s="291"/>
      <c r="E1968" s="291"/>
      <c r="F1968" s="292"/>
      <c r="G1968" s="291"/>
      <c r="H1968" s="291"/>
      <c r="I1968" s="293"/>
      <c r="J1968" s="291"/>
      <c r="K1968" s="291"/>
      <c r="L1968" s="293"/>
      <c r="M1968" s="291"/>
      <c r="N1968" s="289"/>
      <c r="O1968" s="358"/>
      <c r="P1968" s="402">
        <f t="shared" ref="P1968:Q1968" si="1966">IF(B1968=0,0,IF(YEAR(B1968)=$Q$1,MONTH(B1968)-$P$1+1,(YEAR(B1968)-$Q$1)*12-$P$1+1+MONTH(B1968)))</f>
        <v>0</v>
      </c>
      <c r="Q1968" s="402">
        <f t="shared" si="1966"/>
        <v>0</v>
      </c>
      <c r="R1968" s="356" t="e">
        <f t="shared" si="1325"/>
        <v>#N/A</v>
      </c>
      <c r="S1968" s="269" t="str">
        <f>IF(D1968="","",IF(OR(D1968=Plano!$A$1,D1968=Plano!$B$1),"entrada","saída"))</f>
        <v/>
      </c>
      <c r="T1968" s="269"/>
      <c r="U1968" s="269"/>
      <c r="V1968" s="269"/>
      <c r="W1968" s="269"/>
    </row>
    <row r="1969" spans="1:23" ht="12.75" customHeight="1" x14ac:dyDescent="0.2">
      <c r="A1969" s="289" t="str">
        <f t="shared" si="0"/>
        <v/>
      </c>
      <c r="B1969" s="290"/>
      <c r="C1969" s="404"/>
      <c r="D1969" s="291"/>
      <c r="E1969" s="291"/>
      <c r="F1969" s="292"/>
      <c r="G1969" s="291"/>
      <c r="H1969" s="291"/>
      <c r="I1969" s="293"/>
      <c r="J1969" s="291"/>
      <c r="K1969" s="291"/>
      <c r="L1969" s="293"/>
      <c r="M1969" s="291"/>
      <c r="N1969" s="289"/>
      <c r="O1969" s="358"/>
      <c r="P1969" s="402">
        <f t="shared" ref="P1969:Q1969" si="1967">IF(B1969=0,0,IF(YEAR(B1969)=$Q$1,MONTH(B1969)-$P$1+1,(YEAR(B1969)-$Q$1)*12-$P$1+1+MONTH(B1969)))</f>
        <v>0</v>
      </c>
      <c r="Q1969" s="402">
        <f t="shared" si="1967"/>
        <v>0</v>
      </c>
      <c r="R1969" s="356" t="e">
        <f t="shared" si="1325"/>
        <v>#N/A</v>
      </c>
      <c r="S1969" s="269" t="str">
        <f>IF(D1969="","",IF(OR(D1969=Plano!$A$1,D1969=Plano!$B$1),"entrada","saída"))</f>
        <v/>
      </c>
      <c r="T1969" s="269"/>
      <c r="U1969" s="269"/>
      <c r="V1969" s="269"/>
      <c r="W1969" s="269"/>
    </row>
    <row r="1970" spans="1:23" ht="12.75" customHeight="1" x14ac:dyDescent="0.2">
      <c r="A1970" s="289" t="str">
        <f t="shared" si="0"/>
        <v/>
      </c>
      <c r="B1970" s="290"/>
      <c r="C1970" s="404"/>
      <c r="D1970" s="291"/>
      <c r="E1970" s="291"/>
      <c r="F1970" s="292"/>
      <c r="G1970" s="291"/>
      <c r="H1970" s="291"/>
      <c r="I1970" s="293"/>
      <c r="J1970" s="291"/>
      <c r="K1970" s="291"/>
      <c r="L1970" s="293"/>
      <c r="M1970" s="291"/>
      <c r="N1970" s="289"/>
      <c r="O1970" s="358"/>
      <c r="P1970" s="402">
        <f t="shared" ref="P1970:Q1970" si="1968">IF(B1970=0,0,IF(YEAR(B1970)=$Q$1,MONTH(B1970)-$P$1+1,(YEAR(B1970)-$Q$1)*12-$P$1+1+MONTH(B1970)))</f>
        <v>0</v>
      </c>
      <c r="Q1970" s="402">
        <f t="shared" si="1968"/>
        <v>0</v>
      </c>
      <c r="R1970" s="356" t="e">
        <f t="shared" si="1325"/>
        <v>#N/A</v>
      </c>
      <c r="S1970" s="269" t="str">
        <f>IF(D1970="","",IF(OR(D1970=Plano!$A$1,D1970=Plano!$B$1),"entrada","saída"))</f>
        <v/>
      </c>
      <c r="T1970" s="269"/>
      <c r="U1970" s="269"/>
      <c r="V1970" s="269"/>
      <c r="W1970" s="269"/>
    </row>
    <row r="1971" spans="1:23" ht="12.75" customHeight="1" x14ac:dyDescent="0.2">
      <c r="A1971" s="289" t="str">
        <f t="shared" si="0"/>
        <v/>
      </c>
      <c r="B1971" s="290"/>
      <c r="C1971" s="404"/>
      <c r="D1971" s="291"/>
      <c r="E1971" s="291"/>
      <c r="F1971" s="292"/>
      <c r="G1971" s="291"/>
      <c r="H1971" s="291"/>
      <c r="I1971" s="293"/>
      <c r="J1971" s="291"/>
      <c r="K1971" s="291"/>
      <c r="L1971" s="293"/>
      <c r="M1971" s="291"/>
      <c r="N1971" s="289"/>
      <c r="O1971" s="358"/>
      <c r="P1971" s="402">
        <f t="shared" ref="P1971:Q1971" si="1969">IF(B1971=0,0,IF(YEAR(B1971)=$Q$1,MONTH(B1971)-$P$1+1,(YEAR(B1971)-$Q$1)*12-$P$1+1+MONTH(B1971)))</f>
        <v>0</v>
      </c>
      <c r="Q1971" s="402">
        <f t="shared" si="1969"/>
        <v>0</v>
      </c>
      <c r="R1971" s="356" t="e">
        <f t="shared" si="1325"/>
        <v>#N/A</v>
      </c>
      <c r="S1971" s="269" t="str">
        <f>IF(D1971="","",IF(OR(D1971=Plano!$A$1,D1971=Plano!$B$1),"entrada","saída"))</f>
        <v/>
      </c>
      <c r="T1971" s="269"/>
      <c r="U1971" s="269"/>
      <c r="V1971" s="269"/>
      <c r="W1971" s="269"/>
    </row>
    <row r="1972" spans="1:23" ht="12.75" customHeight="1" x14ac:dyDescent="0.2">
      <c r="A1972" s="289" t="str">
        <f t="shared" si="0"/>
        <v/>
      </c>
      <c r="B1972" s="290"/>
      <c r="C1972" s="404"/>
      <c r="D1972" s="291"/>
      <c r="E1972" s="291"/>
      <c r="F1972" s="292"/>
      <c r="G1972" s="291"/>
      <c r="H1972" s="291"/>
      <c r="I1972" s="293"/>
      <c r="J1972" s="291"/>
      <c r="K1972" s="291"/>
      <c r="L1972" s="293"/>
      <c r="M1972" s="291"/>
      <c r="N1972" s="289"/>
      <c r="O1972" s="358"/>
      <c r="P1972" s="402">
        <f t="shared" ref="P1972:Q1972" si="1970">IF(B1972=0,0,IF(YEAR(B1972)=$Q$1,MONTH(B1972)-$P$1+1,(YEAR(B1972)-$Q$1)*12-$P$1+1+MONTH(B1972)))</f>
        <v>0</v>
      </c>
      <c r="Q1972" s="402">
        <f t="shared" si="1970"/>
        <v>0</v>
      </c>
      <c r="R1972" s="356" t="e">
        <f t="shared" si="1325"/>
        <v>#N/A</v>
      </c>
      <c r="S1972" s="269" t="str">
        <f>IF(D1972="","",IF(OR(D1972=Plano!$A$1,D1972=Plano!$B$1),"entrada","saída"))</f>
        <v/>
      </c>
      <c r="T1972" s="269"/>
      <c r="U1972" s="269"/>
      <c r="V1972" s="269"/>
      <c r="W1972" s="269"/>
    </row>
    <row r="1973" spans="1:23" ht="12.75" customHeight="1" x14ac:dyDescent="0.2">
      <c r="A1973" s="289" t="str">
        <f t="shared" si="0"/>
        <v/>
      </c>
      <c r="B1973" s="290"/>
      <c r="C1973" s="404"/>
      <c r="D1973" s="291"/>
      <c r="E1973" s="291"/>
      <c r="F1973" s="292"/>
      <c r="G1973" s="291"/>
      <c r="H1973" s="291"/>
      <c r="I1973" s="293"/>
      <c r="J1973" s="291"/>
      <c r="K1973" s="291"/>
      <c r="L1973" s="293"/>
      <c r="M1973" s="291"/>
      <c r="N1973" s="289"/>
      <c r="O1973" s="358"/>
      <c r="P1973" s="402">
        <f t="shared" ref="P1973:Q1973" si="1971">IF(B1973=0,0,IF(YEAR(B1973)=$Q$1,MONTH(B1973)-$P$1+1,(YEAR(B1973)-$Q$1)*12-$P$1+1+MONTH(B1973)))</f>
        <v>0</v>
      </c>
      <c r="Q1973" s="402">
        <f t="shared" si="1971"/>
        <v>0</v>
      </c>
      <c r="R1973" s="356" t="e">
        <f t="shared" si="1325"/>
        <v>#N/A</v>
      </c>
      <c r="S1973" s="269" t="str">
        <f>IF(D1973="","",IF(OR(D1973=Plano!$A$1,D1973=Plano!$B$1),"entrada","saída"))</f>
        <v/>
      </c>
      <c r="T1973" s="269"/>
      <c r="U1973" s="269"/>
      <c r="V1973" s="269"/>
      <c r="W1973" s="269"/>
    </row>
    <row r="1974" spans="1:23" ht="12.75" customHeight="1" x14ac:dyDescent="0.2">
      <c r="A1974" s="289" t="str">
        <f t="shared" si="0"/>
        <v/>
      </c>
      <c r="B1974" s="290"/>
      <c r="C1974" s="404"/>
      <c r="D1974" s="291"/>
      <c r="E1974" s="291"/>
      <c r="F1974" s="292"/>
      <c r="G1974" s="291"/>
      <c r="H1974" s="291"/>
      <c r="I1974" s="293"/>
      <c r="J1974" s="291"/>
      <c r="K1974" s="291"/>
      <c r="L1974" s="293"/>
      <c r="M1974" s="291"/>
      <c r="N1974" s="289"/>
      <c r="O1974" s="358"/>
      <c r="P1974" s="402">
        <f t="shared" ref="P1974:Q1974" si="1972">IF(B1974=0,0,IF(YEAR(B1974)=$Q$1,MONTH(B1974)-$P$1+1,(YEAR(B1974)-$Q$1)*12-$P$1+1+MONTH(B1974)))</f>
        <v>0</v>
      </c>
      <c r="Q1974" s="402">
        <f t="shared" si="1972"/>
        <v>0</v>
      </c>
      <c r="R1974" s="356" t="e">
        <f t="shared" si="1325"/>
        <v>#N/A</v>
      </c>
      <c r="S1974" s="269" t="str">
        <f>IF(D1974="","",IF(OR(D1974=Plano!$A$1,D1974=Plano!$B$1),"entrada","saída"))</f>
        <v/>
      </c>
      <c r="T1974" s="269"/>
      <c r="U1974" s="269"/>
      <c r="V1974" s="269"/>
      <c r="W1974" s="269"/>
    </row>
    <row r="1975" spans="1:23" ht="12.75" customHeight="1" x14ac:dyDescent="0.2">
      <c r="A1975" s="289" t="str">
        <f t="shared" si="0"/>
        <v/>
      </c>
      <c r="B1975" s="290"/>
      <c r="C1975" s="404"/>
      <c r="D1975" s="291"/>
      <c r="E1975" s="291"/>
      <c r="F1975" s="292"/>
      <c r="G1975" s="291"/>
      <c r="H1975" s="291"/>
      <c r="I1975" s="293"/>
      <c r="J1975" s="291"/>
      <c r="K1975" s="291"/>
      <c r="L1975" s="293"/>
      <c r="M1975" s="291"/>
      <c r="N1975" s="289"/>
      <c r="O1975" s="358"/>
      <c r="P1975" s="402">
        <f t="shared" ref="P1975:Q1975" si="1973">IF(B1975=0,0,IF(YEAR(B1975)=$Q$1,MONTH(B1975)-$P$1+1,(YEAR(B1975)-$Q$1)*12-$P$1+1+MONTH(B1975)))</f>
        <v>0</v>
      </c>
      <c r="Q1975" s="402">
        <f t="shared" si="1973"/>
        <v>0</v>
      </c>
      <c r="R1975" s="356" t="e">
        <f t="shared" si="1325"/>
        <v>#N/A</v>
      </c>
      <c r="S1975" s="269" t="str">
        <f>IF(D1975="","",IF(OR(D1975=Plano!$A$1,D1975=Plano!$B$1),"entrada","saída"))</f>
        <v/>
      </c>
      <c r="T1975" s="269"/>
      <c r="U1975" s="269"/>
      <c r="V1975" s="269"/>
      <c r="W1975" s="269"/>
    </row>
    <row r="1976" spans="1:23" ht="12.75" customHeight="1" x14ac:dyDescent="0.2">
      <c r="A1976" s="289" t="str">
        <f t="shared" si="0"/>
        <v/>
      </c>
      <c r="B1976" s="290"/>
      <c r="C1976" s="404"/>
      <c r="D1976" s="291"/>
      <c r="E1976" s="291"/>
      <c r="F1976" s="292"/>
      <c r="G1976" s="291"/>
      <c r="H1976" s="291"/>
      <c r="I1976" s="293"/>
      <c r="J1976" s="291"/>
      <c r="K1976" s="291"/>
      <c r="L1976" s="293"/>
      <c r="M1976" s="291"/>
      <c r="N1976" s="289"/>
      <c r="O1976" s="358"/>
      <c r="P1976" s="402">
        <f t="shared" ref="P1976:Q1976" si="1974">IF(B1976=0,0,IF(YEAR(B1976)=$Q$1,MONTH(B1976)-$P$1+1,(YEAR(B1976)-$Q$1)*12-$P$1+1+MONTH(B1976)))</f>
        <v>0</v>
      </c>
      <c r="Q1976" s="402">
        <f t="shared" si="1974"/>
        <v>0</v>
      </c>
      <c r="R1976" s="356" t="e">
        <f t="shared" si="1325"/>
        <v>#N/A</v>
      </c>
      <c r="S1976" s="269" t="str">
        <f>IF(D1976="","",IF(OR(D1976=Plano!$A$1,D1976=Plano!$B$1),"entrada","saída"))</f>
        <v/>
      </c>
      <c r="T1976" s="269"/>
      <c r="U1976" s="269"/>
      <c r="V1976" s="269"/>
      <c r="W1976" s="269"/>
    </row>
    <row r="1977" spans="1:23" ht="12.75" customHeight="1" x14ac:dyDescent="0.2">
      <c r="A1977" s="289" t="str">
        <f t="shared" si="0"/>
        <v/>
      </c>
      <c r="B1977" s="290"/>
      <c r="C1977" s="404"/>
      <c r="D1977" s="291"/>
      <c r="E1977" s="291"/>
      <c r="F1977" s="292"/>
      <c r="G1977" s="291"/>
      <c r="H1977" s="291"/>
      <c r="I1977" s="293"/>
      <c r="J1977" s="291"/>
      <c r="K1977" s="291"/>
      <c r="L1977" s="293"/>
      <c r="M1977" s="291"/>
      <c r="N1977" s="289"/>
      <c r="O1977" s="358"/>
      <c r="P1977" s="402">
        <f t="shared" ref="P1977:Q1977" si="1975">IF(B1977=0,0,IF(YEAR(B1977)=$Q$1,MONTH(B1977)-$P$1+1,(YEAR(B1977)-$Q$1)*12-$P$1+1+MONTH(B1977)))</f>
        <v>0</v>
      </c>
      <c r="Q1977" s="402">
        <f t="shared" si="1975"/>
        <v>0</v>
      </c>
      <c r="R1977" s="356" t="e">
        <f t="shared" si="1325"/>
        <v>#N/A</v>
      </c>
      <c r="S1977" s="269" t="str">
        <f>IF(D1977="","",IF(OR(D1977=Plano!$A$1,D1977=Plano!$B$1),"entrada","saída"))</f>
        <v/>
      </c>
      <c r="T1977" s="269"/>
      <c r="U1977" s="269"/>
      <c r="V1977" s="269"/>
      <c r="W1977" s="269"/>
    </row>
    <row r="1978" spans="1:23" ht="12.75" customHeight="1" x14ac:dyDescent="0.2">
      <c r="A1978" s="289" t="str">
        <f t="shared" si="0"/>
        <v/>
      </c>
      <c r="B1978" s="290"/>
      <c r="C1978" s="404"/>
      <c r="D1978" s="291"/>
      <c r="E1978" s="291"/>
      <c r="F1978" s="292"/>
      <c r="G1978" s="291"/>
      <c r="H1978" s="291"/>
      <c r="I1978" s="293"/>
      <c r="J1978" s="291"/>
      <c r="K1978" s="291"/>
      <c r="L1978" s="293"/>
      <c r="M1978" s="291"/>
      <c r="N1978" s="289"/>
      <c r="O1978" s="358"/>
      <c r="P1978" s="402">
        <f t="shared" ref="P1978:Q1978" si="1976">IF(B1978=0,0,IF(YEAR(B1978)=$Q$1,MONTH(B1978)-$P$1+1,(YEAR(B1978)-$Q$1)*12-$P$1+1+MONTH(B1978)))</f>
        <v>0</v>
      </c>
      <c r="Q1978" s="402">
        <f t="shared" si="1976"/>
        <v>0</v>
      </c>
      <c r="R1978" s="356" t="e">
        <f t="shared" si="1325"/>
        <v>#N/A</v>
      </c>
      <c r="S1978" s="269" t="str">
        <f>IF(D1978="","",IF(OR(D1978=Plano!$A$1,D1978=Plano!$B$1),"entrada","saída"))</f>
        <v/>
      </c>
      <c r="T1978" s="269"/>
      <c r="U1978" s="269"/>
      <c r="V1978" s="269"/>
      <c r="W1978" s="269"/>
    </row>
    <row r="1979" spans="1:23" ht="12.75" customHeight="1" x14ac:dyDescent="0.2">
      <c r="A1979" s="289" t="str">
        <f t="shared" si="0"/>
        <v/>
      </c>
      <c r="B1979" s="290"/>
      <c r="C1979" s="404"/>
      <c r="D1979" s="291"/>
      <c r="E1979" s="291"/>
      <c r="F1979" s="292"/>
      <c r="G1979" s="291"/>
      <c r="H1979" s="291"/>
      <c r="I1979" s="293"/>
      <c r="J1979" s="291"/>
      <c r="K1979" s="291"/>
      <c r="L1979" s="293"/>
      <c r="M1979" s="291"/>
      <c r="N1979" s="289"/>
      <c r="O1979" s="358"/>
      <c r="P1979" s="402">
        <f t="shared" ref="P1979:Q1979" si="1977">IF(B1979=0,0,IF(YEAR(B1979)=$Q$1,MONTH(B1979)-$P$1+1,(YEAR(B1979)-$Q$1)*12-$P$1+1+MONTH(B1979)))</f>
        <v>0</v>
      </c>
      <c r="Q1979" s="402">
        <f t="shared" si="1977"/>
        <v>0</v>
      </c>
      <c r="R1979" s="356" t="e">
        <f t="shared" si="1325"/>
        <v>#N/A</v>
      </c>
      <c r="S1979" s="269" t="str">
        <f>IF(D1979="","",IF(OR(D1979=Plano!$A$1,D1979=Plano!$B$1),"entrada","saída"))</f>
        <v/>
      </c>
      <c r="T1979" s="269"/>
      <c r="U1979" s="269"/>
      <c r="V1979" s="269"/>
      <c r="W1979" s="269"/>
    </row>
    <row r="1980" spans="1:23" ht="12.75" customHeight="1" x14ac:dyDescent="0.2">
      <c r="A1980" s="289" t="str">
        <f t="shared" si="0"/>
        <v/>
      </c>
      <c r="B1980" s="290"/>
      <c r="C1980" s="404"/>
      <c r="D1980" s="291"/>
      <c r="E1980" s="291"/>
      <c r="F1980" s="292"/>
      <c r="G1980" s="291"/>
      <c r="H1980" s="291"/>
      <c r="I1980" s="293"/>
      <c r="J1980" s="291"/>
      <c r="K1980" s="291"/>
      <c r="L1980" s="293"/>
      <c r="M1980" s="291"/>
      <c r="N1980" s="289"/>
      <c r="O1980" s="358"/>
      <c r="P1980" s="402">
        <f t="shared" ref="P1980:Q1980" si="1978">IF(B1980=0,0,IF(YEAR(B1980)=$Q$1,MONTH(B1980)-$P$1+1,(YEAR(B1980)-$Q$1)*12-$P$1+1+MONTH(B1980)))</f>
        <v>0</v>
      </c>
      <c r="Q1980" s="402">
        <f t="shared" si="1978"/>
        <v>0</v>
      </c>
      <c r="R1980" s="356" t="e">
        <f t="shared" si="1325"/>
        <v>#N/A</v>
      </c>
      <c r="S1980" s="269" t="str">
        <f>IF(D1980="","",IF(OR(D1980=Plano!$A$1,D1980=Plano!$B$1),"entrada","saída"))</f>
        <v/>
      </c>
      <c r="T1980" s="269"/>
      <c r="U1980" s="269"/>
      <c r="V1980" s="269"/>
      <c r="W1980" s="269"/>
    </row>
    <row r="1981" spans="1:23" ht="12.75" customHeight="1" x14ac:dyDescent="0.2">
      <c r="A1981" s="289" t="str">
        <f t="shared" si="0"/>
        <v/>
      </c>
      <c r="B1981" s="290"/>
      <c r="C1981" s="404"/>
      <c r="D1981" s="291"/>
      <c r="E1981" s="291"/>
      <c r="F1981" s="292"/>
      <c r="G1981" s="291"/>
      <c r="H1981" s="291"/>
      <c r="I1981" s="293"/>
      <c r="J1981" s="291"/>
      <c r="K1981" s="291"/>
      <c r="L1981" s="293"/>
      <c r="M1981" s="291"/>
      <c r="N1981" s="289"/>
      <c r="O1981" s="358"/>
      <c r="P1981" s="402">
        <f t="shared" ref="P1981:Q1981" si="1979">IF(B1981=0,0,IF(YEAR(B1981)=$Q$1,MONTH(B1981)-$P$1+1,(YEAR(B1981)-$Q$1)*12-$P$1+1+MONTH(B1981)))</f>
        <v>0</v>
      </c>
      <c r="Q1981" s="402">
        <f t="shared" si="1979"/>
        <v>0</v>
      </c>
      <c r="R1981" s="356" t="e">
        <f t="shared" si="1325"/>
        <v>#N/A</v>
      </c>
      <c r="S1981" s="269" t="str">
        <f>IF(D1981="","",IF(OR(D1981=Plano!$A$1,D1981=Plano!$B$1),"entrada","saída"))</f>
        <v/>
      </c>
      <c r="T1981" s="269"/>
      <c r="U1981" s="269"/>
      <c r="V1981" s="269"/>
      <c r="W1981" s="269"/>
    </row>
    <row r="1982" spans="1:23" ht="12.75" customHeight="1" x14ac:dyDescent="0.2">
      <c r="A1982" s="289" t="str">
        <f t="shared" si="0"/>
        <v/>
      </c>
      <c r="B1982" s="290"/>
      <c r="C1982" s="404"/>
      <c r="D1982" s="291"/>
      <c r="E1982" s="291"/>
      <c r="F1982" s="292"/>
      <c r="G1982" s="291"/>
      <c r="H1982" s="291"/>
      <c r="I1982" s="293"/>
      <c r="J1982" s="291"/>
      <c r="K1982" s="291"/>
      <c r="L1982" s="293"/>
      <c r="M1982" s="291"/>
      <c r="N1982" s="289"/>
      <c r="O1982" s="358"/>
      <c r="P1982" s="402">
        <f t="shared" ref="P1982:Q1982" si="1980">IF(B1982=0,0,IF(YEAR(B1982)=$Q$1,MONTH(B1982)-$P$1+1,(YEAR(B1982)-$Q$1)*12-$P$1+1+MONTH(B1982)))</f>
        <v>0</v>
      </c>
      <c r="Q1982" s="402">
        <f t="shared" si="1980"/>
        <v>0</v>
      </c>
      <c r="R1982" s="356" t="e">
        <f t="shared" si="1325"/>
        <v>#N/A</v>
      </c>
      <c r="S1982" s="269" t="str">
        <f>IF(D1982="","",IF(OR(D1982=Plano!$A$1,D1982=Plano!$B$1),"entrada","saída"))</f>
        <v/>
      </c>
      <c r="T1982" s="269"/>
      <c r="U1982" s="269"/>
      <c r="V1982" s="269"/>
      <c r="W1982" s="269"/>
    </row>
    <row r="1983" spans="1:23" ht="12.75" customHeight="1" x14ac:dyDescent="0.2">
      <c r="A1983" s="289" t="str">
        <f t="shared" si="0"/>
        <v/>
      </c>
      <c r="B1983" s="290"/>
      <c r="C1983" s="404"/>
      <c r="D1983" s="291"/>
      <c r="E1983" s="291"/>
      <c r="F1983" s="292"/>
      <c r="G1983" s="291"/>
      <c r="H1983" s="291"/>
      <c r="I1983" s="293"/>
      <c r="J1983" s="291"/>
      <c r="K1983" s="291"/>
      <c r="L1983" s="293"/>
      <c r="M1983" s="291"/>
      <c r="N1983" s="289"/>
      <c r="O1983" s="358"/>
      <c r="P1983" s="402">
        <f t="shared" ref="P1983:Q1983" si="1981">IF(B1983=0,0,IF(YEAR(B1983)=$Q$1,MONTH(B1983)-$P$1+1,(YEAR(B1983)-$Q$1)*12-$P$1+1+MONTH(B1983)))</f>
        <v>0</v>
      </c>
      <c r="Q1983" s="402">
        <f t="shared" si="1981"/>
        <v>0</v>
      </c>
      <c r="R1983" s="356" t="e">
        <f t="shared" si="1325"/>
        <v>#N/A</v>
      </c>
      <c r="S1983" s="269" t="str">
        <f>IF(D1983="","",IF(OR(D1983=Plano!$A$1,D1983=Plano!$B$1),"entrada","saída"))</f>
        <v/>
      </c>
      <c r="T1983" s="269"/>
      <c r="U1983" s="269"/>
      <c r="V1983" s="269"/>
      <c r="W1983" s="269"/>
    </row>
    <row r="1984" spans="1:23" ht="12.75" customHeight="1" x14ac:dyDescent="0.2">
      <c r="A1984" s="289" t="str">
        <f t="shared" si="0"/>
        <v/>
      </c>
      <c r="B1984" s="290"/>
      <c r="C1984" s="404"/>
      <c r="D1984" s="291"/>
      <c r="E1984" s="291"/>
      <c r="F1984" s="292"/>
      <c r="G1984" s="291"/>
      <c r="H1984" s="291"/>
      <c r="I1984" s="293"/>
      <c r="J1984" s="291"/>
      <c r="K1984" s="291"/>
      <c r="L1984" s="293"/>
      <c r="M1984" s="291"/>
      <c r="N1984" s="289"/>
      <c r="O1984" s="358"/>
      <c r="P1984" s="402">
        <f t="shared" ref="P1984:Q1984" si="1982">IF(B1984=0,0,IF(YEAR(B1984)=$Q$1,MONTH(B1984)-$P$1+1,(YEAR(B1984)-$Q$1)*12-$P$1+1+MONTH(B1984)))</f>
        <v>0</v>
      </c>
      <c r="Q1984" s="402">
        <f t="shared" si="1982"/>
        <v>0</v>
      </c>
      <c r="R1984" s="356" t="e">
        <f t="shared" si="1325"/>
        <v>#N/A</v>
      </c>
      <c r="S1984" s="269" t="str">
        <f>IF(D1984="","",IF(OR(D1984=Plano!$A$1,D1984=Plano!$B$1),"entrada","saída"))</f>
        <v/>
      </c>
      <c r="T1984" s="269"/>
      <c r="U1984" s="269"/>
      <c r="V1984" s="269"/>
      <c r="W1984" s="269"/>
    </row>
    <row r="1985" spans="1:23" ht="12.75" customHeight="1" x14ac:dyDescent="0.2">
      <c r="A1985" s="289" t="str">
        <f t="shared" si="0"/>
        <v/>
      </c>
      <c r="B1985" s="290"/>
      <c r="C1985" s="404"/>
      <c r="D1985" s="291"/>
      <c r="E1985" s="291"/>
      <c r="F1985" s="292"/>
      <c r="G1985" s="291"/>
      <c r="H1985" s="291"/>
      <c r="I1985" s="293"/>
      <c r="J1985" s="291"/>
      <c r="K1985" s="291"/>
      <c r="L1985" s="293"/>
      <c r="M1985" s="291"/>
      <c r="N1985" s="289"/>
      <c r="O1985" s="358"/>
      <c r="P1985" s="402">
        <f t="shared" ref="P1985:Q1985" si="1983">IF(B1985=0,0,IF(YEAR(B1985)=$Q$1,MONTH(B1985)-$P$1+1,(YEAR(B1985)-$Q$1)*12-$P$1+1+MONTH(B1985)))</f>
        <v>0</v>
      </c>
      <c r="Q1985" s="402">
        <f t="shared" si="1983"/>
        <v>0</v>
      </c>
      <c r="R1985" s="356" t="e">
        <f t="shared" si="1325"/>
        <v>#N/A</v>
      </c>
      <c r="S1985" s="269" t="str">
        <f>IF(D1985="","",IF(OR(D1985=Plano!$A$1,D1985=Plano!$B$1),"entrada","saída"))</f>
        <v/>
      </c>
      <c r="T1985" s="269"/>
      <c r="U1985" s="269"/>
      <c r="V1985" s="269"/>
      <c r="W1985" s="269"/>
    </row>
    <row r="1986" spans="1:23" ht="12.75" customHeight="1" x14ac:dyDescent="0.2">
      <c r="A1986" s="289" t="str">
        <f t="shared" si="0"/>
        <v/>
      </c>
      <c r="B1986" s="290"/>
      <c r="C1986" s="404"/>
      <c r="D1986" s="291"/>
      <c r="E1986" s="291"/>
      <c r="F1986" s="292"/>
      <c r="G1986" s="291"/>
      <c r="H1986" s="291"/>
      <c r="I1986" s="293"/>
      <c r="J1986" s="291"/>
      <c r="K1986" s="291"/>
      <c r="L1986" s="293"/>
      <c r="M1986" s="291"/>
      <c r="N1986" s="289"/>
      <c r="O1986" s="358"/>
      <c r="P1986" s="402">
        <f t="shared" ref="P1986:Q1986" si="1984">IF(B1986=0,0,IF(YEAR(B1986)=$Q$1,MONTH(B1986)-$P$1+1,(YEAR(B1986)-$Q$1)*12-$P$1+1+MONTH(B1986)))</f>
        <v>0</v>
      </c>
      <c r="Q1986" s="402">
        <f t="shared" si="1984"/>
        <v>0</v>
      </c>
      <c r="R1986" s="356" t="e">
        <f t="shared" si="1325"/>
        <v>#N/A</v>
      </c>
      <c r="S1986" s="269" t="str">
        <f>IF(D1986="","",IF(OR(D1986=Plano!$A$1,D1986=Plano!$B$1),"entrada","saída"))</f>
        <v/>
      </c>
      <c r="T1986" s="269"/>
      <c r="U1986" s="269"/>
      <c r="V1986" s="269"/>
      <c r="W1986" s="269"/>
    </row>
    <row r="1987" spans="1:23" ht="12.75" customHeight="1" x14ac:dyDescent="0.2">
      <c r="A1987" s="289" t="str">
        <f t="shared" si="0"/>
        <v/>
      </c>
      <c r="B1987" s="290"/>
      <c r="C1987" s="404"/>
      <c r="D1987" s="291"/>
      <c r="E1987" s="291"/>
      <c r="F1987" s="292"/>
      <c r="G1987" s="291"/>
      <c r="H1987" s="291"/>
      <c r="I1987" s="293"/>
      <c r="J1987" s="291"/>
      <c r="K1987" s="291"/>
      <c r="L1987" s="293"/>
      <c r="M1987" s="291"/>
      <c r="N1987" s="289"/>
      <c r="O1987" s="358"/>
      <c r="P1987" s="402">
        <f t="shared" ref="P1987:Q1987" si="1985">IF(B1987=0,0,IF(YEAR(B1987)=$Q$1,MONTH(B1987)-$P$1+1,(YEAR(B1987)-$Q$1)*12-$P$1+1+MONTH(B1987)))</f>
        <v>0</v>
      </c>
      <c r="Q1987" s="402">
        <f t="shared" si="1985"/>
        <v>0</v>
      </c>
      <c r="R1987" s="356" t="e">
        <f t="shared" si="1325"/>
        <v>#N/A</v>
      </c>
      <c r="S1987" s="269" t="str">
        <f>IF(D1987="","",IF(OR(D1987=Plano!$A$1,D1987=Plano!$B$1),"entrada","saída"))</f>
        <v/>
      </c>
      <c r="T1987" s="269"/>
      <c r="U1987" s="269"/>
      <c r="V1987" s="269"/>
      <c r="W1987" s="269"/>
    </row>
    <row r="1988" spans="1:23" ht="12.75" customHeight="1" x14ac:dyDescent="0.2">
      <c r="A1988" s="289" t="str">
        <f t="shared" si="0"/>
        <v/>
      </c>
      <c r="B1988" s="290"/>
      <c r="C1988" s="404"/>
      <c r="D1988" s="291"/>
      <c r="E1988" s="291"/>
      <c r="F1988" s="292"/>
      <c r="G1988" s="291"/>
      <c r="H1988" s="291"/>
      <c r="I1988" s="293"/>
      <c r="J1988" s="291"/>
      <c r="K1988" s="291"/>
      <c r="L1988" s="293"/>
      <c r="M1988" s="291"/>
      <c r="N1988" s="289"/>
      <c r="O1988" s="358"/>
      <c r="P1988" s="402">
        <f t="shared" ref="P1988:Q1988" si="1986">IF(B1988=0,0,IF(YEAR(B1988)=$Q$1,MONTH(B1988)-$P$1+1,(YEAR(B1988)-$Q$1)*12-$P$1+1+MONTH(B1988)))</f>
        <v>0</v>
      </c>
      <c r="Q1988" s="402">
        <f t="shared" si="1986"/>
        <v>0</v>
      </c>
      <c r="R1988" s="356" t="e">
        <f t="shared" si="1325"/>
        <v>#N/A</v>
      </c>
      <c r="S1988" s="269" t="str">
        <f>IF(D1988="","",IF(OR(D1988=Plano!$A$1,D1988=Plano!$B$1),"entrada","saída"))</f>
        <v/>
      </c>
      <c r="T1988" s="269"/>
      <c r="U1988" s="269"/>
      <c r="V1988" s="269"/>
      <c r="W1988" s="269"/>
    </row>
    <row r="1989" spans="1:23" ht="12.75" customHeight="1" x14ac:dyDescent="0.2">
      <c r="A1989" s="289" t="str">
        <f t="shared" si="0"/>
        <v/>
      </c>
      <c r="B1989" s="290"/>
      <c r="C1989" s="404"/>
      <c r="D1989" s="291"/>
      <c r="E1989" s="291"/>
      <c r="F1989" s="292"/>
      <c r="G1989" s="291"/>
      <c r="H1989" s="291"/>
      <c r="I1989" s="293"/>
      <c r="J1989" s="291"/>
      <c r="K1989" s="291"/>
      <c r="L1989" s="293"/>
      <c r="M1989" s="291"/>
      <c r="N1989" s="289"/>
      <c r="O1989" s="358"/>
      <c r="P1989" s="402">
        <f t="shared" ref="P1989:Q1989" si="1987">IF(B1989=0,0,IF(YEAR(B1989)=$Q$1,MONTH(B1989)-$P$1+1,(YEAR(B1989)-$Q$1)*12-$P$1+1+MONTH(B1989)))</f>
        <v>0</v>
      </c>
      <c r="Q1989" s="402">
        <f t="shared" si="1987"/>
        <v>0</v>
      </c>
      <c r="R1989" s="356" t="e">
        <f t="shared" si="1325"/>
        <v>#N/A</v>
      </c>
      <c r="S1989" s="269" t="str">
        <f>IF(D1989="","",IF(OR(D1989=Plano!$A$1,D1989=Plano!$B$1),"entrada","saída"))</f>
        <v/>
      </c>
      <c r="T1989" s="269"/>
      <c r="U1989" s="269"/>
      <c r="V1989" s="269"/>
      <c r="W1989" s="269"/>
    </row>
    <row r="1990" spans="1:23" ht="12.75" customHeight="1" x14ac:dyDescent="0.2">
      <c r="A1990" s="289" t="str">
        <f t="shared" si="0"/>
        <v/>
      </c>
      <c r="B1990" s="290"/>
      <c r="C1990" s="404"/>
      <c r="D1990" s="291"/>
      <c r="E1990" s="291"/>
      <c r="F1990" s="292"/>
      <c r="G1990" s="291"/>
      <c r="H1990" s="291"/>
      <c r="I1990" s="293"/>
      <c r="J1990" s="291"/>
      <c r="K1990" s="291"/>
      <c r="L1990" s="293"/>
      <c r="M1990" s="291"/>
      <c r="N1990" s="289"/>
      <c r="O1990" s="358"/>
      <c r="P1990" s="402">
        <f t="shared" ref="P1990:Q1990" si="1988">IF(B1990=0,0,IF(YEAR(B1990)=$Q$1,MONTH(B1990)-$P$1+1,(YEAR(B1990)-$Q$1)*12-$P$1+1+MONTH(B1990)))</f>
        <v>0</v>
      </c>
      <c r="Q1990" s="402">
        <f t="shared" si="1988"/>
        <v>0</v>
      </c>
      <c r="R1990" s="356" t="e">
        <f t="shared" si="1325"/>
        <v>#N/A</v>
      </c>
      <c r="S1990" s="269" t="str">
        <f>IF(D1990="","",IF(OR(D1990=Plano!$A$1,D1990=Plano!$B$1),"entrada","saída"))</f>
        <v/>
      </c>
      <c r="T1990" s="269"/>
      <c r="U1990" s="269"/>
      <c r="V1990" s="269"/>
      <c r="W1990" s="269"/>
    </row>
    <row r="1991" spans="1:23" ht="12.75" customHeight="1" x14ac:dyDescent="0.2">
      <c r="A1991" s="289" t="str">
        <f t="shared" si="0"/>
        <v/>
      </c>
      <c r="B1991" s="290"/>
      <c r="C1991" s="404"/>
      <c r="D1991" s="291"/>
      <c r="E1991" s="291"/>
      <c r="F1991" s="292"/>
      <c r="G1991" s="291"/>
      <c r="H1991" s="291"/>
      <c r="I1991" s="293"/>
      <c r="J1991" s="291"/>
      <c r="K1991" s="291"/>
      <c r="L1991" s="293"/>
      <c r="M1991" s="291"/>
      <c r="N1991" s="289"/>
      <c r="O1991" s="358"/>
      <c r="P1991" s="402">
        <f t="shared" ref="P1991:Q1991" si="1989">IF(B1991=0,0,IF(YEAR(B1991)=$Q$1,MONTH(B1991)-$P$1+1,(YEAR(B1991)-$Q$1)*12-$P$1+1+MONTH(B1991)))</f>
        <v>0</v>
      </c>
      <c r="Q1991" s="402">
        <f t="shared" si="1989"/>
        <v>0</v>
      </c>
      <c r="R1991" s="356" t="e">
        <f t="shared" si="1325"/>
        <v>#N/A</v>
      </c>
      <c r="S1991" s="269" t="str">
        <f>IF(D1991="","",IF(OR(D1991=Plano!$A$1,D1991=Plano!$B$1),"entrada","saída"))</f>
        <v/>
      </c>
      <c r="T1991" s="269"/>
      <c r="U1991" s="269"/>
      <c r="V1991" s="269"/>
      <c r="W1991" s="269"/>
    </row>
    <row r="1992" spans="1:23" ht="12.75" customHeight="1" x14ac:dyDescent="0.2">
      <c r="A1992" s="289" t="str">
        <f t="shared" si="0"/>
        <v/>
      </c>
      <c r="B1992" s="290"/>
      <c r="C1992" s="404"/>
      <c r="D1992" s="291"/>
      <c r="E1992" s="291"/>
      <c r="F1992" s="292"/>
      <c r="G1992" s="291"/>
      <c r="H1992" s="291"/>
      <c r="I1992" s="293"/>
      <c r="J1992" s="291"/>
      <c r="K1992" s="291"/>
      <c r="L1992" s="293"/>
      <c r="M1992" s="291"/>
      <c r="N1992" s="289"/>
      <c r="O1992" s="358"/>
      <c r="P1992" s="402">
        <f t="shared" ref="P1992:Q1992" si="1990">IF(B1992=0,0,IF(YEAR(B1992)=$Q$1,MONTH(B1992)-$P$1+1,(YEAR(B1992)-$Q$1)*12-$P$1+1+MONTH(B1992)))</f>
        <v>0</v>
      </c>
      <c r="Q1992" s="402">
        <f t="shared" si="1990"/>
        <v>0</v>
      </c>
      <c r="R1992" s="356" t="e">
        <f t="shared" si="1325"/>
        <v>#N/A</v>
      </c>
      <c r="S1992" s="269" t="str">
        <f>IF(D1992="","",IF(OR(D1992=Plano!$A$1,D1992=Plano!$B$1),"entrada","saída"))</f>
        <v/>
      </c>
      <c r="T1992" s="269"/>
      <c r="U1992" s="269"/>
      <c r="V1992" s="269"/>
      <c r="W1992" s="269"/>
    </row>
    <row r="1993" spans="1:23" ht="12.75" customHeight="1" x14ac:dyDescent="0.2">
      <c r="A1993" s="289" t="str">
        <f t="shared" si="0"/>
        <v/>
      </c>
      <c r="B1993" s="290"/>
      <c r="C1993" s="404"/>
      <c r="D1993" s="291"/>
      <c r="E1993" s="291"/>
      <c r="F1993" s="292"/>
      <c r="G1993" s="291"/>
      <c r="H1993" s="291"/>
      <c r="I1993" s="293"/>
      <c r="J1993" s="291"/>
      <c r="K1993" s="291"/>
      <c r="L1993" s="293"/>
      <c r="M1993" s="291"/>
      <c r="N1993" s="289"/>
      <c r="O1993" s="358"/>
      <c r="P1993" s="402">
        <f t="shared" ref="P1993:Q1993" si="1991">IF(B1993=0,0,IF(YEAR(B1993)=$Q$1,MONTH(B1993)-$P$1+1,(YEAR(B1993)-$Q$1)*12-$P$1+1+MONTH(B1993)))</f>
        <v>0</v>
      </c>
      <c r="Q1993" s="402">
        <f t="shared" si="1991"/>
        <v>0</v>
      </c>
      <c r="R1993" s="356" t="e">
        <f t="shared" si="1325"/>
        <v>#N/A</v>
      </c>
      <c r="S1993" s="269" t="str">
        <f>IF(D1993="","",IF(OR(D1993=Plano!$A$1,D1993=Plano!$B$1),"entrada","saída"))</f>
        <v/>
      </c>
      <c r="T1993" s="269"/>
      <c r="U1993" s="269"/>
      <c r="V1993" s="269"/>
      <c r="W1993" s="269"/>
    </row>
    <row r="1994" spans="1:23" ht="12.75" customHeight="1" x14ac:dyDescent="0.2">
      <c r="A1994" s="289" t="str">
        <f t="shared" si="0"/>
        <v/>
      </c>
      <c r="B1994" s="290"/>
      <c r="C1994" s="404"/>
      <c r="D1994" s="291"/>
      <c r="E1994" s="291"/>
      <c r="F1994" s="292"/>
      <c r="G1994" s="291"/>
      <c r="H1994" s="291"/>
      <c r="I1994" s="293"/>
      <c r="J1994" s="291"/>
      <c r="K1994" s="291"/>
      <c r="L1994" s="293"/>
      <c r="M1994" s="291"/>
      <c r="N1994" s="289"/>
      <c r="O1994" s="358"/>
      <c r="P1994" s="402">
        <f t="shared" ref="P1994:Q1994" si="1992">IF(B1994=0,0,IF(YEAR(B1994)=$Q$1,MONTH(B1994)-$P$1+1,(YEAR(B1994)-$Q$1)*12-$P$1+1+MONTH(B1994)))</f>
        <v>0</v>
      </c>
      <c r="Q1994" s="402">
        <f t="shared" si="1992"/>
        <v>0</v>
      </c>
      <c r="R1994" s="356" t="e">
        <f t="shared" si="1325"/>
        <v>#N/A</v>
      </c>
      <c r="S1994" s="269" t="str">
        <f>IF(D1994="","",IF(OR(D1994=Plano!$A$1,D1994=Plano!$B$1),"entrada","saída"))</f>
        <v/>
      </c>
      <c r="T1994" s="269"/>
      <c r="U1994" s="269"/>
      <c r="V1994" s="269"/>
      <c r="W1994" s="269"/>
    </row>
    <row r="1995" spans="1:23" ht="12.75" customHeight="1" x14ac:dyDescent="0.2">
      <c r="A1995" s="289" t="str">
        <f t="shared" si="0"/>
        <v/>
      </c>
      <c r="B1995" s="290"/>
      <c r="C1995" s="404"/>
      <c r="D1995" s="291"/>
      <c r="E1995" s="291"/>
      <c r="F1995" s="292"/>
      <c r="G1995" s="291"/>
      <c r="H1995" s="291"/>
      <c r="I1995" s="293"/>
      <c r="J1995" s="291"/>
      <c r="K1995" s="291"/>
      <c r="L1995" s="293"/>
      <c r="M1995" s="291"/>
      <c r="N1995" s="289"/>
      <c r="O1995" s="358"/>
      <c r="P1995" s="402">
        <f t="shared" ref="P1995:Q1995" si="1993">IF(B1995=0,0,IF(YEAR(B1995)=$Q$1,MONTH(B1995)-$P$1+1,(YEAR(B1995)-$Q$1)*12-$P$1+1+MONTH(B1995)))</f>
        <v>0</v>
      </c>
      <c r="Q1995" s="402">
        <f t="shared" si="1993"/>
        <v>0</v>
      </c>
      <c r="R1995" s="356" t="e">
        <f t="shared" si="1325"/>
        <v>#N/A</v>
      </c>
      <c r="S1995" s="269" t="str">
        <f>IF(D1995="","",IF(OR(D1995=Plano!$A$1,D1995=Plano!$B$1),"entrada","saída"))</f>
        <v/>
      </c>
      <c r="T1995" s="269"/>
      <c r="U1995" s="269"/>
      <c r="V1995" s="269"/>
      <c r="W1995" s="269"/>
    </row>
    <row r="1996" spans="1:23" ht="12.75" customHeight="1" x14ac:dyDescent="0.2">
      <c r="A1996" s="289" t="str">
        <f t="shared" si="0"/>
        <v/>
      </c>
      <c r="B1996" s="290"/>
      <c r="C1996" s="404"/>
      <c r="D1996" s="291"/>
      <c r="E1996" s="291"/>
      <c r="F1996" s="292"/>
      <c r="G1996" s="291"/>
      <c r="H1996" s="291"/>
      <c r="I1996" s="293"/>
      <c r="J1996" s="291"/>
      <c r="K1996" s="291"/>
      <c r="L1996" s="293"/>
      <c r="M1996" s="291"/>
      <c r="N1996" s="289"/>
      <c r="O1996" s="358"/>
      <c r="P1996" s="402">
        <f t="shared" ref="P1996:Q1996" si="1994">IF(B1996=0,0,IF(YEAR(B1996)=$Q$1,MONTH(B1996)-$P$1+1,(YEAR(B1996)-$Q$1)*12-$P$1+1+MONTH(B1996)))</f>
        <v>0</v>
      </c>
      <c r="Q1996" s="402">
        <f t="shared" si="1994"/>
        <v>0</v>
      </c>
      <c r="R1996" s="356" t="e">
        <f t="shared" si="1325"/>
        <v>#N/A</v>
      </c>
      <c r="S1996" s="269" t="str">
        <f>IF(D1996="","",IF(OR(D1996=Plano!$A$1,D1996=Plano!$B$1),"entrada","saída"))</f>
        <v/>
      </c>
      <c r="T1996" s="269"/>
      <c r="U1996" s="269"/>
      <c r="V1996" s="269"/>
      <c r="W1996" s="269"/>
    </row>
    <row r="1997" spans="1:23" ht="12.75" customHeight="1" x14ac:dyDescent="0.2">
      <c r="A1997" s="289" t="str">
        <f t="shared" si="0"/>
        <v/>
      </c>
      <c r="B1997" s="290"/>
      <c r="C1997" s="404"/>
      <c r="D1997" s="291"/>
      <c r="E1997" s="291"/>
      <c r="F1997" s="292"/>
      <c r="G1997" s="291"/>
      <c r="H1997" s="291"/>
      <c r="I1997" s="293"/>
      <c r="J1997" s="291"/>
      <c r="K1997" s="291"/>
      <c r="L1997" s="293"/>
      <c r="M1997" s="291"/>
      <c r="N1997" s="289"/>
      <c r="O1997" s="358"/>
      <c r="P1997" s="402">
        <f t="shared" ref="P1997:Q1997" si="1995">IF(B1997=0,0,IF(YEAR(B1997)=$Q$1,MONTH(B1997)-$P$1+1,(YEAR(B1997)-$Q$1)*12-$P$1+1+MONTH(B1997)))</f>
        <v>0</v>
      </c>
      <c r="Q1997" s="402">
        <f t="shared" si="1995"/>
        <v>0</v>
      </c>
      <c r="R1997" s="356" t="e">
        <f t="shared" si="1325"/>
        <v>#N/A</v>
      </c>
      <c r="S1997" s="269" t="str">
        <f>IF(D1997="","",IF(OR(D1997=Plano!$A$1,D1997=Plano!$B$1),"entrada","saída"))</f>
        <v/>
      </c>
      <c r="T1997" s="269"/>
      <c r="U1997" s="269"/>
      <c r="V1997" s="269"/>
      <c r="W1997" s="269"/>
    </row>
    <row r="1998" spans="1:23" ht="12.75" customHeight="1" x14ac:dyDescent="0.2">
      <c r="A1998" s="289" t="str">
        <f t="shared" si="0"/>
        <v/>
      </c>
      <c r="B1998" s="290"/>
      <c r="C1998" s="404"/>
      <c r="D1998" s="291"/>
      <c r="E1998" s="291"/>
      <c r="F1998" s="292"/>
      <c r="G1998" s="291"/>
      <c r="H1998" s="291"/>
      <c r="I1998" s="293"/>
      <c r="J1998" s="291"/>
      <c r="K1998" s="291"/>
      <c r="L1998" s="293"/>
      <c r="M1998" s="291"/>
      <c r="N1998" s="289"/>
      <c r="O1998" s="358"/>
      <c r="P1998" s="402">
        <f t="shared" ref="P1998:Q1998" si="1996">IF(B1998=0,0,IF(YEAR(B1998)=$Q$1,MONTH(B1998)-$P$1+1,(YEAR(B1998)-$Q$1)*12-$P$1+1+MONTH(B1998)))</f>
        <v>0</v>
      </c>
      <c r="Q1998" s="402">
        <f t="shared" si="1996"/>
        <v>0</v>
      </c>
      <c r="R1998" s="356" t="e">
        <f t="shared" si="1325"/>
        <v>#N/A</v>
      </c>
      <c r="S1998" s="269" t="str">
        <f>IF(D1998="","",IF(OR(D1998=Plano!$A$1,D1998=Plano!$B$1),"entrada","saída"))</f>
        <v/>
      </c>
      <c r="T1998" s="269"/>
      <c r="U1998" s="269"/>
      <c r="V1998" s="269"/>
      <c r="W1998" s="269"/>
    </row>
    <row r="1999" spans="1:23" ht="12.75" customHeight="1" x14ac:dyDescent="0.2">
      <c r="A1999" s="289" t="str">
        <f t="shared" si="0"/>
        <v/>
      </c>
      <c r="B1999" s="290"/>
      <c r="C1999" s="404"/>
      <c r="D1999" s="291"/>
      <c r="E1999" s="291"/>
      <c r="F1999" s="292"/>
      <c r="G1999" s="291"/>
      <c r="H1999" s="291"/>
      <c r="I1999" s="293"/>
      <c r="J1999" s="291"/>
      <c r="K1999" s="291"/>
      <c r="L1999" s="293"/>
      <c r="M1999" s="291"/>
      <c r="N1999" s="289"/>
      <c r="O1999" s="358"/>
      <c r="P1999" s="402">
        <f t="shared" ref="P1999:Q1999" si="1997">IF(B1999=0,0,IF(YEAR(B1999)=$Q$1,MONTH(B1999)-$P$1+1,(YEAR(B1999)-$Q$1)*12-$P$1+1+MONTH(B1999)))</f>
        <v>0</v>
      </c>
      <c r="Q1999" s="402">
        <f t="shared" si="1997"/>
        <v>0</v>
      </c>
      <c r="R1999" s="356" t="e">
        <f t="shared" si="1325"/>
        <v>#N/A</v>
      </c>
      <c r="S1999" s="269" t="str">
        <f>IF(D1999="","",IF(OR(D1999=Plano!$A$1,D1999=Plano!$B$1),"entrada","saída"))</f>
        <v/>
      </c>
      <c r="T1999" s="269"/>
      <c r="U1999" s="269"/>
      <c r="V1999" s="269"/>
      <c r="W1999" s="269"/>
    </row>
    <row r="2000" spans="1:23" ht="12.75" customHeight="1" x14ac:dyDescent="0.2">
      <c r="A2000" s="289" t="str">
        <f t="shared" si="0"/>
        <v/>
      </c>
      <c r="B2000" s="290"/>
      <c r="C2000" s="404"/>
      <c r="D2000" s="291"/>
      <c r="E2000" s="291"/>
      <c r="F2000" s="292"/>
      <c r="G2000" s="291"/>
      <c r="H2000" s="291"/>
      <c r="I2000" s="293"/>
      <c r="J2000" s="291"/>
      <c r="K2000" s="291"/>
      <c r="L2000" s="293"/>
      <c r="M2000" s="291"/>
      <c r="N2000" s="289"/>
      <c r="O2000" s="358"/>
      <c r="P2000" s="402">
        <f t="shared" ref="P2000:Q2000" si="1998">IF(B2000=0,0,IF(YEAR(B2000)=$Q$1,MONTH(B2000)-$P$1+1,(YEAR(B2000)-$Q$1)*12-$P$1+1+MONTH(B2000)))</f>
        <v>0</v>
      </c>
      <c r="Q2000" s="402">
        <f t="shared" si="1998"/>
        <v>0</v>
      </c>
      <c r="R2000" s="356" t="e">
        <f t="shared" si="1325"/>
        <v>#N/A</v>
      </c>
      <c r="S2000" s="269" t="str">
        <f>IF(D2000="","",IF(OR(D2000=Plano!$A$1,D2000=Plano!$B$1),"entrada","saída"))</f>
        <v/>
      </c>
      <c r="T2000" s="269"/>
      <c r="U2000" s="269"/>
      <c r="V2000" s="269"/>
      <c r="W2000" s="269"/>
    </row>
    <row r="2001" spans="1:23" ht="12.75" customHeight="1" x14ac:dyDescent="0.2">
      <c r="A2001" s="289" t="str">
        <f t="shared" si="0"/>
        <v/>
      </c>
      <c r="B2001" s="290"/>
      <c r="C2001" s="404"/>
      <c r="D2001" s="291"/>
      <c r="E2001" s="291"/>
      <c r="F2001" s="292"/>
      <c r="G2001" s="291"/>
      <c r="H2001" s="291"/>
      <c r="I2001" s="293"/>
      <c r="J2001" s="291"/>
      <c r="K2001" s="291"/>
      <c r="L2001" s="293"/>
      <c r="M2001" s="291"/>
      <c r="N2001" s="289"/>
      <c r="O2001" s="358"/>
      <c r="P2001" s="402">
        <f t="shared" ref="P2001:Q2001" si="1999">IF(B2001=0,0,IF(YEAR(B2001)=$Q$1,MONTH(B2001)-$P$1+1,(YEAR(B2001)-$Q$1)*12-$P$1+1+MONTH(B2001)))</f>
        <v>0</v>
      </c>
      <c r="Q2001" s="402">
        <f t="shared" si="1999"/>
        <v>0</v>
      </c>
      <c r="R2001" s="356" t="e">
        <f t="shared" si="1325"/>
        <v>#N/A</v>
      </c>
      <c r="S2001" s="269" t="str">
        <f>IF(D2001="","",IF(OR(D2001=Plano!$A$1,D2001=Plano!$B$1),"entrada","saída"))</f>
        <v/>
      </c>
      <c r="T2001" s="269"/>
      <c r="U2001" s="269"/>
      <c r="V2001" s="269"/>
      <c r="W2001" s="269"/>
    </row>
    <row r="2002" spans="1:23" ht="12.75" customHeight="1" x14ac:dyDescent="0.2">
      <c r="A2002" s="289" t="str">
        <f t="shared" si="0"/>
        <v/>
      </c>
      <c r="B2002" s="290"/>
      <c r="C2002" s="404"/>
      <c r="D2002" s="291"/>
      <c r="E2002" s="291"/>
      <c r="F2002" s="292"/>
      <c r="G2002" s="291"/>
      <c r="H2002" s="291"/>
      <c r="I2002" s="293"/>
      <c r="J2002" s="291"/>
      <c r="K2002" s="291"/>
      <c r="L2002" s="293"/>
      <c r="M2002" s="291"/>
      <c r="N2002" s="289"/>
      <c r="O2002" s="358"/>
      <c r="P2002" s="402">
        <f t="shared" ref="P2002:Q2002" si="2000">IF(B2002=0,0,IF(YEAR(B2002)=$Q$1,MONTH(B2002)-$P$1+1,(YEAR(B2002)-$Q$1)*12-$P$1+1+MONTH(B2002)))</f>
        <v>0</v>
      </c>
      <c r="Q2002" s="402">
        <f t="shared" si="2000"/>
        <v>0</v>
      </c>
      <c r="R2002" s="356" t="e">
        <f t="shared" si="1325"/>
        <v>#N/A</v>
      </c>
      <c r="S2002" s="269" t="str">
        <f>IF(D2002="","",IF(OR(D2002=Plano!$A$1,D2002=Plano!$B$1),"entrada","saída"))</f>
        <v/>
      </c>
      <c r="T2002" s="269"/>
      <c r="U2002" s="269"/>
      <c r="V2002" s="269"/>
      <c r="W2002" s="269"/>
    </row>
    <row r="2003" spans="1:23" ht="12.75" customHeight="1" x14ac:dyDescent="0.2">
      <c r="A2003" s="289" t="str">
        <f t="shared" si="0"/>
        <v/>
      </c>
      <c r="B2003" s="290"/>
      <c r="C2003" s="404"/>
      <c r="D2003" s="291"/>
      <c r="E2003" s="291"/>
      <c r="F2003" s="292"/>
      <c r="G2003" s="291"/>
      <c r="H2003" s="291"/>
      <c r="I2003" s="293"/>
      <c r="J2003" s="291"/>
      <c r="K2003" s="291"/>
      <c r="L2003" s="293"/>
      <c r="M2003" s="291"/>
      <c r="N2003" s="289"/>
      <c r="O2003" s="358"/>
      <c r="P2003" s="402">
        <f t="shared" ref="P2003:Q2003" si="2001">IF(B2003=0,0,IF(YEAR(B2003)=$Q$1,MONTH(B2003)-$P$1+1,(YEAR(B2003)-$Q$1)*12-$P$1+1+MONTH(B2003)))</f>
        <v>0</v>
      </c>
      <c r="Q2003" s="402">
        <f t="shared" si="2001"/>
        <v>0</v>
      </c>
      <c r="R2003" s="356" t="e">
        <f t="shared" si="1325"/>
        <v>#N/A</v>
      </c>
      <c r="S2003" s="269" t="str">
        <f>IF(D2003="","",IF(OR(D2003=Plano!$A$1,D2003=Plano!$B$1),"entrada","saída"))</f>
        <v/>
      </c>
      <c r="T2003" s="269"/>
      <c r="U2003" s="269"/>
      <c r="V2003" s="269"/>
      <c r="W2003" s="269"/>
    </row>
    <row r="2004" spans="1:23" ht="12.75" customHeight="1" x14ac:dyDescent="0.2">
      <c r="A2004" s="289" t="str">
        <f t="shared" si="0"/>
        <v/>
      </c>
      <c r="B2004" s="290"/>
      <c r="C2004" s="404"/>
      <c r="D2004" s="291"/>
      <c r="E2004" s="291"/>
      <c r="F2004" s="292"/>
      <c r="G2004" s="291"/>
      <c r="H2004" s="291"/>
      <c r="I2004" s="293"/>
      <c r="J2004" s="291"/>
      <c r="K2004" s="291"/>
      <c r="L2004" s="293"/>
      <c r="M2004" s="291"/>
      <c r="N2004" s="289"/>
      <c r="O2004" s="358"/>
      <c r="P2004" s="402">
        <f t="shared" ref="P2004:Q2004" si="2002">IF(B2004=0,0,IF(YEAR(B2004)=$Q$1,MONTH(B2004)-$P$1+1,(YEAR(B2004)-$Q$1)*12-$P$1+1+MONTH(B2004)))</f>
        <v>0</v>
      </c>
      <c r="Q2004" s="402">
        <f t="shared" si="2002"/>
        <v>0</v>
      </c>
      <c r="R2004" s="356" t="e">
        <f t="shared" si="1325"/>
        <v>#N/A</v>
      </c>
      <c r="S2004" s="269" t="str">
        <f>IF(D2004="","",IF(OR(D2004=Plano!$A$1,D2004=Plano!$B$1),"entrada","saída"))</f>
        <v/>
      </c>
      <c r="T2004" s="269"/>
      <c r="U2004" s="269"/>
      <c r="V2004" s="269"/>
      <c r="W2004" s="269"/>
    </row>
    <row r="2005" spans="1:23" ht="12.75" customHeight="1" x14ac:dyDescent="0.2">
      <c r="A2005" s="289" t="str">
        <f t="shared" si="0"/>
        <v/>
      </c>
      <c r="B2005" s="290"/>
      <c r="C2005" s="404"/>
      <c r="D2005" s="291"/>
      <c r="E2005" s="291"/>
      <c r="F2005" s="292"/>
      <c r="G2005" s="291"/>
      <c r="H2005" s="291"/>
      <c r="I2005" s="293"/>
      <c r="J2005" s="291"/>
      <c r="K2005" s="291"/>
      <c r="L2005" s="293"/>
      <c r="M2005" s="291"/>
      <c r="N2005" s="289"/>
      <c r="O2005" s="358"/>
      <c r="P2005" s="402">
        <f t="shared" ref="P2005:Q2005" si="2003">IF(B2005=0,0,IF(YEAR(B2005)=$Q$1,MONTH(B2005)-$P$1+1,(YEAR(B2005)-$Q$1)*12-$P$1+1+MONTH(B2005)))</f>
        <v>0</v>
      </c>
      <c r="Q2005" s="402">
        <f t="shared" si="2003"/>
        <v>0</v>
      </c>
      <c r="R2005" s="356" t="e">
        <f t="shared" si="1325"/>
        <v>#N/A</v>
      </c>
      <c r="S2005" s="269" t="str">
        <f>IF(D2005="","",IF(OR(D2005=Plano!$A$1,D2005=Plano!$B$1),"entrada","saída"))</f>
        <v/>
      </c>
      <c r="T2005" s="269"/>
      <c r="U2005" s="269"/>
      <c r="V2005" s="269"/>
      <c r="W2005" s="269"/>
    </row>
    <row r="2006" spans="1:23" ht="12.75" customHeight="1" x14ac:dyDescent="0.2">
      <c r="A2006" s="289" t="str">
        <f t="shared" si="0"/>
        <v/>
      </c>
      <c r="B2006" s="290"/>
      <c r="C2006" s="404"/>
      <c r="D2006" s="291"/>
      <c r="E2006" s="291"/>
      <c r="F2006" s="292"/>
      <c r="G2006" s="291"/>
      <c r="H2006" s="291"/>
      <c r="I2006" s="293"/>
      <c r="J2006" s="291"/>
      <c r="K2006" s="291"/>
      <c r="L2006" s="293"/>
      <c r="M2006" s="291"/>
      <c r="N2006" s="289"/>
      <c r="O2006" s="358"/>
      <c r="P2006" s="402">
        <f t="shared" ref="P2006:Q2006" si="2004">IF(B2006=0,0,IF(YEAR(B2006)=$Q$1,MONTH(B2006)-$P$1+1,(YEAR(B2006)-$Q$1)*12-$P$1+1+MONTH(B2006)))</f>
        <v>0</v>
      </c>
      <c r="Q2006" s="402">
        <f t="shared" si="2004"/>
        <v>0</v>
      </c>
      <c r="R2006" s="356" t="e">
        <f t="shared" si="1325"/>
        <v>#N/A</v>
      </c>
      <c r="S2006" s="269" t="str">
        <f>IF(D2006="","",IF(OR(D2006=Plano!$A$1,D2006=Plano!$B$1),"entrada","saída"))</f>
        <v/>
      </c>
      <c r="T2006" s="269"/>
      <c r="U2006" s="269"/>
      <c r="V2006" s="269"/>
      <c r="W2006" s="269"/>
    </row>
    <row r="2007" spans="1:23" ht="12.75" customHeight="1" x14ac:dyDescent="0.2">
      <c r="A2007" s="289" t="str">
        <f t="shared" si="0"/>
        <v/>
      </c>
      <c r="B2007" s="290"/>
      <c r="C2007" s="404"/>
      <c r="D2007" s="291"/>
      <c r="E2007" s="291"/>
      <c r="F2007" s="292"/>
      <c r="G2007" s="291"/>
      <c r="H2007" s="291"/>
      <c r="I2007" s="293"/>
      <c r="J2007" s="291"/>
      <c r="K2007" s="291"/>
      <c r="L2007" s="293"/>
      <c r="M2007" s="291"/>
      <c r="N2007" s="289"/>
      <c r="O2007" s="358"/>
      <c r="P2007" s="402">
        <f t="shared" ref="P2007:Q2007" si="2005">IF(B2007=0,0,IF(YEAR(B2007)=$Q$1,MONTH(B2007)-$P$1+1,(YEAR(B2007)-$Q$1)*12-$P$1+1+MONTH(B2007)))</f>
        <v>0</v>
      </c>
      <c r="Q2007" s="402">
        <f t="shared" si="2005"/>
        <v>0</v>
      </c>
      <c r="R2007" s="356" t="e">
        <f t="shared" si="1325"/>
        <v>#N/A</v>
      </c>
      <c r="S2007" s="269" t="str">
        <f>IF(D2007="","",IF(OR(D2007=Plano!$A$1,D2007=Plano!$B$1),"entrada","saída"))</f>
        <v/>
      </c>
      <c r="T2007" s="269"/>
      <c r="U2007" s="269"/>
      <c r="V2007" s="269"/>
      <c r="W2007" s="269"/>
    </row>
    <row r="2008" spans="1:23" ht="12.75" customHeight="1" x14ac:dyDescent="0.2">
      <c r="A2008" s="289" t="str">
        <f t="shared" si="0"/>
        <v/>
      </c>
      <c r="B2008" s="290"/>
      <c r="C2008" s="404"/>
      <c r="D2008" s="291"/>
      <c r="E2008" s="291"/>
      <c r="F2008" s="292"/>
      <c r="G2008" s="291"/>
      <c r="H2008" s="291"/>
      <c r="I2008" s="293"/>
      <c r="J2008" s="291"/>
      <c r="K2008" s="291"/>
      <c r="L2008" s="293"/>
      <c r="M2008" s="291"/>
      <c r="N2008" s="289"/>
      <c r="O2008" s="358"/>
      <c r="P2008" s="402">
        <f t="shared" ref="P2008:Q2008" si="2006">IF(B2008=0,0,IF(YEAR(B2008)=$Q$1,MONTH(B2008)-$P$1+1,(YEAR(B2008)-$Q$1)*12-$P$1+1+MONTH(B2008)))</f>
        <v>0</v>
      </c>
      <c r="Q2008" s="402">
        <f t="shared" si="2006"/>
        <v>0</v>
      </c>
      <c r="R2008" s="356" t="e">
        <f t="shared" si="1325"/>
        <v>#N/A</v>
      </c>
      <c r="S2008" s="269" t="str">
        <f>IF(D2008="","",IF(OR(D2008=Plano!$A$1,D2008=Plano!$B$1),"entrada","saída"))</f>
        <v/>
      </c>
      <c r="T2008" s="269"/>
      <c r="U2008" s="269"/>
      <c r="V2008" s="269"/>
      <c r="W2008" s="269"/>
    </row>
    <row r="2009" spans="1:23" ht="12.75" customHeight="1" x14ac:dyDescent="0.2">
      <c r="A2009" s="289" t="str">
        <f t="shared" si="0"/>
        <v/>
      </c>
      <c r="B2009" s="290"/>
      <c r="C2009" s="404"/>
      <c r="D2009" s="291"/>
      <c r="E2009" s="291"/>
      <c r="F2009" s="292"/>
      <c r="G2009" s="291"/>
      <c r="H2009" s="291"/>
      <c r="I2009" s="293"/>
      <c r="J2009" s="291"/>
      <c r="K2009" s="291"/>
      <c r="L2009" s="293"/>
      <c r="M2009" s="291"/>
      <c r="N2009" s="289"/>
      <c r="O2009" s="358"/>
      <c r="P2009" s="402">
        <f t="shared" ref="P2009:Q2009" si="2007">IF(B2009=0,0,IF(YEAR(B2009)=$Q$1,MONTH(B2009)-$P$1+1,(YEAR(B2009)-$Q$1)*12-$P$1+1+MONTH(B2009)))</f>
        <v>0</v>
      </c>
      <c r="Q2009" s="402">
        <f t="shared" si="2007"/>
        <v>0</v>
      </c>
      <c r="R2009" s="356" t="e">
        <f t="shared" si="1325"/>
        <v>#N/A</v>
      </c>
      <c r="S2009" s="269" t="str">
        <f>IF(D2009="","",IF(OR(D2009=Plano!$A$1,D2009=Plano!$B$1),"entrada","saída"))</f>
        <v/>
      </c>
      <c r="T2009" s="269"/>
      <c r="U2009" s="269"/>
      <c r="V2009" s="269"/>
      <c r="W2009" s="269"/>
    </row>
    <row r="2010" spans="1:23" ht="12.75" customHeight="1" x14ac:dyDescent="0.2">
      <c r="A2010" s="289" t="str">
        <f t="shared" si="0"/>
        <v/>
      </c>
      <c r="B2010" s="290"/>
      <c r="C2010" s="404"/>
      <c r="D2010" s="291"/>
      <c r="E2010" s="291"/>
      <c r="F2010" s="292"/>
      <c r="G2010" s="291"/>
      <c r="H2010" s="291"/>
      <c r="I2010" s="293"/>
      <c r="J2010" s="291"/>
      <c r="K2010" s="291"/>
      <c r="L2010" s="293"/>
      <c r="M2010" s="291"/>
      <c r="N2010" s="289"/>
      <c r="O2010" s="358"/>
      <c r="P2010" s="402">
        <f t="shared" ref="P2010:Q2010" si="2008">IF(B2010=0,0,IF(YEAR(B2010)=$Q$1,MONTH(B2010)-$P$1+1,(YEAR(B2010)-$Q$1)*12-$P$1+1+MONTH(B2010)))</f>
        <v>0</v>
      </c>
      <c r="Q2010" s="402">
        <f t="shared" si="2008"/>
        <v>0</v>
      </c>
      <c r="R2010" s="356" t="e">
        <f t="shared" si="1325"/>
        <v>#N/A</v>
      </c>
      <c r="S2010" s="269" t="str">
        <f>IF(D2010="","",IF(OR(D2010=Plano!$A$1,D2010=Plano!$B$1),"entrada","saída"))</f>
        <v/>
      </c>
      <c r="T2010" s="269"/>
      <c r="U2010" s="269"/>
      <c r="V2010" s="269"/>
      <c r="W2010" s="269"/>
    </row>
    <row r="2011" spans="1:23" ht="12.75" customHeight="1" x14ac:dyDescent="0.2">
      <c r="A2011" s="289" t="str">
        <f t="shared" si="0"/>
        <v/>
      </c>
      <c r="B2011" s="290"/>
      <c r="C2011" s="404"/>
      <c r="D2011" s="291"/>
      <c r="E2011" s="291"/>
      <c r="F2011" s="292"/>
      <c r="G2011" s="291"/>
      <c r="H2011" s="291"/>
      <c r="I2011" s="293"/>
      <c r="J2011" s="291"/>
      <c r="K2011" s="291"/>
      <c r="L2011" s="293"/>
      <c r="M2011" s="291"/>
      <c r="N2011" s="289"/>
      <c r="O2011" s="358"/>
      <c r="P2011" s="402">
        <f t="shared" ref="P2011:Q2011" si="2009">IF(B2011=0,0,IF(YEAR(B2011)=$Q$1,MONTH(B2011)-$P$1+1,(YEAR(B2011)-$Q$1)*12-$P$1+1+MONTH(B2011)))</f>
        <v>0</v>
      </c>
      <c r="Q2011" s="402">
        <f t="shared" si="2009"/>
        <v>0</v>
      </c>
      <c r="R2011" s="356" t="e">
        <f t="shared" si="1325"/>
        <v>#N/A</v>
      </c>
      <c r="S2011" s="269" t="str">
        <f>IF(D2011="","",IF(OR(D2011=Plano!$A$1,D2011=Plano!$B$1),"entrada","saída"))</f>
        <v/>
      </c>
      <c r="T2011" s="269"/>
      <c r="U2011" s="269"/>
      <c r="V2011" s="269"/>
      <c r="W2011" s="269"/>
    </row>
    <row r="2012" spans="1:23" ht="12.75" customHeight="1" x14ac:dyDescent="0.2">
      <c r="A2012" s="289" t="str">
        <f t="shared" si="0"/>
        <v/>
      </c>
      <c r="B2012" s="290"/>
      <c r="C2012" s="404"/>
      <c r="D2012" s="291"/>
      <c r="E2012" s="291"/>
      <c r="F2012" s="292"/>
      <c r="G2012" s="291"/>
      <c r="H2012" s="291"/>
      <c r="I2012" s="293"/>
      <c r="J2012" s="291"/>
      <c r="K2012" s="291"/>
      <c r="L2012" s="293"/>
      <c r="M2012" s="291"/>
      <c r="N2012" s="289"/>
      <c r="O2012" s="358"/>
      <c r="P2012" s="402">
        <f t="shared" ref="P2012:Q2012" si="2010">IF(B2012=0,0,IF(YEAR(B2012)=$Q$1,MONTH(B2012)-$P$1+1,(YEAR(B2012)-$Q$1)*12-$P$1+1+MONTH(B2012)))</f>
        <v>0</v>
      </c>
      <c r="Q2012" s="402">
        <f t="shared" si="2010"/>
        <v>0</v>
      </c>
      <c r="R2012" s="356" t="e">
        <f t="shared" si="1325"/>
        <v>#N/A</v>
      </c>
      <c r="S2012" s="269" t="str">
        <f>IF(D2012="","",IF(OR(D2012=Plano!$A$1,D2012=Plano!$B$1),"entrada","saída"))</f>
        <v/>
      </c>
      <c r="T2012" s="269"/>
      <c r="U2012" s="269"/>
      <c r="V2012" s="269"/>
      <c r="W2012" s="269"/>
    </row>
    <row r="2013" spans="1:23" ht="12.75" customHeight="1" x14ac:dyDescent="0.2">
      <c r="A2013" s="289" t="str">
        <f t="shared" si="0"/>
        <v/>
      </c>
      <c r="B2013" s="290"/>
      <c r="C2013" s="404"/>
      <c r="D2013" s="291"/>
      <c r="E2013" s="291"/>
      <c r="F2013" s="292"/>
      <c r="G2013" s="291"/>
      <c r="H2013" s="291"/>
      <c r="I2013" s="293"/>
      <c r="J2013" s="291"/>
      <c r="K2013" s="291"/>
      <c r="L2013" s="293"/>
      <c r="M2013" s="291"/>
      <c r="N2013" s="289"/>
      <c r="O2013" s="358"/>
      <c r="P2013" s="402">
        <f t="shared" ref="P2013:Q2013" si="2011">IF(B2013=0,0,IF(YEAR(B2013)=$Q$1,MONTH(B2013)-$P$1+1,(YEAR(B2013)-$Q$1)*12-$P$1+1+MONTH(B2013)))</f>
        <v>0</v>
      </c>
      <c r="Q2013" s="402">
        <f t="shared" si="2011"/>
        <v>0</v>
      </c>
      <c r="R2013" s="356" t="e">
        <f t="shared" si="1325"/>
        <v>#N/A</v>
      </c>
      <c r="S2013" s="269" t="str">
        <f>IF(D2013="","",IF(OR(D2013=Plano!$A$1,D2013=Plano!$B$1),"entrada","saída"))</f>
        <v/>
      </c>
      <c r="T2013" s="269"/>
      <c r="U2013" s="269"/>
      <c r="V2013" s="269"/>
      <c r="W2013" s="269"/>
    </row>
    <row r="2014" spans="1:23" ht="12.75" customHeight="1" x14ac:dyDescent="0.2">
      <c r="A2014" s="289" t="str">
        <f t="shared" si="0"/>
        <v/>
      </c>
      <c r="B2014" s="290"/>
      <c r="C2014" s="404"/>
      <c r="D2014" s="291"/>
      <c r="E2014" s="291"/>
      <c r="F2014" s="292"/>
      <c r="G2014" s="291"/>
      <c r="H2014" s="291"/>
      <c r="I2014" s="293"/>
      <c r="J2014" s="291"/>
      <c r="K2014" s="291"/>
      <c r="L2014" s="293"/>
      <c r="M2014" s="291"/>
      <c r="N2014" s="289"/>
      <c r="O2014" s="358"/>
      <c r="P2014" s="402">
        <f t="shared" ref="P2014:Q2014" si="2012">IF(B2014=0,0,IF(YEAR(B2014)=$Q$1,MONTH(B2014)-$P$1+1,(YEAR(B2014)-$Q$1)*12-$P$1+1+MONTH(B2014)))</f>
        <v>0</v>
      </c>
      <c r="Q2014" s="402">
        <f t="shared" si="2012"/>
        <v>0</v>
      </c>
      <c r="R2014" s="356" t="e">
        <f t="shared" si="1325"/>
        <v>#N/A</v>
      </c>
      <c r="S2014" s="269" t="str">
        <f>IF(D2014="","",IF(OR(D2014=Plano!$A$1,D2014=Plano!$B$1),"entrada","saída"))</f>
        <v/>
      </c>
      <c r="T2014" s="269"/>
      <c r="U2014" s="269"/>
      <c r="V2014" s="269"/>
      <c r="W2014" s="269"/>
    </row>
    <row r="2015" spans="1:23" ht="12.75" customHeight="1" x14ac:dyDescent="0.2">
      <c r="A2015" s="289" t="str">
        <f t="shared" si="0"/>
        <v/>
      </c>
      <c r="B2015" s="290"/>
      <c r="C2015" s="404"/>
      <c r="D2015" s="291"/>
      <c r="E2015" s="291"/>
      <c r="F2015" s="292"/>
      <c r="G2015" s="291"/>
      <c r="H2015" s="291"/>
      <c r="I2015" s="293"/>
      <c r="J2015" s="291"/>
      <c r="K2015" s="291"/>
      <c r="L2015" s="293"/>
      <c r="M2015" s="291"/>
      <c r="N2015" s="289"/>
      <c r="O2015" s="358"/>
      <c r="P2015" s="402">
        <f t="shared" ref="P2015:Q2015" si="2013">IF(B2015=0,0,IF(YEAR(B2015)=$Q$1,MONTH(B2015)-$P$1+1,(YEAR(B2015)-$Q$1)*12-$P$1+1+MONTH(B2015)))</f>
        <v>0</v>
      </c>
      <c r="Q2015" s="402">
        <f t="shared" si="2013"/>
        <v>0</v>
      </c>
      <c r="R2015" s="356" t="e">
        <f t="shared" si="1325"/>
        <v>#N/A</v>
      </c>
      <c r="S2015" s="269" t="str">
        <f>IF(D2015="","",IF(OR(D2015=Plano!$A$1,D2015=Plano!$B$1),"entrada","saída"))</f>
        <v/>
      </c>
      <c r="T2015" s="269"/>
      <c r="U2015" s="269"/>
      <c r="V2015" s="269"/>
      <c r="W2015" s="269"/>
    </row>
    <row r="2016" spans="1:23" ht="12.75" customHeight="1" x14ac:dyDescent="0.2">
      <c r="A2016" s="289" t="str">
        <f t="shared" si="0"/>
        <v/>
      </c>
      <c r="B2016" s="290"/>
      <c r="C2016" s="404"/>
      <c r="D2016" s="291"/>
      <c r="E2016" s="291"/>
      <c r="F2016" s="292"/>
      <c r="G2016" s="291"/>
      <c r="H2016" s="291"/>
      <c r="I2016" s="293"/>
      <c r="J2016" s="291"/>
      <c r="K2016" s="291"/>
      <c r="L2016" s="293"/>
      <c r="M2016" s="291"/>
      <c r="N2016" s="289"/>
      <c r="O2016" s="358"/>
      <c r="P2016" s="402">
        <f t="shared" ref="P2016:Q2016" si="2014">IF(B2016=0,0,IF(YEAR(B2016)=$Q$1,MONTH(B2016)-$P$1+1,(YEAR(B2016)-$Q$1)*12-$P$1+1+MONTH(B2016)))</f>
        <v>0</v>
      </c>
      <c r="Q2016" s="402">
        <f t="shared" si="2014"/>
        <v>0</v>
      </c>
      <c r="R2016" s="356" t="e">
        <f t="shared" si="1325"/>
        <v>#N/A</v>
      </c>
      <c r="S2016" s="269" t="str">
        <f>IF(D2016="","",IF(OR(D2016=Plano!$A$1,D2016=Plano!$B$1),"entrada","saída"))</f>
        <v/>
      </c>
      <c r="T2016" s="269"/>
      <c r="U2016" s="269"/>
      <c r="V2016" s="269"/>
      <c r="W2016" s="269"/>
    </row>
    <row r="2017" spans="1:23" ht="12.75" customHeight="1" x14ac:dyDescent="0.2">
      <c r="A2017" s="289" t="str">
        <f t="shared" si="0"/>
        <v/>
      </c>
      <c r="B2017" s="290"/>
      <c r="C2017" s="404"/>
      <c r="D2017" s="291"/>
      <c r="E2017" s="291"/>
      <c r="F2017" s="292"/>
      <c r="G2017" s="291"/>
      <c r="H2017" s="291"/>
      <c r="I2017" s="293"/>
      <c r="J2017" s="291"/>
      <c r="K2017" s="291"/>
      <c r="L2017" s="293"/>
      <c r="M2017" s="291"/>
      <c r="N2017" s="289"/>
      <c r="O2017" s="358"/>
      <c r="P2017" s="402">
        <f t="shared" ref="P2017:Q2017" si="2015">IF(B2017=0,0,IF(YEAR(B2017)=$Q$1,MONTH(B2017)-$P$1+1,(YEAR(B2017)-$Q$1)*12-$P$1+1+MONTH(B2017)))</f>
        <v>0</v>
      </c>
      <c r="Q2017" s="402">
        <f t="shared" si="2015"/>
        <v>0</v>
      </c>
      <c r="R2017" s="356" t="e">
        <f t="shared" si="1325"/>
        <v>#N/A</v>
      </c>
      <c r="S2017" s="269" t="str">
        <f>IF(D2017="","",IF(OR(D2017=Plano!$A$1,D2017=Plano!$B$1),"entrada","saída"))</f>
        <v/>
      </c>
      <c r="T2017" s="269"/>
      <c r="U2017" s="269"/>
      <c r="V2017" s="269"/>
      <c r="W2017" s="269"/>
    </row>
    <row r="2018" spans="1:23" ht="12.75" customHeight="1" x14ac:dyDescent="0.2">
      <c r="A2018" s="289" t="str">
        <f t="shared" si="0"/>
        <v/>
      </c>
      <c r="B2018" s="290"/>
      <c r="C2018" s="404"/>
      <c r="D2018" s="291"/>
      <c r="E2018" s="291"/>
      <c r="F2018" s="292"/>
      <c r="G2018" s="291"/>
      <c r="H2018" s="291"/>
      <c r="I2018" s="293"/>
      <c r="J2018" s="291"/>
      <c r="K2018" s="291"/>
      <c r="L2018" s="293"/>
      <c r="M2018" s="291"/>
      <c r="N2018" s="289"/>
      <c r="O2018" s="358"/>
      <c r="P2018" s="402">
        <f t="shared" ref="P2018:Q2018" si="2016">IF(B2018=0,0,IF(YEAR(B2018)=$Q$1,MONTH(B2018)-$P$1+1,(YEAR(B2018)-$Q$1)*12-$P$1+1+MONTH(B2018)))</f>
        <v>0</v>
      </c>
      <c r="Q2018" s="402">
        <f t="shared" si="2016"/>
        <v>0</v>
      </c>
      <c r="R2018" s="356" t="e">
        <f t="shared" si="1325"/>
        <v>#N/A</v>
      </c>
      <c r="S2018" s="269" t="str">
        <f>IF(D2018="","",IF(OR(D2018=Plano!$A$1,D2018=Plano!$B$1),"entrada","saída"))</f>
        <v/>
      </c>
      <c r="T2018" s="269"/>
      <c r="U2018" s="269"/>
      <c r="V2018" s="269"/>
      <c r="W2018" s="269"/>
    </row>
    <row r="2019" spans="1:23" ht="12.75" customHeight="1" x14ac:dyDescent="0.2">
      <c r="A2019" s="289" t="str">
        <f t="shared" si="0"/>
        <v/>
      </c>
      <c r="B2019" s="290"/>
      <c r="C2019" s="404"/>
      <c r="D2019" s="291"/>
      <c r="E2019" s="291"/>
      <c r="F2019" s="292"/>
      <c r="G2019" s="291"/>
      <c r="H2019" s="291"/>
      <c r="I2019" s="293"/>
      <c r="J2019" s="291"/>
      <c r="K2019" s="291"/>
      <c r="L2019" s="293"/>
      <c r="M2019" s="291"/>
      <c r="N2019" s="289"/>
      <c r="O2019" s="358"/>
      <c r="P2019" s="402">
        <f t="shared" ref="P2019:Q2019" si="2017">IF(B2019=0,0,IF(YEAR(B2019)=$Q$1,MONTH(B2019)-$P$1+1,(YEAR(B2019)-$Q$1)*12-$P$1+1+MONTH(B2019)))</f>
        <v>0</v>
      </c>
      <c r="Q2019" s="402">
        <f t="shared" si="2017"/>
        <v>0</v>
      </c>
      <c r="R2019" s="356" t="e">
        <f t="shared" si="1325"/>
        <v>#N/A</v>
      </c>
      <c r="S2019" s="269" t="str">
        <f>IF(D2019="","",IF(OR(D2019=Plano!$A$1,D2019=Plano!$B$1),"entrada","saída"))</f>
        <v/>
      </c>
      <c r="T2019" s="269"/>
      <c r="U2019" s="269"/>
      <c r="V2019" s="269"/>
      <c r="W2019" s="269"/>
    </row>
    <row r="2020" spans="1:23" ht="12.75" customHeight="1" x14ac:dyDescent="0.2">
      <c r="A2020" s="289" t="str">
        <f t="shared" si="0"/>
        <v/>
      </c>
      <c r="B2020" s="290"/>
      <c r="C2020" s="404"/>
      <c r="D2020" s="291"/>
      <c r="E2020" s="291"/>
      <c r="F2020" s="292"/>
      <c r="G2020" s="291"/>
      <c r="H2020" s="291"/>
      <c r="I2020" s="293"/>
      <c r="J2020" s="291"/>
      <c r="K2020" s="291"/>
      <c r="L2020" s="293"/>
      <c r="M2020" s="291"/>
      <c r="N2020" s="289"/>
      <c r="O2020" s="358"/>
      <c r="P2020" s="402">
        <f t="shared" ref="P2020:Q2020" si="2018">IF(B2020=0,0,IF(YEAR(B2020)=$Q$1,MONTH(B2020)-$P$1+1,(YEAR(B2020)-$Q$1)*12-$P$1+1+MONTH(B2020)))</f>
        <v>0</v>
      </c>
      <c r="Q2020" s="402">
        <f t="shared" si="2018"/>
        <v>0</v>
      </c>
      <c r="R2020" s="356" t="e">
        <f t="shared" si="1325"/>
        <v>#N/A</v>
      </c>
      <c r="S2020" s="269" t="str">
        <f>IF(D2020="","",IF(OR(D2020=Plano!$A$1,D2020=Plano!$B$1),"entrada","saída"))</f>
        <v/>
      </c>
      <c r="T2020" s="269"/>
      <c r="U2020" s="269"/>
      <c r="V2020" s="269"/>
      <c r="W2020" s="269"/>
    </row>
    <row r="2021" spans="1:23" ht="12.75" customHeight="1" x14ac:dyDescent="0.2">
      <c r="A2021" s="289" t="str">
        <f t="shared" si="0"/>
        <v/>
      </c>
      <c r="B2021" s="290"/>
      <c r="C2021" s="404"/>
      <c r="D2021" s="291"/>
      <c r="E2021" s="291"/>
      <c r="F2021" s="292"/>
      <c r="G2021" s="291"/>
      <c r="H2021" s="291"/>
      <c r="I2021" s="293"/>
      <c r="J2021" s="291"/>
      <c r="K2021" s="291"/>
      <c r="L2021" s="293"/>
      <c r="M2021" s="291"/>
      <c r="N2021" s="289"/>
      <c r="O2021" s="358"/>
      <c r="P2021" s="402">
        <f t="shared" ref="P2021:Q2021" si="2019">IF(B2021=0,0,IF(YEAR(B2021)=$Q$1,MONTH(B2021)-$P$1+1,(YEAR(B2021)-$Q$1)*12-$P$1+1+MONTH(B2021)))</f>
        <v>0</v>
      </c>
      <c r="Q2021" s="402">
        <f t="shared" si="2019"/>
        <v>0</v>
      </c>
      <c r="R2021" s="356" t="e">
        <f t="shared" si="1325"/>
        <v>#N/A</v>
      </c>
      <c r="S2021" s="269" t="str">
        <f>IF(D2021="","",IF(OR(D2021=Plano!$A$1,D2021=Plano!$B$1),"entrada","saída"))</f>
        <v/>
      </c>
      <c r="T2021" s="269"/>
      <c r="U2021" s="269"/>
      <c r="V2021" s="269"/>
      <c r="W2021" s="269"/>
    </row>
    <row r="2022" spans="1:23" ht="12.75" customHeight="1" x14ac:dyDescent="0.2">
      <c r="A2022" s="289" t="str">
        <f t="shared" si="0"/>
        <v/>
      </c>
      <c r="B2022" s="290"/>
      <c r="C2022" s="404"/>
      <c r="D2022" s="291"/>
      <c r="E2022" s="291"/>
      <c r="F2022" s="292"/>
      <c r="G2022" s="291"/>
      <c r="H2022" s="291"/>
      <c r="I2022" s="293"/>
      <c r="J2022" s="291"/>
      <c r="K2022" s="291"/>
      <c r="L2022" s="293"/>
      <c r="M2022" s="291"/>
      <c r="N2022" s="289"/>
      <c r="O2022" s="358"/>
      <c r="P2022" s="402">
        <f t="shared" ref="P2022:Q2022" si="2020">IF(B2022=0,0,IF(YEAR(B2022)=$Q$1,MONTH(B2022)-$P$1+1,(YEAR(B2022)-$Q$1)*12-$P$1+1+MONTH(B2022)))</f>
        <v>0</v>
      </c>
      <c r="Q2022" s="402">
        <f t="shared" si="2020"/>
        <v>0</v>
      </c>
      <c r="R2022" s="356" t="e">
        <f t="shared" si="1325"/>
        <v>#N/A</v>
      </c>
      <c r="S2022" s="269" t="str">
        <f>IF(D2022="","",IF(OR(D2022=Plano!$A$1,D2022=Plano!$B$1),"entrada","saída"))</f>
        <v/>
      </c>
      <c r="T2022" s="269"/>
      <c r="U2022" s="269"/>
      <c r="V2022" s="269"/>
      <c r="W2022" s="269"/>
    </row>
    <row r="2023" spans="1:23" ht="12.75" customHeight="1" x14ac:dyDescent="0.2">
      <c r="A2023" s="289" t="str">
        <f t="shared" si="0"/>
        <v/>
      </c>
      <c r="B2023" s="290"/>
      <c r="C2023" s="404"/>
      <c r="D2023" s="291"/>
      <c r="E2023" s="291"/>
      <c r="F2023" s="292"/>
      <c r="G2023" s="291"/>
      <c r="H2023" s="291"/>
      <c r="I2023" s="293"/>
      <c r="J2023" s="291"/>
      <c r="K2023" s="291"/>
      <c r="L2023" s="293"/>
      <c r="M2023" s="291"/>
      <c r="N2023" s="289"/>
      <c r="O2023" s="358"/>
      <c r="P2023" s="402">
        <f t="shared" ref="P2023:Q2023" si="2021">IF(B2023=0,0,IF(YEAR(B2023)=$Q$1,MONTH(B2023)-$P$1+1,(YEAR(B2023)-$Q$1)*12-$P$1+1+MONTH(B2023)))</f>
        <v>0</v>
      </c>
      <c r="Q2023" s="402">
        <f t="shared" si="2021"/>
        <v>0</v>
      </c>
      <c r="R2023" s="356" t="e">
        <f t="shared" si="1325"/>
        <v>#N/A</v>
      </c>
      <c r="S2023" s="269" t="str">
        <f>IF(D2023="","",IF(OR(D2023=Plano!$A$1,D2023=Plano!$B$1),"entrada","saída"))</f>
        <v/>
      </c>
      <c r="T2023" s="269"/>
      <c r="U2023" s="269"/>
      <c r="V2023" s="269"/>
      <c r="W2023" s="269"/>
    </row>
    <row r="2024" spans="1:23" ht="12.75" customHeight="1" x14ac:dyDescent="0.2">
      <c r="A2024" s="289" t="str">
        <f t="shared" si="0"/>
        <v/>
      </c>
      <c r="B2024" s="290"/>
      <c r="C2024" s="404"/>
      <c r="D2024" s="291"/>
      <c r="E2024" s="291"/>
      <c r="F2024" s="292"/>
      <c r="G2024" s="291"/>
      <c r="H2024" s="291"/>
      <c r="I2024" s="293"/>
      <c r="J2024" s="291"/>
      <c r="K2024" s="291"/>
      <c r="L2024" s="293"/>
      <c r="M2024" s="291"/>
      <c r="N2024" s="289"/>
      <c r="O2024" s="358"/>
      <c r="P2024" s="402">
        <f t="shared" ref="P2024:Q2024" si="2022">IF(B2024=0,0,IF(YEAR(B2024)=$Q$1,MONTH(B2024)-$P$1+1,(YEAR(B2024)-$Q$1)*12-$P$1+1+MONTH(B2024)))</f>
        <v>0</v>
      </c>
      <c r="Q2024" s="402">
        <f t="shared" si="2022"/>
        <v>0</v>
      </c>
      <c r="R2024" s="356" t="e">
        <f t="shared" si="1325"/>
        <v>#N/A</v>
      </c>
      <c r="S2024" s="269" t="str">
        <f>IF(D2024="","",IF(OR(D2024=Plano!$A$1,D2024=Plano!$B$1),"entrada","saída"))</f>
        <v/>
      </c>
      <c r="T2024" s="269"/>
      <c r="U2024" s="269"/>
      <c r="V2024" s="269"/>
      <c r="W2024" s="269"/>
    </row>
    <row r="2025" spans="1:23" ht="12.75" customHeight="1" x14ac:dyDescent="0.2">
      <c r="A2025" s="289" t="str">
        <f t="shared" si="0"/>
        <v/>
      </c>
      <c r="B2025" s="290"/>
      <c r="C2025" s="404"/>
      <c r="D2025" s="291"/>
      <c r="E2025" s="291"/>
      <c r="F2025" s="292"/>
      <c r="G2025" s="291"/>
      <c r="H2025" s="291"/>
      <c r="I2025" s="293"/>
      <c r="J2025" s="291"/>
      <c r="K2025" s="291"/>
      <c r="L2025" s="293"/>
      <c r="M2025" s="291"/>
      <c r="N2025" s="289"/>
      <c r="O2025" s="358"/>
      <c r="P2025" s="402">
        <f t="shared" ref="P2025:Q2025" si="2023">IF(B2025=0,0,IF(YEAR(B2025)=$Q$1,MONTH(B2025)-$P$1+1,(YEAR(B2025)-$Q$1)*12-$P$1+1+MONTH(B2025)))</f>
        <v>0</v>
      </c>
      <c r="Q2025" s="402">
        <f t="shared" si="2023"/>
        <v>0</v>
      </c>
      <c r="R2025" s="356" t="e">
        <f t="shared" si="1325"/>
        <v>#N/A</v>
      </c>
      <c r="S2025" s="269" t="str">
        <f>IF(D2025="","",IF(OR(D2025=Plano!$A$1,D2025=Plano!$B$1),"entrada","saída"))</f>
        <v/>
      </c>
      <c r="T2025" s="269"/>
      <c r="U2025" s="269"/>
      <c r="V2025" s="269"/>
      <c r="W2025" s="269"/>
    </row>
    <row r="2026" spans="1:23" ht="12.75" customHeight="1" x14ac:dyDescent="0.2">
      <c r="A2026" s="289" t="str">
        <f t="shared" si="0"/>
        <v/>
      </c>
      <c r="B2026" s="290"/>
      <c r="C2026" s="404"/>
      <c r="D2026" s="291"/>
      <c r="E2026" s="291"/>
      <c r="F2026" s="292"/>
      <c r="G2026" s="291"/>
      <c r="H2026" s="291"/>
      <c r="I2026" s="293"/>
      <c r="J2026" s="291"/>
      <c r="K2026" s="291"/>
      <c r="L2026" s="293"/>
      <c r="M2026" s="291"/>
      <c r="N2026" s="289"/>
      <c r="O2026" s="358"/>
      <c r="P2026" s="402">
        <f t="shared" ref="P2026:Q2026" si="2024">IF(B2026=0,0,IF(YEAR(B2026)=$Q$1,MONTH(B2026)-$P$1+1,(YEAR(B2026)-$Q$1)*12-$P$1+1+MONTH(B2026)))</f>
        <v>0</v>
      </c>
      <c r="Q2026" s="402">
        <f t="shared" si="2024"/>
        <v>0</v>
      </c>
      <c r="R2026" s="356" t="e">
        <f t="shared" si="1325"/>
        <v>#N/A</v>
      </c>
      <c r="S2026" s="269" t="str">
        <f>IF(D2026="","",IF(OR(D2026=Plano!$A$1,D2026=Plano!$B$1),"entrada","saída"))</f>
        <v/>
      </c>
      <c r="T2026" s="269"/>
      <c r="U2026" s="269"/>
      <c r="V2026" s="269"/>
      <c r="W2026" s="269"/>
    </row>
    <row r="2027" spans="1:23" ht="12.75" customHeight="1" x14ac:dyDescent="0.2">
      <c r="A2027" s="289" t="str">
        <f t="shared" si="0"/>
        <v/>
      </c>
      <c r="B2027" s="290"/>
      <c r="C2027" s="404"/>
      <c r="D2027" s="291"/>
      <c r="E2027" s="291"/>
      <c r="F2027" s="292"/>
      <c r="G2027" s="291"/>
      <c r="H2027" s="291"/>
      <c r="I2027" s="293"/>
      <c r="J2027" s="291"/>
      <c r="K2027" s="291"/>
      <c r="L2027" s="293"/>
      <c r="M2027" s="291"/>
      <c r="N2027" s="289"/>
      <c r="O2027" s="358"/>
      <c r="P2027" s="402">
        <f t="shared" ref="P2027:Q2027" si="2025">IF(B2027=0,0,IF(YEAR(B2027)=$Q$1,MONTH(B2027)-$P$1+1,(YEAR(B2027)-$Q$1)*12-$P$1+1+MONTH(B2027)))</f>
        <v>0</v>
      </c>
      <c r="Q2027" s="402">
        <f t="shared" si="2025"/>
        <v>0</v>
      </c>
      <c r="R2027" s="356" t="e">
        <f t="shared" si="1325"/>
        <v>#N/A</v>
      </c>
      <c r="S2027" s="269" t="str">
        <f>IF(D2027="","",IF(OR(D2027=Plano!$A$1,D2027=Plano!$B$1),"entrada","saída"))</f>
        <v/>
      </c>
      <c r="T2027" s="269"/>
      <c r="U2027" s="269"/>
      <c r="V2027" s="269"/>
      <c r="W2027" s="269"/>
    </row>
    <row r="2028" spans="1:23" ht="12.75" customHeight="1" x14ac:dyDescent="0.2">
      <c r="A2028" s="289" t="str">
        <f t="shared" si="0"/>
        <v/>
      </c>
      <c r="B2028" s="290"/>
      <c r="C2028" s="404"/>
      <c r="D2028" s="291"/>
      <c r="E2028" s="291"/>
      <c r="F2028" s="292"/>
      <c r="G2028" s="291"/>
      <c r="H2028" s="291"/>
      <c r="I2028" s="293"/>
      <c r="J2028" s="291"/>
      <c r="K2028" s="291"/>
      <c r="L2028" s="293"/>
      <c r="M2028" s="291"/>
      <c r="N2028" s="289"/>
      <c r="O2028" s="358"/>
      <c r="P2028" s="402">
        <f t="shared" ref="P2028:Q2028" si="2026">IF(B2028=0,0,IF(YEAR(B2028)=$Q$1,MONTH(B2028)-$P$1+1,(YEAR(B2028)-$Q$1)*12-$P$1+1+MONTH(B2028)))</f>
        <v>0</v>
      </c>
      <c r="Q2028" s="402">
        <f t="shared" si="2026"/>
        <v>0</v>
      </c>
      <c r="R2028" s="356" t="e">
        <f t="shared" si="1325"/>
        <v>#N/A</v>
      </c>
      <c r="S2028" s="269" t="str">
        <f>IF(D2028="","",IF(OR(D2028=Plano!$A$1,D2028=Plano!$B$1),"entrada","saída"))</f>
        <v/>
      </c>
      <c r="T2028" s="269"/>
      <c r="U2028" s="269"/>
      <c r="V2028" s="269"/>
      <c r="W2028" s="269"/>
    </row>
    <row r="2029" spans="1:23" ht="12.75" customHeight="1" x14ac:dyDescent="0.2">
      <c r="A2029" s="289" t="str">
        <f t="shared" si="0"/>
        <v/>
      </c>
      <c r="B2029" s="290"/>
      <c r="C2029" s="404"/>
      <c r="D2029" s="291"/>
      <c r="E2029" s="291"/>
      <c r="F2029" s="292"/>
      <c r="G2029" s="291"/>
      <c r="H2029" s="291"/>
      <c r="I2029" s="293"/>
      <c r="J2029" s="291"/>
      <c r="K2029" s="291"/>
      <c r="L2029" s="293"/>
      <c r="M2029" s="291"/>
      <c r="N2029" s="289"/>
      <c r="O2029" s="358"/>
      <c r="P2029" s="402">
        <f t="shared" ref="P2029:Q2029" si="2027">IF(B2029=0,0,IF(YEAR(B2029)=$Q$1,MONTH(B2029)-$P$1+1,(YEAR(B2029)-$Q$1)*12-$P$1+1+MONTH(B2029)))</f>
        <v>0</v>
      </c>
      <c r="Q2029" s="402">
        <f t="shared" si="2027"/>
        <v>0</v>
      </c>
      <c r="R2029" s="356" t="e">
        <f t="shared" si="1325"/>
        <v>#N/A</v>
      </c>
      <c r="S2029" s="269" t="str">
        <f>IF(D2029="","",IF(OR(D2029=Plano!$A$1,D2029=Plano!$B$1),"entrada","saída"))</f>
        <v/>
      </c>
      <c r="T2029" s="269"/>
      <c r="U2029" s="269"/>
      <c r="V2029" s="269"/>
      <c r="W2029" s="269"/>
    </row>
    <row r="2030" spans="1:23" ht="12.75" customHeight="1" x14ac:dyDescent="0.2">
      <c r="A2030" s="289" t="str">
        <f t="shared" si="0"/>
        <v/>
      </c>
      <c r="B2030" s="290"/>
      <c r="C2030" s="404"/>
      <c r="D2030" s="291"/>
      <c r="E2030" s="291"/>
      <c r="F2030" s="292"/>
      <c r="G2030" s="291"/>
      <c r="H2030" s="291"/>
      <c r="I2030" s="293"/>
      <c r="J2030" s="291"/>
      <c r="K2030" s="291"/>
      <c r="L2030" s="293"/>
      <c r="M2030" s="291"/>
      <c r="N2030" s="289"/>
      <c r="O2030" s="358"/>
      <c r="P2030" s="402">
        <f t="shared" ref="P2030:Q2030" si="2028">IF(B2030=0,0,IF(YEAR(B2030)=$Q$1,MONTH(B2030)-$P$1+1,(YEAR(B2030)-$Q$1)*12-$P$1+1+MONTH(B2030)))</f>
        <v>0</v>
      </c>
      <c r="Q2030" s="402">
        <f t="shared" si="2028"/>
        <v>0</v>
      </c>
      <c r="R2030" s="356" t="e">
        <f t="shared" si="1325"/>
        <v>#N/A</v>
      </c>
      <c r="S2030" s="269" t="str">
        <f>IF(D2030="","",IF(OR(D2030=Plano!$A$1,D2030=Plano!$B$1),"entrada","saída"))</f>
        <v/>
      </c>
      <c r="T2030" s="269"/>
      <c r="U2030" s="269"/>
      <c r="V2030" s="269"/>
      <c r="W2030" s="269"/>
    </row>
    <row r="2031" spans="1:23" ht="12.75" customHeight="1" x14ac:dyDescent="0.2">
      <c r="A2031" s="289" t="str">
        <f t="shared" si="0"/>
        <v/>
      </c>
      <c r="B2031" s="290"/>
      <c r="C2031" s="404"/>
      <c r="D2031" s="291"/>
      <c r="E2031" s="291"/>
      <c r="F2031" s="292"/>
      <c r="G2031" s="291"/>
      <c r="H2031" s="291"/>
      <c r="I2031" s="293"/>
      <c r="J2031" s="291"/>
      <c r="K2031" s="291"/>
      <c r="L2031" s="293"/>
      <c r="M2031" s="291"/>
      <c r="N2031" s="289"/>
      <c r="O2031" s="358"/>
      <c r="P2031" s="402">
        <f t="shared" ref="P2031:Q2031" si="2029">IF(B2031=0,0,IF(YEAR(B2031)=$Q$1,MONTH(B2031)-$P$1+1,(YEAR(B2031)-$Q$1)*12-$P$1+1+MONTH(B2031)))</f>
        <v>0</v>
      </c>
      <c r="Q2031" s="402">
        <f t="shared" si="2029"/>
        <v>0</v>
      </c>
      <c r="R2031" s="356" t="e">
        <f t="shared" si="1325"/>
        <v>#N/A</v>
      </c>
      <c r="S2031" s="269" t="str">
        <f>IF(D2031="","",IF(OR(D2031=Plano!$A$1,D2031=Plano!$B$1),"entrada","saída"))</f>
        <v/>
      </c>
      <c r="T2031" s="269"/>
      <c r="U2031" s="269"/>
      <c r="V2031" s="269"/>
      <c r="W2031" s="269"/>
    </row>
    <row r="2032" spans="1:23" ht="12.75" customHeight="1" x14ac:dyDescent="0.2">
      <c r="A2032" s="289" t="str">
        <f t="shared" si="0"/>
        <v/>
      </c>
      <c r="B2032" s="290"/>
      <c r="C2032" s="404"/>
      <c r="D2032" s="291"/>
      <c r="E2032" s="291"/>
      <c r="F2032" s="292"/>
      <c r="G2032" s="291"/>
      <c r="H2032" s="291"/>
      <c r="I2032" s="293"/>
      <c r="J2032" s="291"/>
      <c r="K2032" s="291"/>
      <c r="L2032" s="293"/>
      <c r="M2032" s="291"/>
      <c r="N2032" s="289"/>
      <c r="O2032" s="358"/>
      <c r="P2032" s="402">
        <f t="shared" ref="P2032:Q2032" si="2030">IF(B2032=0,0,IF(YEAR(B2032)=$Q$1,MONTH(B2032)-$P$1+1,(YEAR(B2032)-$Q$1)*12-$P$1+1+MONTH(B2032)))</f>
        <v>0</v>
      </c>
      <c r="Q2032" s="402">
        <f t="shared" si="2030"/>
        <v>0</v>
      </c>
      <c r="R2032" s="356" t="e">
        <f t="shared" si="1325"/>
        <v>#N/A</v>
      </c>
      <c r="S2032" s="269" t="str">
        <f>IF(D2032="","",IF(OR(D2032=Plano!$A$1,D2032=Plano!$B$1),"entrada","saída"))</f>
        <v/>
      </c>
      <c r="T2032" s="269"/>
      <c r="U2032" s="269"/>
      <c r="V2032" s="269"/>
      <c r="W2032" s="269"/>
    </row>
    <row r="2033" spans="1:23" ht="12.75" customHeight="1" x14ac:dyDescent="0.2">
      <c r="A2033" s="289" t="str">
        <f t="shared" si="0"/>
        <v/>
      </c>
      <c r="B2033" s="290"/>
      <c r="C2033" s="404"/>
      <c r="D2033" s="291"/>
      <c r="E2033" s="291"/>
      <c r="F2033" s="292"/>
      <c r="G2033" s="291"/>
      <c r="H2033" s="291"/>
      <c r="I2033" s="293"/>
      <c r="J2033" s="291"/>
      <c r="K2033" s="291"/>
      <c r="L2033" s="293"/>
      <c r="M2033" s="291"/>
      <c r="N2033" s="289"/>
      <c r="O2033" s="358"/>
      <c r="P2033" s="402">
        <f t="shared" ref="P2033:Q2033" si="2031">IF(B2033=0,0,IF(YEAR(B2033)=$Q$1,MONTH(B2033)-$P$1+1,(YEAR(B2033)-$Q$1)*12-$P$1+1+MONTH(B2033)))</f>
        <v>0</v>
      </c>
      <c r="Q2033" s="402">
        <f t="shared" si="2031"/>
        <v>0</v>
      </c>
      <c r="R2033" s="356" t="e">
        <f t="shared" si="1325"/>
        <v>#N/A</v>
      </c>
      <c r="S2033" s="269" t="str">
        <f>IF(D2033="","",IF(OR(D2033=Plano!$A$1,D2033=Plano!$B$1),"entrada","saída"))</f>
        <v/>
      </c>
      <c r="T2033" s="269"/>
      <c r="U2033" s="269"/>
      <c r="V2033" s="269"/>
      <c r="W2033" s="269"/>
    </row>
    <row r="2034" spans="1:23" ht="12.75" customHeight="1" x14ac:dyDescent="0.2">
      <c r="A2034" s="289" t="str">
        <f t="shared" si="0"/>
        <v/>
      </c>
      <c r="B2034" s="290"/>
      <c r="C2034" s="404"/>
      <c r="D2034" s="291"/>
      <c r="E2034" s="291"/>
      <c r="F2034" s="292"/>
      <c r="G2034" s="291"/>
      <c r="H2034" s="291"/>
      <c r="I2034" s="293"/>
      <c r="J2034" s="291"/>
      <c r="K2034" s="291"/>
      <c r="L2034" s="293"/>
      <c r="M2034" s="291"/>
      <c r="N2034" s="289"/>
      <c r="O2034" s="358"/>
      <c r="P2034" s="402">
        <f t="shared" ref="P2034:Q2034" si="2032">IF(B2034=0,0,IF(YEAR(B2034)=$Q$1,MONTH(B2034)-$P$1+1,(YEAR(B2034)-$Q$1)*12-$P$1+1+MONTH(B2034)))</f>
        <v>0</v>
      </c>
      <c r="Q2034" s="402">
        <f t="shared" si="2032"/>
        <v>0</v>
      </c>
      <c r="R2034" s="356" t="e">
        <f t="shared" si="1325"/>
        <v>#N/A</v>
      </c>
      <c r="S2034" s="269" t="str">
        <f>IF(D2034="","",IF(OR(D2034=Plano!$A$1,D2034=Plano!$B$1),"entrada","saída"))</f>
        <v/>
      </c>
      <c r="T2034" s="269"/>
      <c r="U2034" s="269"/>
      <c r="V2034" s="269"/>
      <c r="W2034" s="269"/>
    </row>
    <row r="2035" spans="1:23" ht="12.75" customHeight="1" x14ac:dyDescent="0.2">
      <c r="A2035" s="289" t="str">
        <f t="shared" si="0"/>
        <v/>
      </c>
      <c r="B2035" s="290"/>
      <c r="C2035" s="404"/>
      <c r="D2035" s="291"/>
      <c r="E2035" s="291"/>
      <c r="F2035" s="292"/>
      <c r="G2035" s="291"/>
      <c r="H2035" s="291"/>
      <c r="I2035" s="293"/>
      <c r="J2035" s="291"/>
      <c r="K2035" s="291"/>
      <c r="L2035" s="293"/>
      <c r="M2035" s="291"/>
      <c r="N2035" s="289"/>
      <c r="O2035" s="358"/>
      <c r="P2035" s="402">
        <f t="shared" ref="P2035:Q2035" si="2033">IF(B2035=0,0,IF(YEAR(B2035)=$Q$1,MONTH(B2035)-$P$1+1,(YEAR(B2035)-$Q$1)*12-$P$1+1+MONTH(B2035)))</f>
        <v>0</v>
      </c>
      <c r="Q2035" s="402">
        <f t="shared" si="2033"/>
        <v>0</v>
      </c>
      <c r="R2035" s="356" t="e">
        <f t="shared" si="1325"/>
        <v>#N/A</v>
      </c>
      <c r="S2035" s="269" t="str">
        <f>IF(D2035="","",IF(OR(D2035=Plano!$A$1,D2035=Plano!$B$1),"entrada","saída"))</f>
        <v/>
      </c>
      <c r="T2035" s="269"/>
      <c r="U2035" s="269"/>
      <c r="V2035" s="269"/>
      <c r="W2035" s="269"/>
    </row>
    <row r="2036" spans="1:23" ht="12.75" customHeight="1" x14ac:dyDescent="0.2">
      <c r="A2036" s="289" t="str">
        <f t="shared" si="0"/>
        <v/>
      </c>
      <c r="B2036" s="290"/>
      <c r="C2036" s="404"/>
      <c r="D2036" s="291"/>
      <c r="E2036" s="291"/>
      <c r="F2036" s="292"/>
      <c r="G2036" s="291"/>
      <c r="H2036" s="291"/>
      <c r="I2036" s="293"/>
      <c r="J2036" s="291"/>
      <c r="K2036" s="291"/>
      <c r="L2036" s="293"/>
      <c r="M2036" s="291"/>
      <c r="N2036" s="289"/>
      <c r="O2036" s="358"/>
      <c r="P2036" s="402">
        <f t="shared" ref="P2036:Q2036" si="2034">IF(B2036=0,0,IF(YEAR(B2036)=$Q$1,MONTH(B2036)-$P$1+1,(YEAR(B2036)-$Q$1)*12-$P$1+1+MONTH(B2036)))</f>
        <v>0</v>
      </c>
      <c r="Q2036" s="402">
        <f t="shared" si="2034"/>
        <v>0</v>
      </c>
      <c r="R2036" s="356" t="e">
        <f t="shared" si="1325"/>
        <v>#N/A</v>
      </c>
      <c r="S2036" s="269" t="str">
        <f>IF(D2036="","",IF(OR(D2036=Plano!$A$1,D2036=Plano!$B$1),"entrada","saída"))</f>
        <v/>
      </c>
      <c r="T2036" s="269"/>
      <c r="U2036" s="269"/>
      <c r="V2036" s="269"/>
      <c r="W2036" s="269"/>
    </row>
    <row r="2037" spans="1:23" ht="12.75" customHeight="1" x14ac:dyDescent="0.2">
      <c r="A2037" s="289" t="str">
        <f t="shared" si="0"/>
        <v/>
      </c>
      <c r="B2037" s="290"/>
      <c r="C2037" s="404"/>
      <c r="D2037" s="291"/>
      <c r="E2037" s="291"/>
      <c r="F2037" s="292"/>
      <c r="G2037" s="291"/>
      <c r="H2037" s="291"/>
      <c r="I2037" s="293"/>
      <c r="J2037" s="291"/>
      <c r="K2037" s="291"/>
      <c r="L2037" s="293"/>
      <c r="M2037" s="291"/>
      <c r="N2037" s="289"/>
      <c r="O2037" s="358"/>
      <c r="P2037" s="402">
        <f t="shared" ref="P2037:Q2037" si="2035">IF(B2037=0,0,IF(YEAR(B2037)=$Q$1,MONTH(B2037)-$P$1+1,(YEAR(B2037)-$Q$1)*12-$P$1+1+MONTH(B2037)))</f>
        <v>0</v>
      </c>
      <c r="Q2037" s="402">
        <f t="shared" si="2035"/>
        <v>0</v>
      </c>
      <c r="R2037" s="356" t="e">
        <f t="shared" si="1325"/>
        <v>#N/A</v>
      </c>
      <c r="S2037" s="269" t="str">
        <f>IF(D2037="","",IF(OR(D2037=Plano!$A$1,D2037=Plano!$B$1),"entrada","saída"))</f>
        <v/>
      </c>
      <c r="T2037" s="269"/>
      <c r="U2037" s="269"/>
      <c r="V2037" s="269"/>
      <c r="W2037" s="269"/>
    </row>
    <row r="2038" spans="1:23" ht="12.75" customHeight="1" x14ac:dyDescent="0.2">
      <c r="A2038" s="289" t="str">
        <f t="shared" si="0"/>
        <v/>
      </c>
      <c r="B2038" s="290"/>
      <c r="C2038" s="404"/>
      <c r="D2038" s="291"/>
      <c r="E2038" s="291"/>
      <c r="F2038" s="292"/>
      <c r="G2038" s="291"/>
      <c r="H2038" s="291"/>
      <c r="I2038" s="293"/>
      <c r="J2038" s="291"/>
      <c r="K2038" s="291"/>
      <c r="L2038" s="293"/>
      <c r="M2038" s="291"/>
      <c r="N2038" s="289"/>
      <c r="O2038" s="358"/>
      <c r="P2038" s="402">
        <f t="shared" ref="P2038:Q2038" si="2036">IF(B2038=0,0,IF(YEAR(B2038)=$Q$1,MONTH(B2038)-$P$1+1,(YEAR(B2038)-$Q$1)*12-$P$1+1+MONTH(B2038)))</f>
        <v>0</v>
      </c>
      <c r="Q2038" s="402">
        <f t="shared" si="2036"/>
        <v>0</v>
      </c>
      <c r="R2038" s="356" t="e">
        <f t="shared" si="1325"/>
        <v>#N/A</v>
      </c>
      <c r="S2038" s="269" t="str">
        <f>IF(D2038="","",IF(OR(D2038=Plano!$A$1,D2038=Plano!$B$1),"entrada","saída"))</f>
        <v/>
      </c>
      <c r="T2038" s="269"/>
      <c r="U2038" s="269"/>
      <c r="V2038" s="269"/>
      <c r="W2038" s="269"/>
    </row>
    <row r="2039" spans="1:23" ht="12.75" customHeight="1" x14ac:dyDescent="0.2">
      <c r="A2039" s="289" t="str">
        <f t="shared" si="0"/>
        <v/>
      </c>
      <c r="B2039" s="290"/>
      <c r="C2039" s="404"/>
      <c r="D2039" s="291"/>
      <c r="E2039" s="291"/>
      <c r="F2039" s="292"/>
      <c r="G2039" s="291"/>
      <c r="H2039" s="291"/>
      <c r="I2039" s="293"/>
      <c r="J2039" s="291"/>
      <c r="K2039" s="291"/>
      <c r="L2039" s="293"/>
      <c r="M2039" s="291"/>
      <c r="N2039" s="289"/>
      <c r="O2039" s="358"/>
      <c r="P2039" s="402">
        <f t="shared" ref="P2039:Q2039" si="2037">IF(B2039=0,0,IF(YEAR(B2039)=$Q$1,MONTH(B2039)-$P$1+1,(YEAR(B2039)-$Q$1)*12-$P$1+1+MONTH(B2039)))</f>
        <v>0</v>
      </c>
      <c r="Q2039" s="402">
        <f t="shared" si="2037"/>
        <v>0</v>
      </c>
      <c r="R2039" s="356" t="e">
        <f t="shared" si="1325"/>
        <v>#N/A</v>
      </c>
      <c r="S2039" s="269" t="str">
        <f>IF(D2039="","",IF(OR(D2039=Plano!$A$1,D2039=Plano!$B$1),"entrada","saída"))</f>
        <v/>
      </c>
      <c r="T2039" s="269"/>
      <c r="U2039" s="269"/>
      <c r="V2039" s="269"/>
      <c r="W2039" s="269"/>
    </row>
    <row r="2040" spans="1:23" ht="12.75" customHeight="1" x14ac:dyDescent="0.2">
      <c r="A2040" s="289" t="str">
        <f t="shared" si="0"/>
        <v/>
      </c>
      <c r="B2040" s="290"/>
      <c r="C2040" s="404"/>
      <c r="D2040" s="291"/>
      <c r="E2040" s="291"/>
      <c r="F2040" s="292"/>
      <c r="G2040" s="291"/>
      <c r="H2040" s="291"/>
      <c r="I2040" s="293"/>
      <c r="J2040" s="291"/>
      <c r="K2040" s="291"/>
      <c r="L2040" s="293"/>
      <c r="M2040" s="291"/>
      <c r="N2040" s="289"/>
      <c r="O2040" s="358"/>
      <c r="P2040" s="402">
        <f t="shared" ref="P2040:Q2040" si="2038">IF(B2040=0,0,IF(YEAR(B2040)=$Q$1,MONTH(B2040)-$P$1+1,(YEAR(B2040)-$Q$1)*12-$P$1+1+MONTH(B2040)))</f>
        <v>0</v>
      </c>
      <c r="Q2040" s="402">
        <f t="shared" si="2038"/>
        <v>0</v>
      </c>
      <c r="R2040" s="356" t="e">
        <f t="shared" si="1325"/>
        <v>#N/A</v>
      </c>
      <c r="S2040" s="269" t="str">
        <f>IF(D2040="","",IF(OR(D2040=Plano!$A$1,D2040=Plano!$B$1),"entrada","saída"))</f>
        <v/>
      </c>
      <c r="T2040" s="269"/>
      <c r="U2040" s="269"/>
      <c r="V2040" s="269"/>
      <c r="W2040" s="269"/>
    </row>
    <row r="2041" spans="1:23" ht="12.75" customHeight="1" x14ac:dyDescent="0.2">
      <c r="A2041" s="289" t="str">
        <f t="shared" si="0"/>
        <v/>
      </c>
      <c r="B2041" s="290"/>
      <c r="C2041" s="404"/>
      <c r="D2041" s="291"/>
      <c r="E2041" s="291"/>
      <c r="F2041" s="292"/>
      <c r="G2041" s="291"/>
      <c r="H2041" s="291"/>
      <c r="I2041" s="293"/>
      <c r="J2041" s="291"/>
      <c r="K2041" s="291"/>
      <c r="L2041" s="293"/>
      <c r="M2041" s="291"/>
      <c r="N2041" s="289"/>
      <c r="O2041" s="358"/>
      <c r="P2041" s="402">
        <f t="shared" ref="P2041:Q2041" si="2039">IF(B2041=0,0,IF(YEAR(B2041)=$Q$1,MONTH(B2041)-$P$1+1,(YEAR(B2041)-$Q$1)*12-$P$1+1+MONTH(B2041)))</f>
        <v>0</v>
      </c>
      <c r="Q2041" s="402">
        <f t="shared" si="2039"/>
        <v>0</v>
      </c>
      <c r="R2041" s="356" t="e">
        <f t="shared" si="1325"/>
        <v>#N/A</v>
      </c>
      <c r="S2041" s="269" t="str">
        <f>IF(D2041="","",IF(OR(D2041=Plano!$A$1,D2041=Plano!$B$1),"entrada","saída"))</f>
        <v/>
      </c>
      <c r="T2041" s="269"/>
      <c r="U2041" s="269"/>
      <c r="V2041" s="269"/>
      <c r="W2041" s="269"/>
    </row>
    <row r="2042" spans="1:23" ht="12.75" customHeight="1" x14ac:dyDescent="0.2">
      <c r="A2042" s="289" t="str">
        <f t="shared" si="0"/>
        <v/>
      </c>
      <c r="B2042" s="290"/>
      <c r="C2042" s="404"/>
      <c r="D2042" s="291"/>
      <c r="E2042" s="291"/>
      <c r="F2042" s="292"/>
      <c r="G2042" s="291"/>
      <c r="H2042" s="291"/>
      <c r="I2042" s="293"/>
      <c r="J2042" s="291"/>
      <c r="K2042" s="291"/>
      <c r="L2042" s="293"/>
      <c r="M2042" s="291"/>
      <c r="N2042" s="289"/>
      <c r="O2042" s="358"/>
      <c r="P2042" s="402">
        <f t="shared" ref="P2042:Q2042" si="2040">IF(B2042=0,0,IF(YEAR(B2042)=$Q$1,MONTH(B2042)-$P$1+1,(YEAR(B2042)-$Q$1)*12-$P$1+1+MONTH(B2042)))</f>
        <v>0</v>
      </c>
      <c r="Q2042" s="402">
        <f t="shared" si="2040"/>
        <v>0</v>
      </c>
      <c r="R2042" s="356" t="e">
        <f t="shared" si="1325"/>
        <v>#N/A</v>
      </c>
      <c r="S2042" s="269" t="str">
        <f>IF(D2042="","",IF(OR(D2042=Plano!$A$1,D2042=Plano!$B$1),"entrada","saída"))</f>
        <v/>
      </c>
      <c r="T2042" s="269"/>
      <c r="U2042" s="269"/>
      <c r="V2042" s="269"/>
      <c r="W2042" s="269"/>
    </row>
    <row r="2043" spans="1:23" ht="12.75" customHeight="1" x14ac:dyDescent="0.2">
      <c r="A2043" s="289" t="str">
        <f t="shared" si="0"/>
        <v/>
      </c>
      <c r="B2043" s="290"/>
      <c r="C2043" s="404"/>
      <c r="D2043" s="291"/>
      <c r="E2043" s="291"/>
      <c r="F2043" s="292"/>
      <c r="G2043" s="291"/>
      <c r="H2043" s="291"/>
      <c r="I2043" s="293"/>
      <c r="J2043" s="291"/>
      <c r="K2043" s="291"/>
      <c r="L2043" s="293"/>
      <c r="M2043" s="291"/>
      <c r="N2043" s="289"/>
      <c r="O2043" s="358"/>
      <c r="P2043" s="402">
        <f t="shared" ref="P2043:Q2043" si="2041">IF(B2043=0,0,IF(YEAR(B2043)=$Q$1,MONTH(B2043)-$P$1+1,(YEAR(B2043)-$Q$1)*12-$P$1+1+MONTH(B2043)))</f>
        <v>0</v>
      </c>
      <c r="Q2043" s="402">
        <f t="shared" si="2041"/>
        <v>0</v>
      </c>
      <c r="R2043" s="356" t="e">
        <f t="shared" si="1325"/>
        <v>#N/A</v>
      </c>
      <c r="S2043" s="269" t="str">
        <f>IF(D2043="","",IF(OR(D2043=Plano!$A$1,D2043=Plano!$B$1),"entrada","saída"))</f>
        <v/>
      </c>
      <c r="T2043" s="269"/>
      <c r="U2043" s="269"/>
      <c r="V2043" s="269"/>
      <c r="W2043" s="269"/>
    </row>
    <row r="2044" spans="1:23" ht="12.75" customHeight="1" x14ac:dyDescent="0.2">
      <c r="A2044" s="289" t="str">
        <f t="shared" si="0"/>
        <v/>
      </c>
      <c r="B2044" s="290"/>
      <c r="C2044" s="404"/>
      <c r="D2044" s="291"/>
      <c r="E2044" s="291"/>
      <c r="F2044" s="292"/>
      <c r="G2044" s="291"/>
      <c r="H2044" s="291"/>
      <c r="I2044" s="293"/>
      <c r="J2044" s="291"/>
      <c r="K2044" s="291"/>
      <c r="L2044" s="293"/>
      <c r="M2044" s="291"/>
      <c r="N2044" s="289"/>
      <c r="O2044" s="358"/>
      <c r="P2044" s="402">
        <f t="shared" ref="P2044:Q2044" si="2042">IF(B2044=0,0,IF(YEAR(B2044)=$Q$1,MONTH(B2044)-$P$1+1,(YEAR(B2044)-$Q$1)*12-$P$1+1+MONTH(B2044)))</f>
        <v>0</v>
      </c>
      <c r="Q2044" s="402">
        <f t="shared" si="2042"/>
        <v>0</v>
      </c>
      <c r="R2044" s="356" t="e">
        <f t="shared" si="1325"/>
        <v>#N/A</v>
      </c>
      <c r="S2044" s="269" t="str">
        <f>IF(D2044="","",IF(OR(D2044=Plano!$A$1,D2044=Plano!$B$1),"entrada","saída"))</f>
        <v/>
      </c>
      <c r="T2044" s="269"/>
      <c r="U2044" s="269"/>
      <c r="V2044" s="269"/>
      <c r="W2044" s="269"/>
    </row>
    <row r="2045" spans="1:23" ht="12.75" customHeight="1" x14ac:dyDescent="0.2">
      <c r="A2045" s="289" t="str">
        <f t="shared" si="0"/>
        <v/>
      </c>
      <c r="B2045" s="290"/>
      <c r="C2045" s="404"/>
      <c r="D2045" s="291"/>
      <c r="E2045" s="291"/>
      <c r="F2045" s="292"/>
      <c r="G2045" s="291"/>
      <c r="H2045" s="291"/>
      <c r="I2045" s="293"/>
      <c r="J2045" s="291"/>
      <c r="K2045" s="291"/>
      <c r="L2045" s="293"/>
      <c r="M2045" s="291"/>
      <c r="N2045" s="289"/>
      <c r="O2045" s="358"/>
      <c r="P2045" s="402">
        <f t="shared" ref="P2045:Q2045" si="2043">IF(B2045=0,0,IF(YEAR(B2045)=$Q$1,MONTH(B2045)-$P$1+1,(YEAR(B2045)-$Q$1)*12-$P$1+1+MONTH(B2045)))</f>
        <v>0</v>
      </c>
      <c r="Q2045" s="402">
        <f t="shared" si="2043"/>
        <v>0</v>
      </c>
      <c r="R2045" s="356" t="e">
        <f t="shared" si="1325"/>
        <v>#N/A</v>
      </c>
      <c r="S2045" s="269" t="str">
        <f>IF(D2045="","",IF(OR(D2045=Plano!$A$1,D2045=Plano!$B$1),"entrada","saída"))</f>
        <v/>
      </c>
      <c r="T2045" s="269"/>
      <c r="U2045" s="269"/>
      <c r="V2045" s="269"/>
      <c r="W2045" s="269"/>
    </row>
    <row r="2046" spans="1:23" ht="12.75" customHeight="1" x14ac:dyDescent="0.2">
      <c r="A2046" s="289" t="str">
        <f t="shared" si="0"/>
        <v/>
      </c>
      <c r="B2046" s="290"/>
      <c r="C2046" s="404"/>
      <c r="D2046" s="291"/>
      <c r="E2046" s="291"/>
      <c r="F2046" s="292"/>
      <c r="G2046" s="291"/>
      <c r="H2046" s="291"/>
      <c r="I2046" s="293"/>
      <c r="J2046" s="291"/>
      <c r="K2046" s="291"/>
      <c r="L2046" s="293"/>
      <c r="M2046" s="291"/>
      <c r="N2046" s="289"/>
      <c r="O2046" s="358"/>
      <c r="P2046" s="402">
        <f t="shared" ref="P2046:Q2046" si="2044">IF(B2046=0,0,IF(YEAR(B2046)=$Q$1,MONTH(B2046)-$P$1+1,(YEAR(B2046)-$Q$1)*12-$P$1+1+MONTH(B2046)))</f>
        <v>0</v>
      </c>
      <c r="Q2046" s="402">
        <f t="shared" si="2044"/>
        <v>0</v>
      </c>
      <c r="R2046" s="356" t="e">
        <f t="shared" si="1325"/>
        <v>#N/A</v>
      </c>
      <c r="S2046" s="269" t="str">
        <f>IF(D2046="","",IF(OR(D2046=Plano!$A$1,D2046=Plano!$B$1),"entrada","saída"))</f>
        <v/>
      </c>
      <c r="T2046" s="269"/>
      <c r="U2046" s="269"/>
      <c r="V2046" s="269"/>
      <c r="W2046" s="269"/>
    </row>
    <row r="2047" spans="1:23" ht="12.75" customHeight="1" x14ac:dyDescent="0.2">
      <c r="A2047" s="289" t="str">
        <f t="shared" si="0"/>
        <v/>
      </c>
      <c r="B2047" s="290"/>
      <c r="C2047" s="404"/>
      <c r="D2047" s="291"/>
      <c r="E2047" s="291"/>
      <c r="F2047" s="292"/>
      <c r="G2047" s="291"/>
      <c r="H2047" s="291"/>
      <c r="I2047" s="293"/>
      <c r="J2047" s="291"/>
      <c r="K2047" s="291"/>
      <c r="L2047" s="293"/>
      <c r="M2047" s="291"/>
      <c r="N2047" s="289"/>
      <c r="O2047" s="358"/>
      <c r="P2047" s="402">
        <f t="shared" ref="P2047:Q2047" si="2045">IF(B2047=0,0,IF(YEAR(B2047)=$Q$1,MONTH(B2047)-$P$1+1,(YEAR(B2047)-$Q$1)*12-$P$1+1+MONTH(B2047)))</f>
        <v>0</v>
      </c>
      <c r="Q2047" s="402">
        <f t="shared" si="2045"/>
        <v>0</v>
      </c>
      <c r="R2047" s="356" t="e">
        <f t="shared" si="1325"/>
        <v>#N/A</v>
      </c>
      <c r="S2047" s="269" t="str">
        <f>IF(D2047="","",IF(OR(D2047=Plano!$A$1,D2047=Plano!$B$1),"entrada","saída"))</f>
        <v/>
      </c>
      <c r="T2047" s="269"/>
      <c r="U2047" s="269"/>
      <c r="V2047" s="269"/>
      <c r="W2047" s="269"/>
    </row>
    <row r="2048" spans="1:23" ht="12.75" customHeight="1" x14ac:dyDescent="0.2">
      <c r="A2048" s="289" t="str">
        <f t="shared" si="0"/>
        <v/>
      </c>
      <c r="B2048" s="290"/>
      <c r="C2048" s="404"/>
      <c r="D2048" s="291"/>
      <c r="E2048" s="291"/>
      <c r="F2048" s="292"/>
      <c r="G2048" s="291"/>
      <c r="H2048" s="291"/>
      <c r="I2048" s="293"/>
      <c r="J2048" s="291"/>
      <c r="K2048" s="291"/>
      <c r="L2048" s="293"/>
      <c r="M2048" s="291"/>
      <c r="N2048" s="289"/>
      <c r="O2048" s="358"/>
      <c r="P2048" s="402">
        <f t="shared" ref="P2048:Q2048" si="2046">IF(B2048=0,0,IF(YEAR(B2048)=$Q$1,MONTH(B2048)-$P$1+1,(YEAR(B2048)-$Q$1)*12-$P$1+1+MONTH(B2048)))</f>
        <v>0</v>
      </c>
      <c r="Q2048" s="402">
        <f t="shared" si="2046"/>
        <v>0</v>
      </c>
      <c r="R2048" s="356" t="e">
        <f t="shared" si="1325"/>
        <v>#N/A</v>
      </c>
      <c r="S2048" s="269" t="str">
        <f>IF(D2048="","",IF(OR(D2048=Plano!$A$1,D2048=Plano!$B$1),"entrada","saída"))</f>
        <v/>
      </c>
      <c r="T2048" s="269"/>
      <c r="U2048" s="269"/>
      <c r="V2048" s="269"/>
      <c r="W2048" s="269"/>
    </row>
    <row r="2049" spans="1:23" ht="12.75" customHeight="1" x14ac:dyDescent="0.2">
      <c r="A2049" s="289" t="str">
        <f t="shared" si="0"/>
        <v/>
      </c>
      <c r="B2049" s="290"/>
      <c r="C2049" s="404"/>
      <c r="D2049" s="291"/>
      <c r="E2049" s="291"/>
      <c r="F2049" s="292"/>
      <c r="G2049" s="291"/>
      <c r="H2049" s="291"/>
      <c r="I2049" s="293"/>
      <c r="J2049" s="291"/>
      <c r="K2049" s="291"/>
      <c r="L2049" s="293"/>
      <c r="M2049" s="291"/>
      <c r="N2049" s="289"/>
      <c r="O2049" s="358"/>
      <c r="P2049" s="402">
        <f t="shared" ref="P2049:Q2049" si="2047">IF(B2049=0,0,IF(YEAR(B2049)=$Q$1,MONTH(B2049)-$P$1+1,(YEAR(B2049)-$Q$1)*12-$P$1+1+MONTH(B2049)))</f>
        <v>0</v>
      </c>
      <c r="Q2049" s="402">
        <f t="shared" si="2047"/>
        <v>0</v>
      </c>
      <c r="R2049" s="356" t="e">
        <f t="shared" si="1325"/>
        <v>#N/A</v>
      </c>
      <c r="S2049" s="269" t="str">
        <f>IF(D2049="","",IF(OR(D2049=Plano!$A$1,D2049=Plano!$B$1),"entrada","saída"))</f>
        <v/>
      </c>
      <c r="T2049" s="269"/>
      <c r="U2049" s="269"/>
      <c r="V2049" s="269"/>
      <c r="W2049" s="269"/>
    </row>
    <row r="2050" spans="1:23" ht="12.75" customHeight="1" x14ac:dyDescent="0.2">
      <c r="A2050" s="289" t="str">
        <f t="shared" si="0"/>
        <v/>
      </c>
      <c r="B2050" s="290"/>
      <c r="C2050" s="404"/>
      <c r="D2050" s="291"/>
      <c r="E2050" s="291"/>
      <c r="F2050" s="292"/>
      <c r="G2050" s="291"/>
      <c r="H2050" s="291"/>
      <c r="I2050" s="293"/>
      <c r="J2050" s="291"/>
      <c r="K2050" s="291"/>
      <c r="L2050" s="293"/>
      <c r="M2050" s="291"/>
      <c r="N2050" s="289"/>
      <c r="O2050" s="358"/>
      <c r="P2050" s="402">
        <f t="shared" ref="P2050:Q2050" si="2048">IF(B2050=0,0,IF(YEAR(B2050)=$Q$1,MONTH(B2050)-$P$1+1,(YEAR(B2050)-$Q$1)*12-$P$1+1+MONTH(B2050)))</f>
        <v>0</v>
      </c>
      <c r="Q2050" s="402">
        <f t="shared" si="2048"/>
        <v>0</v>
      </c>
      <c r="R2050" s="356" t="e">
        <f t="shared" si="1325"/>
        <v>#N/A</v>
      </c>
      <c r="S2050" s="269" t="str">
        <f>IF(D2050="","",IF(OR(D2050=Plano!$A$1,D2050=Plano!$B$1),"entrada","saída"))</f>
        <v/>
      </c>
      <c r="T2050" s="269"/>
      <c r="U2050" s="269"/>
      <c r="V2050" s="269"/>
      <c r="W2050" s="269"/>
    </row>
    <row r="2051" spans="1:23" ht="12.75" customHeight="1" x14ac:dyDescent="0.2">
      <c r="A2051" s="289" t="str">
        <f t="shared" si="0"/>
        <v/>
      </c>
      <c r="B2051" s="290"/>
      <c r="C2051" s="404"/>
      <c r="D2051" s="291"/>
      <c r="E2051" s="291"/>
      <c r="F2051" s="292"/>
      <c r="G2051" s="291"/>
      <c r="H2051" s="291"/>
      <c r="I2051" s="293"/>
      <c r="J2051" s="291"/>
      <c r="K2051" s="291"/>
      <c r="L2051" s="293"/>
      <c r="M2051" s="291"/>
      <c r="N2051" s="289"/>
      <c r="O2051" s="358"/>
      <c r="P2051" s="402">
        <f t="shared" ref="P2051:Q2051" si="2049">IF(B2051=0,0,IF(YEAR(B2051)=$Q$1,MONTH(B2051)-$P$1+1,(YEAR(B2051)-$Q$1)*12-$P$1+1+MONTH(B2051)))</f>
        <v>0</v>
      </c>
      <c r="Q2051" s="402">
        <f t="shared" si="2049"/>
        <v>0</v>
      </c>
      <c r="R2051" s="356" t="e">
        <f t="shared" si="1325"/>
        <v>#N/A</v>
      </c>
      <c r="S2051" s="269" t="str">
        <f>IF(D2051="","",IF(OR(D2051=Plano!$A$1,D2051=Plano!$B$1),"entrada","saída"))</f>
        <v/>
      </c>
      <c r="T2051" s="269"/>
      <c r="U2051" s="269"/>
      <c r="V2051" s="269"/>
      <c r="W2051" s="269"/>
    </row>
    <row r="2052" spans="1:23" ht="12.75" customHeight="1" x14ac:dyDescent="0.2">
      <c r="A2052" s="289" t="str">
        <f t="shared" si="0"/>
        <v/>
      </c>
      <c r="B2052" s="290"/>
      <c r="C2052" s="404"/>
      <c r="D2052" s="291"/>
      <c r="E2052" s="291"/>
      <c r="F2052" s="292"/>
      <c r="G2052" s="291"/>
      <c r="H2052" s="291"/>
      <c r="I2052" s="293"/>
      <c r="J2052" s="291"/>
      <c r="K2052" s="291"/>
      <c r="L2052" s="293"/>
      <c r="M2052" s="291"/>
      <c r="N2052" s="289"/>
      <c r="O2052" s="358"/>
      <c r="P2052" s="402">
        <f t="shared" ref="P2052:Q2052" si="2050">IF(B2052=0,0,IF(YEAR(B2052)=$Q$1,MONTH(B2052)-$P$1+1,(YEAR(B2052)-$Q$1)*12-$P$1+1+MONTH(B2052)))</f>
        <v>0</v>
      </c>
      <c r="Q2052" s="402">
        <f t="shared" si="2050"/>
        <v>0</v>
      </c>
      <c r="R2052" s="356" t="e">
        <f t="shared" si="1325"/>
        <v>#N/A</v>
      </c>
      <c r="S2052" s="269" t="str">
        <f>IF(D2052="","",IF(OR(D2052=Plano!$A$1,D2052=Plano!$B$1),"entrada","saída"))</f>
        <v/>
      </c>
      <c r="T2052" s="269"/>
      <c r="U2052" s="269"/>
      <c r="V2052" s="269"/>
      <c r="W2052" s="269"/>
    </row>
    <row r="2053" spans="1:23" ht="12.75" customHeight="1" x14ac:dyDescent="0.2">
      <c r="A2053" s="289" t="str">
        <f t="shared" si="0"/>
        <v/>
      </c>
      <c r="B2053" s="290"/>
      <c r="C2053" s="404"/>
      <c r="D2053" s="291"/>
      <c r="E2053" s="291"/>
      <c r="F2053" s="292"/>
      <c r="G2053" s="291"/>
      <c r="H2053" s="291"/>
      <c r="I2053" s="293"/>
      <c r="J2053" s="291"/>
      <c r="K2053" s="291"/>
      <c r="L2053" s="293"/>
      <c r="M2053" s="291"/>
      <c r="N2053" s="289"/>
      <c r="O2053" s="358"/>
      <c r="P2053" s="402">
        <f t="shared" ref="P2053:Q2053" si="2051">IF(B2053=0,0,IF(YEAR(B2053)=$Q$1,MONTH(B2053)-$P$1+1,(YEAR(B2053)-$Q$1)*12-$P$1+1+MONTH(B2053)))</f>
        <v>0</v>
      </c>
      <c r="Q2053" s="402">
        <f t="shared" si="2051"/>
        <v>0</v>
      </c>
      <c r="R2053" s="356" t="e">
        <f t="shared" si="1325"/>
        <v>#N/A</v>
      </c>
      <c r="S2053" s="269" t="str">
        <f>IF(D2053="","",IF(OR(D2053=Plano!$A$1,D2053=Plano!$B$1),"entrada","saída"))</f>
        <v/>
      </c>
      <c r="T2053" s="269"/>
      <c r="U2053" s="269"/>
      <c r="V2053" s="269"/>
      <c r="W2053" s="269"/>
    </row>
    <row r="2054" spans="1:23" ht="12.75" customHeight="1" x14ac:dyDescent="0.2">
      <c r="A2054" s="289" t="str">
        <f t="shared" si="0"/>
        <v/>
      </c>
      <c r="B2054" s="290"/>
      <c r="C2054" s="404"/>
      <c r="D2054" s="291"/>
      <c r="E2054" s="291"/>
      <c r="F2054" s="292"/>
      <c r="G2054" s="291"/>
      <c r="H2054" s="291"/>
      <c r="I2054" s="293"/>
      <c r="J2054" s="291"/>
      <c r="K2054" s="291"/>
      <c r="L2054" s="293"/>
      <c r="M2054" s="291"/>
      <c r="N2054" s="289"/>
      <c r="O2054" s="358"/>
      <c r="P2054" s="402">
        <f t="shared" ref="P2054:Q2054" si="2052">IF(B2054=0,0,IF(YEAR(B2054)=$Q$1,MONTH(B2054)-$P$1+1,(YEAR(B2054)-$Q$1)*12-$P$1+1+MONTH(B2054)))</f>
        <v>0</v>
      </c>
      <c r="Q2054" s="402">
        <f t="shared" si="2052"/>
        <v>0</v>
      </c>
      <c r="R2054" s="356" t="e">
        <f t="shared" si="1325"/>
        <v>#N/A</v>
      </c>
      <c r="S2054" s="269" t="str">
        <f>IF(D2054="","",IF(OR(D2054=Plano!$A$1,D2054=Plano!$B$1),"entrada","saída"))</f>
        <v/>
      </c>
      <c r="T2054" s="269"/>
      <c r="U2054" s="269"/>
      <c r="V2054" s="269"/>
      <c r="W2054" s="269"/>
    </row>
    <row r="2055" spans="1:23" ht="12.75" customHeight="1" x14ac:dyDescent="0.2">
      <c r="A2055" s="289" t="str">
        <f t="shared" si="0"/>
        <v/>
      </c>
      <c r="B2055" s="290"/>
      <c r="C2055" s="404"/>
      <c r="D2055" s="291"/>
      <c r="E2055" s="291"/>
      <c r="F2055" s="292"/>
      <c r="G2055" s="291"/>
      <c r="H2055" s="291"/>
      <c r="I2055" s="293"/>
      <c r="J2055" s="291"/>
      <c r="K2055" s="291"/>
      <c r="L2055" s="293"/>
      <c r="M2055" s="291"/>
      <c r="N2055" s="289"/>
      <c r="O2055" s="358"/>
      <c r="P2055" s="402">
        <f t="shared" ref="P2055:Q2055" si="2053">IF(B2055=0,0,IF(YEAR(B2055)=$Q$1,MONTH(B2055)-$P$1+1,(YEAR(B2055)-$Q$1)*12-$P$1+1+MONTH(B2055)))</f>
        <v>0</v>
      </c>
      <c r="Q2055" s="402">
        <f t="shared" si="2053"/>
        <v>0</v>
      </c>
      <c r="R2055" s="356" t="e">
        <f t="shared" si="1325"/>
        <v>#N/A</v>
      </c>
      <c r="S2055" s="269" t="str">
        <f>IF(D2055="","",IF(OR(D2055=Plano!$A$1,D2055=Plano!$B$1),"entrada","saída"))</f>
        <v/>
      </c>
      <c r="T2055" s="269"/>
      <c r="U2055" s="269"/>
      <c r="V2055" s="269"/>
      <c r="W2055" s="269"/>
    </row>
    <row r="2056" spans="1:23" ht="12.75" customHeight="1" x14ac:dyDescent="0.2">
      <c r="A2056" s="289" t="str">
        <f t="shared" si="0"/>
        <v/>
      </c>
      <c r="B2056" s="290"/>
      <c r="C2056" s="404"/>
      <c r="D2056" s="291"/>
      <c r="E2056" s="291"/>
      <c r="F2056" s="292"/>
      <c r="G2056" s="291"/>
      <c r="H2056" s="291"/>
      <c r="I2056" s="293"/>
      <c r="J2056" s="291"/>
      <c r="K2056" s="291"/>
      <c r="L2056" s="293"/>
      <c r="M2056" s="291"/>
      <c r="N2056" s="289"/>
      <c r="O2056" s="358"/>
      <c r="P2056" s="402">
        <f t="shared" ref="P2056:Q2056" si="2054">IF(B2056=0,0,IF(YEAR(B2056)=$Q$1,MONTH(B2056)-$P$1+1,(YEAR(B2056)-$Q$1)*12-$P$1+1+MONTH(B2056)))</f>
        <v>0</v>
      </c>
      <c r="Q2056" s="402">
        <f t="shared" si="2054"/>
        <v>0</v>
      </c>
      <c r="R2056" s="356" t="e">
        <f t="shared" si="1325"/>
        <v>#N/A</v>
      </c>
      <c r="S2056" s="269" t="str">
        <f>IF(D2056="","",IF(OR(D2056=Plano!$A$1,D2056=Plano!$B$1),"entrada","saída"))</f>
        <v/>
      </c>
      <c r="T2056" s="269"/>
      <c r="U2056" s="269"/>
      <c r="V2056" s="269"/>
      <c r="W2056" s="269"/>
    </row>
    <row r="2057" spans="1:23" ht="12.75" customHeight="1" x14ac:dyDescent="0.2">
      <c r="A2057" s="289" t="str">
        <f t="shared" si="0"/>
        <v/>
      </c>
      <c r="B2057" s="290"/>
      <c r="C2057" s="404"/>
      <c r="D2057" s="291"/>
      <c r="E2057" s="291"/>
      <c r="F2057" s="292"/>
      <c r="G2057" s="291"/>
      <c r="H2057" s="291"/>
      <c r="I2057" s="293"/>
      <c r="J2057" s="291"/>
      <c r="K2057" s="291"/>
      <c r="L2057" s="293"/>
      <c r="M2057" s="291"/>
      <c r="N2057" s="289"/>
      <c r="O2057" s="358"/>
      <c r="P2057" s="402">
        <f t="shared" ref="P2057:Q2057" si="2055">IF(B2057=0,0,IF(YEAR(B2057)=$Q$1,MONTH(B2057)-$P$1+1,(YEAR(B2057)-$Q$1)*12-$P$1+1+MONTH(B2057)))</f>
        <v>0</v>
      </c>
      <c r="Q2057" s="402">
        <f t="shared" si="2055"/>
        <v>0</v>
      </c>
      <c r="R2057" s="356" t="e">
        <f t="shared" si="1325"/>
        <v>#N/A</v>
      </c>
      <c r="S2057" s="269" t="str">
        <f>IF(D2057="","",IF(OR(D2057=Plano!$A$1,D2057=Plano!$B$1),"entrada","saída"))</f>
        <v/>
      </c>
      <c r="T2057" s="269"/>
      <c r="U2057" s="269"/>
      <c r="V2057" s="269"/>
      <c r="W2057" s="269"/>
    </row>
    <row r="2058" spans="1:23" ht="12.75" customHeight="1" x14ac:dyDescent="0.2">
      <c r="A2058" s="289" t="str">
        <f t="shared" si="0"/>
        <v/>
      </c>
      <c r="B2058" s="290"/>
      <c r="C2058" s="404"/>
      <c r="D2058" s="291"/>
      <c r="E2058" s="291"/>
      <c r="F2058" s="292"/>
      <c r="G2058" s="291"/>
      <c r="H2058" s="291"/>
      <c r="I2058" s="293"/>
      <c r="J2058" s="291"/>
      <c r="K2058" s="291"/>
      <c r="L2058" s="293"/>
      <c r="M2058" s="291"/>
      <c r="N2058" s="289"/>
      <c r="O2058" s="358"/>
      <c r="P2058" s="402">
        <f t="shared" ref="P2058:Q2058" si="2056">IF(B2058=0,0,IF(YEAR(B2058)=$Q$1,MONTH(B2058)-$P$1+1,(YEAR(B2058)-$Q$1)*12-$P$1+1+MONTH(B2058)))</f>
        <v>0</v>
      </c>
      <c r="Q2058" s="402">
        <f t="shared" si="2056"/>
        <v>0</v>
      </c>
      <c r="R2058" s="356" t="e">
        <f t="shared" si="1325"/>
        <v>#N/A</v>
      </c>
      <c r="S2058" s="269" t="str">
        <f>IF(D2058="","",IF(OR(D2058=Plano!$A$1,D2058=Plano!$B$1),"entrada","saída"))</f>
        <v/>
      </c>
      <c r="T2058" s="269"/>
      <c r="U2058" s="269"/>
      <c r="V2058" s="269"/>
      <c r="W2058" s="269"/>
    </row>
    <row r="2059" spans="1:23" ht="12.75" customHeight="1" x14ac:dyDescent="0.2">
      <c r="A2059" s="289" t="str">
        <f t="shared" si="0"/>
        <v/>
      </c>
      <c r="B2059" s="290"/>
      <c r="C2059" s="404"/>
      <c r="D2059" s="291"/>
      <c r="E2059" s="291"/>
      <c r="F2059" s="292"/>
      <c r="G2059" s="291"/>
      <c r="H2059" s="291"/>
      <c r="I2059" s="293"/>
      <c r="J2059" s="291"/>
      <c r="K2059" s="291"/>
      <c r="L2059" s="293"/>
      <c r="M2059" s="291"/>
      <c r="N2059" s="289"/>
      <c r="O2059" s="358"/>
      <c r="P2059" s="402">
        <f t="shared" ref="P2059:Q2059" si="2057">IF(B2059=0,0,IF(YEAR(B2059)=$Q$1,MONTH(B2059)-$P$1+1,(YEAR(B2059)-$Q$1)*12-$P$1+1+MONTH(B2059)))</f>
        <v>0</v>
      </c>
      <c r="Q2059" s="402">
        <f t="shared" si="2057"/>
        <v>0</v>
      </c>
      <c r="R2059" s="356" t="e">
        <f t="shared" si="1325"/>
        <v>#N/A</v>
      </c>
      <c r="S2059" s="269" t="str">
        <f>IF(D2059="","",IF(OR(D2059=Plano!$A$1,D2059=Plano!$B$1),"entrada","saída"))</f>
        <v/>
      </c>
      <c r="T2059" s="269"/>
      <c r="U2059" s="269"/>
      <c r="V2059" s="269"/>
      <c r="W2059" s="269"/>
    </row>
    <row r="2060" spans="1:23" ht="12.75" customHeight="1" x14ac:dyDescent="0.2">
      <c r="A2060" s="289" t="str">
        <f t="shared" si="0"/>
        <v/>
      </c>
      <c r="B2060" s="290"/>
      <c r="C2060" s="404"/>
      <c r="D2060" s="291"/>
      <c r="E2060" s="291"/>
      <c r="F2060" s="292"/>
      <c r="G2060" s="291"/>
      <c r="H2060" s="291"/>
      <c r="I2060" s="293"/>
      <c r="J2060" s="291"/>
      <c r="K2060" s="291"/>
      <c r="L2060" s="293"/>
      <c r="M2060" s="291"/>
      <c r="N2060" s="289"/>
      <c r="O2060" s="358"/>
      <c r="P2060" s="402">
        <f t="shared" ref="P2060:Q2060" si="2058">IF(B2060=0,0,IF(YEAR(B2060)=$Q$1,MONTH(B2060)-$P$1+1,(YEAR(B2060)-$Q$1)*12-$P$1+1+MONTH(B2060)))</f>
        <v>0</v>
      </c>
      <c r="Q2060" s="402">
        <f t="shared" si="2058"/>
        <v>0</v>
      </c>
      <c r="R2060" s="356" t="e">
        <f t="shared" si="1325"/>
        <v>#N/A</v>
      </c>
      <c r="S2060" s="269" t="str">
        <f>IF(D2060="","",IF(OR(D2060=Plano!$A$1,D2060=Plano!$B$1),"entrada","saída"))</f>
        <v/>
      </c>
      <c r="T2060" s="269"/>
      <c r="U2060" s="269"/>
      <c r="V2060" s="269"/>
      <c r="W2060" s="269"/>
    </row>
    <row r="2061" spans="1:23" ht="12.75" customHeight="1" x14ac:dyDescent="0.2">
      <c r="A2061" s="289" t="str">
        <f t="shared" si="0"/>
        <v/>
      </c>
      <c r="B2061" s="290"/>
      <c r="C2061" s="404"/>
      <c r="D2061" s="291"/>
      <c r="E2061" s="291"/>
      <c r="F2061" s="292"/>
      <c r="G2061" s="291"/>
      <c r="H2061" s="291"/>
      <c r="I2061" s="293"/>
      <c r="J2061" s="291"/>
      <c r="K2061" s="291"/>
      <c r="L2061" s="293"/>
      <c r="M2061" s="291"/>
      <c r="N2061" s="289"/>
      <c r="O2061" s="358"/>
      <c r="P2061" s="402">
        <f t="shared" ref="P2061:Q2061" si="2059">IF(B2061=0,0,IF(YEAR(B2061)=$Q$1,MONTH(B2061)-$P$1+1,(YEAR(B2061)-$Q$1)*12-$P$1+1+MONTH(B2061)))</f>
        <v>0</v>
      </c>
      <c r="Q2061" s="402">
        <f t="shared" si="2059"/>
        <v>0</v>
      </c>
      <c r="R2061" s="356" t="e">
        <f t="shared" si="1325"/>
        <v>#N/A</v>
      </c>
      <c r="S2061" s="269" t="str">
        <f>IF(D2061="","",IF(OR(D2061=Plano!$A$1,D2061=Plano!$B$1),"entrada","saída"))</f>
        <v/>
      </c>
      <c r="T2061" s="269"/>
      <c r="U2061" s="269"/>
      <c r="V2061" s="269"/>
      <c r="W2061" s="269"/>
    </row>
    <row r="2062" spans="1:23" ht="12.75" customHeight="1" x14ac:dyDescent="0.2">
      <c r="A2062" s="289" t="str">
        <f t="shared" si="0"/>
        <v/>
      </c>
      <c r="B2062" s="290"/>
      <c r="C2062" s="404"/>
      <c r="D2062" s="291"/>
      <c r="E2062" s="291"/>
      <c r="F2062" s="292"/>
      <c r="G2062" s="291"/>
      <c r="H2062" s="291"/>
      <c r="I2062" s="293"/>
      <c r="J2062" s="291"/>
      <c r="K2062" s="291"/>
      <c r="L2062" s="293"/>
      <c r="M2062" s="291"/>
      <c r="N2062" s="289"/>
      <c r="O2062" s="358"/>
      <c r="P2062" s="402">
        <f t="shared" ref="P2062:Q2062" si="2060">IF(B2062=0,0,IF(YEAR(B2062)=$Q$1,MONTH(B2062)-$P$1+1,(YEAR(B2062)-$Q$1)*12-$P$1+1+MONTH(B2062)))</f>
        <v>0</v>
      </c>
      <c r="Q2062" s="402">
        <f t="shared" si="2060"/>
        <v>0</v>
      </c>
      <c r="R2062" s="356" t="e">
        <f t="shared" si="1325"/>
        <v>#N/A</v>
      </c>
      <c r="S2062" s="269" t="str">
        <f>IF(D2062="","",IF(OR(D2062=Plano!$A$1,D2062=Plano!$B$1),"entrada","saída"))</f>
        <v/>
      </c>
      <c r="T2062" s="269"/>
      <c r="U2062" s="269"/>
      <c r="V2062" s="269"/>
      <c r="W2062" s="269"/>
    </row>
    <row r="2063" spans="1:23" ht="12.75" customHeight="1" x14ac:dyDescent="0.2">
      <c r="A2063" s="289" t="str">
        <f t="shared" si="0"/>
        <v/>
      </c>
      <c r="B2063" s="290"/>
      <c r="C2063" s="404"/>
      <c r="D2063" s="291"/>
      <c r="E2063" s="291"/>
      <c r="F2063" s="292"/>
      <c r="G2063" s="291"/>
      <c r="H2063" s="291"/>
      <c r="I2063" s="293"/>
      <c r="J2063" s="291"/>
      <c r="K2063" s="291"/>
      <c r="L2063" s="293"/>
      <c r="M2063" s="291"/>
      <c r="N2063" s="289"/>
      <c r="O2063" s="358"/>
      <c r="P2063" s="402">
        <f t="shared" ref="P2063:Q2063" si="2061">IF(B2063=0,0,IF(YEAR(B2063)=$Q$1,MONTH(B2063)-$P$1+1,(YEAR(B2063)-$Q$1)*12-$P$1+1+MONTH(B2063)))</f>
        <v>0</v>
      </c>
      <c r="Q2063" s="402">
        <f t="shared" si="2061"/>
        <v>0</v>
      </c>
      <c r="R2063" s="356" t="e">
        <f t="shared" si="1325"/>
        <v>#N/A</v>
      </c>
      <c r="S2063" s="269" t="str">
        <f>IF(D2063="","",IF(OR(D2063=Plano!$A$1,D2063=Plano!$B$1),"entrada","saída"))</f>
        <v/>
      </c>
      <c r="T2063" s="269"/>
      <c r="U2063" s="269"/>
      <c r="V2063" s="269"/>
      <c r="W2063" s="269"/>
    </row>
    <row r="2064" spans="1:23" ht="12.75" customHeight="1" x14ac:dyDescent="0.2">
      <c r="A2064" s="289" t="str">
        <f t="shared" si="0"/>
        <v/>
      </c>
      <c r="B2064" s="290"/>
      <c r="C2064" s="404"/>
      <c r="D2064" s="291"/>
      <c r="E2064" s="291"/>
      <c r="F2064" s="292"/>
      <c r="G2064" s="291"/>
      <c r="H2064" s="291"/>
      <c r="I2064" s="293"/>
      <c r="J2064" s="291"/>
      <c r="K2064" s="291"/>
      <c r="L2064" s="293"/>
      <c r="M2064" s="291"/>
      <c r="N2064" s="289"/>
      <c r="O2064" s="358"/>
      <c r="P2064" s="402">
        <f t="shared" ref="P2064:Q2064" si="2062">IF(B2064=0,0,IF(YEAR(B2064)=$Q$1,MONTH(B2064)-$P$1+1,(YEAR(B2064)-$Q$1)*12-$P$1+1+MONTH(B2064)))</f>
        <v>0</v>
      </c>
      <c r="Q2064" s="402">
        <f t="shared" si="2062"/>
        <v>0</v>
      </c>
      <c r="R2064" s="356" t="e">
        <f t="shared" si="1325"/>
        <v>#N/A</v>
      </c>
      <c r="S2064" s="269" t="str">
        <f>IF(D2064="","",IF(OR(D2064=Plano!$A$1,D2064=Plano!$B$1),"entrada","saída"))</f>
        <v/>
      </c>
      <c r="T2064" s="269"/>
      <c r="U2064" s="269"/>
      <c r="V2064" s="269"/>
      <c r="W2064" s="269"/>
    </row>
    <row r="2065" spans="1:23" ht="12.75" customHeight="1" x14ac:dyDescent="0.2">
      <c r="A2065" s="289" t="str">
        <f t="shared" si="0"/>
        <v/>
      </c>
      <c r="B2065" s="290"/>
      <c r="C2065" s="404"/>
      <c r="D2065" s="291"/>
      <c r="E2065" s="291"/>
      <c r="F2065" s="292"/>
      <c r="G2065" s="291"/>
      <c r="H2065" s="291"/>
      <c r="I2065" s="293"/>
      <c r="J2065" s="291"/>
      <c r="K2065" s="291"/>
      <c r="L2065" s="293"/>
      <c r="M2065" s="291"/>
      <c r="N2065" s="289"/>
      <c r="O2065" s="358"/>
      <c r="P2065" s="402">
        <f t="shared" ref="P2065:Q2065" si="2063">IF(B2065=0,0,IF(YEAR(B2065)=$Q$1,MONTH(B2065)-$P$1+1,(YEAR(B2065)-$Q$1)*12-$P$1+1+MONTH(B2065)))</f>
        <v>0</v>
      </c>
      <c r="Q2065" s="402">
        <f t="shared" si="2063"/>
        <v>0</v>
      </c>
      <c r="R2065" s="356" t="e">
        <f t="shared" si="1325"/>
        <v>#N/A</v>
      </c>
      <c r="S2065" s="269" t="str">
        <f>IF(D2065="","",IF(OR(D2065=Plano!$A$1,D2065=Plano!$B$1),"entrada","saída"))</f>
        <v/>
      </c>
      <c r="T2065" s="269"/>
      <c r="U2065" s="269"/>
      <c r="V2065" s="269"/>
      <c r="W2065" s="269"/>
    </row>
    <row r="2066" spans="1:23" ht="12.75" customHeight="1" x14ac:dyDescent="0.2">
      <c r="A2066" s="289" t="str">
        <f t="shared" si="0"/>
        <v/>
      </c>
      <c r="B2066" s="290"/>
      <c r="C2066" s="404"/>
      <c r="D2066" s="291"/>
      <c r="E2066" s="291"/>
      <c r="F2066" s="292"/>
      <c r="G2066" s="291"/>
      <c r="H2066" s="291"/>
      <c r="I2066" s="293"/>
      <c r="J2066" s="291"/>
      <c r="K2066" s="291"/>
      <c r="L2066" s="293"/>
      <c r="M2066" s="291"/>
      <c r="N2066" s="289"/>
      <c r="O2066" s="358"/>
      <c r="P2066" s="402">
        <f t="shared" ref="P2066:Q2066" si="2064">IF(B2066=0,0,IF(YEAR(B2066)=$Q$1,MONTH(B2066)-$P$1+1,(YEAR(B2066)-$Q$1)*12-$P$1+1+MONTH(B2066)))</f>
        <v>0</v>
      </c>
      <c r="Q2066" s="402">
        <f t="shared" si="2064"/>
        <v>0</v>
      </c>
      <c r="R2066" s="356" t="e">
        <f t="shared" si="1325"/>
        <v>#N/A</v>
      </c>
      <c r="S2066" s="269" t="str">
        <f>IF(D2066="","",IF(OR(D2066=Plano!$A$1,D2066=Plano!$B$1),"entrada","saída"))</f>
        <v/>
      </c>
      <c r="T2066" s="269"/>
      <c r="U2066" s="269"/>
      <c r="V2066" s="269"/>
      <c r="W2066" s="269"/>
    </row>
    <row r="2067" spans="1:23" ht="12.75" customHeight="1" x14ac:dyDescent="0.2">
      <c r="A2067" s="289" t="str">
        <f t="shared" si="0"/>
        <v/>
      </c>
      <c r="B2067" s="290"/>
      <c r="C2067" s="404"/>
      <c r="D2067" s="291"/>
      <c r="E2067" s="291"/>
      <c r="F2067" s="292"/>
      <c r="G2067" s="291"/>
      <c r="H2067" s="291"/>
      <c r="I2067" s="293"/>
      <c r="J2067" s="291"/>
      <c r="K2067" s="291"/>
      <c r="L2067" s="293"/>
      <c r="M2067" s="291"/>
      <c r="N2067" s="289"/>
      <c r="O2067" s="358"/>
      <c r="P2067" s="402">
        <f t="shared" ref="P2067:Q2067" si="2065">IF(B2067=0,0,IF(YEAR(B2067)=$Q$1,MONTH(B2067)-$P$1+1,(YEAR(B2067)-$Q$1)*12-$P$1+1+MONTH(B2067)))</f>
        <v>0</v>
      </c>
      <c r="Q2067" s="402">
        <f t="shared" si="2065"/>
        <v>0</v>
      </c>
      <c r="R2067" s="356" t="e">
        <f t="shared" si="1325"/>
        <v>#N/A</v>
      </c>
      <c r="S2067" s="269" t="str">
        <f>IF(D2067="","",IF(OR(D2067=Plano!$A$1,D2067=Plano!$B$1),"entrada","saída"))</f>
        <v/>
      </c>
      <c r="T2067" s="269"/>
      <c r="U2067" s="269"/>
      <c r="V2067" s="269"/>
      <c r="W2067" s="269"/>
    </row>
    <row r="2068" spans="1:23" ht="12.75" customHeight="1" x14ac:dyDescent="0.2">
      <c r="A2068" s="289" t="str">
        <f t="shared" si="0"/>
        <v/>
      </c>
      <c r="B2068" s="290"/>
      <c r="C2068" s="404"/>
      <c r="D2068" s="291"/>
      <c r="E2068" s="291"/>
      <c r="F2068" s="292"/>
      <c r="G2068" s="291"/>
      <c r="H2068" s="291"/>
      <c r="I2068" s="293"/>
      <c r="J2068" s="291"/>
      <c r="K2068" s="291"/>
      <c r="L2068" s="293"/>
      <c r="M2068" s="291"/>
      <c r="N2068" s="289"/>
      <c r="O2068" s="358"/>
      <c r="P2068" s="402">
        <f t="shared" ref="P2068:Q2068" si="2066">IF(B2068=0,0,IF(YEAR(B2068)=$Q$1,MONTH(B2068)-$P$1+1,(YEAR(B2068)-$Q$1)*12-$P$1+1+MONTH(B2068)))</f>
        <v>0</v>
      </c>
      <c r="Q2068" s="402">
        <f t="shared" si="2066"/>
        <v>0</v>
      </c>
      <c r="R2068" s="356" t="e">
        <f t="shared" si="1325"/>
        <v>#N/A</v>
      </c>
      <c r="S2068" s="269" t="str">
        <f>IF(D2068="","",IF(OR(D2068=Plano!$A$1,D2068=Plano!$B$1),"entrada","saída"))</f>
        <v/>
      </c>
      <c r="T2068" s="269"/>
      <c r="U2068" s="269"/>
      <c r="V2068" s="269"/>
      <c r="W2068" s="269"/>
    </row>
    <row r="2069" spans="1:23" ht="12.75" customHeight="1" x14ac:dyDescent="0.2">
      <c r="A2069" s="289" t="str">
        <f t="shared" si="0"/>
        <v/>
      </c>
      <c r="B2069" s="290"/>
      <c r="C2069" s="404"/>
      <c r="D2069" s="291"/>
      <c r="E2069" s="291"/>
      <c r="F2069" s="292"/>
      <c r="G2069" s="291"/>
      <c r="H2069" s="291"/>
      <c r="I2069" s="293"/>
      <c r="J2069" s="291"/>
      <c r="K2069" s="291"/>
      <c r="L2069" s="293"/>
      <c r="M2069" s="291"/>
      <c r="N2069" s="289"/>
      <c r="O2069" s="358"/>
      <c r="P2069" s="402">
        <f t="shared" ref="P2069:Q2069" si="2067">IF(B2069=0,0,IF(YEAR(B2069)=$Q$1,MONTH(B2069)-$P$1+1,(YEAR(B2069)-$Q$1)*12-$P$1+1+MONTH(B2069)))</f>
        <v>0</v>
      </c>
      <c r="Q2069" s="402">
        <f t="shared" si="2067"/>
        <v>0</v>
      </c>
      <c r="R2069" s="356" t="e">
        <f t="shared" si="1325"/>
        <v>#N/A</v>
      </c>
      <c r="S2069" s="269" t="str">
        <f>IF(D2069="","",IF(OR(D2069=Plano!$A$1,D2069=Plano!$B$1),"entrada","saída"))</f>
        <v/>
      </c>
      <c r="T2069" s="269"/>
      <c r="U2069" s="269"/>
      <c r="V2069" s="269"/>
      <c r="W2069" s="269"/>
    </row>
    <row r="2070" spans="1:23" ht="12.75" customHeight="1" x14ac:dyDescent="0.2">
      <c r="A2070" s="289" t="str">
        <f t="shared" si="0"/>
        <v/>
      </c>
      <c r="B2070" s="290"/>
      <c r="C2070" s="404"/>
      <c r="D2070" s="291"/>
      <c r="E2070" s="291"/>
      <c r="F2070" s="292"/>
      <c r="G2070" s="291"/>
      <c r="H2070" s="291"/>
      <c r="I2070" s="293"/>
      <c r="J2070" s="291"/>
      <c r="K2070" s="291"/>
      <c r="L2070" s="293"/>
      <c r="M2070" s="291"/>
      <c r="N2070" s="289"/>
      <c r="O2070" s="358"/>
      <c r="P2070" s="402">
        <f t="shared" ref="P2070:Q2070" si="2068">IF(B2070=0,0,IF(YEAR(B2070)=$Q$1,MONTH(B2070)-$P$1+1,(YEAR(B2070)-$Q$1)*12-$P$1+1+MONTH(B2070)))</f>
        <v>0</v>
      </c>
      <c r="Q2070" s="402">
        <f t="shared" si="2068"/>
        <v>0</v>
      </c>
      <c r="R2070" s="356" t="e">
        <f t="shared" si="1325"/>
        <v>#N/A</v>
      </c>
      <c r="S2070" s="269" t="str">
        <f>IF(D2070="","",IF(OR(D2070=Plano!$A$1,D2070=Plano!$B$1),"entrada","saída"))</f>
        <v/>
      </c>
      <c r="T2070" s="269"/>
      <c r="U2070" s="269"/>
      <c r="V2070" s="269"/>
      <c r="W2070" s="269"/>
    </row>
    <row r="2071" spans="1:23" ht="12.75" customHeight="1" x14ac:dyDescent="0.2">
      <c r="A2071" s="289" t="str">
        <f t="shared" si="0"/>
        <v/>
      </c>
      <c r="B2071" s="290"/>
      <c r="C2071" s="404"/>
      <c r="D2071" s="291"/>
      <c r="E2071" s="291"/>
      <c r="F2071" s="292"/>
      <c r="G2071" s="291"/>
      <c r="H2071" s="291"/>
      <c r="I2071" s="293"/>
      <c r="J2071" s="291"/>
      <c r="K2071" s="291"/>
      <c r="L2071" s="293"/>
      <c r="M2071" s="291"/>
      <c r="N2071" s="289"/>
      <c r="O2071" s="358"/>
      <c r="P2071" s="402">
        <f t="shared" ref="P2071:Q2071" si="2069">IF(B2071=0,0,IF(YEAR(B2071)=$Q$1,MONTH(B2071)-$P$1+1,(YEAR(B2071)-$Q$1)*12-$P$1+1+MONTH(B2071)))</f>
        <v>0</v>
      </c>
      <c r="Q2071" s="402">
        <f t="shared" si="2069"/>
        <v>0</v>
      </c>
      <c r="R2071" s="356" t="e">
        <f t="shared" si="1325"/>
        <v>#N/A</v>
      </c>
      <c r="S2071" s="269" t="str">
        <f>IF(D2071="","",IF(OR(D2071=Plano!$A$1,D2071=Plano!$B$1),"entrada","saída"))</f>
        <v/>
      </c>
      <c r="T2071" s="269"/>
      <c r="U2071" s="269"/>
      <c r="V2071" s="269"/>
      <c r="W2071" s="269"/>
    </row>
    <row r="2072" spans="1:23" ht="12.75" customHeight="1" x14ac:dyDescent="0.2">
      <c r="A2072" s="289" t="str">
        <f t="shared" si="0"/>
        <v/>
      </c>
      <c r="B2072" s="290"/>
      <c r="C2072" s="404"/>
      <c r="D2072" s="291"/>
      <c r="E2072" s="291"/>
      <c r="F2072" s="292"/>
      <c r="G2072" s="291"/>
      <c r="H2072" s="291"/>
      <c r="I2072" s="293"/>
      <c r="J2072" s="291"/>
      <c r="K2072" s="291"/>
      <c r="L2072" s="293"/>
      <c r="M2072" s="291"/>
      <c r="N2072" s="289"/>
      <c r="O2072" s="358"/>
      <c r="P2072" s="402">
        <f t="shared" ref="P2072:Q2072" si="2070">IF(B2072=0,0,IF(YEAR(B2072)=$Q$1,MONTH(B2072)-$P$1+1,(YEAR(B2072)-$Q$1)*12-$P$1+1+MONTH(B2072)))</f>
        <v>0</v>
      </c>
      <c r="Q2072" s="402">
        <f t="shared" si="2070"/>
        <v>0</v>
      </c>
      <c r="R2072" s="356" t="e">
        <f t="shared" si="1325"/>
        <v>#N/A</v>
      </c>
      <c r="S2072" s="269" t="str">
        <f>IF(D2072="","",IF(OR(D2072=Plano!$A$1,D2072=Plano!$B$1),"entrada","saída"))</f>
        <v/>
      </c>
      <c r="T2072" s="269"/>
      <c r="U2072" s="269"/>
      <c r="V2072" s="269"/>
      <c r="W2072" s="269"/>
    </row>
    <row r="2073" spans="1:23" ht="12.75" customHeight="1" x14ac:dyDescent="0.2">
      <c r="A2073" s="289" t="str">
        <f t="shared" si="0"/>
        <v/>
      </c>
      <c r="B2073" s="290"/>
      <c r="C2073" s="404"/>
      <c r="D2073" s="291"/>
      <c r="E2073" s="291"/>
      <c r="F2073" s="292"/>
      <c r="G2073" s="291"/>
      <c r="H2073" s="291"/>
      <c r="I2073" s="293"/>
      <c r="J2073" s="291"/>
      <c r="K2073" s="291"/>
      <c r="L2073" s="293"/>
      <c r="M2073" s="291"/>
      <c r="N2073" s="289"/>
      <c r="O2073" s="358"/>
      <c r="P2073" s="402">
        <f t="shared" ref="P2073:Q2073" si="2071">IF(B2073=0,0,IF(YEAR(B2073)=$Q$1,MONTH(B2073)-$P$1+1,(YEAR(B2073)-$Q$1)*12-$P$1+1+MONTH(B2073)))</f>
        <v>0</v>
      </c>
      <c r="Q2073" s="402">
        <f t="shared" si="2071"/>
        <v>0</v>
      </c>
      <c r="R2073" s="356" t="e">
        <f t="shared" si="1325"/>
        <v>#N/A</v>
      </c>
      <c r="S2073" s="269" t="str">
        <f>IF(D2073="","",IF(OR(D2073=Plano!$A$1,D2073=Plano!$B$1),"entrada","saída"))</f>
        <v/>
      </c>
      <c r="T2073" s="269"/>
      <c r="U2073" s="269"/>
      <c r="V2073" s="269"/>
      <c r="W2073" s="269"/>
    </row>
    <row r="2074" spans="1:23" ht="12.75" customHeight="1" x14ac:dyDescent="0.2">
      <c r="A2074" s="289" t="str">
        <f t="shared" si="0"/>
        <v/>
      </c>
      <c r="B2074" s="290"/>
      <c r="C2074" s="404"/>
      <c r="D2074" s="291"/>
      <c r="E2074" s="291"/>
      <c r="F2074" s="292"/>
      <c r="G2074" s="291"/>
      <c r="H2074" s="291"/>
      <c r="I2074" s="293"/>
      <c r="J2074" s="291"/>
      <c r="K2074" s="291"/>
      <c r="L2074" s="293"/>
      <c r="M2074" s="291"/>
      <c r="N2074" s="289"/>
      <c r="O2074" s="358"/>
      <c r="P2074" s="402">
        <f t="shared" ref="P2074:Q2074" si="2072">IF(B2074=0,0,IF(YEAR(B2074)=$Q$1,MONTH(B2074)-$P$1+1,(YEAR(B2074)-$Q$1)*12-$P$1+1+MONTH(B2074)))</f>
        <v>0</v>
      </c>
      <c r="Q2074" s="402">
        <f t="shared" si="2072"/>
        <v>0</v>
      </c>
      <c r="R2074" s="356" t="e">
        <f t="shared" si="1325"/>
        <v>#N/A</v>
      </c>
      <c r="S2074" s="269" t="str">
        <f>IF(D2074="","",IF(OR(D2074=Plano!$A$1,D2074=Plano!$B$1),"entrada","saída"))</f>
        <v/>
      </c>
      <c r="T2074" s="269"/>
      <c r="U2074" s="269"/>
      <c r="V2074" s="269"/>
      <c r="W2074" s="269"/>
    </row>
    <row r="2075" spans="1:23" ht="12.75" customHeight="1" x14ac:dyDescent="0.2">
      <c r="A2075" s="289" t="str">
        <f t="shared" si="0"/>
        <v/>
      </c>
      <c r="B2075" s="290"/>
      <c r="C2075" s="404"/>
      <c r="D2075" s="291"/>
      <c r="E2075" s="291"/>
      <c r="F2075" s="292"/>
      <c r="G2075" s="291"/>
      <c r="H2075" s="291"/>
      <c r="I2075" s="293"/>
      <c r="J2075" s="291"/>
      <c r="K2075" s="291"/>
      <c r="L2075" s="293"/>
      <c r="M2075" s="291"/>
      <c r="N2075" s="289"/>
      <c r="O2075" s="358"/>
      <c r="P2075" s="402">
        <f t="shared" ref="P2075:Q2075" si="2073">IF(B2075=0,0,IF(YEAR(B2075)=$Q$1,MONTH(B2075)-$P$1+1,(YEAR(B2075)-$Q$1)*12-$P$1+1+MONTH(B2075)))</f>
        <v>0</v>
      </c>
      <c r="Q2075" s="402">
        <f t="shared" si="2073"/>
        <v>0</v>
      </c>
      <c r="R2075" s="356" t="e">
        <f t="shared" si="1325"/>
        <v>#N/A</v>
      </c>
      <c r="S2075" s="269" t="str">
        <f>IF(D2075="","",IF(OR(D2075=Plano!$A$1,D2075=Plano!$B$1),"entrada","saída"))</f>
        <v/>
      </c>
      <c r="T2075" s="269"/>
      <c r="U2075" s="269"/>
      <c r="V2075" s="269"/>
      <c r="W2075" s="269"/>
    </row>
    <row r="2076" spans="1:23" ht="12.75" customHeight="1" x14ac:dyDescent="0.2">
      <c r="A2076" s="289" t="str">
        <f t="shared" si="0"/>
        <v/>
      </c>
      <c r="B2076" s="290"/>
      <c r="C2076" s="404"/>
      <c r="D2076" s="291"/>
      <c r="E2076" s="291"/>
      <c r="F2076" s="292"/>
      <c r="G2076" s="291"/>
      <c r="H2076" s="291"/>
      <c r="I2076" s="293"/>
      <c r="J2076" s="291"/>
      <c r="K2076" s="291"/>
      <c r="L2076" s="293"/>
      <c r="M2076" s="291"/>
      <c r="N2076" s="289"/>
      <c r="O2076" s="358"/>
      <c r="P2076" s="402">
        <f t="shared" ref="P2076:Q2076" si="2074">IF(B2076=0,0,IF(YEAR(B2076)=$Q$1,MONTH(B2076)-$P$1+1,(YEAR(B2076)-$Q$1)*12-$P$1+1+MONTH(B2076)))</f>
        <v>0</v>
      </c>
      <c r="Q2076" s="402">
        <f t="shared" si="2074"/>
        <v>0</v>
      </c>
      <c r="R2076" s="356" t="e">
        <f t="shared" si="1325"/>
        <v>#N/A</v>
      </c>
      <c r="S2076" s="269" t="str">
        <f>IF(D2076="","",IF(OR(D2076=Plano!$A$1,D2076=Plano!$B$1),"entrada","saída"))</f>
        <v/>
      </c>
      <c r="T2076" s="269"/>
      <c r="U2076" s="269"/>
      <c r="V2076" s="269"/>
      <c r="W2076" s="269"/>
    </row>
    <row r="2077" spans="1:23" ht="12.75" customHeight="1" x14ac:dyDescent="0.2">
      <c r="A2077" s="289" t="str">
        <f t="shared" si="0"/>
        <v/>
      </c>
      <c r="B2077" s="290"/>
      <c r="C2077" s="404"/>
      <c r="D2077" s="291"/>
      <c r="E2077" s="291"/>
      <c r="F2077" s="292"/>
      <c r="G2077" s="291"/>
      <c r="H2077" s="291"/>
      <c r="I2077" s="293"/>
      <c r="J2077" s="291"/>
      <c r="K2077" s="291"/>
      <c r="L2077" s="293"/>
      <c r="M2077" s="291"/>
      <c r="N2077" s="289"/>
      <c r="O2077" s="358"/>
      <c r="P2077" s="402">
        <f t="shared" ref="P2077:Q2077" si="2075">IF(B2077=0,0,IF(YEAR(B2077)=$Q$1,MONTH(B2077)-$P$1+1,(YEAR(B2077)-$Q$1)*12-$P$1+1+MONTH(B2077)))</f>
        <v>0</v>
      </c>
      <c r="Q2077" s="402">
        <f t="shared" si="2075"/>
        <v>0</v>
      </c>
      <c r="R2077" s="356" t="e">
        <f t="shared" si="1325"/>
        <v>#N/A</v>
      </c>
      <c r="S2077" s="269" t="str">
        <f>IF(D2077="","",IF(OR(D2077=Plano!$A$1,D2077=Plano!$B$1),"entrada","saída"))</f>
        <v/>
      </c>
      <c r="T2077" s="269"/>
      <c r="U2077" s="269"/>
      <c r="V2077" s="269"/>
      <c r="W2077" s="269"/>
    </row>
    <row r="2078" spans="1:23" ht="12.75" customHeight="1" x14ac:dyDescent="0.2">
      <c r="A2078" s="289" t="str">
        <f t="shared" si="0"/>
        <v/>
      </c>
      <c r="B2078" s="290"/>
      <c r="C2078" s="404"/>
      <c r="D2078" s="291"/>
      <c r="E2078" s="291"/>
      <c r="F2078" s="292"/>
      <c r="G2078" s="291"/>
      <c r="H2078" s="291"/>
      <c r="I2078" s="293"/>
      <c r="J2078" s="291"/>
      <c r="K2078" s="291"/>
      <c r="L2078" s="293"/>
      <c r="M2078" s="291"/>
      <c r="N2078" s="289"/>
      <c r="O2078" s="358"/>
      <c r="P2078" s="402">
        <f t="shared" ref="P2078:Q2078" si="2076">IF(B2078=0,0,IF(YEAR(B2078)=$Q$1,MONTH(B2078)-$P$1+1,(YEAR(B2078)-$Q$1)*12-$P$1+1+MONTH(B2078)))</f>
        <v>0</v>
      </c>
      <c r="Q2078" s="402">
        <f t="shared" si="2076"/>
        <v>0</v>
      </c>
      <c r="R2078" s="356" t="e">
        <f t="shared" si="1325"/>
        <v>#N/A</v>
      </c>
      <c r="S2078" s="269" t="str">
        <f>IF(D2078="","",IF(OR(D2078=Plano!$A$1,D2078=Plano!$B$1),"entrada","saída"))</f>
        <v/>
      </c>
      <c r="T2078" s="269"/>
      <c r="U2078" s="269"/>
      <c r="V2078" s="269"/>
      <c r="W2078" s="269"/>
    </row>
    <row r="2079" spans="1:23" ht="12.75" customHeight="1" x14ac:dyDescent="0.2">
      <c r="A2079" s="289" t="str">
        <f t="shared" si="0"/>
        <v/>
      </c>
      <c r="B2079" s="290"/>
      <c r="C2079" s="404"/>
      <c r="D2079" s="291"/>
      <c r="E2079" s="291"/>
      <c r="F2079" s="292"/>
      <c r="G2079" s="291"/>
      <c r="H2079" s="291"/>
      <c r="I2079" s="293"/>
      <c r="J2079" s="291"/>
      <c r="K2079" s="291"/>
      <c r="L2079" s="293"/>
      <c r="M2079" s="291"/>
      <c r="N2079" s="289"/>
      <c r="O2079" s="358"/>
      <c r="P2079" s="402">
        <f t="shared" ref="P2079:Q2079" si="2077">IF(B2079=0,0,IF(YEAR(B2079)=$Q$1,MONTH(B2079)-$P$1+1,(YEAR(B2079)-$Q$1)*12-$P$1+1+MONTH(B2079)))</f>
        <v>0</v>
      </c>
      <c r="Q2079" s="402">
        <f t="shared" si="2077"/>
        <v>0</v>
      </c>
      <c r="R2079" s="356" t="e">
        <f t="shared" si="1325"/>
        <v>#N/A</v>
      </c>
      <c r="S2079" s="269" t="str">
        <f>IF(D2079="","",IF(OR(D2079=Plano!$A$1,D2079=Plano!$B$1),"entrada","saída"))</f>
        <v/>
      </c>
      <c r="T2079" s="269"/>
      <c r="U2079" s="269"/>
      <c r="V2079" s="269"/>
      <c r="W2079" s="269"/>
    </row>
    <row r="2080" spans="1:23" ht="12.75" customHeight="1" x14ac:dyDescent="0.2">
      <c r="A2080" s="289" t="str">
        <f t="shared" si="0"/>
        <v/>
      </c>
      <c r="B2080" s="290"/>
      <c r="C2080" s="404"/>
      <c r="D2080" s="291"/>
      <c r="E2080" s="291"/>
      <c r="F2080" s="292"/>
      <c r="G2080" s="291"/>
      <c r="H2080" s="291"/>
      <c r="I2080" s="293"/>
      <c r="J2080" s="291"/>
      <c r="K2080" s="291"/>
      <c r="L2080" s="293"/>
      <c r="M2080" s="291"/>
      <c r="N2080" s="289"/>
      <c r="O2080" s="358"/>
      <c r="P2080" s="402">
        <f t="shared" ref="P2080:Q2080" si="2078">IF(B2080=0,0,IF(YEAR(B2080)=$Q$1,MONTH(B2080)-$P$1+1,(YEAR(B2080)-$Q$1)*12-$P$1+1+MONTH(B2080)))</f>
        <v>0</v>
      </c>
      <c r="Q2080" s="402">
        <f t="shared" si="2078"/>
        <v>0</v>
      </c>
      <c r="R2080" s="356" t="e">
        <f t="shared" si="1325"/>
        <v>#N/A</v>
      </c>
      <c r="S2080" s="269" t="str">
        <f>IF(D2080="","",IF(OR(D2080=Plano!$A$1,D2080=Plano!$B$1),"entrada","saída"))</f>
        <v/>
      </c>
      <c r="T2080" s="269"/>
      <c r="U2080" s="269"/>
      <c r="V2080" s="269"/>
      <c r="W2080" s="269"/>
    </row>
    <row r="2081" spans="1:23" ht="12.75" customHeight="1" x14ac:dyDescent="0.2">
      <c r="A2081" s="289" t="str">
        <f t="shared" si="0"/>
        <v/>
      </c>
      <c r="B2081" s="290"/>
      <c r="C2081" s="404"/>
      <c r="D2081" s="291"/>
      <c r="E2081" s="291"/>
      <c r="F2081" s="292"/>
      <c r="G2081" s="291"/>
      <c r="H2081" s="291"/>
      <c r="I2081" s="293"/>
      <c r="J2081" s="291"/>
      <c r="K2081" s="291"/>
      <c r="L2081" s="293"/>
      <c r="M2081" s="291"/>
      <c r="N2081" s="289"/>
      <c r="O2081" s="358"/>
      <c r="P2081" s="402">
        <f t="shared" ref="P2081:Q2081" si="2079">IF(B2081=0,0,IF(YEAR(B2081)=$Q$1,MONTH(B2081)-$P$1+1,(YEAR(B2081)-$Q$1)*12-$P$1+1+MONTH(B2081)))</f>
        <v>0</v>
      </c>
      <c r="Q2081" s="402">
        <f t="shared" si="2079"/>
        <v>0</v>
      </c>
      <c r="R2081" s="356" t="e">
        <f t="shared" si="1325"/>
        <v>#N/A</v>
      </c>
      <c r="S2081" s="269" t="str">
        <f>IF(D2081="","",IF(OR(D2081=Plano!$A$1,D2081=Plano!$B$1),"entrada","saída"))</f>
        <v/>
      </c>
      <c r="T2081" s="269"/>
      <c r="U2081" s="269"/>
      <c r="V2081" s="269"/>
      <c r="W2081" s="269"/>
    </row>
    <row r="2082" spans="1:23" ht="12.75" customHeight="1" x14ac:dyDescent="0.2">
      <c r="A2082" s="289" t="str">
        <f t="shared" si="0"/>
        <v/>
      </c>
      <c r="B2082" s="290"/>
      <c r="C2082" s="404"/>
      <c r="D2082" s="291"/>
      <c r="E2082" s="291"/>
      <c r="F2082" s="292"/>
      <c r="G2082" s="291"/>
      <c r="H2082" s="291"/>
      <c r="I2082" s="293"/>
      <c r="J2082" s="291"/>
      <c r="K2082" s="291"/>
      <c r="L2082" s="293"/>
      <c r="M2082" s="291"/>
      <c r="N2082" s="289"/>
      <c r="O2082" s="358"/>
      <c r="P2082" s="402">
        <f t="shared" ref="P2082:Q2082" si="2080">IF(B2082=0,0,IF(YEAR(B2082)=$Q$1,MONTH(B2082)-$P$1+1,(YEAR(B2082)-$Q$1)*12-$P$1+1+MONTH(B2082)))</f>
        <v>0</v>
      </c>
      <c r="Q2082" s="402">
        <f t="shared" si="2080"/>
        <v>0</v>
      </c>
      <c r="R2082" s="356" t="e">
        <f t="shared" si="1325"/>
        <v>#N/A</v>
      </c>
      <c r="S2082" s="269" t="str">
        <f>IF(D2082="","",IF(OR(D2082=Plano!$A$1,D2082=Plano!$B$1),"entrada","saída"))</f>
        <v/>
      </c>
      <c r="T2082" s="269"/>
      <c r="U2082" s="269"/>
      <c r="V2082" s="269"/>
      <c r="W2082" s="269"/>
    </row>
    <row r="2083" spans="1:23" ht="12.75" customHeight="1" x14ac:dyDescent="0.2">
      <c r="A2083" s="289" t="str">
        <f t="shared" si="0"/>
        <v/>
      </c>
      <c r="B2083" s="290"/>
      <c r="C2083" s="404"/>
      <c r="D2083" s="291"/>
      <c r="E2083" s="291"/>
      <c r="F2083" s="292"/>
      <c r="G2083" s="291"/>
      <c r="H2083" s="291"/>
      <c r="I2083" s="293"/>
      <c r="J2083" s="291"/>
      <c r="K2083" s="291"/>
      <c r="L2083" s="293"/>
      <c r="M2083" s="291"/>
      <c r="N2083" s="289"/>
      <c r="O2083" s="358"/>
      <c r="P2083" s="402">
        <f t="shared" ref="P2083:Q2083" si="2081">IF(B2083=0,0,IF(YEAR(B2083)=$Q$1,MONTH(B2083)-$P$1+1,(YEAR(B2083)-$Q$1)*12-$P$1+1+MONTH(B2083)))</f>
        <v>0</v>
      </c>
      <c r="Q2083" s="402">
        <f t="shared" si="2081"/>
        <v>0</v>
      </c>
      <c r="R2083" s="356" t="e">
        <f t="shared" si="1325"/>
        <v>#N/A</v>
      </c>
      <c r="S2083" s="269" t="str">
        <f>IF(D2083="","",IF(OR(D2083=Plano!$A$1,D2083=Plano!$B$1),"entrada","saída"))</f>
        <v/>
      </c>
      <c r="T2083" s="269"/>
      <c r="U2083" s="269"/>
      <c r="V2083" s="269"/>
      <c r="W2083" s="269"/>
    </row>
    <row r="2084" spans="1:23" ht="12.75" customHeight="1" x14ac:dyDescent="0.2">
      <c r="A2084" s="289" t="str">
        <f t="shared" si="0"/>
        <v/>
      </c>
      <c r="B2084" s="290"/>
      <c r="C2084" s="404"/>
      <c r="D2084" s="291"/>
      <c r="E2084" s="291"/>
      <c r="F2084" s="292"/>
      <c r="G2084" s="291"/>
      <c r="H2084" s="291"/>
      <c r="I2084" s="293"/>
      <c r="J2084" s="291"/>
      <c r="K2084" s="291"/>
      <c r="L2084" s="293"/>
      <c r="M2084" s="291"/>
      <c r="N2084" s="289"/>
      <c r="O2084" s="358"/>
      <c r="P2084" s="402">
        <f t="shared" ref="P2084:Q2084" si="2082">IF(B2084=0,0,IF(YEAR(B2084)=$Q$1,MONTH(B2084)-$P$1+1,(YEAR(B2084)-$Q$1)*12-$P$1+1+MONTH(B2084)))</f>
        <v>0</v>
      </c>
      <c r="Q2084" s="402">
        <f t="shared" si="2082"/>
        <v>0</v>
      </c>
      <c r="R2084" s="356" t="e">
        <f t="shared" si="1325"/>
        <v>#N/A</v>
      </c>
      <c r="S2084" s="269" t="str">
        <f>IF(D2084="","",IF(OR(D2084=Plano!$A$1,D2084=Plano!$B$1),"entrada","saída"))</f>
        <v/>
      </c>
      <c r="T2084" s="269"/>
      <c r="U2084" s="269"/>
      <c r="V2084" s="269"/>
      <c r="W2084" s="269"/>
    </row>
    <row r="2085" spans="1:23" ht="12.75" customHeight="1" x14ac:dyDescent="0.2">
      <c r="A2085" s="289" t="str">
        <f t="shared" si="0"/>
        <v/>
      </c>
      <c r="B2085" s="290"/>
      <c r="C2085" s="404"/>
      <c r="D2085" s="291"/>
      <c r="E2085" s="291"/>
      <c r="F2085" s="292"/>
      <c r="G2085" s="291"/>
      <c r="H2085" s="291"/>
      <c r="I2085" s="293"/>
      <c r="J2085" s="291"/>
      <c r="K2085" s="291"/>
      <c r="L2085" s="293"/>
      <c r="M2085" s="291"/>
      <c r="N2085" s="289"/>
      <c r="O2085" s="358"/>
      <c r="P2085" s="402">
        <f t="shared" ref="P2085:Q2085" si="2083">IF(B2085=0,0,IF(YEAR(B2085)=$Q$1,MONTH(B2085)-$P$1+1,(YEAR(B2085)-$Q$1)*12-$P$1+1+MONTH(B2085)))</f>
        <v>0</v>
      </c>
      <c r="Q2085" s="402">
        <f t="shared" si="2083"/>
        <v>0</v>
      </c>
      <c r="R2085" s="356" t="e">
        <f t="shared" si="1325"/>
        <v>#N/A</v>
      </c>
      <c r="S2085" s="269" t="str">
        <f>IF(D2085="","",IF(OR(D2085=Plano!$A$1,D2085=Plano!$B$1),"entrada","saída"))</f>
        <v/>
      </c>
      <c r="T2085" s="269"/>
      <c r="U2085" s="269"/>
      <c r="V2085" s="269"/>
      <c r="W2085" s="269"/>
    </row>
    <row r="2086" spans="1:23" ht="12.75" customHeight="1" x14ac:dyDescent="0.2">
      <c r="A2086" s="289" t="str">
        <f t="shared" si="0"/>
        <v/>
      </c>
      <c r="B2086" s="290"/>
      <c r="C2086" s="404"/>
      <c r="D2086" s="291"/>
      <c r="E2086" s="291"/>
      <c r="F2086" s="292"/>
      <c r="G2086" s="291"/>
      <c r="H2086" s="291"/>
      <c r="I2086" s="293"/>
      <c r="J2086" s="291"/>
      <c r="K2086" s="291"/>
      <c r="L2086" s="293"/>
      <c r="M2086" s="291"/>
      <c r="N2086" s="289"/>
      <c r="O2086" s="358"/>
      <c r="P2086" s="402">
        <f t="shared" ref="P2086:Q2086" si="2084">IF(B2086=0,0,IF(YEAR(B2086)=$Q$1,MONTH(B2086)-$P$1+1,(YEAR(B2086)-$Q$1)*12-$P$1+1+MONTH(B2086)))</f>
        <v>0</v>
      </c>
      <c r="Q2086" s="402">
        <f t="shared" si="2084"/>
        <v>0</v>
      </c>
      <c r="R2086" s="356" t="e">
        <f t="shared" si="1325"/>
        <v>#N/A</v>
      </c>
      <c r="S2086" s="269" t="str">
        <f>IF(D2086="","",IF(OR(D2086=Plano!$A$1,D2086=Plano!$B$1),"entrada","saída"))</f>
        <v/>
      </c>
      <c r="T2086" s="269"/>
      <c r="U2086" s="269"/>
      <c r="V2086" s="269"/>
      <c r="W2086" s="269"/>
    </row>
    <row r="2087" spans="1:23" ht="12.75" customHeight="1" x14ac:dyDescent="0.2">
      <c r="A2087" s="289" t="str">
        <f t="shared" si="0"/>
        <v/>
      </c>
      <c r="B2087" s="290"/>
      <c r="C2087" s="404"/>
      <c r="D2087" s="291"/>
      <c r="E2087" s="291"/>
      <c r="F2087" s="292"/>
      <c r="G2087" s="291"/>
      <c r="H2087" s="291"/>
      <c r="I2087" s="293"/>
      <c r="J2087" s="291"/>
      <c r="K2087" s="291"/>
      <c r="L2087" s="293"/>
      <c r="M2087" s="291"/>
      <c r="N2087" s="289"/>
      <c r="O2087" s="358"/>
      <c r="P2087" s="402">
        <f t="shared" ref="P2087:Q2087" si="2085">IF(B2087=0,0,IF(YEAR(B2087)=$Q$1,MONTH(B2087)-$P$1+1,(YEAR(B2087)-$Q$1)*12-$P$1+1+MONTH(B2087)))</f>
        <v>0</v>
      </c>
      <c r="Q2087" s="402">
        <f t="shared" si="2085"/>
        <v>0</v>
      </c>
      <c r="R2087" s="356" t="e">
        <f t="shared" si="1325"/>
        <v>#N/A</v>
      </c>
      <c r="S2087" s="269" t="str">
        <f>IF(D2087="","",IF(OR(D2087=Plano!$A$1,D2087=Plano!$B$1),"entrada","saída"))</f>
        <v/>
      </c>
      <c r="T2087" s="269"/>
      <c r="U2087" s="269"/>
      <c r="V2087" s="269"/>
      <c r="W2087" s="269"/>
    </row>
    <row r="2088" spans="1:23" ht="12.75" customHeight="1" x14ac:dyDescent="0.2">
      <c r="A2088" s="289" t="str">
        <f t="shared" si="0"/>
        <v/>
      </c>
      <c r="B2088" s="290"/>
      <c r="C2088" s="404"/>
      <c r="D2088" s="291"/>
      <c r="E2088" s="291"/>
      <c r="F2088" s="292"/>
      <c r="G2088" s="291"/>
      <c r="H2088" s="291"/>
      <c r="I2088" s="293"/>
      <c r="J2088" s="291"/>
      <c r="K2088" s="291"/>
      <c r="L2088" s="293"/>
      <c r="M2088" s="291"/>
      <c r="N2088" s="289"/>
      <c r="O2088" s="358"/>
      <c r="P2088" s="402">
        <f t="shared" ref="P2088:Q2088" si="2086">IF(B2088=0,0,IF(YEAR(B2088)=$Q$1,MONTH(B2088)-$P$1+1,(YEAR(B2088)-$Q$1)*12-$P$1+1+MONTH(B2088)))</f>
        <v>0</v>
      </c>
      <c r="Q2088" s="402">
        <f t="shared" si="2086"/>
        <v>0</v>
      </c>
      <c r="R2088" s="356" t="e">
        <f t="shared" si="1325"/>
        <v>#N/A</v>
      </c>
      <c r="S2088" s="269" t="str">
        <f>IF(D2088="","",IF(OR(D2088=Plano!$A$1,D2088=Plano!$B$1),"entrada","saída"))</f>
        <v/>
      </c>
      <c r="T2088" s="269"/>
      <c r="U2088" s="269"/>
      <c r="V2088" s="269"/>
      <c r="W2088" s="269"/>
    </row>
    <row r="2089" spans="1:23" ht="12.75" customHeight="1" x14ac:dyDescent="0.2">
      <c r="A2089" s="289" t="str">
        <f t="shared" si="0"/>
        <v/>
      </c>
      <c r="B2089" s="290"/>
      <c r="C2089" s="404"/>
      <c r="D2089" s="291"/>
      <c r="E2089" s="291"/>
      <c r="F2089" s="292"/>
      <c r="G2089" s="291"/>
      <c r="H2089" s="291"/>
      <c r="I2089" s="293"/>
      <c r="J2089" s="291"/>
      <c r="K2089" s="291"/>
      <c r="L2089" s="293"/>
      <c r="M2089" s="291"/>
      <c r="N2089" s="289"/>
      <c r="O2089" s="358"/>
      <c r="P2089" s="402">
        <f t="shared" ref="P2089:Q2089" si="2087">IF(B2089=0,0,IF(YEAR(B2089)=$Q$1,MONTH(B2089)-$P$1+1,(YEAR(B2089)-$Q$1)*12-$P$1+1+MONTH(B2089)))</f>
        <v>0</v>
      </c>
      <c r="Q2089" s="402">
        <f t="shared" si="2087"/>
        <v>0</v>
      </c>
      <c r="R2089" s="356" t="e">
        <f t="shared" si="1325"/>
        <v>#N/A</v>
      </c>
      <c r="S2089" s="269" t="str">
        <f>IF(D2089="","",IF(OR(D2089=Plano!$A$1,D2089=Plano!$B$1),"entrada","saída"))</f>
        <v/>
      </c>
      <c r="T2089" s="269"/>
      <c r="U2089" s="269"/>
      <c r="V2089" s="269"/>
      <c r="W2089" s="269"/>
    </row>
    <row r="2090" spans="1:23" ht="12.75" customHeight="1" x14ac:dyDescent="0.2">
      <c r="A2090" s="289" t="str">
        <f t="shared" si="0"/>
        <v/>
      </c>
      <c r="B2090" s="290"/>
      <c r="C2090" s="404"/>
      <c r="D2090" s="291"/>
      <c r="E2090" s="291"/>
      <c r="F2090" s="292"/>
      <c r="G2090" s="291"/>
      <c r="H2090" s="291"/>
      <c r="I2090" s="293"/>
      <c r="J2090" s="291"/>
      <c r="K2090" s="291"/>
      <c r="L2090" s="293"/>
      <c r="M2090" s="291"/>
      <c r="N2090" s="289"/>
      <c r="O2090" s="358"/>
      <c r="P2090" s="402">
        <f t="shared" ref="P2090:Q2090" si="2088">IF(B2090=0,0,IF(YEAR(B2090)=$Q$1,MONTH(B2090)-$P$1+1,(YEAR(B2090)-$Q$1)*12-$P$1+1+MONTH(B2090)))</f>
        <v>0</v>
      </c>
      <c r="Q2090" s="402">
        <f t="shared" si="2088"/>
        <v>0</v>
      </c>
      <c r="R2090" s="356" t="e">
        <f t="shared" si="1325"/>
        <v>#N/A</v>
      </c>
      <c r="S2090" s="269" t="str">
        <f>IF(D2090="","",IF(OR(D2090=Plano!$A$1,D2090=Plano!$B$1),"entrada","saída"))</f>
        <v/>
      </c>
      <c r="T2090" s="269"/>
      <c r="U2090" s="269"/>
      <c r="V2090" s="269"/>
      <c r="W2090" s="269"/>
    </row>
    <row r="2091" spans="1:23" ht="12.75" customHeight="1" x14ac:dyDescent="0.2">
      <c r="A2091" s="289" t="str">
        <f t="shared" si="0"/>
        <v/>
      </c>
      <c r="B2091" s="290"/>
      <c r="C2091" s="404"/>
      <c r="D2091" s="291"/>
      <c r="E2091" s="291"/>
      <c r="F2091" s="292"/>
      <c r="G2091" s="291"/>
      <c r="H2091" s="291"/>
      <c r="I2091" s="293"/>
      <c r="J2091" s="291"/>
      <c r="K2091" s="291"/>
      <c r="L2091" s="293"/>
      <c r="M2091" s="291"/>
      <c r="N2091" s="289"/>
      <c r="O2091" s="358"/>
      <c r="P2091" s="402">
        <f t="shared" ref="P2091:Q2091" si="2089">IF(B2091=0,0,IF(YEAR(B2091)=$Q$1,MONTH(B2091)-$P$1+1,(YEAR(B2091)-$Q$1)*12-$P$1+1+MONTH(B2091)))</f>
        <v>0</v>
      </c>
      <c r="Q2091" s="402">
        <f t="shared" si="2089"/>
        <v>0</v>
      </c>
      <c r="R2091" s="356" t="e">
        <f t="shared" si="1325"/>
        <v>#N/A</v>
      </c>
      <c r="S2091" s="269" t="str">
        <f>IF(D2091="","",IF(OR(D2091=Plano!$A$1,D2091=Plano!$B$1),"entrada","saída"))</f>
        <v/>
      </c>
      <c r="T2091" s="269"/>
      <c r="U2091" s="269"/>
      <c r="V2091" s="269"/>
      <c r="W2091" s="269"/>
    </row>
    <row r="2092" spans="1:23" ht="12.75" customHeight="1" x14ac:dyDescent="0.2">
      <c r="A2092" s="289" t="str">
        <f t="shared" si="0"/>
        <v/>
      </c>
      <c r="B2092" s="290"/>
      <c r="C2092" s="404"/>
      <c r="D2092" s="291"/>
      <c r="E2092" s="291"/>
      <c r="F2092" s="292"/>
      <c r="G2092" s="291"/>
      <c r="H2092" s="291"/>
      <c r="I2092" s="293"/>
      <c r="J2092" s="291"/>
      <c r="K2092" s="291"/>
      <c r="L2092" s="293"/>
      <c r="M2092" s="291"/>
      <c r="N2092" s="289"/>
      <c r="O2092" s="358"/>
      <c r="P2092" s="402">
        <f t="shared" ref="P2092:Q2092" si="2090">IF(B2092=0,0,IF(YEAR(B2092)=$Q$1,MONTH(B2092)-$P$1+1,(YEAR(B2092)-$Q$1)*12-$P$1+1+MONTH(B2092)))</f>
        <v>0</v>
      </c>
      <c r="Q2092" s="402">
        <f t="shared" si="2090"/>
        <v>0</v>
      </c>
      <c r="R2092" s="356" t="e">
        <f t="shared" si="1325"/>
        <v>#N/A</v>
      </c>
      <c r="S2092" s="269" t="str">
        <f>IF(D2092="","",IF(OR(D2092=Plano!$A$1,D2092=Plano!$B$1),"entrada","saída"))</f>
        <v/>
      </c>
      <c r="T2092" s="269"/>
      <c r="U2092" s="269"/>
      <c r="V2092" s="269"/>
      <c r="W2092" s="269"/>
    </row>
    <row r="2093" spans="1:23" ht="12.75" customHeight="1" x14ac:dyDescent="0.2">
      <c r="A2093" s="289" t="str">
        <f t="shared" si="0"/>
        <v/>
      </c>
      <c r="B2093" s="290"/>
      <c r="C2093" s="404"/>
      <c r="D2093" s="291"/>
      <c r="E2093" s="291"/>
      <c r="F2093" s="292"/>
      <c r="G2093" s="291"/>
      <c r="H2093" s="291"/>
      <c r="I2093" s="293"/>
      <c r="J2093" s="291"/>
      <c r="K2093" s="291"/>
      <c r="L2093" s="293"/>
      <c r="M2093" s="291"/>
      <c r="N2093" s="289"/>
      <c r="O2093" s="358"/>
      <c r="P2093" s="402">
        <f t="shared" ref="P2093:Q2093" si="2091">IF(B2093=0,0,IF(YEAR(B2093)=$Q$1,MONTH(B2093)-$P$1+1,(YEAR(B2093)-$Q$1)*12-$P$1+1+MONTH(B2093)))</f>
        <v>0</v>
      </c>
      <c r="Q2093" s="402">
        <f t="shared" si="2091"/>
        <v>0</v>
      </c>
      <c r="R2093" s="356" t="e">
        <f t="shared" si="1325"/>
        <v>#N/A</v>
      </c>
      <c r="S2093" s="269" t="str">
        <f>IF(D2093="","",IF(OR(D2093=Plano!$A$1,D2093=Plano!$B$1),"entrada","saída"))</f>
        <v/>
      </c>
      <c r="T2093" s="269"/>
      <c r="U2093" s="269"/>
      <c r="V2093" s="269"/>
      <c r="W2093" s="269"/>
    </row>
    <row r="2094" spans="1:23" ht="12.75" customHeight="1" x14ac:dyDescent="0.2">
      <c r="A2094" s="289" t="str">
        <f t="shared" si="0"/>
        <v/>
      </c>
      <c r="B2094" s="290"/>
      <c r="C2094" s="404"/>
      <c r="D2094" s="291"/>
      <c r="E2094" s="291"/>
      <c r="F2094" s="292"/>
      <c r="G2094" s="291"/>
      <c r="H2094" s="291"/>
      <c r="I2094" s="293"/>
      <c r="J2094" s="291"/>
      <c r="K2094" s="291"/>
      <c r="L2094" s="293"/>
      <c r="M2094" s="291"/>
      <c r="N2094" s="289"/>
      <c r="O2094" s="358"/>
      <c r="P2094" s="402">
        <f t="shared" ref="P2094:Q2094" si="2092">IF(B2094=0,0,IF(YEAR(B2094)=$Q$1,MONTH(B2094)-$P$1+1,(YEAR(B2094)-$Q$1)*12-$P$1+1+MONTH(B2094)))</f>
        <v>0</v>
      </c>
      <c r="Q2094" s="402">
        <f t="shared" si="2092"/>
        <v>0</v>
      </c>
      <c r="R2094" s="356" t="e">
        <f t="shared" si="1325"/>
        <v>#N/A</v>
      </c>
      <c r="S2094" s="269" t="str">
        <f>IF(D2094="","",IF(OR(D2094=Plano!$A$1,D2094=Plano!$B$1),"entrada","saída"))</f>
        <v/>
      </c>
      <c r="T2094" s="269"/>
      <c r="U2094" s="269"/>
      <c r="V2094" s="269"/>
      <c r="W2094" s="269"/>
    </row>
    <row r="2095" spans="1:23" ht="12.75" customHeight="1" x14ac:dyDescent="0.2">
      <c r="A2095" s="289" t="str">
        <f t="shared" si="0"/>
        <v/>
      </c>
      <c r="B2095" s="290"/>
      <c r="C2095" s="404"/>
      <c r="D2095" s="291"/>
      <c r="E2095" s="291"/>
      <c r="F2095" s="292"/>
      <c r="G2095" s="291"/>
      <c r="H2095" s="291"/>
      <c r="I2095" s="293"/>
      <c r="J2095" s="291"/>
      <c r="K2095" s="291"/>
      <c r="L2095" s="293"/>
      <c r="M2095" s="291"/>
      <c r="N2095" s="289"/>
      <c r="O2095" s="358"/>
      <c r="P2095" s="402">
        <f t="shared" ref="P2095:Q2095" si="2093">IF(B2095=0,0,IF(YEAR(B2095)=$Q$1,MONTH(B2095)-$P$1+1,(YEAR(B2095)-$Q$1)*12-$P$1+1+MONTH(B2095)))</f>
        <v>0</v>
      </c>
      <c r="Q2095" s="402">
        <f t="shared" si="2093"/>
        <v>0</v>
      </c>
      <c r="R2095" s="356" t="e">
        <f t="shared" si="1325"/>
        <v>#N/A</v>
      </c>
      <c r="S2095" s="269" t="str">
        <f>IF(D2095="","",IF(OR(D2095=Plano!$A$1,D2095=Plano!$B$1),"entrada","saída"))</f>
        <v/>
      </c>
      <c r="T2095" s="269"/>
      <c r="U2095" s="269"/>
      <c r="V2095" s="269"/>
      <c r="W2095" s="269"/>
    </row>
    <row r="2096" spans="1:23" ht="12.75" customHeight="1" x14ac:dyDescent="0.2">
      <c r="A2096" s="289" t="str">
        <f t="shared" si="0"/>
        <v/>
      </c>
      <c r="B2096" s="290"/>
      <c r="C2096" s="404"/>
      <c r="D2096" s="291"/>
      <c r="E2096" s="291"/>
      <c r="F2096" s="292"/>
      <c r="G2096" s="291"/>
      <c r="H2096" s="291"/>
      <c r="I2096" s="293"/>
      <c r="J2096" s="291"/>
      <c r="K2096" s="291"/>
      <c r="L2096" s="293"/>
      <c r="M2096" s="291"/>
      <c r="N2096" s="289"/>
      <c r="O2096" s="358"/>
      <c r="P2096" s="402">
        <f t="shared" ref="P2096:Q2096" si="2094">IF(B2096=0,0,IF(YEAR(B2096)=$Q$1,MONTH(B2096)-$P$1+1,(YEAR(B2096)-$Q$1)*12-$P$1+1+MONTH(B2096)))</f>
        <v>0</v>
      </c>
      <c r="Q2096" s="402">
        <f t="shared" si="2094"/>
        <v>0</v>
      </c>
      <c r="R2096" s="356" t="e">
        <f t="shared" si="1325"/>
        <v>#N/A</v>
      </c>
      <c r="S2096" s="269" t="str">
        <f>IF(D2096="","",IF(OR(D2096=Plano!$A$1,D2096=Plano!$B$1),"entrada","saída"))</f>
        <v/>
      </c>
      <c r="T2096" s="269"/>
      <c r="U2096" s="269"/>
      <c r="V2096" s="269"/>
      <c r="W2096" s="269"/>
    </row>
    <row r="2097" spans="1:23" ht="12.75" customHeight="1" x14ac:dyDescent="0.2">
      <c r="A2097" s="289" t="str">
        <f t="shared" si="0"/>
        <v/>
      </c>
      <c r="B2097" s="290"/>
      <c r="C2097" s="404"/>
      <c r="D2097" s="291"/>
      <c r="E2097" s="291"/>
      <c r="F2097" s="292"/>
      <c r="G2097" s="291"/>
      <c r="H2097" s="291"/>
      <c r="I2097" s="293"/>
      <c r="J2097" s="291"/>
      <c r="K2097" s="291"/>
      <c r="L2097" s="293"/>
      <c r="M2097" s="291"/>
      <c r="N2097" s="289"/>
      <c r="O2097" s="358"/>
      <c r="P2097" s="402">
        <f t="shared" ref="P2097:Q2097" si="2095">IF(B2097=0,0,IF(YEAR(B2097)=$Q$1,MONTH(B2097)-$P$1+1,(YEAR(B2097)-$Q$1)*12-$P$1+1+MONTH(B2097)))</f>
        <v>0</v>
      </c>
      <c r="Q2097" s="402">
        <f t="shared" si="2095"/>
        <v>0</v>
      </c>
      <c r="R2097" s="356" t="e">
        <f t="shared" si="1325"/>
        <v>#N/A</v>
      </c>
      <c r="S2097" s="269" t="str">
        <f>IF(D2097="","",IF(OR(D2097=Plano!$A$1,D2097=Plano!$B$1),"entrada","saída"))</f>
        <v/>
      </c>
      <c r="T2097" s="269"/>
      <c r="U2097" s="269"/>
      <c r="V2097" s="269"/>
      <c r="W2097" s="269"/>
    </row>
    <row r="2098" spans="1:23" ht="12.75" customHeight="1" x14ac:dyDescent="0.2">
      <c r="A2098" s="289" t="str">
        <f t="shared" si="0"/>
        <v/>
      </c>
      <c r="B2098" s="290"/>
      <c r="C2098" s="404"/>
      <c r="D2098" s="291"/>
      <c r="E2098" s="291"/>
      <c r="F2098" s="292"/>
      <c r="G2098" s="291"/>
      <c r="H2098" s="291"/>
      <c r="I2098" s="293"/>
      <c r="J2098" s="291"/>
      <c r="K2098" s="291"/>
      <c r="L2098" s="293"/>
      <c r="M2098" s="291"/>
      <c r="N2098" s="289"/>
      <c r="O2098" s="358"/>
      <c r="P2098" s="402">
        <f t="shared" ref="P2098:Q2098" si="2096">IF(B2098=0,0,IF(YEAR(B2098)=$Q$1,MONTH(B2098)-$P$1+1,(YEAR(B2098)-$Q$1)*12-$P$1+1+MONTH(B2098)))</f>
        <v>0</v>
      </c>
      <c r="Q2098" s="402">
        <f t="shared" si="2096"/>
        <v>0</v>
      </c>
      <c r="R2098" s="356" t="e">
        <f t="shared" si="1325"/>
        <v>#N/A</v>
      </c>
      <c r="S2098" s="269" t="str">
        <f>IF(D2098="","",IF(OR(D2098=Plano!$A$1,D2098=Plano!$B$1),"entrada","saída"))</f>
        <v/>
      </c>
      <c r="T2098" s="269"/>
      <c r="U2098" s="269"/>
      <c r="V2098" s="269"/>
      <c r="W2098" s="269"/>
    </row>
    <row r="2099" spans="1:23" ht="12.75" customHeight="1" x14ac:dyDescent="0.2">
      <c r="A2099" s="289" t="str">
        <f t="shared" si="0"/>
        <v/>
      </c>
      <c r="B2099" s="290"/>
      <c r="C2099" s="404"/>
      <c r="D2099" s="291"/>
      <c r="E2099" s="291"/>
      <c r="F2099" s="292"/>
      <c r="G2099" s="291"/>
      <c r="H2099" s="291"/>
      <c r="I2099" s="293"/>
      <c r="J2099" s="291"/>
      <c r="K2099" s="291"/>
      <c r="L2099" s="293"/>
      <c r="M2099" s="291"/>
      <c r="N2099" s="289"/>
      <c r="O2099" s="358"/>
      <c r="P2099" s="402">
        <f t="shared" ref="P2099:Q2099" si="2097">IF(B2099=0,0,IF(YEAR(B2099)=$Q$1,MONTH(B2099)-$P$1+1,(YEAR(B2099)-$Q$1)*12-$P$1+1+MONTH(B2099)))</f>
        <v>0</v>
      </c>
      <c r="Q2099" s="402">
        <f t="shared" si="2097"/>
        <v>0</v>
      </c>
      <c r="R2099" s="356" t="e">
        <f t="shared" si="1325"/>
        <v>#N/A</v>
      </c>
      <c r="S2099" s="269" t="str">
        <f>IF(D2099="","",IF(OR(D2099=Plano!$A$1,D2099=Plano!$B$1),"entrada","saída"))</f>
        <v/>
      </c>
      <c r="T2099" s="269"/>
      <c r="U2099" s="269"/>
      <c r="V2099" s="269"/>
      <c r="W2099" s="269"/>
    </row>
    <row r="2100" spans="1:23" ht="12.75" customHeight="1" x14ac:dyDescent="0.2">
      <c r="A2100" s="289" t="str">
        <f t="shared" si="0"/>
        <v/>
      </c>
      <c r="B2100" s="290"/>
      <c r="C2100" s="404"/>
      <c r="D2100" s="291"/>
      <c r="E2100" s="291"/>
      <c r="F2100" s="292"/>
      <c r="G2100" s="291"/>
      <c r="H2100" s="291"/>
      <c r="I2100" s="293"/>
      <c r="J2100" s="291"/>
      <c r="K2100" s="291"/>
      <c r="L2100" s="293"/>
      <c r="M2100" s="291"/>
      <c r="N2100" s="289"/>
      <c r="O2100" s="358"/>
      <c r="P2100" s="402">
        <f t="shared" ref="P2100:Q2100" si="2098">IF(B2100=0,0,IF(YEAR(B2100)=$Q$1,MONTH(B2100)-$P$1+1,(YEAR(B2100)-$Q$1)*12-$P$1+1+MONTH(B2100)))</f>
        <v>0</v>
      </c>
      <c r="Q2100" s="402">
        <f t="shared" si="2098"/>
        <v>0</v>
      </c>
      <c r="R2100" s="356" t="e">
        <f t="shared" si="1325"/>
        <v>#N/A</v>
      </c>
      <c r="S2100" s="269" t="str">
        <f>IF(D2100="","",IF(OR(D2100=Plano!$A$1,D2100=Plano!$B$1),"entrada","saída"))</f>
        <v/>
      </c>
      <c r="T2100" s="269"/>
      <c r="U2100" s="269"/>
      <c r="V2100" s="269"/>
      <c r="W2100" s="269"/>
    </row>
    <row r="2101" spans="1:23" ht="12.75" customHeight="1" x14ac:dyDescent="0.2">
      <c r="A2101" s="289" t="str">
        <f t="shared" si="0"/>
        <v/>
      </c>
      <c r="B2101" s="290"/>
      <c r="C2101" s="404"/>
      <c r="D2101" s="291"/>
      <c r="E2101" s="291"/>
      <c r="F2101" s="292"/>
      <c r="G2101" s="291"/>
      <c r="H2101" s="291"/>
      <c r="I2101" s="293"/>
      <c r="J2101" s="291"/>
      <c r="K2101" s="291"/>
      <c r="L2101" s="293"/>
      <c r="M2101" s="291"/>
      <c r="N2101" s="289"/>
      <c r="O2101" s="358"/>
      <c r="P2101" s="402">
        <f t="shared" ref="P2101:Q2101" si="2099">IF(B2101=0,0,IF(YEAR(B2101)=$Q$1,MONTH(B2101)-$P$1+1,(YEAR(B2101)-$Q$1)*12-$P$1+1+MONTH(B2101)))</f>
        <v>0</v>
      </c>
      <c r="Q2101" s="402">
        <f t="shared" si="2099"/>
        <v>0</v>
      </c>
      <c r="R2101" s="356" t="e">
        <f t="shared" si="1325"/>
        <v>#N/A</v>
      </c>
      <c r="S2101" s="269" t="str">
        <f>IF(D2101="","",IF(OR(D2101=Plano!$A$1,D2101=Plano!$B$1),"entrada","saída"))</f>
        <v/>
      </c>
      <c r="T2101" s="269"/>
      <c r="U2101" s="269"/>
      <c r="V2101" s="269"/>
      <c r="W2101" s="269"/>
    </row>
    <row r="2102" spans="1:23" ht="12.75" customHeight="1" x14ac:dyDescent="0.2">
      <c r="A2102" s="289" t="str">
        <f t="shared" si="0"/>
        <v/>
      </c>
      <c r="B2102" s="290"/>
      <c r="C2102" s="404"/>
      <c r="D2102" s="291"/>
      <c r="E2102" s="291"/>
      <c r="F2102" s="292"/>
      <c r="G2102" s="291"/>
      <c r="H2102" s="291"/>
      <c r="I2102" s="293"/>
      <c r="J2102" s="291"/>
      <c r="K2102" s="291"/>
      <c r="L2102" s="293"/>
      <c r="M2102" s="291"/>
      <c r="N2102" s="289"/>
      <c r="O2102" s="358"/>
      <c r="P2102" s="402">
        <f t="shared" ref="P2102:Q2102" si="2100">IF(B2102=0,0,IF(YEAR(B2102)=$Q$1,MONTH(B2102)-$P$1+1,(YEAR(B2102)-$Q$1)*12-$P$1+1+MONTH(B2102)))</f>
        <v>0</v>
      </c>
      <c r="Q2102" s="402">
        <f t="shared" si="2100"/>
        <v>0</v>
      </c>
      <c r="R2102" s="356" t="e">
        <f t="shared" si="1325"/>
        <v>#N/A</v>
      </c>
      <c r="S2102" s="269" t="str">
        <f>IF(D2102="","",IF(OR(D2102=Plano!$A$1,D2102=Plano!$B$1),"entrada","saída"))</f>
        <v/>
      </c>
      <c r="T2102" s="269"/>
      <c r="U2102" s="269"/>
      <c r="V2102" s="269"/>
      <c r="W2102" s="269"/>
    </row>
    <row r="2103" spans="1:23" ht="12.75" customHeight="1" x14ac:dyDescent="0.2">
      <c r="A2103" s="289" t="str">
        <f t="shared" si="0"/>
        <v/>
      </c>
      <c r="B2103" s="290"/>
      <c r="C2103" s="404"/>
      <c r="D2103" s="291"/>
      <c r="E2103" s="291"/>
      <c r="F2103" s="292"/>
      <c r="G2103" s="291"/>
      <c r="H2103" s="291"/>
      <c r="I2103" s="293"/>
      <c r="J2103" s="291"/>
      <c r="K2103" s="291"/>
      <c r="L2103" s="293"/>
      <c r="M2103" s="291"/>
      <c r="N2103" s="289"/>
      <c r="O2103" s="358"/>
      <c r="P2103" s="402">
        <f t="shared" ref="P2103:Q2103" si="2101">IF(B2103=0,0,IF(YEAR(B2103)=$Q$1,MONTH(B2103)-$P$1+1,(YEAR(B2103)-$Q$1)*12-$P$1+1+MONTH(B2103)))</f>
        <v>0</v>
      </c>
      <c r="Q2103" s="402">
        <f t="shared" si="2101"/>
        <v>0</v>
      </c>
      <c r="R2103" s="356" t="e">
        <f t="shared" si="1325"/>
        <v>#N/A</v>
      </c>
      <c r="S2103" s="269" t="str">
        <f>IF(D2103="","",IF(OR(D2103=Plano!$A$1,D2103=Plano!$B$1),"entrada","saída"))</f>
        <v/>
      </c>
      <c r="T2103" s="269"/>
      <c r="U2103" s="269"/>
      <c r="V2103" s="269"/>
      <c r="W2103" s="269"/>
    </row>
    <row r="2104" spans="1:23" ht="12.75" customHeight="1" x14ac:dyDescent="0.2">
      <c r="A2104" s="289" t="str">
        <f t="shared" si="0"/>
        <v/>
      </c>
      <c r="B2104" s="290"/>
      <c r="C2104" s="404"/>
      <c r="D2104" s="291"/>
      <c r="E2104" s="291"/>
      <c r="F2104" s="292"/>
      <c r="G2104" s="291"/>
      <c r="H2104" s="291"/>
      <c r="I2104" s="293"/>
      <c r="J2104" s="291"/>
      <c r="K2104" s="291"/>
      <c r="L2104" s="293"/>
      <c r="M2104" s="291"/>
      <c r="N2104" s="289"/>
      <c r="O2104" s="358"/>
      <c r="P2104" s="402">
        <f t="shared" ref="P2104:Q2104" si="2102">IF(B2104=0,0,IF(YEAR(B2104)=$Q$1,MONTH(B2104)-$P$1+1,(YEAR(B2104)-$Q$1)*12-$P$1+1+MONTH(B2104)))</f>
        <v>0</v>
      </c>
      <c r="Q2104" s="402">
        <f t="shared" si="2102"/>
        <v>0</v>
      </c>
      <c r="R2104" s="356" t="e">
        <f t="shared" si="1325"/>
        <v>#N/A</v>
      </c>
      <c r="S2104" s="269" t="str">
        <f>IF(D2104="","",IF(OR(D2104=Plano!$A$1,D2104=Plano!$B$1),"entrada","saída"))</f>
        <v/>
      </c>
      <c r="T2104" s="269"/>
      <c r="U2104" s="269"/>
      <c r="V2104" s="269"/>
      <c r="W2104" s="269"/>
    </row>
    <row r="2105" spans="1:23" ht="12.75" customHeight="1" x14ac:dyDescent="0.2">
      <c r="A2105" s="289" t="str">
        <f t="shared" si="0"/>
        <v/>
      </c>
      <c r="B2105" s="290"/>
      <c r="C2105" s="404"/>
      <c r="D2105" s="291"/>
      <c r="E2105" s="291"/>
      <c r="F2105" s="292"/>
      <c r="G2105" s="291"/>
      <c r="H2105" s="291"/>
      <c r="I2105" s="293"/>
      <c r="J2105" s="291"/>
      <c r="K2105" s="291"/>
      <c r="L2105" s="293"/>
      <c r="M2105" s="291"/>
      <c r="N2105" s="289"/>
      <c r="O2105" s="358"/>
      <c r="P2105" s="402">
        <f t="shared" ref="P2105:Q2105" si="2103">IF(B2105=0,0,IF(YEAR(B2105)=$Q$1,MONTH(B2105)-$P$1+1,(YEAR(B2105)-$Q$1)*12-$P$1+1+MONTH(B2105)))</f>
        <v>0</v>
      </c>
      <c r="Q2105" s="402">
        <f t="shared" si="2103"/>
        <v>0</v>
      </c>
      <c r="R2105" s="356" t="e">
        <f t="shared" si="1325"/>
        <v>#N/A</v>
      </c>
      <c r="S2105" s="269" t="str">
        <f>IF(D2105="","",IF(OR(D2105=Plano!$A$1,D2105=Plano!$B$1),"entrada","saída"))</f>
        <v/>
      </c>
      <c r="T2105" s="269"/>
      <c r="U2105" s="269"/>
      <c r="V2105" s="269"/>
      <c r="W2105" s="269"/>
    </row>
    <row r="2106" spans="1:23" ht="12.75" customHeight="1" x14ac:dyDescent="0.2">
      <c r="A2106" s="289" t="str">
        <f t="shared" si="0"/>
        <v/>
      </c>
      <c r="B2106" s="290"/>
      <c r="C2106" s="404"/>
      <c r="D2106" s="291"/>
      <c r="E2106" s="291"/>
      <c r="F2106" s="292"/>
      <c r="G2106" s="291"/>
      <c r="H2106" s="291"/>
      <c r="I2106" s="293"/>
      <c r="J2106" s="291"/>
      <c r="K2106" s="291"/>
      <c r="L2106" s="293"/>
      <c r="M2106" s="291"/>
      <c r="N2106" s="289"/>
      <c r="O2106" s="358"/>
      <c r="P2106" s="402">
        <f t="shared" ref="P2106:Q2106" si="2104">IF(B2106=0,0,IF(YEAR(B2106)=$Q$1,MONTH(B2106)-$P$1+1,(YEAR(B2106)-$Q$1)*12-$P$1+1+MONTH(B2106)))</f>
        <v>0</v>
      </c>
      <c r="Q2106" s="402">
        <f t="shared" si="2104"/>
        <v>0</v>
      </c>
      <c r="R2106" s="356" t="e">
        <f t="shared" si="1325"/>
        <v>#N/A</v>
      </c>
      <c r="S2106" s="269" t="str">
        <f>IF(D2106="","",IF(OR(D2106=Plano!$A$1,D2106=Plano!$B$1),"entrada","saída"))</f>
        <v/>
      </c>
      <c r="T2106" s="269"/>
      <c r="U2106" s="269"/>
      <c r="V2106" s="269"/>
      <c r="W2106" s="269"/>
    </row>
    <row r="2107" spans="1:23" ht="12.75" customHeight="1" x14ac:dyDescent="0.2">
      <c r="A2107" s="289" t="str">
        <f t="shared" si="0"/>
        <v/>
      </c>
      <c r="B2107" s="290"/>
      <c r="C2107" s="404"/>
      <c r="D2107" s="291"/>
      <c r="E2107" s="291"/>
      <c r="F2107" s="292"/>
      <c r="G2107" s="291"/>
      <c r="H2107" s="291"/>
      <c r="I2107" s="293"/>
      <c r="J2107" s="291"/>
      <c r="K2107" s="291"/>
      <c r="L2107" s="293"/>
      <c r="M2107" s="291"/>
      <c r="N2107" s="289"/>
      <c r="O2107" s="358"/>
      <c r="P2107" s="402">
        <f t="shared" ref="P2107:Q2107" si="2105">IF(B2107=0,0,IF(YEAR(B2107)=$Q$1,MONTH(B2107)-$P$1+1,(YEAR(B2107)-$Q$1)*12-$P$1+1+MONTH(B2107)))</f>
        <v>0</v>
      </c>
      <c r="Q2107" s="402">
        <f t="shared" si="2105"/>
        <v>0</v>
      </c>
      <c r="R2107" s="356" t="e">
        <f t="shared" si="1325"/>
        <v>#N/A</v>
      </c>
      <c r="S2107" s="269" t="str">
        <f>IF(D2107="","",IF(OR(D2107=Plano!$A$1,D2107=Plano!$B$1),"entrada","saída"))</f>
        <v/>
      </c>
      <c r="T2107" s="269"/>
      <c r="U2107" s="269"/>
      <c r="V2107" s="269"/>
      <c r="W2107" s="269"/>
    </row>
    <row r="2108" spans="1:23" ht="12.75" customHeight="1" x14ac:dyDescent="0.2">
      <c r="A2108" s="289" t="str">
        <f t="shared" si="0"/>
        <v/>
      </c>
      <c r="B2108" s="290"/>
      <c r="C2108" s="404"/>
      <c r="D2108" s="291"/>
      <c r="E2108" s="291"/>
      <c r="F2108" s="292"/>
      <c r="G2108" s="291"/>
      <c r="H2108" s="291"/>
      <c r="I2108" s="293"/>
      <c r="J2108" s="291"/>
      <c r="K2108" s="291"/>
      <c r="L2108" s="293"/>
      <c r="M2108" s="291"/>
      <c r="N2108" s="289"/>
      <c r="O2108" s="358"/>
      <c r="P2108" s="402">
        <f t="shared" ref="P2108:Q2108" si="2106">IF(B2108=0,0,IF(YEAR(B2108)=$Q$1,MONTH(B2108)-$P$1+1,(YEAR(B2108)-$Q$1)*12-$P$1+1+MONTH(B2108)))</f>
        <v>0</v>
      </c>
      <c r="Q2108" s="402">
        <f t="shared" si="2106"/>
        <v>0</v>
      </c>
      <c r="R2108" s="356" t="e">
        <f t="shared" si="1325"/>
        <v>#N/A</v>
      </c>
      <c r="S2108" s="269" t="str">
        <f>IF(D2108="","",IF(OR(D2108=Plano!$A$1,D2108=Plano!$B$1),"entrada","saída"))</f>
        <v/>
      </c>
      <c r="T2108" s="269"/>
      <c r="U2108" s="269"/>
      <c r="V2108" s="269"/>
      <c r="W2108" s="269"/>
    </row>
    <row r="2109" spans="1:23" ht="12.75" customHeight="1" x14ac:dyDescent="0.2">
      <c r="A2109" s="289" t="str">
        <f t="shared" si="0"/>
        <v/>
      </c>
      <c r="B2109" s="290"/>
      <c r="C2109" s="404"/>
      <c r="D2109" s="291"/>
      <c r="E2109" s="291"/>
      <c r="F2109" s="292"/>
      <c r="G2109" s="291"/>
      <c r="H2109" s="291"/>
      <c r="I2109" s="293"/>
      <c r="J2109" s="291"/>
      <c r="K2109" s="291"/>
      <c r="L2109" s="293"/>
      <c r="M2109" s="291"/>
      <c r="N2109" s="289"/>
      <c r="O2109" s="358"/>
      <c r="P2109" s="402">
        <f t="shared" ref="P2109:Q2109" si="2107">IF(B2109=0,0,IF(YEAR(B2109)=$Q$1,MONTH(B2109)-$P$1+1,(YEAR(B2109)-$Q$1)*12-$P$1+1+MONTH(B2109)))</f>
        <v>0</v>
      </c>
      <c r="Q2109" s="402">
        <f t="shared" si="2107"/>
        <v>0</v>
      </c>
      <c r="R2109" s="356" t="e">
        <f t="shared" si="1325"/>
        <v>#N/A</v>
      </c>
      <c r="S2109" s="269" t="str">
        <f>IF(D2109="","",IF(OR(D2109=Plano!$A$1,D2109=Plano!$B$1),"entrada","saída"))</f>
        <v/>
      </c>
      <c r="T2109" s="269"/>
      <c r="U2109" s="269"/>
      <c r="V2109" s="269"/>
      <c r="W2109" s="269"/>
    </row>
    <row r="2110" spans="1:23" ht="12.75" customHeight="1" x14ac:dyDescent="0.2">
      <c r="A2110" s="289" t="str">
        <f t="shared" si="0"/>
        <v/>
      </c>
      <c r="B2110" s="290"/>
      <c r="C2110" s="404"/>
      <c r="D2110" s="291"/>
      <c r="E2110" s="291"/>
      <c r="F2110" s="292"/>
      <c r="G2110" s="291"/>
      <c r="H2110" s="291"/>
      <c r="I2110" s="293"/>
      <c r="J2110" s="291"/>
      <c r="K2110" s="291"/>
      <c r="L2110" s="293"/>
      <c r="M2110" s="291"/>
      <c r="N2110" s="289"/>
      <c r="O2110" s="358"/>
      <c r="P2110" s="402">
        <f t="shared" ref="P2110:Q2110" si="2108">IF(B2110=0,0,IF(YEAR(B2110)=$Q$1,MONTH(B2110)-$P$1+1,(YEAR(B2110)-$Q$1)*12-$P$1+1+MONTH(B2110)))</f>
        <v>0</v>
      </c>
      <c r="Q2110" s="402">
        <f t="shared" si="2108"/>
        <v>0</v>
      </c>
      <c r="R2110" s="356" t="e">
        <f t="shared" si="1325"/>
        <v>#N/A</v>
      </c>
      <c r="S2110" s="269" t="str">
        <f>IF(D2110="","",IF(OR(D2110=Plano!$A$1,D2110=Plano!$B$1),"entrada","saída"))</f>
        <v/>
      </c>
      <c r="T2110" s="269"/>
      <c r="U2110" s="269"/>
      <c r="V2110" s="269"/>
      <c r="W2110" s="269"/>
    </row>
    <row r="2111" spans="1:23" ht="12.75" customHeight="1" x14ac:dyDescent="0.2">
      <c r="A2111" s="289" t="str">
        <f t="shared" si="0"/>
        <v/>
      </c>
      <c r="B2111" s="290"/>
      <c r="C2111" s="404"/>
      <c r="D2111" s="291"/>
      <c r="E2111" s="291"/>
      <c r="F2111" s="292"/>
      <c r="G2111" s="291"/>
      <c r="H2111" s="291"/>
      <c r="I2111" s="293"/>
      <c r="J2111" s="291"/>
      <c r="K2111" s="291"/>
      <c r="L2111" s="293"/>
      <c r="M2111" s="291"/>
      <c r="N2111" s="289"/>
      <c r="O2111" s="358"/>
      <c r="P2111" s="402">
        <f t="shared" ref="P2111:Q2111" si="2109">IF(B2111=0,0,IF(YEAR(B2111)=$Q$1,MONTH(B2111)-$P$1+1,(YEAR(B2111)-$Q$1)*12-$P$1+1+MONTH(B2111)))</f>
        <v>0</v>
      </c>
      <c r="Q2111" s="402">
        <f t="shared" si="2109"/>
        <v>0</v>
      </c>
      <c r="R2111" s="356" t="e">
        <f t="shared" si="1325"/>
        <v>#N/A</v>
      </c>
      <c r="S2111" s="269" t="str">
        <f>IF(D2111="","",IF(OR(D2111=Plano!$A$1,D2111=Plano!$B$1),"entrada","saída"))</f>
        <v/>
      </c>
      <c r="T2111" s="269"/>
      <c r="U2111" s="269"/>
      <c r="V2111" s="269"/>
      <c r="W2111" s="269"/>
    </row>
    <row r="2112" spans="1:23" ht="12.75" customHeight="1" x14ac:dyDescent="0.2">
      <c r="A2112" s="289" t="str">
        <f t="shared" si="0"/>
        <v/>
      </c>
      <c r="B2112" s="290"/>
      <c r="C2112" s="404"/>
      <c r="D2112" s="291"/>
      <c r="E2112" s="291"/>
      <c r="F2112" s="292"/>
      <c r="G2112" s="291"/>
      <c r="H2112" s="291"/>
      <c r="I2112" s="293"/>
      <c r="J2112" s="291"/>
      <c r="K2112" s="291"/>
      <c r="L2112" s="293"/>
      <c r="M2112" s="291"/>
      <c r="N2112" s="289"/>
      <c r="O2112" s="358"/>
      <c r="P2112" s="402">
        <f t="shared" ref="P2112:Q2112" si="2110">IF(B2112=0,0,IF(YEAR(B2112)=$Q$1,MONTH(B2112)-$P$1+1,(YEAR(B2112)-$Q$1)*12-$P$1+1+MONTH(B2112)))</f>
        <v>0</v>
      </c>
      <c r="Q2112" s="402">
        <f t="shared" si="2110"/>
        <v>0</v>
      </c>
      <c r="R2112" s="356" t="e">
        <f t="shared" si="1325"/>
        <v>#N/A</v>
      </c>
      <c r="S2112" s="269" t="str">
        <f>IF(D2112="","",IF(OR(D2112=Plano!$A$1,D2112=Plano!$B$1),"entrada","saída"))</f>
        <v/>
      </c>
      <c r="T2112" s="269"/>
      <c r="U2112" s="269"/>
      <c r="V2112" s="269"/>
      <c r="W2112" s="269"/>
    </row>
    <row r="2113" spans="1:23" ht="12.75" customHeight="1" x14ac:dyDescent="0.2">
      <c r="A2113" s="289" t="str">
        <f t="shared" si="0"/>
        <v/>
      </c>
      <c r="B2113" s="290"/>
      <c r="C2113" s="404"/>
      <c r="D2113" s="291"/>
      <c r="E2113" s="291"/>
      <c r="F2113" s="292"/>
      <c r="G2113" s="291"/>
      <c r="H2113" s="291"/>
      <c r="I2113" s="293"/>
      <c r="J2113" s="291"/>
      <c r="K2113" s="291"/>
      <c r="L2113" s="293"/>
      <c r="M2113" s="291"/>
      <c r="N2113" s="289"/>
      <c r="O2113" s="358"/>
      <c r="P2113" s="402">
        <f t="shared" ref="P2113:Q2113" si="2111">IF(B2113=0,0,IF(YEAR(B2113)=$Q$1,MONTH(B2113)-$P$1+1,(YEAR(B2113)-$Q$1)*12-$P$1+1+MONTH(B2113)))</f>
        <v>0</v>
      </c>
      <c r="Q2113" s="402">
        <f t="shared" si="2111"/>
        <v>0</v>
      </c>
      <c r="R2113" s="356" t="e">
        <f t="shared" si="1325"/>
        <v>#N/A</v>
      </c>
      <c r="S2113" s="269" t="str">
        <f>IF(D2113="","",IF(OR(D2113=Plano!$A$1,D2113=Plano!$B$1),"entrada","saída"))</f>
        <v/>
      </c>
      <c r="T2113" s="269"/>
      <c r="U2113" s="269"/>
      <c r="V2113" s="269"/>
      <c r="W2113" s="269"/>
    </row>
    <row r="2114" spans="1:23" ht="12.75" customHeight="1" x14ac:dyDescent="0.2">
      <c r="A2114" s="289" t="str">
        <f t="shared" si="0"/>
        <v/>
      </c>
      <c r="B2114" s="290"/>
      <c r="C2114" s="404"/>
      <c r="D2114" s="291"/>
      <c r="E2114" s="291"/>
      <c r="F2114" s="292"/>
      <c r="G2114" s="291"/>
      <c r="H2114" s="291"/>
      <c r="I2114" s="293"/>
      <c r="J2114" s="291"/>
      <c r="K2114" s="291"/>
      <c r="L2114" s="293"/>
      <c r="M2114" s="291"/>
      <c r="N2114" s="289"/>
      <c r="O2114" s="358"/>
      <c r="P2114" s="402">
        <f t="shared" ref="P2114:Q2114" si="2112">IF(B2114=0,0,IF(YEAR(B2114)=$Q$1,MONTH(B2114)-$P$1+1,(YEAR(B2114)-$Q$1)*12-$P$1+1+MONTH(B2114)))</f>
        <v>0</v>
      </c>
      <c r="Q2114" s="402">
        <f t="shared" si="2112"/>
        <v>0</v>
      </c>
      <c r="R2114" s="356" t="e">
        <f t="shared" si="1325"/>
        <v>#N/A</v>
      </c>
      <c r="S2114" s="269" t="str">
        <f>IF(D2114="","",IF(OR(D2114=Plano!$A$1,D2114=Plano!$B$1),"entrada","saída"))</f>
        <v/>
      </c>
      <c r="T2114" s="269"/>
      <c r="U2114" s="269"/>
      <c r="V2114" s="269"/>
      <c r="W2114" s="269"/>
    </row>
    <row r="2115" spans="1:23" ht="12.75" customHeight="1" x14ac:dyDescent="0.2">
      <c r="A2115" s="289" t="str">
        <f t="shared" si="0"/>
        <v/>
      </c>
      <c r="B2115" s="290"/>
      <c r="C2115" s="404"/>
      <c r="D2115" s="291"/>
      <c r="E2115" s="291"/>
      <c r="F2115" s="292"/>
      <c r="G2115" s="291"/>
      <c r="H2115" s="291"/>
      <c r="I2115" s="293"/>
      <c r="J2115" s="291"/>
      <c r="K2115" s="291"/>
      <c r="L2115" s="293"/>
      <c r="M2115" s="291"/>
      <c r="N2115" s="289"/>
      <c r="O2115" s="358"/>
      <c r="P2115" s="402">
        <f t="shared" ref="P2115:Q2115" si="2113">IF(B2115=0,0,IF(YEAR(B2115)=$Q$1,MONTH(B2115)-$P$1+1,(YEAR(B2115)-$Q$1)*12-$P$1+1+MONTH(B2115)))</f>
        <v>0</v>
      </c>
      <c r="Q2115" s="402">
        <f t="shared" si="2113"/>
        <v>0</v>
      </c>
      <c r="R2115" s="356" t="e">
        <f t="shared" si="1325"/>
        <v>#N/A</v>
      </c>
      <c r="S2115" s="269" t="str">
        <f>IF(D2115="","",IF(OR(D2115=Plano!$A$1,D2115=Plano!$B$1),"entrada","saída"))</f>
        <v/>
      </c>
      <c r="T2115" s="269"/>
      <c r="U2115" s="269"/>
      <c r="V2115" s="269"/>
      <c r="W2115" s="269"/>
    </row>
    <row r="2116" spans="1:23" ht="12.75" customHeight="1" x14ac:dyDescent="0.2">
      <c r="A2116" s="289" t="str">
        <f t="shared" si="0"/>
        <v/>
      </c>
      <c r="B2116" s="290"/>
      <c r="C2116" s="404"/>
      <c r="D2116" s="291"/>
      <c r="E2116" s="291"/>
      <c r="F2116" s="292"/>
      <c r="G2116" s="291"/>
      <c r="H2116" s="291"/>
      <c r="I2116" s="293"/>
      <c r="J2116" s="291"/>
      <c r="K2116" s="291"/>
      <c r="L2116" s="293"/>
      <c r="M2116" s="291"/>
      <c r="N2116" s="289"/>
      <c r="O2116" s="358"/>
      <c r="P2116" s="402">
        <f t="shared" ref="P2116:Q2116" si="2114">IF(B2116=0,0,IF(YEAR(B2116)=$Q$1,MONTH(B2116)-$P$1+1,(YEAR(B2116)-$Q$1)*12-$P$1+1+MONTH(B2116)))</f>
        <v>0</v>
      </c>
      <c r="Q2116" s="402">
        <f t="shared" si="2114"/>
        <v>0</v>
      </c>
      <c r="R2116" s="356" t="e">
        <f t="shared" si="1325"/>
        <v>#N/A</v>
      </c>
      <c r="S2116" s="269" t="str">
        <f>IF(D2116="","",IF(OR(D2116=Plano!$A$1,D2116=Plano!$B$1),"entrada","saída"))</f>
        <v/>
      </c>
      <c r="T2116" s="269"/>
      <c r="U2116" s="269"/>
      <c r="V2116" s="269"/>
      <c r="W2116" s="269"/>
    </row>
    <row r="2117" spans="1:23" ht="12.75" customHeight="1" x14ac:dyDescent="0.2">
      <c r="A2117" s="289" t="str">
        <f t="shared" si="0"/>
        <v/>
      </c>
      <c r="B2117" s="290"/>
      <c r="C2117" s="404"/>
      <c r="D2117" s="291"/>
      <c r="E2117" s="291"/>
      <c r="F2117" s="292"/>
      <c r="G2117" s="291"/>
      <c r="H2117" s="291"/>
      <c r="I2117" s="293"/>
      <c r="J2117" s="291"/>
      <c r="K2117" s="291"/>
      <c r="L2117" s="293"/>
      <c r="M2117" s="291"/>
      <c r="N2117" s="289"/>
      <c r="O2117" s="358"/>
      <c r="P2117" s="402">
        <f t="shared" ref="P2117:Q2117" si="2115">IF(B2117=0,0,IF(YEAR(B2117)=$Q$1,MONTH(B2117)-$P$1+1,(YEAR(B2117)-$Q$1)*12-$P$1+1+MONTH(B2117)))</f>
        <v>0</v>
      </c>
      <c r="Q2117" s="402">
        <f t="shared" si="2115"/>
        <v>0</v>
      </c>
      <c r="R2117" s="356" t="e">
        <f t="shared" si="1325"/>
        <v>#N/A</v>
      </c>
      <c r="S2117" s="269" t="str">
        <f>IF(D2117="","",IF(OR(D2117=Plano!$A$1,D2117=Plano!$B$1),"entrada","saída"))</f>
        <v/>
      </c>
      <c r="T2117" s="269"/>
      <c r="U2117" s="269"/>
      <c r="V2117" s="269"/>
      <c r="W2117" s="269"/>
    </row>
    <row r="2118" spans="1:23" ht="12.75" customHeight="1" x14ac:dyDescent="0.2">
      <c r="A2118" s="289" t="str">
        <f t="shared" si="0"/>
        <v/>
      </c>
      <c r="B2118" s="290"/>
      <c r="C2118" s="404"/>
      <c r="D2118" s="291"/>
      <c r="E2118" s="291"/>
      <c r="F2118" s="292"/>
      <c r="G2118" s="291"/>
      <c r="H2118" s="291"/>
      <c r="I2118" s="293"/>
      <c r="J2118" s="291"/>
      <c r="K2118" s="291"/>
      <c r="L2118" s="293"/>
      <c r="M2118" s="291"/>
      <c r="N2118" s="289"/>
      <c r="O2118" s="358"/>
      <c r="P2118" s="402">
        <f t="shared" ref="P2118:Q2118" si="2116">IF(B2118=0,0,IF(YEAR(B2118)=$Q$1,MONTH(B2118)-$P$1+1,(YEAR(B2118)-$Q$1)*12-$P$1+1+MONTH(B2118)))</f>
        <v>0</v>
      </c>
      <c r="Q2118" s="402">
        <f t="shared" si="2116"/>
        <v>0</v>
      </c>
      <c r="R2118" s="356" t="e">
        <f t="shared" si="1325"/>
        <v>#N/A</v>
      </c>
      <c r="S2118" s="269" t="str">
        <f>IF(D2118="","",IF(OR(D2118=Plano!$A$1,D2118=Plano!$B$1),"entrada","saída"))</f>
        <v/>
      </c>
      <c r="T2118" s="269"/>
      <c r="U2118" s="269"/>
      <c r="V2118" s="269"/>
      <c r="W2118" s="269"/>
    </row>
    <row r="2119" spans="1:23" ht="12.75" customHeight="1" x14ac:dyDescent="0.2">
      <c r="A2119" s="289" t="str">
        <f t="shared" si="0"/>
        <v/>
      </c>
      <c r="B2119" s="290"/>
      <c r="C2119" s="404"/>
      <c r="D2119" s="291"/>
      <c r="E2119" s="291"/>
      <c r="F2119" s="292"/>
      <c r="G2119" s="291"/>
      <c r="H2119" s="291"/>
      <c r="I2119" s="293"/>
      <c r="J2119" s="291"/>
      <c r="K2119" s="291"/>
      <c r="L2119" s="293"/>
      <c r="M2119" s="291"/>
      <c r="N2119" s="289"/>
      <c r="O2119" s="358"/>
      <c r="P2119" s="402">
        <f t="shared" ref="P2119:Q2119" si="2117">IF(B2119=0,0,IF(YEAR(B2119)=$Q$1,MONTH(B2119)-$P$1+1,(YEAR(B2119)-$Q$1)*12-$P$1+1+MONTH(B2119)))</f>
        <v>0</v>
      </c>
      <c r="Q2119" s="402">
        <f t="shared" si="2117"/>
        <v>0</v>
      </c>
      <c r="R2119" s="356" t="e">
        <f t="shared" si="1325"/>
        <v>#N/A</v>
      </c>
      <c r="S2119" s="269" t="str">
        <f>IF(D2119="","",IF(OR(D2119=Plano!$A$1,D2119=Plano!$B$1),"entrada","saída"))</f>
        <v/>
      </c>
      <c r="T2119" s="269"/>
      <c r="U2119" s="269"/>
      <c r="V2119" s="269"/>
      <c r="W2119" s="269"/>
    </row>
    <row r="2120" spans="1:23" ht="12.75" customHeight="1" x14ac:dyDescent="0.2">
      <c r="A2120" s="289" t="str">
        <f t="shared" si="0"/>
        <v/>
      </c>
      <c r="B2120" s="290"/>
      <c r="C2120" s="404"/>
      <c r="D2120" s="291"/>
      <c r="E2120" s="291"/>
      <c r="F2120" s="292"/>
      <c r="G2120" s="291"/>
      <c r="H2120" s="291"/>
      <c r="I2120" s="293"/>
      <c r="J2120" s="291"/>
      <c r="K2120" s="291"/>
      <c r="L2120" s="293"/>
      <c r="M2120" s="291"/>
      <c r="N2120" s="289"/>
      <c r="O2120" s="358"/>
      <c r="P2120" s="402">
        <f t="shared" ref="P2120:Q2120" si="2118">IF(B2120=0,0,IF(YEAR(B2120)=$Q$1,MONTH(B2120)-$P$1+1,(YEAR(B2120)-$Q$1)*12-$P$1+1+MONTH(B2120)))</f>
        <v>0</v>
      </c>
      <c r="Q2120" s="402">
        <f t="shared" si="2118"/>
        <v>0</v>
      </c>
      <c r="R2120" s="356" t="e">
        <f t="shared" si="1325"/>
        <v>#N/A</v>
      </c>
      <c r="S2120" s="269" t="str">
        <f>IF(D2120="","",IF(OR(D2120=Plano!$A$1,D2120=Plano!$B$1),"entrada","saída"))</f>
        <v/>
      </c>
      <c r="T2120" s="269"/>
      <c r="U2120" s="269"/>
      <c r="V2120" s="269"/>
      <c r="W2120" s="269"/>
    </row>
    <row r="2121" spans="1:23" ht="12.75" customHeight="1" x14ac:dyDescent="0.2">
      <c r="A2121" s="289" t="str">
        <f t="shared" si="0"/>
        <v/>
      </c>
      <c r="B2121" s="290"/>
      <c r="C2121" s="404"/>
      <c r="D2121" s="291"/>
      <c r="E2121" s="291"/>
      <c r="F2121" s="292"/>
      <c r="G2121" s="291"/>
      <c r="H2121" s="291"/>
      <c r="I2121" s="293"/>
      <c r="J2121" s="291"/>
      <c r="K2121" s="291"/>
      <c r="L2121" s="293"/>
      <c r="M2121" s="291"/>
      <c r="N2121" s="289"/>
      <c r="O2121" s="358"/>
      <c r="P2121" s="402">
        <f t="shared" ref="P2121:Q2121" si="2119">IF(B2121=0,0,IF(YEAR(B2121)=$Q$1,MONTH(B2121)-$P$1+1,(YEAR(B2121)-$Q$1)*12-$P$1+1+MONTH(B2121)))</f>
        <v>0</v>
      </c>
      <c r="Q2121" s="402">
        <f t="shared" si="2119"/>
        <v>0</v>
      </c>
      <c r="R2121" s="356" t="e">
        <f t="shared" si="1325"/>
        <v>#N/A</v>
      </c>
      <c r="S2121" s="269" t="str">
        <f>IF(D2121="","",IF(OR(D2121=Plano!$A$1,D2121=Plano!$B$1),"entrada","saída"))</f>
        <v/>
      </c>
      <c r="T2121" s="269"/>
      <c r="U2121" s="269"/>
      <c r="V2121" s="269"/>
      <c r="W2121" s="269"/>
    </row>
    <row r="2122" spans="1:23" ht="12.75" customHeight="1" x14ac:dyDescent="0.2">
      <c r="A2122" s="289" t="str">
        <f t="shared" si="0"/>
        <v/>
      </c>
      <c r="B2122" s="290"/>
      <c r="C2122" s="404"/>
      <c r="D2122" s="291"/>
      <c r="E2122" s="291"/>
      <c r="F2122" s="292"/>
      <c r="G2122" s="291"/>
      <c r="H2122" s="291"/>
      <c r="I2122" s="293"/>
      <c r="J2122" s="291"/>
      <c r="K2122" s="291"/>
      <c r="L2122" s="293"/>
      <c r="M2122" s="291"/>
      <c r="N2122" s="289"/>
      <c r="O2122" s="358"/>
      <c r="P2122" s="402">
        <f t="shared" ref="P2122:Q2122" si="2120">IF(B2122=0,0,IF(YEAR(B2122)=$Q$1,MONTH(B2122)-$P$1+1,(YEAR(B2122)-$Q$1)*12-$P$1+1+MONTH(B2122)))</f>
        <v>0</v>
      </c>
      <c r="Q2122" s="402">
        <f t="shared" si="2120"/>
        <v>0</v>
      </c>
      <c r="R2122" s="356" t="e">
        <f t="shared" si="1325"/>
        <v>#N/A</v>
      </c>
      <c r="S2122" s="269" t="str">
        <f>IF(D2122="","",IF(OR(D2122=Plano!$A$1,D2122=Plano!$B$1),"entrada","saída"))</f>
        <v/>
      </c>
      <c r="T2122" s="269"/>
      <c r="U2122" s="269"/>
      <c r="V2122" s="269"/>
      <c r="W2122" s="269"/>
    </row>
    <row r="2123" spans="1:23" ht="12.75" customHeight="1" x14ac:dyDescent="0.2">
      <c r="A2123" s="289" t="str">
        <f t="shared" si="0"/>
        <v/>
      </c>
      <c r="B2123" s="290"/>
      <c r="C2123" s="404"/>
      <c r="D2123" s="291"/>
      <c r="E2123" s="291"/>
      <c r="F2123" s="292"/>
      <c r="G2123" s="291"/>
      <c r="H2123" s="291"/>
      <c r="I2123" s="293"/>
      <c r="J2123" s="291"/>
      <c r="K2123" s="291"/>
      <c r="L2123" s="293"/>
      <c r="M2123" s="291"/>
      <c r="N2123" s="289"/>
      <c r="O2123" s="358"/>
      <c r="P2123" s="402">
        <f t="shared" ref="P2123:Q2123" si="2121">IF(B2123=0,0,IF(YEAR(B2123)=$Q$1,MONTH(B2123)-$P$1+1,(YEAR(B2123)-$Q$1)*12-$P$1+1+MONTH(B2123)))</f>
        <v>0</v>
      </c>
      <c r="Q2123" s="402">
        <f t="shared" si="2121"/>
        <v>0</v>
      </c>
      <c r="R2123" s="356" t="e">
        <f t="shared" si="1325"/>
        <v>#N/A</v>
      </c>
      <c r="S2123" s="269" t="str">
        <f>IF(D2123="","",IF(OR(D2123=Plano!$A$1,D2123=Plano!$B$1),"entrada","saída"))</f>
        <v/>
      </c>
      <c r="T2123" s="269"/>
      <c r="U2123" s="269"/>
      <c r="V2123" s="269"/>
      <c r="W2123" s="269"/>
    </row>
    <row r="2124" spans="1:23" ht="12.75" customHeight="1" x14ac:dyDescent="0.2">
      <c r="A2124" s="289" t="str">
        <f t="shared" si="0"/>
        <v/>
      </c>
      <c r="B2124" s="290"/>
      <c r="C2124" s="404"/>
      <c r="D2124" s="291"/>
      <c r="E2124" s="291"/>
      <c r="F2124" s="292"/>
      <c r="G2124" s="291"/>
      <c r="H2124" s="291"/>
      <c r="I2124" s="293"/>
      <c r="J2124" s="291"/>
      <c r="K2124" s="291"/>
      <c r="L2124" s="293"/>
      <c r="M2124" s="291"/>
      <c r="N2124" s="289"/>
      <c r="O2124" s="358"/>
      <c r="P2124" s="402">
        <f t="shared" ref="P2124:Q2124" si="2122">IF(B2124=0,0,IF(YEAR(B2124)=$Q$1,MONTH(B2124)-$P$1+1,(YEAR(B2124)-$Q$1)*12-$P$1+1+MONTH(B2124)))</f>
        <v>0</v>
      </c>
      <c r="Q2124" s="402">
        <f t="shared" si="2122"/>
        <v>0</v>
      </c>
      <c r="R2124" s="356" t="e">
        <f t="shared" si="1325"/>
        <v>#N/A</v>
      </c>
      <c r="S2124" s="269" t="str">
        <f>IF(D2124="","",IF(OR(D2124=Plano!$A$1,D2124=Plano!$B$1),"entrada","saída"))</f>
        <v/>
      </c>
      <c r="T2124" s="269"/>
      <c r="U2124" s="269"/>
      <c r="V2124" s="269"/>
      <c r="W2124" s="269"/>
    </row>
    <row r="2125" spans="1:23" ht="12.75" customHeight="1" x14ac:dyDescent="0.2">
      <c r="A2125" s="289" t="str">
        <f t="shared" si="0"/>
        <v/>
      </c>
      <c r="B2125" s="290"/>
      <c r="C2125" s="404"/>
      <c r="D2125" s="291"/>
      <c r="E2125" s="291"/>
      <c r="F2125" s="292"/>
      <c r="G2125" s="291"/>
      <c r="H2125" s="291"/>
      <c r="I2125" s="293"/>
      <c r="J2125" s="291"/>
      <c r="K2125" s="291"/>
      <c r="L2125" s="293"/>
      <c r="M2125" s="291"/>
      <c r="N2125" s="289"/>
      <c r="O2125" s="358"/>
      <c r="P2125" s="402">
        <f t="shared" ref="P2125:Q2125" si="2123">IF(B2125=0,0,IF(YEAR(B2125)=$Q$1,MONTH(B2125)-$P$1+1,(YEAR(B2125)-$Q$1)*12-$P$1+1+MONTH(B2125)))</f>
        <v>0</v>
      </c>
      <c r="Q2125" s="402">
        <f t="shared" si="2123"/>
        <v>0</v>
      </c>
      <c r="R2125" s="356" t="e">
        <f t="shared" si="1325"/>
        <v>#N/A</v>
      </c>
      <c r="S2125" s="269" t="str">
        <f>IF(D2125="","",IF(OR(D2125=Plano!$A$1,D2125=Plano!$B$1),"entrada","saída"))</f>
        <v/>
      </c>
      <c r="T2125" s="269"/>
      <c r="U2125" s="269"/>
      <c r="V2125" s="269"/>
      <c r="W2125" s="269"/>
    </row>
    <row r="2126" spans="1:23" ht="12.75" customHeight="1" x14ac:dyDescent="0.2">
      <c r="A2126" s="289" t="str">
        <f t="shared" si="0"/>
        <v/>
      </c>
      <c r="B2126" s="290"/>
      <c r="C2126" s="404"/>
      <c r="D2126" s="291"/>
      <c r="E2126" s="291"/>
      <c r="F2126" s="292"/>
      <c r="G2126" s="291"/>
      <c r="H2126" s="291"/>
      <c r="I2126" s="293"/>
      <c r="J2126" s="291"/>
      <c r="K2126" s="291"/>
      <c r="L2126" s="293"/>
      <c r="M2126" s="291"/>
      <c r="N2126" s="289"/>
      <c r="O2126" s="358"/>
      <c r="P2126" s="402">
        <f t="shared" ref="P2126:Q2126" si="2124">IF(B2126=0,0,IF(YEAR(B2126)=$Q$1,MONTH(B2126)-$P$1+1,(YEAR(B2126)-$Q$1)*12-$P$1+1+MONTH(B2126)))</f>
        <v>0</v>
      </c>
      <c r="Q2126" s="402">
        <f t="shared" si="2124"/>
        <v>0</v>
      </c>
      <c r="R2126" s="356" t="e">
        <f t="shared" si="1325"/>
        <v>#N/A</v>
      </c>
      <c r="S2126" s="269" t="str">
        <f>IF(D2126="","",IF(OR(D2126=Plano!$A$1,D2126=Plano!$B$1),"entrada","saída"))</f>
        <v/>
      </c>
      <c r="T2126" s="269"/>
      <c r="U2126" s="269"/>
      <c r="V2126" s="269"/>
      <c r="W2126" s="269"/>
    </row>
    <row r="2127" spans="1:23" ht="12.75" customHeight="1" x14ac:dyDescent="0.2">
      <c r="A2127" s="289" t="str">
        <f t="shared" si="0"/>
        <v/>
      </c>
      <c r="B2127" s="290"/>
      <c r="C2127" s="404"/>
      <c r="D2127" s="291"/>
      <c r="E2127" s="291"/>
      <c r="F2127" s="292"/>
      <c r="G2127" s="291"/>
      <c r="H2127" s="291"/>
      <c r="I2127" s="293"/>
      <c r="J2127" s="291"/>
      <c r="K2127" s="291"/>
      <c r="L2127" s="293"/>
      <c r="M2127" s="291"/>
      <c r="N2127" s="289"/>
      <c r="O2127" s="358"/>
      <c r="P2127" s="402">
        <f t="shared" ref="P2127:Q2127" si="2125">IF(B2127=0,0,IF(YEAR(B2127)=$Q$1,MONTH(B2127)-$P$1+1,(YEAR(B2127)-$Q$1)*12-$P$1+1+MONTH(B2127)))</f>
        <v>0</v>
      </c>
      <c r="Q2127" s="402">
        <f t="shared" si="2125"/>
        <v>0</v>
      </c>
      <c r="R2127" s="356" t="e">
        <f t="shared" si="1325"/>
        <v>#N/A</v>
      </c>
      <c r="S2127" s="269" t="str">
        <f>IF(D2127="","",IF(OR(D2127=Plano!$A$1,D2127=Plano!$B$1),"entrada","saída"))</f>
        <v/>
      </c>
      <c r="T2127" s="269"/>
      <c r="U2127" s="269"/>
      <c r="V2127" s="269"/>
      <c r="W2127" s="269"/>
    </row>
    <row r="2128" spans="1:23" ht="12.75" customHeight="1" x14ac:dyDescent="0.2">
      <c r="A2128" s="289" t="str">
        <f t="shared" si="0"/>
        <v/>
      </c>
      <c r="B2128" s="290"/>
      <c r="C2128" s="404"/>
      <c r="D2128" s="291"/>
      <c r="E2128" s="291"/>
      <c r="F2128" s="292"/>
      <c r="G2128" s="291"/>
      <c r="H2128" s="291"/>
      <c r="I2128" s="293"/>
      <c r="J2128" s="291"/>
      <c r="K2128" s="291"/>
      <c r="L2128" s="293"/>
      <c r="M2128" s="291"/>
      <c r="N2128" s="289"/>
      <c r="O2128" s="358"/>
      <c r="P2128" s="402">
        <f t="shared" ref="P2128:Q2128" si="2126">IF(B2128=0,0,IF(YEAR(B2128)=$Q$1,MONTH(B2128)-$P$1+1,(YEAR(B2128)-$Q$1)*12-$P$1+1+MONTH(B2128)))</f>
        <v>0</v>
      </c>
      <c r="Q2128" s="402">
        <f t="shared" si="2126"/>
        <v>0</v>
      </c>
      <c r="R2128" s="356" t="e">
        <f t="shared" si="1325"/>
        <v>#N/A</v>
      </c>
      <c r="S2128" s="269" t="str">
        <f>IF(D2128="","",IF(OR(D2128=Plano!$A$1,D2128=Plano!$B$1),"entrada","saída"))</f>
        <v/>
      </c>
      <c r="T2128" s="269"/>
      <c r="U2128" s="269"/>
      <c r="V2128" s="269"/>
      <c r="W2128" s="269"/>
    </row>
    <row r="2129" spans="1:23" ht="12.75" customHeight="1" x14ac:dyDescent="0.2">
      <c r="A2129" s="289" t="str">
        <f t="shared" si="0"/>
        <v/>
      </c>
      <c r="B2129" s="290"/>
      <c r="C2129" s="404"/>
      <c r="D2129" s="291"/>
      <c r="E2129" s="291"/>
      <c r="F2129" s="292"/>
      <c r="G2129" s="291"/>
      <c r="H2129" s="291"/>
      <c r="I2129" s="293"/>
      <c r="J2129" s="291"/>
      <c r="K2129" s="291"/>
      <c r="L2129" s="293"/>
      <c r="M2129" s="291"/>
      <c r="N2129" s="289"/>
      <c r="O2129" s="358"/>
      <c r="P2129" s="402">
        <f t="shared" ref="P2129:Q2129" si="2127">IF(B2129=0,0,IF(YEAR(B2129)=$Q$1,MONTH(B2129)-$P$1+1,(YEAR(B2129)-$Q$1)*12-$P$1+1+MONTH(B2129)))</f>
        <v>0</v>
      </c>
      <c r="Q2129" s="402">
        <f t="shared" si="2127"/>
        <v>0</v>
      </c>
      <c r="R2129" s="356" t="e">
        <f t="shared" si="1325"/>
        <v>#N/A</v>
      </c>
      <c r="S2129" s="269" t="str">
        <f>IF(D2129="","",IF(OR(D2129=Plano!$A$1,D2129=Plano!$B$1),"entrada","saída"))</f>
        <v/>
      </c>
      <c r="T2129" s="269"/>
      <c r="U2129" s="269"/>
      <c r="V2129" s="269"/>
      <c r="W2129" s="269"/>
    </row>
    <row r="2130" spans="1:23" ht="12.75" customHeight="1" x14ac:dyDescent="0.2">
      <c r="A2130" s="289" t="str">
        <f t="shared" si="0"/>
        <v/>
      </c>
      <c r="B2130" s="290"/>
      <c r="C2130" s="404"/>
      <c r="D2130" s="291"/>
      <c r="E2130" s="291"/>
      <c r="F2130" s="292"/>
      <c r="G2130" s="291"/>
      <c r="H2130" s="291"/>
      <c r="I2130" s="293"/>
      <c r="J2130" s="291"/>
      <c r="K2130" s="291"/>
      <c r="L2130" s="293"/>
      <c r="M2130" s="291"/>
      <c r="N2130" s="289"/>
      <c r="O2130" s="358"/>
      <c r="P2130" s="402">
        <f t="shared" ref="P2130:Q2130" si="2128">IF(B2130=0,0,IF(YEAR(B2130)=$Q$1,MONTH(B2130)-$P$1+1,(YEAR(B2130)-$Q$1)*12-$P$1+1+MONTH(B2130)))</f>
        <v>0</v>
      </c>
      <c r="Q2130" s="402">
        <f t="shared" si="2128"/>
        <v>0</v>
      </c>
      <c r="R2130" s="356" t="e">
        <f t="shared" si="1325"/>
        <v>#N/A</v>
      </c>
      <c r="S2130" s="269" t="str">
        <f>IF(D2130="","",IF(OR(D2130=Plano!$A$1,D2130=Plano!$B$1),"entrada","saída"))</f>
        <v/>
      </c>
      <c r="T2130" s="269"/>
      <c r="U2130" s="269"/>
      <c r="V2130" s="269"/>
      <c r="W2130" s="269"/>
    </row>
    <row r="2131" spans="1:23" ht="12.75" customHeight="1" x14ac:dyDescent="0.2">
      <c r="A2131" s="289" t="str">
        <f t="shared" si="0"/>
        <v/>
      </c>
      <c r="B2131" s="290"/>
      <c r="C2131" s="404"/>
      <c r="D2131" s="291"/>
      <c r="E2131" s="291"/>
      <c r="F2131" s="292"/>
      <c r="G2131" s="291"/>
      <c r="H2131" s="291"/>
      <c r="I2131" s="293"/>
      <c r="J2131" s="291"/>
      <c r="K2131" s="291"/>
      <c r="L2131" s="293"/>
      <c r="M2131" s="291"/>
      <c r="N2131" s="289"/>
      <c r="O2131" s="358"/>
      <c r="P2131" s="402">
        <f t="shared" ref="P2131:Q2131" si="2129">IF(B2131=0,0,IF(YEAR(B2131)=$Q$1,MONTH(B2131)-$P$1+1,(YEAR(B2131)-$Q$1)*12-$P$1+1+MONTH(B2131)))</f>
        <v>0</v>
      </c>
      <c r="Q2131" s="402">
        <f t="shared" si="2129"/>
        <v>0</v>
      </c>
      <c r="R2131" s="356" t="e">
        <f t="shared" si="1325"/>
        <v>#N/A</v>
      </c>
      <c r="S2131" s="269" t="str">
        <f>IF(D2131="","",IF(OR(D2131=Plano!$A$1,D2131=Plano!$B$1),"entrada","saída"))</f>
        <v/>
      </c>
      <c r="T2131" s="269"/>
      <c r="U2131" s="269"/>
      <c r="V2131" s="269"/>
      <c r="W2131" s="269"/>
    </row>
    <row r="2132" spans="1:23" ht="12.75" customHeight="1" x14ac:dyDescent="0.2">
      <c r="A2132" s="289" t="str">
        <f t="shared" si="0"/>
        <v/>
      </c>
      <c r="B2132" s="290"/>
      <c r="C2132" s="404"/>
      <c r="D2132" s="291"/>
      <c r="E2132" s="291"/>
      <c r="F2132" s="292"/>
      <c r="G2132" s="291"/>
      <c r="H2132" s="291"/>
      <c r="I2132" s="293"/>
      <c r="J2132" s="291"/>
      <c r="K2132" s="291"/>
      <c r="L2132" s="293"/>
      <c r="M2132" s="291"/>
      <c r="N2132" s="289"/>
      <c r="O2132" s="358"/>
      <c r="P2132" s="402">
        <f t="shared" ref="P2132:Q2132" si="2130">IF(B2132=0,0,IF(YEAR(B2132)=$Q$1,MONTH(B2132)-$P$1+1,(YEAR(B2132)-$Q$1)*12-$P$1+1+MONTH(B2132)))</f>
        <v>0</v>
      </c>
      <c r="Q2132" s="402">
        <f t="shared" si="2130"/>
        <v>0</v>
      </c>
      <c r="R2132" s="356" t="e">
        <f t="shared" si="1325"/>
        <v>#N/A</v>
      </c>
      <c r="S2132" s="269" t="str">
        <f>IF(D2132="","",IF(OR(D2132=Plano!$A$1,D2132=Plano!$B$1),"entrada","saída"))</f>
        <v/>
      </c>
      <c r="T2132" s="269"/>
      <c r="U2132" s="269"/>
      <c r="V2132" s="269"/>
      <c r="W2132" s="269"/>
    </row>
    <row r="2133" spans="1:23" ht="12.75" customHeight="1" x14ac:dyDescent="0.2">
      <c r="A2133" s="289" t="str">
        <f t="shared" si="0"/>
        <v/>
      </c>
      <c r="B2133" s="290"/>
      <c r="C2133" s="404"/>
      <c r="D2133" s="291"/>
      <c r="E2133" s="291"/>
      <c r="F2133" s="292"/>
      <c r="G2133" s="291"/>
      <c r="H2133" s="291"/>
      <c r="I2133" s="293"/>
      <c r="J2133" s="291"/>
      <c r="K2133" s="291"/>
      <c r="L2133" s="293"/>
      <c r="M2133" s="291"/>
      <c r="N2133" s="289"/>
      <c r="O2133" s="358"/>
      <c r="P2133" s="402">
        <f t="shared" ref="P2133:Q2133" si="2131">IF(B2133=0,0,IF(YEAR(B2133)=$Q$1,MONTH(B2133)-$P$1+1,(YEAR(B2133)-$Q$1)*12-$P$1+1+MONTH(B2133)))</f>
        <v>0</v>
      </c>
      <c r="Q2133" s="402">
        <f t="shared" si="2131"/>
        <v>0</v>
      </c>
      <c r="R2133" s="356" t="e">
        <f t="shared" si="1325"/>
        <v>#N/A</v>
      </c>
      <c r="S2133" s="269" t="str">
        <f>IF(D2133="","",IF(OR(D2133=Plano!$A$1,D2133=Plano!$B$1),"entrada","saída"))</f>
        <v/>
      </c>
      <c r="T2133" s="269"/>
      <c r="U2133" s="269"/>
      <c r="V2133" s="269"/>
      <c r="W2133" s="269"/>
    </row>
    <row r="2134" spans="1:23" ht="12.75" customHeight="1" x14ac:dyDescent="0.2">
      <c r="A2134" s="289" t="str">
        <f t="shared" si="0"/>
        <v/>
      </c>
      <c r="B2134" s="290"/>
      <c r="C2134" s="404"/>
      <c r="D2134" s="291"/>
      <c r="E2134" s="291"/>
      <c r="F2134" s="292"/>
      <c r="G2134" s="291"/>
      <c r="H2134" s="291"/>
      <c r="I2134" s="293"/>
      <c r="J2134" s="291"/>
      <c r="K2134" s="291"/>
      <c r="L2134" s="293"/>
      <c r="M2134" s="291"/>
      <c r="N2134" s="289"/>
      <c r="O2134" s="358"/>
      <c r="P2134" s="402">
        <f t="shared" ref="P2134:Q2134" si="2132">IF(B2134=0,0,IF(YEAR(B2134)=$Q$1,MONTH(B2134)-$P$1+1,(YEAR(B2134)-$Q$1)*12-$P$1+1+MONTH(B2134)))</f>
        <v>0</v>
      </c>
      <c r="Q2134" s="402">
        <f t="shared" si="2132"/>
        <v>0</v>
      </c>
      <c r="R2134" s="356" t="e">
        <f t="shared" si="1325"/>
        <v>#N/A</v>
      </c>
      <c r="S2134" s="269" t="str">
        <f>IF(D2134="","",IF(OR(D2134=Plano!$A$1,D2134=Plano!$B$1),"entrada","saída"))</f>
        <v/>
      </c>
      <c r="T2134" s="269"/>
      <c r="U2134" s="269"/>
      <c r="V2134" s="269"/>
      <c r="W2134" s="269"/>
    </row>
    <row r="2135" spans="1:23" ht="12.75" customHeight="1" x14ac:dyDescent="0.2">
      <c r="A2135" s="289" t="str">
        <f t="shared" si="0"/>
        <v/>
      </c>
      <c r="B2135" s="290"/>
      <c r="C2135" s="404"/>
      <c r="D2135" s="291"/>
      <c r="E2135" s="291"/>
      <c r="F2135" s="292"/>
      <c r="G2135" s="291"/>
      <c r="H2135" s="291"/>
      <c r="I2135" s="293"/>
      <c r="J2135" s="291"/>
      <c r="K2135" s="291"/>
      <c r="L2135" s="293"/>
      <c r="M2135" s="291"/>
      <c r="N2135" s="289"/>
      <c r="O2135" s="358"/>
      <c r="P2135" s="402">
        <f t="shared" ref="P2135:Q2135" si="2133">IF(B2135=0,0,IF(YEAR(B2135)=$Q$1,MONTH(B2135)-$P$1+1,(YEAR(B2135)-$Q$1)*12-$P$1+1+MONTH(B2135)))</f>
        <v>0</v>
      </c>
      <c r="Q2135" s="402">
        <f t="shared" si="2133"/>
        <v>0</v>
      </c>
      <c r="R2135" s="356" t="e">
        <f t="shared" si="1325"/>
        <v>#N/A</v>
      </c>
      <c r="S2135" s="269" t="str">
        <f>IF(D2135="","",IF(OR(D2135=Plano!$A$1,D2135=Plano!$B$1),"entrada","saída"))</f>
        <v/>
      </c>
      <c r="T2135" s="269"/>
      <c r="U2135" s="269"/>
      <c r="V2135" s="269"/>
      <c r="W2135" s="269"/>
    </row>
    <row r="2136" spans="1:23" ht="12.75" customHeight="1" x14ac:dyDescent="0.2">
      <c r="A2136" s="289" t="str">
        <f t="shared" si="0"/>
        <v/>
      </c>
      <c r="B2136" s="290"/>
      <c r="C2136" s="404"/>
      <c r="D2136" s="291"/>
      <c r="E2136" s="291"/>
      <c r="F2136" s="292"/>
      <c r="G2136" s="291"/>
      <c r="H2136" s="291"/>
      <c r="I2136" s="293"/>
      <c r="J2136" s="291"/>
      <c r="K2136" s="291"/>
      <c r="L2136" s="293"/>
      <c r="M2136" s="291"/>
      <c r="N2136" s="289"/>
      <c r="O2136" s="358"/>
      <c r="P2136" s="402">
        <f t="shared" ref="P2136:Q2136" si="2134">IF(B2136=0,0,IF(YEAR(B2136)=$Q$1,MONTH(B2136)-$P$1+1,(YEAR(B2136)-$Q$1)*12-$P$1+1+MONTH(B2136)))</f>
        <v>0</v>
      </c>
      <c r="Q2136" s="402">
        <f t="shared" si="2134"/>
        <v>0</v>
      </c>
      <c r="R2136" s="356" t="e">
        <f t="shared" si="1325"/>
        <v>#N/A</v>
      </c>
      <c r="S2136" s="269" t="str">
        <f>IF(D2136="","",IF(OR(D2136=Plano!$A$1,D2136=Plano!$B$1),"entrada","saída"))</f>
        <v/>
      </c>
      <c r="T2136" s="269"/>
      <c r="U2136" s="269"/>
      <c r="V2136" s="269"/>
      <c r="W2136" s="269"/>
    </row>
    <row r="2137" spans="1:23" ht="12.75" customHeight="1" x14ac:dyDescent="0.2">
      <c r="A2137" s="289" t="str">
        <f t="shared" si="0"/>
        <v/>
      </c>
      <c r="B2137" s="290"/>
      <c r="C2137" s="404"/>
      <c r="D2137" s="291"/>
      <c r="E2137" s="291"/>
      <c r="F2137" s="292"/>
      <c r="G2137" s="291"/>
      <c r="H2137" s="291"/>
      <c r="I2137" s="293"/>
      <c r="J2137" s="291"/>
      <c r="K2137" s="291"/>
      <c r="L2137" s="293"/>
      <c r="M2137" s="291"/>
      <c r="N2137" s="289"/>
      <c r="O2137" s="358"/>
      <c r="P2137" s="402">
        <f t="shared" ref="P2137:Q2137" si="2135">IF(B2137=0,0,IF(YEAR(B2137)=$Q$1,MONTH(B2137)-$P$1+1,(YEAR(B2137)-$Q$1)*12-$P$1+1+MONTH(B2137)))</f>
        <v>0</v>
      </c>
      <c r="Q2137" s="402">
        <f t="shared" si="2135"/>
        <v>0</v>
      </c>
      <c r="R2137" s="356" t="e">
        <f t="shared" si="1325"/>
        <v>#N/A</v>
      </c>
      <c r="S2137" s="269" t="str">
        <f>IF(D2137="","",IF(OR(D2137=Plano!$A$1,D2137=Plano!$B$1),"entrada","saída"))</f>
        <v/>
      </c>
      <c r="T2137" s="269"/>
      <c r="U2137" s="269"/>
      <c r="V2137" s="269"/>
      <c r="W2137" s="269"/>
    </row>
    <row r="2138" spans="1:23" ht="12.75" customHeight="1" x14ac:dyDescent="0.2">
      <c r="A2138" s="289" t="str">
        <f t="shared" si="0"/>
        <v/>
      </c>
      <c r="B2138" s="290"/>
      <c r="C2138" s="404"/>
      <c r="D2138" s="291"/>
      <c r="E2138" s="291"/>
      <c r="F2138" s="292"/>
      <c r="G2138" s="291"/>
      <c r="H2138" s="291"/>
      <c r="I2138" s="293"/>
      <c r="J2138" s="291"/>
      <c r="K2138" s="291"/>
      <c r="L2138" s="293"/>
      <c r="M2138" s="291"/>
      <c r="N2138" s="289"/>
      <c r="O2138" s="358"/>
      <c r="P2138" s="402">
        <f t="shared" ref="P2138:Q2138" si="2136">IF(B2138=0,0,IF(YEAR(B2138)=$Q$1,MONTH(B2138)-$P$1+1,(YEAR(B2138)-$Q$1)*12-$P$1+1+MONTH(B2138)))</f>
        <v>0</v>
      </c>
      <c r="Q2138" s="402">
        <f t="shared" si="2136"/>
        <v>0</v>
      </c>
      <c r="R2138" s="356" t="e">
        <f t="shared" si="1325"/>
        <v>#N/A</v>
      </c>
      <c r="S2138" s="269" t="str">
        <f>IF(D2138="","",IF(OR(D2138=Plano!$A$1,D2138=Plano!$B$1),"entrada","saída"))</f>
        <v/>
      </c>
      <c r="T2138" s="269"/>
      <c r="U2138" s="269"/>
      <c r="V2138" s="269"/>
      <c r="W2138" s="269"/>
    </row>
    <row r="2139" spans="1:23" ht="12.75" customHeight="1" x14ac:dyDescent="0.2">
      <c r="A2139" s="289" t="str">
        <f t="shared" si="0"/>
        <v/>
      </c>
      <c r="B2139" s="290"/>
      <c r="C2139" s="404"/>
      <c r="D2139" s="291"/>
      <c r="E2139" s="291"/>
      <c r="F2139" s="292"/>
      <c r="G2139" s="291"/>
      <c r="H2139" s="291"/>
      <c r="I2139" s="293"/>
      <c r="J2139" s="291"/>
      <c r="K2139" s="291"/>
      <c r="L2139" s="293"/>
      <c r="M2139" s="291"/>
      <c r="N2139" s="289"/>
      <c r="O2139" s="358"/>
      <c r="P2139" s="402">
        <f t="shared" ref="P2139:Q2139" si="2137">IF(B2139=0,0,IF(YEAR(B2139)=$Q$1,MONTH(B2139)-$P$1+1,(YEAR(B2139)-$Q$1)*12-$P$1+1+MONTH(B2139)))</f>
        <v>0</v>
      </c>
      <c r="Q2139" s="402">
        <f t="shared" si="2137"/>
        <v>0</v>
      </c>
      <c r="R2139" s="356" t="e">
        <f t="shared" si="1325"/>
        <v>#N/A</v>
      </c>
      <c r="S2139" s="269" t="str">
        <f>IF(D2139="","",IF(OR(D2139=Plano!$A$1,D2139=Plano!$B$1),"entrada","saída"))</f>
        <v/>
      </c>
      <c r="T2139" s="269"/>
      <c r="U2139" s="269"/>
      <c r="V2139" s="269"/>
      <c r="W2139" s="269"/>
    </row>
    <row r="2140" spans="1:23" ht="12.75" customHeight="1" x14ac:dyDescent="0.2">
      <c r="A2140" s="289" t="str">
        <f t="shared" si="0"/>
        <v/>
      </c>
      <c r="B2140" s="290"/>
      <c r="C2140" s="404"/>
      <c r="D2140" s="291"/>
      <c r="E2140" s="291"/>
      <c r="F2140" s="292"/>
      <c r="G2140" s="291"/>
      <c r="H2140" s="291"/>
      <c r="I2140" s="293"/>
      <c r="J2140" s="291"/>
      <c r="K2140" s="291"/>
      <c r="L2140" s="293"/>
      <c r="M2140" s="291"/>
      <c r="N2140" s="289"/>
      <c r="O2140" s="358"/>
      <c r="P2140" s="402">
        <f t="shared" ref="P2140:Q2140" si="2138">IF(B2140=0,0,IF(YEAR(B2140)=$Q$1,MONTH(B2140)-$P$1+1,(YEAR(B2140)-$Q$1)*12-$P$1+1+MONTH(B2140)))</f>
        <v>0</v>
      </c>
      <c r="Q2140" s="402">
        <f t="shared" si="2138"/>
        <v>0</v>
      </c>
      <c r="R2140" s="356" t="e">
        <f t="shared" si="1325"/>
        <v>#N/A</v>
      </c>
      <c r="S2140" s="269" t="str">
        <f>IF(D2140="","",IF(OR(D2140=Plano!$A$1,D2140=Plano!$B$1),"entrada","saída"))</f>
        <v/>
      </c>
      <c r="T2140" s="269"/>
      <c r="U2140" s="269"/>
      <c r="V2140" s="269"/>
      <c r="W2140" s="269"/>
    </row>
    <row r="2141" spans="1:23" ht="12.75" customHeight="1" x14ac:dyDescent="0.2">
      <c r="A2141" s="289" t="str">
        <f t="shared" si="0"/>
        <v/>
      </c>
      <c r="B2141" s="290"/>
      <c r="C2141" s="404"/>
      <c r="D2141" s="291"/>
      <c r="E2141" s="291"/>
      <c r="F2141" s="292"/>
      <c r="G2141" s="291"/>
      <c r="H2141" s="291"/>
      <c r="I2141" s="293"/>
      <c r="J2141" s="291"/>
      <c r="K2141" s="291"/>
      <c r="L2141" s="293"/>
      <c r="M2141" s="291"/>
      <c r="N2141" s="289"/>
      <c r="O2141" s="358"/>
      <c r="P2141" s="402">
        <f t="shared" ref="P2141:Q2141" si="2139">IF(B2141=0,0,IF(YEAR(B2141)=$Q$1,MONTH(B2141)-$P$1+1,(YEAR(B2141)-$Q$1)*12-$P$1+1+MONTH(B2141)))</f>
        <v>0</v>
      </c>
      <c r="Q2141" s="402">
        <f t="shared" si="2139"/>
        <v>0</v>
      </c>
      <c r="R2141" s="356" t="e">
        <f t="shared" si="1325"/>
        <v>#N/A</v>
      </c>
      <c r="S2141" s="269" t="str">
        <f>IF(D2141="","",IF(OR(D2141=Plano!$A$1,D2141=Plano!$B$1),"entrada","saída"))</f>
        <v/>
      </c>
      <c r="T2141" s="269"/>
      <c r="U2141" s="269"/>
      <c r="V2141" s="269"/>
      <c r="W2141" s="269"/>
    </row>
    <row r="2142" spans="1:23" ht="12.75" customHeight="1" x14ac:dyDescent="0.2">
      <c r="A2142" s="289" t="str">
        <f t="shared" si="0"/>
        <v/>
      </c>
      <c r="B2142" s="290"/>
      <c r="C2142" s="404"/>
      <c r="D2142" s="291"/>
      <c r="E2142" s="291"/>
      <c r="F2142" s="292"/>
      <c r="G2142" s="291"/>
      <c r="H2142" s="291"/>
      <c r="I2142" s="293"/>
      <c r="J2142" s="291"/>
      <c r="K2142" s="291"/>
      <c r="L2142" s="293"/>
      <c r="M2142" s="291"/>
      <c r="N2142" s="289"/>
      <c r="O2142" s="358"/>
      <c r="P2142" s="402">
        <f t="shared" ref="P2142:Q2142" si="2140">IF(B2142=0,0,IF(YEAR(B2142)=$Q$1,MONTH(B2142)-$P$1+1,(YEAR(B2142)-$Q$1)*12-$P$1+1+MONTH(B2142)))</f>
        <v>0</v>
      </c>
      <c r="Q2142" s="402">
        <f t="shared" si="2140"/>
        <v>0</v>
      </c>
      <c r="R2142" s="356" t="e">
        <f t="shared" si="1325"/>
        <v>#N/A</v>
      </c>
      <c r="S2142" s="269" t="str">
        <f>IF(D2142="","",IF(OR(D2142=Plano!$A$1,D2142=Plano!$B$1),"entrada","saída"))</f>
        <v/>
      </c>
      <c r="T2142" s="269"/>
      <c r="U2142" s="269"/>
      <c r="V2142" s="269"/>
      <c r="W2142" s="269"/>
    </row>
    <row r="2143" spans="1:23" ht="12.75" customHeight="1" x14ac:dyDescent="0.2">
      <c r="A2143" s="289" t="str">
        <f t="shared" si="0"/>
        <v/>
      </c>
      <c r="B2143" s="290"/>
      <c r="C2143" s="404"/>
      <c r="D2143" s="291"/>
      <c r="E2143" s="291"/>
      <c r="F2143" s="292"/>
      <c r="G2143" s="291"/>
      <c r="H2143" s="291"/>
      <c r="I2143" s="293"/>
      <c r="J2143" s="291"/>
      <c r="K2143" s="291"/>
      <c r="L2143" s="293"/>
      <c r="M2143" s="291"/>
      <c r="N2143" s="289"/>
      <c r="O2143" s="358"/>
      <c r="P2143" s="402">
        <f t="shared" ref="P2143:Q2143" si="2141">IF(B2143=0,0,IF(YEAR(B2143)=$Q$1,MONTH(B2143)-$P$1+1,(YEAR(B2143)-$Q$1)*12-$P$1+1+MONTH(B2143)))</f>
        <v>0</v>
      </c>
      <c r="Q2143" s="402">
        <f t="shared" si="2141"/>
        <v>0</v>
      </c>
      <c r="R2143" s="356" t="e">
        <f t="shared" si="1325"/>
        <v>#N/A</v>
      </c>
      <c r="S2143" s="269" t="str">
        <f>IF(D2143="","",IF(OR(D2143=Plano!$A$1,D2143=Plano!$B$1),"entrada","saída"))</f>
        <v/>
      </c>
      <c r="T2143" s="269"/>
      <c r="U2143" s="269"/>
      <c r="V2143" s="269"/>
      <c r="W2143" s="269"/>
    </row>
    <row r="2144" spans="1:23" ht="12.75" customHeight="1" x14ac:dyDescent="0.2">
      <c r="A2144" s="289" t="str">
        <f t="shared" si="0"/>
        <v/>
      </c>
      <c r="B2144" s="290"/>
      <c r="C2144" s="404"/>
      <c r="D2144" s="291"/>
      <c r="E2144" s="291"/>
      <c r="F2144" s="292"/>
      <c r="G2144" s="291"/>
      <c r="H2144" s="291"/>
      <c r="I2144" s="293"/>
      <c r="J2144" s="291"/>
      <c r="K2144" s="291"/>
      <c r="L2144" s="293"/>
      <c r="M2144" s="291"/>
      <c r="N2144" s="289"/>
      <c r="O2144" s="358"/>
      <c r="P2144" s="402">
        <f t="shared" ref="P2144:Q2144" si="2142">IF(B2144=0,0,IF(YEAR(B2144)=$Q$1,MONTH(B2144)-$P$1+1,(YEAR(B2144)-$Q$1)*12-$P$1+1+MONTH(B2144)))</f>
        <v>0</v>
      </c>
      <c r="Q2144" s="402">
        <f t="shared" si="2142"/>
        <v>0</v>
      </c>
      <c r="R2144" s="356" t="e">
        <f t="shared" si="1325"/>
        <v>#N/A</v>
      </c>
      <c r="S2144" s="269" t="str">
        <f>IF(D2144="","",IF(OR(D2144=Plano!$A$1,D2144=Plano!$B$1),"entrada","saída"))</f>
        <v/>
      </c>
      <c r="T2144" s="269"/>
      <c r="U2144" s="269"/>
      <c r="V2144" s="269"/>
      <c r="W2144" s="269"/>
    </row>
    <row r="2145" spans="1:23" ht="12.75" customHeight="1" x14ac:dyDescent="0.2">
      <c r="A2145" s="289" t="str">
        <f t="shared" si="0"/>
        <v/>
      </c>
      <c r="B2145" s="290"/>
      <c r="C2145" s="404"/>
      <c r="D2145" s="291"/>
      <c r="E2145" s="291"/>
      <c r="F2145" s="292"/>
      <c r="G2145" s="291"/>
      <c r="H2145" s="291"/>
      <c r="I2145" s="293"/>
      <c r="J2145" s="291"/>
      <c r="K2145" s="291"/>
      <c r="L2145" s="293"/>
      <c r="M2145" s="291"/>
      <c r="N2145" s="289"/>
      <c r="O2145" s="358"/>
      <c r="P2145" s="402">
        <f t="shared" ref="P2145:Q2145" si="2143">IF(B2145=0,0,IF(YEAR(B2145)=$Q$1,MONTH(B2145)-$P$1+1,(YEAR(B2145)-$Q$1)*12-$P$1+1+MONTH(B2145)))</f>
        <v>0</v>
      </c>
      <c r="Q2145" s="402">
        <f t="shared" si="2143"/>
        <v>0</v>
      </c>
      <c r="R2145" s="356" t="e">
        <f t="shared" si="1325"/>
        <v>#N/A</v>
      </c>
      <c r="S2145" s="269" t="str">
        <f>IF(D2145="","",IF(OR(D2145=Plano!$A$1,D2145=Plano!$B$1),"entrada","saída"))</f>
        <v/>
      </c>
      <c r="T2145" s="269"/>
      <c r="U2145" s="269"/>
      <c r="V2145" s="269"/>
      <c r="W2145" s="269"/>
    </row>
    <row r="2146" spans="1:23" ht="12.75" customHeight="1" x14ac:dyDescent="0.2">
      <c r="A2146" s="289" t="str">
        <f t="shared" si="0"/>
        <v/>
      </c>
      <c r="B2146" s="290"/>
      <c r="C2146" s="404"/>
      <c r="D2146" s="291"/>
      <c r="E2146" s="291"/>
      <c r="F2146" s="292"/>
      <c r="G2146" s="291"/>
      <c r="H2146" s="291"/>
      <c r="I2146" s="293"/>
      <c r="J2146" s="291"/>
      <c r="K2146" s="291"/>
      <c r="L2146" s="293"/>
      <c r="M2146" s="291"/>
      <c r="N2146" s="289"/>
      <c r="O2146" s="358"/>
      <c r="P2146" s="402">
        <f t="shared" ref="P2146:Q2146" si="2144">IF(B2146=0,0,IF(YEAR(B2146)=$Q$1,MONTH(B2146)-$P$1+1,(YEAR(B2146)-$Q$1)*12-$P$1+1+MONTH(B2146)))</f>
        <v>0</v>
      </c>
      <c r="Q2146" s="402">
        <f t="shared" si="2144"/>
        <v>0</v>
      </c>
      <c r="R2146" s="356" t="e">
        <f t="shared" si="1325"/>
        <v>#N/A</v>
      </c>
      <c r="S2146" s="269" t="str">
        <f>IF(D2146="","",IF(OR(D2146=Plano!$A$1,D2146=Plano!$B$1),"entrada","saída"))</f>
        <v/>
      </c>
      <c r="T2146" s="269"/>
      <c r="U2146" s="269"/>
      <c r="V2146" s="269"/>
      <c r="W2146" s="269"/>
    </row>
    <row r="2147" spans="1:23" ht="12.75" customHeight="1" x14ac:dyDescent="0.2">
      <c r="A2147" s="289" t="str">
        <f t="shared" si="0"/>
        <v/>
      </c>
      <c r="B2147" s="290"/>
      <c r="C2147" s="404"/>
      <c r="D2147" s="291"/>
      <c r="E2147" s="291"/>
      <c r="F2147" s="292"/>
      <c r="G2147" s="291"/>
      <c r="H2147" s="291"/>
      <c r="I2147" s="293"/>
      <c r="J2147" s="291"/>
      <c r="K2147" s="291"/>
      <c r="L2147" s="293"/>
      <c r="M2147" s="291"/>
      <c r="N2147" s="289"/>
      <c r="O2147" s="358"/>
      <c r="P2147" s="402">
        <f t="shared" ref="P2147:Q2147" si="2145">IF(B2147=0,0,IF(YEAR(B2147)=$Q$1,MONTH(B2147)-$P$1+1,(YEAR(B2147)-$Q$1)*12-$P$1+1+MONTH(B2147)))</f>
        <v>0</v>
      </c>
      <c r="Q2147" s="402">
        <f t="shared" si="2145"/>
        <v>0</v>
      </c>
      <c r="R2147" s="356" t="e">
        <f t="shared" si="1325"/>
        <v>#N/A</v>
      </c>
      <c r="S2147" s="269" t="str">
        <f>IF(D2147="","",IF(OR(D2147=Plano!$A$1,D2147=Plano!$B$1),"entrada","saída"))</f>
        <v/>
      </c>
      <c r="T2147" s="269"/>
      <c r="U2147" s="269"/>
      <c r="V2147" s="269"/>
      <c r="W2147" s="269"/>
    </row>
    <row r="2148" spans="1:23" ht="12.75" customHeight="1" x14ac:dyDescent="0.2">
      <c r="A2148" s="289" t="str">
        <f t="shared" si="0"/>
        <v/>
      </c>
      <c r="B2148" s="290"/>
      <c r="C2148" s="404"/>
      <c r="D2148" s="291"/>
      <c r="E2148" s="291"/>
      <c r="F2148" s="292"/>
      <c r="G2148" s="291"/>
      <c r="H2148" s="291"/>
      <c r="I2148" s="293"/>
      <c r="J2148" s="291"/>
      <c r="K2148" s="291"/>
      <c r="L2148" s="293"/>
      <c r="M2148" s="291"/>
      <c r="N2148" s="289"/>
      <c r="O2148" s="358"/>
      <c r="P2148" s="402">
        <f t="shared" ref="P2148:Q2148" si="2146">IF(B2148=0,0,IF(YEAR(B2148)=$Q$1,MONTH(B2148)-$P$1+1,(YEAR(B2148)-$Q$1)*12-$P$1+1+MONTH(B2148)))</f>
        <v>0</v>
      </c>
      <c r="Q2148" s="402">
        <f t="shared" si="2146"/>
        <v>0</v>
      </c>
      <c r="R2148" s="356" t="e">
        <f t="shared" si="1325"/>
        <v>#N/A</v>
      </c>
      <c r="S2148" s="269" t="str">
        <f>IF(D2148="","",IF(OR(D2148=Plano!$A$1,D2148=Plano!$B$1),"entrada","saída"))</f>
        <v/>
      </c>
      <c r="T2148" s="269"/>
      <c r="U2148" s="269"/>
      <c r="V2148" s="269"/>
      <c r="W2148" s="269"/>
    </row>
    <row r="2149" spans="1:23" ht="12.75" customHeight="1" x14ac:dyDescent="0.2">
      <c r="A2149" s="289" t="str">
        <f t="shared" si="0"/>
        <v/>
      </c>
      <c r="B2149" s="290"/>
      <c r="C2149" s="404"/>
      <c r="D2149" s="291"/>
      <c r="E2149" s="291"/>
      <c r="F2149" s="292"/>
      <c r="G2149" s="291"/>
      <c r="H2149" s="291"/>
      <c r="I2149" s="293"/>
      <c r="J2149" s="291"/>
      <c r="K2149" s="291"/>
      <c r="L2149" s="293"/>
      <c r="M2149" s="291"/>
      <c r="N2149" s="289"/>
      <c r="O2149" s="358"/>
      <c r="P2149" s="402">
        <f t="shared" ref="P2149:Q2149" si="2147">IF(B2149=0,0,IF(YEAR(B2149)=$Q$1,MONTH(B2149)-$P$1+1,(YEAR(B2149)-$Q$1)*12-$P$1+1+MONTH(B2149)))</f>
        <v>0</v>
      </c>
      <c r="Q2149" s="402">
        <f t="shared" si="2147"/>
        <v>0</v>
      </c>
      <c r="R2149" s="356" t="e">
        <f t="shared" si="1325"/>
        <v>#N/A</v>
      </c>
      <c r="S2149" s="269" t="str">
        <f>IF(D2149="","",IF(OR(D2149=Plano!$A$1,D2149=Plano!$B$1),"entrada","saída"))</f>
        <v/>
      </c>
      <c r="T2149" s="269"/>
      <c r="U2149" s="269"/>
      <c r="V2149" s="269"/>
      <c r="W2149" s="269"/>
    </row>
    <row r="2150" spans="1:23" ht="12.75" customHeight="1" x14ac:dyDescent="0.2">
      <c r="A2150" s="289" t="str">
        <f t="shared" si="0"/>
        <v/>
      </c>
      <c r="B2150" s="290"/>
      <c r="C2150" s="404"/>
      <c r="D2150" s="291"/>
      <c r="E2150" s="291"/>
      <c r="F2150" s="292"/>
      <c r="G2150" s="291"/>
      <c r="H2150" s="291"/>
      <c r="I2150" s="293"/>
      <c r="J2150" s="291"/>
      <c r="K2150" s="291"/>
      <c r="L2150" s="293"/>
      <c r="M2150" s="291"/>
      <c r="N2150" s="289"/>
      <c r="O2150" s="358"/>
      <c r="P2150" s="402">
        <f t="shared" ref="P2150:Q2150" si="2148">IF(B2150=0,0,IF(YEAR(B2150)=$Q$1,MONTH(B2150)-$P$1+1,(YEAR(B2150)-$Q$1)*12-$P$1+1+MONTH(B2150)))</f>
        <v>0</v>
      </c>
      <c r="Q2150" s="402">
        <f t="shared" si="2148"/>
        <v>0</v>
      </c>
      <c r="R2150" s="356" t="e">
        <f t="shared" si="1325"/>
        <v>#N/A</v>
      </c>
      <c r="S2150" s="269" t="str">
        <f>IF(D2150="","",IF(OR(D2150=Plano!$A$1,D2150=Plano!$B$1),"entrada","saída"))</f>
        <v/>
      </c>
      <c r="T2150" s="269"/>
      <c r="U2150" s="269"/>
      <c r="V2150" s="269"/>
      <c r="W2150" s="269"/>
    </row>
    <row r="2151" spans="1:23" ht="12.75" customHeight="1" x14ac:dyDescent="0.2">
      <c r="A2151" s="289" t="str">
        <f t="shared" si="0"/>
        <v/>
      </c>
      <c r="B2151" s="290"/>
      <c r="C2151" s="404"/>
      <c r="D2151" s="291"/>
      <c r="E2151" s="291"/>
      <c r="F2151" s="292"/>
      <c r="G2151" s="291"/>
      <c r="H2151" s="291"/>
      <c r="I2151" s="293"/>
      <c r="J2151" s="291"/>
      <c r="K2151" s="291"/>
      <c r="L2151" s="293"/>
      <c r="M2151" s="291"/>
      <c r="N2151" s="289"/>
      <c r="O2151" s="358"/>
      <c r="P2151" s="402">
        <f t="shared" ref="P2151:Q2151" si="2149">IF(B2151=0,0,IF(YEAR(B2151)=$Q$1,MONTH(B2151)-$P$1+1,(YEAR(B2151)-$Q$1)*12-$P$1+1+MONTH(B2151)))</f>
        <v>0</v>
      </c>
      <c r="Q2151" s="402">
        <f t="shared" si="2149"/>
        <v>0</v>
      </c>
      <c r="R2151" s="356" t="e">
        <f t="shared" si="1325"/>
        <v>#N/A</v>
      </c>
      <c r="S2151" s="269" t="str">
        <f>IF(D2151="","",IF(OR(D2151=Plano!$A$1,D2151=Plano!$B$1),"entrada","saída"))</f>
        <v/>
      </c>
      <c r="T2151" s="269"/>
      <c r="U2151" s="269"/>
      <c r="V2151" s="269"/>
      <c r="W2151" s="269"/>
    </row>
    <row r="2152" spans="1:23" ht="12.75" customHeight="1" x14ac:dyDescent="0.2">
      <c r="A2152" s="289" t="str">
        <f t="shared" si="0"/>
        <v/>
      </c>
      <c r="B2152" s="290"/>
      <c r="C2152" s="404"/>
      <c r="D2152" s="291"/>
      <c r="E2152" s="291"/>
      <c r="F2152" s="292"/>
      <c r="G2152" s="291"/>
      <c r="H2152" s="291"/>
      <c r="I2152" s="293"/>
      <c r="J2152" s="291"/>
      <c r="K2152" s="291"/>
      <c r="L2152" s="293"/>
      <c r="M2152" s="291"/>
      <c r="N2152" s="289"/>
      <c r="O2152" s="358"/>
      <c r="P2152" s="402">
        <f t="shared" ref="P2152:Q2152" si="2150">IF(B2152=0,0,IF(YEAR(B2152)=$Q$1,MONTH(B2152)-$P$1+1,(YEAR(B2152)-$Q$1)*12-$P$1+1+MONTH(B2152)))</f>
        <v>0</v>
      </c>
      <c r="Q2152" s="402">
        <f t="shared" si="2150"/>
        <v>0</v>
      </c>
      <c r="R2152" s="356" t="e">
        <f t="shared" si="1325"/>
        <v>#N/A</v>
      </c>
      <c r="S2152" s="269" t="str">
        <f>IF(D2152="","",IF(OR(D2152=Plano!$A$1,D2152=Plano!$B$1),"entrada","saída"))</f>
        <v/>
      </c>
      <c r="T2152" s="269"/>
      <c r="U2152" s="269"/>
      <c r="V2152" s="269"/>
      <c r="W2152" s="269"/>
    </row>
    <row r="2153" spans="1:23" ht="12.75" customHeight="1" x14ac:dyDescent="0.2">
      <c r="A2153" s="289" t="str">
        <f t="shared" si="0"/>
        <v/>
      </c>
      <c r="B2153" s="290"/>
      <c r="C2153" s="404"/>
      <c r="D2153" s="291"/>
      <c r="E2153" s="291"/>
      <c r="F2153" s="292"/>
      <c r="G2153" s="291"/>
      <c r="H2153" s="291"/>
      <c r="I2153" s="293"/>
      <c r="J2153" s="291"/>
      <c r="K2153" s="291"/>
      <c r="L2153" s="293"/>
      <c r="M2153" s="291"/>
      <c r="N2153" s="289"/>
      <c r="O2153" s="358"/>
      <c r="P2153" s="402">
        <f t="shared" ref="P2153:Q2153" si="2151">IF(B2153=0,0,IF(YEAR(B2153)=$Q$1,MONTH(B2153)-$P$1+1,(YEAR(B2153)-$Q$1)*12-$P$1+1+MONTH(B2153)))</f>
        <v>0</v>
      </c>
      <c r="Q2153" s="402">
        <f t="shared" si="2151"/>
        <v>0</v>
      </c>
      <c r="R2153" s="356" t="e">
        <f t="shared" si="1325"/>
        <v>#N/A</v>
      </c>
      <c r="S2153" s="269" t="str">
        <f>IF(D2153="","",IF(OR(D2153=Plano!$A$1,D2153=Plano!$B$1),"entrada","saída"))</f>
        <v/>
      </c>
      <c r="T2153" s="269"/>
      <c r="U2153" s="269"/>
      <c r="V2153" s="269"/>
      <c r="W2153" s="269"/>
    </row>
    <row r="2154" spans="1:23" ht="12.75" customHeight="1" x14ac:dyDescent="0.2">
      <c r="A2154" s="289" t="str">
        <f t="shared" si="0"/>
        <v/>
      </c>
      <c r="B2154" s="290"/>
      <c r="C2154" s="404"/>
      <c r="D2154" s="291"/>
      <c r="E2154" s="291"/>
      <c r="F2154" s="292"/>
      <c r="G2154" s="291"/>
      <c r="H2154" s="291"/>
      <c r="I2154" s="293"/>
      <c r="J2154" s="291"/>
      <c r="K2154" s="291"/>
      <c r="L2154" s="293"/>
      <c r="M2154" s="291"/>
      <c r="N2154" s="289"/>
      <c r="O2154" s="358"/>
      <c r="P2154" s="402">
        <f t="shared" ref="P2154:Q2154" si="2152">IF(B2154=0,0,IF(YEAR(B2154)=$Q$1,MONTH(B2154)-$P$1+1,(YEAR(B2154)-$Q$1)*12-$P$1+1+MONTH(B2154)))</f>
        <v>0</v>
      </c>
      <c r="Q2154" s="402">
        <f t="shared" si="2152"/>
        <v>0</v>
      </c>
      <c r="R2154" s="356" t="e">
        <f t="shared" si="1325"/>
        <v>#N/A</v>
      </c>
      <c r="S2154" s="269" t="str">
        <f>IF(D2154="","",IF(OR(D2154=Plano!$A$1,D2154=Plano!$B$1),"entrada","saída"))</f>
        <v/>
      </c>
      <c r="T2154" s="269"/>
      <c r="U2154" s="269"/>
      <c r="V2154" s="269"/>
      <c r="W2154" s="269"/>
    </row>
    <row r="2155" spans="1:23" ht="12.75" customHeight="1" x14ac:dyDescent="0.2">
      <c r="A2155" s="289" t="str">
        <f t="shared" si="0"/>
        <v/>
      </c>
      <c r="B2155" s="290"/>
      <c r="C2155" s="404"/>
      <c r="D2155" s="291"/>
      <c r="E2155" s="291"/>
      <c r="F2155" s="292"/>
      <c r="G2155" s="291"/>
      <c r="H2155" s="291"/>
      <c r="I2155" s="293"/>
      <c r="J2155" s="291"/>
      <c r="K2155" s="291"/>
      <c r="L2155" s="293"/>
      <c r="M2155" s="291"/>
      <c r="N2155" s="289"/>
      <c r="O2155" s="358"/>
      <c r="P2155" s="402">
        <f t="shared" ref="P2155:Q2155" si="2153">IF(B2155=0,0,IF(YEAR(B2155)=$Q$1,MONTH(B2155)-$P$1+1,(YEAR(B2155)-$Q$1)*12-$P$1+1+MONTH(B2155)))</f>
        <v>0</v>
      </c>
      <c r="Q2155" s="402">
        <f t="shared" si="2153"/>
        <v>0</v>
      </c>
      <c r="R2155" s="356" t="e">
        <f t="shared" si="1325"/>
        <v>#N/A</v>
      </c>
      <c r="S2155" s="269" t="str">
        <f>IF(D2155="","",IF(OR(D2155=Plano!$A$1,D2155=Plano!$B$1),"entrada","saída"))</f>
        <v/>
      </c>
      <c r="T2155" s="269"/>
      <c r="U2155" s="269"/>
      <c r="V2155" s="269"/>
      <c r="W2155" s="269"/>
    </row>
    <row r="2156" spans="1:23" ht="12.75" customHeight="1" x14ac:dyDescent="0.2">
      <c r="A2156" s="289" t="str">
        <f t="shared" si="0"/>
        <v/>
      </c>
      <c r="B2156" s="290"/>
      <c r="C2156" s="404"/>
      <c r="D2156" s="291"/>
      <c r="E2156" s="291"/>
      <c r="F2156" s="292"/>
      <c r="G2156" s="291"/>
      <c r="H2156" s="291"/>
      <c r="I2156" s="293"/>
      <c r="J2156" s="291"/>
      <c r="K2156" s="291"/>
      <c r="L2156" s="293"/>
      <c r="M2156" s="291"/>
      <c r="N2156" s="289"/>
      <c r="O2156" s="358"/>
      <c r="P2156" s="402">
        <f t="shared" ref="P2156:Q2156" si="2154">IF(B2156=0,0,IF(YEAR(B2156)=$Q$1,MONTH(B2156)-$P$1+1,(YEAR(B2156)-$Q$1)*12-$P$1+1+MONTH(B2156)))</f>
        <v>0</v>
      </c>
      <c r="Q2156" s="402">
        <f t="shared" si="2154"/>
        <v>0</v>
      </c>
      <c r="R2156" s="356" t="e">
        <f t="shared" si="1325"/>
        <v>#N/A</v>
      </c>
      <c r="S2156" s="269" t="str">
        <f>IF(D2156="","",IF(OR(D2156=Plano!$A$1,D2156=Plano!$B$1),"entrada","saída"))</f>
        <v/>
      </c>
      <c r="T2156" s="269"/>
      <c r="U2156" s="269"/>
      <c r="V2156" s="269"/>
      <c r="W2156" s="269"/>
    </row>
    <row r="2157" spans="1:23" ht="12.75" customHeight="1" x14ac:dyDescent="0.2">
      <c r="A2157" s="289" t="str">
        <f t="shared" si="0"/>
        <v/>
      </c>
      <c r="B2157" s="290"/>
      <c r="C2157" s="404"/>
      <c r="D2157" s="291"/>
      <c r="E2157" s="291"/>
      <c r="F2157" s="292"/>
      <c r="G2157" s="291"/>
      <c r="H2157" s="291"/>
      <c r="I2157" s="293"/>
      <c r="J2157" s="291"/>
      <c r="K2157" s="291"/>
      <c r="L2157" s="293"/>
      <c r="M2157" s="291"/>
      <c r="N2157" s="289"/>
      <c r="O2157" s="358"/>
      <c r="P2157" s="402">
        <f t="shared" ref="P2157:Q2157" si="2155">IF(B2157=0,0,IF(YEAR(B2157)=$Q$1,MONTH(B2157)-$P$1+1,(YEAR(B2157)-$Q$1)*12-$P$1+1+MONTH(B2157)))</f>
        <v>0</v>
      </c>
      <c r="Q2157" s="402">
        <f t="shared" si="2155"/>
        <v>0</v>
      </c>
      <c r="R2157" s="356" t="e">
        <f t="shared" si="1325"/>
        <v>#N/A</v>
      </c>
      <c r="S2157" s="269" t="str">
        <f>IF(D2157="","",IF(OR(D2157=Plano!$A$1,D2157=Plano!$B$1),"entrada","saída"))</f>
        <v/>
      </c>
      <c r="T2157" s="269"/>
      <c r="U2157" s="269"/>
      <c r="V2157" s="269"/>
      <c r="W2157" s="269"/>
    </row>
    <row r="2158" spans="1:23" ht="12.75" customHeight="1" x14ac:dyDescent="0.2">
      <c r="A2158" s="289" t="str">
        <f t="shared" si="0"/>
        <v/>
      </c>
      <c r="B2158" s="290"/>
      <c r="C2158" s="404"/>
      <c r="D2158" s="291"/>
      <c r="E2158" s="291"/>
      <c r="F2158" s="292"/>
      <c r="G2158" s="291"/>
      <c r="H2158" s="291"/>
      <c r="I2158" s="293"/>
      <c r="J2158" s="291"/>
      <c r="K2158" s="291"/>
      <c r="L2158" s="293"/>
      <c r="M2158" s="291"/>
      <c r="N2158" s="289"/>
      <c r="O2158" s="358"/>
      <c r="P2158" s="402">
        <f t="shared" ref="P2158:Q2158" si="2156">IF(B2158=0,0,IF(YEAR(B2158)=$Q$1,MONTH(B2158)-$P$1+1,(YEAR(B2158)-$Q$1)*12-$P$1+1+MONTH(B2158)))</f>
        <v>0</v>
      </c>
      <c r="Q2158" s="402">
        <f t="shared" si="2156"/>
        <v>0</v>
      </c>
      <c r="R2158" s="356" t="e">
        <f t="shared" si="1325"/>
        <v>#N/A</v>
      </c>
      <c r="S2158" s="269" t="str">
        <f>IF(D2158="","",IF(OR(D2158=Plano!$A$1,D2158=Plano!$B$1),"entrada","saída"))</f>
        <v/>
      </c>
      <c r="T2158" s="269"/>
      <c r="U2158" s="269"/>
      <c r="V2158" s="269"/>
      <c r="W2158" s="269"/>
    </row>
    <row r="2159" spans="1:23" ht="12.75" customHeight="1" x14ac:dyDescent="0.2">
      <c r="A2159" s="289" t="str">
        <f t="shared" si="0"/>
        <v/>
      </c>
      <c r="B2159" s="290"/>
      <c r="C2159" s="404"/>
      <c r="D2159" s="291"/>
      <c r="E2159" s="291"/>
      <c r="F2159" s="292"/>
      <c r="G2159" s="291"/>
      <c r="H2159" s="291"/>
      <c r="I2159" s="293"/>
      <c r="J2159" s="291"/>
      <c r="K2159" s="291"/>
      <c r="L2159" s="293"/>
      <c r="M2159" s="291"/>
      <c r="N2159" s="289"/>
      <c r="O2159" s="358"/>
      <c r="P2159" s="402">
        <f t="shared" ref="P2159:Q2159" si="2157">IF(B2159=0,0,IF(YEAR(B2159)=$Q$1,MONTH(B2159)-$P$1+1,(YEAR(B2159)-$Q$1)*12-$P$1+1+MONTH(B2159)))</f>
        <v>0</v>
      </c>
      <c r="Q2159" s="402">
        <f t="shared" si="2157"/>
        <v>0</v>
      </c>
      <c r="R2159" s="356" t="e">
        <f t="shared" si="1325"/>
        <v>#N/A</v>
      </c>
      <c r="S2159" s="269" t="str">
        <f>IF(D2159="","",IF(OR(D2159=Plano!$A$1,D2159=Plano!$B$1),"entrada","saída"))</f>
        <v/>
      </c>
      <c r="T2159" s="269"/>
      <c r="U2159" s="269"/>
      <c r="V2159" s="269"/>
      <c r="W2159" s="269"/>
    </row>
    <row r="2160" spans="1:23" ht="12.75" customHeight="1" x14ac:dyDescent="0.2">
      <c r="A2160" s="289" t="str">
        <f t="shared" si="0"/>
        <v/>
      </c>
      <c r="B2160" s="290"/>
      <c r="C2160" s="404"/>
      <c r="D2160" s="291"/>
      <c r="E2160" s="291"/>
      <c r="F2160" s="292"/>
      <c r="G2160" s="291"/>
      <c r="H2160" s="291"/>
      <c r="I2160" s="293"/>
      <c r="J2160" s="291"/>
      <c r="K2160" s="291"/>
      <c r="L2160" s="293"/>
      <c r="M2160" s="291"/>
      <c r="N2160" s="289"/>
      <c r="O2160" s="358"/>
      <c r="P2160" s="402">
        <f t="shared" ref="P2160:Q2160" si="2158">IF(B2160=0,0,IF(YEAR(B2160)=$Q$1,MONTH(B2160)-$P$1+1,(YEAR(B2160)-$Q$1)*12-$P$1+1+MONTH(B2160)))</f>
        <v>0</v>
      </c>
      <c r="Q2160" s="402">
        <f t="shared" si="2158"/>
        <v>0</v>
      </c>
      <c r="R2160" s="356" t="e">
        <f t="shared" si="1325"/>
        <v>#N/A</v>
      </c>
      <c r="S2160" s="269" t="str">
        <f>IF(D2160="","",IF(OR(D2160=Plano!$A$1,D2160=Plano!$B$1),"entrada","saída"))</f>
        <v/>
      </c>
      <c r="T2160" s="269"/>
      <c r="U2160" s="269"/>
      <c r="V2160" s="269"/>
      <c r="W2160" s="269"/>
    </row>
    <row r="2161" spans="1:23" ht="12.75" customHeight="1" x14ac:dyDescent="0.2">
      <c r="A2161" s="289" t="str">
        <f t="shared" si="0"/>
        <v/>
      </c>
      <c r="B2161" s="290"/>
      <c r="C2161" s="404"/>
      <c r="D2161" s="291"/>
      <c r="E2161" s="291"/>
      <c r="F2161" s="292"/>
      <c r="G2161" s="291"/>
      <c r="H2161" s="291"/>
      <c r="I2161" s="293"/>
      <c r="J2161" s="291"/>
      <c r="K2161" s="291"/>
      <c r="L2161" s="293"/>
      <c r="M2161" s="291"/>
      <c r="N2161" s="289"/>
      <c r="O2161" s="358"/>
      <c r="P2161" s="402">
        <f t="shared" ref="P2161:Q2161" si="2159">IF(B2161=0,0,IF(YEAR(B2161)=$Q$1,MONTH(B2161)-$P$1+1,(YEAR(B2161)-$Q$1)*12-$P$1+1+MONTH(B2161)))</f>
        <v>0</v>
      </c>
      <c r="Q2161" s="402">
        <f t="shared" si="2159"/>
        <v>0</v>
      </c>
      <c r="R2161" s="356" t="e">
        <f t="shared" si="1325"/>
        <v>#N/A</v>
      </c>
      <c r="S2161" s="269" t="str">
        <f>IF(D2161="","",IF(OR(D2161=Plano!$A$1,D2161=Plano!$B$1),"entrada","saída"))</f>
        <v/>
      </c>
      <c r="T2161" s="269"/>
      <c r="U2161" s="269"/>
      <c r="V2161" s="269"/>
      <c r="W2161" s="269"/>
    </row>
    <row r="2162" spans="1:23" ht="12.75" customHeight="1" x14ac:dyDescent="0.2">
      <c r="A2162" s="289" t="str">
        <f t="shared" si="0"/>
        <v/>
      </c>
      <c r="B2162" s="290"/>
      <c r="C2162" s="404"/>
      <c r="D2162" s="291"/>
      <c r="E2162" s="291"/>
      <c r="F2162" s="292"/>
      <c r="G2162" s="291"/>
      <c r="H2162" s="291"/>
      <c r="I2162" s="293"/>
      <c r="J2162" s="291"/>
      <c r="K2162" s="291"/>
      <c r="L2162" s="293"/>
      <c r="M2162" s="291"/>
      <c r="N2162" s="289"/>
      <c r="O2162" s="358"/>
      <c r="P2162" s="402">
        <f t="shared" ref="P2162:Q2162" si="2160">IF(B2162=0,0,IF(YEAR(B2162)=$Q$1,MONTH(B2162)-$P$1+1,(YEAR(B2162)-$Q$1)*12-$P$1+1+MONTH(B2162)))</f>
        <v>0</v>
      </c>
      <c r="Q2162" s="402">
        <f t="shared" si="2160"/>
        <v>0</v>
      </c>
      <c r="R2162" s="356" t="e">
        <f t="shared" si="1325"/>
        <v>#N/A</v>
      </c>
      <c r="S2162" s="269" t="str">
        <f>IF(D2162="","",IF(OR(D2162=Plano!$A$1,D2162=Plano!$B$1),"entrada","saída"))</f>
        <v/>
      </c>
      <c r="T2162" s="269"/>
      <c r="U2162" s="269"/>
      <c r="V2162" s="269"/>
      <c r="W2162" s="269"/>
    </row>
    <row r="2163" spans="1:23" ht="12.75" customHeight="1" x14ac:dyDescent="0.2">
      <c r="A2163" s="289" t="str">
        <f t="shared" si="0"/>
        <v/>
      </c>
      <c r="B2163" s="290"/>
      <c r="C2163" s="404"/>
      <c r="D2163" s="291"/>
      <c r="E2163" s="291"/>
      <c r="F2163" s="292"/>
      <c r="G2163" s="291"/>
      <c r="H2163" s="291"/>
      <c r="I2163" s="293"/>
      <c r="J2163" s="291"/>
      <c r="K2163" s="291"/>
      <c r="L2163" s="293"/>
      <c r="M2163" s="291"/>
      <c r="N2163" s="289"/>
      <c r="O2163" s="358"/>
      <c r="P2163" s="402">
        <f t="shared" ref="P2163:Q2163" si="2161">IF(B2163=0,0,IF(YEAR(B2163)=$Q$1,MONTH(B2163)-$P$1+1,(YEAR(B2163)-$Q$1)*12-$P$1+1+MONTH(B2163)))</f>
        <v>0</v>
      </c>
      <c r="Q2163" s="402">
        <f t="shared" si="2161"/>
        <v>0</v>
      </c>
      <c r="R2163" s="356" t="e">
        <f t="shared" si="1325"/>
        <v>#N/A</v>
      </c>
      <c r="S2163" s="269" t="str">
        <f>IF(D2163="","",IF(OR(D2163=Plano!$A$1,D2163=Plano!$B$1),"entrada","saída"))</f>
        <v/>
      </c>
      <c r="T2163" s="269"/>
      <c r="U2163" s="269"/>
      <c r="V2163" s="269"/>
      <c r="W2163" s="269"/>
    </row>
    <row r="2164" spans="1:23" ht="12.75" customHeight="1" x14ac:dyDescent="0.2">
      <c r="A2164" s="289" t="str">
        <f t="shared" si="0"/>
        <v/>
      </c>
      <c r="B2164" s="290"/>
      <c r="C2164" s="404"/>
      <c r="D2164" s="291"/>
      <c r="E2164" s="291"/>
      <c r="F2164" s="292"/>
      <c r="G2164" s="291"/>
      <c r="H2164" s="291"/>
      <c r="I2164" s="293"/>
      <c r="J2164" s="291"/>
      <c r="K2164" s="291"/>
      <c r="L2164" s="293"/>
      <c r="M2164" s="291"/>
      <c r="N2164" s="289"/>
      <c r="O2164" s="358"/>
      <c r="P2164" s="402">
        <f t="shared" ref="P2164:Q2164" si="2162">IF(B2164=0,0,IF(YEAR(B2164)=$Q$1,MONTH(B2164)-$P$1+1,(YEAR(B2164)-$Q$1)*12-$P$1+1+MONTH(B2164)))</f>
        <v>0</v>
      </c>
      <c r="Q2164" s="402">
        <f t="shared" si="2162"/>
        <v>0</v>
      </c>
      <c r="R2164" s="356" t="e">
        <f t="shared" si="1325"/>
        <v>#N/A</v>
      </c>
      <c r="S2164" s="269" t="str">
        <f>IF(D2164="","",IF(OR(D2164=Plano!$A$1,D2164=Plano!$B$1),"entrada","saída"))</f>
        <v/>
      </c>
      <c r="T2164" s="269"/>
      <c r="U2164" s="269"/>
      <c r="V2164" s="269"/>
      <c r="W2164" s="269"/>
    </row>
    <row r="2165" spans="1:23" ht="12.75" customHeight="1" x14ac:dyDescent="0.2">
      <c r="A2165" s="289" t="str">
        <f t="shared" si="0"/>
        <v/>
      </c>
      <c r="B2165" s="290"/>
      <c r="C2165" s="404"/>
      <c r="D2165" s="291"/>
      <c r="E2165" s="291"/>
      <c r="F2165" s="292"/>
      <c r="G2165" s="291"/>
      <c r="H2165" s="291"/>
      <c r="I2165" s="293"/>
      <c r="J2165" s="291"/>
      <c r="K2165" s="291"/>
      <c r="L2165" s="293"/>
      <c r="M2165" s="291"/>
      <c r="N2165" s="289"/>
      <c r="O2165" s="358"/>
      <c r="P2165" s="402">
        <f t="shared" ref="P2165:Q2165" si="2163">IF(B2165=0,0,IF(YEAR(B2165)=$Q$1,MONTH(B2165)-$P$1+1,(YEAR(B2165)-$Q$1)*12-$P$1+1+MONTH(B2165)))</f>
        <v>0</v>
      </c>
      <c r="Q2165" s="402">
        <f t="shared" si="2163"/>
        <v>0</v>
      </c>
      <c r="R2165" s="356" t="e">
        <f t="shared" si="1325"/>
        <v>#N/A</v>
      </c>
      <c r="S2165" s="269" t="str">
        <f>IF(D2165="","",IF(OR(D2165=Plano!$A$1,D2165=Plano!$B$1),"entrada","saída"))</f>
        <v/>
      </c>
      <c r="T2165" s="269"/>
      <c r="U2165" s="269"/>
      <c r="V2165" s="269"/>
      <c r="W2165" s="269"/>
    </row>
    <row r="2166" spans="1:23" ht="12.75" customHeight="1" x14ac:dyDescent="0.2">
      <c r="A2166" s="289" t="str">
        <f t="shared" si="0"/>
        <v/>
      </c>
      <c r="B2166" s="290"/>
      <c r="C2166" s="404"/>
      <c r="D2166" s="291"/>
      <c r="E2166" s="291"/>
      <c r="F2166" s="292"/>
      <c r="G2166" s="291"/>
      <c r="H2166" s="291"/>
      <c r="I2166" s="293"/>
      <c r="J2166" s="291"/>
      <c r="K2166" s="291"/>
      <c r="L2166" s="293"/>
      <c r="M2166" s="291"/>
      <c r="N2166" s="289"/>
      <c r="O2166" s="358"/>
      <c r="P2166" s="402">
        <f t="shared" ref="P2166:Q2166" si="2164">IF(B2166=0,0,IF(YEAR(B2166)=$Q$1,MONTH(B2166)-$P$1+1,(YEAR(B2166)-$Q$1)*12-$P$1+1+MONTH(B2166)))</f>
        <v>0</v>
      </c>
      <c r="Q2166" s="402">
        <f t="shared" si="2164"/>
        <v>0</v>
      </c>
      <c r="R2166" s="356" t="e">
        <f t="shared" si="1325"/>
        <v>#N/A</v>
      </c>
      <c r="S2166" s="269" t="str">
        <f>IF(D2166="","",IF(OR(D2166=Plano!$A$1,D2166=Plano!$B$1),"entrada","saída"))</f>
        <v/>
      </c>
      <c r="T2166" s="269"/>
      <c r="U2166" s="269"/>
      <c r="V2166" s="269"/>
      <c r="W2166" s="269"/>
    </row>
    <row r="2167" spans="1:23" ht="12.75" customHeight="1" x14ac:dyDescent="0.2">
      <c r="A2167" s="289" t="str">
        <f t="shared" si="0"/>
        <v/>
      </c>
      <c r="B2167" s="290"/>
      <c r="C2167" s="404"/>
      <c r="D2167" s="291"/>
      <c r="E2167" s="291"/>
      <c r="F2167" s="292"/>
      <c r="G2167" s="291"/>
      <c r="H2167" s="291"/>
      <c r="I2167" s="293"/>
      <c r="J2167" s="291"/>
      <c r="K2167" s="291"/>
      <c r="L2167" s="293"/>
      <c r="M2167" s="291"/>
      <c r="N2167" s="289"/>
      <c r="O2167" s="358"/>
      <c r="P2167" s="402">
        <f t="shared" ref="P2167:Q2167" si="2165">IF(B2167=0,0,IF(YEAR(B2167)=$Q$1,MONTH(B2167)-$P$1+1,(YEAR(B2167)-$Q$1)*12-$P$1+1+MONTH(B2167)))</f>
        <v>0</v>
      </c>
      <c r="Q2167" s="402">
        <f t="shared" si="2165"/>
        <v>0</v>
      </c>
      <c r="R2167" s="356" t="e">
        <f t="shared" si="1325"/>
        <v>#N/A</v>
      </c>
      <c r="S2167" s="269" t="str">
        <f>IF(D2167="","",IF(OR(D2167=Plano!$A$1,D2167=Plano!$B$1),"entrada","saída"))</f>
        <v/>
      </c>
      <c r="T2167" s="269"/>
      <c r="U2167" s="269"/>
      <c r="V2167" s="269"/>
      <c r="W2167" s="269"/>
    </row>
    <row r="2168" spans="1:23" ht="12.75" customHeight="1" x14ac:dyDescent="0.2">
      <c r="A2168" s="289" t="str">
        <f t="shared" si="0"/>
        <v/>
      </c>
      <c r="B2168" s="290"/>
      <c r="C2168" s="404"/>
      <c r="D2168" s="291"/>
      <c r="E2168" s="291"/>
      <c r="F2168" s="292"/>
      <c r="G2168" s="291"/>
      <c r="H2168" s="291"/>
      <c r="I2168" s="293"/>
      <c r="J2168" s="291"/>
      <c r="K2168" s="291"/>
      <c r="L2168" s="293"/>
      <c r="M2168" s="291"/>
      <c r="N2168" s="289"/>
      <c r="O2168" s="358"/>
      <c r="P2168" s="402">
        <f t="shared" ref="P2168:Q2168" si="2166">IF(B2168=0,0,IF(YEAR(B2168)=$Q$1,MONTH(B2168)-$P$1+1,(YEAR(B2168)-$Q$1)*12-$P$1+1+MONTH(B2168)))</f>
        <v>0</v>
      </c>
      <c r="Q2168" s="402">
        <f t="shared" si="2166"/>
        <v>0</v>
      </c>
      <c r="R2168" s="356" t="e">
        <f t="shared" si="1325"/>
        <v>#N/A</v>
      </c>
      <c r="S2168" s="269" t="str">
        <f>IF(D2168="","",IF(OR(D2168=Plano!$A$1,D2168=Plano!$B$1),"entrada","saída"))</f>
        <v/>
      </c>
      <c r="T2168" s="269"/>
      <c r="U2168" s="269"/>
      <c r="V2168" s="269"/>
      <c r="W2168" s="269"/>
    </row>
    <row r="2169" spans="1:23" ht="12.75" customHeight="1" x14ac:dyDescent="0.2">
      <c r="A2169" s="289" t="str">
        <f t="shared" si="0"/>
        <v/>
      </c>
      <c r="B2169" s="290"/>
      <c r="C2169" s="404"/>
      <c r="D2169" s="291"/>
      <c r="E2169" s="291"/>
      <c r="F2169" s="292"/>
      <c r="G2169" s="291"/>
      <c r="H2169" s="291"/>
      <c r="I2169" s="293"/>
      <c r="J2169" s="291"/>
      <c r="K2169" s="291"/>
      <c r="L2169" s="293"/>
      <c r="M2169" s="291"/>
      <c r="N2169" s="289"/>
      <c r="O2169" s="358"/>
      <c r="P2169" s="402">
        <f t="shared" ref="P2169:Q2169" si="2167">IF(B2169=0,0,IF(YEAR(B2169)=$Q$1,MONTH(B2169)-$P$1+1,(YEAR(B2169)-$Q$1)*12-$P$1+1+MONTH(B2169)))</f>
        <v>0</v>
      </c>
      <c r="Q2169" s="402">
        <f t="shared" si="2167"/>
        <v>0</v>
      </c>
      <c r="R2169" s="356" t="e">
        <f t="shared" si="1325"/>
        <v>#N/A</v>
      </c>
      <c r="S2169" s="269" t="str">
        <f>IF(D2169="","",IF(OR(D2169=Plano!$A$1,D2169=Plano!$B$1),"entrada","saída"))</f>
        <v/>
      </c>
      <c r="T2169" s="269"/>
      <c r="U2169" s="269"/>
      <c r="V2169" s="269"/>
      <c r="W2169" s="269"/>
    </row>
    <row r="2170" spans="1:23" ht="12.75" customHeight="1" x14ac:dyDescent="0.2">
      <c r="A2170" s="289" t="str">
        <f t="shared" si="0"/>
        <v/>
      </c>
      <c r="B2170" s="290"/>
      <c r="C2170" s="404"/>
      <c r="D2170" s="291"/>
      <c r="E2170" s="291"/>
      <c r="F2170" s="292"/>
      <c r="G2170" s="291"/>
      <c r="H2170" s="291"/>
      <c r="I2170" s="293"/>
      <c r="J2170" s="291"/>
      <c r="K2170" s="291"/>
      <c r="L2170" s="293"/>
      <c r="M2170" s="291"/>
      <c r="N2170" s="289"/>
      <c r="O2170" s="358"/>
      <c r="P2170" s="402">
        <f t="shared" ref="P2170:Q2170" si="2168">IF(B2170=0,0,IF(YEAR(B2170)=$Q$1,MONTH(B2170)-$P$1+1,(YEAR(B2170)-$Q$1)*12-$P$1+1+MONTH(B2170)))</f>
        <v>0</v>
      </c>
      <c r="Q2170" s="402">
        <f t="shared" si="2168"/>
        <v>0</v>
      </c>
      <c r="R2170" s="356" t="e">
        <f t="shared" si="1325"/>
        <v>#N/A</v>
      </c>
      <c r="S2170" s="269" t="str">
        <f>IF(D2170="","",IF(OR(D2170=Plano!$A$1,D2170=Plano!$B$1),"entrada","saída"))</f>
        <v/>
      </c>
      <c r="T2170" s="269"/>
      <c r="U2170" s="269"/>
      <c r="V2170" s="269"/>
      <c r="W2170" s="269"/>
    </row>
    <row r="2171" spans="1:23" ht="12.75" customHeight="1" x14ac:dyDescent="0.2">
      <c r="A2171" s="289" t="str">
        <f t="shared" si="0"/>
        <v/>
      </c>
      <c r="B2171" s="290"/>
      <c r="C2171" s="404"/>
      <c r="D2171" s="291"/>
      <c r="E2171" s="291"/>
      <c r="F2171" s="292"/>
      <c r="G2171" s="291"/>
      <c r="H2171" s="291"/>
      <c r="I2171" s="293"/>
      <c r="J2171" s="291"/>
      <c r="K2171" s="291"/>
      <c r="L2171" s="293"/>
      <c r="M2171" s="291"/>
      <c r="N2171" s="289"/>
      <c r="O2171" s="358"/>
      <c r="P2171" s="402">
        <f t="shared" ref="P2171:Q2171" si="2169">IF(B2171=0,0,IF(YEAR(B2171)=$Q$1,MONTH(B2171)-$P$1+1,(YEAR(B2171)-$Q$1)*12-$P$1+1+MONTH(B2171)))</f>
        <v>0</v>
      </c>
      <c r="Q2171" s="402">
        <f t="shared" si="2169"/>
        <v>0</v>
      </c>
      <c r="R2171" s="356" t="e">
        <f t="shared" si="1325"/>
        <v>#N/A</v>
      </c>
      <c r="S2171" s="269" t="str">
        <f>IF(D2171="","",IF(OR(D2171=Plano!$A$1,D2171=Plano!$B$1),"entrada","saída"))</f>
        <v/>
      </c>
      <c r="T2171" s="269"/>
      <c r="U2171" s="269"/>
      <c r="V2171" s="269"/>
      <c r="W2171" s="269"/>
    </row>
    <row r="2172" spans="1:23" ht="12.75" customHeight="1" x14ac:dyDescent="0.2">
      <c r="A2172" s="289" t="str">
        <f t="shared" si="0"/>
        <v/>
      </c>
      <c r="B2172" s="290"/>
      <c r="C2172" s="404"/>
      <c r="D2172" s="291"/>
      <c r="E2172" s="291"/>
      <c r="F2172" s="292"/>
      <c r="G2172" s="291"/>
      <c r="H2172" s="291"/>
      <c r="I2172" s="293"/>
      <c r="J2172" s="291"/>
      <c r="K2172" s="291"/>
      <c r="L2172" s="293"/>
      <c r="M2172" s="291"/>
      <c r="N2172" s="289"/>
      <c r="O2172" s="358"/>
      <c r="P2172" s="402">
        <f t="shared" ref="P2172:Q2172" si="2170">IF(B2172=0,0,IF(YEAR(B2172)=$Q$1,MONTH(B2172)-$P$1+1,(YEAR(B2172)-$Q$1)*12-$P$1+1+MONTH(B2172)))</f>
        <v>0</v>
      </c>
      <c r="Q2172" s="402">
        <f t="shared" si="2170"/>
        <v>0</v>
      </c>
      <c r="R2172" s="356" t="e">
        <f t="shared" si="1325"/>
        <v>#N/A</v>
      </c>
      <c r="S2172" s="269" t="str">
        <f>IF(D2172="","",IF(OR(D2172=Plano!$A$1,D2172=Plano!$B$1),"entrada","saída"))</f>
        <v/>
      </c>
      <c r="T2172" s="269"/>
      <c r="U2172" s="269"/>
      <c r="V2172" s="269"/>
      <c r="W2172" s="269"/>
    </row>
    <row r="2173" spans="1:23" ht="12.75" customHeight="1" x14ac:dyDescent="0.2">
      <c r="A2173" s="289" t="str">
        <f t="shared" si="0"/>
        <v/>
      </c>
      <c r="B2173" s="290"/>
      <c r="C2173" s="404"/>
      <c r="D2173" s="291"/>
      <c r="E2173" s="291"/>
      <c r="F2173" s="292"/>
      <c r="G2173" s="291"/>
      <c r="H2173" s="291"/>
      <c r="I2173" s="293"/>
      <c r="J2173" s="291"/>
      <c r="K2173" s="291"/>
      <c r="L2173" s="293"/>
      <c r="M2173" s="291"/>
      <c r="N2173" s="289"/>
      <c r="O2173" s="358"/>
      <c r="P2173" s="402">
        <f t="shared" ref="P2173:Q2173" si="2171">IF(B2173=0,0,IF(YEAR(B2173)=$Q$1,MONTH(B2173)-$P$1+1,(YEAR(B2173)-$Q$1)*12-$P$1+1+MONTH(B2173)))</f>
        <v>0</v>
      </c>
      <c r="Q2173" s="402">
        <f t="shared" si="2171"/>
        <v>0</v>
      </c>
      <c r="R2173" s="356" t="e">
        <f t="shared" si="1325"/>
        <v>#N/A</v>
      </c>
      <c r="S2173" s="269" t="str">
        <f>IF(D2173="","",IF(OR(D2173=Plano!$A$1,D2173=Plano!$B$1),"entrada","saída"))</f>
        <v/>
      </c>
      <c r="T2173" s="269"/>
      <c r="U2173" s="269"/>
      <c r="V2173" s="269"/>
      <c r="W2173" s="269"/>
    </row>
    <row r="2174" spans="1:23" ht="12.75" customHeight="1" x14ac:dyDescent="0.2">
      <c r="A2174" s="289" t="str">
        <f t="shared" si="0"/>
        <v/>
      </c>
      <c r="B2174" s="290"/>
      <c r="C2174" s="404"/>
      <c r="D2174" s="291"/>
      <c r="E2174" s="291"/>
      <c r="F2174" s="292"/>
      <c r="G2174" s="291"/>
      <c r="H2174" s="291"/>
      <c r="I2174" s="293"/>
      <c r="J2174" s="291"/>
      <c r="K2174" s="291"/>
      <c r="L2174" s="293"/>
      <c r="M2174" s="291"/>
      <c r="N2174" s="289"/>
      <c r="O2174" s="358"/>
      <c r="P2174" s="402">
        <f t="shared" ref="P2174:Q2174" si="2172">IF(B2174=0,0,IF(YEAR(B2174)=$Q$1,MONTH(B2174)-$P$1+1,(YEAR(B2174)-$Q$1)*12-$P$1+1+MONTH(B2174)))</f>
        <v>0</v>
      </c>
      <c r="Q2174" s="402">
        <f t="shared" si="2172"/>
        <v>0</v>
      </c>
      <c r="R2174" s="356" t="e">
        <f t="shared" si="1325"/>
        <v>#N/A</v>
      </c>
      <c r="S2174" s="269" t="str">
        <f>IF(D2174="","",IF(OR(D2174=Plano!$A$1,D2174=Plano!$B$1),"entrada","saída"))</f>
        <v/>
      </c>
      <c r="T2174" s="269"/>
      <c r="U2174" s="269"/>
      <c r="V2174" s="269"/>
      <c r="W2174" s="269"/>
    </row>
    <row r="2175" spans="1:23" ht="12.75" customHeight="1" x14ac:dyDescent="0.2">
      <c r="A2175" s="289" t="str">
        <f t="shared" si="0"/>
        <v/>
      </c>
      <c r="B2175" s="290"/>
      <c r="C2175" s="404"/>
      <c r="D2175" s="291"/>
      <c r="E2175" s="291"/>
      <c r="F2175" s="292"/>
      <c r="G2175" s="291"/>
      <c r="H2175" s="291"/>
      <c r="I2175" s="293"/>
      <c r="J2175" s="291"/>
      <c r="K2175" s="291"/>
      <c r="L2175" s="293"/>
      <c r="M2175" s="291"/>
      <c r="N2175" s="289"/>
      <c r="O2175" s="358"/>
      <c r="P2175" s="402">
        <f t="shared" ref="P2175:Q2175" si="2173">IF(B2175=0,0,IF(YEAR(B2175)=$Q$1,MONTH(B2175)-$P$1+1,(YEAR(B2175)-$Q$1)*12-$P$1+1+MONTH(B2175)))</f>
        <v>0</v>
      </c>
      <c r="Q2175" s="402">
        <f t="shared" si="2173"/>
        <v>0</v>
      </c>
      <c r="R2175" s="356" t="e">
        <f t="shared" si="1325"/>
        <v>#N/A</v>
      </c>
      <c r="S2175" s="269" t="str">
        <f>IF(D2175="","",IF(OR(D2175=Plano!$A$1,D2175=Plano!$B$1),"entrada","saída"))</f>
        <v/>
      </c>
      <c r="T2175" s="269"/>
      <c r="U2175" s="269"/>
      <c r="V2175" s="269"/>
      <c r="W2175" s="269"/>
    </row>
    <row r="2176" spans="1:23" ht="12.75" customHeight="1" x14ac:dyDescent="0.2">
      <c r="A2176" s="289" t="str">
        <f t="shared" si="0"/>
        <v/>
      </c>
      <c r="B2176" s="290"/>
      <c r="C2176" s="404"/>
      <c r="D2176" s="291"/>
      <c r="E2176" s="291"/>
      <c r="F2176" s="292"/>
      <c r="G2176" s="291"/>
      <c r="H2176" s="291"/>
      <c r="I2176" s="293"/>
      <c r="J2176" s="291"/>
      <c r="K2176" s="291"/>
      <c r="L2176" s="293"/>
      <c r="M2176" s="291"/>
      <c r="N2176" s="289"/>
      <c r="O2176" s="358"/>
      <c r="P2176" s="402">
        <f t="shared" ref="P2176:Q2176" si="2174">IF(B2176=0,0,IF(YEAR(B2176)=$Q$1,MONTH(B2176)-$P$1+1,(YEAR(B2176)-$Q$1)*12-$P$1+1+MONTH(B2176)))</f>
        <v>0</v>
      </c>
      <c r="Q2176" s="402">
        <f t="shared" si="2174"/>
        <v>0</v>
      </c>
      <c r="R2176" s="356" t="e">
        <f t="shared" si="1325"/>
        <v>#N/A</v>
      </c>
      <c r="S2176" s="269" t="str">
        <f>IF(D2176="","",IF(OR(D2176=Plano!$A$1,D2176=Plano!$B$1),"entrada","saída"))</f>
        <v/>
      </c>
      <c r="T2176" s="269"/>
      <c r="U2176" s="269"/>
      <c r="V2176" s="269"/>
      <c r="W2176" s="269"/>
    </row>
    <row r="2177" spans="1:23" ht="12.75" customHeight="1" x14ac:dyDescent="0.2">
      <c r="A2177" s="289" t="str">
        <f t="shared" si="0"/>
        <v/>
      </c>
      <c r="B2177" s="290"/>
      <c r="C2177" s="404"/>
      <c r="D2177" s="291"/>
      <c r="E2177" s="291"/>
      <c r="F2177" s="292"/>
      <c r="G2177" s="291"/>
      <c r="H2177" s="291"/>
      <c r="I2177" s="293"/>
      <c r="J2177" s="291"/>
      <c r="K2177" s="291"/>
      <c r="L2177" s="293"/>
      <c r="M2177" s="291"/>
      <c r="N2177" s="289"/>
      <c r="O2177" s="358"/>
      <c r="P2177" s="402">
        <f t="shared" ref="P2177:Q2177" si="2175">IF(B2177=0,0,IF(YEAR(B2177)=$Q$1,MONTH(B2177)-$P$1+1,(YEAR(B2177)-$Q$1)*12-$P$1+1+MONTH(B2177)))</f>
        <v>0</v>
      </c>
      <c r="Q2177" s="402">
        <f t="shared" si="2175"/>
        <v>0</v>
      </c>
      <c r="R2177" s="356" t="e">
        <f t="shared" si="1325"/>
        <v>#N/A</v>
      </c>
      <c r="S2177" s="269" t="str">
        <f>IF(D2177="","",IF(OR(D2177=Plano!$A$1,D2177=Plano!$B$1),"entrada","saída"))</f>
        <v/>
      </c>
      <c r="T2177" s="269"/>
      <c r="U2177" s="269"/>
      <c r="V2177" s="269"/>
      <c r="W2177" s="269"/>
    </row>
    <row r="2178" spans="1:23" ht="12.75" customHeight="1" x14ac:dyDescent="0.2">
      <c r="A2178" s="289" t="str">
        <f t="shared" si="0"/>
        <v/>
      </c>
      <c r="B2178" s="290"/>
      <c r="C2178" s="404"/>
      <c r="D2178" s="291"/>
      <c r="E2178" s="291"/>
      <c r="F2178" s="292"/>
      <c r="G2178" s="291"/>
      <c r="H2178" s="291"/>
      <c r="I2178" s="293"/>
      <c r="J2178" s="291"/>
      <c r="K2178" s="291"/>
      <c r="L2178" s="293"/>
      <c r="M2178" s="291"/>
      <c r="N2178" s="289"/>
      <c r="O2178" s="358"/>
      <c r="P2178" s="402">
        <f t="shared" ref="P2178:Q2178" si="2176">IF(B2178=0,0,IF(YEAR(B2178)=$Q$1,MONTH(B2178)-$P$1+1,(YEAR(B2178)-$Q$1)*12-$P$1+1+MONTH(B2178)))</f>
        <v>0</v>
      </c>
      <c r="Q2178" s="402">
        <f t="shared" si="2176"/>
        <v>0</v>
      </c>
      <c r="R2178" s="356" t="e">
        <f t="shared" si="1325"/>
        <v>#N/A</v>
      </c>
      <c r="S2178" s="269" t="str">
        <f>IF(D2178="","",IF(OR(D2178=Plano!$A$1,D2178=Plano!$B$1),"entrada","saída"))</f>
        <v/>
      </c>
      <c r="T2178" s="269"/>
      <c r="U2178" s="269"/>
      <c r="V2178" s="269"/>
      <c r="W2178" s="269"/>
    </row>
    <row r="2179" spans="1:23" ht="12.75" customHeight="1" x14ac:dyDescent="0.2">
      <c r="A2179" s="289" t="str">
        <f t="shared" si="0"/>
        <v/>
      </c>
      <c r="B2179" s="290"/>
      <c r="C2179" s="404"/>
      <c r="D2179" s="291"/>
      <c r="E2179" s="291"/>
      <c r="F2179" s="292"/>
      <c r="G2179" s="291"/>
      <c r="H2179" s="291"/>
      <c r="I2179" s="293"/>
      <c r="J2179" s="291"/>
      <c r="K2179" s="291"/>
      <c r="L2179" s="293"/>
      <c r="M2179" s="291"/>
      <c r="N2179" s="289"/>
      <c r="O2179" s="358"/>
      <c r="P2179" s="402">
        <f t="shared" ref="P2179:Q2179" si="2177">IF(B2179=0,0,IF(YEAR(B2179)=$Q$1,MONTH(B2179)-$P$1+1,(YEAR(B2179)-$Q$1)*12-$P$1+1+MONTH(B2179)))</f>
        <v>0</v>
      </c>
      <c r="Q2179" s="402">
        <f t="shared" si="2177"/>
        <v>0</v>
      </c>
      <c r="R2179" s="356" t="e">
        <f t="shared" si="1325"/>
        <v>#N/A</v>
      </c>
      <c r="S2179" s="269" t="str">
        <f>IF(D2179="","",IF(OR(D2179=Plano!$A$1,D2179=Plano!$B$1),"entrada","saída"))</f>
        <v/>
      </c>
      <c r="T2179" s="269"/>
      <c r="U2179" s="269"/>
      <c r="V2179" s="269"/>
      <c r="W2179" s="269"/>
    </row>
    <row r="2180" spans="1:23" ht="12.75" customHeight="1" x14ac:dyDescent="0.2">
      <c r="A2180" s="289" t="str">
        <f t="shared" si="0"/>
        <v/>
      </c>
      <c r="B2180" s="290"/>
      <c r="C2180" s="404"/>
      <c r="D2180" s="291"/>
      <c r="E2180" s="291"/>
      <c r="F2180" s="292"/>
      <c r="G2180" s="291"/>
      <c r="H2180" s="291"/>
      <c r="I2180" s="293"/>
      <c r="J2180" s="291"/>
      <c r="K2180" s="291"/>
      <c r="L2180" s="293"/>
      <c r="M2180" s="291"/>
      <c r="N2180" s="289"/>
      <c r="O2180" s="358"/>
      <c r="P2180" s="402">
        <f t="shared" ref="P2180:Q2180" si="2178">IF(B2180=0,0,IF(YEAR(B2180)=$Q$1,MONTH(B2180)-$P$1+1,(YEAR(B2180)-$Q$1)*12-$P$1+1+MONTH(B2180)))</f>
        <v>0</v>
      </c>
      <c r="Q2180" s="402">
        <f t="shared" si="2178"/>
        <v>0</v>
      </c>
      <c r="R2180" s="356" t="e">
        <f t="shared" si="1325"/>
        <v>#N/A</v>
      </c>
      <c r="S2180" s="269" t="str">
        <f>IF(D2180="","",IF(OR(D2180=Plano!$A$1,D2180=Plano!$B$1),"entrada","saída"))</f>
        <v/>
      </c>
      <c r="T2180" s="269"/>
      <c r="U2180" s="269"/>
      <c r="V2180" s="269"/>
      <c r="W2180" s="269"/>
    </row>
    <row r="2181" spans="1:23" ht="12.75" customHeight="1" x14ac:dyDescent="0.2">
      <c r="A2181" s="289" t="str">
        <f t="shared" si="0"/>
        <v/>
      </c>
      <c r="B2181" s="290"/>
      <c r="C2181" s="404"/>
      <c r="D2181" s="291"/>
      <c r="E2181" s="291"/>
      <c r="F2181" s="292"/>
      <c r="G2181" s="291"/>
      <c r="H2181" s="291"/>
      <c r="I2181" s="293"/>
      <c r="J2181" s="291"/>
      <c r="K2181" s="291"/>
      <c r="L2181" s="293"/>
      <c r="M2181" s="291"/>
      <c r="N2181" s="289"/>
      <c r="O2181" s="358"/>
      <c r="P2181" s="402">
        <f t="shared" ref="P2181:Q2181" si="2179">IF(B2181=0,0,IF(YEAR(B2181)=$Q$1,MONTH(B2181)-$P$1+1,(YEAR(B2181)-$Q$1)*12-$P$1+1+MONTH(B2181)))</f>
        <v>0</v>
      </c>
      <c r="Q2181" s="402">
        <f t="shared" si="2179"/>
        <v>0</v>
      </c>
      <c r="R2181" s="356" t="e">
        <f t="shared" si="1325"/>
        <v>#N/A</v>
      </c>
      <c r="S2181" s="269" t="str">
        <f>IF(D2181="","",IF(OR(D2181=Plano!$A$1,D2181=Plano!$B$1),"entrada","saída"))</f>
        <v/>
      </c>
      <c r="T2181" s="269"/>
      <c r="U2181" s="269"/>
      <c r="V2181" s="269"/>
      <c r="W2181" s="269"/>
    </row>
    <row r="2182" spans="1:23" ht="12.75" customHeight="1" x14ac:dyDescent="0.2">
      <c r="A2182" s="289" t="str">
        <f t="shared" si="0"/>
        <v/>
      </c>
      <c r="B2182" s="290"/>
      <c r="C2182" s="404"/>
      <c r="D2182" s="291"/>
      <c r="E2182" s="291"/>
      <c r="F2182" s="292"/>
      <c r="G2182" s="291"/>
      <c r="H2182" s="291"/>
      <c r="I2182" s="293"/>
      <c r="J2182" s="291"/>
      <c r="K2182" s="291"/>
      <c r="L2182" s="293"/>
      <c r="M2182" s="291"/>
      <c r="N2182" s="289"/>
      <c r="O2182" s="358"/>
      <c r="P2182" s="402">
        <f t="shared" ref="P2182:Q2182" si="2180">IF(B2182=0,0,IF(YEAR(B2182)=$Q$1,MONTH(B2182)-$P$1+1,(YEAR(B2182)-$Q$1)*12-$P$1+1+MONTH(B2182)))</f>
        <v>0</v>
      </c>
      <c r="Q2182" s="402">
        <f t="shared" si="2180"/>
        <v>0</v>
      </c>
      <c r="R2182" s="356" t="e">
        <f t="shared" si="1325"/>
        <v>#N/A</v>
      </c>
      <c r="S2182" s="269" t="str">
        <f>IF(D2182="","",IF(OR(D2182=Plano!$A$1,D2182=Plano!$B$1),"entrada","saída"))</f>
        <v/>
      </c>
      <c r="T2182" s="269"/>
      <c r="U2182" s="269"/>
      <c r="V2182" s="269"/>
      <c r="W2182" s="269"/>
    </row>
    <row r="2183" spans="1:23" ht="12.75" customHeight="1" x14ac:dyDescent="0.2">
      <c r="A2183" s="289" t="str">
        <f t="shared" si="0"/>
        <v/>
      </c>
      <c r="B2183" s="290"/>
      <c r="C2183" s="404"/>
      <c r="D2183" s="291"/>
      <c r="E2183" s="291"/>
      <c r="F2183" s="292"/>
      <c r="G2183" s="291"/>
      <c r="H2183" s="291"/>
      <c r="I2183" s="293"/>
      <c r="J2183" s="291"/>
      <c r="K2183" s="291"/>
      <c r="L2183" s="293"/>
      <c r="M2183" s="291"/>
      <c r="N2183" s="289"/>
      <c r="O2183" s="358"/>
      <c r="P2183" s="402">
        <f t="shared" ref="P2183:Q2183" si="2181">IF(B2183=0,0,IF(YEAR(B2183)=$Q$1,MONTH(B2183)-$P$1+1,(YEAR(B2183)-$Q$1)*12-$P$1+1+MONTH(B2183)))</f>
        <v>0</v>
      </c>
      <c r="Q2183" s="402">
        <f t="shared" si="2181"/>
        <v>0</v>
      </c>
      <c r="R2183" s="356" t="e">
        <f t="shared" si="1325"/>
        <v>#N/A</v>
      </c>
      <c r="S2183" s="269" t="str">
        <f>IF(D2183="","",IF(OR(D2183=Plano!$A$1,D2183=Plano!$B$1),"entrada","saída"))</f>
        <v/>
      </c>
      <c r="T2183" s="269"/>
      <c r="U2183" s="269"/>
      <c r="V2183" s="269"/>
      <c r="W2183" s="269"/>
    </row>
    <row r="2184" spans="1:23" ht="12.75" customHeight="1" x14ac:dyDescent="0.2">
      <c r="A2184" s="289" t="str">
        <f t="shared" si="0"/>
        <v/>
      </c>
      <c r="B2184" s="290"/>
      <c r="C2184" s="404"/>
      <c r="D2184" s="291"/>
      <c r="E2184" s="291"/>
      <c r="F2184" s="292"/>
      <c r="G2184" s="291"/>
      <c r="H2184" s="291"/>
      <c r="I2184" s="293"/>
      <c r="J2184" s="291"/>
      <c r="K2184" s="291"/>
      <c r="L2184" s="293"/>
      <c r="M2184" s="291"/>
      <c r="N2184" s="289"/>
      <c r="O2184" s="358"/>
      <c r="P2184" s="402">
        <f t="shared" ref="P2184:Q2184" si="2182">IF(B2184=0,0,IF(YEAR(B2184)=$Q$1,MONTH(B2184)-$P$1+1,(YEAR(B2184)-$Q$1)*12-$P$1+1+MONTH(B2184)))</f>
        <v>0</v>
      </c>
      <c r="Q2184" s="402">
        <f t="shared" si="2182"/>
        <v>0</v>
      </c>
      <c r="R2184" s="356" t="e">
        <f t="shared" si="1325"/>
        <v>#N/A</v>
      </c>
      <c r="S2184" s="269" t="str">
        <f>IF(D2184="","",IF(OR(D2184=Plano!$A$1,D2184=Plano!$B$1),"entrada","saída"))</f>
        <v/>
      </c>
      <c r="T2184" s="269"/>
      <c r="U2184" s="269"/>
      <c r="V2184" s="269"/>
      <c r="W2184" s="269"/>
    </row>
    <row r="2185" spans="1:23" ht="12.75" customHeight="1" x14ac:dyDescent="0.2">
      <c r="A2185" s="289" t="str">
        <f t="shared" si="0"/>
        <v/>
      </c>
      <c r="B2185" s="290"/>
      <c r="C2185" s="404"/>
      <c r="D2185" s="291"/>
      <c r="E2185" s="291"/>
      <c r="F2185" s="292"/>
      <c r="G2185" s="291"/>
      <c r="H2185" s="291"/>
      <c r="I2185" s="293"/>
      <c r="J2185" s="291"/>
      <c r="K2185" s="291"/>
      <c r="L2185" s="293"/>
      <c r="M2185" s="291"/>
      <c r="N2185" s="289"/>
      <c r="O2185" s="358"/>
      <c r="P2185" s="402">
        <f t="shared" ref="P2185:Q2185" si="2183">IF(B2185=0,0,IF(YEAR(B2185)=$Q$1,MONTH(B2185)-$P$1+1,(YEAR(B2185)-$Q$1)*12-$P$1+1+MONTH(B2185)))</f>
        <v>0</v>
      </c>
      <c r="Q2185" s="402">
        <f t="shared" si="2183"/>
        <v>0</v>
      </c>
      <c r="R2185" s="356" t="e">
        <f t="shared" si="1325"/>
        <v>#N/A</v>
      </c>
      <c r="S2185" s="269" t="str">
        <f>IF(D2185="","",IF(OR(D2185=Plano!$A$1,D2185=Plano!$B$1),"entrada","saída"))</f>
        <v/>
      </c>
      <c r="T2185" s="269"/>
      <c r="U2185" s="269"/>
      <c r="V2185" s="269"/>
      <c r="W2185" s="269"/>
    </row>
    <row r="2186" spans="1:23" ht="12.75" customHeight="1" x14ac:dyDescent="0.2">
      <c r="A2186" s="289" t="str">
        <f t="shared" si="0"/>
        <v/>
      </c>
      <c r="B2186" s="290"/>
      <c r="C2186" s="404"/>
      <c r="D2186" s="291"/>
      <c r="E2186" s="291"/>
      <c r="F2186" s="292"/>
      <c r="G2186" s="291"/>
      <c r="H2186" s="291"/>
      <c r="I2186" s="293"/>
      <c r="J2186" s="291"/>
      <c r="K2186" s="291"/>
      <c r="L2186" s="293"/>
      <c r="M2186" s="291"/>
      <c r="N2186" s="289"/>
      <c r="O2186" s="358"/>
      <c r="P2186" s="402">
        <f t="shared" ref="P2186:Q2186" si="2184">IF(B2186=0,0,IF(YEAR(B2186)=$Q$1,MONTH(B2186)-$P$1+1,(YEAR(B2186)-$Q$1)*12-$P$1+1+MONTH(B2186)))</f>
        <v>0</v>
      </c>
      <c r="Q2186" s="402">
        <f t="shared" si="2184"/>
        <v>0</v>
      </c>
      <c r="R2186" s="356" t="e">
        <f t="shared" si="1325"/>
        <v>#N/A</v>
      </c>
      <c r="S2186" s="269" t="str">
        <f>IF(D2186="","",IF(OR(D2186=Plano!$A$1,D2186=Plano!$B$1),"entrada","saída"))</f>
        <v/>
      </c>
      <c r="T2186" s="269"/>
      <c r="U2186" s="269"/>
      <c r="V2186" s="269"/>
      <c r="W2186" s="269"/>
    </row>
    <row r="2187" spans="1:23" ht="12.75" customHeight="1" x14ac:dyDescent="0.2">
      <c r="A2187" s="289" t="str">
        <f t="shared" si="0"/>
        <v/>
      </c>
      <c r="B2187" s="290"/>
      <c r="C2187" s="404"/>
      <c r="D2187" s="291"/>
      <c r="E2187" s="291"/>
      <c r="F2187" s="292"/>
      <c r="G2187" s="291"/>
      <c r="H2187" s="291"/>
      <c r="I2187" s="293"/>
      <c r="J2187" s="291"/>
      <c r="K2187" s="291"/>
      <c r="L2187" s="293"/>
      <c r="M2187" s="291"/>
      <c r="N2187" s="289"/>
      <c r="O2187" s="358"/>
      <c r="P2187" s="402">
        <f t="shared" ref="P2187:Q2187" si="2185">IF(B2187=0,0,IF(YEAR(B2187)=$Q$1,MONTH(B2187)-$P$1+1,(YEAR(B2187)-$Q$1)*12-$P$1+1+MONTH(B2187)))</f>
        <v>0</v>
      </c>
      <c r="Q2187" s="402">
        <f t="shared" si="2185"/>
        <v>0</v>
      </c>
      <c r="R2187" s="356" t="e">
        <f t="shared" si="1325"/>
        <v>#N/A</v>
      </c>
      <c r="S2187" s="269" t="str">
        <f>IF(D2187="","",IF(OR(D2187=Plano!$A$1,D2187=Plano!$B$1),"entrada","saída"))</f>
        <v/>
      </c>
      <c r="T2187" s="269"/>
      <c r="U2187" s="269"/>
      <c r="V2187" s="269"/>
      <c r="W2187" s="269"/>
    </row>
    <row r="2188" spans="1:23" ht="12.75" customHeight="1" x14ac:dyDescent="0.2">
      <c r="A2188" s="289" t="str">
        <f t="shared" si="0"/>
        <v/>
      </c>
      <c r="B2188" s="290"/>
      <c r="C2188" s="404"/>
      <c r="D2188" s="291"/>
      <c r="E2188" s="291"/>
      <c r="F2188" s="292"/>
      <c r="G2188" s="291"/>
      <c r="H2188" s="291"/>
      <c r="I2188" s="293"/>
      <c r="J2188" s="291"/>
      <c r="K2188" s="291"/>
      <c r="L2188" s="293"/>
      <c r="M2188" s="291"/>
      <c r="N2188" s="289"/>
      <c r="O2188" s="358"/>
      <c r="P2188" s="402">
        <f t="shared" ref="P2188:Q2188" si="2186">IF(B2188=0,0,IF(YEAR(B2188)=$Q$1,MONTH(B2188)-$P$1+1,(YEAR(B2188)-$Q$1)*12-$P$1+1+MONTH(B2188)))</f>
        <v>0</v>
      </c>
      <c r="Q2188" s="402">
        <f t="shared" si="2186"/>
        <v>0</v>
      </c>
      <c r="R2188" s="356" t="e">
        <f t="shared" si="1325"/>
        <v>#N/A</v>
      </c>
      <c r="S2188" s="269" t="str">
        <f>IF(D2188="","",IF(OR(D2188=Plano!$A$1,D2188=Plano!$B$1),"entrada","saída"))</f>
        <v/>
      </c>
      <c r="T2188" s="269"/>
      <c r="U2188" s="269"/>
      <c r="V2188" s="269"/>
      <c r="W2188" s="269"/>
    </row>
    <row r="2189" spans="1:23" ht="12.75" customHeight="1" x14ac:dyDescent="0.2">
      <c r="A2189" s="289" t="str">
        <f t="shared" si="0"/>
        <v/>
      </c>
      <c r="B2189" s="290"/>
      <c r="C2189" s="404"/>
      <c r="D2189" s="291"/>
      <c r="E2189" s="291"/>
      <c r="F2189" s="292"/>
      <c r="G2189" s="291"/>
      <c r="H2189" s="291"/>
      <c r="I2189" s="293"/>
      <c r="J2189" s="291"/>
      <c r="K2189" s="291"/>
      <c r="L2189" s="293"/>
      <c r="M2189" s="291"/>
      <c r="N2189" s="289"/>
      <c r="O2189" s="358"/>
      <c r="P2189" s="402">
        <f t="shared" ref="P2189:Q2189" si="2187">IF(B2189=0,0,IF(YEAR(B2189)=$Q$1,MONTH(B2189)-$P$1+1,(YEAR(B2189)-$Q$1)*12-$P$1+1+MONTH(B2189)))</f>
        <v>0</v>
      </c>
      <c r="Q2189" s="402">
        <f t="shared" si="2187"/>
        <v>0</v>
      </c>
      <c r="R2189" s="356" t="e">
        <f t="shared" si="1325"/>
        <v>#N/A</v>
      </c>
      <c r="S2189" s="269" t="str">
        <f>IF(D2189="","",IF(OR(D2189=Plano!$A$1,D2189=Plano!$B$1),"entrada","saída"))</f>
        <v/>
      </c>
      <c r="T2189" s="269"/>
      <c r="U2189" s="269"/>
      <c r="V2189" s="269"/>
      <c r="W2189" s="269"/>
    </row>
    <row r="2190" spans="1:23" ht="12.75" customHeight="1" x14ac:dyDescent="0.2">
      <c r="A2190" s="289" t="str">
        <f t="shared" si="0"/>
        <v/>
      </c>
      <c r="B2190" s="290"/>
      <c r="C2190" s="404"/>
      <c r="D2190" s="291"/>
      <c r="E2190" s="291"/>
      <c r="F2190" s="292"/>
      <c r="G2190" s="291"/>
      <c r="H2190" s="291"/>
      <c r="I2190" s="293"/>
      <c r="J2190" s="291"/>
      <c r="K2190" s="291"/>
      <c r="L2190" s="293"/>
      <c r="M2190" s="291"/>
      <c r="N2190" s="289"/>
      <c r="O2190" s="358"/>
      <c r="P2190" s="402">
        <f t="shared" ref="P2190:Q2190" si="2188">IF(B2190=0,0,IF(YEAR(B2190)=$Q$1,MONTH(B2190)-$P$1+1,(YEAR(B2190)-$Q$1)*12-$P$1+1+MONTH(B2190)))</f>
        <v>0</v>
      </c>
      <c r="Q2190" s="402">
        <f t="shared" si="2188"/>
        <v>0</v>
      </c>
      <c r="R2190" s="356" t="e">
        <f t="shared" si="1325"/>
        <v>#N/A</v>
      </c>
      <c r="S2190" s="269" t="str">
        <f>IF(D2190="","",IF(OR(D2190=Plano!$A$1,D2190=Plano!$B$1),"entrada","saída"))</f>
        <v/>
      </c>
      <c r="T2190" s="269"/>
      <c r="U2190" s="269"/>
      <c r="V2190" s="269"/>
      <c r="W2190" s="269"/>
    </row>
    <row r="2191" spans="1:23" ht="12.75" customHeight="1" x14ac:dyDescent="0.2">
      <c r="A2191" s="289" t="str">
        <f t="shared" si="0"/>
        <v/>
      </c>
      <c r="B2191" s="290"/>
      <c r="C2191" s="404"/>
      <c r="D2191" s="291"/>
      <c r="E2191" s="291"/>
      <c r="F2191" s="292"/>
      <c r="G2191" s="291"/>
      <c r="H2191" s="291"/>
      <c r="I2191" s="293"/>
      <c r="J2191" s="291"/>
      <c r="K2191" s="291"/>
      <c r="L2191" s="293"/>
      <c r="M2191" s="291"/>
      <c r="N2191" s="289"/>
      <c r="O2191" s="358"/>
      <c r="P2191" s="402">
        <f t="shared" ref="P2191:Q2191" si="2189">IF(B2191=0,0,IF(YEAR(B2191)=$Q$1,MONTH(B2191)-$P$1+1,(YEAR(B2191)-$Q$1)*12-$P$1+1+MONTH(B2191)))</f>
        <v>0</v>
      </c>
      <c r="Q2191" s="402">
        <f t="shared" si="2189"/>
        <v>0</v>
      </c>
      <c r="R2191" s="356" t="e">
        <f t="shared" si="1325"/>
        <v>#N/A</v>
      </c>
      <c r="S2191" s="269" t="str">
        <f>IF(D2191="","",IF(OR(D2191=Plano!$A$1,D2191=Plano!$B$1),"entrada","saída"))</f>
        <v/>
      </c>
      <c r="T2191" s="269"/>
      <c r="U2191" s="269"/>
      <c r="V2191" s="269"/>
      <c r="W2191" s="269"/>
    </row>
    <row r="2192" spans="1:23" ht="12.75" customHeight="1" x14ac:dyDescent="0.2">
      <c r="A2192" s="289" t="str">
        <f t="shared" si="0"/>
        <v/>
      </c>
      <c r="B2192" s="290"/>
      <c r="C2192" s="404"/>
      <c r="D2192" s="291"/>
      <c r="E2192" s="291"/>
      <c r="F2192" s="292"/>
      <c r="G2192" s="291"/>
      <c r="H2192" s="291"/>
      <c r="I2192" s="293"/>
      <c r="J2192" s="291"/>
      <c r="K2192" s="291"/>
      <c r="L2192" s="293"/>
      <c r="M2192" s="291"/>
      <c r="N2192" s="289"/>
      <c r="O2192" s="358"/>
      <c r="P2192" s="402">
        <f t="shared" ref="P2192:Q2192" si="2190">IF(B2192=0,0,IF(YEAR(B2192)=$Q$1,MONTH(B2192)-$P$1+1,(YEAR(B2192)-$Q$1)*12-$P$1+1+MONTH(B2192)))</f>
        <v>0</v>
      </c>
      <c r="Q2192" s="402">
        <f t="shared" si="2190"/>
        <v>0</v>
      </c>
      <c r="R2192" s="356" t="e">
        <f t="shared" si="1325"/>
        <v>#N/A</v>
      </c>
      <c r="S2192" s="269" t="str">
        <f>IF(D2192="","",IF(OR(D2192=Plano!$A$1,D2192=Plano!$B$1),"entrada","saída"))</f>
        <v/>
      </c>
      <c r="T2192" s="269"/>
      <c r="U2192" s="269"/>
      <c r="V2192" s="269"/>
      <c r="W2192" s="269"/>
    </row>
    <row r="2193" spans="1:23" ht="12.75" customHeight="1" x14ac:dyDescent="0.2">
      <c r="A2193" s="289" t="str">
        <f t="shared" si="0"/>
        <v/>
      </c>
      <c r="B2193" s="290"/>
      <c r="C2193" s="404"/>
      <c r="D2193" s="291"/>
      <c r="E2193" s="291"/>
      <c r="F2193" s="292"/>
      <c r="G2193" s="291"/>
      <c r="H2193" s="291"/>
      <c r="I2193" s="293"/>
      <c r="J2193" s="291"/>
      <c r="K2193" s="291"/>
      <c r="L2193" s="293"/>
      <c r="M2193" s="291"/>
      <c r="N2193" s="289"/>
      <c r="O2193" s="358"/>
      <c r="P2193" s="402">
        <f t="shared" ref="P2193:Q2193" si="2191">IF(B2193=0,0,IF(YEAR(B2193)=$Q$1,MONTH(B2193)-$P$1+1,(YEAR(B2193)-$Q$1)*12-$P$1+1+MONTH(B2193)))</f>
        <v>0</v>
      </c>
      <c r="Q2193" s="402">
        <f t="shared" si="2191"/>
        <v>0</v>
      </c>
      <c r="R2193" s="356" t="e">
        <f t="shared" si="1325"/>
        <v>#N/A</v>
      </c>
      <c r="S2193" s="269" t="str">
        <f>IF(D2193="","",IF(OR(D2193=Plano!$A$1,D2193=Plano!$B$1),"entrada","saída"))</f>
        <v/>
      </c>
      <c r="T2193" s="269"/>
      <c r="U2193" s="269"/>
      <c r="V2193" s="269"/>
      <c r="W2193" s="269"/>
    </row>
    <row r="2194" spans="1:23" ht="12.75" customHeight="1" x14ac:dyDescent="0.2">
      <c r="A2194" s="289" t="str">
        <f t="shared" si="0"/>
        <v/>
      </c>
      <c r="B2194" s="290"/>
      <c r="C2194" s="404"/>
      <c r="D2194" s="291"/>
      <c r="E2194" s="291"/>
      <c r="F2194" s="292"/>
      <c r="G2194" s="291"/>
      <c r="H2194" s="291"/>
      <c r="I2194" s="293"/>
      <c r="J2194" s="291"/>
      <c r="K2194" s="291"/>
      <c r="L2194" s="293"/>
      <c r="M2194" s="291"/>
      <c r="N2194" s="289"/>
      <c r="O2194" s="358"/>
      <c r="P2194" s="402">
        <f t="shared" ref="P2194:Q2194" si="2192">IF(B2194=0,0,IF(YEAR(B2194)=$Q$1,MONTH(B2194)-$P$1+1,(YEAR(B2194)-$Q$1)*12-$P$1+1+MONTH(B2194)))</f>
        <v>0</v>
      </c>
      <c r="Q2194" s="402">
        <f t="shared" si="2192"/>
        <v>0</v>
      </c>
      <c r="R2194" s="356" t="e">
        <f t="shared" si="1325"/>
        <v>#N/A</v>
      </c>
      <c r="S2194" s="269" t="str">
        <f>IF(D2194="","",IF(OR(D2194=Plano!$A$1,D2194=Plano!$B$1),"entrada","saída"))</f>
        <v/>
      </c>
      <c r="T2194" s="269"/>
      <c r="U2194" s="269"/>
      <c r="V2194" s="269"/>
      <c r="W2194" s="269"/>
    </row>
    <row r="2195" spans="1:23" ht="12.75" customHeight="1" x14ac:dyDescent="0.2">
      <c r="A2195" s="289" t="str">
        <f t="shared" si="0"/>
        <v/>
      </c>
      <c r="B2195" s="290"/>
      <c r="C2195" s="404"/>
      <c r="D2195" s="291"/>
      <c r="E2195" s="291"/>
      <c r="F2195" s="292"/>
      <c r="G2195" s="291"/>
      <c r="H2195" s="291"/>
      <c r="I2195" s="293"/>
      <c r="J2195" s="291"/>
      <c r="K2195" s="291"/>
      <c r="L2195" s="293"/>
      <c r="M2195" s="291"/>
      <c r="N2195" s="289"/>
      <c r="O2195" s="358"/>
      <c r="P2195" s="402">
        <f t="shared" ref="P2195:Q2195" si="2193">IF(B2195=0,0,IF(YEAR(B2195)=$Q$1,MONTH(B2195)-$P$1+1,(YEAR(B2195)-$Q$1)*12-$P$1+1+MONTH(B2195)))</f>
        <v>0</v>
      </c>
      <c r="Q2195" s="402">
        <f t="shared" si="2193"/>
        <v>0</v>
      </c>
      <c r="R2195" s="356" t="e">
        <f t="shared" si="1325"/>
        <v>#N/A</v>
      </c>
      <c r="S2195" s="269" t="str">
        <f>IF(D2195="","",IF(OR(D2195=Plano!$A$1,D2195=Plano!$B$1),"entrada","saída"))</f>
        <v/>
      </c>
      <c r="T2195" s="269"/>
      <c r="U2195" s="269"/>
      <c r="V2195" s="269"/>
      <c r="W2195" s="269"/>
    </row>
    <row r="2196" spans="1:23" ht="12.75" customHeight="1" x14ac:dyDescent="0.2">
      <c r="A2196" s="289" t="str">
        <f t="shared" si="0"/>
        <v/>
      </c>
      <c r="B2196" s="290"/>
      <c r="C2196" s="404"/>
      <c r="D2196" s="291"/>
      <c r="E2196" s="291"/>
      <c r="F2196" s="292"/>
      <c r="G2196" s="291"/>
      <c r="H2196" s="291"/>
      <c r="I2196" s="293"/>
      <c r="J2196" s="291"/>
      <c r="K2196" s="291"/>
      <c r="L2196" s="293"/>
      <c r="M2196" s="291"/>
      <c r="N2196" s="289"/>
      <c r="O2196" s="358"/>
      <c r="P2196" s="402">
        <f t="shared" ref="P2196:Q2196" si="2194">IF(B2196=0,0,IF(YEAR(B2196)=$Q$1,MONTH(B2196)-$P$1+1,(YEAR(B2196)-$Q$1)*12-$P$1+1+MONTH(B2196)))</f>
        <v>0</v>
      </c>
      <c r="Q2196" s="402">
        <f t="shared" si="2194"/>
        <v>0</v>
      </c>
      <c r="R2196" s="356" t="e">
        <f t="shared" si="1325"/>
        <v>#N/A</v>
      </c>
      <c r="S2196" s="269" t="str">
        <f>IF(D2196="","",IF(OR(D2196=Plano!$A$1,D2196=Plano!$B$1),"entrada","saída"))</f>
        <v/>
      </c>
      <c r="T2196" s="269"/>
      <c r="U2196" s="269"/>
      <c r="V2196" s="269"/>
      <c r="W2196" s="269"/>
    </row>
    <row r="2197" spans="1:23" ht="12.75" customHeight="1" x14ac:dyDescent="0.2">
      <c r="A2197" s="289" t="str">
        <f t="shared" si="0"/>
        <v/>
      </c>
      <c r="B2197" s="290"/>
      <c r="C2197" s="404"/>
      <c r="D2197" s="291"/>
      <c r="E2197" s="291"/>
      <c r="F2197" s="292"/>
      <c r="G2197" s="291"/>
      <c r="H2197" s="291"/>
      <c r="I2197" s="293"/>
      <c r="J2197" s="291"/>
      <c r="K2197" s="291"/>
      <c r="L2197" s="293"/>
      <c r="M2197" s="291"/>
      <c r="N2197" s="289"/>
      <c r="O2197" s="358"/>
      <c r="P2197" s="402">
        <f t="shared" ref="P2197:Q2197" si="2195">IF(B2197=0,0,IF(YEAR(B2197)=$Q$1,MONTH(B2197)-$P$1+1,(YEAR(B2197)-$Q$1)*12-$P$1+1+MONTH(B2197)))</f>
        <v>0</v>
      </c>
      <c r="Q2197" s="402">
        <f t="shared" si="2195"/>
        <v>0</v>
      </c>
      <c r="R2197" s="356" t="e">
        <f t="shared" si="1325"/>
        <v>#N/A</v>
      </c>
      <c r="S2197" s="269" t="str">
        <f>IF(D2197="","",IF(OR(D2197=Plano!$A$1,D2197=Plano!$B$1),"entrada","saída"))</f>
        <v/>
      </c>
      <c r="T2197" s="269"/>
      <c r="U2197" s="269"/>
      <c r="V2197" s="269"/>
      <c r="W2197" s="269"/>
    </row>
    <row r="2198" spans="1:23" ht="12.75" customHeight="1" x14ac:dyDescent="0.2">
      <c r="A2198" s="289" t="str">
        <f t="shared" si="0"/>
        <v/>
      </c>
      <c r="B2198" s="290"/>
      <c r="C2198" s="404"/>
      <c r="D2198" s="291"/>
      <c r="E2198" s="291"/>
      <c r="F2198" s="292"/>
      <c r="G2198" s="291"/>
      <c r="H2198" s="291"/>
      <c r="I2198" s="293"/>
      <c r="J2198" s="291"/>
      <c r="K2198" s="291"/>
      <c r="L2198" s="293"/>
      <c r="M2198" s="291"/>
      <c r="N2198" s="289"/>
      <c r="O2198" s="358"/>
      <c r="P2198" s="402">
        <f t="shared" ref="P2198:Q2198" si="2196">IF(B2198=0,0,IF(YEAR(B2198)=$Q$1,MONTH(B2198)-$P$1+1,(YEAR(B2198)-$Q$1)*12-$P$1+1+MONTH(B2198)))</f>
        <v>0</v>
      </c>
      <c r="Q2198" s="402">
        <f t="shared" si="2196"/>
        <v>0</v>
      </c>
      <c r="R2198" s="356" t="e">
        <f t="shared" si="1325"/>
        <v>#N/A</v>
      </c>
      <c r="S2198" s="269" t="str">
        <f>IF(D2198="","",IF(OR(D2198=Plano!$A$1,D2198=Plano!$B$1),"entrada","saída"))</f>
        <v/>
      </c>
      <c r="T2198" s="269"/>
      <c r="U2198" s="269"/>
      <c r="V2198" s="269"/>
      <c r="W2198" s="269"/>
    </row>
    <row r="2199" spans="1:23" ht="12.75" customHeight="1" x14ac:dyDescent="0.2">
      <c r="A2199" s="289" t="str">
        <f t="shared" si="0"/>
        <v/>
      </c>
      <c r="B2199" s="290"/>
      <c r="C2199" s="404"/>
      <c r="D2199" s="291"/>
      <c r="E2199" s="291"/>
      <c r="F2199" s="292"/>
      <c r="G2199" s="291"/>
      <c r="H2199" s="291"/>
      <c r="I2199" s="293"/>
      <c r="J2199" s="291"/>
      <c r="K2199" s="291"/>
      <c r="L2199" s="293"/>
      <c r="M2199" s="291"/>
      <c r="N2199" s="289"/>
      <c r="O2199" s="358"/>
      <c r="P2199" s="402">
        <f t="shared" ref="P2199:Q2199" si="2197">IF(B2199=0,0,IF(YEAR(B2199)=$Q$1,MONTH(B2199)-$P$1+1,(YEAR(B2199)-$Q$1)*12-$P$1+1+MONTH(B2199)))</f>
        <v>0</v>
      </c>
      <c r="Q2199" s="402">
        <f t="shared" si="2197"/>
        <v>0</v>
      </c>
      <c r="R2199" s="356" t="e">
        <f t="shared" si="1325"/>
        <v>#N/A</v>
      </c>
      <c r="S2199" s="269" t="str">
        <f>IF(D2199="","",IF(OR(D2199=Plano!$A$1,D2199=Plano!$B$1),"entrada","saída"))</f>
        <v/>
      </c>
      <c r="T2199" s="269"/>
      <c r="U2199" s="269"/>
      <c r="V2199" s="269"/>
      <c r="W2199" s="269"/>
    </row>
    <row r="2200" spans="1:23" ht="12.75" customHeight="1" x14ac:dyDescent="0.2">
      <c r="A2200" s="289" t="str">
        <f t="shared" si="0"/>
        <v/>
      </c>
      <c r="B2200" s="290"/>
      <c r="C2200" s="404"/>
      <c r="D2200" s="291"/>
      <c r="E2200" s="291"/>
      <c r="F2200" s="292"/>
      <c r="G2200" s="291"/>
      <c r="H2200" s="291"/>
      <c r="I2200" s="293"/>
      <c r="J2200" s="291"/>
      <c r="K2200" s="291"/>
      <c r="L2200" s="293"/>
      <c r="M2200" s="291"/>
      <c r="N2200" s="289"/>
      <c r="O2200" s="358"/>
      <c r="P2200" s="402">
        <f t="shared" ref="P2200:Q2200" si="2198">IF(B2200=0,0,IF(YEAR(B2200)=$Q$1,MONTH(B2200)-$P$1+1,(YEAR(B2200)-$Q$1)*12-$P$1+1+MONTH(B2200)))</f>
        <v>0</v>
      </c>
      <c r="Q2200" s="402">
        <f t="shared" si="2198"/>
        <v>0</v>
      </c>
      <c r="R2200" s="356" t="e">
        <f t="shared" si="1325"/>
        <v>#N/A</v>
      </c>
      <c r="S2200" s="269" t="str">
        <f>IF(D2200="","",IF(OR(D2200=Plano!$A$1,D2200=Plano!$B$1),"entrada","saída"))</f>
        <v/>
      </c>
      <c r="T2200" s="269"/>
      <c r="U2200" s="269"/>
      <c r="V2200" s="269"/>
      <c r="W2200" s="269"/>
    </row>
    <row r="2201" spans="1:23" ht="12.75" customHeight="1" x14ac:dyDescent="0.2">
      <c r="A2201" s="289" t="str">
        <f t="shared" si="0"/>
        <v/>
      </c>
      <c r="B2201" s="290"/>
      <c r="C2201" s="404"/>
      <c r="D2201" s="291"/>
      <c r="E2201" s="291"/>
      <c r="F2201" s="292"/>
      <c r="G2201" s="291"/>
      <c r="H2201" s="291"/>
      <c r="I2201" s="293"/>
      <c r="J2201" s="291"/>
      <c r="K2201" s="291"/>
      <c r="L2201" s="293"/>
      <c r="M2201" s="291"/>
      <c r="N2201" s="289"/>
      <c r="O2201" s="358"/>
      <c r="P2201" s="402">
        <f t="shared" ref="P2201:Q2201" si="2199">IF(B2201=0,0,IF(YEAR(B2201)=$Q$1,MONTH(B2201)-$P$1+1,(YEAR(B2201)-$Q$1)*12-$P$1+1+MONTH(B2201)))</f>
        <v>0</v>
      </c>
      <c r="Q2201" s="402">
        <f t="shared" si="2199"/>
        <v>0</v>
      </c>
      <c r="R2201" s="356" t="e">
        <f t="shared" si="1325"/>
        <v>#N/A</v>
      </c>
      <c r="S2201" s="269" t="str">
        <f>IF(D2201="","",IF(OR(D2201=Plano!$A$1,D2201=Plano!$B$1),"entrada","saída"))</f>
        <v/>
      </c>
      <c r="T2201" s="269"/>
      <c r="U2201" s="269"/>
      <c r="V2201" s="269"/>
      <c r="W2201" s="269"/>
    </row>
    <row r="2202" spans="1:23" ht="12.75" customHeight="1" x14ac:dyDescent="0.2">
      <c r="A2202" s="289" t="str">
        <f t="shared" si="0"/>
        <v/>
      </c>
      <c r="B2202" s="290"/>
      <c r="C2202" s="404"/>
      <c r="D2202" s="291"/>
      <c r="E2202" s="291"/>
      <c r="F2202" s="292"/>
      <c r="G2202" s="291"/>
      <c r="H2202" s="291"/>
      <c r="I2202" s="293"/>
      <c r="J2202" s="291"/>
      <c r="K2202" s="291"/>
      <c r="L2202" s="293"/>
      <c r="M2202" s="291"/>
      <c r="N2202" s="289"/>
      <c r="O2202" s="358"/>
      <c r="P2202" s="402">
        <f t="shared" ref="P2202:Q2202" si="2200">IF(B2202=0,0,IF(YEAR(B2202)=$Q$1,MONTH(B2202)-$P$1+1,(YEAR(B2202)-$Q$1)*12-$P$1+1+MONTH(B2202)))</f>
        <v>0</v>
      </c>
      <c r="Q2202" s="402">
        <f t="shared" si="2200"/>
        <v>0</v>
      </c>
      <c r="R2202" s="356" t="e">
        <f t="shared" si="1325"/>
        <v>#N/A</v>
      </c>
      <c r="S2202" s="269" t="str">
        <f>IF(D2202="","",IF(OR(D2202=Plano!$A$1,D2202=Plano!$B$1),"entrada","saída"))</f>
        <v/>
      </c>
      <c r="T2202" s="269"/>
      <c r="U2202" s="269"/>
      <c r="V2202" s="269"/>
      <c r="W2202" s="269"/>
    </row>
    <row r="2203" spans="1:23" ht="12.75" customHeight="1" x14ac:dyDescent="0.2">
      <c r="A2203" s="289" t="str">
        <f t="shared" si="0"/>
        <v/>
      </c>
      <c r="B2203" s="290"/>
      <c r="C2203" s="404"/>
      <c r="D2203" s="291"/>
      <c r="E2203" s="291"/>
      <c r="F2203" s="292"/>
      <c r="G2203" s="291"/>
      <c r="H2203" s="291"/>
      <c r="I2203" s="293"/>
      <c r="J2203" s="291"/>
      <c r="K2203" s="291"/>
      <c r="L2203" s="293"/>
      <c r="M2203" s="291"/>
      <c r="N2203" s="289"/>
      <c r="O2203" s="358"/>
      <c r="P2203" s="402">
        <f t="shared" ref="P2203:Q2203" si="2201">IF(B2203=0,0,IF(YEAR(B2203)=$Q$1,MONTH(B2203)-$P$1+1,(YEAR(B2203)-$Q$1)*12-$P$1+1+MONTH(B2203)))</f>
        <v>0</v>
      </c>
      <c r="Q2203" s="402">
        <f t="shared" si="2201"/>
        <v>0</v>
      </c>
      <c r="R2203" s="356" t="e">
        <f t="shared" si="1325"/>
        <v>#N/A</v>
      </c>
      <c r="S2203" s="269" t="str">
        <f>IF(D2203="","",IF(OR(D2203=Plano!$A$1,D2203=Plano!$B$1),"entrada","saída"))</f>
        <v/>
      </c>
      <c r="T2203" s="269"/>
      <c r="U2203" s="269"/>
      <c r="V2203" s="269"/>
      <c r="W2203" s="269"/>
    </row>
    <row r="2204" spans="1:23" ht="12.75" customHeight="1" x14ac:dyDescent="0.2">
      <c r="A2204" s="289" t="str">
        <f t="shared" si="0"/>
        <v/>
      </c>
      <c r="B2204" s="290"/>
      <c r="C2204" s="404"/>
      <c r="D2204" s="291"/>
      <c r="E2204" s="291"/>
      <c r="F2204" s="292"/>
      <c r="G2204" s="291"/>
      <c r="H2204" s="291"/>
      <c r="I2204" s="293"/>
      <c r="J2204" s="291"/>
      <c r="K2204" s="291"/>
      <c r="L2204" s="293"/>
      <c r="M2204" s="291"/>
      <c r="N2204" s="289"/>
      <c r="O2204" s="358"/>
      <c r="P2204" s="402">
        <f t="shared" ref="P2204:Q2204" si="2202">IF(B2204=0,0,IF(YEAR(B2204)=$Q$1,MONTH(B2204)-$P$1+1,(YEAR(B2204)-$Q$1)*12-$P$1+1+MONTH(B2204)))</f>
        <v>0</v>
      </c>
      <c r="Q2204" s="402">
        <f t="shared" si="2202"/>
        <v>0</v>
      </c>
      <c r="R2204" s="356" t="e">
        <f t="shared" si="1325"/>
        <v>#N/A</v>
      </c>
      <c r="S2204" s="269" t="str">
        <f>IF(D2204="","",IF(OR(D2204=Plano!$A$1,D2204=Plano!$B$1),"entrada","saída"))</f>
        <v/>
      </c>
      <c r="T2204" s="269"/>
      <c r="U2204" s="269"/>
      <c r="V2204" s="269"/>
      <c r="W2204" s="269"/>
    </row>
    <row r="2205" spans="1:23" ht="12.75" customHeight="1" x14ac:dyDescent="0.2">
      <c r="A2205" s="289" t="str">
        <f t="shared" si="0"/>
        <v/>
      </c>
      <c r="B2205" s="290"/>
      <c r="C2205" s="404"/>
      <c r="D2205" s="291"/>
      <c r="E2205" s="291"/>
      <c r="F2205" s="292"/>
      <c r="G2205" s="291"/>
      <c r="H2205" s="291"/>
      <c r="I2205" s="293"/>
      <c r="J2205" s="291"/>
      <c r="K2205" s="291"/>
      <c r="L2205" s="293"/>
      <c r="M2205" s="291"/>
      <c r="N2205" s="289"/>
      <c r="O2205" s="358"/>
      <c r="P2205" s="402">
        <f t="shared" ref="P2205:Q2205" si="2203">IF(B2205=0,0,IF(YEAR(B2205)=$Q$1,MONTH(B2205)-$P$1+1,(YEAR(B2205)-$Q$1)*12-$P$1+1+MONTH(B2205)))</f>
        <v>0</v>
      </c>
      <c r="Q2205" s="402">
        <f t="shared" si="2203"/>
        <v>0</v>
      </c>
      <c r="R2205" s="356" t="e">
        <f t="shared" si="1325"/>
        <v>#N/A</v>
      </c>
      <c r="S2205" s="269" t="str">
        <f>IF(D2205="","",IF(OR(D2205=Plano!$A$1,D2205=Plano!$B$1),"entrada","saída"))</f>
        <v/>
      </c>
      <c r="T2205" s="269"/>
      <c r="U2205" s="269"/>
      <c r="V2205" s="269"/>
      <c r="W2205" s="269"/>
    </row>
    <row r="2206" spans="1:23" ht="12.75" customHeight="1" x14ac:dyDescent="0.2">
      <c r="A2206" s="289" t="str">
        <f t="shared" si="0"/>
        <v/>
      </c>
      <c r="B2206" s="290"/>
      <c r="C2206" s="404"/>
      <c r="D2206" s="291"/>
      <c r="E2206" s="291"/>
      <c r="F2206" s="292"/>
      <c r="G2206" s="291"/>
      <c r="H2206" s="291"/>
      <c r="I2206" s="293"/>
      <c r="J2206" s="291"/>
      <c r="K2206" s="291"/>
      <c r="L2206" s="293"/>
      <c r="M2206" s="291"/>
      <c r="N2206" s="289"/>
      <c r="O2206" s="358"/>
      <c r="P2206" s="402">
        <f t="shared" ref="P2206:Q2206" si="2204">IF(B2206=0,0,IF(YEAR(B2206)=$Q$1,MONTH(B2206)-$P$1+1,(YEAR(B2206)-$Q$1)*12-$P$1+1+MONTH(B2206)))</f>
        <v>0</v>
      </c>
      <c r="Q2206" s="402">
        <f t="shared" si="2204"/>
        <v>0</v>
      </c>
      <c r="R2206" s="356" t="e">
        <f t="shared" si="1325"/>
        <v>#N/A</v>
      </c>
      <c r="S2206" s="269" t="str">
        <f>IF(D2206="","",IF(OR(D2206=Plano!$A$1,D2206=Plano!$B$1),"entrada","saída"))</f>
        <v/>
      </c>
      <c r="T2206" s="269"/>
      <c r="U2206" s="269"/>
      <c r="V2206" s="269"/>
      <c r="W2206" s="269"/>
    </row>
    <row r="2207" spans="1:23" ht="12.75" customHeight="1" x14ac:dyDescent="0.2">
      <c r="A2207" s="289" t="str">
        <f t="shared" si="0"/>
        <v/>
      </c>
      <c r="B2207" s="290"/>
      <c r="C2207" s="404"/>
      <c r="D2207" s="291"/>
      <c r="E2207" s="291"/>
      <c r="F2207" s="292"/>
      <c r="G2207" s="291"/>
      <c r="H2207" s="291"/>
      <c r="I2207" s="293"/>
      <c r="J2207" s="291"/>
      <c r="K2207" s="291"/>
      <c r="L2207" s="293"/>
      <c r="M2207" s="291"/>
      <c r="N2207" s="289"/>
      <c r="O2207" s="358"/>
      <c r="P2207" s="402">
        <f t="shared" ref="P2207:Q2207" si="2205">IF(B2207=0,0,IF(YEAR(B2207)=$Q$1,MONTH(B2207)-$P$1+1,(YEAR(B2207)-$Q$1)*12-$P$1+1+MONTH(B2207)))</f>
        <v>0</v>
      </c>
      <c r="Q2207" s="402">
        <f t="shared" si="2205"/>
        <v>0</v>
      </c>
      <c r="R2207" s="356" t="e">
        <f t="shared" si="1325"/>
        <v>#N/A</v>
      </c>
      <c r="S2207" s="269" t="str">
        <f>IF(D2207="","",IF(OR(D2207=Plano!$A$1,D2207=Plano!$B$1),"entrada","saída"))</f>
        <v/>
      </c>
      <c r="T2207" s="269"/>
      <c r="U2207" s="269"/>
      <c r="V2207" s="269"/>
      <c r="W2207" s="269"/>
    </row>
    <row r="2208" spans="1:23" ht="12.75" customHeight="1" x14ac:dyDescent="0.2">
      <c r="A2208" s="289" t="str">
        <f t="shared" si="0"/>
        <v/>
      </c>
      <c r="B2208" s="290"/>
      <c r="C2208" s="404"/>
      <c r="D2208" s="291"/>
      <c r="E2208" s="291"/>
      <c r="F2208" s="292"/>
      <c r="G2208" s="291"/>
      <c r="H2208" s="291"/>
      <c r="I2208" s="293"/>
      <c r="J2208" s="291"/>
      <c r="K2208" s="291"/>
      <c r="L2208" s="293"/>
      <c r="M2208" s="291"/>
      <c r="N2208" s="289"/>
      <c r="O2208" s="358"/>
      <c r="P2208" s="402">
        <f t="shared" ref="P2208:Q2208" si="2206">IF(B2208=0,0,IF(YEAR(B2208)=$Q$1,MONTH(B2208)-$P$1+1,(YEAR(B2208)-$Q$1)*12-$P$1+1+MONTH(B2208)))</f>
        <v>0</v>
      </c>
      <c r="Q2208" s="402">
        <f t="shared" si="2206"/>
        <v>0</v>
      </c>
      <c r="R2208" s="356" t="e">
        <f t="shared" si="1325"/>
        <v>#N/A</v>
      </c>
      <c r="S2208" s="269" t="str">
        <f>IF(D2208="","",IF(OR(D2208=Plano!$A$1,D2208=Plano!$B$1),"entrada","saída"))</f>
        <v/>
      </c>
      <c r="T2208" s="269"/>
      <c r="U2208" s="269"/>
      <c r="V2208" s="269"/>
      <c r="W2208" s="269"/>
    </row>
    <row r="2209" spans="1:23" ht="12.75" customHeight="1" x14ac:dyDescent="0.2">
      <c r="A2209" s="289" t="str">
        <f t="shared" si="0"/>
        <v/>
      </c>
      <c r="B2209" s="290"/>
      <c r="C2209" s="404"/>
      <c r="D2209" s="291"/>
      <c r="E2209" s="291"/>
      <c r="F2209" s="292"/>
      <c r="G2209" s="291"/>
      <c r="H2209" s="291"/>
      <c r="I2209" s="293"/>
      <c r="J2209" s="291"/>
      <c r="K2209" s="291"/>
      <c r="L2209" s="293"/>
      <c r="M2209" s="291"/>
      <c r="N2209" s="289"/>
      <c r="O2209" s="358"/>
      <c r="P2209" s="402">
        <f t="shared" ref="P2209:Q2209" si="2207">IF(B2209=0,0,IF(YEAR(B2209)=$Q$1,MONTH(B2209)-$P$1+1,(YEAR(B2209)-$Q$1)*12-$P$1+1+MONTH(B2209)))</f>
        <v>0</v>
      </c>
      <c r="Q2209" s="402">
        <f t="shared" si="2207"/>
        <v>0</v>
      </c>
      <c r="R2209" s="356" t="e">
        <f t="shared" si="1325"/>
        <v>#N/A</v>
      </c>
      <c r="S2209" s="269" t="str">
        <f>IF(D2209="","",IF(OR(D2209=Plano!$A$1,D2209=Plano!$B$1),"entrada","saída"))</f>
        <v/>
      </c>
      <c r="T2209" s="269"/>
      <c r="U2209" s="269"/>
      <c r="V2209" s="269"/>
      <c r="W2209" s="269"/>
    </row>
    <row r="2210" spans="1:23" ht="12.75" customHeight="1" x14ac:dyDescent="0.2">
      <c r="A2210" s="289" t="str">
        <f t="shared" si="0"/>
        <v/>
      </c>
      <c r="B2210" s="290"/>
      <c r="C2210" s="404"/>
      <c r="D2210" s="291"/>
      <c r="E2210" s="291"/>
      <c r="F2210" s="292"/>
      <c r="G2210" s="291"/>
      <c r="H2210" s="291"/>
      <c r="I2210" s="293"/>
      <c r="J2210" s="291"/>
      <c r="K2210" s="291"/>
      <c r="L2210" s="293"/>
      <c r="M2210" s="291"/>
      <c r="N2210" s="289"/>
      <c r="O2210" s="358"/>
      <c r="P2210" s="402">
        <f t="shared" ref="P2210:Q2210" si="2208">IF(B2210=0,0,IF(YEAR(B2210)=$Q$1,MONTH(B2210)-$P$1+1,(YEAR(B2210)-$Q$1)*12-$P$1+1+MONTH(B2210)))</f>
        <v>0</v>
      </c>
      <c r="Q2210" s="402">
        <f t="shared" si="2208"/>
        <v>0</v>
      </c>
      <c r="R2210" s="356" t="e">
        <f t="shared" si="1325"/>
        <v>#N/A</v>
      </c>
      <c r="S2210" s="269" t="str">
        <f>IF(D2210="","",IF(OR(D2210=Plano!$A$1,D2210=Plano!$B$1),"entrada","saída"))</f>
        <v/>
      </c>
      <c r="T2210" s="269"/>
      <c r="U2210" s="269"/>
      <c r="V2210" s="269"/>
      <c r="W2210" s="269"/>
    </row>
    <row r="2211" spans="1:23" ht="12.75" customHeight="1" x14ac:dyDescent="0.2">
      <c r="A2211" s="289" t="str">
        <f t="shared" si="0"/>
        <v/>
      </c>
      <c r="B2211" s="290"/>
      <c r="C2211" s="404"/>
      <c r="D2211" s="291"/>
      <c r="E2211" s="291"/>
      <c r="F2211" s="292"/>
      <c r="G2211" s="291"/>
      <c r="H2211" s="291"/>
      <c r="I2211" s="293"/>
      <c r="J2211" s="291"/>
      <c r="K2211" s="291"/>
      <c r="L2211" s="293"/>
      <c r="M2211" s="291"/>
      <c r="N2211" s="289"/>
      <c r="O2211" s="358"/>
      <c r="P2211" s="402">
        <f t="shared" ref="P2211:Q2211" si="2209">IF(B2211=0,0,IF(YEAR(B2211)=$Q$1,MONTH(B2211)-$P$1+1,(YEAR(B2211)-$Q$1)*12-$P$1+1+MONTH(B2211)))</f>
        <v>0</v>
      </c>
      <c r="Q2211" s="402">
        <f t="shared" si="2209"/>
        <v>0</v>
      </c>
      <c r="R2211" s="356" t="e">
        <f t="shared" si="1325"/>
        <v>#N/A</v>
      </c>
      <c r="S2211" s="269" t="str">
        <f>IF(D2211="","",IF(OR(D2211=Plano!$A$1,D2211=Plano!$B$1),"entrada","saída"))</f>
        <v/>
      </c>
      <c r="T2211" s="269"/>
      <c r="U2211" s="269"/>
      <c r="V2211" s="269"/>
      <c r="W2211" s="269"/>
    </row>
    <row r="2212" spans="1:23" ht="12.75" customHeight="1" x14ac:dyDescent="0.2">
      <c r="A2212" s="289" t="str">
        <f t="shared" si="0"/>
        <v/>
      </c>
      <c r="B2212" s="290"/>
      <c r="C2212" s="404"/>
      <c r="D2212" s="291"/>
      <c r="E2212" s="291"/>
      <c r="F2212" s="292"/>
      <c r="G2212" s="291"/>
      <c r="H2212" s="291"/>
      <c r="I2212" s="293"/>
      <c r="J2212" s="291"/>
      <c r="K2212" s="291"/>
      <c r="L2212" s="293"/>
      <c r="M2212" s="291"/>
      <c r="N2212" s="289"/>
      <c r="O2212" s="358"/>
      <c r="P2212" s="402">
        <f t="shared" ref="P2212:Q2212" si="2210">IF(B2212=0,0,IF(YEAR(B2212)=$Q$1,MONTH(B2212)-$P$1+1,(YEAR(B2212)-$Q$1)*12-$P$1+1+MONTH(B2212)))</f>
        <v>0</v>
      </c>
      <c r="Q2212" s="402">
        <f t="shared" si="2210"/>
        <v>0</v>
      </c>
      <c r="R2212" s="356" t="e">
        <f t="shared" si="1325"/>
        <v>#N/A</v>
      </c>
      <c r="S2212" s="269" t="str">
        <f>IF(D2212="","",IF(OR(D2212=Plano!$A$1,D2212=Plano!$B$1),"entrada","saída"))</f>
        <v/>
      </c>
      <c r="T2212" s="269"/>
      <c r="U2212" s="269"/>
      <c r="V2212" s="269"/>
      <c r="W2212" s="269"/>
    </row>
    <row r="2213" spans="1:23" ht="12.75" customHeight="1" x14ac:dyDescent="0.2">
      <c r="A2213" s="289" t="str">
        <f t="shared" si="0"/>
        <v/>
      </c>
      <c r="B2213" s="290"/>
      <c r="C2213" s="404"/>
      <c r="D2213" s="291"/>
      <c r="E2213" s="291"/>
      <c r="F2213" s="292"/>
      <c r="G2213" s="291"/>
      <c r="H2213" s="291"/>
      <c r="I2213" s="293"/>
      <c r="J2213" s="291"/>
      <c r="K2213" s="291"/>
      <c r="L2213" s="293"/>
      <c r="M2213" s="291"/>
      <c r="N2213" s="289"/>
      <c r="O2213" s="358"/>
      <c r="P2213" s="402">
        <f t="shared" ref="P2213:Q2213" si="2211">IF(B2213=0,0,IF(YEAR(B2213)=$Q$1,MONTH(B2213)-$P$1+1,(YEAR(B2213)-$Q$1)*12-$P$1+1+MONTH(B2213)))</f>
        <v>0</v>
      </c>
      <c r="Q2213" s="402">
        <f t="shared" si="2211"/>
        <v>0</v>
      </c>
      <c r="R2213" s="356" t="e">
        <f t="shared" si="1325"/>
        <v>#N/A</v>
      </c>
      <c r="S2213" s="269" t="str">
        <f>IF(D2213="","",IF(OR(D2213=Plano!$A$1,D2213=Plano!$B$1),"entrada","saída"))</f>
        <v/>
      </c>
      <c r="T2213" s="269"/>
      <c r="U2213" s="269"/>
      <c r="V2213" s="269"/>
      <c r="W2213" s="269"/>
    </row>
    <row r="2214" spans="1:23" ht="12.75" customHeight="1" x14ac:dyDescent="0.2">
      <c r="A2214" s="289" t="str">
        <f t="shared" si="0"/>
        <v/>
      </c>
      <c r="B2214" s="290"/>
      <c r="C2214" s="404"/>
      <c r="D2214" s="291"/>
      <c r="E2214" s="291"/>
      <c r="F2214" s="292"/>
      <c r="G2214" s="291"/>
      <c r="H2214" s="291"/>
      <c r="I2214" s="293"/>
      <c r="J2214" s="291"/>
      <c r="K2214" s="291"/>
      <c r="L2214" s="293"/>
      <c r="M2214" s="291"/>
      <c r="N2214" s="289"/>
      <c r="O2214" s="358"/>
      <c r="P2214" s="402">
        <f t="shared" ref="P2214:Q2214" si="2212">IF(B2214=0,0,IF(YEAR(B2214)=$Q$1,MONTH(B2214)-$P$1+1,(YEAR(B2214)-$Q$1)*12-$P$1+1+MONTH(B2214)))</f>
        <v>0</v>
      </c>
      <c r="Q2214" s="402">
        <f t="shared" si="2212"/>
        <v>0</v>
      </c>
      <c r="R2214" s="356" t="e">
        <f t="shared" si="1325"/>
        <v>#N/A</v>
      </c>
      <c r="S2214" s="269" t="str">
        <f>IF(D2214="","",IF(OR(D2214=Plano!$A$1,D2214=Plano!$B$1),"entrada","saída"))</f>
        <v/>
      </c>
      <c r="T2214" s="269"/>
      <c r="U2214" s="269"/>
      <c r="V2214" s="269"/>
      <c r="W2214" s="269"/>
    </row>
    <row r="2215" spans="1:23" ht="12.75" customHeight="1" x14ac:dyDescent="0.2">
      <c r="A2215" s="289" t="str">
        <f t="shared" si="0"/>
        <v/>
      </c>
      <c r="B2215" s="290"/>
      <c r="C2215" s="404"/>
      <c r="D2215" s="291"/>
      <c r="E2215" s="291"/>
      <c r="F2215" s="292"/>
      <c r="G2215" s="291"/>
      <c r="H2215" s="291"/>
      <c r="I2215" s="293"/>
      <c r="J2215" s="291"/>
      <c r="K2215" s="291"/>
      <c r="L2215" s="293"/>
      <c r="M2215" s="291"/>
      <c r="N2215" s="289"/>
      <c r="O2215" s="358"/>
      <c r="P2215" s="402">
        <f t="shared" ref="P2215:Q2215" si="2213">IF(B2215=0,0,IF(YEAR(B2215)=$Q$1,MONTH(B2215)-$P$1+1,(YEAR(B2215)-$Q$1)*12-$P$1+1+MONTH(B2215)))</f>
        <v>0</v>
      </c>
      <c r="Q2215" s="402">
        <f t="shared" si="2213"/>
        <v>0</v>
      </c>
      <c r="R2215" s="356" t="e">
        <f t="shared" si="1325"/>
        <v>#N/A</v>
      </c>
      <c r="S2215" s="269" t="str">
        <f>IF(D2215="","",IF(OR(D2215=Plano!$A$1,D2215=Plano!$B$1),"entrada","saída"))</f>
        <v/>
      </c>
      <c r="T2215" s="269"/>
      <c r="U2215" s="269"/>
      <c r="V2215" s="269"/>
      <c r="W2215" s="269"/>
    </row>
    <row r="2216" spans="1:23" ht="12.75" customHeight="1" x14ac:dyDescent="0.2">
      <c r="A2216" s="289" t="str">
        <f t="shared" si="0"/>
        <v/>
      </c>
      <c r="B2216" s="290"/>
      <c r="C2216" s="404"/>
      <c r="D2216" s="291"/>
      <c r="E2216" s="291"/>
      <c r="F2216" s="292"/>
      <c r="G2216" s="291"/>
      <c r="H2216" s="291"/>
      <c r="I2216" s="293"/>
      <c r="J2216" s="291"/>
      <c r="K2216" s="291"/>
      <c r="L2216" s="293"/>
      <c r="M2216" s="291"/>
      <c r="N2216" s="289"/>
      <c r="O2216" s="358"/>
      <c r="P2216" s="402">
        <f t="shared" ref="P2216:Q2216" si="2214">IF(B2216=0,0,IF(YEAR(B2216)=$Q$1,MONTH(B2216)-$P$1+1,(YEAR(B2216)-$Q$1)*12-$P$1+1+MONTH(B2216)))</f>
        <v>0</v>
      </c>
      <c r="Q2216" s="402">
        <f t="shared" si="2214"/>
        <v>0</v>
      </c>
      <c r="R2216" s="356" t="e">
        <f t="shared" si="1325"/>
        <v>#N/A</v>
      </c>
      <c r="S2216" s="269" t="str">
        <f>IF(D2216="","",IF(OR(D2216=Plano!$A$1,D2216=Plano!$B$1),"entrada","saída"))</f>
        <v/>
      </c>
      <c r="T2216" s="269"/>
      <c r="U2216" s="269"/>
      <c r="V2216" s="269"/>
      <c r="W2216" s="269"/>
    </row>
    <row r="2217" spans="1:23" ht="12.75" customHeight="1" x14ac:dyDescent="0.2">
      <c r="A2217" s="289" t="str">
        <f t="shared" si="0"/>
        <v/>
      </c>
      <c r="B2217" s="290"/>
      <c r="C2217" s="404"/>
      <c r="D2217" s="291"/>
      <c r="E2217" s="291"/>
      <c r="F2217" s="292"/>
      <c r="G2217" s="291"/>
      <c r="H2217" s="291"/>
      <c r="I2217" s="293"/>
      <c r="J2217" s="291"/>
      <c r="K2217" s="291"/>
      <c r="L2217" s="293"/>
      <c r="M2217" s="291"/>
      <c r="N2217" s="289"/>
      <c r="O2217" s="358"/>
      <c r="P2217" s="402">
        <f t="shared" ref="P2217:Q2217" si="2215">IF(B2217=0,0,IF(YEAR(B2217)=$Q$1,MONTH(B2217)-$P$1+1,(YEAR(B2217)-$Q$1)*12-$P$1+1+MONTH(B2217)))</f>
        <v>0</v>
      </c>
      <c r="Q2217" s="402">
        <f t="shared" si="2215"/>
        <v>0</v>
      </c>
      <c r="R2217" s="356" t="e">
        <f t="shared" si="1325"/>
        <v>#N/A</v>
      </c>
      <c r="S2217" s="269" t="str">
        <f>IF(D2217="","",IF(OR(D2217=Plano!$A$1,D2217=Plano!$B$1),"entrada","saída"))</f>
        <v/>
      </c>
      <c r="T2217" s="269"/>
      <c r="U2217" s="269"/>
      <c r="V2217" s="269"/>
      <c r="W2217" s="269"/>
    </row>
    <row r="2218" spans="1:23" ht="12.75" customHeight="1" x14ac:dyDescent="0.2">
      <c r="A2218" s="289" t="str">
        <f t="shared" si="0"/>
        <v/>
      </c>
      <c r="B2218" s="290"/>
      <c r="C2218" s="404"/>
      <c r="D2218" s="291"/>
      <c r="E2218" s="291"/>
      <c r="F2218" s="292"/>
      <c r="G2218" s="291"/>
      <c r="H2218" s="291"/>
      <c r="I2218" s="293"/>
      <c r="J2218" s="291"/>
      <c r="K2218" s="291"/>
      <c r="L2218" s="293"/>
      <c r="M2218" s="291"/>
      <c r="N2218" s="289"/>
      <c r="O2218" s="358"/>
      <c r="P2218" s="402">
        <f t="shared" ref="P2218:Q2218" si="2216">IF(B2218=0,0,IF(YEAR(B2218)=$Q$1,MONTH(B2218)-$P$1+1,(YEAR(B2218)-$Q$1)*12-$P$1+1+MONTH(B2218)))</f>
        <v>0</v>
      </c>
      <c r="Q2218" s="402">
        <f t="shared" si="2216"/>
        <v>0</v>
      </c>
      <c r="R2218" s="356" t="e">
        <f t="shared" si="1325"/>
        <v>#N/A</v>
      </c>
      <c r="S2218" s="269" t="str">
        <f>IF(D2218="","",IF(OR(D2218=Plano!$A$1,D2218=Plano!$B$1),"entrada","saída"))</f>
        <v/>
      </c>
      <c r="T2218" s="269"/>
      <c r="U2218" s="269"/>
      <c r="V2218" s="269"/>
      <c r="W2218" s="269"/>
    </row>
    <row r="2219" spans="1:23" ht="12.75" customHeight="1" x14ac:dyDescent="0.2">
      <c r="A2219" s="289" t="str">
        <f t="shared" si="0"/>
        <v/>
      </c>
      <c r="B2219" s="290"/>
      <c r="C2219" s="404"/>
      <c r="D2219" s="291"/>
      <c r="E2219" s="291"/>
      <c r="F2219" s="292"/>
      <c r="G2219" s="291"/>
      <c r="H2219" s="291"/>
      <c r="I2219" s="293"/>
      <c r="J2219" s="291"/>
      <c r="K2219" s="291"/>
      <c r="L2219" s="293"/>
      <c r="M2219" s="291"/>
      <c r="N2219" s="289"/>
      <c r="O2219" s="358"/>
      <c r="P2219" s="402">
        <f t="shared" ref="P2219:Q2219" si="2217">IF(B2219=0,0,IF(YEAR(B2219)=$Q$1,MONTH(B2219)-$P$1+1,(YEAR(B2219)-$Q$1)*12-$P$1+1+MONTH(B2219)))</f>
        <v>0</v>
      </c>
      <c r="Q2219" s="402">
        <f t="shared" si="2217"/>
        <v>0</v>
      </c>
      <c r="R2219" s="356" t="e">
        <f t="shared" si="1325"/>
        <v>#N/A</v>
      </c>
      <c r="S2219" s="269" t="str">
        <f>IF(D2219="","",IF(OR(D2219=Plano!$A$1,D2219=Plano!$B$1),"entrada","saída"))</f>
        <v/>
      </c>
      <c r="T2219" s="269"/>
      <c r="U2219" s="269"/>
      <c r="V2219" s="269"/>
      <c r="W2219" s="269"/>
    </row>
    <row r="2220" spans="1:23" ht="12.75" customHeight="1" x14ac:dyDescent="0.2">
      <c r="A2220" s="289" t="str">
        <f t="shared" si="0"/>
        <v/>
      </c>
      <c r="B2220" s="290"/>
      <c r="C2220" s="404"/>
      <c r="D2220" s="291"/>
      <c r="E2220" s="291"/>
      <c r="F2220" s="292"/>
      <c r="G2220" s="291"/>
      <c r="H2220" s="291"/>
      <c r="I2220" s="293"/>
      <c r="J2220" s="291"/>
      <c r="K2220" s="291"/>
      <c r="L2220" s="293"/>
      <c r="M2220" s="291"/>
      <c r="N2220" s="289"/>
      <c r="O2220" s="358"/>
      <c r="P2220" s="402">
        <f t="shared" ref="P2220:Q2220" si="2218">IF(B2220=0,0,IF(YEAR(B2220)=$Q$1,MONTH(B2220)-$P$1+1,(YEAR(B2220)-$Q$1)*12-$P$1+1+MONTH(B2220)))</f>
        <v>0</v>
      </c>
      <c r="Q2220" s="402">
        <f t="shared" si="2218"/>
        <v>0</v>
      </c>
      <c r="R2220" s="356" t="e">
        <f t="shared" si="1325"/>
        <v>#N/A</v>
      </c>
      <c r="S2220" s="269" t="str">
        <f>IF(D2220="","",IF(OR(D2220=Plano!$A$1,D2220=Plano!$B$1),"entrada","saída"))</f>
        <v/>
      </c>
      <c r="T2220" s="269"/>
      <c r="U2220" s="269"/>
      <c r="V2220" s="269"/>
      <c r="W2220" s="269"/>
    </row>
    <row r="2221" spans="1:23" ht="12.75" customHeight="1" x14ac:dyDescent="0.2">
      <c r="A2221" s="289" t="str">
        <f t="shared" si="0"/>
        <v/>
      </c>
      <c r="B2221" s="290"/>
      <c r="C2221" s="404"/>
      <c r="D2221" s="291"/>
      <c r="E2221" s="291"/>
      <c r="F2221" s="292"/>
      <c r="G2221" s="291"/>
      <c r="H2221" s="291"/>
      <c r="I2221" s="293"/>
      <c r="J2221" s="291"/>
      <c r="K2221" s="291"/>
      <c r="L2221" s="293"/>
      <c r="M2221" s="291"/>
      <c r="N2221" s="289"/>
      <c r="O2221" s="358"/>
      <c r="P2221" s="402">
        <f t="shared" ref="P2221:Q2221" si="2219">IF(B2221=0,0,IF(YEAR(B2221)=$Q$1,MONTH(B2221)-$P$1+1,(YEAR(B2221)-$Q$1)*12-$P$1+1+MONTH(B2221)))</f>
        <v>0</v>
      </c>
      <c r="Q2221" s="402">
        <f t="shared" si="2219"/>
        <v>0</v>
      </c>
      <c r="R2221" s="356" t="e">
        <f t="shared" si="1325"/>
        <v>#N/A</v>
      </c>
      <c r="S2221" s="269" t="str">
        <f>IF(D2221="","",IF(OR(D2221=Plano!$A$1,D2221=Plano!$B$1),"entrada","saída"))</f>
        <v/>
      </c>
      <c r="T2221" s="269"/>
      <c r="U2221" s="269"/>
      <c r="V2221" s="269"/>
      <c r="W2221" s="269"/>
    </row>
    <row r="2222" spans="1:23" ht="12.75" customHeight="1" x14ac:dyDescent="0.2">
      <c r="A2222" s="289" t="str">
        <f t="shared" si="0"/>
        <v/>
      </c>
      <c r="B2222" s="290"/>
      <c r="C2222" s="404"/>
      <c r="D2222" s="291"/>
      <c r="E2222" s="291"/>
      <c r="F2222" s="292"/>
      <c r="G2222" s="291"/>
      <c r="H2222" s="291"/>
      <c r="I2222" s="293"/>
      <c r="J2222" s="291"/>
      <c r="K2222" s="291"/>
      <c r="L2222" s="293"/>
      <c r="M2222" s="291"/>
      <c r="N2222" s="289"/>
      <c r="O2222" s="358"/>
      <c r="P2222" s="402">
        <f t="shared" ref="P2222:Q2222" si="2220">IF(B2222=0,0,IF(YEAR(B2222)=$Q$1,MONTH(B2222)-$P$1+1,(YEAR(B2222)-$Q$1)*12-$P$1+1+MONTH(B2222)))</f>
        <v>0</v>
      </c>
      <c r="Q2222" s="402">
        <f t="shared" si="2220"/>
        <v>0</v>
      </c>
      <c r="R2222" s="356" t="e">
        <f t="shared" si="1325"/>
        <v>#N/A</v>
      </c>
      <c r="S2222" s="269" t="str">
        <f>IF(D2222="","",IF(OR(D2222=Plano!$A$1,D2222=Plano!$B$1),"entrada","saída"))</f>
        <v/>
      </c>
      <c r="T2222" s="269"/>
      <c r="U2222" s="269"/>
      <c r="V2222" s="269"/>
      <c r="W2222" s="269"/>
    </row>
    <row r="2223" spans="1:23" ht="12.75" customHeight="1" x14ac:dyDescent="0.2">
      <c r="A2223" s="289" t="str">
        <f t="shared" si="0"/>
        <v/>
      </c>
      <c r="B2223" s="290"/>
      <c r="C2223" s="404"/>
      <c r="D2223" s="291"/>
      <c r="E2223" s="291"/>
      <c r="F2223" s="292"/>
      <c r="G2223" s="291"/>
      <c r="H2223" s="291"/>
      <c r="I2223" s="293"/>
      <c r="J2223" s="291"/>
      <c r="K2223" s="291"/>
      <c r="L2223" s="293"/>
      <c r="M2223" s="291"/>
      <c r="N2223" s="289"/>
      <c r="O2223" s="358"/>
      <c r="P2223" s="402">
        <f t="shared" ref="P2223:Q2223" si="2221">IF(B2223=0,0,IF(YEAR(B2223)=$Q$1,MONTH(B2223)-$P$1+1,(YEAR(B2223)-$Q$1)*12-$P$1+1+MONTH(B2223)))</f>
        <v>0</v>
      </c>
      <c r="Q2223" s="402">
        <f t="shared" si="2221"/>
        <v>0</v>
      </c>
      <c r="R2223" s="356" t="e">
        <f t="shared" si="1325"/>
        <v>#N/A</v>
      </c>
      <c r="S2223" s="269" t="str">
        <f>IF(D2223="","",IF(OR(D2223=Plano!$A$1,D2223=Plano!$B$1),"entrada","saída"))</f>
        <v/>
      </c>
      <c r="T2223" s="269"/>
      <c r="U2223" s="269"/>
      <c r="V2223" s="269"/>
      <c r="W2223" s="269"/>
    </row>
    <row r="2224" spans="1:23" ht="12.75" customHeight="1" x14ac:dyDescent="0.2">
      <c r="A2224" s="289" t="str">
        <f t="shared" si="0"/>
        <v/>
      </c>
      <c r="B2224" s="290"/>
      <c r="C2224" s="404"/>
      <c r="D2224" s="291"/>
      <c r="E2224" s="291"/>
      <c r="F2224" s="292"/>
      <c r="G2224" s="291"/>
      <c r="H2224" s="291"/>
      <c r="I2224" s="293"/>
      <c r="J2224" s="291"/>
      <c r="K2224" s="291"/>
      <c r="L2224" s="293"/>
      <c r="M2224" s="291"/>
      <c r="N2224" s="289"/>
      <c r="O2224" s="358"/>
      <c r="P2224" s="402">
        <f t="shared" ref="P2224:Q2224" si="2222">IF(B2224=0,0,IF(YEAR(B2224)=$Q$1,MONTH(B2224)-$P$1+1,(YEAR(B2224)-$Q$1)*12-$P$1+1+MONTH(B2224)))</f>
        <v>0</v>
      </c>
      <c r="Q2224" s="402">
        <f t="shared" si="2222"/>
        <v>0</v>
      </c>
      <c r="R2224" s="356" t="e">
        <f t="shared" si="1325"/>
        <v>#N/A</v>
      </c>
      <c r="S2224" s="269" t="str">
        <f>IF(D2224="","",IF(OR(D2224=Plano!$A$1,D2224=Plano!$B$1),"entrada","saída"))</f>
        <v/>
      </c>
      <c r="T2224" s="269"/>
      <c r="U2224" s="269"/>
      <c r="V2224" s="269"/>
      <c r="W2224" s="269"/>
    </row>
    <row r="2225" spans="1:23" ht="12.75" customHeight="1" x14ac:dyDescent="0.2">
      <c r="A2225" s="289" t="str">
        <f t="shared" si="0"/>
        <v/>
      </c>
      <c r="B2225" s="290"/>
      <c r="C2225" s="404"/>
      <c r="D2225" s="291"/>
      <c r="E2225" s="291"/>
      <c r="F2225" s="292"/>
      <c r="G2225" s="291"/>
      <c r="H2225" s="291"/>
      <c r="I2225" s="293"/>
      <c r="J2225" s="291"/>
      <c r="K2225" s="291"/>
      <c r="L2225" s="293"/>
      <c r="M2225" s="291"/>
      <c r="N2225" s="289"/>
      <c r="O2225" s="358"/>
      <c r="P2225" s="402">
        <f t="shared" ref="P2225:Q2225" si="2223">IF(B2225=0,0,IF(YEAR(B2225)=$Q$1,MONTH(B2225)-$P$1+1,(YEAR(B2225)-$Q$1)*12-$P$1+1+MONTH(B2225)))</f>
        <v>0</v>
      </c>
      <c r="Q2225" s="402">
        <f t="shared" si="2223"/>
        <v>0</v>
      </c>
      <c r="R2225" s="356" t="e">
        <f t="shared" si="1325"/>
        <v>#N/A</v>
      </c>
      <c r="S2225" s="269" t="str">
        <f>IF(D2225="","",IF(OR(D2225=Plano!$A$1,D2225=Plano!$B$1),"entrada","saída"))</f>
        <v/>
      </c>
      <c r="T2225" s="269"/>
      <c r="U2225" s="269"/>
      <c r="V2225" s="269"/>
      <c r="W2225" s="269"/>
    </row>
    <row r="2226" spans="1:23" ht="12.75" customHeight="1" x14ac:dyDescent="0.2">
      <c r="A2226" s="289" t="str">
        <f t="shared" si="0"/>
        <v/>
      </c>
      <c r="B2226" s="290"/>
      <c r="C2226" s="404"/>
      <c r="D2226" s="291"/>
      <c r="E2226" s="291"/>
      <c r="F2226" s="292"/>
      <c r="G2226" s="291"/>
      <c r="H2226" s="291"/>
      <c r="I2226" s="293"/>
      <c r="J2226" s="291"/>
      <c r="K2226" s="291"/>
      <c r="L2226" s="293"/>
      <c r="M2226" s="291"/>
      <c r="N2226" s="289"/>
      <c r="O2226" s="358"/>
      <c r="P2226" s="402">
        <f t="shared" ref="P2226:Q2226" si="2224">IF(B2226=0,0,IF(YEAR(B2226)=$Q$1,MONTH(B2226)-$P$1+1,(YEAR(B2226)-$Q$1)*12-$P$1+1+MONTH(B2226)))</f>
        <v>0</v>
      </c>
      <c r="Q2226" s="402">
        <f t="shared" si="2224"/>
        <v>0</v>
      </c>
      <c r="R2226" s="356" t="e">
        <f t="shared" si="1325"/>
        <v>#N/A</v>
      </c>
      <c r="S2226" s="269" t="str">
        <f>IF(D2226="","",IF(OR(D2226=Plano!$A$1,D2226=Plano!$B$1),"entrada","saída"))</f>
        <v/>
      </c>
      <c r="T2226" s="269"/>
      <c r="U2226" s="269"/>
      <c r="V2226" s="269"/>
      <c r="W2226" s="269"/>
    </row>
    <row r="2227" spans="1:23" ht="12.75" customHeight="1" x14ac:dyDescent="0.2">
      <c r="A2227" s="289" t="str">
        <f t="shared" si="0"/>
        <v/>
      </c>
      <c r="B2227" s="290"/>
      <c r="C2227" s="404"/>
      <c r="D2227" s="291"/>
      <c r="E2227" s="291"/>
      <c r="F2227" s="292"/>
      <c r="G2227" s="291"/>
      <c r="H2227" s="291"/>
      <c r="I2227" s="293"/>
      <c r="J2227" s="291"/>
      <c r="K2227" s="291"/>
      <c r="L2227" s="293"/>
      <c r="M2227" s="291"/>
      <c r="N2227" s="289"/>
      <c r="O2227" s="358"/>
      <c r="P2227" s="402">
        <f t="shared" ref="P2227:Q2227" si="2225">IF(B2227=0,0,IF(YEAR(B2227)=$Q$1,MONTH(B2227)-$P$1+1,(YEAR(B2227)-$Q$1)*12-$P$1+1+MONTH(B2227)))</f>
        <v>0</v>
      </c>
      <c r="Q2227" s="402">
        <f t="shared" si="2225"/>
        <v>0</v>
      </c>
      <c r="R2227" s="356" t="e">
        <f t="shared" si="1325"/>
        <v>#N/A</v>
      </c>
      <c r="S2227" s="269" t="str">
        <f>IF(D2227="","",IF(OR(D2227=Plano!$A$1,D2227=Plano!$B$1),"entrada","saída"))</f>
        <v/>
      </c>
      <c r="T2227" s="269"/>
      <c r="U2227" s="269"/>
      <c r="V2227" s="269"/>
      <c r="W2227" s="269"/>
    </row>
    <row r="2228" spans="1:23" ht="12.75" customHeight="1" x14ac:dyDescent="0.2">
      <c r="A2228" s="289" t="str">
        <f t="shared" si="0"/>
        <v/>
      </c>
      <c r="B2228" s="290"/>
      <c r="C2228" s="404"/>
      <c r="D2228" s="291"/>
      <c r="E2228" s="291"/>
      <c r="F2228" s="292"/>
      <c r="G2228" s="291"/>
      <c r="H2228" s="291"/>
      <c r="I2228" s="293"/>
      <c r="J2228" s="291"/>
      <c r="K2228" s="291"/>
      <c r="L2228" s="293"/>
      <c r="M2228" s="291"/>
      <c r="N2228" s="289"/>
      <c r="O2228" s="358"/>
      <c r="P2228" s="402">
        <f t="shared" ref="P2228:Q2228" si="2226">IF(B2228=0,0,IF(YEAR(B2228)=$Q$1,MONTH(B2228)-$P$1+1,(YEAR(B2228)-$Q$1)*12-$P$1+1+MONTH(B2228)))</f>
        <v>0</v>
      </c>
      <c r="Q2228" s="402">
        <f t="shared" si="2226"/>
        <v>0</v>
      </c>
      <c r="R2228" s="356" t="e">
        <f t="shared" si="1325"/>
        <v>#N/A</v>
      </c>
      <c r="S2228" s="269" t="str">
        <f>IF(D2228="","",IF(OR(D2228=Plano!$A$1,D2228=Plano!$B$1),"entrada","saída"))</f>
        <v/>
      </c>
      <c r="T2228" s="269"/>
      <c r="U2228" s="269"/>
      <c r="V2228" s="269"/>
      <c r="W2228" s="269"/>
    </row>
    <row r="2229" spans="1:23" ht="12.75" customHeight="1" x14ac:dyDescent="0.2">
      <c r="A2229" s="289" t="str">
        <f t="shared" si="0"/>
        <v/>
      </c>
      <c r="B2229" s="290"/>
      <c r="C2229" s="404"/>
      <c r="D2229" s="291"/>
      <c r="E2229" s="291"/>
      <c r="F2229" s="292"/>
      <c r="G2229" s="291"/>
      <c r="H2229" s="291"/>
      <c r="I2229" s="293"/>
      <c r="J2229" s="291"/>
      <c r="K2229" s="291"/>
      <c r="L2229" s="293"/>
      <c r="M2229" s="291"/>
      <c r="N2229" s="289"/>
      <c r="O2229" s="358"/>
      <c r="P2229" s="402">
        <f t="shared" ref="P2229:Q2229" si="2227">IF(B2229=0,0,IF(YEAR(B2229)=$Q$1,MONTH(B2229)-$P$1+1,(YEAR(B2229)-$Q$1)*12-$P$1+1+MONTH(B2229)))</f>
        <v>0</v>
      </c>
      <c r="Q2229" s="402">
        <f t="shared" si="2227"/>
        <v>0</v>
      </c>
      <c r="R2229" s="356" t="e">
        <f t="shared" si="1325"/>
        <v>#N/A</v>
      </c>
      <c r="S2229" s="269" t="str">
        <f>IF(D2229="","",IF(OR(D2229=Plano!$A$1,D2229=Plano!$B$1),"entrada","saída"))</f>
        <v/>
      </c>
      <c r="T2229" s="269"/>
      <c r="U2229" s="269"/>
      <c r="V2229" s="269"/>
      <c r="W2229" s="269"/>
    </row>
    <row r="2230" spans="1:23" ht="12.75" customHeight="1" x14ac:dyDescent="0.2">
      <c r="A2230" s="289" t="str">
        <f t="shared" si="0"/>
        <v/>
      </c>
      <c r="B2230" s="290"/>
      <c r="C2230" s="404"/>
      <c r="D2230" s="291"/>
      <c r="E2230" s="291"/>
      <c r="F2230" s="292"/>
      <c r="G2230" s="291"/>
      <c r="H2230" s="291"/>
      <c r="I2230" s="293"/>
      <c r="J2230" s="291"/>
      <c r="K2230" s="291"/>
      <c r="L2230" s="293"/>
      <c r="M2230" s="291"/>
      <c r="N2230" s="289"/>
      <c r="O2230" s="358"/>
      <c r="P2230" s="402">
        <f t="shared" ref="P2230:Q2230" si="2228">IF(B2230=0,0,IF(YEAR(B2230)=$Q$1,MONTH(B2230)-$P$1+1,(YEAR(B2230)-$Q$1)*12-$P$1+1+MONTH(B2230)))</f>
        <v>0</v>
      </c>
      <c r="Q2230" s="402">
        <f t="shared" si="2228"/>
        <v>0</v>
      </c>
      <c r="R2230" s="356" t="e">
        <f t="shared" si="1325"/>
        <v>#N/A</v>
      </c>
      <c r="S2230" s="269" t="str">
        <f>IF(D2230="","",IF(OR(D2230=Plano!$A$1,D2230=Plano!$B$1),"entrada","saída"))</f>
        <v/>
      </c>
      <c r="T2230" s="269"/>
      <c r="U2230" s="269"/>
      <c r="V2230" s="269"/>
      <c r="W2230" s="269"/>
    </row>
    <row r="2231" spans="1:23" ht="12.75" customHeight="1" x14ac:dyDescent="0.2">
      <c r="A2231" s="289" t="str">
        <f t="shared" si="0"/>
        <v/>
      </c>
      <c r="B2231" s="290"/>
      <c r="C2231" s="404"/>
      <c r="D2231" s="291"/>
      <c r="E2231" s="291"/>
      <c r="F2231" s="292"/>
      <c r="G2231" s="291"/>
      <c r="H2231" s="291"/>
      <c r="I2231" s="293"/>
      <c r="J2231" s="291"/>
      <c r="K2231" s="291"/>
      <c r="L2231" s="293"/>
      <c r="M2231" s="291"/>
      <c r="N2231" s="289"/>
      <c r="O2231" s="358"/>
      <c r="P2231" s="402">
        <f t="shared" ref="P2231:Q2231" si="2229">IF(B2231=0,0,IF(YEAR(B2231)=$Q$1,MONTH(B2231)-$P$1+1,(YEAR(B2231)-$Q$1)*12-$P$1+1+MONTH(B2231)))</f>
        <v>0</v>
      </c>
      <c r="Q2231" s="402">
        <f t="shared" si="2229"/>
        <v>0</v>
      </c>
      <c r="R2231" s="356" t="e">
        <f t="shared" si="1325"/>
        <v>#N/A</v>
      </c>
      <c r="S2231" s="269" t="str">
        <f>IF(D2231="","",IF(OR(D2231=Plano!$A$1,D2231=Plano!$B$1),"entrada","saída"))</f>
        <v/>
      </c>
      <c r="T2231" s="269"/>
      <c r="U2231" s="269"/>
      <c r="V2231" s="269"/>
      <c r="W2231" s="269"/>
    </row>
    <row r="2232" spans="1:23" ht="12.75" customHeight="1" x14ac:dyDescent="0.2">
      <c r="A2232" s="289" t="str">
        <f t="shared" si="0"/>
        <v/>
      </c>
      <c r="B2232" s="290"/>
      <c r="C2232" s="404"/>
      <c r="D2232" s="291"/>
      <c r="E2232" s="291"/>
      <c r="F2232" s="292"/>
      <c r="G2232" s="291"/>
      <c r="H2232" s="291"/>
      <c r="I2232" s="293"/>
      <c r="J2232" s="291"/>
      <c r="K2232" s="291"/>
      <c r="L2232" s="293"/>
      <c r="M2232" s="291"/>
      <c r="N2232" s="289"/>
      <c r="O2232" s="358"/>
      <c r="P2232" s="402">
        <f t="shared" ref="P2232:Q2232" si="2230">IF(B2232=0,0,IF(YEAR(B2232)=$Q$1,MONTH(B2232)-$P$1+1,(YEAR(B2232)-$Q$1)*12-$P$1+1+MONTH(B2232)))</f>
        <v>0</v>
      </c>
      <c r="Q2232" s="402">
        <f t="shared" si="2230"/>
        <v>0</v>
      </c>
      <c r="R2232" s="356" t="e">
        <f t="shared" si="1325"/>
        <v>#N/A</v>
      </c>
      <c r="S2232" s="269" t="str">
        <f>IF(D2232="","",IF(OR(D2232=Plano!$A$1,D2232=Plano!$B$1),"entrada","saída"))</f>
        <v/>
      </c>
      <c r="T2232" s="269"/>
      <c r="U2232" s="269"/>
      <c r="V2232" s="269"/>
      <c r="W2232" s="269"/>
    </row>
    <row r="2233" spans="1:23" ht="12.75" customHeight="1" x14ac:dyDescent="0.2">
      <c r="A2233" s="289" t="str">
        <f t="shared" si="0"/>
        <v/>
      </c>
      <c r="B2233" s="290"/>
      <c r="C2233" s="404"/>
      <c r="D2233" s="291"/>
      <c r="E2233" s="291"/>
      <c r="F2233" s="292"/>
      <c r="G2233" s="291"/>
      <c r="H2233" s="291"/>
      <c r="I2233" s="293"/>
      <c r="J2233" s="291"/>
      <c r="K2233" s="291"/>
      <c r="L2233" s="293"/>
      <c r="M2233" s="291"/>
      <c r="N2233" s="289"/>
      <c r="O2233" s="358"/>
      <c r="P2233" s="402">
        <f t="shared" ref="P2233:Q2233" si="2231">IF(B2233=0,0,IF(YEAR(B2233)=$Q$1,MONTH(B2233)-$P$1+1,(YEAR(B2233)-$Q$1)*12-$P$1+1+MONTH(B2233)))</f>
        <v>0</v>
      </c>
      <c r="Q2233" s="402">
        <f t="shared" si="2231"/>
        <v>0</v>
      </c>
      <c r="R2233" s="356" t="e">
        <f t="shared" si="1325"/>
        <v>#N/A</v>
      </c>
      <c r="S2233" s="269" t="str">
        <f>IF(D2233="","",IF(OR(D2233=Plano!$A$1,D2233=Plano!$B$1),"entrada","saída"))</f>
        <v/>
      </c>
      <c r="T2233" s="269"/>
      <c r="U2233" s="269"/>
      <c r="V2233" s="269"/>
      <c r="W2233" s="269"/>
    </row>
    <row r="2234" spans="1:23" ht="12.75" customHeight="1" x14ac:dyDescent="0.2">
      <c r="A2234" s="289" t="str">
        <f t="shared" si="0"/>
        <v/>
      </c>
      <c r="B2234" s="290"/>
      <c r="C2234" s="404"/>
      <c r="D2234" s="291"/>
      <c r="E2234" s="291"/>
      <c r="F2234" s="292"/>
      <c r="G2234" s="291"/>
      <c r="H2234" s="291"/>
      <c r="I2234" s="293"/>
      <c r="J2234" s="291"/>
      <c r="K2234" s="291"/>
      <c r="L2234" s="293"/>
      <c r="M2234" s="291"/>
      <c r="N2234" s="289"/>
      <c r="O2234" s="358"/>
      <c r="P2234" s="402">
        <f t="shared" ref="P2234:Q2234" si="2232">IF(B2234=0,0,IF(YEAR(B2234)=$Q$1,MONTH(B2234)-$P$1+1,(YEAR(B2234)-$Q$1)*12-$P$1+1+MONTH(B2234)))</f>
        <v>0</v>
      </c>
      <c r="Q2234" s="402">
        <f t="shared" si="2232"/>
        <v>0</v>
      </c>
      <c r="R2234" s="356" t="e">
        <f t="shared" si="1325"/>
        <v>#N/A</v>
      </c>
      <c r="S2234" s="269" t="str">
        <f>IF(D2234="","",IF(OR(D2234=Plano!$A$1,D2234=Plano!$B$1),"entrada","saída"))</f>
        <v/>
      </c>
      <c r="T2234" s="269"/>
      <c r="U2234" s="269"/>
      <c r="V2234" s="269"/>
      <c r="W2234" s="269"/>
    </row>
    <row r="2235" spans="1:23" ht="12.75" customHeight="1" x14ac:dyDescent="0.2">
      <c r="A2235" s="289" t="str">
        <f t="shared" si="0"/>
        <v/>
      </c>
      <c r="B2235" s="290"/>
      <c r="C2235" s="404"/>
      <c r="D2235" s="291"/>
      <c r="E2235" s="291"/>
      <c r="F2235" s="292"/>
      <c r="G2235" s="291"/>
      <c r="H2235" s="291"/>
      <c r="I2235" s="293"/>
      <c r="J2235" s="291"/>
      <c r="K2235" s="291"/>
      <c r="L2235" s="293"/>
      <c r="M2235" s="291"/>
      <c r="N2235" s="289"/>
      <c r="O2235" s="358"/>
      <c r="P2235" s="402">
        <f t="shared" ref="P2235:Q2235" si="2233">IF(B2235=0,0,IF(YEAR(B2235)=$Q$1,MONTH(B2235)-$P$1+1,(YEAR(B2235)-$Q$1)*12-$P$1+1+MONTH(B2235)))</f>
        <v>0</v>
      </c>
      <c r="Q2235" s="402">
        <f t="shared" si="2233"/>
        <v>0</v>
      </c>
      <c r="R2235" s="356" t="e">
        <f t="shared" si="1325"/>
        <v>#N/A</v>
      </c>
      <c r="S2235" s="269" t="str">
        <f>IF(D2235="","",IF(OR(D2235=Plano!$A$1,D2235=Plano!$B$1),"entrada","saída"))</f>
        <v/>
      </c>
      <c r="T2235" s="269"/>
      <c r="U2235" s="269"/>
      <c r="V2235" s="269"/>
      <c r="W2235" s="269"/>
    </row>
    <row r="2236" spans="1:23" ht="12.75" customHeight="1" x14ac:dyDescent="0.2">
      <c r="A2236" s="289" t="str">
        <f t="shared" si="0"/>
        <v/>
      </c>
      <c r="B2236" s="290"/>
      <c r="C2236" s="404"/>
      <c r="D2236" s="291"/>
      <c r="E2236" s="291"/>
      <c r="F2236" s="292"/>
      <c r="G2236" s="291"/>
      <c r="H2236" s="291"/>
      <c r="I2236" s="293"/>
      <c r="J2236" s="291"/>
      <c r="K2236" s="291"/>
      <c r="L2236" s="293"/>
      <c r="M2236" s="291"/>
      <c r="N2236" s="289"/>
      <c r="O2236" s="358"/>
      <c r="P2236" s="402">
        <f t="shared" ref="P2236:Q2236" si="2234">IF(B2236=0,0,IF(YEAR(B2236)=$Q$1,MONTH(B2236)-$P$1+1,(YEAR(B2236)-$Q$1)*12-$P$1+1+MONTH(B2236)))</f>
        <v>0</v>
      </c>
      <c r="Q2236" s="402">
        <f t="shared" si="2234"/>
        <v>0</v>
      </c>
      <c r="R2236" s="356" t="e">
        <f t="shared" si="1325"/>
        <v>#N/A</v>
      </c>
      <c r="S2236" s="269" t="str">
        <f>IF(D2236="","",IF(OR(D2236=Plano!$A$1,D2236=Plano!$B$1),"entrada","saída"))</f>
        <v/>
      </c>
      <c r="T2236" s="269"/>
      <c r="U2236" s="269"/>
      <c r="V2236" s="269"/>
      <c r="W2236" s="269"/>
    </row>
    <row r="2237" spans="1:23" ht="12.75" customHeight="1" x14ac:dyDescent="0.2">
      <c r="A2237" s="289" t="str">
        <f t="shared" si="0"/>
        <v/>
      </c>
      <c r="B2237" s="290"/>
      <c r="C2237" s="404"/>
      <c r="D2237" s="291"/>
      <c r="E2237" s="291"/>
      <c r="F2237" s="292"/>
      <c r="G2237" s="291"/>
      <c r="H2237" s="291"/>
      <c r="I2237" s="293"/>
      <c r="J2237" s="291"/>
      <c r="K2237" s="291"/>
      <c r="L2237" s="293"/>
      <c r="M2237" s="291"/>
      <c r="N2237" s="289"/>
      <c r="O2237" s="358"/>
      <c r="P2237" s="402">
        <f t="shared" ref="P2237:Q2237" si="2235">IF(B2237=0,0,IF(YEAR(B2237)=$Q$1,MONTH(B2237)-$P$1+1,(YEAR(B2237)-$Q$1)*12-$P$1+1+MONTH(B2237)))</f>
        <v>0</v>
      </c>
      <c r="Q2237" s="402">
        <f t="shared" si="2235"/>
        <v>0</v>
      </c>
      <c r="R2237" s="356" t="e">
        <f t="shared" si="1325"/>
        <v>#N/A</v>
      </c>
      <c r="S2237" s="269" t="str">
        <f>IF(D2237="","",IF(OR(D2237=Plano!$A$1,D2237=Plano!$B$1),"entrada","saída"))</f>
        <v/>
      </c>
      <c r="T2237" s="269"/>
      <c r="U2237" s="269"/>
      <c r="V2237" s="269"/>
      <c r="W2237" s="269"/>
    </row>
    <row r="2238" spans="1:23" ht="12.75" customHeight="1" x14ac:dyDescent="0.2">
      <c r="A2238" s="289" t="str">
        <f t="shared" si="0"/>
        <v/>
      </c>
      <c r="B2238" s="290"/>
      <c r="C2238" s="404"/>
      <c r="D2238" s="291"/>
      <c r="E2238" s="291"/>
      <c r="F2238" s="292"/>
      <c r="G2238" s="291"/>
      <c r="H2238" s="291"/>
      <c r="I2238" s="293"/>
      <c r="J2238" s="291"/>
      <c r="K2238" s="291"/>
      <c r="L2238" s="293"/>
      <c r="M2238" s="291"/>
      <c r="N2238" s="289"/>
      <c r="O2238" s="358"/>
      <c r="P2238" s="402">
        <f t="shared" ref="P2238:Q2238" si="2236">IF(B2238=0,0,IF(YEAR(B2238)=$Q$1,MONTH(B2238)-$P$1+1,(YEAR(B2238)-$Q$1)*12-$P$1+1+MONTH(B2238)))</f>
        <v>0</v>
      </c>
      <c r="Q2238" s="402">
        <f t="shared" si="2236"/>
        <v>0</v>
      </c>
      <c r="R2238" s="356" t="e">
        <f t="shared" si="1325"/>
        <v>#N/A</v>
      </c>
      <c r="S2238" s="269" t="str">
        <f>IF(D2238="","",IF(OR(D2238=Plano!$A$1,D2238=Plano!$B$1),"entrada","saída"))</f>
        <v/>
      </c>
      <c r="T2238" s="269"/>
      <c r="U2238" s="269"/>
      <c r="V2238" s="269"/>
      <c r="W2238" s="269"/>
    </row>
    <row r="2239" spans="1:23" ht="12.75" customHeight="1" x14ac:dyDescent="0.2">
      <c r="A2239" s="289" t="str">
        <f t="shared" si="0"/>
        <v/>
      </c>
      <c r="B2239" s="290"/>
      <c r="C2239" s="404"/>
      <c r="D2239" s="291"/>
      <c r="E2239" s="291"/>
      <c r="F2239" s="292"/>
      <c r="G2239" s="291"/>
      <c r="H2239" s="291"/>
      <c r="I2239" s="293"/>
      <c r="J2239" s="291"/>
      <c r="K2239" s="291"/>
      <c r="L2239" s="293"/>
      <c r="M2239" s="291"/>
      <c r="N2239" s="289"/>
      <c r="O2239" s="358"/>
      <c r="P2239" s="402">
        <f t="shared" ref="P2239:Q2239" si="2237">IF(B2239=0,0,IF(YEAR(B2239)=$Q$1,MONTH(B2239)-$P$1+1,(YEAR(B2239)-$Q$1)*12-$P$1+1+MONTH(B2239)))</f>
        <v>0</v>
      </c>
      <c r="Q2239" s="402">
        <f t="shared" si="2237"/>
        <v>0</v>
      </c>
      <c r="R2239" s="356" t="e">
        <f t="shared" si="1325"/>
        <v>#N/A</v>
      </c>
      <c r="S2239" s="269" t="str">
        <f>IF(D2239="","",IF(OR(D2239=Plano!$A$1,D2239=Plano!$B$1),"entrada","saída"))</f>
        <v/>
      </c>
      <c r="T2239" s="269"/>
      <c r="U2239" s="269"/>
      <c r="V2239" s="269"/>
      <c r="W2239" s="269"/>
    </row>
    <row r="2240" spans="1:23" ht="12.75" customHeight="1" x14ac:dyDescent="0.2">
      <c r="A2240" s="289" t="str">
        <f t="shared" si="0"/>
        <v/>
      </c>
      <c r="B2240" s="290"/>
      <c r="C2240" s="404"/>
      <c r="D2240" s="291"/>
      <c r="E2240" s="291"/>
      <c r="F2240" s="292"/>
      <c r="G2240" s="291"/>
      <c r="H2240" s="291"/>
      <c r="I2240" s="293"/>
      <c r="J2240" s="291"/>
      <c r="K2240" s="291"/>
      <c r="L2240" s="293"/>
      <c r="M2240" s="291"/>
      <c r="N2240" s="289"/>
      <c r="O2240" s="358"/>
      <c r="P2240" s="402">
        <f t="shared" ref="P2240:Q2240" si="2238">IF(B2240=0,0,IF(YEAR(B2240)=$Q$1,MONTH(B2240)-$P$1+1,(YEAR(B2240)-$Q$1)*12-$P$1+1+MONTH(B2240)))</f>
        <v>0</v>
      </c>
      <c r="Q2240" s="402">
        <f t="shared" si="2238"/>
        <v>0</v>
      </c>
      <c r="R2240" s="356" t="e">
        <f t="shared" si="1325"/>
        <v>#N/A</v>
      </c>
      <c r="S2240" s="269" t="str">
        <f>IF(D2240="","",IF(OR(D2240=Plano!$A$1,D2240=Plano!$B$1),"entrada","saída"))</f>
        <v/>
      </c>
      <c r="T2240" s="269"/>
      <c r="U2240" s="269"/>
      <c r="V2240" s="269"/>
      <c r="W2240" s="269"/>
    </row>
    <row r="2241" spans="1:23" ht="12.75" customHeight="1" x14ac:dyDescent="0.2">
      <c r="A2241" s="289" t="str">
        <f t="shared" si="0"/>
        <v/>
      </c>
      <c r="B2241" s="290"/>
      <c r="C2241" s="404"/>
      <c r="D2241" s="291"/>
      <c r="E2241" s="291"/>
      <c r="F2241" s="292"/>
      <c r="G2241" s="291"/>
      <c r="H2241" s="291"/>
      <c r="I2241" s="293"/>
      <c r="J2241" s="291"/>
      <c r="K2241" s="291"/>
      <c r="L2241" s="293"/>
      <c r="M2241" s="291"/>
      <c r="N2241" s="289"/>
      <c r="O2241" s="358"/>
      <c r="P2241" s="402">
        <f t="shared" ref="P2241:Q2241" si="2239">IF(B2241=0,0,IF(YEAR(B2241)=$Q$1,MONTH(B2241)-$P$1+1,(YEAR(B2241)-$Q$1)*12-$P$1+1+MONTH(B2241)))</f>
        <v>0</v>
      </c>
      <c r="Q2241" s="402">
        <f t="shared" si="2239"/>
        <v>0</v>
      </c>
      <c r="R2241" s="356" t="e">
        <f t="shared" si="1325"/>
        <v>#N/A</v>
      </c>
      <c r="S2241" s="269" t="str">
        <f>IF(D2241="","",IF(OR(D2241=Plano!$A$1,D2241=Plano!$B$1),"entrada","saída"))</f>
        <v/>
      </c>
      <c r="T2241" s="269"/>
      <c r="U2241" s="269"/>
      <c r="V2241" s="269"/>
      <c r="W2241" s="269"/>
    </row>
    <row r="2242" spans="1:23" ht="12.75" customHeight="1" x14ac:dyDescent="0.2">
      <c r="A2242" s="289" t="str">
        <f t="shared" si="0"/>
        <v/>
      </c>
      <c r="B2242" s="290"/>
      <c r="C2242" s="404"/>
      <c r="D2242" s="291"/>
      <c r="E2242" s="291"/>
      <c r="F2242" s="292"/>
      <c r="G2242" s="291"/>
      <c r="H2242" s="291"/>
      <c r="I2242" s="293"/>
      <c r="J2242" s="291"/>
      <c r="K2242" s="291"/>
      <c r="L2242" s="293"/>
      <c r="M2242" s="291"/>
      <c r="N2242" s="289"/>
      <c r="O2242" s="358"/>
      <c r="P2242" s="402">
        <f t="shared" ref="P2242:Q2242" si="2240">IF(B2242=0,0,IF(YEAR(B2242)=$Q$1,MONTH(B2242)-$P$1+1,(YEAR(B2242)-$Q$1)*12-$P$1+1+MONTH(B2242)))</f>
        <v>0</v>
      </c>
      <c r="Q2242" s="402">
        <f t="shared" si="2240"/>
        <v>0</v>
      </c>
      <c r="R2242" s="356" t="e">
        <f t="shared" si="1325"/>
        <v>#N/A</v>
      </c>
      <c r="S2242" s="269" t="str">
        <f>IF(D2242="","",IF(OR(D2242=Plano!$A$1,D2242=Plano!$B$1),"entrada","saída"))</f>
        <v/>
      </c>
      <c r="T2242" s="269"/>
      <c r="U2242" s="269"/>
      <c r="V2242" s="269"/>
      <c r="W2242" s="269"/>
    </row>
    <row r="2243" spans="1:23" ht="12.75" customHeight="1" x14ac:dyDescent="0.2">
      <c r="A2243" s="289" t="str">
        <f t="shared" si="0"/>
        <v/>
      </c>
      <c r="B2243" s="290"/>
      <c r="C2243" s="404"/>
      <c r="D2243" s="291"/>
      <c r="E2243" s="291"/>
      <c r="F2243" s="292"/>
      <c r="G2243" s="291"/>
      <c r="H2243" s="291"/>
      <c r="I2243" s="293"/>
      <c r="J2243" s="291"/>
      <c r="K2243" s="291"/>
      <c r="L2243" s="293"/>
      <c r="M2243" s="291"/>
      <c r="N2243" s="289"/>
      <c r="O2243" s="358"/>
      <c r="P2243" s="402">
        <f t="shared" ref="P2243:Q2243" si="2241">IF(B2243=0,0,IF(YEAR(B2243)=$Q$1,MONTH(B2243)-$P$1+1,(YEAR(B2243)-$Q$1)*12-$P$1+1+MONTH(B2243)))</f>
        <v>0</v>
      </c>
      <c r="Q2243" s="402">
        <f t="shared" si="2241"/>
        <v>0</v>
      </c>
      <c r="R2243" s="356" t="e">
        <f t="shared" si="1325"/>
        <v>#N/A</v>
      </c>
      <c r="S2243" s="269" t="str">
        <f>IF(D2243="","",IF(OR(D2243=Plano!$A$1,D2243=Plano!$B$1),"entrada","saída"))</f>
        <v/>
      </c>
      <c r="T2243" s="269"/>
      <c r="U2243" s="269"/>
      <c r="V2243" s="269"/>
      <c r="W2243" s="269"/>
    </row>
    <row r="2244" spans="1:23" ht="12.75" customHeight="1" x14ac:dyDescent="0.2">
      <c r="A2244" s="289" t="str">
        <f t="shared" si="0"/>
        <v/>
      </c>
      <c r="B2244" s="290"/>
      <c r="C2244" s="404"/>
      <c r="D2244" s="291"/>
      <c r="E2244" s="291"/>
      <c r="F2244" s="292"/>
      <c r="G2244" s="291"/>
      <c r="H2244" s="291"/>
      <c r="I2244" s="293"/>
      <c r="J2244" s="291"/>
      <c r="K2244" s="291"/>
      <c r="L2244" s="293"/>
      <c r="M2244" s="291"/>
      <c r="N2244" s="289"/>
      <c r="O2244" s="358"/>
      <c r="P2244" s="402">
        <f t="shared" ref="P2244:Q2244" si="2242">IF(B2244=0,0,IF(YEAR(B2244)=$Q$1,MONTH(B2244)-$P$1+1,(YEAR(B2244)-$Q$1)*12-$P$1+1+MONTH(B2244)))</f>
        <v>0</v>
      </c>
      <c r="Q2244" s="402">
        <f t="shared" si="2242"/>
        <v>0</v>
      </c>
      <c r="R2244" s="356" t="e">
        <f t="shared" si="1325"/>
        <v>#N/A</v>
      </c>
      <c r="S2244" s="269" t="str">
        <f>IF(D2244="","",IF(OR(D2244=Plano!$A$1,D2244=Plano!$B$1),"entrada","saída"))</f>
        <v/>
      </c>
      <c r="T2244" s="269"/>
      <c r="U2244" s="269"/>
      <c r="V2244" s="269"/>
      <c r="W2244" s="269"/>
    </row>
    <row r="2245" spans="1:23" ht="12.75" customHeight="1" x14ac:dyDescent="0.2">
      <c r="A2245" s="289" t="str">
        <f t="shared" si="0"/>
        <v/>
      </c>
      <c r="B2245" s="290"/>
      <c r="C2245" s="404"/>
      <c r="D2245" s="291"/>
      <c r="E2245" s="291"/>
      <c r="F2245" s="292"/>
      <c r="G2245" s="291"/>
      <c r="H2245" s="291"/>
      <c r="I2245" s="293"/>
      <c r="J2245" s="291"/>
      <c r="K2245" s="291"/>
      <c r="L2245" s="293"/>
      <c r="M2245" s="291"/>
      <c r="N2245" s="289"/>
      <c r="O2245" s="358"/>
      <c r="P2245" s="402">
        <f t="shared" ref="P2245:Q2245" si="2243">IF(B2245=0,0,IF(YEAR(B2245)=$Q$1,MONTH(B2245)-$P$1+1,(YEAR(B2245)-$Q$1)*12-$P$1+1+MONTH(B2245)))</f>
        <v>0</v>
      </c>
      <c r="Q2245" s="402">
        <f t="shared" si="2243"/>
        <v>0</v>
      </c>
      <c r="R2245" s="356" t="e">
        <f t="shared" si="1325"/>
        <v>#N/A</v>
      </c>
      <c r="S2245" s="269" t="str">
        <f>IF(D2245="","",IF(OR(D2245=Plano!$A$1,D2245=Plano!$B$1),"entrada","saída"))</f>
        <v/>
      </c>
      <c r="T2245" s="269"/>
      <c r="U2245" s="269"/>
      <c r="V2245" s="269"/>
      <c r="W2245" s="269"/>
    </row>
    <row r="2246" spans="1:23" ht="12.75" customHeight="1" x14ac:dyDescent="0.2">
      <c r="A2246" s="289" t="str">
        <f t="shared" si="0"/>
        <v/>
      </c>
      <c r="B2246" s="290"/>
      <c r="C2246" s="404"/>
      <c r="D2246" s="291"/>
      <c r="E2246" s="291"/>
      <c r="F2246" s="292"/>
      <c r="G2246" s="291"/>
      <c r="H2246" s="291"/>
      <c r="I2246" s="293"/>
      <c r="J2246" s="291"/>
      <c r="K2246" s="291"/>
      <c r="L2246" s="293"/>
      <c r="M2246" s="291"/>
      <c r="N2246" s="289"/>
      <c r="O2246" s="358"/>
      <c r="P2246" s="402">
        <f t="shared" ref="P2246:Q2246" si="2244">IF(B2246=0,0,IF(YEAR(B2246)=$Q$1,MONTH(B2246)-$P$1+1,(YEAR(B2246)-$Q$1)*12-$P$1+1+MONTH(B2246)))</f>
        <v>0</v>
      </c>
      <c r="Q2246" s="402">
        <f t="shared" si="2244"/>
        <v>0</v>
      </c>
      <c r="R2246" s="356" t="e">
        <f t="shared" si="1325"/>
        <v>#N/A</v>
      </c>
      <c r="S2246" s="269" t="str">
        <f>IF(D2246="","",IF(OR(D2246=Plano!$A$1,D2246=Plano!$B$1),"entrada","saída"))</f>
        <v/>
      </c>
      <c r="T2246" s="269"/>
      <c r="U2246" s="269"/>
      <c r="V2246" s="269"/>
      <c r="W2246" s="269"/>
    </row>
    <row r="2247" spans="1:23" ht="12.75" customHeight="1" x14ac:dyDescent="0.2">
      <c r="A2247" s="289" t="str">
        <f t="shared" si="0"/>
        <v/>
      </c>
      <c r="B2247" s="290"/>
      <c r="C2247" s="404"/>
      <c r="D2247" s="291"/>
      <c r="E2247" s="291"/>
      <c r="F2247" s="292"/>
      <c r="G2247" s="291"/>
      <c r="H2247" s="291"/>
      <c r="I2247" s="293"/>
      <c r="J2247" s="291"/>
      <c r="K2247" s="291"/>
      <c r="L2247" s="293"/>
      <c r="M2247" s="291"/>
      <c r="N2247" s="289"/>
      <c r="O2247" s="358"/>
      <c r="P2247" s="402">
        <f t="shared" ref="P2247:Q2247" si="2245">IF(B2247=0,0,IF(YEAR(B2247)=$Q$1,MONTH(B2247)-$P$1+1,(YEAR(B2247)-$Q$1)*12-$P$1+1+MONTH(B2247)))</f>
        <v>0</v>
      </c>
      <c r="Q2247" s="402">
        <f t="shared" si="2245"/>
        <v>0</v>
      </c>
      <c r="R2247" s="356" t="e">
        <f t="shared" si="1325"/>
        <v>#N/A</v>
      </c>
      <c r="S2247" s="269" t="str">
        <f>IF(D2247="","",IF(OR(D2247=Plano!$A$1,D2247=Plano!$B$1),"entrada","saída"))</f>
        <v/>
      </c>
      <c r="T2247" s="269"/>
      <c r="U2247" s="269"/>
      <c r="V2247" s="269"/>
      <c r="W2247" s="269"/>
    </row>
    <row r="2248" spans="1:23" ht="12.75" customHeight="1" x14ac:dyDescent="0.2">
      <c r="A2248" s="289" t="str">
        <f t="shared" si="0"/>
        <v/>
      </c>
      <c r="B2248" s="290"/>
      <c r="C2248" s="404"/>
      <c r="D2248" s="291"/>
      <c r="E2248" s="291"/>
      <c r="F2248" s="292"/>
      <c r="G2248" s="291"/>
      <c r="H2248" s="291"/>
      <c r="I2248" s="293"/>
      <c r="J2248" s="291"/>
      <c r="K2248" s="291"/>
      <c r="L2248" s="293"/>
      <c r="M2248" s="291"/>
      <c r="N2248" s="289"/>
      <c r="O2248" s="358"/>
      <c r="P2248" s="402">
        <f t="shared" ref="P2248:Q2248" si="2246">IF(B2248=0,0,IF(YEAR(B2248)=$Q$1,MONTH(B2248)-$P$1+1,(YEAR(B2248)-$Q$1)*12-$P$1+1+MONTH(B2248)))</f>
        <v>0</v>
      </c>
      <c r="Q2248" s="402">
        <f t="shared" si="2246"/>
        <v>0</v>
      </c>
      <c r="R2248" s="356" t="e">
        <f t="shared" si="1325"/>
        <v>#N/A</v>
      </c>
      <c r="S2248" s="269" t="str">
        <f>IF(D2248="","",IF(OR(D2248=Plano!$A$1,D2248=Plano!$B$1),"entrada","saída"))</f>
        <v/>
      </c>
      <c r="T2248" s="269"/>
      <c r="U2248" s="269"/>
      <c r="V2248" s="269"/>
      <c r="W2248" s="269"/>
    </row>
    <row r="2249" spans="1:23" ht="12.75" customHeight="1" x14ac:dyDescent="0.2">
      <c r="A2249" s="289" t="str">
        <f t="shared" si="0"/>
        <v/>
      </c>
      <c r="B2249" s="290"/>
      <c r="C2249" s="404"/>
      <c r="D2249" s="291"/>
      <c r="E2249" s="291"/>
      <c r="F2249" s="292"/>
      <c r="G2249" s="291"/>
      <c r="H2249" s="291"/>
      <c r="I2249" s="293"/>
      <c r="J2249" s="291"/>
      <c r="K2249" s="291"/>
      <c r="L2249" s="293"/>
      <c r="M2249" s="291"/>
      <c r="N2249" s="289"/>
      <c r="O2249" s="358"/>
      <c r="P2249" s="402">
        <f t="shared" ref="P2249:Q2249" si="2247">IF(B2249=0,0,IF(YEAR(B2249)=$Q$1,MONTH(B2249)-$P$1+1,(YEAR(B2249)-$Q$1)*12-$P$1+1+MONTH(B2249)))</f>
        <v>0</v>
      </c>
      <c r="Q2249" s="402">
        <f t="shared" si="2247"/>
        <v>0</v>
      </c>
      <c r="R2249" s="356" t="e">
        <f t="shared" si="1325"/>
        <v>#N/A</v>
      </c>
      <c r="S2249" s="269" t="str">
        <f>IF(D2249="","",IF(OR(D2249=Plano!$A$1,D2249=Plano!$B$1),"entrada","saída"))</f>
        <v/>
      </c>
      <c r="T2249" s="269"/>
      <c r="U2249" s="269"/>
      <c r="V2249" s="269"/>
      <c r="W2249" s="269"/>
    </row>
    <row r="2250" spans="1:23" ht="12.75" customHeight="1" x14ac:dyDescent="0.2">
      <c r="A2250" s="289" t="str">
        <f t="shared" si="0"/>
        <v/>
      </c>
      <c r="B2250" s="290"/>
      <c r="C2250" s="404"/>
      <c r="D2250" s="291"/>
      <c r="E2250" s="291"/>
      <c r="F2250" s="292"/>
      <c r="G2250" s="291"/>
      <c r="H2250" s="291"/>
      <c r="I2250" s="293"/>
      <c r="J2250" s="291"/>
      <c r="K2250" s="291"/>
      <c r="L2250" s="293"/>
      <c r="M2250" s="291"/>
      <c r="N2250" s="289"/>
      <c r="O2250" s="358"/>
      <c r="P2250" s="402">
        <f t="shared" ref="P2250:Q2250" si="2248">IF(B2250=0,0,IF(YEAR(B2250)=$Q$1,MONTH(B2250)-$P$1+1,(YEAR(B2250)-$Q$1)*12-$P$1+1+MONTH(B2250)))</f>
        <v>0</v>
      </c>
      <c r="Q2250" s="402">
        <f t="shared" si="2248"/>
        <v>0</v>
      </c>
      <c r="R2250" s="356" t="e">
        <f t="shared" si="1325"/>
        <v>#N/A</v>
      </c>
      <c r="S2250" s="269" t="str">
        <f>IF(D2250="","",IF(OR(D2250=Plano!$A$1,D2250=Plano!$B$1),"entrada","saída"))</f>
        <v/>
      </c>
      <c r="T2250" s="269"/>
      <c r="U2250" s="269"/>
      <c r="V2250" s="269"/>
      <c r="W2250" s="269"/>
    </row>
    <row r="2251" spans="1:23" ht="12.75" customHeight="1" x14ac:dyDescent="0.2">
      <c r="A2251" s="289" t="str">
        <f t="shared" si="0"/>
        <v/>
      </c>
      <c r="B2251" s="290"/>
      <c r="C2251" s="404"/>
      <c r="D2251" s="291"/>
      <c r="E2251" s="291"/>
      <c r="F2251" s="292"/>
      <c r="G2251" s="291"/>
      <c r="H2251" s="291"/>
      <c r="I2251" s="293"/>
      <c r="J2251" s="291"/>
      <c r="K2251" s="291"/>
      <c r="L2251" s="293"/>
      <c r="M2251" s="291"/>
      <c r="N2251" s="289"/>
      <c r="O2251" s="358"/>
      <c r="P2251" s="402">
        <f t="shared" ref="P2251:Q2251" si="2249">IF(B2251=0,0,IF(YEAR(B2251)=$Q$1,MONTH(B2251)-$P$1+1,(YEAR(B2251)-$Q$1)*12-$P$1+1+MONTH(B2251)))</f>
        <v>0</v>
      </c>
      <c r="Q2251" s="402">
        <f t="shared" si="2249"/>
        <v>0</v>
      </c>
      <c r="R2251" s="356" t="e">
        <f t="shared" si="1325"/>
        <v>#N/A</v>
      </c>
      <c r="S2251" s="269" t="str">
        <f>IF(D2251="","",IF(OR(D2251=Plano!$A$1,D2251=Plano!$B$1),"entrada","saída"))</f>
        <v/>
      </c>
      <c r="T2251" s="269"/>
      <c r="U2251" s="269"/>
      <c r="V2251" s="269"/>
      <c r="W2251" s="269"/>
    </row>
    <row r="2252" spans="1:23" ht="12.75" customHeight="1" x14ac:dyDescent="0.2">
      <c r="A2252" s="289" t="str">
        <f t="shared" si="0"/>
        <v/>
      </c>
      <c r="B2252" s="290"/>
      <c r="C2252" s="404"/>
      <c r="D2252" s="291"/>
      <c r="E2252" s="291"/>
      <c r="F2252" s="292"/>
      <c r="G2252" s="291"/>
      <c r="H2252" s="291"/>
      <c r="I2252" s="293"/>
      <c r="J2252" s="291"/>
      <c r="K2252" s="291"/>
      <c r="L2252" s="293"/>
      <c r="M2252" s="291"/>
      <c r="N2252" s="289"/>
      <c r="O2252" s="358"/>
      <c r="P2252" s="402">
        <f t="shared" ref="P2252:Q2252" si="2250">IF(B2252=0,0,IF(YEAR(B2252)=$Q$1,MONTH(B2252)-$P$1+1,(YEAR(B2252)-$Q$1)*12-$P$1+1+MONTH(B2252)))</f>
        <v>0</v>
      </c>
      <c r="Q2252" s="402">
        <f t="shared" si="2250"/>
        <v>0</v>
      </c>
      <c r="R2252" s="356" t="e">
        <f t="shared" si="1325"/>
        <v>#N/A</v>
      </c>
      <c r="S2252" s="269" t="str">
        <f>IF(D2252="","",IF(OR(D2252=Plano!$A$1,D2252=Plano!$B$1),"entrada","saída"))</f>
        <v/>
      </c>
      <c r="T2252" s="269"/>
      <c r="U2252" s="269"/>
      <c r="V2252" s="269"/>
      <c r="W2252" s="269"/>
    </row>
    <row r="2253" spans="1:23" ht="12.75" customHeight="1" x14ac:dyDescent="0.2">
      <c r="A2253" s="289" t="str">
        <f t="shared" si="0"/>
        <v/>
      </c>
      <c r="B2253" s="290"/>
      <c r="C2253" s="404"/>
      <c r="D2253" s="291"/>
      <c r="E2253" s="291"/>
      <c r="F2253" s="292"/>
      <c r="G2253" s="291"/>
      <c r="H2253" s="291"/>
      <c r="I2253" s="293"/>
      <c r="J2253" s="291"/>
      <c r="K2253" s="291"/>
      <c r="L2253" s="293"/>
      <c r="M2253" s="291"/>
      <c r="N2253" s="289"/>
      <c r="O2253" s="358"/>
      <c r="P2253" s="402">
        <f t="shared" ref="P2253:Q2253" si="2251">IF(B2253=0,0,IF(YEAR(B2253)=$Q$1,MONTH(B2253)-$P$1+1,(YEAR(B2253)-$Q$1)*12-$P$1+1+MONTH(B2253)))</f>
        <v>0</v>
      </c>
      <c r="Q2253" s="402">
        <f t="shared" si="2251"/>
        <v>0</v>
      </c>
      <c r="R2253" s="356" t="e">
        <f t="shared" si="1325"/>
        <v>#N/A</v>
      </c>
      <c r="S2253" s="269" t="str">
        <f>IF(D2253="","",IF(OR(D2253=Plano!$A$1,D2253=Plano!$B$1),"entrada","saída"))</f>
        <v/>
      </c>
      <c r="T2253" s="269"/>
      <c r="U2253" s="269"/>
      <c r="V2253" s="269"/>
      <c r="W2253" s="269"/>
    </row>
    <row r="2254" spans="1:23" ht="12.75" customHeight="1" x14ac:dyDescent="0.2">
      <c r="A2254" s="289" t="str">
        <f t="shared" si="0"/>
        <v/>
      </c>
      <c r="B2254" s="290"/>
      <c r="C2254" s="404"/>
      <c r="D2254" s="291"/>
      <c r="E2254" s="291"/>
      <c r="F2254" s="292"/>
      <c r="G2254" s="291"/>
      <c r="H2254" s="291"/>
      <c r="I2254" s="293"/>
      <c r="J2254" s="291"/>
      <c r="K2254" s="291"/>
      <c r="L2254" s="293"/>
      <c r="M2254" s="291"/>
      <c r="N2254" s="289"/>
      <c r="O2254" s="358"/>
      <c r="P2254" s="402">
        <f t="shared" ref="P2254:Q2254" si="2252">IF(B2254=0,0,IF(YEAR(B2254)=$Q$1,MONTH(B2254)-$P$1+1,(YEAR(B2254)-$Q$1)*12-$P$1+1+MONTH(B2254)))</f>
        <v>0</v>
      </c>
      <c r="Q2254" s="402">
        <f t="shared" si="2252"/>
        <v>0</v>
      </c>
      <c r="R2254" s="356" t="e">
        <f t="shared" si="1325"/>
        <v>#N/A</v>
      </c>
      <c r="S2254" s="269" t="str">
        <f>IF(D2254="","",IF(OR(D2254=Plano!$A$1,D2254=Plano!$B$1),"entrada","saída"))</f>
        <v/>
      </c>
      <c r="T2254" s="269"/>
      <c r="U2254" s="269"/>
      <c r="V2254" s="269"/>
      <c r="W2254" s="269"/>
    </row>
    <row r="2255" spans="1:23" ht="12.75" customHeight="1" x14ac:dyDescent="0.2">
      <c r="A2255" s="289" t="str">
        <f t="shared" si="0"/>
        <v/>
      </c>
      <c r="B2255" s="290"/>
      <c r="C2255" s="404"/>
      <c r="D2255" s="291"/>
      <c r="E2255" s="291"/>
      <c r="F2255" s="292"/>
      <c r="G2255" s="291"/>
      <c r="H2255" s="291"/>
      <c r="I2255" s="293"/>
      <c r="J2255" s="291"/>
      <c r="K2255" s="291"/>
      <c r="L2255" s="293"/>
      <c r="M2255" s="291"/>
      <c r="N2255" s="289"/>
      <c r="O2255" s="358"/>
      <c r="P2255" s="402">
        <f t="shared" ref="P2255:Q2255" si="2253">IF(B2255=0,0,IF(YEAR(B2255)=$Q$1,MONTH(B2255)-$P$1+1,(YEAR(B2255)-$Q$1)*12-$P$1+1+MONTH(B2255)))</f>
        <v>0</v>
      </c>
      <c r="Q2255" s="402">
        <f t="shared" si="2253"/>
        <v>0</v>
      </c>
      <c r="R2255" s="356" t="e">
        <f t="shared" si="1325"/>
        <v>#N/A</v>
      </c>
      <c r="S2255" s="269" t="str">
        <f>IF(D2255="","",IF(OR(D2255=Plano!$A$1,D2255=Plano!$B$1),"entrada","saída"))</f>
        <v/>
      </c>
      <c r="T2255" s="269"/>
      <c r="U2255" s="269"/>
      <c r="V2255" s="269"/>
      <c r="W2255" s="269"/>
    </row>
    <row r="2256" spans="1:23" ht="12.75" customHeight="1" x14ac:dyDescent="0.2">
      <c r="A2256" s="289" t="str">
        <f t="shared" si="0"/>
        <v/>
      </c>
      <c r="B2256" s="290"/>
      <c r="C2256" s="404"/>
      <c r="D2256" s="291"/>
      <c r="E2256" s="291"/>
      <c r="F2256" s="292"/>
      <c r="G2256" s="291"/>
      <c r="H2256" s="291"/>
      <c r="I2256" s="293"/>
      <c r="J2256" s="291"/>
      <c r="K2256" s="291"/>
      <c r="L2256" s="293"/>
      <c r="M2256" s="291"/>
      <c r="N2256" s="289"/>
      <c r="O2256" s="358"/>
      <c r="P2256" s="402">
        <f t="shared" ref="P2256:Q2256" si="2254">IF(B2256=0,0,IF(YEAR(B2256)=$Q$1,MONTH(B2256)-$P$1+1,(YEAR(B2256)-$Q$1)*12-$P$1+1+MONTH(B2256)))</f>
        <v>0</v>
      </c>
      <c r="Q2256" s="402">
        <f t="shared" si="2254"/>
        <v>0</v>
      </c>
      <c r="R2256" s="356" t="e">
        <f t="shared" si="1325"/>
        <v>#N/A</v>
      </c>
      <c r="S2256" s="269" t="str">
        <f>IF(D2256="","",IF(OR(D2256=Plano!$A$1,D2256=Plano!$B$1),"entrada","saída"))</f>
        <v/>
      </c>
      <c r="T2256" s="269"/>
      <c r="U2256" s="269"/>
      <c r="V2256" s="269"/>
      <c r="W2256" s="269"/>
    </row>
    <row r="2257" spans="1:23" ht="12.75" customHeight="1" x14ac:dyDescent="0.2">
      <c r="A2257" s="289" t="str">
        <f t="shared" si="0"/>
        <v/>
      </c>
      <c r="B2257" s="290"/>
      <c r="C2257" s="404"/>
      <c r="D2257" s="291"/>
      <c r="E2257" s="291"/>
      <c r="F2257" s="292"/>
      <c r="G2257" s="291"/>
      <c r="H2257" s="291"/>
      <c r="I2257" s="293"/>
      <c r="J2257" s="291"/>
      <c r="K2257" s="291"/>
      <c r="L2257" s="293"/>
      <c r="M2257" s="291"/>
      <c r="N2257" s="289"/>
      <c r="O2257" s="358"/>
      <c r="P2257" s="402">
        <f t="shared" ref="P2257:Q2257" si="2255">IF(B2257=0,0,IF(YEAR(B2257)=$Q$1,MONTH(B2257)-$P$1+1,(YEAR(B2257)-$Q$1)*12-$P$1+1+MONTH(B2257)))</f>
        <v>0</v>
      </c>
      <c r="Q2257" s="402">
        <f t="shared" si="2255"/>
        <v>0</v>
      </c>
      <c r="R2257" s="356" t="e">
        <f t="shared" si="1325"/>
        <v>#N/A</v>
      </c>
      <c r="S2257" s="269" t="str">
        <f>IF(D2257="","",IF(OR(D2257=Plano!$A$1,D2257=Plano!$B$1),"entrada","saída"))</f>
        <v/>
      </c>
      <c r="T2257" s="269"/>
      <c r="U2257" s="269"/>
      <c r="V2257" s="269"/>
      <c r="W2257" s="269"/>
    </row>
    <row r="2258" spans="1:23" ht="12.75" customHeight="1" x14ac:dyDescent="0.2">
      <c r="A2258" s="289" t="str">
        <f t="shared" si="0"/>
        <v/>
      </c>
      <c r="B2258" s="290"/>
      <c r="C2258" s="404"/>
      <c r="D2258" s="291"/>
      <c r="E2258" s="291"/>
      <c r="F2258" s="292"/>
      <c r="G2258" s="291"/>
      <c r="H2258" s="291"/>
      <c r="I2258" s="293"/>
      <c r="J2258" s="291"/>
      <c r="K2258" s="291"/>
      <c r="L2258" s="293"/>
      <c r="M2258" s="291"/>
      <c r="N2258" s="289"/>
      <c r="O2258" s="358"/>
      <c r="P2258" s="402">
        <f t="shared" ref="P2258:Q2258" si="2256">IF(B2258=0,0,IF(YEAR(B2258)=$Q$1,MONTH(B2258)-$P$1+1,(YEAR(B2258)-$Q$1)*12-$P$1+1+MONTH(B2258)))</f>
        <v>0</v>
      </c>
      <c r="Q2258" s="402">
        <f t="shared" si="2256"/>
        <v>0</v>
      </c>
      <c r="R2258" s="356" t="e">
        <f t="shared" si="1325"/>
        <v>#N/A</v>
      </c>
      <c r="S2258" s="269" t="str">
        <f>IF(D2258="","",IF(OR(D2258=Plano!$A$1,D2258=Plano!$B$1),"entrada","saída"))</f>
        <v/>
      </c>
      <c r="T2258" s="269"/>
      <c r="U2258" s="269"/>
      <c r="V2258" s="269"/>
      <c r="W2258" s="269"/>
    </row>
    <row r="2259" spans="1:23" ht="12.75" customHeight="1" x14ac:dyDescent="0.2">
      <c r="A2259" s="289" t="str">
        <f t="shared" si="0"/>
        <v/>
      </c>
      <c r="B2259" s="290"/>
      <c r="C2259" s="404"/>
      <c r="D2259" s="291"/>
      <c r="E2259" s="291"/>
      <c r="F2259" s="292"/>
      <c r="G2259" s="291"/>
      <c r="H2259" s="291"/>
      <c r="I2259" s="293"/>
      <c r="J2259" s="291"/>
      <c r="K2259" s="291"/>
      <c r="L2259" s="293"/>
      <c r="M2259" s="291"/>
      <c r="N2259" s="289"/>
      <c r="O2259" s="358"/>
      <c r="P2259" s="402">
        <f t="shared" ref="P2259:Q2259" si="2257">IF(B2259=0,0,IF(YEAR(B2259)=$Q$1,MONTH(B2259)-$P$1+1,(YEAR(B2259)-$Q$1)*12-$P$1+1+MONTH(B2259)))</f>
        <v>0</v>
      </c>
      <c r="Q2259" s="402">
        <f t="shared" si="2257"/>
        <v>0</v>
      </c>
      <c r="R2259" s="356" t="e">
        <f t="shared" si="1325"/>
        <v>#N/A</v>
      </c>
      <c r="S2259" s="269" t="str">
        <f>IF(D2259="","",IF(OR(D2259=Plano!$A$1,D2259=Plano!$B$1),"entrada","saída"))</f>
        <v/>
      </c>
      <c r="T2259" s="269"/>
      <c r="U2259" s="269"/>
      <c r="V2259" s="269"/>
      <c r="W2259" s="269"/>
    </row>
    <row r="2260" spans="1:23" ht="12.75" customHeight="1" x14ac:dyDescent="0.2">
      <c r="A2260" s="289" t="str">
        <f t="shared" si="0"/>
        <v/>
      </c>
      <c r="B2260" s="290"/>
      <c r="C2260" s="404"/>
      <c r="D2260" s="291"/>
      <c r="E2260" s="291"/>
      <c r="F2260" s="292"/>
      <c r="G2260" s="291"/>
      <c r="H2260" s="291"/>
      <c r="I2260" s="293"/>
      <c r="J2260" s="291"/>
      <c r="K2260" s="291"/>
      <c r="L2260" s="293"/>
      <c r="M2260" s="291"/>
      <c r="N2260" s="289"/>
      <c r="O2260" s="358"/>
      <c r="P2260" s="402">
        <f t="shared" ref="P2260:Q2260" si="2258">IF(B2260=0,0,IF(YEAR(B2260)=$Q$1,MONTH(B2260)-$P$1+1,(YEAR(B2260)-$Q$1)*12-$P$1+1+MONTH(B2260)))</f>
        <v>0</v>
      </c>
      <c r="Q2260" s="402">
        <f t="shared" si="2258"/>
        <v>0</v>
      </c>
      <c r="R2260" s="356" t="e">
        <f t="shared" si="1325"/>
        <v>#N/A</v>
      </c>
      <c r="S2260" s="269" t="str">
        <f>IF(D2260="","",IF(OR(D2260=Plano!$A$1,D2260=Plano!$B$1),"entrada","saída"))</f>
        <v/>
      </c>
      <c r="T2260" s="269"/>
      <c r="U2260" s="269"/>
      <c r="V2260" s="269"/>
      <c r="W2260" s="269"/>
    </row>
    <row r="2261" spans="1:23" ht="12.75" customHeight="1" x14ac:dyDescent="0.2">
      <c r="A2261" s="289" t="str">
        <f t="shared" si="0"/>
        <v/>
      </c>
      <c r="B2261" s="290"/>
      <c r="C2261" s="404"/>
      <c r="D2261" s="291"/>
      <c r="E2261" s="291"/>
      <c r="F2261" s="292"/>
      <c r="G2261" s="291"/>
      <c r="H2261" s="291"/>
      <c r="I2261" s="293"/>
      <c r="J2261" s="291"/>
      <c r="K2261" s="291"/>
      <c r="L2261" s="293"/>
      <c r="M2261" s="291"/>
      <c r="N2261" s="289"/>
      <c r="O2261" s="358"/>
      <c r="P2261" s="402">
        <f t="shared" ref="P2261:Q2261" si="2259">IF(B2261=0,0,IF(YEAR(B2261)=$Q$1,MONTH(B2261)-$P$1+1,(YEAR(B2261)-$Q$1)*12-$P$1+1+MONTH(B2261)))</f>
        <v>0</v>
      </c>
      <c r="Q2261" s="402">
        <f t="shared" si="2259"/>
        <v>0</v>
      </c>
      <c r="R2261" s="356" t="e">
        <f t="shared" si="1325"/>
        <v>#N/A</v>
      </c>
      <c r="S2261" s="269" t="str">
        <f>IF(D2261="","",IF(OR(D2261=Plano!$A$1,D2261=Plano!$B$1),"entrada","saída"))</f>
        <v/>
      </c>
      <c r="T2261" s="269"/>
      <c r="U2261" s="269"/>
      <c r="V2261" s="269"/>
      <c r="W2261" s="269"/>
    </row>
    <row r="2262" spans="1:23" ht="12.75" customHeight="1" x14ac:dyDescent="0.2">
      <c r="A2262" s="289" t="str">
        <f t="shared" si="0"/>
        <v/>
      </c>
      <c r="B2262" s="290"/>
      <c r="C2262" s="404"/>
      <c r="D2262" s="291"/>
      <c r="E2262" s="291"/>
      <c r="F2262" s="292"/>
      <c r="G2262" s="291"/>
      <c r="H2262" s="291"/>
      <c r="I2262" s="293"/>
      <c r="J2262" s="291"/>
      <c r="K2262" s="291"/>
      <c r="L2262" s="293"/>
      <c r="M2262" s="291"/>
      <c r="N2262" s="289"/>
      <c r="O2262" s="358"/>
      <c r="P2262" s="402">
        <f t="shared" ref="P2262:Q2262" si="2260">IF(B2262=0,0,IF(YEAR(B2262)=$Q$1,MONTH(B2262)-$P$1+1,(YEAR(B2262)-$Q$1)*12-$P$1+1+MONTH(B2262)))</f>
        <v>0</v>
      </c>
      <c r="Q2262" s="402">
        <f t="shared" si="2260"/>
        <v>0</v>
      </c>
      <c r="R2262" s="356" t="e">
        <f t="shared" si="1325"/>
        <v>#N/A</v>
      </c>
      <c r="S2262" s="269" t="str">
        <f>IF(D2262="","",IF(OR(D2262=Plano!$A$1,D2262=Plano!$B$1),"entrada","saída"))</f>
        <v/>
      </c>
      <c r="T2262" s="269"/>
      <c r="U2262" s="269"/>
      <c r="V2262" s="269"/>
      <c r="W2262" s="269"/>
    </row>
    <row r="2263" spans="1:23" ht="12.75" customHeight="1" x14ac:dyDescent="0.2">
      <c r="A2263" s="289" t="str">
        <f t="shared" si="0"/>
        <v/>
      </c>
      <c r="B2263" s="290"/>
      <c r="C2263" s="404"/>
      <c r="D2263" s="291"/>
      <c r="E2263" s="291"/>
      <c r="F2263" s="292"/>
      <c r="G2263" s="291"/>
      <c r="H2263" s="291"/>
      <c r="I2263" s="293"/>
      <c r="J2263" s="291"/>
      <c r="K2263" s="291"/>
      <c r="L2263" s="293"/>
      <c r="M2263" s="291"/>
      <c r="N2263" s="289"/>
      <c r="O2263" s="358"/>
      <c r="P2263" s="402">
        <f t="shared" ref="P2263:Q2263" si="2261">IF(B2263=0,0,IF(YEAR(B2263)=$Q$1,MONTH(B2263)-$P$1+1,(YEAR(B2263)-$Q$1)*12-$P$1+1+MONTH(B2263)))</f>
        <v>0</v>
      </c>
      <c r="Q2263" s="402">
        <f t="shared" si="2261"/>
        <v>0</v>
      </c>
      <c r="R2263" s="356" t="e">
        <f t="shared" si="1325"/>
        <v>#N/A</v>
      </c>
      <c r="S2263" s="269" t="str">
        <f>IF(D2263="","",IF(OR(D2263=Plano!$A$1,D2263=Plano!$B$1),"entrada","saída"))</f>
        <v/>
      </c>
      <c r="T2263" s="269"/>
      <c r="U2263" s="269"/>
      <c r="V2263" s="269"/>
      <c r="W2263" s="269"/>
    </row>
    <row r="2264" spans="1:23" ht="12.75" customHeight="1" x14ac:dyDescent="0.2">
      <c r="A2264" s="289" t="str">
        <f t="shared" si="0"/>
        <v/>
      </c>
      <c r="B2264" s="290"/>
      <c r="C2264" s="404"/>
      <c r="D2264" s="291"/>
      <c r="E2264" s="291"/>
      <c r="F2264" s="292"/>
      <c r="G2264" s="291"/>
      <c r="H2264" s="291"/>
      <c r="I2264" s="293"/>
      <c r="J2264" s="291"/>
      <c r="K2264" s="291"/>
      <c r="L2264" s="293"/>
      <c r="M2264" s="291"/>
      <c r="N2264" s="289"/>
      <c r="O2264" s="358"/>
      <c r="P2264" s="402">
        <f t="shared" ref="P2264:Q2264" si="2262">IF(B2264=0,0,IF(YEAR(B2264)=$Q$1,MONTH(B2264)-$P$1+1,(YEAR(B2264)-$Q$1)*12-$P$1+1+MONTH(B2264)))</f>
        <v>0</v>
      </c>
      <c r="Q2264" s="402">
        <f t="shared" si="2262"/>
        <v>0</v>
      </c>
      <c r="R2264" s="356" t="e">
        <f t="shared" si="1325"/>
        <v>#N/A</v>
      </c>
      <c r="S2264" s="269" t="str">
        <f>IF(D2264="","",IF(OR(D2264=Plano!$A$1,D2264=Plano!$B$1),"entrada","saída"))</f>
        <v/>
      </c>
      <c r="T2264" s="269"/>
      <c r="U2264" s="269"/>
      <c r="V2264" s="269"/>
      <c r="W2264" s="269"/>
    </row>
    <row r="2265" spans="1:23" ht="12.75" customHeight="1" x14ac:dyDescent="0.2">
      <c r="A2265" s="289" t="str">
        <f t="shared" si="0"/>
        <v/>
      </c>
      <c r="B2265" s="290"/>
      <c r="C2265" s="404"/>
      <c r="D2265" s="291"/>
      <c r="E2265" s="291"/>
      <c r="F2265" s="292"/>
      <c r="G2265" s="291"/>
      <c r="H2265" s="291"/>
      <c r="I2265" s="293"/>
      <c r="J2265" s="291"/>
      <c r="K2265" s="291"/>
      <c r="L2265" s="293"/>
      <c r="M2265" s="291"/>
      <c r="N2265" s="289"/>
      <c r="O2265" s="358"/>
      <c r="P2265" s="402">
        <f t="shared" ref="P2265:Q2265" si="2263">IF(B2265=0,0,IF(YEAR(B2265)=$Q$1,MONTH(B2265)-$P$1+1,(YEAR(B2265)-$Q$1)*12-$P$1+1+MONTH(B2265)))</f>
        <v>0</v>
      </c>
      <c r="Q2265" s="402">
        <f t="shared" si="2263"/>
        <v>0</v>
      </c>
      <c r="R2265" s="356" t="e">
        <f t="shared" si="1325"/>
        <v>#N/A</v>
      </c>
      <c r="S2265" s="269" t="str">
        <f>IF(D2265="","",IF(OR(D2265=Plano!$A$1,D2265=Plano!$B$1),"entrada","saída"))</f>
        <v/>
      </c>
      <c r="T2265" s="269"/>
      <c r="U2265" s="269"/>
      <c r="V2265" s="269"/>
      <c r="W2265" s="269"/>
    </row>
    <row r="2266" spans="1:23" ht="12.75" customHeight="1" x14ac:dyDescent="0.2">
      <c r="A2266" s="289" t="str">
        <f t="shared" si="0"/>
        <v/>
      </c>
      <c r="B2266" s="290"/>
      <c r="C2266" s="404"/>
      <c r="D2266" s="291"/>
      <c r="E2266" s="291"/>
      <c r="F2266" s="292"/>
      <c r="G2266" s="291"/>
      <c r="H2266" s="291"/>
      <c r="I2266" s="293"/>
      <c r="J2266" s="291"/>
      <c r="K2266" s="291"/>
      <c r="L2266" s="293"/>
      <c r="M2266" s="291"/>
      <c r="N2266" s="289"/>
      <c r="O2266" s="358"/>
      <c r="P2266" s="402">
        <f t="shared" ref="P2266:Q2266" si="2264">IF(B2266=0,0,IF(YEAR(B2266)=$Q$1,MONTH(B2266)-$P$1+1,(YEAR(B2266)-$Q$1)*12-$P$1+1+MONTH(B2266)))</f>
        <v>0</v>
      </c>
      <c r="Q2266" s="402">
        <f t="shared" si="2264"/>
        <v>0</v>
      </c>
      <c r="R2266" s="356" t="e">
        <f t="shared" si="1325"/>
        <v>#N/A</v>
      </c>
      <c r="S2266" s="269" t="str">
        <f>IF(D2266="","",IF(OR(D2266=Plano!$A$1,D2266=Plano!$B$1),"entrada","saída"))</f>
        <v/>
      </c>
      <c r="T2266" s="269"/>
      <c r="U2266" s="269"/>
      <c r="V2266" s="269"/>
      <c r="W2266" s="269"/>
    </row>
    <row r="2267" spans="1:23" ht="12.75" customHeight="1" x14ac:dyDescent="0.2">
      <c r="A2267" s="289" t="str">
        <f t="shared" si="0"/>
        <v/>
      </c>
      <c r="B2267" s="290"/>
      <c r="C2267" s="404"/>
      <c r="D2267" s="291"/>
      <c r="E2267" s="291"/>
      <c r="F2267" s="292"/>
      <c r="G2267" s="291"/>
      <c r="H2267" s="291"/>
      <c r="I2267" s="293"/>
      <c r="J2267" s="291"/>
      <c r="K2267" s="291"/>
      <c r="L2267" s="293"/>
      <c r="M2267" s="291"/>
      <c r="N2267" s="289"/>
      <c r="O2267" s="358"/>
      <c r="P2267" s="402">
        <f t="shared" ref="P2267:Q2267" si="2265">IF(B2267=0,0,IF(YEAR(B2267)=$Q$1,MONTH(B2267)-$P$1+1,(YEAR(B2267)-$Q$1)*12-$P$1+1+MONTH(B2267)))</f>
        <v>0</v>
      </c>
      <c r="Q2267" s="402">
        <f t="shared" si="2265"/>
        <v>0</v>
      </c>
      <c r="R2267" s="356" t="e">
        <f t="shared" si="1325"/>
        <v>#N/A</v>
      </c>
      <c r="S2267" s="269" t="str">
        <f>IF(D2267="","",IF(OR(D2267=Plano!$A$1,D2267=Plano!$B$1),"entrada","saída"))</f>
        <v/>
      </c>
      <c r="T2267" s="269"/>
      <c r="U2267" s="269"/>
      <c r="V2267" s="269"/>
      <c r="W2267" s="269"/>
    </row>
    <row r="2268" spans="1:23" ht="12.75" customHeight="1" x14ac:dyDescent="0.2">
      <c r="A2268" s="289" t="str">
        <f t="shared" si="0"/>
        <v/>
      </c>
      <c r="B2268" s="290"/>
      <c r="C2268" s="404"/>
      <c r="D2268" s="291"/>
      <c r="E2268" s="291"/>
      <c r="F2268" s="292"/>
      <c r="G2268" s="291"/>
      <c r="H2268" s="291"/>
      <c r="I2268" s="293"/>
      <c r="J2268" s="291"/>
      <c r="K2268" s="291"/>
      <c r="L2268" s="293"/>
      <c r="M2268" s="291"/>
      <c r="N2268" s="289"/>
      <c r="O2268" s="358"/>
      <c r="P2268" s="402">
        <f t="shared" ref="P2268:Q2268" si="2266">IF(B2268=0,0,IF(YEAR(B2268)=$Q$1,MONTH(B2268)-$P$1+1,(YEAR(B2268)-$Q$1)*12-$P$1+1+MONTH(B2268)))</f>
        <v>0</v>
      </c>
      <c r="Q2268" s="402">
        <f t="shared" si="2266"/>
        <v>0</v>
      </c>
      <c r="R2268" s="356" t="e">
        <f t="shared" si="1325"/>
        <v>#N/A</v>
      </c>
      <c r="S2268" s="269" t="str">
        <f>IF(D2268="","",IF(OR(D2268=Plano!$A$1,D2268=Plano!$B$1),"entrada","saída"))</f>
        <v/>
      </c>
      <c r="T2268" s="269"/>
      <c r="U2268" s="269"/>
      <c r="V2268" s="269"/>
      <c r="W2268" s="269"/>
    </row>
    <row r="2269" spans="1:23" ht="12.75" customHeight="1" x14ac:dyDescent="0.2">
      <c r="A2269" s="289" t="str">
        <f t="shared" si="0"/>
        <v/>
      </c>
      <c r="B2269" s="290"/>
      <c r="C2269" s="404"/>
      <c r="D2269" s="291"/>
      <c r="E2269" s="291"/>
      <c r="F2269" s="292"/>
      <c r="G2269" s="291"/>
      <c r="H2269" s="291"/>
      <c r="I2269" s="293"/>
      <c r="J2269" s="291"/>
      <c r="K2269" s="291"/>
      <c r="L2269" s="293"/>
      <c r="M2269" s="291"/>
      <c r="N2269" s="289"/>
      <c r="O2269" s="358"/>
      <c r="P2269" s="402">
        <f t="shared" ref="P2269:Q2269" si="2267">IF(B2269=0,0,IF(YEAR(B2269)=$Q$1,MONTH(B2269)-$P$1+1,(YEAR(B2269)-$Q$1)*12-$P$1+1+MONTH(B2269)))</f>
        <v>0</v>
      </c>
      <c r="Q2269" s="402">
        <f t="shared" si="2267"/>
        <v>0</v>
      </c>
      <c r="R2269" s="356" t="e">
        <f t="shared" si="1325"/>
        <v>#N/A</v>
      </c>
      <c r="S2269" s="269" t="str">
        <f>IF(D2269="","",IF(OR(D2269=Plano!$A$1,D2269=Plano!$B$1),"entrada","saída"))</f>
        <v/>
      </c>
      <c r="T2269" s="269"/>
      <c r="U2269" s="269"/>
      <c r="V2269" s="269"/>
      <c r="W2269" s="269"/>
    </row>
    <row r="2270" spans="1:23" ht="12.75" customHeight="1" x14ac:dyDescent="0.2">
      <c r="A2270" s="289" t="str">
        <f t="shared" si="0"/>
        <v/>
      </c>
      <c r="B2270" s="290"/>
      <c r="C2270" s="404"/>
      <c r="D2270" s="291"/>
      <c r="E2270" s="291"/>
      <c r="F2270" s="292"/>
      <c r="G2270" s="291"/>
      <c r="H2270" s="291"/>
      <c r="I2270" s="293"/>
      <c r="J2270" s="291"/>
      <c r="K2270" s="291"/>
      <c r="L2270" s="293"/>
      <c r="M2270" s="291"/>
      <c r="N2270" s="289"/>
      <c r="O2270" s="358"/>
      <c r="P2270" s="402">
        <f t="shared" ref="P2270:Q2270" si="2268">IF(B2270=0,0,IF(YEAR(B2270)=$Q$1,MONTH(B2270)-$P$1+1,(YEAR(B2270)-$Q$1)*12-$P$1+1+MONTH(B2270)))</f>
        <v>0</v>
      </c>
      <c r="Q2270" s="402">
        <f t="shared" si="2268"/>
        <v>0</v>
      </c>
      <c r="R2270" s="356" t="e">
        <f t="shared" si="1325"/>
        <v>#N/A</v>
      </c>
      <c r="S2270" s="269" t="str">
        <f>IF(D2270="","",IF(OR(D2270=Plano!$A$1,D2270=Plano!$B$1),"entrada","saída"))</f>
        <v/>
      </c>
      <c r="T2270" s="269"/>
      <c r="U2270" s="269"/>
      <c r="V2270" s="269"/>
      <c r="W2270" s="269"/>
    </row>
    <row r="2271" spans="1:23" ht="12.75" customHeight="1" x14ac:dyDescent="0.2">
      <c r="A2271" s="289" t="str">
        <f t="shared" si="0"/>
        <v/>
      </c>
      <c r="B2271" s="290"/>
      <c r="C2271" s="404"/>
      <c r="D2271" s="291"/>
      <c r="E2271" s="291"/>
      <c r="F2271" s="292"/>
      <c r="G2271" s="291"/>
      <c r="H2271" s="291"/>
      <c r="I2271" s="293"/>
      <c r="J2271" s="291"/>
      <c r="K2271" s="291"/>
      <c r="L2271" s="293"/>
      <c r="M2271" s="291"/>
      <c r="N2271" s="289"/>
      <c r="O2271" s="358"/>
      <c r="P2271" s="402">
        <f t="shared" ref="P2271:Q2271" si="2269">IF(B2271=0,0,IF(YEAR(B2271)=$Q$1,MONTH(B2271)-$P$1+1,(YEAR(B2271)-$Q$1)*12-$P$1+1+MONTH(B2271)))</f>
        <v>0</v>
      </c>
      <c r="Q2271" s="402">
        <f t="shared" si="2269"/>
        <v>0</v>
      </c>
      <c r="R2271" s="356" t="e">
        <f t="shared" si="1325"/>
        <v>#N/A</v>
      </c>
      <c r="S2271" s="269" t="str">
        <f>IF(D2271="","",IF(OR(D2271=Plano!$A$1,D2271=Plano!$B$1),"entrada","saída"))</f>
        <v/>
      </c>
      <c r="T2271" s="269"/>
      <c r="U2271" s="269"/>
      <c r="V2271" s="269"/>
      <c r="W2271" s="269"/>
    </row>
    <row r="2272" spans="1:23" ht="12.75" customHeight="1" x14ac:dyDescent="0.2">
      <c r="A2272" s="289" t="str">
        <f t="shared" si="0"/>
        <v/>
      </c>
      <c r="B2272" s="290"/>
      <c r="C2272" s="404"/>
      <c r="D2272" s="291"/>
      <c r="E2272" s="291"/>
      <c r="F2272" s="292"/>
      <c r="G2272" s="291"/>
      <c r="H2272" s="291"/>
      <c r="I2272" s="293"/>
      <c r="J2272" s="291"/>
      <c r="K2272" s="291"/>
      <c r="L2272" s="293"/>
      <c r="M2272" s="291"/>
      <c r="N2272" s="289"/>
      <c r="O2272" s="358"/>
      <c r="P2272" s="402">
        <f t="shared" ref="P2272:Q2272" si="2270">IF(B2272=0,0,IF(YEAR(B2272)=$Q$1,MONTH(B2272)-$P$1+1,(YEAR(B2272)-$Q$1)*12-$P$1+1+MONTH(B2272)))</f>
        <v>0</v>
      </c>
      <c r="Q2272" s="402">
        <f t="shared" si="2270"/>
        <v>0</v>
      </c>
      <c r="R2272" s="356" t="e">
        <f t="shared" si="1325"/>
        <v>#N/A</v>
      </c>
      <c r="S2272" s="269" t="str">
        <f>IF(D2272="","",IF(OR(D2272=Plano!$A$1,D2272=Plano!$B$1),"entrada","saída"))</f>
        <v/>
      </c>
      <c r="T2272" s="269"/>
      <c r="U2272" s="269"/>
      <c r="V2272" s="269"/>
      <c r="W2272" s="269"/>
    </row>
    <row r="2273" spans="1:23" ht="12.75" customHeight="1" x14ac:dyDescent="0.2">
      <c r="A2273" s="289" t="str">
        <f t="shared" si="0"/>
        <v/>
      </c>
      <c r="B2273" s="290"/>
      <c r="C2273" s="404"/>
      <c r="D2273" s="291"/>
      <c r="E2273" s="291"/>
      <c r="F2273" s="292"/>
      <c r="G2273" s="291"/>
      <c r="H2273" s="291"/>
      <c r="I2273" s="293"/>
      <c r="J2273" s="291"/>
      <c r="K2273" s="291"/>
      <c r="L2273" s="293"/>
      <c r="M2273" s="291"/>
      <c r="N2273" s="289"/>
      <c r="O2273" s="358"/>
      <c r="P2273" s="402">
        <f t="shared" ref="P2273:Q2273" si="2271">IF(B2273=0,0,IF(YEAR(B2273)=$Q$1,MONTH(B2273)-$P$1+1,(YEAR(B2273)-$Q$1)*12-$P$1+1+MONTH(B2273)))</f>
        <v>0</v>
      </c>
      <c r="Q2273" s="402">
        <f t="shared" si="2271"/>
        <v>0</v>
      </c>
      <c r="R2273" s="356" t="e">
        <f t="shared" si="1325"/>
        <v>#N/A</v>
      </c>
      <c r="S2273" s="269" t="str">
        <f>IF(D2273="","",IF(OR(D2273=Plano!$A$1,D2273=Plano!$B$1),"entrada","saída"))</f>
        <v/>
      </c>
      <c r="T2273" s="269"/>
      <c r="U2273" s="269"/>
      <c r="V2273" s="269"/>
      <c r="W2273" s="269"/>
    </row>
    <row r="2274" spans="1:23" ht="12.75" customHeight="1" x14ac:dyDescent="0.2">
      <c r="A2274" s="289" t="str">
        <f t="shared" si="0"/>
        <v/>
      </c>
      <c r="B2274" s="290"/>
      <c r="C2274" s="404"/>
      <c r="D2274" s="291"/>
      <c r="E2274" s="291"/>
      <c r="F2274" s="292"/>
      <c r="G2274" s="291"/>
      <c r="H2274" s="291"/>
      <c r="I2274" s="293"/>
      <c r="J2274" s="291"/>
      <c r="K2274" s="291"/>
      <c r="L2274" s="293"/>
      <c r="M2274" s="291"/>
      <c r="N2274" s="289"/>
      <c r="O2274" s="358"/>
      <c r="P2274" s="402">
        <f t="shared" ref="P2274:Q2274" si="2272">IF(B2274=0,0,IF(YEAR(B2274)=$Q$1,MONTH(B2274)-$P$1+1,(YEAR(B2274)-$Q$1)*12-$P$1+1+MONTH(B2274)))</f>
        <v>0</v>
      </c>
      <c r="Q2274" s="402">
        <f t="shared" si="2272"/>
        <v>0</v>
      </c>
      <c r="R2274" s="356" t="e">
        <f t="shared" si="1325"/>
        <v>#N/A</v>
      </c>
      <c r="S2274" s="269" t="str">
        <f>IF(D2274="","",IF(OR(D2274=Plano!$A$1,D2274=Plano!$B$1),"entrada","saída"))</f>
        <v/>
      </c>
      <c r="T2274" s="269"/>
      <c r="U2274" s="269"/>
      <c r="V2274" s="269"/>
      <c r="W2274" s="269"/>
    </row>
    <row r="2275" spans="1:23" ht="12.75" customHeight="1" x14ac:dyDescent="0.2">
      <c r="A2275" s="289" t="str">
        <f t="shared" si="0"/>
        <v/>
      </c>
      <c r="B2275" s="290"/>
      <c r="C2275" s="404"/>
      <c r="D2275" s="291"/>
      <c r="E2275" s="291"/>
      <c r="F2275" s="292"/>
      <c r="G2275" s="291"/>
      <c r="H2275" s="291"/>
      <c r="I2275" s="293"/>
      <c r="J2275" s="291"/>
      <c r="K2275" s="291"/>
      <c r="L2275" s="293"/>
      <c r="M2275" s="291"/>
      <c r="N2275" s="289"/>
      <c r="O2275" s="358"/>
      <c r="P2275" s="402">
        <f t="shared" ref="P2275:Q2275" si="2273">IF(B2275=0,0,IF(YEAR(B2275)=$Q$1,MONTH(B2275)-$P$1+1,(YEAR(B2275)-$Q$1)*12-$P$1+1+MONTH(B2275)))</f>
        <v>0</v>
      </c>
      <c r="Q2275" s="402">
        <f t="shared" si="2273"/>
        <v>0</v>
      </c>
      <c r="R2275" s="356" t="e">
        <f t="shared" si="1325"/>
        <v>#N/A</v>
      </c>
      <c r="S2275" s="269" t="str">
        <f>IF(D2275="","",IF(OR(D2275=Plano!$A$1,D2275=Plano!$B$1),"entrada","saída"))</f>
        <v/>
      </c>
      <c r="T2275" s="269"/>
      <c r="U2275" s="269"/>
      <c r="V2275" s="269"/>
      <c r="W2275" s="269"/>
    </row>
    <row r="2276" spans="1:23" ht="12.75" customHeight="1" x14ac:dyDescent="0.2">
      <c r="A2276" s="289" t="str">
        <f t="shared" si="0"/>
        <v/>
      </c>
      <c r="B2276" s="290"/>
      <c r="C2276" s="404"/>
      <c r="D2276" s="291"/>
      <c r="E2276" s="291"/>
      <c r="F2276" s="292"/>
      <c r="G2276" s="291"/>
      <c r="H2276" s="291"/>
      <c r="I2276" s="293"/>
      <c r="J2276" s="291"/>
      <c r="K2276" s="291"/>
      <c r="L2276" s="293"/>
      <c r="M2276" s="291"/>
      <c r="N2276" s="289"/>
      <c r="O2276" s="358"/>
      <c r="P2276" s="402">
        <f t="shared" ref="P2276:Q2276" si="2274">IF(B2276=0,0,IF(YEAR(B2276)=$Q$1,MONTH(B2276)-$P$1+1,(YEAR(B2276)-$Q$1)*12-$P$1+1+MONTH(B2276)))</f>
        <v>0</v>
      </c>
      <c r="Q2276" s="402">
        <f t="shared" si="2274"/>
        <v>0</v>
      </c>
      <c r="R2276" s="356" t="e">
        <f t="shared" si="1325"/>
        <v>#N/A</v>
      </c>
      <c r="S2276" s="269" t="str">
        <f>IF(D2276="","",IF(OR(D2276=Plano!$A$1,D2276=Plano!$B$1),"entrada","saída"))</f>
        <v/>
      </c>
      <c r="T2276" s="269"/>
      <c r="U2276" s="269"/>
      <c r="V2276" s="269"/>
      <c r="W2276" s="269"/>
    </row>
    <row r="2277" spans="1:23" ht="12.75" customHeight="1" x14ac:dyDescent="0.2">
      <c r="A2277" s="289" t="str">
        <f t="shared" si="0"/>
        <v/>
      </c>
      <c r="B2277" s="290"/>
      <c r="C2277" s="404"/>
      <c r="D2277" s="291"/>
      <c r="E2277" s="291"/>
      <c r="F2277" s="292"/>
      <c r="G2277" s="291"/>
      <c r="H2277" s="291"/>
      <c r="I2277" s="293"/>
      <c r="J2277" s="291"/>
      <c r="K2277" s="291"/>
      <c r="L2277" s="293"/>
      <c r="M2277" s="291"/>
      <c r="N2277" s="289"/>
      <c r="O2277" s="358"/>
      <c r="P2277" s="402">
        <f t="shared" ref="P2277:Q2277" si="2275">IF(B2277=0,0,IF(YEAR(B2277)=$Q$1,MONTH(B2277)-$P$1+1,(YEAR(B2277)-$Q$1)*12-$P$1+1+MONTH(B2277)))</f>
        <v>0</v>
      </c>
      <c r="Q2277" s="402">
        <f t="shared" si="2275"/>
        <v>0</v>
      </c>
      <c r="R2277" s="356" t="e">
        <f t="shared" si="1325"/>
        <v>#N/A</v>
      </c>
      <c r="S2277" s="269" t="str">
        <f>IF(D2277="","",IF(OR(D2277=Plano!$A$1,D2277=Plano!$B$1),"entrada","saída"))</f>
        <v/>
      </c>
      <c r="T2277" s="269"/>
      <c r="U2277" s="269"/>
      <c r="V2277" s="269"/>
      <c r="W2277" s="269"/>
    </row>
    <row r="2278" spans="1:23" ht="12.75" customHeight="1" x14ac:dyDescent="0.2">
      <c r="A2278" s="289" t="str">
        <f t="shared" si="0"/>
        <v/>
      </c>
      <c r="B2278" s="290"/>
      <c r="C2278" s="404"/>
      <c r="D2278" s="291"/>
      <c r="E2278" s="291"/>
      <c r="F2278" s="292"/>
      <c r="G2278" s="291"/>
      <c r="H2278" s="291"/>
      <c r="I2278" s="293"/>
      <c r="J2278" s="291"/>
      <c r="K2278" s="291"/>
      <c r="L2278" s="293"/>
      <c r="M2278" s="291"/>
      <c r="N2278" s="289"/>
      <c r="O2278" s="358"/>
      <c r="P2278" s="402">
        <f t="shared" ref="P2278:Q2278" si="2276">IF(B2278=0,0,IF(YEAR(B2278)=$Q$1,MONTH(B2278)-$P$1+1,(YEAR(B2278)-$Q$1)*12-$P$1+1+MONTH(B2278)))</f>
        <v>0</v>
      </c>
      <c r="Q2278" s="402">
        <f t="shared" si="2276"/>
        <v>0</v>
      </c>
      <c r="R2278" s="356" t="e">
        <f t="shared" si="1325"/>
        <v>#N/A</v>
      </c>
      <c r="S2278" s="269" t="str">
        <f>IF(D2278="","",IF(OR(D2278=Plano!$A$1,D2278=Plano!$B$1),"entrada","saída"))</f>
        <v/>
      </c>
      <c r="T2278" s="269"/>
      <c r="U2278" s="269"/>
      <c r="V2278" s="269"/>
      <c r="W2278" s="269"/>
    </row>
    <row r="2279" spans="1:23" ht="12.75" customHeight="1" x14ac:dyDescent="0.2">
      <c r="A2279" s="289" t="str">
        <f t="shared" si="0"/>
        <v/>
      </c>
      <c r="B2279" s="290"/>
      <c r="C2279" s="404"/>
      <c r="D2279" s="291"/>
      <c r="E2279" s="291"/>
      <c r="F2279" s="292"/>
      <c r="G2279" s="291"/>
      <c r="H2279" s="291"/>
      <c r="I2279" s="293"/>
      <c r="J2279" s="291"/>
      <c r="K2279" s="291"/>
      <c r="L2279" s="293"/>
      <c r="M2279" s="291"/>
      <c r="N2279" s="289"/>
      <c r="O2279" s="358"/>
      <c r="P2279" s="402">
        <f t="shared" ref="P2279:Q2279" si="2277">IF(B2279=0,0,IF(YEAR(B2279)=$Q$1,MONTH(B2279)-$P$1+1,(YEAR(B2279)-$Q$1)*12-$P$1+1+MONTH(B2279)))</f>
        <v>0</v>
      </c>
      <c r="Q2279" s="402">
        <f t="shared" si="2277"/>
        <v>0</v>
      </c>
      <c r="R2279" s="356" t="e">
        <f t="shared" si="1325"/>
        <v>#N/A</v>
      </c>
      <c r="S2279" s="269" t="str">
        <f>IF(D2279="","",IF(OR(D2279=Plano!$A$1,D2279=Plano!$B$1),"entrada","saída"))</f>
        <v/>
      </c>
      <c r="T2279" s="269"/>
      <c r="U2279" s="269"/>
      <c r="V2279" s="269"/>
      <c r="W2279" s="269"/>
    </row>
    <row r="2280" spans="1:23" ht="12.75" customHeight="1" x14ac:dyDescent="0.2">
      <c r="A2280" s="289" t="str">
        <f t="shared" si="0"/>
        <v/>
      </c>
      <c r="B2280" s="290"/>
      <c r="C2280" s="404"/>
      <c r="D2280" s="291"/>
      <c r="E2280" s="291"/>
      <c r="F2280" s="292"/>
      <c r="G2280" s="291"/>
      <c r="H2280" s="291"/>
      <c r="I2280" s="293"/>
      <c r="J2280" s="291"/>
      <c r="K2280" s="291"/>
      <c r="L2280" s="293"/>
      <c r="M2280" s="291"/>
      <c r="N2280" s="289"/>
      <c r="O2280" s="358"/>
      <c r="P2280" s="402">
        <f t="shared" ref="P2280:Q2280" si="2278">IF(B2280=0,0,IF(YEAR(B2280)=$Q$1,MONTH(B2280)-$P$1+1,(YEAR(B2280)-$Q$1)*12-$P$1+1+MONTH(B2280)))</f>
        <v>0</v>
      </c>
      <c r="Q2280" s="402">
        <f t="shared" si="2278"/>
        <v>0</v>
      </c>
      <c r="R2280" s="356" t="e">
        <f t="shared" si="1325"/>
        <v>#N/A</v>
      </c>
      <c r="S2280" s="269" t="str">
        <f>IF(D2280="","",IF(OR(D2280=Plano!$A$1,D2280=Plano!$B$1),"entrada","saída"))</f>
        <v/>
      </c>
      <c r="T2280" s="269"/>
      <c r="U2280" s="269"/>
      <c r="V2280" s="269"/>
      <c r="W2280" s="269"/>
    </row>
    <row r="2281" spans="1:23" ht="12.75" customHeight="1" x14ac:dyDescent="0.2">
      <c r="A2281" s="289" t="str">
        <f t="shared" si="0"/>
        <v/>
      </c>
      <c r="B2281" s="290"/>
      <c r="C2281" s="404"/>
      <c r="D2281" s="291"/>
      <c r="E2281" s="291"/>
      <c r="F2281" s="292"/>
      <c r="G2281" s="291"/>
      <c r="H2281" s="291"/>
      <c r="I2281" s="293"/>
      <c r="J2281" s="291"/>
      <c r="K2281" s="291"/>
      <c r="L2281" s="293"/>
      <c r="M2281" s="291"/>
      <c r="N2281" s="289"/>
      <c r="O2281" s="358"/>
      <c r="P2281" s="402">
        <f t="shared" ref="P2281:Q2281" si="2279">IF(B2281=0,0,IF(YEAR(B2281)=$Q$1,MONTH(B2281)-$P$1+1,(YEAR(B2281)-$Q$1)*12-$P$1+1+MONTH(B2281)))</f>
        <v>0</v>
      </c>
      <c r="Q2281" s="402">
        <f t="shared" si="2279"/>
        <v>0</v>
      </c>
      <c r="R2281" s="356" t="e">
        <f t="shared" si="1325"/>
        <v>#N/A</v>
      </c>
      <c r="S2281" s="269" t="str">
        <f>IF(D2281="","",IF(OR(D2281=Plano!$A$1,D2281=Plano!$B$1),"entrada","saída"))</f>
        <v/>
      </c>
      <c r="T2281" s="269"/>
      <c r="U2281" s="269"/>
      <c r="V2281" s="269"/>
      <c r="W2281" s="269"/>
    </row>
    <row r="2282" spans="1:23" ht="12.75" customHeight="1" x14ac:dyDescent="0.2">
      <c r="A2282" s="289" t="str">
        <f t="shared" si="0"/>
        <v/>
      </c>
      <c r="B2282" s="290"/>
      <c r="C2282" s="404"/>
      <c r="D2282" s="291"/>
      <c r="E2282" s="291"/>
      <c r="F2282" s="292"/>
      <c r="G2282" s="291"/>
      <c r="H2282" s="291"/>
      <c r="I2282" s="293"/>
      <c r="J2282" s="291"/>
      <c r="K2282" s="291"/>
      <c r="L2282" s="293"/>
      <c r="M2282" s="291"/>
      <c r="N2282" s="289"/>
      <c r="O2282" s="358"/>
      <c r="P2282" s="402">
        <f t="shared" ref="P2282:Q2282" si="2280">IF(B2282=0,0,IF(YEAR(B2282)=$Q$1,MONTH(B2282)-$P$1+1,(YEAR(B2282)-$Q$1)*12-$P$1+1+MONTH(B2282)))</f>
        <v>0</v>
      </c>
      <c r="Q2282" s="402">
        <f t="shared" si="2280"/>
        <v>0</v>
      </c>
      <c r="R2282" s="356" t="e">
        <f t="shared" si="1325"/>
        <v>#N/A</v>
      </c>
      <c r="S2282" s="269" t="str">
        <f>IF(D2282="","",IF(OR(D2282=Plano!$A$1,D2282=Plano!$B$1),"entrada","saída"))</f>
        <v/>
      </c>
      <c r="T2282" s="269"/>
      <c r="U2282" s="269"/>
      <c r="V2282" s="269"/>
      <c r="W2282" s="269"/>
    </row>
    <row r="2283" spans="1:23" ht="12.75" customHeight="1" x14ac:dyDescent="0.2">
      <c r="A2283" s="289" t="str">
        <f t="shared" si="0"/>
        <v/>
      </c>
      <c r="B2283" s="290"/>
      <c r="C2283" s="404"/>
      <c r="D2283" s="291"/>
      <c r="E2283" s="291"/>
      <c r="F2283" s="292"/>
      <c r="G2283" s="291"/>
      <c r="H2283" s="291"/>
      <c r="I2283" s="293"/>
      <c r="J2283" s="291"/>
      <c r="K2283" s="291"/>
      <c r="L2283" s="293"/>
      <c r="M2283" s="291"/>
      <c r="N2283" s="289"/>
      <c r="O2283" s="358"/>
      <c r="P2283" s="402">
        <f t="shared" ref="P2283:Q2283" si="2281">IF(B2283=0,0,IF(YEAR(B2283)=$Q$1,MONTH(B2283)-$P$1+1,(YEAR(B2283)-$Q$1)*12-$P$1+1+MONTH(B2283)))</f>
        <v>0</v>
      </c>
      <c r="Q2283" s="402">
        <f t="shared" si="2281"/>
        <v>0</v>
      </c>
      <c r="R2283" s="356" t="e">
        <f t="shared" si="1325"/>
        <v>#N/A</v>
      </c>
      <c r="S2283" s="269" t="str">
        <f>IF(D2283="","",IF(OR(D2283=Plano!$A$1,D2283=Plano!$B$1),"entrada","saída"))</f>
        <v/>
      </c>
      <c r="T2283" s="269"/>
      <c r="U2283" s="269"/>
      <c r="V2283" s="269"/>
      <c r="W2283" s="269"/>
    </row>
    <row r="2284" spans="1:23" ht="12.75" customHeight="1" x14ac:dyDescent="0.2">
      <c r="A2284" s="289" t="str">
        <f t="shared" si="0"/>
        <v/>
      </c>
      <c r="B2284" s="290"/>
      <c r="C2284" s="404"/>
      <c r="D2284" s="291"/>
      <c r="E2284" s="291"/>
      <c r="F2284" s="292"/>
      <c r="G2284" s="291"/>
      <c r="H2284" s="291"/>
      <c r="I2284" s="293"/>
      <c r="J2284" s="291"/>
      <c r="K2284" s="291"/>
      <c r="L2284" s="293"/>
      <c r="M2284" s="291"/>
      <c r="N2284" s="289"/>
      <c r="O2284" s="358"/>
      <c r="P2284" s="402">
        <f t="shared" ref="P2284:Q2284" si="2282">IF(B2284=0,0,IF(YEAR(B2284)=$Q$1,MONTH(B2284)-$P$1+1,(YEAR(B2284)-$Q$1)*12-$P$1+1+MONTH(B2284)))</f>
        <v>0</v>
      </c>
      <c r="Q2284" s="402">
        <f t="shared" si="2282"/>
        <v>0</v>
      </c>
      <c r="R2284" s="356" t="e">
        <f t="shared" si="1325"/>
        <v>#N/A</v>
      </c>
      <c r="S2284" s="269" t="str">
        <f>IF(D2284="","",IF(OR(D2284=Plano!$A$1,D2284=Plano!$B$1),"entrada","saída"))</f>
        <v/>
      </c>
      <c r="T2284" s="269"/>
      <c r="U2284" s="269"/>
      <c r="V2284" s="269"/>
      <c r="W2284" s="269"/>
    </row>
    <row r="2285" spans="1:23" ht="12.75" customHeight="1" x14ac:dyDescent="0.2">
      <c r="A2285" s="289" t="str">
        <f t="shared" si="0"/>
        <v/>
      </c>
      <c r="B2285" s="290"/>
      <c r="C2285" s="404"/>
      <c r="D2285" s="291"/>
      <c r="E2285" s="291"/>
      <c r="F2285" s="292"/>
      <c r="G2285" s="291"/>
      <c r="H2285" s="291"/>
      <c r="I2285" s="293"/>
      <c r="J2285" s="291"/>
      <c r="K2285" s="291"/>
      <c r="L2285" s="293"/>
      <c r="M2285" s="291"/>
      <c r="N2285" s="289"/>
      <c r="O2285" s="358"/>
      <c r="P2285" s="402">
        <f t="shared" ref="P2285:Q2285" si="2283">IF(B2285=0,0,IF(YEAR(B2285)=$Q$1,MONTH(B2285)-$P$1+1,(YEAR(B2285)-$Q$1)*12-$P$1+1+MONTH(B2285)))</f>
        <v>0</v>
      </c>
      <c r="Q2285" s="402">
        <f t="shared" si="2283"/>
        <v>0</v>
      </c>
      <c r="R2285" s="356" t="e">
        <f t="shared" si="1325"/>
        <v>#N/A</v>
      </c>
      <c r="S2285" s="269" t="str">
        <f>IF(D2285="","",IF(OR(D2285=Plano!$A$1,D2285=Plano!$B$1),"entrada","saída"))</f>
        <v/>
      </c>
      <c r="T2285" s="269"/>
      <c r="U2285" s="269"/>
      <c r="V2285" s="269"/>
      <c r="W2285" s="269"/>
    </row>
    <row r="2286" spans="1:23" ht="12.75" customHeight="1" x14ac:dyDescent="0.2">
      <c r="A2286" s="289" t="str">
        <f t="shared" si="0"/>
        <v/>
      </c>
      <c r="B2286" s="290"/>
      <c r="C2286" s="404"/>
      <c r="D2286" s="291"/>
      <c r="E2286" s="291"/>
      <c r="F2286" s="292"/>
      <c r="G2286" s="291"/>
      <c r="H2286" s="291"/>
      <c r="I2286" s="293"/>
      <c r="J2286" s="291"/>
      <c r="K2286" s="291"/>
      <c r="L2286" s="293"/>
      <c r="M2286" s="291"/>
      <c r="N2286" s="289"/>
      <c r="O2286" s="358"/>
      <c r="P2286" s="402">
        <f t="shared" ref="P2286:Q2286" si="2284">IF(B2286=0,0,IF(YEAR(B2286)=$Q$1,MONTH(B2286)-$P$1+1,(YEAR(B2286)-$Q$1)*12-$P$1+1+MONTH(B2286)))</f>
        <v>0</v>
      </c>
      <c r="Q2286" s="402">
        <f t="shared" si="2284"/>
        <v>0</v>
      </c>
      <c r="R2286" s="356" t="e">
        <f t="shared" si="1325"/>
        <v>#N/A</v>
      </c>
      <c r="S2286" s="269" t="str">
        <f>IF(D2286="","",IF(OR(D2286=Plano!$A$1,D2286=Plano!$B$1),"entrada","saída"))</f>
        <v/>
      </c>
      <c r="T2286" s="269"/>
      <c r="U2286" s="269"/>
      <c r="V2286" s="269"/>
      <c r="W2286" s="269"/>
    </row>
    <row r="2287" spans="1:23" ht="12.75" customHeight="1" x14ac:dyDescent="0.2">
      <c r="A2287" s="289" t="str">
        <f t="shared" si="0"/>
        <v/>
      </c>
      <c r="B2287" s="290"/>
      <c r="C2287" s="404"/>
      <c r="D2287" s="291"/>
      <c r="E2287" s="291"/>
      <c r="F2287" s="292"/>
      <c r="G2287" s="291"/>
      <c r="H2287" s="291"/>
      <c r="I2287" s="293"/>
      <c r="J2287" s="291"/>
      <c r="K2287" s="291"/>
      <c r="L2287" s="293"/>
      <c r="M2287" s="291"/>
      <c r="N2287" s="289"/>
      <c r="O2287" s="358"/>
      <c r="P2287" s="402">
        <f t="shared" ref="P2287:Q2287" si="2285">IF(B2287=0,0,IF(YEAR(B2287)=$Q$1,MONTH(B2287)-$P$1+1,(YEAR(B2287)-$Q$1)*12-$P$1+1+MONTH(B2287)))</f>
        <v>0</v>
      </c>
      <c r="Q2287" s="402">
        <f t="shared" si="2285"/>
        <v>0</v>
      </c>
      <c r="R2287" s="356" t="e">
        <f t="shared" si="1325"/>
        <v>#N/A</v>
      </c>
      <c r="S2287" s="269" t="str">
        <f>IF(D2287="","",IF(OR(D2287=Plano!$A$1,D2287=Plano!$B$1),"entrada","saída"))</f>
        <v/>
      </c>
      <c r="T2287" s="269"/>
      <c r="U2287" s="269"/>
      <c r="V2287" s="269"/>
      <c r="W2287" s="269"/>
    </row>
    <row r="2288" spans="1:23" ht="12.75" customHeight="1" x14ac:dyDescent="0.2">
      <c r="A2288" s="289" t="str">
        <f t="shared" si="0"/>
        <v/>
      </c>
      <c r="B2288" s="290"/>
      <c r="C2288" s="404"/>
      <c r="D2288" s="291"/>
      <c r="E2288" s="291"/>
      <c r="F2288" s="292"/>
      <c r="G2288" s="291"/>
      <c r="H2288" s="291"/>
      <c r="I2288" s="293"/>
      <c r="J2288" s="291"/>
      <c r="K2288" s="291"/>
      <c r="L2288" s="293"/>
      <c r="M2288" s="291"/>
      <c r="N2288" s="289"/>
      <c r="O2288" s="358"/>
      <c r="P2288" s="402">
        <f t="shared" ref="P2288:Q2288" si="2286">IF(B2288=0,0,IF(YEAR(B2288)=$Q$1,MONTH(B2288)-$P$1+1,(YEAR(B2288)-$Q$1)*12-$P$1+1+MONTH(B2288)))</f>
        <v>0</v>
      </c>
      <c r="Q2288" s="402">
        <f t="shared" si="2286"/>
        <v>0</v>
      </c>
      <c r="R2288" s="356" t="e">
        <f t="shared" si="1325"/>
        <v>#N/A</v>
      </c>
      <c r="S2288" s="269" t="str">
        <f>IF(D2288="","",IF(OR(D2288=Plano!$A$1,D2288=Plano!$B$1),"entrada","saída"))</f>
        <v/>
      </c>
      <c r="T2288" s="269"/>
      <c r="U2288" s="269"/>
      <c r="V2288" s="269"/>
      <c r="W2288" s="269"/>
    </row>
    <row r="2289" spans="1:23" ht="12.75" customHeight="1" x14ac:dyDescent="0.2">
      <c r="A2289" s="289" t="str">
        <f t="shared" si="0"/>
        <v/>
      </c>
      <c r="B2289" s="290"/>
      <c r="C2289" s="404"/>
      <c r="D2289" s="291"/>
      <c r="E2289" s="291"/>
      <c r="F2289" s="292"/>
      <c r="G2289" s="291"/>
      <c r="H2289" s="291"/>
      <c r="I2289" s="293"/>
      <c r="J2289" s="291"/>
      <c r="K2289" s="291"/>
      <c r="L2289" s="293"/>
      <c r="M2289" s="291"/>
      <c r="N2289" s="289"/>
      <c r="O2289" s="358"/>
      <c r="P2289" s="402">
        <f t="shared" ref="P2289:Q2289" si="2287">IF(B2289=0,0,IF(YEAR(B2289)=$Q$1,MONTH(B2289)-$P$1+1,(YEAR(B2289)-$Q$1)*12-$P$1+1+MONTH(B2289)))</f>
        <v>0</v>
      </c>
      <c r="Q2289" s="402">
        <f t="shared" si="2287"/>
        <v>0</v>
      </c>
      <c r="R2289" s="356" t="e">
        <f t="shared" si="1325"/>
        <v>#N/A</v>
      </c>
      <c r="S2289" s="269" t="str">
        <f>IF(D2289="","",IF(OR(D2289=Plano!$A$1,D2289=Plano!$B$1),"entrada","saída"))</f>
        <v/>
      </c>
      <c r="T2289" s="269"/>
      <c r="U2289" s="269"/>
      <c r="V2289" s="269"/>
      <c r="W2289" s="269"/>
    </row>
    <row r="2290" spans="1:23" ht="12.75" customHeight="1" x14ac:dyDescent="0.2">
      <c r="A2290" s="289" t="str">
        <f t="shared" si="0"/>
        <v/>
      </c>
      <c r="B2290" s="290"/>
      <c r="C2290" s="404"/>
      <c r="D2290" s="291"/>
      <c r="E2290" s="291"/>
      <c r="F2290" s="292"/>
      <c r="G2290" s="291"/>
      <c r="H2290" s="291"/>
      <c r="I2290" s="293"/>
      <c r="J2290" s="291"/>
      <c r="K2290" s="291"/>
      <c r="L2290" s="293"/>
      <c r="M2290" s="291"/>
      <c r="N2290" s="289"/>
      <c r="O2290" s="358"/>
      <c r="P2290" s="402">
        <f t="shared" ref="P2290:Q2290" si="2288">IF(B2290=0,0,IF(YEAR(B2290)=$Q$1,MONTH(B2290)-$P$1+1,(YEAR(B2290)-$Q$1)*12-$P$1+1+MONTH(B2290)))</f>
        <v>0</v>
      </c>
      <c r="Q2290" s="402">
        <f t="shared" si="2288"/>
        <v>0</v>
      </c>
      <c r="R2290" s="356" t="e">
        <f t="shared" si="1325"/>
        <v>#N/A</v>
      </c>
      <c r="S2290" s="269" t="str">
        <f>IF(D2290="","",IF(OR(D2290=Plano!$A$1,D2290=Plano!$B$1),"entrada","saída"))</f>
        <v/>
      </c>
      <c r="T2290" s="269"/>
      <c r="U2290" s="269"/>
      <c r="V2290" s="269"/>
      <c r="W2290" s="269"/>
    </row>
    <row r="2291" spans="1:23" ht="12.75" customHeight="1" x14ac:dyDescent="0.2">
      <c r="A2291" s="289" t="str">
        <f t="shared" si="0"/>
        <v/>
      </c>
      <c r="B2291" s="290"/>
      <c r="C2291" s="404"/>
      <c r="D2291" s="291"/>
      <c r="E2291" s="291"/>
      <c r="F2291" s="292"/>
      <c r="G2291" s="291"/>
      <c r="H2291" s="291"/>
      <c r="I2291" s="293"/>
      <c r="J2291" s="291"/>
      <c r="K2291" s="291"/>
      <c r="L2291" s="293"/>
      <c r="M2291" s="291"/>
      <c r="N2291" s="289"/>
      <c r="O2291" s="358"/>
      <c r="P2291" s="402">
        <f t="shared" ref="P2291:Q2291" si="2289">IF(B2291=0,0,IF(YEAR(B2291)=$Q$1,MONTH(B2291)-$P$1+1,(YEAR(B2291)-$Q$1)*12-$P$1+1+MONTH(B2291)))</f>
        <v>0</v>
      </c>
      <c r="Q2291" s="402">
        <f t="shared" si="2289"/>
        <v>0</v>
      </c>
      <c r="R2291" s="356" t="e">
        <f t="shared" si="1325"/>
        <v>#N/A</v>
      </c>
      <c r="S2291" s="269" t="str">
        <f>IF(D2291="","",IF(OR(D2291=Plano!$A$1,D2291=Plano!$B$1),"entrada","saída"))</f>
        <v/>
      </c>
      <c r="T2291" s="269"/>
      <c r="U2291" s="269"/>
      <c r="V2291" s="269"/>
      <c r="W2291" s="269"/>
    </row>
    <row r="2292" spans="1:23" ht="12.75" customHeight="1" x14ac:dyDescent="0.2">
      <c r="A2292" s="289" t="str">
        <f t="shared" si="0"/>
        <v/>
      </c>
      <c r="B2292" s="290"/>
      <c r="C2292" s="404"/>
      <c r="D2292" s="291"/>
      <c r="E2292" s="291"/>
      <c r="F2292" s="292"/>
      <c r="G2292" s="291"/>
      <c r="H2292" s="291"/>
      <c r="I2292" s="293"/>
      <c r="J2292" s="291"/>
      <c r="K2292" s="291"/>
      <c r="L2292" s="293"/>
      <c r="M2292" s="291"/>
      <c r="N2292" s="289"/>
      <c r="O2292" s="358"/>
      <c r="P2292" s="402">
        <f t="shared" ref="P2292:Q2292" si="2290">IF(B2292=0,0,IF(YEAR(B2292)=$Q$1,MONTH(B2292)-$P$1+1,(YEAR(B2292)-$Q$1)*12-$P$1+1+MONTH(B2292)))</f>
        <v>0</v>
      </c>
      <c r="Q2292" s="402">
        <f t="shared" si="2290"/>
        <v>0</v>
      </c>
      <c r="R2292" s="356" t="e">
        <f t="shared" si="1325"/>
        <v>#N/A</v>
      </c>
      <c r="S2292" s="269" t="str">
        <f>IF(D2292="","",IF(OR(D2292=Plano!$A$1,D2292=Plano!$B$1),"entrada","saída"))</f>
        <v/>
      </c>
      <c r="T2292" s="269"/>
      <c r="U2292" s="269"/>
      <c r="V2292" s="269"/>
      <c r="W2292" s="269"/>
    </row>
    <row r="2293" spans="1:23" ht="12.75" customHeight="1" x14ac:dyDescent="0.2">
      <c r="A2293" s="289" t="str">
        <f t="shared" si="0"/>
        <v/>
      </c>
      <c r="B2293" s="290"/>
      <c r="C2293" s="404"/>
      <c r="D2293" s="291"/>
      <c r="E2293" s="291"/>
      <c r="F2293" s="292"/>
      <c r="G2293" s="291"/>
      <c r="H2293" s="291"/>
      <c r="I2293" s="293"/>
      <c r="J2293" s="291"/>
      <c r="K2293" s="291"/>
      <c r="L2293" s="293"/>
      <c r="M2293" s="291"/>
      <c r="N2293" s="289"/>
      <c r="O2293" s="358"/>
      <c r="P2293" s="402">
        <f t="shared" ref="P2293:Q2293" si="2291">IF(B2293=0,0,IF(YEAR(B2293)=$Q$1,MONTH(B2293)-$P$1+1,(YEAR(B2293)-$Q$1)*12-$P$1+1+MONTH(B2293)))</f>
        <v>0</v>
      </c>
      <c r="Q2293" s="402">
        <f t="shared" si="2291"/>
        <v>0</v>
      </c>
      <c r="R2293" s="356" t="e">
        <f t="shared" si="1325"/>
        <v>#N/A</v>
      </c>
      <c r="S2293" s="269" t="str">
        <f>IF(D2293="","",IF(OR(D2293=Plano!$A$1,D2293=Plano!$B$1),"entrada","saída"))</f>
        <v/>
      </c>
      <c r="T2293" s="269"/>
      <c r="U2293" s="269"/>
      <c r="V2293" s="269"/>
      <c r="W2293" s="269"/>
    </row>
    <row r="2294" spans="1:23" ht="12.75" customHeight="1" x14ac:dyDescent="0.2">
      <c r="A2294" s="289" t="str">
        <f t="shared" si="0"/>
        <v/>
      </c>
      <c r="B2294" s="290"/>
      <c r="C2294" s="404"/>
      <c r="D2294" s="291"/>
      <c r="E2294" s="291"/>
      <c r="F2294" s="292"/>
      <c r="G2294" s="291"/>
      <c r="H2294" s="291"/>
      <c r="I2294" s="293"/>
      <c r="J2294" s="291"/>
      <c r="K2294" s="291"/>
      <c r="L2294" s="293"/>
      <c r="M2294" s="291"/>
      <c r="N2294" s="289"/>
      <c r="O2294" s="358"/>
      <c r="P2294" s="402">
        <f t="shared" ref="P2294:Q2294" si="2292">IF(B2294=0,0,IF(YEAR(B2294)=$Q$1,MONTH(B2294)-$P$1+1,(YEAR(B2294)-$Q$1)*12-$P$1+1+MONTH(B2294)))</f>
        <v>0</v>
      </c>
      <c r="Q2294" s="402">
        <f t="shared" si="2292"/>
        <v>0</v>
      </c>
      <c r="R2294" s="356" t="e">
        <f t="shared" si="1325"/>
        <v>#N/A</v>
      </c>
      <c r="S2294" s="269" t="str">
        <f>IF(D2294="","",IF(OR(D2294=Plano!$A$1,D2294=Plano!$B$1),"entrada","saída"))</f>
        <v/>
      </c>
      <c r="T2294" s="269"/>
      <c r="U2294" s="269"/>
      <c r="V2294" s="269"/>
      <c r="W2294" s="269"/>
    </row>
    <row r="2295" spans="1:23" ht="12.75" customHeight="1" x14ac:dyDescent="0.2">
      <c r="A2295" s="289" t="str">
        <f t="shared" si="0"/>
        <v/>
      </c>
      <c r="B2295" s="290"/>
      <c r="C2295" s="404"/>
      <c r="D2295" s="291"/>
      <c r="E2295" s="291"/>
      <c r="F2295" s="292"/>
      <c r="G2295" s="291"/>
      <c r="H2295" s="291"/>
      <c r="I2295" s="293"/>
      <c r="J2295" s="291"/>
      <c r="K2295" s="291"/>
      <c r="L2295" s="293"/>
      <c r="M2295" s="291"/>
      <c r="N2295" s="289"/>
      <c r="O2295" s="358"/>
      <c r="P2295" s="402">
        <f t="shared" ref="P2295:Q2295" si="2293">IF(B2295=0,0,IF(YEAR(B2295)=$Q$1,MONTH(B2295)-$P$1+1,(YEAR(B2295)-$Q$1)*12-$P$1+1+MONTH(B2295)))</f>
        <v>0</v>
      </c>
      <c r="Q2295" s="402">
        <f t="shared" si="2293"/>
        <v>0</v>
      </c>
      <c r="R2295" s="356" t="e">
        <f t="shared" si="1325"/>
        <v>#N/A</v>
      </c>
      <c r="S2295" s="269" t="str">
        <f>IF(D2295="","",IF(OR(D2295=Plano!$A$1,D2295=Plano!$B$1),"entrada","saída"))</f>
        <v/>
      </c>
      <c r="T2295" s="269"/>
      <c r="U2295" s="269"/>
      <c r="V2295" s="269"/>
      <c r="W2295" s="269"/>
    </row>
    <row r="2296" spans="1:23" ht="12.75" customHeight="1" x14ac:dyDescent="0.2">
      <c r="A2296" s="289" t="str">
        <f t="shared" si="0"/>
        <v/>
      </c>
      <c r="B2296" s="290"/>
      <c r="C2296" s="404"/>
      <c r="D2296" s="291"/>
      <c r="E2296" s="291"/>
      <c r="F2296" s="292"/>
      <c r="G2296" s="291"/>
      <c r="H2296" s="291"/>
      <c r="I2296" s="293"/>
      <c r="J2296" s="291"/>
      <c r="K2296" s="291"/>
      <c r="L2296" s="293"/>
      <c r="M2296" s="291"/>
      <c r="N2296" s="289"/>
      <c r="O2296" s="358"/>
      <c r="P2296" s="402">
        <f t="shared" ref="P2296:Q2296" si="2294">IF(B2296=0,0,IF(YEAR(B2296)=$Q$1,MONTH(B2296)-$P$1+1,(YEAR(B2296)-$Q$1)*12-$P$1+1+MONTH(B2296)))</f>
        <v>0</v>
      </c>
      <c r="Q2296" s="402">
        <f t="shared" si="2294"/>
        <v>0</v>
      </c>
      <c r="R2296" s="356" t="e">
        <f t="shared" si="1325"/>
        <v>#N/A</v>
      </c>
      <c r="S2296" s="269" t="str">
        <f>IF(D2296="","",IF(OR(D2296=Plano!$A$1,D2296=Plano!$B$1),"entrada","saída"))</f>
        <v/>
      </c>
      <c r="T2296" s="269"/>
      <c r="U2296" s="269"/>
      <c r="V2296" s="269"/>
      <c r="W2296" s="269"/>
    </row>
    <row r="2297" spans="1:23" ht="12.75" customHeight="1" x14ac:dyDescent="0.2">
      <c r="A2297" s="289" t="str">
        <f t="shared" si="0"/>
        <v/>
      </c>
      <c r="B2297" s="290"/>
      <c r="C2297" s="404"/>
      <c r="D2297" s="291"/>
      <c r="E2297" s="291"/>
      <c r="F2297" s="292"/>
      <c r="G2297" s="291"/>
      <c r="H2297" s="291"/>
      <c r="I2297" s="293"/>
      <c r="J2297" s="291"/>
      <c r="K2297" s="291"/>
      <c r="L2297" s="293"/>
      <c r="M2297" s="291"/>
      <c r="N2297" s="289"/>
      <c r="O2297" s="358"/>
      <c r="P2297" s="402">
        <f t="shared" ref="P2297:Q2297" si="2295">IF(B2297=0,0,IF(YEAR(B2297)=$Q$1,MONTH(B2297)-$P$1+1,(YEAR(B2297)-$Q$1)*12-$P$1+1+MONTH(B2297)))</f>
        <v>0</v>
      </c>
      <c r="Q2297" s="402">
        <f t="shared" si="2295"/>
        <v>0</v>
      </c>
      <c r="R2297" s="356" t="e">
        <f t="shared" si="1325"/>
        <v>#N/A</v>
      </c>
      <c r="S2297" s="269" t="str">
        <f>IF(D2297="","",IF(OR(D2297=Plano!$A$1,D2297=Plano!$B$1),"entrada","saída"))</f>
        <v/>
      </c>
      <c r="T2297" s="269"/>
      <c r="U2297" s="269"/>
      <c r="V2297" s="269"/>
      <c r="W2297" s="269"/>
    </row>
    <row r="2298" spans="1:23" ht="12.75" customHeight="1" x14ac:dyDescent="0.2">
      <c r="A2298" s="289" t="str">
        <f t="shared" si="0"/>
        <v/>
      </c>
      <c r="B2298" s="290"/>
      <c r="C2298" s="404"/>
      <c r="D2298" s="291"/>
      <c r="E2298" s="291"/>
      <c r="F2298" s="292"/>
      <c r="G2298" s="291"/>
      <c r="H2298" s="291"/>
      <c r="I2298" s="293"/>
      <c r="J2298" s="291"/>
      <c r="K2298" s="291"/>
      <c r="L2298" s="293"/>
      <c r="M2298" s="291"/>
      <c r="N2298" s="289"/>
      <c r="O2298" s="358"/>
      <c r="P2298" s="402">
        <f t="shared" ref="P2298:Q2298" si="2296">IF(B2298=0,0,IF(YEAR(B2298)=$Q$1,MONTH(B2298)-$P$1+1,(YEAR(B2298)-$Q$1)*12-$P$1+1+MONTH(B2298)))</f>
        <v>0</v>
      </c>
      <c r="Q2298" s="402">
        <f t="shared" si="2296"/>
        <v>0</v>
      </c>
      <c r="R2298" s="356" t="e">
        <f t="shared" si="1325"/>
        <v>#N/A</v>
      </c>
      <c r="S2298" s="269" t="str">
        <f>IF(D2298="","",IF(OR(D2298=Plano!$A$1,D2298=Plano!$B$1),"entrada","saída"))</f>
        <v/>
      </c>
      <c r="T2298" s="269"/>
      <c r="U2298" s="269"/>
      <c r="V2298" s="269"/>
      <c r="W2298" s="269"/>
    </row>
    <row r="2299" spans="1:23" ht="12.75" customHeight="1" x14ac:dyDescent="0.2">
      <c r="A2299" s="289" t="str">
        <f t="shared" si="0"/>
        <v/>
      </c>
      <c r="B2299" s="290"/>
      <c r="C2299" s="404"/>
      <c r="D2299" s="291"/>
      <c r="E2299" s="291"/>
      <c r="F2299" s="292"/>
      <c r="G2299" s="291"/>
      <c r="H2299" s="291"/>
      <c r="I2299" s="293"/>
      <c r="J2299" s="291"/>
      <c r="K2299" s="291"/>
      <c r="L2299" s="293"/>
      <c r="M2299" s="291"/>
      <c r="N2299" s="289"/>
      <c r="O2299" s="358"/>
      <c r="P2299" s="402">
        <f t="shared" ref="P2299:Q2299" si="2297">IF(B2299=0,0,IF(YEAR(B2299)=$Q$1,MONTH(B2299)-$P$1+1,(YEAR(B2299)-$Q$1)*12-$P$1+1+MONTH(B2299)))</f>
        <v>0</v>
      </c>
      <c r="Q2299" s="402">
        <f t="shared" si="2297"/>
        <v>0</v>
      </c>
      <c r="R2299" s="356" t="e">
        <f t="shared" si="1325"/>
        <v>#N/A</v>
      </c>
      <c r="S2299" s="269" t="str">
        <f>IF(D2299="","",IF(OR(D2299=Plano!$A$1,D2299=Plano!$B$1),"entrada","saída"))</f>
        <v/>
      </c>
      <c r="T2299" s="269"/>
      <c r="U2299" s="269"/>
      <c r="V2299" s="269"/>
      <c r="W2299" s="269"/>
    </row>
    <row r="2300" spans="1:23" ht="12.75" customHeight="1" x14ac:dyDescent="0.2">
      <c r="A2300" s="289" t="str">
        <f t="shared" si="0"/>
        <v/>
      </c>
      <c r="B2300" s="290"/>
      <c r="C2300" s="404"/>
      <c r="D2300" s="291"/>
      <c r="E2300" s="291"/>
      <c r="F2300" s="292"/>
      <c r="G2300" s="291"/>
      <c r="H2300" s="291"/>
      <c r="I2300" s="293"/>
      <c r="J2300" s="291"/>
      <c r="K2300" s="291"/>
      <c r="L2300" s="293"/>
      <c r="M2300" s="291"/>
      <c r="N2300" s="289"/>
      <c r="O2300" s="358"/>
      <c r="P2300" s="402">
        <f t="shared" ref="P2300:Q2300" si="2298">IF(B2300=0,0,IF(YEAR(B2300)=$Q$1,MONTH(B2300)-$P$1+1,(YEAR(B2300)-$Q$1)*12-$P$1+1+MONTH(B2300)))</f>
        <v>0</v>
      </c>
      <c r="Q2300" s="402">
        <f t="shared" si="2298"/>
        <v>0</v>
      </c>
      <c r="R2300" s="356" t="e">
        <f t="shared" si="1325"/>
        <v>#N/A</v>
      </c>
      <c r="S2300" s="269" t="str">
        <f>IF(D2300="","",IF(OR(D2300=Plano!$A$1,D2300=Plano!$B$1),"entrada","saída"))</f>
        <v/>
      </c>
      <c r="T2300" s="269"/>
      <c r="U2300" s="269"/>
      <c r="V2300" s="269"/>
      <c r="W2300" s="269"/>
    </row>
    <row r="2301" spans="1:23" ht="12.75" customHeight="1" x14ac:dyDescent="0.2">
      <c r="A2301" s="289" t="str">
        <f t="shared" si="0"/>
        <v/>
      </c>
      <c r="B2301" s="290"/>
      <c r="C2301" s="404"/>
      <c r="D2301" s="291"/>
      <c r="E2301" s="291"/>
      <c r="F2301" s="292"/>
      <c r="G2301" s="291"/>
      <c r="H2301" s="291"/>
      <c r="I2301" s="293"/>
      <c r="J2301" s="291"/>
      <c r="K2301" s="291"/>
      <c r="L2301" s="293"/>
      <c r="M2301" s="291"/>
      <c r="N2301" s="289"/>
      <c r="O2301" s="358"/>
      <c r="P2301" s="402">
        <f t="shared" ref="P2301:Q2301" si="2299">IF(B2301=0,0,IF(YEAR(B2301)=$Q$1,MONTH(B2301)-$P$1+1,(YEAR(B2301)-$Q$1)*12-$P$1+1+MONTH(B2301)))</f>
        <v>0</v>
      </c>
      <c r="Q2301" s="402">
        <f t="shared" si="2299"/>
        <v>0</v>
      </c>
      <c r="R2301" s="356" t="e">
        <f t="shared" si="1325"/>
        <v>#N/A</v>
      </c>
      <c r="S2301" s="269" t="str">
        <f>IF(D2301="","",IF(OR(D2301=Plano!$A$1,D2301=Plano!$B$1),"entrada","saída"))</f>
        <v/>
      </c>
      <c r="T2301" s="269"/>
      <c r="U2301" s="269"/>
      <c r="V2301" s="269"/>
      <c r="W2301" s="269"/>
    </row>
    <row r="2302" spans="1:23" ht="12.75" customHeight="1" x14ac:dyDescent="0.2">
      <c r="A2302" s="289" t="str">
        <f t="shared" si="0"/>
        <v/>
      </c>
      <c r="B2302" s="290"/>
      <c r="C2302" s="404"/>
      <c r="D2302" s="291"/>
      <c r="E2302" s="291"/>
      <c r="F2302" s="292"/>
      <c r="G2302" s="291"/>
      <c r="H2302" s="291"/>
      <c r="I2302" s="293"/>
      <c r="J2302" s="291"/>
      <c r="K2302" s="291"/>
      <c r="L2302" s="293"/>
      <c r="M2302" s="291"/>
      <c r="N2302" s="289"/>
      <c r="O2302" s="358"/>
      <c r="P2302" s="402">
        <f t="shared" ref="P2302:Q2302" si="2300">IF(B2302=0,0,IF(YEAR(B2302)=$Q$1,MONTH(B2302)-$P$1+1,(YEAR(B2302)-$Q$1)*12-$P$1+1+MONTH(B2302)))</f>
        <v>0</v>
      </c>
      <c r="Q2302" s="402">
        <f t="shared" si="2300"/>
        <v>0</v>
      </c>
      <c r="R2302" s="356" t="e">
        <f t="shared" si="1325"/>
        <v>#N/A</v>
      </c>
      <c r="S2302" s="269" t="str">
        <f>IF(D2302="","",IF(OR(D2302=Plano!$A$1,D2302=Plano!$B$1),"entrada","saída"))</f>
        <v/>
      </c>
      <c r="T2302" s="269"/>
      <c r="U2302" s="269"/>
      <c r="V2302" s="269"/>
      <c r="W2302" s="269"/>
    </row>
    <row r="2303" spans="1:23" ht="12.75" customHeight="1" x14ac:dyDescent="0.2">
      <c r="A2303" s="289" t="str">
        <f t="shared" si="0"/>
        <v/>
      </c>
      <c r="B2303" s="290"/>
      <c r="C2303" s="404"/>
      <c r="D2303" s="291"/>
      <c r="E2303" s="291"/>
      <c r="F2303" s="292"/>
      <c r="G2303" s="291"/>
      <c r="H2303" s="291"/>
      <c r="I2303" s="293"/>
      <c r="J2303" s="291"/>
      <c r="K2303" s="291"/>
      <c r="L2303" s="293"/>
      <c r="M2303" s="291"/>
      <c r="N2303" s="289"/>
      <c r="O2303" s="358"/>
      <c r="P2303" s="402">
        <f t="shared" ref="P2303:Q2303" si="2301">IF(B2303=0,0,IF(YEAR(B2303)=$Q$1,MONTH(B2303)-$P$1+1,(YEAR(B2303)-$Q$1)*12-$P$1+1+MONTH(B2303)))</f>
        <v>0</v>
      </c>
      <c r="Q2303" s="402">
        <f t="shared" si="2301"/>
        <v>0</v>
      </c>
      <c r="R2303" s="356" t="e">
        <f t="shared" si="1325"/>
        <v>#N/A</v>
      </c>
      <c r="S2303" s="269" t="str">
        <f>IF(D2303="","",IF(OR(D2303=Plano!$A$1,D2303=Plano!$B$1),"entrada","saída"))</f>
        <v/>
      </c>
      <c r="T2303" s="269"/>
      <c r="U2303" s="269"/>
      <c r="V2303" s="269"/>
      <c r="W2303" s="269"/>
    </row>
    <row r="2304" spans="1:23" ht="12.75" customHeight="1" x14ac:dyDescent="0.2">
      <c r="A2304" s="289" t="str">
        <f t="shared" si="0"/>
        <v/>
      </c>
      <c r="B2304" s="290"/>
      <c r="C2304" s="404"/>
      <c r="D2304" s="291"/>
      <c r="E2304" s="291"/>
      <c r="F2304" s="292"/>
      <c r="G2304" s="291"/>
      <c r="H2304" s="291"/>
      <c r="I2304" s="293"/>
      <c r="J2304" s="291"/>
      <c r="K2304" s="291"/>
      <c r="L2304" s="293"/>
      <c r="M2304" s="291"/>
      <c r="N2304" s="289"/>
      <c r="O2304" s="358"/>
      <c r="P2304" s="402">
        <f t="shared" ref="P2304:Q2304" si="2302">IF(B2304=0,0,IF(YEAR(B2304)=$Q$1,MONTH(B2304)-$P$1+1,(YEAR(B2304)-$Q$1)*12-$P$1+1+MONTH(B2304)))</f>
        <v>0</v>
      </c>
      <c r="Q2304" s="402">
        <f t="shared" si="2302"/>
        <v>0</v>
      </c>
      <c r="R2304" s="356" t="e">
        <f t="shared" si="1325"/>
        <v>#N/A</v>
      </c>
      <c r="S2304" s="269" t="str">
        <f>IF(D2304="","",IF(OR(D2304=Plano!$A$1,D2304=Plano!$B$1),"entrada","saída"))</f>
        <v/>
      </c>
      <c r="T2304" s="269"/>
      <c r="U2304" s="269"/>
      <c r="V2304" s="269"/>
      <c r="W2304" s="269"/>
    </row>
    <row r="2305" spans="1:23" ht="12.75" customHeight="1" x14ac:dyDescent="0.2">
      <c r="A2305" s="289" t="str">
        <f t="shared" si="0"/>
        <v/>
      </c>
      <c r="B2305" s="290"/>
      <c r="C2305" s="404"/>
      <c r="D2305" s="291"/>
      <c r="E2305" s="291"/>
      <c r="F2305" s="292"/>
      <c r="G2305" s="291"/>
      <c r="H2305" s="291"/>
      <c r="I2305" s="293"/>
      <c r="J2305" s="291"/>
      <c r="K2305" s="291"/>
      <c r="L2305" s="293"/>
      <c r="M2305" s="291"/>
      <c r="N2305" s="289"/>
      <c r="O2305" s="358"/>
      <c r="P2305" s="402">
        <f t="shared" ref="P2305:Q2305" si="2303">IF(B2305=0,0,IF(YEAR(B2305)=$Q$1,MONTH(B2305)-$P$1+1,(YEAR(B2305)-$Q$1)*12-$P$1+1+MONTH(B2305)))</f>
        <v>0</v>
      </c>
      <c r="Q2305" s="402">
        <f t="shared" si="2303"/>
        <v>0</v>
      </c>
      <c r="R2305" s="356" t="e">
        <f t="shared" si="1325"/>
        <v>#N/A</v>
      </c>
      <c r="S2305" s="269" t="str">
        <f>IF(D2305="","",IF(OR(D2305=Plano!$A$1,D2305=Plano!$B$1),"entrada","saída"))</f>
        <v/>
      </c>
      <c r="T2305" s="269"/>
      <c r="U2305" s="269"/>
      <c r="V2305" s="269"/>
      <c r="W2305" s="269"/>
    </row>
    <row r="2306" spans="1:23" ht="12.75" customHeight="1" x14ac:dyDescent="0.2">
      <c r="A2306" s="289" t="str">
        <f t="shared" si="0"/>
        <v/>
      </c>
      <c r="B2306" s="290"/>
      <c r="C2306" s="404"/>
      <c r="D2306" s="291"/>
      <c r="E2306" s="291"/>
      <c r="F2306" s="292"/>
      <c r="G2306" s="291"/>
      <c r="H2306" s="291"/>
      <c r="I2306" s="293"/>
      <c r="J2306" s="291"/>
      <c r="K2306" s="291"/>
      <c r="L2306" s="293"/>
      <c r="M2306" s="291"/>
      <c r="N2306" s="289"/>
      <c r="O2306" s="358"/>
      <c r="P2306" s="402">
        <f t="shared" ref="P2306:Q2306" si="2304">IF(B2306=0,0,IF(YEAR(B2306)=$Q$1,MONTH(B2306)-$P$1+1,(YEAR(B2306)-$Q$1)*12-$P$1+1+MONTH(B2306)))</f>
        <v>0</v>
      </c>
      <c r="Q2306" s="402">
        <f t="shared" si="2304"/>
        <v>0</v>
      </c>
      <c r="R2306" s="356" t="e">
        <f t="shared" si="1325"/>
        <v>#N/A</v>
      </c>
      <c r="S2306" s="269" t="str">
        <f>IF(D2306="","",IF(OR(D2306=Plano!$A$1,D2306=Plano!$B$1),"entrada","saída"))</f>
        <v/>
      </c>
      <c r="T2306" s="269"/>
      <c r="U2306" s="269"/>
      <c r="V2306" s="269"/>
      <c r="W2306" s="269"/>
    </row>
    <row r="2307" spans="1:23" ht="12.75" customHeight="1" x14ac:dyDescent="0.2">
      <c r="A2307" s="289" t="str">
        <f t="shared" si="0"/>
        <v/>
      </c>
      <c r="B2307" s="290"/>
      <c r="C2307" s="404"/>
      <c r="D2307" s="291"/>
      <c r="E2307" s="291"/>
      <c r="F2307" s="292"/>
      <c r="G2307" s="291"/>
      <c r="H2307" s="291"/>
      <c r="I2307" s="293"/>
      <c r="J2307" s="291"/>
      <c r="K2307" s="291"/>
      <c r="L2307" s="293"/>
      <c r="M2307" s="291"/>
      <c r="N2307" s="289"/>
      <c r="O2307" s="358"/>
      <c r="P2307" s="402">
        <f t="shared" ref="P2307:Q2307" si="2305">IF(B2307=0,0,IF(YEAR(B2307)=$Q$1,MONTH(B2307)-$P$1+1,(YEAR(B2307)-$Q$1)*12-$P$1+1+MONTH(B2307)))</f>
        <v>0</v>
      </c>
      <c r="Q2307" s="402">
        <f t="shared" si="2305"/>
        <v>0</v>
      </c>
      <c r="R2307" s="356" t="e">
        <f t="shared" si="1325"/>
        <v>#N/A</v>
      </c>
      <c r="S2307" s="269" t="str">
        <f>IF(D2307="","",IF(OR(D2307=Plano!$A$1,D2307=Plano!$B$1),"entrada","saída"))</f>
        <v/>
      </c>
      <c r="T2307" s="269"/>
      <c r="U2307" s="269"/>
      <c r="V2307" s="269"/>
      <c r="W2307" s="269"/>
    </row>
    <row r="2308" spans="1:23" ht="12.75" customHeight="1" x14ac:dyDescent="0.2">
      <c r="A2308" s="289" t="str">
        <f t="shared" si="0"/>
        <v/>
      </c>
      <c r="B2308" s="290"/>
      <c r="C2308" s="404"/>
      <c r="D2308" s="291"/>
      <c r="E2308" s="291"/>
      <c r="F2308" s="292"/>
      <c r="G2308" s="291"/>
      <c r="H2308" s="291"/>
      <c r="I2308" s="293"/>
      <c r="J2308" s="291"/>
      <c r="K2308" s="291"/>
      <c r="L2308" s="293"/>
      <c r="M2308" s="291"/>
      <c r="N2308" s="289"/>
      <c r="O2308" s="358"/>
      <c r="P2308" s="402">
        <f t="shared" ref="P2308:Q2308" si="2306">IF(B2308=0,0,IF(YEAR(B2308)=$Q$1,MONTH(B2308)-$P$1+1,(YEAR(B2308)-$Q$1)*12-$P$1+1+MONTH(B2308)))</f>
        <v>0</v>
      </c>
      <c r="Q2308" s="402">
        <f t="shared" si="2306"/>
        <v>0</v>
      </c>
      <c r="R2308" s="356" t="e">
        <f t="shared" si="1325"/>
        <v>#N/A</v>
      </c>
      <c r="S2308" s="269" t="str">
        <f>IF(D2308="","",IF(OR(D2308=Plano!$A$1,D2308=Plano!$B$1),"entrada","saída"))</f>
        <v/>
      </c>
      <c r="T2308" s="269"/>
      <c r="U2308" s="269"/>
      <c r="V2308" s="269"/>
      <c r="W2308" s="269"/>
    </row>
    <row r="2309" spans="1:23" ht="12.75" customHeight="1" x14ac:dyDescent="0.2">
      <c r="A2309" s="289" t="str">
        <f t="shared" si="0"/>
        <v/>
      </c>
      <c r="B2309" s="290"/>
      <c r="C2309" s="404"/>
      <c r="D2309" s="291"/>
      <c r="E2309" s="291"/>
      <c r="F2309" s="292"/>
      <c r="G2309" s="291"/>
      <c r="H2309" s="291"/>
      <c r="I2309" s="293"/>
      <c r="J2309" s="291"/>
      <c r="K2309" s="291"/>
      <c r="L2309" s="293"/>
      <c r="M2309" s="291"/>
      <c r="N2309" s="289"/>
      <c r="O2309" s="358"/>
      <c r="P2309" s="402">
        <f t="shared" ref="P2309:Q2309" si="2307">IF(B2309=0,0,IF(YEAR(B2309)=$Q$1,MONTH(B2309)-$P$1+1,(YEAR(B2309)-$Q$1)*12-$P$1+1+MONTH(B2309)))</f>
        <v>0</v>
      </c>
      <c r="Q2309" s="402">
        <f t="shared" si="2307"/>
        <v>0</v>
      </c>
      <c r="R2309" s="356" t="e">
        <f t="shared" si="1325"/>
        <v>#N/A</v>
      </c>
      <c r="S2309" s="269" t="str">
        <f>IF(D2309="","",IF(OR(D2309=Plano!$A$1,D2309=Plano!$B$1),"entrada","saída"))</f>
        <v/>
      </c>
      <c r="T2309" s="269"/>
      <c r="U2309" s="269"/>
      <c r="V2309" s="269"/>
      <c r="W2309" s="269"/>
    </row>
    <row r="2310" spans="1:23" ht="12.75" customHeight="1" x14ac:dyDescent="0.2">
      <c r="A2310" s="289" t="str">
        <f t="shared" si="0"/>
        <v/>
      </c>
      <c r="B2310" s="290"/>
      <c r="C2310" s="404"/>
      <c r="D2310" s="291"/>
      <c r="E2310" s="291"/>
      <c r="F2310" s="292"/>
      <c r="G2310" s="291"/>
      <c r="H2310" s="291"/>
      <c r="I2310" s="293"/>
      <c r="J2310" s="291"/>
      <c r="K2310" s="291"/>
      <c r="L2310" s="293"/>
      <c r="M2310" s="291"/>
      <c r="N2310" s="289"/>
      <c r="O2310" s="358"/>
      <c r="P2310" s="402">
        <f t="shared" ref="P2310:Q2310" si="2308">IF(B2310=0,0,IF(YEAR(B2310)=$Q$1,MONTH(B2310)-$P$1+1,(YEAR(B2310)-$Q$1)*12-$P$1+1+MONTH(B2310)))</f>
        <v>0</v>
      </c>
      <c r="Q2310" s="402">
        <f t="shared" si="2308"/>
        <v>0</v>
      </c>
      <c r="R2310" s="356" t="e">
        <f t="shared" si="1325"/>
        <v>#N/A</v>
      </c>
      <c r="S2310" s="269" t="str">
        <f>IF(D2310="","",IF(OR(D2310=Plano!$A$1,D2310=Plano!$B$1),"entrada","saída"))</f>
        <v/>
      </c>
      <c r="T2310" s="269"/>
      <c r="U2310" s="269"/>
      <c r="V2310" s="269"/>
      <c r="W2310" s="269"/>
    </row>
    <row r="2311" spans="1:23" ht="12.75" customHeight="1" x14ac:dyDescent="0.2">
      <c r="A2311" s="289" t="str">
        <f t="shared" si="0"/>
        <v/>
      </c>
      <c r="B2311" s="290"/>
      <c r="C2311" s="404"/>
      <c r="D2311" s="291"/>
      <c r="E2311" s="291"/>
      <c r="F2311" s="292"/>
      <c r="G2311" s="291"/>
      <c r="H2311" s="291"/>
      <c r="I2311" s="293"/>
      <c r="J2311" s="291"/>
      <c r="K2311" s="291"/>
      <c r="L2311" s="293"/>
      <c r="M2311" s="291"/>
      <c r="N2311" s="289"/>
      <c r="O2311" s="358"/>
      <c r="P2311" s="402">
        <f t="shared" ref="P2311:Q2311" si="2309">IF(B2311=0,0,IF(YEAR(B2311)=$Q$1,MONTH(B2311)-$P$1+1,(YEAR(B2311)-$Q$1)*12-$P$1+1+MONTH(B2311)))</f>
        <v>0</v>
      </c>
      <c r="Q2311" s="402">
        <f t="shared" si="2309"/>
        <v>0</v>
      </c>
      <c r="R2311" s="356" t="e">
        <f t="shared" si="1325"/>
        <v>#N/A</v>
      </c>
      <c r="S2311" s="269" t="str">
        <f>IF(D2311="","",IF(OR(D2311=Plano!$A$1,D2311=Plano!$B$1),"entrada","saída"))</f>
        <v/>
      </c>
      <c r="T2311" s="269"/>
      <c r="U2311" s="269"/>
      <c r="V2311" s="269"/>
      <c r="W2311" s="269"/>
    </row>
    <row r="2312" spans="1:23" ht="12.75" customHeight="1" x14ac:dyDescent="0.2">
      <c r="A2312" s="289" t="str">
        <f t="shared" si="0"/>
        <v/>
      </c>
      <c r="B2312" s="290"/>
      <c r="C2312" s="404"/>
      <c r="D2312" s="291"/>
      <c r="E2312" s="291"/>
      <c r="F2312" s="292"/>
      <c r="G2312" s="291"/>
      <c r="H2312" s="291"/>
      <c r="I2312" s="293"/>
      <c r="J2312" s="291"/>
      <c r="K2312" s="291"/>
      <c r="L2312" s="293"/>
      <c r="M2312" s="291"/>
      <c r="N2312" s="289"/>
      <c r="O2312" s="358"/>
      <c r="P2312" s="402">
        <f t="shared" ref="P2312:Q2312" si="2310">IF(B2312=0,0,IF(YEAR(B2312)=$Q$1,MONTH(B2312)-$P$1+1,(YEAR(B2312)-$Q$1)*12-$P$1+1+MONTH(B2312)))</f>
        <v>0</v>
      </c>
      <c r="Q2312" s="402">
        <f t="shared" si="2310"/>
        <v>0</v>
      </c>
      <c r="R2312" s="356" t="e">
        <f t="shared" si="1325"/>
        <v>#N/A</v>
      </c>
      <c r="S2312" s="269" t="str">
        <f>IF(D2312="","",IF(OR(D2312=Plano!$A$1,D2312=Plano!$B$1),"entrada","saída"))</f>
        <v/>
      </c>
      <c r="T2312" s="269"/>
      <c r="U2312" s="269"/>
      <c r="V2312" s="269"/>
      <c r="W2312" s="269"/>
    </row>
    <row r="2313" spans="1:23" ht="12.75" customHeight="1" x14ac:dyDescent="0.2">
      <c r="A2313" s="289" t="str">
        <f t="shared" si="0"/>
        <v/>
      </c>
      <c r="B2313" s="290"/>
      <c r="C2313" s="404"/>
      <c r="D2313" s="291"/>
      <c r="E2313" s="291"/>
      <c r="F2313" s="292"/>
      <c r="G2313" s="291"/>
      <c r="H2313" s="291"/>
      <c r="I2313" s="293"/>
      <c r="J2313" s="291"/>
      <c r="K2313" s="291"/>
      <c r="L2313" s="293"/>
      <c r="M2313" s="291"/>
      <c r="N2313" s="289"/>
      <c r="O2313" s="358"/>
      <c r="P2313" s="402">
        <f t="shared" ref="P2313:Q2313" si="2311">IF(B2313=0,0,IF(YEAR(B2313)=$Q$1,MONTH(B2313)-$P$1+1,(YEAR(B2313)-$Q$1)*12-$P$1+1+MONTH(B2313)))</f>
        <v>0</v>
      </c>
      <c r="Q2313" s="402">
        <f t="shared" si="2311"/>
        <v>0</v>
      </c>
      <c r="R2313" s="356" t="e">
        <f t="shared" si="1325"/>
        <v>#N/A</v>
      </c>
      <c r="S2313" s="269" t="str">
        <f>IF(D2313="","",IF(OR(D2313=Plano!$A$1,D2313=Plano!$B$1),"entrada","saída"))</f>
        <v/>
      </c>
      <c r="T2313" s="269"/>
      <c r="U2313" s="269"/>
      <c r="V2313" s="269"/>
      <c r="W2313" s="269"/>
    </row>
    <row r="2314" spans="1:23" ht="12.75" customHeight="1" x14ac:dyDescent="0.2">
      <c r="A2314" s="289" t="str">
        <f t="shared" si="0"/>
        <v/>
      </c>
      <c r="B2314" s="290"/>
      <c r="C2314" s="404"/>
      <c r="D2314" s="291"/>
      <c r="E2314" s="291"/>
      <c r="F2314" s="292"/>
      <c r="G2314" s="291"/>
      <c r="H2314" s="291"/>
      <c r="I2314" s="293"/>
      <c r="J2314" s="291"/>
      <c r="K2314" s="291"/>
      <c r="L2314" s="293"/>
      <c r="M2314" s="291"/>
      <c r="N2314" s="289"/>
      <c r="O2314" s="358"/>
      <c r="P2314" s="402">
        <f t="shared" ref="P2314:Q2314" si="2312">IF(B2314=0,0,IF(YEAR(B2314)=$Q$1,MONTH(B2314)-$P$1+1,(YEAR(B2314)-$Q$1)*12-$P$1+1+MONTH(B2314)))</f>
        <v>0</v>
      </c>
      <c r="Q2314" s="402">
        <f t="shared" si="2312"/>
        <v>0</v>
      </c>
      <c r="R2314" s="356" t="e">
        <f t="shared" si="1325"/>
        <v>#N/A</v>
      </c>
      <c r="S2314" s="269" t="str">
        <f>IF(D2314="","",IF(OR(D2314=Plano!$A$1,D2314=Plano!$B$1),"entrada","saída"))</f>
        <v/>
      </c>
      <c r="T2314" s="269"/>
      <c r="U2314" s="269"/>
      <c r="V2314" s="269"/>
      <c r="W2314" s="269"/>
    </row>
    <row r="2315" spans="1:23" ht="12.75" customHeight="1" x14ac:dyDescent="0.2">
      <c r="A2315" s="289" t="str">
        <f t="shared" si="0"/>
        <v/>
      </c>
      <c r="B2315" s="290"/>
      <c r="C2315" s="404"/>
      <c r="D2315" s="291"/>
      <c r="E2315" s="291"/>
      <c r="F2315" s="292"/>
      <c r="G2315" s="291"/>
      <c r="H2315" s="291"/>
      <c r="I2315" s="293"/>
      <c r="J2315" s="291"/>
      <c r="K2315" s="291"/>
      <c r="L2315" s="293"/>
      <c r="M2315" s="291"/>
      <c r="N2315" s="289"/>
      <c r="O2315" s="358"/>
      <c r="P2315" s="402">
        <f t="shared" ref="P2315:Q2315" si="2313">IF(B2315=0,0,IF(YEAR(B2315)=$Q$1,MONTH(B2315)-$P$1+1,(YEAR(B2315)-$Q$1)*12-$P$1+1+MONTH(B2315)))</f>
        <v>0</v>
      </c>
      <c r="Q2315" s="402">
        <f t="shared" si="2313"/>
        <v>0</v>
      </c>
      <c r="R2315" s="356" t="e">
        <f t="shared" si="1325"/>
        <v>#N/A</v>
      </c>
      <c r="S2315" s="269" t="str">
        <f>IF(D2315="","",IF(OR(D2315=Plano!$A$1,D2315=Plano!$B$1),"entrada","saída"))</f>
        <v/>
      </c>
      <c r="T2315" s="269"/>
      <c r="U2315" s="269"/>
      <c r="V2315" s="269"/>
      <c r="W2315" s="269"/>
    </row>
    <row r="2316" spans="1:23" ht="12.75" customHeight="1" x14ac:dyDescent="0.2">
      <c r="A2316" s="289" t="str">
        <f t="shared" si="0"/>
        <v/>
      </c>
      <c r="B2316" s="290"/>
      <c r="C2316" s="404"/>
      <c r="D2316" s="291"/>
      <c r="E2316" s="291"/>
      <c r="F2316" s="292"/>
      <c r="G2316" s="291"/>
      <c r="H2316" s="291"/>
      <c r="I2316" s="293"/>
      <c r="J2316" s="291"/>
      <c r="K2316" s="291"/>
      <c r="L2316" s="293"/>
      <c r="M2316" s="291"/>
      <c r="N2316" s="289"/>
      <c r="O2316" s="358"/>
      <c r="P2316" s="402">
        <f t="shared" ref="P2316:Q2316" si="2314">IF(B2316=0,0,IF(YEAR(B2316)=$Q$1,MONTH(B2316)-$P$1+1,(YEAR(B2316)-$Q$1)*12-$P$1+1+MONTH(B2316)))</f>
        <v>0</v>
      </c>
      <c r="Q2316" s="402">
        <f t="shared" si="2314"/>
        <v>0</v>
      </c>
      <c r="R2316" s="356" t="e">
        <f t="shared" si="1325"/>
        <v>#N/A</v>
      </c>
      <c r="S2316" s="269" t="str">
        <f>IF(D2316="","",IF(OR(D2316=Plano!$A$1,D2316=Plano!$B$1),"entrada","saída"))</f>
        <v/>
      </c>
      <c r="T2316" s="269"/>
      <c r="U2316" s="269"/>
      <c r="V2316" s="269"/>
      <c r="W2316" s="269"/>
    </row>
    <row r="2317" spans="1:23" ht="12.75" customHeight="1" x14ac:dyDescent="0.2">
      <c r="A2317" s="289" t="str">
        <f t="shared" si="0"/>
        <v/>
      </c>
      <c r="B2317" s="290"/>
      <c r="C2317" s="404"/>
      <c r="D2317" s="291"/>
      <c r="E2317" s="291"/>
      <c r="F2317" s="292"/>
      <c r="G2317" s="291"/>
      <c r="H2317" s="291"/>
      <c r="I2317" s="293"/>
      <c r="J2317" s="291"/>
      <c r="K2317" s="291"/>
      <c r="L2317" s="293"/>
      <c r="M2317" s="291"/>
      <c r="N2317" s="289"/>
      <c r="O2317" s="358"/>
      <c r="P2317" s="402">
        <f t="shared" ref="P2317:Q2317" si="2315">IF(B2317=0,0,IF(YEAR(B2317)=$Q$1,MONTH(B2317)-$P$1+1,(YEAR(B2317)-$Q$1)*12-$P$1+1+MONTH(B2317)))</f>
        <v>0</v>
      </c>
      <c r="Q2317" s="402">
        <f t="shared" si="2315"/>
        <v>0</v>
      </c>
      <c r="R2317" s="356" t="e">
        <f t="shared" si="1325"/>
        <v>#N/A</v>
      </c>
      <c r="S2317" s="269" t="str">
        <f>IF(D2317="","",IF(OR(D2317=Plano!$A$1,D2317=Plano!$B$1),"entrada","saída"))</f>
        <v/>
      </c>
      <c r="T2317" s="269"/>
      <c r="U2317" s="269"/>
      <c r="V2317" s="269"/>
      <c r="W2317" s="269"/>
    </row>
    <row r="2318" spans="1:23" ht="12.75" customHeight="1" x14ac:dyDescent="0.2">
      <c r="A2318" s="289" t="str">
        <f t="shared" si="0"/>
        <v/>
      </c>
      <c r="B2318" s="290"/>
      <c r="C2318" s="404"/>
      <c r="D2318" s="291"/>
      <c r="E2318" s="291"/>
      <c r="F2318" s="292"/>
      <c r="G2318" s="291"/>
      <c r="H2318" s="291"/>
      <c r="I2318" s="293"/>
      <c r="J2318" s="291"/>
      <c r="K2318" s="291"/>
      <c r="L2318" s="293"/>
      <c r="M2318" s="291"/>
      <c r="N2318" s="289"/>
      <c r="O2318" s="358"/>
      <c r="P2318" s="402">
        <f t="shared" ref="P2318:Q2318" si="2316">IF(B2318=0,0,IF(YEAR(B2318)=$Q$1,MONTH(B2318)-$P$1+1,(YEAR(B2318)-$Q$1)*12-$P$1+1+MONTH(B2318)))</f>
        <v>0</v>
      </c>
      <c r="Q2318" s="402">
        <f t="shared" si="2316"/>
        <v>0</v>
      </c>
      <c r="R2318" s="356" t="e">
        <f t="shared" si="1325"/>
        <v>#N/A</v>
      </c>
      <c r="S2318" s="269" t="str">
        <f>IF(D2318="","",IF(OR(D2318=Plano!$A$1,D2318=Plano!$B$1),"entrada","saída"))</f>
        <v/>
      </c>
      <c r="T2318" s="269"/>
      <c r="U2318" s="269"/>
      <c r="V2318" s="269"/>
      <c r="W2318" s="269"/>
    </row>
    <row r="2319" spans="1:23" ht="12.75" customHeight="1" x14ac:dyDescent="0.2">
      <c r="A2319" s="289" t="str">
        <f t="shared" si="0"/>
        <v/>
      </c>
      <c r="B2319" s="290"/>
      <c r="C2319" s="404"/>
      <c r="D2319" s="291"/>
      <c r="E2319" s="291"/>
      <c r="F2319" s="292"/>
      <c r="G2319" s="291"/>
      <c r="H2319" s="291"/>
      <c r="I2319" s="293"/>
      <c r="J2319" s="291"/>
      <c r="K2319" s="291"/>
      <c r="L2319" s="293"/>
      <c r="M2319" s="291"/>
      <c r="N2319" s="289"/>
      <c r="O2319" s="358"/>
      <c r="P2319" s="402">
        <f t="shared" ref="P2319:Q2319" si="2317">IF(B2319=0,0,IF(YEAR(B2319)=$Q$1,MONTH(B2319)-$P$1+1,(YEAR(B2319)-$Q$1)*12-$P$1+1+MONTH(B2319)))</f>
        <v>0</v>
      </c>
      <c r="Q2319" s="402">
        <f t="shared" si="2317"/>
        <v>0</v>
      </c>
      <c r="R2319" s="356" t="e">
        <f t="shared" si="1325"/>
        <v>#N/A</v>
      </c>
      <c r="S2319" s="269" t="str">
        <f>IF(D2319="","",IF(OR(D2319=Plano!$A$1,D2319=Plano!$B$1),"entrada","saída"))</f>
        <v/>
      </c>
      <c r="T2319" s="269"/>
      <c r="U2319" s="269"/>
      <c r="V2319" s="269"/>
      <c r="W2319" s="269"/>
    </row>
    <row r="2320" spans="1:23" ht="12.75" customHeight="1" x14ac:dyDescent="0.2">
      <c r="A2320" s="289" t="str">
        <f t="shared" si="0"/>
        <v/>
      </c>
      <c r="B2320" s="290"/>
      <c r="C2320" s="404"/>
      <c r="D2320" s="291"/>
      <c r="E2320" s="291"/>
      <c r="F2320" s="292"/>
      <c r="G2320" s="291"/>
      <c r="H2320" s="291"/>
      <c r="I2320" s="293"/>
      <c r="J2320" s="291"/>
      <c r="K2320" s="291"/>
      <c r="L2320" s="293"/>
      <c r="M2320" s="291"/>
      <c r="N2320" s="289"/>
      <c r="O2320" s="358"/>
      <c r="P2320" s="402">
        <f t="shared" ref="P2320:Q2320" si="2318">IF(B2320=0,0,IF(YEAR(B2320)=$Q$1,MONTH(B2320)-$P$1+1,(YEAR(B2320)-$Q$1)*12-$P$1+1+MONTH(B2320)))</f>
        <v>0</v>
      </c>
      <c r="Q2320" s="402">
        <f t="shared" si="2318"/>
        <v>0</v>
      </c>
      <c r="R2320" s="356" t="e">
        <f t="shared" si="1325"/>
        <v>#N/A</v>
      </c>
      <c r="S2320" s="269" t="str">
        <f>IF(D2320="","",IF(OR(D2320=Plano!$A$1,D2320=Plano!$B$1),"entrada","saída"))</f>
        <v/>
      </c>
      <c r="T2320" s="269"/>
      <c r="U2320" s="269"/>
      <c r="V2320" s="269"/>
      <c r="W2320" s="269"/>
    </row>
    <row r="2321" spans="1:23" ht="12.75" customHeight="1" x14ac:dyDescent="0.2">
      <c r="A2321" s="289" t="str">
        <f t="shared" si="0"/>
        <v/>
      </c>
      <c r="B2321" s="290"/>
      <c r="C2321" s="404"/>
      <c r="D2321" s="291"/>
      <c r="E2321" s="291"/>
      <c r="F2321" s="292"/>
      <c r="G2321" s="291"/>
      <c r="H2321" s="291"/>
      <c r="I2321" s="293"/>
      <c r="J2321" s="291"/>
      <c r="K2321" s="291"/>
      <c r="L2321" s="293"/>
      <c r="M2321" s="291"/>
      <c r="N2321" s="289"/>
      <c r="O2321" s="358"/>
      <c r="P2321" s="402">
        <f t="shared" ref="P2321:Q2321" si="2319">IF(B2321=0,0,IF(YEAR(B2321)=$Q$1,MONTH(B2321)-$P$1+1,(YEAR(B2321)-$Q$1)*12-$P$1+1+MONTH(B2321)))</f>
        <v>0</v>
      </c>
      <c r="Q2321" s="402">
        <f t="shared" si="2319"/>
        <v>0</v>
      </c>
      <c r="R2321" s="356" t="e">
        <f t="shared" si="1325"/>
        <v>#N/A</v>
      </c>
      <c r="S2321" s="269" t="str">
        <f>IF(D2321="","",IF(OR(D2321=Plano!$A$1,D2321=Plano!$B$1),"entrada","saída"))</f>
        <v/>
      </c>
      <c r="T2321" s="269"/>
      <c r="U2321" s="269"/>
      <c r="V2321" s="269"/>
      <c r="W2321" s="269"/>
    </row>
    <row r="2322" spans="1:23" ht="12.75" customHeight="1" x14ac:dyDescent="0.2">
      <c r="A2322" s="289" t="str">
        <f t="shared" si="0"/>
        <v/>
      </c>
      <c r="B2322" s="290"/>
      <c r="C2322" s="404"/>
      <c r="D2322" s="291"/>
      <c r="E2322" s="291"/>
      <c r="F2322" s="292"/>
      <c r="G2322" s="291"/>
      <c r="H2322" s="291"/>
      <c r="I2322" s="293"/>
      <c r="J2322" s="291"/>
      <c r="K2322" s="291"/>
      <c r="L2322" s="293"/>
      <c r="M2322" s="291"/>
      <c r="N2322" s="289"/>
      <c r="O2322" s="358"/>
      <c r="P2322" s="402">
        <f t="shared" ref="P2322:Q2322" si="2320">IF(B2322=0,0,IF(YEAR(B2322)=$Q$1,MONTH(B2322)-$P$1+1,(YEAR(B2322)-$Q$1)*12-$P$1+1+MONTH(B2322)))</f>
        <v>0</v>
      </c>
      <c r="Q2322" s="402">
        <f t="shared" si="2320"/>
        <v>0</v>
      </c>
      <c r="R2322" s="356" t="e">
        <f t="shared" si="1325"/>
        <v>#N/A</v>
      </c>
      <c r="S2322" s="269" t="str">
        <f>IF(D2322="","",IF(OR(D2322=Plano!$A$1,D2322=Plano!$B$1),"entrada","saída"))</f>
        <v/>
      </c>
      <c r="T2322" s="269"/>
      <c r="U2322" s="269"/>
      <c r="V2322" s="269"/>
      <c r="W2322" s="269"/>
    </row>
    <row r="2323" spans="1:23" ht="12.75" customHeight="1" x14ac:dyDescent="0.2">
      <c r="A2323" s="289" t="str">
        <f t="shared" si="0"/>
        <v/>
      </c>
      <c r="B2323" s="290"/>
      <c r="C2323" s="404"/>
      <c r="D2323" s="291"/>
      <c r="E2323" s="291"/>
      <c r="F2323" s="292"/>
      <c r="G2323" s="291"/>
      <c r="H2323" s="291"/>
      <c r="I2323" s="293"/>
      <c r="J2323" s="291"/>
      <c r="K2323" s="291"/>
      <c r="L2323" s="293"/>
      <c r="M2323" s="291"/>
      <c r="N2323" s="289"/>
      <c r="O2323" s="358"/>
      <c r="P2323" s="402">
        <f t="shared" ref="P2323:Q2323" si="2321">IF(B2323=0,0,IF(YEAR(B2323)=$Q$1,MONTH(B2323)-$P$1+1,(YEAR(B2323)-$Q$1)*12-$P$1+1+MONTH(B2323)))</f>
        <v>0</v>
      </c>
      <c r="Q2323" s="402">
        <f t="shared" si="2321"/>
        <v>0</v>
      </c>
      <c r="R2323" s="356" t="e">
        <f t="shared" si="1325"/>
        <v>#N/A</v>
      </c>
      <c r="S2323" s="269" t="str">
        <f>IF(D2323="","",IF(OR(D2323=Plano!$A$1,D2323=Plano!$B$1),"entrada","saída"))</f>
        <v/>
      </c>
      <c r="T2323" s="269"/>
      <c r="U2323" s="269"/>
      <c r="V2323" s="269"/>
      <c r="W2323" s="269"/>
    </row>
    <row r="2324" spans="1:23" ht="12.75" customHeight="1" x14ac:dyDescent="0.2">
      <c r="A2324" s="289" t="str">
        <f t="shared" si="0"/>
        <v/>
      </c>
      <c r="B2324" s="290"/>
      <c r="C2324" s="404"/>
      <c r="D2324" s="291"/>
      <c r="E2324" s="291"/>
      <c r="F2324" s="292"/>
      <c r="G2324" s="291"/>
      <c r="H2324" s="291"/>
      <c r="I2324" s="293"/>
      <c r="J2324" s="291"/>
      <c r="K2324" s="291"/>
      <c r="L2324" s="293"/>
      <c r="M2324" s="291"/>
      <c r="N2324" s="289"/>
      <c r="O2324" s="358"/>
      <c r="P2324" s="402">
        <f t="shared" ref="P2324:Q2324" si="2322">IF(B2324=0,0,IF(YEAR(B2324)=$Q$1,MONTH(B2324)-$P$1+1,(YEAR(B2324)-$Q$1)*12-$P$1+1+MONTH(B2324)))</f>
        <v>0</v>
      </c>
      <c r="Q2324" s="402">
        <f t="shared" si="2322"/>
        <v>0</v>
      </c>
      <c r="R2324" s="356" t="e">
        <f t="shared" si="1325"/>
        <v>#N/A</v>
      </c>
      <c r="S2324" s="269" t="str">
        <f>IF(D2324="","",IF(OR(D2324=Plano!$A$1,D2324=Plano!$B$1),"entrada","saída"))</f>
        <v/>
      </c>
      <c r="T2324" s="269"/>
      <c r="U2324" s="269"/>
      <c r="V2324" s="269"/>
      <c r="W2324" s="269"/>
    </row>
    <row r="2325" spans="1:23" ht="12.75" customHeight="1" x14ac:dyDescent="0.2">
      <c r="A2325" s="289" t="str">
        <f t="shared" si="0"/>
        <v/>
      </c>
      <c r="B2325" s="290"/>
      <c r="C2325" s="404"/>
      <c r="D2325" s="291"/>
      <c r="E2325" s="291"/>
      <c r="F2325" s="292"/>
      <c r="G2325" s="291"/>
      <c r="H2325" s="291"/>
      <c r="I2325" s="293"/>
      <c r="J2325" s="291"/>
      <c r="K2325" s="291"/>
      <c r="L2325" s="293"/>
      <c r="M2325" s="291"/>
      <c r="N2325" s="289"/>
      <c r="O2325" s="358"/>
      <c r="P2325" s="402">
        <f t="shared" ref="P2325:Q2325" si="2323">IF(B2325=0,0,IF(YEAR(B2325)=$Q$1,MONTH(B2325)-$P$1+1,(YEAR(B2325)-$Q$1)*12-$P$1+1+MONTH(B2325)))</f>
        <v>0</v>
      </c>
      <c r="Q2325" s="402">
        <f t="shared" si="2323"/>
        <v>0</v>
      </c>
      <c r="R2325" s="356" t="e">
        <f t="shared" si="1325"/>
        <v>#N/A</v>
      </c>
      <c r="S2325" s="269" t="str">
        <f>IF(D2325="","",IF(OR(D2325=Plano!$A$1,D2325=Plano!$B$1),"entrada","saída"))</f>
        <v/>
      </c>
      <c r="T2325" s="269"/>
      <c r="U2325" s="269"/>
      <c r="V2325" s="269"/>
      <c r="W2325" s="269"/>
    </row>
    <row r="2326" spans="1:23" ht="12.75" customHeight="1" x14ac:dyDescent="0.2">
      <c r="A2326" s="289" t="str">
        <f t="shared" si="0"/>
        <v/>
      </c>
      <c r="B2326" s="290"/>
      <c r="C2326" s="404"/>
      <c r="D2326" s="291"/>
      <c r="E2326" s="291"/>
      <c r="F2326" s="292"/>
      <c r="G2326" s="291"/>
      <c r="H2326" s="291"/>
      <c r="I2326" s="293"/>
      <c r="J2326" s="291"/>
      <c r="K2326" s="291"/>
      <c r="L2326" s="293"/>
      <c r="M2326" s="291"/>
      <c r="N2326" s="289"/>
      <c r="O2326" s="358"/>
      <c r="P2326" s="402">
        <f t="shared" ref="P2326:Q2326" si="2324">IF(B2326=0,0,IF(YEAR(B2326)=$Q$1,MONTH(B2326)-$P$1+1,(YEAR(B2326)-$Q$1)*12-$P$1+1+MONTH(B2326)))</f>
        <v>0</v>
      </c>
      <c r="Q2326" s="402">
        <f t="shared" si="2324"/>
        <v>0</v>
      </c>
      <c r="R2326" s="356" t="e">
        <f t="shared" si="1325"/>
        <v>#N/A</v>
      </c>
      <c r="S2326" s="269" t="str">
        <f>IF(D2326="","",IF(OR(D2326=Plano!$A$1,D2326=Plano!$B$1),"entrada","saída"))</f>
        <v/>
      </c>
      <c r="T2326" s="269"/>
      <c r="U2326" s="269"/>
      <c r="V2326" s="269"/>
      <c r="W2326" s="269"/>
    </row>
    <row r="2327" spans="1:23" ht="12.75" customHeight="1" x14ac:dyDescent="0.2">
      <c r="A2327" s="289" t="str">
        <f t="shared" si="0"/>
        <v/>
      </c>
      <c r="B2327" s="290"/>
      <c r="C2327" s="404"/>
      <c r="D2327" s="291"/>
      <c r="E2327" s="291"/>
      <c r="F2327" s="292"/>
      <c r="G2327" s="291"/>
      <c r="H2327" s="291"/>
      <c r="I2327" s="293"/>
      <c r="J2327" s="291"/>
      <c r="K2327" s="291"/>
      <c r="L2327" s="293"/>
      <c r="M2327" s="291"/>
      <c r="N2327" s="289"/>
      <c r="O2327" s="358"/>
      <c r="P2327" s="402">
        <f t="shared" ref="P2327:Q2327" si="2325">IF(B2327=0,0,IF(YEAR(B2327)=$Q$1,MONTH(B2327)-$P$1+1,(YEAR(B2327)-$Q$1)*12-$P$1+1+MONTH(B2327)))</f>
        <v>0</v>
      </c>
      <c r="Q2327" s="402">
        <f t="shared" si="2325"/>
        <v>0</v>
      </c>
      <c r="R2327" s="356" t="e">
        <f t="shared" si="1325"/>
        <v>#N/A</v>
      </c>
      <c r="S2327" s="269" t="str">
        <f>IF(D2327="","",IF(OR(D2327=Plano!$A$1,D2327=Plano!$B$1),"entrada","saída"))</f>
        <v/>
      </c>
      <c r="T2327" s="269"/>
      <c r="U2327" s="269"/>
      <c r="V2327" s="269"/>
      <c r="W2327" s="269"/>
    </row>
    <row r="2328" spans="1:23" ht="12.75" customHeight="1" x14ac:dyDescent="0.2">
      <c r="A2328" s="289" t="str">
        <f t="shared" si="0"/>
        <v/>
      </c>
      <c r="B2328" s="290"/>
      <c r="C2328" s="404"/>
      <c r="D2328" s="291"/>
      <c r="E2328" s="291"/>
      <c r="F2328" s="292"/>
      <c r="G2328" s="291"/>
      <c r="H2328" s="291"/>
      <c r="I2328" s="293"/>
      <c r="J2328" s="291"/>
      <c r="K2328" s="291"/>
      <c r="L2328" s="293"/>
      <c r="M2328" s="291"/>
      <c r="N2328" s="289"/>
      <c r="O2328" s="358"/>
      <c r="P2328" s="402">
        <f t="shared" ref="P2328:Q2328" si="2326">IF(B2328=0,0,IF(YEAR(B2328)=$Q$1,MONTH(B2328)-$P$1+1,(YEAR(B2328)-$Q$1)*12-$P$1+1+MONTH(B2328)))</f>
        <v>0</v>
      </c>
      <c r="Q2328" s="402">
        <f t="shared" si="2326"/>
        <v>0</v>
      </c>
      <c r="R2328" s="356" t="e">
        <f t="shared" si="1325"/>
        <v>#N/A</v>
      </c>
      <c r="S2328" s="269" t="str">
        <f>IF(D2328="","",IF(OR(D2328=Plano!$A$1,D2328=Plano!$B$1),"entrada","saída"))</f>
        <v/>
      </c>
      <c r="T2328" s="269"/>
      <c r="U2328" s="269"/>
      <c r="V2328" s="269"/>
      <c r="W2328" s="269"/>
    </row>
    <row r="2329" spans="1:23" ht="12.75" customHeight="1" x14ac:dyDescent="0.2">
      <c r="A2329" s="289" t="str">
        <f t="shared" si="0"/>
        <v/>
      </c>
      <c r="B2329" s="290"/>
      <c r="C2329" s="404"/>
      <c r="D2329" s="291"/>
      <c r="E2329" s="291"/>
      <c r="F2329" s="292"/>
      <c r="G2329" s="291"/>
      <c r="H2329" s="291"/>
      <c r="I2329" s="293"/>
      <c r="J2329" s="291"/>
      <c r="K2329" s="291"/>
      <c r="L2329" s="293"/>
      <c r="M2329" s="291"/>
      <c r="N2329" s="289"/>
      <c r="O2329" s="358"/>
      <c r="P2329" s="402">
        <f t="shared" ref="P2329:Q2329" si="2327">IF(B2329=0,0,IF(YEAR(B2329)=$Q$1,MONTH(B2329)-$P$1+1,(YEAR(B2329)-$Q$1)*12-$P$1+1+MONTH(B2329)))</f>
        <v>0</v>
      </c>
      <c r="Q2329" s="402">
        <f t="shared" si="2327"/>
        <v>0</v>
      </c>
      <c r="R2329" s="356" t="e">
        <f t="shared" si="1325"/>
        <v>#N/A</v>
      </c>
      <c r="S2329" s="269" t="str">
        <f>IF(D2329="","",IF(OR(D2329=Plano!$A$1,D2329=Plano!$B$1),"entrada","saída"))</f>
        <v/>
      </c>
      <c r="T2329" s="269"/>
      <c r="U2329" s="269"/>
      <c r="V2329" s="269"/>
      <c r="W2329" s="269"/>
    </row>
    <row r="2330" spans="1:23" ht="12.75" customHeight="1" x14ac:dyDescent="0.2">
      <c r="A2330" s="289" t="str">
        <f t="shared" si="0"/>
        <v/>
      </c>
      <c r="B2330" s="290"/>
      <c r="C2330" s="404"/>
      <c r="D2330" s="291"/>
      <c r="E2330" s="291"/>
      <c r="F2330" s="292"/>
      <c r="G2330" s="291"/>
      <c r="H2330" s="291"/>
      <c r="I2330" s="293"/>
      <c r="J2330" s="291"/>
      <c r="K2330" s="291"/>
      <c r="L2330" s="293"/>
      <c r="M2330" s="291"/>
      <c r="N2330" s="289"/>
      <c r="O2330" s="358"/>
      <c r="P2330" s="402">
        <f t="shared" ref="P2330:Q2330" si="2328">IF(B2330=0,0,IF(YEAR(B2330)=$Q$1,MONTH(B2330)-$P$1+1,(YEAR(B2330)-$Q$1)*12-$P$1+1+MONTH(B2330)))</f>
        <v>0</v>
      </c>
      <c r="Q2330" s="402">
        <f t="shared" si="2328"/>
        <v>0</v>
      </c>
      <c r="R2330" s="356" t="e">
        <f t="shared" si="1325"/>
        <v>#N/A</v>
      </c>
      <c r="S2330" s="269" t="str">
        <f>IF(D2330="","",IF(OR(D2330=Plano!$A$1,D2330=Plano!$B$1),"entrada","saída"))</f>
        <v/>
      </c>
      <c r="T2330" s="269"/>
      <c r="U2330" s="269"/>
      <c r="V2330" s="269"/>
      <c r="W2330" s="269"/>
    </row>
    <row r="2331" spans="1:23" ht="12.75" customHeight="1" x14ac:dyDescent="0.2">
      <c r="A2331" s="289" t="str">
        <f t="shared" si="0"/>
        <v/>
      </c>
      <c r="B2331" s="290"/>
      <c r="C2331" s="404"/>
      <c r="D2331" s="291"/>
      <c r="E2331" s="291"/>
      <c r="F2331" s="292"/>
      <c r="G2331" s="291"/>
      <c r="H2331" s="291"/>
      <c r="I2331" s="293"/>
      <c r="J2331" s="291"/>
      <c r="K2331" s="291"/>
      <c r="L2331" s="293"/>
      <c r="M2331" s="291"/>
      <c r="N2331" s="289"/>
      <c r="O2331" s="358"/>
      <c r="P2331" s="402">
        <f t="shared" ref="P2331:Q2331" si="2329">IF(B2331=0,0,IF(YEAR(B2331)=$Q$1,MONTH(B2331)-$P$1+1,(YEAR(B2331)-$Q$1)*12-$P$1+1+MONTH(B2331)))</f>
        <v>0</v>
      </c>
      <c r="Q2331" s="402">
        <f t="shared" si="2329"/>
        <v>0</v>
      </c>
      <c r="R2331" s="356" t="e">
        <f t="shared" si="1325"/>
        <v>#N/A</v>
      </c>
      <c r="S2331" s="269" t="str">
        <f>IF(D2331="","",IF(OR(D2331=Plano!$A$1,D2331=Plano!$B$1),"entrada","saída"))</f>
        <v/>
      </c>
      <c r="T2331" s="269"/>
      <c r="U2331" s="269"/>
      <c r="V2331" s="269"/>
      <c r="W2331" s="269"/>
    </row>
    <row r="2332" spans="1:23" ht="12.75" customHeight="1" x14ac:dyDescent="0.2">
      <c r="A2332" s="289" t="str">
        <f t="shared" si="0"/>
        <v/>
      </c>
      <c r="B2332" s="290"/>
      <c r="C2332" s="404"/>
      <c r="D2332" s="291"/>
      <c r="E2332" s="291"/>
      <c r="F2332" s="292"/>
      <c r="G2332" s="291"/>
      <c r="H2332" s="291"/>
      <c r="I2332" s="293"/>
      <c r="J2332" s="291"/>
      <c r="K2332" s="291"/>
      <c r="L2332" s="293"/>
      <c r="M2332" s="291"/>
      <c r="N2332" s="289"/>
      <c r="O2332" s="358"/>
      <c r="P2332" s="402">
        <f t="shared" ref="P2332:Q2332" si="2330">IF(B2332=0,0,IF(YEAR(B2332)=$Q$1,MONTH(B2332)-$P$1+1,(YEAR(B2332)-$Q$1)*12-$P$1+1+MONTH(B2332)))</f>
        <v>0</v>
      </c>
      <c r="Q2332" s="402">
        <f t="shared" si="2330"/>
        <v>0</v>
      </c>
      <c r="R2332" s="356" t="e">
        <f t="shared" si="1325"/>
        <v>#N/A</v>
      </c>
      <c r="S2332" s="269" t="str">
        <f>IF(D2332="","",IF(OR(D2332=Plano!$A$1,D2332=Plano!$B$1),"entrada","saída"))</f>
        <v/>
      </c>
      <c r="T2332" s="269"/>
      <c r="U2332" s="269"/>
      <c r="V2332" s="269"/>
      <c r="W2332" s="269"/>
    </row>
    <row r="2333" spans="1:23" ht="12.75" customHeight="1" x14ac:dyDescent="0.2">
      <c r="A2333" s="289" t="str">
        <f t="shared" si="0"/>
        <v/>
      </c>
      <c r="B2333" s="290"/>
      <c r="C2333" s="404"/>
      <c r="D2333" s="291"/>
      <c r="E2333" s="291"/>
      <c r="F2333" s="292"/>
      <c r="G2333" s="291"/>
      <c r="H2333" s="291"/>
      <c r="I2333" s="293"/>
      <c r="J2333" s="291"/>
      <c r="K2333" s="291"/>
      <c r="L2333" s="293"/>
      <c r="M2333" s="291"/>
      <c r="N2333" s="289"/>
      <c r="O2333" s="358"/>
      <c r="P2333" s="402">
        <f t="shared" ref="P2333:Q2333" si="2331">IF(B2333=0,0,IF(YEAR(B2333)=$Q$1,MONTH(B2333)-$P$1+1,(YEAR(B2333)-$Q$1)*12-$P$1+1+MONTH(B2333)))</f>
        <v>0</v>
      </c>
      <c r="Q2333" s="402">
        <f t="shared" si="2331"/>
        <v>0</v>
      </c>
      <c r="R2333" s="356" t="e">
        <f t="shared" si="1325"/>
        <v>#N/A</v>
      </c>
      <c r="S2333" s="269" t="str">
        <f>IF(D2333="","",IF(OR(D2333=Plano!$A$1,D2333=Plano!$B$1),"entrada","saída"))</f>
        <v/>
      </c>
      <c r="T2333" s="269"/>
      <c r="U2333" s="269"/>
      <c r="V2333" s="269"/>
      <c r="W2333" s="269"/>
    </row>
    <row r="2334" spans="1:23" ht="12.75" customHeight="1" x14ac:dyDescent="0.2">
      <c r="A2334" s="289" t="str">
        <f t="shared" si="0"/>
        <v/>
      </c>
      <c r="B2334" s="290"/>
      <c r="C2334" s="404"/>
      <c r="D2334" s="291"/>
      <c r="E2334" s="291"/>
      <c r="F2334" s="292"/>
      <c r="G2334" s="291"/>
      <c r="H2334" s="291"/>
      <c r="I2334" s="293"/>
      <c r="J2334" s="291"/>
      <c r="K2334" s="291"/>
      <c r="L2334" s="293"/>
      <c r="M2334" s="291"/>
      <c r="N2334" s="289"/>
      <c r="O2334" s="358"/>
      <c r="P2334" s="402">
        <f t="shared" ref="P2334:Q2334" si="2332">IF(B2334=0,0,IF(YEAR(B2334)=$Q$1,MONTH(B2334)-$P$1+1,(YEAR(B2334)-$Q$1)*12-$P$1+1+MONTH(B2334)))</f>
        <v>0</v>
      </c>
      <c r="Q2334" s="402">
        <f t="shared" si="2332"/>
        <v>0</v>
      </c>
      <c r="R2334" s="356" t="e">
        <f t="shared" si="1325"/>
        <v>#N/A</v>
      </c>
      <c r="S2334" s="269" t="str">
        <f>IF(D2334="","",IF(OR(D2334=Plano!$A$1,D2334=Plano!$B$1),"entrada","saída"))</f>
        <v/>
      </c>
      <c r="T2334" s="269"/>
      <c r="U2334" s="269"/>
      <c r="V2334" s="269"/>
      <c r="W2334" s="269"/>
    </row>
    <row r="2335" spans="1:23" ht="12.75" customHeight="1" x14ac:dyDescent="0.2">
      <c r="A2335" s="289" t="str">
        <f t="shared" si="0"/>
        <v/>
      </c>
      <c r="B2335" s="290"/>
      <c r="C2335" s="404"/>
      <c r="D2335" s="291"/>
      <c r="E2335" s="291"/>
      <c r="F2335" s="292"/>
      <c r="G2335" s="291"/>
      <c r="H2335" s="291"/>
      <c r="I2335" s="293"/>
      <c r="J2335" s="291"/>
      <c r="K2335" s="291"/>
      <c r="L2335" s="293"/>
      <c r="M2335" s="291"/>
      <c r="N2335" s="289"/>
      <c r="O2335" s="358"/>
      <c r="P2335" s="402">
        <f t="shared" ref="P2335:Q2335" si="2333">IF(B2335=0,0,IF(YEAR(B2335)=$Q$1,MONTH(B2335)-$P$1+1,(YEAR(B2335)-$Q$1)*12-$P$1+1+MONTH(B2335)))</f>
        <v>0</v>
      </c>
      <c r="Q2335" s="402">
        <f t="shared" si="2333"/>
        <v>0</v>
      </c>
      <c r="R2335" s="356" t="e">
        <f t="shared" si="1325"/>
        <v>#N/A</v>
      </c>
      <c r="S2335" s="269" t="str">
        <f>IF(D2335="","",IF(OR(D2335=Plano!$A$1,D2335=Plano!$B$1),"entrada","saída"))</f>
        <v/>
      </c>
      <c r="T2335" s="269"/>
      <c r="U2335" s="269"/>
      <c r="V2335" s="269"/>
      <c r="W2335" s="269"/>
    </row>
    <row r="2336" spans="1:23" ht="12.75" customHeight="1" x14ac:dyDescent="0.2">
      <c r="A2336" s="289" t="str">
        <f t="shared" si="0"/>
        <v/>
      </c>
      <c r="B2336" s="290"/>
      <c r="C2336" s="404"/>
      <c r="D2336" s="291"/>
      <c r="E2336" s="291"/>
      <c r="F2336" s="292"/>
      <c r="G2336" s="291"/>
      <c r="H2336" s="291"/>
      <c r="I2336" s="293"/>
      <c r="J2336" s="291"/>
      <c r="K2336" s="291"/>
      <c r="L2336" s="293"/>
      <c r="M2336" s="291"/>
      <c r="N2336" s="289"/>
      <c r="O2336" s="358"/>
      <c r="P2336" s="402">
        <f t="shared" ref="P2336:Q2336" si="2334">IF(B2336=0,0,IF(YEAR(B2336)=$Q$1,MONTH(B2336)-$P$1+1,(YEAR(B2336)-$Q$1)*12-$P$1+1+MONTH(B2336)))</f>
        <v>0</v>
      </c>
      <c r="Q2336" s="402">
        <f t="shared" si="2334"/>
        <v>0</v>
      </c>
      <c r="R2336" s="356" t="e">
        <f t="shared" si="1325"/>
        <v>#N/A</v>
      </c>
      <c r="S2336" s="269" t="str">
        <f>IF(D2336="","",IF(OR(D2336=Plano!$A$1,D2336=Plano!$B$1),"entrada","saída"))</f>
        <v/>
      </c>
      <c r="T2336" s="269"/>
      <c r="U2336" s="269"/>
      <c r="V2336" s="269"/>
      <c r="W2336" s="269"/>
    </row>
    <row r="2337" spans="1:23" ht="12.75" customHeight="1" x14ac:dyDescent="0.2">
      <c r="A2337" s="289" t="str">
        <f t="shared" si="0"/>
        <v/>
      </c>
      <c r="B2337" s="290"/>
      <c r="C2337" s="404"/>
      <c r="D2337" s="291"/>
      <c r="E2337" s="291"/>
      <c r="F2337" s="292"/>
      <c r="G2337" s="291"/>
      <c r="H2337" s="291"/>
      <c r="I2337" s="293"/>
      <c r="J2337" s="291"/>
      <c r="K2337" s="291"/>
      <c r="L2337" s="293"/>
      <c r="M2337" s="291"/>
      <c r="N2337" s="289"/>
      <c r="O2337" s="358"/>
      <c r="P2337" s="402">
        <f t="shared" ref="P2337:Q2337" si="2335">IF(B2337=0,0,IF(YEAR(B2337)=$Q$1,MONTH(B2337)-$P$1+1,(YEAR(B2337)-$Q$1)*12-$P$1+1+MONTH(B2337)))</f>
        <v>0</v>
      </c>
      <c r="Q2337" s="402">
        <f t="shared" si="2335"/>
        <v>0</v>
      </c>
      <c r="R2337" s="356" t="e">
        <f t="shared" si="1325"/>
        <v>#N/A</v>
      </c>
      <c r="S2337" s="269" t="str">
        <f>IF(D2337="","",IF(OR(D2337=Plano!$A$1,D2337=Plano!$B$1),"entrada","saída"))</f>
        <v/>
      </c>
      <c r="T2337" s="269"/>
      <c r="U2337" s="269"/>
      <c r="V2337" s="269"/>
      <c r="W2337" s="269"/>
    </row>
    <row r="2338" spans="1:23" ht="12.75" customHeight="1" x14ac:dyDescent="0.2">
      <c r="A2338" s="289" t="str">
        <f t="shared" si="0"/>
        <v/>
      </c>
      <c r="B2338" s="290"/>
      <c r="C2338" s="404"/>
      <c r="D2338" s="291"/>
      <c r="E2338" s="291"/>
      <c r="F2338" s="292"/>
      <c r="G2338" s="291"/>
      <c r="H2338" s="291"/>
      <c r="I2338" s="293"/>
      <c r="J2338" s="291"/>
      <c r="K2338" s="291"/>
      <c r="L2338" s="293"/>
      <c r="M2338" s="291"/>
      <c r="N2338" s="289"/>
      <c r="O2338" s="358"/>
      <c r="P2338" s="402">
        <f t="shared" ref="P2338:Q2338" si="2336">IF(B2338=0,0,IF(YEAR(B2338)=$Q$1,MONTH(B2338)-$P$1+1,(YEAR(B2338)-$Q$1)*12-$P$1+1+MONTH(B2338)))</f>
        <v>0</v>
      </c>
      <c r="Q2338" s="402">
        <f t="shared" si="2336"/>
        <v>0</v>
      </c>
      <c r="R2338" s="356" t="e">
        <f t="shared" si="1325"/>
        <v>#N/A</v>
      </c>
      <c r="S2338" s="269" t="str">
        <f>IF(D2338="","",IF(OR(D2338=Plano!$A$1,D2338=Plano!$B$1),"entrada","saída"))</f>
        <v/>
      </c>
      <c r="T2338" s="269"/>
      <c r="U2338" s="269"/>
      <c r="V2338" s="269"/>
      <c r="W2338" s="269"/>
    </row>
    <row r="2339" spans="1:23" ht="12.75" customHeight="1" x14ac:dyDescent="0.2">
      <c r="A2339" s="289" t="str">
        <f t="shared" si="0"/>
        <v/>
      </c>
      <c r="B2339" s="290"/>
      <c r="C2339" s="404"/>
      <c r="D2339" s="291"/>
      <c r="E2339" s="291"/>
      <c r="F2339" s="292"/>
      <c r="G2339" s="291"/>
      <c r="H2339" s="291"/>
      <c r="I2339" s="293"/>
      <c r="J2339" s="291"/>
      <c r="K2339" s="291"/>
      <c r="L2339" s="293"/>
      <c r="M2339" s="291"/>
      <c r="N2339" s="289"/>
      <c r="O2339" s="358"/>
      <c r="P2339" s="402">
        <f t="shared" ref="P2339:Q2339" si="2337">IF(B2339=0,0,IF(YEAR(B2339)=$Q$1,MONTH(B2339)-$P$1+1,(YEAR(B2339)-$Q$1)*12-$P$1+1+MONTH(B2339)))</f>
        <v>0</v>
      </c>
      <c r="Q2339" s="402">
        <f t="shared" si="2337"/>
        <v>0</v>
      </c>
      <c r="R2339" s="356" t="e">
        <f t="shared" si="1325"/>
        <v>#N/A</v>
      </c>
      <c r="S2339" s="269" t="str">
        <f>IF(D2339="","",IF(OR(D2339=Plano!$A$1,D2339=Plano!$B$1),"entrada","saída"))</f>
        <v/>
      </c>
      <c r="T2339" s="269"/>
      <c r="U2339" s="269"/>
      <c r="V2339" s="269"/>
      <c r="W2339" s="269"/>
    </row>
    <row r="2340" spans="1:23" ht="12.75" customHeight="1" x14ac:dyDescent="0.2">
      <c r="A2340" s="289" t="str">
        <f t="shared" si="0"/>
        <v/>
      </c>
      <c r="B2340" s="290"/>
      <c r="C2340" s="404"/>
      <c r="D2340" s="291"/>
      <c r="E2340" s="291"/>
      <c r="F2340" s="292"/>
      <c r="G2340" s="291"/>
      <c r="H2340" s="291"/>
      <c r="I2340" s="293"/>
      <c r="J2340" s="291"/>
      <c r="K2340" s="291"/>
      <c r="L2340" s="293"/>
      <c r="M2340" s="291"/>
      <c r="N2340" s="289"/>
      <c r="O2340" s="358"/>
      <c r="P2340" s="402">
        <f t="shared" ref="P2340:Q2340" si="2338">IF(B2340=0,0,IF(YEAR(B2340)=$Q$1,MONTH(B2340)-$P$1+1,(YEAR(B2340)-$Q$1)*12-$P$1+1+MONTH(B2340)))</f>
        <v>0</v>
      </c>
      <c r="Q2340" s="402">
        <f t="shared" si="2338"/>
        <v>0</v>
      </c>
      <c r="R2340" s="356" t="e">
        <f t="shared" si="1325"/>
        <v>#N/A</v>
      </c>
      <c r="S2340" s="269" t="str">
        <f>IF(D2340="","",IF(OR(D2340=Plano!$A$1,D2340=Plano!$B$1),"entrada","saída"))</f>
        <v/>
      </c>
      <c r="T2340" s="269"/>
      <c r="U2340" s="269"/>
      <c r="V2340" s="269"/>
      <c r="W2340" s="269"/>
    </row>
    <row r="2341" spans="1:23" ht="12.75" customHeight="1" x14ac:dyDescent="0.2">
      <c r="A2341" s="289" t="str">
        <f t="shared" si="0"/>
        <v/>
      </c>
      <c r="B2341" s="290"/>
      <c r="C2341" s="404"/>
      <c r="D2341" s="291"/>
      <c r="E2341" s="291"/>
      <c r="F2341" s="292"/>
      <c r="G2341" s="291"/>
      <c r="H2341" s="291"/>
      <c r="I2341" s="293"/>
      <c r="J2341" s="291"/>
      <c r="K2341" s="291"/>
      <c r="L2341" s="293"/>
      <c r="M2341" s="291"/>
      <c r="N2341" s="289"/>
      <c r="O2341" s="358"/>
      <c r="P2341" s="402">
        <f t="shared" ref="P2341:Q2341" si="2339">IF(B2341=0,0,IF(YEAR(B2341)=$Q$1,MONTH(B2341)-$P$1+1,(YEAR(B2341)-$Q$1)*12-$P$1+1+MONTH(B2341)))</f>
        <v>0</v>
      </c>
      <c r="Q2341" s="402">
        <f t="shared" si="2339"/>
        <v>0</v>
      </c>
      <c r="R2341" s="356" t="e">
        <f t="shared" si="1325"/>
        <v>#N/A</v>
      </c>
      <c r="S2341" s="269" t="str">
        <f>IF(D2341="","",IF(OR(D2341=Plano!$A$1,D2341=Plano!$B$1),"entrada","saída"))</f>
        <v/>
      </c>
      <c r="T2341" s="269"/>
      <c r="U2341" s="269"/>
      <c r="V2341" s="269"/>
      <c r="W2341" s="269"/>
    </row>
    <row r="2342" spans="1:23" ht="12.75" customHeight="1" x14ac:dyDescent="0.2">
      <c r="A2342" s="289" t="str">
        <f t="shared" si="0"/>
        <v/>
      </c>
      <c r="B2342" s="290"/>
      <c r="C2342" s="404"/>
      <c r="D2342" s="291"/>
      <c r="E2342" s="291"/>
      <c r="F2342" s="292"/>
      <c r="G2342" s="291"/>
      <c r="H2342" s="291"/>
      <c r="I2342" s="293"/>
      <c r="J2342" s="291"/>
      <c r="K2342" s="291"/>
      <c r="L2342" s="293"/>
      <c r="M2342" s="291"/>
      <c r="N2342" s="289"/>
      <c r="O2342" s="358"/>
      <c r="P2342" s="402">
        <f t="shared" ref="P2342:Q2342" si="2340">IF(B2342=0,0,IF(YEAR(B2342)=$Q$1,MONTH(B2342)-$P$1+1,(YEAR(B2342)-$Q$1)*12-$P$1+1+MONTH(B2342)))</f>
        <v>0</v>
      </c>
      <c r="Q2342" s="402">
        <f t="shared" si="2340"/>
        <v>0</v>
      </c>
      <c r="R2342" s="356" t="e">
        <f t="shared" si="1325"/>
        <v>#N/A</v>
      </c>
      <c r="S2342" s="269" t="str">
        <f>IF(D2342="","",IF(OR(D2342=Plano!$A$1,D2342=Plano!$B$1),"entrada","saída"))</f>
        <v/>
      </c>
      <c r="T2342" s="269"/>
      <c r="U2342" s="269"/>
      <c r="V2342" s="269"/>
      <c r="W2342" s="269"/>
    </row>
    <row r="2343" spans="1:23" ht="12.75" customHeight="1" x14ac:dyDescent="0.2">
      <c r="A2343" s="289" t="str">
        <f t="shared" si="0"/>
        <v/>
      </c>
      <c r="B2343" s="290"/>
      <c r="C2343" s="404"/>
      <c r="D2343" s="291"/>
      <c r="E2343" s="291"/>
      <c r="F2343" s="292"/>
      <c r="G2343" s="291"/>
      <c r="H2343" s="291"/>
      <c r="I2343" s="293"/>
      <c r="J2343" s="291"/>
      <c r="K2343" s="291"/>
      <c r="L2343" s="293"/>
      <c r="M2343" s="291"/>
      <c r="N2343" s="289"/>
      <c r="O2343" s="358"/>
      <c r="P2343" s="402">
        <f t="shared" ref="P2343:Q2343" si="2341">IF(B2343=0,0,IF(YEAR(B2343)=$Q$1,MONTH(B2343)-$P$1+1,(YEAR(B2343)-$Q$1)*12-$P$1+1+MONTH(B2343)))</f>
        <v>0</v>
      </c>
      <c r="Q2343" s="402">
        <f t="shared" si="2341"/>
        <v>0</v>
      </c>
      <c r="R2343" s="356" t="e">
        <f t="shared" si="1325"/>
        <v>#N/A</v>
      </c>
      <c r="S2343" s="269" t="str">
        <f>IF(D2343="","",IF(OR(D2343=Plano!$A$1,D2343=Plano!$B$1),"entrada","saída"))</f>
        <v/>
      </c>
      <c r="T2343" s="269"/>
      <c r="U2343" s="269"/>
      <c r="V2343" s="269"/>
      <c r="W2343" s="269"/>
    </row>
    <row r="2344" spans="1:23" ht="12.75" customHeight="1" x14ac:dyDescent="0.2">
      <c r="A2344" s="289" t="str">
        <f t="shared" si="0"/>
        <v/>
      </c>
      <c r="B2344" s="290"/>
      <c r="C2344" s="404"/>
      <c r="D2344" s="291"/>
      <c r="E2344" s="291"/>
      <c r="F2344" s="292"/>
      <c r="G2344" s="291"/>
      <c r="H2344" s="291"/>
      <c r="I2344" s="293"/>
      <c r="J2344" s="291"/>
      <c r="K2344" s="291"/>
      <c r="L2344" s="293"/>
      <c r="M2344" s="291"/>
      <c r="N2344" s="289"/>
      <c r="O2344" s="358"/>
      <c r="P2344" s="402">
        <f t="shared" ref="P2344:Q2344" si="2342">IF(B2344=0,0,IF(YEAR(B2344)=$Q$1,MONTH(B2344)-$P$1+1,(YEAR(B2344)-$Q$1)*12-$P$1+1+MONTH(B2344)))</f>
        <v>0</v>
      </c>
      <c r="Q2344" s="402">
        <f t="shared" si="2342"/>
        <v>0</v>
      </c>
      <c r="R2344" s="356" t="e">
        <f t="shared" si="1325"/>
        <v>#N/A</v>
      </c>
      <c r="S2344" s="269" t="str">
        <f>IF(D2344="","",IF(OR(D2344=Plano!$A$1,D2344=Plano!$B$1),"entrada","saída"))</f>
        <v/>
      </c>
      <c r="T2344" s="269"/>
      <c r="U2344" s="269"/>
      <c r="V2344" s="269"/>
      <c r="W2344" s="269"/>
    </row>
    <row r="2345" spans="1:23" ht="12.75" customHeight="1" x14ac:dyDescent="0.2">
      <c r="A2345" s="289" t="str">
        <f t="shared" si="0"/>
        <v/>
      </c>
      <c r="B2345" s="290"/>
      <c r="C2345" s="404"/>
      <c r="D2345" s="291"/>
      <c r="E2345" s="291"/>
      <c r="F2345" s="292"/>
      <c r="G2345" s="291"/>
      <c r="H2345" s="291"/>
      <c r="I2345" s="293"/>
      <c r="J2345" s="291"/>
      <c r="K2345" s="291"/>
      <c r="L2345" s="293"/>
      <c r="M2345" s="291"/>
      <c r="N2345" s="289"/>
      <c r="O2345" s="358"/>
      <c r="P2345" s="402">
        <f t="shared" ref="P2345:Q2345" si="2343">IF(B2345=0,0,IF(YEAR(B2345)=$Q$1,MONTH(B2345)-$P$1+1,(YEAR(B2345)-$Q$1)*12-$P$1+1+MONTH(B2345)))</f>
        <v>0</v>
      </c>
      <c r="Q2345" s="402">
        <f t="shared" si="2343"/>
        <v>0</v>
      </c>
      <c r="R2345" s="356" t="e">
        <f t="shared" si="1325"/>
        <v>#N/A</v>
      </c>
      <c r="S2345" s="269" t="str">
        <f>IF(D2345="","",IF(OR(D2345=Plano!$A$1,D2345=Plano!$B$1),"entrada","saída"))</f>
        <v/>
      </c>
      <c r="T2345" s="269"/>
      <c r="U2345" s="269"/>
      <c r="V2345" s="269"/>
      <c r="W2345" s="269"/>
    </row>
    <row r="2346" spans="1:23" ht="12.75" customHeight="1" x14ac:dyDescent="0.2">
      <c r="A2346" s="289" t="str">
        <f t="shared" si="0"/>
        <v/>
      </c>
      <c r="B2346" s="290"/>
      <c r="C2346" s="404"/>
      <c r="D2346" s="291"/>
      <c r="E2346" s="291"/>
      <c r="F2346" s="292"/>
      <c r="G2346" s="291"/>
      <c r="H2346" s="291"/>
      <c r="I2346" s="293"/>
      <c r="J2346" s="291"/>
      <c r="K2346" s="291"/>
      <c r="L2346" s="293"/>
      <c r="M2346" s="291"/>
      <c r="N2346" s="289"/>
      <c r="O2346" s="358"/>
      <c r="P2346" s="402">
        <f t="shared" ref="P2346:Q2346" si="2344">IF(B2346=0,0,IF(YEAR(B2346)=$Q$1,MONTH(B2346)-$P$1+1,(YEAR(B2346)-$Q$1)*12-$P$1+1+MONTH(B2346)))</f>
        <v>0</v>
      </c>
      <c r="Q2346" s="402">
        <f t="shared" si="2344"/>
        <v>0</v>
      </c>
      <c r="R2346" s="356" t="e">
        <f t="shared" si="1325"/>
        <v>#N/A</v>
      </c>
      <c r="S2346" s="269" t="str">
        <f>IF(D2346="","",IF(OR(D2346=Plano!$A$1,D2346=Plano!$B$1),"entrada","saída"))</f>
        <v/>
      </c>
      <c r="T2346" s="269"/>
      <c r="U2346" s="269"/>
      <c r="V2346" s="269"/>
      <c r="W2346" s="269"/>
    </row>
    <row r="2347" spans="1:23" ht="12.75" customHeight="1" x14ac:dyDescent="0.2">
      <c r="A2347" s="289" t="str">
        <f t="shared" si="0"/>
        <v/>
      </c>
      <c r="B2347" s="290"/>
      <c r="C2347" s="404"/>
      <c r="D2347" s="291"/>
      <c r="E2347" s="291"/>
      <c r="F2347" s="292"/>
      <c r="G2347" s="291"/>
      <c r="H2347" s="291"/>
      <c r="I2347" s="293"/>
      <c r="J2347" s="291"/>
      <c r="K2347" s="291"/>
      <c r="L2347" s="293"/>
      <c r="M2347" s="291"/>
      <c r="N2347" s="289"/>
      <c r="O2347" s="358"/>
      <c r="P2347" s="402">
        <f t="shared" ref="P2347:Q2347" si="2345">IF(B2347=0,0,IF(YEAR(B2347)=$Q$1,MONTH(B2347)-$P$1+1,(YEAR(B2347)-$Q$1)*12-$P$1+1+MONTH(B2347)))</f>
        <v>0</v>
      </c>
      <c r="Q2347" s="402">
        <f t="shared" si="2345"/>
        <v>0</v>
      </c>
      <c r="R2347" s="356" t="e">
        <f t="shared" si="1325"/>
        <v>#N/A</v>
      </c>
      <c r="S2347" s="269" t="str">
        <f>IF(D2347="","",IF(OR(D2347=Plano!$A$1,D2347=Plano!$B$1),"entrada","saída"))</f>
        <v/>
      </c>
      <c r="T2347" s="269"/>
      <c r="U2347" s="269"/>
      <c r="V2347" s="269"/>
      <c r="W2347" s="269"/>
    </row>
    <row r="2348" spans="1:23" ht="12.75" customHeight="1" x14ac:dyDescent="0.2">
      <c r="A2348" s="289" t="str">
        <f t="shared" si="0"/>
        <v/>
      </c>
      <c r="B2348" s="290"/>
      <c r="C2348" s="404"/>
      <c r="D2348" s="291"/>
      <c r="E2348" s="291"/>
      <c r="F2348" s="292"/>
      <c r="G2348" s="291"/>
      <c r="H2348" s="291"/>
      <c r="I2348" s="293"/>
      <c r="J2348" s="291"/>
      <c r="K2348" s="291"/>
      <c r="L2348" s="293"/>
      <c r="M2348" s="291"/>
      <c r="N2348" s="289"/>
      <c r="O2348" s="358"/>
      <c r="P2348" s="402">
        <f t="shared" ref="P2348:Q2348" si="2346">IF(B2348=0,0,IF(YEAR(B2348)=$Q$1,MONTH(B2348)-$P$1+1,(YEAR(B2348)-$Q$1)*12-$P$1+1+MONTH(B2348)))</f>
        <v>0</v>
      </c>
      <c r="Q2348" s="402">
        <f t="shared" si="2346"/>
        <v>0</v>
      </c>
      <c r="R2348" s="356" t="e">
        <f t="shared" si="1325"/>
        <v>#N/A</v>
      </c>
      <c r="S2348" s="269" t="str">
        <f>IF(D2348="","",IF(OR(D2348=Plano!$A$1,D2348=Plano!$B$1),"entrada","saída"))</f>
        <v/>
      </c>
      <c r="T2348" s="269"/>
      <c r="U2348" s="269"/>
      <c r="V2348" s="269"/>
      <c r="W2348" s="269"/>
    </row>
    <row r="2349" spans="1:23" ht="12.75" customHeight="1" x14ac:dyDescent="0.2">
      <c r="A2349" s="289" t="str">
        <f t="shared" si="0"/>
        <v/>
      </c>
      <c r="B2349" s="290"/>
      <c r="C2349" s="404"/>
      <c r="D2349" s="291"/>
      <c r="E2349" s="291"/>
      <c r="F2349" s="292"/>
      <c r="G2349" s="291"/>
      <c r="H2349" s="291"/>
      <c r="I2349" s="293"/>
      <c r="J2349" s="291"/>
      <c r="K2349" s="291"/>
      <c r="L2349" s="293"/>
      <c r="M2349" s="291"/>
      <c r="N2349" s="289"/>
      <c r="O2349" s="358"/>
      <c r="P2349" s="402">
        <f t="shared" ref="P2349:Q2349" si="2347">IF(B2349=0,0,IF(YEAR(B2349)=$Q$1,MONTH(B2349)-$P$1+1,(YEAR(B2349)-$Q$1)*12-$P$1+1+MONTH(B2349)))</f>
        <v>0</v>
      </c>
      <c r="Q2349" s="402">
        <f t="shared" si="2347"/>
        <v>0</v>
      </c>
      <c r="R2349" s="356" t="e">
        <f t="shared" si="1325"/>
        <v>#N/A</v>
      </c>
      <c r="S2349" s="269" t="str">
        <f>IF(D2349="","",IF(OR(D2349=Plano!$A$1,D2349=Plano!$B$1),"entrada","saída"))</f>
        <v/>
      </c>
      <c r="T2349" s="269"/>
      <c r="U2349" s="269"/>
      <c r="V2349" s="269"/>
      <c r="W2349" s="269"/>
    </row>
    <row r="2350" spans="1:23" ht="12.75" customHeight="1" x14ac:dyDescent="0.2">
      <c r="A2350" s="289" t="str">
        <f t="shared" si="0"/>
        <v/>
      </c>
      <c r="B2350" s="290"/>
      <c r="C2350" s="404"/>
      <c r="D2350" s="291"/>
      <c r="E2350" s="291"/>
      <c r="F2350" s="292"/>
      <c r="G2350" s="291"/>
      <c r="H2350" s="291"/>
      <c r="I2350" s="293"/>
      <c r="J2350" s="291"/>
      <c r="K2350" s="291"/>
      <c r="L2350" s="293"/>
      <c r="M2350" s="291"/>
      <c r="N2350" s="289"/>
      <c r="O2350" s="358"/>
      <c r="P2350" s="402">
        <f t="shared" ref="P2350:Q2350" si="2348">IF(B2350=0,0,IF(YEAR(B2350)=$Q$1,MONTH(B2350)-$P$1+1,(YEAR(B2350)-$Q$1)*12-$P$1+1+MONTH(B2350)))</f>
        <v>0</v>
      </c>
      <c r="Q2350" s="402">
        <f t="shared" si="2348"/>
        <v>0</v>
      </c>
      <c r="R2350" s="356" t="e">
        <f t="shared" si="1325"/>
        <v>#N/A</v>
      </c>
      <c r="S2350" s="269" t="str">
        <f>IF(D2350="","",IF(OR(D2350=Plano!$A$1,D2350=Plano!$B$1),"entrada","saída"))</f>
        <v/>
      </c>
      <c r="T2350" s="269"/>
      <c r="U2350" s="269"/>
      <c r="V2350" s="269"/>
      <c r="W2350" s="269"/>
    </row>
    <row r="2351" spans="1:23" ht="12.75" customHeight="1" x14ac:dyDescent="0.2">
      <c r="A2351" s="289" t="str">
        <f t="shared" si="0"/>
        <v/>
      </c>
      <c r="B2351" s="290"/>
      <c r="C2351" s="404"/>
      <c r="D2351" s="291"/>
      <c r="E2351" s="291"/>
      <c r="F2351" s="292"/>
      <c r="G2351" s="291"/>
      <c r="H2351" s="291"/>
      <c r="I2351" s="293"/>
      <c r="J2351" s="291"/>
      <c r="K2351" s="291"/>
      <c r="L2351" s="293"/>
      <c r="M2351" s="291"/>
      <c r="N2351" s="289"/>
      <c r="O2351" s="358"/>
      <c r="P2351" s="402">
        <f t="shared" ref="P2351:Q2351" si="2349">IF(B2351=0,0,IF(YEAR(B2351)=$Q$1,MONTH(B2351)-$P$1+1,(YEAR(B2351)-$Q$1)*12-$P$1+1+MONTH(B2351)))</f>
        <v>0</v>
      </c>
      <c r="Q2351" s="402">
        <f t="shared" si="2349"/>
        <v>0</v>
      </c>
      <c r="R2351" s="356" t="e">
        <f t="shared" si="1325"/>
        <v>#N/A</v>
      </c>
      <c r="S2351" s="269" t="str">
        <f>IF(D2351="","",IF(OR(D2351=Plano!$A$1,D2351=Plano!$B$1),"entrada","saída"))</f>
        <v/>
      </c>
      <c r="T2351" s="269"/>
      <c r="U2351" s="269"/>
      <c r="V2351" s="269"/>
      <c r="W2351" s="269"/>
    </row>
    <row r="2352" spans="1:23" ht="12.75" customHeight="1" x14ac:dyDescent="0.2">
      <c r="A2352" s="289" t="str">
        <f t="shared" si="0"/>
        <v/>
      </c>
      <c r="B2352" s="290"/>
      <c r="C2352" s="404"/>
      <c r="D2352" s="291"/>
      <c r="E2352" s="291"/>
      <c r="F2352" s="292"/>
      <c r="G2352" s="291"/>
      <c r="H2352" s="291"/>
      <c r="I2352" s="293"/>
      <c r="J2352" s="291"/>
      <c r="K2352" s="291"/>
      <c r="L2352" s="293"/>
      <c r="M2352" s="291"/>
      <c r="N2352" s="289"/>
      <c r="O2352" s="358"/>
      <c r="P2352" s="402">
        <f t="shared" ref="P2352:Q2352" si="2350">IF(B2352=0,0,IF(YEAR(B2352)=$Q$1,MONTH(B2352)-$P$1+1,(YEAR(B2352)-$Q$1)*12-$P$1+1+MONTH(B2352)))</f>
        <v>0</v>
      </c>
      <c r="Q2352" s="402">
        <f t="shared" si="2350"/>
        <v>0</v>
      </c>
      <c r="R2352" s="356" t="e">
        <f t="shared" si="1325"/>
        <v>#N/A</v>
      </c>
      <c r="S2352" s="269" t="str">
        <f>IF(D2352="","",IF(OR(D2352=Plano!$A$1,D2352=Plano!$B$1),"entrada","saída"))</f>
        <v/>
      </c>
      <c r="T2352" s="269"/>
      <c r="U2352" s="269"/>
      <c r="V2352" s="269"/>
      <c r="W2352" s="269"/>
    </row>
    <row r="2353" spans="1:23" ht="12.75" customHeight="1" x14ac:dyDescent="0.2">
      <c r="A2353" s="289" t="str">
        <f t="shared" si="0"/>
        <v/>
      </c>
      <c r="B2353" s="290"/>
      <c r="C2353" s="404"/>
      <c r="D2353" s="291"/>
      <c r="E2353" s="291"/>
      <c r="F2353" s="292"/>
      <c r="G2353" s="291"/>
      <c r="H2353" s="291"/>
      <c r="I2353" s="293"/>
      <c r="J2353" s="291"/>
      <c r="K2353" s="291"/>
      <c r="L2353" s="293"/>
      <c r="M2353" s="291"/>
      <c r="N2353" s="289"/>
      <c r="O2353" s="358"/>
      <c r="P2353" s="402">
        <f t="shared" ref="P2353:Q2353" si="2351">IF(B2353=0,0,IF(YEAR(B2353)=$Q$1,MONTH(B2353)-$P$1+1,(YEAR(B2353)-$Q$1)*12-$P$1+1+MONTH(B2353)))</f>
        <v>0</v>
      </c>
      <c r="Q2353" s="402">
        <f t="shared" si="2351"/>
        <v>0</v>
      </c>
      <c r="R2353" s="356" t="e">
        <f t="shared" si="1325"/>
        <v>#N/A</v>
      </c>
      <c r="S2353" s="269" t="str">
        <f>IF(D2353="","",IF(OR(D2353=Plano!$A$1,D2353=Plano!$B$1),"entrada","saída"))</f>
        <v/>
      </c>
      <c r="T2353" s="269"/>
      <c r="U2353" s="269"/>
      <c r="V2353" s="269"/>
      <c r="W2353" s="269"/>
    </row>
    <row r="2354" spans="1:23" ht="12.75" customHeight="1" x14ac:dyDescent="0.2">
      <c r="A2354" s="289" t="str">
        <f t="shared" si="0"/>
        <v/>
      </c>
      <c r="B2354" s="290"/>
      <c r="C2354" s="404"/>
      <c r="D2354" s="291"/>
      <c r="E2354" s="291"/>
      <c r="F2354" s="292"/>
      <c r="G2354" s="291"/>
      <c r="H2354" s="291"/>
      <c r="I2354" s="293"/>
      <c r="J2354" s="291"/>
      <c r="K2354" s="291"/>
      <c r="L2354" s="293"/>
      <c r="M2354" s="291"/>
      <c r="N2354" s="289"/>
      <c r="O2354" s="358"/>
      <c r="P2354" s="402">
        <f t="shared" ref="P2354:Q2354" si="2352">IF(B2354=0,0,IF(YEAR(B2354)=$Q$1,MONTH(B2354)-$P$1+1,(YEAR(B2354)-$Q$1)*12-$P$1+1+MONTH(B2354)))</f>
        <v>0</v>
      </c>
      <c r="Q2354" s="402">
        <f t="shared" si="2352"/>
        <v>0</v>
      </c>
      <c r="R2354" s="356" t="e">
        <f t="shared" si="1325"/>
        <v>#N/A</v>
      </c>
      <c r="S2354" s="269" t="str">
        <f>IF(D2354="","",IF(OR(D2354=Plano!$A$1,D2354=Plano!$B$1),"entrada","saída"))</f>
        <v/>
      </c>
      <c r="T2354" s="269"/>
      <c r="U2354" s="269"/>
      <c r="V2354" s="269"/>
      <c r="W2354" s="269"/>
    </row>
    <row r="2355" spans="1:23" ht="12.75" customHeight="1" x14ac:dyDescent="0.2">
      <c r="A2355" s="289" t="str">
        <f t="shared" si="0"/>
        <v/>
      </c>
      <c r="B2355" s="290"/>
      <c r="C2355" s="404"/>
      <c r="D2355" s="291"/>
      <c r="E2355" s="291"/>
      <c r="F2355" s="292"/>
      <c r="G2355" s="291"/>
      <c r="H2355" s="291"/>
      <c r="I2355" s="293"/>
      <c r="J2355" s="291"/>
      <c r="K2355" s="291"/>
      <c r="L2355" s="293"/>
      <c r="M2355" s="291"/>
      <c r="N2355" s="289"/>
      <c r="O2355" s="358"/>
      <c r="P2355" s="402">
        <f t="shared" ref="P2355:Q2355" si="2353">IF(B2355=0,0,IF(YEAR(B2355)=$Q$1,MONTH(B2355)-$P$1+1,(YEAR(B2355)-$Q$1)*12-$P$1+1+MONTH(B2355)))</f>
        <v>0</v>
      </c>
      <c r="Q2355" s="402">
        <f t="shared" si="2353"/>
        <v>0</v>
      </c>
      <c r="R2355" s="356" t="e">
        <f t="shared" si="1325"/>
        <v>#N/A</v>
      </c>
      <c r="S2355" s="269" t="str">
        <f>IF(D2355="","",IF(OR(D2355=Plano!$A$1,D2355=Plano!$B$1),"entrada","saída"))</f>
        <v/>
      </c>
      <c r="T2355" s="269"/>
      <c r="U2355" s="269"/>
      <c r="V2355" s="269"/>
      <c r="W2355" s="269"/>
    </row>
    <row r="2356" spans="1:23" ht="12.75" customHeight="1" x14ac:dyDescent="0.2">
      <c r="A2356" s="289" t="str">
        <f t="shared" si="0"/>
        <v/>
      </c>
      <c r="B2356" s="290"/>
      <c r="C2356" s="404"/>
      <c r="D2356" s="291"/>
      <c r="E2356" s="291"/>
      <c r="F2356" s="292"/>
      <c r="G2356" s="291"/>
      <c r="H2356" s="291"/>
      <c r="I2356" s="293"/>
      <c r="J2356" s="291"/>
      <c r="K2356" s="291"/>
      <c r="L2356" s="293"/>
      <c r="M2356" s="291"/>
      <c r="N2356" s="289"/>
      <c r="O2356" s="358"/>
      <c r="P2356" s="402">
        <f t="shared" ref="P2356:Q2356" si="2354">IF(B2356=0,0,IF(YEAR(B2356)=$Q$1,MONTH(B2356)-$P$1+1,(YEAR(B2356)-$Q$1)*12-$P$1+1+MONTH(B2356)))</f>
        <v>0</v>
      </c>
      <c r="Q2356" s="402">
        <f t="shared" si="2354"/>
        <v>0</v>
      </c>
      <c r="R2356" s="356" t="e">
        <f t="shared" si="1325"/>
        <v>#N/A</v>
      </c>
      <c r="S2356" s="269" t="str">
        <f>IF(D2356="","",IF(OR(D2356=Plano!$A$1,D2356=Plano!$B$1),"entrada","saída"))</f>
        <v/>
      </c>
      <c r="T2356" s="269"/>
      <c r="U2356" s="269"/>
      <c r="V2356" s="269"/>
      <c r="W2356" s="269"/>
    </row>
    <row r="2357" spans="1:23" ht="12.75" customHeight="1" x14ac:dyDescent="0.2">
      <c r="A2357" s="289" t="str">
        <f t="shared" si="0"/>
        <v/>
      </c>
      <c r="B2357" s="290"/>
      <c r="C2357" s="404"/>
      <c r="D2357" s="291"/>
      <c r="E2357" s="291"/>
      <c r="F2357" s="292"/>
      <c r="G2357" s="291"/>
      <c r="H2357" s="291"/>
      <c r="I2357" s="293"/>
      <c r="J2357" s="291"/>
      <c r="K2357" s="291"/>
      <c r="L2357" s="293"/>
      <c r="M2357" s="291"/>
      <c r="N2357" s="289"/>
      <c r="O2357" s="358"/>
      <c r="P2357" s="402">
        <f t="shared" ref="P2357:Q2357" si="2355">IF(B2357=0,0,IF(YEAR(B2357)=$Q$1,MONTH(B2357)-$P$1+1,(YEAR(B2357)-$Q$1)*12-$P$1+1+MONTH(B2357)))</f>
        <v>0</v>
      </c>
      <c r="Q2357" s="402">
        <f t="shared" si="2355"/>
        <v>0</v>
      </c>
      <c r="R2357" s="356" t="e">
        <f t="shared" si="1325"/>
        <v>#N/A</v>
      </c>
      <c r="S2357" s="269" t="str">
        <f>IF(D2357="","",IF(OR(D2357=Plano!$A$1,D2357=Plano!$B$1),"entrada","saída"))</f>
        <v/>
      </c>
      <c r="T2357" s="269"/>
      <c r="U2357" s="269"/>
      <c r="V2357" s="269"/>
      <c r="W2357" s="269"/>
    </row>
    <row r="2358" spans="1:23" ht="12.75" customHeight="1" x14ac:dyDescent="0.2">
      <c r="A2358" s="289" t="str">
        <f t="shared" si="0"/>
        <v/>
      </c>
      <c r="B2358" s="290"/>
      <c r="C2358" s="404"/>
      <c r="D2358" s="291"/>
      <c r="E2358" s="291"/>
      <c r="F2358" s="292"/>
      <c r="G2358" s="291"/>
      <c r="H2358" s="291"/>
      <c r="I2358" s="293"/>
      <c r="J2358" s="291"/>
      <c r="K2358" s="291"/>
      <c r="L2358" s="293"/>
      <c r="M2358" s="291"/>
      <c r="N2358" s="289"/>
      <c r="O2358" s="358"/>
      <c r="P2358" s="402">
        <f t="shared" ref="P2358:Q2358" si="2356">IF(B2358=0,0,IF(YEAR(B2358)=$Q$1,MONTH(B2358)-$P$1+1,(YEAR(B2358)-$Q$1)*12-$P$1+1+MONTH(B2358)))</f>
        <v>0</v>
      </c>
      <c r="Q2358" s="402">
        <f t="shared" si="2356"/>
        <v>0</v>
      </c>
      <c r="R2358" s="356" t="e">
        <f t="shared" si="1325"/>
        <v>#N/A</v>
      </c>
      <c r="S2358" s="269" t="str">
        <f>IF(D2358="","",IF(OR(D2358=Plano!$A$1,D2358=Plano!$B$1),"entrada","saída"))</f>
        <v/>
      </c>
      <c r="T2358" s="269"/>
      <c r="U2358" s="269"/>
      <c r="V2358" s="269"/>
      <c r="W2358" s="269"/>
    </row>
    <row r="2359" spans="1:23" ht="12.75" customHeight="1" x14ac:dyDescent="0.2">
      <c r="A2359" s="289" t="str">
        <f t="shared" si="0"/>
        <v/>
      </c>
      <c r="B2359" s="290"/>
      <c r="C2359" s="404"/>
      <c r="D2359" s="291"/>
      <c r="E2359" s="291"/>
      <c r="F2359" s="292"/>
      <c r="G2359" s="291"/>
      <c r="H2359" s="291"/>
      <c r="I2359" s="293"/>
      <c r="J2359" s="291"/>
      <c r="K2359" s="291"/>
      <c r="L2359" s="293"/>
      <c r="M2359" s="291"/>
      <c r="N2359" s="289"/>
      <c r="O2359" s="358"/>
      <c r="P2359" s="402">
        <f t="shared" ref="P2359:Q2359" si="2357">IF(B2359=0,0,IF(YEAR(B2359)=$Q$1,MONTH(B2359)-$P$1+1,(YEAR(B2359)-$Q$1)*12-$P$1+1+MONTH(B2359)))</f>
        <v>0</v>
      </c>
      <c r="Q2359" s="402">
        <f t="shared" si="2357"/>
        <v>0</v>
      </c>
      <c r="R2359" s="356" t="e">
        <f t="shared" si="1325"/>
        <v>#N/A</v>
      </c>
      <c r="S2359" s="269" t="str">
        <f>IF(D2359="","",IF(OR(D2359=Plano!$A$1,D2359=Plano!$B$1),"entrada","saída"))</f>
        <v/>
      </c>
      <c r="T2359" s="269"/>
      <c r="U2359" s="269"/>
      <c r="V2359" s="269"/>
      <c r="W2359" s="269"/>
    </row>
    <row r="2360" spans="1:23" ht="12.75" customHeight="1" x14ac:dyDescent="0.2">
      <c r="A2360" s="289" t="str">
        <f t="shared" si="0"/>
        <v/>
      </c>
      <c r="B2360" s="290"/>
      <c r="C2360" s="404"/>
      <c r="D2360" s="291"/>
      <c r="E2360" s="291"/>
      <c r="F2360" s="292"/>
      <c r="G2360" s="291"/>
      <c r="H2360" s="291"/>
      <c r="I2360" s="293"/>
      <c r="J2360" s="291"/>
      <c r="K2360" s="291"/>
      <c r="L2360" s="293"/>
      <c r="M2360" s="291"/>
      <c r="N2360" s="289"/>
      <c r="O2360" s="358"/>
      <c r="P2360" s="402">
        <f t="shared" ref="P2360:Q2360" si="2358">IF(B2360=0,0,IF(YEAR(B2360)=$Q$1,MONTH(B2360)-$P$1+1,(YEAR(B2360)-$Q$1)*12-$P$1+1+MONTH(B2360)))</f>
        <v>0</v>
      </c>
      <c r="Q2360" s="402">
        <f t="shared" si="2358"/>
        <v>0</v>
      </c>
      <c r="R2360" s="356" t="e">
        <f t="shared" si="1325"/>
        <v>#N/A</v>
      </c>
      <c r="S2360" s="269" t="str">
        <f>IF(D2360="","",IF(OR(D2360=Plano!$A$1,D2360=Plano!$B$1),"entrada","saída"))</f>
        <v/>
      </c>
      <c r="T2360" s="269"/>
      <c r="U2360" s="269"/>
      <c r="V2360" s="269"/>
      <c r="W2360" s="269"/>
    </row>
    <row r="2361" spans="1:23" ht="12.75" customHeight="1" x14ac:dyDescent="0.2">
      <c r="A2361" s="289" t="str">
        <f t="shared" si="0"/>
        <v/>
      </c>
      <c r="B2361" s="290"/>
      <c r="C2361" s="404"/>
      <c r="D2361" s="291"/>
      <c r="E2361" s="291"/>
      <c r="F2361" s="292"/>
      <c r="G2361" s="291"/>
      <c r="H2361" s="291"/>
      <c r="I2361" s="293"/>
      <c r="J2361" s="291"/>
      <c r="K2361" s="291"/>
      <c r="L2361" s="293"/>
      <c r="M2361" s="291"/>
      <c r="N2361" s="289"/>
      <c r="O2361" s="358"/>
      <c r="P2361" s="402">
        <f t="shared" ref="P2361:Q2361" si="2359">IF(B2361=0,0,IF(YEAR(B2361)=$Q$1,MONTH(B2361)-$P$1+1,(YEAR(B2361)-$Q$1)*12-$P$1+1+MONTH(B2361)))</f>
        <v>0</v>
      </c>
      <c r="Q2361" s="402">
        <f t="shared" si="2359"/>
        <v>0</v>
      </c>
      <c r="R2361" s="356" t="e">
        <f t="shared" si="1325"/>
        <v>#N/A</v>
      </c>
      <c r="S2361" s="269" t="str">
        <f>IF(D2361="","",IF(OR(D2361=Plano!$A$1,D2361=Plano!$B$1),"entrada","saída"))</f>
        <v/>
      </c>
      <c r="T2361" s="269"/>
      <c r="U2361" s="269"/>
      <c r="V2361" s="269"/>
      <c r="W2361" s="269"/>
    </row>
    <row r="2362" spans="1:23" ht="12.75" customHeight="1" x14ac:dyDescent="0.2">
      <c r="A2362" s="289" t="str">
        <f t="shared" si="0"/>
        <v/>
      </c>
      <c r="B2362" s="290"/>
      <c r="C2362" s="404"/>
      <c r="D2362" s="291"/>
      <c r="E2362" s="291"/>
      <c r="F2362" s="292"/>
      <c r="G2362" s="291"/>
      <c r="H2362" s="291"/>
      <c r="I2362" s="293"/>
      <c r="J2362" s="291"/>
      <c r="K2362" s="291"/>
      <c r="L2362" s="293"/>
      <c r="M2362" s="291"/>
      <c r="N2362" s="289"/>
      <c r="O2362" s="358"/>
      <c r="P2362" s="402">
        <f t="shared" ref="P2362:Q2362" si="2360">IF(B2362=0,0,IF(YEAR(B2362)=$Q$1,MONTH(B2362)-$P$1+1,(YEAR(B2362)-$Q$1)*12-$P$1+1+MONTH(B2362)))</f>
        <v>0</v>
      </c>
      <c r="Q2362" s="402">
        <f t="shared" si="2360"/>
        <v>0</v>
      </c>
      <c r="R2362" s="356" t="e">
        <f t="shared" si="1325"/>
        <v>#N/A</v>
      </c>
      <c r="S2362" s="269" t="str">
        <f>IF(D2362="","",IF(OR(D2362=Plano!$A$1,D2362=Plano!$B$1),"entrada","saída"))</f>
        <v/>
      </c>
      <c r="T2362" s="269"/>
      <c r="U2362" s="269"/>
      <c r="V2362" s="269"/>
      <c r="W2362" s="269"/>
    </row>
    <row r="2363" spans="1:23" ht="12.75" customHeight="1" x14ac:dyDescent="0.2">
      <c r="A2363" s="289" t="str">
        <f t="shared" si="0"/>
        <v/>
      </c>
      <c r="B2363" s="290"/>
      <c r="C2363" s="404"/>
      <c r="D2363" s="291"/>
      <c r="E2363" s="291"/>
      <c r="F2363" s="292"/>
      <c r="G2363" s="291"/>
      <c r="H2363" s="291"/>
      <c r="I2363" s="293"/>
      <c r="J2363" s="291"/>
      <c r="K2363" s="291"/>
      <c r="L2363" s="293"/>
      <c r="M2363" s="291"/>
      <c r="N2363" s="289"/>
      <c r="O2363" s="358"/>
      <c r="P2363" s="402">
        <f t="shared" ref="P2363:Q2363" si="2361">IF(B2363=0,0,IF(YEAR(B2363)=$Q$1,MONTH(B2363)-$P$1+1,(YEAR(B2363)-$Q$1)*12-$P$1+1+MONTH(B2363)))</f>
        <v>0</v>
      </c>
      <c r="Q2363" s="402">
        <f t="shared" si="2361"/>
        <v>0</v>
      </c>
      <c r="R2363" s="356" t="e">
        <f t="shared" si="1325"/>
        <v>#N/A</v>
      </c>
      <c r="S2363" s="269" t="str">
        <f>IF(D2363="","",IF(OR(D2363=Plano!$A$1,D2363=Plano!$B$1),"entrada","saída"))</f>
        <v/>
      </c>
      <c r="T2363" s="269"/>
      <c r="U2363" s="269"/>
      <c r="V2363" s="269"/>
      <c r="W2363" s="269"/>
    </row>
    <row r="2364" spans="1:23" ht="12.75" customHeight="1" x14ac:dyDescent="0.2">
      <c r="A2364" s="289" t="str">
        <f t="shared" si="0"/>
        <v/>
      </c>
      <c r="B2364" s="290"/>
      <c r="C2364" s="404"/>
      <c r="D2364" s="291"/>
      <c r="E2364" s="291"/>
      <c r="F2364" s="292"/>
      <c r="G2364" s="291"/>
      <c r="H2364" s="291"/>
      <c r="I2364" s="293"/>
      <c r="J2364" s="291"/>
      <c r="K2364" s="291"/>
      <c r="L2364" s="293"/>
      <c r="M2364" s="291"/>
      <c r="N2364" s="289"/>
      <c r="O2364" s="358"/>
      <c r="P2364" s="402">
        <f t="shared" ref="P2364:Q2364" si="2362">IF(B2364=0,0,IF(YEAR(B2364)=$Q$1,MONTH(B2364)-$P$1+1,(YEAR(B2364)-$Q$1)*12-$P$1+1+MONTH(B2364)))</f>
        <v>0</v>
      </c>
      <c r="Q2364" s="402">
        <f t="shared" si="2362"/>
        <v>0</v>
      </c>
      <c r="R2364" s="356" t="e">
        <f t="shared" si="1325"/>
        <v>#N/A</v>
      </c>
      <c r="S2364" s="269" t="str">
        <f>IF(D2364="","",IF(OR(D2364=Plano!$A$1,D2364=Plano!$B$1),"entrada","saída"))</f>
        <v/>
      </c>
      <c r="T2364" s="269"/>
      <c r="U2364" s="269"/>
      <c r="V2364" s="269"/>
      <c r="W2364" s="269"/>
    </row>
    <row r="2365" spans="1:23" ht="12.75" customHeight="1" x14ac:dyDescent="0.2">
      <c r="A2365" s="289" t="str">
        <f t="shared" si="0"/>
        <v/>
      </c>
      <c r="B2365" s="290"/>
      <c r="C2365" s="404"/>
      <c r="D2365" s="291"/>
      <c r="E2365" s="291"/>
      <c r="F2365" s="292"/>
      <c r="G2365" s="291"/>
      <c r="H2365" s="291"/>
      <c r="I2365" s="293"/>
      <c r="J2365" s="291"/>
      <c r="K2365" s="291"/>
      <c r="L2365" s="293"/>
      <c r="M2365" s="291"/>
      <c r="N2365" s="289"/>
      <c r="O2365" s="358"/>
      <c r="P2365" s="402">
        <f t="shared" ref="P2365:Q2365" si="2363">IF(B2365=0,0,IF(YEAR(B2365)=$Q$1,MONTH(B2365)-$P$1+1,(YEAR(B2365)-$Q$1)*12-$P$1+1+MONTH(B2365)))</f>
        <v>0</v>
      </c>
      <c r="Q2365" s="402">
        <f t="shared" si="2363"/>
        <v>0</v>
      </c>
      <c r="R2365" s="356" t="e">
        <f t="shared" si="1325"/>
        <v>#N/A</v>
      </c>
      <c r="S2365" s="269" t="str">
        <f>IF(D2365="","",IF(OR(D2365=Plano!$A$1,D2365=Plano!$B$1),"entrada","saída"))</f>
        <v/>
      </c>
      <c r="T2365" s="269"/>
      <c r="U2365" s="269"/>
      <c r="V2365" s="269"/>
      <c r="W2365" s="269"/>
    </row>
    <row r="2366" spans="1:23" ht="12.75" customHeight="1" x14ac:dyDescent="0.2">
      <c r="A2366" s="289" t="str">
        <f t="shared" si="0"/>
        <v/>
      </c>
      <c r="B2366" s="290"/>
      <c r="C2366" s="404"/>
      <c r="D2366" s="291"/>
      <c r="E2366" s="291"/>
      <c r="F2366" s="292"/>
      <c r="G2366" s="291"/>
      <c r="H2366" s="291"/>
      <c r="I2366" s="293"/>
      <c r="J2366" s="291"/>
      <c r="K2366" s="291"/>
      <c r="L2366" s="293"/>
      <c r="M2366" s="291"/>
      <c r="N2366" s="289"/>
      <c r="O2366" s="358"/>
      <c r="P2366" s="402">
        <f t="shared" ref="P2366:Q2366" si="2364">IF(B2366=0,0,IF(YEAR(B2366)=$Q$1,MONTH(B2366)-$P$1+1,(YEAR(B2366)-$Q$1)*12-$P$1+1+MONTH(B2366)))</f>
        <v>0</v>
      </c>
      <c r="Q2366" s="402">
        <f t="shared" si="2364"/>
        <v>0</v>
      </c>
      <c r="R2366" s="356" t="e">
        <f t="shared" si="1325"/>
        <v>#N/A</v>
      </c>
      <c r="S2366" s="269" t="str">
        <f>IF(D2366="","",IF(OR(D2366=Plano!$A$1,D2366=Plano!$B$1),"entrada","saída"))</f>
        <v/>
      </c>
      <c r="T2366" s="269"/>
      <c r="U2366" s="269"/>
      <c r="V2366" s="269"/>
      <c r="W2366" s="269"/>
    </row>
    <row r="2367" spans="1:23" ht="12.75" customHeight="1" x14ac:dyDescent="0.2">
      <c r="A2367" s="289" t="str">
        <f t="shared" si="0"/>
        <v/>
      </c>
      <c r="B2367" s="290"/>
      <c r="C2367" s="404"/>
      <c r="D2367" s="291"/>
      <c r="E2367" s="291"/>
      <c r="F2367" s="292"/>
      <c r="G2367" s="291"/>
      <c r="H2367" s="291"/>
      <c r="I2367" s="293"/>
      <c r="J2367" s="291"/>
      <c r="K2367" s="291"/>
      <c r="L2367" s="293"/>
      <c r="M2367" s="291"/>
      <c r="N2367" s="289"/>
      <c r="O2367" s="358"/>
      <c r="P2367" s="402">
        <f t="shared" ref="P2367:Q2367" si="2365">IF(B2367=0,0,IF(YEAR(B2367)=$Q$1,MONTH(B2367)-$P$1+1,(YEAR(B2367)-$Q$1)*12-$P$1+1+MONTH(B2367)))</f>
        <v>0</v>
      </c>
      <c r="Q2367" s="402">
        <f t="shared" si="2365"/>
        <v>0</v>
      </c>
      <c r="R2367" s="356" t="e">
        <f t="shared" si="1325"/>
        <v>#N/A</v>
      </c>
      <c r="S2367" s="269" t="str">
        <f>IF(D2367="","",IF(OR(D2367=Plano!$A$1,D2367=Plano!$B$1),"entrada","saída"))</f>
        <v/>
      </c>
      <c r="T2367" s="269"/>
      <c r="U2367" s="269"/>
      <c r="V2367" s="269"/>
      <c r="W2367" s="269"/>
    </row>
    <row r="2368" spans="1:23" ht="12.75" customHeight="1" x14ac:dyDescent="0.2">
      <c r="A2368" s="289" t="str">
        <f t="shared" si="0"/>
        <v/>
      </c>
      <c r="B2368" s="290"/>
      <c r="C2368" s="404"/>
      <c r="D2368" s="291"/>
      <c r="E2368" s="291"/>
      <c r="F2368" s="292"/>
      <c r="G2368" s="291"/>
      <c r="H2368" s="291"/>
      <c r="I2368" s="293"/>
      <c r="J2368" s="291"/>
      <c r="K2368" s="291"/>
      <c r="L2368" s="293"/>
      <c r="M2368" s="291"/>
      <c r="N2368" s="289"/>
      <c r="O2368" s="358"/>
      <c r="P2368" s="402">
        <f t="shared" ref="P2368:Q2368" si="2366">IF(B2368=0,0,IF(YEAR(B2368)=$Q$1,MONTH(B2368)-$P$1+1,(YEAR(B2368)-$Q$1)*12-$P$1+1+MONTH(B2368)))</f>
        <v>0</v>
      </c>
      <c r="Q2368" s="402">
        <f t="shared" si="2366"/>
        <v>0</v>
      </c>
      <c r="R2368" s="356" t="e">
        <f t="shared" si="1325"/>
        <v>#N/A</v>
      </c>
      <c r="S2368" s="269" t="str">
        <f>IF(D2368="","",IF(OR(D2368=Plano!$A$1,D2368=Plano!$B$1),"entrada","saída"))</f>
        <v/>
      </c>
      <c r="T2368" s="269"/>
      <c r="U2368" s="269"/>
      <c r="V2368" s="269"/>
      <c r="W2368" s="269"/>
    </row>
    <row r="2369" spans="1:23" ht="12.75" customHeight="1" x14ac:dyDescent="0.2">
      <c r="A2369" s="289" t="str">
        <f t="shared" si="0"/>
        <v/>
      </c>
      <c r="B2369" s="290"/>
      <c r="C2369" s="404"/>
      <c r="D2369" s="291"/>
      <c r="E2369" s="291"/>
      <c r="F2369" s="292"/>
      <c r="G2369" s="291"/>
      <c r="H2369" s="291"/>
      <c r="I2369" s="293"/>
      <c r="J2369" s="291"/>
      <c r="K2369" s="291"/>
      <c r="L2369" s="293"/>
      <c r="M2369" s="291"/>
      <c r="N2369" s="289"/>
      <c r="O2369" s="358"/>
      <c r="P2369" s="402">
        <f t="shared" ref="P2369:Q2369" si="2367">IF(B2369=0,0,IF(YEAR(B2369)=$Q$1,MONTH(B2369)-$P$1+1,(YEAR(B2369)-$Q$1)*12-$P$1+1+MONTH(B2369)))</f>
        <v>0</v>
      </c>
      <c r="Q2369" s="402">
        <f t="shared" si="2367"/>
        <v>0</v>
      </c>
      <c r="R2369" s="356" t="e">
        <f t="shared" si="1325"/>
        <v>#N/A</v>
      </c>
      <c r="S2369" s="269" t="str">
        <f>IF(D2369="","",IF(OR(D2369=Plano!$A$1,D2369=Plano!$B$1),"entrada","saída"))</f>
        <v/>
      </c>
      <c r="T2369" s="269"/>
      <c r="U2369" s="269"/>
      <c r="V2369" s="269"/>
      <c r="W2369" s="269"/>
    </row>
    <row r="2370" spans="1:23" ht="12.75" customHeight="1" x14ac:dyDescent="0.2">
      <c r="A2370" s="289" t="str">
        <f t="shared" si="0"/>
        <v/>
      </c>
      <c r="B2370" s="290"/>
      <c r="C2370" s="404"/>
      <c r="D2370" s="291"/>
      <c r="E2370" s="291"/>
      <c r="F2370" s="292"/>
      <c r="G2370" s="291"/>
      <c r="H2370" s="291"/>
      <c r="I2370" s="293"/>
      <c r="J2370" s="291"/>
      <c r="K2370" s="291"/>
      <c r="L2370" s="293"/>
      <c r="M2370" s="291"/>
      <c r="N2370" s="289"/>
      <c r="O2370" s="358"/>
      <c r="P2370" s="402">
        <f t="shared" ref="P2370:Q2370" si="2368">IF(B2370=0,0,IF(YEAR(B2370)=$Q$1,MONTH(B2370)-$P$1+1,(YEAR(B2370)-$Q$1)*12-$P$1+1+MONTH(B2370)))</f>
        <v>0</v>
      </c>
      <c r="Q2370" s="402">
        <f t="shared" si="2368"/>
        <v>0</v>
      </c>
      <c r="R2370" s="356" t="e">
        <f t="shared" si="1325"/>
        <v>#N/A</v>
      </c>
      <c r="S2370" s="269" t="str">
        <f>IF(D2370="","",IF(OR(D2370=Plano!$A$1,D2370=Plano!$B$1),"entrada","saída"))</f>
        <v/>
      </c>
      <c r="T2370" s="269"/>
      <c r="U2370" s="269"/>
      <c r="V2370" s="269"/>
      <c r="W2370" s="269"/>
    </row>
    <row r="2371" spans="1:23" ht="12.75" customHeight="1" x14ac:dyDescent="0.2">
      <c r="A2371" s="289" t="str">
        <f t="shared" si="0"/>
        <v/>
      </c>
      <c r="B2371" s="290"/>
      <c r="C2371" s="404"/>
      <c r="D2371" s="291"/>
      <c r="E2371" s="291"/>
      <c r="F2371" s="292"/>
      <c r="G2371" s="291"/>
      <c r="H2371" s="291"/>
      <c r="I2371" s="293"/>
      <c r="J2371" s="291"/>
      <c r="K2371" s="291"/>
      <c r="L2371" s="293"/>
      <c r="M2371" s="291"/>
      <c r="N2371" s="289"/>
      <c r="O2371" s="358"/>
      <c r="P2371" s="402">
        <f t="shared" ref="P2371:Q2371" si="2369">IF(B2371=0,0,IF(YEAR(B2371)=$Q$1,MONTH(B2371)-$P$1+1,(YEAR(B2371)-$Q$1)*12-$P$1+1+MONTH(B2371)))</f>
        <v>0</v>
      </c>
      <c r="Q2371" s="402">
        <f t="shared" si="2369"/>
        <v>0</v>
      </c>
      <c r="R2371" s="356" t="e">
        <f t="shared" si="1325"/>
        <v>#N/A</v>
      </c>
      <c r="S2371" s="269" t="str">
        <f>IF(D2371="","",IF(OR(D2371=Plano!$A$1,D2371=Plano!$B$1),"entrada","saída"))</f>
        <v/>
      </c>
      <c r="T2371" s="269"/>
      <c r="U2371" s="269"/>
      <c r="V2371" s="269"/>
      <c r="W2371" s="269"/>
    </row>
    <row r="2372" spans="1:23" ht="12.75" customHeight="1" x14ac:dyDescent="0.2">
      <c r="A2372" s="289" t="str">
        <f t="shared" si="0"/>
        <v/>
      </c>
      <c r="B2372" s="290"/>
      <c r="C2372" s="404"/>
      <c r="D2372" s="291"/>
      <c r="E2372" s="291"/>
      <c r="F2372" s="292"/>
      <c r="G2372" s="291"/>
      <c r="H2372" s="291"/>
      <c r="I2372" s="293"/>
      <c r="J2372" s="291"/>
      <c r="K2372" s="291"/>
      <c r="L2372" s="293"/>
      <c r="M2372" s="291"/>
      <c r="N2372" s="289"/>
      <c r="O2372" s="358"/>
      <c r="P2372" s="402">
        <f t="shared" ref="P2372:Q2372" si="2370">IF(B2372=0,0,IF(YEAR(B2372)=$Q$1,MONTH(B2372)-$P$1+1,(YEAR(B2372)-$Q$1)*12-$P$1+1+MONTH(B2372)))</f>
        <v>0</v>
      </c>
      <c r="Q2372" s="402">
        <f t="shared" si="2370"/>
        <v>0</v>
      </c>
      <c r="R2372" s="356" t="e">
        <f t="shared" si="1325"/>
        <v>#N/A</v>
      </c>
      <c r="S2372" s="269" t="str">
        <f>IF(D2372="","",IF(OR(D2372=Plano!$A$1,D2372=Plano!$B$1),"entrada","saída"))</f>
        <v/>
      </c>
      <c r="T2372" s="269"/>
      <c r="U2372" s="269"/>
      <c r="V2372" s="269"/>
      <c r="W2372" s="269"/>
    </row>
    <row r="2373" spans="1:23" ht="12.75" customHeight="1" x14ac:dyDescent="0.2">
      <c r="A2373" s="289" t="str">
        <f t="shared" si="0"/>
        <v/>
      </c>
      <c r="B2373" s="290"/>
      <c r="C2373" s="404"/>
      <c r="D2373" s="291"/>
      <c r="E2373" s="291"/>
      <c r="F2373" s="292"/>
      <c r="G2373" s="291"/>
      <c r="H2373" s="291"/>
      <c r="I2373" s="293"/>
      <c r="J2373" s="291"/>
      <c r="K2373" s="291"/>
      <c r="L2373" s="293"/>
      <c r="M2373" s="291"/>
      <c r="N2373" s="289"/>
      <c r="O2373" s="358"/>
      <c r="P2373" s="402">
        <f t="shared" ref="P2373:Q2373" si="2371">IF(B2373=0,0,IF(YEAR(B2373)=$Q$1,MONTH(B2373)-$P$1+1,(YEAR(B2373)-$Q$1)*12-$P$1+1+MONTH(B2373)))</f>
        <v>0</v>
      </c>
      <c r="Q2373" s="402">
        <f t="shared" si="2371"/>
        <v>0</v>
      </c>
      <c r="R2373" s="356" t="e">
        <f t="shared" si="1325"/>
        <v>#N/A</v>
      </c>
      <c r="S2373" s="269" t="str">
        <f>IF(D2373="","",IF(OR(D2373=Plano!$A$1,D2373=Plano!$B$1),"entrada","saída"))</f>
        <v/>
      </c>
      <c r="T2373" s="269"/>
      <c r="U2373" s="269"/>
      <c r="V2373" s="269"/>
      <c r="W2373" s="269"/>
    </row>
    <row r="2374" spans="1:23" ht="12.75" customHeight="1" x14ac:dyDescent="0.2">
      <c r="A2374" s="289" t="str">
        <f t="shared" si="0"/>
        <v/>
      </c>
      <c r="B2374" s="290"/>
      <c r="C2374" s="404"/>
      <c r="D2374" s="291"/>
      <c r="E2374" s="291"/>
      <c r="F2374" s="292"/>
      <c r="G2374" s="291"/>
      <c r="H2374" s="291"/>
      <c r="I2374" s="293"/>
      <c r="J2374" s="291"/>
      <c r="K2374" s="291"/>
      <c r="L2374" s="293"/>
      <c r="M2374" s="291"/>
      <c r="N2374" s="289"/>
      <c r="O2374" s="358"/>
      <c r="P2374" s="402">
        <f t="shared" ref="P2374:Q2374" si="2372">IF(B2374=0,0,IF(YEAR(B2374)=$Q$1,MONTH(B2374)-$P$1+1,(YEAR(B2374)-$Q$1)*12-$P$1+1+MONTH(B2374)))</f>
        <v>0</v>
      </c>
      <c r="Q2374" s="402">
        <f t="shared" si="2372"/>
        <v>0</v>
      </c>
      <c r="R2374" s="356" t="e">
        <f t="shared" si="1325"/>
        <v>#N/A</v>
      </c>
      <c r="S2374" s="269" t="str">
        <f>IF(D2374="","",IF(OR(D2374=Plano!$A$1,D2374=Plano!$B$1),"entrada","saída"))</f>
        <v/>
      </c>
      <c r="T2374" s="269"/>
      <c r="U2374" s="269"/>
      <c r="V2374" s="269"/>
      <c r="W2374" s="269"/>
    </row>
    <row r="2375" spans="1:23" ht="12.75" customHeight="1" x14ac:dyDescent="0.2">
      <c r="A2375" s="289" t="str">
        <f t="shared" si="0"/>
        <v/>
      </c>
      <c r="B2375" s="290"/>
      <c r="C2375" s="404"/>
      <c r="D2375" s="291"/>
      <c r="E2375" s="291"/>
      <c r="F2375" s="292"/>
      <c r="G2375" s="291"/>
      <c r="H2375" s="291"/>
      <c r="I2375" s="293"/>
      <c r="J2375" s="291"/>
      <c r="K2375" s="291"/>
      <c r="L2375" s="293"/>
      <c r="M2375" s="291"/>
      <c r="N2375" s="289"/>
      <c r="O2375" s="358"/>
      <c r="P2375" s="402">
        <f t="shared" ref="P2375:Q2375" si="2373">IF(B2375=0,0,IF(YEAR(B2375)=$Q$1,MONTH(B2375)-$P$1+1,(YEAR(B2375)-$Q$1)*12-$P$1+1+MONTH(B2375)))</f>
        <v>0</v>
      </c>
      <c r="Q2375" s="402">
        <f t="shared" si="2373"/>
        <v>0</v>
      </c>
      <c r="R2375" s="356" t="e">
        <f t="shared" si="1325"/>
        <v>#N/A</v>
      </c>
      <c r="S2375" s="269" t="str">
        <f>IF(D2375="","",IF(OR(D2375=Plano!$A$1,D2375=Plano!$B$1),"entrada","saída"))</f>
        <v/>
      </c>
      <c r="T2375" s="269"/>
      <c r="U2375" s="269"/>
      <c r="V2375" s="269"/>
      <c r="W2375" s="269"/>
    </row>
    <row r="2376" spans="1:23" ht="12.75" customHeight="1" x14ac:dyDescent="0.2">
      <c r="A2376" s="289" t="str">
        <f t="shared" si="0"/>
        <v/>
      </c>
      <c r="B2376" s="290"/>
      <c r="C2376" s="404"/>
      <c r="D2376" s="291"/>
      <c r="E2376" s="291"/>
      <c r="F2376" s="292"/>
      <c r="G2376" s="291"/>
      <c r="H2376" s="291"/>
      <c r="I2376" s="293"/>
      <c r="J2376" s="291"/>
      <c r="K2376" s="291"/>
      <c r="L2376" s="293"/>
      <c r="M2376" s="291"/>
      <c r="N2376" s="289"/>
      <c r="O2376" s="358"/>
      <c r="P2376" s="402">
        <f t="shared" ref="P2376:Q2376" si="2374">IF(B2376=0,0,IF(YEAR(B2376)=$Q$1,MONTH(B2376)-$P$1+1,(YEAR(B2376)-$Q$1)*12-$P$1+1+MONTH(B2376)))</f>
        <v>0</v>
      </c>
      <c r="Q2376" s="402">
        <f t="shared" si="2374"/>
        <v>0</v>
      </c>
      <c r="R2376" s="356" t="e">
        <f t="shared" si="1325"/>
        <v>#N/A</v>
      </c>
      <c r="S2376" s="269" t="str">
        <f>IF(D2376="","",IF(OR(D2376=Plano!$A$1,D2376=Plano!$B$1),"entrada","saída"))</f>
        <v/>
      </c>
      <c r="T2376" s="269"/>
      <c r="U2376" s="269"/>
      <c r="V2376" s="269"/>
      <c r="W2376" s="269"/>
    </row>
    <row r="2377" spans="1:23" ht="12.75" customHeight="1" x14ac:dyDescent="0.2">
      <c r="A2377" s="289" t="str">
        <f t="shared" si="0"/>
        <v/>
      </c>
      <c r="B2377" s="290"/>
      <c r="C2377" s="404"/>
      <c r="D2377" s="291"/>
      <c r="E2377" s="291"/>
      <c r="F2377" s="292"/>
      <c r="G2377" s="291"/>
      <c r="H2377" s="291"/>
      <c r="I2377" s="293"/>
      <c r="J2377" s="291"/>
      <c r="K2377" s="291"/>
      <c r="L2377" s="293"/>
      <c r="M2377" s="291"/>
      <c r="N2377" s="289"/>
      <c r="O2377" s="358"/>
      <c r="P2377" s="402">
        <f t="shared" ref="P2377:Q2377" si="2375">IF(B2377=0,0,IF(YEAR(B2377)=$Q$1,MONTH(B2377)-$P$1+1,(YEAR(B2377)-$Q$1)*12-$P$1+1+MONTH(B2377)))</f>
        <v>0</v>
      </c>
      <c r="Q2377" s="402">
        <f t="shared" si="2375"/>
        <v>0</v>
      </c>
      <c r="R2377" s="356" t="e">
        <f t="shared" si="1325"/>
        <v>#N/A</v>
      </c>
      <c r="S2377" s="269" t="str">
        <f>IF(D2377="","",IF(OR(D2377=Plano!$A$1,D2377=Plano!$B$1),"entrada","saída"))</f>
        <v/>
      </c>
      <c r="T2377" s="269"/>
      <c r="U2377" s="269"/>
      <c r="V2377" s="269"/>
      <c r="W2377" s="269"/>
    </row>
    <row r="2378" spans="1:23" ht="12.75" customHeight="1" x14ac:dyDescent="0.2">
      <c r="A2378" s="289" t="str">
        <f t="shared" si="0"/>
        <v/>
      </c>
      <c r="B2378" s="290"/>
      <c r="C2378" s="404"/>
      <c r="D2378" s="291"/>
      <c r="E2378" s="291"/>
      <c r="F2378" s="292"/>
      <c r="G2378" s="291"/>
      <c r="H2378" s="291"/>
      <c r="I2378" s="293"/>
      <c r="J2378" s="291"/>
      <c r="K2378" s="291"/>
      <c r="L2378" s="293"/>
      <c r="M2378" s="291"/>
      <c r="N2378" s="289"/>
      <c r="O2378" s="358"/>
      <c r="P2378" s="402">
        <f t="shared" ref="P2378:Q2378" si="2376">IF(B2378=0,0,IF(YEAR(B2378)=$Q$1,MONTH(B2378)-$P$1+1,(YEAR(B2378)-$Q$1)*12-$P$1+1+MONTH(B2378)))</f>
        <v>0</v>
      </c>
      <c r="Q2378" s="402">
        <f t="shared" si="2376"/>
        <v>0</v>
      </c>
      <c r="R2378" s="356" t="e">
        <f t="shared" si="1325"/>
        <v>#N/A</v>
      </c>
      <c r="S2378" s="269" t="str">
        <f>IF(D2378="","",IF(OR(D2378=Plano!$A$1,D2378=Plano!$B$1),"entrada","saída"))</f>
        <v/>
      </c>
      <c r="T2378" s="269"/>
      <c r="U2378" s="269"/>
      <c r="V2378" s="269"/>
      <c r="W2378" s="269"/>
    </row>
    <row r="2379" spans="1:23" ht="12.75" customHeight="1" x14ac:dyDescent="0.2">
      <c r="A2379" s="289" t="str">
        <f t="shared" si="0"/>
        <v/>
      </c>
      <c r="B2379" s="290"/>
      <c r="C2379" s="404"/>
      <c r="D2379" s="291"/>
      <c r="E2379" s="291"/>
      <c r="F2379" s="292"/>
      <c r="G2379" s="291"/>
      <c r="H2379" s="291"/>
      <c r="I2379" s="293"/>
      <c r="J2379" s="291"/>
      <c r="K2379" s="291"/>
      <c r="L2379" s="293"/>
      <c r="M2379" s="291"/>
      <c r="N2379" s="289"/>
      <c r="O2379" s="358"/>
      <c r="P2379" s="402">
        <f t="shared" ref="P2379:Q2379" si="2377">IF(B2379=0,0,IF(YEAR(B2379)=$Q$1,MONTH(B2379)-$P$1+1,(YEAR(B2379)-$Q$1)*12-$P$1+1+MONTH(B2379)))</f>
        <v>0</v>
      </c>
      <c r="Q2379" s="402">
        <f t="shared" si="2377"/>
        <v>0</v>
      </c>
      <c r="R2379" s="356" t="e">
        <f t="shared" si="1325"/>
        <v>#N/A</v>
      </c>
      <c r="S2379" s="269" t="str">
        <f>IF(D2379="","",IF(OR(D2379=Plano!$A$1,D2379=Plano!$B$1),"entrada","saída"))</f>
        <v/>
      </c>
      <c r="T2379" s="269"/>
      <c r="U2379" s="269"/>
      <c r="V2379" s="269"/>
      <c r="W2379" s="269"/>
    </row>
    <row r="2380" spans="1:23" ht="12.75" customHeight="1" x14ac:dyDescent="0.2">
      <c r="A2380" s="289" t="str">
        <f t="shared" si="0"/>
        <v/>
      </c>
      <c r="B2380" s="290"/>
      <c r="C2380" s="404"/>
      <c r="D2380" s="291"/>
      <c r="E2380" s="291"/>
      <c r="F2380" s="292"/>
      <c r="G2380" s="291"/>
      <c r="H2380" s="291"/>
      <c r="I2380" s="293"/>
      <c r="J2380" s="291"/>
      <c r="K2380" s="291"/>
      <c r="L2380" s="293"/>
      <c r="M2380" s="291"/>
      <c r="N2380" s="289"/>
      <c r="O2380" s="358"/>
      <c r="P2380" s="402">
        <f t="shared" ref="P2380:Q2380" si="2378">IF(B2380=0,0,IF(YEAR(B2380)=$Q$1,MONTH(B2380)-$P$1+1,(YEAR(B2380)-$Q$1)*12-$P$1+1+MONTH(B2380)))</f>
        <v>0</v>
      </c>
      <c r="Q2380" s="402">
        <f t="shared" si="2378"/>
        <v>0</v>
      </c>
      <c r="R2380" s="356" t="e">
        <f t="shared" si="1325"/>
        <v>#N/A</v>
      </c>
      <c r="S2380" s="269" t="str">
        <f>IF(D2380="","",IF(OR(D2380=Plano!$A$1,D2380=Plano!$B$1),"entrada","saída"))</f>
        <v/>
      </c>
      <c r="T2380" s="269"/>
      <c r="U2380" s="269"/>
      <c r="V2380" s="269"/>
      <c r="W2380" s="269"/>
    </row>
    <row r="2381" spans="1:23" ht="12.75" customHeight="1" x14ac:dyDescent="0.2">
      <c r="A2381" s="289" t="str">
        <f t="shared" si="0"/>
        <v/>
      </c>
      <c r="B2381" s="290"/>
      <c r="C2381" s="404"/>
      <c r="D2381" s="291"/>
      <c r="E2381" s="291"/>
      <c r="F2381" s="292"/>
      <c r="G2381" s="291"/>
      <c r="H2381" s="291"/>
      <c r="I2381" s="293"/>
      <c r="J2381" s="291"/>
      <c r="K2381" s="291"/>
      <c r="L2381" s="293"/>
      <c r="M2381" s="291"/>
      <c r="N2381" s="289"/>
      <c r="O2381" s="358"/>
      <c r="P2381" s="402">
        <f t="shared" ref="P2381:Q2381" si="2379">IF(B2381=0,0,IF(YEAR(B2381)=$Q$1,MONTH(B2381)-$P$1+1,(YEAR(B2381)-$Q$1)*12-$P$1+1+MONTH(B2381)))</f>
        <v>0</v>
      </c>
      <c r="Q2381" s="402">
        <f t="shared" si="2379"/>
        <v>0</v>
      </c>
      <c r="R2381" s="356" t="e">
        <f t="shared" si="1325"/>
        <v>#N/A</v>
      </c>
      <c r="S2381" s="269" t="str">
        <f>IF(D2381="","",IF(OR(D2381=Plano!$A$1,D2381=Plano!$B$1),"entrada","saída"))</f>
        <v/>
      </c>
      <c r="T2381" s="269"/>
      <c r="U2381" s="269"/>
      <c r="V2381" s="269"/>
      <c r="W2381" s="269"/>
    </row>
    <row r="2382" spans="1:23" ht="12.75" customHeight="1" x14ac:dyDescent="0.2">
      <c r="A2382" s="289" t="str">
        <f t="shared" si="0"/>
        <v/>
      </c>
      <c r="B2382" s="290"/>
      <c r="C2382" s="404"/>
      <c r="D2382" s="291"/>
      <c r="E2382" s="291"/>
      <c r="F2382" s="292"/>
      <c r="G2382" s="291"/>
      <c r="H2382" s="291"/>
      <c r="I2382" s="293"/>
      <c r="J2382" s="291"/>
      <c r="K2382" s="291"/>
      <c r="L2382" s="293"/>
      <c r="M2382" s="291"/>
      <c r="N2382" s="289"/>
      <c r="O2382" s="358"/>
      <c r="P2382" s="402">
        <f t="shared" ref="P2382:Q2382" si="2380">IF(B2382=0,0,IF(YEAR(B2382)=$Q$1,MONTH(B2382)-$P$1+1,(YEAR(B2382)-$Q$1)*12-$P$1+1+MONTH(B2382)))</f>
        <v>0</v>
      </c>
      <c r="Q2382" s="402">
        <f t="shared" si="2380"/>
        <v>0</v>
      </c>
      <c r="R2382" s="356" t="e">
        <f t="shared" si="1325"/>
        <v>#N/A</v>
      </c>
      <c r="S2382" s="269" t="str">
        <f>IF(D2382="","",IF(OR(D2382=Plano!$A$1,D2382=Plano!$B$1),"entrada","saída"))</f>
        <v/>
      </c>
      <c r="T2382" s="269"/>
      <c r="U2382" s="269"/>
      <c r="V2382" s="269"/>
      <c r="W2382" s="269"/>
    </row>
    <row r="2383" spans="1:23" ht="12.75" customHeight="1" x14ac:dyDescent="0.2">
      <c r="A2383" s="289" t="str">
        <f t="shared" si="0"/>
        <v/>
      </c>
      <c r="B2383" s="290"/>
      <c r="C2383" s="404"/>
      <c r="D2383" s="291"/>
      <c r="E2383" s="291"/>
      <c r="F2383" s="292"/>
      <c r="G2383" s="291"/>
      <c r="H2383" s="291"/>
      <c r="I2383" s="293"/>
      <c r="J2383" s="291"/>
      <c r="K2383" s="291"/>
      <c r="L2383" s="293"/>
      <c r="M2383" s="291"/>
      <c r="N2383" s="289"/>
      <c r="O2383" s="358"/>
      <c r="P2383" s="402">
        <f t="shared" ref="P2383:Q2383" si="2381">IF(B2383=0,0,IF(YEAR(B2383)=$Q$1,MONTH(B2383)-$P$1+1,(YEAR(B2383)-$Q$1)*12-$P$1+1+MONTH(B2383)))</f>
        <v>0</v>
      </c>
      <c r="Q2383" s="402">
        <f t="shared" si="2381"/>
        <v>0</v>
      </c>
      <c r="R2383" s="356" t="e">
        <f t="shared" si="1325"/>
        <v>#N/A</v>
      </c>
      <c r="S2383" s="269" t="str">
        <f>IF(D2383="","",IF(OR(D2383=Plano!$A$1,D2383=Plano!$B$1),"entrada","saída"))</f>
        <v/>
      </c>
      <c r="T2383" s="269"/>
      <c r="U2383" s="269"/>
      <c r="V2383" s="269"/>
      <c r="W2383" s="269"/>
    </row>
    <row r="2384" spans="1:23" ht="12.75" customHeight="1" x14ac:dyDescent="0.2">
      <c r="A2384" s="289" t="str">
        <f t="shared" si="0"/>
        <v/>
      </c>
      <c r="B2384" s="290"/>
      <c r="C2384" s="404"/>
      <c r="D2384" s="291"/>
      <c r="E2384" s="291"/>
      <c r="F2384" s="292"/>
      <c r="G2384" s="291"/>
      <c r="H2384" s="291"/>
      <c r="I2384" s="293"/>
      <c r="J2384" s="291"/>
      <c r="K2384" s="291"/>
      <c r="L2384" s="293"/>
      <c r="M2384" s="291"/>
      <c r="N2384" s="289"/>
      <c r="O2384" s="358"/>
      <c r="P2384" s="402">
        <f t="shared" ref="P2384:Q2384" si="2382">IF(B2384=0,0,IF(YEAR(B2384)=$Q$1,MONTH(B2384)-$P$1+1,(YEAR(B2384)-$Q$1)*12-$P$1+1+MONTH(B2384)))</f>
        <v>0</v>
      </c>
      <c r="Q2384" s="402">
        <f t="shared" si="2382"/>
        <v>0</v>
      </c>
      <c r="R2384" s="356" t="e">
        <f t="shared" si="1325"/>
        <v>#N/A</v>
      </c>
      <c r="S2384" s="269" t="str">
        <f>IF(D2384="","",IF(OR(D2384=Plano!$A$1,D2384=Plano!$B$1),"entrada","saída"))</f>
        <v/>
      </c>
      <c r="T2384" s="269"/>
      <c r="U2384" s="269"/>
      <c r="V2384" s="269"/>
      <c r="W2384" s="269"/>
    </row>
    <row r="2385" spans="1:23" ht="12.75" customHeight="1" x14ac:dyDescent="0.2">
      <c r="A2385" s="289" t="str">
        <f t="shared" si="0"/>
        <v/>
      </c>
      <c r="B2385" s="290"/>
      <c r="C2385" s="404"/>
      <c r="D2385" s="291"/>
      <c r="E2385" s="291"/>
      <c r="F2385" s="292"/>
      <c r="G2385" s="291"/>
      <c r="H2385" s="291"/>
      <c r="I2385" s="293"/>
      <c r="J2385" s="291"/>
      <c r="K2385" s="291"/>
      <c r="L2385" s="293"/>
      <c r="M2385" s="291"/>
      <c r="N2385" s="289"/>
      <c r="O2385" s="358"/>
      <c r="P2385" s="402">
        <f t="shared" ref="P2385:Q2385" si="2383">IF(B2385=0,0,IF(YEAR(B2385)=$Q$1,MONTH(B2385)-$P$1+1,(YEAR(B2385)-$Q$1)*12-$P$1+1+MONTH(B2385)))</f>
        <v>0</v>
      </c>
      <c r="Q2385" s="402">
        <f t="shared" si="2383"/>
        <v>0</v>
      </c>
      <c r="R2385" s="356" t="e">
        <f t="shared" si="1325"/>
        <v>#N/A</v>
      </c>
      <c r="S2385" s="269" t="str">
        <f>IF(D2385="","",IF(OR(D2385=Plano!$A$1,D2385=Plano!$B$1),"entrada","saída"))</f>
        <v/>
      </c>
      <c r="T2385" s="269"/>
      <c r="U2385" s="269"/>
      <c r="V2385" s="269"/>
      <c r="W2385" s="269"/>
    </row>
    <row r="2386" spans="1:23" ht="12.75" customHeight="1" x14ac:dyDescent="0.2">
      <c r="A2386" s="289" t="str">
        <f t="shared" si="0"/>
        <v/>
      </c>
      <c r="B2386" s="290"/>
      <c r="C2386" s="404"/>
      <c r="D2386" s="291"/>
      <c r="E2386" s="291"/>
      <c r="F2386" s="292"/>
      <c r="G2386" s="291"/>
      <c r="H2386" s="291"/>
      <c r="I2386" s="293"/>
      <c r="J2386" s="291"/>
      <c r="K2386" s="291"/>
      <c r="L2386" s="293"/>
      <c r="M2386" s="291"/>
      <c r="N2386" s="289"/>
      <c r="O2386" s="358"/>
      <c r="P2386" s="402">
        <f t="shared" ref="P2386:Q2386" si="2384">IF(B2386=0,0,IF(YEAR(B2386)=$Q$1,MONTH(B2386)-$P$1+1,(YEAR(B2386)-$Q$1)*12-$P$1+1+MONTH(B2386)))</f>
        <v>0</v>
      </c>
      <c r="Q2386" s="402">
        <f t="shared" si="2384"/>
        <v>0</v>
      </c>
      <c r="R2386" s="356" t="e">
        <f t="shared" si="1325"/>
        <v>#N/A</v>
      </c>
      <c r="S2386" s="269" t="str">
        <f>IF(D2386="","",IF(OR(D2386=Plano!$A$1,D2386=Plano!$B$1),"entrada","saída"))</f>
        <v/>
      </c>
      <c r="T2386" s="269"/>
      <c r="U2386" s="269"/>
      <c r="V2386" s="269"/>
      <c r="W2386" s="269"/>
    </row>
    <row r="2387" spans="1:23" ht="12.75" customHeight="1" x14ac:dyDescent="0.2">
      <c r="A2387" s="289" t="str">
        <f t="shared" si="0"/>
        <v/>
      </c>
      <c r="B2387" s="290"/>
      <c r="C2387" s="404"/>
      <c r="D2387" s="291"/>
      <c r="E2387" s="291"/>
      <c r="F2387" s="292"/>
      <c r="G2387" s="291"/>
      <c r="H2387" s="291"/>
      <c r="I2387" s="293"/>
      <c r="J2387" s="291"/>
      <c r="K2387" s="291"/>
      <c r="L2387" s="293"/>
      <c r="M2387" s="291"/>
      <c r="N2387" s="289"/>
      <c r="O2387" s="358"/>
      <c r="P2387" s="402">
        <f t="shared" ref="P2387:Q2387" si="2385">IF(B2387=0,0,IF(YEAR(B2387)=$Q$1,MONTH(B2387)-$P$1+1,(YEAR(B2387)-$Q$1)*12-$P$1+1+MONTH(B2387)))</f>
        <v>0</v>
      </c>
      <c r="Q2387" s="402">
        <f t="shared" si="2385"/>
        <v>0</v>
      </c>
      <c r="R2387" s="356" t="e">
        <f t="shared" si="1325"/>
        <v>#N/A</v>
      </c>
      <c r="S2387" s="269" t="str">
        <f>IF(D2387="","",IF(OR(D2387=Plano!$A$1,D2387=Plano!$B$1),"entrada","saída"))</f>
        <v/>
      </c>
      <c r="T2387" s="269"/>
      <c r="U2387" s="269"/>
      <c r="V2387" s="269"/>
      <c r="W2387" s="269"/>
    </row>
    <row r="2388" spans="1:23" ht="12.75" customHeight="1" x14ac:dyDescent="0.2">
      <c r="A2388" s="289" t="str">
        <f t="shared" si="0"/>
        <v/>
      </c>
      <c r="B2388" s="290"/>
      <c r="C2388" s="404"/>
      <c r="D2388" s="291"/>
      <c r="E2388" s="291"/>
      <c r="F2388" s="292"/>
      <c r="G2388" s="291"/>
      <c r="H2388" s="291"/>
      <c r="I2388" s="293"/>
      <c r="J2388" s="291"/>
      <c r="K2388" s="291"/>
      <c r="L2388" s="293"/>
      <c r="M2388" s="291"/>
      <c r="N2388" s="289"/>
      <c r="O2388" s="358"/>
      <c r="P2388" s="402">
        <f t="shared" ref="P2388:Q2388" si="2386">IF(B2388=0,0,IF(YEAR(B2388)=$Q$1,MONTH(B2388)-$P$1+1,(YEAR(B2388)-$Q$1)*12-$P$1+1+MONTH(B2388)))</f>
        <v>0</v>
      </c>
      <c r="Q2388" s="402">
        <f t="shared" si="2386"/>
        <v>0</v>
      </c>
      <c r="R2388" s="356" t="e">
        <f t="shared" si="1325"/>
        <v>#N/A</v>
      </c>
      <c r="S2388" s="269" t="str">
        <f>IF(D2388="","",IF(OR(D2388=Plano!$A$1,D2388=Plano!$B$1),"entrada","saída"))</f>
        <v/>
      </c>
      <c r="T2388" s="269"/>
      <c r="U2388" s="269"/>
      <c r="V2388" s="269"/>
      <c r="W2388" s="269"/>
    </row>
    <row r="2389" spans="1:23" ht="12.75" customHeight="1" x14ac:dyDescent="0.2">
      <c r="A2389" s="289" t="str">
        <f t="shared" si="0"/>
        <v/>
      </c>
      <c r="B2389" s="290"/>
      <c r="C2389" s="404"/>
      <c r="D2389" s="291"/>
      <c r="E2389" s="291"/>
      <c r="F2389" s="292"/>
      <c r="G2389" s="291"/>
      <c r="H2389" s="291"/>
      <c r="I2389" s="293"/>
      <c r="J2389" s="291"/>
      <c r="K2389" s="291"/>
      <c r="L2389" s="293"/>
      <c r="M2389" s="291"/>
      <c r="N2389" s="289"/>
      <c r="O2389" s="358"/>
      <c r="P2389" s="402">
        <f t="shared" ref="P2389:Q2389" si="2387">IF(B2389=0,0,IF(YEAR(B2389)=$Q$1,MONTH(B2389)-$P$1+1,(YEAR(B2389)-$Q$1)*12-$P$1+1+MONTH(B2389)))</f>
        <v>0</v>
      </c>
      <c r="Q2389" s="402">
        <f t="shared" si="2387"/>
        <v>0</v>
      </c>
      <c r="R2389" s="356" t="e">
        <f t="shared" si="1325"/>
        <v>#N/A</v>
      </c>
      <c r="S2389" s="269" t="str">
        <f>IF(D2389="","",IF(OR(D2389=Plano!$A$1,D2389=Plano!$B$1),"entrada","saída"))</f>
        <v/>
      </c>
      <c r="T2389" s="269"/>
      <c r="U2389" s="269"/>
      <c r="V2389" s="269"/>
      <c r="W2389" s="269"/>
    </row>
    <row r="2390" spans="1:23" ht="12.75" customHeight="1" x14ac:dyDescent="0.2">
      <c r="A2390" s="289" t="str">
        <f t="shared" si="0"/>
        <v/>
      </c>
      <c r="B2390" s="290"/>
      <c r="C2390" s="404"/>
      <c r="D2390" s="291"/>
      <c r="E2390" s="291"/>
      <c r="F2390" s="292"/>
      <c r="G2390" s="291"/>
      <c r="H2390" s="291"/>
      <c r="I2390" s="293"/>
      <c r="J2390" s="291"/>
      <c r="K2390" s="291"/>
      <c r="L2390" s="293"/>
      <c r="M2390" s="291"/>
      <c r="N2390" s="289"/>
      <c r="O2390" s="358"/>
      <c r="P2390" s="402">
        <f t="shared" ref="P2390:Q2390" si="2388">IF(B2390=0,0,IF(YEAR(B2390)=$Q$1,MONTH(B2390)-$P$1+1,(YEAR(B2390)-$Q$1)*12-$P$1+1+MONTH(B2390)))</f>
        <v>0</v>
      </c>
      <c r="Q2390" s="402">
        <f t="shared" si="2388"/>
        <v>0</v>
      </c>
      <c r="R2390" s="356" t="e">
        <f t="shared" si="1325"/>
        <v>#N/A</v>
      </c>
      <c r="S2390" s="269" t="str">
        <f>IF(D2390="","",IF(OR(D2390=Plano!$A$1,D2390=Plano!$B$1),"entrada","saída"))</f>
        <v/>
      </c>
      <c r="T2390" s="269"/>
      <c r="U2390" s="269"/>
      <c r="V2390" s="269"/>
      <c r="W2390" s="269"/>
    </row>
    <row r="2391" spans="1:23" ht="12.75" customHeight="1" x14ac:dyDescent="0.2">
      <c r="A2391" s="289" t="str">
        <f t="shared" si="0"/>
        <v/>
      </c>
      <c r="B2391" s="290"/>
      <c r="C2391" s="404"/>
      <c r="D2391" s="291"/>
      <c r="E2391" s="291"/>
      <c r="F2391" s="292"/>
      <c r="G2391" s="291"/>
      <c r="H2391" s="291"/>
      <c r="I2391" s="293"/>
      <c r="J2391" s="291"/>
      <c r="K2391" s="291"/>
      <c r="L2391" s="293"/>
      <c r="M2391" s="291"/>
      <c r="N2391" s="289"/>
      <c r="O2391" s="358"/>
      <c r="P2391" s="402">
        <f t="shared" ref="P2391:Q2391" si="2389">IF(B2391=0,0,IF(YEAR(B2391)=$Q$1,MONTH(B2391)-$P$1+1,(YEAR(B2391)-$Q$1)*12-$P$1+1+MONTH(B2391)))</f>
        <v>0</v>
      </c>
      <c r="Q2391" s="402">
        <f t="shared" si="2389"/>
        <v>0</v>
      </c>
      <c r="R2391" s="356" t="e">
        <f t="shared" si="1325"/>
        <v>#N/A</v>
      </c>
      <c r="S2391" s="269" t="str">
        <f>IF(D2391="","",IF(OR(D2391=Plano!$A$1,D2391=Plano!$B$1),"entrada","saída"))</f>
        <v/>
      </c>
      <c r="T2391" s="269"/>
      <c r="U2391" s="269"/>
      <c r="V2391" s="269"/>
      <c r="W2391" s="269"/>
    </row>
    <row r="2392" spans="1:23" ht="12.75" customHeight="1" x14ac:dyDescent="0.2">
      <c r="A2392" s="289" t="str">
        <f t="shared" si="0"/>
        <v/>
      </c>
      <c r="B2392" s="290"/>
      <c r="C2392" s="404"/>
      <c r="D2392" s="291"/>
      <c r="E2392" s="291"/>
      <c r="F2392" s="292"/>
      <c r="G2392" s="291"/>
      <c r="H2392" s="291"/>
      <c r="I2392" s="293"/>
      <c r="J2392" s="291"/>
      <c r="K2392" s="291"/>
      <c r="L2392" s="293"/>
      <c r="M2392" s="291"/>
      <c r="N2392" s="289"/>
      <c r="O2392" s="358"/>
      <c r="P2392" s="402">
        <f t="shared" ref="P2392:Q2392" si="2390">IF(B2392=0,0,IF(YEAR(B2392)=$Q$1,MONTH(B2392)-$P$1+1,(YEAR(B2392)-$Q$1)*12-$P$1+1+MONTH(B2392)))</f>
        <v>0</v>
      </c>
      <c r="Q2392" s="402">
        <f t="shared" si="2390"/>
        <v>0</v>
      </c>
      <c r="R2392" s="356" t="e">
        <f t="shared" si="1325"/>
        <v>#N/A</v>
      </c>
      <c r="S2392" s="269" t="str">
        <f>IF(D2392="","",IF(OR(D2392=Plano!$A$1,D2392=Plano!$B$1),"entrada","saída"))</f>
        <v/>
      </c>
      <c r="T2392" s="269"/>
      <c r="U2392" s="269"/>
      <c r="V2392" s="269"/>
      <c r="W2392" s="269"/>
    </row>
    <row r="2393" spans="1:23" ht="12.75" customHeight="1" x14ac:dyDescent="0.2">
      <c r="A2393" s="289" t="str">
        <f t="shared" si="0"/>
        <v/>
      </c>
      <c r="B2393" s="290"/>
      <c r="C2393" s="404"/>
      <c r="D2393" s="291"/>
      <c r="E2393" s="291"/>
      <c r="F2393" s="292"/>
      <c r="G2393" s="291"/>
      <c r="H2393" s="291"/>
      <c r="I2393" s="293"/>
      <c r="J2393" s="291"/>
      <c r="K2393" s="291"/>
      <c r="L2393" s="293"/>
      <c r="M2393" s="291"/>
      <c r="N2393" s="289"/>
      <c r="O2393" s="358"/>
      <c r="P2393" s="402">
        <f t="shared" ref="P2393:Q2393" si="2391">IF(B2393=0,0,IF(YEAR(B2393)=$Q$1,MONTH(B2393)-$P$1+1,(YEAR(B2393)-$Q$1)*12-$P$1+1+MONTH(B2393)))</f>
        <v>0</v>
      </c>
      <c r="Q2393" s="402">
        <f t="shared" si="2391"/>
        <v>0</v>
      </c>
      <c r="R2393" s="356" t="e">
        <f t="shared" si="1325"/>
        <v>#N/A</v>
      </c>
      <c r="S2393" s="269" t="str">
        <f>IF(D2393="","",IF(OR(D2393=Plano!$A$1,D2393=Plano!$B$1),"entrada","saída"))</f>
        <v/>
      </c>
      <c r="T2393" s="269"/>
      <c r="U2393" s="269"/>
      <c r="V2393" s="269"/>
      <c r="W2393" s="269"/>
    </row>
    <row r="2394" spans="1:23" ht="12.75" customHeight="1" x14ac:dyDescent="0.2">
      <c r="A2394" s="289" t="str">
        <f t="shared" si="0"/>
        <v/>
      </c>
      <c r="B2394" s="290"/>
      <c r="C2394" s="404"/>
      <c r="D2394" s="291"/>
      <c r="E2394" s="291"/>
      <c r="F2394" s="292"/>
      <c r="G2394" s="291"/>
      <c r="H2394" s="291"/>
      <c r="I2394" s="293"/>
      <c r="J2394" s="291"/>
      <c r="K2394" s="291"/>
      <c r="L2394" s="293"/>
      <c r="M2394" s="291"/>
      <c r="N2394" s="289"/>
      <c r="O2394" s="358"/>
      <c r="P2394" s="402">
        <f t="shared" ref="P2394:Q2394" si="2392">IF(B2394=0,0,IF(YEAR(B2394)=$Q$1,MONTH(B2394)-$P$1+1,(YEAR(B2394)-$Q$1)*12-$P$1+1+MONTH(B2394)))</f>
        <v>0</v>
      </c>
      <c r="Q2394" s="402">
        <f t="shared" si="2392"/>
        <v>0</v>
      </c>
      <c r="R2394" s="356" t="e">
        <f t="shared" si="1325"/>
        <v>#N/A</v>
      </c>
      <c r="S2394" s="269" t="str">
        <f>IF(D2394="","",IF(OR(D2394=Plano!$A$1,D2394=Plano!$B$1),"entrada","saída"))</f>
        <v/>
      </c>
      <c r="T2394" s="269"/>
      <c r="U2394" s="269"/>
      <c r="V2394" s="269"/>
      <c r="W2394" s="269"/>
    </row>
    <row r="2395" spans="1:23" ht="12.75" customHeight="1" x14ac:dyDescent="0.2">
      <c r="A2395" s="289" t="str">
        <f t="shared" si="0"/>
        <v/>
      </c>
      <c r="B2395" s="290"/>
      <c r="C2395" s="404"/>
      <c r="D2395" s="291"/>
      <c r="E2395" s="291"/>
      <c r="F2395" s="292"/>
      <c r="G2395" s="291"/>
      <c r="H2395" s="291"/>
      <c r="I2395" s="293"/>
      <c r="J2395" s="291"/>
      <c r="K2395" s="291"/>
      <c r="L2395" s="293"/>
      <c r="M2395" s="291"/>
      <c r="N2395" s="289"/>
      <c r="O2395" s="358"/>
      <c r="P2395" s="402">
        <f t="shared" ref="P2395:Q2395" si="2393">IF(B2395=0,0,IF(YEAR(B2395)=$Q$1,MONTH(B2395)-$P$1+1,(YEAR(B2395)-$Q$1)*12-$P$1+1+MONTH(B2395)))</f>
        <v>0</v>
      </c>
      <c r="Q2395" s="402">
        <f t="shared" si="2393"/>
        <v>0</v>
      </c>
      <c r="R2395" s="356" t="e">
        <f t="shared" si="1325"/>
        <v>#N/A</v>
      </c>
      <c r="S2395" s="269" t="str">
        <f>IF(D2395="","",IF(OR(D2395=Plano!$A$1,D2395=Plano!$B$1),"entrada","saída"))</f>
        <v/>
      </c>
      <c r="T2395" s="269"/>
      <c r="U2395" s="269"/>
      <c r="V2395" s="269"/>
      <c r="W2395" s="269"/>
    </row>
    <row r="2396" spans="1:23" ht="12.75" customHeight="1" x14ac:dyDescent="0.2">
      <c r="A2396" s="289" t="str">
        <f t="shared" si="0"/>
        <v/>
      </c>
      <c r="B2396" s="290"/>
      <c r="C2396" s="404"/>
      <c r="D2396" s="291"/>
      <c r="E2396" s="291"/>
      <c r="F2396" s="292"/>
      <c r="G2396" s="291"/>
      <c r="H2396" s="291"/>
      <c r="I2396" s="293"/>
      <c r="J2396" s="291"/>
      <c r="K2396" s="291"/>
      <c r="L2396" s="293"/>
      <c r="M2396" s="291"/>
      <c r="N2396" s="289"/>
      <c r="O2396" s="358"/>
      <c r="P2396" s="402">
        <f t="shared" ref="P2396:Q2396" si="2394">IF(B2396=0,0,IF(YEAR(B2396)=$Q$1,MONTH(B2396)-$P$1+1,(YEAR(B2396)-$Q$1)*12-$P$1+1+MONTH(B2396)))</f>
        <v>0</v>
      </c>
      <c r="Q2396" s="402">
        <f t="shared" si="2394"/>
        <v>0</v>
      </c>
      <c r="R2396" s="356" t="e">
        <f t="shared" si="1325"/>
        <v>#N/A</v>
      </c>
      <c r="S2396" s="269" t="str">
        <f>IF(D2396="","",IF(OR(D2396=Plano!$A$1,D2396=Plano!$B$1),"entrada","saída"))</f>
        <v/>
      </c>
      <c r="T2396" s="269"/>
      <c r="U2396" s="269"/>
      <c r="V2396" s="269"/>
      <c r="W2396" s="269"/>
    </row>
    <row r="2397" spans="1:23" ht="12.75" customHeight="1" x14ac:dyDescent="0.2">
      <c r="A2397" s="289" t="str">
        <f t="shared" si="0"/>
        <v/>
      </c>
      <c r="B2397" s="290"/>
      <c r="C2397" s="404"/>
      <c r="D2397" s="291"/>
      <c r="E2397" s="291"/>
      <c r="F2397" s="292"/>
      <c r="G2397" s="291"/>
      <c r="H2397" s="291"/>
      <c r="I2397" s="293"/>
      <c r="J2397" s="291"/>
      <c r="K2397" s="291"/>
      <c r="L2397" s="293"/>
      <c r="M2397" s="291"/>
      <c r="N2397" s="289"/>
      <c r="O2397" s="358"/>
      <c r="P2397" s="402">
        <f t="shared" ref="P2397:Q2397" si="2395">IF(B2397=0,0,IF(YEAR(B2397)=$Q$1,MONTH(B2397)-$P$1+1,(YEAR(B2397)-$Q$1)*12-$P$1+1+MONTH(B2397)))</f>
        <v>0</v>
      </c>
      <c r="Q2397" s="402">
        <f t="shared" si="2395"/>
        <v>0</v>
      </c>
      <c r="R2397" s="356" t="e">
        <f t="shared" si="1325"/>
        <v>#N/A</v>
      </c>
      <c r="S2397" s="269" t="str">
        <f>IF(D2397="","",IF(OR(D2397=Plano!$A$1,D2397=Plano!$B$1),"entrada","saída"))</f>
        <v/>
      </c>
      <c r="T2397" s="269"/>
      <c r="U2397" s="269"/>
      <c r="V2397" s="269"/>
      <c r="W2397" s="269"/>
    </row>
    <row r="2398" spans="1:23" ht="12.75" customHeight="1" x14ac:dyDescent="0.2">
      <c r="A2398" s="289" t="str">
        <f t="shared" si="0"/>
        <v/>
      </c>
      <c r="B2398" s="290"/>
      <c r="C2398" s="404"/>
      <c r="D2398" s="291"/>
      <c r="E2398" s="291"/>
      <c r="F2398" s="292"/>
      <c r="G2398" s="291"/>
      <c r="H2398" s="291"/>
      <c r="I2398" s="293"/>
      <c r="J2398" s="291"/>
      <c r="K2398" s="291"/>
      <c r="L2398" s="293"/>
      <c r="M2398" s="291"/>
      <c r="N2398" s="289"/>
      <c r="O2398" s="358"/>
      <c r="P2398" s="402">
        <f t="shared" ref="P2398:Q2398" si="2396">IF(B2398=0,0,IF(YEAR(B2398)=$Q$1,MONTH(B2398)-$P$1+1,(YEAR(B2398)-$Q$1)*12-$P$1+1+MONTH(B2398)))</f>
        <v>0</v>
      </c>
      <c r="Q2398" s="402">
        <f t="shared" si="2396"/>
        <v>0</v>
      </c>
      <c r="R2398" s="356" t="e">
        <f t="shared" si="1325"/>
        <v>#N/A</v>
      </c>
      <c r="S2398" s="269" t="str">
        <f>IF(D2398="","",IF(OR(D2398=Plano!$A$1,D2398=Plano!$B$1),"entrada","saída"))</f>
        <v/>
      </c>
      <c r="T2398" s="269"/>
      <c r="U2398" s="269"/>
      <c r="V2398" s="269"/>
      <c r="W2398" s="269"/>
    </row>
    <row r="2399" spans="1:23" ht="12.75" customHeight="1" x14ac:dyDescent="0.2">
      <c r="A2399" s="289" t="str">
        <f t="shared" si="0"/>
        <v/>
      </c>
      <c r="B2399" s="290"/>
      <c r="C2399" s="404"/>
      <c r="D2399" s="291"/>
      <c r="E2399" s="291"/>
      <c r="F2399" s="292"/>
      <c r="G2399" s="291"/>
      <c r="H2399" s="291"/>
      <c r="I2399" s="293"/>
      <c r="J2399" s="291"/>
      <c r="K2399" s="291"/>
      <c r="L2399" s="293"/>
      <c r="M2399" s="291"/>
      <c r="N2399" s="289"/>
      <c r="O2399" s="358"/>
      <c r="P2399" s="402">
        <f t="shared" ref="P2399:Q2399" si="2397">IF(B2399=0,0,IF(YEAR(B2399)=$Q$1,MONTH(B2399)-$P$1+1,(YEAR(B2399)-$Q$1)*12-$P$1+1+MONTH(B2399)))</f>
        <v>0</v>
      </c>
      <c r="Q2399" s="402">
        <f t="shared" si="2397"/>
        <v>0</v>
      </c>
      <c r="R2399" s="356" t="e">
        <f t="shared" si="1325"/>
        <v>#N/A</v>
      </c>
      <c r="S2399" s="269" t="str">
        <f>IF(D2399="","",IF(OR(D2399=Plano!$A$1,D2399=Plano!$B$1),"entrada","saída"))</f>
        <v/>
      </c>
      <c r="T2399" s="269"/>
      <c r="U2399" s="269"/>
      <c r="V2399" s="269"/>
      <c r="W2399" s="269"/>
    </row>
    <row r="2400" spans="1:23" ht="12.75" customHeight="1" x14ac:dyDescent="0.2">
      <c r="A2400" s="289" t="str">
        <f t="shared" si="0"/>
        <v/>
      </c>
      <c r="B2400" s="290"/>
      <c r="C2400" s="404"/>
      <c r="D2400" s="291"/>
      <c r="E2400" s="291"/>
      <c r="F2400" s="292"/>
      <c r="G2400" s="291"/>
      <c r="H2400" s="291"/>
      <c r="I2400" s="293"/>
      <c r="J2400" s="291"/>
      <c r="K2400" s="291"/>
      <c r="L2400" s="293"/>
      <c r="M2400" s="291"/>
      <c r="N2400" s="289"/>
      <c r="O2400" s="358"/>
      <c r="P2400" s="402">
        <f t="shared" ref="P2400:Q2400" si="2398">IF(B2400=0,0,IF(YEAR(B2400)=$Q$1,MONTH(B2400)-$P$1+1,(YEAR(B2400)-$Q$1)*12-$P$1+1+MONTH(B2400)))</f>
        <v>0</v>
      </c>
      <c r="Q2400" s="402">
        <f t="shared" si="2398"/>
        <v>0</v>
      </c>
      <c r="R2400" s="356" t="e">
        <f t="shared" si="1325"/>
        <v>#N/A</v>
      </c>
      <c r="S2400" s="269" t="str">
        <f>IF(D2400="","",IF(OR(D2400=Plano!$A$1,D2400=Plano!$B$1),"entrada","saída"))</f>
        <v/>
      </c>
      <c r="T2400" s="269"/>
      <c r="U2400" s="269"/>
      <c r="V2400" s="269"/>
      <c r="W2400" s="269"/>
    </row>
    <row r="2401" spans="1:23" ht="12.75" customHeight="1" x14ac:dyDescent="0.2">
      <c r="A2401" s="289" t="str">
        <f t="shared" si="0"/>
        <v/>
      </c>
      <c r="B2401" s="290"/>
      <c r="C2401" s="404"/>
      <c r="D2401" s="291"/>
      <c r="E2401" s="291"/>
      <c r="F2401" s="292"/>
      <c r="G2401" s="291"/>
      <c r="H2401" s="291"/>
      <c r="I2401" s="293"/>
      <c r="J2401" s="291"/>
      <c r="K2401" s="291"/>
      <c r="L2401" s="293"/>
      <c r="M2401" s="291"/>
      <c r="N2401" s="289"/>
      <c r="O2401" s="358"/>
      <c r="P2401" s="402">
        <f t="shared" ref="P2401:Q2401" si="2399">IF(B2401=0,0,IF(YEAR(B2401)=$Q$1,MONTH(B2401)-$P$1+1,(YEAR(B2401)-$Q$1)*12-$P$1+1+MONTH(B2401)))</f>
        <v>0</v>
      </c>
      <c r="Q2401" s="402">
        <f t="shared" si="2399"/>
        <v>0</v>
      </c>
      <c r="R2401" s="356" t="e">
        <f t="shared" si="1325"/>
        <v>#N/A</v>
      </c>
      <c r="S2401" s="269" t="str">
        <f>IF(D2401="","",IF(OR(D2401=Plano!$A$1,D2401=Plano!$B$1),"entrada","saída"))</f>
        <v/>
      </c>
      <c r="T2401" s="269"/>
      <c r="U2401" s="269"/>
      <c r="V2401" s="269"/>
      <c r="W2401" s="269"/>
    </row>
    <row r="2402" spans="1:23" ht="12.75" customHeight="1" x14ac:dyDescent="0.2">
      <c r="A2402" s="289" t="str">
        <f t="shared" si="0"/>
        <v/>
      </c>
      <c r="B2402" s="290"/>
      <c r="C2402" s="404"/>
      <c r="D2402" s="291"/>
      <c r="E2402" s="291"/>
      <c r="F2402" s="292"/>
      <c r="G2402" s="291"/>
      <c r="H2402" s="291"/>
      <c r="I2402" s="293"/>
      <c r="J2402" s="291"/>
      <c r="K2402" s="291"/>
      <c r="L2402" s="293"/>
      <c r="M2402" s="291"/>
      <c r="N2402" s="289"/>
      <c r="O2402" s="358"/>
      <c r="P2402" s="402">
        <f t="shared" ref="P2402:Q2402" si="2400">IF(B2402=0,0,IF(YEAR(B2402)=$Q$1,MONTH(B2402)-$P$1+1,(YEAR(B2402)-$Q$1)*12-$P$1+1+MONTH(B2402)))</f>
        <v>0</v>
      </c>
      <c r="Q2402" s="402">
        <f t="shared" si="2400"/>
        <v>0</v>
      </c>
      <c r="R2402" s="356" t="e">
        <f t="shared" si="1325"/>
        <v>#N/A</v>
      </c>
      <c r="S2402" s="269" t="str">
        <f>IF(D2402="","",IF(OR(D2402=Plano!$A$1,D2402=Plano!$B$1),"entrada","saída"))</f>
        <v/>
      </c>
      <c r="T2402" s="269"/>
      <c r="U2402" s="269"/>
      <c r="V2402" s="269"/>
      <c r="W2402" s="269"/>
    </row>
    <row r="2403" spans="1:23" ht="12.75" customHeight="1" x14ac:dyDescent="0.2">
      <c r="A2403" s="289" t="str">
        <f t="shared" si="0"/>
        <v/>
      </c>
      <c r="B2403" s="290"/>
      <c r="C2403" s="404"/>
      <c r="D2403" s="291"/>
      <c r="E2403" s="291"/>
      <c r="F2403" s="292"/>
      <c r="G2403" s="291"/>
      <c r="H2403" s="291"/>
      <c r="I2403" s="293"/>
      <c r="J2403" s="291"/>
      <c r="K2403" s="291"/>
      <c r="L2403" s="293"/>
      <c r="M2403" s="291"/>
      <c r="N2403" s="289"/>
      <c r="O2403" s="358"/>
      <c r="P2403" s="402">
        <f t="shared" ref="P2403:Q2403" si="2401">IF(B2403=0,0,IF(YEAR(B2403)=$Q$1,MONTH(B2403)-$P$1+1,(YEAR(B2403)-$Q$1)*12-$P$1+1+MONTH(B2403)))</f>
        <v>0</v>
      </c>
      <c r="Q2403" s="402">
        <f t="shared" si="2401"/>
        <v>0</v>
      </c>
      <c r="R2403" s="356" t="e">
        <f t="shared" si="1325"/>
        <v>#N/A</v>
      </c>
      <c r="S2403" s="269" t="str">
        <f>IF(D2403="","",IF(OR(D2403=Plano!$A$1,D2403=Plano!$B$1),"entrada","saída"))</f>
        <v/>
      </c>
      <c r="T2403" s="269"/>
      <c r="U2403" s="269"/>
      <c r="V2403" s="269"/>
      <c r="W2403" s="269"/>
    </row>
    <row r="2404" spans="1:23" ht="12.75" customHeight="1" x14ac:dyDescent="0.2">
      <c r="A2404" s="289" t="str">
        <f t="shared" si="0"/>
        <v/>
      </c>
      <c r="B2404" s="290"/>
      <c r="C2404" s="404"/>
      <c r="D2404" s="291"/>
      <c r="E2404" s="291"/>
      <c r="F2404" s="292"/>
      <c r="G2404" s="291"/>
      <c r="H2404" s="291"/>
      <c r="I2404" s="293"/>
      <c r="J2404" s="291"/>
      <c r="K2404" s="291"/>
      <c r="L2404" s="293"/>
      <c r="M2404" s="291"/>
      <c r="N2404" s="289"/>
      <c r="O2404" s="358"/>
      <c r="P2404" s="402">
        <f t="shared" ref="P2404:Q2404" si="2402">IF(B2404=0,0,IF(YEAR(B2404)=$Q$1,MONTH(B2404)-$P$1+1,(YEAR(B2404)-$Q$1)*12-$P$1+1+MONTH(B2404)))</f>
        <v>0</v>
      </c>
      <c r="Q2404" s="402">
        <f t="shared" si="2402"/>
        <v>0</v>
      </c>
      <c r="R2404" s="356" t="e">
        <f t="shared" si="1325"/>
        <v>#N/A</v>
      </c>
      <c r="S2404" s="269" t="str">
        <f>IF(D2404="","",IF(OR(D2404=Plano!$A$1,D2404=Plano!$B$1),"entrada","saída"))</f>
        <v/>
      </c>
      <c r="T2404" s="269"/>
      <c r="U2404" s="269"/>
      <c r="V2404" s="269"/>
      <c r="W2404" s="269"/>
    </row>
    <row r="2405" spans="1:23" ht="12.75" customHeight="1" x14ac:dyDescent="0.2">
      <c r="A2405" s="289" t="str">
        <f t="shared" si="0"/>
        <v/>
      </c>
      <c r="B2405" s="290"/>
      <c r="C2405" s="404"/>
      <c r="D2405" s="291"/>
      <c r="E2405" s="291"/>
      <c r="F2405" s="292"/>
      <c r="G2405" s="291"/>
      <c r="H2405" s="291"/>
      <c r="I2405" s="293"/>
      <c r="J2405" s="291"/>
      <c r="K2405" s="291"/>
      <c r="L2405" s="293"/>
      <c r="M2405" s="291"/>
      <c r="N2405" s="289"/>
      <c r="O2405" s="358"/>
      <c r="P2405" s="402">
        <f t="shared" ref="P2405:Q2405" si="2403">IF(B2405=0,0,IF(YEAR(B2405)=$Q$1,MONTH(B2405)-$P$1+1,(YEAR(B2405)-$Q$1)*12-$P$1+1+MONTH(B2405)))</f>
        <v>0</v>
      </c>
      <c r="Q2405" s="402">
        <f t="shared" si="2403"/>
        <v>0</v>
      </c>
      <c r="R2405" s="356" t="e">
        <f t="shared" si="1325"/>
        <v>#N/A</v>
      </c>
      <c r="S2405" s="269" t="str">
        <f>IF(D2405="","",IF(OR(D2405=Plano!$A$1,D2405=Plano!$B$1),"entrada","saída"))</f>
        <v/>
      </c>
      <c r="T2405" s="269"/>
      <c r="U2405" s="269"/>
      <c r="V2405" s="269"/>
      <c r="W2405" s="269"/>
    </row>
    <row r="2406" spans="1:23" ht="12.75" customHeight="1" x14ac:dyDescent="0.2">
      <c r="A2406" s="289" t="str">
        <f t="shared" si="0"/>
        <v/>
      </c>
      <c r="B2406" s="290"/>
      <c r="C2406" s="404"/>
      <c r="D2406" s="291"/>
      <c r="E2406" s="291"/>
      <c r="F2406" s="292"/>
      <c r="G2406" s="291"/>
      <c r="H2406" s="291"/>
      <c r="I2406" s="293"/>
      <c r="J2406" s="291"/>
      <c r="K2406" s="291"/>
      <c r="L2406" s="293"/>
      <c r="M2406" s="291"/>
      <c r="N2406" s="289"/>
      <c r="O2406" s="358"/>
      <c r="P2406" s="402">
        <f t="shared" ref="P2406:Q2406" si="2404">IF(B2406=0,0,IF(YEAR(B2406)=$Q$1,MONTH(B2406)-$P$1+1,(YEAR(B2406)-$Q$1)*12-$P$1+1+MONTH(B2406)))</f>
        <v>0</v>
      </c>
      <c r="Q2406" s="402">
        <f t="shared" si="2404"/>
        <v>0</v>
      </c>
      <c r="R2406" s="356" t="e">
        <f t="shared" si="1325"/>
        <v>#N/A</v>
      </c>
      <c r="S2406" s="269" t="str">
        <f>IF(D2406="","",IF(OR(D2406=Plano!$A$1,D2406=Plano!$B$1),"entrada","saída"))</f>
        <v/>
      </c>
      <c r="T2406" s="269"/>
      <c r="U2406" s="269"/>
      <c r="V2406" s="269"/>
      <c r="W2406" s="269"/>
    </row>
    <row r="2407" spans="1:23" ht="12.75" customHeight="1" x14ac:dyDescent="0.2">
      <c r="A2407" s="289" t="str">
        <f t="shared" si="0"/>
        <v/>
      </c>
      <c r="B2407" s="290"/>
      <c r="C2407" s="404"/>
      <c r="D2407" s="291"/>
      <c r="E2407" s="291"/>
      <c r="F2407" s="292"/>
      <c r="G2407" s="291"/>
      <c r="H2407" s="291"/>
      <c r="I2407" s="293"/>
      <c r="J2407" s="291"/>
      <c r="K2407" s="291"/>
      <c r="L2407" s="293"/>
      <c r="M2407" s="291"/>
      <c r="N2407" s="289"/>
      <c r="O2407" s="358"/>
      <c r="P2407" s="402">
        <f t="shared" ref="P2407:Q2407" si="2405">IF(B2407=0,0,IF(YEAR(B2407)=$Q$1,MONTH(B2407)-$P$1+1,(YEAR(B2407)-$Q$1)*12-$P$1+1+MONTH(B2407)))</f>
        <v>0</v>
      </c>
      <c r="Q2407" s="402">
        <f t="shared" si="2405"/>
        <v>0</v>
      </c>
      <c r="R2407" s="356" t="e">
        <f t="shared" si="1325"/>
        <v>#N/A</v>
      </c>
      <c r="S2407" s="269" t="str">
        <f>IF(D2407="","",IF(OR(D2407=Plano!$A$1,D2407=Plano!$B$1),"entrada","saída"))</f>
        <v/>
      </c>
      <c r="T2407" s="269"/>
      <c r="U2407" s="269"/>
      <c r="V2407" s="269"/>
      <c r="W2407" s="269"/>
    </row>
    <row r="2408" spans="1:23" ht="12.75" customHeight="1" x14ac:dyDescent="0.2">
      <c r="A2408" s="289" t="str">
        <f t="shared" si="0"/>
        <v/>
      </c>
      <c r="B2408" s="290"/>
      <c r="C2408" s="404"/>
      <c r="D2408" s="291"/>
      <c r="E2408" s="291"/>
      <c r="F2408" s="292"/>
      <c r="G2408" s="291"/>
      <c r="H2408" s="291"/>
      <c r="I2408" s="293"/>
      <c r="J2408" s="291"/>
      <c r="K2408" s="291"/>
      <c r="L2408" s="293"/>
      <c r="M2408" s="291"/>
      <c r="N2408" s="289"/>
      <c r="O2408" s="358"/>
      <c r="P2408" s="402">
        <f t="shared" ref="P2408:Q2408" si="2406">IF(B2408=0,0,IF(YEAR(B2408)=$Q$1,MONTH(B2408)-$P$1+1,(YEAR(B2408)-$Q$1)*12-$P$1+1+MONTH(B2408)))</f>
        <v>0</v>
      </c>
      <c r="Q2408" s="402">
        <f t="shared" si="2406"/>
        <v>0</v>
      </c>
      <c r="R2408" s="356" t="e">
        <f t="shared" si="1325"/>
        <v>#N/A</v>
      </c>
      <c r="S2408" s="269" t="str">
        <f>IF(D2408="","",IF(OR(D2408=Plano!$A$1,D2408=Plano!$B$1),"entrada","saída"))</f>
        <v/>
      </c>
      <c r="T2408" s="269"/>
      <c r="U2408" s="269"/>
      <c r="V2408" s="269"/>
      <c r="W2408" s="269"/>
    </row>
    <row r="2409" spans="1:23" ht="12.75" customHeight="1" x14ac:dyDescent="0.2">
      <c r="A2409" s="289" t="str">
        <f t="shared" si="0"/>
        <v/>
      </c>
      <c r="B2409" s="290"/>
      <c r="C2409" s="404"/>
      <c r="D2409" s="291"/>
      <c r="E2409" s="291"/>
      <c r="F2409" s="292"/>
      <c r="G2409" s="291"/>
      <c r="H2409" s="291"/>
      <c r="I2409" s="293"/>
      <c r="J2409" s="291"/>
      <c r="K2409" s="291"/>
      <c r="L2409" s="293"/>
      <c r="M2409" s="291"/>
      <c r="N2409" s="289"/>
      <c r="O2409" s="358"/>
      <c r="P2409" s="402">
        <f t="shared" ref="P2409:Q2409" si="2407">IF(B2409=0,0,IF(YEAR(B2409)=$Q$1,MONTH(B2409)-$P$1+1,(YEAR(B2409)-$Q$1)*12-$P$1+1+MONTH(B2409)))</f>
        <v>0</v>
      </c>
      <c r="Q2409" s="402">
        <f t="shared" si="2407"/>
        <v>0</v>
      </c>
      <c r="R2409" s="356" t="e">
        <f t="shared" si="1325"/>
        <v>#N/A</v>
      </c>
      <c r="S2409" s="269" t="str">
        <f>IF(D2409="","",IF(OR(D2409=Plano!$A$1,D2409=Plano!$B$1),"entrada","saída"))</f>
        <v/>
      </c>
      <c r="T2409" s="269"/>
      <c r="U2409" s="269"/>
      <c r="V2409" s="269"/>
      <c r="W2409" s="269"/>
    </row>
    <row r="2410" spans="1:23" ht="12.75" customHeight="1" x14ac:dyDescent="0.2">
      <c r="A2410" s="289" t="str">
        <f t="shared" si="0"/>
        <v/>
      </c>
      <c r="B2410" s="290"/>
      <c r="C2410" s="404"/>
      <c r="D2410" s="291"/>
      <c r="E2410" s="291"/>
      <c r="F2410" s="292"/>
      <c r="G2410" s="291"/>
      <c r="H2410" s="291"/>
      <c r="I2410" s="293"/>
      <c r="J2410" s="291"/>
      <c r="K2410" s="291"/>
      <c r="L2410" s="293"/>
      <c r="M2410" s="291"/>
      <c r="N2410" s="289"/>
      <c r="O2410" s="358"/>
      <c r="P2410" s="402">
        <f t="shared" ref="P2410:Q2410" si="2408">IF(B2410=0,0,IF(YEAR(B2410)=$Q$1,MONTH(B2410)-$P$1+1,(YEAR(B2410)-$Q$1)*12-$P$1+1+MONTH(B2410)))</f>
        <v>0</v>
      </c>
      <c r="Q2410" s="402">
        <f t="shared" si="2408"/>
        <v>0</v>
      </c>
      <c r="R2410" s="356" t="e">
        <f t="shared" si="1325"/>
        <v>#N/A</v>
      </c>
      <c r="S2410" s="269" t="str">
        <f>IF(D2410="","",IF(OR(D2410=Plano!$A$1,D2410=Plano!$B$1),"entrada","saída"))</f>
        <v/>
      </c>
      <c r="T2410" s="269"/>
      <c r="U2410" s="269"/>
      <c r="V2410" s="269"/>
      <c r="W2410" s="269"/>
    </row>
    <row r="2411" spans="1:23" ht="12.75" customHeight="1" x14ac:dyDescent="0.2">
      <c r="A2411" s="289" t="str">
        <f t="shared" si="0"/>
        <v/>
      </c>
      <c r="B2411" s="290"/>
      <c r="C2411" s="404"/>
      <c r="D2411" s="291"/>
      <c r="E2411" s="291"/>
      <c r="F2411" s="292"/>
      <c r="G2411" s="291"/>
      <c r="H2411" s="291"/>
      <c r="I2411" s="293"/>
      <c r="J2411" s="291"/>
      <c r="K2411" s="291"/>
      <c r="L2411" s="293"/>
      <c r="M2411" s="291"/>
      <c r="N2411" s="289"/>
      <c r="O2411" s="358"/>
      <c r="P2411" s="402">
        <f t="shared" ref="P2411:Q2411" si="2409">IF(B2411=0,0,IF(YEAR(B2411)=$Q$1,MONTH(B2411)-$P$1+1,(YEAR(B2411)-$Q$1)*12-$P$1+1+MONTH(B2411)))</f>
        <v>0</v>
      </c>
      <c r="Q2411" s="402">
        <f t="shared" si="2409"/>
        <v>0</v>
      </c>
      <c r="R2411" s="356" t="e">
        <f t="shared" si="1325"/>
        <v>#N/A</v>
      </c>
      <c r="S2411" s="269" t="str">
        <f>IF(D2411="","",IF(OR(D2411=Plano!$A$1,D2411=Plano!$B$1),"entrada","saída"))</f>
        <v/>
      </c>
      <c r="T2411" s="269"/>
      <c r="U2411" s="269"/>
      <c r="V2411" s="269"/>
      <c r="W2411" s="269"/>
    </row>
    <row r="2412" spans="1:23" ht="12.75" customHeight="1" x14ac:dyDescent="0.2">
      <c r="A2412" s="289" t="str">
        <f t="shared" si="0"/>
        <v/>
      </c>
      <c r="B2412" s="290"/>
      <c r="C2412" s="404"/>
      <c r="D2412" s="291"/>
      <c r="E2412" s="291"/>
      <c r="F2412" s="292"/>
      <c r="G2412" s="291"/>
      <c r="H2412" s="291"/>
      <c r="I2412" s="293"/>
      <c r="J2412" s="291"/>
      <c r="K2412" s="291"/>
      <c r="L2412" s="293"/>
      <c r="M2412" s="291"/>
      <c r="N2412" s="289"/>
      <c r="O2412" s="358"/>
      <c r="P2412" s="402">
        <f t="shared" ref="P2412:Q2412" si="2410">IF(B2412=0,0,IF(YEAR(B2412)=$Q$1,MONTH(B2412)-$P$1+1,(YEAR(B2412)-$Q$1)*12-$P$1+1+MONTH(B2412)))</f>
        <v>0</v>
      </c>
      <c r="Q2412" s="402">
        <f t="shared" si="2410"/>
        <v>0</v>
      </c>
      <c r="R2412" s="356" t="e">
        <f t="shared" si="1325"/>
        <v>#N/A</v>
      </c>
      <c r="S2412" s="269" t="str">
        <f>IF(D2412="","",IF(OR(D2412=Plano!$A$1,D2412=Plano!$B$1),"entrada","saída"))</f>
        <v/>
      </c>
      <c r="T2412" s="269"/>
      <c r="U2412" s="269"/>
      <c r="V2412" s="269"/>
      <c r="W2412" s="269"/>
    </row>
    <row r="2413" spans="1:23" ht="12.75" customHeight="1" x14ac:dyDescent="0.2">
      <c r="A2413" s="289" t="str">
        <f t="shared" si="0"/>
        <v/>
      </c>
      <c r="B2413" s="290"/>
      <c r="C2413" s="404"/>
      <c r="D2413" s="291"/>
      <c r="E2413" s="291"/>
      <c r="F2413" s="292"/>
      <c r="G2413" s="291"/>
      <c r="H2413" s="291"/>
      <c r="I2413" s="293"/>
      <c r="J2413" s="291"/>
      <c r="K2413" s="291"/>
      <c r="L2413" s="293"/>
      <c r="M2413" s="291"/>
      <c r="N2413" s="289"/>
      <c r="O2413" s="358"/>
      <c r="P2413" s="402">
        <f t="shared" ref="P2413:Q2413" si="2411">IF(B2413=0,0,IF(YEAR(B2413)=$Q$1,MONTH(B2413)-$P$1+1,(YEAR(B2413)-$Q$1)*12-$P$1+1+MONTH(B2413)))</f>
        <v>0</v>
      </c>
      <c r="Q2413" s="402">
        <f t="shared" si="2411"/>
        <v>0</v>
      </c>
      <c r="R2413" s="356" t="e">
        <f t="shared" si="1325"/>
        <v>#N/A</v>
      </c>
      <c r="S2413" s="269" t="str">
        <f>IF(D2413="","",IF(OR(D2413=Plano!$A$1,D2413=Plano!$B$1),"entrada","saída"))</f>
        <v/>
      </c>
      <c r="T2413" s="269"/>
      <c r="U2413" s="269"/>
      <c r="V2413" s="269"/>
      <c r="W2413" s="269"/>
    </row>
    <row r="2414" spans="1:23" ht="12.75" customHeight="1" x14ac:dyDescent="0.2">
      <c r="A2414" s="289" t="str">
        <f t="shared" si="0"/>
        <v/>
      </c>
      <c r="B2414" s="290"/>
      <c r="C2414" s="404"/>
      <c r="D2414" s="291"/>
      <c r="E2414" s="291"/>
      <c r="F2414" s="292"/>
      <c r="G2414" s="291"/>
      <c r="H2414" s="291"/>
      <c r="I2414" s="293"/>
      <c r="J2414" s="291"/>
      <c r="K2414" s="291"/>
      <c r="L2414" s="293"/>
      <c r="M2414" s="291"/>
      <c r="N2414" s="289"/>
      <c r="O2414" s="358"/>
      <c r="P2414" s="402">
        <f t="shared" ref="P2414:Q2414" si="2412">IF(B2414=0,0,IF(YEAR(B2414)=$Q$1,MONTH(B2414)-$P$1+1,(YEAR(B2414)-$Q$1)*12-$P$1+1+MONTH(B2414)))</f>
        <v>0</v>
      </c>
      <c r="Q2414" s="402">
        <f t="shared" si="2412"/>
        <v>0</v>
      </c>
      <c r="R2414" s="356" t="e">
        <f t="shared" si="1325"/>
        <v>#N/A</v>
      </c>
      <c r="S2414" s="269" t="str">
        <f>IF(D2414="","",IF(OR(D2414=Plano!$A$1,D2414=Plano!$B$1),"entrada","saída"))</f>
        <v/>
      </c>
      <c r="T2414" s="269"/>
      <c r="U2414" s="269"/>
      <c r="V2414" s="269"/>
      <c r="W2414" s="269"/>
    </row>
    <row r="2415" spans="1:23" ht="12.75" customHeight="1" x14ac:dyDescent="0.2">
      <c r="A2415" s="289" t="str">
        <f t="shared" si="0"/>
        <v/>
      </c>
      <c r="B2415" s="290"/>
      <c r="C2415" s="404"/>
      <c r="D2415" s="291"/>
      <c r="E2415" s="291"/>
      <c r="F2415" s="292"/>
      <c r="G2415" s="291"/>
      <c r="H2415" s="291"/>
      <c r="I2415" s="293"/>
      <c r="J2415" s="291"/>
      <c r="K2415" s="291"/>
      <c r="L2415" s="293"/>
      <c r="M2415" s="291"/>
      <c r="N2415" s="289"/>
      <c r="O2415" s="358"/>
      <c r="P2415" s="402">
        <f t="shared" ref="P2415:Q2415" si="2413">IF(B2415=0,0,IF(YEAR(B2415)=$Q$1,MONTH(B2415)-$P$1+1,(YEAR(B2415)-$Q$1)*12-$P$1+1+MONTH(B2415)))</f>
        <v>0</v>
      </c>
      <c r="Q2415" s="402">
        <f t="shared" si="2413"/>
        <v>0</v>
      </c>
      <c r="R2415" s="356" t="e">
        <f t="shared" si="1325"/>
        <v>#N/A</v>
      </c>
      <c r="S2415" s="269" t="str">
        <f>IF(D2415="","",IF(OR(D2415=Plano!$A$1,D2415=Plano!$B$1),"entrada","saída"))</f>
        <v/>
      </c>
      <c r="T2415" s="269"/>
      <c r="U2415" s="269"/>
      <c r="V2415" s="269"/>
      <c r="W2415" s="269"/>
    </row>
    <row r="2416" spans="1:23" ht="12.75" customHeight="1" x14ac:dyDescent="0.2">
      <c r="A2416" s="289" t="str">
        <f t="shared" si="0"/>
        <v/>
      </c>
      <c r="B2416" s="290"/>
      <c r="C2416" s="404"/>
      <c r="D2416" s="291"/>
      <c r="E2416" s="291"/>
      <c r="F2416" s="292"/>
      <c r="G2416" s="291"/>
      <c r="H2416" s="291"/>
      <c r="I2416" s="293"/>
      <c r="J2416" s="291"/>
      <c r="K2416" s="291"/>
      <c r="L2416" s="293"/>
      <c r="M2416" s="291"/>
      <c r="N2416" s="289"/>
      <c r="O2416" s="358"/>
      <c r="P2416" s="402">
        <f t="shared" ref="P2416:Q2416" si="2414">IF(B2416=0,0,IF(YEAR(B2416)=$Q$1,MONTH(B2416)-$P$1+1,(YEAR(B2416)-$Q$1)*12-$P$1+1+MONTH(B2416)))</f>
        <v>0</v>
      </c>
      <c r="Q2416" s="402">
        <f t="shared" si="2414"/>
        <v>0</v>
      </c>
      <c r="R2416" s="356" t="e">
        <f t="shared" si="1325"/>
        <v>#N/A</v>
      </c>
      <c r="S2416" s="269" t="str">
        <f>IF(D2416="","",IF(OR(D2416=Plano!$A$1,D2416=Plano!$B$1),"entrada","saída"))</f>
        <v/>
      </c>
      <c r="T2416" s="269"/>
      <c r="U2416" s="269"/>
      <c r="V2416" s="269"/>
      <c r="W2416" s="269"/>
    </row>
    <row r="2417" spans="1:23" ht="12.75" customHeight="1" x14ac:dyDescent="0.2">
      <c r="A2417" s="289" t="str">
        <f t="shared" si="0"/>
        <v/>
      </c>
      <c r="B2417" s="290"/>
      <c r="C2417" s="404"/>
      <c r="D2417" s="291"/>
      <c r="E2417" s="291"/>
      <c r="F2417" s="292"/>
      <c r="G2417" s="291"/>
      <c r="H2417" s="291"/>
      <c r="I2417" s="293"/>
      <c r="J2417" s="291"/>
      <c r="K2417" s="291"/>
      <c r="L2417" s="293"/>
      <c r="M2417" s="291"/>
      <c r="N2417" s="289"/>
      <c r="O2417" s="358"/>
      <c r="P2417" s="402">
        <f t="shared" ref="P2417:Q2417" si="2415">IF(B2417=0,0,IF(YEAR(B2417)=$Q$1,MONTH(B2417)-$P$1+1,(YEAR(B2417)-$Q$1)*12-$P$1+1+MONTH(B2417)))</f>
        <v>0</v>
      </c>
      <c r="Q2417" s="402">
        <f t="shared" si="2415"/>
        <v>0</v>
      </c>
      <c r="R2417" s="356" t="e">
        <f t="shared" si="1325"/>
        <v>#N/A</v>
      </c>
      <c r="S2417" s="269" t="str">
        <f>IF(D2417="","",IF(OR(D2417=Plano!$A$1,D2417=Plano!$B$1),"entrada","saída"))</f>
        <v/>
      </c>
      <c r="T2417" s="269"/>
      <c r="U2417" s="269"/>
      <c r="V2417" s="269"/>
      <c r="W2417" s="269"/>
    </row>
    <row r="2418" spans="1:23" ht="12.75" customHeight="1" x14ac:dyDescent="0.2">
      <c r="A2418" s="289" t="str">
        <f t="shared" si="0"/>
        <v/>
      </c>
      <c r="B2418" s="290"/>
      <c r="C2418" s="404"/>
      <c r="D2418" s="291"/>
      <c r="E2418" s="291"/>
      <c r="F2418" s="292"/>
      <c r="G2418" s="291"/>
      <c r="H2418" s="291"/>
      <c r="I2418" s="293"/>
      <c r="J2418" s="291"/>
      <c r="K2418" s="291"/>
      <c r="L2418" s="293"/>
      <c r="M2418" s="291"/>
      <c r="N2418" s="289"/>
      <c r="O2418" s="358"/>
      <c r="P2418" s="402">
        <f t="shared" ref="P2418:Q2418" si="2416">IF(B2418=0,0,IF(YEAR(B2418)=$Q$1,MONTH(B2418)-$P$1+1,(YEAR(B2418)-$Q$1)*12-$P$1+1+MONTH(B2418)))</f>
        <v>0</v>
      </c>
      <c r="Q2418" s="402">
        <f t="shared" si="2416"/>
        <v>0</v>
      </c>
      <c r="R2418" s="356" t="e">
        <f t="shared" si="1325"/>
        <v>#N/A</v>
      </c>
      <c r="S2418" s="269" t="str">
        <f>IF(D2418="","",IF(OR(D2418=Plano!$A$1,D2418=Plano!$B$1),"entrada","saída"))</f>
        <v/>
      </c>
      <c r="T2418" s="269"/>
      <c r="U2418" s="269"/>
      <c r="V2418" s="269"/>
      <c r="W2418" s="269"/>
    </row>
    <row r="2419" spans="1:23" ht="12.75" customHeight="1" x14ac:dyDescent="0.2">
      <c r="A2419" s="289" t="str">
        <f t="shared" si="0"/>
        <v/>
      </c>
      <c r="B2419" s="290"/>
      <c r="C2419" s="404"/>
      <c r="D2419" s="291"/>
      <c r="E2419" s="291"/>
      <c r="F2419" s="292"/>
      <c r="G2419" s="291"/>
      <c r="H2419" s="291"/>
      <c r="I2419" s="293"/>
      <c r="J2419" s="291"/>
      <c r="K2419" s="291"/>
      <c r="L2419" s="293"/>
      <c r="M2419" s="291"/>
      <c r="N2419" s="289"/>
      <c r="O2419" s="358"/>
      <c r="P2419" s="402">
        <f t="shared" ref="P2419:Q2419" si="2417">IF(B2419=0,0,IF(YEAR(B2419)=$Q$1,MONTH(B2419)-$P$1+1,(YEAR(B2419)-$Q$1)*12-$P$1+1+MONTH(B2419)))</f>
        <v>0</v>
      </c>
      <c r="Q2419" s="402">
        <f t="shared" si="2417"/>
        <v>0</v>
      </c>
      <c r="R2419" s="356" t="e">
        <f t="shared" si="1325"/>
        <v>#N/A</v>
      </c>
      <c r="S2419" s="269" t="str">
        <f>IF(D2419="","",IF(OR(D2419=Plano!$A$1,D2419=Plano!$B$1),"entrada","saída"))</f>
        <v/>
      </c>
      <c r="T2419" s="269"/>
      <c r="U2419" s="269"/>
      <c r="V2419" s="269"/>
      <c r="W2419" s="269"/>
    </row>
    <row r="2420" spans="1:23" ht="12.75" customHeight="1" x14ac:dyDescent="0.2">
      <c r="A2420" s="289" t="str">
        <f t="shared" si="0"/>
        <v/>
      </c>
      <c r="B2420" s="290"/>
      <c r="C2420" s="404"/>
      <c r="D2420" s="291"/>
      <c r="E2420" s="291"/>
      <c r="F2420" s="292"/>
      <c r="G2420" s="291"/>
      <c r="H2420" s="291"/>
      <c r="I2420" s="293"/>
      <c r="J2420" s="291"/>
      <c r="K2420" s="291"/>
      <c r="L2420" s="293"/>
      <c r="M2420" s="291"/>
      <c r="N2420" s="289"/>
      <c r="O2420" s="358"/>
      <c r="P2420" s="402">
        <f t="shared" ref="P2420:Q2420" si="2418">IF(B2420=0,0,IF(YEAR(B2420)=$Q$1,MONTH(B2420)-$P$1+1,(YEAR(B2420)-$Q$1)*12-$P$1+1+MONTH(B2420)))</f>
        <v>0</v>
      </c>
      <c r="Q2420" s="402">
        <f t="shared" si="2418"/>
        <v>0</v>
      </c>
      <c r="R2420" s="356" t="e">
        <f t="shared" si="1325"/>
        <v>#N/A</v>
      </c>
      <c r="S2420" s="269" t="str">
        <f>IF(D2420="","",IF(OR(D2420=Plano!$A$1,D2420=Plano!$B$1),"entrada","saída"))</f>
        <v/>
      </c>
      <c r="T2420" s="269"/>
      <c r="U2420" s="269"/>
      <c r="V2420" s="269"/>
      <c r="W2420" s="269"/>
    </row>
    <row r="2421" spans="1:23" ht="12.75" customHeight="1" x14ac:dyDescent="0.2">
      <c r="A2421" s="289" t="str">
        <f t="shared" si="0"/>
        <v/>
      </c>
      <c r="B2421" s="290"/>
      <c r="C2421" s="404"/>
      <c r="D2421" s="291"/>
      <c r="E2421" s="291"/>
      <c r="F2421" s="292"/>
      <c r="G2421" s="291"/>
      <c r="H2421" s="291"/>
      <c r="I2421" s="293"/>
      <c r="J2421" s="291"/>
      <c r="K2421" s="291"/>
      <c r="L2421" s="293"/>
      <c r="M2421" s="291"/>
      <c r="N2421" s="289"/>
      <c r="O2421" s="358"/>
      <c r="P2421" s="402">
        <f t="shared" ref="P2421:Q2421" si="2419">IF(B2421=0,0,IF(YEAR(B2421)=$Q$1,MONTH(B2421)-$P$1+1,(YEAR(B2421)-$Q$1)*12-$P$1+1+MONTH(B2421)))</f>
        <v>0</v>
      </c>
      <c r="Q2421" s="402">
        <f t="shared" si="2419"/>
        <v>0</v>
      </c>
      <c r="R2421" s="356" t="e">
        <f t="shared" si="1325"/>
        <v>#N/A</v>
      </c>
      <c r="S2421" s="269" t="str">
        <f>IF(D2421="","",IF(OR(D2421=Plano!$A$1,D2421=Plano!$B$1),"entrada","saída"))</f>
        <v/>
      </c>
      <c r="T2421" s="269"/>
      <c r="U2421" s="269"/>
      <c r="V2421" s="269"/>
      <c r="W2421" s="269"/>
    </row>
    <row r="2422" spans="1:23" ht="12.75" customHeight="1" x14ac:dyDescent="0.2">
      <c r="A2422" s="289" t="str">
        <f t="shared" si="0"/>
        <v/>
      </c>
      <c r="B2422" s="290"/>
      <c r="C2422" s="404"/>
      <c r="D2422" s="291"/>
      <c r="E2422" s="291"/>
      <c r="F2422" s="292"/>
      <c r="G2422" s="291"/>
      <c r="H2422" s="291"/>
      <c r="I2422" s="293"/>
      <c r="J2422" s="291"/>
      <c r="K2422" s="291"/>
      <c r="L2422" s="293"/>
      <c r="M2422" s="291"/>
      <c r="N2422" s="289"/>
      <c r="O2422" s="358"/>
      <c r="P2422" s="402">
        <f t="shared" ref="P2422:Q2422" si="2420">IF(B2422=0,0,IF(YEAR(B2422)=$Q$1,MONTH(B2422)-$P$1+1,(YEAR(B2422)-$Q$1)*12-$P$1+1+MONTH(B2422)))</f>
        <v>0</v>
      </c>
      <c r="Q2422" s="402">
        <f t="shared" si="2420"/>
        <v>0</v>
      </c>
      <c r="R2422" s="356" t="e">
        <f t="shared" si="1325"/>
        <v>#N/A</v>
      </c>
      <c r="S2422" s="269" t="str">
        <f>IF(D2422="","",IF(OR(D2422=Plano!$A$1,D2422=Plano!$B$1),"entrada","saída"))</f>
        <v/>
      </c>
      <c r="T2422" s="269"/>
      <c r="U2422" s="269"/>
      <c r="V2422" s="269"/>
      <c r="W2422" s="269"/>
    </row>
    <row r="2423" spans="1:23" ht="12.75" customHeight="1" x14ac:dyDescent="0.2">
      <c r="A2423" s="289" t="str">
        <f t="shared" si="0"/>
        <v/>
      </c>
      <c r="B2423" s="290"/>
      <c r="C2423" s="404"/>
      <c r="D2423" s="291"/>
      <c r="E2423" s="291"/>
      <c r="F2423" s="292"/>
      <c r="G2423" s="291"/>
      <c r="H2423" s="291"/>
      <c r="I2423" s="293"/>
      <c r="J2423" s="291"/>
      <c r="K2423" s="291"/>
      <c r="L2423" s="293"/>
      <c r="M2423" s="291"/>
      <c r="N2423" s="289"/>
      <c r="O2423" s="358"/>
      <c r="P2423" s="402">
        <f t="shared" ref="P2423:Q2423" si="2421">IF(B2423=0,0,IF(YEAR(B2423)=$Q$1,MONTH(B2423)-$P$1+1,(YEAR(B2423)-$Q$1)*12-$P$1+1+MONTH(B2423)))</f>
        <v>0</v>
      </c>
      <c r="Q2423" s="402">
        <f t="shared" si="2421"/>
        <v>0</v>
      </c>
      <c r="R2423" s="356" t="e">
        <f t="shared" si="1325"/>
        <v>#N/A</v>
      </c>
      <c r="S2423" s="269" t="str">
        <f>IF(D2423="","",IF(OR(D2423=Plano!$A$1,D2423=Plano!$B$1),"entrada","saída"))</f>
        <v/>
      </c>
      <c r="T2423" s="269"/>
      <c r="U2423" s="269"/>
      <c r="V2423" s="269"/>
      <c r="W2423" s="269"/>
    </row>
    <row r="2424" spans="1:23" ht="12.75" customHeight="1" x14ac:dyDescent="0.2">
      <c r="A2424" s="289" t="str">
        <f t="shared" si="0"/>
        <v/>
      </c>
      <c r="B2424" s="290"/>
      <c r="C2424" s="404"/>
      <c r="D2424" s="291"/>
      <c r="E2424" s="291"/>
      <c r="F2424" s="292"/>
      <c r="G2424" s="291"/>
      <c r="H2424" s="291"/>
      <c r="I2424" s="293"/>
      <c r="J2424" s="291"/>
      <c r="K2424" s="291"/>
      <c r="L2424" s="293"/>
      <c r="M2424" s="291"/>
      <c r="N2424" s="289"/>
      <c r="O2424" s="358"/>
      <c r="P2424" s="402">
        <f t="shared" ref="P2424:Q2424" si="2422">IF(B2424=0,0,IF(YEAR(B2424)=$Q$1,MONTH(B2424)-$P$1+1,(YEAR(B2424)-$Q$1)*12-$P$1+1+MONTH(B2424)))</f>
        <v>0</v>
      </c>
      <c r="Q2424" s="402">
        <f t="shared" si="2422"/>
        <v>0</v>
      </c>
      <c r="R2424" s="356" t="e">
        <f t="shared" si="1325"/>
        <v>#N/A</v>
      </c>
      <c r="S2424" s="269" t="str">
        <f>IF(D2424="","",IF(OR(D2424=Plano!$A$1,D2424=Plano!$B$1),"entrada","saída"))</f>
        <v/>
      </c>
      <c r="T2424" s="269"/>
      <c r="U2424" s="269"/>
      <c r="V2424" s="269"/>
      <c r="W2424" s="269"/>
    </row>
    <row r="2425" spans="1:23" ht="12.75" customHeight="1" x14ac:dyDescent="0.2">
      <c r="A2425" s="289" t="str">
        <f t="shared" si="0"/>
        <v/>
      </c>
      <c r="B2425" s="290"/>
      <c r="C2425" s="404"/>
      <c r="D2425" s="291"/>
      <c r="E2425" s="291"/>
      <c r="F2425" s="292"/>
      <c r="G2425" s="291"/>
      <c r="H2425" s="291"/>
      <c r="I2425" s="293"/>
      <c r="J2425" s="291"/>
      <c r="K2425" s="291"/>
      <c r="L2425" s="293"/>
      <c r="M2425" s="291"/>
      <c r="N2425" s="289"/>
      <c r="O2425" s="358"/>
      <c r="P2425" s="402">
        <f t="shared" ref="P2425:Q2425" si="2423">IF(B2425=0,0,IF(YEAR(B2425)=$Q$1,MONTH(B2425)-$P$1+1,(YEAR(B2425)-$Q$1)*12-$P$1+1+MONTH(B2425)))</f>
        <v>0</v>
      </c>
      <c r="Q2425" s="402">
        <f t="shared" si="2423"/>
        <v>0</v>
      </c>
      <c r="R2425" s="356" t="e">
        <f t="shared" si="1325"/>
        <v>#N/A</v>
      </c>
      <c r="S2425" s="269" t="str">
        <f>IF(D2425="","",IF(OR(D2425=Plano!$A$1,D2425=Plano!$B$1),"entrada","saída"))</f>
        <v/>
      </c>
      <c r="T2425" s="269"/>
      <c r="U2425" s="269"/>
      <c r="V2425" s="269"/>
      <c r="W2425" s="269"/>
    </row>
    <row r="2426" spans="1:23" ht="12.75" customHeight="1" x14ac:dyDescent="0.2">
      <c r="A2426" s="289" t="str">
        <f t="shared" si="0"/>
        <v/>
      </c>
      <c r="B2426" s="290"/>
      <c r="C2426" s="404"/>
      <c r="D2426" s="291"/>
      <c r="E2426" s="291"/>
      <c r="F2426" s="292"/>
      <c r="G2426" s="291"/>
      <c r="H2426" s="291"/>
      <c r="I2426" s="293"/>
      <c r="J2426" s="291"/>
      <c r="K2426" s="291"/>
      <c r="L2426" s="293"/>
      <c r="M2426" s="291"/>
      <c r="N2426" s="289"/>
      <c r="O2426" s="358"/>
      <c r="P2426" s="402">
        <f t="shared" ref="P2426:Q2426" si="2424">IF(B2426=0,0,IF(YEAR(B2426)=$Q$1,MONTH(B2426)-$P$1+1,(YEAR(B2426)-$Q$1)*12-$P$1+1+MONTH(B2426)))</f>
        <v>0</v>
      </c>
      <c r="Q2426" s="402">
        <f t="shared" si="2424"/>
        <v>0</v>
      </c>
      <c r="R2426" s="356" t="e">
        <f t="shared" si="1325"/>
        <v>#N/A</v>
      </c>
      <c r="S2426" s="269" t="str">
        <f>IF(D2426="","",IF(OR(D2426=Plano!$A$1,D2426=Plano!$B$1),"entrada","saída"))</f>
        <v/>
      </c>
      <c r="T2426" s="269"/>
      <c r="U2426" s="269"/>
      <c r="V2426" s="269"/>
      <c r="W2426" s="269"/>
    </row>
    <row r="2427" spans="1:23" ht="12.75" customHeight="1" x14ac:dyDescent="0.2">
      <c r="A2427" s="289" t="str">
        <f t="shared" si="0"/>
        <v/>
      </c>
      <c r="B2427" s="290"/>
      <c r="C2427" s="404"/>
      <c r="D2427" s="291"/>
      <c r="E2427" s="291"/>
      <c r="F2427" s="292"/>
      <c r="G2427" s="291"/>
      <c r="H2427" s="291"/>
      <c r="I2427" s="293"/>
      <c r="J2427" s="291"/>
      <c r="K2427" s="291"/>
      <c r="L2427" s="293"/>
      <c r="M2427" s="291"/>
      <c r="N2427" s="289"/>
      <c r="O2427" s="358"/>
      <c r="P2427" s="402">
        <f t="shared" ref="P2427:Q2427" si="2425">IF(B2427=0,0,IF(YEAR(B2427)=$Q$1,MONTH(B2427)-$P$1+1,(YEAR(B2427)-$Q$1)*12-$P$1+1+MONTH(B2427)))</f>
        <v>0</v>
      </c>
      <c r="Q2427" s="402">
        <f t="shared" si="2425"/>
        <v>0</v>
      </c>
      <c r="R2427" s="356" t="e">
        <f t="shared" si="1325"/>
        <v>#N/A</v>
      </c>
      <c r="S2427" s="269" t="str">
        <f>IF(D2427="","",IF(OR(D2427=Plano!$A$1,D2427=Plano!$B$1),"entrada","saída"))</f>
        <v/>
      </c>
      <c r="T2427" s="269"/>
      <c r="U2427" s="269"/>
      <c r="V2427" s="269"/>
      <c r="W2427" s="269"/>
    </row>
    <row r="2428" spans="1:23" ht="12.75" customHeight="1" x14ac:dyDescent="0.2">
      <c r="A2428" s="289" t="str">
        <f t="shared" si="0"/>
        <v/>
      </c>
      <c r="B2428" s="290"/>
      <c r="C2428" s="404"/>
      <c r="D2428" s="291"/>
      <c r="E2428" s="291"/>
      <c r="F2428" s="292"/>
      <c r="G2428" s="291"/>
      <c r="H2428" s="291"/>
      <c r="I2428" s="293"/>
      <c r="J2428" s="291"/>
      <c r="K2428" s="291"/>
      <c r="L2428" s="293"/>
      <c r="M2428" s="291"/>
      <c r="N2428" s="289"/>
      <c r="O2428" s="358"/>
      <c r="P2428" s="402">
        <f t="shared" ref="P2428:Q2428" si="2426">IF(B2428=0,0,IF(YEAR(B2428)=$Q$1,MONTH(B2428)-$P$1+1,(YEAR(B2428)-$Q$1)*12-$P$1+1+MONTH(B2428)))</f>
        <v>0</v>
      </c>
      <c r="Q2428" s="402">
        <f t="shared" si="2426"/>
        <v>0</v>
      </c>
      <c r="R2428" s="356" t="e">
        <f t="shared" si="1325"/>
        <v>#N/A</v>
      </c>
      <c r="S2428" s="269" t="str">
        <f>IF(D2428="","",IF(OR(D2428=Plano!$A$1,D2428=Plano!$B$1),"entrada","saída"))</f>
        <v/>
      </c>
      <c r="T2428" s="269"/>
      <c r="U2428" s="269"/>
      <c r="V2428" s="269"/>
      <c r="W2428" s="269"/>
    </row>
    <row r="2429" spans="1:23" ht="12.75" customHeight="1" x14ac:dyDescent="0.2">
      <c r="A2429" s="289" t="str">
        <f t="shared" si="0"/>
        <v/>
      </c>
      <c r="B2429" s="290"/>
      <c r="C2429" s="404"/>
      <c r="D2429" s="291"/>
      <c r="E2429" s="291"/>
      <c r="F2429" s="292"/>
      <c r="G2429" s="291"/>
      <c r="H2429" s="291"/>
      <c r="I2429" s="293"/>
      <c r="J2429" s="291"/>
      <c r="K2429" s="291"/>
      <c r="L2429" s="293"/>
      <c r="M2429" s="291"/>
      <c r="N2429" s="289"/>
      <c r="O2429" s="358"/>
      <c r="P2429" s="402">
        <f t="shared" ref="P2429:Q2429" si="2427">IF(B2429=0,0,IF(YEAR(B2429)=$Q$1,MONTH(B2429)-$P$1+1,(YEAR(B2429)-$Q$1)*12-$P$1+1+MONTH(B2429)))</f>
        <v>0</v>
      </c>
      <c r="Q2429" s="402">
        <f t="shared" si="2427"/>
        <v>0</v>
      </c>
      <c r="R2429" s="356" t="e">
        <f t="shared" si="1325"/>
        <v>#N/A</v>
      </c>
      <c r="S2429" s="269" t="str">
        <f>IF(D2429="","",IF(OR(D2429=Plano!$A$1,D2429=Plano!$B$1),"entrada","saída"))</f>
        <v/>
      </c>
      <c r="T2429" s="269"/>
      <c r="U2429" s="269"/>
      <c r="V2429" s="269"/>
      <c r="W2429" s="269"/>
    </row>
    <row r="2430" spans="1:23" ht="12.75" customHeight="1" x14ac:dyDescent="0.2">
      <c r="A2430" s="289" t="str">
        <f t="shared" si="0"/>
        <v/>
      </c>
      <c r="B2430" s="290"/>
      <c r="C2430" s="404"/>
      <c r="D2430" s="291"/>
      <c r="E2430" s="291"/>
      <c r="F2430" s="292"/>
      <c r="G2430" s="291"/>
      <c r="H2430" s="291"/>
      <c r="I2430" s="293"/>
      <c r="J2430" s="291"/>
      <c r="K2430" s="291"/>
      <c r="L2430" s="293"/>
      <c r="M2430" s="291"/>
      <c r="N2430" s="289"/>
      <c r="O2430" s="358"/>
      <c r="P2430" s="402">
        <f t="shared" ref="P2430:Q2430" si="2428">IF(B2430=0,0,IF(YEAR(B2430)=$Q$1,MONTH(B2430)-$P$1+1,(YEAR(B2430)-$Q$1)*12-$P$1+1+MONTH(B2430)))</f>
        <v>0</v>
      </c>
      <c r="Q2430" s="402">
        <f t="shared" si="2428"/>
        <v>0</v>
      </c>
      <c r="R2430" s="356" t="e">
        <f t="shared" si="1325"/>
        <v>#N/A</v>
      </c>
      <c r="S2430" s="269" t="str">
        <f>IF(D2430="","",IF(OR(D2430=Plano!$A$1,D2430=Plano!$B$1),"entrada","saída"))</f>
        <v/>
      </c>
      <c r="T2430" s="269"/>
      <c r="U2430" s="269"/>
      <c r="V2430" s="269"/>
      <c r="W2430" s="269"/>
    </row>
    <row r="2431" spans="1:23" ht="12.75" customHeight="1" x14ac:dyDescent="0.2">
      <c r="A2431" s="289" t="str">
        <f t="shared" si="0"/>
        <v/>
      </c>
      <c r="B2431" s="290"/>
      <c r="C2431" s="404"/>
      <c r="D2431" s="291"/>
      <c r="E2431" s="291"/>
      <c r="F2431" s="292"/>
      <c r="G2431" s="291"/>
      <c r="H2431" s="291"/>
      <c r="I2431" s="293"/>
      <c r="J2431" s="291"/>
      <c r="K2431" s="291"/>
      <c r="L2431" s="293"/>
      <c r="M2431" s="291"/>
      <c r="N2431" s="289"/>
      <c r="O2431" s="358"/>
      <c r="P2431" s="402">
        <f t="shared" ref="P2431:Q2431" si="2429">IF(B2431=0,0,IF(YEAR(B2431)=$Q$1,MONTH(B2431)-$P$1+1,(YEAR(B2431)-$Q$1)*12-$P$1+1+MONTH(B2431)))</f>
        <v>0</v>
      </c>
      <c r="Q2431" s="402">
        <f t="shared" si="2429"/>
        <v>0</v>
      </c>
      <c r="R2431" s="356" t="e">
        <f t="shared" si="1325"/>
        <v>#N/A</v>
      </c>
      <c r="S2431" s="269" t="str">
        <f>IF(D2431="","",IF(OR(D2431=Plano!$A$1,D2431=Plano!$B$1),"entrada","saída"))</f>
        <v/>
      </c>
      <c r="T2431" s="269"/>
      <c r="U2431" s="269"/>
      <c r="V2431" s="269"/>
      <c r="W2431" s="269"/>
    </row>
    <row r="2432" spans="1:23" ht="12.75" customHeight="1" x14ac:dyDescent="0.2">
      <c r="A2432" s="289" t="str">
        <f t="shared" si="0"/>
        <v/>
      </c>
      <c r="B2432" s="290"/>
      <c r="C2432" s="404"/>
      <c r="D2432" s="291"/>
      <c r="E2432" s="291"/>
      <c r="F2432" s="292"/>
      <c r="G2432" s="291"/>
      <c r="H2432" s="291"/>
      <c r="I2432" s="293"/>
      <c r="J2432" s="291"/>
      <c r="K2432" s="291"/>
      <c r="L2432" s="293"/>
      <c r="M2432" s="291"/>
      <c r="N2432" s="289"/>
      <c r="O2432" s="358"/>
      <c r="P2432" s="402">
        <f t="shared" ref="P2432:Q2432" si="2430">IF(B2432=0,0,IF(YEAR(B2432)=$Q$1,MONTH(B2432)-$P$1+1,(YEAR(B2432)-$Q$1)*12-$P$1+1+MONTH(B2432)))</f>
        <v>0</v>
      </c>
      <c r="Q2432" s="402">
        <f t="shared" si="2430"/>
        <v>0</v>
      </c>
      <c r="R2432" s="356" t="e">
        <f t="shared" si="1325"/>
        <v>#N/A</v>
      </c>
      <c r="S2432" s="269" t="str">
        <f>IF(D2432="","",IF(OR(D2432=Plano!$A$1,D2432=Plano!$B$1),"entrada","saída"))</f>
        <v/>
      </c>
      <c r="T2432" s="269"/>
      <c r="U2432" s="269"/>
      <c r="V2432" s="269"/>
      <c r="W2432" s="269"/>
    </row>
    <row r="2433" spans="1:23" ht="12.75" customHeight="1" x14ac:dyDescent="0.2">
      <c r="A2433" s="289" t="str">
        <f t="shared" si="0"/>
        <v/>
      </c>
      <c r="B2433" s="290"/>
      <c r="C2433" s="404"/>
      <c r="D2433" s="291"/>
      <c r="E2433" s="291"/>
      <c r="F2433" s="292"/>
      <c r="G2433" s="291"/>
      <c r="H2433" s="291"/>
      <c r="I2433" s="293"/>
      <c r="J2433" s="291"/>
      <c r="K2433" s="291"/>
      <c r="L2433" s="293"/>
      <c r="M2433" s="291"/>
      <c r="N2433" s="289"/>
      <c r="O2433" s="358"/>
      <c r="P2433" s="402">
        <f t="shared" ref="P2433:Q2433" si="2431">IF(B2433=0,0,IF(YEAR(B2433)=$Q$1,MONTH(B2433)-$P$1+1,(YEAR(B2433)-$Q$1)*12-$P$1+1+MONTH(B2433)))</f>
        <v>0</v>
      </c>
      <c r="Q2433" s="402">
        <f t="shared" si="2431"/>
        <v>0</v>
      </c>
      <c r="R2433" s="356" t="e">
        <f t="shared" si="1325"/>
        <v>#N/A</v>
      </c>
      <c r="S2433" s="269" t="str">
        <f>IF(D2433="","",IF(OR(D2433=Plano!$A$1,D2433=Plano!$B$1),"entrada","saída"))</f>
        <v/>
      </c>
      <c r="T2433" s="269"/>
      <c r="U2433" s="269"/>
      <c r="V2433" s="269"/>
      <c r="W2433" s="269"/>
    </row>
    <row r="2434" spans="1:23" ht="12.75" customHeight="1" x14ac:dyDescent="0.2">
      <c r="A2434" s="289" t="str">
        <f t="shared" si="0"/>
        <v/>
      </c>
      <c r="B2434" s="290"/>
      <c r="C2434" s="404"/>
      <c r="D2434" s="291"/>
      <c r="E2434" s="291"/>
      <c r="F2434" s="292"/>
      <c r="G2434" s="291"/>
      <c r="H2434" s="291"/>
      <c r="I2434" s="293"/>
      <c r="J2434" s="291"/>
      <c r="K2434" s="291"/>
      <c r="L2434" s="293"/>
      <c r="M2434" s="291"/>
      <c r="N2434" s="289"/>
      <c r="O2434" s="358"/>
      <c r="P2434" s="402">
        <f t="shared" ref="P2434:Q2434" si="2432">IF(B2434=0,0,IF(YEAR(B2434)=$Q$1,MONTH(B2434)-$P$1+1,(YEAR(B2434)-$Q$1)*12-$P$1+1+MONTH(B2434)))</f>
        <v>0</v>
      </c>
      <c r="Q2434" s="402">
        <f t="shared" si="2432"/>
        <v>0</v>
      </c>
      <c r="R2434" s="356" t="e">
        <f t="shared" si="1325"/>
        <v>#N/A</v>
      </c>
      <c r="S2434" s="269" t="str">
        <f>IF(D2434="","",IF(OR(D2434=Plano!$A$1,D2434=Plano!$B$1),"entrada","saída"))</f>
        <v/>
      </c>
      <c r="T2434" s="269"/>
      <c r="U2434" s="269"/>
      <c r="V2434" s="269"/>
      <c r="W2434" s="269"/>
    </row>
    <row r="2435" spans="1:23" ht="12.75" customHeight="1" x14ac:dyDescent="0.2">
      <c r="A2435" s="289" t="str">
        <f t="shared" si="0"/>
        <v/>
      </c>
      <c r="B2435" s="290"/>
      <c r="C2435" s="404"/>
      <c r="D2435" s="291"/>
      <c r="E2435" s="291"/>
      <c r="F2435" s="292"/>
      <c r="G2435" s="291"/>
      <c r="H2435" s="291"/>
      <c r="I2435" s="293"/>
      <c r="J2435" s="291"/>
      <c r="K2435" s="291"/>
      <c r="L2435" s="293"/>
      <c r="M2435" s="291"/>
      <c r="N2435" s="289"/>
      <c r="O2435" s="358"/>
      <c r="P2435" s="402">
        <f t="shared" ref="P2435:Q2435" si="2433">IF(B2435=0,0,IF(YEAR(B2435)=$Q$1,MONTH(B2435)-$P$1+1,(YEAR(B2435)-$Q$1)*12-$P$1+1+MONTH(B2435)))</f>
        <v>0</v>
      </c>
      <c r="Q2435" s="402">
        <f t="shared" si="2433"/>
        <v>0</v>
      </c>
      <c r="R2435" s="356" t="e">
        <f t="shared" si="1325"/>
        <v>#N/A</v>
      </c>
      <c r="S2435" s="269" t="str">
        <f>IF(D2435="","",IF(OR(D2435=Plano!$A$1,D2435=Plano!$B$1),"entrada","saída"))</f>
        <v/>
      </c>
      <c r="T2435" s="269"/>
      <c r="U2435" s="269"/>
      <c r="V2435" s="269"/>
      <c r="W2435" s="269"/>
    </row>
    <row r="2436" spans="1:23" ht="12.75" customHeight="1" x14ac:dyDescent="0.2">
      <c r="A2436" s="289" t="str">
        <f t="shared" si="0"/>
        <v/>
      </c>
      <c r="B2436" s="290"/>
      <c r="C2436" s="404"/>
      <c r="D2436" s="291"/>
      <c r="E2436" s="291"/>
      <c r="F2436" s="292"/>
      <c r="G2436" s="291"/>
      <c r="H2436" s="291"/>
      <c r="I2436" s="293"/>
      <c r="J2436" s="291"/>
      <c r="K2436" s="291"/>
      <c r="L2436" s="293"/>
      <c r="M2436" s="291"/>
      <c r="N2436" s="289"/>
      <c r="O2436" s="358"/>
      <c r="P2436" s="402">
        <f t="shared" ref="P2436:Q2436" si="2434">IF(B2436=0,0,IF(YEAR(B2436)=$Q$1,MONTH(B2436)-$P$1+1,(YEAR(B2436)-$Q$1)*12-$P$1+1+MONTH(B2436)))</f>
        <v>0</v>
      </c>
      <c r="Q2436" s="402">
        <f t="shared" si="2434"/>
        <v>0</v>
      </c>
      <c r="R2436" s="356" t="e">
        <f t="shared" si="1325"/>
        <v>#N/A</v>
      </c>
      <c r="S2436" s="269" t="str">
        <f>IF(D2436="","",IF(OR(D2436=Plano!$A$1,D2436=Plano!$B$1),"entrada","saída"))</f>
        <v/>
      </c>
      <c r="T2436" s="269"/>
      <c r="U2436" s="269"/>
      <c r="V2436" s="269"/>
      <c r="W2436" s="269"/>
    </row>
    <row r="2437" spans="1:23" ht="12.75" customHeight="1" x14ac:dyDescent="0.2">
      <c r="A2437" s="289" t="str">
        <f t="shared" si="0"/>
        <v/>
      </c>
      <c r="B2437" s="290"/>
      <c r="C2437" s="404"/>
      <c r="D2437" s="291"/>
      <c r="E2437" s="291"/>
      <c r="F2437" s="292"/>
      <c r="G2437" s="291"/>
      <c r="H2437" s="291"/>
      <c r="I2437" s="293"/>
      <c r="J2437" s="291"/>
      <c r="K2437" s="291"/>
      <c r="L2437" s="293"/>
      <c r="M2437" s="291"/>
      <c r="N2437" s="289"/>
      <c r="O2437" s="358"/>
      <c r="P2437" s="402">
        <f t="shared" ref="P2437:Q2437" si="2435">IF(B2437=0,0,IF(YEAR(B2437)=$Q$1,MONTH(B2437)-$P$1+1,(YEAR(B2437)-$Q$1)*12-$P$1+1+MONTH(B2437)))</f>
        <v>0</v>
      </c>
      <c r="Q2437" s="402">
        <f t="shared" si="2435"/>
        <v>0</v>
      </c>
      <c r="R2437" s="356" t="e">
        <f t="shared" si="1325"/>
        <v>#N/A</v>
      </c>
      <c r="S2437" s="269" t="str">
        <f>IF(D2437="","",IF(OR(D2437=Plano!$A$1,D2437=Plano!$B$1),"entrada","saída"))</f>
        <v/>
      </c>
      <c r="T2437" s="269"/>
      <c r="U2437" s="269"/>
      <c r="V2437" s="269"/>
      <c r="W2437" s="269"/>
    </row>
    <row r="2438" spans="1:23" ht="12.75" customHeight="1" x14ac:dyDescent="0.2">
      <c r="A2438" s="289" t="str">
        <f t="shared" si="0"/>
        <v/>
      </c>
      <c r="B2438" s="290"/>
      <c r="C2438" s="404"/>
      <c r="D2438" s="291"/>
      <c r="E2438" s="291"/>
      <c r="F2438" s="292"/>
      <c r="G2438" s="291"/>
      <c r="H2438" s="291"/>
      <c r="I2438" s="293"/>
      <c r="J2438" s="291"/>
      <c r="K2438" s="291"/>
      <c r="L2438" s="293"/>
      <c r="M2438" s="291"/>
      <c r="N2438" s="289"/>
      <c r="O2438" s="358"/>
      <c r="P2438" s="402">
        <f t="shared" ref="P2438:Q2438" si="2436">IF(B2438=0,0,IF(YEAR(B2438)=$Q$1,MONTH(B2438)-$P$1+1,(YEAR(B2438)-$Q$1)*12-$P$1+1+MONTH(B2438)))</f>
        <v>0</v>
      </c>
      <c r="Q2438" s="402">
        <f t="shared" si="2436"/>
        <v>0</v>
      </c>
      <c r="R2438" s="356" t="e">
        <f t="shared" si="1325"/>
        <v>#N/A</v>
      </c>
      <c r="S2438" s="269" t="str">
        <f>IF(D2438="","",IF(OR(D2438=Plano!$A$1,D2438=Plano!$B$1),"entrada","saída"))</f>
        <v/>
      </c>
      <c r="T2438" s="269"/>
      <c r="U2438" s="269"/>
      <c r="V2438" s="269"/>
      <c r="W2438" s="269"/>
    </row>
    <row r="2439" spans="1:23" ht="12.75" customHeight="1" x14ac:dyDescent="0.2">
      <c r="A2439" s="289" t="str">
        <f t="shared" si="0"/>
        <v/>
      </c>
      <c r="B2439" s="290"/>
      <c r="C2439" s="404"/>
      <c r="D2439" s="291"/>
      <c r="E2439" s="291"/>
      <c r="F2439" s="292"/>
      <c r="G2439" s="291"/>
      <c r="H2439" s="291"/>
      <c r="I2439" s="293"/>
      <c r="J2439" s="291"/>
      <c r="K2439" s="291"/>
      <c r="L2439" s="293"/>
      <c r="M2439" s="291"/>
      <c r="N2439" s="289"/>
      <c r="O2439" s="358"/>
      <c r="P2439" s="402">
        <f t="shared" ref="P2439:Q2439" si="2437">IF(B2439=0,0,IF(YEAR(B2439)=$Q$1,MONTH(B2439)-$P$1+1,(YEAR(B2439)-$Q$1)*12-$P$1+1+MONTH(B2439)))</f>
        <v>0</v>
      </c>
      <c r="Q2439" s="402">
        <f t="shared" si="2437"/>
        <v>0</v>
      </c>
      <c r="R2439" s="356" t="e">
        <f t="shared" si="1325"/>
        <v>#N/A</v>
      </c>
      <c r="S2439" s="269" t="str">
        <f>IF(D2439="","",IF(OR(D2439=Plano!$A$1,D2439=Plano!$B$1),"entrada","saída"))</f>
        <v/>
      </c>
      <c r="T2439" s="269"/>
      <c r="U2439" s="269"/>
      <c r="V2439" s="269"/>
      <c r="W2439" s="269"/>
    </row>
    <row r="2440" spans="1:23" ht="12.75" customHeight="1" x14ac:dyDescent="0.2">
      <c r="A2440" s="289" t="str">
        <f t="shared" si="0"/>
        <v/>
      </c>
      <c r="B2440" s="290"/>
      <c r="C2440" s="404"/>
      <c r="D2440" s="291"/>
      <c r="E2440" s="291"/>
      <c r="F2440" s="292"/>
      <c r="G2440" s="291"/>
      <c r="H2440" s="291"/>
      <c r="I2440" s="293"/>
      <c r="J2440" s="291"/>
      <c r="K2440" s="291"/>
      <c r="L2440" s="293"/>
      <c r="M2440" s="291"/>
      <c r="N2440" s="289"/>
      <c r="O2440" s="358"/>
      <c r="P2440" s="402">
        <f t="shared" ref="P2440:Q2440" si="2438">IF(B2440=0,0,IF(YEAR(B2440)=$Q$1,MONTH(B2440)-$P$1+1,(YEAR(B2440)-$Q$1)*12-$P$1+1+MONTH(B2440)))</f>
        <v>0</v>
      </c>
      <c r="Q2440" s="402">
        <f t="shared" si="2438"/>
        <v>0</v>
      </c>
      <c r="R2440" s="356" t="e">
        <f t="shared" si="1325"/>
        <v>#N/A</v>
      </c>
      <c r="S2440" s="269" t="str">
        <f>IF(D2440="","",IF(OR(D2440=Plano!$A$1,D2440=Plano!$B$1),"entrada","saída"))</f>
        <v/>
      </c>
      <c r="T2440" s="269"/>
      <c r="U2440" s="269"/>
      <c r="V2440" s="269"/>
      <c r="W2440" s="269"/>
    </row>
    <row r="2441" spans="1:23" ht="12.75" customHeight="1" x14ac:dyDescent="0.2">
      <c r="A2441" s="289" t="str">
        <f t="shared" si="0"/>
        <v/>
      </c>
      <c r="B2441" s="290"/>
      <c r="C2441" s="404"/>
      <c r="D2441" s="291"/>
      <c r="E2441" s="291"/>
      <c r="F2441" s="292"/>
      <c r="G2441" s="291"/>
      <c r="H2441" s="291"/>
      <c r="I2441" s="293"/>
      <c r="J2441" s="291"/>
      <c r="K2441" s="291"/>
      <c r="L2441" s="293"/>
      <c r="M2441" s="291"/>
      <c r="N2441" s="289"/>
      <c r="O2441" s="358"/>
      <c r="P2441" s="402">
        <f t="shared" ref="P2441:Q2441" si="2439">IF(B2441=0,0,IF(YEAR(B2441)=$Q$1,MONTH(B2441)-$P$1+1,(YEAR(B2441)-$Q$1)*12-$P$1+1+MONTH(B2441)))</f>
        <v>0</v>
      </c>
      <c r="Q2441" s="402">
        <f t="shared" si="2439"/>
        <v>0</v>
      </c>
      <c r="R2441" s="356" t="e">
        <f t="shared" si="1325"/>
        <v>#N/A</v>
      </c>
      <c r="S2441" s="269" t="str">
        <f>IF(D2441="","",IF(OR(D2441=Plano!$A$1,D2441=Plano!$B$1),"entrada","saída"))</f>
        <v/>
      </c>
      <c r="T2441" s="269"/>
      <c r="U2441" s="269"/>
      <c r="V2441" s="269"/>
      <c r="W2441" s="269"/>
    </row>
    <row r="2442" spans="1:23" ht="12.75" customHeight="1" x14ac:dyDescent="0.2">
      <c r="A2442" s="289" t="str">
        <f t="shared" si="0"/>
        <v/>
      </c>
      <c r="B2442" s="290"/>
      <c r="C2442" s="404"/>
      <c r="D2442" s="291"/>
      <c r="E2442" s="291"/>
      <c r="F2442" s="292"/>
      <c r="G2442" s="291"/>
      <c r="H2442" s="291"/>
      <c r="I2442" s="293"/>
      <c r="J2442" s="291"/>
      <c r="K2442" s="291"/>
      <c r="L2442" s="293"/>
      <c r="M2442" s="291"/>
      <c r="N2442" s="289"/>
      <c r="O2442" s="358"/>
      <c r="P2442" s="402">
        <f t="shared" ref="P2442:Q2442" si="2440">IF(B2442=0,0,IF(YEAR(B2442)=$Q$1,MONTH(B2442)-$P$1+1,(YEAR(B2442)-$Q$1)*12-$P$1+1+MONTH(B2442)))</f>
        <v>0</v>
      </c>
      <c r="Q2442" s="402">
        <f t="shared" si="2440"/>
        <v>0</v>
      </c>
      <c r="R2442" s="356" t="e">
        <f t="shared" si="1325"/>
        <v>#N/A</v>
      </c>
      <c r="S2442" s="269" t="str">
        <f>IF(D2442="","",IF(OR(D2442=Plano!$A$1,D2442=Plano!$B$1),"entrada","saída"))</f>
        <v/>
      </c>
      <c r="T2442" s="269"/>
      <c r="U2442" s="269"/>
      <c r="V2442" s="269"/>
      <c r="W2442" s="269"/>
    </row>
    <row r="2443" spans="1:23" ht="12.75" customHeight="1" x14ac:dyDescent="0.2">
      <c r="A2443" s="289" t="str">
        <f t="shared" si="0"/>
        <v/>
      </c>
      <c r="B2443" s="290"/>
      <c r="C2443" s="404"/>
      <c r="D2443" s="291"/>
      <c r="E2443" s="291"/>
      <c r="F2443" s="292"/>
      <c r="G2443" s="291"/>
      <c r="H2443" s="291"/>
      <c r="I2443" s="293"/>
      <c r="J2443" s="291"/>
      <c r="K2443" s="291"/>
      <c r="L2443" s="293"/>
      <c r="M2443" s="291"/>
      <c r="N2443" s="289"/>
      <c r="O2443" s="358"/>
      <c r="P2443" s="402">
        <f t="shared" ref="P2443:Q2443" si="2441">IF(B2443=0,0,IF(YEAR(B2443)=$Q$1,MONTH(B2443)-$P$1+1,(YEAR(B2443)-$Q$1)*12-$P$1+1+MONTH(B2443)))</f>
        <v>0</v>
      </c>
      <c r="Q2443" s="402">
        <f t="shared" si="2441"/>
        <v>0</v>
      </c>
      <c r="R2443" s="356" t="e">
        <f t="shared" si="1325"/>
        <v>#N/A</v>
      </c>
      <c r="S2443" s="269" t="str">
        <f>IF(D2443="","",IF(OR(D2443=Plano!$A$1,D2443=Plano!$B$1),"entrada","saída"))</f>
        <v/>
      </c>
      <c r="T2443" s="269"/>
      <c r="U2443" s="269"/>
      <c r="V2443" s="269"/>
      <c r="W2443" s="269"/>
    </row>
    <row r="2444" spans="1:23" ht="12.75" customHeight="1" x14ac:dyDescent="0.2">
      <c r="A2444" s="289" t="str">
        <f t="shared" si="0"/>
        <v/>
      </c>
      <c r="B2444" s="290"/>
      <c r="C2444" s="404"/>
      <c r="D2444" s="291"/>
      <c r="E2444" s="291"/>
      <c r="F2444" s="292"/>
      <c r="G2444" s="291"/>
      <c r="H2444" s="291"/>
      <c r="I2444" s="293"/>
      <c r="J2444" s="291"/>
      <c r="K2444" s="291"/>
      <c r="L2444" s="293"/>
      <c r="M2444" s="291"/>
      <c r="N2444" s="289"/>
      <c r="O2444" s="358"/>
      <c r="P2444" s="402">
        <f t="shared" ref="P2444:Q2444" si="2442">IF(B2444=0,0,IF(YEAR(B2444)=$Q$1,MONTH(B2444)-$P$1+1,(YEAR(B2444)-$Q$1)*12-$P$1+1+MONTH(B2444)))</f>
        <v>0</v>
      </c>
      <c r="Q2444" s="402">
        <f t="shared" si="2442"/>
        <v>0</v>
      </c>
      <c r="R2444" s="356" t="e">
        <f t="shared" si="1325"/>
        <v>#N/A</v>
      </c>
      <c r="S2444" s="269" t="str">
        <f>IF(D2444="","",IF(OR(D2444=Plano!$A$1,D2444=Plano!$B$1),"entrada","saída"))</f>
        <v/>
      </c>
      <c r="T2444" s="269"/>
      <c r="U2444" s="269"/>
      <c r="V2444" s="269"/>
      <c r="W2444" s="269"/>
    </row>
    <row r="2445" spans="1:23" ht="12.75" customHeight="1" x14ac:dyDescent="0.2">
      <c r="A2445" s="289" t="str">
        <f t="shared" si="0"/>
        <v/>
      </c>
      <c r="B2445" s="290"/>
      <c r="C2445" s="404"/>
      <c r="D2445" s="291"/>
      <c r="E2445" s="291"/>
      <c r="F2445" s="292"/>
      <c r="G2445" s="291"/>
      <c r="H2445" s="291"/>
      <c r="I2445" s="293"/>
      <c r="J2445" s="291"/>
      <c r="K2445" s="291"/>
      <c r="L2445" s="293"/>
      <c r="M2445" s="291"/>
      <c r="N2445" s="289"/>
      <c r="O2445" s="358"/>
      <c r="P2445" s="402">
        <f t="shared" ref="P2445:Q2445" si="2443">IF(B2445=0,0,IF(YEAR(B2445)=$Q$1,MONTH(B2445)-$P$1+1,(YEAR(B2445)-$Q$1)*12-$P$1+1+MONTH(B2445)))</f>
        <v>0</v>
      </c>
      <c r="Q2445" s="402">
        <f t="shared" si="2443"/>
        <v>0</v>
      </c>
      <c r="R2445" s="356" t="e">
        <f t="shared" si="1325"/>
        <v>#N/A</v>
      </c>
      <c r="S2445" s="269" t="str">
        <f>IF(D2445="","",IF(OR(D2445=Plano!$A$1,D2445=Plano!$B$1),"entrada","saída"))</f>
        <v/>
      </c>
      <c r="T2445" s="269"/>
      <c r="U2445" s="269"/>
      <c r="V2445" s="269"/>
      <c r="W2445" s="269"/>
    </row>
    <row r="2446" spans="1:23" ht="12.75" customHeight="1" x14ac:dyDescent="0.2">
      <c r="A2446" s="289" t="str">
        <f t="shared" si="0"/>
        <v/>
      </c>
      <c r="B2446" s="290"/>
      <c r="C2446" s="404"/>
      <c r="D2446" s="291"/>
      <c r="E2446" s="291"/>
      <c r="F2446" s="292"/>
      <c r="G2446" s="291"/>
      <c r="H2446" s="291"/>
      <c r="I2446" s="293"/>
      <c r="J2446" s="291"/>
      <c r="K2446" s="291"/>
      <c r="L2446" s="293"/>
      <c r="M2446" s="291"/>
      <c r="N2446" s="289"/>
      <c r="O2446" s="358"/>
      <c r="P2446" s="402">
        <f t="shared" ref="P2446:Q2446" si="2444">IF(B2446=0,0,IF(YEAR(B2446)=$Q$1,MONTH(B2446)-$P$1+1,(YEAR(B2446)-$Q$1)*12-$P$1+1+MONTH(B2446)))</f>
        <v>0</v>
      </c>
      <c r="Q2446" s="402">
        <f t="shared" si="2444"/>
        <v>0</v>
      </c>
      <c r="R2446" s="356" t="e">
        <f t="shared" si="1325"/>
        <v>#N/A</v>
      </c>
      <c r="S2446" s="269" t="str">
        <f>IF(D2446="","",IF(OR(D2446=Plano!$A$1,D2446=Plano!$B$1),"entrada","saída"))</f>
        <v/>
      </c>
      <c r="T2446" s="269"/>
      <c r="U2446" s="269"/>
      <c r="V2446" s="269"/>
      <c r="W2446" s="269"/>
    </row>
    <row r="2447" spans="1:23" ht="12.75" customHeight="1" x14ac:dyDescent="0.2">
      <c r="A2447" s="289" t="str">
        <f t="shared" si="0"/>
        <v/>
      </c>
      <c r="B2447" s="290"/>
      <c r="C2447" s="404"/>
      <c r="D2447" s="291"/>
      <c r="E2447" s="291"/>
      <c r="F2447" s="292"/>
      <c r="G2447" s="291"/>
      <c r="H2447" s="291"/>
      <c r="I2447" s="293"/>
      <c r="J2447" s="291"/>
      <c r="K2447" s="291"/>
      <c r="L2447" s="293"/>
      <c r="M2447" s="291"/>
      <c r="N2447" s="289"/>
      <c r="O2447" s="358"/>
      <c r="P2447" s="402">
        <f t="shared" ref="P2447:Q2447" si="2445">IF(B2447=0,0,IF(YEAR(B2447)=$Q$1,MONTH(B2447)-$P$1+1,(YEAR(B2447)-$Q$1)*12-$P$1+1+MONTH(B2447)))</f>
        <v>0</v>
      </c>
      <c r="Q2447" s="402">
        <f t="shared" si="2445"/>
        <v>0</v>
      </c>
      <c r="R2447" s="356" t="e">
        <f t="shared" si="1325"/>
        <v>#N/A</v>
      </c>
      <c r="S2447" s="269" t="str">
        <f>IF(D2447="","",IF(OR(D2447=Plano!$A$1,D2447=Plano!$B$1),"entrada","saída"))</f>
        <v/>
      </c>
      <c r="T2447" s="269"/>
      <c r="U2447" s="269"/>
      <c r="V2447" s="269"/>
      <c r="W2447" s="269"/>
    </row>
    <row r="2448" spans="1:23" ht="12.75" customHeight="1" x14ac:dyDescent="0.2">
      <c r="A2448" s="289" t="str">
        <f t="shared" si="0"/>
        <v/>
      </c>
      <c r="B2448" s="290"/>
      <c r="C2448" s="404"/>
      <c r="D2448" s="291"/>
      <c r="E2448" s="291"/>
      <c r="F2448" s="292"/>
      <c r="G2448" s="291"/>
      <c r="H2448" s="291"/>
      <c r="I2448" s="293"/>
      <c r="J2448" s="291"/>
      <c r="K2448" s="291"/>
      <c r="L2448" s="293"/>
      <c r="M2448" s="291"/>
      <c r="N2448" s="289"/>
      <c r="O2448" s="358"/>
      <c r="P2448" s="402">
        <f t="shared" ref="P2448:Q2448" si="2446">IF(B2448=0,0,IF(YEAR(B2448)=$Q$1,MONTH(B2448)-$P$1+1,(YEAR(B2448)-$Q$1)*12-$P$1+1+MONTH(B2448)))</f>
        <v>0</v>
      </c>
      <c r="Q2448" s="402">
        <f t="shared" si="2446"/>
        <v>0</v>
      </c>
      <c r="R2448" s="356" t="e">
        <f t="shared" si="1325"/>
        <v>#N/A</v>
      </c>
      <c r="S2448" s="269" t="str">
        <f>IF(D2448="","",IF(OR(D2448=Plano!$A$1,D2448=Plano!$B$1),"entrada","saída"))</f>
        <v/>
      </c>
      <c r="T2448" s="269"/>
      <c r="U2448" s="269"/>
      <c r="V2448" s="269"/>
      <c r="W2448" s="269"/>
    </row>
    <row r="2449" spans="1:23" ht="12.75" customHeight="1" x14ac:dyDescent="0.2">
      <c r="A2449" s="289" t="str">
        <f t="shared" si="0"/>
        <v/>
      </c>
      <c r="B2449" s="290"/>
      <c r="C2449" s="404"/>
      <c r="D2449" s="291"/>
      <c r="E2449" s="291"/>
      <c r="F2449" s="292"/>
      <c r="G2449" s="291"/>
      <c r="H2449" s="291"/>
      <c r="I2449" s="293"/>
      <c r="J2449" s="291"/>
      <c r="K2449" s="291"/>
      <c r="L2449" s="293"/>
      <c r="M2449" s="291"/>
      <c r="N2449" s="289"/>
      <c r="O2449" s="358"/>
      <c r="P2449" s="402">
        <f t="shared" ref="P2449:Q2449" si="2447">IF(B2449=0,0,IF(YEAR(B2449)=$Q$1,MONTH(B2449)-$P$1+1,(YEAR(B2449)-$Q$1)*12-$P$1+1+MONTH(B2449)))</f>
        <v>0</v>
      </c>
      <c r="Q2449" s="402">
        <f t="shared" si="2447"/>
        <v>0</v>
      </c>
      <c r="R2449" s="356" t="e">
        <f t="shared" si="1325"/>
        <v>#N/A</v>
      </c>
      <c r="S2449" s="269" t="str">
        <f>IF(D2449="","",IF(OR(D2449=Plano!$A$1,D2449=Plano!$B$1),"entrada","saída"))</f>
        <v/>
      </c>
      <c r="T2449" s="269"/>
      <c r="U2449" s="269"/>
      <c r="V2449" s="269"/>
      <c r="W2449" s="269"/>
    </row>
    <row r="2450" spans="1:23" ht="12.75" customHeight="1" x14ac:dyDescent="0.2">
      <c r="A2450" s="289" t="str">
        <f t="shared" si="0"/>
        <v/>
      </c>
      <c r="B2450" s="290"/>
      <c r="C2450" s="404"/>
      <c r="D2450" s="291"/>
      <c r="E2450" s="291"/>
      <c r="F2450" s="292"/>
      <c r="G2450" s="291"/>
      <c r="H2450" s="291"/>
      <c r="I2450" s="293"/>
      <c r="J2450" s="291"/>
      <c r="K2450" s="291"/>
      <c r="L2450" s="293"/>
      <c r="M2450" s="291"/>
      <c r="N2450" s="289"/>
      <c r="O2450" s="358"/>
      <c r="P2450" s="402">
        <f t="shared" ref="P2450:Q2450" si="2448">IF(B2450=0,0,IF(YEAR(B2450)=$Q$1,MONTH(B2450)-$P$1+1,(YEAR(B2450)-$Q$1)*12-$P$1+1+MONTH(B2450)))</f>
        <v>0</v>
      </c>
      <c r="Q2450" s="402">
        <f t="shared" si="2448"/>
        <v>0</v>
      </c>
      <c r="R2450" s="356" t="e">
        <f t="shared" si="1325"/>
        <v>#N/A</v>
      </c>
      <c r="S2450" s="269" t="str">
        <f>IF(D2450="","",IF(OR(D2450=Plano!$A$1,D2450=Plano!$B$1),"entrada","saída"))</f>
        <v/>
      </c>
      <c r="T2450" s="269"/>
      <c r="U2450" s="269"/>
      <c r="V2450" s="269"/>
      <c r="W2450" s="269"/>
    </row>
    <row r="2451" spans="1:23" ht="12.75" customHeight="1" x14ac:dyDescent="0.2">
      <c r="A2451" s="289" t="str">
        <f t="shared" si="0"/>
        <v/>
      </c>
      <c r="B2451" s="290"/>
      <c r="C2451" s="404"/>
      <c r="D2451" s="291"/>
      <c r="E2451" s="291"/>
      <c r="F2451" s="292"/>
      <c r="G2451" s="291"/>
      <c r="H2451" s="291"/>
      <c r="I2451" s="293"/>
      <c r="J2451" s="291"/>
      <c r="K2451" s="291"/>
      <c r="L2451" s="293"/>
      <c r="M2451" s="291"/>
      <c r="N2451" s="289"/>
      <c r="O2451" s="358"/>
      <c r="P2451" s="402">
        <f t="shared" ref="P2451:Q2451" si="2449">IF(B2451=0,0,IF(YEAR(B2451)=$Q$1,MONTH(B2451)-$P$1+1,(YEAR(B2451)-$Q$1)*12-$P$1+1+MONTH(B2451)))</f>
        <v>0</v>
      </c>
      <c r="Q2451" s="402">
        <f t="shared" si="2449"/>
        <v>0</v>
      </c>
      <c r="R2451" s="356" t="e">
        <f t="shared" si="1325"/>
        <v>#N/A</v>
      </c>
      <c r="S2451" s="269" t="str">
        <f>IF(D2451="","",IF(OR(D2451=Plano!$A$1,D2451=Plano!$B$1),"entrada","saída"))</f>
        <v/>
      </c>
      <c r="T2451" s="269"/>
      <c r="U2451" s="269"/>
      <c r="V2451" s="269"/>
      <c r="W2451" s="269"/>
    </row>
    <row r="2452" spans="1:23" ht="12.75" customHeight="1" x14ac:dyDescent="0.2">
      <c r="A2452" s="289" t="str">
        <f t="shared" si="0"/>
        <v/>
      </c>
      <c r="B2452" s="290"/>
      <c r="C2452" s="404"/>
      <c r="D2452" s="291"/>
      <c r="E2452" s="291"/>
      <c r="F2452" s="292"/>
      <c r="G2452" s="291"/>
      <c r="H2452" s="291"/>
      <c r="I2452" s="293"/>
      <c r="J2452" s="291"/>
      <c r="K2452" s="291"/>
      <c r="L2452" s="293"/>
      <c r="M2452" s="291"/>
      <c r="N2452" s="289"/>
      <c r="O2452" s="358"/>
      <c r="P2452" s="402">
        <f t="shared" ref="P2452:Q2452" si="2450">IF(B2452=0,0,IF(YEAR(B2452)=$Q$1,MONTH(B2452)-$P$1+1,(YEAR(B2452)-$Q$1)*12-$P$1+1+MONTH(B2452)))</f>
        <v>0</v>
      </c>
      <c r="Q2452" s="402">
        <f t="shared" si="2450"/>
        <v>0</v>
      </c>
      <c r="R2452" s="356" t="e">
        <f t="shared" si="1325"/>
        <v>#N/A</v>
      </c>
      <c r="S2452" s="269" t="str">
        <f>IF(D2452="","",IF(OR(D2452=Plano!$A$1,D2452=Plano!$B$1),"entrada","saída"))</f>
        <v/>
      </c>
      <c r="T2452" s="269"/>
      <c r="U2452" s="269"/>
      <c r="V2452" s="269"/>
      <c r="W2452" s="269"/>
    </row>
    <row r="2453" spans="1:23" ht="12.75" customHeight="1" x14ac:dyDescent="0.2">
      <c r="A2453" s="289" t="str">
        <f t="shared" si="0"/>
        <v/>
      </c>
      <c r="B2453" s="290"/>
      <c r="C2453" s="404"/>
      <c r="D2453" s="291"/>
      <c r="E2453" s="291"/>
      <c r="F2453" s="292"/>
      <c r="G2453" s="291"/>
      <c r="H2453" s="291"/>
      <c r="I2453" s="293"/>
      <c r="J2453" s="291"/>
      <c r="K2453" s="291"/>
      <c r="L2453" s="293"/>
      <c r="M2453" s="291"/>
      <c r="N2453" s="289"/>
      <c r="O2453" s="358"/>
      <c r="P2453" s="402">
        <f t="shared" ref="P2453:Q2453" si="2451">IF(B2453=0,0,IF(YEAR(B2453)=$Q$1,MONTH(B2453)-$P$1+1,(YEAR(B2453)-$Q$1)*12-$P$1+1+MONTH(B2453)))</f>
        <v>0</v>
      </c>
      <c r="Q2453" s="402">
        <f t="shared" si="2451"/>
        <v>0</v>
      </c>
      <c r="R2453" s="356" t="e">
        <f t="shared" si="1325"/>
        <v>#N/A</v>
      </c>
      <c r="S2453" s="269" t="str">
        <f>IF(D2453="","",IF(OR(D2453=Plano!$A$1,D2453=Plano!$B$1),"entrada","saída"))</f>
        <v/>
      </c>
      <c r="T2453" s="269"/>
      <c r="U2453" s="269"/>
      <c r="V2453" s="269"/>
      <c r="W2453" s="269"/>
    </row>
    <row r="2454" spans="1:23" ht="12.75" customHeight="1" x14ac:dyDescent="0.2">
      <c r="A2454" s="289" t="str">
        <f t="shared" si="0"/>
        <v/>
      </c>
      <c r="B2454" s="290"/>
      <c r="C2454" s="404"/>
      <c r="D2454" s="291"/>
      <c r="E2454" s="291"/>
      <c r="F2454" s="292"/>
      <c r="G2454" s="291"/>
      <c r="H2454" s="291"/>
      <c r="I2454" s="293"/>
      <c r="J2454" s="291"/>
      <c r="K2454" s="291"/>
      <c r="L2454" s="293"/>
      <c r="M2454" s="291"/>
      <c r="N2454" s="289"/>
      <c r="O2454" s="358"/>
      <c r="P2454" s="402">
        <f t="shared" ref="P2454:Q2454" si="2452">IF(B2454=0,0,IF(YEAR(B2454)=$Q$1,MONTH(B2454)-$P$1+1,(YEAR(B2454)-$Q$1)*12-$P$1+1+MONTH(B2454)))</f>
        <v>0</v>
      </c>
      <c r="Q2454" s="402">
        <f t="shared" si="2452"/>
        <v>0</v>
      </c>
      <c r="R2454" s="356" t="e">
        <f t="shared" si="1325"/>
        <v>#N/A</v>
      </c>
      <c r="S2454" s="269" t="str">
        <f>IF(D2454="","",IF(OR(D2454=Plano!$A$1,D2454=Plano!$B$1),"entrada","saída"))</f>
        <v/>
      </c>
      <c r="T2454" s="269"/>
      <c r="U2454" s="269"/>
      <c r="V2454" s="269"/>
      <c r="W2454" s="269"/>
    </row>
    <row r="2455" spans="1:23" ht="12.75" customHeight="1" x14ac:dyDescent="0.2">
      <c r="A2455" s="289" t="str">
        <f t="shared" si="0"/>
        <v/>
      </c>
      <c r="B2455" s="290"/>
      <c r="C2455" s="404"/>
      <c r="D2455" s="291"/>
      <c r="E2455" s="291"/>
      <c r="F2455" s="292"/>
      <c r="G2455" s="291"/>
      <c r="H2455" s="291"/>
      <c r="I2455" s="293"/>
      <c r="J2455" s="291"/>
      <c r="K2455" s="291"/>
      <c r="L2455" s="293"/>
      <c r="M2455" s="291"/>
      <c r="N2455" s="289"/>
      <c r="O2455" s="358"/>
      <c r="P2455" s="402">
        <f t="shared" ref="P2455:Q2455" si="2453">IF(B2455=0,0,IF(YEAR(B2455)=$Q$1,MONTH(B2455)-$P$1+1,(YEAR(B2455)-$Q$1)*12-$P$1+1+MONTH(B2455)))</f>
        <v>0</v>
      </c>
      <c r="Q2455" s="402">
        <f t="shared" si="2453"/>
        <v>0</v>
      </c>
      <c r="R2455" s="356" t="e">
        <f t="shared" si="1325"/>
        <v>#N/A</v>
      </c>
      <c r="S2455" s="269" t="str">
        <f>IF(D2455="","",IF(OR(D2455=Plano!$A$1,D2455=Plano!$B$1),"entrada","saída"))</f>
        <v/>
      </c>
      <c r="T2455" s="269"/>
      <c r="U2455" s="269"/>
      <c r="V2455" s="269"/>
      <c r="W2455" s="269"/>
    </row>
    <row r="2456" spans="1:23" ht="12.75" customHeight="1" x14ac:dyDescent="0.2">
      <c r="A2456" s="289" t="str">
        <f t="shared" si="0"/>
        <v/>
      </c>
      <c r="B2456" s="290"/>
      <c r="C2456" s="404"/>
      <c r="D2456" s="291"/>
      <c r="E2456" s="291"/>
      <c r="F2456" s="292"/>
      <c r="G2456" s="291"/>
      <c r="H2456" s="291"/>
      <c r="I2456" s="293"/>
      <c r="J2456" s="291"/>
      <c r="K2456" s="291"/>
      <c r="L2456" s="293"/>
      <c r="M2456" s="291"/>
      <c r="N2456" s="289"/>
      <c r="O2456" s="358"/>
      <c r="P2456" s="402">
        <f t="shared" ref="P2456:Q2456" si="2454">IF(B2456=0,0,IF(YEAR(B2456)=$Q$1,MONTH(B2456)-$P$1+1,(YEAR(B2456)-$Q$1)*12-$P$1+1+MONTH(B2456)))</f>
        <v>0</v>
      </c>
      <c r="Q2456" s="402">
        <f t="shared" si="2454"/>
        <v>0</v>
      </c>
      <c r="R2456" s="356" t="e">
        <f t="shared" si="1325"/>
        <v>#N/A</v>
      </c>
      <c r="S2456" s="269" t="str">
        <f>IF(D2456="","",IF(OR(D2456=Plano!$A$1,D2456=Plano!$B$1),"entrada","saída"))</f>
        <v/>
      </c>
      <c r="T2456" s="269"/>
      <c r="U2456" s="269"/>
      <c r="V2456" s="269"/>
      <c r="W2456" s="269"/>
    </row>
    <row r="2457" spans="1:23" ht="12.75" customHeight="1" x14ac:dyDescent="0.2">
      <c r="A2457" s="289" t="str">
        <f t="shared" si="0"/>
        <v/>
      </c>
      <c r="B2457" s="290"/>
      <c r="C2457" s="404"/>
      <c r="D2457" s="291"/>
      <c r="E2457" s="291"/>
      <c r="F2457" s="292"/>
      <c r="G2457" s="291"/>
      <c r="H2457" s="291"/>
      <c r="I2457" s="293"/>
      <c r="J2457" s="291"/>
      <c r="K2457" s="291"/>
      <c r="L2457" s="293"/>
      <c r="M2457" s="291"/>
      <c r="N2457" s="289"/>
      <c r="O2457" s="358"/>
      <c r="P2457" s="402">
        <f t="shared" ref="P2457:Q2457" si="2455">IF(B2457=0,0,IF(YEAR(B2457)=$Q$1,MONTH(B2457)-$P$1+1,(YEAR(B2457)-$Q$1)*12-$P$1+1+MONTH(B2457)))</f>
        <v>0</v>
      </c>
      <c r="Q2457" s="402">
        <f t="shared" si="2455"/>
        <v>0</v>
      </c>
      <c r="R2457" s="356" t="e">
        <f t="shared" si="1325"/>
        <v>#N/A</v>
      </c>
      <c r="S2457" s="269" t="str">
        <f>IF(D2457="","",IF(OR(D2457=Plano!$A$1,D2457=Plano!$B$1),"entrada","saída"))</f>
        <v/>
      </c>
      <c r="T2457" s="269"/>
      <c r="U2457" s="269"/>
      <c r="V2457" s="269"/>
      <c r="W2457" s="269"/>
    </row>
    <row r="2458" spans="1:23" ht="12.75" customHeight="1" x14ac:dyDescent="0.2">
      <c r="A2458" s="289" t="str">
        <f t="shared" si="0"/>
        <v/>
      </c>
      <c r="B2458" s="290"/>
      <c r="C2458" s="404"/>
      <c r="D2458" s="291"/>
      <c r="E2458" s="291"/>
      <c r="F2458" s="292"/>
      <c r="G2458" s="291"/>
      <c r="H2458" s="291"/>
      <c r="I2458" s="293"/>
      <c r="J2458" s="291"/>
      <c r="K2458" s="291"/>
      <c r="L2458" s="293"/>
      <c r="M2458" s="291"/>
      <c r="N2458" s="289"/>
      <c r="O2458" s="358"/>
      <c r="P2458" s="402">
        <f t="shared" ref="P2458:Q2458" si="2456">IF(B2458=0,0,IF(YEAR(B2458)=$Q$1,MONTH(B2458)-$P$1+1,(YEAR(B2458)-$Q$1)*12-$P$1+1+MONTH(B2458)))</f>
        <v>0</v>
      </c>
      <c r="Q2458" s="402">
        <f t="shared" si="2456"/>
        <v>0</v>
      </c>
      <c r="R2458" s="356" t="e">
        <f t="shared" si="1325"/>
        <v>#N/A</v>
      </c>
      <c r="S2458" s="269" t="str">
        <f>IF(D2458="","",IF(OR(D2458=Plano!$A$1,D2458=Plano!$B$1),"entrada","saída"))</f>
        <v/>
      </c>
      <c r="T2458" s="269"/>
      <c r="U2458" s="269"/>
      <c r="V2458" s="269"/>
      <c r="W2458" s="269"/>
    </row>
    <row r="2459" spans="1:23" ht="12.75" customHeight="1" x14ac:dyDescent="0.2">
      <c r="A2459" s="289" t="str">
        <f t="shared" si="0"/>
        <v/>
      </c>
      <c r="B2459" s="290"/>
      <c r="C2459" s="404"/>
      <c r="D2459" s="291"/>
      <c r="E2459" s="291"/>
      <c r="F2459" s="292"/>
      <c r="G2459" s="291"/>
      <c r="H2459" s="291"/>
      <c r="I2459" s="293"/>
      <c r="J2459" s="291"/>
      <c r="K2459" s="291"/>
      <c r="L2459" s="293"/>
      <c r="M2459" s="291"/>
      <c r="N2459" s="289"/>
      <c r="O2459" s="358"/>
      <c r="P2459" s="402">
        <f t="shared" ref="P2459:Q2459" si="2457">IF(B2459=0,0,IF(YEAR(B2459)=$Q$1,MONTH(B2459)-$P$1+1,(YEAR(B2459)-$Q$1)*12-$P$1+1+MONTH(B2459)))</f>
        <v>0</v>
      </c>
      <c r="Q2459" s="402">
        <f t="shared" si="2457"/>
        <v>0</v>
      </c>
      <c r="R2459" s="356" t="e">
        <f t="shared" si="1325"/>
        <v>#N/A</v>
      </c>
      <c r="S2459" s="269" t="str">
        <f>IF(D2459="","",IF(OR(D2459=Plano!$A$1,D2459=Plano!$B$1),"entrada","saída"))</f>
        <v/>
      </c>
      <c r="T2459" s="269"/>
      <c r="U2459" s="269"/>
      <c r="V2459" s="269"/>
      <c r="W2459" s="269"/>
    </row>
    <row r="2460" spans="1:23" ht="12.75" customHeight="1" x14ac:dyDescent="0.2">
      <c r="A2460" s="289" t="str">
        <f t="shared" si="0"/>
        <v/>
      </c>
      <c r="B2460" s="290"/>
      <c r="C2460" s="404"/>
      <c r="D2460" s="291"/>
      <c r="E2460" s="291"/>
      <c r="F2460" s="292"/>
      <c r="G2460" s="291"/>
      <c r="H2460" s="291"/>
      <c r="I2460" s="293"/>
      <c r="J2460" s="291"/>
      <c r="K2460" s="291"/>
      <c r="L2460" s="293"/>
      <c r="M2460" s="291"/>
      <c r="N2460" s="289"/>
      <c r="O2460" s="358"/>
      <c r="P2460" s="402">
        <f t="shared" ref="P2460:Q2460" si="2458">IF(B2460=0,0,IF(YEAR(B2460)=$Q$1,MONTH(B2460)-$P$1+1,(YEAR(B2460)-$Q$1)*12-$P$1+1+MONTH(B2460)))</f>
        <v>0</v>
      </c>
      <c r="Q2460" s="402">
        <f t="shared" si="2458"/>
        <v>0</v>
      </c>
      <c r="R2460" s="356" t="e">
        <f t="shared" si="1325"/>
        <v>#N/A</v>
      </c>
      <c r="S2460" s="269" t="str">
        <f>IF(D2460="","",IF(OR(D2460=Plano!$A$1,D2460=Plano!$B$1),"entrada","saída"))</f>
        <v/>
      </c>
      <c r="T2460" s="269"/>
      <c r="U2460" s="269"/>
      <c r="V2460" s="269"/>
      <c r="W2460" s="269"/>
    </row>
    <row r="2461" spans="1:23" ht="12.75" customHeight="1" x14ac:dyDescent="0.2">
      <c r="A2461" s="289" t="str">
        <f t="shared" si="0"/>
        <v/>
      </c>
      <c r="B2461" s="290"/>
      <c r="C2461" s="404"/>
      <c r="D2461" s="291"/>
      <c r="E2461" s="291"/>
      <c r="F2461" s="292"/>
      <c r="G2461" s="291"/>
      <c r="H2461" s="291"/>
      <c r="I2461" s="293"/>
      <c r="J2461" s="291"/>
      <c r="K2461" s="291"/>
      <c r="L2461" s="293"/>
      <c r="M2461" s="291"/>
      <c r="N2461" s="289"/>
      <c r="O2461" s="358"/>
      <c r="P2461" s="402">
        <f t="shared" ref="P2461:Q2461" si="2459">IF(B2461=0,0,IF(YEAR(B2461)=$Q$1,MONTH(B2461)-$P$1+1,(YEAR(B2461)-$Q$1)*12-$P$1+1+MONTH(B2461)))</f>
        <v>0</v>
      </c>
      <c r="Q2461" s="402">
        <f t="shared" si="2459"/>
        <v>0</v>
      </c>
      <c r="R2461" s="356" t="e">
        <f t="shared" si="1325"/>
        <v>#N/A</v>
      </c>
      <c r="S2461" s="269" t="str">
        <f>IF(D2461="","",IF(OR(D2461=Plano!$A$1,D2461=Plano!$B$1),"entrada","saída"))</f>
        <v/>
      </c>
      <c r="T2461" s="269"/>
      <c r="U2461" s="269"/>
      <c r="V2461" s="269"/>
      <c r="W2461" s="269"/>
    </row>
    <row r="2462" spans="1:23" ht="12.75" customHeight="1" x14ac:dyDescent="0.2">
      <c r="A2462" s="289" t="str">
        <f t="shared" si="0"/>
        <v/>
      </c>
      <c r="B2462" s="290"/>
      <c r="C2462" s="404"/>
      <c r="D2462" s="291"/>
      <c r="E2462" s="291"/>
      <c r="F2462" s="292"/>
      <c r="G2462" s="291"/>
      <c r="H2462" s="291"/>
      <c r="I2462" s="293"/>
      <c r="J2462" s="291"/>
      <c r="K2462" s="291"/>
      <c r="L2462" s="293"/>
      <c r="M2462" s="291"/>
      <c r="N2462" s="289"/>
      <c r="O2462" s="358"/>
      <c r="P2462" s="402">
        <f t="shared" ref="P2462:Q2462" si="2460">IF(B2462=0,0,IF(YEAR(B2462)=$Q$1,MONTH(B2462)-$P$1+1,(YEAR(B2462)-$Q$1)*12-$P$1+1+MONTH(B2462)))</f>
        <v>0</v>
      </c>
      <c r="Q2462" s="402">
        <f t="shared" si="2460"/>
        <v>0</v>
      </c>
      <c r="R2462" s="356" t="e">
        <f t="shared" si="1325"/>
        <v>#N/A</v>
      </c>
      <c r="S2462" s="269" t="str">
        <f>IF(D2462="","",IF(OR(D2462=Plano!$A$1,D2462=Plano!$B$1),"entrada","saída"))</f>
        <v/>
      </c>
      <c r="T2462" s="269"/>
      <c r="U2462" s="269"/>
      <c r="V2462" s="269"/>
      <c r="W2462" s="269"/>
    </row>
    <row r="2463" spans="1:23" ht="12.75" customHeight="1" x14ac:dyDescent="0.2">
      <c r="A2463" s="289" t="str">
        <f t="shared" si="0"/>
        <v/>
      </c>
      <c r="B2463" s="290"/>
      <c r="C2463" s="404"/>
      <c r="D2463" s="291"/>
      <c r="E2463" s="291"/>
      <c r="F2463" s="292"/>
      <c r="G2463" s="291"/>
      <c r="H2463" s="291"/>
      <c r="I2463" s="293"/>
      <c r="J2463" s="291"/>
      <c r="K2463" s="291"/>
      <c r="L2463" s="293"/>
      <c r="M2463" s="291"/>
      <c r="N2463" s="289"/>
      <c r="O2463" s="358"/>
      <c r="P2463" s="402">
        <f t="shared" ref="P2463:Q2463" si="2461">IF(B2463=0,0,IF(YEAR(B2463)=$Q$1,MONTH(B2463)-$P$1+1,(YEAR(B2463)-$Q$1)*12-$P$1+1+MONTH(B2463)))</f>
        <v>0</v>
      </c>
      <c r="Q2463" s="402">
        <f t="shared" si="2461"/>
        <v>0</v>
      </c>
      <c r="R2463" s="356" t="e">
        <f t="shared" si="1325"/>
        <v>#N/A</v>
      </c>
      <c r="S2463" s="269" t="str">
        <f>IF(D2463="","",IF(OR(D2463=Plano!$A$1,D2463=Plano!$B$1),"entrada","saída"))</f>
        <v/>
      </c>
      <c r="T2463" s="269"/>
      <c r="U2463" s="269"/>
      <c r="V2463" s="269"/>
      <c r="W2463" s="269"/>
    </row>
    <row r="2464" spans="1:23" ht="12.75" customHeight="1" x14ac:dyDescent="0.2">
      <c r="A2464" s="289" t="str">
        <f t="shared" si="0"/>
        <v/>
      </c>
      <c r="B2464" s="290"/>
      <c r="C2464" s="404"/>
      <c r="D2464" s="291"/>
      <c r="E2464" s="291"/>
      <c r="F2464" s="292"/>
      <c r="G2464" s="291"/>
      <c r="H2464" s="291"/>
      <c r="I2464" s="293"/>
      <c r="J2464" s="291"/>
      <c r="K2464" s="291"/>
      <c r="L2464" s="293"/>
      <c r="M2464" s="291"/>
      <c r="N2464" s="289"/>
      <c r="O2464" s="358"/>
      <c r="P2464" s="402">
        <f t="shared" ref="P2464:Q2464" si="2462">IF(B2464=0,0,IF(YEAR(B2464)=$Q$1,MONTH(B2464)-$P$1+1,(YEAR(B2464)-$Q$1)*12-$P$1+1+MONTH(B2464)))</f>
        <v>0</v>
      </c>
      <c r="Q2464" s="402">
        <f t="shared" si="2462"/>
        <v>0</v>
      </c>
      <c r="R2464" s="356" t="e">
        <f t="shared" si="1325"/>
        <v>#N/A</v>
      </c>
      <c r="S2464" s="269" t="str">
        <f>IF(D2464="","",IF(OR(D2464=Plano!$A$1,D2464=Plano!$B$1),"entrada","saída"))</f>
        <v/>
      </c>
      <c r="T2464" s="269"/>
      <c r="U2464" s="269"/>
      <c r="V2464" s="269"/>
      <c r="W2464" s="269"/>
    </row>
    <row r="2465" spans="1:23" ht="12.75" customHeight="1" x14ac:dyDescent="0.2">
      <c r="A2465" s="289" t="str">
        <f t="shared" si="0"/>
        <v/>
      </c>
      <c r="B2465" s="290"/>
      <c r="C2465" s="404"/>
      <c r="D2465" s="291"/>
      <c r="E2465" s="291"/>
      <c r="F2465" s="292"/>
      <c r="G2465" s="291"/>
      <c r="H2465" s="291"/>
      <c r="I2465" s="293"/>
      <c r="J2465" s="291"/>
      <c r="K2465" s="291"/>
      <c r="L2465" s="293"/>
      <c r="M2465" s="291"/>
      <c r="N2465" s="289"/>
      <c r="O2465" s="358"/>
      <c r="P2465" s="402">
        <f t="shared" ref="P2465:Q2465" si="2463">IF(B2465=0,0,IF(YEAR(B2465)=$Q$1,MONTH(B2465)-$P$1+1,(YEAR(B2465)-$Q$1)*12-$P$1+1+MONTH(B2465)))</f>
        <v>0</v>
      </c>
      <c r="Q2465" s="402">
        <f t="shared" si="2463"/>
        <v>0</v>
      </c>
      <c r="R2465" s="356" t="e">
        <f t="shared" si="1325"/>
        <v>#N/A</v>
      </c>
      <c r="S2465" s="269" t="str">
        <f>IF(D2465="","",IF(OR(D2465=Plano!$A$1,D2465=Plano!$B$1),"entrada","saída"))</f>
        <v/>
      </c>
      <c r="T2465" s="269"/>
      <c r="U2465" s="269"/>
      <c r="V2465" s="269"/>
      <c r="W2465" s="269"/>
    </row>
    <row r="2466" spans="1:23" ht="12.75" customHeight="1" x14ac:dyDescent="0.2">
      <c r="A2466" s="289" t="str">
        <f t="shared" si="0"/>
        <v/>
      </c>
      <c r="B2466" s="290"/>
      <c r="C2466" s="404"/>
      <c r="D2466" s="291"/>
      <c r="E2466" s="291"/>
      <c r="F2466" s="292"/>
      <c r="G2466" s="291"/>
      <c r="H2466" s="291"/>
      <c r="I2466" s="293"/>
      <c r="J2466" s="291"/>
      <c r="K2466" s="291"/>
      <c r="L2466" s="293"/>
      <c r="M2466" s="291"/>
      <c r="N2466" s="289"/>
      <c r="O2466" s="358"/>
      <c r="P2466" s="402">
        <f t="shared" ref="P2466:Q2466" si="2464">IF(B2466=0,0,IF(YEAR(B2466)=$Q$1,MONTH(B2466)-$P$1+1,(YEAR(B2466)-$Q$1)*12-$P$1+1+MONTH(B2466)))</f>
        <v>0</v>
      </c>
      <c r="Q2466" s="402">
        <f t="shared" si="2464"/>
        <v>0</v>
      </c>
      <c r="R2466" s="356" t="e">
        <f t="shared" si="1325"/>
        <v>#N/A</v>
      </c>
      <c r="S2466" s="269" t="str">
        <f>IF(D2466="","",IF(OR(D2466=Plano!$A$1,D2466=Plano!$B$1),"entrada","saída"))</f>
        <v/>
      </c>
      <c r="T2466" s="269"/>
      <c r="U2466" s="269"/>
      <c r="V2466" s="269"/>
      <c r="W2466" s="269"/>
    </row>
    <row r="2467" spans="1:23" ht="12.75" customHeight="1" x14ac:dyDescent="0.2">
      <c r="A2467" s="289" t="str">
        <f t="shared" si="0"/>
        <v/>
      </c>
      <c r="B2467" s="290"/>
      <c r="C2467" s="404"/>
      <c r="D2467" s="291"/>
      <c r="E2467" s="291"/>
      <c r="F2467" s="292"/>
      <c r="G2467" s="291"/>
      <c r="H2467" s="291"/>
      <c r="I2467" s="293"/>
      <c r="J2467" s="291"/>
      <c r="K2467" s="291"/>
      <c r="L2467" s="293"/>
      <c r="M2467" s="291"/>
      <c r="N2467" s="289"/>
      <c r="O2467" s="358"/>
      <c r="P2467" s="402">
        <f t="shared" ref="P2467:Q2467" si="2465">IF(B2467=0,0,IF(YEAR(B2467)=$Q$1,MONTH(B2467)-$P$1+1,(YEAR(B2467)-$Q$1)*12-$P$1+1+MONTH(B2467)))</f>
        <v>0</v>
      </c>
      <c r="Q2467" s="402">
        <f t="shared" si="2465"/>
        <v>0</v>
      </c>
      <c r="R2467" s="356" t="e">
        <f t="shared" si="1325"/>
        <v>#N/A</v>
      </c>
      <c r="S2467" s="269" t="str">
        <f>IF(D2467="","",IF(OR(D2467=Plano!$A$1,D2467=Plano!$B$1),"entrada","saída"))</f>
        <v/>
      </c>
      <c r="T2467" s="269"/>
      <c r="U2467" s="269"/>
      <c r="V2467" s="269"/>
      <c r="W2467" s="269"/>
    </row>
    <row r="2468" spans="1:23" ht="12.75" customHeight="1" x14ac:dyDescent="0.2">
      <c r="A2468" s="289" t="str">
        <f t="shared" si="0"/>
        <v/>
      </c>
      <c r="B2468" s="290"/>
      <c r="C2468" s="404"/>
      <c r="D2468" s="291"/>
      <c r="E2468" s="291"/>
      <c r="F2468" s="292"/>
      <c r="G2468" s="291"/>
      <c r="H2468" s="291"/>
      <c r="I2468" s="293"/>
      <c r="J2468" s="291"/>
      <c r="K2468" s="291"/>
      <c r="L2468" s="293"/>
      <c r="M2468" s="291"/>
      <c r="N2468" s="289"/>
      <c r="O2468" s="358"/>
      <c r="P2468" s="402">
        <f t="shared" ref="P2468:Q2468" si="2466">IF(B2468=0,0,IF(YEAR(B2468)=$Q$1,MONTH(B2468)-$P$1+1,(YEAR(B2468)-$Q$1)*12-$P$1+1+MONTH(B2468)))</f>
        <v>0</v>
      </c>
      <c r="Q2468" s="402">
        <f t="shared" si="2466"/>
        <v>0</v>
      </c>
      <c r="R2468" s="356" t="e">
        <f t="shared" si="1325"/>
        <v>#N/A</v>
      </c>
      <c r="S2468" s="269" t="str">
        <f>IF(D2468="","",IF(OR(D2468=Plano!$A$1,D2468=Plano!$B$1),"entrada","saída"))</f>
        <v/>
      </c>
      <c r="T2468" s="269"/>
      <c r="U2468" s="269"/>
      <c r="V2468" s="269"/>
      <c r="W2468" s="269"/>
    </row>
    <row r="2469" spans="1:23" ht="12.75" customHeight="1" x14ac:dyDescent="0.2">
      <c r="A2469" s="289" t="str">
        <f t="shared" si="0"/>
        <v/>
      </c>
      <c r="B2469" s="290"/>
      <c r="C2469" s="404"/>
      <c r="D2469" s="291"/>
      <c r="E2469" s="291"/>
      <c r="F2469" s="292"/>
      <c r="G2469" s="291"/>
      <c r="H2469" s="291"/>
      <c r="I2469" s="293"/>
      <c r="J2469" s="291"/>
      <c r="K2469" s="291"/>
      <c r="L2469" s="293"/>
      <c r="M2469" s="291"/>
      <c r="N2469" s="289"/>
      <c r="O2469" s="358"/>
      <c r="P2469" s="402">
        <f t="shared" ref="P2469:Q2469" si="2467">IF(B2469=0,0,IF(YEAR(B2469)=$Q$1,MONTH(B2469)-$P$1+1,(YEAR(B2469)-$Q$1)*12-$P$1+1+MONTH(B2469)))</f>
        <v>0</v>
      </c>
      <c r="Q2469" s="402">
        <f t="shared" si="2467"/>
        <v>0</v>
      </c>
      <c r="R2469" s="356" t="e">
        <f t="shared" si="1325"/>
        <v>#N/A</v>
      </c>
      <c r="S2469" s="269" t="str">
        <f>IF(D2469="","",IF(OR(D2469=Plano!$A$1,D2469=Plano!$B$1),"entrada","saída"))</f>
        <v/>
      </c>
      <c r="T2469" s="269"/>
      <c r="U2469" s="269"/>
      <c r="V2469" s="269"/>
      <c r="W2469" s="269"/>
    </row>
    <row r="2470" spans="1:23" ht="12.75" customHeight="1" x14ac:dyDescent="0.2">
      <c r="A2470" s="289" t="str">
        <f t="shared" si="0"/>
        <v/>
      </c>
      <c r="B2470" s="290"/>
      <c r="C2470" s="404"/>
      <c r="D2470" s="291"/>
      <c r="E2470" s="291"/>
      <c r="F2470" s="292"/>
      <c r="G2470" s="291"/>
      <c r="H2470" s="291"/>
      <c r="I2470" s="293"/>
      <c r="J2470" s="291"/>
      <c r="K2470" s="291"/>
      <c r="L2470" s="293"/>
      <c r="M2470" s="291"/>
      <c r="N2470" s="289"/>
      <c r="O2470" s="358"/>
      <c r="P2470" s="402">
        <f t="shared" ref="P2470:Q2470" si="2468">IF(B2470=0,0,IF(YEAR(B2470)=$Q$1,MONTH(B2470)-$P$1+1,(YEAR(B2470)-$Q$1)*12-$P$1+1+MONTH(B2470)))</f>
        <v>0</v>
      </c>
      <c r="Q2470" s="402">
        <f t="shared" si="2468"/>
        <v>0</v>
      </c>
      <c r="R2470" s="356" t="e">
        <f t="shared" si="1325"/>
        <v>#N/A</v>
      </c>
      <c r="S2470" s="269" t="str">
        <f>IF(D2470="","",IF(OR(D2470=Plano!$A$1,D2470=Plano!$B$1),"entrada","saída"))</f>
        <v/>
      </c>
      <c r="T2470" s="269"/>
      <c r="U2470" s="269"/>
      <c r="V2470" s="269"/>
      <c r="W2470" s="269"/>
    </row>
    <row r="2471" spans="1:23" ht="12.75" customHeight="1" x14ac:dyDescent="0.2">
      <c r="A2471" s="289" t="str">
        <f t="shared" si="0"/>
        <v/>
      </c>
      <c r="B2471" s="290"/>
      <c r="C2471" s="404"/>
      <c r="D2471" s="291"/>
      <c r="E2471" s="291"/>
      <c r="F2471" s="292"/>
      <c r="G2471" s="291"/>
      <c r="H2471" s="291"/>
      <c r="I2471" s="293"/>
      <c r="J2471" s="291"/>
      <c r="K2471" s="291"/>
      <c r="L2471" s="293"/>
      <c r="M2471" s="291"/>
      <c r="N2471" s="289"/>
      <c r="O2471" s="358"/>
      <c r="P2471" s="402">
        <f t="shared" ref="P2471:Q2471" si="2469">IF(B2471=0,0,IF(YEAR(B2471)=$Q$1,MONTH(B2471)-$P$1+1,(YEAR(B2471)-$Q$1)*12-$P$1+1+MONTH(B2471)))</f>
        <v>0</v>
      </c>
      <c r="Q2471" s="402">
        <f t="shared" si="2469"/>
        <v>0</v>
      </c>
      <c r="R2471" s="356" t="e">
        <f t="shared" si="1325"/>
        <v>#N/A</v>
      </c>
      <c r="S2471" s="269" t="str">
        <f>IF(D2471="","",IF(OR(D2471=Plano!$A$1,D2471=Plano!$B$1),"entrada","saída"))</f>
        <v/>
      </c>
      <c r="T2471" s="269"/>
      <c r="U2471" s="269"/>
      <c r="V2471" s="269"/>
      <c r="W2471" s="269"/>
    </row>
    <row r="2472" spans="1:23" ht="12.75" customHeight="1" x14ac:dyDescent="0.2">
      <c r="A2472" s="289" t="str">
        <f t="shared" si="0"/>
        <v/>
      </c>
      <c r="B2472" s="290"/>
      <c r="C2472" s="404"/>
      <c r="D2472" s="291"/>
      <c r="E2472" s="291"/>
      <c r="F2472" s="292"/>
      <c r="G2472" s="291"/>
      <c r="H2472" s="291"/>
      <c r="I2472" s="293"/>
      <c r="J2472" s="291"/>
      <c r="K2472" s="291"/>
      <c r="L2472" s="293"/>
      <c r="M2472" s="291"/>
      <c r="N2472" s="289"/>
      <c r="O2472" s="358"/>
      <c r="P2472" s="402">
        <f t="shared" ref="P2472:Q2472" si="2470">IF(B2472=0,0,IF(YEAR(B2472)=$Q$1,MONTH(B2472)-$P$1+1,(YEAR(B2472)-$Q$1)*12-$P$1+1+MONTH(B2472)))</f>
        <v>0</v>
      </c>
      <c r="Q2472" s="402">
        <f t="shared" si="2470"/>
        <v>0</v>
      </c>
      <c r="R2472" s="356" t="e">
        <f t="shared" si="1325"/>
        <v>#N/A</v>
      </c>
      <c r="S2472" s="269" t="str">
        <f>IF(D2472="","",IF(OR(D2472=Plano!$A$1,D2472=Plano!$B$1),"entrada","saída"))</f>
        <v/>
      </c>
      <c r="T2472" s="269"/>
      <c r="U2472" s="269"/>
      <c r="V2472" s="269"/>
      <c r="W2472" s="269"/>
    </row>
    <row r="2473" spans="1:23" ht="12.75" customHeight="1" x14ac:dyDescent="0.2">
      <c r="A2473" s="289" t="str">
        <f t="shared" si="0"/>
        <v/>
      </c>
      <c r="B2473" s="290"/>
      <c r="C2473" s="404"/>
      <c r="D2473" s="291"/>
      <c r="E2473" s="291"/>
      <c r="F2473" s="292"/>
      <c r="G2473" s="291"/>
      <c r="H2473" s="291"/>
      <c r="I2473" s="293"/>
      <c r="J2473" s="291"/>
      <c r="K2473" s="291"/>
      <c r="L2473" s="293"/>
      <c r="M2473" s="291"/>
      <c r="N2473" s="289"/>
      <c r="O2473" s="358"/>
      <c r="P2473" s="402">
        <f t="shared" ref="P2473:Q2473" si="2471">IF(B2473=0,0,IF(YEAR(B2473)=$Q$1,MONTH(B2473)-$P$1+1,(YEAR(B2473)-$Q$1)*12-$P$1+1+MONTH(B2473)))</f>
        <v>0</v>
      </c>
      <c r="Q2473" s="402">
        <f t="shared" si="2471"/>
        <v>0</v>
      </c>
      <c r="R2473" s="356" t="e">
        <f t="shared" si="1325"/>
        <v>#N/A</v>
      </c>
      <c r="S2473" s="269" t="str">
        <f>IF(D2473="","",IF(OR(D2473=Plano!$A$1,D2473=Plano!$B$1),"entrada","saída"))</f>
        <v/>
      </c>
      <c r="T2473" s="269"/>
      <c r="U2473" s="269"/>
      <c r="V2473" s="269"/>
      <c r="W2473" s="269"/>
    </row>
    <row r="2474" spans="1:23" ht="12.75" customHeight="1" x14ac:dyDescent="0.2">
      <c r="A2474" s="289" t="str">
        <f t="shared" si="0"/>
        <v/>
      </c>
      <c r="B2474" s="290"/>
      <c r="C2474" s="404"/>
      <c r="D2474" s="291"/>
      <c r="E2474" s="291"/>
      <c r="F2474" s="292"/>
      <c r="G2474" s="291"/>
      <c r="H2474" s="291"/>
      <c r="I2474" s="293"/>
      <c r="J2474" s="291"/>
      <c r="K2474" s="291"/>
      <c r="L2474" s="293"/>
      <c r="M2474" s="291"/>
      <c r="N2474" s="289"/>
      <c r="O2474" s="358"/>
      <c r="P2474" s="402">
        <f t="shared" ref="P2474:Q2474" si="2472">IF(B2474=0,0,IF(YEAR(B2474)=$Q$1,MONTH(B2474)-$P$1+1,(YEAR(B2474)-$Q$1)*12-$P$1+1+MONTH(B2474)))</f>
        <v>0</v>
      </c>
      <c r="Q2474" s="402">
        <f t="shared" si="2472"/>
        <v>0</v>
      </c>
      <c r="R2474" s="356" t="e">
        <f t="shared" si="1325"/>
        <v>#N/A</v>
      </c>
      <c r="S2474" s="269" t="str">
        <f>IF(D2474="","",IF(OR(D2474=Plano!$A$1,D2474=Plano!$B$1),"entrada","saída"))</f>
        <v/>
      </c>
      <c r="T2474" s="269"/>
      <c r="U2474" s="269"/>
      <c r="V2474" s="269"/>
      <c r="W2474" s="269"/>
    </row>
    <row r="2475" spans="1:23" ht="12.75" customHeight="1" x14ac:dyDescent="0.2">
      <c r="A2475" s="289" t="str">
        <f t="shared" si="0"/>
        <v/>
      </c>
      <c r="B2475" s="290"/>
      <c r="C2475" s="404"/>
      <c r="D2475" s="291"/>
      <c r="E2475" s="291"/>
      <c r="F2475" s="292"/>
      <c r="G2475" s="291"/>
      <c r="H2475" s="291"/>
      <c r="I2475" s="293"/>
      <c r="J2475" s="291"/>
      <c r="K2475" s="291"/>
      <c r="L2475" s="293"/>
      <c r="M2475" s="291"/>
      <c r="N2475" s="289"/>
      <c r="O2475" s="358"/>
      <c r="P2475" s="402">
        <f t="shared" ref="P2475:Q2475" si="2473">IF(B2475=0,0,IF(YEAR(B2475)=$Q$1,MONTH(B2475)-$P$1+1,(YEAR(B2475)-$Q$1)*12-$P$1+1+MONTH(B2475)))</f>
        <v>0</v>
      </c>
      <c r="Q2475" s="402">
        <f t="shared" si="2473"/>
        <v>0</v>
      </c>
      <c r="R2475" s="356" t="e">
        <f t="shared" si="1325"/>
        <v>#N/A</v>
      </c>
      <c r="S2475" s="269" t="str">
        <f>IF(D2475="","",IF(OR(D2475=Plano!$A$1,D2475=Plano!$B$1),"entrada","saída"))</f>
        <v/>
      </c>
      <c r="T2475" s="269"/>
      <c r="U2475" s="269"/>
      <c r="V2475" s="269"/>
      <c r="W2475" s="269"/>
    </row>
    <row r="2476" spans="1:23" ht="12.75" customHeight="1" x14ac:dyDescent="0.2">
      <c r="A2476" s="289" t="str">
        <f t="shared" si="0"/>
        <v/>
      </c>
      <c r="B2476" s="290"/>
      <c r="C2476" s="404"/>
      <c r="D2476" s="291"/>
      <c r="E2476" s="291"/>
      <c r="F2476" s="292"/>
      <c r="G2476" s="291"/>
      <c r="H2476" s="291"/>
      <c r="I2476" s="293"/>
      <c r="J2476" s="291"/>
      <c r="K2476" s="291"/>
      <c r="L2476" s="293"/>
      <c r="M2476" s="291"/>
      <c r="N2476" s="289"/>
      <c r="O2476" s="358"/>
      <c r="P2476" s="402">
        <f t="shared" ref="P2476:Q2476" si="2474">IF(B2476=0,0,IF(YEAR(B2476)=$Q$1,MONTH(B2476)-$P$1+1,(YEAR(B2476)-$Q$1)*12-$P$1+1+MONTH(B2476)))</f>
        <v>0</v>
      </c>
      <c r="Q2476" s="402">
        <f t="shared" si="2474"/>
        <v>0</v>
      </c>
      <c r="R2476" s="356" t="e">
        <f t="shared" si="1325"/>
        <v>#N/A</v>
      </c>
      <c r="S2476" s="269" t="str">
        <f>IF(D2476="","",IF(OR(D2476=Plano!$A$1,D2476=Plano!$B$1),"entrada","saída"))</f>
        <v/>
      </c>
      <c r="T2476" s="269"/>
      <c r="U2476" s="269"/>
      <c r="V2476" s="269"/>
      <c r="W2476" s="269"/>
    </row>
    <row r="2477" spans="1:23" ht="12.75" customHeight="1" x14ac:dyDescent="0.2">
      <c r="A2477" s="289" t="str">
        <f t="shared" si="0"/>
        <v/>
      </c>
      <c r="B2477" s="290"/>
      <c r="C2477" s="404"/>
      <c r="D2477" s="291"/>
      <c r="E2477" s="291"/>
      <c r="F2477" s="292"/>
      <c r="G2477" s="291"/>
      <c r="H2477" s="291"/>
      <c r="I2477" s="293"/>
      <c r="J2477" s="291"/>
      <c r="K2477" s="291"/>
      <c r="L2477" s="293"/>
      <c r="M2477" s="291"/>
      <c r="N2477" s="289"/>
      <c r="O2477" s="358"/>
      <c r="P2477" s="402">
        <f t="shared" ref="P2477:Q2477" si="2475">IF(B2477=0,0,IF(YEAR(B2477)=$Q$1,MONTH(B2477)-$P$1+1,(YEAR(B2477)-$Q$1)*12-$P$1+1+MONTH(B2477)))</f>
        <v>0</v>
      </c>
      <c r="Q2477" s="402">
        <f t="shared" si="2475"/>
        <v>0</v>
      </c>
      <c r="R2477" s="356" t="e">
        <f t="shared" si="1325"/>
        <v>#N/A</v>
      </c>
      <c r="S2477" s="269" t="str">
        <f>IF(D2477="","",IF(OR(D2477=Plano!$A$1,D2477=Plano!$B$1),"entrada","saída"))</f>
        <v/>
      </c>
      <c r="T2477" s="269"/>
      <c r="U2477" s="269"/>
      <c r="V2477" s="269"/>
      <c r="W2477" s="269"/>
    </row>
    <row r="2478" spans="1:23" ht="12.75" customHeight="1" x14ac:dyDescent="0.2">
      <c r="A2478" s="289" t="str">
        <f t="shared" si="0"/>
        <v/>
      </c>
      <c r="B2478" s="290"/>
      <c r="C2478" s="404"/>
      <c r="D2478" s="291"/>
      <c r="E2478" s="291"/>
      <c r="F2478" s="292"/>
      <c r="G2478" s="291"/>
      <c r="H2478" s="291"/>
      <c r="I2478" s="293"/>
      <c r="J2478" s="291"/>
      <c r="K2478" s="291"/>
      <c r="L2478" s="293"/>
      <c r="M2478" s="291"/>
      <c r="N2478" s="289"/>
      <c r="O2478" s="358"/>
      <c r="P2478" s="402">
        <f t="shared" ref="P2478:Q2478" si="2476">IF(B2478=0,0,IF(YEAR(B2478)=$Q$1,MONTH(B2478)-$P$1+1,(YEAR(B2478)-$Q$1)*12-$P$1+1+MONTH(B2478)))</f>
        <v>0</v>
      </c>
      <c r="Q2478" s="402">
        <f t="shared" si="2476"/>
        <v>0</v>
      </c>
      <c r="R2478" s="356" t="e">
        <f t="shared" si="1325"/>
        <v>#N/A</v>
      </c>
      <c r="S2478" s="269" t="str">
        <f>IF(D2478="","",IF(OR(D2478=Plano!$A$1,D2478=Plano!$B$1),"entrada","saída"))</f>
        <v/>
      </c>
      <c r="T2478" s="269"/>
      <c r="U2478" s="269"/>
      <c r="V2478" s="269"/>
      <c r="W2478" s="269"/>
    </row>
    <row r="2479" spans="1:23" ht="12.75" customHeight="1" x14ac:dyDescent="0.2">
      <c r="A2479" s="289" t="str">
        <f t="shared" si="0"/>
        <v/>
      </c>
      <c r="B2479" s="290"/>
      <c r="C2479" s="404"/>
      <c r="D2479" s="291"/>
      <c r="E2479" s="291"/>
      <c r="F2479" s="292"/>
      <c r="G2479" s="291"/>
      <c r="H2479" s="291"/>
      <c r="I2479" s="293"/>
      <c r="J2479" s="291"/>
      <c r="K2479" s="291"/>
      <c r="L2479" s="293"/>
      <c r="M2479" s="291"/>
      <c r="N2479" s="289"/>
      <c r="O2479" s="358"/>
      <c r="P2479" s="402">
        <f t="shared" ref="P2479:Q2479" si="2477">IF(B2479=0,0,IF(YEAR(B2479)=$Q$1,MONTH(B2479)-$P$1+1,(YEAR(B2479)-$Q$1)*12-$P$1+1+MONTH(B2479)))</f>
        <v>0</v>
      </c>
      <c r="Q2479" s="402">
        <f t="shared" si="2477"/>
        <v>0</v>
      </c>
      <c r="R2479" s="356" t="e">
        <f t="shared" si="1325"/>
        <v>#N/A</v>
      </c>
      <c r="S2479" s="269" t="str">
        <f>IF(D2479="","",IF(OR(D2479=Plano!$A$1,D2479=Plano!$B$1),"entrada","saída"))</f>
        <v/>
      </c>
      <c r="T2479" s="269"/>
      <c r="U2479" s="269"/>
      <c r="V2479" s="269"/>
      <c r="W2479" s="269"/>
    </row>
    <row r="2480" spans="1:23" ht="12.75" customHeight="1" x14ac:dyDescent="0.2">
      <c r="A2480" s="289" t="str">
        <f t="shared" si="0"/>
        <v/>
      </c>
      <c r="B2480" s="290"/>
      <c r="C2480" s="404"/>
      <c r="D2480" s="291"/>
      <c r="E2480" s="291"/>
      <c r="F2480" s="292"/>
      <c r="G2480" s="291"/>
      <c r="H2480" s="291"/>
      <c r="I2480" s="293"/>
      <c r="J2480" s="291"/>
      <c r="K2480" s="291"/>
      <c r="L2480" s="293"/>
      <c r="M2480" s="291"/>
      <c r="N2480" s="289"/>
      <c r="O2480" s="358"/>
      <c r="P2480" s="402">
        <f t="shared" ref="P2480:Q2480" si="2478">IF(B2480=0,0,IF(YEAR(B2480)=$Q$1,MONTH(B2480)-$P$1+1,(YEAR(B2480)-$Q$1)*12-$P$1+1+MONTH(B2480)))</f>
        <v>0</v>
      </c>
      <c r="Q2480" s="402">
        <f t="shared" si="2478"/>
        <v>0</v>
      </c>
      <c r="R2480" s="356" t="e">
        <f t="shared" si="1325"/>
        <v>#N/A</v>
      </c>
      <c r="S2480" s="269" t="str">
        <f>IF(D2480="","",IF(OR(D2480=Plano!$A$1,D2480=Plano!$B$1),"entrada","saída"))</f>
        <v/>
      </c>
      <c r="T2480" s="269"/>
      <c r="U2480" s="269"/>
      <c r="V2480" s="269"/>
      <c r="W2480" s="269"/>
    </row>
    <row r="2481" spans="1:23" ht="12.75" customHeight="1" x14ac:dyDescent="0.2">
      <c r="A2481" s="289" t="str">
        <f t="shared" si="0"/>
        <v/>
      </c>
      <c r="B2481" s="290"/>
      <c r="C2481" s="404"/>
      <c r="D2481" s="291"/>
      <c r="E2481" s="291"/>
      <c r="F2481" s="292"/>
      <c r="G2481" s="291"/>
      <c r="H2481" s="291"/>
      <c r="I2481" s="293"/>
      <c r="J2481" s="291"/>
      <c r="K2481" s="291"/>
      <c r="L2481" s="293"/>
      <c r="M2481" s="291"/>
      <c r="N2481" s="289"/>
      <c r="O2481" s="358"/>
      <c r="P2481" s="402">
        <f t="shared" ref="P2481:Q2481" si="2479">IF(B2481=0,0,IF(YEAR(B2481)=$Q$1,MONTH(B2481)-$P$1+1,(YEAR(B2481)-$Q$1)*12-$P$1+1+MONTH(B2481)))</f>
        <v>0</v>
      </c>
      <c r="Q2481" s="402">
        <f t="shared" si="2479"/>
        <v>0</v>
      </c>
      <c r="R2481" s="356" t="e">
        <f t="shared" si="1325"/>
        <v>#N/A</v>
      </c>
      <c r="S2481" s="269" t="str">
        <f>IF(D2481="","",IF(OR(D2481=Plano!$A$1,D2481=Plano!$B$1),"entrada","saída"))</f>
        <v/>
      </c>
      <c r="T2481" s="269"/>
      <c r="U2481" s="269"/>
      <c r="V2481" s="269"/>
      <c r="W2481" s="269"/>
    </row>
    <row r="2482" spans="1:23" ht="12.75" customHeight="1" x14ac:dyDescent="0.2">
      <c r="A2482" s="289" t="str">
        <f t="shared" si="0"/>
        <v/>
      </c>
      <c r="B2482" s="290"/>
      <c r="C2482" s="404"/>
      <c r="D2482" s="291"/>
      <c r="E2482" s="291"/>
      <c r="F2482" s="292"/>
      <c r="G2482" s="291"/>
      <c r="H2482" s="291"/>
      <c r="I2482" s="293"/>
      <c r="J2482" s="291"/>
      <c r="K2482" s="291"/>
      <c r="L2482" s="293"/>
      <c r="M2482" s="291"/>
      <c r="N2482" s="289"/>
      <c r="O2482" s="358"/>
      <c r="P2482" s="402">
        <f t="shared" ref="P2482:Q2482" si="2480">IF(B2482=0,0,IF(YEAR(B2482)=$Q$1,MONTH(B2482)-$P$1+1,(YEAR(B2482)-$Q$1)*12-$P$1+1+MONTH(B2482)))</f>
        <v>0</v>
      </c>
      <c r="Q2482" s="402">
        <f t="shared" si="2480"/>
        <v>0</v>
      </c>
      <c r="R2482" s="356" t="e">
        <f t="shared" si="1325"/>
        <v>#N/A</v>
      </c>
      <c r="S2482" s="269" t="str">
        <f>IF(D2482="","",IF(OR(D2482=Plano!$A$1,D2482=Plano!$B$1),"entrada","saída"))</f>
        <v/>
      </c>
      <c r="T2482" s="269"/>
      <c r="U2482" s="269"/>
      <c r="V2482" s="269"/>
      <c r="W2482" s="269"/>
    </row>
    <row r="2483" spans="1:23" ht="12.75" customHeight="1" x14ac:dyDescent="0.2">
      <c r="A2483" s="289" t="str">
        <f t="shared" si="0"/>
        <v/>
      </c>
      <c r="B2483" s="290"/>
      <c r="C2483" s="404"/>
      <c r="D2483" s="291"/>
      <c r="E2483" s="291"/>
      <c r="F2483" s="292"/>
      <c r="G2483" s="291"/>
      <c r="H2483" s="291"/>
      <c r="I2483" s="293"/>
      <c r="J2483" s="291"/>
      <c r="K2483" s="291"/>
      <c r="L2483" s="293"/>
      <c r="M2483" s="291"/>
      <c r="N2483" s="289"/>
      <c r="O2483" s="358"/>
      <c r="P2483" s="402">
        <f t="shared" ref="P2483:Q2483" si="2481">IF(B2483=0,0,IF(YEAR(B2483)=$Q$1,MONTH(B2483)-$P$1+1,(YEAR(B2483)-$Q$1)*12-$P$1+1+MONTH(B2483)))</f>
        <v>0</v>
      </c>
      <c r="Q2483" s="402">
        <f t="shared" si="2481"/>
        <v>0</v>
      </c>
      <c r="R2483" s="356" t="e">
        <f t="shared" si="1325"/>
        <v>#N/A</v>
      </c>
      <c r="S2483" s="269" t="str">
        <f>IF(D2483="","",IF(OR(D2483=Plano!$A$1,D2483=Plano!$B$1),"entrada","saída"))</f>
        <v/>
      </c>
      <c r="T2483" s="269"/>
      <c r="U2483" s="269"/>
      <c r="V2483" s="269"/>
      <c r="W2483" s="269"/>
    </row>
    <row r="2484" spans="1:23" ht="12.75" customHeight="1" x14ac:dyDescent="0.2">
      <c r="A2484" s="289" t="str">
        <f t="shared" si="0"/>
        <v/>
      </c>
      <c r="B2484" s="290"/>
      <c r="C2484" s="404"/>
      <c r="D2484" s="291"/>
      <c r="E2484" s="291"/>
      <c r="F2484" s="292"/>
      <c r="G2484" s="291"/>
      <c r="H2484" s="291"/>
      <c r="I2484" s="293"/>
      <c r="J2484" s="291"/>
      <c r="K2484" s="291"/>
      <c r="L2484" s="293"/>
      <c r="M2484" s="291"/>
      <c r="N2484" s="289"/>
      <c r="O2484" s="358"/>
      <c r="P2484" s="402">
        <f t="shared" ref="P2484:Q2484" si="2482">IF(B2484=0,0,IF(YEAR(B2484)=$Q$1,MONTH(B2484)-$P$1+1,(YEAR(B2484)-$Q$1)*12-$P$1+1+MONTH(B2484)))</f>
        <v>0</v>
      </c>
      <c r="Q2484" s="402">
        <f t="shared" si="2482"/>
        <v>0</v>
      </c>
      <c r="R2484" s="356" t="e">
        <f t="shared" si="1325"/>
        <v>#N/A</v>
      </c>
      <c r="S2484" s="269" t="str">
        <f>IF(D2484="","",IF(OR(D2484=Plano!$A$1,D2484=Plano!$B$1),"entrada","saída"))</f>
        <v/>
      </c>
      <c r="T2484" s="269"/>
      <c r="U2484" s="269"/>
      <c r="V2484" s="269"/>
      <c r="W2484" s="269"/>
    </row>
    <row r="2485" spans="1:23" ht="12.75" customHeight="1" x14ac:dyDescent="0.2">
      <c r="A2485" s="289" t="str">
        <f t="shared" si="0"/>
        <v/>
      </c>
      <c r="B2485" s="290"/>
      <c r="C2485" s="404"/>
      <c r="D2485" s="291"/>
      <c r="E2485" s="291"/>
      <c r="F2485" s="292"/>
      <c r="G2485" s="291"/>
      <c r="H2485" s="291"/>
      <c r="I2485" s="293"/>
      <c r="J2485" s="291"/>
      <c r="K2485" s="291"/>
      <c r="L2485" s="293"/>
      <c r="M2485" s="291"/>
      <c r="N2485" s="289"/>
      <c r="O2485" s="358"/>
      <c r="P2485" s="402">
        <f t="shared" ref="P2485:Q2485" si="2483">IF(B2485=0,0,IF(YEAR(B2485)=$Q$1,MONTH(B2485)-$P$1+1,(YEAR(B2485)-$Q$1)*12-$P$1+1+MONTH(B2485)))</f>
        <v>0</v>
      </c>
      <c r="Q2485" s="402">
        <f t="shared" si="2483"/>
        <v>0</v>
      </c>
      <c r="R2485" s="356" t="e">
        <f t="shared" si="1325"/>
        <v>#N/A</v>
      </c>
      <c r="S2485" s="269" t="str">
        <f>IF(D2485="","",IF(OR(D2485=Plano!$A$1,D2485=Plano!$B$1),"entrada","saída"))</f>
        <v/>
      </c>
      <c r="T2485" s="269"/>
      <c r="U2485" s="269"/>
      <c r="V2485" s="269"/>
      <c r="W2485" s="269"/>
    </row>
    <row r="2486" spans="1:23" ht="12.75" customHeight="1" x14ac:dyDescent="0.2">
      <c r="A2486" s="289" t="str">
        <f t="shared" si="0"/>
        <v/>
      </c>
      <c r="B2486" s="290"/>
      <c r="C2486" s="404"/>
      <c r="D2486" s="291"/>
      <c r="E2486" s="291"/>
      <c r="F2486" s="292"/>
      <c r="G2486" s="291"/>
      <c r="H2486" s="291"/>
      <c r="I2486" s="293"/>
      <c r="J2486" s="291"/>
      <c r="K2486" s="291"/>
      <c r="L2486" s="293"/>
      <c r="M2486" s="291"/>
      <c r="N2486" s="289"/>
      <c r="O2486" s="358"/>
      <c r="P2486" s="402">
        <f t="shared" ref="P2486:Q2486" si="2484">IF(B2486=0,0,IF(YEAR(B2486)=$Q$1,MONTH(B2486)-$P$1+1,(YEAR(B2486)-$Q$1)*12-$P$1+1+MONTH(B2486)))</f>
        <v>0</v>
      </c>
      <c r="Q2486" s="402">
        <f t="shared" si="2484"/>
        <v>0</v>
      </c>
      <c r="R2486" s="356" t="e">
        <f t="shared" si="1325"/>
        <v>#N/A</v>
      </c>
      <c r="S2486" s="269" t="str">
        <f>IF(D2486="","",IF(OR(D2486=Plano!$A$1,D2486=Plano!$B$1),"entrada","saída"))</f>
        <v/>
      </c>
      <c r="T2486" s="269"/>
      <c r="U2486" s="269"/>
      <c r="V2486" s="269"/>
      <c r="W2486" s="269"/>
    </row>
    <row r="2487" spans="1:23" ht="12.75" customHeight="1" x14ac:dyDescent="0.2">
      <c r="A2487" s="289" t="str">
        <f t="shared" si="0"/>
        <v/>
      </c>
      <c r="B2487" s="290"/>
      <c r="C2487" s="404"/>
      <c r="D2487" s="291"/>
      <c r="E2487" s="291"/>
      <c r="F2487" s="292"/>
      <c r="G2487" s="291"/>
      <c r="H2487" s="291"/>
      <c r="I2487" s="293"/>
      <c r="J2487" s="291"/>
      <c r="K2487" s="291"/>
      <c r="L2487" s="293"/>
      <c r="M2487" s="291"/>
      <c r="N2487" s="289"/>
      <c r="O2487" s="358"/>
      <c r="P2487" s="402">
        <f t="shared" ref="P2487:Q2487" si="2485">IF(B2487=0,0,IF(YEAR(B2487)=$Q$1,MONTH(B2487)-$P$1+1,(YEAR(B2487)-$Q$1)*12-$P$1+1+MONTH(B2487)))</f>
        <v>0</v>
      </c>
      <c r="Q2487" s="402">
        <f t="shared" si="2485"/>
        <v>0</v>
      </c>
      <c r="R2487" s="356" t="e">
        <f t="shared" si="1325"/>
        <v>#N/A</v>
      </c>
      <c r="S2487" s="269" t="str">
        <f>IF(D2487="","",IF(OR(D2487=Plano!$A$1,D2487=Plano!$B$1),"entrada","saída"))</f>
        <v/>
      </c>
      <c r="T2487" s="269"/>
      <c r="U2487" s="269"/>
      <c r="V2487" s="269"/>
      <c r="W2487" s="269"/>
    </row>
    <row r="2488" spans="1:23" ht="12.75" customHeight="1" x14ac:dyDescent="0.2">
      <c r="A2488" s="289" t="str">
        <f t="shared" si="0"/>
        <v/>
      </c>
      <c r="B2488" s="290"/>
      <c r="C2488" s="404"/>
      <c r="D2488" s="291"/>
      <c r="E2488" s="291"/>
      <c r="F2488" s="292"/>
      <c r="G2488" s="291"/>
      <c r="H2488" s="291"/>
      <c r="I2488" s="293"/>
      <c r="J2488" s="291"/>
      <c r="K2488" s="291"/>
      <c r="L2488" s="293"/>
      <c r="M2488" s="291"/>
      <c r="N2488" s="289"/>
      <c r="O2488" s="358"/>
      <c r="P2488" s="402">
        <f t="shared" ref="P2488:Q2488" si="2486">IF(B2488=0,0,IF(YEAR(B2488)=$Q$1,MONTH(B2488)-$P$1+1,(YEAR(B2488)-$Q$1)*12-$P$1+1+MONTH(B2488)))</f>
        <v>0</v>
      </c>
      <c r="Q2488" s="402">
        <f t="shared" si="2486"/>
        <v>0</v>
      </c>
      <c r="R2488" s="356" t="e">
        <f t="shared" si="1325"/>
        <v>#N/A</v>
      </c>
      <c r="S2488" s="269" t="str">
        <f>IF(D2488="","",IF(OR(D2488=Plano!$A$1,D2488=Plano!$B$1),"entrada","saída"))</f>
        <v/>
      </c>
      <c r="T2488" s="269"/>
      <c r="U2488" s="269"/>
      <c r="V2488" s="269"/>
      <c r="W2488" s="269"/>
    </row>
    <row r="2489" spans="1:23" ht="12.75" customHeight="1" x14ac:dyDescent="0.2">
      <c r="A2489" s="289" t="str">
        <f t="shared" si="0"/>
        <v/>
      </c>
      <c r="B2489" s="290"/>
      <c r="C2489" s="404"/>
      <c r="D2489" s="291"/>
      <c r="E2489" s="291"/>
      <c r="F2489" s="292"/>
      <c r="G2489" s="291"/>
      <c r="H2489" s="291"/>
      <c r="I2489" s="293"/>
      <c r="J2489" s="291"/>
      <c r="K2489" s="291"/>
      <c r="L2489" s="293"/>
      <c r="M2489" s="291"/>
      <c r="N2489" s="289"/>
      <c r="O2489" s="358"/>
      <c r="P2489" s="402">
        <f t="shared" ref="P2489:Q2489" si="2487">IF(B2489=0,0,IF(YEAR(B2489)=$Q$1,MONTH(B2489)-$P$1+1,(YEAR(B2489)-$Q$1)*12-$P$1+1+MONTH(B2489)))</f>
        <v>0</v>
      </c>
      <c r="Q2489" s="402">
        <f t="shared" si="2487"/>
        <v>0</v>
      </c>
      <c r="R2489" s="356" t="e">
        <f t="shared" si="1325"/>
        <v>#N/A</v>
      </c>
      <c r="S2489" s="269" t="str">
        <f>IF(D2489="","",IF(OR(D2489=Plano!$A$1,D2489=Plano!$B$1),"entrada","saída"))</f>
        <v/>
      </c>
      <c r="T2489" s="269"/>
      <c r="U2489" s="269"/>
      <c r="V2489" s="269"/>
      <c r="W2489" s="269"/>
    </row>
    <row r="2490" spans="1:23" ht="12.75" customHeight="1" x14ac:dyDescent="0.2">
      <c r="A2490" s="289" t="str">
        <f t="shared" si="0"/>
        <v/>
      </c>
      <c r="B2490" s="290"/>
      <c r="C2490" s="404"/>
      <c r="D2490" s="291"/>
      <c r="E2490" s="291"/>
      <c r="F2490" s="292"/>
      <c r="G2490" s="291"/>
      <c r="H2490" s="291"/>
      <c r="I2490" s="293"/>
      <c r="J2490" s="291"/>
      <c r="K2490" s="291"/>
      <c r="L2490" s="293"/>
      <c r="M2490" s="291"/>
      <c r="N2490" s="289"/>
      <c r="O2490" s="358"/>
      <c r="P2490" s="402">
        <f t="shared" ref="P2490:Q2490" si="2488">IF(B2490=0,0,IF(YEAR(B2490)=$Q$1,MONTH(B2490)-$P$1+1,(YEAR(B2490)-$Q$1)*12-$P$1+1+MONTH(B2490)))</f>
        <v>0</v>
      </c>
      <c r="Q2490" s="402">
        <f t="shared" si="2488"/>
        <v>0</v>
      </c>
      <c r="R2490" s="356" t="e">
        <f t="shared" si="1325"/>
        <v>#N/A</v>
      </c>
      <c r="S2490" s="269" t="str">
        <f>IF(D2490="","",IF(OR(D2490=Plano!$A$1,D2490=Plano!$B$1),"entrada","saída"))</f>
        <v/>
      </c>
      <c r="T2490" s="269"/>
      <c r="U2490" s="269"/>
      <c r="V2490" s="269"/>
      <c r="W2490" s="269"/>
    </row>
    <row r="2491" spans="1:23" ht="12.75" customHeight="1" x14ac:dyDescent="0.2">
      <c r="A2491" s="289" t="str">
        <f t="shared" si="0"/>
        <v/>
      </c>
      <c r="B2491" s="290"/>
      <c r="C2491" s="404"/>
      <c r="D2491" s="291"/>
      <c r="E2491" s="291"/>
      <c r="F2491" s="292"/>
      <c r="G2491" s="291"/>
      <c r="H2491" s="291"/>
      <c r="I2491" s="293"/>
      <c r="J2491" s="291"/>
      <c r="K2491" s="291"/>
      <c r="L2491" s="293"/>
      <c r="M2491" s="291"/>
      <c r="N2491" s="289"/>
      <c r="O2491" s="358"/>
      <c r="P2491" s="402">
        <f t="shared" ref="P2491:Q2491" si="2489">IF(B2491=0,0,IF(YEAR(B2491)=$Q$1,MONTH(B2491)-$P$1+1,(YEAR(B2491)-$Q$1)*12-$P$1+1+MONTH(B2491)))</f>
        <v>0</v>
      </c>
      <c r="Q2491" s="402">
        <f t="shared" si="2489"/>
        <v>0</v>
      </c>
      <c r="R2491" s="356" t="e">
        <f t="shared" si="1325"/>
        <v>#N/A</v>
      </c>
      <c r="S2491" s="269" t="str">
        <f>IF(D2491="","",IF(OR(D2491=Plano!$A$1,D2491=Plano!$B$1),"entrada","saída"))</f>
        <v/>
      </c>
      <c r="T2491" s="269"/>
      <c r="U2491" s="269"/>
      <c r="V2491" s="269"/>
      <c r="W2491" s="269"/>
    </row>
    <row r="2492" spans="1:23" ht="12.75" customHeight="1" x14ac:dyDescent="0.2">
      <c r="A2492" s="289" t="str">
        <f t="shared" si="0"/>
        <v/>
      </c>
      <c r="B2492" s="290"/>
      <c r="C2492" s="404"/>
      <c r="D2492" s="291"/>
      <c r="E2492" s="291"/>
      <c r="F2492" s="292"/>
      <c r="G2492" s="291"/>
      <c r="H2492" s="291"/>
      <c r="I2492" s="293"/>
      <c r="J2492" s="291"/>
      <c r="K2492" s="291"/>
      <c r="L2492" s="293"/>
      <c r="M2492" s="291"/>
      <c r="N2492" s="289"/>
      <c r="O2492" s="358"/>
      <c r="P2492" s="402">
        <f t="shared" ref="P2492:Q2492" si="2490">IF(B2492=0,0,IF(YEAR(B2492)=$Q$1,MONTH(B2492)-$P$1+1,(YEAR(B2492)-$Q$1)*12-$P$1+1+MONTH(B2492)))</f>
        <v>0</v>
      </c>
      <c r="Q2492" s="402">
        <f t="shared" si="2490"/>
        <v>0</v>
      </c>
      <c r="R2492" s="356" t="e">
        <f t="shared" si="1325"/>
        <v>#N/A</v>
      </c>
      <c r="S2492" s="269" t="str">
        <f>IF(D2492="","",IF(OR(D2492=Plano!$A$1,D2492=Plano!$B$1),"entrada","saída"))</f>
        <v/>
      </c>
      <c r="T2492" s="269"/>
      <c r="U2492" s="269"/>
      <c r="V2492" s="269"/>
      <c r="W2492" s="269"/>
    </row>
    <row r="2493" spans="1:23" ht="12.75" customHeight="1" x14ac:dyDescent="0.2">
      <c r="A2493" s="289" t="str">
        <f t="shared" si="0"/>
        <v/>
      </c>
      <c r="B2493" s="290"/>
      <c r="C2493" s="404"/>
      <c r="D2493" s="291"/>
      <c r="E2493" s="291"/>
      <c r="F2493" s="292"/>
      <c r="G2493" s="291"/>
      <c r="H2493" s="291"/>
      <c r="I2493" s="293"/>
      <c r="J2493" s="291"/>
      <c r="K2493" s="291"/>
      <c r="L2493" s="293"/>
      <c r="M2493" s="291"/>
      <c r="N2493" s="289"/>
      <c r="O2493" s="358"/>
      <c r="P2493" s="402">
        <f t="shared" ref="P2493:Q2493" si="2491">IF(B2493=0,0,IF(YEAR(B2493)=$Q$1,MONTH(B2493)-$P$1+1,(YEAR(B2493)-$Q$1)*12-$P$1+1+MONTH(B2493)))</f>
        <v>0</v>
      </c>
      <c r="Q2493" s="402">
        <f t="shared" si="2491"/>
        <v>0</v>
      </c>
      <c r="R2493" s="356" t="e">
        <f t="shared" si="1325"/>
        <v>#N/A</v>
      </c>
      <c r="S2493" s="269" t="str">
        <f>IF(D2493="","",IF(OR(D2493=Plano!$A$1,D2493=Plano!$B$1),"entrada","saída"))</f>
        <v/>
      </c>
      <c r="T2493" s="269"/>
      <c r="U2493" s="269"/>
      <c r="V2493" s="269"/>
      <c r="W2493" s="269"/>
    </row>
    <row r="2494" spans="1:23" ht="12.75" customHeight="1" x14ac:dyDescent="0.2">
      <c r="A2494" s="289" t="str">
        <f t="shared" si="0"/>
        <v/>
      </c>
      <c r="B2494" s="290"/>
      <c r="C2494" s="404"/>
      <c r="D2494" s="291"/>
      <c r="E2494" s="291"/>
      <c r="F2494" s="292"/>
      <c r="G2494" s="291"/>
      <c r="H2494" s="291"/>
      <c r="I2494" s="293"/>
      <c r="J2494" s="291"/>
      <c r="K2494" s="291"/>
      <c r="L2494" s="293"/>
      <c r="M2494" s="291"/>
      <c r="N2494" s="289"/>
      <c r="O2494" s="358"/>
      <c r="P2494" s="402">
        <f t="shared" ref="P2494:Q2494" si="2492">IF(B2494=0,0,IF(YEAR(B2494)=$Q$1,MONTH(B2494)-$P$1+1,(YEAR(B2494)-$Q$1)*12-$P$1+1+MONTH(B2494)))</f>
        <v>0</v>
      </c>
      <c r="Q2494" s="402">
        <f t="shared" si="2492"/>
        <v>0</v>
      </c>
      <c r="R2494" s="356" t="e">
        <f t="shared" si="1325"/>
        <v>#N/A</v>
      </c>
      <c r="S2494" s="269" t="str">
        <f>IF(D2494="","",IF(OR(D2494=Plano!$A$1,D2494=Plano!$B$1),"entrada","saída"))</f>
        <v/>
      </c>
      <c r="T2494" s="269"/>
      <c r="U2494" s="269"/>
      <c r="V2494" s="269"/>
      <c r="W2494" s="269"/>
    </row>
    <row r="2495" spans="1:23" ht="12.75" customHeight="1" x14ac:dyDescent="0.2">
      <c r="A2495" s="289" t="str">
        <f t="shared" si="0"/>
        <v/>
      </c>
      <c r="B2495" s="290"/>
      <c r="C2495" s="404"/>
      <c r="D2495" s="291"/>
      <c r="E2495" s="291"/>
      <c r="F2495" s="292"/>
      <c r="G2495" s="291"/>
      <c r="H2495" s="291"/>
      <c r="I2495" s="293"/>
      <c r="J2495" s="291"/>
      <c r="K2495" s="291"/>
      <c r="L2495" s="293"/>
      <c r="M2495" s="291"/>
      <c r="N2495" s="289"/>
      <c r="O2495" s="358"/>
      <c r="P2495" s="402">
        <f t="shared" ref="P2495:Q2495" si="2493">IF(B2495=0,0,IF(YEAR(B2495)=$Q$1,MONTH(B2495)-$P$1+1,(YEAR(B2495)-$Q$1)*12-$P$1+1+MONTH(B2495)))</f>
        <v>0</v>
      </c>
      <c r="Q2495" s="402">
        <f t="shared" si="2493"/>
        <v>0</v>
      </c>
      <c r="R2495" s="356" t="e">
        <f t="shared" si="1325"/>
        <v>#N/A</v>
      </c>
      <c r="S2495" s="269" t="str">
        <f>IF(D2495="","",IF(OR(D2495=Plano!$A$1,D2495=Plano!$B$1),"entrada","saída"))</f>
        <v/>
      </c>
      <c r="T2495" s="269"/>
      <c r="U2495" s="269"/>
      <c r="V2495" s="269"/>
      <c r="W2495" s="269"/>
    </row>
    <row r="2496" spans="1:23" ht="12.75" customHeight="1" x14ac:dyDescent="0.2">
      <c r="A2496" s="289" t="str">
        <f t="shared" si="0"/>
        <v/>
      </c>
      <c r="B2496" s="290"/>
      <c r="C2496" s="404"/>
      <c r="D2496" s="291"/>
      <c r="E2496" s="291"/>
      <c r="F2496" s="292"/>
      <c r="G2496" s="291"/>
      <c r="H2496" s="291"/>
      <c r="I2496" s="293"/>
      <c r="J2496" s="291"/>
      <c r="K2496" s="291"/>
      <c r="L2496" s="293"/>
      <c r="M2496" s="291"/>
      <c r="N2496" s="289"/>
      <c r="O2496" s="358"/>
      <c r="P2496" s="402">
        <f t="shared" ref="P2496:Q2496" si="2494">IF(B2496=0,0,IF(YEAR(B2496)=$Q$1,MONTH(B2496)-$P$1+1,(YEAR(B2496)-$Q$1)*12-$P$1+1+MONTH(B2496)))</f>
        <v>0</v>
      </c>
      <c r="Q2496" s="402">
        <f t="shared" si="2494"/>
        <v>0</v>
      </c>
      <c r="R2496" s="356" t="e">
        <f t="shared" si="1325"/>
        <v>#N/A</v>
      </c>
      <c r="S2496" s="269" t="str">
        <f>IF(D2496="","",IF(OR(D2496=Plano!$A$1,D2496=Plano!$B$1),"entrada","saída"))</f>
        <v/>
      </c>
      <c r="T2496" s="269"/>
      <c r="U2496" s="269"/>
      <c r="V2496" s="269"/>
      <c r="W2496" s="269"/>
    </row>
    <row r="2497" spans="1:23" ht="12.75" customHeight="1" x14ac:dyDescent="0.2">
      <c r="A2497" s="289" t="str">
        <f t="shared" si="0"/>
        <v/>
      </c>
      <c r="B2497" s="290"/>
      <c r="C2497" s="404"/>
      <c r="D2497" s="291"/>
      <c r="E2497" s="291"/>
      <c r="F2497" s="292"/>
      <c r="G2497" s="291"/>
      <c r="H2497" s="291"/>
      <c r="I2497" s="293"/>
      <c r="J2497" s="291"/>
      <c r="K2497" s="291"/>
      <c r="L2497" s="293"/>
      <c r="M2497" s="291"/>
      <c r="N2497" s="289"/>
      <c r="O2497" s="358"/>
      <c r="P2497" s="402">
        <f t="shared" ref="P2497:Q2497" si="2495">IF(B2497=0,0,IF(YEAR(B2497)=$Q$1,MONTH(B2497)-$P$1+1,(YEAR(B2497)-$Q$1)*12-$P$1+1+MONTH(B2497)))</f>
        <v>0</v>
      </c>
      <c r="Q2497" s="402">
        <f t="shared" si="2495"/>
        <v>0</v>
      </c>
      <c r="R2497" s="356" t="e">
        <f t="shared" si="1325"/>
        <v>#N/A</v>
      </c>
      <c r="S2497" s="269" t="str">
        <f>IF(D2497="","",IF(OR(D2497=Plano!$A$1,D2497=Plano!$B$1),"entrada","saída"))</f>
        <v/>
      </c>
      <c r="T2497" s="269"/>
      <c r="U2497" s="269"/>
      <c r="V2497" s="269"/>
      <c r="W2497" s="269"/>
    </row>
    <row r="2498" spans="1:23" ht="12.75" customHeight="1" x14ac:dyDescent="0.2">
      <c r="A2498" s="289" t="str">
        <f t="shared" si="0"/>
        <v/>
      </c>
      <c r="B2498" s="290"/>
      <c r="C2498" s="404"/>
      <c r="D2498" s="291"/>
      <c r="E2498" s="291"/>
      <c r="F2498" s="292"/>
      <c r="G2498" s="291"/>
      <c r="H2498" s="291"/>
      <c r="I2498" s="293"/>
      <c r="J2498" s="291"/>
      <c r="K2498" s="291"/>
      <c r="L2498" s="293"/>
      <c r="M2498" s="291"/>
      <c r="N2498" s="289"/>
      <c r="O2498" s="358"/>
      <c r="P2498" s="402">
        <f t="shared" ref="P2498:Q2498" si="2496">IF(B2498=0,0,IF(YEAR(B2498)=$Q$1,MONTH(B2498)-$P$1+1,(YEAR(B2498)-$Q$1)*12-$P$1+1+MONTH(B2498)))</f>
        <v>0</v>
      </c>
      <c r="Q2498" s="402">
        <f t="shared" si="2496"/>
        <v>0</v>
      </c>
      <c r="R2498" s="356" t="e">
        <f t="shared" si="1325"/>
        <v>#N/A</v>
      </c>
      <c r="S2498" s="269" t="str">
        <f>IF(D2498="","",IF(OR(D2498=Plano!$A$1,D2498=Plano!$B$1),"entrada","saída"))</f>
        <v/>
      </c>
      <c r="T2498" s="269"/>
      <c r="U2498" s="269"/>
      <c r="V2498" s="269"/>
      <c r="W2498" s="269"/>
    </row>
    <row r="2499" spans="1:23" ht="12.75" customHeight="1" x14ac:dyDescent="0.2">
      <c r="A2499" s="289" t="str">
        <f t="shared" si="0"/>
        <v/>
      </c>
      <c r="B2499" s="290"/>
      <c r="C2499" s="404"/>
      <c r="D2499" s="291"/>
      <c r="E2499" s="291"/>
      <c r="F2499" s="292"/>
      <c r="G2499" s="291"/>
      <c r="H2499" s="291"/>
      <c r="I2499" s="293"/>
      <c r="J2499" s="291"/>
      <c r="K2499" s="291"/>
      <c r="L2499" s="293"/>
      <c r="M2499" s="291"/>
      <c r="N2499" s="289"/>
      <c r="O2499" s="358"/>
      <c r="P2499" s="402">
        <f t="shared" ref="P2499:Q2499" si="2497">IF(B2499=0,0,IF(YEAR(B2499)=$Q$1,MONTH(B2499)-$P$1+1,(YEAR(B2499)-$Q$1)*12-$P$1+1+MONTH(B2499)))</f>
        <v>0</v>
      </c>
      <c r="Q2499" s="402">
        <f t="shared" si="2497"/>
        <v>0</v>
      </c>
      <c r="R2499" s="356" t="e">
        <f t="shared" si="1325"/>
        <v>#N/A</v>
      </c>
      <c r="S2499" s="269" t="str">
        <f>IF(D2499="","",IF(OR(D2499=Plano!$A$1,D2499=Plano!$B$1),"entrada","saída"))</f>
        <v/>
      </c>
      <c r="T2499" s="269"/>
      <c r="U2499" s="269"/>
      <c r="V2499" s="269"/>
      <c r="W2499" s="269"/>
    </row>
    <row r="2500" spans="1:23" ht="12.75" customHeight="1" x14ac:dyDescent="0.2">
      <c r="A2500" s="289" t="str">
        <f t="shared" si="0"/>
        <v/>
      </c>
      <c r="B2500" s="290"/>
      <c r="C2500" s="404"/>
      <c r="D2500" s="291"/>
      <c r="E2500" s="291"/>
      <c r="F2500" s="292"/>
      <c r="G2500" s="291"/>
      <c r="H2500" s="291"/>
      <c r="I2500" s="293"/>
      <c r="J2500" s="291"/>
      <c r="K2500" s="291"/>
      <c r="L2500" s="293"/>
      <c r="M2500" s="291"/>
      <c r="N2500" s="289"/>
      <c r="O2500" s="358"/>
      <c r="P2500" s="402">
        <f t="shared" ref="P2500:Q2500" si="2498">IF(B2500=0,0,IF(YEAR(B2500)=$Q$1,MONTH(B2500)-$P$1+1,(YEAR(B2500)-$Q$1)*12-$P$1+1+MONTH(B2500)))</f>
        <v>0</v>
      </c>
      <c r="Q2500" s="402">
        <f t="shared" si="2498"/>
        <v>0</v>
      </c>
      <c r="R2500" s="356" t="e">
        <f t="shared" si="1325"/>
        <v>#N/A</v>
      </c>
      <c r="S2500" s="269" t="str">
        <f>IF(D2500="","",IF(OR(D2500=Plano!$A$1,D2500=Plano!$B$1),"entrada","saída"))</f>
        <v/>
      </c>
      <c r="T2500" s="269"/>
      <c r="U2500" s="269"/>
      <c r="V2500" s="269"/>
      <c r="W2500" s="269"/>
    </row>
    <row r="2501" spans="1:23" ht="12.75" customHeight="1" x14ac:dyDescent="0.2">
      <c r="A2501" s="289" t="str">
        <f t="shared" si="0"/>
        <v/>
      </c>
      <c r="B2501" s="290"/>
      <c r="C2501" s="404"/>
      <c r="D2501" s="291"/>
      <c r="E2501" s="291"/>
      <c r="F2501" s="292"/>
      <c r="G2501" s="291"/>
      <c r="H2501" s="291"/>
      <c r="I2501" s="293"/>
      <c r="J2501" s="291"/>
      <c r="K2501" s="291"/>
      <c r="L2501" s="293"/>
      <c r="M2501" s="291"/>
      <c r="N2501" s="289"/>
      <c r="O2501" s="358"/>
      <c r="P2501" s="402">
        <f t="shared" ref="P2501:Q2501" si="2499">IF(B2501=0,0,IF(YEAR(B2501)=$Q$1,MONTH(B2501)-$P$1+1,(YEAR(B2501)-$Q$1)*12-$P$1+1+MONTH(B2501)))</f>
        <v>0</v>
      </c>
      <c r="Q2501" s="402">
        <f t="shared" si="2499"/>
        <v>0</v>
      </c>
      <c r="R2501" s="356" t="e">
        <f t="shared" si="1325"/>
        <v>#N/A</v>
      </c>
      <c r="S2501" s="269" t="str">
        <f>IF(D2501="","",IF(OR(D2501=Plano!$A$1,D2501=Plano!$B$1),"entrada","saída"))</f>
        <v/>
      </c>
      <c r="T2501" s="269"/>
      <c r="U2501" s="269"/>
      <c r="V2501" s="269"/>
      <c r="W2501" s="269"/>
    </row>
    <row r="2502" spans="1:23" ht="12.75" customHeight="1" x14ac:dyDescent="0.2">
      <c r="A2502" s="289" t="str">
        <f t="shared" si="0"/>
        <v/>
      </c>
      <c r="B2502" s="290"/>
      <c r="C2502" s="404"/>
      <c r="D2502" s="291"/>
      <c r="E2502" s="291"/>
      <c r="F2502" s="292"/>
      <c r="G2502" s="291"/>
      <c r="H2502" s="291"/>
      <c r="I2502" s="293"/>
      <c r="J2502" s="291"/>
      <c r="K2502" s="291"/>
      <c r="L2502" s="293"/>
      <c r="M2502" s="291"/>
      <c r="N2502" s="289"/>
      <c r="O2502" s="358"/>
      <c r="P2502" s="402">
        <f t="shared" ref="P2502:Q2502" si="2500">IF(B2502=0,0,IF(YEAR(B2502)=$Q$1,MONTH(B2502)-$P$1+1,(YEAR(B2502)-$Q$1)*12-$P$1+1+MONTH(B2502)))</f>
        <v>0</v>
      </c>
      <c r="Q2502" s="402">
        <f t="shared" si="2500"/>
        <v>0</v>
      </c>
      <c r="R2502" s="356" t="e">
        <f t="shared" si="1325"/>
        <v>#N/A</v>
      </c>
      <c r="S2502" s="269" t="str">
        <f>IF(D2502="","",IF(OR(D2502=Plano!$A$1,D2502=Plano!$B$1),"entrada","saída"))</f>
        <v/>
      </c>
      <c r="T2502" s="269"/>
      <c r="U2502" s="269"/>
      <c r="V2502" s="269"/>
      <c r="W2502" s="269"/>
    </row>
    <row r="2503" spans="1:23" ht="12.75" customHeight="1" x14ac:dyDescent="0.2">
      <c r="A2503" s="289" t="str">
        <f t="shared" si="0"/>
        <v/>
      </c>
      <c r="B2503" s="290"/>
      <c r="C2503" s="404"/>
      <c r="D2503" s="291"/>
      <c r="E2503" s="291"/>
      <c r="F2503" s="292"/>
      <c r="G2503" s="291"/>
      <c r="H2503" s="291"/>
      <c r="I2503" s="293"/>
      <c r="J2503" s="291"/>
      <c r="K2503" s="291"/>
      <c r="L2503" s="293"/>
      <c r="M2503" s="291"/>
      <c r="N2503" s="289"/>
      <c r="O2503" s="358"/>
      <c r="P2503" s="402">
        <f t="shared" ref="P2503:Q2503" si="2501">IF(B2503=0,0,IF(YEAR(B2503)=$Q$1,MONTH(B2503)-$P$1+1,(YEAR(B2503)-$Q$1)*12-$P$1+1+MONTH(B2503)))</f>
        <v>0</v>
      </c>
      <c r="Q2503" s="402">
        <f t="shared" si="2501"/>
        <v>0</v>
      </c>
      <c r="R2503" s="356" t="e">
        <f t="shared" si="1325"/>
        <v>#N/A</v>
      </c>
      <c r="S2503" s="269" t="str">
        <f>IF(D2503="","",IF(OR(D2503=Plano!$A$1,D2503=Plano!$B$1),"entrada","saída"))</f>
        <v/>
      </c>
      <c r="T2503" s="269"/>
      <c r="U2503" s="269"/>
      <c r="V2503" s="269"/>
      <c r="W2503" s="269"/>
    </row>
    <row r="2504" spans="1:23" ht="12.75" customHeight="1" x14ac:dyDescent="0.2">
      <c r="A2504" s="289" t="str">
        <f t="shared" si="0"/>
        <v/>
      </c>
      <c r="B2504" s="290"/>
      <c r="C2504" s="404"/>
      <c r="D2504" s="291"/>
      <c r="E2504" s="291"/>
      <c r="F2504" s="292"/>
      <c r="G2504" s="291"/>
      <c r="H2504" s="291"/>
      <c r="I2504" s="293"/>
      <c r="J2504" s="291"/>
      <c r="K2504" s="291"/>
      <c r="L2504" s="293"/>
      <c r="M2504" s="291"/>
      <c r="N2504" s="289"/>
      <c r="O2504" s="358"/>
      <c r="P2504" s="402">
        <f t="shared" ref="P2504:Q2504" si="2502">IF(B2504=0,0,IF(YEAR(B2504)=$Q$1,MONTH(B2504)-$P$1+1,(YEAR(B2504)-$Q$1)*12-$P$1+1+MONTH(B2504)))</f>
        <v>0</v>
      </c>
      <c r="Q2504" s="402">
        <f t="shared" si="2502"/>
        <v>0</v>
      </c>
      <c r="R2504" s="356" t="e">
        <f t="shared" si="1325"/>
        <v>#N/A</v>
      </c>
      <c r="S2504" s="269" t="str">
        <f>IF(D2504="","",IF(OR(D2504=Plano!$A$1,D2504=Plano!$B$1),"entrada","saída"))</f>
        <v/>
      </c>
      <c r="T2504" s="269"/>
      <c r="U2504" s="269"/>
      <c r="V2504" s="269"/>
      <c r="W2504" s="269"/>
    </row>
    <row r="2505" spans="1:23" ht="12.75" customHeight="1" x14ac:dyDescent="0.2">
      <c r="A2505" s="289" t="str">
        <f t="shared" si="0"/>
        <v/>
      </c>
      <c r="B2505" s="290"/>
      <c r="C2505" s="404"/>
      <c r="D2505" s="291"/>
      <c r="E2505" s="291"/>
      <c r="F2505" s="292"/>
      <c r="G2505" s="291"/>
      <c r="H2505" s="291"/>
      <c r="I2505" s="293"/>
      <c r="J2505" s="291"/>
      <c r="K2505" s="291"/>
      <c r="L2505" s="293"/>
      <c r="M2505" s="291"/>
      <c r="N2505" s="289"/>
      <c r="O2505" s="358"/>
      <c r="P2505" s="402">
        <f t="shared" ref="P2505:Q2505" si="2503">IF(B2505=0,0,IF(YEAR(B2505)=$Q$1,MONTH(B2505)-$P$1+1,(YEAR(B2505)-$Q$1)*12-$P$1+1+MONTH(B2505)))</f>
        <v>0</v>
      </c>
      <c r="Q2505" s="402">
        <f t="shared" si="2503"/>
        <v>0</v>
      </c>
      <c r="R2505" s="356" t="e">
        <f t="shared" si="1325"/>
        <v>#N/A</v>
      </c>
      <c r="S2505" s="269" t="str">
        <f>IF(D2505="","",IF(OR(D2505=Plano!$A$1,D2505=Plano!$B$1),"entrada","saída"))</f>
        <v/>
      </c>
      <c r="T2505" s="269"/>
      <c r="U2505" s="269"/>
      <c r="V2505" s="269"/>
      <c r="W2505" s="269"/>
    </row>
    <row r="2506" spans="1:23" ht="12.75" customHeight="1" x14ac:dyDescent="0.2">
      <c r="A2506" s="289" t="str">
        <f t="shared" si="0"/>
        <v/>
      </c>
      <c r="B2506" s="290"/>
      <c r="C2506" s="404"/>
      <c r="D2506" s="291"/>
      <c r="E2506" s="291"/>
      <c r="F2506" s="292"/>
      <c r="G2506" s="291"/>
      <c r="H2506" s="291"/>
      <c r="I2506" s="293"/>
      <c r="J2506" s="291"/>
      <c r="K2506" s="291"/>
      <c r="L2506" s="293"/>
      <c r="M2506" s="291"/>
      <c r="N2506" s="289"/>
      <c r="O2506" s="358"/>
      <c r="P2506" s="402">
        <f t="shared" ref="P2506:Q2506" si="2504">IF(B2506=0,0,IF(YEAR(B2506)=$Q$1,MONTH(B2506)-$P$1+1,(YEAR(B2506)-$Q$1)*12-$P$1+1+MONTH(B2506)))</f>
        <v>0</v>
      </c>
      <c r="Q2506" s="402">
        <f t="shared" si="2504"/>
        <v>0</v>
      </c>
      <c r="R2506" s="356" t="e">
        <f t="shared" si="1325"/>
        <v>#N/A</v>
      </c>
      <c r="S2506" s="269" t="str">
        <f>IF(D2506="","",IF(OR(D2506=Plano!$A$1,D2506=Plano!$B$1),"entrada","saída"))</f>
        <v/>
      </c>
      <c r="T2506" s="269"/>
      <c r="U2506" s="269"/>
      <c r="V2506" s="269"/>
      <c r="W2506" s="269"/>
    </row>
    <row r="2507" spans="1:23" ht="12.75" customHeight="1" x14ac:dyDescent="0.2">
      <c r="A2507" s="289" t="str">
        <f t="shared" si="0"/>
        <v/>
      </c>
      <c r="B2507" s="290"/>
      <c r="C2507" s="404"/>
      <c r="D2507" s="291"/>
      <c r="E2507" s="291"/>
      <c r="F2507" s="292"/>
      <c r="G2507" s="291"/>
      <c r="H2507" s="291"/>
      <c r="I2507" s="293"/>
      <c r="J2507" s="291"/>
      <c r="K2507" s="291"/>
      <c r="L2507" s="293"/>
      <c r="M2507" s="291"/>
      <c r="N2507" s="289"/>
      <c r="O2507" s="358"/>
      <c r="P2507" s="402">
        <f t="shared" ref="P2507:Q2507" si="2505">IF(B2507=0,0,IF(YEAR(B2507)=$Q$1,MONTH(B2507)-$P$1+1,(YEAR(B2507)-$Q$1)*12-$P$1+1+MONTH(B2507)))</f>
        <v>0</v>
      </c>
      <c r="Q2507" s="402">
        <f t="shared" si="2505"/>
        <v>0</v>
      </c>
      <c r="R2507" s="356" t="e">
        <f t="shared" si="1325"/>
        <v>#N/A</v>
      </c>
      <c r="S2507" s="269" t="str">
        <f>IF(D2507="","",IF(OR(D2507=Plano!$A$1,D2507=Plano!$B$1),"entrada","saída"))</f>
        <v/>
      </c>
      <c r="T2507" s="269"/>
      <c r="U2507" s="269"/>
      <c r="V2507" s="269"/>
      <c r="W2507" s="269"/>
    </row>
    <row r="2508" spans="1:23" ht="12.75" customHeight="1" x14ac:dyDescent="0.2">
      <c r="A2508" s="289" t="str">
        <f t="shared" si="0"/>
        <v/>
      </c>
      <c r="B2508" s="290"/>
      <c r="C2508" s="404"/>
      <c r="D2508" s="291"/>
      <c r="E2508" s="291"/>
      <c r="F2508" s="292"/>
      <c r="G2508" s="291"/>
      <c r="H2508" s="291"/>
      <c r="I2508" s="293"/>
      <c r="J2508" s="291"/>
      <c r="K2508" s="291"/>
      <c r="L2508" s="293"/>
      <c r="M2508" s="291"/>
      <c r="N2508" s="289"/>
      <c r="O2508" s="358"/>
      <c r="P2508" s="402">
        <f t="shared" ref="P2508:Q2508" si="2506">IF(B2508=0,0,IF(YEAR(B2508)=$Q$1,MONTH(B2508)-$P$1+1,(YEAR(B2508)-$Q$1)*12-$P$1+1+MONTH(B2508)))</f>
        <v>0</v>
      </c>
      <c r="Q2508" s="402">
        <f t="shared" si="2506"/>
        <v>0</v>
      </c>
      <c r="R2508" s="356" t="e">
        <f t="shared" si="1325"/>
        <v>#N/A</v>
      </c>
      <c r="S2508" s="269" t="str">
        <f>IF(D2508="","",IF(OR(D2508=Plano!$A$1,D2508=Plano!$B$1),"entrada","saída"))</f>
        <v/>
      </c>
      <c r="T2508" s="269"/>
      <c r="U2508" s="269"/>
      <c r="V2508" s="269"/>
      <c r="W2508" s="269"/>
    </row>
    <row r="2509" spans="1:23" ht="12.75" customHeight="1" x14ac:dyDescent="0.2">
      <c r="A2509" s="289" t="str">
        <f t="shared" si="0"/>
        <v/>
      </c>
      <c r="B2509" s="290"/>
      <c r="C2509" s="404"/>
      <c r="D2509" s="291"/>
      <c r="E2509" s="291"/>
      <c r="F2509" s="292"/>
      <c r="G2509" s="291"/>
      <c r="H2509" s="291"/>
      <c r="I2509" s="293"/>
      <c r="J2509" s="291"/>
      <c r="K2509" s="291"/>
      <c r="L2509" s="293"/>
      <c r="M2509" s="291"/>
      <c r="N2509" s="289"/>
      <c r="O2509" s="358"/>
      <c r="P2509" s="402">
        <f t="shared" ref="P2509:Q2509" si="2507">IF(B2509=0,0,IF(YEAR(B2509)=$Q$1,MONTH(B2509)-$P$1+1,(YEAR(B2509)-$Q$1)*12-$P$1+1+MONTH(B2509)))</f>
        <v>0</v>
      </c>
      <c r="Q2509" s="402">
        <f t="shared" si="2507"/>
        <v>0</v>
      </c>
      <c r="R2509" s="356" t="e">
        <f t="shared" si="1325"/>
        <v>#N/A</v>
      </c>
      <c r="S2509" s="269" t="str">
        <f>IF(D2509="","",IF(OR(D2509=Plano!$A$1,D2509=Plano!$B$1),"entrada","saída"))</f>
        <v/>
      </c>
      <c r="T2509" s="269"/>
      <c r="U2509" s="269"/>
      <c r="V2509" s="269"/>
      <c r="W2509" s="269"/>
    </row>
    <row r="2510" spans="1:23" ht="12.75" customHeight="1" x14ac:dyDescent="0.2">
      <c r="A2510" s="289" t="str">
        <f t="shared" si="0"/>
        <v/>
      </c>
      <c r="B2510" s="290"/>
      <c r="C2510" s="404"/>
      <c r="D2510" s="291"/>
      <c r="E2510" s="291"/>
      <c r="F2510" s="292"/>
      <c r="G2510" s="291"/>
      <c r="H2510" s="291"/>
      <c r="I2510" s="293"/>
      <c r="J2510" s="291"/>
      <c r="K2510" s="291"/>
      <c r="L2510" s="293"/>
      <c r="M2510" s="291"/>
      <c r="N2510" s="289"/>
      <c r="O2510" s="358"/>
      <c r="P2510" s="402">
        <f t="shared" ref="P2510:Q2510" si="2508">IF(B2510=0,0,IF(YEAR(B2510)=$Q$1,MONTH(B2510)-$P$1+1,(YEAR(B2510)-$Q$1)*12-$P$1+1+MONTH(B2510)))</f>
        <v>0</v>
      </c>
      <c r="Q2510" s="402">
        <f t="shared" si="2508"/>
        <v>0</v>
      </c>
      <c r="R2510" s="356" t="e">
        <f t="shared" si="1325"/>
        <v>#N/A</v>
      </c>
      <c r="S2510" s="269" t="str">
        <f>IF(D2510="","",IF(OR(D2510=Plano!$A$1,D2510=Plano!$B$1),"entrada","saída"))</f>
        <v/>
      </c>
      <c r="T2510" s="269"/>
      <c r="U2510" s="269"/>
      <c r="V2510" s="269"/>
      <c r="W2510" s="269"/>
    </row>
    <row r="2511" spans="1:23" ht="12.75" customHeight="1" x14ac:dyDescent="0.2">
      <c r="A2511" s="289" t="str">
        <f t="shared" si="0"/>
        <v/>
      </c>
      <c r="B2511" s="290"/>
      <c r="C2511" s="404"/>
      <c r="D2511" s="291"/>
      <c r="E2511" s="291"/>
      <c r="F2511" s="292"/>
      <c r="G2511" s="291"/>
      <c r="H2511" s="291"/>
      <c r="I2511" s="293"/>
      <c r="J2511" s="291"/>
      <c r="K2511" s="291"/>
      <c r="L2511" s="293"/>
      <c r="M2511" s="291"/>
      <c r="N2511" s="289"/>
      <c r="O2511" s="358"/>
      <c r="P2511" s="402">
        <f t="shared" ref="P2511:Q2511" si="2509">IF(B2511=0,0,IF(YEAR(B2511)=$Q$1,MONTH(B2511)-$P$1+1,(YEAR(B2511)-$Q$1)*12-$P$1+1+MONTH(B2511)))</f>
        <v>0</v>
      </c>
      <c r="Q2511" s="402">
        <f t="shared" si="2509"/>
        <v>0</v>
      </c>
      <c r="R2511" s="356" t="e">
        <f t="shared" si="1325"/>
        <v>#N/A</v>
      </c>
      <c r="S2511" s="269" t="str">
        <f>IF(D2511="","",IF(OR(D2511=Plano!$A$1,D2511=Plano!$B$1),"entrada","saída"))</f>
        <v/>
      </c>
      <c r="T2511" s="269"/>
      <c r="U2511" s="269"/>
      <c r="V2511" s="269"/>
      <c r="W2511" s="269"/>
    </row>
    <row r="2512" spans="1:23" ht="12.75" customHeight="1" x14ac:dyDescent="0.2">
      <c r="A2512" s="289" t="str">
        <f t="shared" si="0"/>
        <v/>
      </c>
      <c r="B2512" s="290"/>
      <c r="C2512" s="404"/>
      <c r="D2512" s="291"/>
      <c r="E2512" s="291"/>
      <c r="F2512" s="292"/>
      <c r="G2512" s="291"/>
      <c r="H2512" s="291"/>
      <c r="I2512" s="293"/>
      <c r="J2512" s="291"/>
      <c r="K2512" s="291"/>
      <c r="L2512" s="293"/>
      <c r="M2512" s="291"/>
      <c r="N2512" s="289"/>
      <c r="O2512" s="358"/>
      <c r="P2512" s="402">
        <f t="shared" ref="P2512:Q2512" si="2510">IF(B2512=0,0,IF(YEAR(B2512)=$Q$1,MONTH(B2512)-$P$1+1,(YEAR(B2512)-$Q$1)*12-$P$1+1+MONTH(B2512)))</f>
        <v>0</v>
      </c>
      <c r="Q2512" s="402">
        <f t="shared" si="2510"/>
        <v>0</v>
      </c>
      <c r="R2512" s="356" t="e">
        <f t="shared" si="1325"/>
        <v>#N/A</v>
      </c>
      <c r="S2512" s="269" t="str">
        <f>IF(D2512="","",IF(OR(D2512=Plano!$A$1,D2512=Plano!$B$1),"entrada","saída"))</f>
        <v/>
      </c>
      <c r="T2512" s="269"/>
      <c r="U2512" s="269"/>
      <c r="V2512" s="269"/>
      <c r="W2512" s="269"/>
    </row>
    <row r="2513" spans="1:23" ht="12.75" customHeight="1" x14ac:dyDescent="0.2">
      <c r="A2513" s="289" t="str">
        <f t="shared" si="0"/>
        <v/>
      </c>
      <c r="B2513" s="290"/>
      <c r="C2513" s="404"/>
      <c r="D2513" s="291"/>
      <c r="E2513" s="291"/>
      <c r="F2513" s="292"/>
      <c r="G2513" s="291"/>
      <c r="H2513" s="291"/>
      <c r="I2513" s="293"/>
      <c r="J2513" s="291"/>
      <c r="K2513" s="291"/>
      <c r="L2513" s="293"/>
      <c r="M2513" s="291"/>
      <c r="N2513" s="289"/>
      <c r="O2513" s="358"/>
      <c r="P2513" s="402">
        <f t="shared" ref="P2513:Q2513" si="2511">IF(B2513=0,0,IF(YEAR(B2513)=$Q$1,MONTH(B2513)-$P$1+1,(YEAR(B2513)-$Q$1)*12-$P$1+1+MONTH(B2513)))</f>
        <v>0</v>
      </c>
      <c r="Q2513" s="402">
        <f t="shared" si="2511"/>
        <v>0</v>
      </c>
      <c r="R2513" s="356" t="e">
        <f t="shared" si="1325"/>
        <v>#N/A</v>
      </c>
      <c r="S2513" s="269" t="str">
        <f>IF(D2513="","",IF(OR(D2513=Plano!$A$1,D2513=Plano!$B$1),"entrada","saída"))</f>
        <v/>
      </c>
      <c r="T2513" s="269"/>
      <c r="U2513" s="269"/>
      <c r="V2513" s="269"/>
      <c r="W2513" s="269"/>
    </row>
    <row r="2514" spans="1:23" ht="12.75" customHeight="1" x14ac:dyDescent="0.2">
      <c r="A2514" s="289" t="str">
        <f t="shared" si="0"/>
        <v/>
      </c>
      <c r="B2514" s="290"/>
      <c r="C2514" s="404"/>
      <c r="D2514" s="291"/>
      <c r="E2514" s="291"/>
      <c r="F2514" s="292"/>
      <c r="G2514" s="291"/>
      <c r="H2514" s="291"/>
      <c r="I2514" s="293"/>
      <c r="J2514" s="291"/>
      <c r="K2514" s="291"/>
      <c r="L2514" s="293"/>
      <c r="M2514" s="291"/>
      <c r="N2514" s="289"/>
      <c r="O2514" s="358"/>
      <c r="P2514" s="402">
        <f t="shared" ref="P2514:Q2514" si="2512">IF(B2514=0,0,IF(YEAR(B2514)=$Q$1,MONTH(B2514)-$P$1+1,(YEAR(B2514)-$Q$1)*12-$P$1+1+MONTH(B2514)))</f>
        <v>0</v>
      </c>
      <c r="Q2514" s="402">
        <f t="shared" si="2512"/>
        <v>0</v>
      </c>
      <c r="R2514" s="356" t="e">
        <f t="shared" si="1325"/>
        <v>#N/A</v>
      </c>
      <c r="S2514" s="269" t="str">
        <f>IF(D2514="","",IF(OR(D2514=Plano!$A$1,D2514=Plano!$B$1),"entrada","saída"))</f>
        <v/>
      </c>
      <c r="T2514" s="269"/>
      <c r="U2514" s="269"/>
      <c r="V2514" s="269"/>
      <c r="W2514" s="269"/>
    </row>
    <row r="2515" spans="1:23" ht="12.75" customHeight="1" x14ac:dyDescent="0.2">
      <c r="A2515" s="289" t="str">
        <f t="shared" si="0"/>
        <v/>
      </c>
      <c r="B2515" s="290"/>
      <c r="C2515" s="404"/>
      <c r="D2515" s="291"/>
      <c r="E2515" s="291"/>
      <c r="F2515" s="292"/>
      <c r="G2515" s="291"/>
      <c r="H2515" s="291"/>
      <c r="I2515" s="293"/>
      <c r="J2515" s="291"/>
      <c r="K2515" s="291"/>
      <c r="L2515" s="293"/>
      <c r="M2515" s="291"/>
      <c r="N2515" s="289"/>
      <c r="O2515" s="358"/>
      <c r="P2515" s="402">
        <f t="shared" ref="P2515:Q2515" si="2513">IF(B2515=0,0,IF(YEAR(B2515)=$Q$1,MONTH(B2515)-$P$1+1,(YEAR(B2515)-$Q$1)*12-$P$1+1+MONTH(B2515)))</f>
        <v>0</v>
      </c>
      <c r="Q2515" s="402">
        <f t="shared" si="2513"/>
        <v>0</v>
      </c>
      <c r="R2515" s="356" t="e">
        <f t="shared" si="1325"/>
        <v>#N/A</v>
      </c>
      <c r="S2515" s="269" t="str">
        <f>IF(D2515="","",IF(OR(D2515=Plano!$A$1,D2515=Plano!$B$1),"entrada","saída"))</f>
        <v/>
      </c>
      <c r="T2515" s="269"/>
      <c r="U2515" s="269"/>
      <c r="V2515" s="269"/>
      <c r="W2515" s="269"/>
    </row>
    <row r="2516" spans="1:23" ht="12.75" customHeight="1" x14ac:dyDescent="0.2">
      <c r="A2516" s="289" t="str">
        <f t="shared" si="0"/>
        <v/>
      </c>
      <c r="B2516" s="290"/>
      <c r="C2516" s="404"/>
      <c r="D2516" s="291"/>
      <c r="E2516" s="291"/>
      <c r="F2516" s="292"/>
      <c r="G2516" s="291"/>
      <c r="H2516" s="291"/>
      <c r="I2516" s="293"/>
      <c r="J2516" s="291"/>
      <c r="K2516" s="291"/>
      <c r="L2516" s="293"/>
      <c r="M2516" s="291"/>
      <c r="N2516" s="289"/>
      <c r="O2516" s="358"/>
      <c r="P2516" s="402">
        <f t="shared" ref="P2516:Q2516" si="2514">IF(B2516=0,0,IF(YEAR(B2516)=$Q$1,MONTH(B2516)-$P$1+1,(YEAR(B2516)-$Q$1)*12-$P$1+1+MONTH(B2516)))</f>
        <v>0</v>
      </c>
      <c r="Q2516" s="402">
        <f t="shared" si="2514"/>
        <v>0</v>
      </c>
      <c r="R2516" s="356" t="e">
        <f t="shared" si="1325"/>
        <v>#N/A</v>
      </c>
      <c r="S2516" s="269" t="str">
        <f>IF(D2516="","",IF(OR(D2516=Plano!$A$1,D2516=Plano!$B$1),"entrada","saída"))</f>
        <v/>
      </c>
      <c r="T2516" s="269"/>
      <c r="U2516" s="269"/>
      <c r="V2516" s="269"/>
      <c r="W2516" s="269"/>
    </row>
    <row r="2517" spans="1:23" ht="12.75" customHeight="1" x14ac:dyDescent="0.2">
      <c r="A2517" s="289" t="str">
        <f t="shared" si="0"/>
        <v/>
      </c>
      <c r="B2517" s="290"/>
      <c r="C2517" s="404"/>
      <c r="D2517" s="291"/>
      <c r="E2517" s="291"/>
      <c r="F2517" s="292"/>
      <c r="G2517" s="291"/>
      <c r="H2517" s="291"/>
      <c r="I2517" s="293"/>
      <c r="J2517" s="291"/>
      <c r="K2517" s="291"/>
      <c r="L2517" s="293"/>
      <c r="M2517" s="291"/>
      <c r="N2517" s="289"/>
      <c r="O2517" s="358"/>
      <c r="P2517" s="402">
        <f t="shared" ref="P2517:Q2517" si="2515">IF(B2517=0,0,IF(YEAR(B2517)=$Q$1,MONTH(B2517)-$P$1+1,(YEAR(B2517)-$Q$1)*12-$P$1+1+MONTH(B2517)))</f>
        <v>0</v>
      </c>
      <c r="Q2517" s="402">
        <f t="shared" si="2515"/>
        <v>0</v>
      </c>
      <c r="R2517" s="356" t="e">
        <f t="shared" si="1325"/>
        <v>#N/A</v>
      </c>
      <c r="S2517" s="269" t="str">
        <f>IF(D2517="","",IF(OR(D2517=Plano!$A$1,D2517=Plano!$B$1),"entrada","saída"))</f>
        <v/>
      </c>
      <c r="T2517" s="269"/>
      <c r="U2517" s="269"/>
      <c r="V2517" s="269"/>
      <c r="W2517" s="269"/>
    </row>
    <row r="2518" spans="1:23" ht="12.75" customHeight="1" x14ac:dyDescent="0.2">
      <c r="A2518" s="289" t="str">
        <f t="shared" si="0"/>
        <v/>
      </c>
      <c r="B2518" s="290"/>
      <c r="C2518" s="404"/>
      <c r="D2518" s="291"/>
      <c r="E2518" s="291"/>
      <c r="F2518" s="292"/>
      <c r="G2518" s="291"/>
      <c r="H2518" s="291"/>
      <c r="I2518" s="293"/>
      <c r="J2518" s="291"/>
      <c r="K2518" s="291"/>
      <c r="L2518" s="293"/>
      <c r="M2518" s="291"/>
      <c r="N2518" s="289"/>
      <c r="O2518" s="358"/>
      <c r="P2518" s="402">
        <f t="shared" ref="P2518:Q2518" si="2516">IF(B2518=0,0,IF(YEAR(B2518)=$Q$1,MONTH(B2518)-$P$1+1,(YEAR(B2518)-$Q$1)*12-$P$1+1+MONTH(B2518)))</f>
        <v>0</v>
      </c>
      <c r="Q2518" s="402">
        <f t="shared" si="2516"/>
        <v>0</v>
      </c>
      <c r="R2518" s="356" t="e">
        <f t="shared" si="1325"/>
        <v>#N/A</v>
      </c>
      <c r="S2518" s="269" t="str">
        <f>IF(D2518="","",IF(OR(D2518=Plano!$A$1,D2518=Plano!$B$1),"entrada","saída"))</f>
        <v/>
      </c>
      <c r="T2518" s="269"/>
      <c r="U2518" s="269"/>
      <c r="V2518" s="269"/>
      <c r="W2518" s="269"/>
    </row>
    <row r="2519" spans="1:23" ht="12.75" customHeight="1" x14ac:dyDescent="0.2">
      <c r="A2519" s="289" t="str">
        <f t="shared" si="0"/>
        <v/>
      </c>
      <c r="B2519" s="290"/>
      <c r="C2519" s="404"/>
      <c r="D2519" s="291"/>
      <c r="E2519" s="291"/>
      <c r="F2519" s="292"/>
      <c r="G2519" s="291"/>
      <c r="H2519" s="291"/>
      <c r="I2519" s="293"/>
      <c r="J2519" s="291"/>
      <c r="K2519" s="291"/>
      <c r="L2519" s="293"/>
      <c r="M2519" s="291"/>
      <c r="N2519" s="289"/>
      <c r="O2519" s="358"/>
      <c r="P2519" s="402">
        <f t="shared" ref="P2519:Q2519" si="2517">IF(B2519=0,0,IF(YEAR(B2519)=$Q$1,MONTH(B2519)-$P$1+1,(YEAR(B2519)-$Q$1)*12-$P$1+1+MONTH(B2519)))</f>
        <v>0</v>
      </c>
      <c r="Q2519" s="402">
        <f t="shared" si="2517"/>
        <v>0</v>
      </c>
      <c r="R2519" s="356" t="e">
        <f t="shared" si="1325"/>
        <v>#N/A</v>
      </c>
      <c r="S2519" s="269" t="str">
        <f>IF(D2519="","",IF(OR(D2519=Plano!$A$1,D2519=Plano!$B$1),"entrada","saída"))</f>
        <v/>
      </c>
      <c r="T2519" s="269"/>
      <c r="U2519" s="269"/>
      <c r="V2519" s="269"/>
      <c r="W2519" s="269"/>
    </row>
    <row r="2520" spans="1:23" ht="12.75" customHeight="1" x14ac:dyDescent="0.2">
      <c r="A2520" s="289" t="str">
        <f t="shared" si="0"/>
        <v/>
      </c>
      <c r="B2520" s="290"/>
      <c r="C2520" s="404"/>
      <c r="D2520" s="291"/>
      <c r="E2520" s="291"/>
      <c r="F2520" s="292"/>
      <c r="G2520" s="291"/>
      <c r="H2520" s="291"/>
      <c r="I2520" s="293"/>
      <c r="J2520" s="291"/>
      <c r="K2520" s="291"/>
      <c r="L2520" s="293"/>
      <c r="M2520" s="291"/>
      <c r="N2520" s="289"/>
      <c r="O2520" s="358"/>
      <c r="P2520" s="402">
        <f t="shared" ref="P2520:Q2520" si="2518">IF(B2520=0,0,IF(YEAR(B2520)=$Q$1,MONTH(B2520)-$P$1+1,(YEAR(B2520)-$Q$1)*12-$P$1+1+MONTH(B2520)))</f>
        <v>0</v>
      </c>
      <c r="Q2520" s="402">
        <f t="shared" si="2518"/>
        <v>0</v>
      </c>
      <c r="R2520" s="356" t="e">
        <f t="shared" si="1325"/>
        <v>#N/A</v>
      </c>
      <c r="S2520" s="269" t="str">
        <f>IF(D2520="","",IF(OR(D2520=Plano!$A$1,D2520=Plano!$B$1),"entrada","saída"))</f>
        <v/>
      </c>
      <c r="T2520" s="269"/>
      <c r="U2520" s="269"/>
      <c r="V2520" s="269"/>
      <c r="W2520" s="269"/>
    </row>
    <row r="2521" spans="1:23" ht="12.75" customHeight="1" x14ac:dyDescent="0.2">
      <c r="A2521" s="289" t="str">
        <f t="shared" si="0"/>
        <v/>
      </c>
      <c r="B2521" s="290"/>
      <c r="C2521" s="404"/>
      <c r="D2521" s="291"/>
      <c r="E2521" s="291"/>
      <c r="F2521" s="292"/>
      <c r="G2521" s="291"/>
      <c r="H2521" s="291"/>
      <c r="I2521" s="293"/>
      <c r="J2521" s="291"/>
      <c r="K2521" s="291"/>
      <c r="L2521" s="293"/>
      <c r="M2521" s="291"/>
      <c r="N2521" s="289"/>
      <c r="O2521" s="358"/>
      <c r="P2521" s="402">
        <f t="shared" ref="P2521:Q2521" si="2519">IF(B2521=0,0,IF(YEAR(B2521)=$Q$1,MONTH(B2521)-$P$1+1,(YEAR(B2521)-$Q$1)*12-$P$1+1+MONTH(B2521)))</f>
        <v>0</v>
      </c>
      <c r="Q2521" s="402">
        <f t="shared" si="2519"/>
        <v>0</v>
      </c>
      <c r="R2521" s="356" t="e">
        <f t="shared" si="1325"/>
        <v>#N/A</v>
      </c>
      <c r="S2521" s="269" t="str">
        <f>IF(D2521="","",IF(OR(D2521=Plano!$A$1,D2521=Plano!$B$1),"entrada","saída"))</f>
        <v/>
      </c>
      <c r="T2521" s="269"/>
      <c r="U2521" s="269"/>
      <c r="V2521" s="269"/>
      <c r="W2521" s="269"/>
    </row>
    <row r="2522" spans="1:23" ht="12.75" customHeight="1" x14ac:dyDescent="0.2">
      <c r="A2522" s="289" t="str">
        <f t="shared" si="0"/>
        <v/>
      </c>
      <c r="B2522" s="290"/>
      <c r="C2522" s="404"/>
      <c r="D2522" s="291"/>
      <c r="E2522" s="291"/>
      <c r="F2522" s="292"/>
      <c r="G2522" s="291"/>
      <c r="H2522" s="291"/>
      <c r="I2522" s="293"/>
      <c r="J2522" s="291"/>
      <c r="K2522" s="291"/>
      <c r="L2522" s="293"/>
      <c r="M2522" s="291"/>
      <c r="N2522" s="289"/>
      <c r="O2522" s="358"/>
      <c r="P2522" s="402">
        <f t="shared" ref="P2522:Q2522" si="2520">IF(B2522=0,0,IF(YEAR(B2522)=$Q$1,MONTH(B2522)-$P$1+1,(YEAR(B2522)-$Q$1)*12-$P$1+1+MONTH(B2522)))</f>
        <v>0</v>
      </c>
      <c r="Q2522" s="402">
        <f t="shared" si="2520"/>
        <v>0</v>
      </c>
      <c r="R2522" s="356" t="e">
        <f t="shared" si="1325"/>
        <v>#N/A</v>
      </c>
      <c r="S2522" s="269" t="str">
        <f>IF(D2522="","",IF(OR(D2522=Plano!$A$1,D2522=Plano!$B$1),"entrada","saída"))</f>
        <v/>
      </c>
      <c r="T2522" s="269"/>
      <c r="U2522" s="269"/>
      <c r="V2522" s="269"/>
      <c r="W2522" s="269"/>
    </row>
    <row r="2523" spans="1:23" ht="12.75" customHeight="1" x14ac:dyDescent="0.2">
      <c r="A2523" s="289" t="str">
        <f t="shared" si="0"/>
        <v/>
      </c>
      <c r="B2523" s="290"/>
      <c r="C2523" s="404"/>
      <c r="D2523" s="291"/>
      <c r="E2523" s="291"/>
      <c r="F2523" s="292"/>
      <c r="G2523" s="291"/>
      <c r="H2523" s="291"/>
      <c r="I2523" s="293"/>
      <c r="J2523" s="291"/>
      <c r="K2523" s="291"/>
      <c r="L2523" s="293"/>
      <c r="M2523" s="291"/>
      <c r="N2523" s="289"/>
      <c r="O2523" s="358"/>
      <c r="P2523" s="402">
        <f t="shared" ref="P2523:Q2523" si="2521">IF(B2523=0,0,IF(YEAR(B2523)=$Q$1,MONTH(B2523)-$P$1+1,(YEAR(B2523)-$Q$1)*12-$P$1+1+MONTH(B2523)))</f>
        <v>0</v>
      </c>
      <c r="Q2523" s="402">
        <f t="shared" si="2521"/>
        <v>0</v>
      </c>
      <c r="R2523" s="356" t="e">
        <f t="shared" si="1325"/>
        <v>#N/A</v>
      </c>
      <c r="S2523" s="269" t="str">
        <f>IF(D2523="","",IF(OR(D2523=Plano!$A$1,D2523=Plano!$B$1),"entrada","saída"))</f>
        <v/>
      </c>
      <c r="T2523" s="269"/>
      <c r="U2523" s="269"/>
      <c r="V2523" s="269"/>
      <c r="W2523" s="269"/>
    </row>
    <row r="2524" spans="1:23" ht="12.75" customHeight="1" x14ac:dyDescent="0.2">
      <c r="A2524" s="289" t="str">
        <f t="shared" si="0"/>
        <v/>
      </c>
      <c r="B2524" s="290"/>
      <c r="C2524" s="404"/>
      <c r="D2524" s="291"/>
      <c r="E2524" s="291"/>
      <c r="F2524" s="292"/>
      <c r="G2524" s="291"/>
      <c r="H2524" s="291"/>
      <c r="I2524" s="293"/>
      <c r="J2524" s="291"/>
      <c r="K2524" s="291"/>
      <c r="L2524" s="293"/>
      <c r="M2524" s="291"/>
      <c r="N2524" s="289"/>
      <c r="O2524" s="358"/>
      <c r="P2524" s="402">
        <f t="shared" ref="P2524:Q2524" si="2522">IF(B2524=0,0,IF(YEAR(B2524)=$Q$1,MONTH(B2524)-$P$1+1,(YEAR(B2524)-$Q$1)*12-$P$1+1+MONTH(B2524)))</f>
        <v>0</v>
      </c>
      <c r="Q2524" s="402">
        <f t="shared" si="2522"/>
        <v>0</v>
      </c>
      <c r="R2524" s="356" t="e">
        <f t="shared" si="1325"/>
        <v>#N/A</v>
      </c>
      <c r="S2524" s="269" t="str">
        <f>IF(D2524="","",IF(OR(D2524=Plano!$A$1,D2524=Plano!$B$1),"entrada","saída"))</f>
        <v/>
      </c>
      <c r="T2524" s="269"/>
      <c r="U2524" s="269"/>
      <c r="V2524" s="269"/>
      <c r="W2524" s="269"/>
    </row>
    <row r="2525" spans="1:23" ht="12.75" customHeight="1" x14ac:dyDescent="0.2">
      <c r="A2525" s="289" t="str">
        <f t="shared" si="0"/>
        <v/>
      </c>
      <c r="B2525" s="290"/>
      <c r="C2525" s="404"/>
      <c r="D2525" s="291"/>
      <c r="E2525" s="291"/>
      <c r="F2525" s="292"/>
      <c r="G2525" s="291"/>
      <c r="H2525" s="291"/>
      <c r="I2525" s="293"/>
      <c r="J2525" s="291"/>
      <c r="K2525" s="291"/>
      <c r="L2525" s="293"/>
      <c r="M2525" s="291"/>
      <c r="N2525" s="289"/>
      <c r="O2525" s="358"/>
      <c r="P2525" s="402">
        <f t="shared" ref="P2525:Q2525" si="2523">IF(B2525=0,0,IF(YEAR(B2525)=$Q$1,MONTH(B2525)-$P$1+1,(YEAR(B2525)-$Q$1)*12-$P$1+1+MONTH(B2525)))</f>
        <v>0</v>
      </c>
      <c r="Q2525" s="402">
        <f t="shared" si="2523"/>
        <v>0</v>
      </c>
      <c r="R2525" s="356" t="e">
        <f t="shared" si="1325"/>
        <v>#N/A</v>
      </c>
      <c r="S2525" s="269" t="str">
        <f>IF(D2525="","",IF(OR(D2525=Plano!$A$1,D2525=Plano!$B$1),"entrada","saída"))</f>
        <v/>
      </c>
      <c r="T2525" s="269"/>
      <c r="U2525" s="269"/>
      <c r="V2525" s="269"/>
      <c r="W2525" s="269"/>
    </row>
    <row r="2526" spans="1:23" ht="12.75" customHeight="1" x14ac:dyDescent="0.2">
      <c r="A2526" s="289" t="str">
        <f t="shared" si="0"/>
        <v/>
      </c>
      <c r="B2526" s="290"/>
      <c r="C2526" s="404"/>
      <c r="D2526" s="291"/>
      <c r="E2526" s="291"/>
      <c r="F2526" s="292"/>
      <c r="G2526" s="291"/>
      <c r="H2526" s="291"/>
      <c r="I2526" s="293"/>
      <c r="J2526" s="291"/>
      <c r="K2526" s="291"/>
      <c r="L2526" s="293"/>
      <c r="M2526" s="291"/>
      <c r="N2526" s="289"/>
      <c r="O2526" s="358"/>
      <c r="P2526" s="402">
        <f t="shared" ref="P2526:Q2526" si="2524">IF(B2526=0,0,IF(YEAR(B2526)=$Q$1,MONTH(B2526)-$P$1+1,(YEAR(B2526)-$Q$1)*12-$P$1+1+MONTH(B2526)))</f>
        <v>0</v>
      </c>
      <c r="Q2526" s="402">
        <f t="shared" si="2524"/>
        <v>0</v>
      </c>
      <c r="R2526" s="356" t="e">
        <f t="shared" si="1325"/>
        <v>#N/A</v>
      </c>
      <c r="S2526" s="269" t="str">
        <f>IF(D2526="","",IF(OR(D2526=Plano!$A$1,D2526=Plano!$B$1),"entrada","saída"))</f>
        <v/>
      </c>
      <c r="T2526" s="269"/>
      <c r="U2526" s="269"/>
      <c r="V2526" s="269"/>
      <c r="W2526" s="269"/>
    </row>
    <row r="2527" spans="1:23" ht="12.75" customHeight="1" x14ac:dyDescent="0.2">
      <c r="A2527" s="289" t="str">
        <f t="shared" si="0"/>
        <v/>
      </c>
      <c r="B2527" s="290"/>
      <c r="C2527" s="404"/>
      <c r="D2527" s="291"/>
      <c r="E2527" s="291"/>
      <c r="F2527" s="292"/>
      <c r="G2527" s="291"/>
      <c r="H2527" s="291"/>
      <c r="I2527" s="293"/>
      <c r="J2527" s="291"/>
      <c r="K2527" s="291"/>
      <c r="L2527" s="293"/>
      <c r="M2527" s="291"/>
      <c r="N2527" s="289"/>
      <c r="O2527" s="358"/>
      <c r="P2527" s="402">
        <f t="shared" ref="P2527:Q2527" si="2525">IF(B2527=0,0,IF(YEAR(B2527)=$Q$1,MONTH(B2527)-$P$1+1,(YEAR(B2527)-$Q$1)*12-$P$1+1+MONTH(B2527)))</f>
        <v>0</v>
      </c>
      <c r="Q2527" s="402">
        <f t="shared" si="2525"/>
        <v>0</v>
      </c>
      <c r="R2527" s="356" t="e">
        <f t="shared" si="1325"/>
        <v>#N/A</v>
      </c>
      <c r="S2527" s="269" t="str">
        <f>IF(D2527="","",IF(OR(D2527=Plano!$A$1,D2527=Plano!$B$1),"entrada","saída"))</f>
        <v/>
      </c>
      <c r="T2527" s="269"/>
      <c r="U2527" s="269"/>
      <c r="V2527" s="269"/>
      <c r="W2527" s="269"/>
    </row>
    <row r="2528" spans="1:23" ht="12.75" customHeight="1" x14ac:dyDescent="0.2">
      <c r="A2528" s="289" t="str">
        <f t="shared" si="0"/>
        <v/>
      </c>
      <c r="B2528" s="290"/>
      <c r="C2528" s="404"/>
      <c r="D2528" s="291"/>
      <c r="E2528" s="291"/>
      <c r="F2528" s="292"/>
      <c r="G2528" s="291"/>
      <c r="H2528" s="291"/>
      <c r="I2528" s="293"/>
      <c r="J2528" s="291"/>
      <c r="K2528" s="291"/>
      <c r="L2528" s="293"/>
      <c r="M2528" s="291"/>
      <c r="N2528" s="289"/>
      <c r="O2528" s="358"/>
      <c r="P2528" s="402">
        <f t="shared" ref="P2528:Q2528" si="2526">IF(B2528=0,0,IF(YEAR(B2528)=$Q$1,MONTH(B2528)-$P$1+1,(YEAR(B2528)-$Q$1)*12-$P$1+1+MONTH(B2528)))</f>
        <v>0</v>
      </c>
      <c r="Q2528" s="402">
        <f t="shared" si="2526"/>
        <v>0</v>
      </c>
      <c r="R2528" s="356" t="e">
        <f t="shared" si="1325"/>
        <v>#N/A</v>
      </c>
      <c r="S2528" s="269" t="str">
        <f>IF(D2528="","",IF(OR(D2528=Plano!$A$1,D2528=Plano!$B$1),"entrada","saída"))</f>
        <v/>
      </c>
      <c r="T2528" s="269"/>
      <c r="U2528" s="269"/>
      <c r="V2528" s="269"/>
      <c r="W2528" s="269"/>
    </row>
    <row r="2529" spans="1:23" ht="12.75" customHeight="1" x14ac:dyDescent="0.2">
      <c r="A2529" s="289" t="str">
        <f t="shared" si="0"/>
        <v/>
      </c>
      <c r="B2529" s="290"/>
      <c r="C2529" s="404"/>
      <c r="D2529" s="291"/>
      <c r="E2529" s="291"/>
      <c r="F2529" s="292"/>
      <c r="G2529" s="291"/>
      <c r="H2529" s="291"/>
      <c r="I2529" s="293"/>
      <c r="J2529" s="291"/>
      <c r="K2529" s="291"/>
      <c r="L2529" s="293"/>
      <c r="M2529" s="291"/>
      <c r="N2529" s="289"/>
      <c r="O2529" s="358"/>
      <c r="P2529" s="402">
        <f t="shared" ref="P2529:Q2529" si="2527">IF(B2529=0,0,IF(YEAR(B2529)=$Q$1,MONTH(B2529)-$P$1+1,(YEAR(B2529)-$Q$1)*12-$P$1+1+MONTH(B2529)))</f>
        <v>0</v>
      </c>
      <c r="Q2529" s="402">
        <f t="shared" si="2527"/>
        <v>0</v>
      </c>
      <c r="R2529" s="356" t="e">
        <f t="shared" si="1325"/>
        <v>#N/A</v>
      </c>
      <c r="S2529" s="269" t="str">
        <f>IF(D2529="","",IF(OR(D2529=Plano!$A$1,D2529=Plano!$B$1),"entrada","saída"))</f>
        <v/>
      </c>
      <c r="T2529" s="269"/>
      <c r="U2529" s="269"/>
      <c r="V2529" s="269"/>
      <c r="W2529" s="269"/>
    </row>
    <row r="2530" spans="1:23" ht="12.75" customHeight="1" x14ac:dyDescent="0.2">
      <c r="A2530" s="289" t="str">
        <f t="shared" si="0"/>
        <v/>
      </c>
      <c r="B2530" s="290"/>
      <c r="C2530" s="404"/>
      <c r="D2530" s="291"/>
      <c r="E2530" s="291"/>
      <c r="F2530" s="292"/>
      <c r="G2530" s="291"/>
      <c r="H2530" s="291"/>
      <c r="I2530" s="293"/>
      <c r="J2530" s="291"/>
      <c r="K2530" s="291"/>
      <c r="L2530" s="293"/>
      <c r="M2530" s="291"/>
      <c r="N2530" s="289"/>
      <c r="O2530" s="358"/>
      <c r="P2530" s="402">
        <f t="shared" ref="P2530:Q2530" si="2528">IF(B2530=0,0,IF(YEAR(B2530)=$Q$1,MONTH(B2530)-$P$1+1,(YEAR(B2530)-$Q$1)*12-$P$1+1+MONTH(B2530)))</f>
        <v>0</v>
      </c>
      <c r="Q2530" s="402">
        <f t="shared" si="2528"/>
        <v>0</v>
      </c>
      <c r="R2530" s="356" t="e">
        <f t="shared" si="1325"/>
        <v>#N/A</v>
      </c>
      <c r="S2530" s="269" t="str">
        <f>IF(D2530="","",IF(OR(D2530=Plano!$A$1,D2530=Plano!$B$1),"entrada","saída"))</f>
        <v/>
      </c>
      <c r="T2530" s="269"/>
      <c r="U2530" s="269"/>
      <c r="V2530" s="269"/>
      <c r="W2530" s="269"/>
    </row>
    <row r="2531" spans="1:23" ht="12.75" customHeight="1" x14ac:dyDescent="0.2">
      <c r="A2531" s="289" t="str">
        <f t="shared" si="0"/>
        <v/>
      </c>
      <c r="B2531" s="290"/>
      <c r="C2531" s="404"/>
      <c r="D2531" s="291"/>
      <c r="E2531" s="291"/>
      <c r="F2531" s="292"/>
      <c r="G2531" s="291"/>
      <c r="H2531" s="291"/>
      <c r="I2531" s="293"/>
      <c r="J2531" s="291"/>
      <c r="K2531" s="291"/>
      <c r="L2531" s="293"/>
      <c r="M2531" s="291"/>
      <c r="N2531" s="289"/>
      <c r="O2531" s="358"/>
      <c r="P2531" s="402">
        <f t="shared" ref="P2531:Q2531" si="2529">IF(B2531=0,0,IF(YEAR(B2531)=$Q$1,MONTH(B2531)-$P$1+1,(YEAR(B2531)-$Q$1)*12-$P$1+1+MONTH(B2531)))</f>
        <v>0</v>
      </c>
      <c r="Q2531" s="402">
        <f t="shared" si="2529"/>
        <v>0</v>
      </c>
      <c r="R2531" s="356" t="e">
        <f t="shared" si="1325"/>
        <v>#N/A</v>
      </c>
      <c r="S2531" s="269" t="str">
        <f>IF(D2531="","",IF(OR(D2531=Plano!$A$1,D2531=Plano!$B$1),"entrada","saída"))</f>
        <v/>
      </c>
      <c r="T2531" s="269"/>
      <c r="U2531" s="269"/>
      <c r="V2531" s="269"/>
      <c r="W2531" s="269"/>
    </row>
    <row r="2532" spans="1:23" ht="12.75" customHeight="1" x14ac:dyDescent="0.2">
      <c r="A2532" s="289" t="str">
        <f t="shared" si="0"/>
        <v/>
      </c>
      <c r="B2532" s="290"/>
      <c r="C2532" s="404"/>
      <c r="D2532" s="291"/>
      <c r="E2532" s="291"/>
      <c r="F2532" s="292"/>
      <c r="G2532" s="291"/>
      <c r="H2532" s="291"/>
      <c r="I2532" s="293"/>
      <c r="J2532" s="291"/>
      <c r="K2532" s="291"/>
      <c r="L2532" s="293"/>
      <c r="M2532" s="291"/>
      <c r="N2532" s="289"/>
      <c r="O2532" s="358"/>
      <c r="P2532" s="402">
        <f t="shared" ref="P2532:Q2532" si="2530">IF(B2532=0,0,IF(YEAR(B2532)=$Q$1,MONTH(B2532)-$P$1+1,(YEAR(B2532)-$Q$1)*12-$P$1+1+MONTH(B2532)))</f>
        <v>0</v>
      </c>
      <c r="Q2532" s="402">
        <f t="shared" si="2530"/>
        <v>0</v>
      </c>
      <c r="R2532" s="356" t="e">
        <f t="shared" si="1325"/>
        <v>#N/A</v>
      </c>
      <c r="S2532" s="269" t="str">
        <f>IF(D2532="","",IF(OR(D2532=Plano!$A$1,D2532=Plano!$B$1),"entrada","saída"))</f>
        <v/>
      </c>
      <c r="T2532" s="269"/>
      <c r="U2532" s="269"/>
      <c r="V2532" s="269"/>
      <c r="W2532" s="269"/>
    </row>
    <row r="2533" spans="1:23" ht="12.75" customHeight="1" x14ac:dyDescent="0.2">
      <c r="A2533" s="289" t="str">
        <f t="shared" si="0"/>
        <v/>
      </c>
      <c r="B2533" s="290"/>
      <c r="C2533" s="404"/>
      <c r="D2533" s="291"/>
      <c r="E2533" s="291"/>
      <c r="F2533" s="292"/>
      <c r="G2533" s="291"/>
      <c r="H2533" s="291"/>
      <c r="I2533" s="293"/>
      <c r="J2533" s="291"/>
      <c r="K2533" s="291"/>
      <c r="L2533" s="293"/>
      <c r="M2533" s="291"/>
      <c r="N2533" s="289"/>
      <c r="O2533" s="358"/>
      <c r="P2533" s="402">
        <f t="shared" ref="P2533:Q2533" si="2531">IF(B2533=0,0,IF(YEAR(B2533)=$Q$1,MONTH(B2533)-$P$1+1,(YEAR(B2533)-$Q$1)*12-$P$1+1+MONTH(B2533)))</f>
        <v>0</v>
      </c>
      <c r="Q2533" s="402">
        <f t="shared" si="2531"/>
        <v>0</v>
      </c>
      <c r="R2533" s="356" t="e">
        <f t="shared" si="1325"/>
        <v>#N/A</v>
      </c>
      <c r="S2533" s="269" t="str">
        <f>IF(D2533="","",IF(OR(D2533=Plano!$A$1,D2533=Plano!$B$1),"entrada","saída"))</f>
        <v/>
      </c>
      <c r="T2533" s="269"/>
      <c r="U2533" s="269"/>
      <c r="V2533" s="269"/>
      <c r="W2533" s="269"/>
    </row>
    <row r="2534" spans="1:23" ht="12.75" customHeight="1" x14ac:dyDescent="0.2">
      <c r="A2534" s="289" t="str">
        <f t="shared" si="0"/>
        <v/>
      </c>
      <c r="B2534" s="290"/>
      <c r="C2534" s="404"/>
      <c r="D2534" s="291"/>
      <c r="E2534" s="291"/>
      <c r="F2534" s="292"/>
      <c r="G2534" s="291"/>
      <c r="H2534" s="291"/>
      <c r="I2534" s="293"/>
      <c r="J2534" s="291"/>
      <c r="K2534" s="291"/>
      <c r="L2534" s="293"/>
      <c r="M2534" s="291"/>
      <c r="N2534" s="289"/>
      <c r="O2534" s="358"/>
      <c r="P2534" s="402">
        <f t="shared" ref="P2534:Q2534" si="2532">IF(B2534=0,0,IF(YEAR(B2534)=$Q$1,MONTH(B2534)-$P$1+1,(YEAR(B2534)-$Q$1)*12-$P$1+1+MONTH(B2534)))</f>
        <v>0</v>
      </c>
      <c r="Q2534" s="402">
        <f t="shared" si="2532"/>
        <v>0</v>
      </c>
      <c r="R2534" s="356" t="e">
        <f t="shared" si="1325"/>
        <v>#N/A</v>
      </c>
      <c r="S2534" s="269" t="str">
        <f>IF(D2534="","",IF(OR(D2534=Plano!$A$1,D2534=Plano!$B$1),"entrada","saída"))</f>
        <v/>
      </c>
      <c r="T2534" s="269"/>
      <c r="U2534" s="269"/>
      <c r="V2534" s="269"/>
      <c r="W2534" s="269"/>
    </row>
    <row r="2535" spans="1:23" ht="12.75" customHeight="1" x14ac:dyDescent="0.2">
      <c r="A2535" s="289" t="str">
        <f t="shared" si="0"/>
        <v/>
      </c>
      <c r="B2535" s="290"/>
      <c r="C2535" s="404"/>
      <c r="D2535" s="291"/>
      <c r="E2535" s="291"/>
      <c r="F2535" s="292"/>
      <c r="G2535" s="291"/>
      <c r="H2535" s="291"/>
      <c r="I2535" s="293"/>
      <c r="J2535" s="291"/>
      <c r="K2535" s="291"/>
      <c r="L2535" s="293"/>
      <c r="M2535" s="291"/>
      <c r="N2535" s="289"/>
      <c r="O2535" s="358"/>
      <c r="P2535" s="402">
        <f t="shared" ref="P2535:Q2535" si="2533">IF(B2535=0,0,IF(YEAR(B2535)=$Q$1,MONTH(B2535)-$P$1+1,(YEAR(B2535)-$Q$1)*12-$P$1+1+MONTH(B2535)))</f>
        <v>0</v>
      </c>
      <c r="Q2535" s="402">
        <f t="shared" si="2533"/>
        <v>0</v>
      </c>
      <c r="R2535" s="356" t="e">
        <f t="shared" si="1325"/>
        <v>#N/A</v>
      </c>
      <c r="S2535" s="269" t="str">
        <f>IF(D2535="","",IF(OR(D2535=Plano!$A$1,D2535=Plano!$B$1),"entrada","saída"))</f>
        <v/>
      </c>
      <c r="T2535" s="269"/>
      <c r="U2535" s="269"/>
      <c r="V2535" s="269"/>
      <c r="W2535" s="269"/>
    </row>
    <row r="2536" spans="1:23" ht="12.75" customHeight="1" x14ac:dyDescent="0.2">
      <c r="A2536" s="289" t="str">
        <f t="shared" si="0"/>
        <v/>
      </c>
      <c r="B2536" s="290"/>
      <c r="C2536" s="404"/>
      <c r="D2536" s="291"/>
      <c r="E2536" s="291"/>
      <c r="F2536" s="292"/>
      <c r="G2536" s="291"/>
      <c r="H2536" s="291"/>
      <c r="I2536" s="293"/>
      <c r="J2536" s="291"/>
      <c r="K2536" s="291"/>
      <c r="L2536" s="293"/>
      <c r="M2536" s="291"/>
      <c r="N2536" s="289"/>
      <c r="O2536" s="358"/>
      <c r="P2536" s="402">
        <f t="shared" ref="P2536:Q2536" si="2534">IF(B2536=0,0,IF(YEAR(B2536)=$Q$1,MONTH(B2536)-$P$1+1,(YEAR(B2536)-$Q$1)*12-$P$1+1+MONTH(B2536)))</f>
        <v>0</v>
      </c>
      <c r="Q2536" s="402">
        <f t="shared" si="2534"/>
        <v>0</v>
      </c>
      <c r="R2536" s="356" t="e">
        <f t="shared" si="1325"/>
        <v>#N/A</v>
      </c>
      <c r="S2536" s="269" t="str">
        <f>IF(D2536="","",IF(OR(D2536=Plano!$A$1,D2536=Plano!$B$1),"entrada","saída"))</f>
        <v/>
      </c>
      <c r="T2536" s="269"/>
      <c r="U2536" s="269"/>
      <c r="V2536" s="269"/>
      <c r="W2536" s="269"/>
    </row>
    <row r="2537" spans="1:23" ht="12.75" customHeight="1" x14ac:dyDescent="0.2">
      <c r="A2537" s="289" t="str">
        <f t="shared" si="0"/>
        <v/>
      </c>
      <c r="B2537" s="290"/>
      <c r="C2537" s="404"/>
      <c r="D2537" s="291"/>
      <c r="E2537" s="291"/>
      <c r="F2537" s="292"/>
      <c r="G2537" s="291"/>
      <c r="H2537" s="291"/>
      <c r="I2537" s="293"/>
      <c r="J2537" s="291"/>
      <c r="K2537" s="291"/>
      <c r="L2537" s="293"/>
      <c r="M2537" s="291"/>
      <c r="N2537" s="289"/>
      <c r="O2537" s="358"/>
      <c r="P2537" s="402">
        <f t="shared" ref="P2537:Q2537" si="2535">IF(B2537=0,0,IF(YEAR(B2537)=$Q$1,MONTH(B2537)-$P$1+1,(YEAR(B2537)-$Q$1)*12-$P$1+1+MONTH(B2537)))</f>
        <v>0</v>
      </c>
      <c r="Q2537" s="402">
        <f t="shared" si="2535"/>
        <v>0</v>
      </c>
      <c r="R2537" s="356" t="e">
        <f t="shared" si="1325"/>
        <v>#N/A</v>
      </c>
      <c r="S2537" s="269" t="str">
        <f>IF(D2537="","",IF(OR(D2537=Plano!$A$1,D2537=Plano!$B$1),"entrada","saída"))</f>
        <v/>
      </c>
      <c r="T2537" s="269"/>
      <c r="U2537" s="269"/>
      <c r="V2537" s="269"/>
      <c r="W2537" s="269"/>
    </row>
    <row r="2538" spans="1:23" ht="12.75" customHeight="1" x14ac:dyDescent="0.2">
      <c r="A2538" s="289" t="str">
        <f t="shared" si="0"/>
        <v/>
      </c>
      <c r="B2538" s="290"/>
      <c r="C2538" s="404"/>
      <c r="D2538" s="291"/>
      <c r="E2538" s="291"/>
      <c r="F2538" s="292"/>
      <c r="G2538" s="291"/>
      <c r="H2538" s="291"/>
      <c r="I2538" s="293"/>
      <c r="J2538" s="291"/>
      <c r="K2538" s="291"/>
      <c r="L2538" s="293"/>
      <c r="M2538" s="291"/>
      <c r="N2538" s="289"/>
      <c r="O2538" s="358"/>
      <c r="P2538" s="402">
        <f t="shared" ref="P2538:Q2538" si="2536">IF(B2538=0,0,IF(YEAR(B2538)=$Q$1,MONTH(B2538)-$P$1+1,(YEAR(B2538)-$Q$1)*12-$P$1+1+MONTH(B2538)))</f>
        <v>0</v>
      </c>
      <c r="Q2538" s="402">
        <f t="shared" si="2536"/>
        <v>0</v>
      </c>
      <c r="R2538" s="356" t="e">
        <f t="shared" si="1325"/>
        <v>#N/A</v>
      </c>
      <c r="S2538" s="269" t="str">
        <f>IF(D2538="","",IF(OR(D2538=Plano!$A$1,D2538=Plano!$B$1),"entrada","saída"))</f>
        <v/>
      </c>
      <c r="T2538" s="269"/>
      <c r="U2538" s="269"/>
      <c r="V2538" s="269"/>
      <c r="W2538" s="269"/>
    </row>
    <row r="2539" spans="1:23" ht="12.75" customHeight="1" x14ac:dyDescent="0.2">
      <c r="A2539" s="289" t="str">
        <f t="shared" si="0"/>
        <v/>
      </c>
      <c r="B2539" s="290"/>
      <c r="C2539" s="404"/>
      <c r="D2539" s="291"/>
      <c r="E2539" s="291"/>
      <c r="F2539" s="292"/>
      <c r="G2539" s="291"/>
      <c r="H2539" s="291"/>
      <c r="I2539" s="293"/>
      <c r="J2539" s="291"/>
      <c r="K2539" s="291"/>
      <c r="L2539" s="293"/>
      <c r="M2539" s="291"/>
      <c r="N2539" s="289"/>
      <c r="O2539" s="358"/>
      <c r="P2539" s="402">
        <f t="shared" ref="P2539:Q2539" si="2537">IF(B2539=0,0,IF(YEAR(B2539)=$Q$1,MONTH(B2539)-$P$1+1,(YEAR(B2539)-$Q$1)*12-$P$1+1+MONTH(B2539)))</f>
        <v>0</v>
      </c>
      <c r="Q2539" s="402">
        <f t="shared" si="2537"/>
        <v>0</v>
      </c>
      <c r="R2539" s="356" t="e">
        <f t="shared" si="1325"/>
        <v>#N/A</v>
      </c>
      <c r="S2539" s="269" t="str">
        <f>IF(D2539="","",IF(OR(D2539=Plano!$A$1,D2539=Plano!$B$1),"entrada","saída"))</f>
        <v/>
      </c>
      <c r="T2539" s="269"/>
      <c r="U2539" s="269"/>
      <c r="V2539" s="269"/>
      <c r="W2539" s="269"/>
    </row>
    <row r="2540" spans="1:23" ht="12.75" customHeight="1" x14ac:dyDescent="0.2">
      <c r="A2540" s="289" t="str">
        <f t="shared" si="0"/>
        <v/>
      </c>
      <c r="B2540" s="290"/>
      <c r="C2540" s="404"/>
      <c r="D2540" s="291"/>
      <c r="E2540" s="291"/>
      <c r="F2540" s="292"/>
      <c r="G2540" s="291"/>
      <c r="H2540" s="291"/>
      <c r="I2540" s="293"/>
      <c r="J2540" s="291"/>
      <c r="K2540" s="291"/>
      <c r="L2540" s="293"/>
      <c r="M2540" s="291"/>
      <c r="N2540" s="289"/>
      <c r="O2540" s="358"/>
      <c r="P2540" s="402">
        <f t="shared" ref="P2540:Q2540" si="2538">IF(B2540=0,0,IF(YEAR(B2540)=$Q$1,MONTH(B2540)-$P$1+1,(YEAR(B2540)-$Q$1)*12-$P$1+1+MONTH(B2540)))</f>
        <v>0</v>
      </c>
      <c r="Q2540" s="402">
        <f t="shared" si="2538"/>
        <v>0</v>
      </c>
      <c r="R2540" s="356" t="e">
        <f t="shared" si="1325"/>
        <v>#N/A</v>
      </c>
      <c r="S2540" s="269" t="str">
        <f>IF(D2540="","",IF(OR(D2540=Plano!$A$1,D2540=Plano!$B$1),"entrada","saída"))</f>
        <v/>
      </c>
      <c r="T2540" s="269"/>
      <c r="U2540" s="269"/>
      <c r="V2540" s="269"/>
      <c r="W2540" s="269"/>
    </row>
    <row r="2541" spans="1:23" ht="12.75" customHeight="1" x14ac:dyDescent="0.2">
      <c r="A2541" s="289" t="str">
        <f t="shared" si="0"/>
        <v/>
      </c>
      <c r="B2541" s="290"/>
      <c r="C2541" s="404"/>
      <c r="D2541" s="291"/>
      <c r="E2541" s="291"/>
      <c r="F2541" s="292"/>
      <c r="G2541" s="291"/>
      <c r="H2541" s="291"/>
      <c r="I2541" s="293"/>
      <c r="J2541" s="291"/>
      <c r="K2541" s="291"/>
      <c r="L2541" s="293"/>
      <c r="M2541" s="291"/>
      <c r="N2541" s="289"/>
      <c r="O2541" s="358"/>
      <c r="P2541" s="402">
        <f t="shared" ref="P2541:Q2541" si="2539">IF(B2541=0,0,IF(YEAR(B2541)=$Q$1,MONTH(B2541)-$P$1+1,(YEAR(B2541)-$Q$1)*12-$P$1+1+MONTH(B2541)))</f>
        <v>0</v>
      </c>
      <c r="Q2541" s="402">
        <f t="shared" si="2539"/>
        <v>0</v>
      </c>
      <c r="R2541" s="356" t="e">
        <f t="shared" si="1325"/>
        <v>#N/A</v>
      </c>
      <c r="S2541" s="269" t="str">
        <f>IF(D2541="","",IF(OR(D2541=Plano!$A$1,D2541=Plano!$B$1),"entrada","saída"))</f>
        <v/>
      </c>
      <c r="T2541" s="269"/>
      <c r="U2541" s="269"/>
      <c r="V2541" s="269"/>
      <c r="W2541" s="269"/>
    </row>
    <row r="2542" spans="1:23" ht="12.75" customHeight="1" x14ac:dyDescent="0.2">
      <c r="A2542" s="289" t="str">
        <f t="shared" si="0"/>
        <v/>
      </c>
      <c r="B2542" s="290"/>
      <c r="C2542" s="404"/>
      <c r="D2542" s="291"/>
      <c r="E2542" s="291"/>
      <c r="F2542" s="292"/>
      <c r="G2542" s="291"/>
      <c r="H2542" s="291"/>
      <c r="I2542" s="293"/>
      <c r="J2542" s="291"/>
      <c r="K2542" s="291"/>
      <c r="L2542" s="293"/>
      <c r="M2542" s="291"/>
      <c r="N2542" s="289"/>
      <c r="O2542" s="358"/>
      <c r="P2542" s="402">
        <f t="shared" ref="P2542:Q2542" si="2540">IF(B2542=0,0,IF(YEAR(B2542)=$Q$1,MONTH(B2542)-$P$1+1,(YEAR(B2542)-$Q$1)*12-$P$1+1+MONTH(B2542)))</f>
        <v>0</v>
      </c>
      <c r="Q2542" s="402">
        <f t="shared" si="2540"/>
        <v>0</v>
      </c>
      <c r="R2542" s="356" t="e">
        <f t="shared" si="1325"/>
        <v>#N/A</v>
      </c>
      <c r="S2542" s="269" t="str">
        <f>IF(D2542="","",IF(OR(D2542=Plano!$A$1,D2542=Plano!$B$1),"entrada","saída"))</f>
        <v/>
      </c>
      <c r="T2542" s="269"/>
      <c r="U2542" s="269"/>
      <c r="V2542" s="269"/>
      <c r="W2542" s="269"/>
    </row>
    <row r="2543" spans="1:23" ht="12.75" customHeight="1" x14ac:dyDescent="0.2">
      <c r="A2543" s="289" t="str">
        <f t="shared" si="0"/>
        <v/>
      </c>
      <c r="B2543" s="290"/>
      <c r="C2543" s="404"/>
      <c r="D2543" s="291"/>
      <c r="E2543" s="291"/>
      <c r="F2543" s="292"/>
      <c r="G2543" s="291"/>
      <c r="H2543" s="291"/>
      <c r="I2543" s="293"/>
      <c r="J2543" s="291"/>
      <c r="K2543" s="291"/>
      <c r="L2543" s="293"/>
      <c r="M2543" s="291"/>
      <c r="N2543" s="289"/>
      <c r="O2543" s="358"/>
      <c r="P2543" s="402">
        <f t="shared" ref="P2543:Q2543" si="2541">IF(B2543=0,0,IF(YEAR(B2543)=$Q$1,MONTH(B2543)-$P$1+1,(YEAR(B2543)-$Q$1)*12-$P$1+1+MONTH(B2543)))</f>
        <v>0</v>
      </c>
      <c r="Q2543" s="402">
        <f t="shared" si="2541"/>
        <v>0</v>
      </c>
      <c r="R2543" s="356" t="e">
        <f t="shared" si="1325"/>
        <v>#N/A</v>
      </c>
      <c r="S2543" s="269" t="str">
        <f>IF(D2543="","",IF(OR(D2543=Plano!$A$1,D2543=Plano!$B$1),"entrada","saída"))</f>
        <v/>
      </c>
      <c r="T2543" s="269"/>
      <c r="U2543" s="269"/>
      <c r="V2543" s="269"/>
      <c r="W2543" s="269"/>
    </row>
    <row r="2544" spans="1:23" ht="12.75" customHeight="1" x14ac:dyDescent="0.2">
      <c r="A2544" s="289" t="str">
        <f t="shared" si="0"/>
        <v/>
      </c>
      <c r="B2544" s="290"/>
      <c r="C2544" s="404"/>
      <c r="D2544" s="291"/>
      <c r="E2544" s="291"/>
      <c r="F2544" s="292"/>
      <c r="G2544" s="291"/>
      <c r="H2544" s="291"/>
      <c r="I2544" s="293"/>
      <c r="J2544" s="291"/>
      <c r="K2544" s="291"/>
      <c r="L2544" s="293"/>
      <c r="M2544" s="291"/>
      <c r="N2544" s="289"/>
      <c r="O2544" s="358"/>
      <c r="P2544" s="402">
        <f t="shared" ref="P2544:Q2544" si="2542">IF(B2544=0,0,IF(YEAR(B2544)=$Q$1,MONTH(B2544)-$P$1+1,(YEAR(B2544)-$Q$1)*12-$P$1+1+MONTH(B2544)))</f>
        <v>0</v>
      </c>
      <c r="Q2544" s="402">
        <f t="shared" si="2542"/>
        <v>0</v>
      </c>
      <c r="R2544" s="356" t="e">
        <f t="shared" si="1325"/>
        <v>#N/A</v>
      </c>
      <c r="S2544" s="269" t="str">
        <f>IF(D2544="","",IF(OR(D2544=Plano!$A$1,D2544=Plano!$B$1),"entrada","saída"))</f>
        <v/>
      </c>
      <c r="T2544" s="269"/>
      <c r="U2544" s="269"/>
      <c r="V2544" s="269"/>
      <c r="W2544" s="269"/>
    </row>
    <row r="2545" spans="1:23" ht="12.75" customHeight="1" x14ac:dyDescent="0.2">
      <c r="A2545" s="289" t="str">
        <f t="shared" si="0"/>
        <v/>
      </c>
      <c r="B2545" s="290"/>
      <c r="C2545" s="404"/>
      <c r="D2545" s="291"/>
      <c r="E2545" s="291"/>
      <c r="F2545" s="292"/>
      <c r="G2545" s="291"/>
      <c r="H2545" s="291"/>
      <c r="I2545" s="293"/>
      <c r="J2545" s="291"/>
      <c r="K2545" s="291"/>
      <c r="L2545" s="293"/>
      <c r="M2545" s="291"/>
      <c r="N2545" s="289"/>
      <c r="O2545" s="358"/>
      <c r="P2545" s="402">
        <f t="shared" ref="P2545:Q2545" si="2543">IF(B2545=0,0,IF(YEAR(B2545)=$Q$1,MONTH(B2545)-$P$1+1,(YEAR(B2545)-$Q$1)*12-$P$1+1+MONTH(B2545)))</f>
        <v>0</v>
      </c>
      <c r="Q2545" s="402">
        <f t="shared" si="2543"/>
        <v>0</v>
      </c>
      <c r="R2545" s="356" t="e">
        <f t="shared" si="1325"/>
        <v>#N/A</v>
      </c>
      <c r="S2545" s="269" t="str">
        <f>IF(D2545="","",IF(OR(D2545=Plano!$A$1,D2545=Plano!$B$1),"entrada","saída"))</f>
        <v/>
      </c>
      <c r="T2545" s="269"/>
      <c r="U2545" s="269"/>
      <c r="V2545" s="269"/>
      <c r="W2545" s="269"/>
    </row>
    <row r="2546" spans="1:23" ht="12.75" customHeight="1" x14ac:dyDescent="0.2">
      <c r="A2546" s="289" t="str">
        <f t="shared" si="0"/>
        <v/>
      </c>
      <c r="B2546" s="290"/>
      <c r="C2546" s="404"/>
      <c r="D2546" s="291"/>
      <c r="E2546" s="291"/>
      <c r="F2546" s="292"/>
      <c r="G2546" s="291"/>
      <c r="H2546" s="291"/>
      <c r="I2546" s="293"/>
      <c r="J2546" s="291"/>
      <c r="K2546" s="291"/>
      <c r="L2546" s="293"/>
      <c r="M2546" s="291"/>
      <c r="N2546" s="289"/>
      <c r="O2546" s="358"/>
      <c r="P2546" s="402">
        <f t="shared" ref="P2546:Q2546" si="2544">IF(B2546=0,0,IF(YEAR(B2546)=$Q$1,MONTH(B2546)-$P$1+1,(YEAR(B2546)-$Q$1)*12-$P$1+1+MONTH(B2546)))</f>
        <v>0</v>
      </c>
      <c r="Q2546" s="402">
        <f t="shared" si="2544"/>
        <v>0</v>
      </c>
      <c r="R2546" s="356" t="e">
        <f t="shared" si="1325"/>
        <v>#N/A</v>
      </c>
      <c r="S2546" s="269" t="str">
        <f>IF(D2546="","",IF(OR(D2546=Plano!$A$1,D2546=Plano!$B$1),"entrada","saída"))</f>
        <v/>
      </c>
      <c r="T2546" s="269"/>
      <c r="U2546" s="269"/>
      <c r="V2546" s="269"/>
      <c r="W2546" s="269"/>
    </row>
    <row r="2547" spans="1:23" ht="12.75" customHeight="1" x14ac:dyDescent="0.2">
      <c r="A2547" s="289" t="str">
        <f t="shared" si="0"/>
        <v/>
      </c>
      <c r="B2547" s="290"/>
      <c r="C2547" s="404"/>
      <c r="D2547" s="291"/>
      <c r="E2547" s="291"/>
      <c r="F2547" s="292"/>
      <c r="G2547" s="291"/>
      <c r="H2547" s="291"/>
      <c r="I2547" s="293"/>
      <c r="J2547" s="291"/>
      <c r="K2547" s="291"/>
      <c r="L2547" s="293"/>
      <c r="M2547" s="291"/>
      <c r="N2547" s="289"/>
      <c r="O2547" s="358"/>
      <c r="P2547" s="402">
        <f t="shared" ref="P2547:Q2547" si="2545">IF(B2547=0,0,IF(YEAR(B2547)=$Q$1,MONTH(B2547)-$P$1+1,(YEAR(B2547)-$Q$1)*12-$P$1+1+MONTH(B2547)))</f>
        <v>0</v>
      </c>
      <c r="Q2547" s="402">
        <f t="shared" si="2545"/>
        <v>0</v>
      </c>
      <c r="R2547" s="356" t="e">
        <f t="shared" si="1325"/>
        <v>#N/A</v>
      </c>
      <c r="S2547" s="269" t="str">
        <f>IF(D2547="","",IF(OR(D2547=Plano!$A$1,D2547=Plano!$B$1),"entrada","saída"))</f>
        <v/>
      </c>
      <c r="T2547" s="269"/>
      <c r="U2547" s="269"/>
      <c r="V2547" s="269"/>
      <c r="W2547" s="269"/>
    </row>
    <row r="2548" spans="1:23" ht="12.75" customHeight="1" x14ac:dyDescent="0.2">
      <c r="A2548" s="289" t="str">
        <f t="shared" si="0"/>
        <v/>
      </c>
      <c r="B2548" s="290"/>
      <c r="C2548" s="404"/>
      <c r="D2548" s="291"/>
      <c r="E2548" s="291"/>
      <c r="F2548" s="292"/>
      <c r="G2548" s="291"/>
      <c r="H2548" s="291"/>
      <c r="I2548" s="293"/>
      <c r="J2548" s="291"/>
      <c r="K2548" s="291"/>
      <c r="L2548" s="293"/>
      <c r="M2548" s="291"/>
      <c r="N2548" s="289"/>
      <c r="O2548" s="358"/>
      <c r="P2548" s="402">
        <f t="shared" ref="P2548:Q2548" si="2546">IF(B2548=0,0,IF(YEAR(B2548)=$Q$1,MONTH(B2548)-$P$1+1,(YEAR(B2548)-$Q$1)*12-$P$1+1+MONTH(B2548)))</f>
        <v>0</v>
      </c>
      <c r="Q2548" s="402">
        <f t="shared" si="2546"/>
        <v>0</v>
      </c>
      <c r="R2548" s="356" t="e">
        <f t="shared" si="1325"/>
        <v>#N/A</v>
      </c>
      <c r="S2548" s="269" t="str">
        <f>IF(D2548="","",IF(OR(D2548=Plano!$A$1,D2548=Plano!$B$1),"entrada","saída"))</f>
        <v/>
      </c>
      <c r="T2548" s="269"/>
      <c r="U2548" s="269"/>
      <c r="V2548" s="269"/>
      <c r="W2548" s="269"/>
    </row>
    <row r="2549" spans="1:23" ht="12.75" customHeight="1" x14ac:dyDescent="0.2">
      <c r="A2549" s="289" t="str">
        <f t="shared" si="0"/>
        <v/>
      </c>
      <c r="B2549" s="290"/>
      <c r="C2549" s="404"/>
      <c r="D2549" s="291"/>
      <c r="E2549" s="291"/>
      <c r="F2549" s="292"/>
      <c r="G2549" s="291"/>
      <c r="H2549" s="291"/>
      <c r="I2549" s="293"/>
      <c r="J2549" s="291"/>
      <c r="K2549" s="291"/>
      <c r="L2549" s="293"/>
      <c r="M2549" s="291"/>
      <c r="N2549" s="289"/>
      <c r="O2549" s="358"/>
      <c r="P2549" s="402">
        <f t="shared" ref="P2549:Q2549" si="2547">IF(B2549=0,0,IF(YEAR(B2549)=$Q$1,MONTH(B2549)-$P$1+1,(YEAR(B2549)-$Q$1)*12-$P$1+1+MONTH(B2549)))</f>
        <v>0</v>
      </c>
      <c r="Q2549" s="402">
        <f t="shared" si="2547"/>
        <v>0</v>
      </c>
      <c r="R2549" s="356" t="e">
        <f t="shared" si="1325"/>
        <v>#N/A</v>
      </c>
      <c r="S2549" s="269" t="str">
        <f>IF(D2549="","",IF(OR(D2549=Plano!$A$1,D2549=Plano!$B$1),"entrada","saída"))</f>
        <v/>
      </c>
      <c r="T2549" s="269"/>
      <c r="U2549" s="269"/>
      <c r="V2549" s="269"/>
      <c r="W2549" s="269"/>
    </row>
    <row r="2550" spans="1:23" ht="12.75" customHeight="1" x14ac:dyDescent="0.2">
      <c r="A2550" s="289" t="str">
        <f t="shared" si="0"/>
        <v/>
      </c>
      <c r="B2550" s="290"/>
      <c r="C2550" s="404"/>
      <c r="D2550" s="291"/>
      <c r="E2550" s="291"/>
      <c r="F2550" s="292"/>
      <c r="G2550" s="291"/>
      <c r="H2550" s="291"/>
      <c r="I2550" s="293"/>
      <c r="J2550" s="291"/>
      <c r="K2550" s="291"/>
      <c r="L2550" s="293"/>
      <c r="M2550" s="291"/>
      <c r="N2550" s="289"/>
      <c r="O2550" s="358"/>
      <c r="P2550" s="402">
        <f t="shared" ref="P2550:Q2550" si="2548">IF(B2550=0,0,IF(YEAR(B2550)=$Q$1,MONTH(B2550)-$P$1+1,(YEAR(B2550)-$Q$1)*12-$P$1+1+MONTH(B2550)))</f>
        <v>0</v>
      </c>
      <c r="Q2550" s="402">
        <f t="shared" si="2548"/>
        <v>0</v>
      </c>
      <c r="R2550" s="356" t="e">
        <f t="shared" si="1325"/>
        <v>#N/A</v>
      </c>
      <c r="S2550" s="269" t="str">
        <f>IF(D2550="","",IF(OR(D2550=Plano!$A$1,D2550=Plano!$B$1),"entrada","saída"))</f>
        <v/>
      </c>
      <c r="T2550" s="269"/>
      <c r="U2550" s="269"/>
      <c r="V2550" s="269"/>
      <c r="W2550" s="269"/>
    </row>
    <row r="2551" spans="1:23" ht="12.75" customHeight="1" x14ac:dyDescent="0.2">
      <c r="A2551" s="289" t="str">
        <f t="shared" si="0"/>
        <v/>
      </c>
      <c r="B2551" s="290"/>
      <c r="C2551" s="404"/>
      <c r="D2551" s="291"/>
      <c r="E2551" s="291"/>
      <c r="F2551" s="292"/>
      <c r="G2551" s="291"/>
      <c r="H2551" s="291"/>
      <c r="I2551" s="293"/>
      <c r="J2551" s="291"/>
      <c r="K2551" s="291"/>
      <c r="L2551" s="293"/>
      <c r="M2551" s="291"/>
      <c r="N2551" s="289"/>
      <c r="O2551" s="358"/>
      <c r="P2551" s="402">
        <f t="shared" ref="P2551:Q2551" si="2549">IF(B2551=0,0,IF(YEAR(B2551)=$Q$1,MONTH(B2551)-$P$1+1,(YEAR(B2551)-$Q$1)*12-$P$1+1+MONTH(B2551)))</f>
        <v>0</v>
      </c>
      <c r="Q2551" s="402">
        <f t="shared" si="2549"/>
        <v>0</v>
      </c>
      <c r="R2551" s="356" t="e">
        <f t="shared" si="1325"/>
        <v>#N/A</v>
      </c>
      <c r="S2551" s="269" t="str">
        <f>IF(D2551="","",IF(OR(D2551=Plano!$A$1,D2551=Plano!$B$1),"entrada","saída"))</f>
        <v/>
      </c>
      <c r="T2551" s="269"/>
      <c r="U2551" s="269"/>
      <c r="V2551" s="269"/>
      <c r="W2551" s="269"/>
    </row>
    <row r="2552" spans="1:23" ht="12.75" customHeight="1" x14ac:dyDescent="0.2">
      <c r="A2552" s="289" t="str">
        <f t="shared" si="0"/>
        <v/>
      </c>
      <c r="B2552" s="290"/>
      <c r="C2552" s="404"/>
      <c r="D2552" s="291"/>
      <c r="E2552" s="291"/>
      <c r="F2552" s="292"/>
      <c r="G2552" s="291"/>
      <c r="H2552" s="291"/>
      <c r="I2552" s="293"/>
      <c r="J2552" s="291"/>
      <c r="K2552" s="291"/>
      <c r="L2552" s="293"/>
      <c r="M2552" s="291"/>
      <c r="N2552" s="289"/>
      <c r="O2552" s="358"/>
      <c r="P2552" s="402">
        <f t="shared" ref="P2552:Q2552" si="2550">IF(B2552=0,0,IF(YEAR(B2552)=$Q$1,MONTH(B2552)-$P$1+1,(YEAR(B2552)-$Q$1)*12-$P$1+1+MONTH(B2552)))</f>
        <v>0</v>
      </c>
      <c r="Q2552" s="402">
        <f t="shared" si="2550"/>
        <v>0</v>
      </c>
      <c r="R2552" s="356" t="e">
        <f t="shared" si="1325"/>
        <v>#N/A</v>
      </c>
      <c r="S2552" s="269" t="str">
        <f>IF(D2552="","",IF(OR(D2552=Plano!$A$1,D2552=Plano!$B$1),"entrada","saída"))</f>
        <v/>
      </c>
      <c r="T2552" s="269"/>
      <c r="U2552" s="269"/>
      <c r="V2552" s="269"/>
      <c r="W2552" s="269"/>
    </row>
    <row r="2553" spans="1:23" ht="12.75" customHeight="1" x14ac:dyDescent="0.2">
      <c r="A2553" s="289" t="str">
        <f t="shared" si="0"/>
        <v/>
      </c>
      <c r="B2553" s="290"/>
      <c r="C2553" s="404"/>
      <c r="D2553" s="291"/>
      <c r="E2553" s="291"/>
      <c r="F2553" s="292"/>
      <c r="G2553" s="291"/>
      <c r="H2553" s="291"/>
      <c r="I2553" s="293"/>
      <c r="J2553" s="291"/>
      <c r="K2553" s="291"/>
      <c r="L2553" s="293"/>
      <c r="M2553" s="291"/>
      <c r="N2553" s="289"/>
      <c r="O2553" s="358"/>
      <c r="P2553" s="402">
        <f t="shared" ref="P2553:Q2553" si="2551">IF(B2553=0,0,IF(YEAR(B2553)=$Q$1,MONTH(B2553)-$P$1+1,(YEAR(B2553)-$Q$1)*12-$P$1+1+MONTH(B2553)))</f>
        <v>0</v>
      </c>
      <c r="Q2553" s="402">
        <f t="shared" si="2551"/>
        <v>0</v>
      </c>
      <c r="R2553" s="356" t="e">
        <f t="shared" si="1325"/>
        <v>#N/A</v>
      </c>
      <c r="S2553" s="269" t="str">
        <f>IF(D2553="","",IF(OR(D2553=Plano!$A$1,D2553=Plano!$B$1),"entrada","saída"))</f>
        <v/>
      </c>
      <c r="T2553" s="269"/>
      <c r="U2553" s="269"/>
      <c r="V2553" s="269"/>
      <c r="W2553" s="269"/>
    </row>
    <row r="2554" spans="1:23" ht="12.75" customHeight="1" x14ac:dyDescent="0.2">
      <c r="A2554" s="289" t="str">
        <f t="shared" si="0"/>
        <v/>
      </c>
      <c r="B2554" s="290"/>
      <c r="C2554" s="404"/>
      <c r="D2554" s="291"/>
      <c r="E2554" s="291"/>
      <c r="F2554" s="292"/>
      <c r="G2554" s="291"/>
      <c r="H2554" s="291"/>
      <c r="I2554" s="293"/>
      <c r="J2554" s="291"/>
      <c r="K2554" s="291"/>
      <c r="L2554" s="293"/>
      <c r="M2554" s="291"/>
      <c r="N2554" s="289"/>
      <c r="O2554" s="358"/>
      <c r="P2554" s="402">
        <f t="shared" ref="P2554:Q2554" si="2552">IF(B2554=0,0,IF(YEAR(B2554)=$Q$1,MONTH(B2554)-$P$1+1,(YEAR(B2554)-$Q$1)*12-$P$1+1+MONTH(B2554)))</f>
        <v>0</v>
      </c>
      <c r="Q2554" s="402">
        <f t="shared" si="2552"/>
        <v>0</v>
      </c>
      <c r="R2554" s="356" t="e">
        <f t="shared" si="1325"/>
        <v>#N/A</v>
      </c>
      <c r="S2554" s="269" t="str">
        <f>IF(D2554="","",IF(OR(D2554=Plano!$A$1,D2554=Plano!$B$1),"entrada","saída"))</f>
        <v/>
      </c>
      <c r="T2554" s="269"/>
      <c r="U2554" s="269"/>
      <c r="V2554" s="269"/>
      <c r="W2554" s="269"/>
    </row>
    <row r="2555" spans="1:23" ht="12.75" customHeight="1" x14ac:dyDescent="0.2">
      <c r="A2555" s="289" t="str">
        <f t="shared" si="0"/>
        <v/>
      </c>
      <c r="B2555" s="290"/>
      <c r="C2555" s="404"/>
      <c r="D2555" s="291"/>
      <c r="E2555" s="291"/>
      <c r="F2555" s="292"/>
      <c r="G2555" s="291"/>
      <c r="H2555" s="291"/>
      <c r="I2555" s="293"/>
      <c r="J2555" s="291"/>
      <c r="K2555" s="291"/>
      <c r="L2555" s="293"/>
      <c r="M2555" s="291"/>
      <c r="N2555" s="289"/>
      <c r="O2555" s="358"/>
      <c r="P2555" s="402">
        <f t="shared" ref="P2555:Q2555" si="2553">IF(B2555=0,0,IF(YEAR(B2555)=$Q$1,MONTH(B2555)-$P$1+1,(YEAR(B2555)-$Q$1)*12-$P$1+1+MONTH(B2555)))</f>
        <v>0</v>
      </c>
      <c r="Q2555" s="402">
        <f t="shared" si="2553"/>
        <v>0</v>
      </c>
      <c r="R2555" s="356" t="e">
        <f t="shared" si="1325"/>
        <v>#N/A</v>
      </c>
      <c r="S2555" s="269" t="str">
        <f>IF(D2555="","",IF(OR(D2555=Plano!$A$1,D2555=Plano!$B$1),"entrada","saída"))</f>
        <v/>
      </c>
      <c r="T2555" s="269"/>
      <c r="U2555" s="269"/>
      <c r="V2555" s="269"/>
      <c r="W2555" s="269"/>
    </row>
    <row r="2556" spans="1:23" ht="12.75" customHeight="1" x14ac:dyDescent="0.2">
      <c r="A2556" s="289" t="str">
        <f t="shared" si="0"/>
        <v/>
      </c>
      <c r="B2556" s="290"/>
      <c r="C2556" s="404"/>
      <c r="D2556" s="291"/>
      <c r="E2556" s="291"/>
      <c r="F2556" s="292"/>
      <c r="G2556" s="291"/>
      <c r="H2556" s="291"/>
      <c r="I2556" s="293"/>
      <c r="J2556" s="291"/>
      <c r="K2556" s="291"/>
      <c r="L2556" s="293"/>
      <c r="M2556" s="291"/>
      <c r="N2556" s="289"/>
      <c r="O2556" s="358"/>
      <c r="P2556" s="402">
        <f t="shared" ref="P2556:Q2556" si="2554">IF(B2556=0,0,IF(YEAR(B2556)=$Q$1,MONTH(B2556)-$P$1+1,(YEAR(B2556)-$Q$1)*12-$P$1+1+MONTH(B2556)))</f>
        <v>0</v>
      </c>
      <c r="Q2556" s="402">
        <f t="shared" si="2554"/>
        <v>0</v>
      </c>
      <c r="R2556" s="356" t="e">
        <f t="shared" si="1325"/>
        <v>#N/A</v>
      </c>
      <c r="S2556" s="269" t="str">
        <f>IF(D2556="","",IF(OR(D2556=Plano!$A$1,D2556=Plano!$B$1),"entrada","saída"))</f>
        <v/>
      </c>
      <c r="T2556" s="269"/>
      <c r="U2556" s="269"/>
      <c r="V2556" s="269"/>
      <c r="W2556" s="269"/>
    </row>
    <row r="2557" spans="1:23" ht="12.75" customHeight="1" x14ac:dyDescent="0.2">
      <c r="A2557" s="289" t="str">
        <f t="shared" si="0"/>
        <v/>
      </c>
      <c r="B2557" s="290"/>
      <c r="C2557" s="404"/>
      <c r="D2557" s="291"/>
      <c r="E2557" s="291"/>
      <c r="F2557" s="292"/>
      <c r="G2557" s="291"/>
      <c r="H2557" s="291"/>
      <c r="I2557" s="293"/>
      <c r="J2557" s="291"/>
      <c r="K2557" s="291"/>
      <c r="L2557" s="293"/>
      <c r="M2557" s="291"/>
      <c r="N2557" s="289"/>
      <c r="O2557" s="358"/>
      <c r="P2557" s="402">
        <f t="shared" ref="P2557:Q2557" si="2555">IF(B2557=0,0,IF(YEAR(B2557)=$Q$1,MONTH(B2557)-$P$1+1,(YEAR(B2557)-$Q$1)*12-$P$1+1+MONTH(B2557)))</f>
        <v>0</v>
      </c>
      <c r="Q2557" s="402">
        <f t="shared" si="2555"/>
        <v>0</v>
      </c>
      <c r="R2557" s="356" t="e">
        <f t="shared" si="1325"/>
        <v>#N/A</v>
      </c>
      <c r="S2557" s="269" t="str">
        <f>IF(D2557="","",IF(OR(D2557=Plano!$A$1,D2557=Plano!$B$1),"entrada","saída"))</f>
        <v/>
      </c>
      <c r="T2557" s="269"/>
      <c r="U2557" s="269"/>
      <c r="V2557" s="269"/>
      <c r="W2557" s="269"/>
    </row>
    <row r="2558" spans="1:23" ht="12.75" customHeight="1" x14ac:dyDescent="0.2">
      <c r="A2558" s="289" t="str">
        <f t="shared" si="0"/>
        <v/>
      </c>
      <c r="B2558" s="290"/>
      <c r="C2558" s="404"/>
      <c r="D2558" s="291"/>
      <c r="E2558" s="291"/>
      <c r="F2558" s="292"/>
      <c r="G2558" s="291"/>
      <c r="H2558" s="291"/>
      <c r="I2558" s="293"/>
      <c r="J2558" s="291"/>
      <c r="K2558" s="291"/>
      <c r="L2558" s="293"/>
      <c r="M2558" s="291"/>
      <c r="N2558" s="289"/>
      <c r="O2558" s="358"/>
      <c r="P2558" s="402">
        <f t="shared" ref="P2558:Q2558" si="2556">IF(B2558=0,0,IF(YEAR(B2558)=$Q$1,MONTH(B2558)-$P$1+1,(YEAR(B2558)-$Q$1)*12-$P$1+1+MONTH(B2558)))</f>
        <v>0</v>
      </c>
      <c r="Q2558" s="402">
        <f t="shared" si="2556"/>
        <v>0</v>
      </c>
      <c r="R2558" s="356" t="e">
        <f t="shared" si="1325"/>
        <v>#N/A</v>
      </c>
      <c r="S2558" s="269" t="str">
        <f>IF(D2558="","",IF(OR(D2558=Plano!$A$1,D2558=Plano!$B$1),"entrada","saída"))</f>
        <v/>
      </c>
      <c r="T2558" s="269"/>
      <c r="U2558" s="269"/>
      <c r="V2558" s="269"/>
      <c r="W2558" s="269"/>
    </row>
    <row r="2559" spans="1:23" ht="12.75" customHeight="1" x14ac:dyDescent="0.2">
      <c r="A2559" s="289" t="str">
        <f t="shared" si="0"/>
        <v/>
      </c>
      <c r="B2559" s="290"/>
      <c r="C2559" s="404"/>
      <c r="D2559" s="291"/>
      <c r="E2559" s="291"/>
      <c r="F2559" s="292"/>
      <c r="G2559" s="291"/>
      <c r="H2559" s="291"/>
      <c r="I2559" s="293"/>
      <c r="J2559" s="291"/>
      <c r="K2559" s="291"/>
      <c r="L2559" s="293"/>
      <c r="M2559" s="291"/>
      <c r="N2559" s="289"/>
      <c r="O2559" s="358"/>
      <c r="P2559" s="402">
        <f t="shared" ref="P2559:Q2559" si="2557">IF(B2559=0,0,IF(YEAR(B2559)=$Q$1,MONTH(B2559)-$P$1+1,(YEAR(B2559)-$Q$1)*12-$P$1+1+MONTH(B2559)))</f>
        <v>0</v>
      </c>
      <c r="Q2559" s="402">
        <f t="shared" si="2557"/>
        <v>0</v>
      </c>
      <c r="R2559" s="356" t="e">
        <f t="shared" si="1325"/>
        <v>#N/A</v>
      </c>
      <c r="S2559" s="269" t="str">
        <f>IF(D2559="","",IF(OR(D2559=Plano!$A$1,D2559=Plano!$B$1),"entrada","saída"))</f>
        <v/>
      </c>
      <c r="T2559" s="269"/>
      <c r="U2559" s="269"/>
      <c r="V2559" s="269"/>
      <c r="W2559" s="269"/>
    </row>
    <row r="2560" spans="1:23" ht="12.75" customHeight="1" x14ac:dyDescent="0.2">
      <c r="A2560" s="289" t="str">
        <f t="shared" si="0"/>
        <v/>
      </c>
      <c r="B2560" s="290"/>
      <c r="C2560" s="404"/>
      <c r="D2560" s="291"/>
      <c r="E2560" s="291"/>
      <c r="F2560" s="292"/>
      <c r="G2560" s="291"/>
      <c r="H2560" s="291"/>
      <c r="I2560" s="293"/>
      <c r="J2560" s="291"/>
      <c r="K2560" s="291"/>
      <c r="L2560" s="293"/>
      <c r="M2560" s="291"/>
      <c r="N2560" s="289"/>
      <c r="O2560" s="358"/>
      <c r="P2560" s="402">
        <f t="shared" ref="P2560:Q2560" si="2558">IF(B2560=0,0,IF(YEAR(B2560)=$Q$1,MONTH(B2560)-$P$1+1,(YEAR(B2560)-$Q$1)*12-$P$1+1+MONTH(B2560)))</f>
        <v>0</v>
      </c>
      <c r="Q2560" s="402">
        <f t="shared" si="2558"/>
        <v>0</v>
      </c>
      <c r="R2560" s="356" t="e">
        <f t="shared" si="1325"/>
        <v>#N/A</v>
      </c>
      <c r="S2560" s="269" t="str">
        <f>IF(D2560="","",IF(OR(D2560=Plano!$A$1,D2560=Plano!$B$1),"entrada","saída"))</f>
        <v/>
      </c>
      <c r="T2560" s="269"/>
      <c r="U2560" s="269"/>
      <c r="V2560" s="269"/>
      <c r="W2560" s="269"/>
    </row>
    <row r="2561" spans="1:23" ht="12.75" customHeight="1" x14ac:dyDescent="0.2">
      <c r="A2561" s="289" t="str">
        <f t="shared" si="0"/>
        <v/>
      </c>
      <c r="B2561" s="290"/>
      <c r="C2561" s="404"/>
      <c r="D2561" s="291"/>
      <c r="E2561" s="291"/>
      <c r="F2561" s="292"/>
      <c r="G2561" s="291"/>
      <c r="H2561" s="291"/>
      <c r="I2561" s="293"/>
      <c r="J2561" s="291"/>
      <c r="K2561" s="291"/>
      <c r="L2561" s="293"/>
      <c r="M2561" s="291"/>
      <c r="N2561" s="289"/>
      <c r="O2561" s="358"/>
      <c r="P2561" s="402">
        <f t="shared" ref="P2561:Q2561" si="2559">IF(B2561=0,0,IF(YEAR(B2561)=$Q$1,MONTH(B2561)-$P$1+1,(YEAR(B2561)-$Q$1)*12-$P$1+1+MONTH(B2561)))</f>
        <v>0</v>
      </c>
      <c r="Q2561" s="402">
        <f t="shared" si="2559"/>
        <v>0</v>
      </c>
      <c r="R2561" s="356" t="e">
        <f t="shared" si="1325"/>
        <v>#N/A</v>
      </c>
      <c r="S2561" s="269" t="str">
        <f>IF(D2561="","",IF(OR(D2561=Plano!$A$1,D2561=Plano!$B$1),"entrada","saída"))</f>
        <v/>
      </c>
      <c r="T2561" s="269"/>
      <c r="U2561" s="269"/>
      <c r="V2561" s="269"/>
      <c r="W2561" s="269"/>
    </row>
    <row r="2562" spans="1:23" ht="12.75" customHeight="1" x14ac:dyDescent="0.2">
      <c r="A2562" s="289" t="str">
        <f t="shared" si="0"/>
        <v/>
      </c>
      <c r="B2562" s="290"/>
      <c r="C2562" s="404"/>
      <c r="D2562" s="291"/>
      <c r="E2562" s="291"/>
      <c r="F2562" s="292"/>
      <c r="G2562" s="291"/>
      <c r="H2562" s="291"/>
      <c r="I2562" s="293"/>
      <c r="J2562" s="291"/>
      <c r="K2562" s="291"/>
      <c r="L2562" s="293"/>
      <c r="M2562" s="291"/>
      <c r="N2562" s="289"/>
      <c r="O2562" s="358"/>
      <c r="P2562" s="402">
        <f t="shared" ref="P2562:Q2562" si="2560">IF(B2562=0,0,IF(YEAR(B2562)=$Q$1,MONTH(B2562)-$P$1+1,(YEAR(B2562)-$Q$1)*12-$P$1+1+MONTH(B2562)))</f>
        <v>0</v>
      </c>
      <c r="Q2562" s="402">
        <f t="shared" si="2560"/>
        <v>0</v>
      </c>
      <c r="R2562" s="356" t="e">
        <f t="shared" si="1325"/>
        <v>#N/A</v>
      </c>
      <c r="S2562" s="269" t="str">
        <f>IF(D2562="","",IF(OR(D2562=Plano!$A$1,D2562=Plano!$B$1),"entrada","saída"))</f>
        <v/>
      </c>
      <c r="T2562" s="269"/>
      <c r="U2562" s="269"/>
      <c r="V2562" s="269"/>
      <c r="W2562" s="269"/>
    </row>
    <row r="2563" spans="1:23" ht="12.75" customHeight="1" x14ac:dyDescent="0.2">
      <c r="A2563" s="289" t="str">
        <f t="shared" si="0"/>
        <v/>
      </c>
      <c r="B2563" s="290"/>
      <c r="C2563" s="404"/>
      <c r="D2563" s="291"/>
      <c r="E2563" s="291"/>
      <c r="F2563" s="292"/>
      <c r="G2563" s="291"/>
      <c r="H2563" s="291"/>
      <c r="I2563" s="293"/>
      <c r="J2563" s="291"/>
      <c r="K2563" s="291"/>
      <c r="L2563" s="293"/>
      <c r="M2563" s="291"/>
      <c r="N2563" s="289"/>
      <c r="O2563" s="358"/>
      <c r="P2563" s="402">
        <f t="shared" ref="P2563:Q2563" si="2561">IF(B2563=0,0,IF(YEAR(B2563)=$Q$1,MONTH(B2563)-$P$1+1,(YEAR(B2563)-$Q$1)*12-$P$1+1+MONTH(B2563)))</f>
        <v>0</v>
      </c>
      <c r="Q2563" s="402">
        <f t="shared" si="2561"/>
        <v>0</v>
      </c>
      <c r="R2563" s="356" t="e">
        <f t="shared" si="1325"/>
        <v>#N/A</v>
      </c>
      <c r="S2563" s="269" t="str">
        <f>IF(D2563="","",IF(OR(D2563=Plano!$A$1,D2563=Plano!$B$1),"entrada","saída"))</f>
        <v/>
      </c>
      <c r="T2563" s="269"/>
      <c r="U2563" s="269"/>
      <c r="V2563" s="269"/>
      <c r="W2563" s="269"/>
    </row>
    <row r="2564" spans="1:23" ht="12.75" customHeight="1" x14ac:dyDescent="0.2">
      <c r="A2564" s="289" t="str">
        <f t="shared" si="0"/>
        <v/>
      </c>
      <c r="B2564" s="290"/>
      <c r="C2564" s="404"/>
      <c r="D2564" s="291"/>
      <c r="E2564" s="291"/>
      <c r="F2564" s="292"/>
      <c r="G2564" s="291"/>
      <c r="H2564" s="291"/>
      <c r="I2564" s="293"/>
      <c r="J2564" s="291"/>
      <c r="K2564" s="291"/>
      <c r="L2564" s="293"/>
      <c r="M2564" s="291"/>
      <c r="N2564" s="289"/>
      <c r="O2564" s="358"/>
      <c r="P2564" s="402">
        <f t="shared" ref="P2564:Q2564" si="2562">IF(B2564=0,0,IF(YEAR(B2564)=$Q$1,MONTH(B2564)-$P$1+1,(YEAR(B2564)-$Q$1)*12-$P$1+1+MONTH(B2564)))</f>
        <v>0</v>
      </c>
      <c r="Q2564" s="402">
        <f t="shared" si="2562"/>
        <v>0</v>
      </c>
      <c r="R2564" s="356" t="e">
        <f t="shared" si="1325"/>
        <v>#N/A</v>
      </c>
      <c r="S2564" s="269" t="str">
        <f>IF(D2564="","",IF(OR(D2564=Plano!$A$1,D2564=Plano!$B$1),"entrada","saída"))</f>
        <v/>
      </c>
      <c r="T2564" s="269"/>
      <c r="U2564" s="269"/>
      <c r="V2564" s="269"/>
      <c r="W2564" s="269"/>
    </row>
    <row r="2565" spans="1:23" ht="12.75" customHeight="1" x14ac:dyDescent="0.2">
      <c r="A2565" s="289" t="str">
        <f t="shared" si="0"/>
        <v/>
      </c>
      <c r="B2565" s="290"/>
      <c r="C2565" s="404"/>
      <c r="D2565" s="291"/>
      <c r="E2565" s="291"/>
      <c r="F2565" s="292"/>
      <c r="G2565" s="291"/>
      <c r="H2565" s="291"/>
      <c r="I2565" s="293"/>
      <c r="J2565" s="291"/>
      <c r="K2565" s="291"/>
      <c r="L2565" s="293"/>
      <c r="M2565" s="291"/>
      <c r="N2565" s="289"/>
      <c r="O2565" s="358"/>
      <c r="P2565" s="402">
        <f t="shared" ref="P2565:Q2565" si="2563">IF(B2565=0,0,IF(YEAR(B2565)=$Q$1,MONTH(B2565)-$P$1+1,(YEAR(B2565)-$Q$1)*12-$P$1+1+MONTH(B2565)))</f>
        <v>0</v>
      </c>
      <c r="Q2565" s="402">
        <f t="shared" si="2563"/>
        <v>0</v>
      </c>
      <c r="R2565" s="356" t="e">
        <f t="shared" si="1325"/>
        <v>#N/A</v>
      </c>
      <c r="S2565" s="269" t="str">
        <f>IF(D2565="","",IF(OR(D2565=Plano!$A$1,D2565=Plano!$B$1),"entrada","saída"))</f>
        <v/>
      </c>
      <c r="T2565" s="269"/>
      <c r="U2565" s="269"/>
      <c r="V2565" s="269"/>
      <c r="W2565" s="269"/>
    </row>
    <row r="2566" spans="1:23" ht="12.75" customHeight="1" x14ac:dyDescent="0.2">
      <c r="A2566" s="289" t="str">
        <f t="shared" si="0"/>
        <v/>
      </c>
      <c r="B2566" s="290"/>
      <c r="C2566" s="404"/>
      <c r="D2566" s="291"/>
      <c r="E2566" s="291"/>
      <c r="F2566" s="292"/>
      <c r="G2566" s="291"/>
      <c r="H2566" s="291"/>
      <c r="I2566" s="293"/>
      <c r="J2566" s="291"/>
      <c r="K2566" s="291"/>
      <c r="L2566" s="293"/>
      <c r="M2566" s="291"/>
      <c r="N2566" s="289"/>
      <c r="O2566" s="358"/>
      <c r="P2566" s="402">
        <f t="shared" ref="P2566:Q2566" si="2564">IF(B2566=0,0,IF(YEAR(B2566)=$Q$1,MONTH(B2566)-$P$1+1,(YEAR(B2566)-$Q$1)*12-$P$1+1+MONTH(B2566)))</f>
        <v>0</v>
      </c>
      <c r="Q2566" s="402">
        <f t="shared" si="2564"/>
        <v>0</v>
      </c>
      <c r="R2566" s="356" t="e">
        <f t="shared" si="1325"/>
        <v>#N/A</v>
      </c>
      <c r="S2566" s="269" t="str">
        <f>IF(D2566="","",IF(OR(D2566=Plano!$A$1,D2566=Plano!$B$1),"entrada","saída"))</f>
        <v/>
      </c>
      <c r="T2566" s="269"/>
      <c r="U2566" s="269"/>
      <c r="V2566" s="269"/>
      <c r="W2566" s="269"/>
    </row>
    <row r="2567" spans="1:23" ht="12.75" customHeight="1" x14ac:dyDescent="0.2">
      <c r="A2567" s="289" t="str">
        <f t="shared" si="0"/>
        <v/>
      </c>
      <c r="B2567" s="290"/>
      <c r="C2567" s="404"/>
      <c r="D2567" s="291"/>
      <c r="E2567" s="291"/>
      <c r="F2567" s="292"/>
      <c r="G2567" s="291"/>
      <c r="H2567" s="291"/>
      <c r="I2567" s="293"/>
      <c r="J2567" s="291"/>
      <c r="K2567" s="291"/>
      <c r="L2567" s="293"/>
      <c r="M2567" s="291"/>
      <c r="N2567" s="289"/>
      <c r="O2567" s="358"/>
      <c r="P2567" s="402">
        <f t="shared" ref="P2567:Q2567" si="2565">IF(B2567=0,0,IF(YEAR(B2567)=$Q$1,MONTH(B2567)-$P$1+1,(YEAR(B2567)-$Q$1)*12-$P$1+1+MONTH(B2567)))</f>
        <v>0</v>
      </c>
      <c r="Q2567" s="402">
        <f t="shared" si="2565"/>
        <v>0</v>
      </c>
      <c r="R2567" s="356" t="e">
        <f t="shared" si="1325"/>
        <v>#N/A</v>
      </c>
      <c r="S2567" s="269" t="str">
        <f>IF(D2567="","",IF(OR(D2567=Plano!$A$1,D2567=Plano!$B$1),"entrada","saída"))</f>
        <v/>
      </c>
      <c r="T2567" s="269"/>
      <c r="U2567" s="269"/>
      <c r="V2567" s="269"/>
      <c r="W2567" s="269"/>
    </row>
    <row r="2568" spans="1:23" ht="12.75" customHeight="1" x14ac:dyDescent="0.2">
      <c r="A2568" s="289" t="str">
        <f t="shared" si="0"/>
        <v/>
      </c>
      <c r="B2568" s="290"/>
      <c r="C2568" s="404"/>
      <c r="D2568" s="291"/>
      <c r="E2568" s="291"/>
      <c r="F2568" s="292"/>
      <c r="G2568" s="291"/>
      <c r="H2568" s="291"/>
      <c r="I2568" s="293"/>
      <c r="J2568" s="291"/>
      <c r="K2568" s="291"/>
      <c r="L2568" s="293"/>
      <c r="M2568" s="291"/>
      <c r="N2568" s="289"/>
      <c r="O2568" s="358"/>
      <c r="P2568" s="402">
        <f t="shared" ref="P2568:Q2568" si="2566">IF(B2568=0,0,IF(YEAR(B2568)=$Q$1,MONTH(B2568)-$P$1+1,(YEAR(B2568)-$Q$1)*12-$P$1+1+MONTH(B2568)))</f>
        <v>0</v>
      </c>
      <c r="Q2568" s="402">
        <f t="shared" si="2566"/>
        <v>0</v>
      </c>
      <c r="R2568" s="356" t="e">
        <f t="shared" si="1325"/>
        <v>#N/A</v>
      </c>
      <c r="S2568" s="269" t="str">
        <f>IF(D2568="","",IF(OR(D2568=Plano!$A$1,D2568=Plano!$B$1),"entrada","saída"))</f>
        <v/>
      </c>
      <c r="T2568" s="269"/>
      <c r="U2568" s="269"/>
      <c r="V2568" s="269"/>
      <c r="W2568" s="269"/>
    </row>
    <row r="2569" spans="1:23" ht="12.75" customHeight="1" x14ac:dyDescent="0.2">
      <c r="A2569" s="289" t="str">
        <f t="shared" si="0"/>
        <v/>
      </c>
      <c r="B2569" s="290"/>
      <c r="C2569" s="404"/>
      <c r="D2569" s="291"/>
      <c r="E2569" s="291"/>
      <c r="F2569" s="292"/>
      <c r="G2569" s="291"/>
      <c r="H2569" s="291"/>
      <c r="I2569" s="293"/>
      <c r="J2569" s="291"/>
      <c r="K2569" s="291"/>
      <c r="L2569" s="293"/>
      <c r="M2569" s="291"/>
      <c r="N2569" s="289"/>
      <c r="O2569" s="358"/>
      <c r="P2569" s="402">
        <f t="shared" ref="P2569:Q2569" si="2567">IF(B2569=0,0,IF(YEAR(B2569)=$Q$1,MONTH(B2569)-$P$1+1,(YEAR(B2569)-$Q$1)*12-$P$1+1+MONTH(B2569)))</f>
        <v>0</v>
      </c>
      <c r="Q2569" s="402">
        <f t="shared" si="2567"/>
        <v>0</v>
      </c>
      <c r="R2569" s="356" t="e">
        <f t="shared" si="1325"/>
        <v>#N/A</v>
      </c>
      <c r="S2569" s="269" t="str">
        <f>IF(D2569="","",IF(OR(D2569=Plano!$A$1,D2569=Plano!$B$1),"entrada","saída"))</f>
        <v/>
      </c>
      <c r="T2569" s="269"/>
      <c r="U2569" s="269"/>
      <c r="V2569" s="269"/>
      <c r="W2569" s="269"/>
    </row>
    <row r="2570" spans="1:23" ht="12.75" customHeight="1" x14ac:dyDescent="0.2">
      <c r="A2570" s="289" t="str">
        <f t="shared" si="0"/>
        <v/>
      </c>
      <c r="B2570" s="290"/>
      <c r="C2570" s="404"/>
      <c r="D2570" s="291"/>
      <c r="E2570" s="291"/>
      <c r="F2570" s="292"/>
      <c r="G2570" s="291"/>
      <c r="H2570" s="291"/>
      <c r="I2570" s="293"/>
      <c r="J2570" s="291"/>
      <c r="K2570" s="291"/>
      <c r="L2570" s="293"/>
      <c r="M2570" s="291"/>
      <c r="N2570" s="289"/>
      <c r="O2570" s="358"/>
      <c r="P2570" s="402">
        <f t="shared" ref="P2570:Q2570" si="2568">IF(B2570=0,0,IF(YEAR(B2570)=$Q$1,MONTH(B2570)-$P$1+1,(YEAR(B2570)-$Q$1)*12-$P$1+1+MONTH(B2570)))</f>
        <v>0</v>
      </c>
      <c r="Q2570" s="402">
        <f t="shared" si="2568"/>
        <v>0</v>
      </c>
      <c r="R2570" s="356" t="e">
        <f t="shared" si="1325"/>
        <v>#N/A</v>
      </c>
      <c r="S2570" s="269" t="str">
        <f>IF(D2570="","",IF(OR(D2570=Plano!$A$1,D2570=Plano!$B$1),"entrada","saída"))</f>
        <v/>
      </c>
      <c r="T2570" s="269"/>
      <c r="U2570" s="269"/>
      <c r="V2570" s="269"/>
      <c r="W2570" s="269"/>
    </row>
    <row r="2571" spans="1:23" ht="12.75" customHeight="1" x14ac:dyDescent="0.2">
      <c r="A2571" s="289" t="str">
        <f t="shared" si="0"/>
        <v/>
      </c>
      <c r="B2571" s="290"/>
      <c r="C2571" s="404"/>
      <c r="D2571" s="291"/>
      <c r="E2571" s="291"/>
      <c r="F2571" s="292"/>
      <c r="G2571" s="291"/>
      <c r="H2571" s="291"/>
      <c r="I2571" s="293"/>
      <c r="J2571" s="291"/>
      <c r="K2571" s="291"/>
      <c r="L2571" s="293"/>
      <c r="M2571" s="291"/>
      <c r="N2571" s="289"/>
      <c r="O2571" s="358"/>
      <c r="P2571" s="402">
        <f t="shared" ref="P2571:Q2571" si="2569">IF(B2571=0,0,IF(YEAR(B2571)=$Q$1,MONTH(B2571)-$P$1+1,(YEAR(B2571)-$Q$1)*12-$P$1+1+MONTH(B2571)))</f>
        <v>0</v>
      </c>
      <c r="Q2571" s="402">
        <f t="shared" si="2569"/>
        <v>0</v>
      </c>
      <c r="R2571" s="356" t="e">
        <f t="shared" si="1325"/>
        <v>#N/A</v>
      </c>
      <c r="S2571" s="269" t="str">
        <f>IF(D2571="","",IF(OR(D2571=Plano!$A$1,D2571=Plano!$B$1),"entrada","saída"))</f>
        <v/>
      </c>
      <c r="T2571" s="269"/>
      <c r="U2571" s="269"/>
      <c r="V2571" s="269"/>
      <c r="W2571" s="269"/>
    </row>
    <row r="2572" spans="1:23" ht="12.75" customHeight="1" x14ac:dyDescent="0.2">
      <c r="A2572" s="289" t="str">
        <f t="shared" si="0"/>
        <v/>
      </c>
      <c r="B2572" s="290"/>
      <c r="C2572" s="404"/>
      <c r="D2572" s="291"/>
      <c r="E2572" s="291"/>
      <c r="F2572" s="292"/>
      <c r="G2572" s="291"/>
      <c r="H2572" s="291"/>
      <c r="I2572" s="293"/>
      <c r="J2572" s="291"/>
      <c r="K2572" s="291"/>
      <c r="L2572" s="293"/>
      <c r="M2572" s="291"/>
      <c r="N2572" s="289"/>
      <c r="O2572" s="358"/>
      <c r="P2572" s="402">
        <f t="shared" ref="P2572:Q2572" si="2570">IF(B2572=0,0,IF(YEAR(B2572)=$Q$1,MONTH(B2572)-$P$1+1,(YEAR(B2572)-$Q$1)*12-$P$1+1+MONTH(B2572)))</f>
        <v>0</v>
      </c>
      <c r="Q2572" s="402">
        <f t="shared" si="2570"/>
        <v>0</v>
      </c>
      <c r="R2572" s="356" t="e">
        <f t="shared" si="1325"/>
        <v>#N/A</v>
      </c>
      <c r="S2572" s="269" t="str">
        <f>IF(D2572="","",IF(OR(D2572=Plano!$A$1,D2572=Plano!$B$1),"entrada","saída"))</f>
        <v/>
      </c>
      <c r="T2572" s="269"/>
      <c r="U2572" s="269"/>
      <c r="V2572" s="269"/>
      <c r="W2572" s="269"/>
    </row>
    <row r="2573" spans="1:23" ht="12.75" customHeight="1" x14ac:dyDescent="0.2">
      <c r="A2573" s="289" t="str">
        <f t="shared" si="0"/>
        <v/>
      </c>
      <c r="B2573" s="290"/>
      <c r="C2573" s="404"/>
      <c r="D2573" s="291"/>
      <c r="E2573" s="291"/>
      <c r="F2573" s="292"/>
      <c r="G2573" s="291"/>
      <c r="H2573" s="291"/>
      <c r="I2573" s="293"/>
      <c r="J2573" s="291"/>
      <c r="K2573" s="291"/>
      <c r="L2573" s="293"/>
      <c r="M2573" s="291"/>
      <c r="N2573" s="289"/>
      <c r="O2573" s="358"/>
      <c r="P2573" s="402">
        <f t="shared" ref="P2573:Q2573" si="2571">IF(B2573=0,0,IF(YEAR(B2573)=$Q$1,MONTH(B2573)-$P$1+1,(YEAR(B2573)-$Q$1)*12-$P$1+1+MONTH(B2573)))</f>
        <v>0</v>
      </c>
      <c r="Q2573" s="402">
        <f t="shared" si="2571"/>
        <v>0</v>
      </c>
      <c r="R2573" s="356" t="e">
        <f t="shared" si="1325"/>
        <v>#N/A</v>
      </c>
      <c r="S2573" s="269" t="str">
        <f>IF(D2573="","",IF(OR(D2573=Plano!$A$1,D2573=Plano!$B$1),"entrada","saída"))</f>
        <v/>
      </c>
      <c r="T2573" s="269"/>
      <c r="U2573" s="269"/>
      <c r="V2573" s="269"/>
      <c r="W2573" s="269"/>
    </row>
    <row r="2574" spans="1:23" ht="12.75" customHeight="1" x14ac:dyDescent="0.2">
      <c r="A2574" s="289" t="str">
        <f t="shared" si="0"/>
        <v/>
      </c>
      <c r="B2574" s="290"/>
      <c r="C2574" s="404"/>
      <c r="D2574" s="291"/>
      <c r="E2574" s="291"/>
      <c r="F2574" s="292"/>
      <c r="G2574" s="291"/>
      <c r="H2574" s="291"/>
      <c r="I2574" s="293"/>
      <c r="J2574" s="291"/>
      <c r="K2574" s="291"/>
      <c r="L2574" s="293"/>
      <c r="M2574" s="291"/>
      <c r="N2574" s="289"/>
      <c r="O2574" s="358"/>
      <c r="P2574" s="402">
        <f t="shared" ref="P2574:Q2574" si="2572">IF(B2574=0,0,IF(YEAR(B2574)=$Q$1,MONTH(B2574)-$P$1+1,(YEAR(B2574)-$Q$1)*12-$P$1+1+MONTH(B2574)))</f>
        <v>0</v>
      </c>
      <c r="Q2574" s="402">
        <f t="shared" si="2572"/>
        <v>0</v>
      </c>
      <c r="R2574" s="356" t="e">
        <f t="shared" si="1325"/>
        <v>#N/A</v>
      </c>
      <c r="S2574" s="269" t="str">
        <f>IF(D2574="","",IF(OR(D2574=Plano!$A$1,D2574=Plano!$B$1),"entrada","saída"))</f>
        <v/>
      </c>
      <c r="T2574" s="269"/>
      <c r="U2574" s="269"/>
      <c r="V2574" s="269"/>
      <c r="W2574" s="269"/>
    </row>
    <row r="2575" spans="1:23" ht="12.75" customHeight="1" x14ac:dyDescent="0.2">
      <c r="A2575" s="289" t="str">
        <f t="shared" si="0"/>
        <v/>
      </c>
      <c r="B2575" s="290"/>
      <c r="C2575" s="404"/>
      <c r="D2575" s="291"/>
      <c r="E2575" s="291"/>
      <c r="F2575" s="292"/>
      <c r="G2575" s="291"/>
      <c r="H2575" s="291"/>
      <c r="I2575" s="293"/>
      <c r="J2575" s="291"/>
      <c r="K2575" s="291"/>
      <c r="L2575" s="293"/>
      <c r="M2575" s="291"/>
      <c r="N2575" s="289"/>
      <c r="O2575" s="358"/>
      <c r="P2575" s="402">
        <f t="shared" ref="P2575:Q2575" si="2573">IF(B2575=0,0,IF(YEAR(B2575)=$Q$1,MONTH(B2575)-$P$1+1,(YEAR(B2575)-$Q$1)*12-$P$1+1+MONTH(B2575)))</f>
        <v>0</v>
      </c>
      <c r="Q2575" s="402">
        <f t="shared" si="2573"/>
        <v>0</v>
      </c>
      <c r="R2575" s="356" t="e">
        <f t="shared" si="1325"/>
        <v>#N/A</v>
      </c>
      <c r="S2575" s="269" t="str">
        <f>IF(D2575="","",IF(OR(D2575=Plano!$A$1,D2575=Plano!$B$1),"entrada","saída"))</f>
        <v/>
      </c>
      <c r="T2575" s="269"/>
      <c r="U2575" s="269"/>
      <c r="V2575" s="269"/>
      <c r="W2575" s="269"/>
    </row>
    <row r="2576" spans="1:23" ht="12.75" customHeight="1" x14ac:dyDescent="0.2">
      <c r="A2576" s="289" t="str">
        <f t="shared" si="0"/>
        <v/>
      </c>
      <c r="B2576" s="290"/>
      <c r="C2576" s="404"/>
      <c r="D2576" s="291"/>
      <c r="E2576" s="291"/>
      <c r="F2576" s="292"/>
      <c r="G2576" s="291"/>
      <c r="H2576" s="291"/>
      <c r="I2576" s="293"/>
      <c r="J2576" s="291"/>
      <c r="K2576" s="291"/>
      <c r="L2576" s="293"/>
      <c r="M2576" s="291"/>
      <c r="N2576" s="289"/>
      <c r="O2576" s="358"/>
      <c r="P2576" s="402">
        <f t="shared" ref="P2576:Q2576" si="2574">IF(B2576=0,0,IF(YEAR(B2576)=$Q$1,MONTH(B2576)-$P$1+1,(YEAR(B2576)-$Q$1)*12-$P$1+1+MONTH(B2576)))</f>
        <v>0</v>
      </c>
      <c r="Q2576" s="402">
        <f t="shared" si="2574"/>
        <v>0</v>
      </c>
      <c r="R2576" s="356" t="e">
        <f t="shared" si="1325"/>
        <v>#N/A</v>
      </c>
      <c r="S2576" s="269" t="str">
        <f>IF(D2576="","",IF(OR(D2576=Plano!$A$1,D2576=Plano!$B$1),"entrada","saída"))</f>
        <v/>
      </c>
      <c r="T2576" s="269"/>
      <c r="U2576" s="269"/>
      <c r="V2576" s="269"/>
      <c r="W2576" s="269"/>
    </row>
    <row r="2577" spans="1:23" ht="12.75" customHeight="1" x14ac:dyDescent="0.2">
      <c r="A2577" s="289" t="str">
        <f t="shared" si="0"/>
        <v/>
      </c>
      <c r="B2577" s="290"/>
      <c r="C2577" s="404"/>
      <c r="D2577" s="291"/>
      <c r="E2577" s="291"/>
      <c r="F2577" s="292"/>
      <c r="G2577" s="291"/>
      <c r="H2577" s="291"/>
      <c r="I2577" s="293"/>
      <c r="J2577" s="291"/>
      <c r="K2577" s="291"/>
      <c r="L2577" s="293"/>
      <c r="M2577" s="291"/>
      <c r="N2577" s="289"/>
      <c r="O2577" s="358"/>
      <c r="P2577" s="402">
        <f t="shared" ref="P2577:Q2577" si="2575">IF(B2577=0,0,IF(YEAR(B2577)=$Q$1,MONTH(B2577)-$P$1+1,(YEAR(B2577)-$Q$1)*12-$P$1+1+MONTH(B2577)))</f>
        <v>0</v>
      </c>
      <c r="Q2577" s="402">
        <f t="shared" si="2575"/>
        <v>0</v>
      </c>
      <c r="R2577" s="356" t="e">
        <f t="shared" si="1325"/>
        <v>#N/A</v>
      </c>
      <c r="S2577" s="269" t="str">
        <f>IF(D2577="","",IF(OR(D2577=Plano!$A$1,D2577=Plano!$B$1),"entrada","saída"))</f>
        <v/>
      </c>
      <c r="T2577" s="269"/>
      <c r="U2577" s="269"/>
      <c r="V2577" s="269"/>
      <c r="W2577" s="269"/>
    </row>
    <row r="2578" spans="1:23" ht="12.75" customHeight="1" x14ac:dyDescent="0.2">
      <c r="A2578" s="289" t="str">
        <f t="shared" si="0"/>
        <v/>
      </c>
      <c r="B2578" s="290"/>
      <c r="C2578" s="404"/>
      <c r="D2578" s="291"/>
      <c r="E2578" s="291"/>
      <c r="F2578" s="292"/>
      <c r="G2578" s="291"/>
      <c r="H2578" s="291"/>
      <c r="I2578" s="293"/>
      <c r="J2578" s="291"/>
      <c r="K2578" s="291"/>
      <c r="L2578" s="293"/>
      <c r="M2578" s="291"/>
      <c r="N2578" s="289"/>
      <c r="O2578" s="358"/>
      <c r="P2578" s="402">
        <f t="shared" ref="P2578:Q2578" si="2576">IF(B2578=0,0,IF(YEAR(B2578)=$Q$1,MONTH(B2578)-$P$1+1,(YEAR(B2578)-$Q$1)*12-$P$1+1+MONTH(B2578)))</f>
        <v>0</v>
      </c>
      <c r="Q2578" s="402">
        <f t="shared" si="2576"/>
        <v>0</v>
      </c>
      <c r="R2578" s="356" t="e">
        <f t="shared" si="1325"/>
        <v>#N/A</v>
      </c>
      <c r="S2578" s="269" t="str">
        <f>IF(D2578="","",IF(OR(D2578=Plano!$A$1,D2578=Plano!$B$1),"entrada","saída"))</f>
        <v/>
      </c>
      <c r="T2578" s="269"/>
      <c r="U2578" s="269"/>
      <c r="V2578" s="269"/>
      <c r="W2578" s="269"/>
    </row>
    <row r="2579" spans="1:23" ht="12.75" customHeight="1" x14ac:dyDescent="0.2">
      <c r="A2579" s="289" t="str">
        <f t="shared" si="0"/>
        <v/>
      </c>
      <c r="B2579" s="290"/>
      <c r="C2579" s="404"/>
      <c r="D2579" s="291"/>
      <c r="E2579" s="291"/>
      <c r="F2579" s="292"/>
      <c r="G2579" s="291"/>
      <c r="H2579" s="291"/>
      <c r="I2579" s="293"/>
      <c r="J2579" s="291"/>
      <c r="K2579" s="291"/>
      <c r="L2579" s="293"/>
      <c r="M2579" s="291"/>
      <c r="N2579" s="289"/>
      <c r="O2579" s="358"/>
      <c r="P2579" s="402">
        <f t="shared" ref="P2579:Q2579" si="2577">IF(B2579=0,0,IF(YEAR(B2579)=$Q$1,MONTH(B2579)-$P$1+1,(YEAR(B2579)-$Q$1)*12-$P$1+1+MONTH(B2579)))</f>
        <v>0</v>
      </c>
      <c r="Q2579" s="402">
        <f t="shared" si="2577"/>
        <v>0</v>
      </c>
      <c r="R2579" s="356" t="e">
        <f t="shared" si="1325"/>
        <v>#N/A</v>
      </c>
      <c r="S2579" s="269" t="str">
        <f>IF(D2579="","",IF(OR(D2579=Plano!$A$1,D2579=Plano!$B$1),"entrada","saída"))</f>
        <v/>
      </c>
      <c r="T2579" s="269"/>
      <c r="U2579" s="269"/>
      <c r="V2579" s="269"/>
      <c r="W2579" s="269"/>
    </row>
    <row r="2580" spans="1:23" ht="12.75" customHeight="1" x14ac:dyDescent="0.2">
      <c r="A2580" s="289" t="str">
        <f t="shared" si="0"/>
        <v/>
      </c>
      <c r="B2580" s="290"/>
      <c r="C2580" s="404"/>
      <c r="D2580" s="291"/>
      <c r="E2580" s="291"/>
      <c r="F2580" s="292"/>
      <c r="G2580" s="291"/>
      <c r="H2580" s="291"/>
      <c r="I2580" s="293"/>
      <c r="J2580" s="291"/>
      <c r="K2580" s="291"/>
      <c r="L2580" s="293"/>
      <c r="M2580" s="291"/>
      <c r="N2580" s="289"/>
      <c r="O2580" s="358"/>
      <c r="P2580" s="402">
        <f t="shared" ref="P2580:Q2580" si="2578">IF(B2580=0,0,IF(YEAR(B2580)=$Q$1,MONTH(B2580)-$P$1+1,(YEAR(B2580)-$Q$1)*12-$P$1+1+MONTH(B2580)))</f>
        <v>0</v>
      </c>
      <c r="Q2580" s="402">
        <f t="shared" si="2578"/>
        <v>0</v>
      </c>
      <c r="R2580" s="356" t="e">
        <f t="shared" si="1325"/>
        <v>#N/A</v>
      </c>
      <c r="S2580" s="269" t="str">
        <f>IF(D2580="","",IF(OR(D2580=Plano!$A$1,D2580=Plano!$B$1),"entrada","saída"))</f>
        <v/>
      </c>
      <c r="T2580" s="269"/>
      <c r="U2580" s="269"/>
      <c r="V2580" s="269"/>
      <c r="W2580" s="269"/>
    </row>
    <row r="2581" spans="1:23" ht="12.75" customHeight="1" x14ac:dyDescent="0.2">
      <c r="A2581" s="289" t="str">
        <f t="shared" si="0"/>
        <v/>
      </c>
      <c r="B2581" s="290"/>
      <c r="C2581" s="404"/>
      <c r="D2581" s="291"/>
      <c r="E2581" s="291"/>
      <c r="F2581" s="292"/>
      <c r="G2581" s="291"/>
      <c r="H2581" s="291"/>
      <c r="I2581" s="293"/>
      <c r="J2581" s="291"/>
      <c r="K2581" s="291"/>
      <c r="L2581" s="293"/>
      <c r="M2581" s="291"/>
      <c r="N2581" s="289"/>
      <c r="O2581" s="358"/>
      <c r="P2581" s="402">
        <f t="shared" ref="P2581:Q2581" si="2579">IF(B2581=0,0,IF(YEAR(B2581)=$Q$1,MONTH(B2581)-$P$1+1,(YEAR(B2581)-$Q$1)*12-$P$1+1+MONTH(B2581)))</f>
        <v>0</v>
      </c>
      <c r="Q2581" s="402">
        <f t="shared" si="2579"/>
        <v>0</v>
      </c>
      <c r="R2581" s="356" t="e">
        <f t="shared" si="1325"/>
        <v>#N/A</v>
      </c>
      <c r="S2581" s="269" t="str">
        <f>IF(D2581="","",IF(OR(D2581=Plano!$A$1,D2581=Plano!$B$1),"entrada","saída"))</f>
        <v/>
      </c>
      <c r="T2581" s="269"/>
      <c r="U2581" s="269"/>
      <c r="V2581" s="269"/>
      <c r="W2581" s="269"/>
    </row>
    <row r="2582" spans="1:23" ht="12.75" customHeight="1" x14ac:dyDescent="0.2">
      <c r="A2582" s="289" t="str">
        <f t="shared" si="0"/>
        <v/>
      </c>
      <c r="B2582" s="290"/>
      <c r="C2582" s="404"/>
      <c r="D2582" s="291"/>
      <c r="E2582" s="291"/>
      <c r="F2582" s="292"/>
      <c r="G2582" s="291"/>
      <c r="H2582" s="291"/>
      <c r="I2582" s="293"/>
      <c r="J2582" s="291"/>
      <c r="K2582" s="291"/>
      <c r="L2582" s="293"/>
      <c r="M2582" s="291"/>
      <c r="N2582" s="289"/>
      <c r="O2582" s="358"/>
      <c r="P2582" s="402">
        <f t="shared" ref="P2582:Q2582" si="2580">IF(B2582=0,0,IF(YEAR(B2582)=$Q$1,MONTH(B2582)-$P$1+1,(YEAR(B2582)-$Q$1)*12-$P$1+1+MONTH(B2582)))</f>
        <v>0</v>
      </c>
      <c r="Q2582" s="402">
        <f t="shared" si="2580"/>
        <v>0</v>
      </c>
      <c r="R2582" s="356" t="e">
        <f t="shared" si="1325"/>
        <v>#N/A</v>
      </c>
      <c r="S2582" s="269" t="str">
        <f>IF(D2582="","",IF(OR(D2582=Plano!$A$1,D2582=Plano!$B$1),"entrada","saída"))</f>
        <v/>
      </c>
      <c r="T2582" s="269"/>
      <c r="U2582" s="269"/>
      <c r="V2582" s="269"/>
      <c r="W2582" s="269"/>
    </row>
    <row r="2583" spans="1:23" ht="12.75" customHeight="1" x14ac:dyDescent="0.2">
      <c r="A2583" s="289" t="str">
        <f t="shared" si="0"/>
        <v/>
      </c>
      <c r="B2583" s="290"/>
      <c r="C2583" s="404"/>
      <c r="D2583" s="291"/>
      <c r="E2583" s="291"/>
      <c r="F2583" s="292"/>
      <c r="G2583" s="291"/>
      <c r="H2583" s="291"/>
      <c r="I2583" s="293"/>
      <c r="J2583" s="291"/>
      <c r="K2583" s="291"/>
      <c r="L2583" s="293"/>
      <c r="M2583" s="291"/>
      <c r="N2583" s="289"/>
      <c r="O2583" s="358"/>
      <c r="P2583" s="402">
        <f t="shared" ref="P2583:Q2583" si="2581">IF(B2583=0,0,IF(YEAR(B2583)=$Q$1,MONTH(B2583)-$P$1+1,(YEAR(B2583)-$Q$1)*12-$P$1+1+MONTH(B2583)))</f>
        <v>0</v>
      </c>
      <c r="Q2583" s="402">
        <f t="shared" si="2581"/>
        <v>0</v>
      </c>
      <c r="R2583" s="356" t="e">
        <f t="shared" si="1325"/>
        <v>#N/A</v>
      </c>
      <c r="S2583" s="269" t="str">
        <f>IF(D2583="","",IF(OR(D2583=Plano!$A$1,D2583=Plano!$B$1),"entrada","saída"))</f>
        <v/>
      </c>
      <c r="T2583" s="269"/>
      <c r="U2583" s="269"/>
      <c r="V2583" s="269"/>
      <c r="W2583" s="269"/>
    </row>
    <row r="2584" spans="1:23" ht="12.75" customHeight="1" x14ac:dyDescent="0.2">
      <c r="A2584" s="289" t="str">
        <f t="shared" si="0"/>
        <v/>
      </c>
      <c r="B2584" s="290"/>
      <c r="C2584" s="404"/>
      <c r="D2584" s="291"/>
      <c r="E2584" s="291"/>
      <c r="F2584" s="292"/>
      <c r="G2584" s="291"/>
      <c r="H2584" s="291"/>
      <c r="I2584" s="293"/>
      <c r="J2584" s="291"/>
      <c r="K2584" s="291"/>
      <c r="L2584" s="293"/>
      <c r="M2584" s="291"/>
      <c r="N2584" s="289"/>
      <c r="O2584" s="358"/>
      <c r="P2584" s="402">
        <f t="shared" ref="P2584:Q2584" si="2582">IF(B2584=0,0,IF(YEAR(B2584)=$Q$1,MONTH(B2584)-$P$1+1,(YEAR(B2584)-$Q$1)*12-$P$1+1+MONTH(B2584)))</f>
        <v>0</v>
      </c>
      <c r="Q2584" s="402">
        <f t="shared" si="2582"/>
        <v>0</v>
      </c>
      <c r="R2584" s="356" t="e">
        <f t="shared" si="1325"/>
        <v>#N/A</v>
      </c>
      <c r="S2584" s="269" t="str">
        <f>IF(D2584="","",IF(OR(D2584=Plano!$A$1,D2584=Plano!$B$1),"entrada","saída"))</f>
        <v/>
      </c>
      <c r="T2584" s="269"/>
      <c r="U2584" s="269"/>
      <c r="V2584" s="269"/>
      <c r="W2584" s="269"/>
    </row>
    <row r="2585" spans="1:23" ht="12.75" customHeight="1" x14ac:dyDescent="0.2">
      <c r="A2585" s="289" t="str">
        <f t="shared" si="0"/>
        <v/>
      </c>
      <c r="B2585" s="290"/>
      <c r="C2585" s="404"/>
      <c r="D2585" s="291"/>
      <c r="E2585" s="291"/>
      <c r="F2585" s="292"/>
      <c r="G2585" s="291"/>
      <c r="H2585" s="291"/>
      <c r="I2585" s="293"/>
      <c r="J2585" s="291"/>
      <c r="K2585" s="291"/>
      <c r="L2585" s="293"/>
      <c r="M2585" s="291"/>
      <c r="N2585" s="289"/>
      <c r="O2585" s="358"/>
      <c r="P2585" s="402">
        <f t="shared" ref="P2585:Q2585" si="2583">IF(B2585=0,0,IF(YEAR(B2585)=$Q$1,MONTH(B2585)-$P$1+1,(YEAR(B2585)-$Q$1)*12-$P$1+1+MONTH(B2585)))</f>
        <v>0</v>
      </c>
      <c r="Q2585" s="402">
        <f t="shared" si="2583"/>
        <v>0</v>
      </c>
      <c r="R2585" s="356" t="e">
        <f t="shared" si="1325"/>
        <v>#N/A</v>
      </c>
      <c r="S2585" s="269" t="str">
        <f>IF(D2585="","",IF(OR(D2585=Plano!$A$1,D2585=Plano!$B$1),"entrada","saída"))</f>
        <v/>
      </c>
      <c r="T2585" s="269"/>
      <c r="U2585" s="269"/>
      <c r="V2585" s="269"/>
      <c r="W2585" s="269"/>
    </row>
    <row r="2586" spans="1:23" ht="12.75" customHeight="1" x14ac:dyDescent="0.2">
      <c r="A2586" s="289" t="str">
        <f t="shared" si="0"/>
        <v/>
      </c>
      <c r="B2586" s="290"/>
      <c r="C2586" s="404"/>
      <c r="D2586" s="291"/>
      <c r="E2586" s="291"/>
      <c r="F2586" s="292"/>
      <c r="G2586" s="291"/>
      <c r="H2586" s="291"/>
      <c r="I2586" s="293"/>
      <c r="J2586" s="291"/>
      <c r="K2586" s="291"/>
      <c r="L2586" s="293"/>
      <c r="M2586" s="291"/>
      <c r="N2586" s="289"/>
      <c r="O2586" s="358"/>
      <c r="P2586" s="402">
        <f t="shared" ref="P2586:Q2586" si="2584">IF(B2586=0,0,IF(YEAR(B2586)=$Q$1,MONTH(B2586)-$P$1+1,(YEAR(B2586)-$Q$1)*12-$P$1+1+MONTH(B2586)))</f>
        <v>0</v>
      </c>
      <c r="Q2586" s="402">
        <f t="shared" si="2584"/>
        <v>0</v>
      </c>
      <c r="R2586" s="356" t="e">
        <f t="shared" si="1325"/>
        <v>#N/A</v>
      </c>
      <c r="S2586" s="269" t="str">
        <f>IF(D2586="","",IF(OR(D2586=Plano!$A$1,D2586=Plano!$B$1),"entrada","saída"))</f>
        <v/>
      </c>
      <c r="T2586" s="269"/>
      <c r="U2586" s="269"/>
      <c r="V2586" s="269"/>
      <c r="W2586" s="269"/>
    </row>
    <row r="2587" spans="1:23" ht="12.75" customHeight="1" x14ac:dyDescent="0.2">
      <c r="A2587" s="289" t="str">
        <f t="shared" si="0"/>
        <v/>
      </c>
      <c r="B2587" s="290"/>
      <c r="C2587" s="404"/>
      <c r="D2587" s="291"/>
      <c r="E2587" s="291"/>
      <c r="F2587" s="292"/>
      <c r="G2587" s="291"/>
      <c r="H2587" s="291"/>
      <c r="I2587" s="293"/>
      <c r="J2587" s="291"/>
      <c r="K2587" s="291"/>
      <c r="L2587" s="293"/>
      <c r="M2587" s="291"/>
      <c r="N2587" s="289"/>
      <c r="O2587" s="358"/>
      <c r="P2587" s="402">
        <f t="shared" ref="P2587:Q2587" si="2585">IF(B2587=0,0,IF(YEAR(B2587)=$Q$1,MONTH(B2587)-$P$1+1,(YEAR(B2587)-$Q$1)*12-$P$1+1+MONTH(B2587)))</f>
        <v>0</v>
      </c>
      <c r="Q2587" s="402">
        <f t="shared" si="2585"/>
        <v>0</v>
      </c>
      <c r="R2587" s="356" t="e">
        <f t="shared" si="1325"/>
        <v>#N/A</v>
      </c>
      <c r="S2587" s="269" t="str">
        <f>IF(D2587="","",IF(OR(D2587=Plano!$A$1,D2587=Plano!$B$1),"entrada","saída"))</f>
        <v/>
      </c>
      <c r="T2587" s="269"/>
      <c r="U2587" s="269"/>
      <c r="V2587" s="269"/>
      <c r="W2587" s="269"/>
    </row>
    <row r="2588" spans="1:23" ht="12.75" customHeight="1" x14ac:dyDescent="0.2">
      <c r="A2588" s="289" t="str">
        <f t="shared" si="0"/>
        <v/>
      </c>
      <c r="B2588" s="290"/>
      <c r="C2588" s="404"/>
      <c r="D2588" s="291"/>
      <c r="E2588" s="291"/>
      <c r="F2588" s="292"/>
      <c r="G2588" s="291"/>
      <c r="H2588" s="291"/>
      <c r="I2588" s="293"/>
      <c r="J2588" s="291"/>
      <c r="K2588" s="291"/>
      <c r="L2588" s="293"/>
      <c r="M2588" s="291"/>
      <c r="N2588" s="289"/>
      <c r="O2588" s="358"/>
      <c r="P2588" s="402">
        <f t="shared" ref="P2588:Q2588" si="2586">IF(B2588=0,0,IF(YEAR(B2588)=$Q$1,MONTH(B2588)-$P$1+1,(YEAR(B2588)-$Q$1)*12-$P$1+1+MONTH(B2588)))</f>
        <v>0</v>
      </c>
      <c r="Q2588" s="402">
        <f t="shared" si="2586"/>
        <v>0</v>
      </c>
      <c r="R2588" s="356" t="e">
        <f t="shared" si="1325"/>
        <v>#N/A</v>
      </c>
      <c r="S2588" s="269" t="str">
        <f>IF(D2588="","",IF(OR(D2588=Plano!$A$1,D2588=Plano!$B$1),"entrada","saída"))</f>
        <v/>
      </c>
      <c r="T2588" s="269"/>
      <c r="U2588" s="269"/>
      <c r="V2588" s="269"/>
      <c r="W2588" s="269"/>
    </row>
    <row r="2589" spans="1:23" ht="12.75" customHeight="1" x14ac:dyDescent="0.2">
      <c r="A2589" s="289" t="str">
        <f t="shared" si="0"/>
        <v/>
      </c>
      <c r="B2589" s="290"/>
      <c r="C2589" s="404"/>
      <c r="D2589" s="291"/>
      <c r="E2589" s="291"/>
      <c r="F2589" s="292"/>
      <c r="G2589" s="291"/>
      <c r="H2589" s="291"/>
      <c r="I2589" s="293"/>
      <c r="J2589" s="291"/>
      <c r="K2589" s="291"/>
      <c r="L2589" s="293"/>
      <c r="M2589" s="291"/>
      <c r="N2589" s="289"/>
      <c r="O2589" s="358"/>
      <c r="P2589" s="402">
        <f t="shared" ref="P2589:Q2589" si="2587">IF(B2589=0,0,IF(YEAR(B2589)=$Q$1,MONTH(B2589)-$P$1+1,(YEAR(B2589)-$Q$1)*12-$P$1+1+MONTH(B2589)))</f>
        <v>0</v>
      </c>
      <c r="Q2589" s="402">
        <f t="shared" si="2587"/>
        <v>0</v>
      </c>
      <c r="R2589" s="356" t="e">
        <f t="shared" si="1325"/>
        <v>#N/A</v>
      </c>
      <c r="S2589" s="269" t="str">
        <f>IF(D2589="","",IF(OR(D2589=Plano!$A$1,D2589=Plano!$B$1),"entrada","saída"))</f>
        <v/>
      </c>
      <c r="T2589" s="269"/>
      <c r="U2589" s="269"/>
      <c r="V2589" s="269"/>
      <c r="W2589" s="269"/>
    </row>
    <row r="2590" spans="1:23" ht="12.75" customHeight="1" x14ac:dyDescent="0.2">
      <c r="A2590" s="289" t="str">
        <f t="shared" si="0"/>
        <v/>
      </c>
      <c r="B2590" s="290"/>
      <c r="C2590" s="404"/>
      <c r="D2590" s="291"/>
      <c r="E2590" s="291"/>
      <c r="F2590" s="292"/>
      <c r="G2590" s="291"/>
      <c r="H2590" s="291"/>
      <c r="I2590" s="293"/>
      <c r="J2590" s="291"/>
      <c r="K2590" s="291"/>
      <c r="L2590" s="293"/>
      <c r="M2590" s="291"/>
      <c r="N2590" s="289"/>
      <c r="O2590" s="358"/>
      <c r="P2590" s="402">
        <f t="shared" ref="P2590:Q2590" si="2588">IF(B2590=0,0,IF(YEAR(B2590)=$Q$1,MONTH(B2590)-$P$1+1,(YEAR(B2590)-$Q$1)*12-$P$1+1+MONTH(B2590)))</f>
        <v>0</v>
      </c>
      <c r="Q2590" s="402">
        <f t="shared" si="2588"/>
        <v>0</v>
      </c>
      <c r="R2590" s="356" t="e">
        <f t="shared" si="1325"/>
        <v>#N/A</v>
      </c>
      <c r="S2590" s="269" t="str">
        <f>IF(D2590="","",IF(OR(D2590=Plano!$A$1,D2590=Plano!$B$1),"entrada","saída"))</f>
        <v/>
      </c>
      <c r="T2590" s="269"/>
      <c r="U2590" s="269"/>
      <c r="V2590" s="269"/>
      <c r="W2590" s="269"/>
    </row>
    <row r="2591" spans="1:23" ht="12.75" customHeight="1" x14ac:dyDescent="0.2">
      <c r="A2591" s="289" t="str">
        <f t="shared" si="0"/>
        <v/>
      </c>
      <c r="B2591" s="290"/>
      <c r="C2591" s="404"/>
      <c r="D2591" s="291"/>
      <c r="E2591" s="291"/>
      <c r="F2591" s="292"/>
      <c r="G2591" s="291"/>
      <c r="H2591" s="291"/>
      <c r="I2591" s="293"/>
      <c r="J2591" s="291"/>
      <c r="K2591" s="291"/>
      <c r="L2591" s="293"/>
      <c r="M2591" s="291"/>
      <c r="N2591" s="289"/>
      <c r="O2591" s="358"/>
      <c r="P2591" s="402">
        <f t="shared" ref="P2591:Q2591" si="2589">IF(B2591=0,0,IF(YEAR(B2591)=$Q$1,MONTH(B2591)-$P$1+1,(YEAR(B2591)-$Q$1)*12-$P$1+1+MONTH(B2591)))</f>
        <v>0</v>
      </c>
      <c r="Q2591" s="402">
        <f t="shared" si="2589"/>
        <v>0</v>
      </c>
      <c r="R2591" s="356" t="e">
        <f t="shared" si="1325"/>
        <v>#N/A</v>
      </c>
      <c r="S2591" s="269" t="str">
        <f>IF(D2591="","",IF(OR(D2591=Plano!$A$1,D2591=Plano!$B$1),"entrada","saída"))</f>
        <v/>
      </c>
      <c r="T2591" s="269"/>
      <c r="U2591" s="269"/>
      <c r="V2591" s="269"/>
      <c r="W2591" s="269"/>
    </row>
    <row r="2592" spans="1:23" ht="12.75" customHeight="1" x14ac:dyDescent="0.2">
      <c r="A2592" s="289" t="str">
        <f t="shared" si="0"/>
        <v/>
      </c>
      <c r="B2592" s="290"/>
      <c r="C2592" s="404"/>
      <c r="D2592" s="291"/>
      <c r="E2592" s="291"/>
      <c r="F2592" s="292"/>
      <c r="G2592" s="291"/>
      <c r="H2592" s="291"/>
      <c r="I2592" s="293"/>
      <c r="J2592" s="291"/>
      <c r="K2592" s="291"/>
      <c r="L2592" s="293"/>
      <c r="M2592" s="291"/>
      <c r="N2592" s="289"/>
      <c r="O2592" s="358"/>
      <c r="P2592" s="402">
        <f t="shared" ref="P2592:Q2592" si="2590">IF(B2592=0,0,IF(YEAR(B2592)=$Q$1,MONTH(B2592)-$P$1+1,(YEAR(B2592)-$Q$1)*12-$P$1+1+MONTH(B2592)))</f>
        <v>0</v>
      </c>
      <c r="Q2592" s="402">
        <f t="shared" si="2590"/>
        <v>0</v>
      </c>
      <c r="R2592" s="356" t="e">
        <f t="shared" si="1325"/>
        <v>#N/A</v>
      </c>
      <c r="S2592" s="269" t="str">
        <f>IF(D2592="","",IF(OR(D2592=Plano!$A$1,D2592=Plano!$B$1),"entrada","saída"))</f>
        <v/>
      </c>
      <c r="T2592" s="269"/>
      <c r="U2592" s="269"/>
      <c r="V2592" s="269"/>
      <c r="W2592" s="269"/>
    </row>
    <row r="2593" spans="1:23" ht="12.75" customHeight="1" x14ac:dyDescent="0.2">
      <c r="A2593" s="289" t="str">
        <f t="shared" si="0"/>
        <v/>
      </c>
      <c r="B2593" s="290"/>
      <c r="C2593" s="404"/>
      <c r="D2593" s="291"/>
      <c r="E2593" s="291"/>
      <c r="F2593" s="292"/>
      <c r="G2593" s="291"/>
      <c r="H2593" s="291"/>
      <c r="I2593" s="293"/>
      <c r="J2593" s="291"/>
      <c r="K2593" s="291"/>
      <c r="L2593" s="293"/>
      <c r="M2593" s="291"/>
      <c r="N2593" s="289"/>
      <c r="O2593" s="358"/>
      <c r="P2593" s="402">
        <f t="shared" ref="P2593:Q2593" si="2591">IF(B2593=0,0,IF(YEAR(B2593)=$Q$1,MONTH(B2593)-$P$1+1,(YEAR(B2593)-$Q$1)*12-$P$1+1+MONTH(B2593)))</f>
        <v>0</v>
      </c>
      <c r="Q2593" s="402">
        <f t="shared" si="2591"/>
        <v>0</v>
      </c>
      <c r="R2593" s="356" t="e">
        <f t="shared" si="1325"/>
        <v>#N/A</v>
      </c>
      <c r="S2593" s="269" t="str">
        <f>IF(D2593="","",IF(OR(D2593=Plano!$A$1,D2593=Plano!$B$1),"entrada","saída"))</f>
        <v/>
      </c>
      <c r="T2593" s="269"/>
      <c r="U2593" s="269"/>
      <c r="V2593" s="269"/>
      <c r="W2593" s="269"/>
    </row>
    <row r="2594" spans="1:23" ht="12.75" customHeight="1" x14ac:dyDescent="0.2">
      <c r="A2594" s="289" t="str">
        <f t="shared" si="0"/>
        <v/>
      </c>
      <c r="B2594" s="290"/>
      <c r="C2594" s="404"/>
      <c r="D2594" s="291"/>
      <c r="E2594" s="291"/>
      <c r="F2594" s="292"/>
      <c r="G2594" s="291"/>
      <c r="H2594" s="291"/>
      <c r="I2594" s="293"/>
      <c r="J2594" s="291"/>
      <c r="K2594" s="291"/>
      <c r="L2594" s="293"/>
      <c r="M2594" s="291"/>
      <c r="N2594" s="289"/>
      <c r="O2594" s="358"/>
      <c r="P2594" s="402">
        <f t="shared" ref="P2594:Q2594" si="2592">IF(B2594=0,0,IF(YEAR(B2594)=$Q$1,MONTH(B2594)-$P$1+1,(YEAR(B2594)-$Q$1)*12-$P$1+1+MONTH(B2594)))</f>
        <v>0</v>
      </c>
      <c r="Q2594" s="402">
        <f t="shared" si="2592"/>
        <v>0</v>
      </c>
      <c r="R2594" s="356" t="e">
        <f t="shared" si="1325"/>
        <v>#N/A</v>
      </c>
      <c r="S2594" s="269" t="str">
        <f>IF(D2594="","",IF(OR(D2594=Plano!$A$1,D2594=Plano!$B$1),"entrada","saída"))</f>
        <v/>
      </c>
      <c r="T2594" s="269"/>
      <c r="U2594" s="269"/>
      <c r="V2594" s="269"/>
      <c r="W2594" s="269"/>
    </row>
    <row r="2595" spans="1:23" ht="12.75" customHeight="1" x14ac:dyDescent="0.2">
      <c r="A2595" s="289" t="str">
        <f t="shared" si="0"/>
        <v/>
      </c>
      <c r="B2595" s="290"/>
      <c r="C2595" s="404"/>
      <c r="D2595" s="291"/>
      <c r="E2595" s="291"/>
      <c r="F2595" s="292"/>
      <c r="G2595" s="291"/>
      <c r="H2595" s="291"/>
      <c r="I2595" s="293"/>
      <c r="J2595" s="291"/>
      <c r="K2595" s="291"/>
      <c r="L2595" s="293"/>
      <c r="M2595" s="291"/>
      <c r="N2595" s="289"/>
      <c r="O2595" s="358"/>
      <c r="P2595" s="402">
        <f t="shared" ref="P2595:Q2595" si="2593">IF(B2595=0,0,IF(YEAR(B2595)=$Q$1,MONTH(B2595)-$P$1+1,(YEAR(B2595)-$Q$1)*12-$P$1+1+MONTH(B2595)))</f>
        <v>0</v>
      </c>
      <c r="Q2595" s="402">
        <f t="shared" si="2593"/>
        <v>0</v>
      </c>
      <c r="R2595" s="356" t="e">
        <f t="shared" si="1325"/>
        <v>#N/A</v>
      </c>
      <c r="S2595" s="269" t="str">
        <f>IF(D2595="","",IF(OR(D2595=Plano!$A$1,D2595=Plano!$B$1),"entrada","saída"))</f>
        <v/>
      </c>
      <c r="T2595" s="269"/>
      <c r="U2595" s="269"/>
      <c r="V2595" s="269"/>
      <c r="W2595" s="269"/>
    </row>
    <row r="2596" spans="1:23" ht="12.75" customHeight="1" x14ac:dyDescent="0.2">
      <c r="A2596" s="289" t="str">
        <f t="shared" si="0"/>
        <v/>
      </c>
      <c r="B2596" s="290"/>
      <c r="C2596" s="404"/>
      <c r="D2596" s="291"/>
      <c r="E2596" s="291"/>
      <c r="F2596" s="292"/>
      <c r="G2596" s="291"/>
      <c r="H2596" s="291"/>
      <c r="I2596" s="293"/>
      <c r="J2596" s="291"/>
      <c r="K2596" s="291"/>
      <c r="L2596" s="293"/>
      <c r="M2596" s="291"/>
      <c r="N2596" s="289"/>
      <c r="O2596" s="358"/>
      <c r="P2596" s="402">
        <f t="shared" ref="P2596:Q2596" si="2594">IF(B2596=0,0,IF(YEAR(B2596)=$Q$1,MONTH(B2596)-$P$1+1,(YEAR(B2596)-$Q$1)*12-$P$1+1+MONTH(B2596)))</f>
        <v>0</v>
      </c>
      <c r="Q2596" s="402">
        <f t="shared" si="2594"/>
        <v>0</v>
      </c>
      <c r="R2596" s="356" t="e">
        <f t="shared" si="1325"/>
        <v>#N/A</v>
      </c>
      <c r="S2596" s="269" t="str">
        <f>IF(D2596="","",IF(OR(D2596=Plano!$A$1,D2596=Plano!$B$1),"entrada","saída"))</f>
        <v/>
      </c>
      <c r="T2596" s="269"/>
      <c r="U2596" s="269"/>
      <c r="V2596" s="269"/>
      <c r="W2596" s="269"/>
    </row>
    <row r="2597" spans="1:23" ht="12.75" customHeight="1" x14ac:dyDescent="0.2">
      <c r="A2597" s="289" t="str">
        <f t="shared" si="0"/>
        <v/>
      </c>
      <c r="B2597" s="290"/>
      <c r="C2597" s="404"/>
      <c r="D2597" s="291"/>
      <c r="E2597" s="291"/>
      <c r="F2597" s="292"/>
      <c r="G2597" s="291"/>
      <c r="H2597" s="291"/>
      <c r="I2597" s="293"/>
      <c r="J2597" s="291"/>
      <c r="K2597" s="291"/>
      <c r="L2597" s="293"/>
      <c r="M2597" s="291"/>
      <c r="N2597" s="289"/>
      <c r="O2597" s="358"/>
      <c r="P2597" s="402">
        <f t="shared" ref="P2597:Q2597" si="2595">IF(B2597=0,0,IF(YEAR(B2597)=$Q$1,MONTH(B2597)-$P$1+1,(YEAR(B2597)-$Q$1)*12-$P$1+1+MONTH(B2597)))</f>
        <v>0</v>
      </c>
      <c r="Q2597" s="402">
        <f t="shared" si="2595"/>
        <v>0</v>
      </c>
      <c r="R2597" s="356" t="e">
        <f t="shared" si="1325"/>
        <v>#N/A</v>
      </c>
      <c r="S2597" s="269" t="str">
        <f>IF(D2597="","",IF(OR(D2597=Plano!$A$1,D2597=Plano!$B$1),"entrada","saída"))</f>
        <v/>
      </c>
      <c r="T2597" s="269"/>
      <c r="U2597" s="269"/>
      <c r="V2597" s="269"/>
      <c r="W2597" s="269"/>
    </row>
    <row r="2598" spans="1:23" ht="12.75" customHeight="1" x14ac:dyDescent="0.2">
      <c r="A2598" s="289" t="str">
        <f t="shared" si="0"/>
        <v/>
      </c>
      <c r="B2598" s="290"/>
      <c r="C2598" s="404"/>
      <c r="D2598" s="291"/>
      <c r="E2598" s="291"/>
      <c r="F2598" s="292"/>
      <c r="G2598" s="291"/>
      <c r="H2598" s="291"/>
      <c r="I2598" s="293"/>
      <c r="J2598" s="291"/>
      <c r="K2598" s="291"/>
      <c r="L2598" s="293"/>
      <c r="M2598" s="291"/>
      <c r="N2598" s="289"/>
      <c r="O2598" s="358"/>
      <c r="P2598" s="402">
        <f t="shared" ref="P2598:Q2598" si="2596">IF(B2598=0,0,IF(YEAR(B2598)=$Q$1,MONTH(B2598)-$P$1+1,(YEAR(B2598)-$Q$1)*12-$P$1+1+MONTH(B2598)))</f>
        <v>0</v>
      </c>
      <c r="Q2598" s="402">
        <f t="shared" si="2596"/>
        <v>0</v>
      </c>
      <c r="R2598" s="356" t="e">
        <f t="shared" si="1325"/>
        <v>#N/A</v>
      </c>
      <c r="S2598" s="269" t="str">
        <f>IF(D2598="","",IF(OR(D2598=Plano!$A$1,D2598=Plano!$B$1),"entrada","saída"))</f>
        <v/>
      </c>
      <c r="T2598" s="269"/>
      <c r="U2598" s="269"/>
      <c r="V2598" s="269"/>
      <c r="W2598" s="269"/>
    </row>
    <row r="2599" spans="1:23" ht="12.75" customHeight="1" x14ac:dyDescent="0.2">
      <c r="A2599" s="289" t="str">
        <f t="shared" si="0"/>
        <v/>
      </c>
      <c r="B2599" s="290"/>
      <c r="C2599" s="404"/>
      <c r="D2599" s="291"/>
      <c r="E2599" s="291"/>
      <c r="F2599" s="292"/>
      <c r="G2599" s="291"/>
      <c r="H2599" s="291"/>
      <c r="I2599" s="293"/>
      <c r="J2599" s="291"/>
      <c r="K2599" s="291"/>
      <c r="L2599" s="293"/>
      <c r="M2599" s="291"/>
      <c r="N2599" s="289"/>
      <c r="O2599" s="358"/>
      <c r="P2599" s="402">
        <f t="shared" ref="P2599:Q2599" si="2597">IF(B2599=0,0,IF(YEAR(B2599)=$Q$1,MONTH(B2599)-$P$1+1,(YEAR(B2599)-$Q$1)*12-$P$1+1+MONTH(B2599)))</f>
        <v>0</v>
      </c>
      <c r="Q2599" s="402">
        <f t="shared" si="2597"/>
        <v>0</v>
      </c>
      <c r="R2599" s="356" t="e">
        <f t="shared" si="1325"/>
        <v>#N/A</v>
      </c>
      <c r="S2599" s="269" t="str">
        <f>IF(D2599="","",IF(OR(D2599=Plano!$A$1,D2599=Plano!$B$1),"entrada","saída"))</f>
        <v/>
      </c>
      <c r="T2599" s="269"/>
      <c r="U2599" s="269"/>
      <c r="V2599" s="269"/>
      <c r="W2599" s="269"/>
    </row>
    <row r="2600" spans="1:23" ht="12.75" customHeight="1" x14ac:dyDescent="0.2">
      <c r="A2600" s="289" t="str">
        <f t="shared" si="0"/>
        <v/>
      </c>
      <c r="B2600" s="290"/>
      <c r="C2600" s="404"/>
      <c r="D2600" s="291"/>
      <c r="E2600" s="291"/>
      <c r="F2600" s="292"/>
      <c r="G2600" s="291"/>
      <c r="H2600" s="291"/>
      <c r="I2600" s="293"/>
      <c r="J2600" s="291"/>
      <c r="K2600" s="291"/>
      <c r="L2600" s="293"/>
      <c r="M2600" s="291"/>
      <c r="N2600" s="289"/>
      <c r="O2600" s="358"/>
      <c r="P2600" s="402">
        <f t="shared" ref="P2600:Q2600" si="2598">IF(B2600=0,0,IF(YEAR(B2600)=$Q$1,MONTH(B2600)-$P$1+1,(YEAR(B2600)-$Q$1)*12-$P$1+1+MONTH(B2600)))</f>
        <v>0</v>
      </c>
      <c r="Q2600" s="402">
        <f t="shared" si="2598"/>
        <v>0</v>
      </c>
      <c r="R2600" s="356" t="e">
        <f t="shared" si="1325"/>
        <v>#N/A</v>
      </c>
      <c r="S2600" s="269" t="str">
        <f>IF(D2600="","",IF(OR(D2600=Plano!$A$1,D2600=Plano!$B$1),"entrada","saída"))</f>
        <v/>
      </c>
      <c r="T2600" s="269"/>
      <c r="U2600" s="269"/>
      <c r="V2600" s="269"/>
      <c r="W2600" s="269"/>
    </row>
    <row r="2601" spans="1:23" ht="12.75" customHeight="1" x14ac:dyDescent="0.2">
      <c r="A2601" s="289" t="str">
        <f t="shared" si="0"/>
        <v/>
      </c>
      <c r="B2601" s="290"/>
      <c r="C2601" s="404"/>
      <c r="D2601" s="291"/>
      <c r="E2601" s="291"/>
      <c r="F2601" s="292"/>
      <c r="G2601" s="291"/>
      <c r="H2601" s="291"/>
      <c r="I2601" s="293"/>
      <c r="J2601" s="291"/>
      <c r="K2601" s="291"/>
      <c r="L2601" s="293"/>
      <c r="M2601" s="291"/>
      <c r="N2601" s="289"/>
      <c r="O2601" s="358"/>
      <c r="P2601" s="402">
        <f t="shared" ref="P2601:Q2601" si="2599">IF(B2601=0,0,IF(YEAR(B2601)=$Q$1,MONTH(B2601)-$P$1+1,(YEAR(B2601)-$Q$1)*12-$P$1+1+MONTH(B2601)))</f>
        <v>0</v>
      </c>
      <c r="Q2601" s="402">
        <f t="shared" si="2599"/>
        <v>0</v>
      </c>
      <c r="R2601" s="356" t="e">
        <f t="shared" si="1325"/>
        <v>#N/A</v>
      </c>
      <c r="S2601" s="269" t="str">
        <f>IF(D2601="","",IF(OR(D2601=Plano!$A$1,D2601=Plano!$B$1),"entrada","saída"))</f>
        <v/>
      </c>
      <c r="T2601" s="269"/>
      <c r="U2601" s="269"/>
      <c r="V2601" s="269"/>
      <c r="W2601" s="269"/>
    </row>
    <row r="2602" spans="1:23" ht="12.75" customHeight="1" x14ac:dyDescent="0.2">
      <c r="A2602" s="289" t="str">
        <f t="shared" si="0"/>
        <v/>
      </c>
      <c r="B2602" s="290"/>
      <c r="C2602" s="404"/>
      <c r="D2602" s="291"/>
      <c r="E2602" s="291"/>
      <c r="F2602" s="292"/>
      <c r="G2602" s="291"/>
      <c r="H2602" s="291"/>
      <c r="I2602" s="293"/>
      <c r="J2602" s="291"/>
      <c r="K2602" s="291"/>
      <c r="L2602" s="293"/>
      <c r="M2602" s="291"/>
      <c r="N2602" s="289"/>
      <c r="O2602" s="358"/>
      <c r="P2602" s="402">
        <f t="shared" ref="P2602:Q2602" si="2600">IF(B2602=0,0,IF(YEAR(B2602)=$Q$1,MONTH(B2602)-$P$1+1,(YEAR(B2602)-$Q$1)*12-$P$1+1+MONTH(B2602)))</f>
        <v>0</v>
      </c>
      <c r="Q2602" s="402">
        <f t="shared" si="2600"/>
        <v>0</v>
      </c>
      <c r="R2602" s="356" t="e">
        <f t="shared" si="1325"/>
        <v>#N/A</v>
      </c>
      <c r="S2602" s="269" t="str">
        <f>IF(D2602="","",IF(OR(D2602=Plano!$A$1,D2602=Plano!$B$1),"entrada","saída"))</f>
        <v/>
      </c>
      <c r="T2602" s="269"/>
      <c r="U2602" s="269"/>
      <c r="V2602" s="269"/>
      <c r="W2602" s="269"/>
    </row>
    <row r="2603" spans="1:23" ht="12.75" customHeight="1" x14ac:dyDescent="0.2">
      <c r="A2603" s="289" t="str">
        <f t="shared" si="0"/>
        <v/>
      </c>
      <c r="B2603" s="290"/>
      <c r="C2603" s="404"/>
      <c r="D2603" s="291"/>
      <c r="E2603" s="291"/>
      <c r="F2603" s="292"/>
      <c r="G2603" s="291"/>
      <c r="H2603" s="291"/>
      <c r="I2603" s="293"/>
      <c r="J2603" s="291"/>
      <c r="K2603" s="291"/>
      <c r="L2603" s="293"/>
      <c r="M2603" s="291"/>
      <c r="N2603" s="289"/>
      <c r="O2603" s="358"/>
      <c r="P2603" s="402">
        <f t="shared" ref="P2603:Q2603" si="2601">IF(B2603=0,0,IF(YEAR(B2603)=$Q$1,MONTH(B2603)-$P$1+1,(YEAR(B2603)-$Q$1)*12-$P$1+1+MONTH(B2603)))</f>
        <v>0</v>
      </c>
      <c r="Q2603" s="402">
        <f t="shared" si="2601"/>
        <v>0</v>
      </c>
      <c r="R2603" s="356" t="e">
        <f t="shared" si="1325"/>
        <v>#N/A</v>
      </c>
      <c r="S2603" s="269" t="str">
        <f>IF(D2603="","",IF(OR(D2603=Plano!$A$1,D2603=Plano!$B$1),"entrada","saída"))</f>
        <v/>
      </c>
      <c r="T2603" s="269"/>
      <c r="U2603" s="269"/>
      <c r="V2603" s="269"/>
      <c r="W2603" s="269"/>
    </row>
    <row r="2604" spans="1:23" ht="12.75" customHeight="1" x14ac:dyDescent="0.2">
      <c r="A2604" s="289" t="str">
        <f t="shared" si="0"/>
        <v/>
      </c>
      <c r="B2604" s="290"/>
      <c r="C2604" s="404"/>
      <c r="D2604" s="291"/>
      <c r="E2604" s="291"/>
      <c r="F2604" s="292"/>
      <c r="G2604" s="291"/>
      <c r="H2604" s="291"/>
      <c r="I2604" s="293"/>
      <c r="J2604" s="291"/>
      <c r="K2604" s="291"/>
      <c r="L2604" s="293"/>
      <c r="M2604" s="291"/>
      <c r="N2604" s="289"/>
      <c r="O2604" s="358"/>
      <c r="P2604" s="402">
        <f t="shared" ref="P2604:Q2604" si="2602">IF(B2604=0,0,IF(YEAR(B2604)=$Q$1,MONTH(B2604)-$P$1+1,(YEAR(B2604)-$Q$1)*12-$P$1+1+MONTH(B2604)))</f>
        <v>0</v>
      </c>
      <c r="Q2604" s="402">
        <f t="shared" si="2602"/>
        <v>0</v>
      </c>
      <c r="R2604" s="356" t="e">
        <f t="shared" si="1325"/>
        <v>#N/A</v>
      </c>
      <c r="S2604" s="269" t="str">
        <f>IF(D2604="","",IF(OR(D2604=Plano!$A$1,D2604=Plano!$B$1),"entrada","saída"))</f>
        <v/>
      </c>
      <c r="T2604" s="269"/>
      <c r="U2604" s="269"/>
      <c r="V2604" s="269"/>
      <c r="W2604" s="269"/>
    </row>
    <row r="2605" spans="1:23" ht="12.75" customHeight="1" x14ac:dyDescent="0.2">
      <c r="A2605" s="289" t="str">
        <f t="shared" si="0"/>
        <v/>
      </c>
      <c r="B2605" s="290"/>
      <c r="C2605" s="404"/>
      <c r="D2605" s="291"/>
      <c r="E2605" s="291"/>
      <c r="F2605" s="292"/>
      <c r="G2605" s="291"/>
      <c r="H2605" s="291"/>
      <c r="I2605" s="293"/>
      <c r="J2605" s="291"/>
      <c r="K2605" s="291"/>
      <c r="L2605" s="293"/>
      <c r="M2605" s="291"/>
      <c r="N2605" s="289"/>
      <c r="O2605" s="358"/>
      <c r="P2605" s="402">
        <f t="shared" ref="P2605:Q2605" si="2603">IF(B2605=0,0,IF(YEAR(B2605)=$Q$1,MONTH(B2605)-$P$1+1,(YEAR(B2605)-$Q$1)*12-$P$1+1+MONTH(B2605)))</f>
        <v>0</v>
      </c>
      <c r="Q2605" s="402">
        <f t="shared" si="2603"/>
        <v>0</v>
      </c>
      <c r="R2605" s="356" t="e">
        <f t="shared" si="1325"/>
        <v>#N/A</v>
      </c>
      <c r="S2605" s="269" t="str">
        <f>IF(D2605="","",IF(OR(D2605=Plano!$A$1,D2605=Plano!$B$1),"entrada","saída"))</f>
        <v/>
      </c>
      <c r="T2605" s="269"/>
      <c r="U2605" s="269"/>
      <c r="V2605" s="269"/>
      <c r="W2605" s="269"/>
    </row>
    <row r="2606" spans="1:23" ht="12.75" customHeight="1" x14ac:dyDescent="0.2">
      <c r="A2606" s="289" t="str">
        <f t="shared" si="0"/>
        <v/>
      </c>
      <c r="B2606" s="290"/>
      <c r="C2606" s="404"/>
      <c r="D2606" s="291"/>
      <c r="E2606" s="291"/>
      <c r="F2606" s="292"/>
      <c r="G2606" s="291"/>
      <c r="H2606" s="291"/>
      <c r="I2606" s="293"/>
      <c r="J2606" s="291"/>
      <c r="K2606" s="291"/>
      <c r="L2606" s="293"/>
      <c r="M2606" s="291"/>
      <c r="N2606" s="289"/>
      <c r="O2606" s="358"/>
      <c r="P2606" s="402">
        <f t="shared" ref="P2606:Q2606" si="2604">IF(B2606=0,0,IF(YEAR(B2606)=$Q$1,MONTH(B2606)-$P$1+1,(YEAR(B2606)-$Q$1)*12-$P$1+1+MONTH(B2606)))</f>
        <v>0</v>
      </c>
      <c r="Q2606" s="402">
        <f t="shared" si="2604"/>
        <v>0</v>
      </c>
      <c r="R2606" s="356" t="e">
        <f t="shared" si="1325"/>
        <v>#N/A</v>
      </c>
      <c r="S2606" s="269" t="str">
        <f>IF(D2606="","",IF(OR(D2606=Plano!$A$1,D2606=Plano!$B$1),"entrada","saída"))</f>
        <v/>
      </c>
      <c r="T2606" s="269"/>
      <c r="U2606" s="269"/>
      <c r="V2606" s="269"/>
      <c r="W2606" s="269"/>
    </row>
    <row r="2607" spans="1:23" ht="12.75" customHeight="1" x14ac:dyDescent="0.2">
      <c r="A2607" s="289" t="str">
        <f t="shared" si="0"/>
        <v/>
      </c>
      <c r="B2607" s="290"/>
      <c r="C2607" s="404"/>
      <c r="D2607" s="291"/>
      <c r="E2607" s="291"/>
      <c r="F2607" s="292"/>
      <c r="G2607" s="291"/>
      <c r="H2607" s="291"/>
      <c r="I2607" s="293"/>
      <c r="J2607" s="291"/>
      <c r="K2607" s="291"/>
      <c r="L2607" s="293"/>
      <c r="M2607" s="291"/>
      <c r="N2607" s="289"/>
      <c r="O2607" s="358"/>
      <c r="P2607" s="402">
        <f t="shared" ref="P2607:Q2607" si="2605">IF(B2607=0,0,IF(YEAR(B2607)=$Q$1,MONTH(B2607)-$P$1+1,(YEAR(B2607)-$Q$1)*12-$P$1+1+MONTH(B2607)))</f>
        <v>0</v>
      </c>
      <c r="Q2607" s="402">
        <f t="shared" si="2605"/>
        <v>0</v>
      </c>
      <c r="R2607" s="356" t="e">
        <f t="shared" si="1325"/>
        <v>#N/A</v>
      </c>
      <c r="S2607" s="269" t="str">
        <f>IF(D2607="","",IF(OR(D2607=Plano!$A$1,D2607=Plano!$B$1),"entrada","saída"))</f>
        <v/>
      </c>
      <c r="T2607" s="269"/>
      <c r="U2607" s="269"/>
      <c r="V2607" s="269"/>
      <c r="W2607" s="269"/>
    </row>
    <row r="2608" spans="1:23" ht="12.75" customHeight="1" x14ac:dyDescent="0.2">
      <c r="A2608" s="289" t="str">
        <f t="shared" si="0"/>
        <v/>
      </c>
      <c r="B2608" s="290"/>
      <c r="C2608" s="404"/>
      <c r="D2608" s="291"/>
      <c r="E2608" s="291"/>
      <c r="F2608" s="292"/>
      <c r="G2608" s="291"/>
      <c r="H2608" s="291"/>
      <c r="I2608" s="293"/>
      <c r="J2608" s="291"/>
      <c r="K2608" s="291"/>
      <c r="L2608" s="293"/>
      <c r="M2608" s="291"/>
      <c r="N2608" s="289"/>
      <c r="O2608" s="358"/>
      <c r="P2608" s="402">
        <f t="shared" ref="P2608:Q2608" si="2606">IF(B2608=0,0,IF(YEAR(B2608)=$Q$1,MONTH(B2608)-$P$1+1,(YEAR(B2608)-$Q$1)*12-$P$1+1+MONTH(B2608)))</f>
        <v>0</v>
      </c>
      <c r="Q2608" s="402">
        <f t="shared" si="2606"/>
        <v>0</v>
      </c>
      <c r="R2608" s="356" t="e">
        <f t="shared" si="1325"/>
        <v>#N/A</v>
      </c>
      <c r="S2608" s="269" t="str">
        <f>IF(D2608="","",IF(OR(D2608=Plano!$A$1,D2608=Plano!$B$1),"entrada","saída"))</f>
        <v/>
      </c>
      <c r="T2608" s="269"/>
      <c r="U2608" s="269"/>
      <c r="V2608" s="269"/>
      <c r="W2608" s="269"/>
    </row>
    <row r="2609" spans="1:23" ht="12.75" customHeight="1" x14ac:dyDescent="0.2">
      <c r="A2609" s="289" t="str">
        <f t="shared" si="0"/>
        <v/>
      </c>
      <c r="B2609" s="290"/>
      <c r="C2609" s="404"/>
      <c r="D2609" s="291"/>
      <c r="E2609" s="291"/>
      <c r="F2609" s="292"/>
      <c r="G2609" s="291"/>
      <c r="H2609" s="291"/>
      <c r="I2609" s="293"/>
      <c r="J2609" s="291"/>
      <c r="K2609" s="291"/>
      <c r="L2609" s="293"/>
      <c r="M2609" s="291"/>
      <c r="N2609" s="289"/>
      <c r="O2609" s="358"/>
      <c r="P2609" s="402">
        <f t="shared" ref="P2609:Q2609" si="2607">IF(B2609=0,0,IF(YEAR(B2609)=$Q$1,MONTH(B2609)-$P$1+1,(YEAR(B2609)-$Q$1)*12-$P$1+1+MONTH(B2609)))</f>
        <v>0</v>
      </c>
      <c r="Q2609" s="402">
        <f t="shared" si="2607"/>
        <v>0</v>
      </c>
      <c r="R2609" s="356" t="e">
        <f t="shared" si="1325"/>
        <v>#N/A</v>
      </c>
      <c r="S2609" s="269" t="str">
        <f>IF(D2609="","",IF(OR(D2609=Plano!$A$1,D2609=Plano!$B$1),"entrada","saída"))</f>
        <v/>
      </c>
      <c r="T2609" s="269"/>
      <c r="U2609" s="269"/>
      <c r="V2609" s="269"/>
      <c r="W2609" s="269"/>
    </row>
    <row r="2610" spans="1:23" ht="12.75" customHeight="1" x14ac:dyDescent="0.2">
      <c r="A2610" s="289" t="str">
        <f t="shared" si="0"/>
        <v/>
      </c>
      <c r="B2610" s="290"/>
      <c r="C2610" s="404"/>
      <c r="D2610" s="291"/>
      <c r="E2610" s="291"/>
      <c r="F2610" s="292"/>
      <c r="G2610" s="291"/>
      <c r="H2610" s="291"/>
      <c r="I2610" s="293"/>
      <c r="J2610" s="291"/>
      <c r="K2610" s="291"/>
      <c r="L2610" s="293"/>
      <c r="M2610" s="291"/>
      <c r="N2610" s="289"/>
      <c r="O2610" s="358"/>
      <c r="P2610" s="402">
        <f t="shared" ref="P2610:Q2610" si="2608">IF(B2610=0,0,IF(YEAR(B2610)=$Q$1,MONTH(B2610)-$P$1+1,(YEAR(B2610)-$Q$1)*12-$P$1+1+MONTH(B2610)))</f>
        <v>0</v>
      </c>
      <c r="Q2610" s="402">
        <f t="shared" si="2608"/>
        <v>0</v>
      </c>
      <c r="R2610" s="356" t="e">
        <f t="shared" si="1325"/>
        <v>#N/A</v>
      </c>
      <c r="S2610" s="269" t="str">
        <f>IF(D2610="","",IF(OR(D2610=Plano!$A$1,D2610=Plano!$B$1),"entrada","saída"))</f>
        <v/>
      </c>
      <c r="T2610" s="269"/>
      <c r="U2610" s="269"/>
      <c r="V2610" s="269"/>
      <c r="W2610" s="269"/>
    </row>
    <row r="2611" spans="1:23" ht="12.75" customHeight="1" x14ac:dyDescent="0.2">
      <c r="A2611" s="289" t="str">
        <f t="shared" si="0"/>
        <v/>
      </c>
      <c r="B2611" s="290"/>
      <c r="C2611" s="404"/>
      <c r="D2611" s="291"/>
      <c r="E2611" s="291"/>
      <c r="F2611" s="292"/>
      <c r="G2611" s="291"/>
      <c r="H2611" s="291"/>
      <c r="I2611" s="293"/>
      <c r="J2611" s="291"/>
      <c r="K2611" s="291"/>
      <c r="L2611" s="293"/>
      <c r="M2611" s="291"/>
      <c r="N2611" s="289"/>
      <c r="O2611" s="358"/>
      <c r="P2611" s="402">
        <f t="shared" ref="P2611:Q2611" si="2609">IF(B2611=0,0,IF(YEAR(B2611)=$Q$1,MONTH(B2611)-$P$1+1,(YEAR(B2611)-$Q$1)*12-$P$1+1+MONTH(B2611)))</f>
        <v>0</v>
      </c>
      <c r="Q2611" s="402">
        <f t="shared" si="2609"/>
        <v>0</v>
      </c>
      <c r="R2611" s="356" t="e">
        <f t="shared" si="1325"/>
        <v>#N/A</v>
      </c>
      <c r="S2611" s="269" t="str">
        <f>IF(D2611="","",IF(OR(D2611=Plano!$A$1,D2611=Plano!$B$1),"entrada","saída"))</f>
        <v/>
      </c>
      <c r="T2611" s="269"/>
      <c r="U2611" s="269"/>
      <c r="V2611" s="269"/>
      <c r="W2611" s="269"/>
    </row>
    <row r="2612" spans="1:23" ht="12.75" customHeight="1" x14ac:dyDescent="0.2">
      <c r="A2612" s="289" t="str">
        <f t="shared" si="0"/>
        <v/>
      </c>
      <c r="B2612" s="290"/>
      <c r="C2612" s="404"/>
      <c r="D2612" s="291"/>
      <c r="E2612" s="291"/>
      <c r="F2612" s="292"/>
      <c r="G2612" s="291"/>
      <c r="H2612" s="291"/>
      <c r="I2612" s="293"/>
      <c r="J2612" s="291"/>
      <c r="K2612" s="291"/>
      <c r="L2612" s="293"/>
      <c r="M2612" s="291"/>
      <c r="N2612" s="289"/>
      <c r="O2612" s="358"/>
      <c r="P2612" s="402">
        <f t="shared" ref="P2612:Q2612" si="2610">IF(B2612=0,0,IF(YEAR(B2612)=$Q$1,MONTH(B2612)-$P$1+1,(YEAR(B2612)-$Q$1)*12-$P$1+1+MONTH(B2612)))</f>
        <v>0</v>
      </c>
      <c r="Q2612" s="402">
        <f t="shared" si="2610"/>
        <v>0</v>
      </c>
      <c r="R2612" s="356" t="e">
        <f t="shared" si="1325"/>
        <v>#N/A</v>
      </c>
      <c r="S2612" s="269" t="str">
        <f>IF(D2612="","",IF(OR(D2612=Plano!$A$1,D2612=Plano!$B$1),"entrada","saída"))</f>
        <v/>
      </c>
      <c r="T2612" s="269"/>
      <c r="U2612" s="269"/>
      <c r="V2612" s="269"/>
      <c r="W2612" s="269"/>
    </row>
    <row r="2613" spans="1:23" ht="12.75" customHeight="1" x14ac:dyDescent="0.2">
      <c r="A2613" s="289" t="str">
        <f t="shared" si="0"/>
        <v/>
      </c>
      <c r="B2613" s="290"/>
      <c r="C2613" s="404"/>
      <c r="D2613" s="291"/>
      <c r="E2613" s="291"/>
      <c r="F2613" s="292"/>
      <c r="G2613" s="291"/>
      <c r="H2613" s="291"/>
      <c r="I2613" s="293"/>
      <c r="J2613" s="291"/>
      <c r="K2613" s="291"/>
      <c r="L2613" s="293"/>
      <c r="M2613" s="291"/>
      <c r="N2613" s="289"/>
      <c r="O2613" s="358"/>
      <c r="P2613" s="402">
        <f t="shared" ref="P2613:Q2613" si="2611">IF(B2613=0,0,IF(YEAR(B2613)=$Q$1,MONTH(B2613)-$P$1+1,(YEAR(B2613)-$Q$1)*12-$P$1+1+MONTH(B2613)))</f>
        <v>0</v>
      </c>
      <c r="Q2613" s="402">
        <f t="shared" si="2611"/>
        <v>0</v>
      </c>
      <c r="R2613" s="356" t="e">
        <f t="shared" si="1325"/>
        <v>#N/A</v>
      </c>
      <c r="S2613" s="269" t="str">
        <f>IF(D2613="","",IF(OR(D2613=Plano!$A$1,D2613=Plano!$B$1),"entrada","saída"))</f>
        <v/>
      </c>
      <c r="T2613" s="269"/>
      <c r="U2613" s="269"/>
      <c r="V2613" s="269"/>
      <c r="W2613" s="269"/>
    </row>
    <row r="2614" spans="1:23" ht="12.75" customHeight="1" x14ac:dyDescent="0.2">
      <c r="A2614" s="289" t="str">
        <f t="shared" si="0"/>
        <v/>
      </c>
      <c r="B2614" s="290"/>
      <c r="C2614" s="404"/>
      <c r="D2614" s="291"/>
      <c r="E2614" s="291"/>
      <c r="F2614" s="292"/>
      <c r="G2614" s="291"/>
      <c r="H2614" s="291"/>
      <c r="I2614" s="293"/>
      <c r="J2614" s="291"/>
      <c r="K2614" s="291"/>
      <c r="L2614" s="293"/>
      <c r="M2614" s="291"/>
      <c r="N2614" s="289"/>
      <c r="O2614" s="358"/>
      <c r="P2614" s="402">
        <f t="shared" ref="P2614:Q2614" si="2612">IF(B2614=0,0,IF(YEAR(B2614)=$Q$1,MONTH(B2614)-$P$1+1,(YEAR(B2614)-$Q$1)*12-$P$1+1+MONTH(B2614)))</f>
        <v>0</v>
      </c>
      <c r="Q2614" s="402">
        <f t="shared" si="2612"/>
        <v>0</v>
      </c>
      <c r="R2614" s="356" t="e">
        <f t="shared" si="1325"/>
        <v>#N/A</v>
      </c>
      <c r="S2614" s="269" t="str">
        <f>IF(D2614="","",IF(OR(D2614=Plano!$A$1,D2614=Plano!$B$1),"entrada","saída"))</f>
        <v/>
      </c>
      <c r="T2614" s="269"/>
      <c r="U2614" s="269"/>
      <c r="V2614" s="269"/>
      <c r="W2614" s="269"/>
    </row>
    <row r="2615" spans="1:23" ht="12.75" customHeight="1" x14ac:dyDescent="0.2">
      <c r="A2615" s="289" t="str">
        <f t="shared" si="0"/>
        <v/>
      </c>
      <c r="B2615" s="290"/>
      <c r="C2615" s="404"/>
      <c r="D2615" s="291"/>
      <c r="E2615" s="291"/>
      <c r="F2615" s="292"/>
      <c r="G2615" s="291"/>
      <c r="H2615" s="291"/>
      <c r="I2615" s="293"/>
      <c r="J2615" s="291"/>
      <c r="K2615" s="291"/>
      <c r="L2615" s="293"/>
      <c r="M2615" s="291"/>
      <c r="N2615" s="289"/>
      <c r="O2615" s="358"/>
      <c r="P2615" s="402">
        <f t="shared" ref="P2615:Q2615" si="2613">IF(B2615=0,0,IF(YEAR(B2615)=$Q$1,MONTH(B2615)-$P$1+1,(YEAR(B2615)-$Q$1)*12-$P$1+1+MONTH(B2615)))</f>
        <v>0</v>
      </c>
      <c r="Q2615" s="402">
        <f t="shared" si="2613"/>
        <v>0</v>
      </c>
      <c r="R2615" s="356" t="e">
        <f t="shared" si="1325"/>
        <v>#N/A</v>
      </c>
      <c r="S2615" s="269" t="str">
        <f>IF(D2615="","",IF(OR(D2615=Plano!$A$1,D2615=Plano!$B$1),"entrada","saída"))</f>
        <v/>
      </c>
      <c r="T2615" s="269"/>
      <c r="U2615" s="269"/>
      <c r="V2615" s="269"/>
      <c r="W2615" s="269"/>
    </row>
    <row r="2616" spans="1:23" ht="12.75" customHeight="1" x14ac:dyDescent="0.2">
      <c r="A2616" s="289" t="str">
        <f t="shared" si="0"/>
        <v/>
      </c>
      <c r="B2616" s="290"/>
      <c r="C2616" s="404"/>
      <c r="D2616" s="291"/>
      <c r="E2616" s="291"/>
      <c r="F2616" s="292"/>
      <c r="G2616" s="291"/>
      <c r="H2616" s="291"/>
      <c r="I2616" s="293"/>
      <c r="J2616" s="291"/>
      <c r="K2616" s="291"/>
      <c r="L2616" s="293"/>
      <c r="M2616" s="291"/>
      <c r="N2616" s="289"/>
      <c r="O2616" s="358"/>
      <c r="P2616" s="402">
        <f t="shared" ref="P2616:Q2616" si="2614">IF(B2616=0,0,IF(YEAR(B2616)=$Q$1,MONTH(B2616)-$P$1+1,(YEAR(B2616)-$Q$1)*12-$P$1+1+MONTH(B2616)))</f>
        <v>0</v>
      </c>
      <c r="Q2616" s="402">
        <f t="shared" si="2614"/>
        <v>0</v>
      </c>
      <c r="R2616" s="356" t="e">
        <f t="shared" si="1325"/>
        <v>#N/A</v>
      </c>
      <c r="S2616" s="269" t="str">
        <f>IF(D2616="","",IF(OR(D2616=Plano!$A$1,D2616=Plano!$B$1),"entrada","saída"))</f>
        <v/>
      </c>
      <c r="T2616" s="269"/>
      <c r="U2616" s="269"/>
      <c r="V2616" s="269"/>
      <c r="W2616" s="269"/>
    </row>
    <row r="2617" spans="1:23" ht="12.75" customHeight="1" x14ac:dyDescent="0.2">
      <c r="A2617" s="289" t="str">
        <f t="shared" si="0"/>
        <v/>
      </c>
      <c r="B2617" s="290"/>
      <c r="C2617" s="404"/>
      <c r="D2617" s="291"/>
      <c r="E2617" s="291"/>
      <c r="F2617" s="292"/>
      <c r="G2617" s="291"/>
      <c r="H2617" s="291"/>
      <c r="I2617" s="293"/>
      <c r="J2617" s="291"/>
      <c r="K2617" s="291"/>
      <c r="L2617" s="293"/>
      <c r="M2617" s="291"/>
      <c r="N2617" s="289"/>
      <c r="O2617" s="358"/>
      <c r="P2617" s="402">
        <f t="shared" ref="P2617:Q2617" si="2615">IF(B2617=0,0,IF(YEAR(B2617)=$Q$1,MONTH(B2617)-$P$1+1,(YEAR(B2617)-$Q$1)*12-$P$1+1+MONTH(B2617)))</f>
        <v>0</v>
      </c>
      <c r="Q2617" s="402">
        <f t="shared" si="2615"/>
        <v>0</v>
      </c>
      <c r="R2617" s="356" t="e">
        <f t="shared" si="1325"/>
        <v>#N/A</v>
      </c>
      <c r="S2617" s="269" t="str">
        <f>IF(D2617="","",IF(OR(D2617=Plano!$A$1,D2617=Plano!$B$1),"entrada","saída"))</f>
        <v/>
      </c>
      <c r="T2617" s="269"/>
      <c r="U2617" s="269"/>
      <c r="V2617" s="269"/>
      <c r="W2617" s="269"/>
    </row>
    <row r="2618" spans="1:23" ht="12.75" customHeight="1" x14ac:dyDescent="0.2">
      <c r="A2618" s="289" t="str">
        <f t="shared" si="0"/>
        <v/>
      </c>
      <c r="B2618" s="290"/>
      <c r="C2618" s="404"/>
      <c r="D2618" s="291"/>
      <c r="E2618" s="291"/>
      <c r="F2618" s="292"/>
      <c r="G2618" s="291"/>
      <c r="H2618" s="291"/>
      <c r="I2618" s="293"/>
      <c r="J2618" s="291"/>
      <c r="K2618" s="291"/>
      <c r="L2618" s="293"/>
      <c r="M2618" s="291"/>
      <c r="N2618" s="289"/>
      <c r="O2618" s="358"/>
      <c r="P2618" s="402">
        <f t="shared" ref="P2618:Q2618" si="2616">IF(B2618=0,0,IF(YEAR(B2618)=$Q$1,MONTH(B2618)-$P$1+1,(YEAR(B2618)-$Q$1)*12-$P$1+1+MONTH(B2618)))</f>
        <v>0</v>
      </c>
      <c r="Q2618" s="402">
        <f t="shared" si="2616"/>
        <v>0</v>
      </c>
      <c r="R2618" s="356" t="e">
        <f t="shared" si="1325"/>
        <v>#N/A</v>
      </c>
      <c r="S2618" s="269" t="str">
        <f>IF(D2618="","",IF(OR(D2618=Plano!$A$1,D2618=Plano!$B$1),"entrada","saída"))</f>
        <v/>
      </c>
      <c r="T2618" s="269"/>
      <c r="U2618" s="269"/>
      <c r="V2618" s="269"/>
      <c r="W2618" s="269"/>
    </row>
    <row r="2619" spans="1:23" ht="12.75" customHeight="1" x14ac:dyDescent="0.2">
      <c r="A2619" s="289" t="str">
        <f t="shared" si="0"/>
        <v/>
      </c>
      <c r="B2619" s="290"/>
      <c r="C2619" s="404"/>
      <c r="D2619" s="291"/>
      <c r="E2619" s="291"/>
      <c r="F2619" s="292"/>
      <c r="G2619" s="291"/>
      <c r="H2619" s="291"/>
      <c r="I2619" s="293"/>
      <c r="J2619" s="291"/>
      <c r="K2619" s="291"/>
      <c r="L2619" s="293"/>
      <c r="M2619" s="291"/>
      <c r="N2619" s="289"/>
      <c r="O2619" s="358"/>
      <c r="P2619" s="402">
        <f t="shared" ref="P2619:Q2619" si="2617">IF(B2619=0,0,IF(YEAR(B2619)=$Q$1,MONTH(B2619)-$P$1+1,(YEAR(B2619)-$Q$1)*12-$P$1+1+MONTH(B2619)))</f>
        <v>0</v>
      </c>
      <c r="Q2619" s="402">
        <f t="shared" si="2617"/>
        <v>0</v>
      </c>
      <c r="R2619" s="356" t="e">
        <f t="shared" si="1325"/>
        <v>#N/A</v>
      </c>
      <c r="S2619" s="269" t="str">
        <f>IF(D2619="","",IF(OR(D2619=Plano!$A$1,D2619=Plano!$B$1),"entrada","saída"))</f>
        <v/>
      </c>
      <c r="T2619" s="269"/>
      <c r="U2619" s="269"/>
      <c r="V2619" s="269"/>
      <c r="W2619" s="269"/>
    </row>
    <row r="2620" spans="1:23" ht="12.75" customHeight="1" x14ac:dyDescent="0.2">
      <c r="A2620" s="289" t="str">
        <f t="shared" si="0"/>
        <v/>
      </c>
      <c r="B2620" s="290"/>
      <c r="C2620" s="404"/>
      <c r="D2620" s="291"/>
      <c r="E2620" s="291"/>
      <c r="F2620" s="292"/>
      <c r="G2620" s="291"/>
      <c r="H2620" s="291"/>
      <c r="I2620" s="293"/>
      <c r="J2620" s="291"/>
      <c r="K2620" s="291"/>
      <c r="L2620" s="293"/>
      <c r="M2620" s="291"/>
      <c r="N2620" s="289"/>
      <c r="O2620" s="358"/>
      <c r="P2620" s="402">
        <f t="shared" ref="P2620:Q2620" si="2618">IF(B2620=0,0,IF(YEAR(B2620)=$Q$1,MONTH(B2620)-$P$1+1,(YEAR(B2620)-$Q$1)*12-$P$1+1+MONTH(B2620)))</f>
        <v>0</v>
      </c>
      <c r="Q2620" s="402">
        <f t="shared" si="2618"/>
        <v>0</v>
      </c>
      <c r="R2620" s="356" t="e">
        <f t="shared" si="1325"/>
        <v>#N/A</v>
      </c>
      <c r="S2620" s="269" t="str">
        <f>IF(D2620="","",IF(OR(D2620=Plano!$A$1,D2620=Plano!$B$1),"entrada","saída"))</f>
        <v/>
      </c>
      <c r="T2620" s="269"/>
      <c r="U2620" s="269"/>
      <c r="V2620" s="269"/>
      <c r="W2620" s="269"/>
    </row>
    <row r="2621" spans="1:23" ht="12.75" customHeight="1" x14ac:dyDescent="0.2">
      <c r="A2621" s="289" t="str">
        <f t="shared" si="0"/>
        <v/>
      </c>
      <c r="B2621" s="290"/>
      <c r="C2621" s="404"/>
      <c r="D2621" s="291"/>
      <c r="E2621" s="291"/>
      <c r="F2621" s="292"/>
      <c r="G2621" s="291"/>
      <c r="H2621" s="291"/>
      <c r="I2621" s="293"/>
      <c r="J2621" s="291"/>
      <c r="K2621" s="291"/>
      <c r="L2621" s="293"/>
      <c r="M2621" s="291"/>
      <c r="N2621" s="289"/>
      <c r="O2621" s="358"/>
      <c r="P2621" s="402">
        <f t="shared" ref="P2621:Q2621" si="2619">IF(B2621=0,0,IF(YEAR(B2621)=$Q$1,MONTH(B2621)-$P$1+1,(YEAR(B2621)-$Q$1)*12-$P$1+1+MONTH(B2621)))</f>
        <v>0</v>
      </c>
      <c r="Q2621" s="402">
        <f t="shared" si="2619"/>
        <v>0</v>
      </c>
      <c r="R2621" s="356" t="e">
        <f t="shared" si="1325"/>
        <v>#N/A</v>
      </c>
      <c r="S2621" s="269" t="str">
        <f>IF(D2621="","",IF(OR(D2621=Plano!$A$1,D2621=Plano!$B$1),"entrada","saída"))</f>
        <v/>
      </c>
      <c r="T2621" s="269"/>
      <c r="U2621" s="269"/>
      <c r="V2621" s="269"/>
      <c r="W2621" s="269"/>
    </row>
    <row r="2622" spans="1:23" ht="12.75" customHeight="1" x14ac:dyDescent="0.2">
      <c r="A2622" s="289" t="str">
        <f t="shared" si="0"/>
        <v/>
      </c>
      <c r="B2622" s="290"/>
      <c r="C2622" s="404"/>
      <c r="D2622" s="291"/>
      <c r="E2622" s="291"/>
      <c r="F2622" s="292"/>
      <c r="G2622" s="291"/>
      <c r="H2622" s="291"/>
      <c r="I2622" s="293"/>
      <c r="J2622" s="291"/>
      <c r="K2622" s="291"/>
      <c r="L2622" s="293"/>
      <c r="M2622" s="291"/>
      <c r="N2622" s="289"/>
      <c r="O2622" s="358"/>
      <c r="P2622" s="402">
        <f t="shared" ref="P2622:Q2622" si="2620">IF(B2622=0,0,IF(YEAR(B2622)=$Q$1,MONTH(B2622)-$P$1+1,(YEAR(B2622)-$Q$1)*12-$P$1+1+MONTH(B2622)))</f>
        <v>0</v>
      </c>
      <c r="Q2622" s="402">
        <f t="shared" si="2620"/>
        <v>0</v>
      </c>
      <c r="R2622" s="356" t="e">
        <f t="shared" si="1325"/>
        <v>#N/A</v>
      </c>
      <c r="S2622" s="269" t="str">
        <f>IF(D2622="","",IF(OR(D2622=Plano!$A$1,D2622=Plano!$B$1),"entrada","saída"))</f>
        <v/>
      </c>
      <c r="T2622" s="269"/>
      <c r="U2622" s="269"/>
      <c r="V2622" s="269"/>
      <c r="W2622" s="269"/>
    </row>
    <row r="2623" spans="1:23" ht="12.75" customHeight="1" x14ac:dyDescent="0.2">
      <c r="A2623" s="289" t="str">
        <f t="shared" si="0"/>
        <v/>
      </c>
      <c r="B2623" s="290"/>
      <c r="C2623" s="404"/>
      <c r="D2623" s="291"/>
      <c r="E2623" s="291"/>
      <c r="F2623" s="292"/>
      <c r="G2623" s="291"/>
      <c r="H2623" s="291"/>
      <c r="I2623" s="293"/>
      <c r="J2623" s="291"/>
      <c r="K2623" s="291"/>
      <c r="L2623" s="293"/>
      <c r="M2623" s="291"/>
      <c r="N2623" s="289"/>
      <c r="O2623" s="358"/>
      <c r="P2623" s="402">
        <f t="shared" ref="P2623:Q2623" si="2621">IF(B2623=0,0,IF(YEAR(B2623)=$Q$1,MONTH(B2623)-$P$1+1,(YEAR(B2623)-$Q$1)*12-$P$1+1+MONTH(B2623)))</f>
        <v>0</v>
      </c>
      <c r="Q2623" s="402">
        <f t="shared" si="2621"/>
        <v>0</v>
      </c>
      <c r="R2623" s="356" t="e">
        <f t="shared" si="1325"/>
        <v>#N/A</v>
      </c>
      <c r="S2623" s="269" t="str">
        <f>IF(D2623="","",IF(OR(D2623=Plano!$A$1,D2623=Plano!$B$1),"entrada","saída"))</f>
        <v/>
      </c>
      <c r="T2623" s="269"/>
      <c r="U2623" s="269"/>
      <c r="V2623" s="269"/>
      <c r="W2623" s="269"/>
    </row>
    <row r="2624" spans="1:23" ht="12.75" customHeight="1" x14ac:dyDescent="0.2">
      <c r="A2624" s="289" t="str">
        <f t="shared" si="0"/>
        <v/>
      </c>
      <c r="B2624" s="290"/>
      <c r="C2624" s="404"/>
      <c r="D2624" s="291"/>
      <c r="E2624" s="291"/>
      <c r="F2624" s="292"/>
      <c r="G2624" s="291"/>
      <c r="H2624" s="291"/>
      <c r="I2624" s="293"/>
      <c r="J2624" s="291"/>
      <c r="K2624" s="291"/>
      <c r="L2624" s="293"/>
      <c r="M2624" s="291"/>
      <c r="N2624" s="289"/>
      <c r="O2624" s="358"/>
      <c r="P2624" s="402">
        <f t="shared" ref="P2624:Q2624" si="2622">IF(B2624=0,0,IF(YEAR(B2624)=$Q$1,MONTH(B2624)-$P$1+1,(YEAR(B2624)-$Q$1)*12-$P$1+1+MONTH(B2624)))</f>
        <v>0</v>
      </c>
      <c r="Q2624" s="402">
        <f t="shared" si="2622"/>
        <v>0</v>
      </c>
      <c r="R2624" s="356" t="e">
        <f t="shared" si="1325"/>
        <v>#N/A</v>
      </c>
      <c r="S2624" s="269" t="str">
        <f>IF(D2624="","",IF(OR(D2624=Plano!$A$1,D2624=Plano!$B$1),"entrada","saída"))</f>
        <v/>
      </c>
      <c r="T2624" s="269"/>
      <c r="U2624" s="269"/>
      <c r="V2624" s="269"/>
      <c r="W2624" s="269"/>
    </row>
    <row r="2625" spans="1:23" ht="12.75" customHeight="1" x14ac:dyDescent="0.2">
      <c r="A2625" s="289" t="str">
        <f t="shared" si="0"/>
        <v/>
      </c>
      <c r="B2625" s="290"/>
      <c r="C2625" s="404"/>
      <c r="D2625" s="291"/>
      <c r="E2625" s="291"/>
      <c r="F2625" s="292"/>
      <c r="G2625" s="291"/>
      <c r="H2625" s="291"/>
      <c r="I2625" s="293"/>
      <c r="J2625" s="291"/>
      <c r="K2625" s="291"/>
      <c r="L2625" s="293"/>
      <c r="M2625" s="291"/>
      <c r="N2625" s="289"/>
      <c r="O2625" s="358"/>
      <c r="P2625" s="402">
        <f t="shared" ref="P2625:Q2625" si="2623">IF(B2625=0,0,IF(YEAR(B2625)=$Q$1,MONTH(B2625)-$P$1+1,(YEAR(B2625)-$Q$1)*12-$P$1+1+MONTH(B2625)))</f>
        <v>0</v>
      </c>
      <c r="Q2625" s="402">
        <f t="shared" si="2623"/>
        <v>0</v>
      </c>
      <c r="R2625" s="356" t="e">
        <f t="shared" si="1325"/>
        <v>#N/A</v>
      </c>
      <c r="S2625" s="269" t="str">
        <f>IF(D2625="","",IF(OR(D2625=Plano!$A$1,D2625=Plano!$B$1),"entrada","saída"))</f>
        <v/>
      </c>
      <c r="T2625" s="269"/>
      <c r="U2625" s="269"/>
      <c r="V2625" s="269"/>
      <c r="W2625" s="269"/>
    </row>
    <row r="2626" spans="1:23" ht="12.75" customHeight="1" x14ac:dyDescent="0.2">
      <c r="A2626" s="289" t="str">
        <f t="shared" si="0"/>
        <v/>
      </c>
      <c r="B2626" s="290"/>
      <c r="C2626" s="404"/>
      <c r="D2626" s="291"/>
      <c r="E2626" s="291"/>
      <c r="F2626" s="292"/>
      <c r="G2626" s="291"/>
      <c r="H2626" s="291"/>
      <c r="I2626" s="293"/>
      <c r="J2626" s="291"/>
      <c r="K2626" s="291"/>
      <c r="L2626" s="293"/>
      <c r="M2626" s="291"/>
      <c r="N2626" s="289"/>
      <c r="O2626" s="358"/>
      <c r="P2626" s="402">
        <f t="shared" ref="P2626:Q2626" si="2624">IF(B2626=0,0,IF(YEAR(B2626)=$Q$1,MONTH(B2626)-$P$1+1,(YEAR(B2626)-$Q$1)*12-$P$1+1+MONTH(B2626)))</f>
        <v>0</v>
      </c>
      <c r="Q2626" s="402">
        <f t="shared" si="2624"/>
        <v>0</v>
      </c>
      <c r="R2626" s="356" t="e">
        <f t="shared" si="1325"/>
        <v>#N/A</v>
      </c>
      <c r="S2626" s="269" t="str">
        <f>IF(D2626="","",IF(OR(D2626=Plano!$A$1,D2626=Plano!$B$1),"entrada","saída"))</f>
        <v/>
      </c>
      <c r="T2626" s="269"/>
      <c r="U2626" s="269"/>
      <c r="V2626" s="269"/>
      <c r="W2626" s="269"/>
    </row>
    <row r="2627" spans="1:23" ht="12.75" customHeight="1" x14ac:dyDescent="0.2">
      <c r="A2627" s="289" t="str">
        <f t="shared" si="0"/>
        <v/>
      </c>
      <c r="B2627" s="290"/>
      <c r="C2627" s="404"/>
      <c r="D2627" s="291"/>
      <c r="E2627" s="291"/>
      <c r="F2627" s="292"/>
      <c r="G2627" s="291"/>
      <c r="H2627" s="291"/>
      <c r="I2627" s="293"/>
      <c r="J2627" s="291"/>
      <c r="K2627" s="291"/>
      <c r="L2627" s="293"/>
      <c r="M2627" s="291"/>
      <c r="N2627" s="289"/>
      <c r="O2627" s="358"/>
      <c r="P2627" s="402">
        <f t="shared" ref="P2627:Q2627" si="2625">IF(B2627=0,0,IF(YEAR(B2627)=$Q$1,MONTH(B2627)-$P$1+1,(YEAR(B2627)-$Q$1)*12-$P$1+1+MONTH(B2627)))</f>
        <v>0</v>
      </c>
      <c r="Q2627" s="402">
        <f t="shared" si="2625"/>
        <v>0</v>
      </c>
      <c r="R2627" s="356" t="e">
        <f t="shared" si="1325"/>
        <v>#N/A</v>
      </c>
      <c r="S2627" s="269" t="str">
        <f>IF(D2627="","",IF(OR(D2627=Plano!$A$1,D2627=Plano!$B$1),"entrada","saída"))</f>
        <v/>
      </c>
      <c r="T2627" s="269"/>
      <c r="U2627" s="269"/>
      <c r="V2627" s="269"/>
      <c r="W2627" s="269"/>
    </row>
    <row r="2628" spans="1:23" ht="12.75" customHeight="1" x14ac:dyDescent="0.2">
      <c r="A2628" s="289" t="str">
        <f t="shared" si="0"/>
        <v/>
      </c>
      <c r="B2628" s="290"/>
      <c r="C2628" s="404"/>
      <c r="D2628" s="291"/>
      <c r="E2628" s="291"/>
      <c r="F2628" s="292"/>
      <c r="G2628" s="291"/>
      <c r="H2628" s="291"/>
      <c r="I2628" s="293"/>
      <c r="J2628" s="291"/>
      <c r="K2628" s="291"/>
      <c r="L2628" s="293"/>
      <c r="M2628" s="291"/>
      <c r="N2628" s="289"/>
      <c r="O2628" s="358"/>
      <c r="P2628" s="402">
        <f t="shared" ref="P2628:Q2628" si="2626">IF(B2628=0,0,IF(YEAR(B2628)=$Q$1,MONTH(B2628)-$P$1+1,(YEAR(B2628)-$Q$1)*12-$P$1+1+MONTH(B2628)))</f>
        <v>0</v>
      </c>
      <c r="Q2628" s="402">
        <f t="shared" si="2626"/>
        <v>0</v>
      </c>
      <c r="R2628" s="356" t="e">
        <f t="shared" si="1325"/>
        <v>#N/A</v>
      </c>
      <c r="S2628" s="269" t="str">
        <f>IF(D2628="","",IF(OR(D2628=Plano!$A$1,D2628=Plano!$B$1),"entrada","saída"))</f>
        <v/>
      </c>
      <c r="T2628" s="269"/>
      <c r="U2628" s="269"/>
      <c r="V2628" s="269"/>
      <c r="W2628" s="269"/>
    </row>
    <row r="2629" spans="1:23" ht="12.75" customHeight="1" x14ac:dyDescent="0.2">
      <c r="A2629" s="289" t="str">
        <f t="shared" si="0"/>
        <v/>
      </c>
      <c r="B2629" s="290"/>
      <c r="C2629" s="404"/>
      <c r="D2629" s="291"/>
      <c r="E2629" s="291"/>
      <c r="F2629" s="292"/>
      <c r="G2629" s="291"/>
      <c r="H2629" s="291"/>
      <c r="I2629" s="293"/>
      <c r="J2629" s="291"/>
      <c r="K2629" s="291"/>
      <c r="L2629" s="293"/>
      <c r="M2629" s="291"/>
      <c r="N2629" s="289"/>
      <c r="O2629" s="358"/>
      <c r="P2629" s="402">
        <f t="shared" ref="P2629:Q2629" si="2627">IF(B2629=0,0,IF(YEAR(B2629)=$Q$1,MONTH(B2629)-$P$1+1,(YEAR(B2629)-$Q$1)*12-$P$1+1+MONTH(B2629)))</f>
        <v>0</v>
      </c>
      <c r="Q2629" s="402">
        <f t="shared" si="2627"/>
        <v>0</v>
      </c>
      <c r="R2629" s="356" t="e">
        <f t="shared" si="1325"/>
        <v>#N/A</v>
      </c>
      <c r="S2629" s="269" t="str">
        <f>IF(D2629="","",IF(OR(D2629=Plano!$A$1,D2629=Plano!$B$1),"entrada","saída"))</f>
        <v/>
      </c>
      <c r="T2629" s="269"/>
      <c r="U2629" s="269"/>
      <c r="V2629" s="269"/>
      <c r="W2629" s="269"/>
    </row>
    <row r="2630" spans="1:23" ht="12.75" customHeight="1" x14ac:dyDescent="0.2">
      <c r="A2630" s="289" t="str">
        <f t="shared" si="0"/>
        <v/>
      </c>
      <c r="B2630" s="290"/>
      <c r="C2630" s="404"/>
      <c r="D2630" s="291"/>
      <c r="E2630" s="291"/>
      <c r="F2630" s="292"/>
      <c r="G2630" s="291"/>
      <c r="H2630" s="291"/>
      <c r="I2630" s="293"/>
      <c r="J2630" s="291"/>
      <c r="K2630" s="291"/>
      <c r="L2630" s="293"/>
      <c r="M2630" s="291"/>
      <c r="N2630" s="289"/>
      <c r="O2630" s="358"/>
      <c r="P2630" s="402">
        <f t="shared" ref="P2630:Q2630" si="2628">IF(B2630=0,0,IF(YEAR(B2630)=$Q$1,MONTH(B2630)-$P$1+1,(YEAR(B2630)-$Q$1)*12-$P$1+1+MONTH(B2630)))</f>
        <v>0</v>
      </c>
      <c r="Q2630" s="402">
        <f t="shared" si="2628"/>
        <v>0</v>
      </c>
      <c r="R2630" s="356" t="e">
        <f t="shared" si="1325"/>
        <v>#N/A</v>
      </c>
      <c r="S2630" s="269" t="str">
        <f>IF(D2630="","",IF(OR(D2630=Plano!$A$1,D2630=Plano!$B$1),"entrada","saída"))</f>
        <v/>
      </c>
      <c r="T2630" s="269"/>
      <c r="U2630" s="269"/>
      <c r="V2630" s="269"/>
      <c r="W2630" s="269"/>
    </row>
    <row r="2631" spans="1:23" ht="12.75" customHeight="1" x14ac:dyDescent="0.2">
      <c r="A2631" s="289" t="str">
        <f t="shared" si="0"/>
        <v/>
      </c>
      <c r="B2631" s="290"/>
      <c r="C2631" s="404"/>
      <c r="D2631" s="291"/>
      <c r="E2631" s="291"/>
      <c r="F2631" s="292"/>
      <c r="G2631" s="291"/>
      <c r="H2631" s="291"/>
      <c r="I2631" s="293"/>
      <c r="J2631" s="291"/>
      <c r="K2631" s="291"/>
      <c r="L2631" s="293"/>
      <c r="M2631" s="291"/>
      <c r="N2631" s="290"/>
      <c r="O2631" s="358"/>
      <c r="P2631" s="402">
        <f t="shared" ref="P2631:Q2631" si="2629">IF(B2631=0,0,IF(YEAR(B2631)=$Q$1,MONTH(B2631)-$P$1+1,(YEAR(B2631)-$Q$1)*12-$P$1+1+MONTH(B2631)))</f>
        <v>0</v>
      </c>
      <c r="Q2631" s="402">
        <f t="shared" si="2629"/>
        <v>0</v>
      </c>
      <c r="R2631" s="356" t="e">
        <f t="shared" si="1325"/>
        <v>#N/A</v>
      </c>
      <c r="S2631" s="269" t="str">
        <f>IF(D2631="","",IF(OR(D2631=Plano!$A$1,D2631=Plano!$B$1),"entrada","saída"))</f>
        <v/>
      </c>
      <c r="T2631" s="269"/>
      <c r="U2631" s="269"/>
      <c r="V2631" s="269"/>
      <c r="W2631" s="269"/>
    </row>
    <row r="2632" spans="1:23" ht="12.75" customHeight="1" x14ac:dyDescent="0.2">
      <c r="A2632" s="289" t="str">
        <f t="shared" si="0"/>
        <v/>
      </c>
      <c r="B2632" s="290"/>
      <c r="C2632" s="404"/>
      <c r="D2632" s="291"/>
      <c r="E2632" s="291"/>
      <c r="F2632" s="292"/>
      <c r="G2632" s="291"/>
      <c r="H2632" s="291"/>
      <c r="I2632" s="293"/>
      <c r="J2632" s="291"/>
      <c r="K2632" s="291"/>
      <c r="L2632" s="293"/>
      <c r="M2632" s="291"/>
      <c r="N2632" s="290"/>
      <c r="O2632" s="358"/>
      <c r="P2632" s="402">
        <f t="shared" ref="P2632:Q2632" si="2630">IF(B2632=0,0,IF(YEAR(B2632)=$Q$1,MONTH(B2632)-$P$1+1,(YEAR(B2632)-$Q$1)*12-$P$1+1+MONTH(B2632)))</f>
        <v>0</v>
      </c>
      <c r="Q2632" s="402">
        <f t="shared" si="2630"/>
        <v>0</v>
      </c>
      <c r="R2632" s="356" t="e">
        <f t="shared" si="1325"/>
        <v>#N/A</v>
      </c>
      <c r="S2632" s="269" t="str">
        <f>IF(D2632="","",IF(OR(D2632=Plano!$A$1,D2632=Plano!$B$1),"entrada","saída"))</f>
        <v/>
      </c>
      <c r="T2632" s="269"/>
      <c r="U2632" s="269"/>
      <c r="V2632" s="269"/>
      <c r="W2632" s="269"/>
    </row>
    <row r="2633" spans="1:23" ht="12.75" customHeight="1" x14ac:dyDescent="0.2">
      <c r="A2633" s="289" t="str">
        <f t="shared" si="0"/>
        <v/>
      </c>
      <c r="B2633" s="290"/>
      <c r="C2633" s="404"/>
      <c r="D2633" s="291"/>
      <c r="E2633" s="291"/>
      <c r="F2633" s="292"/>
      <c r="G2633" s="291"/>
      <c r="H2633" s="291"/>
      <c r="I2633" s="293"/>
      <c r="J2633" s="291"/>
      <c r="K2633" s="291"/>
      <c r="L2633" s="293"/>
      <c r="M2633" s="291"/>
      <c r="N2633" s="290"/>
      <c r="O2633" s="358"/>
      <c r="P2633" s="402">
        <f t="shared" ref="P2633:Q2633" si="2631">IF(B2633=0,0,IF(YEAR(B2633)=$Q$1,MONTH(B2633)-$P$1+1,(YEAR(B2633)-$Q$1)*12-$P$1+1+MONTH(B2633)))</f>
        <v>0</v>
      </c>
      <c r="Q2633" s="402">
        <f t="shared" si="2631"/>
        <v>0</v>
      </c>
      <c r="R2633" s="356" t="e">
        <f t="shared" si="1325"/>
        <v>#N/A</v>
      </c>
      <c r="S2633" s="269" t="str">
        <f>IF(D2633="","",IF(OR(D2633=Plano!$A$1,D2633=Plano!$B$1),"entrada","saída"))</f>
        <v/>
      </c>
      <c r="T2633" s="269"/>
      <c r="U2633" s="269"/>
      <c r="V2633" s="269"/>
      <c r="W2633" s="269"/>
    </row>
    <row r="2634" spans="1:23" ht="6" customHeight="1" x14ac:dyDescent="0.2">
      <c r="A2634" s="289" t="str">
        <f t="shared" si="0"/>
        <v/>
      </c>
      <c r="B2634" s="359"/>
      <c r="C2634" s="360"/>
      <c r="D2634" s="361"/>
      <c r="E2634" s="361"/>
      <c r="F2634" s="362"/>
      <c r="G2634" s="361"/>
      <c r="H2634" s="361"/>
      <c r="I2634" s="363"/>
      <c r="J2634" s="361"/>
      <c r="K2634" s="361"/>
      <c r="L2634" s="363"/>
      <c r="M2634" s="361"/>
      <c r="N2634" s="359"/>
      <c r="O2634" s="400"/>
      <c r="P2634" s="402">
        <f t="shared" ref="P2634:Q2634" si="2632">IF(B2634=0,0,IF(YEAR(B2634)=$Q$1,MONTH(B2634)-$P$1+1,(YEAR(B2634)-$Q$1)*12-$P$1+1+MONTH(B2634)))</f>
        <v>0</v>
      </c>
      <c r="Q2634" s="402">
        <f t="shared" si="2632"/>
        <v>0</v>
      </c>
      <c r="R2634" s="356" t="e">
        <f t="shared" si="1325"/>
        <v>#N/A</v>
      </c>
      <c r="S2634" s="269" t="str">
        <f>IF(D2634="","",IF(OR(D2634=Plano!$A$1,D2634=Plano!$B$1),"entrada","saída"))</f>
        <v/>
      </c>
      <c r="T2634" s="269"/>
      <c r="U2634" s="269"/>
      <c r="V2634" s="269"/>
      <c r="W2634" s="269"/>
    </row>
  </sheetData>
  <autoFilter ref="A4:U2634"/>
  <mergeCells count="3">
    <mergeCell ref="A1:N1"/>
    <mergeCell ref="A2:N2"/>
    <mergeCell ref="A3:N3"/>
  </mergeCells>
  <dataValidations count="5">
    <dataValidation type="date" allowBlank="1" showErrorMessage="1" sqref="B5:C13 B14 B15:C15 B16:B22 B23:C24 B25:B98 B99:C104 B105:B211 B212:C215 B216:B218 B219:C229 N219:N229 B230:B231 B232:C233 B234:B241 B242:C246 B247:B279 N247:N279 B280:C281 B282:B305 N294:N305 B306:C307 B308 B309:C310 N321:N329 B311:B332 B333:C333 B334:B349 B350:C352 N341:N352 B353:B367 B368:C369 N359:N369 B370:B371 B372:C377 B378:B388 N382:N388 B389:C395 B396 B397:C399 N401 N405:N412 B400:B474 B475:C477 N497:N504 B478:B506 B507:C507 B508:B517 B518:C518 N513:N518 B519 B520:C520 N520 N530:N533 B521:B534 B535:C535 N535 B536 B537:C537 B538:B542 B543:C544 B545:B547 N547 B548:C555 N551:N555 N557:N558 B556:B563 B564:C564 B565:B568 B569:C571 N570:N571 N582:N588 B572:B598 B599:C604 N592:N604 B605:B606 B607:C617 N607:N657 B618:B676 B677:C679 B680 N681 B681:C682 B683:B684 B685:C690 B691:B746 N686:N746 B747:C759 N756:N759 B760:B762 B763:C763 B764 B765:C786 B787 B788:C827 B828 B829:C888 B889:B904 B905:C927 B928 N929:N930 N933:N934 N936 B929:C955 B956 B957:C968 B969:B970 B971:C971 B972:B975 B976:C976 B977:B987 B988:C988 B989:B992 B993:C993 B994:B1011 B1012:C1019 B1020:B1026 N1027 N1029:N1043 B1027:C1059 B1060:B1090 B1091:C1094 B1095:B1096 B1097:C1097 B1098:B1126 B1127:C1127 B1128 B1129:C1129 B1130:B1158 N1160 B1159:C1163 B1164:B1166 B1167:C1167 B1168:B1175 B1176:C1180 B1181:B1182 B1183:C1184 B1185:B1207 B1208:C1208 B1209:B1210 B1211:C1214 B1215:B1229 B1230:C1230 B1231 B1232:C1232 B1233:B1264 B1265:C1265 B1266:B1289 B1290:C1293 B1294 B1295:C1296 B1297 B1298:C1303 B1304:B1305 B1306:C1307 B1308 B1309:C1311 B1312 B1313:C2634">
      <formula1>40544</formula1>
      <formula2>44561</formula2>
    </dataValidation>
    <dataValidation type="list" allowBlank="1" showErrorMessage="1" sqref="O5:O2634">
      <formula1>Contas</formula1>
    </dataValidation>
    <dataValidation type="list" allowBlank="1" showErrorMessage="1" sqref="E5:E13 E15 E23:E24 E97 E99:E104 E167:E204 E212:E215 E219:E229 E232:E233 E242:E269 E280:E281 E294:E300 E306:E307 E309:E310 E321:E328 E333 E341:E346 E350:E352 E359:E362 E368:E369 E372:E377 E382:E385 E389:E395 E397:E399 E401 E405:E407 E468:E470 E475:E477 E497:E498 E507 E513:E518 E520 E523:E524 E526 E530:E531 E535 E537 E543:E544 E547:E555 E557:E559 E562 E564 E570:E571 E582:E588 E592:E604 E607:E617 E672 E677:E679 E681:E682 E684:E759 E763 E765:E2634">
      <formula1>INDIRECT($R5)</formula1>
    </dataValidation>
    <dataValidation type="list" allowBlank="1" showErrorMessage="1" sqref="E14 E16:E22 E25:E96 E98 E105:E166 E205:E211 E216:E218 E230:E231 E234:E241 E270:E279 E282:E293 E301:E305 E308 E311:E320 E329:E332 E334:E340 E347:E349 E353:E358 E363:E367 E370:E371 E378:E381 E386:E388 E396 E400 E402:E404 E408:E467 E471:E474 E478:E496 E499:E506 E508:E512 E519 E521:E522 E525 E527:E529 E533:E534 E536 E538:E542 E545:E546 E556 E560:E561 E563 E565:E569 E572:E581 E589:E591 E605:E606 E618:E671 E673:E676 E680 E683 E760:E762 E764">
      <formula1>INDIRECT($Q14)</formula1>
    </dataValidation>
    <dataValidation type="list" allowBlank="1" showErrorMessage="1" sqref="D5:D531 D532:E532 D533:D2634">
      <formula1>Categorias</formula1>
    </dataValidation>
  </dataValidations>
  <pageMargins left="0.59055118110236227" right="0.59055118110236227" top="0.59055118110236227" bottom="0.59055118110236227" header="0" footer="0"/>
  <pageSetup paperSize="9" fitToHeight="0"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14:formula1>
            <xm:f>'Gasto das Atividades'!$B$6:$B$28</xm:f>
          </x14:formula1>
          <xm:sqref>H5:H2634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V2246"/>
  <sheetViews>
    <sheetView workbookViewId="0">
      <pane xSplit="6" ySplit="4" topLeftCell="J5" activePane="bottomRight" state="frozen"/>
      <selection pane="topRight" activeCell="G1" sqref="G1"/>
      <selection pane="bottomLeft" activeCell="A5" sqref="A5"/>
      <selection pane="bottomRight" activeCell="K8" sqref="K8"/>
    </sheetView>
  </sheetViews>
  <sheetFormatPr defaultColWidth="14.42578125" defaultRowHeight="15" customHeight="1" x14ac:dyDescent="0.2"/>
  <cols>
    <col min="1" max="1" width="5.7109375" customWidth="1"/>
    <col min="2" max="3" width="10.5703125" customWidth="1"/>
    <col min="4" max="4" width="15.42578125" customWidth="1"/>
    <col min="5" max="5" width="23.5703125" customWidth="1"/>
    <col min="6" max="6" width="12.85546875" customWidth="1"/>
    <col min="7" max="7" width="39.140625" customWidth="1"/>
    <col min="8" max="8" width="25.28515625" customWidth="1"/>
    <col min="9" max="9" width="23.85546875" customWidth="1"/>
    <col min="10" max="10" width="19.28515625" customWidth="1"/>
    <col min="11" max="11" width="17.28515625" customWidth="1"/>
    <col min="12" max="12" width="14.7109375" customWidth="1"/>
    <col min="13" max="13" width="16.7109375" customWidth="1"/>
    <col min="14" max="14" width="13.140625" customWidth="1"/>
    <col min="15" max="15" width="22.140625" customWidth="1"/>
    <col min="16" max="17" width="7.42578125" customWidth="1"/>
    <col min="18" max="18" width="23.7109375" customWidth="1"/>
    <col min="19" max="19" width="9.140625" customWidth="1"/>
    <col min="20" max="20" width="10.28515625" customWidth="1"/>
    <col min="21" max="21" width="9.7109375" customWidth="1"/>
    <col min="22" max="22" width="9.140625" hidden="1" customWidth="1"/>
  </cols>
  <sheetData>
    <row r="1" spans="1:22" ht="31.5" customHeight="1" x14ac:dyDescent="0.2">
      <c r="A1" s="709"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6"/>
      <c r="O1" s="324"/>
      <c r="P1" s="268">
        <f>MONTH(Resumo!$C$5)</f>
        <v>1</v>
      </c>
      <c r="Q1" s="268">
        <f>YEAR(Resumo!$C$5)</f>
        <v>2021</v>
      </c>
      <c r="R1" s="269"/>
      <c r="S1" s="269"/>
      <c r="T1" s="406"/>
      <c r="U1" s="406"/>
      <c r="V1" s="269"/>
    </row>
    <row r="2" spans="1:22" ht="19.5" customHeight="1" x14ac:dyDescent="0.2">
      <c r="A2" s="709" t="str">
        <f>Capa!A3</f>
        <v>8º Relatório Gerencial Financeiro</v>
      </c>
      <c r="B2" s="695"/>
      <c r="C2" s="695"/>
      <c r="D2" s="695"/>
      <c r="E2" s="695"/>
      <c r="F2" s="695"/>
      <c r="G2" s="695"/>
      <c r="H2" s="695"/>
      <c r="I2" s="695"/>
      <c r="J2" s="695"/>
      <c r="K2" s="695"/>
      <c r="L2" s="695"/>
      <c r="M2" s="695"/>
      <c r="N2" s="696"/>
      <c r="O2" s="324"/>
      <c r="P2" s="270"/>
      <c r="Q2" s="270"/>
      <c r="R2" s="269"/>
      <c r="S2" s="269"/>
      <c r="T2" s="406"/>
      <c r="U2" s="406"/>
      <c r="V2" s="269"/>
    </row>
    <row r="3" spans="1:22" ht="19.5" customHeight="1" x14ac:dyDescent="0.2">
      <c r="A3" s="747" t="s">
        <v>4039</v>
      </c>
      <c r="B3" s="711"/>
      <c r="C3" s="711"/>
      <c r="D3" s="711"/>
      <c r="E3" s="711"/>
      <c r="F3" s="711"/>
      <c r="G3" s="711"/>
      <c r="H3" s="711"/>
      <c r="I3" s="711"/>
      <c r="J3" s="711"/>
      <c r="K3" s="711"/>
      <c r="L3" s="711"/>
      <c r="M3" s="711"/>
      <c r="N3" s="712"/>
      <c r="O3" s="325"/>
      <c r="P3" s="271"/>
      <c r="Q3" s="271"/>
      <c r="R3" s="269"/>
      <c r="S3" s="269"/>
      <c r="T3" s="406"/>
      <c r="U3" s="406"/>
      <c r="V3" s="269"/>
    </row>
    <row r="4" spans="1:22" ht="66" customHeight="1" x14ac:dyDescent="0.2">
      <c r="A4" s="272" t="s">
        <v>938</v>
      </c>
      <c r="B4" s="272" t="s">
        <v>939</v>
      </c>
      <c r="C4" s="326" t="s">
        <v>430</v>
      </c>
      <c r="D4" s="272" t="s">
        <v>419</v>
      </c>
      <c r="E4" s="273" t="s">
        <v>420</v>
      </c>
      <c r="F4" s="273" t="s">
        <v>940</v>
      </c>
      <c r="G4" s="273" t="s">
        <v>421</v>
      </c>
      <c r="H4" s="273" t="s">
        <v>422</v>
      </c>
      <c r="I4" s="274" t="s">
        <v>423</v>
      </c>
      <c r="J4" s="273" t="s">
        <v>941</v>
      </c>
      <c r="K4" s="273" t="s">
        <v>425</v>
      </c>
      <c r="L4" s="274" t="s">
        <v>942</v>
      </c>
      <c r="M4" s="273" t="s">
        <v>427</v>
      </c>
      <c r="N4" s="273" t="s">
        <v>428</v>
      </c>
      <c r="O4" s="273" t="s">
        <v>977</v>
      </c>
      <c r="P4" s="382" t="s">
        <v>943</v>
      </c>
      <c r="Q4" s="382" t="s">
        <v>978</v>
      </c>
      <c r="R4" s="382" t="s">
        <v>419</v>
      </c>
      <c r="S4" s="383"/>
      <c r="T4" s="407" t="s">
        <v>979</v>
      </c>
      <c r="U4" s="407" t="s">
        <v>980</v>
      </c>
      <c r="V4" s="384" t="s">
        <v>981</v>
      </c>
    </row>
    <row r="5" spans="1:22" ht="51" customHeight="1" x14ac:dyDescent="0.2">
      <c r="A5" s="277">
        <f>IF(B5="","",COUNT('Diário 5º PA'!$A$5:$A$2634)+ROW()-4)</f>
        <v>1312</v>
      </c>
      <c r="B5" s="278">
        <v>44287</v>
      </c>
      <c r="C5" s="256">
        <v>44256</v>
      </c>
      <c r="D5" s="255" t="s">
        <v>88</v>
      </c>
      <c r="E5" s="255" t="s">
        <v>198</v>
      </c>
      <c r="F5" s="258">
        <v>-42.94</v>
      </c>
      <c r="G5" s="255" t="s">
        <v>2471</v>
      </c>
      <c r="H5" s="252" t="s">
        <v>114</v>
      </c>
      <c r="I5" s="250" t="s">
        <v>983</v>
      </c>
      <c r="J5" s="255" t="s">
        <v>850</v>
      </c>
      <c r="K5" s="255" t="s">
        <v>946</v>
      </c>
      <c r="L5" s="250" t="s">
        <v>947</v>
      </c>
      <c r="M5" s="277" t="s">
        <v>114</v>
      </c>
      <c r="N5" s="278">
        <v>44287</v>
      </c>
      <c r="O5" s="329" t="s">
        <v>67</v>
      </c>
      <c r="P5" s="330">
        <f t="shared" ref="P5:Q5" si="0">IF(B5=0,0,IF(YEAR(B5)=$Q$1,MONTH(B5)-$P$1+1,(YEAR(B5)-$Q$1)*12-$P$1+1+MONTH(B5)))</f>
        <v>4</v>
      </c>
      <c r="Q5" s="330">
        <f t="shared" si="0"/>
        <v>3</v>
      </c>
      <c r="R5" s="331" t="str">
        <f t="shared" ref="R5:R2246" si="1">SUBSTITUTE(D5," ","_")</f>
        <v>Gastos_com_Pessoal</v>
      </c>
      <c r="S5" s="331" t="str">
        <f>IF(D5="","",IF(OR(D5=Plano!$A$1,D5=Plano!$B$1),"entrada","saída"))</f>
        <v>saída</v>
      </c>
      <c r="T5" s="332" t="s">
        <v>114</v>
      </c>
      <c r="U5" s="332" t="s">
        <v>114</v>
      </c>
      <c r="V5" s="408" t="s">
        <v>4040</v>
      </c>
    </row>
    <row r="6" spans="1:22" ht="57" customHeight="1" x14ac:dyDescent="0.2">
      <c r="A6" s="277">
        <f>IF(B6="","",COUNT('Diário 5º PA'!$A$5:$A$2634)+ROW()-4)</f>
        <v>1313</v>
      </c>
      <c r="B6" s="278">
        <v>44287</v>
      </c>
      <c r="C6" s="256">
        <v>44256</v>
      </c>
      <c r="D6" s="255" t="s">
        <v>88</v>
      </c>
      <c r="E6" s="255" t="s">
        <v>198</v>
      </c>
      <c r="F6" s="258">
        <v>-21.47</v>
      </c>
      <c r="G6" s="255" t="s">
        <v>982</v>
      </c>
      <c r="H6" s="252" t="s">
        <v>114</v>
      </c>
      <c r="I6" s="250" t="s">
        <v>983</v>
      </c>
      <c r="J6" s="255" t="s">
        <v>850</v>
      </c>
      <c r="K6" s="255" t="s">
        <v>946</v>
      </c>
      <c r="L6" s="250" t="s">
        <v>947</v>
      </c>
      <c r="M6" s="277" t="s">
        <v>114</v>
      </c>
      <c r="N6" s="278">
        <v>44287</v>
      </c>
      <c r="O6" s="329" t="s">
        <v>67</v>
      </c>
      <c r="P6" s="330">
        <f t="shared" ref="P6:Q6" si="2">IF(B6=0,0,IF(YEAR(B6)=$Q$1,MONTH(B6)-$P$1+1,(YEAR(B6)-$Q$1)*12-$P$1+1+MONTH(B6)))</f>
        <v>4</v>
      </c>
      <c r="Q6" s="330">
        <f t="shared" si="2"/>
        <v>3</v>
      </c>
      <c r="R6" s="331" t="str">
        <f t="shared" si="1"/>
        <v>Gastos_com_Pessoal</v>
      </c>
      <c r="S6" s="331" t="str">
        <f>IF(D6="","",IF(OR(D6=Plano!$A$1,D6=Plano!$B$1),"entrada","saída"))</f>
        <v>saída</v>
      </c>
      <c r="T6" s="332" t="s">
        <v>114</v>
      </c>
      <c r="U6" s="332" t="s">
        <v>114</v>
      </c>
      <c r="V6" s="408" t="s">
        <v>4040</v>
      </c>
    </row>
    <row r="7" spans="1:22" ht="57.75" customHeight="1" x14ac:dyDescent="0.2">
      <c r="A7" s="277">
        <f>IF(B7="","",COUNT('Diário 5º PA'!$A$5:$A$2634)+ROW()-4)</f>
        <v>1314</v>
      </c>
      <c r="B7" s="278">
        <v>44287</v>
      </c>
      <c r="C7" s="256">
        <v>44256</v>
      </c>
      <c r="D7" s="255" t="s">
        <v>88</v>
      </c>
      <c r="E7" s="255" t="s">
        <v>183</v>
      </c>
      <c r="F7" s="258">
        <v>-27.74</v>
      </c>
      <c r="G7" s="255" t="s">
        <v>984</v>
      </c>
      <c r="H7" s="252" t="s">
        <v>114</v>
      </c>
      <c r="I7" s="250" t="s">
        <v>983</v>
      </c>
      <c r="J7" s="255" t="s">
        <v>850</v>
      </c>
      <c r="K7" s="255" t="s">
        <v>946</v>
      </c>
      <c r="L7" s="250" t="s">
        <v>947</v>
      </c>
      <c r="M7" s="277" t="s">
        <v>114</v>
      </c>
      <c r="N7" s="278">
        <v>44287</v>
      </c>
      <c r="O7" s="329" t="s">
        <v>67</v>
      </c>
      <c r="P7" s="330">
        <f t="shared" ref="P7:Q7" si="3">IF(B7=0,0,IF(YEAR(B7)=$Q$1,MONTH(B7)-$P$1+1,(YEAR(B7)-$Q$1)*12-$P$1+1+MONTH(B7)))</f>
        <v>4</v>
      </c>
      <c r="Q7" s="330">
        <f t="shared" si="3"/>
        <v>3</v>
      </c>
      <c r="R7" s="331" t="str">
        <f t="shared" si="1"/>
        <v>Gastos_com_Pessoal</v>
      </c>
      <c r="S7" s="331" t="str">
        <f>IF(D7="","",IF(OR(D7=Plano!$A$1,D7=Plano!$B$1),"entrada","saída"))</f>
        <v>saída</v>
      </c>
      <c r="T7" s="332" t="s">
        <v>114</v>
      </c>
      <c r="U7" s="332" t="s">
        <v>114</v>
      </c>
      <c r="V7" s="408" t="s">
        <v>4040</v>
      </c>
    </row>
    <row r="8" spans="1:22" ht="64.5" customHeight="1" x14ac:dyDescent="0.2">
      <c r="A8" s="277">
        <f>IF(B8="","",COUNT('Diário 5º PA'!$A$5:$A$2634)+ROW()-4)</f>
        <v>1315</v>
      </c>
      <c r="B8" s="278">
        <v>44287</v>
      </c>
      <c r="C8" s="256">
        <v>44256</v>
      </c>
      <c r="D8" s="255" t="s">
        <v>88</v>
      </c>
      <c r="E8" s="255" t="s">
        <v>183</v>
      </c>
      <c r="F8" s="258">
        <v>-69.349999999999994</v>
      </c>
      <c r="G8" s="255" t="s">
        <v>986</v>
      </c>
      <c r="H8" s="252" t="s">
        <v>114</v>
      </c>
      <c r="I8" s="250" t="s">
        <v>983</v>
      </c>
      <c r="J8" s="255" t="s">
        <v>850</v>
      </c>
      <c r="K8" s="255" t="s">
        <v>946</v>
      </c>
      <c r="L8" s="250" t="s">
        <v>947</v>
      </c>
      <c r="M8" s="277" t="s">
        <v>114</v>
      </c>
      <c r="N8" s="278">
        <v>44287</v>
      </c>
      <c r="O8" s="329" t="s">
        <v>67</v>
      </c>
      <c r="P8" s="330">
        <f t="shared" ref="P8:Q8" si="4">IF(B8=0,0,IF(YEAR(B8)=$Q$1,MONTH(B8)-$P$1+1,(YEAR(B8)-$Q$1)*12-$P$1+1+MONTH(B8)))</f>
        <v>4</v>
      </c>
      <c r="Q8" s="330">
        <f t="shared" si="4"/>
        <v>3</v>
      </c>
      <c r="R8" s="331" t="str">
        <f t="shared" si="1"/>
        <v>Gastos_com_Pessoal</v>
      </c>
      <c r="S8" s="331" t="str">
        <f>IF(D8="","",IF(OR(D8=Plano!$A$1,D8=Plano!$B$1),"entrada","saída"))</f>
        <v>saída</v>
      </c>
      <c r="T8" s="332" t="s">
        <v>114</v>
      </c>
      <c r="U8" s="332" t="s">
        <v>114</v>
      </c>
      <c r="V8" s="408" t="s">
        <v>4040</v>
      </c>
    </row>
    <row r="9" spans="1:22" ht="62.25" customHeight="1" x14ac:dyDescent="0.2">
      <c r="A9" s="277">
        <f>IF(B9="","",COUNT('Diário 5º PA'!$A$5:$A$2634)+ROW()-4)</f>
        <v>1316</v>
      </c>
      <c r="B9" s="278">
        <v>44287</v>
      </c>
      <c r="C9" s="256">
        <v>44256</v>
      </c>
      <c r="D9" s="255" t="s">
        <v>88</v>
      </c>
      <c r="E9" s="255" t="s">
        <v>198</v>
      </c>
      <c r="F9" s="258">
        <v>-107.35</v>
      </c>
      <c r="G9" s="255" t="s">
        <v>987</v>
      </c>
      <c r="H9" s="252" t="s">
        <v>114</v>
      </c>
      <c r="I9" s="250" t="s">
        <v>983</v>
      </c>
      <c r="J9" s="255" t="s">
        <v>850</v>
      </c>
      <c r="K9" s="255" t="s">
        <v>946</v>
      </c>
      <c r="L9" s="250" t="s">
        <v>947</v>
      </c>
      <c r="M9" s="277" t="s">
        <v>114</v>
      </c>
      <c r="N9" s="278">
        <v>44287</v>
      </c>
      <c r="O9" s="329" t="s">
        <v>67</v>
      </c>
      <c r="P9" s="330">
        <f t="shared" ref="P9:Q9" si="5">IF(B9=0,0,IF(YEAR(B9)=$Q$1,MONTH(B9)-$P$1+1,(YEAR(B9)-$Q$1)*12-$P$1+1+MONTH(B9)))</f>
        <v>4</v>
      </c>
      <c r="Q9" s="330">
        <f t="shared" si="5"/>
        <v>3</v>
      </c>
      <c r="R9" s="331" t="str">
        <f t="shared" si="1"/>
        <v>Gastos_com_Pessoal</v>
      </c>
      <c r="S9" s="331" t="str">
        <f>IF(D9="","",IF(OR(D9=Plano!$A$1,D9=Plano!$B$1),"entrada","saída"))</f>
        <v>saída</v>
      </c>
      <c r="T9" s="332" t="s">
        <v>114</v>
      </c>
      <c r="U9" s="332" t="s">
        <v>114</v>
      </c>
      <c r="V9" s="408" t="s">
        <v>4040</v>
      </c>
    </row>
    <row r="10" spans="1:22" ht="66" customHeight="1" x14ac:dyDescent="0.2">
      <c r="A10" s="277">
        <f>IF(B10="","",COUNT('Diário 5º PA'!$A$5:$A$2634)+ROW()-4)</f>
        <v>1317</v>
      </c>
      <c r="B10" s="278">
        <v>44287</v>
      </c>
      <c r="C10" s="256">
        <v>44228</v>
      </c>
      <c r="D10" s="255" t="s">
        <v>77</v>
      </c>
      <c r="E10" s="255" t="s">
        <v>79</v>
      </c>
      <c r="F10" s="258">
        <v>200000</v>
      </c>
      <c r="G10" s="255" t="s">
        <v>4041</v>
      </c>
      <c r="H10" s="255" t="s">
        <v>114</v>
      </c>
      <c r="I10" s="250" t="s">
        <v>983</v>
      </c>
      <c r="J10" s="255" t="s">
        <v>850</v>
      </c>
      <c r="K10" s="255" t="s">
        <v>946</v>
      </c>
      <c r="L10" s="250" t="s">
        <v>947</v>
      </c>
      <c r="M10" s="277" t="s">
        <v>114</v>
      </c>
      <c r="N10" s="278">
        <v>44287</v>
      </c>
      <c r="O10" s="329" t="s">
        <v>67</v>
      </c>
      <c r="P10" s="330">
        <f t="shared" ref="P10:Q10" si="6">IF(B10=0,0,IF(YEAR(B10)=$Q$1,MONTH(B10)-$P$1+1,(YEAR(B10)-$Q$1)*12-$P$1+1+MONTH(B10)))</f>
        <v>4</v>
      </c>
      <c r="Q10" s="330">
        <f t="shared" si="6"/>
        <v>2</v>
      </c>
      <c r="R10" s="331" t="str">
        <f t="shared" si="1"/>
        <v>Receitas</v>
      </c>
      <c r="S10" s="331" t="str">
        <f>IF(D10="","",IF(OR(D10=Plano!$A$1,D10=Plano!$B$1),"entrada","saída"))</f>
        <v>entrada</v>
      </c>
      <c r="T10" s="332" t="s">
        <v>114</v>
      </c>
      <c r="U10" s="332" t="s">
        <v>114</v>
      </c>
      <c r="V10" s="408" t="s">
        <v>4040</v>
      </c>
    </row>
    <row r="11" spans="1:22" ht="59.25" customHeight="1" x14ac:dyDescent="0.2">
      <c r="A11" s="277">
        <f>IF(B11="","",COUNT('Diário 5º PA'!$A$5:$A$2634)+ROW()-4)</f>
        <v>1318</v>
      </c>
      <c r="B11" s="278">
        <v>44287</v>
      </c>
      <c r="C11" s="256">
        <v>44228</v>
      </c>
      <c r="D11" s="255" t="s">
        <v>57</v>
      </c>
      <c r="E11" s="255" t="s">
        <v>57</v>
      </c>
      <c r="F11" s="258">
        <v>217.01</v>
      </c>
      <c r="G11" s="255" t="s">
        <v>4042</v>
      </c>
      <c r="H11" s="255" t="s">
        <v>114</v>
      </c>
      <c r="I11" s="250" t="s">
        <v>945</v>
      </c>
      <c r="J11" s="255" t="s">
        <v>850</v>
      </c>
      <c r="K11" s="255" t="s">
        <v>946</v>
      </c>
      <c r="L11" s="250" t="s">
        <v>947</v>
      </c>
      <c r="M11" s="277" t="s">
        <v>114</v>
      </c>
      <c r="N11" s="278">
        <v>44287</v>
      </c>
      <c r="O11" s="329" t="s">
        <v>67</v>
      </c>
      <c r="P11" s="330">
        <f t="shared" ref="P11:Q11" si="7">IF(B11=0,0,IF(YEAR(B11)=$Q$1,MONTH(B11)-$P$1+1,(YEAR(B11)-$Q$1)*12-$P$1+1+MONTH(B11)))</f>
        <v>4</v>
      </c>
      <c r="Q11" s="330">
        <f t="shared" si="7"/>
        <v>2</v>
      </c>
      <c r="R11" s="331" t="str">
        <f t="shared" si="1"/>
        <v>Transferência_para_Reserva_de_Recursos</v>
      </c>
      <c r="S11" s="331" t="str">
        <f>IF(D11="","",IF(OR(D11=Plano!$A$1,D11=Plano!$B$1),"entrada","saída"))</f>
        <v>saída</v>
      </c>
      <c r="T11" s="332" t="s">
        <v>114</v>
      </c>
      <c r="U11" s="332" t="s">
        <v>114</v>
      </c>
      <c r="V11" s="408" t="s">
        <v>4040</v>
      </c>
    </row>
    <row r="12" spans="1:22" ht="136.5" customHeight="1" x14ac:dyDescent="0.2">
      <c r="A12" s="277">
        <f>IF(B12="","",COUNT('Diário 5º PA'!$A$5:$A$2634)+ROW()-4)</f>
        <v>1319</v>
      </c>
      <c r="B12" s="278">
        <v>44287</v>
      </c>
      <c r="C12" s="259">
        <v>44228</v>
      </c>
      <c r="D12" s="252" t="s">
        <v>99</v>
      </c>
      <c r="E12" s="252" t="s">
        <v>374</v>
      </c>
      <c r="F12" s="257">
        <v>1000</v>
      </c>
      <c r="G12" s="252" t="s">
        <v>4043</v>
      </c>
      <c r="H12" s="252" t="s">
        <v>116</v>
      </c>
      <c r="I12" s="252" t="s">
        <v>4044</v>
      </c>
      <c r="J12" s="250" t="s">
        <v>438</v>
      </c>
      <c r="K12" s="255" t="s">
        <v>1015</v>
      </c>
      <c r="L12" s="250" t="s">
        <v>1016</v>
      </c>
      <c r="M12" s="277">
        <v>536</v>
      </c>
      <c r="N12" s="278">
        <v>44265</v>
      </c>
      <c r="O12" s="329" t="s">
        <v>67</v>
      </c>
      <c r="P12" s="330">
        <f t="shared" ref="P12:Q12" si="8">IF(B12=0,0,IF(YEAR(B12)=$Q$1,MONTH(B12)-$P$1+1,(YEAR(B12)-$Q$1)*12-$P$1+1+MONTH(B12)))</f>
        <v>4</v>
      </c>
      <c r="Q12" s="330">
        <f t="shared" si="8"/>
        <v>2</v>
      </c>
      <c r="R12" s="331" t="str">
        <f t="shared" si="1"/>
        <v>Gastos_Gerais</v>
      </c>
      <c r="S12" s="331" t="str">
        <f>IF(D12="","",IF(OR(D12=Plano!$A$1,D12=Plano!$B$1),"entrada","saída"))</f>
        <v>saída</v>
      </c>
      <c r="T12" s="332" t="s">
        <v>994</v>
      </c>
      <c r="U12" s="332">
        <v>1359</v>
      </c>
      <c r="V12" s="333"/>
    </row>
    <row r="13" spans="1:22" ht="77.25" customHeight="1" x14ac:dyDescent="0.2">
      <c r="A13" s="277">
        <f>IF(B13="","",COUNT('Diário 5º PA'!$A$5:$A$2634)+ROW()-4)</f>
        <v>1320</v>
      </c>
      <c r="B13" s="278">
        <v>44287</v>
      </c>
      <c r="C13" s="256">
        <v>44256</v>
      </c>
      <c r="D13" s="255" t="s">
        <v>88</v>
      </c>
      <c r="E13" s="255" t="s">
        <v>198</v>
      </c>
      <c r="F13" s="258">
        <v>515.26</v>
      </c>
      <c r="G13" s="255" t="s">
        <v>533</v>
      </c>
      <c r="H13" s="252" t="s">
        <v>114</v>
      </c>
      <c r="I13" s="250" t="s">
        <v>534</v>
      </c>
      <c r="J13" s="252" t="s">
        <v>535</v>
      </c>
      <c r="K13" s="255" t="s">
        <v>560</v>
      </c>
      <c r="L13" s="255" t="s">
        <v>697</v>
      </c>
      <c r="M13" s="277" t="s">
        <v>1001</v>
      </c>
      <c r="N13" s="278">
        <v>44272</v>
      </c>
      <c r="O13" s="329" t="s">
        <v>67</v>
      </c>
      <c r="P13" s="330">
        <f t="shared" ref="P13:Q13" si="9">IF(B13=0,0,IF(YEAR(B13)=$Q$1,MONTH(B13)-$P$1+1,(YEAR(B13)-$Q$1)*12-$P$1+1+MONTH(B13)))</f>
        <v>4</v>
      </c>
      <c r="Q13" s="330">
        <f t="shared" si="9"/>
        <v>3</v>
      </c>
      <c r="R13" s="331" t="str">
        <f t="shared" si="1"/>
        <v>Gastos_com_Pessoal</v>
      </c>
      <c r="S13" s="331" t="str">
        <f>IF(D13="","",IF(OR(D13=Plano!$A$1,D13=Plano!$B$1),"entrada","saída"))</f>
        <v>saída</v>
      </c>
      <c r="T13" s="332" t="s">
        <v>114</v>
      </c>
      <c r="U13" s="332" t="s">
        <v>114</v>
      </c>
      <c r="V13" s="333"/>
    </row>
    <row r="14" spans="1:22" ht="60.75" customHeight="1" x14ac:dyDescent="0.2">
      <c r="A14" s="277">
        <f>IF(B14="","",COUNT('Diário 5º PA'!$A$5:$A$2634)+ROW()-4)</f>
        <v>1321</v>
      </c>
      <c r="B14" s="278">
        <v>44287</v>
      </c>
      <c r="C14" s="256">
        <v>44256</v>
      </c>
      <c r="D14" s="255" t="s">
        <v>88</v>
      </c>
      <c r="E14" s="255" t="s">
        <v>183</v>
      </c>
      <c r="F14" s="258">
        <v>126.7</v>
      </c>
      <c r="G14" s="255" t="s">
        <v>4045</v>
      </c>
      <c r="H14" s="252" t="s">
        <v>114</v>
      </c>
      <c r="I14" s="250" t="s">
        <v>998</v>
      </c>
      <c r="J14" s="252" t="s">
        <v>999</v>
      </c>
      <c r="K14" s="255" t="s">
        <v>560</v>
      </c>
      <c r="L14" s="250" t="s">
        <v>992</v>
      </c>
      <c r="M14" s="277" t="s">
        <v>4046</v>
      </c>
      <c r="N14" s="278">
        <v>44270</v>
      </c>
      <c r="O14" s="329" t="s">
        <v>67</v>
      </c>
      <c r="P14" s="330">
        <f t="shared" ref="P14:Q14" si="10">IF(B14=0,0,IF(YEAR(B14)=$Q$1,MONTH(B14)-$P$1+1,(YEAR(B14)-$Q$1)*12-$P$1+1+MONTH(B14)))</f>
        <v>4</v>
      </c>
      <c r="Q14" s="330">
        <f t="shared" si="10"/>
        <v>3</v>
      </c>
      <c r="R14" s="331" t="str">
        <f t="shared" si="1"/>
        <v>Gastos_com_Pessoal</v>
      </c>
      <c r="S14" s="331" t="str">
        <f>IF(D14="","",IF(OR(D14=Plano!$A$1,D14=Plano!$B$1),"entrada","saída"))</f>
        <v>saída</v>
      </c>
      <c r="T14" s="332" t="s">
        <v>114</v>
      </c>
      <c r="U14" s="332" t="s">
        <v>114</v>
      </c>
      <c r="V14" s="333"/>
    </row>
    <row r="15" spans="1:22" ht="52.5" customHeight="1" x14ac:dyDescent="0.2">
      <c r="A15" s="277">
        <f>IF(B15="","",COUNT('Diário 5º PA'!$A$5:$A$2634)+ROW()-4)</f>
        <v>1322</v>
      </c>
      <c r="B15" s="278">
        <v>44287</v>
      </c>
      <c r="C15" s="256">
        <v>44256</v>
      </c>
      <c r="D15" s="255" t="s">
        <v>88</v>
      </c>
      <c r="E15" s="255" t="s">
        <v>183</v>
      </c>
      <c r="F15" s="258">
        <v>183.39</v>
      </c>
      <c r="G15" s="255" t="s">
        <v>4047</v>
      </c>
      <c r="H15" s="252" t="s">
        <v>114</v>
      </c>
      <c r="I15" s="250" t="s">
        <v>537</v>
      </c>
      <c r="J15" s="252" t="s">
        <v>538</v>
      </c>
      <c r="K15" s="255" t="s">
        <v>560</v>
      </c>
      <c r="L15" s="250" t="s">
        <v>992</v>
      </c>
      <c r="M15" s="277" t="s">
        <v>4048</v>
      </c>
      <c r="N15" s="278">
        <v>44270</v>
      </c>
      <c r="O15" s="329" t="s">
        <v>67</v>
      </c>
      <c r="P15" s="330">
        <f t="shared" ref="P15:Q15" si="11">IF(B15=0,0,IF(YEAR(B15)=$Q$1,MONTH(B15)-$P$1+1,(YEAR(B15)-$Q$1)*12-$P$1+1+MONTH(B15)))</f>
        <v>4</v>
      </c>
      <c r="Q15" s="330">
        <f t="shared" si="11"/>
        <v>3</v>
      </c>
      <c r="R15" s="331" t="str">
        <f t="shared" si="1"/>
        <v>Gastos_com_Pessoal</v>
      </c>
      <c r="S15" s="331" t="str">
        <f>IF(D15="","",IF(OR(D15=Plano!$A$1,D15=Plano!$B$1),"entrada","saída"))</f>
        <v>saída</v>
      </c>
      <c r="T15" s="332" t="s">
        <v>114</v>
      </c>
      <c r="U15" s="332" t="s">
        <v>114</v>
      </c>
      <c r="V15" s="333"/>
    </row>
    <row r="16" spans="1:22" ht="63.75" customHeight="1" x14ac:dyDescent="0.2">
      <c r="A16" s="277">
        <f>IF(B16="","",COUNT('Diário 5º PA'!$A$5:$A$2634)+ROW()-4)</f>
        <v>1323</v>
      </c>
      <c r="B16" s="278">
        <v>44287</v>
      </c>
      <c r="C16" s="256">
        <v>44287</v>
      </c>
      <c r="D16" s="255" t="s">
        <v>88</v>
      </c>
      <c r="E16" s="255" t="s">
        <v>177</v>
      </c>
      <c r="F16" s="258">
        <v>7062.09</v>
      </c>
      <c r="G16" s="255" t="s">
        <v>2979</v>
      </c>
      <c r="H16" s="255" t="s">
        <v>114</v>
      </c>
      <c r="I16" s="250" t="s">
        <v>1197</v>
      </c>
      <c r="J16" s="255" t="s">
        <v>1198</v>
      </c>
      <c r="K16" s="255" t="s">
        <v>991</v>
      </c>
      <c r="L16" s="250" t="s">
        <v>1347</v>
      </c>
      <c r="M16" s="336" t="s">
        <v>114</v>
      </c>
      <c r="N16" s="278">
        <v>44287</v>
      </c>
      <c r="O16" s="329" t="s">
        <v>67</v>
      </c>
      <c r="P16" s="330">
        <f t="shared" ref="P16:Q16" si="12">IF(B16=0,0,IF(YEAR(B16)=$Q$1,MONTH(B16)-$P$1+1,(YEAR(B16)-$Q$1)*12-$P$1+1+MONTH(B16)))</f>
        <v>4</v>
      </c>
      <c r="Q16" s="330">
        <f t="shared" si="12"/>
        <v>4</v>
      </c>
      <c r="R16" s="331" t="str">
        <f t="shared" si="1"/>
        <v>Gastos_com_Pessoal</v>
      </c>
      <c r="S16" s="331" t="str">
        <f>IF(D16="","",IF(OR(D16=Plano!$A$1,D16=Plano!$B$1),"entrada","saída"))</f>
        <v>saída</v>
      </c>
      <c r="T16" s="332" t="s">
        <v>114</v>
      </c>
      <c r="U16" s="332" t="s">
        <v>114</v>
      </c>
      <c r="V16" s="333"/>
    </row>
    <row r="17" spans="1:22" ht="144" customHeight="1" x14ac:dyDescent="0.2">
      <c r="A17" s="277">
        <f>IF(B17="","",COUNT('Diário 5º PA'!$A$5:$A$2634)+ROW()-4)</f>
        <v>1324</v>
      </c>
      <c r="B17" s="278">
        <v>44287</v>
      </c>
      <c r="C17" s="259">
        <v>44166</v>
      </c>
      <c r="D17" s="252" t="s">
        <v>99</v>
      </c>
      <c r="E17" s="252" t="s">
        <v>312</v>
      </c>
      <c r="F17" s="257">
        <v>6570</v>
      </c>
      <c r="G17" s="252" t="s">
        <v>4049</v>
      </c>
      <c r="H17" s="252" t="s">
        <v>129</v>
      </c>
      <c r="I17" s="252" t="s">
        <v>2678</v>
      </c>
      <c r="J17" s="250" t="s">
        <v>1427</v>
      </c>
      <c r="K17" s="255" t="s">
        <v>991</v>
      </c>
      <c r="L17" s="250" t="s">
        <v>1428</v>
      </c>
      <c r="M17" s="277">
        <v>300</v>
      </c>
      <c r="N17" s="278">
        <v>44274</v>
      </c>
      <c r="O17" s="329" t="s">
        <v>67</v>
      </c>
      <c r="P17" s="330">
        <f t="shared" ref="P17:Q17" si="13">IF(B17=0,0,IF(YEAR(B17)=$Q$1,MONTH(B17)-$P$1+1,(YEAR(B17)-$Q$1)*12-$P$1+1+MONTH(B17)))</f>
        <v>4</v>
      </c>
      <c r="Q17" s="330">
        <f t="shared" si="13"/>
        <v>0</v>
      </c>
      <c r="R17" s="331" t="str">
        <f t="shared" si="1"/>
        <v>Gastos_Gerais</v>
      </c>
      <c r="S17" s="331" t="str">
        <f>IF(D17="","",IF(OR(D17=Plano!$A$1,D17=Plano!$B$1),"entrada","saída"))</f>
        <v>saída</v>
      </c>
      <c r="T17" s="332" t="s">
        <v>994</v>
      </c>
      <c r="U17" s="332">
        <v>1109</v>
      </c>
      <c r="V17" s="333"/>
    </row>
    <row r="18" spans="1:22" ht="106.5" customHeight="1" x14ac:dyDescent="0.2">
      <c r="A18" s="277">
        <f>IF(B18="","",COUNT('Diário 5º PA'!$A$5:$A$2634)+ROW()-4)</f>
        <v>1325</v>
      </c>
      <c r="B18" s="278">
        <v>44291</v>
      </c>
      <c r="C18" s="256">
        <v>44256</v>
      </c>
      <c r="D18" s="255" t="s">
        <v>99</v>
      </c>
      <c r="E18" s="255" t="s">
        <v>262</v>
      </c>
      <c r="F18" s="257">
        <v>-1743.06</v>
      </c>
      <c r="G18" s="252" t="s">
        <v>4050</v>
      </c>
      <c r="H18" s="255" t="s">
        <v>115</v>
      </c>
      <c r="I18" s="250" t="s">
        <v>983</v>
      </c>
      <c r="J18" s="255" t="s">
        <v>850</v>
      </c>
      <c r="K18" s="255" t="s">
        <v>1069</v>
      </c>
      <c r="L18" s="250" t="s">
        <v>947</v>
      </c>
      <c r="M18" s="277" t="s">
        <v>114</v>
      </c>
      <c r="N18" s="278">
        <v>44291</v>
      </c>
      <c r="O18" s="329" t="s">
        <v>67</v>
      </c>
      <c r="P18" s="330">
        <f t="shared" ref="P18:Q18" si="14">IF(B18=0,0,IF(YEAR(B18)=$Q$1,MONTH(B18)-$P$1+1,(YEAR(B18)-$Q$1)*12-$P$1+1+MONTH(B18)))</f>
        <v>4</v>
      </c>
      <c r="Q18" s="330">
        <f t="shared" si="14"/>
        <v>3</v>
      </c>
      <c r="R18" s="331" t="str">
        <f t="shared" si="1"/>
        <v>Gastos_Gerais</v>
      </c>
      <c r="S18" s="331" t="str">
        <f>IF(D18="","",IF(OR(D18=Plano!$A$1,D18=Plano!$B$1),"entrada","saída"))</f>
        <v>saída</v>
      </c>
      <c r="T18" s="332" t="s">
        <v>114</v>
      </c>
      <c r="U18" s="332" t="s">
        <v>114</v>
      </c>
      <c r="V18" s="333"/>
    </row>
    <row r="19" spans="1:22" ht="100.5" customHeight="1" x14ac:dyDescent="0.2">
      <c r="A19" s="277">
        <f>IF(B19="","",COUNT('Diário 5º PA'!$A$5:$A$2634)+ROW()-4)</f>
        <v>1326</v>
      </c>
      <c r="B19" s="278">
        <v>44291</v>
      </c>
      <c r="C19" s="256">
        <v>44166</v>
      </c>
      <c r="D19" s="255" t="s">
        <v>99</v>
      </c>
      <c r="E19" s="255" t="s">
        <v>232</v>
      </c>
      <c r="F19" s="257">
        <v>-4115.55</v>
      </c>
      <c r="G19" s="252" t="s">
        <v>4051</v>
      </c>
      <c r="H19" s="255" t="s">
        <v>115</v>
      </c>
      <c r="I19" s="250" t="s">
        <v>983</v>
      </c>
      <c r="J19" s="255" t="s">
        <v>850</v>
      </c>
      <c r="K19" s="255" t="s">
        <v>1069</v>
      </c>
      <c r="L19" s="250" t="s">
        <v>947</v>
      </c>
      <c r="M19" s="277" t="s">
        <v>114</v>
      </c>
      <c r="N19" s="278">
        <v>44291</v>
      </c>
      <c r="O19" s="329" t="s">
        <v>67</v>
      </c>
      <c r="P19" s="330">
        <f t="shared" ref="P19:Q19" si="15">IF(B19=0,0,IF(YEAR(B19)=$Q$1,MONTH(B19)-$P$1+1,(YEAR(B19)-$Q$1)*12-$P$1+1+MONTH(B19)))</f>
        <v>4</v>
      </c>
      <c r="Q19" s="330">
        <f t="shared" si="15"/>
        <v>0</v>
      </c>
      <c r="R19" s="331" t="str">
        <f t="shared" si="1"/>
        <v>Gastos_Gerais</v>
      </c>
      <c r="S19" s="331" t="str">
        <f>IF(D19="","",IF(OR(D19=Plano!$A$1,D19=Plano!$B$1),"entrada","saída"))</f>
        <v>saída</v>
      </c>
      <c r="T19" s="332" t="s">
        <v>114</v>
      </c>
      <c r="U19" s="332" t="s">
        <v>114</v>
      </c>
      <c r="V19" s="333"/>
    </row>
    <row r="20" spans="1:22" ht="75" customHeight="1" x14ac:dyDescent="0.2">
      <c r="A20" s="277">
        <f>IF(B20="","",COUNT('Diário 5º PA'!$A$5:$A$2634)+ROW()-4)</f>
        <v>1327</v>
      </c>
      <c r="B20" s="278">
        <v>44291</v>
      </c>
      <c r="C20" s="256">
        <v>44256</v>
      </c>
      <c r="D20" s="255" t="s">
        <v>99</v>
      </c>
      <c r="E20" s="255" t="s">
        <v>228</v>
      </c>
      <c r="F20" s="257">
        <v>-2244.85</v>
      </c>
      <c r="G20" s="252" t="s">
        <v>4052</v>
      </c>
      <c r="H20" s="255" t="s">
        <v>115</v>
      </c>
      <c r="I20" s="250" t="s">
        <v>983</v>
      </c>
      <c r="J20" s="255" t="s">
        <v>850</v>
      </c>
      <c r="K20" s="255" t="s">
        <v>1069</v>
      </c>
      <c r="L20" s="250" t="s">
        <v>947</v>
      </c>
      <c r="M20" s="277" t="s">
        <v>114</v>
      </c>
      <c r="N20" s="278">
        <v>44291</v>
      </c>
      <c r="O20" s="329" t="s">
        <v>67</v>
      </c>
      <c r="P20" s="330">
        <f t="shared" ref="P20:Q20" si="16">IF(B20=0,0,IF(YEAR(B20)=$Q$1,MONTH(B20)-$P$1+1,(YEAR(B20)-$Q$1)*12-$P$1+1+MONTH(B20)))</f>
        <v>4</v>
      </c>
      <c r="Q20" s="330">
        <f t="shared" si="16"/>
        <v>3</v>
      </c>
      <c r="R20" s="331" t="str">
        <f t="shared" si="1"/>
        <v>Gastos_Gerais</v>
      </c>
      <c r="S20" s="331" t="str">
        <f>IF(D20="","",IF(OR(D20=Plano!$A$1,D20=Plano!$B$1),"entrada","saída"))</f>
        <v>saída</v>
      </c>
      <c r="T20" s="332" t="s">
        <v>114</v>
      </c>
      <c r="U20" s="332" t="s">
        <v>114</v>
      </c>
      <c r="V20" s="333"/>
    </row>
    <row r="21" spans="1:22" ht="51" customHeight="1" x14ac:dyDescent="0.2">
      <c r="A21" s="277">
        <f>IF(B21="","",COUNT('Diário 5º PA'!$A$5:$A$2634)+ROW()-4)</f>
        <v>1328</v>
      </c>
      <c r="B21" s="278">
        <v>44291</v>
      </c>
      <c r="C21" s="259">
        <v>44228</v>
      </c>
      <c r="D21" s="252" t="s">
        <v>99</v>
      </c>
      <c r="E21" s="252" t="s">
        <v>370</v>
      </c>
      <c r="F21" s="257">
        <v>137.08000000000001</v>
      </c>
      <c r="G21" s="252" t="s">
        <v>4053</v>
      </c>
      <c r="H21" s="252" t="s">
        <v>116</v>
      </c>
      <c r="I21" s="252" t="s">
        <v>465</v>
      </c>
      <c r="J21" s="250" t="s">
        <v>114</v>
      </c>
      <c r="K21" s="250" t="s">
        <v>466</v>
      </c>
      <c r="L21" s="250" t="s">
        <v>467</v>
      </c>
      <c r="M21" s="277">
        <v>2430</v>
      </c>
      <c r="N21" s="278">
        <v>44291</v>
      </c>
      <c r="O21" s="329" t="s">
        <v>67</v>
      </c>
      <c r="P21" s="330">
        <f t="shared" ref="P21:Q21" si="17">IF(B21=0,0,IF(YEAR(B21)=$Q$1,MONTH(B21)-$P$1+1,(YEAR(B21)-$Q$1)*12-$P$1+1+MONTH(B21)))</f>
        <v>4</v>
      </c>
      <c r="Q21" s="330">
        <f t="shared" si="17"/>
        <v>2</v>
      </c>
      <c r="R21" s="331" t="str">
        <f t="shared" si="1"/>
        <v>Gastos_Gerais</v>
      </c>
      <c r="S21" s="331" t="str">
        <f>IF(D21="","",IF(OR(D21=Plano!$A$1,D21=Plano!$B$1),"entrada","saída"))</f>
        <v>saída</v>
      </c>
      <c r="T21" s="332" t="s">
        <v>114</v>
      </c>
      <c r="U21" s="332" t="s">
        <v>114</v>
      </c>
      <c r="V21" s="333"/>
    </row>
    <row r="22" spans="1:22" ht="54.75" customHeight="1" x14ac:dyDescent="0.2">
      <c r="A22" s="277">
        <f>IF(B22="","",COUNT('Diário 5º PA'!$A$5:$A$2634)+ROW()-4)</f>
        <v>1329</v>
      </c>
      <c r="B22" s="278">
        <v>44291</v>
      </c>
      <c r="C22" s="259">
        <v>44228</v>
      </c>
      <c r="D22" s="252" t="s">
        <v>99</v>
      </c>
      <c r="E22" s="252" t="s">
        <v>336</v>
      </c>
      <c r="F22" s="257">
        <v>75</v>
      </c>
      <c r="G22" s="252" t="s">
        <v>4054</v>
      </c>
      <c r="H22" s="252" t="s">
        <v>117</v>
      </c>
      <c r="I22" s="252" t="s">
        <v>465</v>
      </c>
      <c r="J22" s="250" t="s">
        <v>114</v>
      </c>
      <c r="K22" s="250" t="s">
        <v>466</v>
      </c>
      <c r="L22" s="250" t="s">
        <v>467</v>
      </c>
      <c r="M22" s="277">
        <v>2431</v>
      </c>
      <c r="N22" s="278">
        <v>44291</v>
      </c>
      <c r="O22" s="329" t="s">
        <v>67</v>
      </c>
      <c r="P22" s="330">
        <f t="shared" ref="P22:Q22" si="18">IF(B22=0,0,IF(YEAR(B22)=$Q$1,MONTH(B22)-$P$1+1,(YEAR(B22)-$Q$1)*12-$P$1+1+MONTH(B22)))</f>
        <v>4</v>
      </c>
      <c r="Q22" s="330">
        <f t="shared" si="18"/>
        <v>2</v>
      </c>
      <c r="R22" s="331" t="str">
        <f t="shared" si="1"/>
        <v>Gastos_Gerais</v>
      </c>
      <c r="S22" s="331" t="str">
        <f>IF(D22="","",IF(OR(D22=Plano!$A$1,D22=Plano!$B$1),"entrada","saída"))</f>
        <v>saída</v>
      </c>
      <c r="T22" s="332" t="s">
        <v>114</v>
      </c>
      <c r="U22" s="332" t="s">
        <v>114</v>
      </c>
      <c r="V22" s="333"/>
    </row>
    <row r="23" spans="1:22" ht="58.5" customHeight="1" x14ac:dyDescent="0.2">
      <c r="A23" s="277">
        <f>IF(B23="","",COUNT('Diário 5º PA'!$A$5:$A$2634)+ROW()-4)</f>
        <v>1330</v>
      </c>
      <c r="B23" s="278">
        <v>44291</v>
      </c>
      <c r="C23" s="259">
        <v>44228</v>
      </c>
      <c r="D23" s="252" t="s">
        <v>99</v>
      </c>
      <c r="E23" s="252" t="s">
        <v>336</v>
      </c>
      <c r="F23" s="257">
        <v>25</v>
      </c>
      <c r="G23" s="252" t="s">
        <v>4055</v>
      </c>
      <c r="H23" s="252" t="s">
        <v>116</v>
      </c>
      <c r="I23" s="252" t="s">
        <v>465</v>
      </c>
      <c r="J23" s="250" t="s">
        <v>114</v>
      </c>
      <c r="K23" s="250" t="s">
        <v>466</v>
      </c>
      <c r="L23" s="250" t="s">
        <v>467</v>
      </c>
      <c r="M23" s="277">
        <v>2432</v>
      </c>
      <c r="N23" s="278">
        <v>44291</v>
      </c>
      <c r="O23" s="329" t="s">
        <v>67</v>
      </c>
      <c r="P23" s="330">
        <f t="shared" ref="P23:Q23" si="19">IF(B23=0,0,IF(YEAR(B23)=$Q$1,MONTH(B23)-$P$1+1,(YEAR(B23)-$Q$1)*12-$P$1+1+MONTH(B23)))</f>
        <v>4</v>
      </c>
      <c r="Q23" s="330">
        <f t="shared" si="19"/>
        <v>2</v>
      </c>
      <c r="R23" s="331" t="str">
        <f t="shared" si="1"/>
        <v>Gastos_Gerais</v>
      </c>
      <c r="S23" s="331" t="str">
        <f>IF(D23="","",IF(OR(D23=Plano!$A$1,D23=Plano!$B$1),"entrada","saída"))</f>
        <v>saída</v>
      </c>
      <c r="T23" s="332" t="s">
        <v>114</v>
      </c>
      <c r="U23" s="332" t="s">
        <v>114</v>
      </c>
      <c r="V23" s="333"/>
    </row>
    <row r="24" spans="1:22" ht="48" customHeight="1" x14ac:dyDescent="0.2">
      <c r="A24" s="277">
        <f>IF(B24="","",COUNT('Diário 5º PA'!$A$5:$A$2634)+ROW()-4)</f>
        <v>1331</v>
      </c>
      <c r="B24" s="278">
        <v>44291</v>
      </c>
      <c r="C24" s="259">
        <v>44228</v>
      </c>
      <c r="D24" s="252" t="s">
        <v>99</v>
      </c>
      <c r="E24" s="252" t="s">
        <v>336</v>
      </c>
      <c r="F24" s="257">
        <v>25</v>
      </c>
      <c r="G24" s="252" t="s">
        <v>4056</v>
      </c>
      <c r="H24" s="252" t="s">
        <v>116</v>
      </c>
      <c r="I24" s="252" t="s">
        <v>465</v>
      </c>
      <c r="J24" s="250" t="s">
        <v>114</v>
      </c>
      <c r="K24" s="250" t="s">
        <v>466</v>
      </c>
      <c r="L24" s="250" t="s">
        <v>467</v>
      </c>
      <c r="M24" s="277">
        <v>2433</v>
      </c>
      <c r="N24" s="278">
        <v>44291</v>
      </c>
      <c r="O24" s="329" t="s">
        <v>67</v>
      </c>
      <c r="P24" s="330">
        <f t="shared" ref="P24:Q24" si="20">IF(B24=0,0,IF(YEAR(B24)=$Q$1,MONTH(B24)-$P$1+1,(YEAR(B24)-$Q$1)*12-$P$1+1+MONTH(B24)))</f>
        <v>4</v>
      </c>
      <c r="Q24" s="330">
        <f t="shared" si="20"/>
        <v>2</v>
      </c>
      <c r="R24" s="331" t="str">
        <f t="shared" si="1"/>
        <v>Gastos_Gerais</v>
      </c>
      <c r="S24" s="331" t="str">
        <f>IF(D24="","",IF(OR(D24=Plano!$A$1,D24=Plano!$B$1),"entrada","saída"))</f>
        <v>saída</v>
      </c>
      <c r="T24" s="332" t="s">
        <v>114</v>
      </c>
      <c r="U24" s="332" t="s">
        <v>114</v>
      </c>
      <c r="V24" s="333"/>
    </row>
    <row r="25" spans="1:22" ht="54" customHeight="1" x14ac:dyDescent="0.2">
      <c r="A25" s="277">
        <f>IF(B25="","",COUNT('Diário 5º PA'!$A$5:$A$2634)+ROW()-4)</f>
        <v>1332</v>
      </c>
      <c r="B25" s="278">
        <v>44291</v>
      </c>
      <c r="C25" s="259">
        <v>44256</v>
      </c>
      <c r="D25" s="252" t="s">
        <v>99</v>
      </c>
      <c r="E25" s="252" t="s">
        <v>262</v>
      </c>
      <c r="F25" s="257">
        <v>80</v>
      </c>
      <c r="G25" s="252" t="s">
        <v>4057</v>
      </c>
      <c r="H25" s="252" t="s">
        <v>124</v>
      </c>
      <c r="I25" s="252" t="s">
        <v>465</v>
      </c>
      <c r="J25" s="250" t="s">
        <v>114</v>
      </c>
      <c r="K25" s="250" t="s">
        <v>466</v>
      </c>
      <c r="L25" s="250" t="s">
        <v>467</v>
      </c>
      <c r="M25" s="277">
        <v>2434</v>
      </c>
      <c r="N25" s="278">
        <v>44291</v>
      </c>
      <c r="O25" s="329" t="s">
        <v>67</v>
      </c>
      <c r="P25" s="330">
        <f t="shared" ref="P25:Q25" si="21">IF(B25=0,0,IF(YEAR(B25)=$Q$1,MONTH(B25)-$P$1+1,(YEAR(B25)-$Q$1)*12-$P$1+1+MONTH(B25)))</f>
        <v>4</v>
      </c>
      <c r="Q25" s="330">
        <f t="shared" si="21"/>
        <v>3</v>
      </c>
      <c r="R25" s="331" t="str">
        <f t="shared" si="1"/>
        <v>Gastos_Gerais</v>
      </c>
      <c r="S25" s="331" t="str">
        <f>IF(D25="","",IF(OR(D25=Plano!$A$1,D25=Plano!$B$1),"entrada","saída"))</f>
        <v>saída</v>
      </c>
      <c r="T25" s="332" t="s">
        <v>114</v>
      </c>
      <c r="U25" s="332" t="s">
        <v>114</v>
      </c>
      <c r="V25" s="333"/>
    </row>
    <row r="26" spans="1:22" ht="39" customHeight="1" x14ac:dyDescent="0.2">
      <c r="A26" s="277">
        <f>IF(B26="","",COUNT('Diário 5º PA'!$A$5:$A$2634)+ROW()-4)</f>
        <v>1333</v>
      </c>
      <c r="B26" s="278">
        <v>44291</v>
      </c>
      <c r="C26" s="259">
        <v>44228</v>
      </c>
      <c r="D26" s="252" t="s">
        <v>99</v>
      </c>
      <c r="E26" s="252" t="s">
        <v>352</v>
      </c>
      <c r="F26" s="257">
        <v>15</v>
      </c>
      <c r="G26" s="252" t="s">
        <v>4058</v>
      </c>
      <c r="H26" s="252" t="s">
        <v>131</v>
      </c>
      <c r="I26" s="252" t="s">
        <v>465</v>
      </c>
      <c r="J26" s="250" t="s">
        <v>114</v>
      </c>
      <c r="K26" s="250" t="s">
        <v>466</v>
      </c>
      <c r="L26" s="250" t="s">
        <v>467</v>
      </c>
      <c r="M26" s="277">
        <v>2435</v>
      </c>
      <c r="N26" s="278">
        <v>44291</v>
      </c>
      <c r="O26" s="329" t="s">
        <v>67</v>
      </c>
      <c r="P26" s="330">
        <f t="shared" ref="P26:Q26" si="22">IF(B26=0,0,IF(YEAR(B26)=$Q$1,MONTH(B26)-$P$1+1,(YEAR(B26)-$Q$1)*12-$P$1+1+MONTH(B26)))</f>
        <v>4</v>
      </c>
      <c r="Q26" s="330">
        <f t="shared" si="22"/>
        <v>2</v>
      </c>
      <c r="R26" s="331" t="str">
        <f t="shared" si="1"/>
        <v>Gastos_Gerais</v>
      </c>
      <c r="S26" s="331" t="str">
        <f>IF(D26="","",IF(OR(D26=Plano!$A$1,D26=Plano!$B$1),"entrada","saída"))</f>
        <v>saída</v>
      </c>
      <c r="T26" s="332" t="s">
        <v>114</v>
      </c>
      <c r="U26" s="332" t="s">
        <v>114</v>
      </c>
      <c r="V26" s="333"/>
    </row>
    <row r="27" spans="1:22" ht="48.75" customHeight="1" x14ac:dyDescent="0.2">
      <c r="A27" s="277">
        <f>IF(B27="","",COUNT('Diário 5º PA'!$A$5:$A$2634)+ROW()-4)</f>
        <v>1334</v>
      </c>
      <c r="B27" s="278">
        <v>44291</v>
      </c>
      <c r="C27" s="259">
        <v>44228</v>
      </c>
      <c r="D27" s="252" t="s">
        <v>99</v>
      </c>
      <c r="E27" s="252" t="s">
        <v>370</v>
      </c>
      <c r="F27" s="257">
        <v>157.5</v>
      </c>
      <c r="G27" s="252" t="s">
        <v>4059</v>
      </c>
      <c r="H27" s="252" t="s">
        <v>125</v>
      </c>
      <c r="I27" s="252" t="s">
        <v>465</v>
      </c>
      <c r="J27" s="250" t="s">
        <v>114</v>
      </c>
      <c r="K27" s="250" t="s">
        <v>466</v>
      </c>
      <c r="L27" s="250" t="s">
        <v>467</v>
      </c>
      <c r="M27" s="277">
        <v>2436</v>
      </c>
      <c r="N27" s="278">
        <v>44291</v>
      </c>
      <c r="O27" s="329" t="s">
        <v>67</v>
      </c>
      <c r="P27" s="330">
        <f t="shared" ref="P27:Q27" si="23">IF(B27=0,0,IF(YEAR(B27)=$Q$1,MONTH(B27)-$P$1+1,(YEAR(B27)-$Q$1)*12-$P$1+1+MONTH(B27)))</f>
        <v>4</v>
      </c>
      <c r="Q27" s="330">
        <f t="shared" si="23"/>
        <v>2</v>
      </c>
      <c r="R27" s="331" t="str">
        <f t="shared" si="1"/>
        <v>Gastos_Gerais</v>
      </c>
      <c r="S27" s="331" t="str">
        <f>IF(D27="","",IF(OR(D27=Plano!$A$1,D27=Plano!$B$1),"entrada","saída"))</f>
        <v>saída</v>
      </c>
      <c r="T27" s="332" t="s">
        <v>114</v>
      </c>
      <c r="U27" s="332" t="s">
        <v>114</v>
      </c>
      <c r="V27" s="333"/>
    </row>
    <row r="28" spans="1:22" ht="45" customHeight="1" x14ac:dyDescent="0.2">
      <c r="A28" s="277">
        <f>IF(B28="","",COUNT('Diário 5º PA'!$A$5:$A$2634)+ROW()-4)</f>
        <v>1335</v>
      </c>
      <c r="B28" s="278">
        <v>44291</v>
      </c>
      <c r="C28" s="259">
        <v>44228</v>
      </c>
      <c r="D28" s="252" t="s">
        <v>99</v>
      </c>
      <c r="E28" s="252" t="s">
        <v>352</v>
      </c>
      <c r="F28" s="257">
        <v>150</v>
      </c>
      <c r="G28" s="252" t="s">
        <v>4060</v>
      </c>
      <c r="H28" s="252" t="s">
        <v>131</v>
      </c>
      <c r="I28" s="252" t="s">
        <v>465</v>
      </c>
      <c r="J28" s="250" t="s">
        <v>114</v>
      </c>
      <c r="K28" s="250" t="s">
        <v>466</v>
      </c>
      <c r="L28" s="250" t="s">
        <v>467</v>
      </c>
      <c r="M28" s="277">
        <v>2437</v>
      </c>
      <c r="N28" s="278">
        <v>44291</v>
      </c>
      <c r="O28" s="329" t="s">
        <v>67</v>
      </c>
      <c r="P28" s="330">
        <f t="shared" ref="P28:Q28" si="24">IF(B28=0,0,IF(YEAR(B28)=$Q$1,MONTH(B28)-$P$1+1,(YEAR(B28)-$Q$1)*12-$P$1+1+MONTH(B28)))</f>
        <v>4</v>
      </c>
      <c r="Q28" s="330">
        <f t="shared" si="24"/>
        <v>2</v>
      </c>
      <c r="R28" s="331" t="str">
        <f t="shared" si="1"/>
        <v>Gastos_Gerais</v>
      </c>
      <c r="S28" s="331" t="str">
        <f>IF(D28="","",IF(OR(D28=Plano!$A$1,D28=Plano!$B$1),"entrada","saída"))</f>
        <v>saída</v>
      </c>
      <c r="T28" s="332" t="s">
        <v>114</v>
      </c>
      <c r="U28" s="332" t="s">
        <v>114</v>
      </c>
      <c r="V28" s="333"/>
    </row>
    <row r="29" spans="1:22" ht="55.5" customHeight="1" x14ac:dyDescent="0.2">
      <c r="A29" s="277">
        <f>IF(B29="","",COUNT('Diário 5º PA'!$A$5:$A$2634)+ROW()-4)</f>
        <v>1336</v>
      </c>
      <c r="B29" s="278">
        <v>44291</v>
      </c>
      <c r="C29" s="259">
        <v>44256</v>
      </c>
      <c r="D29" s="252" t="s">
        <v>99</v>
      </c>
      <c r="E29" s="252" t="s">
        <v>352</v>
      </c>
      <c r="F29" s="257">
        <v>150</v>
      </c>
      <c r="G29" s="252" t="s">
        <v>4061</v>
      </c>
      <c r="H29" s="252" t="s">
        <v>131</v>
      </c>
      <c r="I29" s="252" t="s">
        <v>465</v>
      </c>
      <c r="J29" s="250" t="s">
        <v>114</v>
      </c>
      <c r="K29" s="250" t="s">
        <v>466</v>
      </c>
      <c r="L29" s="250" t="s">
        <v>467</v>
      </c>
      <c r="M29" s="277">
        <v>2438</v>
      </c>
      <c r="N29" s="278">
        <v>44291</v>
      </c>
      <c r="O29" s="329" t="s">
        <v>67</v>
      </c>
      <c r="P29" s="330">
        <f t="shared" ref="P29:Q29" si="25">IF(B29=0,0,IF(YEAR(B29)=$Q$1,MONTH(B29)-$P$1+1,(YEAR(B29)-$Q$1)*12-$P$1+1+MONTH(B29)))</f>
        <v>4</v>
      </c>
      <c r="Q29" s="330">
        <f t="shared" si="25"/>
        <v>3</v>
      </c>
      <c r="R29" s="331" t="str">
        <f t="shared" si="1"/>
        <v>Gastos_Gerais</v>
      </c>
      <c r="S29" s="331" t="str">
        <f>IF(D29="","",IF(OR(D29=Plano!$A$1,D29=Plano!$B$1),"entrada","saída"))</f>
        <v>saída</v>
      </c>
      <c r="T29" s="332" t="s">
        <v>114</v>
      </c>
      <c r="U29" s="332" t="s">
        <v>114</v>
      </c>
      <c r="V29" s="333"/>
    </row>
    <row r="30" spans="1:22" ht="57.75" customHeight="1" x14ac:dyDescent="0.2">
      <c r="A30" s="277">
        <f>IF(B30="","",COUNT('Diário 5º PA'!$A$5:$A$2634)+ROW()-4)</f>
        <v>1337</v>
      </c>
      <c r="B30" s="278">
        <v>44291</v>
      </c>
      <c r="C30" s="259">
        <v>44228</v>
      </c>
      <c r="D30" s="252" t="s">
        <v>99</v>
      </c>
      <c r="E30" s="252" t="s">
        <v>352</v>
      </c>
      <c r="F30" s="257">
        <v>55.27</v>
      </c>
      <c r="G30" s="252" t="s">
        <v>4062</v>
      </c>
      <c r="H30" s="252" t="s">
        <v>132</v>
      </c>
      <c r="I30" s="252" t="s">
        <v>465</v>
      </c>
      <c r="J30" s="250" t="s">
        <v>114</v>
      </c>
      <c r="K30" s="250" t="s">
        <v>466</v>
      </c>
      <c r="L30" s="250" t="s">
        <v>467</v>
      </c>
      <c r="M30" s="277">
        <v>2439</v>
      </c>
      <c r="N30" s="278">
        <v>44291</v>
      </c>
      <c r="O30" s="329" t="s">
        <v>67</v>
      </c>
      <c r="P30" s="330">
        <f t="shared" ref="P30:Q30" si="26">IF(B30=0,0,IF(YEAR(B30)=$Q$1,MONTH(B30)-$P$1+1,(YEAR(B30)-$Q$1)*12-$P$1+1+MONTH(B30)))</f>
        <v>4</v>
      </c>
      <c r="Q30" s="330">
        <f t="shared" si="26"/>
        <v>2</v>
      </c>
      <c r="R30" s="331" t="str">
        <f t="shared" si="1"/>
        <v>Gastos_Gerais</v>
      </c>
      <c r="S30" s="331" t="str">
        <f>IF(D30="","",IF(OR(D30=Plano!$A$1,D30=Plano!$B$1),"entrada","saída"))</f>
        <v>saída</v>
      </c>
      <c r="T30" s="332" t="s">
        <v>114</v>
      </c>
      <c r="U30" s="332" t="s">
        <v>114</v>
      </c>
      <c r="V30" s="333"/>
    </row>
    <row r="31" spans="1:22" ht="62.25" customHeight="1" x14ac:dyDescent="0.2">
      <c r="A31" s="277">
        <f>IF(B31="","",COUNT('Diário 5º PA'!$A$5:$A$2634)+ROW()-4)</f>
        <v>1338</v>
      </c>
      <c r="B31" s="278">
        <v>44291</v>
      </c>
      <c r="C31" s="259">
        <v>44228</v>
      </c>
      <c r="D31" s="252" t="s">
        <v>99</v>
      </c>
      <c r="E31" s="252" t="s">
        <v>364</v>
      </c>
      <c r="F31" s="257">
        <v>110.55</v>
      </c>
      <c r="G31" s="252" t="s">
        <v>4063</v>
      </c>
      <c r="H31" s="252" t="s">
        <v>132</v>
      </c>
      <c r="I31" s="252" t="s">
        <v>465</v>
      </c>
      <c r="J31" s="250" t="s">
        <v>114</v>
      </c>
      <c r="K31" s="250" t="s">
        <v>466</v>
      </c>
      <c r="L31" s="250" t="s">
        <v>467</v>
      </c>
      <c r="M31" s="277">
        <v>2440</v>
      </c>
      <c r="N31" s="278">
        <v>44291</v>
      </c>
      <c r="O31" s="329" t="s">
        <v>67</v>
      </c>
      <c r="P31" s="330">
        <f t="shared" ref="P31:Q31" si="27">IF(B31=0,0,IF(YEAR(B31)=$Q$1,MONTH(B31)-$P$1+1,(YEAR(B31)-$Q$1)*12-$P$1+1+MONTH(B31)))</f>
        <v>4</v>
      </c>
      <c r="Q31" s="330">
        <f t="shared" si="27"/>
        <v>2</v>
      </c>
      <c r="R31" s="331" t="str">
        <f t="shared" si="1"/>
        <v>Gastos_Gerais</v>
      </c>
      <c r="S31" s="331" t="str">
        <f>IF(D31="","",IF(OR(D31=Plano!$A$1,D31=Plano!$B$1),"entrada","saída"))</f>
        <v>saída</v>
      </c>
      <c r="T31" s="332" t="s">
        <v>114</v>
      </c>
      <c r="U31" s="332" t="s">
        <v>114</v>
      </c>
      <c r="V31" s="333"/>
    </row>
    <row r="32" spans="1:22" ht="67.5" customHeight="1" x14ac:dyDescent="0.2">
      <c r="A32" s="277">
        <f>IF(B32="","",COUNT('Diário 5º PA'!$A$5:$A$2634)+ROW()-4)</f>
        <v>1339</v>
      </c>
      <c r="B32" s="278">
        <v>44291</v>
      </c>
      <c r="C32" s="259">
        <v>44228</v>
      </c>
      <c r="D32" s="252" t="s">
        <v>99</v>
      </c>
      <c r="E32" s="252" t="s">
        <v>262</v>
      </c>
      <c r="F32" s="257">
        <v>132.66</v>
      </c>
      <c r="G32" s="252" t="s">
        <v>4064</v>
      </c>
      <c r="H32" s="252" t="s">
        <v>115</v>
      </c>
      <c r="I32" s="252" t="s">
        <v>465</v>
      </c>
      <c r="J32" s="250" t="s">
        <v>114</v>
      </c>
      <c r="K32" s="250" t="s">
        <v>466</v>
      </c>
      <c r="L32" s="250" t="s">
        <v>467</v>
      </c>
      <c r="M32" s="277">
        <v>2441</v>
      </c>
      <c r="N32" s="278">
        <v>44291</v>
      </c>
      <c r="O32" s="329" t="s">
        <v>67</v>
      </c>
      <c r="P32" s="330">
        <f t="shared" ref="P32:Q32" si="28">IF(B32=0,0,IF(YEAR(B32)=$Q$1,MONTH(B32)-$P$1+1,(YEAR(B32)-$Q$1)*12-$P$1+1+MONTH(B32)))</f>
        <v>4</v>
      </c>
      <c r="Q32" s="330">
        <f t="shared" si="28"/>
        <v>2</v>
      </c>
      <c r="R32" s="331" t="str">
        <f t="shared" si="1"/>
        <v>Gastos_Gerais</v>
      </c>
      <c r="S32" s="331" t="str">
        <f>IF(D32="","",IF(OR(D32=Plano!$A$1,D32=Plano!$B$1),"entrada","saída"))</f>
        <v>saída</v>
      </c>
      <c r="T32" s="332" t="s">
        <v>114</v>
      </c>
      <c r="U32" s="332" t="s">
        <v>114</v>
      </c>
      <c r="V32" s="333"/>
    </row>
    <row r="33" spans="1:22" ht="63" customHeight="1" x14ac:dyDescent="0.2">
      <c r="A33" s="277">
        <f>IF(B33="","",COUNT('Diário 5º PA'!$A$5:$A$2634)+ROW()-4)</f>
        <v>1340</v>
      </c>
      <c r="B33" s="278">
        <v>44291</v>
      </c>
      <c r="C33" s="259">
        <v>44228</v>
      </c>
      <c r="D33" s="252" t="s">
        <v>99</v>
      </c>
      <c r="E33" s="252" t="s">
        <v>352</v>
      </c>
      <c r="F33" s="257">
        <v>250</v>
      </c>
      <c r="G33" s="252" t="s">
        <v>4065</v>
      </c>
      <c r="H33" s="252" t="s">
        <v>126</v>
      </c>
      <c r="I33" s="252" t="s">
        <v>465</v>
      </c>
      <c r="J33" s="250" t="s">
        <v>114</v>
      </c>
      <c r="K33" s="250" t="s">
        <v>466</v>
      </c>
      <c r="L33" s="250" t="s">
        <v>467</v>
      </c>
      <c r="M33" s="277">
        <v>2442</v>
      </c>
      <c r="N33" s="278">
        <v>44291</v>
      </c>
      <c r="O33" s="329" t="s">
        <v>67</v>
      </c>
      <c r="P33" s="330">
        <f t="shared" ref="P33:Q33" si="29">IF(B33=0,0,IF(YEAR(B33)=$Q$1,MONTH(B33)-$P$1+1,(YEAR(B33)-$Q$1)*12-$P$1+1+MONTH(B33)))</f>
        <v>4</v>
      </c>
      <c r="Q33" s="330">
        <f t="shared" si="29"/>
        <v>2</v>
      </c>
      <c r="R33" s="331" t="str">
        <f t="shared" si="1"/>
        <v>Gastos_Gerais</v>
      </c>
      <c r="S33" s="331" t="str">
        <f>IF(D33="","",IF(OR(D33=Plano!$A$1,D33=Plano!$B$1),"entrada","saída"))</f>
        <v>saída</v>
      </c>
      <c r="T33" s="332" t="s">
        <v>114</v>
      </c>
      <c r="U33" s="332" t="s">
        <v>114</v>
      </c>
      <c r="V33" s="333"/>
    </row>
    <row r="34" spans="1:22" ht="56.25" customHeight="1" x14ac:dyDescent="0.2">
      <c r="A34" s="277">
        <f>IF(B34="","",COUNT('Diário 5º PA'!$A$5:$A$2634)+ROW()-4)</f>
        <v>1341</v>
      </c>
      <c r="B34" s="278">
        <v>44291</v>
      </c>
      <c r="C34" s="259">
        <v>44228</v>
      </c>
      <c r="D34" s="252" t="s">
        <v>99</v>
      </c>
      <c r="E34" s="252" t="s">
        <v>262</v>
      </c>
      <c r="F34" s="257">
        <v>36</v>
      </c>
      <c r="G34" s="252" t="s">
        <v>4066</v>
      </c>
      <c r="H34" s="252" t="s">
        <v>115</v>
      </c>
      <c r="I34" s="252" t="s">
        <v>465</v>
      </c>
      <c r="J34" s="250" t="s">
        <v>114</v>
      </c>
      <c r="K34" s="250" t="s">
        <v>466</v>
      </c>
      <c r="L34" s="250" t="s">
        <v>467</v>
      </c>
      <c r="M34" s="277">
        <v>2443</v>
      </c>
      <c r="N34" s="278">
        <v>44291</v>
      </c>
      <c r="O34" s="329" t="s">
        <v>67</v>
      </c>
      <c r="P34" s="330">
        <f t="shared" ref="P34:Q34" si="30">IF(B34=0,0,IF(YEAR(B34)=$Q$1,MONTH(B34)-$P$1+1,(YEAR(B34)-$Q$1)*12-$P$1+1+MONTH(B34)))</f>
        <v>4</v>
      </c>
      <c r="Q34" s="330">
        <f t="shared" si="30"/>
        <v>2</v>
      </c>
      <c r="R34" s="331" t="str">
        <f t="shared" si="1"/>
        <v>Gastos_Gerais</v>
      </c>
      <c r="S34" s="331" t="str">
        <f>IF(D34="","",IF(OR(D34=Plano!$A$1,D34=Plano!$B$1),"entrada","saída"))</f>
        <v>saída</v>
      </c>
      <c r="T34" s="332" t="s">
        <v>114</v>
      </c>
      <c r="U34" s="332" t="s">
        <v>114</v>
      </c>
      <c r="V34" s="333"/>
    </row>
    <row r="35" spans="1:22" ht="57.75" customHeight="1" x14ac:dyDescent="0.2">
      <c r="A35" s="277">
        <f>IF(B35="","",COUNT('Diário 5º PA'!$A$5:$A$2634)+ROW()-4)</f>
        <v>1342</v>
      </c>
      <c r="B35" s="278">
        <v>44291</v>
      </c>
      <c r="C35" s="259">
        <v>44228</v>
      </c>
      <c r="D35" s="252" t="s">
        <v>99</v>
      </c>
      <c r="E35" s="252" t="s">
        <v>244</v>
      </c>
      <c r="F35" s="257">
        <v>18.899999999999999</v>
      </c>
      <c r="G35" s="252" t="s">
        <v>4067</v>
      </c>
      <c r="H35" s="252" t="s">
        <v>122</v>
      </c>
      <c r="I35" s="252" t="s">
        <v>465</v>
      </c>
      <c r="J35" s="250" t="s">
        <v>114</v>
      </c>
      <c r="K35" s="250" t="s">
        <v>466</v>
      </c>
      <c r="L35" s="250" t="s">
        <v>467</v>
      </c>
      <c r="M35" s="277">
        <v>2445</v>
      </c>
      <c r="N35" s="278">
        <v>44291</v>
      </c>
      <c r="O35" s="329" t="s">
        <v>67</v>
      </c>
      <c r="P35" s="330">
        <f t="shared" ref="P35:Q35" si="31">IF(B35=0,0,IF(YEAR(B35)=$Q$1,MONTH(B35)-$P$1+1,(YEAR(B35)-$Q$1)*12-$P$1+1+MONTH(B35)))</f>
        <v>4</v>
      </c>
      <c r="Q35" s="330">
        <f t="shared" si="31"/>
        <v>2</v>
      </c>
      <c r="R35" s="331" t="str">
        <f t="shared" si="1"/>
        <v>Gastos_Gerais</v>
      </c>
      <c r="S35" s="331" t="str">
        <f>IF(D35="","",IF(OR(D35=Plano!$A$1,D35=Plano!$B$1),"entrada","saída"))</f>
        <v>saída</v>
      </c>
      <c r="T35" s="332" t="s">
        <v>114</v>
      </c>
      <c r="U35" s="332" t="s">
        <v>114</v>
      </c>
      <c r="V35" s="333"/>
    </row>
    <row r="36" spans="1:22" ht="56.25" customHeight="1" x14ac:dyDescent="0.2">
      <c r="A36" s="277">
        <f>IF(B36="","",COUNT('Diário 5º PA'!$A$5:$A$2634)+ROW()-4)</f>
        <v>1343</v>
      </c>
      <c r="B36" s="278">
        <v>44291</v>
      </c>
      <c r="C36" s="259">
        <v>44228</v>
      </c>
      <c r="D36" s="252" t="s">
        <v>99</v>
      </c>
      <c r="E36" s="252" t="s">
        <v>226</v>
      </c>
      <c r="F36" s="257">
        <v>45.36</v>
      </c>
      <c r="G36" s="252" t="s">
        <v>4068</v>
      </c>
      <c r="H36" s="252" t="s">
        <v>128</v>
      </c>
      <c r="I36" s="252" t="s">
        <v>465</v>
      </c>
      <c r="J36" s="250" t="s">
        <v>114</v>
      </c>
      <c r="K36" s="250" t="s">
        <v>466</v>
      </c>
      <c r="L36" s="250" t="s">
        <v>467</v>
      </c>
      <c r="M36" s="277">
        <v>2446</v>
      </c>
      <c r="N36" s="278">
        <v>44291</v>
      </c>
      <c r="O36" s="329" t="s">
        <v>67</v>
      </c>
      <c r="P36" s="330">
        <f t="shared" ref="P36:Q36" si="32">IF(B36=0,0,IF(YEAR(B36)=$Q$1,MONTH(B36)-$P$1+1,(YEAR(B36)-$Q$1)*12-$P$1+1+MONTH(B36)))</f>
        <v>4</v>
      </c>
      <c r="Q36" s="330">
        <f t="shared" si="32"/>
        <v>2</v>
      </c>
      <c r="R36" s="331" t="str">
        <f t="shared" si="1"/>
        <v>Gastos_Gerais</v>
      </c>
      <c r="S36" s="331" t="str">
        <f>IF(D36="","",IF(OR(D36=Plano!$A$1,D36=Plano!$B$1),"entrada","saída"))</f>
        <v>saída</v>
      </c>
      <c r="T36" s="332" t="s">
        <v>114</v>
      </c>
      <c r="U36" s="332" t="s">
        <v>114</v>
      </c>
      <c r="V36" s="333"/>
    </row>
    <row r="37" spans="1:22" ht="55.5" customHeight="1" x14ac:dyDescent="0.2">
      <c r="A37" s="277">
        <f>IF(B37="","",COUNT('Diário 5º PA'!$A$5:$A$2634)+ROW()-4)</f>
        <v>1344</v>
      </c>
      <c r="B37" s="278">
        <v>44291</v>
      </c>
      <c r="C37" s="259">
        <v>44228</v>
      </c>
      <c r="D37" s="252" t="s">
        <v>99</v>
      </c>
      <c r="E37" s="252" t="s">
        <v>226</v>
      </c>
      <c r="F37" s="257">
        <v>26.08</v>
      </c>
      <c r="G37" s="252" t="s">
        <v>4069</v>
      </c>
      <c r="H37" s="252" t="s">
        <v>128</v>
      </c>
      <c r="I37" s="252" t="s">
        <v>465</v>
      </c>
      <c r="J37" s="250" t="s">
        <v>114</v>
      </c>
      <c r="K37" s="250" t="s">
        <v>466</v>
      </c>
      <c r="L37" s="250" t="s">
        <v>467</v>
      </c>
      <c r="M37" s="277">
        <v>2447</v>
      </c>
      <c r="N37" s="278">
        <v>44291</v>
      </c>
      <c r="O37" s="329" t="s">
        <v>67</v>
      </c>
      <c r="P37" s="330">
        <f t="shared" ref="P37:Q37" si="33">IF(B37=0,0,IF(YEAR(B37)=$Q$1,MONTH(B37)-$P$1+1,(YEAR(B37)-$Q$1)*12-$P$1+1+MONTH(B37)))</f>
        <v>4</v>
      </c>
      <c r="Q37" s="330">
        <f t="shared" si="33"/>
        <v>2</v>
      </c>
      <c r="R37" s="331" t="str">
        <f t="shared" si="1"/>
        <v>Gastos_Gerais</v>
      </c>
      <c r="S37" s="331" t="str">
        <f>IF(D37="","",IF(OR(D37=Plano!$A$1,D37=Plano!$B$1),"entrada","saída"))</f>
        <v>saída</v>
      </c>
      <c r="T37" s="332" t="s">
        <v>114</v>
      </c>
      <c r="U37" s="332" t="s">
        <v>114</v>
      </c>
      <c r="V37" s="333"/>
    </row>
    <row r="38" spans="1:22" ht="39.75" customHeight="1" x14ac:dyDescent="0.2">
      <c r="A38" s="277">
        <f>IF(B38="","",COUNT('Diário 5º PA'!$A$5:$A$2634)+ROW()-4)</f>
        <v>1345</v>
      </c>
      <c r="B38" s="278">
        <v>44291</v>
      </c>
      <c r="C38" s="259">
        <v>44228</v>
      </c>
      <c r="D38" s="252" t="s">
        <v>99</v>
      </c>
      <c r="E38" s="252" t="s">
        <v>244</v>
      </c>
      <c r="F38" s="257">
        <v>11.79</v>
      </c>
      <c r="G38" s="252" t="s">
        <v>4070</v>
      </c>
      <c r="H38" s="252" t="s">
        <v>126</v>
      </c>
      <c r="I38" s="252" t="s">
        <v>465</v>
      </c>
      <c r="J38" s="250" t="s">
        <v>114</v>
      </c>
      <c r="K38" s="250" t="s">
        <v>466</v>
      </c>
      <c r="L38" s="250" t="s">
        <v>467</v>
      </c>
      <c r="M38" s="277">
        <v>2448</v>
      </c>
      <c r="N38" s="278">
        <v>44291</v>
      </c>
      <c r="O38" s="329" t="s">
        <v>67</v>
      </c>
      <c r="P38" s="330">
        <f t="shared" ref="P38:Q38" si="34">IF(B38=0,0,IF(YEAR(B38)=$Q$1,MONTH(B38)-$P$1+1,(YEAR(B38)-$Q$1)*12-$P$1+1+MONTH(B38)))</f>
        <v>4</v>
      </c>
      <c r="Q38" s="330">
        <f t="shared" si="34"/>
        <v>2</v>
      </c>
      <c r="R38" s="331" t="str">
        <f t="shared" si="1"/>
        <v>Gastos_Gerais</v>
      </c>
      <c r="S38" s="331" t="str">
        <f>IF(D38="","",IF(OR(D38=Plano!$A$1,D38=Plano!$B$1),"entrada","saída"))</f>
        <v>saída</v>
      </c>
      <c r="T38" s="332" t="s">
        <v>114</v>
      </c>
      <c r="U38" s="332" t="s">
        <v>114</v>
      </c>
      <c r="V38" s="333"/>
    </row>
    <row r="39" spans="1:22" ht="44.25" customHeight="1" x14ac:dyDescent="0.2">
      <c r="A39" s="277">
        <f>IF(B39="","",COUNT('Diário 5º PA'!$A$5:$A$2634)+ROW()-4)</f>
        <v>1346</v>
      </c>
      <c r="B39" s="278">
        <v>44291</v>
      </c>
      <c r="C39" s="259">
        <v>44256</v>
      </c>
      <c r="D39" s="252" t="s">
        <v>99</v>
      </c>
      <c r="E39" s="252" t="s">
        <v>266</v>
      </c>
      <c r="F39" s="258">
        <v>9.2799999999999994</v>
      </c>
      <c r="G39" s="252" t="s">
        <v>4071</v>
      </c>
      <c r="H39" s="252" t="s">
        <v>115</v>
      </c>
      <c r="I39" s="252" t="s">
        <v>465</v>
      </c>
      <c r="J39" s="250" t="s">
        <v>114</v>
      </c>
      <c r="K39" s="250" t="s">
        <v>466</v>
      </c>
      <c r="L39" s="250" t="s">
        <v>467</v>
      </c>
      <c r="M39" s="277">
        <v>2449</v>
      </c>
      <c r="N39" s="278">
        <v>44291</v>
      </c>
      <c r="O39" s="329" t="s">
        <v>67</v>
      </c>
      <c r="P39" s="330">
        <f t="shared" ref="P39:Q39" si="35">IF(B39=0,0,IF(YEAR(B39)=$Q$1,MONTH(B39)-$P$1+1,(YEAR(B39)-$Q$1)*12-$P$1+1+MONTH(B39)))</f>
        <v>4</v>
      </c>
      <c r="Q39" s="330">
        <f t="shared" si="35"/>
        <v>3</v>
      </c>
      <c r="R39" s="331" t="str">
        <f t="shared" si="1"/>
        <v>Gastos_Gerais</v>
      </c>
      <c r="S39" s="331" t="str">
        <f>IF(D39="","",IF(OR(D39=Plano!$A$1,D39=Plano!$B$1),"entrada","saída"))</f>
        <v>saída</v>
      </c>
      <c r="T39" s="332" t="s">
        <v>114</v>
      </c>
      <c r="U39" s="332" t="s">
        <v>114</v>
      </c>
      <c r="V39" s="333"/>
    </row>
    <row r="40" spans="1:22" ht="53.25" customHeight="1" x14ac:dyDescent="0.2">
      <c r="A40" s="277">
        <f>IF(B40="","",COUNT('Diário 5º PA'!$A$5:$A$2634)+ROW()-4)</f>
        <v>1347</v>
      </c>
      <c r="B40" s="278">
        <v>44291</v>
      </c>
      <c r="C40" s="259">
        <v>44256</v>
      </c>
      <c r="D40" s="252" t="s">
        <v>88</v>
      </c>
      <c r="E40" s="252" t="s">
        <v>183</v>
      </c>
      <c r="F40" s="257">
        <v>3.25</v>
      </c>
      <c r="G40" s="252" t="s">
        <v>4072</v>
      </c>
      <c r="H40" s="252" t="s">
        <v>114</v>
      </c>
      <c r="I40" s="252" t="s">
        <v>465</v>
      </c>
      <c r="J40" s="250" t="s">
        <v>114</v>
      </c>
      <c r="K40" s="250" t="s">
        <v>466</v>
      </c>
      <c r="L40" s="250" t="s">
        <v>467</v>
      </c>
      <c r="M40" s="277">
        <v>2450</v>
      </c>
      <c r="N40" s="278">
        <v>44291</v>
      </c>
      <c r="O40" s="329" t="s">
        <v>67</v>
      </c>
      <c r="P40" s="330">
        <f t="shared" ref="P40:Q40" si="36">IF(B40=0,0,IF(YEAR(B40)=$Q$1,MONTH(B40)-$P$1+1,(YEAR(B40)-$Q$1)*12-$P$1+1+MONTH(B40)))</f>
        <v>4</v>
      </c>
      <c r="Q40" s="330">
        <f t="shared" si="36"/>
        <v>3</v>
      </c>
      <c r="R40" s="331" t="str">
        <f t="shared" si="1"/>
        <v>Gastos_com_Pessoal</v>
      </c>
      <c r="S40" s="331" t="str">
        <f>IF(D40="","",IF(OR(D40=Plano!$A$1,D40=Plano!$B$1),"entrada","saída"))</f>
        <v>saída</v>
      </c>
      <c r="T40" s="332" t="s">
        <v>114</v>
      </c>
      <c r="U40" s="332" t="s">
        <v>114</v>
      </c>
      <c r="V40" s="333"/>
    </row>
    <row r="41" spans="1:22" ht="53.25" customHeight="1" x14ac:dyDescent="0.2">
      <c r="A41" s="277">
        <f>IF(B41="","",COUNT('Diário 5º PA'!$A$5:$A$2634)+ROW()-4)</f>
        <v>1348</v>
      </c>
      <c r="B41" s="278">
        <v>44291</v>
      </c>
      <c r="C41" s="259">
        <v>44256</v>
      </c>
      <c r="D41" s="252" t="s">
        <v>88</v>
      </c>
      <c r="E41" s="252" t="s">
        <v>183</v>
      </c>
      <c r="F41" s="257">
        <v>5.67</v>
      </c>
      <c r="G41" s="252" t="s">
        <v>4073</v>
      </c>
      <c r="H41" s="252" t="s">
        <v>114</v>
      </c>
      <c r="I41" s="252" t="s">
        <v>465</v>
      </c>
      <c r="J41" s="250" t="s">
        <v>114</v>
      </c>
      <c r="K41" s="250" t="s">
        <v>466</v>
      </c>
      <c r="L41" s="250" t="s">
        <v>467</v>
      </c>
      <c r="M41" s="277">
        <v>2451</v>
      </c>
      <c r="N41" s="278">
        <v>44291</v>
      </c>
      <c r="O41" s="329" t="s">
        <v>67</v>
      </c>
      <c r="P41" s="330">
        <f t="shared" ref="P41:Q41" si="37">IF(B41=0,0,IF(YEAR(B41)=$Q$1,MONTH(B41)-$P$1+1,(YEAR(B41)-$Q$1)*12-$P$1+1+MONTH(B41)))</f>
        <v>4</v>
      </c>
      <c r="Q41" s="330">
        <f t="shared" si="37"/>
        <v>3</v>
      </c>
      <c r="R41" s="331" t="str">
        <f t="shared" si="1"/>
        <v>Gastos_com_Pessoal</v>
      </c>
      <c r="S41" s="331" t="str">
        <f>IF(D41="","",IF(OR(D41=Plano!$A$1,D41=Plano!$B$1),"entrada","saída"))</f>
        <v>saída</v>
      </c>
      <c r="T41" s="332" t="s">
        <v>114</v>
      </c>
      <c r="U41" s="332" t="s">
        <v>114</v>
      </c>
      <c r="V41" s="333"/>
    </row>
    <row r="42" spans="1:22" ht="46.5" customHeight="1" x14ac:dyDescent="0.2">
      <c r="A42" s="277">
        <f>IF(B42="","",COUNT('Diário 5º PA'!$A$5:$A$2634)+ROW()-4)</f>
        <v>1349</v>
      </c>
      <c r="B42" s="278">
        <v>44291</v>
      </c>
      <c r="C42" s="259">
        <v>44256</v>
      </c>
      <c r="D42" s="252" t="s">
        <v>88</v>
      </c>
      <c r="E42" s="252" t="s">
        <v>192</v>
      </c>
      <c r="F42" s="257">
        <v>0.05</v>
      </c>
      <c r="G42" s="252" t="s">
        <v>4074</v>
      </c>
      <c r="H42" s="252" t="s">
        <v>114</v>
      </c>
      <c r="I42" s="252" t="s">
        <v>465</v>
      </c>
      <c r="J42" s="250" t="s">
        <v>114</v>
      </c>
      <c r="K42" s="250" t="s">
        <v>466</v>
      </c>
      <c r="L42" s="250" t="s">
        <v>467</v>
      </c>
      <c r="M42" s="277">
        <v>2452</v>
      </c>
      <c r="N42" s="278">
        <v>44291</v>
      </c>
      <c r="O42" s="329" t="s">
        <v>67</v>
      </c>
      <c r="P42" s="330">
        <f t="shared" ref="P42:Q42" si="38">IF(B42=0,0,IF(YEAR(B42)=$Q$1,MONTH(B42)-$P$1+1,(YEAR(B42)-$Q$1)*12-$P$1+1+MONTH(B42)))</f>
        <v>4</v>
      </c>
      <c r="Q42" s="330">
        <f t="shared" si="38"/>
        <v>3</v>
      </c>
      <c r="R42" s="331" t="str">
        <f t="shared" si="1"/>
        <v>Gastos_com_Pessoal</v>
      </c>
      <c r="S42" s="331" t="str">
        <f>IF(D42="","",IF(OR(D42=Plano!$A$1,D42=Plano!$B$1),"entrada","saída"))</f>
        <v>saída</v>
      </c>
      <c r="T42" s="332" t="s">
        <v>114</v>
      </c>
      <c r="U42" s="332" t="s">
        <v>114</v>
      </c>
      <c r="V42" s="333"/>
    </row>
    <row r="43" spans="1:22" ht="45" customHeight="1" x14ac:dyDescent="0.2">
      <c r="A43" s="277">
        <f>IF(B43="","",COUNT('Diário 5º PA'!$A$5:$A$2634)+ROW()-4)</f>
        <v>1350</v>
      </c>
      <c r="B43" s="278">
        <v>44291</v>
      </c>
      <c r="C43" s="259">
        <v>44228</v>
      </c>
      <c r="D43" s="252" t="s">
        <v>88</v>
      </c>
      <c r="E43" s="255" t="s">
        <v>196</v>
      </c>
      <c r="F43" s="257">
        <v>7.32</v>
      </c>
      <c r="G43" s="252" t="s">
        <v>4075</v>
      </c>
      <c r="H43" s="252" t="s">
        <v>114</v>
      </c>
      <c r="I43" s="252" t="s">
        <v>465</v>
      </c>
      <c r="J43" s="250" t="s">
        <v>114</v>
      </c>
      <c r="K43" s="250" t="s">
        <v>466</v>
      </c>
      <c r="L43" s="250" t="s">
        <v>467</v>
      </c>
      <c r="M43" s="277">
        <v>2453</v>
      </c>
      <c r="N43" s="278">
        <v>44291</v>
      </c>
      <c r="O43" s="329" t="s">
        <v>67</v>
      </c>
      <c r="P43" s="330">
        <f t="shared" ref="P43:Q43" si="39">IF(B43=0,0,IF(YEAR(B43)=$Q$1,MONTH(B43)-$P$1+1,(YEAR(B43)-$Q$1)*12-$P$1+1+MONTH(B43)))</f>
        <v>4</v>
      </c>
      <c r="Q43" s="330">
        <f t="shared" si="39"/>
        <v>2</v>
      </c>
      <c r="R43" s="331" t="str">
        <f t="shared" si="1"/>
        <v>Gastos_com_Pessoal</v>
      </c>
      <c r="S43" s="331" t="str">
        <f>IF(D43="","",IF(OR(D43=Plano!$A$1,D43=Plano!$B$1),"entrada","saída"))</f>
        <v>saída</v>
      </c>
      <c r="T43" s="332" t="s">
        <v>114</v>
      </c>
      <c r="U43" s="332" t="s">
        <v>114</v>
      </c>
      <c r="V43" s="333"/>
    </row>
    <row r="44" spans="1:22" ht="48" customHeight="1" x14ac:dyDescent="0.2">
      <c r="A44" s="277">
        <f>IF(B44="","",COUNT('Diário 5º PA'!$A$5:$A$2634)+ROW()-4)</f>
        <v>1351</v>
      </c>
      <c r="B44" s="278">
        <v>44291</v>
      </c>
      <c r="C44" s="259">
        <v>44287</v>
      </c>
      <c r="D44" s="252" t="s">
        <v>88</v>
      </c>
      <c r="E44" s="255" t="s">
        <v>196</v>
      </c>
      <c r="F44" s="257">
        <v>85.37</v>
      </c>
      <c r="G44" s="252" t="s">
        <v>4076</v>
      </c>
      <c r="H44" s="252" t="s">
        <v>114</v>
      </c>
      <c r="I44" s="252" t="s">
        <v>465</v>
      </c>
      <c r="J44" s="250" t="s">
        <v>114</v>
      </c>
      <c r="K44" s="250" t="s">
        <v>466</v>
      </c>
      <c r="L44" s="250" t="s">
        <v>467</v>
      </c>
      <c r="M44" s="277">
        <v>2454</v>
      </c>
      <c r="N44" s="278">
        <v>44291</v>
      </c>
      <c r="O44" s="329" t="s">
        <v>67</v>
      </c>
      <c r="P44" s="330">
        <f t="shared" ref="P44:Q44" si="40">IF(B44=0,0,IF(YEAR(B44)=$Q$1,MONTH(B44)-$P$1+1,(YEAR(B44)-$Q$1)*12-$P$1+1+MONTH(B44)))</f>
        <v>4</v>
      </c>
      <c r="Q44" s="330">
        <f t="shared" si="40"/>
        <v>4</v>
      </c>
      <c r="R44" s="331" t="str">
        <f t="shared" si="1"/>
        <v>Gastos_com_Pessoal</v>
      </c>
      <c r="S44" s="331" t="str">
        <f>IF(D44="","",IF(OR(D44=Plano!$A$1,D44=Plano!$B$1),"entrada","saída"))</f>
        <v>saída</v>
      </c>
      <c r="T44" s="332" t="s">
        <v>114</v>
      </c>
      <c r="U44" s="332" t="s">
        <v>114</v>
      </c>
      <c r="V44" s="333"/>
    </row>
    <row r="45" spans="1:22" ht="97.5" customHeight="1" x14ac:dyDescent="0.2">
      <c r="A45" s="277">
        <f>IF(B45="","",COUNT('Diário 5º PA'!$A$5:$A$2634)+ROW()-4)</f>
        <v>1352</v>
      </c>
      <c r="B45" s="278">
        <v>44291</v>
      </c>
      <c r="C45" s="256">
        <v>44256</v>
      </c>
      <c r="D45" s="255" t="s">
        <v>99</v>
      </c>
      <c r="E45" s="255" t="s">
        <v>228</v>
      </c>
      <c r="F45" s="258">
        <v>7977.25</v>
      </c>
      <c r="G45" s="255" t="s">
        <v>492</v>
      </c>
      <c r="H45" s="255" t="s">
        <v>115</v>
      </c>
      <c r="I45" s="250" t="s">
        <v>493</v>
      </c>
      <c r="J45" s="252" t="s">
        <v>1137</v>
      </c>
      <c r="K45" s="255" t="s">
        <v>991</v>
      </c>
      <c r="L45" s="250" t="s">
        <v>1016</v>
      </c>
      <c r="M45" s="277" t="s">
        <v>4077</v>
      </c>
      <c r="N45" s="278">
        <v>44267</v>
      </c>
      <c r="O45" s="329" t="s">
        <v>67</v>
      </c>
      <c r="P45" s="330">
        <f t="shared" ref="P45:Q45" si="41">IF(B45=0,0,IF(YEAR(B45)=$Q$1,MONTH(B45)-$P$1+1,(YEAR(B45)-$Q$1)*12-$P$1+1+MONTH(B45)))</f>
        <v>4</v>
      </c>
      <c r="Q45" s="330">
        <f t="shared" si="41"/>
        <v>3</v>
      </c>
      <c r="R45" s="331" t="str">
        <f t="shared" si="1"/>
        <v>Gastos_Gerais</v>
      </c>
      <c r="S45" s="331" t="str">
        <f>IF(D45="","",IF(OR(D45=Plano!$A$1,D45=Plano!$B$1),"entrada","saída"))</f>
        <v>saída</v>
      </c>
      <c r="T45" s="332" t="s">
        <v>1059</v>
      </c>
      <c r="U45" s="332">
        <v>1114</v>
      </c>
      <c r="V45" s="333"/>
    </row>
    <row r="46" spans="1:22" ht="135.75" customHeight="1" x14ac:dyDescent="0.2">
      <c r="A46" s="277">
        <f>IF(B46="","",COUNT('Diário 5º PA'!$A$5:$A$2634)+ROW()-4)</f>
        <v>1353</v>
      </c>
      <c r="B46" s="278">
        <v>44291</v>
      </c>
      <c r="C46" s="256">
        <v>44256</v>
      </c>
      <c r="D46" s="255" t="s">
        <v>99</v>
      </c>
      <c r="E46" s="255" t="s">
        <v>262</v>
      </c>
      <c r="F46" s="257">
        <v>6467.34</v>
      </c>
      <c r="G46" s="255" t="s">
        <v>621</v>
      </c>
      <c r="H46" s="255" t="s">
        <v>115</v>
      </c>
      <c r="I46" s="250" t="s">
        <v>1078</v>
      </c>
      <c r="J46" s="252" t="s">
        <v>623</v>
      </c>
      <c r="K46" s="255" t="s">
        <v>991</v>
      </c>
      <c r="L46" s="250" t="s">
        <v>1016</v>
      </c>
      <c r="M46" s="277" t="s">
        <v>1329</v>
      </c>
      <c r="N46" s="278">
        <v>44291</v>
      </c>
      <c r="O46" s="329" t="s">
        <v>67</v>
      </c>
      <c r="P46" s="330">
        <f t="shared" ref="P46:Q46" si="42">IF(B46=0,0,IF(YEAR(B46)=$Q$1,MONTH(B46)-$P$1+1,(YEAR(B46)-$Q$1)*12-$P$1+1+MONTH(B46)))</f>
        <v>4</v>
      </c>
      <c r="Q46" s="330">
        <f t="shared" si="42"/>
        <v>3</v>
      </c>
      <c r="R46" s="331" t="str">
        <f t="shared" si="1"/>
        <v>Gastos_Gerais</v>
      </c>
      <c r="S46" s="331" t="str">
        <f>IF(D46="","",IF(OR(D46=Plano!$A$1,D46=Plano!$B$1),"entrada","saída"))</f>
        <v>saída</v>
      </c>
      <c r="T46" s="332" t="s">
        <v>1059</v>
      </c>
      <c r="U46" s="332">
        <v>1134</v>
      </c>
      <c r="V46" s="333"/>
    </row>
    <row r="47" spans="1:22" ht="50.25" customHeight="1" x14ac:dyDescent="0.2">
      <c r="A47" s="277">
        <f>IF(B47="","",COUNT('Diário 5º PA'!$A$5:$A$2634)+ROW()-4)</f>
        <v>1354</v>
      </c>
      <c r="B47" s="278">
        <v>44291</v>
      </c>
      <c r="C47" s="259">
        <v>44228</v>
      </c>
      <c r="D47" s="252" t="s">
        <v>104</v>
      </c>
      <c r="E47" s="252" t="s">
        <v>104</v>
      </c>
      <c r="F47" s="257">
        <v>596</v>
      </c>
      <c r="G47" s="252" t="s">
        <v>4078</v>
      </c>
      <c r="H47" s="252" t="s">
        <v>104</v>
      </c>
      <c r="I47" s="252" t="s">
        <v>465</v>
      </c>
      <c r="J47" s="250" t="s">
        <v>114</v>
      </c>
      <c r="K47" s="250" t="s">
        <v>466</v>
      </c>
      <c r="L47" s="250" t="s">
        <v>467</v>
      </c>
      <c r="M47" s="277">
        <v>2459</v>
      </c>
      <c r="N47" s="278">
        <v>44291</v>
      </c>
      <c r="O47" s="329" t="s">
        <v>68</v>
      </c>
      <c r="P47" s="330">
        <f t="shared" ref="P47:Q47" si="43">IF(B47=0,0,IF(YEAR(B47)=$Q$1,MONTH(B47)-$P$1+1,(YEAR(B47)-$Q$1)*12-$P$1+1+MONTH(B47)))</f>
        <v>4</v>
      </c>
      <c r="Q47" s="330">
        <f t="shared" si="43"/>
        <v>2</v>
      </c>
      <c r="R47" s="331" t="str">
        <f t="shared" si="1"/>
        <v>Gastos_custeados_por_captação</v>
      </c>
      <c r="S47" s="331" t="str">
        <f>IF(D47="","",IF(OR(D47=Plano!$A$1,D47=Plano!$B$1),"entrada","saída"))</f>
        <v>saída</v>
      </c>
      <c r="T47" s="332" t="s">
        <v>114</v>
      </c>
      <c r="U47" s="332" t="s">
        <v>114</v>
      </c>
      <c r="V47" s="333"/>
    </row>
    <row r="48" spans="1:22" ht="48.75" customHeight="1" x14ac:dyDescent="0.2">
      <c r="A48" s="277">
        <f>IF(B48="","",COUNT('Diário 5º PA'!$A$5:$A$2634)+ROW()-4)</f>
        <v>1355</v>
      </c>
      <c r="B48" s="278">
        <v>44291</v>
      </c>
      <c r="C48" s="259">
        <v>44228</v>
      </c>
      <c r="D48" s="252" t="s">
        <v>104</v>
      </c>
      <c r="E48" s="252" t="s">
        <v>104</v>
      </c>
      <c r="F48" s="257">
        <v>69</v>
      </c>
      <c r="G48" s="252" t="s">
        <v>4079</v>
      </c>
      <c r="H48" s="252" t="s">
        <v>104</v>
      </c>
      <c r="I48" s="252" t="s">
        <v>465</v>
      </c>
      <c r="J48" s="250" t="s">
        <v>114</v>
      </c>
      <c r="K48" s="250" t="s">
        <v>466</v>
      </c>
      <c r="L48" s="250" t="s">
        <v>467</v>
      </c>
      <c r="M48" s="277">
        <v>2460</v>
      </c>
      <c r="N48" s="278">
        <v>44291</v>
      </c>
      <c r="O48" s="329" t="s">
        <v>68</v>
      </c>
      <c r="P48" s="330">
        <f t="shared" ref="P48:Q48" si="44">IF(B48=0,0,IF(YEAR(B48)=$Q$1,MONTH(B48)-$P$1+1,(YEAR(B48)-$Q$1)*12-$P$1+1+MONTH(B48)))</f>
        <v>4</v>
      </c>
      <c r="Q48" s="330">
        <f t="shared" si="44"/>
        <v>2</v>
      </c>
      <c r="R48" s="331" t="str">
        <f t="shared" si="1"/>
        <v>Gastos_custeados_por_captação</v>
      </c>
      <c r="S48" s="331" t="str">
        <f>IF(D48="","",IF(OR(D48=Plano!$A$1,D48=Plano!$B$1),"entrada","saída"))</f>
        <v>saída</v>
      </c>
      <c r="T48" s="332" t="s">
        <v>114</v>
      </c>
      <c r="U48" s="332" t="s">
        <v>114</v>
      </c>
      <c r="V48" s="333"/>
    </row>
    <row r="49" spans="1:22" ht="54" customHeight="1" x14ac:dyDescent="0.2">
      <c r="A49" s="277">
        <f>IF(B49="","",COUNT('Diário 5º PA'!$A$5:$A$2634)+ROW()-4)</f>
        <v>1356</v>
      </c>
      <c r="B49" s="278">
        <v>44291</v>
      </c>
      <c r="C49" s="259">
        <v>44228</v>
      </c>
      <c r="D49" s="252" t="s">
        <v>104</v>
      </c>
      <c r="E49" s="252" t="s">
        <v>104</v>
      </c>
      <c r="F49" s="257">
        <v>80</v>
      </c>
      <c r="G49" s="252" t="s">
        <v>4080</v>
      </c>
      <c r="H49" s="252" t="s">
        <v>104</v>
      </c>
      <c r="I49" s="252" t="s">
        <v>465</v>
      </c>
      <c r="J49" s="250" t="s">
        <v>114</v>
      </c>
      <c r="K49" s="250" t="s">
        <v>466</v>
      </c>
      <c r="L49" s="250" t="s">
        <v>467</v>
      </c>
      <c r="M49" s="277">
        <v>2461</v>
      </c>
      <c r="N49" s="278">
        <v>44291</v>
      </c>
      <c r="O49" s="329" t="s">
        <v>68</v>
      </c>
      <c r="P49" s="330">
        <f t="shared" ref="P49:Q49" si="45">IF(B49=0,0,IF(YEAR(B49)=$Q$1,MONTH(B49)-$P$1+1,(YEAR(B49)-$Q$1)*12-$P$1+1+MONTH(B49)))</f>
        <v>4</v>
      </c>
      <c r="Q49" s="330">
        <f t="shared" si="45"/>
        <v>2</v>
      </c>
      <c r="R49" s="331" t="str">
        <f t="shared" si="1"/>
        <v>Gastos_custeados_por_captação</v>
      </c>
      <c r="S49" s="331" t="str">
        <f>IF(D49="","",IF(OR(D49=Plano!$A$1,D49=Plano!$B$1),"entrada","saída"))</f>
        <v>saída</v>
      </c>
      <c r="T49" s="332" t="s">
        <v>114</v>
      </c>
      <c r="U49" s="332" t="s">
        <v>114</v>
      </c>
      <c r="V49" s="333"/>
    </row>
    <row r="50" spans="1:22" ht="54.75" customHeight="1" x14ac:dyDescent="0.2">
      <c r="A50" s="277">
        <f>IF(B50="","",COUNT('Diário 5º PA'!$A$5:$A$2634)+ROW()-4)</f>
        <v>1357</v>
      </c>
      <c r="B50" s="278">
        <v>44291</v>
      </c>
      <c r="C50" s="259">
        <v>44228</v>
      </c>
      <c r="D50" s="252" t="s">
        <v>104</v>
      </c>
      <c r="E50" s="252" t="s">
        <v>104</v>
      </c>
      <c r="F50" s="257">
        <v>125</v>
      </c>
      <c r="G50" s="252" t="s">
        <v>4081</v>
      </c>
      <c r="H50" s="252" t="s">
        <v>104</v>
      </c>
      <c r="I50" s="252" t="s">
        <v>465</v>
      </c>
      <c r="J50" s="250" t="s">
        <v>114</v>
      </c>
      <c r="K50" s="250" t="s">
        <v>466</v>
      </c>
      <c r="L50" s="250" t="s">
        <v>467</v>
      </c>
      <c r="M50" s="277">
        <v>2462</v>
      </c>
      <c r="N50" s="278">
        <v>44291</v>
      </c>
      <c r="O50" s="329" t="s">
        <v>68</v>
      </c>
      <c r="P50" s="330">
        <f t="shared" ref="P50:Q50" si="46">IF(B50=0,0,IF(YEAR(B50)=$Q$1,MONTH(B50)-$P$1+1,(YEAR(B50)-$Q$1)*12-$P$1+1+MONTH(B50)))</f>
        <v>4</v>
      </c>
      <c r="Q50" s="330">
        <f t="shared" si="46"/>
        <v>2</v>
      </c>
      <c r="R50" s="331" t="str">
        <f t="shared" si="1"/>
        <v>Gastos_custeados_por_captação</v>
      </c>
      <c r="S50" s="331" t="str">
        <f>IF(D50="","",IF(OR(D50=Plano!$A$1,D50=Plano!$B$1),"entrada","saída"))</f>
        <v>saída</v>
      </c>
      <c r="T50" s="332" t="s">
        <v>114</v>
      </c>
      <c r="U50" s="332" t="s">
        <v>114</v>
      </c>
      <c r="V50" s="333"/>
    </row>
    <row r="51" spans="1:22" ht="46.5" customHeight="1" x14ac:dyDescent="0.2">
      <c r="A51" s="277">
        <f>IF(B51="","",COUNT('Diário 5º PA'!$A$5:$A$2634)+ROW()-4)</f>
        <v>1358</v>
      </c>
      <c r="B51" s="278">
        <v>44291</v>
      </c>
      <c r="C51" s="259">
        <v>44228</v>
      </c>
      <c r="D51" s="252" t="s">
        <v>104</v>
      </c>
      <c r="E51" s="252" t="s">
        <v>104</v>
      </c>
      <c r="F51" s="257">
        <v>125</v>
      </c>
      <c r="G51" s="252" t="s">
        <v>4082</v>
      </c>
      <c r="H51" s="252" t="s">
        <v>104</v>
      </c>
      <c r="I51" s="252" t="s">
        <v>465</v>
      </c>
      <c r="J51" s="250" t="s">
        <v>114</v>
      </c>
      <c r="K51" s="250" t="s">
        <v>466</v>
      </c>
      <c r="L51" s="250" t="s">
        <v>467</v>
      </c>
      <c r="M51" s="277">
        <v>2463</v>
      </c>
      <c r="N51" s="278">
        <v>44291</v>
      </c>
      <c r="O51" s="329" t="s">
        <v>68</v>
      </c>
      <c r="P51" s="330">
        <f t="shared" ref="P51:Q51" si="47">IF(B51=0,0,IF(YEAR(B51)=$Q$1,MONTH(B51)-$P$1+1,(YEAR(B51)-$Q$1)*12-$P$1+1+MONTH(B51)))</f>
        <v>4</v>
      </c>
      <c r="Q51" s="330">
        <f t="shared" si="47"/>
        <v>2</v>
      </c>
      <c r="R51" s="331" t="str">
        <f t="shared" si="1"/>
        <v>Gastos_custeados_por_captação</v>
      </c>
      <c r="S51" s="331" t="str">
        <f>IF(D51="","",IF(OR(D51=Plano!$A$1,D51=Plano!$B$1),"entrada","saída"))</f>
        <v>saída</v>
      </c>
      <c r="T51" s="332" t="s">
        <v>114</v>
      </c>
      <c r="U51" s="332" t="s">
        <v>114</v>
      </c>
      <c r="V51" s="333"/>
    </row>
    <row r="52" spans="1:22" ht="42.75" customHeight="1" x14ac:dyDescent="0.2">
      <c r="A52" s="277">
        <f>IF(B52="","",COUNT('Diário 5º PA'!$A$5:$A$2634)+ROW()-4)</f>
        <v>1359</v>
      </c>
      <c r="B52" s="278">
        <v>44291</v>
      </c>
      <c r="C52" s="259">
        <v>44228</v>
      </c>
      <c r="D52" s="252" t="s">
        <v>104</v>
      </c>
      <c r="E52" s="252" t="s">
        <v>104</v>
      </c>
      <c r="F52" s="257">
        <v>75</v>
      </c>
      <c r="G52" s="252" t="s">
        <v>4083</v>
      </c>
      <c r="H52" s="252" t="s">
        <v>104</v>
      </c>
      <c r="I52" s="252" t="s">
        <v>465</v>
      </c>
      <c r="J52" s="250" t="s">
        <v>114</v>
      </c>
      <c r="K52" s="250" t="s">
        <v>466</v>
      </c>
      <c r="L52" s="250" t="s">
        <v>467</v>
      </c>
      <c r="M52" s="277">
        <v>2464</v>
      </c>
      <c r="N52" s="278">
        <v>44291</v>
      </c>
      <c r="O52" s="329" t="s">
        <v>68</v>
      </c>
      <c r="P52" s="330">
        <f t="shared" ref="P52:Q52" si="48">IF(B52=0,0,IF(YEAR(B52)=$Q$1,MONTH(B52)-$P$1+1,(YEAR(B52)-$Q$1)*12-$P$1+1+MONTH(B52)))</f>
        <v>4</v>
      </c>
      <c r="Q52" s="330">
        <f t="shared" si="48"/>
        <v>2</v>
      </c>
      <c r="R52" s="331" t="str">
        <f t="shared" si="1"/>
        <v>Gastos_custeados_por_captação</v>
      </c>
      <c r="S52" s="331" t="str">
        <f>IF(D52="","",IF(OR(D52=Plano!$A$1,D52=Plano!$B$1),"entrada","saída"))</f>
        <v>saída</v>
      </c>
      <c r="T52" s="332" t="s">
        <v>114</v>
      </c>
      <c r="U52" s="332" t="s">
        <v>114</v>
      </c>
      <c r="V52" s="333"/>
    </row>
    <row r="53" spans="1:22" ht="45" customHeight="1" x14ac:dyDescent="0.2">
      <c r="A53" s="277">
        <f>IF(B53="","",COUNT('Diário 5º PA'!$A$5:$A$2634)+ROW()-4)</f>
        <v>1360</v>
      </c>
      <c r="B53" s="278">
        <v>44291</v>
      </c>
      <c r="C53" s="259">
        <v>44228</v>
      </c>
      <c r="D53" s="252" t="s">
        <v>104</v>
      </c>
      <c r="E53" s="252" t="s">
        <v>104</v>
      </c>
      <c r="F53" s="257">
        <v>99</v>
      </c>
      <c r="G53" s="252" t="s">
        <v>4084</v>
      </c>
      <c r="H53" s="252" t="s">
        <v>104</v>
      </c>
      <c r="I53" s="252" t="s">
        <v>465</v>
      </c>
      <c r="J53" s="250" t="s">
        <v>114</v>
      </c>
      <c r="K53" s="250" t="s">
        <v>466</v>
      </c>
      <c r="L53" s="250" t="s">
        <v>467</v>
      </c>
      <c r="M53" s="277">
        <v>2466</v>
      </c>
      <c r="N53" s="278">
        <v>44291</v>
      </c>
      <c r="O53" s="329" t="s">
        <v>68</v>
      </c>
      <c r="P53" s="330">
        <f t="shared" ref="P53:Q53" si="49">IF(B53=0,0,IF(YEAR(B53)=$Q$1,MONTH(B53)-$P$1+1,(YEAR(B53)-$Q$1)*12-$P$1+1+MONTH(B53)))</f>
        <v>4</v>
      </c>
      <c r="Q53" s="330">
        <f t="shared" si="49"/>
        <v>2</v>
      </c>
      <c r="R53" s="331" t="str">
        <f t="shared" si="1"/>
        <v>Gastos_custeados_por_captação</v>
      </c>
      <c r="S53" s="331" t="str">
        <f>IF(D53="","",IF(OR(D53=Plano!$A$1,D53=Plano!$B$1),"entrada","saída"))</f>
        <v>saída</v>
      </c>
      <c r="T53" s="332" t="s">
        <v>114</v>
      </c>
      <c r="U53" s="332" t="s">
        <v>114</v>
      </c>
      <c r="V53" s="333"/>
    </row>
    <row r="54" spans="1:22" ht="47.25" customHeight="1" x14ac:dyDescent="0.2">
      <c r="A54" s="277">
        <f>IF(B54="","",COUNT('Diário 5º PA'!$A$5:$A$2634)+ROW()-4)</f>
        <v>1361</v>
      </c>
      <c r="B54" s="278">
        <v>44291</v>
      </c>
      <c r="C54" s="259">
        <v>44228</v>
      </c>
      <c r="D54" s="252" t="s">
        <v>104</v>
      </c>
      <c r="E54" s="252" t="s">
        <v>104</v>
      </c>
      <c r="F54" s="257">
        <v>99</v>
      </c>
      <c r="G54" s="252" t="s">
        <v>4085</v>
      </c>
      <c r="H54" s="252" t="s">
        <v>104</v>
      </c>
      <c r="I54" s="252" t="s">
        <v>465</v>
      </c>
      <c r="J54" s="250" t="s">
        <v>114</v>
      </c>
      <c r="K54" s="250" t="s">
        <v>466</v>
      </c>
      <c r="L54" s="250" t="s">
        <v>467</v>
      </c>
      <c r="M54" s="277">
        <v>2467</v>
      </c>
      <c r="N54" s="278">
        <v>44291</v>
      </c>
      <c r="O54" s="329" t="s">
        <v>68</v>
      </c>
      <c r="P54" s="330">
        <f t="shared" ref="P54:Q54" si="50">IF(B54=0,0,IF(YEAR(B54)=$Q$1,MONTH(B54)-$P$1+1,(YEAR(B54)-$Q$1)*12-$P$1+1+MONTH(B54)))</f>
        <v>4</v>
      </c>
      <c r="Q54" s="330">
        <f t="shared" si="50"/>
        <v>2</v>
      </c>
      <c r="R54" s="331" t="str">
        <f t="shared" si="1"/>
        <v>Gastos_custeados_por_captação</v>
      </c>
      <c r="S54" s="331" t="str">
        <f>IF(D54="","",IF(OR(D54=Plano!$A$1,D54=Plano!$B$1),"entrada","saída"))</f>
        <v>saída</v>
      </c>
      <c r="T54" s="332" t="s">
        <v>114</v>
      </c>
      <c r="U54" s="332" t="s">
        <v>114</v>
      </c>
      <c r="V54" s="333"/>
    </row>
    <row r="55" spans="1:22" ht="51.75" customHeight="1" x14ac:dyDescent="0.2">
      <c r="A55" s="277">
        <f>IF(B55="","",COUNT('Diário 5º PA'!$A$5:$A$2634)+ROW()-4)</f>
        <v>1362</v>
      </c>
      <c r="B55" s="278">
        <v>44291</v>
      </c>
      <c r="C55" s="259">
        <v>44228</v>
      </c>
      <c r="D55" s="252" t="s">
        <v>104</v>
      </c>
      <c r="E55" s="252" t="s">
        <v>104</v>
      </c>
      <c r="F55" s="257">
        <v>99</v>
      </c>
      <c r="G55" s="252" t="s">
        <v>4086</v>
      </c>
      <c r="H55" s="252" t="s">
        <v>104</v>
      </c>
      <c r="I55" s="252" t="s">
        <v>465</v>
      </c>
      <c r="J55" s="250" t="s">
        <v>114</v>
      </c>
      <c r="K55" s="250" t="s">
        <v>466</v>
      </c>
      <c r="L55" s="250" t="s">
        <v>467</v>
      </c>
      <c r="M55" s="277">
        <v>2468</v>
      </c>
      <c r="N55" s="278">
        <v>44291</v>
      </c>
      <c r="O55" s="329" t="s">
        <v>68</v>
      </c>
      <c r="P55" s="330">
        <f t="shared" ref="P55:Q55" si="51">IF(B55=0,0,IF(YEAR(B55)=$Q$1,MONTH(B55)-$P$1+1,(YEAR(B55)-$Q$1)*12-$P$1+1+MONTH(B55)))</f>
        <v>4</v>
      </c>
      <c r="Q55" s="330">
        <f t="shared" si="51"/>
        <v>2</v>
      </c>
      <c r="R55" s="331" t="str">
        <f t="shared" si="1"/>
        <v>Gastos_custeados_por_captação</v>
      </c>
      <c r="S55" s="331" t="str">
        <f>IF(D55="","",IF(OR(D55=Plano!$A$1,D55=Plano!$B$1),"entrada","saída"))</f>
        <v>saída</v>
      </c>
      <c r="T55" s="332" t="s">
        <v>114</v>
      </c>
      <c r="U55" s="332" t="s">
        <v>114</v>
      </c>
      <c r="V55" s="333"/>
    </row>
    <row r="56" spans="1:22" ht="56.25" customHeight="1" x14ac:dyDescent="0.2">
      <c r="A56" s="277">
        <f>IF(B56="","",COUNT('Diário 5º PA'!$A$5:$A$2634)+ROW()-4)</f>
        <v>1363</v>
      </c>
      <c r="B56" s="278">
        <v>44291</v>
      </c>
      <c r="C56" s="259">
        <v>44228</v>
      </c>
      <c r="D56" s="252" t="s">
        <v>104</v>
      </c>
      <c r="E56" s="252" t="s">
        <v>104</v>
      </c>
      <c r="F56" s="257">
        <v>99</v>
      </c>
      <c r="G56" s="252" t="s">
        <v>4087</v>
      </c>
      <c r="H56" s="252" t="s">
        <v>104</v>
      </c>
      <c r="I56" s="252" t="s">
        <v>465</v>
      </c>
      <c r="J56" s="250" t="s">
        <v>114</v>
      </c>
      <c r="K56" s="250" t="s">
        <v>466</v>
      </c>
      <c r="L56" s="250" t="s">
        <v>467</v>
      </c>
      <c r="M56" s="277">
        <v>2469</v>
      </c>
      <c r="N56" s="278">
        <v>44291</v>
      </c>
      <c r="O56" s="329" t="s">
        <v>68</v>
      </c>
      <c r="P56" s="330">
        <f t="shared" ref="P56:Q56" si="52">IF(B56=0,0,IF(YEAR(B56)=$Q$1,MONTH(B56)-$P$1+1,(YEAR(B56)-$Q$1)*12-$P$1+1+MONTH(B56)))</f>
        <v>4</v>
      </c>
      <c r="Q56" s="330">
        <f t="shared" si="52"/>
        <v>2</v>
      </c>
      <c r="R56" s="331" t="str">
        <f t="shared" si="1"/>
        <v>Gastos_custeados_por_captação</v>
      </c>
      <c r="S56" s="331" t="str">
        <f>IF(D56="","",IF(OR(D56=Plano!$A$1,D56=Plano!$B$1),"entrada","saída"))</f>
        <v>saída</v>
      </c>
      <c r="T56" s="332" t="s">
        <v>114</v>
      </c>
      <c r="U56" s="332" t="s">
        <v>114</v>
      </c>
      <c r="V56" s="333"/>
    </row>
    <row r="57" spans="1:22" ht="63" customHeight="1" x14ac:dyDescent="0.2">
      <c r="A57" s="277">
        <f>IF(B57="","",COUNT('Diário 5º PA'!$A$5:$A$2634)+ROW()-4)</f>
        <v>1364</v>
      </c>
      <c r="B57" s="278">
        <v>44291</v>
      </c>
      <c r="C57" s="259">
        <v>44228</v>
      </c>
      <c r="D57" s="252" t="s">
        <v>104</v>
      </c>
      <c r="E57" s="252" t="s">
        <v>104</v>
      </c>
      <c r="F57" s="257">
        <v>99</v>
      </c>
      <c r="G57" s="252" t="s">
        <v>4088</v>
      </c>
      <c r="H57" s="252" t="s">
        <v>104</v>
      </c>
      <c r="I57" s="252" t="s">
        <v>465</v>
      </c>
      <c r="J57" s="250" t="s">
        <v>114</v>
      </c>
      <c r="K57" s="250" t="s">
        <v>466</v>
      </c>
      <c r="L57" s="250" t="s">
        <v>467</v>
      </c>
      <c r="M57" s="277">
        <v>2470</v>
      </c>
      <c r="N57" s="278">
        <v>44291</v>
      </c>
      <c r="O57" s="329" t="s">
        <v>68</v>
      </c>
      <c r="P57" s="330">
        <f t="shared" ref="P57:Q57" si="53">IF(B57=0,0,IF(YEAR(B57)=$Q$1,MONTH(B57)-$P$1+1,(YEAR(B57)-$Q$1)*12-$P$1+1+MONTH(B57)))</f>
        <v>4</v>
      </c>
      <c r="Q57" s="330">
        <f t="shared" si="53"/>
        <v>2</v>
      </c>
      <c r="R57" s="331" t="str">
        <f t="shared" si="1"/>
        <v>Gastos_custeados_por_captação</v>
      </c>
      <c r="S57" s="331" t="str">
        <f>IF(D57="","",IF(OR(D57=Plano!$A$1,D57=Plano!$B$1),"entrada","saída"))</f>
        <v>saída</v>
      </c>
      <c r="T57" s="332" t="s">
        <v>114</v>
      </c>
      <c r="U57" s="332" t="s">
        <v>114</v>
      </c>
      <c r="V57" s="333"/>
    </row>
    <row r="58" spans="1:22" ht="51" customHeight="1" x14ac:dyDescent="0.2">
      <c r="A58" s="277">
        <f>IF(B58="","",COUNT('Diário 5º PA'!$A$5:$A$2634)+ROW()-4)</f>
        <v>1365</v>
      </c>
      <c r="B58" s="278">
        <v>44291</v>
      </c>
      <c r="C58" s="259">
        <v>44228</v>
      </c>
      <c r="D58" s="252" t="s">
        <v>104</v>
      </c>
      <c r="E58" s="252" t="s">
        <v>104</v>
      </c>
      <c r="F58" s="257">
        <v>99</v>
      </c>
      <c r="G58" s="252" t="s">
        <v>4089</v>
      </c>
      <c r="H58" s="252" t="s">
        <v>104</v>
      </c>
      <c r="I58" s="252" t="s">
        <v>465</v>
      </c>
      <c r="J58" s="250" t="s">
        <v>114</v>
      </c>
      <c r="K58" s="250" t="s">
        <v>466</v>
      </c>
      <c r="L58" s="250" t="s">
        <v>467</v>
      </c>
      <c r="M58" s="277">
        <v>2471</v>
      </c>
      <c r="N58" s="278">
        <v>44291</v>
      </c>
      <c r="O58" s="329" t="s">
        <v>68</v>
      </c>
      <c r="P58" s="330">
        <f t="shared" ref="P58:Q58" si="54">IF(B58=0,0,IF(YEAR(B58)=$Q$1,MONTH(B58)-$P$1+1,(YEAR(B58)-$Q$1)*12-$P$1+1+MONTH(B58)))</f>
        <v>4</v>
      </c>
      <c r="Q58" s="330">
        <f t="shared" si="54"/>
        <v>2</v>
      </c>
      <c r="R58" s="331" t="str">
        <f t="shared" si="1"/>
        <v>Gastos_custeados_por_captação</v>
      </c>
      <c r="S58" s="331" t="str">
        <f>IF(D58="","",IF(OR(D58=Plano!$A$1,D58=Plano!$B$1),"entrada","saída"))</f>
        <v>saída</v>
      </c>
      <c r="T58" s="332" t="s">
        <v>114</v>
      </c>
      <c r="U58" s="332" t="s">
        <v>114</v>
      </c>
      <c r="V58" s="333"/>
    </row>
    <row r="59" spans="1:22" ht="54.75" customHeight="1" x14ac:dyDescent="0.2">
      <c r="A59" s="277">
        <f>IF(B59="","",COUNT('Diário 5º PA'!$A$5:$A$2634)+ROW()-4)</f>
        <v>1366</v>
      </c>
      <c r="B59" s="278">
        <v>44291</v>
      </c>
      <c r="C59" s="259">
        <v>44228</v>
      </c>
      <c r="D59" s="252" t="s">
        <v>104</v>
      </c>
      <c r="E59" s="252" t="s">
        <v>104</v>
      </c>
      <c r="F59" s="257">
        <v>99</v>
      </c>
      <c r="G59" s="252" t="s">
        <v>4090</v>
      </c>
      <c r="H59" s="252" t="s">
        <v>104</v>
      </c>
      <c r="I59" s="252" t="s">
        <v>465</v>
      </c>
      <c r="J59" s="250" t="s">
        <v>114</v>
      </c>
      <c r="K59" s="250" t="s">
        <v>466</v>
      </c>
      <c r="L59" s="250" t="s">
        <v>467</v>
      </c>
      <c r="M59" s="277">
        <v>2472</v>
      </c>
      <c r="N59" s="278">
        <v>44291</v>
      </c>
      <c r="O59" s="329" t="s">
        <v>68</v>
      </c>
      <c r="P59" s="330">
        <f t="shared" ref="P59:Q59" si="55">IF(B59=0,0,IF(YEAR(B59)=$Q$1,MONTH(B59)-$P$1+1,(YEAR(B59)-$Q$1)*12-$P$1+1+MONTH(B59)))</f>
        <v>4</v>
      </c>
      <c r="Q59" s="330">
        <f t="shared" si="55"/>
        <v>2</v>
      </c>
      <c r="R59" s="331" t="str">
        <f t="shared" si="1"/>
        <v>Gastos_custeados_por_captação</v>
      </c>
      <c r="S59" s="331" t="str">
        <f>IF(D59="","",IF(OR(D59=Plano!$A$1,D59=Plano!$B$1),"entrada","saída"))</f>
        <v>saída</v>
      </c>
      <c r="T59" s="332" t="s">
        <v>114</v>
      </c>
      <c r="U59" s="332" t="s">
        <v>114</v>
      </c>
      <c r="V59" s="333"/>
    </row>
    <row r="60" spans="1:22" ht="64.5" customHeight="1" x14ac:dyDescent="0.2">
      <c r="A60" s="277">
        <f>IF(B60="","",COUNT('Diário 5º PA'!$A$5:$A$2634)+ROW()-4)</f>
        <v>1367</v>
      </c>
      <c r="B60" s="278">
        <v>44291</v>
      </c>
      <c r="C60" s="259">
        <v>44228</v>
      </c>
      <c r="D60" s="252" t="s">
        <v>104</v>
      </c>
      <c r="E60" s="252" t="s">
        <v>104</v>
      </c>
      <c r="F60" s="257">
        <v>99</v>
      </c>
      <c r="G60" s="252" t="s">
        <v>4091</v>
      </c>
      <c r="H60" s="252" t="s">
        <v>104</v>
      </c>
      <c r="I60" s="252" t="s">
        <v>465</v>
      </c>
      <c r="J60" s="250" t="s">
        <v>114</v>
      </c>
      <c r="K60" s="250" t="s">
        <v>466</v>
      </c>
      <c r="L60" s="250" t="s">
        <v>467</v>
      </c>
      <c r="M60" s="277">
        <v>2473</v>
      </c>
      <c r="N60" s="278">
        <v>44291</v>
      </c>
      <c r="O60" s="329" t="s">
        <v>68</v>
      </c>
      <c r="P60" s="330">
        <f t="shared" ref="P60:Q60" si="56">IF(B60=0,0,IF(YEAR(B60)=$Q$1,MONTH(B60)-$P$1+1,(YEAR(B60)-$Q$1)*12-$P$1+1+MONTH(B60)))</f>
        <v>4</v>
      </c>
      <c r="Q60" s="330">
        <f t="shared" si="56"/>
        <v>2</v>
      </c>
      <c r="R60" s="331" t="str">
        <f t="shared" si="1"/>
        <v>Gastos_custeados_por_captação</v>
      </c>
      <c r="S60" s="331" t="str">
        <f>IF(D60="","",IF(OR(D60=Plano!$A$1,D60=Plano!$B$1),"entrada","saída"))</f>
        <v>saída</v>
      </c>
      <c r="T60" s="332" t="s">
        <v>114</v>
      </c>
      <c r="U60" s="332" t="s">
        <v>114</v>
      </c>
      <c r="V60" s="333"/>
    </row>
    <row r="61" spans="1:22" ht="56.25" customHeight="1" x14ac:dyDescent="0.2">
      <c r="A61" s="277">
        <f>IF(B61="","",COUNT('Diário 5º PA'!$A$5:$A$2634)+ROW()-4)</f>
        <v>1368</v>
      </c>
      <c r="B61" s="278">
        <v>44291</v>
      </c>
      <c r="C61" s="259">
        <v>44228</v>
      </c>
      <c r="D61" s="252" t="s">
        <v>104</v>
      </c>
      <c r="E61" s="252" t="s">
        <v>104</v>
      </c>
      <c r="F61" s="257">
        <v>99</v>
      </c>
      <c r="G61" s="252" t="s">
        <v>4092</v>
      </c>
      <c r="H61" s="252" t="s">
        <v>104</v>
      </c>
      <c r="I61" s="252" t="s">
        <v>465</v>
      </c>
      <c r="J61" s="250" t="s">
        <v>114</v>
      </c>
      <c r="K61" s="250" t="s">
        <v>466</v>
      </c>
      <c r="L61" s="250" t="s">
        <v>467</v>
      </c>
      <c r="M61" s="277">
        <v>2474</v>
      </c>
      <c r="N61" s="278">
        <v>44291</v>
      </c>
      <c r="O61" s="329" t="s">
        <v>68</v>
      </c>
      <c r="P61" s="330">
        <f t="shared" ref="P61:Q61" si="57">IF(B61=0,0,IF(YEAR(B61)=$Q$1,MONTH(B61)-$P$1+1,(YEAR(B61)-$Q$1)*12-$P$1+1+MONTH(B61)))</f>
        <v>4</v>
      </c>
      <c r="Q61" s="330">
        <f t="shared" si="57"/>
        <v>2</v>
      </c>
      <c r="R61" s="331" t="str">
        <f t="shared" si="1"/>
        <v>Gastos_custeados_por_captação</v>
      </c>
      <c r="S61" s="331" t="str">
        <f>IF(D61="","",IF(OR(D61=Plano!$A$1,D61=Plano!$B$1),"entrada","saída"))</f>
        <v>saída</v>
      </c>
      <c r="T61" s="332" t="s">
        <v>114</v>
      </c>
      <c r="U61" s="332" t="s">
        <v>114</v>
      </c>
      <c r="V61" s="333"/>
    </row>
    <row r="62" spans="1:22" ht="59.25" customHeight="1" x14ac:dyDescent="0.2">
      <c r="A62" s="277">
        <f>IF(B62="","",COUNT('Diário 5º PA'!$A$5:$A$2634)+ROW()-4)</f>
        <v>1369</v>
      </c>
      <c r="B62" s="278">
        <v>44291</v>
      </c>
      <c r="C62" s="259">
        <v>44228</v>
      </c>
      <c r="D62" s="252" t="s">
        <v>104</v>
      </c>
      <c r="E62" s="252" t="s">
        <v>104</v>
      </c>
      <c r="F62" s="257">
        <v>99</v>
      </c>
      <c r="G62" s="252" t="s">
        <v>4093</v>
      </c>
      <c r="H62" s="252" t="s">
        <v>104</v>
      </c>
      <c r="I62" s="252" t="s">
        <v>465</v>
      </c>
      <c r="J62" s="250" t="s">
        <v>114</v>
      </c>
      <c r="K62" s="250" t="s">
        <v>466</v>
      </c>
      <c r="L62" s="250" t="s">
        <v>467</v>
      </c>
      <c r="M62" s="277">
        <v>2475</v>
      </c>
      <c r="N62" s="278">
        <v>44291</v>
      </c>
      <c r="O62" s="329" t="s">
        <v>68</v>
      </c>
      <c r="P62" s="330">
        <f t="shared" ref="P62:Q62" si="58">IF(B62=0,0,IF(YEAR(B62)=$Q$1,MONTH(B62)-$P$1+1,(YEAR(B62)-$Q$1)*12-$P$1+1+MONTH(B62)))</f>
        <v>4</v>
      </c>
      <c r="Q62" s="330">
        <f t="shared" si="58"/>
        <v>2</v>
      </c>
      <c r="R62" s="331" t="str">
        <f t="shared" si="1"/>
        <v>Gastos_custeados_por_captação</v>
      </c>
      <c r="S62" s="331" t="str">
        <f>IF(D62="","",IF(OR(D62=Plano!$A$1,D62=Plano!$B$1),"entrada","saída"))</f>
        <v>saída</v>
      </c>
      <c r="T62" s="332" t="s">
        <v>114</v>
      </c>
      <c r="U62" s="332" t="s">
        <v>114</v>
      </c>
      <c r="V62" s="333"/>
    </row>
    <row r="63" spans="1:22" ht="60" customHeight="1" x14ac:dyDescent="0.2">
      <c r="A63" s="277">
        <f>IF(B63="","",COUNT('Diário 5º PA'!$A$5:$A$2634)+ROW()-4)</f>
        <v>1370</v>
      </c>
      <c r="B63" s="278">
        <v>44291</v>
      </c>
      <c r="C63" s="259">
        <v>44228</v>
      </c>
      <c r="D63" s="252" t="s">
        <v>104</v>
      </c>
      <c r="E63" s="252" t="s">
        <v>104</v>
      </c>
      <c r="F63" s="257">
        <v>69</v>
      </c>
      <c r="G63" s="252" t="s">
        <v>4094</v>
      </c>
      <c r="H63" s="252" t="s">
        <v>104</v>
      </c>
      <c r="I63" s="252" t="s">
        <v>465</v>
      </c>
      <c r="J63" s="250" t="s">
        <v>114</v>
      </c>
      <c r="K63" s="250" t="s">
        <v>466</v>
      </c>
      <c r="L63" s="250" t="s">
        <v>467</v>
      </c>
      <c r="M63" s="277">
        <v>2476</v>
      </c>
      <c r="N63" s="278">
        <v>44291</v>
      </c>
      <c r="O63" s="329" t="s">
        <v>68</v>
      </c>
      <c r="P63" s="330">
        <f t="shared" ref="P63:Q63" si="59">IF(B63=0,0,IF(YEAR(B63)=$Q$1,MONTH(B63)-$P$1+1,(YEAR(B63)-$Q$1)*12-$P$1+1+MONTH(B63)))</f>
        <v>4</v>
      </c>
      <c r="Q63" s="330">
        <f t="shared" si="59"/>
        <v>2</v>
      </c>
      <c r="R63" s="331" t="str">
        <f t="shared" si="1"/>
        <v>Gastos_custeados_por_captação</v>
      </c>
      <c r="S63" s="331" t="str">
        <f>IF(D63="","",IF(OR(D63=Plano!$A$1,D63=Plano!$B$1),"entrada","saída"))</f>
        <v>saída</v>
      </c>
      <c r="T63" s="332" t="s">
        <v>114</v>
      </c>
      <c r="U63" s="332" t="s">
        <v>114</v>
      </c>
      <c r="V63" s="333"/>
    </row>
    <row r="64" spans="1:22" ht="69.75" customHeight="1" x14ac:dyDescent="0.2">
      <c r="A64" s="277">
        <f>IF(B64="","",COUNT('Diário 5º PA'!$A$5:$A$2634)+ROW()-4)</f>
        <v>1371</v>
      </c>
      <c r="B64" s="278">
        <v>44291</v>
      </c>
      <c r="C64" s="259">
        <v>44228</v>
      </c>
      <c r="D64" s="252" t="s">
        <v>104</v>
      </c>
      <c r="E64" s="252" t="s">
        <v>104</v>
      </c>
      <c r="F64" s="257">
        <v>120</v>
      </c>
      <c r="G64" s="252" t="s">
        <v>4095</v>
      </c>
      <c r="H64" s="252" t="s">
        <v>104</v>
      </c>
      <c r="I64" s="252" t="s">
        <v>465</v>
      </c>
      <c r="J64" s="250" t="s">
        <v>114</v>
      </c>
      <c r="K64" s="250" t="s">
        <v>466</v>
      </c>
      <c r="L64" s="250" t="s">
        <v>467</v>
      </c>
      <c r="M64" s="277">
        <v>2477</v>
      </c>
      <c r="N64" s="278">
        <v>44291</v>
      </c>
      <c r="O64" s="329" t="s">
        <v>68</v>
      </c>
      <c r="P64" s="330">
        <f t="shared" ref="P64:Q64" si="60">IF(B64=0,0,IF(YEAR(B64)=$Q$1,MONTH(B64)-$P$1+1,(YEAR(B64)-$Q$1)*12-$P$1+1+MONTH(B64)))</f>
        <v>4</v>
      </c>
      <c r="Q64" s="330">
        <f t="shared" si="60"/>
        <v>2</v>
      </c>
      <c r="R64" s="331" t="str">
        <f t="shared" si="1"/>
        <v>Gastos_custeados_por_captação</v>
      </c>
      <c r="S64" s="331" t="str">
        <f>IF(D64="","",IF(OR(D64=Plano!$A$1,D64=Plano!$B$1),"entrada","saída"))</f>
        <v>saída</v>
      </c>
      <c r="T64" s="332" t="s">
        <v>114</v>
      </c>
      <c r="U64" s="332" t="s">
        <v>114</v>
      </c>
      <c r="V64" s="333"/>
    </row>
    <row r="65" spans="1:22" ht="183" customHeight="1" x14ac:dyDescent="0.2">
      <c r="A65" s="277">
        <f>IF(B65="","",COUNT('Diário 5º PA'!$A$5:$A$2634)+ROW()-4)</f>
        <v>1372</v>
      </c>
      <c r="B65" s="278">
        <v>44291</v>
      </c>
      <c r="C65" s="259">
        <v>44256</v>
      </c>
      <c r="D65" s="252" t="s">
        <v>104</v>
      </c>
      <c r="E65" s="252" t="s">
        <v>104</v>
      </c>
      <c r="F65" s="257">
        <v>2300</v>
      </c>
      <c r="G65" s="252" t="s">
        <v>3683</v>
      </c>
      <c r="H65" s="252" t="s">
        <v>104</v>
      </c>
      <c r="I65" s="252" t="s">
        <v>2493</v>
      </c>
      <c r="J65" s="250" t="s">
        <v>2494</v>
      </c>
      <c r="K65" s="255" t="s">
        <v>1015</v>
      </c>
      <c r="L65" s="250" t="s">
        <v>1016</v>
      </c>
      <c r="M65" s="277" t="s">
        <v>1148</v>
      </c>
      <c r="N65" s="278">
        <v>44291</v>
      </c>
      <c r="O65" s="329" t="s">
        <v>68</v>
      </c>
      <c r="P65" s="330">
        <f t="shared" ref="P65:Q65" si="61">IF(B65=0,0,IF(YEAR(B65)=$Q$1,MONTH(B65)-$P$1+1,(YEAR(B65)-$Q$1)*12-$P$1+1+MONTH(B65)))</f>
        <v>4</v>
      </c>
      <c r="Q65" s="330">
        <f t="shared" si="61"/>
        <v>3</v>
      </c>
      <c r="R65" s="331" t="str">
        <f t="shared" si="1"/>
        <v>Gastos_custeados_por_captação</v>
      </c>
      <c r="S65" s="331" t="str">
        <f>IF(D65="","",IF(OR(D65=Plano!$A$1,D65=Plano!$B$1),"entrada","saída"))</f>
        <v>saída</v>
      </c>
      <c r="T65" s="332" t="s">
        <v>994</v>
      </c>
      <c r="U65" s="332">
        <v>1195</v>
      </c>
      <c r="V65" s="333"/>
    </row>
    <row r="66" spans="1:22" ht="194.25" customHeight="1" x14ac:dyDescent="0.2">
      <c r="A66" s="277">
        <f>IF(B66="","",COUNT('Diário 5º PA'!$A$5:$A$2634)+ROW()-4)</f>
        <v>1373</v>
      </c>
      <c r="B66" s="278">
        <v>44291</v>
      </c>
      <c r="C66" s="259">
        <v>44256</v>
      </c>
      <c r="D66" s="252" t="s">
        <v>104</v>
      </c>
      <c r="E66" s="252" t="s">
        <v>104</v>
      </c>
      <c r="F66" s="257">
        <v>2300</v>
      </c>
      <c r="G66" s="252" t="s">
        <v>3710</v>
      </c>
      <c r="H66" s="252" t="s">
        <v>104</v>
      </c>
      <c r="I66" s="252" t="s">
        <v>3711</v>
      </c>
      <c r="J66" s="250" t="s">
        <v>3712</v>
      </c>
      <c r="K66" s="255" t="s">
        <v>1015</v>
      </c>
      <c r="L66" s="250" t="s">
        <v>1016</v>
      </c>
      <c r="M66" s="277">
        <v>30</v>
      </c>
      <c r="N66" s="278">
        <v>44291</v>
      </c>
      <c r="O66" s="329" t="s">
        <v>68</v>
      </c>
      <c r="P66" s="330">
        <f t="shared" ref="P66:Q66" si="62">IF(B66=0,0,IF(YEAR(B66)=$Q$1,MONTH(B66)-$P$1+1,(YEAR(B66)-$Q$1)*12-$P$1+1+MONTH(B66)))</f>
        <v>4</v>
      </c>
      <c r="Q66" s="330">
        <f t="shared" si="62"/>
        <v>3</v>
      </c>
      <c r="R66" s="331" t="str">
        <f t="shared" si="1"/>
        <v>Gastos_custeados_por_captação</v>
      </c>
      <c r="S66" s="331" t="str">
        <f>IF(D66="","",IF(OR(D66=Plano!$A$1,D66=Plano!$B$1),"entrada","saída"))</f>
        <v>saída</v>
      </c>
      <c r="T66" s="332" t="s">
        <v>994</v>
      </c>
      <c r="U66" s="332">
        <v>1224</v>
      </c>
      <c r="V66" s="333"/>
    </row>
    <row r="67" spans="1:22" ht="53.25" customHeight="1" x14ac:dyDescent="0.2">
      <c r="A67" s="277">
        <f>IF(B67="","",COUNT('Diário 5º PA'!$A$5:$A$2634)+ROW()-4)</f>
        <v>1374</v>
      </c>
      <c r="B67" s="278">
        <v>44291</v>
      </c>
      <c r="C67" s="259">
        <v>44105</v>
      </c>
      <c r="D67" s="252" t="s">
        <v>104</v>
      </c>
      <c r="E67" s="252" t="s">
        <v>104</v>
      </c>
      <c r="F67" s="257">
        <v>1093.2</v>
      </c>
      <c r="G67" s="252" t="s">
        <v>4096</v>
      </c>
      <c r="H67" s="252" t="s">
        <v>104</v>
      </c>
      <c r="I67" s="252" t="s">
        <v>465</v>
      </c>
      <c r="J67" s="250" t="s">
        <v>114</v>
      </c>
      <c r="K67" s="250" t="s">
        <v>466</v>
      </c>
      <c r="L67" s="250" t="s">
        <v>467</v>
      </c>
      <c r="M67" s="277">
        <v>2478</v>
      </c>
      <c r="N67" s="278">
        <v>44291</v>
      </c>
      <c r="O67" s="329" t="s">
        <v>69</v>
      </c>
      <c r="P67" s="330">
        <f t="shared" ref="P67:Q67" si="63">IF(B67=0,0,IF(YEAR(B67)=$Q$1,MONTH(B67)-$P$1+1,(YEAR(B67)-$Q$1)*12-$P$1+1+MONTH(B67)))</f>
        <v>4</v>
      </c>
      <c r="Q67" s="330">
        <f t="shared" si="63"/>
        <v>-2</v>
      </c>
      <c r="R67" s="331" t="str">
        <f t="shared" si="1"/>
        <v>Gastos_custeados_por_captação</v>
      </c>
      <c r="S67" s="331" t="str">
        <f>IF(D67="","",IF(OR(D67=Plano!$A$1,D67=Plano!$B$1),"entrada","saída"))</f>
        <v>saída</v>
      </c>
      <c r="T67" s="332" t="s">
        <v>114</v>
      </c>
      <c r="U67" s="332" t="s">
        <v>114</v>
      </c>
      <c r="V67" s="333"/>
    </row>
    <row r="68" spans="1:22" ht="58.5" customHeight="1" x14ac:dyDescent="0.2">
      <c r="A68" s="277">
        <f>IF(B68="","",COUNT('Diário 5º PA'!$A$5:$A$2634)+ROW()-4)</f>
        <v>1375</v>
      </c>
      <c r="B68" s="278">
        <v>44291</v>
      </c>
      <c r="C68" s="259">
        <v>44228</v>
      </c>
      <c r="D68" s="252" t="s">
        <v>104</v>
      </c>
      <c r="E68" s="252" t="s">
        <v>104</v>
      </c>
      <c r="F68" s="257">
        <v>125</v>
      </c>
      <c r="G68" s="252" t="s">
        <v>4097</v>
      </c>
      <c r="H68" s="252" t="s">
        <v>104</v>
      </c>
      <c r="I68" s="252" t="s">
        <v>465</v>
      </c>
      <c r="J68" s="250" t="s">
        <v>114</v>
      </c>
      <c r="K68" s="250" t="s">
        <v>466</v>
      </c>
      <c r="L68" s="250" t="s">
        <v>467</v>
      </c>
      <c r="M68" s="277">
        <v>2479</v>
      </c>
      <c r="N68" s="278">
        <v>44291</v>
      </c>
      <c r="O68" s="329" t="s">
        <v>69</v>
      </c>
      <c r="P68" s="330">
        <f t="shared" ref="P68:Q68" si="64">IF(B68=0,0,IF(YEAR(B68)=$Q$1,MONTH(B68)-$P$1+1,(YEAR(B68)-$Q$1)*12-$P$1+1+MONTH(B68)))</f>
        <v>4</v>
      </c>
      <c r="Q68" s="330">
        <f t="shared" si="64"/>
        <v>2</v>
      </c>
      <c r="R68" s="331" t="str">
        <f t="shared" si="1"/>
        <v>Gastos_custeados_por_captação</v>
      </c>
      <c r="S68" s="331" t="str">
        <f>IF(D68="","",IF(OR(D68=Plano!$A$1,D68=Plano!$B$1),"entrada","saída"))</f>
        <v>saída</v>
      </c>
      <c r="T68" s="332" t="s">
        <v>114</v>
      </c>
      <c r="U68" s="332" t="s">
        <v>114</v>
      </c>
      <c r="V68" s="333"/>
    </row>
    <row r="69" spans="1:22" ht="58.5" customHeight="1" x14ac:dyDescent="0.2">
      <c r="A69" s="277">
        <f>IF(B69="","",COUNT('Diário 5º PA'!$A$5:$A$2634)+ROW()-4)</f>
        <v>1376</v>
      </c>
      <c r="B69" s="278">
        <v>44291</v>
      </c>
      <c r="C69" s="259">
        <v>44228</v>
      </c>
      <c r="D69" s="252" t="s">
        <v>104</v>
      </c>
      <c r="E69" s="252" t="s">
        <v>104</v>
      </c>
      <c r="F69" s="257">
        <v>75</v>
      </c>
      <c r="G69" s="252" t="s">
        <v>4098</v>
      </c>
      <c r="H69" s="252" t="s">
        <v>104</v>
      </c>
      <c r="I69" s="252" t="s">
        <v>465</v>
      </c>
      <c r="J69" s="250" t="s">
        <v>114</v>
      </c>
      <c r="K69" s="250" t="s">
        <v>466</v>
      </c>
      <c r="L69" s="250" t="s">
        <v>467</v>
      </c>
      <c r="M69" s="277">
        <v>2480</v>
      </c>
      <c r="N69" s="278">
        <v>44291</v>
      </c>
      <c r="O69" s="329" t="s">
        <v>69</v>
      </c>
      <c r="P69" s="330">
        <f t="shared" ref="P69:Q69" si="65">IF(B69=0,0,IF(YEAR(B69)=$Q$1,MONTH(B69)-$P$1+1,(YEAR(B69)-$Q$1)*12-$P$1+1+MONTH(B69)))</f>
        <v>4</v>
      </c>
      <c r="Q69" s="330">
        <f t="shared" si="65"/>
        <v>2</v>
      </c>
      <c r="R69" s="331" t="str">
        <f t="shared" si="1"/>
        <v>Gastos_custeados_por_captação</v>
      </c>
      <c r="S69" s="331" t="str">
        <f>IF(D69="","",IF(OR(D69=Plano!$A$1,D69=Plano!$B$1),"entrada","saída"))</f>
        <v>saída</v>
      </c>
      <c r="T69" s="332" t="s">
        <v>114</v>
      </c>
      <c r="U69" s="332" t="s">
        <v>114</v>
      </c>
      <c r="V69" s="333"/>
    </row>
    <row r="70" spans="1:22" ht="50.25" customHeight="1" x14ac:dyDescent="0.2">
      <c r="A70" s="277">
        <f>IF(B70="","",COUNT('Diário 5º PA'!$A$5:$A$2634)+ROW()-4)</f>
        <v>1377</v>
      </c>
      <c r="B70" s="278">
        <v>44291</v>
      </c>
      <c r="C70" s="259">
        <v>44228</v>
      </c>
      <c r="D70" s="252" t="s">
        <v>104</v>
      </c>
      <c r="E70" s="252" t="s">
        <v>104</v>
      </c>
      <c r="F70" s="257">
        <v>56.7</v>
      </c>
      <c r="G70" s="252" t="s">
        <v>4099</v>
      </c>
      <c r="H70" s="252" t="s">
        <v>104</v>
      </c>
      <c r="I70" s="252" t="s">
        <v>465</v>
      </c>
      <c r="J70" s="250" t="s">
        <v>114</v>
      </c>
      <c r="K70" s="250" t="s">
        <v>466</v>
      </c>
      <c r="L70" s="250" t="s">
        <v>467</v>
      </c>
      <c r="M70" s="277">
        <v>2481</v>
      </c>
      <c r="N70" s="278">
        <v>44291</v>
      </c>
      <c r="O70" s="329" t="s">
        <v>69</v>
      </c>
      <c r="P70" s="330">
        <f t="shared" ref="P70:Q70" si="66">IF(B70=0,0,IF(YEAR(B70)=$Q$1,MONTH(B70)-$P$1+1,(YEAR(B70)-$Q$1)*12-$P$1+1+MONTH(B70)))</f>
        <v>4</v>
      </c>
      <c r="Q70" s="330">
        <f t="shared" si="66"/>
        <v>2</v>
      </c>
      <c r="R70" s="331" t="str">
        <f t="shared" si="1"/>
        <v>Gastos_custeados_por_captação</v>
      </c>
      <c r="S70" s="331" t="str">
        <f>IF(D70="","",IF(OR(D70=Plano!$A$1,D70=Plano!$B$1),"entrada","saída"))</f>
        <v>saída</v>
      </c>
      <c r="T70" s="332" t="s">
        <v>114</v>
      </c>
      <c r="U70" s="332" t="s">
        <v>114</v>
      </c>
      <c r="V70" s="333"/>
    </row>
    <row r="71" spans="1:22" ht="57" customHeight="1" x14ac:dyDescent="0.2">
      <c r="A71" s="277">
        <f>IF(B71="","",COUNT('Diário 5º PA'!$A$5:$A$2634)+ROW()-4)</f>
        <v>1378</v>
      </c>
      <c r="B71" s="278">
        <v>44291</v>
      </c>
      <c r="C71" s="259">
        <v>44228</v>
      </c>
      <c r="D71" s="252" t="s">
        <v>104</v>
      </c>
      <c r="E71" s="252" t="s">
        <v>104</v>
      </c>
      <c r="F71" s="257">
        <v>56.7</v>
      </c>
      <c r="G71" s="252" t="s">
        <v>4100</v>
      </c>
      <c r="H71" s="252" t="s">
        <v>104</v>
      </c>
      <c r="I71" s="252" t="s">
        <v>465</v>
      </c>
      <c r="J71" s="250" t="s">
        <v>114</v>
      </c>
      <c r="K71" s="250" t="s">
        <v>466</v>
      </c>
      <c r="L71" s="250" t="s">
        <v>467</v>
      </c>
      <c r="M71" s="277">
        <v>2482</v>
      </c>
      <c r="N71" s="278">
        <v>44291</v>
      </c>
      <c r="O71" s="329" t="s">
        <v>69</v>
      </c>
      <c r="P71" s="330">
        <f t="shared" ref="P71:Q71" si="67">IF(B71=0,0,IF(YEAR(B71)=$Q$1,MONTH(B71)-$P$1+1,(YEAR(B71)-$Q$1)*12-$P$1+1+MONTH(B71)))</f>
        <v>4</v>
      </c>
      <c r="Q71" s="330">
        <f t="shared" si="67"/>
        <v>2</v>
      </c>
      <c r="R71" s="331" t="str">
        <f t="shared" si="1"/>
        <v>Gastos_custeados_por_captação</v>
      </c>
      <c r="S71" s="331" t="str">
        <f>IF(D71="","",IF(OR(D71=Plano!$A$1,D71=Plano!$B$1),"entrada","saída"))</f>
        <v>saída</v>
      </c>
      <c r="T71" s="332" t="s">
        <v>114</v>
      </c>
      <c r="U71" s="332" t="s">
        <v>114</v>
      </c>
      <c r="V71" s="333"/>
    </row>
    <row r="72" spans="1:22" ht="67.5" customHeight="1" x14ac:dyDescent="0.2">
      <c r="A72" s="277">
        <f>IF(B72="","",COUNT('Diário 5º PA'!$A$5:$A$2634)+ROW()-4)</f>
        <v>1379</v>
      </c>
      <c r="B72" s="278">
        <v>44291</v>
      </c>
      <c r="C72" s="259">
        <v>44256</v>
      </c>
      <c r="D72" s="252" t="s">
        <v>104</v>
      </c>
      <c r="E72" s="252" t="s">
        <v>104</v>
      </c>
      <c r="F72" s="257">
        <v>236.25</v>
      </c>
      <c r="G72" s="252" t="s">
        <v>4101</v>
      </c>
      <c r="H72" s="252" t="s">
        <v>104</v>
      </c>
      <c r="I72" s="252" t="s">
        <v>465</v>
      </c>
      <c r="J72" s="250" t="s">
        <v>114</v>
      </c>
      <c r="K72" s="250" t="s">
        <v>466</v>
      </c>
      <c r="L72" s="250" t="s">
        <v>467</v>
      </c>
      <c r="M72" s="277">
        <v>2483</v>
      </c>
      <c r="N72" s="278">
        <v>44291</v>
      </c>
      <c r="O72" s="329" t="s">
        <v>69</v>
      </c>
      <c r="P72" s="330">
        <f t="shared" ref="P72:Q72" si="68">IF(B72=0,0,IF(YEAR(B72)=$Q$1,MONTH(B72)-$P$1+1,(YEAR(B72)-$Q$1)*12-$P$1+1+MONTH(B72)))</f>
        <v>4</v>
      </c>
      <c r="Q72" s="330">
        <f t="shared" si="68"/>
        <v>3</v>
      </c>
      <c r="R72" s="331" t="str">
        <f t="shared" si="1"/>
        <v>Gastos_custeados_por_captação</v>
      </c>
      <c r="S72" s="331" t="str">
        <f>IF(D72="","",IF(OR(D72=Plano!$A$1,D72=Plano!$B$1),"entrada","saída"))</f>
        <v>saída</v>
      </c>
      <c r="T72" s="332" t="s">
        <v>114</v>
      </c>
      <c r="U72" s="332" t="s">
        <v>114</v>
      </c>
      <c r="V72" s="333"/>
    </row>
    <row r="73" spans="1:22" ht="57" customHeight="1" x14ac:dyDescent="0.2">
      <c r="A73" s="277">
        <f>IF(B73="","",COUNT('Diário 5º PA'!$A$5:$A$2634)+ROW()-4)</f>
        <v>1380</v>
      </c>
      <c r="B73" s="278">
        <v>44291</v>
      </c>
      <c r="C73" s="259">
        <v>44228</v>
      </c>
      <c r="D73" s="252" t="s">
        <v>104</v>
      </c>
      <c r="E73" s="252" t="s">
        <v>104</v>
      </c>
      <c r="F73" s="257">
        <v>60</v>
      </c>
      <c r="G73" s="252" t="s">
        <v>4102</v>
      </c>
      <c r="H73" s="252" t="s">
        <v>104</v>
      </c>
      <c r="I73" s="252" t="s">
        <v>465</v>
      </c>
      <c r="J73" s="250" t="s">
        <v>114</v>
      </c>
      <c r="K73" s="250" t="s">
        <v>466</v>
      </c>
      <c r="L73" s="250" t="s">
        <v>467</v>
      </c>
      <c r="M73" s="277">
        <v>2428</v>
      </c>
      <c r="N73" s="278">
        <v>44291</v>
      </c>
      <c r="O73" s="329" t="s">
        <v>71</v>
      </c>
      <c r="P73" s="330">
        <f t="shared" ref="P73:Q73" si="69">IF(B73=0,0,IF(YEAR(B73)=$Q$1,MONTH(B73)-$P$1+1,(YEAR(B73)-$Q$1)*12-$P$1+1+MONTH(B73)))</f>
        <v>4</v>
      </c>
      <c r="Q73" s="330">
        <f t="shared" si="69"/>
        <v>2</v>
      </c>
      <c r="R73" s="331" t="str">
        <f t="shared" si="1"/>
        <v>Gastos_custeados_por_captação</v>
      </c>
      <c r="S73" s="331" t="str">
        <f>IF(D73="","",IF(OR(D73=Plano!$A$1,D73=Plano!$B$1),"entrada","saída"))</f>
        <v>saída</v>
      </c>
      <c r="T73" s="332" t="s">
        <v>114</v>
      </c>
      <c r="U73" s="332" t="s">
        <v>114</v>
      </c>
      <c r="V73" s="333"/>
    </row>
    <row r="74" spans="1:22" ht="67.5" customHeight="1" x14ac:dyDescent="0.2">
      <c r="A74" s="277">
        <f>IF(B74="","",COUNT('Diário 5º PA'!$A$5:$A$2634)+ROW()-4)</f>
        <v>1381</v>
      </c>
      <c r="B74" s="278">
        <v>44291</v>
      </c>
      <c r="C74" s="259">
        <v>44228</v>
      </c>
      <c r="D74" s="252" t="s">
        <v>104</v>
      </c>
      <c r="E74" s="252" t="s">
        <v>104</v>
      </c>
      <c r="F74" s="257">
        <v>77.180000000000007</v>
      </c>
      <c r="G74" s="252" t="s">
        <v>4103</v>
      </c>
      <c r="H74" s="252" t="s">
        <v>104</v>
      </c>
      <c r="I74" s="252" t="s">
        <v>465</v>
      </c>
      <c r="J74" s="250" t="s">
        <v>114</v>
      </c>
      <c r="K74" s="250" t="s">
        <v>466</v>
      </c>
      <c r="L74" s="250" t="s">
        <v>467</v>
      </c>
      <c r="M74" s="277">
        <v>2429</v>
      </c>
      <c r="N74" s="278">
        <v>44291</v>
      </c>
      <c r="O74" s="329" t="s">
        <v>71</v>
      </c>
      <c r="P74" s="330">
        <f t="shared" ref="P74:Q74" si="70">IF(B74=0,0,IF(YEAR(B74)=$Q$1,MONTH(B74)-$P$1+1,(YEAR(B74)-$Q$1)*12-$P$1+1+MONTH(B74)))</f>
        <v>4</v>
      </c>
      <c r="Q74" s="330">
        <f t="shared" si="70"/>
        <v>2</v>
      </c>
      <c r="R74" s="331" t="str">
        <f t="shared" si="1"/>
        <v>Gastos_custeados_por_captação</v>
      </c>
      <c r="S74" s="331" t="str">
        <f>IF(D74="","",IF(OR(D74=Plano!$A$1,D74=Plano!$B$1),"entrada","saída"))</f>
        <v>saída</v>
      </c>
      <c r="T74" s="332" t="s">
        <v>114</v>
      </c>
      <c r="U74" s="332" t="s">
        <v>114</v>
      </c>
      <c r="V74" s="333"/>
    </row>
    <row r="75" spans="1:22" ht="116.25" customHeight="1" x14ac:dyDescent="0.2">
      <c r="A75" s="277">
        <f>IF(B75="","",COUNT('Diário 5º PA'!$A$5:$A$2634)+ROW()-4)</f>
        <v>1382</v>
      </c>
      <c r="B75" s="278">
        <v>44291</v>
      </c>
      <c r="C75" s="259">
        <v>44256</v>
      </c>
      <c r="D75" s="252" t="s">
        <v>104</v>
      </c>
      <c r="E75" s="252" t="s">
        <v>104</v>
      </c>
      <c r="F75" s="257">
        <v>3762.82</v>
      </c>
      <c r="G75" s="252" t="s">
        <v>499</v>
      </c>
      <c r="H75" s="252" t="s">
        <v>104</v>
      </c>
      <c r="I75" s="252" t="s">
        <v>3847</v>
      </c>
      <c r="J75" s="250" t="s">
        <v>500</v>
      </c>
      <c r="K75" s="255" t="s">
        <v>1015</v>
      </c>
      <c r="L75" s="250" t="s">
        <v>1016</v>
      </c>
      <c r="M75" s="277" t="s">
        <v>1540</v>
      </c>
      <c r="N75" s="278">
        <v>44291</v>
      </c>
      <c r="O75" s="329" t="s">
        <v>71</v>
      </c>
      <c r="P75" s="330">
        <f t="shared" ref="P75:Q75" si="71">IF(B75=0,0,IF(YEAR(B75)=$Q$1,MONTH(B75)-$P$1+1,(YEAR(B75)-$Q$1)*12-$P$1+1+MONTH(B75)))</f>
        <v>4</v>
      </c>
      <c r="Q75" s="330">
        <f t="shared" si="71"/>
        <v>3</v>
      </c>
      <c r="R75" s="331" t="str">
        <f t="shared" si="1"/>
        <v>Gastos_custeados_por_captação</v>
      </c>
      <c r="S75" s="331" t="str">
        <f>IF(D75="","",IF(OR(D75=Plano!$A$1,D75=Plano!$B$1),"entrada","saída"))</f>
        <v>saída</v>
      </c>
      <c r="T75" s="332" t="s">
        <v>1059</v>
      </c>
      <c r="U75" s="332">
        <v>1137</v>
      </c>
      <c r="V75" s="333"/>
    </row>
    <row r="76" spans="1:22" ht="117" customHeight="1" x14ac:dyDescent="0.2">
      <c r="A76" s="277">
        <f>IF(B76="","",COUNT('Diário 5º PA'!$A$5:$A$2634)+ROW()-4)</f>
        <v>1383</v>
      </c>
      <c r="B76" s="278">
        <v>44291</v>
      </c>
      <c r="C76" s="259">
        <v>44256</v>
      </c>
      <c r="D76" s="252" t="s">
        <v>104</v>
      </c>
      <c r="E76" s="252" t="s">
        <v>104</v>
      </c>
      <c r="F76" s="257">
        <v>3840</v>
      </c>
      <c r="G76" s="252" t="s">
        <v>501</v>
      </c>
      <c r="H76" s="252" t="s">
        <v>104</v>
      </c>
      <c r="I76" s="252" t="s">
        <v>4104</v>
      </c>
      <c r="J76" s="250" t="s">
        <v>503</v>
      </c>
      <c r="K76" s="255" t="s">
        <v>1015</v>
      </c>
      <c r="L76" s="250" t="s">
        <v>1016</v>
      </c>
      <c r="M76" s="277" t="s">
        <v>1443</v>
      </c>
      <c r="N76" s="278">
        <v>44291</v>
      </c>
      <c r="O76" s="329" t="s">
        <v>71</v>
      </c>
      <c r="P76" s="330">
        <f t="shared" ref="P76:Q76" si="72">IF(B76=0,0,IF(YEAR(B76)=$Q$1,MONTH(B76)-$P$1+1,(YEAR(B76)-$Q$1)*12-$P$1+1+MONTH(B76)))</f>
        <v>4</v>
      </c>
      <c r="Q76" s="330">
        <f t="shared" si="72"/>
        <v>3</v>
      </c>
      <c r="R76" s="331" t="str">
        <f t="shared" si="1"/>
        <v>Gastos_custeados_por_captação</v>
      </c>
      <c r="S76" s="331" t="str">
        <f>IF(D76="","",IF(OR(D76=Plano!$A$1,D76=Plano!$B$1),"entrada","saída"))</f>
        <v>saída</v>
      </c>
      <c r="T76" s="332" t="s">
        <v>1059</v>
      </c>
      <c r="U76" s="332">
        <v>1136</v>
      </c>
      <c r="V76" s="333"/>
    </row>
    <row r="77" spans="1:22" ht="114.75" customHeight="1" x14ac:dyDescent="0.2">
      <c r="A77" s="277">
        <f>IF(B77="","",COUNT('Diário 5º PA'!$A$5:$A$2634)+ROW()-4)</f>
        <v>1384</v>
      </c>
      <c r="B77" s="278">
        <v>44291</v>
      </c>
      <c r="C77" s="259">
        <v>44256</v>
      </c>
      <c r="D77" s="252" t="s">
        <v>104</v>
      </c>
      <c r="E77" s="252" t="s">
        <v>104</v>
      </c>
      <c r="F77" s="257">
        <v>3840</v>
      </c>
      <c r="G77" s="252" t="s">
        <v>504</v>
      </c>
      <c r="H77" s="252" t="s">
        <v>104</v>
      </c>
      <c r="I77" s="252" t="s">
        <v>2814</v>
      </c>
      <c r="J77" s="250" t="s">
        <v>506</v>
      </c>
      <c r="K77" s="255" t="s">
        <v>1015</v>
      </c>
      <c r="L77" s="250" t="s">
        <v>1016</v>
      </c>
      <c r="M77" s="277" t="s">
        <v>1443</v>
      </c>
      <c r="N77" s="278">
        <v>44291</v>
      </c>
      <c r="O77" s="329" t="s">
        <v>71</v>
      </c>
      <c r="P77" s="330">
        <f t="shared" ref="P77:Q77" si="73">IF(B77=0,0,IF(YEAR(B77)=$Q$1,MONTH(B77)-$P$1+1,(YEAR(B77)-$Q$1)*12-$P$1+1+MONTH(B77)))</f>
        <v>4</v>
      </c>
      <c r="Q77" s="330">
        <f t="shared" si="73"/>
        <v>3</v>
      </c>
      <c r="R77" s="331" t="str">
        <f t="shared" si="1"/>
        <v>Gastos_custeados_por_captação</v>
      </c>
      <c r="S77" s="331" t="str">
        <f>IF(D77="","",IF(OR(D77=Plano!$A$1,D77=Plano!$B$1),"entrada","saída"))</f>
        <v>saída</v>
      </c>
      <c r="T77" s="332" t="s">
        <v>1059</v>
      </c>
      <c r="U77" s="332">
        <v>1135</v>
      </c>
      <c r="V77" s="333"/>
    </row>
    <row r="78" spans="1:22" ht="118.5" customHeight="1" x14ac:dyDescent="0.2">
      <c r="A78" s="277">
        <f>IF(B78="","",COUNT('Diário 5º PA'!$A$5:$A$2634)+ROW()-4)</f>
        <v>1385</v>
      </c>
      <c r="B78" s="278">
        <v>44291</v>
      </c>
      <c r="C78" s="259">
        <v>44256</v>
      </c>
      <c r="D78" s="252" t="s">
        <v>104</v>
      </c>
      <c r="E78" s="252" t="s">
        <v>104</v>
      </c>
      <c r="F78" s="257">
        <v>2000</v>
      </c>
      <c r="G78" s="252" t="s">
        <v>510</v>
      </c>
      <c r="H78" s="252" t="s">
        <v>104</v>
      </c>
      <c r="I78" s="252" t="s">
        <v>4105</v>
      </c>
      <c r="J78" s="250" t="s">
        <v>512</v>
      </c>
      <c r="K78" s="255" t="s">
        <v>1015</v>
      </c>
      <c r="L78" s="250" t="s">
        <v>1016</v>
      </c>
      <c r="M78" s="277" t="s">
        <v>1443</v>
      </c>
      <c r="N78" s="278">
        <v>44291</v>
      </c>
      <c r="O78" s="329" t="s">
        <v>71</v>
      </c>
      <c r="P78" s="330">
        <f t="shared" ref="P78:Q78" si="74">IF(B78=0,0,IF(YEAR(B78)=$Q$1,MONTH(B78)-$P$1+1,(YEAR(B78)-$Q$1)*12-$P$1+1+MONTH(B78)))</f>
        <v>4</v>
      </c>
      <c r="Q78" s="330">
        <f t="shared" si="74"/>
        <v>3</v>
      </c>
      <c r="R78" s="331" t="str">
        <f t="shared" si="1"/>
        <v>Gastos_custeados_por_captação</v>
      </c>
      <c r="S78" s="331" t="str">
        <f>IF(D78="","",IF(OR(D78=Plano!$A$1,D78=Plano!$B$1),"entrada","saída"))</f>
        <v>saída</v>
      </c>
      <c r="T78" s="332" t="s">
        <v>1059</v>
      </c>
      <c r="U78" s="332">
        <v>1235</v>
      </c>
      <c r="V78" s="333"/>
    </row>
    <row r="79" spans="1:22" ht="54.75" customHeight="1" x14ac:dyDescent="0.2">
      <c r="A79" s="277">
        <f>IF(B79="","",COUNT('Diário 5º PA'!$A$5:$A$2634)+ROW()-4)</f>
        <v>1386</v>
      </c>
      <c r="B79" s="278">
        <v>44292</v>
      </c>
      <c r="C79" s="256">
        <v>44228</v>
      </c>
      <c r="D79" s="255" t="s">
        <v>77</v>
      </c>
      <c r="E79" s="255" t="s">
        <v>79</v>
      </c>
      <c r="F79" s="258">
        <v>1657482.23</v>
      </c>
      <c r="G79" s="255" t="s">
        <v>4106</v>
      </c>
      <c r="H79" s="255" t="s">
        <v>114</v>
      </c>
      <c r="I79" s="250" t="s">
        <v>983</v>
      </c>
      <c r="J79" s="255" t="s">
        <v>850</v>
      </c>
      <c r="K79" s="255" t="s">
        <v>946</v>
      </c>
      <c r="L79" s="250" t="s">
        <v>947</v>
      </c>
      <c r="M79" s="277" t="s">
        <v>114</v>
      </c>
      <c r="N79" s="278">
        <v>44292</v>
      </c>
      <c r="O79" s="329" t="s">
        <v>67</v>
      </c>
      <c r="P79" s="330">
        <f t="shared" ref="P79:Q79" si="75">IF(B79=0,0,IF(YEAR(B79)=$Q$1,MONTH(B79)-$P$1+1,(YEAR(B79)-$Q$1)*12-$P$1+1+MONTH(B79)))</f>
        <v>4</v>
      </c>
      <c r="Q79" s="330">
        <f t="shared" si="75"/>
        <v>2</v>
      </c>
      <c r="R79" s="331" t="str">
        <f t="shared" si="1"/>
        <v>Receitas</v>
      </c>
      <c r="S79" s="331" t="str">
        <f>IF(D79="","",IF(OR(D79=Plano!$A$1,D79=Plano!$B$1),"entrada","saída"))</f>
        <v>entrada</v>
      </c>
      <c r="T79" s="332" t="s">
        <v>114</v>
      </c>
      <c r="U79" s="332" t="s">
        <v>114</v>
      </c>
      <c r="V79" s="333"/>
    </row>
    <row r="80" spans="1:22" ht="125.25" customHeight="1" x14ac:dyDescent="0.2">
      <c r="A80" s="277">
        <f>IF(B80="","",COUNT('Diário 5º PA'!$A$5:$A$2634)+ROW()-4)</f>
        <v>1387</v>
      </c>
      <c r="B80" s="278">
        <v>44292</v>
      </c>
      <c r="C80" s="259">
        <v>44256</v>
      </c>
      <c r="D80" s="252" t="s">
        <v>99</v>
      </c>
      <c r="E80" s="252" t="s">
        <v>364</v>
      </c>
      <c r="F80" s="257">
        <v>1600</v>
      </c>
      <c r="G80" s="252" t="s">
        <v>4107</v>
      </c>
      <c r="H80" s="252" t="s">
        <v>118</v>
      </c>
      <c r="I80" s="252" t="s">
        <v>4108</v>
      </c>
      <c r="J80" s="250" t="s">
        <v>833</v>
      </c>
      <c r="K80" s="255" t="s">
        <v>1015</v>
      </c>
      <c r="L80" s="250" t="s">
        <v>1016</v>
      </c>
      <c r="M80" s="277">
        <v>231</v>
      </c>
      <c r="N80" s="278">
        <v>44292</v>
      </c>
      <c r="O80" s="329" t="s">
        <v>67</v>
      </c>
      <c r="P80" s="330">
        <f t="shared" ref="P80:Q80" si="76">IF(B80=0,0,IF(YEAR(B80)=$Q$1,MONTH(B80)-$P$1+1,(YEAR(B80)-$Q$1)*12-$P$1+1+MONTH(B80)))</f>
        <v>4</v>
      </c>
      <c r="Q80" s="330">
        <f t="shared" si="76"/>
        <v>3</v>
      </c>
      <c r="R80" s="331" t="str">
        <f t="shared" si="1"/>
        <v>Gastos_Gerais</v>
      </c>
      <c r="S80" s="331" t="str">
        <f>IF(D80="","",IF(OR(D80=Plano!$A$1,D80=Plano!$B$1),"entrada","saída"))</f>
        <v>saída</v>
      </c>
      <c r="T80" s="332" t="s">
        <v>994</v>
      </c>
      <c r="U80" s="332">
        <v>1445</v>
      </c>
      <c r="V80" s="333"/>
    </row>
    <row r="81" spans="1:22" ht="72" customHeight="1" x14ac:dyDescent="0.2">
      <c r="A81" s="277">
        <f>IF(B81="","",COUNT('Diário 5º PA'!$A$5:$A$2634)+ROW()-4)</f>
        <v>1388</v>
      </c>
      <c r="B81" s="278">
        <v>44292</v>
      </c>
      <c r="C81" s="259">
        <v>44287</v>
      </c>
      <c r="D81" s="252" t="s">
        <v>99</v>
      </c>
      <c r="E81" s="252" t="s">
        <v>290</v>
      </c>
      <c r="F81" s="257">
        <v>62.98</v>
      </c>
      <c r="G81" s="252" t="s">
        <v>4109</v>
      </c>
      <c r="H81" s="252" t="s">
        <v>115</v>
      </c>
      <c r="I81" s="252" t="s">
        <v>4110</v>
      </c>
      <c r="J81" s="250" t="s">
        <v>924</v>
      </c>
      <c r="K81" s="255" t="s">
        <v>1015</v>
      </c>
      <c r="L81" s="250" t="s">
        <v>1016</v>
      </c>
      <c r="M81" s="277" t="s">
        <v>4111</v>
      </c>
      <c r="N81" s="278">
        <v>44288</v>
      </c>
      <c r="O81" s="329" t="s">
        <v>67</v>
      </c>
      <c r="P81" s="330">
        <f t="shared" ref="P81:Q81" si="77">IF(B81=0,0,IF(YEAR(B81)=$Q$1,MONTH(B81)-$P$1+1,(YEAR(B81)-$Q$1)*12-$P$1+1+MONTH(B81)))</f>
        <v>4</v>
      </c>
      <c r="Q81" s="330">
        <f t="shared" si="77"/>
        <v>4</v>
      </c>
      <c r="R81" s="331" t="str">
        <f t="shared" si="1"/>
        <v>Gastos_Gerais</v>
      </c>
      <c r="S81" s="331" t="str">
        <f>IF(D81="","",IF(OR(D81=Plano!$A$1,D81=Plano!$B$1),"entrada","saída"))</f>
        <v>saída</v>
      </c>
      <c r="T81" s="332" t="s">
        <v>994</v>
      </c>
      <c r="U81" s="332">
        <v>1500</v>
      </c>
      <c r="V81" s="333"/>
    </row>
    <row r="82" spans="1:22" ht="219" customHeight="1" x14ac:dyDescent="0.2">
      <c r="A82" s="277">
        <f>IF(B82="","",COUNT('Diário 5º PA'!$A$5:$A$2634)+ROW()-4)</f>
        <v>1389</v>
      </c>
      <c r="B82" s="278">
        <v>44292</v>
      </c>
      <c r="C82" s="259">
        <v>44166</v>
      </c>
      <c r="D82" s="252" t="s">
        <v>99</v>
      </c>
      <c r="E82" s="252" t="s">
        <v>232</v>
      </c>
      <c r="F82" s="257">
        <v>19971.28</v>
      </c>
      <c r="G82" s="252" t="s">
        <v>4112</v>
      </c>
      <c r="H82" s="252" t="s">
        <v>115</v>
      </c>
      <c r="I82" s="252" t="s">
        <v>4113</v>
      </c>
      <c r="J82" s="250" t="s">
        <v>4114</v>
      </c>
      <c r="K82" s="255" t="s">
        <v>991</v>
      </c>
      <c r="L82" s="250" t="s">
        <v>1016</v>
      </c>
      <c r="M82" s="277" t="s">
        <v>1061</v>
      </c>
      <c r="N82" s="278">
        <v>44287</v>
      </c>
      <c r="O82" s="329" t="s">
        <v>67</v>
      </c>
      <c r="P82" s="330">
        <f t="shared" ref="P82:Q82" si="78">IF(B82=0,0,IF(YEAR(B82)=$Q$1,MONTH(B82)-$P$1+1,(YEAR(B82)-$Q$1)*12-$P$1+1+MONTH(B82)))</f>
        <v>4</v>
      </c>
      <c r="Q82" s="330">
        <f t="shared" si="78"/>
        <v>0</v>
      </c>
      <c r="R82" s="331" t="str">
        <f t="shared" si="1"/>
        <v>Gastos_Gerais</v>
      </c>
      <c r="S82" s="331" t="str">
        <f>IF(D82="","",IF(OR(D82=Plano!$A$1,D82=Plano!$B$1),"entrada","saída"))</f>
        <v>saída</v>
      </c>
      <c r="T82" s="332" t="s">
        <v>994</v>
      </c>
      <c r="U82" s="332">
        <v>670</v>
      </c>
      <c r="V82" s="333"/>
    </row>
    <row r="83" spans="1:22" ht="45" customHeight="1" x14ac:dyDescent="0.2">
      <c r="A83" s="277">
        <f>IF(B83="","",COUNT('Diário 5º PA'!$A$5:$A$2634)+ROW()-4)</f>
        <v>1390</v>
      </c>
      <c r="B83" s="278">
        <v>44292</v>
      </c>
      <c r="C83" s="249">
        <v>44287</v>
      </c>
      <c r="D83" s="255" t="s">
        <v>99</v>
      </c>
      <c r="E83" s="255" t="s">
        <v>272</v>
      </c>
      <c r="F83" s="258">
        <v>10.45</v>
      </c>
      <c r="G83" s="255" t="s">
        <v>4115</v>
      </c>
      <c r="H83" s="252" t="s">
        <v>118</v>
      </c>
      <c r="I83" s="250" t="s">
        <v>949</v>
      </c>
      <c r="J83" s="255" t="s">
        <v>950</v>
      </c>
      <c r="K83" s="255" t="s">
        <v>951</v>
      </c>
      <c r="L83" s="250" t="s">
        <v>947</v>
      </c>
      <c r="M83" s="336" t="s">
        <v>114</v>
      </c>
      <c r="N83" s="278">
        <v>44292</v>
      </c>
      <c r="O83" s="329" t="s">
        <v>67</v>
      </c>
      <c r="P83" s="330">
        <f t="shared" ref="P83:Q83" si="79">IF(B83=0,0,IF(YEAR(B83)=$Q$1,MONTH(B83)-$P$1+1,(YEAR(B83)-$Q$1)*12-$P$1+1+MONTH(B83)))</f>
        <v>4</v>
      </c>
      <c r="Q83" s="330">
        <f t="shared" si="79"/>
        <v>4</v>
      </c>
      <c r="R83" s="331" t="str">
        <f t="shared" si="1"/>
        <v>Gastos_Gerais</v>
      </c>
      <c r="S83" s="331" t="str">
        <f>IF(D83="","",IF(OR(D83=Plano!$A$1,D83=Plano!$B$1),"entrada","saída"))</f>
        <v>saída</v>
      </c>
      <c r="T83" s="332" t="s">
        <v>114</v>
      </c>
      <c r="U83" s="332" t="s">
        <v>114</v>
      </c>
      <c r="V83" s="333"/>
    </row>
    <row r="84" spans="1:22" ht="53.25" customHeight="1" x14ac:dyDescent="0.2">
      <c r="A84" s="277">
        <f>IF(B84="","",COUNT('Diário 5º PA'!$A$5:$A$2634)+ROW()-4)</f>
        <v>1391</v>
      </c>
      <c r="B84" s="278">
        <v>44292</v>
      </c>
      <c r="C84" s="249">
        <v>44287</v>
      </c>
      <c r="D84" s="255" t="s">
        <v>99</v>
      </c>
      <c r="E84" s="255" t="s">
        <v>272</v>
      </c>
      <c r="F84" s="258">
        <v>10.45</v>
      </c>
      <c r="G84" s="255" t="s">
        <v>4116</v>
      </c>
      <c r="H84" s="252" t="s">
        <v>115</v>
      </c>
      <c r="I84" s="250" t="s">
        <v>949</v>
      </c>
      <c r="J84" s="255" t="s">
        <v>950</v>
      </c>
      <c r="K84" s="255" t="s">
        <v>951</v>
      </c>
      <c r="L84" s="250" t="s">
        <v>947</v>
      </c>
      <c r="M84" s="336" t="s">
        <v>114</v>
      </c>
      <c r="N84" s="278">
        <v>44292</v>
      </c>
      <c r="O84" s="329" t="s">
        <v>67</v>
      </c>
      <c r="P84" s="330">
        <f t="shared" ref="P84:Q84" si="80">IF(B84=0,0,IF(YEAR(B84)=$Q$1,MONTH(B84)-$P$1+1,(YEAR(B84)-$Q$1)*12-$P$1+1+MONTH(B84)))</f>
        <v>4</v>
      </c>
      <c r="Q84" s="330">
        <f t="shared" si="80"/>
        <v>4</v>
      </c>
      <c r="R84" s="331" t="str">
        <f t="shared" si="1"/>
        <v>Gastos_Gerais</v>
      </c>
      <c r="S84" s="331" t="str">
        <f>IF(D84="","",IF(OR(D84=Plano!$A$1,D84=Plano!$B$1),"entrada","saída"))</f>
        <v>saída</v>
      </c>
      <c r="T84" s="332" t="s">
        <v>114</v>
      </c>
      <c r="U84" s="332" t="s">
        <v>114</v>
      </c>
      <c r="V84" s="333"/>
    </row>
    <row r="85" spans="1:22" ht="42" customHeight="1" x14ac:dyDescent="0.2">
      <c r="A85" s="277">
        <f>IF(B85="","",COUNT('Diário 5º PA'!$A$5:$A$2634)+ROW()-4)</f>
        <v>1392</v>
      </c>
      <c r="B85" s="278">
        <v>44292</v>
      </c>
      <c r="C85" s="249">
        <v>44287</v>
      </c>
      <c r="D85" s="255" t="s">
        <v>99</v>
      </c>
      <c r="E85" s="255" t="s">
        <v>272</v>
      </c>
      <c r="F85" s="258">
        <v>153</v>
      </c>
      <c r="G85" s="255" t="s">
        <v>1157</v>
      </c>
      <c r="H85" s="255" t="s">
        <v>115</v>
      </c>
      <c r="I85" s="250" t="s">
        <v>949</v>
      </c>
      <c r="J85" s="255" t="s">
        <v>950</v>
      </c>
      <c r="K85" s="255" t="s">
        <v>951</v>
      </c>
      <c r="L85" s="250" t="s">
        <v>947</v>
      </c>
      <c r="M85" s="336" t="s">
        <v>114</v>
      </c>
      <c r="N85" s="278">
        <v>44292</v>
      </c>
      <c r="O85" s="329" t="s">
        <v>67</v>
      </c>
      <c r="P85" s="330">
        <f t="shared" ref="P85:Q85" si="81">IF(B85=0,0,IF(YEAR(B85)=$Q$1,MONTH(B85)-$P$1+1,(YEAR(B85)-$Q$1)*12-$P$1+1+MONTH(B85)))</f>
        <v>4</v>
      </c>
      <c r="Q85" s="330">
        <f t="shared" si="81"/>
        <v>4</v>
      </c>
      <c r="R85" s="331" t="str">
        <f t="shared" si="1"/>
        <v>Gastos_Gerais</v>
      </c>
      <c r="S85" s="331" t="str">
        <f>IF(D85="","",IF(OR(D85=Plano!$A$1,D85=Plano!$B$1),"entrada","saída"))</f>
        <v>saída</v>
      </c>
      <c r="T85" s="332" t="s">
        <v>114</v>
      </c>
      <c r="U85" s="332" t="s">
        <v>114</v>
      </c>
      <c r="V85" s="333"/>
    </row>
    <row r="86" spans="1:22" ht="138" customHeight="1" x14ac:dyDescent="0.2">
      <c r="A86" s="277">
        <f>IF(B86="","",COUNT('Diário 5º PA'!$A$5:$A$2634)+ROW()-4)</f>
        <v>1393</v>
      </c>
      <c r="B86" s="278">
        <v>44292</v>
      </c>
      <c r="C86" s="259">
        <v>44256</v>
      </c>
      <c r="D86" s="252" t="s">
        <v>104</v>
      </c>
      <c r="E86" s="252" t="s">
        <v>104</v>
      </c>
      <c r="F86" s="257">
        <v>2300</v>
      </c>
      <c r="G86" s="252" t="s">
        <v>3707</v>
      </c>
      <c r="H86" s="252" t="s">
        <v>104</v>
      </c>
      <c r="I86" s="252" t="s">
        <v>3708</v>
      </c>
      <c r="J86" s="250" t="s">
        <v>2488</v>
      </c>
      <c r="K86" s="255" t="s">
        <v>1015</v>
      </c>
      <c r="L86" s="250" t="s">
        <v>1016</v>
      </c>
      <c r="M86" s="277">
        <v>16</v>
      </c>
      <c r="N86" s="278">
        <v>44291</v>
      </c>
      <c r="O86" s="329" t="s">
        <v>68</v>
      </c>
      <c r="P86" s="330">
        <f t="shared" ref="P86:Q86" si="82">IF(B86=0,0,IF(YEAR(B86)=$Q$1,MONTH(B86)-$P$1+1,(YEAR(B86)-$Q$1)*12-$P$1+1+MONTH(B86)))</f>
        <v>4</v>
      </c>
      <c r="Q86" s="330">
        <f t="shared" si="82"/>
        <v>3</v>
      </c>
      <c r="R86" s="331" t="str">
        <f t="shared" si="1"/>
        <v>Gastos_custeados_por_captação</v>
      </c>
      <c r="S86" s="331" t="str">
        <f>IF(D86="","",IF(OR(D86=Plano!$A$1,D86=Plano!$B$1),"entrada","saída"))</f>
        <v>saída</v>
      </c>
      <c r="T86" s="332" t="s">
        <v>994</v>
      </c>
      <c r="U86" s="332">
        <v>1223</v>
      </c>
      <c r="V86" s="333"/>
    </row>
    <row r="87" spans="1:22" ht="186" customHeight="1" x14ac:dyDescent="0.2">
      <c r="A87" s="277">
        <f>IF(B87="","",COUNT('Diário 5º PA'!$A$5:$A$2634)+ROW()-4)</f>
        <v>1394</v>
      </c>
      <c r="B87" s="278">
        <v>44292</v>
      </c>
      <c r="C87" s="259">
        <v>44256</v>
      </c>
      <c r="D87" s="252" t="s">
        <v>104</v>
      </c>
      <c r="E87" s="252" t="s">
        <v>104</v>
      </c>
      <c r="F87" s="257">
        <v>2300</v>
      </c>
      <c r="G87" s="252" t="s">
        <v>3715</v>
      </c>
      <c r="H87" s="252" t="s">
        <v>104</v>
      </c>
      <c r="I87" s="252" t="s">
        <v>1638</v>
      </c>
      <c r="J87" s="250" t="s">
        <v>2889</v>
      </c>
      <c r="K87" s="255" t="s">
        <v>1015</v>
      </c>
      <c r="L87" s="250" t="s">
        <v>1016</v>
      </c>
      <c r="M87" s="277" t="s">
        <v>1148</v>
      </c>
      <c r="N87" s="278">
        <v>44291</v>
      </c>
      <c r="O87" s="329" t="s">
        <v>68</v>
      </c>
      <c r="P87" s="330">
        <f t="shared" ref="P87:Q87" si="83">IF(B87=0,0,IF(YEAR(B87)=$Q$1,MONTH(B87)-$P$1+1,(YEAR(B87)-$Q$1)*12-$P$1+1+MONTH(B87)))</f>
        <v>4</v>
      </c>
      <c r="Q87" s="330">
        <f t="shared" si="83"/>
        <v>3</v>
      </c>
      <c r="R87" s="331" t="str">
        <f t="shared" si="1"/>
        <v>Gastos_custeados_por_captação</v>
      </c>
      <c r="S87" s="331" t="str">
        <f>IF(D87="","",IF(OR(D87=Plano!$A$1,D87=Plano!$B$1),"entrada","saída"))</f>
        <v>saída</v>
      </c>
      <c r="T87" s="332" t="s">
        <v>994</v>
      </c>
      <c r="U87" s="332">
        <v>1198</v>
      </c>
      <c r="V87" s="333"/>
    </row>
    <row r="88" spans="1:22" ht="90" customHeight="1" x14ac:dyDescent="0.2">
      <c r="A88" s="277">
        <f>IF(B88="","",COUNT('Diário 5º PA'!$A$5:$A$2634)+ROW()-4)</f>
        <v>1395</v>
      </c>
      <c r="B88" s="278">
        <v>44292</v>
      </c>
      <c r="C88" s="259">
        <v>44256</v>
      </c>
      <c r="D88" s="252" t="s">
        <v>104</v>
      </c>
      <c r="E88" s="252" t="s">
        <v>104</v>
      </c>
      <c r="F88" s="257">
        <v>19404</v>
      </c>
      <c r="G88" s="252" t="s">
        <v>3709</v>
      </c>
      <c r="H88" s="252" t="s">
        <v>104</v>
      </c>
      <c r="I88" s="252" t="s">
        <v>4117</v>
      </c>
      <c r="J88" s="250" t="s">
        <v>929</v>
      </c>
      <c r="K88" s="255" t="s">
        <v>1015</v>
      </c>
      <c r="L88" s="250" t="s">
        <v>1016</v>
      </c>
      <c r="M88" s="277">
        <v>175</v>
      </c>
      <c r="N88" s="278">
        <v>44291</v>
      </c>
      <c r="O88" s="329" t="s">
        <v>68</v>
      </c>
      <c r="P88" s="330">
        <f t="shared" ref="P88:Q88" si="84">IF(B88=0,0,IF(YEAR(B88)=$Q$1,MONTH(B88)-$P$1+1,(YEAR(B88)-$Q$1)*12-$P$1+1+MONTH(B88)))</f>
        <v>4</v>
      </c>
      <c r="Q88" s="330">
        <f t="shared" si="84"/>
        <v>3</v>
      </c>
      <c r="R88" s="331" t="str">
        <f t="shared" si="1"/>
        <v>Gastos_custeados_por_captação</v>
      </c>
      <c r="S88" s="331" t="str">
        <f>IF(D88="","",IF(OR(D88=Plano!$A$1,D88=Plano!$B$1),"entrada","saída"))</f>
        <v>saída</v>
      </c>
      <c r="T88" s="332" t="s">
        <v>994</v>
      </c>
      <c r="U88" s="332">
        <v>1232</v>
      </c>
      <c r="V88" s="333"/>
    </row>
    <row r="89" spans="1:22" ht="194.25" customHeight="1" x14ac:dyDescent="0.2">
      <c r="A89" s="277">
        <f>IF(B89="","",COUNT('Diário 5º PA'!$A$5:$A$2634)+ROW()-4)</f>
        <v>1396</v>
      </c>
      <c r="B89" s="278">
        <v>44292</v>
      </c>
      <c r="C89" s="259">
        <v>44256</v>
      </c>
      <c r="D89" s="252" t="s">
        <v>104</v>
      </c>
      <c r="E89" s="252" t="s">
        <v>104</v>
      </c>
      <c r="F89" s="257">
        <v>2300</v>
      </c>
      <c r="G89" s="252" t="s">
        <v>3874</v>
      </c>
      <c r="H89" s="252" t="s">
        <v>104</v>
      </c>
      <c r="I89" s="252" t="s">
        <v>1637</v>
      </c>
      <c r="J89" s="250" t="s">
        <v>1048</v>
      </c>
      <c r="K89" s="255" t="s">
        <v>1015</v>
      </c>
      <c r="L89" s="250" t="s">
        <v>1016</v>
      </c>
      <c r="M89" s="277" t="s">
        <v>1148</v>
      </c>
      <c r="N89" s="278">
        <v>44291</v>
      </c>
      <c r="O89" s="329" t="s">
        <v>68</v>
      </c>
      <c r="P89" s="330">
        <f t="shared" ref="P89:Q89" si="85">IF(B89=0,0,IF(YEAR(B89)=$Q$1,MONTH(B89)-$P$1+1,(YEAR(B89)-$Q$1)*12-$P$1+1+MONTH(B89)))</f>
        <v>4</v>
      </c>
      <c r="Q89" s="330">
        <f t="shared" si="85"/>
        <v>3</v>
      </c>
      <c r="R89" s="331" t="str">
        <f t="shared" si="1"/>
        <v>Gastos_custeados_por_captação</v>
      </c>
      <c r="S89" s="331" t="str">
        <f>IF(D89="","",IF(OR(D89=Plano!$A$1,D89=Plano!$B$1),"entrada","saída"))</f>
        <v>saída</v>
      </c>
      <c r="T89" s="332" t="s">
        <v>994</v>
      </c>
      <c r="U89" s="332">
        <v>1193</v>
      </c>
      <c r="V89" s="333"/>
    </row>
    <row r="90" spans="1:22" ht="186" customHeight="1" x14ac:dyDescent="0.2">
      <c r="A90" s="277">
        <f>IF(B90="","",COUNT('Diário 5º PA'!$A$5:$A$2634)+ROW()-4)</f>
        <v>1397</v>
      </c>
      <c r="B90" s="278">
        <v>44292</v>
      </c>
      <c r="C90" s="259">
        <v>44256</v>
      </c>
      <c r="D90" s="252" t="s">
        <v>104</v>
      </c>
      <c r="E90" s="252" t="s">
        <v>104</v>
      </c>
      <c r="F90" s="257">
        <v>2300</v>
      </c>
      <c r="G90" s="252" t="s">
        <v>4118</v>
      </c>
      <c r="H90" s="252" t="s">
        <v>104</v>
      </c>
      <c r="I90" s="252" t="s">
        <v>4119</v>
      </c>
      <c r="J90" s="250" t="s">
        <v>2496</v>
      </c>
      <c r="K90" s="255" t="s">
        <v>1015</v>
      </c>
      <c r="L90" s="250" t="s">
        <v>1016</v>
      </c>
      <c r="M90" s="277">
        <v>61</v>
      </c>
      <c r="N90" s="278">
        <v>44291</v>
      </c>
      <c r="O90" s="329" t="s">
        <v>68</v>
      </c>
      <c r="P90" s="330">
        <f t="shared" ref="P90:Q90" si="86">IF(B90=0,0,IF(YEAR(B90)=$Q$1,MONTH(B90)-$P$1+1,(YEAR(B90)-$Q$1)*12-$P$1+1+MONTH(B90)))</f>
        <v>4</v>
      </c>
      <c r="Q90" s="330">
        <f t="shared" si="86"/>
        <v>3</v>
      </c>
      <c r="R90" s="331" t="str">
        <f t="shared" si="1"/>
        <v>Gastos_custeados_por_captação</v>
      </c>
      <c r="S90" s="331" t="str">
        <f>IF(D90="","",IF(OR(D90=Plano!$A$1,D90=Plano!$B$1),"entrada","saída"))</f>
        <v>saída</v>
      </c>
      <c r="T90" s="332" t="s">
        <v>994</v>
      </c>
      <c r="U90" s="332">
        <v>1215</v>
      </c>
      <c r="V90" s="333"/>
    </row>
    <row r="91" spans="1:22" ht="199.5" customHeight="1" x14ac:dyDescent="0.2">
      <c r="A91" s="277">
        <f>IF(B91="","",COUNT('Diário 5º PA'!$A$5:$A$2634)+ROW()-4)</f>
        <v>1398</v>
      </c>
      <c r="B91" s="278">
        <v>44292</v>
      </c>
      <c r="C91" s="259">
        <v>44256</v>
      </c>
      <c r="D91" s="252" t="s">
        <v>104</v>
      </c>
      <c r="E91" s="252" t="s">
        <v>104</v>
      </c>
      <c r="F91" s="257">
        <v>2300</v>
      </c>
      <c r="G91" s="252" t="s">
        <v>3683</v>
      </c>
      <c r="H91" s="252" t="s">
        <v>104</v>
      </c>
      <c r="I91" s="252" t="s">
        <v>1625</v>
      </c>
      <c r="J91" s="250" t="s">
        <v>2613</v>
      </c>
      <c r="K91" s="255" t="s">
        <v>1015</v>
      </c>
      <c r="L91" s="250" t="s">
        <v>1016</v>
      </c>
      <c r="M91" s="277">
        <v>21</v>
      </c>
      <c r="N91" s="278">
        <v>44291</v>
      </c>
      <c r="O91" s="329" t="s">
        <v>68</v>
      </c>
      <c r="P91" s="330">
        <f t="shared" ref="P91:Q91" si="87">IF(B91=0,0,IF(YEAR(B91)=$Q$1,MONTH(B91)-$P$1+1,(YEAR(B91)-$Q$1)*12-$P$1+1+MONTH(B91)))</f>
        <v>4</v>
      </c>
      <c r="Q91" s="330">
        <f t="shared" si="87"/>
        <v>3</v>
      </c>
      <c r="R91" s="331" t="str">
        <f t="shared" si="1"/>
        <v>Gastos_custeados_por_captação</v>
      </c>
      <c r="S91" s="331" t="str">
        <f>IF(D91="","",IF(OR(D91=Plano!$A$1,D91=Plano!$B$1),"entrada","saída"))</f>
        <v>saída</v>
      </c>
      <c r="T91" s="332" t="s">
        <v>994</v>
      </c>
      <c r="U91" s="332">
        <v>1196</v>
      </c>
      <c r="V91" s="333"/>
    </row>
    <row r="92" spans="1:22" ht="184.5" customHeight="1" x14ac:dyDescent="0.2">
      <c r="A92" s="277">
        <f>IF(B92="","",COUNT('Diário 5º PA'!$A$5:$A$2634)+ROW()-4)</f>
        <v>1399</v>
      </c>
      <c r="B92" s="278">
        <v>44292</v>
      </c>
      <c r="C92" s="259">
        <v>44256</v>
      </c>
      <c r="D92" s="252" t="s">
        <v>104</v>
      </c>
      <c r="E92" s="252" t="s">
        <v>104</v>
      </c>
      <c r="F92" s="257">
        <v>2300</v>
      </c>
      <c r="G92" s="252" t="s">
        <v>3679</v>
      </c>
      <c r="H92" s="252" t="s">
        <v>104</v>
      </c>
      <c r="I92" s="252" t="s">
        <v>4120</v>
      </c>
      <c r="J92" s="250" t="s">
        <v>2619</v>
      </c>
      <c r="K92" s="255" t="s">
        <v>1015</v>
      </c>
      <c r="L92" s="250" t="s">
        <v>1016</v>
      </c>
      <c r="M92" s="277">
        <v>61</v>
      </c>
      <c r="N92" s="278">
        <v>44291</v>
      </c>
      <c r="O92" s="329" t="s">
        <v>68</v>
      </c>
      <c r="P92" s="330">
        <f t="shared" ref="P92:Q92" si="88">IF(B92=0,0,IF(YEAR(B92)=$Q$1,MONTH(B92)-$P$1+1,(YEAR(B92)-$Q$1)*12-$P$1+1+MONTH(B92)))</f>
        <v>4</v>
      </c>
      <c r="Q92" s="330">
        <f t="shared" si="88"/>
        <v>3</v>
      </c>
      <c r="R92" s="331" t="str">
        <f t="shared" si="1"/>
        <v>Gastos_custeados_por_captação</v>
      </c>
      <c r="S92" s="331" t="str">
        <f>IF(D92="","",IF(OR(D92=Plano!$A$1,D92=Plano!$B$1),"entrada","saída"))</f>
        <v>saída</v>
      </c>
      <c r="T92" s="332" t="s">
        <v>994</v>
      </c>
      <c r="U92" s="332">
        <v>1192</v>
      </c>
      <c r="V92" s="333"/>
    </row>
    <row r="93" spans="1:22" ht="114" customHeight="1" x14ac:dyDescent="0.2">
      <c r="A93" s="277">
        <f>IF(B93="","",COUNT('Diário 5º PA'!$A$5:$A$2634)+ROW()-4)</f>
        <v>1400</v>
      </c>
      <c r="B93" s="278">
        <v>44292</v>
      </c>
      <c r="C93" s="259">
        <v>44256</v>
      </c>
      <c r="D93" s="252" t="s">
        <v>104</v>
      </c>
      <c r="E93" s="252" t="s">
        <v>104</v>
      </c>
      <c r="F93" s="257">
        <v>2300</v>
      </c>
      <c r="G93" s="252" t="s">
        <v>3680</v>
      </c>
      <c r="H93" s="252" t="s">
        <v>104</v>
      </c>
      <c r="I93" s="252" t="s">
        <v>3681</v>
      </c>
      <c r="J93" s="250" t="s">
        <v>3682</v>
      </c>
      <c r="K93" s="255" t="s">
        <v>1015</v>
      </c>
      <c r="L93" s="250" t="s">
        <v>1016</v>
      </c>
      <c r="M93" s="277">
        <v>26</v>
      </c>
      <c r="N93" s="278">
        <v>44291</v>
      </c>
      <c r="O93" s="329" t="s">
        <v>68</v>
      </c>
      <c r="P93" s="330">
        <f t="shared" ref="P93:Q93" si="89">IF(B93=0,0,IF(YEAR(B93)=$Q$1,MONTH(B93)-$P$1+1,(YEAR(B93)-$Q$1)*12-$P$1+1+MONTH(B93)))</f>
        <v>4</v>
      </c>
      <c r="Q93" s="330">
        <f t="shared" si="89"/>
        <v>3</v>
      </c>
      <c r="R93" s="331" t="str">
        <f t="shared" si="1"/>
        <v>Gastos_custeados_por_captação</v>
      </c>
      <c r="S93" s="331" t="str">
        <f>IF(D93="","",IF(OR(D93=Plano!$A$1,D93=Plano!$B$1),"entrada","saída"))</f>
        <v>saída</v>
      </c>
      <c r="T93" s="332" t="s">
        <v>994</v>
      </c>
      <c r="U93" s="332">
        <v>1219</v>
      </c>
      <c r="V93" s="333"/>
    </row>
    <row r="94" spans="1:22" ht="199.5" customHeight="1" x14ac:dyDescent="0.2">
      <c r="A94" s="277">
        <f>IF(B94="","",COUNT('Diário 5º PA'!$A$5:$A$2634)+ROW()-4)</f>
        <v>1401</v>
      </c>
      <c r="B94" s="278">
        <v>44292</v>
      </c>
      <c r="C94" s="259">
        <v>44256</v>
      </c>
      <c r="D94" s="252" t="s">
        <v>104</v>
      </c>
      <c r="E94" s="252" t="s">
        <v>104</v>
      </c>
      <c r="F94" s="257">
        <v>2300</v>
      </c>
      <c r="G94" s="252" t="s">
        <v>3710</v>
      </c>
      <c r="H94" s="252" t="s">
        <v>104</v>
      </c>
      <c r="I94" s="252" t="s">
        <v>2642</v>
      </c>
      <c r="J94" s="250" t="s">
        <v>2643</v>
      </c>
      <c r="K94" s="255" t="s">
        <v>1015</v>
      </c>
      <c r="L94" s="250" t="s">
        <v>1016</v>
      </c>
      <c r="M94" s="277" t="s">
        <v>1148</v>
      </c>
      <c r="N94" s="278">
        <v>44291</v>
      </c>
      <c r="O94" s="329" t="s">
        <v>68</v>
      </c>
      <c r="P94" s="330">
        <f t="shared" ref="P94:Q94" si="90">IF(B94=0,0,IF(YEAR(B94)=$Q$1,MONTH(B94)-$P$1+1,(YEAR(B94)-$Q$1)*12-$P$1+1+MONTH(B94)))</f>
        <v>4</v>
      </c>
      <c r="Q94" s="330">
        <f t="shared" si="90"/>
        <v>3</v>
      </c>
      <c r="R94" s="331" t="str">
        <f t="shared" si="1"/>
        <v>Gastos_custeados_por_captação</v>
      </c>
      <c r="S94" s="331" t="str">
        <f>IF(D94="","",IF(OR(D94=Plano!$A$1,D94=Plano!$B$1),"entrada","saída"))</f>
        <v>saída</v>
      </c>
      <c r="T94" s="332" t="s">
        <v>994</v>
      </c>
      <c r="U94" s="332">
        <v>1230</v>
      </c>
      <c r="V94" s="333"/>
    </row>
    <row r="95" spans="1:22" ht="81" customHeight="1" x14ac:dyDescent="0.2">
      <c r="A95" s="277">
        <f>IF(B95="","",COUNT('Diário 5º PA'!$A$5:$A$2634)+ROW()-4)</f>
        <v>1402</v>
      </c>
      <c r="B95" s="278">
        <v>44292</v>
      </c>
      <c r="C95" s="259">
        <v>44256</v>
      </c>
      <c r="D95" s="252" t="s">
        <v>104</v>
      </c>
      <c r="E95" s="252" t="s">
        <v>104</v>
      </c>
      <c r="F95" s="257">
        <v>2300</v>
      </c>
      <c r="G95" s="252" t="s">
        <v>3680</v>
      </c>
      <c r="H95" s="252" t="s">
        <v>104</v>
      </c>
      <c r="I95" s="252" t="s">
        <v>3748</v>
      </c>
      <c r="J95" s="250" t="s">
        <v>2637</v>
      </c>
      <c r="K95" s="255" t="s">
        <v>1015</v>
      </c>
      <c r="L95" s="250" t="s">
        <v>1016</v>
      </c>
      <c r="M95" s="277" t="s">
        <v>1540</v>
      </c>
      <c r="N95" s="278">
        <v>44291</v>
      </c>
      <c r="O95" s="329" t="s">
        <v>68</v>
      </c>
      <c r="P95" s="330">
        <f t="shared" ref="P95:Q95" si="91">IF(B95=0,0,IF(YEAR(B95)=$Q$1,MONTH(B95)-$P$1+1,(YEAR(B95)-$Q$1)*12-$P$1+1+MONTH(B95)))</f>
        <v>4</v>
      </c>
      <c r="Q95" s="330">
        <f t="shared" si="91"/>
        <v>3</v>
      </c>
      <c r="R95" s="331" t="str">
        <f t="shared" si="1"/>
        <v>Gastos_custeados_por_captação</v>
      </c>
      <c r="S95" s="331" t="str">
        <f>IF(D95="","",IF(OR(D95=Plano!$A$1,D95=Plano!$B$1),"entrada","saída"))</f>
        <v>saída</v>
      </c>
      <c r="T95" s="332" t="s">
        <v>994</v>
      </c>
      <c r="U95" s="332">
        <v>1221</v>
      </c>
      <c r="V95" s="333"/>
    </row>
    <row r="96" spans="1:22" ht="200.25" customHeight="1" x14ac:dyDescent="0.2">
      <c r="A96" s="277">
        <f>IF(B96="","",COUNT('Diário 5º PA'!$A$5:$A$2634)+ROW()-4)</f>
        <v>1403</v>
      </c>
      <c r="B96" s="278">
        <v>44292</v>
      </c>
      <c r="C96" s="259">
        <v>44256</v>
      </c>
      <c r="D96" s="252" t="s">
        <v>104</v>
      </c>
      <c r="E96" s="252" t="s">
        <v>104</v>
      </c>
      <c r="F96" s="257">
        <v>2300</v>
      </c>
      <c r="G96" s="252" t="s">
        <v>3710</v>
      </c>
      <c r="H96" s="252" t="s">
        <v>104</v>
      </c>
      <c r="I96" s="252" t="s">
        <v>4121</v>
      </c>
      <c r="J96" s="250" t="s">
        <v>2673</v>
      </c>
      <c r="K96" s="255" t="s">
        <v>1015</v>
      </c>
      <c r="L96" s="250" t="s">
        <v>1016</v>
      </c>
      <c r="M96" s="277" t="s">
        <v>1148</v>
      </c>
      <c r="N96" s="278">
        <v>44291</v>
      </c>
      <c r="O96" s="329" t="s">
        <v>68</v>
      </c>
      <c r="P96" s="330">
        <f t="shared" ref="P96:Q96" si="92">IF(B96=0,0,IF(YEAR(B96)=$Q$1,MONTH(B96)-$P$1+1,(YEAR(B96)-$Q$1)*12-$P$1+1+MONTH(B96)))</f>
        <v>4</v>
      </c>
      <c r="Q96" s="330">
        <f t="shared" si="92"/>
        <v>3</v>
      </c>
      <c r="R96" s="331" t="str">
        <f t="shared" si="1"/>
        <v>Gastos_custeados_por_captação</v>
      </c>
      <c r="S96" s="331" t="str">
        <f>IF(D96="","",IF(OR(D96=Plano!$A$1,D96=Plano!$B$1),"entrada","saída"))</f>
        <v>saída</v>
      </c>
      <c r="T96" s="332" t="s">
        <v>994</v>
      </c>
      <c r="U96" s="332">
        <v>1222</v>
      </c>
      <c r="V96" s="333"/>
    </row>
    <row r="97" spans="1:22" ht="197.25" customHeight="1" x14ac:dyDescent="0.2">
      <c r="A97" s="277">
        <f>IF(B97="","",COUNT('Diário 5º PA'!$A$5:$A$2634)+ROW()-4)</f>
        <v>1404</v>
      </c>
      <c r="B97" s="278">
        <v>44292</v>
      </c>
      <c r="C97" s="259">
        <v>44256</v>
      </c>
      <c r="D97" s="252" t="s">
        <v>104</v>
      </c>
      <c r="E97" s="252" t="s">
        <v>104</v>
      </c>
      <c r="F97" s="257">
        <v>2300</v>
      </c>
      <c r="G97" s="252" t="s">
        <v>3710</v>
      </c>
      <c r="H97" s="252" t="s">
        <v>104</v>
      </c>
      <c r="I97" s="252" t="s">
        <v>4122</v>
      </c>
      <c r="J97" s="250" t="s">
        <v>2632</v>
      </c>
      <c r="K97" s="255" t="s">
        <v>1015</v>
      </c>
      <c r="L97" s="250" t="s">
        <v>1016</v>
      </c>
      <c r="M97" s="277" t="s">
        <v>1058</v>
      </c>
      <c r="N97" s="278">
        <v>44291</v>
      </c>
      <c r="O97" s="329" t="s">
        <v>68</v>
      </c>
      <c r="P97" s="330">
        <f t="shared" ref="P97:Q97" si="93">IF(B97=0,0,IF(YEAR(B97)=$Q$1,MONTH(B97)-$P$1+1,(YEAR(B97)-$Q$1)*12-$P$1+1+MONTH(B97)))</f>
        <v>4</v>
      </c>
      <c r="Q97" s="330">
        <f t="shared" si="93"/>
        <v>3</v>
      </c>
      <c r="R97" s="331" t="str">
        <f t="shared" si="1"/>
        <v>Gastos_custeados_por_captação</v>
      </c>
      <c r="S97" s="331" t="str">
        <f>IF(D97="","",IF(OR(D97=Plano!$A$1,D97=Plano!$B$1),"entrada","saída"))</f>
        <v>saída</v>
      </c>
      <c r="T97" s="332" t="s">
        <v>994</v>
      </c>
      <c r="U97" s="332">
        <v>1217</v>
      </c>
      <c r="V97" s="333"/>
    </row>
    <row r="98" spans="1:22" ht="198" customHeight="1" x14ac:dyDescent="0.2">
      <c r="A98" s="277">
        <f>IF(B98="","",COUNT('Diário 5º PA'!$A$5:$A$2634)+ROW()-4)</f>
        <v>1405</v>
      </c>
      <c r="B98" s="278">
        <v>44292</v>
      </c>
      <c r="C98" s="259">
        <v>44256</v>
      </c>
      <c r="D98" s="252" t="s">
        <v>104</v>
      </c>
      <c r="E98" s="252" t="s">
        <v>104</v>
      </c>
      <c r="F98" s="257">
        <v>2300</v>
      </c>
      <c r="G98" s="252" t="s">
        <v>3710</v>
      </c>
      <c r="H98" s="252" t="s">
        <v>104</v>
      </c>
      <c r="I98" s="252" t="s">
        <v>3723</v>
      </c>
      <c r="J98" s="250" t="s">
        <v>2634</v>
      </c>
      <c r="K98" s="255" t="s">
        <v>1015</v>
      </c>
      <c r="L98" s="250" t="s">
        <v>1016</v>
      </c>
      <c r="M98" s="277" t="s">
        <v>1299</v>
      </c>
      <c r="N98" s="278">
        <v>44291</v>
      </c>
      <c r="O98" s="329" t="s">
        <v>68</v>
      </c>
      <c r="P98" s="330">
        <f t="shared" ref="P98:Q98" si="94">IF(B98=0,0,IF(YEAR(B98)=$Q$1,MONTH(B98)-$P$1+1,(YEAR(B98)-$Q$1)*12-$P$1+1+MONTH(B98)))</f>
        <v>4</v>
      </c>
      <c r="Q98" s="330">
        <f t="shared" si="94"/>
        <v>3</v>
      </c>
      <c r="R98" s="331" t="str">
        <f t="shared" si="1"/>
        <v>Gastos_custeados_por_captação</v>
      </c>
      <c r="S98" s="331" t="str">
        <f>IF(D98="","",IF(OR(D98=Plano!$A$1,D98=Plano!$B$1),"entrada","saída"))</f>
        <v>saída</v>
      </c>
      <c r="T98" s="332" t="s">
        <v>994</v>
      </c>
      <c r="U98" s="332">
        <v>1218</v>
      </c>
      <c r="V98" s="333"/>
    </row>
    <row r="99" spans="1:22" ht="201" customHeight="1" x14ac:dyDescent="0.2">
      <c r="A99" s="277">
        <f>IF(B99="","",COUNT('Diário 5º PA'!$A$5:$A$2634)+ROW()-4)</f>
        <v>1406</v>
      </c>
      <c r="B99" s="278">
        <v>44292</v>
      </c>
      <c r="C99" s="259">
        <v>44256</v>
      </c>
      <c r="D99" s="252" t="s">
        <v>104</v>
      </c>
      <c r="E99" s="252" t="s">
        <v>104</v>
      </c>
      <c r="F99" s="257">
        <v>2300</v>
      </c>
      <c r="G99" s="252" t="s">
        <v>3710</v>
      </c>
      <c r="H99" s="252" t="s">
        <v>104</v>
      </c>
      <c r="I99" s="252" t="s">
        <v>4123</v>
      </c>
      <c r="J99" s="250" t="s">
        <v>4124</v>
      </c>
      <c r="K99" s="255" t="s">
        <v>1015</v>
      </c>
      <c r="L99" s="250" t="s">
        <v>1016</v>
      </c>
      <c r="M99" s="277" t="s">
        <v>1148</v>
      </c>
      <c r="N99" s="278">
        <v>44291</v>
      </c>
      <c r="O99" s="329" t="s">
        <v>68</v>
      </c>
      <c r="P99" s="330">
        <f t="shared" ref="P99:Q99" si="95">IF(B99=0,0,IF(YEAR(B99)=$Q$1,MONTH(B99)-$P$1+1,(YEAR(B99)-$Q$1)*12-$P$1+1+MONTH(B99)))</f>
        <v>4</v>
      </c>
      <c r="Q99" s="330">
        <f t="shared" si="95"/>
        <v>3</v>
      </c>
      <c r="R99" s="331" t="str">
        <f t="shared" si="1"/>
        <v>Gastos_custeados_por_captação</v>
      </c>
      <c r="S99" s="331" t="str">
        <f>IF(D99="","",IF(OR(D99=Plano!$A$1,D99=Plano!$B$1),"entrada","saída"))</f>
        <v>saída</v>
      </c>
      <c r="T99" s="332" t="s">
        <v>994</v>
      </c>
      <c r="U99" s="332">
        <v>1226</v>
      </c>
      <c r="V99" s="333"/>
    </row>
    <row r="100" spans="1:22" ht="63.75" customHeight="1" x14ac:dyDescent="0.2">
      <c r="A100" s="277">
        <f>IF(B100="","",COUNT('Diário 5º PA'!$A$5:$A$2634)+ROW()-4)</f>
        <v>1407</v>
      </c>
      <c r="B100" s="278">
        <v>44292</v>
      </c>
      <c r="C100" s="259">
        <v>44256</v>
      </c>
      <c r="D100" s="252" t="s">
        <v>104</v>
      </c>
      <c r="E100" s="252" t="s">
        <v>104</v>
      </c>
      <c r="F100" s="257">
        <v>2300</v>
      </c>
      <c r="G100" s="252" t="s">
        <v>3680</v>
      </c>
      <c r="H100" s="252" t="s">
        <v>104</v>
      </c>
      <c r="I100" s="252" t="s">
        <v>4125</v>
      </c>
      <c r="J100" s="250" t="s">
        <v>4126</v>
      </c>
      <c r="K100" s="255" t="s">
        <v>1015</v>
      </c>
      <c r="L100" s="250" t="s">
        <v>1016</v>
      </c>
      <c r="M100" s="277" t="s">
        <v>1148</v>
      </c>
      <c r="N100" s="278">
        <v>44292</v>
      </c>
      <c r="O100" s="329" t="s">
        <v>68</v>
      </c>
      <c r="P100" s="330">
        <f t="shared" ref="P100:Q100" si="96">IF(B100=0,0,IF(YEAR(B100)=$Q$1,MONTH(B100)-$P$1+1,(YEAR(B100)-$Q$1)*12-$P$1+1+MONTH(B100)))</f>
        <v>4</v>
      </c>
      <c r="Q100" s="330">
        <f t="shared" si="96"/>
        <v>3</v>
      </c>
      <c r="R100" s="331" t="str">
        <f t="shared" si="1"/>
        <v>Gastos_custeados_por_captação</v>
      </c>
      <c r="S100" s="331" t="str">
        <f>IF(D100="","",IF(OR(D100=Plano!$A$1,D100=Plano!$B$1),"entrada","saída"))</f>
        <v>saída</v>
      </c>
      <c r="T100" s="332" t="s">
        <v>994</v>
      </c>
      <c r="U100" s="332">
        <v>1229</v>
      </c>
      <c r="V100" s="333"/>
    </row>
    <row r="101" spans="1:22" ht="169.5" customHeight="1" x14ac:dyDescent="0.2">
      <c r="A101" s="277">
        <f>IF(B101="","",COUNT('Diário 5º PA'!$A$5:$A$2634)+ROW()-4)</f>
        <v>1408</v>
      </c>
      <c r="B101" s="278">
        <v>44292</v>
      </c>
      <c r="C101" s="259">
        <v>44256</v>
      </c>
      <c r="D101" s="252" t="s">
        <v>104</v>
      </c>
      <c r="E101" s="252" t="s">
        <v>104</v>
      </c>
      <c r="F101" s="257">
        <v>2300</v>
      </c>
      <c r="G101" s="252" t="s">
        <v>3720</v>
      </c>
      <c r="H101" s="252" t="s">
        <v>104</v>
      </c>
      <c r="I101" s="252" t="s">
        <v>4127</v>
      </c>
      <c r="J101" s="250" t="s">
        <v>1044</v>
      </c>
      <c r="K101" s="255" t="s">
        <v>1015</v>
      </c>
      <c r="L101" s="250" t="s">
        <v>1016</v>
      </c>
      <c r="M101" s="277" t="s">
        <v>1061</v>
      </c>
      <c r="N101" s="278">
        <v>44291</v>
      </c>
      <c r="O101" s="329" t="s">
        <v>68</v>
      </c>
      <c r="P101" s="330">
        <f t="shared" ref="P101:Q101" si="97">IF(B101=0,0,IF(YEAR(B101)=$Q$1,MONTH(B101)-$P$1+1,(YEAR(B101)-$Q$1)*12-$P$1+1+MONTH(B101)))</f>
        <v>4</v>
      </c>
      <c r="Q101" s="330">
        <f t="shared" si="97"/>
        <v>3</v>
      </c>
      <c r="R101" s="331" t="str">
        <f t="shared" si="1"/>
        <v>Gastos_custeados_por_captação</v>
      </c>
      <c r="S101" s="331" t="str">
        <f>IF(D101="","",IF(OR(D101=Plano!$A$1,D101=Plano!$B$1),"entrada","saída"))</f>
        <v>saída</v>
      </c>
      <c r="T101" s="332" t="s">
        <v>994</v>
      </c>
      <c r="U101" s="332">
        <v>1204</v>
      </c>
      <c r="V101" s="333"/>
    </row>
    <row r="102" spans="1:22" ht="182.25" customHeight="1" x14ac:dyDescent="0.2">
      <c r="A102" s="277">
        <f>IF(B102="","",COUNT('Diário 5º PA'!$A$5:$A$2634)+ROW()-4)</f>
        <v>1409</v>
      </c>
      <c r="B102" s="278">
        <v>44292</v>
      </c>
      <c r="C102" s="259">
        <v>44256</v>
      </c>
      <c r="D102" s="252" t="s">
        <v>104</v>
      </c>
      <c r="E102" s="252" t="s">
        <v>104</v>
      </c>
      <c r="F102" s="257">
        <v>2300</v>
      </c>
      <c r="G102" s="252" t="s">
        <v>3679</v>
      </c>
      <c r="H102" s="252" t="s">
        <v>104</v>
      </c>
      <c r="I102" s="252" t="s">
        <v>4128</v>
      </c>
      <c r="J102" s="250" t="s">
        <v>1648</v>
      </c>
      <c r="K102" s="255" t="s">
        <v>1015</v>
      </c>
      <c r="L102" s="250" t="s">
        <v>1016</v>
      </c>
      <c r="M102" s="277">
        <v>148</v>
      </c>
      <c r="N102" s="278">
        <v>44292</v>
      </c>
      <c r="O102" s="329" t="s">
        <v>68</v>
      </c>
      <c r="P102" s="330">
        <f t="shared" ref="P102:Q102" si="98">IF(B102=0,0,IF(YEAR(B102)=$Q$1,MONTH(B102)-$P$1+1,(YEAR(B102)-$Q$1)*12-$P$1+1+MONTH(B102)))</f>
        <v>4</v>
      </c>
      <c r="Q102" s="330">
        <f t="shared" si="98"/>
        <v>3</v>
      </c>
      <c r="R102" s="331" t="str">
        <f t="shared" si="1"/>
        <v>Gastos_custeados_por_captação</v>
      </c>
      <c r="S102" s="331" t="str">
        <f>IF(D102="","",IF(OR(D102=Plano!$A$1,D102=Plano!$B$1),"entrada","saída"))</f>
        <v>saída</v>
      </c>
      <c r="T102" s="332" t="s">
        <v>994</v>
      </c>
      <c r="U102" s="332">
        <v>1197</v>
      </c>
      <c r="V102" s="333"/>
    </row>
    <row r="103" spans="1:22" ht="165.75" customHeight="1" x14ac:dyDescent="0.2">
      <c r="A103" s="277">
        <f>IF(B103="","",COUNT('Diário 5º PA'!$A$5:$A$2634)+ROW()-4)</f>
        <v>1410</v>
      </c>
      <c r="B103" s="278">
        <v>44292</v>
      </c>
      <c r="C103" s="259">
        <v>44256</v>
      </c>
      <c r="D103" s="252" t="s">
        <v>104</v>
      </c>
      <c r="E103" s="252" t="s">
        <v>104</v>
      </c>
      <c r="F103" s="257">
        <v>3000</v>
      </c>
      <c r="G103" s="252" t="s">
        <v>495</v>
      </c>
      <c r="H103" s="252" t="s">
        <v>104</v>
      </c>
      <c r="I103" s="252" t="s">
        <v>1060</v>
      </c>
      <c r="J103" s="250" t="s">
        <v>496</v>
      </c>
      <c r="K103" s="255" t="s">
        <v>1015</v>
      </c>
      <c r="L103" s="250" t="s">
        <v>1016</v>
      </c>
      <c r="M103" s="277" t="s">
        <v>1294</v>
      </c>
      <c r="N103" s="278">
        <v>44291</v>
      </c>
      <c r="O103" s="329" t="s">
        <v>69</v>
      </c>
      <c r="P103" s="330">
        <f t="shared" ref="P103:Q103" si="99">IF(B103=0,0,IF(YEAR(B103)=$Q$1,MONTH(B103)-$P$1+1,(YEAR(B103)-$Q$1)*12-$P$1+1+MONTH(B103)))</f>
        <v>4</v>
      </c>
      <c r="Q103" s="330">
        <f t="shared" si="99"/>
        <v>3</v>
      </c>
      <c r="R103" s="331" t="str">
        <f t="shared" si="1"/>
        <v>Gastos_custeados_por_captação</v>
      </c>
      <c r="S103" s="331" t="str">
        <f>IF(D103="","",IF(OR(D103=Plano!$A$1,D103=Plano!$B$1),"entrada","saída"))</f>
        <v>saída</v>
      </c>
      <c r="T103" s="332" t="s">
        <v>1059</v>
      </c>
      <c r="U103" s="332">
        <v>1300</v>
      </c>
      <c r="V103" s="333"/>
    </row>
    <row r="104" spans="1:22" ht="93.75" customHeight="1" x14ac:dyDescent="0.2">
      <c r="A104" s="277">
        <f>IF(B104="","",COUNT('Diário 5º PA'!$A$5:$A$2634)+ROW()-4)</f>
        <v>1411</v>
      </c>
      <c r="B104" s="278">
        <v>44292</v>
      </c>
      <c r="C104" s="259">
        <v>44228</v>
      </c>
      <c r="D104" s="255" t="s">
        <v>104</v>
      </c>
      <c r="E104" s="255" t="s">
        <v>104</v>
      </c>
      <c r="F104" s="258">
        <v>4000</v>
      </c>
      <c r="G104" s="255" t="s">
        <v>4129</v>
      </c>
      <c r="H104" s="255" t="s">
        <v>104</v>
      </c>
      <c r="I104" s="250" t="s">
        <v>983</v>
      </c>
      <c r="J104" s="252" t="s">
        <v>850</v>
      </c>
      <c r="K104" s="255" t="s">
        <v>1015</v>
      </c>
      <c r="L104" s="250" t="s">
        <v>1177</v>
      </c>
      <c r="M104" s="277" t="s">
        <v>4130</v>
      </c>
      <c r="N104" s="278">
        <v>44292</v>
      </c>
      <c r="O104" s="329" t="s">
        <v>70</v>
      </c>
      <c r="P104" s="330">
        <f t="shared" ref="P104:Q104" si="100">IF(B104=0,0,IF(YEAR(B104)=$Q$1,MONTH(B104)-$P$1+1,(YEAR(B104)-$Q$1)*12-$P$1+1+MONTH(B104)))</f>
        <v>4</v>
      </c>
      <c r="Q104" s="330">
        <f t="shared" si="100"/>
        <v>2</v>
      </c>
      <c r="R104" s="331" t="str">
        <f t="shared" si="1"/>
        <v>Gastos_custeados_por_captação</v>
      </c>
      <c r="S104" s="331" t="str">
        <f>IF(D104="","",IF(OR(D104=Plano!$A$1,D104=Plano!$B$1),"entrada","saída"))</f>
        <v>saída</v>
      </c>
      <c r="T104" s="332" t="s">
        <v>114</v>
      </c>
      <c r="U104" s="332" t="s">
        <v>114</v>
      </c>
      <c r="V104" s="333"/>
    </row>
    <row r="105" spans="1:22" ht="83.25" customHeight="1" x14ac:dyDescent="0.2">
      <c r="A105" s="277">
        <f>IF(B105="","",COUNT('Diário 5º PA'!$A$5:$A$2634)+ROW()-4)</f>
        <v>1412</v>
      </c>
      <c r="B105" s="278">
        <v>44292</v>
      </c>
      <c r="C105" s="259">
        <v>44228</v>
      </c>
      <c r="D105" s="255" t="s">
        <v>104</v>
      </c>
      <c r="E105" s="255" t="s">
        <v>104</v>
      </c>
      <c r="F105" s="258">
        <v>3500</v>
      </c>
      <c r="G105" s="255" t="s">
        <v>4131</v>
      </c>
      <c r="H105" s="255" t="s">
        <v>104</v>
      </c>
      <c r="I105" s="250" t="s">
        <v>983</v>
      </c>
      <c r="J105" s="252" t="s">
        <v>850</v>
      </c>
      <c r="K105" s="255" t="s">
        <v>1015</v>
      </c>
      <c r="L105" s="250" t="s">
        <v>1177</v>
      </c>
      <c r="M105" s="277" t="s">
        <v>4132</v>
      </c>
      <c r="N105" s="278">
        <v>44292</v>
      </c>
      <c r="O105" s="329" t="s">
        <v>70</v>
      </c>
      <c r="P105" s="330">
        <f t="shared" ref="P105:Q105" si="101">IF(B105=0,0,IF(YEAR(B105)=$Q$1,MONTH(B105)-$P$1+1,(YEAR(B105)-$Q$1)*12-$P$1+1+MONTH(B105)))</f>
        <v>4</v>
      </c>
      <c r="Q105" s="330">
        <f t="shared" si="101"/>
        <v>2</v>
      </c>
      <c r="R105" s="331" t="str">
        <f t="shared" si="1"/>
        <v>Gastos_custeados_por_captação</v>
      </c>
      <c r="S105" s="331" t="str">
        <f>IF(D105="","",IF(OR(D105=Plano!$A$1,D105=Plano!$B$1),"entrada","saída"))</f>
        <v>saída</v>
      </c>
      <c r="T105" s="332" t="s">
        <v>114</v>
      </c>
      <c r="U105" s="332" t="s">
        <v>114</v>
      </c>
      <c r="V105" s="333"/>
    </row>
    <row r="106" spans="1:22" ht="80.25" customHeight="1" x14ac:dyDescent="0.2">
      <c r="A106" s="277">
        <f>IF(B106="","",COUNT('Diário 5º PA'!$A$5:$A$2634)+ROW()-4)</f>
        <v>1413</v>
      </c>
      <c r="B106" s="278">
        <v>44292</v>
      </c>
      <c r="C106" s="259">
        <v>44256</v>
      </c>
      <c r="D106" s="255" t="s">
        <v>104</v>
      </c>
      <c r="E106" s="255" t="s">
        <v>104</v>
      </c>
      <c r="F106" s="258">
        <v>4000</v>
      </c>
      <c r="G106" s="255" t="s">
        <v>4133</v>
      </c>
      <c r="H106" s="255" t="s">
        <v>104</v>
      </c>
      <c r="I106" s="250" t="s">
        <v>983</v>
      </c>
      <c r="J106" s="252" t="s">
        <v>850</v>
      </c>
      <c r="K106" s="255" t="s">
        <v>1015</v>
      </c>
      <c r="L106" s="250" t="s">
        <v>1177</v>
      </c>
      <c r="M106" s="277" t="s">
        <v>4134</v>
      </c>
      <c r="N106" s="278">
        <v>44292</v>
      </c>
      <c r="O106" s="329" t="s">
        <v>70</v>
      </c>
      <c r="P106" s="330">
        <f t="shared" ref="P106:Q106" si="102">IF(B106=0,0,IF(YEAR(B106)=$Q$1,MONTH(B106)-$P$1+1,(YEAR(B106)-$Q$1)*12-$P$1+1+MONTH(B106)))</f>
        <v>4</v>
      </c>
      <c r="Q106" s="330">
        <f t="shared" si="102"/>
        <v>3</v>
      </c>
      <c r="R106" s="331" t="str">
        <f t="shared" si="1"/>
        <v>Gastos_custeados_por_captação</v>
      </c>
      <c r="S106" s="331" t="str">
        <f>IF(D106="","",IF(OR(D106=Plano!$A$1,D106=Plano!$B$1),"entrada","saída"))</f>
        <v>saída</v>
      </c>
      <c r="T106" s="332" t="s">
        <v>114</v>
      </c>
      <c r="U106" s="332" t="s">
        <v>114</v>
      </c>
      <c r="V106" s="333"/>
    </row>
    <row r="107" spans="1:22" ht="64.5" customHeight="1" x14ac:dyDescent="0.2">
      <c r="A107" s="277">
        <f>IF(B107="","",COUNT('Diário 5º PA'!$A$5:$A$2634)+ROW()-4)</f>
        <v>1414</v>
      </c>
      <c r="B107" s="278">
        <v>44292</v>
      </c>
      <c r="C107" s="259">
        <v>44256</v>
      </c>
      <c r="D107" s="255" t="s">
        <v>104</v>
      </c>
      <c r="E107" s="255" t="s">
        <v>104</v>
      </c>
      <c r="F107" s="258">
        <v>3500</v>
      </c>
      <c r="G107" s="255" t="s">
        <v>4135</v>
      </c>
      <c r="H107" s="255" t="s">
        <v>104</v>
      </c>
      <c r="I107" s="250" t="s">
        <v>983</v>
      </c>
      <c r="J107" s="252" t="s">
        <v>850</v>
      </c>
      <c r="K107" s="255" t="s">
        <v>1015</v>
      </c>
      <c r="L107" s="250" t="s">
        <v>1177</v>
      </c>
      <c r="M107" s="277" t="s">
        <v>4136</v>
      </c>
      <c r="N107" s="278">
        <v>44292</v>
      </c>
      <c r="O107" s="329" t="s">
        <v>70</v>
      </c>
      <c r="P107" s="330">
        <f t="shared" ref="P107:Q107" si="103">IF(B107=0,0,IF(YEAR(B107)=$Q$1,MONTH(B107)-$P$1+1,(YEAR(B107)-$Q$1)*12-$P$1+1+MONTH(B107)))</f>
        <v>4</v>
      </c>
      <c r="Q107" s="330">
        <f t="shared" si="103"/>
        <v>3</v>
      </c>
      <c r="R107" s="331" t="str">
        <f t="shared" si="1"/>
        <v>Gastos_custeados_por_captação</v>
      </c>
      <c r="S107" s="331" t="str">
        <f>IF(D107="","",IF(OR(D107=Plano!$A$1,D107=Plano!$B$1),"entrada","saída"))</f>
        <v>saída</v>
      </c>
      <c r="T107" s="332" t="s">
        <v>114</v>
      </c>
      <c r="U107" s="332" t="s">
        <v>114</v>
      </c>
      <c r="V107" s="333"/>
    </row>
    <row r="108" spans="1:22" ht="48" customHeight="1" x14ac:dyDescent="0.2">
      <c r="A108" s="277">
        <f>IF(B108="","",COUNT('Diário 5º PA'!$A$5:$A$2634)+ROW()-4)</f>
        <v>1415</v>
      </c>
      <c r="B108" s="278">
        <v>44292</v>
      </c>
      <c r="C108" s="259">
        <v>44228</v>
      </c>
      <c r="D108" s="250" t="s">
        <v>104</v>
      </c>
      <c r="E108" s="250" t="s">
        <v>104</v>
      </c>
      <c r="F108" s="251">
        <v>-4000</v>
      </c>
      <c r="G108" s="250" t="s">
        <v>4137</v>
      </c>
      <c r="H108" s="250" t="s">
        <v>104</v>
      </c>
      <c r="I108" s="250" t="s">
        <v>983</v>
      </c>
      <c r="J108" s="250" t="s">
        <v>850</v>
      </c>
      <c r="K108" s="250" t="s">
        <v>1015</v>
      </c>
      <c r="L108" s="250" t="s">
        <v>1177</v>
      </c>
      <c r="M108" s="346" t="s">
        <v>3725</v>
      </c>
      <c r="N108" s="278">
        <v>44292</v>
      </c>
      <c r="O108" s="353" t="s">
        <v>71</v>
      </c>
      <c r="P108" s="330">
        <f t="shared" ref="P108:Q108" si="104">IF(B108=0,0,IF(YEAR(B108)=$Q$1,MONTH(B108)-$P$1+1,(YEAR(B108)-$Q$1)*12-$P$1+1+MONTH(B108)))</f>
        <v>4</v>
      </c>
      <c r="Q108" s="330">
        <f t="shared" si="104"/>
        <v>2</v>
      </c>
      <c r="R108" s="331" t="str">
        <f t="shared" si="1"/>
        <v>Gastos_custeados_por_captação</v>
      </c>
      <c r="S108" s="331" t="str">
        <f>IF(D108="","",IF(OR(D108=Plano!$A$1,D108=Plano!$B$1),"entrada","saída"))</f>
        <v>saída</v>
      </c>
      <c r="T108" s="332" t="s">
        <v>114</v>
      </c>
      <c r="U108" s="332" t="s">
        <v>114</v>
      </c>
      <c r="V108" s="333"/>
    </row>
    <row r="109" spans="1:22" ht="64.5" customHeight="1" x14ac:dyDescent="0.2">
      <c r="A109" s="277">
        <f>IF(B109="","",COUNT('Diário 5º PA'!$A$5:$A$2634)+ROW()-4)</f>
        <v>1416</v>
      </c>
      <c r="B109" s="278">
        <v>44292</v>
      </c>
      <c r="C109" s="259">
        <v>44228</v>
      </c>
      <c r="D109" s="250" t="s">
        <v>104</v>
      </c>
      <c r="E109" s="250" t="s">
        <v>104</v>
      </c>
      <c r="F109" s="251">
        <v>-3500</v>
      </c>
      <c r="G109" s="250" t="s">
        <v>4138</v>
      </c>
      <c r="H109" s="250" t="s">
        <v>104</v>
      </c>
      <c r="I109" s="250" t="s">
        <v>983</v>
      </c>
      <c r="J109" s="250" t="s">
        <v>850</v>
      </c>
      <c r="K109" s="250" t="s">
        <v>1015</v>
      </c>
      <c r="L109" s="250" t="s">
        <v>1177</v>
      </c>
      <c r="M109" s="346" t="s">
        <v>3690</v>
      </c>
      <c r="N109" s="278">
        <v>44292</v>
      </c>
      <c r="O109" s="353" t="s">
        <v>71</v>
      </c>
      <c r="P109" s="330">
        <f t="shared" ref="P109:Q109" si="105">IF(B109=0,0,IF(YEAR(B109)=$Q$1,MONTH(B109)-$P$1+1,(YEAR(B109)-$Q$1)*12-$P$1+1+MONTH(B109)))</f>
        <v>4</v>
      </c>
      <c r="Q109" s="330">
        <f t="shared" si="105"/>
        <v>2</v>
      </c>
      <c r="R109" s="331" t="str">
        <f t="shared" si="1"/>
        <v>Gastos_custeados_por_captação</v>
      </c>
      <c r="S109" s="331" t="str">
        <f>IF(D109="","",IF(OR(D109=Plano!$A$1,D109=Plano!$B$1),"entrada","saída"))</f>
        <v>saída</v>
      </c>
      <c r="T109" s="332" t="s">
        <v>114</v>
      </c>
      <c r="U109" s="332" t="s">
        <v>114</v>
      </c>
      <c r="V109" s="333"/>
    </row>
    <row r="110" spans="1:22" ht="75.75" customHeight="1" x14ac:dyDescent="0.2">
      <c r="A110" s="277">
        <f>IF(B110="","",COUNT('Diário 5º PA'!$A$5:$A$2634)+ROW()-4)</f>
        <v>1417</v>
      </c>
      <c r="B110" s="278">
        <v>44292</v>
      </c>
      <c r="C110" s="259">
        <v>44256</v>
      </c>
      <c r="D110" s="250" t="s">
        <v>104</v>
      </c>
      <c r="E110" s="250" t="s">
        <v>104</v>
      </c>
      <c r="F110" s="251">
        <v>-4000</v>
      </c>
      <c r="G110" s="250" t="s">
        <v>4139</v>
      </c>
      <c r="H110" s="250" t="s">
        <v>104</v>
      </c>
      <c r="I110" s="250" t="s">
        <v>983</v>
      </c>
      <c r="J110" s="250" t="s">
        <v>850</v>
      </c>
      <c r="K110" s="250" t="s">
        <v>1015</v>
      </c>
      <c r="L110" s="250" t="s">
        <v>1177</v>
      </c>
      <c r="M110" s="346" t="s">
        <v>3692</v>
      </c>
      <c r="N110" s="278">
        <v>44292</v>
      </c>
      <c r="O110" s="353" t="s">
        <v>71</v>
      </c>
      <c r="P110" s="330">
        <f t="shared" ref="P110:Q110" si="106">IF(B110=0,0,IF(YEAR(B110)=$Q$1,MONTH(B110)-$P$1+1,(YEAR(B110)-$Q$1)*12-$P$1+1+MONTH(B110)))</f>
        <v>4</v>
      </c>
      <c r="Q110" s="330">
        <f t="shared" si="106"/>
        <v>3</v>
      </c>
      <c r="R110" s="331" t="str">
        <f t="shared" si="1"/>
        <v>Gastos_custeados_por_captação</v>
      </c>
      <c r="S110" s="331" t="str">
        <f>IF(D110="","",IF(OR(D110=Plano!$A$1,D110=Plano!$B$1),"entrada","saída"))</f>
        <v>saída</v>
      </c>
      <c r="T110" s="332" t="s">
        <v>114</v>
      </c>
      <c r="U110" s="332" t="s">
        <v>114</v>
      </c>
      <c r="V110" s="333"/>
    </row>
    <row r="111" spans="1:22" ht="71.25" customHeight="1" x14ac:dyDescent="0.2">
      <c r="A111" s="277">
        <f>IF(B111="","",COUNT('Diário 5º PA'!$A$5:$A$2634)+ROW()-4)</f>
        <v>1418</v>
      </c>
      <c r="B111" s="278">
        <v>44292</v>
      </c>
      <c r="C111" s="259">
        <v>44256</v>
      </c>
      <c r="D111" s="250" t="s">
        <v>104</v>
      </c>
      <c r="E111" s="250" t="s">
        <v>104</v>
      </c>
      <c r="F111" s="251">
        <v>-3500</v>
      </c>
      <c r="G111" s="250" t="s">
        <v>4140</v>
      </c>
      <c r="H111" s="250" t="s">
        <v>104</v>
      </c>
      <c r="I111" s="250" t="s">
        <v>983</v>
      </c>
      <c r="J111" s="250" t="s">
        <v>850</v>
      </c>
      <c r="K111" s="250" t="s">
        <v>1015</v>
      </c>
      <c r="L111" s="250" t="s">
        <v>1177</v>
      </c>
      <c r="M111" s="346" t="s">
        <v>3694</v>
      </c>
      <c r="N111" s="278">
        <v>44292</v>
      </c>
      <c r="O111" s="353" t="s">
        <v>71</v>
      </c>
      <c r="P111" s="330">
        <f t="shared" ref="P111:Q111" si="107">IF(B111=0,0,IF(YEAR(B111)=$Q$1,MONTH(B111)-$P$1+1,(YEAR(B111)-$Q$1)*12-$P$1+1+MONTH(B111)))</f>
        <v>4</v>
      </c>
      <c r="Q111" s="330">
        <f t="shared" si="107"/>
        <v>3</v>
      </c>
      <c r="R111" s="331" t="str">
        <f t="shared" si="1"/>
        <v>Gastos_custeados_por_captação</v>
      </c>
      <c r="S111" s="331" t="str">
        <f>IF(D111="","",IF(OR(D111=Plano!$A$1,D111=Plano!$B$1),"entrada","saída"))</f>
        <v>saída</v>
      </c>
      <c r="T111" s="332" t="s">
        <v>114</v>
      </c>
      <c r="U111" s="332" t="s">
        <v>114</v>
      </c>
      <c r="V111" s="333"/>
    </row>
    <row r="112" spans="1:22" ht="115.5" customHeight="1" x14ac:dyDescent="0.2">
      <c r="A112" s="277">
        <f>IF(B112="","",COUNT('Diário 5º PA'!$A$5:$A$2634)+ROW()-4)</f>
        <v>1419</v>
      </c>
      <c r="B112" s="278">
        <v>44292</v>
      </c>
      <c r="C112" s="259">
        <v>44256</v>
      </c>
      <c r="D112" s="252" t="s">
        <v>104</v>
      </c>
      <c r="E112" s="252" t="s">
        <v>104</v>
      </c>
      <c r="F112" s="257">
        <v>1720</v>
      </c>
      <c r="G112" s="252" t="s">
        <v>456</v>
      </c>
      <c r="H112" s="252" t="s">
        <v>104</v>
      </c>
      <c r="I112" s="252" t="s">
        <v>2737</v>
      </c>
      <c r="J112" s="250" t="s">
        <v>458</v>
      </c>
      <c r="K112" s="250" t="s">
        <v>1015</v>
      </c>
      <c r="L112" s="250" t="s">
        <v>1029</v>
      </c>
      <c r="M112" s="346">
        <v>1107</v>
      </c>
      <c r="N112" s="278">
        <v>44292</v>
      </c>
      <c r="O112" s="353" t="s">
        <v>71</v>
      </c>
      <c r="P112" s="330">
        <f t="shared" ref="P112:Q112" si="108">IF(B112=0,0,IF(YEAR(B112)=$Q$1,MONTH(B112)-$P$1+1,(YEAR(B112)-$Q$1)*12-$P$1+1+MONTH(B112)))</f>
        <v>4</v>
      </c>
      <c r="Q112" s="330">
        <f t="shared" si="108"/>
        <v>3</v>
      </c>
      <c r="R112" s="331" t="str">
        <f t="shared" si="1"/>
        <v>Gastos_custeados_por_captação</v>
      </c>
      <c r="S112" s="331" t="str">
        <f>IF(D112="","",IF(OR(D112=Plano!$A$1,D112=Plano!$B$1),"entrada","saída"))</f>
        <v>saída</v>
      </c>
      <c r="T112" s="332" t="s">
        <v>1059</v>
      </c>
      <c r="U112" s="332">
        <v>1138</v>
      </c>
      <c r="V112" s="333"/>
    </row>
    <row r="113" spans="1:22" ht="71.25" customHeight="1" x14ac:dyDescent="0.2">
      <c r="A113" s="277">
        <f>IF(B113="","",COUNT('Diário 5º PA'!$A$5:$A$2634)+ROW()-4)</f>
        <v>1420</v>
      </c>
      <c r="B113" s="278">
        <v>44292</v>
      </c>
      <c r="C113" s="259">
        <v>44256</v>
      </c>
      <c r="D113" s="252" t="s">
        <v>104</v>
      </c>
      <c r="E113" s="252" t="s">
        <v>104</v>
      </c>
      <c r="F113" s="251">
        <v>2615.6</v>
      </c>
      <c r="G113" s="250" t="s">
        <v>4141</v>
      </c>
      <c r="H113" s="252" t="s">
        <v>104</v>
      </c>
      <c r="I113" s="250" t="s">
        <v>2734</v>
      </c>
      <c r="J113" s="250" t="s">
        <v>2735</v>
      </c>
      <c r="K113" s="250" t="s">
        <v>1015</v>
      </c>
      <c r="L113" s="250" t="s">
        <v>1029</v>
      </c>
      <c r="M113" s="346">
        <v>1104</v>
      </c>
      <c r="N113" s="278">
        <v>44292</v>
      </c>
      <c r="O113" s="353" t="s">
        <v>71</v>
      </c>
      <c r="P113" s="330">
        <f t="shared" ref="P113:Q113" si="109">IF(B113=0,0,IF(YEAR(B113)=$Q$1,MONTH(B113)-$P$1+1,(YEAR(B113)-$Q$1)*12-$P$1+1+MONTH(B113)))</f>
        <v>4</v>
      </c>
      <c r="Q113" s="330">
        <f t="shared" si="109"/>
        <v>3</v>
      </c>
      <c r="R113" s="331" t="str">
        <f t="shared" si="1"/>
        <v>Gastos_custeados_por_captação</v>
      </c>
      <c r="S113" s="331" t="str">
        <f>IF(D113="","",IF(OR(D113=Plano!$A$1,D113=Plano!$B$1),"entrada","saída"))</f>
        <v>saída</v>
      </c>
      <c r="T113" s="332" t="s">
        <v>1059</v>
      </c>
      <c r="U113" s="332">
        <v>1377</v>
      </c>
      <c r="V113" s="333"/>
    </row>
    <row r="114" spans="1:22" ht="71.25" customHeight="1" x14ac:dyDescent="0.2">
      <c r="A114" s="277">
        <f>IF(B114="","",COUNT('Diário 5º PA'!$A$5:$A$2634)+ROW()-4)</f>
        <v>1421</v>
      </c>
      <c r="B114" s="278">
        <v>44292</v>
      </c>
      <c r="C114" s="249">
        <v>44287</v>
      </c>
      <c r="D114" s="252" t="s">
        <v>104</v>
      </c>
      <c r="E114" s="252" t="s">
        <v>104</v>
      </c>
      <c r="F114" s="258">
        <v>10.45</v>
      </c>
      <c r="G114" s="255" t="s">
        <v>4142</v>
      </c>
      <c r="H114" s="252" t="s">
        <v>104</v>
      </c>
      <c r="I114" s="250" t="s">
        <v>949</v>
      </c>
      <c r="J114" s="255" t="s">
        <v>950</v>
      </c>
      <c r="K114" s="255" t="s">
        <v>951</v>
      </c>
      <c r="L114" s="250" t="s">
        <v>947</v>
      </c>
      <c r="M114" s="336" t="s">
        <v>114</v>
      </c>
      <c r="N114" s="278">
        <v>44292</v>
      </c>
      <c r="O114" s="353" t="s">
        <v>71</v>
      </c>
      <c r="P114" s="330">
        <f t="shared" ref="P114:Q114" si="110">IF(B114=0,0,IF(YEAR(B114)=$Q$1,MONTH(B114)-$P$1+1,(YEAR(B114)-$Q$1)*12-$P$1+1+MONTH(B114)))</f>
        <v>4</v>
      </c>
      <c r="Q114" s="330">
        <f t="shared" si="110"/>
        <v>4</v>
      </c>
      <c r="R114" s="331" t="str">
        <f t="shared" si="1"/>
        <v>Gastos_custeados_por_captação</v>
      </c>
      <c r="S114" s="331" t="str">
        <f>IF(D114="","",IF(OR(D114=Plano!$A$1,D114=Plano!$B$1),"entrada","saída"))</f>
        <v>saída</v>
      </c>
      <c r="T114" s="332" t="s">
        <v>114</v>
      </c>
      <c r="U114" s="332" t="s">
        <v>114</v>
      </c>
      <c r="V114" s="333"/>
    </row>
    <row r="115" spans="1:22" ht="77.25" customHeight="1" x14ac:dyDescent="0.2">
      <c r="A115" s="277">
        <f>IF(B115="","",COUNT('Diário 5º PA'!$A$5:$A$2634)+ROW()-4)</f>
        <v>1422</v>
      </c>
      <c r="B115" s="278">
        <v>44293</v>
      </c>
      <c r="C115" s="256">
        <v>44256</v>
      </c>
      <c r="D115" s="255" t="s">
        <v>99</v>
      </c>
      <c r="E115" s="255" t="s">
        <v>330</v>
      </c>
      <c r="F115" s="257">
        <v>-74.7</v>
      </c>
      <c r="G115" s="337" t="s">
        <v>4143</v>
      </c>
      <c r="H115" s="255" t="s">
        <v>115</v>
      </c>
      <c r="I115" s="250" t="s">
        <v>983</v>
      </c>
      <c r="J115" s="255" t="s">
        <v>850</v>
      </c>
      <c r="K115" s="255" t="s">
        <v>946</v>
      </c>
      <c r="L115" s="250" t="s">
        <v>947</v>
      </c>
      <c r="M115" s="277" t="s">
        <v>114</v>
      </c>
      <c r="N115" s="278">
        <v>44293</v>
      </c>
      <c r="O115" s="329" t="s">
        <v>67</v>
      </c>
      <c r="P115" s="330">
        <f t="shared" ref="P115:Q115" si="111">IF(B115=0,0,IF(YEAR(B115)=$Q$1,MONTH(B115)-$P$1+1,(YEAR(B115)-$Q$1)*12-$P$1+1+MONTH(B115)))</f>
        <v>4</v>
      </c>
      <c r="Q115" s="330">
        <f t="shared" si="111"/>
        <v>3</v>
      </c>
      <c r="R115" s="331" t="str">
        <f t="shared" si="1"/>
        <v>Gastos_Gerais</v>
      </c>
      <c r="S115" s="331" t="str">
        <f>IF(D115="","",IF(OR(D115=Plano!$A$1,D115=Plano!$B$1),"entrada","saída"))</f>
        <v>saída</v>
      </c>
      <c r="T115" s="332" t="s">
        <v>114</v>
      </c>
      <c r="U115" s="332" t="s">
        <v>114</v>
      </c>
      <c r="V115" s="333"/>
    </row>
    <row r="116" spans="1:22" ht="63" customHeight="1" x14ac:dyDescent="0.2">
      <c r="A116" s="277">
        <f>IF(B116="","",COUNT('Diário 5º PA'!$A$5:$A$2634)+ROW()-4)</f>
        <v>1423</v>
      </c>
      <c r="B116" s="278">
        <v>44293</v>
      </c>
      <c r="C116" s="256">
        <v>44256</v>
      </c>
      <c r="D116" s="255" t="s">
        <v>99</v>
      </c>
      <c r="E116" s="255" t="s">
        <v>330</v>
      </c>
      <c r="F116" s="257">
        <v>-74.7</v>
      </c>
      <c r="G116" s="337" t="s">
        <v>4144</v>
      </c>
      <c r="H116" s="255" t="s">
        <v>115</v>
      </c>
      <c r="I116" s="250" t="s">
        <v>983</v>
      </c>
      <c r="J116" s="255" t="s">
        <v>850</v>
      </c>
      <c r="K116" s="255" t="s">
        <v>946</v>
      </c>
      <c r="L116" s="250" t="s">
        <v>947</v>
      </c>
      <c r="M116" s="277" t="s">
        <v>114</v>
      </c>
      <c r="N116" s="278">
        <v>44293</v>
      </c>
      <c r="O116" s="329" t="s">
        <v>67</v>
      </c>
      <c r="P116" s="330">
        <f t="shared" ref="P116:Q116" si="112">IF(B116=0,0,IF(YEAR(B116)=$Q$1,MONTH(B116)-$P$1+1,(YEAR(B116)-$Q$1)*12-$P$1+1+MONTH(B116)))</f>
        <v>4</v>
      </c>
      <c r="Q116" s="330">
        <f t="shared" si="112"/>
        <v>3</v>
      </c>
      <c r="R116" s="331" t="str">
        <f t="shared" si="1"/>
        <v>Gastos_Gerais</v>
      </c>
      <c r="S116" s="331" t="str">
        <f>IF(D116="","",IF(OR(D116=Plano!$A$1,D116=Plano!$B$1),"entrada","saída"))</f>
        <v>saída</v>
      </c>
      <c r="T116" s="332" t="s">
        <v>114</v>
      </c>
      <c r="U116" s="332" t="s">
        <v>114</v>
      </c>
      <c r="V116" s="333"/>
    </row>
    <row r="117" spans="1:22" ht="83.25" customHeight="1" x14ac:dyDescent="0.2">
      <c r="A117" s="277">
        <f>IF(B117="","",COUNT('Diário 5º PA'!$A$5:$A$2634)+ROW()-4)</f>
        <v>1424</v>
      </c>
      <c r="B117" s="278">
        <v>44293</v>
      </c>
      <c r="C117" s="256">
        <v>44256</v>
      </c>
      <c r="D117" s="255" t="s">
        <v>99</v>
      </c>
      <c r="E117" s="255" t="s">
        <v>270</v>
      </c>
      <c r="F117" s="258">
        <v>-74.56</v>
      </c>
      <c r="G117" s="252" t="s">
        <v>4145</v>
      </c>
      <c r="H117" s="255" t="s">
        <v>115</v>
      </c>
      <c r="I117" s="250" t="s">
        <v>983</v>
      </c>
      <c r="J117" s="255" t="s">
        <v>850</v>
      </c>
      <c r="K117" s="255" t="s">
        <v>946</v>
      </c>
      <c r="L117" s="250" t="s">
        <v>947</v>
      </c>
      <c r="M117" s="277" t="s">
        <v>114</v>
      </c>
      <c r="N117" s="278">
        <v>44293</v>
      </c>
      <c r="O117" s="329" t="s">
        <v>67</v>
      </c>
      <c r="P117" s="330">
        <f t="shared" ref="P117:Q117" si="113">IF(B117=0,0,IF(YEAR(B117)=$Q$1,MONTH(B117)-$P$1+1,(YEAR(B117)-$Q$1)*12-$P$1+1+MONTH(B117)))</f>
        <v>4</v>
      </c>
      <c r="Q117" s="330">
        <f t="shared" si="113"/>
        <v>3</v>
      </c>
      <c r="R117" s="331" t="str">
        <f t="shared" si="1"/>
        <v>Gastos_Gerais</v>
      </c>
      <c r="S117" s="331" t="str">
        <f>IF(D117="","",IF(OR(D117=Plano!$A$1,D117=Plano!$B$1),"entrada","saída"))</f>
        <v>saída</v>
      </c>
      <c r="T117" s="332" t="s">
        <v>114</v>
      </c>
      <c r="U117" s="332" t="s">
        <v>114</v>
      </c>
      <c r="V117" s="333"/>
    </row>
    <row r="118" spans="1:22" ht="102.75" customHeight="1" x14ac:dyDescent="0.2">
      <c r="A118" s="277">
        <f>IF(B118="","",COUNT('Diário 5º PA'!$A$5:$A$2634)+ROW()-4)</f>
        <v>1425</v>
      </c>
      <c r="B118" s="278">
        <v>44293</v>
      </c>
      <c r="C118" s="259">
        <v>44256</v>
      </c>
      <c r="D118" s="255" t="s">
        <v>99</v>
      </c>
      <c r="E118" s="255" t="s">
        <v>262</v>
      </c>
      <c r="F118" s="257">
        <v>-475.38</v>
      </c>
      <c r="G118" s="252" t="s">
        <v>4146</v>
      </c>
      <c r="H118" s="255" t="s">
        <v>115</v>
      </c>
      <c r="I118" s="250" t="s">
        <v>983</v>
      </c>
      <c r="J118" s="255" t="s">
        <v>850</v>
      </c>
      <c r="K118" s="255" t="s">
        <v>1069</v>
      </c>
      <c r="L118" s="250" t="s">
        <v>947</v>
      </c>
      <c r="M118" s="277" t="s">
        <v>114</v>
      </c>
      <c r="N118" s="278">
        <v>44293</v>
      </c>
      <c r="O118" s="329" t="s">
        <v>67</v>
      </c>
      <c r="P118" s="330">
        <f t="shared" ref="P118:Q118" si="114">IF(B118=0,0,IF(YEAR(B118)=$Q$1,MONTH(B118)-$P$1+1,(YEAR(B118)-$Q$1)*12-$P$1+1+MONTH(B118)))</f>
        <v>4</v>
      </c>
      <c r="Q118" s="330">
        <f t="shared" si="114"/>
        <v>3</v>
      </c>
      <c r="R118" s="331" t="str">
        <f t="shared" si="1"/>
        <v>Gastos_Gerais</v>
      </c>
      <c r="S118" s="331" t="str">
        <f>IF(D118="","",IF(OR(D118=Plano!$A$1,D118=Plano!$B$1),"entrada","saída"))</f>
        <v>saída</v>
      </c>
      <c r="T118" s="332" t="s">
        <v>114</v>
      </c>
      <c r="U118" s="332" t="s">
        <v>114</v>
      </c>
      <c r="V118" s="333"/>
    </row>
    <row r="119" spans="1:22" ht="96.75" customHeight="1" x14ac:dyDescent="0.2">
      <c r="A119" s="277">
        <f>IF(B119="","",COUNT('Diário 5º PA'!$A$5:$A$2634)+ROW()-4)</f>
        <v>1426</v>
      </c>
      <c r="B119" s="278">
        <v>44293</v>
      </c>
      <c r="C119" s="256">
        <v>44256</v>
      </c>
      <c r="D119" s="255" t="s">
        <v>88</v>
      </c>
      <c r="E119" s="255" t="s">
        <v>171</v>
      </c>
      <c r="F119" s="258">
        <v>-2041.88</v>
      </c>
      <c r="G119" s="255" t="s">
        <v>4147</v>
      </c>
      <c r="H119" s="255" t="s">
        <v>114</v>
      </c>
      <c r="I119" s="250" t="s">
        <v>983</v>
      </c>
      <c r="J119" s="255" t="s">
        <v>850</v>
      </c>
      <c r="K119" s="255" t="s">
        <v>946</v>
      </c>
      <c r="L119" s="250" t="s">
        <v>947</v>
      </c>
      <c r="M119" s="277" t="s">
        <v>114</v>
      </c>
      <c r="N119" s="278">
        <v>44293</v>
      </c>
      <c r="O119" s="329" t="s">
        <v>67</v>
      </c>
      <c r="P119" s="330">
        <f t="shared" ref="P119:Q119" si="115">IF(B119=0,0,IF(YEAR(B119)=$Q$1,MONTH(B119)-$P$1+1,(YEAR(B119)-$Q$1)*12-$P$1+1+MONTH(B119)))</f>
        <v>4</v>
      </c>
      <c r="Q119" s="330">
        <f t="shared" si="115"/>
        <v>3</v>
      </c>
      <c r="R119" s="331" t="str">
        <f t="shared" si="1"/>
        <v>Gastos_com_Pessoal</v>
      </c>
      <c r="S119" s="331" t="str">
        <f>IF(D119="","",IF(OR(D119=Plano!$A$1,D119=Plano!$B$1),"entrada","saída"))</f>
        <v>saída</v>
      </c>
      <c r="T119" s="332" t="s">
        <v>114</v>
      </c>
      <c r="U119" s="332" t="s">
        <v>114</v>
      </c>
      <c r="V119" s="333"/>
    </row>
    <row r="120" spans="1:22" ht="61.5" customHeight="1" x14ac:dyDescent="0.2">
      <c r="A120" s="277">
        <f>IF(B120="","",COUNT('Diário 5º PA'!$A$5:$A$2634)+ROW()-4)</f>
        <v>1427</v>
      </c>
      <c r="B120" s="278">
        <v>44293</v>
      </c>
      <c r="C120" s="256">
        <v>44256</v>
      </c>
      <c r="D120" s="255" t="s">
        <v>88</v>
      </c>
      <c r="E120" s="255" t="s">
        <v>171</v>
      </c>
      <c r="F120" s="258">
        <v>-181.6</v>
      </c>
      <c r="G120" s="255" t="s">
        <v>2738</v>
      </c>
      <c r="H120" s="255" t="s">
        <v>114</v>
      </c>
      <c r="I120" s="250" t="s">
        <v>983</v>
      </c>
      <c r="J120" s="255" t="s">
        <v>850</v>
      </c>
      <c r="K120" s="255" t="s">
        <v>946</v>
      </c>
      <c r="L120" s="250" t="s">
        <v>947</v>
      </c>
      <c r="M120" s="277" t="s">
        <v>114</v>
      </c>
      <c r="N120" s="278">
        <v>44293</v>
      </c>
      <c r="O120" s="329" t="s">
        <v>67</v>
      </c>
      <c r="P120" s="330">
        <f t="shared" ref="P120:Q120" si="116">IF(B120=0,0,IF(YEAR(B120)=$Q$1,MONTH(B120)-$P$1+1,(YEAR(B120)-$Q$1)*12-$P$1+1+MONTH(B120)))</f>
        <v>4</v>
      </c>
      <c r="Q120" s="330">
        <f t="shared" si="116"/>
        <v>3</v>
      </c>
      <c r="R120" s="331" t="str">
        <f t="shared" si="1"/>
        <v>Gastos_com_Pessoal</v>
      </c>
      <c r="S120" s="331" t="str">
        <f>IF(D120="","",IF(OR(D120=Plano!$A$1,D120=Plano!$B$1),"entrada","saída"))</f>
        <v>saída</v>
      </c>
      <c r="T120" s="332" t="s">
        <v>114</v>
      </c>
      <c r="U120" s="332" t="s">
        <v>114</v>
      </c>
      <c r="V120" s="333"/>
    </row>
    <row r="121" spans="1:22" ht="75" customHeight="1" x14ac:dyDescent="0.2">
      <c r="A121" s="277">
        <f>IF(B121="","",COUNT('Diário 5º PA'!$A$5:$A$2634)+ROW()-4)</f>
        <v>1428</v>
      </c>
      <c r="B121" s="278">
        <v>44293</v>
      </c>
      <c r="C121" s="259">
        <v>44256</v>
      </c>
      <c r="D121" s="252" t="s">
        <v>99</v>
      </c>
      <c r="E121" s="252" t="s">
        <v>330</v>
      </c>
      <c r="F121" s="257">
        <v>1600</v>
      </c>
      <c r="G121" s="252" t="s">
        <v>4148</v>
      </c>
      <c r="H121" s="252" t="s">
        <v>118</v>
      </c>
      <c r="I121" s="252" t="s">
        <v>4149</v>
      </c>
      <c r="J121" s="250" t="s">
        <v>714</v>
      </c>
      <c r="K121" s="255" t="s">
        <v>1015</v>
      </c>
      <c r="L121" s="250" t="s">
        <v>1016</v>
      </c>
      <c r="M121" s="277" t="s">
        <v>1540</v>
      </c>
      <c r="N121" s="278">
        <v>44292</v>
      </c>
      <c r="O121" s="329" t="s">
        <v>67</v>
      </c>
      <c r="P121" s="330">
        <f t="shared" ref="P121:Q121" si="117">IF(B121=0,0,IF(YEAR(B121)=$Q$1,MONTH(B121)-$P$1+1,(YEAR(B121)-$Q$1)*12-$P$1+1+MONTH(B121)))</f>
        <v>4</v>
      </c>
      <c r="Q121" s="330">
        <f t="shared" si="117"/>
        <v>3</v>
      </c>
      <c r="R121" s="331" t="str">
        <f t="shared" si="1"/>
        <v>Gastos_Gerais</v>
      </c>
      <c r="S121" s="331" t="str">
        <f>IF(D121="","",IF(OR(D121=Plano!$A$1,D121=Plano!$B$1),"entrada","saída"))</f>
        <v>saída</v>
      </c>
      <c r="T121" s="332" t="s">
        <v>994</v>
      </c>
      <c r="U121" s="332">
        <v>1448</v>
      </c>
      <c r="V121" s="333"/>
    </row>
    <row r="122" spans="1:22" ht="33" customHeight="1" x14ac:dyDescent="0.2">
      <c r="A122" s="277">
        <f>IF(B122="","",COUNT('Diário 5º PA'!$A$5:$A$2634)+ROW()-4)</f>
        <v>1429</v>
      </c>
      <c r="B122" s="278">
        <v>44293</v>
      </c>
      <c r="C122" s="259">
        <v>44256</v>
      </c>
      <c r="D122" s="255" t="s">
        <v>88</v>
      </c>
      <c r="E122" s="255" t="s">
        <v>90</v>
      </c>
      <c r="F122" s="258">
        <v>10336.879999999999</v>
      </c>
      <c r="G122" s="255" t="s">
        <v>4150</v>
      </c>
      <c r="H122" s="255" t="s">
        <v>114</v>
      </c>
      <c r="I122" s="250" t="s">
        <v>1181</v>
      </c>
      <c r="J122" s="255" t="s">
        <v>1182</v>
      </c>
      <c r="K122" s="255" t="s">
        <v>991</v>
      </c>
      <c r="L122" s="250" t="s">
        <v>1183</v>
      </c>
      <c r="M122" s="277" t="s">
        <v>114</v>
      </c>
      <c r="N122" s="278">
        <v>44293</v>
      </c>
      <c r="O122" s="329" t="s">
        <v>67</v>
      </c>
      <c r="P122" s="330">
        <f t="shared" ref="P122:Q122" si="118">IF(B122=0,0,IF(YEAR(B122)=$Q$1,MONTH(B122)-$P$1+1,(YEAR(B122)-$Q$1)*12-$P$1+1+MONTH(B122)))</f>
        <v>4</v>
      </c>
      <c r="Q122" s="330">
        <f t="shared" si="118"/>
        <v>3</v>
      </c>
      <c r="R122" s="331" t="str">
        <f t="shared" si="1"/>
        <v>Gastos_com_Pessoal</v>
      </c>
      <c r="S122" s="331" t="str">
        <f>IF(D122="","",IF(OR(D122=Plano!$A$1,D122=Plano!$B$1),"entrada","saída"))</f>
        <v>saída</v>
      </c>
      <c r="T122" s="332" t="s">
        <v>114</v>
      </c>
      <c r="U122" s="332" t="s">
        <v>114</v>
      </c>
      <c r="V122" s="333"/>
    </row>
    <row r="123" spans="1:22" ht="36" customHeight="1" x14ac:dyDescent="0.2">
      <c r="A123" s="277">
        <f>IF(B123="","",COUNT('Diário 5º PA'!$A$5:$A$2634)+ROW()-4)</f>
        <v>1430</v>
      </c>
      <c r="B123" s="278">
        <v>44293</v>
      </c>
      <c r="C123" s="259">
        <v>44256</v>
      </c>
      <c r="D123" s="255" t="s">
        <v>88</v>
      </c>
      <c r="E123" s="255" t="s">
        <v>90</v>
      </c>
      <c r="F123" s="258">
        <v>204.33</v>
      </c>
      <c r="G123" s="255" t="s">
        <v>4151</v>
      </c>
      <c r="H123" s="255" t="s">
        <v>114</v>
      </c>
      <c r="I123" s="250" t="s">
        <v>1185</v>
      </c>
      <c r="J123" s="250" t="s">
        <v>1186</v>
      </c>
      <c r="K123" s="255" t="s">
        <v>991</v>
      </c>
      <c r="L123" s="250" t="s">
        <v>1183</v>
      </c>
      <c r="M123" s="277" t="s">
        <v>114</v>
      </c>
      <c r="N123" s="278">
        <v>44293</v>
      </c>
      <c r="O123" s="329" t="s">
        <v>67</v>
      </c>
      <c r="P123" s="330">
        <f t="shared" ref="P123:Q123" si="119">IF(B123=0,0,IF(YEAR(B123)=$Q$1,MONTH(B123)-$P$1+1,(YEAR(B123)-$Q$1)*12-$P$1+1+MONTH(B123)))</f>
        <v>4</v>
      </c>
      <c r="Q123" s="330">
        <f t="shared" si="119"/>
        <v>3</v>
      </c>
      <c r="R123" s="331" t="str">
        <f t="shared" si="1"/>
        <v>Gastos_com_Pessoal</v>
      </c>
      <c r="S123" s="331" t="str">
        <f>IF(D123="","",IF(OR(D123=Plano!$A$1,D123=Plano!$B$1),"entrada","saída"))</f>
        <v>saída</v>
      </c>
      <c r="T123" s="332" t="s">
        <v>114</v>
      </c>
      <c r="U123" s="332" t="s">
        <v>114</v>
      </c>
      <c r="V123" s="333"/>
    </row>
    <row r="124" spans="1:22" ht="40.5" customHeight="1" x14ac:dyDescent="0.2">
      <c r="A124" s="277">
        <f>IF(B124="","",COUNT('Diário 5º PA'!$A$5:$A$2634)+ROW()-4)</f>
        <v>1431</v>
      </c>
      <c r="B124" s="278">
        <v>44293</v>
      </c>
      <c r="C124" s="259">
        <v>44256</v>
      </c>
      <c r="D124" s="255" t="s">
        <v>88</v>
      </c>
      <c r="E124" s="255" t="s">
        <v>90</v>
      </c>
      <c r="F124" s="258">
        <v>1515.25</v>
      </c>
      <c r="G124" s="255" t="s">
        <v>4152</v>
      </c>
      <c r="H124" s="255" t="s">
        <v>114</v>
      </c>
      <c r="I124" s="250" t="s">
        <v>1188</v>
      </c>
      <c r="J124" s="250" t="s">
        <v>1189</v>
      </c>
      <c r="K124" s="255" t="s">
        <v>991</v>
      </c>
      <c r="L124" s="250" t="s">
        <v>1183</v>
      </c>
      <c r="M124" s="277" t="s">
        <v>114</v>
      </c>
      <c r="N124" s="278">
        <v>44293</v>
      </c>
      <c r="O124" s="329" t="s">
        <v>67</v>
      </c>
      <c r="P124" s="330">
        <f t="shared" ref="P124:Q124" si="120">IF(B124=0,0,IF(YEAR(B124)=$Q$1,MONTH(B124)-$P$1+1,(YEAR(B124)-$Q$1)*12-$P$1+1+MONTH(B124)))</f>
        <v>4</v>
      </c>
      <c r="Q124" s="330">
        <f t="shared" si="120"/>
        <v>3</v>
      </c>
      <c r="R124" s="331" t="str">
        <f t="shared" si="1"/>
        <v>Gastos_com_Pessoal</v>
      </c>
      <c r="S124" s="331" t="str">
        <f>IF(D124="","",IF(OR(D124=Plano!$A$1,D124=Plano!$B$1),"entrada","saída"))</f>
        <v>saída</v>
      </c>
      <c r="T124" s="332" t="s">
        <v>114</v>
      </c>
      <c r="U124" s="332" t="s">
        <v>114</v>
      </c>
      <c r="V124" s="333"/>
    </row>
    <row r="125" spans="1:22" ht="36" customHeight="1" x14ac:dyDescent="0.2">
      <c r="A125" s="277">
        <f>IF(B125="","",COUNT('Diário 5º PA'!$A$5:$A$2634)+ROW()-4)</f>
        <v>1432</v>
      </c>
      <c r="B125" s="278">
        <v>44293</v>
      </c>
      <c r="C125" s="259">
        <v>44256</v>
      </c>
      <c r="D125" s="255" t="s">
        <v>88</v>
      </c>
      <c r="E125" s="255" t="s">
        <v>90</v>
      </c>
      <c r="F125" s="258">
        <v>3549.36</v>
      </c>
      <c r="G125" s="255" t="s">
        <v>4153</v>
      </c>
      <c r="H125" s="255" t="s">
        <v>114</v>
      </c>
      <c r="I125" s="250" t="s">
        <v>1191</v>
      </c>
      <c r="J125" s="255" t="s">
        <v>1192</v>
      </c>
      <c r="K125" s="255" t="s">
        <v>991</v>
      </c>
      <c r="L125" s="250" t="s">
        <v>1183</v>
      </c>
      <c r="M125" s="277" t="s">
        <v>114</v>
      </c>
      <c r="N125" s="278">
        <v>44293</v>
      </c>
      <c r="O125" s="329" t="s">
        <v>67</v>
      </c>
      <c r="P125" s="330">
        <f t="shared" ref="P125:Q125" si="121">IF(B125=0,0,IF(YEAR(B125)=$Q$1,MONTH(B125)-$P$1+1,(YEAR(B125)-$Q$1)*12-$P$1+1+MONTH(B125)))</f>
        <v>4</v>
      </c>
      <c r="Q125" s="330">
        <f t="shared" si="121"/>
        <v>3</v>
      </c>
      <c r="R125" s="331" t="str">
        <f t="shared" si="1"/>
        <v>Gastos_com_Pessoal</v>
      </c>
      <c r="S125" s="331" t="str">
        <f>IF(D125="","",IF(OR(D125=Plano!$A$1,D125=Plano!$B$1),"entrada","saída"))</f>
        <v>saída</v>
      </c>
      <c r="T125" s="332" t="s">
        <v>114</v>
      </c>
      <c r="U125" s="332" t="s">
        <v>114</v>
      </c>
      <c r="V125" s="333"/>
    </row>
    <row r="126" spans="1:22" ht="36" customHeight="1" x14ac:dyDescent="0.2">
      <c r="A126" s="277">
        <f>IF(B126="","",COUNT('Diário 5º PA'!$A$5:$A$2634)+ROW()-4)</f>
        <v>1433</v>
      </c>
      <c r="B126" s="278">
        <v>44293</v>
      </c>
      <c r="C126" s="259">
        <v>44256</v>
      </c>
      <c r="D126" s="255" t="s">
        <v>88</v>
      </c>
      <c r="E126" s="255" t="s">
        <v>90</v>
      </c>
      <c r="F126" s="258">
        <v>3928.3</v>
      </c>
      <c r="G126" s="255" t="s">
        <v>4154</v>
      </c>
      <c r="H126" s="255" t="s">
        <v>114</v>
      </c>
      <c r="I126" s="250" t="s">
        <v>2756</v>
      </c>
      <c r="J126" s="250" t="s">
        <v>2757</v>
      </c>
      <c r="K126" s="255" t="s">
        <v>991</v>
      </c>
      <c r="L126" s="250" t="s">
        <v>1183</v>
      </c>
      <c r="M126" s="277" t="s">
        <v>114</v>
      </c>
      <c r="N126" s="278">
        <v>44293</v>
      </c>
      <c r="O126" s="329" t="s">
        <v>67</v>
      </c>
      <c r="P126" s="330">
        <f t="shared" ref="P126:Q126" si="122">IF(B126=0,0,IF(YEAR(B126)=$Q$1,MONTH(B126)-$P$1+1,(YEAR(B126)-$Q$1)*12-$P$1+1+MONTH(B126)))</f>
        <v>4</v>
      </c>
      <c r="Q126" s="330">
        <f t="shared" si="122"/>
        <v>3</v>
      </c>
      <c r="R126" s="331" t="str">
        <f t="shared" si="1"/>
        <v>Gastos_com_Pessoal</v>
      </c>
      <c r="S126" s="331" t="str">
        <f>IF(D126="","",IF(OR(D126=Plano!$A$1,D126=Plano!$B$1),"entrada","saída"))</f>
        <v>saída</v>
      </c>
      <c r="T126" s="332" t="s">
        <v>114</v>
      </c>
      <c r="U126" s="332" t="s">
        <v>114</v>
      </c>
      <c r="V126" s="333"/>
    </row>
    <row r="127" spans="1:22" ht="41.25" customHeight="1" x14ac:dyDescent="0.2">
      <c r="A127" s="277">
        <f>IF(B127="","",COUNT('Diário 5º PA'!$A$5:$A$2634)+ROW()-4)</f>
        <v>1434</v>
      </c>
      <c r="B127" s="278">
        <v>44293</v>
      </c>
      <c r="C127" s="259">
        <v>44256</v>
      </c>
      <c r="D127" s="255" t="s">
        <v>88</v>
      </c>
      <c r="E127" s="255" t="s">
        <v>90</v>
      </c>
      <c r="F127" s="257">
        <v>4413.74</v>
      </c>
      <c r="G127" s="255" t="s">
        <v>4155</v>
      </c>
      <c r="H127" s="255" t="s">
        <v>114</v>
      </c>
      <c r="I127" s="250" t="s">
        <v>1194</v>
      </c>
      <c r="J127" s="250" t="s">
        <v>1195</v>
      </c>
      <c r="K127" s="255" t="s">
        <v>991</v>
      </c>
      <c r="L127" s="250" t="s">
        <v>1183</v>
      </c>
      <c r="M127" s="277" t="s">
        <v>114</v>
      </c>
      <c r="N127" s="278">
        <v>44293</v>
      </c>
      <c r="O127" s="329" t="s">
        <v>67</v>
      </c>
      <c r="P127" s="330">
        <f t="shared" ref="P127:Q127" si="123">IF(B127=0,0,IF(YEAR(B127)=$Q$1,MONTH(B127)-$P$1+1,(YEAR(B127)-$Q$1)*12-$P$1+1+MONTH(B127)))</f>
        <v>4</v>
      </c>
      <c r="Q127" s="330">
        <f t="shared" si="123"/>
        <v>3</v>
      </c>
      <c r="R127" s="331" t="str">
        <f t="shared" si="1"/>
        <v>Gastos_com_Pessoal</v>
      </c>
      <c r="S127" s="331" t="str">
        <f>IF(D127="","",IF(OR(D127=Plano!$A$1,D127=Plano!$B$1),"entrada","saída"))</f>
        <v>saída</v>
      </c>
      <c r="T127" s="332" t="s">
        <v>114</v>
      </c>
      <c r="U127" s="332" t="s">
        <v>114</v>
      </c>
      <c r="V127" s="333"/>
    </row>
    <row r="128" spans="1:22" ht="43.5" customHeight="1" x14ac:dyDescent="0.2">
      <c r="A128" s="277">
        <f>IF(B128="","",COUNT('Diário 5º PA'!$A$5:$A$2634)+ROW()-4)</f>
        <v>1435</v>
      </c>
      <c r="B128" s="278">
        <v>44293</v>
      </c>
      <c r="C128" s="259">
        <v>44256</v>
      </c>
      <c r="D128" s="255" t="s">
        <v>88</v>
      </c>
      <c r="E128" s="255" t="s">
        <v>90</v>
      </c>
      <c r="F128" s="258">
        <v>10378.9</v>
      </c>
      <c r="G128" s="255" t="s">
        <v>4156</v>
      </c>
      <c r="H128" s="255" t="s">
        <v>114</v>
      </c>
      <c r="I128" s="250" t="s">
        <v>1197</v>
      </c>
      <c r="J128" s="255" t="s">
        <v>1198</v>
      </c>
      <c r="K128" s="255" t="s">
        <v>991</v>
      </c>
      <c r="L128" s="250" t="s">
        <v>1183</v>
      </c>
      <c r="M128" s="277" t="s">
        <v>114</v>
      </c>
      <c r="N128" s="278">
        <v>44293</v>
      </c>
      <c r="O128" s="329" t="s">
        <v>67</v>
      </c>
      <c r="P128" s="330">
        <f t="shared" ref="P128:Q128" si="124">IF(B128=0,0,IF(YEAR(B128)=$Q$1,MONTH(B128)-$P$1+1,(YEAR(B128)-$Q$1)*12-$P$1+1+MONTH(B128)))</f>
        <v>4</v>
      </c>
      <c r="Q128" s="330">
        <f t="shared" si="124"/>
        <v>3</v>
      </c>
      <c r="R128" s="331" t="str">
        <f t="shared" si="1"/>
        <v>Gastos_com_Pessoal</v>
      </c>
      <c r="S128" s="331" t="str">
        <f>IF(D128="","",IF(OR(D128=Plano!$A$1,D128=Plano!$B$1),"entrada","saída"))</f>
        <v>saída</v>
      </c>
      <c r="T128" s="332" t="s">
        <v>114</v>
      </c>
      <c r="U128" s="332" t="s">
        <v>114</v>
      </c>
      <c r="V128" s="333"/>
    </row>
    <row r="129" spans="1:22" ht="36" customHeight="1" x14ac:dyDescent="0.2">
      <c r="A129" s="277">
        <f>IF(B129="","",COUNT('Diário 5º PA'!$A$5:$A$2634)+ROW()-4)</f>
        <v>1436</v>
      </c>
      <c r="B129" s="278">
        <v>44293</v>
      </c>
      <c r="C129" s="259">
        <v>44256</v>
      </c>
      <c r="D129" s="255" t="s">
        <v>88</v>
      </c>
      <c r="E129" s="255" t="s">
        <v>90</v>
      </c>
      <c r="F129" s="258">
        <v>487.34</v>
      </c>
      <c r="G129" s="255" t="s">
        <v>4157</v>
      </c>
      <c r="H129" s="255" t="s">
        <v>114</v>
      </c>
      <c r="I129" s="250" t="s">
        <v>1200</v>
      </c>
      <c r="J129" s="250" t="s">
        <v>1201</v>
      </c>
      <c r="K129" s="255" t="s">
        <v>991</v>
      </c>
      <c r="L129" s="250" t="s">
        <v>1183</v>
      </c>
      <c r="M129" s="277" t="s">
        <v>114</v>
      </c>
      <c r="N129" s="278">
        <v>44293</v>
      </c>
      <c r="O129" s="329" t="s">
        <v>67</v>
      </c>
      <c r="P129" s="330">
        <f t="shared" ref="P129:Q129" si="125">IF(B129=0,0,IF(YEAR(B129)=$Q$1,MONTH(B129)-$P$1+1,(YEAR(B129)-$Q$1)*12-$P$1+1+MONTH(B129)))</f>
        <v>4</v>
      </c>
      <c r="Q129" s="330">
        <f t="shared" si="125"/>
        <v>3</v>
      </c>
      <c r="R129" s="331" t="str">
        <f t="shared" si="1"/>
        <v>Gastos_com_Pessoal</v>
      </c>
      <c r="S129" s="331" t="str">
        <f>IF(D129="","",IF(OR(D129=Plano!$A$1,D129=Plano!$B$1),"entrada","saída"))</f>
        <v>saída</v>
      </c>
      <c r="T129" s="332" t="s">
        <v>114</v>
      </c>
      <c r="U129" s="332" t="s">
        <v>114</v>
      </c>
      <c r="V129" s="333"/>
    </row>
    <row r="130" spans="1:22" ht="42" customHeight="1" x14ac:dyDescent="0.2">
      <c r="A130" s="277">
        <f>IF(B130="","",COUNT('Diário 5º PA'!$A$5:$A$2634)+ROW()-4)</f>
        <v>1437</v>
      </c>
      <c r="B130" s="278">
        <v>44293</v>
      </c>
      <c r="C130" s="259">
        <v>44256</v>
      </c>
      <c r="D130" s="255" t="s">
        <v>88</v>
      </c>
      <c r="E130" s="255" t="s">
        <v>90</v>
      </c>
      <c r="F130" s="258">
        <v>1515.25</v>
      </c>
      <c r="G130" s="255" t="s">
        <v>4158</v>
      </c>
      <c r="H130" s="255" t="s">
        <v>114</v>
      </c>
      <c r="I130" s="250" t="s">
        <v>1206</v>
      </c>
      <c r="J130" s="250" t="s">
        <v>1207</v>
      </c>
      <c r="K130" s="255" t="s">
        <v>991</v>
      </c>
      <c r="L130" s="250" t="s">
        <v>1183</v>
      </c>
      <c r="M130" s="277" t="s">
        <v>114</v>
      </c>
      <c r="N130" s="278">
        <v>44293</v>
      </c>
      <c r="O130" s="329" t="s">
        <v>67</v>
      </c>
      <c r="P130" s="330">
        <f t="shared" ref="P130:Q130" si="126">IF(B130=0,0,IF(YEAR(B130)=$Q$1,MONTH(B130)-$P$1+1,(YEAR(B130)-$Q$1)*12-$P$1+1+MONTH(B130)))</f>
        <v>4</v>
      </c>
      <c r="Q130" s="330">
        <f t="shared" si="126"/>
        <v>3</v>
      </c>
      <c r="R130" s="331" t="str">
        <f t="shared" si="1"/>
        <v>Gastos_com_Pessoal</v>
      </c>
      <c r="S130" s="331" t="str">
        <f>IF(D130="","",IF(OR(D130=Plano!$A$1,D130=Plano!$B$1),"entrada","saída"))</f>
        <v>saída</v>
      </c>
      <c r="T130" s="332" t="s">
        <v>114</v>
      </c>
      <c r="U130" s="332" t="s">
        <v>114</v>
      </c>
      <c r="V130" s="333"/>
    </row>
    <row r="131" spans="1:22" ht="36.75" customHeight="1" x14ac:dyDescent="0.2">
      <c r="A131" s="277">
        <f>IF(B131="","",COUNT('Diário 5º PA'!$A$5:$A$2634)+ROW()-4)</f>
        <v>1438</v>
      </c>
      <c r="B131" s="278">
        <v>44293</v>
      </c>
      <c r="C131" s="259">
        <v>44256</v>
      </c>
      <c r="D131" s="255" t="s">
        <v>88</v>
      </c>
      <c r="E131" s="255" t="s">
        <v>90</v>
      </c>
      <c r="F131" s="258">
        <v>1004.77</v>
      </c>
      <c r="G131" s="255" t="s">
        <v>4159</v>
      </c>
      <c r="H131" s="255" t="s">
        <v>114</v>
      </c>
      <c r="I131" s="250" t="s">
        <v>1203</v>
      </c>
      <c r="J131" s="250" t="s">
        <v>1204</v>
      </c>
      <c r="K131" s="255" t="s">
        <v>991</v>
      </c>
      <c r="L131" s="250" t="s">
        <v>1183</v>
      </c>
      <c r="M131" s="277" t="s">
        <v>114</v>
      </c>
      <c r="N131" s="278">
        <v>44293</v>
      </c>
      <c r="O131" s="329" t="s">
        <v>67</v>
      </c>
      <c r="P131" s="330">
        <f t="shared" ref="P131:Q131" si="127">IF(B131=0,0,IF(YEAR(B131)=$Q$1,MONTH(B131)-$P$1+1,(YEAR(B131)-$Q$1)*12-$P$1+1+MONTH(B131)))</f>
        <v>4</v>
      </c>
      <c r="Q131" s="330">
        <f t="shared" si="127"/>
        <v>3</v>
      </c>
      <c r="R131" s="331" t="str">
        <f t="shared" si="1"/>
        <v>Gastos_com_Pessoal</v>
      </c>
      <c r="S131" s="331" t="str">
        <f>IF(D131="","",IF(OR(D131=Plano!$A$1,D131=Plano!$B$1),"entrada","saída"))</f>
        <v>saída</v>
      </c>
      <c r="T131" s="332" t="s">
        <v>114</v>
      </c>
      <c r="U131" s="332" t="s">
        <v>114</v>
      </c>
      <c r="V131" s="333"/>
    </row>
    <row r="132" spans="1:22" ht="37.5" customHeight="1" x14ac:dyDescent="0.2">
      <c r="A132" s="277">
        <f>IF(B132="","",COUNT('Diário 5º PA'!$A$5:$A$2634)+ROW()-4)</f>
        <v>1439</v>
      </c>
      <c r="B132" s="278">
        <v>44293</v>
      </c>
      <c r="C132" s="259">
        <v>44256</v>
      </c>
      <c r="D132" s="255" t="s">
        <v>88</v>
      </c>
      <c r="E132" s="255" t="s">
        <v>171</v>
      </c>
      <c r="F132" s="258">
        <v>9329.36</v>
      </c>
      <c r="G132" s="255" t="s">
        <v>4160</v>
      </c>
      <c r="H132" s="255" t="s">
        <v>114</v>
      </c>
      <c r="I132" s="250" t="s">
        <v>1259</v>
      </c>
      <c r="J132" s="255" t="s">
        <v>114</v>
      </c>
      <c r="K132" s="255" t="s">
        <v>466</v>
      </c>
      <c r="L132" s="250" t="s">
        <v>171</v>
      </c>
      <c r="M132" s="278" t="s">
        <v>114</v>
      </c>
      <c r="N132" s="278">
        <v>44293</v>
      </c>
      <c r="O132" s="329" t="s">
        <v>67</v>
      </c>
      <c r="P132" s="330">
        <f t="shared" ref="P132:Q132" si="128">IF(B132=0,0,IF(YEAR(B132)=$Q$1,MONTH(B132)-$P$1+1,(YEAR(B132)-$Q$1)*12-$P$1+1+MONTH(B132)))</f>
        <v>4</v>
      </c>
      <c r="Q132" s="330">
        <f t="shared" si="128"/>
        <v>3</v>
      </c>
      <c r="R132" s="331" t="str">
        <f t="shared" si="1"/>
        <v>Gastos_com_Pessoal</v>
      </c>
      <c r="S132" s="331" t="str">
        <f>IF(D132="","",IF(OR(D132=Plano!$A$1,D132=Plano!$B$1),"entrada","saída"))</f>
        <v>saída</v>
      </c>
      <c r="T132" s="332" t="s">
        <v>114</v>
      </c>
      <c r="U132" s="332" t="s">
        <v>114</v>
      </c>
      <c r="V132" s="333"/>
    </row>
    <row r="133" spans="1:22" ht="146.25" customHeight="1" x14ac:dyDescent="0.2">
      <c r="A133" s="277">
        <f>IF(B133="","",COUNT('Diário 5º PA'!$A$5:$A$2634)+ROW()-4)</f>
        <v>1440</v>
      </c>
      <c r="B133" s="278">
        <v>44293</v>
      </c>
      <c r="C133" s="256">
        <v>44256</v>
      </c>
      <c r="D133" s="255" t="s">
        <v>99</v>
      </c>
      <c r="E133" s="255" t="s">
        <v>330</v>
      </c>
      <c r="F133" s="257">
        <v>311.25</v>
      </c>
      <c r="G133" s="255" t="s">
        <v>692</v>
      </c>
      <c r="H133" s="255" t="s">
        <v>115</v>
      </c>
      <c r="I133" s="250" t="s">
        <v>693</v>
      </c>
      <c r="J133" s="250" t="s">
        <v>694</v>
      </c>
      <c r="K133" s="255" t="s">
        <v>560</v>
      </c>
      <c r="L133" s="250" t="s">
        <v>1016</v>
      </c>
      <c r="M133" s="277">
        <v>29681</v>
      </c>
      <c r="N133" s="278">
        <v>44287</v>
      </c>
      <c r="O133" s="329" t="s">
        <v>67</v>
      </c>
      <c r="P133" s="330">
        <f t="shared" ref="P133:Q133" si="129">IF(B133=0,0,IF(YEAR(B133)=$Q$1,MONTH(B133)-$P$1+1,(YEAR(B133)-$Q$1)*12-$P$1+1+MONTH(B133)))</f>
        <v>4</v>
      </c>
      <c r="Q133" s="330">
        <f t="shared" si="129"/>
        <v>3</v>
      </c>
      <c r="R133" s="331" t="str">
        <f t="shared" si="1"/>
        <v>Gastos_Gerais</v>
      </c>
      <c r="S133" s="331" t="str">
        <f>IF(D133="","",IF(OR(D133=Plano!$A$1,D133=Plano!$B$1),"entrada","saída"))</f>
        <v>saída</v>
      </c>
      <c r="T133" s="332" t="s">
        <v>1059</v>
      </c>
      <c r="U133" s="332">
        <v>1141</v>
      </c>
      <c r="V133" s="333"/>
    </row>
    <row r="134" spans="1:22" ht="45" customHeight="1" x14ac:dyDescent="0.2">
      <c r="A134" s="277">
        <f>IF(B134="","",COUNT('Diário 5º PA'!$A$5:$A$2634)+ROW()-4)</f>
        <v>1441</v>
      </c>
      <c r="B134" s="278">
        <v>44293</v>
      </c>
      <c r="C134" s="256">
        <v>44256</v>
      </c>
      <c r="D134" s="255" t="s">
        <v>99</v>
      </c>
      <c r="E134" s="255" t="s">
        <v>330</v>
      </c>
      <c r="F134" s="258">
        <v>19905.97</v>
      </c>
      <c r="G134" s="255" t="s">
        <v>4161</v>
      </c>
      <c r="H134" s="255" t="s">
        <v>129</v>
      </c>
      <c r="I134" s="252" t="s">
        <v>558</v>
      </c>
      <c r="J134" s="252" t="s">
        <v>559</v>
      </c>
      <c r="K134" s="255" t="s">
        <v>560</v>
      </c>
      <c r="L134" s="250" t="s">
        <v>114</v>
      </c>
      <c r="M134" s="277" t="s">
        <v>114</v>
      </c>
      <c r="N134" s="278">
        <v>44293</v>
      </c>
      <c r="O134" s="329" t="s">
        <v>67</v>
      </c>
      <c r="P134" s="330">
        <f t="shared" ref="P134:Q134" si="130">IF(B134=0,0,IF(YEAR(B134)=$Q$1,MONTH(B134)-$P$1+1,(YEAR(B134)-$Q$1)*12-$P$1+1+MONTH(B134)))</f>
        <v>4</v>
      </c>
      <c r="Q134" s="330">
        <f t="shared" si="130"/>
        <v>3</v>
      </c>
      <c r="R134" s="331" t="str">
        <f t="shared" si="1"/>
        <v>Gastos_Gerais</v>
      </c>
      <c r="S134" s="331" t="str">
        <f>IF(D134="","",IF(OR(D134=Plano!$A$1,D134=Plano!$B$1),"entrada","saída"))</f>
        <v>saída</v>
      </c>
      <c r="T134" s="332" t="s">
        <v>114</v>
      </c>
      <c r="U134" s="332" t="s">
        <v>114</v>
      </c>
      <c r="V134" s="333"/>
    </row>
    <row r="135" spans="1:22" ht="173.25" customHeight="1" x14ac:dyDescent="0.2">
      <c r="A135" s="277">
        <f>IF(B135="","",COUNT('Diário 5º PA'!$A$5:$A$2634)+ROW()-4)</f>
        <v>1442</v>
      </c>
      <c r="B135" s="278">
        <v>44293</v>
      </c>
      <c r="C135" s="256">
        <v>44256</v>
      </c>
      <c r="D135" s="255" t="s">
        <v>99</v>
      </c>
      <c r="E135" s="255" t="s">
        <v>262</v>
      </c>
      <c r="F135" s="257">
        <v>1763.82</v>
      </c>
      <c r="G135" s="255" t="s">
        <v>3261</v>
      </c>
      <c r="H135" s="255" t="s">
        <v>115</v>
      </c>
      <c r="I135" s="250" t="s">
        <v>1078</v>
      </c>
      <c r="J135" s="252" t="s">
        <v>623</v>
      </c>
      <c r="K135" s="255" t="s">
        <v>991</v>
      </c>
      <c r="L135" s="250" t="s">
        <v>1016</v>
      </c>
      <c r="M135" s="277" t="s">
        <v>1546</v>
      </c>
      <c r="N135" s="278">
        <v>44292</v>
      </c>
      <c r="O135" s="329" t="s">
        <v>67</v>
      </c>
      <c r="P135" s="330">
        <f t="shared" ref="P135:Q135" si="131">IF(B135=0,0,IF(YEAR(B135)=$Q$1,MONTH(B135)-$P$1+1,(YEAR(B135)-$Q$1)*12-$P$1+1+MONTH(B135)))</f>
        <v>4</v>
      </c>
      <c r="Q135" s="330">
        <f t="shared" si="131"/>
        <v>3</v>
      </c>
      <c r="R135" s="331" t="str">
        <f t="shared" si="1"/>
        <v>Gastos_Gerais</v>
      </c>
      <c r="S135" s="331" t="str">
        <f>IF(D135="","",IF(OR(D135=Plano!$A$1,D135=Plano!$B$1),"entrada","saída"))</f>
        <v>saída</v>
      </c>
      <c r="T135" s="332" t="s">
        <v>994</v>
      </c>
      <c r="U135" s="332">
        <v>1191</v>
      </c>
      <c r="V135" s="333"/>
    </row>
    <row r="136" spans="1:22" ht="114" customHeight="1" x14ac:dyDescent="0.2">
      <c r="A136" s="277">
        <f>IF(B136="","",COUNT('Diário 5º PA'!$A$5:$A$2634)+ROW()-4)</f>
        <v>1443</v>
      </c>
      <c r="B136" s="278">
        <v>44293</v>
      </c>
      <c r="C136" s="256">
        <v>44256</v>
      </c>
      <c r="D136" s="255" t="s">
        <v>99</v>
      </c>
      <c r="E136" s="255" t="s">
        <v>254</v>
      </c>
      <c r="F136" s="258">
        <v>250</v>
      </c>
      <c r="G136" s="255" t="s">
        <v>651</v>
      </c>
      <c r="H136" s="255" t="s">
        <v>115</v>
      </c>
      <c r="I136" s="250" t="s">
        <v>1135</v>
      </c>
      <c r="J136" s="252" t="s">
        <v>652</v>
      </c>
      <c r="K136" s="255" t="s">
        <v>991</v>
      </c>
      <c r="L136" s="250" t="s">
        <v>1177</v>
      </c>
      <c r="M136" s="277" t="s">
        <v>114</v>
      </c>
      <c r="N136" s="278">
        <v>44293</v>
      </c>
      <c r="O136" s="329" t="s">
        <v>67</v>
      </c>
      <c r="P136" s="330">
        <f t="shared" ref="P136:Q136" si="132">IF(B136=0,0,IF(YEAR(B136)=$Q$1,MONTH(B136)-$P$1+1,(YEAR(B136)-$Q$1)*12-$P$1+1+MONTH(B136)))</f>
        <v>4</v>
      </c>
      <c r="Q136" s="330">
        <f t="shared" si="132"/>
        <v>3</v>
      </c>
      <c r="R136" s="331" t="str">
        <f t="shared" si="1"/>
        <v>Gastos_Gerais</v>
      </c>
      <c r="S136" s="331" t="str">
        <f>IF(D136="","",IF(OR(D136=Plano!$A$1,D136=Plano!$B$1),"entrada","saída"))</f>
        <v>saída</v>
      </c>
      <c r="T136" s="332" t="s">
        <v>1059</v>
      </c>
      <c r="U136" s="332">
        <v>1139</v>
      </c>
      <c r="V136" s="333"/>
    </row>
    <row r="137" spans="1:22" ht="105.75" customHeight="1" x14ac:dyDescent="0.2">
      <c r="A137" s="277">
        <f>IF(B137="","",COUNT('Diário 5º PA'!$A$5:$A$2634)+ROW()-4)</f>
        <v>1444</v>
      </c>
      <c r="B137" s="278">
        <v>44293</v>
      </c>
      <c r="C137" s="256">
        <v>44256</v>
      </c>
      <c r="D137" s="255" t="s">
        <v>99</v>
      </c>
      <c r="E137" s="255" t="s">
        <v>254</v>
      </c>
      <c r="F137" s="258">
        <v>750</v>
      </c>
      <c r="G137" s="255" t="s">
        <v>651</v>
      </c>
      <c r="H137" s="255" t="s">
        <v>115</v>
      </c>
      <c r="I137" s="250" t="s">
        <v>1135</v>
      </c>
      <c r="J137" s="252" t="s">
        <v>652</v>
      </c>
      <c r="K137" s="255" t="s">
        <v>991</v>
      </c>
      <c r="L137" s="250" t="s">
        <v>1177</v>
      </c>
      <c r="M137" s="277" t="s">
        <v>114</v>
      </c>
      <c r="N137" s="278">
        <v>44293</v>
      </c>
      <c r="O137" s="329" t="s">
        <v>67</v>
      </c>
      <c r="P137" s="330">
        <f t="shared" ref="P137:Q137" si="133">IF(B137=0,0,IF(YEAR(B137)=$Q$1,MONTH(B137)-$P$1+1,(YEAR(B137)-$Q$1)*12-$P$1+1+MONTH(B137)))</f>
        <v>4</v>
      </c>
      <c r="Q137" s="330">
        <f t="shared" si="133"/>
        <v>3</v>
      </c>
      <c r="R137" s="331" t="str">
        <f t="shared" si="1"/>
        <v>Gastos_Gerais</v>
      </c>
      <c r="S137" s="331" t="str">
        <f>IF(D137="","",IF(OR(D137=Plano!$A$1,D137=Plano!$B$1),"entrada","saída"))</f>
        <v>saída</v>
      </c>
      <c r="T137" s="332" t="s">
        <v>1059</v>
      </c>
      <c r="U137" s="332">
        <v>1139</v>
      </c>
      <c r="V137" s="333"/>
    </row>
    <row r="138" spans="1:22" ht="55.5" customHeight="1" x14ac:dyDescent="0.2">
      <c r="A138" s="277">
        <f>IF(B138="","",COUNT('Diário 5º PA'!$A$5:$A$2634)+ROW()-4)</f>
        <v>1445</v>
      </c>
      <c r="B138" s="278">
        <v>44293</v>
      </c>
      <c r="C138" s="256">
        <v>44256</v>
      </c>
      <c r="D138" s="255" t="s">
        <v>99</v>
      </c>
      <c r="E138" s="255" t="s">
        <v>270</v>
      </c>
      <c r="F138" s="258">
        <v>282.31</v>
      </c>
      <c r="G138" s="255" t="s">
        <v>2666</v>
      </c>
      <c r="H138" s="255" t="s">
        <v>115</v>
      </c>
      <c r="I138" s="250" t="s">
        <v>2667</v>
      </c>
      <c r="J138" s="255" t="s">
        <v>3868</v>
      </c>
      <c r="K138" s="255" t="s">
        <v>991</v>
      </c>
      <c r="L138" s="250" t="s">
        <v>1177</v>
      </c>
      <c r="M138" s="277" t="s">
        <v>114</v>
      </c>
      <c r="N138" s="278">
        <v>44293</v>
      </c>
      <c r="O138" s="329" t="s">
        <v>67</v>
      </c>
      <c r="P138" s="330">
        <f t="shared" ref="P138:Q138" si="134">IF(B138=0,0,IF(YEAR(B138)=$Q$1,MONTH(B138)-$P$1+1,(YEAR(B138)-$Q$1)*12-$P$1+1+MONTH(B138)))</f>
        <v>4</v>
      </c>
      <c r="Q138" s="330">
        <f t="shared" si="134"/>
        <v>3</v>
      </c>
      <c r="R138" s="331" t="str">
        <f t="shared" si="1"/>
        <v>Gastos_Gerais</v>
      </c>
      <c r="S138" s="331" t="str">
        <f>IF(D138="","",IF(OR(D138=Plano!$A$1,D138=Plano!$B$1),"entrada","saída"))</f>
        <v>saída</v>
      </c>
      <c r="T138" s="332" t="s">
        <v>114</v>
      </c>
      <c r="U138" s="332" t="s">
        <v>114</v>
      </c>
      <c r="V138" s="333"/>
    </row>
    <row r="139" spans="1:22" ht="107.25" customHeight="1" x14ac:dyDescent="0.2">
      <c r="A139" s="277">
        <f>IF(B139="","",COUNT('Diário 5º PA'!$A$5:$A$2634)+ROW()-4)</f>
        <v>1446</v>
      </c>
      <c r="B139" s="278">
        <v>44293</v>
      </c>
      <c r="C139" s="259">
        <v>44256</v>
      </c>
      <c r="D139" s="252" t="s">
        <v>99</v>
      </c>
      <c r="E139" s="252" t="s">
        <v>266</v>
      </c>
      <c r="F139" s="257">
        <v>6624.7</v>
      </c>
      <c r="G139" s="252" t="s">
        <v>4162</v>
      </c>
      <c r="H139" s="252" t="s">
        <v>129</v>
      </c>
      <c r="I139" s="252" t="s">
        <v>1447</v>
      </c>
      <c r="J139" s="250" t="s">
        <v>587</v>
      </c>
      <c r="K139" s="255" t="s">
        <v>991</v>
      </c>
      <c r="L139" s="250" t="s">
        <v>1016</v>
      </c>
      <c r="M139" s="277" t="s">
        <v>1301</v>
      </c>
      <c r="N139" s="278">
        <v>44293</v>
      </c>
      <c r="O139" s="329" t="s">
        <v>67</v>
      </c>
      <c r="P139" s="330">
        <f t="shared" ref="P139:Q139" si="135">IF(B139=0,0,IF(YEAR(B139)=$Q$1,MONTH(B139)-$P$1+1,(YEAR(B139)-$Q$1)*12-$P$1+1+MONTH(B139)))</f>
        <v>4</v>
      </c>
      <c r="Q139" s="330">
        <f t="shared" si="135"/>
        <v>3</v>
      </c>
      <c r="R139" s="331" t="str">
        <f t="shared" si="1"/>
        <v>Gastos_Gerais</v>
      </c>
      <c r="S139" s="331" t="str">
        <f>IF(D139="","",IF(OR(D139=Plano!$A$1,D139=Plano!$B$1),"entrada","saída"))</f>
        <v>saída</v>
      </c>
      <c r="T139" s="332" t="s">
        <v>994</v>
      </c>
      <c r="U139" s="332">
        <v>1309</v>
      </c>
      <c r="V139" s="333"/>
    </row>
    <row r="140" spans="1:22" ht="102" customHeight="1" x14ac:dyDescent="0.2">
      <c r="A140" s="277">
        <f>IF(B140="","",COUNT('Diário 5º PA'!$A$5:$A$2634)+ROW()-4)</f>
        <v>1447</v>
      </c>
      <c r="B140" s="278">
        <v>44293</v>
      </c>
      <c r="C140" s="259">
        <v>44256</v>
      </c>
      <c r="D140" s="252" t="s">
        <v>99</v>
      </c>
      <c r="E140" s="252" t="s">
        <v>352</v>
      </c>
      <c r="F140" s="257">
        <v>950</v>
      </c>
      <c r="G140" s="252" t="s">
        <v>4163</v>
      </c>
      <c r="H140" s="252" t="s">
        <v>131</v>
      </c>
      <c r="I140" s="252" t="s">
        <v>1210</v>
      </c>
      <c r="J140" s="250" t="s">
        <v>567</v>
      </c>
      <c r="K140" s="255" t="s">
        <v>991</v>
      </c>
      <c r="L140" s="250" t="s">
        <v>1016</v>
      </c>
      <c r="M140" s="277" t="s">
        <v>1058</v>
      </c>
      <c r="N140" s="278">
        <v>44293</v>
      </c>
      <c r="O140" s="329" t="s">
        <v>67</v>
      </c>
      <c r="P140" s="330">
        <f t="shared" ref="P140:Q140" si="136">IF(B140=0,0,IF(YEAR(B140)=$Q$1,MONTH(B140)-$P$1+1,(YEAR(B140)-$Q$1)*12-$P$1+1+MONTH(B140)))</f>
        <v>4</v>
      </c>
      <c r="Q140" s="330">
        <f t="shared" si="136"/>
        <v>3</v>
      </c>
      <c r="R140" s="331" t="str">
        <f t="shared" si="1"/>
        <v>Gastos_Gerais</v>
      </c>
      <c r="S140" s="331" t="str">
        <f>IF(D140="","",IF(OR(D140=Plano!$A$1,D140=Plano!$B$1),"entrada","saída"))</f>
        <v>saída</v>
      </c>
      <c r="T140" s="332" t="s">
        <v>1059</v>
      </c>
      <c r="U140" s="332">
        <v>1279</v>
      </c>
      <c r="V140" s="333"/>
    </row>
    <row r="141" spans="1:22" ht="39.75" customHeight="1" x14ac:dyDescent="0.2">
      <c r="A141" s="277">
        <f>IF(B141="","",COUNT('Diário 5º PA'!$A$5:$A$2634)+ROW()-4)</f>
        <v>1448</v>
      </c>
      <c r="B141" s="278">
        <v>44293</v>
      </c>
      <c r="C141" s="256">
        <v>44256</v>
      </c>
      <c r="D141" s="255" t="s">
        <v>88</v>
      </c>
      <c r="E141" s="255" t="s">
        <v>90</v>
      </c>
      <c r="F141" s="257">
        <v>2742.61</v>
      </c>
      <c r="G141" s="255" t="s">
        <v>4164</v>
      </c>
      <c r="H141" s="255" t="s">
        <v>114</v>
      </c>
      <c r="I141" s="250" t="s">
        <v>1221</v>
      </c>
      <c r="J141" s="255" t="s">
        <v>1222</v>
      </c>
      <c r="K141" s="255" t="s">
        <v>1015</v>
      </c>
      <c r="L141" s="250" t="s">
        <v>1183</v>
      </c>
      <c r="M141" s="277" t="s">
        <v>114</v>
      </c>
      <c r="N141" s="278">
        <v>44293</v>
      </c>
      <c r="O141" s="329" t="s">
        <v>67</v>
      </c>
      <c r="P141" s="330">
        <f t="shared" ref="P141:Q141" si="137">IF(B141=0,0,IF(YEAR(B141)=$Q$1,MONTH(B141)-$P$1+1,(YEAR(B141)-$Q$1)*12-$P$1+1+MONTH(B141)))</f>
        <v>4</v>
      </c>
      <c r="Q141" s="330">
        <f t="shared" si="137"/>
        <v>3</v>
      </c>
      <c r="R141" s="331" t="str">
        <f t="shared" si="1"/>
        <v>Gastos_com_Pessoal</v>
      </c>
      <c r="S141" s="331" t="str">
        <f>IF(D141="","",IF(OR(D141=Plano!$A$1,D141=Plano!$B$1),"entrada","saída"))</f>
        <v>saída</v>
      </c>
      <c r="T141" s="332" t="s">
        <v>114</v>
      </c>
      <c r="U141" s="332" t="s">
        <v>114</v>
      </c>
      <c r="V141" s="333"/>
    </row>
    <row r="142" spans="1:22" ht="47.25" customHeight="1" x14ac:dyDescent="0.2">
      <c r="A142" s="277">
        <f>IF(B142="","",COUNT('Diário 5º PA'!$A$5:$A$2634)+ROW()-4)</f>
        <v>1449</v>
      </c>
      <c r="B142" s="278">
        <v>44293</v>
      </c>
      <c r="C142" s="256">
        <v>44256</v>
      </c>
      <c r="D142" s="255" t="s">
        <v>88</v>
      </c>
      <c r="E142" s="255" t="s">
        <v>90</v>
      </c>
      <c r="F142" s="257">
        <v>2725.06</v>
      </c>
      <c r="G142" s="255" t="s">
        <v>4165</v>
      </c>
      <c r="H142" s="255" t="s">
        <v>114</v>
      </c>
      <c r="I142" s="250" t="s">
        <v>1224</v>
      </c>
      <c r="J142" s="255" t="s">
        <v>1225</v>
      </c>
      <c r="K142" s="255" t="s">
        <v>1015</v>
      </c>
      <c r="L142" s="250" t="s">
        <v>1183</v>
      </c>
      <c r="M142" s="277" t="s">
        <v>114</v>
      </c>
      <c r="N142" s="278">
        <v>44293</v>
      </c>
      <c r="O142" s="329" t="s">
        <v>67</v>
      </c>
      <c r="P142" s="330">
        <f t="shared" ref="P142:Q142" si="138">IF(B142=0,0,IF(YEAR(B142)=$Q$1,MONTH(B142)-$P$1+1,(YEAR(B142)-$Q$1)*12-$P$1+1+MONTH(B142)))</f>
        <v>4</v>
      </c>
      <c r="Q142" s="330">
        <f t="shared" si="138"/>
        <v>3</v>
      </c>
      <c r="R142" s="331" t="str">
        <f t="shared" si="1"/>
        <v>Gastos_com_Pessoal</v>
      </c>
      <c r="S142" s="331" t="str">
        <f>IF(D142="","",IF(OR(D142=Plano!$A$1,D142=Plano!$B$1),"entrada","saída"))</f>
        <v>saída</v>
      </c>
      <c r="T142" s="332" t="s">
        <v>114</v>
      </c>
      <c r="U142" s="332" t="s">
        <v>114</v>
      </c>
      <c r="V142" s="333"/>
    </row>
    <row r="143" spans="1:22" ht="43.5" customHeight="1" x14ac:dyDescent="0.2">
      <c r="A143" s="277">
        <f>IF(B143="","",COUNT('Diário 5º PA'!$A$5:$A$2634)+ROW()-4)</f>
        <v>1450</v>
      </c>
      <c r="B143" s="278">
        <v>44293</v>
      </c>
      <c r="C143" s="256">
        <v>44256</v>
      </c>
      <c r="D143" s="255" t="s">
        <v>88</v>
      </c>
      <c r="E143" s="255" t="s">
        <v>90</v>
      </c>
      <c r="F143" s="257">
        <v>1515.25</v>
      </c>
      <c r="G143" s="255" t="s">
        <v>4152</v>
      </c>
      <c r="H143" s="255" t="s">
        <v>114</v>
      </c>
      <c r="I143" s="250" t="s">
        <v>1226</v>
      </c>
      <c r="J143" s="255" t="s">
        <v>1227</v>
      </c>
      <c r="K143" s="255" t="s">
        <v>1015</v>
      </c>
      <c r="L143" s="250" t="s">
        <v>1183</v>
      </c>
      <c r="M143" s="277" t="s">
        <v>114</v>
      </c>
      <c r="N143" s="278">
        <v>44293</v>
      </c>
      <c r="O143" s="329" t="s">
        <v>67</v>
      </c>
      <c r="P143" s="330">
        <f t="shared" ref="P143:Q143" si="139">IF(B143=0,0,IF(YEAR(B143)=$Q$1,MONTH(B143)-$P$1+1,(YEAR(B143)-$Q$1)*12-$P$1+1+MONTH(B143)))</f>
        <v>4</v>
      </c>
      <c r="Q143" s="330">
        <f t="shared" si="139"/>
        <v>3</v>
      </c>
      <c r="R143" s="331" t="str">
        <f t="shared" si="1"/>
        <v>Gastos_com_Pessoal</v>
      </c>
      <c r="S143" s="331" t="str">
        <f>IF(D143="","",IF(OR(D143=Plano!$A$1,D143=Plano!$B$1),"entrada","saída"))</f>
        <v>saída</v>
      </c>
      <c r="T143" s="332" t="s">
        <v>114</v>
      </c>
      <c r="U143" s="332" t="s">
        <v>114</v>
      </c>
      <c r="V143" s="333"/>
    </row>
    <row r="144" spans="1:22" ht="42.75" customHeight="1" x14ac:dyDescent="0.2">
      <c r="A144" s="277">
        <f>IF(B144="","",COUNT('Diário 5º PA'!$A$5:$A$2634)+ROW()-4)</f>
        <v>1451</v>
      </c>
      <c r="B144" s="278">
        <v>44293</v>
      </c>
      <c r="C144" s="256">
        <v>44256</v>
      </c>
      <c r="D144" s="255" t="s">
        <v>88</v>
      </c>
      <c r="E144" s="255" t="s">
        <v>90</v>
      </c>
      <c r="F144" s="257">
        <v>11888.2</v>
      </c>
      <c r="G144" s="255" t="s">
        <v>4166</v>
      </c>
      <c r="H144" s="255" t="s">
        <v>114</v>
      </c>
      <c r="I144" s="250" t="s">
        <v>1229</v>
      </c>
      <c r="J144" s="255" t="s">
        <v>1230</v>
      </c>
      <c r="K144" s="255" t="s">
        <v>1015</v>
      </c>
      <c r="L144" s="250" t="s">
        <v>1183</v>
      </c>
      <c r="M144" s="277" t="s">
        <v>114</v>
      </c>
      <c r="N144" s="278">
        <v>44293</v>
      </c>
      <c r="O144" s="329" t="s">
        <v>67</v>
      </c>
      <c r="P144" s="330">
        <f t="shared" ref="P144:Q144" si="140">IF(B144=0,0,IF(YEAR(B144)=$Q$1,MONTH(B144)-$P$1+1,(YEAR(B144)-$Q$1)*12-$P$1+1+MONTH(B144)))</f>
        <v>4</v>
      </c>
      <c r="Q144" s="330">
        <f t="shared" si="140"/>
        <v>3</v>
      </c>
      <c r="R144" s="331" t="str">
        <f t="shared" si="1"/>
        <v>Gastos_com_Pessoal</v>
      </c>
      <c r="S144" s="331" t="str">
        <f>IF(D144="","",IF(OR(D144=Plano!$A$1,D144=Plano!$B$1),"entrada","saída"))</f>
        <v>saída</v>
      </c>
      <c r="T144" s="332" t="s">
        <v>114</v>
      </c>
      <c r="U144" s="332" t="s">
        <v>114</v>
      </c>
      <c r="V144" s="333"/>
    </row>
    <row r="145" spans="1:22" ht="38.25" customHeight="1" x14ac:dyDescent="0.2">
      <c r="A145" s="277">
        <f>IF(B145="","",COUNT('Diário 5º PA'!$A$5:$A$2634)+ROW()-4)</f>
        <v>1452</v>
      </c>
      <c r="B145" s="278">
        <v>44293</v>
      </c>
      <c r="C145" s="256">
        <v>44256</v>
      </c>
      <c r="D145" s="255" t="s">
        <v>88</v>
      </c>
      <c r="E145" s="255" t="s">
        <v>90</v>
      </c>
      <c r="F145" s="257">
        <v>2799.57</v>
      </c>
      <c r="G145" s="255" t="s">
        <v>4167</v>
      </c>
      <c r="H145" s="255" t="s">
        <v>114</v>
      </c>
      <c r="I145" s="250" t="s">
        <v>1232</v>
      </c>
      <c r="J145" s="255" t="s">
        <v>1233</v>
      </c>
      <c r="K145" s="255" t="s">
        <v>1015</v>
      </c>
      <c r="L145" s="250" t="s">
        <v>1183</v>
      </c>
      <c r="M145" s="277" t="s">
        <v>114</v>
      </c>
      <c r="N145" s="278">
        <v>44293</v>
      </c>
      <c r="O145" s="329" t="s">
        <v>67</v>
      </c>
      <c r="P145" s="330">
        <f t="shared" ref="P145:Q145" si="141">IF(B145=0,0,IF(YEAR(B145)=$Q$1,MONTH(B145)-$P$1+1,(YEAR(B145)-$Q$1)*12-$P$1+1+MONTH(B145)))</f>
        <v>4</v>
      </c>
      <c r="Q145" s="330">
        <f t="shared" si="141"/>
        <v>3</v>
      </c>
      <c r="R145" s="331" t="str">
        <f t="shared" si="1"/>
        <v>Gastos_com_Pessoal</v>
      </c>
      <c r="S145" s="331" t="str">
        <f>IF(D145="","",IF(OR(D145=Plano!$A$1,D145=Plano!$B$1),"entrada","saída"))</f>
        <v>saída</v>
      </c>
      <c r="T145" s="332" t="s">
        <v>114</v>
      </c>
      <c r="U145" s="332" t="s">
        <v>114</v>
      </c>
      <c r="V145" s="333"/>
    </row>
    <row r="146" spans="1:22" ht="44.25" customHeight="1" x14ac:dyDescent="0.2">
      <c r="A146" s="277">
        <f>IF(B146="","",COUNT('Diário 5º PA'!$A$5:$A$2634)+ROW()-4)</f>
        <v>1453</v>
      </c>
      <c r="B146" s="278">
        <v>44293</v>
      </c>
      <c r="C146" s="256">
        <v>44256</v>
      </c>
      <c r="D146" s="255" t="s">
        <v>88</v>
      </c>
      <c r="E146" s="255" t="s">
        <v>90</v>
      </c>
      <c r="F146" s="257">
        <v>4413.74</v>
      </c>
      <c r="G146" s="250" t="s">
        <v>4168</v>
      </c>
      <c r="H146" s="255" t="s">
        <v>114</v>
      </c>
      <c r="I146" s="250" t="s">
        <v>1235</v>
      </c>
      <c r="J146" s="255" t="s">
        <v>1236</v>
      </c>
      <c r="K146" s="255" t="s">
        <v>1015</v>
      </c>
      <c r="L146" s="250" t="s">
        <v>1183</v>
      </c>
      <c r="M146" s="277" t="s">
        <v>114</v>
      </c>
      <c r="N146" s="278">
        <v>44293</v>
      </c>
      <c r="O146" s="329" t="s">
        <v>67</v>
      </c>
      <c r="P146" s="330">
        <f t="shared" ref="P146:Q146" si="142">IF(B146=0,0,IF(YEAR(B146)=$Q$1,MONTH(B146)-$P$1+1,(YEAR(B146)-$Q$1)*12-$P$1+1+MONTH(B146)))</f>
        <v>4</v>
      </c>
      <c r="Q146" s="330">
        <f t="shared" si="142"/>
        <v>3</v>
      </c>
      <c r="R146" s="331" t="str">
        <f t="shared" si="1"/>
        <v>Gastos_com_Pessoal</v>
      </c>
      <c r="S146" s="331" t="str">
        <f>IF(D146="","",IF(OR(D146=Plano!$A$1,D146=Plano!$B$1),"entrada","saída"))</f>
        <v>saída</v>
      </c>
      <c r="T146" s="332" t="s">
        <v>114</v>
      </c>
      <c r="U146" s="332" t="s">
        <v>114</v>
      </c>
      <c r="V146" s="333"/>
    </row>
    <row r="147" spans="1:22" ht="38.25" customHeight="1" x14ac:dyDescent="0.2">
      <c r="A147" s="277">
        <f>IF(B147="","",COUNT('Diário 5º PA'!$A$5:$A$2634)+ROW()-4)</f>
        <v>1454</v>
      </c>
      <c r="B147" s="278">
        <v>44293</v>
      </c>
      <c r="C147" s="249">
        <v>44287</v>
      </c>
      <c r="D147" s="255" t="s">
        <v>99</v>
      </c>
      <c r="E147" s="255" t="s">
        <v>272</v>
      </c>
      <c r="F147" s="258">
        <v>10.45</v>
      </c>
      <c r="G147" s="255" t="s">
        <v>1237</v>
      </c>
      <c r="H147" s="255" t="s">
        <v>114</v>
      </c>
      <c r="I147" s="250" t="s">
        <v>949</v>
      </c>
      <c r="J147" s="255" t="s">
        <v>950</v>
      </c>
      <c r="K147" s="255" t="s">
        <v>951</v>
      </c>
      <c r="L147" s="250" t="s">
        <v>947</v>
      </c>
      <c r="M147" s="336" t="s">
        <v>114</v>
      </c>
      <c r="N147" s="278">
        <v>44293</v>
      </c>
      <c r="O147" s="329" t="s">
        <v>67</v>
      </c>
      <c r="P147" s="330">
        <f t="shared" ref="P147:Q147" si="143">IF(B147=0,0,IF(YEAR(B147)=$Q$1,MONTH(B147)-$P$1+1,(YEAR(B147)-$Q$1)*12-$P$1+1+MONTH(B147)))</f>
        <v>4</v>
      </c>
      <c r="Q147" s="330">
        <f t="shared" si="143"/>
        <v>4</v>
      </c>
      <c r="R147" s="331" t="str">
        <f t="shared" si="1"/>
        <v>Gastos_Gerais</v>
      </c>
      <c r="S147" s="331" t="str">
        <f>IF(D147="","",IF(OR(D147=Plano!$A$1,D147=Plano!$B$1),"entrada","saída"))</f>
        <v>saída</v>
      </c>
      <c r="T147" s="332" t="s">
        <v>114</v>
      </c>
      <c r="U147" s="332" t="s">
        <v>114</v>
      </c>
      <c r="V147" s="333"/>
    </row>
    <row r="148" spans="1:22" ht="39.75" customHeight="1" x14ac:dyDescent="0.2">
      <c r="A148" s="277">
        <f>IF(B148="","",COUNT('Diário 5º PA'!$A$5:$A$2634)+ROW()-4)</f>
        <v>1455</v>
      </c>
      <c r="B148" s="278">
        <v>44293</v>
      </c>
      <c r="C148" s="249">
        <v>44287</v>
      </c>
      <c r="D148" s="255" t="s">
        <v>99</v>
      </c>
      <c r="E148" s="255" t="s">
        <v>272</v>
      </c>
      <c r="F148" s="258">
        <v>10.45</v>
      </c>
      <c r="G148" s="255" t="s">
        <v>1238</v>
      </c>
      <c r="H148" s="255" t="s">
        <v>114</v>
      </c>
      <c r="I148" s="250" t="s">
        <v>949</v>
      </c>
      <c r="J148" s="255" t="s">
        <v>950</v>
      </c>
      <c r="K148" s="255" t="s">
        <v>951</v>
      </c>
      <c r="L148" s="250" t="s">
        <v>947</v>
      </c>
      <c r="M148" s="336" t="s">
        <v>114</v>
      </c>
      <c r="N148" s="278">
        <v>44293</v>
      </c>
      <c r="O148" s="329" t="s">
        <v>67</v>
      </c>
      <c r="P148" s="330">
        <f t="shared" ref="P148:Q148" si="144">IF(B148=0,0,IF(YEAR(B148)=$Q$1,MONTH(B148)-$P$1+1,(YEAR(B148)-$Q$1)*12-$P$1+1+MONTH(B148)))</f>
        <v>4</v>
      </c>
      <c r="Q148" s="330">
        <f t="shared" si="144"/>
        <v>4</v>
      </c>
      <c r="R148" s="331" t="str">
        <f t="shared" si="1"/>
        <v>Gastos_Gerais</v>
      </c>
      <c r="S148" s="331" t="str">
        <f>IF(D148="","",IF(OR(D148=Plano!$A$1,D148=Plano!$B$1),"entrada","saída"))</f>
        <v>saída</v>
      </c>
      <c r="T148" s="332" t="s">
        <v>114</v>
      </c>
      <c r="U148" s="332" t="s">
        <v>114</v>
      </c>
      <c r="V148" s="333"/>
    </row>
    <row r="149" spans="1:22" ht="51.75" customHeight="1" x14ac:dyDescent="0.2">
      <c r="A149" s="277">
        <f>IF(B149="","",COUNT('Diário 5º PA'!$A$5:$A$2634)+ROW()-4)</f>
        <v>1456</v>
      </c>
      <c r="B149" s="278">
        <v>44293</v>
      </c>
      <c r="C149" s="249">
        <v>44287</v>
      </c>
      <c r="D149" s="255" t="s">
        <v>99</v>
      </c>
      <c r="E149" s="255" t="s">
        <v>272</v>
      </c>
      <c r="F149" s="258">
        <v>10.45</v>
      </c>
      <c r="G149" s="255" t="s">
        <v>1239</v>
      </c>
      <c r="H149" s="255" t="s">
        <v>114</v>
      </c>
      <c r="I149" s="250" t="s">
        <v>949</v>
      </c>
      <c r="J149" s="255" t="s">
        <v>950</v>
      </c>
      <c r="K149" s="255" t="s">
        <v>951</v>
      </c>
      <c r="L149" s="250" t="s">
        <v>947</v>
      </c>
      <c r="M149" s="336" t="s">
        <v>114</v>
      </c>
      <c r="N149" s="278">
        <v>44293</v>
      </c>
      <c r="O149" s="329" t="s">
        <v>67</v>
      </c>
      <c r="P149" s="330">
        <f t="shared" ref="P149:Q149" si="145">IF(B149=0,0,IF(YEAR(B149)=$Q$1,MONTH(B149)-$P$1+1,(YEAR(B149)-$Q$1)*12-$P$1+1+MONTH(B149)))</f>
        <v>4</v>
      </c>
      <c r="Q149" s="330">
        <f t="shared" si="145"/>
        <v>4</v>
      </c>
      <c r="R149" s="331" t="str">
        <f t="shared" si="1"/>
        <v>Gastos_Gerais</v>
      </c>
      <c r="S149" s="331" t="str">
        <f>IF(D149="","",IF(OR(D149=Plano!$A$1,D149=Plano!$B$1),"entrada","saída"))</f>
        <v>saída</v>
      </c>
      <c r="T149" s="332" t="s">
        <v>114</v>
      </c>
      <c r="U149" s="332" t="s">
        <v>114</v>
      </c>
      <c r="V149" s="333"/>
    </row>
    <row r="150" spans="1:22" ht="54" customHeight="1" x14ac:dyDescent="0.2">
      <c r="A150" s="277">
        <f>IF(B150="","",COUNT('Diário 5º PA'!$A$5:$A$2634)+ROW()-4)</f>
        <v>1457</v>
      </c>
      <c r="B150" s="278">
        <v>44293</v>
      </c>
      <c r="C150" s="249">
        <v>44287</v>
      </c>
      <c r="D150" s="255" t="s">
        <v>99</v>
      </c>
      <c r="E150" s="255" t="s">
        <v>272</v>
      </c>
      <c r="F150" s="258">
        <v>10.45</v>
      </c>
      <c r="G150" s="255" t="s">
        <v>1240</v>
      </c>
      <c r="H150" s="255" t="s">
        <v>114</v>
      </c>
      <c r="I150" s="250" t="s">
        <v>949</v>
      </c>
      <c r="J150" s="255" t="s">
        <v>950</v>
      </c>
      <c r="K150" s="255" t="s">
        <v>951</v>
      </c>
      <c r="L150" s="250" t="s">
        <v>947</v>
      </c>
      <c r="M150" s="336" t="s">
        <v>114</v>
      </c>
      <c r="N150" s="278">
        <v>44293</v>
      </c>
      <c r="O150" s="329" t="s">
        <v>67</v>
      </c>
      <c r="P150" s="330">
        <f t="shared" ref="P150:Q150" si="146">IF(B150=0,0,IF(YEAR(B150)=$Q$1,MONTH(B150)-$P$1+1,(YEAR(B150)-$Q$1)*12-$P$1+1+MONTH(B150)))</f>
        <v>4</v>
      </c>
      <c r="Q150" s="330">
        <f t="shared" si="146"/>
        <v>4</v>
      </c>
      <c r="R150" s="331" t="str">
        <f t="shared" si="1"/>
        <v>Gastos_Gerais</v>
      </c>
      <c r="S150" s="331" t="str">
        <f>IF(D150="","",IF(OR(D150=Plano!$A$1,D150=Plano!$B$1),"entrada","saída"))</f>
        <v>saída</v>
      </c>
      <c r="T150" s="332" t="s">
        <v>114</v>
      </c>
      <c r="U150" s="332" t="s">
        <v>114</v>
      </c>
      <c r="V150" s="333"/>
    </row>
    <row r="151" spans="1:22" ht="49.5" customHeight="1" x14ac:dyDescent="0.2">
      <c r="A151" s="277">
        <f>IF(B151="","",COUNT('Diário 5º PA'!$A$5:$A$2634)+ROW()-4)</f>
        <v>1458</v>
      </c>
      <c r="B151" s="278">
        <v>44293</v>
      </c>
      <c r="C151" s="249">
        <v>44287</v>
      </c>
      <c r="D151" s="255" t="s">
        <v>99</v>
      </c>
      <c r="E151" s="255" t="s">
        <v>272</v>
      </c>
      <c r="F151" s="258">
        <v>10.45</v>
      </c>
      <c r="G151" s="255" t="s">
        <v>1241</v>
      </c>
      <c r="H151" s="255" t="s">
        <v>114</v>
      </c>
      <c r="I151" s="250" t="s">
        <v>949</v>
      </c>
      <c r="J151" s="255" t="s">
        <v>950</v>
      </c>
      <c r="K151" s="255" t="s">
        <v>951</v>
      </c>
      <c r="L151" s="250" t="s">
        <v>947</v>
      </c>
      <c r="M151" s="336" t="s">
        <v>114</v>
      </c>
      <c r="N151" s="278">
        <v>44293</v>
      </c>
      <c r="O151" s="329" t="s">
        <v>67</v>
      </c>
      <c r="P151" s="330">
        <f t="shared" ref="P151:Q151" si="147">IF(B151=0,0,IF(YEAR(B151)=$Q$1,MONTH(B151)-$P$1+1,(YEAR(B151)-$Q$1)*12-$P$1+1+MONTH(B151)))</f>
        <v>4</v>
      </c>
      <c r="Q151" s="330">
        <f t="shared" si="147"/>
        <v>4</v>
      </c>
      <c r="R151" s="331" t="str">
        <f t="shared" si="1"/>
        <v>Gastos_Gerais</v>
      </c>
      <c r="S151" s="331" t="str">
        <f>IF(D151="","",IF(OR(D151=Plano!$A$1,D151=Plano!$B$1),"entrada","saída"))</f>
        <v>saída</v>
      </c>
      <c r="T151" s="332" t="s">
        <v>114</v>
      </c>
      <c r="U151" s="332" t="s">
        <v>114</v>
      </c>
      <c r="V151" s="333"/>
    </row>
    <row r="152" spans="1:22" ht="51.75" customHeight="1" x14ac:dyDescent="0.2">
      <c r="A152" s="277">
        <f>IF(B152="","",COUNT('Diário 5º PA'!$A$5:$A$2634)+ROW()-4)</f>
        <v>1459</v>
      </c>
      <c r="B152" s="278">
        <v>44293</v>
      </c>
      <c r="C152" s="249">
        <v>44287</v>
      </c>
      <c r="D152" s="255" t="s">
        <v>99</v>
      </c>
      <c r="E152" s="255" t="s">
        <v>272</v>
      </c>
      <c r="F152" s="258">
        <v>10.45</v>
      </c>
      <c r="G152" s="255" t="s">
        <v>1242</v>
      </c>
      <c r="H152" s="255" t="s">
        <v>114</v>
      </c>
      <c r="I152" s="250" t="s">
        <v>949</v>
      </c>
      <c r="J152" s="255" t="s">
        <v>950</v>
      </c>
      <c r="K152" s="255" t="s">
        <v>951</v>
      </c>
      <c r="L152" s="250" t="s">
        <v>947</v>
      </c>
      <c r="M152" s="336" t="s">
        <v>114</v>
      </c>
      <c r="N152" s="278">
        <v>44293</v>
      </c>
      <c r="O152" s="329" t="s">
        <v>67</v>
      </c>
      <c r="P152" s="330">
        <f t="shared" ref="P152:Q152" si="148">IF(B152=0,0,IF(YEAR(B152)=$Q$1,MONTH(B152)-$P$1+1,(YEAR(B152)-$Q$1)*12-$P$1+1+MONTH(B152)))</f>
        <v>4</v>
      </c>
      <c r="Q152" s="330">
        <f t="shared" si="148"/>
        <v>4</v>
      </c>
      <c r="R152" s="331" t="str">
        <f t="shared" si="1"/>
        <v>Gastos_Gerais</v>
      </c>
      <c r="S152" s="331" t="str">
        <f>IF(D152="","",IF(OR(D152=Plano!$A$1,D152=Plano!$B$1),"entrada","saída"))</f>
        <v>saída</v>
      </c>
      <c r="T152" s="332" t="s">
        <v>114</v>
      </c>
      <c r="U152" s="332" t="s">
        <v>114</v>
      </c>
      <c r="V152" s="333"/>
    </row>
    <row r="153" spans="1:22" ht="47.25" customHeight="1" x14ac:dyDescent="0.2">
      <c r="A153" s="277">
        <f>IF(B153="","",COUNT('Diário 5º PA'!$A$5:$A$2634)+ROW()-4)</f>
        <v>1460</v>
      </c>
      <c r="B153" s="278">
        <v>44293</v>
      </c>
      <c r="C153" s="249">
        <v>44287</v>
      </c>
      <c r="D153" s="255" t="s">
        <v>99</v>
      </c>
      <c r="E153" s="255" t="s">
        <v>272</v>
      </c>
      <c r="F153" s="258">
        <v>10.45</v>
      </c>
      <c r="G153" s="255" t="s">
        <v>1243</v>
      </c>
      <c r="H153" s="255" t="s">
        <v>114</v>
      </c>
      <c r="I153" s="250" t="s">
        <v>949</v>
      </c>
      <c r="J153" s="255" t="s">
        <v>950</v>
      </c>
      <c r="K153" s="255" t="s">
        <v>951</v>
      </c>
      <c r="L153" s="250" t="s">
        <v>947</v>
      </c>
      <c r="M153" s="336" t="s">
        <v>114</v>
      </c>
      <c r="N153" s="278">
        <v>44293</v>
      </c>
      <c r="O153" s="329" t="s">
        <v>67</v>
      </c>
      <c r="P153" s="330">
        <f t="shared" ref="P153:Q153" si="149">IF(B153=0,0,IF(YEAR(B153)=$Q$1,MONTH(B153)-$P$1+1,(YEAR(B153)-$Q$1)*12-$P$1+1+MONTH(B153)))</f>
        <v>4</v>
      </c>
      <c r="Q153" s="330">
        <f t="shared" si="149"/>
        <v>4</v>
      </c>
      <c r="R153" s="331" t="str">
        <f t="shared" si="1"/>
        <v>Gastos_Gerais</v>
      </c>
      <c r="S153" s="331" t="str">
        <f>IF(D153="","",IF(OR(D153=Plano!$A$1,D153=Plano!$B$1),"entrada","saída"))</f>
        <v>saída</v>
      </c>
      <c r="T153" s="332" t="s">
        <v>114</v>
      </c>
      <c r="U153" s="332" t="s">
        <v>114</v>
      </c>
      <c r="V153" s="333"/>
    </row>
    <row r="154" spans="1:22" ht="45.75" customHeight="1" x14ac:dyDescent="0.2">
      <c r="A154" s="277">
        <f>IF(B154="","",COUNT('Diário 5º PA'!$A$5:$A$2634)+ROW()-4)</f>
        <v>1461</v>
      </c>
      <c r="B154" s="278">
        <v>44293</v>
      </c>
      <c r="C154" s="249">
        <v>44287</v>
      </c>
      <c r="D154" s="255" t="s">
        <v>99</v>
      </c>
      <c r="E154" s="255" t="s">
        <v>272</v>
      </c>
      <c r="F154" s="258">
        <v>10.45</v>
      </c>
      <c r="G154" s="255" t="s">
        <v>1244</v>
      </c>
      <c r="H154" s="255" t="s">
        <v>114</v>
      </c>
      <c r="I154" s="250" t="s">
        <v>949</v>
      </c>
      <c r="J154" s="255" t="s">
        <v>950</v>
      </c>
      <c r="K154" s="255" t="s">
        <v>951</v>
      </c>
      <c r="L154" s="250" t="s">
        <v>947</v>
      </c>
      <c r="M154" s="336" t="s">
        <v>114</v>
      </c>
      <c r="N154" s="278">
        <v>44293</v>
      </c>
      <c r="O154" s="329" t="s">
        <v>67</v>
      </c>
      <c r="P154" s="330">
        <f t="shared" ref="P154:Q154" si="150">IF(B154=0,0,IF(YEAR(B154)=$Q$1,MONTH(B154)-$P$1+1,(YEAR(B154)-$Q$1)*12-$P$1+1+MONTH(B154)))</f>
        <v>4</v>
      </c>
      <c r="Q154" s="330">
        <f t="shared" si="150"/>
        <v>4</v>
      </c>
      <c r="R154" s="331" t="str">
        <f t="shared" si="1"/>
        <v>Gastos_Gerais</v>
      </c>
      <c r="S154" s="331" t="str">
        <f>IF(D154="","",IF(OR(D154=Plano!$A$1,D154=Plano!$B$1),"entrada","saída"))</f>
        <v>saída</v>
      </c>
      <c r="T154" s="332" t="s">
        <v>114</v>
      </c>
      <c r="U154" s="332" t="s">
        <v>114</v>
      </c>
      <c r="V154" s="333"/>
    </row>
    <row r="155" spans="1:22" ht="36.75" customHeight="1" x14ac:dyDescent="0.2">
      <c r="A155" s="277">
        <f>IF(B155="","",COUNT('Diário 5º PA'!$A$5:$A$2634)+ROW()-4)</f>
        <v>1462</v>
      </c>
      <c r="B155" s="278">
        <v>44293</v>
      </c>
      <c r="C155" s="249">
        <v>44287</v>
      </c>
      <c r="D155" s="255" t="s">
        <v>99</v>
      </c>
      <c r="E155" s="255" t="s">
        <v>272</v>
      </c>
      <c r="F155" s="258">
        <v>10.45</v>
      </c>
      <c r="G155" s="255" t="s">
        <v>1239</v>
      </c>
      <c r="H155" s="255" t="s">
        <v>114</v>
      </c>
      <c r="I155" s="250" t="s">
        <v>949</v>
      </c>
      <c r="J155" s="255" t="s">
        <v>950</v>
      </c>
      <c r="K155" s="255" t="s">
        <v>951</v>
      </c>
      <c r="L155" s="250" t="s">
        <v>947</v>
      </c>
      <c r="M155" s="336" t="s">
        <v>114</v>
      </c>
      <c r="N155" s="278">
        <v>44293</v>
      </c>
      <c r="O155" s="329" t="s">
        <v>67</v>
      </c>
      <c r="P155" s="330">
        <f t="shared" ref="P155:Q155" si="151">IF(B155=0,0,IF(YEAR(B155)=$Q$1,MONTH(B155)-$P$1+1,(YEAR(B155)-$Q$1)*12-$P$1+1+MONTH(B155)))</f>
        <v>4</v>
      </c>
      <c r="Q155" s="330">
        <f t="shared" si="151"/>
        <v>4</v>
      </c>
      <c r="R155" s="331" t="str">
        <f t="shared" si="1"/>
        <v>Gastos_Gerais</v>
      </c>
      <c r="S155" s="331" t="str">
        <f>IF(D155="","",IF(OR(D155=Plano!$A$1,D155=Plano!$B$1),"entrada","saída"))</f>
        <v>saída</v>
      </c>
      <c r="T155" s="332" t="s">
        <v>114</v>
      </c>
      <c r="U155" s="332" t="s">
        <v>114</v>
      </c>
      <c r="V155" s="333"/>
    </row>
    <row r="156" spans="1:22" ht="40.5" customHeight="1" x14ac:dyDescent="0.2">
      <c r="A156" s="277">
        <f>IF(B156="","",COUNT('Diário 5º PA'!$A$5:$A$2634)+ROW()-4)</f>
        <v>1463</v>
      </c>
      <c r="B156" s="278">
        <v>44293</v>
      </c>
      <c r="C156" s="249">
        <v>44287</v>
      </c>
      <c r="D156" s="255" t="s">
        <v>99</v>
      </c>
      <c r="E156" s="255" t="s">
        <v>272</v>
      </c>
      <c r="F156" s="258">
        <v>10.45</v>
      </c>
      <c r="G156" s="255" t="s">
        <v>1245</v>
      </c>
      <c r="H156" s="255" t="s">
        <v>114</v>
      </c>
      <c r="I156" s="250" t="s">
        <v>949</v>
      </c>
      <c r="J156" s="255" t="s">
        <v>950</v>
      </c>
      <c r="K156" s="255" t="s">
        <v>951</v>
      </c>
      <c r="L156" s="250" t="s">
        <v>947</v>
      </c>
      <c r="M156" s="336" t="s">
        <v>114</v>
      </c>
      <c r="N156" s="278">
        <v>44293</v>
      </c>
      <c r="O156" s="329" t="s">
        <v>67</v>
      </c>
      <c r="P156" s="330">
        <f t="shared" ref="P156:Q156" si="152">IF(B156=0,0,IF(YEAR(B156)=$Q$1,MONTH(B156)-$P$1+1,(YEAR(B156)-$Q$1)*12-$P$1+1+MONTH(B156)))</f>
        <v>4</v>
      </c>
      <c r="Q156" s="330">
        <f t="shared" si="152"/>
        <v>4</v>
      </c>
      <c r="R156" s="331" t="str">
        <f t="shared" si="1"/>
        <v>Gastos_Gerais</v>
      </c>
      <c r="S156" s="331" t="str">
        <f>IF(D156="","",IF(OR(D156=Plano!$A$1,D156=Plano!$B$1),"entrada","saída"))</f>
        <v>saída</v>
      </c>
      <c r="T156" s="332" t="s">
        <v>114</v>
      </c>
      <c r="U156" s="332" t="s">
        <v>114</v>
      </c>
      <c r="V156" s="333"/>
    </row>
    <row r="157" spans="1:22" ht="42" customHeight="1" x14ac:dyDescent="0.2">
      <c r="A157" s="277">
        <f>IF(B157="","",COUNT('Diário 5º PA'!$A$5:$A$2634)+ROW()-4)</f>
        <v>1464</v>
      </c>
      <c r="B157" s="278">
        <v>44293</v>
      </c>
      <c r="C157" s="249">
        <v>44287</v>
      </c>
      <c r="D157" s="255" t="s">
        <v>99</v>
      </c>
      <c r="E157" s="255" t="s">
        <v>272</v>
      </c>
      <c r="F157" s="258">
        <v>10.45</v>
      </c>
      <c r="G157" s="255" t="s">
        <v>3823</v>
      </c>
      <c r="H157" s="255" t="s">
        <v>115</v>
      </c>
      <c r="I157" s="250" t="s">
        <v>949</v>
      </c>
      <c r="J157" s="255" t="s">
        <v>950</v>
      </c>
      <c r="K157" s="255" t="s">
        <v>951</v>
      </c>
      <c r="L157" s="250" t="s">
        <v>947</v>
      </c>
      <c r="M157" s="336" t="s">
        <v>114</v>
      </c>
      <c r="N157" s="278">
        <v>44293</v>
      </c>
      <c r="O157" s="329" t="s">
        <v>67</v>
      </c>
      <c r="P157" s="330">
        <f t="shared" ref="P157:Q157" si="153">IF(B157=0,0,IF(YEAR(B157)=$Q$1,MONTH(B157)-$P$1+1,(YEAR(B157)-$Q$1)*12-$P$1+1+MONTH(B157)))</f>
        <v>4</v>
      </c>
      <c r="Q157" s="330">
        <f t="shared" si="153"/>
        <v>4</v>
      </c>
      <c r="R157" s="331" t="str">
        <f t="shared" si="1"/>
        <v>Gastos_Gerais</v>
      </c>
      <c r="S157" s="331" t="str">
        <f>IF(D157="","",IF(OR(D157=Plano!$A$1,D157=Plano!$B$1),"entrada","saída"))</f>
        <v>saída</v>
      </c>
      <c r="T157" s="332" t="s">
        <v>114</v>
      </c>
      <c r="U157" s="332" t="s">
        <v>114</v>
      </c>
      <c r="V157" s="333"/>
    </row>
    <row r="158" spans="1:22" ht="47.25" customHeight="1" x14ac:dyDescent="0.2">
      <c r="A158" s="277">
        <f>IF(B158="","",COUNT('Diário 5º PA'!$A$5:$A$2634)+ROW()-4)</f>
        <v>1465</v>
      </c>
      <c r="B158" s="278">
        <v>44293</v>
      </c>
      <c r="C158" s="249">
        <v>44287</v>
      </c>
      <c r="D158" s="255" t="s">
        <v>99</v>
      </c>
      <c r="E158" s="255" t="s">
        <v>272</v>
      </c>
      <c r="F158" s="258">
        <v>10.45</v>
      </c>
      <c r="G158" s="255" t="s">
        <v>1149</v>
      </c>
      <c r="H158" s="255" t="s">
        <v>115</v>
      </c>
      <c r="I158" s="250" t="s">
        <v>949</v>
      </c>
      <c r="J158" s="255" t="s">
        <v>950</v>
      </c>
      <c r="K158" s="255" t="s">
        <v>951</v>
      </c>
      <c r="L158" s="250" t="s">
        <v>947</v>
      </c>
      <c r="M158" s="336" t="s">
        <v>114</v>
      </c>
      <c r="N158" s="278">
        <v>44293</v>
      </c>
      <c r="O158" s="329" t="s">
        <v>67</v>
      </c>
      <c r="P158" s="330">
        <f t="shared" ref="P158:Q158" si="154">IF(B158=0,0,IF(YEAR(B158)=$Q$1,MONTH(B158)-$P$1+1,(YEAR(B158)-$Q$1)*12-$P$1+1+MONTH(B158)))</f>
        <v>4</v>
      </c>
      <c r="Q158" s="330">
        <f t="shared" si="154"/>
        <v>4</v>
      </c>
      <c r="R158" s="331" t="str">
        <f t="shared" si="1"/>
        <v>Gastos_Gerais</v>
      </c>
      <c r="S158" s="331" t="str">
        <f>IF(D158="","",IF(OR(D158=Plano!$A$1,D158=Plano!$B$1),"entrada","saída"))</f>
        <v>saída</v>
      </c>
      <c r="T158" s="332" t="s">
        <v>114</v>
      </c>
      <c r="U158" s="332" t="s">
        <v>114</v>
      </c>
      <c r="V158" s="333"/>
    </row>
    <row r="159" spans="1:22" ht="48" customHeight="1" x14ac:dyDescent="0.2">
      <c r="A159" s="277">
        <f>IF(B159="","",COUNT('Diário 5º PA'!$A$5:$A$2634)+ROW()-4)</f>
        <v>1466</v>
      </c>
      <c r="B159" s="278">
        <v>44293</v>
      </c>
      <c r="C159" s="249">
        <v>44287</v>
      </c>
      <c r="D159" s="255" t="s">
        <v>99</v>
      </c>
      <c r="E159" s="255" t="s">
        <v>272</v>
      </c>
      <c r="F159" s="258">
        <v>10.45</v>
      </c>
      <c r="G159" s="255" t="s">
        <v>1149</v>
      </c>
      <c r="H159" s="255" t="s">
        <v>115</v>
      </c>
      <c r="I159" s="250" t="s">
        <v>949</v>
      </c>
      <c r="J159" s="255" t="s">
        <v>950</v>
      </c>
      <c r="K159" s="255" t="s">
        <v>951</v>
      </c>
      <c r="L159" s="250" t="s">
        <v>947</v>
      </c>
      <c r="M159" s="336" t="s">
        <v>114</v>
      </c>
      <c r="N159" s="278">
        <v>44293</v>
      </c>
      <c r="O159" s="329" t="s">
        <v>67</v>
      </c>
      <c r="P159" s="330">
        <f t="shared" ref="P159:Q159" si="155">IF(B159=0,0,IF(YEAR(B159)=$Q$1,MONTH(B159)-$P$1+1,(YEAR(B159)-$Q$1)*12-$P$1+1+MONTH(B159)))</f>
        <v>4</v>
      </c>
      <c r="Q159" s="330">
        <f t="shared" si="155"/>
        <v>4</v>
      </c>
      <c r="R159" s="331" t="str">
        <f t="shared" si="1"/>
        <v>Gastos_Gerais</v>
      </c>
      <c r="S159" s="331" t="str">
        <f>IF(D159="","",IF(OR(D159=Plano!$A$1,D159=Plano!$B$1),"entrada","saída"))</f>
        <v>saída</v>
      </c>
      <c r="T159" s="332" t="s">
        <v>114</v>
      </c>
      <c r="U159" s="332" t="s">
        <v>114</v>
      </c>
      <c r="V159" s="333"/>
    </row>
    <row r="160" spans="1:22" ht="41.25" customHeight="1" x14ac:dyDescent="0.2">
      <c r="A160" s="277">
        <f>IF(B160="","",COUNT('Diário 5º PA'!$A$5:$A$2634)+ROW()-4)</f>
        <v>1467</v>
      </c>
      <c r="B160" s="278">
        <v>44293</v>
      </c>
      <c r="C160" s="249">
        <v>44287</v>
      </c>
      <c r="D160" s="255" t="s">
        <v>99</v>
      </c>
      <c r="E160" s="255" t="s">
        <v>272</v>
      </c>
      <c r="F160" s="258">
        <v>10.45</v>
      </c>
      <c r="G160" s="255" t="s">
        <v>3375</v>
      </c>
      <c r="H160" s="255" t="s">
        <v>115</v>
      </c>
      <c r="I160" s="250" t="s">
        <v>949</v>
      </c>
      <c r="J160" s="255" t="s">
        <v>950</v>
      </c>
      <c r="K160" s="255" t="s">
        <v>951</v>
      </c>
      <c r="L160" s="250" t="s">
        <v>947</v>
      </c>
      <c r="M160" s="336" t="s">
        <v>114</v>
      </c>
      <c r="N160" s="278">
        <v>44293</v>
      </c>
      <c r="O160" s="329" t="s">
        <v>67</v>
      </c>
      <c r="P160" s="330">
        <f t="shared" ref="P160:Q160" si="156">IF(B160=0,0,IF(YEAR(B160)=$Q$1,MONTH(B160)-$P$1+1,(YEAR(B160)-$Q$1)*12-$P$1+1+MONTH(B160)))</f>
        <v>4</v>
      </c>
      <c r="Q160" s="330">
        <f t="shared" si="156"/>
        <v>4</v>
      </c>
      <c r="R160" s="331" t="str">
        <f t="shared" si="1"/>
        <v>Gastos_Gerais</v>
      </c>
      <c r="S160" s="331" t="str">
        <f>IF(D160="","",IF(OR(D160=Plano!$A$1,D160=Plano!$B$1),"entrada","saída"))</f>
        <v>saída</v>
      </c>
      <c r="T160" s="332" t="s">
        <v>114</v>
      </c>
      <c r="U160" s="332" t="s">
        <v>114</v>
      </c>
      <c r="V160" s="333"/>
    </row>
    <row r="161" spans="1:22" ht="54" customHeight="1" x14ac:dyDescent="0.2">
      <c r="A161" s="277">
        <f>IF(B161="","",COUNT('Diário 5º PA'!$A$5:$A$2634)+ROW()-4)</f>
        <v>1468</v>
      </c>
      <c r="B161" s="278">
        <v>44293</v>
      </c>
      <c r="C161" s="249">
        <v>44287</v>
      </c>
      <c r="D161" s="255" t="s">
        <v>99</v>
      </c>
      <c r="E161" s="255" t="s">
        <v>272</v>
      </c>
      <c r="F161" s="258">
        <v>10.45</v>
      </c>
      <c r="G161" s="255" t="s">
        <v>3912</v>
      </c>
      <c r="H161" s="255" t="s">
        <v>129</v>
      </c>
      <c r="I161" s="250" t="s">
        <v>949</v>
      </c>
      <c r="J161" s="255" t="s">
        <v>950</v>
      </c>
      <c r="K161" s="255" t="s">
        <v>951</v>
      </c>
      <c r="L161" s="250" t="s">
        <v>947</v>
      </c>
      <c r="M161" s="336" t="s">
        <v>114</v>
      </c>
      <c r="N161" s="278">
        <v>44293</v>
      </c>
      <c r="O161" s="329" t="s">
        <v>67</v>
      </c>
      <c r="P161" s="330">
        <f t="shared" ref="P161:Q161" si="157">IF(B161=0,0,IF(YEAR(B161)=$Q$1,MONTH(B161)-$P$1+1,(YEAR(B161)-$Q$1)*12-$P$1+1+MONTH(B161)))</f>
        <v>4</v>
      </c>
      <c r="Q161" s="330">
        <f t="shared" si="157"/>
        <v>4</v>
      </c>
      <c r="R161" s="331" t="str">
        <f t="shared" si="1"/>
        <v>Gastos_Gerais</v>
      </c>
      <c r="S161" s="331" t="str">
        <f>IF(D161="","",IF(OR(D161=Plano!$A$1,D161=Plano!$B$1),"entrada","saída"))</f>
        <v>saída</v>
      </c>
      <c r="T161" s="332" t="s">
        <v>114</v>
      </c>
      <c r="U161" s="332" t="s">
        <v>114</v>
      </c>
      <c r="V161" s="333"/>
    </row>
    <row r="162" spans="1:22" ht="54" customHeight="1" x14ac:dyDescent="0.2">
      <c r="A162" s="277">
        <f>IF(B162="","",COUNT('Diário 5º PA'!$A$5:$A$2634)+ROW()-4)</f>
        <v>1469</v>
      </c>
      <c r="B162" s="278">
        <v>44293</v>
      </c>
      <c r="C162" s="249">
        <v>44287</v>
      </c>
      <c r="D162" s="255" t="s">
        <v>99</v>
      </c>
      <c r="E162" s="255" t="s">
        <v>272</v>
      </c>
      <c r="F162" s="258">
        <v>10.45</v>
      </c>
      <c r="G162" s="255" t="s">
        <v>3485</v>
      </c>
      <c r="H162" s="255" t="s">
        <v>131</v>
      </c>
      <c r="I162" s="250" t="s">
        <v>949</v>
      </c>
      <c r="J162" s="255" t="s">
        <v>950</v>
      </c>
      <c r="K162" s="255" t="s">
        <v>951</v>
      </c>
      <c r="L162" s="250" t="s">
        <v>947</v>
      </c>
      <c r="M162" s="336" t="s">
        <v>114</v>
      </c>
      <c r="N162" s="278">
        <v>44293</v>
      </c>
      <c r="O162" s="329" t="s">
        <v>67</v>
      </c>
      <c r="P162" s="330">
        <f t="shared" ref="P162:Q162" si="158">IF(B162=0,0,IF(YEAR(B162)=$Q$1,MONTH(B162)-$P$1+1,(YEAR(B162)-$Q$1)*12-$P$1+1+MONTH(B162)))</f>
        <v>4</v>
      </c>
      <c r="Q162" s="330">
        <f t="shared" si="158"/>
        <v>4</v>
      </c>
      <c r="R162" s="331" t="str">
        <f t="shared" si="1"/>
        <v>Gastos_Gerais</v>
      </c>
      <c r="S162" s="331" t="str">
        <f>IF(D162="","",IF(OR(D162=Plano!$A$1,D162=Plano!$B$1),"entrada","saída"))</f>
        <v>saída</v>
      </c>
      <c r="T162" s="332" t="s">
        <v>114</v>
      </c>
      <c r="U162" s="332" t="s">
        <v>114</v>
      </c>
      <c r="V162" s="333"/>
    </row>
    <row r="163" spans="1:22" ht="125.25" customHeight="1" x14ac:dyDescent="0.2">
      <c r="A163" s="277">
        <f>IF(B163="","",COUNT('Diário 5º PA'!$A$5:$A$2634)+ROW()-4)</f>
        <v>1470</v>
      </c>
      <c r="B163" s="278">
        <v>44293</v>
      </c>
      <c r="C163" s="259">
        <v>44256</v>
      </c>
      <c r="D163" s="252" t="s">
        <v>104</v>
      </c>
      <c r="E163" s="252" t="s">
        <v>104</v>
      </c>
      <c r="F163" s="257">
        <v>2075.92</v>
      </c>
      <c r="G163" s="252" t="s">
        <v>4169</v>
      </c>
      <c r="H163" s="252" t="s">
        <v>104</v>
      </c>
      <c r="I163" s="252" t="s">
        <v>4170</v>
      </c>
      <c r="J163" s="250" t="s">
        <v>4171</v>
      </c>
      <c r="K163" s="255" t="s">
        <v>1015</v>
      </c>
      <c r="L163" s="250" t="s">
        <v>1029</v>
      </c>
      <c r="M163" s="277">
        <v>1112</v>
      </c>
      <c r="N163" s="278">
        <v>44292</v>
      </c>
      <c r="O163" s="329" t="s">
        <v>68</v>
      </c>
      <c r="P163" s="330">
        <f t="shared" ref="P163:Q163" si="159">IF(B163=0,0,IF(YEAR(B163)=$Q$1,MONTH(B163)-$P$1+1,(YEAR(B163)-$Q$1)*12-$P$1+1+MONTH(B163)))</f>
        <v>4</v>
      </c>
      <c r="Q163" s="330">
        <f t="shared" si="159"/>
        <v>3</v>
      </c>
      <c r="R163" s="331" t="str">
        <f t="shared" si="1"/>
        <v>Gastos_custeados_por_captação</v>
      </c>
      <c r="S163" s="331" t="str">
        <f>IF(D163="","",IF(OR(D163=Plano!$A$1,D163=Plano!$B$1),"entrada","saída"))</f>
        <v>saída</v>
      </c>
      <c r="T163" s="332" t="s">
        <v>1059</v>
      </c>
      <c r="U163" s="332">
        <v>1363</v>
      </c>
      <c r="V163" s="333"/>
    </row>
    <row r="164" spans="1:22" ht="69.75" customHeight="1" x14ac:dyDescent="0.2">
      <c r="A164" s="277">
        <f>IF(B164="","",COUNT('Diário 5º PA'!$A$5:$A$2634)+ROW()-4)</f>
        <v>1471</v>
      </c>
      <c r="B164" s="278">
        <v>44293</v>
      </c>
      <c r="C164" s="259">
        <v>44256</v>
      </c>
      <c r="D164" s="252" t="s">
        <v>104</v>
      </c>
      <c r="E164" s="252" t="s">
        <v>104</v>
      </c>
      <c r="F164" s="257">
        <v>2300</v>
      </c>
      <c r="G164" s="252" t="s">
        <v>3680</v>
      </c>
      <c r="H164" s="252" t="s">
        <v>104</v>
      </c>
      <c r="I164" s="252" t="s">
        <v>2745</v>
      </c>
      <c r="J164" s="250" t="s">
        <v>2746</v>
      </c>
      <c r="K164" s="255" t="s">
        <v>1015</v>
      </c>
      <c r="L164" s="250" t="s">
        <v>1016</v>
      </c>
      <c r="M164" s="277" t="s">
        <v>1305</v>
      </c>
      <c r="N164" s="278">
        <v>44292</v>
      </c>
      <c r="O164" s="329" t="s">
        <v>68</v>
      </c>
      <c r="P164" s="330">
        <f t="shared" ref="P164:Q164" si="160">IF(B164=0,0,IF(YEAR(B164)=$Q$1,MONTH(B164)-$P$1+1,(YEAR(B164)-$Q$1)*12-$P$1+1+MONTH(B164)))</f>
        <v>4</v>
      </c>
      <c r="Q164" s="330">
        <f t="shared" si="160"/>
        <v>3</v>
      </c>
      <c r="R164" s="331" t="str">
        <f t="shared" si="1"/>
        <v>Gastos_custeados_por_captação</v>
      </c>
      <c r="S164" s="331" t="str">
        <f>IF(D164="","",IF(OR(D164=Plano!$A$1,D164=Plano!$B$1),"entrada","saída"))</f>
        <v>saída</v>
      </c>
      <c r="T164" s="332" t="s">
        <v>994</v>
      </c>
      <c r="U164" s="332">
        <v>1225</v>
      </c>
      <c r="V164" s="333"/>
    </row>
    <row r="165" spans="1:22" ht="189.75" customHeight="1" x14ac:dyDescent="0.2">
      <c r="A165" s="277">
        <f>IF(B165="","",COUNT('Diário 5º PA'!$A$5:$A$2634)+ROW()-4)</f>
        <v>1472</v>
      </c>
      <c r="B165" s="278">
        <v>44293</v>
      </c>
      <c r="C165" s="259">
        <v>44256</v>
      </c>
      <c r="D165" s="252" t="s">
        <v>104</v>
      </c>
      <c r="E165" s="252" t="s">
        <v>104</v>
      </c>
      <c r="F165" s="257">
        <v>2300</v>
      </c>
      <c r="G165" s="252" t="s">
        <v>3683</v>
      </c>
      <c r="H165" s="252" t="s">
        <v>104</v>
      </c>
      <c r="I165" s="252" t="s">
        <v>4172</v>
      </c>
      <c r="J165" s="250" t="s">
        <v>1630</v>
      </c>
      <c r="K165" s="255" t="s">
        <v>1015</v>
      </c>
      <c r="L165" s="250" t="s">
        <v>1016</v>
      </c>
      <c r="M165" s="277" t="s">
        <v>1148</v>
      </c>
      <c r="N165" s="278">
        <v>44292</v>
      </c>
      <c r="O165" s="329" t="s">
        <v>68</v>
      </c>
      <c r="P165" s="330">
        <f t="shared" ref="P165:Q165" si="161">IF(B165=0,0,IF(YEAR(B165)=$Q$1,MONTH(B165)-$P$1+1,(YEAR(B165)-$Q$1)*12-$P$1+1+MONTH(B165)))</f>
        <v>4</v>
      </c>
      <c r="Q165" s="330">
        <f t="shared" si="161"/>
        <v>3</v>
      </c>
      <c r="R165" s="331" t="str">
        <f t="shared" si="1"/>
        <v>Gastos_custeados_por_captação</v>
      </c>
      <c r="S165" s="331" t="str">
        <f>IF(D165="","",IF(OR(D165=Plano!$A$1,D165=Plano!$B$1),"entrada","saída"))</f>
        <v>saída</v>
      </c>
      <c r="T165" s="332" t="s">
        <v>994</v>
      </c>
      <c r="U165" s="332">
        <v>1200</v>
      </c>
      <c r="V165" s="333"/>
    </row>
    <row r="166" spans="1:22" ht="217.5" customHeight="1" x14ac:dyDescent="0.2">
      <c r="A166" s="277">
        <f>IF(B166="","",COUNT('Diário 5º PA'!$A$5:$A$2634)+ROW()-4)</f>
        <v>1473</v>
      </c>
      <c r="B166" s="278">
        <v>44293</v>
      </c>
      <c r="C166" s="259">
        <v>44256</v>
      </c>
      <c r="D166" s="252" t="s">
        <v>104</v>
      </c>
      <c r="E166" s="252" t="s">
        <v>104</v>
      </c>
      <c r="F166" s="257">
        <v>2300</v>
      </c>
      <c r="G166" s="252" t="s">
        <v>3683</v>
      </c>
      <c r="H166" s="252" t="s">
        <v>104</v>
      </c>
      <c r="I166" s="252" t="s">
        <v>4173</v>
      </c>
      <c r="J166" s="250" t="s">
        <v>2771</v>
      </c>
      <c r="K166" s="255" t="s">
        <v>1015</v>
      </c>
      <c r="L166" s="250" t="s">
        <v>1016</v>
      </c>
      <c r="M166" s="277" t="s">
        <v>1148</v>
      </c>
      <c r="N166" s="278">
        <v>44292</v>
      </c>
      <c r="O166" s="329" t="s">
        <v>68</v>
      </c>
      <c r="P166" s="330">
        <f t="shared" ref="P166:Q166" si="162">IF(B166=0,0,IF(YEAR(B166)=$Q$1,MONTH(B166)-$P$1+1,(YEAR(B166)-$Q$1)*12-$P$1+1+MONTH(B166)))</f>
        <v>4</v>
      </c>
      <c r="Q166" s="330">
        <f t="shared" si="162"/>
        <v>3</v>
      </c>
      <c r="R166" s="331" t="str">
        <f t="shared" si="1"/>
        <v>Gastos_custeados_por_captação</v>
      </c>
      <c r="S166" s="331" t="str">
        <f>IF(D166="","",IF(OR(D166=Plano!$A$1,D166=Plano!$B$1),"entrada","saída"))</f>
        <v>saída</v>
      </c>
      <c r="T166" s="332" t="s">
        <v>994</v>
      </c>
      <c r="U166" s="332">
        <v>1199</v>
      </c>
      <c r="V166" s="333"/>
    </row>
    <row r="167" spans="1:22" ht="39" customHeight="1" x14ac:dyDescent="0.2">
      <c r="A167" s="277">
        <f>IF(B167="","",COUNT('Diário 5º PA'!$A$5:$A$2634)+ROW()-4)</f>
        <v>1474</v>
      </c>
      <c r="B167" s="278">
        <v>44293</v>
      </c>
      <c r="C167" s="249">
        <v>44256</v>
      </c>
      <c r="D167" s="250" t="s">
        <v>104</v>
      </c>
      <c r="E167" s="250" t="s">
        <v>104</v>
      </c>
      <c r="F167" s="251">
        <v>1045</v>
      </c>
      <c r="G167" s="250" t="s">
        <v>4174</v>
      </c>
      <c r="H167" s="250" t="s">
        <v>104</v>
      </c>
      <c r="I167" s="250" t="s">
        <v>2807</v>
      </c>
      <c r="J167" s="250" t="s">
        <v>3393</v>
      </c>
      <c r="K167" s="250" t="s">
        <v>1015</v>
      </c>
      <c r="L167" s="250" t="s">
        <v>1177</v>
      </c>
      <c r="M167" s="247" t="s">
        <v>114</v>
      </c>
      <c r="N167" s="278">
        <v>44293</v>
      </c>
      <c r="O167" s="353" t="s">
        <v>71</v>
      </c>
      <c r="P167" s="330">
        <f t="shared" ref="P167:Q167" si="163">IF(B167=0,0,IF(YEAR(B167)=$Q$1,MONTH(B167)-$P$1+1,(YEAR(B167)-$Q$1)*12-$P$1+1+MONTH(B167)))</f>
        <v>4</v>
      </c>
      <c r="Q167" s="330">
        <f t="shared" si="163"/>
        <v>3</v>
      </c>
      <c r="R167" s="331" t="str">
        <f t="shared" si="1"/>
        <v>Gastos_custeados_por_captação</v>
      </c>
      <c r="S167" s="331" t="str">
        <f>IF(D167="","",IF(OR(D167=Plano!$A$1,D167=Plano!$B$1),"entrada","saída"))</f>
        <v>saída</v>
      </c>
      <c r="T167" s="332" t="s">
        <v>114</v>
      </c>
      <c r="U167" s="332" t="s">
        <v>114</v>
      </c>
      <c r="V167" s="333"/>
    </row>
    <row r="168" spans="1:22" ht="48" customHeight="1" x14ac:dyDescent="0.2">
      <c r="A168" s="277">
        <f>IF(B168="","",COUNT('Diário 5º PA'!$A$5:$A$2634)+ROW()-4)</f>
        <v>1475</v>
      </c>
      <c r="B168" s="278">
        <v>44293</v>
      </c>
      <c r="C168" s="249">
        <v>44256</v>
      </c>
      <c r="D168" s="250" t="s">
        <v>104</v>
      </c>
      <c r="E168" s="250" t="s">
        <v>104</v>
      </c>
      <c r="F168" s="251">
        <v>1480.42</v>
      </c>
      <c r="G168" s="250" t="s">
        <v>4174</v>
      </c>
      <c r="H168" s="250" t="s">
        <v>104</v>
      </c>
      <c r="I168" s="250" t="s">
        <v>2819</v>
      </c>
      <c r="J168" s="250" t="s">
        <v>3850</v>
      </c>
      <c r="K168" s="250" t="s">
        <v>1015</v>
      </c>
      <c r="L168" s="250" t="s">
        <v>1177</v>
      </c>
      <c r="M168" s="247" t="s">
        <v>114</v>
      </c>
      <c r="N168" s="278">
        <v>44293</v>
      </c>
      <c r="O168" s="353" t="s">
        <v>71</v>
      </c>
      <c r="P168" s="330">
        <f t="shared" ref="P168:Q168" si="164">IF(B168=0,0,IF(YEAR(B168)=$Q$1,MONTH(B168)-$P$1+1,(YEAR(B168)-$Q$1)*12-$P$1+1+MONTH(B168)))</f>
        <v>4</v>
      </c>
      <c r="Q168" s="330">
        <f t="shared" si="164"/>
        <v>3</v>
      </c>
      <c r="R168" s="331" t="str">
        <f t="shared" si="1"/>
        <v>Gastos_custeados_por_captação</v>
      </c>
      <c r="S168" s="331" t="str">
        <f>IF(D168="","",IF(OR(D168=Plano!$A$1,D168=Plano!$B$1),"entrada","saída"))</f>
        <v>saída</v>
      </c>
      <c r="T168" s="332" t="s">
        <v>114</v>
      </c>
      <c r="U168" s="332" t="s">
        <v>114</v>
      </c>
      <c r="V168" s="333"/>
    </row>
    <row r="169" spans="1:22" ht="41.25" customHeight="1" x14ac:dyDescent="0.2">
      <c r="A169" s="277">
        <f>IF(B169="","",COUNT('Diário 5º PA'!$A$5:$A$2634)+ROW()-4)</f>
        <v>1476</v>
      </c>
      <c r="B169" s="278">
        <v>44293</v>
      </c>
      <c r="C169" s="249">
        <v>44287</v>
      </c>
      <c r="D169" s="252" t="s">
        <v>104</v>
      </c>
      <c r="E169" s="252" t="s">
        <v>104</v>
      </c>
      <c r="F169" s="258">
        <v>10.45</v>
      </c>
      <c r="G169" s="255" t="s">
        <v>4142</v>
      </c>
      <c r="H169" s="252" t="s">
        <v>104</v>
      </c>
      <c r="I169" s="250" t="s">
        <v>949</v>
      </c>
      <c r="J169" s="255" t="s">
        <v>950</v>
      </c>
      <c r="K169" s="255" t="s">
        <v>951</v>
      </c>
      <c r="L169" s="250" t="s">
        <v>947</v>
      </c>
      <c r="M169" s="336" t="s">
        <v>114</v>
      </c>
      <c r="N169" s="278">
        <v>44292</v>
      </c>
      <c r="O169" s="353" t="s">
        <v>71</v>
      </c>
      <c r="P169" s="330">
        <f t="shared" ref="P169:Q169" si="165">IF(B169=0,0,IF(YEAR(B169)=$Q$1,MONTH(B169)-$P$1+1,(YEAR(B169)-$Q$1)*12-$P$1+1+MONTH(B169)))</f>
        <v>4</v>
      </c>
      <c r="Q169" s="330">
        <f t="shared" si="165"/>
        <v>4</v>
      </c>
      <c r="R169" s="331" t="str">
        <f t="shared" si="1"/>
        <v>Gastos_custeados_por_captação</v>
      </c>
      <c r="S169" s="331" t="str">
        <f>IF(D169="","",IF(OR(D169=Plano!$A$1,D169=Plano!$B$1),"entrada","saída"))</f>
        <v>saída</v>
      </c>
      <c r="T169" s="332" t="s">
        <v>114</v>
      </c>
      <c r="U169" s="332" t="s">
        <v>114</v>
      </c>
      <c r="V169" s="333"/>
    </row>
    <row r="170" spans="1:22" ht="50.25" customHeight="1" x14ac:dyDescent="0.2">
      <c r="A170" s="277">
        <f>IF(B170="","",COUNT('Diário 5º PA'!$A$5:$A$2634)+ROW()-4)</f>
        <v>1477</v>
      </c>
      <c r="B170" s="278">
        <v>44293</v>
      </c>
      <c r="C170" s="249">
        <v>44287</v>
      </c>
      <c r="D170" s="252" t="s">
        <v>104</v>
      </c>
      <c r="E170" s="252" t="s">
        <v>104</v>
      </c>
      <c r="F170" s="258">
        <v>10.45</v>
      </c>
      <c r="G170" s="255" t="s">
        <v>4142</v>
      </c>
      <c r="H170" s="252" t="s">
        <v>104</v>
      </c>
      <c r="I170" s="250" t="s">
        <v>949</v>
      </c>
      <c r="J170" s="255" t="s">
        <v>950</v>
      </c>
      <c r="K170" s="255" t="s">
        <v>951</v>
      </c>
      <c r="L170" s="250" t="s">
        <v>947</v>
      </c>
      <c r="M170" s="336" t="s">
        <v>114</v>
      </c>
      <c r="N170" s="278">
        <v>44292</v>
      </c>
      <c r="O170" s="353" t="s">
        <v>71</v>
      </c>
      <c r="P170" s="330">
        <f t="shared" ref="P170:Q170" si="166">IF(B170=0,0,IF(YEAR(B170)=$Q$1,MONTH(B170)-$P$1+1,(YEAR(B170)-$Q$1)*12-$P$1+1+MONTH(B170)))</f>
        <v>4</v>
      </c>
      <c r="Q170" s="330">
        <f t="shared" si="166"/>
        <v>4</v>
      </c>
      <c r="R170" s="331" t="str">
        <f t="shared" si="1"/>
        <v>Gastos_custeados_por_captação</v>
      </c>
      <c r="S170" s="331" t="str">
        <f>IF(D170="","",IF(OR(D170=Plano!$A$1,D170=Plano!$B$1),"entrada","saída"))</f>
        <v>saída</v>
      </c>
      <c r="T170" s="332" t="s">
        <v>114</v>
      </c>
      <c r="U170" s="332" t="s">
        <v>114</v>
      </c>
      <c r="V170" s="333"/>
    </row>
    <row r="171" spans="1:22" ht="183" customHeight="1" x14ac:dyDescent="0.2">
      <c r="A171" s="277">
        <f>IF(B171="","",COUNT('Diário 5º PA'!$A$5:$A$2634)+ROW()-4)</f>
        <v>1478</v>
      </c>
      <c r="B171" s="278">
        <v>44294</v>
      </c>
      <c r="C171" s="259">
        <v>44287</v>
      </c>
      <c r="D171" s="252" t="s">
        <v>99</v>
      </c>
      <c r="E171" s="252" t="s">
        <v>262</v>
      </c>
      <c r="F171" s="257">
        <v>3000</v>
      </c>
      <c r="G171" s="252" t="s">
        <v>474</v>
      </c>
      <c r="H171" s="252" t="s">
        <v>129</v>
      </c>
      <c r="I171" s="252" t="s">
        <v>1257</v>
      </c>
      <c r="J171" s="250" t="s">
        <v>476</v>
      </c>
      <c r="K171" s="255" t="s">
        <v>1015</v>
      </c>
      <c r="L171" s="250" t="s">
        <v>1016</v>
      </c>
      <c r="M171" s="277" t="s">
        <v>1299</v>
      </c>
      <c r="N171" s="278">
        <v>44294</v>
      </c>
      <c r="O171" s="329" t="s">
        <v>67</v>
      </c>
      <c r="P171" s="330">
        <f t="shared" ref="P171:Q171" si="167">IF(B171=0,0,IF(YEAR(B171)=$Q$1,MONTH(B171)-$P$1+1,(YEAR(B171)-$Q$1)*12-$P$1+1+MONTH(B171)))</f>
        <v>4</v>
      </c>
      <c r="Q171" s="330">
        <f t="shared" si="167"/>
        <v>4</v>
      </c>
      <c r="R171" s="331" t="str">
        <f t="shared" si="1"/>
        <v>Gastos_Gerais</v>
      </c>
      <c r="S171" s="331" t="str">
        <f>IF(D171="","",IF(OR(D171=Plano!$A$1,D171=Plano!$B$1),"entrada","saída"))</f>
        <v>saída</v>
      </c>
      <c r="T171" s="332" t="s">
        <v>1059</v>
      </c>
      <c r="U171" s="332">
        <v>1273</v>
      </c>
      <c r="V171" s="333"/>
    </row>
    <row r="172" spans="1:22" ht="85.5" customHeight="1" x14ac:dyDescent="0.2">
      <c r="A172" s="277">
        <f>IF(B172="","",COUNT('Diário 5º PA'!$A$5:$A$2634)+ROW()-4)</f>
        <v>1479</v>
      </c>
      <c r="B172" s="278">
        <v>44294</v>
      </c>
      <c r="C172" s="259">
        <v>44256</v>
      </c>
      <c r="D172" s="252" t="s">
        <v>99</v>
      </c>
      <c r="E172" s="252" t="s">
        <v>330</v>
      </c>
      <c r="F172" s="257">
        <v>85.9</v>
      </c>
      <c r="G172" s="252" t="s">
        <v>4175</v>
      </c>
      <c r="H172" s="252" t="s">
        <v>129</v>
      </c>
      <c r="I172" s="252" t="s">
        <v>4176</v>
      </c>
      <c r="J172" s="250" t="s">
        <v>1416</v>
      </c>
      <c r="K172" s="255" t="s">
        <v>560</v>
      </c>
      <c r="L172" s="250" t="s">
        <v>1016</v>
      </c>
      <c r="M172" s="277">
        <v>57761</v>
      </c>
      <c r="N172" s="278">
        <v>44266</v>
      </c>
      <c r="O172" s="329" t="s">
        <v>67</v>
      </c>
      <c r="P172" s="330">
        <f t="shared" ref="P172:Q172" si="168">IF(B172=0,0,IF(YEAR(B172)=$Q$1,MONTH(B172)-$P$1+1,(YEAR(B172)-$Q$1)*12-$P$1+1+MONTH(B172)))</f>
        <v>4</v>
      </c>
      <c r="Q172" s="330">
        <f t="shared" si="168"/>
        <v>3</v>
      </c>
      <c r="R172" s="331" t="str">
        <f t="shared" si="1"/>
        <v>Gastos_Gerais</v>
      </c>
      <c r="S172" s="331" t="str">
        <f>IF(D172="","",IF(OR(D172=Plano!$A$1,D172=Plano!$B$1),"entrada","saída"))</f>
        <v>saída</v>
      </c>
      <c r="T172" s="332" t="s">
        <v>1011</v>
      </c>
      <c r="U172" s="332">
        <v>1427</v>
      </c>
      <c r="V172" s="333"/>
    </row>
    <row r="173" spans="1:22" ht="186.75" customHeight="1" x14ac:dyDescent="0.2">
      <c r="A173" s="277">
        <f>IF(B173="","",COUNT('Diário 5º PA'!$A$5:$A$2634)+ROW()-4)</f>
        <v>1480</v>
      </c>
      <c r="B173" s="278">
        <v>44294</v>
      </c>
      <c r="C173" s="259">
        <v>44287</v>
      </c>
      <c r="D173" s="252" t="s">
        <v>99</v>
      </c>
      <c r="E173" s="252" t="s">
        <v>372</v>
      </c>
      <c r="F173" s="257">
        <v>2500</v>
      </c>
      <c r="G173" s="252" t="s">
        <v>471</v>
      </c>
      <c r="H173" s="252" t="s">
        <v>129</v>
      </c>
      <c r="I173" s="252" t="s">
        <v>4177</v>
      </c>
      <c r="J173" s="250" t="s">
        <v>473</v>
      </c>
      <c r="K173" s="255" t="s">
        <v>991</v>
      </c>
      <c r="L173" s="250" t="s">
        <v>1016</v>
      </c>
      <c r="M173" s="277">
        <v>118</v>
      </c>
      <c r="N173" s="278">
        <v>44293</v>
      </c>
      <c r="O173" s="329" t="s">
        <v>67</v>
      </c>
      <c r="P173" s="330">
        <f t="shared" ref="P173:Q173" si="169">IF(B173=0,0,IF(YEAR(B173)=$Q$1,MONTH(B173)-$P$1+1,(YEAR(B173)-$Q$1)*12-$P$1+1+MONTH(B173)))</f>
        <v>4</v>
      </c>
      <c r="Q173" s="330">
        <f t="shared" si="169"/>
        <v>4</v>
      </c>
      <c r="R173" s="331" t="str">
        <f t="shared" si="1"/>
        <v>Gastos_Gerais</v>
      </c>
      <c r="S173" s="331" t="str">
        <f>IF(D173="","",IF(OR(D173=Plano!$A$1,D173=Plano!$B$1),"entrada","saída"))</f>
        <v>saída</v>
      </c>
      <c r="T173" s="332" t="s">
        <v>1059</v>
      </c>
      <c r="U173" s="332">
        <v>1275</v>
      </c>
      <c r="V173" s="333"/>
    </row>
    <row r="174" spans="1:22" ht="204" customHeight="1" x14ac:dyDescent="0.2">
      <c r="A174" s="277">
        <f>IF(B174="","",COUNT('Diário 5º PA'!$A$5:$A$2634)+ROW()-4)</f>
        <v>1481</v>
      </c>
      <c r="B174" s="278">
        <v>44294</v>
      </c>
      <c r="C174" s="259">
        <v>44287</v>
      </c>
      <c r="D174" s="252" t="s">
        <v>99</v>
      </c>
      <c r="E174" s="252" t="s">
        <v>262</v>
      </c>
      <c r="F174" s="257">
        <v>3920</v>
      </c>
      <c r="G174" s="252" t="s">
        <v>468</v>
      </c>
      <c r="H174" s="252" t="s">
        <v>124</v>
      </c>
      <c r="I174" s="252" t="s">
        <v>2647</v>
      </c>
      <c r="J174" s="250" t="s">
        <v>470</v>
      </c>
      <c r="K174" s="255" t="s">
        <v>991</v>
      </c>
      <c r="L174" s="250" t="s">
        <v>1016</v>
      </c>
      <c r="M174" s="277" t="s">
        <v>1540</v>
      </c>
      <c r="N174" s="278">
        <v>44293</v>
      </c>
      <c r="O174" s="329" t="s">
        <v>67</v>
      </c>
      <c r="P174" s="330">
        <f t="shared" ref="P174:Q174" si="170">IF(B174=0,0,IF(YEAR(B174)=$Q$1,MONTH(B174)-$P$1+1,(YEAR(B174)-$Q$1)*12-$P$1+1+MONTH(B174)))</f>
        <v>4</v>
      </c>
      <c r="Q174" s="330">
        <f t="shared" si="170"/>
        <v>4</v>
      </c>
      <c r="R174" s="331" t="str">
        <f t="shared" si="1"/>
        <v>Gastos_Gerais</v>
      </c>
      <c r="S174" s="331" t="str">
        <f>IF(D174="","",IF(OR(D174=Plano!$A$1,D174=Plano!$B$1),"entrada","saída"))</f>
        <v>saída</v>
      </c>
      <c r="T174" s="332" t="s">
        <v>1082</v>
      </c>
      <c r="U174" s="332">
        <v>1269</v>
      </c>
      <c r="V174" s="333"/>
    </row>
    <row r="175" spans="1:22" ht="224.25" customHeight="1" x14ac:dyDescent="0.2">
      <c r="A175" s="277">
        <f>IF(B175="","",COUNT('Diário 5º PA'!$A$5:$A$2634)+ROW()-4)</f>
        <v>1482</v>
      </c>
      <c r="B175" s="278">
        <v>44294</v>
      </c>
      <c r="C175" s="259">
        <v>44256</v>
      </c>
      <c r="D175" s="252" t="s">
        <v>99</v>
      </c>
      <c r="E175" s="252" t="s">
        <v>262</v>
      </c>
      <c r="F175" s="257">
        <v>2000</v>
      </c>
      <c r="G175" s="252" t="s">
        <v>462</v>
      </c>
      <c r="H175" s="252" t="s">
        <v>125</v>
      </c>
      <c r="I175" s="252" t="s">
        <v>4178</v>
      </c>
      <c r="J175" s="250" t="s">
        <v>464</v>
      </c>
      <c r="K175" s="255" t="s">
        <v>991</v>
      </c>
      <c r="L175" s="250" t="s">
        <v>992</v>
      </c>
      <c r="M175" s="277" t="s">
        <v>1540</v>
      </c>
      <c r="N175" s="278">
        <v>44293</v>
      </c>
      <c r="O175" s="329" t="s">
        <v>67</v>
      </c>
      <c r="P175" s="330">
        <f t="shared" ref="P175:Q175" si="171">IF(B175=0,0,IF(YEAR(B175)=$Q$1,MONTH(B175)-$P$1+1,(YEAR(B175)-$Q$1)*12-$P$1+1+MONTH(B175)))</f>
        <v>4</v>
      </c>
      <c r="Q175" s="330">
        <f t="shared" si="171"/>
        <v>3</v>
      </c>
      <c r="R175" s="331" t="str">
        <f t="shared" si="1"/>
        <v>Gastos_Gerais</v>
      </c>
      <c r="S175" s="331" t="str">
        <f>IF(D175="","",IF(OR(D175=Plano!$A$1,D175=Plano!$B$1),"entrada","saída"))</f>
        <v>saída</v>
      </c>
      <c r="T175" s="332" t="s">
        <v>994</v>
      </c>
      <c r="U175" s="332">
        <v>956</v>
      </c>
      <c r="V175" s="333"/>
    </row>
    <row r="176" spans="1:22" ht="171.75" customHeight="1" x14ac:dyDescent="0.2">
      <c r="A176" s="277">
        <f>IF(B176="","",COUNT('Diário 5º PA'!$A$5:$A$2634)+ROW()-4)</f>
        <v>1483</v>
      </c>
      <c r="B176" s="278">
        <v>44294</v>
      </c>
      <c r="C176" s="259">
        <v>44256</v>
      </c>
      <c r="D176" s="252" t="s">
        <v>99</v>
      </c>
      <c r="E176" s="252" t="s">
        <v>364</v>
      </c>
      <c r="F176" s="257">
        <v>3200</v>
      </c>
      <c r="G176" s="252" t="s">
        <v>4179</v>
      </c>
      <c r="H176" s="252" t="s">
        <v>118</v>
      </c>
      <c r="I176" s="252" t="s">
        <v>1051</v>
      </c>
      <c r="J176" s="250" t="s">
        <v>711</v>
      </c>
      <c r="K176" s="255" t="s">
        <v>991</v>
      </c>
      <c r="L176" s="250" t="s">
        <v>1016</v>
      </c>
      <c r="M176" s="277" t="s">
        <v>1211</v>
      </c>
      <c r="N176" s="278">
        <v>44293</v>
      </c>
      <c r="O176" s="329" t="s">
        <v>67</v>
      </c>
      <c r="P176" s="330">
        <f t="shared" ref="P176:Q176" si="172">IF(B176=0,0,IF(YEAR(B176)=$Q$1,MONTH(B176)-$P$1+1,(YEAR(B176)-$Q$1)*12-$P$1+1+MONTH(B176)))</f>
        <v>4</v>
      </c>
      <c r="Q176" s="330">
        <f t="shared" si="172"/>
        <v>3</v>
      </c>
      <c r="R176" s="331" t="str">
        <f t="shared" si="1"/>
        <v>Gastos_Gerais</v>
      </c>
      <c r="S176" s="331" t="str">
        <f>IF(D176="","",IF(OR(D176=Plano!$A$1,D176=Plano!$B$1),"entrada","saída"))</f>
        <v>saída</v>
      </c>
      <c r="T176" s="332" t="s">
        <v>994</v>
      </c>
      <c r="U176" s="332">
        <v>1459</v>
      </c>
      <c r="V176" s="333"/>
    </row>
    <row r="177" spans="1:22" ht="132.75" customHeight="1" x14ac:dyDescent="0.2">
      <c r="A177" s="277">
        <f>IF(B177="","",COUNT('Diário 5º PA'!$A$5:$A$2634)+ROW()-4)</f>
        <v>1484</v>
      </c>
      <c r="B177" s="278">
        <v>44294</v>
      </c>
      <c r="C177" s="259">
        <v>44287</v>
      </c>
      <c r="D177" s="252" t="s">
        <v>99</v>
      </c>
      <c r="E177" s="252" t="s">
        <v>376</v>
      </c>
      <c r="F177" s="257">
        <v>2000</v>
      </c>
      <c r="G177" s="252" t="s">
        <v>477</v>
      </c>
      <c r="H177" s="252" t="s">
        <v>124</v>
      </c>
      <c r="I177" s="252" t="s">
        <v>2639</v>
      </c>
      <c r="J177" s="250" t="s">
        <v>479</v>
      </c>
      <c r="K177" s="255" t="s">
        <v>991</v>
      </c>
      <c r="L177" s="250" t="s">
        <v>1016</v>
      </c>
      <c r="M177" s="277" t="s">
        <v>1443</v>
      </c>
      <c r="N177" s="278">
        <v>44293</v>
      </c>
      <c r="O177" s="329" t="s">
        <v>67</v>
      </c>
      <c r="P177" s="330">
        <f t="shared" ref="P177:Q177" si="173">IF(B177=0,0,IF(YEAR(B177)=$Q$1,MONTH(B177)-$P$1+1,(YEAR(B177)-$Q$1)*12-$P$1+1+MONTH(B177)))</f>
        <v>4</v>
      </c>
      <c r="Q177" s="330">
        <f t="shared" si="173"/>
        <v>4</v>
      </c>
      <c r="R177" s="331" t="str">
        <f t="shared" si="1"/>
        <v>Gastos_Gerais</v>
      </c>
      <c r="S177" s="331" t="str">
        <f>IF(D177="","",IF(OR(D177=Plano!$A$1,D177=Plano!$B$1),"entrada","saída"))</f>
        <v>saída</v>
      </c>
      <c r="T177" s="332" t="s">
        <v>1059</v>
      </c>
      <c r="U177" s="332">
        <v>1268</v>
      </c>
      <c r="V177" s="333"/>
    </row>
    <row r="178" spans="1:22" ht="194.25" customHeight="1" x14ac:dyDescent="0.2">
      <c r="A178" s="277">
        <f>IF(B178="","",COUNT('Diário 5º PA'!$A$5:$A$2634)+ROW()-4)</f>
        <v>1485</v>
      </c>
      <c r="B178" s="278">
        <v>44294</v>
      </c>
      <c r="C178" s="259">
        <v>44256</v>
      </c>
      <c r="D178" s="252" t="s">
        <v>99</v>
      </c>
      <c r="E178" s="252" t="s">
        <v>352</v>
      </c>
      <c r="F178" s="257">
        <v>4750</v>
      </c>
      <c r="G178" s="252" t="s">
        <v>3429</v>
      </c>
      <c r="H178" s="252" t="s">
        <v>126</v>
      </c>
      <c r="I178" s="252" t="s">
        <v>3430</v>
      </c>
      <c r="J178" s="250" t="s">
        <v>3431</v>
      </c>
      <c r="K178" s="255" t="s">
        <v>991</v>
      </c>
      <c r="L178" s="250" t="s">
        <v>992</v>
      </c>
      <c r="M178" s="277" t="s">
        <v>1394</v>
      </c>
      <c r="N178" s="278">
        <v>44294</v>
      </c>
      <c r="O178" s="329" t="s">
        <v>67</v>
      </c>
      <c r="P178" s="330">
        <f t="shared" ref="P178:Q178" si="174">IF(B178=0,0,IF(YEAR(B178)=$Q$1,MONTH(B178)-$P$1+1,(YEAR(B178)-$Q$1)*12-$P$1+1+MONTH(B178)))</f>
        <v>4</v>
      </c>
      <c r="Q178" s="330">
        <f t="shared" si="174"/>
        <v>3</v>
      </c>
      <c r="R178" s="331" t="str">
        <f t="shared" si="1"/>
        <v>Gastos_Gerais</v>
      </c>
      <c r="S178" s="331" t="str">
        <f>IF(D178="","",IF(OR(D178=Plano!$A$1,D178=Plano!$B$1),"entrada","saída"))</f>
        <v>saída</v>
      </c>
      <c r="T178" s="332" t="s">
        <v>1059</v>
      </c>
      <c r="U178" s="332">
        <v>1270</v>
      </c>
      <c r="V178" s="333"/>
    </row>
    <row r="179" spans="1:22" ht="64.5" customHeight="1" x14ac:dyDescent="0.2">
      <c r="A179" s="277">
        <f>IF(B179="","",COUNT('Diário 5º PA'!$A$5:$A$2634)+ROW()-4)</f>
        <v>1486</v>
      </c>
      <c r="B179" s="278">
        <v>44294</v>
      </c>
      <c r="C179" s="249">
        <v>44287</v>
      </c>
      <c r="D179" s="255" t="s">
        <v>99</v>
      </c>
      <c r="E179" s="255" t="s">
        <v>272</v>
      </c>
      <c r="F179" s="258">
        <v>10.45</v>
      </c>
      <c r="G179" s="255" t="s">
        <v>1320</v>
      </c>
      <c r="H179" s="255" t="s">
        <v>129</v>
      </c>
      <c r="I179" s="250" t="s">
        <v>949</v>
      </c>
      <c r="J179" s="255" t="s">
        <v>950</v>
      </c>
      <c r="K179" s="255" t="s">
        <v>951</v>
      </c>
      <c r="L179" s="250" t="s">
        <v>947</v>
      </c>
      <c r="M179" s="336" t="s">
        <v>114</v>
      </c>
      <c r="N179" s="278">
        <v>44294</v>
      </c>
      <c r="O179" s="329" t="s">
        <v>67</v>
      </c>
      <c r="P179" s="330">
        <f t="shared" ref="P179:Q179" si="175">IF(B179=0,0,IF(YEAR(B179)=$Q$1,MONTH(B179)-$P$1+1,(YEAR(B179)-$Q$1)*12-$P$1+1+MONTH(B179)))</f>
        <v>4</v>
      </c>
      <c r="Q179" s="330">
        <f t="shared" si="175"/>
        <v>4</v>
      </c>
      <c r="R179" s="331" t="str">
        <f t="shared" si="1"/>
        <v>Gastos_Gerais</v>
      </c>
      <c r="S179" s="331" t="str">
        <f>IF(D179="","",IF(OR(D179=Plano!$A$1,D179=Plano!$B$1),"entrada","saída"))</f>
        <v>saída</v>
      </c>
      <c r="T179" s="332" t="s">
        <v>114</v>
      </c>
      <c r="U179" s="332" t="s">
        <v>114</v>
      </c>
      <c r="V179" s="333"/>
    </row>
    <row r="180" spans="1:22" ht="68.25" customHeight="1" x14ac:dyDescent="0.2">
      <c r="A180" s="277">
        <f>IF(B180="","",COUNT('Diário 5º PA'!$A$5:$A$2634)+ROW()-4)</f>
        <v>1487</v>
      </c>
      <c r="B180" s="278">
        <v>44294</v>
      </c>
      <c r="C180" s="249">
        <v>44287</v>
      </c>
      <c r="D180" s="255" t="s">
        <v>99</v>
      </c>
      <c r="E180" s="255" t="s">
        <v>272</v>
      </c>
      <c r="F180" s="258">
        <v>10.45</v>
      </c>
      <c r="G180" s="255" t="s">
        <v>1324</v>
      </c>
      <c r="H180" s="255" t="s">
        <v>124</v>
      </c>
      <c r="I180" s="250" t="s">
        <v>949</v>
      </c>
      <c r="J180" s="255" t="s">
        <v>950</v>
      </c>
      <c r="K180" s="255" t="s">
        <v>951</v>
      </c>
      <c r="L180" s="250" t="s">
        <v>947</v>
      </c>
      <c r="M180" s="336" t="s">
        <v>114</v>
      </c>
      <c r="N180" s="278">
        <v>44294</v>
      </c>
      <c r="O180" s="329" t="s">
        <v>67</v>
      </c>
      <c r="P180" s="330">
        <f t="shared" ref="P180:Q180" si="176">IF(B180=0,0,IF(YEAR(B180)=$Q$1,MONTH(B180)-$P$1+1,(YEAR(B180)-$Q$1)*12-$P$1+1+MONTH(B180)))</f>
        <v>4</v>
      </c>
      <c r="Q180" s="330">
        <f t="shared" si="176"/>
        <v>4</v>
      </c>
      <c r="R180" s="331" t="str">
        <f t="shared" si="1"/>
        <v>Gastos_Gerais</v>
      </c>
      <c r="S180" s="331" t="str">
        <f>IF(D180="","",IF(OR(D180=Plano!$A$1,D180=Plano!$B$1),"entrada","saída"))</f>
        <v>saída</v>
      </c>
      <c r="T180" s="332" t="s">
        <v>114</v>
      </c>
      <c r="U180" s="332" t="s">
        <v>114</v>
      </c>
      <c r="V180" s="333"/>
    </row>
    <row r="181" spans="1:22" ht="62.25" customHeight="1" x14ac:dyDescent="0.2">
      <c r="A181" s="277">
        <f>IF(B181="","",COUNT('Diário 5º PA'!$A$5:$A$2634)+ROW()-4)</f>
        <v>1488</v>
      </c>
      <c r="B181" s="278">
        <v>44294</v>
      </c>
      <c r="C181" s="249">
        <v>44287</v>
      </c>
      <c r="D181" s="255" t="s">
        <v>99</v>
      </c>
      <c r="E181" s="255" t="s">
        <v>272</v>
      </c>
      <c r="F181" s="258">
        <v>10.45</v>
      </c>
      <c r="G181" s="255" t="s">
        <v>3023</v>
      </c>
      <c r="H181" s="250" t="s">
        <v>125</v>
      </c>
      <c r="I181" s="250" t="s">
        <v>949</v>
      </c>
      <c r="J181" s="255" t="s">
        <v>950</v>
      </c>
      <c r="K181" s="255" t="s">
        <v>951</v>
      </c>
      <c r="L181" s="250" t="s">
        <v>947</v>
      </c>
      <c r="M181" s="336" t="s">
        <v>114</v>
      </c>
      <c r="N181" s="278">
        <v>44294</v>
      </c>
      <c r="O181" s="329" t="s">
        <v>67</v>
      </c>
      <c r="P181" s="330">
        <f t="shared" ref="P181:Q181" si="177">IF(B181=0,0,IF(YEAR(B181)=$Q$1,MONTH(B181)-$P$1+1,(YEAR(B181)-$Q$1)*12-$P$1+1+MONTH(B181)))</f>
        <v>4</v>
      </c>
      <c r="Q181" s="330">
        <f t="shared" si="177"/>
        <v>4</v>
      </c>
      <c r="R181" s="331" t="str">
        <f t="shared" si="1"/>
        <v>Gastos_Gerais</v>
      </c>
      <c r="S181" s="331" t="str">
        <f>IF(D181="","",IF(OR(D181=Plano!$A$1,D181=Plano!$B$1),"entrada","saída"))</f>
        <v>saída</v>
      </c>
      <c r="T181" s="332" t="s">
        <v>114</v>
      </c>
      <c r="U181" s="332" t="s">
        <v>114</v>
      </c>
      <c r="V181" s="333"/>
    </row>
    <row r="182" spans="1:22" ht="56.25" customHeight="1" x14ac:dyDescent="0.2">
      <c r="A182" s="277">
        <f>IF(B182="","",COUNT('Diário 5º PA'!$A$5:$A$2634)+ROW()-4)</f>
        <v>1489</v>
      </c>
      <c r="B182" s="278">
        <v>44294</v>
      </c>
      <c r="C182" s="249">
        <v>44287</v>
      </c>
      <c r="D182" s="255" t="s">
        <v>99</v>
      </c>
      <c r="E182" s="255" t="s">
        <v>272</v>
      </c>
      <c r="F182" s="258">
        <v>10.45</v>
      </c>
      <c r="G182" s="255" t="s">
        <v>4180</v>
      </c>
      <c r="H182" s="255" t="s">
        <v>118</v>
      </c>
      <c r="I182" s="250" t="s">
        <v>949</v>
      </c>
      <c r="J182" s="255" t="s">
        <v>950</v>
      </c>
      <c r="K182" s="255" t="s">
        <v>951</v>
      </c>
      <c r="L182" s="250" t="s">
        <v>947</v>
      </c>
      <c r="M182" s="336" t="s">
        <v>114</v>
      </c>
      <c r="N182" s="278">
        <v>44294</v>
      </c>
      <c r="O182" s="329" t="s">
        <v>67</v>
      </c>
      <c r="P182" s="330">
        <f t="shared" ref="P182:Q182" si="178">IF(B182=0,0,IF(YEAR(B182)=$Q$1,MONTH(B182)-$P$1+1,(YEAR(B182)-$Q$1)*12-$P$1+1+MONTH(B182)))</f>
        <v>4</v>
      </c>
      <c r="Q182" s="330">
        <f t="shared" si="178"/>
        <v>4</v>
      </c>
      <c r="R182" s="331" t="str">
        <f t="shared" si="1"/>
        <v>Gastos_Gerais</v>
      </c>
      <c r="S182" s="331" t="str">
        <f>IF(D182="","",IF(OR(D182=Plano!$A$1,D182=Plano!$B$1),"entrada","saída"))</f>
        <v>saída</v>
      </c>
      <c r="T182" s="332" t="s">
        <v>114</v>
      </c>
      <c r="U182" s="332" t="s">
        <v>114</v>
      </c>
      <c r="V182" s="333"/>
    </row>
    <row r="183" spans="1:22" ht="61.5" customHeight="1" x14ac:dyDescent="0.2">
      <c r="A183" s="277">
        <f>IF(B183="","",COUNT('Diário 5º PA'!$A$5:$A$2634)+ROW()-4)</f>
        <v>1490</v>
      </c>
      <c r="B183" s="278">
        <v>44294</v>
      </c>
      <c r="C183" s="249">
        <v>44287</v>
      </c>
      <c r="D183" s="255" t="s">
        <v>99</v>
      </c>
      <c r="E183" s="255" t="s">
        <v>272</v>
      </c>
      <c r="F183" s="258">
        <v>10.45</v>
      </c>
      <c r="G183" s="255" t="s">
        <v>1323</v>
      </c>
      <c r="H183" s="255" t="s">
        <v>124</v>
      </c>
      <c r="I183" s="250" t="s">
        <v>949</v>
      </c>
      <c r="J183" s="255" t="s">
        <v>950</v>
      </c>
      <c r="K183" s="255" t="s">
        <v>951</v>
      </c>
      <c r="L183" s="250" t="s">
        <v>947</v>
      </c>
      <c r="M183" s="336" t="s">
        <v>114</v>
      </c>
      <c r="N183" s="278">
        <v>44294</v>
      </c>
      <c r="O183" s="329" t="s">
        <v>67</v>
      </c>
      <c r="P183" s="330">
        <f t="shared" ref="P183:Q183" si="179">IF(B183=0,0,IF(YEAR(B183)=$Q$1,MONTH(B183)-$P$1+1,(YEAR(B183)-$Q$1)*12-$P$1+1+MONTH(B183)))</f>
        <v>4</v>
      </c>
      <c r="Q183" s="330">
        <f t="shared" si="179"/>
        <v>4</v>
      </c>
      <c r="R183" s="331" t="str">
        <f t="shared" si="1"/>
        <v>Gastos_Gerais</v>
      </c>
      <c r="S183" s="331" t="str">
        <f>IF(D183="","",IF(OR(D183=Plano!$A$1,D183=Plano!$B$1),"entrada","saída"))</f>
        <v>saída</v>
      </c>
      <c r="T183" s="332" t="s">
        <v>114</v>
      </c>
      <c r="U183" s="332" t="s">
        <v>114</v>
      </c>
      <c r="V183" s="333"/>
    </row>
    <row r="184" spans="1:22" ht="53.25" customHeight="1" x14ac:dyDescent="0.2">
      <c r="A184" s="277">
        <f>IF(B184="","",COUNT('Diário 5º PA'!$A$5:$A$2634)+ROW()-4)</f>
        <v>1491</v>
      </c>
      <c r="B184" s="278">
        <v>44294</v>
      </c>
      <c r="C184" s="249">
        <v>44287</v>
      </c>
      <c r="D184" s="255" t="s">
        <v>99</v>
      </c>
      <c r="E184" s="255" t="s">
        <v>272</v>
      </c>
      <c r="F184" s="258">
        <v>10.45</v>
      </c>
      <c r="G184" s="255" t="s">
        <v>3432</v>
      </c>
      <c r="H184" s="255" t="s">
        <v>126</v>
      </c>
      <c r="I184" s="250" t="s">
        <v>949</v>
      </c>
      <c r="J184" s="255" t="s">
        <v>950</v>
      </c>
      <c r="K184" s="255" t="s">
        <v>951</v>
      </c>
      <c r="L184" s="250" t="s">
        <v>947</v>
      </c>
      <c r="M184" s="336" t="s">
        <v>114</v>
      </c>
      <c r="N184" s="278">
        <v>44294</v>
      </c>
      <c r="O184" s="329" t="s">
        <v>67</v>
      </c>
      <c r="P184" s="330">
        <f t="shared" ref="P184:Q184" si="180">IF(B184=0,0,IF(YEAR(B184)=$Q$1,MONTH(B184)-$P$1+1,(YEAR(B184)-$Q$1)*12-$P$1+1+MONTH(B184)))</f>
        <v>4</v>
      </c>
      <c r="Q184" s="330">
        <f t="shared" si="180"/>
        <v>4</v>
      </c>
      <c r="R184" s="331" t="str">
        <f t="shared" si="1"/>
        <v>Gastos_Gerais</v>
      </c>
      <c r="S184" s="331" t="str">
        <f>IF(D184="","",IF(OR(D184=Plano!$A$1,D184=Plano!$B$1),"entrada","saída"))</f>
        <v>saída</v>
      </c>
      <c r="T184" s="332" t="s">
        <v>114</v>
      </c>
      <c r="U184" s="332" t="s">
        <v>114</v>
      </c>
      <c r="V184" s="333"/>
    </row>
    <row r="185" spans="1:22" ht="109.5" customHeight="1" x14ac:dyDescent="0.2">
      <c r="A185" s="277">
        <f>IF(B185="","",COUNT('Diário 5º PA'!$A$5:$A$2634)+ROW()-4)</f>
        <v>1492</v>
      </c>
      <c r="B185" s="278">
        <v>44294</v>
      </c>
      <c r="C185" s="259">
        <v>44256</v>
      </c>
      <c r="D185" s="252" t="s">
        <v>104</v>
      </c>
      <c r="E185" s="252" t="s">
        <v>104</v>
      </c>
      <c r="F185" s="257">
        <v>2231</v>
      </c>
      <c r="G185" s="252" t="s">
        <v>4181</v>
      </c>
      <c r="H185" s="252" t="s">
        <v>104</v>
      </c>
      <c r="I185" s="252" t="s">
        <v>1267</v>
      </c>
      <c r="J185" s="250" t="s">
        <v>859</v>
      </c>
      <c r="K185" s="255" t="s">
        <v>1015</v>
      </c>
      <c r="L185" s="250" t="s">
        <v>1016</v>
      </c>
      <c r="M185" s="277" t="s">
        <v>1081</v>
      </c>
      <c r="N185" s="278">
        <v>44293</v>
      </c>
      <c r="O185" s="329" t="s">
        <v>68</v>
      </c>
      <c r="P185" s="330">
        <f t="shared" ref="P185:Q185" si="181">IF(B185=0,0,IF(YEAR(B185)=$Q$1,MONTH(B185)-$P$1+1,(YEAR(B185)-$Q$1)*12-$P$1+1+MONTH(B185)))</f>
        <v>4</v>
      </c>
      <c r="Q185" s="330">
        <f t="shared" si="181"/>
        <v>3</v>
      </c>
      <c r="R185" s="331" t="str">
        <f t="shared" si="1"/>
        <v>Gastos_custeados_por_captação</v>
      </c>
      <c r="S185" s="331" t="str">
        <f>IF(D185="","",IF(OR(D185=Plano!$A$1,D185=Plano!$B$1),"entrada","saída"))</f>
        <v>saída</v>
      </c>
      <c r="T185" s="332" t="s">
        <v>994</v>
      </c>
      <c r="U185" s="332">
        <v>1227</v>
      </c>
      <c r="V185" s="333"/>
    </row>
    <row r="186" spans="1:22" ht="120" customHeight="1" x14ac:dyDescent="0.2">
      <c r="A186" s="277">
        <f>IF(B186="","",COUNT('Diário 5º PA'!$A$5:$A$2634)+ROW()-4)</f>
        <v>1493</v>
      </c>
      <c r="B186" s="278">
        <v>44294</v>
      </c>
      <c r="C186" s="259">
        <v>44256</v>
      </c>
      <c r="D186" s="252" t="s">
        <v>104</v>
      </c>
      <c r="E186" s="252" t="s">
        <v>104</v>
      </c>
      <c r="F186" s="257">
        <v>3201</v>
      </c>
      <c r="G186" s="252" t="s">
        <v>3855</v>
      </c>
      <c r="H186" s="252" t="s">
        <v>104</v>
      </c>
      <c r="I186" s="252" t="s">
        <v>1267</v>
      </c>
      <c r="J186" s="250" t="s">
        <v>1264</v>
      </c>
      <c r="K186" s="255" t="s">
        <v>1015</v>
      </c>
      <c r="L186" s="250" t="s">
        <v>1016</v>
      </c>
      <c r="M186" s="277" t="s">
        <v>1452</v>
      </c>
      <c r="N186" s="278">
        <v>44293</v>
      </c>
      <c r="O186" s="329" t="s">
        <v>68</v>
      </c>
      <c r="P186" s="330">
        <f t="shared" ref="P186:Q186" si="182">IF(B186=0,0,IF(YEAR(B186)=$Q$1,MONTH(B186)-$P$1+1,(YEAR(B186)-$Q$1)*12-$P$1+1+MONTH(B186)))</f>
        <v>4</v>
      </c>
      <c r="Q186" s="330">
        <f t="shared" si="182"/>
        <v>3</v>
      </c>
      <c r="R186" s="331" t="str">
        <f t="shared" si="1"/>
        <v>Gastos_custeados_por_captação</v>
      </c>
      <c r="S186" s="331" t="str">
        <f>IF(D186="","",IF(OR(D186=Plano!$A$1,D186=Plano!$B$1),"entrada","saída"))</f>
        <v>saída</v>
      </c>
      <c r="T186" s="332" t="s">
        <v>994</v>
      </c>
      <c r="U186" s="332">
        <v>1205</v>
      </c>
      <c r="V186" s="333"/>
    </row>
    <row r="187" spans="1:22" ht="113.25" customHeight="1" x14ac:dyDescent="0.2">
      <c r="A187" s="277">
        <f>IF(B187="","",COUNT('Diário 5º PA'!$A$5:$A$2634)+ROW()-4)</f>
        <v>1494</v>
      </c>
      <c r="B187" s="278">
        <v>44294</v>
      </c>
      <c r="C187" s="259">
        <v>44256</v>
      </c>
      <c r="D187" s="252" t="s">
        <v>104</v>
      </c>
      <c r="E187" s="252" t="s">
        <v>104</v>
      </c>
      <c r="F187" s="257">
        <v>3201</v>
      </c>
      <c r="G187" s="252" t="s">
        <v>3890</v>
      </c>
      <c r="H187" s="252" t="s">
        <v>104</v>
      </c>
      <c r="I187" s="252" t="s">
        <v>1267</v>
      </c>
      <c r="J187" s="250" t="s">
        <v>1264</v>
      </c>
      <c r="K187" s="255" t="s">
        <v>1015</v>
      </c>
      <c r="L187" s="250" t="s">
        <v>1016</v>
      </c>
      <c r="M187" s="277" t="s">
        <v>1336</v>
      </c>
      <c r="N187" s="278">
        <v>44293</v>
      </c>
      <c r="O187" s="329" t="s">
        <v>68</v>
      </c>
      <c r="P187" s="330">
        <f t="shared" ref="P187:Q187" si="183">IF(B187=0,0,IF(YEAR(B187)=$Q$1,MONTH(B187)-$P$1+1,(YEAR(B187)-$Q$1)*12-$P$1+1+MONTH(B187)))</f>
        <v>4</v>
      </c>
      <c r="Q187" s="330">
        <f t="shared" si="183"/>
        <v>3</v>
      </c>
      <c r="R187" s="331" t="str">
        <f t="shared" si="1"/>
        <v>Gastos_custeados_por_captação</v>
      </c>
      <c r="S187" s="331" t="str">
        <f>IF(D187="","",IF(OR(D187=Plano!$A$1,D187=Plano!$B$1),"entrada","saída"))</f>
        <v>saída</v>
      </c>
      <c r="T187" s="332" t="s">
        <v>994</v>
      </c>
      <c r="U187" s="332">
        <v>1206</v>
      </c>
      <c r="V187" s="333"/>
    </row>
    <row r="188" spans="1:22" ht="114" customHeight="1" x14ac:dyDescent="0.2">
      <c r="A188" s="277">
        <f>IF(B188="","",COUNT('Diário 5º PA'!$A$5:$A$2634)+ROW()-4)</f>
        <v>1495</v>
      </c>
      <c r="B188" s="278">
        <v>44294</v>
      </c>
      <c r="C188" s="259">
        <v>44256</v>
      </c>
      <c r="D188" s="252" t="s">
        <v>104</v>
      </c>
      <c r="E188" s="252" t="s">
        <v>104</v>
      </c>
      <c r="F188" s="257">
        <v>3201</v>
      </c>
      <c r="G188" s="252" t="s">
        <v>3858</v>
      </c>
      <c r="H188" s="252" t="s">
        <v>104</v>
      </c>
      <c r="I188" s="252" t="s">
        <v>1267</v>
      </c>
      <c r="J188" s="250" t="s">
        <v>1264</v>
      </c>
      <c r="K188" s="255" t="s">
        <v>1015</v>
      </c>
      <c r="L188" s="250" t="s">
        <v>1016</v>
      </c>
      <c r="M188" s="277" t="s">
        <v>4182</v>
      </c>
      <c r="N188" s="278">
        <v>44293</v>
      </c>
      <c r="O188" s="329" t="s">
        <v>68</v>
      </c>
      <c r="P188" s="330">
        <f t="shared" ref="P188:Q188" si="184">IF(B188=0,0,IF(YEAR(B188)=$Q$1,MONTH(B188)-$P$1+1,(YEAR(B188)-$Q$1)*12-$P$1+1+MONTH(B188)))</f>
        <v>4</v>
      </c>
      <c r="Q188" s="330">
        <f t="shared" si="184"/>
        <v>3</v>
      </c>
      <c r="R188" s="331" t="str">
        <f t="shared" si="1"/>
        <v>Gastos_custeados_por_captação</v>
      </c>
      <c r="S188" s="331" t="str">
        <f>IF(D188="","",IF(OR(D188=Plano!$A$1,D188=Plano!$B$1),"entrada","saída"))</f>
        <v>saída</v>
      </c>
      <c r="T188" s="332" t="s">
        <v>994</v>
      </c>
      <c r="U188" s="332">
        <v>1207</v>
      </c>
      <c r="V188" s="333"/>
    </row>
    <row r="189" spans="1:22" ht="105.75" customHeight="1" x14ac:dyDescent="0.2">
      <c r="A189" s="277">
        <f>IF(B189="","",COUNT('Diário 5º PA'!$A$5:$A$2634)+ROW()-4)</f>
        <v>1496</v>
      </c>
      <c r="B189" s="278">
        <v>44294</v>
      </c>
      <c r="C189" s="259">
        <v>44256</v>
      </c>
      <c r="D189" s="252" t="s">
        <v>104</v>
      </c>
      <c r="E189" s="252" t="s">
        <v>104</v>
      </c>
      <c r="F189" s="257">
        <v>3201</v>
      </c>
      <c r="G189" s="252" t="s">
        <v>3860</v>
      </c>
      <c r="H189" s="252" t="s">
        <v>104</v>
      </c>
      <c r="I189" s="252" t="s">
        <v>1267</v>
      </c>
      <c r="J189" s="250" t="s">
        <v>1264</v>
      </c>
      <c r="K189" s="255" t="s">
        <v>1015</v>
      </c>
      <c r="L189" s="250" t="s">
        <v>1016</v>
      </c>
      <c r="M189" s="277" t="s">
        <v>4183</v>
      </c>
      <c r="N189" s="278">
        <v>44293</v>
      </c>
      <c r="O189" s="329" t="s">
        <v>68</v>
      </c>
      <c r="P189" s="330">
        <f t="shared" ref="P189:Q189" si="185">IF(B189=0,0,IF(YEAR(B189)=$Q$1,MONTH(B189)-$P$1+1,(YEAR(B189)-$Q$1)*12-$P$1+1+MONTH(B189)))</f>
        <v>4</v>
      </c>
      <c r="Q189" s="330">
        <f t="shared" si="185"/>
        <v>3</v>
      </c>
      <c r="R189" s="331" t="str">
        <f t="shared" si="1"/>
        <v>Gastos_custeados_por_captação</v>
      </c>
      <c r="S189" s="331" t="str">
        <f>IF(D189="","",IF(OR(D189=Plano!$A$1,D189=Plano!$B$1),"entrada","saída"))</f>
        <v>saída</v>
      </c>
      <c r="T189" s="332" t="s">
        <v>994</v>
      </c>
      <c r="U189" s="332">
        <v>1208</v>
      </c>
      <c r="V189" s="333"/>
    </row>
    <row r="190" spans="1:22" ht="118.5" customHeight="1" x14ac:dyDescent="0.2">
      <c r="A190" s="277">
        <f>IF(B190="","",COUNT('Diário 5º PA'!$A$5:$A$2634)+ROW()-4)</f>
        <v>1497</v>
      </c>
      <c r="B190" s="278">
        <v>44294</v>
      </c>
      <c r="C190" s="259">
        <v>44256</v>
      </c>
      <c r="D190" s="252" t="s">
        <v>104</v>
      </c>
      <c r="E190" s="252" t="s">
        <v>104</v>
      </c>
      <c r="F190" s="257">
        <v>3201</v>
      </c>
      <c r="G190" s="252" t="s">
        <v>4184</v>
      </c>
      <c r="H190" s="252" t="s">
        <v>104</v>
      </c>
      <c r="I190" s="252" t="s">
        <v>1267</v>
      </c>
      <c r="J190" s="250" t="s">
        <v>1264</v>
      </c>
      <c r="K190" s="255" t="s">
        <v>1015</v>
      </c>
      <c r="L190" s="250" t="s">
        <v>1016</v>
      </c>
      <c r="M190" s="277" t="s">
        <v>1944</v>
      </c>
      <c r="N190" s="278">
        <v>44293</v>
      </c>
      <c r="O190" s="329" t="s">
        <v>68</v>
      </c>
      <c r="P190" s="330">
        <f t="shared" ref="P190:Q190" si="186">IF(B190=0,0,IF(YEAR(B190)=$Q$1,MONTH(B190)-$P$1+1,(YEAR(B190)-$Q$1)*12-$P$1+1+MONTH(B190)))</f>
        <v>4</v>
      </c>
      <c r="Q190" s="330">
        <f t="shared" si="186"/>
        <v>3</v>
      </c>
      <c r="R190" s="331" t="str">
        <f t="shared" si="1"/>
        <v>Gastos_custeados_por_captação</v>
      </c>
      <c r="S190" s="331" t="str">
        <f>IF(D190="","",IF(OR(D190=Plano!$A$1,D190=Plano!$B$1),"entrada","saída"))</f>
        <v>saída</v>
      </c>
      <c r="T190" s="332" t="s">
        <v>994</v>
      </c>
      <c r="U190" s="332">
        <v>1209</v>
      </c>
      <c r="V190" s="333"/>
    </row>
    <row r="191" spans="1:22" ht="105" customHeight="1" x14ac:dyDescent="0.2">
      <c r="A191" s="277">
        <f>IF(B191="","",COUNT('Diário 5º PA'!$A$5:$A$2634)+ROW()-4)</f>
        <v>1498</v>
      </c>
      <c r="B191" s="278">
        <v>44294</v>
      </c>
      <c r="C191" s="259">
        <v>44256</v>
      </c>
      <c r="D191" s="252" t="s">
        <v>104</v>
      </c>
      <c r="E191" s="252" t="s">
        <v>104</v>
      </c>
      <c r="F191" s="257">
        <v>3201</v>
      </c>
      <c r="G191" s="252" t="s">
        <v>3862</v>
      </c>
      <c r="H191" s="252" t="s">
        <v>104</v>
      </c>
      <c r="I191" s="252" t="s">
        <v>1267</v>
      </c>
      <c r="J191" s="250" t="s">
        <v>1264</v>
      </c>
      <c r="K191" s="255" t="s">
        <v>1015</v>
      </c>
      <c r="L191" s="250" t="s">
        <v>1016</v>
      </c>
      <c r="M191" s="277" t="s">
        <v>1730</v>
      </c>
      <c r="N191" s="278">
        <v>44293</v>
      </c>
      <c r="O191" s="329" t="s">
        <v>68</v>
      </c>
      <c r="P191" s="330">
        <f t="shared" ref="P191:Q191" si="187">IF(B191=0,0,IF(YEAR(B191)=$Q$1,MONTH(B191)-$P$1+1,(YEAR(B191)-$Q$1)*12-$P$1+1+MONTH(B191)))</f>
        <v>4</v>
      </c>
      <c r="Q191" s="330">
        <f t="shared" si="187"/>
        <v>3</v>
      </c>
      <c r="R191" s="331" t="str">
        <f t="shared" si="1"/>
        <v>Gastos_custeados_por_captação</v>
      </c>
      <c r="S191" s="331" t="str">
        <f>IF(D191="","",IF(OR(D191=Plano!$A$1,D191=Plano!$B$1),"entrada","saída"))</f>
        <v>saída</v>
      </c>
      <c r="T191" s="332" t="s">
        <v>994</v>
      </c>
      <c r="U191" s="332">
        <v>1210</v>
      </c>
      <c r="V191" s="333"/>
    </row>
    <row r="192" spans="1:22" ht="105.75" customHeight="1" x14ac:dyDescent="0.2">
      <c r="A192" s="277">
        <f>IF(B192="","",COUNT('Diário 5º PA'!$A$5:$A$2634)+ROW()-4)</f>
        <v>1499</v>
      </c>
      <c r="B192" s="278">
        <v>44294</v>
      </c>
      <c r="C192" s="259">
        <v>44256</v>
      </c>
      <c r="D192" s="252" t="s">
        <v>104</v>
      </c>
      <c r="E192" s="252" t="s">
        <v>104</v>
      </c>
      <c r="F192" s="257">
        <v>3201</v>
      </c>
      <c r="G192" s="252" t="s">
        <v>3863</v>
      </c>
      <c r="H192" s="252" t="s">
        <v>104</v>
      </c>
      <c r="I192" s="252" t="s">
        <v>1267</v>
      </c>
      <c r="J192" s="250" t="s">
        <v>1264</v>
      </c>
      <c r="K192" s="255" t="s">
        <v>1015</v>
      </c>
      <c r="L192" s="250" t="s">
        <v>1016</v>
      </c>
      <c r="M192" s="277" t="s">
        <v>1675</v>
      </c>
      <c r="N192" s="278">
        <v>44293</v>
      </c>
      <c r="O192" s="329" t="s">
        <v>68</v>
      </c>
      <c r="P192" s="330">
        <f t="shared" ref="P192:Q192" si="188">IF(B192=0,0,IF(YEAR(B192)=$Q$1,MONTH(B192)-$P$1+1,(YEAR(B192)-$Q$1)*12-$P$1+1+MONTH(B192)))</f>
        <v>4</v>
      </c>
      <c r="Q192" s="330">
        <f t="shared" si="188"/>
        <v>3</v>
      </c>
      <c r="R192" s="331" t="str">
        <f t="shared" si="1"/>
        <v>Gastos_custeados_por_captação</v>
      </c>
      <c r="S192" s="331" t="str">
        <f>IF(D192="","",IF(OR(D192=Plano!$A$1,D192=Plano!$B$1),"entrada","saída"))</f>
        <v>saída</v>
      </c>
      <c r="T192" s="332" t="s">
        <v>994</v>
      </c>
      <c r="U192" s="332">
        <v>1211</v>
      </c>
      <c r="V192" s="333"/>
    </row>
    <row r="193" spans="1:22" ht="111" customHeight="1" x14ac:dyDescent="0.2">
      <c r="A193" s="277">
        <f>IF(B193="","",COUNT('Diário 5º PA'!$A$5:$A$2634)+ROW()-4)</f>
        <v>1500</v>
      </c>
      <c r="B193" s="278">
        <v>44294</v>
      </c>
      <c r="C193" s="259">
        <v>44256</v>
      </c>
      <c r="D193" s="252" t="s">
        <v>104</v>
      </c>
      <c r="E193" s="252" t="s">
        <v>104</v>
      </c>
      <c r="F193" s="257">
        <v>3201</v>
      </c>
      <c r="G193" s="252" t="s">
        <v>3864</v>
      </c>
      <c r="H193" s="252" t="s">
        <v>104</v>
      </c>
      <c r="I193" s="252" t="s">
        <v>1267</v>
      </c>
      <c r="J193" s="250" t="s">
        <v>1264</v>
      </c>
      <c r="K193" s="255" t="s">
        <v>1015</v>
      </c>
      <c r="L193" s="250" t="s">
        <v>1016</v>
      </c>
      <c r="M193" s="277" t="s">
        <v>2111</v>
      </c>
      <c r="N193" s="278">
        <v>44293</v>
      </c>
      <c r="O193" s="329" t="s">
        <v>68</v>
      </c>
      <c r="P193" s="330">
        <f t="shared" ref="P193:Q193" si="189">IF(B193=0,0,IF(YEAR(B193)=$Q$1,MONTH(B193)-$P$1+1,(YEAR(B193)-$Q$1)*12-$P$1+1+MONTH(B193)))</f>
        <v>4</v>
      </c>
      <c r="Q193" s="330">
        <f t="shared" si="189"/>
        <v>3</v>
      </c>
      <c r="R193" s="331" t="str">
        <f t="shared" si="1"/>
        <v>Gastos_custeados_por_captação</v>
      </c>
      <c r="S193" s="331" t="str">
        <f>IF(D193="","",IF(OR(D193=Plano!$A$1,D193=Plano!$B$1),"entrada","saída"))</f>
        <v>saída</v>
      </c>
      <c r="T193" s="332" t="s">
        <v>994</v>
      </c>
      <c r="U193" s="332">
        <v>1212</v>
      </c>
      <c r="V193" s="333"/>
    </row>
    <row r="194" spans="1:22" ht="112.5" customHeight="1" x14ac:dyDescent="0.2">
      <c r="A194" s="277">
        <f>IF(B194="","",COUNT('Diário 5º PA'!$A$5:$A$2634)+ROW()-4)</f>
        <v>1501</v>
      </c>
      <c r="B194" s="278">
        <v>44294</v>
      </c>
      <c r="C194" s="259">
        <v>44256</v>
      </c>
      <c r="D194" s="252" t="s">
        <v>104</v>
      </c>
      <c r="E194" s="252" t="s">
        <v>104</v>
      </c>
      <c r="F194" s="257">
        <v>3201</v>
      </c>
      <c r="G194" s="252" t="s">
        <v>3865</v>
      </c>
      <c r="H194" s="252" t="s">
        <v>104</v>
      </c>
      <c r="I194" s="252" t="s">
        <v>1267</v>
      </c>
      <c r="J194" s="250" t="s">
        <v>1264</v>
      </c>
      <c r="K194" s="255" t="s">
        <v>1015</v>
      </c>
      <c r="L194" s="250" t="s">
        <v>1016</v>
      </c>
      <c r="M194" s="277" t="s">
        <v>4185</v>
      </c>
      <c r="N194" s="278">
        <v>44293</v>
      </c>
      <c r="O194" s="329" t="s">
        <v>68</v>
      </c>
      <c r="P194" s="330">
        <f t="shared" ref="P194:Q194" si="190">IF(B194=0,0,IF(YEAR(B194)=$Q$1,MONTH(B194)-$P$1+1,(YEAR(B194)-$Q$1)*12-$P$1+1+MONTH(B194)))</f>
        <v>4</v>
      </c>
      <c r="Q194" s="330">
        <f t="shared" si="190"/>
        <v>3</v>
      </c>
      <c r="R194" s="331" t="str">
        <f t="shared" si="1"/>
        <v>Gastos_custeados_por_captação</v>
      </c>
      <c r="S194" s="331" t="str">
        <f>IF(D194="","",IF(OR(D194=Plano!$A$1,D194=Plano!$B$1),"entrada","saída"))</f>
        <v>saída</v>
      </c>
      <c r="T194" s="332" t="s">
        <v>994</v>
      </c>
      <c r="U194" s="332">
        <v>1213</v>
      </c>
      <c r="V194" s="333"/>
    </row>
    <row r="195" spans="1:22" ht="120.75" customHeight="1" x14ac:dyDescent="0.2">
      <c r="A195" s="277">
        <f>IF(B195="","",COUNT('Diário 5º PA'!$A$5:$A$2634)+ROW()-4)</f>
        <v>1502</v>
      </c>
      <c r="B195" s="278">
        <v>44294</v>
      </c>
      <c r="C195" s="259">
        <v>44256</v>
      </c>
      <c r="D195" s="252" t="s">
        <v>104</v>
      </c>
      <c r="E195" s="252" t="s">
        <v>104</v>
      </c>
      <c r="F195" s="257">
        <v>3201</v>
      </c>
      <c r="G195" s="252" t="s">
        <v>3857</v>
      </c>
      <c r="H195" s="252" t="s">
        <v>104</v>
      </c>
      <c r="I195" s="252" t="s">
        <v>1267</v>
      </c>
      <c r="J195" s="250" t="s">
        <v>1264</v>
      </c>
      <c r="K195" s="255" t="s">
        <v>1015</v>
      </c>
      <c r="L195" s="250" t="s">
        <v>1016</v>
      </c>
      <c r="M195" s="277" t="s">
        <v>1079</v>
      </c>
      <c r="N195" s="278">
        <v>44293</v>
      </c>
      <c r="O195" s="329" t="s">
        <v>68</v>
      </c>
      <c r="P195" s="330">
        <f t="shared" ref="P195:Q195" si="191">IF(B195=0,0,IF(YEAR(B195)=$Q$1,MONTH(B195)-$P$1+1,(YEAR(B195)-$Q$1)*12-$P$1+1+MONTH(B195)))</f>
        <v>4</v>
      </c>
      <c r="Q195" s="330">
        <f t="shared" si="191"/>
        <v>3</v>
      </c>
      <c r="R195" s="331" t="str">
        <f t="shared" si="1"/>
        <v>Gastos_custeados_por_captação</v>
      </c>
      <c r="S195" s="331" t="str">
        <f>IF(D195="","",IF(OR(D195=Plano!$A$1,D195=Plano!$B$1),"entrada","saída"))</f>
        <v>saída</v>
      </c>
      <c r="T195" s="332" t="s">
        <v>994</v>
      </c>
      <c r="U195" s="332">
        <v>1214</v>
      </c>
      <c r="V195" s="333"/>
    </row>
    <row r="196" spans="1:22" ht="71.25" customHeight="1" x14ac:dyDescent="0.2">
      <c r="A196" s="277">
        <f>IF(B196="","",COUNT('Diário 5º PA'!$A$5:$A$2634)+ROW()-4)</f>
        <v>1503</v>
      </c>
      <c r="B196" s="278">
        <v>44294</v>
      </c>
      <c r="C196" s="259">
        <v>44256</v>
      </c>
      <c r="D196" s="252" t="s">
        <v>104</v>
      </c>
      <c r="E196" s="252" t="s">
        <v>104</v>
      </c>
      <c r="F196" s="257">
        <v>2300</v>
      </c>
      <c r="G196" s="252" t="s">
        <v>3680</v>
      </c>
      <c r="H196" s="252" t="s">
        <v>104</v>
      </c>
      <c r="I196" s="252" t="s">
        <v>4186</v>
      </c>
      <c r="J196" s="250" t="s">
        <v>672</v>
      </c>
      <c r="K196" s="255" t="s">
        <v>1015</v>
      </c>
      <c r="L196" s="250" t="s">
        <v>1016</v>
      </c>
      <c r="M196" s="277">
        <v>165</v>
      </c>
      <c r="N196" s="278">
        <v>44291</v>
      </c>
      <c r="O196" s="329" t="s">
        <v>68</v>
      </c>
      <c r="P196" s="330">
        <f t="shared" ref="P196:Q196" si="192">IF(B196=0,0,IF(YEAR(B196)=$Q$1,MONTH(B196)-$P$1+1,(YEAR(B196)-$Q$1)*12-$P$1+1+MONTH(B196)))</f>
        <v>4</v>
      </c>
      <c r="Q196" s="330">
        <f t="shared" si="192"/>
        <v>3</v>
      </c>
      <c r="R196" s="331" t="str">
        <f t="shared" si="1"/>
        <v>Gastos_custeados_por_captação</v>
      </c>
      <c r="S196" s="331" t="str">
        <f>IF(D196="","",IF(OR(D196=Plano!$A$1,D196=Plano!$B$1),"entrada","saída"))</f>
        <v>saída</v>
      </c>
      <c r="T196" s="332" t="s">
        <v>994</v>
      </c>
      <c r="U196" s="332">
        <v>1220</v>
      </c>
      <c r="V196" s="333"/>
    </row>
    <row r="197" spans="1:22" ht="162" customHeight="1" x14ac:dyDescent="0.2">
      <c r="A197" s="277">
        <f>IF(B197="","",COUNT('Diário 5º PA'!$A$5:$A$2634)+ROW()-4)</f>
        <v>1504</v>
      </c>
      <c r="B197" s="278">
        <v>44294</v>
      </c>
      <c r="C197" s="259">
        <v>44256</v>
      </c>
      <c r="D197" s="252" t="s">
        <v>104</v>
      </c>
      <c r="E197" s="252" t="s">
        <v>104</v>
      </c>
      <c r="F197" s="257">
        <v>1344</v>
      </c>
      <c r="G197" s="252" t="s">
        <v>4187</v>
      </c>
      <c r="H197" s="252" t="s">
        <v>104</v>
      </c>
      <c r="I197" s="252" t="s">
        <v>1776</v>
      </c>
      <c r="J197" s="250" t="s">
        <v>1777</v>
      </c>
      <c r="K197" s="255" t="s">
        <v>1015</v>
      </c>
      <c r="L197" s="250" t="s">
        <v>1029</v>
      </c>
      <c r="M197" s="277">
        <v>1103</v>
      </c>
      <c r="N197" s="278">
        <v>44291</v>
      </c>
      <c r="O197" s="329" t="s">
        <v>68</v>
      </c>
      <c r="P197" s="330">
        <f t="shared" ref="P197:Q197" si="193">IF(B197=0,0,IF(YEAR(B197)=$Q$1,MONTH(B197)-$P$1+1,(YEAR(B197)-$Q$1)*12-$P$1+1+MONTH(B197)))</f>
        <v>4</v>
      </c>
      <c r="Q197" s="330">
        <f t="shared" si="193"/>
        <v>3</v>
      </c>
      <c r="R197" s="331" t="str">
        <f t="shared" si="1"/>
        <v>Gastos_custeados_por_captação</v>
      </c>
      <c r="S197" s="331" t="str">
        <f>IF(D197="","",IF(OR(D197=Plano!$A$1,D197=Plano!$B$1),"entrada","saída"))</f>
        <v>saída</v>
      </c>
      <c r="T197" s="332" t="s">
        <v>994</v>
      </c>
      <c r="U197" s="332">
        <v>1203</v>
      </c>
      <c r="V197" s="333"/>
    </row>
    <row r="198" spans="1:22" ht="153.75" customHeight="1" x14ac:dyDescent="0.2">
      <c r="A198" s="277">
        <f>IF(B198="","",COUNT('Diário 5º PA'!$A$5:$A$2634)+ROW()-4)</f>
        <v>1505</v>
      </c>
      <c r="B198" s="278">
        <v>44294</v>
      </c>
      <c r="C198" s="259">
        <v>44256</v>
      </c>
      <c r="D198" s="252" t="s">
        <v>104</v>
      </c>
      <c r="E198" s="252" t="s">
        <v>104</v>
      </c>
      <c r="F198" s="257">
        <v>2125.92</v>
      </c>
      <c r="G198" s="252" t="s">
        <v>548</v>
      </c>
      <c r="H198" s="252" t="s">
        <v>104</v>
      </c>
      <c r="I198" s="252" t="s">
        <v>1166</v>
      </c>
      <c r="J198" s="250" t="s">
        <v>550</v>
      </c>
      <c r="K198" s="255" t="s">
        <v>1015</v>
      </c>
      <c r="L198" s="250" t="s">
        <v>1029</v>
      </c>
      <c r="M198" s="277">
        <v>1109</v>
      </c>
      <c r="N198" s="278">
        <v>44292</v>
      </c>
      <c r="O198" s="329" t="s">
        <v>68</v>
      </c>
      <c r="P198" s="330">
        <f t="shared" ref="P198:Q198" si="194">IF(B198=0,0,IF(YEAR(B198)=$Q$1,MONTH(B198)-$P$1+1,(YEAR(B198)-$Q$1)*12-$P$1+1+MONTH(B198)))</f>
        <v>4</v>
      </c>
      <c r="Q198" s="330">
        <f t="shared" si="194"/>
        <v>3</v>
      </c>
      <c r="R198" s="331" t="str">
        <f t="shared" si="1"/>
        <v>Gastos_custeados_por_captação</v>
      </c>
      <c r="S198" s="331" t="str">
        <f>IF(D198="","",IF(OR(D198=Plano!$A$1,D198=Plano!$B$1),"entrada","saída"))</f>
        <v>saída</v>
      </c>
      <c r="T198" s="332" t="s">
        <v>1059</v>
      </c>
      <c r="U198" s="332">
        <v>1301</v>
      </c>
      <c r="V198" s="333"/>
    </row>
    <row r="199" spans="1:22" ht="134.25" customHeight="1" x14ac:dyDescent="0.2">
      <c r="A199" s="277">
        <f>IF(B199="","",COUNT('Diário 5º PA'!$A$5:$A$2634)+ROW()-4)</f>
        <v>1506</v>
      </c>
      <c r="B199" s="278">
        <v>44294</v>
      </c>
      <c r="C199" s="259">
        <v>44256</v>
      </c>
      <c r="D199" s="252" t="s">
        <v>104</v>
      </c>
      <c r="E199" s="252" t="s">
        <v>104</v>
      </c>
      <c r="F199" s="257">
        <v>2125.92</v>
      </c>
      <c r="G199" s="252" t="s">
        <v>1168</v>
      </c>
      <c r="H199" s="252" t="s">
        <v>104</v>
      </c>
      <c r="I199" s="252" t="s">
        <v>1169</v>
      </c>
      <c r="J199" s="250" t="s">
        <v>1170</v>
      </c>
      <c r="K199" s="255" t="s">
        <v>1015</v>
      </c>
      <c r="L199" s="250" t="s">
        <v>1029</v>
      </c>
      <c r="M199" s="277">
        <v>1110</v>
      </c>
      <c r="N199" s="278">
        <v>44292</v>
      </c>
      <c r="O199" s="329" t="s">
        <v>69</v>
      </c>
      <c r="P199" s="330">
        <f t="shared" ref="P199:Q199" si="195">IF(B199=0,0,IF(YEAR(B199)=$Q$1,MONTH(B199)-$P$1+1,(YEAR(B199)-$Q$1)*12-$P$1+1+MONTH(B199)))</f>
        <v>4</v>
      </c>
      <c r="Q199" s="330">
        <f t="shared" si="195"/>
        <v>3</v>
      </c>
      <c r="R199" s="331" t="str">
        <f t="shared" si="1"/>
        <v>Gastos_custeados_por_captação</v>
      </c>
      <c r="S199" s="331" t="str">
        <f>IF(D199="","",IF(OR(D199=Plano!$A$1,D199=Plano!$B$1),"entrada","saída"))</f>
        <v>saída</v>
      </c>
      <c r="T199" s="332" t="s">
        <v>1059</v>
      </c>
      <c r="U199" s="332">
        <v>1302</v>
      </c>
      <c r="V199" s="333"/>
    </row>
    <row r="200" spans="1:22" ht="62.25" customHeight="1" x14ac:dyDescent="0.2">
      <c r="A200" s="277">
        <f>IF(B200="","",COUNT('Diário 5º PA'!$A$5:$A$2634)+ROW()-4)</f>
        <v>1507</v>
      </c>
      <c r="B200" s="278">
        <v>44294</v>
      </c>
      <c r="C200" s="259">
        <v>44256</v>
      </c>
      <c r="D200" s="252" t="s">
        <v>104</v>
      </c>
      <c r="E200" s="252" t="s">
        <v>104</v>
      </c>
      <c r="F200" s="257">
        <v>2075.92</v>
      </c>
      <c r="G200" s="252" t="s">
        <v>4188</v>
      </c>
      <c r="H200" s="252" t="s">
        <v>104</v>
      </c>
      <c r="I200" s="252" t="s">
        <v>1179</v>
      </c>
      <c r="J200" s="250" t="s">
        <v>604</v>
      </c>
      <c r="K200" s="255" t="s">
        <v>1015</v>
      </c>
      <c r="L200" s="250" t="s">
        <v>1029</v>
      </c>
      <c r="M200" s="277">
        <v>1113</v>
      </c>
      <c r="N200" s="278">
        <v>44293</v>
      </c>
      <c r="O200" s="329" t="s">
        <v>70</v>
      </c>
      <c r="P200" s="330">
        <f t="shared" ref="P200:Q200" si="196">IF(B200=0,0,IF(YEAR(B200)=$Q$1,MONTH(B200)-$P$1+1,(YEAR(B200)-$Q$1)*12-$P$1+1+MONTH(B200)))</f>
        <v>4</v>
      </c>
      <c r="Q200" s="330">
        <f t="shared" si="196"/>
        <v>3</v>
      </c>
      <c r="R200" s="331" t="str">
        <f t="shared" si="1"/>
        <v>Gastos_custeados_por_captação</v>
      </c>
      <c r="S200" s="331" t="str">
        <f>IF(D200="","",IF(OR(D200=Plano!$A$1,D200=Plano!$B$1),"entrada","saída"))</f>
        <v>saída</v>
      </c>
      <c r="T200" s="332" t="s">
        <v>1059</v>
      </c>
      <c r="U200" s="332">
        <v>1362</v>
      </c>
      <c r="V200" s="333"/>
    </row>
    <row r="201" spans="1:22" ht="56.25" customHeight="1" x14ac:dyDescent="0.2">
      <c r="A201" s="277">
        <f>IF(B201="","",COUNT('Diário 5º PA'!$A$5:$A$2634)+ROW()-4)</f>
        <v>1508</v>
      </c>
      <c r="B201" s="278">
        <v>44294</v>
      </c>
      <c r="C201" s="259">
        <v>44256</v>
      </c>
      <c r="D201" s="252" t="s">
        <v>104</v>
      </c>
      <c r="E201" s="252" t="s">
        <v>104</v>
      </c>
      <c r="F201" s="257">
        <v>2075.92</v>
      </c>
      <c r="G201" s="255" t="s">
        <v>4189</v>
      </c>
      <c r="H201" s="252" t="s">
        <v>104</v>
      </c>
      <c r="I201" s="250" t="s">
        <v>4190</v>
      </c>
      <c r="J201" s="255" t="s">
        <v>633</v>
      </c>
      <c r="K201" s="255" t="s">
        <v>1015</v>
      </c>
      <c r="L201" s="250" t="s">
        <v>1029</v>
      </c>
      <c r="M201" s="277">
        <v>1111</v>
      </c>
      <c r="N201" s="278">
        <v>44292</v>
      </c>
      <c r="O201" s="329" t="s">
        <v>71</v>
      </c>
      <c r="P201" s="330">
        <f t="shared" ref="P201:Q201" si="197">IF(B201=0,0,IF(YEAR(B201)=$Q$1,MONTH(B201)-$P$1+1,(YEAR(B201)-$Q$1)*12-$P$1+1+MONTH(B201)))</f>
        <v>4</v>
      </c>
      <c r="Q201" s="330">
        <f t="shared" si="197"/>
        <v>3</v>
      </c>
      <c r="R201" s="331" t="str">
        <f t="shared" si="1"/>
        <v>Gastos_custeados_por_captação</v>
      </c>
      <c r="S201" s="331" t="str">
        <f>IF(D201="","",IF(OR(D201=Plano!$A$1,D201=Plano!$B$1),"entrada","saída"))</f>
        <v>saída</v>
      </c>
      <c r="T201" s="332" t="s">
        <v>1082</v>
      </c>
      <c r="U201" s="332">
        <v>1355</v>
      </c>
      <c r="V201" s="333"/>
    </row>
    <row r="202" spans="1:22" ht="34.5" customHeight="1" x14ac:dyDescent="0.2">
      <c r="A202" s="277">
        <f>IF(B202="","",COUNT('Diário 5º PA'!$A$5:$A$2634)+ROW()-4)</f>
        <v>1509</v>
      </c>
      <c r="B202" s="278">
        <v>44294</v>
      </c>
      <c r="C202" s="249">
        <v>44287</v>
      </c>
      <c r="D202" s="252" t="s">
        <v>104</v>
      </c>
      <c r="E202" s="252" t="s">
        <v>104</v>
      </c>
      <c r="F202" s="258">
        <v>10.45</v>
      </c>
      <c r="G202" s="255" t="s">
        <v>4142</v>
      </c>
      <c r="H202" s="252" t="s">
        <v>104</v>
      </c>
      <c r="I202" s="250" t="s">
        <v>949</v>
      </c>
      <c r="J202" s="255" t="s">
        <v>950</v>
      </c>
      <c r="K202" s="255" t="s">
        <v>951</v>
      </c>
      <c r="L202" s="250" t="s">
        <v>947</v>
      </c>
      <c r="M202" s="336" t="s">
        <v>114</v>
      </c>
      <c r="N202" s="278">
        <v>44294</v>
      </c>
      <c r="O202" s="353" t="s">
        <v>71</v>
      </c>
      <c r="P202" s="330">
        <f t="shared" ref="P202:Q202" si="198">IF(B202=0,0,IF(YEAR(B202)=$Q$1,MONTH(B202)-$P$1+1,(YEAR(B202)-$Q$1)*12-$P$1+1+MONTH(B202)))</f>
        <v>4</v>
      </c>
      <c r="Q202" s="330">
        <f t="shared" si="198"/>
        <v>4</v>
      </c>
      <c r="R202" s="331" t="str">
        <f t="shared" si="1"/>
        <v>Gastos_custeados_por_captação</v>
      </c>
      <c r="S202" s="331" t="str">
        <f>IF(D202="","",IF(OR(D202=Plano!$A$1,D202=Plano!$B$1),"entrada","saída"))</f>
        <v>saída</v>
      </c>
      <c r="T202" s="332" t="s">
        <v>114</v>
      </c>
      <c r="U202" s="332" t="s">
        <v>114</v>
      </c>
      <c r="V202" s="333"/>
    </row>
    <row r="203" spans="1:22" ht="52.5" customHeight="1" x14ac:dyDescent="0.2">
      <c r="A203" s="277">
        <f>IF(B203="","",COUNT('Diário 5º PA'!$A$5:$A$2634)+ROW()-4)</f>
        <v>1510</v>
      </c>
      <c r="B203" s="278">
        <v>44295</v>
      </c>
      <c r="C203" s="256">
        <v>44256</v>
      </c>
      <c r="D203" s="255" t="s">
        <v>99</v>
      </c>
      <c r="E203" s="255" t="s">
        <v>208</v>
      </c>
      <c r="F203" s="258">
        <v>-1631.15</v>
      </c>
      <c r="G203" s="255" t="s">
        <v>4191</v>
      </c>
      <c r="H203" s="255" t="s">
        <v>115</v>
      </c>
      <c r="I203" s="250" t="s">
        <v>983</v>
      </c>
      <c r="J203" s="255" t="s">
        <v>850</v>
      </c>
      <c r="K203" s="255" t="s">
        <v>946</v>
      </c>
      <c r="L203" s="250" t="s">
        <v>947</v>
      </c>
      <c r="M203" s="277" t="s">
        <v>114</v>
      </c>
      <c r="N203" s="278">
        <v>44294</v>
      </c>
      <c r="O203" s="329" t="s">
        <v>67</v>
      </c>
      <c r="P203" s="330">
        <f t="shared" ref="P203:Q203" si="199">IF(B203=0,0,IF(YEAR(B203)=$Q$1,MONTH(B203)-$P$1+1,(YEAR(B203)-$Q$1)*12-$P$1+1+MONTH(B203)))</f>
        <v>4</v>
      </c>
      <c r="Q203" s="330">
        <f t="shared" si="199"/>
        <v>3</v>
      </c>
      <c r="R203" s="331" t="str">
        <f t="shared" si="1"/>
        <v>Gastos_Gerais</v>
      </c>
      <c r="S203" s="331" t="str">
        <f>IF(D203="","",IF(OR(D203=Plano!$A$1,D203=Plano!$B$1),"entrada","saída"))</f>
        <v>saída</v>
      </c>
      <c r="T203" s="332" t="s">
        <v>114</v>
      </c>
      <c r="U203" s="332" t="s">
        <v>114</v>
      </c>
      <c r="V203" s="333"/>
    </row>
    <row r="204" spans="1:22" ht="56.25" customHeight="1" x14ac:dyDescent="0.2">
      <c r="A204" s="277">
        <f>IF(B204="","",COUNT('Diário 5º PA'!$A$5:$A$2634)+ROW()-4)</f>
        <v>1511</v>
      </c>
      <c r="B204" s="278">
        <v>44295</v>
      </c>
      <c r="C204" s="256">
        <v>44256</v>
      </c>
      <c r="D204" s="255" t="s">
        <v>99</v>
      </c>
      <c r="E204" s="255" t="s">
        <v>212</v>
      </c>
      <c r="F204" s="258">
        <v>-447.21</v>
      </c>
      <c r="G204" s="255" t="s">
        <v>4192</v>
      </c>
      <c r="H204" s="255" t="s">
        <v>115</v>
      </c>
      <c r="I204" s="250" t="s">
        <v>983</v>
      </c>
      <c r="J204" s="255" t="s">
        <v>850</v>
      </c>
      <c r="K204" s="255" t="s">
        <v>946</v>
      </c>
      <c r="L204" s="250" t="s">
        <v>947</v>
      </c>
      <c r="M204" s="277" t="s">
        <v>114</v>
      </c>
      <c r="N204" s="278">
        <v>44294</v>
      </c>
      <c r="O204" s="329" t="s">
        <v>67</v>
      </c>
      <c r="P204" s="330">
        <f t="shared" ref="P204:Q204" si="200">IF(B204=0,0,IF(YEAR(B204)=$Q$1,MONTH(B204)-$P$1+1,(YEAR(B204)-$Q$1)*12-$P$1+1+MONTH(B204)))</f>
        <v>4</v>
      </c>
      <c r="Q204" s="330">
        <f t="shared" si="200"/>
        <v>3</v>
      </c>
      <c r="R204" s="331" t="str">
        <f t="shared" si="1"/>
        <v>Gastos_Gerais</v>
      </c>
      <c r="S204" s="331" t="str">
        <f>IF(D204="","",IF(OR(D204=Plano!$A$1,D204=Plano!$B$1),"entrada","saída"))</f>
        <v>saída</v>
      </c>
      <c r="T204" s="332" t="s">
        <v>114</v>
      </c>
      <c r="U204" s="332" t="s">
        <v>114</v>
      </c>
      <c r="V204" s="333"/>
    </row>
    <row r="205" spans="1:22" ht="168" customHeight="1" x14ac:dyDescent="0.2">
      <c r="A205" s="277">
        <f>IF(B205="","",COUNT('Diário 5º PA'!$A$5:$A$2634)+ROW()-4)</f>
        <v>1512</v>
      </c>
      <c r="B205" s="278">
        <v>44295</v>
      </c>
      <c r="C205" s="259">
        <v>44256</v>
      </c>
      <c r="D205" s="252" t="s">
        <v>99</v>
      </c>
      <c r="E205" s="252" t="s">
        <v>358</v>
      </c>
      <c r="F205" s="257">
        <v>2249.91</v>
      </c>
      <c r="G205" s="252" t="s">
        <v>4193</v>
      </c>
      <c r="H205" s="252" t="s">
        <v>125</v>
      </c>
      <c r="I205" s="252" t="s">
        <v>4194</v>
      </c>
      <c r="J205" s="250" t="s">
        <v>4195</v>
      </c>
      <c r="K205" s="255" t="s">
        <v>1015</v>
      </c>
      <c r="L205" s="250" t="s">
        <v>1029</v>
      </c>
      <c r="M205" s="277">
        <v>1117</v>
      </c>
      <c r="N205" s="278">
        <v>44294</v>
      </c>
      <c r="O205" s="329" t="s">
        <v>67</v>
      </c>
      <c r="P205" s="330">
        <f t="shared" ref="P205:Q205" si="201">IF(B205=0,0,IF(YEAR(B205)=$Q$1,MONTH(B205)-$P$1+1,(YEAR(B205)-$Q$1)*12-$P$1+1+MONTH(B205)))</f>
        <v>4</v>
      </c>
      <c r="Q205" s="330">
        <f t="shared" si="201"/>
        <v>3</v>
      </c>
      <c r="R205" s="331" t="str">
        <f t="shared" si="1"/>
        <v>Gastos_Gerais</v>
      </c>
      <c r="S205" s="331" t="str">
        <f>IF(D205="","",IF(OR(D205=Plano!$A$1,D205=Plano!$B$1),"entrada","saída"))</f>
        <v>saída</v>
      </c>
      <c r="T205" s="332" t="s">
        <v>994</v>
      </c>
      <c r="U205" s="332">
        <v>1382</v>
      </c>
      <c r="V205" s="333"/>
    </row>
    <row r="206" spans="1:22" ht="42" customHeight="1" x14ac:dyDescent="0.2">
      <c r="A206" s="277">
        <f>IF(B206="","",COUNT('Diário 5º PA'!$A$5:$A$2634)+ROW()-4)</f>
        <v>1513</v>
      </c>
      <c r="B206" s="278">
        <v>44295</v>
      </c>
      <c r="C206" s="256">
        <v>44256</v>
      </c>
      <c r="D206" s="255" t="s">
        <v>99</v>
      </c>
      <c r="E206" s="255" t="s">
        <v>208</v>
      </c>
      <c r="F206" s="258">
        <v>6176.26</v>
      </c>
      <c r="G206" s="255" t="s">
        <v>4196</v>
      </c>
      <c r="H206" s="255" t="s">
        <v>115</v>
      </c>
      <c r="I206" s="252" t="s">
        <v>518</v>
      </c>
      <c r="J206" s="252" t="s">
        <v>519</v>
      </c>
      <c r="K206" s="255" t="s">
        <v>560</v>
      </c>
      <c r="L206" s="250" t="s">
        <v>114</v>
      </c>
      <c r="M206" s="277">
        <v>4</v>
      </c>
      <c r="N206" s="278">
        <v>44292</v>
      </c>
      <c r="O206" s="329" t="s">
        <v>67</v>
      </c>
      <c r="P206" s="330">
        <f t="shared" ref="P206:Q206" si="202">IF(B206=0,0,IF(YEAR(B206)=$Q$1,MONTH(B206)-$P$1+1,(YEAR(B206)-$Q$1)*12-$P$1+1+MONTH(B206)))</f>
        <v>4</v>
      </c>
      <c r="Q206" s="330">
        <f t="shared" si="202"/>
        <v>3</v>
      </c>
      <c r="R206" s="331" t="str">
        <f t="shared" si="1"/>
        <v>Gastos_Gerais</v>
      </c>
      <c r="S206" s="331" t="str">
        <f>IF(D206="","",IF(OR(D206=Plano!$A$1,D206=Plano!$B$1),"entrada","saída"))</f>
        <v>saída</v>
      </c>
      <c r="T206" s="332" t="s">
        <v>114</v>
      </c>
      <c r="U206" s="332" t="s">
        <v>114</v>
      </c>
      <c r="V206" s="333"/>
    </row>
    <row r="207" spans="1:22" ht="39.75" customHeight="1" x14ac:dyDescent="0.2">
      <c r="A207" s="277">
        <f>IF(B207="","",COUNT('Diário 5º PA'!$A$5:$A$2634)+ROW()-4)</f>
        <v>1514</v>
      </c>
      <c r="B207" s="278">
        <v>44295</v>
      </c>
      <c r="C207" s="256">
        <v>44256</v>
      </c>
      <c r="D207" s="255" t="s">
        <v>99</v>
      </c>
      <c r="E207" s="255" t="s">
        <v>212</v>
      </c>
      <c r="F207" s="258">
        <v>1693.33</v>
      </c>
      <c r="G207" s="255" t="s">
        <v>4197</v>
      </c>
      <c r="H207" s="255" t="s">
        <v>115</v>
      </c>
      <c r="I207" s="252" t="s">
        <v>518</v>
      </c>
      <c r="J207" s="252" t="s">
        <v>519</v>
      </c>
      <c r="K207" s="255" t="s">
        <v>560</v>
      </c>
      <c r="L207" s="250" t="s">
        <v>947</v>
      </c>
      <c r="M207" s="277" t="s">
        <v>114</v>
      </c>
      <c r="N207" s="278">
        <v>44292</v>
      </c>
      <c r="O207" s="329" t="s">
        <v>67</v>
      </c>
      <c r="P207" s="330">
        <f t="shared" ref="P207:Q207" si="203">IF(B207=0,0,IF(YEAR(B207)=$Q$1,MONTH(B207)-$P$1+1,(YEAR(B207)-$Q$1)*12-$P$1+1+MONTH(B207)))</f>
        <v>4</v>
      </c>
      <c r="Q207" s="330">
        <f t="shared" si="203"/>
        <v>3</v>
      </c>
      <c r="R207" s="331" t="str">
        <f t="shared" si="1"/>
        <v>Gastos_Gerais</v>
      </c>
      <c r="S207" s="331" t="str">
        <f>IF(D207="","",IF(OR(D207=Plano!$A$1,D207=Plano!$B$1),"entrada","saída"))</f>
        <v>saída</v>
      </c>
      <c r="T207" s="332" t="s">
        <v>114</v>
      </c>
      <c r="U207" s="332" t="s">
        <v>114</v>
      </c>
      <c r="V207" s="333"/>
    </row>
    <row r="208" spans="1:22" ht="93" customHeight="1" x14ac:dyDescent="0.2">
      <c r="A208" s="277">
        <f>IF(B208="","",COUNT('Diário 5º PA'!$A$5:$A$2634)+ROW()-4)</f>
        <v>1515</v>
      </c>
      <c r="B208" s="278">
        <v>44295</v>
      </c>
      <c r="C208" s="259">
        <v>44197</v>
      </c>
      <c r="D208" s="252" t="s">
        <v>99</v>
      </c>
      <c r="E208" s="252" t="s">
        <v>364</v>
      </c>
      <c r="F208" s="257">
        <v>1038</v>
      </c>
      <c r="G208" s="252" t="s">
        <v>4198</v>
      </c>
      <c r="H208" s="252" t="s">
        <v>125</v>
      </c>
      <c r="I208" s="252" t="s">
        <v>4199</v>
      </c>
      <c r="J208" s="250" t="s">
        <v>4200</v>
      </c>
      <c r="K208" s="255" t="s">
        <v>991</v>
      </c>
      <c r="L208" s="250" t="s">
        <v>1029</v>
      </c>
      <c r="M208" s="277">
        <v>1115</v>
      </c>
      <c r="N208" s="278">
        <v>44294</v>
      </c>
      <c r="O208" s="329" t="s">
        <v>67</v>
      </c>
      <c r="P208" s="330">
        <f t="shared" ref="P208:Q208" si="204">IF(B208=0,0,IF(YEAR(B208)=$Q$1,MONTH(B208)-$P$1+1,(YEAR(B208)-$Q$1)*12-$P$1+1+MONTH(B208)))</f>
        <v>4</v>
      </c>
      <c r="Q208" s="330">
        <f t="shared" si="204"/>
        <v>1</v>
      </c>
      <c r="R208" s="331" t="str">
        <f t="shared" si="1"/>
        <v>Gastos_Gerais</v>
      </c>
      <c r="S208" s="331" t="str">
        <f>IF(D208="","",IF(OR(D208=Plano!$A$1,D208=Plano!$B$1),"entrada","saída"))</f>
        <v>saída</v>
      </c>
      <c r="T208" s="332" t="s">
        <v>994</v>
      </c>
      <c r="U208" s="332">
        <v>1257</v>
      </c>
      <c r="V208" s="333"/>
    </row>
    <row r="209" spans="1:22" ht="58.5" customHeight="1" x14ac:dyDescent="0.2">
      <c r="A209" s="277">
        <f>IF(B209="","",COUNT('Diário 5º PA'!$A$5:$A$2634)+ROW()-4)</f>
        <v>1516</v>
      </c>
      <c r="B209" s="278">
        <v>44295</v>
      </c>
      <c r="C209" s="259">
        <v>44256</v>
      </c>
      <c r="D209" s="252" t="s">
        <v>99</v>
      </c>
      <c r="E209" s="252" t="s">
        <v>336</v>
      </c>
      <c r="F209" s="257">
        <v>4899.5</v>
      </c>
      <c r="G209" s="252" t="s">
        <v>4201</v>
      </c>
      <c r="H209" s="252" t="s">
        <v>116</v>
      </c>
      <c r="I209" s="252" t="s">
        <v>4202</v>
      </c>
      <c r="J209" s="250" t="s">
        <v>4203</v>
      </c>
      <c r="K209" s="255" t="s">
        <v>991</v>
      </c>
      <c r="L209" s="250" t="s">
        <v>992</v>
      </c>
      <c r="M209" s="277">
        <v>156</v>
      </c>
      <c r="N209" s="278">
        <v>44294</v>
      </c>
      <c r="O209" s="329" t="s">
        <v>67</v>
      </c>
      <c r="P209" s="330">
        <f t="shared" ref="P209:Q209" si="205">IF(B209=0,0,IF(YEAR(B209)=$Q$1,MONTH(B209)-$P$1+1,(YEAR(B209)-$Q$1)*12-$P$1+1+MONTH(B209)))</f>
        <v>4</v>
      </c>
      <c r="Q209" s="330">
        <f t="shared" si="205"/>
        <v>3</v>
      </c>
      <c r="R209" s="331" t="str">
        <f t="shared" si="1"/>
        <v>Gastos_Gerais</v>
      </c>
      <c r="S209" s="331" t="str">
        <f>IF(D209="","",IF(OR(D209=Plano!$A$1,D209=Plano!$B$1),"entrada","saída"))</f>
        <v>saída</v>
      </c>
      <c r="T209" s="332" t="s">
        <v>994</v>
      </c>
      <c r="U209" s="332">
        <v>1461</v>
      </c>
      <c r="V209" s="333"/>
    </row>
    <row r="210" spans="1:22" ht="64.5" customHeight="1" x14ac:dyDescent="0.2">
      <c r="A210" s="277">
        <f>IF(B210="","",COUNT('Diário 5º PA'!$A$5:$A$2634)+ROW()-4)</f>
        <v>1517</v>
      </c>
      <c r="B210" s="278">
        <v>44295</v>
      </c>
      <c r="C210" s="259">
        <v>44287</v>
      </c>
      <c r="D210" s="252" t="s">
        <v>99</v>
      </c>
      <c r="E210" s="252" t="s">
        <v>352</v>
      </c>
      <c r="F210" s="257">
        <v>3325</v>
      </c>
      <c r="G210" s="252" t="s">
        <v>564</v>
      </c>
      <c r="H210" s="252" t="s">
        <v>131</v>
      </c>
      <c r="I210" s="252" t="s">
        <v>1740</v>
      </c>
      <c r="J210" s="250" t="s">
        <v>567</v>
      </c>
      <c r="K210" s="255" t="s">
        <v>991</v>
      </c>
      <c r="L210" s="250" t="s">
        <v>992</v>
      </c>
      <c r="M210" s="277" t="s">
        <v>1296</v>
      </c>
      <c r="N210" s="278">
        <v>44295</v>
      </c>
      <c r="O210" s="329" t="s">
        <v>67</v>
      </c>
      <c r="P210" s="330">
        <f t="shared" ref="P210:Q210" si="206">IF(B210=0,0,IF(YEAR(B210)=$Q$1,MONTH(B210)-$P$1+1,(YEAR(B210)-$Q$1)*12-$P$1+1+MONTH(B210)))</f>
        <v>4</v>
      </c>
      <c r="Q210" s="330">
        <f t="shared" si="206"/>
        <v>4</v>
      </c>
      <c r="R210" s="331" t="str">
        <f t="shared" si="1"/>
        <v>Gastos_Gerais</v>
      </c>
      <c r="S210" s="331" t="str">
        <f>IF(D210="","",IF(OR(D210=Plano!$A$1,D210=Plano!$B$1),"entrada","saída"))</f>
        <v>saída</v>
      </c>
      <c r="T210" s="332" t="s">
        <v>1059</v>
      </c>
      <c r="U210" s="332">
        <v>1279</v>
      </c>
      <c r="V210" s="333"/>
    </row>
    <row r="211" spans="1:22" ht="233.25" customHeight="1" x14ac:dyDescent="0.2">
      <c r="A211" s="277">
        <f>IF(B211="","",COUNT('Diário 5º PA'!$A$5:$A$2634)+ROW()-4)</f>
        <v>1518</v>
      </c>
      <c r="B211" s="278">
        <v>44295</v>
      </c>
      <c r="C211" s="259">
        <v>44287</v>
      </c>
      <c r="D211" s="252" t="s">
        <v>99</v>
      </c>
      <c r="E211" s="252" t="s">
        <v>370</v>
      </c>
      <c r="F211" s="257">
        <v>5139.75</v>
      </c>
      <c r="G211" s="252" t="s">
        <v>1529</v>
      </c>
      <c r="H211" s="252" t="s">
        <v>125</v>
      </c>
      <c r="I211" s="252" t="s">
        <v>4204</v>
      </c>
      <c r="J211" s="250" t="s">
        <v>1531</v>
      </c>
      <c r="K211" s="255" t="s">
        <v>991</v>
      </c>
      <c r="L211" s="250" t="s">
        <v>992</v>
      </c>
      <c r="M211" s="277" t="s">
        <v>1294</v>
      </c>
      <c r="N211" s="278">
        <v>44295</v>
      </c>
      <c r="O211" s="329" t="s">
        <v>67</v>
      </c>
      <c r="P211" s="330">
        <f t="shared" ref="P211:Q211" si="207">IF(B211=0,0,IF(YEAR(B211)=$Q$1,MONTH(B211)-$P$1+1,(YEAR(B211)-$Q$1)*12-$P$1+1+MONTH(B211)))</f>
        <v>4</v>
      </c>
      <c r="Q211" s="330">
        <f t="shared" si="207"/>
        <v>4</v>
      </c>
      <c r="R211" s="331" t="str">
        <f t="shared" si="1"/>
        <v>Gastos_Gerais</v>
      </c>
      <c r="S211" s="331" t="str">
        <f>IF(D211="","",IF(OR(D211=Plano!$A$1,D211=Plano!$B$1),"entrada","saída"))</f>
        <v>saída</v>
      </c>
      <c r="T211" s="332" t="s">
        <v>1059</v>
      </c>
      <c r="U211" s="332">
        <v>1261</v>
      </c>
      <c r="V211" s="333"/>
    </row>
    <row r="212" spans="1:22" ht="59.25" customHeight="1" x14ac:dyDescent="0.2">
      <c r="A212" s="277">
        <f>IF(B212="","",COUNT('Diário 5º PA'!$A$5:$A$2634)+ROW()-4)</f>
        <v>1519</v>
      </c>
      <c r="B212" s="278">
        <v>44295</v>
      </c>
      <c r="C212" s="249">
        <v>44287</v>
      </c>
      <c r="D212" s="255" t="s">
        <v>99</v>
      </c>
      <c r="E212" s="255" t="s">
        <v>272</v>
      </c>
      <c r="F212" s="258">
        <v>10.45</v>
      </c>
      <c r="G212" s="255" t="s">
        <v>4205</v>
      </c>
      <c r="H212" s="252" t="s">
        <v>125</v>
      </c>
      <c r="I212" s="250" t="s">
        <v>949</v>
      </c>
      <c r="J212" s="255" t="s">
        <v>950</v>
      </c>
      <c r="K212" s="255" t="s">
        <v>951</v>
      </c>
      <c r="L212" s="250" t="s">
        <v>947</v>
      </c>
      <c r="M212" s="336" t="s">
        <v>114</v>
      </c>
      <c r="N212" s="278">
        <v>44295</v>
      </c>
      <c r="O212" s="329" t="s">
        <v>67</v>
      </c>
      <c r="P212" s="330">
        <f t="shared" ref="P212:Q212" si="208">IF(B212=0,0,IF(YEAR(B212)=$Q$1,MONTH(B212)-$P$1+1,(YEAR(B212)-$Q$1)*12-$P$1+1+MONTH(B212)))</f>
        <v>4</v>
      </c>
      <c r="Q212" s="330">
        <f t="shared" si="208"/>
        <v>4</v>
      </c>
      <c r="R212" s="331" t="str">
        <f t="shared" si="1"/>
        <v>Gastos_Gerais</v>
      </c>
      <c r="S212" s="331" t="str">
        <f>IF(D212="","",IF(OR(D212=Plano!$A$1,D212=Plano!$B$1),"entrada","saída"))</f>
        <v>saída</v>
      </c>
      <c r="T212" s="332" t="s">
        <v>114</v>
      </c>
      <c r="U212" s="332" t="s">
        <v>114</v>
      </c>
      <c r="V212" s="333"/>
    </row>
    <row r="213" spans="1:22" ht="51.75" customHeight="1" x14ac:dyDescent="0.2">
      <c r="A213" s="277">
        <f>IF(B213="","",COUNT('Diário 5º PA'!$A$5:$A$2634)+ROW()-4)</f>
        <v>1520</v>
      </c>
      <c r="B213" s="278">
        <v>44295</v>
      </c>
      <c r="C213" s="249">
        <v>44287</v>
      </c>
      <c r="D213" s="255" t="s">
        <v>99</v>
      </c>
      <c r="E213" s="255" t="s">
        <v>272</v>
      </c>
      <c r="F213" s="258">
        <v>10.45</v>
      </c>
      <c r="G213" s="255" t="s">
        <v>4206</v>
      </c>
      <c r="H213" s="252" t="s">
        <v>125</v>
      </c>
      <c r="I213" s="250" t="s">
        <v>949</v>
      </c>
      <c r="J213" s="255" t="s">
        <v>950</v>
      </c>
      <c r="K213" s="255" t="s">
        <v>951</v>
      </c>
      <c r="L213" s="250" t="s">
        <v>947</v>
      </c>
      <c r="M213" s="336" t="s">
        <v>114</v>
      </c>
      <c r="N213" s="278">
        <v>44295</v>
      </c>
      <c r="O213" s="329" t="s">
        <v>67</v>
      </c>
      <c r="P213" s="330">
        <f t="shared" ref="P213:Q213" si="209">IF(B213=0,0,IF(YEAR(B213)=$Q$1,MONTH(B213)-$P$1+1,(YEAR(B213)-$Q$1)*12-$P$1+1+MONTH(B213)))</f>
        <v>4</v>
      </c>
      <c r="Q213" s="330">
        <f t="shared" si="209"/>
        <v>4</v>
      </c>
      <c r="R213" s="331" t="str">
        <f t="shared" si="1"/>
        <v>Gastos_Gerais</v>
      </c>
      <c r="S213" s="331" t="str">
        <f>IF(D213="","",IF(OR(D213=Plano!$A$1,D213=Plano!$B$1),"entrada","saída"))</f>
        <v>saída</v>
      </c>
      <c r="T213" s="332" t="s">
        <v>114</v>
      </c>
      <c r="U213" s="332" t="s">
        <v>114</v>
      </c>
      <c r="V213" s="333"/>
    </row>
    <row r="214" spans="1:22" ht="49.5" customHeight="1" x14ac:dyDescent="0.2">
      <c r="A214" s="277">
        <f>IF(B214="","",COUNT('Diário 5º PA'!$A$5:$A$2634)+ROW()-4)</f>
        <v>1521</v>
      </c>
      <c r="B214" s="278">
        <v>44295</v>
      </c>
      <c r="C214" s="249">
        <v>44287</v>
      </c>
      <c r="D214" s="255" t="s">
        <v>99</v>
      </c>
      <c r="E214" s="255" t="s">
        <v>272</v>
      </c>
      <c r="F214" s="258">
        <v>10.45</v>
      </c>
      <c r="G214" s="255" t="s">
        <v>4207</v>
      </c>
      <c r="H214" s="252" t="s">
        <v>125</v>
      </c>
      <c r="I214" s="250" t="s">
        <v>949</v>
      </c>
      <c r="J214" s="255" t="s">
        <v>950</v>
      </c>
      <c r="K214" s="255" t="s">
        <v>951</v>
      </c>
      <c r="L214" s="250" t="s">
        <v>947</v>
      </c>
      <c r="M214" s="336" t="s">
        <v>114</v>
      </c>
      <c r="N214" s="278">
        <v>44295</v>
      </c>
      <c r="O214" s="329" t="s">
        <v>67</v>
      </c>
      <c r="P214" s="330">
        <f t="shared" ref="P214:Q214" si="210">IF(B214=0,0,IF(YEAR(B214)=$Q$1,MONTH(B214)-$P$1+1,(YEAR(B214)-$Q$1)*12-$P$1+1+MONTH(B214)))</f>
        <v>4</v>
      </c>
      <c r="Q214" s="330">
        <f t="shared" si="210"/>
        <v>4</v>
      </c>
      <c r="R214" s="331" t="str">
        <f t="shared" si="1"/>
        <v>Gastos_Gerais</v>
      </c>
      <c r="S214" s="331" t="str">
        <f>IF(D214="","",IF(OR(D214=Plano!$A$1,D214=Plano!$B$1),"entrada","saída"))</f>
        <v>saída</v>
      </c>
      <c r="T214" s="332" t="s">
        <v>114</v>
      </c>
      <c r="U214" s="332" t="s">
        <v>114</v>
      </c>
      <c r="V214" s="333"/>
    </row>
    <row r="215" spans="1:22" ht="48.75" customHeight="1" x14ac:dyDescent="0.2">
      <c r="A215" s="277">
        <f>IF(B215="","",COUNT('Diário 5º PA'!$A$5:$A$2634)+ROW()-4)</f>
        <v>1522</v>
      </c>
      <c r="B215" s="278">
        <v>44295</v>
      </c>
      <c r="C215" s="249">
        <v>44287</v>
      </c>
      <c r="D215" s="255" t="s">
        <v>99</v>
      </c>
      <c r="E215" s="255" t="s">
        <v>272</v>
      </c>
      <c r="F215" s="258">
        <v>10.45</v>
      </c>
      <c r="G215" s="255" t="s">
        <v>4208</v>
      </c>
      <c r="H215" s="252" t="s">
        <v>116</v>
      </c>
      <c r="I215" s="250" t="s">
        <v>949</v>
      </c>
      <c r="J215" s="255" t="s">
        <v>950</v>
      </c>
      <c r="K215" s="255" t="s">
        <v>951</v>
      </c>
      <c r="L215" s="250" t="s">
        <v>947</v>
      </c>
      <c r="M215" s="336" t="s">
        <v>114</v>
      </c>
      <c r="N215" s="278">
        <v>44295</v>
      </c>
      <c r="O215" s="329" t="s">
        <v>67</v>
      </c>
      <c r="P215" s="330">
        <f t="shared" ref="P215:Q215" si="211">IF(B215=0,0,IF(YEAR(B215)=$Q$1,MONTH(B215)-$P$1+1,(YEAR(B215)-$Q$1)*12-$P$1+1+MONTH(B215)))</f>
        <v>4</v>
      </c>
      <c r="Q215" s="330">
        <f t="shared" si="211"/>
        <v>4</v>
      </c>
      <c r="R215" s="331" t="str">
        <f t="shared" si="1"/>
        <v>Gastos_Gerais</v>
      </c>
      <c r="S215" s="331" t="str">
        <f>IF(D215="","",IF(OR(D215=Plano!$A$1,D215=Plano!$B$1),"entrada","saída"))</f>
        <v>saída</v>
      </c>
      <c r="T215" s="332" t="s">
        <v>114</v>
      </c>
      <c r="U215" s="332" t="s">
        <v>114</v>
      </c>
      <c r="V215" s="333"/>
    </row>
    <row r="216" spans="1:22" ht="64.5" customHeight="1" x14ac:dyDescent="0.2">
      <c r="A216" s="277">
        <f>IF(B216="","",COUNT('Diário 5º PA'!$A$5:$A$2634)+ROW()-4)</f>
        <v>1523</v>
      </c>
      <c r="B216" s="278">
        <v>44295</v>
      </c>
      <c r="C216" s="249">
        <v>44287</v>
      </c>
      <c r="D216" s="255" t="s">
        <v>99</v>
      </c>
      <c r="E216" s="255" t="s">
        <v>272</v>
      </c>
      <c r="F216" s="258">
        <v>10.45</v>
      </c>
      <c r="G216" s="255" t="s">
        <v>4209</v>
      </c>
      <c r="H216" s="252" t="s">
        <v>125</v>
      </c>
      <c r="I216" s="250" t="s">
        <v>949</v>
      </c>
      <c r="J216" s="255" t="s">
        <v>950</v>
      </c>
      <c r="K216" s="255" t="s">
        <v>951</v>
      </c>
      <c r="L216" s="250" t="s">
        <v>947</v>
      </c>
      <c r="M216" s="336" t="s">
        <v>114</v>
      </c>
      <c r="N216" s="278">
        <v>44295</v>
      </c>
      <c r="O216" s="329" t="s">
        <v>67</v>
      </c>
      <c r="P216" s="330">
        <f t="shared" ref="P216:Q216" si="212">IF(B216=0,0,IF(YEAR(B216)=$Q$1,MONTH(B216)-$P$1+1,(YEAR(B216)-$Q$1)*12-$P$1+1+MONTH(B216)))</f>
        <v>4</v>
      </c>
      <c r="Q216" s="330">
        <f t="shared" si="212"/>
        <v>4</v>
      </c>
      <c r="R216" s="331" t="str">
        <f t="shared" si="1"/>
        <v>Gastos_Gerais</v>
      </c>
      <c r="S216" s="331" t="str">
        <f>IF(D216="","",IF(OR(D216=Plano!$A$1,D216=Plano!$B$1),"entrada","saída"))</f>
        <v>saída</v>
      </c>
      <c r="T216" s="332" t="s">
        <v>114</v>
      </c>
      <c r="U216" s="332" t="s">
        <v>114</v>
      </c>
      <c r="V216" s="333"/>
    </row>
    <row r="217" spans="1:22" ht="53.25" customHeight="1" x14ac:dyDescent="0.2">
      <c r="A217" s="277">
        <f>IF(B217="","",COUNT('Diário 5º PA'!$A$5:$A$2634)+ROW()-4)</f>
        <v>1524</v>
      </c>
      <c r="B217" s="278">
        <v>44295</v>
      </c>
      <c r="C217" s="249">
        <v>44287</v>
      </c>
      <c r="D217" s="255" t="s">
        <v>99</v>
      </c>
      <c r="E217" s="255" t="s">
        <v>272</v>
      </c>
      <c r="F217" s="258">
        <v>10.45</v>
      </c>
      <c r="G217" s="255" t="s">
        <v>1246</v>
      </c>
      <c r="H217" s="252" t="s">
        <v>131</v>
      </c>
      <c r="I217" s="250" t="s">
        <v>949</v>
      </c>
      <c r="J217" s="255" t="s">
        <v>950</v>
      </c>
      <c r="K217" s="255" t="s">
        <v>951</v>
      </c>
      <c r="L217" s="250" t="s">
        <v>947</v>
      </c>
      <c r="M217" s="336" t="s">
        <v>114</v>
      </c>
      <c r="N217" s="278">
        <v>44295</v>
      </c>
      <c r="O217" s="329" t="s">
        <v>67</v>
      </c>
      <c r="P217" s="330">
        <f t="shared" ref="P217:Q217" si="213">IF(B217=0,0,IF(YEAR(B217)=$Q$1,MONTH(B217)-$P$1+1,(YEAR(B217)-$Q$1)*12-$P$1+1+MONTH(B217)))</f>
        <v>4</v>
      </c>
      <c r="Q217" s="330">
        <f t="shared" si="213"/>
        <v>4</v>
      </c>
      <c r="R217" s="331" t="str">
        <f t="shared" si="1"/>
        <v>Gastos_Gerais</v>
      </c>
      <c r="S217" s="331" t="str">
        <f>IF(D217="","",IF(OR(D217=Plano!$A$1,D217=Plano!$B$1),"entrada","saída"))</f>
        <v>saída</v>
      </c>
      <c r="T217" s="332" t="s">
        <v>114</v>
      </c>
      <c r="U217" s="332" t="s">
        <v>114</v>
      </c>
      <c r="V217" s="333"/>
    </row>
    <row r="218" spans="1:22" ht="180" customHeight="1" x14ac:dyDescent="0.2">
      <c r="A218" s="277">
        <f>IF(B218="","",COUNT('Diário 5º PA'!$A$5:$A$2634)+ROW()-4)</f>
        <v>1525</v>
      </c>
      <c r="B218" s="278">
        <v>44295</v>
      </c>
      <c r="C218" s="259">
        <v>44256</v>
      </c>
      <c r="D218" s="252" t="s">
        <v>104</v>
      </c>
      <c r="E218" s="252" t="s">
        <v>104</v>
      </c>
      <c r="F218" s="257">
        <v>1967.27</v>
      </c>
      <c r="G218" s="252" t="s">
        <v>3742</v>
      </c>
      <c r="H218" s="252" t="s">
        <v>104</v>
      </c>
      <c r="I218" s="252" t="s">
        <v>2748</v>
      </c>
      <c r="J218" s="250" t="s">
        <v>3744</v>
      </c>
      <c r="K218" s="255" t="s">
        <v>1015</v>
      </c>
      <c r="L218" s="250" t="s">
        <v>1029</v>
      </c>
      <c r="M218" s="277">
        <v>1106</v>
      </c>
      <c r="N218" s="278">
        <v>44292</v>
      </c>
      <c r="O218" s="329" t="s">
        <v>68</v>
      </c>
      <c r="P218" s="330">
        <f t="shared" ref="P218:Q218" si="214">IF(B218=0,0,IF(YEAR(B218)=$Q$1,MONTH(B218)-$P$1+1,(YEAR(B218)-$Q$1)*12-$P$1+1+MONTH(B218)))</f>
        <v>4</v>
      </c>
      <c r="Q218" s="330">
        <f t="shared" si="214"/>
        <v>3</v>
      </c>
      <c r="R218" s="331" t="str">
        <f t="shared" si="1"/>
        <v>Gastos_custeados_por_captação</v>
      </c>
      <c r="S218" s="331" t="str">
        <f>IF(D218="","",IF(OR(D218=Plano!$A$1,D218=Plano!$B$1),"entrada","saída"))</f>
        <v>saída</v>
      </c>
      <c r="T218" s="332" t="s">
        <v>994</v>
      </c>
      <c r="U218" s="332">
        <v>1216</v>
      </c>
      <c r="V218" s="333"/>
    </row>
    <row r="219" spans="1:22" ht="188.25" customHeight="1" x14ac:dyDescent="0.2">
      <c r="A219" s="277">
        <f>IF(B219="","",COUNT('Diário 5º PA'!$A$5:$A$2634)+ROW()-4)</f>
        <v>1526</v>
      </c>
      <c r="B219" s="278">
        <v>44295</v>
      </c>
      <c r="C219" s="259">
        <v>44256</v>
      </c>
      <c r="D219" s="252" t="s">
        <v>104</v>
      </c>
      <c r="E219" s="252" t="s">
        <v>104</v>
      </c>
      <c r="F219" s="257">
        <v>2075.92</v>
      </c>
      <c r="G219" s="252" t="s">
        <v>1163</v>
      </c>
      <c r="H219" s="252" t="s">
        <v>104</v>
      </c>
      <c r="I219" s="252" t="s">
        <v>1164</v>
      </c>
      <c r="J219" s="250" t="s">
        <v>1165</v>
      </c>
      <c r="K219" s="255" t="s">
        <v>1015</v>
      </c>
      <c r="L219" s="250" t="s">
        <v>1029</v>
      </c>
      <c r="M219" s="277">
        <v>1108</v>
      </c>
      <c r="N219" s="278">
        <v>44292</v>
      </c>
      <c r="O219" s="329" t="s">
        <v>68</v>
      </c>
      <c r="P219" s="330">
        <f t="shared" ref="P219:Q219" si="215">IF(B219=0,0,IF(YEAR(B219)=$Q$1,MONTH(B219)-$P$1+1,(YEAR(B219)-$Q$1)*12-$P$1+1+MONTH(B219)))</f>
        <v>4</v>
      </c>
      <c r="Q219" s="330">
        <f t="shared" si="215"/>
        <v>3</v>
      </c>
      <c r="R219" s="331" t="str">
        <f t="shared" si="1"/>
        <v>Gastos_custeados_por_captação</v>
      </c>
      <c r="S219" s="331" t="str">
        <f>IF(D219="","",IF(OR(D219=Plano!$A$1,D219=Plano!$B$1),"entrada","saída"))</f>
        <v>saída</v>
      </c>
      <c r="T219" s="332" t="s">
        <v>1059</v>
      </c>
      <c r="U219" s="332">
        <v>1299</v>
      </c>
      <c r="V219" s="333"/>
    </row>
    <row r="220" spans="1:22" ht="87.75" customHeight="1" x14ac:dyDescent="0.2">
      <c r="A220" s="277">
        <f>IF(B220="","",COUNT('Diário 5º PA'!$A$5:$A$2634)+ROW()-4)</f>
        <v>1527</v>
      </c>
      <c r="B220" s="278">
        <v>44295</v>
      </c>
      <c r="C220" s="259">
        <v>44256</v>
      </c>
      <c r="D220" s="252" t="s">
        <v>104</v>
      </c>
      <c r="E220" s="252" t="s">
        <v>104</v>
      </c>
      <c r="F220" s="257">
        <v>2300</v>
      </c>
      <c r="G220" s="252" t="s">
        <v>3680</v>
      </c>
      <c r="H220" s="252" t="s">
        <v>104</v>
      </c>
      <c r="I220" s="252" t="s">
        <v>4210</v>
      </c>
      <c r="J220" s="250" t="s">
        <v>2923</v>
      </c>
      <c r="K220" s="255" t="s">
        <v>1015</v>
      </c>
      <c r="L220" s="250" t="s">
        <v>992</v>
      </c>
      <c r="M220" s="277" t="s">
        <v>1148</v>
      </c>
      <c r="N220" s="278">
        <v>44294</v>
      </c>
      <c r="O220" s="329" t="s">
        <v>68</v>
      </c>
      <c r="P220" s="330">
        <f t="shared" ref="P220:Q220" si="216">IF(B220=0,0,IF(YEAR(B220)=$Q$1,MONTH(B220)-$P$1+1,(YEAR(B220)-$Q$1)*12-$P$1+1+MONTH(B220)))</f>
        <v>4</v>
      </c>
      <c r="Q220" s="330">
        <f t="shared" si="216"/>
        <v>3</v>
      </c>
      <c r="R220" s="331" t="str">
        <f t="shared" si="1"/>
        <v>Gastos_custeados_por_captação</v>
      </c>
      <c r="S220" s="331" t="str">
        <f>IF(D220="","",IF(OR(D220=Plano!$A$1,D220=Plano!$B$1),"entrada","saída"))</f>
        <v>saída</v>
      </c>
      <c r="T220" s="332" t="s">
        <v>994</v>
      </c>
      <c r="U220" s="332">
        <v>1228</v>
      </c>
      <c r="V220" s="333"/>
    </row>
    <row r="221" spans="1:22" ht="88.5" customHeight="1" x14ac:dyDescent="0.2">
      <c r="A221" s="277">
        <f>IF(B221="","",COUNT('Diário 5º PA'!$A$5:$A$2634)+ROW()-4)</f>
        <v>1528</v>
      </c>
      <c r="B221" s="278">
        <v>44295</v>
      </c>
      <c r="C221" s="259">
        <v>44287</v>
      </c>
      <c r="D221" s="252" t="s">
        <v>104</v>
      </c>
      <c r="E221" s="252" t="s">
        <v>104</v>
      </c>
      <c r="F221" s="257">
        <v>1400</v>
      </c>
      <c r="G221" s="252" t="s">
        <v>4211</v>
      </c>
      <c r="H221" s="252" t="s">
        <v>104</v>
      </c>
      <c r="I221" s="252" t="s">
        <v>3994</v>
      </c>
      <c r="J221" s="250" t="s">
        <v>3995</v>
      </c>
      <c r="K221" s="255" t="s">
        <v>1015</v>
      </c>
      <c r="L221" s="250" t="s">
        <v>992</v>
      </c>
      <c r="M221" s="277" t="s">
        <v>1296</v>
      </c>
      <c r="N221" s="278">
        <v>44294</v>
      </c>
      <c r="O221" s="329" t="s">
        <v>69</v>
      </c>
      <c r="P221" s="330">
        <f t="shared" ref="P221:Q221" si="217">IF(B221=0,0,IF(YEAR(B221)=$Q$1,MONTH(B221)-$P$1+1,(YEAR(B221)-$Q$1)*12-$P$1+1+MONTH(B221)))</f>
        <v>4</v>
      </c>
      <c r="Q221" s="330">
        <f t="shared" si="217"/>
        <v>4</v>
      </c>
      <c r="R221" s="331" t="str">
        <f t="shared" si="1"/>
        <v>Gastos_custeados_por_captação</v>
      </c>
      <c r="S221" s="331" t="str">
        <f>IF(D221="","",IF(OR(D221=Plano!$A$1,D221=Plano!$B$1),"entrada","saída"))</f>
        <v>saída</v>
      </c>
      <c r="T221" s="332" t="s">
        <v>994</v>
      </c>
      <c r="U221" s="332">
        <v>1327</v>
      </c>
      <c r="V221" s="333"/>
    </row>
    <row r="222" spans="1:22" ht="57" customHeight="1" x14ac:dyDescent="0.2">
      <c r="A222" s="277">
        <f>IF(B222="","",COUNT('Diário 5º PA'!$A$5:$A$2634)+ROW()-4)</f>
        <v>1529</v>
      </c>
      <c r="B222" s="278">
        <v>44298</v>
      </c>
      <c r="C222" s="249">
        <v>44256</v>
      </c>
      <c r="D222" s="255" t="s">
        <v>99</v>
      </c>
      <c r="E222" s="255" t="s">
        <v>220</v>
      </c>
      <c r="F222" s="258">
        <v>-124.26</v>
      </c>
      <c r="G222" s="255" t="s">
        <v>4212</v>
      </c>
      <c r="H222" s="255" t="s">
        <v>115</v>
      </c>
      <c r="I222" s="250" t="s">
        <v>983</v>
      </c>
      <c r="J222" s="252" t="s">
        <v>850</v>
      </c>
      <c r="K222" s="255" t="s">
        <v>1069</v>
      </c>
      <c r="L222" s="250" t="s">
        <v>947</v>
      </c>
      <c r="M222" s="277" t="s">
        <v>114</v>
      </c>
      <c r="N222" s="278">
        <v>44298</v>
      </c>
      <c r="O222" s="329" t="s">
        <v>67</v>
      </c>
      <c r="P222" s="330">
        <f t="shared" ref="P222:Q222" si="218">IF(B222=0,0,IF(YEAR(B222)=$Q$1,MONTH(B222)-$P$1+1,(YEAR(B222)-$Q$1)*12-$P$1+1+MONTH(B222)))</f>
        <v>4</v>
      </c>
      <c r="Q222" s="330">
        <f t="shared" si="218"/>
        <v>3</v>
      </c>
      <c r="R222" s="331" t="str">
        <f t="shared" si="1"/>
        <v>Gastos_Gerais</v>
      </c>
      <c r="S222" s="331" t="str">
        <f>IF(D222="","",IF(OR(D222=Plano!$A$1,D222=Plano!$B$1),"entrada","saída"))</f>
        <v>saída</v>
      </c>
      <c r="T222" s="332" t="s">
        <v>114</v>
      </c>
      <c r="U222" s="332" t="s">
        <v>114</v>
      </c>
      <c r="V222" s="333"/>
    </row>
    <row r="223" spans="1:22" ht="71.25" customHeight="1" x14ac:dyDescent="0.2">
      <c r="A223" s="277">
        <f>IF(B223="","",COUNT('Diário 5º PA'!$A$5:$A$2634)+ROW()-4)</f>
        <v>1530</v>
      </c>
      <c r="B223" s="278">
        <v>44298</v>
      </c>
      <c r="C223" s="249">
        <v>44256</v>
      </c>
      <c r="D223" s="255" t="s">
        <v>99</v>
      </c>
      <c r="E223" s="255" t="s">
        <v>254</v>
      </c>
      <c r="F223" s="258">
        <v>-132.05000000000001</v>
      </c>
      <c r="G223" s="252" t="s">
        <v>4213</v>
      </c>
      <c r="H223" s="255" t="s">
        <v>115</v>
      </c>
      <c r="I223" s="250" t="s">
        <v>983</v>
      </c>
      <c r="J223" s="252" t="s">
        <v>850</v>
      </c>
      <c r="K223" s="255" t="s">
        <v>946</v>
      </c>
      <c r="L223" s="250" t="s">
        <v>947</v>
      </c>
      <c r="M223" s="277" t="s">
        <v>114</v>
      </c>
      <c r="N223" s="278">
        <v>44298</v>
      </c>
      <c r="O223" s="329" t="s">
        <v>67</v>
      </c>
      <c r="P223" s="330">
        <f t="shared" ref="P223:Q223" si="219">IF(B223=0,0,IF(YEAR(B223)=$Q$1,MONTH(B223)-$P$1+1,(YEAR(B223)-$Q$1)*12-$P$1+1+MONTH(B223)))</f>
        <v>4</v>
      </c>
      <c r="Q223" s="330">
        <f t="shared" si="219"/>
        <v>3</v>
      </c>
      <c r="R223" s="331" t="str">
        <f t="shared" si="1"/>
        <v>Gastos_Gerais</v>
      </c>
      <c r="S223" s="331" t="str">
        <f>IF(D223="","",IF(OR(D223=Plano!$A$1,D223=Plano!$B$1),"entrada","saída"))</f>
        <v>saída</v>
      </c>
      <c r="T223" s="332" t="s">
        <v>114</v>
      </c>
      <c r="U223" s="332" t="s">
        <v>114</v>
      </c>
      <c r="V223" s="333"/>
    </row>
    <row r="224" spans="1:22" ht="70.5" customHeight="1" x14ac:dyDescent="0.2">
      <c r="A224" s="277">
        <f>IF(B224="","",COUNT('Diário 5º PA'!$A$5:$A$2634)+ROW()-4)</f>
        <v>1531</v>
      </c>
      <c r="B224" s="278">
        <v>44298</v>
      </c>
      <c r="C224" s="249">
        <v>44256</v>
      </c>
      <c r="D224" s="255" t="s">
        <v>99</v>
      </c>
      <c r="E224" s="255" t="s">
        <v>246</v>
      </c>
      <c r="F224" s="258">
        <v>-158.46</v>
      </c>
      <c r="G224" s="255" t="s">
        <v>4214</v>
      </c>
      <c r="H224" s="255" t="s">
        <v>115</v>
      </c>
      <c r="I224" s="250" t="s">
        <v>983</v>
      </c>
      <c r="J224" s="255" t="s">
        <v>850</v>
      </c>
      <c r="K224" s="255" t="s">
        <v>946</v>
      </c>
      <c r="L224" s="250" t="s">
        <v>947</v>
      </c>
      <c r="M224" s="277" t="s">
        <v>114</v>
      </c>
      <c r="N224" s="278">
        <v>44298</v>
      </c>
      <c r="O224" s="329" t="s">
        <v>67</v>
      </c>
      <c r="P224" s="330">
        <f t="shared" ref="P224:Q224" si="220">IF(B224=0,0,IF(YEAR(B224)=$Q$1,MONTH(B224)-$P$1+1,(YEAR(B224)-$Q$1)*12-$P$1+1+MONTH(B224)))</f>
        <v>4</v>
      </c>
      <c r="Q224" s="330">
        <f t="shared" si="220"/>
        <v>3</v>
      </c>
      <c r="R224" s="331" t="str">
        <f t="shared" si="1"/>
        <v>Gastos_Gerais</v>
      </c>
      <c r="S224" s="331" t="str">
        <f>IF(D224="","",IF(OR(D224=Plano!$A$1,D224=Plano!$B$1),"entrada","saída"))</f>
        <v>saída</v>
      </c>
      <c r="T224" s="332" t="s">
        <v>114</v>
      </c>
      <c r="U224" s="332" t="s">
        <v>114</v>
      </c>
      <c r="V224" s="333"/>
    </row>
    <row r="225" spans="1:22" ht="173.25" customHeight="1" x14ac:dyDescent="0.2">
      <c r="A225" s="277">
        <f>IF(B225="","",COUNT('Diário 5º PA'!$A$5:$A$2634)+ROW()-4)</f>
        <v>1532</v>
      </c>
      <c r="B225" s="278">
        <v>44298</v>
      </c>
      <c r="C225" s="259">
        <v>44166</v>
      </c>
      <c r="D225" s="252" t="s">
        <v>99</v>
      </c>
      <c r="E225" s="252" t="s">
        <v>336</v>
      </c>
      <c r="F225" s="257">
        <v>4000</v>
      </c>
      <c r="G225" s="252" t="s">
        <v>4215</v>
      </c>
      <c r="H225" s="252" t="s">
        <v>128</v>
      </c>
      <c r="I225" s="252" t="s">
        <v>4216</v>
      </c>
      <c r="J225" s="250" t="s">
        <v>4217</v>
      </c>
      <c r="K225" s="255" t="s">
        <v>1015</v>
      </c>
      <c r="L225" s="250" t="s">
        <v>992</v>
      </c>
      <c r="M225" s="277" t="s">
        <v>1296</v>
      </c>
      <c r="N225" s="278">
        <v>44298</v>
      </c>
      <c r="O225" s="329" t="s">
        <v>67</v>
      </c>
      <c r="P225" s="330">
        <f t="shared" ref="P225:Q225" si="221">IF(B225=0,0,IF(YEAR(B225)=$Q$1,MONTH(B225)-$P$1+1,(YEAR(B225)-$Q$1)*12-$P$1+1+MONTH(B225)))</f>
        <v>4</v>
      </c>
      <c r="Q225" s="330">
        <f t="shared" si="221"/>
        <v>0</v>
      </c>
      <c r="R225" s="331" t="str">
        <f t="shared" si="1"/>
        <v>Gastos_Gerais</v>
      </c>
      <c r="S225" s="331" t="str">
        <f>IF(D225="","",IF(OR(D225=Plano!$A$1,D225=Plano!$B$1),"entrada","saída"))</f>
        <v>saída</v>
      </c>
      <c r="T225" s="332" t="s">
        <v>994</v>
      </c>
      <c r="U225" s="332">
        <v>1180</v>
      </c>
      <c r="V225" s="333"/>
    </row>
    <row r="226" spans="1:22" ht="102" customHeight="1" x14ac:dyDescent="0.2">
      <c r="A226" s="277">
        <f>IF(B226="","",COUNT('Diário 5º PA'!$A$5:$A$2634)+ROW()-4)</f>
        <v>1533</v>
      </c>
      <c r="B226" s="278">
        <v>44298</v>
      </c>
      <c r="C226" s="259">
        <v>44256</v>
      </c>
      <c r="D226" s="252" t="s">
        <v>99</v>
      </c>
      <c r="E226" s="252" t="s">
        <v>336</v>
      </c>
      <c r="F226" s="257">
        <v>860</v>
      </c>
      <c r="G226" s="252" t="s">
        <v>4218</v>
      </c>
      <c r="H226" s="252" t="s">
        <v>116</v>
      </c>
      <c r="I226" s="252" t="s">
        <v>4219</v>
      </c>
      <c r="J226" s="250" t="s">
        <v>4220</v>
      </c>
      <c r="K226" s="255" t="s">
        <v>1015</v>
      </c>
      <c r="L226" s="250" t="s">
        <v>1029</v>
      </c>
      <c r="M226" s="277">
        <v>1119</v>
      </c>
      <c r="N226" s="278">
        <v>44295</v>
      </c>
      <c r="O226" s="329" t="s">
        <v>67</v>
      </c>
      <c r="P226" s="330">
        <f t="shared" ref="P226:Q226" si="222">IF(B226=0,0,IF(YEAR(B226)=$Q$1,MONTH(B226)-$P$1+1,(YEAR(B226)-$Q$1)*12-$P$1+1+MONTH(B226)))</f>
        <v>4</v>
      </c>
      <c r="Q226" s="330">
        <f t="shared" si="222"/>
        <v>3</v>
      </c>
      <c r="R226" s="331" t="str">
        <f t="shared" si="1"/>
        <v>Gastos_Gerais</v>
      </c>
      <c r="S226" s="331" t="str">
        <f>IF(D226="","",IF(OR(D226=Plano!$A$1,D226=Plano!$B$1),"entrada","saída"))</f>
        <v>saída</v>
      </c>
      <c r="T226" s="332" t="s">
        <v>994</v>
      </c>
      <c r="U226" s="332">
        <v>1463</v>
      </c>
      <c r="V226" s="333"/>
    </row>
    <row r="227" spans="1:22" ht="119.25" customHeight="1" x14ac:dyDescent="0.2">
      <c r="A227" s="277">
        <f>IF(B227="","",COUNT('Diário 5º PA'!$A$5:$A$2634)+ROW()-4)</f>
        <v>1534</v>
      </c>
      <c r="B227" s="278">
        <v>44298</v>
      </c>
      <c r="C227" s="259">
        <v>44256</v>
      </c>
      <c r="D227" s="255" t="s">
        <v>99</v>
      </c>
      <c r="E227" s="255" t="s">
        <v>266</v>
      </c>
      <c r="F227" s="258">
        <v>255.72</v>
      </c>
      <c r="G227" s="255" t="s">
        <v>480</v>
      </c>
      <c r="H227" s="255" t="s">
        <v>115</v>
      </c>
      <c r="I227" s="252" t="s">
        <v>1372</v>
      </c>
      <c r="J227" s="252" t="s">
        <v>482</v>
      </c>
      <c r="K227" s="255" t="s">
        <v>560</v>
      </c>
      <c r="L227" s="250" t="s">
        <v>1016</v>
      </c>
      <c r="M227" s="277" t="s">
        <v>4221</v>
      </c>
      <c r="N227" s="278">
        <v>44257</v>
      </c>
      <c r="O227" s="329" t="s">
        <v>67</v>
      </c>
      <c r="P227" s="330">
        <f t="shared" ref="P227:Q227" si="223">IF(B227=0,0,IF(YEAR(B227)=$Q$1,MONTH(B227)-$P$1+1,(YEAR(B227)-$Q$1)*12-$P$1+1+MONTH(B227)))</f>
        <v>4</v>
      </c>
      <c r="Q227" s="330">
        <f t="shared" si="223"/>
        <v>3</v>
      </c>
      <c r="R227" s="331" t="str">
        <f t="shared" si="1"/>
        <v>Gastos_Gerais</v>
      </c>
      <c r="S227" s="331" t="str">
        <f>IF(D227="","",IF(OR(D227=Plano!$A$1,D227=Plano!$B$1),"entrada","saída"))</f>
        <v>saída</v>
      </c>
      <c r="T227" s="332" t="s">
        <v>1059</v>
      </c>
      <c r="U227" s="332">
        <v>1133</v>
      </c>
      <c r="V227" s="333"/>
    </row>
    <row r="228" spans="1:22" ht="174" customHeight="1" x14ac:dyDescent="0.2">
      <c r="A228" s="277">
        <f>IF(B228="","",COUNT('Diário 5º PA'!$A$5:$A$2634)+ROW()-4)</f>
        <v>1535</v>
      </c>
      <c r="B228" s="278">
        <v>44298</v>
      </c>
      <c r="C228" s="249">
        <v>44256</v>
      </c>
      <c r="D228" s="255" t="s">
        <v>99</v>
      </c>
      <c r="E228" s="255" t="s">
        <v>254</v>
      </c>
      <c r="F228" s="258">
        <v>500</v>
      </c>
      <c r="G228" s="255" t="s">
        <v>448</v>
      </c>
      <c r="H228" s="255" t="s">
        <v>115</v>
      </c>
      <c r="I228" s="250" t="s">
        <v>1376</v>
      </c>
      <c r="J228" s="252" t="s">
        <v>1377</v>
      </c>
      <c r="K228" s="255" t="s">
        <v>560</v>
      </c>
      <c r="L228" s="250" t="s">
        <v>1378</v>
      </c>
      <c r="M228" s="277" t="s">
        <v>4222</v>
      </c>
      <c r="N228" s="278">
        <v>44287</v>
      </c>
      <c r="O228" s="329" t="s">
        <v>67</v>
      </c>
      <c r="P228" s="330">
        <f t="shared" ref="P228:Q228" si="224">IF(B228=0,0,IF(YEAR(B228)=$Q$1,MONTH(B228)-$P$1+1,(YEAR(B228)-$Q$1)*12-$P$1+1+MONTH(B228)))</f>
        <v>4</v>
      </c>
      <c r="Q228" s="330">
        <f t="shared" si="224"/>
        <v>3</v>
      </c>
      <c r="R228" s="331" t="str">
        <f t="shared" si="1"/>
        <v>Gastos_Gerais</v>
      </c>
      <c r="S228" s="331" t="str">
        <f>IF(D228="","",IF(OR(D228=Plano!$A$1,D228=Plano!$B$1),"entrada","saída"))</f>
        <v>saída</v>
      </c>
      <c r="T228" s="332" t="s">
        <v>1059</v>
      </c>
      <c r="U228" s="332">
        <v>1143</v>
      </c>
      <c r="V228" s="333"/>
    </row>
    <row r="229" spans="1:22" ht="113.25" customHeight="1" x14ac:dyDescent="0.2">
      <c r="A229" s="277">
        <f>IF(B229="","",COUNT('Diário 5º PA'!$A$5:$A$2634)+ROW()-4)</f>
        <v>1536</v>
      </c>
      <c r="B229" s="278">
        <v>44298</v>
      </c>
      <c r="C229" s="249">
        <v>44256</v>
      </c>
      <c r="D229" s="255" t="s">
        <v>99</v>
      </c>
      <c r="E229" s="255" t="s">
        <v>246</v>
      </c>
      <c r="F229" s="257">
        <v>600</v>
      </c>
      <c r="G229" s="252" t="s">
        <v>1369</v>
      </c>
      <c r="H229" s="255" t="s">
        <v>115</v>
      </c>
      <c r="I229" s="250" t="s">
        <v>1370</v>
      </c>
      <c r="J229" s="252" t="s">
        <v>1371</v>
      </c>
      <c r="K229" s="255" t="s">
        <v>560</v>
      </c>
      <c r="L229" s="250" t="s">
        <v>1016</v>
      </c>
      <c r="M229" s="277" t="s">
        <v>4223</v>
      </c>
      <c r="N229" s="278">
        <v>44291</v>
      </c>
      <c r="O229" s="329" t="s">
        <v>67</v>
      </c>
      <c r="P229" s="330">
        <f t="shared" ref="P229:Q229" si="225">IF(B229=0,0,IF(YEAR(B229)=$Q$1,MONTH(B229)-$P$1+1,(YEAR(B229)-$Q$1)*12-$P$1+1+MONTH(B229)))</f>
        <v>4</v>
      </c>
      <c r="Q229" s="330">
        <f t="shared" si="225"/>
        <v>3</v>
      </c>
      <c r="R229" s="331" t="str">
        <f t="shared" si="1"/>
        <v>Gastos_Gerais</v>
      </c>
      <c r="S229" s="331" t="str">
        <f>IF(D229="","",IF(OR(D229=Plano!$A$1,D229=Plano!$B$1),"entrada","saída"))</f>
        <v>saída</v>
      </c>
      <c r="T229" s="332" t="s">
        <v>1059</v>
      </c>
      <c r="U229" s="332">
        <v>1144</v>
      </c>
      <c r="V229" s="333"/>
    </row>
    <row r="230" spans="1:22" ht="190.5" customHeight="1" x14ac:dyDescent="0.2">
      <c r="A230" s="277">
        <f>IF(B230="","",COUNT('Diário 5º PA'!$A$5:$A$2634)+ROW()-4)</f>
        <v>1537</v>
      </c>
      <c r="B230" s="278">
        <v>44298</v>
      </c>
      <c r="C230" s="249">
        <v>44256</v>
      </c>
      <c r="D230" s="255" t="s">
        <v>99</v>
      </c>
      <c r="E230" s="255" t="s">
        <v>224</v>
      </c>
      <c r="F230" s="258">
        <v>49.99</v>
      </c>
      <c r="G230" s="255" t="s">
        <v>642</v>
      </c>
      <c r="H230" s="255" t="s">
        <v>130</v>
      </c>
      <c r="I230" s="252" t="s">
        <v>1374</v>
      </c>
      <c r="J230" s="252" t="s">
        <v>644</v>
      </c>
      <c r="K230" s="255" t="s">
        <v>1375</v>
      </c>
      <c r="L230" s="250" t="s">
        <v>697</v>
      </c>
      <c r="M230" s="336">
        <v>2103954714785</v>
      </c>
      <c r="N230" s="278">
        <v>44272</v>
      </c>
      <c r="O230" s="329" t="s">
        <v>67</v>
      </c>
      <c r="P230" s="330">
        <f t="shared" ref="P230:Q230" si="226">IF(B230=0,0,IF(YEAR(B230)=$Q$1,MONTH(B230)-$P$1+1,(YEAR(B230)-$Q$1)*12-$P$1+1+MONTH(B230)))</f>
        <v>4</v>
      </c>
      <c r="Q230" s="330">
        <f t="shared" si="226"/>
        <v>3</v>
      </c>
      <c r="R230" s="331" t="str">
        <f t="shared" si="1"/>
        <v>Gastos_Gerais</v>
      </c>
      <c r="S230" s="331" t="str">
        <f>IF(D230="","",IF(OR(D230=Plano!$A$1,D230=Plano!$B$1),"entrada","saída"))</f>
        <v>saída</v>
      </c>
      <c r="T230" s="332" t="s">
        <v>1082</v>
      </c>
      <c r="U230" s="332">
        <v>277</v>
      </c>
      <c r="V230" s="333"/>
    </row>
    <row r="231" spans="1:22" ht="61.5" customHeight="1" x14ac:dyDescent="0.2">
      <c r="A231" s="277">
        <f>IF(B231="","",COUNT('Diário 5º PA'!$A$5:$A$2634)+ROW()-4)</f>
        <v>1538</v>
      </c>
      <c r="B231" s="278">
        <v>44298</v>
      </c>
      <c r="C231" s="249">
        <v>44256</v>
      </c>
      <c r="D231" s="255" t="s">
        <v>99</v>
      </c>
      <c r="E231" s="255" t="s">
        <v>220</v>
      </c>
      <c r="F231" s="258">
        <v>470.51</v>
      </c>
      <c r="G231" s="255" t="s">
        <v>4224</v>
      </c>
      <c r="H231" s="255" t="s">
        <v>115</v>
      </c>
      <c r="I231" s="252" t="s">
        <v>522</v>
      </c>
      <c r="J231" s="252" t="s">
        <v>523</v>
      </c>
      <c r="K231" s="255" t="s">
        <v>1375</v>
      </c>
      <c r="L231" s="250" t="s">
        <v>1016</v>
      </c>
      <c r="M231" s="277" t="s">
        <v>4225</v>
      </c>
      <c r="N231" s="278">
        <v>44274</v>
      </c>
      <c r="O231" s="329" t="s">
        <v>67</v>
      </c>
      <c r="P231" s="330">
        <f t="shared" ref="P231:Q231" si="227">IF(B231=0,0,IF(YEAR(B231)=$Q$1,MONTH(B231)-$P$1+1,(YEAR(B231)-$Q$1)*12-$P$1+1+MONTH(B231)))</f>
        <v>4</v>
      </c>
      <c r="Q231" s="330">
        <f t="shared" si="227"/>
        <v>3</v>
      </c>
      <c r="R231" s="331" t="str">
        <f t="shared" si="1"/>
        <v>Gastos_Gerais</v>
      </c>
      <c r="S231" s="331" t="str">
        <f>IF(D231="","",IF(OR(D231=Plano!$A$1,D231=Plano!$B$1),"entrada","saída"))</f>
        <v>saída</v>
      </c>
      <c r="T231" s="332" t="s">
        <v>114</v>
      </c>
      <c r="U231" s="332" t="s">
        <v>114</v>
      </c>
      <c r="V231" s="333"/>
    </row>
    <row r="232" spans="1:22" ht="80.25" customHeight="1" x14ac:dyDescent="0.2">
      <c r="A232" s="277">
        <f>IF(B232="","",COUNT('Diário 5º PA'!$A$5:$A$2634)+ROW()-4)</f>
        <v>1539</v>
      </c>
      <c r="B232" s="278">
        <v>44298</v>
      </c>
      <c r="C232" s="259">
        <v>44256</v>
      </c>
      <c r="D232" s="252" t="s">
        <v>99</v>
      </c>
      <c r="E232" s="252" t="s">
        <v>284</v>
      </c>
      <c r="F232" s="257">
        <v>1195.75</v>
      </c>
      <c r="G232" s="252" t="s">
        <v>4226</v>
      </c>
      <c r="H232" s="252" t="s">
        <v>129</v>
      </c>
      <c r="I232" s="252" t="s">
        <v>4176</v>
      </c>
      <c r="J232" s="250" t="s">
        <v>1416</v>
      </c>
      <c r="K232" s="255" t="s">
        <v>991</v>
      </c>
      <c r="L232" s="250" t="s">
        <v>1016</v>
      </c>
      <c r="M232" s="277">
        <v>57781</v>
      </c>
      <c r="N232" s="278">
        <v>44266</v>
      </c>
      <c r="O232" s="329" t="s">
        <v>67</v>
      </c>
      <c r="P232" s="330">
        <f t="shared" ref="P232:Q232" si="228">IF(B232=0,0,IF(YEAR(B232)=$Q$1,MONTH(B232)-$P$1+1,(YEAR(B232)-$Q$1)*12-$P$1+1+MONTH(B232)))</f>
        <v>4</v>
      </c>
      <c r="Q232" s="330">
        <f t="shared" si="228"/>
        <v>3</v>
      </c>
      <c r="R232" s="331" t="str">
        <f t="shared" si="1"/>
        <v>Gastos_Gerais</v>
      </c>
      <c r="S232" s="331" t="str">
        <f>IF(D232="","",IF(OR(D232=Plano!$A$1,D232=Plano!$B$1),"entrada","saída"))</f>
        <v>saída</v>
      </c>
      <c r="T232" s="332" t="s">
        <v>1011</v>
      </c>
      <c r="U232" s="332">
        <v>1425</v>
      </c>
      <c r="V232" s="333"/>
    </row>
    <row r="233" spans="1:22" ht="142.5" customHeight="1" x14ac:dyDescent="0.2">
      <c r="A233" s="277">
        <f>IF(B233="","",COUNT('Diário 5º PA'!$A$5:$A$2634)+ROW()-4)</f>
        <v>1540</v>
      </c>
      <c r="B233" s="278">
        <v>44298</v>
      </c>
      <c r="C233" s="259">
        <v>44256</v>
      </c>
      <c r="D233" s="252" t="s">
        <v>99</v>
      </c>
      <c r="E233" s="252" t="s">
        <v>364</v>
      </c>
      <c r="F233" s="257">
        <v>5389.45</v>
      </c>
      <c r="G233" s="252" t="s">
        <v>570</v>
      </c>
      <c r="H233" s="252" t="s">
        <v>132</v>
      </c>
      <c r="I233" s="252" t="s">
        <v>2992</v>
      </c>
      <c r="J233" s="250" t="s">
        <v>572</v>
      </c>
      <c r="K233" s="255" t="s">
        <v>991</v>
      </c>
      <c r="L233" s="250" t="s">
        <v>1016</v>
      </c>
      <c r="M233" s="277" t="s">
        <v>1394</v>
      </c>
      <c r="N233" s="278">
        <v>44295</v>
      </c>
      <c r="O233" s="329" t="s">
        <v>67</v>
      </c>
      <c r="P233" s="330">
        <f t="shared" ref="P233:Q233" si="229">IF(B233=0,0,IF(YEAR(B233)=$Q$1,MONTH(B233)-$P$1+1,(YEAR(B233)-$Q$1)*12-$P$1+1+MONTH(B233)))</f>
        <v>4</v>
      </c>
      <c r="Q233" s="330">
        <f t="shared" si="229"/>
        <v>3</v>
      </c>
      <c r="R233" s="331" t="str">
        <f t="shared" si="1"/>
        <v>Gastos_Gerais</v>
      </c>
      <c r="S233" s="331" t="str">
        <f>IF(D233="","",IF(OR(D233=Plano!$A$1,D233=Plano!$B$1),"entrada","saída"))</f>
        <v>saída</v>
      </c>
      <c r="T233" s="332" t="s">
        <v>1059</v>
      </c>
      <c r="U233" s="332">
        <v>1339</v>
      </c>
      <c r="V233" s="333"/>
    </row>
    <row r="234" spans="1:22" ht="72" customHeight="1" x14ac:dyDescent="0.2">
      <c r="A234" s="277">
        <f>IF(B234="","",COUNT('Diário 5º PA'!$A$5:$A$2634)+ROW()-4)</f>
        <v>1541</v>
      </c>
      <c r="B234" s="278">
        <v>44298</v>
      </c>
      <c r="C234" s="259">
        <v>44256</v>
      </c>
      <c r="D234" s="252" t="s">
        <v>99</v>
      </c>
      <c r="E234" s="252" t="s">
        <v>352</v>
      </c>
      <c r="F234" s="257">
        <v>2850</v>
      </c>
      <c r="G234" s="252" t="s">
        <v>564</v>
      </c>
      <c r="H234" s="252" t="s">
        <v>131</v>
      </c>
      <c r="I234" s="252" t="s">
        <v>4227</v>
      </c>
      <c r="J234" s="250" t="s">
        <v>565</v>
      </c>
      <c r="K234" s="255" t="s">
        <v>991</v>
      </c>
      <c r="L234" s="250" t="s">
        <v>1016</v>
      </c>
      <c r="M234" s="277" t="s">
        <v>1299</v>
      </c>
      <c r="N234" s="278">
        <v>44294</v>
      </c>
      <c r="O234" s="329" t="s">
        <v>67</v>
      </c>
      <c r="P234" s="330">
        <f t="shared" ref="P234:Q234" si="230">IF(B234=0,0,IF(YEAR(B234)=$Q$1,MONTH(B234)-$P$1+1,(YEAR(B234)-$Q$1)*12-$P$1+1+MONTH(B234)))</f>
        <v>4</v>
      </c>
      <c r="Q234" s="330">
        <f t="shared" si="230"/>
        <v>3</v>
      </c>
      <c r="R234" s="331" t="str">
        <f t="shared" si="1"/>
        <v>Gastos_Gerais</v>
      </c>
      <c r="S234" s="331" t="str">
        <f>IF(D234="","",IF(OR(D234=Plano!$A$1,D234=Plano!$B$1),"entrada","saída"))</f>
        <v>saída</v>
      </c>
      <c r="T234" s="332" t="s">
        <v>1059</v>
      </c>
      <c r="U234" s="332">
        <v>1280</v>
      </c>
      <c r="V234" s="333"/>
    </row>
    <row r="235" spans="1:22" ht="107.25" customHeight="1" x14ac:dyDescent="0.2">
      <c r="A235" s="277">
        <f>IF(B235="","",COUNT('Diário 5º PA'!$A$5:$A$2634)+ROW()-4)</f>
        <v>1542</v>
      </c>
      <c r="B235" s="278">
        <v>44298</v>
      </c>
      <c r="C235" s="259">
        <v>44256</v>
      </c>
      <c r="D235" s="252" t="s">
        <v>99</v>
      </c>
      <c r="E235" s="252" t="s">
        <v>358</v>
      </c>
      <c r="F235" s="257">
        <v>534</v>
      </c>
      <c r="G235" s="252" t="s">
        <v>4228</v>
      </c>
      <c r="H235" s="252" t="s">
        <v>127</v>
      </c>
      <c r="I235" s="252" t="s">
        <v>4229</v>
      </c>
      <c r="J235" s="250" t="s">
        <v>1671</v>
      </c>
      <c r="K235" s="255" t="s">
        <v>991</v>
      </c>
      <c r="L235" s="250" t="s">
        <v>1029</v>
      </c>
      <c r="M235" s="277">
        <v>1123</v>
      </c>
      <c r="N235" s="278">
        <v>44296</v>
      </c>
      <c r="O235" s="329" t="s">
        <v>67</v>
      </c>
      <c r="P235" s="330">
        <f t="shared" ref="P235:Q235" si="231">IF(B235=0,0,IF(YEAR(B235)=$Q$1,MONTH(B235)-$P$1+1,(YEAR(B235)-$Q$1)*12-$P$1+1+MONTH(B235)))</f>
        <v>4</v>
      </c>
      <c r="Q235" s="330">
        <f t="shared" si="231"/>
        <v>3</v>
      </c>
      <c r="R235" s="331" t="str">
        <f t="shared" si="1"/>
        <v>Gastos_Gerais</v>
      </c>
      <c r="S235" s="331" t="str">
        <f>IF(D235="","",IF(OR(D235=Plano!$A$1,D235=Plano!$B$1),"entrada","saída"))</f>
        <v>saída</v>
      </c>
      <c r="T235" s="332" t="s">
        <v>994</v>
      </c>
      <c r="U235" s="332">
        <v>1438</v>
      </c>
      <c r="V235" s="333"/>
    </row>
    <row r="236" spans="1:22" ht="249.75" customHeight="1" x14ac:dyDescent="0.2">
      <c r="A236" s="277">
        <f>IF(B236="","",COUNT('Diário 5º PA'!$A$5:$A$2634)+ROW()-4)</f>
        <v>1543</v>
      </c>
      <c r="B236" s="278">
        <v>44298</v>
      </c>
      <c r="C236" s="259">
        <v>44256</v>
      </c>
      <c r="D236" s="252" t="s">
        <v>99</v>
      </c>
      <c r="E236" s="252" t="s">
        <v>330</v>
      </c>
      <c r="F236" s="257">
        <v>1260</v>
      </c>
      <c r="G236" s="252" t="s">
        <v>574</v>
      </c>
      <c r="H236" s="252" t="s">
        <v>128</v>
      </c>
      <c r="I236" s="252" t="s">
        <v>1354</v>
      </c>
      <c r="J236" s="250" t="s">
        <v>576</v>
      </c>
      <c r="K236" s="255" t="s">
        <v>991</v>
      </c>
      <c r="L236" s="250" t="s">
        <v>1029</v>
      </c>
      <c r="M236" s="277">
        <v>1120</v>
      </c>
      <c r="N236" s="278">
        <v>44295</v>
      </c>
      <c r="O236" s="329" t="s">
        <v>67</v>
      </c>
      <c r="P236" s="330">
        <f t="shared" ref="P236:Q236" si="232">IF(B236=0,0,IF(YEAR(B236)=$Q$1,MONTH(B236)-$P$1+1,(YEAR(B236)-$Q$1)*12-$P$1+1+MONTH(B236)))</f>
        <v>4</v>
      </c>
      <c r="Q236" s="330">
        <f t="shared" si="232"/>
        <v>3</v>
      </c>
      <c r="R236" s="331" t="str">
        <f t="shared" si="1"/>
        <v>Gastos_Gerais</v>
      </c>
      <c r="S236" s="331" t="str">
        <f>IF(D236="","",IF(OR(D236=Plano!$A$1,D236=Plano!$B$1),"entrada","saída"))</f>
        <v>saída</v>
      </c>
      <c r="T236" s="332" t="s">
        <v>1059</v>
      </c>
      <c r="U236" s="332">
        <v>1350</v>
      </c>
      <c r="V236" s="333"/>
    </row>
    <row r="237" spans="1:22" ht="58.5" customHeight="1" x14ac:dyDescent="0.2">
      <c r="A237" s="277">
        <f>IF(B237="","",COUNT('Diário 5º PA'!$A$5:$A$2634)+ROW()-4)</f>
        <v>1544</v>
      </c>
      <c r="B237" s="278">
        <v>44298</v>
      </c>
      <c r="C237" s="249">
        <v>44287</v>
      </c>
      <c r="D237" s="255" t="s">
        <v>99</v>
      </c>
      <c r="E237" s="255" t="s">
        <v>272</v>
      </c>
      <c r="F237" s="258">
        <v>10.45</v>
      </c>
      <c r="G237" s="255" t="s">
        <v>4230</v>
      </c>
      <c r="H237" s="252" t="s">
        <v>129</v>
      </c>
      <c r="I237" s="250" t="s">
        <v>949</v>
      </c>
      <c r="J237" s="255" t="s">
        <v>950</v>
      </c>
      <c r="K237" s="255" t="s">
        <v>951</v>
      </c>
      <c r="L237" s="250" t="s">
        <v>947</v>
      </c>
      <c r="M237" s="336" t="s">
        <v>114</v>
      </c>
      <c r="N237" s="278">
        <v>44298</v>
      </c>
      <c r="O237" s="329" t="s">
        <v>67</v>
      </c>
      <c r="P237" s="330">
        <f t="shared" ref="P237:Q237" si="233">IF(B237=0,0,IF(YEAR(B237)=$Q$1,MONTH(B237)-$P$1+1,(YEAR(B237)-$Q$1)*12-$P$1+1+MONTH(B237)))</f>
        <v>4</v>
      </c>
      <c r="Q237" s="330">
        <f t="shared" si="233"/>
        <v>4</v>
      </c>
      <c r="R237" s="331" t="str">
        <f t="shared" si="1"/>
        <v>Gastos_Gerais</v>
      </c>
      <c r="S237" s="331" t="str">
        <f>IF(D237="","",IF(OR(D237=Plano!$A$1,D237=Plano!$B$1),"entrada","saída"))</f>
        <v>saída</v>
      </c>
      <c r="T237" s="332" t="s">
        <v>114</v>
      </c>
      <c r="U237" s="332" t="s">
        <v>114</v>
      </c>
      <c r="V237" s="333"/>
    </row>
    <row r="238" spans="1:22" ht="51.75" customHeight="1" x14ac:dyDescent="0.2">
      <c r="A238" s="277">
        <f>IF(B238="","",COUNT('Diário 5º PA'!$A$5:$A$2634)+ROW()-4)</f>
        <v>1545</v>
      </c>
      <c r="B238" s="278">
        <v>44298</v>
      </c>
      <c r="C238" s="249">
        <v>44287</v>
      </c>
      <c r="D238" s="255" t="s">
        <v>99</v>
      </c>
      <c r="E238" s="255" t="s">
        <v>272</v>
      </c>
      <c r="F238" s="258">
        <v>10.45</v>
      </c>
      <c r="G238" s="255" t="s">
        <v>1326</v>
      </c>
      <c r="H238" s="252" t="s">
        <v>132</v>
      </c>
      <c r="I238" s="250" t="s">
        <v>949</v>
      </c>
      <c r="J238" s="255" t="s">
        <v>950</v>
      </c>
      <c r="K238" s="255" t="s">
        <v>951</v>
      </c>
      <c r="L238" s="250" t="s">
        <v>947</v>
      </c>
      <c r="M238" s="336" t="s">
        <v>114</v>
      </c>
      <c r="N238" s="278">
        <v>44298</v>
      </c>
      <c r="O238" s="329" t="s">
        <v>67</v>
      </c>
      <c r="P238" s="330">
        <f t="shared" ref="P238:Q238" si="234">IF(B238=0,0,IF(YEAR(B238)=$Q$1,MONTH(B238)-$P$1+1,(YEAR(B238)-$Q$1)*12-$P$1+1+MONTH(B238)))</f>
        <v>4</v>
      </c>
      <c r="Q238" s="330">
        <f t="shared" si="234"/>
        <v>4</v>
      </c>
      <c r="R238" s="331" t="str">
        <f t="shared" si="1"/>
        <v>Gastos_Gerais</v>
      </c>
      <c r="S238" s="331" t="str">
        <f>IF(D238="","",IF(OR(D238=Plano!$A$1,D238=Plano!$B$1),"entrada","saída"))</f>
        <v>saída</v>
      </c>
      <c r="T238" s="332" t="s">
        <v>114</v>
      </c>
      <c r="U238" s="332" t="s">
        <v>114</v>
      </c>
      <c r="V238" s="333"/>
    </row>
    <row r="239" spans="1:22" ht="47.25" customHeight="1" x14ac:dyDescent="0.2">
      <c r="A239" s="277">
        <f>IF(B239="","",COUNT('Diário 5º PA'!$A$5:$A$2634)+ROW()-4)</f>
        <v>1546</v>
      </c>
      <c r="B239" s="278">
        <v>44298</v>
      </c>
      <c r="C239" s="249">
        <v>44287</v>
      </c>
      <c r="D239" s="255" t="s">
        <v>99</v>
      </c>
      <c r="E239" s="255" t="s">
        <v>272</v>
      </c>
      <c r="F239" s="258">
        <v>10.45</v>
      </c>
      <c r="G239" s="255" t="s">
        <v>4231</v>
      </c>
      <c r="H239" s="252" t="s">
        <v>131</v>
      </c>
      <c r="I239" s="250" t="s">
        <v>949</v>
      </c>
      <c r="J239" s="255" t="s">
        <v>950</v>
      </c>
      <c r="K239" s="255" t="s">
        <v>951</v>
      </c>
      <c r="L239" s="250" t="s">
        <v>947</v>
      </c>
      <c r="M239" s="336" t="s">
        <v>114</v>
      </c>
      <c r="N239" s="278">
        <v>44298</v>
      </c>
      <c r="O239" s="329" t="s">
        <v>67</v>
      </c>
      <c r="P239" s="330">
        <f t="shared" ref="P239:Q239" si="235">IF(B239=0,0,IF(YEAR(B239)=$Q$1,MONTH(B239)-$P$1+1,(YEAR(B239)-$Q$1)*12-$P$1+1+MONTH(B239)))</f>
        <v>4</v>
      </c>
      <c r="Q239" s="330">
        <f t="shared" si="235"/>
        <v>4</v>
      </c>
      <c r="R239" s="331" t="str">
        <f t="shared" si="1"/>
        <v>Gastos_Gerais</v>
      </c>
      <c r="S239" s="331" t="str">
        <f>IF(D239="","",IF(OR(D239=Plano!$A$1,D239=Plano!$B$1),"entrada","saída"))</f>
        <v>saída</v>
      </c>
      <c r="T239" s="332" t="s">
        <v>114</v>
      </c>
      <c r="U239" s="332" t="s">
        <v>114</v>
      </c>
      <c r="V239" s="333"/>
    </row>
    <row r="240" spans="1:22" ht="50.25" customHeight="1" x14ac:dyDescent="0.2">
      <c r="A240" s="277">
        <f>IF(B240="","",COUNT('Diário 5º PA'!$A$5:$A$2634)+ROW()-4)</f>
        <v>1547</v>
      </c>
      <c r="B240" s="278">
        <v>44298</v>
      </c>
      <c r="C240" s="249">
        <v>44287</v>
      </c>
      <c r="D240" s="255" t="s">
        <v>99</v>
      </c>
      <c r="E240" s="255" t="s">
        <v>272</v>
      </c>
      <c r="F240" s="258">
        <v>10.45</v>
      </c>
      <c r="G240" s="255" t="s">
        <v>4232</v>
      </c>
      <c r="H240" s="252" t="s">
        <v>127</v>
      </c>
      <c r="I240" s="250" t="s">
        <v>949</v>
      </c>
      <c r="J240" s="255" t="s">
        <v>950</v>
      </c>
      <c r="K240" s="255" t="s">
        <v>951</v>
      </c>
      <c r="L240" s="250" t="s">
        <v>947</v>
      </c>
      <c r="M240" s="336" t="s">
        <v>114</v>
      </c>
      <c r="N240" s="278">
        <v>44298</v>
      </c>
      <c r="O240" s="329" t="s">
        <v>67</v>
      </c>
      <c r="P240" s="330">
        <f t="shared" ref="P240:Q240" si="236">IF(B240=0,0,IF(YEAR(B240)=$Q$1,MONTH(B240)-$P$1+1,(YEAR(B240)-$Q$1)*12-$P$1+1+MONTH(B240)))</f>
        <v>4</v>
      </c>
      <c r="Q240" s="330">
        <f t="shared" si="236"/>
        <v>4</v>
      </c>
      <c r="R240" s="331" t="str">
        <f t="shared" si="1"/>
        <v>Gastos_Gerais</v>
      </c>
      <c r="S240" s="331" t="str">
        <f>IF(D240="","",IF(OR(D240=Plano!$A$1,D240=Plano!$B$1),"entrada","saída"))</f>
        <v>saída</v>
      </c>
      <c r="T240" s="332" t="s">
        <v>114</v>
      </c>
      <c r="U240" s="332" t="s">
        <v>114</v>
      </c>
      <c r="V240" s="333"/>
    </row>
    <row r="241" spans="1:22" ht="54.75" customHeight="1" x14ac:dyDescent="0.2">
      <c r="A241" s="277">
        <f>IF(B241="","",COUNT('Diário 5º PA'!$A$5:$A$2634)+ROW()-4)</f>
        <v>1548</v>
      </c>
      <c r="B241" s="278">
        <v>44298</v>
      </c>
      <c r="C241" s="249">
        <v>44287</v>
      </c>
      <c r="D241" s="255" t="s">
        <v>99</v>
      </c>
      <c r="E241" s="255" t="s">
        <v>272</v>
      </c>
      <c r="F241" s="258">
        <v>10.45</v>
      </c>
      <c r="G241" s="255" t="s">
        <v>4233</v>
      </c>
      <c r="H241" s="252" t="s">
        <v>128</v>
      </c>
      <c r="I241" s="250" t="s">
        <v>949</v>
      </c>
      <c r="J241" s="255" t="s">
        <v>950</v>
      </c>
      <c r="K241" s="255" t="s">
        <v>951</v>
      </c>
      <c r="L241" s="250" t="s">
        <v>947</v>
      </c>
      <c r="M241" s="336" t="s">
        <v>114</v>
      </c>
      <c r="N241" s="278">
        <v>44298</v>
      </c>
      <c r="O241" s="329" t="s">
        <v>67</v>
      </c>
      <c r="P241" s="330">
        <f t="shared" ref="P241:Q241" si="237">IF(B241=0,0,IF(YEAR(B241)=$Q$1,MONTH(B241)-$P$1+1,(YEAR(B241)-$Q$1)*12-$P$1+1+MONTH(B241)))</f>
        <v>4</v>
      </c>
      <c r="Q241" s="330">
        <f t="shared" si="237"/>
        <v>4</v>
      </c>
      <c r="R241" s="331" t="str">
        <f t="shared" si="1"/>
        <v>Gastos_Gerais</v>
      </c>
      <c r="S241" s="331" t="str">
        <f>IF(D241="","",IF(OR(D241=Plano!$A$1,D241=Plano!$B$1),"entrada","saída"))</f>
        <v>saída</v>
      </c>
      <c r="T241" s="332" t="s">
        <v>114</v>
      </c>
      <c r="U241" s="332" t="s">
        <v>114</v>
      </c>
      <c r="V241" s="333"/>
    </row>
    <row r="242" spans="1:22" ht="178.5" customHeight="1" x14ac:dyDescent="0.2">
      <c r="A242" s="277">
        <f>IF(B242="","",COUNT('Diário 5º PA'!$A$5:$A$2634)+ROW()-4)</f>
        <v>1549</v>
      </c>
      <c r="B242" s="278">
        <v>44298</v>
      </c>
      <c r="C242" s="259">
        <v>44256</v>
      </c>
      <c r="D242" s="252" t="s">
        <v>104</v>
      </c>
      <c r="E242" s="252" t="s">
        <v>104</v>
      </c>
      <c r="F242" s="257">
        <v>2300</v>
      </c>
      <c r="G242" s="252" t="s">
        <v>3679</v>
      </c>
      <c r="H242" s="252" t="s">
        <v>104</v>
      </c>
      <c r="I242" s="252" t="s">
        <v>1633</v>
      </c>
      <c r="J242" s="250" t="s">
        <v>1634</v>
      </c>
      <c r="K242" s="255" t="s">
        <v>1015</v>
      </c>
      <c r="L242" s="250" t="s">
        <v>1016</v>
      </c>
      <c r="M242" s="277" t="s">
        <v>1540</v>
      </c>
      <c r="N242" s="278">
        <v>44298</v>
      </c>
      <c r="O242" s="329" t="s">
        <v>68</v>
      </c>
      <c r="P242" s="330">
        <f t="shared" ref="P242:Q242" si="238">IF(B242=0,0,IF(YEAR(B242)=$Q$1,MONTH(B242)-$P$1+1,(YEAR(B242)-$Q$1)*12-$P$1+1+MONTH(B242)))</f>
        <v>4</v>
      </c>
      <c r="Q242" s="330">
        <f t="shared" si="238"/>
        <v>3</v>
      </c>
      <c r="R242" s="331" t="str">
        <f t="shared" si="1"/>
        <v>Gastos_custeados_por_captação</v>
      </c>
      <c r="S242" s="331" t="str">
        <f>IF(D242="","",IF(OR(D242=Plano!$A$1,D242=Plano!$B$1),"entrada","saída"))</f>
        <v>saída</v>
      </c>
      <c r="T242" s="332" t="s">
        <v>994</v>
      </c>
      <c r="U242" s="332">
        <v>1194</v>
      </c>
      <c r="V242" s="333"/>
    </row>
    <row r="243" spans="1:22" ht="83.25" customHeight="1" x14ac:dyDescent="0.2">
      <c r="A243" s="277">
        <f>IF(B243="","",COUNT('Diário 5º PA'!$A$5:$A$2634)+ROW()-4)</f>
        <v>1550</v>
      </c>
      <c r="B243" s="278">
        <v>44299</v>
      </c>
      <c r="C243" s="259">
        <v>44256</v>
      </c>
      <c r="D243" s="252" t="s">
        <v>99</v>
      </c>
      <c r="E243" s="252" t="s">
        <v>340</v>
      </c>
      <c r="F243" s="257">
        <v>907.2</v>
      </c>
      <c r="G243" s="252" t="s">
        <v>1521</v>
      </c>
      <c r="H243" s="252" t="s">
        <v>125</v>
      </c>
      <c r="I243" s="252" t="s">
        <v>4234</v>
      </c>
      <c r="J243" s="250" t="s">
        <v>1523</v>
      </c>
      <c r="K243" s="255" t="s">
        <v>1015</v>
      </c>
      <c r="L243" s="250" t="s">
        <v>1029</v>
      </c>
      <c r="M243" s="277">
        <v>1116</v>
      </c>
      <c r="N243" s="278">
        <v>44294</v>
      </c>
      <c r="O243" s="329" t="s">
        <v>67</v>
      </c>
      <c r="P243" s="330">
        <f t="shared" ref="P243:Q243" si="239">IF(B243=0,0,IF(YEAR(B243)=$Q$1,MONTH(B243)-$P$1+1,(YEAR(B243)-$Q$1)*12-$P$1+1+MONTH(B243)))</f>
        <v>4</v>
      </c>
      <c r="Q243" s="330">
        <f t="shared" si="239"/>
        <v>3</v>
      </c>
      <c r="R243" s="331" t="str">
        <f t="shared" si="1"/>
        <v>Gastos_Gerais</v>
      </c>
      <c r="S243" s="331" t="str">
        <f>IF(D243="","",IF(OR(D243=Plano!$A$1,D243=Plano!$B$1),"entrada","saída"))</f>
        <v>saída</v>
      </c>
      <c r="T243" s="332" t="s">
        <v>1059</v>
      </c>
      <c r="U243" s="332">
        <v>1264</v>
      </c>
      <c r="V243" s="333"/>
    </row>
    <row r="244" spans="1:22" ht="104.25" customHeight="1" x14ac:dyDescent="0.2">
      <c r="A244" s="277">
        <f>IF(B244="","",COUNT('Diário 5º PA'!$A$5:$A$2634)+ROW()-4)</f>
        <v>1551</v>
      </c>
      <c r="B244" s="278">
        <v>44299</v>
      </c>
      <c r="C244" s="259">
        <v>44197</v>
      </c>
      <c r="D244" s="252" t="s">
        <v>99</v>
      </c>
      <c r="E244" s="252" t="s">
        <v>358</v>
      </c>
      <c r="F244" s="257">
        <v>890</v>
      </c>
      <c r="G244" s="252" t="s">
        <v>4235</v>
      </c>
      <c r="H244" s="252" t="s">
        <v>122</v>
      </c>
      <c r="I244" s="252" t="s">
        <v>1073</v>
      </c>
      <c r="J244" s="250" t="s">
        <v>809</v>
      </c>
      <c r="K244" s="255" t="s">
        <v>1015</v>
      </c>
      <c r="L244" s="250" t="s">
        <v>1029</v>
      </c>
      <c r="M244" s="277">
        <v>1125</v>
      </c>
      <c r="N244" s="278">
        <v>44298</v>
      </c>
      <c r="O244" s="329" t="s">
        <v>67</v>
      </c>
      <c r="P244" s="330">
        <f t="shared" ref="P244:Q244" si="240">IF(B244=0,0,IF(YEAR(B244)=$Q$1,MONTH(B244)-$P$1+1,(YEAR(B244)-$Q$1)*12-$P$1+1+MONTH(B244)))</f>
        <v>4</v>
      </c>
      <c r="Q244" s="330">
        <f t="shared" si="240"/>
        <v>1</v>
      </c>
      <c r="R244" s="331" t="str">
        <f t="shared" si="1"/>
        <v>Gastos_Gerais</v>
      </c>
      <c r="S244" s="331" t="str">
        <f>IF(D244="","",IF(OR(D244=Plano!$A$1,D244=Plano!$B$1),"entrada","saída"))</f>
        <v>saída</v>
      </c>
      <c r="T244" s="332" t="s">
        <v>994</v>
      </c>
      <c r="U244" s="332">
        <v>1305</v>
      </c>
      <c r="V244" s="333"/>
    </row>
    <row r="245" spans="1:22" ht="161.25" customHeight="1" x14ac:dyDescent="0.2">
      <c r="A245" s="277">
        <f>IF(B245="","",COUNT('Diário 5º PA'!$A$5:$A$2634)+ROW()-4)</f>
        <v>1552</v>
      </c>
      <c r="B245" s="278">
        <v>44299</v>
      </c>
      <c r="C245" s="256">
        <v>44105</v>
      </c>
      <c r="D245" s="255" t="s">
        <v>99</v>
      </c>
      <c r="E245" s="255" t="s">
        <v>224</v>
      </c>
      <c r="F245" s="257">
        <v>4018</v>
      </c>
      <c r="G245" s="255" t="s">
        <v>434</v>
      </c>
      <c r="H245" s="255" t="s">
        <v>123</v>
      </c>
      <c r="I245" s="252" t="s">
        <v>532</v>
      </c>
      <c r="J245" s="255" t="s">
        <v>1337</v>
      </c>
      <c r="K245" s="255" t="s">
        <v>560</v>
      </c>
      <c r="L245" s="252" t="s">
        <v>1016</v>
      </c>
      <c r="M245" s="347">
        <v>402349</v>
      </c>
      <c r="N245" s="348">
        <v>44301</v>
      </c>
      <c r="O245" s="329" t="s">
        <v>67</v>
      </c>
      <c r="P245" s="330">
        <f t="shared" ref="P245:Q245" si="241">IF(B245=0,0,IF(YEAR(B245)=$Q$1,MONTH(B245)-$P$1+1,(YEAR(B245)-$Q$1)*12-$P$1+1+MONTH(B245)))</f>
        <v>4</v>
      </c>
      <c r="Q245" s="330">
        <f t="shared" si="241"/>
        <v>-2</v>
      </c>
      <c r="R245" s="331" t="str">
        <f t="shared" si="1"/>
        <v>Gastos_Gerais</v>
      </c>
      <c r="S245" s="331" t="str">
        <f>IF(D245="","",IF(OR(D245=Plano!$A$1,D245=Plano!$B$1),"entrada","saída"))</f>
        <v>saída</v>
      </c>
      <c r="T245" s="332" t="s">
        <v>1059</v>
      </c>
      <c r="U245" s="332">
        <v>528</v>
      </c>
      <c r="V245" s="333"/>
    </row>
    <row r="246" spans="1:22" ht="49.5" customHeight="1" x14ac:dyDescent="0.2">
      <c r="A246" s="277">
        <f>IF(B246="","",COUNT('Diário 5º PA'!$A$5:$A$2634)+ROW()-4)</f>
        <v>1553</v>
      </c>
      <c r="B246" s="278">
        <v>44299</v>
      </c>
      <c r="C246" s="256">
        <v>44256</v>
      </c>
      <c r="D246" s="255" t="s">
        <v>88</v>
      </c>
      <c r="E246" s="255" t="s">
        <v>194</v>
      </c>
      <c r="F246" s="258">
        <v>453.2</v>
      </c>
      <c r="G246" s="255" t="s">
        <v>4236</v>
      </c>
      <c r="H246" s="255" t="s">
        <v>114</v>
      </c>
      <c r="I246" s="252" t="s">
        <v>532</v>
      </c>
      <c r="J246" s="255" t="s">
        <v>1261</v>
      </c>
      <c r="K246" s="255" t="s">
        <v>560</v>
      </c>
      <c r="L246" s="250" t="s">
        <v>1016</v>
      </c>
      <c r="M246" s="277">
        <v>417557</v>
      </c>
      <c r="N246" s="278">
        <v>44302</v>
      </c>
      <c r="O246" s="329" t="s">
        <v>67</v>
      </c>
      <c r="P246" s="330">
        <f t="shared" ref="P246:Q246" si="242">IF(B246=0,0,IF(YEAR(B246)=$Q$1,MONTH(B246)-$P$1+1,(YEAR(B246)-$Q$1)*12-$P$1+1+MONTH(B246)))</f>
        <v>4</v>
      </c>
      <c r="Q246" s="330">
        <f t="shared" si="242"/>
        <v>3</v>
      </c>
      <c r="R246" s="331" t="str">
        <f t="shared" si="1"/>
        <v>Gastos_com_Pessoal</v>
      </c>
      <c r="S246" s="331" t="str">
        <f>IF(D246="","",IF(OR(D246=Plano!$A$1,D246=Plano!$B$1),"entrada","saída"))</f>
        <v>saída</v>
      </c>
      <c r="T246" s="332" t="s">
        <v>114</v>
      </c>
      <c r="U246" s="332" t="s">
        <v>114</v>
      </c>
      <c r="V246" s="333"/>
    </row>
    <row r="247" spans="1:22" ht="51" customHeight="1" x14ac:dyDescent="0.2">
      <c r="A247" s="277">
        <f>IF(B247="","",COUNT('Diário 5º PA'!$A$5:$A$2634)+ROW()-4)</f>
        <v>1554</v>
      </c>
      <c r="B247" s="278">
        <v>44299</v>
      </c>
      <c r="C247" s="335">
        <v>44256</v>
      </c>
      <c r="D247" s="255" t="s">
        <v>99</v>
      </c>
      <c r="E247" s="255" t="s">
        <v>358</v>
      </c>
      <c r="F247" s="258">
        <v>516</v>
      </c>
      <c r="G247" s="255" t="s">
        <v>4237</v>
      </c>
      <c r="H247" s="255" t="s">
        <v>127</v>
      </c>
      <c r="I247" s="250" t="s">
        <v>4238</v>
      </c>
      <c r="J247" s="255" t="s">
        <v>4239</v>
      </c>
      <c r="K247" s="255" t="s">
        <v>991</v>
      </c>
      <c r="L247" s="250" t="s">
        <v>1029</v>
      </c>
      <c r="M247" s="277">
        <v>1121</v>
      </c>
      <c r="N247" s="278">
        <v>44296</v>
      </c>
      <c r="O247" s="329" t="s">
        <v>67</v>
      </c>
      <c r="P247" s="330">
        <f t="shared" ref="P247:Q247" si="243">IF(B247=0,0,IF(YEAR(B247)=$Q$1,MONTH(B247)-$P$1+1,(YEAR(B247)-$Q$1)*12-$P$1+1+MONTH(B247)))</f>
        <v>4</v>
      </c>
      <c r="Q247" s="330">
        <f t="shared" si="243"/>
        <v>3</v>
      </c>
      <c r="R247" s="331" t="str">
        <f t="shared" si="1"/>
        <v>Gastos_Gerais</v>
      </c>
      <c r="S247" s="331" t="str">
        <f>IF(D247="","",IF(OR(D247=Plano!$A$1,D247=Plano!$B$1),"entrada","saída"))</f>
        <v>saída</v>
      </c>
      <c r="T247" s="332" t="s">
        <v>994</v>
      </c>
      <c r="U247" s="332">
        <v>1439</v>
      </c>
      <c r="V247" s="333"/>
    </row>
    <row r="248" spans="1:22" ht="108" customHeight="1" x14ac:dyDescent="0.2">
      <c r="A248" s="277">
        <f>IF(B248="","",COUNT('Diário 5º PA'!$A$5:$A$2634)+ROW()-4)</f>
        <v>1555</v>
      </c>
      <c r="B248" s="278">
        <v>44299</v>
      </c>
      <c r="C248" s="259">
        <v>44256</v>
      </c>
      <c r="D248" s="252" t="s">
        <v>99</v>
      </c>
      <c r="E248" s="252" t="s">
        <v>358</v>
      </c>
      <c r="F248" s="257">
        <v>516</v>
      </c>
      <c r="G248" s="252" t="s">
        <v>4240</v>
      </c>
      <c r="H248" s="252" t="s">
        <v>127</v>
      </c>
      <c r="I248" s="252" t="s">
        <v>4241</v>
      </c>
      <c r="J248" s="250" t="s">
        <v>4242</v>
      </c>
      <c r="K248" s="255" t="s">
        <v>991</v>
      </c>
      <c r="L248" s="250" t="s">
        <v>1029</v>
      </c>
      <c r="M248" s="277">
        <v>1122</v>
      </c>
      <c r="N248" s="278">
        <v>44296</v>
      </c>
      <c r="O248" s="329" t="s">
        <v>67</v>
      </c>
      <c r="P248" s="330">
        <f t="shared" ref="P248:Q248" si="244">IF(B248=0,0,IF(YEAR(B248)=$Q$1,MONTH(B248)-$P$1+1,(YEAR(B248)-$Q$1)*12-$P$1+1+MONTH(B248)))</f>
        <v>4</v>
      </c>
      <c r="Q248" s="330">
        <f t="shared" si="244"/>
        <v>3</v>
      </c>
      <c r="R248" s="331" t="str">
        <f t="shared" si="1"/>
        <v>Gastos_Gerais</v>
      </c>
      <c r="S248" s="331" t="str">
        <f>IF(D248="","",IF(OR(D248=Plano!$A$1,D248=Plano!$B$1),"entrada","saída"))</f>
        <v>saída</v>
      </c>
      <c r="T248" s="332" t="s">
        <v>994</v>
      </c>
      <c r="U248" s="332">
        <v>1437</v>
      </c>
      <c r="V248" s="333"/>
    </row>
    <row r="249" spans="1:22" ht="125.25" customHeight="1" x14ac:dyDescent="0.2">
      <c r="A249" s="277">
        <f>IF(B249="","",COUNT('Diário 5º PA'!$A$5:$A$2634)+ROW()-4)</f>
        <v>1556</v>
      </c>
      <c r="B249" s="278">
        <v>44299</v>
      </c>
      <c r="C249" s="259">
        <v>44136</v>
      </c>
      <c r="D249" s="252" t="s">
        <v>99</v>
      </c>
      <c r="E249" s="252" t="s">
        <v>244</v>
      </c>
      <c r="F249" s="257">
        <v>1370.25</v>
      </c>
      <c r="G249" s="252" t="s">
        <v>431</v>
      </c>
      <c r="H249" s="252" t="s">
        <v>115</v>
      </c>
      <c r="I249" s="252" t="s">
        <v>4243</v>
      </c>
      <c r="J249" s="250" t="s">
        <v>433</v>
      </c>
      <c r="K249" s="255" t="s">
        <v>991</v>
      </c>
      <c r="L249" s="250" t="s">
        <v>1016</v>
      </c>
      <c r="M249" s="277" t="s">
        <v>1305</v>
      </c>
      <c r="N249" s="278">
        <v>44298</v>
      </c>
      <c r="O249" s="329" t="s">
        <v>67</v>
      </c>
      <c r="P249" s="330">
        <f t="shared" ref="P249:Q249" si="245">IF(B249=0,0,IF(YEAR(B249)=$Q$1,MONTH(B249)-$P$1+1,(YEAR(B249)-$Q$1)*12-$P$1+1+MONTH(B249)))</f>
        <v>4</v>
      </c>
      <c r="Q249" s="330">
        <f t="shared" si="245"/>
        <v>-1</v>
      </c>
      <c r="R249" s="331" t="str">
        <f t="shared" si="1"/>
        <v>Gastos_Gerais</v>
      </c>
      <c r="S249" s="331" t="str">
        <f>IF(D249="","",IF(OR(D249=Plano!$A$1,D249=Plano!$B$1),"entrada","saída"))</f>
        <v>saída</v>
      </c>
      <c r="T249" s="332" t="s">
        <v>1059</v>
      </c>
      <c r="U249" s="332">
        <v>564</v>
      </c>
      <c r="V249" s="333"/>
    </row>
    <row r="250" spans="1:22" ht="196.5" customHeight="1" x14ac:dyDescent="0.2">
      <c r="A250" s="277">
        <f>IF(B250="","",COUNT('Diário 5º PA'!$A$5:$A$2634)+ROW()-4)</f>
        <v>1557</v>
      </c>
      <c r="B250" s="278">
        <v>44299</v>
      </c>
      <c r="C250" s="259">
        <v>44228</v>
      </c>
      <c r="D250" s="252" t="s">
        <v>99</v>
      </c>
      <c r="E250" s="252" t="s">
        <v>358</v>
      </c>
      <c r="F250" s="257">
        <v>1068</v>
      </c>
      <c r="G250" s="252" t="s">
        <v>4244</v>
      </c>
      <c r="H250" s="252" t="s">
        <v>125</v>
      </c>
      <c r="I250" s="252" t="s">
        <v>4245</v>
      </c>
      <c r="J250" s="250" t="s">
        <v>4246</v>
      </c>
      <c r="K250" s="255" t="s">
        <v>991</v>
      </c>
      <c r="L250" s="250" t="s">
        <v>1029</v>
      </c>
      <c r="M250" s="277">
        <v>1124</v>
      </c>
      <c r="N250" s="278">
        <v>44298</v>
      </c>
      <c r="O250" s="329" t="s">
        <v>67</v>
      </c>
      <c r="P250" s="330">
        <f t="shared" ref="P250:Q250" si="246">IF(B250=0,0,IF(YEAR(B250)=$Q$1,MONTH(B250)-$P$1+1,(YEAR(B250)-$Q$1)*12-$P$1+1+MONTH(B250)))</f>
        <v>4</v>
      </c>
      <c r="Q250" s="330">
        <f t="shared" si="246"/>
        <v>2</v>
      </c>
      <c r="R250" s="331" t="str">
        <f t="shared" si="1"/>
        <v>Gastos_Gerais</v>
      </c>
      <c r="S250" s="331" t="str">
        <f>IF(D250="","",IF(OR(D250=Plano!$A$1,D250=Plano!$B$1),"entrada","saída"))</f>
        <v>saída</v>
      </c>
      <c r="T250" s="332" t="s">
        <v>994</v>
      </c>
      <c r="U250" s="332">
        <v>1345</v>
      </c>
      <c r="V250" s="333"/>
    </row>
    <row r="251" spans="1:22" ht="195" customHeight="1" x14ac:dyDescent="0.2">
      <c r="A251" s="277">
        <f>IF(B251="","",COUNT('Diário 5º PA'!$A$5:$A$2634)+ROW()-4)</f>
        <v>1558</v>
      </c>
      <c r="B251" s="278">
        <v>44299</v>
      </c>
      <c r="C251" s="259">
        <v>44228</v>
      </c>
      <c r="D251" s="252" t="s">
        <v>99</v>
      </c>
      <c r="E251" s="252" t="s">
        <v>360</v>
      </c>
      <c r="F251" s="257">
        <v>5634.42</v>
      </c>
      <c r="G251" s="252" t="s">
        <v>4247</v>
      </c>
      <c r="H251" s="252" t="s">
        <v>131</v>
      </c>
      <c r="I251" s="252" t="s">
        <v>2427</v>
      </c>
      <c r="J251" s="250" t="s">
        <v>2428</v>
      </c>
      <c r="K251" s="255" t="s">
        <v>991</v>
      </c>
      <c r="L251" s="250" t="s">
        <v>992</v>
      </c>
      <c r="M251" s="277" t="s">
        <v>1296</v>
      </c>
      <c r="N251" s="278">
        <v>44299</v>
      </c>
      <c r="O251" s="329" t="s">
        <v>67</v>
      </c>
      <c r="P251" s="330">
        <f t="shared" ref="P251:Q251" si="247">IF(B251=0,0,IF(YEAR(B251)=$Q$1,MONTH(B251)-$P$1+1,(YEAR(B251)-$Q$1)*12-$P$1+1+MONTH(B251)))</f>
        <v>4</v>
      </c>
      <c r="Q251" s="330">
        <f t="shared" si="247"/>
        <v>2</v>
      </c>
      <c r="R251" s="331" t="str">
        <f t="shared" si="1"/>
        <v>Gastos_Gerais</v>
      </c>
      <c r="S251" s="331" t="str">
        <f>IF(D251="","",IF(OR(D251=Plano!$A$1,D251=Plano!$B$1),"entrada","saída"))</f>
        <v>saída</v>
      </c>
      <c r="T251" s="332" t="s">
        <v>1059</v>
      </c>
      <c r="U251" s="332">
        <v>1331</v>
      </c>
      <c r="V251" s="333"/>
    </row>
    <row r="252" spans="1:22" ht="47.25" customHeight="1" x14ac:dyDescent="0.2">
      <c r="A252" s="277">
        <f>IF(B252="","",COUNT('Diário 5º PA'!$A$5:$A$2634)+ROW()-4)</f>
        <v>1559</v>
      </c>
      <c r="B252" s="278">
        <v>44299</v>
      </c>
      <c r="C252" s="249">
        <v>44287</v>
      </c>
      <c r="D252" s="255" t="s">
        <v>99</v>
      </c>
      <c r="E252" s="255" t="s">
        <v>272</v>
      </c>
      <c r="F252" s="258">
        <v>10.45</v>
      </c>
      <c r="G252" s="255" t="s">
        <v>4248</v>
      </c>
      <c r="H252" s="255" t="s">
        <v>127</v>
      </c>
      <c r="I252" s="250" t="s">
        <v>949</v>
      </c>
      <c r="J252" s="255" t="s">
        <v>950</v>
      </c>
      <c r="K252" s="255" t="s">
        <v>951</v>
      </c>
      <c r="L252" s="250" t="s">
        <v>947</v>
      </c>
      <c r="M252" s="336" t="s">
        <v>114</v>
      </c>
      <c r="N252" s="278">
        <v>44299</v>
      </c>
      <c r="O252" s="329" t="s">
        <v>67</v>
      </c>
      <c r="P252" s="330">
        <f t="shared" ref="P252:Q252" si="248">IF(B252=0,0,IF(YEAR(B252)=$Q$1,MONTH(B252)-$P$1+1,(YEAR(B252)-$Q$1)*12-$P$1+1+MONTH(B252)))</f>
        <v>4</v>
      </c>
      <c r="Q252" s="330">
        <f t="shared" si="248"/>
        <v>4</v>
      </c>
      <c r="R252" s="331" t="str">
        <f t="shared" si="1"/>
        <v>Gastos_Gerais</v>
      </c>
      <c r="S252" s="331" t="str">
        <f>IF(D252="","",IF(OR(D252=Plano!$A$1,D252=Plano!$B$1),"entrada","saída"))</f>
        <v>saída</v>
      </c>
      <c r="T252" s="332" t="s">
        <v>114</v>
      </c>
      <c r="U252" s="332" t="s">
        <v>114</v>
      </c>
      <c r="V252" s="333"/>
    </row>
    <row r="253" spans="1:22" ht="49.5" customHeight="1" x14ac:dyDescent="0.2">
      <c r="A253" s="277">
        <f>IF(B253="","",COUNT('Diário 5º PA'!$A$5:$A$2634)+ROW()-4)</f>
        <v>1560</v>
      </c>
      <c r="B253" s="278">
        <v>44299</v>
      </c>
      <c r="C253" s="249">
        <v>44287</v>
      </c>
      <c r="D253" s="255" t="s">
        <v>99</v>
      </c>
      <c r="E253" s="255" t="s">
        <v>272</v>
      </c>
      <c r="F253" s="258">
        <v>10.45</v>
      </c>
      <c r="G253" s="255" t="s">
        <v>4249</v>
      </c>
      <c r="H253" s="252" t="s">
        <v>127</v>
      </c>
      <c r="I253" s="250" t="s">
        <v>949</v>
      </c>
      <c r="J253" s="255" t="s">
        <v>950</v>
      </c>
      <c r="K253" s="255" t="s">
        <v>951</v>
      </c>
      <c r="L253" s="250" t="s">
        <v>947</v>
      </c>
      <c r="M253" s="336" t="s">
        <v>114</v>
      </c>
      <c r="N253" s="278">
        <v>44299</v>
      </c>
      <c r="O253" s="329" t="s">
        <v>67</v>
      </c>
      <c r="P253" s="330">
        <f t="shared" ref="P253:Q253" si="249">IF(B253=0,0,IF(YEAR(B253)=$Q$1,MONTH(B253)-$P$1+1,(YEAR(B253)-$Q$1)*12-$P$1+1+MONTH(B253)))</f>
        <v>4</v>
      </c>
      <c r="Q253" s="330">
        <f t="shared" si="249"/>
        <v>4</v>
      </c>
      <c r="R253" s="331" t="str">
        <f t="shared" si="1"/>
        <v>Gastos_Gerais</v>
      </c>
      <c r="S253" s="331" t="str">
        <f>IF(D253="","",IF(OR(D253=Plano!$A$1,D253=Plano!$B$1),"entrada","saída"))</f>
        <v>saída</v>
      </c>
      <c r="T253" s="332" t="s">
        <v>114</v>
      </c>
      <c r="U253" s="332" t="s">
        <v>114</v>
      </c>
      <c r="V253" s="333"/>
    </row>
    <row r="254" spans="1:22" ht="45.75" customHeight="1" x14ac:dyDescent="0.2">
      <c r="A254" s="277">
        <f>IF(B254="","",COUNT('Diário 5º PA'!$A$5:$A$2634)+ROW()-4)</f>
        <v>1561</v>
      </c>
      <c r="B254" s="278">
        <v>44299</v>
      </c>
      <c r="C254" s="249">
        <v>44287</v>
      </c>
      <c r="D254" s="255" t="s">
        <v>99</v>
      </c>
      <c r="E254" s="255" t="s">
        <v>272</v>
      </c>
      <c r="F254" s="258">
        <v>10.45</v>
      </c>
      <c r="G254" s="255" t="s">
        <v>4250</v>
      </c>
      <c r="H254" s="252" t="s">
        <v>115</v>
      </c>
      <c r="I254" s="250" t="s">
        <v>949</v>
      </c>
      <c r="J254" s="255" t="s">
        <v>950</v>
      </c>
      <c r="K254" s="255" t="s">
        <v>951</v>
      </c>
      <c r="L254" s="250" t="s">
        <v>947</v>
      </c>
      <c r="M254" s="336" t="s">
        <v>114</v>
      </c>
      <c r="N254" s="278">
        <v>44299</v>
      </c>
      <c r="O254" s="329" t="s">
        <v>67</v>
      </c>
      <c r="P254" s="330">
        <f t="shared" ref="P254:Q254" si="250">IF(B254=0,0,IF(YEAR(B254)=$Q$1,MONTH(B254)-$P$1+1,(YEAR(B254)-$Q$1)*12-$P$1+1+MONTH(B254)))</f>
        <v>4</v>
      </c>
      <c r="Q254" s="330">
        <f t="shared" si="250"/>
        <v>4</v>
      </c>
      <c r="R254" s="331" t="str">
        <f t="shared" si="1"/>
        <v>Gastos_Gerais</v>
      </c>
      <c r="S254" s="331" t="str">
        <f>IF(D254="","",IF(OR(D254=Plano!$A$1,D254=Plano!$B$1),"entrada","saída"))</f>
        <v>saída</v>
      </c>
      <c r="T254" s="332" t="s">
        <v>114</v>
      </c>
      <c r="U254" s="332" t="s">
        <v>114</v>
      </c>
      <c r="V254" s="333"/>
    </row>
    <row r="255" spans="1:22" ht="49.5" customHeight="1" x14ac:dyDescent="0.2">
      <c r="A255" s="277">
        <f>IF(B255="","",COUNT('Diário 5º PA'!$A$5:$A$2634)+ROW()-4)</f>
        <v>1562</v>
      </c>
      <c r="B255" s="278">
        <v>44299</v>
      </c>
      <c r="C255" s="249">
        <v>44287</v>
      </c>
      <c r="D255" s="255" t="s">
        <v>99</v>
      </c>
      <c r="E255" s="255" t="s">
        <v>272</v>
      </c>
      <c r="F255" s="258">
        <v>10.45</v>
      </c>
      <c r="G255" s="255" t="s">
        <v>4251</v>
      </c>
      <c r="H255" s="252" t="s">
        <v>125</v>
      </c>
      <c r="I255" s="250" t="s">
        <v>949</v>
      </c>
      <c r="J255" s="255" t="s">
        <v>950</v>
      </c>
      <c r="K255" s="255" t="s">
        <v>951</v>
      </c>
      <c r="L255" s="250" t="s">
        <v>947</v>
      </c>
      <c r="M255" s="336" t="s">
        <v>114</v>
      </c>
      <c r="N255" s="278">
        <v>44299</v>
      </c>
      <c r="O255" s="329" t="s">
        <v>67</v>
      </c>
      <c r="P255" s="330">
        <f t="shared" ref="P255:Q255" si="251">IF(B255=0,0,IF(YEAR(B255)=$Q$1,MONTH(B255)-$P$1+1,(YEAR(B255)-$Q$1)*12-$P$1+1+MONTH(B255)))</f>
        <v>4</v>
      </c>
      <c r="Q255" s="330">
        <f t="shared" si="251"/>
        <v>4</v>
      </c>
      <c r="R255" s="331" t="str">
        <f t="shared" si="1"/>
        <v>Gastos_Gerais</v>
      </c>
      <c r="S255" s="331" t="str">
        <f>IF(D255="","",IF(OR(D255=Plano!$A$1,D255=Plano!$B$1),"entrada","saída"))</f>
        <v>saída</v>
      </c>
      <c r="T255" s="332" t="s">
        <v>114</v>
      </c>
      <c r="U255" s="332" t="s">
        <v>114</v>
      </c>
      <c r="V255" s="333"/>
    </row>
    <row r="256" spans="1:22" ht="59.25" customHeight="1" x14ac:dyDescent="0.2">
      <c r="A256" s="277">
        <f>IF(B256="","",COUNT('Diário 5º PA'!$A$5:$A$2634)+ROW()-4)</f>
        <v>1563</v>
      </c>
      <c r="B256" s="278">
        <v>44299</v>
      </c>
      <c r="C256" s="249">
        <v>44287</v>
      </c>
      <c r="D256" s="255" t="s">
        <v>99</v>
      </c>
      <c r="E256" s="255" t="s">
        <v>272</v>
      </c>
      <c r="F256" s="258">
        <v>10.45</v>
      </c>
      <c r="G256" s="255" t="s">
        <v>4252</v>
      </c>
      <c r="H256" s="252" t="s">
        <v>131</v>
      </c>
      <c r="I256" s="250" t="s">
        <v>949</v>
      </c>
      <c r="J256" s="255" t="s">
        <v>950</v>
      </c>
      <c r="K256" s="255" t="s">
        <v>951</v>
      </c>
      <c r="L256" s="250" t="s">
        <v>947</v>
      </c>
      <c r="M256" s="336" t="s">
        <v>114</v>
      </c>
      <c r="N256" s="278">
        <v>44299</v>
      </c>
      <c r="O256" s="329" t="s">
        <v>67</v>
      </c>
      <c r="P256" s="330">
        <f t="shared" ref="P256:Q256" si="252">IF(B256=0,0,IF(YEAR(B256)=$Q$1,MONTH(B256)-$P$1+1,(YEAR(B256)-$Q$1)*12-$P$1+1+MONTH(B256)))</f>
        <v>4</v>
      </c>
      <c r="Q256" s="330">
        <f t="shared" si="252"/>
        <v>4</v>
      </c>
      <c r="R256" s="331" t="str">
        <f t="shared" si="1"/>
        <v>Gastos_Gerais</v>
      </c>
      <c r="S256" s="331" t="str">
        <f>IF(D256="","",IF(OR(D256=Plano!$A$1,D256=Plano!$B$1),"entrada","saída"))</f>
        <v>saída</v>
      </c>
      <c r="T256" s="332" t="s">
        <v>114</v>
      </c>
      <c r="U256" s="332" t="s">
        <v>114</v>
      </c>
      <c r="V256" s="333"/>
    </row>
    <row r="257" spans="1:22" ht="174" customHeight="1" x14ac:dyDescent="0.2">
      <c r="A257" s="277">
        <f>IF(B257="","",COUNT('Diário 5º PA'!$A$5:$A$2634)+ROW()-4)</f>
        <v>1564</v>
      </c>
      <c r="B257" s="278">
        <v>44299</v>
      </c>
      <c r="C257" s="259">
        <v>44256</v>
      </c>
      <c r="D257" s="252" t="s">
        <v>104</v>
      </c>
      <c r="E257" s="252" t="s">
        <v>104</v>
      </c>
      <c r="F257" s="257">
        <v>2300</v>
      </c>
      <c r="G257" s="252" t="s">
        <v>3679</v>
      </c>
      <c r="H257" s="252" t="s">
        <v>104</v>
      </c>
      <c r="I257" s="252" t="s">
        <v>1631</v>
      </c>
      <c r="J257" s="250" t="s">
        <v>1632</v>
      </c>
      <c r="K257" s="255" t="s">
        <v>1015</v>
      </c>
      <c r="L257" s="250" t="s">
        <v>992</v>
      </c>
      <c r="M257" s="277" t="s">
        <v>1443</v>
      </c>
      <c r="N257" s="278">
        <v>44299</v>
      </c>
      <c r="O257" s="329" t="s">
        <v>68</v>
      </c>
      <c r="P257" s="330">
        <f t="shared" ref="P257:Q257" si="253">IF(B257=0,0,IF(YEAR(B257)=$Q$1,MONTH(B257)-$P$1+1,(YEAR(B257)-$Q$1)*12-$P$1+1+MONTH(B257)))</f>
        <v>4</v>
      </c>
      <c r="Q257" s="330">
        <f t="shared" si="253"/>
        <v>3</v>
      </c>
      <c r="R257" s="331" t="str">
        <f t="shared" si="1"/>
        <v>Gastos_custeados_por_captação</v>
      </c>
      <c r="S257" s="331" t="str">
        <f>IF(D257="","",IF(OR(D257=Plano!$A$1,D257=Plano!$B$1),"entrada","saída"))</f>
        <v>saída</v>
      </c>
      <c r="T257" s="332" t="s">
        <v>994</v>
      </c>
      <c r="U257" s="332">
        <v>1201</v>
      </c>
      <c r="V257" s="333"/>
    </row>
    <row r="258" spans="1:22" ht="58.5" customHeight="1" x14ac:dyDescent="0.2">
      <c r="A258" s="277">
        <f>IF(B258="","",COUNT('Diário 5º PA'!$A$5:$A$2634)+ROW()-4)</f>
        <v>1565</v>
      </c>
      <c r="B258" s="278">
        <v>44299</v>
      </c>
      <c r="C258" s="259">
        <v>44287</v>
      </c>
      <c r="D258" s="252" t="s">
        <v>104</v>
      </c>
      <c r="E258" s="252" t="s">
        <v>104</v>
      </c>
      <c r="F258" s="257">
        <v>153</v>
      </c>
      <c r="G258" s="252" t="s">
        <v>1157</v>
      </c>
      <c r="H258" s="252" t="s">
        <v>104</v>
      </c>
      <c r="I258" s="250" t="s">
        <v>949</v>
      </c>
      <c r="J258" s="255" t="s">
        <v>950</v>
      </c>
      <c r="K258" s="255" t="s">
        <v>951</v>
      </c>
      <c r="L258" s="250" t="s">
        <v>947</v>
      </c>
      <c r="M258" s="336" t="s">
        <v>114</v>
      </c>
      <c r="N258" s="278">
        <v>44299</v>
      </c>
      <c r="O258" s="329" t="s">
        <v>71</v>
      </c>
      <c r="P258" s="330">
        <f t="shared" ref="P258:Q258" si="254">IF(B258=0,0,IF(YEAR(B258)=$Q$1,MONTH(B258)-$P$1+1,(YEAR(B258)-$Q$1)*12-$P$1+1+MONTH(B258)))</f>
        <v>4</v>
      </c>
      <c r="Q258" s="330">
        <f t="shared" si="254"/>
        <v>4</v>
      </c>
      <c r="R258" s="331" t="str">
        <f t="shared" si="1"/>
        <v>Gastos_custeados_por_captação</v>
      </c>
      <c r="S258" s="331" t="str">
        <f>IF(D258="","",IF(OR(D258=Plano!$A$1,D258=Plano!$B$1),"entrada","saída"))</f>
        <v>saída</v>
      </c>
      <c r="T258" s="332" t="s">
        <v>114</v>
      </c>
      <c r="U258" s="332" t="s">
        <v>114</v>
      </c>
      <c r="V258" s="333"/>
    </row>
    <row r="259" spans="1:22" ht="82.5" customHeight="1" x14ac:dyDescent="0.2">
      <c r="A259" s="277">
        <f>IF(B259="","",COUNT('Diário 5º PA'!$A$5:$A$2634)+ROW()-4)</f>
        <v>1566</v>
      </c>
      <c r="B259" s="278">
        <v>44300</v>
      </c>
      <c r="C259" s="259">
        <v>44256</v>
      </c>
      <c r="D259" s="252" t="s">
        <v>99</v>
      </c>
      <c r="E259" s="252" t="s">
        <v>358</v>
      </c>
      <c r="F259" s="257">
        <v>890</v>
      </c>
      <c r="G259" s="252" t="s">
        <v>4253</v>
      </c>
      <c r="H259" s="252" t="s">
        <v>122</v>
      </c>
      <c r="I259" s="252" t="s">
        <v>4254</v>
      </c>
      <c r="J259" s="250" t="s">
        <v>4255</v>
      </c>
      <c r="K259" s="255" t="s">
        <v>1015</v>
      </c>
      <c r="L259" s="250" t="s">
        <v>1029</v>
      </c>
      <c r="M259" s="277">
        <v>1126</v>
      </c>
      <c r="N259" s="278">
        <v>44299</v>
      </c>
      <c r="O259" s="329" t="s">
        <v>67</v>
      </c>
      <c r="P259" s="330">
        <f t="shared" ref="P259:Q259" si="255">IF(B259=0,0,IF(YEAR(B259)=$Q$1,MONTH(B259)-$P$1+1,(YEAR(B259)-$Q$1)*12-$P$1+1+MONTH(B259)))</f>
        <v>4</v>
      </c>
      <c r="Q259" s="330">
        <f t="shared" si="255"/>
        <v>3</v>
      </c>
      <c r="R259" s="331" t="str">
        <f t="shared" si="1"/>
        <v>Gastos_Gerais</v>
      </c>
      <c r="S259" s="331" t="str">
        <f>IF(D259="","",IF(OR(D259=Plano!$A$1,D259=Plano!$B$1),"entrada","saída"))</f>
        <v>saída</v>
      </c>
      <c r="T259" s="332" t="s">
        <v>994</v>
      </c>
      <c r="U259" s="332">
        <v>1304</v>
      </c>
      <c r="V259" s="333"/>
    </row>
    <row r="260" spans="1:22" ht="189.75" customHeight="1" x14ac:dyDescent="0.2">
      <c r="A260" s="277">
        <f>IF(B260="","",COUNT('Diário 5º PA'!$A$5:$A$2634)+ROW()-4)</f>
        <v>1567</v>
      </c>
      <c r="B260" s="278">
        <v>44300</v>
      </c>
      <c r="C260" s="259">
        <v>44256</v>
      </c>
      <c r="D260" s="252" t="s">
        <v>99</v>
      </c>
      <c r="E260" s="252" t="s">
        <v>358</v>
      </c>
      <c r="F260" s="257">
        <v>445</v>
      </c>
      <c r="G260" s="252" t="s">
        <v>4256</v>
      </c>
      <c r="H260" s="252" t="s">
        <v>124</v>
      </c>
      <c r="I260" s="252" t="s">
        <v>4257</v>
      </c>
      <c r="J260" s="250" t="s">
        <v>4258</v>
      </c>
      <c r="K260" s="255" t="s">
        <v>991</v>
      </c>
      <c r="L260" s="250" t="s">
        <v>1029</v>
      </c>
      <c r="M260" s="277">
        <v>1128</v>
      </c>
      <c r="N260" s="278">
        <v>44299</v>
      </c>
      <c r="O260" s="329" t="s">
        <v>67</v>
      </c>
      <c r="P260" s="330">
        <f t="shared" ref="P260:Q260" si="256">IF(B260=0,0,IF(YEAR(B260)=$Q$1,MONTH(B260)-$P$1+1,(YEAR(B260)-$Q$1)*12-$P$1+1+MONTH(B260)))</f>
        <v>4</v>
      </c>
      <c r="Q260" s="330">
        <f t="shared" si="256"/>
        <v>3</v>
      </c>
      <c r="R260" s="331" t="str">
        <f t="shared" si="1"/>
        <v>Gastos_Gerais</v>
      </c>
      <c r="S260" s="331" t="str">
        <f>IF(D260="","",IF(OR(D260=Plano!$A$1,D260=Plano!$B$1),"entrada","saída"))</f>
        <v>saída</v>
      </c>
      <c r="T260" s="332" t="s">
        <v>994</v>
      </c>
      <c r="U260" s="332">
        <v>1372</v>
      </c>
      <c r="V260" s="333"/>
    </row>
    <row r="261" spans="1:22" ht="81" customHeight="1" x14ac:dyDescent="0.2">
      <c r="A261" s="277">
        <f>IF(B261="","",COUNT('Diário 5º PA'!$A$5:$A$2634)+ROW()-4)</f>
        <v>1568</v>
      </c>
      <c r="B261" s="278">
        <v>44300</v>
      </c>
      <c r="C261" s="259">
        <v>44256</v>
      </c>
      <c r="D261" s="252" t="s">
        <v>99</v>
      </c>
      <c r="E261" s="252" t="s">
        <v>358</v>
      </c>
      <c r="F261" s="257">
        <v>1424</v>
      </c>
      <c r="G261" s="252" t="s">
        <v>4259</v>
      </c>
      <c r="H261" s="252" t="s">
        <v>118</v>
      </c>
      <c r="I261" s="252" t="s">
        <v>1535</v>
      </c>
      <c r="J261" s="250" t="s">
        <v>1536</v>
      </c>
      <c r="K261" s="255" t="s">
        <v>991</v>
      </c>
      <c r="L261" s="250" t="s">
        <v>1029</v>
      </c>
      <c r="M261" s="277">
        <v>1127</v>
      </c>
      <c r="N261" s="278">
        <v>44299</v>
      </c>
      <c r="O261" s="329" t="s">
        <v>67</v>
      </c>
      <c r="P261" s="330">
        <f t="shared" ref="P261:Q261" si="257">IF(B261=0,0,IF(YEAR(B261)=$Q$1,MONTH(B261)-$P$1+1,(YEAR(B261)-$Q$1)*12-$P$1+1+MONTH(B261)))</f>
        <v>4</v>
      </c>
      <c r="Q261" s="330">
        <f t="shared" si="257"/>
        <v>3</v>
      </c>
      <c r="R261" s="331" t="str">
        <f t="shared" si="1"/>
        <v>Gastos_Gerais</v>
      </c>
      <c r="S261" s="331" t="str">
        <f>IF(D261="","",IF(OR(D261=Plano!$A$1,D261=Plano!$B$1),"entrada","saída"))</f>
        <v>saída</v>
      </c>
      <c r="T261" s="332" t="s">
        <v>994</v>
      </c>
      <c r="U261" s="332">
        <v>1407</v>
      </c>
      <c r="V261" s="333"/>
    </row>
    <row r="262" spans="1:22" ht="108" customHeight="1" x14ac:dyDescent="0.2">
      <c r="A262" s="277">
        <f>IF(B262="","",COUNT('Diário 5º PA'!$A$5:$A$2634)+ROW()-4)</f>
        <v>1569</v>
      </c>
      <c r="B262" s="278">
        <v>44300</v>
      </c>
      <c r="C262" s="259">
        <v>44287</v>
      </c>
      <c r="D262" s="252" t="s">
        <v>99</v>
      </c>
      <c r="E262" s="252" t="s">
        <v>364</v>
      </c>
      <c r="F262" s="257">
        <v>4899.5</v>
      </c>
      <c r="G262" s="252" t="s">
        <v>4260</v>
      </c>
      <c r="H262" s="252" t="s">
        <v>132</v>
      </c>
      <c r="I262" s="252" t="s">
        <v>1557</v>
      </c>
      <c r="J262" s="250" t="s">
        <v>1558</v>
      </c>
      <c r="K262" s="255" t="s">
        <v>991</v>
      </c>
      <c r="L262" s="250" t="s">
        <v>992</v>
      </c>
      <c r="M262" s="277" t="s">
        <v>1296</v>
      </c>
      <c r="N262" s="278">
        <v>44300</v>
      </c>
      <c r="O262" s="329" t="s">
        <v>67</v>
      </c>
      <c r="P262" s="330">
        <f t="shared" ref="P262:Q262" si="258">IF(B262=0,0,IF(YEAR(B262)=$Q$1,MONTH(B262)-$P$1+1,(YEAR(B262)-$Q$1)*12-$P$1+1+MONTH(B262)))</f>
        <v>4</v>
      </c>
      <c r="Q262" s="330">
        <f t="shared" si="258"/>
        <v>4</v>
      </c>
      <c r="R262" s="331" t="str">
        <f t="shared" si="1"/>
        <v>Gastos_Gerais</v>
      </c>
      <c r="S262" s="331" t="str">
        <f>IF(D262="","",IF(OR(D262=Plano!$A$1,D262=Plano!$B$1),"entrada","saída"))</f>
        <v>saída</v>
      </c>
      <c r="T262" s="332" t="s">
        <v>994</v>
      </c>
      <c r="U262" s="332">
        <v>1467</v>
      </c>
      <c r="V262" s="333"/>
    </row>
    <row r="263" spans="1:22" ht="58.5" customHeight="1" x14ac:dyDescent="0.2">
      <c r="A263" s="277">
        <f>IF(B263="","",COUNT('Diário 5º PA'!$A$5:$A$2634)+ROW()-4)</f>
        <v>1570</v>
      </c>
      <c r="B263" s="278">
        <v>44300</v>
      </c>
      <c r="C263" s="249">
        <v>44287</v>
      </c>
      <c r="D263" s="255" t="s">
        <v>99</v>
      </c>
      <c r="E263" s="255" t="s">
        <v>272</v>
      </c>
      <c r="F263" s="258">
        <v>10.45</v>
      </c>
      <c r="G263" s="255" t="s">
        <v>4261</v>
      </c>
      <c r="H263" s="252" t="s">
        <v>124</v>
      </c>
      <c r="I263" s="250" t="s">
        <v>949</v>
      </c>
      <c r="J263" s="255" t="s">
        <v>950</v>
      </c>
      <c r="K263" s="255" t="s">
        <v>951</v>
      </c>
      <c r="L263" s="250" t="s">
        <v>947</v>
      </c>
      <c r="M263" s="336" t="s">
        <v>114</v>
      </c>
      <c r="N263" s="278">
        <v>44300</v>
      </c>
      <c r="O263" s="329" t="s">
        <v>67</v>
      </c>
      <c r="P263" s="330">
        <f t="shared" ref="P263:Q263" si="259">IF(B263=0,0,IF(YEAR(B263)=$Q$1,MONTH(B263)-$P$1+1,(YEAR(B263)-$Q$1)*12-$P$1+1+MONTH(B263)))</f>
        <v>4</v>
      </c>
      <c r="Q263" s="330">
        <f t="shared" si="259"/>
        <v>4</v>
      </c>
      <c r="R263" s="331" t="str">
        <f t="shared" si="1"/>
        <v>Gastos_Gerais</v>
      </c>
      <c r="S263" s="331" t="str">
        <f>IF(D263="","",IF(OR(D263=Plano!$A$1,D263=Plano!$B$1),"entrada","saída"))</f>
        <v>saída</v>
      </c>
      <c r="T263" s="332" t="s">
        <v>114</v>
      </c>
      <c r="U263" s="332" t="s">
        <v>114</v>
      </c>
      <c r="V263" s="333"/>
    </row>
    <row r="264" spans="1:22" ht="53.25" customHeight="1" x14ac:dyDescent="0.2">
      <c r="A264" s="277">
        <f>IF(B264="","",COUNT('Diário 5º PA'!$A$5:$A$2634)+ROW()-4)</f>
        <v>1571</v>
      </c>
      <c r="B264" s="278">
        <v>44300</v>
      </c>
      <c r="C264" s="249">
        <v>44287</v>
      </c>
      <c r="D264" s="255" t="s">
        <v>99</v>
      </c>
      <c r="E264" s="255" t="s">
        <v>272</v>
      </c>
      <c r="F264" s="258">
        <v>10.45</v>
      </c>
      <c r="G264" s="255" t="s">
        <v>4262</v>
      </c>
      <c r="H264" s="252" t="s">
        <v>118</v>
      </c>
      <c r="I264" s="250" t="s">
        <v>949</v>
      </c>
      <c r="J264" s="255" t="s">
        <v>950</v>
      </c>
      <c r="K264" s="255" t="s">
        <v>951</v>
      </c>
      <c r="L264" s="250" t="s">
        <v>947</v>
      </c>
      <c r="M264" s="336" t="s">
        <v>114</v>
      </c>
      <c r="N264" s="278">
        <v>44300</v>
      </c>
      <c r="O264" s="329" t="s">
        <v>67</v>
      </c>
      <c r="P264" s="330">
        <f t="shared" ref="P264:Q264" si="260">IF(B264=0,0,IF(YEAR(B264)=$Q$1,MONTH(B264)-$P$1+1,(YEAR(B264)-$Q$1)*12-$P$1+1+MONTH(B264)))</f>
        <v>4</v>
      </c>
      <c r="Q264" s="330">
        <f t="shared" si="260"/>
        <v>4</v>
      </c>
      <c r="R264" s="331" t="str">
        <f t="shared" si="1"/>
        <v>Gastos_Gerais</v>
      </c>
      <c r="S264" s="331" t="str">
        <f>IF(D264="","",IF(OR(D264=Plano!$A$1,D264=Plano!$B$1),"entrada","saída"))</f>
        <v>saída</v>
      </c>
      <c r="T264" s="332" t="s">
        <v>114</v>
      </c>
      <c r="U264" s="332" t="s">
        <v>114</v>
      </c>
      <c r="V264" s="333"/>
    </row>
    <row r="265" spans="1:22" ht="57" customHeight="1" x14ac:dyDescent="0.2">
      <c r="A265" s="277">
        <f>IF(B265="","",COUNT('Diário 5º PA'!$A$5:$A$2634)+ROW()-4)</f>
        <v>1572</v>
      </c>
      <c r="B265" s="278">
        <v>44300</v>
      </c>
      <c r="C265" s="249">
        <v>44287</v>
      </c>
      <c r="D265" s="255" t="s">
        <v>99</v>
      </c>
      <c r="E265" s="255" t="s">
        <v>272</v>
      </c>
      <c r="F265" s="258">
        <v>10.45</v>
      </c>
      <c r="G265" s="255" t="s">
        <v>4263</v>
      </c>
      <c r="H265" s="252" t="s">
        <v>132</v>
      </c>
      <c r="I265" s="250" t="s">
        <v>949</v>
      </c>
      <c r="J265" s="255" t="s">
        <v>950</v>
      </c>
      <c r="K265" s="255" t="s">
        <v>951</v>
      </c>
      <c r="L265" s="250" t="s">
        <v>947</v>
      </c>
      <c r="M265" s="336" t="s">
        <v>114</v>
      </c>
      <c r="N265" s="278">
        <v>44300</v>
      </c>
      <c r="O265" s="329" t="s">
        <v>67</v>
      </c>
      <c r="P265" s="330">
        <f t="shared" ref="P265:Q265" si="261">IF(B265=0,0,IF(YEAR(B265)=$Q$1,MONTH(B265)-$P$1+1,(YEAR(B265)-$Q$1)*12-$P$1+1+MONTH(B265)))</f>
        <v>4</v>
      </c>
      <c r="Q265" s="330">
        <f t="shared" si="261"/>
        <v>4</v>
      </c>
      <c r="R265" s="331" t="str">
        <f t="shared" si="1"/>
        <v>Gastos_Gerais</v>
      </c>
      <c r="S265" s="331" t="str">
        <f>IF(D265="","",IF(OR(D265=Plano!$A$1,D265=Plano!$B$1),"entrada","saída"))</f>
        <v>saída</v>
      </c>
      <c r="T265" s="332" t="s">
        <v>114</v>
      </c>
      <c r="U265" s="332" t="s">
        <v>114</v>
      </c>
      <c r="V265" s="333"/>
    </row>
    <row r="266" spans="1:22" ht="95.25" customHeight="1" x14ac:dyDescent="0.2">
      <c r="A266" s="277">
        <f>IF(B266="","",COUNT('Diário 5º PA'!$A$5:$A$2634)+ROW()-4)</f>
        <v>1573</v>
      </c>
      <c r="B266" s="278">
        <v>44300</v>
      </c>
      <c r="C266" s="259">
        <v>44256</v>
      </c>
      <c r="D266" s="252" t="s">
        <v>104</v>
      </c>
      <c r="E266" s="252" t="s">
        <v>104</v>
      </c>
      <c r="F266" s="257">
        <v>2300</v>
      </c>
      <c r="G266" s="252" t="s">
        <v>3680</v>
      </c>
      <c r="H266" s="252" t="s">
        <v>104</v>
      </c>
      <c r="I266" s="252" t="s">
        <v>2609</v>
      </c>
      <c r="J266" s="250" t="s">
        <v>2610</v>
      </c>
      <c r="K266" s="255" t="s">
        <v>1015</v>
      </c>
      <c r="L266" s="250" t="s">
        <v>992</v>
      </c>
      <c r="M266" s="277">
        <v>40</v>
      </c>
      <c r="N266" s="278">
        <v>44291</v>
      </c>
      <c r="O266" s="329" t="s">
        <v>68</v>
      </c>
      <c r="P266" s="330">
        <f t="shared" ref="P266:Q266" si="262">IF(B266=0,0,IF(YEAR(B266)=$Q$1,MONTH(B266)-$P$1+1,(YEAR(B266)-$Q$1)*12-$P$1+1+MONTH(B266)))</f>
        <v>4</v>
      </c>
      <c r="Q266" s="330">
        <f t="shared" si="262"/>
        <v>3</v>
      </c>
      <c r="R266" s="331" t="str">
        <f t="shared" si="1"/>
        <v>Gastos_custeados_por_captação</v>
      </c>
      <c r="S266" s="331" t="str">
        <f>IF(D266="","",IF(OR(D266=Plano!$A$1,D266=Plano!$B$1),"entrada","saída"))</f>
        <v>saída</v>
      </c>
      <c r="T266" s="332" t="s">
        <v>994</v>
      </c>
      <c r="U266" s="332">
        <v>1231</v>
      </c>
      <c r="V266" s="333"/>
    </row>
    <row r="267" spans="1:22" ht="71.25" customHeight="1" x14ac:dyDescent="0.2">
      <c r="A267" s="277">
        <f>IF(B267="","",COUNT('Diário 5º PA'!$A$5:$A$2634)+ROW()-4)</f>
        <v>1574</v>
      </c>
      <c r="B267" s="278">
        <v>44301</v>
      </c>
      <c r="C267" s="256">
        <v>44228</v>
      </c>
      <c r="D267" s="255" t="s">
        <v>88</v>
      </c>
      <c r="E267" s="255" t="s">
        <v>90</v>
      </c>
      <c r="F267" s="258">
        <v>-232.58</v>
      </c>
      <c r="G267" s="255" t="s">
        <v>3919</v>
      </c>
      <c r="H267" s="255" t="s">
        <v>114</v>
      </c>
      <c r="I267" s="250" t="s">
        <v>983</v>
      </c>
      <c r="J267" s="255" t="s">
        <v>850</v>
      </c>
      <c r="K267" s="255" t="s">
        <v>946</v>
      </c>
      <c r="L267" s="250" t="s">
        <v>947</v>
      </c>
      <c r="M267" s="277" t="s">
        <v>114</v>
      </c>
      <c r="N267" s="278">
        <v>44301</v>
      </c>
      <c r="O267" s="329" t="s">
        <v>67</v>
      </c>
      <c r="P267" s="330">
        <f t="shared" ref="P267:Q267" si="263">IF(B267=0,0,IF(YEAR(B267)=$Q$1,MONTH(B267)-$P$1+1,(YEAR(B267)-$Q$1)*12-$P$1+1+MONTH(B267)))</f>
        <v>4</v>
      </c>
      <c r="Q267" s="330">
        <f t="shared" si="263"/>
        <v>2</v>
      </c>
      <c r="R267" s="331" t="str">
        <f t="shared" si="1"/>
        <v>Gastos_com_Pessoal</v>
      </c>
      <c r="S267" s="331" t="str">
        <f>IF(D267="","",IF(OR(D267=Plano!$A$1,D267=Plano!$B$1),"entrada","saída"))</f>
        <v>saída</v>
      </c>
      <c r="T267" s="332" t="s">
        <v>114</v>
      </c>
      <c r="U267" s="332" t="s">
        <v>114</v>
      </c>
      <c r="V267" s="333"/>
    </row>
    <row r="268" spans="1:22" ht="55.5" customHeight="1" x14ac:dyDescent="0.2">
      <c r="A268" s="277">
        <f>IF(B268="","",COUNT('Diário 5º PA'!$A$5:$A$2634)+ROW()-4)</f>
        <v>1575</v>
      </c>
      <c r="B268" s="278">
        <v>44301</v>
      </c>
      <c r="C268" s="256">
        <v>44287</v>
      </c>
      <c r="D268" s="255" t="s">
        <v>88</v>
      </c>
      <c r="E268" s="255" t="s">
        <v>196</v>
      </c>
      <c r="F268" s="258">
        <v>-361.16</v>
      </c>
      <c r="G268" s="255" t="s">
        <v>3011</v>
      </c>
      <c r="H268" s="255" t="s">
        <v>114</v>
      </c>
      <c r="I268" s="250" t="s">
        <v>983</v>
      </c>
      <c r="J268" s="255" t="s">
        <v>850</v>
      </c>
      <c r="K268" s="255" t="s">
        <v>946</v>
      </c>
      <c r="L268" s="250" t="s">
        <v>947</v>
      </c>
      <c r="M268" s="277" t="s">
        <v>114</v>
      </c>
      <c r="N268" s="278">
        <v>44301</v>
      </c>
      <c r="O268" s="329" t="s">
        <v>67</v>
      </c>
      <c r="P268" s="330">
        <f t="shared" ref="P268:Q268" si="264">IF(B268=0,0,IF(YEAR(B268)=$Q$1,MONTH(B268)-$P$1+1,(YEAR(B268)-$Q$1)*12-$P$1+1+MONTH(B268)))</f>
        <v>4</v>
      </c>
      <c r="Q268" s="330">
        <f t="shared" si="264"/>
        <v>4</v>
      </c>
      <c r="R268" s="331" t="str">
        <f t="shared" si="1"/>
        <v>Gastos_com_Pessoal</v>
      </c>
      <c r="S268" s="331" t="str">
        <f>IF(D268="","",IF(OR(D268=Plano!$A$1,D268=Plano!$B$1),"entrada","saída"))</f>
        <v>saída</v>
      </c>
      <c r="T268" s="332" t="s">
        <v>114</v>
      </c>
      <c r="U268" s="332" t="s">
        <v>114</v>
      </c>
      <c r="V268" s="333"/>
    </row>
    <row r="269" spans="1:22" ht="63" customHeight="1" x14ac:dyDescent="0.2">
      <c r="A269" s="277">
        <f>IF(B269="","",COUNT('Diário 5º PA'!$A$5:$A$2634)+ROW()-4)</f>
        <v>1576</v>
      </c>
      <c r="B269" s="278">
        <v>44301</v>
      </c>
      <c r="C269" s="256">
        <v>44287</v>
      </c>
      <c r="D269" s="255" t="s">
        <v>88</v>
      </c>
      <c r="E269" s="255" t="s">
        <v>196</v>
      </c>
      <c r="F269" s="258">
        <v>-592.32000000000005</v>
      </c>
      <c r="G269" s="252" t="s">
        <v>1418</v>
      </c>
      <c r="H269" s="255" t="s">
        <v>114</v>
      </c>
      <c r="I269" s="250" t="s">
        <v>983</v>
      </c>
      <c r="J269" s="255" t="s">
        <v>850</v>
      </c>
      <c r="K269" s="255" t="s">
        <v>946</v>
      </c>
      <c r="L269" s="250" t="s">
        <v>947</v>
      </c>
      <c r="M269" s="349" t="s">
        <v>114</v>
      </c>
      <c r="N269" s="278">
        <v>44301</v>
      </c>
      <c r="O269" s="329" t="s">
        <v>67</v>
      </c>
      <c r="P269" s="330">
        <f t="shared" ref="P269:Q269" si="265">IF(B269=0,0,IF(YEAR(B269)=$Q$1,MONTH(B269)-$P$1+1,(YEAR(B269)-$Q$1)*12-$P$1+1+MONTH(B269)))</f>
        <v>4</v>
      </c>
      <c r="Q269" s="330">
        <f t="shared" si="265"/>
        <v>4</v>
      </c>
      <c r="R269" s="331" t="str">
        <f t="shared" si="1"/>
        <v>Gastos_com_Pessoal</v>
      </c>
      <c r="S269" s="331" t="str">
        <f>IF(D269="","",IF(OR(D269=Plano!$A$1,D269=Plano!$B$1),"entrada","saída"))</f>
        <v>saída</v>
      </c>
      <c r="T269" s="332" t="s">
        <v>114</v>
      </c>
      <c r="U269" s="332" t="s">
        <v>114</v>
      </c>
      <c r="V269" s="333"/>
    </row>
    <row r="270" spans="1:22" ht="66.75" customHeight="1" x14ac:dyDescent="0.2">
      <c r="A270" s="277">
        <f>IF(B270="","",COUNT('Diário 5º PA'!$A$5:$A$2634)+ROW()-4)</f>
        <v>1577</v>
      </c>
      <c r="B270" s="278">
        <v>44301</v>
      </c>
      <c r="C270" s="256">
        <v>44287</v>
      </c>
      <c r="D270" s="255" t="s">
        <v>88</v>
      </c>
      <c r="E270" s="255" t="s">
        <v>196</v>
      </c>
      <c r="F270" s="258">
        <v>-1899.31</v>
      </c>
      <c r="G270" s="250" t="s">
        <v>1419</v>
      </c>
      <c r="H270" s="255" t="s">
        <v>114</v>
      </c>
      <c r="I270" s="250" t="s">
        <v>983</v>
      </c>
      <c r="J270" s="255" t="s">
        <v>850</v>
      </c>
      <c r="K270" s="255" t="s">
        <v>946</v>
      </c>
      <c r="L270" s="250" t="s">
        <v>947</v>
      </c>
      <c r="M270" s="277" t="s">
        <v>114</v>
      </c>
      <c r="N270" s="278">
        <v>44301</v>
      </c>
      <c r="O270" s="329" t="s">
        <v>67</v>
      </c>
      <c r="P270" s="330">
        <f t="shared" ref="P270:Q270" si="266">IF(B270=0,0,IF(YEAR(B270)=$Q$1,MONTH(B270)-$P$1+1,(YEAR(B270)-$Q$1)*12-$P$1+1+MONTH(B270)))</f>
        <v>4</v>
      </c>
      <c r="Q270" s="330">
        <f t="shared" si="266"/>
        <v>4</v>
      </c>
      <c r="R270" s="331" t="str">
        <f t="shared" si="1"/>
        <v>Gastos_com_Pessoal</v>
      </c>
      <c r="S270" s="331" t="str">
        <f>IF(D270="","",IF(OR(D270=Plano!$A$1,D270=Plano!$B$1),"entrada","saída"))</f>
        <v>saída</v>
      </c>
      <c r="T270" s="332" t="s">
        <v>114</v>
      </c>
      <c r="U270" s="332" t="s">
        <v>114</v>
      </c>
      <c r="V270" s="333"/>
    </row>
    <row r="271" spans="1:22" ht="77.25" customHeight="1" x14ac:dyDescent="0.2">
      <c r="A271" s="277">
        <f>IF(B271="","",COUNT('Diário 5º PA'!$A$5:$A$2634)+ROW()-4)</f>
        <v>1578</v>
      </c>
      <c r="B271" s="278">
        <v>44301</v>
      </c>
      <c r="C271" s="256">
        <v>44228</v>
      </c>
      <c r="D271" s="255" t="s">
        <v>88</v>
      </c>
      <c r="E271" s="255" t="s">
        <v>90</v>
      </c>
      <c r="F271" s="258">
        <v>-30.31</v>
      </c>
      <c r="G271" s="250" t="s">
        <v>1420</v>
      </c>
      <c r="H271" s="255" t="s">
        <v>114</v>
      </c>
      <c r="I271" s="250" t="s">
        <v>983</v>
      </c>
      <c r="J271" s="255" t="s">
        <v>850</v>
      </c>
      <c r="K271" s="255" t="s">
        <v>946</v>
      </c>
      <c r="L271" s="250" t="s">
        <v>947</v>
      </c>
      <c r="M271" s="277" t="s">
        <v>114</v>
      </c>
      <c r="N271" s="278">
        <v>44301</v>
      </c>
      <c r="O271" s="329" t="s">
        <v>67</v>
      </c>
      <c r="P271" s="330">
        <f t="shared" ref="P271:Q271" si="267">IF(B271=0,0,IF(YEAR(B271)=$Q$1,MONTH(B271)-$P$1+1,(YEAR(B271)-$Q$1)*12-$P$1+1+MONTH(B271)))</f>
        <v>4</v>
      </c>
      <c r="Q271" s="330">
        <f t="shared" si="267"/>
        <v>2</v>
      </c>
      <c r="R271" s="331" t="str">
        <f t="shared" si="1"/>
        <v>Gastos_com_Pessoal</v>
      </c>
      <c r="S271" s="331" t="str">
        <f>IF(D271="","",IF(OR(D271=Plano!$A$1,D271=Plano!$B$1),"entrada","saída"))</f>
        <v>saída</v>
      </c>
      <c r="T271" s="332" t="s">
        <v>114</v>
      </c>
      <c r="U271" s="332" t="s">
        <v>114</v>
      </c>
      <c r="V271" s="333"/>
    </row>
    <row r="272" spans="1:22" ht="78" customHeight="1" x14ac:dyDescent="0.2">
      <c r="A272" s="277">
        <f>IF(B272="","",COUNT('Diário 5º PA'!$A$5:$A$2634)+ROW()-4)</f>
        <v>1579</v>
      </c>
      <c r="B272" s="278">
        <v>44301</v>
      </c>
      <c r="C272" s="249">
        <v>44256</v>
      </c>
      <c r="D272" s="255" t="s">
        <v>99</v>
      </c>
      <c r="E272" s="255" t="s">
        <v>312</v>
      </c>
      <c r="F272" s="258">
        <v>156.87</v>
      </c>
      <c r="G272" s="255" t="s">
        <v>439</v>
      </c>
      <c r="H272" s="255" t="s">
        <v>115</v>
      </c>
      <c r="I272" s="252" t="s">
        <v>1421</v>
      </c>
      <c r="J272" s="252" t="s">
        <v>441</v>
      </c>
      <c r="K272" s="255" t="s">
        <v>560</v>
      </c>
      <c r="L272" s="250" t="s">
        <v>1016</v>
      </c>
      <c r="M272" s="277">
        <v>3060841</v>
      </c>
      <c r="N272" s="278">
        <v>44287</v>
      </c>
      <c r="O272" s="329" t="s">
        <v>67</v>
      </c>
      <c r="P272" s="330">
        <f t="shared" ref="P272:Q272" si="268">IF(B272=0,0,IF(YEAR(B272)=$Q$1,MONTH(B272)-$P$1+1,(YEAR(B272)-$Q$1)*12-$P$1+1+MONTH(B272)))</f>
        <v>4</v>
      </c>
      <c r="Q272" s="330">
        <f t="shared" si="268"/>
        <v>3</v>
      </c>
      <c r="R272" s="331" t="str">
        <f t="shared" si="1"/>
        <v>Gastos_Gerais</v>
      </c>
      <c r="S272" s="331" t="str">
        <f>IF(D272="","",IF(OR(D272=Plano!$A$1,D272=Plano!$B$1),"entrada","saída"))</f>
        <v>saída</v>
      </c>
      <c r="T272" s="332" t="s">
        <v>1059</v>
      </c>
      <c r="U272" s="332">
        <v>1142</v>
      </c>
      <c r="V272" s="333"/>
    </row>
    <row r="273" spans="1:22" ht="122.25" customHeight="1" x14ac:dyDescent="0.2">
      <c r="A273" s="277">
        <f>IF(B273="","",COUNT('Diário 5º PA'!$A$5:$A$2634)+ROW()-4)</f>
        <v>1580</v>
      </c>
      <c r="B273" s="278">
        <v>44301</v>
      </c>
      <c r="C273" s="249">
        <v>44287</v>
      </c>
      <c r="D273" s="255" t="s">
        <v>88</v>
      </c>
      <c r="E273" s="255" t="s">
        <v>196</v>
      </c>
      <c r="F273" s="258">
        <v>9399.98</v>
      </c>
      <c r="G273" s="255" t="s">
        <v>541</v>
      </c>
      <c r="H273" s="255" t="s">
        <v>114</v>
      </c>
      <c r="I273" s="252" t="s">
        <v>542</v>
      </c>
      <c r="J273" s="252" t="s">
        <v>543</v>
      </c>
      <c r="K273" s="255" t="s">
        <v>560</v>
      </c>
      <c r="L273" s="250" t="s">
        <v>1016</v>
      </c>
      <c r="M273" s="277" t="s">
        <v>4264</v>
      </c>
      <c r="N273" s="278">
        <v>44259</v>
      </c>
      <c r="O273" s="329" t="s">
        <v>67</v>
      </c>
      <c r="P273" s="330">
        <f t="shared" ref="P273:Q273" si="269">IF(B273=0,0,IF(YEAR(B273)=$Q$1,MONTH(B273)-$P$1+1,(YEAR(B273)-$Q$1)*12-$P$1+1+MONTH(B273)))</f>
        <v>4</v>
      </c>
      <c r="Q273" s="330">
        <f t="shared" si="269"/>
        <v>4</v>
      </c>
      <c r="R273" s="331" t="str">
        <f t="shared" si="1"/>
        <v>Gastos_com_Pessoal</v>
      </c>
      <c r="S273" s="331" t="str">
        <f>IF(D273="","",IF(OR(D273=Plano!$A$1,D273=Plano!$B$1),"entrada","saída"))</f>
        <v>saída</v>
      </c>
      <c r="T273" s="332" t="s">
        <v>1059</v>
      </c>
      <c r="U273" s="332">
        <v>284</v>
      </c>
      <c r="V273" s="333"/>
    </row>
    <row r="274" spans="1:22" ht="146.25" customHeight="1" x14ac:dyDescent="0.2">
      <c r="A274" s="277">
        <f>IF(B274="","",COUNT('Diário 5º PA'!$A$5:$A$2634)+ROW()-4)</f>
        <v>1581</v>
      </c>
      <c r="B274" s="278">
        <v>44301</v>
      </c>
      <c r="C274" s="249">
        <v>44228</v>
      </c>
      <c r="D274" s="255" t="s">
        <v>88</v>
      </c>
      <c r="E274" s="255" t="s">
        <v>90</v>
      </c>
      <c r="F274" s="258">
        <v>792.59</v>
      </c>
      <c r="G274" s="255" t="s">
        <v>1423</v>
      </c>
      <c r="H274" s="255" t="s">
        <v>114</v>
      </c>
      <c r="I274" s="252" t="s">
        <v>542</v>
      </c>
      <c r="J274" s="252" t="s">
        <v>543</v>
      </c>
      <c r="K274" s="255" t="s">
        <v>560</v>
      </c>
      <c r="L274" s="250" t="s">
        <v>1016</v>
      </c>
      <c r="M274" s="277" t="s">
        <v>4265</v>
      </c>
      <c r="N274" s="278">
        <v>44257</v>
      </c>
      <c r="O274" s="329" t="s">
        <v>67</v>
      </c>
      <c r="P274" s="330">
        <f t="shared" ref="P274:Q274" si="270">IF(B274=0,0,IF(YEAR(B274)=$Q$1,MONTH(B274)-$P$1+1,(YEAR(B274)-$Q$1)*12-$P$1+1+MONTH(B274)))</f>
        <v>4</v>
      </c>
      <c r="Q274" s="330">
        <f t="shared" si="270"/>
        <v>2</v>
      </c>
      <c r="R274" s="331" t="str">
        <f t="shared" si="1"/>
        <v>Gastos_com_Pessoal</v>
      </c>
      <c r="S274" s="331" t="str">
        <f>IF(D274="","",IF(OR(D274=Plano!$A$1,D274=Plano!$B$1),"entrada","saída"))</f>
        <v>saída</v>
      </c>
      <c r="T274" s="332" t="s">
        <v>1059</v>
      </c>
      <c r="U274" s="332">
        <v>284</v>
      </c>
      <c r="V274" s="333"/>
    </row>
    <row r="275" spans="1:22" ht="192.75" customHeight="1" x14ac:dyDescent="0.2">
      <c r="A275" s="277">
        <f>IF(B275="","",COUNT('Diário 5º PA'!$A$5:$A$2634)+ROW()-4)</f>
        <v>1582</v>
      </c>
      <c r="B275" s="278">
        <v>44301</v>
      </c>
      <c r="C275" s="259">
        <v>44228</v>
      </c>
      <c r="D275" s="252" t="s">
        <v>99</v>
      </c>
      <c r="E275" s="252" t="s">
        <v>358</v>
      </c>
      <c r="F275" s="257">
        <v>484.85</v>
      </c>
      <c r="G275" s="252" t="s">
        <v>4266</v>
      </c>
      <c r="H275" s="252" t="s">
        <v>116</v>
      </c>
      <c r="I275" s="252" t="s">
        <v>4267</v>
      </c>
      <c r="J275" s="250" t="s">
        <v>4268</v>
      </c>
      <c r="K275" s="255" t="s">
        <v>991</v>
      </c>
      <c r="L275" s="250" t="s">
        <v>992</v>
      </c>
      <c r="M275" s="277">
        <v>126</v>
      </c>
      <c r="N275" s="278">
        <v>44301</v>
      </c>
      <c r="O275" s="329" t="s">
        <v>67</v>
      </c>
      <c r="P275" s="330">
        <f t="shared" ref="P275:Q275" si="271">IF(B275=0,0,IF(YEAR(B275)=$Q$1,MONTH(B275)-$P$1+1,(YEAR(B275)-$Q$1)*12-$P$1+1+MONTH(B275)))</f>
        <v>4</v>
      </c>
      <c r="Q275" s="330">
        <f t="shared" si="271"/>
        <v>2</v>
      </c>
      <c r="R275" s="331" t="str">
        <f t="shared" si="1"/>
        <v>Gastos_Gerais</v>
      </c>
      <c r="S275" s="331" t="str">
        <f>IF(D275="","",IF(OR(D275=Plano!$A$1,D275=Plano!$B$1),"entrada","saída"))</f>
        <v>saída</v>
      </c>
      <c r="T275" s="332" t="s">
        <v>994</v>
      </c>
      <c r="U275" s="332">
        <v>776</v>
      </c>
      <c r="V275" s="333"/>
    </row>
    <row r="276" spans="1:22" ht="57" customHeight="1" x14ac:dyDescent="0.2">
      <c r="A276" s="277">
        <f>IF(B276="","",COUNT('Diário 5º PA'!$A$5:$A$2634)+ROW()-4)</f>
        <v>1583</v>
      </c>
      <c r="B276" s="278">
        <v>44301</v>
      </c>
      <c r="C276" s="249">
        <v>44287</v>
      </c>
      <c r="D276" s="255" t="s">
        <v>99</v>
      </c>
      <c r="E276" s="255" t="s">
        <v>272</v>
      </c>
      <c r="F276" s="258">
        <v>10.45</v>
      </c>
      <c r="G276" s="255" t="s">
        <v>4269</v>
      </c>
      <c r="H276" s="252" t="s">
        <v>116</v>
      </c>
      <c r="I276" s="250" t="s">
        <v>949</v>
      </c>
      <c r="J276" s="255" t="s">
        <v>950</v>
      </c>
      <c r="K276" s="255" t="s">
        <v>951</v>
      </c>
      <c r="L276" s="250" t="s">
        <v>947</v>
      </c>
      <c r="M276" s="336" t="s">
        <v>114</v>
      </c>
      <c r="N276" s="278">
        <v>44301</v>
      </c>
      <c r="O276" s="329" t="s">
        <v>67</v>
      </c>
      <c r="P276" s="330">
        <f t="shared" ref="P276:Q276" si="272">IF(B276=0,0,IF(YEAR(B276)=$Q$1,MONTH(B276)-$P$1+1,(YEAR(B276)-$Q$1)*12-$P$1+1+MONTH(B276)))</f>
        <v>4</v>
      </c>
      <c r="Q276" s="330">
        <f t="shared" si="272"/>
        <v>4</v>
      </c>
      <c r="R276" s="331" t="str">
        <f t="shared" si="1"/>
        <v>Gastos_Gerais</v>
      </c>
      <c r="S276" s="331" t="str">
        <f>IF(D276="","",IF(OR(D276=Plano!$A$1,D276=Plano!$B$1),"entrada","saída"))</f>
        <v>saída</v>
      </c>
      <c r="T276" s="332" t="s">
        <v>114</v>
      </c>
      <c r="U276" s="332" t="s">
        <v>114</v>
      </c>
      <c r="V276" s="333"/>
    </row>
    <row r="277" spans="1:22" ht="211.5" customHeight="1" x14ac:dyDescent="0.2">
      <c r="A277" s="277">
        <f>IF(B277="","",COUNT('Diário 5º PA'!$A$5:$A$2634)+ROW()-4)</f>
        <v>1584</v>
      </c>
      <c r="B277" s="278">
        <v>44302</v>
      </c>
      <c r="C277" s="259">
        <v>44287</v>
      </c>
      <c r="D277" s="252" t="s">
        <v>99</v>
      </c>
      <c r="E277" s="252" t="s">
        <v>364</v>
      </c>
      <c r="F277" s="257">
        <v>3216.12</v>
      </c>
      <c r="G277" s="252" t="s">
        <v>4270</v>
      </c>
      <c r="H277" s="252" t="s">
        <v>131</v>
      </c>
      <c r="I277" s="252" t="s">
        <v>4271</v>
      </c>
      <c r="J277" s="250" t="s">
        <v>4272</v>
      </c>
      <c r="K277" s="255" t="s">
        <v>1015</v>
      </c>
      <c r="L277" s="250" t="s">
        <v>1029</v>
      </c>
      <c r="M277" s="277">
        <v>1130</v>
      </c>
      <c r="N277" s="278">
        <v>44302</v>
      </c>
      <c r="O277" s="329" t="s">
        <v>67</v>
      </c>
      <c r="P277" s="330">
        <f t="shared" ref="P277:Q277" si="273">IF(B277=0,0,IF(YEAR(B277)=$Q$1,MONTH(B277)-$P$1+1,(YEAR(B277)-$Q$1)*12-$P$1+1+MONTH(B277)))</f>
        <v>4</v>
      </c>
      <c r="Q277" s="330">
        <f t="shared" si="273"/>
        <v>4</v>
      </c>
      <c r="R277" s="331" t="str">
        <f t="shared" si="1"/>
        <v>Gastos_Gerais</v>
      </c>
      <c r="S277" s="331" t="str">
        <f>IF(D277="","",IF(OR(D277=Plano!$A$1,D277=Plano!$B$1),"entrada","saída"))</f>
        <v>saída</v>
      </c>
      <c r="T277" s="332" t="s">
        <v>1082</v>
      </c>
      <c r="U277" s="332">
        <v>1450</v>
      </c>
      <c r="V277" s="333"/>
    </row>
    <row r="278" spans="1:22" ht="166.5" customHeight="1" x14ac:dyDescent="0.2">
      <c r="A278" s="277">
        <f>IF(B278="","",COUNT('Diário 5º PA'!$A$5:$A$2634)+ROW()-4)</f>
        <v>1585</v>
      </c>
      <c r="B278" s="278">
        <v>44302</v>
      </c>
      <c r="C278" s="259">
        <v>44256</v>
      </c>
      <c r="D278" s="252" t="s">
        <v>99</v>
      </c>
      <c r="E278" s="252" t="s">
        <v>330</v>
      </c>
      <c r="F278" s="257">
        <v>184.54</v>
      </c>
      <c r="G278" s="252" t="s">
        <v>554</v>
      </c>
      <c r="H278" s="252" t="s">
        <v>128</v>
      </c>
      <c r="I278" s="252" t="s">
        <v>1430</v>
      </c>
      <c r="J278" s="250" t="s">
        <v>556</v>
      </c>
      <c r="K278" s="255" t="s">
        <v>1015</v>
      </c>
      <c r="L278" s="250" t="s">
        <v>1177</v>
      </c>
      <c r="M278" s="277" t="s">
        <v>114</v>
      </c>
      <c r="N278" s="278">
        <v>44302</v>
      </c>
      <c r="O278" s="329" t="s">
        <v>67</v>
      </c>
      <c r="P278" s="330">
        <f t="shared" ref="P278:Q278" si="274">IF(B278=0,0,IF(YEAR(B278)=$Q$1,MONTH(B278)-$P$1+1,(YEAR(B278)-$Q$1)*12-$P$1+1+MONTH(B278)))</f>
        <v>4</v>
      </c>
      <c r="Q278" s="330">
        <f t="shared" si="274"/>
        <v>3</v>
      </c>
      <c r="R278" s="331" t="str">
        <f t="shared" si="1"/>
        <v>Gastos_Gerais</v>
      </c>
      <c r="S278" s="331" t="str">
        <f>IF(D278="","",IF(OR(D278=Plano!$A$1,D278=Plano!$B$1),"entrada","saída"))</f>
        <v>saída</v>
      </c>
      <c r="T278" s="332" t="s">
        <v>1059</v>
      </c>
      <c r="U278" s="332">
        <v>1336</v>
      </c>
      <c r="V278" s="333"/>
    </row>
    <row r="279" spans="1:22" ht="75" customHeight="1" x14ac:dyDescent="0.2">
      <c r="A279" s="277">
        <f>IF(B279="","",COUNT('Diário 5º PA'!$A$5:$A$2634)+ROW()-4)</f>
        <v>1586</v>
      </c>
      <c r="B279" s="278">
        <v>44302</v>
      </c>
      <c r="C279" s="259">
        <v>44256</v>
      </c>
      <c r="D279" s="252" t="s">
        <v>104</v>
      </c>
      <c r="E279" s="252" t="s">
        <v>104</v>
      </c>
      <c r="F279" s="257">
        <v>16954</v>
      </c>
      <c r="G279" s="252" t="s">
        <v>4273</v>
      </c>
      <c r="H279" s="252" t="s">
        <v>104</v>
      </c>
      <c r="I279" s="252" t="s">
        <v>4274</v>
      </c>
      <c r="J279" s="250" t="s">
        <v>4275</v>
      </c>
      <c r="K279" s="255" t="s">
        <v>1015</v>
      </c>
      <c r="L279" s="250" t="s">
        <v>1016</v>
      </c>
      <c r="M279" s="277" t="s">
        <v>1049</v>
      </c>
      <c r="N279" s="278">
        <v>44302</v>
      </c>
      <c r="O279" s="329" t="s">
        <v>69</v>
      </c>
      <c r="P279" s="330">
        <f t="shared" ref="P279:Q279" si="275">IF(B279=0,0,IF(YEAR(B279)=$Q$1,MONTH(B279)-$P$1+1,(YEAR(B279)-$Q$1)*12-$P$1+1+MONTH(B279)))</f>
        <v>4</v>
      </c>
      <c r="Q279" s="330">
        <f t="shared" si="275"/>
        <v>3</v>
      </c>
      <c r="R279" s="331" t="str">
        <f t="shared" si="1"/>
        <v>Gastos_custeados_por_captação</v>
      </c>
      <c r="S279" s="331" t="str">
        <f>IF(D279="","",IF(OR(D279=Plano!$A$1,D279=Plano!$B$1),"entrada","saída"))</f>
        <v>saída</v>
      </c>
      <c r="T279" s="332" t="s">
        <v>994</v>
      </c>
      <c r="U279" s="332">
        <v>1314</v>
      </c>
      <c r="V279" s="333"/>
    </row>
    <row r="280" spans="1:22" ht="91.5" customHeight="1" x14ac:dyDescent="0.2">
      <c r="A280" s="277">
        <f>IF(B280="","",COUNT('Diário 5º PA'!$A$5:$A$2634)+ROW()-4)</f>
        <v>1587</v>
      </c>
      <c r="B280" s="278">
        <v>44305</v>
      </c>
      <c r="C280" s="256">
        <v>44256</v>
      </c>
      <c r="D280" s="255" t="s">
        <v>99</v>
      </c>
      <c r="E280" s="255" t="s">
        <v>230</v>
      </c>
      <c r="F280" s="257">
        <v>-1741.71</v>
      </c>
      <c r="G280" s="252" t="s">
        <v>4276</v>
      </c>
      <c r="H280" s="255" t="s">
        <v>115</v>
      </c>
      <c r="I280" s="250" t="s">
        <v>983</v>
      </c>
      <c r="J280" s="255" t="s">
        <v>850</v>
      </c>
      <c r="K280" s="255" t="s">
        <v>1069</v>
      </c>
      <c r="L280" s="250" t="s">
        <v>947</v>
      </c>
      <c r="M280" s="277" t="s">
        <v>114</v>
      </c>
      <c r="N280" s="278">
        <v>44305</v>
      </c>
      <c r="O280" s="329" t="s">
        <v>67</v>
      </c>
      <c r="P280" s="330">
        <f t="shared" ref="P280:Q280" si="276">IF(B280=0,0,IF(YEAR(B280)=$Q$1,MONTH(B280)-$P$1+1,(YEAR(B280)-$Q$1)*12-$P$1+1+MONTH(B280)))</f>
        <v>4</v>
      </c>
      <c r="Q280" s="330">
        <f t="shared" si="276"/>
        <v>3</v>
      </c>
      <c r="R280" s="331" t="str">
        <f t="shared" si="1"/>
        <v>Gastos_Gerais</v>
      </c>
      <c r="S280" s="331" t="str">
        <f>IF(D280="","",IF(OR(D280=Plano!$A$1,D280=Plano!$B$1),"entrada","saída"))</f>
        <v>saída</v>
      </c>
      <c r="T280" s="332" t="s">
        <v>114</v>
      </c>
      <c r="U280" s="332" t="s">
        <v>114</v>
      </c>
      <c r="V280" s="333"/>
    </row>
    <row r="281" spans="1:22" ht="56.25" customHeight="1" x14ac:dyDescent="0.2">
      <c r="A281" s="277">
        <f>IF(B281="","",COUNT('Diário 5º PA'!$A$5:$A$2634)+ROW()-4)</f>
        <v>1588</v>
      </c>
      <c r="B281" s="278">
        <v>44305</v>
      </c>
      <c r="C281" s="256">
        <v>44256</v>
      </c>
      <c r="D281" s="255" t="s">
        <v>99</v>
      </c>
      <c r="E281" s="255" t="s">
        <v>222</v>
      </c>
      <c r="F281" s="258">
        <v>-153.16</v>
      </c>
      <c r="G281" s="255" t="s">
        <v>4277</v>
      </c>
      <c r="H281" s="255" t="s">
        <v>115</v>
      </c>
      <c r="I281" s="250" t="s">
        <v>983</v>
      </c>
      <c r="J281" s="255" t="s">
        <v>850</v>
      </c>
      <c r="K281" s="255" t="s">
        <v>946</v>
      </c>
      <c r="L281" s="250" t="s">
        <v>947</v>
      </c>
      <c r="M281" s="277" t="s">
        <v>114</v>
      </c>
      <c r="N281" s="278">
        <v>44305</v>
      </c>
      <c r="O281" s="329" t="s">
        <v>67</v>
      </c>
      <c r="P281" s="330">
        <f t="shared" ref="P281:Q281" si="277">IF(B281=0,0,IF(YEAR(B281)=$Q$1,MONTH(B281)-$P$1+1,(YEAR(B281)-$Q$1)*12-$P$1+1+MONTH(B281)))</f>
        <v>4</v>
      </c>
      <c r="Q281" s="330">
        <f t="shared" si="277"/>
        <v>3</v>
      </c>
      <c r="R281" s="331" t="str">
        <f t="shared" si="1"/>
        <v>Gastos_Gerais</v>
      </c>
      <c r="S281" s="331" t="str">
        <f>IF(D281="","",IF(OR(D281=Plano!$A$1,D281=Plano!$B$1),"entrada","saída"))</f>
        <v>saída</v>
      </c>
      <c r="T281" s="332" t="s">
        <v>114</v>
      </c>
      <c r="U281" s="332" t="s">
        <v>114</v>
      </c>
      <c r="V281" s="333"/>
    </row>
    <row r="282" spans="1:22" ht="54.75" customHeight="1" x14ac:dyDescent="0.2">
      <c r="A282" s="277">
        <f>IF(B282="","",COUNT('Diário 5º PA'!$A$5:$A$2634)+ROW()-4)</f>
        <v>1589</v>
      </c>
      <c r="B282" s="278">
        <v>44305</v>
      </c>
      <c r="C282" s="256">
        <v>44256</v>
      </c>
      <c r="D282" s="255" t="s">
        <v>99</v>
      </c>
      <c r="E282" s="255" t="s">
        <v>218</v>
      </c>
      <c r="F282" s="258">
        <v>-64.88</v>
      </c>
      <c r="G282" s="255" t="s">
        <v>4278</v>
      </c>
      <c r="H282" s="255" t="s">
        <v>115</v>
      </c>
      <c r="I282" s="250" t="s">
        <v>983</v>
      </c>
      <c r="J282" s="255" t="s">
        <v>850</v>
      </c>
      <c r="K282" s="255" t="s">
        <v>946</v>
      </c>
      <c r="L282" s="250" t="s">
        <v>947</v>
      </c>
      <c r="M282" s="349" t="s">
        <v>114</v>
      </c>
      <c r="N282" s="278">
        <v>44305</v>
      </c>
      <c r="O282" s="329" t="s">
        <v>67</v>
      </c>
      <c r="P282" s="330">
        <f t="shared" ref="P282:Q282" si="278">IF(B282=0,0,IF(YEAR(B282)=$Q$1,MONTH(B282)-$P$1+1,(YEAR(B282)-$Q$1)*12-$P$1+1+MONTH(B282)))</f>
        <v>4</v>
      </c>
      <c r="Q282" s="330">
        <f t="shared" si="278"/>
        <v>3</v>
      </c>
      <c r="R282" s="331" t="str">
        <f t="shared" si="1"/>
        <v>Gastos_Gerais</v>
      </c>
      <c r="S282" s="331" t="str">
        <f>IF(D282="","",IF(OR(D282=Plano!$A$1,D282=Plano!$B$1),"entrada","saída"))</f>
        <v>saída</v>
      </c>
      <c r="T282" s="332" t="s">
        <v>114</v>
      </c>
      <c r="U282" s="332" t="s">
        <v>114</v>
      </c>
      <c r="V282" s="333"/>
    </row>
    <row r="283" spans="1:22" ht="58.5" customHeight="1" x14ac:dyDescent="0.2">
      <c r="A283" s="277">
        <f>IF(B283="","",COUNT('Diário 5º PA'!$A$5:$A$2634)+ROW()-4)</f>
        <v>1590</v>
      </c>
      <c r="B283" s="278">
        <v>44305</v>
      </c>
      <c r="C283" s="256">
        <v>44256</v>
      </c>
      <c r="D283" s="255" t="s">
        <v>99</v>
      </c>
      <c r="E283" s="255" t="s">
        <v>216</v>
      </c>
      <c r="F283" s="258">
        <v>-89.241</v>
      </c>
      <c r="G283" s="255" t="s">
        <v>4279</v>
      </c>
      <c r="H283" s="255" t="s">
        <v>115</v>
      </c>
      <c r="I283" s="250" t="s">
        <v>983</v>
      </c>
      <c r="J283" s="255" t="s">
        <v>850</v>
      </c>
      <c r="K283" s="255" t="s">
        <v>946</v>
      </c>
      <c r="L283" s="250" t="s">
        <v>947</v>
      </c>
      <c r="M283" s="277" t="s">
        <v>114</v>
      </c>
      <c r="N283" s="278">
        <v>44305</v>
      </c>
      <c r="O283" s="329" t="s">
        <v>67</v>
      </c>
      <c r="P283" s="330">
        <f t="shared" ref="P283:Q283" si="279">IF(B283=0,0,IF(YEAR(B283)=$Q$1,MONTH(B283)-$P$1+1,(YEAR(B283)-$Q$1)*12-$P$1+1+MONTH(B283)))</f>
        <v>4</v>
      </c>
      <c r="Q283" s="330">
        <f t="shared" si="279"/>
        <v>3</v>
      </c>
      <c r="R283" s="331" t="str">
        <f t="shared" si="1"/>
        <v>Gastos_Gerais</v>
      </c>
      <c r="S283" s="331" t="str">
        <f>IF(D283="","",IF(OR(D283=Plano!$A$1,D283=Plano!$B$1),"entrada","saída"))</f>
        <v>saída</v>
      </c>
      <c r="T283" s="332" t="s">
        <v>114</v>
      </c>
      <c r="U283" s="332" t="s">
        <v>114</v>
      </c>
      <c r="V283" s="333"/>
    </row>
    <row r="284" spans="1:22" ht="144" customHeight="1" x14ac:dyDescent="0.2">
      <c r="A284" s="277">
        <f>IF(B284="","",COUNT('Diário 5º PA'!$A$5:$A$2634)+ROW()-4)</f>
        <v>1591</v>
      </c>
      <c r="B284" s="278">
        <v>44305</v>
      </c>
      <c r="C284" s="249">
        <v>44256</v>
      </c>
      <c r="D284" s="255" t="s">
        <v>99</v>
      </c>
      <c r="E284" s="255" t="s">
        <v>230</v>
      </c>
      <c r="F284" s="258">
        <v>6594.88</v>
      </c>
      <c r="G284" s="255" t="s">
        <v>484</v>
      </c>
      <c r="H284" s="255" t="s">
        <v>115</v>
      </c>
      <c r="I284" s="250" t="s">
        <v>485</v>
      </c>
      <c r="J284" s="252" t="s">
        <v>1255</v>
      </c>
      <c r="K284" s="255" t="s">
        <v>1015</v>
      </c>
      <c r="L284" s="250" t="s">
        <v>3666</v>
      </c>
      <c r="M284" s="277" t="s">
        <v>114</v>
      </c>
      <c r="N284" s="278">
        <v>44301</v>
      </c>
      <c r="O284" s="329" t="s">
        <v>67</v>
      </c>
      <c r="P284" s="330">
        <f t="shared" ref="P284:Q284" si="280">IF(B284=0,0,IF(YEAR(B284)=$Q$1,MONTH(B284)-$P$1+1,(YEAR(B284)-$Q$1)*12-$P$1+1+MONTH(B284)))</f>
        <v>4</v>
      </c>
      <c r="Q284" s="330">
        <f t="shared" si="280"/>
        <v>3</v>
      </c>
      <c r="R284" s="331" t="str">
        <f t="shared" si="1"/>
        <v>Gastos_Gerais</v>
      </c>
      <c r="S284" s="331" t="str">
        <f>IF(D284="","",IF(OR(D284=Plano!$A$1,D284=Plano!$B$1),"entrada","saída"))</f>
        <v>saída</v>
      </c>
      <c r="T284" s="332" t="s">
        <v>1059</v>
      </c>
      <c r="U284" s="332">
        <v>1115</v>
      </c>
      <c r="V284" s="333"/>
    </row>
    <row r="285" spans="1:22" ht="39" customHeight="1" x14ac:dyDescent="0.2">
      <c r="A285" s="277">
        <f>IF(B285="","",COUNT('Diário 5º PA'!$A$5:$A$2634)+ROW()-4)</f>
        <v>1592</v>
      </c>
      <c r="B285" s="278">
        <v>44305</v>
      </c>
      <c r="C285" s="249">
        <v>44256</v>
      </c>
      <c r="D285" s="255" t="s">
        <v>99</v>
      </c>
      <c r="E285" s="255" t="s">
        <v>216</v>
      </c>
      <c r="F285" s="258">
        <v>337.92</v>
      </c>
      <c r="G285" s="252" t="s">
        <v>4280</v>
      </c>
      <c r="H285" s="255" t="s">
        <v>115</v>
      </c>
      <c r="I285" s="250" t="s">
        <v>513</v>
      </c>
      <c r="J285" s="252" t="s">
        <v>514</v>
      </c>
      <c r="K285" s="255" t="s">
        <v>696</v>
      </c>
      <c r="L285" s="250" t="s">
        <v>1016</v>
      </c>
      <c r="M285" s="277">
        <v>56525076</v>
      </c>
      <c r="N285" s="278">
        <v>44280</v>
      </c>
      <c r="O285" s="329" t="s">
        <v>67</v>
      </c>
      <c r="P285" s="330">
        <f t="shared" ref="P285:Q285" si="281">IF(B285=0,0,IF(YEAR(B285)=$Q$1,MONTH(B285)-$P$1+1,(YEAR(B285)-$Q$1)*12-$P$1+1+MONTH(B285)))</f>
        <v>4</v>
      </c>
      <c r="Q285" s="330">
        <f t="shared" si="281"/>
        <v>3</v>
      </c>
      <c r="R285" s="331" t="str">
        <f t="shared" si="1"/>
        <v>Gastos_Gerais</v>
      </c>
      <c r="S285" s="331" t="str">
        <f>IF(D285="","",IF(OR(D285=Plano!$A$1,D285=Plano!$B$1),"entrada","saída"))</f>
        <v>saída</v>
      </c>
      <c r="T285" s="332" t="s">
        <v>114</v>
      </c>
      <c r="U285" s="332" t="s">
        <v>114</v>
      </c>
      <c r="V285" s="333"/>
    </row>
    <row r="286" spans="1:22" ht="40.5" customHeight="1" x14ac:dyDescent="0.2">
      <c r="A286" s="277">
        <f>IF(B286="","",COUNT('Diário 5º PA'!$A$5:$A$2634)+ROW()-4)</f>
        <v>1593</v>
      </c>
      <c r="B286" s="278">
        <v>44305</v>
      </c>
      <c r="C286" s="256">
        <v>44256</v>
      </c>
      <c r="D286" s="255" t="s">
        <v>99</v>
      </c>
      <c r="E286" s="255" t="s">
        <v>218</v>
      </c>
      <c r="F286" s="258">
        <v>245.67</v>
      </c>
      <c r="G286" s="255" t="s">
        <v>4281</v>
      </c>
      <c r="H286" s="255" t="s">
        <v>115</v>
      </c>
      <c r="I286" s="252" t="s">
        <v>515</v>
      </c>
      <c r="J286" s="252" t="s">
        <v>516</v>
      </c>
      <c r="K286" s="255" t="s">
        <v>700</v>
      </c>
      <c r="L286" s="250" t="s">
        <v>697</v>
      </c>
      <c r="M286" s="336" t="s">
        <v>4282</v>
      </c>
      <c r="N286" s="278">
        <v>44293</v>
      </c>
      <c r="O286" s="329" t="s">
        <v>67</v>
      </c>
      <c r="P286" s="330">
        <f t="shared" ref="P286:Q286" si="282">IF(B286=0,0,IF(YEAR(B286)=$Q$1,MONTH(B286)-$P$1+1,(YEAR(B286)-$Q$1)*12-$P$1+1+MONTH(B286)))</f>
        <v>4</v>
      </c>
      <c r="Q286" s="330">
        <f t="shared" si="282"/>
        <v>3</v>
      </c>
      <c r="R286" s="331" t="str">
        <f t="shared" si="1"/>
        <v>Gastos_Gerais</v>
      </c>
      <c r="S286" s="331" t="str">
        <f>IF(D286="","",IF(OR(D286=Plano!$A$1,D286=Plano!$B$1),"entrada","saída"))</f>
        <v>saída</v>
      </c>
      <c r="T286" s="332" t="s">
        <v>114</v>
      </c>
      <c r="U286" s="332" t="s">
        <v>114</v>
      </c>
      <c r="V286" s="333"/>
    </row>
    <row r="287" spans="1:22" ht="57.75" customHeight="1" x14ac:dyDescent="0.2">
      <c r="A287" s="277">
        <f>IF(B287="","",COUNT('Diário 5º PA'!$A$5:$A$2634)+ROW()-4)</f>
        <v>1594</v>
      </c>
      <c r="B287" s="278">
        <v>44305</v>
      </c>
      <c r="C287" s="249">
        <v>44256</v>
      </c>
      <c r="D287" s="255" t="s">
        <v>99</v>
      </c>
      <c r="E287" s="255" t="s">
        <v>222</v>
      </c>
      <c r="F287" s="258">
        <v>579.94000000000005</v>
      </c>
      <c r="G287" s="255" t="s">
        <v>524</v>
      </c>
      <c r="H287" s="255" t="s">
        <v>115</v>
      </c>
      <c r="I287" s="252" t="s">
        <v>522</v>
      </c>
      <c r="J287" s="252" t="s">
        <v>523</v>
      </c>
      <c r="K287" s="255" t="s">
        <v>1375</v>
      </c>
      <c r="L287" s="250" t="s">
        <v>697</v>
      </c>
      <c r="M287" s="277" t="s">
        <v>114</v>
      </c>
      <c r="N287" s="278">
        <v>44287</v>
      </c>
      <c r="O287" s="329" t="s">
        <v>67</v>
      </c>
      <c r="P287" s="330">
        <f t="shared" ref="P287:Q287" si="283">IF(B287=0,0,IF(YEAR(B287)=$Q$1,MONTH(B287)-$P$1+1,(YEAR(B287)-$Q$1)*12-$P$1+1+MONTH(B287)))</f>
        <v>4</v>
      </c>
      <c r="Q287" s="330">
        <f t="shared" si="283"/>
        <v>3</v>
      </c>
      <c r="R287" s="331" t="str">
        <f t="shared" si="1"/>
        <v>Gastos_Gerais</v>
      </c>
      <c r="S287" s="331" t="str">
        <f>IF(D287="","",IF(OR(D287=Plano!$A$1,D287=Plano!$B$1),"entrada","saída"))</f>
        <v>saída</v>
      </c>
      <c r="T287" s="332" t="s">
        <v>114</v>
      </c>
      <c r="U287" s="332" t="s">
        <v>114</v>
      </c>
      <c r="V287" s="333"/>
    </row>
    <row r="288" spans="1:22" ht="92.25" customHeight="1" x14ac:dyDescent="0.2">
      <c r="A288" s="277">
        <f>IF(B288="","",COUNT('Diário 5º PA'!$A$5:$A$2634)+ROW()-4)</f>
        <v>1595</v>
      </c>
      <c r="B288" s="278">
        <v>44305</v>
      </c>
      <c r="C288" s="259">
        <v>44287</v>
      </c>
      <c r="D288" s="252" t="s">
        <v>99</v>
      </c>
      <c r="E288" s="252" t="s">
        <v>364</v>
      </c>
      <c r="F288" s="257">
        <v>1000</v>
      </c>
      <c r="G288" s="252" t="s">
        <v>4283</v>
      </c>
      <c r="H288" s="252" t="s">
        <v>132</v>
      </c>
      <c r="I288" s="250" t="s">
        <v>4284</v>
      </c>
      <c r="J288" s="250" t="s">
        <v>4285</v>
      </c>
      <c r="K288" s="255" t="s">
        <v>991</v>
      </c>
      <c r="L288" s="250" t="s">
        <v>1016</v>
      </c>
      <c r="M288" s="277">
        <v>15</v>
      </c>
      <c r="N288" s="278">
        <v>44302</v>
      </c>
      <c r="O288" s="329" t="s">
        <v>67</v>
      </c>
      <c r="P288" s="330">
        <f t="shared" ref="P288:Q288" si="284">IF(B288=0,0,IF(YEAR(B288)=$Q$1,MONTH(B288)-$P$1+1,(YEAR(B288)-$Q$1)*12-$P$1+1+MONTH(B288)))</f>
        <v>4</v>
      </c>
      <c r="Q288" s="330">
        <f t="shared" si="284"/>
        <v>4</v>
      </c>
      <c r="R288" s="331" t="str">
        <f t="shared" si="1"/>
        <v>Gastos_Gerais</v>
      </c>
      <c r="S288" s="331" t="str">
        <f>IF(D288="","",IF(OR(D288=Plano!$A$1,D288=Plano!$B$1),"entrada","saída"))</f>
        <v>saída</v>
      </c>
      <c r="T288" s="332" t="s">
        <v>994</v>
      </c>
      <c r="U288" s="332">
        <v>858</v>
      </c>
      <c r="V288" s="333"/>
    </row>
    <row r="289" spans="1:22" ht="39.75" customHeight="1" x14ac:dyDescent="0.2">
      <c r="A289" s="277">
        <f>IF(B289="","",COUNT('Diário 5º PA'!$A$5:$A$2634)+ROW()-4)</f>
        <v>1596</v>
      </c>
      <c r="B289" s="278">
        <v>44305</v>
      </c>
      <c r="C289" s="249">
        <v>44287</v>
      </c>
      <c r="D289" s="255" t="s">
        <v>99</v>
      </c>
      <c r="E289" s="255" t="s">
        <v>272</v>
      </c>
      <c r="F289" s="258">
        <v>10.45</v>
      </c>
      <c r="G289" s="255" t="s">
        <v>4286</v>
      </c>
      <c r="H289" s="252" t="s">
        <v>132</v>
      </c>
      <c r="I289" s="250" t="s">
        <v>949</v>
      </c>
      <c r="J289" s="255" t="s">
        <v>950</v>
      </c>
      <c r="K289" s="255" t="s">
        <v>951</v>
      </c>
      <c r="L289" s="250" t="s">
        <v>947</v>
      </c>
      <c r="M289" s="336" t="s">
        <v>114</v>
      </c>
      <c r="N289" s="278">
        <v>44305</v>
      </c>
      <c r="O289" s="329" t="s">
        <v>67</v>
      </c>
      <c r="P289" s="330">
        <f t="shared" ref="P289:Q289" si="285">IF(B289=0,0,IF(YEAR(B289)=$Q$1,MONTH(B289)-$P$1+1,(YEAR(B289)-$Q$1)*12-$P$1+1+MONTH(B289)))</f>
        <v>4</v>
      </c>
      <c r="Q289" s="330">
        <f t="shared" si="285"/>
        <v>4</v>
      </c>
      <c r="R289" s="331" t="str">
        <f t="shared" si="1"/>
        <v>Gastos_Gerais</v>
      </c>
      <c r="S289" s="331" t="str">
        <f>IF(D289="","",IF(OR(D289=Plano!$A$1,D289=Plano!$B$1),"entrada","saída"))</f>
        <v>saída</v>
      </c>
      <c r="T289" s="332" t="s">
        <v>114</v>
      </c>
      <c r="U289" s="332" t="s">
        <v>114</v>
      </c>
      <c r="V289" s="333"/>
    </row>
    <row r="290" spans="1:22" ht="233.25" customHeight="1" x14ac:dyDescent="0.2">
      <c r="A290" s="277">
        <f>IF(B290="","",COUNT('Diário 5º PA'!$A$5:$A$2634)+ROW()-4)</f>
        <v>1597</v>
      </c>
      <c r="B290" s="278">
        <v>44305</v>
      </c>
      <c r="C290" s="259">
        <v>44256</v>
      </c>
      <c r="D290" s="252" t="s">
        <v>104</v>
      </c>
      <c r="E290" s="252" t="s">
        <v>104</v>
      </c>
      <c r="F290" s="257">
        <v>4494.3599999999997</v>
      </c>
      <c r="G290" s="252" t="s">
        <v>4287</v>
      </c>
      <c r="H290" s="252" t="s">
        <v>104</v>
      </c>
      <c r="I290" s="252" t="s">
        <v>2629</v>
      </c>
      <c r="J290" s="250" t="s">
        <v>4288</v>
      </c>
      <c r="K290" s="255" t="s">
        <v>1015</v>
      </c>
      <c r="L290" s="250" t="s">
        <v>1177</v>
      </c>
      <c r="M290" s="336" t="s">
        <v>114</v>
      </c>
      <c r="N290" s="278">
        <v>44305</v>
      </c>
      <c r="O290" s="329" t="s">
        <v>70</v>
      </c>
      <c r="P290" s="330">
        <f t="shared" ref="P290:Q290" si="286">IF(B290=0,0,IF(YEAR(B290)=$Q$1,MONTH(B290)-$P$1+1,(YEAR(B290)-$Q$1)*12-$P$1+1+MONTH(B290)))</f>
        <v>4</v>
      </c>
      <c r="Q290" s="330">
        <f t="shared" si="286"/>
        <v>3</v>
      </c>
      <c r="R290" s="331" t="str">
        <f t="shared" si="1"/>
        <v>Gastos_custeados_por_captação</v>
      </c>
      <c r="S290" s="331" t="str">
        <f>IF(D290="","",IF(OR(D290=Plano!$A$1,D290=Plano!$B$1),"entrada","saída"))</f>
        <v>saída</v>
      </c>
      <c r="T290" s="332" t="s">
        <v>994</v>
      </c>
      <c r="U290" s="332">
        <v>1475</v>
      </c>
      <c r="V290" s="333"/>
    </row>
    <row r="291" spans="1:22" ht="59.25" customHeight="1" x14ac:dyDescent="0.2">
      <c r="A291" s="277">
        <f>IF(B291="","",COUNT('Diário 5º PA'!$A$5:$A$2634)+ROW()-4)</f>
        <v>1598</v>
      </c>
      <c r="B291" s="278">
        <v>44306</v>
      </c>
      <c r="C291" s="249">
        <v>44256</v>
      </c>
      <c r="D291" s="255" t="s">
        <v>99</v>
      </c>
      <c r="E291" s="255" t="s">
        <v>266</v>
      </c>
      <c r="F291" s="258">
        <v>-69.989999999999995</v>
      </c>
      <c r="G291" s="255" t="s">
        <v>4289</v>
      </c>
      <c r="H291" s="255" t="s">
        <v>115</v>
      </c>
      <c r="I291" s="250" t="s">
        <v>983</v>
      </c>
      <c r="J291" s="255" t="s">
        <v>850</v>
      </c>
      <c r="K291" s="255" t="s">
        <v>946</v>
      </c>
      <c r="L291" s="250" t="s">
        <v>947</v>
      </c>
      <c r="M291" s="277" t="s">
        <v>114</v>
      </c>
      <c r="N291" s="278">
        <v>44306</v>
      </c>
      <c r="O291" s="329" t="s">
        <v>67</v>
      </c>
      <c r="P291" s="330">
        <f t="shared" ref="P291:Q291" si="287">IF(B291=0,0,IF(YEAR(B291)=$Q$1,MONTH(B291)-$P$1+1,(YEAR(B291)-$Q$1)*12-$P$1+1+MONTH(B291)))</f>
        <v>4</v>
      </c>
      <c r="Q291" s="330">
        <f t="shared" si="287"/>
        <v>3</v>
      </c>
      <c r="R291" s="331" t="str">
        <f t="shared" si="1"/>
        <v>Gastos_Gerais</v>
      </c>
      <c r="S291" s="331" t="str">
        <f>IF(D291="","",IF(OR(D291=Plano!$A$1,D291=Plano!$B$1),"entrada","saída"))</f>
        <v>saída</v>
      </c>
      <c r="T291" s="332" t="s">
        <v>114</v>
      </c>
      <c r="U291" s="332" t="s">
        <v>114</v>
      </c>
      <c r="V291" s="333"/>
    </row>
    <row r="292" spans="1:22" ht="73.5" customHeight="1" x14ac:dyDescent="0.2">
      <c r="A292" s="277">
        <f>IF(B292="","",COUNT('Diário 5º PA'!$A$5:$A$2634)+ROW()-4)</f>
        <v>1599</v>
      </c>
      <c r="B292" s="278">
        <v>44306</v>
      </c>
      <c r="C292" s="249">
        <v>44256</v>
      </c>
      <c r="D292" s="255" t="s">
        <v>99</v>
      </c>
      <c r="E292" s="255" t="s">
        <v>224</v>
      </c>
      <c r="F292" s="257">
        <v>-85.23</v>
      </c>
      <c r="G292" s="255" t="s">
        <v>4290</v>
      </c>
      <c r="H292" s="255" t="s">
        <v>115</v>
      </c>
      <c r="I292" s="250" t="s">
        <v>983</v>
      </c>
      <c r="J292" s="255" t="s">
        <v>850</v>
      </c>
      <c r="K292" s="255" t="s">
        <v>946</v>
      </c>
      <c r="L292" s="250" t="s">
        <v>947</v>
      </c>
      <c r="M292" s="277" t="s">
        <v>114</v>
      </c>
      <c r="N292" s="278">
        <v>44306</v>
      </c>
      <c r="O292" s="329" t="s">
        <v>67</v>
      </c>
      <c r="P292" s="330">
        <f t="shared" ref="P292:Q292" si="288">IF(B292=0,0,IF(YEAR(B292)=$Q$1,MONTH(B292)-$P$1+1,(YEAR(B292)-$Q$1)*12-$P$1+1+MONTH(B292)))</f>
        <v>4</v>
      </c>
      <c r="Q292" s="330">
        <f t="shared" si="288"/>
        <v>3</v>
      </c>
      <c r="R292" s="331" t="str">
        <f t="shared" si="1"/>
        <v>Gastos_Gerais</v>
      </c>
      <c r="S292" s="331" t="str">
        <f>IF(D292="","",IF(OR(D292=Plano!$A$1,D292=Plano!$B$1),"entrada","saída"))</f>
        <v>saída</v>
      </c>
      <c r="T292" s="332" t="s">
        <v>114</v>
      </c>
      <c r="U292" s="332" t="s">
        <v>114</v>
      </c>
      <c r="V292" s="333"/>
    </row>
    <row r="293" spans="1:22" ht="154.5" customHeight="1" x14ac:dyDescent="0.2">
      <c r="A293" s="277">
        <f>IF(B293="","",COUNT('Diário 5º PA'!$A$5:$A$2634)+ROW()-4)</f>
        <v>1600</v>
      </c>
      <c r="B293" s="278">
        <v>44306</v>
      </c>
      <c r="C293" s="259">
        <v>44256</v>
      </c>
      <c r="D293" s="252" t="s">
        <v>99</v>
      </c>
      <c r="E293" s="252" t="s">
        <v>352</v>
      </c>
      <c r="F293" s="257">
        <v>2694.72</v>
      </c>
      <c r="G293" s="252" t="s">
        <v>579</v>
      </c>
      <c r="H293" s="252" t="s">
        <v>132</v>
      </c>
      <c r="I293" s="252" t="s">
        <v>1328</v>
      </c>
      <c r="J293" s="250" t="s">
        <v>581</v>
      </c>
      <c r="K293" s="255" t="s">
        <v>1015</v>
      </c>
      <c r="L293" s="250" t="s">
        <v>1016</v>
      </c>
      <c r="M293" s="277" t="s">
        <v>1256</v>
      </c>
      <c r="N293" s="278">
        <v>44305</v>
      </c>
      <c r="O293" s="329" t="s">
        <v>67</v>
      </c>
      <c r="P293" s="330">
        <f t="shared" ref="P293:Q293" si="289">IF(B293=0,0,IF(YEAR(B293)=$Q$1,MONTH(B293)-$P$1+1,(YEAR(B293)-$Q$1)*12-$P$1+1+MONTH(B293)))</f>
        <v>4</v>
      </c>
      <c r="Q293" s="330">
        <f t="shared" si="289"/>
        <v>3</v>
      </c>
      <c r="R293" s="331" t="str">
        <f t="shared" si="1"/>
        <v>Gastos_Gerais</v>
      </c>
      <c r="S293" s="331" t="str">
        <f>IF(D293="","",IF(OR(D293=Plano!$A$1,D293=Plano!$B$1),"entrada","saída"))</f>
        <v>saída</v>
      </c>
      <c r="T293" s="332" t="s">
        <v>1059</v>
      </c>
      <c r="U293" s="332">
        <v>1338</v>
      </c>
      <c r="V293" s="333"/>
    </row>
    <row r="294" spans="1:22" ht="120" customHeight="1" x14ac:dyDescent="0.2">
      <c r="A294" s="277">
        <f>IF(B294="","",COUNT('Diário 5º PA'!$A$5:$A$2634)+ROW()-4)</f>
        <v>1601</v>
      </c>
      <c r="B294" s="278">
        <v>44306</v>
      </c>
      <c r="C294" s="259">
        <v>44256</v>
      </c>
      <c r="D294" s="252" t="s">
        <v>99</v>
      </c>
      <c r="E294" s="252" t="s">
        <v>244</v>
      </c>
      <c r="F294" s="257">
        <v>300.20999999999998</v>
      </c>
      <c r="G294" s="252" t="s">
        <v>4291</v>
      </c>
      <c r="H294" s="252" t="s">
        <v>126</v>
      </c>
      <c r="I294" s="252" t="s">
        <v>3047</v>
      </c>
      <c r="J294" s="250" t="s">
        <v>3048</v>
      </c>
      <c r="K294" s="255" t="s">
        <v>560</v>
      </c>
      <c r="L294" s="250" t="s">
        <v>1016</v>
      </c>
      <c r="M294" s="277" t="s">
        <v>993</v>
      </c>
      <c r="N294" s="278">
        <v>44293</v>
      </c>
      <c r="O294" s="329" t="s">
        <v>67</v>
      </c>
      <c r="P294" s="330">
        <f t="shared" ref="P294:Q294" si="290">IF(B294=0,0,IF(YEAR(B294)=$Q$1,MONTH(B294)-$P$1+1,(YEAR(B294)-$Q$1)*12-$P$1+1+MONTH(B294)))</f>
        <v>4</v>
      </c>
      <c r="Q294" s="330">
        <f t="shared" si="290"/>
        <v>3</v>
      </c>
      <c r="R294" s="331" t="str">
        <f t="shared" si="1"/>
        <v>Gastos_Gerais</v>
      </c>
      <c r="S294" s="331" t="str">
        <f>IF(D294="","",IF(OR(D294=Plano!$A$1,D294=Plano!$B$1),"entrada","saída"))</f>
        <v>saída</v>
      </c>
      <c r="T294" s="332" t="s">
        <v>1059</v>
      </c>
      <c r="U294" s="332">
        <v>1501</v>
      </c>
      <c r="V294" s="333"/>
    </row>
    <row r="295" spans="1:22" ht="159" customHeight="1" x14ac:dyDescent="0.2">
      <c r="A295" s="277">
        <f>IF(B295="","",COUNT('Diário 5º PA'!$A$5:$A$2634)+ROW()-4)</f>
        <v>1602</v>
      </c>
      <c r="B295" s="278">
        <v>44306</v>
      </c>
      <c r="C295" s="259">
        <v>44256</v>
      </c>
      <c r="D295" s="252" t="s">
        <v>99</v>
      </c>
      <c r="E295" s="252" t="s">
        <v>226</v>
      </c>
      <c r="F295" s="257">
        <v>663.92</v>
      </c>
      <c r="G295" s="252" t="s">
        <v>4291</v>
      </c>
      <c r="H295" s="252" t="s">
        <v>128</v>
      </c>
      <c r="I295" s="252" t="s">
        <v>4292</v>
      </c>
      <c r="J295" s="250" t="s">
        <v>3048</v>
      </c>
      <c r="K295" s="255" t="s">
        <v>560</v>
      </c>
      <c r="L295" s="250" t="s">
        <v>1016</v>
      </c>
      <c r="M295" s="277" t="s">
        <v>1699</v>
      </c>
      <c r="N295" s="278">
        <v>44293</v>
      </c>
      <c r="O295" s="329" t="s">
        <v>67</v>
      </c>
      <c r="P295" s="330">
        <f t="shared" ref="P295:Q295" si="291">IF(B295=0,0,IF(YEAR(B295)=$Q$1,MONTH(B295)-$P$1+1,(YEAR(B295)-$Q$1)*12-$P$1+1+MONTH(B295)))</f>
        <v>4</v>
      </c>
      <c r="Q295" s="330">
        <f t="shared" si="291"/>
        <v>3</v>
      </c>
      <c r="R295" s="331" t="str">
        <f t="shared" si="1"/>
        <v>Gastos_Gerais</v>
      </c>
      <c r="S295" s="331" t="str">
        <f>IF(D295="","",IF(OR(D295=Plano!$A$1,D295=Plano!$B$1),"entrada","saída"))</f>
        <v>saída</v>
      </c>
      <c r="T295" s="332" t="s">
        <v>1059</v>
      </c>
      <c r="U295" s="332">
        <v>1501</v>
      </c>
      <c r="V295" s="333"/>
    </row>
    <row r="296" spans="1:22" ht="165.75" customHeight="1" x14ac:dyDescent="0.2">
      <c r="A296" s="277">
        <f>IF(B296="","",COUNT('Diário 5º PA'!$A$5:$A$2634)+ROW()-4)</f>
        <v>1603</v>
      </c>
      <c r="B296" s="278">
        <v>44306</v>
      </c>
      <c r="C296" s="259">
        <v>44256</v>
      </c>
      <c r="D296" s="252" t="s">
        <v>99</v>
      </c>
      <c r="E296" s="252" t="s">
        <v>226</v>
      </c>
      <c r="F296" s="257">
        <v>1154.6400000000001</v>
      </c>
      <c r="G296" s="252" t="s">
        <v>4291</v>
      </c>
      <c r="H296" s="252" t="s">
        <v>128</v>
      </c>
      <c r="I296" s="252" t="s">
        <v>4292</v>
      </c>
      <c r="J296" s="250" t="s">
        <v>3048</v>
      </c>
      <c r="K296" s="255" t="s">
        <v>560</v>
      </c>
      <c r="L296" s="250" t="s">
        <v>1016</v>
      </c>
      <c r="M296" s="277" t="s">
        <v>1697</v>
      </c>
      <c r="N296" s="278">
        <v>44293</v>
      </c>
      <c r="O296" s="329" t="s">
        <v>67</v>
      </c>
      <c r="P296" s="330">
        <f t="shared" ref="P296:Q296" si="292">IF(B296=0,0,IF(YEAR(B296)=$Q$1,MONTH(B296)-$P$1+1,(YEAR(B296)-$Q$1)*12-$P$1+1+MONTH(B296)))</f>
        <v>4</v>
      </c>
      <c r="Q296" s="330">
        <f t="shared" si="292"/>
        <v>3</v>
      </c>
      <c r="R296" s="331" t="str">
        <f t="shared" si="1"/>
        <v>Gastos_Gerais</v>
      </c>
      <c r="S296" s="331" t="str">
        <f>IF(D296="","",IF(OR(D296=Plano!$A$1,D296=Plano!$B$1),"entrada","saída"))</f>
        <v>saída</v>
      </c>
      <c r="T296" s="332" t="s">
        <v>1059</v>
      </c>
      <c r="U296" s="332">
        <v>1501</v>
      </c>
      <c r="V296" s="333"/>
    </row>
    <row r="297" spans="1:22" ht="138" customHeight="1" x14ac:dyDescent="0.2">
      <c r="A297" s="277">
        <f>IF(B297="","",COUNT('Diário 5º PA'!$A$5:$A$2634)+ROW()-4)</f>
        <v>1604</v>
      </c>
      <c r="B297" s="278">
        <v>44306</v>
      </c>
      <c r="C297" s="259">
        <v>44256</v>
      </c>
      <c r="D297" s="252" t="s">
        <v>99</v>
      </c>
      <c r="E297" s="252" t="s">
        <v>244</v>
      </c>
      <c r="F297" s="257">
        <v>481.1</v>
      </c>
      <c r="G297" s="252" t="s">
        <v>4291</v>
      </c>
      <c r="H297" s="252" t="s">
        <v>122</v>
      </c>
      <c r="I297" s="252" t="s">
        <v>3047</v>
      </c>
      <c r="J297" s="250" t="s">
        <v>3050</v>
      </c>
      <c r="K297" s="255" t="s">
        <v>560</v>
      </c>
      <c r="L297" s="250" t="s">
        <v>1016</v>
      </c>
      <c r="M297" s="277" t="s">
        <v>1693</v>
      </c>
      <c r="N297" s="278">
        <v>44293</v>
      </c>
      <c r="O297" s="329" t="s">
        <v>67</v>
      </c>
      <c r="P297" s="330">
        <f t="shared" ref="P297:Q297" si="293">IF(B297=0,0,IF(YEAR(B297)=$Q$1,MONTH(B297)-$P$1+1,(YEAR(B297)-$Q$1)*12-$P$1+1+MONTH(B297)))</f>
        <v>4</v>
      </c>
      <c r="Q297" s="330">
        <f t="shared" si="293"/>
        <v>3</v>
      </c>
      <c r="R297" s="331" t="str">
        <f t="shared" si="1"/>
        <v>Gastos_Gerais</v>
      </c>
      <c r="S297" s="331" t="str">
        <f>IF(D297="","",IF(OR(D297=Plano!$A$1,D297=Plano!$B$1),"entrada","saída"))</f>
        <v>saída</v>
      </c>
      <c r="T297" s="332" t="s">
        <v>1059</v>
      </c>
      <c r="U297" s="332">
        <v>1501</v>
      </c>
      <c r="V297" s="333"/>
    </row>
    <row r="298" spans="1:22" ht="43.5" customHeight="1" x14ac:dyDescent="0.2">
      <c r="A298" s="277">
        <f>IF(B298="","",COUNT('Diário 5º PA'!$A$5:$A$2634)+ROW()-4)</f>
        <v>1605</v>
      </c>
      <c r="B298" s="278">
        <v>44306</v>
      </c>
      <c r="C298" s="249">
        <v>44256</v>
      </c>
      <c r="D298" s="255" t="s">
        <v>99</v>
      </c>
      <c r="E298" s="255" t="s">
        <v>224</v>
      </c>
      <c r="F298" s="258">
        <v>322.70999999999998</v>
      </c>
      <c r="G298" s="255" t="s">
        <v>4293</v>
      </c>
      <c r="H298" s="255" t="s">
        <v>115</v>
      </c>
      <c r="I298" s="250" t="s">
        <v>522</v>
      </c>
      <c r="J298" s="252" t="s">
        <v>523</v>
      </c>
      <c r="K298" s="252" t="s">
        <v>1375</v>
      </c>
      <c r="L298" s="252" t="s">
        <v>697</v>
      </c>
      <c r="M298" s="277" t="s">
        <v>4294</v>
      </c>
      <c r="N298" s="278">
        <v>44287</v>
      </c>
      <c r="O298" s="329" t="s">
        <v>67</v>
      </c>
      <c r="P298" s="330">
        <f t="shared" ref="P298:Q298" si="294">IF(B298=0,0,IF(YEAR(B298)=$Q$1,MONTH(B298)-$P$1+1,(YEAR(B298)-$Q$1)*12-$P$1+1+MONTH(B298)))</f>
        <v>4</v>
      </c>
      <c r="Q298" s="330">
        <f t="shared" si="294"/>
        <v>3</v>
      </c>
      <c r="R298" s="331" t="str">
        <f t="shared" si="1"/>
        <v>Gastos_Gerais</v>
      </c>
      <c r="S298" s="331" t="str">
        <f>IF(D298="","",IF(OR(D298=Plano!$A$1,D298=Plano!$B$1),"entrada","saída"))</f>
        <v>saída</v>
      </c>
      <c r="T298" s="332" t="s">
        <v>114</v>
      </c>
      <c r="U298" s="332" t="s">
        <v>114</v>
      </c>
      <c r="V298" s="333"/>
    </row>
    <row r="299" spans="1:22" ht="54.75" customHeight="1" x14ac:dyDescent="0.2">
      <c r="A299" s="277">
        <f>IF(B299="","",COUNT('Diário 5º PA'!$A$5:$A$2634)+ROW()-4)</f>
        <v>1606</v>
      </c>
      <c r="B299" s="278">
        <v>44306</v>
      </c>
      <c r="C299" s="259">
        <v>44228</v>
      </c>
      <c r="D299" s="252" t="s">
        <v>99</v>
      </c>
      <c r="E299" s="252" t="s">
        <v>228</v>
      </c>
      <c r="F299" s="257">
        <v>395.25</v>
      </c>
      <c r="G299" s="252" t="s">
        <v>4295</v>
      </c>
      <c r="H299" s="252" t="s">
        <v>115</v>
      </c>
      <c r="I299" s="252" t="s">
        <v>488</v>
      </c>
      <c r="J299" s="250" t="s">
        <v>114</v>
      </c>
      <c r="K299" s="250" t="s">
        <v>466</v>
      </c>
      <c r="L299" s="250" t="s">
        <v>489</v>
      </c>
      <c r="M299" s="277" t="s">
        <v>114</v>
      </c>
      <c r="N299" s="278">
        <v>44306</v>
      </c>
      <c r="O299" s="329" t="s">
        <v>67</v>
      </c>
      <c r="P299" s="330">
        <f t="shared" ref="P299:Q299" si="295">IF(B299=0,0,IF(YEAR(B299)=$Q$1,MONTH(B299)-$P$1+1,(YEAR(B299)-$Q$1)*12-$P$1+1+MONTH(B299)))</f>
        <v>4</v>
      </c>
      <c r="Q299" s="330">
        <f t="shared" si="295"/>
        <v>2</v>
      </c>
      <c r="R299" s="331" t="str">
        <f t="shared" si="1"/>
        <v>Gastos_Gerais</v>
      </c>
      <c r="S299" s="331" t="str">
        <f>IF(D299="","",IF(OR(D299=Plano!$A$1,D299=Plano!$B$1),"entrada","saída"))</f>
        <v>saída</v>
      </c>
      <c r="T299" s="332" t="s">
        <v>114</v>
      </c>
      <c r="U299" s="332" t="s">
        <v>114</v>
      </c>
      <c r="V299" s="333"/>
    </row>
    <row r="300" spans="1:22" ht="47.25" customHeight="1" x14ac:dyDescent="0.2">
      <c r="A300" s="277">
        <f>IF(B300="","",COUNT('Diário 5º PA'!$A$5:$A$2634)+ROW()-4)</f>
        <v>1607</v>
      </c>
      <c r="B300" s="278">
        <v>44306</v>
      </c>
      <c r="C300" s="259">
        <v>44256</v>
      </c>
      <c r="D300" s="252" t="s">
        <v>99</v>
      </c>
      <c r="E300" s="252" t="s">
        <v>228</v>
      </c>
      <c r="F300" s="257">
        <v>127.5</v>
      </c>
      <c r="G300" s="252" t="s">
        <v>4296</v>
      </c>
      <c r="H300" s="252" t="s">
        <v>115</v>
      </c>
      <c r="I300" s="252" t="s">
        <v>488</v>
      </c>
      <c r="J300" s="250" t="s">
        <v>114</v>
      </c>
      <c r="K300" s="250" t="s">
        <v>466</v>
      </c>
      <c r="L300" s="250" t="s">
        <v>489</v>
      </c>
      <c r="M300" s="277" t="s">
        <v>114</v>
      </c>
      <c r="N300" s="278">
        <v>44306</v>
      </c>
      <c r="O300" s="329" t="s">
        <v>67</v>
      </c>
      <c r="P300" s="330">
        <f t="shared" ref="P300:Q300" si="296">IF(B300=0,0,IF(YEAR(B300)=$Q$1,MONTH(B300)-$P$1+1,(YEAR(B300)-$Q$1)*12-$P$1+1+MONTH(B300)))</f>
        <v>4</v>
      </c>
      <c r="Q300" s="330">
        <f t="shared" si="296"/>
        <v>3</v>
      </c>
      <c r="R300" s="331" t="str">
        <f t="shared" si="1"/>
        <v>Gastos_Gerais</v>
      </c>
      <c r="S300" s="331" t="str">
        <f>IF(D300="","",IF(OR(D300=Plano!$A$1,D300=Plano!$B$1),"entrada","saída"))</f>
        <v>saída</v>
      </c>
      <c r="T300" s="332" t="s">
        <v>114</v>
      </c>
      <c r="U300" s="332" t="s">
        <v>114</v>
      </c>
      <c r="V300" s="333"/>
    </row>
    <row r="301" spans="1:22" ht="48" customHeight="1" x14ac:dyDescent="0.2">
      <c r="A301" s="277">
        <f>IF(B301="","",COUNT('Diário 5º PA'!$A$5:$A$2634)+ROW()-4)</f>
        <v>1608</v>
      </c>
      <c r="B301" s="278">
        <v>44306</v>
      </c>
      <c r="C301" s="259">
        <v>44228</v>
      </c>
      <c r="D301" s="252" t="s">
        <v>99</v>
      </c>
      <c r="E301" s="252" t="s">
        <v>266</v>
      </c>
      <c r="F301" s="257">
        <v>274.27999999999997</v>
      </c>
      <c r="G301" s="252" t="s">
        <v>4297</v>
      </c>
      <c r="H301" s="252" t="s">
        <v>129</v>
      </c>
      <c r="I301" s="252" t="s">
        <v>4298</v>
      </c>
      <c r="J301" s="250" t="s">
        <v>114</v>
      </c>
      <c r="K301" s="250" t="s">
        <v>466</v>
      </c>
      <c r="L301" s="250" t="s">
        <v>467</v>
      </c>
      <c r="M301" s="277">
        <v>371053</v>
      </c>
      <c r="N301" s="278">
        <v>44287</v>
      </c>
      <c r="O301" s="329" t="s">
        <v>67</v>
      </c>
      <c r="P301" s="330">
        <f t="shared" ref="P301:Q301" si="297">IF(B301=0,0,IF(YEAR(B301)=$Q$1,MONTH(B301)-$P$1+1,(YEAR(B301)-$Q$1)*12-$P$1+1+MONTH(B301)))</f>
        <v>4</v>
      </c>
      <c r="Q301" s="330">
        <f t="shared" si="297"/>
        <v>2</v>
      </c>
      <c r="R301" s="331" t="str">
        <f t="shared" si="1"/>
        <v>Gastos_Gerais</v>
      </c>
      <c r="S301" s="331" t="str">
        <f>IF(D301="","",IF(OR(D301=Plano!$A$1,D301=Plano!$B$1),"entrada","saída"))</f>
        <v>saída</v>
      </c>
      <c r="T301" s="332" t="s">
        <v>114</v>
      </c>
      <c r="U301" s="332" t="s">
        <v>114</v>
      </c>
      <c r="V301" s="333"/>
    </row>
    <row r="302" spans="1:22" ht="40.5" customHeight="1" x14ac:dyDescent="0.2">
      <c r="A302" s="277">
        <f>IF(B302="","",COUNT('Diário 5º PA'!$A$5:$A$2634)+ROW()-4)</f>
        <v>1609</v>
      </c>
      <c r="B302" s="278">
        <v>44306</v>
      </c>
      <c r="C302" s="259">
        <v>44228</v>
      </c>
      <c r="D302" s="252" t="s">
        <v>99</v>
      </c>
      <c r="E302" s="252" t="s">
        <v>336</v>
      </c>
      <c r="F302" s="257">
        <v>155</v>
      </c>
      <c r="G302" s="252" t="s">
        <v>4299</v>
      </c>
      <c r="H302" s="252" t="s">
        <v>116</v>
      </c>
      <c r="I302" s="252" t="s">
        <v>530</v>
      </c>
      <c r="J302" s="250" t="s">
        <v>114</v>
      </c>
      <c r="K302" s="250" t="s">
        <v>466</v>
      </c>
      <c r="L302" s="250" t="s">
        <v>547</v>
      </c>
      <c r="M302" s="277" t="s">
        <v>114</v>
      </c>
      <c r="N302" s="278">
        <v>44306</v>
      </c>
      <c r="O302" s="329" t="s">
        <v>67</v>
      </c>
      <c r="P302" s="330">
        <f t="shared" ref="P302:Q302" si="298">IF(B302=0,0,IF(YEAR(B302)=$Q$1,MONTH(B302)-$P$1+1,(YEAR(B302)-$Q$1)*12-$P$1+1+MONTH(B302)))</f>
        <v>4</v>
      </c>
      <c r="Q302" s="330">
        <f t="shared" si="298"/>
        <v>2</v>
      </c>
      <c r="R302" s="331" t="str">
        <f t="shared" si="1"/>
        <v>Gastos_Gerais</v>
      </c>
      <c r="S302" s="331" t="str">
        <f>IF(D302="","",IF(OR(D302=Plano!$A$1,D302=Plano!$B$1),"entrada","saída"))</f>
        <v>saída</v>
      </c>
      <c r="T302" s="332" t="s">
        <v>114</v>
      </c>
      <c r="U302" s="332" t="s">
        <v>114</v>
      </c>
      <c r="V302" s="333"/>
    </row>
    <row r="303" spans="1:22" ht="38.25" customHeight="1" x14ac:dyDescent="0.2">
      <c r="A303" s="277">
        <f>IF(B303="","",COUNT('Diário 5º PA'!$A$5:$A$2634)+ROW()-4)</f>
        <v>1610</v>
      </c>
      <c r="B303" s="278">
        <v>44306</v>
      </c>
      <c r="C303" s="259">
        <v>44228</v>
      </c>
      <c r="D303" s="252" t="s">
        <v>99</v>
      </c>
      <c r="E303" s="252" t="s">
        <v>336</v>
      </c>
      <c r="F303" s="257">
        <v>155</v>
      </c>
      <c r="G303" s="252" t="s">
        <v>4300</v>
      </c>
      <c r="H303" s="252" t="s">
        <v>116</v>
      </c>
      <c r="I303" s="252" t="s">
        <v>530</v>
      </c>
      <c r="J303" s="250" t="s">
        <v>114</v>
      </c>
      <c r="K303" s="250" t="s">
        <v>466</v>
      </c>
      <c r="L303" s="250" t="s">
        <v>547</v>
      </c>
      <c r="M303" s="277" t="s">
        <v>114</v>
      </c>
      <c r="N303" s="278">
        <v>44306</v>
      </c>
      <c r="O303" s="329" t="s">
        <v>67</v>
      </c>
      <c r="P303" s="330">
        <f t="shared" ref="P303:Q303" si="299">IF(B303=0,0,IF(YEAR(B303)=$Q$1,MONTH(B303)-$P$1+1,(YEAR(B303)-$Q$1)*12-$P$1+1+MONTH(B303)))</f>
        <v>4</v>
      </c>
      <c r="Q303" s="330">
        <f t="shared" si="299"/>
        <v>2</v>
      </c>
      <c r="R303" s="331" t="str">
        <f t="shared" si="1"/>
        <v>Gastos_Gerais</v>
      </c>
      <c r="S303" s="331" t="str">
        <f>IF(D303="","",IF(OR(D303=Plano!$A$1,D303=Plano!$B$1),"entrada","saída"))</f>
        <v>saída</v>
      </c>
      <c r="T303" s="332" t="s">
        <v>114</v>
      </c>
      <c r="U303" s="332" t="s">
        <v>114</v>
      </c>
      <c r="V303" s="333"/>
    </row>
    <row r="304" spans="1:22" ht="39" customHeight="1" x14ac:dyDescent="0.2">
      <c r="A304" s="277">
        <f>IF(B304="","",COUNT('Diário 5º PA'!$A$5:$A$2634)+ROW()-4)</f>
        <v>1611</v>
      </c>
      <c r="B304" s="278">
        <v>44306</v>
      </c>
      <c r="C304" s="259">
        <v>44228</v>
      </c>
      <c r="D304" s="252" t="s">
        <v>99</v>
      </c>
      <c r="E304" s="252" t="s">
        <v>336</v>
      </c>
      <c r="F304" s="257">
        <v>775</v>
      </c>
      <c r="G304" s="252" t="s">
        <v>4301</v>
      </c>
      <c r="H304" s="252" t="s">
        <v>117</v>
      </c>
      <c r="I304" s="252" t="s">
        <v>530</v>
      </c>
      <c r="J304" s="250" t="s">
        <v>114</v>
      </c>
      <c r="K304" s="250" t="s">
        <v>466</v>
      </c>
      <c r="L304" s="250" t="s">
        <v>547</v>
      </c>
      <c r="M304" s="277" t="s">
        <v>114</v>
      </c>
      <c r="N304" s="278">
        <v>44306</v>
      </c>
      <c r="O304" s="329" t="s">
        <v>67</v>
      </c>
      <c r="P304" s="330">
        <f t="shared" ref="P304:Q304" si="300">IF(B304=0,0,IF(YEAR(B304)=$Q$1,MONTH(B304)-$P$1+1,(YEAR(B304)-$Q$1)*12-$P$1+1+MONTH(B304)))</f>
        <v>4</v>
      </c>
      <c r="Q304" s="330">
        <f t="shared" si="300"/>
        <v>2</v>
      </c>
      <c r="R304" s="331" t="str">
        <f t="shared" si="1"/>
        <v>Gastos_Gerais</v>
      </c>
      <c r="S304" s="331" t="str">
        <f>IF(D304="","",IF(OR(D304=Plano!$A$1,D304=Plano!$B$1),"entrada","saída"))</f>
        <v>saída</v>
      </c>
      <c r="T304" s="332" t="s">
        <v>114</v>
      </c>
      <c r="U304" s="332" t="s">
        <v>114</v>
      </c>
      <c r="V304" s="333"/>
    </row>
    <row r="305" spans="1:22" ht="39" customHeight="1" x14ac:dyDescent="0.2">
      <c r="A305" s="277">
        <f>IF(B305="","",COUNT('Diário 5º PA'!$A$5:$A$2634)+ROW()-4)</f>
        <v>1612</v>
      </c>
      <c r="B305" s="278">
        <v>44306</v>
      </c>
      <c r="C305" s="259">
        <v>44228</v>
      </c>
      <c r="D305" s="252" t="s">
        <v>99</v>
      </c>
      <c r="E305" s="252" t="s">
        <v>336</v>
      </c>
      <c r="F305" s="257">
        <v>24.08</v>
      </c>
      <c r="G305" s="252" t="s">
        <v>4302</v>
      </c>
      <c r="H305" s="252" t="s">
        <v>117</v>
      </c>
      <c r="I305" s="252" t="s">
        <v>488</v>
      </c>
      <c r="J305" s="250" t="s">
        <v>114</v>
      </c>
      <c r="K305" s="250" t="s">
        <v>466</v>
      </c>
      <c r="L305" s="250" t="s">
        <v>489</v>
      </c>
      <c r="M305" s="277" t="s">
        <v>114</v>
      </c>
      <c r="N305" s="278">
        <v>44306</v>
      </c>
      <c r="O305" s="329" t="s">
        <v>67</v>
      </c>
      <c r="P305" s="330">
        <f t="shared" ref="P305:Q305" si="301">IF(B305=0,0,IF(YEAR(B305)=$Q$1,MONTH(B305)-$P$1+1,(YEAR(B305)-$Q$1)*12-$P$1+1+MONTH(B305)))</f>
        <v>4</v>
      </c>
      <c r="Q305" s="330">
        <f t="shared" si="301"/>
        <v>2</v>
      </c>
      <c r="R305" s="331" t="str">
        <f t="shared" si="1"/>
        <v>Gastos_Gerais</v>
      </c>
      <c r="S305" s="331" t="str">
        <f>IF(D305="","",IF(OR(D305=Plano!$A$1,D305=Plano!$B$1),"entrada","saída"))</f>
        <v>saída</v>
      </c>
      <c r="T305" s="332" t="s">
        <v>114</v>
      </c>
      <c r="U305" s="332" t="s">
        <v>114</v>
      </c>
      <c r="V305" s="333"/>
    </row>
    <row r="306" spans="1:22" ht="33" customHeight="1" x14ac:dyDescent="0.2">
      <c r="A306" s="277">
        <f>IF(B306="","",COUNT('Diário 5º PA'!$A$5:$A$2634)+ROW()-4)</f>
        <v>1613</v>
      </c>
      <c r="B306" s="278">
        <v>44306</v>
      </c>
      <c r="C306" s="259">
        <v>44228</v>
      </c>
      <c r="D306" s="252" t="s">
        <v>88</v>
      </c>
      <c r="E306" s="252" t="s">
        <v>90</v>
      </c>
      <c r="F306" s="257">
        <v>9997.1299999999992</v>
      </c>
      <c r="G306" s="252" t="s">
        <v>4303</v>
      </c>
      <c r="H306" s="252" t="s">
        <v>114</v>
      </c>
      <c r="I306" s="252" t="s">
        <v>488</v>
      </c>
      <c r="J306" s="250" t="s">
        <v>114</v>
      </c>
      <c r="K306" s="250" t="s">
        <v>466</v>
      </c>
      <c r="L306" s="250" t="s">
        <v>489</v>
      </c>
      <c r="M306" s="277" t="s">
        <v>114</v>
      </c>
      <c r="N306" s="278">
        <v>44306</v>
      </c>
      <c r="O306" s="329" t="s">
        <v>67</v>
      </c>
      <c r="P306" s="330">
        <f t="shared" ref="P306:Q306" si="302">IF(B306=0,0,IF(YEAR(B306)=$Q$1,MONTH(B306)-$P$1+1,(YEAR(B306)-$Q$1)*12-$P$1+1+MONTH(B306)))</f>
        <v>4</v>
      </c>
      <c r="Q306" s="330">
        <f t="shared" si="302"/>
        <v>2</v>
      </c>
      <c r="R306" s="331" t="str">
        <f t="shared" si="1"/>
        <v>Gastos_com_Pessoal</v>
      </c>
      <c r="S306" s="331" t="str">
        <f>IF(D306="","",IF(OR(D306=Plano!$A$1,D306=Plano!$B$1),"entrada","saída"))</f>
        <v>saída</v>
      </c>
      <c r="T306" s="332" t="s">
        <v>114</v>
      </c>
      <c r="U306" s="332" t="s">
        <v>114</v>
      </c>
      <c r="V306" s="333"/>
    </row>
    <row r="307" spans="1:22" ht="34.5" customHeight="1" x14ac:dyDescent="0.2">
      <c r="A307" s="277">
        <f>IF(B307="","",COUNT('Diário 5º PA'!$A$5:$A$2634)+ROW()-4)</f>
        <v>1614</v>
      </c>
      <c r="B307" s="278">
        <v>44306</v>
      </c>
      <c r="C307" s="259">
        <v>44256</v>
      </c>
      <c r="D307" s="252" t="s">
        <v>88</v>
      </c>
      <c r="E307" s="252" t="s">
        <v>90</v>
      </c>
      <c r="F307" s="257">
        <v>186.95</v>
      </c>
      <c r="G307" s="252" t="s">
        <v>4304</v>
      </c>
      <c r="H307" s="252" t="s">
        <v>114</v>
      </c>
      <c r="I307" s="252" t="s">
        <v>488</v>
      </c>
      <c r="J307" s="250" t="s">
        <v>114</v>
      </c>
      <c r="K307" s="250" t="s">
        <v>466</v>
      </c>
      <c r="L307" s="250" t="s">
        <v>489</v>
      </c>
      <c r="M307" s="277" t="s">
        <v>114</v>
      </c>
      <c r="N307" s="278">
        <v>44306</v>
      </c>
      <c r="O307" s="329" t="s">
        <v>67</v>
      </c>
      <c r="P307" s="330">
        <f t="shared" ref="P307:Q307" si="303">IF(B307=0,0,IF(YEAR(B307)=$Q$1,MONTH(B307)-$P$1+1,(YEAR(B307)-$Q$1)*12-$P$1+1+MONTH(B307)))</f>
        <v>4</v>
      </c>
      <c r="Q307" s="330">
        <f t="shared" si="303"/>
        <v>3</v>
      </c>
      <c r="R307" s="331" t="str">
        <f t="shared" si="1"/>
        <v>Gastos_com_Pessoal</v>
      </c>
      <c r="S307" s="331" t="str">
        <f>IF(D307="","",IF(OR(D307=Plano!$A$1,D307=Plano!$B$1),"entrada","saída"))</f>
        <v>saída</v>
      </c>
      <c r="T307" s="332" t="s">
        <v>114</v>
      </c>
      <c r="U307" s="332" t="s">
        <v>114</v>
      </c>
      <c r="V307" s="333"/>
    </row>
    <row r="308" spans="1:22" ht="44.25" customHeight="1" x14ac:dyDescent="0.2">
      <c r="A308" s="277">
        <f>IF(B308="","",COUNT('Diário 5º PA'!$A$5:$A$2634)+ROW()-4)</f>
        <v>1615</v>
      </c>
      <c r="B308" s="278">
        <v>44306</v>
      </c>
      <c r="C308" s="249">
        <v>44256</v>
      </c>
      <c r="D308" s="255" t="s">
        <v>88</v>
      </c>
      <c r="E308" s="255" t="s">
        <v>90</v>
      </c>
      <c r="F308" s="251">
        <v>6834.59</v>
      </c>
      <c r="G308" s="252" t="s">
        <v>4305</v>
      </c>
      <c r="H308" s="255" t="s">
        <v>114</v>
      </c>
      <c r="I308" s="250" t="s">
        <v>530</v>
      </c>
      <c r="J308" s="250" t="s">
        <v>114</v>
      </c>
      <c r="K308" s="255" t="s">
        <v>466</v>
      </c>
      <c r="L308" s="250" t="s">
        <v>547</v>
      </c>
      <c r="M308" s="277" t="s">
        <v>114</v>
      </c>
      <c r="N308" s="278">
        <v>44306</v>
      </c>
      <c r="O308" s="329" t="s">
        <v>67</v>
      </c>
      <c r="P308" s="330">
        <f t="shared" ref="P308:Q308" si="304">IF(B308=0,0,IF(YEAR(B308)=$Q$1,MONTH(B308)-$P$1+1,(YEAR(B308)-$Q$1)*12-$P$1+1+MONTH(B308)))</f>
        <v>4</v>
      </c>
      <c r="Q308" s="330">
        <f t="shared" si="304"/>
        <v>3</v>
      </c>
      <c r="R308" s="331" t="str">
        <f t="shared" si="1"/>
        <v>Gastos_com_Pessoal</v>
      </c>
      <c r="S308" s="331" t="str">
        <f>IF(D308="","",IF(OR(D308=Plano!$A$1,D308=Plano!$B$1),"entrada","saída"))</f>
        <v>saída</v>
      </c>
      <c r="T308" s="332" t="s">
        <v>114</v>
      </c>
      <c r="U308" s="332" t="s">
        <v>114</v>
      </c>
      <c r="V308" s="333"/>
    </row>
    <row r="309" spans="1:22" ht="45.75" customHeight="1" x14ac:dyDescent="0.2">
      <c r="A309" s="277">
        <f>IF(B309="","",COUNT('Diário 5º PA'!$A$5:$A$2634)+ROW()-4)</f>
        <v>1616</v>
      </c>
      <c r="B309" s="278">
        <v>44306</v>
      </c>
      <c r="C309" s="249">
        <v>44256</v>
      </c>
      <c r="D309" s="255" t="s">
        <v>88</v>
      </c>
      <c r="E309" s="255" t="s">
        <v>167</v>
      </c>
      <c r="F309" s="258">
        <v>22598.71</v>
      </c>
      <c r="G309" s="250" t="s">
        <v>4306</v>
      </c>
      <c r="H309" s="255" t="s">
        <v>114</v>
      </c>
      <c r="I309" s="250" t="s">
        <v>530</v>
      </c>
      <c r="J309" s="250" t="s">
        <v>114</v>
      </c>
      <c r="K309" s="255" t="s">
        <v>466</v>
      </c>
      <c r="L309" s="250" t="s">
        <v>547</v>
      </c>
      <c r="M309" s="277" t="s">
        <v>114</v>
      </c>
      <c r="N309" s="278">
        <v>44306</v>
      </c>
      <c r="O309" s="329" t="s">
        <v>67</v>
      </c>
      <c r="P309" s="330">
        <f t="shared" ref="P309:Q309" si="305">IF(B309=0,0,IF(YEAR(B309)=$Q$1,MONTH(B309)-$P$1+1,(YEAR(B309)-$Q$1)*12-$P$1+1+MONTH(B309)))</f>
        <v>4</v>
      </c>
      <c r="Q309" s="330">
        <f t="shared" si="305"/>
        <v>3</v>
      </c>
      <c r="R309" s="331" t="str">
        <f t="shared" si="1"/>
        <v>Gastos_com_Pessoal</v>
      </c>
      <c r="S309" s="331" t="str">
        <f>IF(D309="","",IF(OR(D309=Plano!$A$1,D309=Plano!$B$1),"entrada","saída"))</f>
        <v>saída</v>
      </c>
      <c r="T309" s="332" t="s">
        <v>114</v>
      </c>
      <c r="U309" s="332" t="s">
        <v>114</v>
      </c>
      <c r="V309" s="333"/>
    </row>
    <row r="310" spans="1:22" ht="42.75" customHeight="1" x14ac:dyDescent="0.2">
      <c r="A310" s="277">
        <f>IF(B310="","",COUNT('Diário 5º PA'!$A$5:$A$2634)+ROW()-4)</f>
        <v>1617</v>
      </c>
      <c r="B310" s="278">
        <v>44306</v>
      </c>
      <c r="C310" s="259">
        <v>44228</v>
      </c>
      <c r="D310" s="252" t="s">
        <v>99</v>
      </c>
      <c r="E310" s="252" t="s">
        <v>266</v>
      </c>
      <c r="F310" s="257">
        <v>854.7</v>
      </c>
      <c r="G310" s="252" t="s">
        <v>4307</v>
      </c>
      <c r="H310" s="252" t="s">
        <v>129</v>
      </c>
      <c r="I310" s="250" t="s">
        <v>530</v>
      </c>
      <c r="J310" s="250" t="s">
        <v>114</v>
      </c>
      <c r="K310" s="255" t="s">
        <v>466</v>
      </c>
      <c r="L310" s="250" t="s">
        <v>547</v>
      </c>
      <c r="M310" s="277" t="s">
        <v>114</v>
      </c>
      <c r="N310" s="278">
        <v>44306</v>
      </c>
      <c r="O310" s="329" t="s">
        <v>67</v>
      </c>
      <c r="P310" s="330">
        <f t="shared" ref="P310:Q310" si="306">IF(B310=0,0,IF(YEAR(B310)=$Q$1,MONTH(B310)-$P$1+1,(YEAR(B310)-$Q$1)*12-$P$1+1+MONTH(B310)))</f>
        <v>4</v>
      </c>
      <c r="Q310" s="330">
        <f t="shared" si="306"/>
        <v>2</v>
      </c>
      <c r="R310" s="331" t="str">
        <f t="shared" si="1"/>
        <v>Gastos_Gerais</v>
      </c>
      <c r="S310" s="331" t="str">
        <f>IF(D310="","",IF(OR(D310=Plano!$A$1,D310=Plano!$B$1),"entrada","saída"))</f>
        <v>saída</v>
      </c>
      <c r="T310" s="332" t="s">
        <v>114</v>
      </c>
      <c r="U310" s="332" t="s">
        <v>114</v>
      </c>
      <c r="V310" s="333"/>
    </row>
    <row r="311" spans="1:22" ht="38.25" customHeight="1" x14ac:dyDescent="0.2">
      <c r="A311" s="277">
        <f>IF(B311="","",COUNT('Diário 5º PA'!$A$5:$A$2634)+ROW()-4)</f>
        <v>1618</v>
      </c>
      <c r="B311" s="278">
        <v>44306</v>
      </c>
      <c r="C311" s="249">
        <v>44287</v>
      </c>
      <c r="D311" s="255" t="s">
        <v>99</v>
      </c>
      <c r="E311" s="255" t="s">
        <v>272</v>
      </c>
      <c r="F311" s="258">
        <v>10.45</v>
      </c>
      <c r="G311" s="255" t="s">
        <v>4308</v>
      </c>
      <c r="H311" s="252" t="s">
        <v>125</v>
      </c>
      <c r="I311" s="250" t="s">
        <v>949</v>
      </c>
      <c r="J311" s="255" t="s">
        <v>950</v>
      </c>
      <c r="K311" s="255" t="s">
        <v>951</v>
      </c>
      <c r="L311" s="250" t="s">
        <v>947</v>
      </c>
      <c r="M311" s="336" t="s">
        <v>114</v>
      </c>
      <c r="N311" s="278">
        <v>44306</v>
      </c>
      <c r="O311" s="329" t="s">
        <v>67</v>
      </c>
      <c r="P311" s="330">
        <f t="shared" ref="P311:Q311" si="307">IF(B311=0,0,IF(YEAR(B311)=$Q$1,MONTH(B311)-$P$1+1,(YEAR(B311)-$Q$1)*12-$P$1+1+MONTH(B311)))</f>
        <v>4</v>
      </c>
      <c r="Q311" s="330">
        <f t="shared" si="307"/>
        <v>4</v>
      </c>
      <c r="R311" s="331" t="str">
        <f t="shared" si="1"/>
        <v>Gastos_Gerais</v>
      </c>
      <c r="S311" s="331" t="str">
        <f>IF(D311="","",IF(OR(D311=Plano!$A$1,D311=Plano!$B$1),"entrada","saída"))</f>
        <v>saída</v>
      </c>
      <c r="T311" s="332" t="s">
        <v>114</v>
      </c>
      <c r="U311" s="332" t="s">
        <v>114</v>
      </c>
      <c r="V311" s="333"/>
    </row>
    <row r="312" spans="1:22" ht="38.25" customHeight="1" x14ac:dyDescent="0.2">
      <c r="A312" s="277">
        <f>IF(B312="","",COUNT('Diário 5º PA'!$A$5:$A$2634)+ROW()-4)</f>
        <v>1619</v>
      </c>
      <c r="B312" s="278">
        <v>44306</v>
      </c>
      <c r="C312" s="259">
        <v>44228</v>
      </c>
      <c r="D312" s="252" t="s">
        <v>104</v>
      </c>
      <c r="E312" s="252" t="s">
        <v>104</v>
      </c>
      <c r="F312" s="257">
        <v>775</v>
      </c>
      <c r="G312" s="252" t="s">
        <v>4309</v>
      </c>
      <c r="H312" s="252" t="s">
        <v>104</v>
      </c>
      <c r="I312" s="252" t="s">
        <v>530</v>
      </c>
      <c r="J312" s="250" t="s">
        <v>114</v>
      </c>
      <c r="K312" s="250" t="s">
        <v>466</v>
      </c>
      <c r="L312" s="250" t="s">
        <v>547</v>
      </c>
      <c r="M312" s="336" t="s">
        <v>114</v>
      </c>
      <c r="N312" s="278">
        <v>44306</v>
      </c>
      <c r="O312" s="329" t="s">
        <v>68</v>
      </c>
      <c r="P312" s="330">
        <f t="shared" ref="P312:Q312" si="308">IF(B312=0,0,IF(YEAR(B312)=$Q$1,MONTH(B312)-$P$1+1,(YEAR(B312)-$Q$1)*12-$P$1+1+MONTH(B312)))</f>
        <v>4</v>
      </c>
      <c r="Q312" s="330">
        <f t="shared" si="308"/>
        <v>2</v>
      </c>
      <c r="R312" s="331" t="str">
        <f t="shared" si="1"/>
        <v>Gastos_custeados_por_captação</v>
      </c>
      <c r="S312" s="331" t="str">
        <f>IF(D312="","",IF(OR(D312=Plano!$A$1,D312=Plano!$B$1),"entrada","saída"))</f>
        <v>saída</v>
      </c>
      <c r="T312" s="332" t="s">
        <v>114</v>
      </c>
      <c r="U312" s="332" t="s">
        <v>114</v>
      </c>
      <c r="V312" s="333"/>
    </row>
    <row r="313" spans="1:22" ht="38.25" customHeight="1" x14ac:dyDescent="0.2">
      <c r="A313" s="277">
        <f>IF(B313="","",COUNT('Diário 5º PA'!$A$5:$A$2634)+ROW()-4)</f>
        <v>1620</v>
      </c>
      <c r="B313" s="278">
        <v>44306</v>
      </c>
      <c r="C313" s="259">
        <v>44228</v>
      </c>
      <c r="D313" s="252" t="s">
        <v>104</v>
      </c>
      <c r="E313" s="252" t="s">
        <v>104</v>
      </c>
      <c r="F313" s="257">
        <v>713</v>
      </c>
      <c r="G313" s="252" t="s">
        <v>4310</v>
      </c>
      <c r="H313" s="252" t="s">
        <v>104</v>
      </c>
      <c r="I313" s="252" t="s">
        <v>530</v>
      </c>
      <c r="J313" s="250" t="s">
        <v>114</v>
      </c>
      <c r="K313" s="250" t="s">
        <v>466</v>
      </c>
      <c r="L313" s="250" t="s">
        <v>547</v>
      </c>
      <c r="M313" s="336" t="s">
        <v>114</v>
      </c>
      <c r="N313" s="278">
        <v>44306</v>
      </c>
      <c r="O313" s="329" t="s">
        <v>68</v>
      </c>
      <c r="P313" s="330">
        <f t="shared" ref="P313:Q313" si="309">IF(B313=0,0,IF(YEAR(B313)=$Q$1,MONTH(B313)-$P$1+1,(YEAR(B313)-$Q$1)*12-$P$1+1+MONTH(B313)))</f>
        <v>4</v>
      </c>
      <c r="Q313" s="330">
        <f t="shared" si="309"/>
        <v>2</v>
      </c>
      <c r="R313" s="331" t="str">
        <f t="shared" si="1"/>
        <v>Gastos_custeados_por_captação</v>
      </c>
      <c r="S313" s="331" t="str">
        <f>IF(D313="","",IF(OR(D313=Plano!$A$1,D313=Plano!$B$1),"entrada","saída"))</f>
        <v>saída</v>
      </c>
      <c r="T313" s="332" t="s">
        <v>114</v>
      </c>
      <c r="U313" s="332" t="s">
        <v>114</v>
      </c>
      <c r="V313" s="333"/>
    </row>
    <row r="314" spans="1:22" ht="38.25" customHeight="1" x14ac:dyDescent="0.2">
      <c r="A314" s="277">
        <f>IF(B314="","",COUNT('Diário 5º PA'!$A$5:$A$2634)+ROW()-4)</f>
        <v>1621</v>
      </c>
      <c r="B314" s="278">
        <v>44306</v>
      </c>
      <c r="C314" s="259">
        <v>44228</v>
      </c>
      <c r="D314" s="252" t="s">
        <v>104</v>
      </c>
      <c r="E314" s="252" t="s">
        <v>104</v>
      </c>
      <c r="F314" s="257">
        <v>775</v>
      </c>
      <c r="G314" s="252" t="s">
        <v>4311</v>
      </c>
      <c r="H314" s="252" t="s">
        <v>104</v>
      </c>
      <c r="I314" s="252" t="s">
        <v>530</v>
      </c>
      <c r="J314" s="250" t="s">
        <v>114</v>
      </c>
      <c r="K314" s="250" t="s">
        <v>466</v>
      </c>
      <c r="L314" s="250" t="s">
        <v>547</v>
      </c>
      <c r="M314" s="336" t="s">
        <v>114</v>
      </c>
      <c r="N314" s="278">
        <v>44306</v>
      </c>
      <c r="O314" s="329" t="s">
        <v>68</v>
      </c>
      <c r="P314" s="330">
        <f t="shared" ref="P314:Q314" si="310">IF(B314=0,0,IF(YEAR(B314)=$Q$1,MONTH(B314)-$P$1+1,(YEAR(B314)-$Q$1)*12-$P$1+1+MONTH(B314)))</f>
        <v>4</v>
      </c>
      <c r="Q314" s="330">
        <f t="shared" si="310"/>
        <v>2</v>
      </c>
      <c r="R314" s="331" t="str">
        <f t="shared" si="1"/>
        <v>Gastos_custeados_por_captação</v>
      </c>
      <c r="S314" s="331" t="str">
        <f>IF(D314="","",IF(OR(D314=Plano!$A$1,D314=Plano!$B$1),"entrada","saída"))</f>
        <v>saída</v>
      </c>
      <c r="T314" s="332" t="s">
        <v>114</v>
      </c>
      <c r="U314" s="332" t="s">
        <v>114</v>
      </c>
      <c r="V314" s="333"/>
    </row>
    <row r="315" spans="1:22" ht="38.25" customHeight="1" x14ac:dyDescent="0.2">
      <c r="A315" s="277">
        <f>IF(B315="","",COUNT('Diário 5º PA'!$A$5:$A$2634)+ROW()-4)</f>
        <v>1622</v>
      </c>
      <c r="B315" s="278">
        <v>44306</v>
      </c>
      <c r="C315" s="259">
        <v>44228</v>
      </c>
      <c r="D315" s="252" t="s">
        <v>104</v>
      </c>
      <c r="E315" s="252" t="s">
        <v>104</v>
      </c>
      <c r="F315" s="257">
        <v>620</v>
      </c>
      <c r="G315" s="252" t="s">
        <v>4312</v>
      </c>
      <c r="H315" s="252" t="s">
        <v>104</v>
      </c>
      <c r="I315" s="252" t="s">
        <v>530</v>
      </c>
      <c r="J315" s="250" t="s">
        <v>114</v>
      </c>
      <c r="K315" s="250" t="s">
        <v>466</v>
      </c>
      <c r="L315" s="250" t="s">
        <v>547</v>
      </c>
      <c r="M315" s="336" t="s">
        <v>114</v>
      </c>
      <c r="N315" s="278">
        <v>44306</v>
      </c>
      <c r="O315" s="329" t="s">
        <v>68</v>
      </c>
      <c r="P315" s="330">
        <f t="shared" ref="P315:Q315" si="311">IF(B315=0,0,IF(YEAR(B315)=$Q$1,MONTH(B315)-$P$1+1,(YEAR(B315)-$Q$1)*12-$P$1+1+MONTH(B315)))</f>
        <v>4</v>
      </c>
      <c r="Q315" s="330">
        <f t="shared" si="311"/>
        <v>2</v>
      </c>
      <c r="R315" s="331" t="str">
        <f t="shared" si="1"/>
        <v>Gastos_custeados_por_captação</v>
      </c>
      <c r="S315" s="331" t="str">
        <f>IF(D315="","",IF(OR(D315=Plano!$A$1,D315=Plano!$B$1),"entrada","saída"))</f>
        <v>saída</v>
      </c>
      <c r="T315" s="332" t="s">
        <v>114</v>
      </c>
      <c r="U315" s="332" t="s">
        <v>114</v>
      </c>
      <c r="V315" s="333"/>
    </row>
    <row r="316" spans="1:22" ht="38.25" customHeight="1" x14ac:dyDescent="0.2">
      <c r="A316" s="277">
        <f>IF(B316="","",COUNT('Diário 5º PA'!$A$5:$A$2634)+ROW()-4)</f>
        <v>1623</v>
      </c>
      <c r="B316" s="278">
        <v>44306</v>
      </c>
      <c r="C316" s="259">
        <v>44228</v>
      </c>
      <c r="D316" s="252" t="s">
        <v>104</v>
      </c>
      <c r="E316" s="252" t="s">
        <v>104</v>
      </c>
      <c r="F316" s="257">
        <v>198.4</v>
      </c>
      <c r="G316" s="252" t="s">
        <v>4313</v>
      </c>
      <c r="H316" s="252" t="s">
        <v>104</v>
      </c>
      <c r="I316" s="252" t="s">
        <v>530</v>
      </c>
      <c r="J316" s="250" t="s">
        <v>114</v>
      </c>
      <c r="K316" s="250" t="s">
        <v>466</v>
      </c>
      <c r="L316" s="250" t="s">
        <v>547</v>
      </c>
      <c r="M316" s="336" t="s">
        <v>114</v>
      </c>
      <c r="N316" s="278">
        <v>44306</v>
      </c>
      <c r="O316" s="329" t="s">
        <v>68</v>
      </c>
      <c r="P316" s="330">
        <f t="shared" ref="P316:Q316" si="312">IF(B316=0,0,IF(YEAR(B316)=$Q$1,MONTH(B316)-$P$1+1,(YEAR(B316)-$Q$1)*12-$P$1+1+MONTH(B316)))</f>
        <v>4</v>
      </c>
      <c r="Q316" s="330">
        <f t="shared" si="312"/>
        <v>2</v>
      </c>
      <c r="R316" s="331" t="str">
        <f t="shared" si="1"/>
        <v>Gastos_custeados_por_captação</v>
      </c>
      <c r="S316" s="331" t="str">
        <f>IF(D316="","",IF(OR(D316=Plano!$A$1,D316=Plano!$B$1),"entrada","saída"))</f>
        <v>saída</v>
      </c>
      <c r="T316" s="332" t="s">
        <v>114</v>
      </c>
      <c r="U316" s="332" t="s">
        <v>114</v>
      </c>
      <c r="V316" s="333"/>
    </row>
    <row r="317" spans="1:22" ht="38.25" customHeight="1" x14ac:dyDescent="0.2">
      <c r="A317" s="277">
        <f>IF(B317="","",COUNT('Diário 5º PA'!$A$5:$A$2634)+ROW()-4)</f>
        <v>1624</v>
      </c>
      <c r="B317" s="278">
        <v>44306</v>
      </c>
      <c r="C317" s="259">
        <v>44228</v>
      </c>
      <c r="D317" s="252" t="s">
        <v>104</v>
      </c>
      <c r="E317" s="252" t="s">
        <v>104</v>
      </c>
      <c r="F317" s="257">
        <v>775</v>
      </c>
      <c r="G317" s="252" t="s">
        <v>4314</v>
      </c>
      <c r="H317" s="252" t="s">
        <v>104</v>
      </c>
      <c r="I317" s="252" t="s">
        <v>530</v>
      </c>
      <c r="J317" s="250" t="s">
        <v>114</v>
      </c>
      <c r="K317" s="250" t="s">
        <v>466</v>
      </c>
      <c r="L317" s="250" t="s">
        <v>547</v>
      </c>
      <c r="M317" s="336" t="s">
        <v>114</v>
      </c>
      <c r="N317" s="278">
        <v>44306</v>
      </c>
      <c r="O317" s="329" t="s">
        <v>68</v>
      </c>
      <c r="P317" s="330">
        <f t="shared" ref="P317:Q317" si="313">IF(B317=0,0,IF(YEAR(B317)=$Q$1,MONTH(B317)-$P$1+1,(YEAR(B317)-$Q$1)*12-$P$1+1+MONTH(B317)))</f>
        <v>4</v>
      </c>
      <c r="Q317" s="330">
        <f t="shared" si="313"/>
        <v>2</v>
      </c>
      <c r="R317" s="331" t="str">
        <f t="shared" si="1"/>
        <v>Gastos_custeados_por_captação</v>
      </c>
      <c r="S317" s="331" t="str">
        <f>IF(D317="","",IF(OR(D317=Plano!$A$1,D317=Plano!$B$1),"entrada","saída"))</f>
        <v>saída</v>
      </c>
      <c r="T317" s="332" t="s">
        <v>114</v>
      </c>
      <c r="U317" s="332" t="s">
        <v>114</v>
      </c>
      <c r="V317" s="333"/>
    </row>
    <row r="318" spans="1:22" ht="38.25" customHeight="1" x14ac:dyDescent="0.2">
      <c r="A318" s="277">
        <f>IF(B318="","",COUNT('Diário 5º PA'!$A$5:$A$2634)+ROW()-4)</f>
        <v>1625</v>
      </c>
      <c r="B318" s="278">
        <v>44306</v>
      </c>
      <c r="C318" s="259">
        <v>44228</v>
      </c>
      <c r="D318" s="252" t="s">
        <v>104</v>
      </c>
      <c r="E318" s="252" t="s">
        <v>104</v>
      </c>
      <c r="F318" s="257">
        <v>496</v>
      </c>
      <c r="G318" s="252" t="s">
        <v>4315</v>
      </c>
      <c r="H318" s="252" t="s">
        <v>104</v>
      </c>
      <c r="I318" s="252" t="s">
        <v>530</v>
      </c>
      <c r="J318" s="250" t="s">
        <v>114</v>
      </c>
      <c r="K318" s="250" t="s">
        <v>466</v>
      </c>
      <c r="L318" s="250" t="s">
        <v>547</v>
      </c>
      <c r="M318" s="336" t="s">
        <v>114</v>
      </c>
      <c r="N318" s="278">
        <v>44306</v>
      </c>
      <c r="O318" s="329" t="s">
        <v>68</v>
      </c>
      <c r="P318" s="330">
        <f t="shared" ref="P318:Q318" si="314">IF(B318=0,0,IF(YEAR(B318)=$Q$1,MONTH(B318)-$P$1+1,(YEAR(B318)-$Q$1)*12-$P$1+1+MONTH(B318)))</f>
        <v>4</v>
      </c>
      <c r="Q318" s="330">
        <f t="shared" si="314"/>
        <v>2</v>
      </c>
      <c r="R318" s="331" t="str">
        <f t="shared" si="1"/>
        <v>Gastos_custeados_por_captação</v>
      </c>
      <c r="S318" s="331" t="str">
        <f>IF(D318="","",IF(OR(D318=Plano!$A$1,D318=Plano!$B$1),"entrada","saída"))</f>
        <v>saída</v>
      </c>
      <c r="T318" s="332" t="s">
        <v>114</v>
      </c>
      <c r="U318" s="332" t="s">
        <v>114</v>
      </c>
      <c r="V318" s="333"/>
    </row>
    <row r="319" spans="1:22" ht="38.25" customHeight="1" x14ac:dyDescent="0.2">
      <c r="A319" s="277">
        <f>IF(B319="","",COUNT('Diário 5º PA'!$A$5:$A$2634)+ROW()-4)</f>
        <v>1626</v>
      </c>
      <c r="B319" s="278">
        <v>44306</v>
      </c>
      <c r="C319" s="259">
        <v>44228</v>
      </c>
      <c r="D319" s="252" t="s">
        <v>104</v>
      </c>
      <c r="E319" s="252" t="s">
        <v>104</v>
      </c>
      <c r="F319" s="257">
        <v>24.08</v>
      </c>
      <c r="G319" s="252" t="s">
        <v>4316</v>
      </c>
      <c r="H319" s="252" t="s">
        <v>104</v>
      </c>
      <c r="I319" s="252" t="s">
        <v>488</v>
      </c>
      <c r="J319" s="250" t="s">
        <v>114</v>
      </c>
      <c r="K319" s="250" t="s">
        <v>466</v>
      </c>
      <c r="L319" s="250" t="s">
        <v>489</v>
      </c>
      <c r="M319" s="336" t="s">
        <v>114</v>
      </c>
      <c r="N319" s="278">
        <v>44306</v>
      </c>
      <c r="O319" s="329" t="s">
        <v>68</v>
      </c>
      <c r="P319" s="330">
        <f t="shared" ref="P319:Q319" si="315">IF(B319=0,0,IF(YEAR(B319)=$Q$1,MONTH(B319)-$P$1+1,(YEAR(B319)-$Q$1)*12-$P$1+1+MONTH(B319)))</f>
        <v>4</v>
      </c>
      <c r="Q319" s="330">
        <f t="shared" si="315"/>
        <v>2</v>
      </c>
      <c r="R319" s="331" t="str">
        <f t="shared" si="1"/>
        <v>Gastos_custeados_por_captação</v>
      </c>
      <c r="S319" s="331" t="str">
        <f>IF(D319="","",IF(OR(D319=Plano!$A$1,D319=Plano!$B$1),"entrada","saída"))</f>
        <v>saída</v>
      </c>
      <c r="T319" s="332" t="s">
        <v>114</v>
      </c>
      <c r="U319" s="332" t="s">
        <v>114</v>
      </c>
      <c r="V319" s="333"/>
    </row>
    <row r="320" spans="1:22" ht="38.25" customHeight="1" x14ac:dyDescent="0.2">
      <c r="A320" s="277">
        <f>IF(B320="","",COUNT('Diário 5º PA'!$A$5:$A$2634)+ROW()-4)</f>
        <v>1627</v>
      </c>
      <c r="B320" s="278">
        <v>44306</v>
      </c>
      <c r="C320" s="259">
        <v>44228</v>
      </c>
      <c r="D320" s="252" t="s">
        <v>104</v>
      </c>
      <c r="E320" s="252" t="s">
        <v>104</v>
      </c>
      <c r="F320" s="257">
        <v>10.73</v>
      </c>
      <c r="G320" s="252" t="s">
        <v>4317</v>
      </c>
      <c r="H320" s="252" t="s">
        <v>104</v>
      </c>
      <c r="I320" s="252" t="s">
        <v>488</v>
      </c>
      <c r="J320" s="250" t="s">
        <v>114</v>
      </c>
      <c r="K320" s="250" t="s">
        <v>466</v>
      </c>
      <c r="L320" s="250" t="s">
        <v>489</v>
      </c>
      <c r="M320" s="336" t="s">
        <v>114</v>
      </c>
      <c r="N320" s="278">
        <v>44306</v>
      </c>
      <c r="O320" s="329" t="s">
        <v>68</v>
      </c>
      <c r="P320" s="330">
        <f t="shared" ref="P320:Q320" si="316">IF(B320=0,0,IF(YEAR(B320)=$Q$1,MONTH(B320)-$P$1+1,(YEAR(B320)-$Q$1)*12-$P$1+1+MONTH(B320)))</f>
        <v>4</v>
      </c>
      <c r="Q320" s="330">
        <f t="shared" si="316"/>
        <v>2</v>
      </c>
      <c r="R320" s="331" t="str">
        <f t="shared" si="1"/>
        <v>Gastos_custeados_por_captação</v>
      </c>
      <c r="S320" s="331" t="str">
        <f>IF(D320="","",IF(OR(D320=Plano!$A$1,D320=Plano!$B$1),"entrada","saída"))</f>
        <v>saída</v>
      </c>
      <c r="T320" s="332" t="s">
        <v>114</v>
      </c>
      <c r="U320" s="332" t="s">
        <v>114</v>
      </c>
      <c r="V320" s="333"/>
    </row>
    <row r="321" spans="1:22" ht="38.25" customHeight="1" x14ac:dyDescent="0.2">
      <c r="A321" s="277">
        <f>IF(B321="","",COUNT('Diário 5º PA'!$A$5:$A$2634)+ROW()-4)</f>
        <v>1628</v>
      </c>
      <c r="B321" s="278">
        <v>44306</v>
      </c>
      <c r="C321" s="259">
        <v>44228</v>
      </c>
      <c r="D321" s="252" t="s">
        <v>104</v>
      </c>
      <c r="E321" s="252" t="s">
        <v>104</v>
      </c>
      <c r="F321" s="257">
        <v>24.08</v>
      </c>
      <c r="G321" s="252" t="s">
        <v>4318</v>
      </c>
      <c r="H321" s="252" t="s">
        <v>104</v>
      </c>
      <c r="I321" s="252" t="s">
        <v>488</v>
      </c>
      <c r="J321" s="250" t="s">
        <v>114</v>
      </c>
      <c r="K321" s="250" t="s">
        <v>466</v>
      </c>
      <c r="L321" s="250" t="s">
        <v>489</v>
      </c>
      <c r="M321" s="336" t="s">
        <v>114</v>
      </c>
      <c r="N321" s="278">
        <v>44306</v>
      </c>
      <c r="O321" s="329" t="s">
        <v>68</v>
      </c>
      <c r="P321" s="330">
        <f t="shared" ref="P321:Q321" si="317">IF(B321=0,0,IF(YEAR(B321)=$Q$1,MONTH(B321)-$P$1+1,(YEAR(B321)-$Q$1)*12-$P$1+1+MONTH(B321)))</f>
        <v>4</v>
      </c>
      <c r="Q321" s="330">
        <f t="shared" si="317"/>
        <v>2</v>
      </c>
      <c r="R321" s="331" t="str">
        <f t="shared" si="1"/>
        <v>Gastos_custeados_por_captação</v>
      </c>
      <c r="S321" s="331" t="str">
        <f>IF(D321="","",IF(OR(D321=Plano!$A$1,D321=Plano!$B$1),"entrada","saída"))</f>
        <v>saída</v>
      </c>
      <c r="T321" s="332" t="s">
        <v>114</v>
      </c>
      <c r="U321" s="332" t="s">
        <v>114</v>
      </c>
      <c r="V321" s="333"/>
    </row>
    <row r="322" spans="1:22" ht="38.25" customHeight="1" x14ac:dyDescent="0.2">
      <c r="A322" s="277">
        <f>IF(B322="","",COUNT('Diário 5º PA'!$A$5:$A$2634)+ROW()-4)</f>
        <v>1629</v>
      </c>
      <c r="B322" s="278">
        <v>44306</v>
      </c>
      <c r="C322" s="259">
        <v>44228</v>
      </c>
      <c r="D322" s="252" t="s">
        <v>104</v>
      </c>
      <c r="E322" s="252" t="s">
        <v>104</v>
      </c>
      <c r="F322" s="257">
        <v>24.08</v>
      </c>
      <c r="G322" s="252" t="s">
        <v>4319</v>
      </c>
      <c r="H322" s="252" t="s">
        <v>104</v>
      </c>
      <c r="I322" s="252" t="s">
        <v>488</v>
      </c>
      <c r="J322" s="250" t="s">
        <v>114</v>
      </c>
      <c r="K322" s="250" t="s">
        <v>466</v>
      </c>
      <c r="L322" s="250" t="s">
        <v>489</v>
      </c>
      <c r="M322" s="336" t="s">
        <v>114</v>
      </c>
      <c r="N322" s="278">
        <v>44306</v>
      </c>
      <c r="O322" s="329" t="s">
        <v>68</v>
      </c>
      <c r="P322" s="330">
        <f t="shared" ref="P322:Q322" si="318">IF(B322=0,0,IF(YEAR(B322)=$Q$1,MONTH(B322)-$P$1+1,(YEAR(B322)-$Q$1)*12-$P$1+1+MONTH(B322)))</f>
        <v>4</v>
      </c>
      <c r="Q322" s="330">
        <f t="shared" si="318"/>
        <v>2</v>
      </c>
      <c r="R322" s="331" t="str">
        <f t="shared" si="1"/>
        <v>Gastos_custeados_por_captação</v>
      </c>
      <c r="S322" s="331" t="str">
        <f>IF(D322="","",IF(OR(D322=Plano!$A$1,D322=Plano!$B$1),"entrada","saída"))</f>
        <v>saída</v>
      </c>
      <c r="T322" s="332" t="s">
        <v>114</v>
      </c>
      <c r="U322" s="332" t="s">
        <v>114</v>
      </c>
      <c r="V322" s="333"/>
    </row>
    <row r="323" spans="1:22" ht="49.5" customHeight="1" x14ac:dyDescent="0.2">
      <c r="A323" s="277">
        <f>IF(B323="","",COUNT('Diário 5º PA'!$A$5:$A$2634)+ROW()-4)</f>
        <v>1630</v>
      </c>
      <c r="B323" s="278">
        <v>44306</v>
      </c>
      <c r="C323" s="259">
        <v>44228</v>
      </c>
      <c r="D323" s="252" t="s">
        <v>104</v>
      </c>
      <c r="E323" s="252" t="s">
        <v>104</v>
      </c>
      <c r="F323" s="257">
        <v>351.54</v>
      </c>
      <c r="G323" s="252" t="s">
        <v>4320</v>
      </c>
      <c r="H323" s="252" t="s">
        <v>104</v>
      </c>
      <c r="I323" s="252" t="s">
        <v>530</v>
      </c>
      <c r="J323" s="250" t="s">
        <v>114</v>
      </c>
      <c r="K323" s="250" t="s">
        <v>466</v>
      </c>
      <c r="L323" s="250" t="s">
        <v>547</v>
      </c>
      <c r="M323" s="336" t="s">
        <v>114</v>
      </c>
      <c r="N323" s="278">
        <v>44306</v>
      </c>
      <c r="O323" s="329" t="s">
        <v>69</v>
      </c>
      <c r="P323" s="330">
        <f t="shared" ref="P323:Q323" si="319">IF(B323=0,0,IF(YEAR(B323)=$Q$1,MONTH(B323)-$P$1+1,(YEAR(B323)-$Q$1)*12-$P$1+1+MONTH(B323)))</f>
        <v>4</v>
      </c>
      <c r="Q323" s="330">
        <f t="shared" si="319"/>
        <v>2</v>
      </c>
      <c r="R323" s="331" t="str">
        <f t="shared" si="1"/>
        <v>Gastos_custeados_por_captação</v>
      </c>
      <c r="S323" s="331" t="str">
        <f>IF(D323="","",IF(OR(D323=Plano!$A$1,D323=Plano!$B$1),"entrada","saída"))</f>
        <v>saída</v>
      </c>
      <c r="T323" s="332" t="s">
        <v>114</v>
      </c>
      <c r="U323" s="332" t="s">
        <v>114</v>
      </c>
      <c r="V323" s="333"/>
    </row>
    <row r="324" spans="1:22" ht="63" customHeight="1" x14ac:dyDescent="0.2">
      <c r="A324" s="277">
        <f>IF(B324="","",COUNT('Diário 5º PA'!$A$5:$A$2634)+ROW()-4)</f>
        <v>1631</v>
      </c>
      <c r="B324" s="278">
        <v>44306</v>
      </c>
      <c r="C324" s="259">
        <v>44228</v>
      </c>
      <c r="D324" s="252" t="s">
        <v>104</v>
      </c>
      <c r="E324" s="252" t="s">
        <v>104</v>
      </c>
      <c r="F324" s="257">
        <v>351.54</v>
      </c>
      <c r="G324" s="252" t="s">
        <v>4321</v>
      </c>
      <c r="H324" s="252" t="s">
        <v>104</v>
      </c>
      <c r="I324" s="252" t="s">
        <v>530</v>
      </c>
      <c r="J324" s="250" t="s">
        <v>114</v>
      </c>
      <c r="K324" s="250" t="s">
        <v>466</v>
      </c>
      <c r="L324" s="250" t="s">
        <v>547</v>
      </c>
      <c r="M324" s="336" t="s">
        <v>114</v>
      </c>
      <c r="N324" s="278">
        <v>44306</v>
      </c>
      <c r="O324" s="329" t="s">
        <v>69</v>
      </c>
      <c r="P324" s="330">
        <f t="shared" ref="P324:Q324" si="320">IF(B324=0,0,IF(YEAR(B324)=$Q$1,MONTH(B324)-$P$1+1,(YEAR(B324)-$Q$1)*12-$P$1+1+MONTH(B324)))</f>
        <v>4</v>
      </c>
      <c r="Q324" s="330">
        <f t="shared" si="320"/>
        <v>2</v>
      </c>
      <c r="R324" s="331" t="str">
        <f t="shared" si="1"/>
        <v>Gastos_custeados_por_captação</v>
      </c>
      <c r="S324" s="331" t="str">
        <f>IF(D324="","",IF(OR(D324=Plano!$A$1,D324=Plano!$B$1),"entrada","saída"))</f>
        <v>saída</v>
      </c>
      <c r="T324" s="332" t="s">
        <v>114</v>
      </c>
      <c r="U324" s="332" t="s">
        <v>114</v>
      </c>
      <c r="V324" s="333"/>
    </row>
    <row r="325" spans="1:22" ht="53.25" customHeight="1" x14ac:dyDescent="0.2">
      <c r="A325" s="277">
        <f>IF(B325="","",COUNT('Diário 5º PA'!$A$5:$A$2634)+ROW()-4)</f>
        <v>1632</v>
      </c>
      <c r="B325" s="278">
        <v>44306</v>
      </c>
      <c r="C325" s="259">
        <v>44228</v>
      </c>
      <c r="D325" s="252" t="s">
        <v>104</v>
      </c>
      <c r="E325" s="252" t="s">
        <v>104</v>
      </c>
      <c r="F325" s="257">
        <v>775</v>
      </c>
      <c r="G325" s="252" t="s">
        <v>4322</v>
      </c>
      <c r="H325" s="252" t="s">
        <v>104</v>
      </c>
      <c r="I325" s="252" t="s">
        <v>530</v>
      </c>
      <c r="J325" s="250" t="s">
        <v>114</v>
      </c>
      <c r="K325" s="250" t="s">
        <v>466</v>
      </c>
      <c r="L325" s="250" t="s">
        <v>547</v>
      </c>
      <c r="M325" s="336" t="s">
        <v>114</v>
      </c>
      <c r="N325" s="278">
        <v>44306</v>
      </c>
      <c r="O325" s="329" t="s">
        <v>69</v>
      </c>
      <c r="P325" s="330">
        <f t="shared" ref="P325:Q325" si="321">IF(B325=0,0,IF(YEAR(B325)=$Q$1,MONTH(B325)-$P$1+1,(YEAR(B325)-$Q$1)*12-$P$1+1+MONTH(B325)))</f>
        <v>4</v>
      </c>
      <c r="Q325" s="330">
        <f t="shared" si="321"/>
        <v>2</v>
      </c>
      <c r="R325" s="331" t="str">
        <f t="shared" si="1"/>
        <v>Gastos_custeados_por_captação</v>
      </c>
      <c r="S325" s="331" t="str">
        <f>IF(D325="","",IF(OR(D325=Plano!$A$1,D325=Plano!$B$1),"entrada","saída"))</f>
        <v>saída</v>
      </c>
      <c r="T325" s="332" t="s">
        <v>114</v>
      </c>
      <c r="U325" s="332" t="s">
        <v>114</v>
      </c>
      <c r="V325" s="333"/>
    </row>
    <row r="326" spans="1:22" ht="54" customHeight="1" x14ac:dyDescent="0.2">
      <c r="A326" s="277">
        <f>IF(B326="","",COUNT('Diário 5º PA'!$A$5:$A$2634)+ROW()-4)</f>
        <v>1633</v>
      </c>
      <c r="B326" s="278">
        <v>44306</v>
      </c>
      <c r="C326" s="259">
        <v>44228</v>
      </c>
      <c r="D326" s="252" t="s">
        <v>104</v>
      </c>
      <c r="E326" s="252" t="s">
        <v>104</v>
      </c>
      <c r="F326" s="257">
        <v>775</v>
      </c>
      <c r="G326" s="252" t="s">
        <v>4323</v>
      </c>
      <c r="H326" s="252" t="s">
        <v>104</v>
      </c>
      <c r="I326" s="252" t="s">
        <v>530</v>
      </c>
      <c r="J326" s="250" t="s">
        <v>114</v>
      </c>
      <c r="K326" s="250" t="s">
        <v>466</v>
      </c>
      <c r="L326" s="250" t="s">
        <v>547</v>
      </c>
      <c r="M326" s="336" t="s">
        <v>114</v>
      </c>
      <c r="N326" s="278">
        <v>44306</v>
      </c>
      <c r="O326" s="329" t="s">
        <v>69</v>
      </c>
      <c r="P326" s="330">
        <f t="shared" ref="P326:Q326" si="322">IF(B326=0,0,IF(YEAR(B326)=$Q$1,MONTH(B326)-$P$1+1,(YEAR(B326)-$Q$1)*12-$P$1+1+MONTH(B326)))</f>
        <v>4</v>
      </c>
      <c r="Q326" s="330">
        <f t="shared" si="322"/>
        <v>2</v>
      </c>
      <c r="R326" s="331" t="str">
        <f t="shared" si="1"/>
        <v>Gastos_custeados_por_captação</v>
      </c>
      <c r="S326" s="331" t="str">
        <f>IF(D326="","",IF(OR(D326=Plano!$A$1,D326=Plano!$B$1),"entrada","saída"))</f>
        <v>saída</v>
      </c>
      <c r="T326" s="332" t="s">
        <v>114</v>
      </c>
      <c r="U326" s="332" t="s">
        <v>114</v>
      </c>
      <c r="V326" s="333"/>
    </row>
    <row r="327" spans="1:22" ht="48" customHeight="1" x14ac:dyDescent="0.2">
      <c r="A327" s="277">
        <f>IF(B327="","",COUNT('Diário 5º PA'!$A$5:$A$2634)+ROW()-4)</f>
        <v>1634</v>
      </c>
      <c r="B327" s="278">
        <v>44306</v>
      </c>
      <c r="C327" s="259">
        <v>44228</v>
      </c>
      <c r="D327" s="252" t="s">
        <v>104</v>
      </c>
      <c r="E327" s="252" t="s">
        <v>104</v>
      </c>
      <c r="F327" s="257">
        <v>24.08</v>
      </c>
      <c r="G327" s="252" t="s">
        <v>4324</v>
      </c>
      <c r="H327" s="252" t="s">
        <v>104</v>
      </c>
      <c r="I327" s="252" t="s">
        <v>488</v>
      </c>
      <c r="J327" s="250" t="s">
        <v>114</v>
      </c>
      <c r="K327" s="250" t="s">
        <v>466</v>
      </c>
      <c r="L327" s="250" t="s">
        <v>489</v>
      </c>
      <c r="M327" s="336" t="s">
        <v>114</v>
      </c>
      <c r="N327" s="278">
        <v>44306</v>
      </c>
      <c r="O327" s="329" t="s">
        <v>69</v>
      </c>
      <c r="P327" s="330">
        <f t="shared" ref="P327:Q327" si="323">IF(B327=0,0,IF(YEAR(B327)=$Q$1,MONTH(B327)-$P$1+1,(YEAR(B327)-$Q$1)*12-$P$1+1+MONTH(B327)))</f>
        <v>4</v>
      </c>
      <c r="Q327" s="330">
        <f t="shared" si="323"/>
        <v>2</v>
      </c>
      <c r="R327" s="331" t="str">
        <f t="shared" si="1"/>
        <v>Gastos_custeados_por_captação</v>
      </c>
      <c r="S327" s="331" t="str">
        <f>IF(D327="","",IF(OR(D327=Plano!$A$1,D327=Plano!$B$1),"entrada","saída"))</f>
        <v>saída</v>
      </c>
      <c r="T327" s="332" t="s">
        <v>114</v>
      </c>
      <c r="U327" s="332" t="s">
        <v>114</v>
      </c>
      <c r="V327" s="333"/>
    </row>
    <row r="328" spans="1:22" ht="50.25" customHeight="1" x14ac:dyDescent="0.2">
      <c r="A328" s="277">
        <f>IF(B328="","",COUNT('Diário 5º PA'!$A$5:$A$2634)+ROW()-4)</f>
        <v>1635</v>
      </c>
      <c r="B328" s="278">
        <v>44306</v>
      </c>
      <c r="C328" s="259">
        <v>44228</v>
      </c>
      <c r="D328" s="252" t="s">
        <v>104</v>
      </c>
      <c r="E328" s="252" t="s">
        <v>104</v>
      </c>
      <c r="F328" s="257">
        <v>24.08</v>
      </c>
      <c r="G328" s="252" t="s">
        <v>4325</v>
      </c>
      <c r="H328" s="252" t="s">
        <v>104</v>
      </c>
      <c r="I328" s="252" t="s">
        <v>488</v>
      </c>
      <c r="J328" s="250" t="s">
        <v>114</v>
      </c>
      <c r="K328" s="250" t="s">
        <v>466</v>
      </c>
      <c r="L328" s="250" t="s">
        <v>489</v>
      </c>
      <c r="M328" s="336" t="s">
        <v>114</v>
      </c>
      <c r="N328" s="278">
        <v>44306</v>
      </c>
      <c r="O328" s="329" t="s">
        <v>69</v>
      </c>
      <c r="P328" s="330">
        <f t="shared" ref="P328:Q328" si="324">IF(B328=0,0,IF(YEAR(B328)=$Q$1,MONTH(B328)-$P$1+1,(YEAR(B328)-$Q$1)*12-$P$1+1+MONTH(B328)))</f>
        <v>4</v>
      </c>
      <c r="Q328" s="330">
        <f t="shared" si="324"/>
        <v>2</v>
      </c>
      <c r="R328" s="331" t="str">
        <f t="shared" si="1"/>
        <v>Gastos_custeados_por_captação</v>
      </c>
      <c r="S328" s="331" t="str">
        <f>IF(D328="","",IF(OR(D328=Plano!$A$1,D328=Plano!$B$1),"entrada","saída"))</f>
        <v>saída</v>
      </c>
      <c r="T328" s="332" t="s">
        <v>114</v>
      </c>
      <c r="U328" s="332" t="s">
        <v>114</v>
      </c>
      <c r="V328" s="333"/>
    </row>
    <row r="329" spans="1:22" ht="50.25" customHeight="1" x14ac:dyDescent="0.2">
      <c r="A329" s="277">
        <f>IF(B329="","",COUNT('Diário 5º PA'!$A$5:$A$2634)+ROW()-4)</f>
        <v>1636</v>
      </c>
      <c r="B329" s="278">
        <v>44306</v>
      </c>
      <c r="C329" s="259">
        <v>44228</v>
      </c>
      <c r="D329" s="252" t="s">
        <v>104</v>
      </c>
      <c r="E329" s="252" t="s">
        <v>104</v>
      </c>
      <c r="F329" s="257">
        <v>620</v>
      </c>
      <c r="G329" s="252" t="s">
        <v>4326</v>
      </c>
      <c r="H329" s="252" t="s">
        <v>104</v>
      </c>
      <c r="I329" s="252" t="s">
        <v>530</v>
      </c>
      <c r="J329" s="250" t="s">
        <v>114</v>
      </c>
      <c r="K329" s="250" t="s">
        <v>466</v>
      </c>
      <c r="L329" s="250" t="s">
        <v>547</v>
      </c>
      <c r="M329" s="336" t="s">
        <v>114</v>
      </c>
      <c r="N329" s="278">
        <v>44306</v>
      </c>
      <c r="O329" s="329" t="s">
        <v>71</v>
      </c>
      <c r="P329" s="330">
        <f t="shared" ref="P329:Q329" si="325">IF(B329=0,0,IF(YEAR(B329)=$Q$1,MONTH(B329)-$P$1+1,(YEAR(B329)-$Q$1)*12-$P$1+1+MONTH(B329)))</f>
        <v>4</v>
      </c>
      <c r="Q329" s="330">
        <f t="shared" si="325"/>
        <v>2</v>
      </c>
      <c r="R329" s="331" t="str">
        <f t="shared" si="1"/>
        <v>Gastos_custeados_por_captação</v>
      </c>
      <c r="S329" s="331" t="str">
        <f>IF(D329="","",IF(OR(D329=Plano!$A$1,D329=Plano!$B$1),"entrada","saída"))</f>
        <v>saída</v>
      </c>
      <c r="T329" s="332" t="s">
        <v>114</v>
      </c>
      <c r="U329" s="332" t="s">
        <v>114</v>
      </c>
      <c r="V329" s="333"/>
    </row>
    <row r="330" spans="1:22" ht="138" customHeight="1" x14ac:dyDescent="0.2">
      <c r="A330" s="277">
        <f>IF(B330="","",COUNT('Diário 5º PA'!$A$5:$A$2634)+ROW()-4)</f>
        <v>1637</v>
      </c>
      <c r="B330" s="278">
        <v>44308</v>
      </c>
      <c r="C330" s="259">
        <v>44287</v>
      </c>
      <c r="D330" s="252" t="s">
        <v>99</v>
      </c>
      <c r="E330" s="252" t="s">
        <v>246</v>
      </c>
      <c r="F330" s="257">
        <v>1297.5</v>
      </c>
      <c r="G330" s="252" t="s">
        <v>4327</v>
      </c>
      <c r="H330" s="252" t="s">
        <v>127</v>
      </c>
      <c r="I330" s="252" t="s">
        <v>4328</v>
      </c>
      <c r="J330" s="250" t="s">
        <v>598</v>
      </c>
      <c r="K330" s="255" t="s">
        <v>1015</v>
      </c>
      <c r="L330" s="250" t="s">
        <v>1029</v>
      </c>
      <c r="M330" s="277">
        <v>1131</v>
      </c>
      <c r="N330" s="278">
        <v>44306</v>
      </c>
      <c r="O330" s="329" t="s">
        <v>67</v>
      </c>
      <c r="P330" s="330">
        <f t="shared" ref="P330:Q330" si="326">IF(B330=0,0,IF(YEAR(B330)=$Q$1,MONTH(B330)-$P$1+1,(YEAR(B330)-$Q$1)*12-$P$1+1+MONTH(B330)))</f>
        <v>4</v>
      </c>
      <c r="Q330" s="330">
        <f t="shared" si="326"/>
        <v>4</v>
      </c>
      <c r="R330" s="331" t="str">
        <f t="shared" si="1"/>
        <v>Gastos_Gerais</v>
      </c>
      <c r="S330" s="331" t="str">
        <f>IF(D330="","",IF(OR(D330=Plano!$A$1,D330=Plano!$B$1),"entrada","saída"))</f>
        <v>saída</v>
      </c>
      <c r="T330" s="332" t="s">
        <v>994</v>
      </c>
      <c r="U330" s="332">
        <v>1502</v>
      </c>
      <c r="V330" s="333"/>
    </row>
    <row r="331" spans="1:22" ht="214.5" customHeight="1" x14ac:dyDescent="0.2">
      <c r="A331" s="277">
        <f>IF(B331="","",COUNT('Diário 5º PA'!$A$5:$A$2634)+ROW()-4)</f>
        <v>1638</v>
      </c>
      <c r="B331" s="278">
        <v>44308</v>
      </c>
      <c r="C331" s="259">
        <v>44136</v>
      </c>
      <c r="D331" s="252" t="s">
        <v>99</v>
      </c>
      <c r="E331" s="252" t="s">
        <v>336</v>
      </c>
      <c r="F331" s="257">
        <v>2425</v>
      </c>
      <c r="G331" s="252" t="s">
        <v>4329</v>
      </c>
      <c r="H331" s="252" t="s">
        <v>123</v>
      </c>
      <c r="I331" s="252" t="s">
        <v>1267</v>
      </c>
      <c r="J331" s="250" t="s">
        <v>1264</v>
      </c>
      <c r="K331" s="255" t="s">
        <v>991</v>
      </c>
      <c r="L331" s="250" t="s">
        <v>992</v>
      </c>
      <c r="M331" s="277" t="s">
        <v>1718</v>
      </c>
      <c r="N331" s="278">
        <v>44308</v>
      </c>
      <c r="O331" s="329" t="s">
        <v>67</v>
      </c>
      <c r="P331" s="330">
        <f t="shared" ref="P331:Q331" si="327">IF(B331=0,0,IF(YEAR(B331)=$Q$1,MONTH(B331)-$P$1+1,(YEAR(B331)-$Q$1)*12-$P$1+1+MONTH(B331)))</f>
        <v>4</v>
      </c>
      <c r="Q331" s="330">
        <f t="shared" si="327"/>
        <v>-1</v>
      </c>
      <c r="R331" s="331" t="str">
        <f t="shared" si="1"/>
        <v>Gastos_Gerais</v>
      </c>
      <c r="S331" s="331" t="str">
        <f>IF(D331="","",IF(OR(D331=Plano!$A$1,D331=Plano!$B$1),"entrada","saída"))</f>
        <v>saída</v>
      </c>
      <c r="T331" s="332" t="s">
        <v>994</v>
      </c>
      <c r="U331" s="332">
        <v>650</v>
      </c>
      <c r="V331" s="333"/>
    </row>
    <row r="332" spans="1:22" ht="165" customHeight="1" x14ac:dyDescent="0.2">
      <c r="A332" s="277">
        <f>IF(B332="","",COUNT('Diário 5º PA'!$A$5:$A$2634)+ROW()-4)</f>
        <v>1639</v>
      </c>
      <c r="B332" s="278">
        <v>44308</v>
      </c>
      <c r="C332" s="259">
        <v>44287</v>
      </c>
      <c r="D332" s="252" t="s">
        <v>99</v>
      </c>
      <c r="E332" s="252" t="s">
        <v>374</v>
      </c>
      <c r="F332" s="257">
        <v>587.94000000000005</v>
      </c>
      <c r="G332" s="252" t="s">
        <v>4330</v>
      </c>
      <c r="H332" s="252" t="s">
        <v>132</v>
      </c>
      <c r="I332" s="252" t="s">
        <v>4331</v>
      </c>
      <c r="J332" s="250" t="s">
        <v>4332</v>
      </c>
      <c r="K332" s="255" t="s">
        <v>991</v>
      </c>
      <c r="L332" s="250" t="s">
        <v>992</v>
      </c>
      <c r="M332" s="277" t="s">
        <v>1211</v>
      </c>
      <c r="N332" s="278">
        <v>44308</v>
      </c>
      <c r="O332" s="329" t="s">
        <v>67</v>
      </c>
      <c r="P332" s="330">
        <f t="shared" ref="P332:Q332" si="328">IF(B332=0,0,IF(YEAR(B332)=$Q$1,MONTH(B332)-$P$1+1,(YEAR(B332)-$Q$1)*12-$P$1+1+MONTH(B332)))</f>
        <v>4</v>
      </c>
      <c r="Q332" s="330">
        <f t="shared" si="328"/>
        <v>4</v>
      </c>
      <c r="R332" s="331" t="str">
        <f t="shared" si="1"/>
        <v>Gastos_Gerais</v>
      </c>
      <c r="S332" s="331" t="str">
        <f>IF(D332="","",IF(OR(D332=Plano!$A$1,D332=Plano!$B$1),"entrada","saída"))</f>
        <v>saída</v>
      </c>
      <c r="T332" s="332" t="s">
        <v>994</v>
      </c>
      <c r="U332" s="332">
        <v>1510</v>
      </c>
      <c r="V332" s="333"/>
    </row>
    <row r="333" spans="1:22" ht="149.25" customHeight="1" x14ac:dyDescent="0.2">
      <c r="A333" s="277">
        <f>IF(B333="","",COUNT('Diário 5º PA'!$A$5:$A$2634)+ROW()-4)</f>
        <v>1640</v>
      </c>
      <c r="B333" s="278">
        <v>44308</v>
      </c>
      <c r="C333" s="259">
        <v>44287</v>
      </c>
      <c r="D333" s="252" t="s">
        <v>99</v>
      </c>
      <c r="E333" s="252" t="s">
        <v>384</v>
      </c>
      <c r="F333" s="257">
        <v>5144.47</v>
      </c>
      <c r="G333" s="252" t="s">
        <v>4333</v>
      </c>
      <c r="H333" s="252" t="s">
        <v>125</v>
      </c>
      <c r="I333" s="252" t="s">
        <v>4334</v>
      </c>
      <c r="J333" s="250" t="s">
        <v>2109</v>
      </c>
      <c r="K333" s="255" t="s">
        <v>991</v>
      </c>
      <c r="L333" s="250" t="s">
        <v>992</v>
      </c>
      <c r="M333" s="277" t="s">
        <v>1540</v>
      </c>
      <c r="N333" s="278">
        <v>44305</v>
      </c>
      <c r="O333" s="329" t="s">
        <v>67</v>
      </c>
      <c r="P333" s="330">
        <f t="shared" ref="P333:Q333" si="329">IF(B333=0,0,IF(YEAR(B333)=$Q$1,MONTH(B333)-$P$1+1,(YEAR(B333)-$Q$1)*12-$P$1+1+MONTH(B333)))</f>
        <v>4</v>
      </c>
      <c r="Q333" s="330">
        <f t="shared" si="329"/>
        <v>4</v>
      </c>
      <c r="R333" s="331" t="str">
        <f t="shared" si="1"/>
        <v>Gastos_Gerais</v>
      </c>
      <c r="S333" s="331" t="str">
        <f>IF(D333="","",IF(OR(D333=Plano!$A$1,D333=Plano!$B$1),"entrada","saída"))</f>
        <v>saída</v>
      </c>
      <c r="T333" s="332" t="s">
        <v>1059</v>
      </c>
      <c r="U333" s="332">
        <v>1507</v>
      </c>
      <c r="V333" s="333"/>
    </row>
    <row r="334" spans="1:22" ht="42" customHeight="1" x14ac:dyDescent="0.2">
      <c r="A334" s="277">
        <f>IF(B334="","",COUNT('Diário 5º PA'!$A$5:$A$2634)+ROW()-4)</f>
        <v>1641</v>
      </c>
      <c r="B334" s="278">
        <v>44308</v>
      </c>
      <c r="C334" s="249">
        <v>44287</v>
      </c>
      <c r="D334" s="255" t="s">
        <v>99</v>
      </c>
      <c r="E334" s="255" t="s">
        <v>272</v>
      </c>
      <c r="F334" s="258">
        <v>10.45</v>
      </c>
      <c r="G334" s="255" t="s">
        <v>4335</v>
      </c>
      <c r="H334" s="252" t="s">
        <v>123</v>
      </c>
      <c r="I334" s="250" t="s">
        <v>949</v>
      </c>
      <c r="J334" s="255" t="s">
        <v>950</v>
      </c>
      <c r="K334" s="255" t="s">
        <v>951</v>
      </c>
      <c r="L334" s="250" t="s">
        <v>947</v>
      </c>
      <c r="M334" s="336" t="s">
        <v>114</v>
      </c>
      <c r="N334" s="278">
        <v>44308</v>
      </c>
      <c r="O334" s="329" t="s">
        <v>67</v>
      </c>
      <c r="P334" s="330">
        <f t="shared" ref="P334:Q334" si="330">IF(B334=0,0,IF(YEAR(B334)=$Q$1,MONTH(B334)-$P$1+1,(YEAR(B334)-$Q$1)*12-$P$1+1+MONTH(B334)))</f>
        <v>4</v>
      </c>
      <c r="Q334" s="330">
        <f t="shared" si="330"/>
        <v>4</v>
      </c>
      <c r="R334" s="331" t="str">
        <f t="shared" si="1"/>
        <v>Gastos_Gerais</v>
      </c>
      <c r="S334" s="331" t="str">
        <f>IF(D334="","",IF(OR(D334=Plano!$A$1,D334=Plano!$B$1),"entrada","saída"))</f>
        <v>saída</v>
      </c>
      <c r="T334" s="332" t="s">
        <v>114</v>
      </c>
      <c r="U334" s="332" t="s">
        <v>114</v>
      </c>
      <c r="V334" s="333"/>
    </row>
    <row r="335" spans="1:22" ht="45.75" customHeight="1" x14ac:dyDescent="0.2">
      <c r="A335" s="277">
        <f>IF(B335="","",COUNT('Diário 5º PA'!$A$5:$A$2634)+ROW()-4)</f>
        <v>1642</v>
      </c>
      <c r="B335" s="278">
        <v>44308</v>
      </c>
      <c r="C335" s="249">
        <v>44287</v>
      </c>
      <c r="D335" s="255" t="s">
        <v>99</v>
      </c>
      <c r="E335" s="255" t="s">
        <v>272</v>
      </c>
      <c r="F335" s="258">
        <v>10.45</v>
      </c>
      <c r="G335" s="255" t="s">
        <v>4336</v>
      </c>
      <c r="H335" s="252" t="s">
        <v>132</v>
      </c>
      <c r="I335" s="250" t="s">
        <v>949</v>
      </c>
      <c r="J335" s="255" t="s">
        <v>950</v>
      </c>
      <c r="K335" s="255" t="s">
        <v>951</v>
      </c>
      <c r="L335" s="250" t="s">
        <v>947</v>
      </c>
      <c r="M335" s="336" t="s">
        <v>114</v>
      </c>
      <c r="N335" s="278">
        <v>44308</v>
      </c>
      <c r="O335" s="329" t="s">
        <v>67</v>
      </c>
      <c r="P335" s="330">
        <f t="shared" ref="P335:Q335" si="331">IF(B335=0,0,IF(YEAR(B335)=$Q$1,MONTH(B335)-$P$1+1,(YEAR(B335)-$Q$1)*12-$P$1+1+MONTH(B335)))</f>
        <v>4</v>
      </c>
      <c r="Q335" s="330">
        <f t="shared" si="331"/>
        <v>4</v>
      </c>
      <c r="R335" s="331" t="str">
        <f t="shared" si="1"/>
        <v>Gastos_Gerais</v>
      </c>
      <c r="S335" s="331" t="str">
        <f>IF(D335="","",IF(OR(D335=Plano!$A$1,D335=Plano!$B$1),"entrada","saída"))</f>
        <v>saída</v>
      </c>
      <c r="T335" s="332" t="s">
        <v>114</v>
      </c>
      <c r="U335" s="332" t="s">
        <v>114</v>
      </c>
      <c r="V335" s="333"/>
    </row>
    <row r="336" spans="1:22" ht="45.75" customHeight="1" x14ac:dyDescent="0.2">
      <c r="A336" s="277">
        <f>IF(B336="","",COUNT('Diário 5º PA'!$A$5:$A$2634)+ROW()-4)</f>
        <v>1643</v>
      </c>
      <c r="B336" s="278">
        <v>44308</v>
      </c>
      <c r="C336" s="249">
        <v>44287</v>
      </c>
      <c r="D336" s="255" t="s">
        <v>99</v>
      </c>
      <c r="E336" s="255" t="s">
        <v>272</v>
      </c>
      <c r="F336" s="258">
        <v>10.45</v>
      </c>
      <c r="G336" s="255" t="s">
        <v>4308</v>
      </c>
      <c r="H336" s="252" t="s">
        <v>125</v>
      </c>
      <c r="I336" s="250" t="s">
        <v>949</v>
      </c>
      <c r="J336" s="255" t="s">
        <v>950</v>
      </c>
      <c r="K336" s="255" t="s">
        <v>951</v>
      </c>
      <c r="L336" s="250" t="s">
        <v>947</v>
      </c>
      <c r="M336" s="336" t="s">
        <v>114</v>
      </c>
      <c r="N336" s="278">
        <v>44308</v>
      </c>
      <c r="O336" s="329" t="s">
        <v>67</v>
      </c>
      <c r="P336" s="330">
        <f t="shared" ref="P336:Q336" si="332">IF(B336=0,0,IF(YEAR(B336)=$Q$1,MONTH(B336)-$P$1+1,(YEAR(B336)-$Q$1)*12-$P$1+1+MONTH(B336)))</f>
        <v>4</v>
      </c>
      <c r="Q336" s="330">
        <f t="shared" si="332"/>
        <v>4</v>
      </c>
      <c r="R336" s="331" t="str">
        <f t="shared" si="1"/>
        <v>Gastos_Gerais</v>
      </c>
      <c r="S336" s="331" t="str">
        <f>IF(D336="","",IF(OR(D336=Plano!$A$1,D336=Plano!$B$1),"entrada","saída"))</f>
        <v>saída</v>
      </c>
      <c r="T336" s="332" t="s">
        <v>114</v>
      </c>
      <c r="U336" s="332" t="s">
        <v>114</v>
      </c>
      <c r="V336" s="333"/>
    </row>
    <row r="337" spans="1:22" ht="166.5" customHeight="1" x14ac:dyDescent="0.2">
      <c r="A337" s="277">
        <f>IF(B337="","",COUNT('Diário 5º PA'!$A$5:$A$2634)+ROW()-4)</f>
        <v>1644</v>
      </c>
      <c r="B337" s="278">
        <v>44308</v>
      </c>
      <c r="C337" s="259">
        <v>44136</v>
      </c>
      <c r="D337" s="252" t="s">
        <v>104</v>
      </c>
      <c r="E337" s="252" t="s">
        <v>104</v>
      </c>
      <c r="F337" s="257">
        <v>3841.6</v>
      </c>
      <c r="G337" s="252" t="s">
        <v>4337</v>
      </c>
      <c r="H337" s="252" t="s">
        <v>104</v>
      </c>
      <c r="I337" s="252" t="s">
        <v>1057</v>
      </c>
      <c r="J337" s="250" t="s">
        <v>583</v>
      </c>
      <c r="K337" s="255" t="s">
        <v>1015</v>
      </c>
      <c r="L337" s="250" t="s">
        <v>1016</v>
      </c>
      <c r="M337" s="277" t="s">
        <v>1052</v>
      </c>
      <c r="N337" s="278">
        <v>44306</v>
      </c>
      <c r="O337" s="329" t="s">
        <v>69</v>
      </c>
      <c r="P337" s="330">
        <f t="shared" ref="P337:Q337" si="333">IF(B337=0,0,IF(YEAR(B337)=$Q$1,MONTH(B337)-$P$1+1,(YEAR(B337)-$Q$1)*12-$P$1+1+MONTH(B337)))</f>
        <v>4</v>
      </c>
      <c r="Q337" s="330">
        <f t="shared" si="333"/>
        <v>-1</v>
      </c>
      <c r="R337" s="331" t="str">
        <f t="shared" si="1"/>
        <v>Gastos_custeados_por_captação</v>
      </c>
      <c r="S337" s="331" t="str">
        <f>IF(D337="","",IF(OR(D337=Plano!$A$1,D337=Plano!$B$1),"entrada","saída"))</f>
        <v>saída</v>
      </c>
      <c r="T337" s="332" t="s">
        <v>994</v>
      </c>
      <c r="U337" s="332">
        <v>837</v>
      </c>
      <c r="V337" s="333"/>
    </row>
    <row r="338" spans="1:22" ht="144.75" customHeight="1" x14ac:dyDescent="0.2">
      <c r="A338" s="277">
        <f>IF(B338="","",COUNT('Diário 5º PA'!$A$5:$A$2634)+ROW()-4)</f>
        <v>1645</v>
      </c>
      <c r="B338" s="278">
        <v>44308</v>
      </c>
      <c r="C338" s="259">
        <v>44256</v>
      </c>
      <c r="D338" s="252" t="s">
        <v>104</v>
      </c>
      <c r="E338" s="252" t="s">
        <v>104</v>
      </c>
      <c r="F338" s="257">
        <v>10205.620000000001</v>
      </c>
      <c r="G338" s="252" t="s">
        <v>586</v>
      </c>
      <c r="H338" s="252" t="s">
        <v>104</v>
      </c>
      <c r="I338" s="252" t="s">
        <v>1447</v>
      </c>
      <c r="J338" s="250" t="s">
        <v>587</v>
      </c>
      <c r="K338" s="255" t="s">
        <v>1015</v>
      </c>
      <c r="L338" s="250" t="s">
        <v>1016</v>
      </c>
      <c r="M338" s="277" t="s">
        <v>4183</v>
      </c>
      <c r="N338" s="278">
        <v>44306</v>
      </c>
      <c r="O338" s="329" t="s">
        <v>69</v>
      </c>
      <c r="P338" s="330">
        <f t="shared" ref="P338:Q338" si="334">IF(B338=0,0,IF(YEAR(B338)=$Q$1,MONTH(B338)-$P$1+1,(YEAR(B338)-$Q$1)*12-$P$1+1+MONTH(B338)))</f>
        <v>4</v>
      </c>
      <c r="Q338" s="330">
        <f t="shared" si="334"/>
        <v>3</v>
      </c>
      <c r="R338" s="331" t="str">
        <f t="shared" si="1"/>
        <v>Gastos_custeados_por_captação</v>
      </c>
      <c r="S338" s="331" t="str">
        <f>IF(D338="","",IF(OR(D338=Plano!$A$1,D338=Plano!$B$1),"entrada","saída"))</f>
        <v>saída</v>
      </c>
      <c r="T338" s="332" t="s">
        <v>1082</v>
      </c>
      <c r="U338" s="332">
        <v>1441</v>
      </c>
      <c r="V338" s="333"/>
    </row>
    <row r="339" spans="1:22" ht="108.75" customHeight="1" x14ac:dyDescent="0.2">
      <c r="A339" s="277">
        <f>IF(B339="","",COUNT('Diário 5º PA'!$A$5:$A$2634)+ROW()-4)</f>
        <v>1646</v>
      </c>
      <c r="B339" s="278">
        <v>44308</v>
      </c>
      <c r="C339" s="259">
        <v>44256</v>
      </c>
      <c r="D339" s="252" t="s">
        <v>104</v>
      </c>
      <c r="E339" s="252" t="s">
        <v>104</v>
      </c>
      <c r="F339" s="258">
        <v>405.92</v>
      </c>
      <c r="G339" s="252" t="s">
        <v>4338</v>
      </c>
      <c r="H339" s="252" t="s">
        <v>104</v>
      </c>
      <c r="I339" s="252" t="s">
        <v>2737</v>
      </c>
      <c r="J339" s="250" t="s">
        <v>458</v>
      </c>
      <c r="K339" s="250" t="s">
        <v>1015</v>
      </c>
      <c r="L339" s="250" t="s">
        <v>1029</v>
      </c>
      <c r="M339" s="346">
        <v>1132</v>
      </c>
      <c r="N339" s="278">
        <v>44308</v>
      </c>
      <c r="O339" s="353" t="s">
        <v>71</v>
      </c>
      <c r="P339" s="330">
        <f t="shared" ref="P339:Q339" si="335">IF(B339=0,0,IF(YEAR(B339)=$Q$1,MONTH(B339)-$P$1+1,(YEAR(B339)-$Q$1)*12-$P$1+1+MONTH(B339)))</f>
        <v>4</v>
      </c>
      <c r="Q339" s="330">
        <f t="shared" si="335"/>
        <v>3</v>
      </c>
      <c r="R339" s="331" t="str">
        <f t="shared" si="1"/>
        <v>Gastos_custeados_por_captação</v>
      </c>
      <c r="S339" s="331" t="str">
        <f>IF(D339="","",IF(OR(D339=Plano!$A$1,D339=Plano!$B$1),"entrada","saída"))</f>
        <v>saída</v>
      </c>
      <c r="T339" s="332" t="s">
        <v>1059</v>
      </c>
      <c r="U339" s="332">
        <v>1138</v>
      </c>
      <c r="V339" s="333"/>
    </row>
    <row r="340" spans="1:22" ht="57.75" customHeight="1" x14ac:dyDescent="0.2">
      <c r="A340" s="277">
        <f>IF(B340="","",COUNT('Diário 5º PA'!$A$5:$A$2634)+ROW()-4)</f>
        <v>1647</v>
      </c>
      <c r="B340" s="278">
        <v>44308</v>
      </c>
      <c r="C340" s="256">
        <v>44287</v>
      </c>
      <c r="D340" s="252" t="s">
        <v>104</v>
      </c>
      <c r="E340" s="252" t="s">
        <v>104</v>
      </c>
      <c r="F340" s="258">
        <v>10.45</v>
      </c>
      <c r="G340" s="255" t="s">
        <v>4339</v>
      </c>
      <c r="H340" s="252" t="s">
        <v>104</v>
      </c>
      <c r="I340" s="250" t="s">
        <v>949</v>
      </c>
      <c r="J340" s="255" t="s">
        <v>950</v>
      </c>
      <c r="K340" s="255" t="s">
        <v>951</v>
      </c>
      <c r="L340" s="250" t="s">
        <v>947</v>
      </c>
      <c r="M340" s="336" t="s">
        <v>114</v>
      </c>
      <c r="N340" s="278">
        <v>44308</v>
      </c>
      <c r="O340" s="329" t="s">
        <v>71</v>
      </c>
      <c r="P340" s="330">
        <f t="shared" ref="P340:Q340" si="336">IF(B340=0,0,IF(YEAR(B340)=$Q$1,MONTH(B340)-$P$1+1,(YEAR(B340)-$Q$1)*12-$P$1+1+MONTH(B340)))</f>
        <v>4</v>
      </c>
      <c r="Q340" s="330">
        <f t="shared" si="336"/>
        <v>4</v>
      </c>
      <c r="R340" s="331" t="str">
        <f t="shared" si="1"/>
        <v>Gastos_custeados_por_captação</v>
      </c>
      <c r="S340" s="331" t="str">
        <f>IF(D340="","",IF(OR(D340=Plano!$A$1,D340=Plano!$B$1),"entrada","saída"))</f>
        <v>saída</v>
      </c>
      <c r="T340" s="332" t="s">
        <v>114</v>
      </c>
      <c r="U340" s="332" t="s">
        <v>114</v>
      </c>
      <c r="V340" s="333"/>
    </row>
    <row r="341" spans="1:22" ht="51" customHeight="1" x14ac:dyDescent="0.2">
      <c r="A341" s="277">
        <f>IF(B341="","",COUNT('Diário 5º PA'!$A$5:$A$2634)+ROW()-4)</f>
        <v>1648</v>
      </c>
      <c r="B341" s="278">
        <v>44309</v>
      </c>
      <c r="C341" s="256">
        <v>44256</v>
      </c>
      <c r="D341" s="255" t="s">
        <v>88</v>
      </c>
      <c r="E341" s="255" t="s">
        <v>169</v>
      </c>
      <c r="F341" s="258">
        <v>888.24</v>
      </c>
      <c r="G341" s="255" t="s">
        <v>4340</v>
      </c>
      <c r="H341" s="255" t="s">
        <v>114</v>
      </c>
      <c r="I341" s="250" t="s">
        <v>488</v>
      </c>
      <c r="J341" s="255" t="s">
        <v>114</v>
      </c>
      <c r="K341" s="255" t="s">
        <v>466</v>
      </c>
      <c r="L341" s="250" t="s">
        <v>489</v>
      </c>
      <c r="M341" s="277" t="s">
        <v>114</v>
      </c>
      <c r="N341" s="278">
        <v>44286</v>
      </c>
      <c r="O341" s="329" t="s">
        <v>67</v>
      </c>
      <c r="P341" s="330">
        <f t="shared" ref="P341:Q341" si="337">IF(B341=0,0,IF(YEAR(B341)=$Q$1,MONTH(B341)-$P$1+1,(YEAR(B341)-$Q$1)*12-$P$1+1+MONTH(B341)))</f>
        <v>4</v>
      </c>
      <c r="Q341" s="330">
        <f t="shared" si="337"/>
        <v>3</v>
      </c>
      <c r="R341" s="331" t="str">
        <f t="shared" si="1"/>
        <v>Gastos_com_Pessoal</v>
      </c>
      <c r="S341" s="331" t="str">
        <f>IF(D341="","",IF(OR(D341=Plano!$A$1,D341=Plano!$B$1),"entrada","saída"))</f>
        <v>saída</v>
      </c>
      <c r="T341" s="332" t="s">
        <v>114</v>
      </c>
      <c r="U341" s="332" t="s">
        <v>114</v>
      </c>
      <c r="V341" s="333"/>
    </row>
    <row r="342" spans="1:22" ht="101.25" customHeight="1" x14ac:dyDescent="0.2">
      <c r="A342" s="277">
        <f>IF(B342="","",COUNT('Diário 5º PA'!$A$5:$A$2634)+ROW()-4)</f>
        <v>1649</v>
      </c>
      <c r="B342" s="278">
        <v>44309</v>
      </c>
      <c r="C342" s="256">
        <v>44256</v>
      </c>
      <c r="D342" s="255" t="s">
        <v>99</v>
      </c>
      <c r="E342" s="255" t="s">
        <v>276</v>
      </c>
      <c r="F342" s="258">
        <v>15.89</v>
      </c>
      <c r="G342" s="255" t="s">
        <v>4341</v>
      </c>
      <c r="H342" s="255" t="s">
        <v>114</v>
      </c>
      <c r="I342" s="252" t="s">
        <v>488</v>
      </c>
      <c r="J342" s="252" t="s">
        <v>114</v>
      </c>
      <c r="K342" s="252" t="s">
        <v>466</v>
      </c>
      <c r="L342" s="252" t="s">
        <v>489</v>
      </c>
      <c r="M342" s="277" t="s">
        <v>114</v>
      </c>
      <c r="N342" s="278">
        <v>44286</v>
      </c>
      <c r="O342" s="329" t="s">
        <v>67</v>
      </c>
      <c r="P342" s="330">
        <f t="shared" ref="P342:Q342" si="338">IF(B342=0,0,IF(YEAR(B342)=$Q$1,MONTH(B342)-$P$1+1,(YEAR(B342)-$Q$1)*12-$P$1+1+MONTH(B342)))</f>
        <v>4</v>
      </c>
      <c r="Q342" s="330">
        <f t="shared" si="338"/>
        <v>3</v>
      </c>
      <c r="R342" s="331" t="str">
        <f t="shared" si="1"/>
        <v>Gastos_Gerais</v>
      </c>
      <c r="S342" s="331" t="str">
        <f>IF(D342="","",IF(OR(D342=Plano!$A$1,D342=Plano!$B$1),"entrada","saída"))</f>
        <v>saída</v>
      </c>
      <c r="T342" s="332" t="s">
        <v>114</v>
      </c>
      <c r="U342" s="332" t="s">
        <v>114</v>
      </c>
      <c r="V342" s="333"/>
    </row>
    <row r="343" spans="1:22" ht="108.75" customHeight="1" x14ac:dyDescent="0.2">
      <c r="A343" s="277">
        <f>IF(B343="","",COUNT('Diário 5º PA'!$A$5:$A$2634)+ROW()-4)</f>
        <v>1650</v>
      </c>
      <c r="B343" s="278">
        <v>44309</v>
      </c>
      <c r="C343" s="259">
        <v>44287</v>
      </c>
      <c r="D343" s="252" t="s">
        <v>99</v>
      </c>
      <c r="E343" s="252" t="s">
        <v>356</v>
      </c>
      <c r="F343" s="257">
        <v>1500</v>
      </c>
      <c r="G343" s="252" t="s">
        <v>4342</v>
      </c>
      <c r="H343" s="252" t="s">
        <v>125</v>
      </c>
      <c r="I343" s="252" t="s">
        <v>4343</v>
      </c>
      <c r="J343" s="250" t="s">
        <v>2151</v>
      </c>
      <c r="K343" s="255" t="s">
        <v>991</v>
      </c>
      <c r="L343" s="250" t="s">
        <v>992</v>
      </c>
      <c r="M343" s="277" t="s">
        <v>1299</v>
      </c>
      <c r="N343" s="278">
        <v>44309</v>
      </c>
      <c r="O343" s="329" t="s">
        <v>67</v>
      </c>
      <c r="P343" s="330">
        <f t="shared" ref="P343:Q343" si="339">IF(B343=0,0,IF(YEAR(B343)=$Q$1,MONTH(B343)-$P$1+1,(YEAR(B343)-$Q$1)*12-$P$1+1+MONTH(B343)))</f>
        <v>4</v>
      </c>
      <c r="Q343" s="330">
        <f t="shared" si="339"/>
        <v>4</v>
      </c>
      <c r="R343" s="331" t="str">
        <f t="shared" si="1"/>
        <v>Gastos_Gerais</v>
      </c>
      <c r="S343" s="331" t="str">
        <f>IF(D343="","",IF(OR(D343=Plano!$A$1,D343=Plano!$B$1),"entrada","saída"))</f>
        <v>saída</v>
      </c>
      <c r="T343" s="332" t="s">
        <v>1059</v>
      </c>
      <c r="U343" s="332">
        <v>1516</v>
      </c>
      <c r="V343" s="333"/>
    </row>
    <row r="344" spans="1:22" ht="59.25" customHeight="1" x14ac:dyDescent="0.2">
      <c r="A344" s="277">
        <f>IF(B344="","",COUNT('Diário 5º PA'!$A$5:$A$2634)+ROW()-4)</f>
        <v>1651</v>
      </c>
      <c r="B344" s="278">
        <v>44309</v>
      </c>
      <c r="C344" s="249">
        <v>44287</v>
      </c>
      <c r="D344" s="255" t="s">
        <v>99</v>
      </c>
      <c r="E344" s="255" t="s">
        <v>272</v>
      </c>
      <c r="F344" s="258">
        <v>10.45</v>
      </c>
      <c r="G344" s="255" t="s">
        <v>4344</v>
      </c>
      <c r="H344" s="252" t="s">
        <v>125</v>
      </c>
      <c r="I344" s="250" t="s">
        <v>949</v>
      </c>
      <c r="J344" s="255" t="s">
        <v>950</v>
      </c>
      <c r="K344" s="255" t="s">
        <v>951</v>
      </c>
      <c r="L344" s="250" t="s">
        <v>947</v>
      </c>
      <c r="M344" s="336" t="s">
        <v>114</v>
      </c>
      <c r="N344" s="278">
        <v>44309</v>
      </c>
      <c r="O344" s="329" t="s">
        <v>67</v>
      </c>
      <c r="P344" s="330">
        <f t="shared" ref="P344:Q344" si="340">IF(B344=0,0,IF(YEAR(B344)=$Q$1,MONTH(B344)-$P$1+1,(YEAR(B344)-$Q$1)*12-$P$1+1+MONTH(B344)))</f>
        <v>4</v>
      </c>
      <c r="Q344" s="330">
        <f t="shared" si="340"/>
        <v>4</v>
      </c>
      <c r="R344" s="331" t="str">
        <f t="shared" si="1"/>
        <v>Gastos_Gerais</v>
      </c>
      <c r="S344" s="331" t="str">
        <f>IF(D344="","",IF(OR(D344=Plano!$A$1,D344=Plano!$B$1),"entrada","saída"))</f>
        <v>saída</v>
      </c>
      <c r="T344" s="332" t="s">
        <v>114</v>
      </c>
      <c r="U344" s="332" t="s">
        <v>114</v>
      </c>
      <c r="V344" s="333"/>
    </row>
    <row r="345" spans="1:22" ht="186.75" customHeight="1" x14ac:dyDescent="0.2">
      <c r="A345" s="277">
        <f>IF(B345="","",COUNT('Diário 5º PA'!$A$5:$A$2634)+ROW()-4)</f>
        <v>1652</v>
      </c>
      <c r="B345" s="278">
        <v>44309</v>
      </c>
      <c r="C345" s="259">
        <v>44256</v>
      </c>
      <c r="D345" s="252" t="s">
        <v>104</v>
      </c>
      <c r="E345" s="252" t="s">
        <v>104</v>
      </c>
      <c r="F345" s="257">
        <v>2500</v>
      </c>
      <c r="G345" s="252" t="s">
        <v>497</v>
      </c>
      <c r="H345" s="252" t="s">
        <v>104</v>
      </c>
      <c r="I345" s="252" t="s">
        <v>1162</v>
      </c>
      <c r="J345" s="250" t="s">
        <v>498</v>
      </c>
      <c r="K345" s="255" t="s">
        <v>1015</v>
      </c>
      <c r="L345" s="250" t="s">
        <v>1016</v>
      </c>
      <c r="M345" s="336">
        <v>2</v>
      </c>
      <c r="N345" s="278">
        <v>44309</v>
      </c>
      <c r="O345" s="329" t="s">
        <v>68</v>
      </c>
      <c r="P345" s="330">
        <f t="shared" ref="P345:Q345" si="341">IF(B345=0,0,IF(YEAR(B345)=$Q$1,MONTH(B345)-$P$1+1,(YEAR(B345)-$Q$1)*12-$P$1+1+MONTH(B345)))</f>
        <v>4</v>
      </c>
      <c r="Q345" s="330">
        <f t="shared" si="341"/>
        <v>3</v>
      </c>
      <c r="R345" s="331" t="str">
        <f t="shared" si="1"/>
        <v>Gastos_custeados_por_captação</v>
      </c>
      <c r="S345" s="331" t="str">
        <f>IF(D345="","",IF(OR(D345=Plano!$A$1,D345=Plano!$B$1),"entrada","saída"))</f>
        <v>saída</v>
      </c>
      <c r="T345" s="332" t="s">
        <v>1059</v>
      </c>
      <c r="U345" s="332">
        <v>1303</v>
      </c>
      <c r="V345" s="333"/>
    </row>
    <row r="346" spans="1:22" ht="97.5" customHeight="1" x14ac:dyDescent="0.2">
      <c r="A346" s="277">
        <f>IF(B346="","",COUNT('Diário 5º PA'!$A$5:$A$2634)+ROW()-4)</f>
        <v>1653</v>
      </c>
      <c r="B346" s="278">
        <v>44312</v>
      </c>
      <c r="C346" s="256">
        <v>44256</v>
      </c>
      <c r="D346" s="255" t="s">
        <v>99</v>
      </c>
      <c r="E346" s="255" t="s">
        <v>222</v>
      </c>
      <c r="F346" s="258">
        <v>-204.23</v>
      </c>
      <c r="G346" s="255" t="s">
        <v>4345</v>
      </c>
      <c r="H346" s="255" t="s">
        <v>115</v>
      </c>
      <c r="I346" s="250" t="s">
        <v>983</v>
      </c>
      <c r="J346" s="255" t="s">
        <v>850</v>
      </c>
      <c r="K346" s="255" t="s">
        <v>1069</v>
      </c>
      <c r="L346" s="250" t="s">
        <v>947</v>
      </c>
      <c r="M346" s="277" t="s">
        <v>114</v>
      </c>
      <c r="N346" s="278">
        <v>44312</v>
      </c>
      <c r="O346" s="329" t="s">
        <v>67</v>
      </c>
      <c r="P346" s="330">
        <f t="shared" ref="P346:Q346" si="342">IF(B346=0,0,IF(YEAR(B346)=$Q$1,MONTH(B346)-$P$1+1,(YEAR(B346)-$Q$1)*12-$P$1+1+MONTH(B346)))</f>
        <v>4</v>
      </c>
      <c r="Q346" s="330">
        <f t="shared" si="342"/>
        <v>3</v>
      </c>
      <c r="R346" s="331" t="str">
        <f t="shared" si="1"/>
        <v>Gastos_Gerais</v>
      </c>
      <c r="S346" s="331" t="str">
        <f>IF(D346="","",IF(OR(D346=Plano!$A$1,D346=Plano!$B$1),"entrada","saída"))</f>
        <v>saída</v>
      </c>
      <c r="T346" s="332" t="s">
        <v>114</v>
      </c>
      <c r="U346" s="332" t="s">
        <v>114</v>
      </c>
      <c r="V346" s="333"/>
    </row>
    <row r="347" spans="1:22" ht="104.25" customHeight="1" x14ac:dyDescent="0.2">
      <c r="A347" s="277">
        <f>IF(B347="","",COUNT('Diário 5º PA'!$A$5:$A$2634)+ROW()-4)</f>
        <v>1654</v>
      </c>
      <c r="B347" s="278">
        <v>44312</v>
      </c>
      <c r="C347" s="256">
        <v>44256</v>
      </c>
      <c r="D347" s="255" t="s">
        <v>99</v>
      </c>
      <c r="E347" s="255" t="s">
        <v>254</v>
      </c>
      <c r="F347" s="258">
        <v>-114.88</v>
      </c>
      <c r="G347" s="255" t="s">
        <v>4346</v>
      </c>
      <c r="H347" s="255" t="s">
        <v>115</v>
      </c>
      <c r="I347" s="250" t="s">
        <v>983</v>
      </c>
      <c r="J347" s="255" t="s">
        <v>850</v>
      </c>
      <c r="K347" s="255" t="s">
        <v>1069</v>
      </c>
      <c r="L347" s="250" t="s">
        <v>947</v>
      </c>
      <c r="M347" s="277" t="s">
        <v>114</v>
      </c>
      <c r="N347" s="278">
        <v>44312</v>
      </c>
      <c r="O347" s="329" t="s">
        <v>67</v>
      </c>
      <c r="P347" s="330">
        <f t="shared" ref="P347:Q347" si="343">IF(B347=0,0,IF(YEAR(B347)=$Q$1,MONTH(B347)-$P$1+1,(YEAR(B347)-$Q$1)*12-$P$1+1+MONTH(B347)))</f>
        <v>4</v>
      </c>
      <c r="Q347" s="330">
        <f t="shared" si="343"/>
        <v>3</v>
      </c>
      <c r="R347" s="331" t="str">
        <f t="shared" si="1"/>
        <v>Gastos_Gerais</v>
      </c>
      <c r="S347" s="331" t="str">
        <f>IF(D347="","",IF(OR(D347=Plano!$A$1,D347=Plano!$B$1),"entrada","saída"))</f>
        <v>saída</v>
      </c>
      <c r="T347" s="332" t="s">
        <v>114</v>
      </c>
      <c r="U347" s="332" t="s">
        <v>114</v>
      </c>
      <c r="V347" s="333"/>
    </row>
    <row r="348" spans="1:22" ht="151.5" customHeight="1" x14ac:dyDescent="0.2">
      <c r="A348" s="277">
        <f>IF(B348="","",COUNT('Diário 5º PA'!$A$5:$A$2634)+ROW()-4)</f>
        <v>1655</v>
      </c>
      <c r="B348" s="278">
        <v>44312</v>
      </c>
      <c r="C348" s="256">
        <v>44256</v>
      </c>
      <c r="D348" s="255" t="s">
        <v>57</v>
      </c>
      <c r="E348" s="255" t="s">
        <v>57</v>
      </c>
      <c r="F348" s="258">
        <v>283.61</v>
      </c>
      <c r="G348" s="255" t="s">
        <v>4347</v>
      </c>
      <c r="H348" s="255" t="s">
        <v>114</v>
      </c>
      <c r="I348" s="250" t="s">
        <v>945</v>
      </c>
      <c r="J348" s="255" t="s">
        <v>850</v>
      </c>
      <c r="K348" s="255" t="s">
        <v>946</v>
      </c>
      <c r="L348" s="250" t="s">
        <v>947</v>
      </c>
      <c r="M348" s="277" t="s">
        <v>114</v>
      </c>
      <c r="N348" s="278">
        <v>44312</v>
      </c>
      <c r="O348" s="329" t="s">
        <v>67</v>
      </c>
      <c r="P348" s="330">
        <f t="shared" ref="P348:Q348" si="344">IF(B348=0,0,IF(YEAR(B348)=$Q$1,MONTH(B348)-$P$1+1,(YEAR(B348)-$Q$1)*12-$P$1+1+MONTH(B348)))</f>
        <v>4</v>
      </c>
      <c r="Q348" s="330">
        <f t="shared" si="344"/>
        <v>3</v>
      </c>
      <c r="R348" s="331" t="str">
        <f t="shared" si="1"/>
        <v>Transferência_para_Reserva_de_Recursos</v>
      </c>
      <c r="S348" s="331" t="str">
        <f>IF(D348="","",IF(OR(D348=Plano!$A$1,D348=Plano!$B$1),"entrada","saída"))</f>
        <v>saída</v>
      </c>
      <c r="T348" s="332" t="s">
        <v>114</v>
      </c>
      <c r="U348" s="332" t="s">
        <v>114</v>
      </c>
      <c r="V348" s="333"/>
    </row>
    <row r="349" spans="1:22" ht="192.75" customHeight="1" x14ac:dyDescent="0.2">
      <c r="A349" s="277">
        <f>IF(B349="","",COUNT('Diário 5º PA'!$A$5:$A$2634)+ROW()-4)</f>
        <v>1656</v>
      </c>
      <c r="B349" s="278">
        <v>44312</v>
      </c>
      <c r="C349" s="256">
        <v>44256</v>
      </c>
      <c r="D349" s="255" t="s">
        <v>99</v>
      </c>
      <c r="E349" s="255" t="s">
        <v>254</v>
      </c>
      <c r="F349" s="258">
        <v>435</v>
      </c>
      <c r="G349" s="255" t="s">
        <v>445</v>
      </c>
      <c r="H349" s="255" t="s">
        <v>115</v>
      </c>
      <c r="I349" s="252" t="s">
        <v>1573</v>
      </c>
      <c r="J349" s="255" t="s">
        <v>1574</v>
      </c>
      <c r="K349" s="255" t="s">
        <v>991</v>
      </c>
      <c r="L349" s="250" t="s">
        <v>1378</v>
      </c>
      <c r="M349" s="277">
        <v>21190</v>
      </c>
      <c r="N349" s="278">
        <v>44297</v>
      </c>
      <c r="O349" s="329" t="s">
        <v>67</v>
      </c>
      <c r="P349" s="330">
        <f t="shared" ref="P349:Q349" si="345">IF(B349=0,0,IF(YEAR(B349)=$Q$1,MONTH(B349)-$P$1+1,(YEAR(B349)-$Q$1)*12-$P$1+1+MONTH(B349)))</f>
        <v>4</v>
      </c>
      <c r="Q349" s="330">
        <f t="shared" si="345"/>
        <v>3</v>
      </c>
      <c r="R349" s="331" t="str">
        <f t="shared" si="1"/>
        <v>Gastos_Gerais</v>
      </c>
      <c r="S349" s="331" t="str">
        <f>IF(D349="","",IF(OR(D349=Plano!$A$1,D349=Plano!$B$1),"entrada","saída"))</f>
        <v>saída</v>
      </c>
      <c r="T349" s="332" t="s">
        <v>1059</v>
      </c>
      <c r="U349" s="332">
        <v>1117</v>
      </c>
      <c r="V349" s="333"/>
    </row>
    <row r="350" spans="1:22" ht="46.5" customHeight="1" x14ac:dyDescent="0.2">
      <c r="A350" s="277">
        <f>IF(B350="","",COUNT('Diário 5º PA'!$A$5:$A$2634)+ROW()-4)</f>
        <v>1657</v>
      </c>
      <c r="B350" s="278">
        <v>44312</v>
      </c>
      <c r="C350" s="256">
        <v>44256</v>
      </c>
      <c r="D350" s="255" t="s">
        <v>99</v>
      </c>
      <c r="E350" s="255" t="s">
        <v>222</v>
      </c>
      <c r="F350" s="258">
        <v>773.3</v>
      </c>
      <c r="G350" s="255" t="s">
        <v>4348</v>
      </c>
      <c r="H350" s="255" t="s">
        <v>115</v>
      </c>
      <c r="I350" s="250" t="s">
        <v>525</v>
      </c>
      <c r="J350" s="255" t="s">
        <v>1568</v>
      </c>
      <c r="K350" s="255" t="s">
        <v>1375</v>
      </c>
      <c r="L350" s="250" t="s">
        <v>697</v>
      </c>
      <c r="M350" s="277">
        <v>4461235442</v>
      </c>
      <c r="N350" s="278">
        <v>44293</v>
      </c>
      <c r="O350" s="329" t="s">
        <v>67</v>
      </c>
      <c r="P350" s="330">
        <f t="shared" ref="P350:Q350" si="346">IF(B350=0,0,IF(YEAR(B350)=$Q$1,MONTH(B350)-$P$1+1,(YEAR(B350)-$Q$1)*12-$P$1+1+MONTH(B350)))</f>
        <v>4</v>
      </c>
      <c r="Q350" s="330">
        <f t="shared" si="346"/>
        <v>3</v>
      </c>
      <c r="R350" s="331" t="str">
        <f t="shared" si="1"/>
        <v>Gastos_Gerais</v>
      </c>
      <c r="S350" s="331" t="str">
        <f>IF(D350="","",IF(OR(D350=Plano!$A$1,D350=Plano!$B$1),"entrada","saída"))</f>
        <v>saída</v>
      </c>
      <c r="T350" s="332" t="s">
        <v>114</v>
      </c>
      <c r="U350" s="332" t="s">
        <v>114</v>
      </c>
      <c r="V350" s="333"/>
    </row>
    <row r="351" spans="1:22" ht="54.75" customHeight="1" x14ac:dyDescent="0.2">
      <c r="A351" s="277">
        <f>IF(B351="","",COUNT('Diário 5º PA'!$A$5:$A$2634)+ROW()-4)</f>
        <v>1658</v>
      </c>
      <c r="B351" s="278">
        <v>44312</v>
      </c>
      <c r="C351" s="335">
        <v>44287</v>
      </c>
      <c r="D351" s="255" t="s">
        <v>99</v>
      </c>
      <c r="E351" s="255" t="s">
        <v>330</v>
      </c>
      <c r="F351" s="258">
        <v>300</v>
      </c>
      <c r="G351" s="255" t="s">
        <v>4349</v>
      </c>
      <c r="H351" s="255" t="s">
        <v>115</v>
      </c>
      <c r="I351" s="250" t="s">
        <v>1570</v>
      </c>
      <c r="J351" s="255" t="s">
        <v>646</v>
      </c>
      <c r="K351" s="255" t="s">
        <v>560</v>
      </c>
      <c r="L351" s="250" t="s">
        <v>1016</v>
      </c>
      <c r="M351" s="277">
        <v>4487498</v>
      </c>
      <c r="N351" s="278">
        <v>44314</v>
      </c>
      <c r="O351" s="329" t="s">
        <v>67</v>
      </c>
      <c r="P351" s="330">
        <f t="shared" ref="P351:Q351" si="347">IF(B351=0,0,IF(YEAR(B351)=$Q$1,MONTH(B351)-$P$1+1,(YEAR(B351)-$Q$1)*12-$P$1+1+MONTH(B351)))</f>
        <v>4</v>
      </c>
      <c r="Q351" s="330">
        <f t="shared" si="347"/>
        <v>4</v>
      </c>
      <c r="R351" s="331" t="str">
        <f t="shared" si="1"/>
        <v>Gastos_Gerais</v>
      </c>
      <c r="S351" s="331" t="str">
        <f>IF(D351="","",IF(OR(D351=Plano!$A$1,D351=Plano!$B$1),"entrada","saída"))</f>
        <v>saída</v>
      </c>
      <c r="T351" s="332" t="s">
        <v>1082</v>
      </c>
      <c r="U351" s="332">
        <v>1551</v>
      </c>
      <c r="V351" s="333"/>
    </row>
    <row r="352" spans="1:22" ht="64.5" customHeight="1" x14ac:dyDescent="0.2">
      <c r="A352" s="277">
        <f>IF(B352="","",COUNT('Diário 5º PA'!$A$5:$A$2634)+ROW()-4)</f>
        <v>1659</v>
      </c>
      <c r="B352" s="278">
        <v>44312</v>
      </c>
      <c r="C352" s="256">
        <v>44287</v>
      </c>
      <c r="D352" s="255" t="s">
        <v>99</v>
      </c>
      <c r="E352" s="255" t="s">
        <v>272</v>
      </c>
      <c r="F352" s="258">
        <v>10.45</v>
      </c>
      <c r="G352" s="255" t="s">
        <v>1585</v>
      </c>
      <c r="H352" s="255" t="s">
        <v>115</v>
      </c>
      <c r="I352" s="250" t="s">
        <v>949</v>
      </c>
      <c r="J352" s="255" t="s">
        <v>950</v>
      </c>
      <c r="K352" s="255" t="s">
        <v>951</v>
      </c>
      <c r="L352" s="250" t="s">
        <v>947</v>
      </c>
      <c r="M352" s="336" t="s">
        <v>114</v>
      </c>
      <c r="N352" s="278">
        <v>44312</v>
      </c>
      <c r="O352" s="329" t="s">
        <v>67</v>
      </c>
      <c r="P352" s="330">
        <f t="shared" ref="P352:Q352" si="348">IF(B352=0,0,IF(YEAR(B352)=$Q$1,MONTH(B352)-$P$1+1,(YEAR(B352)-$Q$1)*12-$P$1+1+MONTH(B352)))</f>
        <v>4</v>
      </c>
      <c r="Q352" s="330">
        <f t="shared" si="348"/>
        <v>4</v>
      </c>
      <c r="R352" s="331" t="str">
        <f t="shared" si="1"/>
        <v>Gastos_Gerais</v>
      </c>
      <c r="S352" s="331" t="str">
        <f>IF(D352="","",IF(OR(D352=Plano!$A$1,D352=Plano!$B$1),"entrada","saída"))</f>
        <v>saída</v>
      </c>
      <c r="T352" s="332" t="s">
        <v>114</v>
      </c>
      <c r="U352" s="332" t="s">
        <v>114</v>
      </c>
      <c r="V352" s="333"/>
    </row>
    <row r="353" spans="1:22" ht="57" customHeight="1" x14ac:dyDescent="0.2">
      <c r="A353" s="277">
        <f>IF(B353="","",COUNT('Diário 5º PA'!$A$5:$A$2634)+ROW()-4)</f>
        <v>1660</v>
      </c>
      <c r="B353" s="278">
        <v>44313</v>
      </c>
      <c r="C353" s="256">
        <v>44287</v>
      </c>
      <c r="D353" s="255" t="s">
        <v>99</v>
      </c>
      <c r="E353" s="255" t="s">
        <v>218</v>
      </c>
      <c r="F353" s="258">
        <v>95.04</v>
      </c>
      <c r="G353" s="255" t="s">
        <v>4350</v>
      </c>
      <c r="H353" s="255" t="s">
        <v>129</v>
      </c>
      <c r="I353" s="250" t="s">
        <v>515</v>
      </c>
      <c r="J353" s="255" t="s">
        <v>699</v>
      </c>
      <c r="K353" s="255" t="s">
        <v>700</v>
      </c>
      <c r="L353" s="250" t="s">
        <v>697</v>
      </c>
      <c r="M353" s="277" t="s">
        <v>4351</v>
      </c>
      <c r="N353" s="278">
        <v>44313</v>
      </c>
      <c r="O353" s="329" t="s">
        <v>67</v>
      </c>
      <c r="P353" s="330">
        <f t="shared" ref="P353:Q353" si="349">IF(B353=0,0,IF(YEAR(B353)=$Q$1,MONTH(B353)-$P$1+1,(YEAR(B353)-$Q$1)*12-$P$1+1+MONTH(B353)))</f>
        <v>4</v>
      </c>
      <c r="Q353" s="330">
        <f t="shared" si="349"/>
        <v>4</v>
      </c>
      <c r="R353" s="331" t="str">
        <f t="shared" si="1"/>
        <v>Gastos_Gerais</v>
      </c>
      <c r="S353" s="331" t="str">
        <f>IF(D353="","",IF(OR(D353=Plano!$A$1,D353=Plano!$B$1),"entrada","saída"))</f>
        <v>saída</v>
      </c>
      <c r="T353" s="332" t="s">
        <v>114</v>
      </c>
      <c r="U353" s="332" t="s">
        <v>114</v>
      </c>
      <c r="V353" s="333"/>
    </row>
    <row r="354" spans="1:22" ht="47.25" customHeight="1" x14ac:dyDescent="0.2">
      <c r="A354" s="277">
        <f>IF(B354="","",COUNT('Diário 5º PA'!$A$5:$A$2634)+ROW()-4)</f>
        <v>1661</v>
      </c>
      <c r="B354" s="278">
        <v>44313</v>
      </c>
      <c r="C354" s="256">
        <v>44287</v>
      </c>
      <c r="D354" s="255" t="s">
        <v>88</v>
      </c>
      <c r="E354" s="255" t="s">
        <v>194</v>
      </c>
      <c r="F354" s="258">
        <v>453.2</v>
      </c>
      <c r="G354" s="255" t="s">
        <v>4352</v>
      </c>
      <c r="H354" s="255" t="s">
        <v>114</v>
      </c>
      <c r="I354" s="250" t="s">
        <v>532</v>
      </c>
      <c r="J354" s="255" t="s">
        <v>1261</v>
      </c>
      <c r="K354" s="255" t="s">
        <v>560</v>
      </c>
      <c r="L354" s="250" t="s">
        <v>1016</v>
      </c>
      <c r="M354" s="277">
        <v>657514</v>
      </c>
      <c r="N354" s="278">
        <v>44317</v>
      </c>
      <c r="O354" s="329" t="s">
        <v>67</v>
      </c>
      <c r="P354" s="330">
        <f t="shared" ref="P354:Q354" si="350">IF(B354=0,0,IF(YEAR(B354)=$Q$1,MONTH(B354)-$P$1+1,(YEAR(B354)-$Q$1)*12-$P$1+1+MONTH(B354)))</f>
        <v>4</v>
      </c>
      <c r="Q354" s="330">
        <f t="shared" si="350"/>
        <v>4</v>
      </c>
      <c r="R354" s="331" t="str">
        <f t="shared" si="1"/>
        <v>Gastos_com_Pessoal</v>
      </c>
      <c r="S354" s="331" t="str">
        <f>IF(D354="","",IF(OR(D354=Plano!$A$1,D354=Plano!$B$1),"entrada","saída"))</f>
        <v>saída</v>
      </c>
      <c r="T354" s="332" t="s">
        <v>114</v>
      </c>
      <c r="U354" s="332" t="s">
        <v>114</v>
      </c>
      <c r="V354" s="333"/>
    </row>
    <row r="355" spans="1:22" ht="41.25" customHeight="1" x14ac:dyDescent="0.2">
      <c r="A355" s="277">
        <f>IF(B355="","",COUNT('Diário 5º PA'!$A$5:$A$2634)+ROW()-4)</f>
        <v>1662</v>
      </c>
      <c r="B355" s="278">
        <v>44313</v>
      </c>
      <c r="C355" s="256">
        <v>44287</v>
      </c>
      <c r="D355" s="255" t="s">
        <v>88</v>
      </c>
      <c r="E355" s="255" t="s">
        <v>194</v>
      </c>
      <c r="F355" s="258">
        <v>4078.8</v>
      </c>
      <c r="G355" s="255" t="s">
        <v>1609</v>
      </c>
      <c r="H355" s="255" t="s">
        <v>114</v>
      </c>
      <c r="I355" s="252" t="s">
        <v>532</v>
      </c>
      <c r="J355" s="255" t="s">
        <v>1261</v>
      </c>
      <c r="K355" s="255" t="s">
        <v>560</v>
      </c>
      <c r="L355" s="250" t="s">
        <v>1016</v>
      </c>
      <c r="M355" s="277">
        <v>641162</v>
      </c>
      <c r="N355" s="278">
        <v>44317</v>
      </c>
      <c r="O355" s="329" t="s">
        <v>67</v>
      </c>
      <c r="P355" s="330">
        <f t="shared" ref="P355:Q355" si="351">IF(B355=0,0,IF(YEAR(B355)=$Q$1,MONTH(B355)-$P$1+1,(YEAR(B355)-$Q$1)*12-$P$1+1+MONTH(B355)))</f>
        <v>4</v>
      </c>
      <c r="Q355" s="330">
        <f t="shared" si="351"/>
        <v>4</v>
      </c>
      <c r="R355" s="331" t="str">
        <f t="shared" si="1"/>
        <v>Gastos_com_Pessoal</v>
      </c>
      <c r="S355" s="331" t="str">
        <f>IF(D355="","",IF(OR(D355=Plano!$A$1,D355=Plano!$B$1),"entrada","saída"))</f>
        <v>saída</v>
      </c>
      <c r="T355" s="332" t="s">
        <v>114</v>
      </c>
      <c r="U355" s="332" t="s">
        <v>114</v>
      </c>
      <c r="V355" s="333"/>
    </row>
    <row r="356" spans="1:22" ht="39" customHeight="1" x14ac:dyDescent="0.2">
      <c r="A356" s="277">
        <f>IF(B356="","",COUNT('Diário 5º PA'!$A$5:$A$2634)+ROW()-4)</f>
        <v>1663</v>
      </c>
      <c r="B356" s="278">
        <v>44313</v>
      </c>
      <c r="C356" s="256">
        <v>44287</v>
      </c>
      <c r="D356" s="255" t="s">
        <v>88</v>
      </c>
      <c r="E356" s="255" t="s">
        <v>194</v>
      </c>
      <c r="F356" s="258">
        <v>2726.22</v>
      </c>
      <c r="G356" s="255" t="s">
        <v>1260</v>
      </c>
      <c r="H356" s="255" t="s">
        <v>114</v>
      </c>
      <c r="I356" s="250" t="s">
        <v>532</v>
      </c>
      <c r="J356" s="255" t="s">
        <v>1261</v>
      </c>
      <c r="K356" s="255" t="s">
        <v>560</v>
      </c>
      <c r="L356" s="250" t="s">
        <v>1016</v>
      </c>
      <c r="M356" s="277">
        <v>646796</v>
      </c>
      <c r="N356" s="278">
        <v>44317</v>
      </c>
      <c r="O356" s="329" t="s">
        <v>67</v>
      </c>
      <c r="P356" s="330">
        <f t="shared" ref="P356:Q356" si="352">IF(B356=0,0,IF(YEAR(B356)=$Q$1,MONTH(B356)-$P$1+1,(YEAR(B356)-$Q$1)*12-$P$1+1+MONTH(B356)))</f>
        <v>4</v>
      </c>
      <c r="Q356" s="330">
        <f t="shared" si="352"/>
        <v>4</v>
      </c>
      <c r="R356" s="331" t="str">
        <f t="shared" si="1"/>
        <v>Gastos_com_Pessoal</v>
      </c>
      <c r="S356" s="331" t="str">
        <f>IF(D356="","",IF(OR(D356=Plano!$A$1,D356=Plano!$B$1),"entrada","saída"))</f>
        <v>saída</v>
      </c>
      <c r="T356" s="332" t="s">
        <v>114</v>
      </c>
      <c r="U356" s="332" t="s">
        <v>114</v>
      </c>
      <c r="V356" s="333"/>
    </row>
    <row r="357" spans="1:22" ht="142.5" customHeight="1" x14ac:dyDescent="0.2">
      <c r="A357" s="277">
        <f>IF(B357="","",COUNT('Diário 5º PA'!$A$5:$A$2634)+ROW()-4)</f>
        <v>1664</v>
      </c>
      <c r="B357" s="278">
        <v>44313</v>
      </c>
      <c r="C357" s="259">
        <v>44287</v>
      </c>
      <c r="D357" s="252" t="s">
        <v>99</v>
      </c>
      <c r="E357" s="252" t="s">
        <v>364</v>
      </c>
      <c r="F357" s="257">
        <v>10048.5</v>
      </c>
      <c r="G357" s="252" t="s">
        <v>4353</v>
      </c>
      <c r="H357" s="252" t="s">
        <v>131</v>
      </c>
      <c r="I357" s="252" t="s">
        <v>4354</v>
      </c>
      <c r="J357" s="250" t="s">
        <v>610</v>
      </c>
      <c r="K357" s="255" t="s">
        <v>991</v>
      </c>
      <c r="L357" s="250" t="s">
        <v>992</v>
      </c>
      <c r="M357" s="277" t="s">
        <v>1211</v>
      </c>
      <c r="N357" s="278">
        <v>44313</v>
      </c>
      <c r="O357" s="329" t="s">
        <v>67</v>
      </c>
      <c r="P357" s="330">
        <f t="shared" ref="P357:Q357" si="353">IF(B357=0,0,IF(YEAR(B357)=$Q$1,MONTH(B357)-$P$1+1,(YEAR(B357)-$Q$1)*12-$P$1+1+MONTH(B357)))</f>
        <v>4</v>
      </c>
      <c r="Q357" s="330">
        <f t="shared" si="353"/>
        <v>4</v>
      </c>
      <c r="R357" s="331" t="str">
        <f t="shared" si="1"/>
        <v>Gastos_Gerais</v>
      </c>
      <c r="S357" s="331" t="str">
        <f>IF(D357="","",IF(OR(D357=Plano!$A$1,D357=Plano!$B$1),"entrada","saída"))</f>
        <v>saída</v>
      </c>
      <c r="T357" s="332" t="s">
        <v>1059</v>
      </c>
      <c r="U357" s="332">
        <v>1494</v>
      </c>
      <c r="V357" s="333"/>
    </row>
    <row r="358" spans="1:22" ht="45" customHeight="1" x14ac:dyDescent="0.2">
      <c r="A358" s="277">
        <f>IF(B358="","",COUNT('Diário 5º PA'!$A$5:$A$2634)+ROW()-4)</f>
        <v>1665</v>
      </c>
      <c r="B358" s="278">
        <v>44313</v>
      </c>
      <c r="C358" s="259">
        <v>44287</v>
      </c>
      <c r="D358" s="255" t="s">
        <v>99</v>
      </c>
      <c r="E358" s="255" t="s">
        <v>272</v>
      </c>
      <c r="F358" s="258">
        <v>10.45</v>
      </c>
      <c r="G358" s="255" t="s">
        <v>4355</v>
      </c>
      <c r="H358" s="252" t="s">
        <v>131</v>
      </c>
      <c r="I358" s="250" t="s">
        <v>949</v>
      </c>
      <c r="J358" s="255" t="s">
        <v>950</v>
      </c>
      <c r="K358" s="255" t="s">
        <v>951</v>
      </c>
      <c r="L358" s="250" t="s">
        <v>947</v>
      </c>
      <c r="M358" s="336" t="s">
        <v>114</v>
      </c>
      <c r="N358" s="278">
        <v>44313</v>
      </c>
      <c r="O358" s="329" t="s">
        <v>67</v>
      </c>
      <c r="P358" s="330">
        <f t="shared" ref="P358:Q358" si="354">IF(B358=0,0,IF(YEAR(B358)=$Q$1,MONTH(B358)-$P$1+1,(YEAR(B358)-$Q$1)*12-$P$1+1+MONTH(B358)))</f>
        <v>4</v>
      </c>
      <c r="Q358" s="330">
        <f t="shared" si="354"/>
        <v>4</v>
      </c>
      <c r="R358" s="331" t="str">
        <f t="shared" si="1"/>
        <v>Gastos_Gerais</v>
      </c>
      <c r="S358" s="331" t="str">
        <f>IF(D358="","",IF(OR(D358=Plano!$A$1,D358=Plano!$B$1),"entrada","saída"))</f>
        <v>saída</v>
      </c>
      <c r="T358" s="332" t="s">
        <v>114</v>
      </c>
      <c r="U358" s="332" t="s">
        <v>114</v>
      </c>
      <c r="V358" s="333"/>
    </row>
    <row r="359" spans="1:22" ht="61.5" customHeight="1" x14ac:dyDescent="0.2">
      <c r="A359" s="277">
        <f>IF(B359="","",COUNT('Diário 5º PA'!$A$5:$A$2634)+ROW()-4)</f>
        <v>1666</v>
      </c>
      <c r="B359" s="278">
        <v>44314</v>
      </c>
      <c r="C359" s="259">
        <v>44105</v>
      </c>
      <c r="D359" s="252" t="s">
        <v>104</v>
      </c>
      <c r="E359" s="252" t="s">
        <v>104</v>
      </c>
      <c r="F359" s="257">
        <v>420</v>
      </c>
      <c r="G359" s="252" t="s">
        <v>4356</v>
      </c>
      <c r="H359" s="252" t="s">
        <v>104</v>
      </c>
      <c r="I359" s="252" t="s">
        <v>4357</v>
      </c>
      <c r="J359" s="250" t="s">
        <v>4358</v>
      </c>
      <c r="K359" s="255" t="s">
        <v>1015</v>
      </c>
      <c r="L359" s="250" t="s">
        <v>1029</v>
      </c>
      <c r="M359" s="336">
        <v>1134</v>
      </c>
      <c r="N359" s="278">
        <v>44313</v>
      </c>
      <c r="O359" s="329" t="s">
        <v>70</v>
      </c>
      <c r="P359" s="330">
        <f t="shared" ref="P359:Q359" si="355">IF(B359=0,0,IF(YEAR(B359)=$Q$1,MONTH(B359)-$P$1+1,(YEAR(B359)-$Q$1)*12-$P$1+1+MONTH(B359)))</f>
        <v>4</v>
      </c>
      <c r="Q359" s="330">
        <f t="shared" si="355"/>
        <v>-2</v>
      </c>
      <c r="R359" s="331" t="str">
        <f t="shared" si="1"/>
        <v>Gastos_custeados_por_captação</v>
      </c>
      <c r="S359" s="331" t="str">
        <f>IF(D359="","",IF(OR(D359=Plano!$A$1,D359=Plano!$B$1),"entrada","saída"))</f>
        <v>saída</v>
      </c>
      <c r="T359" s="332" t="s">
        <v>994</v>
      </c>
      <c r="U359" s="332">
        <v>1081</v>
      </c>
      <c r="V359" s="333"/>
    </row>
    <row r="360" spans="1:22" ht="114.75" customHeight="1" x14ac:dyDescent="0.2">
      <c r="A360" s="277">
        <f>IF(B360="","",COUNT('Diário 5º PA'!$A$5:$A$2634)+ROW()-4)</f>
        <v>1667</v>
      </c>
      <c r="B360" s="278">
        <v>44314</v>
      </c>
      <c r="C360" s="259">
        <v>44287</v>
      </c>
      <c r="D360" s="252" t="s">
        <v>104</v>
      </c>
      <c r="E360" s="252" t="s">
        <v>104</v>
      </c>
      <c r="F360" s="257">
        <v>420</v>
      </c>
      <c r="G360" s="255" t="s">
        <v>4359</v>
      </c>
      <c r="H360" s="252" t="s">
        <v>104</v>
      </c>
      <c r="I360" s="250" t="s">
        <v>4360</v>
      </c>
      <c r="J360" s="255" t="s">
        <v>4361</v>
      </c>
      <c r="K360" s="255" t="s">
        <v>1015</v>
      </c>
      <c r="L360" s="250" t="s">
        <v>1029</v>
      </c>
      <c r="M360" s="336">
        <v>1135</v>
      </c>
      <c r="N360" s="278">
        <v>44314</v>
      </c>
      <c r="O360" s="329" t="s">
        <v>70</v>
      </c>
      <c r="P360" s="330">
        <f t="shared" ref="P360:Q360" si="356">IF(B360=0,0,IF(YEAR(B360)=$Q$1,MONTH(B360)-$P$1+1,(YEAR(B360)-$Q$1)*12-$P$1+1+MONTH(B360)))</f>
        <v>4</v>
      </c>
      <c r="Q360" s="330">
        <f t="shared" si="356"/>
        <v>4</v>
      </c>
      <c r="R360" s="331" t="str">
        <f t="shared" si="1"/>
        <v>Gastos_custeados_por_captação</v>
      </c>
      <c r="S360" s="331" t="str">
        <f>IF(D360="","",IF(OR(D360=Plano!$A$1,D360=Plano!$B$1),"entrada","saída"))</f>
        <v>saída</v>
      </c>
      <c r="T360" s="332" t="s">
        <v>1059</v>
      </c>
      <c r="U360" s="332">
        <v>1526</v>
      </c>
      <c r="V360" s="333"/>
    </row>
    <row r="361" spans="1:22" ht="40.5" customHeight="1" x14ac:dyDescent="0.2">
      <c r="A361" s="277">
        <f>IF(B361="","",COUNT('Diário 5º PA'!$A$5:$A$2634)+ROW()-4)</f>
        <v>1668</v>
      </c>
      <c r="B361" s="278">
        <v>44315</v>
      </c>
      <c r="C361" s="259">
        <v>44197</v>
      </c>
      <c r="D361" s="252" t="s">
        <v>99</v>
      </c>
      <c r="E361" s="252" t="s">
        <v>336</v>
      </c>
      <c r="F361" s="257">
        <v>3.8</v>
      </c>
      <c r="G361" s="252" t="s">
        <v>4362</v>
      </c>
      <c r="H361" s="252" t="s">
        <v>132</v>
      </c>
      <c r="I361" s="250" t="s">
        <v>949</v>
      </c>
      <c r="J361" s="255" t="s">
        <v>950</v>
      </c>
      <c r="K361" s="255" t="s">
        <v>951</v>
      </c>
      <c r="L361" s="250" t="s">
        <v>947</v>
      </c>
      <c r="M361" s="336" t="s">
        <v>114</v>
      </c>
      <c r="N361" s="278">
        <v>44315</v>
      </c>
      <c r="O361" s="329" t="s">
        <v>67</v>
      </c>
      <c r="P361" s="330">
        <f t="shared" ref="P361:Q361" si="357">IF(B361=0,0,IF(YEAR(B361)=$Q$1,MONTH(B361)-$P$1+1,(YEAR(B361)-$Q$1)*12-$P$1+1+MONTH(B361)))</f>
        <v>4</v>
      </c>
      <c r="Q361" s="330">
        <f t="shared" si="357"/>
        <v>1</v>
      </c>
      <c r="R361" s="331" t="str">
        <f t="shared" si="1"/>
        <v>Gastos_Gerais</v>
      </c>
      <c r="S361" s="331" t="str">
        <f>IF(D361="","",IF(OR(D361=Plano!$A$1,D361=Plano!$B$1),"entrada","saída"))</f>
        <v>saída</v>
      </c>
      <c r="T361" s="332" t="s">
        <v>114</v>
      </c>
      <c r="U361" s="332" t="s">
        <v>114</v>
      </c>
      <c r="V361" s="333"/>
    </row>
    <row r="362" spans="1:22" ht="87" customHeight="1" x14ac:dyDescent="0.2">
      <c r="A362" s="277">
        <f>IF(B362="","",COUNT('Diário 5º PA'!$A$5:$A$2634)+ROW()-4)</f>
        <v>1669</v>
      </c>
      <c r="B362" s="278">
        <v>44315</v>
      </c>
      <c r="C362" s="259">
        <v>44197</v>
      </c>
      <c r="D362" s="252" t="s">
        <v>99</v>
      </c>
      <c r="E362" s="252" t="s">
        <v>336</v>
      </c>
      <c r="F362" s="257">
        <v>1000</v>
      </c>
      <c r="G362" s="252" t="s">
        <v>4363</v>
      </c>
      <c r="H362" s="252" t="s">
        <v>132</v>
      </c>
      <c r="I362" s="252" t="s">
        <v>4364</v>
      </c>
      <c r="J362" s="250" t="s">
        <v>4365</v>
      </c>
      <c r="K362" s="255" t="s">
        <v>4366</v>
      </c>
      <c r="L362" s="250" t="s">
        <v>1177</v>
      </c>
      <c r="M362" s="277" t="s">
        <v>114</v>
      </c>
      <c r="N362" s="278">
        <v>44315</v>
      </c>
      <c r="O362" s="329" t="s">
        <v>67</v>
      </c>
      <c r="P362" s="330">
        <f t="shared" ref="P362:Q362" si="358">IF(B362=0,0,IF(YEAR(B362)=$Q$1,MONTH(B362)-$P$1+1,(YEAR(B362)-$Q$1)*12-$P$1+1+MONTH(B362)))</f>
        <v>4</v>
      </c>
      <c r="Q362" s="330">
        <f t="shared" si="358"/>
        <v>1</v>
      </c>
      <c r="R362" s="331" t="str">
        <f t="shared" si="1"/>
        <v>Gastos_Gerais</v>
      </c>
      <c r="S362" s="331" t="str">
        <f>IF(D362="","",IF(OR(D362=Plano!$A$1,D362=Plano!$B$1),"entrada","saída"))</f>
        <v>saída</v>
      </c>
      <c r="T362" s="332" t="s">
        <v>994</v>
      </c>
      <c r="U362" s="332">
        <v>856</v>
      </c>
      <c r="V362" s="333"/>
    </row>
    <row r="363" spans="1:22" ht="36.75" customHeight="1" x14ac:dyDescent="0.2">
      <c r="A363" s="277">
        <f>IF(B363="","",COUNT('Diário 5º PA'!$A$5:$A$2634)+ROW()-4)</f>
        <v>1670</v>
      </c>
      <c r="B363" s="278">
        <v>44315</v>
      </c>
      <c r="C363" s="259">
        <v>44197</v>
      </c>
      <c r="D363" s="252" t="s">
        <v>99</v>
      </c>
      <c r="E363" s="252" t="s">
        <v>336</v>
      </c>
      <c r="F363" s="257">
        <v>550</v>
      </c>
      <c r="G363" s="252" t="s">
        <v>4367</v>
      </c>
      <c r="H363" s="252" t="s">
        <v>132</v>
      </c>
      <c r="I363" s="250" t="s">
        <v>949</v>
      </c>
      <c r="J363" s="255" t="s">
        <v>950</v>
      </c>
      <c r="K363" s="255" t="s">
        <v>951</v>
      </c>
      <c r="L363" s="250" t="s">
        <v>947</v>
      </c>
      <c r="M363" s="336" t="s">
        <v>114</v>
      </c>
      <c r="N363" s="278">
        <v>44315</v>
      </c>
      <c r="O363" s="329" t="s">
        <v>67</v>
      </c>
      <c r="P363" s="330">
        <f t="shared" ref="P363:Q363" si="359">IF(B363=0,0,IF(YEAR(B363)=$Q$1,MONTH(B363)-$P$1+1,(YEAR(B363)-$Q$1)*12-$P$1+1+MONTH(B363)))</f>
        <v>4</v>
      </c>
      <c r="Q363" s="330">
        <f t="shared" si="359"/>
        <v>1</v>
      </c>
      <c r="R363" s="331" t="str">
        <f t="shared" si="1"/>
        <v>Gastos_Gerais</v>
      </c>
      <c r="S363" s="331" t="str">
        <f>IF(D363="","",IF(OR(D363=Plano!$A$1,D363=Plano!$B$1),"entrada","saída"))</f>
        <v>saída</v>
      </c>
      <c r="T363" s="332" t="s">
        <v>114</v>
      </c>
      <c r="U363" s="332" t="s">
        <v>114</v>
      </c>
      <c r="V363" s="333"/>
    </row>
    <row r="364" spans="1:22" ht="44.25" customHeight="1" x14ac:dyDescent="0.2">
      <c r="A364" s="277">
        <f>IF(B364="","",COUNT('Diário 5º PA'!$A$5:$A$2634)+ROW()-4)</f>
        <v>1671</v>
      </c>
      <c r="B364" s="278">
        <v>44315</v>
      </c>
      <c r="C364" s="259">
        <v>44197</v>
      </c>
      <c r="D364" s="252" t="s">
        <v>99</v>
      </c>
      <c r="E364" s="252" t="s">
        <v>336</v>
      </c>
      <c r="F364" s="257">
        <v>178.51</v>
      </c>
      <c r="G364" s="252" t="s">
        <v>4368</v>
      </c>
      <c r="H364" s="252" t="s">
        <v>132</v>
      </c>
      <c r="I364" s="250" t="s">
        <v>488</v>
      </c>
      <c r="J364" s="255" t="s">
        <v>114</v>
      </c>
      <c r="K364" s="255" t="s">
        <v>466</v>
      </c>
      <c r="L364" s="250" t="s">
        <v>489</v>
      </c>
      <c r="M364" s="336" t="s">
        <v>114</v>
      </c>
      <c r="N364" s="278">
        <v>44315</v>
      </c>
      <c r="O364" s="329" t="s">
        <v>67</v>
      </c>
      <c r="P364" s="330">
        <f t="shared" ref="P364:Q364" si="360">IF(B364=0,0,IF(YEAR(B364)=$Q$1,MONTH(B364)-$P$1+1,(YEAR(B364)-$Q$1)*12-$P$1+1+MONTH(B364)))</f>
        <v>4</v>
      </c>
      <c r="Q364" s="330">
        <f t="shared" si="360"/>
        <v>1</v>
      </c>
      <c r="R364" s="331" t="str">
        <f t="shared" si="1"/>
        <v>Gastos_Gerais</v>
      </c>
      <c r="S364" s="331" t="str">
        <f>IF(D364="","",IF(OR(D364=Plano!$A$1,D364=Plano!$B$1),"entrada","saída"))</f>
        <v>saída</v>
      </c>
      <c r="T364" s="332" t="s">
        <v>114</v>
      </c>
      <c r="U364" s="332" t="s">
        <v>114</v>
      </c>
      <c r="V364" s="333"/>
    </row>
    <row r="365" spans="1:22" ht="54.75" customHeight="1" x14ac:dyDescent="0.2">
      <c r="A365" s="277">
        <f>IF(B365="","",COUNT('Diário 5º PA'!$A$5:$A$2634)+ROW()-4)</f>
        <v>1672</v>
      </c>
      <c r="B365" s="278">
        <v>44315</v>
      </c>
      <c r="C365" s="259">
        <v>44197</v>
      </c>
      <c r="D365" s="252" t="s">
        <v>99</v>
      </c>
      <c r="E365" s="252" t="s">
        <v>336</v>
      </c>
      <c r="F365" s="257">
        <v>22.46</v>
      </c>
      <c r="G365" s="252" t="s">
        <v>4369</v>
      </c>
      <c r="H365" s="252" t="s">
        <v>132</v>
      </c>
      <c r="I365" s="250" t="s">
        <v>488</v>
      </c>
      <c r="J365" s="255" t="s">
        <v>114</v>
      </c>
      <c r="K365" s="255" t="s">
        <v>466</v>
      </c>
      <c r="L365" s="250" t="s">
        <v>489</v>
      </c>
      <c r="M365" s="336" t="s">
        <v>114</v>
      </c>
      <c r="N365" s="278">
        <v>44315</v>
      </c>
      <c r="O365" s="329" t="s">
        <v>67</v>
      </c>
      <c r="P365" s="330">
        <f t="shared" ref="P365:Q365" si="361">IF(B365=0,0,IF(YEAR(B365)=$Q$1,MONTH(B365)-$P$1+1,(YEAR(B365)-$Q$1)*12-$P$1+1+MONTH(B365)))</f>
        <v>4</v>
      </c>
      <c r="Q365" s="330">
        <f t="shared" si="361"/>
        <v>1</v>
      </c>
      <c r="R365" s="331" t="str">
        <f t="shared" si="1"/>
        <v>Gastos_Gerais</v>
      </c>
      <c r="S365" s="331" t="str">
        <f>IF(D365="","",IF(OR(D365=Plano!$A$1,D365=Plano!$B$1),"entrada","saída"))</f>
        <v>saída</v>
      </c>
      <c r="T365" s="332" t="s">
        <v>114</v>
      </c>
      <c r="U365" s="332" t="s">
        <v>114</v>
      </c>
      <c r="V365" s="333"/>
    </row>
    <row r="366" spans="1:22" ht="45.75" customHeight="1" x14ac:dyDescent="0.2">
      <c r="A366" s="277">
        <f>IF(B366="","",COUNT('Diário 5º PA'!$A$5:$A$2634)+ROW()-4)</f>
        <v>1673</v>
      </c>
      <c r="B366" s="278">
        <v>44315</v>
      </c>
      <c r="C366" s="259">
        <v>44197</v>
      </c>
      <c r="D366" s="252" t="s">
        <v>99</v>
      </c>
      <c r="E366" s="252" t="s">
        <v>336</v>
      </c>
      <c r="F366" s="257">
        <v>103.45</v>
      </c>
      <c r="G366" s="252" t="s">
        <v>4370</v>
      </c>
      <c r="H366" s="252" t="s">
        <v>132</v>
      </c>
      <c r="I366" s="250" t="s">
        <v>488</v>
      </c>
      <c r="J366" s="255" t="s">
        <v>114</v>
      </c>
      <c r="K366" s="255" t="s">
        <v>466</v>
      </c>
      <c r="L366" s="250" t="s">
        <v>489</v>
      </c>
      <c r="M366" s="336" t="s">
        <v>114</v>
      </c>
      <c r="N366" s="278">
        <v>44315</v>
      </c>
      <c r="O366" s="329" t="s">
        <v>67</v>
      </c>
      <c r="P366" s="330">
        <f t="shared" ref="P366:Q366" si="362">IF(B366=0,0,IF(YEAR(B366)=$Q$1,MONTH(B366)-$P$1+1,(YEAR(B366)-$Q$1)*12-$P$1+1+MONTH(B366)))</f>
        <v>4</v>
      </c>
      <c r="Q366" s="330">
        <f t="shared" si="362"/>
        <v>1</v>
      </c>
      <c r="R366" s="331" t="str">
        <f t="shared" si="1"/>
        <v>Gastos_Gerais</v>
      </c>
      <c r="S366" s="331" t="str">
        <f>IF(D366="","",IF(OR(D366=Plano!$A$1,D366=Plano!$B$1),"entrada","saída"))</f>
        <v>saída</v>
      </c>
      <c r="T366" s="332" t="s">
        <v>114</v>
      </c>
      <c r="U366" s="332" t="s">
        <v>114</v>
      </c>
      <c r="V366" s="333"/>
    </row>
    <row r="367" spans="1:22" ht="55.5" customHeight="1" x14ac:dyDescent="0.2">
      <c r="A367" s="277">
        <f>IF(B367="","",COUNT('Diário 5º PA'!$A$5:$A$2634)+ROW()-4)</f>
        <v>1674</v>
      </c>
      <c r="B367" s="278">
        <v>44315</v>
      </c>
      <c r="C367" s="259">
        <v>44256</v>
      </c>
      <c r="D367" s="252" t="s">
        <v>104</v>
      </c>
      <c r="E367" s="252" t="s">
        <v>104</v>
      </c>
      <c r="F367" s="257">
        <v>16.149999999999999</v>
      </c>
      <c r="G367" s="252" t="s">
        <v>4371</v>
      </c>
      <c r="H367" s="252" t="s">
        <v>104</v>
      </c>
      <c r="I367" s="250" t="s">
        <v>949</v>
      </c>
      <c r="J367" s="255" t="s">
        <v>950</v>
      </c>
      <c r="K367" s="255" t="s">
        <v>951</v>
      </c>
      <c r="L367" s="250" t="s">
        <v>947</v>
      </c>
      <c r="M367" s="336" t="s">
        <v>114</v>
      </c>
      <c r="N367" s="278">
        <v>44315</v>
      </c>
      <c r="O367" s="329" t="s">
        <v>70</v>
      </c>
      <c r="P367" s="330">
        <f t="shared" ref="P367:Q367" si="363">IF(B367=0,0,IF(YEAR(B367)=$Q$1,MONTH(B367)-$P$1+1,(YEAR(B367)-$Q$1)*12-$P$1+1+MONTH(B367)))</f>
        <v>4</v>
      </c>
      <c r="Q367" s="330">
        <f t="shared" si="363"/>
        <v>3</v>
      </c>
      <c r="R367" s="331" t="str">
        <f t="shared" si="1"/>
        <v>Gastos_custeados_por_captação</v>
      </c>
      <c r="S367" s="331" t="str">
        <f>IF(D367="","",IF(OR(D367=Plano!$A$1,D367=Plano!$B$1),"entrada","saída"))</f>
        <v>saída</v>
      </c>
      <c r="T367" s="332" t="s">
        <v>114</v>
      </c>
      <c r="U367" s="332" t="s">
        <v>114</v>
      </c>
      <c r="V367" s="333"/>
    </row>
    <row r="368" spans="1:22" ht="215.25" customHeight="1" x14ac:dyDescent="0.2">
      <c r="A368" s="277">
        <f>IF(B368="","",COUNT('Diário 5º PA'!$A$5:$A$2634)+ROW()-4)</f>
        <v>1675</v>
      </c>
      <c r="B368" s="278">
        <v>44315</v>
      </c>
      <c r="C368" s="259">
        <v>44256</v>
      </c>
      <c r="D368" s="252" t="s">
        <v>104</v>
      </c>
      <c r="E368" s="252" t="s">
        <v>104</v>
      </c>
      <c r="F368" s="257">
        <v>4250</v>
      </c>
      <c r="G368" s="252" t="s">
        <v>4372</v>
      </c>
      <c r="H368" s="252" t="s">
        <v>104</v>
      </c>
      <c r="I368" s="252" t="s">
        <v>4373</v>
      </c>
      <c r="J368" s="250" t="s">
        <v>114</v>
      </c>
      <c r="K368" s="255" t="s">
        <v>4366</v>
      </c>
      <c r="L368" s="250" t="s">
        <v>1177</v>
      </c>
      <c r="M368" s="336" t="s">
        <v>114</v>
      </c>
      <c r="N368" s="278">
        <v>44315</v>
      </c>
      <c r="O368" s="329" t="s">
        <v>70</v>
      </c>
      <c r="P368" s="330">
        <f t="shared" ref="P368:Q368" si="364">IF(B368=0,0,IF(YEAR(B368)=$Q$1,MONTH(B368)-$P$1+1,(YEAR(B368)-$Q$1)*12-$P$1+1+MONTH(B368)))</f>
        <v>4</v>
      </c>
      <c r="Q368" s="330">
        <f t="shared" si="364"/>
        <v>3</v>
      </c>
      <c r="R368" s="331" t="str">
        <f t="shared" si="1"/>
        <v>Gastos_custeados_por_captação</v>
      </c>
      <c r="S368" s="331" t="str">
        <f>IF(D368="","",IF(OR(D368=Plano!$A$1,D368=Plano!$B$1),"entrada","saída"))</f>
        <v>saída</v>
      </c>
      <c r="T368" s="332" t="s">
        <v>994</v>
      </c>
      <c r="U368" s="332">
        <v>1474</v>
      </c>
      <c r="V368" s="333"/>
    </row>
    <row r="369" spans="1:22" ht="45.75" customHeight="1" x14ac:dyDescent="0.2">
      <c r="A369" s="277">
        <f>IF(B369="","",COUNT('Diário 5º PA'!$A$5:$A$2634)+ROW()-4)</f>
        <v>1676</v>
      </c>
      <c r="B369" s="278">
        <v>44315</v>
      </c>
      <c r="C369" s="259">
        <v>44256</v>
      </c>
      <c r="D369" s="252" t="s">
        <v>104</v>
      </c>
      <c r="E369" s="252" t="s">
        <v>104</v>
      </c>
      <c r="F369" s="257">
        <v>550</v>
      </c>
      <c r="G369" s="252" t="s">
        <v>4374</v>
      </c>
      <c r="H369" s="252" t="s">
        <v>104</v>
      </c>
      <c r="I369" s="250" t="s">
        <v>949</v>
      </c>
      <c r="J369" s="255" t="s">
        <v>950</v>
      </c>
      <c r="K369" s="255" t="s">
        <v>951</v>
      </c>
      <c r="L369" s="250" t="s">
        <v>947</v>
      </c>
      <c r="M369" s="336" t="s">
        <v>114</v>
      </c>
      <c r="N369" s="278">
        <v>44315</v>
      </c>
      <c r="O369" s="329" t="s">
        <v>70</v>
      </c>
      <c r="P369" s="330">
        <f t="shared" ref="P369:Q369" si="365">IF(B369=0,0,IF(YEAR(B369)=$Q$1,MONTH(B369)-$P$1+1,(YEAR(B369)-$Q$1)*12-$P$1+1+MONTH(B369)))</f>
        <v>4</v>
      </c>
      <c r="Q369" s="330">
        <f t="shared" si="365"/>
        <v>3</v>
      </c>
      <c r="R369" s="331" t="str">
        <f t="shared" si="1"/>
        <v>Gastos_custeados_por_captação</v>
      </c>
      <c r="S369" s="331" t="str">
        <f>IF(D369="","",IF(OR(D369=Plano!$A$1,D369=Plano!$B$1),"entrada","saída"))</f>
        <v>saída</v>
      </c>
      <c r="T369" s="332" t="s">
        <v>114</v>
      </c>
      <c r="U369" s="332" t="s">
        <v>114</v>
      </c>
      <c r="V369" s="333"/>
    </row>
    <row r="370" spans="1:22" ht="45.75" customHeight="1" x14ac:dyDescent="0.2">
      <c r="A370" s="277">
        <f>IF(B370="","",COUNT('Diário 5º PA'!$A$5:$A$2634)+ROW()-4)</f>
        <v>1677</v>
      </c>
      <c r="B370" s="278">
        <v>44315</v>
      </c>
      <c r="C370" s="259">
        <v>44256</v>
      </c>
      <c r="D370" s="252" t="s">
        <v>104</v>
      </c>
      <c r="E370" s="252" t="s">
        <v>104</v>
      </c>
      <c r="F370" s="257">
        <v>755.1</v>
      </c>
      <c r="G370" s="252" t="s">
        <v>4375</v>
      </c>
      <c r="H370" s="252" t="s">
        <v>104</v>
      </c>
      <c r="I370" s="250" t="s">
        <v>488</v>
      </c>
      <c r="J370" s="255" t="s">
        <v>114</v>
      </c>
      <c r="K370" s="255" t="s">
        <v>466</v>
      </c>
      <c r="L370" s="250" t="s">
        <v>489</v>
      </c>
      <c r="M370" s="336" t="s">
        <v>114</v>
      </c>
      <c r="N370" s="278">
        <v>44315</v>
      </c>
      <c r="O370" s="329" t="s">
        <v>70</v>
      </c>
      <c r="P370" s="330">
        <f t="shared" ref="P370:Q370" si="366">IF(B370=0,0,IF(YEAR(B370)=$Q$1,MONTH(B370)-$P$1+1,(YEAR(B370)-$Q$1)*12-$P$1+1+MONTH(B370)))</f>
        <v>4</v>
      </c>
      <c r="Q370" s="330">
        <f t="shared" si="366"/>
        <v>3</v>
      </c>
      <c r="R370" s="331" t="str">
        <f t="shared" si="1"/>
        <v>Gastos_custeados_por_captação</v>
      </c>
      <c r="S370" s="331" t="str">
        <f>IF(D370="","",IF(OR(D370=Plano!$A$1,D370=Plano!$B$1),"entrada","saída"))</f>
        <v>saída</v>
      </c>
      <c r="T370" s="332" t="s">
        <v>114</v>
      </c>
      <c r="U370" s="332" t="s">
        <v>114</v>
      </c>
      <c r="V370" s="333"/>
    </row>
    <row r="371" spans="1:22" ht="84" customHeight="1" x14ac:dyDescent="0.2">
      <c r="A371" s="277">
        <f>IF(B371="","",COUNT('Diário 5º PA'!$A$5:$A$2634)+ROW()-4)</f>
        <v>1678</v>
      </c>
      <c r="B371" s="278">
        <v>44316</v>
      </c>
      <c r="C371" s="249">
        <v>44287</v>
      </c>
      <c r="D371" s="255" t="s">
        <v>99</v>
      </c>
      <c r="E371" s="255" t="s">
        <v>330</v>
      </c>
      <c r="F371" s="258">
        <v>150</v>
      </c>
      <c r="G371" s="255" t="s">
        <v>3231</v>
      </c>
      <c r="H371" s="255" t="s">
        <v>115</v>
      </c>
      <c r="I371" s="250" t="s">
        <v>1640</v>
      </c>
      <c r="J371" s="252" t="s">
        <v>452</v>
      </c>
      <c r="K371" s="255" t="s">
        <v>560</v>
      </c>
      <c r="L371" s="250" t="s">
        <v>3667</v>
      </c>
      <c r="M371" s="277">
        <v>27972</v>
      </c>
      <c r="N371" s="278">
        <v>44287</v>
      </c>
      <c r="O371" s="329" t="s">
        <v>67</v>
      </c>
      <c r="P371" s="330">
        <f t="shared" ref="P371:Q371" si="367">IF(B371=0,0,IF(YEAR(B371)=$Q$1,MONTH(B371)-$P$1+1,(YEAR(B371)-$Q$1)*12-$P$1+1+MONTH(B371)))</f>
        <v>4</v>
      </c>
      <c r="Q371" s="330">
        <f t="shared" si="367"/>
        <v>4</v>
      </c>
      <c r="R371" s="331" t="str">
        <f t="shared" si="1"/>
        <v>Gastos_Gerais</v>
      </c>
      <c r="S371" s="331" t="str">
        <f>IF(D371="","",IF(OR(D371=Plano!$A$1,D371=Plano!$B$1),"entrada","saída"))</f>
        <v>saída</v>
      </c>
      <c r="T371" s="332" t="s">
        <v>1059</v>
      </c>
      <c r="U371" s="332">
        <v>1145</v>
      </c>
      <c r="V371" s="333"/>
    </row>
    <row r="372" spans="1:22" ht="60" customHeight="1" x14ac:dyDescent="0.2">
      <c r="A372" s="277">
        <f>IF(B372="","",COUNT('Diário 5º PA'!$A$5:$A$2634)+ROW()-4)</f>
        <v>1679</v>
      </c>
      <c r="B372" s="278">
        <v>44316</v>
      </c>
      <c r="C372" s="249">
        <v>44287</v>
      </c>
      <c r="D372" s="255" t="s">
        <v>85</v>
      </c>
      <c r="E372" s="255" t="s">
        <v>85</v>
      </c>
      <c r="F372" s="258">
        <v>1871.62</v>
      </c>
      <c r="G372" s="255" t="s">
        <v>4376</v>
      </c>
      <c r="H372" s="255" t="s">
        <v>114</v>
      </c>
      <c r="I372" s="250" t="s">
        <v>945</v>
      </c>
      <c r="J372" s="255" t="s">
        <v>850</v>
      </c>
      <c r="K372" s="255" t="s">
        <v>946</v>
      </c>
      <c r="L372" s="250" t="s">
        <v>947</v>
      </c>
      <c r="M372" s="336" t="s">
        <v>114</v>
      </c>
      <c r="N372" s="278">
        <v>44316</v>
      </c>
      <c r="O372" s="329" t="s">
        <v>67</v>
      </c>
      <c r="P372" s="330">
        <f t="shared" ref="P372:Q372" si="368">IF(B372=0,0,IF(YEAR(B372)=$Q$1,MONTH(B372)-$P$1+1,(YEAR(B372)-$Q$1)*12-$P$1+1+MONTH(B372)))</f>
        <v>4</v>
      </c>
      <c r="Q372" s="330">
        <f t="shared" si="368"/>
        <v>4</v>
      </c>
      <c r="R372" s="331" t="str">
        <f t="shared" si="1"/>
        <v>Rendimentos_de_Aplicações_Fin.</v>
      </c>
      <c r="S372" s="331" t="str">
        <f>IF(D372="","",IF(OR(D372=Plano!$A$1,D372=Plano!$B$1),"entrada","saída"))</f>
        <v>entrada</v>
      </c>
      <c r="T372" s="332" t="s">
        <v>114</v>
      </c>
      <c r="U372" s="332" t="s">
        <v>114</v>
      </c>
      <c r="V372" s="333"/>
    </row>
    <row r="373" spans="1:22" ht="39.75" customHeight="1" x14ac:dyDescent="0.2">
      <c r="A373" s="277">
        <f>IF(B373="","",COUNT('Diário 5º PA'!$A$5:$A$2634)+ROW()-4)</f>
        <v>1680</v>
      </c>
      <c r="B373" s="278">
        <v>44316</v>
      </c>
      <c r="C373" s="249">
        <v>44287</v>
      </c>
      <c r="D373" s="255" t="s">
        <v>99</v>
      </c>
      <c r="E373" s="255" t="s">
        <v>280</v>
      </c>
      <c r="F373" s="258">
        <v>9.1199999999999992</v>
      </c>
      <c r="G373" s="255" t="s">
        <v>4377</v>
      </c>
      <c r="H373" s="255" t="s">
        <v>114</v>
      </c>
      <c r="I373" s="250" t="s">
        <v>488</v>
      </c>
      <c r="J373" s="255" t="s">
        <v>114</v>
      </c>
      <c r="K373" s="255" t="s">
        <v>466</v>
      </c>
      <c r="L373" s="250" t="s">
        <v>489</v>
      </c>
      <c r="M373" s="277" t="s">
        <v>114</v>
      </c>
      <c r="N373" s="278">
        <v>44316</v>
      </c>
      <c r="O373" s="329" t="s">
        <v>67</v>
      </c>
      <c r="P373" s="330">
        <f t="shared" ref="P373:Q373" si="369">IF(B373=0,0,IF(YEAR(B373)=$Q$1,MONTH(B373)-$P$1+1,(YEAR(B373)-$Q$1)*12-$P$1+1+MONTH(B373)))</f>
        <v>4</v>
      </c>
      <c r="Q373" s="330">
        <f t="shared" si="369"/>
        <v>4</v>
      </c>
      <c r="R373" s="331" t="str">
        <f t="shared" si="1"/>
        <v>Gastos_Gerais</v>
      </c>
      <c r="S373" s="331" t="str">
        <f>IF(D373="","",IF(OR(D373=Plano!$A$1,D373=Plano!$B$1),"entrada","saída"))</f>
        <v>saída</v>
      </c>
      <c r="T373" s="332" t="s">
        <v>114</v>
      </c>
      <c r="U373" s="332" t="s">
        <v>114</v>
      </c>
      <c r="V373" s="333"/>
    </row>
    <row r="374" spans="1:22" ht="51" customHeight="1" x14ac:dyDescent="0.2">
      <c r="A374" s="277">
        <f>IF(B374="","",COUNT('Diário 5º PA'!$A$5:$A$2634)+ROW()-4)</f>
        <v>1681</v>
      </c>
      <c r="B374" s="278">
        <v>44316</v>
      </c>
      <c r="C374" s="249">
        <v>44287</v>
      </c>
      <c r="D374" s="255" t="s">
        <v>99</v>
      </c>
      <c r="E374" s="255" t="s">
        <v>278</v>
      </c>
      <c r="F374" s="258">
        <v>58.28</v>
      </c>
      <c r="G374" s="255" t="s">
        <v>4378</v>
      </c>
      <c r="H374" s="255" t="s">
        <v>114</v>
      </c>
      <c r="I374" s="250" t="s">
        <v>488</v>
      </c>
      <c r="J374" s="255" t="s">
        <v>114</v>
      </c>
      <c r="K374" s="255" t="s">
        <v>466</v>
      </c>
      <c r="L374" s="250" t="s">
        <v>489</v>
      </c>
      <c r="M374" s="277" t="s">
        <v>114</v>
      </c>
      <c r="N374" s="278">
        <v>44316</v>
      </c>
      <c r="O374" s="329" t="s">
        <v>67</v>
      </c>
      <c r="P374" s="330">
        <f t="shared" ref="P374:Q374" si="370">IF(B374=0,0,IF(YEAR(B374)=$Q$1,MONTH(B374)-$P$1+1,(YEAR(B374)-$Q$1)*12-$P$1+1+MONTH(B374)))</f>
        <v>4</v>
      </c>
      <c r="Q374" s="330">
        <f t="shared" si="370"/>
        <v>4</v>
      </c>
      <c r="R374" s="331" t="str">
        <f t="shared" si="1"/>
        <v>Gastos_Gerais</v>
      </c>
      <c r="S374" s="331" t="str">
        <f>IF(D374="","",IF(OR(D374=Plano!$A$1,D374=Plano!$B$1),"entrada","saída"))</f>
        <v>saída</v>
      </c>
      <c r="T374" s="332" t="s">
        <v>114</v>
      </c>
      <c r="U374" s="332" t="s">
        <v>114</v>
      </c>
      <c r="V374" s="333"/>
    </row>
    <row r="375" spans="1:22" ht="57.75" customHeight="1" x14ac:dyDescent="0.2">
      <c r="A375" s="277">
        <f>IF(B375="","",COUNT('Diário 5º PA'!$A$5:$A$2634)+ROW()-4)</f>
        <v>1682</v>
      </c>
      <c r="B375" s="278">
        <v>44319</v>
      </c>
      <c r="C375" s="256">
        <v>44287</v>
      </c>
      <c r="D375" s="255" t="s">
        <v>88</v>
      </c>
      <c r="E375" s="255" t="s">
        <v>183</v>
      </c>
      <c r="F375" s="258">
        <v>-27.74</v>
      </c>
      <c r="G375" s="255" t="s">
        <v>984</v>
      </c>
      <c r="H375" s="252" t="s">
        <v>114</v>
      </c>
      <c r="I375" s="250" t="s">
        <v>983</v>
      </c>
      <c r="J375" s="255" t="s">
        <v>850</v>
      </c>
      <c r="K375" s="255" t="s">
        <v>946</v>
      </c>
      <c r="L375" s="250" t="s">
        <v>947</v>
      </c>
      <c r="M375" s="277" t="s">
        <v>114</v>
      </c>
      <c r="N375" s="278">
        <v>44319</v>
      </c>
      <c r="O375" s="329" t="s">
        <v>67</v>
      </c>
      <c r="P375" s="330">
        <f t="shared" ref="P375:Q375" si="371">IF(B375=0,0,IF(YEAR(B375)=$Q$1,MONTH(B375)-$P$1+1,(YEAR(B375)-$Q$1)*12-$P$1+1+MONTH(B375)))</f>
        <v>5</v>
      </c>
      <c r="Q375" s="330">
        <f t="shared" si="371"/>
        <v>4</v>
      </c>
      <c r="R375" s="331" t="str">
        <f t="shared" si="1"/>
        <v>Gastos_com_Pessoal</v>
      </c>
      <c r="S375" s="331" t="str">
        <f>IF(D375="","",IF(OR(D375=Plano!$A$1,D375=Plano!$B$1),"entrada","saída"))</f>
        <v>saída</v>
      </c>
      <c r="T375" s="332" t="s">
        <v>114</v>
      </c>
      <c r="U375" s="332" t="s">
        <v>114</v>
      </c>
      <c r="V375" s="333"/>
    </row>
    <row r="376" spans="1:22" ht="55.5" customHeight="1" x14ac:dyDescent="0.2">
      <c r="A376" s="277">
        <f>IF(B376="","",COUNT('Diário 5º PA'!$A$5:$A$2634)+ROW()-4)</f>
        <v>1683</v>
      </c>
      <c r="B376" s="278">
        <v>44319</v>
      </c>
      <c r="C376" s="256">
        <v>44287</v>
      </c>
      <c r="D376" s="255" t="s">
        <v>88</v>
      </c>
      <c r="E376" s="255" t="s">
        <v>198</v>
      </c>
      <c r="F376" s="258">
        <v>-42.94</v>
      </c>
      <c r="G376" s="255" t="s">
        <v>2471</v>
      </c>
      <c r="H376" s="252" t="s">
        <v>114</v>
      </c>
      <c r="I376" s="250" t="s">
        <v>983</v>
      </c>
      <c r="J376" s="255" t="s">
        <v>850</v>
      </c>
      <c r="K376" s="255" t="s">
        <v>946</v>
      </c>
      <c r="L376" s="250" t="s">
        <v>947</v>
      </c>
      <c r="M376" s="277" t="s">
        <v>114</v>
      </c>
      <c r="N376" s="278">
        <v>44319</v>
      </c>
      <c r="O376" s="329" t="s">
        <v>67</v>
      </c>
      <c r="P376" s="330">
        <f t="shared" ref="P376:Q376" si="372">IF(B376=0,0,IF(YEAR(B376)=$Q$1,MONTH(B376)-$P$1+1,(YEAR(B376)-$Q$1)*12-$P$1+1+MONTH(B376)))</f>
        <v>5</v>
      </c>
      <c r="Q376" s="330">
        <f t="shared" si="372"/>
        <v>4</v>
      </c>
      <c r="R376" s="331" t="str">
        <f t="shared" si="1"/>
        <v>Gastos_com_Pessoal</v>
      </c>
      <c r="S376" s="331" t="str">
        <f>IF(D376="","",IF(OR(D376=Plano!$A$1,D376=Plano!$B$1),"entrada","saída"))</f>
        <v>saída</v>
      </c>
      <c r="T376" s="332" t="s">
        <v>114</v>
      </c>
      <c r="U376" s="332" t="s">
        <v>114</v>
      </c>
      <c r="V376" s="333"/>
    </row>
    <row r="377" spans="1:22" ht="54" customHeight="1" x14ac:dyDescent="0.2">
      <c r="A377" s="277">
        <f>IF(B377="","",COUNT('Diário 5º PA'!$A$5:$A$2634)+ROW()-4)</f>
        <v>1684</v>
      </c>
      <c r="B377" s="278">
        <v>44319</v>
      </c>
      <c r="C377" s="256">
        <v>44287</v>
      </c>
      <c r="D377" s="255" t="s">
        <v>88</v>
      </c>
      <c r="E377" s="255" t="s">
        <v>198</v>
      </c>
      <c r="F377" s="258">
        <v>-21.47</v>
      </c>
      <c r="G377" s="255" t="s">
        <v>982</v>
      </c>
      <c r="H377" s="252" t="s">
        <v>114</v>
      </c>
      <c r="I377" s="250" t="s">
        <v>983</v>
      </c>
      <c r="J377" s="255" t="s">
        <v>850</v>
      </c>
      <c r="K377" s="255" t="s">
        <v>946</v>
      </c>
      <c r="L377" s="250" t="s">
        <v>947</v>
      </c>
      <c r="M377" s="277" t="s">
        <v>114</v>
      </c>
      <c r="N377" s="278">
        <v>44319</v>
      </c>
      <c r="O377" s="329" t="s">
        <v>67</v>
      </c>
      <c r="P377" s="330">
        <f t="shared" ref="P377:Q377" si="373">IF(B377=0,0,IF(YEAR(B377)=$Q$1,MONTH(B377)-$P$1+1,(YEAR(B377)-$Q$1)*12-$P$1+1+MONTH(B377)))</f>
        <v>5</v>
      </c>
      <c r="Q377" s="330">
        <f t="shared" si="373"/>
        <v>4</v>
      </c>
      <c r="R377" s="331" t="str">
        <f t="shared" si="1"/>
        <v>Gastos_com_Pessoal</v>
      </c>
      <c r="S377" s="331" t="str">
        <f>IF(D377="","",IF(OR(D377=Plano!$A$1,D377=Plano!$B$1),"entrada","saída"))</f>
        <v>saída</v>
      </c>
      <c r="T377" s="332" t="s">
        <v>114</v>
      </c>
      <c r="U377" s="332" t="s">
        <v>114</v>
      </c>
      <c r="V377" s="333"/>
    </row>
    <row r="378" spans="1:22" ht="51" customHeight="1" x14ac:dyDescent="0.2">
      <c r="A378" s="277">
        <f>IF(B378="","",COUNT('Diário 5º PA'!$A$5:$A$2634)+ROW()-4)</f>
        <v>1685</v>
      </c>
      <c r="B378" s="278">
        <v>44319</v>
      </c>
      <c r="C378" s="256">
        <v>44287</v>
      </c>
      <c r="D378" s="255" t="s">
        <v>88</v>
      </c>
      <c r="E378" s="255" t="s">
        <v>183</v>
      </c>
      <c r="F378" s="258">
        <v>-69.349999999999994</v>
      </c>
      <c r="G378" s="255" t="s">
        <v>986</v>
      </c>
      <c r="H378" s="252" t="s">
        <v>114</v>
      </c>
      <c r="I378" s="250" t="s">
        <v>983</v>
      </c>
      <c r="J378" s="255" t="s">
        <v>850</v>
      </c>
      <c r="K378" s="255" t="s">
        <v>946</v>
      </c>
      <c r="L378" s="250" t="s">
        <v>947</v>
      </c>
      <c r="M378" s="277" t="s">
        <v>114</v>
      </c>
      <c r="N378" s="278">
        <v>44319</v>
      </c>
      <c r="O378" s="329" t="s">
        <v>67</v>
      </c>
      <c r="P378" s="330">
        <f t="shared" ref="P378:Q378" si="374">IF(B378=0,0,IF(YEAR(B378)=$Q$1,MONTH(B378)-$P$1+1,(YEAR(B378)-$Q$1)*12-$P$1+1+MONTH(B378)))</f>
        <v>5</v>
      </c>
      <c r="Q378" s="330">
        <f t="shared" si="374"/>
        <v>4</v>
      </c>
      <c r="R378" s="331" t="str">
        <f t="shared" si="1"/>
        <v>Gastos_com_Pessoal</v>
      </c>
      <c r="S378" s="331" t="str">
        <f>IF(D378="","",IF(OR(D378=Plano!$A$1,D378=Plano!$B$1),"entrada","saída"))</f>
        <v>saída</v>
      </c>
      <c r="T378" s="332" t="s">
        <v>114</v>
      </c>
      <c r="U378" s="332" t="s">
        <v>114</v>
      </c>
      <c r="V378" s="333"/>
    </row>
    <row r="379" spans="1:22" ht="49.5" customHeight="1" x14ac:dyDescent="0.2">
      <c r="A379" s="277">
        <f>IF(B379="","",COUNT('Diário 5º PA'!$A$5:$A$2634)+ROW()-4)</f>
        <v>1686</v>
      </c>
      <c r="B379" s="278">
        <v>44319</v>
      </c>
      <c r="C379" s="256">
        <v>44287</v>
      </c>
      <c r="D379" s="255" t="s">
        <v>88</v>
      </c>
      <c r="E379" s="255" t="s">
        <v>198</v>
      </c>
      <c r="F379" s="258">
        <v>-107.35</v>
      </c>
      <c r="G379" s="255" t="s">
        <v>987</v>
      </c>
      <c r="H379" s="252" t="s">
        <v>114</v>
      </c>
      <c r="I379" s="250" t="s">
        <v>983</v>
      </c>
      <c r="J379" s="255" t="s">
        <v>850</v>
      </c>
      <c r="K379" s="255" t="s">
        <v>946</v>
      </c>
      <c r="L379" s="250" t="s">
        <v>947</v>
      </c>
      <c r="M379" s="277" t="s">
        <v>114</v>
      </c>
      <c r="N379" s="278">
        <v>44319</v>
      </c>
      <c r="O379" s="329" t="s">
        <v>67</v>
      </c>
      <c r="P379" s="330">
        <f t="shared" ref="P379:Q379" si="375">IF(B379=0,0,IF(YEAR(B379)=$Q$1,MONTH(B379)-$P$1+1,(YEAR(B379)-$Q$1)*12-$P$1+1+MONTH(B379)))</f>
        <v>5</v>
      </c>
      <c r="Q379" s="330">
        <f t="shared" si="375"/>
        <v>4</v>
      </c>
      <c r="R379" s="331" t="str">
        <f t="shared" si="1"/>
        <v>Gastos_com_Pessoal</v>
      </c>
      <c r="S379" s="331" t="str">
        <f>IF(D379="","",IF(OR(D379=Plano!$A$1,D379=Plano!$B$1),"entrada","saída"))</f>
        <v>saída</v>
      </c>
      <c r="T379" s="332" t="s">
        <v>114</v>
      </c>
      <c r="U379" s="332" t="s">
        <v>114</v>
      </c>
      <c r="V379" s="333"/>
    </row>
    <row r="380" spans="1:22" ht="100.5" customHeight="1" x14ac:dyDescent="0.2">
      <c r="A380" s="277">
        <f>IF(B380="","",COUNT('Diário 5º PA'!$A$5:$A$2634)+ROW()-4)</f>
        <v>1687</v>
      </c>
      <c r="B380" s="278">
        <v>44319</v>
      </c>
      <c r="C380" s="259">
        <v>44287</v>
      </c>
      <c r="D380" s="252" t="s">
        <v>99</v>
      </c>
      <c r="E380" s="252" t="s">
        <v>362</v>
      </c>
      <c r="F380" s="257">
        <v>3200</v>
      </c>
      <c r="G380" s="252" t="s">
        <v>4379</v>
      </c>
      <c r="H380" s="252" t="s">
        <v>118</v>
      </c>
      <c r="I380" s="252" t="s">
        <v>1022</v>
      </c>
      <c r="J380" s="250" t="s">
        <v>833</v>
      </c>
      <c r="K380" s="255" t="s">
        <v>1015</v>
      </c>
      <c r="L380" s="250" t="s">
        <v>1016</v>
      </c>
      <c r="M380" s="277">
        <v>233</v>
      </c>
      <c r="N380" s="278">
        <v>44319</v>
      </c>
      <c r="O380" s="329" t="s">
        <v>67</v>
      </c>
      <c r="P380" s="330">
        <f t="shared" ref="P380:Q380" si="376">IF(B380=0,0,IF(YEAR(B380)=$Q$1,MONTH(B380)-$P$1+1,(YEAR(B380)-$Q$1)*12-$P$1+1+MONTH(B380)))</f>
        <v>5</v>
      </c>
      <c r="Q380" s="330">
        <f t="shared" si="376"/>
        <v>4</v>
      </c>
      <c r="R380" s="331" t="str">
        <f t="shared" si="1"/>
        <v>Gastos_Gerais</v>
      </c>
      <c r="S380" s="331" t="str">
        <f>IF(D380="","",IF(OR(D380=Plano!$A$1,D380=Plano!$B$1),"entrada","saída"))</f>
        <v>saída</v>
      </c>
      <c r="T380" s="332" t="s">
        <v>994</v>
      </c>
      <c r="U380" s="332">
        <v>1513</v>
      </c>
      <c r="V380" s="333"/>
    </row>
    <row r="381" spans="1:22" ht="47.25" customHeight="1" x14ac:dyDescent="0.2">
      <c r="A381" s="277">
        <f>IF(B381="","",COUNT('Diário 5º PA'!$A$5:$A$2634)+ROW()-4)</f>
        <v>1688</v>
      </c>
      <c r="B381" s="278">
        <v>44319</v>
      </c>
      <c r="C381" s="259">
        <v>44287</v>
      </c>
      <c r="D381" s="255" t="s">
        <v>88</v>
      </c>
      <c r="E381" s="255" t="s">
        <v>183</v>
      </c>
      <c r="F381" s="258">
        <v>183.39</v>
      </c>
      <c r="G381" s="255" t="s">
        <v>4380</v>
      </c>
      <c r="H381" s="252" t="s">
        <v>114</v>
      </c>
      <c r="I381" s="250" t="s">
        <v>537</v>
      </c>
      <c r="J381" s="252" t="s">
        <v>538</v>
      </c>
      <c r="K381" s="255" t="s">
        <v>560</v>
      </c>
      <c r="L381" s="250" t="s">
        <v>992</v>
      </c>
      <c r="M381" s="277" t="s">
        <v>4381</v>
      </c>
      <c r="N381" s="278">
        <v>44300</v>
      </c>
      <c r="O381" s="329" t="s">
        <v>67</v>
      </c>
      <c r="P381" s="330">
        <f t="shared" ref="P381:Q381" si="377">IF(B381=0,0,IF(YEAR(B381)=$Q$1,MONTH(B381)-$P$1+1,(YEAR(B381)-$Q$1)*12-$P$1+1+MONTH(B381)))</f>
        <v>5</v>
      </c>
      <c r="Q381" s="330">
        <f t="shared" si="377"/>
        <v>4</v>
      </c>
      <c r="R381" s="331" t="str">
        <f t="shared" si="1"/>
        <v>Gastos_com_Pessoal</v>
      </c>
      <c r="S381" s="331" t="str">
        <f>IF(D381="","",IF(OR(D381=Plano!$A$1,D381=Plano!$B$1),"entrada","saída"))</f>
        <v>saída</v>
      </c>
      <c r="T381" s="332" t="s">
        <v>114</v>
      </c>
      <c r="U381" s="332" t="s">
        <v>114</v>
      </c>
      <c r="V381" s="333"/>
    </row>
    <row r="382" spans="1:22" ht="42.75" customHeight="1" x14ac:dyDescent="0.2">
      <c r="A382" s="277">
        <f>IF(B382="","",COUNT('Diário 5º PA'!$A$5:$A$2634)+ROW()-4)</f>
        <v>1689</v>
      </c>
      <c r="B382" s="278">
        <v>44319</v>
      </c>
      <c r="C382" s="259">
        <v>44287</v>
      </c>
      <c r="D382" s="255" t="s">
        <v>88</v>
      </c>
      <c r="E382" s="255" t="s">
        <v>183</v>
      </c>
      <c r="F382" s="258">
        <v>126.7</v>
      </c>
      <c r="G382" s="255" t="s">
        <v>4382</v>
      </c>
      <c r="H382" s="252" t="s">
        <v>114</v>
      </c>
      <c r="I382" s="250" t="s">
        <v>998</v>
      </c>
      <c r="J382" s="252" t="s">
        <v>999</v>
      </c>
      <c r="K382" s="255" t="s">
        <v>560</v>
      </c>
      <c r="L382" s="250" t="s">
        <v>992</v>
      </c>
      <c r="M382" s="277" t="s">
        <v>4383</v>
      </c>
      <c r="N382" s="278">
        <v>44300</v>
      </c>
      <c r="O382" s="329" t="s">
        <v>67</v>
      </c>
      <c r="P382" s="330">
        <f t="shared" ref="P382:Q382" si="378">IF(B382=0,0,IF(YEAR(B382)=$Q$1,MONTH(B382)-$P$1+1,(YEAR(B382)-$Q$1)*12-$P$1+1+MONTH(B382)))</f>
        <v>5</v>
      </c>
      <c r="Q382" s="330">
        <f t="shared" si="378"/>
        <v>4</v>
      </c>
      <c r="R382" s="331" t="str">
        <f t="shared" si="1"/>
        <v>Gastos_com_Pessoal</v>
      </c>
      <c r="S382" s="331" t="str">
        <f>IF(D382="","",IF(OR(D382=Plano!$A$1,D382=Plano!$B$1),"entrada","saída"))</f>
        <v>saída</v>
      </c>
      <c r="T382" s="332" t="s">
        <v>114</v>
      </c>
      <c r="U382" s="332" t="s">
        <v>114</v>
      </c>
      <c r="V382" s="333"/>
    </row>
    <row r="383" spans="1:22" ht="41.25" customHeight="1" x14ac:dyDescent="0.2">
      <c r="A383" s="277">
        <f>IF(B383="","",COUNT('Diário 5º PA'!$A$5:$A$2634)+ROW()-4)</f>
        <v>1690</v>
      </c>
      <c r="B383" s="278">
        <v>44319</v>
      </c>
      <c r="C383" s="259">
        <v>44287</v>
      </c>
      <c r="D383" s="255" t="s">
        <v>88</v>
      </c>
      <c r="E383" s="255" t="s">
        <v>198</v>
      </c>
      <c r="F383" s="258">
        <v>515.26</v>
      </c>
      <c r="G383" s="255" t="s">
        <v>533</v>
      </c>
      <c r="H383" s="252" t="s">
        <v>114</v>
      </c>
      <c r="I383" s="250" t="s">
        <v>534</v>
      </c>
      <c r="J383" s="252" t="s">
        <v>535</v>
      </c>
      <c r="K383" s="255" t="s">
        <v>560</v>
      </c>
      <c r="L383" s="255" t="s">
        <v>697</v>
      </c>
      <c r="M383" s="277" t="s">
        <v>1001</v>
      </c>
      <c r="N383" s="278">
        <v>44309</v>
      </c>
      <c r="O383" s="329" t="s">
        <v>67</v>
      </c>
      <c r="P383" s="330">
        <f t="shared" ref="P383:Q383" si="379">IF(B383=0,0,IF(YEAR(B383)=$Q$1,MONTH(B383)-$P$1+1,(YEAR(B383)-$Q$1)*12-$P$1+1+MONTH(B383)))</f>
        <v>5</v>
      </c>
      <c r="Q383" s="330">
        <f t="shared" si="379"/>
        <v>4</v>
      </c>
      <c r="R383" s="331" t="str">
        <f t="shared" si="1"/>
        <v>Gastos_com_Pessoal</v>
      </c>
      <c r="S383" s="331" t="str">
        <f>IF(D383="","",IF(OR(D383=Plano!$A$1,D383=Plano!$B$1),"entrada","saída"))</f>
        <v>saída</v>
      </c>
      <c r="T383" s="332" t="s">
        <v>114</v>
      </c>
      <c r="U383" s="332" t="s">
        <v>114</v>
      </c>
      <c r="V383" s="333"/>
    </row>
    <row r="384" spans="1:22" ht="120.75" customHeight="1" x14ac:dyDescent="0.2">
      <c r="A384" s="277">
        <f>IF(B384="","",COUNT('Diário 5º PA'!$A$5:$A$2634)+ROW()-4)</f>
        <v>1691</v>
      </c>
      <c r="B384" s="278">
        <v>44319</v>
      </c>
      <c r="C384" s="259">
        <v>44256</v>
      </c>
      <c r="D384" s="252" t="s">
        <v>99</v>
      </c>
      <c r="E384" s="252" t="s">
        <v>370</v>
      </c>
      <c r="F384" s="257">
        <v>4462.92</v>
      </c>
      <c r="G384" s="252" t="s">
        <v>4384</v>
      </c>
      <c r="H384" s="252" t="s">
        <v>116</v>
      </c>
      <c r="I384" s="252" t="s">
        <v>4117</v>
      </c>
      <c r="J384" s="250" t="s">
        <v>929</v>
      </c>
      <c r="K384" s="255" t="s">
        <v>1015</v>
      </c>
      <c r="L384" s="250" t="s">
        <v>1016</v>
      </c>
      <c r="M384" s="277">
        <v>177</v>
      </c>
      <c r="N384" s="278">
        <v>44319</v>
      </c>
      <c r="O384" s="329" t="s">
        <v>67</v>
      </c>
      <c r="P384" s="330">
        <f t="shared" ref="P384:Q384" si="380">IF(B384=0,0,IF(YEAR(B384)=$Q$1,MONTH(B384)-$P$1+1,(YEAR(B384)-$Q$1)*12-$P$1+1+MONTH(B384)))</f>
        <v>5</v>
      </c>
      <c r="Q384" s="330">
        <f t="shared" si="380"/>
        <v>3</v>
      </c>
      <c r="R384" s="331" t="str">
        <f t="shared" si="1"/>
        <v>Gastos_Gerais</v>
      </c>
      <c r="S384" s="331" t="str">
        <f>IF(D384="","",IF(OR(D384=Plano!$A$1,D384=Plano!$B$1),"entrada","saída"))</f>
        <v>saída</v>
      </c>
      <c r="T384" s="332" t="s">
        <v>994</v>
      </c>
      <c r="U384" s="332">
        <v>1454</v>
      </c>
      <c r="V384" s="333"/>
    </row>
    <row r="385" spans="1:22" ht="135" customHeight="1" x14ac:dyDescent="0.2">
      <c r="A385" s="277">
        <f>IF(B385="","",COUNT('Diário 5º PA'!$A$5:$A$2634)+ROW()-4)</f>
        <v>1692</v>
      </c>
      <c r="B385" s="278">
        <v>44319</v>
      </c>
      <c r="C385" s="259">
        <v>44256</v>
      </c>
      <c r="D385" s="252" t="s">
        <v>99</v>
      </c>
      <c r="E385" s="252" t="s">
        <v>312</v>
      </c>
      <c r="F385" s="257">
        <v>4380</v>
      </c>
      <c r="G385" s="252" t="s">
        <v>4385</v>
      </c>
      <c r="H385" s="252" t="s">
        <v>129</v>
      </c>
      <c r="I385" s="252" t="s">
        <v>4386</v>
      </c>
      <c r="J385" s="250" t="s">
        <v>2679</v>
      </c>
      <c r="K385" s="255" t="s">
        <v>1015</v>
      </c>
      <c r="L385" s="250" t="s">
        <v>1428</v>
      </c>
      <c r="M385" s="277">
        <v>302</v>
      </c>
      <c r="N385" s="278">
        <v>44319</v>
      </c>
      <c r="O385" s="329" t="s">
        <v>67</v>
      </c>
      <c r="P385" s="330">
        <f t="shared" ref="P385:Q385" si="381">IF(B385=0,0,IF(YEAR(B385)=$Q$1,MONTH(B385)-$P$1+1,(YEAR(B385)-$Q$1)*12-$P$1+1+MONTH(B385)))</f>
        <v>5</v>
      </c>
      <c r="Q385" s="330">
        <f t="shared" si="381"/>
        <v>3</v>
      </c>
      <c r="R385" s="331" t="str">
        <f t="shared" si="1"/>
        <v>Gastos_Gerais</v>
      </c>
      <c r="S385" s="331" t="str">
        <f>IF(D385="","",IF(OR(D385=Plano!$A$1,D385=Plano!$B$1),"entrada","saída"))</f>
        <v>saída</v>
      </c>
      <c r="T385" s="332" t="s">
        <v>994</v>
      </c>
      <c r="U385" s="332">
        <v>1455</v>
      </c>
      <c r="V385" s="333"/>
    </row>
    <row r="386" spans="1:22" ht="135" customHeight="1" x14ac:dyDescent="0.2">
      <c r="A386" s="277">
        <f>IF(B386="","",COUNT('Diário 5º PA'!$A$5:$A$2634)+ROW()-4)</f>
        <v>1693</v>
      </c>
      <c r="B386" s="278">
        <v>44319</v>
      </c>
      <c r="C386" s="259">
        <v>44287</v>
      </c>
      <c r="D386" s="252" t="s">
        <v>104</v>
      </c>
      <c r="E386" s="252" t="s">
        <v>104</v>
      </c>
      <c r="F386" s="257">
        <v>2300</v>
      </c>
      <c r="G386" s="252" t="s">
        <v>4387</v>
      </c>
      <c r="H386" s="252" t="s">
        <v>104</v>
      </c>
      <c r="I386" s="252" t="s">
        <v>1623</v>
      </c>
      <c r="J386" s="250" t="s">
        <v>2619</v>
      </c>
      <c r="K386" s="255" t="s">
        <v>1015</v>
      </c>
      <c r="L386" s="250" t="s">
        <v>1016</v>
      </c>
      <c r="M386" s="277">
        <v>62</v>
      </c>
      <c r="N386" s="278">
        <v>44319</v>
      </c>
      <c r="O386" s="329" t="s">
        <v>68</v>
      </c>
      <c r="P386" s="330">
        <f t="shared" ref="P386:Q386" si="382">IF(B386=0,0,IF(YEAR(B386)=$Q$1,MONTH(B386)-$P$1+1,(YEAR(B386)-$Q$1)*12-$P$1+1+MONTH(B386)))</f>
        <v>5</v>
      </c>
      <c r="Q386" s="330">
        <f t="shared" si="382"/>
        <v>4</v>
      </c>
      <c r="R386" s="331" t="str">
        <f t="shared" si="1"/>
        <v>Gastos_custeados_por_captação</v>
      </c>
      <c r="S386" s="331" t="str">
        <f>IF(D386="","",IF(OR(D386=Plano!$A$1,D386=Plano!$B$1),"entrada","saída"))</f>
        <v>saída</v>
      </c>
      <c r="T386" s="332" t="s">
        <v>1059</v>
      </c>
      <c r="U386" s="332">
        <v>1390</v>
      </c>
      <c r="V386" s="333"/>
    </row>
    <row r="387" spans="1:22" ht="135" customHeight="1" x14ac:dyDescent="0.2">
      <c r="A387" s="277">
        <f>IF(B387="","",COUNT('Diário 5º PA'!$A$5:$A$2634)+ROW()-4)</f>
        <v>1694</v>
      </c>
      <c r="B387" s="278">
        <v>44319</v>
      </c>
      <c r="C387" s="259">
        <v>44287</v>
      </c>
      <c r="D387" s="252" t="s">
        <v>104</v>
      </c>
      <c r="E387" s="252" t="s">
        <v>104</v>
      </c>
      <c r="F387" s="257">
        <v>19404</v>
      </c>
      <c r="G387" s="252" t="s">
        <v>1141</v>
      </c>
      <c r="H387" s="252" t="s">
        <v>104</v>
      </c>
      <c r="I387" s="252" t="s">
        <v>4117</v>
      </c>
      <c r="J387" s="250" t="s">
        <v>929</v>
      </c>
      <c r="K387" s="255" t="s">
        <v>1015</v>
      </c>
      <c r="L387" s="250" t="s">
        <v>1016</v>
      </c>
      <c r="M387" s="277">
        <v>176</v>
      </c>
      <c r="N387" s="278">
        <v>44319</v>
      </c>
      <c r="O387" s="329" t="s">
        <v>68</v>
      </c>
      <c r="P387" s="330">
        <f t="shared" ref="P387:Q387" si="383">IF(B387=0,0,IF(YEAR(B387)=$Q$1,MONTH(B387)-$P$1+1,(YEAR(B387)-$Q$1)*12-$P$1+1+MONTH(B387)))</f>
        <v>5</v>
      </c>
      <c r="Q387" s="330">
        <f t="shared" si="383"/>
        <v>4</v>
      </c>
      <c r="R387" s="331" t="str">
        <f t="shared" si="1"/>
        <v>Gastos_custeados_por_captação</v>
      </c>
      <c r="S387" s="331" t="str">
        <f>IF(D387="","",IF(OR(D387=Plano!$A$1,D387=Plano!$B$1),"entrada","saída"))</f>
        <v>saída</v>
      </c>
      <c r="T387" s="332" t="s">
        <v>1059</v>
      </c>
      <c r="U387" s="332">
        <v>1380</v>
      </c>
      <c r="V387" s="333"/>
    </row>
    <row r="388" spans="1:22" ht="135" customHeight="1" x14ac:dyDescent="0.2">
      <c r="A388" s="277">
        <f>IF(B388="","",COUNT('Diário 5º PA'!$A$5:$A$2634)+ROW()-4)</f>
        <v>1695</v>
      </c>
      <c r="B388" s="278">
        <v>44319</v>
      </c>
      <c r="C388" s="259">
        <v>44287</v>
      </c>
      <c r="D388" s="252" t="s">
        <v>104</v>
      </c>
      <c r="E388" s="252" t="s">
        <v>104</v>
      </c>
      <c r="F388" s="257">
        <v>2300</v>
      </c>
      <c r="G388" s="252" t="s">
        <v>4387</v>
      </c>
      <c r="H388" s="252" t="s">
        <v>104</v>
      </c>
      <c r="I388" s="252" t="s">
        <v>1625</v>
      </c>
      <c r="J388" s="250" t="s">
        <v>2613</v>
      </c>
      <c r="K388" s="255" t="s">
        <v>1015</v>
      </c>
      <c r="L388" s="250" t="s">
        <v>1016</v>
      </c>
      <c r="M388" s="277">
        <v>22</v>
      </c>
      <c r="N388" s="278">
        <v>44319</v>
      </c>
      <c r="O388" s="329" t="s">
        <v>68</v>
      </c>
      <c r="P388" s="330">
        <f t="shared" ref="P388:Q388" si="384">IF(B388=0,0,IF(YEAR(B388)=$Q$1,MONTH(B388)-$P$1+1,(YEAR(B388)-$Q$1)*12-$P$1+1+MONTH(B388)))</f>
        <v>5</v>
      </c>
      <c r="Q388" s="330">
        <f t="shared" si="384"/>
        <v>4</v>
      </c>
      <c r="R388" s="331" t="str">
        <f t="shared" si="1"/>
        <v>Gastos_custeados_por_captação</v>
      </c>
      <c r="S388" s="331" t="str">
        <f>IF(D388="","",IF(OR(D388=Plano!$A$1,D388=Plano!$B$1),"entrada","saída"))</f>
        <v>saída</v>
      </c>
      <c r="T388" s="332" t="s">
        <v>1082</v>
      </c>
      <c r="U388" s="332">
        <v>1397</v>
      </c>
      <c r="V388" s="333"/>
    </row>
    <row r="389" spans="1:22" ht="135" customHeight="1" x14ac:dyDescent="0.2">
      <c r="A389" s="277">
        <f>IF(B389="","",COUNT('Diário 5º PA'!$A$5:$A$2634)+ROW()-4)</f>
        <v>1696</v>
      </c>
      <c r="B389" s="278">
        <v>44319</v>
      </c>
      <c r="C389" s="259">
        <v>44287</v>
      </c>
      <c r="D389" s="252" t="s">
        <v>104</v>
      </c>
      <c r="E389" s="252" t="s">
        <v>104</v>
      </c>
      <c r="F389" s="257">
        <v>2300</v>
      </c>
      <c r="G389" s="252" t="s">
        <v>4387</v>
      </c>
      <c r="H389" s="252" t="s">
        <v>104</v>
      </c>
      <c r="I389" s="252" t="s">
        <v>2493</v>
      </c>
      <c r="J389" s="250" t="s">
        <v>2494</v>
      </c>
      <c r="K389" s="255" t="s">
        <v>1015</v>
      </c>
      <c r="L389" s="250" t="s">
        <v>1016</v>
      </c>
      <c r="M389" s="277" t="s">
        <v>1443</v>
      </c>
      <c r="N389" s="278">
        <v>44319</v>
      </c>
      <c r="O389" s="329" t="s">
        <v>68</v>
      </c>
      <c r="P389" s="330">
        <f t="shared" ref="P389:Q389" si="385">IF(B389=0,0,IF(YEAR(B389)=$Q$1,MONTH(B389)-$P$1+1,(YEAR(B389)-$Q$1)*12-$P$1+1+MONTH(B389)))</f>
        <v>5</v>
      </c>
      <c r="Q389" s="330">
        <f t="shared" si="385"/>
        <v>4</v>
      </c>
      <c r="R389" s="331" t="str">
        <f t="shared" si="1"/>
        <v>Gastos_custeados_por_captação</v>
      </c>
      <c r="S389" s="331" t="str">
        <f>IF(D389="","",IF(OR(D389=Plano!$A$1,D389=Plano!$B$1),"entrada","saída"))</f>
        <v>saída</v>
      </c>
      <c r="T389" s="332" t="s">
        <v>1059</v>
      </c>
      <c r="U389" s="332">
        <v>1396</v>
      </c>
      <c r="V389" s="333"/>
    </row>
    <row r="390" spans="1:22" ht="135" customHeight="1" x14ac:dyDescent="0.2">
      <c r="A390" s="277">
        <f>IF(B390="","",COUNT('Diário 5º PA'!$A$5:$A$2634)+ROW()-4)</f>
        <v>1697</v>
      </c>
      <c r="B390" s="278">
        <v>44319</v>
      </c>
      <c r="C390" s="259">
        <v>44287</v>
      </c>
      <c r="D390" s="252" t="s">
        <v>104</v>
      </c>
      <c r="E390" s="252" t="s">
        <v>104</v>
      </c>
      <c r="F390" s="257">
        <v>2300</v>
      </c>
      <c r="G390" s="252" t="s">
        <v>4388</v>
      </c>
      <c r="H390" s="252" t="s">
        <v>104</v>
      </c>
      <c r="I390" s="252" t="s">
        <v>3723</v>
      </c>
      <c r="J390" s="250" t="s">
        <v>2634</v>
      </c>
      <c r="K390" s="255" t="s">
        <v>1015</v>
      </c>
      <c r="L390" s="250" t="s">
        <v>1016</v>
      </c>
      <c r="M390" s="277" t="s">
        <v>1058</v>
      </c>
      <c r="N390" s="278">
        <v>44319</v>
      </c>
      <c r="O390" s="329" t="s">
        <v>68</v>
      </c>
      <c r="P390" s="330">
        <f t="shared" ref="P390:Q390" si="386">IF(B390=0,0,IF(YEAR(B390)=$Q$1,MONTH(B390)-$P$1+1,(YEAR(B390)-$Q$1)*12-$P$1+1+MONTH(B390)))</f>
        <v>5</v>
      </c>
      <c r="Q390" s="330">
        <f t="shared" si="386"/>
        <v>4</v>
      </c>
      <c r="R390" s="331" t="str">
        <f t="shared" si="1"/>
        <v>Gastos_custeados_por_captação</v>
      </c>
      <c r="S390" s="331" t="str">
        <f>IF(D390="","",IF(OR(D390=Plano!$A$1,D390=Plano!$B$1),"entrada","saída"))</f>
        <v>saída</v>
      </c>
      <c r="T390" s="332" t="s">
        <v>1059</v>
      </c>
      <c r="U390" s="332">
        <v>1410</v>
      </c>
      <c r="V390" s="333"/>
    </row>
    <row r="391" spans="1:22" ht="135" customHeight="1" x14ac:dyDescent="0.2">
      <c r="A391" s="277">
        <f>IF(B391="","",COUNT('Diário 5º PA'!$A$5:$A$2634)+ROW()-4)</f>
        <v>1698</v>
      </c>
      <c r="B391" s="278">
        <v>44319</v>
      </c>
      <c r="C391" s="259">
        <v>44287</v>
      </c>
      <c r="D391" s="252" t="s">
        <v>104</v>
      </c>
      <c r="E391" s="252" t="s">
        <v>104</v>
      </c>
      <c r="F391" s="257">
        <v>3000</v>
      </c>
      <c r="G391" s="252" t="s">
        <v>495</v>
      </c>
      <c r="H391" s="252" t="s">
        <v>104</v>
      </c>
      <c r="I391" s="252" t="s">
        <v>3931</v>
      </c>
      <c r="J391" s="250" t="s">
        <v>496</v>
      </c>
      <c r="K391" s="255" t="s">
        <v>1015</v>
      </c>
      <c r="L391" s="250" t="s">
        <v>1016</v>
      </c>
      <c r="M391" s="277" t="s">
        <v>1058</v>
      </c>
      <c r="N391" s="278">
        <v>44319</v>
      </c>
      <c r="O391" s="329" t="s">
        <v>69</v>
      </c>
      <c r="P391" s="330">
        <f t="shared" ref="P391:Q391" si="387">IF(B391=0,0,IF(YEAR(B391)=$Q$1,MONTH(B391)-$P$1+1,(YEAR(B391)-$Q$1)*12-$P$1+1+MONTH(B391)))</f>
        <v>5</v>
      </c>
      <c r="Q391" s="330">
        <f t="shared" si="387"/>
        <v>4</v>
      </c>
      <c r="R391" s="331" t="str">
        <f t="shared" si="1"/>
        <v>Gastos_custeados_por_captação</v>
      </c>
      <c r="S391" s="331" t="str">
        <f>IF(D391="","",IF(OR(D391=Plano!$A$1,D391=Plano!$B$1),"entrada","saída"))</f>
        <v>saída</v>
      </c>
      <c r="T391" s="332" t="s">
        <v>1059</v>
      </c>
      <c r="U391" s="332">
        <v>1300</v>
      </c>
      <c r="V391" s="333"/>
    </row>
    <row r="392" spans="1:22" ht="93.75" customHeight="1" x14ac:dyDescent="0.2">
      <c r="A392" s="277">
        <f>IF(B392="","",COUNT('Diário 5º PA'!$A$5:$A$2634)+ROW()-4)</f>
        <v>1699</v>
      </c>
      <c r="B392" s="278">
        <v>44320</v>
      </c>
      <c r="C392" s="256">
        <v>44287</v>
      </c>
      <c r="D392" s="255" t="s">
        <v>99</v>
      </c>
      <c r="E392" s="255" t="s">
        <v>262</v>
      </c>
      <c r="F392" s="257">
        <v>-1743.06</v>
      </c>
      <c r="G392" s="252" t="s">
        <v>4389</v>
      </c>
      <c r="H392" s="255" t="s">
        <v>115</v>
      </c>
      <c r="I392" s="250" t="s">
        <v>983</v>
      </c>
      <c r="J392" s="255" t="s">
        <v>850</v>
      </c>
      <c r="K392" s="255" t="s">
        <v>1069</v>
      </c>
      <c r="L392" s="250" t="s">
        <v>947</v>
      </c>
      <c r="M392" s="277" t="s">
        <v>114</v>
      </c>
      <c r="N392" s="278">
        <v>44320</v>
      </c>
      <c r="O392" s="329" t="s">
        <v>67</v>
      </c>
      <c r="P392" s="330">
        <f t="shared" ref="P392:Q392" si="388">IF(B392=0,0,IF(YEAR(B392)=$Q$1,MONTH(B392)-$P$1+1,(YEAR(B392)-$Q$1)*12-$P$1+1+MONTH(B392)))</f>
        <v>5</v>
      </c>
      <c r="Q392" s="330">
        <f t="shared" si="388"/>
        <v>4</v>
      </c>
      <c r="R392" s="331" t="str">
        <f t="shared" si="1"/>
        <v>Gastos_Gerais</v>
      </c>
      <c r="S392" s="331" t="str">
        <f>IF(D392="","",IF(OR(D392=Plano!$A$1,D392=Plano!$B$1),"entrada","saída"))</f>
        <v>saída</v>
      </c>
      <c r="T392" s="332" t="s">
        <v>114</v>
      </c>
      <c r="U392" s="332" t="s">
        <v>114</v>
      </c>
      <c r="V392" s="333"/>
    </row>
    <row r="393" spans="1:22" ht="114.75" customHeight="1" x14ac:dyDescent="0.2">
      <c r="A393" s="277">
        <f>IF(B393="","",COUNT('Diário 5º PA'!$A$5:$A$2634)+ROW()-4)</f>
        <v>1700</v>
      </c>
      <c r="B393" s="278">
        <v>44320</v>
      </c>
      <c r="C393" s="259">
        <v>44287</v>
      </c>
      <c r="D393" s="252" t="s">
        <v>99</v>
      </c>
      <c r="E393" s="252" t="s">
        <v>364</v>
      </c>
      <c r="F393" s="257">
        <v>800</v>
      </c>
      <c r="G393" s="252" t="s">
        <v>4390</v>
      </c>
      <c r="H393" s="252" t="s">
        <v>118</v>
      </c>
      <c r="I393" s="252" t="s">
        <v>2959</v>
      </c>
      <c r="J393" s="250" t="s">
        <v>714</v>
      </c>
      <c r="K393" s="255" t="s">
        <v>1015</v>
      </c>
      <c r="L393" s="250" t="s">
        <v>1016</v>
      </c>
      <c r="M393" s="277" t="s">
        <v>1299</v>
      </c>
      <c r="N393" s="278">
        <v>44319</v>
      </c>
      <c r="O393" s="329" t="s">
        <v>67</v>
      </c>
      <c r="P393" s="330">
        <f t="shared" ref="P393:Q393" si="389">IF(B393=0,0,IF(YEAR(B393)=$Q$1,MONTH(B393)-$P$1+1,(YEAR(B393)-$Q$1)*12-$P$1+1+MONTH(B393)))</f>
        <v>5</v>
      </c>
      <c r="Q393" s="330">
        <f t="shared" si="389"/>
        <v>4</v>
      </c>
      <c r="R393" s="331" t="str">
        <f t="shared" si="1"/>
        <v>Gastos_Gerais</v>
      </c>
      <c r="S393" s="331" t="str">
        <f>IF(D393="","",IF(OR(D393=Plano!$A$1,D393=Plano!$B$1),"entrada","saída"))</f>
        <v>saída</v>
      </c>
      <c r="T393" s="332" t="s">
        <v>994</v>
      </c>
      <c r="U393" s="332">
        <v>1514</v>
      </c>
      <c r="V393" s="333"/>
    </row>
    <row r="394" spans="1:22" ht="118.5" customHeight="1" x14ac:dyDescent="0.2">
      <c r="A394" s="277">
        <f>IF(B394="","",COUNT('Diário 5º PA'!$A$5:$A$2634)+ROW()-4)</f>
        <v>1701</v>
      </c>
      <c r="B394" s="278">
        <v>44320</v>
      </c>
      <c r="C394" s="335">
        <v>44287</v>
      </c>
      <c r="D394" s="255" t="s">
        <v>99</v>
      </c>
      <c r="E394" s="255" t="s">
        <v>370</v>
      </c>
      <c r="F394" s="258">
        <v>3298.68</v>
      </c>
      <c r="G394" s="255" t="s">
        <v>4391</v>
      </c>
      <c r="H394" s="252" t="s">
        <v>116</v>
      </c>
      <c r="I394" s="252" t="s">
        <v>4117</v>
      </c>
      <c r="J394" s="255" t="s">
        <v>4392</v>
      </c>
      <c r="K394" s="255" t="s">
        <v>991</v>
      </c>
      <c r="L394" s="250" t="s">
        <v>1016</v>
      </c>
      <c r="M394" s="277">
        <v>178</v>
      </c>
      <c r="N394" s="278">
        <v>44319</v>
      </c>
      <c r="O394" s="329" t="s">
        <v>67</v>
      </c>
      <c r="P394" s="330">
        <f t="shared" ref="P394:Q394" si="390">IF(B394=0,0,IF(YEAR(B394)=$Q$1,MONTH(B394)-$P$1+1,(YEAR(B394)-$Q$1)*12-$P$1+1+MONTH(B394)))</f>
        <v>5</v>
      </c>
      <c r="Q394" s="330">
        <f t="shared" si="390"/>
        <v>4</v>
      </c>
      <c r="R394" s="331" t="str">
        <f t="shared" si="1"/>
        <v>Gastos_Gerais</v>
      </c>
      <c r="S394" s="331" t="str">
        <f>IF(D394="","",IF(OR(D394=Plano!$A$1,D394=Plano!$B$1),"entrada","saída"))</f>
        <v>saída</v>
      </c>
      <c r="T394" s="332" t="s">
        <v>994</v>
      </c>
      <c r="U394" s="332">
        <v>1529</v>
      </c>
      <c r="V394" s="333"/>
    </row>
    <row r="395" spans="1:22" ht="175.5" customHeight="1" x14ac:dyDescent="0.2">
      <c r="A395" s="277">
        <f>IF(B395="","",COUNT('Diário 5º PA'!$A$5:$A$2634)+ROW()-4)</f>
        <v>1702</v>
      </c>
      <c r="B395" s="278">
        <v>44320</v>
      </c>
      <c r="C395" s="259">
        <v>44228</v>
      </c>
      <c r="D395" s="252" t="s">
        <v>99</v>
      </c>
      <c r="E395" s="252" t="s">
        <v>358</v>
      </c>
      <c r="F395" s="257">
        <v>2118.6</v>
      </c>
      <c r="G395" s="252" t="s">
        <v>4393</v>
      </c>
      <c r="H395" s="252" t="s">
        <v>123</v>
      </c>
      <c r="I395" s="252" t="s">
        <v>4394</v>
      </c>
      <c r="J395" s="250" t="s">
        <v>4395</v>
      </c>
      <c r="K395" s="255" t="s">
        <v>991</v>
      </c>
      <c r="L395" s="250" t="s">
        <v>1029</v>
      </c>
      <c r="M395" s="277">
        <v>1129</v>
      </c>
      <c r="N395" s="278">
        <v>44299</v>
      </c>
      <c r="O395" s="329" t="s">
        <v>67</v>
      </c>
      <c r="P395" s="330">
        <f t="shared" ref="P395:Q395" si="391">IF(B395=0,0,IF(YEAR(B395)=$Q$1,MONTH(B395)-$P$1+1,(YEAR(B395)-$Q$1)*12-$P$1+1+MONTH(B395)))</f>
        <v>5</v>
      </c>
      <c r="Q395" s="330">
        <f t="shared" si="391"/>
        <v>2</v>
      </c>
      <c r="R395" s="331" t="str">
        <f t="shared" si="1"/>
        <v>Gastos_Gerais</v>
      </c>
      <c r="S395" s="331" t="str">
        <f>IF(D395="","",IF(OR(D395=Plano!$A$1,D395=Plano!$B$1),"entrada","saída"))</f>
        <v>saída</v>
      </c>
      <c r="T395" s="332" t="s">
        <v>994</v>
      </c>
      <c r="U395" s="332">
        <v>1346</v>
      </c>
      <c r="V395" s="333"/>
    </row>
    <row r="396" spans="1:22" ht="118.5" customHeight="1" x14ac:dyDescent="0.2">
      <c r="A396" s="277">
        <f>IF(B396="","",COUNT('Diário 5º PA'!$A$5:$A$2634)+ROW()-4)</f>
        <v>1703</v>
      </c>
      <c r="B396" s="278">
        <v>44320</v>
      </c>
      <c r="C396" s="259">
        <v>44287</v>
      </c>
      <c r="D396" s="252" t="s">
        <v>99</v>
      </c>
      <c r="E396" s="255" t="s">
        <v>262</v>
      </c>
      <c r="F396" s="257">
        <v>3840</v>
      </c>
      <c r="G396" s="252" t="s">
        <v>501</v>
      </c>
      <c r="H396" s="252" t="s">
        <v>115</v>
      </c>
      <c r="I396" s="252" t="s">
        <v>4104</v>
      </c>
      <c r="J396" s="250" t="s">
        <v>503</v>
      </c>
      <c r="K396" s="255" t="s">
        <v>991</v>
      </c>
      <c r="L396" s="250" t="s">
        <v>1016</v>
      </c>
      <c r="M396" s="277" t="s">
        <v>1540</v>
      </c>
      <c r="N396" s="278">
        <v>44320</v>
      </c>
      <c r="O396" s="329" t="s">
        <v>67</v>
      </c>
      <c r="P396" s="330">
        <f t="shared" ref="P396:Q396" si="392">IF(B396=0,0,IF(YEAR(B396)=$Q$1,MONTH(B396)-$P$1+1,(YEAR(B396)-$Q$1)*12-$P$1+1+MONTH(B396)))</f>
        <v>5</v>
      </c>
      <c r="Q396" s="330">
        <f t="shared" si="392"/>
        <v>4</v>
      </c>
      <c r="R396" s="331" t="str">
        <f t="shared" si="1"/>
        <v>Gastos_Gerais</v>
      </c>
      <c r="S396" s="331" t="str">
        <f>IF(D396="","",IF(OR(D396=Plano!$A$1,D396=Plano!$B$1),"entrada","saída"))</f>
        <v>saída</v>
      </c>
      <c r="T396" s="332" t="s">
        <v>1059</v>
      </c>
      <c r="U396" s="332">
        <v>1136</v>
      </c>
      <c r="V396" s="333"/>
    </row>
    <row r="397" spans="1:22" ht="139.5" customHeight="1" x14ac:dyDescent="0.2">
      <c r="A397" s="277">
        <f>IF(B397="","",COUNT('Diário 5º PA'!$A$5:$A$2634)+ROW()-4)</f>
        <v>1704</v>
      </c>
      <c r="B397" s="278">
        <v>44320</v>
      </c>
      <c r="C397" s="256">
        <v>44287</v>
      </c>
      <c r="D397" s="255" t="s">
        <v>99</v>
      </c>
      <c r="E397" s="255" t="s">
        <v>262</v>
      </c>
      <c r="F397" s="257">
        <v>6467.34</v>
      </c>
      <c r="G397" s="255" t="s">
        <v>621</v>
      </c>
      <c r="H397" s="255" t="s">
        <v>115</v>
      </c>
      <c r="I397" s="250" t="s">
        <v>1078</v>
      </c>
      <c r="J397" s="252" t="s">
        <v>623</v>
      </c>
      <c r="K397" s="255" t="s">
        <v>991</v>
      </c>
      <c r="L397" s="250" t="s">
        <v>1016</v>
      </c>
      <c r="M397" s="277" t="s">
        <v>1301</v>
      </c>
      <c r="N397" s="278">
        <v>44319</v>
      </c>
      <c r="O397" s="329" t="s">
        <v>67</v>
      </c>
      <c r="P397" s="330">
        <f t="shared" ref="P397:Q397" si="393">IF(B397=0,0,IF(YEAR(B397)=$Q$1,MONTH(B397)-$P$1+1,(YEAR(B397)-$Q$1)*12-$P$1+1+MONTH(B397)))</f>
        <v>5</v>
      </c>
      <c r="Q397" s="330">
        <f t="shared" si="393"/>
        <v>4</v>
      </c>
      <c r="R397" s="331" t="str">
        <f t="shared" si="1"/>
        <v>Gastos_Gerais</v>
      </c>
      <c r="S397" s="331" t="str">
        <f>IF(D397="","",IF(OR(D397=Plano!$A$1,D397=Plano!$B$1),"entrada","saída"))</f>
        <v>saída</v>
      </c>
      <c r="T397" s="332" t="s">
        <v>1059</v>
      </c>
      <c r="U397" s="332">
        <v>1134</v>
      </c>
      <c r="V397" s="333"/>
    </row>
    <row r="398" spans="1:22" ht="134.25" customHeight="1" x14ac:dyDescent="0.2">
      <c r="A398" s="277">
        <f>IF(B398="","",COUNT('Diário 5º PA'!$A$5:$A$2634)+ROW()-4)</f>
        <v>1705</v>
      </c>
      <c r="B398" s="278">
        <v>44320</v>
      </c>
      <c r="C398" s="259">
        <v>44287</v>
      </c>
      <c r="D398" s="252" t="s">
        <v>99</v>
      </c>
      <c r="E398" s="255" t="s">
        <v>262</v>
      </c>
      <c r="F398" s="257">
        <v>3762.82</v>
      </c>
      <c r="G398" s="252" t="s">
        <v>499</v>
      </c>
      <c r="H398" s="252" t="s">
        <v>115</v>
      </c>
      <c r="I398" s="252" t="s">
        <v>3258</v>
      </c>
      <c r="J398" s="250" t="s">
        <v>500</v>
      </c>
      <c r="K398" s="255" t="s">
        <v>991</v>
      </c>
      <c r="L398" s="250" t="s">
        <v>1016</v>
      </c>
      <c r="M398" s="277" t="s">
        <v>1294</v>
      </c>
      <c r="N398" s="278">
        <v>44320</v>
      </c>
      <c r="O398" s="329" t="s">
        <v>67</v>
      </c>
      <c r="P398" s="330">
        <f t="shared" ref="P398:Q398" si="394">IF(B398=0,0,IF(YEAR(B398)=$Q$1,MONTH(B398)-$P$1+1,(YEAR(B398)-$Q$1)*12-$P$1+1+MONTH(B398)))</f>
        <v>5</v>
      </c>
      <c r="Q398" s="330">
        <f t="shared" si="394"/>
        <v>4</v>
      </c>
      <c r="R398" s="331" t="str">
        <f t="shared" si="1"/>
        <v>Gastos_Gerais</v>
      </c>
      <c r="S398" s="331" t="str">
        <f>IF(D398="","",IF(OR(D398=Plano!$A$1,D398=Plano!$B$1),"entrada","saída"))</f>
        <v>saída</v>
      </c>
      <c r="T398" s="332" t="s">
        <v>1059</v>
      </c>
      <c r="U398" s="332">
        <v>1137</v>
      </c>
      <c r="V398" s="333"/>
    </row>
    <row r="399" spans="1:22" ht="129.75" customHeight="1" x14ac:dyDescent="0.2">
      <c r="A399" s="277">
        <f>IF(B399="","",COUNT('Diário 5º PA'!$A$5:$A$2634)+ROW()-4)</f>
        <v>1706</v>
      </c>
      <c r="B399" s="278">
        <v>44320</v>
      </c>
      <c r="C399" s="259">
        <v>44287</v>
      </c>
      <c r="D399" s="252" t="s">
        <v>99</v>
      </c>
      <c r="E399" s="255" t="s">
        <v>262</v>
      </c>
      <c r="F399" s="257">
        <v>3840</v>
      </c>
      <c r="G399" s="252" t="s">
        <v>504</v>
      </c>
      <c r="H399" s="252" t="s">
        <v>115</v>
      </c>
      <c r="I399" s="252" t="s">
        <v>3848</v>
      </c>
      <c r="J399" s="250" t="s">
        <v>506</v>
      </c>
      <c r="K399" s="255" t="s">
        <v>991</v>
      </c>
      <c r="L399" s="250" t="s">
        <v>1016</v>
      </c>
      <c r="M399" s="277" t="s">
        <v>1540</v>
      </c>
      <c r="N399" s="278">
        <v>44320</v>
      </c>
      <c r="O399" s="329" t="s">
        <v>67</v>
      </c>
      <c r="P399" s="330">
        <f t="shared" ref="P399:Q399" si="395">IF(B399=0,0,IF(YEAR(B399)=$Q$1,MONTH(B399)-$P$1+1,(YEAR(B399)-$Q$1)*12-$P$1+1+MONTH(B399)))</f>
        <v>5</v>
      </c>
      <c r="Q399" s="330">
        <f t="shared" si="395"/>
        <v>4</v>
      </c>
      <c r="R399" s="331" t="str">
        <f t="shared" si="1"/>
        <v>Gastos_Gerais</v>
      </c>
      <c r="S399" s="331" t="str">
        <f>IF(D399="","",IF(OR(D399=Plano!$A$1,D399=Plano!$B$1),"entrada","saída"))</f>
        <v>saída</v>
      </c>
      <c r="T399" s="332" t="s">
        <v>1059</v>
      </c>
      <c r="U399" s="332">
        <v>1135</v>
      </c>
      <c r="V399" s="333"/>
    </row>
    <row r="400" spans="1:22" ht="141" customHeight="1" x14ac:dyDescent="0.2">
      <c r="A400" s="277">
        <f>IF(B400="","",COUNT('Diário 5º PA'!$A$5:$A$2634)+ROW()-4)</f>
        <v>1707</v>
      </c>
      <c r="B400" s="278">
        <v>44320</v>
      </c>
      <c r="C400" s="259">
        <v>44287</v>
      </c>
      <c r="D400" s="252" t="s">
        <v>99</v>
      </c>
      <c r="E400" s="252" t="s">
        <v>336</v>
      </c>
      <c r="F400" s="257">
        <v>2125.92</v>
      </c>
      <c r="G400" s="252" t="s">
        <v>4396</v>
      </c>
      <c r="H400" s="252" t="s">
        <v>117</v>
      </c>
      <c r="I400" s="252" t="s">
        <v>2849</v>
      </c>
      <c r="J400" s="250" t="s">
        <v>1761</v>
      </c>
      <c r="K400" s="255" t="s">
        <v>991</v>
      </c>
      <c r="L400" s="250" t="s">
        <v>1029</v>
      </c>
      <c r="M400" s="277">
        <v>1143</v>
      </c>
      <c r="N400" s="278">
        <v>44319</v>
      </c>
      <c r="O400" s="329" t="s">
        <v>67</v>
      </c>
      <c r="P400" s="330">
        <f t="shared" ref="P400:Q400" si="396">IF(B400=0,0,IF(YEAR(B400)=$Q$1,MONTH(B400)-$P$1+1,(YEAR(B400)-$Q$1)*12-$P$1+1+MONTH(B400)))</f>
        <v>5</v>
      </c>
      <c r="Q400" s="330">
        <f t="shared" si="396"/>
        <v>4</v>
      </c>
      <c r="R400" s="331" t="str">
        <f t="shared" si="1"/>
        <v>Gastos_Gerais</v>
      </c>
      <c r="S400" s="331" t="str">
        <f>IF(D400="","",IF(OR(D400=Plano!$A$1,D400=Plano!$B$1),"entrada","saída"))</f>
        <v>saída</v>
      </c>
      <c r="T400" s="332" t="s">
        <v>1082</v>
      </c>
      <c r="U400" s="332">
        <v>1403</v>
      </c>
      <c r="V400" s="333"/>
    </row>
    <row r="401" spans="1:22" ht="54.75" customHeight="1" x14ac:dyDescent="0.2">
      <c r="A401" s="277">
        <f>IF(B401="","",COUNT('Diário 5º PA'!$A$5:$A$2634)+ROW()-4)</f>
        <v>1708</v>
      </c>
      <c r="B401" s="278">
        <v>44320</v>
      </c>
      <c r="C401" s="249">
        <v>44317</v>
      </c>
      <c r="D401" s="255" t="s">
        <v>99</v>
      </c>
      <c r="E401" s="255" t="s">
        <v>272</v>
      </c>
      <c r="F401" s="258">
        <v>10.45</v>
      </c>
      <c r="G401" s="255" t="s">
        <v>4397</v>
      </c>
      <c r="H401" s="252" t="s">
        <v>116</v>
      </c>
      <c r="I401" s="250" t="s">
        <v>949</v>
      </c>
      <c r="J401" s="255" t="s">
        <v>950</v>
      </c>
      <c r="K401" s="255" t="s">
        <v>951</v>
      </c>
      <c r="L401" s="250" t="s">
        <v>947</v>
      </c>
      <c r="M401" s="336" t="s">
        <v>114</v>
      </c>
      <c r="N401" s="278">
        <v>44320</v>
      </c>
      <c r="O401" s="329" t="s">
        <v>67</v>
      </c>
      <c r="P401" s="330">
        <f t="shared" ref="P401:Q401" si="397">IF(B401=0,0,IF(YEAR(B401)=$Q$1,MONTH(B401)-$P$1+1,(YEAR(B401)-$Q$1)*12-$P$1+1+MONTH(B401)))</f>
        <v>5</v>
      </c>
      <c r="Q401" s="330">
        <f t="shared" si="397"/>
        <v>5</v>
      </c>
      <c r="R401" s="331" t="str">
        <f t="shared" si="1"/>
        <v>Gastos_Gerais</v>
      </c>
      <c r="S401" s="331" t="str">
        <f>IF(D401="","",IF(OR(D401=Plano!$A$1,D401=Plano!$B$1),"entrada","saída"))</f>
        <v>saída</v>
      </c>
      <c r="T401" s="332" t="s">
        <v>114</v>
      </c>
      <c r="U401" s="332" t="s">
        <v>114</v>
      </c>
      <c r="V401" s="333"/>
    </row>
    <row r="402" spans="1:22" ht="55.5" customHeight="1" x14ac:dyDescent="0.2">
      <c r="A402" s="277">
        <f>IF(B402="","",COUNT('Diário 5º PA'!$A$5:$A$2634)+ROW()-4)</f>
        <v>1709</v>
      </c>
      <c r="B402" s="278">
        <v>44320</v>
      </c>
      <c r="C402" s="249">
        <v>44317</v>
      </c>
      <c r="D402" s="255" t="s">
        <v>99</v>
      </c>
      <c r="E402" s="255" t="s">
        <v>272</v>
      </c>
      <c r="F402" s="258">
        <v>10.45</v>
      </c>
      <c r="G402" s="255" t="s">
        <v>4398</v>
      </c>
      <c r="H402" s="252" t="s">
        <v>123</v>
      </c>
      <c r="I402" s="250" t="s">
        <v>949</v>
      </c>
      <c r="J402" s="255" t="s">
        <v>950</v>
      </c>
      <c r="K402" s="255" t="s">
        <v>951</v>
      </c>
      <c r="L402" s="250" t="s">
        <v>947</v>
      </c>
      <c r="M402" s="336" t="s">
        <v>114</v>
      </c>
      <c r="N402" s="278">
        <v>44320</v>
      </c>
      <c r="O402" s="329" t="s">
        <v>67</v>
      </c>
      <c r="P402" s="330">
        <f t="shared" ref="P402:Q402" si="398">IF(B402=0,0,IF(YEAR(B402)=$Q$1,MONTH(B402)-$P$1+1,(YEAR(B402)-$Q$1)*12-$P$1+1+MONTH(B402)))</f>
        <v>5</v>
      </c>
      <c r="Q402" s="330">
        <f t="shared" si="398"/>
        <v>5</v>
      </c>
      <c r="R402" s="331" t="str">
        <f t="shared" si="1"/>
        <v>Gastos_Gerais</v>
      </c>
      <c r="S402" s="331" t="str">
        <f>IF(D402="","",IF(OR(D402=Plano!$A$1,D402=Plano!$B$1),"entrada","saída"))</f>
        <v>saída</v>
      </c>
      <c r="T402" s="332" t="s">
        <v>114</v>
      </c>
      <c r="U402" s="332" t="s">
        <v>114</v>
      </c>
      <c r="V402" s="333"/>
    </row>
    <row r="403" spans="1:22" ht="51.75" customHeight="1" x14ac:dyDescent="0.2">
      <c r="A403" s="277">
        <f>IF(B403="","",COUNT('Diário 5º PA'!$A$5:$A$2634)+ROW()-4)</f>
        <v>1710</v>
      </c>
      <c r="B403" s="278">
        <v>44320</v>
      </c>
      <c r="C403" s="249">
        <v>44317</v>
      </c>
      <c r="D403" s="255" t="s">
        <v>99</v>
      </c>
      <c r="E403" s="255" t="s">
        <v>272</v>
      </c>
      <c r="F403" s="258">
        <v>10.45</v>
      </c>
      <c r="G403" s="255" t="s">
        <v>4399</v>
      </c>
      <c r="H403" s="252" t="s">
        <v>115</v>
      </c>
      <c r="I403" s="250" t="s">
        <v>949</v>
      </c>
      <c r="J403" s="255" t="s">
        <v>950</v>
      </c>
      <c r="K403" s="255" t="s">
        <v>951</v>
      </c>
      <c r="L403" s="250" t="s">
        <v>947</v>
      </c>
      <c r="M403" s="336" t="s">
        <v>114</v>
      </c>
      <c r="N403" s="278">
        <v>44320</v>
      </c>
      <c r="O403" s="329" t="s">
        <v>67</v>
      </c>
      <c r="P403" s="330">
        <f t="shared" ref="P403:Q403" si="399">IF(B403=0,0,IF(YEAR(B403)=$Q$1,MONTH(B403)-$P$1+1,(YEAR(B403)-$Q$1)*12-$P$1+1+MONTH(B403)))</f>
        <v>5</v>
      </c>
      <c r="Q403" s="330">
        <f t="shared" si="399"/>
        <v>5</v>
      </c>
      <c r="R403" s="331" t="str">
        <f t="shared" si="1"/>
        <v>Gastos_Gerais</v>
      </c>
      <c r="S403" s="331" t="str">
        <f>IF(D403="","",IF(OR(D403=Plano!$A$1,D403=Plano!$B$1),"entrada","saída"))</f>
        <v>saída</v>
      </c>
      <c r="T403" s="332" t="s">
        <v>114</v>
      </c>
      <c r="U403" s="332" t="s">
        <v>114</v>
      </c>
      <c r="V403" s="333"/>
    </row>
    <row r="404" spans="1:22" ht="56.25" customHeight="1" x14ac:dyDescent="0.2">
      <c r="A404" s="277">
        <f>IF(B404="","",COUNT('Diário 5º PA'!$A$5:$A$2634)+ROW()-4)</f>
        <v>1711</v>
      </c>
      <c r="B404" s="278">
        <v>44320</v>
      </c>
      <c r="C404" s="249">
        <v>44317</v>
      </c>
      <c r="D404" s="255" t="s">
        <v>99</v>
      </c>
      <c r="E404" s="255" t="s">
        <v>272</v>
      </c>
      <c r="F404" s="258">
        <v>10.45</v>
      </c>
      <c r="G404" s="255" t="s">
        <v>4400</v>
      </c>
      <c r="H404" s="255" t="s">
        <v>115</v>
      </c>
      <c r="I404" s="250" t="s">
        <v>949</v>
      </c>
      <c r="J404" s="255" t="s">
        <v>950</v>
      </c>
      <c r="K404" s="255" t="s">
        <v>951</v>
      </c>
      <c r="L404" s="250" t="s">
        <v>947</v>
      </c>
      <c r="M404" s="336" t="s">
        <v>114</v>
      </c>
      <c r="N404" s="278">
        <v>44320</v>
      </c>
      <c r="O404" s="329" t="s">
        <v>67</v>
      </c>
      <c r="P404" s="330">
        <f t="shared" ref="P404:Q404" si="400">IF(B404=0,0,IF(YEAR(B404)=$Q$1,MONTH(B404)-$P$1+1,(YEAR(B404)-$Q$1)*12-$P$1+1+MONTH(B404)))</f>
        <v>5</v>
      </c>
      <c r="Q404" s="330">
        <f t="shared" si="400"/>
        <v>5</v>
      </c>
      <c r="R404" s="331" t="str">
        <f t="shared" si="1"/>
        <v>Gastos_Gerais</v>
      </c>
      <c r="S404" s="331" t="str">
        <f>IF(D404="","",IF(OR(D404=Plano!$A$1,D404=Plano!$B$1),"entrada","saída"))</f>
        <v>saída</v>
      </c>
      <c r="T404" s="332" t="s">
        <v>114</v>
      </c>
      <c r="U404" s="332" t="s">
        <v>114</v>
      </c>
      <c r="V404" s="333"/>
    </row>
    <row r="405" spans="1:22" ht="54.75" customHeight="1" x14ac:dyDescent="0.2">
      <c r="A405" s="277">
        <f>IF(B405="","",COUNT('Diário 5º PA'!$A$5:$A$2634)+ROW()-4)</f>
        <v>1712</v>
      </c>
      <c r="B405" s="278">
        <v>44320</v>
      </c>
      <c r="C405" s="249">
        <v>44317</v>
      </c>
      <c r="D405" s="255" t="s">
        <v>99</v>
      </c>
      <c r="E405" s="255" t="s">
        <v>272</v>
      </c>
      <c r="F405" s="258">
        <v>10.45</v>
      </c>
      <c r="G405" s="255" t="s">
        <v>4401</v>
      </c>
      <c r="H405" s="252" t="s">
        <v>115</v>
      </c>
      <c r="I405" s="250" t="s">
        <v>949</v>
      </c>
      <c r="J405" s="255" t="s">
        <v>950</v>
      </c>
      <c r="K405" s="255" t="s">
        <v>951</v>
      </c>
      <c r="L405" s="250" t="s">
        <v>947</v>
      </c>
      <c r="M405" s="336" t="s">
        <v>114</v>
      </c>
      <c r="N405" s="278">
        <v>44320</v>
      </c>
      <c r="O405" s="329" t="s">
        <v>67</v>
      </c>
      <c r="P405" s="330">
        <f t="shared" ref="P405:Q405" si="401">IF(B405=0,0,IF(YEAR(B405)=$Q$1,MONTH(B405)-$P$1+1,(YEAR(B405)-$Q$1)*12-$P$1+1+MONTH(B405)))</f>
        <v>5</v>
      </c>
      <c r="Q405" s="330">
        <f t="shared" si="401"/>
        <v>5</v>
      </c>
      <c r="R405" s="331" t="str">
        <f t="shared" si="1"/>
        <v>Gastos_Gerais</v>
      </c>
      <c r="S405" s="331" t="str">
        <f>IF(D405="","",IF(OR(D405=Plano!$A$1,D405=Plano!$B$1),"entrada","saída"))</f>
        <v>saída</v>
      </c>
      <c r="T405" s="332" t="s">
        <v>114</v>
      </c>
      <c r="U405" s="332" t="s">
        <v>114</v>
      </c>
      <c r="V405" s="333"/>
    </row>
    <row r="406" spans="1:22" ht="52.5" customHeight="1" x14ac:dyDescent="0.2">
      <c r="A406" s="277">
        <f>IF(B406="","",COUNT('Diário 5º PA'!$A$5:$A$2634)+ROW()-4)</f>
        <v>1713</v>
      </c>
      <c r="B406" s="278">
        <v>44320</v>
      </c>
      <c r="C406" s="249">
        <v>44317</v>
      </c>
      <c r="D406" s="255" t="s">
        <v>99</v>
      </c>
      <c r="E406" s="255" t="s">
        <v>272</v>
      </c>
      <c r="F406" s="258">
        <v>10.45</v>
      </c>
      <c r="G406" s="255" t="s">
        <v>4402</v>
      </c>
      <c r="H406" s="252" t="s">
        <v>117</v>
      </c>
      <c r="I406" s="250" t="s">
        <v>949</v>
      </c>
      <c r="J406" s="255" t="s">
        <v>950</v>
      </c>
      <c r="K406" s="255" t="s">
        <v>951</v>
      </c>
      <c r="L406" s="250" t="s">
        <v>947</v>
      </c>
      <c r="M406" s="336" t="s">
        <v>114</v>
      </c>
      <c r="N406" s="278">
        <v>44320</v>
      </c>
      <c r="O406" s="329" t="s">
        <v>67</v>
      </c>
      <c r="P406" s="330">
        <f t="shared" ref="P406:Q406" si="402">IF(B406=0,0,IF(YEAR(B406)=$Q$1,MONTH(B406)-$P$1+1,(YEAR(B406)-$Q$1)*12-$P$1+1+MONTH(B406)))</f>
        <v>5</v>
      </c>
      <c r="Q406" s="330">
        <f t="shared" si="402"/>
        <v>5</v>
      </c>
      <c r="R406" s="331" t="str">
        <f t="shared" si="1"/>
        <v>Gastos_Gerais</v>
      </c>
      <c r="S406" s="331" t="str">
        <f>IF(D406="","",IF(OR(D406=Plano!$A$1,D406=Plano!$B$1),"entrada","saída"))</f>
        <v>saída</v>
      </c>
      <c r="T406" s="332" t="s">
        <v>114</v>
      </c>
      <c r="U406" s="332" t="s">
        <v>114</v>
      </c>
      <c r="V406" s="333"/>
    </row>
    <row r="407" spans="1:22" ht="145.5" customHeight="1" x14ac:dyDescent="0.2">
      <c r="A407" s="277">
        <f>IF(B407="","",COUNT('Diário 5º PA'!$A$5:$A$2634)+ROW()-4)</f>
        <v>1714</v>
      </c>
      <c r="B407" s="278">
        <v>44320</v>
      </c>
      <c r="C407" s="259">
        <v>44287</v>
      </c>
      <c r="D407" s="252" t="s">
        <v>104</v>
      </c>
      <c r="E407" s="252" t="s">
        <v>104</v>
      </c>
      <c r="F407" s="257">
        <v>2300</v>
      </c>
      <c r="G407" s="252" t="s">
        <v>4388</v>
      </c>
      <c r="H407" s="252" t="s">
        <v>104</v>
      </c>
      <c r="I407" s="252" t="s">
        <v>2609</v>
      </c>
      <c r="J407" s="250" t="s">
        <v>2610</v>
      </c>
      <c r="K407" s="255" t="s">
        <v>1015</v>
      </c>
      <c r="L407" s="250" t="s">
        <v>1016</v>
      </c>
      <c r="M407" s="336">
        <v>42</v>
      </c>
      <c r="N407" s="278">
        <v>44319</v>
      </c>
      <c r="O407" s="329" t="s">
        <v>68</v>
      </c>
      <c r="P407" s="330">
        <f t="shared" ref="P407:Q407" si="403">IF(B407=0,0,IF(YEAR(B407)=$Q$1,MONTH(B407)-$P$1+1,(YEAR(B407)-$Q$1)*12-$P$1+1+MONTH(B407)))</f>
        <v>5</v>
      </c>
      <c r="Q407" s="330">
        <f t="shared" si="403"/>
        <v>4</v>
      </c>
      <c r="R407" s="331" t="str">
        <f t="shared" si="1"/>
        <v>Gastos_custeados_por_captação</v>
      </c>
      <c r="S407" s="331" t="str">
        <f>IF(D407="","",IF(OR(D407=Plano!$A$1,D407=Plano!$B$1),"entrada","saída"))</f>
        <v>saída</v>
      </c>
      <c r="T407" s="332" t="s">
        <v>1059</v>
      </c>
      <c r="U407" s="332">
        <v>1424</v>
      </c>
      <c r="V407" s="333"/>
    </row>
    <row r="408" spans="1:22" ht="135" customHeight="1" x14ac:dyDescent="0.2">
      <c r="A408" s="277">
        <f>IF(B408="","",COUNT('Diário 5º PA'!$A$5:$A$2634)+ROW()-4)</f>
        <v>1715</v>
      </c>
      <c r="B408" s="278">
        <v>44320</v>
      </c>
      <c r="C408" s="259">
        <v>44287</v>
      </c>
      <c r="D408" s="252" t="s">
        <v>104</v>
      </c>
      <c r="E408" s="252" t="s">
        <v>104</v>
      </c>
      <c r="F408" s="257">
        <v>2300</v>
      </c>
      <c r="G408" s="252" t="s">
        <v>4388</v>
      </c>
      <c r="H408" s="252" t="s">
        <v>104</v>
      </c>
      <c r="I408" s="252" t="s">
        <v>3711</v>
      </c>
      <c r="J408" s="250" t="s">
        <v>2617</v>
      </c>
      <c r="K408" s="255" t="s">
        <v>1015</v>
      </c>
      <c r="L408" s="250" t="s">
        <v>1016</v>
      </c>
      <c r="M408" s="336">
        <v>31</v>
      </c>
      <c r="N408" s="278">
        <v>44319</v>
      </c>
      <c r="O408" s="329" t="s">
        <v>68</v>
      </c>
      <c r="P408" s="330">
        <f t="shared" ref="P408:Q408" si="404">IF(B408=0,0,IF(YEAR(B408)=$Q$1,MONTH(B408)-$P$1+1,(YEAR(B408)-$Q$1)*12-$P$1+1+MONTH(B408)))</f>
        <v>5</v>
      </c>
      <c r="Q408" s="330">
        <f t="shared" si="404"/>
        <v>4</v>
      </c>
      <c r="R408" s="331" t="str">
        <f t="shared" si="1"/>
        <v>Gastos_custeados_por_captação</v>
      </c>
      <c r="S408" s="331" t="str">
        <f>IF(D408="","",IF(OR(D408=Plano!$A$1,D408=Plano!$B$1),"entrada","saída"))</f>
        <v>saída</v>
      </c>
      <c r="T408" s="332" t="s">
        <v>1059</v>
      </c>
      <c r="U408" s="332">
        <v>1417</v>
      </c>
      <c r="V408" s="333"/>
    </row>
    <row r="409" spans="1:22" ht="162" customHeight="1" x14ac:dyDescent="0.2">
      <c r="A409" s="277">
        <f>IF(B409="","",COUNT('Diário 5º PA'!$A$5:$A$2634)+ROW()-4)</f>
        <v>1716</v>
      </c>
      <c r="B409" s="278">
        <v>44320</v>
      </c>
      <c r="C409" s="259">
        <v>44287</v>
      </c>
      <c r="D409" s="252" t="s">
        <v>104</v>
      </c>
      <c r="E409" s="252" t="s">
        <v>104</v>
      </c>
      <c r="F409" s="257">
        <v>2300</v>
      </c>
      <c r="G409" s="252" t="s">
        <v>4388</v>
      </c>
      <c r="H409" s="252" t="s">
        <v>104</v>
      </c>
      <c r="I409" s="252" t="s">
        <v>4119</v>
      </c>
      <c r="J409" s="250" t="s">
        <v>2496</v>
      </c>
      <c r="K409" s="255" t="s">
        <v>1015</v>
      </c>
      <c r="L409" s="250" t="s">
        <v>1016</v>
      </c>
      <c r="M409" s="336">
        <v>63</v>
      </c>
      <c r="N409" s="278">
        <v>44319</v>
      </c>
      <c r="O409" s="329" t="s">
        <v>68</v>
      </c>
      <c r="P409" s="330">
        <f t="shared" ref="P409:Q409" si="405">IF(B409=0,0,IF(YEAR(B409)=$Q$1,MONTH(B409)-$P$1+1,(YEAR(B409)-$Q$1)*12-$P$1+1+MONTH(B409)))</f>
        <v>5</v>
      </c>
      <c r="Q409" s="330">
        <f t="shared" si="405"/>
        <v>4</v>
      </c>
      <c r="R409" s="331" t="str">
        <f t="shared" si="1"/>
        <v>Gastos_custeados_por_captação</v>
      </c>
      <c r="S409" s="331" t="str">
        <f>IF(D409="","",IF(OR(D409=Plano!$A$1,D409=Plano!$B$1),"entrada","saída"))</f>
        <v>saída</v>
      </c>
      <c r="T409" s="332" t="s">
        <v>1059</v>
      </c>
      <c r="U409" s="332">
        <v>1406</v>
      </c>
      <c r="V409" s="333"/>
    </row>
    <row r="410" spans="1:22" ht="149.25" customHeight="1" x14ac:dyDescent="0.2">
      <c r="A410" s="277">
        <f>IF(B410="","",COUNT('Diário 5º PA'!$A$5:$A$2634)+ROW()-4)</f>
        <v>1717</v>
      </c>
      <c r="B410" s="278">
        <v>44320</v>
      </c>
      <c r="C410" s="259">
        <v>44287</v>
      </c>
      <c r="D410" s="252" t="s">
        <v>104</v>
      </c>
      <c r="E410" s="252" t="s">
        <v>104</v>
      </c>
      <c r="F410" s="409">
        <v>2500</v>
      </c>
      <c r="G410" s="252" t="s">
        <v>497</v>
      </c>
      <c r="H410" s="252" t="s">
        <v>104</v>
      </c>
      <c r="I410" s="410" t="s">
        <v>1162</v>
      </c>
      <c r="J410" s="250" t="s">
        <v>498</v>
      </c>
      <c r="K410" s="255" t="s">
        <v>1015</v>
      </c>
      <c r="L410" s="250" t="s">
        <v>1016</v>
      </c>
      <c r="M410" s="336">
        <v>3</v>
      </c>
      <c r="N410" s="278">
        <v>44319</v>
      </c>
      <c r="O410" s="329" t="s">
        <v>68</v>
      </c>
      <c r="P410" s="330">
        <f t="shared" ref="P410:Q410" si="406">IF(B410=0,0,IF(YEAR(B410)=$Q$1,MONTH(B410)-$P$1+1,(YEAR(B410)-$Q$1)*12-$P$1+1+MONTH(B410)))</f>
        <v>5</v>
      </c>
      <c r="Q410" s="330">
        <f t="shared" si="406"/>
        <v>4</v>
      </c>
      <c r="R410" s="331" t="str">
        <f t="shared" si="1"/>
        <v>Gastos_custeados_por_captação</v>
      </c>
      <c r="S410" s="331" t="str">
        <f>IF(D410="","",IF(OR(D410=Plano!$A$1,D410=Plano!$B$1),"entrada","saída"))</f>
        <v>saída</v>
      </c>
      <c r="T410" s="332" t="s">
        <v>1059</v>
      </c>
      <c r="U410" s="332">
        <v>1303</v>
      </c>
      <c r="V410" s="333"/>
    </row>
    <row r="411" spans="1:22" ht="144" customHeight="1" x14ac:dyDescent="0.2">
      <c r="A411" s="277">
        <f>IF(B411="","",COUNT('Diário 5º PA'!$A$5:$A$2634)+ROW()-4)</f>
        <v>1718</v>
      </c>
      <c r="B411" s="278">
        <v>44320</v>
      </c>
      <c r="C411" s="259">
        <v>44287</v>
      </c>
      <c r="D411" s="252" t="s">
        <v>104</v>
      </c>
      <c r="E411" s="252" t="s">
        <v>104</v>
      </c>
      <c r="F411" s="257">
        <v>2300</v>
      </c>
      <c r="G411" s="252" t="s">
        <v>4388</v>
      </c>
      <c r="H411" s="252" t="s">
        <v>104</v>
      </c>
      <c r="I411" s="252" t="s">
        <v>3681</v>
      </c>
      <c r="J411" s="250" t="s">
        <v>2615</v>
      </c>
      <c r="K411" s="255" t="s">
        <v>1015</v>
      </c>
      <c r="L411" s="250" t="s">
        <v>1016</v>
      </c>
      <c r="M411" s="336">
        <v>27</v>
      </c>
      <c r="N411" s="278">
        <v>44320</v>
      </c>
      <c r="O411" s="329" t="s">
        <v>68</v>
      </c>
      <c r="P411" s="330">
        <f t="shared" ref="P411:Q411" si="407">IF(B411=0,0,IF(YEAR(B411)=$Q$1,MONTH(B411)-$P$1+1,(YEAR(B411)-$Q$1)*12-$P$1+1+MONTH(B411)))</f>
        <v>5</v>
      </c>
      <c r="Q411" s="330">
        <f t="shared" si="407"/>
        <v>4</v>
      </c>
      <c r="R411" s="331" t="str">
        <f t="shared" si="1"/>
        <v>Gastos_custeados_por_captação</v>
      </c>
      <c r="S411" s="331" t="str">
        <f>IF(D411="","",IF(OR(D411=Plano!$A$1,D411=Plano!$B$1),"entrada","saída"))</f>
        <v>saída</v>
      </c>
      <c r="T411" s="332" t="s">
        <v>1059</v>
      </c>
      <c r="U411" s="332">
        <v>1411</v>
      </c>
      <c r="V411" s="333"/>
    </row>
    <row r="412" spans="1:22" ht="189" customHeight="1" x14ac:dyDescent="0.2">
      <c r="A412" s="277">
        <f>IF(B412="","",COUNT('Diário 5º PA'!$A$5:$A$2634)+ROW()-4)</f>
        <v>1719</v>
      </c>
      <c r="B412" s="278">
        <v>44320</v>
      </c>
      <c r="C412" s="259">
        <v>44287</v>
      </c>
      <c r="D412" s="252" t="s">
        <v>104</v>
      </c>
      <c r="E412" s="252" t="s">
        <v>104</v>
      </c>
      <c r="F412" s="257">
        <v>2075.92</v>
      </c>
      <c r="G412" s="252" t="s">
        <v>1163</v>
      </c>
      <c r="H412" s="252" t="s">
        <v>104</v>
      </c>
      <c r="I412" s="252" t="s">
        <v>1738</v>
      </c>
      <c r="J412" s="250" t="s">
        <v>1165</v>
      </c>
      <c r="K412" s="255" t="s">
        <v>1015</v>
      </c>
      <c r="L412" s="250" t="s">
        <v>1029</v>
      </c>
      <c r="M412" s="336">
        <v>1140</v>
      </c>
      <c r="N412" s="278">
        <v>44319</v>
      </c>
      <c r="O412" s="329" t="s">
        <v>68</v>
      </c>
      <c r="P412" s="330">
        <f t="shared" ref="P412:Q412" si="408">IF(B412=0,0,IF(YEAR(B412)=$Q$1,MONTH(B412)-$P$1+1,(YEAR(B412)-$Q$1)*12-$P$1+1+MONTH(B412)))</f>
        <v>5</v>
      </c>
      <c r="Q412" s="330">
        <f t="shared" si="408"/>
        <v>4</v>
      </c>
      <c r="R412" s="331" t="str">
        <f t="shared" si="1"/>
        <v>Gastos_custeados_por_captação</v>
      </c>
      <c r="S412" s="331" t="str">
        <f>IF(D412="","",IF(OR(D412=Plano!$A$1,D412=Plano!$B$1),"entrada","saída"))</f>
        <v>saída</v>
      </c>
      <c r="T412" s="332" t="s">
        <v>1059</v>
      </c>
      <c r="U412" s="332">
        <v>1299</v>
      </c>
      <c r="V412" s="333"/>
    </row>
    <row r="413" spans="1:22" ht="142.5" customHeight="1" x14ac:dyDescent="0.2">
      <c r="A413" s="277">
        <f>IF(B413="","",COUNT('Diário 5º PA'!$A$5:$A$2634)+ROW()-4)</f>
        <v>1720</v>
      </c>
      <c r="B413" s="278">
        <v>44320</v>
      </c>
      <c r="C413" s="259">
        <v>44287</v>
      </c>
      <c r="D413" s="252" t="s">
        <v>104</v>
      </c>
      <c r="E413" s="252" t="s">
        <v>104</v>
      </c>
      <c r="F413" s="257">
        <v>2300</v>
      </c>
      <c r="G413" s="252" t="s">
        <v>4388</v>
      </c>
      <c r="H413" s="252" t="s">
        <v>104</v>
      </c>
      <c r="I413" s="252" t="s">
        <v>4122</v>
      </c>
      <c r="J413" s="250" t="s">
        <v>2632</v>
      </c>
      <c r="K413" s="255" t="s">
        <v>1015</v>
      </c>
      <c r="L413" s="250" t="s">
        <v>1016</v>
      </c>
      <c r="M413" s="336">
        <v>224.55555555555554</v>
      </c>
      <c r="N413" s="278">
        <v>44319</v>
      </c>
      <c r="O413" s="329" t="s">
        <v>68</v>
      </c>
      <c r="P413" s="330">
        <f t="shared" ref="P413:Q413" si="409">IF(B413=0,0,IF(YEAR(B413)=$Q$1,MONTH(B413)-$P$1+1,(YEAR(B413)-$Q$1)*12-$P$1+1+MONTH(B413)))</f>
        <v>5</v>
      </c>
      <c r="Q413" s="330">
        <f t="shared" si="409"/>
        <v>4</v>
      </c>
      <c r="R413" s="331" t="str">
        <f t="shared" si="1"/>
        <v>Gastos_custeados_por_captação</v>
      </c>
      <c r="S413" s="331" t="str">
        <f>IF(D413="","",IF(OR(D413=Plano!$A$1,D413=Plano!$B$1),"entrada","saída"))</f>
        <v>saída</v>
      </c>
      <c r="T413" s="332" t="s">
        <v>1059</v>
      </c>
      <c r="U413" s="332">
        <v>1409</v>
      </c>
      <c r="V413" s="333"/>
    </row>
    <row r="414" spans="1:22" ht="142.5" customHeight="1" x14ac:dyDescent="0.2">
      <c r="A414" s="277">
        <f>IF(B414="","",COUNT('Diário 5º PA'!$A$5:$A$2634)+ROW()-4)</f>
        <v>1721</v>
      </c>
      <c r="B414" s="278">
        <v>44320</v>
      </c>
      <c r="C414" s="259">
        <v>44287</v>
      </c>
      <c r="D414" s="252" t="s">
        <v>104</v>
      </c>
      <c r="E414" s="252" t="s">
        <v>104</v>
      </c>
      <c r="F414" s="257">
        <v>2125.92</v>
      </c>
      <c r="G414" s="252" t="s">
        <v>1168</v>
      </c>
      <c r="H414" s="252" t="s">
        <v>104</v>
      </c>
      <c r="I414" s="252" t="s">
        <v>1169</v>
      </c>
      <c r="J414" s="250" t="s">
        <v>1170</v>
      </c>
      <c r="K414" s="255" t="s">
        <v>946</v>
      </c>
      <c r="L414" s="250" t="s">
        <v>1029</v>
      </c>
      <c r="M414" s="336">
        <v>1138</v>
      </c>
      <c r="N414" s="278">
        <v>44319</v>
      </c>
      <c r="O414" s="329" t="s">
        <v>69</v>
      </c>
      <c r="P414" s="330">
        <f t="shared" ref="P414:Q414" si="410">IF(B414=0,0,IF(YEAR(B414)=$Q$1,MONTH(B414)-$P$1+1,(YEAR(B414)-$Q$1)*12-$P$1+1+MONTH(B414)))</f>
        <v>5</v>
      </c>
      <c r="Q414" s="330">
        <f t="shared" si="410"/>
        <v>4</v>
      </c>
      <c r="R414" s="331" t="str">
        <f t="shared" si="1"/>
        <v>Gastos_custeados_por_captação</v>
      </c>
      <c r="S414" s="331" t="str">
        <f>IF(D414="","",IF(OR(D414=Plano!$A$1,D414=Plano!$B$1),"entrada","saída"))</f>
        <v>saída</v>
      </c>
      <c r="T414" s="332" t="s">
        <v>1059</v>
      </c>
      <c r="U414" s="332">
        <v>1302</v>
      </c>
      <c r="V414" s="333"/>
    </row>
    <row r="415" spans="1:22" ht="118.5" customHeight="1" x14ac:dyDescent="0.2">
      <c r="A415" s="277">
        <f>IF(B415="","",COUNT('Diário 5º PA'!$A$5:$A$2634)+ROW()-4)</f>
        <v>1722</v>
      </c>
      <c r="B415" s="278">
        <v>44320</v>
      </c>
      <c r="C415" s="259">
        <v>44287</v>
      </c>
      <c r="D415" s="255" t="s">
        <v>104</v>
      </c>
      <c r="E415" s="255" t="s">
        <v>104</v>
      </c>
      <c r="F415" s="258">
        <v>4000</v>
      </c>
      <c r="G415" s="255" t="s">
        <v>4403</v>
      </c>
      <c r="H415" s="255" t="s">
        <v>104</v>
      </c>
      <c r="I415" s="250" t="s">
        <v>983</v>
      </c>
      <c r="J415" s="252" t="s">
        <v>850</v>
      </c>
      <c r="K415" s="255" t="s">
        <v>1015</v>
      </c>
      <c r="L415" s="250" t="s">
        <v>1177</v>
      </c>
      <c r="M415" s="277" t="s">
        <v>4404</v>
      </c>
      <c r="N415" s="278">
        <v>44320</v>
      </c>
      <c r="O415" s="329" t="s">
        <v>70</v>
      </c>
      <c r="P415" s="330">
        <f t="shared" ref="P415:Q415" si="411">IF(B415=0,0,IF(YEAR(B415)=$Q$1,MONTH(B415)-$P$1+1,(YEAR(B415)-$Q$1)*12-$P$1+1+MONTH(B415)))</f>
        <v>5</v>
      </c>
      <c r="Q415" s="330">
        <f t="shared" si="411"/>
        <v>4</v>
      </c>
      <c r="R415" s="331" t="str">
        <f t="shared" si="1"/>
        <v>Gastos_custeados_por_captação</v>
      </c>
      <c r="S415" s="331" t="str">
        <f>IF(D415="","",IF(OR(D415=Plano!$A$1,D415=Plano!$B$1),"entrada","saída"))</f>
        <v>saída</v>
      </c>
      <c r="T415" s="332" t="s">
        <v>114</v>
      </c>
      <c r="U415" s="332" t="s">
        <v>114</v>
      </c>
      <c r="V415" s="333"/>
    </row>
    <row r="416" spans="1:22" ht="142.5" customHeight="1" x14ac:dyDescent="0.2">
      <c r="A416" s="277">
        <f>IF(B416="","",COUNT('Diário 5º PA'!$A$5:$A$2634)+ROW()-4)</f>
        <v>1723</v>
      </c>
      <c r="B416" s="278">
        <v>44320</v>
      </c>
      <c r="C416" s="259">
        <v>44287</v>
      </c>
      <c r="D416" s="255" t="s">
        <v>104</v>
      </c>
      <c r="E416" s="255" t="s">
        <v>104</v>
      </c>
      <c r="F416" s="258">
        <v>4100</v>
      </c>
      <c r="G416" s="255" t="s">
        <v>4405</v>
      </c>
      <c r="H416" s="255" t="s">
        <v>104</v>
      </c>
      <c r="I416" s="250" t="s">
        <v>983</v>
      </c>
      <c r="J416" s="252" t="s">
        <v>850</v>
      </c>
      <c r="K416" s="255" t="s">
        <v>1015</v>
      </c>
      <c r="L416" s="250" t="s">
        <v>1177</v>
      </c>
      <c r="M416" s="277" t="s">
        <v>4406</v>
      </c>
      <c r="N416" s="278">
        <v>44320</v>
      </c>
      <c r="O416" s="329" t="s">
        <v>70</v>
      </c>
      <c r="P416" s="330">
        <f t="shared" ref="P416:Q416" si="412">IF(B416=0,0,IF(YEAR(B416)=$Q$1,MONTH(B416)-$P$1+1,(YEAR(B416)-$Q$1)*12-$P$1+1+MONTH(B416)))</f>
        <v>5</v>
      </c>
      <c r="Q416" s="330">
        <f t="shared" si="412"/>
        <v>4</v>
      </c>
      <c r="R416" s="331" t="str">
        <f t="shared" si="1"/>
        <v>Gastos_custeados_por_captação</v>
      </c>
      <c r="S416" s="331" t="str">
        <f>IF(D416="","",IF(OR(D416=Plano!$A$1,D416=Plano!$B$1),"entrada","saída"))</f>
        <v>saída</v>
      </c>
      <c r="T416" s="332" t="s">
        <v>114</v>
      </c>
      <c r="U416" s="332" t="s">
        <v>114</v>
      </c>
      <c r="V416" s="333"/>
    </row>
    <row r="417" spans="1:22" ht="118.5" customHeight="1" x14ac:dyDescent="0.2">
      <c r="A417" s="277">
        <f>IF(B417="","",COUNT('Diário 5º PA'!$A$5:$A$2634)+ROW()-4)</f>
        <v>1724</v>
      </c>
      <c r="B417" s="278">
        <v>44320</v>
      </c>
      <c r="C417" s="259">
        <v>44287</v>
      </c>
      <c r="D417" s="252" t="s">
        <v>104</v>
      </c>
      <c r="E417" s="252" t="s">
        <v>104</v>
      </c>
      <c r="F417" s="257">
        <v>2075.92</v>
      </c>
      <c r="G417" s="252" t="s">
        <v>4188</v>
      </c>
      <c r="H417" s="252" t="s">
        <v>104</v>
      </c>
      <c r="I417" s="252" t="s">
        <v>4407</v>
      </c>
      <c r="J417" s="250" t="s">
        <v>604</v>
      </c>
      <c r="K417" s="255" t="s">
        <v>1015</v>
      </c>
      <c r="L417" s="250" t="s">
        <v>1029</v>
      </c>
      <c r="M417" s="336">
        <v>1136</v>
      </c>
      <c r="N417" s="278">
        <v>44319</v>
      </c>
      <c r="O417" s="329" t="s">
        <v>70</v>
      </c>
      <c r="P417" s="330">
        <f t="shared" ref="P417:Q417" si="413">IF(B417=0,0,IF(YEAR(B417)=$Q$1,MONTH(B417)-$P$1+1,(YEAR(B417)-$Q$1)*12-$P$1+1+MONTH(B417)))</f>
        <v>5</v>
      </c>
      <c r="Q417" s="330">
        <f t="shared" si="413"/>
        <v>4</v>
      </c>
      <c r="R417" s="331" t="str">
        <f t="shared" si="1"/>
        <v>Gastos_custeados_por_captação</v>
      </c>
      <c r="S417" s="331" t="str">
        <f>IF(D417="","",IF(OR(D417=Plano!$A$1,D417=Plano!$B$1),"entrada","saída"))</f>
        <v>saída</v>
      </c>
      <c r="T417" s="332" t="s">
        <v>1059</v>
      </c>
      <c r="U417" s="332">
        <v>1362</v>
      </c>
      <c r="V417" s="333"/>
    </row>
    <row r="418" spans="1:22" ht="120" customHeight="1" x14ac:dyDescent="0.2">
      <c r="A418" s="277">
        <f>IF(B418="","",COUNT('Diário 5º PA'!$A$5:$A$2634)+ROW()-4)</f>
        <v>1725</v>
      </c>
      <c r="B418" s="278">
        <v>44320</v>
      </c>
      <c r="C418" s="259">
        <v>44287</v>
      </c>
      <c r="D418" s="250" t="s">
        <v>104</v>
      </c>
      <c r="E418" s="250" t="s">
        <v>104</v>
      </c>
      <c r="F418" s="251">
        <v>-4000</v>
      </c>
      <c r="G418" s="250" t="s">
        <v>4408</v>
      </c>
      <c r="H418" s="250" t="s">
        <v>104</v>
      </c>
      <c r="I418" s="250" t="s">
        <v>983</v>
      </c>
      <c r="J418" s="250" t="s">
        <v>850</v>
      </c>
      <c r="K418" s="250" t="s">
        <v>1015</v>
      </c>
      <c r="L418" s="250" t="s">
        <v>1177</v>
      </c>
      <c r="M418" s="346" t="s">
        <v>4409</v>
      </c>
      <c r="N418" s="278">
        <v>44320</v>
      </c>
      <c r="O418" s="353" t="s">
        <v>71</v>
      </c>
      <c r="P418" s="330">
        <f t="shared" ref="P418:Q418" si="414">IF(B418=0,0,IF(YEAR(B418)=$Q$1,MONTH(B418)-$P$1+1,(YEAR(B418)-$Q$1)*12-$P$1+1+MONTH(B418)))</f>
        <v>5</v>
      </c>
      <c r="Q418" s="330">
        <f t="shared" si="414"/>
        <v>4</v>
      </c>
      <c r="R418" s="331" t="str">
        <f t="shared" si="1"/>
        <v>Gastos_custeados_por_captação</v>
      </c>
      <c r="S418" s="331" t="str">
        <f>IF(D418="","",IF(OR(D418=Plano!$A$1,D418=Plano!$B$1),"entrada","saída"))</f>
        <v>saída</v>
      </c>
      <c r="T418" s="332" t="s">
        <v>114</v>
      </c>
      <c r="U418" s="332" t="s">
        <v>114</v>
      </c>
      <c r="V418" s="333"/>
    </row>
    <row r="419" spans="1:22" ht="105.75" customHeight="1" x14ac:dyDescent="0.2">
      <c r="A419" s="277">
        <f>IF(B419="","",COUNT('Diário 5º PA'!$A$5:$A$2634)+ROW()-4)</f>
        <v>1726</v>
      </c>
      <c r="B419" s="278">
        <v>44320</v>
      </c>
      <c r="C419" s="259">
        <v>44287</v>
      </c>
      <c r="D419" s="250" t="s">
        <v>104</v>
      </c>
      <c r="E419" s="250" t="s">
        <v>104</v>
      </c>
      <c r="F419" s="251">
        <v>-4100</v>
      </c>
      <c r="G419" s="250" t="s">
        <v>4410</v>
      </c>
      <c r="H419" s="250" t="s">
        <v>104</v>
      </c>
      <c r="I419" s="250" t="s">
        <v>983</v>
      </c>
      <c r="J419" s="250" t="s">
        <v>850</v>
      </c>
      <c r="K419" s="250" t="s">
        <v>1015</v>
      </c>
      <c r="L419" s="250" t="s">
        <v>1177</v>
      </c>
      <c r="M419" s="346" t="s">
        <v>4411</v>
      </c>
      <c r="N419" s="278">
        <v>44320</v>
      </c>
      <c r="O419" s="353" t="s">
        <v>71</v>
      </c>
      <c r="P419" s="330">
        <f t="shared" ref="P419:Q419" si="415">IF(B419=0,0,IF(YEAR(B419)=$Q$1,MONTH(B419)-$P$1+1,(YEAR(B419)-$Q$1)*12-$P$1+1+MONTH(B419)))</f>
        <v>5</v>
      </c>
      <c r="Q419" s="330">
        <f t="shared" si="415"/>
        <v>4</v>
      </c>
      <c r="R419" s="331" t="str">
        <f t="shared" si="1"/>
        <v>Gastos_custeados_por_captação</v>
      </c>
      <c r="S419" s="331" t="str">
        <f>IF(D419="","",IF(OR(D419=Plano!$A$1,D419=Plano!$B$1),"entrada","saída"))</f>
        <v>saída</v>
      </c>
      <c r="T419" s="332" t="s">
        <v>114</v>
      </c>
      <c r="U419" s="332" t="s">
        <v>114</v>
      </c>
      <c r="V419" s="333"/>
    </row>
    <row r="420" spans="1:22" ht="105.75" customHeight="1" x14ac:dyDescent="0.2">
      <c r="A420" s="277">
        <f>IF(B420="","",COUNT('Diário 5º PA'!$A$5:$A$2634)+ROW()-4)</f>
        <v>1727</v>
      </c>
      <c r="B420" s="278">
        <v>44320</v>
      </c>
      <c r="C420" s="259">
        <v>44287</v>
      </c>
      <c r="D420" s="252" t="s">
        <v>104</v>
      </c>
      <c r="E420" s="252" t="s">
        <v>104</v>
      </c>
      <c r="F420" s="257">
        <v>2125.92</v>
      </c>
      <c r="G420" s="252" t="s">
        <v>456</v>
      </c>
      <c r="H420" s="252" t="s">
        <v>104</v>
      </c>
      <c r="I420" s="252" t="s">
        <v>3367</v>
      </c>
      <c r="J420" s="250" t="s">
        <v>458</v>
      </c>
      <c r="K420" s="250" t="s">
        <v>1015</v>
      </c>
      <c r="L420" s="250" t="s">
        <v>1029</v>
      </c>
      <c r="M420" s="346">
        <v>1146</v>
      </c>
      <c r="N420" s="278">
        <v>44319</v>
      </c>
      <c r="O420" s="353" t="s">
        <v>71</v>
      </c>
      <c r="P420" s="330">
        <f t="shared" ref="P420:Q420" si="416">IF(B420=0,0,IF(YEAR(B420)=$Q$1,MONTH(B420)-$P$1+1,(YEAR(B420)-$Q$1)*12-$P$1+1+MONTH(B420)))</f>
        <v>5</v>
      </c>
      <c r="Q420" s="330">
        <f t="shared" si="416"/>
        <v>4</v>
      </c>
      <c r="R420" s="331" t="str">
        <f t="shared" si="1"/>
        <v>Gastos_custeados_por_captação</v>
      </c>
      <c r="S420" s="331" t="str">
        <f>IF(D420="","",IF(OR(D420=Plano!$A$1,D420=Plano!$B$1),"entrada","saída"))</f>
        <v>saída</v>
      </c>
      <c r="T420" s="332" t="s">
        <v>1059</v>
      </c>
      <c r="U420" s="332">
        <v>1138</v>
      </c>
      <c r="V420" s="333"/>
    </row>
    <row r="421" spans="1:22" ht="122.25" customHeight="1" x14ac:dyDescent="0.2">
      <c r="A421" s="277">
        <f>IF(B421="","",COUNT('Diário 5º PA'!$A$5:$A$2634)+ROW()-4)</f>
        <v>1728</v>
      </c>
      <c r="B421" s="278">
        <v>44320</v>
      </c>
      <c r="C421" s="259">
        <v>44287</v>
      </c>
      <c r="D421" s="252" t="s">
        <v>104</v>
      </c>
      <c r="E421" s="252" t="s">
        <v>104</v>
      </c>
      <c r="F421" s="257">
        <v>2000</v>
      </c>
      <c r="G421" s="252" t="s">
        <v>510</v>
      </c>
      <c r="H421" s="252" t="s">
        <v>104</v>
      </c>
      <c r="I421" s="252" t="s">
        <v>3260</v>
      </c>
      <c r="J421" s="250" t="s">
        <v>512</v>
      </c>
      <c r="K421" s="250" t="s">
        <v>1015</v>
      </c>
      <c r="L421" s="250" t="s">
        <v>1016</v>
      </c>
      <c r="M421" s="346" t="s">
        <v>1540</v>
      </c>
      <c r="N421" s="278">
        <v>44320</v>
      </c>
      <c r="O421" s="353" t="s">
        <v>71</v>
      </c>
      <c r="P421" s="330">
        <f t="shared" ref="P421:Q421" si="417">IF(B421=0,0,IF(YEAR(B421)=$Q$1,MONTH(B421)-$P$1+1,(YEAR(B421)-$Q$1)*12-$P$1+1+MONTH(B421)))</f>
        <v>5</v>
      </c>
      <c r="Q421" s="330">
        <f t="shared" si="417"/>
        <v>4</v>
      </c>
      <c r="R421" s="331" t="str">
        <f t="shared" si="1"/>
        <v>Gastos_custeados_por_captação</v>
      </c>
      <c r="S421" s="331" t="str">
        <f>IF(D421="","",IF(OR(D421=Plano!$A$1,D421=Plano!$B$1),"entrada","saída"))</f>
        <v>saída</v>
      </c>
      <c r="T421" s="332" t="s">
        <v>1059</v>
      </c>
      <c r="U421" s="332">
        <v>1235</v>
      </c>
      <c r="V421" s="333"/>
    </row>
    <row r="422" spans="1:22" ht="105.75" customHeight="1" x14ac:dyDescent="0.2">
      <c r="A422" s="277">
        <f>IF(B422="","",COUNT('Diário 5º PA'!$A$5:$A$2634)+ROW()-4)</f>
        <v>1729</v>
      </c>
      <c r="B422" s="278">
        <v>44320</v>
      </c>
      <c r="C422" s="259">
        <v>44287</v>
      </c>
      <c r="D422" s="252" t="s">
        <v>104</v>
      </c>
      <c r="E422" s="252" t="s">
        <v>104</v>
      </c>
      <c r="F422" s="257">
        <v>2075.92</v>
      </c>
      <c r="G422" s="252" t="s">
        <v>632</v>
      </c>
      <c r="H422" s="252" t="s">
        <v>104</v>
      </c>
      <c r="I422" s="252" t="s">
        <v>4190</v>
      </c>
      <c r="J422" s="250" t="s">
        <v>633</v>
      </c>
      <c r="K422" s="250" t="s">
        <v>1015</v>
      </c>
      <c r="L422" s="250" t="s">
        <v>1029</v>
      </c>
      <c r="M422" s="346">
        <v>1148</v>
      </c>
      <c r="N422" s="278">
        <v>44319</v>
      </c>
      <c r="O422" s="353" t="s">
        <v>71</v>
      </c>
      <c r="P422" s="330">
        <f t="shared" ref="P422:Q422" si="418">IF(B422=0,0,IF(YEAR(B422)=$Q$1,MONTH(B422)-$P$1+1,(YEAR(B422)-$Q$1)*12-$P$1+1+MONTH(B422)))</f>
        <v>5</v>
      </c>
      <c r="Q422" s="330">
        <f t="shared" si="418"/>
        <v>4</v>
      </c>
      <c r="R422" s="331" t="str">
        <f t="shared" si="1"/>
        <v>Gastos_custeados_por_captação</v>
      </c>
      <c r="S422" s="331" t="str">
        <f>IF(D422="","",IF(OR(D422=Plano!$A$1,D422=Plano!$B$1),"entrada","saída"))</f>
        <v>saída</v>
      </c>
      <c r="T422" s="332" t="s">
        <v>1059</v>
      </c>
      <c r="U422" s="332">
        <v>1355</v>
      </c>
      <c r="V422" s="333"/>
    </row>
    <row r="423" spans="1:22" ht="127.5" customHeight="1" x14ac:dyDescent="0.2">
      <c r="A423" s="277">
        <f>IF(B423="","",COUNT('Diário 5º PA'!$A$5:$A$2634)+ROW()-4)</f>
        <v>1730</v>
      </c>
      <c r="B423" s="278">
        <v>44320</v>
      </c>
      <c r="C423" s="259">
        <v>44287</v>
      </c>
      <c r="D423" s="252" t="s">
        <v>104</v>
      </c>
      <c r="E423" s="252" t="s">
        <v>104</v>
      </c>
      <c r="F423" s="257">
        <v>2615.6</v>
      </c>
      <c r="G423" s="252" t="s">
        <v>631</v>
      </c>
      <c r="H423" s="252" t="s">
        <v>104</v>
      </c>
      <c r="I423" s="252" t="s">
        <v>2734</v>
      </c>
      <c r="J423" s="250" t="s">
        <v>2735</v>
      </c>
      <c r="K423" s="250" t="s">
        <v>1015</v>
      </c>
      <c r="L423" s="250" t="s">
        <v>1029</v>
      </c>
      <c r="M423" s="346">
        <v>1147</v>
      </c>
      <c r="N423" s="278">
        <v>44319</v>
      </c>
      <c r="O423" s="353" t="s">
        <v>71</v>
      </c>
      <c r="P423" s="330">
        <f t="shared" ref="P423:Q423" si="419">IF(B423=0,0,IF(YEAR(B423)=$Q$1,MONTH(B423)-$P$1+1,(YEAR(B423)-$Q$1)*12-$P$1+1+MONTH(B423)))</f>
        <v>5</v>
      </c>
      <c r="Q423" s="330">
        <f t="shared" si="419"/>
        <v>4</v>
      </c>
      <c r="R423" s="331" t="str">
        <f t="shared" si="1"/>
        <v>Gastos_custeados_por_captação</v>
      </c>
      <c r="S423" s="331" t="str">
        <f>IF(D423="","",IF(OR(D423=Plano!$A$1,D423=Plano!$B$1),"entrada","saída"))</f>
        <v>saída</v>
      </c>
      <c r="T423" s="332" t="s">
        <v>1059</v>
      </c>
      <c r="U423" s="332">
        <v>1377</v>
      </c>
      <c r="V423" s="333"/>
    </row>
    <row r="424" spans="1:22" ht="180.75" customHeight="1" x14ac:dyDescent="0.2">
      <c r="A424" s="277">
        <f>IF(B424="","",COUNT('Diário 5º PA'!$A$5:$A$2634)+ROW()-4)</f>
        <v>1731</v>
      </c>
      <c r="B424" s="278">
        <v>44321</v>
      </c>
      <c r="C424" s="256">
        <v>44287</v>
      </c>
      <c r="D424" s="255" t="s">
        <v>99</v>
      </c>
      <c r="E424" s="255" t="s">
        <v>262</v>
      </c>
      <c r="F424" s="257">
        <v>-924.35</v>
      </c>
      <c r="G424" s="252" t="s">
        <v>4412</v>
      </c>
      <c r="H424" s="255" t="s">
        <v>115</v>
      </c>
      <c r="I424" s="250" t="s">
        <v>983</v>
      </c>
      <c r="J424" s="255" t="s">
        <v>850</v>
      </c>
      <c r="K424" s="255" t="s">
        <v>1069</v>
      </c>
      <c r="L424" s="250" t="s">
        <v>947</v>
      </c>
      <c r="M424" s="277" t="s">
        <v>114</v>
      </c>
      <c r="N424" s="278">
        <v>44321</v>
      </c>
      <c r="O424" s="329" t="s">
        <v>67</v>
      </c>
      <c r="P424" s="330">
        <f t="shared" ref="P424:Q424" si="420">IF(B424=0,0,IF(YEAR(B424)=$Q$1,MONTH(B424)-$P$1+1,(YEAR(B424)-$Q$1)*12-$P$1+1+MONTH(B424)))</f>
        <v>5</v>
      </c>
      <c r="Q424" s="330">
        <f t="shared" si="420"/>
        <v>4</v>
      </c>
      <c r="R424" s="331" t="str">
        <f t="shared" si="1"/>
        <v>Gastos_Gerais</v>
      </c>
      <c r="S424" s="331" t="str">
        <f>IF(D424="","",IF(OR(D424=Plano!$A$1,D424=Plano!$B$1),"entrada","saída"))</f>
        <v>saída</v>
      </c>
      <c r="T424" s="332" t="s">
        <v>114</v>
      </c>
      <c r="U424" s="332" t="s">
        <v>114</v>
      </c>
      <c r="V424" s="333"/>
    </row>
    <row r="425" spans="1:22" ht="179.25" customHeight="1" x14ac:dyDescent="0.2">
      <c r="A425" s="277">
        <f>IF(B425="","",COUNT('Diário 5º PA'!$A$5:$A$2634)+ROW()-4)</f>
        <v>1732</v>
      </c>
      <c r="B425" s="278">
        <v>44321</v>
      </c>
      <c r="C425" s="259">
        <v>44287</v>
      </c>
      <c r="D425" s="252" t="s">
        <v>99</v>
      </c>
      <c r="E425" s="252" t="s">
        <v>262</v>
      </c>
      <c r="F425" s="257">
        <v>2537.5500000000002</v>
      </c>
      <c r="G425" s="252" t="s">
        <v>596</v>
      </c>
      <c r="H425" s="252" t="s">
        <v>127</v>
      </c>
      <c r="I425" s="252" t="s">
        <v>1348</v>
      </c>
      <c r="J425" s="250" t="s">
        <v>598</v>
      </c>
      <c r="K425" s="255" t="s">
        <v>1015</v>
      </c>
      <c r="L425" s="250" t="s">
        <v>1029</v>
      </c>
      <c r="M425" s="277">
        <v>1153</v>
      </c>
      <c r="N425" s="278">
        <v>44321</v>
      </c>
      <c r="O425" s="329" t="s">
        <v>67</v>
      </c>
      <c r="P425" s="330">
        <f t="shared" ref="P425:Q425" si="421">IF(B425=0,0,IF(YEAR(B425)=$Q$1,MONTH(B425)-$P$1+1,(YEAR(B425)-$Q$1)*12-$P$1+1+MONTH(B425)))</f>
        <v>5</v>
      </c>
      <c r="Q425" s="330">
        <f t="shared" si="421"/>
        <v>4</v>
      </c>
      <c r="R425" s="331" t="str">
        <f t="shared" si="1"/>
        <v>Gastos_Gerais</v>
      </c>
      <c r="S425" s="331" t="str">
        <f>IF(D425="","",IF(OR(D425=Plano!$A$1,D425=Plano!$B$1),"entrada","saída"))</f>
        <v>saída</v>
      </c>
      <c r="T425" s="332" t="s">
        <v>1059</v>
      </c>
      <c r="U425" s="332">
        <v>1466</v>
      </c>
      <c r="V425" s="333"/>
    </row>
    <row r="426" spans="1:22" ht="197.25" customHeight="1" x14ac:dyDescent="0.2">
      <c r="A426" s="277">
        <f>IF(B426="","",COUNT('Diário 5º PA'!$A$5:$A$2634)+ROW()-4)</f>
        <v>1733</v>
      </c>
      <c r="B426" s="278">
        <v>44321</v>
      </c>
      <c r="C426" s="259">
        <v>44287</v>
      </c>
      <c r="D426" s="252" t="s">
        <v>99</v>
      </c>
      <c r="E426" s="252" t="s">
        <v>364</v>
      </c>
      <c r="F426" s="257">
        <v>1512</v>
      </c>
      <c r="G426" s="252" t="s">
        <v>2203</v>
      </c>
      <c r="H426" s="252" t="s">
        <v>125</v>
      </c>
      <c r="I426" s="252" t="s">
        <v>2204</v>
      </c>
      <c r="J426" s="250" t="s">
        <v>2205</v>
      </c>
      <c r="K426" s="255" t="s">
        <v>1015</v>
      </c>
      <c r="L426" s="250" t="s">
        <v>1029</v>
      </c>
      <c r="M426" s="277">
        <v>1151</v>
      </c>
      <c r="N426" s="278">
        <v>44320</v>
      </c>
      <c r="O426" s="329" t="s">
        <v>67</v>
      </c>
      <c r="P426" s="330">
        <f t="shared" ref="P426:Q426" si="422">IF(B426=0,0,IF(YEAR(B426)=$Q$1,MONTH(B426)-$P$1+1,(YEAR(B426)-$Q$1)*12-$P$1+1+MONTH(B426)))</f>
        <v>5</v>
      </c>
      <c r="Q426" s="330">
        <f t="shared" si="422"/>
        <v>4</v>
      </c>
      <c r="R426" s="331" t="str">
        <f t="shared" si="1"/>
        <v>Gastos_Gerais</v>
      </c>
      <c r="S426" s="331" t="str">
        <f>IF(D426="","",IF(OR(D426=Plano!$A$1,D426=Plano!$B$1),"entrada","saída"))</f>
        <v>saída</v>
      </c>
      <c r="T426" s="332" t="s">
        <v>1059</v>
      </c>
      <c r="U426" s="332">
        <v>1518</v>
      </c>
      <c r="V426" s="333"/>
    </row>
    <row r="427" spans="1:22" ht="120.75" customHeight="1" x14ac:dyDescent="0.2">
      <c r="A427" s="277">
        <f>IF(B427="","",COUNT('Diário 5º PA'!$A$5:$A$2634)+ROW()-4)</f>
        <v>1734</v>
      </c>
      <c r="B427" s="278">
        <v>44321</v>
      </c>
      <c r="C427" s="259">
        <v>44287</v>
      </c>
      <c r="D427" s="252" t="s">
        <v>99</v>
      </c>
      <c r="E427" s="252" t="s">
        <v>364</v>
      </c>
      <c r="F427" s="257">
        <v>2269.2399999999998</v>
      </c>
      <c r="G427" s="252" t="s">
        <v>4413</v>
      </c>
      <c r="H427" s="252" t="s">
        <v>132</v>
      </c>
      <c r="I427" s="252" t="s">
        <v>4414</v>
      </c>
      <c r="J427" s="250" t="s">
        <v>4415</v>
      </c>
      <c r="K427" s="255" t="s">
        <v>1015</v>
      </c>
      <c r="L427" s="250" t="s">
        <v>1029</v>
      </c>
      <c r="M427" s="277">
        <v>1149</v>
      </c>
      <c r="N427" s="278">
        <v>44320</v>
      </c>
      <c r="O427" s="329" t="s">
        <v>67</v>
      </c>
      <c r="P427" s="330">
        <f t="shared" ref="P427:Q427" si="423">IF(B427=0,0,IF(YEAR(B427)=$Q$1,MONTH(B427)-$P$1+1,(YEAR(B427)-$Q$1)*12-$P$1+1+MONTH(B427)))</f>
        <v>5</v>
      </c>
      <c r="Q427" s="330">
        <f t="shared" si="423"/>
        <v>4</v>
      </c>
      <c r="R427" s="331" t="str">
        <f t="shared" si="1"/>
        <v>Gastos_Gerais</v>
      </c>
      <c r="S427" s="331" t="str">
        <f>IF(D427="","",IF(OR(D427=Plano!$A$1,D427=Plano!$B$1),"entrada","saída"))</f>
        <v>saída</v>
      </c>
      <c r="T427" s="332" t="s">
        <v>1059</v>
      </c>
      <c r="U427" s="332">
        <v>1449</v>
      </c>
      <c r="V427" s="333"/>
    </row>
    <row r="428" spans="1:22" ht="44.25" customHeight="1" x14ac:dyDescent="0.2">
      <c r="A428" s="277">
        <f>IF(B428="","",COUNT('Diário 5º PA'!$A$5:$A$2634)+ROW()-4)</f>
        <v>1735</v>
      </c>
      <c r="B428" s="278">
        <v>44321</v>
      </c>
      <c r="C428" s="259">
        <v>44197</v>
      </c>
      <c r="D428" s="252" t="s">
        <v>99</v>
      </c>
      <c r="E428" s="252" t="s">
        <v>336</v>
      </c>
      <c r="F428" s="257">
        <v>50</v>
      </c>
      <c r="G428" s="252" t="s">
        <v>4416</v>
      </c>
      <c r="H428" s="252" t="s">
        <v>132</v>
      </c>
      <c r="I428" s="250" t="s">
        <v>465</v>
      </c>
      <c r="J428" s="250" t="s">
        <v>114</v>
      </c>
      <c r="K428" s="250" t="s">
        <v>466</v>
      </c>
      <c r="L428" s="250" t="s">
        <v>467</v>
      </c>
      <c r="M428" s="277">
        <v>2487</v>
      </c>
      <c r="N428" s="278">
        <v>44321</v>
      </c>
      <c r="O428" s="329" t="s">
        <v>67</v>
      </c>
      <c r="P428" s="330">
        <f t="shared" ref="P428:Q428" si="424">IF(B428=0,0,IF(YEAR(B428)=$Q$1,MONTH(B428)-$P$1+1,(YEAR(B428)-$Q$1)*12-$P$1+1+MONTH(B428)))</f>
        <v>5</v>
      </c>
      <c r="Q428" s="330">
        <f t="shared" si="424"/>
        <v>1</v>
      </c>
      <c r="R428" s="331" t="str">
        <f t="shared" si="1"/>
        <v>Gastos_Gerais</v>
      </c>
      <c r="S428" s="331" t="str">
        <f>IF(D428="","",IF(OR(D428=Plano!$A$1,D428=Plano!$B$1),"entrada","saída"))</f>
        <v>saída</v>
      </c>
      <c r="T428" s="332" t="s">
        <v>114</v>
      </c>
      <c r="U428" s="332" t="s">
        <v>114</v>
      </c>
      <c r="V428" s="333"/>
    </row>
    <row r="429" spans="1:22" ht="50.25" customHeight="1" x14ac:dyDescent="0.2">
      <c r="A429" s="277">
        <f>IF(B429="","",COUNT('Diário 5º PA'!$A$5:$A$2634)+ROW()-4)</f>
        <v>1736</v>
      </c>
      <c r="B429" s="278">
        <v>44321</v>
      </c>
      <c r="C429" s="259">
        <v>44228</v>
      </c>
      <c r="D429" s="252" t="s">
        <v>99</v>
      </c>
      <c r="E429" s="252" t="s">
        <v>358</v>
      </c>
      <c r="F429" s="257">
        <v>15.15</v>
      </c>
      <c r="G429" s="252" t="s">
        <v>4417</v>
      </c>
      <c r="H429" s="252" t="s">
        <v>116</v>
      </c>
      <c r="I429" s="252" t="s">
        <v>465</v>
      </c>
      <c r="J429" s="250" t="s">
        <v>114</v>
      </c>
      <c r="K429" s="250" t="s">
        <v>466</v>
      </c>
      <c r="L429" s="250" t="s">
        <v>467</v>
      </c>
      <c r="M429" s="277">
        <v>2508</v>
      </c>
      <c r="N429" s="278">
        <v>44321</v>
      </c>
      <c r="O429" s="329" t="s">
        <v>67</v>
      </c>
      <c r="P429" s="330">
        <f t="shared" ref="P429:Q429" si="425">IF(B429=0,0,IF(YEAR(B429)=$Q$1,MONTH(B429)-$P$1+1,(YEAR(B429)-$Q$1)*12-$P$1+1+MONTH(B429)))</f>
        <v>5</v>
      </c>
      <c r="Q429" s="330">
        <f t="shared" si="425"/>
        <v>2</v>
      </c>
      <c r="R429" s="331" t="str">
        <f t="shared" si="1"/>
        <v>Gastos_Gerais</v>
      </c>
      <c r="S429" s="331" t="str">
        <f>IF(D429="","",IF(OR(D429=Plano!$A$1,D429=Plano!$B$1),"entrada","saída"))</f>
        <v>saída</v>
      </c>
      <c r="T429" s="332" t="s">
        <v>114</v>
      </c>
      <c r="U429" s="332" t="s">
        <v>114</v>
      </c>
      <c r="V429" s="333"/>
    </row>
    <row r="430" spans="1:22" ht="59.25" customHeight="1" x14ac:dyDescent="0.2">
      <c r="A430" s="277">
        <f>IF(B430="","",COUNT('Diário 5º PA'!$A$5:$A$2634)+ROW()-4)</f>
        <v>1737</v>
      </c>
      <c r="B430" s="278">
        <v>44321</v>
      </c>
      <c r="C430" s="259">
        <v>44256</v>
      </c>
      <c r="D430" s="252" t="s">
        <v>99</v>
      </c>
      <c r="E430" s="252" t="s">
        <v>336</v>
      </c>
      <c r="F430" s="257">
        <v>100.5</v>
      </c>
      <c r="G430" s="252" t="s">
        <v>4418</v>
      </c>
      <c r="H430" s="252" t="s">
        <v>116</v>
      </c>
      <c r="I430" s="252" t="s">
        <v>465</v>
      </c>
      <c r="J430" s="250" t="s">
        <v>114</v>
      </c>
      <c r="K430" s="250" t="s">
        <v>466</v>
      </c>
      <c r="L430" s="250" t="s">
        <v>467</v>
      </c>
      <c r="M430" s="277">
        <v>2509</v>
      </c>
      <c r="N430" s="278">
        <v>44321</v>
      </c>
      <c r="O430" s="329" t="s">
        <v>67</v>
      </c>
      <c r="P430" s="330">
        <f t="shared" ref="P430:Q430" si="426">IF(B430=0,0,IF(YEAR(B430)=$Q$1,MONTH(B430)-$P$1+1,(YEAR(B430)-$Q$1)*12-$P$1+1+MONTH(B430)))</f>
        <v>5</v>
      </c>
      <c r="Q430" s="330">
        <f t="shared" si="426"/>
        <v>3</v>
      </c>
      <c r="R430" s="331" t="str">
        <f t="shared" si="1"/>
        <v>Gastos_Gerais</v>
      </c>
      <c r="S430" s="331" t="str">
        <f>IF(D430="","",IF(OR(D430=Plano!$A$1,D430=Plano!$B$1),"entrada","saída"))</f>
        <v>saída</v>
      </c>
      <c r="T430" s="332" t="s">
        <v>114</v>
      </c>
      <c r="U430" s="332" t="s">
        <v>114</v>
      </c>
      <c r="V430" s="333"/>
    </row>
    <row r="431" spans="1:22" ht="47.25" customHeight="1" x14ac:dyDescent="0.2">
      <c r="A431" s="277">
        <f>IF(B431="","",COUNT('Diário 5º PA'!$A$5:$A$2634)+ROW()-4)</f>
        <v>1738</v>
      </c>
      <c r="B431" s="278">
        <v>44321</v>
      </c>
      <c r="C431" s="259">
        <v>44197</v>
      </c>
      <c r="D431" s="252" t="s">
        <v>99</v>
      </c>
      <c r="E431" s="252" t="s">
        <v>364</v>
      </c>
      <c r="F431" s="257">
        <v>30</v>
      </c>
      <c r="G431" s="252" t="s">
        <v>4419</v>
      </c>
      <c r="H431" s="252" t="s">
        <v>125</v>
      </c>
      <c r="I431" s="252" t="s">
        <v>465</v>
      </c>
      <c r="J431" s="250" t="s">
        <v>114</v>
      </c>
      <c r="K431" s="250" t="s">
        <v>466</v>
      </c>
      <c r="L431" s="250" t="s">
        <v>467</v>
      </c>
      <c r="M431" s="277">
        <v>2510</v>
      </c>
      <c r="N431" s="278">
        <v>44321</v>
      </c>
      <c r="O431" s="329" t="s">
        <v>67</v>
      </c>
      <c r="P431" s="330">
        <f t="shared" ref="P431:Q431" si="427">IF(B431=0,0,IF(YEAR(B431)=$Q$1,MONTH(B431)-$P$1+1,(YEAR(B431)-$Q$1)*12-$P$1+1+MONTH(B431)))</f>
        <v>5</v>
      </c>
      <c r="Q431" s="330">
        <f t="shared" si="427"/>
        <v>1</v>
      </c>
      <c r="R431" s="331" t="str">
        <f t="shared" si="1"/>
        <v>Gastos_Gerais</v>
      </c>
      <c r="S431" s="331" t="str">
        <f>IF(D431="","",IF(OR(D431=Plano!$A$1,D431=Plano!$B$1),"entrada","saída"))</f>
        <v>saída</v>
      </c>
      <c r="T431" s="332" t="s">
        <v>114</v>
      </c>
      <c r="U431" s="332" t="s">
        <v>114</v>
      </c>
      <c r="V431" s="333"/>
    </row>
    <row r="432" spans="1:22" ht="39" customHeight="1" x14ac:dyDescent="0.2">
      <c r="A432" s="277">
        <f>IF(B432="","",COUNT('Diário 5º PA'!$A$5:$A$2634)+ROW()-4)</f>
        <v>1739</v>
      </c>
      <c r="B432" s="278">
        <v>44321</v>
      </c>
      <c r="C432" s="259">
        <v>44256</v>
      </c>
      <c r="D432" s="252" t="s">
        <v>99</v>
      </c>
      <c r="E432" s="252" t="s">
        <v>340</v>
      </c>
      <c r="F432" s="257">
        <v>54</v>
      </c>
      <c r="G432" s="252" t="s">
        <v>4420</v>
      </c>
      <c r="H432" s="252" t="s">
        <v>125</v>
      </c>
      <c r="I432" s="252" t="s">
        <v>465</v>
      </c>
      <c r="J432" s="250" t="s">
        <v>114</v>
      </c>
      <c r="K432" s="250" t="s">
        <v>466</v>
      </c>
      <c r="L432" s="250" t="s">
        <v>467</v>
      </c>
      <c r="M432" s="277">
        <v>2511</v>
      </c>
      <c r="N432" s="278">
        <v>44321</v>
      </c>
      <c r="O432" s="329" t="s">
        <v>67</v>
      </c>
      <c r="P432" s="330">
        <f t="shared" ref="P432:Q432" si="428">IF(B432=0,0,IF(YEAR(B432)=$Q$1,MONTH(B432)-$P$1+1,(YEAR(B432)-$Q$1)*12-$P$1+1+MONTH(B432)))</f>
        <v>5</v>
      </c>
      <c r="Q432" s="330">
        <f t="shared" si="428"/>
        <v>3</v>
      </c>
      <c r="R432" s="331" t="str">
        <f t="shared" si="1"/>
        <v>Gastos_Gerais</v>
      </c>
      <c r="S432" s="331" t="str">
        <f>IF(D432="","",IF(OR(D432=Plano!$A$1,D432=Plano!$B$1),"entrada","saída"))</f>
        <v>saída</v>
      </c>
      <c r="T432" s="332" t="s">
        <v>114</v>
      </c>
      <c r="U432" s="332" t="s">
        <v>114</v>
      </c>
      <c r="V432" s="333"/>
    </row>
    <row r="433" spans="1:22" ht="48.75" customHeight="1" x14ac:dyDescent="0.2">
      <c r="A433" s="277">
        <f>IF(B433="","",COUNT('Diário 5º PA'!$A$5:$A$2634)+ROW()-4)</f>
        <v>1740</v>
      </c>
      <c r="B433" s="278">
        <v>44321</v>
      </c>
      <c r="C433" s="259">
        <v>44256</v>
      </c>
      <c r="D433" s="252" t="s">
        <v>99</v>
      </c>
      <c r="E433" s="252" t="s">
        <v>358</v>
      </c>
      <c r="F433" s="257">
        <v>136.25</v>
      </c>
      <c r="G433" s="252" t="s">
        <v>4421</v>
      </c>
      <c r="H433" s="252" t="s">
        <v>125</v>
      </c>
      <c r="I433" s="252" t="s">
        <v>465</v>
      </c>
      <c r="J433" s="250" t="s">
        <v>114</v>
      </c>
      <c r="K433" s="250" t="s">
        <v>466</v>
      </c>
      <c r="L433" s="250" t="s">
        <v>467</v>
      </c>
      <c r="M433" s="277">
        <v>2512</v>
      </c>
      <c r="N433" s="278">
        <v>44321</v>
      </c>
      <c r="O433" s="329" t="s">
        <v>67</v>
      </c>
      <c r="P433" s="330">
        <f t="shared" ref="P433:Q433" si="429">IF(B433=0,0,IF(YEAR(B433)=$Q$1,MONTH(B433)-$P$1+1,(YEAR(B433)-$Q$1)*12-$P$1+1+MONTH(B433)))</f>
        <v>5</v>
      </c>
      <c r="Q433" s="330">
        <f t="shared" si="429"/>
        <v>3</v>
      </c>
      <c r="R433" s="331" t="str">
        <f t="shared" si="1"/>
        <v>Gastos_Gerais</v>
      </c>
      <c r="S433" s="331" t="str">
        <f>IF(D433="","",IF(OR(D433=Plano!$A$1,D433=Plano!$B$1),"entrada","saída"))</f>
        <v>saída</v>
      </c>
      <c r="T433" s="332" t="s">
        <v>114</v>
      </c>
      <c r="U433" s="332" t="s">
        <v>114</v>
      </c>
      <c r="V433" s="333"/>
    </row>
    <row r="434" spans="1:22" ht="46.5" customHeight="1" x14ac:dyDescent="0.2">
      <c r="A434" s="277">
        <f>IF(B434="","",COUNT('Diário 5º PA'!$A$5:$A$2634)+ROW()-4)</f>
        <v>1741</v>
      </c>
      <c r="B434" s="278">
        <v>44321</v>
      </c>
      <c r="C434" s="259">
        <v>44256</v>
      </c>
      <c r="D434" s="252" t="s">
        <v>99</v>
      </c>
      <c r="E434" s="252" t="s">
        <v>336</v>
      </c>
      <c r="F434" s="257">
        <v>30</v>
      </c>
      <c r="G434" s="252" t="s">
        <v>4422</v>
      </c>
      <c r="H434" s="252" t="s">
        <v>116</v>
      </c>
      <c r="I434" s="252" t="s">
        <v>465</v>
      </c>
      <c r="J434" s="250" t="s">
        <v>114</v>
      </c>
      <c r="K434" s="250" t="s">
        <v>466</v>
      </c>
      <c r="L434" s="250" t="s">
        <v>467</v>
      </c>
      <c r="M434" s="277">
        <v>2513</v>
      </c>
      <c r="N434" s="278">
        <v>44321</v>
      </c>
      <c r="O434" s="329" t="s">
        <v>67</v>
      </c>
      <c r="P434" s="330">
        <f t="shared" ref="P434:Q434" si="430">IF(B434=0,0,IF(YEAR(B434)=$Q$1,MONTH(B434)-$P$1+1,(YEAR(B434)-$Q$1)*12-$P$1+1+MONTH(B434)))</f>
        <v>5</v>
      </c>
      <c r="Q434" s="330">
        <f t="shared" si="430"/>
        <v>3</v>
      </c>
      <c r="R434" s="331" t="str">
        <f t="shared" si="1"/>
        <v>Gastos_Gerais</v>
      </c>
      <c r="S434" s="331" t="str">
        <f>IF(D434="","",IF(OR(D434=Plano!$A$1,D434=Plano!$B$1),"entrada","saída"))</f>
        <v>saída</v>
      </c>
      <c r="T434" s="332" t="s">
        <v>114</v>
      </c>
      <c r="U434" s="332" t="s">
        <v>114</v>
      </c>
      <c r="V434" s="333"/>
    </row>
    <row r="435" spans="1:22" ht="45.75" customHeight="1" x14ac:dyDescent="0.2">
      <c r="A435" s="277">
        <f>IF(B435="","",COUNT('Diário 5º PA'!$A$5:$A$2634)+ROW()-4)</f>
        <v>1742</v>
      </c>
      <c r="B435" s="278">
        <v>44321</v>
      </c>
      <c r="C435" s="259">
        <v>44228</v>
      </c>
      <c r="D435" s="252" t="s">
        <v>99</v>
      </c>
      <c r="E435" s="252" t="s">
        <v>330</v>
      </c>
      <c r="F435" s="257">
        <v>75</v>
      </c>
      <c r="G435" s="252" t="s">
        <v>4423</v>
      </c>
      <c r="H435" s="252" t="s">
        <v>128</v>
      </c>
      <c r="I435" s="252" t="s">
        <v>465</v>
      </c>
      <c r="J435" s="250" t="s">
        <v>114</v>
      </c>
      <c r="K435" s="250" t="s">
        <v>466</v>
      </c>
      <c r="L435" s="250" t="s">
        <v>467</v>
      </c>
      <c r="M435" s="277">
        <v>2514</v>
      </c>
      <c r="N435" s="278">
        <v>44321</v>
      </c>
      <c r="O435" s="329" t="s">
        <v>67</v>
      </c>
      <c r="P435" s="330">
        <f t="shared" ref="P435:Q435" si="431">IF(B435=0,0,IF(YEAR(B435)=$Q$1,MONTH(B435)-$P$1+1,(YEAR(B435)-$Q$1)*12-$P$1+1+MONTH(B435)))</f>
        <v>5</v>
      </c>
      <c r="Q435" s="330">
        <f t="shared" si="431"/>
        <v>2</v>
      </c>
      <c r="R435" s="331" t="str">
        <f t="shared" si="1"/>
        <v>Gastos_Gerais</v>
      </c>
      <c r="S435" s="331" t="str">
        <f>IF(D435="","",IF(OR(D435=Plano!$A$1,D435=Plano!$B$1),"entrada","saída"))</f>
        <v>saída</v>
      </c>
      <c r="T435" s="332" t="s">
        <v>114</v>
      </c>
      <c r="U435" s="332" t="s">
        <v>114</v>
      </c>
      <c r="V435" s="333"/>
    </row>
    <row r="436" spans="1:22" ht="57" customHeight="1" x14ac:dyDescent="0.2">
      <c r="A436" s="277">
        <f>IF(B436="","",COUNT('Diário 5º PA'!$A$5:$A$2634)+ROW()-4)</f>
        <v>1743</v>
      </c>
      <c r="B436" s="278">
        <v>44321</v>
      </c>
      <c r="C436" s="259">
        <v>44256</v>
      </c>
      <c r="D436" s="252" t="s">
        <v>99</v>
      </c>
      <c r="E436" s="252" t="s">
        <v>358</v>
      </c>
      <c r="F436" s="257">
        <v>18</v>
      </c>
      <c r="G436" s="252" t="s">
        <v>4424</v>
      </c>
      <c r="H436" s="252" t="s">
        <v>127</v>
      </c>
      <c r="I436" s="252" t="s">
        <v>465</v>
      </c>
      <c r="J436" s="250" t="s">
        <v>114</v>
      </c>
      <c r="K436" s="250" t="s">
        <v>466</v>
      </c>
      <c r="L436" s="250" t="s">
        <v>467</v>
      </c>
      <c r="M436" s="277">
        <v>2515</v>
      </c>
      <c r="N436" s="278">
        <v>44321</v>
      </c>
      <c r="O436" s="329" t="s">
        <v>67</v>
      </c>
      <c r="P436" s="330">
        <f t="shared" ref="P436:Q436" si="432">IF(B436=0,0,IF(YEAR(B436)=$Q$1,MONTH(B436)-$P$1+1,(YEAR(B436)-$Q$1)*12-$P$1+1+MONTH(B436)))</f>
        <v>5</v>
      </c>
      <c r="Q436" s="330">
        <f t="shared" si="432"/>
        <v>3</v>
      </c>
      <c r="R436" s="331" t="str">
        <f t="shared" si="1"/>
        <v>Gastos_Gerais</v>
      </c>
      <c r="S436" s="331" t="str">
        <f>IF(D436="","",IF(OR(D436=Plano!$A$1,D436=Plano!$B$1),"entrada","saída"))</f>
        <v>saída</v>
      </c>
      <c r="T436" s="332" t="s">
        <v>114</v>
      </c>
      <c r="U436" s="332" t="s">
        <v>114</v>
      </c>
      <c r="V436" s="333"/>
    </row>
    <row r="437" spans="1:22" ht="54" customHeight="1" x14ac:dyDescent="0.2">
      <c r="A437" s="277">
        <f>IF(B437="","",COUNT('Diário 5º PA'!$A$5:$A$2634)+ROW()-4)</f>
        <v>1744</v>
      </c>
      <c r="B437" s="278">
        <v>44321</v>
      </c>
      <c r="C437" s="259">
        <v>44256</v>
      </c>
      <c r="D437" s="252" t="s">
        <v>99</v>
      </c>
      <c r="E437" s="252" t="s">
        <v>358</v>
      </c>
      <c r="F437" s="257">
        <v>18</v>
      </c>
      <c r="G437" s="252" t="s">
        <v>4425</v>
      </c>
      <c r="H437" s="252" t="s">
        <v>127</v>
      </c>
      <c r="I437" s="252" t="s">
        <v>465</v>
      </c>
      <c r="J437" s="250" t="s">
        <v>114</v>
      </c>
      <c r="K437" s="250" t="s">
        <v>466</v>
      </c>
      <c r="L437" s="250" t="s">
        <v>467</v>
      </c>
      <c r="M437" s="277">
        <v>2516</v>
      </c>
      <c r="N437" s="278">
        <v>44321</v>
      </c>
      <c r="O437" s="329" t="s">
        <v>67</v>
      </c>
      <c r="P437" s="330">
        <f t="shared" ref="P437:Q437" si="433">IF(B437=0,0,IF(YEAR(B437)=$Q$1,MONTH(B437)-$P$1+1,(YEAR(B437)-$Q$1)*12-$P$1+1+MONTH(B437)))</f>
        <v>5</v>
      </c>
      <c r="Q437" s="330">
        <f t="shared" si="433"/>
        <v>3</v>
      </c>
      <c r="R437" s="331" t="str">
        <f t="shared" si="1"/>
        <v>Gastos_Gerais</v>
      </c>
      <c r="S437" s="331" t="str">
        <f>IF(D437="","",IF(OR(D437=Plano!$A$1,D437=Plano!$B$1),"entrada","saída"))</f>
        <v>saída</v>
      </c>
      <c r="T437" s="332" t="s">
        <v>114</v>
      </c>
      <c r="U437" s="332" t="s">
        <v>114</v>
      </c>
      <c r="V437" s="333"/>
    </row>
    <row r="438" spans="1:22" ht="58.5" customHeight="1" x14ac:dyDescent="0.2">
      <c r="A438" s="277">
        <f>IF(B438="","",COUNT('Diário 5º PA'!$A$5:$A$2634)+ROW()-4)</f>
        <v>1745</v>
      </c>
      <c r="B438" s="278">
        <v>44321</v>
      </c>
      <c r="C438" s="259">
        <v>44287</v>
      </c>
      <c r="D438" s="252" t="s">
        <v>99</v>
      </c>
      <c r="E438" s="252" t="s">
        <v>364</v>
      </c>
      <c r="F438" s="257">
        <v>202.5</v>
      </c>
      <c r="G438" s="252" t="s">
        <v>4426</v>
      </c>
      <c r="H438" s="252" t="s">
        <v>131</v>
      </c>
      <c r="I438" s="252" t="s">
        <v>465</v>
      </c>
      <c r="J438" s="250" t="s">
        <v>114</v>
      </c>
      <c r="K438" s="250" t="s">
        <v>466</v>
      </c>
      <c r="L438" s="250" t="s">
        <v>467</v>
      </c>
      <c r="M438" s="277">
        <v>2517</v>
      </c>
      <c r="N438" s="278">
        <v>44321</v>
      </c>
      <c r="O438" s="329" t="s">
        <v>67</v>
      </c>
      <c r="P438" s="330">
        <f t="shared" ref="P438:Q438" si="434">IF(B438=0,0,IF(YEAR(B438)=$Q$1,MONTH(B438)-$P$1+1,(YEAR(B438)-$Q$1)*12-$P$1+1+MONTH(B438)))</f>
        <v>5</v>
      </c>
      <c r="Q438" s="330">
        <f t="shared" si="434"/>
        <v>4</v>
      </c>
      <c r="R438" s="331" t="str">
        <f t="shared" si="1"/>
        <v>Gastos_Gerais</v>
      </c>
      <c r="S438" s="331" t="str">
        <f>IF(D438="","",IF(OR(D438=Plano!$A$1,D438=Plano!$B$1),"entrada","saída"))</f>
        <v>saída</v>
      </c>
      <c r="T438" s="332" t="s">
        <v>114</v>
      </c>
      <c r="U438" s="332" t="s">
        <v>114</v>
      </c>
      <c r="V438" s="333"/>
    </row>
    <row r="439" spans="1:22" ht="60" customHeight="1" x14ac:dyDescent="0.2">
      <c r="A439" s="277">
        <f>IF(B439="","",COUNT('Diário 5º PA'!$A$5:$A$2634)+ROW()-4)</f>
        <v>1746</v>
      </c>
      <c r="B439" s="278">
        <v>44321</v>
      </c>
      <c r="C439" s="259">
        <v>44287</v>
      </c>
      <c r="D439" s="252" t="s">
        <v>99</v>
      </c>
      <c r="E439" s="252" t="s">
        <v>246</v>
      </c>
      <c r="F439" s="257">
        <v>37.5</v>
      </c>
      <c r="G439" s="252" t="s">
        <v>4427</v>
      </c>
      <c r="H439" s="252" t="s">
        <v>127</v>
      </c>
      <c r="I439" s="252" t="s">
        <v>465</v>
      </c>
      <c r="J439" s="250" t="s">
        <v>114</v>
      </c>
      <c r="K439" s="250" t="s">
        <v>466</v>
      </c>
      <c r="L439" s="250" t="s">
        <v>467</v>
      </c>
      <c r="M439" s="277">
        <v>2518</v>
      </c>
      <c r="N439" s="278">
        <v>44321</v>
      </c>
      <c r="O439" s="329" t="s">
        <v>67</v>
      </c>
      <c r="P439" s="330">
        <f t="shared" ref="P439:Q439" si="435">IF(B439=0,0,IF(YEAR(B439)=$Q$1,MONTH(B439)-$P$1+1,(YEAR(B439)-$Q$1)*12-$P$1+1+MONTH(B439)))</f>
        <v>5</v>
      </c>
      <c r="Q439" s="330">
        <f t="shared" si="435"/>
        <v>4</v>
      </c>
      <c r="R439" s="331" t="str">
        <f t="shared" si="1"/>
        <v>Gastos_Gerais</v>
      </c>
      <c r="S439" s="331" t="str">
        <f>IF(D439="","",IF(OR(D439=Plano!$A$1,D439=Plano!$B$1),"entrada","saída"))</f>
        <v>saída</v>
      </c>
      <c r="T439" s="332" t="s">
        <v>114</v>
      </c>
      <c r="U439" s="332" t="s">
        <v>114</v>
      </c>
      <c r="V439" s="333"/>
    </row>
    <row r="440" spans="1:22" ht="41.25" customHeight="1" x14ac:dyDescent="0.2">
      <c r="A440" s="277">
        <f>IF(B440="","",COUNT('Diário 5º PA'!$A$5:$A$2634)+ROW()-4)</f>
        <v>1747</v>
      </c>
      <c r="B440" s="278">
        <v>44321</v>
      </c>
      <c r="C440" s="259">
        <v>44136</v>
      </c>
      <c r="D440" s="252" t="s">
        <v>99</v>
      </c>
      <c r="E440" s="252" t="s">
        <v>244</v>
      </c>
      <c r="F440" s="257">
        <v>37.5</v>
      </c>
      <c r="G440" s="252" t="s">
        <v>4428</v>
      </c>
      <c r="H440" s="252" t="s">
        <v>115</v>
      </c>
      <c r="I440" s="252" t="s">
        <v>465</v>
      </c>
      <c r="J440" s="250" t="s">
        <v>114</v>
      </c>
      <c r="K440" s="250" t="s">
        <v>466</v>
      </c>
      <c r="L440" s="250" t="s">
        <v>467</v>
      </c>
      <c r="M440" s="277">
        <v>2519</v>
      </c>
      <c r="N440" s="278">
        <v>44321</v>
      </c>
      <c r="O440" s="329" t="s">
        <v>67</v>
      </c>
      <c r="P440" s="330">
        <f t="shared" ref="P440:Q440" si="436">IF(B440=0,0,IF(YEAR(B440)=$Q$1,MONTH(B440)-$P$1+1,(YEAR(B440)-$Q$1)*12-$P$1+1+MONTH(B440)))</f>
        <v>5</v>
      </c>
      <c r="Q440" s="330">
        <f t="shared" si="436"/>
        <v>-1</v>
      </c>
      <c r="R440" s="331" t="str">
        <f t="shared" si="1"/>
        <v>Gastos_Gerais</v>
      </c>
      <c r="S440" s="331" t="str">
        <f>IF(D440="","",IF(OR(D440=Plano!$A$1,D440=Plano!$B$1),"entrada","saída"))</f>
        <v>saída</v>
      </c>
      <c r="T440" s="332" t="s">
        <v>114</v>
      </c>
      <c r="U440" s="332" t="s">
        <v>114</v>
      </c>
      <c r="V440" s="333"/>
    </row>
    <row r="441" spans="1:22" ht="57.75" customHeight="1" x14ac:dyDescent="0.2">
      <c r="A441" s="277">
        <f>IF(B441="","",COUNT('Diário 5º PA'!$A$5:$A$2634)+ROW()-4)</f>
        <v>1748</v>
      </c>
      <c r="B441" s="278">
        <v>44321</v>
      </c>
      <c r="C441" s="259">
        <v>44287</v>
      </c>
      <c r="D441" s="252" t="s">
        <v>99</v>
      </c>
      <c r="E441" s="252" t="s">
        <v>384</v>
      </c>
      <c r="F441" s="257">
        <v>105.53</v>
      </c>
      <c r="G441" s="252" t="s">
        <v>4429</v>
      </c>
      <c r="H441" s="252" t="s">
        <v>125</v>
      </c>
      <c r="I441" s="252" t="s">
        <v>465</v>
      </c>
      <c r="J441" s="250" t="s">
        <v>114</v>
      </c>
      <c r="K441" s="250" t="s">
        <v>466</v>
      </c>
      <c r="L441" s="250" t="s">
        <v>467</v>
      </c>
      <c r="M441" s="277">
        <v>2520</v>
      </c>
      <c r="N441" s="278">
        <v>44321</v>
      </c>
      <c r="O441" s="329" t="s">
        <v>67</v>
      </c>
      <c r="P441" s="330">
        <f t="shared" ref="P441:Q441" si="437">IF(B441=0,0,IF(YEAR(B441)=$Q$1,MONTH(B441)-$P$1+1,(YEAR(B441)-$Q$1)*12-$P$1+1+MONTH(B441)))</f>
        <v>5</v>
      </c>
      <c r="Q441" s="330">
        <f t="shared" si="437"/>
        <v>4</v>
      </c>
      <c r="R441" s="331" t="str">
        <f t="shared" si="1"/>
        <v>Gastos_Gerais</v>
      </c>
      <c r="S441" s="331" t="str">
        <f>IF(D441="","",IF(OR(D441=Plano!$A$1,D441=Plano!$B$1),"entrada","saída"))</f>
        <v>saída</v>
      </c>
      <c r="T441" s="332" t="s">
        <v>114</v>
      </c>
      <c r="U441" s="332" t="s">
        <v>114</v>
      </c>
      <c r="V441" s="333"/>
    </row>
    <row r="442" spans="1:22" ht="49.5" customHeight="1" x14ac:dyDescent="0.2">
      <c r="A442" s="277">
        <f>IF(B442="","",COUNT('Diário 5º PA'!$A$5:$A$2634)+ROW()-4)</f>
        <v>1749</v>
      </c>
      <c r="B442" s="278">
        <v>44321</v>
      </c>
      <c r="C442" s="259">
        <v>44287</v>
      </c>
      <c r="D442" s="252" t="s">
        <v>99</v>
      </c>
      <c r="E442" s="252" t="s">
        <v>262</v>
      </c>
      <c r="F442" s="257">
        <v>80</v>
      </c>
      <c r="G442" s="252" t="s">
        <v>4430</v>
      </c>
      <c r="H442" s="252" t="s">
        <v>124</v>
      </c>
      <c r="I442" s="252" t="s">
        <v>465</v>
      </c>
      <c r="J442" s="250" t="s">
        <v>114</v>
      </c>
      <c r="K442" s="250" t="s">
        <v>466</v>
      </c>
      <c r="L442" s="250" t="s">
        <v>467</v>
      </c>
      <c r="M442" s="277">
        <v>2521</v>
      </c>
      <c r="N442" s="278">
        <v>44321</v>
      </c>
      <c r="O442" s="329" t="s">
        <v>67</v>
      </c>
      <c r="P442" s="330">
        <f t="shared" ref="P442:Q442" si="438">IF(B442=0,0,IF(YEAR(B442)=$Q$1,MONTH(B442)-$P$1+1,(YEAR(B442)-$Q$1)*12-$P$1+1+MONTH(B442)))</f>
        <v>5</v>
      </c>
      <c r="Q442" s="330">
        <f t="shared" si="438"/>
        <v>4</v>
      </c>
      <c r="R442" s="331" t="str">
        <f t="shared" si="1"/>
        <v>Gastos_Gerais</v>
      </c>
      <c r="S442" s="331" t="str">
        <f>IF(D442="","",IF(OR(D442=Plano!$A$1,D442=Plano!$B$1),"entrada","saída"))</f>
        <v>saída</v>
      </c>
      <c r="T442" s="332" t="s">
        <v>114</v>
      </c>
      <c r="U442" s="332" t="s">
        <v>114</v>
      </c>
      <c r="V442" s="333"/>
    </row>
    <row r="443" spans="1:22" ht="60" customHeight="1" x14ac:dyDescent="0.2">
      <c r="A443" s="277">
        <f>IF(B443="","",COUNT('Diário 5º PA'!$A$5:$A$2634)+ROW()-4)</f>
        <v>1750</v>
      </c>
      <c r="B443" s="278">
        <v>44321</v>
      </c>
      <c r="C443" s="259">
        <v>44256</v>
      </c>
      <c r="D443" s="252" t="s">
        <v>99</v>
      </c>
      <c r="E443" s="252" t="s">
        <v>352</v>
      </c>
      <c r="F443" s="257">
        <v>150</v>
      </c>
      <c r="G443" s="252" t="s">
        <v>4431</v>
      </c>
      <c r="H443" s="252" t="s">
        <v>131</v>
      </c>
      <c r="I443" s="252" t="s">
        <v>465</v>
      </c>
      <c r="J443" s="250" t="s">
        <v>114</v>
      </c>
      <c r="K443" s="250" t="s">
        <v>466</v>
      </c>
      <c r="L443" s="250" t="s">
        <v>467</v>
      </c>
      <c r="M443" s="277">
        <v>2522</v>
      </c>
      <c r="N443" s="278">
        <v>44321</v>
      </c>
      <c r="O443" s="329" t="s">
        <v>67</v>
      </c>
      <c r="P443" s="330">
        <f t="shared" ref="P443:Q443" si="439">IF(B443=0,0,IF(YEAR(B443)=$Q$1,MONTH(B443)-$P$1+1,(YEAR(B443)-$Q$1)*12-$P$1+1+MONTH(B443)))</f>
        <v>5</v>
      </c>
      <c r="Q443" s="330">
        <f t="shared" si="439"/>
        <v>3</v>
      </c>
      <c r="R443" s="331" t="str">
        <f t="shared" si="1"/>
        <v>Gastos_Gerais</v>
      </c>
      <c r="S443" s="331" t="str">
        <f>IF(D443="","",IF(OR(D443=Plano!$A$1,D443=Plano!$B$1),"entrada","saída"))</f>
        <v>saída</v>
      </c>
      <c r="T443" s="332" t="s">
        <v>114</v>
      </c>
      <c r="U443" s="332" t="s">
        <v>114</v>
      </c>
      <c r="V443" s="333"/>
    </row>
    <row r="444" spans="1:22" ht="49.5" customHeight="1" x14ac:dyDescent="0.2">
      <c r="A444" s="277">
        <f>IF(B444="","",COUNT('Diário 5º PA'!$A$5:$A$2634)+ROW()-4)</f>
        <v>1751</v>
      </c>
      <c r="B444" s="278">
        <v>44321</v>
      </c>
      <c r="C444" s="259">
        <v>44287</v>
      </c>
      <c r="D444" s="252" t="s">
        <v>99</v>
      </c>
      <c r="E444" s="252" t="s">
        <v>370</v>
      </c>
      <c r="F444" s="257">
        <v>110.25</v>
      </c>
      <c r="G444" s="252" t="s">
        <v>4432</v>
      </c>
      <c r="H444" s="252" t="s">
        <v>125</v>
      </c>
      <c r="I444" s="252" t="s">
        <v>465</v>
      </c>
      <c r="J444" s="250" t="s">
        <v>114</v>
      </c>
      <c r="K444" s="250" t="s">
        <v>466</v>
      </c>
      <c r="L444" s="250" t="s">
        <v>467</v>
      </c>
      <c r="M444" s="277">
        <v>2523</v>
      </c>
      <c r="N444" s="278">
        <v>44321</v>
      </c>
      <c r="O444" s="329" t="s">
        <v>67</v>
      </c>
      <c r="P444" s="330">
        <f t="shared" ref="P444:Q444" si="440">IF(B444=0,0,IF(YEAR(B444)=$Q$1,MONTH(B444)-$P$1+1,(YEAR(B444)-$Q$1)*12-$P$1+1+MONTH(B444)))</f>
        <v>5</v>
      </c>
      <c r="Q444" s="330">
        <f t="shared" si="440"/>
        <v>4</v>
      </c>
      <c r="R444" s="331" t="str">
        <f t="shared" si="1"/>
        <v>Gastos_Gerais</v>
      </c>
      <c r="S444" s="331" t="str">
        <f>IF(D444="","",IF(OR(D444=Plano!$A$1,D444=Plano!$B$1),"entrada","saída"))</f>
        <v>saída</v>
      </c>
      <c r="T444" s="332" t="s">
        <v>114</v>
      </c>
      <c r="U444" s="332" t="s">
        <v>114</v>
      </c>
      <c r="V444" s="333"/>
    </row>
    <row r="445" spans="1:22" ht="44.25" customHeight="1" x14ac:dyDescent="0.2">
      <c r="A445" s="277">
        <f>IF(B445="","",COUNT('Diário 5º PA'!$A$5:$A$2634)+ROW()-4)</f>
        <v>1752</v>
      </c>
      <c r="B445" s="278">
        <v>44321</v>
      </c>
      <c r="C445" s="259">
        <v>44256</v>
      </c>
      <c r="D445" s="252" t="s">
        <v>99</v>
      </c>
      <c r="E445" s="252" t="s">
        <v>352</v>
      </c>
      <c r="F445" s="257">
        <v>50</v>
      </c>
      <c r="G445" s="252" t="s">
        <v>4433</v>
      </c>
      <c r="H445" s="252" t="s">
        <v>131</v>
      </c>
      <c r="I445" s="252" t="s">
        <v>465</v>
      </c>
      <c r="J445" s="250" t="s">
        <v>114</v>
      </c>
      <c r="K445" s="250" t="s">
        <v>466</v>
      </c>
      <c r="L445" s="250" t="s">
        <v>467</v>
      </c>
      <c r="M445" s="277">
        <v>2524</v>
      </c>
      <c r="N445" s="278">
        <v>44321</v>
      </c>
      <c r="O445" s="329" t="s">
        <v>67</v>
      </c>
      <c r="P445" s="330">
        <f t="shared" ref="P445:Q445" si="441">IF(B445=0,0,IF(YEAR(B445)=$Q$1,MONTH(B445)-$P$1+1,(YEAR(B445)-$Q$1)*12-$P$1+1+MONTH(B445)))</f>
        <v>5</v>
      </c>
      <c r="Q445" s="330">
        <f t="shared" si="441"/>
        <v>3</v>
      </c>
      <c r="R445" s="331" t="str">
        <f t="shared" si="1"/>
        <v>Gastos_Gerais</v>
      </c>
      <c r="S445" s="331" t="str">
        <f>IF(D445="","",IF(OR(D445=Plano!$A$1,D445=Plano!$B$1),"entrada","saída"))</f>
        <v>saída</v>
      </c>
      <c r="T445" s="332" t="s">
        <v>114</v>
      </c>
      <c r="U445" s="332" t="s">
        <v>114</v>
      </c>
      <c r="V445" s="333"/>
    </row>
    <row r="446" spans="1:22" ht="47.25" customHeight="1" x14ac:dyDescent="0.2">
      <c r="A446" s="277">
        <f>IF(B446="","",COUNT('Diário 5º PA'!$A$5:$A$2634)+ROW()-4)</f>
        <v>1753</v>
      </c>
      <c r="B446" s="278">
        <v>44321</v>
      </c>
      <c r="C446" s="259">
        <v>44228</v>
      </c>
      <c r="D446" s="252" t="s">
        <v>99</v>
      </c>
      <c r="E446" s="252" t="s">
        <v>360</v>
      </c>
      <c r="F446" s="257">
        <v>115.58</v>
      </c>
      <c r="G446" s="252" t="s">
        <v>4434</v>
      </c>
      <c r="H446" s="252" t="s">
        <v>131</v>
      </c>
      <c r="I446" s="252" t="s">
        <v>465</v>
      </c>
      <c r="J446" s="250" t="s">
        <v>114</v>
      </c>
      <c r="K446" s="250" t="s">
        <v>466</v>
      </c>
      <c r="L446" s="250" t="s">
        <v>467</v>
      </c>
      <c r="M446" s="277">
        <v>2525</v>
      </c>
      <c r="N446" s="278">
        <v>44321</v>
      </c>
      <c r="O446" s="329" t="s">
        <v>67</v>
      </c>
      <c r="P446" s="330">
        <f t="shared" ref="P446:Q446" si="442">IF(B446=0,0,IF(YEAR(B446)=$Q$1,MONTH(B446)-$P$1+1,(YEAR(B446)-$Q$1)*12-$P$1+1+MONTH(B446)))</f>
        <v>5</v>
      </c>
      <c r="Q446" s="330">
        <f t="shared" si="442"/>
        <v>2</v>
      </c>
      <c r="R446" s="331" t="str">
        <f t="shared" si="1"/>
        <v>Gastos_Gerais</v>
      </c>
      <c r="S446" s="331" t="str">
        <f>IF(D446="","",IF(OR(D446=Plano!$A$1,D446=Plano!$B$1),"entrada","saída"))</f>
        <v>saída</v>
      </c>
      <c r="T446" s="332" t="s">
        <v>114</v>
      </c>
      <c r="U446" s="332" t="s">
        <v>114</v>
      </c>
      <c r="V446" s="333"/>
    </row>
    <row r="447" spans="1:22" ht="54.75" customHeight="1" x14ac:dyDescent="0.2">
      <c r="A447" s="277">
        <f>IF(B447="","",COUNT('Diário 5º PA'!$A$5:$A$2634)+ROW()-4)</f>
        <v>1754</v>
      </c>
      <c r="B447" s="278">
        <v>44321</v>
      </c>
      <c r="C447" s="259">
        <v>44287</v>
      </c>
      <c r="D447" s="252" t="s">
        <v>99</v>
      </c>
      <c r="E447" s="252" t="s">
        <v>364</v>
      </c>
      <c r="F447" s="257">
        <v>100.5</v>
      </c>
      <c r="G447" s="252" t="s">
        <v>4435</v>
      </c>
      <c r="H447" s="252" t="s">
        <v>132</v>
      </c>
      <c r="I447" s="252" t="s">
        <v>465</v>
      </c>
      <c r="J447" s="250" t="s">
        <v>114</v>
      </c>
      <c r="K447" s="250" t="s">
        <v>466</v>
      </c>
      <c r="L447" s="250" t="s">
        <v>467</v>
      </c>
      <c r="M447" s="277">
        <v>2526</v>
      </c>
      <c r="N447" s="278">
        <v>44321</v>
      </c>
      <c r="O447" s="329" t="s">
        <v>67</v>
      </c>
      <c r="P447" s="330">
        <f t="shared" ref="P447:Q447" si="443">IF(B447=0,0,IF(YEAR(B447)=$Q$1,MONTH(B447)-$P$1+1,(YEAR(B447)-$Q$1)*12-$P$1+1+MONTH(B447)))</f>
        <v>5</v>
      </c>
      <c r="Q447" s="330">
        <f t="shared" si="443"/>
        <v>4</v>
      </c>
      <c r="R447" s="331" t="str">
        <f t="shared" si="1"/>
        <v>Gastos_Gerais</v>
      </c>
      <c r="S447" s="331" t="str">
        <f>IF(D447="","",IF(OR(D447=Plano!$A$1,D447=Plano!$B$1),"entrada","saída"))</f>
        <v>saída</v>
      </c>
      <c r="T447" s="332" t="s">
        <v>114</v>
      </c>
      <c r="U447" s="332" t="s">
        <v>114</v>
      </c>
      <c r="V447" s="333"/>
    </row>
    <row r="448" spans="1:22" ht="48.75" customHeight="1" x14ac:dyDescent="0.2">
      <c r="A448" s="277">
        <f>IF(B448="","",COUNT('Diário 5º PA'!$A$5:$A$2634)+ROW()-4)</f>
        <v>1755</v>
      </c>
      <c r="B448" s="278">
        <v>44321</v>
      </c>
      <c r="C448" s="259">
        <v>44287</v>
      </c>
      <c r="D448" s="252" t="s">
        <v>99</v>
      </c>
      <c r="E448" s="252" t="s">
        <v>352</v>
      </c>
      <c r="F448" s="257">
        <v>175</v>
      </c>
      <c r="G448" s="252" t="s">
        <v>4436</v>
      </c>
      <c r="H448" s="252" t="s">
        <v>131</v>
      </c>
      <c r="I448" s="252" t="s">
        <v>465</v>
      </c>
      <c r="J448" s="250" t="s">
        <v>114</v>
      </c>
      <c r="K448" s="250" t="s">
        <v>466</v>
      </c>
      <c r="L448" s="250" t="s">
        <v>467</v>
      </c>
      <c r="M448" s="277">
        <v>2527</v>
      </c>
      <c r="N448" s="278">
        <v>44321</v>
      </c>
      <c r="O448" s="329" t="s">
        <v>67</v>
      </c>
      <c r="P448" s="330">
        <f t="shared" ref="P448:Q448" si="444">IF(B448=0,0,IF(YEAR(B448)=$Q$1,MONTH(B448)-$P$1+1,(YEAR(B448)-$Q$1)*12-$P$1+1+MONTH(B448)))</f>
        <v>5</v>
      </c>
      <c r="Q448" s="330">
        <f t="shared" si="444"/>
        <v>4</v>
      </c>
      <c r="R448" s="331" t="str">
        <f t="shared" si="1"/>
        <v>Gastos_Gerais</v>
      </c>
      <c r="S448" s="331" t="str">
        <f>IF(D448="","",IF(OR(D448=Plano!$A$1,D448=Plano!$B$1),"entrada","saída"))</f>
        <v>saída</v>
      </c>
      <c r="T448" s="332" t="s">
        <v>114</v>
      </c>
      <c r="U448" s="332" t="s">
        <v>114</v>
      </c>
      <c r="V448" s="333"/>
    </row>
    <row r="449" spans="1:22" ht="50.25" customHeight="1" x14ac:dyDescent="0.2">
      <c r="A449" s="277">
        <f>IF(B449="","",COUNT('Diário 5º PA'!$A$5:$A$2634)+ROW()-4)</f>
        <v>1756</v>
      </c>
      <c r="B449" s="278">
        <v>44321</v>
      </c>
      <c r="C449" s="259">
        <v>44287</v>
      </c>
      <c r="D449" s="252" t="s">
        <v>99</v>
      </c>
      <c r="E449" s="252" t="s">
        <v>374</v>
      </c>
      <c r="F449" s="257">
        <v>12.06</v>
      </c>
      <c r="G449" s="252" t="s">
        <v>4437</v>
      </c>
      <c r="H449" s="252" t="s">
        <v>132</v>
      </c>
      <c r="I449" s="252" t="s">
        <v>465</v>
      </c>
      <c r="J449" s="250" t="s">
        <v>114</v>
      </c>
      <c r="K449" s="250" t="s">
        <v>466</v>
      </c>
      <c r="L449" s="250" t="s">
        <v>467</v>
      </c>
      <c r="M449" s="277">
        <v>2528</v>
      </c>
      <c r="N449" s="278">
        <v>44321</v>
      </c>
      <c r="O449" s="329" t="s">
        <v>67</v>
      </c>
      <c r="P449" s="330">
        <f t="shared" ref="P449:Q449" si="445">IF(B449=0,0,IF(YEAR(B449)=$Q$1,MONTH(B449)-$P$1+1,(YEAR(B449)-$Q$1)*12-$P$1+1+MONTH(B449)))</f>
        <v>5</v>
      </c>
      <c r="Q449" s="330">
        <f t="shared" si="445"/>
        <v>4</v>
      </c>
      <c r="R449" s="331" t="str">
        <f t="shared" si="1"/>
        <v>Gastos_Gerais</v>
      </c>
      <c r="S449" s="331" t="str">
        <f>IF(D449="","",IF(OR(D449=Plano!$A$1,D449=Plano!$B$1),"entrada","saída"))</f>
        <v>saída</v>
      </c>
      <c r="T449" s="332" t="s">
        <v>114</v>
      </c>
      <c r="U449" s="332" t="s">
        <v>114</v>
      </c>
      <c r="V449" s="333"/>
    </row>
    <row r="450" spans="1:22" ht="35.25" customHeight="1" x14ac:dyDescent="0.2">
      <c r="A450" s="277">
        <f>IF(B450="","",COUNT('Diário 5º PA'!$A$5:$A$2634)+ROW()-4)</f>
        <v>1757</v>
      </c>
      <c r="B450" s="278">
        <v>44321</v>
      </c>
      <c r="C450" s="259">
        <v>44287</v>
      </c>
      <c r="D450" s="252" t="s">
        <v>99</v>
      </c>
      <c r="E450" s="252" t="s">
        <v>364</v>
      </c>
      <c r="F450" s="257">
        <v>275</v>
      </c>
      <c r="G450" s="252" t="s">
        <v>4438</v>
      </c>
      <c r="H450" s="252" t="s">
        <v>131</v>
      </c>
      <c r="I450" s="252" t="s">
        <v>465</v>
      </c>
      <c r="J450" s="250" t="s">
        <v>114</v>
      </c>
      <c r="K450" s="250" t="s">
        <v>466</v>
      </c>
      <c r="L450" s="250" t="s">
        <v>467</v>
      </c>
      <c r="M450" s="277">
        <v>2529</v>
      </c>
      <c r="N450" s="278">
        <v>44321</v>
      </c>
      <c r="O450" s="329" t="s">
        <v>67</v>
      </c>
      <c r="P450" s="330">
        <f t="shared" ref="P450:Q450" si="446">IF(B450=0,0,IF(YEAR(B450)=$Q$1,MONTH(B450)-$P$1+1,(YEAR(B450)-$Q$1)*12-$P$1+1+MONTH(B450)))</f>
        <v>5</v>
      </c>
      <c r="Q450" s="330">
        <f t="shared" si="446"/>
        <v>4</v>
      </c>
      <c r="R450" s="331" t="str">
        <f t="shared" si="1"/>
        <v>Gastos_Gerais</v>
      </c>
      <c r="S450" s="331" t="str">
        <f>IF(D450="","",IF(OR(D450=Plano!$A$1,D450=Plano!$B$1),"entrada","saída"))</f>
        <v>saída</v>
      </c>
      <c r="T450" s="332" t="s">
        <v>114</v>
      </c>
      <c r="U450" s="332" t="s">
        <v>114</v>
      </c>
      <c r="V450" s="333"/>
    </row>
    <row r="451" spans="1:22" ht="47.25" customHeight="1" x14ac:dyDescent="0.2">
      <c r="A451" s="277">
        <f>IF(B451="","",COUNT('Diário 5º PA'!$A$5:$A$2634)+ROW()-4)</f>
        <v>1758</v>
      </c>
      <c r="B451" s="278">
        <v>44321</v>
      </c>
      <c r="C451" s="259">
        <v>44256</v>
      </c>
      <c r="D451" s="252" t="s">
        <v>99</v>
      </c>
      <c r="E451" s="252" t="s">
        <v>352</v>
      </c>
      <c r="F451" s="257">
        <v>55.27</v>
      </c>
      <c r="G451" s="252" t="s">
        <v>4439</v>
      </c>
      <c r="H451" s="252" t="s">
        <v>132</v>
      </c>
      <c r="I451" s="252" t="s">
        <v>465</v>
      </c>
      <c r="J451" s="250" t="s">
        <v>114</v>
      </c>
      <c r="K451" s="250" t="s">
        <v>466</v>
      </c>
      <c r="L451" s="250" t="s">
        <v>467</v>
      </c>
      <c r="M451" s="277">
        <v>2530</v>
      </c>
      <c r="N451" s="278">
        <v>44321</v>
      </c>
      <c r="O451" s="329" t="s">
        <v>67</v>
      </c>
      <c r="P451" s="330">
        <f t="shared" ref="P451:Q451" si="447">IF(B451=0,0,IF(YEAR(B451)=$Q$1,MONTH(B451)-$P$1+1,(YEAR(B451)-$Q$1)*12-$P$1+1+MONTH(B451)))</f>
        <v>5</v>
      </c>
      <c r="Q451" s="330">
        <f t="shared" si="447"/>
        <v>3</v>
      </c>
      <c r="R451" s="331" t="str">
        <f t="shared" si="1"/>
        <v>Gastos_Gerais</v>
      </c>
      <c r="S451" s="331" t="str">
        <f>IF(D451="","",IF(OR(D451=Plano!$A$1,D451=Plano!$B$1),"entrada","saída"))</f>
        <v>saída</v>
      </c>
      <c r="T451" s="332" t="s">
        <v>114</v>
      </c>
      <c r="U451" s="332" t="s">
        <v>114</v>
      </c>
      <c r="V451" s="333"/>
    </row>
    <row r="452" spans="1:22" ht="46.5" customHeight="1" x14ac:dyDescent="0.2">
      <c r="A452" s="277">
        <f>IF(B452="","",COUNT('Diário 5º PA'!$A$5:$A$2634)+ROW()-4)</f>
        <v>1759</v>
      </c>
      <c r="B452" s="278">
        <v>44321</v>
      </c>
      <c r="C452" s="259">
        <v>44256</v>
      </c>
      <c r="D452" s="252" t="s">
        <v>99</v>
      </c>
      <c r="E452" s="252" t="s">
        <v>364</v>
      </c>
      <c r="F452" s="257">
        <v>110.55</v>
      </c>
      <c r="G452" s="252" t="s">
        <v>4440</v>
      </c>
      <c r="H452" s="252" t="s">
        <v>132</v>
      </c>
      <c r="I452" s="252" t="s">
        <v>465</v>
      </c>
      <c r="J452" s="250" t="s">
        <v>114</v>
      </c>
      <c r="K452" s="250" t="s">
        <v>466</v>
      </c>
      <c r="L452" s="250" t="s">
        <v>467</v>
      </c>
      <c r="M452" s="277">
        <v>2531</v>
      </c>
      <c r="N452" s="278">
        <v>44321</v>
      </c>
      <c r="O452" s="329" t="s">
        <v>67</v>
      </c>
      <c r="P452" s="330">
        <f t="shared" ref="P452:Q452" si="448">IF(B452=0,0,IF(YEAR(B452)=$Q$1,MONTH(B452)-$P$1+1,(YEAR(B452)-$Q$1)*12-$P$1+1+MONTH(B452)))</f>
        <v>5</v>
      </c>
      <c r="Q452" s="330">
        <f t="shared" si="448"/>
        <v>3</v>
      </c>
      <c r="R452" s="331" t="str">
        <f t="shared" si="1"/>
        <v>Gastos_Gerais</v>
      </c>
      <c r="S452" s="331" t="str">
        <f>IF(D452="","",IF(OR(D452=Plano!$A$1,D452=Plano!$B$1),"entrada","saída"))</f>
        <v>saída</v>
      </c>
      <c r="T452" s="332" t="s">
        <v>114</v>
      </c>
      <c r="U452" s="332" t="s">
        <v>114</v>
      </c>
      <c r="V452" s="333"/>
    </row>
    <row r="453" spans="1:22" ht="48" customHeight="1" x14ac:dyDescent="0.2">
      <c r="A453" s="277">
        <f>IF(B453="","",COUNT('Diário 5º PA'!$A$5:$A$2634)+ROW()-4)</f>
        <v>1760</v>
      </c>
      <c r="B453" s="278">
        <v>44321</v>
      </c>
      <c r="C453" s="259">
        <v>44256</v>
      </c>
      <c r="D453" s="252" t="s">
        <v>99</v>
      </c>
      <c r="E453" s="252" t="s">
        <v>352</v>
      </c>
      <c r="F453" s="257">
        <v>250</v>
      </c>
      <c r="G453" s="252" t="s">
        <v>4441</v>
      </c>
      <c r="H453" s="252" t="s">
        <v>126</v>
      </c>
      <c r="I453" s="252" t="s">
        <v>465</v>
      </c>
      <c r="J453" s="250" t="s">
        <v>114</v>
      </c>
      <c r="K453" s="250" t="s">
        <v>466</v>
      </c>
      <c r="L453" s="250" t="s">
        <v>467</v>
      </c>
      <c r="M453" s="277">
        <v>2532</v>
      </c>
      <c r="N453" s="278">
        <v>44321</v>
      </c>
      <c r="O453" s="329" t="s">
        <v>67</v>
      </c>
      <c r="P453" s="330">
        <f t="shared" ref="P453:Q453" si="449">IF(B453=0,0,IF(YEAR(B453)=$Q$1,MONTH(B453)-$P$1+1,(YEAR(B453)-$Q$1)*12-$P$1+1+MONTH(B453)))</f>
        <v>5</v>
      </c>
      <c r="Q453" s="330">
        <f t="shared" si="449"/>
        <v>3</v>
      </c>
      <c r="R453" s="331" t="str">
        <f t="shared" si="1"/>
        <v>Gastos_Gerais</v>
      </c>
      <c r="S453" s="331" t="str">
        <f>IF(D453="","",IF(OR(D453=Plano!$A$1,D453=Plano!$B$1),"entrada","saída"))</f>
        <v>saída</v>
      </c>
      <c r="T453" s="332" t="s">
        <v>114</v>
      </c>
      <c r="U453" s="332" t="s">
        <v>114</v>
      </c>
      <c r="V453" s="333"/>
    </row>
    <row r="454" spans="1:22" ht="39.75" customHeight="1" x14ac:dyDescent="0.2">
      <c r="A454" s="277">
        <f>IF(B454="","",COUNT('Diário 5º PA'!$A$5:$A$2634)+ROW()-4)</f>
        <v>1761</v>
      </c>
      <c r="B454" s="278">
        <v>44321</v>
      </c>
      <c r="C454" s="259">
        <v>44256</v>
      </c>
      <c r="D454" s="252" t="s">
        <v>99</v>
      </c>
      <c r="E454" s="252" t="s">
        <v>262</v>
      </c>
      <c r="F454" s="257">
        <v>132.66</v>
      </c>
      <c r="G454" s="252" t="s">
        <v>4442</v>
      </c>
      <c r="H454" s="252" t="s">
        <v>115</v>
      </c>
      <c r="I454" s="252" t="s">
        <v>465</v>
      </c>
      <c r="J454" s="250" t="s">
        <v>114</v>
      </c>
      <c r="K454" s="250" t="s">
        <v>466</v>
      </c>
      <c r="L454" s="250" t="s">
        <v>467</v>
      </c>
      <c r="M454" s="277">
        <v>2533</v>
      </c>
      <c r="N454" s="278">
        <v>44321</v>
      </c>
      <c r="O454" s="329" t="s">
        <v>67</v>
      </c>
      <c r="P454" s="330">
        <f t="shared" ref="P454:Q454" si="450">IF(B454=0,0,IF(YEAR(B454)=$Q$1,MONTH(B454)-$P$1+1,(YEAR(B454)-$Q$1)*12-$P$1+1+MONTH(B454)))</f>
        <v>5</v>
      </c>
      <c r="Q454" s="330">
        <f t="shared" si="450"/>
        <v>3</v>
      </c>
      <c r="R454" s="331" t="str">
        <f t="shared" si="1"/>
        <v>Gastos_Gerais</v>
      </c>
      <c r="S454" s="331" t="str">
        <f>IF(D454="","",IF(OR(D454=Plano!$A$1,D454=Plano!$B$1),"entrada","saída"))</f>
        <v>saída</v>
      </c>
      <c r="T454" s="332" t="s">
        <v>114</v>
      </c>
      <c r="U454" s="332" t="s">
        <v>114</v>
      </c>
      <c r="V454" s="333"/>
    </row>
    <row r="455" spans="1:22" ht="43.5" customHeight="1" x14ac:dyDescent="0.2">
      <c r="A455" s="277">
        <f>IF(B455="","",COUNT('Diário 5º PA'!$A$5:$A$2634)+ROW()-4)</f>
        <v>1762</v>
      </c>
      <c r="B455" s="278">
        <v>44321</v>
      </c>
      <c r="C455" s="259">
        <v>44256</v>
      </c>
      <c r="D455" s="252" t="s">
        <v>99</v>
      </c>
      <c r="E455" s="252" t="s">
        <v>262</v>
      </c>
      <c r="F455" s="257">
        <v>36.18</v>
      </c>
      <c r="G455" s="252" t="s">
        <v>4443</v>
      </c>
      <c r="H455" s="252" t="s">
        <v>115</v>
      </c>
      <c r="I455" s="252" t="s">
        <v>465</v>
      </c>
      <c r="J455" s="250" t="s">
        <v>114</v>
      </c>
      <c r="K455" s="250" t="s">
        <v>466</v>
      </c>
      <c r="L455" s="250" t="s">
        <v>467</v>
      </c>
      <c r="M455" s="277">
        <v>2534</v>
      </c>
      <c r="N455" s="278">
        <v>44321</v>
      </c>
      <c r="O455" s="329" t="s">
        <v>67</v>
      </c>
      <c r="P455" s="330">
        <f t="shared" ref="P455:Q455" si="451">IF(B455=0,0,IF(YEAR(B455)=$Q$1,MONTH(B455)-$P$1+1,(YEAR(B455)-$Q$1)*12-$P$1+1+MONTH(B455)))</f>
        <v>5</v>
      </c>
      <c r="Q455" s="330">
        <f t="shared" si="451"/>
        <v>3</v>
      </c>
      <c r="R455" s="331" t="str">
        <f t="shared" si="1"/>
        <v>Gastos_Gerais</v>
      </c>
      <c r="S455" s="331" t="str">
        <f>IF(D455="","",IF(OR(D455=Plano!$A$1,D455=Plano!$B$1),"entrada","saída"))</f>
        <v>saída</v>
      </c>
      <c r="T455" s="332" t="s">
        <v>114</v>
      </c>
      <c r="U455" s="332" t="s">
        <v>114</v>
      </c>
      <c r="V455" s="333"/>
    </row>
    <row r="456" spans="1:22" ht="43.5" customHeight="1" x14ac:dyDescent="0.2">
      <c r="A456" s="277">
        <f>IF(B456="","",COUNT('Diário 5º PA'!$A$5:$A$2634)+ROW()-4)</f>
        <v>1763</v>
      </c>
      <c r="B456" s="278">
        <v>44321</v>
      </c>
      <c r="C456" s="259">
        <v>44136</v>
      </c>
      <c r="D456" s="252" t="s">
        <v>99</v>
      </c>
      <c r="E456" s="252" t="s">
        <v>336</v>
      </c>
      <c r="F456" s="257">
        <v>75</v>
      </c>
      <c r="G456" s="252" t="s">
        <v>4444</v>
      </c>
      <c r="H456" s="252" t="s">
        <v>123</v>
      </c>
      <c r="I456" s="252" t="s">
        <v>465</v>
      </c>
      <c r="J456" s="250" t="s">
        <v>114</v>
      </c>
      <c r="K456" s="250" t="s">
        <v>466</v>
      </c>
      <c r="L456" s="250" t="s">
        <v>467</v>
      </c>
      <c r="M456" s="277">
        <v>2535</v>
      </c>
      <c r="N456" s="278">
        <v>44321</v>
      </c>
      <c r="O456" s="329" t="s">
        <v>67</v>
      </c>
      <c r="P456" s="330">
        <f t="shared" ref="P456:Q456" si="452">IF(B456=0,0,IF(YEAR(B456)=$Q$1,MONTH(B456)-$P$1+1,(YEAR(B456)-$Q$1)*12-$P$1+1+MONTH(B456)))</f>
        <v>5</v>
      </c>
      <c r="Q456" s="330">
        <f t="shared" si="452"/>
        <v>-1</v>
      </c>
      <c r="R456" s="331" t="str">
        <f t="shared" si="1"/>
        <v>Gastos_Gerais</v>
      </c>
      <c r="S456" s="331" t="str">
        <f>IF(D456="","",IF(OR(D456=Plano!$A$1,D456=Plano!$B$1),"entrada","saída"))</f>
        <v>saída</v>
      </c>
      <c r="T456" s="332" t="s">
        <v>114</v>
      </c>
      <c r="U456" s="332" t="s">
        <v>114</v>
      </c>
      <c r="V456" s="333"/>
    </row>
    <row r="457" spans="1:22" ht="39.75" customHeight="1" x14ac:dyDescent="0.2">
      <c r="A457" s="277">
        <f>IF(B457="","",COUNT('Diário 5º PA'!$A$5:$A$2634)+ROW()-4)</f>
        <v>1764</v>
      </c>
      <c r="B457" s="278">
        <v>44321</v>
      </c>
      <c r="C457" s="259">
        <v>44256</v>
      </c>
      <c r="D457" s="252" t="s">
        <v>99</v>
      </c>
      <c r="E457" s="252" t="s">
        <v>244</v>
      </c>
      <c r="F457" s="257">
        <v>11.79</v>
      </c>
      <c r="G457" s="252" t="s">
        <v>4445</v>
      </c>
      <c r="H457" s="252" t="s">
        <v>126</v>
      </c>
      <c r="I457" s="252" t="s">
        <v>465</v>
      </c>
      <c r="J457" s="250" t="s">
        <v>114</v>
      </c>
      <c r="K457" s="250" t="s">
        <v>466</v>
      </c>
      <c r="L457" s="250" t="s">
        <v>467</v>
      </c>
      <c r="M457" s="277">
        <v>2536</v>
      </c>
      <c r="N457" s="278">
        <v>44321</v>
      </c>
      <c r="O457" s="329" t="s">
        <v>67</v>
      </c>
      <c r="P457" s="330">
        <f t="shared" ref="P457:Q457" si="453">IF(B457=0,0,IF(YEAR(B457)=$Q$1,MONTH(B457)-$P$1+1,(YEAR(B457)-$Q$1)*12-$P$1+1+MONTH(B457)))</f>
        <v>5</v>
      </c>
      <c r="Q457" s="330">
        <f t="shared" si="453"/>
        <v>3</v>
      </c>
      <c r="R457" s="331" t="str">
        <f t="shared" si="1"/>
        <v>Gastos_Gerais</v>
      </c>
      <c r="S457" s="331" t="str">
        <f>IF(D457="","",IF(OR(D457=Plano!$A$1,D457=Plano!$B$1),"entrada","saída"))</f>
        <v>saída</v>
      </c>
      <c r="T457" s="332" t="s">
        <v>114</v>
      </c>
      <c r="U457" s="332" t="s">
        <v>114</v>
      </c>
      <c r="V457" s="333"/>
    </row>
    <row r="458" spans="1:22" ht="45.75" customHeight="1" x14ac:dyDescent="0.2">
      <c r="A458" s="277">
        <f>IF(B458="","",COUNT('Diário 5º PA'!$A$5:$A$2634)+ROW()-4)</f>
        <v>1765</v>
      </c>
      <c r="B458" s="278">
        <v>44321</v>
      </c>
      <c r="C458" s="259">
        <v>44256</v>
      </c>
      <c r="D458" s="252" t="s">
        <v>99</v>
      </c>
      <c r="E458" s="252" t="s">
        <v>244</v>
      </c>
      <c r="F458" s="257">
        <v>18.899999999999999</v>
      </c>
      <c r="G458" s="252" t="s">
        <v>4446</v>
      </c>
      <c r="H458" s="252" t="s">
        <v>122</v>
      </c>
      <c r="I458" s="252" t="s">
        <v>465</v>
      </c>
      <c r="J458" s="250" t="s">
        <v>114</v>
      </c>
      <c r="K458" s="250" t="s">
        <v>466</v>
      </c>
      <c r="L458" s="250" t="s">
        <v>467</v>
      </c>
      <c r="M458" s="277">
        <v>2537</v>
      </c>
      <c r="N458" s="278">
        <v>44321</v>
      </c>
      <c r="O458" s="329" t="s">
        <v>67</v>
      </c>
      <c r="P458" s="330">
        <f t="shared" ref="P458:Q458" si="454">IF(B458=0,0,IF(YEAR(B458)=$Q$1,MONTH(B458)-$P$1+1,(YEAR(B458)-$Q$1)*12-$P$1+1+MONTH(B458)))</f>
        <v>5</v>
      </c>
      <c r="Q458" s="330">
        <f t="shared" si="454"/>
        <v>3</v>
      </c>
      <c r="R458" s="331" t="str">
        <f t="shared" si="1"/>
        <v>Gastos_Gerais</v>
      </c>
      <c r="S458" s="331" t="str">
        <f>IF(D458="","",IF(OR(D458=Plano!$A$1,D458=Plano!$B$1),"entrada","saída"))</f>
        <v>saída</v>
      </c>
      <c r="T458" s="332" t="s">
        <v>114</v>
      </c>
      <c r="U458" s="332" t="s">
        <v>114</v>
      </c>
      <c r="V458" s="333"/>
    </row>
    <row r="459" spans="1:22" ht="42" customHeight="1" x14ac:dyDescent="0.2">
      <c r="A459" s="277">
        <f>IF(B459="","",COUNT('Diário 5º PA'!$A$5:$A$2634)+ROW()-4)</f>
        <v>1766</v>
      </c>
      <c r="B459" s="278">
        <v>44321</v>
      </c>
      <c r="C459" s="259">
        <v>44256</v>
      </c>
      <c r="D459" s="252" t="s">
        <v>99</v>
      </c>
      <c r="E459" s="252" t="s">
        <v>226</v>
      </c>
      <c r="F459" s="257">
        <v>45.36</v>
      </c>
      <c r="G459" s="252" t="s">
        <v>4447</v>
      </c>
      <c r="H459" s="252" t="s">
        <v>128</v>
      </c>
      <c r="I459" s="252" t="s">
        <v>465</v>
      </c>
      <c r="J459" s="250" t="s">
        <v>114</v>
      </c>
      <c r="K459" s="250" t="s">
        <v>466</v>
      </c>
      <c r="L459" s="250" t="s">
        <v>467</v>
      </c>
      <c r="M459" s="277">
        <v>2538</v>
      </c>
      <c r="N459" s="278">
        <v>44321</v>
      </c>
      <c r="O459" s="329" t="s">
        <v>67</v>
      </c>
      <c r="P459" s="330">
        <f t="shared" ref="P459:Q459" si="455">IF(B459=0,0,IF(YEAR(B459)=$Q$1,MONTH(B459)-$P$1+1,(YEAR(B459)-$Q$1)*12-$P$1+1+MONTH(B459)))</f>
        <v>5</v>
      </c>
      <c r="Q459" s="330">
        <f t="shared" si="455"/>
        <v>3</v>
      </c>
      <c r="R459" s="331" t="str">
        <f t="shared" si="1"/>
        <v>Gastos_Gerais</v>
      </c>
      <c r="S459" s="331" t="str">
        <f>IF(D459="","",IF(OR(D459=Plano!$A$1,D459=Plano!$B$1),"entrada","saída"))</f>
        <v>saída</v>
      </c>
      <c r="T459" s="332" t="s">
        <v>114</v>
      </c>
      <c r="U459" s="332" t="s">
        <v>114</v>
      </c>
      <c r="V459" s="333"/>
    </row>
    <row r="460" spans="1:22" ht="46.5" customHeight="1" x14ac:dyDescent="0.2">
      <c r="A460" s="277">
        <f>IF(B460="","",COUNT('Diário 5º PA'!$A$5:$A$2634)+ROW()-4)</f>
        <v>1767</v>
      </c>
      <c r="B460" s="278">
        <v>44321</v>
      </c>
      <c r="C460" s="259">
        <v>44256</v>
      </c>
      <c r="D460" s="252" t="s">
        <v>99</v>
      </c>
      <c r="E460" s="252" t="s">
        <v>226</v>
      </c>
      <c r="F460" s="257">
        <v>26.08</v>
      </c>
      <c r="G460" s="252" t="s">
        <v>4448</v>
      </c>
      <c r="H460" s="252" t="s">
        <v>128</v>
      </c>
      <c r="I460" s="252" t="s">
        <v>465</v>
      </c>
      <c r="J460" s="250" t="s">
        <v>114</v>
      </c>
      <c r="K460" s="250" t="s">
        <v>466</v>
      </c>
      <c r="L460" s="250" t="s">
        <v>467</v>
      </c>
      <c r="M460" s="277">
        <v>2539</v>
      </c>
      <c r="N460" s="278">
        <v>44321</v>
      </c>
      <c r="O460" s="329" t="s">
        <v>67</v>
      </c>
      <c r="P460" s="330">
        <f t="shared" ref="P460:Q460" si="456">IF(B460=0,0,IF(YEAR(B460)=$Q$1,MONTH(B460)-$P$1+1,(YEAR(B460)-$Q$1)*12-$P$1+1+MONTH(B460)))</f>
        <v>5</v>
      </c>
      <c r="Q460" s="330">
        <f t="shared" si="456"/>
        <v>3</v>
      </c>
      <c r="R460" s="331" t="str">
        <f t="shared" si="1"/>
        <v>Gastos_Gerais</v>
      </c>
      <c r="S460" s="331" t="str">
        <f>IF(D460="","",IF(OR(D460=Plano!$A$1,D460=Plano!$B$1),"entrada","saída"))</f>
        <v>saída</v>
      </c>
      <c r="T460" s="332" t="s">
        <v>114</v>
      </c>
      <c r="U460" s="332" t="s">
        <v>114</v>
      </c>
      <c r="V460" s="333"/>
    </row>
    <row r="461" spans="1:22" ht="31.5" customHeight="1" x14ac:dyDescent="0.2">
      <c r="A461" s="277">
        <f>IF(B461="","",COUNT('Diário 5º PA'!$A$5:$A$2634)+ROW()-4)</f>
        <v>1768</v>
      </c>
      <c r="B461" s="278">
        <v>44321</v>
      </c>
      <c r="C461" s="259">
        <v>44287</v>
      </c>
      <c r="D461" s="252" t="s">
        <v>99</v>
      </c>
      <c r="E461" s="252" t="s">
        <v>290</v>
      </c>
      <c r="F461" s="257">
        <v>1.32</v>
      </c>
      <c r="G461" s="252" t="s">
        <v>4449</v>
      </c>
      <c r="H461" s="252" t="s">
        <v>115</v>
      </c>
      <c r="I461" s="252" t="s">
        <v>465</v>
      </c>
      <c r="J461" s="250" t="s">
        <v>114</v>
      </c>
      <c r="K461" s="250" t="s">
        <v>466</v>
      </c>
      <c r="L461" s="250" t="s">
        <v>467</v>
      </c>
      <c r="M461" s="277">
        <v>2540</v>
      </c>
      <c r="N461" s="278">
        <v>44321</v>
      </c>
      <c r="O461" s="329" t="s">
        <v>67</v>
      </c>
      <c r="P461" s="330">
        <f t="shared" ref="P461:Q461" si="457">IF(B461=0,0,IF(YEAR(B461)=$Q$1,MONTH(B461)-$P$1+1,(YEAR(B461)-$Q$1)*12-$P$1+1+MONTH(B461)))</f>
        <v>5</v>
      </c>
      <c r="Q461" s="330">
        <f t="shared" si="457"/>
        <v>4</v>
      </c>
      <c r="R461" s="331" t="str">
        <f t="shared" si="1"/>
        <v>Gastos_Gerais</v>
      </c>
      <c r="S461" s="331" t="str">
        <f>IF(D461="","",IF(OR(D461=Plano!$A$1,D461=Plano!$B$1),"entrada","saída"))</f>
        <v>saída</v>
      </c>
      <c r="T461" s="332" t="s">
        <v>114</v>
      </c>
      <c r="U461" s="332" t="s">
        <v>114</v>
      </c>
      <c r="V461" s="333"/>
    </row>
    <row r="462" spans="1:22" ht="51.75" customHeight="1" x14ac:dyDescent="0.2">
      <c r="A462" s="277">
        <f>IF(B462="","",COUNT('Diário 5º PA'!$A$5:$A$2634)+ROW()-4)</f>
        <v>1769</v>
      </c>
      <c r="B462" s="278">
        <v>44321</v>
      </c>
      <c r="C462" s="259">
        <v>44287</v>
      </c>
      <c r="D462" s="252" t="s">
        <v>99</v>
      </c>
      <c r="E462" s="252" t="s">
        <v>266</v>
      </c>
      <c r="F462" s="258">
        <v>9.2799999999999994</v>
      </c>
      <c r="G462" s="252" t="s">
        <v>4450</v>
      </c>
      <c r="H462" s="252" t="s">
        <v>115</v>
      </c>
      <c r="I462" s="252" t="s">
        <v>465</v>
      </c>
      <c r="J462" s="250" t="s">
        <v>114</v>
      </c>
      <c r="K462" s="250" t="s">
        <v>466</v>
      </c>
      <c r="L462" s="250" t="s">
        <v>467</v>
      </c>
      <c r="M462" s="277">
        <v>2541</v>
      </c>
      <c r="N462" s="278">
        <v>44321</v>
      </c>
      <c r="O462" s="329" t="s">
        <v>67</v>
      </c>
      <c r="P462" s="330">
        <f t="shared" ref="P462:Q462" si="458">IF(B462=0,0,IF(YEAR(B462)=$Q$1,MONTH(B462)-$P$1+1,(YEAR(B462)-$Q$1)*12-$P$1+1+MONTH(B462)))</f>
        <v>5</v>
      </c>
      <c r="Q462" s="330">
        <f t="shared" si="458"/>
        <v>4</v>
      </c>
      <c r="R462" s="331" t="str">
        <f t="shared" si="1"/>
        <v>Gastos_Gerais</v>
      </c>
      <c r="S462" s="331" t="str">
        <f>IF(D462="","",IF(OR(D462=Plano!$A$1,D462=Plano!$B$1),"entrada","saída"))</f>
        <v>saída</v>
      </c>
      <c r="T462" s="332" t="s">
        <v>114</v>
      </c>
      <c r="U462" s="332" t="s">
        <v>114</v>
      </c>
      <c r="V462" s="333"/>
    </row>
    <row r="463" spans="1:22" ht="48" customHeight="1" x14ac:dyDescent="0.2">
      <c r="A463" s="277">
        <f>IF(B463="","",COUNT('Diário 5º PA'!$A$5:$A$2634)+ROW()-4)</f>
        <v>1770</v>
      </c>
      <c r="B463" s="278">
        <v>44321</v>
      </c>
      <c r="C463" s="259">
        <v>44287</v>
      </c>
      <c r="D463" s="252" t="s">
        <v>88</v>
      </c>
      <c r="E463" s="252" t="s">
        <v>183</v>
      </c>
      <c r="F463" s="257">
        <v>3.25</v>
      </c>
      <c r="G463" s="252" t="s">
        <v>4451</v>
      </c>
      <c r="H463" s="252" t="s">
        <v>114</v>
      </c>
      <c r="I463" s="252" t="s">
        <v>465</v>
      </c>
      <c r="J463" s="250" t="s">
        <v>114</v>
      </c>
      <c r="K463" s="250" t="s">
        <v>466</v>
      </c>
      <c r="L463" s="250" t="s">
        <v>467</v>
      </c>
      <c r="M463" s="277">
        <v>2542</v>
      </c>
      <c r="N463" s="278">
        <v>44321</v>
      </c>
      <c r="O463" s="329" t="s">
        <v>67</v>
      </c>
      <c r="P463" s="330">
        <f t="shared" ref="P463:Q463" si="459">IF(B463=0,0,IF(YEAR(B463)=$Q$1,MONTH(B463)-$P$1+1,(YEAR(B463)-$Q$1)*12-$P$1+1+MONTH(B463)))</f>
        <v>5</v>
      </c>
      <c r="Q463" s="330">
        <f t="shared" si="459"/>
        <v>4</v>
      </c>
      <c r="R463" s="331" t="str">
        <f t="shared" si="1"/>
        <v>Gastos_com_Pessoal</v>
      </c>
      <c r="S463" s="331" t="str">
        <f>IF(D463="","",IF(OR(D463=Plano!$A$1,D463=Plano!$B$1),"entrada","saída"))</f>
        <v>saída</v>
      </c>
      <c r="T463" s="332" t="s">
        <v>114</v>
      </c>
      <c r="U463" s="332" t="s">
        <v>114</v>
      </c>
      <c r="V463" s="333"/>
    </row>
    <row r="464" spans="1:22" ht="47.25" customHeight="1" x14ac:dyDescent="0.2">
      <c r="A464" s="277">
        <f>IF(B464="","",COUNT('Diário 5º PA'!$A$5:$A$2634)+ROW()-4)</f>
        <v>1771</v>
      </c>
      <c r="B464" s="278">
        <v>44321</v>
      </c>
      <c r="C464" s="259">
        <v>44287</v>
      </c>
      <c r="D464" s="252" t="s">
        <v>88</v>
      </c>
      <c r="E464" s="252" t="s">
        <v>183</v>
      </c>
      <c r="F464" s="257">
        <v>5.67</v>
      </c>
      <c r="G464" s="252" t="s">
        <v>4452</v>
      </c>
      <c r="H464" s="252" t="s">
        <v>114</v>
      </c>
      <c r="I464" s="252" t="s">
        <v>465</v>
      </c>
      <c r="J464" s="250" t="s">
        <v>114</v>
      </c>
      <c r="K464" s="250" t="s">
        <v>466</v>
      </c>
      <c r="L464" s="250" t="s">
        <v>467</v>
      </c>
      <c r="M464" s="277">
        <v>2543</v>
      </c>
      <c r="N464" s="278">
        <v>44321</v>
      </c>
      <c r="O464" s="329" t="s">
        <v>67</v>
      </c>
      <c r="P464" s="330">
        <f t="shared" ref="P464:Q464" si="460">IF(B464=0,0,IF(YEAR(B464)=$Q$1,MONTH(B464)-$P$1+1,(YEAR(B464)-$Q$1)*12-$P$1+1+MONTH(B464)))</f>
        <v>5</v>
      </c>
      <c r="Q464" s="330">
        <f t="shared" si="460"/>
        <v>4</v>
      </c>
      <c r="R464" s="331" t="str">
        <f t="shared" si="1"/>
        <v>Gastos_com_Pessoal</v>
      </c>
      <c r="S464" s="331" t="str">
        <f>IF(D464="","",IF(OR(D464=Plano!$A$1,D464=Plano!$B$1),"entrada","saída"))</f>
        <v>saída</v>
      </c>
      <c r="T464" s="332" t="s">
        <v>114</v>
      </c>
      <c r="U464" s="332" t="s">
        <v>114</v>
      </c>
      <c r="V464" s="333"/>
    </row>
    <row r="465" spans="1:22" ht="45" customHeight="1" x14ac:dyDescent="0.2">
      <c r="A465" s="277">
        <f>IF(B465="","",COUNT('Diário 5º PA'!$A$5:$A$2634)+ROW()-4)</f>
        <v>1772</v>
      </c>
      <c r="B465" s="278">
        <v>44321</v>
      </c>
      <c r="C465" s="259">
        <v>44256</v>
      </c>
      <c r="D465" s="252" t="s">
        <v>88</v>
      </c>
      <c r="E465" s="255" t="s">
        <v>90</v>
      </c>
      <c r="F465" s="257">
        <v>5.37</v>
      </c>
      <c r="G465" s="252" t="s">
        <v>4453</v>
      </c>
      <c r="H465" s="252" t="s">
        <v>114</v>
      </c>
      <c r="I465" s="252" t="s">
        <v>465</v>
      </c>
      <c r="J465" s="250" t="s">
        <v>114</v>
      </c>
      <c r="K465" s="250" t="s">
        <v>466</v>
      </c>
      <c r="L465" s="250" t="s">
        <v>467</v>
      </c>
      <c r="M465" s="277">
        <v>2544</v>
      </c>
      <c r="N465" s="278">
        <v>44321</v>
      </c>
      <c r="O465" s="329" t="s">
        <v>67</v>
      </c>
      <c r="P465" s="330">
        <f t="shared" ref="P465:Q465" si="461">IF(B465=0,0,IF(YEAR(B465)=$Q$1,MONTH(B465)-$P$1+1,(YEAR(B465)-$Q$1)*12-$P$1+1+MONTH(B465)))</f>
        <v>5</v>
      </c>
      <c r="Q465" s="330">
        <f t="shared" si="461"/>
        <v>3</v>
      </c>
      <c r="R465" s="331" t="str">
        <f t="shared" si="1"/>
        <v>Gastos_com_Pessoal</v>
      </c>
      <c r="S465" s="331" t="str">
        <f>IF(D465="","",IF(OR(D465=Plano!$A$1,D465=Plano!$B$1),"entrada","saída"))</f>
        <v>saída</v>
      </c>
      <c r="T465" s="332" t="s">
        <v>114</v>
      </c>
      <c r="U465" s="332" t="s">
        <v>114</v>
      </c>
      <c r="V465" s="333"/>
    </row>
    <row r="466" spans="1:22" ht="50.25" customHeight="1" x14ac:dyDescent="0.2">
      <c r="A466" s="277">
        <f>IF(B466="","",COUNT('Diário 5º PA'!$A$5:$A$2634)+ROW()-4)</f>
        <v>1773</v>
      </c>
      <c r="B466" s="278">
        <v>44321</v>
      </c>
      <c r="C466" s="259">
        <v>44317</v>
      </c>
      <c r="D466" s="252" t="s">
        <v>88</v>
      </c>
      <c r="E466" s="255" t="s">
        <v>196</v>
      </c>
      <c r="F466" s="257">
        <v>85.85</v>
      </c>
      <c r="G466" s="252" t="s">
        <v>4454</v>
      </c>
      <c r="H466" s="252" t="s">
        <v>114</v>
      </c>
      <c r="I466" s="252" t="s">
        <v>465</v>
      </c>
      <c r="J466" s="250" t="s">
        <v>114</v>
      </c>
      <c r="K466" s="250" t="s">
        <v>466</v>
      </c>
      <c r="L466" s="250" t="s">
        <v>467</v>
      </c>
      <c r="M466" s="277">
        <v>2545</v>
      </c>
      <c r="N466" s="278">
        <v>44321</v>
      </c>
      <c r="O466" s="329" t="s">
        <v>67</v>
      </c>
      <c r="P466" s="330">
        <f t="shared" ref="P466:Q466" si="462">IF(B466=0,0,IF(YEAR(B466)=$Q$1,MONTH(B466)-$P$1+1,(YEAR(B466)-$Q$1)*12-$P$1+1+MONTH(B466)))</f>
        <v>5</v>
      </c>
      <c r="Q466" s="330">
        <f t="shared" si="462"/>
        <v>5</v>
      </c>
      <c r="R466" s="331" t="str">
        <f t="shared" si="1"/>
        <v>Gastos_com_Pessoal</v>
      </c>
      <c r="S466" s="331" t="str">
        <f>IF(D466="","",IF(OR(D466=Plano!$A$1,D466=Plano!$B$1),"entrada","saída"))</f>
        <v>saída</v>
      </c>
      <c r="T466" s="332" t="s">
        <v>114</v>
      </c>
      <c r="U466" s="332" t="s">
        <v>114</v>
      </c>
      <c r="V466" s="333"/>
    </row>
    <row r="467" spans="1:22" ht="39" customHeight="1" x14ac:dyDescent="0.2">
      <c r="A467" s="277">
        <f>IF(B467="","",COUNT('Diário 5º PA'!$A$5:$A$2634)+ROW()-4)</f>
        <v>1774</v>
      </c>
      <c r="B467" s="278">
        <v>44321</v>
      </c>
      <c r="C467" s="256">
        <v>44287</v>
      </c>
      <c r="D467" s="255" t="s">
        <v>99</v>
      </c>
      <c r="E467" s="255" t="s">
        <v>330</v>
      </c>
      <c r="F467" s="258">
        <v>19905.97</v>
      </c>
      <c r="G467" s="255" t="s">
        <v>4455</v>
      </c>
      <c r="H467" s="255" t="s">
        <v>129</v>
      </c>
      <c r="I467" s="252" t="s">
        <v>558</v>
      </c>
      <c r="J467" s="252" t="s">
        <v>559</v>
      </c>
      <c r="K467" s="255" t="s">
        <v>560</v>
      </c>
      <c r="L467" s="250" t="s">
        <v>114</v>
      </c>
      <c r="M467" s="277" t="s">
        <v>114</v>
      </c>
      <c r="N467" s="278">
        <v>44321</v>
      </c>
      <c r="O467" s="329" t="s">
        <v>67</v>
      </c>
      <c r="P467" s="330">
        <f t="shared" ref="P467:Q467" si="463">IF(B467=0,0,IF(YEAR(B467)=$Q$1,MONTH(B467)-$P$1+1,(YEAR(B467)-$Q$1)*12-$P$1+1+MONTH(B467)))</f>
        <v>5</v>
      </c>
      <c r="Q467" s="330">
        <f t="shared" si="463"/>
        <v>4</v>
      </c>
      <c r="R467" s="331" t="str">
        <f t="shared" si="1"/>
        <v>Gastos_Gerais</v>
      </c>
      <c r="S467" s="331" t="str">
        <f>IF(D467="","",IF(OR(D467=Plano!$A$1,D467=Plano!$B$1),"entrada","saída"))</f>
        <v>saída</v>
      </c>
      <c r="T467" s="332" t="s">
        <v>114</v>
      </c>
      <c r="U467" s="332" t="s">
        <v>114</v>
      </c>
      <c r="V467" s="333"/>
    </row>
    <row r="468" spans="1:22" ht="171.75" customHeight="1" x14ac:dyDescent="0.2">
      <c r="A468" s="277">
        <f>IF(B468="","",COUNT('Diário 5º PA'!$A$5:$A$2634)+ROW()-4)</f>
        <v>1775</v>
      </c>
      <c r="B468" s="278">
        <v>44321</v>
      </c>
      <c r="C468" s="259">
        <v>44287</v>
      </c>
      <c r="D468" s="252" t="s">
        <v>99</v>
      </c>
      <c r="E468" s="252" t="s">
        <v>336</v>
      </c>
      <c r="F468" s="257">
        <v>1344</v>
      </c>
      <c r="G468" s="252" t="s">
        <v>4456</v>
      </c>
      <c r="H468" s="252" t="s">
        <v>117</v>
      </c>
      <c r="I468" s="252" t="s">
        <v>1776</v>
      </c>
      <c r="J468" s="250" t="s">
        <v>1777</v>
      </c>
      <c r="K468" s="255" t="s">
        <v>991</v>
      </c>
      <c r="L468" s="250" t="s">
        <v>1029</v>
      </c>
      <c r="M468" s="277">
        <v>1142</v>
      </c>
      <c r="N468" s="278">
        <v>44319</v>
      </c>
      <c r="O468" s="329" t="s">
        <v>67</v>
      </c>
      <c r="P468" s="330">
        <f t="shared" ref="P468:Q468" si="464">IF(B468=0,0,IF(YEAR(B468)=$Q$1,MONTH(B468)-$P$1+1,(YEAR(B468)-$Q$1)*12-$P$1+1+MONTH(B468)))</f>
        <v>5</v>
      </c>
      <c r="Q468" s="330">
        <f t="shared" si="464"/>
        <v>4</v>
      </c>
      <c r="R468" s="331" t="str">
        <f t="shared" si="1"/>
        <v>Gastos_Gerais</v>
      </c>
      <c r="S468" s="331" t="str">
        <f>IF(D468="","",IF(OR(D468=Plano!$A$1,D468=Plano!$B$1),"entrada","saída"))</f>
        <v>saída</v>
      </c>
      <c r="T468" s="332" t="s">
        <v>1059</v>
      </c>
      <c r="U468" s="332">
        <v>1405</v>
      </c>
      <c r="V468" s="333"/>
    </row>
    <row r="469" spans="1:22" ht="111.75" customHeight="1" x14ac:dyDescent="0.2">
      <c r="A469" s="277">
        <f>IF(B469="","",COUNT('Diário 5º PA'!$A$5:$A$2634)+ROW()-4)</f>
        <v>1776</v>
      </c>
      <c r="B469" s="278">
        <v>44321</v>
      </c>
      <c r="C469" s="256">
        <v>44287</v>
      </c>
      <c r="D469" s="255" t="s">
        <v>99</v>
      </c>
      <c r="E469" s="255" t="s">
        <v>254</v>
      </c>
      <c r="F469" s="258">
        <v>250</v>
      </c>
      <c r="G469" s="255" t="s">
        <v>651</v>
      </c>
      <c r="H469" s="255" t="s">
        <v>115</v>
      </c>
      <c r="I469" s="250" t="s">
        <v>1135</v>
      </c>
      <c r="J469" s="252" t="s">
        <v>652</v>
      </c>
      <c r="K469" s="255" t="s">
        <v>991</v>
      </c>
      <c r="L469" s="250" t="s">
        <v>1177</v>
      </c>
      <c r="M469" s="277" t="s">
        <v>114</v>
      </c>
      <c r="N469" s="278">
        <v>44319</v>
      </c>
      <c r="O469" s="329" t="s">
        <v>67</v>
      </c>
      <c r="P469" s="330">
        <f t="shared" ref="P469:Q469" si="465">IF(B469=0,0,IF(YEAR(B469)=$Q$1,MONTH(B469)-$P$1+1,(YEAR(B469)-$Q$1)*12-$P$1+1+MONTH(B469)))</f>
        <v>5</v>
      </c>
      <c r="Q469" s="330">
        <f t="shared" si="465"/>
        <v>4</v>
      </c>
      <c r="R469" s="331" t="str">
        <f t="shared" si="1"/>
        <v>Gastos_Gerais</v>
      </c>
      <c r="S469" s="331" t="str">
        <f>IF(D469="","",IF(OR(D469=Plano!$A$1,D469=Plano!$B$1),"entrada","saída"))</f>
        <v>saída</v>
      </c>
      <c r="T469" s="332" t="s">
        <v>1059</v>
      </c>
      <c r="U469" s="332">
        <v>1139</v>
      </c>
      <c r="V469" s="333"/>
    </row>
    <row r="470" spans="1:22" ht="121.5" customHeight="1" x14ac:dyDescent="0.2">
      <c r="A470" s="277">
        <f>IF(B470="","",COUNT('Diário 5º PA'!$A$5:$A$2634)+ROW()-4)</f>
        <v>1777</v>
      </c>
      <c r="B470" s="278">
        <v>44321</v>
      </c>
      <c r="C470" s="256">
        <v>44287</v>
      </c>
      <c r="D470" s="255" t="s">
        <v>99</v>
      </c>
      <c r="E470" s="255" t="s">
        <v>254</v>
      </c>
      <c r="F470" s="258">
        <v>750</v>
      </c>
      <c r="G470" s="255" t="s">
        <v>651</v>
      </c>
      <c r="H470" s="255" t="s">
        <v>115</v>
      </c>
      <c r="I470" s="250" t="s">
        <v>1135</v>
      </c>
      <c r="J470" s="252" t="s">
        <v>652</v>
      </c>
      <c r="K470" s="255" t="s">
        <v>991</v>
      </c>
      <c r="L470" s="250" t="s">
        <v>1177</v>
      </c>
      <c r="M470" s="277" t="s">
        <v>114</v>
      </c>
      <c r="N470" s="278">
        <v>44319</v>
      </c>
      <c r="O470" s="329" t="s">
        <v>67</v>
      </c>
      <c r="P470" s="330">
        <f t="shared" ref="P470:Q470" si="466">IF(B470=0,0,IF(YEAR(B470)=$Q$1,MONTH(B470)-$P$1+1,(YEAR(B470)-$Q$1)*12-$P$1+1+MONTH(B470)))</f>
        <v>5</v>
      </c>
      <c r="Q470" s="330">
        <f t="shared" si="466"/>
        <v>4</v>
      </c>
      <c r="R470" s="331" t="str">
        <f t="shared" si="1"/>
        <v>Gastos_Gerais</v>
      </c>
      <c r="S470" s="331" t="str">
        <f>IF(D470="","",IF(OR(D470=Plano!$A$1,D470=Plano!$B$1),"entrada","saída"))</f>
        <v>saída</v>
      </c>
      <c r="T470" s="332" t="s">
        <v>1059</v>
      </c>
      <c r="U470" s="332">
        <v>1139</v>
      </c>
      <c r="V470" s="333"/>
    </row>
    <row r="471" spans="1:22" ht="111.75" customHeight="1" x14ac:dyDescent="0.2">
      <c r="A471" s="277">
        <f>IF(B471="","",COUNT('Diário 5º PA'!$A$5:$A$2634)+ROW()-4)</f>
        <v>1778</v>
      </c>
      <c r="B471" s="278">
        <v>44321</v>
      </c>
      <c r="C471" s="256">
        <v>44287</v>
      </c>
      <c r="D471" s="255" t="s">
        <v>99</v>
      </c>
      <c r="E471" s="255" t="s">
        <v>262</v>
      </c>
      <c r="F471" s="257">
        <v>3429.65</v>
      </c>
      <c r="G471" s="252" t="s">
        <v>4457</v>
      </c>
      <c r="H471" s="252" t="s">
        <v>115</v>
      </c>
      <c r="I471" s="252" t="s">
        <v>1078</v>
      </c>
      <c r="J471" s="250" t="s">
        <v>627</v>
      </c>
      <c r="K471" s="255" t="s">
        <v>991</v>
      </c>
      <c r="L471" s="250" t="s">
        <v>992</v>
      </c>
      <c r="M471" s="277" t="s">
        <v>2002</v>
      </c>
      <c r="N471" s="278">
        <v>44320</v>
      </c>
      <c r="O471" s="329" t="s">
        <v>67</v>
      </c>
      <c r="P471" s="330">
        <f t="shared" ref="P471:Q471" si="467">IF(B471=0,0,IF(YEAR(B471)=$Q$1,MONTH(B471)-$P$1+1,(YEAR(B471)-$Q$1)*12-$P$1+1+MONTH(B471)))</f>
        <v>5</v>
      </c>
      <c r="Q471" s="330">
        <f t="shared" si="467"/>
        <v>4</v>
      </c>
      <c r="R471" s="331" t="str">
        <f t="shared" si="1"/>
        <v>Gastos_Gerais</v>
      </c>
      <c r="S471" s="331" t="str">
        <f>IF(D471="","",IF(OR(D471=Plano!$A$1,D471=Plano!$B$1),"entrada","saída"))</f>
        <v>saída</v>
      </c>
      <c r="T471" s="332" t="s">
        <v>1059</v>
      </c>
      <c r="U471" s="332">
        <v>1458</v>
      </c>
      <c r="V471" s="333"/>
    </row>
    <row r="472" spans="1:22" ht="176.25" customHeight="1" x14ac:dyDescent="0.2">
      <c r="A472" s="277">
        <f>IF(B472="","",COUNT('Diário 5º PA'!$A$5:$A$2634)+ROW()-4)</f>
        <v>1779</v>
      </c>
      <c r="B472" s="278">
        <v>44321</v>
      </c>
      <c r="C472" s="259">
        <v>44317</v>
      </c>
      <c r="D472" s="252" t="s">
        <v>99</v>
      </c>
      <c r="E472" s="252" t="s">
        <v>262</v>
      </c>
      <c r="F472" s="257">
        <v>3920</v>
      </c>
      <c r="G472" s="252" t="s">
        <v>468</v>
      </c>
      <c r="H472" s="252" t="s">
        <v>124</v>
      </c>
      <c r="I472" s="252" t="s">
        <v>1295</v>
      </c>
      <c r="J472" s="250" t="s">
        <v>470</v>
      </c>
      <c r="K472" s="255" t="s">
        <v>991</v>
      </c>
      <c r="L472" s="250" t="s">
        <v>1016</v>
      </c>
      <c r="M472" s="278" t="s">
        <v>1294</v>
      </c>
      <c r="N472" s="278">
        <v>44321</v>
      </c>
      <c r="O472" s="329" t="s">
        <v>67</v>
      </c>
      <c r="P472" s="330">
        <f t="shared" ref="P472:Q472" si="468">IF(B472=0,0,IF(YEAR(B472)=$Q$1,MONTH(B472)-$P$1+1,(YEAR(B472)-$Q$1)*12-$P$1+1+MONTH(B472)))</f>
        <v>5</v>
      </c>
      <c r="Q472" s="330">
        <f t="shared" si="468"/>
        <v>5</v>
      </c>
      <c r="R472" s="331" t="str">
        <f t="shared" si="1"/>
        <v>Gastos_Gerais</v>
      </c>
      <c r="S472" s="331" t="str">
        <f>IF(D472="","",IF(OR(D472=Plano!$A$1,D472=Plano!$B$1),"entrada","saída"))</f>
        <v>saída</v>
      </c>
      <c r="T472" s="332" t="s">
        <v>1059</v>
      </c>
      <c r="U472" s="332">
        <v>1269</v>
      </c>
      <c r="V472" s="333"/>
    </row>
    <row r="473" spans="1:22" ht="118.5" customHeight="1" x14ac:dyDescent="0.2">
      <c r="A473" s="277">
        <f>IF(B473="","",COUNT('Diário 5º PA'!$A$5:$A$2634)+ROW()-4)</f>
        <v>1780</v>
      </c>
      <c r="B473" s="278">
        <v>44321</v>
      </c>
      <c r="C473" s="259">
        <v>44317</v>
      </c>
      <c r="D473" s="252" t="s">
        <v>99</v>
      </c>
      <c r="E473" s="252" t="s">
        <v>376</v>
      </c>
      <c r="F473" s="257">
        <v>2000</v>
      </c>
      <c r="G473" s="252" t="s">
        <v>477</v>
      </c>
      <c r="H473" s="252" t="s">
        <v>124</v>
      </c>
      <c r="I473" s="252" t="s">
        <v>1293</v>
      </c>
      <c r="J473" s="250" t="s">
        <v>479</v>
      </c>
      <c r="K473" s="255" t="s">
        <v>991</v>
      </c>
      <c r="L473" s="250" t="s">
        <v>1016</v>
      </c>
      <c r="M473" s="277" t="s">
        <v>1540</v>
      </c>
      <c r="N473" s="278">
        <v>44321</v>
      </c>
      <c r="O473" s="329" t="s">
        <v>67</v>
      </c>
      <c r="P473" s="330">
        <f t="shared" ref="P473:Q473" si="469">IF(B473=0,0,IF(YEAR(B473)=$Q$1,MONTH(B473)-$P$1+1,(YEAR(B473)-$Q$1)*12-$P$1+1+MONTH(B473)))</f>
        <v>5</v>
      </c>
      <c r="Q473" s="330">
        <f t="shared" si="469"/>
        <v>5</v>
      </c>
      <c r="R473" s="331" t="str">
        <f t="shared" si="1"/>
        <v>Gastos_Gerais</v>
      </c>
      <c r="S473" s="331" t="str">
        <f>IF(D473="","",IF(OR(D473=Plano!$A$1,D473=Plano!$B$1),"entrada","saída"))</f>
        <v>saída</v>
      </c>
      <c r="T473" s="332" t="s">
        <v>1059</v>
      </c>
      <c r="U473" s="332">
        <v>1268</v>
      </c>
      <c r="V473" s="333"/>
    </row>
    <row r="474" spans="1:22" ht="54" customHeight="1" x14ac:dyDescent="0.2">
      <c r="A474" s="277">
        <f>IF(B474="","",COUNT('Diário 5º PA'!$A$5:$A$2634)+ROW()-4)</f>
        <v>1781</v>
      </c>
      <c r="B474" s="278">
        <v>44321</v>
      </c>
      <c r="C474" s="249">
        <v>44317</v>
      </c>
      <c r="D474" s="255" t="s">
        <v>99</v>
      </c>
      <c r="E474" s="255" t="s">
        <v>272</v>
      </c>
      <c r="F474" s="258">
        <v>10.45</v>
      </c>
      <c r="G474" s="255" t="s">
        <v>4458</v>
      </c>
      <c r="H474" s="252" t="s">
        <v>117</v>
      </c>
      <c r="I474" s="250" t="s">
        <v>949</v>
      </c>
      <c r="J474" s="255" t="s">
        <v>950</v>
      </c>
      <c r="K474" s="255" t="s">
        <v>951</v>
      </c>
      <c r="L474" s="250" t="s">
        <v>947</v>
      </c>
      <c r="M474" s="336" t="s">
        <v>114</v>
      </c>
      <c r="N474" s="278">
        <v>44321</v>
      </c>
      <c r="O474" s="329" t="s">
        <v>67</v>
      </c>
      <c r="P474" s="330">
        <f t="shared" ref="P474:Q474" si="470">IF(B474=0,0,IF(YEAR(B474)=$Q$1,MONTH(B474)-$P$1+1,(YEAR(B474)-$Q$1)*12-$P$1+1+MONTH(B474)))</f>
        <v>5</v>
      </c>
      <c r="Q474" s="330">
        <f t="shared" si="470"/>
        <v>5</v>
      </c>
      <c r="R474" s="331" t="str">
        <f t="shared" si="1"/>
        <v>Gastos_Gerais</v>
      </c>
      <c r="S474" s="331" t="str">
        <f>IF(D474="","",IF(OR(D474=Plano!$A$1,D474=Plano!$B$1),"entrada","saída"))</f>
        <v>saída</v>
      </c>
      <c r="T474" s="332" t="s">
        <v>114</v>
      </c>
      <c r="U474" s="332" t="s">
        <v>114</v>
      </c>
      <c r="V474" s="333"/>
    </row>
    <row r="475" spans="1:22" ht="42.75" customHeight="1" x14ac:dyDescent="0.2">
      <c r="A475" s="277">
        <f>IF(B475="","",COUNT('Diário 5º PA'!$A$5:$A$2634)+ROW()-4)</f>
        <v>1782</v>
      </c>
      <c r="B475" s="278">
        <v>44321</v>
      </c>
      <c r="C475" s="249">
        <v>44317</v>
      </c>
      <c r="D475" s="255" t="s">
        <v>99</v>
      </c>
      <c r="E475" s="255" t="s">
        <v>272</v>
      </c>
      <c r="F475" s="258">
        <v>10.45</v>
      </c>
      <c r="G475" s="255" t="s">
        <v>1149</v>
      </c>
      <c r="H475" s="255" t="s">
        <v>115</v>
      </c>
      <c r="I475" s="250" t="s">
        <v>949</v>
      </c>
      <c r="J475" s="255" t="s">
        <v>950</v>
      </c>
      <c r="K475" s="255" t="s">
        <v>951</v>
      </c>
      <c r="L475" s="250" t="s">
        <v>947</v>
      </c>
      <c r="M475" s="336" t="s">
        <v>114</v>
      </c>
      <c r="N475" s="278">
        <v>44321</v>
      </c>
      <c r="O475" s="329" t="s">
        <v>67</v>
      </c>
      <c r="P475" s="330">
        <f t="shared" ref="P475:Q475" si="471">IF(B475=0,0,IF(YEAR(B475)=$Q$1,MONTH(B475)-$P$1+1,(YEAR(B475)-$Q$1)*12-$P$1+1+MONTH(B475)))</f>
        <v>5</v>
      </c>
      <c r="Q475" s="330">
        <f t="shared" si="471"/>
        <v>5</v>
      </c>
      <c r="R475" s="331" t="str">
        <f t="shared" si="1"/>
        <v>Gastos_Gerais</v>
      </c>
      <c r="S475" s="331" t="str">
        <f>IF(D475="","",IF(OR(D475=Plano!$A$1,D475=Plano!$B$1),"entrada","saída"))</f>
        <v>saída</v>
      </c>
      <c r="T475" s="332" t="s">
        <v>114</v>
      </c>
      <c r="U475" s="332" t="s">
        <v>114</v>
      </c>
      <c r="V475" s="333"/>
    </row>
    <row r="476" spans="1:22" ht="51.75" customHeight="1" x14ac:dyDescent="0.2">
      <c r="A476" s="277">
        <f>IF(B476="","",COUNT('Diário 5º PA'!$A$5:$A$2634)+ROW()-4)</f>
        <v>1783</v>
      </c>
      <c r="B476" s="278">
        <v>44321</v>
      </c>
      <c r="C476" s="249">
        <v>44317</v>
      </c>
      <c r="D476" s="255" t="s">
        <v>99</v>
      </c>
      <c r="E476" s="255" t="s">
        <v>272</v>
      </c>
      <c r="F476" s="258">
        <v>10.45</v>
      </c>
      <c r="G476" s="255" t="s">
        <v>1149</v>
      </c>
      <c r="H476" s="255" t="s">
        <v>115</v>
      </c>
      <c r="I476" s="250" t="s">
        <v>949</v>
      </c>
      <c r="J476" s="255" t="s">
        <v>950</v>
      </c>
      <c r="K476" s="255" t="s">
        <v>951</v>
      </c>
      <c r="L476" s="250" t="s">
        <v>947</v>
      </c>
      <c r="M476" s="336" t="s">
        <v>114</v>
      </c>
      <c r="N476" s="278">
        <v>44321</v>
      </c>
      <c r="O476" s="329" t="s">
        <v>67</v>
      </c>
      <c r="P476" s="330">
        <f t="shared" ref="P476:Q476" si="472">IF(B476=0,0,IF(YEAR(B476)=$Q$1,MONTH(B476)-$P$1+1,(YEAR(B476)-$Q$1)*12-$P$1+1+MONTH(B476)))</f>
        <v>5</v>
      </c>
      <c r="Q476" s="330">
        <f t="shared" si="472"/>
        <v>5</v>
      </c>
      <c r="R476" s="331" t="str">
        <f t="shared" si="1"/>
        <v>Gastos_Gerais</v>
      </c>
      <c r="S476" s="331" t="str">
        <f>IF(D476="","",IF(OR(D476=Plano!$A$1,D476=Plano!$B$1),"entrada","saída"))</f>
        <v>saída</v>
      </c>
      <c r="T476" s="332" t="s">
        <v>114</v>
      </c>
      <c r="U476" s="332" t="s">
        <v>114</v>
      </c>
      <c r="V476" s="333"/>
    </row>
    <row r="477" spans="1:22" ht="49.5" customHeight="1" x14ac:dyDescent="0.2">
      <c r="A477" s="277">
        <f>IF(B477="","",COUNT('Diário 5º PA'!$A$5:$A$2634)+ROW()-4)</f>
        <v>1784</v>
      </c>
      <c r="B477" s="278">
        <v>44321</v>
      </c>
      <c r="C477" s="249">
        <v>44317</v>
      </c>
      <c r="D477" s="255" t="s">
        <v>99</v>
      </c>
      <c r="E477" s="255" t="s">
        <v>272</v>
      </c>
      <c r="F477" s="258">
        <v>10.45</v>
      </c>
      <c r="G477" s="255" t="s">
        <v>1156</v>
      </c>
      <c r="H477" s="255" t="s">
        <v>115</v>
      </c>
      <c r="I477" s="250" t="s">
        <v>949</v>
      </c>
      <c r="J477" s="255" t="s">
        <v>950</v>
      </c>
      <c r="K477" s="255" t="s">
        <v>951</v>
      </c>
      <c r="L477" s="250" t="s">
        <v>947</v>
      </c>
      <c r="M477" s="336" t="s">
        <v>114</v>
      </c>
      <c r="N477" s="278">
        <v>44321</v>
      </c>
      <c r="O477" s="329" t="s">
        <v>67</v>
      </c>
      <c r="P477" s="330">
        <f t="shared" ref="P477:Q477" si="473">IF(B477=0,0,IF(YEAR(B477)=$Q$1,MONTH(B477)-$P$1+1,(YEAR(B477)-$Q$1)*12-$P$1+1+MONTH(B477)))</f>
        <v>5</v>
      </c>
      <c r="Q477" s="330">
        <f t="shared" si="473"/>
        <v>5</v>
      </c>
      <c r="R477" s="331" t="str">
        <f t="shared" si="1"/>
        <v>Gastos_Gerais</v>
      </c>
      <c r="S477" s="331" t="str">
        <f>IF(D477="","",IF(OR(D477=Plano!$A$1,D477=Plano!$B$1),"entrada","saída"))</f>
        <v>saída</v>
      </c>
      <c r="T477" s="332" t="s">
        <v>114</v>
      </c>
      <c r="U477" s="332" t="s">
        <v>114</v>
      </c>
      <c r="V477" s="333"/>
    </row>
    <row r="478" spans="1:22" ht="55.5" customHeight="1" x14ac:dyDescent="0.2">
      <c r="A478" s="277">
        <f>IF(B478="","",COUNT('Diário 5º PA'!$A$5:$A$2634)+ROW()-4)</f>
        <v>1785</v>
      </c>
      <c r="B478" s="278">
        <v>44321</v>
      </c>
      <c r="C478" s="249">
        <v>44317</v>
      </c>
      <c r="D478" s="255" t="s">
        <v>99</v>
      </c>
      <c r="E478" s="255" t="s">
        <v>272</v>
      </c>
      <c r="F478" s="258">
        <v>10.45</v>
      </c>
      <c r="G478" s="255" t="s">
        <v>1324</v>
      </c>
      <c r="H478" s="255" t="s">
        <v>124</v>
      </c>
      <c r="I478" s="250" t="s">
        <v>949</v>
      </c>
      <c r="J478" s="255" t="s">
        <v>950</v>
      </c>
      <c r="K478" s="255" t="s">
        <v>951</v>
      </c>
      <c r="L478" s="250" t="s">
        <v>947</v>
      </c>
      <c r="M478" s="336" t="s">
        <v>114</v>
      </c>
      <c r="N478" s="278">
        <v>44321</v>
      </c>
      <c r="O478" s="329" t="s">
        <v>67</v>
      </c>
      <c r="P478" s="330">
        <f t="shared" ref="P478:Q478" si="474">IF(B478=0,0,IF(YEAR(B478)=$Q$1,MONTH(B478)-$P$1+1,(YEAR(B478)-$Q$1)*12-$P$1+1+MONTH(B478)))</f>
        <v>5</v>
      </c>
      <c r="Q478" s="330">
        <f t="shared" si="474"/>
        <v>5</v>
      </c>
      <c r="R478" s="331" t="str">
        <f t="shared" si="1"/>
        <v>Gastos_Gerais</v>
      </c>
      <c r="S478" s="331" t="str">
        <f>IF(D478="","",IF(OR(D478=Plano!$A$1,D478=Plano!$B$1),"entrada","saída"))</f>
        <v>saída</v>
      </c>
      <c r="T478" s="332" t="s">
        <v>114</v>
      </c>
      <c r="U478" s="332" t="s">
        <v>114</v>
      </c>
      <c r="V478" s="333"/>
    </row>
    <row r="479" spans="1:22" ht="53.25" customHeight="1" x14ac:dyDescent="0.2">
      <c r="A479" s="277">
        <f>IF(B479="","",COUNT('Diário 5º PA'!$A$5:$A$2634)+ROW()-4)</f>
        <v>1786</v>
      </c>
      <c r="B479" s="278">
        <v>44321</v>
      </c>
      <c r="C479" s="249">
        <v>44317</v>
      </c>
      <c r="D479" s="255" t="s">
        <v>99</v>
      </c>
      <c r="E479" s="255" t="s">
        <v>272</v>
      </c>
      <c r="F479" s="258">
        <v>10.45</v>
      </c>
      <c r="G479" s="255" t="s">
        <v>1323</v>
      </c>
      <c r="H479" s="255" t="s">
        <v>124</v>
      </c>
      <c r="I479" s="250" t="s">
        <v>949</v>
      </c>
      <c r="J479" s="255" t="s">
        <v>950</v>
      </c>
      <c r="K479" s="255" t="s">
        <v>951</v>
      </c>
      <c r="L479" s="250" t="s">
        <v>947</v>
      </c>
      <c r="M479" s="336" t="s">
        <v>114</v>
      </c>
      <c r="N479" s="278">
        <v>44321</v>
      </c>
      <c r="O479" s="329" t="s">
        <v>67</v>
      </c>
      <c r="P479" s="330">
        <f t="shared" ref="P479:Q479" si="475">IF(B479=0,0,IF(YEAR(B479)=$Q$1,MONTH(B479)-$P$1+1,(YEAR(B479)-$Q$1)*12-$P$1+1+MONTH(B479)))</f>
        <v>5</v>
      </c>
      <c r="Q479" s="330">
        <f t="shared" si="475"/>
        <v>5</v>
      </c>
      <c r="R479" s="331" t="str">
        <f t="shared" si="1"/>
        <v>Gastos_Gerais</v>
      </c>
      <c r="S479" s="331" t="str">
        <f>IF(D479="","",IF(OR(D479=Plano!$A$1,D479=Plano!$B$1),"entrada","saída"))</f>
        <v>saída</v>
      </c>
      <c r="T479" s="332" t="s">
        <v>114</v>
      </c>
      <c r="U479" s="332" t="s">
        <v>114</v>
      </c>
      <c r="V479" s="333"/>
    </row>
    <row r="480" spans="1:22" ht="48" customHeight="1" x14ac:dyDescent="0.2">
      <c r="A480" s="277">
        <f>IF(B480="","",COUNT('Diário 5º PA'!$A$5:$A$2634)+ROW()-4)</f>
        <v>1787</v>
      </c>
      <c r="B480" s="278">
        <v>44321</v>
      </c>
      <c r="C480" s="249">
        <v>44317</v>
      </c>
      <c r="D480" s="255" t="s">
        <v>99</v>
      </c>
      <c r="E480" s="255" t="s">
        <v>272</v>
      </c>
      <c r="F480" s="258">
        <v>153</v>
      </c>
      <c r="G480" s="255" t="s">
        <v>1157</v>
      </c>
      <c r="H480" s="255" t="s">
        <v>115</v>
      </c>
      <c r="I480" s="250" t="s">
        <v>949</v>
      </c>
      <c r="J480" s="255" t="s">
        <v>950</v>
      </c>
      <c r="K480" s="255" t="s">
        <v>951</v>
      </c>
      <c r="L480" s="250" t="s">
        <v>947</v>
      </c>
      <c r="M480" s="336" t="s">
        <v>114</v>
      </c>
      <c r="N480" s="278">
        <v>44321</v>
      </c>
      <c r="O480" s="329" t="s">
        <v>67</v>
      </c>
      <c r="P480" s="330">
        <f t="shared" ref="P480:Q480" si="476">IF(B480=0,0,IF(YEAR(B480)=$Q$1,MONTH(B480)-$P$1+1,(YEAR(B480)-$Q$1)*12-$P$1+1+MONTH(B480)))</f>
        <v>5</v>
      </c>
      <c r="Q480" s="330">
        <f t="shared" si="476"/>
        <v>5</v>
      </c>
      <c r="R480" s="331" t="str">
        <f t="shared" si="1"/>
        <v>Gastos_Gerais</v>
      </c>
      <c r="S480" s="331" t="str">
        <f>IF(D480="","",IF(OR(D480=Plano!$A$1,D480=Plano!$B$1),"entrada","saída"))</f>
        <v>saída</v>
      </c>
      <c r="T480" s="332" t="s">
        <v>114</v>
      </c>
      <c r="U480" s="332" t="s">
        <v>114</v>
      </c>
      <c r="V480" s="333"/>
    </row>
    <row r="481" spans="1:22" ht="142.5" customHeight="1" x14ac:dyDescent="0.2">
      <c r="A481" s="277">
        <f>IF(B481="","",COUNT('Diário 5º PA'!$A$5:$A$2634)+ROW()-4)</f>
        <v>1788</v>
      </c>
      <c r="B481" s="278">
        <v>44321</v>
      </c>
      <c r="C481" s="259">
        <v>44287</v>
      </c>
      <c r="D481" s="252" t="s">
        <v>104</v>
      </c>
      <c r="E481" s="252" t="s">
        <v>104</v>
      </c>
      <c r="F481" s="257">
        <v>2300</v>
      </c>
      <c r="G481" s="252" t="s">
        <v>4388</v>
      </c>
      <c r="H481" s="252" t="s">
        <v>104</v>
      </c>
      <c r="I481" s="252" t="s">
        <v>3708</v>
      </c>
      <c r="J481" s="250" t="s">
        <v>2488</v>
      </c>
      <c r="K481" s="255" t="s">
        <v>1015</v>
      </c>
      <c r="L481" s="250" t="s">
        <v>1016</v>
      </c>
      <c r="M481" s="336">
        <v>17</v>
      </c>
      <c r="N481" s="278">
        <v>44320</v>
      </c>
      <c r="O481" s="329" t="s">
        <v>68</v>
      </c>
      <c r="P481" s="330">
        <f t="shared" ref="P481:Q481" si="477">IF(B481=0,0,IF(YEAR(B481)=$Q$1,MONTH(B481)-$P$1+1,(YEAR(B481)-$Q$1)*12-$P$1+1+MONTH(B481)))</f>
        <v>5</v>
      </c>
      <c r="Q481" s="330">
        <f t="shared" si="477"/>
        <v>4</v>
      </c>
      <c r="R481" s="331" t="str">
        <f t="shared" si="1"/>
        <v>Gastos_custeados_por_captação</v>
      </c>
      <c r="S481" s="331" t="str">
        <f>IF(D481="","",IF(OR(D481=Plano!$A$1,D481=Plano!$B$1),"entrada","saída"))</f>
        <v>saída</v>
      </c>
      <c r="T481" s="332" t="s">
        <v>1059</v>
      </c>
      <c r="U481" s="332">
        <v>1416</v>
      </c>
      <c r="V481" s="333"/>
    </row>
    <row r="482" spans="1:22" ht="132" customHeight="1" x14ac:dyDescent="0.2">
      <c r="A482" s="277">
        <f>IF(B482="","",COUNT('Diário 5º PA'!$A$5:$A$2634)+ROW()-4)</f>
        <v>1789</v>
      </c>
      <c r="B482" s="278">
        <v>44321</v>
      </c>
      <c r="C482" s="259">
        <v>44287</v>
      </c>
      <c r="D482" s="252" t="s">
        <v>104</v>
      </c>
      <c r="E482" s="252" t="s">
        <v>104</v>
      </c>
      <c r="F482" s="257">
        <v>2075.92</v>
      </c>
      <c r="G482" s="252" t="s">
        <v>4169</v>
      </c>
      <c r="H482" s="252" t="s">
        <v>104</v>
      </c>
      <c r="I482" s="252" t="s">
        <v>4170</v>
      </c>
      <c r="J482" s="250" t="s">
        <v>4171</v>
      </c>
      <c r="K482" s="255" t="s">
        <v>1015</v>
      </c>
      <c r="L482" s="250" t="s">
        <v>1029</v>
      </c>
      <c r="M482" s="336">
        <v>1137</v>
      </c>
      <c r="N482" s="278">
        <v>44319</v>
      </c>
      <c r="O482" s="329" t="s">
        <v>68</v>
      </c>
      <c r="P482" s="330">
        <f t="shared" ref="P482:Q482" si="478">IF(B482=0,0,IF(YEAR(B482)=$Q$1,MONTH(B482)-$P$1+1,(YEAR(B482)-$Q$1)*12-$P$1+1+MONTH(B482)))</f>
        <v>5</v>
      </c>
      <c r="Q482" s="330">
        <f t="shared" si="478"/>
        <v>4</v>
      </c>
      <c r="R482" s="331" t="str">
        <f t="shared" si="1"/>
        <v>Gastos_custeados_por_captação</v>
      </c>
      <c r="S482" s="331" t="str">
        <f>IF(D482="","",IF(OR(D482=Plano!$A$1,D482=Plano!$B$1),"entrada","saída"))</f>
        <v>saída</v>
      </c>
      <c r="T482" s="332" t="s">
        <v>1059</v>
      </c>
      <c r="U482" s="332">
        <v>1363</v>
      </c>
      <c r="V482" s="333"/>
    </row>
    <row r="483" spans="1:22" ht="148.5" customHeight="1" x14ac:dyDescent="0.2">
      <c r="A483" s="277">
        <f>IF(B483="","",COUNT('Diário 5º PA'!$A$5:$A$2634)+ROW()-4)</f>
        <v>1790</v>
      </c>
      <c r="B483" s="278">
        <v>44321</v>
      </c>
      <c r="C483" s="259">
        <v>44287</v>
      </c>
      <c r="D483" s="252" t="s">
        <v>104</v>
      </c>
      <c r="E483" s="252" t="s">
        <v>104</v>
      </c>
      <c r="F483" s="257">
        <v>1967.27</v>
      </c>
      <c r="G483" s="252" t="s">
        <v>4388</v>
      </c>
      <c r="H483" s="252" t="s">
        <v>104</v>
      </c>
      <c r="I483" s="252" t="s">
        <v>3743</v>
      </c>
      <c r="J483" s="250" t="s">
        <v>3744</v>
      </c>
      <c r="K483" s="255" t="s">
        <v>1015</v>
      </c>
      <c r="L483" s="250" t="s">
        <v>1029</v>
      </c>
      <c r="M483" s="336">
        <v>1141</v>
      </c>
      <c r="N483" s="278">
        <v>44319</v>
      </c>
      <c r="O483" s="329" t="s">
        <v>68</v>
      </c>
      <c r="P483" s="330">
        <f t="shared" ref="P483:Q483" si="479">IF(B483=0,0,IF(YEAR(B483)=$Q$1,MONTH(B483)-$P$1+1,(YEAR(B483)-$Q$1)*12-$P$1+1+MONTH(B483)))</f>
        <v>5</v>
      </c>
      <c r="Q483" s="330">
        <f t="shared" si="479"/>
        <v>4</v>
      </c>
      <c r="R483" s="331" t="str">
        <f t="shared" si="1"/>
        <v>Gastos_custeados_por_captação</v>
      </c>
      <c r="S483" s="331" t="str">
        <f>IF(D483="","",IF(OR(D483=Plano!$A$1,D483=Plano!$B$1),"entrada","saída"))</f>
        <v>saída</v>
      </c>
      <c r="T483" s="332" t="s">
        <v>1059</v>
      </c>
      <c r="U483" s="332">
        <v>1408</v>
      </c>
      <c r="V483" s="333"/>
    </row>
    <row r="484" spans="1:22" ht="48" customHeight="1" x14ac:dyDescent="0.2">
      <c r="A484" s="277">
        <f>IF(B484="","",COUNT('Diário 5º PA'!$A$5:$A$2634)+ROW()-4)</f>
        <v>1791</v>
      </c>
      <c r="B484" s="278">
        <v>44321</v>
      </c>
      <c r="C484" s="259">
        <v>44256</v>
      </c>
      <c r="D484" s="252" t="s">
        <v>104</v>
      </c>
      <c r="E484" s="252" t="s">
        <v>104</v>
      </c>
      <c r="F484" s="257">
        <v>596</v>
      </c>
      <c r="G484" s="252" t="s">
        <v>4459</v>
      </c>
      <c r="H484" s="252" t="s">
        <v>104</v>
      </c>
      <c r="I484" s="252" t="s">
        <v>465</v>
      </c>
      <c r="J484" s="250" t="s">
        <v>114</v>
      </c>
      <c r="K484" s="250" t="s">
        <v>466</v>
      </c>
      <c r="L484" s="250" t="s">
        <v>467</v>
      </c>
      <c r="M484" s="336">
        <v>2551</v>
      </c>
      <c r="N484" s="278">
        <v>44321</v>
      </c>
      <c r="O484" s="329" t="s">
        <v>68</v>
      </c>
      <c r="P484" s="330">
        <f t="shared" ref="P484:Q484" si="480">IF(B484=0,0,IF(YEAR(B484)=$Q$1,MONTH(B484)-$P$1+1,(YEAR(B484)-$Q$1)*12-$P$1+1+MONTH(B484)))</f>
        <v>5</v>
      </c>
      <c r="Q484" s="330">
        <f t="shared" si="480"/>
        <v>3</v>
      </c>
      <c r="R484" s="331" t="str">
        <f t="shared" si="1"/>
        <v>Gastos_custeados_por_captação</v>
      </c>
      <c r="S484" s="331" t="str">
        <f>IF(D484="","",IF(OR(D484=Plano!$A$1,D484=Plano!$B$1),"entrada","saída"))</f>
        <v>saída</v>
      </c>
      <c r="T484" s="332" t="s">
        <v>114</v>
      </c>
      <c r="U484" s="332" t="s">
        <v>114</v>
      </c>
      <c r="V484" s="333"/>
    </row>
    <row r="485" spans="1:22" ht="48" customHeight="1" x14ac:dyDescent="0.2">
      <c r="A485" s="277">
        <f>IF(B485="","",COUNT('Diário 5º PA'!$A$5:$A$2634)+ROW()-4)</f>
        <v>1792</v>
      </c>
      <c r="B485" s="278">
        <v>44321</v>
      </c>
      <c r="C485" s="259">
        <v>44256</v>
      </c>
      <c r="D485" s="252" t="s">
        <v>104</v>
      </c>
      <c r="E485" s="252" t="s">
        <v>104</v>
      </c>
      <c r="F485" s="257">
        <v>80</v>
      </c>
      <c r="G485" s="252" t="s">
        <v>4460</v>
      </c>
      <c r="H485" s="252" t="s">
        <v>104</v>
      </c>
      <c r="I485" s="252" t="s">
        <v>465</v>
      </c>
      <c r="J485" s="250" t="s">
        <v>114</v>
      </c>
      <c r="K485" s="250" t="s">
        <v>466</v>
      </c>
      <c r="L485" s="250" t="s">
        <v>467</v>
      </c>
      <c r="M485" s="336">
        <v>2552</v>
      </c>
      <c r="N485" s="278">
        <v>44321</v>
      </c>
      <c r="O485" s="329" t="s">
        <v>68</v>
      </c>
      <c r="P485" s="330">
        <f t="shared" ref="P485:Q485" si="481">IF(B485=0,0,IF(YEAR(B485)=$Q$1,MONTH(B485)-$P$1+1,(YEAR(B485)-$Q$1)*12-$P$1+1+MONTH(B485)))</f>
        <v>5</v>
      </c>
      <c r="Q485" s="330">
        <f t="shared" si="481"/>
        <v>3</v>
      </c>
      <c r="R485" s="331" t="str">
        <f t="shared" si="1"/>
        <v>Gastos_custeados_por_captação</v>
      </c>
      <c r="S485" s="331" t="str">
        <f>IF(D485="","",IF(OR(D485=Plano!$A$1,D485=Plano!$B$1),"entrada","saída"))</f>
        <v>saída</v>
      </c>
      <c r="T485" s="332" t="s">
        <v>114</v>
      </c>
      <c r="U485" s="332" t="s">
        <v>114</v>
      </c>
      <c r="V485" s="333"/>
    </row>
    <row r="486" spans="1:22" ht="48" customHeight="1" x14ac:dyDescent="0.2">
      <c r="A486" s="277">
        <f>IF(B486="","",COUNT('Diário 5º PA'!$A$5:$A$2634)+ROW()-4)</f>
        <v>1793</v>
      </c>
      <c r="B486" s="278">
        <v>44321</v>
      </c>
      <c r="C486" s="259">
        <v>44256</v>
      </c>
      <c r="D486" s="252" t="s">
        <v>104</v>
      </c>
      <c r="E486" s="252" t="s">
        <v>104</v>
      </c>
      <c r="F486" s="257">
        <v>69</v>
      </c>
      <c r="G486" s="252" t="s">
        <v>4461</v>
      </c>
      <c r="H486" s="252" t="s">
        <v>104</v>
      </c>
      <c r="I486" s="252" t="s">
        <v>465</v>
      </c>
      <c r="J486" s="250" t="s">
        <v>114</v>
      </c>
      <c r="K486" s="250" t="s">
        <v>466</v>
      </c>
      <c r="L486" s="250" t="s">
        <v>467</v>
      </c>
      <c r="M486" s="336">
        <v>2553</v>
      </c>
      <c r="N486" s="278">
        <v>44321</v>
      </c>
      <c r="O486" s="329" t="s">
        <v>68</v>
      </c>
      <c r="P486" s="330">
        <f t="shared" ref="P486:Q486" si="482">IF(B486=0,0,IF(YEAR(B486)=$Q$1,MONTH(B486)-$P$1+1,(YEAR(B486)-$Q$1)*12-$P$1+1+MONTH(B486)))</f>
        <v>5</v>
      </c>
      <c r="Q486" s="330">
        <f t="shared" si="482"/>
        <v>3</v>
      </c>
      <c r="R486" s="331" t="str">
        <f t="shared" si="1"/>
        <v>Gastos_custeados_por_captação</v>
      </c>
      <c r="S486" s="331" t="str">
        <f>IF(D486="","",IF(OR(D486=Plano!$A$1,D486=Plano!$B$1),"entrada","saída"))</f>
        <v>saída</v>
      </c>
      <c r="T486" s="332" t="s">
        <v>114</v>
      </c>
      <c r="U486" s="332" t="s">
        <v>114</v>
      </c>
      <c r="V486" s="333"/>
    </row>
    <row r="487" spans="1:22" ht="48" customHeight="1" x14ac:dyDescent="0.2">
      <c r="A487" s="277">
        <f>IF(B487="","",COUNT('Diário 5º PA'!$A$5:$A$2634)+ROW()-4)</f>
        <v>1794</v>
      </c>
      <c r="B487" s="278">
        <v>44321</v>
      </c>
      <c r="C487" s="259">
        <v>44256</v>
      </c>
      <c r="D487" s="252" t="s">
        <v>104</v>
      </c>
      <c r="E487" s="252" t="s">
        <v>104</v>
      </c>
      <c r="F487" s="257">
        <v>125</v>
      </c>
      <c r="G487" s="252" t="s">
        <v>4462</v>
      </c>
      <c r="H487" s="252" t="s">
        <v>104</v>
      </c>
      <c r="I487" s="252" t="s">
        <v>465</v>
      </c>
      <c r="J487" s="250" t="s">
        <v>114</v>
      </c>
      <c r="K487" s="250" t="s">
        <v>466</v>
      </c>
      <c r="L487" s="250" t="s">
        <v>467</v>
      </c>
      <c r="M487" s="336">
        <v>2554</v>
      </c>
      <c r="N487" s="278">
        <v>44321</v>
      </c>
      <c r="O487" s="329" t="s">
        <v>68</v>
      </c>
      <c r="P487" s="330">
        <f t="shared" ref="P487:Q487" si="483">IF(B487=0,0,IF(YEAR(B487)=$Q$1,MONTH(B487)-$P$1+1,(YEAR(B487)-$Q$1)*12-$P$1+1+MONTH(B487)))</f>
        <v>5</v>
      </c>
      <c r="Q487" s="330">
        <f t="shared" si="483"/>
        <v>3</v>
      </c>
      <c r="R487" s="331" t="str">
        <f t="shared" si="1"/>
        <v>Gastos_custeados_por_captação</v>
      </c>
      <c r="S487" s="331" t="str">
        <f>IF(D487="","",IF(OR(D487=Plano!$A$1,D487=Plano!$B$1),"entrada","saída"))</f>
        <v>saída</v>
      </c>
      <c r="T487" s="332" t="s">
        <v>114</v>
      </c>
      <c r="U487" s="332" t="s">
        <v>114</v>
      </c>
      <c r="V487" s="333"/>
    </row>
    <row r="488" spans="1:22" ht="48" customHeight="1" x14ac:dyDescent="0.2">
      <c r="A488" s="277">
        <f>IF(B488="","",COUNT('Diário 5º PA'!$A$5:$A$2634)+ROW()-4)</f>
        <v>1795</v>
      </c>
      <c r="B488" s="278">
        <v>44321</v>
      </c>
      <c r="C488" s="259">
        <v>44256</v>
      </c>
      <c r="D488" s="252" t="s">
        <v>104</v>
      </c>
      <c r="E488" s="252" t="s">
        <v>104</v>
      </c>
      <c r="F488" s="257">
        <v>75</v>
      </c>
      <c r="G488" s="252" t="s">
        <v>4463</v>
      </c>
      <c r="H488" s="252" t="s">
        <v>104</v>
      </c>
      <c r="I488" s="252" t="s">
        <v>465</v>
      </c>
      <c r="J488" s="250" t="s">
        <v>114</v>
      </c>
      <c r="K488" s="250" t="s">
        <v>466</v>
      </c>
      <c r="L488" s="250" t="s">
        <v>467</v>
      </c>
      <c r="M488" s="336">
        <v>2555</v>
      </c>
      <c r="N488" s="278">
        <v>44321</v>
      </c>
      <c r="O488" s="329" t="s">
        <v>68</v>
      </c>
      <c r="P488" s="330">
        <f t="shared" ref="P488:Q488" si="484">IF(B488=0,0,IF(YEAR(B488)=$Q$1,MONTH(B488)-$P$1+1,(YEAR(B488)-$Q$1)*12-$P$1+1+MONTH(B488)))</f>
        <v>5</v>
      </c>
      <c r="Q488" s="330">
        <f t="shared" si="484"/>
        <v>3</v>
      </c>
      <c r="R488" s="331" t="str">
        <f t="shared" si="1"/>
        <v>Gastos_custeados_por_captação</v>
      </c>
      <c r="S488" s="331" t="str">
        <f>IF(D488="","",IF(OR(D488=Plano!$A$1,D488=Plano!$B$1),"entrada","saída"))</f>
        <v>saída</v>
      </c>
      <c r="T488" s="332" t="s">
        <v>114</v>
      </c>
      <c r="U488" s="332" t="s">
        <v>114</v>
      </c>
      <c r="V488" s="333"/>
    </row>
    <row r="489" spans="1:22" ht="48" customHeight="1" x14ac:dyDescent="0.2">
      <c r="A489" s="277">
        <f>IF(B489="","",COUNT('Diário 5º PA'!$A$5:$A$2634)+ROW()-4)</f>
        <v>1796</v>
      </c>
      <c r="B489" s="278">
        <v>44321</v>
      </c>
      <c r="C489" s="259">
        <v>44256</v>
      </c>
      <c r="D489" s="252" t="s">
        <v>104</v>
      </c>
      <c r="E489" s="252" t="s">
        <v>104</v>
      </c>
      <c r="F489" s="257">
        <v>125</v>
      </c>
      <c r="G489" s="252" t="s">
        <v>4464</v>
      </c>
      <c r="H489" s="252" t="s">
        <v>104</v>
      </c>
      <c r="I489" s="252" t="s">
        <v>465</v>
      </c>
      <c r="J489" s="250" t="s">
        <v>114</v>
      </c>
      <c r="K489" s="250" t="s">
        <v>466</v>
      </c>
      <c r="L489" s="250" t="s">
        <v>467</v>
      </c>
      <c r="M489" s="336">
        <v>2556</v>
      </c>
      <c r="N489" s="278">
        <v>44321</v>
      </c>
      <c r="O489" s="329" t="s">
        <v>68</v>
      </c>
      <c r="P489" s="330">
        <f t="shared" ref="P489:Q489" si="485">IF(B489=0,0,IF(YEAR(B489)=$Q$1,MONTH(B489)-$P$1+1,(YEAR(B489)-$Q$1)*12-$P$1+1+MONTH(B489)))</f>
        <v>5</v>
      </c>
      <c r="Q489" s="330">
        <f t="shared" si="485"/>
        <v>3</v>
      </c>
      <c r="R489" s="331" t="str">
        <f t="shared" si="1"/>
        <v>Gastos_custeados_por_captação</v>
      </c>
      <c r="S489" s="331" t="str">
        <f>IF(D489="","",IF(OR(D489=Plano!$A$1,D489=Plano!$B$1),"entrada","saída"))</f>
        <v>saída</v>
      </c>
      <c r="T489" s="332" t="s">
        <v>114</v>
      </c>
      <c r="U489" s="332" t="s">
        <v>114</v>
      </c>
      <c r="V489" s="333"/>
    </row>
    <row r="490" spans="1:22" ht="48" customHeight="1" x14ac:dyDescent="0.2">
      <c r="A490" s="277">
        <f>IF(B490="","",COUNT('Diário 5º PA'!$A$5:$A$2634)+ROW()-4)</f>
        <v>1797</v>
      </c>
      <c r="B490" s="278">
        <v>44321</v>
      </c>
      <c r="C490" s="259">
        <v>44256</v>
      </c>
      <c r="D490" s="252" t="s">
        <v>104</v>
      </c>
      <c r="E490" s="252" t="s">
        <v>104</v>
      </c>
      <c r="F490" s="257">
        <v>99</v>
      </c>
      <c r="G490" s="252" t="s">
        <v>4465</v>
      </c>
      <c r="H490" s="252" t="s">
        <v>104</v>
      </c>
      <c r="I490" s="252" t="s">
        <v>465</v>
      </c>
      <c r="J490" s="250" t="s">
        <v>114</v>
      </c>
      <c r="K490" s="250" t="s">
        <v>466</v>
      </c>
      <c r="L490" s="250" t="s">
        <v>467</v>
      </c>
      <c r="M490" s="336">
        <v>2557</v>
      </c>
      <c r="N490" s="278">
        <v>44321</v>
      </c>
      <c r="O490" s="329" t="s">
        <v>68</v>
      </c>
      <c r="P490" s="330">
        <f t="shared" ref="P490:Q490" si="486">IF(B490=0,0,IF(YEAR(B490)=$Q$1,MONTH(B490)-$P$1+1,(YEAR(B490)-$Q$1)*12-$P$1+1+MONTH(B490)))</f>
        <v>5</v>
      </c>
      <c r="Q490" s="330">
        <f t="shared" si="486"/>
        <v>3</v>
      </c>
      <c r="R490" s="331" t="str">
        <f t="shared" si="1"/>
        <v>Gastos_custeados_por_captação</v>
      </c>
      <c r="S490" s="331" t="str">
        <f>IF(D490="","",IF(OR(D490=Plano!$A$1,D490=Plano!$B$1),"entrada","saída"))</f>
        <v>saída</v>
      </c>
      <c r="T490" s="332" t="s">
        <v>114</v>
      </c>
      <c r="U490" s="332" t="s">
        <v>114</v>
      </c>
      <c r="V490" s="333"/>
    </row>
    <row r="491" spans="1:22" ht="48" customHeight="1" x14ac:dyDescent="0.2">
      <c r="A491" s="277">
        <f>IF(B491="","",COUNT('Diário 5º PA'!$A$5:$A$2634)+ROW()-4)</f>
        <v>1798</v>
      </c>
      <c r="B491" s="278">
        <v>44321</v>
      </c>
      <c r="C491" s="259">
        <v>44256</v>
      </c>
      <c r="D491" s="252" t="s">
        <v>104</v>
      </c>
      <c r="E491" s="252" t="s">
        <v>104</v>
      </c>
      <c r="F491" s="257">
        <v>99</v>
      </c>
      <c r="G491" s="252" t="s">
        <v>4466</v>
      </c>
      <c r="H491" s="252" t="s">
        <v>104</v>
      </c>
      <c r="I491" s="252" t="s">
        <v>465</v>
      </c>
      <c r="J491" s="250" t="s">
        <v>114</v>
      </c>
      <c r="K491" s="250" t="s">
        <v>466</v>
      </c>
      <c r="L491" s="250" t="s">
        <v>467</v>
      </c>
      <c r="M491" s="336">
        <v>2558</v>
      </c>
      <c r="N491" s="278">
        <v>44321</v>
      </c>
      <c r="O491" s="329" t="s">
        <v>68</v>
      </c>
      <c r="P491" s="330">
        <f t="shared" ref="P491:Q491" si="487">IF(B491=0,0,IF(YEAR(B491)=$Q$1,MONTH(B491)-$P$1+1,(YEAR(B491)-$Q$1)*12-$P$1+1+MONTH(B491)))</f>
        <v>5</v>
      </c>
      <c r="Q491" s="330">
        <f t="shared" si="487"/>
        <v>3</v>
      </c>
      <c r="R491" s="331" t="str">
        <f t="shared" si="1"/>
        <v>Gastos_custeados_por_captação</v>
      </c>
      <c r="S491" s="331" t="str">
        <f>IF(D491="","",IF(OR(D491=Plano!$A$1,D491=Plano!$B$1),"entrada","saída"))</f>
        <v>saída</v>
      </c>
      <c r="T491" s="332" t="s">
        <v>114</v>
      </c>
      <c r="U491" s="332" t="s">
        <v>114</v>
      </c>
      <c r="V491" s="333"/>
    </row>
    <row r="492" spans="1:22" ht="48" customHeight="1" x14ac:dyDescent="0.2">
      <c r="A492" s="277">
        <f>IF(B492="","",COUNT('Diário 5º PA'!$A$5:$A$2634)+ROW()-4)</f>
        <v>1799</v>
      </c>
      <c r="B492" s="278">
        <v>44321</v>
      </c>
      <c r="C492" s="259">
        <v>44256</v>
      </c>
      <c r="D492" s="252" t="s">
        <v>104</v>
      </c>
      <c r="E492" s="252" t="s">
        <v>104</v>
      </c>
      <c r="F492" s="257">
        <v>99</v>
      </c>
      <c r="G492" s="252" t="s">
        <v>4467</v>
      </c>
      <c r="H492" s="252" t="s">
        <v>104</v>
      </c>
      <c r="I492" s="252" t="s">
        <v>465</v>
      </c>
      <c r="J492" s="250" t="s">
        <v>114</v>
      </c>
      <c r="K492" s="250" t="s">
        <v>466</v>
      </c>
      <c r="L492" s="250" t="s">
        <v>467</v>
      </c>
      <c r="M492" s="336">
        <v>2559</v>
      </c>
      <c r="N492" s="278">
        <v>44321</v>
      </c>
      <c r="O492" s="329" t="s">
        <v>68</v>
      </c>
      <c r="P492" s="330">
        <f t="shared" ref="P492:Q492" si="488">IF(B492=0,0,IF(YEAR(B492)=$Q$1,MONTH(B492)-$P$1+1,(YEAR(B492)-$Q$1)*12-$P$1+1+MONTH(B492)))</f>
        <v>5</v>
      </c>
      <c r="Q492" s="330">
        <f t="shared" si="488"/>
        <v>3</v>
      </c>
      <c r="R492" s="331" t="str">
        <f t="shared" si="1"/>
        <v>Gastos_custeados_por_captação</v>
      </c>
      <c r="S492" s="331" t="str">
        <f>IF(D492="","",IF(OR(D492=Plano!$A$1,D492=Plano!$B$1),"entrada","saída"))</f>
        <v>saída</v>
      </c>
      <c r="T492" s="332" t="s">
        <v>114</v>
      </c>
      <c r="U492" s="332" t="s">
        <v>114</v>
      </c>
      <c r="V492" s="333"/>
    </row>
    <row r="493" spans="1:22" ht="48" customHeight="1" x14ac:dyDescent="0.2">
      <c r="A493" s="277">
        <f>IF(B493="","",COUNT('Diário 5º PA'!$A$5:$A$2634)+ROW()-4)</f>
        <v>1800</v>
      </c>
      <c r="B493" s="278">
        <v>44321</v>
      </c>
      <c r="C493" s="259">
        <v>44256</v>
      </c>
      <c r="D493" s="252" t="s">
        <v>104</v>
      </c>
      <c r="E493" s="252" t="s">
        <v>104</v>
      </c>
      <c r="F493" s="257">
        <v>99</v>
      </c>
      <c r="G493" s="252" t="s">
        <v>4468</v>
      </c>
      <c r="H493" s="252" t="s">
        <v>104</v>
      </c>
      <c r="I493" s="252" t="s">
        <v>465</v>
      </c>
      <c r="J493" s="250" t="s">
        <v>114</v>
      </c>
      <c r="K493" s="250" t="s">
        <v>466</v>
      </c>
      <c r="L493" s="250" t="s">
        <v>467</v>
      </c>
      <c r="M493" s="336">
        <v>2560</v>
      </c>
      <c r="N493" s="278">
        <v>44321</v>
      </c>
      <c r="O493" s="329" t="s">
        <v>68</v>
      </c>
      <c r="P493" s="330">
        <f t="shared" ref="P493:Q493" si="489">IF(B493=0,0,IF(YEAR(B493)=$Q$1,MONTH(B493)-$P$1+1,(YEAR(B493)-$Q$1)*12-$P$1+1+MONTH(B493)))</f>
        <v>5</v>
      </c>
      <c r="Q493" s="330">
        <f t="shared" si="489"/>
        <v>3</v>
      </c>
      <c r="R493" s="331" t="str">
        <f t="shared" si="1"/>
        <v>Gastos_custeados_por_captação</v>
      </c>
      <c r="S493" s="331" t="str">
        <f>IF(D493="","",IF(OR(D493=Plano!$A$1,D493=Plano!$B$1),"entrada","saída"))</f>
        <v>saída</v>
      </c>
      <c r="T493" s="332" t="s">
        <v>114</v>
      </c>
      <c r="U493" s="332" t="s">
        <v>114</v>
      </c>
      <c r="V493" s="333"/>
    </row>
    <row r="494" spans="1:22" ht="48" customHeight="1" x14ac:dyDescent="0.2">
      <c r="A494" s="277">
        <f>IF(B494="","",COUNT('Diário 5º PA'!$A$5:$A$2634)+ROW()-4)</f>
        <v>1801</v>
      </c>
      <c r="B494" s="278">
        <v>44321</v>
      </c>
      <c r="C494" s="259">
        <v>44256</v>
      </c>
      <c r="D494" s="252" t="s">
        <v>104</v>
      </c>
      <c r="E494" s="252" t="s">
        <v>104</v>
      </c>
      <c r="F494" s="257">
        <v>99</v>
      </c>
      <c r="G494" s="252" t="s">
        <v>4469</v>
      </c>
      <c r="H494" s="252" t="s">
        <v>104</v>
      </c>
      <c r="I494" s="252" t="s">
        <v>465</v>
      </c>
      <c r="J494" s="250" t="s">
        <v>114</v>
      </c>
      <c r="K494" s="250" t="s">
        <v>466</v>
      </c>
      <c r="L494" s="250" t="s">
        <v>467</v>
      </c>
      <c r="M494" s="336">
        <v>2561</v>
      </c>
      <c r="N494" s="278">
        <v>44321</v>
      </c>
      <c r="O494" s="329" t="s">
        <v>68</v>
      </c>
      <c r="P494" s="330">
        <f t="shared" ref="P494:Q494" si="490">IF(B494=0,0,IF(YEAR(B494)=$Q$1,MONTH(B494)-$P$1+1,(YEAR(B494)-$Q$1)*12-$P$1+1+MONTH(B494)))</f>
        <v>5</v>
      </c>
      <c r="Q494" s="330">
        <f t="shared" si="490"/>
        <v>3</v>
      </c>
      <c r="R494" s="331" t="str">
        <f t="shared" si="1"/>
        <v>Gastos_custeados_por_captação</v>
      </c>
      <c r="S494" s="331" t="str">
        <f>IF(D494="","",IF(OR(D494=Plano!$A$1,D494=Plano!$B$1),"entrada","saída"))</f>
        <v>saída</v>
      </c>
      <c r="T494" s="332" t="s">
        <v>114</v>
      </c>
      <c r="U494" s="332" t="s">
        <v>114</v>
      </c>
      <c r="V494" s="333"/>
    </row>
    <row r="495" spans="1:22" ht="48" customHeight="1" x14ac:dyDescent="0.2">
      <c r="A495" s="277">
        <f>IF(B495="","",COUNT('Diário 5º PA'!$A$5:$A$2634)+ROW()-4)</f>
        <v>1802</v>
      </c>
      <c r="B495" s="278">
        <v>44321</v>
      </c>
      <c r="C495" s="259">
        <v>44256</v>
      </c>
      <c r="D495" s="252" t="s">
        <v>104</v>
      </c>
      <c r="E495" s="252" t="s">
        <v>104</v>
      </c>
      <c r="F495" s="257">
        <v>99</v>
      </c>
      <c r="G495" s="252" t="s">
        <v>4470</v>
      </c>
      <c r="H495" s="252" t="s">
        <v>104</v>
      </c>
      <c r="I495" s="252" t="s">
        <v>465</v>
      </c>
      <c r="J495" s="250" t="s">
        <v>114</v>
      </c>
      <c r="K495" s="250" t="s">
        <v>466</v>
      </c>
      <c r="L495" s="250" t="s">
        <v>467</v>
      </c>
      <c r="M495" s="336">
        <v>2562</v>
      </c>
      <c r="N495" s="278">
        <v>44321</v>
      </c>
      <c r="O495" s="329" t="s">
        <v>68</v>
      </c>
      <c r="P495" s="330">
        <f t="shared" ref="P495:Q495" si="491">IF(B495=0,0,IF(YEAR(B495)=$Q$1,MONTH(B495)-$P$1+1,(YEAR(B495)-$Q$1)*12-$P$1+1+MONTH(B495)))</f>
        <v>5</v>
      </c>
      <c r="Q495" s="330">
        <f t="shared" si="491"/>
        <v>3</v>
      </c>
      <c r="R495" s="331" t="str">
        <f t="shared" si="1"/>
        <v>Gastos_custeados_por_captação</v>
      </c>
      <c r="S495" s="331" t="str">
        <f>IF(D495="","",IF(OR(D495=Plano!$A$1,D495=Plano!$B$1),"entrada","saída"))</f>
        <v>saída</v>
      </c>
      <c r="T495" s="332" t="s">
        <v>114</v>
      </c>
      <c r="U495" s="332" t="s">
        <v>114</v>
      </c>
      <c r="V495" s="333"/>
    </row>
    <row r="496" spans="1:22" ht="48" customHeight="1" x14ac:dyDescent="0.2">
      <c r="A496" s="277">
        <f>IF(B496="","",COUNT('Diário 5º PA'!$A$5:$A$2634)+ROW()-4)</f>
        <v>1803</v>
      </c>
      <c r="B496" s="278">
        <v>44321</v>
      </c>
      <c r="C496" s="259">
        <v>44256</v>
      </c>
      <c r="D496" s="252" t="s">
        <v>104</v>
      </c>
      <c r="E496" s="252" t="s">
        <v>104</v>
      </c>
      <c r="F496" s="257">
        <v>99</v>
      </c>
      <c r="G496" s="252" t="s">
        <v>4471</v>
      </c>
      <c r="H496" s="252" t="s">
        <v>104</v>
      </c>
      <c r="I496" s="252" t="s">
        <v>465</v>
      </c>
      <c r="J496" s="250" t="s">
        <v>114</v>
      </c>
      <c r="K496" s="250" t="s">
        <v>466</v>
      </c>
      <c r="L496" s="250" t="s">
        <v>467</v>
      </c>
      <c r="M496" s="336">
        <v>2563</v>
      </c>
      <c r="N496" s="278">
        <v>44321</v>
      </c>
      <c r="O496" s="329" t="s">
        <v>68</v>
      </c>
      <c r="P496" s="330">
        <f t="shared" ref="P496:Q496" si="492">IF(B496=0,0,IF(YEAR(B496)=$Q$1,MONTH(B496)-$P$1+1,(YEAR(B496)-$Q$1)*12-$P$1+1+MONTH(B496)))</f>
        <v>5</v>
      </c>
      <c r="Q496" s="330">
        <f t="shared" si="492"/>
        <v>3</v>
      </c>
      <c r="R496" s="331" t="str">
        <f t="shared" si="1"/>
        <v>Gastos_custeados_por_captação</v>
      </c>
      <c r="S496" s="331" t="str">
        <f>IF(D496="","",IF(OR(D496=Plano!$A$1,D496=Plano!$B$1),"entrada","saída"))</f>
        <v>saída</v>
      </c>
      <c r="T496" s="332" t="s">
        <v>114</v>
      </c>
      <c r="U496" s="332" t="s">
        <v>114</v>
      </c>
      <c r="V496" s="333"/>
    </row>
    <row r="497" spans="1:22" ht="48" customHeight="1" x14ac:dyDescent="0.2">
      <c r="A497" s="277">
        <f>IF(B497="","",COUNT('Diário 5º PA'!$A$5:$A$2634)+ROW()-4)</f>
        <v>1804</v>
      </c>
      <c r="B497" s="278">
        <v>44321</v>
      </c>
      <c r="C497" s="259">
        <v>44256</v>
      </c>
      <c r="D497" s="252" t="s">
        <v>104</v>
      </c>
      <c r="E497" s="252" t="s">
        <v>104</v>
      </c>
      <c r="F497" s="257">
        <v>99</v>
      </c>
      <c r="G497" s="252" t="s">
        <v>4472</v>
      </c>
      <c r="H497" s="252" t="s">
        <v>104</v>
      </c>
      <c r="I497" s="252" t="s">
        <v>465</v>
      </c>
      <c r="J497" s="250" t="s">
        <v>114</v>
      </c>
      <c r="K497" s="250" t="s">
        <v>466</v>
      </c>
      <c r="L497" s="250" t="s">
        <v>467</v>
      </c>
      <c r="M497" s="336">
        <v>2564</v>
      </c>
      <c r="N497" s="278">
        <v>44321</v>
      </c>
      <c r="O497" s="329" t="s">
        <v>68</v>
      </c>
      <c r="P497" s="330">
        <f t="shared" ref="P497:Q497" si="493">IF(B497=0,0,IF(YEAR(B497)=$Q$1,MONTH(B497)-$P$1+1,(YEAR(B497)-$Q$1)*12-$P$1+1+MONTH(B497)))</f>
        <v>5</v>
      </c>
      <c r="Q497" s="330">
        <f t="shared" si="493"/>
        <v>3</v>
      </c>
      <c r="R497" s="331" t="str">
        <f t="shared" si="1"/>
        <v>Gastos_custeados_por_captação</v>
      </c>
      <c r="S497" s="331" t="str">
        <f>IF(D497="","",IF(OR(D497=Plano!$A$1,D497=Plano!$B$1),"entrada","saída"))</f>
        <v>saída</v>
      </c>
      <c r="T497" s="332" t="s">
        <v>114</v>
      </c>
      <c r="U497" s="332" t="s">
        <v>114</v>
      </c>
      <c r="V497" s="333"/>
    </row>
    <row r="498" spans="1:22" ht="48" customHeight="1" x14ac:dyDescent="0.2">
      <c r="A498" s="277">
        <f>IF(B498="","",COUNT('Diário 5º PA'!$A$5:$A$2634)+ROW()-4)</f>
        <v>1805</v>
      </c>
      <c r="B498" s="278">
        <v>44321</v>
      </c>
      <c r="C498" s="259">
        <v>44256</v>
      </c>
      <c r="D498" s="252" t="s">
        <v>104</v>
      </c>
      <c r="E498" s="252" t="s">
        <v>104</v>
      </c>
      <c r="F498" s="257">
        <v>99</v>
      </c>
      <c r="G498" s="252" t="s">
        <v>4473</v>
      </c>
      <c r="H498" s="252" t="s">
        <v>104</v>
      </c>
      <c r="I498" s="252" t="s">
        <v>465</v>
      </c>
      <c r="J498" s="250" t="s">
        <v>114</v>
      </c>
      <c r="K498" s="250" t="s">
        <v>466</v>
      </c>
      <c r="L498" s="250" t="s">
        <v>467</v>
      </c>
      <c r="M498" s="336">
        <v>2565</v>
      </c>
      <c r="N498" s="278">
        <v>44321</v>
      </c>
      <c r="O498" s="329" t="s">
        <v>68</v>
      </c>
      <c r="P498" s="330">
        <f t="shared" ref="P498:Q498" si="494">IF(B498=0,0,IF(YEAR(B498)=$Q$1,MONTH(B498)-$P$1+1,(YEAR(B498)-$Q$1)*12-$P$1+1+MONTH(B498)))</f>
        <v>5</v>
      </c>
      <c r="Q498" s="330">
        <f t="shared" si="494"/>
        <v>3</v>
      </c>
      <c r="R498" s="331" t="str">
        <f t="shared" si="1"/>
        <v>Gastos_custeados_por_captação</v>
      </c>
      <c r="S498" s="331" t="str">
        <f>IF(D498="","",IF(OR(D498=Plano!$A$1,D498=Plano!$B$1),"entrada","saída"))</f>
        <v>saída</v>
      </c>
      <c r="T498" s="332" t="s">
        <v>114</v>
      </c>
      <c r="U498" s="332" t="s">
        <v>114</v>
      </c>
      <c r="V498" s="333"/>
    </row>
    <row r="499" spans="1:22" ht="48" customHeight="1" x14ac:dyDescent="0.2">
      <c r="A499" s="277">
        <f>IF(B499="","",COUNT('Diário 5º PA'!$A$5:$A$2634)+ROW()-4)</f>
        <v>1806</v>
      </c>
      <c r="B499" s="278">
        <v>44321</v>
      </c>
      <c r="C499" s="259">
        <v>44256</v>
      </c>
      <c r="D499" s="252" t="s">
        <v>104</v>
      </c>
      <c r="E499" s="252" t="s">
        <v>104</v>
      </c>
      <c r="F499" s="257">
        <v>99</v>
      </c>
      <c r="G499" s="252" t="s">
        <v>4474</v>
      </c>
      <c r="H499" s="252" t="s">
        <v>104</v>
      </c>
      <c r="I499" s="252" t="s">
        <v>465</v>
      </c>
      <c r="J499" s="250" t="s">
        <v>114</v>
      </c>
      <c r="K499" s="250" t="s">
        <v>466</v>
      </c>
      <c r="L499" s="250" t="s">
        <v>467</v>
      </c>
      <c r="M499" s="336">
        <v>2566</v>
      </c>
      <c r="N499" s="278">
        <v>44321</v>
      </c>
      <c r="O499" s="329" t="s">
        <v>68</v>
      </c>
      <c r="P499" s="330">
        <f t="shared" ref="P499:Q499" si="495">IF(B499=0,0,IF(YEAR(B499)=$Q$1,MONTH(B499)-$P$1+1,(YEAR(B499)-$Q$1)*12-$P$1+1+MONTH(B499)))</f>
        <v>5</v>
      </c>
      <c r="Q499" s="330">
        <f t="shared" si="495"/>
        <v>3</v>
      </c>
      <c r="R499" s="331" t="str">
        <f t="shared" si="1"/>
        <v>Gastos_custeados_por_captação</v>
      </c>
      <c r="S499" s="331" t="str">
        <f>IF(D499="","",IF(OR(D499=Plano!$A$1,D499=Plano!$B$1),"entrada","saída"))</f>
        <v>saída</v>
      </c>
      <c r="T499" s="332" t="s">
        <v>114</v>
      </c>
      <c r="U499" s="332" t="s">
        <v>114</v>
      </c>
      <c r="V499" s="333"/>
    </row>
    <row r="500" spans="1:22" ht="48" customHeight="1" x14ac:dyDescent="0.2">
      <c r="A500" s="277">
        <f>IF(B500="","",COUNT('Diário 5º PA'!$A$5:$A$2634)+ROW()-4)</f>
        <v>1807</v>
      </c>
      <c r="B500" s="278">
        <v>44321</v>
      </c>
      <c r="C500" s="259">
        <v>44256</v>
      </c>
      <c r="D500" s="252" t="s">
        <v>104</v>
      </c>
      <c r="E500" s="252" t="s">
        <v>104</v>
      </c>
      <c r="F500" s="257">
        <v>69</v>
      </c>
      <c r="G500" s="252" t="s">
        <v>4475</v>
      </c>
      <c r="H500" s="252" t="s">
        <v>104</v>
      </c>
      <c r="I500" s="252" t="s">
        <v>465</v>
      </c>
      <c r="J500" s="250" t="s">
        <v>114</v>
      </c>
      <c r="K500" s="250" t="s">
        <v>466</v>
      </c>
      <c r="L500" s="250" t="s">
        <v>467</v>
      </c>
      <c r="M500" s="336">
        <v>2567</v>
      </c>
      <c r="N500" s="278">
        <v>44321</v>
      </c>
      <c r="O500" s="329" t="s">
        <v>68</v>
      </c>
      <c r="P500" s="330">
        <f t="shared" ref="P500:Q500" si="496">IF(B500=0,0,IF(YEAR(B500)=$Q$1,MONTH(B500)-$P$1+1,(YEAR(B500)-$Q$1)*12-$P$1+1+MONTH(B500)))</f>
        <v>5</v>
      </c>
      <c r="Q500" s="330">
        <f t="shared" si="496"/>
        <v>3</v>
      </c>
      <c r="R500" s="331" t="str">
        <f t="shared" si="1"/>
        <v>Gastos_custeados_por_captação</v>
      </c>
      <c r="S500" s="331" t="str">
        <f>IF(D500="","",IF(OR(D500=Plano!$A$1,D500=Plano!$B$1),"entrada","saída"))</f>
        <v>saída</v>
      </c>
      <c r="T500" s="332" t="s">
        <v>114</v>
      </c>
      <c r="U500" s="332" t="s">
        <v>114</v>
      </c>
      <c r="V500" s="333"/>
    </row>
    <row r="501" spans="1:22" ht="149.25" customHeight="1" x14ac:dyDescent="0.2">
      <c r="A501" s="277">
        <f>IF(B501="","",COUNT('Diário 5º PA'!$A$5:$A$2634)+ROW()-4)</f>
        <v>1808</v>
      </c>
      <c r="B501" s="278">
        <v>44321</v>
      </c>
      <c r="C501" s="259">
        <v>44287</v>
      </c>
      <c r="D501" s="252" t="s">
        <v>104</v>
      </c>
      <c r="E501" s="252" t="s">
        <v>104</v>
      </c>
      <c r="F501" s="257">
        <v>2125.92</v>
      </c>
      <c r="G501" s="252" t="s">
        <v>548</v>
      </c>
      <c r="H501" s="252" t="s">
        <v>104</v>
      </c>
      <c r="I501" s="252" t="s">
        <v>1739</v>
      </c>
      <c r="J501" s="250" t="s">
        <v>550</v>
      </c>
      <c r="K501" s="255" t="s">
        <v>1015</v>
      </c>
      <c r="L501" s="250" t="s">
        <v>1029</v>
      </c>
      <c r="M501" s="336">
        <v>1139</v>
      </c>
      <c r="N501" s="278">
        <v>44319</v>
      </c>
      <c r="O501" s="329" t="s">
        <v>68</v>
      </c>
      <c r="P501" s="330">
        <f t="shared" ref="P501:Q501" si="497">IF(B501=0,0,IF(YEAR(B501)=$Q$1,MONTH(B501)-$P$1+1,(YEAR(B501)-$Q$1)*12-$P$1+1+MONTH(B501)))</f>
        <v>5</v>
      </c>
      <c r="Q501" s="330">
        <f t="shared" si="497"/>
        <v>4</v>
      </c>
      <c r="R501" s="331" t="str">
        <f t="shared" si="1"/>
        <v>Gastos_custeados_por_captação</v>
      </c>
      <c r="S501" s="331" t="str">
        <f>IF(D501="","",IF(OR(D501=Plano!$A$1,D501=Plano!$B$1),"entrada","saída"))</f>
        <v>saída</v>
      </c>
      <c r="T501" s="332" t="s">
        <v>1059</v>
      </c>
      <c r="U501" s="332">
        <v>1301</v>
      </c>
      <c r="V501" s="333"/>
    </row>
    <row r="502" spans="1:22" ht="146.25" customHeight="1" x14ac:dyDescent="0.2">
      <c r="A502" s="277">
        <f>IF(B502="","",COUNT('Diário 5º PA'!$A$5:$A$2634)+ROW()-4)</f>
        <v>1809</v>
      </c>
      <c r="B502" s="278">
        <v>44321</v>
      </c>
      <c r="C502" s="259">
        <v>44287</v>
      </c>
      <c r="D502" s="252" t="s">
        <v>104</v>
      </c>
      <c r="E502" s="252" t="s">
        <v>104</v>
      </c>
      <c r="F502" s="257">
        <v>2300</v>
      </c>
      <c r="G502" s="252" t="s">
        <v>4387</v>
      </c>
      <c r="H502" s="252" t="s">
        <v>104</v>
      </c>
      <c r="I502" s="252" t="s">
        <v>1633</v>
      </c>
      <c r="J502" s="250" t="s">
        <v>1634</v>
      </c>
      <c r="K502" s="255" t="s">
        <v>1015</v>
      </c>
      <c r="L502" s="250" t="s">
        <v>1016</v>
      </c>
      <c r="M502" s="277" t="s">
        <v>1294</v>
      </c>
      <c r="N502" s="278">
        <v>44320</v>
      </c>
      <c r="O502" s="329" t="s">
        <v>68</v>
      </c>
      <c r="P502" s="330">
        <f t="shared" ref="P502:Q502" si="498">IF(B502=0,0,IF(YEAR(B502)=$Q$1,MONTH(B502)-$P$1+1,(YEAR(B502)-$Q$1)*12-$P$1+1+MONTH(B502)))</f>
        <v>5</v>
      </c>
      <c r="Q502" s="330">
        <f t="shared" si="498"/>
        <v>4</v>
      </c>
      <c r="R502" s="331" t="str">
        <f t="shared" si="1"/>
        <v>Gastos_custeados_por_captação</v>
      </c>
      <c r="S502" s="331" t="str">
        <f>IF(D502="","",IF(OR(D502=Plano!$A$1,D502=Plano!$B$1),"entrada","saída"))</f>
        <v>saída</v>
      </c>
      <c r="T502" s="332" t="s">
        <v>1059</v>
      </c>
      <c r="U502" s="332">
        <v>1395</v>
      </c>
      <c r="V502" s="333"/>
    </row>
    <row r="503" spans="1:22" ht="144.75" customHeight="1" x14ac:dyDescent="0.2">
      <c r="A503" s="277">
        <f>IF(B503="","",COUNT('Diário 5º PA'!$A$5:$A$2634)+ROW()-4)</f>
        <v>1810</v>
      </c>
      <c r="B503" s="278">
        <v>44321</v>
      </c>
      <c r="C503" s="259">
        <v>44287</v>
      </c>
      <c r="D503" s="252" t="s">
        <v>104</v>
      </c>
      <c r="E503" s="252" t="s">
        <v>104</v>
      </c>
      <c r="F503" s="257">
        <v>2300</v>
      </c>
      <c r="G503" s="252" t="s">
        <v>4388</v>
      </c>
      <c r="H503" s="252" t="s">
        <v>104</v>
      </c>
      <c r="I503" s="252" t="s">
        <v>4476</v>
      </c>
      <c r="J503" s="250" t="s">
        <v>2637</v>
      </c>
      <c r="K503" s="255" t="s">
        <v>1015</v>
      </c>
      <c r="L503" s="250" t="s">
        <v>1016</v>
      </c>
      <c r="M503" s="277" t="s">
        <v>1294</v>
      </c>
      <c r="N503" s="278">
        <v>44320</v>
      </c>
      <c r="O503" s="329" t="s">
        <v>68</v>
      </c>
      <c r="P503" s="330">
        <f t="shared" ref="P503:Q503" si="499">IF(B503=0,0,IF(YEAR(B503)=$Q$1,MONTH(B503)-$P$1+1,(YEAR(B503)-$Q$1)*12-$P$1+1+MONTH(B503)))</f>
        <v>5</v>
      </c>
      <c r="Q503" s="330">
        <f t="shared" si="499"/>
        <v>4</v>
      </c>
      <c r="R503" s="331" t="str">
        <f t="shared" si="1"/>
        <v>Gastos_custeados_por_captação</v>
      </c>
      <c r="S503" s="331" t="str">
        <f>IF(D503="","",IF(OR(D503=Plano!$A$1,D503=Plano!$B$1),"entrada","saída"))</f>
        <v>saída</v>
      </c>
      <c r="T503" s="332" t="s">
        <v>1059</v>
      </c>
      <c r="U503" s="332">
        <v>1414</v>
      </c>
      <c r="V503" s="333"/>
    </row>
    <row r="504" spans="1:22" ht="137.25" customHeight="1" x14ac:dyDescent="0.2">
      <c r="A504" s="277">
        <f>IF(B504="","",COUNT('Diário 5º PA'!$A$5:$A$2634)+ROW()-4)</f>
        <v>1811</v>
      </c>
      <c r="B504" s="278">
        <v>44321</v>
      </c>
      <c r="C504" s="259">
        <v>44287</v>
      </c>
      <c r="D504" s="252" t="s">
        <v>104</v>
      </c>
      <c r="E504" s="252" t="s">
        <v>104</v>
      </c>
      <c r="F504" s="257">
        <v>2300</v>
      </c>
      <c r="G504" s="252" t="s">
        <v>4387</v>
      </c>
      <c r="H504" s="252" t="s">
        <v>104</v>
      </c>
      <c r="I504" s="252" t="s">
        <v>1637</v>
      </c>
      <c r="J504" s="250" t="s">
        <v>1048</v>
      </c>
      <c r="K504" s="255" t="s">
        <v>1015</v>
      </c>
      <c r="L504" s="250" t="s">
        <v>1016</v>
      </c>
      <c r="M504" s="277" t="s">
        <v>1540</v>
      </c>
      <c r="N504" s="278">
        <v>44320</v>
      </c>
      <c r="O504" s="329" t="s">
        <v>68</v>
      </c>
      <c r="P504" s="330">
        <f t="shared" ref="P504:Q504" si="500">IF(B504=0,0,IF(YEAR(B504)=$Q$1,MONTH(B504)-$P$1+1,(YEAR(B504)-$Q$1)*12-$P$1+1+MONTH(B504)))</f>
        <v>5</v>
      </c>
      <c r="Q504" s="330">
        <f t="shared" si="500"/>
        <v>4</v>
      </c>
      <c r="R504" s="331" t="str">
        <f t="shared" si="1"/>
        <v>Gastos_custeados_por_captação</v>
      </c>
      <c r="S504" s="331" t="str">
        <f>IF(D504="","",IF(OR(D504=Plano!$A$1,D504=Plano!$B$1),"entrada","saída"))</f>
        <v>saída</v>
      </c>
      <c r="T504" s="332" t="s">
        <v>1059</v>
      </c>
      <c r="U504" s="332">
        <v>1394</v>
      </c>
      <c r="V504" s="333"/>
    </row>
    <row r="505" spans="1:22" ht="133.5" customHeight="1" x14ac:dyDescent="0.2">
      <c r="A505" s="277">
        <f>IF(B505="","",COUNT('Diário 5º PA'!$A$5:$A$2634)+ROW()-4)</f>
        <v>1812</v>
      </c>
      <c r="B505" s="278">
        <v>44321</v>
      </c>
      <c r="C505" s="259">
        <v>44287</v>
      </c>
      <c r="D505" s="252" t="s">
        <v>104</v>
      </c>
      <c r="E505" s="252" t="s">
        <v>104</v>
      </c>
      <c r="F505" s="257">
        <v>2300</v>
      </c>
      <c r="G505" s="252" t="s">
        <v>4388</v>
      </c>
      <c r="H505" s="252" t="s">
        <v>104</v>
      </c>
      <c r="I505" s="252" t="s">
        <v>3719</v>
      </c>
      <c r="J505" s="250" t="s">
        <v>2643</v>
      </c>
      <c r="K505" s="255" t="s">
        <v>1015</v>
      </c>
      <c r="L505" s="250" t="s">
        <v>1016</v>
      </c>
      <c r="M505" s="277" t="s">
        <v>1540</v>
      </c>
      <c r="N505" s="278">
        <v>44320</v>
      </c>
      <c r="O505" s="329" t="s">
        <v>68</v>
      </c>
      <c r="P505" s="330">
        <f t="shared" ref="P505:Q505" si="501">IF(B505=0,0,IF(YEAR(B505)=$Q$1,MONTH(B505)-$P$1+1,(YEAR(B505)-$Q$1)*12-$P$1+1+MONTH(B505)))</f>
        <v>5</v>
      </c>
      <c r="Q505" s="330">
        <f t="shared" si="501"/>
        <v>4</v>
      </c>
      <c r="R505" s="331" t="str">
        <f t="shared" si="1"/>
        <v>Gastos_custeados_por_captação</v>
      </c>
      <c r="S505" s="331" t="str">
        <f>IF(D505="","",IF(OR(D505=Plano!$A$1,D505=Plano!$B$1),"entrada","saída"))</f>
        <v>saída</v>
      </c>
      <c r="T505" s="332" t="s">
        <v>1059</v>
      </c>
      <c r="U505" s="332">
        <v>1423</v>
      </c>
      <c r="V505" s="333"/>
    </row>
    <row r="506" spans="1:22" ht="153" customHeight="1" x14ac:dyDescent="0.2">
      <c r="A506" s="277">
        <f>IF(B506="","",COUNT('Diário 5º PA'!$A$5:$A$2634)+ROW()-4)</f>
        <v>1813</v>
      </c>
      <c r="B506" s="278">
        <v>44321</v>
      </c>
      <c r="C506" s="259">
        <v>44287</v>
      </c>
      <c r="D506" s="252" t="s">
        <v>104</v>
      </c>
      <c r="E506" s="252" t="s">
        <v>104</v>
      </c>
      <c r="F506" s="257">
        <v>2300</v>
      </c>
      <c r="G506" s="252" t="s">
        <v>4388</v>
      </c>
      <c r="H506" s="252" t="s">
        <v>104</v>
      </c>
      <c r="I506" s="252" t="s">
        <v>4121</v>
      </c>
      <c r="J506" s="250" t="s">
        <v>2673</v>
      </c>
      <c r="K506" s="255" t="s">
        <v>1015</v>
      </c>
      <c r="L506" s="250" t="s">
        <v>1016</v>
      </c>
      <c r="M506" s="277" t="s">
        <v>1540</v>
      </c>
      <c r="N506" s="278">
        <v>44321</v>
      </c>
      <c r="O506" s="329" t="s">
        <v>68</v>
      </c>
      <c r="P506" s="330">
        <f t="shared" ref="P506:Q506" si="502">IF(B506=0,0,IF(YEAR(B506)=$Q$1,MONTH(B506)-$P$1+1,(YEAR(B506)-$Q$1)*12-$P$1+1+MONTH(B506)))</f>
        <v>5</v>
      </c>
      <c r="Q506" s="330">
        <f t="shared" si="502"/>
        <v>4</v>
      </c>
      <c r="R506" s="331" t="str">
        <f t="shared" si="1"/>
        <v>Gastos_custeados_por_captação</v>
      </c>
      <c r="S506" s="331" t="str">
        <f>IF(D506="","",IF(OR(D506=Plano!$A$1,D506=Plano!$B$1),"entrada","saída"))</f>
        <v>saída</v>
      </c>
      <c r="T506" s="332" t="s">
        <v>1059</v>
      </c>
      <c r="U506" s="332">
        <v>1415</v>
      </c>
      <c r="V506" s="333"/>
    </row>
    <row r="507" spans="1:22" ht="76.5" customHeight="1" x14ac:dyDescent="0.2">
      <c r="A507" s="277">
        <f>IF(B507="","",COUNT('Diário 5º PA'!$A$5:$A$2634)+ROW()-4)</f>
        <v>1814</v>
      </c>
      <c r="B507" s="278">
        <v>44321</v>
      </c>
      <c r="C507" s="259">
        <v>44256</v>
      </c>
      <c r="D507" s="252" t="s">
        <v>104</v>
      </c>
      <c r="E507" s="252" t="s">
        <v>104</v>
      </c>
      <c r="F507" s="257">
        <v>75</v>
      </c>
      <c r="G507" s="252" t="s">
        <v>4477</v>
      </c>
      <c r="H507" s="252" t="s">
        <v>104</v>
      </c>
      <c r="I507" s="252" t="s">
        <v>465</v>
      </c>
      <c r="J507" s="250" t="s">
        <v>114</v>
      </c>
      <c r="K507" s="250" t="s">
        <v>466</v>
      </c>
      <c r="L507" s="250" t="s">
        <v>467</v>
      </c>
      <c r="M507" s="277">
        <v>2568</v>
      </c>
      <c r="N507" s="278">
        <v>44321</v>
      </c>
      <c r="O507" s="329" t="s">
        <v>69</v>
      </c>
      <c r="P507" s="330">
        <f t="shared" ref="P507:Q507" si="503">IF(B507=0,0,IF(YEAR(B507)=$Q$1,MONTH(B507)-$P$1+1,(YEAR(B507)-$Q$1)*12-$P$1+1+MONTH(B507)))</f>
        <v>5</v>
      </c>
      <c r="Q507" s="330">
        <f t="shared" si="503"/>
        <v>3</v>
      </c>
      <c r="R507" s="331" t="str">
        <f t="shared" si="1"/>
        <v>Gastos_custeados_por_captação</v>
      </c>
      <c r="S507" s="331" t="str">
        <f>IF(D507="","",IF(OR(D507=Plano!$A$1,D507=Plano!$B$1),"entrada","saída"))</f>
        <v>saída</v>
      </c>
      <c r="T507" s="332" t="s">
        <v>114</v>
      </c>
      <c r="U507" s="332" t="s">
        <v>114</v>
      </c>
      <c r="V507" s="333"/>
    </row>
    <row r="508" spans="1:22" ht="55.5" customHeight="1" x14ac:dyDescent="0.2">
      <c r="A508" s="277">
        <f>IF(B508="","",COUNT('Diário 5º PA'!$A$5:$A$2634)+ROW()-4)</f>
        <v>1815</v>
      </c>
      <c r="B508" s="278">
        <v>44321</v>
      </c>
      <c r="C508" s="259">
        <v>44136</v>
      </c>
      <c r="D508" s="252" t="s">
        <v>104</v>
      </c>
      <c r="E508" s="252" t="s">
        <v>104</v>
      </c>
      <c r="F508" s="257">
        <v>78.400000000000006</v>
      </c>
      <c r="G508" s="252" t="s">
        <v>4478</v>
      </c>
      <c r="H508" s="252" t="s">
        <v>104</v>
      </c>
      <c r="I508" s="252" t="s">
        <v>465</v>
      </c>
      <c r="J508" s="250" t="s">
        <v>114</v>
      </c>
      <c r="K508" s="250" t="s">
        <v>466</v>
      </c>
      <c r="L508" s="250" t="s">
        <v>467</v>
      </c>
      <c r="M508" s="277">
        <v>2569</v>
      </c>
      <c r="N508" s="278">
        <v>44321</v>
      </c>
      <c r="O508" s="329" t="s">
        <v>69</v>
      </c>
      <c r="P508" s="330">
        <f t="shared" ref="P508:Q508" si="504">IF(B508=0,0,IF(YEAR(B508)=$Q$1,MONTH(B508)-$P$1+1,(YEAR(B508)-$Q$1)*12-$P$1+1+MONTH(B508)))</f>
        <v>5</v>
      </c>
      <c r="Q508" s="330">
        <f t="shared" si="504"/>
        <v>-1</v>
      </c>
      <c r="R508" s="331" t="str">
        <f t="shared" si="1"/>
        <v>Gastos_custeados_por_captação</v>
      </c>
      <c r="S508" s="331" t="str">
        <f>IF(D508="","",IF(OR(D508=Plano!$A$1,D508=Plano!$B$1),"entrada","saída"))</f>
        <v>saída</v>
      </c>
      <c r="T508" s="332" t="s">
        <v>114</v>
      </c>
      <c r="U508" s="332" t="s">
        <v>114</v>
      </c>
      <c r="V508" s="333"/>
    </row>
    <row r="509" spans="1:22" ht="75.75" customHeight="1" x14ac:dyDescent="0.2">
      <c r="A509" s="277">
        <f>IF(B509="","",COUNT('Diário 5º PA'!$A$5:$A$2634)+ROW()-4)</f>
        <v>1816</v>
      </c>
      <c r="B509" s="278">
        <v>44321</v>
      </c>
      <c r="C509" s="259">
        <v>44256</v>
      </c>
      <c r="D509" s="252" t="s">
        <v>104</v>
      </c>
      <c r="E509" s="252" t="s">
        <v>104</v>
      </c>
      <c r="F509" s="257">
        <v>346</v>
      </c>
      <c r="G509" s="252" t="s">
        <v>4479</v>
      </c>
      <c r="H509" s="252" t="s">
        <v>104</v>
      </c>
      <c r="I509" s="252" t="s">
        <v>465</v>
      </c>
      <c r="J509" s="250" t="s">
        <v>114</v>
      </c>
      <c r="K509" s="250" t="s">
        <v>466</v>
      </c>
      <c r="L509" s="250" t="s">
        <v>467</v>
      </c>
      <c r="M509" s="277">
        <v>2570</v>
      </c>
      <c r="N509" s="278">
        <v>44321</v>
      </c>
      <c r="O509" s="329" t="s">
        <v>69</v>
      </c>
      <c r="P509" s="330">
        <f t="shared" ref="P509:Q509" si="505">IF(B509=0,0,IF(YEAR(B509)=$Q$1,MONTH(B509)-$P$1+1,(YEAR(B509)-$Q$1)*12-$P$1+1+MONTH(B509)))</f>
        <v>5</v>
      </c>
      <c r="Q509" s="330">
        <f t="shared" si="505"/>
        <v>3</v>
      </c>
      <c r="R509" s="331" t="str">
        <f t="shared" si="1"/>
        <v>Gastos_custeados_por_captação</v>
      </c>
      <c r="S509" s="331" t="str">
        <f>IF(D509="","",IF(OR(D509=Plano!$A$1,D509=Plano!$B$1),"entrada","saída"))</f>
        <v>saída</v>
      </c>
      <c r="T509" s="332" t="s">
        <v>114</v>
      </c>
      <c r="U509" s="332" t="s">
        <v>114</v>
      </c>
      <c r="V509" s="333"/>
    </row>
    <row r="510" spans="1:22" ht="64.5" customHeight="1" x14ac:dyDescent="0.2">
      <c r="A510" s="277">
        <f>IF(B510="","",COUNT('Diário 5º PA'!$A$5:$A$2634)+ROW()-4)</f>
        <v>1817</v>
      </c>
      <c r="B510" s="278">
        <v>44321</v>
      </c>
      <c r="C510" s="259">
        <v>44256</v>
      </c>
      <c r="D510" s="252" t="s">
        <v>104</v>
      </c>
      <c r="E510" s="252" t="s">
        <v>104</v>
      </c>
      <c r="F510" s="257">
        <v>447.68</v>
      </c>
      <c r="G510" s="252" t="s">
        <v>4480</v>
      </c>
      <c r="H510" s="252" t="s">
        <v>104</v>
      </c>
      <c r="I510" s="252" t="s">
        <v>465</v>
      </c>
      <c r="J510" s="250" t="s">
        <v>114</v>
      </c>
      <c r="K510" s="250" t="s">
        <v>466</v>
      </c>
      <c r="L510" s="250" t="s">
        <v>467</v>
      </c>
      <c r="M510" s="277">
        <v>2571</v>
      </c>
      <c r="N510" s="278">
        <v>44321</v>
      </c>
      <c r="O510" s="329" t="s">
        <v>69</v>
      </c>
      <c r="P510" s="330">
        <f t="shared" ref="P510:Q510" si="506">IF(B510=0,0,IF(YEAR(B510)=$Q$1,MONTH(B510)-$P$1+1,(YEAR(B510)-$Q$1)*12-$P$1+1+MONTH(B510)))</f>
        <v>5</v>
      </c>
      <c r="Q510" s="330">
        <f t="shared" si="506"/>
        <v>3</v>
      </c>
      <c r="R510" s="331" t="str">
        <f t="shared" si="1"/>
        <v>Gastos_custeados_por_captação</v>
      </c>
      <c r="S510" s="331" t="str">
        <f>IF(D510="","",IF(OR(D510=Plano!$A$1,D510=Plano!$B$1),"entrada","saída"))</f>
        <v>saída</v>
      </c>
      <c r="T510" s="332" t="s">
        <v>114</v>
      </c>
      <c r="U510" s="332" t="s">
        <v>114</v>
      </c>
      <c r="V510" s="333"/>
    </row>
    <row r="511" spans="1:22" ht="64.5" customHeight="1" x14ac:dyDescent="0.2">
      <c r="A511" s="277">
        <f>IF(B511="","",COUNT('Diário 5º PA'!$A$5:$A$2634)+ROW()-4)</f>
        <v>1818</v>
      </c>
      <c r="B511" s="278">
        <v>44321</v>
      </c>
      <c r="C511" s="259">
        <v>44256</v>
      </c>
      <c r="D511" s="252" t="s">
        <v>104</v>
      </c>
      <c r="E511" s="252" t="s">
        <v>104</v>
      </c>
      <c r="F511" s="257">
        <v>125</v>
      </c>
      <c r="G511" s="252" t="s">
        <v>4481</v>
      </c>
      <c r="H511" s="252" t="s">
        <v>104</v>
      </c>
      <c r="I511" s="252" t="s">
        <v>465</v>
      </c>
      <c r="J511" s="250" t="s">
        <v>114</v>
      </c>
      <c r="K511" s="250" t="s">
        <v>466</v>
      </c>
      <c r="L511" s="250" t="s">
        <v>467</v>
      </c>
      <c r="M511" s="277">
        <v>2505</v>
      </c>
      <c r="N511" s="278">
        <v>44321</v>
      </c>
      <c r="O511" s="329" t="s">
        <v>70</v>
      </c>
      <c r="P511" s="330">
        <f t="shared" ref="P511:Q511" si="507">IF(B511=0,0,IF(YEAR(B511)=$Q$1,MONTH(B511)-$P$1+1,(YEAR(B511)-$Q$1)*12-$P$1+1+MONTH(B511)))</f>
        <v>5</v>
      </c>
      <c r="Q511" s="330">
        <f t="shared" si="507"/>
        <v>3</v>
      </c>
      <c r="R511" s="331" t="str">
        <f t="shared" si="1"/>
        <v>Gastos_custeados_por_captação</v>
      </c>
      <c r="S511" s="331" t="str">
        <f>IF(D511="","",IF(OR(D511=Plano!$A$1,D511=Plano!$B$1),"entrada","saída"))</f>
        <v>saída</v>
      </c>
      <c r="T511" s="332" t="s">
        <v>114</v>
      </c>
      <c r="U511" s="332" t="s">
        <v>114</v>
      </c>
      <c r="V511" s="333"/>
    </row>
    <row r="512" spans="1:22" ht="64.5" customHeight="1" x14ac:dyDescent="0.2">
      <c r="A512" s="277">
        <f>IF(B512="","",COUNT('Diário 5º PA'!$A$5:$A$2634)+ROW()-4)</f>
        <v>1819</v>
      </c>
      <c r="B512" s="278">
        <v>44321</v>
      </c>
      <c r="C512" s="259">
        <v>44105</v>
      </c>
      <c r="D512" s="252" t="s">
        <v>104</v>
      </c>
      <c r="E512" s="252" t="s">
        <v>104</v>
      </c>
      <c r="F512" s="257">
        <v>25</v>
      </c>
      <c r="G512" s="252" t="s">
        <v>4482</v>
      </c>
      <c r="H512" s="252" t="s">
        <v>104</v>
      </c>
      <c r="I512" s="252" t="s">
        <v>465</v>
      </c>
      <c r="J512" s="250" t="s">
        <v>114</v>
      </c>
      <c r="K512" s="250" t="s">
        <v>466</v>
      </c>
      <c r="L512" s="250" t="s">
        <v>467</v>
      </c>
      <c r="M512" s="277">
        <v>2506</v>
      </c>
      <c r="N512" s="278">
        <v>44321</v>
      </c>
      <c r="O512" s="329" t="s">
        <v>70</v>
      </c>
      <c r="P512" s="330">
        <f t="shared" ref="P512:Q512" si="508">IF(B512=0,0,IF(YEAR(B512)=$Q$1,MONTH(B512)-$P$1+1,(YEAR(B512)-$Q$1)*12-$P$1+1+MONTH(B512)))</f>
        <v>5</v>
      </c>
      <c r="Q512" s="330">
        <f t="shared" si="508"/>
        <v>-2</v>
      </c>
      <c r="R512" s="331" t="str">
        <f t="shared" si="1"/>
        <v>Gastos_custeados_por_captação</v>
      </c>
      <c r="S512" s="331" t="str">
        <f>IF(D512="","",IF(OR(D512=Plano!$A$1,D512=Plano!$B$1),"entrada","saída"))</f>
        <v>saída</v>
      </c>
      <c r="T512" s="332" t="s">
        <v>114</v>
      </c>
      <c r="U512" s="332" t="s">
        <v>114</v>
      </c>
      <c r="V512" s="333"/>
    </row>
    <row r="513" spans="1:22" ht="64.5" customHeight="1" x14ac:dyDescent="0.2">
      <c r="A513" s="277">
        <f>IF(B513="","",COUNT('Diário 5º PA'!$A$5:$A$2634)+ROW()-4)</f>
        <v>1820</v>
      </c>
      <c r="B513" s="278">
        <v>44321</v>
      </c>
      <c r="C513" s="259">
        <v>44287</v>
      </c>
      <c r="D513" s="252" t="s">
        <v>104</v>
      </c>
      <c r="E513" s="252" t="s">
        <v>104</v>
      </c>
      <c r="F513" s="257">
        <v>25</v>
      </c>
      <c r="G513" s="252" t="s">
        <v>4483</v>
      </c>
      <c r="H513" s="252" t="s">
        <v>104</v>
      </c>
      <c r="I513" s="250" t="s">
        <v>465</v>
      </c>
      <c r="J513" s="250" t="s">
        <v>114</v>
      </c>
      <c r="K513" s="250" t="s">
        <v>466</v>
      </c>
      <c r="L513" s="250" t="s">
        <v>467</v>
      </c>
      <c r="M513" s="277">
        <v>2507</v>
      </c>
      <c r="N513" s="278">
        <v>44321</v>
      </c>
      <c r="O513" s="329" t="s">
        <v>70</v>
      </c>
      <c r="P513" s="330">
        <f t="shared" ref="P513:Q513" si="509">IF(B513=0,0,IF(YEAR(B513)=$Q$1,MONTH(B513)-$P$1+1,(YEAR(B513)-$Q$1)*12-$P$1+1+MONTH(B513)))</f>
        <v>5</v>
      </c>
      <c r="Q513" s="330">
        <f t="shared" si="509"/>
        <v>4</v>
      </c>
      <c r="R513" s="331" t="str">
        <f t="shared" si="1"/>
        <v>Gastos_custeados_por_captação</v>
      </c>
      <c r="S513" s="331" t="str">
        <f>IF(D513="","",IF(OR(D513=Plano!$A$1,D513=Plano!$B$1),"entrada","saída"))</f>
        <v>saída</v>
      </c>
      <c r="T513" s="332" t="s">
        <v>114</v>
      </c>
      <c r="U513" s="332" t="s">
        <v>114</v>
      </c>
      <c r="V513" s="333"/>
    </row>
    <row r="514" spans="1:22" ht="64.5" customHeight="1" x14ac:dyDescent="0.2">
      <c r="A514" s="277">
        <f>IF(B514="","",COUNT('Diário 5º PA'!$A$5:$A$2634)+ROW()-4)</f>
        <v>1821</v>
      </c>
      <c r="B514" s="278">
        <v>44321</v>
      </c>
      <c r="C514" s="259">
        <v>44256</v>
      </c>
      <c r="D514" s="252" t="s">
        <v>104</v>
      </c>
      <c r="E514" s="252" t="s">
        <v>104</v>
      </c>
      <c r="F514" s="257">
        <v>160</v>
      </c>
      <c r="G514" s="252" t="s">
        <v>4484</v>
      </c>
      <c r="H514" s="252" t="s">
        <v>104</v>
      </c>
      <c r="I514" s="252" t="s">
        <v>465</v>
      </c>
      <c r="J514" s="250" t="s">
        <v>114</v>
      </c>
      <c r="K514" s="250" t="s">
        <v>466</v>
      </c>
      <c r="L514" s="250" t="s">
        <v>467</v>
      </c>
      <c r="M514" s="277">
        <v>2498</v>
      </c>
      <c r="N514" s="278">
        <v>44321</v>
      </c>
      <c r="O514" s="329" t="s">
        <v>71</v>
      </c>
      <c r="P514" s="330">
        <f t="shared" ref="P514:Q514" si="510">IF(B514=0,0,IF(YEAR(B514)=$Q$1,MONTH(B514)-$P$1+1,(YEAR(B514)-$Q$1)*12-$P$1+1+MONTH(B514)))</f>
        <v>5</v>
      </c>
      <c r="Q514" s="330">
        <f t="shared" si="510"/>
        <v>3</v>
      </c>
      <c r="R514" s="331" t="str">
        <f t="shared" si="1"/>
        <v>Gastos_custeados_por_captação</v>
      </c>
      <c r="S514" s="331" t="str">
        <f>IF(D514="","",IF(OR(D514=Plano!$A$1,D514=Plano!$B$1),"entrada","saída"))</f>
        <v>saída</v>
      </c>
      <c r="T514" s="332" t="s">
        <v>114</v>
      </c>
      <c r="U514" s="332" t="s">
        <v>114</v>
      </c>
      <c r="V514" s="333"/>
    </row>
    <row r="515" spans="1:22" ht="64.5" customHeight="1" x14ac:dyDescent="0.2">
      <c r="A515" s="277">
        <f>IF(B515="","",COUNT('Diário 5º PA'!$A$5:$A$2634)+ROW()-4)</f>
        <v>1822</v>
      </c>
      <c r="B515" s="278">
        <v>44321</v>
      </c>
      <c r="C515" s="259">
        <v>44256</v>
      </c>
      <c r="D515" s="252" t="s">
        <v>104</v>
      </c>
      <c r="E515" s="252" t="s">
        <v>104</v>
      </c>
      <c r="F515" s="257">
        <v>60</v>
      </c>
      <c r="G515" s="252" t="s">
        <v>4485</v>
      </c>
      <c r="H515" s="252" t="s">
        <v>104</v>
      </c>
      <c r="I515" s="252" t="s">
        <v>465</v>
      </c>
      <c r="J515" s="250" t="s">
        <v>114</v>
      </c>
      <c r="K515" s="250" t="s">
        <v>466</v>
      </c>
      <c r="L515" s="250" t="s">
        <v>467</v>
      </c>
      <c r="M515" s="277">
        <v>2499</v>
      </c>
      <c r="N515" s="278">
        <v>44321</v>
      </c>
      <c r="O515" s="329" t="s">
        <v>71</v>
      </c>
      <c r="P515" s="330">
        <f t="shared" ref="P515:Q515" si="511">IF(B515=0,0,IF(YEAR(B515)=$Q$1,MONTH(B515)-$P$1+1,(YEAR(B515)-$Q$1)*12-$P$1+1+MONTH(B515)))</f>
        <v>5</v>
      </c>
      <c r="Q515" s="330">
        <f t="shared" si="511"/>
        <v>3</v>
      </c>
      <c r="R515" s="331" t="str">
        <f t="shared" si="1"/>
        <v>Gastos_custeados_por_captação</v>
      </c>
      <c r="S515" s="331" t="str">
        <f>IF(D515="","",IF(OR(D515=Plano!$A$1,D515=Plano!$B$1),"entrada","saída"))</f>
        <v>saída</v>
      </c>
      <c r="T515" s="332" t="s">
        <v>114</v>
      </c>
      <c r="U515" s="332" t="s">
        <v>114</v>
      </c>
      <c r="V515" s="333"/>
    </row>
    <row r="516" spans="1:22" ht="64.5" customHeight="1" x14ac:dyDescent="0.2">
      <c r="A516" s="277">
        <f>IF(B516="","",COUNT('Diário 5º PA'!$A$5:$A$2634)+ROW()-4)</f>
        <v>1823</v>
      </c>
      <c r="B516" s="278">
        <v>44321</v>
      </c>
      <c r="C516" s="259">
        <v>44256</v>
      </c>
      <c r="D516" s="252" t="s">
        <v>104</v>
      </c>
      <c r="E516" s="252" t="s">
        <v>104</v>
      </c>
      <c r="F516" s="257">
        <v>125</v>
      </c>
      <c r="G516" s="252" t="s">
        <v>4486</v>
      </c>
      <c r="H516" s="252" t="s">
        <v>104</v>
      </c>
      <c r="I516" s="252" t="s">
        <v>465</v>
      </c>
      <c r="J516" s="250" t="s">
        <v>114</v>
      </c>
      <c r="K516" s="250" t="s">
        <v>466</v>
      </c>
      <c r="L516" s="250" t="s">
        <v>467</v>
      </c>
      <c r="M516" s="277">
        <v>2500</v>
      </c>
      <c r="N516" s="278">
        <v>44321</v>
      </c>
      <c r="O516" s="329" t="s">
        <v>71</v>
      </c>
      <c r="P516" s="330">
        <f t="shared" ref="P516:Q516" si="512">IF(B516=0,0,IF(YEAR(B516)=$Q$1,MONTH(B516)-$P$1+1,(YEAR(B516)-$Q$1)*12-$P$1+1+MONTH(B516)))</f>
        <v>5</v>
      </c>
      <c r="Q516" s="330">
        <f t="shared" si="512"/>
        <v>3</v>
      </c>
      <c r="R516" s="331" t="str">
        <f t="shared" si="1"/>
        <v>Gastos_custeados_por_captação</v>
      </c>
      <c r="S516" s="331" t="str">
        <f>IF(D516="","",IF(OR(D516=Plano!$A$1,D516=Plano!$B$1),"entrada","saída"))</f>
        <v>saída</v>
      </c>
      <c r="T516" s="332" t="s">
        <v>114</v>
      </c>
      <c r="U516" s="332" t="s">
        <v>114</v>
      </c>
      <c r="V516" s="333"/>
    </row>
    <row r="517" spans="1:22" ht="64.5" customHeight="1" x14ac:dyDescent="0.2">
      <c r="A517" s="277">
        <f>IF(B517="","",COUNT('Diário 5º PA'!$A$5:$A$2634)+ROW()-4)</f>
        <v>1824</v>
      </c>
      <c r="B517" s="278">
        <v>44321</v>
      </c>
      <c r="C517" s="259">
        <v>44256</v>
      </c>
      <c r="D517" s="252" t="s">
        <v>104</v>
      </c>
      <c r="E517" s="252" t="s">
        <v>104</v>
      </c>
      <c r="F517" s="257">
        <v>15</v>
      </c>
      <c r="G517" s="252" t="s">
        <v>4487</v>
      </c>
      <c r="H517" s="252" t="s">
        <v>104</v>
      </c>
      <c r="I517" s="252" t="s">
        <v>465</v>
      </c>
      <c r="J517" s="250" t="s">
        <v>114</v>
      </c>
      <c r="K517" s="250" t="s">
        <v>466</v>
      </c>
      <c r="L517" s="250" t="s">
        <v>467</v>
      </c>
      <c r="M517" s="277">
        <v>2501</v>
      </c>
      <c r="N517" s="278">
        <v>44321</v>
      </c>
      <c r="O517" s="329" t="s">
        <v>71</v>
      </c>
      <c r="P517" s="330">
        <f t="shared" ref="P517:Q517" si="513">IF(B517=0,0,IF(YEAR(B517)=$Q$1,MONTH(B517)-$P$1+1,(YEAR(B517)-$Q$1)*12-$P$1+1+MONTH(B517)))</f>
        <v>5</v>
      </c>
      <c r="Q517" s="330">
        <f t="shared" si="513"/>
        <v>3</v>
      </c>
      <c r="R517" s="331" t="str">
        <f t="shared" si="1"/>
        <v>Gastos_custeados_por_captação</v>
      </c>
      <c r="S517" s="331" t="str">
        <f>IF(D517="","",IF(OR(D517=Plano!$A$1,D517=Plano!$B$1),"entrada","saída"))</f>
        <v>saída</v>
      </c>
      <c r="T517" s="332" t="s">
        <v>114</v>
      </c>
      <c r="U517" s="332" t="s">
        <v>114</v>
      </c>
      <c r="V517" s="333"/>
    </row>
    <row r="518" spans="1:22" ht="64.5" customHeight="1" x14ac:dyDescent="0.2">
      <c r="A518" s="277">
        <f>IF(B518="","",COUNT('Diário 5º PA'!$A$5:$A$2634)+ROW()-4)</f>
        <v>1825</v>
      </c>
      <c r="B518" s="278">
        <v>44321</v>
      </c>
      <c r="C518" s="259">
        <v>44256</v>
      </c>
      <c r="D518" s="252" t="s">
        <v>104</v>
      </c>
      <c r="E518" s="252" t="s">
        <v>104</v>
      </c>
      <c r="F518" s="257">
        <v>77.180000000000007</v>
      </c>
      <c r="G518" s="252" t="s">
        <v>4488</v>
      </c>
      <c r="H518" s="252" t="s">
        <v>104</v>
      </c>
      <c r="I518" s="252" t="s">
        <v>465</v>
      </c>
      <c r="J518" s="250" t="s">
        <v>114</v>
      </c>
      <c r="K518" s="250" t="s">
        <v>466</v>
      </c>
      <c r="L518" s="250" t="s">
        <v>467</v>
      </c>
      <c r="M518" s="277">
        <v>2502</v>
      </c>
      <c r="N518" s="278">
        <v>44321</v>
      </c>
      <c r="O518" s="329" t="s">
        <v>71</v>
      </c>
      <c r="P518" s="330">
        <f t="shared" ref="P518:Q518" si="514">IF(B518=0,0,IF(YEAR(B518)=$Q$1,MONTH(B518)-$P$1+1,(YEAR(B518)-$Q$1)*12-$P$1+1+MONTH(B518)))</f>
        <v>5</v>
      </c>
      <c r="Q518" s="330">
        <f t="shared" si="514"/>
        <v>3</v>
      </c>
      <c r="R518" s="331" t="str">
        <f t="shared" si="1"/>
        <v>Gastos_custeados_por_captação</v>
      </c>
      <c r="S518" s="331" t="str">
        <f>IF(D518="","",IF(OR(D518=Plano!$A$1,D518=Plano!$B$1),"entrada","saída"))</f>
        <v>saída</v>
      </c>
      <c r="T518" s="332" t="s">
        <v>114</v>
      </c>
      <c r="U518" s="332" t="s">
        <v>114</v>
      </c>
      <c r="V518" s="333"/>
    </row>
    <row r="519" spans="1:22" ht="249.75" customHeight="1" x14ac:dyDescent="0.2">
      <c r="A519" s="277">
        <f>IF(B519="","",COUNT('Diário 5º PA'!$A$5:$A$2634)+ROW()-4)</f>
        <v>1826</v>
      </c>
      <c r="B519" s="278">
        <v>44322</v>
      </c>
      <c r="C519" s="259">
        <v>44287</v>
      </c>
      <c r="D519" s="252" t="s">
        <v>99</v>
      </c>
      <c r="E519" s="252" t="s">
        <v>330</v>
      </c>
      <c r="F519" s="257">
        <v>1260</v>
      </c>
      <c r="G519" s="252" t="s">
        <v>574</v>
      </c>
      <c r="H519" s="252" t="s">
        <v>128</v>
      </c>
      <c r="I519" s="252" t="s">
        <v>1354</v>
      </c>
      <c r="J519" s="250" t="s">
        <v>576</v>
      </c>
      <c r="K519" s="255" t="s">
        <v>991</v>
      </c>
      <c r="L519" s="250" t="s">
        <v>1029</v>
      </c>
      <c r="M519" s="277">
        <v>1172</v>
      </c>
      <c r="N519" s="278">
        <v>44342</v>
      </c>
      <c r="O519" s="329" t="s">
        <v>67</v>
      </c>
      <c r="P519" s="330">
        <f t="shared" ref="P519:Q519" si="515">IF(B519=0,0,IF(YEAR(B519)=$Q$1,MONTH(B519)-$P$1+1,(YEAR(B519)-$Q$1)*12-$P$1+1+MONTH(B519)))</f>
        <v>5</v>
      </c>
      <c r="Q519" s="330">
        <f t="shared" si="515"/>
        <v>4</v>
      </c>
      <c r="R519" s="331" t="str">
        <f t="shared" si="1"/>
        <v>Gastos_Gerais</v>
      </c>
      <c r="S519" s="331" t="str">
        <f>IF(D519="","",IF(OR(D519=Plano!$A$1,D519=Plano!$B$1),"entrada","saída"))</f>
        <v>saída</v>
      </c>
      <c r="T519" s="332" t="s">
        <v>1059</v>
      </c>
      <c r="U519" s="332">
        <v>1350</v>
      </c>
      <c r="V519" s="333"/>
    </row>
    <row r="520" spans="1:22" ht="166.5" customHeight="1" x14ac:dyDescent="0.2">
      <c r="A520" s="277">
        <f>IF(B520="","",COUNT('Diário 5º PA'!$A$5:$A$2634)+ROW()-4)</f>
        <v>1827</v>
      </c>
      <c r="B520" s="278">
        <v>44322</v>
      </c>
      <c r="C520" s="259">
        <v>44317</v>
      </c>
      <c r="D520" s="252" t="s">
        <v>99</v>
      </c>
      <c r="E520" s="252" t="s">
        <v>372</v>
      </c>
      <c r="F520" s="257">
        <v>2500</v>
      </c>
      <c r="G520" s="252" t="s">
        <v>471</v>
      </c>
      <c r="H520" s="252" t="s">
        <v>129</v>
      </c>
      <c r="I520" s="252" t="s">
        <v>1285</v>
      </c>
      <c r="J520" s="250" t="s">
        <v>473</v>
      </c>
      <c r="K520" s="255" t="s">
        <v>991</v>
      </c>
      <c r="L520" s="250" t="s">
        <v>1016</v>
      </c>
      <c r="M520" s="277">
        <v>119</v>
      </c>
      <c r="N520" s="278">
        <v>44322</v>
      </c>
      <c r="O520" s="329" t="s">
        <v>67</v>
      </c>
      <c r="P520" s="330">
        <f t="shared" ref="P520:Q520" si="516">IF(B520=0,0,IF(YEAR(B520)=$Q$1,MONTH(B520)-$P$1+1,(YEAR(B520)-$Q$1)*12-$P$1+1+MONTH(B520)))</f>
        <v>5</v>
      </c>
      <c r="Q520" s="330">
        <f t="shared" si="516"/>
        <v>5</v>
      </c>
      <c r="R520" s="331" t="str">
        <f t="shared" si="1"/>
        <v>Gastos_Gerais</v>
      </c>
      <c r="S520" s="331" t="str">
        <f>IF(D520="","",IF(OR(D520=Plano!$A$1,D520=Plano!$B$1),"entrada","saída"))</f>
        <v>saída</v>
      </c>
      <c r="T520" s="332" t="s">
        <v>1059</v>
      </c>
      <c r="U520" s="332">
        <v>1275</v>
      </c>
      <c r="V520" s="333"/>
    </row>
    <row r="521" spans="1:22" ht="99.75" customHeight="1" x14ac:dyDescent="0.2">
      <c r="A521" s="277">
        <f>IF(B521="","",COUNT('Diário 5º PA'!$A$5:$A$2634)+ROW()-4)</f>
        <v>1828</v>
      </c>
      <c r="B521" s="278">
        <v>44322</v>
      </c>
      <c r="C521" s="259">
        <v>44287</v>
      </c>
      <c r="D521" s="252" t="s">
        <v>99</v>
      </c>
      <c r="E521" s="252" t="s">
        <v>336</v>
      </c>
      <c r="F521" s="257">
        <v>1720</v>
      </c>
      <c r="G521" s="252" t="s">
        <v>4489</v>
      </c>
      <c r="H521" s="252" t="s">
        <v>116</v>
      </c>
      <c r="I521" s="252" t="s">
        <v>4490</v>
      </c>
      <c r="J521" s="250" t="s">
        <v>4491</v>
      </c>
      <c r="K521" s="255" t="s">
        <v>991</v>
      </c>
      <c r="L521" s="250" t="s">
        <v>1029</v>
      </c>
      <c r="M521" s="277">
        <v>1144</v>
      </c>
      <c r="N521" s="278">
        <v>44319</v>
      </c>
      <c r="O521" s="329" t="s">
        <v>67</v>
      </c>
      <c r="P521" s="330">
        <f t="shared" ref="P521:Q521" si="517">IF(B521=0,0,IF(YEAR(B521)=$Q$1,MONTH(B521)-$P$1+1,(YEAR(B521)-$Q$1)*12-$P$1+1+MONTH(B521)))</f>
        <v>5</v>
      </c>
      <c r="Q521" s="330">
        <f t="shared" si="517"/>
        <v>4</v>
      </c>
      <c r="R521" s="331" t="str">
        <f t="shared" si="1"/>
        <v>Gastos_Gerais</v>
      </c>
      <c r="S521" s="331" t="str">
        <f>IF(D521="","",IF(OR(D521=Plano!$A$1,D521=Plano!$B$1),"entrada","saída"))</f>
        <v>saída</v>
      </c>
      <c r="T521" s="332" t="s">
        <v>1059</v>
      </c>
      <c r="U521" s="332">
        <v>1528</v>
      </c>
      <c r="V521" s="333"/>
    </row>
    <row r="522" spans="1:22" ht="127.5" customHeight="1" x14ac:dyDescent="0.2">
      <c r="A522" s="277">
        <f>IF(B522="","",COUNT('Diário 5º PA'!$A$5:$A$2634)+ROW()-4)</f>
        <v>1829</v>
      </c>
      <c r="B522" s="278">
        <v>44322</v>
      </c>
      <c r="C522" s="259">
        <v>44287</v>
      </c>
      <c r="D522" s="252" t="s">
        <v>99</v>
      </c>
      <c r="E522" s="252" t="s">
        <v>346</v>
      </c>
      <c r="F522" s="257">
        <v>1998.6</v>
      </c>
      <c r="G522" s="252" t="s">
        <v>4492</v>
      </c>
      <c r="H522" s="252" t="s">
        <v>125</v>
      </c>
      <c r="I522" s="252" t="s">
        <v>4493</v>
      </c>
      <c r="J522" s="250" t="s">
        <v>4494</v>
      </c>
      <c r="K522" s="255" t="s">
        <v>991</v>
      </c>
      <c r="L522" s="250" t="s">
        <v>1029</v>
      </c>
      <c r="M522" s="277">
        <v>1154</v>
      </c>
      <c r="N522" s="278">
        <v>44321</v>
      </c>
      <c r="O522" s="329" t="s">
        <v>67</v>
      </c>
      <c r="P522" s="330">
        <f t="shared" ref="P522:Q522" si="518">IF(B522=0,0,IF(YEAR(B522)=$Q$1,MONTH(B522)-$P$1+1,(YEAR(B522)-$Q$1)*12-$P$1+1+MONTH(B522)))</f>
        <v>5</v>
      </c>
      <c r="Q522" s="330">
        <f t="shared" si="518"/>
        <v>4</v>
      </c>
      <c r="R522" s="331" t="str">
        <f t="shared" si="1"/>
        <v>Gastos_Gerais</v>
      </c>
      <c r="S522" s="331" t="str">
        <f>IF(D522="","",IF(OR(D522=Plano!$A$1,D522=Plano!$B$1),"entrada","saída"))</f>
        <v>saída</v>
      </c>
      <c r="T522" s="332" t="s">
        <v>994</v>
      </c>
      <c r="U522" s="332">
        <v>1431</v>
      </c>
      <c r="V522" s="333"/>
    </row>
    <row r="523" spans="1:22" ht="132.75" customHeight="1" x14ac:dyDescent="0.2">
      <c r="A523" s="277">
        <f>IF(B523="","",COUNT('Diário 5º PA'!$A$5:$A$2634)+ROW()-4)</f>
        <v>1830</v>
      </c>
      <c r="B523" s="278">
        <v>44322</v>
      </c>
      <c r="C523" s="259">
        <v>44287</v>
      </c>
      <c r="D523" s="252" t="s">
        <v>99</v>
      </c>
      <c r="E523" s="252" t="s">
        <v>364</v>
      </c>
      <c r="F523" s="257">
        <v>5389.45</v>
      </c>
      <c r="G523" s="252" t="s">
        <v>570</v>
      </c>
      <c r="H523" s="252" t="s">
        <v>132</v>
      </c>
      <c r="I523" s="252" t="s">
        <v>1300</v>
      </c>
      <c r="J523" s="250" t="s">
        <v>572</v>
      </c>
      <c r="K523" s="255" t="s">
        <v>991</v>
      </c>
      <c r="L523" s="250" t="s">
        <v>1016</v>
      </c>
      <c r="M523" s="278" t="s">
        <v>1600</v>
      </c>
      <c r="N523" s="278">
        <v>44322</v>
      </c>
      <c r="O523" s="329" t="s">
        <v>67</v>
      </c>
      <c r="P523" s="330">
        <f t="shared" ref="P523:Q523" si="519">IF(B523=0,0,IF(YEAR(B523)=$Q$1,MONTH(B523)-$P$1+1,(YEAR(B523)-$Q$1)*12-$P$1+1+MONTH(B523)))</f>
        <v>5</v>
      </c>
      <c r="Q523" s="330">
        <f t="shared" si="519"/>
        <v>4</v>
      </c>
      <c r="R523" s="331" t="str">
        <f t="shared" si="1"/>
        <v>Gastos_Gerais</v>
      </c>
      <c r="S523" s="331" t="str">
        <f>IF(D523="","",IF(OR(D523=Plano!$A$1,D523=Plano!$B$1),"entrada","saída"))</f>
        <v>saída</v>
      </c>
      <c r="T523" s="332" t="s">
        <v>1059</v>
      </c>
      <c r="U523" s="332">
        <v>1339</v>
      </c>
      <c r="V523" s="333"/>
    </row>
    <row r="524" spans="1:22" ht="177" customHeight="1" x14ac:dyDescent="0.2">
      <c r="A524" s="277">
        <f>IF(B524="","",COUNT('Diário 5º PA'!$A$5:$A$2634)+ROW()-4)</f>
        <v>1831</v>
      </c>
      <c r="B524" s="278">
        <v>44322</v>
      </c>
      <c r="C524" s="259">
        <v>44287</v>
      </c>
      <c r="D524" s="252" t="s">
        <v>99</v>
      </c>
      <c r="E524" s="252" t="s">
        <v>352</v>
      </c>
      <c r="F524" s="257">
        <v>4750</v>
      </c>
      <c r="G524" s="252" t="s">
        <v>3429</v>
      </c>
      <c r="H524" s="252" t="s">
        <v>126</v>
      </c>
      <c r="I524" s="252" t="s">
        <v>3430</v>
      </c>
      <c r="J524" s="250" t="s">
        <v>3431</v>
      </c>
      <c r="K524" s="255" t="s">
        <v>991</v>
      </c>
      <c r="L524" s="250" t="s">
        <v>1016</v>
      </c>
      <c r="M524" s="277" t="s">
        <v>1600</v>
      </c>
      <c r="N524" s="278">
        <v>44322</v>
      </c>
      <c r="O524" s="329" t="s">
        <v>67</v>
      </c>
      <c r="P524" s="330">
        <f t="shared" ref="P524:Q524" si="520">IF(B524=0,0,IF(YEAR(B524)=$Q$1,MONTH(B524)-$P$1+1,(YEAR(B524)-$Q$1)*12-$P$1+1+MONTH(B524)))</f>
        <v>5</v>
      </c>
      <c r="Q524" s="330">
        <f t="shared" si="520"/>
        <v>4</v>
      </c>
      <c r="R524" s="331" t="str">
        <f t="shared" si="1"/>
        <v>Gastos_Gerais</v>
      </c>
      <c r="S524" s="331" t="str">
        <f>IF(D524="","",IF(OR(D524=Plano!$A$1,D524=Plano!$B$1),"entrada","saída"))</f>
        <v>saída</v>
      </c>
      <c r="T524" s="332" t="s">
        <v>1059</v>
      </c>
      <c r="U524" s="332">
        <v>1270</v>
      </c>
      <c r="V524" s="333"/>
    </row>
    <row r="525" spans="1:22" ht="86.25" customHeight="1" x14ac:dyDescent="0.2">
      <c r="A525" s="277">
        <f>IF(B525="","",COUNT('Diário 5º PA'!$A$5:$A$2634)+ROW()-4)</f>
        <v>1832</v>
      </c>
      <c r="B525" s="278">
        <v>44322</v>
      </c>
      <c r="C525" s="259">
        <v>44317</v>
      </c>
      <c r="D525" s="252" t="s">
        <v>99</v>
      </c>
      <c r="E525" s="252" t="s">
        <v>352</v>
      </c>
      <c r="F525" s="257">
        <v>3325</v>
      </c>
      <c r="G525" s="252" t="s">
        <v>564</v>
      </c>
      <c r="H525" s="252" t="s">
        <v>131</v>
      </c>
      <c r="I525" s="252" t="s">
        <v>1740</v>
      </c>
      <c r="J525" s="250" t="s">
        <v>567</v>
      </c>
      <c r="K525" s="255" t="s">
        <v>991</v>
      </c>
      <c r="L525" s="250" t="s">
        <v>1016</v>
      </c>
      <c r="M525" s="277" t="s">
        <v>1061</v>
      </c>
      <c r="N525" s="278">
        <v>44322</v>
      </c>
      <c r="O525" s="329" t="s">
        <v>67</v>
      </c>
      <c r="P525" s="330">
        <f t="shared" ref="P525:Q525" si="521">IF(B525=0,0,IF(YEAR(B525)=$Q$1,MONTH(B525)-$P$1+1,(YEAR(B525)-$Q$1)*12-$P$1+1+MONTH(B525)))</f>
        <v>5</v>
      </c>
      <c r="Q525" s="330">
        <f t="shared" si="521"/>
        <v>5</v>
      </c>
      <c r="R525" s="331" t="str">
        <f t="shared" si="1"/>
        <v>Gastos_Gerais</v>
      </c>
      <c r="S525" s="331" t="str">
        <f>IF(D525="","",IF(OR(D525=Plano!$A$1,D525=Plano!$B$1),"entrada","saída"))</f>
        <v>saída</v>
      </c>
      <c r="T525" s="332" t="s">
        <v>1059</v>
      </c>
      <c r="U525" s="332">
        <v>1279</v>
      </c>
      <c r="V525" s="333"/>
    </row>
    <row r="526" spans="1:22" ht="106.5" customHeight="1" x14ac:dyDescent="0.2">
      <c r="A526" s="277">
        <f>IF(B526="","",COUNT('Diário 5º PA'!$A$5:$A$2634)+ROW()-4)</f>
        <v>1833</v>
      </c>
      <c r="B526" s="278">
        <v>44322</v>
      </c>
      <c r="C526" s="259">
        <v>44287</v>
      </c>
      <c r="D526" s="252" t="s">
        <v>99</v>
      </c>
      <c r="E526" s="252" t="s">
        <v>364</v>
      </c>
      <c r="F526" s="257">
        <v>3200</v>
      </c>
      <c r="G526" s="252" t="s">
        <v>4495</v>
      </c>
      <c r="H526" s="252" t="s">
        <v>118</v>
      </c>
      <c r="I526" s="252" t="s">
        <v>4496</v>
      </c>
      <c r="J526" s="250" t="s">
        <v>705</v>
      </c>
      <c r="K526" s="255" t="s">
        <v>991</v>
      </c>
      <c r="L526" s="250" t="s">
        <v>1016</v>
      </c>
      <c r="M526" s="277" t="s">
        <v>1256</v>
      </c>
      <c r="N526" s="278">
        <v>44322</v>
      </c>
      <c r="O526" s="329" t="s">
        <v>67</v>
      </c>
      <c r="P526" s="330">
        <f t="shared" ref="P526:Q526" si="522">IF(B526=0,0,IF(YEAR(B526)=$Q$1,MONTH(B526)-$P$1+1,(YEAR(B526)-$Q$1)*12-$P$1+1+MONTH(B526)))</f>
        <v>5</v>
      </c>
      <c r="Q526" s="330">
        <f t="shared" si="522"/>
        <v>4</v>
      </c>
      <c r="R526" s="331" t="str">
        <f t="shared" si="1"/>
        <v>Gastos_Gerais</v>
      </c>
      <c r="S526" s="331" t="str">
        <f>IF(D526="","",IF(OR(D526=Plano!$A$1,D526=Plano!$B$1),"entrada","saída"))</f>
        <v>saída</v>
      </c>
      <c r="T526" s="332" t="s">
        <v>994</v>
      </c>
      <c r="U526" s="332">
        <v>1515</v>
      </c>
      <c r="V526" s="333"/>
    </row>
    <row r="527" spans="1:22" ht="78" customHeight="1" x14ac:dyDescent="0.2">
      <c r="A527" s="277">
        <f>IF(B527="","",COUNT('Diário 5º PA'!$A$5:$A$2634)+ROW()-4)</f>
        <v>1834</v>
      </c>
      <c r="B527" s="278">
        <v>44322</v>
      </c>
      <c r="C527" s="259">
        <v>44287</v>
      </c>
      <c r="D527" s="252" t="s">
        <v>99</v>
      </c>
      <c r="E527" s="252" t="s">
        <v>352</v>
      </c>
      <c r="F527" s="257">
        <v>2850</v>
      </c>
      <c r="G527" s="252" t="s">
        <v>564</v>
      </c>
      <c r="H527" s="252" t="s">
        <v>131</v>
      </c>
      <c r="I527" s="252" t="s">
        <v>4227</v>
      </c>
      <c r="J527" s="250" t="s">
        <v>565</v>
      </c>
      <c r="K527" s="255" t="s">
        <v>991</v>
      </c>
      <c r="L527" s="250" t="s">
        <v>1016</v>
      </c>
      <c r="M527" s="277" t="s">
        <v>1296</v>
      </c>
      <c r="N527" s="278">
        <v>44322</v>
      </c>
      <c r="O527" s="329" t="s">
        <v>67</v>
      </c>
      <c r="P527" s="330">
        <f t="shared" ref="P527:Q527" si="523">IF(B527=0,0,IF(YEAR(B527)=$Q$1,MONTH(B527)-$P$1+1,(YEAR(B527)-$Q$1)*12-$P$1+1+MONTH(B527)))</f>
        <v>5</v>
      </c>
      <c r="Q527" s="330">
        <f t="shared" si="523"/>
        <v>4</v>
      </c>
      <c r="R527" s="331" t="str">
        <f t="shared" si="1"/>
        <v>Gastos_Gerais</v>
      </c>
      <c r="S527" s="331" t="str">
        <f>IF(D527="","",IF(OR(D527=Plano!$A$1,D527=Plano!$B$1),"entrada","saída"))</f>
        <v>saída</v>
      </c>
      <c r="T527" s="332" t="s">
        <v>1059</v>
      </c>
      <c r="U527" s="332">
        <v>1280</v>
      </c>
      <c r="V527" s="333"/>
    </row>
    <row r="528" spans="1:22" ht="135.75" customHeight="1" x14ac:dyDescent="0.2">
      <c r="A528" s="277">
        <f>IF(B528="","",COUNT('Diário 5º PA'!$A$5:$A$2634)+ROW()-4)</f>
        <v>1835</v>
      </c>
      <c r="B528" s="278">
        <v>44322</v>
      </c>
      <c r="C528" s="259">
        <v>44287</v>
      </c>
      <c r="D528" s="252" t="s">
        <v>99</v>
      </c>
      <c r="E528" s="252" t="s">
        <v>262</v>
      </c>
      <c r="F528" s="257">
        <v>5500</v>
      </c>
      <c r="G528" s="252" t="s">
        <v>637</v>
      </c>
      <c r="H528" s="252" t="s">
        <v>115</v>
      </c>
      <c r="I528" s="252" t="s">
        <v>3175</v>
      </c>
      <c r="J528" s="250" t="s">
        <v>639</v>
      </c>
      <c r="K528" s="255" t="s">
        <v>991</v>
      </c>
      <c r="L528" s="250" t="s">
        <v>1016</v>
      </c>
      <c r="M528" s="277" t="s">
        <v>1296</v>
      </c>
      <c r="N528" s="278">
        <v>44322</v>
      </c>
      <c r="O528" s="329" t="s">
        <v>67</v>
      </c>
      <c r="P528" s="330">
        <f t="shared" ref="P528:Q528" si="524">IF(B528=0,0,IF(YEAR(B528)=$Q$1,MONTH(B528)-$P$1+1,(YEAR(B528)-$Q$1)*12-$P$1+1+MONTH(B528)))</f>
        <v>5</v>
      </c>
      <c r="Q528" s="330">
        <f t="shared" si="524"/>
        <v>4</v>
      </c>
      <c r="R528" s="331" t="str">
        <f t="shared" si="1"/>
        <v>Gastos_Gerais</v>
      </c>
      <c r="S528" s="331" t="str">
        <f>IF(D528="","",IF(OR(D528=Plano!$A$1,D528=Plano!$B$1),"entrada","saída"))</f>
        <v>saída</v>
      </c>
      <c r="T528" s="332" t="s">
        <v>1059</v>
      </c>
      <c r="U528" s="332">
        <v>1473</v>
      </c>
      <c r="V528" s="333"/>
    </row>
    <row r="529" spans="1:22" ht="72.75" customHeight="1" x14ac:dyDescent="0.2">
      <c r="A529" s="277">
        <f>IF(B529="","",COUNT('Diário 5º PA'!$A$5:$A$2634)+ROW()-4)</f>
        <v>1836</v>
      </c>
      <c r="B529" s="278">
        <v>44322</v>
      </c>
      <c r="C529" s="249">
        <v>44317</v>
      </c>
      <c r="D529" s="255" t="s">
        <v>99</v>
      </c>
      <c r="E529" s="255" t="s">
        <v>272</v>
      </c>
      <c r="F529" s="258">
        <v>10.45</v>
      </c>
      <c r="G529" s="255" t="s">
        <v>4497</v>
      </c>
      <c r="H529" s="252" t="s">
        <v>116</v>
      </c>
      <c r="I529" s="250" t="s">
        <v>949</v>
      </c>
      <c r="J529" s="255" t="s">
        <v>950</v>
      </c>
      <c r="K529" s="255" t="s">
        <v>951</v>
      </c>
      <c r="L529" s="250" t="s">
        <v>947</v>
      </c>
      <c r="M529" s="336" t="s">
        <v>114</v>
      </c>
      <c r="N529" s="278">
        <v>44322</v>
      </c>
      <c r="O529" s="329" t="s">
        <v>67</v>
      </c>
      <c r="P529" s="330">
        <f t="shared" ref="P529:Q529" si="525">IF(B529=0,0,IF(YEAR(B529)=$Q$1,MONTH(B529)-$P$1+1,(YEAR(B529)-$Q$1)*12-$P$1+1+MONTH(B529)))</f>
        <v>5</v>
      </c>
      <c r="Q529" s="330">
        <f t="shared" si="525"/>
        <v>5</v>
      </c>
      <c r="R529" s="331" t="str">
        <f t="shared" si="1"/>
        <v>Gastos_Gerais</v>
      </c>
      <c r="S529" s="331" t="str">
        <f>IF(D529="","",IF(OR(D529=Plano!$A$1,D529=Plano!$B$1),"entrada","saída"))</f>
        <v>saída</v>
      </c>
      <c r="T529" s="332" t="s">
        <v>114</v>
      </c>
      <c r="U529" s="332" t="s">
        <v>114</v>
      </c>
      <c r="V529" s="333"/>
    </row>
    <row r="530" spans="1:22" ht="58.5" customHeight="1" x14ac:dyDescent="0.2">
      <c r="A530" s="277">
        <f>IF(B530="","",COUNT('Diário 5º PA'!$A$5:$A$2634)+ROW()-4)</f>
        <v>1837</v>
      </c>
      <c r="B530" s="278">
        <v>44322</v>
      </c>
      <c r="C530" s="249">
        <v>44317</v>
      </c>
      <c r="D530" s="255" t="s">
        <v>99</v>
      </c>
      <c r="E530" s="255" t="s">
        <v>272</v>
      </c>
      <c r="F530" s="258">
        <v>10.45</v>
      </c>
      <c r="G530" s="255" t="s">
        <v>1320</v>
      </c>
      <c r="H530" s="255" t="s">
        <v>129</v>
      </c>
      <c r="I530" s="250" t="s">
        <v>949</v>
      </c>
      <c r="J530" s="255" t="s">
        <v>950</v>
      </c>
      <c r="K530" s="255" t="s">
        <v>951</v>
      </c>
      <c r="L530" s="250" t="s">
        <v>947</v>
      </c>
      <c r="M530" s="336" t="s">
        <v>114</v>
      </c>
      <c r="N530" s="278">
        <v>44322</v>
      </c>
      <c r="O530" s="329" t="s">
        <v>67</v>
      </c>
      <c r="P530" s="330">
        <f t="shared" ref="P530:Q530" si="526">IF(B530=0,0,IF(YEAR(B530)=$Q$1,MONTH(B530)-$P$1+1,(YEAR(B530)-$Q$1)*12-$P$1+1+MONTH(B530)))</f>
        <v>5</v>
      </c>
      <c r="Q530" s="330">
        <f t="shared" si="526"/>
        <v>5</v>
      </c>
      <c r="R530" s="331" t="str">
        <f t="shared" si="1"/>
        <v>Gastos_Gerais</v>
      </c>
      <c r="S530" s="331" t="str">
        <f>IF(D530="","",IF(OR(D530=Plano!$A$1,D530=Plano!$B$1),"entrada","saída"))</f>
        <v>saída</v>
      </c>
      <c r="T530" s="332" t="s">
        <v>114</v>
      </c>
      <c r="U530" s="332" t="s">
        <v>114</v>
      </c>
      <c r="V530" s="333"/>
    </row>
    <row r="531" spans="1:22" ht="58.5" customHeight="1" x14ac:dyDescent="0.2">
      <c r="A531" s="277">
        <f>IF(B531="","",COUNT('Diário 5º PA'!$A$5:$A$2634)+ROW()-4)</f>
        <v>1838</v>
      </c>
      <c r="B531" s="278">
        <v>44322</v>
      </c>
      <c r="C531" s="249">
        <v>44317</v>
      </c>
      <c r="D531" s="255" t="s">
        <v>99</v>
      </c>
      <c r="E531" s="255" t="s">
        <v>272</v>
      </c>
      <c r="F531" s="258">
        <v>10.45</v>
      </c>
      <c r="G531" s="255" t="s">
        <v>4498</v>
      </c>
      <c r="H531" s="252" t="s">
        <v>125</v>
      </c>
      <c r="I531" s="250" t="s">
        <v>949</v>
      </c>
      <c r="J531" s="255" t="s">
        <v>950</v>
      </c>
      <c r="K531" s="255" t="s">
        <v>951</v>
      </c>
      <c r="L531" s="250" t="s">
        <v>947</v>
      </c>
      <c r="M531" s="336" t="s">
        <v>114</v>
      </c>
      <c r="N531" s="278">
        <v>44322</v>
      </c>
      <c r="O531" s="329" t="s">
        <v>67</v>
      </c>
      <c r="P531" s="330">
        <f t="shared" ref="P531:Q531" si="527">IF(B531=0,0,IF(YEAR(B531)=$Q$1,MONTH(B531)-$P$1+1,(YEAR(B531)-$Q$1)*12-$P$1+1+MONTH(B531)))</f>
        <v>5</v>
      </c>
      <c r="Q531" s="330">
        <f t="shared" si="527"/>
        <v>5</v>
      </c>
      <c r="R531" s="331" t="str">
        <f t="shared" si="1"/>
        <v>Gastos_Gerais</v>
      </c>
      <c r="S531" s="331" t="str">
        <f>IF(D531="","",IF(OR(D531=Plano!$A$1,D531=Plano!$B$1),"entrada","saída"))</f>
        <v>saída</v>
      </c>
      <c r="T531" s="332" t="s">
        <v>114</v>
      </c>
      <c r="U531" s="332" t="s">
        <v>114</v>
      </c>
      <c r="V531" s="333"/>
    </row>
    <row r="532" spans="1:22" ht="53.25" customHeight="1" x14ac:dyDescent="0.2">
      <c r="A532" s="277">
        <f>IF(B532="","",COUNT('Diário 5º PA'!$A$5:$A$2634)+ROW()-4)</f>
        <v>1839</v>
      </c>
      <c r="B532" s="278">
        <v>44322</v>
      </c>
      <c r="C532" s="249">
        <v>44317</v>
      </c>
      <c r="D532" s="255" t="s">
        <v>99</v>
      </c>
      <c r="E532" s="255" t="s">
        <v>272</v>
      </c>
      <c r="F532" s="258">
        <v>10.45</v>
      </c>
      <c r="G532" s="255" t="s">
        <v>4499</v>
      </c>
      <c r="H532" s="252" t="s">
        <v>128</v>
      </c>
      <c r="I532" s="250" t="s">
        <v>949</v>
      </c>
      <c r="J532" s="255" t="s">
        <v>950</v>
      </c>
      <c r="K532" s="255" t="s">
        <v>951</v>
      </c>
      <c r="L532" s="250" t="s">
        <v>947</v>
      </c>
      <c r="M532" s="336" t="s">
        <v>114</v>
      </c>
      <c r="N532" s="278">
        <v>44322</v>
      </c>
      <c r="O532" s="329" t="s">
        <v>67</v>
      </c>
      <c r="P532" s="330">
        <f t="shared" ref="P532:Q532" si="528">IF(B532=0,0,IF(YEAR(B532)=$Q$1,MONTH(B532)-$P$1+1,(YEAR(B532)-$Q$1)*12-$P$1+1+MONTH(B532)))</f>
        <v>5</v>
      </c>
      <c r="Q532" s="330">
        <f t="shared" si="528"/>
        <v>5</v>
      </c>
      <c r="R532" s="331" t="str">
        <f t="shared" si="1"/>
        <v>Gastos_Gerais</v>
      </c>
      <c r="S532" s="331" t="str">
        <f>IF(D532="","",IF(OR(D532=Plano!$A$1,D532=Plano!$B$1),"entrada","saída"))</f>
        <v>saída</v>
      </c>
      <c r="T532" s="332" t="s">
        <v>114</v>
      </c>
      <c r="U532" s="332" t="s">
        <v>114</v>
      </c>
      <c r="V532" s="333"/>
    </row>
    <row r="533" spans="1:22" ht="45.75" customHeight="1" x14ac:dyDescent="0.2">
      <c r="A533" s="277">
        <f>IF(B533="","",COUNT('Diário 5º PA'!$A$5:$A$2634)+ROW()-4)</f>
        <v>1840</v>
      </c>
      <c r="B533" s="278">
        <v>44322</v>
      </c>
      <c r="C533" s="249">
        <v>44317</v>
      </c>
      <c r="D533" s="255" t="s">
        <v>99</v>
      </c>
      <c r="E533" s="255" t="s">
        <v>272</v>
      </c>
      <c r="F533" s="258">
        <v>10.45</v>
      </c>
      <c r="G533" s="255" t="s">
        <v>1326</v>
      </c>
      <c r="H533" s="252" t="s">
        <v>132</v>
      </c>
      <c r="I533" s="250" t="s">
        <v>949</v>
      </c>
      <c r="J533" s="255" t="s">
        <v>950</v>
      </c>
      <c r="K533" s="255" t="s">
        <v>951</v>
      </c>
      <c r="L533" s="250" t="s">
        <v>947</v>
      </c>
      <c r="M533" s="336" t="s">
        <v>114</v>
      </c>
      <c r="N533" s="278">
        <v>44322</v>
      </c>
      <c r="O533" s="329" t="s">
        <v>67</v>
      </c>
      <c r="P533" s="330">
        <f t="shared" ref="P533:Q533" si="529">IF(B533=0,0,IF(YEAR(B533)=$Q$1,MONTH(B533)-$P$1+1,(YEAR(B533)-$Q$1)*12-$P$1+1+MONTH(B533)))</f>
        <v>5</v>
      </c>
      <c r="Q533" s="330">
        <f t="shared" si="529"/>
        <v>5</v>
      </c>
      <c r="R533" s="331" t="str">
        <f t="shared" si="1"/>
        <v>Gastos_Gerais</v>
      </c>
      <c r="S533" s="331" t="str">
        <f>IF(D533="","",IF(OR(D533=Plano!$A$1,D533=Plano!$B$1),"entrada","saída"))</f>
        <v>saída</v>
      </c>
      <c r="T533" s="332" t="s">
        <v>114</v>
      </c>
      <c r="U533" s="332" t="s">
        <v>114</v>
      </c>
      <c r="V533" s="333"/>
    </row>
    <row r="534" spans="1:22" ht="40.5" customHeight="1" x14ac:dyDescent="0.2">
      <c r="A534" s="277">
        <f>IF(B534="","",COUNT('Diário 5º PA'!$A$5:$A$2634)+ROW()-4)</f>
        <v>1841</v>
      </c>
      <c r="B534" s="278">
        <v>44322</v>
      </c>
      <c r="C534" s="249">
        <v>44317</v>
      </c>
      <c r="D534" s="255" t="s">
        <v>99</v>
      </c>
      <c r="E534" s="255" t="s">
        <v>272</v>
      </c>
      <c r="F534" s="258">
        <v>10.45</v>
      </c>
      <c r="G534" s="255" t="s">
        <v>3432</v>
      </c>
      <c r="H534" s="255" t="s">
        <v>126</v>
      </c>
      <c r="I534" s="250" t="s">
        <v>949</v>
      </c>
      <c r="J534" s="255" t="s">
        <v>950</v>
      </c>
      <c r="K534" s="255" t="s">
        <v>951</v>
      </c>
      <c r="L534" s="250" t="s">
        <v>947</v>
      </c>
      <c r="M534" s="336" t="s">
        <v>114</v>
      </c>
      <c r="N534" s="278">
        <v>44322</v>
      </c>
      <c r="O534" s="329" t="s">
        <v>67</v>
      </c>
      <c r="P534" s="330">
        <f t="shared" ref="P534:Q534" si="530">IF(B534=0,0,IF(YEAR(B534)=$Q$1,MONTH(B534)-$P$1+1,(YEAR(B534)-$Q$1)*12-$P$1+1+MONTH(B534)))</f>
        <v>5</v>
      </c>
      <c r="Q534" s="330">
        <f t="shared" si="530"/>
        <v>5</v>
      </c>
      <c r="R534" s="331" t="str">
        <f t="shared" si="1"/>
        <v>Gastos_Gerais</v>
      </c>
      <c r="S534" s="331" t="str">
        <f>IF(D534="","",IF(OR(D534=Plano!$A$1,D534=Plano!$B$1),"entrada","saída"))</f>
        <v>saída</v>
      </c>
      <c r="T534" s="332" t="s">
        <v>114</v>
      </c>
      <c r="U534" s="332" t="s">
        <v>114</v>
      </c>
      <c r="V534" s="333"/>
    </row>
    <row r="535" spans="1:22" ht="45.75" customHeight="1" x14ac:dyDescent="0.2">
      <c r="A535" s="277">
        <f>IF(B535="","",COUNT('Diário 5º PA'!$A$5:$A$2634)+ROW()-4)</f>
        <v>1842</v>
      </c>
      <c r="B535" s="278">
        <v>44322</v>
      </c>
      <c r="C535" s="249">
        <v>44317</v>
      </c>
      <c r="D535" s="255" t="s">
        <v>99</v>
      </c>
      <c r="E535" s="255" t="s">
        <v>272</v>
      </c>
      <c r="F535" s="258">
        <v>10.45</v>
      </c>
      <c r="G535" s="255" t="s">
        <v>1246</v>
      </c>
      <c r="H535" s="252" t="s">
        <v>131</v>
      </c>
      <c r="I535" s="250" t="s">
        <v>949</v>
      </c>
      <c r="J535" s="255" t="s">
        <v>950</v>
      </c>
      <c r="K535" s="255" t="s">
        <v>951</v>
      </c>
      <c r="L535" s="250" t="s">
        <v>947</v>
      </c>
      <c r="M535" s="336" t="s">
        <v>114</v>
      </c>
      <c r="N535" s="278">
        <v>44322</v>
      </c>
      <c r="O535" s="329" t="s">
        <v>67</v>
      </c>
      <c r="P535" s="330">
        <f t="shared" ref="P535:Q535" si="531">IF(B535=0,0,IF(YEAR(B535)=$Q$1,MONTH(B535)-$P$1+1,(YEAR(B535)-$Q$1)*12-$P$1+1+MONTH(B535)))</f>
        <v>5</v>
      </c>
      <c r="Q535" s="330">
        <f t="shared" si="531"/>
        <v>5</v>
      </c>
      <c r="R535" s="331" t="str">
        <f t="shared" si="1"/>
        <v>Gastos_Gerais</v>
      </c>
      <c r="S535" s="331" t="str">
        <f>IF(D535="","",IF(OR(D535=Plano!$A$1,D535=Plano!$B$1),"entrada","saída"))</f>
        <v>saída</v>
      </c>
      <c r="T535" s="332" t="s">
        <v>114</v>
      </c>
      <c r="U535" s="332" t="s">
        <v>114</v>
      </c>
      <c r="V535" s="333"/>
    </row>
    <row r="536" spans="1:22" ht="54" customHeight="1" x14ac:dyDescent="0.2">
      <c r="A536" s="277">
        <f>IF(B536="","",COUNT('Diário 5º PA'!$A$5:$A$2634)+ROW()-4)</f>
        <v>1843</v>
      </c>
      <c r="B536" s="278">
        <v>44322</v>
      </c>
      <c r="C536" s="249">
        <v>44317</v>
      </c>
      <c r="D536" s="255" t="s">
        <v>99</v>
      </c>
      <c r="E536" s="255" t="s">
        <v>272</v>
      </c>
      <c r="F536" s="258">
        <v>10.45</v>
      </c>
      <c r="G536" s="255" t="s">
        <v>4500</v>
      </c>
      <c r="H536" s="252" t="s">
        <v>118</v>
      </c>
      <c r="I536" s="250" t="s">
        <v>949</v>
      </c>
      <c r="J536" s="255" t="s">
        <v>950</v>
      </c>
      <c r="K536" s="255" t="s">
        <v>951</v>
      </c>
      <c r="L536" s="250" t="s">
        <v>947</v>
      </c>
      <c r="M536" s="336" t="s">
        <v>114</v>
      </c>
      <c r="N536" s="278">
        <v>44322</v>
      </c>
      <c r="O536" s="329" t="s">
        <v>67</v>
      </c>
      <c r="P536" s="330">
        <f t="shared" ref="P536:Q536" si="532">IF(B536=0,0,IF(YEAR(B536)=$Q$1,MONTH(B536)-$P$1+1,(YEAR(B536)-$Q$1)*12-$P$1+1+MONTH(B536)))</f>
        <v>5</v>
      </c>
      <c r="Q536" s="330">
        <f t="shared" si="532"/>
        <v>5</v>
      </c>
      <c r="R536" s="331" t="str">
        <f t="shared" si="1"/>
        <v>Gastos_Gerais</v>
      </c>
      <c r="S536" s="331" t="str">
        <f>IF(D536="","",IF(OR(D536=Plano!$A$1,D536=Plano!$B$1),"entrada","saída"))</f>
        <v>saída</v>
      </c>
      <c r="T536" s="332" t="s">
        <v>114</v>
      </c>
      <c r="U536" s="332" t="s">
        <v>114</v>
      </c>
      <c r="V536" s="333"/>
    </row>
    <row r="537" spans="1:22" ht="57.75" customHeight="1" x14ac:dyDescent="0.2">
      <c r="A537" s="277">
        <f>IF(B537="","",COUNT('Diário 5º PA'!$A$5:$A$2634)+ROW()-4)</f>
        <v>1844</v>
      </c>
      <c r="B537" s="278">
        <v>44322</v>
      </c>
      <c r="C537" s="249">
        <v>44317</v>
      </c>
      <c r="D537" s="255" t="s">
        <v>99</v>
      </c>
      <c r="E537" s="255" t="s">
        <v>272</v>
      </c>
      <c r="F537" s="258">
        <v>10.45</v>
      </c>
      <c r="G537" s="255" t="s">
        <v>4231</v>
      </c>
      <c r="H537" s="252" t="s">
        <v>131</v>
      </c>
      <c r="I537" s="250" t="s">
        <v>949</v>
      </c>
      <c r="J537" s="255" t="s">
        <v>950</v>
      </c>
      <c r="K537" s="255" t="s">
        <v>951</v>
      </c>
      <c r="L537" s="250" t="s">
        <v>947</v>
      </c>
      <c r="M537" s="336" t="s">
        <v>114</v>
      </c>
      <c r="N537" s="278">
        <v>44322</v>
      </c>
      <c r="O537" s="329" t="s">
        <v>67</v>
      </c>
      <c r="P537" s="330">
        <f t="shared" ref="P537:Q537" si="533">IF(B537=0,0,IF(YEAR(B537)=$Q$1,MONTH(B537)-$P$1+1,(YEAR(B537)-$Q$1)*12-$P$1+1+MONTH(B537)))</f>
        <v>5</v>
      </c>
      <c r="Q537" s="330">
        <f t="shared" si="533"/>
        <v>5</v>
      </c>
      <c r="R537" s="331" t="str">
        <f t="shared" si="1"/>
        <v>Gastos_Gerais</v>
      </c>
      <c r="S537" s="331" t="str">
        <f>IF(D537="","",IF(OR(D537=Plano!$A$1,D537=Plano!$B$1),"entrada","saída"))</f>
        <v>saída</v>
      </c>
      <c r="T537" s="332" t="s">
        <v>114</v>
      </c>
      <c r="U537" s="332" t="s">
        <v>114</v>
      </c>
      <c r="V537" s="333"/>
    </row>
    <row r="538" spans="1:22" ht="48" customHeight="1" x14ac:dyDescent="0.2">
      <c r="A538" s="277">
        <f>IF(B538="","",COUNT('Diário 5º PA'!$A$5:$A$2634)+ROW()-4)</f>
        <v>1845</v>
      </c>
      <c r="B538" s="278">
        <v>44322</v>
      </c>
      <c r="C538" s="249">
        <v>44317</v>
      </c>
      <c r="D538" s="255" t="s">
        <v>99</v>
      </c>
      <c r="E538" s="255" t="s">
        <v>272</v>
      </c>
      <c r="F538" s="258">
        <v>10.45</v>
      </c>
      <c r="G538" s="255" t="s">
        <v>4501</v>
      </c>
      <c r="H538" s="252" t="s">
        <v>115</v>
      </c>
      <c r="I538" s="250" t="s">
        <v>949</v>
      </c>
      <c r="J538" s="255" t="s">
        <v>950</v>
      </c>
      <c r="K538" s="255" t="s">
        <v>951</v>
      </c>
      <c r="L538" s="250" t="s">
        <v>947</v>
      </c>
      <c r="M538" s="336" t="s">
        <v>114</v>
      </c>
      <c r="N538" s="278">
        <v>44322</v>
      </c>
      <c r="O538" s="329" t="s">
        <v>67</v>
      </c>
      <c r="P538" s="330">
        <f t="shared" ref="P538:Q538" si="534">IF(B538=0,0,IF(YEAR(B538)=$Q$1,MONTH(B538)-$P$1+1,(YEAR(B538)-$Q$1)*12-$P$1+1+MONTH(B538)))</f>
        <v>5</v>
      </c>
      <c r="Q538" s="330">
        <f t="shared" si="534"/>
        <v>5</v>
      </c>
      <c r="R538" s="331" t="str">
        <f t="shared" si="1"/>
        <v>Gastos_Gerais</v>
      </c>
      <c r="S538" s="331" t="str">
        <f>IF(D538="","",IF(OR(D538=Plano!$A$1,D538=Plano!$B$1),"entrada","saída"))</f>
        <v>saída</v>
      </c>
      <c r="T538" s="332" t="s">
        <v>114</v>
      </c>
      <c r="U538" s="332" t="s">
        <v>114</v>
      </c>
      <c r="V538" s="333"/>
    </row>
    <row r="539" spans="1:22" ht="127.5" customHeight="1" x14ac:dyDescent="0.2">
      <c r="A539" s="277">
        <f>IF(B539="","",COUNT('Diário 5º PA'!$A$5:$A$2634)+ROW()-4)</f>
        <v>1846</v>
      </c>
      <c r="B539" s="278">
        <v>44322</v>
      </c>
      <c r="C539" s="259">
        <v>44287</v>
      </c>
      <c r="D539" s="252" t="s">
        <v>104</v>
      </c>
      <c r="E539" s="252" t="s">
        <v>104</v>
      </c>
      <c r="F539" s="257">
        <v>3201</v>
      </c>
      <c r="G539" s="252" t="s">
        <v>3864</v>
      </c>
      <c r="H539" s="252" t="s">
        <v>104</v>
      </c>
      <c r="I539" s="252" t="s">
        <v>1267</v>
      </c>
      <c r="J539" s="250" t="s">
        <v>1264</v>
      </c>
      <c r="K539" s="255" t="s">
        <v>1015</v>
      </c>
      <c r="L539" s="250" t="s">
        <v>1016</v>
      </c>
      <c r="M539" s="277" t="s">
        <v>4223</v>
      </c>
      <c r="N539" s="278">
        <v>44321</v>
      </c>
      <c r="O539" s="329" t="s">
        <v>68</v>
      </c>
      <c r="P539" s="330">
        <f t="shared" ref="P539:Q539" si="535">IF(B539=0,0,IF(YEAR(B539)=$Q$1,MONTH(B539)-$P$1+1,(YEAR(B539)-$Q$1)*12-$P$1+1+MONTH(B539)))</f>
        <v>5</v>
      </c>
      <c r="Q539" s="330">
        <f t="shared" si="535"/>
        <v>4</v>
      </c>
      <c r="R539" s="331" t="str">
        <f t="shared" si="1"/>
        <v>Gastos_custeados_por_captação</v>
      </c>
      <c r="S539" s="331" t="str">
        <f>IF(D539="","",IF(OR(D539=Plano!$A$1,D539=Plano!$B$1),"entrada","saída"))</f>
        <v>saída</v>
      </c>
      <c r="T539" s="332" t="s">
        <v>1059</v>
      </c>
      <c r="U539" s="332">
        <v>1391</v>
      </c>
      <c r="V539" s="333"/>
    </row>
    <row r="540" spans="1:22" ht="123.75" customHeight="1" x14ac:dyDescent="0.2">
      <c r="A540" s="277">
        <f>IF(B540="","",COUNT('Diário 5º PA'!$A$5:$A$2634)+ROW()-4)</f>
        <v>1847</v>
      </c>
      <c r="B540" s="278">
        <v>44322</v>
      </c>
      <c r="C540" s="259">
        <v>44287</v>
      </c>
      <c r="D540" s="252" t="s">
        <v>104</v>
      </c>
      <c r="E540" s="252" t="s">
        <v>104</v>
      </c>
      <c r="F540" s="257">
        <v>3201</v>
      </c>
      <c r="G540" s="252" t="s">
        <v>4502</v>
      </c>
      <c r="H540" s="252" t="s">
        <v>104</v>
      </c>
      <c r="I540" s="252" t="s">
        <v>1267</v>
      </c>
      <c r="J540" s="250" t="s">
        <v>1264</v>
      </c>
      <c r="K540" s="255" t="s">
        <v>1015</v>
      </c>
      <c r="L540" s="250" t="s">
        <v>1016</v>
      </c>
      <c r="M540" s="277" t="s">
        <v>2062</v>
      </c>
      <c r="N540" s="278">
        <v>44321</v>
      </c>
      <c r="O540" s="329" t="s">
        <v>68</v>
      </c>
      <c r="P540" s="330">
        <f t="shared" ref="P540:Q540" si="536">IF(B540=0,0,IF(YEAR(B540)=$Q$1,MONTH(B540)-$P$1+1,(YEAR(B540)-$Q$1)*12-$P$1+1+MONTH(B540)))</f>
        <v>5</v>
      </c>
      <c r="Q540" s="330">
        <f t="shared" si="536"/>
        <v>4</v>
      </c>
      <c r="R540" s="331" t="str">
        <f t="shared" si="1"/>
        <v>Gastos_custeados_por_captação</v>
      </c>
      <c r="S540" s="331" t="str">
        <f>IF(D540="","",IF(OR(D540=Plano!$A$1,D540=Plano!$B$1),"entrada","saída"))</f>
        <v>saída</v>
      </c>
      <c r="T540" s="332" t="s">
        <v>1059</v>
      </c>
      <c r="U540" s="332">
        <v>1387</v>
      </c>
      <c r="V540" s="333"/>
    </row>
    <row r="541" spans="1:22" ht="102" customHeight="1" x14ac:dyDescent="0.2">
      <c r="A541" s="277">
        <f>IF(B541="","",COUNT('Diário 5º PA'!$A$5:$A$2634)+ROW()-4)</f>
        <v>1848</v>
      </c>
      <c r="B541" s="278">
        <v>44322</v>
      </c>
      <c r="C541" s="259">
        <v>44287</v>
      </c>
      <c r="D541" s="252" t="s">
        <v>104</v>
      </c>
      <c r="E541" s="252" t="s">
        <v>104</v>
      </c>
      <c r="F541" s="257">
        <v>3201</v>
      </c>
      <c r="G541" s="252" t="s">
        <v>4503</v>
      </c>
      <c r="H541" s="252" t="s">
        <v>104</v>
      </c>
      <c r="I541" s="252" t="s">
        <v>1267</v>
      </c>
      <c r="J541" s="250" t="s">
        <v>1264</v>
      </c>
      <c r="K541" s="255" t="s">
        <v>1015</v>
      </c>
      <c r="L541" s="250" t="s">
        <v>1016</v>
      </c>
      <c r="M541" s="277" t="s">
        <v>2187</v>
      </c>
      <c r="N541" s="278">
        <v>44321</v>
      </c>
      <c r="O541" s="329" t="s">
        <v>68</v>
      </c>
      <c r="P541" s="330">
        <f t="shared" ref="P541:Q541" si="537">IF(B541=0,0,IF(YEAR(B541)=$Q$1,MONTH(B541)-$P$1+1,(YEAR(B541)-$Q$1)*12-$P$1+1+MONTH(B541)))</f>
        <v>5</v>
      </c>
      <c r="Q541" s="330">
        <f t="shared" si="537"/>
        <v>4</v>
      </c>
      <c r="R541" s="331" t="str">
        <f t="shared" si="1"/>
        <v>Gastos_custeados_por_captação</v>
      </c>
      <c r="S541" s="331" t="str">
        <f>IF(D541="","",IF(OR(D541=Plano!$A$1,D541=Plano!$B$1),"entrada","saída"))</f>
        <v>saída</v>
      </c>
      <c r="T541" s="332" t="s">
        <v>1059</v>
      </c>
      <c r="U541" s="332">
        <v>1383</v>
      </c>
      <c r="V541" s="333"/>
    </row>
    <row r="542" spans="1:22" ht="114" customHeight="1" x14ac:dyDescent="0.2">
      <c r="A542" s="277">
        <f>IF(B542="","",COUNT('Diário 5º PA'!$A$5:$A$2634)+ROW()-4)</f>
        <v>1849</v>
      </c>
      <c r="B542" s="278">
        <v>44322</v>
      </c>
      <c r="C542" s="259">
        <v>44287</v>
      </c>
      <c r="D542" s="252" t="s">
        <v>104</v>
      </c>
      <c r="E542" s="252" t="s">
        <v>104</v>
      </c>
      <c r="F542" s="257">
        <v>3201</v>
      </c>
      <c r="G542" s="252" t="s">
        <v>4504</v>
      </c>
      <c r="H542" s="252" t="s">
        <v>104</v>
      </c>
      <c r="I542" s="252" t="s">
        <v>1267</v>
      </c>
      <c r="J542" s="250" t="s">
        <v>1264</v>
      </c>
      <c r="K542" s="255" t="s">
        <v>1015</v>
      </c>
      <c r="L542" s="250" t="s">
        <v>1016</v>
      </c>
      <c r="M542" s="277" t="s">
        <v>4505</v>
      </c>
      <c r="N542" s="278">
        <v>44321</v>
      </c>
      <c r="O542" s="329" t="s">
        <v>68</v>
      </c>
      <c r="P542" s="330">
        <f t="shared" ref="P542:Q542" si="538">IF(B542=0,0,IF(YEAR(B542)=$Q$1,MONTH(B542)-$P$1+1,(YEAR(B542)-$Q$1)*12-$P$1+1+MONTH(B542)))</f>
        <v>5</v>
      </c>
      <c r="Q542" s="330">
        <f t="shared" si="538"/>
        <v>4</v>
      </c>
      <c r="R542" s="331" t="str">
        <f t="shared" si="1"/>
        <v>Gastos_custeados_por_captação</v>
      </c>
      <c r="S542" s="331" t="str">
        <f>IF(D542="","",IF(OR(D542=Plano!$A$1,D542=Plano!$B$1),"entrada","saída"))</f>
        <v>saída</v>
      </c>
      <c r="T542" s="332" t="s">
        <v>1059</v>
      </c>
      <c r="U542" s="332">
        <v>1386</v>
      </c>
      <c r="V542" s="333"/>
    </row>
    <row r="543" spans="1:22" ht="114" customHeight="1" x14ac:dyDescent="0.2">
      <c r="A543" s="277">
        <f>IF(B543="","",COUNT('Diário 5º PA'!$A$5:$A$2634)+ROW()-4)</f>
        <v>1850</v>
      </c>
      <c r="B543" s="278">
        <v>44322</v>
      </c>
      <c r="C543" s="259">
        <v>44287</v>
      </c>
      <c r="D543" s="252" t="s">
        <v>104</v>
      </c>
      <c r="E543" s="252" t="s">
        <v>104</v>
      </c>
      <c r="F543" s="257">
        <v>3201</v>
      </c>
      <c r="G543" s="252" t="s">
        <v>4506</v>
      </c>
      <c r="H543" s="252" t="s">
        <v>104</v>
      </c>
      <c r="I543" s="252" t="s">
        <v>1267</v>
      </c>
      <c r="J543" s="250" t="s">
        <v>1264</v>
      </c>
      <c r="K543" s="255" t="s">
        <v>1015</v>
      </c>
      <c r="L543" s="250" t="s">
        <v>1016</v>
      </c>
      <c r="M543" s="277" t="s">
        <v>4505</v>
      </c>
      <c r="N543" s="278">
        <v>44321</v>
      </c>
      <c r="O543" s="329" t="s">
        <v>68</v>
      </c>
      <c r="P543" s="330">
        <f t="shared" ref="P543:Q543" si="539">IF(B543=0,0,IF(YEAR(B543)=$Q$1,MONTH(B543)-$P$1+1,(YEAR(B543)-$Q$1)*12-$P$1+1+MONTH(B543)))</f>
        <v>5</v>
      </c>
      <c r="Q543" s="330">
        <f t="shared" si="539"/>
        <v>4</v>
      </c>
      <c r="R543" s="331" t="str">
        <f t="shared" si="1"/>
        <v>Gastos_custeados_por_captação</v>
      </c>
      <c r="S543" s="331" t="str">
        <f>IF(D543="","",IF(OR(D543=Plano!$A$1,D543=Plano!$B$1),"entrada","saída"))</f>
        <v>saída</v>
      </c>
      <c r="T543" s="332" t="s">
        <v>1059</v>
      </c>
      <c r="U543" s="332">
        <v>1385</v>
      </c>
      <c r="V543" s="333"/>
    </row>
    <row r="544" spans="1:22" ht="117" customHeight="1" x14ac:dyDescent="0.2">
      <c r="A544" s="277">
        <f>IF(B544="","",COUNT('Diário 5º PA'!$A$5:$A$2634)+ROW()-4)</f>
        <v>1851</v>
      </c>
      <c r="B544" s="278">
        <v>44322</v>
      </c>
      <c r="C544" s="259">
        <v>44287</v>
      </c>
      <c r="D544" s="252" t="s">
        <v>104</v>
      </c>
      <c r="E544" s="252" t="s">
        <v>104</v>
      </c>
      <c r="F544" s="257">
        <v>3201</v>
      </c>
      <c r="G544" s="252" t="s">
        <v>3890</v>
      </c>
      <c r="H544" s="252" t="s">
        <v>104</v>
      </c>
      <c r="I544" s="252" t="s">
        <v>1267</v>
      </c>
      <c r="J544" s="250" t="s">
        <v>1264</v>
      </c>
      <c r="K544" s="255" t="s">
        <v>1015</v>
      </c>
      <c r="L544" s="250" t="s">
        <v>1016</v>
      </c>
      <c r="M544" s="277" t="s">
        <v>4507</v>
      </c>
      <c r="N544" s="278">
        <v>44321</v>
      </c>
      <c r="O544" s="329" t="s">
        <v>68</v>
      </c>
      <c r="P544" s="330">
        <f t="shared" ref="P544:Q544" si="540">IF(B544=0,0,IF(YEAR(B544)=$Q$1,MONTH(B544)-$P$1+1,(YEAR(B544)-$Q$1)*12-$P$1+1+MONTH(B544)))</f>
        <v>5</v>
      </c>
      <c r="Q544" s="330">
        <f t="shared" si="540"/>
        <v>4</v>
      </c>
      <c r="R544" s="331" t="str">
        <f t="shared" si="1"/>
        <v>Gastos_custeados_por_captação</v>
      </c>
      <c r="S544" s="331" t="str">
        <f>IF(D544="","",IF(OR(D544=Plano!$A$1,D544=Plano!$B$1),"entrada","saída"))</f>
        <v>saída</v>
      </c>
      <c r="T544" s="332" t="s">
        <v>1059</v>
      </c>
      <c r="U544" s="332">
        <v>1384</v>
      </c>
      <c r="V544" s="333"/>
    </row>
    <row r="545" spans="1:22" ht="108.75" customHeight="1" x14ac:dyDescent="0.2">
      <c r="A545" s="277">
        <f>IF(B545="","",COUNT('Diário 5º PA'!$A$5:$A$2634)+ROW()-4)</f>
        <v>1852</v>
      </c>
      <c r="B545" s="278">
        <v>44322</v>
      </c>
      <c r="C545" s="259">
        <v>44287</v>
      </c>
      <c r="D545" s="252" t="s">
        <v>104</v>
      </c>
      <c r="E545" s="252" t="s">
        <v>104</v>
      </c>
      <c r="F545" s="257">
        <v>3201</v>
      </c>
      <c r="G545" s="252" t="s">
        <v>3862</v>
      </c>
      <c r="H545" s="252" t="s">
        <v>104</v>
      </c>
      <c r="I545" s="252" t="s">
        <v>1267</v>
      </c>
      <c r="J545" s="250" t="s">
        <v>1264</v>
      </c>
      <c r="K545" s="255" t="s">
        <v>1015</v>
      </c>
      <c r="L545" s="250" t="s">
        <v>1016</v>
      </c>
      <c r="M545" s="277" t="s">
        <v>1732</v>
      </c>
      <c r="N545" s="278">
        <v>44321</v>
      </c>
      <c r="O545" s="329" t="s">
        <v>68</v>
      </c>
      <c r="P545" s="330">
        <f t="shared" ref="P545:Q545" si="541">IF(B545=0,0,IF(YEAR(B545)=$Q$1,MONTH(B545)-$P$1+1,(YEAR(B545)-$Q$1)*12-$P$1+1+MONTH(B545)))</f>
        <v>5</v>
      </c>
      <c r="Q545" s="330">
        <f t="shared" si="541"/>
        <v>4</v>
      </c>
      <c r="R545" s="331" t="str">
        <f t="shared" si="1"/>
        <v>Gastos_custeados_por_captação</v>
      </c>
      <c r="S545" s="331" t="str">
        <f>IF(D545="","",IF(OR(D545=Plano!$A$1,D545=Plano!$B$1),"entrada","saída"))</f>
        <v>saída</v>
      </c>
      <c r="T545" s="332" t="s">
        <v>1059</v>
      </c>
      <c r="U545" s="332">
        <v>1388</v>
      </c>
      <c r="V545" s="333"/>
    </row>
    <row r="546" spans="1:22" ht="116.25" customHeight="1" x14ac:dyDescent="0.2">
      <c r="A546" s="277">
        <f>IF(B546="","",COUNT('Diário 5º PA'!$A$5:$A$2634)+ROW()-4)</f>
        <v>1853</v>
      </c>
      <c r="B546" s="278">
        <v>44322</v>
      </c>
      <c r="C546" s="259">
        <v>44287</v>
      </c>
      <c r="D546" s="252" t="s">
        <v>104</v>
      </c>
      <c r="E546" s="252" t="s">
        <v>104</v>
      </c>
      <c r="F546" s="257">
        <v>3201</v>
      </c>
      <c r="G546" s="252" t="s">
        <v>3863</v>
      </c>
      <c r="H546" s="252" t="s">
        <v>104</v>
      </c>
      <c r="I546" s="252" t="s">
        <v>1267</v>
      </c>
      <c r="J546" s="250" t="s">
        <v>1264</v>
      </c>
      <c r="K546" s="255" t="s">
        <v>1015</v>
      </c>
      <c r="L546" s="250" t="s">
        <v>1016</v>
      </c>
      <c r="M546" s="277" t="s">
        <v>4508</v>
      </c>
      <c r="N546" s="278">
        <v>44321</v>
      </c>
      <c r="O546" s="329" t="s">
        <v>68</v>
      </c>
      <c r="P546" s="330">
        <f t="shared" ref="P546:Q546" si="542">IF(B546=0,0,IF(YEAR(B546)=$Q$1,MONTH(B546)-$P$1+1,(YEAR(B546)-$Q$1)*12-$P$1+1+MONTH(B546)))</f>
        <v>5</v>
      </c>
      <c r="Q546" s="330">
        <f t="shared" si="542"/>
        <v>4</v>
      </c>
      <c r="R546" s="331" t="str">
        <f t="shared" si="1"/>
        <v>Gastos_custeados_por_captação</v>
      </c>
      <c r="S546" s="331" t="str">
        <f>IF(D546="","",IF(OR(D546=Plano!$A$1,D546=Plano!$B$1),"entrada","saída"))</f>
        <v>saída</v>
      </c>
      <c r="T546" s="332" t="s">
        <v>1059</v>
      </c>
      <c r="U546" s="332">
        <v>1389</v>
      </c>
      <c r="V546" s="333"/>
    </row>
    <row r="547" spans="1:22" ht="107.25" customHeight="1" x14ac:dyDescent="0.2">
      <c r="A547" s="277">
        <f>IF(B547="","",COUNT('Diário 5º PA'!$A$5:$A$2634)+ROW()-4)</f>
        <v>1854</v>
      </c>
      <c r="B547" s="278">
        <v>44322</v>
      </c>
      <c r="C547" s="259">
        <v>44287</v>
      </c>
      <c r="D547" s="252" t="s">
        <v>104</v>
      </c>
      <c r="E547" s="252" t="s">
        <v>104</v>
      </c>
      <c r="F547" s="257">
        <v>3201</v>
      </c>
      <c r="G547" s="252" t="s">
        <v>4509</v>
      </c>
      <c r="H547" s="252" t="s">
        <v>104</v>
      </c>
      <c r="I547" s="252" t="s">
        <v>1267</v>
      </c>
      <c r="J547" s="250" t="s">
        <v>1264</v>
      </c>
      <c r="K547" s="255" t="s">
        <v>1015</v>
      </c>
      <c r="L547" s="250" t="s">
        <v>1016</v>
      </c>
      <c r="M547" s="277" t="s">
        <v>4510</v>
      </c>
      <c r="N547" s="278">
        <v>44321</v>
      </c>
      <c r="O547" s="329" t="s">
        <v>68</v>
      </c>
      <c r="P547" s="330">
        <f t="shared" ref="P547:Q547" si="543">IF(B547=0,0,IF(YEAR(B547)=$Q$1,MONTH(B547)-$P$1+1,(YEAR(B547)-$Q$1)*12-$P$1+1+MONTH(B547)))</f>
        <v>5</v>
      </c>
      <c r="Q547" s="330">
        <f t="shared" si="543"/>
        <v>4</v>
      </c>
      <c r="R547" s="331" t="str">
        <f t="shared" si="1"/>
        <v>Gastos_custeados_por_captação</v>
      </c>
      <c r="S547" s="331" t="str">
        <f>IF(D547="","",IF(OR(D547=Plano!$A$1,D547=Plano!$B$1),"entrada","saída"))</f>
        <v>saída</v>
      </c>
      <c r="T547" s="332" t="s">
        <v>1059</v>
      </c>
      <c r="U547" s="332">
        <v>1393</v>
      </c>
      <c r="V547" s="333"/>
    </row>
    <row r="548" spans="1:22" ht="180.75" customHeight="1" x14ac:dyDescent="0.2">
      <c r="A548" s="277">
        <f>IF(B548="","",COUNT('Diário 5º PA'!$A$5:$A$2634)+ROW()-4)</f>
        <v>1855</v>
      </c>
      <c r="B548" s="278">
        <v>44322</v>
      </c>
      <c r="C548" s="259">
        <v>44287</v>
      </c>
      <c r="D548" s="252" t="s">
        <v>104</v>
      </c>
      <c r="E548" s="252" t="s">
        <v>104</v>
      </c>
      <c r="F548" s="257">
        <v>2231</v>
      </c>
      <c r="G548" s="252" t="s">
        <v>4511</v>
      </c>
      <c r="H548" s="252" t="s">
        <v>104</v>
      </c>
      <c r="I548" s="252" t="s">
        <v>1267</v>
      </c>
      <c r="J548" s="250" t="s">
        <v>1264</v>
      </c>
      <c r="K548" s="255" t="s">
        <v>1015</v>
      </c>
      <c r="L548" s="250" t="s">
        <v>1016</v>
      </c>
      <c r="M548" s="277" t="s">
        <v>1715</v>
      </c>
      <c r="N548" s="278">
        <v>44321</v>
      </c>
      <c r="O548" s="329" t="s">
        <v>68</v>
      </c>
      <c r="P548" s="330">
        <f t="shared" ref="P548:Q548" si="544">IF(B548=0,0,IF(YEAR(B548)=$Q$1,MONTH(B548)-$P$1+1,(YEAR(B548)-$Q$1)*12-$P$1+1+MONTH(B548)))</f>
        <v>5</v>
      </c>
      <c r="Q548" s="330">
        <f t="shared" si="544"/>
        <v>4</v>
      </c>
      <c r="R548" s="331" t="str">
        <f t="shared" si="1"/>
        <v>Gastos_custeados_por_captação</v>
      </c>
      <c r="S548" s="331" t="str">
        <f>IF(D548="","",IF(OR(D548=Plano!$A$1,D548=Plano!$B$1),"entrada","saída"))</f>
        <v>saída</v>
      </c>
      <c r="T548" s="332" t="s">
        <v>1059</v>
      </c>
      <c r="U548" s="332">
        <v>1420</v>
      </c>
      <c r="V548" s="333"/>
    </row>
    <row r="549" spans="1:22" ht="145.5" customHeight="1" x14ac:dyDescent="0.2">
      <c r="A549" s="277">
        <f>IF(B549="","",COUNT('Diário 5º PA'!$A$5:$A$2634)+ROW()-4)</f>
        <v>1856</v>
      </c>
      <c r="B549" s="278">
        <v>44322</v>
      </c>
      <c r="C549" s="259">
        <v>44287</v>
      </c>
      <c r="D549" s="252" t="s">
        <v>104</v>
      </c>
      <c r="E549" s="252" t="s">
        <v>104</v>
      </c>
      <c r="F549" s="257">
        <v>2300</v>
      </c>
      <c r="G549" s="252" t="s">
        <v>4387</v>
      </c>
      <c r="H549" s="252" t="s">
        <v>104</v>
      </c>
      <c r="I549" s="252" t="s">
        <v>3717</v>
      </c>
      <c r="J549" s="250" t="s">
        <v>1630</v>
      </c>
      <c r="K549" s="255" t="s">
        <v>1015</v>
      </c>
      <c r="L549" s="250" t="s">
        <v>1016</v>
      </c>
      <c r="M549" s="277" t="s">
        <v>1443</v>
      </c>
      <c r="N549" s="278">
        <v>44322</v>
      </c>
      <c r="O549" s="329" t="s">
        <v>68</v>
      </c>
      <c r="P549" s="330">
        <f t="shared" ref="P549:Q549" si="545">IF(B549=0,0,IF(YEAR(B549)=$Q$1,MONTH(B549)-$P$1+1,(YEAR(B549)-$Q$1)*12-$P$1+1+MONTH(B549)))</f>
        <v>5</v>
      </c>
      <c r="Q549" s="330">
        <f t="shared" si="545"/>
        <v>4</v>
      </c>
      <c r="R549" s="331" t="str">
        <f t="shared" si="1"/>
        <v>Gastos_custeados_por_captação</v>
      </c>
      <c r="S549" s="331" t="str">
        <f>IF(D549="","",IF(OR(D549=Plano!$A$1,D549=Plano!$B$1),"entrada","saída"))</f>
        <v>saída</v>
      </c>
      <c r="T549" s="332" t="s">
        <v>1082</v>
      </c>
      <c r="U549" s="332">
        <v>1400</v>
      </c>
      <c r="V549" s="333"/>
    </row>
    <row r="550" spans="1:22" ht="126" customHeight="1" x14ac:dyDescent="0.2">
      <c r="A550" s="277">
        <f>IF(B550="","",COUNT('Diário 5º PA'!$A$5:$A$2634)+ROW()-4)</f>
        <v>1857</v>
      </c>
      <c r="B550" s="278">
        <v>44322</v>
      </c>
      <c r="C550" s="259">
        <v>44287</v>
      </c>
      <c r="D550" s="252" t="s">
        <v>104</v>
      </c>
      <c r="E550" s="252" t="s">
        <v>104</v>
      </c>
      <c r="F550" s="257">
        <v>2300</v>
      </c>
      <c r="G550" s="252" t="s">
        <v>4387</v>
      </c>
      <c r="H550" s="252" t="s">
        <v>104</v>
      </c>
      <c r="I550" s="252" t="s">
        <v>4173</v>
      </c>
      <c r="J550" s="250" t="s">
        <v>2771</v>
      </c>
      <c r="K550" s="255" t="s">
        <v>1015</v>
      </c>
      <c r="L550" s="250" t="s">
        <v>1016</v>
      </c>
      <c r="M550" s="277" t="s">
        <v>1443</v>
      </c>
      <c r="N550" s="278">
        <v>44322</v>
      </c>
      <c r="O550" s="329" t="s">
        <v>68</v>
      </c>
      <c r="P550" s="330">
        <f t="shared" ref="P550:Q550" si="546">IF(B550=0,0,IF(YEAR(B550)=$Q$1,MONTH(B550)-$P$1+1,(YEAR(B550)-$Q$1)*12-$P$1+1+MONTH(B550)))</f>
        <v>5</v>
      </c>
      <c r="Q550" s="330">
        <f t="shared" si="546"/>
        <v>4</v>
      </c>
      <c r="R550" s="331" t="str">
        <f t="shared" si="1"/>
        <v>Gastos_custeados_por_captação</v>
      </c>
      <c r="S550" s="331" t="str">
        <f>IF(D550="","",IF(OR(D550=Plano!$A$1,D550=Plano!$B$1),"entrada","saída"))</f>
        <v>saída</v>
      </c>
      <c r="T550" s="332" t="s">
        <v>1059</v>
      </c>
      <c r="U550" s="332">
        <v>1399</v>
      </c>
      <c r="V550" s="333"/>
    </row>
    <row r="551" spans="1:22" ht="135" customHeight="1" x14ac:dyDescent="0.2">
      <c r="A551" s="277">
        <f>IF(B551="","",COUNT('Diário 5º PA'!$A$5:$A$2634)+ROW()-4)</f>
        <v>1858</v>
      </c>
      <c r="B551" s="278">
        <v>44322</v>
      </c>
      <c r="C551" s="259">
        <v>44287</v>
      </c>
      <c r="D551" s="252" t="s">
        <v>104</v>
      </c>
      <c r="E551" s="252" t="s">
        <v>104</v>
      </c>
      <c r="F551" s="257">
        <v>2300</v>
      </c>
      <c r="G551" s="252" t="s">
        <v>4388</v>
      </c>
      <c r="H551" s="252" t="s">
        <v>104</v>
      </c>
      <c r="I551" s="252" t="s">
        <v>2745</v>
      </c>
      <c r="J551" s="250" t="s">
        <v>2746</v>
      </c>
      <c r="K551" s="255" t="s">
        <v>1015</v>
      </c>
      <c r="L551" s="250" t="s">
        <v>1016</v>
      </c>
      <c r="M551" s="277" t="s">
        <v>1443</v>
      </c>
      <c r="N551" s="278">
        <v>44320</v>
      </c>
      <c r="O551" s="329" t="s">
        <v>68</v>
      </c>
      <c r="P551" s="330">
        <f t="shared" ref="P551:Q551" si="547">IF(B551=0,0,IF(YEAR(B551)=$Q$1,MONTH(B551)-$P$1+1,(YEAR(B551)-$Q$1)*12-$P$1+1+MONTH(B551)))</f>
        <v>5</v>
      </c>
      <c r="Q551" s="330">
        <f t="shared" si="547"/>
        <v>4</v>
      </c>
      <c r="R551" s="331" t="str">
        <f t="shared" si="1"/>
        <v>Gastos_custeados_por_captação</v>
      </c>
      <c r="S551" s="331" t="str">
        <f>IF(D551="","",IF(OR(D551=Plano!$A$1,D551=Plano!$B$1),"entrada","saída"))</f>
        <v>saída</v>
      </c>
      <c r="T551" s="332" t="s">
        <v>1059</v>
      </c>
      <c r="U551" s="332">
        <v>1418</v>
      </c>
      <c r="V551" s="333"/>
    </row>
    <row r="552" spans="1:22" ht="146.25" customHeight="1" x14ac:dyDescent="0.2">
      <c r="A552" s="277">
        <f>IF(B552="","",COUNT('Diário 5º PA'!$A$5:$A$2634)+ROW()-4)</f>
        <v>1859</v>
      </c>
      <c r="B552" s="278">
        <v>44322</v>
      </c>
      <c r="C552" s="259">
        <v>44287</v>
      </c>
      <c r="D552" s="252" t="s">
        <v>104</v>
      </c>
      <c r="E552" s="252" t="s">
        <v>104</v>
      </c>
      <c r="F552" s="257">
        <v>2300</v>
      </c>
      <c r="G552" s="252" t="s">
        <v>4387</v>
      </c>
      <c r="H552" s="252" t="s">
        <v>104</v>
      </c>
      <c r="I552" s="252" t="s">
        <v>1638</v>
      </c>
      <c r="J552" s="250" t="s">
        <v>2889</v>
      </c>
      <c r="K552" s="255" t="s">
        <v>1015</v>
      </c>
      <c r="L552" s="250" t="s">
        <v>1016</v>
      </c>
      <c r="M552" s="277" t="s">
        <v>1443</v>
      </c>
      <c r="N552" s="278">
        <v>44320</v>
      </c>
      <c r="O552" s="329" t="s">
        <v>68</v>
      </c>
      <c r="P552" s="330">
        <f t="shared" ref="P552:Q552" si="548">IF(B552=0,0,IF(YEAR(B552)=$Q$1,MONTH(B552)-$P$1+1,(YEAR(B552)-$Q$1)*12-$P$1+1+MONTH(B552)))</f>
        <v>5</v>
      </c>
      <c r="Q552" s="330">
        <f t="shared" si="548"/>
        <v>4</v>
      </c>
      <c r="R552" s="331" t="str">
        <f t="shared" si="1"/>
        <v>Gastos_custeados_por_captação</v>
      </c>
      <c r="S552" s="331" t="str">
        <f>IF(D552="","",IF(OR(D552=Plano!$A$1,D552=Plano!$B$1),"entrada","saída"))</f>
        <v>saída</v>
      </c>
      <c r="T552" s="332" t="s">
        <v>1059</v>
      </c>
      <c r="U552" s="332">
        <v>1401</v>
      </c>
      <c r="V552" s="333"/>
    </row>
    <row r="553" spans="1:22" ht="81.75" customHeight="1" x14ac:dyDescent="0.2">
      <c r="A553" s="277">
        <f>IF(B553="","",COUNT('Diário 5º PA'!$A$5:$A$2634)+ROW()-4)</f>
        <v>1860</v>
      </c>
      <c r="B553" s="278">
        <v>44322</v>
      </c>
      <c r="C553" s="259">
        <v>44287</v>
      </c>
      <c r="D553" s="252" t="s">
        <v>104</v>
      </c>
      <c r="E553" s="252" t="s">
        <v>104</v>
      </c>
      <c r="F553" s="257">
        <v>3250</v>
      </c>
      <c r="G553" s="252" t="s">
        <v>4512</v>
      </c>
      <c r="H553" s="252" t="s">
        <v>104</v>
      </c>
      <c r="I553" s="252" t="s">
        <v>3929</v>
      </c>
      <c r="J553" s="250" t="s">
        <v>3930</v>
      </c>
      <c r="K553" s="255" t="s">
        <v>1015</v>
      </c>
      <c r="L553" s="250" t="s">
        <v>1016</v>
      </c>
      <c r="M553" s="277" t="s">
        <v>1017</v>
      </c>
      <c r="N553" s="278">
        <v>44320</v>
      </c>
      <c r="O553" s="329" t="s">
        <v>69</v>
      </c>
      <c r="P553" s="330">
        <f t="shared" ref="P553:Q553" si="549">IF(B553=0,0,IF(YEAR(B553)=$Q$1,MONTH(B553)-$P$1+1,(YEAR(B553)-$Q$1)*12-$P$1+1+MONTH(B553)))</f>
        <v>5</v>
      </c>
      <c r="Q553" s="330">
        <f t="shared" si="549"/>
        <v>4</v>
      </c>
      <c r="R553" s="331" t="str">
        <f t="shared" si="1"/>
        <v>Gastos_custeados_por_captação</v>
      </c>
      <c r="S553" s="331" t="str">
        <f>IF(D553="","",IF(OR(D553=Plano!$A$1,D553=Plano!$B$1),"entrada","saída"))</f>
        <v>saída</v>
      </c>
      <c r="T553" s="332" t="s">
        <v>994</v>
      </c>
      <c r="U553" s="332">
        <v>1544</v>
      </c>
      <c r="V553" s="333"/>
    </row>
    <row r="554" spans="1:22" ht="90.75" customHeight="1" x14ac:dyDescent="0.2">
      <c r="A554" s="277">
        <f>IF(B554="","",COUNT('Diário 5º PA'!$A$5:$A$2634)+ROW()-4)</f>
        <v>1861</v>
      </c>
      <c r="B554" s="278">
        <v>44322</v>
      </c>
      <c r="C554" s="259">
        <v>44287</v>
      </c>
      <c r="D554" s="252" t="s">
        <v>104</v>
      </c>
      <c r="E554" s="252" t="s">
        <v>104</v>
      </c>
      <c r="F554" s="257">
        <v>3250</v>
      </c>
      <c r="G554" s="252" t="s">
        <v>4512</v>
      </c>
      <c r="H554" s="252" t="s">
        <v>104</v>
      </c>
      <c r="I554" s="252" t="s">
        <v>4513</v>
      </c>
      <c r="J554" s="250" t="s">
        <v>3933</v>
      </c>
      <c r="K554" s="255" t="s">
        <v>1015</v>
      </c>
      <c r="L554" s="250" t="s">
        <v>1016</v>
      </c>
      <c r="M554" s="277" t="s">
        <v>1058</v>
      </c>
      <c r="N554" s="278">
        <v>44322</v>
      </c>
      <c r="O554" s="329" t="s">
        <v>69</v>
      </c>
      <c r="P554" s="330">
        <f t="shared" ref="P554:Q554" si="550">IF(B554=0,0,IF(YEAR(B554)=$Q$1,MONTH(B554)-$P$1+1,(YEAR(B554)-$Q$1)*12-$P$1+1+MONTH(B554)))</f>
        <v>5</v>
      </c>
      <c r="Q554" s="330">
        <f t="shared" si="550"/>
        <v>4</v>
      </c>
      <c r="R554" s="331" t="str">
        <f t="shared" si="1"/>
        <v>Gastos_custeados_por_captação</v>
      </c>
      <c r="S554" s="331" t="str">
        <f>IF(D554="","",IF(OR(D554=Plano!$A$1,D554=Plano!$B$1),"entrada","saída"))</f>
        <v>saída</v>
      </c>
      <c r="T554" s="332" t="s">
        <v>994</v>
      </c>
      <c r="U554" s="332">
        <v>1545</v>
      </c>
      <c r="V554" s="333"/>
    </row>
    <row r="555" spans="1:22" ht="72" customHeight="1" x14ac:dyDescent="0.2">
      <c r="A555" s="277">
        <f>IF(B555="","",COUNT('Diário 5º PA'!$A$5:$A$2634)+ROW()-4)</f>
        <v>1862</v>
      </c>
      <c r="B555" s="278">
        <v>44323</v>
      </c>
      <c r="C555" s="256">
        <v>44287</v>
      </c>
      <c r="D555" s="255" t="s">
        <v>99</v>
      </c>
      <c r="E555" s="255" t="s">
        <v>330</v>
      </c>
      <c r="F555" s="257">
        <v>-136.94999999999999</v>
      </c>
      <c r="G555" s="337" t="s">
        <v>4514</v>
      </c>
      <c r="H555" s="255" t="s">
        <v>115</v>
      </c>
      <c r="I555" s="250" t="s">
        <v>983</v>
      </c>
      <c r="J555" s="255" t="s">
        <v>850</v>
      </c>
      <c r="K555" s="255" t="s">
        <v>946</v>
      </c>
      <c r="L555" s="250" t="s">
        <v>947</v>
      </c>
      <c r="M555" s="277" t="s">
        <v>114</v>
      </c>
      <c r="N555" s="278">
        <v>44323</v>
      </c>
      <c r="O555" s="329" t="s">
        <v>67</v>
      </c>
      <c r="P555" s="330">
        <f t="shared" ref="P555:Q555" si="551">IF(B555=0,0,IF(YEAR(B555)=$Q$1,MONTH(B555)-$P$1+1,(YEAR(B555)-$Q$1)*12-$P$1+1+MONTH(B555)))</f>
        <v>5</v>
      </c>
      <c r="Q555" s="330">
        <f t="shared" si="551"/>
        <v>4</v>
      </c>
      <c r="R555" s="331" t="str">
        <f t="shared" si="1"/>
        <v>Gastos_Gerais</v>
      </c>
      <c r="S555" s="331" t="str">
        <f>IF(D555="","",IF(OR(D555=Plano!$A$1,D555=Plano!$B$1),"entrada","saída"))</f>
        <v>saída</v>
      </c>
      <c r="T555" s="332" t="s">
        <v>114</v>
      </c>
      <c r="U555" s="332" t="s">
        <v>114</v>
      </c>
      <c r="V555" s="333"/>
    </row>
    <row r="556" spans="1:22" ht="75" customHeight="1" x14ac:dyDescent="0.2">
      <c r="A556" s="277">
        <f>IF(B556="","",COUNT('Diário 5º PA'!$A$5:$A$2634)+ROW()-4)</f>
        <v>1863</v>
      </c>
      <c r="B556" s="278">
        <v>44323</v>
      </c>
      <c r="C556" s="256">
        <v>44287</v>
      </c>
      <c r="D556" s="255" t="s">
        <v>88</v>
      </c>
      <c r="E556" s="255" t="s">
        <v>171</v>
      </c>
      <c r="F556" s="258">
        <v>-2041.86</v>
      </c>
      <c r="G556" s="255" t="s">
        <v>4515</v>
      </c>
      <c r="H556" s="255" t="s">
        <v>114</v>
      </c>
      <c r="I556" s="250" t="s">
        <v>983</v>
      </c>
      <c r="J556" s="255" t="s">
        <v>850</v>
      </c>
      <c r="K556" s="255" t="s">
        <v>946</v>
      </c>
      <c r="L556" s="250" t="s">
        <v>947</v>
      </c>
      <c r="M556" s="277" t="s">
        <v>114</v>
      </c>
      <c r="N556" s="278">
        <v>44323</v>
      </c>
      <c r="O556" s="329" t="s">
        <v>67</v>
      </c>
      <c r="P556" s="330">
        <f t="shared" ref="P556:Q556" si="552">IF(B556=0,0,IF(YEAR(B556)=$Q$1,MONTH(B556)-$P$1+1,(YEAR(B556)-$Q$1)*12-$P$1+1+MONTH(B556)))</f>
        <v>5</v>
      </c>
      <c r="Q556" s="330">
        <f t="shared" si="552"/>
        <v>4</v>
      </c>
      <c r="R556" s="331" t="str">
        <f t="shared" si="1"/>
        <v>Gastos_com_Pessoal</v>
      </c>
      <c r="S556" s="331" t="str">
        <f>IF(D556="","",IF(OR(D556=Plano!$A$1,D556=Plano!$B$1),"entrada","saída"))</f>
        <v>saída</v>
      </c>
      <c r="T556" s="332" t="s">
        <v>114</v>
      </c>
      <c r="U556" s="332" t="s">
        <v>114</v>
      </c>
      <c r="V556" s="333"/>
    </row>
    <row r="557" spans="1:22" ht="72" customHeight="1" x14ac:dyDescent="0.2">
      <c r="A557" s="277">
        <f>IF(B557="","",COUNT('Diário 5º PA'!$A$5:$A$2634)+ROW()-4)</f>
        <v>1864</v>
      </c>
      <c r="B557" s="278">
        <v>44323</v>
      </c>
      <c r="C557" s="256">
        <v>44287</v>
      </c>
      <c r="D557" s="255" t="s">
        <v>99</v>
      </c>
      <c r="E557" s="255" t="s">
        <v>330</v>
      </c>
      <c r="F557" s="257">
        <v>-37.35</v>
      </c>
      <c r="G557" s="337" t="s">
        <v>4516</v>
      </c>
      <c r="H557" s="255" t="s">
        <v>115</v>
      </c>
      <c r="I557" s="250" t="s">
        <v>983</v>
      </c>
      <c r="J557" s="255" t="s">
        <v>850</v>
      </c>
      <c r="K557" s="255" t="s">
        <v>946</v>
      </c>
      <c r="L557" s="250" t="s">
        <v>947</v>
      </c>
      <c r="M557" s="277" t="s">
        <v>114</v>
      </c>
      <c r="N557" s="278">
        <v>44323</v>
      </c>
      <c r="O557" s="329" t="s">
        <v>67</v>
      </c>
      <c r="P557" s="330">
        <f t="shared" ref="P557:Q557" si="553">IF(B557=0,0,IF(YEAR(B557)=$Q$1,MONTH(B557)-$P$1+1,(YEAR(B557)-$Q$1)*12-$P$1+1+MONTH(B557)))</f>
        <v>5</v>
      </c>
      <c r="Q557" s="330">
        <f t="shared" si="553"/>
        <v>4</v>
      </c>
      <c r="R557" s="331" t="str">
        <f t="shared" si="1"/>
        <v>Gastos_Gerais</v>
      </c>
      <c r="S557" s="331" t="str">
        <f>IF(D557="","",IF(OR(D557=Plano!$A$1,D557=Plano!$B$1),"entrada","saída"))</f>
        <v>saída</v>
      </c>
      <c r="T557" s="332" t="s">
        <v>114</v>
      </c>
      <c r="U557" s="332" t="s">
        <v>114</v>
      </c>
      <c r="V557" s="333"/>
    </row>
    <row r="558" spans="1:22" ht="63" customHeight="1" x14ac:dyDescent="0.2">
      <c r="A558" s="277">
        <f>IF(B558="","",COUNT('Diário 5º PA'!$A$5:$A$2634)+ROW()-4)</f>
        <v>1865</v>
      </c>
      <c r="B558" s="278">
        <v>44323</v>
      </c>
      <c r="C558" s="256">
        <v>44287</v>
      </c>
      <c r="D558" s="255" t="s">
        <v>88</v>
      </c>
      <c r="E558" s="255" t="s">
        <v>171</v>
      </c>
      <c r="F558" s="258">
        <v>-179.68</v>
      </c>
      <c r="G558" s="255" t="s">
        <v>2738</v>
      </c>
      <c r="H558" s="255" t="s">
        <v>114</v>
      </c>
      <c r="I558" s="250" t="s">
        <v>983</v>
      </c>
      <c r="J558" s="255" t="s">
        <v>850</v>
      </c>
      <c r="K558" s="255" t="s">
        <v>946</v>
      </c>
      <c r="L558" s="250" t="s">
        <v>947</v>
      </c>
      <c r="M558" s="277" t="s">
        <v>114</v>
      </c>
      <c r="N558" s="278">
        <v>44323</v>
      </c>
      <c r="O558" s="329" t="s">
        <v>67</v>
      </c>
      <c r="P558" s="330">
        <f t="shared" ref="P558:Q558" si="554">IF(B558=0,0,IF(YEAR(B558)=$Q$1,MONTH(B558)-$P$1+1,(YEAR(B558)-$Q$1)*12-$P$1+1+MONTH(B558)))</f>
        <v>5</v>
      </c>
      <c r="Q558" s="330">
        <f t="shared" si="554"/>
        <v>4</v>
      </c>
      <c r="R558" s="331" t="str">
        <f t="shared" si="1"/>
        <v>Gastos_com_Pessoal</v>
      </c>
      <c r="S558" s="331" t="str">
        <f>IF(D558="","",IF(OR(D558=Plano!$A$1,D558=Plano!$B$1),"entrada","saída"))</f>
        <v>saída</v>
      </c>
      <c r="T558" s="332" t="s">
        <v>114</v>
      </c>
      <c r="U558" s="332" t="s">
        <v>114</v>
      </c>
      <c r="V558" s="333"/>
    </row>
    <row r="559" spans="1:22" ht="57.75" customHeight="1" x14ac:dyDescent="0.2">
      <c r="A559" s="277">
        <f>IF(B559="","",COUNT('Diário 5º PA'!$A$5:$A$2634)+ROW()-4)</f>
        <v>1866</v>
      </c>
      <c r="B559" s="278">
        <v>44323</v>
      </c>
      <c r="C559" s="256">
        <v>44287</v>
      </c>
      <c r="D559" s="255" t="s">
        <v>99</v>
      </c>
      <c r="E559" s="255" t="s">
        <v>330</v>
      </c>
      <c r="F559" s="257">
        <v>-12.45</v>
      </c>
      <c r="G559" s="337" t="s">
        <v>4516</v>
      </c>
      <c r="H559" s="255" t="s">
        <v>115</v>
      </c>
      <c r="I559" s="250" t="s">
        <v>983</v>
      </c>
      <c r="J559" s="255" t="s">
        <v>850</v>
      </c>
      <c r="K559" s="255" t="s">
        <v>946</v>
      </c>
      <c r="L559" s="250" t="s">
        <v>947</v>
      </c>
      <c r="M559" s="277" t="s">
        <v>114</v>
      </c>
      <c r="N559" s="278">
        <v>44323</v>
      </c>
      <c r="O559" s="329" t="s">
        <v>67</v>
      </c>
      <c r="P559" s="330">
        <f t="shared" ref="P559:Q559" si="555">IF(B559=0,0,IF(YEAR(B559)=$Q$1,MONTH(B559)-$P$1+1,(YEAR(B559)-$Q$1)*12-$P$1+1+MONTH(B559)))</f>
        <v>5</v>
      </c>
      <c r="Q559" s="330">
        <f t="shared" si="555"/>
        <v>4</v>
      </c>
      <c r="R559" s="331" t="str">
        <f t="shared" si="1"/>
        <v>Gastos_Gerais</v>
      </c>
      <c r="S559" s="331" t="str">
        <f>IF(D559="","",IF(OR(D559=Plano!$A$1,D559=Plano!$B$1),"entrada","saída"))</f>
        <v>saída</v>
      </c>
      <c r="T559" s="332" t="s">
        <v>114</v>
      </c>
      <c r="U559" s="332" t="s">
        <v>114</v>
      </c>
      <c r="V559" s="333"/>
    </row>
    <row r="560" spans="1:22" ht="163.5" customHeight="1" x14ac:dyDescent="0.2">
      <c r="A560" s="277">
        <f>IF(B560="","",COUNT('Diário 5º PA'!$A$5:$A$2634)+ROW()-4)</f>
        <v>1867</v>
      </c>
      <c r="B560" s="278">
        <v>44323</v>
      </c>
      <c r="C560" s="259">
        <v>44287</v>
      </c>
      <c r="D560" s="252" t="s">
        <v>99</v>
      </c>
      <c r="E560" s="252" t="s">
        <v>340</v>
      </c>
      <c r="F560" s="257">
        <v>7420.5</v>
      </c>
      <c r="G560" s="252" t="s">
        <v>4517</v>
      </c>
      <c r="H560" s="252" t="s">
        <v>125</v>
      </c>
      <c r="I560" s="250" t="s">
        <v>1410</v>
      </c>
      <c r="J560" s="250" t="s">
        <v>1411</v>
      </c>
      <c r="K560" s="255" t="s">
        <v>1015</v>
      </c>
      <c r="L560" s="250" t="s">
        <v>1016</v>
      </c>
      <c r="M560" s="277" t="s">
        <v>1540</v>
      </c>
      <c r="N560" s="278">
        <v>44323</v>
      </c>
      <c r="O560" s="329" t="s">
        <v>67</v>
      </c>
      <c r="P560" s="330">
        <f t="shared" ref="P560:Q560" si="556">IF(B560=0,0,IF(YEAR(B560)=$Q$1,MONTH(B560)-$P$1+1,(YEAR(B560)-$Q$1)*12-$P$1+1+MONTH(B560)))</f>
        <v>5</v>
      </c>
      <c r="Q560" s="330">
        <f t="shared" si="556"/>
        <v>4</v>
      </c>
      <c r="R560" s="331" t="str">
        <f t="shared" si="1"/>
        <v>Gastos_Gerais</v>
      </c>
      <c r="S560" s="331" t="str">
        <f>IF(D560="","",IF(OR(D560=Plano!$A$1,D560=Plano!$B$1),"entrada","saída"))</f>
        <v>saída</v>
      </c>
      <c r="T560" s="332" t="s">
        <v>1059</v>
      </c>
      <c r="U560" s="332">
        <v>1548</v>
      </c>
      <c r="V560" s="333"/>
    </row>
    <row r="561" spans="1:22" ht="60" customHeight="1" x14ac:dyDescent="0.2">
      <c r="A561" s="277">
        <f>IF(B561="","",COUNT('Diário 5º PA'!$A$5:$A$2634)+ROW()-4)</f>
        <v>1868</v>
      </c>
      <c r="B561" s="278">
        <v>44323</v>
      </c>
      <c r="C561" s="259">
        <v>44287</v>
      </c>
      <c r="D561" s="255" t="s">
        <v>88</v>
      </c>
      <c r="E561" s="255" t="s">
        <v>90</v>
      </c>
      <c r="F561" s="258">
        <v>10231.52</v>
      </c>
      <c r="G561" s="255" t="s">
        <v>4518</v>
      </c>
      <c r="H561" s="255" t="s">
        <v>114</v>
      </c>
      <c r="I561" s="250" t="s">
        <v>1181</v>
      </c>
      <c r="J561" s="255" t="s">
        <v>1182</v>
      </c>
      <c r="K561" s="255" t="s">
        <v>991</v>
      </c>
      <c r="L561" s="250" t="s">
        <v>1183</v>
      </c>
      <c r="M561" s="277" t="s">
        <v>114</v>
      </c>
      <c r="N561" s="278">
        <v>44323</v>
      </c>
      <c r="O561" s="329" t="s">
        <v>67</v>
      </c>
      <c r="P561" s="330">
        <f t="shared" ref="P561:Q561" si="557">IF(B561=0,0,IF(YEAR(B561)=$Q$1,MONTH(B561)-$P$1+1,(YEAR(B561)-$Q$1)*12-$P$1+1+MONTH(B561)))</f>
        <v>5</v>
      </c>
      <c r="Q561" s="330">
        <f t="shared" si="557"/>
        <v>4</v>
      </c>
      <c r="R561" s="331" t="str">
        <f t="shared" si="1"/>
        <v>Gastos_com_Pessoal</v>
      </c>
      <c r="S561" s="331" t="str">
        <f>IF(D561="","",IF(OR(D561=Plano!$A$1,D561=Plano!$B$1),"entrada","saída"))</f>
        <v>saída</v>
      </c>
      <c r="T561" s="332" t="s">
        <v>114</v>
      </c>
      <c r="U561" s="332" t="s">
        <v>114</v>
      </c>
      <c r="V561" s="333"/>
    </row>
    <row r="562" spans="1:22" ht="60" customHeight="1" x14ac:dyDescent="0.2">
      <c r="A562" s="277">
        <f>IF(B562="","",COUNT('Diário 5º PA'!$A$5:$A$2634)+ROW()-4)</f>
        <v>1869</v>
      </c>
      <c r="B562" s="278">
        <v>44323</v>
      </c>
      <c r="C562" s="259">
        <v>44287</v>
      </c>
      <c r="D562" s="255" t="s">
        <v>88</v>
      </c>
      <c r="E562" s="255" t="s">
        <v>90</v>
      </c>
      <c r="F562" s="258">
        <v>3105.06</v>
      </c>
      <c r="G562" s="255" t="s">
        <v>4519</v>
      </c>
      <c r="H562" s="255" t="s">
        <v>114</v>
      </c>
      <c r="I562" s="250" t="s">
        <v>1185</v>
      </c>
      <c r="J562" s="250" t="s">
        <v>1186</v>
      </c>
      <c r="K562" s="255" t="s">
        <v>991</v>
      </c>
      <c r="L562" s="250" t="s">
        <v>1183</v>
      </c>
      <c r="M562" s="277" t="s">
        <v>114</v>
      </c>
      <c r="N562" s="278">
        <v>44323</v>
      </c>
      <c r="O562" s="329" t="s">
        <v>67</v>
      </c>
      <c r="P562" s="330">
        <f t="shared" ref="P562:Q562" si="558">IF(B562=0,0,IF(YEAR(B562)=$Q$1,MONTH(B562)-$P$1+1,(YEAR(B562)-$Q$1)*12-$P$1+1+MONTH(B562)))</f>
        <v>5</v>
      </c>
      <c r="Q562" s="330">
        <f t="shared" si="558"/>
        <v>4</v>
      </c>
      <c r="R562" s="331" t="str">
        <f t="shared" si="1"/>
        <v>Gastos_com_Pessoal</v>
      </c>
      <c r="S562" s="331" t="str">
        <f>IF(D562="","",IF(OR(D562=Plano!$A$1,D562=Plano!$B$1),"entrada","saída"))</f>
        <v>saída</v>
      </c>
      <c r="T562" s="332" t="s">
        <v>114</v>
      </c>
      <c r="U562" s="332" t="s">
        <v>114</v>
      </c>
      <c r="V562" s="333"/>
    </row>
    <row r="563" spans="1:22" ht="60" customHeight="1" x14ac:dyDescent="0.2">
      <c r="A563" s="277">
        <f>IF(B563="","",COUNT('Diário 5º PA'!$A$5:$A$2634)+ROW()-4)</f>
        <v>1870</v>
      </c>
      <c r="B563" s="278">
        <v>44323</v>
      </c>
      <c r="C563" s="259">
        <v>44287</v>
      </c>
      <c r="D563" s="255" t="s">
        <v>88</v>
      </c>
      <c r="E563" s="255" t="s">
        <v>90</v>
      </c>
      <c r="F563" s="258">
        <v>1515.25</v>
      </c>
      <c r="G563" s="255" t="s">
        <v>4520</v>
      </c>
      <c r="H563" s="255" t="s">
        <v>114</v>
      </c>
      <c r="I563" s="250" t="s">
        <v>1188</v>
      </c>
      <c r="J563" s="250" t="s">
        <v>1189</v>
      </c>
      <c r="K563" s="255" t="s">
        <v>991</v>
      </c>
      <c r="L563" s="250" t="s">
        <v>1183</v>
      </c>
      <c r="M563" s="277" t="s">
        <v>114</v>
      </c>
      <c r="N563" s="278">
        <v>44323</v>
      </c>
      <c r="O563" s="329" t="s">
        <v>67</v>
      </c>
      <c r="P563" s="330">
        <f t="shared" ref="P563:Q563" si="559">IF(B563=0,0,IF(YEAR(B563)=$Q$1,MONTH(B563)-$P$1+1,(YEAR(B563)-$Q$1)*12-$P$1+1+MONTH(B563)))</f>
        <v>5</v>
      </c>
      <c r="Q563" s="330">
        <f t="shared" si="559"/>
        <v>4</v>
      </c>
      <c r="R563" s="331" t="str">
        <f t="shared" si="1"/>
        <v>Gastos_com_Pessoal</v>
      </c>
      <c r="S563" s="331" t="str">
        <f>IF(D563="","",IF(OR(D563=Plano!$A$1,D563=Plano!$B$1),"entrada","saída"))</f>
        <v>saída</v>
      </c>
      <c r="T563" s="332" t="s">
        <v>114</v>
      </c>
      <c r="U563" s="332" t="s">
        <v>114</v>
      </c>
      <c r="V563" s="333"/>
    </row>
    <row r="564" spans="1:22" ht="60" customHeight="1" x14ac:dyDescent="0.2">
      <c r="A564" s="277">
        <f>IF(B564="","",COUNT('Diário 5º PA'!$A$5:$A$2634)+ROW()-4)</f>
        <v>1871</v>
      </c>
      <c r="B564" s="278">
        <v>44323</v>
      </c>
      <c r="C564" s="259">
        <v>44287</v>
      </c>
      <c r="D564" s="255" t="s">
        <v>88</v>
      </c>
      <c r="E564" s="255" t="s">
        <v>90</v>
      </c>
      <c r="F564" s="258">
        <v>3549.36</v>
      </c>
      <c r="G564" s="255" t="s">
        <v>4521</v>
      </c>
      <c r="H564" s="255" t="s">
        <v>114</v>
      </c>
      <c r="I564" s="250" t="s">
        <v>1191</v>
      </c>
      <c r="J564" s="255" t="s">
        <v>1192</v>
      </c>
      <c r="K564" s="255" t="s">
        <v>991</v>
      </c>
      <c r="L564" s="250" t="s">
        <v>1183</v>
      </c>
      <c r="M564" s="277" t="s">
        <v>114</v>
      </c>
      <c r="N564" s="278">
        <v>44323</v>
      </c>
      <c r="O564" s="329" t="s">
        <v>67</v>
      </c>
      <c r="P564" s="330">
        <f t="shared" ref="P564:Q564" si="560">IF(B564=0,0,IF(YEAR(B564)=$Q$1,MONTH(B564)-$P$1+1,(YEAR(B564)-$Q$1)*12-$P$1+1+MONTH(B564)))</f>
        <v>5</v>
      </c>
      <c r="Q564" s="330">
        <f t="shared" si="560"/>
        <v>4</v>
      </c>
      <c r="R564" s="331" t="str">
        <f t="shared" si="1"/>
        <v>Gastos_com_Pessoal</v>
      </c>
      <c r="S564" s="331" t="str">
        <f>IF(D564="","",IF(OR(D564=Plano!$A$1,D564=Plano!$B$1),"entrada","saída"))</f>
        <v>saída</v>
      </c>
      <c r="T564" s="332" t="s">
        <v>114</v>
      </c>
      <c r="U564" s="332" t="s">
        <v>114</v>
      </c>
      <c r="V564" s="333"/>
    </row>
    <row r="565" spans="1:22" ht="60" customHeight="1" x14ac:dyDescent="0.2">
      <c r="A565" s="277">
        <f>IF(B565="","",COUNT('Diário 5º PA'!$A$5:$A$2634)+ROW()-4)</f>
        <v>1872</v>
      </c>
      <c r="B565" s="278">
        <v>44323</v>
      </c>
      <c r="C565" s="259">
        <v>44287</v>
      </c>
      <c r="D565" s="255" t="s">
        <v>88</v>
      </c>
      <c r="E565" s="255" t="s">
        <v>90</v>
      </c>
      <c r="F565" s="258">
        <v>4413.74</v>
      </c>
      <c r="G565" s="255" t="s">
        <v>4522</v>
      </c>
      <c r="H565" s="255" t="s">
        <v>114</v>
      </c>
      <c r="I565" s="250" t="s">
        <v>2756</v>
      </c>
      <c r="J565" s="250" t="s">
        <v>2757</v>
      </c>
      <c r="K565" s="255" t="s">
        <v>991</v>
      </c>
      <c r="L565" s="250" t="s">
        <v>1183</v>
      </c>
      <c r="M565" s="277" t="s">
        <v>114</v>
      </c>
      <c r="N565" s="278">
        <v>44323</v>
      </c>
      <c r="O565" s="329" t="s">
        <v>67</v>
      </c>
      <c r="P565" s="330">
        <f t="shared" ref="P565:Q565" si="561">IF(B565=0,0,IF(YEAR(B565)=$Q$1,MONTH(B565)-$P$1+1,(YEAR(B565)-$Q$1)*12-$P$1+1+MONTH(B565)))</f>
        <v>5</v>
      </c>
      <c r="Q565" s="330">
        <f t="shared" si="561"/>
        <v>4</v>
      </c>
      <c r="R565" s="331" t="str">
        <f t="shared" si="1"/>
        <v>Gastos_com_Pessoal</v>
      </c>
      <c r="S565" s="331" t="str">
        <f>IF(D565="","",IF(OR(D565=Plano!$A$1,D565=Plano!$B$1),"entrada","saída"))</f>
        <v>saída</v>
      </c>
      <c r="T565" s="332" t="s">
        <v>114</v>
      </c>
      <c r="U565" s="332" t="s">
        <v>114</v>
      </c>
      <c r="V565" s="333"/>
    </row>
    <row r="566" spans="1:22" ht="60" customHeight="1" x14ac:dyDescent="0.2">
      <c r="A566" s="277">
        <f>IF(B566="","",COUNT('Diário 5º PA'!$A$5:$A$2634)+ROW()-4)</f>
        <v>1873</v>
      </c>
      <c r="B566" s="278">
        <v>44323</v>
      </c>
      <c r="C566" s="259">
        <v>44287</v>
      </c>
      <c r="D566" s="255" t="s">
        <v>88</v>
      </c>
      <c r="E566" s="255" t="s">
        <v>90</v>
      </c>
      <c r="F566" s="257">
        <v>4413.74</v>
      </c>
      <c r="G566" s="255" t="s">
        <v>4523</v>
      </c>
      <c r="H566" s="255" t="s">
        <v>114</v>
      </c>
      <c r="I566" s="250" t="s">
        <v>1194</v>
      </c>
      <c r="J566" s="250" t="s">
        <v>1195</v>
      </c>
      <c r="K566" s="255" t="s">
        <v>991</v>
      </c>
      <c r="L566" s="250" t="s">
        <v>1183</v>
      </c>
      <c r="M566" s="277" t="s">
        <v>114</v>
      </c>
      <c r="N566" s="278">
        <v>44323</v>
      </c>
      <c r="O566" s="329" t="s">
        <v>67</v>
      </c>
      <c r="P566" s="330">
        <f t="shared" ref="P566:Q566" si="562">IF(B566=0,0,IF(YEAR(B566)=$Q$1,MONTH(B566)-$P$1+1,(YEAR(B566)-$Q$1)*12-$P$1+1+MONTH(B566)))</f>
        <v>5</v>
      </c>
      <c r="Q566" s="330">
        <f t="shared" si="562"/>
        <v>4</v>
      </c>
      <c r="R566" s="331" t="str">
        <f t="shared" si="1"/>
        <v>Gastos_com_Pessoal</v>
      </c>
      <c r="S566" s="331" t="str">
        <f>IF(D566="","",IF(OR(D566=Plano!$A$1,D566=Plano!$B$1),"entrada","saída"))</f>
        <v>saída</v>
      </c>
      <c r="T566" s="332" t="s">
        <v>114</v>
      </c>
      <c r="U566" s="332" t="s">
        <v>114</v>
      </c>
      <c r="V566" s="333"/>
    </row>
    <row r="567" spans="1:22" ht="60" customHeight="1" x14ac:dyDescent="0.2">
      <c r="A567" s="277">
        <f>IF(B567="","",COUNT('Diário 5º PA'!$A$5:$A$2634)+ROW()-4)</f>
        <v>1874</v>
      </c>
      <c r="B567" s="278">
        <v>44323</v>
      </c>
      <c r="C567" s="259">
        <v>44287</v>
      </c>
      <c r="D567" s="255" t="s">
        <v>88</v>
      </c>
      <c r="E567" s="255" t="s">
        <v>90</v>
      </c>
      <c r="F567" s="258">
        <v>5948.86</v>
      </c>
      <c r="G567" s="255" t="s">
        <v>4524</v>
      </c>
      <c r="H567" s="255" t="s">
        <v>114</v>
      </c>
      <c r="I567" s="250" t="s">
        <v>1197</v>
      </c>
      <c r="J567" s="255" t="s">
        <v>1198</v>
      </c>
      <c r="K567" s="255" t="s">
        <v>991</v>
      </c>
      <c r="L567" s="250" t="s">
        <v>1183</v>
      </c>
      <c r="M567" s="277" t="s">
        <v>114</v>
      </c>
      <c r="N567" s="278">
        <v>44323</v>
      </c>
      <c r="O567" s="329" t="s">
        <v>67</v>
      </c>
      <c r="P567" s="330">
        <f t="shared" ref="P567:Q567" si="563">IF(B567=0,0,IF(YEAR(B567)=$Q$1,MONTH(B567)-$P$1+1,(YEAR(B567)-$Q$1)*12-$P$1+1+MONTH(B567)))</f>
        <v>5</v>
      </c>
      <c r="Q567" s="330">
        <f t="shared" si="563"/>
        <v>4</v>
      </c>
      <c r="R567" s="331" t="str">
        <f t="shared" si="1"/>
        <v>Gastos_com_Pessoal</v>
      </c>
      <c r="S567" s="331" t="str">
        <f>IF(D567="","",IF(OR(D567=Plano!$A$1,D567=Plano!$B$1),"entrada","saída"))</f>
        <v>saída</v>
      </c>
      <c r="T567" s="332" t="s">
        <v>114</v>
      </c>
      <c r="U567" s="332" t="s">
        <v>114</v>
      </c>
      <c r="V567" s="333"/>
    </row>
    <row r="568" spans="1:22" ht="60" customHeight="1" x14ac:dyDescent="0.2">
      <c r="A568" s="277">
        <f>IF(B568="","",COUNT('Diário 5º PA'!$A$5:$A$2634)+ROW()-4)</f>
        <v>1875</v>
      </c>
      <c r="B568" s="278">
        <v>44323</v>
      </c>
      <c r="C568" s="259">
        <v>44287</v>
      </c>
      <c r="D568" s="255" t="s">
        <v>88</v>
      </c>
      <c r="E568" s="255" t="s">
        <v>90</v>
      </c>
      <c r="F568" s="258">
        <v>2162.31</v>
      </c>
      <c r="G568" s="255" t="s">
        <v>4525</v>
      </c>
      <c r="H568" s="255" t="s">
        <v>114</v>
      </c>
      <c r="I568" s="250" t="s">
        <v>1200</v>
      </c>
      <c r="J568" s="250" t="s">
        <v>1201</v>
      </c>
      <c r="K568" s="255" t="s">
        <v>991</v>
      </c>
      <c r="L568" s="250" t="s">
        <v>1183</v>
      </c>
      <c r="M568" s="277" t="s">
        <v>114</v>
      </c>
      <c r="N568" s="278">
        <v>44323</v>
      </c>
      <c r="O568" s="329" t="s">
        <v>67</v>
      </c>
      <c r="P568" s="330">
        <f t="shared" ref="P568:Q568" si="564">IF(B568=0,0,IF(YEAR(B568)=$Q$1,MONTH(B568)-$P$1+1,(YEAR(B568)-$Q$1)*12-$P$1+1+MONTH(B568)))</f>
        <v>5</v>
      </c>
      <c r="Q568" s="330">
        <f t="shared" si="564"/>
        <v>4</v>
      </c>
      <c r="R568" s="331" t="str">
        <f t="shared" si="1"/>
        <v>Gastos_com_Pessoal</v>
      </c>
      <c r="S568" s="331" t="str">
        <f>IF(D568="","",IF(OR(D568=Plano!$A$1,D568=Plano!$B$1),"entrada","saída"))</f>
        <v>saída</v>
      </c>
      <c r="T568" s="332" t="s">
        <v>114</v>
      </c>
      <c r="U568" s="332" t="s">
        <v>114</v>
      </c>
      <c r="V568" s="333"/>
    </row>
    <row r="569" spans="1:22" ht="40.5" customHeight="1" x14ac:dyDescent="0.2">
      <c r="A569" s="277">
        <f>IF(B569="","",COUNT('Diário 5º PA'!$A$5:$A$2634)+ROW()-4)</f>
        <v>1876</v>
      </c>
      <c r="B569" s="278">
        <v>44323</v>
      </c>
      <c r="C569" s="259">
        <v>44287</v>
      </c>
      <c r="D569" s="255" t="s">
        <v>88</v>
      </c>
      <c r="E569" s="255" t="s">
        <v>90</v>
      </c>
      <c r="F569" s="258">
        <v>1072.1500000000001</v>
      </c>
      <c r="G569" s="255" t="s">
        <v>4526</v>
      </c>
      <c r="H569" s="255" t="s">
        <v>114</v>
      </c>
      <c r="I569" s="250" t="s">
        <v>1203</v>
      </c>
      <c r="J569" s="250" t="s">
        <v>1204</v>
      </c>
      <c r="K569" s="255" t="s">
        <v>991</v>
      </c>
      <c r="L569" s="250" t="s">
        <v>1183</v>
      </c>
      <c r="M569" s="277" t="s">
        <v>114</v>
      </c>
      <c r="N569" s="278">
        <v>44323</v>
      </c>
      <c r="O569" s="329" t="s">
        <v>67</v>
      </c>
      <c r="P569" s="330">
        <f t="shared" ref="P569:Q569" si="565">IF(B569=0,0,IF(YEAR(B569)=$Q$1,MONTH(B569)-$P$1+1,(YEAR(B569)-$Q$1)*12-$P$1+1+MONTH(B569)))</f>
        <v>5</v>
      </c>
      <c r="Q569" s="330">
        <f t="shared" si="565"/>
        <v>4</v>
      </c>
      <c r="R569" s="331" t="str">
        <f t="shared" si="1"/>
        <v>Gastos_com_Pessoal</v>
      </c>
      <c r="S569" s="331" t="str">
        <f>IF(D569="","",IF(OR(D569=Plano!$A$1,D569=Plano!$B$1),"entrada","saída"))</f>
        <v>saída</v>
      </c>
      <c r="T569" s="332" t="s">
        <v>114</v>
      </c>
      <c r="U569" s="332" t="s">
        <v>114</v>
      </c>
      <c r="V569" s="333"/>
    </row>
    <row r="570" spans="1:22" ht="48" customHeight="1" x14ac:dyDescent="0.2">
      <c r="A570" s="277">
        <f>IF(B570="","",COUNT('Diário 5º PA'!$A$5:$A$2634)+ROW()-4)</f>
        <v>1877</v>
      </c>
      <c r="B570" s="278">
        <v>44323</v>
      </c>
      <c r="C570" s="259">
        <v>44287</v>
      </c>
      <c r="D570" s="255" t="s">
        <v>88</v>
      </c>
      <c r="E570" s="255" t="s">
        <v>90</v>
      </c>
      <c r="F570" s="258">
        <v>1497.7</v>
      </c>
      <c r="G570" s="255" t="s">
        <v>4527</v>
      </c>
      <c r="H570" s="255" t="s">
        <v>114</v>
      </c>
      <c r="I570" s="250" t="s">
        <v>1206</v>
      </c>
      <c r="J570" s="250" t="s">
        <v>1207</v>
      </c>
      <c r="K570" s="255" t="s">
        <v>991</v>
      </c>
      <c r="L570" s="250" t="s">
        <v>1183</v>
      </c>
      <c r="M570" s="277" t="s">
        <v>114</v>
      </c>
      <c r="N570" s="278">
        <v>44323</v>
      </c>
      <c r="O570" s="329" t="s">
        <v>67</v>
      </c>
      <c r="P570" s="330">
        <f t="shared" ref="P570:Q570" si="566">IF(B570=0,0,IF(YEAR(B570)=$Q$1,MONTH(B570)-$P$1+1,(YEAR(B570)-$Q$1)*12-$P$1+1+MONTH(B570)))</f>
        <v>5</v>
      </c>
      <c r="Q570" s="330">
        <f t="shared" si="566"/>
        <v>4</v>
      </c>
      <c r="R570" s="331" t="str">
        <f t="shared" si="1"/>
        <v>Gastos_com_Pessoal</v>
      </c>
      <c r="S570" s="331" t="str">
        <f>IF(D570="","",IF(OR(D570=Plano!$A$1,D570=Plano!$B$1),"entrada","saída"))</f>
        <v>saída</v>
      </c>
      <c r="T570" s="332" t="s">
        <v>114</v>
      </c>
      <c r="U570" s="332" t="s">
        <v>114</v>
      </c>
      <c r="V570" s="333"/>
    </row>
    <row r="571" spans="1:22" ht="121.5" customHeight="1" x14ac:dyDescent="0.2">
      <c r="A571" s="277">
        <f>IF(B571="","",COUNT('Diário 5º PA'!$A$5:$A$2634)+ROW()-4)</f>
        <v>1878</v>
      </c>
      <c r="B571" s="278">
        <v>44323</v>
      </c>
      <c r="C571" s="256">
        <v>44287</v>
      </c>
      <c r="D571" s="255" t="s">
        <v>99</v>
      </c>
      <c r="E571" s="255" t="s">
        <v>330</v>
      </c>
      <c r="F571" s="257">
        <v>348.6</v>
      </c>
      <c r="G571" s="255" t="s">
        <v>692</v>
      </c>
      <c r="H571" s="255" t="s">
        <v>115</v>
      </c>
      <c r="I571" s="250" t="s">
        <v>693</v>
      </c>
      <c r="J571" s="250" t="s">
        <v>694</v>
      </c>
      <c r="K571" s="255" t="s">
        <v>560</v>
      </c>
      <c r="L571" s="250" t="s">
        <v>1016</v>
      </c>
      <c r="M571" s="277">
        <v>30655</v>
      </c>
      <c r="N571" s="278">
        <v>44319</v>
      </c>
      <c r="O571" s="329" t="s">
        <v>67</v>
      </c>
      <c r="P571" s="330">
        <f t="shared" ref="P571:Q571" si="567">IF(B571=0,0,IF(YEAR(B571)=$Q$1,MONTH(B571)-$P$1+1,(YEAR(B571)-$Q$1)*12-$P$1+1+MONTH(B571)))</f>
        <v>5</v>
      </c>
      <c r="Q571" s="330">
        <f t="shared" si="567"/>
        <v>4</v>
      </c>
      <c r="R571" s="331" t="str">
        <f t="shared" si="1"/>
        <v>Gastos_Gerais</v>
      </c>
      <c r="S571" s="331" t="str">
        <f>IF(D571="","",IF(OR(D571=Plano!$A$1,D571=Plano!$B$1),"entrada","saída"))</f>
        <v>saída</v>
      </c>
      <c r="T571" s="332" t="s">
        <v>1059</v>
      </c>
      <c r="U571" s="332">
        <v>1141</v>
      </c>
      <c r="V571" s="333"/>
    </row>
    <row r="572" spans="1:22" ht="48.75" customHeight="1" x14ac:dyDescent="0.2">
      <c r="A572" s="277">
        <f>IF(B572="","",COUNT('Diário 5º PA'!$A$5:$A$2634)+ROW()-4)</f>
        <v>1879</v>
      </c>
      <c r="B572" s="278">
        <v>44323</v>
      </c>
      <c r="C572" s="256">
        <v>44287</v>
      </c>
      <c r="D572" s="255" t="s">
        <v>88</v>
      </c>
      <c r="E572" s="255" t="s">
        <v>171</v>
      </c>
      <c r="F572" s="258">
        <v>9356.26</v>
      </c>
      <c r="G572" s="255" t="s">
        <v>4528</v>
      </c>
      <c r="H572" s="255" t="s">
        <v>114</v>
      </c>
      <c r="I572" s="250" t="s">
        <v>1259</v>
      </c>
      <c r="J572" s="255" t="s">
        <v>114</v>
      </c>
      <c r="K572" s="255" t="s">
        <v>466</v>
      </c>
      <c r="L572" s="250" t="s">
        <v>171</v>
      </c>
      <c r="M572" s="278" t="s">
        <v>114</v>
      </c>
      <c r="N572" s="278">
        <v>44323</v>
      </c>
      <c r="O572" s="329" t="s">
        <v>67</v>
      </c>
      <c r="P572" s="330">
        <f t="shared" ref="P572:Q572" si="568">IF(B572=0,0,IF(YEAR(B572)=$Q$1,MONTH(B572)-$P$1+1,(YEAR(B572)-$Q$1)*12-$P$1+1+MONTH(B572)))</f>
        <v>5</v>
      </c>
      <c r="Q572" s="330">
        <f t="shared" si="568"/>
        <v>4</v>
      </c>
      <c r="R572" s="331" t="str">
        <f t="shared" si="1"/>
        <v>Gastos_com_Pessoal</v>
      </c>
      <c r="S572" s="331" t="str">
        <f>IF(D572="","",IF(OR(D572=Plano!$A$1,D572=Plano!$B$1),"entrada","saída"))</f>
        <v>saída</v>
      </c>
      <c r="T572" s="332" t="s">
        <v>114</v>
      </c>
      <c r="U572" s="332" t="s">
        <v>114</v>
      </c>
      <c r="V572" s="333"/>
    </row>
    <row r="573" spans="1:22" ht="149.25" customHeight="1" x14ac:dyDescent="0.2">
      <c r="A573" s="277">
        <f>IF(B573="","",COUNT('Diário 5º PA'!$A$5:$A$2634)+ROW()-4)</f>
        <v>1880</v>
      </c>
      <c r="B573" s="278">
        <v>44323</v>
      </c>
      <c r="C573" s="259">
        <v>44287</v>
      </c>
      <c r="D573" s="252" t="s">
        <v>99</v>
      </c>
      <c r="E573" s="255" t="s">
        <v>262</v>
      </c>
      <c r="F573" s="257">
        <v>3342.5</v>
      </c>
      <c r="G573" s="252" t="s">
        <v>634</v>
      </c>
      <c r="H573" s="252" t="s">
        <v>115</v>
      </c>
      <c r="I573" s="252" t="s">
        <v>4529</v>
      </c>
      <c r="J573" s="250" t="s">
        <v>636</v>
      </c>
      <c r="K573" s="255" t="s">
        <v>991</v>
      </c>
      <c r="L573" s="250" t="s">
        <v>1016</v>
      </c>
      <c r="M573" s="277" t="s">
        <v>1017</v>
      </c>
      <c r="N573" s="278">
        <v>44323</v>
      </c>
      <c r="O573" s="329" t="s">
        <v>67</v>
      </c>
      <c r="P573" s="330">
        <f t="shared" ref="P573:Q573" si="569">IF(B573=0,0,IF(YEAR(B573)=$Q$1,MONTH(B573)-$P$1+1,(YEAR(B573)-$Q$1)*12-$P$1+1+MONTH(B573)))</f>
        <v>5</v>
      </c>
      <c r="Q573" s="330">
        <f t="shared" si="569"/>
        <v>4</v>
      </c>
      <c r="R573" s="331" t="str">
        <f t="shared" si="1"/>
        <v>Gastos_Gerais</v>
      </c>
      <c r="S573" s="331" t="str">
        <f>IF(D573="","",IF(OR(D573=Plano!$A$1,D573=Plano!$B$1),"entrada","saída"))</f>
        <v>saída</v>
      </c>
      <c r="T573" s="332" t="s">
        <v>1059</v>
      </c>
      <c r="U573" s="332">
        <v>1457</v>
      </c>
      <c r="V573" s="333"/>
    </row>
    <row r="574" spans="1:22" ht="39" customHeight="1" x14ac:dyDescent="0.2">
      <c r="A574" s="277">
        <f>IF(B574="","",COUNT('Diário 5º PA'!$A$5:$A$2634)+ROW()-4)</f>
        <v>1881</v>
      </c>
      <c r="B574" s="278">
        <v>44323</v>
      </c>
      <c r="C574" s="259">
        <v>44287</v>
      </c>
      <c r="D574" s="255" t="s">
        <v>88</v>
      </c>
      <c r="E574" s="255" t="s">
        <v>90</v>
      </c>
      <c r="F574" s="257">
        <v>2742.61</v>
      </c>
      <c r="G574" s="255" t="s">
        <v>4530</v>
      </c>
      <c r="H574" s="255" t="s">
        <v>114</v>
      </c>
      <c r="I574" s="250" t="s">
        <v>1221</v>
      </c>
      <c r="J574" s="255" t="s">
        <v>1222</v>
      </c>
      <c r="K574" s="255" t="s">
        <v>1015</v>
      </c>
      <c r="L574" s="250" t="s">
        <v>1183</v>
      </c>
      <c r="M574" s="277" t="s">
        <v>114</v>
      </c>
      <c r="N574" s="278">
        <v>44323</v>
      </c>
      <c r="O574" s="329" t="s">
        <v>67</v>
      </c>
      <c r="P574" s="330">
        <f t="shared" ref="P574:Q574" si="570">IF(B574=0,0,IF(YEAR(B574)=$Q$1,MONTH(B574)-$P$1+1,(YEAR(B574)-$Q$1)*12-$P$1+1+MONTH(B574)))</f>
        <v>5</v>
      </c>
      <c r="Q574" s="330">
        <f t="shared" si="570"/>
        <v>4</v>
      </c>
      <c r="R574" s="331" t="str">
        <f t="shared" si="1"/>
        <v>Gastos_com_Pessoal</v>
      </c>
      <c r="S574" s="331" t="str">
        <f>IF(D574="","",IF(OR(D574=Plano!$A$1,D574=Plano!$B$1),"entrada","saída"))</f>
        <v>saída</v>
      </c>
      <c r="T574" s="332" t="s">
        <v>114</v>
      </c>
      <c r="U574" s="332" t="s">
        <v>114</v>
      </c>
      <c r="V574" s="333"/>
    </row>
    <row r="575" spans="1:22" ht="45" customHeight="1" x14ac:dyDescent="0.2">
      <c r="A575" s="277">
        <f>IF(B575="","",COUNT('Diário 5º PA'!$A$5:$A$2634)+ROW()-4)</f>
        <v>1882</v>
      </c>
      <c r="B575" s="278">
        <v>44323</v>
      </c>
      <c r="C575" s="259">
        <v>44287</v>
      </c>
      <c r="D575" s="255" t="s">
        <v>88</v>
      </c>
      <c r="E575" s="255" t="s">
        <v>90</v>
      </c>
      <c r="F575" s="257">
        <v>2624.24</v>
      </c>
      <c r="G575" s="255" t="s">
        <v>4531</v>
      </c>
      <c r="H575" s="255" t="s">
        <v>114</v>
      </c>
      <c r="I575" s="250" t="s">
        <v>1224</v>
      </c>
      <c r="J575" s="255" t="s">
        <v>1225</v>
      </c>
      <c r="K575" s="255" t="s">
        <v>1015</v>
      </c>
      <c r="L575" s="250" t="s">
        <v>1183</v>
      </c>
      <c r="M575" s="277" t="s">
        <v>114</v>
      </c>
      <c r="N575" s="278">
        <v>44323</v>
      </c>
      <c r="O575" s="329" t="s">
        <v>67</v>
      </c>
      <c r="P575" s="330">
        <f t="shared" ref="P575:Q575" si="571">IF(B575=0,0,IF(YEAR(B575)=$Q$1,MONTH(B575)-$P$1+1,(YEAR(B575)-$Q$1)*12-$P$1+1+MONTH(B575)))</f>
        <v>5</v>
      </c>
      <c r="Q575" s="330">
        <f t="shared" si="571"/>
        <v>4</v>
      </c>
      <c r="R575" s="331" t="str">
        <f t="shared" si="1"/>
        <v>Gastos_com_Pessoal</v>
      </c>
      <c r="S575" s="331" t="str">
        <f>IF(D575="","",IF(OR(D575=Plano!$A$1,D575=Plano!$B$1),"entrada","saída"))</f>
        <v>saída</v>
      </c>
      <c r="T575" s="332" t="s">
        <v>114</v>
      </c>
      <c r="U575" s="332" t="s">
        <v>114</v>
      </c>
      <c r="V575" s="333"/>
    </row>
    <row r="576" spans="1:22" ht="42" customHeight="1" x14ac:dyDescent="0.2">
      <c r="A576" s="277">
        <f>IF(B576="","",COUNT('Diário 5º PA'!$A$5:$A$2634)+ROW()-4)</f>
        <v>1883</v>
      </c>
      <c r="B576" s="278">
        <v>44323</v>
      </c>
      <c r="C576" s="259">
        <v>44287</v>
      </c>
      <c r="D576" s="255" t="s">
        <v>88</v>
      </c>
      <c r="E576" s="255" t="s">
        <v>90</v>
      </c>
      <c r="F576" s="257">
        <v>1515.25</v>
      </c>
      <c r="G576" s="255" t="s">
        <v>4520</v>
      </c>
      <c r="H576" s="255" t="s">
        <v>114</v>
      </c>
      <c r="I576" s="250" t="s">
        <v>1226</v>
      </c>
      <c r="J576" s="255" t="s">
        <v>1227</v>
      </c>
      <c r="K576" s="255" t="s">
        <v>1015</v>
      </c>
      <c r="L576" s="250" t="s">
        <v>1183</v>
      </c>
      <c r="M576" s="277" t="s">
        <v>114</v>
      </c>
      <c r="N576" s="278">
        <v>44323</v>
      </c>
      <c r="O576" s="329" t="s">
        <v>67</v>
      </c>
      <c r="P576" s="330">
        <f t="shared" ref="P576:Q576" si="572">IF(B576=0,0,IF(YEAR(B576)=$Q$1,MONTH(B576)-$P$1+1,(YEAR(B576)-$Q$1)*12-$P$1+1+MONTH(B576)))</f>
        <v>5</v>
      </c>
      <c r="Q576" s="330">
        <f t="shared" si="572"/>
        <v>4</v>
      </c>
      <c r="R576" s="331" t="str">
        <f t="shared" si="1"/>
        <v>Gastos_com_Pessoal</v>
      </c>
      <c r="S576" s="331" t="str">
        <f>IF(D576="","",IF(OR(D576=Plano!$A$1,D576=Plano!$B$1),"entrada","saída"))</f>
        <v>saída</v>
      </c>
      <c r="T576" s="332" t="s">
        <v>114</v>
      </c>
      <c r="U576" s="332" t="s">
        <v>114</v>
      </c>
      <c r="V576" s="333"/>
    </row>
    <row r="577" spans="1:22" ht="28.5" customHeight="1" x14ac:dyDescent="0.2">
      <c r="A577" s="277">
        <f>IF(B577="","",COUNT('Diário 5º PA'!$A$5:$A$2634)+ROW()-4)</f>
        <v>1884</v>
      </c>
      <c r="B577" s="278">
        <v>44323</v>
      </c>
      <c r="C577" s="259">
        <v>44287</v>
      </c>
      <c r="D577" s="255" t="s">
        <v>88</v>
      </c>
      <c r="E577" s="255" t="s">
        <v>90</v>
      </c>
      <c r="F577" s="257">
        <v>12033.9</v>
      </c>
      <c r="G577" s="255" t="s">
        <v>4532</v>
      </c>
      <c r="H577" s="255" t="s">
        <v>114</v>
      </c>
      <c r="I577" s="250" t="s">
        <v>1229</v>
      </c>
      <c r="J577" s="255" t="s">
        <v>1230</v>
      </c>
      <c r="K577" s="255" t="s">
        <v>1015</v>
      </c>
      <c r="L577" s="250" t="s">
        <v>1183</v>
      </c>
      <c r="M577" s="277" t="s">
        <v>114</v>
      </c>
      <c r="N577" s="278">
        <v>44323</v>
      </c>
      <c r="O577" s="329" t="s">
        <v>67</v>
      </c>
      <c r="P577" s="330">
        <f t="shared" ref="P577:Q577" si="573">IF(B577=0,0,IF(YEAR(B577)=$Q$1,MONTH(B577)-$P$1+1,(YEAR(B577)-$Q$1)*12-$P$1+1+MONTH(B577)))</f>
        <v>5</v>
      </c>
      <c r="Q577" s="330">
        <f t="shared" si="573"/>
        <v>4</v>
      </c>
      <c r="R577" s="331" t="str">
        <f t="shared" si="1"/>
        <v>Gastos_com_Pessoal</v>
      </c>
      <c r="S577" s="331" t="str">
        <f>IF(D577="","",IF(OR(D577=Plano!$A$1,D577=Plano!$B$1),"entrada","saída"))</f>
        <v>saída</v>
      </c>
      <c r="T577" s="332" t="s">
        <v>114</v>
      </c>
      <c r="U577" s="332" t="s">
        <v>114</v>
      </c>
      <c r="V577" s="333"/>
    </row>
    <row r="578" spans="1:22" ht="30.75" customHeight="1" x14ac:dyDescent="0.2">
      <c r="A578" s="277">
        <f>IF(B578="","",COUNT('Diário 5º PA'!$A$5:$A$2634)+ROW()-4)</f>
        <v>1885</v>
      </c>
      <c r="B578" s="278">
        <v>44323</v>
      </c>
      <c r="C578" s="259">
        <v>44287</v>
      </c>
      <c r="D578" s="255" t="s">
        <v>88</v>
      </c>
      <c r="E578" s="255" t="s">
        <v>90</v>
      </c>
      <c r="F578" s="257">
        <v>2799.57</v>
      </c>
      <c r="G578" s="255" t="s">
        <v>4533</v>
      </c>
      <c r="H578" s="255" t="s">
        <v>114</v>
      </c>
      <c r="I578" s="250" t="s">
        <v>1232</v>
      </c>
      <c r="J578" s="255" t="s">
        <v>1233</v>
      </c>
      <c r="K578" s="255" t="s">
        <v>1015</v>
      </c>
      <c r="L578" s="250" t="s">
        <v>1183</v>
      </c>
      <c r="M578" s="277" t="s">
        <v>114</v>
      </c>
      <c r="N578" s="278">
        <v>44323</v>
      </c>
      <c r="O578" s="329" t="s">
        <v>67</v>
      </c>
      <c r="P578" s="330">
        <f t="shared" ref="P578:Q578" si="574">IF(B578=0,0,IF(YEAR(B578)=$Q$1,MONTH(B578)-$P$1+1,(YEAR(B578)-$Q$1)*12-$P$1+1+MONTH(B578)))</f>
        <v>5</v>
      </c>
      <c r="Q578" s="330">
        <f t="shared" si="574"/>
        <v>4</v>
      </c>
      <c r="R578" s="331" t="str">
        <f t="shared" si="1"/>
        <v>Gastos_com_Pessoal</v>
      </c>
      <c r="S578" s="331" t="str">
        <f>IF(D578="","",IF(OR(D578=Plano!$A$1,D578=Plano!$B$1),"entrada","saída"))</f>
        <v>saída</v>
      </c>
      <c r="T578" s="332" t="s">
        <v>114</v>
      </c>
      <c r="U578" s="332" t="s">
        <v>114</v>
      </c>
      <c r="V578" s="333"/>
    </row>
    <row r="579" spans="1:22" ht="36" customHeight="1" x14ac:dyDescent="0.2">
      <c r="A579" s="277">
        <f>IF(B579="","",COUNT('Diário 5º PA'!$A$5:$A$2634)+ROW()-4)</f>
        <v>1886</v>
      </c>
      <c r="B579" s="278">
        <v>44323</v>
      </c>
      <c r="C579" s="259">
        <v>44287</v>
      </c>
      <c r="D579" s="255" t="s">
        <v>88</v>
      </c>
      <c r="E579" s="255" t="s">
        <v>90</v>
      </c>
      <c r="F579" s="257">
        <v>4387.58</v>
      </c>
      <c r="G579" s="250" t="s">
        <v>4534</v>
      </c>
      <c r="H579" s="255" t="s">
        <v>114</v>
      </c>
      <c r="I579" s="250" t="s">
        <v>1235</v>
      </c>
      <c r="J579" s="255" t="s">
        <v>1236</v>
      </c>
      <c r="K579" s="255" t="s">
        <v>1015</v>
      </c>
      <c r="L579" s="250" t="s">
        <v>1183</v>
      </c>
      <c r="M579" s="277" t="s">
        <v>114</v>
      </c>
      <c r="N579" s="278">
        <v>44323</v>
      </c>
      <c r="O579" s="329" t="s">
        <v>67</v>
      </c>
      <c r="P579" s="330">
        <f t="shared" ref="P579:Q579" si="575">IF(B579=0,0,IF(YEAR(B579)=$Q$1,MONTH(B579)-$P$1+1,(YEAR(B579)-$Q$1)*12-$P$1+1+MONTH(B579)))</f>
        <v>5</v>
      </c>
      <c r="Q579" s="330">
        <f t="shared" si="575"/>
        <v>4</v>
      </c>
      <c r="R579" s="331" t="str">
        <f t="shared" si="1"/>
        <v>Gastos_com_Pessoal</v>
      </c>
      <c r="S579" s="331" t="str">
        <f>IF(D579="","",IF(OR(D579=Plano!$A$1,D579=Plano!$B$1),"entrada","saída"))</f>
        <v>saída</v>
      </c>
      <c r="T579" s="332" t="s">
        <v>114</v>
      </c>
      <c r="U579" s="332" t="s">
        <v>114</v>
      </c>
      <c r="V579" s="333"/>
    </row>
    <row r="580" spans="1:22" ht="38.25" customHeight="1" x14ac:dyDescent="0.2">
      <c r="A580" s="277">
        <f>IF(B580="","",COUNT('Diário 5º PA'!$A$5:$A$2634)+ROW()-4)</f>
        <v>1887</v>
      </c>
      <c r="B580" s="278">
        <v>44323</v>
      </c>
      <c r="C580" s="249">
        <v>44317</v>
      </c>
      <c r="D580" s="255" t="s">
        <v>99</v>
      </c>
      <c r="E580" s="255" t="s">
        <v>272</v>
      </c>
      <c r="F580" s="258">
        <v>10.45</v>
      </c>
      <c r="G580" s="255" t="s">
        <v>1237</v>
      </c>
      <c r="H580" s="255" t="s">
        <v>114</v>
      </c>
      <c r="I580" s="250" t="s">
        <v>949</v>
      </c>
      <c r="J580" s="255" t="s">
        <v>950</v>
      </c>
      <c r="K580" s="255" t="s">
        <v>951</v>
      </c>
      <c r="L580" s="250" t="s">
        <v>947</v>
      </c>
      <c r="M580" s="336" t="s">
        <v>114</v>
      </c>
      <c r="N580" s="278">
        <v>44323</v>
      </c>
      <c r="O580" s="329" t="s">
        <v>67</v>
      </c>
      <c r="P580" s="330">
        <f t="shared" ref="P580:Q580" si="576">IF(B580=0,0,IF(YEAR(B580)=$Q$1,MONTH(B580)-$P$1+1,(YEAR(B580)-$Q$1)*12-$P$1+1+MONTH(B580)))</f>
        <v>5</v>
      </c>
      <c r="Q580" s="330">
        <f t="shared" si="576"/>
        <v>5</v>
      </c>
      <c r="R580" s="331" t="str">
        <f t="shared" si="1"/>
        <v>Gastos_Gerais</v>
      </c>
      <c r="S580" s="331" t="str">
        <f>IF(D580="","",IF(OR(D580=Plano!$A$1,D580=Plano!$B$1),"entrada","saída"))</f>
        <v>saída</v>
      </c>
      <c r="T580" s="332" t="s">
        <v>114</v>
      </c>
      <c r="U580" s="332" t="s">
        <v>114</v>
      </c>
      <c r="V580" s="333"/>
    </row>
    <row r="581" spans="1:22" ht="39" customHeight="1" x14ac:dyDescent="0.2">
      <c r="A581" s="277">
        <f>IF(B581="","",COUNT('Diário 5º PA'!$A$5:$A$2634)+ROW()-4)</f>
        <v>1888</v>
      </c>
      <c r="B581" s="278">
        <v>44323</v>
      </c>
      <c r="C581" s="249">
        <v>44317</v>
      </c>
      <c r="D581" s="255" t="s">
        <v>99</v>
      </c>
      <c r="E581" s="255" t="s">
        <v>272</v>
      </c>
      <c r="F581" s="258">
        <v>10.45</v>
      </c>
      <c r="G581" s="255" t="s">
        <v>1238</v>
      </c>
      <c r="H581" s="255" t="s">
        <v>114</v>
      </c>
      <c r="I581" s="250" t="s">
        <v>949</v>
      </c>
      <c r="J581" s="255" t="s">
        <v>950</v>
      </c>
      <c r="K581" s="255" t="s">
        <v>951</v>
      </c>
      <c r="L581" s="250" t="s">
        <v>947</v>
      </c>
      <c r="M581" s="336" t="s">
        <v>114</v>
      </c>
      <c r="N581" s="278">
        <v>44323</v>
      </c>
      <c r="O581" s="329" t="s">
        <v>67</v>
      </c>
      <c r="P581" s="330">
        <f t="shared" ref="P581:Q581" si="577">IF(B581=0,0,IF(YEAR(B581)=$Q$1,MONTH(B581)-$P$1+1,(YEAR(B581)-$Q$1)*12-$P$1+1+MONTH(B581)))</f>
        <v>5</v>
      </c>
      <c r="Q581" s="330">
        <f t="shared" si="577"/>
        <v>5</v>
      </c>
      <c r="R581" s="331" t="str">
        <f t="shared" si="1"/>
        <v>Gastos_Gerais</v>
      </c>
      <c r="S581" s="331" t="str">
        <f>IF(D581="","",IF(OR(D581=Plano!$A$1,D581=Plano!$B$1),"entrada","saída"))</f>
        <v>saída</v>
      </c>
      <c r="T581" s="332" t="s">
        <v>114</v>
      </c>
      <c r="U581" s="332" t="s">
        <v>114</v>
      </c>
      <c r="V581" s="333"/>
    </row>
    <row r="582" spans="1:22" ht="40.5" customHeight="1" x14ac:dyDescent="0.2">
      <c r="A582" s="277">
        <f>IF(B582="","",COUNT('Diário 5º PA'!$A$5:$A$2634)+ROW()-4)</f>
        <v>1889</v>
      </c>
      <c r="B582" s="278">
        <v>44323</v>
      </c>
      <c r="C582" s="249">
        <v>44317</v>
      </c>
      <c r="D582" s="255" t="s">
        <v>99</v>
      </c>
      <c r="E582" s="255" t="s">
        <v>272</v>
      </c>
      <c r="F582" s="258">
        <v>10.45</v>
      </c>
      <c r="G582" s="255" t="s">
        <v>1239</v>
      </c>
      <c r="H582" s="255" t="s">
        <v>114</v>
      </c>
      <c r="I582" s="250" t="s">
        <v>949</v>
      </c>
      <c r="J582" s="255" t="s">
        <v>950</v>
      </c>
      <c r="K582" s="255" t="s">
        <v>951</v>
      </c>
      <c r="L582" s="250" t="s">
        <v>947</v>
      </c>
      <c r="M582" s="336" t="s">
        <v>114</v>
      </c>
      <c r="N582" s="278">
        <v>44323</v>
      </c>
      <c r="O582" s="329" t="s">
        <v>67</v>
      </c>
      <c r="P582" s="330">
        <f t="shared" ref="P582:Q582" si="578">IF(B582=0,0,IF(YEAR(B582)=$Q$1,MONTH(B582)-$P$1+1,(YEAR(B582)-$Q$1)*12-$P$1+1+MONTH(B582)))</f>
        <v>5</v>
      </c>
      <c r="Q582" s="330">
        <f t="shared" si="578"/>
        <v>5</v>
      </c>
      <c r="R582" s="331" t="str">
        <f t="shared" si="1"/>
        <v>Gastos_Gerais</v>
      </c>
      <c r="S582" s="331" t="str">
        <f>IF(D582="","",IF(OR(D582=Plano!$A$1,D582=Plano!$B$1),"entrada","saída"))</f>
        <v>saída</v>
      </c>
      <c r="T582" s="332" t="s">
        <v>114</v>
      </c>
      <c r="U582" s="332" t="s">
        <v>114</v>
      </c>
      <c r="V582" s="333"/>
    </row>
    <row r="583" spans="1:22" ht="15.75" customHeight="1" x14ac:dyDescent="0.2">
      <c r="A583" s="277">
        <f>IF(B583="","",COUNT('Diário 5º PA'!$A$5:$A$2634)+ROW()-4)</f>
        <v>1890</v>
      </c>
      <c r="B583" s="278">
        <v>44323</v>
      </c>
      <c r="C583" s="249">
        <v>44317</v>
      </c>
      <c r="D583" s="255" t="s">
        <v>99</v>
      </c>
      <c r="E583" s="255" t="s">
        <v>272</v>
      </c>
      <c r="F583" s="258">
        <v>10.45</v>
      </c>
      <c r="G583" s="255" t="s">
        <v>1240</v>
      </c>
      <c r="H583" s="255" t="s">
        <v>114</v>
      </c>
      <c r="I583" s="250" t="s">
        <v>949</v>
      </c>
      <c r="J583" s="255" t="s">
        <v>950</v>
      </c>
      <c r="K583" s="255" t="s">
        <v>951</v>
      </c>
      <c r="L583" s="250" t="s">
        <v>947</v>
      </c>
      <c r="M583" s="336" t="s">
        <v>114</v>
      </c>
      <c r="N583" s="278">
        <v>44323</v>
      </c>
      <c r="O583" s="329" t="s">
        <v>67</v>
      </c>
      <c r="P583" s="330">
        <f t="shared" ref="P583:Q583" si="579">IF(B583=0,0,IF(YEAR(B583)=$Q$1,MONTH(B583)-$P$1+1,(YEAR(B583)-$Q$1)*12-$P$1+1+MONTH(B583)))</f>
        <v>5</v>
      </c>
      <c r="Q583" s="330">
        <f t="shared" si="579"/>
        <v>5</v>
      </c>
      <c r="R583" s="331" t="str">
        <f t="shared" si="1"/>
        <v>Gastos_Gerais</v>
      </c>
      <c r="S583" s="331" t="str">
        <f>IF(D583="","",IF(OR(D583=Plano!$A$1,D583=Plano!$B$1),"entrada","saída"))</f>
        <v>saída</v>
      </c>
      <c r="T583" s="332" t="s">
        <v>114</v>
      </c>
      <c r="U583" s="332" t="s">
        <v>114</v>
      </c>
      <c r="V583" s="333"/>
    </row>
    <row r="584" spans="1:22" ht="34.5" customHeight="1" x14ac:dyDescent="0.2">
      <c r="A584" s="277">
        <f>IF(B584="","",COUNT('Diário 5º PA'!$A$5:$A$2634)+ROW()-4)</f>
        <v>1891</v>
      </c>
      <c r="B584" s="278">
        <v>44323</v>
      </c>
      <c r="C584" s="249">
        <v>44317</v>
      </c>
      <c r="D584" s="255" t="s">
        <v>99</v>
      </c>
      <c r="E584" s="255" t="s">
        <v>272</v>
      </c>
      <c r="F584" s="258">
        <v>10.45</v>
      </c>
      <c r="G584" s="255" t="s">
        <v>1241</v>
      </c>
      <c r="H584" s="255" t="s">
        <v>114</v>
      </c>
      <c r="I584" s="250" t="s">
        <v>949</v>
      </c>
      <c r="J584" s="255" t="s">
        <v>950</v>
      </c>
      <c r="K584" s="255" t="s">
        <v>951</v>
      </c>
      <c r="L584" s="250" t="s">
        <v>947</v>
      </c>
      <c r="M584" s="336" t="s">
        <v>114</v>
      </c>
      <c r="N584" s="278">
        <v>44323</v>
      </c>
      <c r="O584" s="329" t="s">
        <v>67</v>
      </c>
      <c r="P584" s="330">
        <f t="shared" ref="P584:Q584" si="580">IF(B584=0,0,IF(YEAR(B584)=$Q$1,MONTH(B584)-$P$1+1,(YEAR(B584)-$Q$1)*12-$P$1+1+MONTH(B584)))</f>
        <v>5</v>
      </c>
      <c r="Q584" s="330">
        <f t="shared" si="580"/>
        <v>5</v>
      </c>
      <c r="R584" s="331" t="str">
        <f t="shared" si="1"/>
        <v>Gastos_Gerais</v>
      </c>
      <c r="S584" s="331" t="str">
        <f>IF(D584="","",IF(OR(D584=Plano!$A$1,D584=Plano!$B$1),"entrada","saída"))</f>
        <v>saída</v>
      </c>
      <c r="T584" s="332" t="s">
        <v>114</v>
      </c>
      <c r="U584" s="332" t="s">
        <v>114</v>
      </c>
      <c r="V584" s="333"/>
    </row>
    <row r="585" spans="1:22" ht="35.25" customHeight="1" x14ac:dyDescent="0.2">
      <c r="A585" s="277">
        <f>IF(B585="","",COUNT('Diário 5º PA'!$A$5:$A$2634)+ROW()-4)</f>
        <v>1892</v>
      </c>
      <c r="B585" s="278">
        <v>44323</v>
      </c>
      <c r="C585" s="249">
        <v>44317</v>
      </c>
      <c r="D585" s="255" t="s">
        <v>99</v>
      </c>
      <c r="E585" s="255" t="s">
        <v>272</v>
      </c>
      <c r="F585" s="258">
        <v>10.45</v>
      </c>
      <c r="G585" s="255" t="s">
        <v>1242</v>
      </c>
      <c r="H585" s="255" t="s">
        <v>114</v>
      </c>
      <c r="I585" s="250" t="s">
        <v>949</v>
      </c>
      <c r="J585" s="255" t="s">
        <v>950</v>
      </c>
      <c r="K585" s="255" t="s">
        <v>951</v>
      </c>
      <c r="L585" s="250" t="s">
        <v>947</v>
      </c>
      <c r="M585" s="336" t="s">
        <v>114</v>
      </c>
      <c r="N585" s="278">
        <v>44323</v>
      </c>
      <c r="O585" s="329" t="s">
        <v>67</v>
      </c>
      <c r="P585" s="330">
        <f t="shared" ref="P585:Q585" si="581">IF(B585=0,0,IF(YEAR(B585)=$Q$1,MONTH(B585)-$P$1+1,(YEAR(B585)-$Q$1)*12-$P$1+1+MONTH(B585)))</f>
        <v>5</v>
      </c>
      <c r="Q585" s="330">
        <f t="shared" si="581"/>
        <v>5</v>
      </c>
      <c r="R585" s="331" t="str">
        <f t="shared" si="1"/>
        <v>Gastos_Gerais</v>
      </c>
      <c r="S585" s="331" t="str">
        <f>IF(D585="","",IF(OR(D585=Plano!$A$1,D585=Plano!$B$1),"entrada","saída"))</f>
        <v>saída</v>
      </c>
      <c r="T585" s="332" t="s">
        <v>114</v>
      </c>
      <c r="U585" s="332" t="s">
        <v>114</v>
      </c>
      <c r="V585" s="333"/>
    </row>
    <row r="586" spans="1:22" ht="39.75" customHeight="1" x14ac:dyDescent="0.2">
      <c r="A586" s="277">
        <f>IF(B586="","",COUNT('Diário 5º PA'!$A$5:$A$2634)+ROW()-4)</f>
        <v>1893</v>
      </c>
      <c r="B586" s="278">
        <v>44323</v>
      </c>
      <c r="C586" s="249">
        <v>44317</v>
      </c>
      <c r="D586" s="255" t="s">
        <v>99</v>
      </c>
      <c r="E586" s="255" t="s">
        <v>272</v>
      </c>
      <c r="F586" s="258">
        <v>10.45</v>
      </c>
      <c r="G586" s="255" t="s">
        <v>1243</v>
      </c>
      <c r="H586" s="255" t="s">
        <v>114</v>
      </c>
      <c r="I586" s="250" t="s">
        <v>949</v>
      </c>
      <c r="J586" s="255" t="s">
        <v>950</v>
      </c>
      <c r="K586" s="255" t="s">
        <v>951</v>
      </c>
      <c r="L586" s="250" t="s">
        <v>947</v>
      </c>
      <c r="M586" s="336" t="s">
        <v>114</v>
      </c>
      <c r="N586" s="278">
        <v>44323</v>
      </c>
      <c r="O586" s="329" t="s">
        <v>67</v>
      </c>
      <c r="P586" s="330">
        <f t="shared" ref="P586:Q586" si="582">IF(B586=0,0,IF(YEAR(B586)=$Q$1,MONTH(B586)-$P$1+1,(YEAR(B586)-$Q$1)*12-$P$1+1+MONTH(B586)))</f>
        <v>5</v>
      </c>
      <c r="Q586" s="330">
        <f t="shared" si="582"/>
        <v>5</v>
      </c>
      <c r="R586" s="331" t="str">
        <f t="shared" si="1"/>
        <v>Gastos_Gerais</v>
      </c>
      <c r="S586" s="331" t="str">
        <f>IF(D586="","",IF(OR(D586=Plano!$A$1,D586=Plano!$B$1),"entrada","saída"))</f>
        <v>saída</v>
      </c>
      <c r="T586" s="332" t="s">
        <v>114</v>
      </c>
      <c r="U586" s="332" t="s">
        <v>114</v>
      </c>
      <c r="V586" s="333"/>
    </row>
    <row r="587" spans="1:22" ht="35.25" customHeight="1" x14ac:dyDescent="0.2">
      <c r="A587" s="277">
        <f>IF(B587="","",COUNT('Diário 5º PA'!$A$5:$A$2634)+ROW()-4)</f>
        <v>1894</v>
      </c>
      <c r="B587" s="278">
        <v>44323</v>
      </c>
      <c r="C587" s="249">
        <v>44317</v>
      </c>
      <c r="D587" s="255" t="s">
        <v>99</v>
      </c>
      <c r="E587" s="255" t="s">
        <v>272</v>
      </c>
      <c r="F587" s="258">
        <v>10.45</v>
      </c>
      <c r="G587" s="255" t="s">
        <v>1244</v>
      </c>
      <c r="H587" s="255" t="s">
        <v>114</v>
      </c>
      <c r="I587" s="250" t="s">
        <v>949</v>
      </c>
      <c r="J587" s="255" t="s">
        <v>950</v>
      </c>
      <c r="K587" s="255" t="s">
        <v>951</v>
      </c>
      <c r="L587" s="250" t="s">
        <v>947</v>
      </c>
      <c r="M587" s="336" t="s">
        <v>114</v>
      </c>
      <c r="N587" s="278">
        <v>44323</v>
      </c>
      <c r="O587" s="329" t="s">
        <v>67</v>
      </c>
      <c r="P587" s="330">
        <f t="shared" ref="P587:Q587" si="583">IF(B587=0,0,IF(YEAR(B587)=$Q$1,MONTH(B587)-$P$1+1,(YEAR(B587)-$Q$1)*12-$P$1+1+MONTH(B587)))</f>
        <v>5</v>
      </c>
      <c r="Q587" s="330">
        <f t="shared" si="583"/>
        <v>5</v>
      </c>
      <c r="R587" s="331" t="str">
        <f t="shared" si="1"/>
        <v>Gastos_Gerais</v>
      </c>
      <c r="S587" s="331" t="str">
        <f>IF(D587="","",IF(OR(D587=Plano!$A$1,D587=Plano!$B$1),"entrada","saída"))</f>
        <v>saída</v>
      </c>
      <c r="T587" s="332" t="s">
        <v>114</v>
      </c>
      <c r="U587" s="332" t="s">
        <v>114</v>
      </c>
      <c r="V587" s="333"/>
    </row>
    <row r="588" spans="1:22" ht="30" customHeight="1" x14ac:dyDescent="0.2">
      <c r="A588" s="277">
        <f>IF(B588="","",COUNT('Diário 5º PA'!$A$5:$A$2634)+ROW()-4)</f>
        <v>1895</v>
      </c>
      <c r="B588" s="278">
        <v>44323</v>
      </c>
      <c r="C588" s="249">
        <v>44317</v>
      </c>
      <c r="D588" s="255" t="s">
        <v>99</v>
      </c>
      <c r="E588" s="255" t="s">
        <v>272</v>
      </c>
      <c r="F588" s="258">
        <v>10.45</v>
      </c>
      <c r="G588" s="255" t="s">
        <v>1239</v>
      </c>
      <c r="H588" s="255" t="s">
        <v>114</v>
      </c>
      <c r="I588" s="250" t="s">
        <v>949</v>
      </c>
      <c r="J588" s="255" t="s">
        <v>950</v>
      </c>
      <c r="K588" s="255" t="s">
        <v>951</v>
      </c>
      <c r="L588" s="250" t="s">
        <v>947</v>
      </c>
      <c r="M588" s="336" t="s">
        <v>114</v>
      </c>
      <c r="N588" s="278">
        <v>44323</v>
      </c>
      <c r="O588" s="329" t="s">
        <v>67</v>
      </c>
      <c r="P588" s="330">
        <f t="shared" ref="P588:Q588" si="584">IF(B588=0,0,IF(YEAR(B588)=$Q$1,MONTH(B588)-$P$1+1,(YEAR(B588)-$Q$1)*12-$P$1+1+MONTH(B588)))</f>
        <v>5</v>
      </c>
      <c r="Q588" s="330">
        <f t="shared" si="584"/>
        <v>5</v>
      </c>
      <c r="R588" s="331" t="str">
        <f t="shared" si="1"/>
        <v>Gastos_Gerais</v>
      </c>
      <c r="S588" s="331" t="str">
        <f>IF(D588="","",IF(OR(D588=Plano!$A$1,D588=Plano!$B$1),"entrada","saída"))</f>
        <v>saída</v>
      </c>
      <c r="T588" s="332" t="s">
        <v>114</v>
      </c>
      <c r="U588" s="332" t="s">
        <v>114</v>
      </c>
      <c r="V588" s="333"/>
    </row>
    <row r="589" spans="1:22" ht="48" customHeight="1" x14ac:dyDescent="0.2">
      <c r="A589" s="277">
        <f>IF(B589="","",COUNT('Diário 5º PA'!$A$5:$A$2634)+ROW()-4)</f>
        <v>1896</v>
      </c>
      <c r="B589" s="278">
        <v>44323</v>
      </c>
      <c r="C589" s="249">
        <v>44317</v>
      </c>
      <c r="D589" s="255" t="s">
        <v>99</v>
      </c>
      <c r="E589" s="255" t="s">
        <v>272</v>
      </c>
      <c r="F589" s="258">
        <v>10.45</v>
      </c>
      <c r="G589" s="255" t="s">
        <v>1245</v>
      </c>
      <c r="H589" s="255" t="s">
        <v>114</v>
      </c>
      <c r="I589" s="250" t="s">
        <v>949</v>
      </c>
      <c r="J589" s="255" t="s">
        <v>950</v>
      </c>
      <c r="K589" s="255" t="s">
        <v>951</v>
      </c>
      <c r="L589" s="250" t="s">
        <v>947</v>
      </c>
      <c r="M589" s="336" t="s">
        <v>114</v>
      </c>
      <c r="N589" s="278">
        <v>44323</v>
      </c>
      <c r="O589" s="329" t="s">
        <v>67</v>
      </c>
      <c r="P589" s="330">
        <f t="shared" ref="P589:Q589" si="585">IF(B589=0,0,IF(YEAR(B589)=$Q$1,MONTH(B589)-$P$1+1,(YEAR(B589)-$Q$1)*12-$P$1+1+MONTH(B589)))</f>
        <v>5</v>
      </c>
      <c r="Q589" s="330">
        <f t="shared" si="585"/>
        <v>5</v>
      </c>
      <c r="R589" s="331" t="str">
        <f t="shared" si="1"/>
        <v>Gastos_Gerais</v>
      </c>
      <c r="S589" s="331" t="str">
        <f>IF(D589="","",IF(OR(D589=Plano!$A$1,D589=Plano!$B$1),"entrada","saída"))</f>
        <v>saída</v>
      </c>
      <c r="T589" s="332" t="s">
        <v>114</v>
      </c>
      <c r="U589" s="332" t="s">
        <v>114</v>
      </c>
      <c r="V589" s="333"/>
    </row>
    <row r="590" spans="1:22" ht="62.25" customHeight="1" x14ac:dyDescent="0.2">
      <c r="A590" s="277">
        <f>IF(B590="","",COUNT('Diário 5º PA'!$A$5:$A$2634)+ROW()-4)</f>
        <v>1897</v>
      </c>
      <c r="B590" s="278">
        <v>44323</v>
      </c>
      <c r="C590" s="249">
        <v>44317</v>
      </c>
      <c r="D590" s="255" t="s">
        <v>99</v>
      </c>
      <c r="E590" s="255" t="s">
        <v>272</v>
      </c>
      <c r="F590" s="258">
        <v>10.45</v>
      </c>
      <c r="G590" s="255" t="s">
        <v>4535</v>
      </c>
      <c r="H590" s="252" t="s">
        <v>115</v>
      </c>
      <c r="I590" s="250" t="s">
        <v>949</v>
      </c>
      <c r="J590" s="255" t="s">
        <v>950</v>
      </c>
      <c r="K590" s="255" t="s">
        <v>951</v>
      </c>
      <c r="L590" s="250" t="s">
        <v>947</v>
      </c>
      <c r="M590" s="336" t="s">
        <v>114</v>
      </c>
      <c r="N590" s="278">
        <v>44323</v>
      </c>
      <c r="O590" s="329" t="s">
        <v>67</v>
      </c>
      <c r="P590" s="330">
        <f t="shared" ref="P590:Q590" si="586">IF(B590=0,0,IF(YEAR(B590)=$Q$1,MONTH(B590)-$P$1+1,(YEAR(B590)-$Q$1)*12-$P$1+1+MONTH(B590)))</f>
        <v>5</v>
      </c>
      <c r="Q590" s="330">
        <f t="shared" si="586"/>
        <v>5</v>
      </c>
      <c r="R590" s="331" t="str">
        <f t="shared" si="1"/>
        <v>Gastos_Gerais</v>
      </c>
      <c r="S590" s="331" t="str">
        <f>IF(D590="","",IF(OR(D590=Plano!$A$1,D590=Plano!$B$1),"entrada","saída"))</f>
        <v>saída</v>
      </c>
      <c r="T590" s="332" t="s">
        <v>114</v>
      </c>
      <c r="U590" s="332" t="s">
        <v>114</v>
      </c>
      <c r="V590" s="333"/>
    </row>
    <row r="591" spans="1:22" ht="136.5" customHeight="1" x14ac:dyDescent="0.2">
      <c r="A591" s="277">
        <f>IF(B591="","",COUNT('Diário 5º PA'!$A$5:$A$2634)+ROW()-4)</f>
        <v>1898</v>
      </c>
      <c r="B591" s="278">
        <v>44323</v>
      </c>
      <c r="C591" s="259">
        <v>44287</v>
      </c>
      <c r="D591" s="252" t="s">
        <v>104</v>
      </c>
      <c r="E591" s="252" t="s">
        <v>104</v>
      </c>
      <c r="F591" s="257">
        <v>2300</v>
      </c>
      <c r="G591" s="252" t="s">
        <v>4388</v>
      </c>
      <c r="H591" s="252" t="s">
        <v>104</v>
      </c>
      <c r="I591" s="252" t="s">
        <v>2890</v>
      </c>
      <c r="J591" s="250" t="s">
        <v>672</v>
      </c>
      <c r="K591" s="255" t="s">
        <v>1015</v>
      </c>
      <c r="L591" s="250" t="s">
        <v>1016</v>
      </c>
      <c r="M591" s="336">
        <v>170</v>
      </c>
      <c r="N591" s="278">
        <v>44320</v>
      </c>
      <c r="O591" s="329" t="s">
        <v>68</v>
      </c>
      <c r="P591" s="330">
        <f t="shared" ref="P591:Q591" si="587">IF(B591=0,0,IF(YEAR(B591)=$Q$1,MONTH(B591)-$P$1+1,(YEAR(B591)-$Q$1)*12-$P$1+1+MONTH(B591)))</f>
        <v>5</v>
      </c>
      <c r="Q591" s="330">
        <f t="shared" si="587"/>
        <v>4</v>
      </c>
      <c r="R591" s="331" t="str">
        <f t="shared" si="1"/>
        <v>Gastos_custeados_por_captação</v>
      </c>
      <c r="S591" s="331" t="str">
        <f>IF(D591="","",IF(OR(D591=Plano!$A$1,D591=Plano!$B$1),"entrada","saída"))</f>
        <v>saída</v>
      </c>
      <c r="T591" s="332" t="s">
        <v>1059</v>
      </c>
      <c r="U591" s="332">
        <v>1412</v>
      </c>
      <c r="V591" s="333"/>
    </row>
    <row r="592" spans="1:22" ht="136.5" customHeight="1" x14ac:dyDescent="0.2">
      <c r="A592" s="277">
        <f>IF(B592="","",COUNT('Diário 5º PA'!$A$5:$A$2634)+ROW()-4)</f>
        <v>1899</v>
      </c>
      <c r="B592" s="278">
        <v>44323</v>
      </c>
      <c r="C592" s="259">
        <v>44287</v>
      </c>
      <c r="D592" s="252" t="s">
        <v>104</v>
      </c>
      <c r="E592" s="252" t="s">
        <v>104</v>
      </c>
      <c r="F592" s="257">
        <v>336</v>
      </c>
      <c r="G592" s="252" t="s">
        <v>4536</v>
      </c>
      <c r="H592" s="252" t="s">
        <v>104</v>
      </c>
      <c r="I592" s="252" t="s">
        <v>4537</v>
      </c>
      <c r="J592" s="250" t="s">
        <v>4538</v>
      </c>
      <c r="K592" s="250" t="s">
        <v>1015</v>
      </c>
      <c r="L592" s="250" t="s">
        <v>1029</v>
      </c>
      <c r="M592" s="336">
        <v>1158</v>
      </c>
      <c r="N592" s="278">
        <v>44322</v>
      </c>
      <c r="O592" s="329" t="s">
        <v>70</v>
      </c>
      <c r="P592" s="330">
        <f t="shared" ref="P592:Q592" si="588">IF(B592=0,0,IF(YEAR(B592)=$Q$1,MONTH(B592)-$P$1+1,(YEAR(B592)-$Q$1)*12-$P$1+1+MONTH(B592)))</f>
        <v>5</v>
      </c>
      <c r="Q592" s="330">
        <f t="shared" si="588"/>
        <v>4</v>
      </c>
      <c r="R592" s="331" t="str">
        <f t="shared" si="1"/>
        <v>Gastos_custeados_por_captação</v>
      </c>
      <c r="S592" s="331" t="str">
        <f>IF(D592="","",IF(OR(D592=Plano!$A$1,D592=Plano!$B$1),"entrada","saída"))</f>
        <v>saída</v>
      </c>
      <c r="T592" s="332" t="s">
        <v>994</v>
      </c>
      <c r="U592" s="332">
        <v>1489</v>
      </c>
      <c r="V592" s="333"/>
    </row>
    <row r="593" spans="1:22" ht="64.5" customHeight="1" x14ac:dyDescent="0.2">
      <c r="A593" s="277">
        <f>IF(B593="","",COUNT('Diário 5º PA'!$A$5:$A$2634)+ROW()-4)</f>
        <v>1900</v>
      </c>
      <c r="B593" s="278">
        <v>44323</v>
      </c>
      <c r="C593" s="259">
        <v>44287</v>
      </c>
      <c r="D593" s="252" t="s">
        <v>104</v>
      </c>
      <c r="E593" s="252" t="s">
        <v>104</v>
      </c>
      <c r="F593" s="257">
        <v>12.45</v>
      </c>
      <c r="G593" s="252" t="s">
        <v>4539</v>
      </c>
      <c r="H593" s="252" t="s">
        <v>104</v>
      </c>
      <c r="I593" s="250" t="s">
        <v>983</v>
      </c>
      <c r="J593" s="250" t="s">
        <v>850</v>
      </c>
      <c r="K593" s="250" t="s">
        <v>946</v>
      </c>
      <c r="L593" s="250" t="s">
        <v>947</v>
      </c>
      <c r="M593" s="336" t="s">
        <v>114</v>
      </c>
      <c r="N593" s="278">
        <v>44323</v>
      </c>
      <c r="O593" s="329" t="s">
        <v>71</v>
      </c>
      <c r="P593" s="330">
        <f t="shared" ref="P593:Q593" si="589">IF(B593=0,0,IF(YEAR(B593)=$Q$1,MONTH(B593)-$P$1+1,(YEAR(B593)-$Q$1)*12-$P$1+1+MONTH(B593)))</f>
        <v>5</v>
      </c>
      <c r="Q593" s="330">
        <f t="shared" si="589"/>
        <v>4</v>
      </c>
      <c r="R593" s="331" t="str">
        <f t="shared" si="1"/>
        <v>Gastos_custeados_por_captação</v>
      </c>
      <c r="S593" s="331" t="str">
        <f>IF(D593="","",IF(OR(D593=Plano!$A$1,D593=Plano!$B$1),"entrada","saída"))</f>
        <v>saída</v>
      </c>
      <c r="T593" s="332" t="s">
        <v>114</v>
      </c>
      <c r="U593" s="332" t="s">
        <v>114</v>
      </c>
      <c r="V593" s="333"/>
    </row>
    <row r="594" spans="1:22" ht="91.5" customHeight="1" x14ac:dyDescent="0.2">
      <c r="A594" s="277">
        <f>IF(B594="","",COUNT('Diário 5º PA'!$A$5:$A$2634)+ROW()-4)</f>
        <v>1901</v>
      </c>
      <c r="B594" s="278">
        <v>44323</v>
      </c>
      <c r="C594" s="259">
        <v>44287</v>
      </c>
      <c r="D594" s="252" t="s">
        <v>104</v>
      </c>
      <c r="E594" s="252" t="s">
        <v>104</v>
      </c>
      <c r="F594" s="257">
        <v>1915.83</v>
      </c>
      <c r="G594" s="252" t="s">
        <v>4540</v>
      </c>
      <c r="H594" s="252" t="s">
        <v>104</v>
      </c>
      <c r="I594" s="250" t="s">
        <v>2821</v>
      </c>
      <c r="J594" s="250" t="s">
        <v>2822</v>
      </c>
      <c r="K594" s="250" t="s">
        <v>1015</v>
      </c>
      <c r="L594" s="250" t="s">
        <v>1177</v>
      </c>
      <c r="M594" s="277" t="s">
        <v>114</v>
      </c>
      <c r="N594" s="278">
        <v>44323</v>
      </c>
      <c r="O594" s="329" t="s">
        <v>71</v>
      </c>
      <c r="P594" s="330">
        <f t="shared" ref="P594:Q594" si="590">IF(B594=0,0,IF(YEAR(B594)=$Q$1,MONTH(B594)-$P$1+1,(YEAR(B594)-$Q$1)*12-$P$1+1+MONTH(B594)))</f>
        <v>5</v>
      </c>
      <c r="Q594" s="330">
        <f t="shared" si="590"/>
        <v>4</v>
      </c>
      <c r="R594" s="331" t="str">
        <f t="shared" si="1"/>
        <v>Gastos_custeados_por_captação</v>
      </c>
      <c r="S594" s="331" t="str">
        <f>IF(D594="","",IF(OR(D594=Plano!$A$1,D594=Plano!$B$1),"entrada","saída"))</f>
        <v>saída</v>
      </c>
      <c r="T594" s="332" t="s">
        <v>114</v>
      </c>
      <c r="U594" s="332" t="s">
        <v>114</v>
      </c>
      <c r="V594" s="333"/>
    </row>
    <row r="595" spans="1:22" ht="70.5" customHeight="1" x14ac:dyDescent="0.2">
      <c r="A595" s="277">
        <f>IF(B595="","",COUNT('Diário 5º PA'!$A$5:$A$2634)+ROW()-4)</f>
        <v>1902</v>
      </c>
      <c r="B595" s="278">
        <v>44326</v>
      </c>
      <c r="C595" s="249">
        <v>44287</v>
      </c>
      <c r="D595" s="255" t="s">
        <v>99</v>
      </c>
      <c r="E595" s="255" t="s">
        <v>266</v>
      </c>
      <c r="F595" s="258">
        <v>-69.989999999999995</v>
      </c>
      <c r="G595" s="255" t="s">
        <v>4541</v>
      </c>
      <c r="H595" s="255" t="s">
        <v>115</v>
      </c>
      <c r="I595" s="250" t="s">
        <v>983</v>
      </c>
      <c r="J595" s="255" t="s">
        <v>850</v>
      </c>
      <c r="K595" s="255" t="s">
        <v>946</v>
      </c>
      <c r="L595" s="250" t="s">
        <v>947</v>
      </c>
      <c r="M595" s="277" t="s">
        <v>114</v>
      </c>
      <c r="N595" s="278">
        <v>44326</v>
      </c>
      <c r="O595" s="329" t="s">
        <v>67</v>
      </c>
      <c r="P595" s="330">
        <f t="shared" ref="P595:Q595" si="591">IF(B595=0,0,IF(YEAR(B595)=$Q$1,MONTH(B595)-$P$1+1,(YEAR(B595)-$Q$1)*12-$P$1+1+MONTH(B595)))</f>
        <v>5</v>
      </c>
      <c r="Q595" s="330">
        <f t="shared" si="591"/>
        <v>4</v>
      </c>
      <c r="R595" s="331" t="str">
        <f t="shared" si="1"/>
        <v>Gastos_Gerais</v>
      </c>
      <c r="S595" s="331" t="str">
        <f>IF(D595="","",IF(OR(D595=Plano!$A$1,D595=Plano!$B$1),"entrada","saída"))</f>
        <v>saída</v>
      </c>
      <c r="T595" s="332" t="s">
        <v>114</v>
      </c>
      <c r="U595" s="332" t="s">
        <v>114</v>
      </c>
      <c r="V595" s="333"/>
    </row>
    <row r="596" spans="1:22" ht="66.75" customHeight="1" x14ac:dyDescent="0.2">
      <c r="A596" s="277">
        <f>IF(B596="","",COUNT('Diário 5º PA'!$A$5:$A$2634)+ROW()-4)</f>
        <v>1903</v>
      </c>
      <c r="B596" s="278">
        <v>44326</v>
      </c>
      <c r="C596" s="249">
        <v>44287</v>
      </c>
      <c r="D596" s="255" t="s">
        <v>99</v>
      </c>
      <c r="E596" s="255" t="s">
        <v>246</v>
      </c>
      <c r="F596" s="258">
        <v>-158.46</v>
      </c>
      <c r="G596" s="255" t="s">
        <v>4542</v>
      </c>
      <c r="H596" s="255" t="s">
        <v>115</v>
      </c>
      <c r="I596" s="250" t="s">
        <v>983</v>
      </c>
      <c r="J596" s="255" t="s">
        <v>850</v>
      </c>
      <c r="K596" s="255" t="s">
        <v>946</v>
      </c>
      <c r="L596" s="250" t="s">
        <v>947</v>
      </c>
      <c r="M596" s="277" t="s">
        <v>114</v>
      </c>
      <c r="N596" s="278">
        <v>44326</v>
      </c>
      <c r="O596" s="329" t="s">
        <v>67</v>
      </c>
      <c r="P596" s="330">
        <f t="shared" ref="P596:Q596" si="592">IF(B596=0,0,IF(YEAR(B596)=$Q$1,MONTH(B596)-$P$1+1,(YEAR(B596)-$Q$1)*12-$P$1+1+MONTH(B596)))</f>
        <v>5</v>
      </c>
      <c r="Q596" s="330">
        <f t="shared" si="592"/>
        <v>4</v>
      </c>
      <c r="R596" s="331" t="str">
        <f t="shared" si="1"/>
        <v>Gastos_Gerais</v>
      </c>
      <c r="S596" s="331" t="str">
        <f>IF(D596="","",IF(OR(D596=Plano!$A$1,D596=Plano!$B$1),"entrada","saída"))</f>
        <v>saída</v>
      </c>
      <c r="T596" s="332" t="s">
        <v>114</v>
      </c>
      <c r="U596" s="332" t="s">
        <v>114</v>
      </c>
      <c r="V596" s="333"/>
    </row>
    <row r="597" spans="1:22" ht="93" customHeight="1" x14ac:dyDescent="0.2">
      <c r="A597" s="277">
        <f>IF(B597="","",COUNT('Diário 5º PA'!$A$5:$A$2634)+ROW()-4)</f>
        <v>1904</v>
      </c>
      <c r="B597" s="278">
        <v>44326</v>
      </c>
      <c r="C597" s="259">
        <v>44317</v>
      </c>
      <c r="D597" s="252" t="s">
        <v>99</v>
      </c>
      <c r="E597" s="252" t="s">
        <v>276</v>
      </c>
      <c r="F597" s="258">
        <v>-90.49</v>
      </c>
      <c r="G597" s="255" t="s">
        <v>1618</v>
      </c>
      <c r="H597" s="255" t="s">
        <v>115</v>
      </c>
      <c r="I597" s="250" t="s">
        <v>983</v>
      </c>
      <c r="J597" s="255" t="s">
        <v>850</v>
      </c>
      <c r="K597" s="255" t="s">
        <v>946</v>
      </c>
      <c r="L597" s="250" t="s">
        <v>947</v>
      </c>
      <c r="M597" s="277" t="s">
        <v>114</v>
      </c>
      <c r="N597" s="278">
        <v>44326</v>
      </c>
      <c r="O597" s="329" t="s">
        <v>67</v>
      </c>
      <c r="P597" s="330">
        <f t="shared" ref="P597:Q597" si="593">IF(B597=0,0,IF(YEAR(B597)=$Q$1,MONTH(B597)-$P$1+1,(YEAR(B597)-$Q$1)*12-$P$1+1+MONTH(B597)))</f>
        <v>5</v>
      </c>
      <c r="Q597" s="330">
        <f t="shared" si="593"/>
        <v>5</v>
      </c>
      <c r="R597" s="331" t="str">
        <f t="shared" si="1"/>
        <v>Gastos_Gerais</v>
      </c>
      <c r="S597" s="331" t="str">
        <f>IF(D597="","",IF(OR(D597=Plano!$A$1,D597=Plano!$B$1),"entrada","saída"))</f>
        <v>saída</v>
      </c>
      <c r="T597" s="332" t="s">
        <v>114</v>
      </c>
      <c r="U597" s="332" t="s">
        <v>114</v>
      </c>
      <c r="V597" s="333"/>
    </row>
    <row r="598" spans="1:22" ht="54.75" customHeight="1" x14ac:dyDescent="0.2">
      <c r="A598" s="277">
        <f>IF(B598="","",COUNT('Diário 5º PA'!$A$5:$A$2634)+ROW()-4)</f>
        <v>1905</v>
      </c>
      <c r="B598" s="278">
        <v>44326</v>
      </c>
      <c r="C598" s="256">
        <v>44287</v>
      </c>
      <c r="D598" s="255" t="s">
        <v>99</v>
      </c>
      <c r="E598" s="255" t="s">
        <v>208</v>
      </c>
      <c r="F598" s="258">
        <v>-1631.15</v>
      </c>
      <c r="G598" s="255" t="s">
        <v>4543</v>
      </c>
      <c r="H598" s="255" t="s">
        <v>115</v>
      </c>
      <c r="I598" s="250" t="s">
        <v>983</v>
      </c>
      <c r="J598" s="255" t="s">
        <v>850</v>
      </c>
      <c r="K598" s="255" t="s">
        <v>946</v>
      </c>
      <c r="L598" s="250" t="s">
        <v>947</v>
      </c>
      <c r="M598" s="277" t="s">
        <v>114</v>
      </c>
      <c r="N598" s="278">
        <v>44326</v>
      </c>
      <c r="O598" s="329" t="s">
        <v>67</v>
      </c>
      <c r="P598" s="330">
        <f t="shared" ref="P598:Q598" si="594">IF(B598=0,0,IF(YEAR(B598)=$Q$1,MONTH(B598)-$P$1+1,(YEAR(B598)-$Q$1)*12-$P$1+1+MONTH(B598)))</f>
        <v>5</v>
      </c>
      <c r="Q598" s="330">
        <f t="shared" si="594"/>
        <v>4</v>
      </c>
      <c r="R598" s="331" t="str">
        <f t="shared" si="1"/>
        <v>Gastos_Gerais</v>
      </c>
      <c r="S598" s="331" t="str">
        <f>IF(D598="","",IF(OR(D598=Plano!$A$1,D598=Plano!$B$1),"entrada","saída"))</f>
        <v>saída</v>
      </c>
      <c r="T598" s="332" t="s">
        <v>114</v>
      </c>
      <c r="U598" s="332" t="s">
        <v>114</v>
      </c>
      <c r="V598" s="333"/>
    </row>
    <row r="599" spans="1:22" ht="53.25" customHeight="1" x14ac:dyDescent="0.2">
      <c r="A599" s="277">
        <f>IF(B599="","",COUNT('Diário 5º PA'!$A$5:$A$2634)+ROW()-4)</f>
        <v>1906</v>
      </c>
      <c r="B599" s="278">
        <v>44326</v>
      </c>
      <c r="C599" s="256">
        <v>44287</v>
      </c>
      <c r="D599" s="255" t="s">
        <v>99</v>
      </c>
      <c r="E599" s="255" t="s">
        <v>212</v>
      </c>
      <c r="F599" s="258">
        <v>-447.21</v>
      </c>
      <c r="G599" s="255" t="s">
        <v>4544</v>
      </c>
      <c r="H599" s="255" t="s">
        <v>115</v>
      </c>
      <c r="I599" s="250" t="s">
        <v>983</v>
      </c>
      <c r="J599" s="255" t="s">
        <v>850</v>
      </c>
      <c r="K599" s="255" t="s">
        <v>946</v>
      </c>
      <c r="L599" s="250" t="s">
        <v>947</v>
      </c>
      <c r="M599" s="277" t="s">
        <v>114</v>
      </c>
      <c r="N599" s="278">
        <v>44326</v>
      </c>
      <c r="O599" s="329" t="s">
        <v>67</v>
      </c>
      <c r="P599" s="330">
        <f t="shared" ref="P599:Q599" si="595">IF(B599=0,0,IF(YEAR(B599)=$Q$1,MONTH(B599)-$P$1+1,(YEAR(B599)-$Q$1)*12-$P$1+1+MONTH(B599)))</f>
        <v>5</v>
      </c>
      <c r="Q599" s="330">
        <f t="shared" si="595"/>
        <v>4</v>
      </c>
      <c r="R599" s="331" t="str">
        <f t="shared" si="1"/>
        <v>Gastos_Gerais</v>
      </c>
      <c r="S599" s="331" t="str">
        <f>IF(D599="","",IF(OR(D599=Plano!$A$1,D599=Plano!$B$1),"entrada","saída"))</f>
        <v>saída</v>
      </c>
      <c r="T599" s="332" t="s">
        <v>114</v>
      </c>
      <c r="U599" s="332" t="s">
        <v>114</v>
      </c>
      <c r="V599" s="333"/>
    </row>
    <row r="600" spans="1:22" ht="39" customHeight="1" x14ac:dyDescent="0.2">
      <c r="A600" s="277">
        <f>IF(B600="","",COUNT('Diário 5º PA'!$A$5:$A$2634)+ROW()-4)</f>
        <v>1907</v>
      </c>
      <c r="B600" s="278">
        <v>44326</v>
      </c>
      <c r="C600" s="256">
        <v>44287</v>
      </c>
      <c r="D600" s="255" t="s">
        <v>99</v>
      </c>
      <c r="E600" s="255" t="s">
        <v>208</v>
      </c>
      <c r="F600" s="258">
        <v>6176.26</v>
      </c>
      <c r="G600" s="255" t="s">
        <v>4545</v>
      </c>
      <c r="H600" s="255" t="s">
        <v>115</v>
      </c>
      <c r="I600" s="252" t="s">
        <v>518</v>
      </c>
      <c r="J600" s="252" t="s">
        <v>519</v>
      </c>
      <c r="K600" s="255" t="s">
        <v>560</v>
      </c>
      <c r="L600" s="250" t="s">
        <v>114</v>
      </c>
      <c r="M600" s="277">
        <v>5</v>
      </c>
      <c r="N600" s="278">
        <v>44308</v>
      </c>
      <c r="O600" s="329" t="s">
        <v>67</v>
      </c>
      <c r="P600" s="330">
        <f t="shared" ref="P600:Q600" si="596">IF(B600=0,0,IF(YEAR(B600)=$Q$1,MONTH(B600)-$P$1+1,(YEAR(B600)-$Q$1)*12-$P$1+1+MONTH(B600)))</f>
        <v>5</v>
      </c>
      <c r="Q600" s="330">
        <f t="shared" si="596"/>
        <v>4</v>
      </c>
      <c r="R600" s="331" t="str">
        <f t="shared" si="1"/>
        <v>Gastos_Gerais</v>
      </c>
      <c r="S600" s="331" t="str">
        <f>IF(D600="","",IF(OR(D600=Plano!$A$1,D600=Plano!$B$1),"entrada","saída"))</f>
        <v>saída</v>
      </c>
      <c r="T600" s="332" t="s">
        <v>114</v>
      </c>
      <c r="U600" s="332" t="s">
        <v>114</v>
      </c>
      <c r="V600" s="333"/>
    </row>
    <row r="601" spans="1:22" ht="24.75" customHeight="1" x14ac:dyDescent="0.2">
      <c r="A601" s="277">
        <f>IF(B601="","",COUNT('Diário 5º PA'!$A$5:$A$2634)+ROW()-4)</f>
        <v>1908</v>
      </c>
      <c r="B601" s="278">
        <v>44326</v>
      </c>
      <c r="C601" s="256">
        <v>44287</v>
      </c>
      <c r="D601" s="255" t="s">
        <v>99</v>
      </c>
      <c r="E601" s="255" t="s">
        <v>212</v>
      </c>
      <c r="F601" s="258">
        <v>1693.33</v>
      </c>
      <c r="G601" s="255" t="s">
        <v>4546</v>
      </c>
      <c r="H601" s="255" t="s">
        <v>115</v>
      </c>
      <c r="I601" s="252" t="s">
        <v>518</v>
      </c>
      <c r="J601" s="252" t="s">
        <v>519</v>
      </c>
      <c r="K601" s="255" t="s">
        <v>560</v>
      </c>
      <c r="L601" s="250" t="s">
        <v>947</v>
      </c>
      <c r="M601" s="277" t="s">
        <v>114</v>
      </c>
      <c r="N601" s="278">
        <v>44308</v>
      </c>
      <c r="O601" s="329" t="s">
        <v>67</v>
      </c>
      <c r="P601" s="330">
        <f t="shared" ref="P601:Q601" si="597">IF(B601=0,0,IF(YEAR(B601)=$Q$1,MONTH(B601)-$P$1+1,(YEAR(B601)-$Q$1)*12-$P$1+1+MONTH(B601)))</f>
        <v>5</v>
      </c>
      <c r="Q601" s="330">
        <f t="shared" si="597"/>
        <v>4</v>
      </c>
      <c r="R601" s="331" t="str">
        <f t="shared" si="1"/>
        <v>Gastos_Gerais</v>
      </c>
      <c r="S601" s="331" t="str">
        <f>IF(D601="","",IF(OR(D601=Plano!$A$1,D601=Plano!$B$1),"entrada","saída"))</f>
        <v>saída</v>
      </c>
      <c r="T601" s="332" t="s">
        <v>114</v>
      </c>
      <c r="U601" s="332" t="s">
        <v>114</v>
      </c>
      <c r="V601" s="333"/>
    </row>
    <row r="602" spans="1:22" ht="180" customHeight="1" x14ac:dyDescent="0.2">
      <c r="A602" s="277">
        <f>IF(B602="","",COUNT('Diário 5º PA'!$A$5:$A$2634)+ROW()-4)</f>
        <v>1909</v>
      </c>
      <c r="B602" s="278">
        <v>44326</v>
      </c>
      <c r="C602" s="256">
        <v>44287</v>
      </c>
      <c r="D602" s="255" t="s">
        <v>99</v>
      </c>
      <c r="E602" s="255" t="s">
        <v>224</v>
      </c>
      <c r="F602" s="258">
        <v>49.99</v>
      </c>
      <c r="G602" s="255" t="s">
        <v>642</v>
      </c>
      <c r="H602" s="255" t="s">
        <v>130</v>
      </c>
      <c r="I602" s="252" t="s">
        <v>1374</v>
      </c>
      <c r="J602" s="252" t="s">
        <v>644</v>
      </c>
      <c r="K602" s="255" t="s">
        <v>1375</v>
      </c>
      <c r="L602" s="250" t="s">
        <v>697</v>
      </c>
      <c r="M602" s="336">
        <v>2104954714613</v>
      </c>
      <c r="N602" s="278">
        <v>44302</v>
      </c>
      <c r="O602" s="329" t="s">
        <v>67</v>
      </c>
      <c r="P602" s="330">
        <f t="shared" ref="P602:Q602" si="598">IF(B602=0,0,IF(YEAR(B602)=$Q$1,MONTH(B602)-$P$1+1,(YEAR(B602)-$Q$1)*12-$P$1+1+MONTH(B602)))</f>
        <v>5</v>
      </c>
      <c r="Q602" s="330">
        <f t="shared" si="598"/>
        <v>4</v>
      </c>
      <c r="R602" s="331" t="str">
        <f t="shared" si="1"/>
        <v>Gastos_Gerais</v>
      </c>
      <c r="S602" s="331" t="str">
        <f>IF(D602="","",IF(OR(D602=Plano!$A$1,D602=Plano!$B$1),"entrada","saída"))</f>
        <v>saída</v>
      </c>
      <c r="T602" s="332" t="s">
        <v>1082</v>
      </c>
      <c r="U602" s="332">
        <v>277</v>
      </c>
      <c r="V602" s="333"/>
    </row>
    <row r="603" spans="1:22" ht="109.5" customHeight="1" x14ac:dyDescent="0.2">
      <c r="A603" s="277">
        <f>IF(B603="","",COUNT('Diário 5º PA'!$A$5:$A$2634)+ROW()-4)</f>
        <v>1910</v>
      </c>
      <c r="B603" s="278">
        <v>44326</v>
      </c>
      <c r="C603" s="256">
        <v>44287</v>
      </c>
      <c r="D603" s="255" t="s">
        <v>99</v>
      </c>
      <c r="E603" s="255" t="s">
        <v>266</v>
      </c>
      <c r="F603" s="258">
        <v>255.72</v>
      </c>
      <c r="G603" s="255" t="s">
        <v>480</v>
      </c>
      <c r="H603" s="255" t="s">
        <v>115</v>
      </c>
      <c r="I603" s="252" t="s">
        <v>1372</v>
      </c>
      <c r="J603" s="252" t="s">
        <v>482</v>
      </c>
      <c r="K603" s="255" t="s">
        <v>560</v>
      </c>
      <c r="L603" s="250" t="s">
        <v>1016</v>
      </c>
      <c r="M603" s="277" t="s">
        <v>4547</v>
      </c>
      <c r="N603" s="278">
        <v>44291</v>
      </c>
      <c r="O603" s="329" t="s">
        <v>67</v>
      </c>
      <c r="P603" s="330">
        <f t="shared" ref="P603:Q603" si="599">IF(B603=0,0,IF(YEAR(B603)=$Q$1,MONTH(B603)-$P$1+1,(YEAR(B603)-$Q$1)*12-$P$1+1+MONTH(B603)))</f>
        <v>5</v>
      </c>
      <c r="Q603" s="330">
        <f t="shared" si="599"/>
        <v>4</v>
      </c>
      <c r="R603" s="331" t="str">
        <f t="shared" si="1"/>
        <v>Gastos_Gerais</v>
      </c>
      <c r="S603" s="331" t="str">
        <f>IF(D603="","",IF(OR(D603=Plano!$A$1,D603=Plano!$B$1),"entrada","saída"))</f>
        <v>saída</v>
      </c>
      <c r="T603" s="332" t="s">
        <v>1059</v>
      </c>
      <c r="U603" s="332">
        <v>1133</v>
      </c>
      <c r="V603" s="333"/>
    </row>
    <row r="604" spans="1:22" ht="68.25" customHeight="1" x14ac:dyDescent="0.2">
      <c r="A604" s="277">
        <f>IF(B604="","",COUNT('Diário 5º PA'!$A$5:$A$2634)+ROW()-4)</f>
        <v>1911</v>
      </c>
      <c r="B604" s="278">
        <v>44326</v>
      </c>
      <c r="C604" s="259">
        <v>44317</v>
      </c>
      <c r="D604" s="252" t="s">
        <v>99</v>
      </c>
      <c r="E604" s="252" t="s">
        <v>276</v>
      </c>
      <c r="F604" s="257">
        <v>342.65</v>
      </c>
      <c r="G604" s="252" t="s">
        <v>4548</v>
      </c>
      <c r="H604" s="252" t="s">
        <v>115</v>
      </c>
      <c r="I604" s="252" t="s">
        <v>465</v>
      </c>
      <c r="J604" s="250" t="s">
        <v>114</v>
      </c>
      <c r="K604" s="250" t="s">
        <v>466</v>
      </c>
      <c r="L604" s="250" t="s">
        <v>629</v>
      </c>
      <c r="M604" s="277" t="s">
        <v>4549</v>
      </c>
      <c r="N604" s="278">
        <v>44326</v>
      </c>
      <c r="O604" s="329" t="s">
        <v>67</v>
      </c>
      <c r="P604" s="330">
        <f t="shared" ref="P604:Q604" si="600">IF(B604=0,0,IF(YEAR(B604)=$Q$1,MONTH(B604)-$P$1+1,(YEAR(B604)-$Q$1)*12-$P$1+1+MONTH(B604)))</f>
        <v>5</v>
      </c>
      <c r="Q604" s="330">
        <f t="shared" si="600"/>
        <v>5</v>
      </c>
      <c r="R604" s="331" t="str">
        <f t="shared" si="1"/>
        <v>Gastos_Gerais</v>
      </c>
      <c r="S604" s="331" t="str">
        <f>IF(D604="","",IF(OR(D604=Plano!$A$1,D604=Plano!$B$1),"entrada","saída"))</f>
        <v>saída</v>
      </c>
      <c r="T604" s="332" t="s">
        <v>114</v>
      </c>
      <c r="U604" s="332" t="s">
        <v>114</v>
      </c>
      <c r="V604" s="333"/>
    </row>
    <row r="605" spans="1:22" ht="121.5" customHeight="1" x14ac:dyDescent="0.2">
      <c r="A605" s="277">
        <f>IF(B605="","",COUNT('Diário 5º PA'!$A$5:$A$2634)+ROW()-4)</f>
        <v>1912</v>
      </c>
      <c r="B605" s="278">
        <v>44326</v>
      </c>
      <c r="C605" s="259">
        <v>44287</v>
      </c>
      <c r="D605" s="255" t="s">
        <v>99</v>
      </c>
      <c r="E605" s="255" t="s">
        <v>246</v>
      </c>
      <c r="F605" s="257">
        <v>600</v>
      </c>
      <c r="G605" s="252" t="s">
        <v>1369</v>
      </c>
      <c r="H605" s="255" t="s">
        <v>115</v>
      </c>
      <c r="I605" s="250" t="s">
        <v>1370</v>
      </c>
      <c r="J605" s="252" t="s">
        <v>1371</v>
      </c>
      <c r="K605" s="255" t="s">
        <v>560</v>
      </c>
      <c r="L605" s="250" t="s">
        <v>1016</v>
      </c>
      <c r="M605" s="277" t="s">
        <v>1309</v>
      </c>
      <c r="N605" s="278">
        <v>44321</v>
      </c>
      <c r="O605" s="329" t="s">
        <v>67</v>
      </c>
      <c r="P605" s="330">
        <f t="shared" ref="P605:Q605" si="601">IF(B605=0,0,IF(YEAR(B605)=$Q$1,MONTH(B605)-$P$1+1,(YEAR(B605)-$Q$1)*12-$P$1+1+MONTH(B605)))</f>
        <v>5</v>
      </c>
      <c r="Q605" s="330">
        <f t="shared" si="601"/>
        <v>4</v>
      </c>
      <c r="R605" s="331" t="str">
        <f t="shared" si="1"/>
        <v>Gastos_Gerais</v>
      </c>
      <c r="S605" s="331" t="str">
        <f>IF(D605="","",IF(OR(D605=Plano!$A$1,D605=Plano!$B$1),"entrada","saída"))</f>
        <v>saída</v>
      </c>
      <c r="T605" s="332" t="s">
        <v>1059</v>
      </c>
      <c r="U605" s="332">
        <v>1144</v>
      </c>
      <c r="V605" s="333"/>
    </row>
    <row r="606" spans="1:22" ht="147.75" customHeight="1" x14ac:dyDescent="0.2">
      <c r="A606" s="277">
        <f>IF(B606="","",COUNT('Diário 5º PA'!$A$5:$A$2634)+ROW()-4)</f>
        <v>1913</v>
      </c>
      <c r="B606" s="278">
        <v>44326</v>
      </c>
      <c r="C606" s="259">
        <v>44287</v>
      </c>
      <c r="D606" s="252" t="s">
        <v>99</v>
      </c>
      <c r="E606" s="252" t="s">
        <v>348</v>
      </c>
      <c r="F606" s="257">
        <v>20422.5</v>
      </c>
      <c r="G606" s="252" t="s">
        <v>4550</v>
      </c>
      <c r="H606" s="252" t="s">
        <v>131</v>
      </c>
      <c r="I606" s="252" t="s">
        <v>4551</v>
      </c>
      <c r="J606" s="250" t="s">
        <v>4552</v>
      </c>
      <c r="K606" s="255" t="s">
        <v>991</v>
      </c>
      <c r="L606" s="250" t="s">
        <v>1016</v>
      </c>
      <c r="M606" s="277" t="s">
        <v>1211</v>
      </c>
      <c r="N606" s="278">
        <v>44320</v>
      </c>
      <c r="O606" s="329" t="s">
        <v>67</v>
      </c>
      <c r="P606" s="330">
        <f t="shared" ref="P606:Q606" si="602">IF(B606=0,0,IF(YEAR(B606)=$Q$1,MONTH(B606)-$P$1+1,(YEAR(B606)-$Q$1)*12-$P$1+1+MONTH(B606)))</f>
        <v>5</v>
      </c>
      <c r="Q606" s="330">
        <f t="shared" si="602"/>
        <v>4</v>
      </c>
      <c r="R606" s="331" t="str">
        <f t="shared" si="1"/>
        <v>Gastos_Gerais</v>
      </c>
      <c r="S606" s="331" t="str">
        <f>IF(D606="","",IF(OR(D606=Plano!$A$1,D606=Plano!$B$1),"entrada","saída"))</f>
        <v>saída</v>
      </c>
      <c r="T606" s="332" t="s">
        <v>1059</v>
      </c>
      <c r="U606" s="332">
        <v>1495</v>
      </c>
      <c r="V606" s="333"/>
    </row>
    <row r="607" spans="1:22" ht="177" customHeight="1" x14ac:dyDescent="0.2">
      <c r="A607" s="277">
        <f>IF(B607="","",COUNT('Diário 5º PA'!$A$5:$A$2634)+ROW()-4)</f>
        <v>1914</v>
      </c>
      <c r="B607" s="278">
        <v>44326</v>
      </c>
      <c r="C607" s="259">
        <v>44287</v>
      </c>
      <c r="D607" s="252" t="s">
        <v>99</v>
      </c>
      <c r="E607" s="252" t="s">
        <v>364</v>
      </c>
      <c r="F607" s="257">
        <v>4600</v>
      </c>
      <c r="G607" s="252" t="s">
        <v>4553</v>
      </c>
      <c r="H607" s="252" t="s">
        <v>125</v>
      </c>
      <c r="I607" s="252" t="s">
        <v>1051</v>
      </c>
      <c r="J607" s="250" t="s">
        <v>711</v>
      </c>
      <c r="K607" s="255" t="s">
        <v>991</v>
      </c>
      <c r="L607" s="250" t="s">
        <v>1016</v>
      </c>
      <c r="M607" s="277" t="s">
        <v>1407</v>
      </c>
      <c r="N607" s="278">
        <v>44323</v>
      </c>
      <c r="O607" s="329" t="s">
        <v>67</v>
      </c>
      <c r="P607" s="330">
        <f t="shared" ref="P607:Q607" si="603">IF(B607=0,0,IF(YEAR(B607)=$Q$1,MONTH(B607)-$P$1+1,(YEAR(B607)-$Q$1)*12-$P$1+1+MONTH(B607)))</f>
        <v>5</v>
      </c>
      <c r="Q607" s="330">
        <f t="shared" si="603"/>
        <v>4</v>
      </c>
      <c r="R607" s="331" t="str">
        <f t="shared" si="1"/>
        <v>Gastos_Gerais</v>
      </c>
      <c r="S607" s="331" t="str">
        <f>IF(D607="","",IF(OR(D607=Plano!$A$1,D607=Plano!$B$1),"entrada","saída"))</f>
        <v>saída</v>
      </c>
      <c r="T607" s="332" t="s">
        <v>1059</v>
      </c>
      <c r="U607" s="332">
        <v>1517</v>
      </c>
      <c r="V607" s="333"/>
    </row>
    <row r="608" spans="1:22" ht="230.25" customHeight="1" x14ac:dyDescent="0.2">
      <c r="A608" s="277">
        <f>IF(B608="","",COUNT('Diário 5º PA'!$A$5:$A$2634)+ROW()-4)</f>
        <v>1915</v>
      </c>
      <c r="B608" s="278">
        <v>44326</v>
      </c>
      <c r="C608" s="259">
        <v>44256</v>
      </c>
      <c r="D608" s="252" t="s">
        <v>99</v>
      </c>
      <c r="E608" s="252" t="s">
        <v>248</v>
      </c>
      <c r="F608" s="257">
        <v>8852.24</v>
      </c>
      <c r="G608" s="252" t="s">
        <v>4554</v>
      </c>
      <c r="H608" s="252" t="s">
        <v>129</v>
      </c>
      <c r="I608" s="252" t="s">
        <v>4555</v>
      </c>
      <c r="J608" s="250" t="s">
        <v>4556</v>
      </c>
      <c r="K608" s="255" t="s">
        <v>991</v>
      </c>
      <c r="L608" s="250" t="s">
        <v>992</v>
      </c>
      <c r="M608" s="277">
        <v>108</v>
      </c>
      <c r="N608" s="278">
        <v>44322</v>
      </c>
      <c r="O608" s="329" t="s">
        <v>67</v>
      </c>
      <c r="P608" s="330">
        <f t="shared" ref="P608:Q608" si="604">IF(B608=0,0,IF(YEAR(B608)=$Q$1,MONTH(B608)-$P$1+1,(YEAR(B608)-$Q$1)*12-$P$1+1+MONTH(B608)))</f>
        <v>5</v>
      </c>
      <c r="Q608" s="330">
        <f t="shared" si="604"/>
        <v>3</v>
      </c>
      <c r="R608" s="331" t="str">
        <f t="shared" si="1"/>
        <v>Gastos_Gerais</v>
      </c>
      <c r="S608" s="331" t="str">
        <f>IF(D608="","",IF(OR(D608=Plano!$A$1,D608=Plano!$B$1),"entrada","saída"))</f>
        <v>saída</v>
      </c>
      <c r="T608" s="332" t="s">
        <v>994</v>
      </c>
      <c r="U608" s="332">
        <v>1440</v>
      </c>
      <c r="V608" s="333"/>
    </row>
    <row r="609" spans="1:22" ht="47.25" customHeight="1" x14ac:dyDescent="0.2">
      <c r="A609" s="277">
        <f>IF(B609="","",COUNT('Diário 5º PA'!$A$5:$A$2634)+ROW()-4)</f>
        <v>1916</v>
      </c>
      <c r="B609" s="278">
        <v>44326</v>
      </c>
      <c r="C609" s="249">
        <v>44317</v>
      </c>
      <c r="D609" s="255" t="s">
        <v>99</v>
      </c>
      <c r="E609" s="255" t="s">
        <v>272</v>
      </c>
      <c r="F609" s="258">
        <v>10.45</v>
      </c>
      <c r="G609" s="255" t="s">
        <v>4557</v>
      </c>
      <c r="H609" s="252" t="s">
        <v>131</v>
      </c>
      <c r="I609" s="250" t="s">
        <v>949</v>
      </c>
      <c r="J609" s="255" t="s">
        <v>950</v>
      </c>
      <c r="K609" s="255" t="s">
        <v>951</v>
      </c>
      <c r="L609" s="250" t="s">
        <v>947</v>
      </c>
      <c r="M609" s="336" t="s">
        <v>114</v>
      </c>
      <c r="N609" s="278">
        <v>44326</v>
      </c>
      <c r="O609" s="329" t="s">
        <v>67</v>
      </c>
      <c r="P609" s="330">
        <f t="shared" ref="P609:Q609" si="605">IF(B609=0,0,IF(YEAR(B609)=$Q$1,MONTH(B609)-$P$1+1,(YEAR(B609)-$Q$1)*12-$P$1+1+MONTH(B609)))</f>
        <v>5</v>
      </c>
      <c r="Q609" s="330">
        <f t="shared" si="605"/>
        <v>5</v>
      </c>
      <c r="R609" s="331" t="str">
        <f t="shared" si="1"/>
        <v>Gastos_Gerais</v>
      </c>
      <c r="S609" s="331" t="str">
        <f>IF(D609="","",IF(OR(D609=Plano!$A$1,D609=Plano!$B$1),"entrada","saída"))</f>
        <v>saída</v>
      </c>
      <c r="T609" s="332" t="s">
        <v>114</v>
      </c>
      <c r="U609" s="332" t="s">
        <v>114</v>
      </c>
      <c r="V609" s="333"/>
    </row>
    <row r="610" spans="1:22" ht="46.5" customHeight="1" x14ac:dyDescent="0.2">
      <c r="A610" s="277">
        <f>IF(B610="","",COUNT('Diário 5º PA'!$A$5:$A$2634)+ROW()-4)</f>
        <v>1917</v>
      </c>
      <c r="B610" s="278">
        <v>44326</v>
      </c>
      <c r="C610" s="249">
        <v>44317</v>
      </c>
      <c r="D610" s="255" t="s">
        <v>99</v>
      </c>
      <c r="E610" s="255" t="s">
        <v>272</v>
      </c>
      <c r="F610" s="258">
        <v>10.45</v>
      </c>
      <c r="G610" s="255" t="s">
        <v>4558</v>
      </c>
      <c r="H610" s="252" t="s">
        <v>125</v>
      </c>
      <c r="I610" s="250" t="s">
        <v>949</v>
      </c>
      <c r="J610" s="255" t="s">
        <v>950</v>
      </c>
      <c r="K610" s="255" t="s">
        <v>951</v>
      </c>
      <c r="L610" s="250" t="s">
        <v>947</v>
      </c>
      <c r="M610" s="336" t="s">
        <v>114</v>
      </c>
      <c r="N610" s="278">
        <v>44326</v>
      </c>
      <c r="O610" s="329" t="s">
        <v>67</v>
      </c>
      <c r="P610" s="330">
        <f t="shared" ref="P610:Q610" si="606">IF(B610=0,0,IF(YEAR(B610)=$Q$1,MONTH(B610)-$P$1+1,(YEAR(B610)-$Q$1)*12-$P$1+1+MONTH(B610)))</f>
        <v>5</v>
      </c>
      <c r="Q610" s="330">
        <f t="shared" si="606"/>
        <v>5</v>
      </c>
      <c r="R610" s="331" t="str">
        <f t="shared" si="1"/>
        <v>Gastos_Gerais</v>
      </c>
      <c r="S610" s="331" t="str">
        <f>IF(D610="","",IF(OR(D610=Plano!$A$1,D610=Plano!$B$1),"entrada","saída"))</f>
        <v>saída</v>
      </c>
      <c r="T610" s="332" t="s">
        <v>114</v>
      </c>
      <c r="U610" s="332" t="s">
        <v>114</v>
      </c>
      <c r="V610" s="333"/>
    </row>
    <row r="611" spans="1:22" ht="52.5" customHeight="1" x14ac:dyDescent="0.2">
      <c r="A611" s="277">
        <f>IF(B611="","",COUNT('Diário 5º PA'!$A$5:$A$2634)+ROW()-4)</f>
        <v>1918</v>
      </c>
      <c r="B611" s="278">
        <v>44326</v>
      </c>
      <c r="C611" s="249">
        <v>44317</v>
      </c>
      <c r="D611" s="255" t="s">
        <v>99</v>
      </c>
      <c r="E611" s="255" t="s">
        <v>272</v>
      </c>
      <c r="F611" s="258">
        <v>10.45</v>
      </c>
      <c r="G611" s="255" t="s">
        <v>4559</v>
      </c>
      <c r="H611" s="252" t="s">
        <v>129</v>
      </c>
      <c r="I611" s="250" t="s">
        <v>949</v>
      </c>
      <c r="J611" s="255" t="s">
        <v>950</v>
      </c>
      <c r="K611" s="255" t="s">
        <v>951</v>
      </c>
      <c r="L611" s="250" t="s">
        <v>947</v>
      </c>
      <c r="M611" s="336" t="s">
        <v>114</v>
      </c>
      <c r="N611" s="278">
        <v>44326</v>
      </c>
      <c r="O611" s="329" t="s">
        <v>67</v>
      </c>
      <c r="P611" s="330">
        <f t="shared" ref="P611:Q611" si="607">IF(B611=0,0,IF(YEAR(B611)=$Q$1,MONTH(B611)-$P$1+1,(YEAR(B611)-$Q$1)*12-$P$1+1+MONTH(B611)))</f>
        <v>5</v>
      </c>
      <c r="Q611" s="330">
        <f t="shared" si="607"/>
        <v>5</v>
      </c>
      <c r="R611" s="331" t="str">
        <f t="shared" si="1"/>
        <v>Gastos_Gerais</v>
      </c>
      <c r="S611" s="331" t="str">
        <f>IF(D611="","",IF(OR(D611=Plano!$A$1,D611=Plano!$B$1),"entrada","saída"))</f>
        <v>saída</v>
      </c>
      <c r="T611" s="332" t="s">
        <v>114</v>
      </c>
      <c r="U611" s="332" t="s">
        <v>114</v>
      </c>
      <c r="V611" s="333"/>
    </row>
    <row r="612" spans="1:22" ht="59.25" customHeight="1" x14ac:dyDescent="0.2">
      <c r="A612" s="277">
        <f>IF(B612="","",COUNT('Diário 5º PA'!$A$5:$A$2634)+ROW()-4)</f>
        <v>1919</v>
      </c>
      <c r="B612" s="278">
        <v>44327</v>
      </c>
      <c r="C612" s="259">
        <v>44197</v>
      </c>
      <c r="D612" s="252" t="s">
        <v>99</v>
      </c>
      <c r="E612" s="252" t="s">
        <v>336</v>
      </c>
      <c r="F612" s="257">
        <v>-0.18</v>
      </c>
      <c r="G612" s="252" t="s">
        <v>4560</v>
      </c>
      <c r="H612" s="252" t="s">
        <v>132</v>
      </c>
      <c r="I612" s="250" t="s">
        <v>983</v>
      </c>
      <c r="J612" s="255" t="s">
        <v>850</v>
      </c>
      <c r="K612" s="255" t="s">
        <v>946</v>
      </c>
      <c r="L612" s="250" t="s">
        <v>947</v>
      </c>
      <c r="M612" s="277" t="s">
        <v>114</v>
      </c>
      <c r="N612" s="278">
        <v>44327</v>
      </c>
      <c r="O612" s="329" t="s">
        <v>67</v>
      </c>
      <c r="P612" s="330">
        <f t="shared" ref="P612:Q612" si="608">IF(B612=0,0,IF(YEAR(B612)=$Q$1,MONTH(B612)-$P$1+1,(YEAR(B612)-$Q$1)*12-$P$1+1+MONTH(B612)))</f>
        <v>5</v>
      </c>
      <c r="Q612" s="330">
        <f t="shared" si="608"/>
        <v>1</v>
      </c>
      <c r="R612" s="331" t="str">
        <f t="shared" si="1"/>
        <v>Gastos_Gerais</v>
      </c>
      <c r="S612" s="331" t="str">
        <f>IF(D612="","",IF(OR(D612=Plano!$A$1,D612=Plano!$B$1),"entrada","saída"))</f>
        <v>saída</v>
      </c>
      <c r="T612" s="332" t="s">
        <v>114</v>
      </c>
      <c r="U612" s="332" t="s">
        <v>114</v>
      </c>
      <c r="V612" s="333"/>
    </row>
    <row r="613" spans="1:22" ht="192" customHeight="1" x14ac:dyDescent="0.2">
      <c r="A613" s="277">
        <f>IF(B613="","",COUNT('Diário 5º PA'!$A$5:$A$2634)+ROW()-4)</f>
        <v>1920</v>
      </c>
      <c r="B613" s="278">
        <v>44327</v>
      </c>
      <c r="C613" s="259">
        <v>44317</v>
      </c>
      <c r="D613" s="252" t="s">
        <v>99</v>
      </c>
      <c r="E613" s="252" t="s">
        <v>262</v>
      </c>
      <c r="F613" s="257">
        <v>3000</v>
      </c>
      <c r="G613" s="252" t="s">
        <v>474</v>
      </c>
      <c r="H613" s="252" t="s">
        <v>129</v>
      </c>
      <c r="I613" s="252" t="s">
        <v>1257</v>
      </c>
      <c r="J613" s="250" t="s">
        <v>476</v>
      </c>
      <c r="K613" s="255" t="s">
        <v>1015</v>
      </c>
      <c r="L613" s="250" t="s">
        <v>1016</v>
      </c>
      <c r="M613" s="277" t="s">
        <v>1058</v>
      </c>
      <c r="N613" s="278">
        <v>44327</v>
      </c>
      <c r="O613" s="329" t="s">
        <v>67</v>
      </c>
      <c r="P613" s="330">
        <f t="shared" ref="P613:Q613" si="609">IF(B613=0,0,IF(YEAR(B613)=$Q$1,MONTH(B613)-$P$1+1,(YEAR(B613)-$Q$1)*12-$P$1+1+MONTH(B613)))</f>
        <v>5</v>
      </c>
      <c r="Q613" s="330">
        <f t="shared" si="609"/>
        <v>5</v>
      </c>
      <c r="R613" s="331" t="str">
        <f t="shared" si="1"/>
        <v>Gastos_Gerais</v>
      </c>
      <c r="S613" s="331" t="str">
        <f>IF(D613="","",IF(OR(D613=Plano!$A$1,D613=Plano!$B$1),"entrada","saída"))</f>
        <v>saída</v>
      </c>
      <c r="T613" s="332" t="s">
        <v>1059</v>
      </c>
      <c r="U613" s="332">
        <v>1273</v>
      </c>
      <c r="V613" s="333"/>
    </row>
    <row r="614" spans="1:22" ht="216" customHeight="1" x14ac:dyDescent="0.2">
      <c r="A614" s="277">
        <f>IF(B614="","",COUNT('Diário 5º PA'!$A$5:$A$2634)+ROW()-4)</f>
        <v>1921</v>
      </c>
      <c r="B614" s="278">
        <v>44327</v>
      </c>
      <c r="C614" s="259">
        <v>44287</v>
      </c>
      <c r="D614" s="252" t="s">
        <v>99</v>
      </c>
      <c r="E614" s="252" t="s">
        <v>364</v>
      </c>
      <c r="F614" s="257">
        <v>336</v>
      </c>
      <c r="G614" s="252" t="s">
        <v>4561</v>
      </c>
      <c r="H614" s="252" t="s">
        <v>124</v>
      </c>
      <c r="I614" s="252" t="s">
        <v>4562</v>
      </c>
      <c r="J614" s="250" t="s">
        <v>4563</v>
      </c>
      <c r="K614" s="255" t="s">
        <v>991</v>
      </c>
      <c r="L614" s="250" t="s">
        <v>1029</v>
      </c>
      <c r="M614" s="277">
        <v>1157</v>
      </c>
      <c r="N614" s="278">
        <v>44321</v>
      </c>
      <c r="O614" s="329" t="s">
        <v>67</v>
      </c>
      <c r="P614" s="330">
        <f t="shared" ref="P614:Q614" si="610">IF(B614=0,0,IF(YEAR(B614)=$Q$1,MONTH(B614)-$P$1+1,(YEAR(B614)-$Q$1)*12-$P$1+1+MONTH(B614)))</f>
        <v>5</v>
      </c>
      <c r="Q614" s="330">
        <f t="shared" si="610"/>
        <v>4</v>
      </c>
      <c r="R614" s="331" t="str">
        <f t="shared" si="1"/>
        <v>Gastos_Gerais</v>
      </c>
      <c r="S614" s="331" t="str">
        <f>IF(D614="","",IF(OR(D614=Plano!$A$1,D614=Plano!$B$1),"entrada","saída"))</f>
        <v>saída</v>
      </c>
      <c r="T614" s="332" t="s">
        <v>994</v>
      </c>
      <c r="U614" s="332">
        <v>1550</v>
      </c>
      <c r="V614" s="333"/>
    </row>
    <row r="615" spans="1:22" ht="183.75" customHeight="1" x14ac:dyDescent="0.2">
      <c r="A615" s="277">
        <f>IF(B615="","",COUNT('Diário 5º PA'!$A$5:$A$2634)+ROW()-4)</f>
        <v>1922</v>
      </c>
      <c r="B615" s="278">
        <v>44327</v>
      </c>
      <c r="C615" s="259">
        <v>44256</v>
      </c>
      <c r="D615" s="252" t="s">
        <v>99</v>
      </c>
      <c r="E615" s="252" t="s">
        <v>336</v>
      </c>
      <c r="F615" s="257">
        <v>1700</v>
      </c>
      <c r="G615" s="252" t="s">
        <v>4564</v>
      </c>
      <c r="H615" s="252" t="s">
        <v>116</v>
      </c>
      <c r="I615" s="252" t="s">
        <v>1043</v>
      </c>
      <c r="J615" s="250" t="s">
        <v>1044</v>
      </c>
      <c r="K615" s="255" t="s">
        <v>991</v>
      </c>
      <c r="L615" s="250" t="s">
        <v>1016</v>
      </c>
      <c r="M615" s="277" t="s">
        <v>1407</v>
      </c>
      <c r="N615" s="278">
        <v>44327</v>
      </c>
      <c r="O615" s="329" t="s">
        <v>67</v>
      </c>
      <c r="P615" s="330">
        <f t="shared" ref="P615:Q615" si="611">IF(B615=0,0,IF(YEAR(B615)=$Q$1,MONTH(B615)-$P$1+1,(YEAR(B615)-$Q$1)*12-$P$1+1+MONTH(B615)))</f>
        <v>5</v>
      </c>
      <c r="Q615" s="330">
        <f t="shared" si="611"/>
        <v>3</v>
      </c>
      <c r="R615" s="331" t="str">
        <f t="shared" si="1"/>
        <v>Gastos_Gerais</v>
      </c>
      <c r="S615" s="331" t="str">
        <f>IF(D615="","",IF(OR(D615=Plano!$A$1,D615=Plano!$B$1),"entrada","saída"))</f>
        <v>saída</v>
      </c>
      <c r="T615" s="332" t="s">
        <v>994</v>
      </c>
      <c r="U615" s="332">
        <v>1464</v>
      </c>
      <c r="V615" s="333"/>
    </row>
    <row r="616" spans="1:22" ht="233.25" customHeight="1" x14ac:dyDescent="0.2">
      <c r="A616" s="277">
        <f>IF(B616="","",COUNT('Diário 5º PA'!$A$5:$A$2634)+ROW()-4)</f>
        <v>1923</v>
      </c>
      <c r="B616" s="278">
        <v>44327</v>
      </c>
      <c r="C616" s="259">
        <v>44287</v>
      </c>
      <c r="D616" s="252" t="s">
        <v>99</v>
      </c>
      <c r="E616" s="252" t="s">
        <v>262</v>
      </c>
      <c r="F616" s="257">
        <v>2000</v>
      </c>
      <c r="G616" s="252" t="s">
        <v>462</v>
      </c>
      <c r="H616" s="252" t="s">
        <v>125</v>
      </c>
      <c r="I616" s="252" t="s">
        <v>1331</v>
      </c>
      <c r="J616" s="250" t="s">
        <v>464</v>
      </c>
      <c r="K616" s="255" t="s">
        <v>991</v>
      </c>
      <c r="L616" s="250" t="s">
        <v>1016</v>
      </c>
      <c r="M616" s="277" t="s">
        <v>1294</v>
      </c>
      <c r="N616" s="278">
        <v>44326</v>
      </c>
      <c r="O616" s="329" t="s">
        <v>67</v>
      </c>
      <c r="P616" s="330">
        <f t="shared" ref="P616:Q616" si="612">IF(B616=0,0,IF(YEAR(B616)=$Q$1,MONTH(B616)-$P$1+1,(YEAR(B616)-$Q$1)*12-$P$1+1+MONTH(B616)))</f>
        <v>5</v>
      </c>
      <c r="Q616" s="330">
        <f t="shared" si="612"/>
        <v>4</v>
      </c>
      <c r="R616" s="331" t="str">
        <f t="shared" si="1"/>
        <v>Gastos_Gerais</v>
      </c>
      <c r="S616" s="331" t="str">
        <f>IF(D616="","",IF(OR(D616=Plano!$A$1,D616=Plano!$B$1),"entrada","saída"))</f>
        <v>saída</v>
      </c>
      <c r="T616" s="332" t="s">
        <v>1059</v>
      </c>
      <c r="U616" s="332">
        <v>1267</v>
      </c>
      <c r="V616" s="333"/>
    </row>
    <row r="617" spans="1:22" ht="36" customHeight="1" x14ac:dyDescent="0.2">
      <c r="A617" s="277">
        <f>IF(B617="","",COUNT('Diário 5º PA'!$A$5:$A$2634)+ROW()-4)</f>
        <v>1924</v>
      </c>
      <c r="B617" s="278">
        <v>44327</v>
      </c>
      <c r="C617" s="259">
        <v>44197</v>
      </c>
      <c r="D617" s="252" t="s">
        <v>99</v>
      </c>
      <c r="E617" s="252" t="s">
        <v>336</v>
      </c>
      <c r="F617" s="257">
        <v>9</v>
      </c>
      <c r="G617" s="252" t="s">
        <v>4565</v>
      </c>
      <c r="H617" s="252" t="s">
        <v>132</v>
      </c>
      <c r="I617" s="250" t="s">
        <v>465</v>
      </c>
      <c r="J617" s="250" t="s">
        <v>114</v>
      </c>
      <c r="K617" s="250" t="s">
        <v>466</v>
      </c>
      <c r="L617" s="250" t="s">
        <v>467</v>
      </c>
      <c r="M617" s="277">
        <v>2576</v>
      </c>
      <c r="N617" s="278">
        <v>44327</v>
      </c>
      <c r="O617" s="329" t="s">
        <v>67</v>
      </c>
      <c r="P617" s="330">
        <f t="shared" ref="P617:Q617" si="613">IF(B617=0,0,IF(YEAR(B617)=$Q$1,MONTH(B617)-$P$1+1,(YEAR(B617)-$Q$1)*12-$P$1+1+MONTH(B617)))</f>
        <v>5</v>
      </c>
      <c r="Q617" s="330">
        <f t="shared" si="613"/>
        <v>1</v>
      </c>
      <c r="R617" s="331" t="str">
        <f t="shared" si="1"/>
        <v>Gastos_Gerais</v>
      </c>
      <c r="S617" s="331" t="str">
        <f>IF(D617="","",IF(OR(D617=Plano!$A$1,D617=Plano!$B$1),"entrada","saída"))</f>
        <v>saída</v>
      </c>
      <c r="T617" s="332" t="s">
        <v>114</v>
      </c>
      <c r="U617" s="332" t="s">
        <v>114</v>
      </c>
      <c r="V617" s="333"/>
    </row>
    <row r="618" spans="1:22" ht="52.5" customHeight="1" x14ac:dyDescent="0.2">
      <c r="A618" s="277">
        <f>IF(B618="","",COUNT('Diário 5º PA'!$A$5:$A$2634)+ROW()-4)</f>
        <v>1925</v>
      </c>
      <c r="B618" s="278">
        <v>44327</v>
      </c>
      <c r="C618" s="249">
        <v>44317</v>
      </c>
      <c r="D618" s="255" t="s">
        <v>99</v>
      </c>
      <c r="E618" s="255" t="s">
        <v>272</v>
      </c>
      <c r="F618" s="258">
        <v>10.45</v>
      </c>
      <c r="G618" s="255" t="s">
        <v>4566</v>
      </c>
      <c r="H618" s="252" t="s">
        <v>124</v>
      </c>
      <c r="I618" s="250" t="s">
        <v>949</v>
      </c>
      <c r="J618" s="255" t="s">
        <v>950</v>
      </c>
      <c r="K618" s="255" t="s">
        <v>951</v>
      </c>
      <c r="L618" s="250" t="s">
        <v>947</v>
      </c>
      <c r="M618" s="336" t="s">
        <v>114</v>
      </c>
      <c r="N618" s="278">
        <v>44327</v>
      </c>
      <c r="O618" s="329" t="s">
        <v>67</v>
      </c>
      <c r="P618" s="330">
        <f t="shared" ref="P618:Q618" si="614">IF(B618=0,0,IF(YEAR(B618)=$Q$1,MONTH(B618)-$P$1+1,(YEAR(B618)-$Q$1)*12-$P$1+1+MONTH(B618)))</f>
        <v>5</v>
      </c>
      <c r="Q618" s="330">
        <f t="shared" si="614"/>
        <v>5</v>
      </c>
      <c r="R618" s="331" t="str">
        <f t="shared" si="1"/>
        <v>Gastos_Gerais</v>
      </c>
      <c r="S618" s="331" t="str">
        <f>IF(D618="","",IF(OR(D618=Plano!$A$1,D618=Plano!$B$1),"entrada","saída"))</f>
        <v>saída</v>
      </c>
      <c r="T618" s="332" t="s">
        <v>114</v>
      </c>
      <c r="U618" s="332" t="s">
        <v>114</v>
      </c>
      <c r="V618" s="333"/>
    </row>
    <row r="619" spans="1:22" ht="57.75" customHeight="1" x14ac:dyDescent="0.2">
      <c r="A619" s="277">
        <f>IF(B619="","",COUNT('Diário 5º PA'!$A$5:$A$2634)+ROW()-4)</f>
        <v>1926</v>
      </c>
      <c r="B619" s="278">
        <v>44327</v>
      </c>
      <c r="C619" s="249">
        <v>44317</v>
      </c>
      <c r="D619" s="255" t="s">
        <v>99</v>
      </c>
      <c r="E619" s="255" t="s">
        <v>272</v>
      </c>
      <c r="F619" s="258">
        <v>10.45</v>
      </c>
      <c r="G619" s="255" t="s">
        <v>4567</v>
      </c>
      <c r="H619" s="252" t="s">
        <v>116</v>
      </c>
      <c r="I619" s="250" t="s">
        <v>949</v>
      </c>
      <c r="J619" s="255" t="s">
        <v>950</v>
      </c>
      <c r="K619" s="255" t="s">
        <v>951</v>
      </c>
      <c r="L619" s="250" t="s">
        <v>947</v>
      </c>
      <c r="M619" s="336" t="s">
        <v>114</v>
      </c>
      <c r="N619" s="278">
        <v>44327</v>
      </c>
      <c r="O619" s="329" t="s">
        <v>67</v>
      </c>
      <c r="P619" s="330">
        <f t="shared" ref="P619:Q619" si="615">IF(B619=0,0,IF(YEAR(B619)=$Q$1,MONTH(B619)-$P$1+1,(YEAR(B619)-$Q$1)*12-$P$1+1+MONTH(B619)))</f>
        <v>5</v>
      </c>
      <c r="Q619" s="330">
        <f t="shared" si="615"/>
        <v>5</v>
      </c>
      <c r="R619" s="331" t="str">
        <f t="shared" si="1"/>
        <v>Gastos_Gerais</v>
      </c>
      <c r="S619" s="331" t="str">
        <f>IF(D619="","",IF(OR(D619=Plano!$A$1,D619=Plano!$B$1),"entrada","saída"))</f>
        <v>saída</v>
      </c>
      <c r="T619" s="332" t="s">
        <v>114</v>
      </c>
      <c r="U619" s="332" t="s">
        <v>114</v>
      </c>
      <c r="V619" s="333"/>
    </row>
    <row r="620" spans="1:22" ht="52.5" customHeight="1" x14ac:dyDescent="0.2">
      <c r="A620" s="277">
        <f>IF(B620="","",COUNT('Diário 5º PA'!$A$5:$A$2634)+ROW()-4)</f>
        <v>1927</v>
      </c>
      <c r="B620" s="278">
        <v>44327</v>
      </c>
      <c r="C620" s="249">
        <v>44317</v>
      </c>
      <c r="D620" s="255" t="s">
        <v>99</v>
      </c>
      <c r="E620" s="255" t="s">
        <v>272</v>
      </c>
      <c r="F620" s="258">
        <v>10.45</v>
      </c>
      <c r="G620" s="255" t="s">
        <v>4568</v>
      </c>
      <c r="H620" s="252" t="s">
        <v>125</v>
      </c>
      <c r="I620" s="250" t="s">
        <v>949</v>
      </c>
      <c r="J620" s="255" t="s">
        <v>950</v>
      </c>
      <c r="K620" s="255" t="s">
        <v>951</v>
      </c>
      <c r="L620" s="250" t="s">
        <v>947</v>
      </c>
      <c r="M620" s="336" t="s">
        <v>114</v>
      </c>
      <c r="N620" s="278">
        <v>44327</v>
      </c>
      <c r="O620" s="329" t="s">
        <v>67</v>
      </c>
      <c r="P620" s="330">
        <f t="shared" ref="P620:Q620" si="616">IF(B620=0,0,IF(YEAR(B620)=$Q$1,MONTH(B620)-$P$1+1,(YEAR(B620)-$Q$1)*12-$P$1+1+MONTH(B620)))</f>
        <v>5</v>
      </c>
      <c r="Q620" s="330">
        <f t="shared" si="616"/>
        <v>5</v>
      </c>
      <c r="R620" s="331" t="str">
        <f t="shared" si="1"/>
        <v>Gastos_Gerais</v>
      </c>
      <c r="S620" s="331" t="str">
        <f>IF(D620="","",IF(OR(D620=Plano!$A$1,D620=Plano!$B$1),"entrada","saída"))</f>
        <v>saída</v>
      </c>
      <c r="T620" s="332" t="s">
        <v>114</v>
      </c>
      <c r="U620" s="332" t="s">
        <v>114</v>
      </c>
      <c r="V620" s="333"/>
    </row>
    <row r="621" spans="1:22" ht="135.75" customHeight="1" x14ac:dyDescent="0.2">
      <c r="A621" s="277">
        <f>IF(B621="","",COUNT('Diário 5º PA'!$A$5:$A$2634)+ROW()-4)</f>
        <v>1928</v>
      </c>
      <c r="B621" s="278">
        <v>44327</v>
      </c>
      <c r="C621" s="259">
        <v>44287</v>
      </c>
      <c r="D621" s="252" t="s">
        <v>104</v>
      </c>
      <c r="E621" s="252" t="s">
        <v>104</v>
      </c>
      <c r="F621" s="257">
        <v>2300</v>
      </c>
      <c r="G621" s="252" t="s">
        <v>4388</v>
      </c>
      <c r="H621" s="252" t="s">
        <v>104</v>
      </c>
      <c r="I621" s="252" t="s">
        <v>3718</v>
      </c>
      <c r="J621" s="250" t="s">
        <v>2662</v>
      </c>
      <c r="K621" s="255" t="s">
        <v>1015</v>
      </c>
      <c r="L621" s="250" t="s">
        <v>992</v>
      </c>
      <c r="M621" s="277" t="s">
        <v>1294</v>
      </c>
      <c r="N621" s="278">
        <v>44327</v>
      </c>
      <c r="O621" s="329" t="s">
        <v>68</v>
      </c>
      <c r="P621" s="330">
        <f t="shared" ref="P621:Q621" si="617">IF(B621=0,0,IF(YEAR(B621)=$Q$1,MONTH(B621)-$P$1+1,(YEAR(B621)-$Q$1)*12-$P$1+1+MONTH(B621)))</f>
        <v>5</v>
      </c>
      <c r="Q621" s="330">
        <f t="shared" si="617"/>
        <v>4</v>
      </c>
      <c r="R621" s="331" t="str">
        <f t="shared" si="1"/>
        <v>Gastos_custeados_por_captação</v>
      </c>
      <c r="S621" s="331" t="str">
        <f>IF(D621="","",IF(OR(D621=Plano!$A$1,D621=Plano!$B$1),"entrada","saída"))</f>
        <v>saída</v>
      </c>
      <c r="T621" s="332" t="s">
        <v>1059</v>
      </c>
      <c r="U621" s="332">
        <v>1422</v>
      </c>
      <c r="V621" s="333"/>
    </row>
    <row r="622" spans="1:22" ht="131.25" customHeight="1" x14ac:dyDescent="0.2">
      <c r="A622" s="277">
        <f>IF(B622="","",COUNT('Diário 5º PA'!$A$5:$A$2634)+ROW()-4)</f>
        <v>1929</v>
      </c>
      <c r="B622" s="278">
        <v>44327</v>
      </c>
      <c r="C622" s="259">
        <v>44287</v>
      </c>
      <c r="D622" s="252" t="s">
        <v>104</v>
      </c>
      <c r="E622" s="252" t="s">
        <v>104</v>
      </c>
      <c r="F622" s="257">
        <v>2300</v>
      </c>
      <c r="G622" s="252" t="s">
        <v>4388</v>
      </c>
      <c r="H622" s="252" t="s">
        <v>104</v>
      </c>
      <c r="I622" s="252" t="s">
        <v>2640</v>
      </c>
      <c r="J622" s="250" t="s">
        <v>2641</v>
      </c>
      <c r="K622" s="255" t="s">
        <v>1015</v>
      </c>
      <c r="L622" s="250" t="s">
        <v>992</v>
      </c>
      <c r="M622" s="277" t="s">
        <v>1540</v>
      </c>
      <c r="N622" s="278">
        <v>44326</v>
      </c>
      <c r="O622" s="329" t="s">
        <v>68</v>
      </c>
      <c r="P622" s="330">
        <f t="shared" ref="P622:Q622" si="618">IF(B622=0,0,IF(YEAR(B622)=$Q$1,MONTH(B622)-$P$1+1,(YEAR(B622)-$Q$1)*12-$P$1+1+MONTH(B622)))</f>
        <v>5</v>
      </c>
      <c r="Q622" s="330">
        <f t="shared" si="618"/>
        <v>4</v>
      </c>
      <c r="R622" s="331" t="str">
        <f t="shared" si="1"/>
        <v>Gastos_custeados_por_captação</v>
      </c>
      <c r="S622" s="331" t="str">
        <f>IF(D622="","",IF(OR(D622=Plano!$A$1,D622=Plano!$B$1),"entrada","saída"))</f>
        <v>saída</v>
      </c>
      <c r="T622" s="332" t="s">
        <v>1059</v>
      </c>
      <c r="U622" s="332">
        <v>1419</v>
      </c>
      <c r="V622" s="333"/>
    </row>
    <row r="623" spans="1:22" ht="131.25" customHeight="1" x14ac:dyDescent="0.2">
      <c r="A623" s="277">
        <f>IF(B623="","",COUNT('Diário 5º PA'!$A$5:$A$2634)+ROW()-4)</f>
        <v>1930</v>
      </c>
      <c r="B623" s="278">
        <v>44327</v>
      </c>
      <c r="C623" s="259">
        <v>44287</v>
      </c>
      <c r="D623" s="252" t="s">
        <v>104</v>
      </c>
      <c r="E623" s="252" t="s">
        <v>104</v>
      </c>
      <c r="F623" s="257">
        <v>336</v>
      </c>
      <c r="G623" s="252" t="s">
        <v>4569</v>
      </c>
      <c r="H623" s="252" t="s">
        <v>104</v>
      </c>
      <c r="I623" s="252" t="s">
        <v>4570</v>
      </c>
      <c r="J623" s="250" t="s">
        <v>4571</v>
      </c>
      <c r="K623" s="255" t="s">
        <v>1015</v>
      </c>
      <c r="L623" s="250" t="s">
        <v>1029</v>
      </c>
      <c r="M623" s="277">
        <v>1161</v>
      </c>
      <c r="N623" s="278">
        <v>44323</v>
      </c>
      <c r="O623" s="329" t="s">
        <v>70</v>
      </c>
      <c r="P623" s="330">
        <f t="shared" ref="P623:Q623" si="619">IF(B623=0,0,IF(YEAR(B623)=$Q$1,MONTH(B623)-$P$1+1,(YEAR(B623)-$Q$1)*12-$P$1+1+MONTH(B623)))</f>
        <v>5</v>
      </c>
      <c r="Q623" s="330">
        <f t="shared" si="619"/>
        <v>4</v>
      </c>
      <c r="R623" s="331" t="str">
        <f t="shared" si="1"/>
        <v>Gastos_custeados_por_captação</v>
      </c>
      <c r="S623" s="331" t="str">
        <f>IF(D623="","",IF(OR(D623=Plano!$A$1,D623=Plano!$B$1),"entrada","saída"))</f>
        <v>saída</v>
      </c>
      <c r="T623" s="332" t="s">
        <v>994</v>
      </c>
      <c r="U623" s="332">
        <v>1488</v>
      </c>
      <c r="V623" s="333"/>
    </row>
    <row r="624" spans="1:22" ht="54" customHeight="1" x14ac:dyDescent="0.2">
      <c r="A624" s="277">
        <f>IF(B624="","",COUNT('Diário 5º PA'!$A$5:$A$2634)+ROW()-4)</f>
        <v>1931</v>
      </c>
      <c r="B624" s="278">
        <v>44328</v>
      </c>
      <c r="C624" s="249">
        <v>44287</v>
      </c>
      <c r="D624" s="255" t="s">
        <v>99</v>
      </c>
      <c r="E624" s="255" t="s">
        <v>220</v>
      </c>
      <c r="F624" s="258">
        <v>-97.67</v>
      </c>
      <c r="G624" s="255" t="s">
        <v>4572</v>
      </c>
      <c r="H624" s="255" t="s">
        <v>115</v>
      </c>
      <c r="I624" s="250" t="s">
        <v>983</v>
      </c>
      <c r="J624" s="252" t="s">
        <v>850</v>
      </c>
      <c r="K624" s="255" t="s">
        <v>1069</v>
      </c>
      <c r="L624" s="250" t="s">
        <v>947</v>
      </c>
      <c r="M624" s="277" t="s">
        <v>114</v>
      </c>
      <c r="N624" s="278">
        <v>44328</v>
      </c>
      <c r="O624" s="329" t="s">
        <v>67</v>
      </c>
      <c r="P624" s="330">
        <f t="shared" ref="P624:Q624" si="620">IF(B624=0,0,IF(YEAR(B624)=$Q$1,MONTH(B624)-$P$1+1,(YEAR(B624)-$Q$1)*12-$P$1+1+MONTH(B624)))</f>
        <v>5</v>
      </c>
      <c r="Q624" s="330">
        <f t="shared" si="620"/>
        <v>4</v>
      </c>
      <c r="R624" s="331" t="str">
        <f t="shared" si="1"/>
        <v>Gastos_Gerais</v>
      </c>
      <c r="S624" s="331" t="str">
        <f>IF(D624="","",IF(OR(D624=Plano!$A$1,D624=Plano!$B$1),"entrada","saída"))</f>
        <v>saída</v>
      </c>
      <c r="T624" s="332" t="s">
        <v>114</v>
      </c>
      <c r="U624" s="332" t="s">
        <v>114</v>
      </c>
      <c r="V624" s="344"/>
    </row>
    <row r="625" spans="1:22" ht="141.75" customHeight="1" x14ac:dyDescent="0.2">
      <c r="A625" s="277">
        <f>IF(B625="","",COUNT('Diário 5º PA'!$A$5:$A$2634)+ROW()-4)</f>
        <v>1932</v>
      </c>
      <c r="B625" s="278">
        <v>44328</v>
      </c>
      <c r="C625" s="259">
        <v>44287</v>
      </c>
      <c r="D625" s="252" t="s">
        <v>99</v>
      </c>
      <c r="E625" s="252" t="s">
        <v>352</v>
      </c>
      <c r="F625" s="257">
        <v>2694.72</v>
      </c>
      <c r="G625" s="252" t="s">
        <v>579</v>
      </c>
      <c r="H625" s="252" t="s">
        <v>132</v>
      </c>
      <c r="I625" s="252" t="s">
        <v>1328</v>
      </c>
      <c r="J625" s="250" t="s">
        <v>581</v>
      </c>
      <c r="K625" s="255" t="s">
        <v>991</v>
      </c>
      <c r="L625" s="250" t="s">
        <v>1016</v>
      </c>
      <c r="M625" s="277" t="s">
        <v>1600</v>
      </c>
      <c r="N625" s="278">
        <v>44327</v>
      </c>
      <c r="O625" s="329" t="s">
        <v>67</v>
      </c>
      <c r="P625" s="330">
        <f t="shared" ref="P625:Q625" si="621">IF(B625=0,0,IF(YEAR(B625)=$Q$1,MONTH(B625)-$P$1+1,(YEAR(B625)-$Q$1)*12-$P$1+1+MONTH(B625)))</f>
        <v>5</v>
      </c>
      <c r="Q625" s="330">
        <f t="shared" si="621"/>
        <v>4</v>
      </c>
      <c r="R625" s="331" t="str">
        <f t="shared" si="1"/>
        <v>Gastos_Gerais</v>
      </c>
      <c r="S625" s="331" t="str">
        <f>IF(D625="","",IF(OR(D625=Plano!$A$1,D625=Plano!$B$1),"entrada","saída"))</f>
        <v>saída</v>
      </c>
      <c r="T625" s="332" t="s">
        <v>1059</v>
      </c>
      <c r="U625" s="332">
        <v>1338</v>
      </c>
      <c r="V625" s="344"/>
    </row>
    <row r="626" spans="1:22" ht="42.75" customHeight="1" x14ac:dyDescent="0.2">
      <c r="A626" s="277">
        <f>IF(B626="","",COUNT('Diário 5º PA'!$A$5:$A$2634)+ROW()-4)</f>
        <v>1933</v>
      </c>
      <c r="B626" s="278">
        <v>44328</v>
      </c>
      <c r="C626" s="249">
        <v>44287</v>
      </c>
      <c r="D626" s="255" t="s">
        <v>99</v>
      </c>
      <c r="E626" s="255" t="s">
        <v>220</v>
      </c>
      <c r="F626" s="258">
        <v>369.83</v>
      </c>
      <c r="G626" s="255" t="s">
        <v>4573</v>
      </c>
      <c r="H626" s="255" t="s">
        <v>115</v>
      </c>
      <c r="I626" s="252" t="s">
        <v>522</v>
      </c>
      <c r="J626" s="252" t="s">
        <v>523</v>
      </c>
      <c r="K626" s="255" t="s">
        <v>1375</v>
      </c>
      <c r="L626" s="250" t="s">
        <v>1016</v>
      </c>
      <c r="M626" s="277" t="s">
        <v>4574</v>
      </c>
      <c r="N626" s="278">
        <v>44305</v>
      </c>
      <c r="O626" s="329" t="s">
        <v>67</v>
      </c>
      <c r="P626" s="330">
        <f t="shared" ref="P626:Q626" si="622">IF(B626=0,0,IF(YEAR(B626)=$Q$1,MONTH(B626)-$P$1+1,(YEAR(B626)-$Q$1)*12-$P$1+1+MONTH(B626)))</f>
        <v>5</v>
      </c>
      <c r="Q626" s="330">
        <f t="shared" si="622"/>
        <v>4</v>
      </c>
      <c r="R626" s="331" t="str">
        <f t="shared" si="1"/>
        <v>Gastos_Gerais</v>
      </c>
      <c r="S626" s="331" t="str">
        <f>IF(D626="","",IF(OR(D626=Plano!$A$1,D626=Plano!$B$1),"entrada","saída"))</f>
        <v>saída</v>
      </c>
      <c r="T626" s="332" t="s">
        <v>114</v>
      </c>
      <c r="U626" s="332" t="s">
        <v>114</v>
      </c>
      <c r="V626" s="344"/>
    </row>
    <row r="627" spans="1:22" ht="138" customHeight="1" x14ac:dyDescent="0.2">
      <c r="A627" s="277">
        <f>IF(B627="","",COUNT('Diário 5º PA'!$A$5:$A$2634)+ROW()-4)</f>
        <v>1934</v>
      </c>
      <c r="B627" s="278">
        <v>44328</v>
      </c>
      <c r="C627" s="259">
        <v>44287</v>
      </c>
      <c r="D627" s="252" t="s">
        <v>99</v>
      </c>
      <c r="E627" s="252" t="s">
        <v>370</v>
      </c>
      <c r="F627" s="257">
        <v>5488</v>
      </c>
      <c r="G627" s="252" t="s">
        <v>4575</v>
      </c>
      <c r="H627" s="252" t="s">
        <v>125</v>
      </c>
      <c r="I627" s="252" t="s">
        <v>2105</v>
      </c>
      <c r="J627" s="250" t="s">
        <v>2106</v>
      </c>
      <c r="K627" s="255" t="s">
        <v>991</v>
      </c>
      <c r="L627" s="250" t="s">
        <v>1016</v>
      </c>
      <c r="M627" s="277">
        <v>230</v>
      </c>
      <c r="N627" s="278">
        <v>44327</v>
      </c>
      <c r="O627" s="329" t="s">
        <v>67</v>
      </c>
      <c r="P627" s="330">
        <f t="shared" ref="P627:Q627" si="623">IF(B627=0,0,IF(YEAR(B627)=$Q$1,MONTH(B627)-$P$1+1,(YEAR(B627)-$Q$1)*12-$P$1+1+MONTH(B627)))</f>
        <v>5</v>
      </c>
      <c r="Q627" s="330">
        <f t="shared" si="623"/>
        <v>4</v>
      </c>
      <c r="R627" s="331" t="str">
        <f t="shared" si="1"/>
        <v>Gastos_Gerais</v>
      </c>
      <c r="S627" s="331" t="str">
        <f>IF(D627="","",IF(OR(D627=Plano!$A$1,D627=Plano!$B$1),"entrada","saída"))</f>
        <v>saída</v>
      </c>
      <c r="T627" s="332" t="s">
        <v>1059</v>
      </c>
      <c r="U627" s="332">
        <v>1508</v>
      </c>
      <c r="V627" s="344"/>
    </row>
    <row r="628" spans="1:22" ht="120.75" customHeight="1" x14ac:dyDescent="0.2">
      <c r="A628" s="277">
        <f>IF(B628="","",COUNT('Diário 5º PA'!$A$5:$A$2634)+ROW()-4)</f>
        <v>1935</v>
      </c>
      <c r="B628" s="278">
        <v>44328</v>
      </c>
      <c r="C628" s="259">
        <v>44287</v>
      </c>
      <c r="D628" s="252" t="s">
        <v>99</v>
      </c>
      <c r="E628" s="252" t="s">
        <v>364</v>
      </c>
      <c r="F628" s="257">
        <v>800</v>
      </c>
      <c r="G628" s="252" t="s">
        <v>4576</v>
      </c>
      <c r="H628" s="252" t="s">
        <v>118</v>
      </c>
      <c r="I628" s="252" t="s">
        <v>4577</v>
      </c>
      <c r="J628" s="250" t="s">
        <v>716</v>
      </c>
      <c r="K628" s="255" t="s">
        <v>991</v>
      </c>
      <c r="L628" s="250" t="s">
        <v>1016</v>
      </c>
      <c r="M628" s="277" t="s">
        <v>1305</v>
      </c>
      <c r="N628" s="278">
        <v>44328</v>
      </c>
      <c r="O628" s="329" t="s">
        <v>67</v>
      </c>
      <c r="P628" s="330">
        <f t="shared" ref="P628:Q628" si="624">IF(B628=0,0,IF(YEAR(B628)=$Q$1,MONTH(B628)-$P$1+1,(YEAR(B628)-$Q$1)*12-$P$1+1+MONTH(B628)))</f>
        <v>5</v>
      </c>
      <c r="Q628" s="330">
        <f t="shared" si="624"/>
        <v>4</v>
      </c>
      <c r="R628" s="331" t="str">
        <f t="shared" si="1"/>
        <v>Gastos_Gerais</v>
      </c>
      <c r="S628" s="331" t="str">
        <f>IF(D628="","",IF(OR(D628=Plano!$A$1,D628=Plano!$B$1),"entrada","saída"))</f>
        <v>saída</v>
      </c>
      <c r="T628" s="332" t="s">
        <v>994</v>
      </c>
      <c r="U628" s="332">
        <v>1542</v>
      </c>
      <c r="V628" s="344"/>
    </row>
    <row r="629" spans="1:22" ht="51" customHeight="1" x14ac:dyDescent="0.2">
      <c r="A629" s="277">
        <f>IF(B629="","",COUNT('Diário 5º PA'!$A$5:$A$2634)+ROW()-4)</f>
        <v>1936</v>
      </c>
      <c r="B629" s="278">
        <v>44328</v>
      </c>
      <c r="C629" s="249">
        <v>44317</v>
      </c>
      <c r="D629" s="255" t="s">
        <v>99</v>
      </c>
      <c r="E629" s="255" t="s">
        <v>272</v>
      </c>
      <c r="F629" s="258">
        <v>10.45</v>
      </c>
      <c r="G629" s="255" t="s">
        <v>4578</v>
      </c>
      <c r="H629" s="252" t="s">
        <v>125</v>
      </c>
      <c r="I629" s="250" t="s">
        <v>949</v>
      </c>
      <c r="J629" s="255" t="s">
        <v>950</v>
      </c>
      <c r="K629" s="255" t="s">
        <v>951</v>
      </c>
      <c r="L629" s="250" t="s">
        <v>947</v>
      </c>
      <c r="M629" s="336" t="s">
        <v>114</v>
      </c>
      <c r="N629" s="278">
        <v>44328</v>
      </c>
      <c r="O629" s="329" t="s">
        <v>67</v>
      </c>
      <c r="P629" s="330">
        <f t="shared" ref="P629:Q629" si="625">IF(B629=0,0,IF(YEAR(B629)=$Q$1,MONTH(B629)-$P$1+1,(YEAR(B629)-$Q$1)*12-$P$1+1+MONTH(B629)))</f>
        <v>5</v>
      </c>
      <c r="Q629" s="330">
        <f t="shared" si="625"/>
        <v>5</v>
      </c>
      <c r="R629" s="331" t="str">
        <f t="shared" si="1"/>
        <v>Gastos_Gerais</v>
      </c>
      <c r="S629" s="331" t="str">
        <f>IF(D629="","",IF(OR(D629=Plano!$A$1,D629=Plano!$B$1),"entrada","saída"))</f>
        <v>saída</v>
      </c>
      <c r="T629" s="332" t="s">
        <v>114</v>
      </c>
      <c r="U629" s="332" t="s">
        <v>114</v>
      </c>
      <c r="V629" s="344"/>
    </row>
    <row r="630" spans="1:22" ht="51" customHeight="1" x14ac:dyDescent="0.2">
      <c r="A630" s="277">
        <f>IF(B630="","",COUNT('Diário 5º PA'!$A$5:$A$2634)+ROW()-4)</f>
        <v>1937</v>
      </c>
      <c r="B630" s="278">
        <v>44328</v>
      </c>
      <c r="C630" s="249">
        <v>44317</v>
      </c>
      <c r="D630" s="255" t="s">
        <v>99</v>
      </c>
      <c r="E630" s="255" t="s">
        <v>272</v>
      </c>
      <c r="F630" s="258">
        <v>10.45</v>
      </c>
      <c r="G630" s="255" t="s">
        <v>4579</v>
      </c>
      <c r="H630" s="252" t="s">
        <v>118</v>
      </c>
      <c r="I630" s="250" t="s">
        <v>949</v>
      </c>
      <c r="J630" s="255" t="s">
        <v>950</v>
      </c>
      <c r="K630" s="255" t="s">
        <v>951</v>
      </c>
      <c r="L630" s="250" t="s">
        <v>947</v>
      </c>
      <c r="M630" s="336" t="s">
        <v>114</v>
      </c>
      <c r="N630" s="278">
        <v>44328</v>
      </c>
      <c r="O630" s="329" t="s">
        <v>67</v>
      </c>
      <c r="P630" s="330">
        <f t="shared" ref="P630:Q630" si="626">IF(B630=0,0,IF(YEAR(B630)=$Q$1,MONTH(B630)-$P$1+1,(YEAR(B630)-$Q$1)*12-$P$1+1+MONTH(B630)))</f>
        <v>5</v>
      </c>
      <c r="Q630" s="330">
        <f t="shared" si="626"/>
        <v>5</v>
      </c>
      <c r="R630" s="331" t="str">
        <f t="shared" si="1"/>
        <v>Gastos_Gerais</v>
      </c>
      <c r="S630" s="331" t="str">
        <f>IF(D630="","",IF(OR(D630=Plano!$A$1,D630=Plano!$B$1),"entrada","saída"))</f>
        <v>saída</v>
      </c>
      <c r="T630" s="332" t="s">
        <v>114</v>
      </c>
      <c r="U630" s="332" t="s">
        <v>114</v>
      </c>
      <c r="V630" s="344"/>
    </row>
    <row r="631" spans="1:22" ht="129.75" customHeight="1" x14ac:dyDescent="0.2">
      <c r="A631" s="277">
        <f>IF(B631="","",COUNT('Diário 5º PA'!$A$5:$A$2634)+ROW()-4)</f>
        <v>1938</v>
      </c>
      <c r="B631" s="278">
        <v>44328</v>
      </c>
      <c r="C631" s="259">
        <v>44287</v>
      </c>
      <c r="D631" s="252" t="s">
        <v>104</v>
      </c>
      <c r="E631" s="252" t="s">
        <v>104</v>
      </c>
      <c r="F631" s="257">
        <v>2300</v>
      </c>
      <c r="G631" s="252" t="s">
        <v>4580</v>
      </c>
      <c r="H631" s="252" t="s">
        <v>104</v>
      </c>
      <c r="I631" s="252" t="s">
        <v>1043</v>
      </c>
      <c r="J631" s="250" t="s">
        <v>1044</v>
      </c>
      <c r="K631" s="255" t="s">
        <v>1015</v>
      </c>
      <c r="L631" s="250" t="s">
        <v>1016</v>
      </c>
      <c r="M631" s="277" t="s">
        <v>1394</v>
      </c>
      <c r="N631" s="278">
        <v>44327</v>
      </c>
      <c r="O631" s="329" t="s">
        <v>68</v>
      </c>
      <c r="P631" s="330">
        <f t="shared" ref="P631:Q631" si="627">IF(B631=0,0,IF(YEAR(B631)=$Q$1,MONTH(B631)-$P$1+1,(YEAR(B631)-$Q$1)*12-$P$1+1+MONTH(B631)))</f>
        <v>5</v>
      </c>
      <c r="Q631" s="330">
        <f t="shared" si="627"/>
        <v>4</v>
      </c>
      <c r="R631" s="331" t="str">
        <f t="shared" si="1"/>
        <v>Gastos_custeados_por_captação</v>
      </c>
      <c r="S631" s="331" t="str">
        <f>IF(D631="","",IF(OR(D631=Plano!$A$1,D631=Plano!$B$1),"entrada","saída"))</f>
        <v>saída</v>
      </c>
      <c r="T631" s="332" t="s">
        <v>1059</v>
      </c>
      <c r="U631" s="332">
        <v>1404</v>
      </c>
      <c r="V631" s="344"/>
    </row>
    <row r="632" spans="1:22" ht="103.5" customHeight="1" x14ac:dyDescent="0.2">
      <c r="A632" s="277">
        <f>IF(B632="","",COUNT('Diário 5º PA'!$A$5:$A$2634)+ROW()-4)</f>
        <v>1939</v>
      </c>
      <c r="B632" s="278">
        <v>44328</v>
      </c>
      <c r="C632" s="259">
        <v>44287</v>
      </c>
      <c r="D632" s="252" t="s">
        <v>104</v>
      </c>
      <c r="E632" s="252" t="s">
        <v>104</v>
      </c>
      <c r="F632" s="257">
        <v>3201</v>
      </c>
      <c r="G632" s="252" t="s">
        <v>4581</v>
      </c>
      <c r="H632" s="252" t="s">
        <v>104</v>
      </c>
      <c r="I632" s="252" t="s">
        <v>1267</v>
      </c>
      <c r="J632" s="250" t="s">
        <v>1264</v>
      </c>
      <c r="K632" s="255" t="s">
        <v>1015</v>
      </c>
      <c r="L632" s="250" t="s">
        <v>1016</v>
      </c>
      <c r="M632" s="277" t="s">
        <v>1309</v>
      </c>
      <c r="N632" s="278">
        <v>44328</v>
      </c>
      <c r="O632" s="329" t="s">
        <v>68</v>
      </c>
      <c r="P632" s="330">
        <f t="shared" ref="P632:Q632" si="628">IF(B632=0,0,IF(YEAR(B632)=$Q$1,MONTH(B632)-$P$1+1,(YEAR(B632)-$Q$1)*12-$P$1+1+MONTH(B632)))</f>
        <v>5</v>
      </c>
      <c r="Q632" s="330">
        <f t="shared" si="628"/>
        <v>4</v>
      </c>
      <c r="R632" s="331" t="str">
        <f t="shared" si="1"/>
        <v>Gastos_custeados_por_captação</v>
      </c>
      <c r="S632" s="331" t="str">
        <f>IF(D632="","",IF(OR(D632=Plano!$A$1,D632=Plano!$B$1),"entrada","saída"))</f>
        <v>saída</v>
      </c>
      <c r="T632" s="332" t="s">
        <v>1059</v>
      </c>
      <c r="U632" s="332">
        <v>1392</v>
      </c>
      <c r="V632" s="344"/>
    </row>
    <row r="633" spans="1:22" ht="112.5" customHeight="1" x14ac:dyDescent="0.2">
      <c r="A633" s="277">
        <f>IF(B633="","",COUNT('Diário 5º PA'!$A$5:$A$2634)+ROW()-4)</f>
        <v>1940</v>
      </c>
      <c r="B633" s="278">
        <v>44329</v>
      </c>
      <c r="C633" s="259">
        <v>44256</v>
      </c>
      <c r="D633" s="252" t="s">
        <v>99</v>
      </c>
      <c r="E633" s="252" t="s">
        <v>262</v>
      </c>
      <c r="F633" s="257">
        <v>1260</v>
      </c>
      <c r="G633" s="252" t="s">
        <v>4582</v>
      </c>
      <c r="H633" s="252" t="s">
        <v>128</v>
      </c>
      <c r="I633" s="252" t="s">
        <v>4583</v>
      </c>
      <c r="J633" s="250" t="s">
        <v>4584</v>
      </c>
      <c r="K633" s="255" t="s">
        <v>991</v>
      </c>
      <c r="L633" s="250" t="s">
        <v>1029</v>
      </c>
      <c r="M633" s="277">
        <v>1155</v>
      </c>
      <c r="N633" s="278">
        <v>44321</v>
      </c>
      <c r="O633" s="329" t="s">
        <v>67</v>
      </c>
      <c r="P633" s="330">
        <f t="shared" ref="P633:Q633" si="629">IF(B633=0,0,IF(YEAR(B633)=$Q$1,MONTH(B633)-$P$1+1,(YEAR(B633)-$Q$1)*12-$P$1+1+MONTH(B633)))</f>
        <v>5</v>
      </c>
      <c r="Q633" s="330">
        <f t="shared" si="629"/>
        <v>3</v>
      </c>
      <c r="R633" s="331" t="str">
        <f t="shared" si="1"/>
        <v>Gastos_Gerais</v>
      </c>
      <c r="S633" s="331" t="str">
        <f>IF(D633="","",IF(OR(D633=Plano!$A$1,D633=Plano!$B$1),"entrada","saída"))</f>
        <v>saída</v>
      </c>
      <c r="T633" s="332" t="s">
        <v>994</v>
      </c>
      <c r="U633" s="332">
        <v>1465</v>
      </c>
      <c r="V633" s="344"/>
    </row>
    <row r="634" spans="1:22" ht="60.75" customHeight="1" x14ac:dyDescent="0.2">
      <c r="A634" s="277">
        <f>IF(B634="","",COUNT('Diário 5º PA'!$A$5:$A$2634)+ROW()-4)</f>
        <v>1941</v>
      </c>
      <c r="B634" s="278">
        <v>44329</v>
      </c>
      <c r="C634" s="249">
        <v>44317</v>
      </c>
      <c r="D634" s="255" t="s">
        <v>99</v>
      </c>
      <c r="E634" s="255" t="s">
        <v>272</v>
      </c>
      <c r="F634" s="258">
        <v>10.45</v>
      </c>
      <c r="G634" s="255" t="s">
        <v>4585</v>
      </c>
      <c r="H634" s="252" t="s">
        <v>128</v>
      </c>
      <c r="I634" s="250" t="s">
        <v>949</v>
      </c>
      <c r="J634" s="255" t="s">
        <v>950</v>
      </c>
      <c r="K634" s="255" t="s">
        <v>951</v>
      </c>
      <c r="L634" s="250" t="s">
        <v>947</v>
      </c>
      <c r="M634" s="336" t="s">
        <v>114</v>
      </c>
      <c r="N634" s="278">
        <v>44329</v>
      </c>
      <c r="O634" s="329" t="s">
        <v>67</v>
      </c>
      <c r="P634" s="330">
        <f t="shared" ref="P634:Q634" si="630">IF(B634=0,0,IF(YEAR(B634)=$Q$1,MONTH(B634)-$P$1+1,(YEAR(B634)-$Q$1)*12-$P$1+1+MONTH(B634)))</f>
        <v>5</v>
      </c>
      <c r="Q634" s="330">
        <f t="shared" si="630"/>
        <v>5</v>
      </c>
      <c r="R634" s="331" t="str">
        <f t="shared" si="1"/>
        <v>Gastos_Gerais</v>
      </c>
      <c r="S634" s="331" t="str">
        <f>IF(D634="","",IF(OR(D634=Plano!$A$1,D634=Plano!$B$1),"entrada","saída"))</f>
        <v>saída</v>
      </c>
      <c r="T634" s="332" t="s">
        <v>114</v>
      </c>
      <c r="U634" s="332" t="s">
        <v>114</v>
      </c>
      <c r="V634" s="344"/>
    </row>
    <row r="635" spans="1:22" ht="149.25" customHeight="1" x14ac:dyDescent="0.2">
      <c r="A635" s="277">
        <f>IF(B635="","",COUNT('Diário 5º PA'!$A$5:$A$2634)+ROW()-4)</f>
        <v>1942</v>
      </c>
      <c r="B635" s="278">
        <v>44329</v>
      </c>
      <c r="C635" s="259">
        <v>44287</v>
      </c>
      <c r="D635" s="252" t="s">
        <v>104</v>
      </c>
      <c r="E635" s="252" t="s">
        <v>104</v>
      </c>
      <c r="F635" s="257">
        <v>2300</v>
      </c>
      <c r="G635" s="252" t="s">
        <v>4388</v>
      </c>
      <c r="H635" s="252" t="s">
        <v>104</v>
      </c>
      <c r="I635" s="252" t="s">
        <v>4210</v>
      </c>
      <c r="J635" s="250" t="s">
        <v>2923</v>
      </c>
      <c r="K635" s="255" t="s">
        <v>1015</v>
      </c>
      <c r="L635" s="250" t="s">
        <v>992</v>
      </c>
      <c r="M635" s="277" t="s">
        <v>1540</v>
      </c>
      <c r="N635" s="278">
        <v>44328</v>
      </c>
      <c r="O635" s="329" t="s">
        <v>68</v>
      </c>
      <c r="P635" s="330">
        <f t="shared" ref="P635:Q635" si="631">IF(B635=0,0,IF(YEAR(B635)=$Q$1,MONTH(B635)-$P$1+1,(YEAR(B635)-$Q$1)*12-$P$1+1+MONTH(B635)))</f>
        <v>5</v>
      </c>
      <c r="Q635" s="330">
        <f t="shared" si="631"/>
        <v>4</v>
      </c>
      <c r="R635" s="331" t="str">
        <f t="shared" si="1"/>
        <v>Gastos_custeados_por_captação</v>
      </c>
      <c r="S635" s="331" t="str">
        <f>IF(D635="","",IF(OR(D635=Plano!$A$1,D635=Plano!$B$1),"entrada","saída"))</f>
        <v>saída</v>
      </c>
      <c r="T635" s="332" t="s">
        <v>1059</v>
      </c>
      <c r="U635" s="332">
        <v>1421</v>
      </c>
      <c r="V635" s="344"/>
    </row>
    <row r="636" spans="1:22" ht="148.5" customHeight="1" x14ac:dyDescent="0.2">
      <c r="A636" s="277">
        <f>IF(B636="","",COUNT('Diário 5º PA'!$A$5:$A$2634)+ROW()-4)</f>
        <v>1943</v>
      </c>
      <c r="B636" s="278">
        <v>44329</v>
      </c>
      <c r="C636" s="259">
        <v>44287</v>
      </c>
      <c r="D636" s="252" t="s">
        <v>104</v>
      </c>
      <c r="E636" s="252" t="s">
        <v>104</v>
      </c>
      <c r="F636" s="257">
        <v>2300</v>
      </c>
      <c r="G636" s="252" t="s">
        <v>4387</v>
      </c>
      <c r="H636" s="252" t="s">
        <v>104</v>
      </c>
      <c r="I636" s="252" t="s">
        <v>4128</v>
      </c>
      <c r="J636" s="250" t="s">
        <v>1648</v>
      </c>
      <c r="K636" s="255" t="s">
        <v>1015</v>
      </c>
      <c r="L636" s="250" t="s">
        <v>992</v>
      </c>
      <c r="M636" s="336">
        <v>149</v>
      </c>
      <c r="N636" s="278">
        <v>44327</v>
      </c>
      <c r="O636" s="329" t="s">
        <v>68</v>
      </c>
      <c r="P636" s="330">
        <f t="shared" ref="P636:Q636" si="632">IF(B636=0,0,IF(YEAR(B636)=$Q$1,MONTH(B636)-$P$1+1,(YEAR(B636)-$Q$1)*12-$P$1+1+MONTH(B636)))</f>
        <v>5</v>
      </c>
      <c r="Q636" s="330">
        <f t="shared" si="632"/>
        <v>4</v>
      </c>
      <c r="R636" s="331" t="str">
        <f t="shared" si="1"/>
        <v>Gastos_custeados_por_captação</v>
      </c>
      <c r="S636" s="331" t="str">
        <f>IF(D636="","",IF(OR(D636=Plano!$A$1,D636=Plano!$B$1),"entrada","saída"))</f>
        <v>saída</v>
      </c>
      <c r="T636" s="332" t="s">
        <v>1059</v>
      </c>
      <c r="U636" s="332">
        <v>1398</v>
      </c>
      <c r="V636" s="344"/>
    </row>
    <row r="637" spans="1:22" ht="46.5" customHeight="1" x14ac:dyDescent="0.2">
      <c r="A637" s="277">
        <f>IF(B637="","",COUNT('Diário 5º PA'!$A$5:$A$2634)+ROW()-4)</f>
        <v>1944</v>
      </c>
      <c r="B637" s="278">
        <v>44329</v>
      </c>
      <c r="C637" s="259">
        <v>44317</v>
      </c>
      <c r="D637" s="252" t="s">
        <v>104</v>
      </c>
      <c r="E637" s="252" t="s">
        <v>104</v>
      </c>
      <c r="F637" s="257">
        <v>153</v>
      </c>
      <c r="G637" s="252" t="s">
        <v>4586</v>
      </c>
      <c r="H637" s="252" t="s">
        <v>104</v>
      </c>
      <c r="I637" s="250" t="s">
        <v>949</v>
      </c>
      <c r="J637" s="255" t="s">
        <v>950</v>
      </c>
      <c r="K637" s="255" t="s">
        <v>951</v>
      </c>
      <c r="L637" s="250" t="s">
        <v>947</v>
      </c>
      <c r="M637" s="336" t="s">
        <v>114</v>
      </c>
      <c r="N637" s="278">
        <v>44329</v>
      </c>
      <c r="O637" s="329" t="s">
        <v>71</v>
      </c>
      <c r="P637" s="330">
        <f t="shared" ref="P637:Q637" si="633">IF(B637=0,0,IF(YEAR(B637)=$Q$1,MONTH(B637)-$P$1+1,(YEAR(B637)-$Q$1)*12-$P$1+1+MONTH(B637)))</f>
        <v>5</v>
      </c>
      <c r="Q637" s="330">
        <f t="shared" si="633"/>
        <v>5</v>
      </c>
      <c r="R637" s="331" t="str">
        <f t="shared" si="1"/>
        <v>Gastos_custeados_por_captação</v>
      </c>
      <c r="S637" s="331" t="str">
        <f>IF(D637="","",IF(OR(D637=Plano!$A$1,D637=Plano!$B$1),"entrada","saída"))</f>
        <v>saída</v>
      </c>
      <c r="T637" s="332" t="s">
        <v>114</v>
      </c>
      <c r="U637" s="332" t="s">
        <v>114</v>
      </c>
      <c r="V637" s="344"/>
    </row>
    <row r="638" spans="1:22" ht="76.5" customHeight="1" x14ac:dyDescent="0.2">
      <c r="A638" s="277">
        <f>IF(B638="","",COUNT('Diário 5º PA'!$A$5:$A$2634)+ROW()-4)</f>
        <v>1945</v>
      </c>
      <c r="B638" s="278">
        <v>44330</v>
      </c>
      <c r="C638" s="256">
        <v>44287</v>
      </c>
      <c r="D638" s="255" t="s">
        <v>99</v>
      </c>
      <c r="E638" s="255" t="s">
        <v>228</v>
      </c>
      <c r="F638" s="257">
        <v>-2244.85</v>
      </c>
      <c r="G638" s="252" t="s">
        <v>4587</v>
      </c>
      <c r="H638" s="255" t="s">
        <v>115</v>
      </c>
      <c r="I638" s="250" t="s">
        <v>983</v>
      </c>
      <c r="J638" s="255" t="s">
        <v>850</v>
      </c>
      <c r="K638" s="255" t="s">
        <v>1069</v>
      </c>
      <c r="L638" s="250" t="s">
        <v>947</v>
      </c>
      <c r="M638" s="277" t="s">
        <v>114</v>
      </c>
      <c r="N638" s="278">
        <v>44330</v>
      </c>
      <c r="O638" s="329" t="s">
        <v>67</v>
      </c>
      <c r="P638" s="330">
        <f t="shared" ref="P638:Q638" si="634">IF(B638=0,0,IF(YEAR(B638)=$Q$1,MONTH(B638)-$P$1+1,(YEAR(B638)-$Q$1)*12-$P$1+1+MONTH(B638)))</f>
        <v>5</v>
      </c>
      <c r="Q638" s="330">
        <f t="shared" si="634"/>
        <v>4</v>
      </c>
      <c r="R638" s="331" t="str">
        <f t="shared" si="1"/>
        <v>Gastos_Gerais</v>
      </c>
      <c r="S638" s="331" t="str">
        <f>IF(D638="","",IF(OR(D638=Plano!$A$1,D638=Plano!$B$1),"entrada","saída"))</f>
        <v>saída</v>
      </c>
      <c r="T638" s="332" t="s">
        <v>114</v>
      </c>
      <c r="U638" s="332" t="s">
        <v>114</v>
      </c>
      <c r="V638" s="344"/>
    </row>
    <row r="639" spans="1:22" ht="52.5" customHeight="1" x14ac:dyDescent="0.2">
      <c r="A639" s="277">
        <f>IF(B639="","",COUNT('Diário 5º PA'!$A$5:$A$2634)+ROW()-4)</f>
        <v>1946</v>
      </c>
      <c r="B639" s="278">
        <v>44330</v>
      </c>
      <c r="C639" s="259">
        <v>44197</v>
      </c>
      <c r="D639" s="252" t="s">
        <v>99</v>
      </c>
      <c r="E639" s="252" t="s">
        <v>336</v>
      </c>
      <c r="F639" s="257">
        <v>117.65</v>
      </c>
      <c r="G639" s="252" t="s">
        <v>4588</v>
      </c>
      <c r="H639" s="252" t="s">
        <v>132</v>
      </c>
      <c r="I639" s="250" t="s">
        <v>488</v>
      </c>
      <c r="J639" s="255" t="s">
        <v>114</v>
      </c>
      <c r="K639" s="255" t="s">
        <v>466</v>
      </c>
      <c r="L639" s="250" t="s">
        <v>489</v>
      </c>
      <c r="M639" s="336" t="s">
        <v>114</v>
      </c>
      <c r="N639" s="278">
        <v>44330</v>
      </c>
      <c r="O639" s="329" t="s">
        <v>67</v>
      </c>
      <c r="P639" s="330">
        <f t="shared" ref="P639:Q639" si="635">IF(B639=0,0,IF(YEAR(B639)=$Q$1,MONTH(B639)-$P$1+1,(YEAR(B639)-$Q$1)*12-$P$1+1+MONTH(B639)))</f>
        <v>5</v>
      </c>
      <c r="Q639" s="330">
        <f t="shared" si="635"/>
        <v>1</v>
      </c>
      <c r="R639" s="331" t="str">
        <f t="shared" si="1"/>
        <v>Gastos_Gerais</v>
      </c>
      <c r="S639" s="331" t="str">
        <f>IF(D639="","",IF(OR(D639=Plano!$A$1,D639=Plano!$B$1),"entrada","saída"))</f>
        <v>saída</v>
      </c>
      <c r="T639" s="332" t="s">
        <v>114</v>
      </c>
      <c r="U639" s="332" t="s">
        <v>114</v>
      </c>
      <c r="V639" s="344"/>
    </row>
    <row r="640" spans="1:22" ht="163.5" customHeight="1" x14ac:dyDescent="0.2">
      <c r="A640" s="277">
        <f>IF(B640="","",COUNT('Diário 5º PA'!$A$5:$A$2634)+ROW()-4)</f>
        <v>1947</v>
      </c>
      <c r="B640" s="278">
        <v>44330</v>
      </c>
      <c r="C640" s="256">
        <v>44317</v>
      </c>
      <c r="D640" s="255" t="s">
        <v>99</v>
      </c>
      <c r="E640" s="252" t="s">
        <v>234</v>
      </c>
      <c r="F640" s="258">
        <v>783.92</v>
      </c>
      <c r="G640" s="255" t="s">
        <v>4589</v>
      </c>
      <c r="H640" s="255" t="s">
        <v>122</v>
      </c>
      <c r="I640" s="250" t="s">
        <v>4590</v>
      </c>
      <c r="J640" s="250" t="s">
        <v>840</v>
      </c>
      <c r="K640" s="255" t="s">
        <v>991</v>
      </c>
      <c r="L640" s="250" t="s">
        <v>1016</v>
      </c>
      <c r="M640" s="277" t="s">
        <v>1017</v>
      </c>
      <c r="N640" s="278">
        <v>44329</v>
      </c>
      <c r="O640" s="329" t="s">
        <v>67</v>
      </c>
      <c r="P640" s="330">
        <f t="shared" ref="P640:Q640" si="636">IF(B640=0,0,IF(YEAR(B640)=$Q$1,MONTH(B640)-$P$1+1,(YEAR(B640)-$Q$1)*12-$P$1+1+MONTH(B640)))</f>
        <v>5</v>
      </c>
      <c r="Q640" s="330">
        <f t="shared" si="636"/>
        <v>5</v>
      </c>
      <c r="R640" s="331" t="str">
        <f t="shared" si="1"/>
        <v>Gastos_Gerais</v>
      </c>
      <c r="S640" s="331" t="str">
        <f>IF(D640="","",IF(OR(D640=Plano!$A$1,D640=Plano!$B$1),"entrada","saída"))</f>
        <v>saída</v>
      </c>
      <c r="T640" s="332" t="s">
        <v>1082</v>
      </c>
      <c r="U640" s="332">
        <v>1552</v>
      </c>
      <c r="V640" s="344"/>
    </row>
    <row r="641" spans="1:22" ht="135" customHeight="1" x14ac:dyDescent="0.2">
      <c r="A641" s="277">
        <f>IF(B641="","",COUNT('Diário 5º PA'!$A$5:$A$2634)+ROW()-4)</f>
        <v>1948</v>
      </c>
      <c r="B641" s="278">
        <v>44330</v>
      </c>
      <c r="C641" s="256">
        <v>44287</v>
      </c>
      <c r="D641" s="255" t="s">
        <v>99</v>
      </c>
      <c r="E641" s="255" t="s">
        <v>228</v>
      </c>
      <c r="F641" s="258">
        <v>7977.25</v>
      </c>
      <c r="G641" s="255" t="s">
        <v>492</v>
      </c>
      <c r="H641" s="255" t="s">
        <v>115</v>
      </c>
      <c r="I641" s="250" t="s">
        <v>493</v>
      </c>
      <c r="J641" s="252" t="s">
        <v>1137</v>
      </c>
      <c r="K641" s="255" t="s">
        <v>991</v>
      </c>
      <c r="L641" s="250" t="s">
        <v>1016</v>
      </c>
      <c r="M641" s="277" t="s">
        <v>4591</v>
      </c>
      <c r="N641" s="278">
        <v>44300</v>
      </c>
      <c r="O641" s="329" t="s">
        <v>67</v>
      </c>
      <c r="P641" s="330">
        <f t="shared" ref="P641:Q641" si="637">IF(B641=0,0,IF(YEAR(B641)=$Q$1,MONTH(B641)-$P$1+1,(YEAR(B641)-$Q$1)*12-$P$1+1+MONTH(B641)))</f>
        <v>5</v>
      </c>
      <c r="Q641" s="330">
        <f t="shared" si="637"/>
        <v>4</v>
      </c>
      <c r="R641" s="331" t="str">
        <f t="shared" si="1"/>
        <v>Gastos_Gerais</v>
      </c>
      <c r="S641" s="331" t="str">
        <f>IF(D641="","",IF(OR(D641=Plano!$A$1,D641=Plano!$B$1),"entrada","saída"))</f>
        <v>saída</v>
      </c>
      <c r="T641" s="332" t="s">
        <v>1059</v>
      </c>
      <c r="U641" s="332">
        <v>1114</v>
      </c>
      <c r="V641" s="344"/>
    </row>
    <row r="642" spans="1:22" ht="209.25" customHeight="1" x14ac:dyDescent="0.2">
      <c r="A642" s="277">
        <f>IF(B642="","",COUNT('Diário 5º PA'!$A$5:$A$2634)+ROW()-4)</f>
        <v>1949</v>
      </c>
      <c r="B642" s="278">
        <v>44330</v>
      </c>
      <c r="C642" s="256">
        <v>44317</v>
      </c>
      <c r="D642" s="255" t="s">
        <v>99</v>
      </c>
      <c r="E642" s="252" t="s">
        <v>386</v>
      </c>
      <c r="F642" s="258">
        <v>1921.27</v>
      </c>
      <c r="G642" s="255" t="s">
        <v>4592</v>
      </c>
      <c r="H642" s="255" t="s">
        <v>131</v>
      </c>
      <c r="I642" s="250" t="s">
        <v>1985</v>
      </c>
      <c r="J642" s="250" t="s">
        <v>1986</v>
      </c>
      <c r="K642" s="255" t="s">
        <v>991</v>
      </c>
      <c r="L642" s="250" t="s">
        <v>1029</v>
      </c>
      <c r="M642" s="277">
        <v>1164</v>
      </c>
      <c r="N642" s="278">
        <v>44329</v>
      </c>
      <c r="O642" s="329" t="s">
        <v>67</v>
      </c>
      <c r="P642" s="330">
        <f t="shared" ref="P642:Q642" si="638">IF(B642=0,0,IF(YEAR(B642)=$Q$1,MONTH(B642)-$P$1+1,(YEAR(B642)-$Q$1)*12-$P$1+1+MONTH(B642)))</f>
        <v>5</v>
      </c>
      <c r="Q642" s="330">
        <f t="shared" si="638"/>
        <v>5</v>
      </c>
      <c r="R642" s="331" t="str">
        <f t="shared" si="1"/>
        <v>Gastos_Gerais</v>
      </c>
      <c r="S642" s="331" t="str">
        <f>IF(D642="","",IF(OR(D642=Plano!$A$1,D642=Plano!$B$1),"entrada","saída"))</f>
        <v>saída</v>
      </c>
      <c r="T642" s="332" t="s">
        <v>1059</v>
      </c>
      <c r="U642" s="332">
        <v>1498</v>
      </c>
      <c r="V642" s="344"/>
    </row>
    <row r="643" spans="1:22" ht="156.75" customHeight="1" x14ac:dyDescent="0.2">
      <c r="A643" s="277">
        <f>IF(B643="","",COUNT('Diário 5º PA'!$A$5:$A$2634)+ROW()-4)</f>
        <v>1950</v>
      </c>
      <c r="B643" s="278">
        <v>44330</v>
      </c>
      <c r="C643" s="259">
        <v>44287</v>
      </c>
      <c r="D643" s="255" t="s">
        <v>99</v>
      </c>
      <c r="E643" s="252" t="s">
        <v>358</v>
      </c>
      <c r="F643" s="258">
        <v>1238.4000000000001</v>
      </c>
      <c r="G643" s="255" t="s">
        <v>4593</v>
      </c>
      <c r="H643" s="255" t="s">
        <v>124</v>
      </c>
      <c r="I643" s="252" t="s">
        <v>4594</v>
      </c>
      <c r="J643" s="250" t="s">
        <v>4595</v>
      </c>
      <c r="K643" s="255" t="s">
        <v>991</v>
      </c>
      <c r="L643" s="250" t="s">
        <v>1029</v>
      </c>
      <c r="M643" s="277">
        <v>1156</v>
      </c>
      <c r="N643" s="278">
        <v>44321</v>
      </c>
      <c r="O643" s="329" t="s">
        <v>67</v>
      </c>
      <c r="P643" s="330">
        <f t="shared" ref="P643:Q643" si="639">IF(B643=0,0,IF(YEAR(B643)=$Q$1,MONTH(B643)-$P$1+1,(YEAR(B643)-$Q$1)*12-$P$1+1+MONTH(B643)))</f>
        <v>5</v>
      </c>
      <c r="Q643" s="330">
        <f t="shared" si="639"/>
        <v>4</v>
      </c>
      <c r="R643" s="331" t="str">
        <f t="shared" si="1"/>
        <v>Gastos_Gerais</v>
      </c>
      <c r="S643" s="331" t="str">
        <f>IF(D643="","",IF(OR(D643=Plano!$A$1,D643=Plano!$B$1),"entrada","saída"))</f>
        <v>saída</v>
      </c>
      <c r="T643" s="332" t="s">
        <v>1059</v>
      </c>
      <c r="U643" s="332">
        <v>1537</v>
      </c>
      <c r="V643" s="344"/>
    </row>
    <row r="644" spans="1:22" ht="48.75" customHeight="1" x14ac:dyDescent="0.2">
      <c r="A644" s="277">
        <f>IF(B644="","",COUNT('Diário 5º PA'!$A$5:$A$2634)+ROW()-4)</f>
        <v>1951</v>
      </c>
      <c r="B644" s="278">
        <v>44330</v>
      </c>
      <c r="C644" s="256">
        <v>44317</v>
      </c>
      <c r="D644" s="255" t="s">
        <v>88</v>
      </c>
      <c r="E644" s="255" t="s">
        <v>177</v>
      </c>
      <c r="F644" s="258">
        <v>4991.75</v>
      </c>
      <c r="G644" s="255" t="s">
        <v>4596</v>
      </c>
      <c r="H644" s="255" t="s">
        <v>114</v>
      </c>
      <c r="I644" s="250" t="s">
        <v>1229</v>
      </c>
      <c r="J644" s="255" t="s">
        <v>1230</v>
      </c>
      <c r="K644" s="255" t="s">
        <v>991</v>
      </c>
      <c r="L644" s="250" t="s">
        <v>1347</v>
      </c>
      <c r="M644" s="336" t="s">
        <v>114</v>
      </c>
      <c r="N644" s="278">
        <v>44330</v>
      </c>
      <c r="O644" s="329" t="s">
        <v>67</v>
      </c>
      <c r="P644" s="330">
        <f t="shared" ref="P644:Q644" si="640">IF(B644=0,0,IF(YEAR(B644)=$Q$1,MONTH(B644)-$P$1+1,(YEAR(B644)-$Q$1)*12-$P$1+1+MONTH(B644)))</f>
        <v>5</v>
      </c>
      <c r="Q644" s="330">
        <f t="shared" si="640"/>
        <v>5</v>
      </c>
      <c r="R644" s="331" t="str">
        <f t="shared" si="1"/>
        <v>Gastos_com_Pessoal</v>
      </c>
      <c r="S644" s="331" t="str">
        <f>IF(D644="","",IF(OR(D644=Plano!$A$1,D644=Plano!$B$1),"entrada","saída"))</f>
        <v>saída</v>
      </c>
      <c r="T644" s="332" t="s">
        <v>114</v>
      </c>
      <c r="U644" s="332" t="s">
        <v>114</v>
      </c>
      <c r="V644" s="344"/>
    </row>
    <row r="645" spans="1:22" ht="48" customHeight="1" x14ac:dyDescent="0.2">
      <c r="A645" s="277">
        <f>IF(B645="","",COUNT('Diário 5º PA'!$A$5:$A$2634)+ROW()-4)</f>
        <v>1952</v>
      </c>
      <c r="B645" s="278">
        <v>44330</v>
      </c>
      <c r="C645" s="249">
        <v>44317</v>
      </c>
      <c r="D645" s="255" t="s">
        <v>99</v>
      </c>
      <c r="E645" s="255" t="s">
        <v>272</v>
      </c>
      <c r="F645" s="258">
        <v>10.45</v>
      </c>
      <c r="G645" s="255" t="s">
        <v>4597</v>
      </c>
      <c r="H645" s="255" t="s">
        <v>122</v>
      </c>
      <c r="I645" s="250" t="s">
        <v>949</v>
      </c>
      <c r="J645" s="255" t="s">
        <v>950</v>
      </c>
      <c r="K645" s="255" t="s">
        <v>951</v>
      </c>
      <c r="L645" s="250" t="s">
        <v>947</v>
      </c>
      <c r="M645" s="336" t="s">
        <v>114</v>
      </c>
      <c r="N645" s="278">
        <v>44330</v>
      </c>
      <c r="O645" s="329" t="s">
        <v>67</v>
      </c>
      <c r="P645" s="330">
        <f t="shared" ref="P645:Q645" si="641">IF(B645=0,0,IF(YEAR(B645)=$Q$1,MONTH(B645)-$P$1+1,(YEAR(B645)-$Q$1)*12-$P$1+1+MONTH(B645)))</f>
        <v>5</v>
      </c>
      <c r="Q645" s="330">
        <f t="shared" si="641"/>
        <v>5</v>
      </c>
      <c r="R645" s="331" t="str">
        <f t="shared" si="1"/>
        <v>Gastos_Gerais</v>
      </c>
      <c r="S645" s="331" t="str">
        <f>IF(D645="","",IF(OR(D645=Plano!$A$1,D645=Plano!$B$1),"entrada","saída"))</f>
        <v>saída</v>
      </c>
      <c r="T645" s="332" t="s">
        <v>114</v>
      </c>
      <c r="U645" s="332" t="s">
        <v>114</v>
      </c>
      <c r="V645" s="344"/>
    </row>
    <row r="646" spans="1:22" ht="53.25" customHeight="1" x14ac:dyDescent="0.2">
      <c r="A646" s="277">
        <f>IF(B646="","",COUNT('Diário 5º PA'!$A$5:$A$2634)+ROW()-4)</f>
        <v>1953</v>
      </c>
      <c r="B646" s="278">
        <v>44330</v>
      </c>
      <c r="C646" s="249">
        <v>44317</v>
      </c>
      <c r="D646" s="255" t="s">
        <v>99</v>
      </c>
      <c r="E646" s="255" t="s">
        <v>272</v>
      </c>
      <c r="F646" s="258">
        <v>10.45</v>
      </c>
      <c r="G646" s="255" t="s">
        <v>1150</v>
      </c>
      <c r="H646" s="252" t="s">
        <v>115</v>
      </c>
      <c r="I646" s="250" t="s">
        <v>949</v>
      </c>
      <c r="J646" s="255" t="s">
        <v>950</v>
      </c>
      <c r="K646" s="255" t="s">
        <v>951</v>
      </c>
      <c r="L646" s="250" t="s">
        <v>947</v>
      </c>
      <c r="M646" s="336" t="s">
        <v>114</v>
      </c>
      <c r="N646" s="278">
        <v>44330</v>
      </c>
      <c r="O646" s="329" t="s">
        <v>67</v>
      </c>
      <c r="P646" s="330">
        <f t="shared" ref="P646:Q646" si="642">IF(B646=0,0,IF(YEAR(B646)=$Q$1,MONTH(B646)-$P$1+1,(YEAR(B646)-$Q$1)*12-$P$1+1+MONTH(B646)))</f>
        <v>5</v>
      </c>
      <c r="Q646" s="330">
        <f t="shared" si="642"/>
        <v>5</v>
      </c>
      <c r="R646" s="331" t="str">
        <f t="shared" si="1"/>
        <v>Gastos_Gerais</v>
      </c>
      <c r="S646" s="331" t="str">
        <f>IF(D646="","",IF(OR(D646=Plano!$A$1,D646=Plano!$B$1),"entrada","saída"))</f>
        <v>saída</v>
      </c>
      <c r="T646" s="332" t="s">
        <v>114</v>
      </c>
      <c r="U646" s="332" t="s">
        <v>114</v>
      </c>
      <c r="V646" s="344"/>
    </row>
    <row r="647" spans="1:22" ht="51.75" customHeight="1" x14ac:dyDescent="0.2">
      <c r="A647" s="277">
        <f>IF(B647="","",COUNT('Diário 5º PA'!$A$5:$A$2634)+ROW()-4)</f>
        <v>1954</v>
      </c>
      <c r="B647" s="278">
        <v>44330</v>
      </c>
      <c r="C647" s="249">
        <v>44317</v>
      </c>
      <c r="D647" s="255" t="s">
        <v>99</v>
      </c>
      <c r="E647" s="255" t="s">
        <v>272</v>
      </c>
      <c r="F647" s="258">
        <v>10.45</v>
      </c>
      <c r="G647" s="255" t="s">
        <v>4598</v>
      </c>
      <c r="H647" s="255" t="s">
        <v>131</v>
      </c>
      <c r="I647" s="250" t="s">
        <v>949</v>
      </c>
      <c r="J647" s="255" t="s">
        <v>950</v>
      </c>
      <c r="K647" s="255" t="s">
        <v>951</v>
      </c>
      <c r="L647" s="250" t="s">
        <v>947</v>
      </c>
      <c r="M647" s="336" t="s">
        <v>114</v>
      </c>
      <c r="N647" s="278">
        <v>44330</v>
      </c>
      <c r="O647" s="329" t="s">
        <v>67</v>
      </c>
      <c r="P647" s="330">
        <f t="shared" ref="P647:Q647" si="643">IF(B647=0,0,IF(YEAR(B647)=$Q$1,MONTH(B647)-$P$1+1,(YEAR(B647)-$Q$1)*12-$P$1+1+MONTH(B647)))</f>
        <v>5</v>
      </c>
      <c r="Q647" s="330">
        <f t="shared" si="643"/>
        <v>5</v>
      </c>
      <c r="R647" s="331" t="str">
        <f t="shared" si="1"/>
        <v>Gastos_Gerais</v>
      </c>
      <c r="S647" s="331" t="str">
        <f>IF(D647="","",IF(OR(D647=Plano!$A$1,D647=Plano!$B$1),"entrada","saída"))</f>
        <v>saída</v>
      </c>
      <c r="T647" s="332" t="s">
        <v>114</v>
      </c>
      <c r="U647" s="332" t="s">
        <v>114</v>
      </c>
      <c r="V647" s="344"/>
    </row>
    <row r="648" spans="1:22" ht="51.75" customHeight="1" x14ac:dyDescent="0.2">
      <c r="A648" s="277">
        <f>IF(B648="","",COUNT('Diário 5º PA'!$A$5:$A$2634)+ROW()-4)</f>
        <v>1955</v>
      </c>
      <c r="B648" s="278">
        <v>44330</v>
      </c>
      <c r="C648" s="249">
        <v>44317</v>
      </c>
      <c r="D648" s="255" t="s">
        <v>99</v>
      </c>
      <c r="E648" s="255" t="s">
        <v>272</v>
      </c>
      <c r="F648" s="258">
        <v>10.45</v>
      </c>
      <c r="G648" s="255" t="s">
        <v>4599</v>
      </c>
      <c r="H648" s="255" t="s">
        <v>124</v>
      </c>
      <c r="I648" s="250" t="s">
        <v>949</v>
      </c>
      <c r="J648" s="255" t="s">
        <v>950</v>
      </c>
      <c r="K648" s="255" t="s">
        <v>951</v>
      </c>
      <c r="L648" s="250" t="s">
        <v>947</v>
      </c>
      <c r="M648" s="336" t="s">
        <v>114</v>
      </c>
      <c r="N648" s="278">
        <v>44330</v>
      </c>
      <c r="O648" s="329" t="s">
        <v>67</v>
      </c>
      <c r="P648" s="330">
        <f t="shared" ref="P648:Q648" si="644">IF(B648=0,0,IF(YEAR(B648)=$Q$1,MONTH(B648)-$P$1+1,(YEAR(B648)-$Q$1)*12-$P$1+1+MONTH(B648)))</f>
        <v>5</v>
      </c>
      <c r="Q648" s="330">
        <f t="shared" si="644"/>
        <v>5</v>
      </c>
      <c r="R648" s="331" t="str">
        <f t="shared" si="1"/>
        <v>Gastos_Gerais</v>
      </c>
      <c r="S648" s="331" t="str">
        <f>IF(D648="","",IF(OR(D648=Plano!$A$1,D648=Plano!$B$1),"entrada","saída"))</f>
        <v>saída</v>
      </c>
      <c r="T648" s="332" t="s">
        <v>114</v>
      </c>
      <c r="U648" s="332" t="s">
        <v>114</v>
      </c>
      <c r="V648" s="344"/>
    </row>
    <row r="649" spans="1:22" ht="48.75" customHeight="1" x14ac:dyDescent="0.2">
      <c r="A649" s="277">
        <f>IF(B649="","",COUNT('Diário 5º PA'!$A$5:$A$2634)+ROW()-4)</f>
        <v>1956</v>
      </c>
      <c r="B649" s="278">
        <v>44330</v>
      </c>
      <c r="C649" s="249">
        <v>44317</v>
      </c>
      <c r="D649" s="255" t="s">
        <v>99</v>
      </c>
      <c r="E649" s="255" t="s">
        <v>272</v>
      </c>
      <c r="F649" s="258">
        <v>10.45</v>
      </c>
      <c r="G649" s="255" t="s">
        <v>1403</v>
      </c>
      <c r="H649" s="255" t="s">
        <v>131</v>
      </c>
      <c r="I649" s="250" t="s">
        <v>949</v>
      </c>
      <c r="J649" s="255" t="s">
        <v>950</v>
      </c>
      <c r="K649" s="255" t="s">
        <v>951</v>
      </c>
      <c r="L649" s="250" t="s">
        <v>947</v>
      </c>
      <c r="M649" s="336" t="s">
        <v>114</v>
      </c>
      <c r="N649" s="278">
        <v>44330</v>
      </c>
      <c r="O649" s="329" t="s">
        <v>67</v>
      </c>
      <c r="P649" s="330">
        <f t="shared" ref="P649:Q649" si="645">IF(B649=0,0,IF(YEAR(B649)=$Q$1,MONTH(B649)-$P$1+1,(YEAR(B649)-$Q$1)*12-$P$1+1+MONTH(B649)))</f>
        <v>5</v>
      </c>
      <c r="Q649" s="330">
        <f t="shared" si="645"/>
        <v>5</v>
      </c>
      <c r="R649" s="331" t="str">
        <f t="shared" si="1"/>
        <v>Gastos_Gerais</v>
      </c>
      <c r="S649" s="331" t="str">
        <f>IF(D649="","",IF(OR(D649=Plano!$A$1,D649=Plano!$B$1),"entrada","saída"))</f>
        <v>saída</v>
      </c>
      <c r="T649" s="332" t="s">
        <v>114</v>
      </c>
      <c r="U649" s="332" t="s">
        <v>114</v>
      </c>
      <c r="V649" s="344"/>
    </row>
    <row r="650" spans="1:22" ht="69.75" customHeight="1" x14ac:dyDescent="0.2">
      <c r="A650" s="277">
        <f>IF(B650="","",COUNT('Diário 5º PA'!$A$5:$A$2634)+ROW()-4)</f>
        <v>1957</v>
      </c>
      <c r="B650" s="278">
        <v>44333</v>
      </c>
      <c r="C650" s="256">
        <v>44256</v>
      </c>
      <c r="D650" s="255" t="s">
        <v>88</v>
      </c>
      <c r="E650" s="255" t="s">
        <v>90</v>
      </c>
      <c r="F650" s="258">
        <v>-121.87</v>
      </c>
      <c r="G650" s="250" t="s">
        <v>4600</v>
      </c>
      <c r="H650" s="255" t="s">
        <v>114</v>
      </c>
      <c r="I650" s="250" t="s">
        <v>983</v>
      </c>
      <c r="J650" s="255" t="s">
        <v>850</v>
      </c>
      <c r="K650" s="255" t="s">
        <v>946</v>
      </c>
      <c r="L650" s="250" t="s">
        <v>947</v>
      </c>
      <c r="M650" s="277" t="s">
        <v>114</v>
      </c>
      <c r="N650" s="278">
        <v>44333</v>
      </c>
      <c r="O650" s="329" t="s">
        <v>67</v>
      </c>
      <c r="P650" s="330">
        <f t="shared" ref="P650:Q650" si="646">IF(B650=0,0,IF(YEAR(B650)=$Q$1,MONTH(B650)-$P$1+1,(YEAR(B650)-$Q$1)*12-$P$1+1+MONTH(B650)))</f>
        <v>5</v>
      </c>
      <c r="Q650" s="330">
        <f t="shared" si="646"/>
        <v>3</v>
      </c>
      <c r="R650" s="331" t="str">
        <f t="shared" si="1"/>
        <v>Gastos_com_Pessoal</v>
      </c>
      <c r="S650" s="331" t="str">
        <f>IF(D650="","",IF(OR(D650=Plano!$A$1,D650=Plano!$B$1),"entrada","saída"))</f>
        <v>saída</v>
      </c>
      <c r="T650" s="332" t="s">
        <v>114</v>
      </c>
      <c r="U650" s="332" t="s">
        <v>114</v>
      </c>
      <c r="V650" s="344"/>
    </row>
    <row r="651" spans="1:22" ht="65.25" customHeight="1" x14ac:dyDescent="0.2">
      <c r="A651" s="277">
        <f>IF(B651="","",COUNT('Diário 5º PA'!$A$5:$A$2634)+ROW()-4)</f>
        <v>1958</v>
      </c>
      <c r="B651" s="278">
        <v>44333</v>
      </c>
      <c r="C651" s="256">
        <v>44317</v>
      </c>
      <c r="D651" s="255" t="s">
        <v>88</v>
      </c>
      <c r="E651" s="255" t="s">
        <v>196</v>
      </c>
      <c r="F651" s="258">
        <v>-1899.31</v>
      </c>
      <c r="G651" s="250" t="s">
        <v>1419</v>
      </c>
      <c r="H651" s="255" t="s">
        <v>114</v>
      </c>
      <c r="I651" s="250" t="s">
        <v>983</v>
      </c>
      <c r="J651" s="255" t="s">
        <v>850</v>
      </c>
      <c r="K651" s="255" t="s">
        <v>946</v>
      </c>
      <c r="L651" s="250" t="s">
        <v>947</v>
      </c>
      <c r="M651" s="277" t="s">
        <v>114</v>
      </c>
      <c r="N651" s="278">
        <v>44333</v>
      </c>
      <c r="O651" s="329" t="s">
        <v>67</v>
      </c>
      <c r="P651" s="330">
        <f t="shared" ref="P651:Q651" si="647">IF(B651=0,0,IF(YEAR(B651)=$Q$1,MONTH(B651)-$P$1+1,(YEAR(B651)-$Q$1)*12-$P$1+1+MONTH(B651)))</f>
        <v>5</v>
      </c>
      <c r="Q651" s="330">
        <f t="shared" si="647"/>
        <v>5</v>
      </c>
      <c r="R651" s="331" t="str">
        <f t="shared" si="1"/>
        <v>Gastos_com_Pessoal</v>
      </c>
      <c r="S651" s="331" t="str">
        <f>IF(D651="","",IF(OR(D651=Plano!$A$1,D651=Plano!$B$1),"entrada","saída"))</f>
        <v>saída</v>
      </c>
      <c r="T651" s="332" t="s">
        <v>114</v>
      </c>
      <c r="U651" s="332" t="s">
        <v>114</v>
      </c>
      <c r="V651" s="344"/>
    </row>
    <row r="652" spans="1:22" ht="76.5" customHeight="1" x14ac:dyDescent="0.2">
      <c r="A652" s="277">
        <f>IF(B652="","",COUNT('Diário 5º PA'!$A$5:$A$2634)+ROW()-4)</f>
        <v>1959</v>
      </c>
      <c r="B652" s="278">
        <v>44333</v>
      </c>
      <c r="C652" s="256">
        <v>44287</v>
      </c>
      <c r="D652" s="255" t="s">
        <v>99</v>
      </c>
      <c r="E652" s="255" t="s">
        <v>222</v>
      </c>
      <c r="F652" s="258">
        <v>-153.16</v>
      </c>
      <c r="G652" s="255" t="s">
        <v>4601</v>
      </c>
      <c r="H652" s="255" t="s">
        <v>115</v>
      </c>
      <c r="I652" s="250" t="s">
        <v>983</v>
      </c>
      <c r="J652" s="255" t="s">
        <v>850</v>
      </c>
      <c r="K652" s="255" t="s">
        <v>946</v>
      </c>
      <c r="L652" s="250" t="s">
        <v>947</v>
      </c>
      <c r="M652" s="277" t="s">
        <v>114</v>
      </c>
      <c r="N652" s="278">
        <v>44333</v>
      </c>
      <c r="O652" s="329" t="s">
        <v>67</v>
      </c>
      <c r="P652" s="330">
        <f t="shared" ref="P652:Q652" si="648">IF(B652=0,0,IF(YEAR(B652)=$Q$1,MONTH(B652)-$P$1+1,(YEAR(B652)-$Q$1)*12-$P$1+1+MONTH(B652)))</f>
        <v>5</v>
      </c>
      <c r="Q652" s="330">
        <f t="shared" si="648"/>
        <v>4</v>
      </c>
      <c r="R652" s="331" t="str">
        <f t="shared" si="1"/>
        <v>Gastos_Gerais</v>
      </c>
      <c r="S652" s="331" t="str">
        <f>IF(D652="","",IF(OR(D652=Plano!$A$1,D652=Plano!$B$1),"entrada","saída"))</f>
        <v>saída</v>
      </c>
      <c r="T652" s="332" t="s">
        <v>114</v>
      </c>
      <c r="U652" s="332" t="s">
        <v>114</v>
      </c>
      <c r="V652" s="344"/>
    </row>
    <row r="653" spans="1:22" ht="66.75" customHeight="1" x14ac:dyDescent="0.2">
      <c r="A653" s="277">
        <f>IF(B653="","",COUNT('Diário 5º PA'!$A$5:$A$2634)+ROW()-4)</f>
        <v>1960</v>
      </c>
      <c r="B653" s="278">
        <v>44333</v>
      </c>
      <c r="C653" s="256">
        <v>44287</v>
      </c>
      <c r="D653" s="255" t="s">
        <v>99</v>
      </c>
      <c r="E653" s="255" t="s">
        <v>216</v>
      </c>
      <c r="F653" s="258">
        <v>-83.42</v>
      </c>
      <c r="G653" s="255" t="s">
        <v>4602</v>
      </c>
      <c r="H653" s="255" t="s">
        <v>115</v>
      </c>
      <c r="I653" s="250" t="s">
        <v>983</v>
      </c>
      <c r="J653" s="255" t="s">
        <v>850</v>
      </c>
      <c r="K653" s="255" t="s">
        <v>946</v>
      </c>
      <c r="L653" s="250" t="s">
        <v>947</v>
      </c>
      <c r="M653" s="277" t="s">
        <v>114</v>
      </c>
      <c r="N653" s="278">
        <v>44333</v>
      </c>
      <c r="O653" s="329" t="s">
        <v>67</v>
      </c>
      <c r="P653" s="330">
        <f t="shared" ref="P653:Q653" si="649">IF(B653=0,0,IF(YEAR(B653)=$Q$1,MONTH(B653)-$P$1+1,(YEAR(B653)-$Q$1)*12-$P$1+1+MONTH(B653)))</f>
        <v>5</v>
      </c>
      <c r="Q653" s="330">
        <f t="shared" si="649"/>
        <v>4</v>
      </c>
      <c r="R653" s="331" t="str">
        <f t="shared" si="1"/>
        <v>Gastos_Gerais</v>
      </c>
      <c r="S653" s="331" t="str">
        <f>IF(D653="","",IF(OR(D653=Plano!$A$1,D653=Plano!$B$1),"entrada","saída"))</f>
        <v>saída</v>
      </c>
      <c r="T653" s="332" t="s">
        <v>114</v>
      </c>
      <c r="U653" s="332" t="s">
        <v>114</v>
      </c>
      <c r="V653" s="344"/>
    </row>
    <row r="654" spans="1:22" ht="57.75" customHeight="1" x14ac:dyDescent="0.2">
      <c r="A654" s="277">
        <f>IF(B654="","",COUNT('Diário 5º PA'!$A$5:$A$2634)+ROW()-4)</f>
        <v>1961</v>
      </c>
      <c r="B654" s="278">
        <v>44333</v>
      </c>
      <c r="C654" s="256">
        <v>44287</v>
      </c>
      <c r="D654" s="255" t="s">
        <v>99</v>
      </c>
      <c r="E654" s="255" t="s">
        <v>254</v>
      </c>
      <c r="F654" s="258">
        <v>-132.05000000000001</v>
      </c>
      <c r="G654" s="252" t="s">
        <v>4603</v>
      </c>
      <c r="H654" s="255" t="s">
        <v>115</v>
      </c>
      <c r="I654" s="250" t="s">
        <v>983</v>
      </c>
      <c r="J654" s="252" t="s">
        <v>850</v>
      </c>
      <c r="K654" s="255" t="s">
        <v>946</v>
      </c>
      <c r="L654" s="250" t="s">
        <v>947</v>
      </c>
      <c r="M654" s="277" t="s">
        <v>114</v>
      </c>
      <c r="N654" s="278">
        <v>44333</v>
      </c>
      <c r="O654" s="329" t="s">
        <v>67</v>
      </c>
      <c r="P654" s="330">
        <f t="shared" ref="P654:Q654" si="650">IF(B654=0,0,IF(YEAR(B654)=$Q$1,MONTH(B654)-$P$1+1,(YEAR(B654)-$Q$1)*12-$P$1+1+MONTH(B654)))</f>
        <v>5</v>
      </c>
      <c r="Q654" s="330">
        <f t="shared" si="650"/>
        <v>4</v>
      </c>
      <c r="R654" s="331" t="str">
        <f t="shared" si="1"/>
        <v>Gastos_Gerais</v>
      </c>
      <c r="S654" s="331" t="str">
        <f>IF(D654="","",IF(OR(D654=Plano!$A$1,D654=Plano!$B$1),"entrada","saída"))</f>
        <v>saída</v>
      </c>
      <c r="T654" s="332" t="s">
        <v>114</v>
      </c>
      <c r="U654" s="332" t="s">
        <v>114</v>
      </c>
      <c r="V654" s="344"/>
    </row>
    <row r="655" spans="1:22" ht="53.25" customHeight="1" x14ac:dyDescent="0.2">
      <c r="A655" s="277">
        <f>IF(B655="","",COUNT('Diário 5º PA'!$A$5:$A$2634)+ROW()-4)</f>
        <v>1962</v>
      </c>
      <c r="B655" s="278">
        <v>44333</v>
      </c>
      <c r="C655" s="256">
        <v>44256</v>
      </c>
      <c r="D655" s="255" t="s">
        <v>88</v>
      </c>
      <c r="E655" s="255" t="s">
        <v>90</v>
      </c>
      <c r="F655" s="258">
        <v>-108.2</v>
      </c>
      <c r="G655" s="255" t="s">
        <v>3919</v>
      </c>
      <c r="H655" s="255" t="s">
        <v>114</v>
      </c>
      <c r="I655" s="250" t="s">
        <v>983</v>
      </c>
      <c r="J655" s="255" t="s">
        <v>850</v>
      </c>
      <c r="K655" s="255" t="s">
        <v>946</v>
      </c>
      <c r="L655" s="250" t="s">
        <v>947</v>
      </c>
      <c r="M655" s="277" t="s">
        <v>114</v>
      </c>
      <c r="N655" s="278">
        <v>44333</v>
      </c>
      <c r="O655" s="329" t="s">
        <v>67</v>
      </c>
      <c r="P655" s="330">
        <f t="shared" ref="P655:Q655" si="651">IF(B655=0,0,IF(YEAR(B655)=$Q$1,MONTH(B655)-$P$1+1,(YEAR(B655)-$Q$1)*12-$P$1+1+MONTH(B655)))</f>
        <v>5</v>
      </c>
      <c r="Q655" s="330">
        <f t="shared" si="651"/>
        <v>3</v>
      </c>
      <c r="R655" s="331" t="str">
        <f t="shared" si="1"/>
        <v>Gastos_com_Pessoal</v>
      </c>
      <c r="S655" s="331" t="str">
        <f>IF(D655="","",IF(OR(D655=Plano!$A$1,D655=Plano!$B$1),"entrada","saída"))</f>
        <v>saída</v>
      </c>
      <c r="T655" s="332" t="s">
        <v>114</v>
      </c>
      <c r="U655" s="332" t="s">
        <v>114</v>
      </c>
      <c r="V655" s="344"/>
    </row>
    <row r="656" spans="1:22" ht="51.75" customHeight="1" x14ac:dyDescent="0.2">
      <c r="A656" s="277">
        <f>IF(B656="","",COUNT('Diário 5º PA'!$A$5:$A$2634)+ROW()-4)</f>
        <v>1963</v>
      </c>
      <c r="B656" s="278">
        <v>44333</v>
      </c>
      <c r="C656" s="256">
        <v>44317</v>
      </c>
      <c r="D656" s="255" t="s">
        <v>88</v>
      </c>
      <c r="E656" s="255" t="s">
        <v>196</v>
      </c>
      <c r="F656" s="258">
        <v>-592.32000000000005</v>
      </c>
      <c r="G656" s="252" t="s">
        <v>1418</v>
      </c>
      <c r="H656" s="255" t="s">
        <v>114</v>
      </c>
      <c r="I656" s="250" t="s">
        <v>983</v>
      </c>
      <c r="J656" s="255" t="s">
        <v>850</v>
      </c>
      <c r="K656" s="255" t="s">
        <v>946</v>
      </c>
      <c r="L656" s="250" t="s">
        <v>947</v>
      </c>
      <c r="M656" s="349" t="s">
        <v>114</v>
      </c>
      <c r="N656" s="278">
        <v>44333</v>
      </c>
      <c r="O656" s="329" t="s">
        <v>67</v>
      </c>
      <c r="P656" s="330">
        <f t="shared" ref="P656:Q656" si="652">IF(B656=0,0,IF(YEAR(B656)=$Q$1,MONTH(B656)-$P$1+1,(YEAR(B656)-$Q$1)*12-$P$1+1+MONTH(B656)))</f>
        <v>5</v>
      </c>
      <c r="Q656" s="330">
        <f t="shared" si="652"/>
        <v>5</v>
      </c>
      <c r="R656" s="331" t="str">
        <f t="shared" si="1"/>
        <v>Gastos_com_Pessoal</v>
      </c>
      <c r="S656" s="331" t="str">
        <f>IF(D656="","",IF(OR(D656=Plano!$A$1,D656=Plano!$B$1),"entrada","saída"))</f>
        <v>saída</v>
      </c>
      <c r="T656" s="332" t="s">
        <v>114</v>
      </c>
      <c r="U656" s="332" t="s">
        <v>114</v>
      </c>
      <c r="V656" s="344"/>
    </row>
    <row r="657" spans="1:22" ht="95.25" customHeight="1" x14ac:dyDescent="0.2">
      <c r="A657" s="277">
        <f>IF(B657="","",COUNT('Diário 5º PA'!$A$5:$A$2634)+ROW()-4)</f>
        <v>1964</v>
      </c>
      <c r="B657" s="278">
        <v>44333</v>
      </c>
      <c r="C657" s="259">
        <v>44287</v>
      </c>
      <c r="D657" s="252" t="s">
        <v>99</v>
      </c>
      <c r="E657" s="252" t="s">
        <v>364</v>
      </c>
      <c r="F657" s="257">
        <v>460.96</v>
      </c>
      <c r="G657" s="252" t="s">
        <v>4604</v>
      </c>
      <c r="H657" s="252" t="s">
        <v>127</v>
      </c>
      <c r="I657" s="252" t="s">
        <v>1430</v>
      </c>
      <c r="J657" s="250" t="s">
        <v>4605</v>
      </c>
      <c r="K657" s="255" t="s">
        <v>1015</v>
      </c>
      <c r="L657" s="250" t="s">
        <v>1177</v>
      </c>
      <c r="M657" s="277" t="s">
        <v>114</v>
      </c>
      <c r="N657" s="278">
        <v>44333</v>
      </c>
      <c r="O657" s="329" t="s">
        <v>67</v>
      </c>
      <c r="P657" s="330">
        <f t="shared" ref="P657:Q657" si="653">IF(B657=0,0,IF(YEAR(B657)=$Q$1,MONTH(B657)-$P$1+1,(YEAR(B657)-$Q$1)*12-$P$1+1+MONTH(B657)))</f>
        <v>5</v>
      </c>
      <c r="Q657" s="330">
        <f t="shared" si="653"/>
        <v>4</v>
      </c>
      <c r="R657" s="331" t="str">
        <f t="shared" si="1"/>
        <v>Gastos_Gerais</v>
      </c>
      <c r="S657" s="331" t="str">
        <f>IF(D657="","",IF(OR(D657=Plano!$A$1,D657=Plano!$B$1),"entrada","saída"))</f>
        <v>saída</v>
      </c>
      <c r="T657" s="332" t="s">
        <v>994</v>
      </c>
      <c r="U657" s="332">
        <v>1533</v>
      </c>
      <c r="V657" s="344"/>
    </row>
    <row r="658" spans="1:22" ht="171" customHeight="1" x14ac:dyDescent="0.2">
      <c r="A658" s="277">
        <f>IF(B658="","",COUNT('Diário 5º PA'!$A$5:$A$2634)+ROW()-4)</f>
        <v>1965</v>
      </c>
      <c r="B658" s="278">
        <v>44333</v>
      </c>
      <c r="C658" s="249">
        <v>44287</v>
      </c>
      <c r="D658" s="250" t="s">
        <v>99</v>
      </c>
      <c r="E658" s="250" t="s">
        <v>330</v>
      </c>
      <c r="F658" s="251">
        <v>188.84</v>
      </c>
      <c r="G658" s="250" t="s">
        <v>554</v>
      </c>
      <c r="H658" s="250" t="s">
        <v>128</v>
      </c>
      <c r="I658" s="252" t="s">
        <v>1430</v>
      </c>
      <c r="J658" s="250" t="s">
        <v>556</v>
      </c>
      <c r="K658" s="255" t="s">
        <v>1015</v>
      </c>
      <c r="L658" s="250" t="s">
        <v>1177</v>
      </c>
      <c r="M658" s="277" t="s">
        <v>114</v>
      </c>
      <c r="N658" s="278">
        <v>44333</v>
      </c>
      <c r="O658" s="329" t="s">
        <v>67</v>
      </c>
      <c r="P658" s="330">
        <f t="shared" ref="P658:Q658" si="654">IF(B658=0,0,IF(YEAR(B658)=$Q$1,MONTH(B658)-$P$1+1,(YEAR(B658)-$Q$1)*12-$P$1+1+MONTH(B658)))</f>
        <v>5</v>
      </c>
      <c r="Q658" s="330">
        <f t="shared" si="654"/>
        <v>4</v>
      </c>
      <c r="R658" s="331" t="str">
        <f t="shared" si="1"/>
        <v>Gastos_Gerais</v>
      </c>
      <c r="S658" s="331" t="str">
        <f>IF(D658="","",IF(OR(D658=Plano!$A$1,D658=Plano!$B$1),"entrada","saída"))</f>
        <v>saída</v>
      </c>
      <c r="T658" s="332" t="s">
        <v>1059</v>
      </c>
      <c r="U658" s="332">
        <v>1336</v>
      </c>
      <c r="V658" s="344"/>
    </row>
    <row r="659" spans="1:22" ht="78" customHeight="1" x14ac:dyDescent="0.2">
      <c r="A659" s="277">
        <f>IF(B659="","",COUNT('Diário 5º PA'!$A$5:$A$2634)+ROW()-4)</f>
        <v>1966</v>
      </c>
      <c r="B659" s="278">
        <v>44333</v>
      </c>
      <c r="C659" s="249">
        <v>44287</v>
      </c>
      <c r="D659" s="255" t="s">
        <v>99</v>
      </c>
      <c r="E659" s="255" t="s">
        <v>312</v>
      </c>
      <c r="F659" s="258">
        <v>152.75</v>
      </c>
      <c r="G659" s="255" t="s">
        <v>439</v>
      </c>
      <c r="H659" s="255" t="s">
        <v>115</v>
      </c>
      <c r="I659" s="252" t="s">
        <v>1421</v>
      </c>
      <c r="J659" s="252" t="s">
        <v>441</v>
      </c>
      <c r="K659" s="255" t="s">
        <v>560</v>
      </c>
      <c r="L659" s="250" t="s">
        <v>1016</v>
      </c>
      <c r="M659" s="277">
        <v>3157715</v>
      </c>
      <c r="N659" s="278">
        <v>44319</v>
      </c>
      <c r="O659" s="329" t="s">
        <v>67</v>
      </c>
      <c r="P659" s="330">
        <f t="shared" ref="P659:Q659" si="655">IF(B659=0,0,IF(YEAR(B659)=$Q$1,MONTH(B659)-$P$1+1,(YEAR(B659)-$Q$1)*12-$P$1+1+MONTH(B659)))</f>
        <v>5</v>
      </c>
      <c r="Q659" s="330">
        <f t="shared" si="655"/>
        <v>4</v>
      </c>
      <c r="R659" s="331" t="str">
        <f t="shared" si="1"/>
        <v>Gastos_Gerais</v>
      </c>
      <c r="S659" s="331" t="str">
        <f>IF(D659="","",IF(OR(D659=Plano!$A$1,D659=Plano!$B$1),"entrada","saída"))</f>
        <v>saída</v>
      </c>
      <c r="T659" s="332" t="s">
        <v>1059</v>
      </c>
      <c r="U659" s="332">
        <v>1142</v>
      </c>
      <c r="V659" s="344"/>
    </row>
    <row r="660" spans="1:22" ht="28.5" customHeight="1" x14ac:dyDescent="0.2">
      <c r="A660" s="277">
        <f>IF(B660="","",COUNT('Diário 5º PA'!$A$5:$A$2634)+ROW()-4)</f>
        <v>1967</v>
      </c>
      <c r="B660" s="278">
        <v>44333</v>
      </c>
      <c r="C660" s="249">
        <v>44287</v>
      </c>
      <c r="D660" s="255" t="s">
        <v>99</v>
      </c>
      <c r="E660" s="255" t="s">
        <v>216</v>
      </c>
      <c r="F660" s="258">
        <v>315.87</v>
      </c>
      <c r="G660" s="252" t="s">
        <v>4606</v>
      </c>
      <c r="H660" s="255" t="s">
        <v>115</v>
      </c>
      <c r="I660" s="250" t="s">
        <v>513</v>
      </c>
      <c r="J660" s="252" t="s">
        <v>514</v>
      </c>
      <c r="K660" s="255" t="s">
        <v>696</v>
      </c>
      <c r="L660" s="250" t="s">
        <v>697</v>
      </c>
      <c r="M660" s="277" t="s">
        <v>114</v>
      </c>
      <c r="N660" s="278">
        <v>44313</v>
      </c>
      <c r="O660" s="329" t="s">
        <v>67</v>
      </c>
      <c r="P660" s="330">
        <f t="shared" ref="P660:Q660" si="656">IF(B660=0,0,IF(YEAR(B660)=$Q$1,MONTH(B660)-$P$1+1,(YEAR(B660)-$Q$1)*12-$P$1+1+MONTH(B660)))</f>
        <v>5</v>
      </c>
      <c r="Q660" s="330">
        <f t="shared" si="656"/>
        <v>4</v>
      </c>
      <c r="R660" s="331" t="str">
        <f t="shared" si="1"/>
        <v>Gastos_Gerais</v>
      </c>
      <c r="S660" s="331" t="str">
        <f>IF(D660="","",IF(OR(D660=Plano!$A$1,D660=Plano!$B$1),"entrada","saída"))</f>
        <v>saída</v>
      </c>
      <c r="T660" s="332" t="s">
        <v>114</v>
      </c>
      <c r="U660" s="332" t="s">
        <v>114</v>
      </c>
      <c r="V660" s="344"/>
    </row>
    <row r="661" spans="1:22" ht="177.75" customHeight="1" x14ac:dyDescent="0.2">
      <c r="A661" s="277">
        <f>IF(B661="","",COUNT('Diário 5º PA'!$A$5:$A$2634)+ROW()-4)</f>
        <v>1968</v>
      </c>
      <c r="B661" s="278">
        <v>44333</v>
      </c>
      <c r="C661" s="249">
        <v>44287</v>
      </c>
      <c r="D661" s="255" t="s">
        <v>99</v>
      </c>
      <c r="E661" s="255" t="s">
        <v>254</v>
      </c>
      <c r="F661" s="258">
        <v>500</v>
      </c>
      <c r="G661" s="255" t="s">
        <v>448</v>
      </c>
      <c r="H661" s="255" t="s">
        <v>115</v>
      </c>
      <c r="I661" s="250" t="s">
        <v>1376</v>
      </c>
      <c r="J661" s="252" t="s">
        <v>1377</v>
      </c>
      <c r="K661" s="255" t="s">
        <v>560</v>
      </c>
      <c r="L661" s="250" t="s">
        <v>1378</v>
      </c>
      <c r="M661" s="277" t="s">
        <v>4607</v>
      </c>
      <c r="N661" s="278">
        <v>44321</v>
      </c>
      <c r="O661" s="329" t="s">
        <v>67</v>
      </c>
      <c r="P661" s="330">
        <f t="shared" ref="P661:Q661" si="657">IF(B661=0,0,IF(YEAR(B661)=$Q$1,MONTH(B661)-$P$1+1,(YEAR(B661)-$Q$1)*12-$P$1+1+MONTH(B661)))</f>
        <v>5</v>
      </c>
      <c r="Q661" s="330">
        <f t="shared" si="657"/>
        <v>4</v>
      </c>
      <c r="R661" s="331" t="str">
        <f t="shared" si="1"/>
        <v>Gastos_Gerais</v>
      </c>
      <c r="S661" s="331" t="str">
        <f>IF(D661="","",IF(OR(D661=Plano!$A$1,D661=Plano!$B$1),"entrada","saída"))</f>
        <v>saída</v>
      </c>
      <c r="T661" s="332" t="s">
        <v>1059</v>
      </c>
      <c r="U661" s="332">
        <v>1143</v>
      </c>
      <c r="V661" s="344"/>
    </row>
    <row r="662" spans="1:22" ht="41.25" customHeight="1" x14ac:dyDescent="0.2">
      <c r="A662" s="277">
        <f>IF(B662="","",COUNT('Diário 5º PA'!$A$5:$A$2634)+ROW()-4)</f>
        <v>1969</v>
      </c>
      <c r="B662" s="278">
        <v>44333</v>
      </c>
      <c r="C662" s="249">
        <v>44287</v>
      </c>
      <c r="D662" s="255" t="s">
        <v>99</v>
      </c>
      <c r="E662" s="255" t="s">
        <v>222</v>
      </c>
      <c r="F662" s="258">
        <v>579.94000000000005</v>
      </c>
      <c r="G662" s="255" t="s">
        <v>524</v>
      </c>
      <c r="H662" s="255" t="s">
        <v>115</v>
      </c>
      <c r="I662" s="252" t="s">
        <v>522</v>
      </c>
      <c r="J662" s="252" t="s">
        <v>523</v>
      </c>
      <c r="K662" s="255" t="s">
        <v>1375</v>
      </c>
      <c r="L662" s="250" t="s">
        <v>697</v>
      </c>
      <c r="M662" s="277" t="s">
        <v>114</v>
      </c>
      <c r="N662" s="278">
        <v>44317</v>
      </c>
      <c r="O662" s="329" t="s">
        <v>67</v>
      </c>
      <c r="P662" s="330">
        <f t="shared" ref="P662:Q662" si="658">IF(B662=0,0,IF(YEAR(B662)=$Q$1,MONTH(B662)-$P$1+1,(YEAR(B662)-$Q$1)*12-$P$1+1+MONTH(B662)))</f>
        <v>5</v>
      </c>
      <c r="Q662" s="330">
        <f t="shared" si="658"/>
        <v>4</v>
      </c>
      <c r="R662" s="331" t="str">
        <f t="shared" si="1"/>
        <v>Gastos_Gerais</v>
      </c>
      <c r="S662" s="331" t="str">
        <f>IF(D662="","",IF(OR(D662=Plano!$A$1,D662=Plano!$B$1),"entrada","saída"))</f>
        <v>saída</v>
      </c>
      <c r="T662" s="332" t="s">
        <v>114</v>
      </c>
      <c r="U662" s="332" t="s">
        <v>114</v>
      </c>
      <c r="V662" s="344"/>
    </row>
    <row r="663" spans="1:22" ht="148.5" customHeight="1" x14ac:dyDescent="0.2">
      <c r="A663" s="277">
        <f>IF(B663="","",COUNT('Diário 5º PA'!$A$5:$A$2634)+ROW()-4)</f>
        <v>1970</v>
      </c>
      <c r="B663" s="278">
        <v>44333</v>
      </c>
      <c r="C663" s="249">
        <v>44317</v>
      </c>
      <c r="D663" s="255" t="s">
        <v>88</v>
      </c>
      <c r="E663" s="255" t="s">
        <v>196</v>
      </c>
      <c r="F663" s="258">
        <v>9453.4599999999991</v>
      </c>
      <c r="G663" s="255" t="s">
        <v>541</v>
      </c>
      <c r="H663" s="255" t="s">
        <v>114</v>
      </c>
      <c r="I663" s="252" t="s">
        <v>542</v>
      </c>
      <c r="J663" s="252" t="s">
        <v>543</v>
      </c>
      <c r="K663" s="255" t="s">
        <v>560</v>
      </c>
      <c r="L663" s="250" t="s">
        <v>1016</v>
      </c>
      <c r="M663" s="277" t="s">
        <v>4608</v>
      </c>
      <c r="N663" s="278">
        <v>44295</v>
      </c>
      <c r="O663" s="329" t="s">
        <v>67</v>
      </c>
      <c r="P663" s="330">
        <f t="shared" ref="P663:Q663" si="659">IF(B663=0,0,IF(YEAR(B663)=$Q$1,MONTH(B663)-$P$1+1,(YEAR(B663)-$Q$1)*12-$P$1+1+MONTH(B663)))</f>
        <v>5</v>
      </c>
      <c r="Q663" s="330">
        <f t="shared" si="659"/>
        <v>5</v>
      </c>
      <c r="R663" s="331" t="str">
        <f t="shared" si="1"/>
        <v>Gastos_com_Pessoal</v>
      </c>
      <c r="S663" s="331" t="str">
        <f>IF(D663="","",IF(OR(D663=Plano!$A$1,D663=Plano!$B$1),"entrada","saída"))</f>
        <v>saída</v>
      </c>
      <c r="T663" s="332" t="s">
        <v>1059</v>
      </c>
      <c r="U663" s="332">
        <v>284</v>
      </c>
      <c r="V663" s="344"/>
    </row>
    <row r="664" spans="1:22" ht="118.5" customHeight="1" x14ac:dyDescent="0.2">
      <c r="A664" s="277">
        <f>IF(B664="","",COUNT('Diário 5º PA'!$A$5:$A$2634)+ROW()-4)</f>
        <v>1971</v>
      </c>
      <c r="B664" s="278">
        <v>44333</v>
      </c>
      <c r="C664" s="249">
        <v>44256</v>
      </c>
      <c r="D664" s="255" t="s">
        <v>88</v>
      </c>
      <c r="E664" s="255" t="s">
        <v>90</v>
      </c>
      <c r="F664" s="258">
        <v>578.05999999999995</v>
      </c>
      <c r="G664" s="255" t="s">
        <v>1423</v>
      </c>
      <c r="H664" s="255" t="s">
        <v>114</v>
      </c>
      <c r="I664" s="252" t="s">
        <v>542</v>
      </c>
      <c r="J664" s="252" t="s">
        <v>543</v>
      </c>
      <c r="K664" s="255" t="s">
        <v>560</v>
      </c>
      <c r="L664" s="250" t="s">
        <v>1016</v>
      </c>
      <c r="M664" s="277" t="s">
        <v>4609</v>
      </c>
      <c r="N664" s="278">
        <v>44292</v>
      </c>
      <c r="O664" s="329" t="s">
        <v>67</v>
      </c>
      <c r="P664" s="330">
        <f t="shared" ref="P664:Q664" si="660">IF(B664=0,0,IF(YEAR(B664)=$Q$1,MONTH(B664)-$P$1+1,(YEAR(B664)-$Q$1)*12-$P$1+1+MONTH(B664)))</f>
        <v>5</v>
      </c>
      <c r="Q664" s="330">
        <f t="shared" si="660"/>
        <v>3</v>
      </c>
      <c r="R664" s="331" t="str">
        <f t="shared" si="1"/>
        <v>Gastos_com_Pessoal</v>
      </c>
      <c r="S664" s="331" t="str">
        <f>IF(D664="","",IF(OR(D664=Plano!$A$1,D664=Plano!$B$1),"entrada","saída"))</f>
        <v>saída</v>
      </c>
      <c r="T664" s="332" t="s">
        <v>1059</v>
      </c>
      <c r="U664" s="332">
        <v>284</v>
      </c>
      <c r="V664" s="344"/>
    </row>
    <row r="665" spans="1:22" ht="147" customHeight="1" x14ac:dyDescent="0.2">
      <c r="A665" s="277">
        <f>IF(B665="","",COUNT('Diário 5º PA'!$A$5:$A$2634)+ROW()-4)</f>
        <v>1972</v>
      </c>
      <c r="B665" s="278">
        <v>44333</v>
      </c>
      <c r="C665" s="259">
        <v>44317</v>
      </c>
      <c r="D665" s="252" t="s">
        <v>99</v>
      </c>
      <c r="E665" s="252" t="s">
        <v>358</v>
      </c>
      <c r="F665" s="257">
        <v>516</v>
      </c>
      <c r="G665" s="252" t="s">
        <v>4610</v>
      </c>
      <c r="H665" s="252" t="s">
        <v>122</v>
      </c>
      <c r="I665" s="252" t="s">
        <v>4611</v>
      </c>
      <c r="J665" s="250" t="s">
        <v>4612</v>
      </c>
      <c r="K665" s="255" t="s">
        <v>991</v>
      </c>
      <c r="L665" s="250" t="s">
        <v>1029</v>
      </c>
      <c r="M665" s="277">
        <v>1167</v>
      </c>
      <c r="N665" s="278">
        <v>44333</v>
      </c>
      <c r="O665" s="329" t="s">
        <v>67</v>
      </c>
      <c r="P665" s="330">
        <f t="shared" ref="P665:Q665" si="661">IF(B665=0,0,IF(YEAR(B665)=$Q$1,MONTH(B665)-$P$1+1,(YEAR(B665)-$Q$1)*12-$P$1+1+MONTH(B665)))</f>
        <v>5</v>
      </c>
      <c r="Q665" s="330">
        <f t="shared" si="661"/>
        <v>5</v>
      </c>
      <c r="R665" s="331" t="str">
        <f t="shared" si="1"/>
        <v>Gastos_Gerais</v>
      </c>
      <c r="S665" s="331" t="str">
        <f>IF(D665="","",IF(OR(D665=Plano!$A$1,D665=Plano!$B$1),"entrada","saída"))</f>
        <v>saída</v>
      </c>
      <c r="T665" s="332" t="s">
        <v>1059</v>
      </c>
      <c r="U665" s="332">
        <v>1535</v>
      </c>
      <c r="V665" s="344"/>
    </row>
    <row r="666" spans="1:22" ht="180.75" customHeight="1" x14ac:dyDescent="0.2">
      <c r="A666" s="277">
        <f>IF(B666="","",COUNT('Diário 5º PA'!$A$5:$A$2634)+ROW()-4)</f>
        <v>1973</v>
      </c>
      <c r="B666" s="278">
        <v>44333</v>
      </c>
      <c r="C666" s="259">
        <v>44317</v>
      </c>
      <c r="D666" s="252" t="s">
        <v>99</v>
      </c>
      <c r="E666" s="252" t="s">
        <v>386</v>
      </c>
      <c r="F666" s="257">
        <v>1921.27</v>
      </c>
      <c r="G666" s="252" t="s">
        <v>4613</v>
      </c>
      <c r="H666" s="252" t="s">
        <v>131</v>
      </c>
      <c r="I666" s="250" t="s">
        <v>1988</v>
      </c>
      <c r="J666" s="250" t="s">
        <v>1989</v>
      </c>
      <c r="K666" s="255" t="s">
        <v>991</v>
      </c>
      <c r="L666" s="250" t="s">
        <v>1029</v>
      </c>
      <c r="M666" s="277">
        <v>1165</v>
      </c>
      <c r="N666" s="278">
        <v>44329</v>
      </c>
      <c r="O666" s="329" t="s">
        <v>67</v>
      </c>
      <c r="P666" s="330">
        <f t="shared" ref="P666:Q666" si="662">IF(B666=0,0,IF(YEAR(B666)=$Q$1,MONTH(B666)-$P$1+1,(YEAR(B666)-$Q$1)*12-$P$1+1+MONTH(B666)))</f>
        <v>5</v>
      </c>
      <c r="Q666" s="330">
        <f t="shared" si="662"/>
        <v>5</v>
      </c>
      <c r="R666" s="331" t="str">
        <f t="shared" si="1"/>
        <v>Gastos_Gerais</v>
      </c>
      <c r="S666" s="331" t="str">
        <f>IF(D666="","",IF(OR(D666=Plano!$A$1,D666=Plano!$B$1),"entrada","saída"))</f>
        <v>saída</v>
      </c>
      <c r="T666" s="332" t="s">
        <v>1059</v>
      </c>
      <c r="U666" s="332">
        <v>1554</v>
      </c>
      <c r="V666" s="344"/>
    </row>
    <row r="667" spans="1:22" ht="150.75" customHeight="1" x14ac:dyDescent="0.2">
      <c r="A667" s="277">
        <f>IF(B667="","",COUNT('Diário 5º PA'!$A$5:$A$2634)+ROW()-4)</f>
        <v>1974</v>
      </c>
      <c r="B667" s="278">
        <v>44333</v>
      </c>
      <c r="C667" s="256">
        <v>44317</v>
      </c>
      <c r="D667" s="255" t="s">
        <v>99</v>
      </c>
      <c r="E667" s="252" t="s">
        <v>364</v>
      </c>
      <c r="F667" s="258">
        <v>3834.88</v>
      </c>
      <c r="G667" s="255" t="s">
        <v>4614</v>
      </c>
      <c r="H667" s="255" t="s">
        <v>131</v>
      </c>
      <c r="I667" s="250" t="s">
        <v>2004</v>
      </c>
      <c r="J667" s="250" t="s">
        <v>1401</v>
      </c>
      <c r="K667" s="255" t="s">
        <v>991</v>
      </c>
      <c r="L667" s="250" t="s">
        <v>1029</v>
      </c>
      <c r="M667" s="277">
        <v>1163</v>
      </c>
      <c r="N667" s="278">
        <v>44329</v>
      </c>
      <c r="O667" s="329" t="s">
        <v>67</v>
      </c>
      <c r="P667" s="330">
        <f t="shared" ref="P667:Q667" si="663">IF(B667=0,0,IF(YEAR(B667)=$Q$1,MONTH(B667)-$P$1+1,(YEAR(B667)-$Q$1)*12-$P$1+1+MONTH(B667)))</f>
        <v>5</v>
      </c>
      <c r="Q667" s="330">
        <f t="shared" si="663"/>
        <v>5</v>
      </c>
      <c r="R667" s="331" t="str">
        <f t="shared" si="1"/>
        <v>Gastos_Gerais</v>
      </c>
      <c r="S667" s="331" t="str">
        <f>IF(D667="","",IF(OR(D667=Plano!$A$1,D667=Plano!$B$1),"entrada","saída"))</f>
        <v>saída</v>
      </c>
      <c r="T667" s="332" t="s">
        <v>1059</v>
      </c>
      <c r="U667" s="332">
        <v>1496</v>
      </c>
      <c r="V667" s="344"/>
    </row>
    <row r="668" spans="1:22" ht="43.5" customHeight="1" x14ac:dyDescent="0.2">
      <c r="A668" s="277">
        <f>IF(B668="","",COUNT('Diário 5º PA'!$A$5:$A$2634)+ROW()-4)</f>
        <v>1975</v>
      </c>
      <c r="B668" s="278">
        <v>44333</v>
      </c>
      <c r="C668" s="249">
        <v>44317</v>
      </c>
      <c r="D668" s="255" t="s">
        <v>99</v>
      </c>
      <c r="E668" s="255" t="s">
        <v>272</v>
      </c>
      <c r="F668" s="258">
        <v>10.45</v>
      </c>
      <c r="G668" s="255" t="s">
        <v>4615</v>
      </c>
      <c r="H668" s="252" t="s">
        <v>122</v>
      </c>
      <c r="I668" s="250" t="s">
        <v>949</v>
      </c>
      <c r="J668" s="255" t="s">
        <v>950</v>
      </c>
      <c r="K668" s="255" t="s">
        <v>951</v>
      </c>
      <c r="L668" s="250" t="s">
        <v>947</v>
      </c>
      <c r="M668" s="336" t="s">
        <v>114</v>
      </c>
      <c r="N668" s="278">
        <v>44333</v>
      </c>
      <c r="O668" s="329" t="s">
        <v>67</v>
      </c>
      <c r="P668" s="330">
        <f t="shared" ref="P668:Q668" si="664">IF(B668=0,0,IF(YEAR(B668)=$Q$1,MONTH(B668)-$P$1+1,(YEAR(B668)-$Q$1)*12-$P$1+1+MONTH(B668)))</f>
        <v>5</v>
      </c>
      <c r="Q668" s="330">
        <f t="shared" si="664"/>
        <v>5</v>
      </c>
      <c r="R668" s="331" t="str">
        <f t="shared" si="1"/>
        <v>Gastos_Gerais</v>
      </c>
      <c r="S668" s="331" t="str">
        <f>IF(D668="","",IF(OR(D668=Plano!$A$1,D668=Plano!$B$1),"entrada","saída"))</f>
        <v>saída</v>
      </c>
      <c r="T668" s="332" t="s">
        <v>114</v>
      </c>
      <c r="U668" s="332" t="s">
        <v>114</v>
      </c>
      <c r="V668" s="344"/>
    </row>
    <row r="669" spans="1:22" ht="52.5" customHeight="1" x14ac:dyDescent="0.2">
      <c r="A669" s="277">
        <f>IF(B669="","",COUNT('Diário 5º PA'!$A$5:$A$2634)+ROW()-4)</f>
        <v>1976</v>
      </c>
      <c r="B669" s="278">
        <v>44333</v>
      </c>
      <c r="C669" s="249">
        <v>44317</v>
      </c>
      <c r="D669" s="255" t="s">
        <v>99</v>
      </c>
      <c r="E669" s="255" t="s">
        <v>272</v>
      </c>
      <c r="F669" s="258">
        <v>10.45</v>
      </c>
      <c r="G669" s="255" t="s">
        <v>4616</v>
      </c>
      <c r="H669" s="252" t="s">
        <v>131</v>
      </c>
      <c r="I669" s="250" t="s">
        <v>949</v>
      </c>
      <c r="J669" s="255" t="s">
        <v>950</v>
      </c>
      <c r="K669" s="255" t="s">
        <v>951</v>
      </c>
      <c r="L669" s="250" t="s">
        <v>947</v>
      </c>
      <c r="M669" s="336" t="s">
        <v>114</v>
      </c>
      <c r="N669" s="278">
        <v>44333</v>
      </c>
      <c r="O669" s="329" t="s">
        <v>67</v>
      </c>
      <c r="P669" s="330">
        <f t="shared" ref="P669:Q669" si="665">IF(B669=0,0,IF(YEAR(B669)=$Q$1,MONTH(B669)-$P$1+1,(YEAR(B669)-$Q$1)*12-$P$1+1+MONTH(B669)))</f>
        <v>5</v>
      </c>
      <c r="Q669" s="330">
        <f t="shared" si="665"/>
        <v>5</v>
      </c>
      <c r="R669" s="331" t="str">
        <f t="shared" si="1"/>
        <v>Gastos_Gerais</v>
      </c>
      <c r="S669" s="331" t="str">
        <f>IF(D669="","",IF(OR(D669=Plano!$A$1,D669=Plano!$B$1),"entrada","saída"))</f>
        <v>saída</v>
      </c>
      <c r="T669" s="332" t="s">
        <v>114</v>
      </c>
      <c r="U669" s="332" t="s">
        <v>114</v>
      </c>
      <c r="V669" s="344"/>
    </row>
    <row r="670" spans="1:22" ht="41.25" customHeight="1" x14ac:dyDescent="0.2">
      <c r="A670" s="277">
        <f>IF(B670="","",COUNT('Diário 5º PA'!$A$5:$A$2634)+ROW()-4)</f>
        <v>1977</v>
      </c>
      <c r="B670" s="278">
        <v>44333</v>
      </c>
      <c r="C670" s="249">
        <v>44317</v>
      </c>
      <c r="D670" s="255" t="s">
        <v>99</v>
      </c>
      <c r="E670" s="255" t="s">
        <v>272</v>
      </c>
      <c r="F670" s="258">
        <v>10.45</v>
      </c>
      <c r="G670" s="255" t="s">
        <v>4617</v>
      </c>
      <c r="H670" s="255" t="s">
        <v>131</v>
      </c>
      <c r="I670" s="250" t="s">
        <v>949</v>
      </c>
      <c r="J670" s="255" t="s">
        <v>950</v>
      </c>
      <c r="K670" s="255" t="s">
        <v>951</v>
      </c>
      <c r="L670" s="250" t="s">
        <v>947</v>
      </c>
      <c r="M670" s="336" t="s">
        <v>114</v>
      </c>
      <c r="N670" s="278">
        <v>44333</v>
      </c>
      <c r="O670" s="329" t="s">
        <v>67</v>
      </c>
      <c r="P670" s="330">
        <f t="shared" ref="P670:Q670" si="666">IF(B670=0,0,IF(YEAR(B670)=$Q$1,MONTH(B670)-$P$1+1,(YEAR(B670)-$Q$1)*12-$P$1+1+MONTH(B670)))</f>
        <v>5</v>
      </c>
      <c r="Q670" s="330">
        <f t="shared" si="666"/>
        <v>5</v>
      </c>
      <c r="R670" s="331" t="str">
        <f t="shared" si="1"/>
        <v>Gastos_Gerais</v>
      </c>
      <c r="S670" s="331" t="str">
        <f>IF(D670="","",IF(OR(D670=Plano!$A$1,D670=Plano!$B$1),"entrada","saída"))</f>
        <v>saída</v>
      </c>
      <c r="T670" s="332" t="s">
        <v>114</v>
      </c>
      <c r="U670" s="332" t="s">
        <v>114</v>
      </c>
      <c r="V670" s="344"/>
    </row>
    <row r="671" spans="1:22" ht="41.25" customHeight="1" x14ac:dyDescent="0.2">
      <c r="A671" s="277">
        <f>IF(B671="","",COUNT('Diário 5º PA'!$A$5:$A$2634)+ROW()-4)</f>
        <v>1978</v>
      </c>
      <c r="B671" s="278">
        <v>44333</v>
      </c>
      <c r="C671" s="249">
        <v>44317</v>
      </c>
      <c r="D671" s="255" t="s">
        <v>99</v>
      </c>
      <c r="E671" s="255" t="s">
        <v>272</v>
      </c>
      <c r="F671" s="258">
        <v>10.45</v>
      </c>
      <c r="G671" s="255" t="s">
        <v>4618</v>
      </c>
      <c r="H671" s="252" t="s">
        <v>131</v>
      </c>
      <c r="I671" s="250" t="s">
        <v>949</v>
      </c>
      <c r="J671" s="255" t="s">
        <v>950</v>
      </c>
      <c r="K671" s="255" t="s">
        <v>951</v>
      </c>
      <c r="L671" s="250" t="s">
        <v>947</v>
      </c>
      <c r="M671" s="336" t="s">
        <v>114</v>
      </c>
      <c r="N671" s="278">
        <v>44333</v>
      </c>
      <c r="O671" s="329" t="s">
        <v>67</v>
      </c>
      <c r="P671" s="330">
        <f t="shared" ref="P671:Q671" si="667">IF(B671=0,0,IF(YEAR(B671)=$Q$1,MONTH(B671)-$P$1+1,(YEAR(B671)-$Q$1)*12-$P$1+1+MONTH(B671)))</f>
        <v>5</v>
      </c>
      <c r="Q671" s="330">
        <f t="shared" si="667"/>
        <v>5</v>
      </c>
      <c r="R671" s="331" t="str">
        <f t="shared" si="1"/>
        <v>Gastos_Gerais</v>
      </c>
      <c r="S671" s="331" t="str">
        <f>IF(D671="","",IF(OR(D671=Plano!$A$1,D671=Plano!$B$1),"entrada","saída"))</f>
        <v>saída</v>
      </c>
      <c r="T671" s="332" t="s">
        <v>114</v>
      </c>
      <c r="U671" s="332" t="s">
        <v>114</v>
      </c>
      <c r="V671" s="344"/>
    </row>
    <row r="672" spans="1:22" ht="151.5" customHeight="1" x14ac:dyDescent="0.2">
      <c r="A672" s="277">
        <f>IF(B672="","",COUNT('Diário 5º PA'!$A$5:$A$2634)+ROW()-4)</f>
        <v>1979</v>
      </c>
      <c r="B672" s="278">
        <v>44333</v>
      </c>
      <c r="C672" s="259">
        <v>44287</v>
      </c>
      <c r="D672" s="252" t="s">
        <v>104</v>
      </c>
      <c r="E672" s="252" t="s">
        <v>104</v>
      </c>
      <c r="F672" s="257">
        <v>2300</v>
      </c>
      <c r="G672" s="252" t="s">
        <v>4387</v>
      </c>
      <c r="H672" s="252" t="s">
        <v>104</v>
      </c>
      <c r="I672" s="252" t="s">
        <v>1631</v>
      </c>
      <c r="J672" s="250" t="s">
        <v>1632</v>
      </c>
      <c r="K672" s="255" t="s">
        <v>1015</v>
      </c>
      <c r="L672" s="250" t="s">
        <v>992</v>
      </c>
      <c r="M672" s="277" t="s">
        <v>1299</v>
      </c>
      <c r="N672" s="278">
        <v>44333</v>
      </c>
      <c r="O672" s="329" t="s">
        <v>68</v>
      </c>
      <c r="P672" s="330">
        <f t="shared" ref="P672:Q672" si="668">IF(B672=0,0,IF(YEAR(B672)=$Q$1,MONTH(B672)-$P$1+1,(YEAR(B672)-$Q$1)*12-$P$1+1+MONTH(B672)))</f>
        <v>5</v>
      </c>
      <c r="Q672" s="330">
        <f t="shared" si="668"/>
        <v>4</v>
      </c>
      <c r="R672" s="331" t="str">
        <f t="shared" si="1"/>
        <v>Gastos_custeados_por_captação</v>
      </c>
      <c r="S672" s="331" t="str">
        <f>IF(D672="","",IF(OR(D672=Plano!$A$1,D672=Plano!$B$1),"entrada","saída"))</f>
        <v>saída</v>
      </c>
      <c r="T672" s="332" t="s">
        <v>1059</v>
      </c>
      <c r="U672" s="332">
        <v>1402</v>
      </c>
      <c r="V672" s="344"/>
    </row>
    <row r="673" spans="1:22" ht="151.5" customHeight="1" x14ac:dyDescent="0.2">
      <c r="A673" s="277">
        <f>IF(B673="","",COUNT('Diário 5º PA'!$A$5:$A$2634)+ROW()-4)</f>
        <v>1980</v>
      </c>
      <c r="B673" s="278">
        <v>44333</v>
      </c>
      <c r="C673" s="259">
        <v>44317</v>
      </c>
      <c r="D673" s="252" t="s">
        <v>104</v>
      </c>
      <c r="E673" s="252" t="s">
        <v>104</v>
      </c>
      <c r="F673" s="257">
        <v>420</v>
      </c>
      <c r="G673" s="252" t="s">
        <v>4619</v>
      </c>
      <c r="H673" s="252" t="s">
        <v>104</v>
      </c>
      <c r="I673" s="250" t="s">
        <v>4360</v>
      </c>
      <c r="J673" s="250" t="s">
        <v>4620</v>
      </c>
      <c r="K673" s="255" t="s">
        <v>1015</v>
      </c>
      <c r="L673" s="250" t="s">
        <v>1029</v>
      </c>
      <c r="M673" s="277">
        <v>1166</v>
      </c>
      <c r="N673" s="278">
        <v>44330</v>
      </c>
      <c r="O673" s="329" t="s">
        <v>70</v>
      </c>
      <c r="P673" s="330">
        <f t="shared" ref="P673:Q673" si="669">IF(B673=0,0,IF(YEAR(B673)=$Q$1,MONTH(B673)-$P$1+1,(YEAR(B673)-$Q$1)*12-$P$1+1+MONTH(B673)))</f>
        <v>5</v>
      </c>
      <c r="Q673" s="330">
        <f t="shared" si="669"/>
        <v>5</v>
      </c>
      <c r="R673" s="331" t="str">
        <f t="shared" si="1"/>
        <v>Gastos_custeados_por_captação</v>
      </c>
      <c r="S673" s="331" t="str">
        <f>IF(D673="","",IF(OR(D673=Plano!$A$1,D673=Plano!$B$1),"entrada","saída"))</f>
        <v>saída</v>
      </c>
      <c r="T673" s="332" t="s">
        <v>994</v>
      </c>
      <c r="U673" s="332">
        <v>1526</v>
      </c>
      <c r="V673" s="344"/>
    </row>
    <row r="674" spans="1:22" ht="104.25" customHeight="1" x14ac:dyDescent="0.2">
      <c r="A674" s="277">
        <f>IF(B674="","",COUNT('Diário 5º PA'!$A$5:$A$2634)+ROW()-4)</f>
        <v>1981</v>
      </c>
      <c r="B674" s="278">
        <v>44333</v>
      </c>
      <c r="C674" s="259">
        <v>44287</v>
      </c>
      <c r="D674" s="252" t="s">
        <v>104</v>
      </c>
      <c r="E674" s="252" t="s">
        <v>104</v>
      </c>
      <c r="F674" s="257">
        <v>3428.6</v>
      </c>
      <c r="G674" s="252" t="s">
        <v>4621</v>
      </c>
      <c r="H674" s="252" t="s">
        <v>104</v>
      </c>
      <c r="I674" s="252" t="s">
        <v>1405</v>
      </c>
      <c r="J674" s="250" t="s">
        <v>1406</v>
      </c>
      <c r="K674" s="255" t="s">
        <v>1015</v>
      </c>
      <c r="L674" s="250" t="s">
        <v>1016</v>
      </c>
      <c r="M674" s="277" t="s">
        <v>1049</v>
      </c>
      <c r="N674" s="278">
        <v>44333</v>
      </c>
      <c r="O674" s="329" t="s">
        <v>70</v>
      </c>
      <c r="P674" s="330">
        <f t="shared" ref="P674:Q674" si="670">IF(B674=0,0,IF(YEAR(B674)=$Q$1,MONTH(B674)-$P$1+1,(YEAR(B674)-$Q$1)*12-$P$1+1+MONTH(B674)))</f>
        <v>5</v>
      </c>
      <c r="Q674" s="330">
        <f t="shared" si="670"/>
        <v>4</v>
      </c>
      <c r="R674" s="331" t="str">
        <f t="shared" si="1"/>
        <v>Gastos_custeados_por_captação</v>
      </c>
      <c r="S674" s="331" t="str">
        <f>IF(D674="","",IF(OR(D674=Plano!$A$1,D674=Plano!$B$1),"entrada","saída"))</f>
        <v>saída</v>
      </c>
      <c r="T674" s="332" t="s">
        <v>1082</v>
      </c>
      <c r="U674" s="332">
        <v>1485</v>
      </c>
      <c r="V674" s="344"/>
    </row>
    <row r="675" spans="1:22" ht="100.5" customHeight="1" x14ac:dyDescent="0.2">
      <c r="A675" s="277">
        <f>IF(B675="","",COUNT('Diário 5º PA'!$A$5:$A$2634)+ROW()-4)</f>
        <v>1982</v>
      </c>
      <c r="B675" s="278">
        <v>44333</v>
      </c>
      <c r="C675" s="259">
        <v>44287</v>
      </c>
      <c r="D675" s="252" t="s">
        <v>104</v>
      </c>
      <c r="E675" s="252" t="s">
        <v>104</v>
      </c>
      <c r="F675" s="257">
        <v>2694.72</v>
      </c>
      <c r="G675" s="252" t="s">
        <v>4622</v>
      </c>
      <c r="H675" s="252" t="s">
        <v>104</v>
      </c>
      <c r="I675" s="252" t="s">
        <v>1602</v>
      </c>
      <c r="J675" s="250" t="s">
        <v>1393</v>
      </c>
      <c r="K675" s="255" t="s">
        <v>1015</v>
      </c>
      <c r="L675" s="250" t="s">
        <v>1016</v>
      </c>
      <c r="M675" s="277" t="s">
        <v>1061</v>
      </c>
      <c r="N675" s="278">
        <v>44330</v>
      </c>
      <c r="O675" s="329" t="s">
        <v>70</v>
      </c>
      <c r="P675" s="330">
        <f t="shared" ref="P675:Q675" si="671">IF(B675=0,0,IF(YEAR(B675)=$Q$1,MONTH(B675)-$P$1+1,(YEAR(B675)-$Q$1)*12-$P$1+1+MONTH(B675)))</f>
        <v>5</v>
      </c>
      <c r="Q675" s="330">
        <f t="shared" si="671"/>
        <v>4</v>
      </c>
      <c r="R675" s="331" t="str">
        <f t="shared" si="1"/>
        <v>Gastos_custeados_por_captação</v>
      </c>
      <c r="S675" s="331" t="str">
        <f>IF(D675="","",IF(OR(D675=Plano!$A$1,D675=Plano!$B$1),"entrada","saída"))</f>
        <v>saída</v>
      </c>
      <c r="T675" s="332" t="s">
        <v>1082</v>
      </c>
      <c r="U675" s="332">
        <v>1487</v>
      </c>
      <c r="V675" s="344"/>
    </row>
    <row r="676" spans="1:22" ht="75" customHeight="1" x14ac:dyDescent="0.2">
      <c r="A676" s="277">
        <f>IF(B676="","",COUNT('Diário 5º PA'!$A$5:$A$2634)+ROW()-4)</f>
        <v>1983</v>
      </c>
      <c r="B676" s="278">
        <v>44334</v>
      </c>
      <c r="C676" s="256">
        <v>44287</v>
      </c>
      <c r="D676" s="255" t="s">
        <v>99</v>
      </c>
      <c r="E676" s="255" t="s">
        <v>230</v>
      </c>
      <c r="F676" s="257">
        <v>-1741.71</v>
      </c>
      <c r="G676" s="252" t="s">
        <v>4623</v>
      </c>
      <c r="H676" s="255" t="s">
        <v>115</v>
      </c>
      <c r="I676" s="250" t="s">
        <v>983</v>
      </c>
      <c r="J676" s="255" t="s">
        <v>850</v>
      </c>
      <c r="K676" s="255" t="s">
        <v>1069</v>
      </c>
      <c r="L676" s="250" t="s">
        <v>947</v>
      </c>
      <c r="M676" s="277" t="s">
        <v>114</v>
      </c>
      <c r="N676" s="278">
        <v>44334</v>
      </c>
      <c r="O676" s="329" t="s">
        <v>67</v>
      </c>
      <c r="P676" s="330">
        <f t="shared" ref="P676:Q676" si="672">IF(B676=0,0,IF(YEAR(B676)=$Q$1,MONTH(B676)-$P$1+1,(YEAR(B676)-$Q$1)*12-$P$1+1+MONTH(B676)))</f>
        <v>5</v>
      </c>
      <c r="Q676" s="330">
        <f t="shared" si="672"/>
        <v>4</v>
      </c>
      <c r="R676" s="331" t="str">
        <f t="shared" si="1"/>
        <v>Gastos_Gerais</v>
      </c>
      <c r="S676" s="331" t="str">
        <f>IF(D676="","",IF(OR(D676=Plano!$A$1,D676=Plano!$B$1),"entrada","saída"))</f>
        <v>saída</v>
      </c>
      <c r="T676" s="332" t="s">
        <v>114</v>
      </c>
      <c r="U676" s="332" t="s">
        <v>114</v>
      </c>
      <c r="V676" s="344"/>
    </row>
    <row r="677" spans="1:22" ht="145.5" customHeight="1" x14ac:dyDescent="0.2">
      <c r="A677" s="277">
        <f>IF(B677="","",COUNT('Diário 5º PA'!$A$5:$A$2634)+ROW()-4)</f>
        <v>1984</v>
      </c>
      <c r="B677" s="278">
        <v>44334</v>
      </c>
      <c r="C677" s="249">
        <v>44287</v>
      </c>
      <c r="D677" s="255" t="s">
        <v>99</v>
      </c>
      <c r="E677" s="255" t="s">
        <v>230</v>
      </c>
      <c r="F677" s="258">
        <v>6594.88</v>
      </c>
      <c r="G677" s="255" t="s">
        <v>484</v>
      </c>
      <c r="H677" s="255" t="s">
        <v>115</v>
      </c>
      <c r="I677" s="250" t="s">
        <v>485</v>
      </c>
      <c r="J677" s="252" t="s">
        <v>1255</v>
      </c>
      <c r="K677" s="255" t="s">
        <v>1015</v>
      </c>
      <c r="L677" s="250" t="s">
        <v>3666</v>
      </c>
      <c r="M677" s="277" t="s">
        <v>114</v>
      </c>
      <c r="N677" s="278">
        <v>44333</v>
      </c>
      <c r="O677" s="329" t="s">
        <v>67</v>
      </c>
      <c r="P677" s="330">
        <f t="shared" ref="P677:Q677" si="673">IF(B677=0,0,IF(YEAR(B677)=$Q$1,MONTH(B677)-$P$1+1,(YEAR(B677)-$Q$1)*12-$P$1+1+MONTH(B677)))</f>
        <v>5</v>
      </c>
      <c r="Q677" s="330">
        <f t="shared" si="673"/>
        <v>4</v>
      </c>
      <c r="R677" s="331" t="str">
        <f t="shared" si="1"/>
        <v>Gastos_Gerais</v>
      </c>
      <c r="S677" s="331" t="str">
        <f>IF(D677="","",IF(OR(D677=Plano!$A$1,D677=Plano!$B$1),"entrada","saída"))</f>
        <v>saída</v>
      </c>
      <c r="T677" s="332" t="s">
        <v>1059</v>
      </c>
      <c r="U677" s="332">
        <v>1115</v>
      </c>
      <c r="V677" s="344"/>
    </row>
    <row r="678" spans="1:22" ht="39" customHeight="1" x14ac:dyDescent="0.2">
      <c r="A678" s="277">
        <f>IF(B678="","",COUNT('Diário 5º PA'!$A$5:$A$2634)+ROW()-4)</f>
        <v>1985</v>
      </c>
      <c r="B678" s="278">
        <v>44334</v>
      </c>
      <c r="C678" s="256">
        <v>44287</v>
      </c>
      <c r="D678" s="255" t="s">
        <v>99</v>
      </c>
      <c r="E678" s="255" t="s">
        <v>216</v>
      </c>
      <c r="F678" s="258">
        <v>87.67</v>
      </c>
      <c r="G678" s="255" t="s">
        <v>4624</v>
      </c>
      <c r="H678" s="255" t="s">
        <v>129</v>
      </c>
      <c r="I678" s="250" t="s">
        <v>513</v>
      </c>
      <c r="J678" s="252" t="s">
        <v>514</v>
      </c>
      <c r="K678" s="255" t="s">
        <v>696</v>
      </c>
      <c r="L678" s="250" t="s">
        <v>697</v>
      </c>
      <c r="M678" s="277" t="s">
        <v>114</v>
      </c>
      <c r="N678" s="278">
        <v>44303</v>
      </c>
      <c r="O678" s="329" t="s">
        <v>67</v>
      </c>
      <c r="P678" s="386">
        <f t="shared" ref="P678:Q678" si="674">IF(B678=0,0,IF(YEAR(B678)=$Q$1,MONTH(B678)-$P$1+1,(YEAR(B678)-$Q$1)*12-$P$1+1+MONTH(B678)))</f>
        <v>5</v>
      </c>
      <c r="Q678" s="330">
        <f t="shared" si="674"/>
        <v>4</v>
      </c>
      <c r="R678" s="331" t="str">
        <f t="shared" si="1"/>
        <v>Gastos_Gerais</v>
      </c>
      <c r="S678" s="331" t="str">
        <f>IF(D678="","",IF(OR(D678=Plano!$A$1,D678=Plano!$B$1),"entrada","saída"))</f>
        <v>saída</v>
      </c>
      <c r="T678" s="332" t="s">
        <v>114</v>
      </c>
      <c r="U678" s="332" t="s">
        <v>114</v>
      </c>
      <c r="V678" s="344"/>
    </row>
    <row r="679" spans="1:22" ht="189" customHeight="1" x14ac:dyDescent="0.2">
      <c r="A679" s="277">
        <f>IF(B679="","",COUNT('Diário 5º PA'!$A$5:$A$2634)+ROW()-4)</f>
        <v>1986</v>
      </c>
      <c r="B679" s="278">
        <v>44334</v>
      </c>
      <c r="C679" s="259">
        <v>44256</v>
      </c>
      <c r="D679" s="252" t="s">
        <v>99</v>
      </c>
      <c r="E679" s="252" t="s">
        <v>336</v>
      </c>
      <c r="F679" s="257">
        <v>1808.96</v>
      </c>
      <c r="G679" s="252" t="s">
        <v>4026</v>
      </c>
      <c r="H679" s="252" t="s">
        <v>117</v>
      </c>
      <c r="I679" s="252" t="s">
        <v>2849</v>
      </c>
      <c r="J679" s="250" t="s">
        <v>1761</v>
      </c>
      <c r="K679" s="255" t="s">
        <v>991</v>
      </c>
      <c r="L679" s="250" t="s">
        <v>1029</v>
      </c>
      <c r="M679" s="277">
        <v>1162</v>
      </c>
      <c r="N679" s="278">
        <v>44328</v>
      </c>
      <c r="O679" s="329" t="s">
        <v>67</v>
      </c>
      <c r="P679" s="330">
        <f t="shared" ref="P679:Q679" si="675">IF(B679=0,0,IF(YEAR(B679)=$Q$1,MONTH(B679)-$P$1+1,(YEAR(B679)-$Q$1)*12-$P$1+1+MONTH(B679)))</f>
        <v>5</v>
      </c>
      <c r="Q679" s="330">
        <f t="shared" si="675"/>
        <v>3</v>
      </c>
      <c r="R679" s="331" t="str">
        <f t="shared" si="1"/>
        <v>Gastos_Gerais</v>
      </c>
      <c r="S679" s="331" t="str">
        <f>IF(D679="","",IF(OR(D679=Plano!$A$1,D679=Plano!$B$1),"entrada","saída"))</f>
        <v>saída</v>
      </c>
      <c r="T679" s="332" t="s">
        <v>994</v>
      </c>
      <c r="U679" s="332">
        <v>1202</v>
      </c>
      <c r="V679" s="344"/>
    </row>
    <row r="680" spans="1:22" ht="145.5" customHeight="1" x14ac:dyDescent="0.2">
      <c r="A680" s="277">
        <f>IF(B680="","",COUNT('Diário 5º PA'!$A$5:$A$2634)+ROW()-4)</f>
        <v>1987</v>
      </c>
      <c r="B680" s="278">
        <v>44334</v>
      </c>
      <c r="C680" s="259">
        <v>44317</v>
      </c>
      <c r="D680" s="252" t="s">
        <v>99</v>
      </c>
      <c r="E680" s="252" t="s">
        <v>364</v>
      </c>
      <c r="F680" s="257">
        <v>2819.8</v>
      </c>
      <c r="G680" s="252" t="s">
        <v>4625</v>
      </c>
      <c r="H680" s="252" t="s">
        <v>131</v>
      </c>
      <c r="I680" s="250" t="s">
        <v>4626</v>
      </c>
      <c r="J680" s="250" t="s">
        <v>4627</v>
      </c>
      <c r="K680" s="255" t="s">
        <v>991</v>
      </c>
      <c r="L680" s="250" t="s">
        <v>1177</v>
      </c>
      <c r="M680" s="277" t="s">
        <v>114</v>
      </c>
      <c r="N680" s="278">
        <v>44333</v>
      </c>
      <c r="O680" s="329" t="s">
        <v>67</v>
      </c>
      <c r="P680" s="330">
        <f t="shared" ref="P680:Q680" si="676">IF(B680=0,0,IF(YEAR(B680)=$Q$1,MONTH(B680)-$P$1+1,(YEAR(B680)-$Q$1)*12-$P$1+1+MONTH(B680)))</f>
        <v>5</v>
      </c>
      <c r="Q680" s="330">
        <f t="shared" si="676"/>
        <v>5</v>
      </c>
      <c r="R680" s="331" t="str">
        <f t="shared" si="1"/>
        <v>Gastos_Gerais</v>
      </c>
      <c r="S680" s="331" t="str">
        <f>IF(D680="","",IF(OR(D680=Plano!$A$1,D680=Plano!$B$1),"entrada","saída"))</f>
        <v>saída</v>
      </c>
      <c r="T680" s="332" t="s">
        <v>994</v>
      </c>
      <c r="U680" s="332">
        <v>1556</v>
      </c>
      <c r="V680" s="344"/>
    </row>
    <row r="681" spans="1:22" ht="48.75" customHeight="1" x14ac:dyDescent="0.2">
      <c r="A681" s="277">
        <f>IF(B681="","",COUNT('Diário 5º PA'!$A$5:$A$2634)+ROW()-4)</f>
        <v>1988</v>
      </c>
      <c r="B681" s="278">
        <v>44334</v>
      </c>
      <c r="C681" s="249">
        <v>44317</v>
      </c>
      <c r="D681" s="255" t="s">
        <v>99</v>
      </c>
      <c r="E681" s="255" t="s">
        <v>272</v>
      </c>
      <c r="F681" s="258">
        <v>10.45</v>
      </c>
      <c r="G681" s="255" t="s">
        <v>4628</v>
      </c>
      <c r="H681" s="252" t="s">
        <v>117</v>
      </c>
      <c r="I681" s="250" t="s">
        <v>949</v>
      </c>
      <c r="J681" s="255" t="s">
        <v>950</v>
      </c>
      <c r="K681" s="255" t="s">
        <v>951</v>
      </c>
      <c r="L681" s="250" t="s">
        <v>947</v>
      </c>
      <c r="M681" s="336" t="s">
        <v>114</v>
      </c>
      <c r="N681" s="278">
        <v>44334</v>
      </c>
      <c r="O681" s="329" t="s">
        <v>67</v>
      </c>
      <c r="P681" s="330">
        <f t="shared" ref="P681:Q681" si="677">IF(B681=0,0,IF(YEAR(B681)=$Q$1,MONTH(B681)-$P$1+1,(YEAR(B681)-$Q$1)*12-$P$1+1+MONTH(B681)))</f>
        <v>5</v>
      </c>
      <c r="Q681" s="330">
        <f t="shared" si="677"/>
        <v>5</v>
      </c>
      <c r="R681" s="331" t="str">
        <f t="shared" si="1"/>
        <v>Gastos_Gerais</v>
      </c>
      <c r="S681" s="331" t="str">
        <f>IF(D681="","",IF(OR(D681=Plano!$A$1,D681=Plano!$B$1),"entrada","saída"))</f>
        <v>saída</v>
      </c>
      <c r="T681" s="332" t="s">
        <v>114</v>
      </c>
      <c r="U681" s="332" t="s">
        <v>114</v>
      </c>
      <c r="V681" s="344"/>
    </row>
    <row r="682" spans="1:22" ht="60" customHeight="1" x14ac:dyDescent="0.2">
      <c r="A682" s="277">
        <f>IF(B682="","",COUNT('Diário 5º PA'!$A$5:$A$2634)+ROW()-4)</f>
        <v>1989</v>
      </c>
      <c r="B682" s="278">
        <v>44334</v>
      </c>
      <c r="C682" s="249">
        <v>44317</v>
      </c>
      <c r="D682" s="255" t="s">
        <v>99</v>
      </c>
      <c r="E682" s="255" t="s">
        <v>272</v>
      </c>
      <c r="F682" s="258">
        <v>10.45</v>
      </c>
      <c r="G682" s="255" t="s">
        <v>4618</v>
      </c>
      <c r="H682" s="252" t="s">
        <v>131</v>
      </c>
      <c r="I682" s="250" t="s">
        <v>949</v>
      </c>
      <c r="J682" s="255" t="s">
        <v>950</v>
      </c>
      <c r="K682" s="255" t="s">
        <v>951</v>
      </c>
      <c r="L682" s="250" t="s">
        <v>947</v>
      </c>
      <c r="M682" s="336" t="s">
        <v>114</v>
      </c>
      <c r="N682" s="278">
        <v>44334</v>
      </c>
      <c r="O682" s="329" t="s">
        <v>67</v>
      </c>
      <c r="P682" s="330">
        <f t="shared" ref="P682:Q682" si="678">IF(B682=0,0,IF(YEAR(B682)=$Q$1,MONTH(B682)-$P$1+1,(YEAR(B682)-$Q$1)*12-$P$1+1+MONTH(B682)))</f>
        <v>5</v>
      </c>
      <c r="Q682" s="330">
        <f t="shared" si="678"/>
        <v>5</v>
      </c>
      <c r="R682" s="331" t="str">
        <f t="shared" si="1"/>
        <v>Gastos_Gerais</v>
      </c>
      <c r="S682" s="331" t="str">
        <f>IF(D682="","",IF(OR(D682=Plano!$A$1,D682=Plano!$B$1),"entrada","saída"))</f>
        <v>saída</v>
      </c>
      <c r="T682" s="332" t="s">
        <v>114</v>
      </c>
      <c r="U682" s="332" t="s">
        <v>114</v>
      </c>
      <c r="V682" s="344"/>
    </row>
    <row r="683" spans="1:22" ht="152.25" customHeight="1" x14ac:dyDescent="0.2">
      <c r="A683" s="277">
        <f>IF(B683="","",COUNT('Diário 5º PA'!$A$5:$A$2634)+ROW()-4)</f>
        <v>1990</v>
      </c>
      <c r="B683" s="278">
        <v>44335</v>
      </c>
      <c r="C683" s="259">
        <v>44317</v>
      </c>
      <c r="D683" s="252" t="s">
        <v>99</v>
      </c>
      <c r="E683" s="252" t="s">
        <v>364</v>
      </c>
      <c r="F683" s="257">
        <v>2819.8</v>
      </c>
      <c r="G683" s="252" t="s">
        <v>4625</v>
      </c>
      <c r="H683" s="252" t="s">
        <v>131</v>
      </c>
      <c r="I683" s="250" t="s">
        <v>4629</v>
      </c>
      <c r="J683" s="250" t="s">
        <v>4630</v>
      </c>
      <c r="K683" s="255" t="s">
        <v>1015</v>
      </c>
      <c r="L683" s="250" t="s">
        <v>1177</v>
      </c>
      <c r="M683" s="277" t="s">
        <v>114</v>
      </c>
      <c r="N683" s="278">
        <v>44334</v>
      </c>
      <c r="O683" s="329" t="s">
        <v>67</v>
      </c>
      <c r="P683" s="330">
        <f t="shared" ref="P683:Q683" si="679">IF(B683=0,0,IF(YEAR(B683)=$Q$1,MONTH(B683)-$P$1+1,(YEAR(B683)-$Q$1)*12-$P$1+1+MONTH(B683)))</f>
        <v>5</v>
      </c>
      <c r="Q683" s="330">
        <f t="shared" si="679"/>
        <v>5</v>
      </c>
      <c r="R683" s="331" t="str">
        <f t="shared" si="1"/>
        <v>Gastos_Gerais</v>
      </c>
      <c r="S683" s="331" t="str">
        <f>IF(D683="","",IF(OR(D683=Plano!$A$1,D683=Plano!$B$1),"entrada","saída"))</f>
        <v>saída</v>
      </c>
      <c r="T683" s="332" t="s">
        <v>1059</v>
      </c>
      <c r="U683" s="332">
        <v>1555</v>
      </c>
      <c r="V683" s="344"/>
    </row>
    <row r="684" spans="1:22" ht="63.75" customHeight="1" x14ac:dyDescent="0.2">
      <c r="A684" s="277">
        <f>IF(B684="","",COUNT('Diário 5º PA'!$A$5:$A$2634)+ROW()-4)</f>
        <v>1991</v>
      </c>
      <c r="B684" s="278">
        <v>44335</v>
      </c>
      <c r="C684" s="256">
        <v>44317</v>
      </c>
      <c r="D684" s="255" t="s">
        <v>88</v>
      </c>
      <c r="E684" s="255" t="s">
        <v>192</v>
      </c>
      <c r="F684" s="258">
        <v>151.41999999999999</v>
      </c>
      <c r="G684" s="252" t="s">
        <v>4631</v>
      </c>
      <c r="H684" s="255" t="s">
        <v>114</v>
      </c>
      <c r="I684" s="252" t="s">
        <v>1032</v>
      </c>
      <c r="J684" s="252" t="s">
        <v>1033</v>
      </c>
      <c r="K684" s="255" t="s">
        <v>560</v>
      </c>
      <c r="L684" s="252" t="s">
        <v>1016</v>
      </c>
      <c r="M684" s="277" t="s">
        <v>4632</v>
      </c>
      <c r="N684" s="278">
        <v>44337</v>
      </c>
      <c r="O684" s="329" t="s">
        <v>67</v>
      </c>
      <c r="P684" s="386">
        <f t="shared" ref="P684:Q684" si="680">IF(B684=0,0,IF(YEAR(B684)=$Q$1,MONTH(B684)-$P$1+1,(YEAR(B684)-$Q$1)*12-$P$1+1+MONTH(B684)))</f>
        <v>5</v>
      </c>
      <c r="Q684" s="330">
        <f t="shared" si="680"/>
        <v>5</v>
      </c>
      <c r="R684" s="331" t="str">
        <f t="shared" si="1"/>
        <v>Gastos_com_Pessoal</v>
      </c>
      <c r="S684" s="331" t="str">
        <f>IF(D684="","",IF(OR(D684=Plano!$A$1,D684=Plano!$B$1),"entrada","saída"))</f>
        <v>saída</v>
      </c>
      <c r="T684" s="332" t="s">
        <v>114</v>
      </c>
      <c r="U684" s="332" t="s">
        <v>114</v>
      </c>
      <c r="V684" s="344"/>
    </row>
    <row r="685" spans="1:22" ht="148.5" customHeight="1" x14ac:dyDescent="0.2">
      <c r="A685" s="277">
        <f>IF(B685="","",COUNT('Diário 5º PA'!$A$5:$A$2634)+ROW()-4)</f>
        <v>1992</v>
      </c>
      <c r="B685" s="278">
        <v>44335</v>
      </c>
      <c r="C685" s="259">
        <v>44287</v>
      </c>
      <c r="D685" s="252" t="s">
        <v>104</v>
      </c>
      <c r="E685" s="252" t="s">
        <v>104</v>
      </c>
      <c r="F685" s="257">
        <v>10178.09</v>
      </c>
      <c r="G685" s="252" t="s">
        <v>586</v>
      </c>
      <c r="H685" s="252" t="s">
        <v>104</v>
      </c>
      <c r="I685" s="252" t="s">
        <v>1447</v>
      </c>
      <c r="J685" s="250" t="s">
        <v>587</v>
      </c>
      <c r="K685" s="255" t="s">
        <v>1015</v>
      </c>
      <c r="L685" s="252" t="s">
        <v>1016</v>
      </c>
      <c r="M685" s="277" t="s">
        <v>4185</v>
      </c>
      <c r="N685" s="278">
        <v>44335</v>
      </c>
      <c r="O685" s="329" t="s">
        <v>69</v>
      </c>
      <c r="P685" s="386">
        <f t="shared" ref="P685:Q685" si="681">IF(B685=0,0,IF(YEAR(B685)=$Q$1,MONTH(B685)-$P$1+1,(YEAR(B685)-$Q$1)*12-$P$1+1+MONTH(B685)))</f>
        <v>5</v>
      </c>
      <c r="Q685" s="330">
        <f t="shared" si="681"/>
        <v>4</v>
      </c>
      <c r="R685" s="331" t="str">
        <f t="shared" si="1"/>
        <v>Gastos_custeados_por_captação</v>
      </c>
      <c r="S685" s="331" t="str">
        <f>IF(D685="","",IF(OR(D685=Plano!$A$1,D685=Plano!$B$1),"entrada","saída"))</f>
        <v>saída</v>
      </c>
      <c r="T685" s="332" t="s">
        <v>1059</v>
      </c>
      <c r="U685" s="332">
        <v>1441</v>
      </c>
      <c r="V685" s="344"/>
    </row>
    <row r="686" spans="1:22" ht="119.25" customHeight="1" x14ac:dyDescent="0.2">
      <c r="A686" s="277">
        <f>IF(B686="","",COUNT('Diário 5º PA'!$A$5:$A$2634)+ROW()-4)</f>
        <v>1993</v>
      </c>
      <c r="B686" s="278">
        <v>44335</v>
      </c>
      <c r="C686" s="259">
        <v>44317</v>
      </c>
      <c r="D686" s="252" t="s">
        <v>104</v>
      </c>
      <c r="E686" s="252" t="s">
        <v>104</v>
      </c>
      <c r="F686" s="257">
        <v>336</v>
      </c>
      <c r="G686" s="252" t="s">
        <v>4633</v>
      </c>
      <c r="H686" s="252" t="s">
        <v>104</v>
      </c>
      <c r="I686" s="252" t="s">
        <v>4634</v>
      </c>
      <c r="J686" s="250" t="s">
        <v>4635</v>
      </c>
      <c r="K686" s="255" t="s">
        <v>1015</v>
      </c>
      <c r="L686" s="252" t="s">
        <v>1029</v>
      </c>
      <c r="M686" s="277">
        <v>1169</v>
      </c>
      <c r="N686" s="278">
        <v>44335</v>
      </c>
      <c r="O686" s="329" t="s">
        <v>70</v>
      </c>
      <c r="P686" s="386">
        <f t="shared" ref="P686:Q686" si="682">IF(B686=0,0,IF(YEAR(B686)=$Q$1,MONTH(B686)-$P$1+1,(YEAR(B686)-$Q$1)*12-$P$1+1+MONTH(B686)))</f>
        <v>5</v>
      </c>
      <c r="Q686" s="330">
        <f t="shared" si="682"/>
        <v>5</v>
      </c>
      <c r="R686" s="331" t="str">
        <f t="shared" si="1"/>
        <v>Gastos_custeados_por_captação</v>
      </c>
      <c r="S686" s="331" t="str">
        <f>IF(D686="","",IF(OR(D686=Plano!$A$1,D686=Plano!$B$1),"entrada","saída"))</f>
        <v>saída</v>
      </c>
      <c r="T686" s="332" t="s">
        <v>994</v>
      </c>
      <c r="U686" s="332">
        <v>1492</v>
      </c>
      <c r="V686" s="344"/>
    </row>
    <row r="687" spans="1:22" ht="148.5" customHeight="1" x14ac:dyDescent="0.2">
      <c r="A687" s="277">
        <f>IF(B687="","",COUNT('Diário 5º PA'!$A$5:$A$2634)+ROW()-4)</f>
        <v>1994</v>
      </c>
      <c r="B687" s="278">
        <v>44335</v>
      </c>
      <c r="C687" s="259">
        <v>44317</v>
      </c>
      <c r="D687" s="252" t="s">
        <v>104</v>
      </c>
      <c r="E687" s="252" t="s">
        <v>104</v>
      </c>
      <c r="F687" s="257">
        <v>336</v>
      </c>
      <c r="G687" s="252" t="s">
        <v>4636</v>
      </c>
      <c r="H687" s="252" t="s">
        <v>104</v>
      </c>
      <c r="I687" s="252" t="s">
        <v>4637</v>
      </c>
      <c r="J687" s="250" t="s">
        <v>4638</v>
      </c>
      <c r="K687" s="255" t="s">
        <v>1015</v>
      </c>
      <c r="L687" s="252" t="s">
        <v>1029</v>
      </c>
      <c r="M687" s="277">
        <v>1170</v>
      </c>
      <c r="N687" s="278">
        <v>44335</v>
      </c>
      <c r="O687" s="329" t="s">
        <v>70</v>
      </c>
      <c r="P687" s="386">
        <f t="shared" ref="P687:Q687" si="683">IF(B687=0,0,IF(YEAR(B687)=$Q$1,MONTH(B687)-$P$1+1,(YEAR(B687)-$Q$1)*12-$P$1+1+MONTH(B687)))</f>
        <v>5</v>
      </c>
      <c r="Q687" s="330">
        <f t="shared" si="683"/>
        <v>5</v>
      </c>
      <c r="R687" s="331" t="str">
        <f t="shared" si="1"/>
        <v>Gastos_custeados_por_captação</v>
      </c>
      <c r="S687" s="331" t="str">
        <f>IF(D687="","",IF(OR(D687=Plano!$A$1,D687=Plano!$B$1),"entrada","saída"))</f>
        <v>saída</v>
      </c>
      <c r="T687" s="332" t="s">
        <v>994</v>
      </c>
      <c r="U687" s="332">
        <v>1491</v>
      </c>
      <c r="V687" s="344"/>
    </row>
    <row r="688" spans="1:22" ht="61.5" customHeight="1" x14ac:dyDescent="0.2">
      <c r="A688" s="277">
        <f>IF(B688="","",COUNT('Diário 5º PA'!$A$5:$A$2634)+ROW()-4)</f>
        <v>1995</v>
      </c>
      <c r="B688" s="278">
        <v>44336</v>
      </c>
      <c r="C688" s="249">
        <v>44287</v>
      </c>
      <c r="D688" s="255" t="s">
        <v>99</v>
      </c>
      <c r="E688" s="255" t="s">
        <v>224</v>
      </c>
      <c r="F688" s="257">
        <v>-85.41</v>
      </c>
      <c r="G688" s="255" t="s">
        <v>4639</v>
      </c>
      <c r="H688" s="255" t="s">
        <v>115</v>
      </c>
      <c r="I688" s="250" t="s">
        <v>983</v>
      </c>
      <c r="J688" s="255" t="s">
        <v>850</v>
      </c>
      <c r="K688" s="255" t="s">
        <v>946</v>
      </c>
      <c r="L688" s="250" t="s">
        <v>947</v>
      </c>
      <c r="M688" s="277" t="s">
        <v>114</v>
      </c>
      <c r="N688" s="278">
        <v>44336</v>
      </c>
      <c r="O688" s="329" t="s">
        <v>67</v>
      </c>
      <c r="P688" s="330">
        <f t="shared" ref="P688:Q688" si="684">IF(B688=0,0,IF(YEAR(B688)=$Q$1,MONTH(B688)-$P$1+1,(YEAR(B688)-$Q$1)*12-$P$1+1+MONTH(B688)))</f>
        <v>5</v>
      </c>
      <c r="Q688" s="330">
        <f t="shared" si="684"/>
        <v>4</v>
      </c>
      <c r="R688" s="331" t="str">
        <f t="shared" si="1"/>
        <v>Gastos_Gerais</v>
      </c>
      <c r="S688" s="331" t="str">
        <f>IF(D688="","",IF(OR(D688=Plano!$A$1,D688=Plano!$B$1),"entrada","saída"))</f>
        <v>saída</v>
      </c>
      <c r="T688" s="332" t="s">
        <v>114</v>
      </c>
      <c r="U688" s="332" t="s">
        <v>114</v>
      </c>
      <c r="V688" s="344"/>
    </row>
    <row r="689" spans="1:22" ht="51" customHeight="1" x14ac:dyDescent="0.2">
      <c r="A689" s="277">
        <f>IF(B689="","",COUNT('Diário 5º PA'!$A$5:$A$2634)+ROW()-4)</f>
        <v>1996</v>
      </c>
      <c r="B689" s="278">
        <v>44336</v>
      </c>
      <c r="C689" s="256">
        <v>44317</v>
      </c>
      <c r="D689" s="255" t="s">
        <v>77</v>
      </c>
      <c r="E689" s="255" t="s">
        <v>79</v>
      </c>
      <c r="F689" s="258">
        <v>600000</v>
      </c>
      <c r="G689" s="255" t="s">
        <v>4640</v>
      </c>
      <c r="H689" s="255" t="s">
        <v>114</v>
      </c>
      <c r="I689" s="250" t="s">
        <v>983</v>
      </c>
      <c r="J689" s="255" t="s">
        <v>850</v>
      </c>
      <c r="K689" s="255" t="s">
        <v>946</v>
      </c>
      <c r="L689" s="250" t="s">
        <v>947</v>
      </c>
      <c r="M689" s="277" t="s">
        <v>114</v>
      </c>
      <c r="N689" s="278">
        <v>44336</v>
      </c>
      <c r="O689" s="329" t="s">
        <v>67</v>
      </c>
      <c r="P689" s="330">
        <f t="shared" ref="P689:Q689" si="685">IF(B689=0,0,IF(YEAR(B689)=$Q$1,MONTH(B689)-$P$1+1,(YEAR(B689)-$Q$1)*12-$P$1+1+MONTH(B689)))</f>
        <v>5</v>
      </c>
      <c r="Q689" s="330">
        <f t="shared" si="685"/>
        <v>5</v>
      </c>
      <c r="R689" s="331" t="str">
        <f t="shared" si="1"/>
        <v>Receitas</v>
      </c>
      <c r="S689" s="331" t="str">
        <f>IF(D689="","",IF(OR(D689=Plano!$A$1,D689=Plano!$B$1),"entrada","saída"))</f>
        <v>entrada</v>
      </c>
      <c r="T689" s="332" t="s">
        <v>114</v>
      </c>
      <c r="U689" s="332" t="s">
        <v>114</v>
      </c>
      <c r="V689" s="344"/>
    </row>
    <row r="690" spans="1:22" ht="164.25" customHeight="1" x14ac:dyDescent="0.2">
      <c r="A690" s="277">
        <f>IF(B690="","",COUNT('Diário 5º PA'!$A$5:$A$2634)+ROW()-4)</f>
        <v>1997</v>
      </c>
      <c r="B690" s="278">
        <v>44336</v>
      </c>
      <c r="C690" s="259">
        <v>44317</v>
      </c>
      <c r="D690" s="252" t="s">
        <v>99</v>
      </c>
      <c r="E690" s="252" t="s">
        <v>226</v>
      </c>
      <c r="F690" s="257">
        <v>475.75</v>
      </c>
      <c r="G690" s="252" t="s">
        <v>4641</v>
      </c>
      <c r="H690" s="252" t="s">
        <v>132</v>
      </c>
      <c r="I690" s="250" t="s">
        <v>1998</v>
      </c>
      <c r="J690" s="250" t="s">
        <v>660</v>
      </c>
      <c r="K690" s="255" t="s">
        <v>991</v>
      </c>
      <c r="L690" s="250" t="s">
        <v>1029</v>
      </c>
      <c r="M690" s="277">
        <v>1171</v>
      </c>
      <c r="N690" s="278">
        <v>44336</v>
      </c>
      <c r="O690" s="329" t="s">
        <v>67</v>
      </c>
      <c r="P690" s="330">
        <f t="shared" ref="P690:Q690" si="686">IF(B690=0,0,IF(YEAR(B690)=$Q$1,MONTH(B690)-$P$1+1,(YEAR(B690)-$Q$1)*12-$P$1+1+MONTH(B690)))</f>
        <v>5</v>
      </c>
      <c r="Q690" s="330">
        <f t="shared" si="686"/>
        <v>5</v>
      </c>
      <c r="R690" s="331" t="str">
        <f t="shared" si="1"/>
        <v>Gastos_Gerais</v>
      </c>
      <c r="S690" s="331" t="str">
        <f>IF(D690="","",IF(OR(D690=Plano!$A$1,D690=Plano!$B$1),"entrada","saída"))</f>
        <v>saída</v>
      </c>
      <c r="T690" s="332" t="s">
        <v>994</v>
      </c>
      <c r="U690" s="332">
        <v>1565</v>
      </c>
      <c r="V690" s="344"/>
    </row>
    <row r="691" spans="1:22" ht="108.75" customHeight="1" x14ac:dyDescent="0.2">
      <c r="A691" s="277">
        <f>IF(B691="","",COUNT('Diário 5º PA'!$A$5:$A$2634)+ROW()-4)</f>
        <v>1998</v>
      </c>
      <c r="B691" s="278">
        <v>44336</v>
      </c>
      <c r="C691" s="259">
        <v>44287</v>
      </c>
      <c r="D691" s="252" t="s">
        <v>99</v>
      </c>
      <c r="E691" s="252" t="s">
        <v>244</v>
      </c>
      <c r="F691" s="257">
        <v>2682.78</v>
      </c>
      <c r="G691" s="252" t="s">
        <v>4642</v>
      </c>
      <c r="H691" s="252" t="s">
        <v>128</v>
      </c>
      <c r="I691" s="252" t="s">
        <v>1490</v>
      </c>
      <c r="J691" s="250" t="s">
        <v>615</v>
      </c>
      <c r="K691" s="255" t="s">
        <v>560</v>
      </c>
      <c r="L691" s="250" t="s">
        <v>1016</v>
      </c>
      <c r="M691" s="277" t="s">
        <v>3365</v>
      </c>
      <c r="N691" s="278">
        <v>44322</v>
      </c>
      <c r="O691" s="329" t="s">
        <v>67</v>
      </c>
      <c r="P691" s="330">
        <f t="shared" ref="P691:Q691" si="687">IF(B691=0,0,IF(YEAR(B691)=$Q$1,MONTH(B691)-$P$1+1,(YEAR(B691)-$Q$1)*12-$P$1+1+MONTH(B691)))</f>
        <v>5</v>
      </c>
      <c r="Q691" s="330">
        <f t="shared" si="687"/>
        <v>4</v>
      </c>
      <c r="R691" s="331" t="str">
        <f t="shared" si="1"/>
        <v>Gastos_Gerais</v>
      </c>
      <c r="S691" s="331" t="str">
        <f>IF(D691="","",IF(OR(D691=Plano!$A$1,D691=Plano!$B$1),"entrada","saída"))</f>
        <v>saída</v>
      </c>
      <c r="T691" s="332" t="s">
        <v>1059</v>
      </c>
      <c r="U691" s="332">
        <v>1501</v>
      </c>
      <c r="V691" s="344"/>
    </row>
    <row r="692" spans="1:22" ht="114.75" customHeight="1" x14ac:dyDescent="0.2">
      <c r="A692" s="277">
        <f>IF(B692="","",COUNT('Diário 5º PA'!$A$5:$A$2634)+ROW()-4)</f>
        <v>1999</v>
      </c>
      <c r="B692" s="278">
        <v>44336</v>
      </c>
      <c r="C692" s="259">
        <v>44256</v>
      </c>
      <c r="D692" s="252" t="s">
        <v>99</v>
      </c>
      <c r="E692" s="252" t="s">
        <v>244</v>
      </c>
      <c r="F692" s="257">
        <v>82.91</v>
      </c>
      <c r="G692" s="252" t="s">
        <v>4643</v>
      </c>
      <c r="H692" s="252" t="s">
        <v>128</v>
      </c>
      <c r="I692" s="252" t="s">
        <v>1490</v>
      </c>
      <c r="J692" s="250" t="s">
        <v>615</v>
      </c>
      <c r="K692" s="255" t="s">
        <v>560</v>
      </c>
      <c r="L692" s="250" t="s">
        <v>1016</v>
      </c>
      <c r="M692" s="277" t="s">
        <v>4644</v>
      </c>
      <c r="N692" s="278">
        <v>44322</v>
      </c>
      <c r="O692" s="329" t="s">
        <v>67</v>
      </c>
      <c r="P692" s="330">
        <f t="shared" ref="P692:Q692" si="688">IF(B692=0,0,IF(YEAR(B692)=$Q$1,MONTH(B692)-$P$1+1,(YEAR(B692)-$Q$1)*12-$P$1+1+MONTH(B692)))</f>
        <v>5</v>
      </c>
      <c r="Q692" s="330">
        <f t="shared" si="688"/>
        <v>3</v>
      </c>
      <c r="R692" s="331" t="str">
        <f t="shared" si="1"/>
        <v>Gastos_Gerais</v>
      </c>
      <c r="S692" s="331" t="str">
        <f>IF(D692="","",IF(OR(D692=Plano!$A$1,D692=Plano!$B$1),"entrada","saída"))</f>
        <v>saída</v>
      </c>
      <c r="T692" s="332" t="s">
        <v>1059</v>
      </c>
      <c r="U692" s="332">
        <v>1501</v>
      </c>
      <c r="V692" s="344"/>
    </row>
    <row r="693" spans="1:22" ht="34.5" customHeight="1" x14ac:dyDescent="0.2">
      <c r="A693" s="277">
        <f>IF(B693="","",COUNT('Diário 5º PA'!$A$5:$A$2634)+ROW()-4)</f>
        <v>2000</v>
      </c>
      <c r="B693" s="278">
        <v>44336</v>
      </c>
      <c r="C693" s="249">
        <v>44287</v>
      </c>
      <c r="D693" s="255" t="s">
        <v>99</v>
      </c>
      <c r="E693" s="255" t="s">
        <v>224</v>
      </c>
      <c r="F693" s="258">
        <v>323.41000000000003</v>
      </c>
      <c r="G693" s="255" t="s">
        <v>4645</v>
      </c>
      <c r="H693" s="255" t="s">
        <v>115</v>
      </c>
      <c r="I693" s="250" t="s">
        <v>522</v>
      </c>
      <c r="J693" s="252" t="s">
        <v>523</v>
      </c>
      <c r="K693" s="252" t="s">
        <v>1375</v>
      </c>
      <c r="L693" s="252" t="s">
        <v>697</v>
      </c>
      <c r="M693" s="277" t="s">
        <v>4646</v>
      </c>
      <c r="N693" s="278">
        <v>44317</v>
      </c>
      <c r="O693" s="329" t="s">
        <v>67</v>
      </c>
      <c r="P693" s="330">
        <f t="shared" ref="P693:Q693" si="689">IF(B693=0,0,IF(YEAR(B693)=$Q$1,MONTH(B693)-$P$1+1,(YEAR(B693)-$Q$1)*12-$P$1+1+MONTH(B693)))</f>
        <v>5</v>
      </c>
      <c r="Q693" s="330">
        <f t="shared" si="689"/>
        <v>4</v>
      </c>
      <c r="R693" s="331" t="str">
        <f t="shared" si="1"/>
        <v>Gastos_Gerais</v>
      </c>
      <c r="S693" s="331" t="str">
        <f>IF(D693="","",IF(OR(D693=Plano!$A$1,D693=Plano!$B$1),"entrada","saída"))</f>
        <v>saída</v>
      </c>
      <c r="T693" s="332" t="s">
        <v>114</v>
      </c>
      <c r="U693" s="332" t="s">
        <v>114</v>
      </c>
      <c r="V693" s="344"/>
    </row>
    <row r="694" spans="1:22" ht="57" customHeight="1" x14ac:dyDescent="0.2">
      <c r="A694" s="277">
        <f>IF(B694="","",COUNT('Diário 5º PA'!$A$5:$A$2634)+ROW()-4)</f>
        <v>2001</v>
      </c>
      <c r="B694" s="278">
        <v>44336</v>
      </c>
      <c r="C694" s="259">
        <v>44228</v>
      </c>
      <c r="D694" s="252" t="s">
        <v>99</v>
      </c>
      <c r="E694" s="252" t="s">
        <v>358</v>
      </c>
      <c r="F694" s="257">
        <v>17.399999999999999</v>
      </c>
      <c r="G694" s="252" t="s">
        <v>4647</v>
      </c>
      <c r="H694" s="252" t="s">
        <v>123</v>
      </c>
      <c r="I694" s="252" t="s">
        <v>488</v>
      </c>
      <c r="J694" s="250" t="s">
        <v>114</v>
      </c>
      <c r="K694" s="250" t="s">
        <v>466</v>
      </c>
      <c r="L694" s="250" t="s">
        <v>489</v>
      </c>
      <c r="M694" s="277" t="s">
        <v>114</v>
      </c>
      <c r="N694" s="278">
        <v>44316</v>
      </c>
      <c r="O694" s="329" t="s">
        <v>67</v>
      </c>
      <c r="P694" s="330">
        <f t="shared" ref="P694:Q694" si="690">IF(B694=0,0,IF(YEAR(B694)=$Q$1,MONTH(B694)-$P$1+1,(YEAR(B694)-$Q$1)*12-$P$1+1+MONTH(B694)))</f>
        <v>5</v>
      </c>
      <c r="Q694" s="330">
        <f t="shared" si="690"/>
        <v>2</v>
      </c>
      <c r="R694" s="331" t="str">
        <f t="shared" si="1"/>
        <v>Gastos_Gerais</v>
      </c>
      <c r="S694" s="331" t="str">
        <f>IF(D694="","",IF(OR(D694=Plano!$A$1,D694=Plano!$B$1),"entrada","saída"))</f>
        <v>saída</v>
      </c>
      <c r="T694" s="332" t="s">
        <v>114</v>
      </c>
      <c r="U694" s="332" t="s">
        <v>114</v>
      </c>
      <c r="V694" s="344"/>
    </row>
    <row r="695" spans="1:22" ht="41.25" customHeight="1" x14ac:dyDescent="0.2">
      <c r="A695" s="277">
        <f>IF(B695="","",COUNT('Diário 5º PA'!$A$5:$A$2634)+ROW()-4)</f>
        <v>2002</v>
      </c>
      <c r="B695" s="278">
        <v>44336</v>
      </c>
      <c r="C695" s="259">
        <v>44256</v>
      </c>
      <c r="D695" s="252" t="s">
        <v>99</v>
      </c>
      <c r="E695" s="252" t="s">
        <v>358</v>
      </c>
      <c r="F695" s="257">
        <v>39.090000000000003</v>
      </c>
      <c r="G695" s="252" t="s">
        <v>4648</v>
      </c>
      <c r="H695" s="252" t="s">
        <v>125</v>
      </c>
      <c r="I695" s="252" t="s">
        <v>488</v>
      </c>
      <c r="J695" s="250" t="s">
        <v>114</v>
      </c>
      <c r="K695" s="250" t="s">
        <v>466</v>
      </c>
      <c r="L695" s="250" t="s">
        <v>489</v>
      </c>
      <c r="M695" s="277" t="s">
        <v>114</v>
      </c>
      <c r="N695" s="278">
        <v>44316</v>
      </c>
      <c r="O695" s="329" t="s">
        <v>67</v>
      </c>
      <c r="P695" s="330">
        <f t="shared" ref="P695:Q695" si="691">IF(B695=0,0,IF(YEAR(B695)=$Q$1,MONTH(B695)-$P$1+1,(YEAR(B695)-$Q$1)*12-$P$1+1+MONTH(B695)))</f>
        <v>5</v>
      </c>
      <c r="Q695" s="330">
        <f t="shared" si="691"/>
        <v>3</v>
      </c>
      <c r="R695" s="331" t="str">
        <f t="shared" si="1"/>
        <v>Gastos_Gerais</v>
      </c>
      <c r="S695" s="331" t="str">
        <f>IF(D695="","",IF(OR(D695=Plano!$A$1,D695=Plano!$B$1),"entrada","saída"))</f>
        <v>saída</v>
      </c>
      <c r="T695" s="332" t="s">
        <v>114</v>
      </c>
      <c r="U695" s="332" t="s">
        <v>114</v>
      </c>
      <c r="V695" s="344"/>
    </row>
    <row r="696" spans="1:22" ht="41.25" customHeight="1" x14ac:dyDescent="0.2">
      <c r="A696" s="277">
        <f>IF(B696="","",COUNT('Diário 5º PA'!$A$5:$A$2634)+ROW()-4)</f>
        <v>2003</v>
      </c>
      <c r="B696" s="278">
        <v>44336</v>
      </c>
      <c r="C696" s="259">
        <v>44287</v>
      </c>
      <c r="D696" s="252" t="s">
        <v>99</v>
      </c>
      <c r="E696" s="252" t="s">
        <v>364</v>
      </c>
      <c r="F696" s="257">
        <v>185.88</v>
      </c>
      <c r="G696" s="252" t="s">
        <v>4649</v>
      </c>
      <c r="H696" s="252" t="s">
        <v>131</v>
      </c>
      <c r="I696" s="252" t="s">
        <v>488</v>
      </c>
      <c r="J696" s="250" t="s">
        <v>114</v>
      </c>
      <c r="K696" s="250" t="s">
        <v>466</v>
      </c>
      <c r="L696" s="250" t="s">
        <v>489</v>
      </c>
      <c r="M696" s="277" t="s">
        <v>114</v>
      </c>
      <c r="N696" s="278">
        <v>44316</v>
      </c>
      <c r="O696" s="329" t="s">
        <v>67</v>
      </c>
      <c r="P696" s="330">
        <f t="shared" ref="P696:Q696" si="692">IF(B696=0,0,IF(YEAR(B696)=$Q$1,MONTH(B696)-$P$1+1,(YEAR(B696)-$Q$1)*12-$P$1+1+MONTH(B696)))</f>
        <v>5</v>
      </c>
      <c r="Q696" s="330">
        <f t="shared" si="692"/>
        <v>4</v>
      </c>
      <c r="R696" s="331" t="str">
        <f t="shared" si="1"/>
        <v>Gastos_Gerais</v>
      </c>
      <c r="S696" s="331" t="str">
        <f>IF(D696="","",IF(OR(D696=Plano!$A$1,D696=Plano!$B$1),"entrada","saída"))</f>
        <v>saída</v>
      </c>
      <c r="T696" s="332" t="s">
        <v>114</v>
      </c>
      <c r="U696" s="332" t="s">
        <v>114</v>
      </c>
      <c r="V696" s="344"/>
    </row>
    <row r="697" spans="1:22" ht="39" customHeight="1" x14ac:dyDescent="0.2">
      <c r="A697" s="277">
        <f>IF(B697="","",COUNT('Diário 5º PA'!$A$5:$A$2634)+ROW()-4)</f>
        <v>2004</v>
      </c>
      <c r="B697" s="278">
        <v>44336</v>
      </c>
      <c r="C697" s="259">
        <v>44228</v>
      </c>
      <c r="D697" s="252" t="s">
        <v>99</v>
      </c>
      <c r="E697" s="252" t="s">
        <v>358</v>
      </c>
      <c r="F697" s="257">
        <v>372</v>
      </c>
      <c r="G697" s="252" t="s">
        <v>4650</v>
      </c>
      <c r="H697" s="252" t="s">
        <v>125</v>
      </c>
      <c r="I697" s="252" t="s">
        <v>530</v>
      </c>
      <c r="J697" s="250" t="s">
        <v>114</v>
      </c>
      <c r="K697" s="250" t="s">
        <v>466</v>
      </c>
      <c r="L697" s="250" t="s">
        <v>547</v>
      </c>
      <c r="M697" s="277" t="s">
        <v>114</v>
      </c>
      <c r="N697" s="278">
        <v>44316</v>
      </c>
      <c r="O697" s="329" t="s">
        <v>67</v>
      </c>
      <c r="P697" s="330">
        <f t="shared" ref="P697:Q697" si="693">IF(B697=0,0,IF(YEAR(B697)=$Q$1,MONTH(B697)-$P$1+1,(YEAR(B697)-$Q$1)*12-$P$1+1+MONTH(B697)))</f>
        <v>5</v>
      </c>
      <c r="Q697" s="330">
        <f t="shared" si="693"/>
        <v>2</v>
      </c>
      <c r="R697" s="331" t="str">
        <f t="shared" si="1"/>
        <v>Gastos_Gerais</v>
      </c>
      <c r="S697" s="331" t="str">
        <f>IF(D697="","",IF(OR(D697=Plano!$A$1,D697=Plano!$B$1),"entrada","saída"))</f>
        <v>saída</v>
      </c>
      <c r="T697" s="332" t="s">
        <v>114</v>
      </c>
      <c r="U697" s="332" t="s">
        <v>114</v>
      </c>
      <c r="V697" s="344"/>
    </row>
    <row r="698" spans="1:22" ht="59.25" customHeight="1" x14ac:dyDescent="0.2">
      <c r="A698" s="277">
        <f>IF(B698="","",COUNT('Diário 5º PA'!$A$5:$A$2634)+ROW()-4)</f>
        <v>2005</v>
      </c>
      <c r="B698" s="278">
        <v>44336</v>
      </c>
      <c r="C698" s="259">
        <v>44256</v>
      </c>
      <c r="D698" s="252" t="s">
        <v>99</v>
      </c>
      <c r="E698" s="252" t="s">
        <v>358</v>
      </c>
      <c r="F698" s="257">
        <v>186</v>
      </c>
      <c r="G698" s="252" t="s">
        <v>4651</v>
      </c>
      <c r="H698" s="252" t="s">
        <v>127</v>
      </c>
      <c r="I698" s="252" t="s">
        <v>530</v>
      </c>
      <c r="J698" s="250" t="s">
        <v>114</v>
      </c>
      <c r="K698" s="250" t="s">
        <v>466</v>
      </c>
      <c r="L698" s="250" t="s">
        <v>547</v>
      </c>
      <c r="M698" s="277" t="s">
        <v>114</v>
      </c>
      <c r="N698" s="278">
        <v>44316</v>
      </c>
      <c r="O698" s="329" t="s">
        <v>67</v>
      </c>
      <c r="P698" s="330">
        <f t="shared" ref="P698:Q698" si="694">IF(B698=0,0,IF(YEAR(B698)=$Q$1,MONTH(B698)-$P$1+1,(YEAR(B698)-$Q$1)*12-$P$1+1+MONTH(B698)))</f>
        <v>5</v>
      </c>
      <c r="Q698" s="330">
        <f t="shared" si="694"/>
        <v>3</v>
      </c>
      <c r="R698" s="331" t="str">
        <f t="shared" si="1"/>
        <v>Gastos_Gerais</v>
      </c>
      <c r="S698" s="331" t="str">
        <f>IF(D698="","",IF(OR(D698=Plano!$A$1,D698=Plano!$B$1),"entrada","saída"))</f>
        <v>saída</v>
      </c>
      <c r="T698" s="332" t="s">
        <v>114</v>
      </c>
      <c r="U698" s="332" t="s">
        <v>114</v>
      </c>
      <c r="V698" s="344"/>
    </row>
    <row r="699" spans="1:22" ht="53.25" customHeight="1" x14ac:dyDescent="0.2">
      <c r="A699" s="277">
        <f>IF(B699="","",COUNT('Diário 5º PA'!$A$5:$A$2634)+ROW()-4)</f>
        <v>2006</v>
      </c>
      <c r="B699" s="278">
        <v>44336</v>
      </c>
      <c r="C699" s="259">
        <v>44287</v>
      </c>
      <c r="D699" s="252" t="s">
        <v>99</v>
      </c>
      <c r="E699" s="252" t="s">
        <v>246</v>
      </c>
      <c r="F699" s="257">
        <v>465</v>
      </c>
      <c r="G699" s="252" t="s">
        <v>4652</v>
      </c>
      <c r="H699" s="252" t="s">
        <v>127</v>
      </c>
      <c r="I699" s="252" t="s">
        <v>530</v>
      </c>
      <c r="J699" s="250" t="s">
        <v>114</v>
      </c>
      <c r="K699" s="250" t="s">
        <v>466</v>
      </c>
      <c r="L699" s="250" t="s">
        <v>547</v>
      </c>
      <c r="M699" s="277" t="s">
        <v>114</v>
      </c>
      <c r="N699" s="278">
        <v>44316</v>
      </c>
      <c r="O699" s="329" t="s">
        <v>67</v>
      </c>
      <c r="P699" s="330">
        <f t="shared" ref="P699:Q699" si="695">IF(B699=0,0,IF(YEAR(B699)=$Q$1,MONTH(B699)-$P$1+1,(YEAR(B699)-$Q$1)*12-$P$1+1+MONTH(B699)))</f>
        <v>5</v>
      </c>
      <c r="Q699" s="330">
        <f t="shared" si="695"/>
        <v>4</v>
      </c>
      <c r="R699" s="331" t="str">
        <f t="shared" si="1"/>
        <v>Gastos_Gerais</v>
      </c>
      <c r="S699" s="331" t="str">
        <f>IF(D699="","",IF(OR(D699=Plano!$A$1,D699=Plano!$B$1),"entrada","saída"))</f>
        <v>saída</v>
      </c>
      <c r="T699" s="332" t="s">
        <v>114</v>
      </c>
      <c r="U699" s="332" t="s">
        <v>114</v>
      </c>
      <c r="V699" s="344"/>
    </row>
    <row r="700" spans="1:22" ht="36.75" customHeight="1" x14ac:dyDescent="0.2">
      <c r="A700" s="277">
        <f>IF(B700="","",COUNT('Diário 5º PA'!$A$5:$A$2634)+ROW()-4)</f>
        <v>2007</v>
      </c>
      <c r="B700" s="278">
        <v>44336</v>
      </c>
      <c r="C700" s="259">
        <v>44256</v>
      </c>
      <c r="D700" s="252" t="s">
        <v>99</v>
      </c>
      <c r="E700" s="252" t="s">
        <v>358</v>
      </c>
      <c r="F700" s="257">
        <v>155</v>
      </c>
      <c r="G700" s="252" t="s">
        <v>4653</v>
      </c>
      <c r="H700" s="252" t="s">
        <v>124</v>
      </c>
      <c r="I700" s="252" t="s">
        <v>530</v>
      </c>
      <c r="J700" s="250" t="s">
        <v>114</v>
      </c>
      <c r="K700" s="250" t="s">
        <v>466</v>
      </c>
      <c r="L700" s="250" t="s">
        <v>547</v>
      </c>
      <c r="M700" s="277" t="s">
        <v>114</v>
      </c>
      <c r="N700" s="278">
        <v>44316</v>
      </c>
      <c r="O700" s="329" t="s">
        <v>67</v>
      </c>
      <c r="P700" s="330">
        <f t="shared" ref="P700:Q700" si="696">IF(B700=0,0,IF(YEAR(B700)=$Q$1,MONTH(B700)-$P$1+1,(YEAR(B700)-$Q$1)*12-$P$1+1+MONTH(B700)))</f>
        <v>5</v>
      </c>
      <c r="Q700" s="330">
        <f t="shared" si="696"/>
        <v>3</v>
      </c>
      <c r="R700" s="331" t="str">
        <f t="shared" si="1"/>
        <v>Gastos_Gerais</v>
      </c>
      <c r="S700" s="331" t="str">
        <f>IF(D700="","",IF(OR(D700=Plano!$A$1,D700=Plano!$B$1),"entrada","saída"))</f>
        <v>saída</v>
      </c>
      <c r="T700" s="332" t="s">
        <v>114</v>
      </c>
      <c r="U700" s="332" t="s">
        <v>114</v>
      </c>
      <c r="V700" s="344"/>
    </row>
    <row r="701" spans="1:22" ht="40.5" customHeight="1" x14ac:dyDescent="0.2">
      <c r="A701" s="277">
        <f>IF(B701="","",COUNT('Diário 5º PA'!$A$5:$A$2634)+ROW()-4)</f>
        <v>2008</v>
      </c>
      <c r="B701" s="278">
        <v>44336</v>
      </c>
      <c r="C701" s="259">
        <v>44256</v>
      </c>
      <c r="D701" s="252" t="s">
        <v>99</v>
      </c>
      <c r="E701" s="252" t="s">
        <v>358</v>
      </c>
      <c r="F701" s="257">
        <v>496</v>
      </c>
      <c r="G701" s="252" t="s">
        <v>4654</v>
      </c>
      <c r="H701" s="252" t="s">
        <v>118</v>
      </c>
      <c r="I701" s="252" t="s">
        <v>530</v>
      </c>
      <c r="J701" s="250" t="s">
        <v>114</v>
      </c>
      <c r="K701" s="250" t="s">
        <v>466</v>
      </c>
      <c r="L701" s="250" t="s">
        <v>547</v>
      </c>
      <c r="M701" s="277" t="s">
        <v>114</v>
      </c>
      <c r="N701" s="278">
        <v>44316</v>
      </c>
      <c r="O701" s="329" t="s">
        <v>67</v>
      </c>
      <c r="P701" s="330">
        <f t="shared" ref="P701:Q701" si="697">IF(B701=0,0,IF(YEAR(B701)=$Q$1,MONTH(B701)-$P$1+1,(YEAR(B701)-$Q$1)*12-$P$1+1+MONTH(B701)))</f>
        <v>5</v>
      </c>
      <c r="Q701" s="330">
        <f t="shared" si="697"/>
        <v>3</v>
      </c>
      <c r="R701" s="331" t="str">
        <f t="shared" si="1"/>
        <v>Gastos_Gerais</v>
      </c>
      <c r="S701" s="331" t="str">
        <f>IF(D701="","",IF(OR(D701=Plano!$A$1,D701=Plano!$B$1),"entrada","saída"))</f>
        <v>saída</v>
      </c>
      <c r="T701" s="332" t="s">
        <v>114</v>
      </c>
      <c r="U701" s="332" t="s">
        <v>114</v>
      </c>
      <c r="V701" s="344"/>
    </row>
    <row r="702" spans="1:22" ht="38.25" customHeight="1" x14ac:dyDescent="0.2">
      <c r="A702" s="277">
        <f>IF(B702="","",COUNT('Diário 5º PA'!$A$5:$A$2634)+ROW()-4)</f>
        <v>2009</v>
      </c>
      <c r="B702" s="278">
        <v>44336</v>
      </c>
      <c r="C702" s="259">
        <v>44228</v>
      </c>
      <c r="D702" s="252" t="s">
        <v>99</v>
      </c>
      <c r="E702" s="252" t="s">
        <v>358</v>
      </c>
      <c r="F702" s="257">
        <v>744</v>
      </c>
      <c r="G702" s="252" t="s">
        <v>4655</v>
      </c>
      <c r="H702" s="252" t="s">
        <v>123</v>
      </c>
      <c r="I702" s="252" t="s">
        <v>530</v>
      </c>
      <c r="J702" s="250" t="s">
        <v>114</v>
      </c>
      <c r="K702" s="250" t="s">
        <v>466</v>
      </c>
      <c r="L702" s="250" t="s">
        <v>547</v>
      </c>
      <c r="M702" s="277" t="s">
        <v>114</v>
      </c>
      <c r="N702" s="278">
        <v>44316</v>
      </c>
      <c r="O702" s="329" t="s">
        <v>67</v>
      </c>
      <c r="P702" s="330">
        <f t="shared" ref="P702:Q702" si="698">IF(B702=0,0,IF(YEAR(B702)=$Q$1,MONTH(B702)-$P$1+1,(YEAR(B702)-$Q$1)*12-$P$1+1+MONTH(B702)))</f>
        <v>5</v>
      </c>
      <c r="Q702" s="330">
        <f t="shared" si="698"/>
        <v>2</v>
      </c>
      <c r="R702" s="331" t="str">
        <f t="shared" si="1"/>
        <v>Gastos_Gerais</v>
      </c>
      <c r="S702" s="331" t="str">
        <f>IF(D702="","",IF(OR(D702=Plano!$A$1,D702=Plano!$B$1),"entrada","saída"))</f>
        <v>saída</v>
      </c>
      <c r="T702" s="332" t="s">
        <v>114</v>
      </c>
      <c r="U702" s="332" t="s">
        <v>114</v>
      </c>
      <c r="V702" s="344"/>
    </row>
    <row r="703" spans="1:22" ht="53.25" customHeight="1" x14ac:dyDescent="0.2">
      <c r="A703" s="277">
        <f>IF(B703="","",COUNT('Diário 5º PA'!$A$5:$A$2634)+ROW()-4)</f>
        <v>2010</v>
      </c>
      <c r="B703" s="278">
        <v>44336</v>
      </c>
      <c r="C703" s="259">
        <v>44256</v>
      </c>
      <c r="D703" s="252" t="s">
        <v>99</v>
      </c>
      <c r="E703" s="252" t="s">
        <v>358</v>
      </c>
      <c r="F703" s="257">
        <v>844.75</v>
      </c>
      <c r="G703" s="252" t="s">
        <v>4656</v>
      </c>
      <c r="H703" s="252" t="s">
        <v>125</v>
      </c>
      <c r="I703" s="252" t="s">
        <v>530</v>
      </c>
      <c r="J703" s="250" t="s">
        <v>114</v>
      </c>
      <c r="K703" s="250" t="s">
        <v>466</v>
      </c>
      <c r="L703" s="250" t="s">
        <v>547</v>
      </c>
      <c r="M703" s="277" t="s">
        <v>114</v>
      </c>
      <c r="N703" s="278">
        <v>44316</v>
      </c>
      <c r="O703" s="329" t="s">
        <v>67</v>
      </c>
      <c r="P703" s="330">
        <f t="shared" ref="P703:Q703" si="699">IF(B703=0,0,IF(YEAR(B703)=$Q$1,MONTH(B703)-$P$1+1,(YEAR(B703)-$Q$1)*12-$P$1+1+MONTH(B703)))</f>
        <v>5</v>
      </c>
      <c r="Q703" s="330">
        <f t="shared" si="699"/>
        <v>3</v>
      </c>
      <c r="R703" s="331" t="str">
        <f t="shared" si="1"/>
        <v>Gastos_Gerais</v>
      </c>
      <c r="S703" s="331" t="str">
        <f>IF(D703="","",IF(OR(D703=Plano!$A$1,D703=Plano!$B$1),"entrada","saída"))</f>
        <v>saída</v>
      </c>
      <c r="T703" s="332" t="s">
        <v>114</v>
      </c>
      <c r="U703" s="332" t="s">
        <v>114</v>
      </c>
      <c r="V703" s="344"/>
    </row>
    <row r="704" spans="1:22" ht="57" customHeight="1" x14ac:dyDescent="0.2">
      <c r="A704" s="277">
        <f>IF(B704="","",COUNT('Diário 5º PA'!$A$5:$A$2634)+ROW()-4)</f>
        <v>2011</v>
      </c>
      <c r="B704" s="278">
        <v>44336</v>
      </c>
      <c r="C704" s="259">
        <v>44256</v>
      </c>
      <c r="D704" s="252" t="s">
        <v>99</v>
      </c>
      <c r="E704" s="252" t="s">
        <v>358</v>
      </c>
      <c r="F704" s="257">
        <v>186</v>
      </c>
      <c r="G704" s="252" t="s">
        <v>4657</v>
      </c>
      <c r="H704" s="252" t="s">
        <v>127</v>
      </c>
      <c r="I704" s="252" t="s">
        <v>530</v>
      </c>
      <c r="J704" s="250" t="s">
        <v>114</v>
      </c>
      <c r="K704" s="250" t="s">
        <v>466</v>
      </c>
      <c r="L704" s="250" t="s">
        <v>547</v>
      </c>
      <c r="M704" s="277" t="s">
        <v>114</v>
      </c>
      <c r="N704" s="278">
        <v>44316</v>
      </c>
      <c r="O704" s="329" t="s">
        <v>67</v>
      </c>
      <c r="P704" s="330">
        <f t="shared" ref="P704:Q704" si="700">IF(B704=0,0,IF(YEAR(B704)=$Q$1,MONTH(B704)-$P$1+1,(YEAR(B704)-$Q$1)*12-$P$1+1+MONTH(B704)))</f>
        <v>5</v>
      </c>
      <c r="Q704" s="330">
        <f t="shared" si="700"/>
        <v>3</v>
      </c>
      <c r="R704" s="331" t="str">
        <f t="shared" si="1"/>
        <v>Gastos_Gerais</v>
      </c>
      <c r="S704" s="331" t="str">
        <f>IF(D704="","",IF(OR(D704=Plano!$A$1,D704=Plano!$B$1),"entrada","saída"))</f>
        <v>saída</v>
      </c>
      <c r="T704" s="332" t="s">
        <v>114</v>
      </c>
      <c r="U704" s="332" t="s">
        <v>114</v>
      </c>
      <c r="V704" s="344"/>
    </row>
    <row r="705" spans="1:22" ht="50.25" customHeight="1" x14ac:dyDescent="0.2">
      <c r="A705" s="277">
        <f>IF(B705="","",COUNT('Diário 5º PA'!$A$5:$A$2634)+ROW()-4)</f>
        <v>2012</v>
      </c>
      <c r="B705" s="278">
        <v>44336</v>
      </c>
      <c r="C705" s="259">
        <v>44197</v>
      </c>
      <c r="D705" s="252" t="s">
        <v>99</v>
      </c>
      <c r="E705" s="252" t="s">
        <v>364</v>
      </c>
      <c r="F705" s="257">
        <v>372</v>
      </c>
      <c r="G705" s="252" t="s">
        <v>4658</v>
      </c>
      <c r="H705" s="252" t="s">
        <v>125</v>
      </c>
      <c r="I705" s="252" t="s">
        <v>530</v>
      </c>
      <c r="J705" s="250" t="s">
        <v>114</v>
      </c>
      <c r="K705" s="250" t="s">
        <v>466</v>
      </c>
      <c r="L705" s="250" t="s">
        <v>547</v>
      </c>
      <c r="M705" s="277" t="s">
        <v>114</v>
      </c>
      <c r="N705" s="278">
        <v>44316</v>
      </c>
      <c r="O705" s="329" t="s">
        <v>67</v>
      </c>
      <c r="P705" s="330">
        <f t="shared" ref="P705:Q705" si="701">IF(B705=0,0,IF(YEAR(B705)=$Q$1,MONTH(B705)-$P$1+1,(YEAR(B705)-$Q$1)*12-$P$1+1+MONTH(B705)))</f>
        <v>5</v>
      </c>
      <c r="Q705" s="330">
        <f t="shared" si="701"/>
        <v>1</v>
      </c>
      <c r="R705" s="331" t="str">
        <f t="shared" si="1"/>
        <v>Gastos_Gerais</v>
      </c>
      <c r="S705" s="331" t="str">
        <f>IF(D705="","",IF(OR(D705=Plano!$A$1,D705=Plano!$B$1),"entrada","saída"))</f>
        <v>saída</v>
      </c>
      <c r="T705" s="332" t="s">
        <v>114</v>
      </c>
      <c r="U705" s="332" t="s">
        <v>114</v>
      </c>
      <c r="V705" s="344"/>
    </row>
    <row r="706" spans="1:22" ht="49.5" customHeight="1" x14ac:dyDescent="0.2">
      <c r="A706" s="277">
        <f>IF(B706="","",COUNT('Diário 5º PA'!$A$5:$A$2634)+ROW()-4)</f>
        <v>2013</v>
      </c>
      <c r="B706" s="278">
        <v>44336</v>
      </c>
      <c r="C706" s="259">
        <v>44228</v>
      </c>
      <c r="D706" s="252" t="s">
        <v>99</v>
      </c>
      <c r="E706" s="252" t="s">
        <v>330</v>
      </c>
      <c r="F706" s="257">
        <v>465</v>
      </c>
      <c r="G706" s="252" t="s">
        <v>4659</v>
      </c>
      <c r="H706" s="252" t="s">
        <v>128</v>
      </c>
      <c r="I706" s="252" t="s">
        <v>530</v>
      </c>
      <c r="J706" s="250" t="s">
        <v>114</v>
      </c>
      <c r="K706" s="250" t="s">
        <v>466</v>
      </c>
      <c r="L706" s="250" t="s">
        <v>547</v>
      </c>
      <c r="M706" s="277" t="s">
        <v>114</v>
      </c>
      <c r="N706" s="278">
        <v>44316</v>
      </c>
      <c r="O706" s="329" t="s">
        <v>67</v>
      </c>
      <c r="P706" s="330">
        <f t="shared" ref="P706:Q706" si="702">IF(B706=0,0,IF(YEAR(B706)=$Q$1,MONTH(B706)-$P$1+1,(YEAR(B706)-$Q$1)*12-$P$1+1+MONTH(B706)))</f>
        <v>5</v>
      </c>
      <c r="Q706" s="330">
        <f t="shared" si="702"/>
        <v>2</v>
      </c>
      <c r="R706" s="331" t="str">
        <f t="shared" si="1"/>
        <v>Gastos_Gerais</v>
      </c>
      <c r="S706" s="331" t="str">
        <f>IF(D706="","",IF(OR(D706=Plano!$A$1,D706=Plano!$B$1),"entrada","saída"))</f>
        <v>saída</v>
      </c>
      <c r="T706" s="332" t="s">
        <v>114</v>
      </c>
      <c r="U706" s="332" t="s">
        <v>114</v>
      </c>
      <c r="V706" s="344"/>
    </row>
    <row r="707" spans="1:22" ht="45.75" customHeight="1" x14ac:dyDescent="0.2">
      <c r="A707" s="277">
        <f>IF(B707="","",COUNT('Diário 5º PA'!$A$5:$A$2634)+ROW()-4)</f>
        <v>2014</v>
      </c>
      <c r="B707" s="278">
        <v>44336</v>
      </c>
      <c r="C707" s="259">
        <v>44256</v>
      </c>
      <c r="D707" s="252" t="s">
        <v>99</v>
      </c>
      <c r="E707" s="252" t="s">
        <v>340</v>
      </c>
      <c r="F707" s="257">
        <v>334.8</v>
      </c>
      <c r="G707" s="252" t="s">
        <v>4660</v>
      </c>
      <c r="H707" s="252" t="s">
        <v>125</v>
      </c>
      <c r="I707" s="252" t="s">
        <v>530</v>
      </c>
      <c r="J707" s="250" t="s">
        <v>114</v>
      </c>
      <c r="K707" s="250" t="s">
        <v>466</v>
      </c>
      <c r="L707" s="250" t="s">
        <v>547</v>
      </c>
      <c r="M707" s="277" t="s">
        <v>114</v>
      </c>
      <c r="N707" s="278">
        <v>44316</v>
      </c>
      <c r="O707" s="329" t="s">
        <v>67</v>
      </c>
      <c r="P707" s="330">
        <f t="shared" ref="P707:Q707" si="703">IF(B707=0,0,IF(YEAR(B707)=$Q$1,MONTH(B707)-$P$1+1,(YEAR(B707)-$Q$1)*12-$P$1+1+MONTH(B707)))</f>
        <v>5</v>
      </c>
      <c r="Q707" s="330">
        <f t="shared" si="703"/>
        <v>3</v>
      </c>
      <c r="R707" s="331" t="str">
        <f t="shared" si="1"/>
        <v>Gastos_Gerais</v>
      </c>
      <c r="S707" s="331" t="str">
        <f>IF(D707="","",IF(OR(D707=Plano!$A$1,D707=Plano!$B$1),"entrada","saída"))</f>
        <v>saída</v>
      </c>
      <c r="T707" s="332" t="s">
        <v>114</v>
      </c>
      <c r="U707" s="332" t="s">
        <v>114</v>
      </c>
      <c r="V707" s="344"/>
    </row>
    <row r="708" spans="1:22" ht="60" customHeight="1" x14ac:dyDescent="0.2">
      <c r="A708" s="277">
        <f>IF(B708="","",COUNT('Diário 5º PA'!$A$5:$A$2634)+ROW()-4)</f>
        <v>2015</v>
      </c>
      <c r="B708" s="278">
        <v>44336</v>
      </c>
      <c r="C708" s="259">
        <v>44256</v>
      </c>
      <c r="D708" s="252" t="s">
        <v>99</v>
      </c>
      <c r="E708" s="252" t="s">
        <v>358</v>
      </c>
      <c r="F708" s="257">
        <v>186</v>
      </c>
      <c r="G708" s="252" t="s">
        <v>4661</v>
      </c>
      <c r="H708" s="252" t="s">
        <v>127</v>
      </c>
      <c r="I708" s="252" t="s">
        <v>530</v>
      </c>
      <c r="J708" s="250" t="s">
        <v>114</v>
      </c>
      <c r="K708" s="250" t="s">
        <v>466</v>
      </c>
      <c r="L708" s="250" t="s">
        <v>547</v>
      </c>
      <c r="M708" s="277" t="s">
        <v>114</v>
      </c>
      <c r="N708" s="278">
        <v>44316</v>
      </c>
      <c r="O708" s="329" t="s">
        <v>67</v>
      </c>
      <c r="P708" s="330">
        <f t="shared" ref="P708:Q708" si="704">IF(B708=0,0,IF(YEAR(B708)=$Q$1,MONTH(B708)-$P$1+1,(YEAR(B708)-$Q$1)*12-$P$1+1+MONTH(B708)))</f>
        <v>5</v>
      </c>
      <c r="Q708" s="330">
        <f t="shared" si="704"/>
        <v>3</v>
      </c>
      <c r="R708" s="331" t="str">
        <f t="shared" si="1"/>
        <v>Gastos_Gerais</v>
      </c>
      <c r="S708" s="331" t="str">
        <f>IF(D708="","",IF(OR(D708=Plano!$A$1,D708=Plano!$B$1),"entrada","saída"))</f>
        <v>saída</v>
      </c>
      <c r="T708" s="332" t="s">
        <v>114</v>
      </c>
      <c r="U708" s="332" t="s">
        <v>114</v>
      </c>
      <c r="V708" s="344"/>
    </row>
    <row r="709" spans="1:22" ht="45" customHeight="1" x14ac:dyDescent="0.2">
      <c r="A709" s="277">
        <f>IF(B709="","",COUNT('Diário 5º PA'!$A$5:$A$2634)+ROW()-4)</f>
        <v>2016</v>
      </c>
      <c r="B709" s="278">
        <v>44336</v>
      </c>
      <c r="C709" s="259">
        <v>44256</v>
      </c>
      <c r="D709" s="252" t="s">
        <v>99</v>
      </c>
      <c r="E709" s="252" t="s">
        <v>358</v>
      </c>
      <c r="F709" s="257">
        <v>310</v>
      </c>
      <c r="G709" s="252" t="s">
        <v>4662</v>
      </c>
      <c r="H709" s="252" t="s">
        <v>122</v>
      </c>
      <c r="I709" s="252" t="s">
        <v>530</v>
      </c>
      <c r="J709" s="250" t="s">
        <v>114</v>
      </c>
      <c r="K709" s="250" t="s">
        <v>466</v>
      </c>
      <c r="L709" s="250" t="s">
        <v>547</v>
      </c>
      <c r="M709" s="277" t="s">
        <v>114</v>
      </c>
      <c r="N709" s="278">
        <v>44316</v>
      </c>
      <c r="O709" s="329" t="s">
        <v>67</v>
      </c>
      <c r="P709" s="330">
        <f t="shared" ref="P709:Q709" si="705">IF(B709=0,0,IF(YEAR(B709)=$Q$1,MONTH(B709)-$P$1+1,(YEAR(B709)-$Q$1)*12-$P$1+1+MONTH(B709)))</f>
        <v>5</v>
      </c>
      <c r="Q709" s="330">
        <f t="shared" si="705"/>
        <v>3</v>
      </c>
      <c r="R709" s="331" t="str">
        <f t="shared" si="1"/>
        <v>Gastos_Gerais</v>
      </c>
      <c r="S709" s="331" t="str">
        <f>IF(D709="","",IF(OR(D709=Plano!$A$1,D709=Plano!$B$1),"entrada","saída"))</f>
        <v>saída</v>
      </c>
      <c r="T709" s="332" t="s">
        <v>114</v>
      </c>
      <c r="U709" s="332" t="s">
        <v>114</v>
      </c>
      <c r="V709" s="344"/>
    </row>
    <row r="710" spans="1:22" ht="42.75" customHeight="1" x14ac:dyDescent="0.2">
      <c r="A710" s="277">
        <f>IF(B710="","",COUNT('Diário 5º PA'!$A$5:$A$2634)+ROW()-4)</f>
        <v>2017</v>
      </c>
      <c r="B710" s="278">
        <v>44336</v>
      </c>
      <c r="C710" s="259">
        <v>44256</v>
      </c>
      <c r="D710" s="252" t="s">
        <v>99</v>
      </c>
      <c r="E710" s="252" t="s">
        <v>336</v>
      </c>
      <c r="F710" s="257">
        <v>310</v>
      </c>
      <c r="G710" s="252" t="s">
        <v>4663</v>
      </c>
      <c r="H710" s="252" t="s">
        <v>116</v>
      </c>
      <c r="I710" s="252" t="s">
        <v>530</v>
      </c>
      <c r="J710" s="250" t="s">
        <v>114</v>
      </c>
      <c r="K710" s="250" t="s">
        <v>466</v>
      </c>
      <c r="L710" s="250" t="s">
        <v>547</v>
      </c>
      <c r="M710" s="277" t="s">
        <v>114</v>
      </c>
      <c r="N710" s="278">
        <v>44316</v>
      </c>
      <c r="O710" s="329" t="s">
        <v>67</v>
      </c>
      <c r="P710" s="330">
        <f t="shared" ref="P710:Q710" si="706">IF(B710=0,0,IF(YEAR(B710)=$Q$1,MONTH(B710)-$P$1+1,(YEAR(B710)-$Q$1)*12-$P$1+1+MONTH(B710)))</f>
        <v>5</v>
      </c>
      <c r="Q710" s="330">
        <f t="shared" si="706"/>
        <v>3</v>
      </c>
      <c r="R710" s="331" t="str">
        <f t="shared" si="1"/>
        <v>Gastos_Gerais</v>
      </c>
      <c r="S710" s="331" t="str">
        <f>IF(D710="","",IF(OR(D710=Plano!$A$1,D710=Plano!$B$1),"entrada","saída"))</f>
        <v>saída</v>
      </c>
      <c r="T710" s="332" t="s">
        <v>114</v>
      </c>
      <c r="U710" s="332" t="s">
        <v>114</v>
      </c>
      <c r="V710" s="344"/>
    </row>
    <row r="711" spans="1:22" ht="44.25" customHeight="1" x14ac:dyDescent="0.2">
      <c r="A711" s="277">
        <f>IF(B711="","",COUNT('Diário 5º PA'!$A$5:$A$2634)+ROW()-4)</f>
        <v>2018</v>
      </c>
      <c r="B711" s="278">
        <v>44336</v>
      </c>
      <c r="C711" s="259">
        <v>44197</v>
      </c>
      <c r="D711" s="252" t="s">
        <v>99</v>
      </c>
      <c r="E711" s="252" t="s">
        <v>358</v>
      </c>
      <c r="F711" s="257">
        <v>310</v>
      </c>
      <c r="G711" s="252" t="s">
        <v>4664</v>
      </c>
      <c r="H711" s="252" t="s">
        <v>122</v>
      </c>
      <c r="I711" s="252" t="s">
        <v>530</v>
      </c>
      <c r="J711" s="250" t="s">
        <v>114</v>
      </c>
      <c r="K711" s="250" t="s">
        <v>466</v>
      </c>
      <c r="L711" s="250" t="s">
        <v>547</v>
      </c>
      <c r="M711" s="277" t="s">
        <v>114</v>
      </c>
      <c r="N711" s="278">
        <v>44316</v>
      </c>
      <c r="O711" s="329" t="s">
        <v>67</v>
      </c>
      <c r="P711" s="330">
        <f t="shared" ref="P711:Q711" si="707">IF(B711=0,0,IF(YEAR(B711)=$Q$1,MONTH(B711)-$P$1+1,(YEAR(B711)-$Q$1)*12-$P$1+1+MONTH(B711)))</f>
        <v>5</v>
      </c>
      <c r="Q711" s="330">
        <f t="shared" si="707"/>
        <v>1</v>
      </c>
      <c r="R711" s="331" t="str">
        <f t="shared" si="1"/>
        <v>Gastos_Gerais</v>
      </c>
      <c r="S711" s="331" t="str">
        <f>IF(D711="","",IF(OR(D711=Plano!$A$1,D711=Plano!$B$1),"entrada","saída"))</f>
        <v>saída</v>
      </c>
      <c r="T711" s="332" t="s">
        <v>114</v>
      </c>
      <c r="U711" s="332" t="s">
        <v>114</v>
      </c>
      <c r="V711" s="344"/>
    </row>
    <row r="712" spans="1:22" ht="51.75" customHeight="1" x14ac:dyDescent="0.2">
      <c r="A712" s="277">
        <f>IF(B712="","",COUNT('Diário 5º PA'!$A$5:$A$2634)+ROW()-4)</f>
        <v>2019</v>
      </c>
      <c r="B712" s="278">
        <v>44336</v>
      </c>
      <c r="C712" s="259">
        <v>44287</v>
      </c>
      <c r="D712" s="252" t="s">
        <v>99</v>
      </c>
      <c r="E712" s="252" t="s">
        <v>364</v>
      </c>
      <c r="F712" s="257">
        <v>1255.5</v>
      </c>
      <c r="G712" s="252" t="s">
        <v>4665</v>
      </c>
      <c r="H712" s="252" t="s">
        <v>131</v>
      </c>
      <c r="I712" s="252" t="s">
        <v>530</v>
      </c>
      <c r="J712" s="250" t="s">
        <v>114</v>
      </c>
      <c r="K712" s="250" t="s">
        <v>466</v>
      </c>
      <c r="L712" s="250" t="s">
        <v>547</v>
      </c>
      <c r="M712" s="277" t="s">
        <v>114</v>
      </c>
      <c r="N712" s="278">
        <v>44316</v>
      </c>
      <c r="O712" s="329" t="s">
        <v>67</v>
      </c>
      <c r="P712" s="330">
        <f t="shared" ref="P712:Q712" si="708">IF(B712=0,0,IF(YEAR(B712)=$Q$1,MONTH(B712)-$P$1+1,(YEAR(B712)-$Q$1)*12-$P$1+1+MONTH(B712)))</f>
        <v>5</v>
      </c>
      <c r="Q712" s="330">
        <f t="shared" si="708"/>
        <v>4</v>
      </c>
      <c r="R712" s="331" t="str">
        <f t="shared" si="1"/>
        <v>Gastos_Gerais</v>
      </c>
      <c r="S712" s="331" t="str">
        <f>IF(D712="","",IF(OR(D712=Plano!$A$1,D712=Plano!$B$1),"entrada","saída"))</f>
        <v>saída</v>
      </c>
      <c r="T712" s="332" t="s">
        <v>114</v>
      </c>
      <c r="U712" s="332" t="s">
        <v>114</v>
      </c>
      <c r="V712" s="344"/>
    </row>
    <row r="713" spans="1:22" ht="49.5" customHeight="1" x14ac:dyDescent="0.2">
      <c r="A713" s="277">
        <f>IF(B713="","",COUNT('Diário 5º PA'!$A$5:$A$2634)+ROW()-4)</f>
        <v>2020</v>
      </c>
      <c r="B713" s="278">
        <v>44336</v>
      </c>
      <c r="C713" s="259">
        <v>44287</v>
      </c>
      <c r="D713" s="252" t="s">
        <v>99</v>
      </c>
      <c r="E713" s="252" t="s">
        <v>228</v>
      </c>
      <c r="F713" s="257">
        <v>127.5</v>
      </c>
      <c r="G713" s="252" t="s">
        <v>4666</v>
      </c>
      <c r="H713" s="252" t="s">
        <v>115</v>
      </c>
      <c r="I713" s="252" t="s">
        <v>488</v>
      </c>
      <c r="J713" s="250" t="s">
        <v>114</v>
      </c>
      <c r="K713" s="250" t="s">
        <v>466</v>
      </c>
      <c r="L713" s="250" t="s">
        <v>489</v>
      </c>
      <c r="M713" s="277" t="s">
        <v>114</v>
      </c>
      <c r="N713" s="278">
        <v>44316</v>
      </c>
      <c r="O713" s="329" t="s">
        <v>67</v>
      </c>
      <c r="P713" s="330">
        <f t="shared" ref="P713:Q713" si="709">IF(B713=0,0,IF(YEAR(B713)=$Q$1,MONTH(B713)-$P$1+1,(YEAR(B713)-$Q$1)*12-$P$1+1+MONTH(B713)))</f>
        <v>5</v>
      </c>
      <c r="Q713" s="330">
        <f t="shared" si="709"/>
        <v>4</v>
      </c>
      <c r="R713" s="331" t="str">
        <f t="shared" si="1"/>
        <v>Gastos_Gerais</v>
      </c>
      <c r="S713" s="331" t="str">
        <f>IF(D713="","",IF(OR(D713=Plano!$A$1,D713=Plano!$B$1),"entrada","saída"))</f>
        <v>saída</v>
      </c>
      <c r="T713" s="332" t="s">
        <v>114</v>
      </c>
      <c r="U713" s="332" t="s">
        <v>114</v>
      </c>
      <c r="V713" s="344"/>
    </row>
    <row r="714" spans="1:22" ht="39" customHeight="1" x14ac:dyDescent="0.2">
      <c r="A714" s="277">
        <f>IF(B714="","",COUNT('Diário 5º PA'!$A$5:$A$2634)+ROW()-4)</f>
        <v>2021</v>
      </c>
      <c r="B714" s="278">
        <v>44336</v>
      </c>
      <c r="C714" s="259">
        <v>44287</v>
      </c>
      <c r="D714" s="252" t="s">
        <v>99</v>
      </c>
      <c r="E714" s="252" t="s">
        <v>364</v>
      </c>
      <c r="F714" s="257">
        <v>165</v>
      </c>
      <c r="G714" s="252" t="s">
        <v>4667</v>
      </c>
      <c r="H714" s="252" t="s">
        <v>131</v>
      </c>
      <c r="I714" s="252" t="s">
        <v>488</v>
      </c>
      <c r="J714" s="250" t="s">
        <v>114</v>
      </c>
      <c r="K714" s="250" t="s">
        <v>466</v>
      </c>
      <c r="L714" s="250" t="s">
        <v>489</v>
      </c>
      <c r="M714" s="277" t="s">
        <v>114</v>
      </c>
      <c r="N714" s="278">
        <v>44316</v>
      </c>
      <c r="O714" s="329" t="s">
        <v>67</v>
      </c>
      <c r="P714" s="330">
        <f t="shared" ref="P714:Q714" si="710">IF(B714=0,0,IF(YEAR(B714)=$Q$1,MONTH(B714)-$P$1+1,(YEAR(B714)-$Q$1)*12-$P$1+1+MONTH(B714)))</f>
        <v>5</v>
      </c>
      <c r="Q714" s="330">
        <f t="shared" si="710"/>
        <v>4</v>
      </c>
      <c r="R714" s="331" t="str">
        <f t="shared" si="1"/>
        <v>Gastos_Gerais</v>
      </c>
      <c r="S714" s="331" t="str">
        <f>IF(D714="","",IF(OR(D714=Plano!$A$1,D714=Plano!$B$1),"entrada","saída"))</f>
        <v>saída</v>
      </c>
      <c r="T714" s="332" t="s">
        <v>114</v>
      </c>
      <c r="U714" s="332" t="s">
        <v>114</v>
      </c>
      <c r="V714" s="344"/>
    </row>
    <row r="715" spans="1:22" ht="31.5" customHeight="1" x14ac:dyDescent="0.2">
      <c r="A715" s="277">
        <f>IF(B715="","",COUNT('Diário 5º PA'!$A$5:$A$2634)+ROW()-4)</f>
        <v>2022</v>
      </c>
      <c r="B715" s="278">
        <v>44336</v>
      </c>
      <c r="C715" s="259">
        <v>44166</v>
      </c>
      <c r="D715" s="252" t="s">
        <v>99</v>
      </c>
      <c r="E715" s="252" t="s">
        <v>232</v>
      </c>
      <c r="F715" s="257">
        <v>319.2</v>
      </c>
      <c r="G715" s="252" t="s">
        <v>4668</v>
      </c>
      <c r="H715" s="252" t="s">
        <v>115</v>
      </c>
      <c r="I715" s="252" t="s">
        <v>488</v>
      </c>
      <c r="J715" s="250" t="s">
        <v>114</v>
      </c>
      <c r="K715" s="250" t="s">
        <v>466</v>
      </c>
      <c r="L715" s="250" t="s">
        <v>489</v>
      </c>
      <c r="M715" s="277" t="s">
        <v>114</v>
      </c>
      <c r="N715" s="278">
        <v>44316</v>
      </c>
      <c r="O715" s="329" t="s">
        <v>67</v>
      </c>
      <c r="P715" s="330">
        <f t="shared" ref="P715:Q715" si="711">IF(B715=0,0,IF(YEAR(B715)=$Q$1,MONTH(B715)-$P$1+1,(YEAR(B715)-$Q$1)*12-$P$1+1+MONTH(B715)))</f>
        <v>5</v>
      </c>
      <c r="Q715" s="330">
        <f t="shared" si="711"/>
        <v>0</v>
      </c>
      <c r="R715" s="331" t="str">
        <f t="shared" si="1"/>
        <v>Gastos_Gerais</v>
      </c>
      <c r="S715" s="331" t="str">
        <f>IF(D715="","",IF(OR(D715=Plano!$A$1,D715=Plano!$B$1),"entrada","saída"))</f>
        <v>saída</v>
      </c>
      <c r="T715" s="332" t="s">
        <v>114</v>
      </c>
      <c r="U715" s="332" t="s">
        <v>114</v>
      </c>
      <c r="V715" s="344"/>
    </row>
    <row r="716" spans="1:22" ht="36.75" customHeight="1" x14ac:dyDescent="0.2">
      <c r="A716" s="277">
        <f>IF(B716="","",COUNT('Diário 5º PA'!$A$5:$A$2634)+ROW()-4)</f>
        <v>2023</v>
      </c>
      <c r="B716" s="278">
        <v>44336</v>
      </c>
      <c r="C716" s="259">
        <v>44136</v>
      </c>
      <c r="D716" s="252" t="s">
        <v>99</v>
      </c>
      <c r="E716" s="252" t="s">
        <v>244</v>
      </c>
      <c r="F716" s="257">
        <v>22.5</v>
      </c>
      <c r="G716" s="252" t="s">
        <v>4669</v>
      </c>
      <c r="H716" s="252" t="s">
        <v>115</v>
      </c>
      <c r="I716" s="252" t="s">
        <v>488</v>
      </c>
      <c r="J716" s="250" t="s">
        <v>114</v>
      </c>
      <c r="K716" s="250" t="s">
        <v>466</v>
      </c>
      <c r="L716" s="250" t="s">
        <v>489</v>
      </c>
      <c r="M716" s="277" t="s">
        <v>114</v>
      </c>
      <c r="N716" s="278">
        <v>44316</v>
      </c>
      <c r="O716" s="329" t="s">
        <v>67</v>
      </c>
      <c r="P716" s="330">
        <f t="shared" ref="P716:Q716" si="712">IF(B716=0,0,IF(YEAR(B716)=$Q$1,MONTH(B716)-$P$1+1,(YEAR(B716)-$Q$1)*12-$P$1+1+MONTH(B716)))</f>
        <v>5</v>
      </c>
      <c r="Q716" s="330">
        <f t="shared" si="712"/>
        <v>-1</v>
      </c>
      <c r="R716" s="331" t="str">
        <f t="shared" si="1"/>
        <v>Gastos_Gerais</v>
      </c>
      <c r="S716" s="331" t="str">
        <f>IF(D716="","",IF(OR(D716=Plano!$A$1,D716=Plano!$B$1),"entrada","saída"))</f>
        <v>saída</v>
      </c>
      <c r="T716" s="332" t="s">
        <v>114</v>
      </c>
      <c r="U716" s="332" t="s">
        <v>114</v>
      </c>
      <c r="V716" s="344"/>
    </row>
    <row r="717" spans="1:22" ht="41.25" customHeight="1" x14ac:dyDescent="0.2">
      <c r="A717" s="277">
        <f>IF(B717="","",COUNT('Diário 5º PA'!$A$5:$A$2634)+ROW()-4)</f>
        <v>2024</v>
      </c>
      <c r="B717" s="278">
        <v>44336</v>
      </c>
      <c r="C717" s="259">
        <v>44256</v>
      </c>
      <c r="D717" s="252" t="s">
        <v>99</v>
      </c>
      <c r="E717" s="252" t="s">
        <v>266</v>
      </c>
      <c r="F717" s="257">
        <v>290.60000000000002</v>
      </c>
      <c r="G717" s="252" t="s">
        <v>4670</v>
      </c>
      <c r="H717" s="252" t="s">
        <v>129</v>
      </c>
      <c r="I717" s="252" t="s">
        <v>4298</v>
      </c>
      <c r="J717" s="250" t="s">
        <v>114</v>
      </c>
      <c r="K717" s="250" t="s">
        <v>466</v>
      </c>
      <c r="L717" s="250" t="s">
        <v>467</v>
      </c>
      <c r="M717" s="277">
        <v>383243</v>
      </c>
      <c r="N717" s="278">
        <v>44323</v>
      </c>
      <c r="O717" s="329" t="s">
        <v>67</v>
      </c>
      <c r="P717" s="330">
        <f t="shared" ref="P717:Q717" si="713">IF(B717=0,0,IF(YEAR(B717)=$Q$1,MONTH(B717)-$P$1+1,(YEAR(B717)-$Q$1)*12-$P$1+1+MONTH(B717)))</f>
        <v>5</v>
      </c>
      <c r="Q717" s="330">
        <f t="shared" si="713"/>
        <v>3</v>
      </c>
      <c r="R717" s="331" t="str">
        <f t="shared" si="1"/>
        <v>Gastos_Gerais</v>
      </c>
      <c r="S717" s="331" t="str">
        <f>IF(D717="","",IF(OR(D717=Plano!$A$1,D717=Plano!$B$1),"entrada","saída"))</f>
        <v>saída</v>
      </c>
      <c r="T717" s="332" t="s">
        <v>114</v>
      </c>
      <c r="U717" s="332" t="s">
        <v>114</v>
      </c>
      <c r="V717" s="344"/>
    </row>
    <row r="718" spans="1:22" ht="36" customHeight="1" x14ac:dyDescent="0.2">
      <c r="A718" s="277">
        <f>IF(B718="","",COUNT('Diário 5º PA'!$A$5:$A$2634)+ROW()-4)</f>
        <v>2025</v>
      </c>
      <c r="B718" s="278">
        <v>44336</v>
      </c>
      <c r="C718" s="259">
        <v>44136</v>
      </c>
      <c r="D718" s="252" t="s">
        <v>99</v>
      </c>
      <c r="E718" s="252" t="s">
        <v>244</v>
      </c>
      <c r="F718" s="257">
        <v>69.75</v>
      </c>
      <c r="G718" s="252" t="s">
        <v>4671</v>
      </c>
      <c r="H718" s="252" t="s">
        <v>115</v>
      </c>
      <c r="I718" s="252" t="s">
        <v>488</v>
      </c>
      <c r="J718" s="250" t="s">
        <v>114</v>
      </c>
      <c r="K718" s="250" t="s">
        <v>466</v>
      </c>
      <c r="L718" s="250" t="s">
        <v>489</v>
      </c>
      <c r="M718" s="277" t="s">
        <v>114</v>
      </c>
      <c r="N718" s="278">
        <v>44316</v>
      </c>
      <c r="O718" s="329" t="s">
        <v>67</v>
      </c>
      <c r="P718" s="330">
        <f t="shared" ref="P718:Q718" si="714">IF(B718=0,0,IF(YEAR(B718)=$Q$1,MONTH(B718)-$P$1+1,(YEAR(B718)-$Q$1)*12-$P$1+1+MONTH(B718)))</f>
        <v>5</v>
      </c>
      <c r="Q718" s="330">
        <f t="shared" si="714"/>
        <v>-1</v>
      </c>
      <c r="R718" s="331" t="str">
        <f t="shared" si="1"/>
        <v>Gastos_Gerais</v>
      </c>
      <c r="S718" s="331" t="str">
        <f>IF(D718="","",IF(OR(D718=Plano!$A$1,D718=Plano!$B$1),"entrada","saída"))</f>
        <v>saída</v>
      </c>
      <c r="T718" s="332" t="s">
        <v>114</v>
      </c>
      <c r="U718" s="332" t="s">
        <v>114</v>
      </c>
      <c r="V718" s="344"/>
    </row>
    <row r="719" spans="1:22" ht="34.5" customHeight="1" x14ac:dyDescent="0.2">
      <c r="A719" s="277">
        <f>IF(B719="","",COUNT('Diário 5º PA'!$A$5:$A$2634)+ROW()-4)</f>
        <v>2026</v>
      </c>
      <c r="B719" s="278">
        <v>44336</v>
      </c>
      <c r="C719" s="259">
        <v>44228</v>
      </c>
      <c r="D719" s="252" t="s">
        <v>88</v>
      </c>
      <c r="E719" s="252" t="s">
        <v>90</v>
      </c>
      <c r="F719" s="257">
        <v>13.9</v>
      </c>
      <c r="G719" s="252" t="s">
        <v>4672</v>
      </c>
      <c r="H719" s="252" t="s">
        <v>114</v>
      </c>
      <c r="I719" s="252" t="s">
        <v>488</v>
      </c>
      <c r="J719" s="250" t="s">
        <v>114</v>
      </c>
      <c r="K719" s="250" t="s">
        <v>466</v>
      </c>
      <c r="L719" s="250" t="s">
        <v>489</v>
      </c>
      <c r="M719" s="277" t="s">
        <v>114</v>
      </c>
      <c r="N719" s="278">
        <v>44316</v>
      </c>
      <c r="O719" s="329" t="s">
        <v>67</v>
      </c>
      <c r="P719" s="330">
        <f t="shared" ref="P719:Q719" si="715">IF(B719=0,0,IF(YEAR(B719)=$Q$1,MONTH(B719)-$P$1+1,(YEAR(B719)-$Q$1)*12-$P$1+1+MONTH(B719)))</f>
        <v>5</v>
      </c>
      <c r="Q719" s="330">
        <f t="shared" si="715"/>
        <v>2</v>
      </c>
      <c r="R719" s="331" t="str">
        <f t="shared" si="1"/>
        <v>Gastos_com_Pessoal</v>
      </c>
      <c r="S719" s="331" t="str">
        <f>IF(D719="","",IF(OR(D719=Plano!$A$1,D719=Plano!$B$1),"entrada","saída"))</f>
        <v>saída</v>
      </c>
      <c r="T719" s="332" t="s">
        <v>114</v>
      </c>
      <c r="U719" s="332" t="s">
        <v>114</v>
      </c>
      <c r="V719" s="344"/>
    </row>
    <row r="720" spans="1:22" ht="43.5" customHeight="1" x14ac:dyDescent="0.2">
      <c r="A720" s="277">
        <f>IF(B720="","",COUNT('Diário 5º PA'!$A$5:$A$2634)+ROW()-4)</f>
        <v>2027</v>
      </c>
      <c r="B720" s="278">
        <v>44336</v>
      </c>
      <c r="C720" s="259">
        <v>44166</v>
      </c>
      <c r="D720" s="252" t="s">
        <v>99</v>
      </c>
      <c r="E720" s="252" t="s">
        <v>232</v>
      </c>
      <c r="F720" s="257">
        <v>989.52</v>
      </c>
      <c r="G720" s="252" t="s">
        <v>4673</v>
      </c>
      <c r="H720" s="252" t="s">
        <v>115</v>
      </c>
      <c r="I720" s="252" t="s">
        <v>488</v>
      </c>
      <c r="J720" s="250" t="s">
        <v>114</v>
      </c>
      <c r="K720" s="250" t="s">
        <v>466</v>
      </c>
      <c r="L720" s="250" t="s">
        <v>489</v>
      </c>
      <c r="M720" s="277" t="s">
        <v>114</v>
      </c>
      <c r="N720" s="278">
        <v>44316</v>
      </c>
      <c r="O720" s="329" t="s">
        <v>67</v>
      </c>
      <c r="P720" s="330">
        <f t="shared" ref="P720:Q720" si="716">IF(B720=0,0,IF(YEAR(B720)=$Q$1,MONTH(B720)-$P$1+1,(YEAR(B720)-$Q$1)*12-$P$1+1+MONTH(B720)))</f>
        <v>5</v>
      </c>
      <c r="Q720" s="330">
        <f t="shared" si="716"/>
        <v>0</v>
      </c>
      <c r="R720" s="331" t="str">
        <f t="shared" si="1"/>
        <v>Gastos_Gerais</v>
      </c>
      <c r="S720" s="331" t="str">
        <f>IF(D720="","",IF(OR(D720=Plano!$A$1,D720=Plano!$B$1),"entrada","saída"))</f>
        <v>saída</v>
      </c>
      <c r="T720" s="332" t="s">
        <v>114</v>
      </c>
      <c r="U720" s="332" t="s">
        <v>114</v>
      </c>
      <c r="V720" s="344"/>
    </row>
    <row r="721" spans="1:22" ht="42.75" customHeight="1" x14ac:dyDescent="0.2">
      <c r="A721" s="277">
        <f>IF(B721="","",COUNT('Diário 5º PA'!$A$5:$A$2634)+ROW()-4)</f>
        <v>2028</v>
      </c>
      <c r="B721" s="278">
        <v>44336</v>
      </c>
      <c r="C721" s="259">
        <v>44256</v>
      </c>
      <c r="D721" s="252" t="s">
        <v>99</v>
      </c>
      <c r="E721" s="252" t="s">
        <v>228</v>
      </c>
      <c r="F721" s="257">
        <v>395.25</v>
      </c>
      <c r="G721" s="252" t="s">
        <v>4674</v>
      </c>
      <c r="H721" s="252" t="s">
        <v>115</v>
      </c>
      <c r="I721" s="252" t="s">
        <v>488</v>
      </c>
      <c r="J721" s="250" t="s">
        <v>114</v>
      </c>
      <c r="K721" s="250" t="s">
        <v>466</v>
      </c>
      <c r="L721" s="250" t="s">
        <v>489</v>
      </c>
      <c r="M721" s="277" t="s">
        <v>114</v>
      </c>
      <c r="N721" s="278">
        <v>44316</v>
      </c>
      <c r="O721" s="329" t="s">
        <v>67</v>
      </c>
      <c r="P721" s="330">
        <f t="shared" ref="P721:Q721" si="717">IF(B721=0,0,IF(YEAR(B721)=$Q$1,MONTH(B721)-$P$1+1,(YEAR(B721)-$Q$1)*12-$P$1+1+MONTH(B721)))</f>
        <v>5</v>
      </c>
      <c r="Q721" s="330">
        <f t="shared" si="717"/>
        <v>3</v>
      </c>
      <c r="R721" s="331" t="str">
        <f t="shared" si="1"/>
        <v>Gastos_Gerais</v>
      </c>
      <c r="S721" s="331" t="str">
        <f>IF(D721="","",IF(OR(D721=Plano!$A$1,D721=Plano!$B$1),"entrada","saída"))</f>
        <v>saída</v>
      </c>
      <c r="T721" s="332" t="s">
        <v>114</v>
      </c>
      <c r="U721" s="332" t="s">
        <v>114</v>
      </c>
      <c r="V721" s="344"/>
    </row>
    <row r="722" spans="1:22" ht="41.25" customHeight="1" x14ac:dyDescent="0.2">
      <c r="A722" s="277">
        <f>IF(B722="","",COUNT('Diário 5º PA'!$A$5:$A$2634)+ROW()-4)</f>
        <v>2029</v>
      </c>
      <c r="B722" s="278">
        <v>44336</v>
      </c>
      <c r="C722" s="259">
        <v>44287</v>
      </c>
      <c r="D722" s="252" t="s">
        <v>99</v>
      </c>
      <c r="E722" s="252" t="s">
        <v>364</v>
      </c>
      <c r="F722" s="257">
        <v>511.5</v>
      </c>
      <c r="G722" s="252" t="s">
        <v>4675</v>
      </c>
      <c r="H722" s="252" t="s">
        <v>131</v>
      </c>
      <c r="I722" s="252" t="s">
        <v>488</v>
      </c>
      <c r="J722" s="250" t="s">
        <v>114</v>
      </c>
      <c r="K722" s="250" t="s">
        <v>466</v>
      </c>
      <c r="L722" s="250" t="s">
        <v>489</v>
      </c>
      <c r="M722" s="277" t="s">
        <v>114</v>
      </c>
      <c r="N722" s="278">
        <v>44316</v>
      </c>
      <c r="O722" s="329" t="s">
        <v>67</v>
      </c>
      <c r="P722" s="330">
        <f t="shared" ref="P722:Q722" si="718">IF(B722=0,0,IF(YEAR(B722)=$Q$1,MONTH(B722)-$P$1+1,(YEAR(B722)-$Q$1)*12-$P$1+1+MONTH(B722)))</f>
        <v>5</v>
      </c>
      <c r="Q722" s="330">
        <f t="shared" si="718"/>
        <v>4</v>
      </c>
      <c r="R722" s="331" t="str">
        <f t="shared" si="1"/>
        <v>Gastos_Gerais</v>
      </c>
      <c r="S722" s="331" t="str">
        <f>IF(D722="","",IF(OR(D722=Plano!$A$1,D722=Plano!$B$1),"entrada","saída"))</f>
        <v>saída</v>
      </c>
      <c r="T722" s="332" t="s">
        <v>114</v>
      </c>
      <c r="U722" s="332" t="s">
        <v>114</v>
      </c>
      <c r="V722" s="344"/>
    </row>
    <row r="723" spans="1:22" ht="27" customHeight="1" x14ac:dyDescent="0.2">
      <c r="A723" s="277">
        <f>IF(B723="","",COUNT('Diário 5º PA'!$A$5:$A$2634)+ROW()-4)</f>
        <v>2030</v>
      </c>
      <c r="B723" s="278">
        <v>44336</v>
      </c>
      <c r="C723" s="259">
        <v>44256</v>
      </c>
      <c r="D723" s="252" t="s">
        <v>88</v>
      </c>
      <c r="E723" s="252" t="s">
        <v>90</v>
      </c>
      <c r="F723" s="257">
        <v>10408.82</v>
      </c>
      <c r="G723" s="252" t="s">
        <v>4676</v>
      </c>
      <c r="H723" s="252" t="s">
        <v>114</v>
      </c>
      <c r="I723" s="252" t="s">
        <v>488</v>
      </c>
      <c r="J723" s="250" t="s">
        <v>114</v>
      </c>
      <c r="K723" s="250" t="s">
        <v>466</v>
      </c>
      <c r="L723" s="250" t="s">
        <v>489</v>
      </c>
      <c r="M723" s="277" t="s">
        <v>114</v>
      </c>
      <c r="N723" s="278">
        <v>44316</v>
      </c>
      <c r="O723" s="329" t="s">
        <v>67</v>
      </c>
      <c r="P723" s="330">
        <f t="shared" ref="P723:Q723" si="719">IF(B723=0,0,IF(YEAR(B723)=$Q$1,MONTH(B723)-$P$1+1,(YEAR(B723)-$Q$1)*12-$P$1+1+MONTH(B723)))</f>
        <v>5</v>
      </c>
      <c r="Q723" s="330">
        <f t="shared" si="719"/>
        <v>3</v>
      </c>
      <c r="R723" s="331" t="str">
        <f t="shared" si="1"/>
        <v>Gastos_com_Pessoal</v>
      </c>
      <c r="S723" s="331" t="str">
        <f>IF(D723="","",IF(OR(D723=Plano!$A$1,D723=Plano!$B$1),"entrada","saída"))</f>
        <v>saída</v>
      </c>
      <c r="T723" s="332" t="s">
        <v>114</v>
      </c>
      <c r="U723" s="332" t="s">
        <v>114</v>
      </c>
      <c r="V723" s="344"/>
    </row>
    <row r="724" spans="1:22" ht="27.75" customHeight="1" x14ac:dyDescent="0.2">
      <c r="A724" s="277">
        <f>IF(B724="","",COUNT('Diário 5º PA'!$A$5:$A$2634)+ROW()-4)</f>
        <v>2031</v>
      </c>
      <c r="B724" s="278">
        <v>44336</v>
      </c>
      <c r="C724" s="259">
        <v>44287</v>
      </c>
      <c r="D724" s="252" t="s">
        <v>88</v>
      </c>
      <c r="E724" s="252" t="s">
        <v>177</v>
      </c>
      <c r="F724" s="257">
        <v>1335.78</v>
      </c>
      <c r="G724" s="252" t="s">
        <v>4677</v>
      </c>
      <c r="H724" s="252" t="s">
        <v>114</v>
      </c>
      <c r="I724" s="252" t="s">
        <v>488</v>
      </c>
      <c r="J724" s="250" t="s">
        <v>114</v>
      </c>
      <c r="K724" s="250" t="s">
        <v>466</v>
      </c>
      <c r="L724" s="250" t="s">
        <v>489</v>
      </c>
      <c r="M724" s="277" t="s">
        <v>114</v>
      </c>
      <c r="N724" s="278">
        <v>44316</v>
      </c>
      <c r="O724" s="329" t="s">
        <v>67</v>
      </c>
      <c r="P724" s="330">
        <f t="shared" ref="P724:Q724" si="720">IF(B724=0,0,IF(YEAR(B724)=$Q$1,MONTH(B724)-$P$1+1,(YEAR(B724)-$Q$1)*12-$P$1+1+MONTH(B724)))</f>
        <v>5</v>
      </c>
      <c r="Q724" s="330">
        <f t="shared" si="720"/>
        <v>4</v>
      </c>
      <c r="R724" s="331" t="str">
        <f t="shared" si="1"/>
        <v>Gastos_com_Pessoal</v>
      </c>
      <c r="S724" s="331" t="str">
        <f>IF(D724="","",IF(OR(D724=Plano!$A$1,D724=Plano!$B$1),"entrada","saída"))</f>
        <v>saída</v>
      </c>
      <c r="T724" s="332" t="s">
        <v>114</v>
      </c>
      <c r="U724" s="332" t="s">
        <v>114</v>
      </c>
      <c r="V724" s="344"/>
    </row>
    <row r="725" spans="1:22" ht="35.25" customHeight="1" x14ac:dyDescent="0.2">
      <c r="A725" s="277">
        <f>IF(B725="","",COUNT('Diário 5º PA'!$A$5:$A$2634)+ROW()-4)</f>
        <v>2032</v>
      </c>
      <c r="B725" s="278">
        <v>44336</v>
      </c>
      <c r="C725" s="259">
        <v>44256</v>
      </c>
      <c r="D725" s="252" t="s">
        <v>99</v>
      </c>
      <c r="E725" s="252" t="s">
        <v>266</v>
      </c>
      <c r="F725" s="257">
        <v>854.7</v>
      </c>
      <c r="G725" s="252" t="s">
        <v>4678</v>
      </c>
      <c r="H725" s="252" t="s">
        <v>129</v>
      </c>
      <c r="I725" s="252" t="s">
        <v>530</v>
      </c>
      <c r="J725" s="250" t="s">
        <v>114</v>
      </c>
      <c r="K725" s="250" t="s">
        <v>466</v>
      </c>
      <c r="L725" s="250" t="s">
        <v>547</v>
      </c>
      <c r="M725" s="277" t="s">
        <v>114</v>
      </c>
      <c r="N725" s="278">
        <v>44316</v>
      </c>
      <c r="O725" s="329" t="s">
        <v>67</v>
      </c>
      <c r="P725" s="330">
        <f t="shared" ref="P725:Q725" si="721">IF(B725=0,0,IF(YEAR(B725)=$Q$1,MONTH(B725)-$P$1+1,(YEAR(B725)-$Q$1)*12-$P$1+1+MONTH(B725)))</f>
        <v>5</v>
      </c>
      <c r="Q725" s="330">
        <f t="shared" si="721"/>
        <v>3</v>
      </c>
      <c r="R725" s="331" t="str">
        <f t="shared" si="1"/>
        <v>Gastos_Gerais</v>
      </c>
      <c r="S725" s="331" t="str">
        <f>IF(D725="","",IF(OR(D725=Plano!$A$1,D725=Plano!$B$1),"entrada","saída"))</f>
        <v>saída</v>
      </c>
      <c r="T725" s="332" t="s">
        <v>114</v>
      </c>
      <c r="U725" s="332" t="s">
        <v>114</v>
      </c>
      <c r="V725" s="344"/>
    </row>
    <row r="726" spans="1:22" ht="33.75" customHeight="1" x14ac:dyDescent="0.2">
      <c r="A726" s="277">
        <f>IF(B726="","",COUNT('Diário 5º PA'!$A$5:$A$2634)+ROW()-4)</f>
        <v>2033</v>
      </c>
      <c r="B726" s="278">
        <v>44336</v>
      </c>
      <c r="C726" s="249">
        <v>44287</v>
      </c>
      <c r="D726" s="255" t="s">
        <v>88</v>
      </c>
      <c r="E726" s="255" t="s">
        <v>90</v>
      </c>
      <c r="F726" s="251">
        <v>6584.6</v>
      </c>
      <c r="G726" s="252" t="s">
        <v>4679</v>
      </c>
      <c r="H726" s="255" t="s">
        <v>114</v>
      </c>
      <c r="I726" s="250" t="s">
        <v>530</v>
      </c>
      <c r="J726" s="250" t="s">
        <v>114</v>
      </c>
      <c r="K726" s="255" t="s">
        <v>466</v>
      </c>
      <c r="L726" s="250" t="s">
        <v>547</v>
      </c>
      <c r="M726" s="277" t="s">
        <v>114</v>
      </c>
      <c r="N726" s="278">
        <v>44316</v>
      </c>
      <c r="O726" s="329" t="s">
        <v>67</v>
      </c>
      <c r="P726" s="330">
        <f t="shared" ref="P726:Q726" si="722">IF(B726=0,0,IF(YEAR(B726)=$Q$1,MONTH(B726)-$P$1+1,(YEAR(B726)-$Q$1)*12-$P$1+1+MONTH(B726)))</f>
        <v>5</v>
      </c>
      <c r="Q726" s="330">
        <f t="shared" si="722"/>
        <v>4</v>
      </c>
      <c r="R726" s="331" t="str">
        <f t="shared" si="1"/>
        <v>Gastos_com_Pessoal</v>
      </c>
      <c r="S726" s="331" t="str">
        <f>IF(D726="","",IF(OR(D726=Plano!$A$1,D726=Plano!$B$1),"entrada","saída"))</f>
        <v>saída</v>
      </c>
      <c r="T726" s="332" t="s">
        <v>114</v>
      </c>
      <c r="U726" s="332" t="s">
        <v>114</v>
      </c>
      <c r="V726" s="344"/>
    </row>
    <row r="727" spans="1:22" ht="36.75" customHeight="1" x14ac:dyDescent="0.2">
      <c r="A727" s="277">
        <f>IF(B727="","",COUNT('Diário 5º PA'!$A$5:$A$2634)+ROW()-4)</f>
        <v>2034</v>
      </c>
      <c r="B727" s="278">
        <v>44336</v>
      </c>
      <c r="C727" s="249">
        <v>44287</v>
      </c>
      <c r="D727" s="255" t="s">
        <v>88</v>
      </c>
      <c r="E727" s="255" t="s">
        <v>167</v>
      </c>
      <c r="F727" s="258">
        <v>22670.79</v>
      </c>
      <c r="G727" s="250" t="s">
        <v>4680</v>
      </c>
      <c r="H727" s="255" t="s">
        <v>114</v>
      </c>
      <c r="I727" s="250" t="s">
        <v>530</v>
      </c>
      <c r="J727" s="250" t="s">
        <v>114</v>
      </c>
      <c r="K727" s="255" t="s">
        <v>466</v>
      </c>
      <c r="L727" s="250" t="s">
        <v>547</v>
      </c>
      <c r="M727" s="277" t="s">
        <v>114</v>
      </c>
      <c r="N727" s="278">
        <v>44316</v>
      </c>
      <c r="O727" s="329" t="s">
        <v>67</v>
      </c>
      <c r="P727" s="330">
        <f t="shared" ref="P727:Q727" si="723">IF(B727=0,0,IF(YEAR(B727)=$Q$1,MONTH(B727)-$P$1+1,(YEAR(B727)-$Q$1)*12-$P$1+1+MONTH(B727)))</f>
        <v>5</v>
      </c>
      <c r="Q727" s="330">
        <f t="shared" si="723"/>
        <v>4</v>
      </c>
      <c r="R727" s="331" t="str">
        <f t="shared" si="1"/>
        <v>Gastos_com_Pessoal</v>
      </c>
      <c r="S727" s="331" t="str">
        <f>IF(D727="","",IF(OR(D727=Plano!$A$1,D727=Plano!$B$1),"entrada","saída"))</f>
        <v>saída</v>
      </c>
      <c r="T727" s="332" t="s">
        <v>114</v>
      </c>
      <c r="U727" s="332" t="s">
        <v>114</v>
      </c>
      <c r="V727" s="344"/>
    </row>
    <row r="728" spans="1:22" ht="50.25" customHeight="1" x14ac:dyDescent="0.2">
      <c r="A728" s="277">
        <f>IF(B728="","",COUNT('Diário 5º PA'!$A$5:$A$2634)+ROW()-4)</f>
        <v>2035</v>
      </c>
      <c r="B728" s="278">
        <v>44336</v>
      </c>
      <c r="C728" s="249">
        <v>44317</v>
      </c>
      <c r="D728" s="255" t="s">
        <v>99</v>
      </c>
      <c r="E728" s="255" t="s">
        <v>272</v>
      </c>
      <c r="F728" s="258">
        <v>10.45</v>
      </c>
      <c r="G728" s="255" t="s">
        <v>4681</v>
      </c>
      <c r="H728" s="252" t="s">
        <v>132</v>
      </c>
      <c r="I728" s="250" t="s">
        <v>949</v>
      </c>
      <c r="J728" s="255" t="s">
        <v>950</v>
      </c>
      <c r="K728" s="255" t="s">
        <v>951</v>
      </c>
      <c r="L728" s="250" t="s">
        <v>947</v>
      </c>
      <c r="M728" s="336" t="s">
        <v>114</v>
      </c>
      <c r="N728" s="278">
        <v>44336</v>
      </c>
      <c r="O728" s="329" t="s">
        <v>67</v>
      </c>
      <c r="P728" s="330">
        <f t="shared" ref="P728:Q728" si="724">IF(B728=0,0,IF(YEAR(B728)=$Q$1,MONTH(B728)-$P$1+1,(YEAR(B728)-$Q$1)*12-$P$1+1+MONTH(B728)))</f>
        <v>5</v>
      </c>
      <c r="Q728" s="330">
        <f t="shared" si="724"/>
        <v>5</v>
      </c>
      <c r="R728" s="331" t="str">
        <f t="shared" si="1"/>
        <v>Gastos_Gerais</v>
      </c>
      <c r="S728" s="331" t="str">
        <f>IF(D728="","",IF(OR(D728=Plano!$A$1,D728=Plano!$B$1),"entrada","saída"))</f>
        <v>saída</v>
      </c>
      <c r="T728" s="332" t="s">
        <v>114</v>
      </c>
      <c r="U728" s="332" t="s">
        <v>114</v>
      </c>
      <c r="V728" s="344"/>
    </row>
    <row r="729" spans="1:22" ht="50.25" customHeight="1" x14ac:dyDescent="0.2">
      <c r="A729" s="277">
        <f>IF(B729="","",COUNT('Diário 5º PA'!$A$5:$A$2634)+ROW()-4)</f>
        <v>2036</v>
      </c>
      <c r="B729" s="278">
        <v>44336</v>
      </c>
      <c r="C729" s="259">
        <v>44256</v>
      </c>
      <c r="D729" s="252" t="s">
        <v>104</v>
      </c>
      <c r="E729" s="252" t="s">
        <v>104</v>
      </c>
      <c r="F729" s="257">
        <v>24.08</v>
      </c>
      <c r="G729" s="252" t="s">
        <v>4682</v>
      </c>
      <c r="H729" s="252" t="s">
        <v>104</v>
      </c>
      <c r="I729" s="252" t="s">
        <v>488</v>
      </c>
      <c r="J729" s="250" t="s">
        <v>114</v>
      </c>
      <c r="K729" s="250" t="s">
        <v>466</v>
      </c>
      <c r="L729" s="250" t="s">
        <v>489</v>
      </c>
      <c r="M729" s="336" t="s">
        <v>114</v>
      </c>
      <c r="N729" s="278">
        <v>44316</v>
      </c>
      <c r="O729" s="329" t="s">
        <v>68</v>
      </c>
      <c r="P729" s="330">
        <f t="shared" ref="P729:Q729" si="725">IF(B729=0,0,IF(YEAR(B729)=$Q$1,MONTH(B729)-$P$1+1,(YEAR(B729)-$Q$1)*12-$P$1+1+MONTH(B729)))</f>
        <v>5</v>
      </c>
      <c r="Q729" s="330">
        <f t="shared" si="725"/>
        <v>3</v>
      </c>
      <c r="R729" s="331" t="str">
        <f t="shared" si="1"/>
        <v>Gastos_custeados_por_captação</v>
      </c>
      <c r="S729" s="331" t="str">
        <f>IF(D729="","",IF(OR(D729=Plano!$A$1,D729=Plano!$B$1),"entrada","saída"))</f>
        <v>saída</v>
      </c>
      <c r="T729" s="332" t="s">
        <v>114</v>
      </c>
      <c r="U729" s="332" t="s">
        <v>114</v>
      </c>
      <c r="V729" s="344"/>
    </row>
    <row r="730" spans="1:22" ht="50.25" customHeight="1" x14ac:dyDescent="0.2">
      <c r="A730" s="277">
        <f>IF(B730="","",COUNT('Diário 5º PA'!$A$5:$A$2634)+ROW()-4)</f>
        <v>2037</v>
      </c>
      <c r="B730" s="278">
        <v>44336</v>
      </c>
      <c r="C730" s="259">
        <v>44256</v>
      </c>
      <c r="D730" s="252" t="s">
        <v>104</v>
      </c>
      <c r="E730" s="252" t="s">
        <v>104</v>
      </c>
      <c r="F730" s="257">
        <v>10.73</v>
      </c>
      <c r="G730" s="252" t="s">
        <v>4683</v>
      </c>
      <c r="H730" s="252" t="s">
        <v>104</v>
      </c>
      <c r="I730" s="252" t="s">
        <v>488</v>
      </c>
      <c r="J730" s="250" t="s">
        <v>114</v>
      </c>
      <c r="K730" s="250" t="s">
        <v>466</v>
      </c>
      <c r="L730" s="250" t="s">
        <v>489</v>
      </c>
      <c r="M730" s="336" t="s">
        <v>114</v>
      </c>
      <c r="N730" s="278">
        <v>44316</v>
      </c>
      <c r="O730" s="329" t="s">
        <v>68</v>
      </c>
      <c r="P730" s="330">
        <f t="shared" ref="P730:Q730" si="726">IF(B730=0,0,IF(YEAR(B730)=$Q$1,MONTH(B730)-$P$1+1,(YEAR(B730)-$Q$1)*12-$P$1+1+MONTH(B730)))</f>
        <v>5</v>
      </c>
      <c r="Q730" s="330">
        <f t="shared" si="726"/>
        <v>3</v>
      </c>
      <c r="R730" s="331" t="str">
        <f t="shared" si="1"/>
        <v>Gastos_custeados_por_captação</v>
      </c>
      <c r="S730" s="331" t="str">
        <f>IF(D730="","",IF(OR(D730=Plano!$A$1,D730=Plano!$B$1),"entrada","saída"))</f>
        <v>saída</v>
      </c>
      <c r="T730" s="332" t="s">
        <v>114</v>
      </c>
      <c r="U730" s="332" t="s">
        <v>114</v>
      </c>
      <c r="V730" s="344"/>
    </row>
    <row r="731" spans="1:22" ht="50.25" customHeight="1" x14ac:dyDescent="0.2">
      <c r="A731" s="277">
        <f>IF(B731="","",COUNT('Diário 5º PA'!$A$5:$A$2634)+ROW()-4)</f>
        <v>2038</v>
      </c>
      <c r="B731" s="278">
        <v>44336</v>
      </c>
      <c r="C731" s="259">
        <v>44256</v>
      </c>
      <c r="D731" s="252" t="s">
        <v>104</v>
      </c>
      <c r="E731" s="252" t="s">
        <v>104</v>
      </c>
      <c r="F731" s="257">
        <v>24.08</v>
      </c>
      <c r="G731" s="252" t="s">
        <v>4684</v>
      </c>
      <c r="H731" s="252" t="s">
        <v>104</v>
      </c>
      <c r="I731" s="252" t="s">
        <v>488</v>
      </c>
      <c r="J731" s="250" t="s">
        <v>114</v>
      </c>
      <c r="K731" s="250" t="s">
        <v>466</v>
      </c>
      <c r="L731" s="250" t="s">
        <v>489</v>
      </c>
      <c r="M731" s="336" t="s">
        <v>114</v>
      </c>
      <c r="N731" s="278">
        <v>44316</v>
      </c>
      <c r="O731" s="329" t="s">
        <v>68</v>
      </c>
      <c r="P731" s="330">
        <f t="shared" ref="P731:Q731" si="727">IF(B731=0,0,IF(YEAR(B731)=$Q$1,MONTH(B731)-$P$1+1,(YEAR(B731)-$Q$1)*12-$P$1+1+MONTH(B731)))</f>
        <v>5</v>
      </c>
      <c r="Q731" s="330">
        <f t="shared" si="727"/>
        <v>3</v>
      </c>
      <c r="R731" s="331" t="str">
        <f t="shared" si="1"/>
        <v>Gastos_custeados_por_captação</v>
      </c>
      <c r="S731" s="331" t="str">
        <f>IF(D731="","",IF(OR(D731=Plano!$A$1,D731=Plano!$B$1),"entrada","saída"))</f>
        <v>saída</v>
      </c>
      <c r="T731" s="332" t="s">
        <v>114</v>
      </c>
      <c r="U731" s="332" t="s">
        <v>114</v>
      </c>
      <c r="V731" s="344"/>
    </row>
    <row r="732" spans="1:22" ht="50.25" customHeight="1" x14ac:dyDescent="0.2">
      <c r="A732" s="277">
        <f>IF(B732="","",COUNT('Diário 5º PA'!$A$5:$A$2634)+ROW()-4)</f>
        <v>2039</v>
      </c>
      <c r="B732" s="278">
        <v>44336</v>
      </c>
      <c r="C732" s="259">
        <v>44256</v>
      </c>
      <c r="D732" s="252" t="s">
        <v>104</v>
      </c>
      <c r="E732" s="252" t="s">
        <v>104</v>
      </c>
      <c r="F732" s="257">
        <v>24.08</v>
      </c>
      <c r="G732" s="252" t="s">
        <v>4685</v>
      </c>
      <c r="H732" s="252" t="s">
        <v>104</v>
      </c>
      <c r="I732" s="252" t="s">
        <v>488</v>
      </c>
      <c r="J732" s="250" t="s">
        <v>114</v>
      </c>
      <c r="K732" s="250" t="s">
        <v>466</v>
      </c>
      <c r="L732" s="250" t="s">
        <v>489</v>
      </c>
      <c r="M732" s="336" t="s">
        <v>114</v>
      </c>
      <c r="N732" s="278">
        <v>44316</v>
      </c>
      <c r="O732" s="329" t="s">
        <v>68</v>
      </c>
      <c r="P732" s="330">
        <f t="shared" ref="P732:Q732" si="728">IF(B732=0,0,IF(YEAR(B732)=$Q$1,MONTH(B732)-$P$1+1,(YEAR(B732)-$Q$1)*12-$P$1+1+MONTH(B732)))</f>
        <v>5</v>
      </c>
      <c r="Q732" s="330">
        <f t="shared" si="728"/>
        <v>3</v>
      </c>
      <c r="R732" s="331" t="str">
        <f t="shared" si="1"/>
        <v>Gastos_custeados_por_captação</v>
      </c>
      <c r="S732" s="331" t="str">
        <f>IF(D732="","",IF(OR(D732=Plano!$A$1,D732=Plano!$B$1),"entrada","saída"))</f>
        <v>saída</v>
      </c>
      <c r="T732" s="332" t="s">
        <v>114</v>
      </c>
      <c r="U732" s="332" t="s">
        <v>114</v>
      </c>
      <c r="V732" s="344"/>
    </row>
    <row r="733" spans="1:22" ht="50.25" customHeight="1" x14ac:dyDescent="0.2">
      <c r="A733" s="277">
        <f>IF(B733="","",COUNT('Diário 5º PA'!$A$5:$A$2634)+ROW()-4)</f>
        <v>2040</v>
      </c>
      <c r="B733" s="278">
        <v>44336</v>
      </c>
      <c r="C733" s="259">
        <v>44256</v>
      </c>
      <c r="D733" s="252" t="s">
        <v>104</v>
      </c>
      <c r="E733" s="252" t="s">
        <v>104</v>
      </c>
      <c r="F733" s="257">
        <v>775</v>
      </c>
      <c r="G733" s="252" t="s">
        <v>4686</v>
      </c>
      <c r="H733" s="252" t="s">
        <v>104</v>
      </c>
      <c r="I733" s="252" t="s">
        <v>530</v>
      </c>
      <c r="J733" s="250" t="s">
        <v>114</v>
      </c>
      <c r="K733" s="250" t="s">
        <v>466</v>
      </c>
      <c r="L733" s="250" t="s">
        <v>547</v>
      </c>
      <c r="M733" s="336" t="s">
        <v>114</v>
      </c>
      <c r="N733" s="278">
        <v>44316</v>
      </c>
      <c r="O733" s="329" t="s">
        <v>68</v>
      </c>
      <c r="P733" s="330">
        <f t="shared" ref="P733:Q733" si="729">IF(B733=0,0,IF(YEAR(B733)=$Q$1,MONTH(B733)-$P$1+1,(YEAR(B733)-$Q$1)*12-$P$1+1+MONTH(B733)))</f>
        <v>5</v>
      </c>
      <c r="Q733" s="330">
        <f t="shared" si="729"/>
        <v>3</v>
      </c>
      <c r="R733" s="331" t="str">
        <f t="shared" si="1"/>
        <v>Gastos_custeados_por_captação</v>
      </c>
      <c r="S733" s="331" t="str">
        <f>IF(D733="","",IF(OR(D733=Plano!$A$1,D733=Plano!$B$1),"entrada","saída"))</f>
        <v>saída</v>
      </c>
      <c r="T733" s="332" t="s">
        <v>114</v>
      </c>
      <c r="U733" s="332" t="s">
        <v>114</v>
      </c>
      <c r="V733" s="344"/>
    </row>
    <row r="734" spans="1:22" ht="50.25" customHeight="1" x14ac:dyDescent="0.2">
      <c r="A734" s="277">
        <f>IF(B734="","",COUNT('Diário 5º PA'!$A$5:$A$2634)+ROW()-4)</f>
        <v>2041</v>
      </c>
      <c r="B734" s="278">
        <v>44336</v>
      </c>
      <c r="C734" s="259">
        <v>44256</v>
      </c>
      <c r="D734" s="252" t="s">
        <v>104</v>
      </c>
      <c r="E734" s="252" t="s">
        <v>104</v>
      </c>
      <c r="F734" s="257">
        <v>713</v>
      </c>
      <c r="G734" s="252" t="s">
        <v>4687</v>
      </c>
      <c r="H734" s="252" t="s">
        <v>104</v>
      </c>
      <c r="I734" s="252" t="s">
        <v>530</v>
      </c>
      <c r="J734" s="250" t="s">
        <v>114</v>
      </c>
      <c r="K734" s="250" t="s">
        <v>466</v>
      </c>
      <c r="L734" s="250" t="s">
        <v>547</v>
      </c>
      <c r="M734" s="336" t="s">
        <v>114</v>
      </c>
      <c r="N734" s="278">
        <v>44316</v>
      </c>
      <c r="O734" s="329" t="s">
        <v>68</v>
      </c>
      <c r="P734" s="330">
        <f t="shared" ref="P734:Q734" si="730">IF(B734=0,0,IF(YEAR(B734)=$Q$1,MONTH(B734)-$P$1+1,(YEAR(B734)-$Q$1)*12-$P$1+1+MONTH(B734)))</f>
        <v>5</v>
      </c>
      <c r="Q734" s="330">
        <f t="shared" si="730"/>
        <v>3</v>
      </c>
      <c r="R734" s="331" t="str">
        <f t="shared" si="1"/>
        <v>Gastos_custeados_por_captação</v>
      </c>
      <c r="S734" s="331" t="str">
        <f>IF(D734="","",IF(OR(D734=Plano!$A$1,D734=Plano!$B$1),"entrada","saída"))</f>
        <v>saída</v>
      </c>
      <c r="T734" s="332" t="s">
        <v>114</v>
      </c>
      <c r="U734" s="332" t="s">
        <v>114</v>
      </c>
      <c r="V734" s="344"/>
    </row>
    <row r="735" spans="1:22" ht="50.25" customHeight="1" x14ac:dyDescent="0.2">
      <c r="A735" s="277">
        <f>IF(B735="","",COUNT('Diário 5º PA'!$A$5:$A$2634)+ROW()-4)</f>
        <v>2042</v>
      </c>
      <c r="B735" s="278">
        <v>44336</v>
      </c>
      <c r="C735" s="259">
        <v>44256</v>
      </c>
      <c r="D735" s="252" t="s">
        <v>104</v>
      </c>
      <c r="E735" s="252" t="s">
        <v>104</v>
      </c>
      <c r="F735" s="257">
        <v>775</v>
      </c>
      <c r="G735" s="252" t="s">
        <v>4688</v>
      </c>
      <c r="H735" s="252" t="s">
        <v>104</v>
      </c>
      <c r="I735" s="252" t="s">
        <v>530</v>
      </c>
      <c r="J735" s="250" t="s">
        <v>114</v>
      </c>
      <c r="K735" s="250" t="s">
        <v>466</v>
      </c>
      <c r="L735" s="250" t="s">
        <v>547</v>
      </c>
      <c r="M735" s="336" t="s">
        <v>114</v>
      </c>
      <c r="N735" s="278">
        <v>44316</v>
      </c>
      <c r="O735" s="329" t="s">
        <v>68</v>
      </c>
      <c r="P735" s="330">
        <f t="shared" ref="P735:Q735" si="731">IF(B735=0,0,IF(YEAR(B735)=$Q$1,MONTH(B735)-$P$1+1,(YEAR(B735)-$Q$1)*12-$P$1+1+MONTH(B735)))</f>
        <v>5</v>
      </c>
      <c r="Q735" s="330">
        <f t="shared" si="731"/>
        <v>3</v>
      </c>
      <c r="R735" s="331" t="str">
        <f t="shared" si="1"/>
        <v>Gastos_custeados_por_captação</v>
      </c>
      <c r="S735" s="331" t="str">
        <f>IF(D735="","",IF(OR(D735=Plano!$A$1,D735=Plano!$B$1),"entrada","saída"))</f>
        <v>saída</v>
      </c>
      <c r="T735" s="332" t="s">
        <v>114</v>
      </c>
      <c r="U735" s="332" t="s">
        <v>114</v>
      </c>
      <c r="V735" s="344"/>
    </row>
    <row r="736" spans="1:22" ht="50.25" customHeight="1" x14ac:dyDescent="0.2">
      <c r="A736" s="277">
        <f>IF(B736="","",COUNT('Diário 5º PA'!$A$5:$A$2634)+ROW()-4)</f>
        <v>2043</v>
      </c>
      <c r="B736" s="278">
        <v>44336</v>
      </c>
      <c r="C736" s="259">
        <v>44256</v>
      </c>
      <c r="D736" s="252" t="s">
        <v>104</v>
      </c>
      <c r="E736" s="252" t="s">
        <v>104</v>
      </c>
      <c r="F736" s="257">
        <v>775</v>
      </c>
      <c r="G736" s="252" t="s">
        <v>4689</v>
      </c>
      <c r="H736" s="252" t="s">
        <v>104</v>
      </c>
      <c r="I736" s="252" t="s">
        <v>530</v>
      </c>
      <c r="J736" s="250" t="s">
        <v>114</v>
      </c>
      <c r="K736" s="250" t="s">
        <v>466</v>
      </c>
      <c r="L736" s="250" t="s">
        <v>547</v>
      </c>
      <c r="M736" s="336" t="s">
        <v>114</v>
      </c>
      <c r="N736" s="278">
        <v>44316</v>
      </c>
      <c r="O736" s="329" t="s">
        <v>68</v>
      </c>
      <c r="P736" s="330">
        <f t="shared" ref="P736:Q736" si="732">IF(B736=0,0,IF(YEAR(B736)=$Q$1,MONTH(B736)-$P$1+1,(YEAR(B736)-$Q$1)*12-$P$1+1+MONTH(B736)))</f>
        <v>5</v>
      </c>
      <c r="Q736" s="330">
        <f t="shared" si="732"/>
        <v>3</v>
      </c>
      <c r="R736" s="331" t="str">
        <f t="shared" si="1"/>
        <v>Gastos_custeados_por_captação</v>
      </c>
      <c r="S736" s="331" t="str">
        <f>IF(D736="","",IF(OR(D736=Plano!$A$1,D736=Plano!$B$1),"entrada","saída"))</f>
        <v>saída</v>
      </c>
      <c r="T736" s="332" t="s">
        <v>114</v>
      </c>
      <c r="U736" s="332" t="s">
        <v>114</v>
      </c>
      <c r="V736" s="344"/>
    </row>
    <row r="737" spans="1:22" ht="50.25" customHeight="1" x14ac:dyDescent="0.2">
      <c r="A737" s="277">
        <f>IF(B737="","",COUNT('Diário 5º PA'!$A$5:$A$2634)+ROW()-4)</f>
        <v>2044</v>
      </c>
      <c r="B737" s="278">
        <v>44336</v>
      </c>
      <c r="C737" s="259">
        <v>44256</v>
      </c>
      <c r="D737" s="252" t="s">
        <v>104</v>
      </c>
      <c r="E737" s="252" t="s">
        <v>104</v>
      </c>
      <c r="F737" s="257">
        <v>496</v>
      </c>
      <c r="G737" s="252" t="s">
        <v>4690</v>
      </c>
      <c r="H737" s="252" t="s">
        <v>104</v>
      </c>
      <c r="I737" s="252" t="s">
        <v>530</v>
      </c>
      <c r="J737" s="250" t="s">
        <v>114</v>
      </c>
      <c r="K737" s="250" t="s">
        <v>466</v>
      </c>
      <c r="L737" s="250" t="s">
        <v>547</v>
      </c>
      <c r="M737" s="336" t="s">
        <v>114</v>
      </c>
      <c r="N737" s="278">
        <v>44316</v>
      </c>
      <c r="O737" s="329" t="s">
        <v>68</v>
      </c>
      <c r="P737" s="330">
        <f t="shared" ref="P737:Q737" si="733">IF(B737=0,0,IF(YEAR(B737)=$Q$1,MONTH(B737)-$P$1+1,(YEAR(B737)-$Q$1)*12-$P$1+1+MONTH(B737)))</f>
        <v>5</v>
      </c>
      <c r="Q737" s="330">
        <f t="shared" si="733"/>
        <v>3</v>
      </c>
      <c r="R737" s="331" t="str">
        <f t="shared" si="1"/>
        <v>Gastos_custeados_por_captação</v>
      </c>
      <c r="S737" s="331" t="str">
        <f>IF(D737="","",IF(OR(D737=Plano!$A$1,D737=Plano!$B$1),"entrada","saída"))</f>
        <v>saída</v>
      </c>
      <c r="T737" s="332" t="s">
        <v>114</v>
      </c>
      <c r="U737" s="332" t="s">
        <v>114</v>
      </c>
      <c r="V737" s="344"/>
    </row>
    <row r="738" spans="1:22" ht="50.25" customHeight="1" x14ac:dyDescent="0.2">
      <c r="A738" s="277">
        <f>IF(B738="","",COUNT('Diário 5º PA'!$A$5:$A$2634)+ROW()-4)</f>
        <v>2045</v>
      </c>
      <c r="B738" s="278">
        <v>44336</v>
      </c>
      <c r="C738" s="259">
        <v>44256</v>
      </c>
      <c r="D738" s="252" t="s">
        <v>104</v>
      </c>
      <c r="E738" s="252" t="s">
        <v>104</v>
      </c>
      <c r="F738" s="257">
        <v>24.08</v>
      </c>
      <c r="G738" s="252" t="s">
        <v>4691</v>
      </c>
      <c r="H738" s="252" t="s">
        <v>104</v>
      </c>
      <c r="I738" s="252" t="s">
        <v>488</v>
      </c>
      <c r="J738" s="250" t="s">
        <v>114</v>
      </c>
      <c r="K738" s="250" t="s">
        <v>466</v>
      </c>
      <c r="L738" s="250" t="s">
        <v>489</v>
      </c>
      <c r="M738" s="336" t="s">
        <v>114</v>
      </c>
      <c r="N738" s="278">
        <v>44316</v>
      </c>
      <c r="O738" s="329" t="s">
        <v>69</v>
      </c>
      <c r="P738" s="330">
        <f t="shared" ref="P738:Q738" si="734">IF(B738=0,0,IF(YEAR(B738)=$Q$1,MONTH(B738)-$P$1+1,(YEAR(B738)-$Q$1)*12-$P$1+1+MONTH(B738)))</f>
        <v>5</v>
      </c>
      <c r="Q738" s="330">
        <f t="shared" si="734"/>
        <v>3</v>
      </c>
      <c r="R738" s="331" t="str">
        <f t="shared" si="1"/>
        <v>Gastos_custeados_por_captação</v>
      </c>
      <c r="S738" s="331" t="str">
        <f>IF(D738="","",IF(OR(D738=Plano!$A$1,D738=Plano!$B$1),"entrada","saída"))</f>
        <v>saída</v>
      </c>
      <c r="T738" s="332" t="s">
        <v>114</v>
      </c>
      <c r="U738" s="332" t="s">
        <v>114</v>
      </c>
      <c r="V738" s="344"/>
    </row>
    <row r="739" spans="1:22" ht="50.25" customHeight="1" x14ac:dyDescent="0.2">
      <c r="A739" s="277">
        <f>IF(B739="","",COUNT('Diário 5º PA'!$A$5:$A$2634)+ROW()-4)</f>
        <v>2046</v>
      </c>
      <c r="B739" s="278">
        <v>44336</v>
      </c>
      <c r="C739" s="259">
        <v>44256</v>
      </c>
      <c r="D739" s="252" t="s">
        <v>104</v>
      </c>
      <c r="E739" s="252" t="s">
        <v>104</v>
      </c>
      <c r="F739" s="257">
        <v>775</v>
      </c>
      <c r="G739" s="252" t="s">
        <v>4692</v>
      </c>
      <c r="H739" s="252" t="s">
        <v>104</v>
      </c>
      <c r="I739" s="252" t="s">
        <v>530</v>
      </c>
      <c r="J739" s="250" t="s">
        <v>114</v>
      </c>
      <c r="K739" s="250" t="s">
        <v>466</v>
      </c>
      <c r="L739" s="250" t="s">
        <v>547</v>
      </c>
      <c r="M739" s="336" t="s">
        <v>114</v>
      </c>
      <c r="N739" s="278">
        <v>44316</v>
      </c>
      <c r="O739" s="329" t="s">
        <v>69</v>
      </c>
      <c r="P739" s="330">
        <f t="shared" ref="P739:Q739" si="735">IF(B739=0,0,IF(YEAR(B739)=$Q$1,MONTH(B739)-$P$1+1,(YEAR(B739)-$Q$1)*12-$P$1+1+MONTH(B739)))</f>
        <v>5</v>
      </c>
      <c r="Q739" s="330">
        <f t="shared" si="735"/>
        <v>3</v>
      </c>
      <c r="R739" s="331" t="str">
        <f t="shared" si="1"/>
        <v>Gastos_custeados_por_captação</v>
      </c>
      <c r="S739" s="331" t="str">
        <f>IF(D739="","",IF(OR(D739=Plano!$A$1,D739=Plano!$B$1),"entrada","saída"))</f>
        <v>saída</v>
      </c>
      <c r="T739" s="332" t="s">
        <v>114</v>
      </c>
      <c r="U739" s="332" t="s">
        <v>114</v>
      </c>
      <c r="V739" s="344"/>
    </row>
    <row r="740" spans="1:22" ht="50.25" customHeight="1" x14ac:dyDescent="0.2">
      <c r="A740" s="277">
        <f>IF(B740="","",COUNT('Diário 5º PA'!$A$5:$A$2634)+ROW()-4)</f>
        <v>2047</v>
      </c>
      <c r="B740" s="278">
        <v>44336</v>
      </c>
      <c r="C740" s="259">
        <v>44256</v>
      </c>
      <c r="D740" s="252" t="s">
        <v>104</v>
      </c>
      <c r="E740" s="252" t="s">
        <v>104</v>
      </c>
      <c r="F740" s="257">
        <v>1316.7</v>
      </c>
      <c r="G740" s="252" t="s">
        <v>4693</v>
      </c>
      <c r="H740" s="252" t="s">
        <v>104</v>
      </c>
      <c r="I740" s="252" t="s">
        <v>530</v>
      </c>
      <c r="J740" s="250" t="s">
        <v>114</v>
      </c>
      <c r="K740" s="250" t="s">
        <v>466</v>
      </c>
      <c r="L740" s="250" t="s">
        <v>547</v>
      </c>
      <c r="M740" s="336" t="s">
        <v>114</v>
      </c>
      <c r="N740" s="278">
        <v>44316</v>
      </c>
      <c r="O740" s="329" t="s">
        <v>69</v>
      </c>
      <c r="P740" s="330">
        <f t="shared" ref="P740:Q740" si="736">IF(B740=0,0,IF(YEAR(B740)=$Q$1,MONTH(B740)-$P$1+1,(YEAR(B740)-$Q$1)*12-$P$1+1+MONTH(B740)))</f>
        <v>5</v>
      </c>
      <c r="Q740" s="330">
        <f t="shared" si="736"/>
        <v>3</v>
      </c>
      <c r="R740" s="331" t="str">
        <f t="shared" si="1"/>
        <v>Gastos_custeados_por_captação</v>
      </c>
      <c r="S740" s="331" t="str">
        <f>IF(D740="","",IF(OR(D740=Plano!$A$1,D740=Plano!$B$1),"entrada","saída"))</f>
        <v>saída</v>
      </c>
      <c r="T740" s="332" t="s">
        <v>114</v>
      </c>
      <c r="U740" s="332" t="s">
        <v>114</v>
      </c>
      <c r="V740" s="344"/>
    </row>
    <row r="741" spans="1:22" ht="50.25" customHeight="1" x14ac:dyDescent="0.2">
      <c r="A741" s="277">
        <f>IF(B741="","",COUNT('Diário 5º PA'!$A$5:$A$2634)+ROW()-4)</f>
        <v>2048</v>
      </c>
      <c r="B741" s="278">
        <v>44336</v>
      </c>
      <c r="C741" s="259">
        <v>44256</v>
      </c>
      <c r="D741" s="252" t="s">
        <v>104</v>
      </c>
      <c r="E741" s="252" t="s">
        <v>104</v>
      </c>
      <c r="F741" s="257">
        <v>24.08</v>
      </c>
      <c r="G741" s="252" t="s">
        <v>4694</v>
      </c>
      <c r="H741" s="252" t="s">
        <v>104</v>
      </c>
      <c r="I741" s="252" t="s">
        <v>488</v>
      </c>
      <c r="J741" s="250" t="s">
        <v>114</v>
      </c>
      <c r="K741" s="250" t="s">
        <v>466</v>
      </c>
      <c r="L741" s="250" t="s">
        <v>489</v>
      </c>
      <c r="M741" s="336" t="s">
        <v>114</v>
      </c>
      <c r="N741" s="278">
        <v>44316</v>
      </c>
      <c r="O741" s="329" t="s">
        <v>70</v>
      </c>
      <c r="P741" s="330">
        <f t="shared" ref="P741:Q741" si="737">IF(B741=0,0,IF(YEAR(B741)=$Q$1,MONTH(B741)-$P$1+1,(YEAR(B741)-$Q$1)*12-$P$1+1+MONTH(B741)))</f>
        <v>5</v>
      </c>
      <c r="Q741" s="330">
        <f t="shared" si="737"/>
        <v>3</v>
      </c>
      <c r="R741" s="331" t="str">
        <f t="shared" si="1"/>
        <v>Gastos_custeados_por_captação</v>
      </c>
      <c r="S741" s="331" t="str">
        <f>IF(D741="","",IF(OR(D741=Plano!$A$1,D741=Plano!$B$1),"entrada","saída"))</f>
        <v>saída</v>
      </c>
      <c r="T741" s="332" t="s">
        <v>114</v>
      </c>
      <c r="U741" s="332" t="s">
        <v>114</v>
      </c>
      <c r="V741" s="344"/>
    </row>
    <row r="742" spans="1:22" ht="50.25" customHeight="1" x14ac:dyDescent="0.2">
      <c r="A742" s="277">
        <f>IF(B742="","",COUNT('Diário 5º PA'!$A$5:$A$2634)+ROW()-4)</f>
        <v>2049</v>
      </c>
      <c r="B742" s="278">
        <v>44336</v>
      </c>
      <c r="C742" s="259">
        <v>44256</v>
      </c>
      <c r="D742" s="252" t="s">
        <v>104</v>
      </c>
      <c r="E742" s="252" t="s">
        <v>104</v>
      </c>
      <c r="F742" s="257">
        <v>775</v>
      </c>
      <c r="G742" s="252" t="s">
        <v>4695</v>
      </c>
      <c r="H742" s="252" t="s">
        <v>104</v>
      </c>
      <c r="I742" s="252" t="s">
        <v>530</v>
      </c>
      <c r="J742" s="250" t="s">
        <v>114</v>
      </c>
      <c r="K742" s="250" t="s">
        <v>466</v>
      </c>
      <c r="L742" s="250" t="s">
        <v>547</v>
      </c>
      <c r="M742" s="336" t="s">
        <v>114</v>
      </c>
      <c r="N742" s="278">
        <v>44316</v>
      </c>
      <c r="O742" s="329" t="s">
        <v>70</v>
      </c>
      <c r="P742" s="330">
        <f t="shared" ref="P742:Q742" si="738">IF(B742=0,0,IF(YEAR(B742)=$Q$1,MONTH(B742)-$P$1+1,(YEAR(B742)-$Q$1)*12-$P$1+1+MONTH(B742)))</f>
        <v>5</v>
      </c>
      <c r="Q742" s="330">
        <f t="shared" si="738"/>
        <v>3</v>
      </c>
      <c r="R742" s="331" t="str">
        <f t="shared" si="1"/>
        <v>Gastos_custeados_por_captação</v>
      </c>
      <c r="S742" s="331" t="str">
        <f>IF(D742="","",IF(OR(D742=Plano!$A$1,D742=Plano!$B$1),"entrada","saída"))</f>
        <v>saída</v>
      </c>
      <c r="T742" s="332" t="s">
        <v>114</v>
      </c>
      <c r="U742" s="332" t="s">
        <v>114</v>
      </c>
      <c r="V742" s="344"/>
    </row>
    <row r="743" spans="1:22" ht="50.25" customHeight="1" x14ac:dyDescent="0.2">
      <c r="A743" s="277">
        <f>IF(B743="","",COUNT('Diário 5º PA'!$A$5:$A$2634)+ROW()-4)</f>
        <v>2050</v>
      </c>
      <c r="B743" s="278">
        <v>44336</v>
      </c>
      <c r="C743" s="259">
        <v>44105</v>
      </c>
      <c r="D743" s="252" t="s">
        <v>104</v>
      </c>
      <c r="E743" s="252" t="s">
        <v>104</v>
      </c>
      <c r="F743" s="257">
        <v>155</v>
      </c>
      <c r="G743" s="252" t="s">
        <v>4696</v>
      </c>
      <c r="H743" s="252" t="s">
        <v>104</v>
      </c>
      <c r="I743" s="252" t="s">
        <v>530</v>
      </c>
      <c r="J743" s="250" t="s">
        <v>114</v>
      </c>
      <c r="K743" s="250" t="s">
        <v>466</v>
      </c>
      <c r="L743" s="250" t="s">
        <v>547</v>
      </c>
      <c r="M743" s="336" t="s">
        <v>114</v>
      </c>
      <c r="N743" s="278">
        <v>44316</v>
      </c>
      <c r="O743" s="329" t="s">
        <v>70</v>
      </c>
      <c r="P743" s="330">
        <f t="shared" ref="P743:Q743" si="739">IF(B743=0,0,IF(YEAR(B743)=$Q$1,MONTH(B743)-$P$1+1,(YEAR(B743)-$Q$1)*12-$P$1+1+MONTH(B743)))</f>
        <v>5</v>
      </c>
      <c r="Q743" s="330">
        <f t="shared" si="739"/>
        <v>-2</v>
      </c>
      <c r="R743" s="331" t="str">
        <f t="shared" si="1"/>
        <v>Gastos_custeados_por_captação</v>
      </c>
      <c r="S743" s="331" t="str">
        <f>IF(D743="","",IF(OR(D743=Plano!$A$1,D743=Plano!$B$1),"entrada","saída"))</f>
        <v>saída</v>
      </c>
      <c r="T743" s="332" t="s">
        <v>114</v>
      </c>
      <c r="U743" s="332" t="s">
        <v>114</v>
      </c>
      <c r="V743" s="344"/>
    </row>
    <row r="744" spans="1:22" ht="50.25" customHeight="1" x14ac:dyDescent="0.2">
      <c r="A744" s="277">
        <f>IF(B744="","",COUNT('Diário 5º PA'!$A$5:$A$2634)+ROW()-4)</f>
        <v>2051</v>
      </c>
      <c r="B744" s="278">
        <v>44336</v>
      </c>
      <c r="C744" s="259">
        <v>44287</v>
      </c>
      <c r="D744" s="252" t="s">
        <v>104</v>
      </c>
      <c r="E744" s="252" t="s">
        <v>104</v>
      </c>
      <c r="F744" s="257">
        <v>155</v>
      </c>
      <c r="G744" s="252" t="s">
        <v>4697</v>
      </c>
      <c r="H744" s="252" t="s">
        <v>104</v>
      </c>
      <c r="I744" s="250" t="s">
        <v>530</v>
      </c>
      <c r="J744" s="250" t="s">
        <v>114</v>
      </c>
      <c r="K744" s="250" t="s">
        <v>466</v>
      </c>
      <c r="L744" s="250" t="s">
        <v>547</v>
      </c>
      <c r="M744" s="336" t="s">
        <v>114</v>
      </c>
      <c r="N744" s="278">
        <v>44316</v>
      </c>
      <c r="O744" s="329" t="s">
        <v>70</v>
      </c>
      <c r="P744" s="330">
        <f t="shared" ref="P744:Q744" si="740">IF(B744=0,0,IF(YEAR(B744)=$Q$1,MONTH(B744)-$P$1+1,(YEAR(B744)-$Q$1)*12-$P$1+1+MONTH(B744)))</f>
        <v>5</v>
      </c>
      <c r="Q744" s="330">
        <f t="shared" si="740"/>
        <v>4</v>
      </c>
      <c r="R744" s="331" t="str">
        <f t="shared" si="1"/>
        <v>Gastos_custeados_por_captação</v>
      </c>
      <c r="S744" s="331" t="str">
        <f>IF(D744="","",IF(OR(D744=Plano!$A$1,D744=Plano!$B$1),"entrada","saída"))</f>
        <v>saída</v>
      </c>
      <c r="T744" s="332" t="s">
        <v>114</v>
      </c>
      <c r="U744" s="332" t="s">
        <v>114</v>
      </c>
      <c r="V744" s="344"/>
    </row>
    <row r="745" spans="1:22" ht="50.25" customHeight="1" x14ac:dyDescent="0.2">
      <c r="A745" s="277">
        <f>IF(B745="","",COUNT('Diário 5º PA'!$A$5:$A$2634)+ROW()-4)</f>
        <v>2052</v>
      </c>
      <c r="B745" s="278">
        <v>44336</v>
      </c>
      <c r="C745" s="259">
        <v>44256</v>
      </c>
      <c r="D745" s="252" t="s">
        <v>104</v>
      </c>
      <c r="E745" s="252" t="s">
        <v>104</v>
      </c>
      <c r="F745" s="257">
        <v>505.64</v>
      </c>
      <c r="G745" s="252" t="s">
        <v>4698</v>
      </c>
      <c r="H745" s="252" t="s">
        <v>104</v>
      </c>
      <c r="I745" s="252" t="s">
        <v>488</v>
      </c>
      <c r="J745" s="250" t="s">
        <v>114</v>
      </c>
      <c r="K745" s="250" t="s">
        <v>466</v>
      </c>
      <c r="L745" s="250" t="s">
        <v>489</v>
      </c>
      <c r="M745" s="336" t="s">
        <v>114</v>
      </c>
      <c r="N745" s="278">
        <v>44316</v>
      </c>
      <c r="O745" s="329" t="s">
        <v>70</v>
      </c>
      <c r="P745" s="330">
        <f t="shared" ref="P745:Q745" si="741">IF(B745=0,0,IF(YEAR(B745)=$Q$1,MONTH(B745)-$P$1+1,(YEAR(B745)-$Q$1)*12-$P$1+1+MONTH(B745)))</f>
        <v>5</v>
      </c>
      <c r="Q745" s="330">
        <f t="shared" si="741"/>
        <v>3</v>
      </c>
      <c r="R745" s="331" t="str">
        <f t="shared" si="1"/>
        <v>Gastos_custeados_por_captação</v>
      </c>
      <c r="S745" s="331" t="str">
        <f>IF(D745="","",IF(OR(D745=Plano!$A$1,D745=Plano!$B$1),"entrada","saída"))</f>
        <v>saída</v>
      </c>
      <c r="T745" s="332" t="s">
        <v>114</v>
      </c>
      <c r="U745" s="332" t="s">
        <v>114</v>
      </c>
      <c r="V745" s="344"/>
    </row>
    <row r="746" spans="1:22" ht="50.25" customHeight="1" x14ac:dyDescent="0.2">
      <c r="A746" s="277">
        <f>IF(B746="","",COUNT('Diário 5º PA'!$A$5:$A$2634)+ROW()-4)</f>
        <v>2053</v>
      </c>
      <c r="B746" s="278">
        <v>44336</v>
      </c>
      <c r="C746" s="259">
        <v>44256</v>
      </c>
      <c r="D746" s="252" t="s">
        <v>104</v>
      </c>
      <c r="E746" s="252" t="s">
        <v>104</v>
      </c>
      <c r="F746" s="257">
        <v>24.08</v>
      </c>
      <c r="G746" s="252" t="s">
        <v>4699</v>
      </c>
      <c r="H746" s="252" t="s">
        <v>104</v>
      </c>
      <c r="I746" s="252" t="s">
        <v>488</v>
      </c>
      <c r="J746" s="250" t="s">
        <v>114</v>
      </c>
      <c r="K746" s="250" t="s">
        <v>466</v>
      </c>
      <c r="L746" s="250" t="s">
        <v>489</v>
      </c>
      <c r="M746" s="336" t="s">
        <v>114</v>
      </c>
      <c r="N746" s="278">
        <v>44316</v>
      </c>
      <c r="O746" s="329" t="s">
        <v>71</v>
      </c>
      <c r="P746" s="330">
        <f t="shared" ref="P746:Q746" si="742">IF(B746=0,0,IF(YEAR(B746)=$Q$1,MONTH(B746)-$P$1+1,(YEAR(B746)-$Q$1)*12-$P$1+1+MONTH(B746)))</f>
        <v>5</v>
      </c>
      <c r="Q746" s="330">
        <f t="shared" si="742"/>
        <v>3</v>
      </c>
      <c r="R746" s="331" t="str">
        <f t="shared" si="1"/>
        <v>Gastos_custeados_por_captação</v>
      </c>
      <c r="S746" s="331" t="str">
        <f>IF(D746="","",IF(OR(D746=Plano!$A$1,D746=Plano!$B$1),"entrada","saída"))</f>
        <v>saída</v>
      </c>
      <c r="T746" s="332" t="s">
        <v>114</v>
      </c>
      <c r="U746" s="332" t="s">
        <v>114</v>
      </c>
      <c r="V746" s="344"/>
    </row>
    <row r="747" spans="1:22" ht="50.25" customHeight="1" x14ac:dyDescent="0.2">
      <c r="A747" s="277">
        <f>IF(B747="","",COUNT('Diário 5º PA'!$A$5:$A$2634)+ROW()-4)</f>
        <v>2054</v>
      </c>
      <c r="B747" s="278">
        <v>44336</v>
      </c>
      <c r="C747" s="259">
        <v>44256</v>
      </c>
      <c r="D747" s="252" t="s">
        <v>104</v>
      </c>
      <c r="E747" s="252" t="s">
        <v>104</v>
      </c>
      <c r="F747" s="257">
        <v>24.08</v>
      </c>
      <c r="G747" s="252" t="s">
        <v>4700</v>
      </c>
      <c r="H747" s="252" t="s">
        <v>104</v>
      </c>
      <c r="I747" s="252" t="s">
        <v>488</v>
      </c>
      <c r="J747" s="250" t="s">
        <v>114</v>
      </c>
      <c r="K747" s="250" t="s">
        <v>466</v>
      </c>
      <c r="L747" s="250" t="s">
        <v>489</v>
      </c>
      <c r="M747" s="336" t="s">
        <v>114</v>
      </c>
      <c r="N747" s="278">
        <v>44316</v>
      </c>
      <c r="O747" s="329" t="s">
        <v>71</v>
      </c>
      <c r="P747" s="330">
        <f t="shared" ref="P747:Q747" si="743">IF(B747=0,0,IF(YEAR(B747)=$Q$1,MONTH(B747)-$P$1+1,(YEAR(B747)-$Q$1)*12-$P$1+1+MONTH(B747)))</f>
        <v>5</v>
      </c>
      <c r="Q747" s="330">
        <f t="shared" si="743"/>
        <v>3</v>
      </c>
      <c r="R747" s="331" t="str">
        <f t="shared" si="1"/>
        <v>Gastos_custeados_por_captação</v>
      </c>
      <c r="S747" s="331" t="str">
        <f>IF(D747="","",IF(OR(D747=Plano!$A$1,D747=Plano!$B$1),"entrada","saída"))</f>
        <v>saída</v>
      </c>
      <c r="T747" s="332" t="s">
        <v>114</v>
      </c>
      <c r="U747" s="332" t="s">
        <v>114</v>
      </c>
      <c r="V747" s="344"/>
    </row>
    <row r="748" spans="1:22" ht="50.25" customHeight="1" x14ac:dyDescent="0.2">
      <c r="A748" s="277">
        <f>IF(B748="","",COUNT('Diário 5º PA'!$A$5:$A$2634)+ROW()-4)</f>
        <v>2055</v>
      </c>
      <c r="B748" s="278">
        <v>44336</v>
      </c>
      <c r="C748" s="259">
        <v>44256</v>
      </c>
      <c r="D748" s="252" t="s">
        <v>104</v>
      </c>
      <c r="E748" s="252" t="s">
        <v>104</v>
      </c>
      <c r="F748" s="257">
        <v>72.400000000000006</v>
      </c>
      <c r="G748" s="252" t="s">
        <v>4701</v>
      </c>
      <c r="H748" s="252" t="s">
        <v>104</v>
      </c>
      <c r="I748" s="252" t="s">
        <v>488</v>
      </c>
      <c r="J748" s="250" t="s">
        <v>114</v>
      </c>
      <c r="K748" s="250" t="s">
        <v>466</v>
      </c>
      <c r="L748" s="250" t="s">
        <v>489</v>
      </c>
      <c r="M748" s="336" t="s">
        <v>114</v>
      </c>
      <c r="N748" s="278">
        <v>44316</v>
      </c>
      <c r="O748" s="329" t="s">
        <v>71</v>
      </c>
      <c r="P748" s="330">
        <f t="shared" ref="P748:Q748" si="744">IF(B748=0,0,IF(YEAR(B748)=$Q$1,MONTH(B748)-$P$1+1,(YEAR(B748)-$Q$1)*12-$P$1+1+MONTH(B748)))</f>
        <v>5</v>
      </c>
      <c r="Q748" s="330">
        <f t="shared" si="744"/>
        <v>3</v>
      </c>
      <c r="R748" s="331" t="str">
        <f t="shared" si="1"/>
        <v>Gastos_custeados_por_captação</v>
      </c>
      <c r="S748" s="331" t="str">
        <f>IF(D748="","",IF(OR(D748=Plano!$A$1,D748=Plano!$B$1),"entrada","saída"))</f>
        <v>saída</v>
      </c>
      <c r="T748" s="332" t="s">
        <v>114</v>
      </c>
      <c r="U748" s="332" t="s">
        <v>114</v>
      </c>
      <c r="V748" s="344"/>
    </row>
    <row r="749" spans="1:22" ht="50.25" customHeight="1" x14ac:dyDescent="0.2">
      <c r="A749" s="277">
        <f>IF(B749="","",COUNT('Diário 5º PA'!$A$5:$A$2634)+ROW()-4)</f>
        <v>2056</v>
      </c>
      <c r="B749" s="278">
        <v>44336</v>
      </c>
      <c r="C749" s="259">
        <v>44256</v>
      </c>
      <c r="D749" s="252" t="s">
        <v>104</v>
      </c>
      <c r="E749" s="252" t="s">
        <v>104</v>
      </c>
      <c r="F749" s="257">
        <v>620</v>
      </c>
      <c r="G749" s="252" t="s">
        <v>4702</v>
      </c>
      <c r="H749" s="252" t="s">
        <v>104</v>
      </c>
      <c r="I749" s="252" t="s">
        <v>530</v>
      </c>
      <c r="J749" s="250" t="s">
        <v>114</v>
      </c>
      <c r="K749" s="250" t="s">
        <v>466</v>
      </c>
      <c r="L749" s="250" t="s">
        <v>547</v>
      </c>
      <c r="M749" s="336" t="s">
        <v>114</v>
      </c>
      <c r="N749" s="278">
        <v>44316</v>
      </c>
      <c r="O749" s="329" t="s">
        <v>71</v>
      </c>
      <c r="P749" s="330">
        <f t="shared" ref="P749:Q749" si="745">IF(B749=0,0,IF(YEAR(B749)=$Q$1,MONTH(B749)-$P$1+1,(YEAR(B749)-$Q$1)*12-$P$1+1+MONTH(B749)))</f>
        <v>5</v>
      </c>
      <c r="Q749" s="330">
        <f t="shared" si="745"/>
        <v>3</v>
      </c>
      <c r="R749" s="331" t="str">
        <f t="shared" si="1"/>
        <v>Gastos_custeados_por_captação</v>
      </c>
      <c r="S749" s="331" t="str">
        <f>IF(D749="","",IF(OR(D749=Plano!$A$1,D749=Plano!$B$1),"entrada","saída"))</f>
        <v>saída</v>
      </c>
      <c r="T749" s="332" t="s">
        <v>114</v>
      </c>
      <c r="U749" s="332" t="s">
        <v>114</v>
      </c>
      <c r="V749" s="344"/>
    </row>
    <row r="750" spans="1:22" ht="50.25" customHeight="1" x14ac:dyDescent="0.2">
      <c r="A750" s="277">
        <f>IF(B750="","",COUNT('Diário 5º PA'!$A$5:$A$2634)+ROW()-4)</f>
        <v>2057</v>
      </c>
      <c r="B750" s="278">
        <v>44336</v>
      </c>
      <c r="C750" s="259">
        <v>44256</v>
      </c>
      <c r="D750" s="252" t="s">
        <v>104</v>
      </c>
      <c r="E750" s="252" t="s">
        <v>104</v>
      </c>
      <c r="F750" s="257">
        <v>155</v>
      </c>
      <c r="G750" s="252" t="s">
        <v>4703</v>
      </c>
      <c r="H750" s="252" t="s">
        <v>104</v>
      </c>
      <c r="I750" s="252" t="s">
        <v>530</v>
      </c>
      <c r="J750" s="250" t="s">
        <v>114</v>
      </c>
      <c r="K750" s="250" t="s">
        <v>466</v>
      </c>
      <c r="L750" s="250" t="s">
        <v>547</v>
      </c>
      <c r="M750" s="336" t="s">
        <v>114</v>
      </c>
      <c r="N750" s="278">
        <v>44316</v>
      </c>
      <c r="O750" s="329" t="s">
        <v>71</v>
      </c>
      <c r="P750" s="330">
        <f t="shared" ref="P750:Q750" si="746">IF(B750=0,0,IF(YEAR(B750)=$Q$1,MONTH(B750)-$P$1+1,(YEAR(B750)-$Q$1)*12-$P$1+1+MONTH(B750)))</f>
        <v>5</v>
      </c>
      <c r="Q750" s="330">
        <f t="shared" si="746"/>
        <v>3</v>
      </c>
      <c r="R750" s="331" t="str">
        <f t="shared" si="1"/>
        <v>Gastos_custeados_por_captação</v>
      </c>
      <c r="S750" s="331" t="str">
        <f>IF(D750="","",IF(OR(D750=Plano!$A$1,D750=Plano!$B$1),"entrada","saída"))</f>
        <v>saída</v>
      </c>
      <c r="T750" s="332" t="s">
        <v>114</v>
      </c>
      <c r="U750" s="332" t="s">
        <v>114</v>
      </c>
      <c r="V750" s="344"/>
    </row>
    <row r="751" spans="1:22" ht="50.25" customHeight="1" x14ac:dyDescent="0.2">
      <c r="A751" s="277">
        <f>IF(B751="","",COUNT('Diário 5º PA'!$A$5:$A$2634)+ROW()-4)</f>
        <v>2058</v>
      </c>
      <c r="B751" s="278">
        <v>44336</v>
      </c>
      <c r="C751" s="259">
        <v>44256</v>
      </c>
      <c r="D751" s="252" t="s">
        <v>104</v>
      </c>
      <c r="E751" s="252" t="s">
        <v>104</v>
      </c>
      <c r="F751" s="257">
        <v>775</v>
      </c>
      <c r="G751" s="252" t="s">
        <v>4704</v>
      </c>
      <c r="H751" s="252" t="s">
        <v>104</v>
      </c>
      <c r="I751" s="252" t="s">
        <v>530</v>
      </c>
      <c r="J751" s="250" t="s">
        <v>114</v>
      </c>
      <c r="K751" s="250" t="s">
        <v>466</v>
      </c>
      <c r="L751" s="250" t="s">
        <v>547</v>
      </c>
      <c r="M751" s="336" t="s">
        <v>114</v>
      </c>
      <c r="N751" s="278">
        <v>44316</v>
      </c>
      <c r="O751" s="329" t="s">
        <v>71</v>
      </c>
      <c r="P751" s="330">
        <f t="shared" ref="P751:Q751" si="747">IF(B751=0,0,IF(YEAR(B751)=$Q$1,MONTH(B751)-$P$1+1,(YEAR(B751)-$Q$1)*12-$P$1+1+MONTH(B751)))</f>
        <v>5</v>
      </c>
      <c r="Q751" s="330">
        <f t="shared" si="747"/>
        <v>3</v>
      </c>
      <c r="R751" s="331" t="str">
        <f t="shared" si="1"/>
        <v>Gastos_custeados_por_captação</v>
      </c>
      <c r="S751" s="331" t="str">
        <f>IF(D751="","",IF(OR(D751=Plano!$A$1,D751=Plano!$B$1),"entrada","saída"))</f>
        <v>saída</v>
      </c>
      <c r="T751" s="332" t="s">
        <v>114</v>
      </c>
      <c r="U751" s="332" t="s">
        <v>114</v>
      </c>
      <c r="V751" s="344"/>
    </row>
    <row r="752" spans="1:22" ht="50.25" customHeight="1" x14ac:dyDescent="0.2">
      <c r="A752" s="277">
        <f>IF(B752="","",COUNT('Diário 5º PA'!$A$5:$A$2634)+ROW()-4)</f>
        <v>2059</v>
      </c>
      <c r="B752" s="278">
        <v>44336</v>
      </c>
      <c r="C752" s="259">
        <v>44256</v>
      </c>
      <c r="D752" s="252" t="s">
        <v>104</v>
      </c>
      <c r="E752" s="252" t="s">
        <v>104</v>
      </c>
      <c r="F752" s="257">
        <v>992</v>
      </c>
      <c r="G752" s="252" t="s">
        <v>4705</v>
      </c>
      <c r="H752" s="252" t="s">
        <v>104</v>
      </c>
      <c r="I752" s="252" t="s">
        <v>530</v>
      </c>
      <c r="J752" s="250" t="s">
        <v>114</v>
      </c>
      <c r="K752" s="250" t="s">
        <v>466</v>
      </c>
      <c r="L752" s="250" t="s">
        <v>547</v>
      </c>
      <c r="M752" s="336" t="s">
        <v>114</v>
      </c>
      <c r="N752" s="278">
        <v>44316</v>
      </c>
      <c r="O752" s="329" t="s">
        <v>71</v>
      </c>
      <c r="P752" s="330">
        <f t="shared" ref="P752:Q752" si="748">IF(B752=0,0,IF(YEAR(B752)=$Q$1,MONTH(B752)-$P$1+1,(YEAR(B752)-$Q$1)*12-$P$1+1+MONTH(B752)))</f>
        <v>5</v>
      </c>
      <c r="Q752" s="330">
        <f t="shared" si="748"/>
        <v>3</v>
      </c>
      <c r="R752" s="331" t="str">
        <f t="shared" si="1"/>
        <v>Gastos_custeados_por_captação</v>
      </c>
      <c r="S752" s="331" t="str">
        <f>IF(D752="","",IF(OR(D752=Plano!$A$1,D752=Plano!$B$1),"entrada","saída"))</f>
        <v>saída</v>
      </c>
      <c r="T752" s="332" t="s">
        <v>114</v>
      </c>
      <c r="U752" s="332" t="s">
        <v>114</v>
      </c>
      <c r="V752" s="344"/>
    </row>
    <row r="753" spans="1:22" ht="185.25" customHeight="1" x14ac:dyDescent="0.2">
      <c r="A753" s="277">
        <f>IF(B753="","",COUNT('Diário 5º PA'!$A$5:$A$2634)+ROW()-4)</f>
        <v>2060</v>
      </c>
      <c r="B753" s="278">
        <v>44337</v>
      </c>
      <c r="C753" s="259">
        <v>44287</v>
      </c>
      <c r="D753" s="252" t="s">
        <v>104</v>
      </c>
      <c r="E753" s="252" t="s">
        <v>104</v>
      </c>
      <c r="F753" s="257">
        <v>8235.2999999999993</v>
      </c>
      <c r="G753" s="252" t="s">
        <v>4706</v>
      </c>
      <c r="H753" s="252" t="s">
        <v>104</v>
      </c>
      <c r="I753" s="252" t="s">
        <v>1983</v>
      </c>
      <c r="J753" s="250" t="s">
        <v>4707</v>
      </c>
      <c r="K753" s="250" t="s">
        <v>1015</v>
      </c>
      <c r="L753" s="250" t="s">
        <v>992</v>
      </c>
      <c r="M753" s="277" t="s">
        <v>4708</v>
      </c>
      <c r="N753" s="278">
        <v>44333</v>
      </c>
      <c r="O753" s="329" t="s">
        <v>69</v>
      </c>
      <c r="P753" s="330">
        <f t="shared" ref="P753:Q753" si="749">IF(B753=0,0,IF(YEAR(B753)=$Q$1,MONTH(B753)-$P$1+1,(YEAR(B753)-$Q$1)*12-$P$1+1+MONTH(B753)))</f>
        <v>5</v>
      </c>
      <c r="Q753" s="330">
        <f t="shared" si="749"/>
        <v>4</v>
      </c>
      <c r="R753" s="331" t="str">
        <f t="shared" si="1"/>
        <v>Gastos_custeados_por_captação</v>
      </c>
      <c r="S753" s="331" t="str">
        <f>IF(D753="","",IF(OR(D753=Plano!$A$1,D753=Plano!$B$1),"entrada","saída"))</f>
        <v>saída</v>
      </c>
      <c r="T753" s="332" t="s">
        <v>1059</v>
      </c>
      <c r="U753" s="332">
        <v>1547</v>
      </c>
      <c r="V753" s="344"/>
    </row>
    <row r="754" spans="1:22" ht="77.25" customHeight="1" x14ac:dyDescent="0.2">
      <c r="A754" s="277">
        <f>IF(B754="","",COUNT('Diário 5º PA'!$A$5:$A$2634)+ROW()-4)</f>
        <v>2061</v>
      </c>
      <c r="B754" s="278">
        <v>44341</v>
      </c>
      <c r="C754" s="256">
        <v>44287</v>
      </c>
      <c r="D754" s="255" t="s">
        <v>99</v>
      </c>
      <c r="E754" s="255" t="s">
        <v>254</v>
      </c>
      <c r="F754" s="258">
        <v>-114.88</v>
      </c>
      <c r="G754" s="255" t="s">
        <v>4709</v>
      </c>
      <c r="H754" s="255" t="s">
        <v>115</v>
      </c>
      <c r="I754" s="250" t="s">
        <v>983</v>
      </c>
      <c r="J754" s="255" t="s">
        <v>850</v>
      </c>
      <c r="K754" s="255" t="s">
        <v>1069</v>
      </c>
      <c r="L754" s="250" t="s">
        <v>947</v>
      </c>
      <c r="M754" s="277" t="s">
        <v>114</v>
      </c>
      <c r="N754" s="278">
        <v>44341</v>
      </c>
      <c r="O754" s="329" t="s">
        <v>67</v>
      </c>
      <c r="P754" s="330">
        <f t="shared" ref="P754:Q754" si="750">IF(B754=0,0,IF(YEAR(B754)=$Q$1,MONTH(B754)-$P$1+1,(YEAR(B754)-$Q$1)*12-$P$1+1+MONTH(B754)))</f>
        <v>5</v>
      </c>
      <c r="Q754" s="330">
        <f t="shared" si="750"/>
        <v>4</v>
      </c>
      <c r="R754" s="331" t="str">
        <f t="shared" si="1"/>
        <v>Gastos_Gerais</v>
      </c>
      <c r="S754" s="331" t="str">
        <f>IF(D754="","",IF(OR(D754=Plano!$A$1,D754=Plano!$B$1),"entrada","saída"))</f>
        <v>saída</v>
      </c>
      <c r="T754" s="332" t="s">
        <v>114</v>
      </c>
      <c r="U754" s="332" t="s">
        <v>114</v>
      </c>
      <c r="V754" s="344"/>
    </row>
    <row r="755" spans="1:22" ht="62.25" customHeight="1" x14ac:dyDescent="0.2">
      <c r="A755" s="277">
        <f>IF(B755="","",COUNT('Diário 5º PA'!$A$5:$A$2634)+ROW()-4)</f>
        <v>2062</v>
      </c>
      <c r="B755" s="278">
        <v>44341</v>
      </c>
      <c r="C755" s="256">
        <v>44287</v>
      </c>
      <c r="D755" s="255" t="s">
        <v>99</v>
      </c>
      <c r="E755" s="255" t="s">
        <v>218</v>
      </c>
      <c r="F755" s="258">
        <v>-16.38</v>
      </c>
      <c r="G755" s="255" t="s">
        <v>4710</v>
      </c>
      <c r="H755" s="255" t="s">
        <v>115</v>
      </c>
      <c r="I755" s="250" t="s">
        <v>983</v>
      </c>
      <c r="J755" s="255" t="s">
        <v>850</v>
      </c>
      <c r="K755" s="255" t="s">
        <v>946</v>
      </c>
      <c r="L755" s="250" t="s">
        <v>947</v>
      </c>
      <c r="M755" s="349" t="s">
        <v>114</v>
      </c>
      <c r="N755" s="278">
        <v>44341</v>
      </c>
      <c r="O755" s="329" t="s">
        <v>67</v>
      </c>
      <c r="P755" s="330">
        <f t="shared" ref="P755:Q755" si="751">IF(B755=0,0,IF(YEAR(B755)=$Q$1,MONTH(B755)-$P$1+1,(YEAR(B755)-$Q$1)*12-$P$1+1+MONTH(B755)))</f>
        <v>5</v>
      </c>
      <c r="Q755" s="330">
        <f t="shared" si="751"/>
        <v>4</v>
      </c>
      <c r="R755" s="331" t="str">
        <f t="shared" si="1"/>
        <v>Gastos_Gerais</v>
      </c>
      <c r="S755" s="331" t="str">
        <f>IF(D755="","",IF(OR(D755=Plano!$A$1,D755=Plano!$B$1),"entrada","saída"))</f>
        <v>saída</v>
      </c>
      <c r="T755" s="332" t="s">
        <v>114</v>
      </c>
      <c r="U755" s="332" t="s">
        <v>114</v>
      </c>
      <c r="V755" s="344"/>
    </row>
    <row r="756" spans="1:22" ht="77.25" customHeight="1" x14ac:dyDescent="0.2">
      <c r="A756" s="277">
        <f>IF(B756="","",COUNT('Diário 5º PA'!$A$5:$A$2634)+ROW()-4)</f>
        <v>2063</v>
      </c>
      <c r="B756" s="278">
        <v>44341</v>
      </c>
      <c r="C756" s="256">
        <v>44287</v>
      </c>
      <c r="D756" s="255" t="s">
        <v>99</v>
      </c>
      <c r="E756" s="255" t="s">
        <v>222</v>
      </c>
      <c r="F756" s="258">
        <v>-207.45</v>
      </c>
      <c r="G756" s="255" t="s">
        <v>4711</v>
      </c>
      <c r="H756" s="255" t="s">
        <v>115</v>
      </c>
      <c r="I756" s="250" t="s">
        <v>983</v>
      </c>
      <c r="J756" s="255" t="s">
        <v>850</v>
      </c>
      <c r="K756" s="255" t="s">
        <v>1069</v>
      </c>
      <c r="L756" s="250" t="s">
        <v>947</v>
      </c>
      <c r="M756" s="277" t="s">
        <v>114</v>
      </c>
      <c r="N756" s="278">
        <v>44341</v>
      </c>
      <c r="O756" s="329" t="s">
        <v>67</v>
      </c>
      <c r="P756" s="330">
        <f t="shared" ref="P756:Q756" si="752">IF(B756=0,0,IF(YEAR(B756)=$Q$1,MONTH(B756)-$P$1+1,(YEAR(B756)-$Q$1)*12-$P$1+1+MONTH(B756)))</f>
        <v>5</v>
      </c>
      <c r="Q756" s="330">
        <f t="shared" si="752"/>
        <v>4</v>
      </c>
      <c r="R756" s="331" t="str">
        <f t="shared" si="1"/>
        <v>Gastos_Gerais</v>
      </c>
      <c r="S756" s="331" t="str">
        <f>IF(D756="","",IF(OR(D756=Plano!$A$1,D756=Plano!$B$1),"entrada","saída"))</f>
        <v>saída</v>
      </c>
      <c r="T756" s="332" t="s">
        <v>114</v>
      </c>
      <c r="U756" s="332" t="s">
        <v>114</v>
      </c>
      <c r="V756" s="344"/>
    </row>
    <row r="757" spans="1:22" ht="54" customHeight="1" x14ac:dyDescent="0.2">
      <c r="A757" s="277">
        <f>IF(B757="","",COUNT('Diário 5º PA'!$A$5:$A$2634)+ROW()-4)</f>
        <v>2064</v>
      </c>
      <c r="B757" s="278">
        <v>44341</v>
      </c>
      <c r="C757" s="256">
        <v>44287</v>
      </c>
      <c r="D757" s="255" t="s">
        <v>57</v>
      </c>
      <c r="E757" s="255" t="s">
        <v>57</v>
      </c>
      <c r="F757" s="258">
        <v>1729.05</v>
      </c>
      <c r="G757" s="255" t="s">
        <v>4712</v>
      </c>
      <c r="H757" s="255" t="s">
        <v>114</v>
      </c>
      <c r="I757" s="250" t="s">
        <v>945</v>
      </c>
      <c r="J757" s="255" t="s">
        <v>850</v>
      </c>
      <c r="K757" s="255" t="s">
        <v>946</v>
      </c>
      <c r="L757" s="250" t="s">
        <v>947</v>
      </c>
      <c r="M757" s="277" t="s">
        <v>114</v>
      </c>
      <c r="N757" s="278">
        <v>44341</v>
      </c>
      <c r="O757" s="329" t="s">
        <v>67</v>
      </c>
      <c r="P757" s="330">
        <f t="shared" ref="P757:Q757" si="753">IF(B757=0,0,IF(YEAR(B757)=$Q$1,MONTH(B757)-$P$1+1,(YEAR(B757)-$Q$1)*12-$P$1+1+MONTH(B757)))</f>
        <v>5</v>
      </c>
      <c r="Q757" s="330">
        <f t="shared" si="753"/>
        <v>4</v>
      </c>
      <c r="R757" s="331" t="str">
        <f t="shared" si="1"/>
        <v>Transferência_para_Reserva_de_Recursos</v>
      </c>
      <c r="S757" s="331" t="str">
        <f>IF(D757="","",IF(OR(D757=Plano!$A$1,D757=Plano!$B$1),"entrada","saída"))</f>
        <v>saída</v>
      </c>
      <c r="T757" s="332" t="s">
        <v>114</v>
      </c>
      <c r="U757" s="332" t="s">
        <v>114</v>
      </c>
      <c r="V757" s="344"/>
    </row>
    <row r="758" spans="1:22" ht="56.25" customHeight="1" x14ac:dyDescent="0.2">
      <c r="A758" s="277">
        <f>IF(B758="","",COUNT('Diário 5º PA'!$A$5:$A$2634)+ROW()-4)</f>
        <v>2065</v>
      </c>
      <c r="B758" s="278">
        <v>44341</v>
      </c>
      <c r="C758" s="256">
        <v>44287</v>
      </c>
      <c r="D758" s="255" t="s">
        <v>99</v>
      </c>
      <c r="E758" s="255" t="s">
        <v>222</v>
      </c>
      <c r="F758" s="258">
        <v>785.48</v>
      </c>
      <c r="G758" s="255" t="s">
        <v>4713</v>
      </c>
      <c r="H758" s="255" t="s">
        <v>115</v>
      </c>
      <c r="I758" s="250" t="s">
        <v>525</v>
      </c>
      <c r="J758" s="255" t="s">
        <v>1568</v>
      </c>
      <c r="K758" s="255" t="s">
        <v>1375</v>
      </c>
      <c r="L758" s="250" t="s">
        <v>697</v>
      </c>
      <c r="M758" s="277">
        <v>4480107715</v>
      </c>
      <c r="N758" s="278">
        <v>44333</v>
      </c>
      <c r="O758" s="329" t="s">
        <v>67</v>
      </c>
      <c r="P758" s="330">
        <f t="shared" ref="P758:Q758" si="754">IF(B758=0,0,IF(YEAR(B758)=$Q$1,MONTH(B758)-$P$1+1,(YEAR(B758)-$Q$1)*12-$P$1+1+MONTH(B758)))</f>
        <v>5</v>
      </c>
      <c r="Q758" s="330">
        <f t="shared" si="754"/>
        <v>4</v>
      </c>
      <c r="R758" s="331" t="str">
        <f t="shared" si="1"/>
        <v>Gastos_Gerais</v>
      </c>
      <c r="S758" s="331" t="str">
        <f>IF(D758="","",IF(OR(D758=Plano!$A$1,D758=Plano!$B$1),"entrada","saída"))</f>
        <v>saída</v>
      </c>
      <c r="T758" s="332" t="s">
        <v>114</v>
      </c>
      <c r="U758" s="332" t="s">
        <v>114</v>
      </c>
      <c r="V758" s="344"/>
    </row>
    <row r="759" spans="1:22" ht="63.75" customHeight="1" x14ac:dyDescent="0.2">
      <c r="A759" s="277">
        <f>IF(B759="","",COUNT('Diário 5º PA'!$A$5:$A$2634)+ROW()-4)</f>
        <v>2066</v>
      </c>
      <c r="B759" s="278">
        <v>44341</v>
      </c>
      <c r="C759" s="256">
        <v>44317</v>
      </c>
      <c r="D759" s="255" t="s">
        <v>99</v>
      </c>
      <c r="E759" s="255" t="s">
        <v>224</v>
      </c>
      <c r="F759" s="258">
        <v>74.34</v>
      </c>
      <c r="G759" s="255" t="s">
        <v>4714</v>
      </c>
      <c r="H759" s="255" t="s">
        <v>115</v>
      </c>
      <c r="I759" s="250" t="s">
        <v>522</v>
      </c>
      <c r="J759" s="255" t="s">
        <v>523</v>
      </c>
      <c r="K759" s="255" t="s">
        <v>1375</v>
      </c>
      <c r="L759" s="250" t="s">
        <v>697</v>
      </c>
      <c r="M759" s="277" t="s">
        <v>114</v>
      </c>
      <c r="N759" s="278">
        <v>44322</v>
      </c>
      <c r="O759" s="329" t="s">
        <v>67</v>
      </c>
      <c r="P759" s="330">
        <f t="shared" ref="P759:Q759" si="755">IF(B759=0,0,IF(YEAR(B759)=$Q$1,MONTH(B759)-$P$1+1,(YEAR(B759)-$Q$1)*12-$P$1+1+MONTH(B759)))</f>
        <v>5</v>
      </c>
      <c r="Q759" s="330">
        <f t="shared" si="755"/>
        <v>5</v>
      </c>
      <c r="R759" s="331" t="str">
        <f t="shared" si="1"/>
        <v>Gastos_Gerais</v>
      </c>
      <c r="S759" s="331" t="str">
        <f>IF(D759="","",IF(OR(D759=Plano!$A$1,D759=Plano!$B$1),"entrada","saída"))</f>
        <v>saída</v>
      </c>
      <c r="T759" s="332" t="s">
        <v>114</v>
      </c>
      <c r="U759" s="332" t="s">
        <v>114</v>
      </c>
      <c r="V759" s="344"/>
    </row>
    <row r="760" spans="1:22" ht="30" customHeight="1" x14ac:dyDescent="0.2">
      <c r="A760" s="277">
        <f>IF(B760="","",COUNT('Diário 5º PA'!$A$5:$A$2634)+ROW()-4)</f>
        <v>2067</v>
      </c>
      <c r="B760" s="278">
        <v>44341</v>
      </c>
      <c r="C760" s="256">
        <v>44287</v>
      </c>
      <c r="D760" s="255" t="s">
        <v>88</v>
      </c>
      <c r="E760" s="255" t="s">
        <v>169</v>
      </c>
      <c r="F760" s="258">
        <v>891.84</v>
      </c>
      <c r="G760" s="255" t="s">
        <v>4715</v>
      </c>
      <c r="H760" s="255" t="s">
        <v>114</v>
      </c>
      <c r="I760" s="250" t="s">
        <v>488</v>
      </c>
      <c r="J760" s="255" t="s">
        <v>114</v>
      </c>
      <c r="K760" s="255" t="s">
        <v>466</v>
      </c>
      <c r="L760" s="250" t="s">
        <v>489</v>
      </c>
      <c r="M760" s="277" t="s">
        <v>114</v>
      </c>
      <c r="N760" s="278">
        <v>44316</v>
      </c>
      <c r="O760" s="329" t="s">
        <v>67</v>
      </c>
      <c r="P760" s="330">
        <f t="shared" ref="P760:Q760" si="756">IF(B760=0,0,IF(YEAR(B760)=$Q$1,MONTH(B760)-$P$1+1,(YEAR(B760)-$Q$1)*12-$P$1+1+MONTH(B760)))</f>
        <v>5</v>
      </c>
      <c r="Q760" s="330">
        <f t="shared" si="756"/>
        <v>4</v>
      </c>
      <c r="R760" s="331" t="str">
        <f t="shared" si="1"/>
        <v>Gastos_com_Pessoal</v>
      </c>
      <c r="S760" s="331" t="str">
        <f>IF(D760="","",IF(OR(D760=Plano!$A$1,D760=Plano!$B$1),"entrada","saída"))</f>
        <v>saída</v>
      </c>
      <c r="T760" s="332" t="s">
        <v>114</v>
      </c>
      <c r="U760" s="332" t="s">
        <v>114</v>
      </c>
      <c r="V760" s="344"/>
    </row>
    <row r="761" spans="1:22" ht="38.25" customHeight="1" x14ac:dyDescent="0.2">
      <c r="A761" s="277">
        <f>IF(B761="","",COUNT('Diário 5º PA'!$A$5:$A$2634)+ROW()-4)</f>
        <v>2068</v>
      </c>
      <c r="B761" s="278">
        <v>44341</v>
      </c>
      <c r="C761" s="256">
        <v>44317</v>
      </c>
      <c r="D761" s="255" t="s">
        <v>88</v>
      </c>
      <c r="E761" s="255" t="s">
        <v>194</v>
      </c>
      <c r="F761" s="258">
        <v>3893.4</v>
      </c>
      <c r="G761" s="255" t="s">
        <v>1609</v>
      </c>
      <c r="H761" s="255" t="s">
        <v>114</v>
      </c>
      <c r="I761" s="252" t="s">
        <v>532</v>
      </c>
      <c r="J761" s="255" t="s">
        <v>1261</v>
      </c>
      <c r="K761" s="255" t="s">
        <v>560</v>
      </c>
      <c r="L761" s="250" t="s">
        <v>1016</v>
      </c>
      <c r="M761" s="277">
        <v>426368</v>
      </c>
      <c r="N761" s="278">
        <v>44348</v>
      </c>
      <c r="O761" s="329" t="s">
        <v>67</v>
      </c>
      <c r="P761" s="330">
        <f t="shared" ref="P761:Q761" si="757">IF(B761=0,0,IF(YEAR(B761)=$Q$1,MONTH(B761)-$P$1+1,(YEAR(B761)-$Q$1)*12-$P$1+1+MONTH(B761)))</f>
        <v>5</v>
      </c>
      <c r="Q761" s="330">
        <f t="shared" si="757"/>
        <v>5</v>
      </c>
      <c r="R761" s="331" t="str">
        <f t="shared" si="1"/>
        <v>Gastos_com_Pessoal</v>
      </c>
      <c r="S761" s="331" t="str">
        <f>IF(D761="","",IF(OR(D761=Plano!$A$1,D761=Plano!$B$1),"entrada","saída"))</f>
        <v>saída</v>
      </c>
      <c r="T761" s="332" t="s">
        <v>114</v>
      </c>
      <c r="U761" s="332" t="s">
        <v>114</v>
      </c>
      <c r="V761" s="344"/>
    </row>
    <row r="762" spans="1:22" ht="34.5" customHeight="1" x14ac:dyDescent="0.2">
      <c r="A762" s="277">
        <f>IF(B762="","",COUNT('Diário 5º PA'!$A$5:$A$2634)+ROW()-4)</f>
        <v>2069</v>
      </c>
      <c r="B762" s="278">
        <v>44341</v>
      </c>
      <c r="C762" s="256">
        <v>44317</v>
      </c>
      <c r="D762" s="255" t="s">
        <v>88</v>
      </c>
      <c r="E762" s="255" t="s">
        <v>194</v>
      </c>
      <c r="F762" s="258">
        <v>2740.6</v>
      </c>
      <c r="G762" s="255" t="s">
        <v>1260</v>
      </c>
      <c r="H762" s="255" t="s">
        <v>114</v>
      </c>
      <c r="I762" s="250" t="s">
        <v>532</v>
      </c>
      <c r="J762" s="255" t="s">
        <v>1261</v>
      </c>
      <c r="K762" s="255" t="s">
        <v>560</v>
      </c>
      <c r="L762" s="250" t="s">
        <v>1016</v>
      </c>
      <c r="M762" s="277">
        <v>456853</v>
      </c>
      <c r="N762" s="278">
        <v>44349</v>
      </c>
      <c r="O762" s="329" t="s">
        <v>67</v>
      </c>
      <c r="P762" s="330">
        <f t="shared" ref="P762:Q762" si="758">IF(B762=0,0,IF(YEAR(B762)=$Q$1,MONTH(B762)-$P$1+1,(YEAR(B762)-$Q$1)*12-$P$1+1+MONTH(B762)))</f>
        <v>5</v>
      </c>
      <c r="Q762" s="330">
        <f t="shared" si="758"/>
        <v>5</v>
      </c>
      <c r="R762" s="331" t="str">
        <f t="shared" si="1"/>
        <v>Gastos_com_Pessoal</v>
      </c>
      <c r="S762" s="331" t="str">
        <f>IF(D762="","",IF(OR(D762=Plano!$A$1,D762=Plano!$B$1),"entrada","saída"))</f>
        <v>saída</v>
      </c>
      <c r="T762" s="332" t="s">
        <v>114</v>
      </c>
      <c r="U762" s="332" t="s">
        <v>114</v>
      </c>
      <c r="V762" s="344"/>
    </row>
    <row r="763" spans="1:22" ht="44.25" customHeight="1" x14ac:dyDescent="0.2">
      <c r="A763" s="277">
        <f>IF(B763="","",COUNT('Diário 5º PA'!$A$5:$A$2634)+ROW()-4)</f>
        <v>2070</v>
      </c>
      <c r="B763" s="278">
        <v>44341</v>
      </c>
      <c r="C763" s="335">
        <v>44317</v>
      </c>
      <c r="D763" s="255" t="s">
        <v>99</v>
      </c>
      <c r="E763" s="255" t="s">
        <v>330</v>
      </c>
      <c r="F763" s="258">
        <v>300</v>
      </c>
      <c r="G763" s="255" t="s">
        <v>4716</v>
      </c>
      <c r="H763" s="255" t="s">
        <v>115</v>
      </c>
      <c r="I763" s="250" t="s">
        <v>1570</v>
      </c>
      <c r="J763" s="255" t="s">
        <v>646</v>
      </c>
      <c r="K763" s="255" t="s">
        <v>560</v>
      </c>
      <c r="L763" s="250" t="s">
        <v>1016</v>
      </c>
      <c r="M763" s="277">
        <v>4608158</v>
      </c>
      <c r="N763" s="278">
        <v>44344</v>
      </c>
      <c r="O763" s="329" t="s">
        <v>67</v>
      </c>
      <c r="P763" s="330">
        <f t="shared" ref="P763:Q763" si="759">IF(B763=0,0,IF(YEAR(B763)=$Q$1,MONTH(B763)-$P$1+1,(YEAR(B763)-$Q$1)*12-$P$1+1+MONTH(B763)))</f>
        <v>5</v>
      </c>
      <c r="Q763" s="330">
        <f t="shared" si="759"/>
        <v>5</v>
      </c>
      <c r="R763" s="331" t="str">
        <f t="shared" si="1"/>
        <v>Gastos_Gerais</v>
      </c>
      <c r="S763" s="331" t="str">
        <f>IF(D763="","",IF(OR(D763=Plano!$A$1,D763=Plano!$B$1),"entrada","saída"))</f>
        <v>saída</v>
      </c>
      <c r="T763" s="332" t="s">
        <v>1082</v>
      </c>
      <c r="U763" s="332">
        <v>1551</v>
      </c>
      <c r="V763" s="344"/>
    </row>
    <row r="764" spans="1:22" ht="154.5" customHeight="1" x14ac:dyDescent="0.2">
      <c r="A764" s="277">
        <f>IF(B764="","",COUNT('Diário 5º PA'!$A$5:$A$2634)+ROW()-4)</f>
        <v>2071</v>
      </c>
      <c r="B764" s="278">
        <v>44341</v>
      </c>
      <c r="C764" s="256">
        <v>44287</v>
      </c>
      <c r="D764" s="255" t="s">
        <v>99</v>
      </c>
      <c r="E764" s="255" t="s">
        <v>254</v>
      </c>
      <c r="F764" s="258">
        <v>435</v>
      </c>
      <c r="G764" s="255" t="s">
        <v>445</v>
      </c>
      <c r="H764" s="255" t="s">
        <v>115</v>
      </c>
      <c r="I764" s="252" t="s">
        <v>1573</v>
      </c>
      <c r="J764" s="255" t="s">
        <v>1574</v>
      </c>
      <c r="K764" s="255" t="s">
        <v>991</v>
      </c>
      <c r="L764" s="250" t="s">
        <v>1378</v>
      </c>
      <c r="M764" s="277">
        <v>21239</v>
      </c>
      <c r="N764" s="278">
        <v>44327</v>
      </c>
      <c r="O764" s="329" t="s">
        <v>67</v>
      </c>
      <c r="P764" s="330">
        <f t="shared" ref="P764:Q764" si="760">IF(B764=0,0,IF(YEAR(B764)=$Q$1,MONTH(B764)-$P$1+1,(YEAR(B764)-$Q$1)*12-$P$1+1+MONTH(B764)))</f>
        <v>5</v>
      </c>
      <c r="Q764" s="330">
        <f t="shared" si="760"/>
        <v>4</v>
      </c>
      <c r="R764" s="331" t="str">
        <f t="shared" si="1"/>
        <v>Gastos_Gerais</v>
      </c>
      <c r="S764" s="331" t="str">
        <f>IF(D764="","",IF(OR(D764=Plano!$A$1,D764=Plano!$B$1),"entrada","saída"))</f>
        <v>saída</v>
      </c>
      <c r="T764" s="332" t="s">
        <v>1059</v>
      </c>
      <c r="U764" s="332">
        <v>1117</v>
      </c>
      <c r="V764" s="344"/>
    </row>
    <row r="765" spans="1:22" ht="49.5" customHeight="1" x14ac:dyDescent="0.2">
      <c r="A765" s="277">
        <f>IF(B765="","",COUNT('Diário 5º PA'!$A$5:$A$2634)+ROW()-4)</f>
        <v>2072</v>
      </c>
      <c r="B765" s="278">
        <v>44341</v>
      </c>
      <c r="C765" s="256">
        <v>44287</v>
      </c>
      <c r="D765" s="255" t="s">
        <v>99</v>
      </c>
      <c r="E765" s="255" t="s">
        <v>276</v>
      </c>
      <c r="F765" s="258">
        <v>75.16</v>
      </c>
      <c r="G765" s="255" t="s">
        <v>4717</v>
      </c>
      <c r="H765" s="255" t="s">
        <v>114</v>
      </c>
      <c r="I765" s="252" t="s">
        <v>488</v>
      </c>
      <c r="J765" s="252" t="s">
        <v>114</v>
      </c>
      <c r="K765" s="252" t="s">
        <v>466</v>
      </c>
      <c r="L765" s="252" t="s">
        <v>489</v>
      </c>
      <c r="M765" s="277" t="s">
        <v>114</v>
      </c>
      <c r="N765" s="278">
        <v>44316</v>
      </c>
      <c r="O765" s="329" t="s">
        <v>67</v>
      </c>
      <c r="P765" s="330">
        <f t="shared" ref="P765:Q765" si="761">IF(B765=0,0,IF(YEAR(B765)=$Q$1,MONTH(B765)-$P$1+1,(YEAR(B765)-$Q$1)*12-$P$1+1+MONTH(B765)))</f>
        <v>5</v>
      </c>
      <c r="Q765" s="330">
        <f t="shared" si="761"/>
        <v>4</v>
      </c>
      <c r="R765" s="331" t="str">
        <f t="shared" si="1"/>
        <v>Gastos_Gerais</v>
      </c>
      <c r="S765" s="331" t="str">
        <f>IF(D765="","",IF(OR(D765=Plano!$A$1,D765=Plano!$B$1),"entrada","saída"))</f>
        <v>saída</v>
      </c>
      <c r="T765" s="332" t="s">
        <v>114</v>
      </c>
      <c r="U765" s="332" t="s">
        <v>114</v>
      </c>
      <c r="V765" s="344"/>
    </row>
    <row r="766" spans="1:22" ht="55.5" customHeight="1" x14ac:dyDescent="0.2">
      <c r="A766" s="277">
        <f>IF(B766="","",COUNT('Diário 5º PA'!$A$5:$A$2634)+ROW()-4)</f>
        <v>2073</v>
      </c>
      <c r="B766" s="278">
        <v>44341</v>
      </c>
      <c r="C766" s="256">
        <v>44287</v>
      </c>
      <c r="D766" s="255" t="s">
        <v>99</v>
      </c>
      <c r="E766" s="255" t="s">
        <v>218</v>
      </c>
      <c r="F766" s="258">
        <v>62.04</v>
      </c>
      <c r="G766" s="255" t="s">
        <v>4350</v>
      </c>
      <c r="H766" s="255" t="s">
        <v>115</v>
      </c>
      <c r="I766" s="252" t="s">
        <v>515</v>
      </c>
      <c r="J766" s="252" t="s">
        <v>516</v>
      </c>
      <c r="K766" s="255" t="s">
        <v>700</v>
      </c>
      <c r="L766" s="250" t="s">
        <v>697</v>
      </c>
      <c r="M766" s="336" t="s">
        <v>4718</v>
      </c>
      <c r="N766" s="278">
        <v>44341</v>
      </c>
      <c r="O766" s="329" t="s">
        <v>67</v>
      </c>
      <c r="P766" s="330">
        <f t="shared" ref="P766:Q766" si="762">IF(B766=0,0,IF(YEAR(B766)=$Q$1,MONTH(B766)-$P$1+1,(YEAR(B766)-$Q$1)*12-$P$1+1+MONTH(B766)))</f>
        <v>5</v>
      </c>
      <c r="Q766" s="330">
        <f t="shared" si="762"/>
        <v>4</v>
      </c>
      <c r="R766" s="331" t="str">
        <f t="shared" si="1"/>
        <v>Gastos_Gerais</v>
      </c>
      <c r="S766" s="331" t="str">
        <f>IF(D766="","",IF(OR(D766=Plano!$A$1,D766=Plano!$B$1),"entrada","saída"))</f>
        <v>saída</v>
      </c>
      <c r="T766" s="332" t="s">
        <v>114</v>
      </c>
      <c r="U766" s="332" t="s">
        <v>114</v>
      </c>
      <c r="V766" s="344"/>
    </row>
    <row r="767" spans="1:22" ht="91.5" customHeight="1" x14ac:dyDescent="0.2">
      <c r="A767" s="277">
        <f>IF(B767="","",COUNT('Diário 5º PA'!$A$5:$A$2634)+ROW()-4)</f>
        <v>2074</v>
      </c>
      <c r="B767" s="278">
        <v>44341</v>
      </c>
      <c r="C767" s="259">
        <v>44298</v>
      </c>
      <c r="D767" s="252" t="s">
        <v>99</v>
      </c>
      <c r="E767" s="252" t="s">
        <v>352</v>
      </c>
      <c r="F767" s="257">
        <v>3429.65</v>
      </c>
      <c r="G767" s="252" t="s">
        <v>4719</v>
      </c>
      <c r="H767" s="252" t="s">
        <v>132</v>
      </c>
      <c r="I767" s="250" t="s">
        <v>1389</v>
      </c>
      <c r="J767" s="250" t="s">
        <v>661</v>
      </c>
      <c r="K767" s="255" t="s">
        <v>991</v>
      </c>
      <c r="L767" s="250" t="s">
        <v>1016</v>
      </c>
      <c r="M767" s="277" t="s">
        <v>1017</v>
      </c>
      <c r="N767" s="278">
        <v>44341</v>
      </c>
      <c r="O767" s="329" t="s">
        <v>67</v>
      </c>
      <c r="P767" s="330">
        <f t="shared" ref="P767:Q767" si="763">IF(B767=0,0,IF(YEAR(B767)=$Q$1,MONTH(B767)-$P$1+1,(YEAR(B767)-$Q$1)*12-$P$1+1+MONTH(B767)))</f>
        <v>5</v>
      </c>
      <c r="Q767" s="330">
        <f t="shared" si="763"/>
        <v>4</v>
      </c>
      <c r="R767" s="331" t="str">
        <f t="shared" si="1"/>
        <v>Gastos_Gerais</v>
      </c>
      <c r="S767" s="331" t="str">
        <f>IF(D767="","",IF(OR(D767=Plano!$A$1,D767=Plano!$B$1),"entrada","saída"))</f>
        <v>saída</v>
      </c>
      <c r="T767" s="332" t="s">
        <v>1059</v>
      </c>
      <c r="U767" s="332">
        <v>1486</v>
      </c>
      <c r="V767" s="344"/>
    </row>
    <row r="768" spans="1:22" ht="110.25" customHeight="1" x14ac:dyDescent="0.2">
      <c r="A768" s="277">
        <f>IF(B768="","",COUNT('Diário 5º PA'!$A$5:$A$2634)+ROW()-4)</f>
        <v>2075</v>
      </c>
      <c r="B768" s="278">
        <v>44341</v>
      </c>
      <c r="C768" s="256">
        <v>44287</v>
      </c>
      <c r="D768" s="255" t="s">
        <v>99</v>
      </c>
      <c r="E768" s="252" t="s">
        <v>364</v>
      </c>
      <c r="F768" s="258">
        <v>2449.75</v>
      </c>
      <c r="G768" s="255" t="s">
        <v>4720</v>
      </c>
      <c r="H768" s="255" t="s">
        <v>131</v>
      </c>
      <c r="I768" s="250" t="s">
        <v>4721</v>
      </c>
      <c r="J768" s="250" t="s">
        <v>4722</v>
      </c>
      <c r="K768" s="255" t="s">
        <v>991</v>
      </c>
      <c r="L768" s="250" t="s">
        <v>1016</v>
      </c>
      <c r="M768" s="277" t="s">
        <v>1061</v>
      </c>
      <c r="N768" s="278">
        <v>44341</v>
      </c>
      <c r="O768" s="329" t="s">
        <v>67</v>
      </c>
      <c r="P768" s="330">
        <f t="shared" ref="P768:Q768" si="764">IF(B768=0,0,IF(YEAR(B768)=$Q$1,MONTH(B768)-$P$1+1,(YEAR(B768)-$Q$1)*12-$P$1+1+MONTH(B768)))</f>
        <v>5</v>
      </c>
      <c r="Q768" s="330">
        <f t="shared" si="764"/>
        <v>4</v>
      </c>
      <c r="R768" s="331" t="str">
        <f t="shared" si="1"/>
        <v>Gastos_Gerais</v>
      </c>
      <c r="S768" s="331" t="str">
        <f>IF(D768="","",IF(OR(D768=Plano!$A$1,D768=Plano!$B$1),"entrada","saída"))</f>
        <v>saída</v>
      </c>
      <c r="T768" s="332" t="s">
        <v>994</v>
      </c>
      <c r="U768" s="332">
        <v>1493</v>
      </c>
      <c r="V768" s="344"/>
    </row>
    <row r="769" spans="1:22" ht="42" customHeight="1" x14ac:dyDescent="0.2">
      <c r="A769" s="277">
        <f>IF(B769="","",COUNT('Diário 5º PA'!$A$5:$A$2634)+ROW()-4)</f>
        <v>2076</v>
      </c>
      <c r="B769" s="278">
        <v>44341</v>
      </c>
      <c r="C769" s="256">
        <v>44317</v>
      </c>
      <c r="D769" s="255" t="s">
        <v>99</v>
      </c>
      <c r="E769" s="255" t="s">
        <v>272</v>
      </c>
      <c r="F769" s="258">
        <v>10.45</v>
      </c>
      <c r="G769" s="255" t="s">
        <v>1585</v>
      </c>
      <c r="H769" s="255" t="s">
        <v>115</v>
      </c>
      <c r="I769" s="250" t="s">
        <v>949</v>
      </c>
      <c r="J769" s="255" t="s">
        <v>950</v>
      </c>
      <c r="K769" s="255" t="s">
        <v>951</v>
      </c>
      <c r="L769" s="250" t="s">
        <v>947</v>
      </c>
      <c r="M769" s="336" t="s">
        <v>114</v>
      </c>
      <c r="N769" s="278">
        <v>44341</v>
      </c>
      <c r="O769" s="329" t="s">
        <v>67</v>
      </c>
      <c r="P769" s="330">
        <f t="shared" ref="P769:Q769" si="765">IF(B769=0,0,IF(YEAR(B769)=$Q$1,MONTH(B769)-$P$1+1,(YEAR(B769)-$Q$1)*12-$P$1+1+MONTH(B769)))</f>
        <v>5</v>
      </c>
      <c r="Q769" s="330">
        <f t="shared" si="765"/>
        <v>5</v>
      </c>
      <c r="R769" s="331" t="str">
        <f t="shared" si="1"/>
        <v>Gastos_Gerais</v>
      </c>
      <c r="S769" s="331" t="str">
        <f>IF(D769="","",IF(OR(D769=Plano!$A$1,D769=Plano!$B$1),"entrada","saída"))</f>
        <v>saída</v>
      </c>
      <c r="T769" s="332" t="s">
        <v>114</v>
      </c>
      <c r="U769" s="332" t="s">
        <v>114</v>
      </c>
      <c r="V769" s="344"/>
    </row>
    <row r="770" spans="1:22" ht="49.5" customHeight="1" x14ac:dyDescent="0.2">
      <c r="A770" s="277">
        <f>IF(B770="","",COUNT('Diário 5º PA'!$A$5:$A$2634)+ROW()-4)</f>
        <v>2077</v>
      </c>
      <c r="B770" s="278">
        <v>44341</v>
      </c>
      <c r="C770" s="256">
        <v>44317</v>
      </c>
      <c r="D770" s="255" t="s">
        <v>99</v>
      </c>
      <c r="E770" s="255" t="s">
        <v>272</v>
      </c>
      <c r="F770" s="258">
        <v>10.45</v>
      </c>
      <c r="G770" s="255" t="s">
        <v>1390</v>
      </c>
      <c r="H770" s="252" t="s">
        <v>132</v>
      </c>
      <c r="I770" s="250" t="s">
        <v>949</v>
      </c>
      <c r="J770" s="255" t="s">
        <v>950</v>
      </c>
      <c r="K770" s="255" t="s">
        <v>951</v>
      </c>
      <c r="L770" s="250" t="s">
        <v>947</v>
      </c>
      <c r="M770" s="336" t="s">
        <v>114</v>
      </c>
      <c r="N770" s="278">
        <v>44341</v>
      </c>
      <c r="O770" s="329" t="s">
        <v>67</v>
      </c>
      <c r="P770" s="330">
        <f t="shared" ref="P770:Q770" si="766">IF(B770=0,0,IF(YEAR(B770)=$Q$1,MONTH(B770)-$P$1+1,(YEAR(B770)-$Q$1)*12-$P$1+1+MONTH(B770)))</f>
        <v>5</v>
      </c>
      <c r="Q770" s="330">
        <f t="shared" si="766"/>
        <v>5</v>
      </c>
      <c r="R770" s="331" t="str">
        <f t="shared" si="1"/>
        <v>Gastos_Gerais</v>
      </c>
      <c r="S770" s="331" t="str">
        <f>IF(D770="","",IF(OR(D770=Plano!$A$1,D770=Plano!$B$1),"entrada","saída"))</f>
        <v>saída</v>
      </c>
      <c r="T770" s="332" t="s">
        <v>114</v>
      </c>
      <c r="U770" s="332" t="s">
        <v>114</v>
      </c>
      <c r="V770" s="344"/>
    </row>
    <row r="771" spans="1:22" ht="54" customHeight="1" x14ac:dyDescent="0.2">
      <c r="A771" s="277">
        <f>IF(B771="","",COUNT('Diário 5º PA'!$A$5:$A$2634)+ROW()-4)</f>
        <v>2078</v>
      </c>
      <c r="B771" s="278">
        <v>44341</v>
      </c>
      <c r="C771" s="256">
        <v>44317</v>
      </c>
      <c r="D771" s="255" t="s">
        <v>99</v>
      </c>
      <c r="E771" s="255" t="s">
        <v>272</v>
      </c>
      <c r="F771" s="258">
        <v>10.45</v>
      </c>
      <c r="G771" s="255" t="s">
        <v>4723</v>
      </c>
      <c r="H771" s="255" t="s">
        <v>131</v>
      </c>
      <c r="I771" s="250" t="s">
        <v>949</v>
      </c>
      <c r="J771" s="255" t="s">
        <v>950</v>
      </c>
      <c r="K771" s="255" t="s">
        <v>951</v>
      </c>
      <c r="L771" s="250" t="s">
        <v>947</v>
      </c>
      <c r="M771" s="336" t="s">
        <v>114</v>
      </c>
      <c r="N771" s="278">
        <v>44341</v>
      </c>
      <c r="O771" s="329" t="s">
        <v>67</v>
      </c>
      <c r="P771" s="330">
        <f t="shared" ref="P771:Q771" si="767">IF(B771=0,0,IF(YEAR(B771)=$Q$1,MONTH(B771)-$P$1+1,(YEAR(B771)-$Q$1)*12-$P$1+1+MONTH(B771)))</f>
        <v>5</v>
      </c>
      <c r="Q771" s="330">
        <f t="shared" si="767"/>
        <v>5</v>
      </c>
      <c r="R771" s="331" t="str">
        <f t="shared" si="1"/>
        <v>Gastos_Gerais</v>
      </c>
      <c r="S771" s="331" t="str">
        <f>IF(D771="","",IF(OR(D771=Plano!$A$1,D771=Plano!$B$1),"entrada","saída"))</f>
        <v>saída</v>
      </c>
      <c r="T771" s="332" t="s">
        <v>114</v>
      </c>
      <c r="U771" s="332" t="s">
        <v>114</v>
      </c>
      <c r="V771" s="344"/>
    </row>
    <row r="772" spans="1:22" ht="113.25" customHeight="1" x14ac:dyDescent="0.2">
      <c r="A772" s="277">
        <f>IF(B772="","",COUNT('Diário 5º PA'!$A$5:$A$2634)+ROW()-4)</f>
        <v>2079</v>
      </c>
      <c r="B772" s="278">
        <v>44342</v>
      </c>
      <c r="C772" s="259">
        <v>44197</v>
      </c>
      <c r="D772" s="252" t="s">
        <v>99</v>
      </c>
      <c r="E772" s="252" t="s">
        <v>364</v>
      </c>
      <c r="F772" s="257">
        <v>3000</v>
      </c>
      <c r="G772" s="252" t="s">
        <v>4724</v>
      </c>
      <c r="H772" s="252" t="s">
        <v>124</v>
      </c>
      <c r="I772" s="252" t="s">
        <v>4725</v>
      </c>
      <c r="J772" s="250" t="s">
        <v>755</v>
      </c>
      <c r="K772" s="255" t="s">
        <v>991</v>
      </c>
      <c r="L772" s="250" t="s">
        <v>992</v>
      </c>
      <c r="M772" s="277" t="s">
        <v>2152</v>
      </c>
      <c r="N772" s="278">
        <v>44342</v>
      </c>
      <c r="O772" s="329" t="s">
        <v>67</v>
      </c>
      <c r="P772" s="330">
        <f t="shared" ref="P772:Q772" si="768">IF(B772=0,0,IF(YEAR(B772)=$Q$1,MONTH(B772)-$P$1+1,(YEAR(B772)-$Q$1)*12-$P$1+1+MONTH(B772)))</f>
        <v>5</v>
      </c>
      <c r="Q772" s="330">
        <f t="shared" si="768"/>
        <v>1</v>
      </c>
      <c r="R772" s="331" t="str">
        <f t="shared" si="1"/>
        <v>Gastos_Gerais</v>
      </c>
      <c r="S772" s="331" t="str">
        <f>IF(D772="","",IF(OR(D772=Plano!$A$1,D772=Plano!$B$1),"entrada","saída"))</f>
        <v>saída</v>
      </c>
      <c r="T772" s="332" t="s">
        <v>1059</v>
      </c>
      <c r="U772" s="332">
        <v>1252</v>
      </c>
      <c r="V772" s="344"/>
    </row>
    <row r="773" spans="1:22" ht="51" customHeight="1" x14ac:dyDescent="0.2">
      <c r="A773" s="277">
        <f>IF(B773="","",COUNT('Diário 5º PA'!$A$5:$A$2634)+ROW()-4)</f>
        <v>2080</v>
      </c>
      <c r="B773" s="278">
        <v>44342</v>
      </c>
      <c r="C773" s="259">
        <v>44317</v>
      </c>
      <c r="D773" s="252" t="s">
        <v>99</v>
      </c>
      <c r="E773" s="252" t="s">
        <v>382</v>
      </c>
      <c r="F773" s="257">
        <v>122.44</v>
      </c>
      <c r="G773" s="252" t="s">
        <v>4726</v>
      </c>
      <c r="H773" s="252" t="s">
        <v>131</v>
      </c>
      <c r="I773" s="252" t="s">
        <v>4110</v>
      </c>
      <c r="J773" s="250" t="s">
        <v>924</v>
      </c>
      <c r="K773" s="255" t="s">
        <v>991</v>
      </c>
      <c r="L773" s="250" t="s">
        <v>992</v>
      </c>
      <c r="M773" s="277" t="s">
        <v>4727</v>
      </c>
      <c r="N773" s="278">
        <v>44342</v>
      </c>
      <c r="O773" s="329" t="s">
        <v>67</v>
      </c>
      <c r="P773" s="330">
        <f t="shared" ref="P773:Q773" si="769">IF(B773=0,0,IF(YEAR(B773)=$Q$1,MONTH(B773)-$P$1+1,(YEAR(B773)-$Q$1)*12-$P$1+1+MONTH(B773)))</f>
        <v>5</v>
      </c>
      <c r="Q773" s="330">
        <f t="shared" si="769"/>
        <v>5</v>
      </c>
      <c r="R773" s="331" t="str">
        <f t="shared" si="1"/>
        <v>Gastos_Gerais</v>
      </c>
      <c r="S773" s="331" t="str">
        <f>IF(D773="","",IF(OR(D773=Plano!$A$1,D773=Plano!$B$1),"entrada","saída"))</f>
        <v>saída</v>
      </c>
      <c r="T773" s="332" t="s">
        <v>994</v>
      </c>
      <c r="U773" s="332">
        <v>1576</v>
      </c>
      <c r="V773" s="344"/>
    </row>
    <row r="774" spans="1:22" ht="71.25" customHeight="1" x14ac:dyDescent="0.2">
      <c r="A774" s="277">
        <f>IF(B774="","",COUNT('Diário 5º PA'!$A$5:$A$2634)+ROW()-4)</f>
        <v>2081</v>
      </c>
      <c r="B774" s="278">
        <v>44342</v>
      </c>
      <c r="C774" s="259">
        <v>44256</v>
      </c>
      <c r="D774" s="252" t="s">
        <v>99</v>
      </c>
      <c r="E774" s="252" t="s">
        <v>382</v>
      </c>
      <c r="F774" s="257">
        <v>977.54</v>
      </c>
      <c r="G774" s="252" t="s">
        <v>4728</v>
      </c>
      <c r="H774" s="252" t="s">
        <v>131</v>
      </c>
      <c r="I774" s="252" t="s">
        <v>4110</v>
      </c>
      <c r="J774" s="250" t="s">
        <v>924</v>
      </c>
      <c r="K774" s="255" t="s">
        <v>991</v>
      </c>
      <c r="L774" s="250" t="s">
        <v>992</v>
      </c>
      <c r="M774" s="277" t="s">
        <v>1930</v>
      </c>
      <c r="N774" s="278">
        <v>44342</v>
      </c>
      <c r="O774" s="329" t="s">
        <v>67</v>
      </c>
      <c r="P774" s="330">
        <f t="shared" ref="P774:Q774" si="770">IF(B774=0,0,IF(YEAR(B774)=$Q$1,MONTH(B774)-$P$1+1,(YEAR(B774)-$Q$1)*12-$P$1+1+MONTH(B774)))</f>
        <v>5</v>
      </c>
      <c r="Q774" s="330">
        <f t="shared" si="770"/>
        <v>3</v>
      </c>
      <c r="R774" s="331" t="str">
        <f t="shared" si="1"/>
        <v>Gastos_Gerais</v>
      </c>
      <c r="S774" s="331" t="str">
        <f>IF(D774="","",IF(OR(D774=Plano!$A$1,D774=Plano!$B$1),"entrada","saída"))</f>
        <v>saída</v>
      </c>
      <c r="T774" s="332" t="s">
        <v>994</v>
      </c>
      <c r="U774" s="332">
        <v>1451</v>
      </c>
      <c r="V774" s="344"/>
    </row>
    <row r="775" spans="1:22" ht="47.25" customHeight="1" x14ac:dyDescent="0.2">
      <c r="A775" s="277">
        <f>IF(B775="","",COUNT('Diário 5º PA'!$A$5:$A$2634)+ROW()-4)</f>
        <v>2082</v>
      </c>
      <c r="B775" s="278">
        <v>44342</v>
      </c>
      <c r="C775" s="256">
        <v>44317</v>
      </c>
      <c r="D775" s="255" t="s">
        <v>99</v>
      </c>
      <c r="E775" s="255" t="s">
        <v>272</v>
      </c>
      <c r="F775" s="258">
        <v>10.45</v>
      </c>
      <c r="G775" s="255" t="s">
        <v>4729</v>
      </c>
      <c r="H775" s="252" t="s">
        <v>124</v>
      </c>
      <c r="I775" s="250" t="s">
        <v>949</v>
      </c>
      <c r="J775" s="255" t="s">
        <v>950</v>
      </c>
      <c r="K775" s="255" t="s">
        <v>951</v>
      </c>
      <c r="L775" s="250" t="s">
        <v>947</v>
      </c>
      <c r="M775" s="336" t="s">
        <v>114</v>
      </c>
      <c r="N775" s="278">
        <v>44342</v>
      </c>
      <c r="O775" s="329" t="s">
        <v>67</v>
      </c>
      <c r="P775" s="330">
        <f t="shared" ref="P775:Q775" si="771">IF(B775=0,0,IF(YEAR(B775)=$Q$1,MONTH(B775)-$P$1+1,(YEAR(B775)-$Q$1)*12-$P$1+1+MONTH(B775)))</f>
        <v>5</v>
      </c>
      <c r="Q775" s="330">
        <f t="shared" si="771"/>
        <v>5</v>
      </c>
      <c r="R775" s="331" t="str">
        <f t="shared" si="1"/>
        <v>Gastos_Gerais</v>
      </c>
      <c r="S775" s="331" t="str">
        <f>IF(D775="","",IF(OR(D775=Plano!$A$1,D775=Plano!$B$1),"entrada","saída"))</f>
        <v>saída</v>
      </c>
      <c r="T775" s="332" t="s">
        <v>114</v>
      </c>
      <c r="U775" s="332" t="s">
        <v>114</v>
      </c>
      <c r="V775" s="344"/>
    </row>
    <row r="776" spans="1:22" ht="54.75" customHeight="1" x14ac:dyDescent="0.2">
      <c r="A776" s="277">
        <f>IF(B776="","",COUNT('Diário 5º PA'!$A$5:$A$2634)+ROW()-4)</f>
        <v>2083</v>
      </c>
      <c r="B776" s="278">
        <v>44342</v>
      </c>
      <c r="C776" s="256">
        <v>44317</v>
      </c>
      <c r="D776" s="255" t="s">
        <v>99</v>
      </c>
      <c r="E776" s="255" t="s">
        <v>272</v>
      </c>
      <c r="F776" s="258">
        <v>10.45</v>
      </c>
      <c r="G776" s="255" t="s">
        <v>4730</v>
      </c>
      <c r="H776" s="252" t="s">
        <v>131</v>
      </c>
      <c r="I776" s="250" t="s">
        <v>949</v>
      </c>
      <c r="J776" s="255" t="s">
        <v>950</v>
      </c>
      <c r="K776" s="255" t="s">
        <v>951</v>
      </c>
      <c r="L776" s="250" t="s">
        <v>947</v>
      </c>
      <c r="M776" s="336" t="s">
        <v>114</v>
      </c>
      <c r="N776" s="278">
        <v>44342</v>
      </c>
      <c r="O776" s="329" t="s">
        <v>67</v>
      </c>
      <c r="P776" s="330">
        <f t="shared" ref="P776:Q776" si="772">IF(B776=0,0,IF(YEAR(B776)=$Q$1,MONTH(B776)-$P$1+1,(YEAR(B776)-$Q$1)*12-$P$1+1+MONTH(B776)))</f>
        <v>5</v>
      </c>
      <c r="Q776" s="330">
        <f t="shared" si="772"/>
        <v>5</v>
      </c>
      <c r="R776" s="331" t="str">
        <f t="shared" si="1"/>
        <v>Gastos_Gerais</v>
      </c>
      <c r="S776" s="331" t="str">
        <f>IF(D776="","",IF(OR(D776=Plano!$A$1,D776=Plano!$B$1),"entrada","saída"))</f>
        <v>saída</v>
      </c>
      <c r="T776" s="332" t="s">
        <v>114</v>
      </c>
      <c r="U776" s="332" t="s">
        <v>114</v>
      </c>
      <c r="V776" s="344"/>
    </row>
    <row r="777" spans="1:22" ht="51" customHeight="1" x14ac:dyDescent="0.2">
      <c r="A777" s="277">
        <f>IF(B777="","",COUNT('Diário 5º PA'!$A$5:$A$2634)+ROW()-4)</f>
        <v>2084</v>
      </c>
      <c r="B777" s="278">
        <v>44342</v>
      </c>
      <c r="C777" s="256">
        <v>44317</v>
      </c>
      <c r="D777" s="255" t="s">
        <v>99</v>
      </c>
      <c r="E777" s="255" t="s">
        <v>272</v>
      </c>
      <c r="F777" s="258">
        <v>10.45</v>
      </c>
      <c r="G777" s="255" t="s">
        <v>4731</v>
      </c>
      <c r="H777" s="252" t="s">
        <v>131</v>
      </c>
      <c r="I777" s="250" t="s">
        <v>949</v>
      </c>
      <c r="J777" s="255" t="s">
        <v>950</v>
      </c>
      <c r="K777" s="255" t="s">
        <v>951</v>
      </c>
      <c r="L777" s="250" t="s">
        <v>947</v>
      </c>
      <c r="M777" s="336" t="s">
        <v>114</v>
      </c>
      <c r="N777" s="278">
        <v>44342</v>
      </c>
      <c r="O777" s="329" t="s">
        <v>67</v>
      </c>
      <c r="P777" s="330">
        <f t="shared" ref="P777:Q777" si="773">IF(B777=0,0,IF(YEAR(B777)=$Q$1,MONTH(B777)-$P$1+1,(YEAR(B777)-$Q$1)*12-$P$1+1+MONTH(B777)))</f>
        <v>5</v>
      </c>
      <c r="Q777" s="330">
        <f t="shared" si="773"/>
        <v>5</v>
      </c>
      <c r="R777" s="331" t="str">
        <f t="shared" si="1"/>
        <v>Gastos_Gerais</v>
      </c>
      <c r="S777" s="331" t="str">
        <f>IF(D777="","",IF(OR(D777=Plano!$A$1,D777=Plano!$B$1),"entrada","saída"))</f>
        <v>saída</v>
      </c>
      <c r="T777" s="332" t="s">
        <v>114</v>
      </c>
      <c r="U777" s="332" t="s">
        <v>114</v>
      </c>
      <c r="V777" s="344"/>
    </row>
    <row r="778" spans="1:22" ht="204.75" customHeight="1" x14ac:dyDescent="0.2">
      <c r="A778" s="277">
        <f>IF(B778="","",COUNT('Diário 5º PA'!$A$5:$A$2634)+ROW()-4)</f>
        <v>2085</v>
      </c>
      <c r="B778" s="278">
        <v>44343</v>
      </c>
      <c r="C778" s="259">
        <v>44317</v>
      </c>
      <c r="D778" s="252" t="s">
        <v>99</v>
      </c>
      <c r="E778" s="252" t="s">
        <v>330</v>
      </c>
      <c r="F778" s="257">
        <v>160</v>
      </c>
      <c r="G778" s="252" t="s">
        <v>4732</v>
      </c>
      <c r="H778" s="252" t="s">
        <v>123</v>
      </c>
      <c r="I778" s="250" t="s">
        <v>4733</v>
      </c>
      <c r="J778" s="250" t="s">
        <v>4734</v>
      </c>
      <c r="K778" s="255" t="s">
        <v>991</v>
      </c>
      <c r="L778" s="250" t="s">
        <v>1016</v>
      </c>
      <c r="M778" s="277">
        <v>4244</v>
      </c>
      <c r="N778" s="278">
        <v>44343</v>
      </c>
      <c r="O778" s="329" t="s">
        <v>67</v>
      </c>
      <c r="P778" s="330">
        <f t="shared" ref="P778:Q778" si="774">IF(B778=0,0,IF(YEAR(B778)=$Q$1,MONTH(B778)-$P$1+1,(YEAR(B778)-$Q$1)*12-$P$1+1+MONTH(B778)))</f>
        <v>5</v>
      </c>
      <c r="Q778" s="330">
        <f t="shared" si="774"/>
        <v>5</v>
      </c>
      <c r="R778" s="331" t="str">
        <f t="shared" si="1"/>
        <v>Gastos_Gerais</v>
      </c>
      <c r="S778" s="331" t="str">
        <f>IF(D778="","",IF(OR(D778=Plano!$A$1,D778=Plano!$B$1),"entrada","saída"))</f>
        <v>saída</v>
      </c>
      <c r="T778" s="332" t="s">
        <v>1011</v>
      </c>
      <c r="U778" s="332">
        <v>1592</v>
      </c>
      <c r="V778" s="344"/>
    </row>
    <row r="779" spans="1:22" ht="240" customHeight="1" x14ac:dyDescent="0.2">
      <c r="A779" s="277">
        <f>IF(B779="","",COUNT('Diário 5º PA'!$A$5:$A$2634)+ROW()-4)</f>
        <v>2086</v>
      </c>
      <c r="B779" s="278">
        <v>44343</v>
      </c>
      <c r="C779" s="259">
        <v>44317</v>
      </c>
      <c r="D779" s="252" t="s">
        <v>99</v>
      </c>
      <c r="E779" s="252" t="s">
        <v>352</v>
      </c>
      <c r="F779" s="257">
        <v>4508</v>
      </c>
      <c r="G779" s="252" t="s">
        <v>4735</v>
      </c>
      <c r="H779" s="252" t="s">
        <v>131</v>
      </c>
      <c r="I779" s="252" t="s">
        <v>1298</v>
      </c>
      <c r="J779" s="250" t="s">
        <v>590</v>
      </c>
      <c r="K779" s="255" t="s">
        <v>991</v>
      </c>
      <c r="L779" s="250" t="s">
        <v>1016</v>
      </c>
      <c r="M779" s="277" t="s">
        <v>1148</v>
      </c>
      <c r="N779" s="278">
        <v>44343</v>
      </c>
      <c r="O779" s="329" t="s">
        <v>67</v>
      </c>
      <c r="P779" s="330">
        <f t="shared" ref="P779:Q779" si="775">IF(B779=0,0,IF(YEAR(B779)=$Q$1,MONTH(B779)-$P$1+1,(YEAR(B779)-$Q$1)*12-$P$1+1+MONTH(B779)))</f>
        <v>5</v>
      </c>
      <c r="Q779" s="330">
        <f t="shared" si="775"/>
        <v>5</v>
      </c>
      <c r="R779" s="331" t="str">
        <f t="shared" si="1"/>
        <v>Gastos_Gerais</v>
      </c>
      <c r="S779" s="331" t="str">
        <f>IF(D779="","",IF(OR(D779=Plano!$A$1,D779=Plano!$B$1),"entrada","saída"))</f>
        <v>saída</v>
      </c>
      <c r="T779" s="332" t="s">
        <v>1059</v>
      </c>
      <c r="U779" s="332">
        <v>1434</v>
      </c>
      <c r="V779" s="344"/>
    </row>
    <row r="780" spans="1:22" ht="139.5" customHeight="1" x14ac:dyDescent="0.2">
      <c r="A780" s="277">
        <f>IF(B780="","",COUNT('Diário 5º PA'!$A$5:$A$2634)+ROW()-4)</f>
        <v>2087</v>
      </c>
      <c r="B780" s="278">
        <v>44343</v>
      </c>
      <c r="C780" s="259">
        <v>44317</v>
      </c>
      <c r="D780" s="252" t="s">
        <v>99</v>
      </c>
      <c r="E780" s="252" t="s">
        <v>330</v>
      </c>
      <c r="F780" s="257">
        <v>176</v>
      </c>
      <c r="G780" s="252" t="s">
        <v>4736</v>
      </c>
      <c r="H780" s="252" t="s">
        <v>123</v>
      </c>
      <c r="I780" s="250" t="s">
        <v>4737</v>
      </c>
      <c r="J780" s="250" t="s">
        <v>4738</v>
      </c>
      <c r="K780" s="255" t="s">
        <v>991</v>
      </c>
      <c r="L780" s="250" t="s">
        <v>1016</v>
      </c>
      <c r="M780" s="277" t="s">
        <v>4739</v>
      </c>
      <c r="N780" s="278">
        <v>44343</v>
      </c>
      <c r="O780" s="329" t="s">
        <v>67</v>
      </c>
      <c r="P780" s="330">
        <f t="shared" ref="P780:Q780" si="776">IF(B780=0,0,IF(YEAR(B780)=$Q$1,MONTH(B780)-$P$1+1,(YEAR(B780)-$Q$1)*12-$P$1+1+MONTH(B780)))</f>
        <v>5</v>
      </c>
      <c r="Q780" s="330">
        <f t="shared" si="776"/>
        <v>5</v>
      </c>
      <c r="R780" s="331" t="str">
        <f t="shared" si="1"/>
        <v>Gastos_Gerais</v>
      </c>
      <c r="S780" s="331" t="str">
        <f>IF(D780="","",IF(OR(D780=Plano!$A$1,D780=Plano!$B$1),"entrada","saída"))</f>
        <v>saída</v>
      </c>
      <c r="T780" s="332" t="s">
        <v>1011</v>
      </c>
      <c r="U780" s="332">
        <v>1591</v>
      </c>
      <c r="V780" s="344"/>
    </row>
    <row r="781" spans="1:22" ht="134.25" customHeight="1" x14ac:dyDescent="0.2">
      <c r="A781" s="277">
        <f>IF(B781="","",COUNT('Diário 5º PA'!$A$5:$A$2634)+ROW()-4)</f>
        <v>2088</v>
      </c>
      <c r="B781" s="278">
        <v>44343</v>
      </c>
      <c r="C781" s="259">
        <v>44317</v>
      </c>
      <c r="D781" s="252" t="s">
        <v>99</v>
      </c>
      <c r="E781" s="252" t="s">
        <v>354</v>
      </c>
      <c r="F781" s="257">
        <v>600</v>
      </c>
      <c r="G781" s="252" t="s">
        <v>4740</v>
      </c>
      <c r="H781" s="252" t="s">
        <v>123</v>
      </c>
      <c r="I781" s="250" t="s">
        <v>4741</v>
      </c>
      <c r="J781" s="250" t="s">
        <v>4742</v>
      </c>
      <c r="K781" s="255" t="s">
        <v>991</v>
      </c>
      <c r="L781" s="250" t="s">
        <v>1016</v>
      </c>
      <c r="M781" s="277">
        <v>51630</v>
      </c>
      <c r="N781" s="278">
        <v>44343</v>
      </c>
      <c r="O781" s="329" t="s">
        <v>67</v>
      </c>
      <c r="P781" s="330">
        <f t="shared" ref="P781:Q781" si="777">IF(B781=0,0,IF(YEAR(B781)=$Q$1,MONTH(B781)-$P$1+1,(YEAR(B781)-$Q$1)*12-$P$1+1+MONTH(B781)))</f>
        <v>5</v>
      </c>
      <c r="Q781" s="330">
        <f t="shared" si="777"/>
        <v>5</v>
      </c>
      <c r="R781" s="331" t="str">
        <f t="shared" si="1"/>
        <v>Gastos_Gerais</v>
      </c>
      <c r="S781" s="331" t="str">
        <f>IF(D781="","",IF(OR(D781=Plano!$A$1,D781=Plano!$B$1),"entrada","saída"))</f>
        <v>saída</v>
      </c>
      <c r="T781" s="332" t="s">
        <v>1011</v>
      </c>
      <c r="U781" s="332">
        <v>1595</v>
      </c>
      <c r="V781" s="344"/>
    </row>
    <row r="782" spans="1:22" ht="46.5" customHeight="1" x14ac:dyDescent="0.2">
      <c r="A782" s="277">
        <f>IF(B782="","",COUNT('Diário 5º PA'!$A$5:$A$2634)+ROW()-4)</f>
        <v>2089</v>
      </c>
      <c r="B782" s="278">
        <v>44343</v>
      </c>
      <c r="C782" s="256">
        <v>44317</v>
      </c>
      <c r="D782" s="255" t="s">
        <v>99</v>
      </c>
      <c r="E782" s="255" t="s">
        <v>272</v>
      </c>
      <c r="F782" s="258">
        <v>10.45</v>
      </c>
      <c r="G782" s="255" t="s">
        <v>4743</v>
      </c>
      <c r="H782" s="252" t="s">
        <v>123</v>
      </c>
      <c r="I782" s="250" t="s">
        <v>949</v>
      </c>
      <c r="J782" s="255" t="s">
        <v>950</v>
      </c>
      <c r="K782" s="255" t="s">
        <v>951</v>
      </c>
      <c r="L782" s="250" t="s">
        <v>947</v>
      </c>
      <c r="M782" s="336" t="s">
        <v>114</v>
      </c>
      <c r="N782" s="278">
        <v>44343</v>
      </c>
      <c r="O782" s="329" t="s">
        <v>67</v>
      </c>
      <c r="P782" s="330">
        <f t="shared" ref="P782:Q782" si="778">IF(B782=0,0,IF(YEAR(B782)=$Q$1,MONTH(B782)-$P$1+1,(YEAR(B782)-$Q$1)*12-$P$1+1+MONTH(B782)))</f>
        <v>5</v>
      </c>
      <c r="Q782" s="330">
        <f t="shared" si="778"/>
        <v>5</v>
      </c>
      <c r="R782" s="331" t="str">
        <f t="shared" si="1"/>
        <v>Gastos_Gerais</v>
      </c>
      <c r="S782" s="331" t="str">
        <f>IF(D782="","",IF(OR(D782=Plano!$A$1,D782=Plano!$B$1),"entrada","saída"))</f>
        <v>saída</v>
      </c>
      <c r="T782" s="332" t="s">
        <v>114</v>
      </c>
      <c r="U782" s="332" t="s">
        <v>114</v>
      </c>
      <c r="V782" s="344"/>
    </row>
    <row r="783" spans="1:22" ht="52.5" customHeight="1" x14ac:dyDescent="0.2">
      <c r="A783" s="277">
        <f>IF(B783="","",COUNT('Diário 5º PA'!$A$5:$A$2634)+ROW()-4)</f>
        <v>2090</v>
      </c>
      <c r="B783" s="278">
        <v>44343</v>
      </c>
      <c r="C783" s="256">
        <v>44317</v>
      </c>
      <c r="D783" s="255" t="s">
        <v>99</v>
      </c>
      <c r="E783" s="255" t="s">
        <v>272</v>
      </c>
      <c r="F783" s="258">
        <v>10.45</v>
      </c>
      <c r="G783" s="255" t="s">
        <v>4744</v>
      </c>
      <c r="H783" s="252" t="s">
        <v>131</v>
      </c>
      <c r="I783" s="250" t="s">
        <v>949</v>
      </c>
      <c r="J783" s="255" t="s">
        <v>950</v>
      </c>
      <c r="K783" s="255" t="s">
        <v>951</v>
      </c>
      <c r="L783" s="250" t="s">
        <v>947</v>
      </c>
      <c r="M783" s="336" t="s">
        <v>114</v>
      </c>
      <c r="N783" s="278">
        <v>44343</v>
      </c>
      <c r="O783" s="329" t="s">
        <v>67</v>
      </c>
      <c r="P783" s="330">
        <f t="shared" ref="P783:Q783" si="779">IF(B783=0,0,IF(YEAR(B783)=$Q$1,MONTH(B783)-$P$1+1,(YEAR(B783)-$Q$1)*12-$P$1+1+MONTH(B783)))</f>
        <v>5</v>
      </c>
      <c r="Q783" s="330">
        <f t="shared" si="779"/>
        <v>5</v>
      </c>
      <c r="R783" s="331" t="str">
        <f t="shared" si="1"/>
        <v>Gastos_Gerais</v>
      </c>
      <c r="S783" s="331" t="str">
        <f>IF(D783="","",IF(OR(D783=Plano!$A$1,D783=Plano!$B$1),"entrada","saída"))</f>
        <v>saída</v>
      </c>
      <c r="T783" s="332" t="s">
        <v>114</v>
      </c>
      <c r="U783" s="332" t="s">
        <v>114</v>
      </c>
      <c r="V783" s="344"/>
    </row>
    <row r="784" spans="1:22" ht="48" customHeight="1" x14ac:dyDescent="0.2">
      <c r="A784" s="277">
        <f>IF(B784="","",COUNT('Diário 5º PA'!$A$5:$A$2634)+ROW()-4)</f>
        <v>2091</v>
      </c>
      <c r="B784" s="278">
        <v>44343</v>
      </c>
      <c r="C784" s="256">
        <v>44317</v>
      </c>
      <c r="D784" s="255" t="s">
        <v>99</v>
      </c>
      <c r="E784" s="255" t="s">
        <v>272</v>
      </c>
      <c r="F784" s="258">
        <v>10.45</v>
      </c>
      <c r="G784" s="255" t="s">
        <v>4745</v>
      </c>
      <c r="H784" s="252" t="s">
        <v>123</v>
      </c>
      <c r="I784" s="250" t="s">
        <v>949</v>
      </c>
      <c r="J784" s="255" t="s">
        <v>950</v>
      </c>
      <c r="K784" s="255" t="s">
        <v>951</v>
      </c>
      <c r="L784" s="250" t="s">
        <v>947</v>
      </c>
      <c r="M784" s="336" t="s">
        <v>114</v>
      </c>
      <c r="N784" s="278">
        <v>44343</v>
      </c>
      <c r="O784" s="329" t="s">
        <v>67</v>
      </c>
      <c r="P784" s="330">
        <f t="shared" ref="P784:Q784" si="780">IF(B784=0,0,IF(YEAR(B784)=$Q$1,MONTH(B784)-$P$1+1,(YEAR(B784)-$Q$1)*12-$P$1+1+MONTH(B784)))</f>
        <v>5</v>
      </c>
      <c r="Q784" s="330">
        <f t="shared" si="780"/>
        <v>5</v>
      </c>
      <c r="R784" s="331" t="str">
        <f t="shared" si="1"/>
        <v>Gastos_Gerais</v>
      </c>
      <c r="S784" s="331" t="str">
        <f>IF(D784="","",IF(OR(D784=Plano!$A$1,D784=Plano!$B$1),"entrada","saída"))</f>
        <v>saída</v>
      </c>
      <c r="T784" s="332" t="s">
        <v>114</v>
      </c>
      <c r="U784" s="332" t="s">
        <v>114</v>
      </c>
      <c r="V784" s="344"/>
    </row>
    <row r="785" spans="1:22" ht="49.5" customHeight="1" x14ac:dyDescent="0.2">
      <c r="A785" s="277">
        <f>IF(B785="","",COUNT('Diário 5º PA'!$A$5:$A$2634)+ROW()-4)</f>
        <v>2092</v>
      </c>
      <c r="B785" s="278">
        <v>44343</v>
      </c>
      <c r="C785" s="256">
        <v>44317</v>
      </c>
      <c r="D785" s="255" t="s">
        <v>99</v>
      </c>
      <c r="E785" s="255" t="s">
        <v>272</v>
      </c>
      <c r="F785" s="258">
        <v>10.45</v>
      </c>
      <c r="G785" s="255" t="s">
        <v>4746</v>
      </c>
      <c r="H785" s="252" t="s">
        <v>123</v>
      </c>
      <c r="I785" s="250" t="s">
        <v>949</v>
      </c>
      <c r="J785" s="255" t="s">
        <v>950</v>
      </c>
      <c r="K785" s="255" t="s">
        <v>951</v>
      </c>
      <c r="L785" s="250" t="s">
        <v>947</v>
      </c>
      <c r="M785" s="336" t="s">
        <v>114</v>
      </c>
      <c r="N785" s="278">
        <v>44343</v>
      </c>
      <c r="O785" s="329" t="s">
        <v>67</v>
      </c>
      <c r="P785" s="330">
        <f t="shared" ref="P785:Q785" si="781">IF(B785=0,0,IF(YEAR(B785)=$Q$1,MONTH(B785)-$P$1+1,(YEAR(B785)-$Q$1)*12-$P$1+1+MONTH(B785)))</f>
        <v>5</v>
      </c>
      <c r="Q785" s="330">
        <f t="shared" si="781"/>
        <v>5</v>
      </c>
      <c r="R785" s="331" t="str">
        <f t="shared" si="1"/>
        <v>Gastos_Gerais</v>
      </c>
      <c r="S785" s="331" t="str">
        <f>IF(D785="","",IF(OR(D785=Plano!$A$1,D785=Plano!$B$1),"entrada","saída"))</f>
        <v>saída</v>
      </c>
      <c r="T785" s="332" t="s">
        <v>114</v>
      </c>
      <c r="U785" s="332" t="s">
        <v>114</v>
      </c>
      <c r="V785" s="344"/>
    </row>
    <row r="786" spans="1:22" ht="39" customHeight="1" x14ac:dyDescent="0.2">
      <c r="A786" s="277">
        <f>IF(B786="","",COUNT('Diário 5º PA'!$A$5:$A$2634)+ROW()-4)</f>
        <v>2093</v>
      </c>
      <c r="B786" s="278">
        <v>44344</v>
      </c>
      <c r="C786" s="256">
        <v>44317</v>
      </c>
      <c r="D786" s="255" t="s">
        <v>88</v>
      </c>
      <c r="E786" s="255" t="s">
        <v>192</v>
      </c>
      <c r="F786" s="258">
        <v>109.03</v>
      </c>
      <c r="G786" s="252" t="s">
        <v>4631</v>
      </c>
      <c r="H786" s="255" t="s">
        <v>114</v>
      </c>
      <c r="I786" s="252" t="s">
        <v>1032</v>
      </c>
      <c r="J786" s="252" t="s">
        <v>1033</v>
      </c>
      <c r="K786" s="255" t="s">
        <v>560</v>
      </c>
      <c r="L786" s="252" t="s">
        <v>1016</v>
      </c>
      <c r="M786" s="277">
        <v>29092</v>
      </c>
      <c r="N786" s="278">
        <v>44349</v>
      </c>
      <c r="O786" s="329" t="s">
        <v>67</v>
      </c>
      <c r="P786" s="386">
        <f t="shared" ref="P786:Q786" si="782">IF(B786=0,0,IF(YEAR(B786)=$Q$1,MONTH(B786)-$P$1+1,(YEAR(B786)-$Q$1)*12-$P$1+1+MONTH(B786)))</f>
        <v>5</v>
      </c>
      <c r="Q786" s="330">
        <f t="shared" si="782"/>
        <v>5</v>
      </c>
      <c r="R786" s="331" t="str">
        <f t="shared" si="1"/>
        <v>Gastos_com_Pessoal</v>
      </c>
      <c r="S786" s="331" t="str">
        <f>IF(D786="","",IF(OR(D786=Plano!$A$1,D786=Plano!$B$1),"entrada","saída"))</f>
        <v>saída</v>
      </c>
      <c r="T786" s="332" t="s">
        <v>114</v>
      </c>
      <c r="U786" s="332" t="s">
        <v>114</v>
      </c>
      <c r="V786" s="344"/>
    </row>
    <row r="787" spans="1:22" ht="61.5" customHeight="1" x14ac:dyDescent="0.2">
      <c r="A787" s="277">
        <f>IF(B787="","",COUNT('Diário 5º PA'!$A$5:$A$2634)+ROW()-4)</f>
        <v>2094</v>
      </c>
      <c r="B787" s="278">
        <v>44347</v>
      </c>
      <c r="C787" s="259">
        <v>44228</v>
      </c>
      <c r="D787" s="252" t="s">
        <v>99</v>
      </c>
      <c r="E787" s="252" t="s">
        <v>358</v>
      </c>
      <c r="F787" s="257">
        <v>210</v>
      </c>
      <c r="G787" s="252" t="s">
        <v>4747</v>
      </c>
      <c r="H787" s="252" t="s">
        <v>126</v>
      </c>
      <c r="I787" s="252" t="s">
        <v>4748</v>
      </c>
      <c r="J787" s="250" t="s">
        <v>4749</v>
      </c>
      <c r="K787" s="255" t="s">
        <v>1015</v>
      </c>
      <c r="L787" s="250" t="s">
        <v>1029</v>
      </c>
      <c r="M787" s="277">
        <v>1160</v>
      </c>
      <c r="N787" s="278">
        <v>44322</v>
      </c>
      <c r="O787" s="329" t="s">
        <v>67</v>
      </c>
      <c r="P787" s="330">
        <f t="shared" ref="P787:Q787" si="783">IF(B787=0,0,IF(YEAR(B787)=$Q$1,MONTH(B787)-$P$1+1,(YEAR(B787)-$Q$1)*12-$P$1+1+MONTH(B787)))</f>
        <v>5</v>
      </c>
      <c r="Q787" s="330">
        <f t="shared" si="783"/>
        <v>2</v>
      </c>
      <c r="R787" s="331" t="str">
        <f t="shared" si="1"/>
        <v>Gastos_Gerais</v>
      </c>
      <c r="S787" s="331" t="str">
        <f>IF(D787="","",IF(OR(D787=Plano!$A$1,D787=Plano!$B$1),"entrada","saída"))</f>
        <v>saída</v>
      </c>
      <c r="T787" s="332" t="s">
        <v>994</v>
      </c>
      <c r="U787" s="332">
        <v>1320</v>
      </c>
      <c r="V787" s="344"/>
    </row>
    <row r="788" spans="1:22" ht="80.25" customHeight="1" x14ac:dyDescent="0.2">
      <c r="A788" s="277">
        <f>IF(B788="","",COUNT('Diário 5º PA'!$A$5:$A$2634)+ROW()-4)</f>
        <v>2095</v>
      </c>
      <c r="B788" s="278">
        <v>44347</v>
      </c>
      <c r="C788" s="249">
        <v>44317</v>
      </c>
      <c r="D788" s="255" t="s">
        <v>99</v>
      </c>
      <c r="E788" s="255" t="s">
        <v>330</v>
      </c>
      <c r="F788" s="258">
        <v>150</v>
      </c>
      <c r="G788" s="255" t="s">
        <v>3231</v>
      </c>
      <c r="H788" s="255" t="s">
        <v>115</v>
      </c>
      <c r="I788" s="250" t="s">
        <v>1640</v>
      </c>
      <c r="J788" s="252" t="s">
        <v>452</v>
      </c>
      <c r="K788" s="255" t="s">
        <v>560</v>
      </c>
      <c r="L788" s="250" t="s">
        <v>3667</v>
      </c>
      <c r="M788" s="277">
        <v>28529</v>
      </c>
      <c r="N788" s="278">
        <v>44319</v>
      </c>
      <c r="O788" s="329" t="s">
        <v>67</v>
      </c>
      <c r="P788" s="330">
        <f t="shared" ref="P788:Q788" si="784">IF(B788=0,0,IF(YEAR(B788)=$Q$1,MONTH(B788)-$P$1+1,(YEAR(B788)-$Q$1)*12-$P$1+1+MONTH(B788)))</f>
        <v>5</v>
      </c>
      <c r="Q788" s="330">
        <f t="shared" si="784"/>
        <v>5</v>
      </c>
      <c r="R788" s="331" t="str">
        <f t="shared" si="1"/>
        <v>Gastos_Gerais</v>
      </c>
      <c r="S788" s="331" t="str">
        <f>IF(D788="","",IF(OR(D788=Plano!$A$1,D788=Plano!$B$1),"entrada","saída"))</f>
        <v>saída</v>
      </c>
      <c r="T788" s="332" t="s">
        <v>1059</v>
      </c>
      <c r="U788" s="332">
        <v>1145</v>
      </c>
      <c r="V788" s="344"/>
    </row>
    <row r="789" spans="1:22" ht="58.5" customHeight="1" x14ac:dyDescent="0.2">
      <c r="A789" s="277">
        <f>IF(B789="","",COUNT('Diário 5º PA'!$A$5:$A$2634)+ROW()-4)</f>
        <v>2096</v>
      </c>
      <c r="B789" s="278">
        <v>44347</v>
      </c>
      <c r="C789" s="249">
        <v>44317</v>
      </c>
      <c r="D789" s="255" t="s">
        <v>85</v>
      </c>
      <c r="E789" s="255" t="s">
        <v>85</v>
      </c>
      <c r="F789" s="258">
        <v>3380.59</v>
      </c>
      <c r="G789" s="255" t="s">
        <v>4750</v>
      </c>
      <c r="H789" s="255" t="s">
        <v>114</v>
      </c>
      <c r="I789" s="250" t="s">
        <v>945</v>
      </c>
      <c r="J789" s="255" t="s">
        <v>850</v>
      </c>
      <c r="K789" s="255" t="s">
        <v>946</v>
      </c>
      <c r="L789" s="250" t="s">
        <v>947</v>
      </c>
      <c r="M789" s="336" t="s">
        <v>114</v>
      </c>
      <c r="N789" s="278">
        <v>44347</v>
      </c>
      <c r="O789" s="329" t="s">
        <v>67</v>
      </c>
      <c r="P789" s="330">
        <f t="shared" ref="P789:Q789" si="785">IF(B789=0,0,IF(YEAR(B789)=$Q$1,MONTH(B789)-$P$1+1,(YEAR(B789)-$Q$1)*12-$P$1+1+MONTH(B789)))</f>
        <v>5</v>
      </c>
      <c r="Q789" s="330">
        <f t="shared" si="785"/>
        <v>5</v>
      </c>
      <c r="R789" s="331" t="str">
        <f t="shared" si="1"/>
        <v>Rendimentos_de_Aplicações_Fin.</v>
      </c>
      <c r="S789" s="331" t="str">
        <f>IF(D789="","",IF(OR(D789=Plano!$A$1,D789=Plano!$B$1),"entrada","saída"))</f>
        <v>entrada</v>
      </c>
      <c r="T789" s="332" t="s">
        <v>114</v>
      </c>
      <c r="U789" s="332" t="s">
        <v>114</v>
      </c>
      <c r="V789" s="344"/>
    </row>
    <row r="790" spans="1:22" ht="26.25" customHeight="1" x14ac:dyDescent="0.2">
      <c r="A790" s="277">
        <f>IF(B790="","",COUNT('Diário 5º PA'!$A$5:$A$2634)+ROW()-4)</f>
        <v>2097</v>
      </c>
      <c r="B790" s="278">
        <v>44347</v>
      </c>
      <c r="C790" s="249">
        <v>44317</v>
      </c>
      <c r="D790" s="255" t="s">
        <v>99</v>
      </c>
      <c r="E790" s="255" t="s">
        <v>280</v>
      </c>
      <c r="F790" s="258">
        <v>1173.5899999999999</v>
      </c>
      <c r="G790" s="255" t="s">
        <v>4751</v>
      </c>
      <c r="H790" s="255" t="s">
        <v>114</v>
      </c>
      <c r="I790" s="250" t="s">
        <v>488</v>
      </c>
      <c r="J790" s="255" t="s">
        <v>114</v>
      </c>
      <c r="K790" s="255" t="s">
        <v>466</v>
      </c>
      <c r="L790" s="250" t="s">
        <v>489</v>
      </c>
      <c r="M790" s="277" t="s">
        <v>114</v>
      </c>
      <c r="N790" s="278">
        <v>44347</v>
      </c>
      <c r="O790" s="329" t="s">
        <v>67</v>
      </c>
      <c r="P790" s="330">
        <f t="shared" ref="P790:Q790" si="786">IF(B790=0,0,IF(YEAR(B790)=$Q$1,MONTH(B790)-$P$1+1,(YEAR(B790)-$Q$1)*12-$P$1+1+MONTH(B790)))</f>
        <v>5</v>
      </c>
      <c r="Q790" s="330">
        <f t="shared" si="786"/>
        <v>5</v>
      </c>
      <c r="R790" s="331" t="str">
        <f t="shared" si="1"/>
        <v>Gastos_Gerais</v>
      </c>
      <c r="S790" s="331" t="str">
        <f>IF(D790="","",IF(OR(D790=Plano!$A$1,D790=Plano!$B$1),"entrada","saída"))</f>
        <v>saída</v>
      </c>
      <c r="T790" s="332" t="s">
        <v>114</v>
      </c>
      <c r="U790" s="332" t="s">
        <v>114</v>
      </c>
      <c r="V790" s="344"/>
    </row>
    <row r="791" spans="1:22" ht="27" customHeight="1" x14ac:dyDescent="0.2">
      <c r="A791" s="277">
        <f>IF(B791="","",COUNT('Diário 5º PA'!$A$5:$A$2634)+ROW()-4)</f>
        <v>2098</v>
      </c>
      <c r="B791" s="278">
        <v>44347</v>
      </c>
      <c r="C791" s="249">
        <v>44317</v>
      </c>
      <c r="D791" s="255" t="s">
        <v>99</v>
      </c>
      <c r="E791" s="255" t="s">
        <v>278</v>
      </c>
      <c r="F791" s="258">
        <v>4.28</v>
      </c>
      <c r="G791" s="255" t="s">
        <v>4752</v>
      </c>
      <c r="H791" s="255" t="s">
        <v>114</v>
      </c>
      <c r="I791" s="250" t="s">
        <v>488</v>
      </c>
      <c r="J791" s="255" t="s">
        <v>114</v>
      </c>
      <c r="K791" s="255" t="s">
        <v>466</v>
      </c>
      <c r="L791" s="250" t="s">
        <v>489</v>
      </c>
      <c r="M791" s="277" t="s">
        <v>114</v>
      </c>
      <c r="N791" s="278">
        <v>44347</v>
      </c>
      <c r="O791" s="329" t="s">
        <v>67</v>
      </c>
      <c r="P791" s="330">
        <f t="shared" ref="P791:Q791" si="787">IF(B791=0,0,IF(YEAR(B791)=$Q$1,MONTH(B791)-$P$1+1,(YEAR(B791)-$Q$1)*12-$P$1+1+MONTH(B791)))</f>
        <v>5</v>
      </c>
      <c r="Q791" s="330">
        <f t="shared" si="787"/>
        <v>5</v>
      </c>
      <c r="R791" s="331" t="str">
        <f t="shared" si="1"/>
        <v>Gastos_Gerais</v>
      </c>
      <c r="S791" s="331" t="str">
        <f>IF(D791="","",IF(OR(D791=Plano!$A$1,D791=Plano!$B$1),"entrada","saída"))</f>
        <v>saída</v>
      </c>
      <c r="T791" s="332" t="s">
        <v>114</v>
      </c>
      <c r="U791" s="332" t="s">
        <v>114</v>
      </c>
      <c r="V791" s="344"/>
    </row>
    <row r="792" spans="1:22" ht="46.5" customHeight="1" x14ac:dyDescent="0.2">
      <c r="A792" s="277">
        <f>IF(B792="","",COUNT('Diário 5º PA'!$A$5:$A$2634)+ROW()-4)</f>
        <v>2099</v>
      </c>
      <c r="B792" s="278">
        <v>44348</v>
      </c>
      <c r="C792" s="256">
        <v>44317</v>
      </c>
      <c r="D792" s="255" t="s">
        <v>88</v>
      </c>
      <c r="E792" s="255" t="s">
        <v>198</v>
      </c>
      <c r="F792" s="258">
        <v>-21.47</v>
      </c>
      <c r="G792" s="255" t="s">
        <v>982</v>
      </c>
      <c r="H792" s="252" t="s">
        <v>114</v>
      </c>
      <c r="I792" s="250" t="s">
        <v>983</v>
      </c>
      <c r="J792" s="255" t="s">
        <v>850</v>
      </c>
      <c r="K792" s="255" t="s">
        <v>946</v>
      </c>
      <c r="L792" s="250" t="s">
        <v>947</v>
      </c>
      <c r="M792" s="277" t="s">
        <v>114</v>
      </c>
      <c r="N792" s="278">
        <v>44348</v>
      </c>
      <c r="O792" s="329" t="s">
        <v>67</v>
      </c>
      <c r="P792" s="330">
        <f t="shared" ref="P792:Q792" si="788">IF(B792=0,0,IF(YEAR(B792)=$Q$1,MONTH(B792)-$P$1+1,(YEAR(B792)-$Q$1)*12-$P$1+1+MONTH(B792)))</f>
        <v>6</v>
      </c>
      <c r="Q792" s="330">
        <f t="shared" si="788"/>
        <v>5</v>
      </c>
      <c r="R792" s="331" t="str">
        <f t="shared" si="1"/>
        <v>Gastos_com_Pessoal</v>
      </c>
      <c r="S792" s="331" t="str">
        <f>IF(D792="","",IF(OR(D792=Plano!$A$1,D792=Plano!$B$1),"entrada","saída"))</f>
        <v>saída</v>
      </c>
      <c r="T792" s="332" t="s">
        <v>114</v>
      </c>
      <c r="U792" s="332" t="s">
        <v>114</v>
      </c>
      <c r="V792" s="344"/>
    </row>
    <row r="793" spans="1:22" ht="45.75" customHeight="1" x14ac:dyDescent="0.2">
      <c r="A793" s="277">
        <f>IF(B793="","",COUNT('Diário 5º PA'!$A$5:$A$2634)+ROW()-4)</f>
        <v>2100</v>
      </c>
      <c r="B793" s="278">
        <v>44348</v>
      </c>
      <c r="C793" s="256">
        <v>44317</v>
      </c>
      <c r="D793" s="255" t="s">
        <v>88</v>
      </c>
      <c r="E793" s="255" t="s">
        <v>198</v>
      </c>
      <c r="F793" s="258">
        <v>-42.94</v>
      </c>
      <c r="G793" s="255" t="s">
        <v>2471</v>
      </c>
      <c r="H793" s="252" t="s">
        <v>114</v>
      </c>
      <c r="I793" s="250" t="s">
        <v>983</v>
      </c>
      <c r="J793" s="255" t="s">
        <v>850</v>
      </c>
      <c r="K793" s="255" t="s">
        <v>946</v>
      </c>
      <c r="L793" s="250" t="s">
        <v>947</v>
      </c>
      <c r="M793" s="277" t="s">
        <v>114</v>
      </c>
      <c r="N793" s="278">
        <v>44348</v>
      </c>
      <c r="O793" s="329" t="s">
        <v>67</v>
      </c>
      <c r="P793" s="330">
        <f t="shared" ref="P793:Q793" si="789">IF(B793=0,0,IF(YEAR(B793)=$Q$1,MONTH(B793)-$P$1+1,(YEAR(B793)-$Q$1)*12-$P$1+1+MONTH(B793)))</f>
        <v>6</v>
      </c>
      <c r="Q793" s="330">
        <f t="shared" si="789"/>
        <v>5</v>
      </c>
      <c r="R793" s="331" t="str">
        <f t="shared" si="1"/>
        <v>Gastos_com_Pessoal</v>
      </c>
      <c r="S793" s="331" t="str">
        <f>IF(D793="","",IF(OR(D793=Plano!$A$1,D793=Plano!$B$1),"entrada","saída"))</f>
        <v>saída</v>
      </c>
      <c r="T793" s="332" t="s">
        <v>114</v>
      </c>
      <c r="U793" s="332" t="s">
        <v>114</v>
      </c>
      <c r="V793" s="344"/>
    </row>
    <row r="794" spans="1:22" ht="49.5" customHeight="1" x14ac:dyDescent="0.2">
      <c r="A794" s="277">
        <f>IF(B794="","",COUNT('Diário 5º PA'!$A$5:$A$2634)+ROW()-4)</f>
        <v>2101</v>
      </c>
      <c r="B794" s="278">
        <v>44348</v>
      </c>
      <c r="C794" s="256">
        <v>44317</v>
      </c>
      <c r="D794" s="255" t="s">
        <v>88</v>
      </c>
      <c r="E794" s="255" t="s">
        <v>183</v>
      </c>
      <c r="F794" s="258">
        <v>-27.74</v>
      </c>
      <c r="G794" s="255" t="s">
        <v>984</v>
      </c>
      <c r="H794" s="252" t="s">
        <v>114</v>
      </c>
      <c r="I794" s="250" t="s">
        <v>983</v>
      </c>
      <c r="J794" s="255" t="s">
        <v>850</v>
      </c>
      <c r="K794" s="255" t="s">
        <v>946</v>
      </c>
      <c r="L794" s="250" t="s">
        <v>947</v>
      </c>
      <c r="M794" s="277" t="s">
        <v>114</v>
      </c>
      <c r="N794" s="278">
        <v>44348</v>
      </c>
      <c r="O794" s="329" t="s">
        <v>67</v>
      </c>
      <c r="P794" s="330">
        <f t="shared" ref="P794:Q794" si="790">IF(B794=0,0,IF(YEAR(B794)=$Q$1,MONTH(B794)-$P$1+1,(YEAR(B794)-$Q$1)*12-$P$1+1+MONTH(B794)))</f>
        <v>6</v>
      </c>
      <c r="Q794" s="330">
        <f t="shared" si="790"/>
        <v>5</v>
      </c>
      <c r="R794" s="331" t="str">
        <f t="shared" si="1"/>
        <v>Gastos_com_Pessoal</v>
      </c>
      <c r="S794" s="331" t="str">
        <f>IF(D794="","",IF(OR(D794=Plano!$A$1,D794=Plano!$B$1),"entrada","saída"))</f>
        <v>saída</v>
      </c>
      <c r="T794" s="332" t="s">
        <v>114</v>
      </c>
      <c r="U794" s="332" t="s">
        <v>114</v>
      </c>
      <c r="V794" s="344"/>
    </row>
    <row r="795" spans="1:22" ht="48" customHeight="1" x14ac:dyDescent="0.2">
      <c r="A795" s="277">
        <f>IF(B795="","",COUNT('Diário 5º PA'!$A$5:$A$2634)+ROW()-4)</f>
        <v>2102</v>
      </c>
      <c r="B795" s="278">
        <v>44348</v>
      </c>
      <c r="C795" s="256">
        <v>44317</v>
      </c>
      <c r="D795" s="255" t="s">
        <v>88</v>
      </c>
      <c r="E795" s="255" t="s">
        <v>183</v>
      </c>
      <c r="F795" s="258">
        <v>-69.349999999999994</v>
      </c>
      <c r="G795" s="255" t="s">
        <v>986</v>
      </c>
      <c r="H795" s="252" t="s">
        <v>114</v>
      </c>
      <c r="I795" s="250" t="s">
        <v>983</v>
      </c>
      <c r="J795" s="255" t="s">
        <v>850</v>
      </c>
      <c r="K795" s="255" t="s">
        <v>946</v>
      </c>
      <c r="L795" s="250" t="s">
        <v>947</v>
      </c>
      <c r="M795" s="277" t="s">
        <v>114</v>
      </c>
      <c r="N795" s="278">
        <v>44348</v>
      </c>
      <c r="O795" s="329" t="s">
        <v>67</v>
      </c>
      <c r="P795" s="330">
        <f t="shared" ref="P795:Q795" si="791">IF(B795=0,0,IF(YEAR(B795)=$Q$1,MONTH(B795)-$P$1+1,(YEAR(B795)-$Q$1)*12-$P$1+1+MONTH(B795)))</f>
        <v>6</v>
      </c>
      <c r="Q795" s="330">
        <f t="shared" si="791"/>
        <v>5</v>
      </c>
      <c r="R795" s="331" t="str">
        <f t="shared" si="1"/>
        <v>Gastos_com_Pessoal</v>
      </c>
      <c r="S795" s="331" t="str">
        <f>IF(D795="","",IF(OR(D795=Plano!$A$1,D795=Plano!$B$1),"entrada","saída"))</f>
        <v>saída</v>
      </c>
      <c r="T795" s="332" t="s">
        <v>114</v>
      </c>
      <c r="U795" s="332" t="s">
        <v>114</v>
      </c>
      <c r="V795" s="344"/>
    </row>
    <row r="796" spans="1:22" ht="60" customHeight="1" x14ac:dyDescent="0.2">
      <c r="A796" s="277">
        <f>IF(B796="","",COUNT('Diário 5º PA'!$A$5:$A$2634)+ROW()-4)</f>
        <v>2103</v>
      </c>
      <c r="B796" s="278">
        <v>44348</v>
      </c>
      <c r="C796" s="259">
        <v>44197</v>
      </c>
      <c r="D796" s="252" t="s">
        <v>99</v>
      </c>
      <c r="E796" s="252" t="s">
        <v>330</v>
      </c>
      <c r="F796" s="258">
        <v>-447.65</v>
      </c>
      <c r="G796" s="255" t="s">
        <v>4753</v>
      </c>
      <c r="H796" s="252" t="s">
        <v>114</v>
      </c>
      <c r="I796" s="250" t="s">
        <v>983</v>
      </c>
      <c r="J796" s="255" t="s">
        <v>850</v>
      </c>
      <c r="K796" s="255" t="s">
        <v>946</v>
      </c>
      <c r="L796" s="250" t="s">
        <v>947</v>
      </c>
      <c r="M796" s="277" t="s">
        <v>114</v>
      </c>
      <c r="N796" s="278">
        <v>44348</v>
      </c>
      <c r="O796" s="329" t="s">
        <v>67</v>
      </c>
      <c r="P796" s="330">
        <f t="shared" ref="P796:Q796" si="792">IF(B796=0,0,IF(YEAR(B796)=$Q$1,MONTH(B796)-$P$1+1,(YEAR(B796)-$Q$1)*12-$P$1+1+MONTH(B796)))</f>
        <v>6</v>
      </c>
      <c r="Q796" s="330">
        <f t="shared" si="792"/>
        <v>1</v>
      </c>
      <c r="R796" s="331" t="str">
        <f t="shared" si="1"/>
        <v>Gastos_Gerais</v>
      </c>
      <c r="S796" s="331" t="str">
        <f>IF(D796="","",IF(OR(D796=Plano!$A$1,D796=Plano!$B$1),"entrada","saída"))</f>
        <v>saída</v>
      </c>
      <c r="T796" s="332" t="s">
        <v>114</v>
      </c>
      <c r="U796" s="332" t="s">
        <v>114</v>
      </c>
      <c r="V796" s="344"/>
    </row>
    <row r="797" spans="1:22" ht="51" customHeight="1" x14ac:dyDescent="0.2">
      <c r="A797" s="277">
        <f>IF(B797="","",COUNT('Diário 5º PA'!$A$5:$A$2634)+ROW()-4)</f>
        <v>2104</v>
      </c>
      <c r="B797" s="278">
        <v>44348</v>
      </c>
      <c r="C797" s="256">
        <v>44317</v>
      </c>
      <c r="D797" s="255" t="s">
        <v>88</v>
      </c>
      <c r="E797" s="255" t="s">
        <v>198</v>
      </c>
      <c r="F797" s="258">
        <v>-128.82</v>
      </c>
      <c r="G797" s="255" t="s">
        <v>987</v>
      </c>
      <c r="H797" s="252" t="s">
        <v>114</v>
      </c>
      <c r="I797" s="250" t="s">
        <v>983</v>
      </c>
      <c r="J797" s="255" t="s">
        <v>850</v>
      </c>
      <c r="K797" s="255" t="s">
        <v>946</v>
      </c>
      <c r="L797" s="250" t="s">
        <v>947</v>
      </c>
      <c r="M797" s="277" t="s">
        <v>114</v>
      </c>
      <c r="N797" s="278">
        <v>44348</v>
      </c>
      <c r="O797" s="329" t="s">
        <v>67</v>
      </c>
      <c r="P797" s="330">
        <f t="shared" ref="P797:Q797" si="793">IF(B797=0,0,IF(YEAR(B797)=$Q$1,MONTH(B797)-$P$1+1,(YEAR(B797)-$Q$1)*12-$P$1+1+MONTH(B797)))</f>
        <v>6</v>
      </c>
      <c r="Q797" s="330">
        <f t="shared" si="793"/>
        <v>5</v>
      </c>
      <c r="R797" s="331" t="str">
        <f t="shared" si="1"/>
        <v>Gastos_com_Pessoal</v>
      </c>
      <c r="S797" s="331" t="str">
        <f>IF(D797="","",IF(OR(D797=Plano!$A$1,D797=Plano!$B$1),"entrada","saída"))</f>
        <v>saída</v>
      </c>
      <c r="T797" s="332" t="s">
        <v>114</v>
      </c>
      <c r="U797" s="332" t="s">
        <v>114</v>
      </c>
      <c r="V797" s="344"/>
    </row>
    <row r="798" spans="1:22" ht="82.5" customHeight="1" x14ac:dyDescent="0.2">
      <c r="A798" s="277">
        <f>IF(B798="","",COUNT('Diário 5º PA'!$A$5:$A$2634)+ROW()-4)</f>
        <v>2105</v>
      </c>
      <c r="B798" s="278">
        <v>44348</v>
      </c>
      <c r="C798" s="259">
        <v>44317</v>
      </c>
      <c r="D798" s="252" t="s">
        <v>99</v>
      </c>
      <c r="E798" s="252" t="s">
        <v>364</v>
      </c>
      <c r="F798" s="257">
        <v>1600</v>
      </c>
      <c r="G798" s="252" t="s">
        <v>4754</v>
      </c>
      <c r="H798" s="252" t="s">
        <v>118</v>
      </c>
      <c r="I798" s="250" t="s">
        <v>1022</v>
      </c>
      <c r="J798" s="250" t="s">
        <v>1747</v>
      </c>
      <c r="K798" s="255" t="s">
        <v>4755</v>
      </c>
      <c r="L798" s="250" t="s">
        <v>1016</v>
      </c>
      <c r="M798" s="277">
        <v>240</v>
      </c>
      <c r="N798" s="278">
        <v>44348</v>
      </c>
      <c r="O798" s="329" t="s">
        <v>67</v>
      </c>
      <c r="P798" s="330">
        <f t="shared" ref="P798:Q798" si="794">IF(B798=0,0,IF(YEAR(B798)=$Q$1,MONTH(B798)-$P$1+1,(YEAR(B798)-$Q$1)*12-$P$1+1+MONTH(B798)))</f>
        <v>6</v>
      </c>
      <c r="Q798" s="330">
        <f t="shared" si="794"/>
        <v>5</v>
      </c>
      <c r="R798" s="331" t="str">
        <f t="shared" si="1"/>
        <v>Gastos_Gerais</v>
      </c>
      <c r="S798" s="331" t="str">
        <f>IF(D798="","",IF(OR(D798=Plano!$A$1,D798=Plano!$B$1),"entrada","saída"))</f>
        <v>saída</v>
      </c>
      <c r="T798" s="332" t="s">
        <v>994</v>
      </c>
      <c r="U798" s="332">
        <v>1588</v>
      </c>
      <c r="V798" s="344"/>
    </row>
    <row r="799" spans="1:22" ht="39" customHeight="1" x14ac:dyDescent="0.2">
      <c r="A799" s="277">
        <f>IF(B799="","",COUNT('Diário 5º PA'!$A$5:$A$2634)+ROW()-4)</f>
        <v>2106</v>
      </c>
      <c r="B799" s="278">
        <v>44348</v>
      </c>
      <c r="C799" s="259">
        <v>44317</v>
      </c>
      <c r="D799" s="252" t="s">
        <v>99</v>
      </c>
      <c r="E799" s="252" t="s">
        <v>336</v>
      </c>
      <c r="F799" s="257">
        <v>774</v>
      </c>
      <c r="G799" s="252" t="s">
        <v>1026</v>
      </c>
      <c r="H799" s="252" t="s">
        <v>116</v>
      </c>
      <c r="I799" s="250" t="s">
        <v>1027</v>
      </c>
      <c r="J799" s="250" t="s">
        <v>1028</v>
      </c>
      <c r="K799" s="255" t="s">
        <v>4755</v>
      </c>
      <c r="L799" s="250" t="s">
        <v>1029</v>
      </c>
      <c r="M799" s="277">
        <v>1174</v>
      </c>
      <c r="N799" s="278">
        <v>44348</v>
      </c>
      <c r="O799" s="329" t="s">
        <v>67</v>
      </c>
      <c r="P799" s="330">
        <f t="shared" ref="P799:Q799" si="795">IF(B799=0,0,IF(YEAR(B799)=$Q$1,MONTH(B799)-$P$1+1,(YEAR(B799)-$Q$1)*12-$P$1+1+MONTH(B799)))</f>
        <v>6</v>
      </c>
      <c r="Q799" s="330">
        <f t="shared" si="795"/>
        <v>5</v>
      </c>
      <c r="R799" s="331" t="str">
        <f t="shared" si="1"/>
        <v>Gastos_Gerais</v>
      </c>
      <c r="S799" s="331" t="str">
        <f>IF(D799="","",IF(OR(D799=Plano!$A$1,D799=Plano!$B$1),"entrada","saída"))</f>
        <v>saída</v>
      </c>
      <c r="T799" s="332" t="s">
        <v>1059</v>
      </c>
      <c r="U799" s="332">
        <v>1593</v>
      </c>
      <c r="V799" s="344"/>
    </row>
    <row r="800" spans="1:22" ht="39" customHeight="1" x14ac:dyDescent="0.2">
      <c r="A800" s="277">
        <f>IF(B800="","",COUNT('Diário 5º PA'!$A$5:$A$2634)+ROW()-4)</f>
        <v>2107</v>
      </c>
      <c r="B800" s="278">
        <v>44348</v>
      </c>
      <c r="C800" s="259">
        <v>44317</v>
      </c>
      <c r="D800" s="255" t="s">
        <v>88</v>
      </c>
      <c r="E800" s="255" t="s">
        <v>183</v>
      </c>
      <c r="F800" s="258">
        <v>126.7</v>
      </c>
      <c r="G800" s="255" t="s">
        <v>4756</v>
      </c>
      <c r="H800" s="252" t="s">
        <v>114</v>
      </c>
      <c r="I800" s="250" t="s">
        <v>998</v>
      </c>
      <c r="J800" s="252" t="s">
        <v>999</v>
      </c>
      <c r="K800" s="255" t="s">
        <v>560</v>
      </c>
      <c r="L800" s="250" t="s">
        <v>992</v>
      </c>
      <c r="M800" s="277" t="s">
        <v>4757</v>
      </c>
      <c r="N800" s="278">
        <v>44329</v>
      </c>
      <c r="O800" s="329" t="s">
        <v>67</v>
      </c>
      <c r="P800" s="330">
        <f t="shared" ref="P800:Q800" si="796">IF(B800=0,0,IF(YEAR(B800)=$Q$1,MONTH(B800)-$P$1+1,(YEAR(B800)-$Q$1)*12-$P$1+1+MONTH(B800)))</f>
        <v>6</v>
      </c>
      <c r="Q800" s="330">
        <f t="shared" si="796"/>
        <v>5</v>
      </c>
      <c r="R800" s="331" t="str">
        <f t="shared" si="1"/>
        <v>Gastos_com_Pessoal</v>
      </c>
      <c r="S800" s="331" t="str">
        <f>IF(D800="","",IF(OR(D800=Plano!$A$1,D800=Plano!$B$1),"entrada","saída"))</f>
        <v>saída</v>
      </c>
      <c r="T800" s="332" t="s">
        <v>114</v>
      </c>
      <c r="U800" s="332" t="s">
        <v>114</v>
      </c>
      <c r="V800" s="344"/>
    </row>
    <row r="801" spans="1:22" ht="45" customHeight="1" x14ac:dyDescent="0.2">
      <c r="A801" s="277">
        <f>IF(B801="","",COUNT('Diário 5º PA'!$A$5:$A$2634)+ROW()-4)</f>
        <v>2108</v>
      </c>
      <c r="B801" s="278">
        <v>44348</v>
      </c>
      <c r="C801" s="259">
        <v>44317</v>
      </c>
      <c r="D801" s="255" t="s">
        <v>88</v>
      </c>
      <c r="E801" s="255" t="s">
        <v>183</v>
      </c>
      <c r="F801" s="258">
        <v>183.39</v>
      </c>
      <c r="G801" s="255" t="s">
        <v>4756</v>
      </c>
      <c r="H801" s="252" t="s">
        <v>114</v>
      </c>
      <c r="I801" s="250" t="s">
        <v>537</v>
      </c>
      <c r="J801" s="252" t="s">
        <v>538</v>
      </c>
      <c r="K801" s="255" t="s">
        <v>560</v>
      </c>
      <c r="L801" s="250" t="s">
        <v>992</v>
      </c>
      <c r="M801" s="277" t="s">
        <v>4758</v>
      </c>
      <c r="N801" s="278">
        <v>44329</v>
      </c>
      <c r="O801" s="329" t="s">
        <v>67</v>
      </c>
      <c r="P801" s="330">
        <f t="shared" ref="P801:Q801" si="797">IF(B801=0,0,IF(YEAR(B801)=$Q$1,MONTH(B801)-$P$1+1,(YEAR(B801)-$Q$1)*12-$P$1+1+MONTH(B801)))</f>
        <v>6</v>
      </c>
      <c r="Q801" s="330">
        <f t="shared" si="797"/>
        <v>5</v>
      </c>
      <c r="R801" s="331" t="str">
        <f t="shared" si="1"/>
        <v>Gastos_com_Pessoal</v>
      </c>
      <c r="S801" s="331" t="str">
        <f>IF(D801="","",IF(OR(D801=Plano!$A$1,D801=Plano!$B$1),"entrada","saída"))</f>
        <v>saída</v>
      </c>
      <c r="T801" s="332" t="s">
        <v>114</v>
      </c>
      <c r="U801" s="332" t="s">
        <v>114</v>
      </c>
      <c r="V801" s="344"/>
    </row>
    <row r="802" spans="1:22" ht="39.75" customHeight="1" x14ac:dyDescent="0.2">
      <c r="A802" s="277">
        <f>IF(B802="","",COUNT('Diário 5º PA'!$A$5:$A$2634)+ROW()-4)</f>
        <v>2109</v>
      </c>
      <c r="B802" s="278">
        <v>44348</v>
      </c>
      <c r="C802" s="259">
        <v>44317</v>
      </c>
      <c r="D802" s="255" t="s">
        <v>88</v>
      </c>
      <c r="E802" s="255" t="s">
        <v>198</v>
      </c>
      <c r="F802" s="258">
        <v>536.73</v>
      </c>
      <c r="G802" s="255" t="s">
        <v>533</v>
      </c>
      <c r="H802" s="252" t="s">
        <v>114</v>
      </c>
      <c r="I802" s="250" t="s">
        <v>534</v>
      </c>
      <c r="J802" s="252" t="s">
        <v>535</v>
      </c>
      <c r="K802" s="255" t="s">
        <v>560</v>
      </c>
      <c r="L802" s="255" t="s">
        <v>697</v>
      </c>
      <c r="M802" s="277" t="s">
        <v>1001</v>
      </c>
      <c r="N802" s="278">
        <v>44333</v>
      </c>
      <c r="O802" s="329" t="s">
        <v>67</v>
      </c>
      <c r="P802" s="330">
        <f t="shared" ref="P802:Q802" si="798">IF(B802=0,0,IF(YEAR(B802)=$Q$1,MONTH(B802)-$P$1+1,(YEAR(B802)-$Q$1)*12-$P$1+1+MONTH(B802)))</f>
        <v>6</v>
      </c>
      <c r="Q802" s="330">
        <f t="shared" si="798"/>
        <v>5</v>
      </c>
      <c r="R802" s="331" t="str">
        <f t="shared" si="1"/>
        <v>Gastos_com_Pessoal</v>
      </c>
      <c r="S802" s="331" t="str">
        <f>IF(D802="","",IF(OR(D802=Plano!$A$1,D802=Plano!$B$1),"entrada","saída"))</f>
        <v>saída</v>
      </c>
      <c r="T802" s="332" t="s">
        <v>114</v>
      </c>
      <c r="U802" s="332" t="s">
        <v>114</v>
      </c>
      <c r="V802" s="344"/>
    </row>
    <row r="803" spans="1:22" ht="105.75" customHeight="1" x14ac:dyDescent="0.2">
      <c r="A803" s="277">
        <f>IF(B803="","",COUNT('Diário 5º PA'!$A$5:$A$2634)+ROW()-4)</f>
        <v>2110</v>
      </c>
      <c r="B803" s="278">
        <v>44348</v>
      </c>
      <c r="C803" s="259">
        <v>44197</v>
      </c>
      <c r="D803" s="252" t="s">
        <v>99</v>
      </c>
      <c r="E803" s="252" t="s">
        <v>330</v>
      </c>
      <c r="F803" s="257">
        <v>1661.1</v>
      </c>
      <c r="G803" s="252" t="s">
        <v>507</v>
      </c>
      <c r="H803" s="252" t="s">
        <v>115</v>
      </c>
      <c r="I803" s="252" t="s">
        <v>4759</v>
      </c>
      <c r="J803" s="250" t="s">
        <v>509</v>
      </c>
      <c r="K803" s="255" t="s">
        <v>4755</v>
      </c>
      <c r="L803" s="250" t="s">
        <v>992</v>
      </c>
      <c r="M803" s="277" t="s">
        <v>1058</v>
      </c>
      <c r="N803" s="278">
        <v>44347</v>
      </c>
      <c r="O803" s="329" t="s">
        <v>67</v>
      </c>
      <c r="P803" s="330">
        <f t="shared" ref="P803:Q803" si="799">IF(B803=0,0,IF(YEAR(B803)=$Q$1,MONTH(B803)-$P$1+1,(YEAR(B803)-$Q$1)*12-$P$1+1+MONTH(B803)))</f>
        <v>6</v>
      </c>
      <c r="Q803" s="330">
        <f t="shared" si="799"/>
        <v>1</v>
      </c>
      <c r="R803" s="331" t="str">
        <f t="shared" si="1"/>
        <v>Gastos_Gerais</v>
      </c>
      <c r="S803" s="331" t="str">
        <f>IF(D803="","",IF(OR(D803=Plano!$A$1,D803=Plano!$B$1),"entrada","saída"))</f>
        <v>saída</v>
      </c>
      <c r="T803" s="332" t="s">
        <v>1059</v>
      </c>
      <c r="U803" s="332">
        <v>839</v>
      </c>
      <c r="V803" s="344"/>
    </row>
    <row r="804" spans="1:22" ht="102.75" customHeight="1" x14ac:dyDescent="0.2">
      <c r="A804" s="277">
        <f>IF(B804="","",COUNT('Diário 5º PA'!$A$5:$A$2634)+ROW()-4)</f>
        <v>2111</v>
      </c>
      <c r="B804" s="278">
        <v>44348</v>
      </c>
      <c r="C804" s="259">
        <v>44287</v>
      </c>
      <c r="D804" s="252" t="s">
        <v>104</v>
      </c>
      <c r="E804" s="252" t="s">
        <v>104</v>
      </c>
      <c r="F804" s="257">
        <v>336</v>
      </c>
      <c r="G804" s="252" t="s">
        <v>4760</v>
      </c>
      <c r="H804" s="252" t="s">
        <v>104</v>
      </c>
      <c r="I804" s="252" t="s">
        <v>4761</v>
      </c>
      <c r="J804" s="250" t="s">
        <v>4762</v>
      </c>
      <c r="K804" s="255" t="s">
        <v>1015</v>
      </c>
      <c r="L804" s="250" t="s">
        <v>1029</v>
      </c>
      <c r="M804" s="277">
        <v>1159</v>
      </c>
      <c r="N804" s="278">
        <v>44322</v>
      </c>
      <c r="O804" s="329" t="s">
        <v>70</v>
      </c>
      <c r="P804" s="330">
        <f t="shared" ref="P804:Q804" si="800">IF(B804=0,0,IF(YEAR(B804)=$Q$1,MONTH(B804)-$P$1+1,(YEAR(B804)-$Q$1)*12-$P$1+1+MONTH(B804)))</f>
        <v>6</v>
      </c>
      <c r="Q804" s="330">
        <f t="shared" si="800"/>
        <v>4</v>
      </c>
      <c r="R804" s="331" t="str">
        <f t="shared" si="1"/>
        <v>Gastos_custeados_por_captação</v>
      </c>
      <c r="S804" s="331" t="str">
        <f>IF(D804="","",IF(OR(D804=Plano!$A$1,D804=Plano!$B$1),"entrada","saída"))</f>
        <v>saída</v>
      </c>
      <c r="T804" s="332" t="s">
        <v>994</v>
      </c>
      <c r="U804" s="332">
        <v>1490</v>
      </c>
      <c r="V804" s="344"/>
    </row>
    <row r="805" spans="1:22" ht="93" customHeight="1" x14ac:dyDescent="0.2">
      <c r="A805" s="277">
        <f>IF(B805="","",COUNT('Diário 5º PA'!$A$5:$A$2634)+ROW()-4)</f>
        <v>2112</v>
      </c>
      <c r="B805" s="278">
        <v>44349</v>
      </c>
      <c r="C805" s="259">
        <v>44317</v>
      </c>
      <c r="D805" s="255" t="s">
        <v>99</v>
      </c>
      <c r="E805" s="255" t="s">
        <v>262</v>
      </c>
      <c r="F805" s="257">
        <v>-1743.06</v>
      </c>
      <c r="G805" s="252" t="s">
        <v>4763</v>
      </c>
      <c r="H805" s="255" t="s">
        <v>115</v>
      </c>
      <c r="I805" s="250" t="s">
        <v>983</v>
      </c>
      <c r="J805" s="255" t="s">
        <v>850</v>
      </c>
      <c r="K805" s="255" t="s">
        <v>1069</v>
      </c>
      <c r="L805" s="250" t="s">
        <v>947</v>
      </c>
      <c r="M805" s="277" t="s">
        <v>114</v>
      </c>
      <c r="N805" s="278">
        <v>44349</v>
      </c>
      <c r="O805" s="329" t="s">
        <v>67</v>
      </c>
      <c r="P805" s="330">
        <f t="shared" ref="P805:Q805" si="801">IF(B805=0,0,IF(YEAR(B805)=$Q$1,MONTH(B805)-$P$1+1,(YEAR(B805)-$Q$1)*12-$P$1+1+MONTH(B805)))</f>
        <v>6</v>
      </c>
      <c r="Q805" s="330">
        <f t="shared" si="801"/>
        <v>5</v>
      </c>
      <c r="R805" s="331" t="str">
        <f t="shared" si="1"/>
        <v>Gastos_Gerais</v>
      </c>
      <c r="S805" s="331" t="str">
        <f>IF(D805="","",IF(OR(D805=Plano!$A$1,D805=Plano!$B$1),"entrada","saída"))</f>
        <v>saída</v>
      </c>
      <c r="T805" s="332" t="s">
        <v>114</v>
      </c>
      <c r="U805" s="332" t="s">
        <v>114</v>
      </c>
      <c r="V805" s="344"/>
    </row>
    <row r="806" spans="1:22" ht="144" customHeight="1" x14ac:dyDescent="0.2">
      <c r="A806" s="277">
        <f>IF(B806="","",COUNT('Diário 5º PA'!$A$5:$A$2634)+ROW()-4)</f>
        <v>2113</v>
      </c>
      <c r="B806" s="278">
        <v>44349</v>
      </c>
      <c r="C806" s="259">
        <v>44317</v>
      </c>
      <c r="D806" s="252" t="s">
        <v>99</v>
      </c>
      <c r="E806" s="252" t="s">
        <v>336</v>
      </c>
      <c r="F806" s="257">
        <v>2300</v>
      </c>
      <c r="G806" s="252" t="s">
        <v>4388</v>
      </c>
      <c r="H806" s="252" t="s">
        <v>116</v>
      </c>
      <c r="I806" s="252" t="s">
        <v>2609</v>
      </c>
      <c r="J806" s="250" t="s">
        <v>2610</v>
      </c>
      <c r="K806" s="255" t="s">
        <v>1015</v>
      </c>
      <c r="L806" s="250" t="s">
        <v>992</v>
      </c>
      <c r="M806" s="277">
        <v>43</v>
      </c>
      <c r="N806" s="278">
        <v>44349</v>
      </c>
      <c r="O806" s="329" t="s">
        <v>67</v>
      </c>
      <c r="P806" s="330">
        <f t="shared" ref="P806:Q806" si="802">IF(B806=0,0,IF(YEAR(B806)=$Q$1,MONTH(B806)-$P$1+1,(YEAR(B806)-$Q$1)*12-$P$1+1+MONTH(B806)))</f>
        <v>6</v>
      </c>
      <c r="Q806" s="330">
        <f t="shared" si="802"/>
        <v>5</v>
      </c>
      <c r="R806" s="331" t="str">
        <f t="shared" si="1"/>
        <v>Gastos_Gerais</v>
      </c>
      <c r="S806" s="331" t="str">
        <f>IF(D806="","",IF(OR(D806=Plano!$A$1,D806=Plano!$B$1),"entrada","saída"))</f>
        <v>saída</v>
      </c>
      <c r="T806" s="332" t="s">
        <v>1059</v>
      </c>
      <c r="U806" s="332">
        <v>1424</v>
      </c>
      <c r="V806" s="344"/>
    </row>
    <row r="807" spans="1:22" ht="207" customHeight="1" x14ac:dyDescent="0.2">
      <c r="A807" s="277">
        <f>IF(B807="","",COUNT('Diário 5º PA'!$A$5:$A$2634)+ROW()-4)</f>
        <v>2114</v>
      </c>
      <c r="B807" s="278">
        <v>44349</v>
      </c>
      <c r="C807" s="259">
        <v>44287</v>
      </c>
      <c r="D807" s="252" t="s">
        <v>99</v>
      </c>
      <c r="E807" s="252" t="s">
        <v>364</v>
      </c>
      <c r="F807" s="257">
        <v>3216.12</v>
      </c>
      <c r="G807" s="252" t="s">
        <v>4270</v>
      </c>
      <c r="H807" s="252" t="s">
        <v>131</v>
      </c>
      <c r="I807" s="252" t="s">
        <v>4271</v>
      </c>
      <c r="J807" s="250" t="s">
        <v>4272</v>
      </c>
      <c r="K807" s="255" t="s">
        <v>1015</v>
      </c>
      <c r="L807" s="250" t="s">
        <v>1029</v>
      </c>
      <c r="M807" s="277">
        <v>1175</v>
      </c>
      <c r="N807" s="278">
        <v>44348</v>
      </c>
      <c r="O807" s="329" t="s">
        <v>67</v>
      </c>
      <c r="P807" s="330">
        <f t="shared" ref="P807:Q807" si="803">IF(B807=0,0,IF(YEAR(B807)=$Q$1,MONTH(B807)-$P$1+1,(YEAR(B807)-$Q$1)*12-$P$1+1+MONTH(B807)))</f>
        <v>6</v>
      </c>
      <c r="Q807" s="330">
        <f t="shared" si="803"/>
        <v>4</v>
      </c>
      <c r="R807" s="331" t="str">
        <f t="shared" si="1"/>
        <v>Gastos_Gerais</v>
      </c>
      <c r="S807" s="331" t="str">
        <f>IF(D807="","",IF(OR(D807=Plano!$A$1,D807=Plano!$B$1),"entrada","saída"))</f>
        <v>saída</v>
      </c>
      <c r="T807" s="332" t="s">
        <v>994</v>
      </c>
      <c r="U807" s="332">
        <v>1450</v>
      </c>
      <c r="V807" s="344"/>
    </row>
    <row r="808" spans="1:22" ht="139.5" customHeight="1" x14ac:dyDescent="0.2">
      <c r="A808" s="277">
        <f>IF(B808="","",COUNT('Diário 5º PA'!$A$5:$A$2634)+ROW()-4)</f>
        <v>2115</v>
      </c>
      <c r="B808" s="278">
        <v>44349</v>
      </c>
      <c r="C808" s="259">
        <v>44317</v>
      </c>
      <c r="D808" s="252" t="s">
        <v>99</v>
      </c>
      <c r="E808" s="252" t="s">
        <v>336</v>
      </c>
      <c r="F808" s="257">
        <v>2300</v>
      </c>
      <c r="G808" s="252" t="s">
        <v>4388</v>
      </c>
      <c r="H808" s="252" t="s">
        <v>116</v>
      </c>
      <c r="I808" s="252" t="s">
        <v>3708</v>
      </c>
      <c r="J808" s="250" t="s">
        <v>2488</v>
      </c>
      <c r="K808" s="255" t="s">
        <v>1015</v>
      </c>
      <c r="L808" s="250" t="s">
        <v>992</v>
      </c>
      <c r="M808" s="277">
        <v>18</v>
      </c>
      <c r="N808" s="278">
        <v>44348</v>
      </c>
      <c r="O808" s="329" t="s">
        <v>67</v>
      </c>
      <c r="P808" s="330">
        <f t="shared" ref="P808:Q808" si="804">IF(B808=0,0,IF(YEAR(B808)=$Q$1,MONTH(B808)-$P$1+1,(YEAR(B808)-$Q$1)*12-$P$1+1+MONTH(B808)))</f>
        <v>6</v>
      </c>
      <c r="Q808" s="330">
        <f t="shared" si="804"/>
        <v>5</v>
      </c>
      <c r="R808" s="331" t="str">
        <f t="shared" si="1"/>
        <v>Gastos_Gerais</v>
      </c>
      <c r="S808" s="331" t="str">
        <f>IF(D808="","",IF(OR(D808=Plano!$A$1,D808=Plano!$B$1),"entrada","saída"))</f>
        <v>saída</v>
      </c>
      <c r="T808" s="332" t="s">
        <v>1059</v>
      </c>
      <c r="U808" s="332">
        <v>1416</v>
      </c>
      <c r="V808" s="344"/>
    </row>
    <row r="809" spans="1:22" ht="136.5" customHeight="1" x14ac:dyDescent="0.2">
      <c r="A809" s="277">
        <f>IF(B809="","",COUNT('Diário 5º PA'!$A$5:$A$2634)+ROW()-4)</f>
        <v>2116</v>
      </c>
      <c r="B809" s="278">
        <v>44349</v>
      </c>
      <c r="C809" s="259">
        <v>44317</v>
      </c>
      <c r="D809" s="252" t="s">
        <v>99</v>
      </c>
      <c r="E809" s="252" t="s">
        <v>336</v>
      </c>
      <c r="F809" s="257">
        <v>2300</v>
      </c>
      <c r="G809" s="252" t="s">
        <v>4388</v>
      </c>
      <c r="H809" s="252" t="s">
        <v>116</v>
      </c>
      <c r="I809" s="252" t="s">
        <v>3711</v>
      </c>
      <c r="J809" s="250" t="s">
        <v>2617</v>
      </c>
      <c r="K809" s="255" t="s">
        <v>991</v>
      </c>
      <c r="L809" s="250" t="s">
        <v>992</v>
      </c>
      <c r="M809" s="277">
        <v>32</v>
      </c>
      <c r="N809" s="278">
        <v>44348</v>
      </c>
      <c r="O809" s="329" t="s">
        <v>67</v>
      </c>
      <c r="P809" s="330">
        <f t="shared" ref="P809:Q809" si="805">IF(B809=0,0,IF(YEAR(B809)=$Q$1,MONTH(B809)-$P$1+1,(YEAR(B809)-$Q$1)*12-$P$1+1+MONTH(B809)))</f>
        <v>6</v>
      </c>
      <c r="Q809" s="330">
        <f t="shared" si="805"/>
        <v>5</v>
      </c>
      <c r="R809" s="331" t="str">
        <f t="shared" si="1"/>
        <v>Gastos_Gerais</v>
      </c>
      <c r="S809" s="331" t="str">
        <f>IF(D809="","",IF(OR(D809=Plano!$A$1,D809=Plano!$B$1),"entrada","saída"))</f>
        <v>saída</v>
      </c>
      <c r="T809" s="332" t="s">
        <v>1059</v>
      </c>
      <c r="U809" s="332">
        <v>1417</v>
      </c>
      <c r="V809" s="344"/>
    </row>
    <row r="810" spans="1:22" ht="124.5" customHeight="1" x14ac:dyDescent="0.2">
      <c r="A810" s="277">
        <f>IF(B810="","",COUNT('Diário 5º PA'!$A$5:$A$2634)+ROW()-4)</f>
        <v>2117</v>
      </c>
      <c r="B810" s="278">
        <v>44349</v>
      </c>
      <c r="C810" s="259">
        <v>44317</v>
      </c>
      <c r="D810" s="252" t="s">
        <v>99</v>
      </c>
      <c r="E810" s="252" t="s">
        <v>336</v>
      </c>
      <c r="F810" s="257">
        <v>2300</v>
      </c>
      <c r="G810" s="252" t="s">
        <v>4388</v>
      </c>
      <c r="H810" s="252" t="s">
        <v>116</v>
      </c>
      <c r="I810" s="252" t="s">
        <v>4119</v>
      </c>
      <c r="J810" s="250" t="s">
        <v>2496</v>
      </c>
      <c r="K810" s="255" t="s">
        <v>991</v>
      </c>
      <c r="L810" s="250" t="s">
        <v>992</v>
      </c>
      <c r="M810" s="277">
        <v>65</v>
      </c>
      <c r="N810" s="278">
        <v>44348</v>
      </c>
      <c r="O810" s="329" t="s">
        <v>67</v>
      </c>
      <c r="P810" s="330">
        <f t="shared" ref="P810:Q810" si="806">IF(B810=0,0,IF(YEAR(B810)=$Q$1,MONTH(B810)-$P$1+1,(YEAR(B810)-$Q$1)*12-$P$1+1+MONTH(B810)))</f>
        <v>6</v>
      </c>
      <c r="Q810" s="330">
        <f t="shared" si="806"/>
        <v>5</v>
      </c>
      <c r="R810" s="331" t="str">
        <f t="shared" si="1"/>
        <v>Gastos_Gerais</v>
      </c>
      <c r="S810" s="331" t="str">
        <f>IF(D810="","",IF(OR(D810=Plano!$A$1,D810=Plano!$B$1),"entrada","saída"))</f>
        <v>saída</v>
      </c>
      <c r="T810" s="332" t="s">
        <v>1059</v>
      </c>
      <c r="U810" s="332">
        <v>1406</v>
      </c>
      <c r="V810" s="344"/>
    </row>
    <row r="811" spans="1:22" ht="122.25" customHeight="1" x14ac:dyDescent="0.2">
      <c r="A811" s="277">
        <f>IF(B811="","",COUNT('Diário 5º PA'!$A$5:$A$2634)+ROW()-4)</f>
        <v>2118</v>
      </c>
      <c r="B811" s="278">
        <v>44349</v>
      </c>
      <c r="C811" s="259">
        <v>44317</v>
      </c>
      <c r="D811" s="252" t="s">
        <v>99</v>
      </c>
      <c r="E811" s="252" t="s">
        <v>370</v>
      </c>
      <c r="F811" s="257">
        <v>1344</v>
      </c>
      <c r="G811" s="252" t="s">
        <v>4764</v>
      </c>
      <c r="H811" s="252" t="s">
        <v>118</v>
      </c>
      <c r="I811" s="250" t="s">
        <v>1535</v>
      </c>
      <c r="J811" s="250" t="s">
        <v>1536</v>
      </c>
      <c r="K811" s="255" t="s">
        <v>991</v>
      </c>
      <c r="L811" s="250" t="s">
        <v>1029</v>
      </c>
      <c r="M811" s="277">
        <v>1173</v>
      </c>
      <c r="N811" s="278">
        <v>44348</v>
      </c>
      <c r="O811" s="329" t="s">
        <v>67</v>
      </c>
      <c r="P811" s="330">
        <f t="shared" ref="P811:Q811" si="807">IF(B811=0,0,IF(YEAR(B811)=$Q$1,MONTH(B811)-$P$1+1,(YEAR(B811)-$Q$1)*12-$P$1+1+MONTH(B811)))</f>
        <v>6</v>
      </c>
      <c r="Q811" s="330">
        <f t="shared" si="807"/>
        <v>5</v>
      </c>
      <c r="R811" s="331" t="str">
        <f t="shared" si="1"/>
        <v>Gastos_Gerais</v>
      </c>
      <c r="S811" s="331" t="str">
        <f>IF(D811="","",IF(OR(D811=Plano!$A$1,D811=Plano!$B$1),"entrada","saída"))</f>
        <v>saída</v>
      </c>
      <c r="T811" s="332" t="s">
        <v>994</v>
      </c>
      <c r="U811" s="332">
        <v>1563</v>
      </c>
      <c r="V811" s="344"/>
    </row>
    <row r="812" spans="1:22" ht="134.25" customHeight="1" x14ac:dyDescent="0.2">
      <c r="A812" s="277">
        <f>IF(B812="","",COUNT('Diário 5º PA'!$A$5:$A$2634)+ROW()-4)</f>
        <v>2119</v>
      </c>
      <c r="B812" s="278">
        <v>44349</v>
      </c>
      <c r="C812" s="259">
        <v>44317</v>
      </c>
      <c r="D812" s="252" t="s">
        <v>99</v>
      </c>
      <c r="E812" s="252" t="s">
        <v>358</v>
      </c>
      <c r="F812" s="257">
        <v>516</v>
      </c>
      <c r="G812" s="252" t="s">
        <v>4765</v>
      </c>
      <c r="H812" s="252" t="s">
        <v>122</v>
      </c>
      <c r="I812" s="252" t="s">
        <v>4611</v>
      </c>
      <c r="J812" s="250" t="s">
        <v>4612</v>
      </c>
      <c r="K812" s="255" t="s">
        <v>991</v>
      </c>
      <c r="L812" s="250" t="s">
        <v>1029</v>
      </c>
      <c r="M812" s="277">
        <v>1179</v>
      </c>
      <c r="N812" s="278">
        <v>44349</v>
      </c>
      <c r="O812" s="329" t="s">
        <v>67</v>
      </c>
      <c r="P812" s="330">
        <f t="shared" ref="P812:Q812" si="808">IF(B812=0,0,IF(YEAR(B812)=$Q$1,MONTH(B812)-$P$1+1,(YEAR(B812)-$Q$1)*12-$P$1+1+MONTH(B812)))</f>
        <v>6</v>
      </c>
      <c r="Q812" s="330">
        <f t="shared" si="808"/>
        <v>5</v>
      </c>
      <c r="R812" s="331" t="str">
        <f t="shared" si="1"/>
        <v>Gastos_Gerais</v>
      </c>
      <c r="S812" s="331" t="str">
        <f>IF(D812="","",IF(OR(D812=Plano!$A$1,D812=Plano!$B$1),"entrada","saída"))</f>
        <v>saída</v>
      </c>
      <c r="T812" s="332" t="s">
        <v>994</v>
      </c>
      <c r="U812" s="332">
        <v>1535</v>
      </c>
      <c r="V812" s="344"/>
    </row>
    <row r="813" spans="1:22" ht="188.25" customHeight="1" x14ac:dyDescent="0.2">
      <c r="A813" s="277">
        <f>IF(B813="","",COUNT('Diário 5º PA'!$A$5:$A$2634)+ROW()-4)</f>
        <v>2120</v>
      </c>
      <c r="B813" s="278">
        <v>44349</v>
      </c>
      <c r="C813" s="259">
        <v>44317</v>
      </c>
      <c r="D813" s="252" t="s">
        <v>99</v>
      </c>
      <c r="E813" s="252" t="s">
        <v>336</v>
      </c>
      <c r="F813" s="257">
        <v>3783.78</v>
      </c>
      <c r="G813" s="252" t="s">
        <v>4766</v>
      </c>
      <c r="H813" s="252" t="s">
        <v>116</v>
      </c>
      <c r="I813" s="252" t="s">
        <v>4117</v>
      </c>
      <c r="J813" s="250" t="s">
        <v>929</v>
      </c>
      <c r="K813" s="255" t="s">
        <v>991</v>
      </c>
      <c r="L813" s="250" t="s">
        <v>992</v>
      </c>
      <c r="M813" s="277">
        <v>179</v>
      </c>
      <c r="N813" s="278">
        <v>44348</v>
      </c>
      <c r="O813" s="329" t="s">
        <v>67</v>
      </c>
      <c r="P813" s="330">
        <f t="shared" ref="P813:Q813" si="809">IF(B813=0,0,IF(YEAR(B813)=$Q$1,MONTH(B813)-$P$1+1,(YEAR(B813)-$Q$1)*12-$P$1+1+MONTH(B813)))</f>
        <v>6</v>
      </c>
      <c r="Q813" s="330">
        <f t="shared" si="809"/>
        <v>5</v>
      </c>
      <c r="R813" s="331" t="str">
        <f t="shared" si="1"/>
        <v>Gastos_Gerais</v>
      </c>
      <c r="S813" s="331" t="str">
        <f>IF(D813="","",IF(OR(D813=Plano!$A$1,D813=Plano!$B$1),"entrada","saída"))</f>
        <v>saída</v>
      </c>
      <c r="T813" s="332" t="s">
        <v>1059</v>
      </c>
      <c r="U813" s="332">
        <v>1570</v>
      </c>
      <c r="V813" s="344"/>
    </row>
    <row r="814" spans="1:22" ht="70.5" customHeight="1" x14ac:dyDescent="0.2">
      <c r="A814" s="277">
        <f>IF(B814="","",COUNT('Diário 5º PA'!$A$5:$A$2634)+ROW()-4)</f>
        <v>2121</v>
      </c>
      <c r="B814" s="278">
        <v>44349</v>
      </c>
      <c r="C814" s="259">
        <v>44317</v>
      </c>
      <c r="D814" s="252" t="s">
        <v>99</v>
      </c>
      <c r="E814" s="252" t="s">
        <v>336</v>
      </c>
      <c r="F814" s="257">
        <v>300</v>
      </c>
      <c r="G814" s="252" t="s">
        <v>4767</v>
      </c>
      <c r="H814" s="252" t="s">
        <v>116</v>
      </c>
      <c r="I814" s="250" t="s">
        <v>4768</v>
      </c>
      <c r="J814" s="250" t="s">
        <v>4769</v>
      </c>
      <c r="K814" s="255" t="s">
        <v>991</v>
      </c>
      <c r="L814" s="250" t="s">
        <v>992</v>
      </c>
      <c r="M814" s="277" t="s">
        <v>1443</v>
      </c>
      <c r="N814" s="278">
        <v>44348</v>
      </c>
      <c r="O814" s="329" t="s">
        <v>67</v>
      </c>
      <c r="P814" s="330">
        <f t="shared" ref="P814:Q814" si="810">IF(B814=0,0,IF(YEAR(B814)=$Q$1,MONTH(B814)-$P$1+1,(YEAR(B814)-$Q$1)*12-$P$1+1+MONTH(B814)))</f>
        <v>6</v>
      </c>
      <c r="Q814" s="330">
        <f t="shared" si="810"/>
        <v>5</v>
      </c>
      <c r="R814" s="331" t="str">
        <f t="shared" si="1"/>
        <v>Gastos_Gerais</v>
      </c>
      <c r="S814" s="331" t="str">
        <f>IF(D814="","",IF(OR(D814=Plano!$A$1,D814=Plano!$B$1),"entrada","saída"))</f>
        <v>saída</v>
      </c>
      <c r="T814" s="332" t="s">
        <v>994</v>
      </c>
      <c r="U814" s="332">
        <v>1569</v>
      </c>
      <c r="V814" s="344"/>
    </row>
    <row r="815" spans="1:22" ht="144.75" customHeight="1" x14ac:dyDescent="0.2">
      <c r="A815" s="277">
        <f>IF(B815="","",COUNT('Diário 5º PA'!$A$5:$A$2634)+ROW()-4)</f>
        <v>2122</v>
      </c>
      <c r="B815" s="278">
        <v>44349</v>
      </c>
      <c r="C815" s="259">
        <v>44317</v>
      </c>
      <c r="D815" s="252" t="s">
        <v>99</v>
      </c>
      <c r="E815" s="252" t="s">
        <v>336</v>
      </c>
      <c r="F815" s="257">
        <v>2300</v>
      </c>
      <c r="G815" s="252" t="s">
        <v>4388</v>
      </c>
      <c r="H815" s="252" t="s">
        <v>116</v>
      </c>
      <c r="I815" s="252" t="s">
        <v>3719</v>
      </c>
      <c r="J815" s="250" t="s">
        <v>2643</v>
      </c>
      <c r="K815" s="255" t="s">
        <v>991</v>
      </c>
      <c r="L815" s="250" t="s">
        <v>992</v>
      </c>
      <c r="M815" s="277" t="s">
        <v>1299</v>
      </c>
      <c r="N815" s="278">
        <v>44348</v>
      </c>
      <c r="O815" s="329" t="s">
        <v>67</v>
      </c>
      <c r="P815" s="330">
        <f t="shared" ref="P815:Q815" si="811">IF(B815=0,0,IF(YEAR(B815)=$Q$1,MONTH(B815)-$P$1+1,(YEAR(B815)-$Q$1)*12-$P$1+1+MONTH(B815)))</f>
        <v>6</v>
      </c>
      <c r="Q815" s="330">
        <f t="shared" si="811"/>
        <v>5</v>
      </c>
      <c r="R815" s="331" t="str">
        <f t="shared" si="1"/>
        <v>Gastos_Gerais</v>
      </c>
      <c r="S815" s="331" t="str">
        <f>IF(D815="","",IF(OR(D815=Plano!$A$1,D815=Plano!$B$1),"entrada","saída"))</f>
        <v>saída</v>
      </c>
      <c r="T815" s="332" t="s">
        <v>1059</v>
      </c>
      <c r="U815" s="332">
        <v>1423</v>
      </c>
      <c r="V815" s="344"/>
    </row>
    <row r="816" spans="1:22" ht="123" customHeight="1" x14ac:dyDescent="0.2">
      <c r="A816" s="277">
        <f>IF(B816="","",COUNT('Diário 5º PA'!$A$5:$A$2634)+ROW()-4)</f>
        <v>2123</v>
      </c>
      <c r="B816" s="278">
        <v>44349</v>
      </c>
      <c r="C816" s="259">
        <v>44317</v>
      </c>
      <c r="D816" s="252" t="s">
        <v>99</v>
      </c>
      <c r="E816" s="252" t="s">
        <v>336</v>
      </c>
      <c r="F816" s="257">
        <v>2300</v>
      </c>
      <c r="G816" s="252" t="s">
        <v>4388</v>
      </c>
      <c r="H816" s="252" t="s">
        <v>116</v>
      </c>
      <c r="I816" s="252" t="s">
        <v>2745</v>
      </c>
      <c r="J816" s="250" t="s">
        <v>2746</v>
      </c>
      <c r="K816" s="255" t="s">
        <v>991</v>
      </c>
      <c r="L816" s="250" t="s">
        <v>992</v>
      </c>
      <c r="M816" s="277" t="s">
        <v>1299</v>
      </c>
      <c r="N816" s="278">
        <v>44349</v>
      </c>
      <c r="O816" s="329" t="s">
        <v>67</v>
      </c>
      <c r="P816" s="330">
        <f t="shared" ref="P816:Q816" si="812">IF(B816=0,0,IF(YEAR(B816)=$Q$1,MONTH(B816)-$P$1+1,(YEAR(B816)-$Q$1)*12-$P$1+1+MONTH(B816)))</f>
        <v>6</v>
      </c>
      <c r="Q816" s="330">
        <f t="shared" si="812"/>
        <v>5</v>
      </c>
      <c r="R816" s="331" t="str">
        <f t="shared" si="1"/>
        <v>Gastos_Gerais</v>
      </c>
      <c r="S816" s="331" t="str">
        <f>IF(D816="","",IF(OR(D816=Plano!$A$1,D816=Plano!$B$1),"entrada","saída"))</f>
        <v>saída</v>
      </c>
      <c r="T816" s="332" t="s">
        <v>1059</v>
      </c>
      <c r="U816" s="332">
        <v>1418</v>
      </c>
      <c r="V816" s="344"/>
    </row>
    <row r="817" spans="1:22" ht="127.5" customHeight="1" x14ac:dyDescent="0.2">
      <c r="A817" s="277">
        <f>IF(B817="","",COUNT('Diário 5º PA'!$A$5:$A$2634)+ROW()-4)</f>
        <v>2124</v>
      </c>
      <c r="B817" s="278">
        <v>44349</v>
      </c>
      <c r="C817" s="259">
        <v>44317</v>
      </c>
      <c r="D817" s="252" t="s">
        <v>99</v>
      </c>
      <c r="E817" s="252" t="s">
        <v>336</v>
      </c>
      <c r="F817" s="257">
        <v>2300</v>
      </c>
      <c r="G817" s="252" t="s">
        <v>4388</v>
      </c>
      <c r="H817" s="252" t="s">
        <v>116</v>
      </c>
      <c r="I817" s="252" t="s">
        <v>2640</v>
      </c>
      <c r="J817" s="250" t="s">
        <v>2641</v>
      </c>
      <c r="K817" s="255" t="s">
        <v>991</v>
      </c>
      <c r="L817" s="250" t="s">
        <v>992</v>
      </c>
      <c r="M817" s="277" t="s">
        <v>1299</v>
      </c>
      <c r="N817" s="278">
        <v>44348</v>
      </c>
      <c r="O817" s="329" t="s">
        <v>67</v>
      </c>
      <c r="P817" s="330">
        <f t="shared" ref="P817:Q817" si="813">IF(B817=0,0,IF(YEAR(B817)=$Q$1,MONTH(B817)-$P$1+1,(YEAR(B817)-$Q$1)*12-$P$1+1+MONTH(B817)))</f>
        <v>6</v>
      </c>
      <c r="Q817" s="330">
        <f t="shared" si="813"/>
        <v>5</v>
      </c>
      <c r="R817" s="331" t="str">
        <f t="shared" si="1"/>
        <v>Gastos_Gerais</v>
      </c>
      <c r="S817" s="331" t="str">
        <f>IF(D817="","",IF(OR(D817=Plano!$A$1,D817=Plano!$B$1),"entrada","saída"))</f>
        <v>saída</v>
      </c>
      <c r="T817" s="332" t="s">
        <v>1059</v>
      </c>
      <c r="U817" s="332">
        <v>1419</v>
      </c>
      <c r="V817" s="344"/>
    </row>
    <row r="818" spans="1:22" ht="130.5" customHeight="1" x14ac:dyDescent="0.2">
      <c r="A818" s="277">
        <f>IF(B818="","",COUNT('Diário 5º PA'!$A$5:$A$2634)+ROW()-4)</f>
        <v>2125</v>
      </c>
      <c r="B818" s="278">
        <v>44349</v>
      </c>
      <c r="C818" s="259">
        <v>44317</v>
      </c>
      <c r="D818" s="252" t="s">
        <v>99</v>
      </c>
      <c r="E818" s="252" t="s">
        <v>336</v>
      </c>
      <c r="F818" s="257">
        <v>2300</v>
      </c>
      <c r="G818" s="252" t="s">
        <v>4388</v>
      </c>
      <c r="H818" s="252" t="s">
        <v>116</v>
      </c>
      <c r="I818" s="252" t="s">
        <v>3748</v>
      </c>
      <c r="J818" s="250" t="s">
        <v>2637</v>
      </c>
      <c r="K818" s="255" t="s">
        <v>991</v>
      </c>
      <c r="L818" s="250" t="s">
        <v>992</v>
      </c>
      <c r="M818" s="277" t="s">
        <v>1058</v>
      </c>
      <c r="N818" s="278">
        <v>44348</v>
      </c>
      <c r="O818" s="329" t="s">
        <v>67</v>
      </c>
      <c r="P818" s="330">
        <f t="shared" ref="P818:Q818" si="814">IF(B818=0,0,IF(YEAR(B818)=$Q$1,MONTH(B818)-$P$1+1,(YEAR(B818)-$Q$1)*12-$P$1+1+MONTH(B818)))</f>
        <v>6</v>
      </c>
      <c r="Q818" s="330">
        <f t="shared" si="814"/>
        <v>5</v>
      </c>
      <c r="R818" s="331" t="str">
        <f t="shared" si="1"/>
        <v>Gastos_Gerais</v>
      </c>
      <c r="S818" s="331" t="str">
        <f>IF(D818="","",IF(OR(D818=Plano!$A$1,D818=Plano!$B$1),"entrada","saída"))</f>
        <v>saída</v>
      </c>
      <c r="T818" s="332" t="s">
        <v>1059</v>
      </c>
      <c r="U818" s="332">
        <v>1414</v>
      </c>
      <c r="V818" s="344"/>
    </row>
    <row r="819" spans="1:22" ht="130.5" customHeight="1" x14ac:dyDescent="0.2">
      <c r="A819" s="277">
        <f>IF(B819="","",COUNT('Diário 5º PA'!$A$5:$A$2634)+ROW()-4)</f>
        <v>2126</v>
      </c>
      <c r="B819" s="278">
        <v>44349</v>
      </c>
      <c r="C819" s="259">
        <v>44317</v>
      </c>
      <c r="D819" s="252" t="s">
        <v>99</v>
      </c>
      <c r="E819" s="252" t="s">
        <v>262</v>
      </c>
      <c r="F819" s="257">
        <v>6467.34</v>
      </c>
      <c r="G819" s="252" t="s">
        <v>621</v>
      </c>
      <c r="H819" s="252" t="s">
        <v>115</v>
      </c>
      <c r="I819" s="252" t="s">
        <v>1078</v>
      </c>
      <c r="J819" s="250" t="s">
        <v>623</v>
      </c>
      <c r="K819" s="255" t="s">
        <v>991</v>
      </c>
      <c r="L819" s="250" t="s">
        <v>1016</v>
      </c>
      <c r="M819" s="277" t="s">
        <v>1730</v>
      </c>
      <c r="N819" s="278">
        <v>44348</v>
      </c>
      <c r="O819" s="329" t="s">
        <v>67</v>
      </c>
      <c r="P819" s="330">
        <f t="shared" ref="P819:Q819" si="815">IF(B819=0,0,IF(YEAR(B819)=$Q$1,MONTH(B819)-$P$1+1,(YEAR(B819)-$Q$1)*12-$P$1+1+MONTH(B819)))</f>
        <v>6</v>
      </c>
      <c r="Q819" s="330">
        <f t="shared" si="815"/>
        <v>5</v>
      </c>
      <c r="R819" s="331" t="str">
        <f t="shared" si="1"/>
        <v>Gastos_Gerais</v>
      </c>
      <c r="S819" s="331" t="str">
        <f>IF(D819="","",IF(OR(D819=Plano!$A$1,D819=Plano!$B$1),"entrada","saída"))</f>
        <v>saída</v>
      </c>
      <c r="T819" s="332" t="s">
        <v>1059</v>
      </c>
      <c r="U819" s="332">
        <v>1134</v>
      </c>
      <c r="V819" s="344"/>
    </row>
    <row r="820" spans="1:22" ht="130.5" customHeight="1" x14ac:dyDescent="0.2">
      <c r="A820" s="277">
        <f>IF(B820="","",COUNT('Diário 5º PA'!$A$5:$A$2634)+ROW()-4)</f>
        <v>2127</v>
      </c>
      <c r="B820" s="278">
        <v>44349</v>
      </c>
      <c r="C820" s="259">
        <v>44317</v>
      </c>
      <c r="D820" s="252" t="s">
        <v>99</v>
      </c>
      <c r="E820" s="252" t="s">
        <v>336</v>
      </c>
      <c r="F820" s="257">
        <v>2300</v>
      </c>
      <c r="G820" s="252" t="s">
        <v>4388</v>
      </c>
      <c r="H820" s="252" t="s">
        <v>116</v>
      </c>
      <c r="I820" s="252" t="s">
        <v>3722</v>
      </c>
      <c r="J820" s="250" t="s">
        <v>2632</v>
      </c>
      <c r="K820" s="255" t="s">
        <v>991</v>
      </c>
      <c r="L820" s="250" t="s">
        <v>992</v>
      </c>
      <c r="M820" s="277" t="s">
        <v>1049</v>
      </c>
      <c r="N820" s="278">
        <v>44348</v>
      </c>
      <c r="O820" s="329" t="s">
        <v>67</v>
      </c>
      <c r="P820" s="330">
        <f t="shared" ref="P820:Q820" si="816">IF(B820=0,0,IF(YEAR(B820)=$Q$1,MONTH(B820)-$P$1+1,(YEAR(B820)-$Q$1)*12-$P$1+1+MONTH(B820)))</f>
        <v>6</v>
      </c>
      <c r="Q820" s="330">
        <f t="shared" si="816"/>
        <v>5</v>
      </c>
      <c r="R820" s="331" t="str">
        <f t="shared" si="1"/>
        <v>Gastos_Gerais</v>
      </c>
      <c r="S820" s="331" t="str">
        <f>IF(D820="","",IF(OR(D820=Plano!$A$1,D820=Plano!$B$1),"entrada","saída"))</f>
        <v>saída</v>
      </c>
      <c r="T820" s="332" t="s">
        <v>1059</v>
      </c>
      <c r="U820" s="332">
        <v>1409</v>
      </c>
      <c r="V820" s="344"/>
    </row>
    <row r="821" spans="1:22" ht="131.25" customHeight="1" x14ac:dyDescent="0.2">
      <c r="A821" s="277">
        <f>IF(B821="","",COUNT('Diário 5º PA'!$A$5:$A$2634)+ROW()-4)</f>
        <v>2128</v>
      </c>
      <c r="B821" s="278">
        <v>44349</v>
      </c>
      <c r="C821" s="259">
        <v>44317</v>
      </c>
      <c r="D821" s="252" t="s">
        <v>99</v>
      </c>
      <c r="E821" s="252" t="s">
        <v>336</v>
      </c>
      <c r="F821" s="257">
        <v>2300</v>
      </c>
      <c r="G821" s="252" t="s">
        <v>4388</v>
      </c>
      <c r="H821" s="252" t="s">
        <v>116</v>
      </c>
      <c r="I821" s="252" t="s">
        <v>3718</v>
      </c>
      <c r="J821" s="250" t="s">
        <v>2662</v>
      </c>
      <c r="K821" s="255" t="s">
        <v>991</v>
      </c>
      <c r="L821" s="250" t="s">
        <v>992</v>
      </c>
      <c r="M821" s="277" t="s">
        <v>1296</v>
      </c>
      <c r="N821" s="278">
        <v>44348</v>
      </c>
      <c r="O821" s="329" t="s">
        <v>67</v>
      </c>
      <c r="P821" s="330">
        <f t="shared" ref="P821:Q821" si="817">IF(B821=0,0,IF(YEAR(B821)=$Q$1,MONTH(B821)-$P$1+1,(YEAR(B821)-$Q$1)*12-$P$1+1+MONTH(B821)))</f>
        <v>6</v>
      </c>
      <c r="Q821" s="330">
        <f t="shared" si="817"/>
        <v>5</v>
      </c>
      <c r="R821" s="331" t="str">
        <f t="shared" si="1"/>
        <v>Gastos_Gerais</v>
      </c>
      <c r="S821" s="331" t="str">
        <f>IF(D821="","",IF(OR(D821=Plano!$A$1,D821=Plano!$B$1),"entrada","saída"))</f>
        <v>saída</v>
      </c>
      <c r="T821" s="332" t="s">
        <v>1059</v>
      </c>
      <c r="U821" s="332">
        <v>1422</v>
      </c>
      <c r="V821" s="344"/>
    </row>
    <row r="822" spans="1:22" ht="129.75" customHeight="1" x14ac:dyDescent="0.2">
      <c r="A822" s="277">
        <f>IF(B822="","",COUNT('Diário 5º PA'!$A$5:$A$2634)+ROW()-4)</f>
        <v>2129</v>
      </c>
      <c r="B822" s="278">
        <v>44349</v>
      </c>
      <c r="C822" s="259">
        <v>44317</v>
      </c>
      <c r="D822" s="252" t="s">
        <v>99</v>
      </c>
      <c r="E822" s="252" t="s">
        <v>336</v>
      </c>
      <c r="F822" s="257">
        <v>2300</v>
      </c>
      <c r="G822" s="252" t="s">
        <v>4388</v>
      </c>
      <c r="H822" s="252" t="s">
        <v>116</v>
      </c>
      <c r="I822" s="252" t="s">
        <v>3723</v>
      </c>
      <c r="J822" s="250" t="s">
        <v>2634</v>
      </c>
      <c r="K822" s="255" t="s">
        <v>991</v>
      </c>
      <c r="L822" s="250" t="s">
        <v>992</v>
      </c>
      <c r="M822" s="277" t="s">
        <v>1061</v>
      </c>
      <c r="N822" s="278">
        <v>44348</v>
      </c>
      <c r="O822" s="329" t="s">
        <v>67</v>
      </c>
      <c r="P822" s="330">
        <f t="shared" ref="P822:Q822" si="818">IF(B822=0,0,IF(YEAR(B822)=$Q$1,MONTH(B822)-$P$1+1,(YEAR(B822)-$Q$1)*12-$P$1+1+MONTH(B822)))</f>
        <v>6</v>
      </c>
      <c r="Q822" s="330">
        <f t="shared" si="818"/>
        <v>5</v>
      </c>
      <c r="R822" s="331" t="str">
        <f t="shared" si="1"/>
        <v>Gastos_Gerais</v>
      </c>
      <c r="S822" s="331" t="str">
        <f>IF(D822="","",IF(OR(D822=Plano!$A$1,D822=Plano!$B$1),"entrada","saída"))</f>
        <v>saída</v>
      </c>
      <c r="T822" s="332" t="s">
        <v>1059</v>
      </c>
      <c r="U822" s="332">
        <v>1410</v>
      </c>
      <c r="V822" s="344"/>
    </row>
    <row r="823" spans="1:22" ht="47.25" customHeight="1" x14ac:dyDescent="0.2">
      <c r="A823" s="277">
        <f>IF(B823="","",COUNT('Diário 5º PA'!$A$5:$A$2634)+ROW()-4)</f>
        <v>2130</v>
      </c>
      <c r="B823" s="278">
        <v>44349</v>
      </c>
      <c r="C823" s="256">
        <v>44348</v>
      </c>
      <c r="D823" s="255" t="s">
        <v>99</v>
      </c>
      <c r="E823" s="255" t="s">
        <v>272</v>
      </c>
      <c r="F823" s="258">
        <v>10.45</v>
      </c>
      <c r="G823" s="255" t="s">
        <v>4770</v>
      </c>
      <c r="H823" s="252" t="s">
        <v>116</v>
      </c>
      <c r="I823" s="250" t="s">
        <v>949</v>
      </c>
      <c r="J823" s="255" t="s">
        <v>950</v>
      </c>
      <c r="K823" s="255" t="s">
        <v>951</v>
      </c>
      <c r="L823" s="250" t="s">
        <v>947</v>
      </c>
      <c r="M823" s="336" t="s">
        <v>114</v>
      </c>
      <c r="N823" s="278">
        <v>44349</v>
      </c>
      <c r="O823" s="329" t="s">
        <v>67</v>
      </c>
      <c r="P823" s="330">
        <f t="shared" ref="P823:Q823" si="819">IF(B823=0,0,IF(YEAR(B823)=$Q$1,MONTH(B823)-$P$1+1,(YEAR(B823)-$Q$1)*12-$P$1+1+MONTH(B823)))</f>
        <v>6</v>
      </c>
      <c r="Q823" s="330">
        <f t="shared" si="819"/>
        <v>6</v>
      </c>
      <c r="R823" s="331" t="str">
        <f t="shared" si="1"/>
        <v>Gastos_Gerais</v>
      </c>
      <c r="S823" s="331" t="str">
        <f>IF(D823="","",IF(OR(D823=Plano!$A$1,D823=Plano!$B$1),"entrada","saída"))</f>
        <v>saída</v>
      </c>
      <c r="T823" s="332" t="s">
        <v>114</v>
      </c>
      <c r="U823" s="332" t="s">
        <v>114</v>
      </c>
      <c r="V823" s="344"/>
    </row>
    <row r="824" spans="1:22" ht="38.25" customHeight="1" x14ac:dyDescent="0.2">
      <c r="A824" s="277">
        <f>IF(B824="","",COUNT('Diário 5º PA'!$A$5:$A$2634)+ROW()-4)</f>
        <v>2131</v>
      </c>
      <c r="B824" s="278">
        <v>44349</v>
      </c>
      <c r="C824" s="256">
        <v>44348</v>
      </c>
      <c r="D824" s="255" t="s">
        <v>99</v>
      </c>
      <c r="E824" s="255" t="s">
        <v>272</v>
      </c>
      <c r="F824" s="258">
        <v>10.45</v>
      </c>
      <c r="G824" s="255" t="s">
        <v>4771</v>
      </c>
      <c r="H824" s="252" t="s">
        <v>116</v>
      </c>
      <c r="I824" s="250" t="s">
        <v>949</v>
      </c>
      <c r="J824" s="255" t="s">
        <v>950</v>
      </c>
      <c r="K824" s="255" t="s">
        <v>951</v>
      </c>
      <c r="L824" s="250" t="s">
        <v>947</v>
      </c>
      <c r="M824" s="336" t="s">
        <v>114</v>
      </c>
      <c r="N824" s="278">
        <v>44349</v>
      </c>
      <c r="O824" s="329" t="s">
        <v>67</v>
      </c>
      <c r="P824" s="330">
        <f t="shared" ref="P824:Q824" si="820">IF(B824=0,0,IF(YEAR(B824)=$Q$1,MONTH(B824)-$P$1+1,(YEAR(B824)-$Q$1)*12-$P$1+1+MONTH(B824)))</f>
        <v>6</v>
      </c>
      <c r="Q824" s="330">
        <f t="shared" si="820"/>
        <v>6</v>
      </c>
      <c r="R824" s="331" t="str">
        <f t="shared" si="1"/>
        <v>Gastos_Gerais</v>
      </c>
      <c r="S824" s="331" t="str">
        <f>IF(D824="","",IF(OR(D824=Plano!$A$1,D824=Plano!$B$1),"entrada","saída"))</f>
        <v>saída</v>
      </c>
      <c r="T824" s="332" t="s">
        <v>114</v>
      </c>
      <c r="U824" s="332" t="s">
        <v>114</v>
      </c>
      <c r="V824" s="344"/>
    </row>
    <row r="825" spans="1:22" ht="42.75" customHeight="1" x14ac:dyDescent="0.2">
      <c r="A825" s="277">
        <f>IF(B825="","",COUNT('Diário 5º PA'!$A$5:$A$2634)+ROW()-4)</f>
        <v>2132</v>
      </c>
      <c r="B825" s="278">
        <v>44349</v>
      </c>
      <c r="C825" s="256">
        <v>44348</v>
      </c>
      <c r="D825" s="255" t="s">
        <v>99</v>
      </c>
      <c r="E825" s="255" t="s">
        <v>272</v>
      </c>
      <c r="F825" s="258">
        <v>10.45</v>
      </c>
      <c r="G825" s="255" t="s">
        <v>4772</v>
      </c>
      <c r="H825" s="252" t="s">
        <v>118</v>
      </c>
      <c r="I825" s="250" t="s">
        <v>949</v>
      </c>
      <c r="J825" s="255" t="s">
        <v>950</v>
      </c>
      <c r="K825" s="255" t="s">
        <v>951</v>
      </c>
      <c r="L825" s="250" t="s">
        <v>947</v>
      </c>
      <c r="M825" s="336" t="s">
        <v>114</v>
      </c>
      <c r="N825" s="278">
        <v>44349</v>
      </c>
      <c r="O825" s="329" t="s">
        <v>67</v>
      </c>
      <c r="P825" s="330">
        <f t="shared" ref="P825:Q825" si="821">IF(B825=0,0,IF(YEAR(B825)=$Q$1,MONTH(B825)-$P$1+1,(YEAR(B825)-$Q$1)*12-$P$1+1+MONTH(B825)))</f>
        <v>6</v>
      </c>
      <c r="Q825" s="330">
        <f t="shared" si="821"/>
        <v>6</v>
      </c>
      <c r="R825" s="331" t="str">
        <f t="shared" si="1"/>
        <v>Gastos_Gerais</v>
      </c>
      <c r="S825" s="331" t="str">
        <f>IF(D825="","",IF(OR(D825=Plano!$A$1,D825=Plano!$B$1),"entrada","saída"))</f>
        <v>saída</v>
      </c>
      <c r="T825" s="332" t="s">
        <v>114</v>
      </c>
      <c r="U825" s="332" t="s">
        <v>114</v>
      </c>
      <c r="V825" s="344"/>
    </row>
    <row r="826" spans="1:22" ht="47.25" customHeight="1" x14ac:dyDescent="0.2">
      <c r="A826" s="277">
        <f>IF(B826="","",COUNT('Diário 5º PA'!$A$5:$A$2634)+ROW()-4)</f>
        <v>2133</v>
      </c>
      <c r="B826" s="278">
        <v>44349</v>
      </c>
      <c r="C826" s="256">
        <v>44348</v>
      </c>
      <c r="D826" s="255" t="s">
        <v>99</v>
      </c>
      <c r="E826" s="255" t="s">
        <v>272</v>
      </c>
      <c r="F826" s="258">
        <v>10.45</v>
      </c>
      <c r="G826" s="255" t="s">
        <v>4773</v>
      </c>
      <c r="H826" s="252" t="s">
        <v>122</v>
      </c>
      <c r="I826" s="250" t="s">
        <v>949</v>
      </c>
      <c r="J826" s="255" t="s">
        <v>950</v>
      </c>
      <c r="K826" s="255" t="s">
        <v>951</v>
      </c>
      <c r="L826" s="250" t="s">
        <v>947</v>
      </c>
      <c r="M826" s="336" t="s">
        <v>114</v>
      </c>
      <c r="N826" s="278">
        <v>44349</v>
      </c>
      <c r="O826" s="329" t="s">
        <v>67</v>
      </c>
      <c r="P826" s="330">
        <f t="shared" ref="P826:Q826" si="822">IF(B826=0,0,IF(YEAR(B826)=$Q$1,MONTH(B826)-$P$1+1,(YEAR(B826)-$Q$1)*12-$P$1+1+MONTH(B826)))</f>
        <v>6</v>
      </c>
      <c r="Q826" s="330">
        <f t="shared" si="822"/>
        <v>6</v>
      </c>
      <c r="R826" s="331" t="str">
        <f t="shared" si="1"/>
        <v>Gastos_Gerais</v>
      </c>
      <c r="S826" s="331" t="str">
        <f>IF(D826="","",IF(OR(D826=Plano!$A$1,D826=Plano!$B$1),"entrada","saída"))</f>
        <v>saída</v>
      </c>
      <c r="T826" s="332" t="s">
        <v>114</v>
      </c>
      <c r="U826" s="332" t="s">
        <v>114</v>
      </c>
      <c r="V826" s="344"/>
    </row>
    <row r="827" spans="1:22" ht="44.25" customHeight="1" x14ac:dyDescent="0.2">
      <c r="A827" s="277">
        <f>IF(B827="","",COUNT('Diário 5º PA'!$A$5:$A$2634)+ROW()-4)</f>
        <v>2134</v>
      </c>
      <c r="B827" s="278">
        <v>44349</v>
      </c>
      <c r="C827" s="256">
        <v>44348</v>
      </c>
      <c r="D827" s="255" t="s">
        <v>99</v>
      </c>
      <c r="E827" s="255" t="s">
        <v>272</v>
      </c>
      <c r="F827" s="258">
        <v>10.45</v>
      </c>
      <c r="G827" s="255" t="s">
        <v>4774</v>
      </c>
      <c r="H827" s="252" t="s">
        <v>116</v>
      </c>
      <c r="I827" s="250" t="s">
        <v>949</v>
      </c>
      <c r="J827" s="255" t="s">
        <v>950</v>
      </c>
      <c r="K827" s="255" t="s">
        <v>951</v>
      </c>
      <c r="L827" s="250" t="s">
        <v>947</v>
      </c>
      <c r="M827" s="336" t="s">
        <v>114</v>
      </c>
      <c r="N827" s="278">
        <v>44349</v>
      </c>
      <c r="O827" s="329" t="s">
        <v>67</v>
      </c>
      <c r="P827" s="330">
        <f t="shared" ref="P827:Q827" si="823">IF(B827=0,0,IF(YEAR(B827)=$Q$1,MONTH(B827)-$P$1+1,(YEAR(B827)-$Q$1)*12-$P$1+1+MONTH(B827)))</f>
        <v>6</v>
      </c>
      <c r="Q827" s="330">
        <f t="shared" si="823"/>
        <v>6</v>
      </c>
      <c r="R827" s="331" t="str">
        <f t="shared" si="1"/>
        <v>Gastos_Gerais</v>
      </c>
      <c r="S827" s="331" t="str">
        <f>IF(D827="","",IF(OR(D827=Plano!$A$1,D827=Plano!$B$1),"entrada","saída"))</f>
        <v>saída</v>
      </c>
      <c r="T827" s="332" t="s">
        <v>114</v>
      </c>
      <c r="U827" s="332" t="s">
        <v>114</v>
      </c>
      <c r="V827" s="344"/>
    </row>
    <row r="828" spans="1:22" ht="48.75" customHeight="1" x14ac:dyDescent="0.2">
      <c r="A828" s="277">
        <f>IF(B828="","",COUNT('Diário 5º PA'!$A$5:$A$2634)+ROW()-4)</f>
        <v>2135</v>
      </c>
      <c r="B828" s="278">
        <v>44349</v>
      </c>
      <c r="C828" s="256">
        <v>44348</v>
      </c>
      <c r="D828" s="255" t="s">
        <v>99</v>
      </c>
      <c r="E828" s="255" t="s">
        <v>272</v>
      </c>
      <c r="F828" s="258">
        <v>10.45</v>
      </c>
      <c r="G828" s="255" t="s">
        <v>4775</v>
      </c>
      <c r="H828" s="252" t="s">
        <v>116</v>
      </c>
      <c r="I828" s="250" t="s">
        <v>949</v>
      </c>
      <c r="J828" s="255" t="s">
        <v>950</v>
      </c>
      <c r="K828" s="255" t="s">
        <v>951</v>
      </c>
      <c r="L828" s="250" t="s">
        <v>947</v>
      </c>
      <c r="M828" s="336" t="s">
        <v>114</v>
      </c>
      <c r="N828" s="278">
        <v>44349</v>
      </c>
      <c r="O828" s="329" t="s">
        <v>67</v>
      </c>
      <c r="P828" s="330">
        <f t="shared" ref="P828:Q828" si="824">IF(B828=0,0,IF(YEAR(B828)=$Q$1,MONTH(B828)-$P$1+1,(YEAR(B828)-$Q$1)*12-$P$1+1+MONTH(B828)))</f>
        <v>6</v>
      </c>
      <c r="Q828" s="330">
        <f t="shared" si="824"/>
        <v>6</v>
      </c>
      <c r="R828" s="331" t="str">
        <f t="shared" si="1"/>
        <v>Gastos_Gerais</v>
      </c>
      <c r="S828" s="331" t="str">
        <f>IF(D828="","",IF(OR(D828=Plano!$A$1,D828=Plano!$B$1),"entrada","saída"))</f>
        <v>saída</v>
      </c>
      <c r="T828" s="332" t="s">
        <v>114</v>
      </c>
      <c r="U828" s="332" t="s">
        <v>114</v>
      </c>
      <c r="V828" s="344"/>
    </row>
    <row r="829" spans="1:22" ht="42" customHeight="1" x14ac:dyDescent="0.2">
      <c r="A829" s="277">
        <f>IF(B829="","",COUNT('Diário 5º PA'!$A$5:$A$2634)+ROW()-4)</f>
        <v>2136</v>
      </c>
      <c r="B829" s="278">
        <v>44349</v>
      </c>
      <c r="C829" s="256">
        <v>44348</v>
      </c>
      <c r="D829" s="255" t="s">
        <v>99</v>
      </c>
      <c r="E829" s="255" t="s">
        <v>272</v>
      </c>
      <c r="F829" s="258">
        <v>10.45</v>
      </c>
      <c r="G829" s="255" t="s">
        <v>4776</v>
      </c>
      <c r="H829" s="252" t="s">
        <v>116</v>
      </c>
      <c r="I829" s="250" t="s">
        <v>949</v>
      </c>
      <c r="J829" s="255" t="s">
        <v>950</v>
      </c>
      <c r="K829" s="255" t="s">
        <v>951</v>
      </c>
      <c r="L829" s="250" t="s">
        <v>947</v>
      </c>
      <c r="M829" s="336" t="s">
        <v>114</v>
      </c>
      <c r="N829" s="278">
        <v>44349</v>
      </c>
      <c r="O829" s="329" t="s">
        <v>67</v>
      </c>
      <c r="P829" s="330">
        <f t="shared" ref="P829:Q829" si="825">IF(B829=0,0,IF(YEAR(B829)=$Q$1,MONTH(B829)-$P$1+1,(YEAR(B829)-$Q$1)*12-$P$1+1+MONTH(B829)))</f>
        <v>6</v>
      </c>
      <c r="Q829" s="330">
        <f t="shared" si="825"/>
        <v>6</v>
      </c>
      <c r="R829" s="331" t="str">
        <f t="shared" si="1"/>
        <v>Gastos_Gerais</v>
      </c>
      <c r="S829" s="331" t="str">
        <f>IF(D829="","",IF(OR(D829=Plano!$A$1,D829=Plano!$B$1),"entrada","saída"))</f>
        <v>saída</v>
      </c>
      <c r="T829" s="332" t="s">
        <v>114</v>
      </c>
      <c r="U829" s="332" t="s">
        <v>114</v>
      </c>
      <c r="V829" s="344"/>
    </row>
    <row r="830" spans="1:22" ht="39" customHeight="1" x14ac:dyDescent="0.2">
      <c r="A830" s="277">
        <f>IF(B830="","",COUNT('Diário 5º PA'!$A$5:$A$2634)+ROW()-4)</f>
        <v>2137</v>
      </c>
      <c r="B830" s="278">
        <v>44349</v>
      </c>
      <c r="C830" s="256">
        <v>44348</v>
      </c>
      <c r="D830" s="255" t="s">
        <v>99</v>
      </c>
      <c r="E830" s="255" t="s">
        <v>272</v>
      </c>
      <c r="F830" s="258">
        <v>10.45</v>
      </c>
      <c r="G830" s="255" t="s">
        <v>4777</v>
      </c>
      <c r="H830" s="252" t="s">
        <v>116</v>
      </c>
      <c r="I830" s="250" t="s">
        <v>949</v>
      </c>
      <c r="J830" s="255" t="s">
        <v>950</v>
      </c>
      <c r="K830" s="255" t="s">
        <v>951</v>
      </c>
      <c r="L830" s="250" t="s">
        <v>947</v>
      </c>
      <c r="M830" s="336" t="s">
        <v>114</v>
      </c>
      <c r="N830" s="278">
        <v>44349</v>
      </c>
      <c r="O830" s="329" t="s">
        <v>67</v>
      </c>
      <c r="P830" s="330">
        <f t="shared" ref="P830:Q830" si="826">IF(B830=0,0,IF(YEAR(B830)=$Q$1,MONTH(B830)-$P$1+1,(YEAR(B830)-$Q$1)*12-$P$1+1+MONTH(B830)))</f>
        <v>6</v>
      </c>
      <c r="Q830" s="330">
        <f t="shared" si="826"/>
        <v>6</v>
      </c>
      <c r="R830" s="331" t="str">
        <f t="shared" si="1"/>
        <v>Gastos_Gerais</v>
      </c>
      <c r="S830" s="331" t="str">
        <f>IF(D830="","",IF(OR(D830=Plano!$A$1,D830=Plano!$B$1),"entrada","saída"))</f>
        <v>saída</v>
      </c>
      <c r="T830" s="332" t="s">
        <v>114</v>
      </c>
      <c r="U830" s="332" t="s">
        <v>114</v>
      </c>
      <c r="V830" s="344"/>
    </row>
    <row r="831" spans="1:22" ht="61.5" customHeight="1" x14ac:dyDescent="0.2">
      <c r="A831" s="277">
        <f>IF(B831="","",COUNT('Diário 5º PA'!$A$5:$A$2634)+ROW()-4)</f>
        <v>2138</v>
      </c>
      <c r="B831" s="278">
        <v>44349</v>
      </c>
      <c r="C831" s="256">
        <v>44348</v>
      </c>
      <c r="D831" s="255" t="s">
        <v>99</v>
      </c>
      <c r="E831" s="255" t="s">
        <v>272</v>
      </c>
      <c r="F831" s="258">
        <v>10.45</v>
      </c>
      <c r="G831" s="255" t="s">
        <v>4778</v>
      </c>
      <c r="H831" s="252" t="s">
        <v>116</v>
      </c>
      <c r="I831" s="250" t="s">
        <v>949</v>
      </c>
      <c r="J831" s="255" t="s">
        <v>950</v>
      </c>
      <c r="K831" s="255" t="s">
        <v>951</v>
      </c>
      <c r="L831" s="250" t="s">
        <v>947</v>
      </c>
      <c r="M831" s="336" t="s">
        <v>114</v>
      </c>
      <c r="N831" s="278">
        <v>44349</v>
      </c>
      <c r="O831" s="329" t="s">
        <v>67</v>
      </c>
      <c r="P831" s="330">
        <f t="shared" ref="P831:Q831" si="827">IF(B831=0,0,IF(YEAR(B831)=$Q$1,MONTH(B831)-$P$1+1,(YEAR(B831)-$Q$1)*12-$P$1+1+MONTH(B831)))</f>
        <v>6</v>
      </c>
      <c r="Q831" s="330">
        <f t="shared" si="827"/>
        <v>6</v>
      </c>
      <c r="R831" s="331" t="str">
        <f t="shared" si="1"/>
        <v>Gastos_Gerais</v>
      </c>
      <c r="S831" s="331" t="str">
        <f>IF(D831="","",IF(OR(D831=Plano!$A$1,D831=Plano!$B$1),"entrada","saída"))</f>
        <v>saída</v>
      </c>
      <c r="T831" s="332" t="s">
        <v>114</v>
      </c>
      <c r="U831" s="332" t="s">
        <v>114</v>
      </c>
      <c r="V831" s="344"/>
    </row>
    <row r="832" spans="1:22" ht="63.75" customHeight="1" x14ac:dyDescent="0.2">
      <c r="A832" s="277">
        <f>IF(B832="","",COUNT('Diário 5º PA'!$A$5:$A$2634)+ROW()-4)</f>
        <v>2139</v>
      </c>
      <c r="B832" s="278">
        <v>44349</v>
      </c>
      <c r="C832" s="256">
        <v>44348</v>
      </c>
      <c r="D832" s="255" t="s">
        <v>99</v>
      </c>
      <c r="E832" s="255" t="s">
        <v>272</v>
      </c>
      <c r="F832" s="258">
        <v>10.45</v>
      </c>
      <c r="G832" s="255" t="s">
        <v>4779</v>
      </c>
      <c r="H832" s="252" t="s">
        <v>116</v>
      </c>
      <c r="I832" s="250" t="s">
        <v>949</v>
      </c>
      <c r="J832" s="255" t="s">
        <v>950</v>
      </c>
      <c r="K832" s="255" t="s">
        <v>951</v>
      </c>
      <c r="L832" s="250" t="s">
        <v>947</v>
      </c>
      <c r="M832" s="336" t="s">
        <v>114</v>
      </c>
      <c r="N832" s="278">
        <v>44349</v>
      </c>
      <c r="O832" s="329" t="s">
        <v>67</v>
      </c>
      <c r="P832" s="330">
        <f t="shared" ref="P832:Q832" si="828">IF(B832=0,0,IF(YEAR(B832)=$Q$1,MONTH(B832)-$P$1+1,(YEAR(B832)-$Q$1)*12-$P$1+1+MONTH(B832)))</f>
        <v>6</v>
      </c>
      <c r="Q832" s="330">
        <f t="shared" si="828"/>
        <v>6</v>
      </c>
      <c r="R832" s="331" t="str">
        <f t="shared" si="1"/>
        <v>Gastos_Gerais</v>
      </c>
      <c r="S832" s="331" t="str">
        <f>IF(D832="","",IF(OR(D832=Plano!$A$1,D832=Plano!$B$1),"entrada","saída"))</f>
        <v>saída</v>
      </c>
      <c r="T832" s="332" t="s">
        <v>114</v>
      </c>
      <c r="U832" s="332" t="s">
        <v>114</v>
      </c>
      <c r="V832" s="344"/>
    </row>
    <row r="833" spans="1:22" ht="147" customHeight="1" x14ac:dyDescent="0.2">
      <c r="A833" s="277">
        <f>IF(B833="","",COUNT('Diário 5º PA'!$A$5:$A$2634)+ROW()-4)</f>
        <v>2140</v>
      </c>
      <c r="B833" s="278">
        <v>44349</v>
      </c>
      <c r="C833" s="259">
        <v>44317</v>
      </c>
      <c r="D833" s="252" t="s">
        <v>104</v>
      </c>
      <c r="E833" s="252" t="s">
        <v>104</v>
      </c>
      <c r="F833" s="257">
        <v>2300</v>
      </c>
      <c r="G833" s="252" t="s">
        <v>4387</v>
      </c>
      <c r="H833" s="252" t="s">
        <v>104</v>
      </c>
      <c r="I833" s="252" t="s">
        <v>1625</v>
      </c>
      <c r="J833" s="250" t="s">
        <v>2613</v>
      </c>
      <c r="K833" s="255" t="s">
        <v>1015</v>
      </c>
      <c r="L833" s="250" t="s">
        <v>992</v>
      </c>
      <c r="M833" s="336">
        <v>23</v>
      </c>
      <c r="N833" s="278">
        <v>44348</v>
      </c>
      <c r="O833" s="329" t="s">
        <v>68</v>
      </c>
      <c r="P833" s="330">
        <f t="shared" ref="P833:Q833" si="829">IF(B833=0,0,IF(YEAR(B833)=$Q$1,MONTH(B833)-$P$1+1,(YEAR(B833)-$Q$1)*12-$P$1+1+MONTH(B833)))</f>
        <v>6</v>
      </c>
      <c r="Q833" s="330">
        <f t="shared" si="829"/>
        <v>5</v>
      </c>
      <c r="R833" s="331" t="str">
        <f t="shared" si="1"/>
        <v>Gastos_custeados_por_captação</v>
      </c>
      <c r="S833" s="331" t="str">
        <f>IF(D833="","",IF(OR(D833=Plano!$A$1,D833=Plano!$B$1),"entrada","saída"))</f>
        <v>saída</v>
      </c>
      <c r="T833" s="332" t="s">
        <v>994</v>
      </c>
      <c r="U833" s="332">
        <v>1397</v>
      </c>
      <c r="V833" s="344"/>
    </row>
    <row r="834" spans="1:22" ht="134.25" customHeight="1" x14ac:dyDescent="0.2">
      <c r="A834" s="277">
        <f>IF(B834="","",COUNT('Diário 5º PA'!$A$5:$A$2634)+ROW()-4)</f>
        <v>2141</v>
      </c>
      <c r="B834" s="278">
        <v>44349</v>
      </c>
      <c r="C834" s="259">
        <v>44317</v>
      </c>
      <c r="D834" s="252" t="s">
        <v>104</v>
      </c>
      <c r="E834" s="252" t="s">
        <v>104</v>
      </c>
      <c r="F834" s="257">
        <v>2300</v>
      </c>
      <c r="G834" s="252" t="s">
        <v>4387</v>
      </c>
      <c r="H834" s="252" t="s">
        <v>104</v>
      </c>
      <c r="I834" s="252" t="s">
        <v>1623</v>
      </c>
      <c r="J834" s="250" t="s">
        <v>2619</v>
      </c>
      <c r="K834" s="255" t="s">
        <v>1015</v>
      </c>
      <c r="L834" s="250" t="s">
        <v>992</v>
      </c>
      <c r="M834" s="336">
        <v>63</v>
      </c>
      <c r="N834" s="278">
        <v>44348</v>
      </c>
      <c r="O834" s="329" t="s">
        <v>68</v>
      </c>
      <c r="P834" s="330">
        <f t="shared" ref="P834:Q834" si="830">IF(B834=0,0,IF(YEAR(B834)=$Q$1,MONTH(B834)-$P$1+1,(YEAR(B834)-$Q$1)*12-$P$1+1+MONTH(B834)))</f>
        <v>6</v>
      </c>
      <c r="Q834" s="330">
        <f t="shared" si="830"/>
        <v>5</v>
      </c>
      <c r="R834" s="331" t="str">
        <f t="shared" si="1"/>
        <v>Gastos_custeados_por_captação</v>
      </c>
      <c r="S834" s="331" t="str">
        <f>IF(D834="","",IF(OR(D834=Plano!$A$1,D834=Plano!$B$1),"entrada","saída"))</f>
        <v>saída</v>
      </c>
      <c r="T834" s="332" t="s">
        <v>994</v>
      </c>
      <c r="U834" s="332">
        <v>1390</v>
      </c>
      <c r="V834" s="344"/>
    </row>
    <row r="835" spans="1:22" ht="155.25" customHeight="1" x14ac:dyDescent="0.2">
      <c r="A835" s="277">
        <f>IF(B835="","",COUNT('Diário 5º PA'!$A$5:$A$2634)+ROW()-4)</f>
        <v>2142</v>
      </c>
      <c r="B835" s="278">
        <v>44349</v>
      </c>
      <c r="C835" s="259">
        <v>44317</v>
      </c>
      <c r="D835" s="252" t="s">
        <v>104</v>
      </c>
      <c r="E835" s="252" t="s">
        <v>104</v>
      </c>
      <c r="F835" s="257">
        <v>19404</v>
      </c>
      <c r="G835" s="252" t="s">
        <v>1141</v>
      </c>
      <c r="H835" s="252" t="s">
        <v>104</v>
      </c>
      <c r="I835" s="252" t="s">
        <v>4117</v>
      </c>
      <c r="J835" s="250" t="s">
        <v>929</v>
      </c>
      <c r="K835" s="255" t="s">
        <v>1015</v>
      </c>
      <c r="L835" s="250" t="s">
        <v>992</v>
      </c>
      <c r="M835" s="336">
        <v>180</v>
      </c>
      <c r="N835" s="278">
        <v>44348</v>
      </c>
      <c r="O835" s="329" t="s">
        <v>68</v>
      </c>
      <c r="P835" s="330">
        <f t="shared" ref="P835:Q835" si="831">IF(B835=0,0,IF(YEAR(B835)=$Q$1,MONTH(B835)-$P$1+1,(YEAR(B835)-$Q$1)*12-$P$1+1+MONTH(B835)))</f>
        <v>6</v>
      </c>
      <c r="Q835" s="330">
        <f t="shared" si="831"/>
        <v>5</v>
      </c>
      <c r="R835" s="331" t="str">
        <f t="shared" si="1"/>
        <v>Gastos_custeados_por_captação</v>
      </c>
      <c r="S835" s="331" t="str">
        <f>IF(D835="","",IF(OR(D835=Plano!$A$1,D835=Plano!$B$1),"entrada","saída"))</f>
        <v>saída</v>
      </c>
      <c r="T835" s="332" t="s">
        <v>1059</v>
      </c>
      <c r="U835" s="332">
        <v>1380</v>
      </c>
      <c r="V835" s="344"/>
    </row>
    <row r="836" spans="1:22" ht="156.75" customHeight="1" x14ac:dyDescent="0.2">
      <c r="A836" s="277">
        <f>IF(B836="","",COUNT('Diário 5º PA'!$A$5:$A$2634)+ROW()-4)</f>
        <v>2143</v>
      </c>
      <c r="B836" s="278">
        <v>44349</v>
      </c>
      <c r="C836" s="259">
        <v>44317</v>
      </c>
      <c r="D836" s="252" t="s">
        <v>104</v>
      </c>
      <c r="E836" s="252" t="s">
        <v>104</v>
      </c>
      <c r="F836" s="257">
        <v>2300</v>
      </c>
      <c r="G836" s="252" t="s">
        <v>4387</v>
      </c>
      <c r="H836" s="252" t="s">
        <v>104</v>
      </c>
      <c r="I836" s="252" t="s">
        <v>3717</v>
      </c>
      <c r="J836" s="250" t="s">
        <v>1630</v>
      </c>
      <c r="K836" s="255" t="s">
        <v>1015</v>
      </c>
      <c r="L836" s="250" t="s">
        <v>992</v>
      </c>
      <c r="M836" s="277" t="s">
        <v>1540</v>
      </c>
      <c r="N836" s="278">
        <v>44348</v>
      </c>
      <c r="O836" s="329" t="s">
        <v>68</v>
      </c>
      <c r="P836" s="330">
        <f t="shared" ref="P836:Q836" si="832">IF(B836=0,0,IF(YEAR(B836)=$Q$1,MONTH(B836)-$P$1+1,(YEAR(B836)-$Q$1)*12-$P$1+1+MONTH(B836)))</f>
        <v>6</v>
      </c>
      <c r="Q836" s="330">
        <f t="shared" si="832"/>
        <v>5</v>
      </c>
      <c r="R836" s="331" t="str">
        <f t="shared" si="1"/>
        <v>Gastos_custeados_por_captação</v>
      </c>
      <c r="S836" s="331" t="str">
        <f>IF(D836="","",IF(OR(D836=Plano!$A$1,D836=Plano!$B$1),"entrada","saída"))</f>
        <v>saída</v>
      </c>
      <c r="T836" s="332" t="s">
        <v>994</v>
      </c>
      <c r="U836" s="332">
        <v>1400</v>
      </c>
      <c r="V836" s="344"/>
    </row>
    <row r="837" spans="1:22" ht="141.75" customHeight="1" x14ac:dyDescent="0.2">
      <c r="A837" s="277">
        <f>IF(B837="","",COUNT('Diário 5º PA'!$A$5:$A$2634)+ROW()-4)</f>
        <v>2144</v>
      </c>
      <c r="B837" s="278">
        <v>44349</v>
      </c>
      <c r="C837" s="259">
        <v>44317</v>
      </c>
      <c r="D837" s="252" t="s">
        <v>104</v>
      </c>
      <c r="E837" s="252" t="s">
        <v>104</v>
      </c>
      <c r="F837" s="257">
        <v>2300</v>
      </c>
      <c r="G837" s="252" t="s">
        <v>4387</v>
      </c>
      <c r="H837" s="252" t="s">
        <v>104</v>
      </c>
      <c r="I837" s="252" t="s">
        <v>1637</v>
      </c>
      <c r="J837" s="250" t="s">
        <v>1048</v>
      </c>
      <c r="K837" s="255" t="s">
        <v>1015</v>
      </c>
      <c r="L837" s="250" t="s">
        <v>992</v>
      </c>
      <c r="M837" s="277" t="s">
        <v>1299</v>
      </c>
      <c r="N837" s="278">
        <v>44348</v>
      </c>
      <c r="O837" s="329" t="s">
        <v>68</v>
      </c>
      <c r="P837" s="330">
        <f t="shared" ref="P837:Q837" si="833">IF(B837=0,0,IF(YEAR(B837)=$Q$1,MONTH(B837)-$P$1+1,(YEAR(B837)-$Q$1)*12-$P$1+1+MONTH(B837)))</f>
        <v>6</v>
      </c>
      <c r="Q837" s="330">
        <f t="shared" si="833"/>
        <v>5</v>
      </c>
      <c r="R837" s="331" t="str">
        <f t="shared" si="1"/>
        <v>Gastos_custeados_por_captação</v>
      </c>
      <c r="S837" s="331" t="str">
        <f>IF(D837="","",IF(OR(D837=Plano!$A$1,D837=Plano!$B$1),"entrada","saída"))</f>
        <v>saída</v>
      </c>
      <c r="T837" s="332" t="s">
        <v>994</v>
      </c>
      <c r="U837" s="332">
        <v>1394</v>
      </c>
      <c r="V837" s="344"/>
    </row>
    <row r="838" spans="1:22" ht="62.25" customHeight="1" x14ac:dyDescent="0.2">
      <c r="A838" s="277">
        <f>IF(B838="","",COUNT('Diário 5º PA'!$A$5:$A$2634)+ROW()-4)</f>
        <v>2145</v>
      </c>
      <c r="B838" s="278">
        <v>44354</v>
      </c>
      <c r="C838" s="256">
        <v>44317</v>
      </c>
      <c r="D838" s="255" t="s">
        <v>99</v>
      </c>
      <c r="E838" s="255" t="s">
        <v>330</v>
      </c>
      <c r="F838" s="257">
        <v>-24.9</v>
      </c>
      <c r="G838" s="337" t="s">
        <v>4780</v>
      </c>
      <c r="H838" s="255" t="s">
        <v>115</v>
      </c>
      <c r="I838" s="250" t="s">
        <v>983</v>
      </c>
      <c r="J838" s="255" t="s">
        <v>850</v>
      </c>
      <c r="K838" s="255" t="s">
        <v>946</v>
      </c>
      <c r="L838" s="250" t="s">
        <v>947</v>
      </c>
      <c r="M838" s="277" t="s">
        <v>114</v>
      </c>
      <c r="N838" s="278">
        <v>44354</v>
      </c>
      <c r="O838" s="329" t="s">
        <v>67</v>
      </c>
      <c r="P838" s="330">
        <f t="shared" ref="P838:Q838" si="834">IF(B838=0,0,IF(YEAR(B838)=$Q$1,MONTH(B838)-$P$1+1,(YEAR(B838)-$Q$1)*12-$P$1+1+MONTH(B838)))</f>
        <v>6</v>
      </c>
      <c r="Q838" s="330">
        <f t="shared" si="834"/>
        <v>5</v>
      </c>
      <c r="R838" s="331" t="str">
        <f t="shared" si="1"/>
        <v>Gastos_Gerais</v>
      </c>
      <c r="S838" s="331" t="str">
        <f>IF(D838="","",IF(OR(D838=Plano!$A$1,D838=Plano!$B$1),"entrada","saída"))</f>
        <v>saída</v>
      </c>
      <c r="T838" s="332" t="s">
        <v>114</v>
      </c>
      <c r="U838" s="332" t="s">
        <v>114</v>
      </c>
      <c r="V838" s="344"/>
    </row>
    <row r="839" spans="1:22" ht="71.25" customHeight="1" x14ac:dyDescent="0.2">
      <c r="A839" s="277">
        <f>IF(B839="","",COUNT('Diário 5º PA'!$A$5:$A$2634)+ROW()-4)</f>
        <v>2146</v>
      </c>
      <c r="B839" s="278">
        <v>44354</v>
      </c>
      <c r="C839" s="256">
        <v>44317</v>
      </c>
      <c r="D839" s="255" t="s">
        <v>99</v>
      </c>
      <c r="E839" s="255" t="s">
        <v>330</v>
      </c>
      <c r="F839" s="257">
        <v>-124.5</v>
      </c>
      <c r="G839" s="337" t="s">
        <v>4781</v>
      </c>
      <c r="H839" s="255" t="s">
        <v>115</v>
      </c>
      <c r="I839" s="250" t="s">
        <v>983</v>
      </c>
      <c r="J839" s="255" t="s">
        <v>850</v>
      </c>
      <c r="K839" s="255" t="s">
        <v>946</v>
      </c>
      <c r="L839" s="250" t="s">
        <v>947</v>
      </c>
      <c r="M839" s="277" t="s">
        <v>114</v>
      </c>
      <c r="N839" s="278">
        <v>44354</v>
      </c>
      <c r="O839" s="329" t="s">
        <v>67</v>
      </c>
      <c r="P839" s="330">
        <f t="shared" ref="P839:Q839" si="835">IF(B839=0,0,IF(YEAR(B839)=$Q$1,MONTH(B839)-$P$1+1,(YEAR(B839)-$Q$1)*12-$P$1+1+MONTH(B839)))</f>
        <v>6</v>
      </c>
      <c r="Q839" s="330">
        <f t="shared" si="835"/>
        <v>5</v>
      </c>
      <c r="R839" s="331" t="str">
        <f t="shared" si="1"/>
        <v>Gastos_Gerais</v>
      </c>
      <c r="S839" s="331" t="str">
        <f>IF(D839="","",IF(OR(D839=Plano!$A$1,D839=Plano!$B$1),"entrada","saída"))</f>
        <v>saída</v>
      </c>
      <c r="T839" s="332" t="s">
        <v>114</v>
      </c>
      <c r="U839" s="332" t="s">
        <v>114</v>
      </c>
      <c r="V839" s="344"/>
    </row>
    <row r="840" spans="1:22" ht="165" customHeight="1" x14ac:dyDescent="0.2">
      <c r="A840" s="277">
        <f>IF(B840="","",COUNT('Diário 5º PA'!$A$5:$A$2634)+ROW()-4)</f>
        <v>2147</v>
      </c>
      <c r="B840" s="278">
        <v>44354</v>
      </c>
      <c r="C840" s="256">
        <v>44317</v>
      </c>
      <c r="D840" s="255" t="s">
        <v>99</v>
      </c>
      <c r="E840" s="255" t="s">
        <v>262</v>
      </c>
      <c r="F840" s="257">
        <v>-924.35</v>
      </c>
      <c r="G840" s="252" t="s">
        <v>4782</v>
      </c>
      <c r="H840" s="255" t="s">
        <v>115</v>
      </c>
      <c r="I840" s="250" t="s">
        <v>983</v>
      </c>
      <c r="J840" s="255" t="s">
        <v>850</v>
      </c>
      <c r="K840" s="255" t="s">
        <v>1069</v>
      </c>
      <c r="L840" s="250" t="s">
        <v>947</v>
      </c>
      <c r="M840" s="277" t="s">
        <v>114</v>
      </c>
      <c r="N840" s="278">
        <v>44354</v>
      </c>
      <c r="O840" s="329" t="s">
        <v>67</v>
      </c>
      <c r="P840" s="330">
        <f t="shared" ref="P840:Q840" si="836">IF(B840=0,0,IF(YEAR(B840)=$Q$1,MONTH(B840)-$P$1+1,(YEAR(B840)-$Q$1)*12-$P$1+1+MONTH(B840)))</f>
        <v>6</v>
      </c>
      <c r="Q840" s="330">
        <f t="shared" si="836"/>
        <v>5</v>
      </c>
      <c r="R840" s="331" t="str">
        <f t="shared" si="1"/>
        <v>Gastos_Gerais</v>
      </c>
      <c r="S840" s="331" t="str">
        <f>IF(D840="","",IF(OR(D840=Plano!$A$1,D840=Plano!$B$1),"entrada","saída"))</f>
        <v>saída</v>
      </c>
      <c r="T840" s="332" t="s">
        <v>114</v>
      </c>
      <c r="U840" s="332" t="s">
        <v>114</v>
      </c>
      <c r="V840" s="344"/>
    </row>
    <row r="841" spans="1:22" ht="102" customHeight="1" x14ac:dyDescent="0.2">
      <c r="A841" s="277">
        <f>IF(B841="","",COUNT('Diário 5º PA'!$A$5:$A$2634)+ROW()-4)</f>
        <v>2148</v>
      </c>
      <c r="B841" s="278">
        <v>44354</v>
      </c>
      <c r="C841" s="259">
        <v>44317</v>
      </c>
      <c r="D841" s="252" t="s">
        <v>99</v>
      </c>
      <c r="E841" s="252" t="s">
        <v>294</v>
      </c>
      <c r="F841" s="258">
        <v>-253.87</v>
      </c>
      <c r="G841" s="255" t="s">
        <v>4783</v>
      </c>
      <c r="H841" s="255" t="s">
        <v>115</v>
      </c>
      <c r="I841" s="250" t="s">
        <v>983</v>
      </c>
      <c r="J841" s="255" t="s">
        <v>850</v>
      </c>
      <c r="K841" s="255" t="s">
        <v>1069</v>
      </c>
      <c r="L841" s="250" t="s">
        <v>947</v>
      </c>
      <c r="M841" s="277" t="s">
        <v>114</v>
      </c>
      <c r="N841" s="278">
        <v>44354</v>
      </c>
      <c r="O841" s="329" t="s">
        <v>67</v>
      </c>
      <c r="P841" s="330">
        <f t="shared" ref="P841:Q841" si="837">IF(B841=0,0,IF(YEAR(B841)=$Q$1,MONTH(B841)-$P$1+1,(YEAR(B841)-$Q$1)*12-$P$1+1+MONTH(B841)))</f>
        <v>6</v>
      </c>
      <c r="Q841" s="330">
        <f t="shared" si="837"/>
        <v>5</v>
      </c>
      <c r="R841" s="331" t="str">
        <f t="shared" si="1"/>
        <v>Gastos_Gerais</v>
      </c>
      <c r="S841" s="331" t="str">
        <f>IF(D841="","",IF(OR(D841=Plano!$A$1,D841=Plano!$B$1),"entrada","saída"))</f>
        <v>saída</v>
      </c>
      <c r="T841" s="332" t="s">
        <v>114</v>
      </c>
      <c r="U841" s="332" t="s">
        <v>114</v>
      </c>
      <c r="V841" s="344"/>
    </row>
    <row r="842" spans="1:22" ht="78" customHeight="1" x14ac:dyDescent="0.2">
      <c r="A842" s="277">
        <f>IF(B842="","",COUNT('Diário 5º PA'!$A$5:$A$2634)+ROW()-4)</f>
        <v>2149</v>
      </c>
      <c r="B842" s="278">
        <v>44354</v>
      </c>
      <c r="C842" s="256">
        <v>44317</v>
      </c>
      <c r="D842" s="255" t="s">
        <v>99</v>
      </c>
      <c r="E842" s="255" t="s">
        <v>228</v>
      </c>
      <c r="F842" s="257">
        <v>-2244.85</v>
      </c>
      <c r="G842" s="252" t="s">
        <v>4784</v>
      </c>
      <c r="H842" s="255" t="s">
        <v>115</v>
      </c>
      <c r="I842" s="250" t="s">
        <v>983</v>
      </c>
      <c r="J842" s="255" t="s">
        <v>850</v>
      </c>
      <c r="K842" s="255" t="s">
        <v>1069</v>
      </c>
      <c r="L842" s="250" t="s">
        <v>947</v>
      </c>
      <c r="M842" s="277" t="s">
        <v>114</v>
      </c>
      <c r="N842" s="278">
        <v>44354</v>
      </c>
      <c r="O842" s="329" t="s">
        <v>67</v>
      </c>
      <c r="P842" s="330">
        <f t="shared" ref="P842:Q842" si="838">IF(B842=0,0,IF(YEAR(B842)=$Q$1,MONTH(B842)-$P$1+1,(YEAR(B842)-$Q$1)*12-$P$1+1+MONTH(B842)))</f>
        <v>6</v>
      </c>
      <c r="Q842" s="330">
        <f t="shared" si="838"/>
        <v>5</v>
      </c>
      <c r="R842" s="331" t="str">
        <f t="shared" si="1"/>
        <v>Gastos_Gerais</v>
      </c>
      <c r="S842" s="331" t="str">
        <f>IF(D842="","",IF(OR(D842=Plano!$A$1,D842=Plano!$B$1),"entrada","saída"))</f>
        <v>saída</v>
      </c>
      <c r="T842" s="332" t="s">
        <v>114</v>
      </c>
      <c r="U842" s="332" t="s">
        <v>114</v>
      </c>
      <c r="V842" s="344"/>
    </row>
    <row r="843" spans="1:22" ht="67.5" customHeight="1" x14ac:dyDescent="0.2">
      <c r="A843" s="277">
        <f>IF(B843="","",COUNT('Diário 5º PA'!$A$5:$A$2634)+ROW()-4)</f>
        <v>2150</v>
      </c>
      <c r="B843" s="278">
        <v>44354</v>
      </c>
      <c r="C843" s="256">
        <v>44317</v>
      </c>
      <c r="D843" s="255" t="s">
        <v>88</v>
      </c>
      <c r="E843" s="255" t="s">
        <v>171</v>
      </c>
      <c r="F843" s="258">
        <v>-2199.81</v>
      </c>
      <c r="G843" s="255" t="s">
        <v>4785</v>
      </c>
      <c r="H843" s="255" t="s">
        <v>114</v>
      </c>
      <c r="I843" s="250" t="s">
        <v>983</v>
      </c>
      <c r="J843" s="255" t="s">
        <v>850</v>
      </c>
      <c r="K843" s="255" t="s">
        <v>946</v>
      </c>
      <c r="L843" s="250" t="s">
        <v>947</v>
      </c>
      <c r="M843" s="277" t="s">
        <v>114</v>
      </c>
      <c r="N843" s="278">
        <v>44354</v>
      </c>
      <c r="O843" s="329" t="s">
        <v>67</v>
      </c>
      <c r="P843" s="330">
        <f t="shared" ref="P843:Q843" si="839">IF(B843=0,0,IF(YEAR(B843)=$Q$1,MONTH(B843)-$P$1+1,(YEAR(B843)-$Q$1)*12-$P$1+1+MONTH(B843)))</f>
        <v>6</v>
      </c>
      <c r="Q843" s="330">
        <f t="shared" si="839"/>
        <v>5</v>
      </c>
      <c r="R843" s="331" t="str">
        <f t="shared" si="1"/>
        <v>Gastos_com_Pessoal</v>
      </c>
      <c r="S843" s="331" t="str">
        <f>IF(D843="","",IF(OR(D843=Plano!$A$1,D843=Plano!$B$1),"entrada","saída"))</f>
        <v>saída</v>
      </c>
      <c r="T843" s="332" t="s">
        <v>114</v>
      </c>
      <c r="U843" s="332" t="s">
        <v>114</v>
      </c>
      <c r="V843" s="344"/>
    </row>
    <row r="844" spans="1:22" ht="47.25" customHeight="1" x14ac:dyDescent="0.2">
      <c r="A844" s="277">
        <f>IF(B844="","",COUNT('Diário 5º PA'!$A$5:$A$2634)+ROW()-4)</f>
        <v>2151</v>
      </c>
      <c r="B844" s="278">
        <v>44354</v>
      </c>
      <c r="C844" s="256">
        <v>44317</v>
      </c>
      <c r="D844" s="255" t="s">
        <v>88</v>
      </c>
      <c r="E844" s="255" t="s">
        <v>171</v>
      </c>
      <c r="F844" s="258">
        <v>-202.62</v>
      </c>
      <c r="G844" s="255" t="s">
        <v>1251</v>
      </c>
      <c r="H844" s="255" t="s">
        <v>114</v>
      </c>
      <c r="I844" s="250" t="s">
        <v>983</v>
      </c>
      <c r="J844" s="255" t="s">
        <v>850</v>
      </c>
      <c r="K844" s="255" t="s">
        <v>946</v>
      </c>
      <c r="L844" s="250" t="s">
        <v>947</v>
      </c>
      <c r="M844" s="277" t="s">
        <v>114</v>
      </c>
      <c r="N844" s="278">
        <v>44354</v>
      </c>
      <c r="O844" s="329" t="s">
        <v>67</v>
      </c>
      <c r="P844" s="330">
        <f t="shared" ref="P844:Q844" si="840">IF(B844=0,0,IF(YEAR(B844)=$Q$1,MONTH(B844)-$P$1+1,(YEAR(B844)-$Q$1)*12-$P$1+1+MONTH(B844)))</f>
        <v>6</v>
      </c>
      <c r="Q844" s="330">
        <f t="shared" si="840"/>
        <v>5</v>
      </c>
      <c r="R844" s="331" t="str">
        <f t="shared" si="1"/>
        <v>Gastos_com_Pessoal</v>
      </c>
      <c r="S844" s="331" t="str">
        <f>IF(D844="","",IF(OR(D844=Plano!$A$1,D844=Plano!$B$1),"entrada","saída"))</f>
        <v>saída</v>
      </c>
      <c r="T844" s="332" t="s">
        <v>114</v>
      </c>
      <c r="U844" s="332" t="s">
        <v>114</v>
      </c>
      <c r="V844" s="344"/>
    </row>
    <row r="845" spans="1:22" ht="165" customHeight="1" x14ac:dyDescent="0.2">
      <c r="A845" s="277">
        <f>IF(B845="","",COUNT('Diário 5º PA'!$A$5:$A$2634)+ROW()-4)</f>
        <v>2152</v>
      </c>
      <c r="B845" s="278">
        <v>44354</v>
      </c>
      <c r="C845" s="259">
        <v>44317</v>
      </c>
      <c r="D845" s="252" t="s">
        <v>99</v>
      </c>
      <c r="E845" s="252" t="s">
        <v>262</v>
      </c>
      <c r="F845" s="257">
        <v>2537.5500000000002</v>
      </c>
      <c r="G845" s="252" t="s">
        <v>596</v>
      </c>
      <c r="H845" s="252" t="s">
        <v>127</v>
      </c>
      <c r="I845" s="252" t="s">
        <v>1348</v>
      </c>
      <c r="J845" s="250" t="s">
        <v>598</v>
      </c>
      <c r="K845" s="255" t="s">
        <v>1015</v>
      </c>
      <c r="L845" s="250" t="s">
        <v>1029</v>
      </c>
      <c r="M845" s="277">
        <v>1181</v>
      </c>
      <c r="N845" s="278">
        <v>44349</v>
      </c>
      <c r="O845" s="329" t="s">
        <v>67</v>
      </c>
      <c r="P845" s="330">
        <f t="shared" ref="P845:Q845" si="841">IF(B845=0,0,IF(YEAR(B845)=$Q$1,MONTH(B845)-$P$1+1,(YEAR(B845)-$Q$1)*12-$P$1+1+MONTH(B845)))</f>
        <v>6</v>
      </c>
      <c r="Q845" s="330">
        <f t="shared" si="841"/>
        <v>5</v>
      </c>
      <c r="R845" s="331" t="str">
        <f t="shared" si="1"/>
        <v>Gastos_Gerais</v>
      </c>
      <c r="S845" s="331" t="str">
        <f>IF(D845="","",IF(OR(D845=Plano!$A$1,D845=Plano!$B$1),"entrada","saída"))</f>
        <v>saída</v>
      </c>
      <c r="T845" s="332" t="s">
        <v>1059</v>
      </c>
      <c r="U845" s="332">
        <v>1466</v>
      </c>
      <c r="V845" s="344"/>
    </row>
    <row r="846" spans="1:22" ht="183.75" customHeight="1" x14ac:dyDescent="0.2">
      <c r="A846" s="277">
        <f>IF(B846="","",COUNT('Diário 5º PA'!$A$5:$A$2634)+ROW()-4)</f>
        <v>2153</v>
      </c>
      <c r="B846" s="278">
        <v>44354</v>
      </c>
      <c r="C846" s="259">
        <v>44287</v>
      </c>
      <c r="D846" s="252" t="s">
        <v>99</v>
      </c>
      <c r="E846" s="252" t="s">
        <v>358</v>
      </c>
      <c r="F846" s="257">
        <v>1200</v>
      </c>
      <c r="G846" s="252" t="s">
        <v>4786</v>
      </c>
      <c r="H846" s="252" t="s">
        <v>125</v>
      </c>
      <c r="I846" s="252" t="s">
        <v>4787</v>
      </c>
      <c r="J846" s="250" t="s">
        <v>4788</v>
      </c>
      <c r="K846" s="250" t="s">
        <v>1015</v>
      </c>
      <c r="L846" s="250" t="s">
        <v>992</v>
      </c>
      <c r="M846" s="277">
        <v>220</v>
      </c>
      <c r="N846" s="278">
        <v>44351</v>
      </c>
      <c r="O846" s="329" t="s">
        <v>67</v>
      </c>
      <c r="P846" s="330">
        <f t="shared" ref="P846:Q846" si="842">IF(B846=0,0,IF(YEAR(B846)=$Q$1,MONTH(B846)-$P$1+1,(YEAR(B846)-$Q$1)*12-$P$1+1+MONTH(B846)))</f>
        <v>6</v>
      </c>
      <c r="Q846" s="330">
        <f t="shared" si="842"/>
        <v>4</v>
      </c>
      <c r="R846" s="331" t="str">
        <f t="shared" si="1"/>
        <v>Gastos_Gerais</v>
      </c>
      <c r="S846" s="331" t="str">
        <f>IF(D846="","",IF(OR(D846=Plano!$A$1,D846=Plano!$B$1),"entrada","saída"))</f>
        <v>saída</v>
      </c>
      <c r="T846" s="332" t="s">
        <v>994</v>
      </c>
      <c r="U846" s="332">
        <v>1435</v>
      </c>
      <c r="V846" s="344"/>
    </row>
    <row r="847" spans="1:22" ht="147" customHeight="1" x14ac:dyDescent="0.2">
      <c r="A847" s="277">
        <f>IF(B847="","",COUNT('Diário 5º PA'!$A$5:$A$2634)+ROW()-4)</f>
        <v>2154</v>
      </c>
      <c r="B847" s="278">
        <v>44354</v>
      </c>
      <c r="C847" s="259">
        <v>44317</v>
      </c>
      <c r="D847" s="252" t="s">
        <v>99</v>
      </c>
      <c r="E847" s="252" t="s">
        <v>336</v>
      </c>
      <c r="F847" s="257">
        <v>1967.27</v>
      </c>
      <c r="G847" s="252" t="s">
        <v>4388</v>
      </c>
      <c r="H847" s="252" t="s">
        <v>116</v>
      </c>
      <c r="I847" s="252" t="s">
        <v>3743</v>
      </c>
      <c r="J847" s="250" t="s">
        <v>3744</v>
      </c>
      <c r="K847" s="255" t="s">
        <v>1015</v>
      </c>
      <c r="L847" s="250" t="s">
        <v>1029</v>
      </c>
      <c r="M847" s="277">
        <v>1177</v>
      </c>
      <c r="N847" s="278">
        <v>44349</v>
      </c>
      <c r="O847" s="329" t="s">
        <v>67</v>
      </c>
      <c r="P847" s="330">
        <f t="shared" ref="P847:Q847" si="843">IF(B847=0,0,IF(YEAR(B847)=$Q$1,MONTH(B847)-$P$1+1,(YEAR(B847)-$Q$1)*12-$P$1+1+MONTH(B847)))</f>
        <v>6</v>
      </c>
      <c r="Q847" s="330">
        <f t="shared" si="843"/>
        <v>5</v>
      </c>
      <c r="R847" s="331" t="str">
        <f t="shared" si="1"/>
        <v>Gastos_Gerais</v>
      </c>
      <c r="S847" s="331" t="str">
        <f>IF(D847="","",IF(OR(D847=Plano!$A$1,D847=Plano!$B$1),"entrada","saída"))</f>
        <v>saída</v>
      </c>
      <c r="T847" s="332" t="s">
        <v>1059</v>
      </c>
      <c r="U847" s="332">
        <v>1408</v>
      </c>
      <c r="V847" s="344"/>
    </row>
    <row r="848" spans="1:22" ht="32.25" customHeight="1" x14ac:dyDescent="0.2">
      <c r="A848" s="277">
        <f>IF(B848="","",COUNT('Diário 5º PA'!$A$5:$A$2634)+ROW()-4)</f>
        <v>2155</v>
      </c>
      <c r="B848" s="278">
        <v>44354</v>
      </c>
      <c r="C848" s="259">
        <v>44317</v>
      </c>
      <c r="D848" s="255" t="s">
        <v>88</v>
      </c>
      <c r="E848" s="255" t="s">
        <v>90</v>
      </c>
      <c r="F848" s="258">
        <v>10367.19</v>
      </c>
      <c r="G848" s="255" t="s">
        <v>4789</v>
      </c>
      <c r="H848" s="255" t="s">
        <v>114</v>
      </c>
      <c r="I848" s="250" t="s">
        <v>1181</v>
      </c>
      <c r="J848" s="255" t="s">
        <v>1182</v>
      </c>
      <c r="K848" s="255" t="s">
        <v>991</v>
      </c>
      <c r="L848" s="250" t="s">
        <v>1183</v>
      </c>
      <c r="M848" s="277" t="s">
        <v>114</v>
      </c>
      <c r="N848" s="278">
        <v>44354</v>
      </c>
      <c r="O848" s="329" t="s">
        <v>67</v>
      </c>
      <c r="P848" s="330">
        <f t="shared" ref="P848:Q848" si="844">IF(B848=0,0,IF(YEAR(B848)=$Q$1,MONTH(B848)-$P$1+1,(YEAR(B848)-$Q$1)*12-$P$1+1+MONTH(B848)))</f>
        <v>6</v>
      </c>
      <c r="Q848" s="330">
        <f t="shared" si="844"/>
        <v>5</v>
      </c>
      <c r="R848" s="331" t="str">
        <f t="shared" si="1"/>
        <v>Gastos_com_Pessoal</v>
      </c>
      <c r="S848" s="331" t="str">
        <f>IF(D848="","",IF(OR(D848=Plano!$A$1,D848=Plano!$B$1),"entrada","saída"))</f>
        <v>saída</v>
      </c>
      <c r="T848" s="332" t="s">
        <v>114</v>
      </c>
      <c r="U848" s="332" t="s">
        <v>114</v>
      </c>
      <c r="V848" s="344"/>
    </row>
    <row r="849" spans="1:22" ht="32.25" customHeight="1" x14ac:dyDescent="0.2">
      <c r="A849" s="277">
        <f>IF(B849="","",COUNT('Diário 5º PA'!$A$5:$A$2634)+ROW()-4)</f>
        <v>2156</v>
      </c>
      <c r="B849" s="278">
        <v>44354</v>
      </c>
      <c r="C849" s="259">
        <v>44317</v>
      </c>
      <c r="D849" s="255" t="s">
        <v>88</v>
      </c>
      <c r="E849" s="255" t="s">
        <v>90</v>
      </c>
      <c r="F849" s="258">
        <v>3074.75</v>
      </c>
      <c r="G849" s="255" t="s">
        <v>4790</v>
      </c>
      <c r="H849" s="255" t="s">
        <v>114</v>
      </c>
      <c r="I849" s="250" t="s">
        <v>1185</v>
      </c>
      <c r="J849" s="250" t="s">
        <v>1186</v>
      </c>
      <c r="K849" s="255" t="s">
        <v>991</v>
      </c>
      <c r="L849" s="250" t="s">
        <v>1183</v>
      </c>
      <c r="M849" s="277" t="s">
        <v>114</v>
      </c>
      <c r="N849" s="278">
        <v>44354</v>
      </c>
      <c r="O849" s="329" t="s">
        <v>67</v>
      </c>
      <c r="P849" s="330">
        <f t="shared" ref="P849:Q849" si="845">IF(B849=0,0,IF(YEAR(B849)=$Q$1,MONTH(B849)-$P$1+1,(YEAR(B849)-$Q$1)*12-$P$1+1+MONTH(B849)))</f>
        <v>6</v>
      </c>
      <c r="Q849" s="330">
        <f t="shared" si="845"/>
        <v>5</v>
      </c>
      <c r="R849" s="331" t="str">
        <f t="shared" si="1"/>
        <v>Gastos_com_Pessoal</v>
      </c>
      <c r="S849" s="331" t="str">
        <f>IF(D849="","",IF(OR(D849=Plano!$A$1,D849=Plano!$B$1),"entrada","saída"))</f>
        <v>saída</v>
      </c>
      <c r="T849" s="332" t="s">
        <v>114</v>
      </c>
      <c r="U849" s="332" t="s">
        <v>114</v>
      </c>
      <c r="V849" s="344"/>
    </row>
    <row r="850" spans="1:22" ht="36" customHeight="1" x14ac:dyDescent="0.2">
      <c r="A850" s="277">
        <f>IF(B850="","",COUNT('Diário 5º PA'!$A$5:$A$2634)+ROW()-4)</f>
        <v>2157</v>
      </c>
      <c r="B850" s="278">
        <v>44354</v>
      </c>
      <c r="C850" s="259">
        <v>44317</v>
      </c>
      <c r="D850" s="255" t="s">
        <v>88</v>
      </c>
      <c r="E850" s="255" t="s">
        <v>90</v>
      </c>
      <c r="F850" s="258">
        <v>1515.25</v>
      </c>
      <c r="G850" s="255" t="s">
        <v>4791</v>
      </c>
      <c r="H850" s="255" t="s">
        <v>114</v>
      </c>
      <c r="I850" s="250" t="s">
        <v>1188</v>
      </c>
      <c r="J850" s="250" t="s">
        <v>1189</v>
      </c>
      <c r="K850" s="255" t="s">
        <v>991</v>
      </c>
      <c r="L850" s="250" t="s">
        <v>1183</v>
      </c>
      <c r="M850" s="277" t="s">
        <v>114</v>
      </c>
      <c r="N850" s="278">
        <v>44354</v>
      </c>
      <c r="O850" s="329" t="s">
        <v>67</v>
      </c>
      <c r="P850" s="330">
        <f t="shared" ref="P850:Q850" si="846">IF(B850=0,0,IF(YEAR(B850)=$Q$1,MONTH(B850)-$P$1+1,(YEAR(B850)-$Q$1)*12-$P$1+1+MONTH(B850)))</f>
        <v>6</v>
      </c>
      <c r="Q850" s="330">
        <f t="shared" si="846"/>
        <v>5</v>
      </c>
      <c r="R850" s="331" t="str">
        <f t="shared" si="1"/>
        <v>Gastos_com_Pessoal</v>
      </c>
      <c r="S850" s="331" t="str">
        <f>IF(D850="","",IF(OR(D850=Plano!$A$1,D850=Plano!$B$1),"entrada","saída"))</f>
        <v>saída</v>
      </c>
      <c r="T850" s="332" t="s">
        <v>114</v>
      </c>
      <c r="U850" s="332" t="s">
        <v>114</v>
      </c>
      <c r="V850" s="344"/>
    </row>
    <row r="851" spans="1:22" ht="33" customHeight="1" x14ac:dyDescent="0.2">
      <c r="A851" s="277">
        <f>IF(B851="","",COUNT('Diário 5º PA'!$A$5:$A$2634)+ROW()-4)</f>
        <v>2158</v>
      </c>
      <c r="B851" s="278">
        <v>44354</v>
      </c>
      <c r="C851" s="259">
        <v>44317</v>
      </c>
      <c r="D851" s="255" t="s">
        <v>88</v>
      </c>
      <c r="E851" s="255" t="s">
        <v>90</v>
      </c>
      <c r="F851" s="258">
        <v>3549.36</v>
      </c>
      <c r="G851" s="255" t="s">
        <v>4792</v>
      </c>
      <c r="H851" s="255" t="s">
        <v>114</v>
      </c>
      <c r="I851" s="250" t="s">
        <v>1191</v>
      </c>
      <c r="J851" s="255" t="s">
        <v>1192</v>
      </c>
      <c r="K851" s="255" t="s">
        <v>991</v>
      </c>
      <c r="L851" s="250" t="s">
        <v>1183</v>
      </c>
      <c r="M851" s="277" t="s">
        <v>114</v>
      </c>
      <c r="N851" s="278">
        <v>44354</v>
      </c>
      <c r="O851" s="329" t="s">
        <v>67</v>
      </c>
      <c r="P851" s="330">
        <f t="shared" ref="P851:Q851" si="847">IF(B851=0,0,IF(YEAR(B851)=$Q$1,MONTH(B851)-$P$1+1,(YEAR(B851)-$Q$1)*12-$P$1+1+MONTH(B851)))</f>
        <v>6</v>
      </c>
      <c r="Q851" s="330">
        <f t="shared" si="847"/>
        <v>5</v>
      </c>
      <c r="R851" s="331" t="str">
        <f t="shared" si="1"/>
        <v>Gastos_com_Pessoal</v>
      </c>
      <c r="S851" s="331" t="str">
        <f>IF(D851="","",IF(OR(D851=Plano!$A$1,D851=Plano!$B$1),"entrada","saída"))</f>
        <v>saída</v>
      </c>
      <c r="T851" s="332" t="s">
        <v>114</v>
      </c>
      <c r="U851" s="332" t="s">
        <v>114</v>
      </c>
      <c r="V851" s="344"/>
    </row>
    <row r="852" spans="1:22" ht="35.25" customHeight="1" x14ac:dyDescent="0.2">
      <c r="A852" s="277">
        <f>IF(B852="","",COUNT('Diário 5º PA'!$A$5:$A$2634)+ROW()-4)</f>
        <v>2159</v>
      </c>
      <c r="B852" s="278">
        <v>44354</v>
      </c>
      <c r="C852" s="259">
        <v>44317</v>
      </c>
      <c r="D852" s="255" t="s">
        <v>88</v>
      </c>
      <c r="E852" s="255" t="s">
        <v>90</v>
      </c>
      <c r="F852" s="258">
        <v>4413.74</v>
      </c>
      <c r="G852" s="255" t="s">
        <v>4793</v>
      </c>
      <c r="H852" s="255" t="s">
        <v>114</v>
      </c>
      <c r="I852" s="250" t="s">
        <v>2756</v>
      </c>
      <c r="J852" s="250" t="s">
        <v>2757</v>
      </c>
      <c r="K852" s="255" t="s">
        <v>991</v>
      </c>
      <c r="L852" s="250" t="s">
        <v>1183</v>
      </c>
      <c r="M852" s="277" t="s">
        <v>114</v>
      </c>
      <c r="N852" s="278">
        <v>44354</v>
      </c>
      <c r="O852" s="329" t="s">
        <v>67</v>
      </c>
      <c r="P852" s="330">
        <f t="shared" ref="P852:Q852" si="848">IF(B852=0,0,IF(YEAR(B852)=$Q$1,MONTH(B852)-$P$1+1,(YEAR(B852)-$Q$1)*12-$P$1+1+MONTH(B852)))</f>
        <v>6</v>
      </c>
      <c r="Q852" s="330">
        <f t="shared" si="848"/>
        <v>5</v>
      </c>
      <c r="R852" s="331" t="str">
        <f t="shared" si="1"/>
        <v>Gastos_com_Pessoal</v>
      </c>
      <c r="S852" s="331" t="str">
        <f>IF(D852="","",IF(OR(D852=Plano!$A$1,D852=Plano!$B$1),"entrada","saída"))</f>
        <v>saída</v>
      </c>
      <c r="T852" s="332" t="s">
        <v>114</v>
      </c>
      <c r="U852" s="332" t="s">
        <v>114</v>
      </c>
      <c r="V852" s="344"/>
    </row>
    <row r="853" spans="1:22" ht="30.75" customHeight="1" x14ac:dyDescent="0.2">
      <c r="A853" s="277">
        <f>IF(B853="","",COUNT('Diário 5º PA'!$A$5:$A$2634)+ROW()-4)</f>
        <v>2160</v>
      </c>
      <c r="B853" s="278">
        <v>44354</v>
      </c>
      <c r="C853" s="259">
        <v>44317</v>
      </c>
      <c r="D853" s="255" t="s">
        <v>88</v>
      </c>
      <c r="E853" s="255" t="s">
        <v>90</v>
      </c>
      <c r="F853" s="257">
        <v>4325.99</v>
      </c>
      <c r="G853" s="255" t="s">
        <v>4794</v>
      </c>
      <c r="H853" s="255" t="s">
        <v>114</v>
      </c>
      <c r="I853" s="250" t="s">
        <v>1194</v>
      </c>
      <c r="J853" s="250" t="s">
        <v>1195</v>
      </c>
      <c r="K853" s="255" t="s">
        <v>991</v>
      </c>
      <c r="L853" s="250" t="s">
        <v>1183</v>
      </c>
      <c r="M853" s="277" t="s">
        <v>114</v>
      </c>
      <c r="N853" s="278">
        <v>44354</v>
      </c>
      <c r="O853" s="329" t="s">
        <v>67</v>
      </c>
      <c r="P853" s="330">
        <f t="shared" ref="P853:Q853" si="849">IF(B853=0,0,IF(YEAR(B853)=$Q$1,MONTH(B853)-$P$1+1,(YEAR(B853)-$Q$1)*12-$P$1+1+MONTH(B853)))</f>
        <v>6</v>
      </c>
      <c r="Q853" s="330">
        <f t="shared" si="849"/>
        <v>5</v>
      </c>
      <c r="R853" s="331" t="str">
        <f t="shared" si="1"/>
        <v>Gastos_com_Pessoal</v>
      </c>
      <c r="S853" s="331" t="str">
        <f>IF(D853="","",IF(OR(D853=Plano!$A$1,D853=Plano!$B$1),"entrada","saída"))</f>
        <v>saída</v>
      </c>
      <c r="T853" s="332" t="s">
        <v>114</v>
      </c>
      <c r="U853" s="332" t="s">
        <v>114</v>
      </c>
      <c r="V853" s="344"/>
    </row>
    <row r="854" spans="1:22" ht="31.5" customHeight="1" x14ac:dyDescent="0.2">
      <c r="A854" s="277">
        <f>IF(B854="","",COUNT('Diário 5º PA'!$A$5:$A$2634)+ROW()-4)</f>
        <v>2161</v>
      </c>
      <c r="B854" s="278">
        <v>44354</v>
      </c>
      <c r="C854" s="259">
        <v>44317</v>
      </c>
      <c r="D854" s="255" t="s">
        <v>88</v>
      </c>
      <c r="E854" s="255" t="s">
        <v>90</v>
      </c>
      <c r="F854" s="258">
        <v>10341.35</v>
      </c>
      <c r="G854" s="255" t="s">
        <v>4795</v>
      </c>
      <c r="H854" s="255" t="s">
        <v>114</v>
      </c>
      <c r="I854" s="250" t="s">
        <v>1197</v>
      </c>
      <c r="J854" s="255" t="s">
        <v>1198</v>
      </c>
      <c r="K854" s="255" t="s">
        <v>991</v>
      </c>
      <c r="L854" s="250" t="s">
        <v>1183</v>
      </c>
      <c r="M854" s="277" t="s">
        <v>114</v>
      </c>
      <c r="N854" s="278">
        <v>44354</v>
      </c>
      <c r="O854" s="329" t="s">
        <v>67</v>
      </c>
      <c r="P854" s="330">
        <f t="shared" ref="P854:Q854" si="850">IF(B854=0,0,IF(YEAR(B854)=$Q$1,MONTH(B854)-$P$1+1,(YEAR(B854)-$Q$1)*12-$P$1+1+MONTH(B854)))</f>
        <v>6</v>
      </c>
      <c r="Q854" s="330">
        <f t="shared" si="850"/>
        <v>5</v>
      </c>
      <c r="R854" s="331" t="str">
        <f t="shared" si="1"/>
        <v>Gastos_com_Pessoal</v>
      </c>
      <c r="S854" s="331" t="str">
        <f>IF(D854="","",IF(OR(D854=Plano!$A$1,D854=Plano!$B$1),"entrada","saída"))</f>
        <v>saída</v>
      </c>
      <c r="T854" s="332" t="s">
        <v>114</v>
      </c>
      <c r="U854" s="332" t="s">
        <v>114</v>
      </c>
      <c r="V854" s="344"/>
    </row>
    <row r="855" spans="1:22" ht="43.5" customHeight="1" x14ac:dyDescent="0.2">
      <c r="A855" s="277">
        <f>IF(B855="","",COUNT('Diário 5º PA'!$A$5:$A$2634)+ROW()-4)</f>
        <v>2162</v>
      </c>
      <c r="B855" s="278">
        <v>44354</v>
      </c>
      <c r="C855" s="259">
        <v>44317</v>
      </c>
      <c r="D855" s="255" t="s">
        <v>88</v>
      </c>
      <c r="E855" s="255" t="s">
        <v>90</v>
      </c>
      <c r="F855" s="258">
        <v>2712.3</v>
      </c>
      <c r="G855" s="255" t="s">
        <v>4796</v>
      </c>
      <c r="H855" s="255" t="s">
        <v>114</v>
      </c>
      <c r="I855" s="250" t="s">
        <v>1200</v>
      </c>
      <c r="J855" s="250" t="s">
        <v>1201</v>
      </c>
      <c r="K855" s="255" t="s">
        <v>991</v>
      </c>
      <c r="L855" s="250" t="s">
        <v>1183</v>
      </c>
      <c r="M855" s="277" t="s">
        <v>114</v>
      </c>
      <c r="N855" s="278">
        <v>44354</v>
      </c>
      <c r="O855" s="329" t="s">
        <v>67</v>
      </c>
      <c r="P855" s="330">
        <f t="shared" ref="P855:Q855" si="851">IF(B855=0,0,IF(YEAR(B855)=$Q$1,MONTH(B855)-$P$1+1,(YEAR(B855)-$Q$1)*12-$P$1+1+MONTH(B855)))</f>
        <v>6</v>
      </c>
      <c r="Q855" s="330">
        <f t="shared" si="851"/>
        <v>5</v>
      </c>
      <c r="R855" s="331" t="str">
        <f t="shared" si="1"/>
        <v>Gastos_com_Pessoal</v>
      </c>
      <c r="S855" s="331" t="str">
        <f>IF(D855="","",IF(OR(D855=Plano!$A$1,D855=Plano!$B$1),"entrada","saída"))</f>
        <v>saída</v>
      </c>
      <c r="T855" s="332" t="s">
        <v>114</v>
      </c>
      <c r="U855" s="332" t="s">
        <v>114</v>
      </c>
      <c r="V855" s="344"/>
    </row>
    <row r="856" spans="1:22" ht="36" customHeight="1" x14ac:dyDescent="0.2">
      <c r="A856" s="277">
        <f>IF(B856="","",COUNT('Diário 5º PA'!$A$5:$A$2634)+ROW()-4)</f>
        <v>2163</v>
      </c>
      <c r="B856" s="278">
        <v>44354</v>
      </c>
      <c r="C856" s="259">
        <v>44317</v>
      </c>
      <c r="D856" s="255" t="s">
        <v>88</v>
      </c>
      <c r="E856" s="255" t="s">
        <v>90</v>
      </c>
      <c r="F856" s="258">
        <v>1072.1500000000001</v>
      </c>
      <c r="G856" s="255" t="s">
        <v>4797</v>
      </c>
      <c r="H856" s="255" t="s">
        <v>114</v>
      </c>
      <c r="I856" s="250" t="s">
        <v>1203</v>
      </c>
      <c r="J856" s="250" t="s">
        <v>1204</v>
      </c>
      <c r="K856" s="255" t="s">
        <v>991</v>
      </c>
      <c r="L856" s="250" t="s">
        <v>1183</v>
      </c>
      <c r="M856" s="277" t="s">
        <v>114</v>
      </c>
      <c r="N856" s="278">
        <v>44354</v>
      </c>
      <c r="O856" s="329" t="s">
        <v>67</v>
      </c>
      <c r="P856" s="330">
        <f t="shared" ref="P856:Q856" si="852">IF(B856=0,0,IF(YEAR(B856)=$Q$1,MONTH(B856)-$P$1+1,(YEAR(B856)-$Q$1)*12-$P$1+1+MONTH(B856)))</f>
        <v>6</v>
      </c>
      <c r="Q856" s="330">
        <f t="shared" si="852"/>
        <v>5</v>
      </c>
      <c r="R856" s="331" t="str">
        <f t="shared" si="1"/>
        <v>Gastos_com_Pessoal</v>
      </c>
      <c r="S856" s="331" t="str">
        <f>IF(D856="","",IF(OR(D856=Plano!$A$1,D856=Plano!$B$1),"entrada","saída"))</f>
        <v>saída</v>
      </c>
      <c r="T856" s="332" t="s">
        <v>114</v>
      </c>
      <c r="U856" s="332" t="s">
        <v>114</v>
      </c>
      <c r="V856" s="344"/>
    </row>
    <row r="857" spans="1:22" ht="44.25" customHeight="1" x14ac:dyDescent="0.2">
      <c r="A857" s="277">
        <f>IF(B857="","",COUNT('Diário 5º PA'!$A$5:$A$2634)+ROW()-4)</f>
        <v>2164</v>
      </c>
      <c r="B857" s="278">
        <v>44354</v>
      </c>
      <c r="C857" s="259">
        <v>44317</v>
      </c>
      <c r="D857" s="255" t="s">
        <v>88</v>
      </c>
      <c r="E857" s="255" t="s">
        <v>90</v>
      </c>
      <c r="F857" s="258">
        <v>1497.7</v>
      </c>
      <c r="G857" s="255" t="s">
        <v>4798</v>
      </c>
      <c r="H857" s="255" t="s">
        <v>114</v>
      </c>
      <c r="I857" s="250" t="s">
        <v>1206</v>
      </c>
      <c r="J857" s="250" t="s">
        <v>1207</v>
      </c>
      <c r="K857" s="255" t="s">
        <v>991</v>
      </c>
      <c r="L857" s="250" t="s">
        <v>1183</v>
      </c>
      <c r="M857" s="277" t="s">
        <v>114</v>
      </c>
      <c r="N857" s="278">
        <v>44354</v>
      </c>
      <c r="O857" s="329" t="s">
        <v>67</v>
      </c>
      <c r="P857" s="330">
        <f t="shared" ref="P857:Q857" si="853">IF(B857=0,0,IF(YEAR(B857)=$Q$1,MONTH(B857)-$P$1+1,(YEAR(B857)-$Q$1)*12-$P$1+1+MONTH(B857)))</f>
        <v>6</v>
      </c>
      <c r="Q857" s="330">
        <f t="shared" si="853"/>
        <v>5</v>
      </c>
      <c r="R857" s="331" t="str">
        <f t="shared" si="1"/>
        <v>Gastos_com_Pessoal</v>
      </c>
      <c r="S857" s="331" t="str">
        <f>IF(D857="","",IF(OR(D857=Plano!$A$1,D857=Plano!$B$1),"entrada","saída"))</f>
        <v>saída</v>
      </c>
      <c r="T857" s="332" t="s">
        <v>114</v>
      </c>
      <c r="U857" s="332" t="s">
        <v>114</v>
      </c>
      <c r="V857" s="344"/>
    </row>
    <row r="858" spans="1:22" ht="126" customHeight="1" x14ac:dyDescent="0.2">
      <c r="A858" s="277">
        <f>IF(B858="","",COUNT('Diário 5º PA'!$A$5:$A$2634)+ROW()-4)</f>
        <v>2165</v>
      </c>
      <c r="B858" s="278">
        <v>44354</v>
      </c>
      <c r="C858" s="259">
        <v>44317</v>
      </c>
      <c r="D858" s="255" t="s">
        <v>99</v>
      </c>
      <c r="E858" s="255" t="s">
        <v>330</v>
      </c>
      <c r="F858" s="257">
        <v>348.6</v>
      </c>
      <c r="G858" s="255" t="s">
        <v>692</v>
      </c>
      <c r="H858" s="255" t="s">
        <v>115</v>
      </c>
      <c r="I858" s="250" t="s">
        <v>693</v>
      </c>
      <c r="J858" s="250" t="s">
        <v>694</v>
      </c>
      <c r="K858" s="255" t="s">
        <v>560</v>
      </c>
      <c r="L858" s="250" t="s">
        <v>1016</v>
      </c>
      <c r="M858" s="277">
        <v>31640</v>
      </c>
      <c r="N858" s="278">
        <v>44348</v>
      </c>
      <c r="O858" s="329" t="s">
        <v>67</v>
      </c>
      <c r="P858" s="330">
        <f t="shared" ref="P858:Q858" si="854">IF(B858=0,0,IF(YEAR(B858)=$Q$1,MONTH(B858)-$P$1+1,(YEAR(B858)-$Q$1)*12-$P$1+1+MONTH(B858)))</f>
        <v>6</v>
      </c>
      <c r="Q858" s="330">
        <f t="shared" si="854"/>
        <v>5</v>
      </c>
      <c r="R858" s="331" t="str">
        <f t="shared" si="1"/>
        <v>Gastos_Gerais</v>
      </c>
      <c r="S858" s="331" t="str">
        <f>IF(D858="","",IF(OR(D858=Plano!$A$1,D858=Plano!$B$1),"entrada","saída"))</f>
        <v>saída</v>
      </c>
      <c r="T858" s="332" t="s">
        <v>1059</v>
      </c>
      <c r="U858" s="332">
        <v>1141</v>
      </c>
      <c r="V858" s="344"/>
    </row>
    <row r="859" spans="1:22" ht="104.25" customHeight="1" x14ac:dyDescent="0.2">
      <c r="A859" s="277">
        <f>IF(B859="","",COUNT('Diário 5º PA'!$A$5:$A$2634)+ROW()-4)</f>
        <v>2166</v>
      </c>
      <c r="B859" s="278">
        <v>44354</v>
      </c>
      <c r="C859" s="256">
        <v>44317</v>
      </c>
      <c r="D859" s="255" t="s">
        <v>99</v>
      </c>
      <c r="E859" s="255" t="s">
        <v>228</v>
      </c>
      <c r="F859" s="258">
        <v>7977.25</v>
      </c>
      <c r="G859" s="255" t="s">
        <v>492</v>
      </c>
      <c r="H859" s="255" t="s">
        <v>115</v>
      </c>
      <c r="I859" s="250" t="s">
        <v>493</v>
      </c>
      <c r="J859" s="252" t="s">
        <v>1137</v>
      </c>
      <c r="K859" s="255" t="s">
        <v>991</v>
      </c>
      <c r="L859" s="250" t="s">
        <v>1016</v>
      </c>
      <c r="M859" s="277" t="s">
        <v>4799</v>
      </c>
      <c r="N859" s="278">
        <v>44334</v>
      </c>
      <c r="O859" s="329" t="s">
        <v>67</v>
      </c>
      <c r="P859" s="330">
        <f t="shared" ref="P859:Q859" si="855">IF(B859=0,0,IF(YEAR(B859)=$Q$1,MONTH(B859)-$P$1+1,(YEAR(B859)-$Q$1)*12-$P$1+1+MONTH(B859)))</f>
        <v>6</v>
      </c>
      <c r="Q859" s="330">
        <f t="shared" si="855"/>
        <v>5</v>
      </c>
      <c r="R859" s="331" t="str">
        <f t="shared" si="1"/>
        <v>Gastos_Gerais</v>
      </c>
      <c r="S859" s="331" t="str">
        <f>IF(D859="","",IF(OR(D859=Plano!$A$1,D859=Plano!$B$1),"entrada","saída"))</f>
        <v>saída</v>
      </c>
      <c r="T859" s="332" t="s">
        <v>1059</v>
      </c>
      <c r="U859" s="332">
        <v>1114</v>
      </c>
      <c r="V859" s="344"/>
    </row>
    <row r="860" spans="1:22" ht="92.25" customHeight="1" x14ac:dyDescent="0.2">
      <c r="A860" s="277">
        <f>IF(B860="","",COUNT('Diário 5º PA'!$A$5:$A$2634)+ROW()-4)</f>
        <v>2167</v>
      </c>
      <c r="B860" s="278">
        <v>44354</v>
      </c>
      <c r="C860" s="259">
        <v>44317</v>
      </c>
      <c r="D860" s="252" t="s">
        <v>99</v>
      </c>
      <c r="E860" s="252" t="s">
        <v>294</v>
      </c>
      <c r="F860" s="257">
        <v>961.28</v>
      </c>
      <c r="G860" s="252" t="s">
        <v>4800</v>
      </c>
      <c r="H860" s="252" t="s">
        <v>115</v>
      </c>
      <c r="I860" s="250" t="s">
        <v>1031</v>
      </c>
      <c r="J860" s="250" t="s">
        <v>927</v>
      </c>
      <c r="K860" s="255" t="s">
        <v>560</v>
      </c>
      <c r="L860" s="250" t="s">
        <v>1016</v>
      </c>
      <c r="M860" s="277">
        <v>145</v>
      </c>
      <c r="N860" s="278">
        <v>44322</v>
      </c>
      <c r="O860" s="329" t="s">
        <v>67</v>
      </c>
      <c r="P860" s="330">
        <f t="shared" ref="P860:Q860" si="856">IF(B860=0,0,IF(YEAR(B860)=$Q$1,MONTH(B860)-$P$1+1,(YEAR(B860)-$Q$1)*12-$P$1+1+MONTH(B860)))</f>
        <v>6</v>
      </c>
      <c r="Q860" s="330">
        <f t="shared" si="856"/>
        <v>5</v>
      </c>
      <c r="R860" s="331" t="str">
        <f t="shared" si="1"/>
        <v>Gastos_Gerais</v>
      </c>
      <c r="S860" s="331" t="str">
        <f>IF(D860="","",IF(OR(D860=Plano!$A$1,D860=Plano!$B$1),"entrada","saída"))</f>
        <v>saída</v>
      </c>
      <c r="T860" s="332" t="s">
        <v>1011</v>
      </c>
      <c r="U860" s="332">
        <v>1557</v>
      </c>
      <c r="V860" s="344"/>
    </row>
    <row r="861" spans="1:22" ht="40.5" customHeight="1" x14ac:dyDescent="0.2">
      <c r="A861" s="277">
        <f>IF(B861="","",COUNT('Diário 5º PA'!$A$5:$A$2634)+ROW()-4)</f>
        <v>2168</v>
      </c>
      <c r="B861" s="278">
        <v>44354</v>
      </c>
      <c r="C861" s="259">
        <v>44317</v>
      </c>
      <c r="D861" s="255" t="s">
        <v>88</v>
      </c>
      <c r="E861" s="255" t="s">
        <v>171</v>
      </c>
      <c r="F861" s="258">
        <v>9464.7099999999991</v>
      </c>
      <c r="G861" s="255" t="s">
        <v>4801</v>
      </c>
      <c r="H861" s="255" t="s">
        <v>114</v>
      </c>
      <c r="I861" s="250" t="s">
        <v>1259</v>
      </c>
      <c r="J861" s="255" t="s">
        <v>114</v>
      </c>
      <c r="K861" s="255" t="s">
        <v>466</v>
      </c>
      <c r="L861" s="250" t="s">
        <v>171</v>
      </c>
      <c r="M861" s="278" t="s">
        <v>114</v>
      </c>
      <c r="N861" s="278">
        <v>44354</v>
      </c>
      <c r="O861" s="329" t="s">
        <v>67</v>
      </c>
      <c r="P861" s="330">
        <f t="shared" ref="P861:Q861" si="857">IF(B861=0,0,IF(YEAR(B861)=$Q$1,MONTH(B861)-$P$1+1,(YEAR(B861)-$Q$1)*12-$P$1+1+MONTH(B861)))</f>
        <v>6</v>
      </c>
      <c r="Q861" s="330">
        <f t="shared" si="857"/>
        <v>5</v>
      </c>
      <c r="R861" s="331" t="str">
        <f t="shared" si="1"/>
        <v>Gastos_com_Pessoal</v>
      </c>
      <c r="S861" s="331" t="str">
        <f>IF(D861="","",IF(OR(D861=Plano!$A$1,D861=Plano!$B$1),"entrada","saída"))</f>
        <v>saída</v>
      </c>
      <c r="T861" s="332" t="s">
        <v>114</v>
      </c>
      <c r="U861" s="332" t="s">
        <v>114</v>
      </c>
      <c r="V861" s="344"/>
    </row>
    <row r="862" spans="1:22" ht="36" customHeight="1" x14ac:dyDescent="0.2">
      <c r="A862" s="277">
        <f>IF(B862="","",COUNT('Diário 5º PA'!$A$5:$A$2634)+ROW()-4)</f>
        <v>2169</v>
      </c>
      <c r="B862" s="278">
        <v>44354</v>
      </c>
      <c r="C862" s="256">
        <v>44317</v>
      </c>
      <c r="D862" s="255" t="s">
        <v>99</v>
      </c>
      <c r="E862" s="255" t="s">
        <v>330</v>
      </c>
      <c r="F862" s="258">
        <v>19905.97</v>
      </c>
      <c r="G862" s="255" t="s">
        <v>4802</v>
      </c>
      <c r="H862" s="255" t="s">
        <v>129</v>
      </c>
      <c r="I862" s="252" t="s">
        <v>558</v>
      </c>
      <c r="J862" s="252" t="s">
        <v>559</v>
      </c>
      <c r="K862" s="255" t="s">
        <v>560</v>
      </c>
      <c r="L862" s="250" t="s">
        <v>114</v>
      </c>
      <c r="M862" s="277" t="s">
        <v>114</v>
      </c>
      <c r="N862" s="278">
        <v>44354</v>
      </c>
      <c r="O862" s="329" t="s">
        <v>67</v>
      </c>
      <c r="P862" s="330">
        <f t="shared" ref="P862:Q862" si="858">IF(B862=0,0,IF(YEAR(B862)=$Q$1,MONTH(B862)-$P$1+1,(YEAR(B862)-$Q$1)*12-$P$1+1+MONTH(B862)))</f>
        <v>6</v>
      </c>
      <c r="Q862" s="330">
        <f t="shared" si="858"/>
        <v>5</v>
      </c>
      <c r="R862" s="331" t="str">
        <f t="shared" si="1"/>
        <v>Gastos_Gerais</v>
      </c>
      <c r="S862" s="331" t="str">
        <f>IF(D862="","",IF(OR(D862=Plano!$A$1,D862=Plano!$B$1),"entrada","saída"))</f>
        <v>saída</v>
      </c>
      <c r="T862" s="332" t="s">
        <v>114</v>
      </c>
      <c r="U862" s="332" t="s">
        <v>114</v>
      </c>
      <c r="V862" s="344"/>
    </row>
    <row r="863" spans="1:22" ht="180.75" customHeight="1" x14ac:dyDescent="0.2">
      <c r="A863" s="277">
        <f>IF(B863="","",COUNT('Diário 5º PA'!$A$5:$A$2634)+ROW()-4)</f>
        <v>2170</v>
      </c>
      <c r="B863" s="278">
        <v>44354</v>
      </c>
      <c r="C863" s="259">
        <v>44348</v>
      </c>
      <c r="D863" s="252" t="s">
        <v>99</v>
      </c>
      <c r="E863" s="252" t="s">
        <v>372</v>
      </c>
      <c r="F863" s="257">
        <v>2500</v>
      </c>
      <c r="G863" s="252" t="s">
        <v>471</v>
      </c>
      <c r="H863" s="252" t="s">
        <v>129</v>
      </c>
      <c r="I863" s="252" t="s">
        <v>1285</v>
      </c>
      <c r="J863" s="250" t="s">
        <v>473</v>
      </c>
      <c r="K863" s="255" t="s">
        <v>991</v>
      </c>
      <c r="L863" s="250" t="s">
        <v>1016</v>
      </c>
      <c r="M863" s="277">
        <v>120</v>
      </c>
      <c r="N863" s="278">
        <v>44349</v>
      </c>
      <c r="O863" s="329" t="s">
        <v>67</v>
      </c>
      <c r="P863" s="330">
        <f t="shared" ref="P863:Q863" si="859">IF(B863=0,0,IF(YEAR(B863)=$Q$1,MONTH(B863)-$P$1+1,(YEAR(B863)-$Q$1)*12-$P$1+1+MONTH(B863)))</f>
        <v>6</v>
      </c>
      <c r="Q863" s="330">
        <f t="shared" si="859"/>
        <v>6</v>
      </c>
      <c r="R863" s="331" t="str">
        <f t="shared" si="1"/>
        <v>Gastos_Gerais</v>
      </c>
      <c r="S863" s="331" t="str">
        <f>IF(D863="","",IF(OR(D863=Plano!$A$1,D863=Plano!$B$1),"entrada","saída"))</f>
        <v>saída</v>
      </c>
      <c r="T863" s="332" t="s">
        <v>1059</v>
      </c>
      <c r="U863" s="332">
        <v>1275</v>
      </c>
      <c r="V863" s="344"/>
    </row>
    <row r="864" spans="1:22" ht="249" customHeight="1" x14ac:dyDescent="0.2">
      <c r="A864" s="277">
        <f>IF(B864="","",COUNT('Diário 5º PA'!$A$5:$A$2634)+ROW()-4)</f>
        <v>2171</v>
      </c>
      <c r="B864" s="278">
        <v>44354</v>
      </c>
      <c r="C864" s="259">
        <v>44317</v>
      </c>
      <c r="D864" s="252" t="s">
        <v>99</v>
      </c>
      <c r="E864" s="252" t="s">
        <v>330</v>
      </c>
      <c r="F864" s="257">
        <v>1260</v>
      </c>
      <c r="G864" s="252" t="s">
        <v>574</v>
      </c>
      <c r="H864" s="252" t="s">
        <v>128</v>
      </c>
      <c r="I864" s="252" t="s">
        <v>1354</v>
      </c>
      <c r="J864" s="250" t="s">
        <v>576</v>
      </c>
      <c r="K864" s="255" t="s">
        <v>991</v>
      </c>
      <c r="L864" s="250" t="s">
        <v>1029</v>
      </c>
      <c r="M864" s="277">
        <v>1180</v>
      </c>
      <c r="N864" s="278">
        <v>44349</v>
      </c>
      <c r="O864" s="329" t="s">
        <v>67</v>
      </c>
      <c r="P864" s="330">
        <f t="shared" ref="P864:Q864" si="860">IF(B864=0,0,IF(YEAR(B864)=$Q$1,MONTH(B864)-$P$1+1,(YEAR(B864)-$Q$1)*12-$P$1+1+MONTH(B864)))</f>
        <v>6</v>
      </c>
      <c r="Q864" s="330">
        <f t="shared" si="860"/>
        <v>5</v>
      </c>
      <c r="R864" s="331" t="str">
        <f t="shared" si="1"/>
        <v>Gastos_Gerais</v>
      </c>
      <c r="S864" s="331" t="str">
        <f>IF(D864="","",IF(OR(D864=Plano!$A$1,D864=Plano!$B$1),"entrada","saída"))</f>
        <v>saída</v>
      </c>
      <c r="T864" s="332" t="s">
        <v>1059</v>
      </c>
      <c r="U864" s="332">
        <v>1350</v>
      </c>
      <c r="V864" s="344"/>
    </row>
    <row r="865" spans="1:22" ht="167.25" customHeight="1" x14ac:dyDescent="0.2">
      <c r="A865" s="277">
        <f>IF(B865="","",COUNT('Diário 5º PA'!$A$5:$A$2634)+ROW()-4)</f>
        <v>2172</v>
      </c>
      <c r="B865" s="278">
        <v>44354</v>
      </c>
      <c r="C865" s="259">
        <v>44348</v>
      </c>
      <c r="D865" s="252" t="s">
        <v>99</v>
      </c>
      <c r="E865" s="252" t="s">
        <v>262</v>
      </c>
      <c r="F865" s="257">
        <v>3920</v>
      </c>
      <c r="G865" s="252" t="s">
        <v>468</v>
      </c>
      <c r="H865" s="252" t="s">
        <v>124</v>
      </c>
      <c r="I865" s="252" t="s">
        <v>1295</v>
      </c>
      <c r="J865" s="250" t="s">
        <v>470</v>
      </c>
      <c r="K865" s="255" t="s">
        <v>991</v>
      </c>
      <c r="L865" s="250" t="s">
        <v>992</v>
      </c>
      <c r="M865" s="277" t="s">
        <v>1058</v>
      </c>
      <c r="N865" s="278">
        <v>44349</v>
      </c>
      <c r="O865" s="329" t="s">
        <v>67</v>
      </c>
      <c r="P865" s="330">
        <f t="shared" ref="P865:Q865" si="861">IF(B865=0,0,IF(YEAR(B865)=$Q$1,MONTH(B865)-$P$1+1,(YEAR(B865)-$Q$1)*12-$P$1+1+MONTH(B865)))</f>
        <v>6</v>
      </c>
      <c r="Q865" s="330">
        <f t="shared" si="861"/>
        <v>6</v>
      </c>
      <c r="R865" s="331" t="str">
        <f t="shared" si="1"/>
        <v>Gastos_Gerais</v>
      </c>
      <c r="S865" s="331" t="str">
        <f>IF(D865="","",IF(OR(D865=Plano!$A$1,D865=Plano!$B$1),"entrada","saída"))</f>
        <v>saída</v>
      </c>
      <c r="T865" s="332" t="s">
        <v>1059</v>
      </c>
      <c r="U865" s="332">
        <v>1269</v>
      </c>
      <c r="V865" s="344"/>
    </row>
    <row r="866" spans="1:22" ht="121.5" customHeight="1" x14ac:dyDescent="0.2">
      <c r="A866" s="277">
        <f>IF(B866="","",COUNT('Diário 5º PA'!$A$5:$A$2634)+ROW()-4)</f>
        <v>2173</v>
      </c>
      <c r="B866" s="278">
        <v>44354</v>
      </c>
      <c r="C866" s="259">
        <v>44287</v>
      </c>
      <c r="D866" s="252" t="s">
        <v>99</v>
      </c>
      <c r="E866" s="252" t="s">
        <v>336</v>
      </c>
      <c r="F866" s="257">
        <v>1651.2</v>
      </c>
      <c r="G866" s="252" t="s">
        <v>4803</v>
      </c>
      <c r="H866" s="252" t="s">
        <v>123</v>
      </c>
      <c r="I866" s="252" t="s">
        <v>4804</v>
      </c>
      <c r="J866" s="250" t="s">
        <v>900</v>
      </c>
      <c r="K866" s="255" t="s">
        <v>991</v>
      </c>
      <c r="L866" s="250" t="s">
        <v>1029</v>
      </c>
      <c r="M866" s="277">
        <v>1188</v>
      </c>
      <c r="N866" s="278">
        <v>44350</v>
      </c>
      <c r="O866" s="329" t="s">
        <v>67</v>
      </c>
      <c r="P866" s="330">
        <f t="shared" ref="P866:Q866" si="862">IF(B866=0,0,IF(YEAR(B866)=$Q$1,MONTH(B866)-$P$1+1,(YEAR(B866)-$Q$1)*12-$P$1+1+MONTH(B866)))</f>
        <v>6</v>
      </c>
      <c r="Q866" s="330">
        <f t="shared" si="862"/>
        <v>4</v>
      </c>
      <c r="R866" s="331" t="str">
        <f t="shared" si="1"/>
        <v>Gastos_Gerais</v>
      </c>
      <c r="S866" s="331" t="str">
        <f>IF(D866="","",IF(OR(D866=Plano!$A$1,D866=Plano!$B$1),"entrada","saída"))</f>
        <v>saída</v>
      </c>
      <c r="T866" s="332" t="s">
        <v>994</v>
      </c>
      <c r="U866" s="332">
        <v>1520</v>
      </c>
      <c r="V866" s="344"/>
    </row>
    <row r="867" spans="1:22" ht="126.75" customHeight="1" x14ac:dyDescent="0.2">
      <c r="A867" s="277">
        <f>IF(B867="","",COUNT('Diário 5º PA'!$A$5:$A$2634)+ROW()-4)</f>
        <v>2174</v>
      </c>
      <c r="B867" s="278">
        <v>44354</v>
      </c>
      <c r="C867" s="259">
        <v>44317</v>
      </c>
      <c r="D867" s="252" t="s">
        <v>99</v>
      </c>
      <c r="E867" s="252" t="s">
        <v>336</v>
      </c>
      <c r="F867" s="257">
        <v>2125.92</v>
      </c>
      <c r="G867" s="252" t="s">
        <v>4396</v>
      </c>
      <c r="H867" s="252" t="s">
        <v>117</v>
      </c>
      <c r="I867" s="252" t="s">
        <v>2849</v>
      </c>
      <c r="J867" s="250" t="s">
        <v>1761</v>
      </c>
      <c r="K867" s="255" t="s">
        <v>991</v>
      </c>
      <c r="L867" s="250" t="s">
        <v>1029</v>
      </c>
      <c r="M867" s="277">
        <v>1183</v>
      </c>
      <c r="N867" s="278">
        <v>44349</v>
      </c>
      <c r="O867" s="329" t="s">
        <v>67</v>
      </c>
      <c r="P867" s="330">
        <f t="shared" ref="P867:Q867" si="863">IF(B867=0,0,IF(YEAR(B867)=$Q$1,MONTH(B867)-$P$1+1,(YEAR(B867)-$Q$1)*12-$P$1+1+MONTH(B867)))</f>
        <v>6</v>
      </c>
      <c r="Q867" s="330">
        <f t="shared" si="863"/>
        <v>5</v>
      </c>
      <c r="R867" s="331" t="str">
        <f t="shared" si="1"/>
        <v>Gastos_Gerais</v>
      </c>
      <c r="S867" s="331" t="str">
        <f>IF(D867="","",IF(OR(D867=Plano!$A$1,D867=Plano!$B$1),"entrada","saída"))</f>
        <v>saída</v>
      </c>
      <c r="T867" s="332" t="s">
        <v>994</v>
      </c>
      <c r="U867" s="332">
        <v>1403</v>
      </c>
      <c r="V867" s="344"/>
    </row>
    <row r="868" spans="1:22" ht="129.75" customHeight="1" x14ac:dyDescent="0.2">
      <c r="A868" s="277">
        <f>IF(B868="","",COUNT('Diário 5º PA'!$A$5:$A$2634)+ROW()-4)</f>
        <v>2175</v>
      </c>
      <c r="B868" s="278">
        <v>44354</v>
      </c>
      <c r="C868" s="259">
        <v>44317</v>
      </c>
      <c r="D868" s="252" t="s">
        <v>99</v>
      </c>
      <c r="E868" s="252" t="s">
        <v>336</v>
      </c>
      <c r="F868" s="257">
        <v>2300</v>
      </c>
      <c r="G868" s="252" t="s">
        <v>4388</v>
      </c>
      <c r="H868" s="252" t="s">
        <v>116</v>
      </c>
      <c r="I868" s="252" t="s">
        <v>3681</v>
      </c>
      <c r="J868" s="250" t="s">
        <v>2615</v>
      </c>
      <c r="K868" s="255" t="s">
        <v>991</v>
      </c>
      <c r="L868" s="250" t="s">
        <v>992</v>
      </c>
      <c r="M868" s="277">
        <v>28</v>
      </c>
      <c r="N868" s="278">
        <v>44354</v>
      </c>
      <c r="O868" s="329" t="s">
        <v>67</v>
      </c>
      <c r="P868" s="330">
        <f t="shared" ref="P868:Q868" si="864">IF(B868=0,0,IF(YEAR(B868)=$Q$1,MONTH(B868)-$P$1+1,(YEAR(B868)-$Q$1)*12-$P$1+1+MONTH(B868)))</f>
        <v>6</v>
      </c>
      <c r="Q868" s="330">
        <f t="shared" si="864"/>
        <v>5</v>
      </c>
      <c r="R868" s="331" t="str">
        <f t="shared" si="1"/>
        <v>Gastos_Gerais</v>
      </c>
      <c r="S868" s="331" t="str">
        <f>IF(D868="","",IF(OR(D868=Plano!$A$1,D868=Plano!$B$1),"entrada","saída"))</f>
        <v>saída</v>
      </c>
      <c r="T868" s="332" t="s">
        <v>1059</v>
      </c>
      <c r="U868" s="332">
        <v>1411</v>
      </c>
      <c r="V868" s="344"/>
    </row>
    <row r="869" spans="1:22" ht="60.75" customHeight="1" x14ac:dyDescent="0.2">
      <c r="A869" s="277">
        <f>IF(B869="","",COUNT('Diário 5º PA'!$A$5:$A$2634)+ROW()-4)</f>
        <v>2176</v>
      </c>
      <c r="B869" s="278">
        <v>44354</v>
      </c>
      <c r="C869" s="259">
        <v>44317</v>
      </c>
      <c r="D869" s="252" t="s">
        <v>99</v>
      </c>
      <c r="E869" s="252" t="s">
        <v>340</v>
      </c>
      <c r="F869" s="257">
        <v>75</v>
      </c>
      <c r="G869" s="252" t="s">
        <v>4805</v>
      </c>
      <c r="H869" s="252" t="s">
        <v>118</v>
      </c>
      <c r="I869" s="250" t="s">
        <v>4806</v>
      </c>
      <c r="J869" s="250" t="s">
        <v>4738</v>
      </c>
      <c r="K869" s="255" t="s">
        <v>991</v>
      </c>
      <c r="L869" s="250" t="s">
        <v>992</v>
      </c>
      <c r="M869" s="277" t="s">
        <v>4807</v>
      </c>
      <c r="N869" s="278">
        <v>44351</v>
      </c>
      <c r="O869" s="329" t="s">
        <v>67</v>
      </c>
      <c r="P869" s="330">
        <f t="shared" ref="P869:Q869" si="865">IF(B869=0,0,IF(YEAR(B869)=$Q$1,MONTH(B869)-$P$1+1,(YEAR(B869)-$Q$1)*12-$P$1+1+MONTH(B869)))</f>
        <v>6</v>
      </c>
      <c r="Q869" s="330">
        <f t="shared" si="865"/>
        <v>5</v>
      </c>
      <c r="R869" s="331" t="str">
        <f t="shared" si="1"/>
        <v>Gastos_Gerais</v>
      </c>
      <c r="S869" s="331" t="str">
        <f>IF(D869="","",IF(OR(D869=Plano!$A$1,D869=Plano!$B$1),"entrada","saída"))</f>
        <v>saída</v>
      </c>
      <c r="T869" s="332" t="s">
        <v>1011</v>
      </c>
      <c r="U869" s="332">
        <v>1264</v>
      </c>
      <c r="V869" s="344"/>
    </row>
    <row r="870" spans="1:22" ht="144" customHeight="1" x14ac:dyDescent="0.2">
      <c r="A870" s="277">
        <f>IF(B870="","",COUNT('Diário 5º PA'!$A$5:$A$2634)+ROW()-4)</f>
        <v>2177</v>
      </c>
      <c r="B870" s="278">
        <v>44354</v>
      </c>
      <c r="C870" s="259">
        <v>44317</v>
      </c>
      <c r="D870" s="252" t="s">
        <v>99</v>
      </c>
      <c r="E870" s="252" t="s">
        <v>336</v>
      </c>
      <c r="F870" s="257">
        <v>1344</v>
      </c>
      <c r="G870" s="252" t="s">
        <v>4456</v>
      </c>
      <c r="H870" s="252" t="s">
        <v>117</v>
      </c>
      <c r="I870" s="252" t="s">
        <v>1776</v>
      </c>
      <c r="J870" s="250" t="s">
        <v>1777</v>
      </c>
      <c r="K870" s="255" t="s">
        <v>991</v>
      </c>
      <c r="L870" s="250" t="s">
        <v>1029</v>
      </c>
      <c r="M870" s="277">
        <v>1187</v>
      </c>
      <c r="N870" s="278">
        <v>44349</v>
      </c>
      <c r="O870" s="329" t="s">
        <v>67</v>
      </c>
      <c r="P870" s="330">
        <f t="shared" ref="P870:Q870" si="866">IF(B870=0,0,IF(YEAR(B870)=$Q$1,MONTH(B870)-$P$1+1,(YEAR(B870)-$Q$1)*12-$P$1+1+MONTH(B870)))</f>
        <v>6</v>
      </c>
      <c r="Q870" s="330">
        <f t="shared" si="866"/>
        <v>5</v>
      </c>
      <c r="R870" s="331" t="str">
        <f t="shared" si="1"/>
        <v>Gastos_Gerais</v>
      </c>
      <c r="S870" s="331" t="str">
        <f>IF(D870="","",IF(OR(D870=Plano!$A$1,D870=Plano!$B$1),"entrada","saída"))</f>
        <v>saída</v>
      </c>
      <c r="T870" s="332" t="s">
        <v>994</v>
      </c>
      <c r="U870" s="332">
        <v>1405</v>
      </c>
      <c r="V870" s="344"/>
    </row>
    <row r="871" spans="1:22" ht="141.75" customHeight="1" x14ac:dyDescent="0.2">
      <c r="A871" s="277">
        <f>IF(B871="","",COUNT('Diário 5º PA'!$A$5:$A$2634)+ROW()-4)</f>
        <v>2178</v>
      </c>
      <c r="B871" s="278">
        <v>44354</v>
      </c>
      <c r="C871" s="259">
        <v>44317</v>
      </c>
      <c r="D871" s="252" t="s">
        <v>99</v>
      </c>
      <c r="E871" s="252" t="s">
        <v>336</v>
      </c>
      <c r="F871" s="257">
        <v>2300</v>
      </c>
      <c r="G871" s="252" t="s">
        <v>4388</v>
      </c>
      <c r="H871" s="252" t="s">
        <v>116</v>
      </c>
      <c r="I871" s="252" t="s">
        <v>4210</v>
      </c>
      <c r="J871" s="250" t="s">
        <v>2923</v>
      </c>
      <c r="K871" s="255" t="s">
        <v>991</v>
      </c>
      <c r="L871" s="250" t="s">
        <v>992</v>
      </c>
      <c r="M871" s="277" t="s">
        <v>1299</v>
      </c>
      <c r="N871" s="278">
        <v>44354</v>
      </c>
      <c r="O871" s="329" t="s">
        <v>67</v>
      </c>
      <c r="P871" s="330">
        <f t="shared" ref="P871:Q871" si="867">IF(B871=0,0,IF(YEAR(B871)=$Q$1,MONTH(B871)-$P$1+1,(YEAR(B871)-$Q$1)*12-$P$1+1+MONTH(B871)))</f>
        <v>6</v>
      </c>
      <c r="Q871" s="330">
        <f t="shared" si="867"/>
        <v>5</v>
      </c>
      <c r="R871" s="331" t="str">
        <f t="shared" si="1"/>
        <v>Gastos_Gerais</v>
      </c>
      <c r="S871" s="331" t="str">
        <f>IF(D871="","",IF(OR(D871=Plano!$A$1,D871=Plano!$B$1),"entrada","saída"))</f>
        <v>saída</v>
      </c>
      <c r="T871" s="332" t="s">
        <v>1059</v>
      </c>
      <c r="U871" s="332">
        <v>1421</v>
      </c>
      <c r="V871" s="344"/>
    </row>
    <row r="872" spans="1:22" ht="127.5" customHeight="1" x14ac:dyDescent="0.2">
      <c r="A872" s="277">
        <f>IF(B872="","",COUNT('Diário 5º PA'!$A$5:$A$2634)+ROW()-4)</f>
        <v>2179</v>
      </c>
      <c r="B872" s="278">
        <v>44354</v>
      </c>
      <c r="C872" s="259">
        <v>44317</v>
      </c>
      <c r="D872" s="252" t="s">
        <v>99</v>
      </c>
      <c r="E872" s="252" t="s">
        <v>262</v>
      </c>
      <c r="F872" s="257">
        <v>3429.65</v>
      </c>
      <c r="G872" s="252" t="s">
        <v>4808</v>
      </c>
      <c r="H872" s="252" t="s">
        <v>115</v>
      </c>
      <c r="I872" s="252" t="s">
        <v>1078</v>
      </c>
      <c r="J872" s="250" t="s">
        <v>627</v>
      </c>
      <c r="K872" s="255" t="s">
        <v>991</v>
      </c>
      <c r="L872" s="250" t="s">
        <v>992</v>
      </c>
      <c r="M872" s="277" t="s">
        <v>1675</v>
      </c>
      <c r="N872" s="278">
        <v>44349</v>
      </c>
      <c r="O872" s="329" t="s">
        <v>67</v>
      </c>
      <c r="P872" s="330">
        <f t="shared" ref="P872:Q872" si="868">IF(B872=0,0,IF(YEAR(B872)=$Q$1,MONTH(B872)-$P$1+1,(YEAR(B872)-$Q$1)*12-$P$1+1+MONTH(B872)))</f>
        <v>6</v>
      </c>
      <c r="Q872" s="330">
        <f t="shared" si="868"/>
        <v>5</v>
      </c>
      <c r="R872" s="331" t="str">
        <f t="shared" si="1"/>
        <v>Gastos_Gerais</v>
      </c>
      <c r="S872" s="331" t="str">
        <f>IF(D872="","",IF(OR(D872=Plano!$A$1,D872=Plano!$B$1),"entrada","saída"))</f>
        <v>saída</v>
      </c>
      <c r="T872" s="332" t="s">
        <v>1082</v>
      </c>
      <c r="U872" s="332">
        <v>1458</v>
      </c>
      <c r="V872" s="344"/>
    </row>
    <row r="873" spans="1:22" ht="238.5" customHeight="1" x14ac:dyDescent="0.2">
      <c r="A873" s="277">
        <f>IF(B873="","",COUNT('Diário 5º PA'!$A$5:$A$2634)+ROW()-4)</f>
        <v>2180</v>
      </c>
      <c r="B873" s="278">
        <v>44354</v>
      </c>
      <c r="C873" s="259">
        <v>44317</v>
      </c>
      <c r="D873" s="252" t="s">
        <v>99</v>
      </c>
      <c r="E873" s="252" t="s">
        <v>262</v>
      </c>
      <c r="F873" s="257">
        <v>2000</v>
      </c>
      <c r="G873" s="252" t="s">
        <v>462</v>
      </c>
      <c r="H873" s="252" t="s">
        <v>125</v>
      </c>
      <c r="I873" s="252" t="s">
        <v>1331</v>
      </c>
      <c r="J873" s="250" t="s">
        <v>464</v>
      </c>
      <c r="K873" s="255" t="s">
        <v>991</v>
      </c>
      <c r="L873" s="250" t="s">
        <v>992</v>
      </c>
      <c r="M873" s="277" t="s">
        <v>1058</v>
      </c>
      <c r="N873" s="278">
        <v>44350</v>
      </c>
      <c r="O873" s="329" t="s">
        <v>67</v>
      </c>
      <c r="P873" s="330">
        <f t="shared" ref="P873:Q873" si="869">IF(B873=0,0,IF(YEAR(B873)=$Q$1,MONTH(B873)-$P$1+1,(YEAR(B873)-$Q$1)*12-$P$1+1+MONTH(B873)))</f>
        <v>6</v>
      </c>
      <c r="Q873" s="330">
        <f t="shared" si="869"/>
        <v>5</v>
      </c>
      <c r="R873" s="331" t="str">
        <f t="shared" si="1"/>
        <v>Gastos_Gerais</v>
      </c>
      <c r="S873" s="331" t="str">
        <f>IF(D873="","",IF(OR(D873=Plano!$A$1,D873=Plano!$B$1),"entrada","saída"))</f>
        <v>saída</v>
      </c>
      <c r="T873" s="332" t="s">
        <v>1059</v>
      </c>
      <c r="U873" s="332">
        <v>1267</v>
      </c>
      <c r="V873" s="344"/>
    </row>
    <row r="874" spans="1:22" ht="153.75" customHeight="1" x14ac:dyDescent="0.2">
      <c r="A874" s="277">
        <f>IF(B874="","",COUNT('Diário 5º PA'!$A$5:$A$2634)+ROW()-4)</f>
        <v>2181</v>
      </c>
      <c r="B874" s="278">
        <v>44354</v>
      </c>
      <c r="C874" s="259">
        <v>44317</v>
      </c>
      <c r="D874" s="252" t="s">
        <v>99</v>
      </c>
      <c r="E874" s="252" t="s">
        <v>336</v>
      </c>
      <c r="F874" s="257">
        <v>2300</v>
      </c>
      <c r="G874" s="252" t="s">
        <v>4580</v>
      </c>
      <c r="H874" s="252" t="s">
        <v>117</v>
      </c>
      <c r="I874" s="252" t="s">
        <v>1043</v>
      </c>
      <c r="J874" s="250" t="s">
        <v>1044</v>
      </c>
      <c r="K874" s="255" t="s">
        <v>991</v>
      </c>
      <c r="L874" s="250" t="s">
        <v>1016</v>
      </c>
      <c r="M874" s="346" t="s">
        <v>1600</v>
      </c>
      <c r="N874" s="278">
        <v>44353</v>
      </c>
      <c r="O874" s="329" t="s">
        <v>67</v>
      </c>
      <c r="P874" s="330">
        <f t="shared" ref="P874:Q874" si="870">IF(B874=0,0,IF(YEAR(B874)=$Q$1,MONTH(B874)-$P$1+1,(YEAR(B874)-$Q$1)*12-$P$1+1+MONTH(B874)))</f>
        <v>6</v>
      </c>
      <c r="Q874" s="330">
        <f t="shared" si="870"/>
        <v>5</v>
      </c>
      <c r="R874" s="331" t="str">
        <f t="shared" si="1"/>
        <v>Gastos_Gerais</v>
      </c>
      <c r="S874" s="331" t="str">
        <f>IF(D874="","",IF(OR(D874=Plano!$A$1,D874=Plano!$B$1),"entrada","saída"))</f>
        <v>saída</v>
      </c>
      <c r="T874" s="332" t="s">
        <v>994</v>
      </c>
      <c r="U874" s="332">
        <v>1404</v>
      </c>
      <c r="V874" s="344"/>
    </row>
    <row r="875" spans="1:22" ht="15.75" customHeight="1" x14ac:dyDescent="0.2">
      <c r="A875" s="277">
        <f>IF(B875="","",COUNT('Diário 5º PA'!$A$5:$A$2634)+ROW()-4)</f>
        <v>2182</v>
      </c>
      <c r="B875" s="278">
        <v>44354</v>
      </c>
      <c r="C875" s="259">
        <v>44317</v>
      </c>
      <c r="D875" s="252" t="s">
        <v>99</v>
      </c>
      <c r="E875" s="252" t="s">
        <v>364</v>
      </c>
      <c r="F875" s="257">
        <v>6400</v>
      </c>
      <c r="G875" s="252" t="s">
        <v>4809</v>
      </c>
      <c r="H875" s="252" t="s">
        <v>118</v>
      </c>
      <c r="I875" s="250" t="s">
        <v>1051</v>
      </c>
      <c r="J875" s="250" t="s">
        <v>711</v>
      </c>
      <c r="K875" s="255" t="s">
        <v>991</v>
      </c>
      <c r="L875" s="250" t="s">
        <v>992</v>
      </c>
      <c r="M875" s="277" t="s">
        <v>1394</v>
      </c>
      <c r="N875" s="278">
        <v>44349</v>
      </c>
      <c r="O875" s="329" t="s">
        <v>67</v>
      </c>
      <c r="P875" s="330">
        <f t="shared" ref="P875:Q875" si="871">IF(B875=0,0,IF(YEAR(B875)=$Q$1,MONTH(B875)-$P$1+1,(YEAR(B875)-$Q$1)*12-$P$1+1+MONTH(B875)))</f>
        <v>6</v>
      </c>
      <c r="Q875" s="330">
        <f t="shared" si="871"/>
        <v>5</v>
      </c>
      <c r="R875" s="331" t="str">
        <f t="shared" si="1"/>
        <v>Gastos_Gerais</v>
      </c>
      <c r="S875" s="331" t="str">
        <f>IF(D875="","",IF(OR(D875=Plano!$A$1,D875=Plano!$B$1),"entrada","saída"))</f>
        <v>saída</v>
      </c>
      <c r="T875" s="332" t="s">
        <v>1059</v>
      </c>
      <c r="U875" s="332">
        <v>1562</v>
      </c>
      <c r="V875" s="344"/>
    </row>
    <row r="876" spans="1:22" ht="110.25" customHeight="1" x14ac:dyDescent="0.2">
      <c r="A876" s="277">
        <f>IF(B876="","",COUNT('Diário 5º PA'!$A$5:$A$2634)+ROW()-4)</f>
        <v>2183</v>
      </c>
      <c r="B876" s="278">
        <v>44354</v>
      </c>
      <c r="C876" s="256">
        <v>44317</v>
      </c>
      <c r="D876" s="255" t="s">
        <v>99</v>
      </c>
      <c r="E876" s="255" t="s">
        <v>254</v>
      </c>
      <c r="F876" s="258">
        <v>750</v>
      </c>
      <c r="G876" s="255" t="s">
        <v>651</v>
      </c>
      <c r="H876" s="255" t="s">
        <v>115</v>
      </c>
      <c r="I876" s="250" t="s">
        <v>1135</v>
      </c>
      <c r="J876" s="250" t="s">
        <v>652</v>
      </c>
      <c r="K876" s="255" t="s">
        <v>991</v>
      </c>
      <c r="L876" s="250" t="s">
        <v>1136</v>
      </c>
      <c r="M876" s="277" t="s">
        <v>114</v>
      </c>
      <c r="N876" s="278">
        <v>44349</v>
      </c>
      <c r="O876" s="329" t="s">
        <v>67</v>
      </c>
      <c r="P876" s="330">
        <f t="shared" ref="P876:Q876" si="872">IF(B876=0,0,IF(YEAR(B876)=$Q$1,MONTH(B876)-$P$1+1,(YEAR(B876)-$Q$1)*12-$P$1+1+MONTH(B876)))</f>
        <v>6</v>
      </c>
      <c r="Q876" s="330">
        <f t="shared" si="872"/>
        <v>5</v>
      </c>
      <c r="R876" s="331" t="str">
        <f t="shared" si="1"/>
        <v>Gastos_Gerais</v>
      </c>
      <c r="S876" s="331" t="str">
        <f>IF(D876="","",IF(OR(D876=Plano!$A$1,D876=Plano!$B$1),"entrada","saída"))</f>
        <v>saída</v>
      </c>
      <c r="T876" s="332" t="s">
        <v>1059</v>
      </c>
      <c r="U876" s="332">
        <v>1139</v>
      </c>
      <c r="V876" s="344"/>
    </row>
    <row r="877" spans="1:22" ht="192" customHeight="1" x14ac:dyDescent="0.2">
      <c r="A877" s="277">
        <f>IF(B877="","",COUNT('Diário 5º PA'!$A$5:$A$2634)+ROW()-4)</f>
        <v>2184</v>
      </c>
      <c r="B877" s="278">
        <v>44354</v>
      </c>
      <c r="C877" s="259">
        <v>44317</v>
      </c>
      <c r="D877" s="252" t="s">
        <v>99</v>
      </c>
      <c r="E877" s="252" t="s">
        <v>336</v>
      </c>
      <c r="F877" s="257">
        <v>2231</v>
      </c>
      <c r="G877" s="252" t="s">
        <v>4511</v>
      </c>
      <c r="H877" s="252" t="s">
        <v>116</v>
      </c>
      <c r="I877" s="252" t="s">
        <v>1267</v>
      </c>
      <c r="J877" s="250" t="s">
        <v>1264</v>
      </c>
      <c r="K877" s="255" t="s">
        <v>991</v>
      </c>
      <c r="L877" s="250" t="s">
        <v>1016</v>
      </c>
      <c r="M877" s="277" t="s">
        <v>4810</v>
      </c>
      <c r="N877" s="278">
        <v>44354</v>
      </c>
      <c r="O877" s="329" t="s">
        <v>67</v>
      </c>
      <c r="P877" s="330">
        <f t="shared" ref="P877:Q877" si="873">IF(B877=0,0,IF(YEAR(B877)=$Q$1,MONTH(B877)-$P$1+1,(YEAR(B877)-$Q$1)*12-$P$1+1+MONTH(B877)))</f>
        <v>6</v>
      </c>
      <c r="Q877" s="330">
        <f t="shared" si="873"/>
        <v>5</v>
      </c>
      <c r="R877" s="331" t="str">
        <f t="shared" si="1"/>
        <v>Gastos_Gerais</v>
      </c>
      <c r="S877" s="331" t="str">
        <f>IF(D877="","",IF(OR(D877=Plano!$A$1,D877=Plano!$B$1),"entrada","saída"))</f>
        <v>saída</v>
      </c>
      <c r="T877" s="332" t="s">
        <v>1059</v>
      </c>
      <c r="U877" s="332">
        <v>1420</v>
      </c>
      <c r="V877" s="344"/>
    </row>
    <row r="878" spans="1:22" ht="54.75" customHeight="1" x14ac:dyDescent="0.2">
      <c r="A878" s="277">
        <f>IF(B878="","",COUNT('Diário 5º PA'!$A$5:$A$2634)+ROW()-4)</f>
        <v>2185</v>
      </c>
      <c r="B878" s="278">
        <v>44354</v>
      </c>
      <c r="C878" s="259">
        <v>44256</v>
      </c>
      <c r="D878" s="252" t="s">
        <v>99</v>
      </c>
      <c r="E878" s="252" t="s">
        <v>370</v>
      </c>
      <c r="F878" s="257">
        <v>137.08000000000001</v>
      </c>
      <c r="G878" s="252" t="s">
        <v>4811</v>
      </c>
      <c r="H878" s="252" t="s">
        <v>116</v>
      </c>
      <c r="I878" s="252" t="s">
        <v>465</v>
      </c>
      <c r="J878" s="250" t="s">
        <v>114</v>
      </c>
      <c r="K878" s="250" t="s">
        <v>466</v>
      </c>
      <c r="L878" s="250" t="s">
        <v>467</v>
      </c>
      <c r="M878" s="277">
        <v>2610</v>
      </c>
      <c r="N878" s="278">
        <v>44354</v>
      </c>
      <c r="O878" s="329" t="s">
        <v>67</v>
      </c>
      <c r="P878" s="330">
        <f t="shared" ref="P878:Q878" si="874">IF(B878=0,0,IF(YEAR(B878)=$Q$1,MONTH(B878)-$P$1+1,(YEAR(B878)-$Q$1)*12-$P$1+1+MONTH(B878)))</f>
        <v>6</v>
      </c>
      <c r="Q878" s="330">
        <f t="shared" si="874"/>
        <v>3</v>
      </c>
      <c r="R878" s="331" t="str">
        <f t="shared" si="1"/>
        <v>Gastos_Gerais</v>
      </c>
      <c r="S878" s="331" t="str">
        <f>IF(D878="","",IF(OR(D878=Plano!$A$1,D878=Plano!$B$1),"entrada","saída"))</f>
        <v>saída</v>
      </c>
      <c r="T878" s="332" t="s">
        <v>114</v>
      </c>
      <c r="U878" s="332" t="s">
        <v>114</v>
      </c>
      <c r="V878" s="344"/>
    </row>
    <row r="879" spans="1:22" ht="42.75" customHeight="1" x14ac:dyDescent="0.2">
      <c r="A879" s="277">
        <f>IF(B879="","",COUNT('Diário 5º PA'!$A$5:$A$2634)+ROW()-4)</f>
        <v>2186</v>
      </c>
      <c r="B879" s="278">
        <v>44354</v>
      </c>
      <c r="C879" s="259">
        <v>44287</v>
      </c>
      <c r="D879" s="252" t="s">
        <v>99</v>
      </c>
      <c r="E879" s="252" t="s">
        <v>370</v>
      </c>
      <c r="F879" s="257">
        <v>101.32</v>
      </c>
      <c r="G879" s="252" t="s">
        <v>4812</v>
      </c>
      <c r="H879" s="252" t="s">
        <v>116</v>
      </c>
      <c r="I879" s="250" t="s">
        <v>465</v>
      </c>
      <c r="J879" s="250" t="s">
        <v>114</v>
      </c>
      <c r="K879" s="250" t="s">
        <v>466</v>
      </c>
      <c r="L879" s="250" t="s">
        <v>467</v>
      </c>
      <c r="M879" s="277">
        <v>2611</v>
      </c>
      <c r="N879" s="278">
        <v>44354</v>
      </c>
      <c r="O879" s="329" t="s">
        <v>67</v>
      </c>
      <c r="P879" s="330">
        <f t="shared" ref="P879:Q879" si="875">IF(B879=0,0,IF(YEAR(B879)=$Q$1,MONTH(B879)-$P$1+1,(YEAR(B879)-$Q$1)*12-$P$1+1+MONTH(B879)))</f>
        <v>6</v>
      </c>
      <c r="Q879" s="330">
        <f t="shared" si="875"/>
        <v>4</v>
      </c>
      <c r="R879" s="331" t="str">
        <f t="shared" si="1"/>
        <v>Gastos_Gerais</v>
      </c>
      <c r="S879" s="331" t="str">
        <f>IF(D879="","",IF(OR(D879=Plano!$A$1,D879=Plano!$B$1),"entrada","saída"))</f>
        <v>saída</v>
      </c>
      <c r="T879" s="332" t="s">
        <v>114</v>
      </c>
      <c r="U879" s="332" t="s">
        <v>114</v>
      </c>
      <c r="V879" s="344"/>
    </row>
    <row r="880" spans="1:22" ht="41.25" customHeight="1" x14ac:dyDescent="0.2">
      <c r="A880" s="277">
        <f>IF(B880="","",COUNT('Diário 5º PA'!$A$5:$A$2634)+ROW()-4)</f>
        <v>2187</v>
      </c>
      <c r="B880" s="278">
        <v>44354</v>
      </c>
      <c r="C880" s="259">
        <v>44287</v>
      </c>
      <c r="D880" s="252" t="s">
        <v>99</v>
      </c>
      <c r="E880" s="252" t="s">
        <v>370</v>
      </c>
      <c r="F880" s="257">
        <v>112</v>
      </c>
      <c r="G880" s="252" t="s">
        <v>4813</v>
      </c>
      <c r="H880" s="252" t="s">
        <v>125</v>
      </c>
      <c r="I880" s="252" t="s">
        <v>465</v>
      </c>
      <c r="J880" s="250" t="s">
        <v>114</v>
      </c>
      <c r="K880" s="250" t="s">
        <v>466</v>
      </c>
      <c r="L880" s="250" t="s">
        <v>467</v>
      </c>
      <c r="M880" s="277">
        <v>2612</v>
      </c>
      <c r="N880" s="278">
        <v>44354</v>
      </c>
      <c r="O880" s="329" t="s">
        <v>67</v>
      </c>
      <c r="P880" s="330">
        <f t="shared" ref="P880:Q880" si="876">IF(B880=0,0,IF(YEAR(B880)=$Q$1,MONTH(B880)-$P$1+1,(YEAR(B880)-$Q$1)*12-$P$1+1+MONTH(B880)))</f>
        <v>6</v>
      </c>
      <c r="Q880" s="330">
        <f t="shared" si="876"/>
        <v>4</v>
      </c>
      <c r="R880" s="331" t="str">
        <f t="shared" si="1"/>
        <v>Gastos_Gerais</v>
      </c>
      <c r="S880" s="331" t="str">
        <f>IF(D880="","",IF(OR(D880=Plano!$A$1,D880=Plano!$B$1),"entrada","saída"))</f>
        <v>saída</v>
      </c>
      <c r="T880" s="332" t="s">
        <v>114</v>
      </c>
      <c r="U880" s="332" t="s">
        <v>114</v>
      </c>
      <c r="V880" s="344"/>
    </row>
    <row r="881" spans="1:22" ht="44.25" customHeight="1" x14ac:dyDescent="0.2">
      <c r="A881" s="277">
        <f>IF(B881="","",COUNT('Diário 5º PA'!$A$5:$A$2634)+ROW()-4)</f>
        <v>2188</v>
      </c>
      <c r="B881" s="278">
        <v>44354</v>
      </c>
      <c r="C881" s="259">
        <v>44287</v>
      </c>
      <c r="D881" s="252" t="s">
        <v>99</v>
      </c>
      <c r="E881" s="252" t="s">
        <v>336</v>
      </c>
      <c r="F881" s="257">
        <v>80</v>
      </c>
      <c r="G881" s="252" t="s">
        <v>4814</v>
      </c>
      <c r="H881" s="252" t="s">
        <v>117</v>
      </c>
      <c r="I881" s="252" t="s">
        <v>465</v>
      </c>
      <c r="J881" s="250" t="s">
        <v>114</v>
      </c>
      <c r="K881" s="250" t="s">
        <v>466</v>
      </c>
      <c r="L881" s="250" t="s">
        <v>467</v>
      </c>
      <c r="M881" s="277">
        <v>2613</v>
      </c>
      <c r="N881" s="278">
        <v>44354</v>
      </c>
      <c r="O881" s="329" t="s">
        <v>67</v>
      </c>
      <c r="P881" s="330">
        <f t="shared" ref="P881:Q881" si="877">IF(B881=0,0,IF(YEAR(B881)=$Q$1,MONTH(B881)-$P$1+1,(YEAR(B881)-$Q$1)*12-$P$1+1+MONTH(B881)))</f>
        <v>6</v>
      </c>
      <c r="Q881" s="330">
        <f t="shared" si="877"/>
        <v>4</v>
      </c>
      <c r="R881" s="331" t="str">
        <f t="shared" si="1"/>
        <v>Gastos_Gerais</v>
      </c>
      <c r="S881" s="331" t="str">
        <f>IF(D881="","",IF(OR(D881=Plano!$A$1,D881=Plano!$B$1),"entrada","saída"))</f>
        <v>saída</v>
      </c>
      <c r="T881" s="332" t="s">
        <v>114</v>
      </c>
      <c r="U881" s="332" t="s">
        <v>114</v>
      </c>
      <c r="V881" s="344"/>
    </row>
    <row r="882" spans="1:22" ht="46.5" customHeight="1" x14ac:dyDescent="0.2">
      <c r="A882" s="277">
        <f>IF(B882="","",COUNT('Diário 5º PA'!$A$5:$A$2634)+ROW()-4)</f>
        <v>2189</v>
      </c>
      <c r="B882" s="278">
        <v>44354</v>
      </c>
      <c r="C882" s="259">
        <v>44287</v>
      </c>
      <c r="D882" s="252" t="s">
        <v>99</v>
      </c>
      <c r="E882" s="252" t="s">
        <v>336</v>
      </c>
      <c r="F882" s="257">
        <v>75</v>
      </c>
      <c r="G882" s="252" t="s">
        <v>4815</v>
      </c>
      <c r="H882" s="252" t="s">
        <v>117</v>
      </c>
      <c r="I882" s="252" t="s">
        <v>465</v>
      </c>
      <c r="J882" s="250" t="s">
        <v>114</v>
      </c>
      <c r="K882" s="250" t="s">
        <v>466</v>
      </c>
      <c r="L882" s="250" t="s">
        <v>467</v>
      </c>
      <c r="M882" s="277">
        <v>2614</v>
      </c>
      <c r="N882" s="278">
        <v>44354</v>
      </c>
      <c r="O882" s="329" t="s">
        <v>67</v>
      </c>
      <c r="P882" s="330">
        <f t="shared" ref="P882:Q882" si="878">IF(B882=0,0,IF(YEAR(B882)=$Q$1,MONTH(B882)-$P$1+1,(YEAR(B882)-$Q$1)*12-$P$1+1+MONTH(B882)))</f>
        <v>6</v>
      </c>
      <c r="Q882" s="330">
        <f t="shared" si="878"/>
        <v>4</v>
      </c>
      <c r="R882" s="331" t="str">
        <f t="shared" si="1"/>
        <v>Gastos_Gerais</v>
      </c>
      <c r="S882" s="331" t="str">
        <f>IF(D882="","",IF(OR(D882=Plano!$A$1,D882=Plano!$B$1),"entrada","saída"))</f>
        <v>saída</v>
      </c>
      <c r="T882" s="332" t="s">
        <v>114</v>
      </c>
      <c r="U882" s="332" t="s">
        <v>114</v>
      </c>
      <c r="V882" s="344"/>
    </row>
    <row r="883" spans="1:22" ht="44.25" customHeight="1" x14ac:dyDescent="0.2">
      <c r="A883" s="277">
        <f>IF(B883="","",COUNT('Diário 5º PA'!$A$5:$A$2634)+ROW()-4)</f>
        <v>2190</v>
      </c>
      <c r="B883" s="278">
        <v>44354</v>
      </c>
      <c r="C883" s="259">
        <v>44287</v>
      </c>
      <c r="D883" s="252" t="s">
        <v>99</v>
      </c>
      <c r="E883" s="252" t="s">
        <v>336</v>
      </c>
      <c r="F883" s="257">
        <v>60</v>
      </c>
      <c r="G883" s="252" t="s">
        <v>4816</v>
      </c>
      <c r="H883" s="252" t="s">
        <v>116</v>
      </c>
      <c r="I883" s="252" t="s">
        <v>465</v>
      </c>
      <c r="J883" s="250" t="s">
        <v>114</v>
      </c>
      <c r="K883" s="250" t="s">
        <v>466</v>
      </c>
      <c r="L883" s="250" t="s">
        <v>467</v>
      </c>
      <c r="M883" s="277">
        <v>2615</v>
      </c>
      <c r="N883" s="278">
        <v>44354</v>
      </c>
      <c r="O883" s="329" t="s">
        <v>67</v>
      </c>
      <c r="P883" s="330">
        <f t="shared" ref="P883:Q883" si="879">IF(B883=0,0,IF(YEAR(B883)=$Q$1,MONTH(B883)-$P$1+1,(YEAR(B883)-$Q$1)*12-$P$1+1+MONTH(B883)))</f>
        <v>6</v>
      </c>
      <c r="Q883" s="330">
        <f t="shared" si="879"/>
        <v>4</v>
      </c>
      <c r="R883" s="331" t="str">
        <f t="shared" si="1"/>
        <v>Gastos_Gerais</v>
      </c>
      <c r="S883" s="331" t="str">
        <f>IF(D883="","",IF(OR(D883=Plano!$A$1,D883=Plano!$B$1),"entrada","saída"))</f>
        <v>saída</v>
      </c>
      <c r="T883" s="332" t="s">
        <v>114</v>
      </c>
      <c r="U883" s="332" t="s">
        <v>114</v>
      </c>
      <c r="V883" s="344"/>
    </row>
    <row r="884" spans="1:22" ht="43.5" customHeight="1" x14ac:dyDescent="0.2">
      <c r="A884" s="277">
        <f>IF(B884="","",COUNT('Diário 5º PA'!$A$5:$A$2634)+ROW()-4)</f>
        <v>2191</v>
      </c>
      <c r="B884" s="278">
        <v>44354</v>
      </c>
      <c r="C884" s="259">
        <v>44287</v>
      </c>
      <c r="D884" s="252" t="s">
        <v>99</v>
      </c>
      <c r="E884" s="252" t="s">
        <v>364</v>
      </c>
      <c r="F884" s="257">
        <v>137.5</v>
      </c>
      <c r="G884" s="252" t="s">
        <v>4817</v>
      </c>
      <c r="H884" s="252" t="s">
        <v>132</v>
      </c>
      <c r="I884" s="252" t="s">
        <v>465</v>
      </c>
      <c r="J884" s="250" t="s">
        <v>114</v>
      </c>
      <c r="K884" s="250" t="s">
        <v>466</v>
      </c>
      <c r="L884" s="250" t="s">
        <v>467</v>
      </c>
      <c r="M884" s="277">
        <v>2616</v>
      </c>
      <c r="N884" s="278">
        <v>44354</v>
      </c>
      <c r="O884" s="329" t="s">
        <v>67</v>
      </c>
      <c r="P884" s="330">
        <f t="shared" ref="P884:Q884" si="880">IF(B884=0,0,IF(YEAR(B884)=$Q$1,MONTH(B884)-$P$1+1,(YEAR(B884)-$Q$1)*12-$P$1+1+MONTH(B884)))</f>
        <v>6</v>
      </c>
      <c r="Q884" s="330">
        <f t="shared" si="880"/>
        <v>4</v>
      </c>
      <c r="R884" s="331" t="str">
        <f t="shared" si="1"/>
        <v>Gastos_Gerais</v>
      </c>
      <c r="S884" s="331" t="str">
        <f>IF(D884="","",IF(OR(D884=Plano!$A$1,D884=Plano!$B$1),"entrada","saída"))</f>
        <v>saída</v>
      </c>
      <c r="T884" s="332" t="s">
        <v>114</v>
      </c>
      <c r="U884" s="332" t="s">
        <v>114</v>
      </c>
      <c r="V884" s="344"/>
    </row>
    <row r="885" spans="1:22" ht="37.5" customHeight="1" x14ac:dyDescent="0.2">
      <c r="A885" s="277">
        <f>IF(B885="","",COUNT('Diário 5º PA'!$A$5:$A$2634)+ROW()-4)</f>
        <v>2192</v>
      </c>
      <c r="B885" s="278">
        <v>44354</v>
      </c>
      <c r="C885" s="259">
        <v>44287</v>
      </c>
      <c r="D885" s="252" t="s">
        <v>99</v>
      </c>
      <c r="E885" s="252" t="s">
        <v>364</v>
      </c>
      <c r="F885" s="257">
        <v>90</v>
      </c>
      <c r="G885" s="252" t="s">
        <v>4818</v>
      </c>
      <c r="H885" s="252" t="s">
        <v>125</v>
      </c>
      <c r="I885" s="252" t="s">
        <v>465</v>
      </c>
      <c r="J885" s="250" t="s">
        <v>114</v>
      </c>
      <c r="K885" s="250" t="s">
        <v>466</v>
      </c>
      <c r="L885" s="250" t="s">
        <v>467</v>
      </c>
      <c r="M885" s="277">
        <v>2617</v>
      </c>
      <c r="N885" s="278">
        <v>44354</v>
      </c>
      <c r="O885" s="329" t="s">
        <v>67</v>
      </c>
      <c r="P885" s="330">
        <f t="shared" ref="P885:Q885" si="881">IF(B885=0,0,IF(YEAR(B885)=$Q$1,MONTH(B885)-$P$1+1,(YEAR(B885)-$Q$1)*12-$P$1+1+MONTH(B885)))</f>
        <v>6</v>
      </c>
      <c r="Q885" s="330">
        <f t="shared" si="881"/>
        <v>4</v>
      </c>
      <c r="R885" s="331" t="str">
        <f t="shared" si="1"/>
        <v>Gastos_Gerais</v>
      </c>
      <c r="S885" s="331" t="str">
        <f>IF(D885="","",IF(OR(D885=Plano!$A$1,D885=Plano!$B$1),"entrada","saída"))</f>
        <v>saída</v>
      </c>
      <c r="T885" s="332" t="s">
        <v>114</v>
      </c>
      <c r="U885" s="332" t="s">
        <v>114</v>
      </c>
      <c r="V885" s="344"/>
    </row>
    <row r="886" spans="1:22" ht="48.75" customHeight="1" x14ac:dyDescent="0.2">
      <c r="A886" s="277">
        <f>IF(B886="","",COUNT('Diário 5º PA'!$A$5:$A$2634)+ROW()-4)</f>
        <v>2193</v>
      </c>
      <c r="B886" s="278">
        <v>44354</v>
      </c>
      <c r="C886" s="259">
        <v>44256</v>
      </c>
      <c r="D886" s="252" t="s">
        <v>99</v>
      </c>
      <c r="E886" s="252" t="s">
        <v>262</v>
      </c>
      <c r="F886" s="257">
        <v>75</v>
      </c>
      <c r="G886" s="252" t="s">
        <v>4819</v>
      </c>
      <c r="H886" s="252" t="s">
        <v>127</v>
      </c>
      <c r="I886" s="252" t="s">
        <v>465</v>
      </c>
      <c r="J886" s="250" t="s">
        <v>114</v>
      </c>
      <c r="K886" s="250" t="s">
        <v>466</v>
      </c>
      <c r="L886" s="250" t="s">
        <v>467</v>
      </c>
      <c r="M886" s="277">
        <v>2618</v>
      </c>
      <c r="N886" s="278">
        <v>44354</v>
      </c>
      <c r="O886" s="329" t="s">
        <v>67</v>
      </c>
      <c r="P886" s="330">
        <f t="shared" ref="P886:Q886" si="882">IF(B886=0,0,IF(YEAR(B886)=$Q$1,MONTH(B886)-$P$1+1,(YEAR(B886)-$Q$1)*12-$P$1+1+MONTH(B886)))</f>
        <v>6</v>
      </c>
      <c r="Q886" s="330">
        <f t="shared" si="882"/>
        <v>3</v>
      </c>
      <c r="R886" s="331" t="str">
        <f t="shared" si="1"/>
        <v>Gastos_Gerais</v>
      </c>
      <c r="S886" s="331" t="str">
        <f>IF(D886="","",IF(OR(D886=Plano!$A$1,D886=Plano!$B$1),"entrada","saída"))</f>
        <v>saída</v>
      </c>
      <c r="T886" s="332" t="s">
        <v>114</v>
      </c>
      <c r="U886" s="332" t="s">
        <v>114</v>
      </c>
      <c r="V886" s="344"/>
    </row>
    <row r="887" spans="1:22" ht="45.75" customHeight="1" x14ac:dyDescent="0.2">
      <c r="A887" s="277">
        <f>IF(B887="","",COUNT('Diário 5º PA'!$A$5:$A$2634)+ROW()-4)</f>
        <v>2194</v>
      </c>
      <c r="B887" s="278">
        <v>44354</v>
      </c>
      <c r="C887" s="259">
        <v>44287</v>
      </c>
      <c r="D887" s="252" t="s">
        <v>99</v>
      </c>
      <c r="E887" s="252" t="s">
        <v>346</v>
      </c>
      <c r="F887" s="257">
        <v>120</v>
      </c>
      <c r="G887" s="252" t="s">
        <v>4820</v>
      </c>
      <c r="H887" s="252" t="s">
        <v>125</v>
      </c>
      <c r="I887" s="252" t="s">
        <v>465</v>
      </c>
      <c r="J887" s="250" t="s">
        <v>114</v>
      </c>
      <c r="K887" s="250" t="s">
        <v>466</v>
      </c>
      <c r="L887" s="250" t="s">
        <v>467</v>
      </c>
      <c r="M887" s="277">
        <v>2619</v>
      </c>
      <c r="N887" s="278">
        <v>44354</v>
      </c>
      <c r="O887" s="329" t="s">
        <v>67</v>
      </c>
      <c r="P887" s="330">
        <f t="shared" ref="P887:Q887" si="883">IF(B887=0,0,IF(YEAR(B887)=$Q$1,MONTH(B887)-$P$1+1,(YEAR(B887)-$Q$1)*12-$P$1+1+MONTH(B887)))</f>
        <v>6</v>
      </c>
      <c r="Q887" s="330">
        <f t="shared" si="883"/>
        <v>4</v>
      </c>
      <c r="R887" s="331" t="str">
        <f t="shared" si="1"/>
        <v>Gastos_Gerais</v>
      </c>
      <c r="S887" s="331" t="str">
        <f>IF(D887="","",IF(OR(D887=Plano!$A$1,D887=Plano!$B$1),"entrada","saída"))</f>
        <v>saída</v>
      </c>
      <c r="T887" s="332" t="s">
        <v>114</v>
      </c>
      <c r="U887" s="332" t="s">
        <v>114</v>
      </c>
      <c r="V887" s="344"/>
    </row>
    <row r="888" spans="1:22" ht="45.75" customHeight="1" x14ac:dyDescent="0.2">
      <c r="A888" s="277">
        <f>IF(B888="","",COUNT('Diário 5º PA'!$A$5:$A$2634)+ROW()-4)</f>
        <v>2195</v>
      </c>
      <c r="B888" s="278">
        <v>44354</v>
      </c>
      <c r="C888" s="259">
        <v>44256</v>
      </c>
      <c r="D888" s="252" t="s">
        <v>99</v>
      </c>
      <c r="E888" s="252" t="s">
        <v>262</v>
      </c>
      <c r="F888" s="257">
        <v>75</v>
      </c>
      <c r="G888" s="252" t="s">
        <v>4821</v>
      </c>
      <c r="H888" s="252" t="s">
        <v>128</v>
      </c>
      <c r="I888" s="252" t="s">
        <v>465</v>
      </c>
      <c r="J888" s="250" t="s">
        <v>114</v>
      </c>
      <c r="K888" s="250" t="s">
        <v>466</v>
      </c>
      <c r="L888" s="250" t="s">
        <v>467</v>
      </c>
      <c r="M888" s="277">
        <v>2620</v>
      </c>
      <c r="N888" s="278">
        <v>44354</v>
      </c>
      <c r="O888" s="329" t="s">
        <v>67</v>
      </c>
      <c r="P888" s="330">
        <f t="shared" ref="P888:Q888" si="884">IF(B888=0,0,IF(YEAR(B888)=$Q$1,MONTH(B888)-$P$1+1,(YEAR(B888)-$Q$1)*12-$P$1+1+MONTH(B888)))</f>
        <v>6</v>
      </c>
      <c r="Q888" s="330">
        <f t="shared" si="884"/>
        <v>3</v>
      </c>
      <c r="R888" s="331" t="str">
        <f t="shared" si="1"/>
        <v>Gastos_Gerais</v>
      </c>
      <c r="S888" s="331" t="str">
        <f>IF(D888="","",IF(OR(D888=Plano!$A$1,D888=Plano!$B$1),"entrada","saída"))</f>
        <v>saída</v>
      </c>
      <c r="T888" s="332" t="s">
        <v>114</v>
      </c>
      <c r="U888" s="332" t="s">
        <v>114</v>
      </c>
      <c r="V888" s="344"/>
    </row>
    <row r="889" spans="1:22" ht="41.25" customHeight="1" x14ac:dyDescent="0.2">
      <c r="A889" s="277">
        <f>IF(B889="","",COUNT('Diário 5º PA'!$A$5:$A$2634)+ROW()-4)</f>
        <v>2196</v>
      </c>
      <c r="B889" s="278">
        <v>44354</v>
      </c>
      <c r="C889" s="259">
        <v>44287</v>
      </c>
      <c r="D889" s="255" t="s">
        <v>99</v>
      </c>
      <c r="E889" s="252" t="s">
        <v>358</v>
      </c>
      <c r="F889" s="258">
        <v>43.2</v>
      </c>
      <c r="G889" s="255" t="s">
        <v>4822</v>
      </c>
      <c r="H889" s="255" t="s">
        <v>124</v>
      </c>
      <c r="I889" s="252" t="s">
        <v>465</v>
      </c>
      <c r="J889" s="250" t="s">
        <v>114</v>
      </c>
      <c r="K889" s="250" t="s">
        <v>466</v>
      </c>
      <c r="L889" s="250" t="s">
        <v>467</v>
      </c>
      <c r="M889" s="277">
        <v>2621</v>
      </c>
      <c r="N889" s="278">
        <v>44354</v>
      </c>
      <c r="O889" s="329" t="s">
        <v>67</v>
      </c>
      <c r="P889" s="330">
        <f t="shared" ref="P889:Q889" si="885">IF(B889=0,0,IF(YEAR(B889)=$Q$1,MONTH(B889)-$P$1+1,(YEAR(B889)-$Q$1)*12-$P$1+1+MONTH(B889)))</f>
        <v>6</v>
      </c>
      <c r="Q889" s="330">
        <f t="shared" si="885"/>
        <v>4</v>
      </c>
      <c r="R889" s="331" t="str">
        <f t="shared" si="1"/>
        <v>Gastos_Gerais</v>
      </c>
      <c r="S889" s="331" t="str">
        <f>IF(D889="","",IF(OR(D889=Plano!$A$1,D889=Plano!$B$1),"entrada","saída"))</f>
        <v>saída</v>
      </c>
      <c r="T889" s="332" t="s">
        <v>114</v>
      </c>
      <c r="U889" s="332" t="s">
        <v>114</v>
      </c>
      <c r="V889" s="344"/>
    </row>
    <row r="890" spans="1:22" ht="30.75" customHeight="1" x14ac:dyDescent="0.2">
      <c r="A890" s="277">
        <f>IF(B890="","",COUNT('Diário 5º PA'!$A$5:$A$2634)+ROW()-4)</f>
        <v>2197</v>
      </c>
      <c r="B890" s="278">
        <v>44354</v>
      </c>
      <c r="C890" s="259">
        <v>44287</v>
      </c>
      <c r="D890" s="252" t="s">
        <v>99</v>
      </c>
      <c r="E890" s="252" t="s">
        <v>364</v>
      </c>
      <c r="F890" s="257">
        <v>20</v>
      </c>
      <c r="G890" s="252" t="s">
        <v>4823</v>
      </c>
      <c r="H890" s="252" t="s">
        <v>124</v>
      </c>
      <c r="I890" s="252" t="s">
        <v>465</v>
      </c>
      <c r="J890" s="250" t="s">
        <v>114</v>
      </c>
      <c r="K890" s="250" t="s">
        <v>466</v>
      </c>
      <c r="L890" s="250" t="s">
        <v>467</v>
      </c>
      <c r="M890" s="277">
        <v>2622</v>
      </c>
      <c r="N890" s="278">
        <v>44354</v>
      </c>
      <c r="O890" s="329" t="s">
        <v>67</v>
      </c>
      <c r="P890" s="330">
        <f t="shared" ref="P890:Q890" si="886">IF(B890=0,0,IF(YEAR(B890)=$Q$1,MONTH(B890)-$P$1+1,(YEAR(B890)-$Q$1)*12-$P$1+1+MONTH(B890)))</f>
        <v>6</v>
      </c>
      <c r="Q890" s="330">
        <f t="shared" si="886"/>
        <v>4</v>
      </c>
      <c r="R890" s="331" t="str">
        <f t="shared" si="1"/>
        <v>Gastos_Gerais</v>
      </c>
      <c r="S890" s="331" t="str">
        <f>IF(D890="","",IF(OR(D890=Plano!$A$1,D890=Plano!$B$1),"entrada","saída"))</f>
        <v>saída</v>
      </c>
      <c r="T890" s="332" t="s">
        <v>114</v>
      </c>
      <c r="U890" s="332" t="s">
        <v>114</v>
      </c>
      <c r="V890" s="344"/>
    </row>
    <row r="891" spans="1:22" ht="45" customHeight="1" x14ac:dyDescent="0.2">
      <c r="A891" s="277">
        <f>IF(B891="","",COUNT('Diário 5º PA'!$A$5:$A$2634)+ROW()-4)</f>
        <v>2198</v>
      </c>
      <c r="B891" s="278">
        <v>44354</v>
      </c>
      <c r="C891" s="259">
        <v>44228</v>
      </c>
      <c r="D891" s="252" t="s">
        <v>99</v>
      </c>
      <c r="E891" s="252" t="s">
        <v>358</v>
      </c>
      <c r="F891" s="257">
        <v>12.5</v>
      </c>
      <c r="G891" s="252" t="s">
        <v>4824</v>
      </c>
      <c r="H891" s="252" t="s">
        <v>126</v>
      </c>
      <c r="I891" s="252" t="s">
        <v>465</v>
      </c>
      <c r="J891" s="250" t="s">
        <v>114</v>
      </c>
      <c r="K891" s="250" t="s">
        <v>466</v>
      </c>
      <c r="L891" s="250" t="s">
        <v>467</v>
      </c>
      <c r="M891" s="277">
        <v>2623</v>
      </c>
      <c r="N891" s="278">
        <v>44354</v>
      </c>
      <c r="O891" s="329" t="s">
        <v>67</v>
      </c>
      <c r="P891" s="330">
        <f t="shared" ref="P891:Q891" si="887">IF(B891=0,0,IF(YEAR(B891)=$Q$1,MONTH(B891)-$P$1+1,(YEAR(B891)-$Q$1)*12-$P$1+1+MONTH(B891)))</f>
        <v>6</v>
      </c>
      <c r="Q891" s="330">
        <f t="shared" si="887"/>
        <v>2</v>
      </c>
      <c r="R891" s="331" t="str">
        <f t="shared" si="1"/>
        <v>Gastos_Gerais</v>
      </c>
      <c r="S891" s="331" t="str">
        <f>IF(D891="","",IF(OR(D891=Plano!$A$1,D891=Plano!$B$1),"entrada","saída"))</f>
        <v>saída</v>
      </c>
      <c r="T891" s="332" t="s">
        <v>114</v>
      </c>
      <c r="U891" s="332" t="s">
        <v>114</v>
      </c>
      <c r="V891" s="344"/>
    </row>
    <row r="892" spans="1:22" ht="42" customHeight="1" x14ac:dyDescent="0.2">
      <c r="A892" s="277">
        <f>IF(B892="","",COUNT('Diário 5º PA'!$A$5:$A$2634)+ROW()-4)</f>
        <v>2199</v>
      </c>
      <c r="B892" s="278">
        <v>44354</v>
      </c>
      <c r="C892" s="259">
        <v>44256</v>
      </c>
      <c r="D892" s="252" t="s">
        <v>99</v>
      </c>
      <c r="E892" s="252" t="s">
        <v>336</v>
      </c>
      <c r="F892" s="257">
        <v>75</v>
      </c>
      <c r="G892" s="252" t="s">
        <v>4825</v>
      </c>
      <c r="H892" s="252" t="s">
        <v>117</v>
      </c>
      <c r="I892" s="252" t="s">
        <v>465</v>
      </c>
      <c r="J892" s="250" t="s">
        <v>114</v>
      </c>
      <c r="K892" s="250" t="s">
        <v>466</v>
      </c>
      <c r="L892" s="250" t="s">
        <v>467</v>
      </c>
      <c r="M892" s="277">
        <v>2624</v>
      </c>
      <c r="N892" s="278">
        <v>44354</v>
      </c>
      <c r="O892" s="329" t="s">
        <v>67</v>
      </c>
      <c r="P892" s="330">
        <f t="shared" ref="P892:Q892" si="888">IF(B892=0,0,IF(YEAR(B892)=$Q$1,MONTH(B892)-$P$1+1,(YEAR(B892)-$Q$1)*12-$P$1+1+MONTH(B892)))</f>
        <v>6</v>
      </c>
      <c r="Q892" s="330">
        <f t="shared" si="888"/>
        <v>3</v>
      </c>
      <c r="R892" s="331" t="str">
        <f t="shared" si="1"/>
        <v>Gastos_Gerais</v>
      </c>
      <c r="S892" s="331" t="str">
        <f>IF(D892="","",IF(OR(D892=Plano!$A$1,D892=Plano!$B$1),"entrada","saída"))</f>
        <v>saída</v>
      </c>
      <c r="T892" s="332" t="s">
        <v>114</v>
      </c>
      <c r="U892" s="332" t="s">
        <v>114</v>
      </c>
      <c r="V892" s="344"/>
    </row>
    <row r="893" spans="1:22" ht="47.25" customHeight="1" x14ac:dyDescent="0.2">
      <c r="A893" s="277">
        <f>IF(B893="","",COUNT('Diário 5º PA'!$A$5:$A$2634)+ROW()-4)</f>
        <v>2200</v>
      </c>
      <c r="B893" s="278">
        <v>44354</v>
      </c>
      <c r="C893" s="256">
        <v>44317</v>
      </c>
      <c r="D893" s="255" t="s">
        <v>99</v>
      </c>
      <c r="E893" s="252" t="s">
        <v>364</v>
      </c>
      <c r="F893" s="258">
        <v>250</v>
      </c>
      <c r="G893" s="255" t="s">
        <v>4826</v>
      </c>
      <c r="H893" s="255" t="s">
        <v>131</v>
      </c>
      <c r="I893" s="250" t="s">
        <v>465</v>
      </c>
      <c r="J893" s="250" t="s">
        <v>114</v>
      </c>
      <c r="K893" s="250" t="s">
        <v>466</v>
      </c>
      <c r="L893" s="250" t="s">
        <v>467</v>
      </c>
      <c r="M893" s="277">
        <v>2625</v>
      </c>
      <c r="N893" s="278">
        <v>44354</v>
      </c>
      <c r="O893" s="329" t="s">
        <v>67</v>
      </c>
      <c r="P893" s="330">
        <f t="shared" ref="P893:Q893" si="889">IF(B893=0,0,IF(YEAR(B893)=$Q$1,MONTH(B893)-$P$1+1,(YEAR(B893)-$Q$1)*12-$P$1+1+MONTH(B893)))</f>
        <v>6</v>
      </c>
      <c r="Q893" s="330">
        <f t="shared" si="889"/>
        <v>5</v>
      </c>
      <c r="R893" s="331" t="str">
        <f t="shared" si="1"/>
        <v>Gastos_Gerais</v>
      </c>
      <c r="S893" s="331" t="str">
        <f>IF(D893="","",IF(OR(D893=Plano!$A$1,D893=Plano!$B$1),"entrada","saída"))</f>
        <v>saída</v>
      </c>
      <c r="T893" s="332" t="s">
        <v>114</v>
      </c>
      <c r="U893" s="332" t="s">
        <v>114</v>
      </c>
      <c r="V893" s="344"/>
    </row>
    <row r="894" spans="1:22" ht="35.25" customHeight="1" x14ac:dyDescent="0.2">
      <c r="A894" s="277">
        <f>IF(B894="","",COUNT('Diário 5º PA'!$A$5:$A$2634)+ROW()-4)</f>
        <v>2201</v>
      </c>
      <c r="B894" s="278">
        <v>44354</v>
      </c>
      <c r="C894" s="256">
        <v>44317</v>
      </c>
      <c r="D894" s="255" t="s">
        <v>99</v>
      </c>
      <c r="E894" s="252" t="s">
        <v>386</v>
      </c>
      <c r="F894" s="258">
        <v>115</v>
      </c>
      <c r="G894" s="255" t="s">
        <v>4827</v>
      </c>
      <c r="H894" s="255" t="s">
        <v>131</v>
      </c>
      <c r="I894" s="250" t="s">
        <v>465</v>
      </c>
      <c r="J894" s="250" t="s">
        <v>114</v>
      </c>
      <c r="K894" s="250" t="s">
        <v>466</v>
      </c>
      <c r="L894" s="250" t="s">
        <v>467</v>
      </c>
      <c r="M894" s="277">
        <v>2626</v>
      </c>
      <c r="N894" s="278">
        <v>44354</v>
      </c>
      <c r="O894" s="329" t="s">
        <v>67</v>
      </c>
      <c r="P894" s="330">
        <f t="shared" ref="P894:Q894" si="890">IF(B894=0,0,IF(YEAR(B894)=$Q$1,MONTH(B894)-$P$1+1,(YEAR(B894)-$Q$1)*12-$P$1+1+MONTH(B894)))</f>
        <v>6</v>
      </c>
      <c r="Q894" s="330">
        <f t="shared" si="890"/>
        <v>5</v>
      </c>
      <c r="R894" s="331" t="str">
        <f t="shared" si="1"/>
        <v>Gastos_Gerais</v>
      </c>
      <c r="S894" s="331" t="str">
        <f>IF(D894="","",IF(OR(D894=Plano!$A$1,D894=Plano!$B$1),"entrada","saída"))</f>
        <v>saída</v>
      </c>
      <c r="T894" s="332" t="s">
        <v>114</v>
      </c>
      <c r="U894" s="332" t="s">
        <v>114</v>
      </c>
      <c r="V894" s="344"/>
    </row>
    <row r="895" spans="1:22" ht="40.5" customHeight="1" x14ac:dyDescent="0.2">
      <c r="A895" s="277">
        <f>IF(B895="","",COUNT('Diário 5º PA'!$A$5:$A$2634)+ROW()-4)</f>
        <v>2202</v>
      </c>
      <c r="B895" s="278">
        <v>44354</v>
      </c>
      <c r="C895" s="259">
        <v>44317</v>
      </c>
      <c r="D895" s="252" t="s">
        <v>99</v>
      </c>
      <c r="E895" s="252" t="s">
        <v>386</v>
      </c>
      <c r="F895" s="257">
        <v>115</v>
      </c>
      <c r="G895" s="252" t="s">
        <v>4828</v>
      </c>
      <c r="H895" s="252" t="s">
        <v>131</v>
      </c>
      <c r="I895" s="250" t="s">
        <v>465</v>
      </c>
      <c r="J895" s="250" t="s">
        <v>114</v>
      </c>
      <c r="K895" s="250" t="s">
        <v>466</v>
      </c>
      <c r="L895" s="250" t="s">
        <v>467</v>
      </c>
      <c r="M895" s="277">
        <v>2627</v>
      </c>
      <c r="N895" s="278">
        <v>44354</v>
      </c>
      <c r="O895" s="329" t="s">
        <v>67</v>
      </c>
      <c r="P895" s="330">
        <f t="shared" ref="P895:Q895" si="891">IF(B895=0,0,IF(YEAR(B895)=$Q$1,MONTH(B895)-$P$1+1,(YEAR(B895)-$Q$1)*12-$P$1+1+MONTH(B895)))</f>
        <v>6</v>
      </c>
      <c r="Q895" s="330">
        <f t="shared" si="891"/>
        <v>5</v>
      </c>
      <c r="R895" s="331" t="str">
        <f t="shared" si="1"/>
        <v>Gastos_Gerais</v>
      </c>
      <c r="S895" s="331" t="str">
        <f>IF(D895="","",IF(OR(D895=Plano!$A$1,D895=Plano!$B$1),"entrada","saída"))</f>
        <v>saída</v>
      </c>
      <c r="T895" s="332" t="s">
        <v>114</v>
      </c>
      <c r="U895" s="332" t="s">
        <v>114</v>
      </c>
      <c r="V895" s="344"/>
    </row>
    <row r="896" spans="1:22" ht="48.75" customHeight="1" x14ac:dyDescent="0.2">
      <c r="A896" s="277">
        <f>IF(B896="","",COUNT('Diário 5º PA'!$A$5:$A$2634)+ROW()-4)</f>
        <v>2203</v>
      </c>
      <c r="B896" s="278">
        <v>44354</v>
      </c>
      <c r="C896" s="259">
        <v>44317</v>
      </c>
      <c r="D896" s="252" t="s">
        <v>99</v>
      </c>
      <c r="E896" s="252" t="s">
        <v>358</v>
      </c>
      <c r="F896" s="257">
        <v>18</v>
      </c>
      <c r="G896" s="252" t="s">
        <v>4829</v>
      </c>
      <c r="H896" s="252" t="s">
        <v>122</v>
      </c>
      <c r="I896" s="252" t="s">
        <v>465</v>
      </c>
      <c r="J896" s="250" t="s">
        <v>114</v>
      </c>
      <c r="K896" s="250" t="s">
        <v>466</v>
      </c>
      <c r="L896" s="250" t="s">
        <v>467</v>
      </c>
      <c r="M896" s="277">
        <v>2628</v>
      </c>
      <c r="N896" s="278">
        <v>44354</v>
      </c>
      <c r="O896" s="329" t="s">
        <v>67</v>
      </c>
      <c r="P896" s="330">
        <f t="shared" ref="P896:Q896" si="892">IF(B896=0,0,IF(YEAR(B896)=$Q$1,MONTH(B896)-$P$1+1,(YEAR(B896)-$Q$1)*12-$P$1+1+MONTH(B896)))</f>
        <v>6</v>
      </c>
      <c r="Q896" s="330">
        <f t="shared" si="892"/>
        <v>5</v>
      </c>
      <c r="R896" s="331" t="str">
        <f t="shared" si="1"/>
        <v>Gastos_Gerais</v>
      </c>
      <c r="S896" s="331" t="str">
        <f>IF(D896="","",IF(OR(D896=Plano!$A$1,D896=Plano!$B$1),"entrada","saída"))</f>
        <v>saída</v>
      </c>
      <c r="T896" s="332" t="s">
        <v>114</v>
      </c>
      <c r="U896" s="332" t="s">
        <v>114</v>
      </c>
      <c r="V896" s="344"/>
    </row>
    <row r="897" spans="1:22" ht="43.5" customHeight="1" x14ac:dyDescent="0.2">
      <c r="A897" s="277">
        <f>IF(B897="","",COUNT('Diário 5º PA'!$A$5:$A$2634)+ROW()-4)</f>
        <v>2204</v>
      </c>
      <c r="B897" s="278">
        <v>44354</v>
      </c>
      <c r="C897" s="259">
        <v>44317</v>
      </c>
      <c r="D897" s="252" t="s">
        <v>99</v>
      </c>
      <c r="E897" s="252" t="s">
        <v>226</v>
      </c>
      <c r="F897" s="257">
        <v>13.75</v>
      </c>
      <c r="G897" s="252" t="s">
        <v>4830</v>
      </c>
      <c r="H897" s="252" t="s">
        <v>132</v>
      </c>
      <c r="I897" s="250" t="s">
        <v>465</v>
      </c>
      <c r="J897" s="250" t="s">
        <v>114</v>
      </c>
      <c r="K897" s="250" t="s">
        <v>466</v>
      </c>
      <c r="L897" s="250" t="s">
        <v>467</v>
      </c>
      <c r="M897" s="277">
        <v>2629</v>
      </c>
      <c r="N897" s="278">
        <v>44354</v>
      </c>
      <c r="O897" s="329" t="s">
        <v>67</v>
      </c>
      <c r="P897" s="330">
        <f t="shared" ref="P897:Q897" si="893">IF(B897=0,0,IF(YEAR(B897)=$Q$1,MONTH(B897)-$P$1+1,(YEAR(B897)-$Q$1)*12-$P$1+1+MONTH(B897)))</f>
        <v>6</v>
      </c>
      <c r="Q897" s="330">
        <f t="shared" si="893"/>
        <v>5</v>
      </c>
      <c r="R897" s="331" t="str">
        <f t="shared" si="1"/>
        <v>Gastos_Gerais</v>
      </c>
      <c r="S897" s="331" t="str">
        <f>IF(D897="","",IF(OR(D897=Plano!$A$1,D897=Plano!$B$1),"entrada","saída"))</f>
        <v>saída</v>
      </c>
      <c r="T897" s="332" t="s">
        <v>114</v>
      </c>
      <c r="U897" s="332" t="s">
        <v>114</v>
      </c>
      <c r="V897" s="344"/>
    </row>
    <row r="898" spans="1:22" ht="42.75" customHeight="1" x14ac:dyDescent="0.2">
      <c r="A898" s="277">
        <f>IF(B898="","",COUNT('Diário 5º PA'!$A$5:$A$2634)+ROW()-4)</f>
        <v>2205</v>
      </c>
      <c r="B898" s="278">
        <v>44354</v>
      </c>
      <c r="C898" s="259">
        <v>44287</v>
      </c>
      <c r="D898" s="252" t="s">
        <v>99</v>
      </c>
      <c r="E898" s="252" t="s">
        <v>330</v>
      </c>
      <c r="F898" s="257">
        <v>75</v>
      </c>
      <c r="G898" s="252" t="s">
        <v>4831</v>
      </c>
      <c r="H898" s="252" t="s">
        <v>128</v>
      </c>
      <c r="I898" s="252" t="s">
        <v>465</v>
      </c>
      <c r="J898" s="250" t="s">
        <v>114</v>
      </c>
      <c r="K898" s="250" t="s">
        <v>466</v>
      </c>
      <c r="L898" s="250" t="s">
        <v>467</v>
      </c>
      <c r="M898" s="277">
        <v>2630</v>
      </c>
      <c r="N898" s="278">
        <v>44354</v>
      </c>
      <c r="O898" s="329" t="s">
        <v>67</v>
      </c>
      <c r="P898" s="330">
        <f t="shared" ref="P898:Q898" si="894">IF(B898=0,0,IF(YEAR(B898)=$Q$1,MONTH(B898)-$P$1+1,(YEAR(B898)-$Q$1)*12-$P$1+1+MONTH(B898)))</f>
        <v>6</v>
      </c>
      <c r="Q898" s="330">
        <f t="shared" si="894"/>
        <v>4</v>
      </c>
      <c r="R898" s="331" t="str">
        <f t="shared" si="1"/>
        <v>Gastos_Gerais</v>
      </c>
      <c r="S898" s="331" t="str">
        <f>IF(D898="","",IF(OR(D898=Plano!$A$1,D898=Plano!$B$1),"entrada","saída"))</f>
        <v>saída</v>
      </c>
      <c r="T898" s="332" t="s">
        <v>114</v>
      </c>
      <c r="U898" s="332" t="s">
        <v>114</v>
      </c>
      <c r="V898" s="344"/>
    </row>
    <row r="899" spans="1:22" ht="53.25" customHeight="1" x14ac:dyDescent="0.2">
      <c r="A899" s="277">
        <f>IF(B899="","",COUNT('Diário 5º PA'!$A$5:$A$2634)+ROW()-4)</f>
        <v>2206</v>
      </c>
      <c r="B899" s="278">
        <v>44354</v>
      </c>
      <c r="C899" s="256">
        <v>44317</v>
      </c>
      <c r="D899" s="255" t="s">
        <v>99</v>
      </c>
      <c r="E899" s="252" t="s">
        <v>234</v>
      </c>
      <c r="F899" s="258">
        <v>16.079999999999998</v>
      </c>
      <c r="G899" s="255" t="s">
        <v>4832</v>
      </c>
      <c r="H899" s="255" t="s">
        <v>122</v>
      </c>
      <c r="I899" s="250" t="s">
        <v>465</v>
      </c>
      <c r="J899" s="250" t="s">
        <v>114</v>
      </c>
      <c r="K899" s="250" t="s">
        <v>466</v>
      </c>
      <c r="L899" s="250" t="s">
        <v>467</v>
      </c>
      <c r="M899" s="277">
        <v>2631</v>
      </c>
      <c r="N899" s="278">
        <v>44354</v>
      </c>
      <c r="O899" s="329" t="s">
        <v>67</v>
      </c>
      <c r="P899" s="330">
        <f t="shared" ref="P899:Q899" si="895">IF(B899=0,0,IF(YEAR(B899)=$Q$1,MONTH(B899)-$P$1+1,(YEAR(B899)-$Q$1)*12-$P$1+1+MONTH(B899)))</f>
        <v>6</v>
      </c>
      <c r="Q899" s="330">
        <f t="shared" si="895"/>
        <v>5</v>
      </c>
      <c r="R899" s="331" t="str">
        <f t="shared" si="1"/>
        <v>Gastos_Gerais</v>
      </c>
      <c r="S899" s="331" t="str">
        <f>IF(D899="","",IF(OR(D899=Plano!$A$1,D899=Plano!$B$1),"entrada","saída"))</f>
        <v>saída</v>
      </c>
      <c r="T899" s="332" t="s">
        <v>114</v>
      </c>
      <c r="U899" s="332" t="s">
        <v>114</v>
      </c>
      <c r="V899" s="344"/>
    </row>
    <row r="900" spans="1:22" ht="42.75" customHeight="1" x14ac:dyDescent="0.2">
      <c r="A900" s="277">
        <f>IF(B900="","",COUNT('Diário 5º PA'!$A$5:$A$2634)+ROW()-4)</f>
        <v>2207</v>
      </c>
      <c r="B900" s="278">
        <v>44354</v>
      </c>
      <c r="C900" s="259">
        <v>44298</v>
      </c>
      <c r="D900" s="252" t="s">
        <v>99</v>
      </c>
      <c r="E900" s="252" t="s">
        <v>352</v>
      </c>
      <c r="F900" s="257">
        <v>70.349999999999994</v>
      </c>
      <c r="G900" s="252" t="s">
        <v>4833</v>
      </c>
      <c r="H900" s="252" t="s">
        <v>132</v>
      </c>
      <c r="I900" s="250" t="s">
        <v>465</v>
      </c>
      <c r="J900" s="250" t="s">
        <v>114</v>
      </c>
      <c r="K900" s="250" t="s">
        <v>466</v>
      </c>
      <c r="L900" s="250" t="s">
        <v>467</v>
      </c>
      <c r="M900" s="277">
        <v>2632</v>
      </c>
      <c r="N900" s="278">
        <v>44354</v>
      </c>
      <c r="O900" s="329" t="s">
        <v>67</v>
      </c>
      <c r="P900" s="330">
        <f t="shared" ref="P900:Q900" si="896">IF(B900=0,0,IF(YEAR(B900)=$Q$1,MONTH(B900)-$P$1+1,(YEAR(B900)-$Q$1)*12-$P$1+1+MONTH(B900)))</f>
        <v>6</v>
      </c>
      <c r="Q900" s="330">
        <f t="shared" si="896"/>
        <v>4</v>
      </c>
      <c r="R900" s="331" t="str">
        <f t="shared" si="1"/>
        <v>Gastos_Gerais</v>
      </c>
      <c r="S900" s="331" t="str">
        <f>IF(D900="","",IF(OR(D900=Plano!$A$1,D900=Plano!$B$1),"entrada","saída"))</f>
        <v>saída</v>
      </c>
      <c r="T900" s="332" t="s">
        <v>114</v>
      </c>
      <c r="U900" s="332" t="s">
        <v>114</v>
      </c>
      <c r="V900" s="344"/>
    </row>
    <row r="901" spans="1:22" ht="49.5" customHeight="1" x14ac:dyDescent="0.2">
      <c r="A901" s="277">
        <f>IF(B901="","",COUNT('Diário 5º PA'!$A$5:$A$2634)+ROW()-4)</f>
        <v>2208</v>
      </c>
      <c r="B901" s="278">
        <v>44354</v>
      </c>
      <c r="C901" s="259">
        <v>44287</v>
      </c>
      <c r="D901" s="252" t="s">
        <v>99</v>
      </c>
      <c r="E901" s="252" t="s">
        <v>262</v>
      </c>
      <c r="F901" s="257">
        <v>157.5</v>
      </c>
      <c r="G901" s="252" t="s">
        <v>4834</v>
      </c>
      <c r="H901" s="252" t="s">
        <v>115</v>
      </c>
      <c r="I901" s="252" t="s">
        <v>465</v>
      </c>
      <c r="J901" s="250" t="s">
        <v>114</v>
      </c>
      <c r="K901" s="250" t="s">
        <v>466</v>
      </c>
      <c r="L901" s="250" t="s">
        <v>467</v>
      </c>
      <c r="M901" s="277">
        <v>2633</v>
      </c>
      <c r="N901" s="278">
        <v>44354</v>
      </c>
      <c r="O901" s="329" t="s">
        <v>67</v>
      </c>
      <c r="P901" s="330">
        <f t="shared" ref="P901:Q901" si="897">IF(B901=0,0,IF(YEAR(B901)=$Q$1,MONTH(B901)-$P$1+1,(YEAR(B901)-$Q$1)*12-$P$1+1+MONTH(B901)))</f>
        <v>6</v>
      </c>
      <c r="Q901" s="330">
        <f t="shared" si="897"/>
        <v>4</v>
      </c>
      <c r="R901" s="331" t="str">
        <f t="shared" si="1"/>
        <v>Gastos_Gerais</v>
      </c>
      <c r="S901" s="331" t="str">
        <f>IF(D901="","",IF(OR(D901=Plano!$A$1,D901=Plano!$B$1),"entrada","saída"))</f>
        <v>saída</v>
      </c>
      <c r="T901" s="332" t="s">
        <v>114</v>
      </c>
      <c r="U901" s="332" t="s">
        <v>114</v>
      </c>
      <c r="V901" s="344"/>
    </row>
    <row r="902" spans="1:22" ht="42" customHeight="1" x14ac:dyDescent="0.2">
      <c r="A902" s="277">
        <f>IF(B902="","",COUNT('Diário 5º PA'!$A$5:$A$2634)+ROW()-4)</f>
        <v>2209</v>
      </c>
      <c r="B902" s="278">
        <v>44354</v>
      </c>
      <c r="C902" s="259">
        <v>44317</v>
      </c>
      <c r="D902" s="252" t="s">
        <v>99</v>
      </c>
      <c r="E902" s="252" t="s">
        <v>352</v>
      </c>
      <c r="F902" s="257">
        <v>92</v>
      </c>
      <c r="G902" s="252" t="s">
        <v>4835</v>
      </c>
      <c r="H902" s="252" t="s">
        <v>131</v>
      </c>
      <c r="I902" s="252" t="s">
        <v>465</v>
      </c>
      <c r="J902" s="250" t="s">
        <v>114</v>
      </c>
      <c r="K902" s="250" t="s">
        <v>466</v>
      </c>
      <c r="L902" s="250" t="s">
        <v>467</v>
      </c>
      <c r="M902" s="277">
        <v>2634</v>
      </c>
      <c r="N902" s="278">
        <v>44354</v>
      </c>
      <c r="O902" s="329" t="s">
        <v>67</v>
      </c>
      <c r="P902" s="330">
        <f t="shared" ref="P902:Q902" si="898">IF(B902=0,0,IF(YEAR(B902)=$Q$1,MONTH(B902)-$P$1+1,(YEAR(B902)-$Q$1)*12-$P$1+1+MONTH(B902)))</f>
        <v>6</v>
      </c>
      <c r="Q902" s="330">
        <f t="shared" si="898"/>
        <v>5</v>
      </c>
      <c r="R902" s="331" t="str">
        <f t="shared" si="1"/>
        <v>Gastos_Gerais</v>
      </c>
      <c r="S902" s="331" t="str">
        <f>IF(D902="","",IF(OR(D902=Plano!$A$1,D902=Plano!$B$1),"entrada","saída"))</f>
        <v>saída</v>
      </c>
      <c r="T902" s="332" t="s">
        <v>114</v>
      </c>
      <c r="U902" s="332" t="s">
        <v>114</v>
      </c>
      <c r="V902" s="344"/>
    </row>
    <row r="903" spans="1:22" ht="42" customHeight="1" x14ac:dyDescent="0.2">
      <c r="A903" s="277">
        <f>IF(B903="","",COUNT('Diário 5º PA'!$A$5:$A$2634)+ROW()-4)</f>
        <v>2210</v>
      </c>
      <c r="B903" s="278">
        <v>44354</v>
      </c>
      <c r="C903" s="259">
        <v>44287</v>
      </c>
      <c r="D903" s="252" t="s">
        <v>99</v>
      </c>
      <c r="E903" s="252" t="s">
        <v>340</v>
      </c>
      <c r="F903" s="257">
        <v>229.5</v>
      </c>
      <c r="G903" s="252" t="s">
        <v>4836</v>
      </c>
      <c r="H903" s="252" t="s">
        <v>125</v>
      </c>
      <c r="I903" s="250" t="s">
        <v>465</v>
      </c>
      <c r="J903" s="250" t="s">
        <v>114</v>
      </c>
      <c r="K903" s="250" t="s">
        <v>466</v>
      </c>
      <c r="L903" s="250" t="s">
        <v>467</v>
      </c>
      <c r="M903" s="277">
        <v>2535</v>
      </c>
      <c r="N903" s="278">
        <v>44354</v>
      </c>
      <c r="O903" s="329" t="s">
        <v>67</v>
      </c>
      <c r="P903" s="330">
        <f t="shared" ref="P903:Q903" si="899">IF(B903=0,0,IF(YEAR(B903)=$Q$1,MONTH(B903)-$P$1+1,(YEAR(B903)-$Q$1)*12-$P$1+1+MONTH(B903)))</f>
        <v>6</v>
      </c>
      <c r="Q903" s="330">
        <f t="shared" si="899"/>
        <v>4</v>
      </c>
      <c r="R903" s="331" t="str">
        <f t="shared" si="1"/>
        <v>Gastos_Gerais</v>
      </c>
      <c r="S903" s="331" t="str">
        <f>IF(D903="","",IF(OR(D903=Plano!$A$1,D903=Plano!$B$1),"entrada","saída"))</f>
        <v>saída</v>
      </c>
      <c r="T903" s="332" t="s">
        <v>114</v>
      </c>
      <c r="U903" s="332" t="s">
        <v>114</v>
      </c>
      <c r="V903" s="344"/>
    </row>
    <row r="904" spans="1:22" ht="35.25" customHeight="1" x14ac:dyDescent="0.2">
      <c r="A904" s="277">
        <f>IF(B904="","",COUNT('Diário 5º PA'!$A$5:$A$2634)+ROW()-4)</f>
        <v>2211</v>
      </c>
      <c r="B904" s="278">
        <v>44354</v>
      </c>
      <c r="C904" s="259">
        <v>44287</v>
      </c>
      <c r="D904" s="252" t="s">
        <v>99</v>
      </c>
      <c r="E904" s="252" t="s">
        <v>262</v>
      </c>
      <c r="F904" s="257">
        <v>77.180000000000007</v>
      </c>
      <c r="G904" s="252" t="s">
        <v>4837</v>
      </c>
      <c r="H904" s="252" t="s">
        <v>115</v>
      </c>
      <c r="I904" s="252" t="s">
        <v>465</v>
      </c>
      <c r="J904" s="250" t="s">
        <v>114</v>
      </c>
      <c r="K904" s="250" t="s">
        <v>466</v>
      </c>
      <c r="L904" s="250" t="s">
        <v>467</v>
      </c>
      <c r="M904" s="277">
        <v>2636</v>
      </c>
      <c r="N904" s="278">
        <v>44354</v>
      </c>
      <c r="O904" s="329" t="s">
        <v>67</v>
      </c>
      <c r="P904" s="330">
        <f t="shared" ref="P904:Q904" si="900">IF(B904=0,0,IF(YEAR(B904)=$Q$1,MONTH(B904)-$P$1+1,(YEAR(B904)-$Q$1)*12-$P$1+1+MONTH(B904)))</f>
        <v>6</v>
      </c>
      <c r="Q904" s="330">
        <f t="shared" si="900"/>
        <v>4</v>
      </c>
      <c r="R904" s="331" t="str">
        <f t="shared" si="1"/>
        <v>Gastos_Gerais</v>
      </c>
      <c r="S904" s="331" t="str">
        <f>IF(D904="","",IF(OR(D904=Plano!$A$1,D904=Plano!$B$1),"entrada","saída"))</f>
        <v>saída</v>
      </c>
      <c r="T904" s="332" t="s">
        <v>114</v>
      </c>
      <c r="U904" s="332" t="s">
        <v>114</v>
      </c>
      <c r="V904" s="344"/>
    </row>
    <row r="905" spans="1:22" ht="39" customHeight="1" x14ac:dyDescent="0.2">
      <c r="A905" s="277">
        <f>IF(B905="","",COUNT('Diário 5º PA'!$A$5:$A$2634)+ROW()-4)</f>
        <v>2212</v>
      </c>
      <c r="B905" s="278">
        <v>44354</v>
      </c>
      <c r="C905" s="259">
        <v>44317</v>
      </c>
      <c r="D905" s="252" t="s">
        <v>99</v>
      </c>
      <c r="E905" s="252" t="s">
        <v>262</v>
      </c>
      <c r="F905" s="257">
        <v>80</v>
      </c>
      <c r="G905" s="252" t="s">
        <v>4838</v>
      </c>
      <c r="H905" s="252" t="s">
        <v>124</v>
      </c>
      <c r="I905" s="252" t="s">
        <v>465</v>
      </c>
      <c r="J905" s="250" t="s">
        <v>114</v>
      </c>
      <c r="K905" s="250" t="s">
        <v>466</v>
      </c>
      <c r="L905" s="250" t="s">
        <v>467</v>
      </c>
      <c r="M905" s="277">
        <v>2637</v>
      </c>
      <c r="N905" s="278">
        <v>44354</v>
      </c>
      <c r="O905" s="329" t="s">
        <v>67</v>
      </c>
      <c r="P905" s="330">
        <f t="shared" ref="P905:Q905" si="901">IF(B905=0,0,IF(YEAR(B905)=$Q$1,MONTH(B905)-$P$1+1,(YEAR(B905)-$Q$1)*12-$P$1+1+MONTH(B905)))</f>
        <v>6</v>
      </c>
      <c r="Q905" s="330">
        <f t="shared" si="901"/>
        <v>5</v>
      </c>
      <c r="R905" s="331" t="str">
        <f t="shared" si="1"/>
        <v>Gastos_Gerais</v>
      </c>
      <c r="S905" s="331" t="str">
        <f>IF(D905="","",IF(OR(D905=Plano!$A$1,D905=Plano!$B$1),"entrada","saída"))</f>
        <v>saída</v>
      </c>
      <c r="T905" s="332" t="s">
        <v>114</v>
      </c>
      <c r="U905" s="332" t="s">
        <v>114</v>
      </c>
      <c r="V905" s="344"/>
    </row>
    <row r="906" spans="1:22" ht="48" customHeight="1" x14ac:dyDescent="0.2">
      <c r="A906" s="277">
        <f>IF(B906="","",COUNT('Diário 5º PA'!$A$5:$A$2634)+ROW()-4)</f>
        <v>2213</v>
      </c>
      <c r="B906" s="278">
        <v>44354</v>
      </c>
      <c r="C906" s="259">
        <v>44197</v>
      </c>
      <c r="D906" s="252" t="s">
        <v>99</v>
      </c>
      <c r="E906" s="252" t="s">
        <v>330</v>
      </c>
      <c r="F906" s="257">
        <v>33.9</v>
      </c>
      <c r="G906" s="252" t="s">
        <v>4839</v>
      </c>
      <c r="H906" s="252" t="s">
        <v>115</v>
      </c>
      <c r="I906" s="252" t="s">
        <v>465</v>
      </c>
      <c r="J906" s="250" t="s">
        <v>114</v>
      </c>
      <c r="K906" s="250" t="s">
        <v>466</v>
      </c>
      <c r="L906" s="250" t="s">
        <v>467</v>
      </c>
      <c r="M906" s="277">
        <v>2638</v>
      </c>
      <c r="N906" s="278">
        <v>44354</v>
      </c>
      <c r="O906" s="329" t="s">
        <v>67</v>
      </c>
      <c r="P906" s="330">
        <f t="shared" ref="P906:Q906" si="902">IF(B906=0,0,IF(YEAR(B906)=$Q$1,MONTH(B906)-$P$1+1,(YEAR(B906)-$Q$1)*12-$P$1+1+MONTH(B906)))</f>
        <v>6</v>
      </c>
      <c r="Q906" s="330">
        <f t="shared" si="902"/>
        <v>1</v>
      </c>
      <c r="R906" s="331" t="str">
        <f t="shared" si="1"/>
        <v>Gastos_Gerais</v>
      </c>
      <c r="S906" s="331" t="str">
        <f>IF(D906="","",IF(OR(D906=Plano!$A$1,D906=Plano!$B$1),"entrada","saída"))</f>
        <v>saída</v>
      </c>
      <c r="T906" s="332" t="s">
        <v>114</v>
      </c>
      <c r="U906" s="332" t="s">
        <v>114</v>
      </c>
      <c r="V906" s="344"/>
    </row>
    <row r="907" spans="1:22" ht="39" customHeight="1" x14ac:dyDescent="0.2">
      <c r="A907" s="277">
        <f>IF(B907="","",COUNT('Diário 5º PA'!$A$5:$A$2634)+ROW()-4)</f>
        <v>2214</v>
      </c>
      <c r="B907" s="278">
        <v>44354</v>
      </c>
      <c r="C907" s="259">
        <v>44287</v>
      </c>
      <c r="D907" s="252" t="s">
        <v>99</v>
      </c>
      <c r="E907" s="252" t="s">
        <v>352</v>
      </c>
      <c r="F907" s="257">
        <v>150</v>
      </c>
      <c r="G907" s="252" t="s">
        <v>4840</v>
      </c>
      <c r="H907" s="252" t="s">
        <v>131</v>
      </c>
      <c r="I907" s="252" t="s">
        <v>465</v>
      </c>
      <c r="J907" s="250" t="s">
        <v>114</v>
      </c>
      <c r="K907" s="250" t="s">
        <v>466</v>
      </c>
      <c r="L907" s="250" t="s">
        <v>467</v>
      </c>
      <c r="M907" s="277">
        <v>2639</v>
      </c>
      <c r="N907" s="278">
        <v>44354</v>
      </c>
      <c r="O907" s="329" t="s">
        <v>67</v>
      </c>
      <c r="P907" s="330">
        <f t="shared" ref="P907:Q907" si="903">IF(B907=0,0,IF(YEAR(B907)=$Q$1,MONTH(B907)-$P$1+1,(YEAR(B907)-$Q$1)*12-$P$1+1+MONTH(B907)))</f>
        <v>6</v>
      </c>
      <c r="Q907" s="330">
        <f t="shared" si="903"/>
        <v>4</v>
      </c>
      <c r="R907" s="331" t="str">
        <f t="shared" si="1"/>
        <v>Gastos_Gerais</v>
      </c>
      <c r="S907" s="331" t="str">
        <f>IF(D907="","",IF(OR(D907=Plano!$A$1,D907=Plano!$B$1),"entrada","saída"))</f>
        <v>saída</v>
      </c>
      <c r="T907" s="332" t="s">
        <v>114</v>
      </c>
      <c r="U907" s="332" t="s">
        <v>114</v>
      </c>
      <c r="V907" s="344"/>
    </row>
    <row r="908" spans="1:22" ht="39" customHeight="1" x14ac:dyDescent="0.2">
      <c r="A908" s="277">
        <f>IF(B908="","",COUNT('Diário 5º PA'!$A$5:$A$2634)+ROW()-4)</f>
        <v>2215</v>
      </c>
      <c r="B908" s="278">
        <v>44354</v>
      </c>
      <c r="C908" s="259">
        <v>44317</v>
      </c>
      <c r="D908" s="252" t="s">
        <v>99</v>
      </c>
      <c r="E908" s="252" t="s">
        <v>352</v>
      </c>
      <c r="F908" s="257">
        <v>175</v>
      </c>
      <c r="G908" s="252" t="s">
        <v>4841</v>
      </c>
      <c r="H908" s="252" t="s">
        <v>131</v>
      </c>
      <c r="I908" s="252" t="s">
        <v>465</v>
      </c>
      <c r="J908" s="250" t="s">
        <v>114</v>
      </c>
      <c r="K908" s="250" t="s">
        <v>466</v>
      </c>
      <c r="L908" s="250" t="s">
        <v>467</v>
      </c>
      <c r="M908" s="277">
        <v>2640</v>
      </c>
      <c r="N908" s="278">
        <v>44354</v>
      </c>
      <c r="O908" s="329" t="s">
        <v>67</v>
      </c>
      <c r="P908" s="330">
        <f t="shared" ref="P908:Q908" si="904">IF(B908=0,0,IF(YEAR(B908)=$Q$1,MONTH(B908)-$P$1+1,(YEAR(B908)-$Q$1)*12-$P$1+1+MONTH(B908)))</f>
        <v>6</v>
      </c>
      <c r="Q908" s="330">
        <f t="shared" si="904"/>
        <v>5</v>
      </c>
      <c r="R908" s="331" t="str">
        <f t="shared" si="1"/>
        <v>Gastos_Gerais</v>
      </c>
      <c r="S908" s="331" t="str">
        <f>IF(D908="","",IF(OR(D908=Plano!$A$1,D908=Plano!$B$1),"entrada","saída"))</f>
        <v>saída</v>
      </c>
      <c r="T908" s="332" t="s">
        <v>114</v>
      </c>
      <c r="U908" s="332" t="s">
        <v>114</v>
      </c>
      <c r="V908" s="344"/>
    </row>
    <row r="909" spans="1:22" ht="43.5" customHeight="1" x14ac:dyDescent="0.2">
      <c r="A909" s="277">
        <f>IF(B909="","",COUNT('Diário 5º PA'!$A$5:$A$2634)+ROW()-4)</f>
        <v>2216</v>
      </c>
      <c r="B909" s="278">
        <v>44354</v>
      </c>
      <c r="C909" s="256">
        <v>44287</v>
      </c>
      <c r="D909" s="255" t="s">
        <v>99</v>
      </c>
      <c r="E909" s="252" t="s">
        <v>364</v>
      </c>
      <c r="F909" s="258">
        <v>50.25</v>
      </c>
      <c r="G909" s="255" t="s">
        <v>4842</v>
      </c>
      <c r="H909" s="255" t="s">
        <v>131</v>
      </c>
      <c r="I909" s="250" t="s">
        <v>465</v>
      </c>
      <c r="J909" s="250" t="s">
        <v>114</v>
      </c>
      <c r="K909" s="250" t="s">
        <v>466</v>
      </c>
      <c r="L909" s="250" t="s">
        <v>467</v>
      </c>
      <c r="M909" s="277">
        <v>2641</v>
      </c>
      <c r="N909" s="278">
        <v>44354</v>
      </c>
      <c r="O909" s="329" t="s">
        <v>67</v>
      </c>
      <c r="P909" s="330">
        <f t="shared" ref="P909:Q909" si="905">IF(B909=0,0,IF(YEAR(B909)=$Q$1,MONTH(B909)-$P$1+1,(YEAR(B909)-$Q$1)*12-$P$1+1+MONTH(B909)))</f>
        <v>6</v>
      </c>
      <c r="Q909" s="330">
        <f t="shared" si="905"/>
        <v>4</v>
      </c>
      <c r="R909" s="331" t="str">
        <f t="shared" si="1"/>
        <v>Gastos_Gerais</v>
      </c>
      <c r="S909" s="331" t="str">
        <f>IF(D909="","",IF(OR(D909=Plano!$A$1,D909=Plano!$B$1),"entrada","saída"))</f>
        <v>saída</v>
      </c>
      <c r="T909" s="332" t="s">
        <v>114</v>
      </c>
      <c r="U909" s="332" t="s">
        <v>114</v>
      </c>
      <c r="V909" s="344"/>
    </row>
    <row r="910" spans="1:22" ht="47.25" customHeight="1" x14ac:dyDescent="0.2">
      <c r="A910" s="277">
        <f>IF(B910="","",COUNT('Diário 5º PA'!$A$5:$A$2634)+ROW()-4)</f>
        <v>2217</v>
      </c>
      <c r="B910" s="278">
        <v>44354</v>
      </c>
      <c r="C910" s="259">
        <v>44287</v>
      </c>
      <c r="D910" s="252" t="s">
        <v>99</v>
      </c>
      <c r="E910" s="252" t="s">
        <v>348</v>
      </c>
      <c r="F910" s="257">
        <v>577.5</v>
      </c>
      <c r="G910" s="252" t="s">
        <v>4843</v>
      </c>
      <c r="H910" s="252" t="s">
        <v>131</v>
      </c>
      <c r="I910" s="252" t="s">
        <v>465</v>
      </c>
      <c r="J910" s="250" t="s">
        <v>114</v>
      </c>
      <c r="K910" s="250" t="s">
        <v>466</v>
      </c>
      <c r="L910" s="250" t="s">
        <v>467</v>
      </c>
      <c r="M910" s="277">
        <v>2642</v>
      </c>
      <c r="N910" s="278">
        <v>44354</v>
      </c>
      <c r="O910" s="329" t="s">
        <v>67</v>
      </c>
      <c r="P910" s="330">
        <f t="shared" ref="P910:Q910" si="906">IF(B910=0,0,IF(YEAR(B910)=$Q$1,MONTH(B910)-$P$1+1,(YEAR(B910)-$Q$1)*12-$P$1+1+MONTH(B910)))</f>
        <v>6</v>
      </c>
      <c r="Q910" s="330">
        <f t="shared" si="906"/>
        <v>4</v>
      </c>
      <c r="R910" s="331" t="str">
        <f t="shared" si="1"/>
        <v>Gastos_Gerais</v>
      </c>
      <c r="S910" s="331" t="str">
        <f>IF(D910="","",IF(OR(D910=Plano!$A$1,D910=Plano!$B$1),"entrada","saída"))</f>
        <v>saída</v>
      </c>
      <c r="T910" s="332" t="s">
        <v>114</v>
      </c>
      <c r="U910" s="332" t="s">
        <v>114</v>
      </c>
      <c r="V910" s="344"/>
    </row>
    <row r="911" spans="1:22" ht="45" customHeight="1" x14ac:dyDescent="0.2">
      <c r="A911" s="277">
        <f>IF(B911="","",COUNT('Diário 5º PA'!$A$5:$A$2634)+ROW()-4)</f>
        <v>2218</v>
      </c>
      <c r="B911" s="278">
        <v>44354</v>
      </c>
      <c r="C911" s="259">
        <v>44287</v>
      </c>
      <c r="D911" s="252" t="s">
        <v>99</v>
      </c>
      <c r="E911" s="252" t="s">
        <v>352</v>
      </c>
      <c r="F911" s="257">
        <v>55.27</v>
      </c>
      <c r="G911" s="252" t="s">
        <v>4844</v>
      </c>
      <c r="H911" s="252" t="s">
        <v>132</v>
      </c>
      <c r="I911" s="252" t="s">
        <v>465</v>
      </c>
      <c r="J911" s="250" t="s">
        <v>114</v>
      </c>
      <c r="K911" s="250" t="s">
        <v>466</v>
      </c>
      <c r="L911" s="250" t="s">
        <v>467</v>
      </c>
      <c r="M911" s="277">
        <v>2643</v>
      </c>
      <c r="N911" s="278">
        <v>44354</v>
      </c>
      <c r="O911" s="329" t="s">
        <v>67</v>
      </c>
      <c r="P911" s="330">
        <f t="shared" ref="P911:Q911" si="907">IF(B911=0,0,IF(YEAR(B911)=$Q$1,MONTH(B911)-$P$1+1,(YEAR(B911)-$Q$1)*12-$P$1+1+MONTH(B911)))</f>
        <v>6</v>
      </c>
      <c r="Q911" s="330">
        <f t="shared" si="907"/>
        <v>4</v>
      </c>
      <c r="R911" s="331" t="str">
        <f t="shared" si="1"/>
        <v>Gastos_Gerais</v>
      </c>
      <c r="S911" s="331" t="str">
        <f>IF(D911="","",IF(OR(D911=Plano!$A$1,D911=Plano!$B$1),"entrada","saída"))</f>
        <v>saída</v>
      </c>
      <c r="T911" s="332" t="s">
        <v>114</v>
      </c>
      <c r="U911" s="332" t="s">
        <v>114</v>
      </c>
      <c r="V911" s="344"/>
    </row>
    <row r="912" spans="1:22" ht="34.5" customHeight="1" x14ac:dyDescent="0.2">
      <c r="A912" s="277">
        <f>IF(B912="","",COUNT('Diário 5º PA'!$A$5:$A$2634)+ROW()-4)</f>
        <v>2219</v>
      </c>
      <c r="B912" s="278">
        <v>44354</v>
      </c>
      <c r="C912" s="259">
        <v>44287</v>
      </c>
      <c r="D912" s="252" t="s">
        <v>99</v>
      </c>
      <c r="E912" s="252" t="s">
        <v>364</v>
      </c>
      <c r="F912" s="257">
        <v>110.55</v>
      </c>
      <c r="G912" s="252" t="s">
        <v>4845</v>
      </c>
      <c r="H912" s="252" t="s">
        <v>132</v>
      </c>
      <c r="I912" s="252" t="s">
        <v>465</v>
      </c>
      <c r="J912" s="250" t="s">
        <v>114</v>
      </c>
      <c r="K912" s="250" t="s">
        <v>466</v>
      </c>
      <c r="L912" s="250" t="s">
        <v>467</v>
      </c>
      <c r="M912" s="277">
        <v>2644</v>
      </c>
      <c r="N912" s="278">
        <v>44354</v>
      </c>
      <c r="O912" s="329" t="s">
        <v>67</v>
      </c>
      <c r="P912" s="330">
        <f t="shared" ref="P912:Q912" si="908">IF(B912=0,0,IF(YEAR(B912)=$Q$1,MONTH(B912)-$P$1+1,(YEAR(B912)-$Q$1)*12-$P$1+1+MONTH(B912)))</f>
        <v>6</v>
      </c>
      <c r="Q912" s="330">
        <f t="shared" si="908"/>
        <v>4</v>
      </c>
      <c r="R912" s="331" t="str">
        <f t="shared" si="1"/>
        <v>Gastos_Gerais</v>
      </c>
      <c r="S912" s="331" t="str">
        <f>IF(D912="","",IF(OR(D912=Plano!$A$1,D912=Plano!$B$1),"entrada","saída"))</f>
        <v>saída</v>
      </c>
      <c r="T912" s="332" t="s">
        <v>114</v>
      </c>
      <c r="U912" s="332" t="s">
        <v>114</v>
      </c>
      <c r="V912" s="344"/>
    </row>
    <row r="913" spans="1:22" ht="36.75" customHeight="1" x14ac:dyDescent="0.2">
      <c r="A913" s="277">
        <f>IF(B913="","",COUNT('Diário 5º PA'!$A$5:$A$2634)+ROW()-4)</f>
        <v>2220</v>
      </c>
      <c r="B913" s="278">
        <v>44354</v>
      </c>
      <c r="C913" s="259">
        <v>44287</v>
      </c>
      <c r="D913" s="252" t="s">
        <v>99</v>
      </c>
      <c r="E913" s="252" t="s">
        <v>352</v>
      </c>
      <c r="F913" s="257">
        <v>250</v>
      </c>
      <c r="G913" s="252" t="s">
        <v>4846</v>
      </c>
      <c r="H913" s="252" t="s">
        <v>126</v>
      </c>
      <c r="I913" s="252" t="s">
        <v>465</v>
      </c>
      <c r="J913" s="250" t="s">
        <v>114</v>
      </c>
      <c r="K913" s="250" t="s">
        <v>466</v>
      </c>
      <c r="L913" s="250" t="s">
        <v>467</v>
      </c>
      <c r="M913" s="277">
        <v>2645</v>
      </c>
      <c r="N913" s="278">
        <v>44354</v>
      </c>
      <c r="O913" s="329" t="s">
        <v>67</v>
      </c>
      <c r="P913" s="330">
        <f t="shared" ref="P913:Q913" si="909">IF(B913=0,0,IF(YEAR(B913)=$Q$1,MONTH(B913)-$P$1+1,(YEAR(B913)-$Q$1)*12-$P$1+1+MONTH(B913)))</f>
        <v>6</v>
      </c>
      <c r="Q913" s="330">
        <f t="shared" si="909"/>
        <v>4</v>
      </c>
      <c r="R913" s="331" t="str">
        <f t="shared" si="1"/>
        <v>Gastos_Gerais</v>
      </c>
      <c r="S913" s="331" t="str">
        <f>IF(D913="","",IF(OR(D913=Plano!$A$1,D913=Plano!$B$1),"entrada","saída"))</f>
        <v>saída</v>
      </c>
      <c r="T913" s="332" t="s">
        <v>114</v>
      </c>
      <c r="U913" s="332" t="s">
        <v>114</v>
      </c>
      <c r="V913" s="344"/>
    </row>
    <row r="914" spans="1:22" ht="33.75" customHeight="1" x14ac:dyDescent="0.2">
      <c r="A914" s="277">
        <f>IF(B914="","",COUNT('Diário 5º PA'!$A$5:$A$2634)+ROW()-4)</f>
        <v>2221</v>
      </c>
      <c r="B914" s="278">
        <v>44354</v>
      </c>
      <c r="C914" s="259">
        <v>44287</v>
      </c>
      <c r="D914" s="252" t="s">
        <v>99</v>
      </c>
      <c r="E914" s="252" t="s">
        <v>262</v>
      </c>
      <c r="F914" s="257">
        <v>132.66</v>
      </c>
      <c r="G914" s="252" t="s">
        <v>4847</v>
      </c>
      <c r="H914" s="252" t="s">
        <v>115</v>
      </c>
      <c r="I914" s="252" t="s">
        <v>465</v>
      </c>
      <c r="J914" s="250" t="s">
        <v>114</v>
      </c>
      <c r="K914" s="250" t="s">
        <v>466</v>
      </c>
      <c r="L914" s="250" t="s">
        <v>467</v>
      </c>
      <c r="M914" s="277">
        <v>2646</v>
      </c>
      <c r="N914" s="278">
        <v>44354</v>
      </c>
      <c r="O914" s="329" t="s">
        <v>67</v>
      </c>
      <c r="P914" s="330">
        <f t="shared" ref="P914:Q914" si="910">IF(B914=0,0,IF(YEAR(B914)=$Q$1,MONTH(B914)-$P$1+1,(YEAR(B914)-$Q$1)*12-$P$1+1+MONTH(B914)))</f>
        <v>6</v>
      </c>
      <c r="Q914" s="330">
        <f t="shared" si="910"/>
        <v>4</v>
      </c>
      <c r="R914" s="331" t="str">
        <f t="shared" si="1"/>
        <v>Gastos_Gerais</v>
      </c>
      <c r="S914" s="331" t="str">
        <f>IF(D914="","",IF(OR(D914=Plano!$A$1,D914=Plano!$B$1),"entrada","saída"))</f>
        <v>saída</v>
      </c>
      <c r="T914" s="332" t="s">
        <v>114</v>
      </c>
      <c r="U914" s="332" t="s">
        <v>114</v>
      </c>
      <c r="V914" s="344"/>
    </row>
    <row r="915" spans="1:22" ht="34.5" customHeight="1" x14ac:dyDescent="0.2">
      <c r="A915" s="277">
        <f>IF(B915="","",COUNT('Diário 5º PA'!$A$5:$A$2634)+ROW()-4)</f>
        <v>2222</v>
      </c>
      <c r="B915" s="278">
        <v>44354</v>
      </c>
      <c r="C915" s="259">
        <v>44287</v>
      </c>
      <c r="D915" s="252" t="s">
        <v>99</v>
      </c>
      <c r="E915" s="252" t="s">
        <v>262</v>
      </c>
      <c r="F915" s="257">
        <v>70.349999999999994</v>
      </c>
      <c r="G915" s="252" t="s">
        <v>4848</v>
      </c>
      <c r="H915" s="252" t="s">
        <v>115</v>
      </c>
      <c r="I915" s="252" t="s">
        <v>465</v>
      </c>
      <c r="J915" s="250" t="s">
        <v>114</v>
      </c>
      <c r="K915" s="250" t="s">
        <v>466</v>
      </c>
      <c r="L915" s="250" t="s">
        <v>467</v>
      </c>
      <c r="M915" s="277">
        <v>2647</v>
      </c>
      <c r="N915" s="278">
        <v>44354</v>
      </c>
      <c r="O915" s="329" t="s">
        <v>67</v>
      </c>
      <c r="P915" s="330">
        <f t="shared" ref="P915:Q915" si="911">IF(B915=0,0,IF(YEAR(B915)=$Q$1,MONTH(B915)-$P$1+1,(YEAR(B915)-$Q$1)*12-$P$1+1+MONTH(B915)))</f>
        <v>6</v>
      </c>
      <c r="Q915" s="330">
        <f t="shared" si="911"/>
        <v>4</v>
      </c>
      <c r="R915" s="331" t="str">
        <f t="shared" si="1"/>
        <v>Gastos_Gerais</v>
      </c>
      <c r="S915" s="331" t="str">
        <f>IF(D915="","",IF(OR(D915=Plano!$A$1,D915=Plano!$B$1),"entrada","saída"))</f>
        <v>saída</v>
      </c>
      <c r="T915" s="332" t="s">
        <v>114</v>
      </c>
      <c r="U915" s="332" t="s">
        <v>114</v>
      </c>
      <c r="V915" s="344"/>
    </row>
    <row r="916" spans="1:22" ht="35.25" customHeight="1" x14ac:dyDescent="0.2">
      <c r="A916" s="277">
        <f>IF(B916="","",COUNT('Diário 5º PA'!$A$5:$A$2634)+ROW()-4)</f>
        <v>2223</v>
      </c>
      <c r="B916" s="278">
        <v>44354</v>
      </c>
      <c r="C916" s="259">
        <v>44287</v>
      </c>
      <c r="D916" s="252" t="s">
        <v>99</v>
      </c>
      <c r="E916" s="252" t="s">
        <v>244</v>
      </c>
      <c r="F916" s="257">
        <v>105.39</v>
      </c>
      <c r="G916" s="252" t="s">
        <v>4849</v>
      </c>
      <c r="H916" s="252" t="s">
        <v>128</v>
      </c>
      <c r="I916" s="252" t="s">
        <v>465</v>
      </c>
      <c r="J916" s="250" t="s">
        <v>114</v>
      </c>
      <c r="K916" s="250" t="s">
        <v>466</v>
      </c>
      <c r="L916" s="250" t="s">
        <v>467</v>
      </c>
      <c r="M916" s="277">
        <v>2648</v>
      </c>
      <c r="N916" s="278">
        <v>44354</v>
      </c>
      <c r="O916" s="329" t="s">
        <v>67</v>
      </c>
      <c r="P916" s="330">
        <f t="shared" ref="P916:Q916" si="912">IF(B916=0,0,IF(YEAR(B916)=$Q$1,MONTH(B916)-$P$1+1,(YEAR(B916)-$Q$1)*12-$P$1+1+MONTH(B916)))</f>
        <v>6</v>
      </c>
      <c r="Q916" s="330">
        <f t="shared" si="912"/>
        <v>4</v>
      </c>
      <c r="R916" s="331" t="str">
        <f t="shared" si="1"/>
        <v>Gastos_Gerais</v>
      </c>
      <c r="S916" s="331" t="str">
        <f>IF(D916="","",IF(OR(D916=Plano!$A$1,D916=Plano!$B$1),"entrada","saída"))</f>
        <v>saída</v>
      </c>
      <c r="T916" s="332" t="s">
        <v>114</v>
      </c>
      <c r="U916" s="332" t="s">
        <v>114</v>
      </c>
      <c r="V916" s="344"/>
    </row>
    <row r="917" spans="1:22" ht="39" customHeight="1" x14ac:dyDescent="0.2">
      <c r="A917" s="277">
        <f>IF(B917="","",COUNT('Diário 5º PA'!$A$5:$A$2634)+ROW()-4)</f>
        <v>2224</v>
      </c>
      <c r="B917" s="278">
        <v>44354</v>
      </c>
      <c r="C917" s="259">
        <v>44256</v>
      </c>
      <c r="D917" s="252" t="s">
        <v>99</v>
      </c>
      <c r="E917" s="252" t="s">
        <v>244</v>
      </c>
      <c r="F917" s="257">
        <v>3.26</v>
      </c>
      <c r="G917" s="252" t="s">
        <v>4850</v>
      </c>
      <c r="H917" s="252" t="s">
        <v>128</v>
      </c>
      <c r="I917" s="252" t="s">
        <v>465</v>
      </c>
      <c r="J917" s="250" t="s">
        <v>114</v>
      </c>
      <c r="K917" s="250" t="s">
        <v>466</v>
      </c>
      <c r="L917" s="250" t="s">
        <v>467</v>
      </c>
      <c r="M917" s="277">
        <v>2649</v>
      </c>
      <c r="N917" s="278">
        <v>44354</v>
      </c>
      <c r="O917" s="329" t="s">
        <v>67</v>
      </c>
      <c r="P917" s="330">
        <f t="shared" ref="P917:Q917" si="913">IF(B917=0,0,IF(YEAR(B917)=$Q$1,MONTH(B917)-$P$1+1,(YEAR(B917)-$Q$1)*12-$P$1+1+MONTH(B917)))</f>
        <v>6</v>
      </c>
      <c r="Q917" s="330">
        <f t="shared" si="913"/>
        <v>3</v>
      </c>
      <c r="R917" s="331" t="str">
        <f t="shared" si="1"/>
        <v>Gastos_Gerais</v>
      </c>
      <c r="S917" s="331" t="str">
        <f>IF(D917="","",IF(OR(D917=Plano!$A$1,D917=Plano!$B$1),"entrada","saída"))</f>
        <v>saída</v>
      </c>
      <c r="T917" s="332" t="s">
        <v>114</v>
      </c>
      <c r="U917" s="332" t="s">
        <v>114</v>
      </c>
      <c r="V917" s="344"/>
    </row>
    <row r="918" spans="1:22" ht="37.5" customHeight="1" x14ac:dyDescent="0.2">
      <c r="A918" s="277">
        <f>IF(B918="","",COUNT('Diário 5º PA'!$A$5:$A$2634)+ROW()-4)</f>
        <v>2225</v>
      </c>
      <c r="B918" s="278">
        <v>44354</v>
      </c>
      <c r="C918" s="259">
        <v>44256</v>
      </c>
      <c r="D918" s="252" t="s">
        <v>99</v>
      </c>
      <c r="E918" s="252" t="s">
        <v>382</v>
      </c>
      <c r="F918" s="257">
        <v>20.46</v>
      </c>
      <c r="G918" s="252" t="s">
        <v>4851</v>
      </c>
      <c r="H918" s="252" t="s">
        <v>131</v>
      </c>
      <c r="I918" s="252" t="s">
        <v>465</v>
      </c>
      <c r="J918" s="250" t="s">
        <v>114</v>
      </c>
      <c r="K918" s="250" t="s">
        <v>466</v>
      </c>
      <c r="L918" s="250" t="s">
        <v>467</v>
      </c>
      <c r="M918" s="277">
        <v>2650</v>
      </c>
      <c r="N918" s="278">
        <v>44354</v>
      </c>
      <c r="O918" s="329" t="s">
        <v>67</v>
      </c>
      <c r="P918" s="330">
        <f t="shared" ref="P918:Q918" si="914">IF(B918=0,0,IF(YEAR(B918)=$Q$1,MONTH(B918)-$P$1+1,(YEAR(B918)-$Q$1)*12-$P$1+1+MONTH(B918)))</f>
        <v>6</v>
      </c>
      <c r="Q918" s="330">
        <f t="shared" si="914"/>
        <v>3</v>
      </c>
      <c r="R918" s="331" t="str">
        <f t="shared" si="1"/>
        <v>Gastos_Gerais</v>
      </c>
      <c r="S918" s="331" t="str">
        <f>IF(D918="","",IF(OR(D918=Plano!$A$1,D918=Plano!$B$1),"entrada","saída"))</f>
        <v>saída</v>
      </c>
      <c r="T918" s="332" t="s">
        <v>114</v>
      </c>
      <c r="U918" s="332" t="s">
        <v>114</v>
      </c>
      <c r="V918" s="344"/>
    </row>
    <row r="919" spans="1:22" ht="40.5" customHeight="1" x14ac:dyDescent="0.2">
      <c r="A919" s="277">
        <f>IF(B919="","",COUNT('Diário 5º PA'!$A$5:$A$2634)+ROW()-4)</f>
        <v>2226</v>
      </c>
      <c r="B919" s="278">
        <v>44354</v>
      </c>
      <c r="C919" s="259">
        <v>44317</v>
      </c>
      <c r="D919" s="252" t="s">
        <v>99</v>
      </c>
      <c r="E919" s="252" t="s">
        <v>382</v>
      </c>
      <c r="F919" s="257">
        <v>2.56</v>
      </c>
      <c r="G919" s="252" t="s">
        <v>4852</v>
      </c>
      <c r="H919" s="252" t="s">
        <v>131</v>
      </c>
      <c r="I919" s="250" t="s">
        <v>465</v>
      </c>
      <c r="J919" s="250" t="s">
        <v>114</v>
      </c>
      <c r="K919" s="250" t="s">
        <v>466</v>
      </c>
      <c r="L919" s="250" t="s">
        <v>467</v>
      </c>
      <c r="M919" s="277">
        <v>2561</v>
      </c>
      <c r="N919" s="278">
        <v>44354</v>
      </c>
      <c r="O919" s="329" t="s">
        <v>67</v>
      </c>
      <c r="P919" s="330">
        <f t="shared" ref="P919:Q919" si="915">IF(B919=0,0,IF(YEAR(B919)=$Q$1,MONTH(B919)-$P$1+1,(YEAR(B919)-$Q$1)*12-$P$1+1+MONTH(B919)))</f>
        <v>6</v>
      </c>
      <c r="Q919" s="330">
        <f t="shared" si="915"/>
        <v>5</v>
      </c>
      <c r="R919" s="331" t="str">
        <f t="shared" si="1"/>
        <v>Gastos_Gerais</v>
      </c>
      <c r="S919" s="331" t="str">
        <f>IF(D919="","",IF(OR(D919=Plano!$A$1,D919=Plano!$B$1),"entrada","saída"))</f>
        <v>saída</v>
      </c>
      <c r="T919" s="332" t="s">
        <v>114</v>
      </c>
      <c r="U919" s="332" t="s">
        <v>114</v>
      </c>
      <c r="V919" s="344"/>
    </row>
    <row r="920" spans="1:22" ht="30.75" customHeight="1" x14ac:dyDescent="0.2">
      <c r="A920" s="277">
        <f>IF(B920="","",COUNT('Diário 5º PA'!$A$5:$A$2634)+ROW()-4)</f>
        <v>2227</v>
      </c>
      <c r="B920" s="278">
        <v>44354</v>
      </c>
      <c r="C920" s="259">
        <v>44317</v>
      </c>
      <c r="D920" s="252" t="s">
        <v>99</v>
      </c>
      <c r="E920" s="252" t="s">
        <v>266</v>
      </c>
      <c r="F920" s="258">
        <v>9.2799999999999994</v>
      </c>
      <c r="G920" s="252" t="s">
        <v>4853</v>
      </c>
      <c r="H920" s="252" t="s">
        <v>115</v>
      </c>
      <c r="I920" s="252" t="s">
        <v>465</v>
      </c>
      <c r="J920" s="250" t="s">
        <v>114</v>
      </c>
      <c r="K920" s="250" t="s">
        <v>466</v>
      </c>
      <c r="L920" s="250" t="s">
        <v>467</v>
      </c>
      <c r="M920" s="277">
        <v>2562</v>
      </c>
      <c r="N920" s="278">
        <v>44354</v>
      </c>
      <c r="O920" s="329" t="s">
        <v>67</v>
      </c>
      <c r="P920" s="330">
        <f t="shared" ref="P920:Q920" si="916">IF(B920=0,0,IF(YEAR(B920)=$Q$1,MONTH(B920)-$P$1+1,(YEAR(B920)-$Q$1)*12-$P$1+1+MONTH(B920)))</f>
        <v>6</v>
      </c>
      <c r="Q920" s="330">
        <f t="shared" si="916"/>
        <v>5</v>
      </c>
      <c r="R920" s="331" t="str">
        <f t="shared" si="1"/>
        <v>Gastos_Gerais</v>
      </c>
      <c r="S920" s="331" t="str">
        <f>IF(D920="","",IF(OR(D920=Plano!$A$1,D920=Plano!$B$1),"entrada","saída"))</f>
        <v>saída</v>
      </c>
      <c r="T920" s="332" t="s">
        <v>114</v>
      </c>
      <c r="U920" s="332" t="s">
        <v>114</v>
      </c>
      <c r="V920" s="344"/>
    </row>
    <row r="921" spans="1:22" ht="45" customHeight="1" x14ac:dyDescent="0.2">
      <c r="A921" s="277">
        <f>IF(B921="","",COUNT('Diário 5º PA'!$A$5:$A$2634)+ROW()-4)</f>
        <v>2228</v>
      </c>
      <c r="B921" s="278">
        <v>44354</v>
      </c>
      <c r="C921" s="259">
        <v>44317</v>
      </c>
      <c r="D921" s="252" t="s">
        <v>88</v>
      </c>
      <c r="E921" s="252" t="s">
        <v>183</v>
      </c>
      <c r="F921" s="257">
        <v>3.25</v>
      </c>
      <c r="G921" s="252" t="s">
        <v>4854</v>
      </c>
      <c r="H921" s="252" t="s">
        <v>114</v>
      </c>
      <c r="I921" s="252" t="s">
        <v>465</v>
      </c>
      <c r="J921" s="250" t="s">
        <v>114</v>
      </c>
      <c r="K921" s="250" t="s">
        <v>466</v>
      </c>
      <c r="L921" s="250" t="s">
        <v>467</v>
      </c>
      <c r="M921" s="277">
        <v>2563</v>
      </c>
      <c r="N921" s="278">
        <v>44354</v>
      </c>
      <c r="O921" s="329" t="s">
        <v>67</v>
      </c>
      <c r="P921" s="330">
        <f t="shared" ref="P921:Q921" si="917">IF(B921=0,0,IF(YEAR(B921)=$Q$1,MONTH(B921)-$P$1+1,(YEAR(B921)-$Q$1)*12-$P$1+1+MONTH(B921)))</f>
        <v>6</v>
      </c>
      <c r="Q921" s="330">
        <f t="shared" si="917"/>
        <v>5</v>
      </c>
      <c r="R921" s="331" t="str">
        <f t="shared" si="1"/>
        <v>Gastos_com_Pessoal</v>
      </c>
      <c r="S921" s="331" t="str">
        <f>IF(D921="","",IF(OR(D921=Plano!$A$1,D921=Plano!$B$1),"entrada","saída"))</f>
        <v>saída</v>
      </c>
      <c r="T921" s="332" t="s">
        <v>114</v>
      </c>
      <c r="U921" s="332" t="s">
        <v>114</v>
      </c>
      <c r="V921" s="344"/>
    </row>
    <row r="922" spans="1:22" ht="51.75" customHeight="1" x14ac:dyDescent="0.2">
      <c r="A922" s="277">
        <f>IF(B922="","",COUNT('Diário 5º PA'!$A$5:$A$2634)+ROW()-4)</f>
        <v>2229</v>
      </c>
      <c r="B922" s="278">
        <v>44354</v>
      </c>
      <c r="C922" s="259">
        <v>44317</v>
      </c>
      <c r="D922" s="252" t="s">
        <v>88</v>
      </c>
      <c r="E922" s="252" t="s">
        <v>183</v>
      </c>
      <c r="F922" s="257">
        <v>5.67</v>
      </c>
      <c r="G922" s="252" t="s">
        <v>4855</v>
      </c>
      <c r="H922" s="252" t="s">
        <v>114</v>
      </c>
      <c r="I922" s="252" t="s">
        <v>465</v>
      </c>
      <c r="J922" s="250" t="s">
        <v>114</v>
      </c>
      <c r="K922" s="250" t="s">
        <v>466</v>
      </c>
      <c r="L922" s="250" t="s">
        <v>467</v>
      </c>
      <c r="M922" s="277">
        <v>2564</v>
      </c>
      <c r="N922" s="278">
        <v>44354</v>
      </c>
      <c r="O922" s="329" t="s">
        <v>67</v>
      </c>
      <c r="P922" s="330">
        <f t="shared" ref="P922:Q922" si="918">IF(B922=0,0,IF(YEAR(B922)=$Q$1,MONTH(B922)-$P$1+1,(YEAR(B922)-$Q$1)*12-$P$1+1+MONTH(B922)))</f>
        <v>6</v>
      </c>
      <c r="Q922" s="330">
        <f t="shared" si="918"/>
        <v>5</v>
      </c>
      <c r="R922" s="331" t="str">
        <f t="shared" si="1"/>
        <v>Gastos_com_Pessoal</v>
      </c>
      <c r="S922" s="331" t="str">
        <f>IF(D922="","",IF(OR(D922=Plano!$A$1,D922=Plano!$B$1),"entrada","saída"))</f>
        <v>saída</v>
      </c>
      <c r="T922" s="332" t="s">
        <v>114</v>
      </c>
      <c r="U922" s="332" t="s">
        <v>114</v>
      </c>
      <c r="V922" s="344"/>
    </row>
    <row r="923" spans="1:22" ht="44.25" customHeight="1" x14ac:dyDescent="0.2">
      <c r="A923" s="277">
        <f>IF(B923="","",COUNT('Diário 5º PA'!$A$5:$A$2634)+ROW()-4)</f>
        <v>2230</v>
      </c>
      <c r="B923" s="278">
        <v>44354</v>
      </c>
      <c r="C923" s="259">
        <v>44317</v>
      </c>
      <c r="D923" s="252" t="s">
        <v>88</v>
      </c>
      <c r="E923" s="252" t="s">
        <v>192</v>
      </c>
      <c r="F923" s="257">
        <v>7.0000000000000007E-2</v>
      </c>
      <c r="G923" s="252" t="s">
        <v>4856</v>
      </c>
      <c r="H923" s="252" t="s">
        <v>114</v>
      </c>
      <c r="I923" s="250" t="s">
        <v>465</v>
      </c>
      <c r="J923" s="250" t="s">
        <v>114</v>
      </c>
      <c r="K923" s="250" t="s">
        <v>466</v>
      </c>
      <c r="L923" s="250" t="s">
        <v>467</v>
      </c>
      <c r="M923" s="277">
        <v>2565</v>
      </c>
      <c r="N923" s="278">
        <v>44354</v>
      </c>
      <c r="O923" s="329" t="s">
        <v>67</v>
      </c>
      <c r="P923" s="330">
        <f t="shared" ref="P923:Q923" si="919">IF(B923=0,0,IF(YEAR(B923)=$Q$1,MONTH(B923)-$P$1+1,(YEAR(B923)-$Q$1)*12-$P$1+1+MONTH(B923)))</f>
        <v>6</v>
      </c>
      <c r="Q923" s="330">
        <f t="shared" si="919"/>
        <v>5</v>
      </c>
      <c r="R923" s="331" t="str">
        <f t="shared" si="1"/>
        <v>Gastos_com_Pessoal</v>
      </c>
      <c r="S923" s="331" t="str">
        <f>IF(D923="","",IF(OR(D923=Plano!$A$1,D923=Plano!$B$1),"entrada","saída"))</f>
        <v>saída</v>
      </c>
      <c r="T923" s="332" t="s">
        <v>114</v>
      </c>
      <c r="U923" s="332" t="s">
        <v>114</v>
      </c>
      <c r="V923" s="344"/>
    </row>
    <row r="924" spans="1:22" ht="47.25" customHeight="1" x14ac:dyDescent="0.2">
      <c r="A924" s="277">
        <f>IF(B924="","",COUNT('Diário 5º PA'!$A$5:$A$2634)+ROW()-4)</f>
        <v>2231</v>
      </c>
      <c r="B924" s="278">
        <v>44354</v>
      </c>
      <c r="C924" s="259">
        <v>44317</v>
      </c>
      <c r="D924" s="252" t="s">
        <v>88</v>
      </c>
      <c r="E924" s="252" t="s">
        <v>192</v>
      </c>
      <c r="F924" s="257">
        <v>0.05</v>
      </c>
      <c r="G924" s="252" t="s">
        <v>4857</v>
      </c>
      <c r="H924" s="252" t="s">
        <v>114</v>
      </c>
      <c r="I924" s="250" t="s">
        <v>465</v>
      </c>
      <c r="J924" s="250" t="s">
        <v>114</v>
      </c>
      <c r="K924" s="250" t="s">
        <v>466</v>
      </c>
      <c r="L924" s="250" t="s">
        <v>467</v>
      </c>
      <c r="M924" s="277">
        <v>2656</v>
      </c>
      <c r="N924" s="278">
        <v>44354</v>
      </c>
      <c r="O924" s="329" t="s">
        <v>67</v>
      </c>
      <c r="P924" s="330">
        <f t="shared" ref="P924:Q924" si="920">IF(B924=0,0,IF(YEAR(B924)=$Q$1,MONTH(B924)-$P$1+1,(YEAR(B924)-$Q$1)*12-$P$1+1+MONTH(B924)))</f>
        <v>6</v>
      </c>
      <c r="Q924" s="330">
        <f t="shared" si="920"/>
        <v>5</v>
      </c>
      <c r="R924" s="331" t="str">
        <f t="shared" si="1"/>
        <v>Gastos_com_Pessoal</v>
      </c>
      <c r="S924" s="331" t="str">
        <f>IF(D924="","",IF(OR(D924=Plano!$A$1,D924=Plano!$B$1),"entrada","saída"))</f>
        <v>saída</v>
      </c>
      <c r="T924" s="332" t="s">
        <v>114</v>
      </c>
      <c r="U924" s="332" t="s">
        <v>114</v>
      </c>
      <c r="V924" s="344"/>
    </row>
    <row r="925" spans="1:22" ht="43.5" customHeight="1" x14ac:dyDescent="0.2">
      <c r="A925" s="277">
        <f>IF(B925="","",COUNT('Diário 5º PA'!$A$5:$A$2634)+ROW()-4)</f>
        <v>2232</v>
      </c>
      <c r="B925" s="278">
        <v>44354</v>
      </c>
      <c r="C925" s="259">
        <v>44287</v>
      </c>
      <c r="D925" s="255" t="s">
        <v>88</v>
      </c>
      <c r="E925" s="255" t="s">
        <v>90</v>
      </c>
      <c r="F925" s="258">
        <v>1.43</v>
      </c>
      <c r="G925" s="252" t="s">
        <v>4858</v>
      </c>
      <c r="H925" s="255" t="s">
        <v>114</v>
      </c>
      <c r="I925" s="250" t="s">
        <v>465</v>
      </c>
      <c r="J925" s="250" t="s">
        <v>114</v>
      </c>
      <c r="K925" s="250" t="s">
        <v>466</v>
      </c>
      <c r="L925" s="250" t="s">
        <v>467</v>
      </c>
      <c r="M925" s="277">
        <v>2657</v>
      </c>
      <c r="N925" s="278">
        <v>44354</v>
      </c>
      <c r="O925" s="329" t="s">
        <v>67</v>
      </c>
      <c r="P925" s="330">
        <f t="shared" ref="P925:Q925" si="921">IF(B925=0,0,IF(YEAR(B925)=$Q$1,MONTH(B925)-$P$1+1,(YEAR(B925)-$Q$1)*12-$P$1+1+MONTH(B925)))</f>
        <v>6</v>
      </c>
      <c r="Q925" s="330">
        <f t="shared" si="921"/>
        <v>4</v>
      </c>
      <c r="R925" s="331" t="str">
        <f t="shared" si="1"/>
        <v>Gastos_com_Pessoal</v>
      </c>
      <c r="S925" s="331" t="str">
        <f>IF(D925="","",IF(OR(D925=Plano!$A$1,D925=Plano!$B$1),"entrada","saída"))</f>
        <v>saída</v>
      </c>
      <c r="T925" s="332" t="s">
        <v>114</v>
      </c>
      <c r="U925" s="332" t="s">
        <v>114</v>
      </c>
      <c r="V925" s="344"/>
    </row>
    <row r="926" spans="1:22" ht="39.75" customHeight="1" x14ac:dyDescent="0.2">
      <c r="A926" s="277">
        <f>IF(B926="","",COUNT('Diário 5º PA'!$A$5:$A$2634)+ROW()-4)</f>
        <v>2233</v>
      </c>
      <c r="B926" s="278">
        <v>44354</v>
      </c>
      <c r="C926" s="259">
        <v>44348</v>
      </c>
      <c r="D926" s="255" t="s">
        <v>88</v>
      </c>
      <c r="E926" s="255" t="s">
        <v>196</v>
      </c>
      <c r="F926" s="258">
        <v>84.32</v>
      </c>
      <c r="G926" s="252" t="s">
        <v>4859</v>
      </c>
      <c r="H926" s="255" t="s">
        <v>114</v>
      </c>
      <c r="I926" s="250" t="s">
        <v>465</v>
      </c>
      <c r="J926" s="250" t="s">
        <v>114</v>
      </c>
      <c r="K926" s="250" t="s">
        <v>466</v>
      </c>
      <c r="L926" s="250" t="s">
        <v>467</v>
      </c>
      <c r="M926" s="277">
        <v>2658</v>
      </c>
      <c r="N926" s="278">
        <v>44354</v>
      </c>
      <c r="O926" s="329" t="s">
        <v>67</v>
      </c>
      <c r="P926" s="330">
        <f t="shared" ref="P926:Q926" si="922">IF(B926=0,0,IF(YEAR(B926)=$Q$1,MONTH(B926)-$P$1+1,(YEAR(B926)-$Q$1)*12-$P$1+1+MONTH(B926)))</f>
        <v>6</v>
      </c>
      <c r="Q926" s="330">
        <f t="shared" si="922"/>
        <v>6</v>
      </c>
      <c r="R926" s="331" t="str">
        <f t="shared" si="1"/>
        <v>Gastos_com_Pessoal</v>
      </c>
      <c r="S926" s="331" t="str">
        <f>IF(D926="","",IF(OR(D926=Plano!$A$1,D926=Plano!$B$1),"entrada","saída"))</f>
        <v>saída</v>
      </c>
      <c r="T926" s="332" t="s">
        <v>114</v>
      </c>
      <c r="U926" s="332" t="s">
        <v>114</v>
      </c>
      <c r="V926" s="344"/>
    </row>
    <row r="927" spans="1:22" ht="47.25" customHeight="1" x14ac:dyDescent="0.2">
      <c r="A927" s="277">
        <f>IF(B927="","",COUNT('Diário 5º PA'!$A$5:$A$2634)+ROW()-4)</f>
        <v>2234</v>
      </c>
      <c r="B927" s="278">
        <v>44354</v>
      </c>
      <c r="C927" s="259">
        <v>44317</v>
      </c>
      <c r="D927" s="255" t="s">
        <v>88</v>
      </c>
      <c r="E927" s="255" t="s">
        <v>90</v>
      </c>
      <c r="F927" s="257">
        <v>2742.61</v>
      </c>
      <c r="G927" s="255" t="s">
        <v>4860</v>
      </c>
      <c r="H927" s="255" t="s">
        <v>114</v>
      </c>
      <c r="I927" s="250" t="s">
        <v>1221</v>
      </c>
      <c r="J927" s="255" t="s">
        <v>1222</v>
      </c>
      <c r="K927" s="255" t="s">
        <v>1015</v>
      </c>
      <c r="L927" s="250" t="s">
        <v>1183</v>
      </c>
      <c r="M927" s="277" t="s">
        <v>114</v>
      </c>
      <c r="N927" s="278">
        <v>44354</v>
      </c>
      <c r="O927" s="329" t="s">
        <v>67</v>
      </c>
      <c r="P927" s="330">
        <f t="shared" ref="P927:Q927" si="923">IF(B927=0,0,IF(YEAR(B927)=$Q$1,MONTH(B927)-$P$1+1,(YEAR(B927)-$Q$1)*12-$P$1+1+MONTH(B927)))</f>
        <v>6</v>
      </c>
      <c r="Q927" s="330">
        <f t="shared" si="923"/>
        <v>5</v>
      </c>
      <c r="R927" s="331" t="str">
        <f t="shared" si="1"/>
        <v>Gastos_com_Pessoal</v>
      </c>
      <c r="S927" s="331" t="str">
        <f>IF(D927="","",IF(OR(D927=Plano!$A$1,D927=Plano!$B$1),"entrada","saída"))</f>
        <v>saída</v>
      </c>
      <c r="T927" s="332" t="s">
        <v>114</v>
      </c>
      <c r="U927" s="332" t="s">
        <v>114</v>
      </c>
      <c r="V927" s="344"/>
    </row>
    <row r="928" spans="1:22" ht="49.5" customHeight="1" x14ac:dyDescent="0.2">
      <c r="A928" s="277">
        <f>IF(B928="","",COUNT('Diário 5º PA'!$A$5:$A$2634)+ROW()-4)</f>
        <v>2235</v>
      </c>
      <c r="B928" s="278">
        <v>44354</v>
      </c>
      <c r="C928" s="259">
        <v>44317</v>
      </c>
      <c r="D928" s="255" t="s">
        <v>88</v>
      </c>
      <c r="E928" s="255" t="s">
        <v>90</v>
      </c>
      <c r="F928" s="257">
        <v>2694.75</v>
      </c>
      <c r="G928" s="255" t="s">
        <v>4861</v>
      </c>
      <c r="H928" s="255" t="s">
        <v>114</v>
      </c>
      <c r="I928" s="250" t="s">
        <v>1224</v>
      </c>
      <c r="J928" s="255" t="s">
        <v>1225</v>
      </c>
      <c r="K928" s="255" t="s">
        <v>1015</v>
      </c>
      <c r="L928" s="250" t="s">
        <v>1183</v>
      </c>
      <c r="M928" s="277" t="s">
        <v>114</v>
      </c>
      <c r="N928" s="278">
        <v>44354</v>
      </c>
      <c r="O928" s="329" t="s">
        <v>67</v>
      </c>
      <c r="P928" s="330">
        <f t="shared" ref="P928:Q928" si="924">IF(B928=0,0,IF(YEAR(B928)=$Q$1,MONTH(B928)-$P$1+1,(YEAR(B928)-$Q$1)*12-$P$1+1+MONTH(B928)))</f>
        <v>6</v>
      </c>
      <c r="Q928" s="330">
        <f t="shared" si="924"/>
        <v>5</v>
      </c>
      <c r="R928" s="331" t="str">
        <f t="shared" si="1"/>
        <v>Gastos_com_Pessoal</v>
      </c>
      <c r="S928" s="331" t="str">
        <f>IF(D928="","",IF(OR(D928=Plano!$A$1,D928=Plano!$B$1),"entrada","saída"))</f>
        <v>saída</v>
      </c>
      <c r="T928" s="332" t="s">
        <v>114</v>
      </c>
      <c r="U928" s="332" t="s">
        <v>114</v>
      </c>
      <c r="V928" s="344"/>
    </row>
    <row r="929" spans="1:22" ht="34.5" customHeight="1" x14ac:dyDescent="0.2">
      <c r="A929" s="277">
        <f>IF(B929="","",COUNT('Diário 5º PA'!$A$5:$A$2634)+ROW()-4)</f>
        <v>2236</v>
      </c>
      <c r="B929" s="278">
        <v>44354</v>
      </c>
      <c r="C929" s="259">
        <v>44317</v>
      </c>
      <c r="D929" s="255" t="s">
        <v>88</v>
      </c>
      <c r="E929" s="255" t="s">
        <v>90</v>
      </c>
      <c r="F929" s="257">
        <v>1515.25</v>
      </c>
      <c r="G929" s="255" t="s">
        <v>4791</v>
      </c>
      <c r="H929" s="255" t="s">
        <v>114</v>
      </c>
      <c r="I929" s="250" t="s">
        <v>1226</v>
      </c>
      <c r="J929" s="255" t="s">
        <v>1227</v>
      </c>
      <c r="K929" s="255" t="s">
        <v>1015</v>
      </c>
      <c r="L929" s="250" t="s">
        <v>1183</v>
      </c>
      <c r="M929" s="277" t="s">
        <v>114</v>
      </c>
      <c r="N929" s="278">
        <v>44354</v>
      </c>
      <c r="O929" s="329" t="s">
        <v>67</v>
      </c>
      <c r="P929" s="330">
        <f t="shared" ref="P929:Q929" si="925">IF(B929=0,0,IF(YEAR(B929)=$Q$1,MONTH(B929)-$P$1+1,(YEAR(B929)-$Q$1)*12-$P$1+1+MONTH(B929)))</f>
        <v>6</v>
      </c>
      <c r="Q929" s="330">
        <f t="shared" si="925"/>
        <v>5</v>
      </c>
      <c r="R929" s="331" t="str">
        <f t="shared" si="1"/>
        <v>Gastos_com_Pessoal</v>
      </c>
      <c r="S929" s="331" t="str">
        <f>IF(D929="","",IF(OR(D929=Plano!$A$1,D929=Plano!$B$1),"entrada","saída"))</f>
        <v>saída</v>
      </c>
      <c r="T929" s="332" t="s">
        <v>114</v>
      </c>
      <c r="U929" s="332" t="s">
        <v>114</v>
      </c>
      <c r="V929" s="344"/>
    </row>
    <row r="930" spans="1:22" ht="38.25" customHeight="1" x14ac:dyDescent="0.2">
      <c r="A930" s="277">
        <f>IF(B930="","",COUNT('Diário 5º PA'!$A$5:$A$2634)+ROW()-4)</f>
        <v>2237</v>
      </c>
      <c r="B930" s="278">
        <v>44354</v>
      </c>
      <c r="C930" s="259">
        <v>44317</v>
      </c>
      <c r="D930" s="255" t="s">
        <v>88</v>
      </c>
      <c r="E930" s="255" t="s">
        <v>90</v>
      </c>
      <c r="F930" s="257">
        <v>8749.36</v>
      </c>
      <c r="G930" s="255" t="s">
        <v>4862</v>
      </c>
      <c r="H930" s="255" t="s">
        <v>114</v>
      </c>
      <c r="I930" s="250" t="s">
        <v>1229</v>
      </c>
      <c r="J930" s="255" t="s">
        <v>1230</v>
      </c>
      <c r="K930" s="255" t="s">
        <v>1015</v>
      </c>
      <c r="L930" s="250" t="s">
        <v>1183</v>
      </c>
      <c r="M930" s="277" t="s">
        <v>114</v>
      </c>
      <c r="N930" s="278">
        <v>44354</v>
      </c>
      <c r="O930" s="329" t="s">
        <v>67</v>
      </c>
      <c r="P930" s="330">
        <f t="shared" ref="P930:Q930" si="926">IF(B930=0,0,IF(YEAR(B930)=$Q$1,MONTH(B930)-$P$1+1,(YEAR(B930)-$Q$1)*12-$P$1+1+MONTH(B930)))</f>
        <v>6</v>
      </c>
      <c r="Q930" s="330">
        <f t="shared" si="926"/>
        <v>5</v>
      </c>
      <c r="R930" s="331" t="str">
        <f t="shared" si="1"/>
        <v>Gastos_com_Pessoal</v>
      </c>
      <c r="S930" s="331" t="str">
        <f>IF(D930="","",IF(OR(D930=Plano!$A$1,D930=Plano!$B$1),"entrada","saída"))</f>
        <v>saída</v>
      </c>
      <c r="T930" s="332" t="s">
        <v>114</v>
      </c>
      <c r="U930" s="332" t="s">
        <v>114</v>
      </c>
      <c r="V930" s="344"/>
    </row>
    <row r="931" spans="1:22" ht="34.5" customHeight="1" x14ac:dyDescent="0.2">
      <c r="A931" s="277">
        <f>IF(B931="","",COUNT('Diário 5º PA'!$A$5:$A$2634)+ROW()-4)</f>
        <v>2238</v>
      </c>
      <c r="B931" s="278">
        <v>44354</v>
      </c>
      <c r="C931" s="259">
        <v>44317</v>
      </c>
      <c r="D931" s="255" t="s">
        <v>88</v>
      </c>
      <c r="E931" s="255" t="s">
        <v>90</v>
      </c>
      <c r="F931" s="257">
        <v>2799.57</v>
      </c>
      <c r="G931" s="255" t="s">
        <v>4863</v>
      </c>
      <c r="H931" s="255" t="s">
        <v>114</v>
      </c>
      <c r="I931" s="250" t="s">
        <v>1232</v>
      </c>
      <c r="J931" s="255" t="s">
        <v>1233</v>
      </c>
      <c r="K931" s="255" t="s">
        <v>1015</v>
      </c>
      <c r="L931" s="250" t="s">
        <v>1183</v>
      </c>
      <c r="M931" s="277" t="s">
        <v>114</v>
      </c>
      <c r="N931" s="278">
        <v>44354</v>
      </c>
      <c r="O931" s="329" t="s">
        <v>67</v>
      </c>
      <c r="P931" s="330">
        <f t="shared" ref="P931:Q931" si="927">IF(B931=0,0,IF(YEAR(B931)=$Q$1,MONTH(B931)-$P$1+1,(YEAR(B931)-$Q$1)*12-$P$1+1+MONTH(B931)))</f>
        <v>6</v>
      </c>
      <c r="Q931" s="330">
        <f t="shared" si="927"/>
        <v>5</v>
      </c>
      <c r="R931" s="331" t="str">
        <f t="shared" si="1"/>
        <v>Gastos_com_Pessoal</v>
      </c>
      <c r="S931" s="331" t="str">
        <f>IF(D931="","",IF(OR(D931=Plano!$A$1,D931=Plano!$B$1),"entrada","saída"))</f>
        <v>saída</v>
      </c>
      <c r="T931" s="332" t="s">
        <v>114</v>
      </c>
      <c r="U931" s="332" t="s">
        <v>114</v>
      </c>
      <c r="V931" s="344"/>
    </row>
    <row r="932" spans="1:22" ht="39" customHeight="1" x14ac:dyDescent="0.2">
      <c r="A932" s="277">
        <f>IF(B932="","",COUNT('Diário 5º PA'!$A$5:$A$2634)+ROW()-4)</f>
        <v>2239</v>
      </c>
      <c r="B932" s="278">
        <v>44354</v>
      </c>
      <c r="C932" s="259">
        <v>44317</v>
      </c>
      <c r="D932" s="255" t="s">
        <v>88</v>
      </c>
      <c r="E932" s="255" t="s">
        <v>90</v>
      </c>
      <c r="F932" s="257">
        <v>4413.74</v>
      </c>
      <c r="G932" s="250" t="s">
        <v>4864</v>
      </c>
      <c r="H932" s="255" t="s">
        <v>114</v>
      </c>
      <c r="I932" s="250" t="s">
        <v>1235</v>
      </c>
      <c r="J932" s="255" t="s">
        <v>1236</v>
      </c>
      <c r="K932" s="255" t="s">
        <v>1015</v>
      </c>
      <c r="L932" s="250" t="s">
        <v>1183</v>
      </c>
      <c r="M932" s="277" t="s">
        <v>114</v>
      </c>
      <c r="N932" s="278">
        <v>44354</v>
      </c>
      <c r="O932" s="329" t="s">
        <v>67</v>
      </c>
      <c r="P932" s="330">
        <f t="shared" ref="P932:Q932" si="928">IF(B932=0,0,IF(YEAR(B932)=$Q$1,MONTH(B932)-$P$1+1,(YEAR(B932)-$Q$1)*12-$P$1+1+MONTH(B932)))</f>
        <v>6</v>
      </c>
      <c r="Q932" s="330">
        <f t="shared" si="928"/>
        <v>5</v>
      </c>
      <c r="R932" s="331" t="str">
        <f t="shared" si="1"/>
        <v>Gastos_com_Pessoal</v>
      </c>
      <c r="S932" s="331" t="str">
        <f>IF(D932="","",IF(OR(D932=Plano!$A$1,D932=Plano!$B$1),"entrada","saída"))</f>
        <v>saída</v>
      </c>
      <c r="T932" s="332" t="s">
        <v>114</v>
      </c>
      <c r="U932" s="332" t="s">
        <v>114</v>
      </c>
      <c r="V932" s="344"/>
    </row>
    <row r="933" spans="1:22" ht="45.75" customHeight="1" x14ac:dyDescent="0.2">
      <c r="A933" s="277">
        <f>IF(B933="","",COUNT('Diário 5º PA'!$A$5:$A$2634)+ROW()-4)</f>
        <v>2240</v>
      </c>
      <c r="B933" s="278">
        <v>44354</v>
      </c>
      <c r="C933" s="259">
        <v>44348</v>
      </c>
      <c r="D933" s="255" t="s">
        <v>99</v>
      </c>
      <c r="E933" s="255" t="s">
        <v>272</v>
      </c>
      <c r="F933" s="258">
        <v>10.45</v>
      </c>
      <c r="G933" s="255" t="s">
        <v>1237</v>
      </c>
      <c r="H933" s="255" t="s">
        <v>114</v>
      </c>
      <c r="I933" s="250" t="s">
        <v>949</v>
      </c>
      <c r="J933" s="255" t="s">
        <v>950</v>
      </c>
      <c r="K933" s="255" t="s">
        <v>951</v>
      </c>
      <c r="L933" s="250" t="s">
        <v>947</v>
      </c>
      <c r="M933" s="336" t="s">
        <v>114</v>
      </c>
      <c r="N933" s="278">
        <v>44354</v>
      </c>
      <c r="O933" s="329" t="s">
        <v>67</v>
      </c>
      <c r="P933" s="330">
        <f t="shared" ref="P933:Q933" si="929">IF(B933=0,0,IF(YEAR(B933)=$Q$1,MONTH(B933)-$P$1+1,(YEAR(B933)-$Q$1)*12-$P$1+1+MONTH(B933)))</f>
        <v>6</v>
      </c>
      <c r="Q933" s="330">
        <f t="shared" si="929"/>
        <v>6</v>
      </c>
      <c r="R933" s="331" t="str">
        <f t="shared" si="1"/>
        <v>Gastos_Gerais</v>
      </c>
      <c r="S933" s="331" t="str">
        <f>IF(D933="","",IF(OR(D933=Plano!$A$1,D933=Plano!$B$1),"entrada","saída"))</f>
        <v>saída</v>
      </c>
      <c r="T933" s="332" t="s">
        <v>114</v>
      </c>
      <c r="U933" s="332" t="s">
        <v>114</v>
      </c>
      <c r="V933" s="344"/>
    </row>
    <row r="934" spans="1:22" ht="36" customHeight="1" x14ac:dyDescent="0.2">
      <c r="A934" s="277">
        <f>IF(B934="","",COUNT('Diário 5º PA'!$A$5:$A$2634)+ROW()-4)</f>
        <v>2241</v>
      </c>
      <c r="B934" s="278">
        <v>44354</v>
      </c>
      <c r="C934" s="259">
        <v>44348</v>
      </c>
      <c r="D934" s="255" t="s">
        <v>99</v>
      </c>
      <c r="E934" s="255" t="s">
        <v>272</v>
      </c>
      <c r="F934" s="258">
        <v>10.45</v>
      </c>
      <c r="G934" s="255" t="s">
        <v>1238</v>
      </c>
      <c r="H934" s="255" t="s">
        <v>114</v>
      </c>
      <c r="I934" s="250" t="s">
        <v>949</v>
      </c>
      <c r="J934" s="255" t="s">
        <v>950</v>
      </c>
      <c r="K934" s="255" t="s">
        <v>951</v>
      </c>
      <c r="L934" s="250" t="s">
        <v>947</v>
      </c>
      <c r="M934" s="336" t="s">
        <v>114</v>
      </c>
      <c r="N934" s="278">
        <v>44354</v>
      </c>
      <c r="O934" s="329" t="s">
        <v>67</v>
      </c>
      <c r="P934" s="330">
        <f t="shared" ref="P934:Q934" si="930">IF(B934=0,0,IF(YEAR(B934)=$Q$1,MONTH(B934)-$P$1+1,(YEAR(B934)-$Q$1)*12-$P$1+1+MONTH(B934)))</f>
        <v>6</v>
      </c>
      <c r="Q934" s="330">
        <f t="shared" si="930"/>
        <v>6</v>
      </c>
      <c r="R934" s="331" t="str">
        <f t="shared" si="1"/>
        <v>Gastos_Gerais</v>
      </c>
      <c r="S934" s="331" t="str">
        <f>IF(D934="","",IF(OR(D934=Plano!$A$1,D934=Plano!$B$1),"entrada","saída"))</f>
        <v>saída</v>
      </c>
      <c r="T934" s="332" t="s">
        <v>114</v>
      </c>
      <c r="U934" s="332" t="s">
        <v>114</v>
      </c>
      <c r="V934" s="344"/>
    </row>
    <row r="935" spans="1:22" ht="54" customHeight="1" x14ac:dyDescent="0.2">
      <c r="A935" s="277">
        <f>IF(B935="","",COUNT('Diário 5º PA'!$A$5:$A$2634)+ROW()-4)</f>
        <v>2242</v>
      </c>
      <c r="B935" s="278">
        <v>44354</v>
      </c>
      <c r="C935" s="259">
        <v>44348</v>
      </c>
      <c r="D935" s="255" t="s">
        <v>99</v>
      </c>
      <c r="E935" s="255" t="s">
        <v>272</v>
      </c>
      <c r="F935" s="258">
        <v>10.45</v>
      </c>
      <c r="G935" s="255" t="s">
        <v>1239</v>
      </c>
      <c r="H935" s="255" t="s">
        <v>114</v>
      </c>
      <c r="I935" s="250" t="s">
        <v>949</v>
      </c>
      <c r="J935" s="255" t="s">
        <v>950</v>
      </c>
      <c r="K935" s="255" t="s">
        <v>951</v>
      </c>
      <c r="L935" s="250" t="s">
        <v>947</v>
      </c>
      <c r="M935" s="336" t="s">
        <v>114</v>
      </c>
      <c r="N935" s="278">
        <v>44354</v>
      </c>
      <c r="O935" s="329" t="s">
        <v>67</v>
      </c>
      <c r="P935" s="330">
        <f t="shared" ref="P935:Q935" si="931">IF(B935=0,0,IF(YEAR(B935)=$Q$1,MONTH(B935)-$P$1+1,(YEAR(B935)-$Q$1)*12-$P$1+1+MONTH(B935)))</f>
        <v>6</v>
      </c>
      <c r="Q935" s="330">
        <f t="shared" si="931"/>
        <v>6</v>
      </c>
      <c r="R935" s="331" t="str">
        <f t="shared" si="1"/>
        <v>Gastos_Gerais</v>
      </c>
      <c r="S935" s="331" t="str">
        <f>IF(D935="","",IF(OR(D935=Plano!$A$1,D935=Plano!$B$1),"entrada","saída"))</f>
        <v>saída</v>
      </c>
      <c r="T935" s="332" t="s">
        <v>114</v>
      </c>
      <c r="U935" s="332" t="s">
        <v>114</v>
      </c>
      <c r="V935" s="344"/>
    </row>
    <row r="936" spans="1:22" ht="41.25" customHeight="1" x14ac:dyDescent="0.2">
      <c r="A936" s="277">
        <f>IF(B936="","",COUNT('Diário 5º PA'!$A$5:$A$2634)+ROW()-4)</f>
        <v>2243</v>
      </c>
      <c r="B936" s="278">
        <v>44354</v>
      </c>
      <c r="C936" s="259">
        <v>44348</v>
      </c>
      <c r="D936" s="255" t="s">
        <v>99</v>
      </c>
      <c r="E936" s="255" t="s">
        <v>272</v>
      </c>
      <c r="F936" s="258">
        <v>10.45</v>
      </c>
      <c r="G936" s="255" t="s">
        <v>1240</v>
      </c>
      <c r="H936" s="255" t="s">
        <v>114</v>
      </c>
      <c r="I936" s="250" t="s">
        <v>949</v>
      </c>
      <c r="J936" s="255" t="s">
        <v>950</v>
      </c>
      <c r="K936" s="255" t="s">
        <v>951</v>
      </c>
      <c r="L936" s="250" t="s">
        <v>947</v>
      </c>
      <c r="M936" s="336" t="s">
        <v>114</v>
      </c>
      <c r="N936" s="278">
        <v>44354</v>
      </c>
      <c r="O936" s="329" t="s">
        <v>67</v>
      </c>
      <c r="P936" s="330">
        <f t="shared" ref="P936:Q936" si="932">IF(B936=0,0,IF(YEAR(B936)=$Q$1,MONTH(B936)-$P$1+1,(YEAR(B936)-$Q$1)*12-$P$1+1+MONTH(B936)))</f>
        <v>6</v>
      </c>
      <c r="Q936" s="330">
        <f t="shared" si="932"/>
        <v>6</v>
      </c>
      <c r="R936" s="331" t="str">
        <f t="shared" si="1"/>
        <v>Gastos_Gerais</v>
      </c>
      <c r="S936" s="331" t="str">
        <f>IF(D936="","",IF(OR(D936=Plano!$A$1,D936=Plano!$B$1),"entrada","saída"))</f>
        <v>saída</v>
      </c>
      <c r="T936" s="332" t="s">
        <v>114</v>
      </c>
      <c r="U936" s="332" t="s">
        <v>114</v>
      </c>
      <c r="V936" s="344"/>
    </row>
    <row r="937" spans="1:22" ht="37.5" customHeight="1" x14ac:dyDescent="0.2">
      <c r="A937" s="277">
        <f>IF(B937="","",COUNT('Diário 5º PA'!$A$5:$A$2634)+ROW()-4)</f>
        <v>2244</v>
      </c>
      <c r="B937" s="278">
        <v>44354</v>
      </c>
      <c r="C937" s="259">
        <v>44348</v>
      </c>
      <c r="D937" s="255" t="s">
        <v>99</v>
      </c>
      <c r="E937" s="255" t="s">
        <v>272</v>
      </c>
      <c r="F937" s="258">
        <v>10.45</v>
      </c>
      <c r="G937" s="255" t="s">
        <v>1241</v>
      </c>
      <c r="H937" s="255" t="s">
        <v>114</v>
      </c>
      <c r="I937" s="250" t="s">
        <v>949</v>
      </c>
      <c r="J937" s="255" t="s">
        <v>950</v>
      </c>
      <c r="K937" s="255" t="s">
        <v>951</v>
      </c>
      <c r="L937" s="250" t="s">
        <v>947</v>
      </c>
      <c r="M937" s="336" t="s">
        <v>114</v>
      </c>
      <c r="N937" s="278">
        <v>44354</v>
      </c>
      <c r="O937" s="329" t="s">
        <v>67</v>
      </c>
      <c r="P937" s="330">
        <f t="shared" ref="P937:Q937" si="933">IF(B937=0,0,IF(YEAR(B937)=$Q$1,MONTH(B937)-$P$1+1,(YEAR(B937)-$Q$1)*12-$P$1+1+MONTH(B937)))</f>
        <v>6</v>
      </c>
      <c r="Q937" s="330">
        <f t="shared" si="933"/>
        <v>6</v>
      </c>
      <c r="R937" s="331" t="str">
        <f t="shared" si="1"/>
        <v>Gastos_Gerais</v>
      </c>
      <c r="S937" s="331" t="str">
        <f>IF(D937="","",IF(OR(D937=Plano!$A$1,D937=Plano!$B$1),"entrada","saída"))</f>
        <v>saída</v>
      </c>
      <c r="T937" s="332" t="s">
        <v>114</v>
      </c>
      <c r="U937" s="332" t="s">
        <v>114</v>
      </c>
      <c r="V937" s="344"/>
    </row>
    <row r="938" spans="1:22" ht="37.5" customHeight="1" x14ac:dyDescent="0.2">
      <c r="A938" s="277">
        <f>IF(B938="","",COUNT('Diário 5º PA'!$A$5:$A$2634)+ROW()-4)</f>
        <v>2245</v>
      </c>
      <c r="B938" s="278">
        <v>44354</v>
      </c>
      <c r="C938" s="259">
        <v>44348</v>
      </c>
      <c r="D938" s="255" t="s">
        <v>99</v>
      </c>
      <c r="E938" s="255" t="s">
        <v>272</v>
      </c>
      <c r="F938" s="258">
        <v>10.45</v>
      </c>
      <c r="G938" s="255" t="s">
        <v>1242</v>
      </c>
      <c r="H938" s="255" t="s">
        <v>114</v>
      </c>
      <c r="I938" s="250" t="s">
        <v>949</v>
      </c>
      <c r="J938" s="255" t="s">
        <v>950</v>
      </c>
      <c r="K938" s="255" t="s">
        <v>951</v>
      </c>
      <c r="L938" s="250" t="s">
        <v>947</v>
      </c>
      <c r="M938" s="336" t="s">
        <v>114</v>
      </c>
      <c r="N938" s="278">
        <v>44354</v>
      </c>
      <c r="O938" s="329" t="s">
        <v>67</v>
      </c>
      <c r="P938" s="330">
        <f t="shared" ref="P938:Q938" si="934">IF(B938=0,0,IF(YEAR(B938)=$Q$1,MONTH(B938)-$P$1+1,(YEAR(B938)-$Q$1)*12-$P$1+1+MONTH(B938)))</f>
        <v>6</v>
      </c>
      <c r="Q938" s="330">
        <f t="shared" si="934"/>
        <v>6</v>
      </c>
      <c r="R938" s="331" t="str">
        <f t="shared" si="1"/>
        <v>Gastos_Gerais</v>
      </c>
      <c r="S938" s="331" t="str">
        <f>IF(D938="","",IF(OR(D938=Plano!$A$1,D938=Plano!$B$1),"entrada","saída"))</f>
        <v>saída</v>
      </c>
      <c r="T938" s="332" t="s">
        <v>114</v>
      </c>
      <c r="U938" s="332" t="s">
        <v>114</v>
      </c>
      <c r="V938" s="344"/>
    </row>
    <row r="939" spans="1:22" ht="41.25" customHeight="1" x14ac:dyDescent="0.2">
      <c r="A939" s="277">
        <f>IF(B939="","",COUNT('Diário 5º PA'!$A$5:$A$2634)+ROW()-4)</f>
        <v>2246</v>
      </c>
      <c r="B939" s="278">
        <v>44354</v>
      </c>
      <c r="C939" s="259">
        <v>44348</v>
      </c>
      <c r="D939" s="255" t="s">
        <v>99</v>
      </c>
      <c r="E939" s="255" t="s">
        <v>272</v>
      </c>
      <c r="F939" s="258">
        <v>10.45</v>
      </c>
      <c r="G939" s="255" t="s">
        <v>1243</v>
      </c>
      <c r="H939" s="255" t="s">
        <v>114</v>
      </c>
      <c r="I939" s="250" t="s">
        <v>949</v>
      </c>
      <c r="J939" s="255" t="s">
        <v>950</v>
      </c>
      <c r="K939" s="255" t="s">
        <v>951</v>
      </c>
      <c r="L939" s="250" t="s">
        <v>947</v>
      </c>
      <c r="M939" s="336" t="s">
        <v>114</v>
      </c>
      <c r="N939" s="278">
        <v>44354</v>
      </c>
      <c r="O939" s="329" t="s">
        <v>67</v>
      </c>
      <c r="P939" s="330">
        <f t="shared" ref="P939:Q939" si="935">IF(B939=0,0,IF(YEAR(B939)=$Q$1,MONTH(B939)-$P$1+1,(YEAR(B939)-$Q$1)*12-$P$1+1+MONTH(B939)))</f>
        <v>6</v>
      </c>
      <c r="Q939" s="330">
        <f t="shared" si="935"/>
        <v>6</v>
      </c>
      <c r="R939" s="331" t="str">
        <f t="shared" si="1"/>
        <v>Gastos_Gerais</v>
      </c>
      <c r="S939" s="331" t="str">
        <f>IF(D939="","",IF(OR(D939=Plano!$A$1,D939=Plano!$B$1),"entrada","saída"))</f>
        <v>saída</v>
      </c>
      <c r="T939" s="332" t="s">
        <v>114</v>
      </c>
      <c r="U939" s="332" t="s">
        <v>114</v>
      </c>
      <c r="V939" s="344"/>
    </row>
    <row r="940" spans="1:22" ht="38.25" customHeight="1" x14ac:dyDescent="0.2">
      <c r="A940" s="277">
        <f>IF(B940="","",COUNT('Diário 5º PA'!$A$5:$A$2634)+ROW()-4)</f>
        <v>2247</v>
      </c>
      <c r="B940" s="278">
        <v>44354</v>
      </c>
      <c r="C940" s="259">
        <v>44348</v>
      </c>
      <c r="D940" s="255" t="s">
        <v>99</v>
      </c>
      <c r="E940" s="255" t="s">
        <v>272</v>
      </c>
      <c r="F940" s="258">
        <v>10.45</v>
      </c>
      <c r="G940" s="255" t="s">
        <v>1244</v>
      </c>
      <c r="H940" s="255" t="s">
        <v>114</v>
      </c>
      <c r="I940" s="250" t="s">
        <v>949</v>
      </c>
      <c r="J940" s="255" t="s">
        <v>950</v>
      </c>
      <c r="K940" s="255" t="s">
        <v>951</v>
      </c>
      <c r="L940" s="250" t="s">
        <v>947</v>
      </c>
      <c r="M940" s="336" t="s">
        <v>114</v>
      </c>
      <c r="N940" s="278">
        <v>44354</v>
      </c>
      <c r="O940" s="329" t="s">
        <v>67</v>
      </c>
      <c r="P940" s="330">
        <f t="shared" ref="P940:Q940" si="936">IF(B940=0,0,IF(YEAR(B940)=$Q$1,MONTH(B940)-$P$1+1,(YEAR(B940)-$Q$1)*12-$P$1+1+MONTH(B940)))</f>
        <v>6</v>
      </c>
      <c r="Q940" s="330">
        <f t="shared" si="936"/>
        <v>6</v>
      </c>
      <c r="R940" s="331" t="str">
        <f t="shared" si="1"/>
        <v>Gastos_Gerais</v>
      </c>
      <c r="S940" s="331" t="str">
        <f>IF(D940="","",IF(OR(D940=Plano!$A$1,D940=Plano!$B$1),"entrada","saída"))</f>
        <v>saída</v>
      </c>
      <c r="T940" s="332" t="s">
        <v>114</v>
      </c>
      <c r="U940" s="332" t="s">
        <v>114</v>
      </c>
      <c r="V940" s="344"/>
    </row>
    <row r="941" spans="1:22" ht="42" customHeight="1" x14ac:dyDescent="0.2">
      <c r="A941" s="277">
        <f>IF(B941="","",COUNT('Diário 5º PA'!$A$5:$A$2634)+ROW()-4)</f>
        <v>2248</v>
      </c>
      <c r="B941" s="278">
        <v>44354</v>
      </c>
      <c r="C941" s="259">
        <v>44348</v>
      </c>
      <c r="D941" s="255" t="s">
        <v>99</v>
      </c>
      <c r="E941" s="255" t="s">
        <v>272</v>
      </c>
      <c r="F941" s="258">
        <v>10.45</v>
      </c>
      <c r="G941" s="255" t="s">
        <v>1239</v>
      </c>
      <c r="H941" s="255" t="s">
        <v>114</v>
      </c>
      <c r="I941" s="250" t="s">
        <v>949</v>
      </c>
      <c r="J941" s="255" t="s">
        <v>950</v>
      </c>
      <c r="K941" s="255" t="s">
        <v>951</v>
      </c>
      <c r="L941" s="250" t="s">
        <v>947</v>
      </c>
      <c r="M941" s="336" t="s">
        <v>114</v>
      </c>
      <c r="N941" s="278">
        <v>44354</v>
      </c>
      <c r="O941" s="329" t="s">
        <v>67</v>
      </c>
      <c r="P941" s="330">
        <f t="shared" ref="P941:Q941" si="937">IF(B941=0,0,IF(YEAR(B941)=$Q$1,MONTH(B941)-$P$1+1,(YEAR(B941)-$Q$1)*12-$P$1+1+MONTH(B941)))</f>
        <v>6</v>
      </c>
      <c r="Q941" s="330">
        <f t="shared" si="937"/>
        <v>6</v>
      </c>
      <c r="R941" s="331" t="str">
        <f t="shared" si="1"/>
        <v>Gastos_Gerais</v>
      </c>
      <c r="S941" s="331" t="str">
        <f>IF(D941="","",IF(OR(D941=Plano!$A$1,D941=Plano!$B$1),"entrada","saída"))</f>
        <v>saída</v>
      </c>
      <c r="T941" s="332" t="s">
        <v>114</v>
      </c>
      <c r="U941" s="332" t="s">
        <v>114</v>
      </c>
      <c r="V941" s="344"/>
    </row>
    <row r="942" spans="1:22" ht="41.25" customHeight="1" x14ac:dyDescent="0.2">
      <c r="A942" s="277">
        <f>IF(B942="","",COUNT('Diário 5º PA'!$A$5:$A$2634)+ROW()-4)</f>
        <v>2249</v>
      </c>
      <c r="B942" s="278">
        <v>44354</v>
      </c>
      <c r="C942" s="259">
        <v>44348</v>
      </c>
      <c r="D942" s="255" t="s">
        <v>99</v>
      </c>
      <c r="E942" s="255" t="s">
        <v>272</v>
      </c>
      <c r="F942" s="258">
        <v>10.45</v>
      </c>
      <c r="G942" s="255" t="s">
        <v>1245</v>
      </c>
      <c r="H942" s="255" t="s">
        <v>114</v>
      </c>
      <c r="I942" s="250" t="s">
        <v>949</v>
      </c>
      <c r="J942" s="255" t="s">
        <v>950</v>
      </c>
      <c r="K942" s="255" t="s">
        <v>951</v>
      </c>
      <c r="L942" s="250" t="s">
        <v>947</v>
      </c>
      <c r="M942" s="336" t="s">
        <v>114</v>
      </c>
      <c r="N942" s="278">
        <v>44354</v>
      </c>
      <c r="O942" s="329" t="s">
        <v>67</v>
      </c>
      <c r="P942" s="330">
        <f t="shared" ref="P942:Q942" si="938">IF(B942=0,0,IF(YEAR(B942)=$Q$1,MONTH(B942)-$P$1+1,(YEAR(B942)-$Q$1)*12-$P$1+1+MONTH(B942)))</f>
        <v>6</v>
      </c>
      <c r="Q942" s="330">
        <f t="shared" si="938"/>
        <v>6</v>
      </c>
      <c r="R942" s="331" t="str">
        <f t="shared" si="1"/>
        <v>Gastos_Gerais</v>
      </c>
      <c r="S942" s="331" t="str">
        <f>IF(D942="","",IF(OR(D942=Plano!$A$1,D942=Plano!$B$1),"entrada","saída"))</f>
        <v>saída</v>
      </c>
      <c r="T942" s="332" t="s">
        <v>114</v>
      </c>
      <c r="U942" s="332" t="s">
        <v>114</v>
      </c>
      <c r="V942" s="344"/>
    </row>
    <row r="943" spans="1:22" ht="55.5" customHeight="1" x14ac:dyDescent="0.2">
      <c r="A943" s="277">
        <f>IF(B943="","",COUNT('Diário 5º PA'!$A$5:$A$2634)+ROW()-4)</f>
        <v>2250</v>
      </c>
      <c r="B943" s="278">
        <v>44354</v>
      </c>
      <c r="C943" s="259">
        <v>44348</v>
      </c>
      <c r="D943" s="255" t="s">
        <v>99</v>
      </c>
      <c r="E943" s="255" t="s">
        <v>272</v>
      </c>
      <c r="F943" s="258">
        <v>10.45</v>
      </c>
      <c r="G943" s="255" t="s">
        <v>4535</v>
      </c>
      <c r="H943" s="252" t="s">
        <v>115</v>
      </c>
      <c r="I943" s="250" t="s">
        <v>949</v>
      </c>
      <c r="J943" s="255" t="s">
        <v>950</v>
      </c>
      <c r="K943" s="255" t="s">
        <v>951</v>
      </c>
      <c r="L943" s="250" t="s">
        <v>947</v>
      </c>
      <c r="M943" s="336" t="s">
        <v>114</v>
      </c>
      <c r="N943" s="278">
        <v>44354</v>
      </c>
      <c r="O943" s="329" t="s">
        <v>67</v>
      </c>
      <c r="P943" s="330">
        <f t="shared" ref="P943:Q943" si="939">IF(B943=0,0,IF(YEAR(B943)=$Q$1,MONTH(B943)-$P$1+1,(YEAR(B943)-$Q$1)*12-$P$1+1+MONTH(B943)))</f>
        <v>6</v>
      </c>
      <c r="Q943" s="330">
        <f t="shared" si="939"/>
        <v>6</v>
      </c>
      <c r="R943" s="331" t="str">
        <f t="shared" si="1"/>
        <v>Gastos_Gerais</v>
      </c>
      <c r="S943" s="331" t="str">
        <f>IF(D943="","",IF(OR(D943=Plano!$A$1,D943=Plano!$B$1),"entrada","saída"))</f>
        <v>saída</v>
      </c>
      <c r="T943" s="332" t="s">
        <v>114</v>
      </c>
      <c r="U943" s="332" t="s">
        <v>114</v>
      </c>
      <c r="V943" s="344"/>
    </row>
    <row r="944" spans="1:22" ht="47.25" customHeight="1" x14ac:dyDescent="0.2">
      <c r="A944" s="277">
        <f>IF(B944="","",COUNT('Diário 5º PA'!$A$5:$A$2634)+ROW()-4)</f>
        <v>2251</v>
      </c>
      <c r="B944" s="278">
        <v>44354</v>
      </c>
      <c r="C944" s="249">
        <v>44348</v>
      </c>
      <c r="D944" s="255" t="s">
        <v>99</v>
      </c>
      <c r="E944" s="255" t="s">
        <v>272</v>
      </c>
      <c r="F944" s="258">
        <v>10.45</v>
      </c>
      <c r="G944" s="255" t="s">
        <v>1320</v>
      </c>
      <c r="H944" s="255" t="s">
        <v>129</v>
      </c>
      <c r="I944" s="250" t="s">
        <v>949</v>
      </c>
      <c r="J944" s="255" t="s">
        <v>950</v>
      </c>
      <c r="K944" s="255" t="s">
        <v>951</v>
      </c>
      <c r="L944" s="250" t="s">
        <v>947</v>
      </c>
      <c r="M944" s="336" t="s">
        <v>114</v>
      </c>
      <c r="N944" s="278">
        <v>44354</v>
      </c>
      <c r="O944" s="329" t="s">
        <v>67</v>
      </c>
      <c r="P944" s="330">
        <f t="shared" ref="P944:Q944" si="940">IF(B944=0,0,IF(YEAR(B944)=$Q$1,MONTH(B944)-$P$1+1,(YEAR(B944)-$Q$1)*12-$P$1+1+MONTH(B944)))</f>
        <v>6</v>
      </c>
      <c r="Q944" s="330">
        <f t="shared" si="940"/>
        <v>6</v>
      </c>
      <c r="R944" s="331" t="str">
        <f t="shared" si="1"/>
        <v>Gastos_Gerais</v>
      </c>
      <c r="S944" s="331" t="str">
        <f>IF(D944="","",IF(OR(D944=Plano!$A$1,D944=Plano!$B$1),"entrada","saída"))</f>
        <v>saída</v>
      </c>
      <c r="T944" s="332" t="s">
        <v>114</v>
      </c>
      <c r="U944" s="332" t="s">
        <v>114</v>
      </c>
      <c r="V944" s="344"/>
    </row>
    <row r="945" spans="1:22" ht="59.25" customHeight="1" x14ac:dyDescent="0.2">
      <c r="A945" s="277">
        <f>IF(B945="","",COUNT('Diário 5º PA'!$A$5:$A$2634)+ROW()-4)</f>
        <v>2252</v>
      </c>
      <c r="B945" s="278">
        <v>44354</v>
      </c>
      <c r="C945" s="249">
        <v>44348</v>
      </c>
      <c r="D945" s="255" t="s">
        <v>99</v>
      </c>
      <c r="E945" s="255" t="s">
        <v>272</v>
      </c>
      <c r="F945" s="258">
        <v>10.45</v>
      </c>
      <c r="G945" s="255" t="s">
        <v>4233</v>
      </c>
      <c r="H945" s="252" t="s">
        <v>128</v>
      </c>
      <c r="I945" s="250" t="s">
        <v>949</v>
      </c>
      <c r="J945" s="255" t="s">
        <v>950</v>
      </c>
      <c r="K945" s="255" t="s">
        <v>951</v>
      </c>
      <c r="L945" s="250" t="s">
        <v>947</v>
      </c>
      <c r="M945" s="336" t="s">
        <v>114</v>
      </c>
      <c r="N945" s="278">
        <v>44354</v>
      </c>
      <c r="O945" s="329" t="s">
        <v>67</v>
      </c>
      <c r="P945" s="330">
        <f t="shared" ref="P945:Q945" si="941">IF(B945=0,0,IF(YEAR(B945)=$Q$1,MONTH(B945)-$P$1+1,(YEAR(B945)-$Q$1)*12-$P$1+1+MONTH(B945)))</f>
        <v>6</v>
      </c>
      <c r="Q945" s="330">
        <f t="shared" si="941"/>
        <v>6</v>
      </c>
      <c r="R945" s="331" t="str">
        <f t="shared" si="1"/>
        <v>Gastos_Gerais</v>
      </c>
      <c r="S945" s="331" t="str">
        <f>IF(D945="","",IF(OR(D945=Plano!$A$1,D945=Plano!$B$1),"entrada","saída"))</f>
        <v>saída</v>
      </c>
      <c r="T945" s="332" t="s">
        <v>114</v>
      </c>
      <c r="U945" s="332" t="s">
        <v>114</v>
      </c>
      <c r="V945" s="344"/>
    </row>
    <row r="946" spans="1:22" ht="49.5" customHeight="1" x14ac:dyDescent="0.2">
      <c r="A946" s="277">
        <f>IF(B946="","",COUNT('Diário 5º PA'!$A$5:$A$2634)+ROW()-4)</f>
        <v>2253</v>
      </c>
      <c r="B946" s="278">
        <v>44354</v>
      </c>
      <c r="C946" s="249">
        <v>44348</v>
      </c>
      <c r="D946" s="255" t="s">
        <v>99</v>
      </c>
      <c r="E946" s="255" t="s">
        <v>272</v>
      </c>
      <c r="F946" s="258">
        <v>10.45</v>
      </c>
      <c r="G946" s="255" t="s">
        <v>4865</v>
      </c>
      <c r="H946" s="252" t="s">
        <v>124</v>
      </c>
      <c r="I946" s="250" t="s">
        <v>949</v>
      </c>
      <c r="J946" s="255" t="s">
        <v>950</v>
      </c>
      <c r="K946" s="255" t="s">
        <v>951</v>
      </c>
      <c r="L946" s="250" t="s">
        <v>947</v>
      </c>
      <c r="M946" s="336" t="s">
        <v>114</v>
      </c>
      <c r="N946" s="278">
        <v>44354</v>
      </c>
      <c r="O946" s="329" t="s">
        <v>67</v>
      </c>
      <c r="P946" s="330">
        <f t="shared" ref="P946:Q946" si="942">IF(B946=0,0,IF(YEAR(B946)=$Q$1,MONTH(B946)-$P$1+1,(YEAR(B946)-$Q$1)*12-$P$1+1+MONTH(B946)))</f>
        <v>6</v>
      </c>
      <c r="Q946" s="330">
        <f t="shared" si="942"/>
        <v>6</v>
      </c>
      <c r="R946" s="331" t="str">
        <f t="shared" si="1"/>
        <v>Gastos_Gerais</v>
      </c>
      <c r="S946" s="331" t="str">
        <f>IF(D946="","",IF(OR(D946=Plano!$A$1,D946=Plano!$B$1),"entrada","saída"))</f>
        <v>saída</v>
      </c>
      <c r="T946" s="332" t="s">
        <v>114</v>
      </c>
      <c r="U946" s="332" t="s">
        <v>114</v>
      </c>
      <c r="V946" s="344"/>
    </row>
    <row r="947" spans="1:22" ht="56.25" customHeight="1" x14ac:dyDescent="0.2">
      <c r="A947" s="277">
        <f>IF(B947="","",COUNT('Diário 5º PA'!$A$5:$A$2634)+ROW()-4)</f>
        <v>2254</v>
      </c>
      <c r="B947" s="278">
        <v>44354</v>
      </c>
      <c r="C947" s="249">
        <v>44348</v>
      </c>
      <c r="D947" s="255" t="s">
        <v>99</v>
      </c>
      <c r="E947" s="255" t="s">
        <v>272</v>
      </c>
      <c r="F947" s="258">
        <v>10.45</v>
      </c>
      <c r="G947" s="255" t="s">
        <v>1324</v>
      </c>
      <c r="H947" s="255" t="s">
        <v>124</v>
      </c>
      <c r="I947" s="250" t="s">
        <v>949</v>
      </c>
      <c r="J947" s="255" t="s">
        <v>950</v>
      </c>
      <c r="K947" s="255" t="s">
        <v>951</v>
      </c>
      <c r="L947" s="250" t="s">
        <v>947</v>
      </c>
      <c r="M947" s="336" t="s">
        <v>114</v>
      </c>
      <c r="N947" s="278">
        <v>44354</v>
      </c>
      <c r="O947" s="329" t="s">
        <v>67</v>
      </c>
      <c r="P947" s="330">
        <f t="shared" ref="P947:Q947" si="943">IF(B947=0,0,IF(YEAR(B947)=$Q$1,MONTH(B947)-$P$1+1,(YEAR(B947)-$Q$1)*12-$P$1+1+MONTH(B947)))</f>
        <v>6</v>
      </c>
      <c r="Q947" s="330">
        <f t="shared" si="943"/>
        <v>6</v>
      </c>
      <c r="R947" s="331" t="str">
        <f t="shared" si="1"/>
        <v>Gastos_Gerais</v>
      </c>
      <c r="S947" s="331" t="str">
        <f>IF(D947="","",IF(OR(D947=Plano!$A$1,D947=Plano!$B$1),"entrada","saída"))</f>
        <v>saída</v>
      </c>
      <c r="T947" s="332" t="s">
        <v>114</v>
      </c>
      <c r="U947" s="332" t="s">
        <v>114</v>
      </c>
      <c r="V947" s="344"/>
    </row>
    <row r="948" spans="1:22" ht="69.75" customHeight="1" x14ac:dyDescent="0.2">
      <c r="A948" s="277">
        <f>IF(B948="","",COUNT('Diário 5º PA'!$A$5:$A$2634)+ROW()-4)</f>
        <v>2255</v>
      </c>
      <c r="B948" s="278">
        <v>44354</v>
      </c>
      <c r="C948" s="249">
        <v>44348</v>
      </c>
      <c r="D948" s="255" t="s">
        <v>99</v>
      </c>
      <c r="E948" s="255" t="s">
        <v>272</v>
      </c>
      <c r="F948" s="258">
        <v>10.45</v>
      </c>
      <c r="G948" s="255" t="s">
        <v>4866</v>
      </c>
      <c r="H948" s="252" t="s">
        <v>123</v>
      </c>
      <c r="I948" s="250" t="s">
        <v>949</v>
      </c>
      <c r="J948" s="255" t="s">
        <v>950</v>
      </c>
      <c r="K948" s="255" t="s">
        <v>951</v>
      </c>
      <c r="L948" s="250" t="s">
        <v>947</v>
      </c>
      <c r="M948" s="336" t="s">
        <v>114</v>
      </c>
      <c r="N948" s="278">
        <v>44354</v>
      </c>
      <c r="O948" s="329" t="s">
        <v>67</v>
      </c>
      <c r="P948" s="330">
        <f t="shared" ref="P948:Q948" si="944">IF(B948=0,0,IF(YEAR(B948)=$Q$1,MONTH(B948)-$P$1+1,(YEAR(B948)-$Q$1)*12-$P$1+1+MONTH(B948)))</f>
        <v>6</v>
      </c>
      <c r="Q948" s="330">
        <f t="shared" si="944"/>
        <v>6</v>
      </c>
      <c r="R948" s="331" t="str">
        <f t="shared" si="1"/>
        <v>Gastos_Gerais</v>
      </c>
      <c r="S948" s="331" t="str">
        <f>IF(D948="","",IF(OR(D948=Plano!$A$1,D948=Plano!$B$1),"entrada","saída"))</f>
        <v>saída</v>
      </c>
      <c r="T948" s="332" t="s">
        <v>114</v>
      </c>
      <c r="U948" s="332" t="s">
        <v>114</v>
      </c>
      <c r="V948" s="344"/>
    </row>
    <row r="949" spans="1:22" ht="47.25" customHeight="1" x14ac:dyDescent="0.2">
      <c r="A949" s="277">
        <f>IF(B949="","",COUNT('Diário 5º PA'!$A$5:$A$2634)+ROW()-4)</f>
        <v>2256</v>
      </c>
      <c r="B949" s="278">
        <v>44354</v>
      </c>
      <c r="C949" s="249">
        <v>44348</v>
      </c>
      <c r="D949" s="255" t="s">
        <v>99</v>
      </c>
      <c r="E949" s="255" t="s">
        <v>272</v>
      </c>
      <c r="F949" s="258">
        <v>10.45</v>
      </c>
      <c r="G949" s="255" t="s">
        <v>4402</v>
      </c>
      <c r="H949" s="252" t="s">
        <v>117</v>
      </c>
      <c r="I949" s="250" t="s">
        <v>949</v>
      </c>
      <c r="J949" s="255" t="s">
        <v>950</v>
      </c>
      <c r="K949" s="255" t="s">
        <v>951</v>
      </c>
      <c r="L949" s="250" t="s">
        <v>947</v>
      </c>
      <c r="M949" s="336" t="s">
        <v>114</v>
      </c>
      <c r="N949" s="278">
        <v>44354</v>
      </c>
      <c r="O949" s="329" t="s">
        <v>67</v>
      </c>
      <c r="P949" s="330">
        <f t="shared" ref="P949:Q949" si="945">IF(B949=0,0,IF(YEAR(B949)=$Q$1,MONTH(B949)-$P$1+1,(YEAR(B949)-$Q$1)*12-$P$1+1+MONTH(B949)))</f>
        <v>6</v>
      </c>
      <c r="Q949" s="330">
        <f t="shared" si="945"/>
        <v>6</v>
      </c>
      <c r="R949" s="331" t="str">
        <f t="shared" si="1"/>
        <v>Gastos_Gerais</v>
      </c>
      <c r="S949" s="331" t="str">
        <f>IF(D949="","",IF(OR(D949=Plano!$A$1,D949=Plano!$B$1),"entrada","saída"))</f>
        <v>saída</v>
      </c>
      <c r="T949" s="332" t="s">
        <v>114</v>
      </c>
      <c r="U949" s="332" t="s">
        <v>114</v>
      </c>
      <c r="V949" s="344"/>
    </row>
    <row r="950" spans="1:22" ht="48.75" customHeight="1" x14ac:dyDescent="0.2">
      <c r="A950" s="277">
        <f>IF(B950="","",COUNT('Diário 5º PA'!$A$5:$A$2634)+ROW()-4)</f>
        <v>2257</v>
      </c>
      <c r="B950" s="278">
        <v>44354</v>
      </c>
      <c r="C950" s="249">
        <v>44348</v>
      </c>
      <c r="D950" s="255" t="s">
        <v>99</v>
      </c>
      <c r="E950" s="255" t="s">
        <v>272</v>
      </c>
      <c r="F950" s="258">
        <v>10.45</v>
      </c>
      <c r="G950" s="255" t="s">
        <v>4867</v>
      </c>
      <c r="H950" s="252" t="s">
        <v>118</v>
      </c>
      <c r="I950" s="250" t="s">
        <v>949</v>
      </c>
      <c r="J950" s="255" t="s">
        <v>950</v>
      </c>
      <c r="K950" s="255" t="s">
        <v>951</v>
      </c>
      <c r="L950" s="250" t="s">
        <v>947</v>
      </c>
      <c r="M950" s="336" t="s">
        <v>114</v>
      </c>
      <c r="N950" s="278">
        <v>44354</v>
      </c>
      <c r="O950" s="329" t="s">
        <v>67</v>
      </c>
      <c r="P950" s="330">
        <f t="shared" ref="P950:Q950" si="946">IF(B950=0,0,IF(YEAR(B950)=$Q$1,MONTH(B950)-$P$1+1,(YEAR(B950)-$Q$1)*12-$P$1+1+MONTH(B950)))</f>
        <v>6</v>
      </c>
      <c r="Q950" s="330">
        <f t="shared" si="946"/>
        <v>6</v>
      </c>
      <c r="R950" s="331" t="str">
        <f t="shared" si="1"/>
        <v>Gastos_Gerais</v>
      </c>
      <c r="S950" s="331" t="str">
        <f>IF(D950="","",IF(OR(D950=Plano!$A$1,D950=Plano!$B$1),"entrada","saída"))</f>
        <v>saída</v>
      </c>
      <c r="T950" s="332" t="s">
        <v>114</v>
      </c>
      <c r="U950" s="332" t="s">
        <v>114</v>
      </c>
      <c r="V950" s="344"/>
    </row>
    <row r="951" spans="1:22" ht="58.5" customHeight="1" x14ac:dyDescent="0.2">
      <c r="A951" s="277">
        <f>IF(B951="","",COUNT('Diário 5º PA'!$A$5:$A$2634)+ROW()-4)</f>
        <v>2258</v>
      </c>
      <c r="B951" s="278">
        <v>44354</v>
      </c>
      <c r="C951" s="249">
        <v>44348</v>
      </c>
      <c r="D951" s="255" t="s">
        <v>99</v>
      </c>
      <c r="E951" s="255" t="s">
        <v>272</v>
      </c>
      <c r="F951" s="258">
        <v>10.45</v>
      </c>
      <c r="G951" s="255" t="s">
        <v>4458</v>
      </c>
      <c r="H951" s="252" t="s">
        <v>117</v>
      </c>
      <c r="I951" s="250" t="s">
        <v>949</v>
      </c>
      <c r="J951" s="255" t="s">
        <v>950</v>
      </c>
      <c r="K951" s="255" t="s">
        <v>951</v>
      </c>
      <c r="L951" s="250" t="s">
        <v>947</v>
      </c>
      <c r="M951" s="336" t="s">
        <v>114</v>
      </c>
      <c r="N951" s="278">
        <v>44354</v>
      </c>
      <c r="O951" s="329" t="s">
        <v>67</v>
      </c>
      <c r="P951" s="330">
        <f t="shared" ref="P951:Q951" si="947">IF(B951=0,0,IF(YEAR(B951)=$Q$1,MONTH(B951)-$P$1+1,(YEAR(B951)-$Q$1)*12-$P$1+1+MONTH(B951)))</f>
        <v>6</v>
      </c>
      <c r="Q951" s="330">
        <f t="shared" si="947"/>
        <v>6</v>
      </c>
      <c r="R951" s="331" t="str">
        <f t="shared" si="1"/>
        <v>Gastos_Gerais</v>
      </c>
      <c r="S951" s="331" t="str">
        <f>IF(D951="","",IF(OR(D951=Plano!$A$1,D951=Plano!$B$1),"entrada","saída"))</f>
        <v>saída</v>
      </c>
      <c r="T951" s="332" t="s">
        <v>114</v>
      </c>
      <c r="U951" s="332" t="s">
        <v>114</v>
      </c>
      <c r="V951" s="344"/>
    </row>
    <row r="952" spans="1:22" ht="54.75" customHeight="1" x14ac:dyDescent="0.2">
      <c r="A952" s="277">
        <f>IF(B952="","",COUNT('Diário 5º PA'!$A$5:$A$2634)+ROW()-4)</f>
        <v>2259</v>
      </c>
      <c r="B952" s="278">
        <v>44354</v>
      </c>
      <c r="C952" s="249">
        <v>44348</v>
      </c>
      <c r="D952" s="255" t="s">
        <v>99</v>
      </c>
      <c r="E952" s="255" t="s">
        <v>272</v>
      </c>
      <c r="F952" s="258">
        <v>10.45</v>
      </c>
      <c r="G952" s="255" t="s">
        <v>4868</v>
      </c>
      <c r="H952" s="252" t="s">
        <v>116</v>
      </c>
      <c r="I952" s="250" t="s">
        <v>949</v>
      </c>
      <c r="J952" s="255" t="s">
        <v>950</v>
      </c>
      <c r="K952" s="255" t="s">
        <v>951</v>
      </c>
      <c r="L952" s="250" t="s">
        <v>947</v>
      </c>
      <c r="M952" s="336" t="s">
        <v>114</v>
      </c>
      <c r="N952" s="278">
        <v>44354</v>
      </c>
      <c r="O952" s="329" t="s">
        <v>67</v>
      </c>
      <c r="P952" s="330">
        <f t="shared" ref="P952:Q952" si="948">IF(B952=0,0,IF(YEAR(B952)=$Q$1,MONTH(B952)-$P$1+1,(YEAR(B952)-$Q$1)*12-$P$1+1+MONTH(B952)))</f>
        <v>6</v>
      </c>
      <c r="Q952" s="330">
        <f t="shared" si="948"/>
        <v>6</v>
      </c>
      <c r="R952" s="331" t="str">
        <f t="shared" si="1"/>
        <v>Gastos_Gerais</v>
      </c>
      <c r="S952" s="331" t="str">
        <f>IF(D952="","",IF(OR(D952=Plano!$A$1,D952=Plano!$B$1),"entrada","saída"))</f>
        <v>saída</v>
      </c>
      <c r="T952" s="332" t="s">
        <v>114</v>
      </c>
      <c r="U952" s="332" t="s">
        <v>114</v>
      </c>
      <c r="V952" s="344"/>
    </row>
    <row r="953" spans="1:22" ht="46.5" customHeight="1" x14ac:dyDescent="0.2">
      <c r="A953" s="277">
        <f>IF(B953="","",COUNT('Diário 5º PA'!$A$5:$A$2634)+ROW()-4)</f>
        <v>2260</v>
      </c>
      <c r="B953" s="278">
        <v>44354</v>
      </c>
      <c r="C953" s="249">
        <v>44348</v>
      </c>
      <c r="D953" s="255" t="s">
        <v>99</v>
      </c>
      <c r="E953" s="255" t="s">
        <v>272</v>
      </c>
      <c r="F953" s="258">
        <v>10.45</v>
      </c>
      <c r="G953" s="255" t="s">
        <v>1156</v>
      </c>
      <c r="H953" s="255" t="s">
        <v>115</v>
      </c>
      <c r="I953" s="250" t="s">
        <v>949</v>
      </c>
      <c r="J953" s="255" t="s">
        <v>950</v>
      </c>
      <c r="K953" s="255" t="s">
        <v>951</v>
      </c>
      <c r="L953" s="250" t="s">
        <v>947</v>
      </c>
      <c r="M953" s="336" t="s">
        <v>114</v>
      </c>
      <c r="N953" s="278">
        <v>44354</v>
      </c>
      <c r="O953" s="329" t="s">
        <v>67</v>
      </c>
      <c r="P953" s="330">
        <f t="shared" ref="P953:Q953" si="949">IF(B953=0,0,IF(YEAR(B953)=$Q$1,MONTH(B953)-$P$1+1,(YEAR(B953)-$Q$1)*12-$P$1+1+MONTH(B953)))</f>
        <v>6</v>
      </c>
      <c r="Q953" s="330">
        <f t="shared" si="949"/>
        <v>6</v>
      </c>
      <c r="R953" s="331" t="str">
        <f t="shared" si="1"/>
        <v>Gastos_Gerais</v>
      </c>
      <c r="S953" s="331" t="str">
        <f>IF(D953="","",IF(OR(D953=Plano!$A$1,D953=Plano!$B$1),"entrada","saída"))</f>
        <v>saída</v>
      </c>
      <c r="T953" s="332" t="s">
        <v>114</v>
      </c>
      <c r="U953" s="332" t="s">
        <v>114</v>
      </c>
      <c r="V953" s="344"/>
    </row>
    <row r="954" spans="1:22" ht="71.25" customHeight="1" x14ac:dyDescent="0.2">
      <c r="A954" s="277">
        <f>IF(B954="","",COUNT('Diário 5º PA'!$A$5:$A$2634)+ROW()-4)</f>
        <v>2261</v>
      </c>
      <c r="B954" s="278">
        <v>44354</v>
      </c>
      <c r="C954" s="249">
        <v>44348</v>
      </c>
      <c r="D954" s="255" t="s">
        <v>99</v>
      </c>
      <c r="E954" s="255" t="s">
        <v>272</v>
      </c>
      <c r="F954" s="258">
        <v>10.45</v>
      </c>
      <c r="G954" s="255" t="s">
        <v>4568</v>
      </c>
      <c r="H954" s="252" t="s">
        <v>125</v>
      </c>
      <c r="I954" s="250" t="s">
        <v>949</v>
      </c>
      <c r="J954" s="255" t="s">
        <v>950</v>
      </c>
      <c r="K954" s="255" t="s">
        <v>951</v>
      </c>
      <c r="L954" s="250" t="s">
        <v>947</v>
      </c>
      <c r="M954" s="336" t="s">
        <v>114</v>
      </c>
      <c r="N954" s="278">
        <v>44354</v>
      </c>
      <c r="O954" s="329" t="s">
        <v>67</v>
      </c>
      <c r="P954" s="330">
        <f t="shared" ref="P954:Q954" si="950">IF(B954=0,0,IF(YEAR(B954)=$Q$1,MONTH(B954)-$P$1+1,(YEAR(B954)-$Q$1)*12-$P$1+1+MONTH(B954)))</f>
        <v>6</v>
      </c>
      <c r="Q954" s="330">
        <f t="shared" si="950"/>
        <v>6</v>
      </c>
      <c r="R954" s="331" t="str">
        <f t="shared" si="1"/>
        <v>Gastos_Gerais</v>
      </c>
      <c r="S954" s="331" t="str">
        <f>IF(D954="","",IF(OR(D954=Plano!$A$1,D954=Plano!$B$1),"entrada","saída"))</f>
        <v>saída</v>
      </c>
      <c r="T954" s="332" t="s">
        <v>114</v>
      </c>
      <c r="U954" s="332" t="s">
        <v>114</v>
      </c>
      <c r="V954" s="344"/>
    </row>
    <row r="955" spans="1:22" ht="60" customHeight="1" x14ac:dyDescent="0.2">
      <c r="A955" s="277">
        <f>IF(B955="","",COUNT('Diário 5º PA'!$A$5:$A$2634)+ROW()-4)</f>
        <v>2262</v>
      </c>
      <c r="B955" s="278">
        <v>44354</v>
      </c>
      <c r="C955" s="249">
        <v>44348</v>
      </c>
      <c r="D955" s="255" t="s">
        <v>99</v>
      </c>
      <c r="E955" s="255" t="s">
        <v>272</v>
      </c>
      <c r="F955" s="258">
        <v>10.45</v>
      </c>
      <c r="G955" s="255" t="s">
        <v>4567</v>
      </c>
      <c r="H955" s="252" t="s">
        <v>116</v>
      </c>
      <c r="I955" s="250" t="s">
        <v>949</v>
      </c>
      <c r="J955" s="255" t="s">
        <v>950</v>
      </c>
      <c r="K955" s="255" t="s">
        <v>951</v>
      </c>
      <c r="L955" s="250" t="s">
        <v>947</v>
      </c>
      <c r="M955" s="336" t="s">
        <v>114</v>
      </c>
      <c r="N955" s="278">
        <v>44354</v>
      </c>
      <c r="O955" s="329" t="s">
        <v>67</v>
      </c>
      <c r="P955" s="330">
        <f t="shared" ref="P955:Q955" si="951">IF(B955=0,0,IF(YEAR(B955)=$Q$1,MONTH(B955)-$P$1+1,(YEAR(B955)-$Q$1)*12-$P$1+1+MONTH(B955)))</f>
        <v>6</v>
      </c>
      <c r="Q955" s="330">
        <f t="shared" si="951"/>
        <v>6</v>
      </c>
      <c r="R955" s="331" t="str">
        <f t="shared" si="1"/>
        <v>Gastos_Gerais</v>
      </c>
      <c r="S955" s="331" t="str">
        <f>IF(D955="","",IF(OR(D955=Plano!$A$1,D955=Plano!$B$1),"entrada","saída"))</f>
        <v>saída</v>
      </c>
      <c r="T955" s="332" t="s">
        <v>114</v>
      </c>
      <c r="U955" s="332" t="s">
        <v>114</v>
      </c>
      <c r="V955" s="344"/>
    </row>
    <row r="956" spans="1:22" ht="69" customHeight="1" x14ac:dyDescent="0.2">
      <c r="A956" s="277">
        <f>IF(B956="","",COUNT('Diário 5º PA'!$A$5:$A$2634)+ROW()-4)</f>
        <v>2263</v>
      </c>
      <c r="B956" s="278">
        <v>44354</v>
      </c>
      <c r="C956" s="249">
        <v>44348</v>
      </c>
      <c r="D956" s="255" t="s">
        <v>99</v>
      </c>
      <c r="E956" s="255" t="s">
        <v>272</v>
      </c>
      <c r="F956" s="258">
        <v>10.45</v>
      </c>
      <c r="G956" s="255" t="s">
        <v>4869</v>
      </c>
      <c r="H956" s="252" t="s">
        <v>118</v>
      </c>
      <c r="I956" s="250" t="s">
        <v>949</v>
      </c>
      <c r="J956" s="255" t="s">
        <v>950</v>
      </c>
      <c r="K956" s="255" t="s">
        <v>951</v>
      </c>
      <c r="L956" s="250" t="s">
        <v>947</v>
      </c>
      <c r="M956" s="336" t="s">
        <v>114</v>
      </c>
      <c r="N956" s="278">
        <v>44354</v>
      </c>
      <c r="O956" s="329" t="s">
        <v>67</v>
      </c>
      <c r="P956" s="330">
        <f t="shared" ref="P956:Q956" si="952">IF(B956=0,0,IF(YEAR(B956)=$Q$1,MONTH(B956)-$P$1+1,(YEAR(B956)-$Q$1)*12-$P$1+1+MONTH(B956)))</f>
        <v>6</v>
      </c>
      <c r="Q956" s="330">
        <f t="shared" si="952"/>
        <v>6</v>
      </c>
      <c r="R956" s="331" t="str">
        <f t="shared" si="1"/>
        <v>Gastos_Gerais</v>
      </c>
      <c r="S956" s="331" t="str">
        <f>IF(D956="","",IF(OR(D956=Plano!$A$1,D956=Plano!$B$1),"entrada","saída"))</f>
        <v>saída</v>
      </c>
      <c r="T956" s="332" t="s">
        <v>114</v>
      </c>
      <c r="U956" s="332" t="s">
        <v>114</v>
      </c>
      <c r="V956" s="344"/>
    </row>
    <row r="957" spans="1:22" ht="44.25" customHeight="1" x14ac:dyDescent="0.2">
      <c r="A957" s="277">
        <f>IF(B957="","",COUNT('Diário 5º PA'!$A$5:$A$2634)+ROW()-4)</f>
        <v>2264</v>
      </c>
      <c r="B957" s="278">
        <v>44354</v>
      </c>
      <c r="C957" s="249">
        <v>44348</v>
      </c>
      <c r="D957" s="255" t="s">
        <v>99</v>
      </c>
      <c r="E957" s="255" t="s">
        <v>272</v>
      </c>
      <c r="F957" s="258">
        <v>10.45</v>
      </c>
      <c r="G957" s="255" t="s">
        <v>1149</v>
      </c>
      <c r="H957" s="255" t="s">
        <v>115</v>
      </c>
      <c r="I957" s="250" t="s">
        <v>949</v>
      </c>
      <c r="J957" s="255" t="s">
        <v>950</v>
      </c>
      <c r="K957" s="255" t="s">
        <v>951</v>
      </c>
      <c r="L957" s="250" t="s">
        <v>947</v>
      </c>
      <c r="M957" s="336" t="s">
        <v>114</v>
      </c>
      <c r="N957" s="278">
        <v>44354</v>
      </c>
      <c r="O957" s="329" t="s">
        <v>67</v>
      </c>
      <c r="P957" s="330">
        <f t="shared" ref="P957:Q957" si="953">IF(B957=0,0,IF(YEAR(B957)=$Q$1,MONTH(B957)-$P$1+1,(YEAR(B957)-$Q$1)*12-$P$1+1+MONTH(B957)))</f>
        <v>6</v>
      </c>
      <c r="Q957" s="330">
        <f t="shared" si="953"/>
        <v>6</v>
      </c>
      <c r="R957" s="331" t="str">
        <f t="shared" si="1"/>
        <v>Gastos_Gerais</v>
      </c>
      <c r="S957" s="331" t="str">
        <f>IF(D957="","",IF(OR(D957=Plano!$A$1,D957=Plano!$B$1),"entrada","saída"))</f>
        <v>saída</v>
      </c>
      <c r="T957" s="332" t="s">
        <v>114</v>
      </c>
      <c r="U957" s="332" t="s">
        <v>114</v>
      </c>
      <c r="V957" s="344"/>
    </row>
    <row r="958" spans="1:22" ht="61.5" customHeight="1" x14ac:dyDescent="0.2">
      <c r="A958" s="277">
        <f>IF(B958="","",COUNT('Diário 5º PA'!$A$5:$A$2634)+ROW()-4)</f>
        <v>2265</v>
      </c>
      <c r="B958" s="278">
        <v>44354</v>
      </c>
      <c r="C958" s="249">
        <v>44348</v>
      </c>
      <c r="D958" s="255" t="s">
        <v>99</v>
      </c>
      <c r="E958" s="255" t="s">
        <v>272</v>
      </c>
      <c r="F958" s="258">
        <v>10.45</v>
      </c>
      <c r="G958" s="255" t="s">
        <v>4870</v>
      </c>
      <c r="H958" s="252" t="s">
        <v>116</v>
      </c>
      <c r="I958" s="250" t="s">
        <v>949</v>
      </c>
      <c r="J958" s="255" t="s">
        <v>950</v>
      </c>
      <c r="K958" s="255" t="s">
        <v>951</v>
      </c>
      <c r="L958" s="250" t="s">
        <v>947</v>
      </c>
      <c r="M958" s="336" t="s">
        <v>114</v>
      </c>
      <c r="N958" s="278">
        <v>44354</v>
      </c>
      <c r="O958" s="329" t="s">
        <v>67</v>
      </c>
      <c r="P958" s="330">
        <f t="shared" ref="P958:Q958" si="954">IF(B958=0,0,IF(YEAR(B958)=$Q$1,MONTH(B958)-$P$1+1,(YEAR(B958)-$Q$1)*12-$P$1+1+MONTH(B958)))</f>
        <v>6</v>
      </c>
      <c r="Q958" s="330">
        <f t="shared" si="954"/>
        <v>6</v>
      </c>
      <c r="R958" s="331" t="str">
        <f t="shared" si="1"/>
        <v>Gastos_Gerais</v>
      </c>
      <c r="S958" s="331" t="str">
        <f>IF(D958="","",IF(OR(D958=Plano!$A$1,D958=Plano!$B$1),"entrada","saída"))</f>
        <v>saída</v>
      </c>
      <c r="T958" s="332" t="s">
        <v>114</v>
      </c>
      <c r="U958" s="332" t="s">
        <v>114</v>
      </c>
      <c r="V958" s="344"/>
    </row>
    <row r="959" spans="1:22" ht="30.75" customHeight="1" x14ac:dyDescent="0.2">
      <c r="A959" s="277">
        <f>IF(B959="","",COUNT('Diário 5º PA'!$A$5:$A$2634)+ROW()-4)</f>
        <v>2266</v>
      </c>
      <c r="B959" s="278">
        <v>44354</v>
      </c>
      <c r="C959" s="249">
        <v>44348</v>
      </c>
      <c r="D959" s="255" t="s">
        <v>99</v>
      </c>
      <c r="E959" s="255" t="s">
        <v>272</v>
      </c>
      <c r="F959" s="258">
        <v>153</v>
      </c>
      <c r="G959" s="255" t="s">
        <v>1157</v>
      </c>
      <c r="H959" s="255" t="s">
        <v>115</v>
      </c>
      <c r="I959" s="250" t="s">
        <v>949</v>
      </c>
      <c r="J959" s="255" t="s">
        <v>950</v>
      </c>
      <c r="K959" s="255" t="s">
        <v>951</v>
      </c>
      <c r="L959" s="250" t="s">
        <v>947</v>
      </c>
      <c r="M959" s="336" t="s">
        <v>114</v>
      </c>
      <c r="N959" s="278">
        <v>44354</v>
      </c>
      <c r="O959" s="329" t="s">
        <v>67</v>
      </c>
      <c r="P959" s="330">
        <f t="shared" ref="P959:Q959" si="955">IF(B959=0,0,IF(YEAR(B959)=$Q$1,MONTH(B959)-$P$1+1,(YEAR(B959)-$Q$1)*12-$P$1+1+MONTH(B959)))</f>
        <v>6</v>
      </c>
      <c r="Q959" s="330">
        <f t="shared" si="955"/>
        <v>6</v>
      </c>
      <c r="R959" s="331" t="str">
        <f t="shared" si="1"/>
        <v>Gastos_Gerais</v>
      </c>
      <c r="S959" s="331" t="str">
        <f>IF(D959="","",IF(OR(D959=Plano!$A$1,D959=Plano!$B$1),"entrada","saída"))</f>
        <v>saída</v>
      </c>
      <c r="T959" s="332" t="s">
        <v>114</v>
      </c>
      <c r="U959" s="332" t="s">
        <v>114</v>
      </c>
      <c r="V959" s="344"/>
    </row>
    <row r="960" spans="1:22" ht="142.5" customHeight="1" x14ac:dyDescent="0.2">
      <c r="A960" s="277">
        <f>IF(B960="","",COUNT('Diário 5º PA'!$A$5:$A$2634)+ROW()-4)</f>
        <v>2267</v>
      </c>
      <c r="B960" s="278">
        <v>44354</v>
      </c>
      <c r="C960" s="259">
        <v>44317</v>
      </c>
      <c r="D960" s="252" t="s">
        <v>104</v>
      </c>
      <c r="E960" s="252" t="s">
        <v>104</v>
      </c>
      <c r="F960" s="257">
        <v>2075.92</v>
      </c>
      <c r="G960" s="252" t="s">
        <v>4169</v>
      </c>
      <c r="H960" s="252" t="s">
        <v>104</v>
      </c>
      <c r="I960" s="252" t="s">
        <v>4170</v>
      </c>
      <c r="J960" s="250" t="s">
        <v>4171</v>
      </c>
      <c r="K960" s="255" t="s">
        <v>1015</v>
      </c>
      <c r="L960" s="250" t="s">
        <v>1029</v>
      </c>
      <c r="M960" s="336">
        <v>1192</v>
      </c>
      <c r="N960" s="278">
        <v>44350</v>
      </c>
      <c r="O960" s="329" t="s">
        <v>68</v>
      </c>
      <c r="P960" s="330">
        <f t="shared" ref="P960:Q960" si="956">IF(B960=0,0,IF(YEAR(B960)=$Q$1,MONTH(B960)-$P$1+1,(YEAR(B960)-$Q$1)*12-$P$1+1+MONTH(B960)))</f>
        <v>6</v>
      </c>
      <c r="Q960" s="330">
        <f t="shared" si="956"/>
        <v>5</v>
      </c>
      <c r="R960" s="331" t="str">
        <f t="shared" si="1"/>
        <v>Gastos_custeados_por_captação</v>
      </c>
      <c r="S960" s="331" t="str">
        <f>IF(D960="","",IF(OR(D960=Plano!$A$1,D960=Plano!$B$1),"entrada","saída"))</f>
        <v>saída</v>
      </c>
      <c r="T960" s="332" t="s">
        <v>1059</v>
      </c>
      <c r="U960" s="332">
        <v>1363</v>
      </c>
      <c r="V960" s="344"/>
    </row>
    <row r="961" spans="1:22" ht="161.25" customHeight="1" x14ac:dyDescent="0.2">
      <c r="A961" s="277">
        <f>IF(B961="","",COUNT('Diário 5º PA'!$A$5:$A$2634)+ROW()-4)</f>
        <v>2268</v>
      </c>
      <c r="B961" s="278">
        <v>44354</v>
      </c>
      <c r="C961" s="259">
        <v>44317</v>
      </c>
      <c r="D961" s="252" t="s">
        <v>104</v>
      </c>
      <c r="E961" s="252" t="s">
        <v>104</v>
      </c>
      <c r="F961" s="257">
        <v>2500</v>
      </c>
      <c r="G961" s="252" t="s">
        <v>497</v>
      </c>
      <c r="H961" s="252" t="s">
        <v>104</v>
      </c>
      <c r="I961" s="252" t="s">
        <v>1162</v>
      </c>
      <c r="J961" s="250" t="s">
        <v>498</v>
      </c>
      <c r="K961" s="255" t="s">
        <v>1015</v>
      </c>
      <c r="L961" s="250" t="s">
        <v>992</v>
      </c>
      <c r="M961" s="336">
        <v>4</v>
      </c>
      <c r="N961" s="278">
        <v>44351</v>
      </c>
      <c r="O961" s="329" t="s">
        <v>68</v>
      </c>
      <c r="P961" s="330">
        <f t="shared" ref="P961:Q961" si="957">IF(B961=0,0,IF(YEAR(B961)=$Q$1,MONTH(B961)-$P$1+1,(YEAR(B961)-$Q$1)*12-$P$1+1+MONTH(B961)))</f>
        <v>6</v>
      </c>
      <c r="Q961" s="330">
        <f t="shared" si="957"/>
        <v>5</v>
      </c>
      <c r="R961" s="331" t="str">
        <f t="shared" si="1"/>
        <v>Gastos_custeados_por_captação</v>
      </c>
      <c r="S961" s="331" t="str">
        <f>IF(D961="","",IF(OR(D961=Plano!$A$1,D961=Plano!$B$1),"entrada","saída"))</f>
        <v>saída</v>
      </c>
      <c r="T961" s="332" t="s">
        <v>1059</v>
      </c>
      <c r="U961" s="332">
        <v>1303</v>
      </c>
      <c r="V961" s="344"/>
    </row>
    <row r="962" spans="1:22" ht="191.25" customHeight="1" x14ac:dyDescent="0.2">
      <c r="A962" s="277">
        <f>IF(B962="","",COUNT('Diário 5º PA'!$A$5:$A$2634)+ROW()-4)</f>
        <v>2269</v>
      </c>
      <c r="B962" s="278">
        <v>44354</v>
      </c>
      <c r="C962" s="259">
        <v>44317</v>
      </c>
      <c r="D962" s="252" t="s">
        <v>104</v>
      </c>
      <c r="E962" s="252" t="s">
        <v>104</v>
      </c>
      <c r="F962" s="257">
        <v>2075.92</v>
      </c>
      <c r="G962" s="252" t="s">
        <v>1163</v>
      </c>
      <c r="H962" s="252" t="s">
        <v>104</v>
      </c>
      <c r="I962" s="252" t="s">
        <v>1738</v>
      </c>
      <c r="J962" s="250" t="s">
        <v>1165</v>
      </c>
      <c r="K962" s="255" t="s">
        <v>1015</v>
      </c>
      <c r="L962" s="250" t="s">
        <v>1029</v>
      </c>
      <c r="M962" s="336">
        <v>1189</v>
      </c>
      <c r="N962" s="278">
        <v>44350</v>
      </c>
      <c r="O962" s="329" t="s">
        <v>68</v>
      </c>
      <c r="P962" s="330">
        <f t="shared" ref="P962:Q962" si="958">IF(B962=0,0,IF(YEAR(B962)=$Q$1,MONTH(B962)-$P$1+1,(YEAR(B962)-$Q$1)*12-$P$1+1+MONTH(B962)))</f>
        <v>6</v>
      </c>
      <c r="Q962" s="330">
        <f t="shared" si="958"/>
        <v>5</v>
      </c>
      <c r="R962" s="331" t="str">
        <f t="shared" si="1"/>
        <v>Gastos_custeados_por_captação</v>
      </c>
      <c r="S962" s="331" t="str">
        <f>IF(D962="","",IF(OR(D962=Plano!$A$1,D962=Plano!$B$1),"entrada","saída"))</f>
        <v>saída</v>
      </c>
      <c r="T962" s="332" t="s">
        <v>1059</v>
      </c>
      <c r="U962" s="332">
        <v>1299</v>
      </c>
      <c r="V962" s="344"/>
    </row>
    <row r="963" spans="1:22" ht="152.25" customHeight="1" x14ac:dyDescent="0.2">
      <c r="A963" s="277">
        <f>IF(B963="","",COUNT('Diário 5º PA'!$A$5:$A$2634)+ROW()-4)</f>
        <v>2270</v>
      </c>
      <c r="B963" s="278">
        <v>44354</v>
      </c>
      <c r="C963" s="259">
        <v>44317</v>
      </c>
      <c r="D963" s="252" t="s">
        <v>104</v>
      </c>
      <c r="E963" s="252" t="s">
        <v>104</v>
      </c>
      <c r="F963" s="257">
        <v>2125.92</v>
      </c>
      <c r="G963" s="252" t="s">
        <v>548</v>
      </c>
      <c r="H963" s="252" t="s">
        <v>104</v>
      </c>
      <c r="I963" s="252" t="s">
        <v>1739</v>
      </c>
      <c r="J963" s="250" t="s">
        <v>550</v>
      </c>
      <c r="K963" s="255" t="s">
        <v>1015</v>
      </c>
      <c r="L963" s="250" t="s">
        <v>1029</v>
      </c>
      <c r="M963" s="336">
        <v>1190</v>
      </c>
      <c r="N963" s="278">
        <v>44350</v>
      </c>
      <c r="O963" s="329" t="s">
        <v>68</v>
      </c>
      <c r="P963" s="330">
        <f t="shared" ref="P963:Q963" si="959">IF(B963=0,0,IF(YEAR(B963)=$Q$1,MONTH(B963)-$P$1+1,(YEAR(B963)-$Q$1)*12-$P$1+1+MONTH(B963)))</f>
        <v>6</v>
      </c>
      <c r="Q963" s="330">
        <f t="shared" si="959"/>
        <v>5</v>
      </c>
      <c r="R963" s="331" t="str">
        <f t="shared" si="1"/>
        <v>Gastos_custeados_por_captação</v>
      </c>
      <c r="S963" s="331" t="str">
        <f>IF(D963="","",IF(OR(D963=Plano!$A$1,D963=Plano!$B$1),"entrada","saída"))</f>
        <v>saída</v>
      </c>
      <c r="T963" s="332" t="s">
        <v>1059</v>
      </c>
      <c r="U963" s="332">
        <v>1301</v>
      </c>
      <c r="V963" s="344"/>
    </row>
    <row r="964" spans="1:22" ht="150.75" customHeight="1" x14ac:dyDescent="0.2">
      <c r="A964" s="277">
        <f>IF(B964="","",COUNT('Diário 5º PA'!$A$5:$A$2634)+ROW()-4)</f>
        <v>2271</v>
      </c>
      <c r="B964" s="278">
        <v>44354</v>
      </c>
      <c r="C964" s="259">
        <v>44317</v>
      </c>
      <c r="D964" s="252" t="s">
        <v>104</v>
      </c>
      <c r="E964" s="252" t="s">
        <v>104</v>
      </c>
      <c r="F964" s="257">
        <v>2300</v>
      </c>
      <c r="G964" s="252" t="s">
        <v>4387</v>
      </c>
      <c r="H964" s="252" t="s">
        <v>104</v>
      </c>
      <c r="I964" s="252" t="s">
        <v>1638</v>
      </c>
      <c r="J964" s="250" t="s">
        <v>2889</v>
      </c>
      <c r="K964" s="255" t="s">
        <v>1015</v>
      </c>
      <c r="L964" s="250" t="s">
        <v>992</v>
      </c>
      <c r="M964" s="346" t="s">
        <v>1540</v>
      </c>
      <c r="N964" s="278">
        <v>44348</v>
      </c>
      <c r="O964" s="329" t="s">
        <v>68</v>
      </c>
      <c r="P964" s="330">
        <f t="shared" ref="P964:Q964" si="960">IF(B964=0,0,IF(YEAR(B964)=$Q$1,MONTH(B964)-$P$1+1,(YEAR(B964)-$Q$1)*12-$P$1+1+MONTH(B964)))</f>
        <v>6</v>
      </c>
      <c r="Q964" s="330">
        <f t="shared" si="960"/>
        <v>5</v>
      </c>
      <c r="R964" s="331" t="str">
        <f t="shared" si="1"/>
        <v>Gastos_custeados_por_captação</v>
      </c>
      <c r="S964" s="331" t="str">
        <f>IF(D964="","",IF(OR(D964=Plano!$A$1,D964=Plano!$B$1),"entrada","saída"))</f>
        <v>saída</v>
      </c>
      <c r="T964" s="332" t="s">
        <v>994</v>
      </c>
      <c r="U964" s="332">
        <v>1401</v>
      </c>
      <c r="V964" s="344"/>
    </row>
    <row r="965" spans="1:22" ht="141" customHeight="1" x14ac:dyDescent="0.2">
      <c r="A965" s="277">
        <f>IF(B965="","",COUNT('Diário 5º PA'!$A$5:$A$2634)+ROW()-4)</f>
        <v>2272</v>
      </c>
      <c r="B965" s="278">
        <v>44354</v>
      </c>
      <c r="C965" s="259">
        <v>44317</v>
      </c>
      <c r="D965" s="252" t="s">
        <v>104</v>
      </c>
      <c r="E965" s="252" t="s">
        <v>104</v>
      </c>
      <c r="F965" s="257">
        <v>2300</v>
      </c>
      <c r="G965" s="252" t="s">
        <v>4387</v>
      </c>
      <c r="H965" s="252" t="s">
        <v>104</v>
      </c>
      <c r="I965" s="252" t="s">
        <v>4173</v>
      </c>
      <c r="J965" s="250" t="s">
        <v>2771</v>
      </c>
      <c r="K965" s="255" t="s">
        <v>1015</v>
      </c>
      <c r="L965" s="250" t="s">
        <v>992</v>
      </c>
      <c r="M965" s="346" t="s">
        <v>1540</v>
      </c>
      <c r="N965" s="278">
        <v>44349</v>
      </c>
      <c r="O965" s="329" t="s">
        <v>68</v>
      </c>
      <c r="P965" s="330">
        <f t="shared" ref="P965:Q965" si="961">IF(B965=0,0,IF(YEAR(B965)=$Q$1,MONTH(B965)-$P$1+1,(YEAR(B965)-$Q$1)*12-$P$1+1+MONTH(B965)))</f>
        <v>6</v>
      </c>
      <c r="Q965" s="330">
        <f t="shared" si="961"/>
        <v>5</v>
      </c>
      <c r="R965" s="331" t="str">
        <f t="shared" si="1"/>
        <v>Gastos_custeados_por_captação</v>
      </c>
      <c r="S965" s="331" t="str">
        <f>IF(D965="","",IF(OR(D965=Plano!$A$1,D965=Plano!$B$1),"entrada","saída"))</f>
        <v>saída</v>
      </c>
      <c r="T965" s="332" t="s">
        <v>994</v>
      </c>
      <c r="U965" s="332">
        <v>1399</v>
      </c>
      <c r="V965" s="344"/>
    </row>
    <row r="966" spans="1:22" ht="145.5" customHeight="1" x14ac:dyDescent="0.2">
      <c r="A966" s="277">
        <f>IF(B966="","",COUNT('Diário 5º PA'!$A$5:$A$2634)+ROW()-4)</f>
        <v>2273</v>
      </c>
      <c r="B966" s="278">
        <v>44354</v>
      </c>
      <c r="C966" s="259">
        <v>44317</v>
      </c>
      <c r="D966" s="252" t="s">
        <v>104</v>
      </c>
      <c r="E966" s="252" t="s">
        <v>104</v>
      </c>
      <c r="F966" s="257">
        <v>2300</v>
      </c>
      <c r="G966" s="252" t="s">
        <v>4387</v>
      </c>
      <c r="H966" s="252" t="s">
        <v>104</v>
      </c>
      <c r="I966" s="252" t="s">
        <v>4128</v>
      </c>
      <c r="J966" s="250" t="s">
        <v>1648</v>
      </c>
      <c r="K966" s="255" t="s">
        <v>1015</v>
      </c>
      <c r="L966" s="250" t="s">
        <v>992</v>
      </c>
      <c r="M966" s="336">
        <v>150</v>
      </c>
      <c r="N966" s="278">
        <v>44354</v>
      </c>
      <c r="O966" s="329" t="s">
        <v>68</v>
      </c>
      <c r="P966" s="330">
        <f t="shared" ref="P966:Q966" si="962">IF(B966=0,0,IF(YEAR(B966)=$Q$1,MONTH(B966)-$P$1+1,(YEAR(B966)-$Q$1)*12-$P$1+1+MONTH(B966)))</f>
        <v>6</v>
      </c>
      <c r="Q966" s="330">
        <f t="shared" si="962"/>
        <v>5</v>
      </c>
      <c r="R966" s="331" t="str">
        <f t="shared" si="1"/>
        <v>Gastos_custeados_por_captação</v>
      </c>
      <c r="S966" s="331" t="str">
        <f>IF(D966="","",IF(OR(D966=Plano!$A$1,D966=Plano!$B$1),"entrada","saída"))</f>
        <v>saída</v>
      </c>
      <c r="T966" s="332" t="s">
        <v>994</v>
      </c>
      <c r="U966" s="332">
        <v>1398</v>
      </c>
      <c r="V966" s="344"/>
    </row>
    <row r="967" spans="1:22" ht="155.25" customHeight="1" x14ac:dyDescent="0.2">
      <c r="A967" s="277">
        <f>IF(B967="","",COUNT('Diário 5º PA'!$A$5:$A$2634)+ROW()-4)</f>
        <v>2274</v>
      </c>
      <c r="B967" s="278">
        <v>44354</v>
      </c>
      <c r="C967" s="259">
        <v>44317</v>
      </c>
      <c r="D967" s="252" t="s">
        <v>104</v>
      </c>
      <c r="E967" s="252" t="s">
        <v>104</v>
      </c>
      <c r="F967" s="257">
        <v>2300</v>
      </c>
      <c r="G967" s="252" t="s">
        <v>4387</v>
      </c>
      <c r="H967" s="252" t="s">
        <v>104</v>
      </c>
      <c r="I967" s="252" t="s">
        <v>1633</v>
      </c>
      <c r="J967" s="250" t="s">
        <v>1634</v>
      </c>
      <c r="K967" s="255" t="s">
        <v>1015</v>
      </c>
      <c r="L967" s="250" t="s">
        <v>992</v>
      </c>
      <c r="M967" s="346" t="s">
        <v>1058</v>
      </c>
      <c r="N967" s="278">
        <v>44349</v>
      </c>
      <c r="O967" s="329" t="s">
        <v>68</v>
      </c>
      <c r="P967" s="330">
        <f t="shared" ref="P967:Q967" si="963">IF(B967=0,0,IF(YEAR(B967)=$Q$1,MONTH(B967)-$P$1+1,(YEAR(B967)-$Q$1)*12-$P$1+1+MONTH(B967)))</f>
        <v>6</v>
      </c>
      <c r="Q967" s="330">
        <f t="shared" si="963"/>
        <v>5</v>
      </c>
      <c r="R967" s="331" t="str">
        <f t="shared" si="1"/>
        <v>Gastos_custeados_por_captação</v>
      </c>
      <c r="S967" s="331" t="str">
        <f>IF(D967="","",IF(OR(D967=Plano!$A$1,D967=Plano!$B$1),"entrada","saída"))</f>
        <v>saída</v>
      </c>
      <c r="T967" s="332" t="s">
        <v>994</v>
      </c>
      <c r="U967" s="332">
        <v>1395</v>
      </c>
      <c r="V967" s="344"/>
    </row>
    <row r="968" spans="1:22" ht="40.5" customHeight="1" x14ac:dyDescent="0.2">
      <c r="A968" s="277">
        <f>IF(B968="","",COUNT('Diário 5º PA'!$A$5:$A$2634)+ROW()-4)</f>
        <v>2275</v>
      </c>
      <c r="B968" s="278">
        <v>44354</v>
      </c>
      <c r="C968" s="259">
        <v>44287</v>
      </c>
      <c r="D968" s="252" t="s">
        <v>104</v>
      </c>
      <c r="E968" s="252" t="s">
        <v>104</v>
      </c>
      <c r="F968" s="257">
        <v>596</v>
      </c>
      <c r="G968" s="252" t="s">
        <v>4871</v>
      </c>
      <c r="H968" s="252" t="s">
        <v>104</v>
      </c>
      <c r="I968" s="252" t="s">
        <v>465</v>
      </c>
      <c r="J968" s="250" t="s">
        <v>114</v>
      </c>
      <c r="K968" s="250" t="s">
        <v>466</v>
      </c>
      <c r="L968" s="250" t="s">
        <v>467</v>
      </c>
      <c r="M968" s="336">
        <v>2662</v>
      </c>
      <c r="N968" s="278">
        <v>44354</v>
      </c>
      <c r="O968" s="329" t="s">
        <v>68</v>
      </c>
      <c r="P968" s="330">
        <f t="shared" ref="P968:Q968" si="964">IF(B968=0,0,IF(YEAR(B968)=$Q$1,MONTH(B968)-$P$1+1,(YEAR(B968)-$Q$1)*12-$P$1+1+MONTH(B968)))</f>
        <v>6</v>
      </c>
      <c r="Q968" s="330">
        <f t="shared" si="964"/>
        <v>4</v>
      </c>
      <c r="R968" s="331" t="str">
        <f t="shared" si="1"/>
        <v>Gastos_custeados_por_captação</v>
      </c>
      <c r="S968" s="331" t="str">
        <f>IF(D968="","",IF(OR(D968=Plano!$A$1,D968=Plano!$B$1),"entrada","saída"))</f>
        <v>saída</v>
      </c>
      <c r="T968" s="332" t="s">
        <v>114</v>
      </c>
      <c r="U968" s="332" t="s">
        <v>114</v>
      </c>
      <c r="V968" s="344"/>
    </row>
    <row r="969" spans="1:22" ht="43.5" customHeight="1" x14ac:dyDescent="0.2">
      <c r="A969" s="277">
        <f>IF(B969="","",COUNT('Diário 5º PA'!$A$5:$A$2634)+ROW()-4)</f>
        <v>2276</v>
      </c>
      <c r="B969" s="278">
        <v>44354</v>
      </c>
      <c r="C969" s="259">
        <v>44287</v>
      </c>
      <c r="D969" s="252" t="s">
        <v>104</v>
      </c>
      <c r="E969" s="252" t="s">
        <v>104</v>
      </c>
      <c r="F969" s="257">
        <v>125</v>
      </c>
      <c r="G969" s="252" t="s">
        <v>4872</v>
      </c>
      <c r="H969" s="252" t="s">
        <v>104</v>
      </c>
      <c r="I969" s="252" t="s">
        <v>465</v>
      </c>
      <c r="J969" s="250" t="s">
        <v>114</v>
      </c>
      <c r="K969" s="250" t="s">
        <v>466</v>
      </c>
      <c r="L969" s="250" t="s">
        <v>467</v>
      </c>
      <c r="M969" s="336">
        <v>2663</v>
      </c>
      <c r="N969" s="278">
        <v>44354</v>
      </c>
      <c r="O969" s="329" t="s">
        <v>68</v>
      </c>
      <c r="P969" s="330">
        <f t="shared" ref="P969:Q969" si="965">IF(B969=0,0,IF(YEAR(B969)=$Q$1,MONTH(B969)-$P$1+1,(YEAR(B969)-$Q$1)*12-$P$1+1+MONTH(B969)))</f>
        <v>6</v>
      </c>
      <c r="Q969" s="330">
        <f t="shared" si="965"/>
        <v>4</v>
      </c>
      <c r="R969" s="331" t="str">
        <f t="shared" si="1"/>
        <v>Gastos_custeados_por_captação</v>
      </c>
      <c r="S969" s="331" t="str">
        <f>IF(D969="","",IF(OR(D969=Plano!$A$1,D969=Plano!$B$1),"entrada","saída"))</f>
        <v>saída</v>
      </c>
      <c r="T969" s="332" t="s">
        <v>114</v>
      </c>
      <c r="U969" s="332" t="s">
        <v>114</v>
      </c>
      <c r="V969" s="344"/>
    </row>
    <row r="970" spans="1:22" ht="42" customHeight="1" x14ac:dyDescent="0.2">
      <c r="A970" s="277">
        <f>IF(B970="","",COUNT('Diário 5º PA'!$A$5:$A$2634)+ROW()-4)</f>
        <v>2277</v>
      </c>
      <c r="B970" s="278">
        <v>44354</v>
      </c>
      <c r="C970" s="259">
        <v>44287</v>
      </c>
      <c r="D970" s="252" t="s">
        <v>104</v>
      </c>
      <c r="E970" s="252" t="s">
        <v>104</v>
      </c>
      <c r="F970" s="257">
        <v>75</v>
      </c>
      <c r="G970" s="252" t="s">
        <v>4873</v>
      </c>
      <c r="H970" s="252" t="s">
        <v>104</v>
      </c>
      <c r="I970" s="252" t="s">
        <v>465</v>
      </c>
      <c r="J970" s="250" t="s">
        <v>114</v>
      </c>
      <c r="K970" s="250" t="s">
        <v>466</v>
      </c>
      <c r="L970" s="250" t="s">
        <v>467</v>
      </c>
      <c r="M970" s="336">
        <v>2264</v>
      </c>
      <c r="N970" s="278">
        <v>44354</v>
      </c>
      <c r="O970" s="329" t="s">
        <v>68</v>
      </c>
      <c r="P970" s="330">
        <f t="shared" ref="P970:Q970" si="966">IF(B970=0,0,IF(YEAR(B970)=$Q$1,MONTH(B970)-$P$1+1,(YEAR(B970)-$Q$1)*12-$P$1+1+MONTH(B970)))</f>
        <v>6</v>
      </c>
      <c r="Q970" s="330">
        <f t="shared" si="966"/>
        <v>4</v>
      </c>
      <c r="R970" s="331" t="str">
        <f t="shared" si="1"/>
        <v>Gastos_custeados_por_captação</v>
      </c>
      <c r="S970" s="331" t="str">
        <f>IF(D970="","",IF(OR(D970=Plano!$A$1,D970=Plano!$B$1),"entrada","saída"))</f>
        <v>saída</v>
      </c>
      <c r="T970" s="332" t="s">
        <v>114</v>
      </c>
      <c r="U970" s="332" t="s">
        <v>114</v>
      </c>
      <c r="V970" s="344"/>
    </row>
    <row r="971" spans="1:22" ht="49.5" customHeight="1" x14ac:dyDescent="0.2">
      <c r="A971" s="277">
        <f>IF(B971="","",COUNT('Diário 5º PA'!$A$5:$A$2634)+ROW()-4)</f>
        <v>2278</v>
      </c>
      <c r="B971" s="278">
        <v>44354</v>
      </c>
      <c r="C971" s="259">
        <v>44287</v>
      </c>
      <c r="D971" s="252" t="s">
        <v>104</v>
      </c>
      <c r="E971" s="252" t="s">
        <v>104</v>
      </c>
      <c r="F971" s="257">
        <v>125</v>
      </c>
      <c r="G971" s="252" t="s">
        <v>4874</v>
      </c>
      <c r="H971" s="252" t="s">
        <v>104</v>
      </c>
      <c r="I971" s="252" t="s">
        <v>465</v>
      </c>
      <c r="J971" s="250" t="s">
        <v>114</v>
      </c>
      <c r="K971" s="250" t="s">
        <v>466</v>
      </c>
      <c r="L971" s="250" t="s">
        <v>467</v>
      </c>
      <c r="M971" s="336">
        <v>2265</v>
      </c>
      <c r="N971" s="278">
        <v>44354</v>
      </c>
      <c r="O971" s="329" t="s">
        <v>68</v>
      </c>
      <c r="P971" s="330">
        <f t="shared" ref="P971:Q971" si="967">IF(B971=0,0,IF(YEAR(B971)=$Q$1,MONTH(B971)-$P$1+1,(YEAR(B971)-$Q$1)*12-$P$1+1+MONTH(B971)))</f>
        <v>6</v>
      </c>
      <c r="Q971" s="330">
        <f t="shared" si="967"/>
        <v>4</v>
      </c>
      <c r="R971" s="331" t="str">
        <f t="shared" si="1"/>
        <v>Gastos_custeados_por_captação</v>
      </c>
      <c r="S971" s="331" t="str">
        <f>IF(D971="","",IF(OR(D971=Plano!$A$1,D971=Plano!$B$1),"entrada","saída"))</f>
        <v>saída</v>
      </c>
      <c r="T971" s="332" t="s">
        <v>114</v>
      </c>
      <c r="U971" s="332" t="s">
        <v>114</v>
      </c>
      <c r="V971" s="344"/>
    </row>
    <row r="972" spans="1:22" ht="51.75" customHeight="1" x14ac:dyDescent="0.2">
      <c r="A972" s="277">
        <f>IF(B972="","",COUNT('Diário 5º PA'!$A$5:$A$2634)+ROW()-4)</f>
        <v>2279</v>
      </c>
      <c r="B972" s="278">
        <v>44354</v>
      </c>
      <c r="C972" s="259">
        <v>44287</v>
      </c>
      <c r="D972" s="252" t="s">
        <v>104</v>
      </c>
      <c r="E972" s="252" t="s">
        <v>104</v>
      </c>
      <c r="F972" s="257">
        <v>69</v>
      </c>
      <c r="G972" s="252" t="s">
        <v>4875</v>
      </c>
      <c r="H972" s="252" t="s">
        <v>104</v>
      </c>
      <c r="I972" s="252" t="s">
        <v>465</v>
      </c>
      <c r="J972" s="250" t="s">
        <v>114</v>
      </c>
      <c r="K972" s="250" t="s">
        <v>466</v>
      </c>
      <c r="L972" s="250" t="s">
        <v>467</v>
      </c>
      <c r="M972" s="336">
        <v>2666</v>
      </c>
      <c r="N972" s="278">
        <v>44354</v>
      </c>
      <c r="O972" s="329" t="s">
        <v>68</v>
      </c>
      <c r="P972" s="330">
        <f t="shared" ref="P972:Q972" si="968">IF(B972=0,0,IF(YEAR(B972)=$Q$1,MONTH(B972)-$P$1+1,(YEAR(B972)-$Q$1)*12-$P$1+1+MONTH(B972)))</f>
        <v>6</v>
      </c>
      <c r="Q972" s="330">
        <f t="shared" si="968"/>
        <v>4</v>
      </c>
      <c r="R972" s="331" t="str">
        <f t="shared" si="1"/>
        <v>Gastos_custeados_por_captação</v>
      </c>
      <c r="S972" s="331" t="str">
        <f>IF(D972="","",IF(OR(D972=Plano!$A$1,D972=Plano!$B$1),"entrada","saída"))</f>
        <v>saída</v>
      </c>
      <c r="T972" s="332" t="s">
        <v>114</v>
      </c>
      <c r="U972" s="332" t="s">
        <v>114</v>
      </c>
      <c r="V972" s="344"/>
    </row>
    <row r="973" spans="1:22" ht="57" customHeight="1" x14ac:dyDescent="0.2">
      <c r="A973" s="277">
        <f>IF(B973="","",COUNT('Diário 5º PA'!$A$5:$A$2634)+ROW()-4)</f>
        <v>2280</v>
      </c>
      <c r="B973" s="278">
        <v>44354</v>
      </c>
      <c r="C973" s="259">
        <v>44287</v>
      </c>
      <c r="D973" s="252" t="s">
        <v>104</v>
      </c>
      <c r="E973" s="252" t="s">
        <v>104</v>
      </c>
      <c r="F973" s="257">
        <v>69</v>
      </c>
      <c r="G973" s="252" t="s">
        <v>4876</v>
      </c>
      <c r="H973" s="252" t="s">
        <v>104</v>
      </c>
      <c r="I973" s="252" t="s">
        <v>465</v>
      </c>
      <c r="J973" s="250" t="s">
        <v>114</v>
      </c>
      <c r="K973" s="250" t="s">
        <v>466</v>
      </c>
      <c r="L973" s="250" t="s">
        <v>467</v>
      </c>
      <c r="M973" s="336">
        <v>2667</v>
      </c>
      <c r="N973" s="278">
        <v>44354</v>
      </c>
      <c r="O973" s="329" t="s">
        <v>68</v>
      </c>
      <c r="P973" s="330">
        <f t="shared" ref="P973:Q973" si="969">IF(B973=0,0,IF(YEAR(B973)=$Q$1,MONTH(B973)-$P$1+1,(YEAR(B973)-$Q$1)*12-$P$1+1+MONTH(B973)))</f>
        <v>6</v>
      </c>
      <c r="Q973" s="330">
        <f t="shared" si="969"/>
        <v>4</v>
      </c>
      <c r="R973" s="331" t="str">
        <f t="shared" si="1"/>
        <v>Gastos_custeados_por_captação</v>
      </c>
      <c r="S973" s="331" t="str">
        <f>IF(D973="","",IF(OR(D973=Plano!$A$1,D973=Plano!$B$1),"entrada","saída"))</f>
        <v>saída</v>
      </c>
      <c r="T973" s="332" t="s">
        <v>114</v>
      </c>
      <c r="U973" s="332" t="s">
        <v>114</v>
      </c>
      <c r="V973" s="344"/>
    </row>
    <row r="974" spans="1:22" ht="54.75" customHeight="1" x14ac:dyDescent="0.2">
      <c r="A974" s="277">
        <f>IF(B974="","",COUNT('Diário 5º PA'!$A$5:$A$2634)+ROW()-4)</f>
        <v>2281</v>
      </c>
      <c r="B974" s="278">
        <v>44354</v>
      </c>
      <c r="C974" s="259">
        <v>44287</v>
      </c>
      <c r="D974" s="252" t="s">
        <v>104</v>
      </c>
      <c r="E974" s="252" t="s">
        <v>104</v>
      </c>
      <c r="F974" s="257">
        <v>99</v>
      </c>
      <c r="G974" s="252" t="s">
        <v>4877</v>
      </c>
      <c r="H974" s="252" t="s">
        <v>104</v>
      </c>
      <c r="I974" s="252" t="s">
        <v>465</v>
      </c>
      <c r="J974" s="250" t="s">
        <v>114</v>
      </c>
      <c r="K974" s="250" t="s">
        <v>466</v>
      </c>
      <c r="L974" s="250" t="s">
        <v>467</v>
      </c>
      <c r="M974" s="336">
        <v>2668</v>
      </c>
      <c r="N974" s="278">
        <v>44354</v>
      </c>
      <c r="O974" s="329" t="s">
        <v>68</v>
      </c>
      <c r="P974" s="330">
        <f t="shared" ref="P974:Q974" si="970">IF(B974=0,0,IF(YEAR(B974)=$Q$1,MONTH(B974)-$P$1+1,(YEAR(B974)-$Q$1)*12-$P$1+1+MONTH(B974)))</f>
        <v>6</v>
      </c>
      <c r="Q974" s="330">
        <f t="shared" si="970"/>
        <v>4</v>
      </c>
      <c r="R974" s="331" t="str">
        <f t="shared" si="1"/>
        <v>Gastos_custeados_por_captação</v>
      </c>
      <c r="S974" s="331" t="str">
        <f>IF(D974="","",IF(OR(D974=Plano!$A$1,D974=Plano!$B$1),"entrada","saída"))</f>
        <v>saída</v>
      </c>
      <c r="T974" s="332" t="s">
        <v>114</v>
      </c>
      <c r="U974" s="332" t="s">
        <v>114</v>
      </c>
      <c r="V974" s="344"/>
    </row>
    <row r="975" spans="1:22" ht="55.5" customHeight="1" x14ac:dyDescent="0.2">
      <c r="A975" s="277">
        <f>IF(B975="","",COUNT('Diário 5º PA'!$A$5:$A$2634)+ROW()-4)</f>
        <v>2282</v>
      </c>
      <c r="B975" s="278">
        <v>44354</v>
      </c>
      <c r="C975" s="259">
        <v>44287</v>
      </c>
      <c r="D975" s="252" t="s">
        <v>104</v>
      </c>
      <c r="E975" s="252" t="s">
        <v>104</v>
      </c>
      <c r="F975" s="257">
        <v>99</v>
      </c>
      <c r="G975" s="252" t="s">
        <v>4878</v>
      </c>
      <c r="H975" s="252" t="s">
        <v>104</v>
      </c>
      <c r="I975" s="252" t="s">
        <v>465</v>
      </c>
      <c r="J975" s="250" t="s">
        <v>114</v>
      </c>
      <c r="K975" s="250" t="s">
        <v>466</v>
      </c>
      <c r="L975" s="250" t="s">
        <v>467</v>
      </c>
      <c r="M975" s="336">
        <v>2669</v>
      </c>
      <c r="N975" s="278">
        <v>44354</v>
      </c>
      <c r="O975" s="329" t="s">
        <v>68</v>
      </c>
      <c r="P975" s="330">
        <f t="shared" ref="P975:Q975" si="971">IF(B975=0,0,IF(YEAR(B975)=$Q$1,MONTH(B975)-$P$1+1,(YEAR(B975)-$Q$1)*12-$P$1+1+MONTH(B975)))</f>
        <v>6</v>
      </c>
      <c r="Q975" s="330">
        <f t="shared" si="971"/>
        <v>4</v>
      </c>
      <c r="R975" s="331" t="str">
        <f t="shared" si="1"/>
        <v>Gastos_custeados_por_captação</v>
      </c>
      <c r="S975" s="331" t="str">
        <f>IF(D975="","",IF(OR(D975=Plano!$A$1,D975=Plano!$B$1),"entrada","saída"))</f>
        <v>saída</v>
      </c>
      <c r="T975" s="332" t="s">
        <v>114</v>
      </c>
      <c r="U975" s="332" t="s">
        <v>114</v>
      </c>
      <c r="V975" s="344"/>
    </row>
    <row r="976" spans="1:22" ht="59.25" customHeight="1" x14ac:dyDescent="0.2">
      <c r="A976" s="277">
        <f>IF(B976="","",COUNT('Diário 5º PA'!$A$5:$A$2634)+ROW()-4)</f>
        <v>2283</v>
      </c>
      <c r="B976" s="278">
        <v>44354</v>
      </c>
      <c r="C976" s="259">
        <v>44287</v>
      </c>
      <c r="D976" s="252" t="s">
        <v>104</v>
      </c>
      <c r="E976" s="252" t="s">
        <v>104</v>
      </c>
      <c r="F976" s="257">
        <v>99</v>
      </c>
      <c r="G976" s="252" t="s">
        <v>4879</v>
      </c>
      <c r="H976" s="252" t="s">
        <v>104</v>
      </c>
      <c r="I976" s="252" t="s">
        <v>465</v>
      </c>
      <c r="J976" s="250" t="s">
        <v>114</v>
      </c>
      <c r="K976" s="250" t="s">
        <v>466</v>
      </c>
      <c r="L976" s="250" t="s">
        <v>467</v>
      </c>
      <c r="M976" s="336">
        <v>2670</v>
      </c>
      <c r="N976" s="278">
        <v>44354</v>
      </c>
      <c r="O976" s="329" t="s">
        <v>68</v>
      </c>
      <c r="P976" s="330">
        <f t="shared" ref="P976:Q976" si="972">IF(B976=0,0,IF(YEAR(B976)=$Q$1,MONTH(B976)-$P$1+1,(YEAR(B976)-$Q$1)*12-$P$1+1+MONTH(B976)))</f>
        <v>6</v>
      </c>
      <c r="Q976" s="330">
        <f t="shared" si="972"/>
        <v>4</v>
      </c>
      <c r="R976" s="331" t="str">
        <f t="shared" si="1"/>
        <v>Gastos_custeados_por_captação</v>
      </c>
      <c r="S976" s="331" t="str">
        <f>IF(D976="","",IF(OR(D976=Plano!$A$1,D976=Plano!$B$1),"entrada","saída"))</f>
        <v>saída</v>
      </c>
      <c r="T976" s="332" t="s">
        <v>114</v>
      </c>
      <c r="U976" s="332" t="s">
        <v>114</v>
      </c>
      <c r="V976" s="344"/>
    </row>
    <row r="977" spans="1:22" ht="56.25" customHeight="1" x14ac:dyDescent="0.2">
      <c r="A977" s="277">
        <f>IF(B977="","",COUNT('Diário 5º PA'!$A$5:$A$2634)+ROW()-4)</f>
        <v>2284</v>
      </c>
      <c r="B977" s="278">
        <v>44354</v>
      </c>
      <c r="C977" s="259">
        <v>44287</v>
      </c>
      <c r="D977" s="252" t="s">
        <v>104</v>
      </c>
      <c r="E977" s="252" t="s">
        <v>104</v>
      </c>
      <c r="F977" s="257">
        <v>99</v>
      </c>
      <c r="G977" s="252" t="s">
        <v>4880</v>
      </c>
      <c r="H977" s="252" t="s">
        <v>104</v>
      </c>
      <c r="I977" s="252" t="s">
        <v>465</v>
      </c>
      <c r="J977" s="250" t="s">
        <v>114</v>
      </c>
      <c r="K977" s="250" t="s">
        <v>466</v>
      </c>
      <c r="L977" s="250" t="s">
        <v>467</v>
      </c>
      <c r="M977" s="336">
        <v>2671</v>
      </c>
      <c r="N977" s="278">
        <v>44354</v>
      </c>
      <c r="O977" s="329" t="s">
        <v>68</v>
      </c>
      <c r="P977" s="330">
        <f t="shared" ref="P977:Q977" si="973">IF(B977=0,0,IF(YEAR(B977)=$Q$1,MONTH(B977)-$P$1+1,(YEAR(B977)-$Q$1)*12-$P$1+1+MONTH(B977)))</f>
        <v>6</v>
      </c>
      <c r="Q977" s="330">
        <f t="shared" si="973"/>
        <v>4</v>
      </c>
      <c r="R977" s="331" t="str">
        <f t="shared" si="1"/>
        <v>Gastos_custeados_por_captação</v>
      </c>
      <c r="S977" s="331" t="str">
        <f>IF(D977="","",IF(OR(D977=Plano!$A$1,D977=Plano!$B$1),"entrada","saída"))</f>
        <v>saída</v>
      </c>
      <c r="T977" s="332" t="s">
        <v>114</v>
      </c>
      <c r="U977" s="332" t="s">
        <v>114</v>
      </c>
      <c r="V977" s="344"/>
    </row>
    <row r="978" spans="1:22" ht="63.75" customHeight="1" x14ac:dyDescent="0.2">
      <c r="A978" s="277">
        <f>IF(B978="","",COUNT('Diário 5º PA'!$A$5:$A$2634)+ROW()-4)</f>
        <v>2285</v>
      </c>
      <c r="B978" s="278">
        <v>44354</v>
      </c>
      <c r="C978" s="259">
        <v>44287</v>
      </c>
      <c r="D978" s="252" t="s">
        <v>104</v>
      </c>
      <c r="E978" s="252" t="s">
        <v>104</v>
      </c>
      <c r="F978" s="257">
        <v>99</v>
      </c>
      <c r="G978" s="252" t="s">
        <v>4881</v>
      </c>
      <c r="H978" s="252" t="s">
        <v>104</v>
      </c>
      <c r="I978" s="252" t="s">
        <v>465</v>
      </c>
      <c r="J978" s="250" t="s">
        <v>114</v>
      </c>
      <c r="K978" s="250" t="s">
        <v>466</v>
      </c>
      <c r="L978" s="250" t="s">
        <v>467</v>
      </c>
      <c r="M978" s="336">
        <v>2672</v>
      </c>
      <c r="N978" s="278">
        <v>44354</v>
      </c>
      <c r="O978" s="329" t="s">
        <v>68</v>
      </c>
      <c r="P978" s="330">
        <f t="shared" ref="P978:Q978" si="974">IF(B978=0,0,IF(YEAR(B978)=$Q$1,MONTH(B978)-$P$1+1,(YEAR(B978)-$Q$1)*12-$P$1+1+MONTH(B978)))</f>
        <v>6</v>
      </c>
      <c r="Q978" s="330">
        <f t="shared" si="974"/>
        <v>4</v>
      </c>
      <c r="R978" s="331" t="str">
        <f t="shared" si="1"/>
        <v>Gastos_custeados_por_captação</v>
      </c>
      <c r="S978" s="331" t="str">
        <f>IF(D978="","",IF(OR(D978=Plano!$A$1,D978=Plano!$B$1),"entrada","saída"))</f>
        <v>saída</v>
      </c>
      <c r="T978" s="332" t="s">
        <v>114</v>
      </c>
      <c r="U978" s="332" t="s">
        <v>114</v>
      </c>
      <c r="V978" s="344"/>
    </row>
    <row r="979" spans="1:22" ht="50.25" customHeight="1" x14ac:dyDescent="0.2">
      <c r="A979" s="277">
        <f>IF(B979="","",COUNT('Diário 5º PA'!$A$5:$A$2634)+ROW()-4)</f>
        <v>2286</v>
      </c>
      <c r="B979" s="278">
        <v>44354</v>
      </c>
      <c r="C979" s="259">
        <v>44287</v>
      </c>
      <c r="D979" s="252" t="s">
        <v>104</v>
      </c>
      <c r="E979" s="252" t="s">
        <v>104</v>
      </c>
      <c r="F979" s="257">
        <v>99</v>
      </c>
      <c r="G979" s="252" t="s">
        <v>4882</v>
      </c>
      <c r="H979" s="252" t="s">
        <v>104</v>
      </c>
      <c r="I979" s="252" t="s">
        <v>465</v>
      </c>
      <c r="J979" s="250" t="s">
        <v>114</v>
      </c>
      <c r="K979" s="250" t="s">
        <v>466</v>
      </c>
      <c r="L979" s="250" t="s">
        <v>467</v>
      </c>
      <c r="M979" s="336">
        <v>2673</v>
      </c>
      <c r="N979" s="278">
        <v>44354</v>
      </c>
      <c r="O979" s="329" t="s">
        <v>68</v>
      </c>
      <c r="P979" s="330">
        <f t="shared" ref="P979:Q979" si="975">IF(B979=0,0,IF(YEAR(B979)=$Q$1,MONTH(B979)-$P$1+1,(YEAR(B979)-$Q$1)*12-$P$1+1+MONTH(B979)))</f>
        <v>6</v>
      </c>
      <c r="Q979" s="330">
        <f t="shared" si="975"/>
        <v>4</v>
      </c>
      <c r="R979" s="331" t="str">
        <f t="shared" si="1"/>
        <v>Gastos_custeados_por_captação</v>
      </c>
      <c r="S979" s="331" t="str">
        <f>IF(D979="","",IF(OR(D979=Plano!$A$1,D979=Plano!$B$1),"entrada","saída"))</f>
        <v>saída</v>
      </c>
      <c r="T979" s="332" t="s">
        <v>114</v>
      </c>
      <c r="U979" s="332" t="s">
        <v>114</v>
      </c>
      <c r="V979" s="344"/>
    </row>
    <row r="980" spans="1:22" ht="57" customHeight="1" x14ac:dyDescent="0.2">
      <c r="A980" s="277">
        <f>IF(B980="","",COUNT('Diário 5º PA'!$A$5:$A$2634)+ROW()-4)</f>
        <v>2287</v>
      </c>
      <c r="B980" s="278">
        <v>44354</v>
      </c>
      <c r="C980" s="259">
        <v>44287</v>
      </c>
      <c r="D980" s="252" t="s">
        <v>104</v>
      </c>
      <c r="E980" s="252" t="s">
        <v>104</v>
      </c>
      <c r="F980" s="257">
        <v>99</v>
      </c>
      <c r="G980" s="252" t="s">
        <v>4883</v>
      </c>
      <c r="H980" s="252" t="s">
        <v>104</v>
      </c>
      <c r="I980" s="252" t="s">
        <v>465</v>
      </c>
      <c r="J980" s="250" t="s">
        <v>114</v>
      </c>
      <c r="K980" s="250" t="s">
        <v>466</v>
      </c>
      <c r="L980" s="250" t="s">
        <v>467</v>
      </c>
      <c r="M980" s="336">
        <v>2674</v>
      </c>
      <c r="N980" s="278">
        <v>44354</v>
      </c>
      <c r="O980" s="329" t="s">
        <v>68</v>
      </c>
      <c r="P980" s="330">
        <f t="shared" ref="P980:Q980" si="976">IF(B980=0,0,IF(YEAR(B980)=$Q$1,MONTH(B980)-$P$1+1,(YEAR(B980)-$Q$1)*12-$P$1+1+MONTH(B980)))</f>
        <v>6</v>
      </c>
      <c r="Q980" s="330">
        <f t="shared" si="976"/>
        <v>4</v>
      </c>
      <c r="R980" s="331" t="str">
        <f t="shared" si="1"/>
        <v>Gastos_custeados_por_captação</v>
      </c>
      <c r="S980" s="331" t="str">
        <f>IF(D980="","",IF(OR(D980=Plano!$A$1,D980=Plano!$B$1),"entrada","saída"))</f>
        <v>saída</v>
      </c>
      <c r="T980" s="332" t="s">
        <v>114</v>
      </c>
      <c r="U980" s="332" t="s">
        <v>114</v>
      </c>
      <c r="V980" s="344"/>
    </row>
    <row r="981" spans="1:22" ht="48.75" customHeight="1" x14ac:dyDescent="0.2">
      <c r="A981" s="277">
        <f>IF(B981="","",COUNT('Diário 5º PA'!$A$5:$A$2634)+ROW()-4)</f>
        <v>2288</v>
      </c>
      <c r="B981" s="278">
        <v>44354</v>
      </c>
      <c r="C981" s="259">
        <v>44287</v>
      </c>
      <c r="D981" s="252" t="s">
        <v>104</v>
      </c>
      <c r="E981" s="252" t="s">
        <v>104</v>
      </c>
      <c r="F981" s="257">
        <v>99</v>
      </c>
      <c r="G981" s="252" t="s">
        <v>4884</v>
      </c>
      <c r="H981" s="252" t="s">
        <v>104</v>
      </c>
      <c r="I981" s="252" t="s">
        <v>465</v>
      </c>
      <c r="J981" s="250" t="s">
        <v>114</v>
      </c>
      <c r="K981" s="250" t="s">
        <v>466</v>
      </c>
      <c r="L981" s="250" t="s">
        <v>467</v>
      </c>
      <c r="M981" s="336">
        <v>2675</v>
      </c>
      <c r="N981" s="278">
        <v>44354</v>
      </c>
      <c r="O981" s="329" t="s">
        <v>68</v>
      </c>
      <c r="P981" s="330">
        <f t="shared" ref="P981:Q981" si="977">IF(B981=0,0,IF(YEAR(B981)=$Q$1,MONTH(B981)-$P$1+1,(YEAR(B981)-$Q$1)*12-$P$1+1+MONTH(B981)))</f>
        <v>6</v>
      </c>
      <c r="Q981" s="330">
        <f t="shared" si="977"/>
        <v>4</v>
      </c>
      <c r="R981" s="331" t="str">
        <f t="shared" si="1"/>
        <v>Gastos_custeados_por_captação</v>
      </c>
      <c r="S981" s="331" t="str">
        <f>IF(D981="","",IF(OR(D981=Plano!$A$1,D981=Plano!$B$1),"entrada","saída"))</f>
        <v>saída</v>
      </c>
      <c r="T981" s="332" t="s">
        <v>114</v>
      </c>
      <c r="U981" s="332" t="s">
        <v>114</v>
      </c>
      <c r="V981" s="344"/>
    </row>
    <row r="982" spans="1:22" ht="53.25" customHeight="1" x14ac:dyDescent="0.2">
      <c r="A982" s="277">
        <f>IF(B982="","",COUNT('Diário 5º PA'!$A$5:$A$2634)+ROW()-4)</f>
        <v>2289</v>
      </c>
      <c r="B982" s="278">
        <v>44354</v>
      </c>
      <c r="C982" s="259">
        <v>44287</v>
      </c>
      <c r="D982" s="252" t="s">
        <v>104</v>
      </c>
      <c r="E982" s="252" t="s">
        <v>104</v>
      </c>
      <c r="F982" s="257">
        <v>99</v>
      </c>
      <c r="G982" s="252" t="s">
        <v>4885</v>
      </c>
      <c r="H982" s="252" t="s">
        <v>104</v>
      </c>
      <c r="I982" s="252" t="s">
        <v>465</v>
      </c>
      <c r="J982" s="250" t="s">
        <v>114</v>
      </c>
      <c r="K982" s="250" t="s">
        <v>466</v>
      </c>
      <c r="L982" s="250" t="s">
        <v>467</v>
      </c>
      <c r="M982" s="336">
        <v>2676</v>
      </c>
      <c r="N982" s="278">
        <v>44354</v>
      </c>
      <c r="O982" s="329" t="s">
        <v>68</v>
      </c>
      <c r="P982" s="330">
        <f t="shared" ref="P982:Q982" si="978">IF(B982=0,0,IF(YEAR(B982)=$Q$1,MONTH(B982)-$P$1+1,(YEAR(B982)-$Q$1)*12-$P$1+1+MONTH(B982)))</f>
        <v>6</v>
      </c>
      <c r="Q982" s="330">
        <f t="shared" si="978"/>
        <v>4</v>
      </c>
      <c r="R982" s="331" t="str">
        <f t="shared" si="1"/>
        <v>Gastos_custeados_por_captação</v>
      </c>
      <c r="S982" s="331" t="str">
        <f>IF(D982="","",IF(OR(D982=Plano!$A$1,D982=Plano!$B$1),"entrada","saída"))</f>
        <v>saída</v>
      </c>
      <c r="T982" s="332" t="s">
        <v>114</v>
      </c>
      <c r="U982" s="332" t="s">
        <v>114</v>
      </c>
      <c r="V982" s="344"/>
    </row>
    <row r="983" spans="1:22" ht="60" customHeight="1" x14ac:dyDescent="0.2">
      <c r="A983" s="277">
        <f>IF(B983="","",COUNT('Diário 5º PA'!$A$5:$A$2634)+ROW()-4)</f>
        <v>2290</v>
      </c>
      <c r="B983" s="278">
        <v>44354</v>
      </c>
      <c r="C983" s="259">
        <v>44287</v>
      </c>
      <c r="D983" s="252" t="s">
        <v>104</v>
      </c>
      <c r="E983" s="252" t="s">
        <v>104</v>
      </c>
      <c r="F983" s="257">
        <v>99</v>
      </c>
      <c r="G983" s="252" t="s">
        <v>4886</v>
      </c>
      <c r="H983" s="252" t="s">
        <v>104</v>
      </c>
      <c r="I983" s="252" t="s">
        <v>465</v>
      </c>
      <c r="J983" s="250" t="s">
        <v>114</v>
      </c>
      <c r="K983" s="250" t="s">
        <v>466</v>
      </c>
      <c r="L983" s="250" t="s">
        <v>467</v>
      </c>
      <c r="M983" s="336">
        <v>2677</v>
      </c>
      <c r="N983" s="278">
        <v>44354</v>
      </c>
      <c r="O983" s="329" t="s">
        <v>68</v>
      </c>
      <c r="P983" s="330">
        <f t="shared" ref="P983:Q983" si="979">IF(B983=0,0,IF(YEAR(B983)=$Q$1,MONTH(B983)-$P$1+1,(YEAR(B983)-$Q$1)*12-$P$1+1+MONTH(B983)))</f>
        <v>6</v>
      </c>
      <c r="Q983" s="330">
        <f t="shared" si="979"/>
        <v>4</v>
      </c>
      <c r="R983" s="331" t="str">
        <f t="shared" si="1"/>
        <v>Gastos_custeados_por_captação</v>
      </c>
      <c r="S983" s="331" t="str">
        <f>IF(D983="","",IF(OR(D983=Plano!$A$1,D983=Plano!$B$1),"entrada","saída"))</f>
        <v>saída</v>
      </c>
      <c r="T983" s="332" t="s">
        <v>114</v>
      </c>
      <c r="U983" s="332" t="s">
        <v>114</v>
      </c>
      <c r="V983" s="344"/>
    </row>
    <row r="984" spans="1:22" ht="150.75" customHeight="1" x14ac:dyDescent="0.2">
      <c r="A984" s="277">
        <f>IF(B984="","",COUNT('Diário 5º PA'!$A$5:$A$2634)+ROW()-4)</f>
        <v>2291</v>
      </c>
      <c r="B984" s="278">
        <v>44354</v>
      </c>
      <c r="C984" s="259">
        <v>44317</v>
      </c>
      <c r="D984" s="252" t="s">
        <v>104</v>
      </c>
      <c r="E984" s="252" t="s">
        <v>104</v>
      </c>
      <c r="F984" s="257">
        <v>2125.92</v>
      </c>
      <c r="G984" s="252" t="s">
        <v>1168</v>
      </c>
      <c r="H984" s="252" t="s">
        <v>104</v>
      </c>
      <c r="I984" s="252" t="s">
        <v>1169</v>
      </c>
      <c r="J984" s="250" t="s">
        <v>1170</v>
      </c>
      <c r="K984" s="250" t="s">
        <v>1015</v>
      </c>
      <c r="L984" s="250" t="s">
        <v>1029</v>
      </c>
      <c r="M984" s="336">
        <v>1191</v>
      </c>
      <c r="N984" s="278">
        <v>44350</v>
      </c>
      <c r="O984" s="329" t="s">
        <v>69</v>
      </c>
      <c r="P984" s="330">
        <f t="shared" ref="P984:Q984" si="980">IF(B984=0,0,IF(YEAR(B984)=$Q$1,MONTH(B984)-$P$1+1,(YEAR(B984)-$Q$1)*12-$P$1+1+MONTH(B984)))</f>
        <v>6</v>
      </c>
      <c r="Q984" s="330">
        <f t="shared" si="980"/>
        <v>5</v>
      </c>
      <c r="R984" s="331" t="str">
        <f t="shared" si="1"/>
        <v>Gastos_custeados_por_captação</v>
      </c>
      <c r="S984" s="331" t="str">
        <f>IF(D984="","",IF(OR(D984=Plano!$A$1,D984=Plano!$B$1),"entrada","saída"))</f>
        <v>saída</v>
      </c>
      <c r="T984" s="332" t="s">
        <v>1059</v>
      </c>
      <c r="U984" s="332">
        <v>1302</v>
      </c>
      <c r="V984" s="344"/>
    </row>
    <row r="985" spans="1:22" ht="154.5" customHeight="1" x14ac:dyDescent="0.2">
      <c r="A985" s="277">
        <f>IF(B985="","",COUNT('Diário 5º PA'!$A$5:$A$2634)+ROW()-4)</f>
        <v>2292</v>
      </c>
      <c r="B985" s="278">
        <v>44354</v>
      </c>
      <c r="C985" s="259">
        <v>44317</v>
      </c>
      <c r="D985" s="252" t="s">
        <v>104</v>
      </c>
      <c r="E985" s="252" t="s">
        <v>104</v>
      </c>
      <c r="F985" s="257">
        <v>3000</v>
      </c>
      <c r="G985" s="252" t="s">
        <v>495</v>
      </c>
      <c r="H985" s="252" t="s">
        <v>104</v>
      </c>
      <c r="I985" s="252" t="s">
        <v>3931</v>
      </c>
      <c r="J985" s="250" t="s">
        <v>496</v>
      </c>
      <c r="K985" s="250" t="s">
        <v>1015</v>
      </c>
      <c r="L985" s="250" t="s">
        <v>1016</v>
      </c>
      <c r="M985" s="277" t="s">
        <v>1296</v>
      </c>
      <c r="N985" s="278">
        <v>44348</v>
      </c>
      <c r="O985" s="329" t="s">
        <v>69</v>
      </c>
      <c r="P985" s="330">
        <f t="shared" ref="P985:Q985" si="981">IF(B985=0,0,IF(YEAR(B985)=$Q$1,MONTH(B985)-$P$1+1,(YEAR(B985)-$Q$1)*12-$P$1+1+MONTH(B985)))</f>
        <v>6</v>
      </c>
      <c r="Q985" s="330">
        <f t="shared" si="981"/>
        <v>5</v>
      </c>
      <c r="R985" s="331" t="str">
        <f t="shared" si="1"/>
        <v>Gastos_custeados_por_captação</v>
      </c>
      <c r="S985" s="331" t="str">
        <f>IF(D985="","",IF(OR(D985=Plano!$A$1,D985=Plano!$B$1),"entrada","saída"))</f>
        <v>saída</v>
      </c>
      <c r="T985" s="332" t="s">
        <v>1059</v>
      </c>
      <c r="U985" s="332">
        <v>1300</v>
      </c>
      <c r="V985" s="344"/>
    </row>
    <row r="986" spans="1:22" ht="60" customHeight="1" x14ac:dyDescent="0.2">
      <c r="A986" s="277">
        <f>IF(B986="","",COUNT('Diário 5º PA'!$A$5:$A$2634)+ROW()-4)</f>
        <v>2293</v>
      </c>
      <c r="B986" s="278">
        <v>44354</v>
      </c>
      <c r="C986" s="259">
        <v>44287</v>
      </c>
      <c r="D986" s="252" t="s">
        <v>104</v>
      </c>
      <c r="E986" s="252" t="s">
        <v>104</v>
      </c>
      <c r="F986" s="257">
        <v>75</v>
      </c>
      <c r="G986" s="252" t="s">
        <v>4887</v>
      </c>
      <c r="H986" s="252" t="s">
        <v>104</v>
      </c>
      <c r="I986" s="252" t="s">
        <v>465</v>
      </c>
      <c r="J986" s="250" t="s">
        <v>114</v>
      </c>
      <c r="K986" s="250" t="s">
        <v>466</v>
      </c>
      <c r="L986" s="250" t="s">
        <v>467</v>
      </c>
      <c r="M986" s="336">
        <v>2678</v>
      </c>
      <c r="N986" s="278">
        <v>44354</v>
      </c>
      <c r="O986" s="329" t="s">
        <v>69</v>
      </c>
      <c r="P986" s="330">
        <f t="shared" ref="P986:Q986" si="982">IF(B986=0,0,IF(YEAR(B986)=$Q$1,MONTH(B986)-$P$1+1,(YEAR(B986)-$Q$1)*12-$P$1+1+MONTH(B986)))</f>
        <v>6</v>
      </c>
      <c r="Q986" s="330">
        <f t="shared" si="982"/>
        <v>4</v>
      </c>
      <c r="R986" s="331" t="str">
        <f t="shared" si="1"/>
        <v>Gastos_custeados_por_captação</v>
      </c>
      <c r="S986" s="331" t="str">
        <f>IF(D986="","",IF(OR(D986=Plano!$A$1,D986=Plano!$B$1),"entrada","saída"))</f>
        <v>saída</v>
      </c>
      <c r="T986" s="332" t="s">
        <v>114</v>
      </c>
      <c r="U986" s="332" t="s">
        <v>114</v>
      </c>
      <c r="V986" s="344"/>
    </row>
    <row r="987" spans="1:22" ht="60" customHeight="1" x14ac:dyDescent="0.2">
      <c r="A987" s="277">
        <f>IF(B987="","",COUNT('Diário 5º PA'!$A$5:$A$2634)+ROW()-4)</f>
        <v>2294</v>
      </c>
      <c r="B987" s="278">
        <v>44354</v>
      </c>
      <c r="C987" s="259">
        <v>44287</v>
      </c>
      <c r="D987" s="252" t="s">
        <v>104</v>
      </c>
      <c r="E987" s="252" t="s">
        <v>104</v>
      </c>
      <c r="F987" s="257">
        <v>475.21</v>
      </c>
      <c r="G987" s="252" t="s">
        <v>4888</v>
      </c>
      <c r="H987" s="252" t="s">
        <v>104</v>
      </c>
      <c r="I987" s="252" t="s">
        <v>465</v>
      </c>
      <c r="J987" s="250" t="s">
        <v>114</v>
      </c>
      <c r="K987" s="250" t="s">
        <v>466</v>
      </c>
      <c r="L987" s="250" t="s">
        <v>467</v>
      </c>
      <c r="M987" s="336">
        <v>2679</v>
      </c>
      <c r="N987" s="278">
        <v>44354</v>
      </c>
      <c r="O987" s="329" t="s">
        <v>69</v>
      </c>
      <c r="P987" s="330">
        <f t="shared" ref="P987:Q987" si="983">IF(B987=0,0,IF(YEAR(B987)=$Q$1,MONTH(B987)-$P$1+1,(YEAR(B987)-$Q$1)*12-$P$1+1+MONTH(B987)))</f>
        <v>6</v>
      </c>
      <c r="Q987" s="330">
        <f t="shared" si="983"/>
        <v>4</v>
      </c>
      <c r="R987" s="331" t="str">
        <f t="shared" si="1"/>
        <v>Gastos_custeados_por_captação</v>
      </c>
      <c r="S987" s="331" t="str">
        <f>IF(D987="","",IF(OR(D987=Plano!$A$1,D987=Plano!$B$1),"entrada","saída"))</f>
        <v>saída</v>
      </c>
      <c r="T987" s="332" t="s">
        <v>114</v>
      </c>
      <c r="U987" s="332" t="s">
        <v>114</v>
      </c>
      <c r="V987" s="344"/>
    </row>
    <row r="988" spans="1:22" ht="60" customHeight="1" x14ac:dyDescent="0.2">
      <c r="A988" s="277">
        <f>IF(B988="","",COUNT('Diário 5º PA'!$A$5:$A$2634)+ROW()-4)</f>
        <v>2295</v>
      </c>
      <c r="B988" s="278">
        <v>44354</v>
      </c>
      <c r="C988" s="259">
        <v>44287</v>
      </c>
      <c r="D988" s="252" t="s">
        <v>104</v>
      </c>
      <c r="E988" s="252" t="s">
        <v>104</v>
      </c>
      <c r="F988" s="257">
        <v>254.7</v>
      </c>
      <c r="G988" s="252" t="s">
        <v>4889</v>
      </c>
      <c r="H988" s="252" t="s">
        <v>104</v>
      </c>
      <c r="I988" s="250" t="s">
        <v>465</v>
      </c>
      <c r="J988" s="250" t="s">
        <v>114</v>
      </c>
      <c r="K988" s="250" t="s">
        <v>466</v>
      </c>
      <c r="L988" s="250" t="s">
        <v>467</v>
      </c>
      <c r="M988" s="336">
        <v>2680</v>
      </c>
      <c r="N988" s="278">
        <v>44354</v>
      </c>
      <c r="O988" s="329" t="s">
        <v>69</v>
      </c>
      <c r="P988" s="330">
        <f t="shared" ref="P988:Q988" si="984">IF(B988=0,0,IF(YEAR(B988)=$Q$1,MONTH(B988)-$P$1+1,(YEAR(B988)-$Q$1)*12-$P$1+1+MONTH(B988)))</f>
        <v>6</v>
      </c>
      <c r="Q988" s="330">
        <f t="shared" si="984"/>
        <v>4</v>
      </c>
      <c r="R988" s="331" t="str">
        <f t="shared" si="1"/>
        <v>Gastos_custeados_por_captação</v>
      </c>
      <c r="S988" s="331" t="str">
        <f>IF(D988="","",IF(OR(D988=Plano!$A$1,D988=Plano!$B$1),"entrada","saída"))</f>
        <v>saída</v>
      </c>
      <c r="T988" s="332" t="s">
        <v>114</v>
      </c>
      <c r="U988" s="332" t="s">
        <v>114</v>
      </c>
      <c r="V988" s="344"/>
    </row>
    <row r="989" spans="1:22" ht="60" customHeight="1" x14ac:dyDescent="0.2">
      <c r="A989" s="277">
        <f>IF(B989="","",COUNT('Diário 5º PA'!$A$5:$A$2634)+ROW()-4)</f>
        <v>2296</v>
      </c>
      <c r="B989" s="278">
        <v>44354</v>
      </c>
      <c r="C989" s="259">
        <v>44317</v>
      </c>
      <c r="D989" s="252" t="s">
        <v>104</v>
      </c>
      <c r="E989" s="252" t="s">
        <v>104</v>
      </c>
      <c r="F989" s="257">
        <v>2075.92</v>
      </c>
      <c r="G989" s="252" t="s">
        <v>4188</v>
      </c>
      <c r="H989" s="252" t="s">
        <v>104</v>
      </c>
      <c r="I989" s="252" t="s">
        <v>4407</v>
      </c>
      <c r="J989" s="250" t="s">
        <v>604</v>
      </c>
      <c r="K989" s="250" t="s">
        <v>1015</v>
      </c>
      <c r="L989" s="250" t="s">
        <v>1029</v>
      </c>
      <c r="M989" s="336">
        <v>1193</v>
      </c>
      <c r="N989" s="278">
        <v>44350</v>
      </c>
      <c r="O989" s="329" t="s">
        <v>70</v>
      </c>
      <c r="P989" s="330">
        <f t="shared" ref="P989:Q989" si="985">IF(B989=0,0,IF(YEAR(B989)=$Q$1,MONTH(B989)-$P$1+1,(YEAR(B989)-$Q$1)*12-$P$1+1+MONTH(B989)))</f>
        <v>6</v>
      </c>
      <c r="Q989" s="330">
        <f t="shared" si="985"/>
        <v>5</v>
      </c>
      <c r="R989" s="331" t="str">
        <f t="shared" si="1"/>
        <v>Gastos_custeados_por_captação</v>
      </c>
      <c r="S989" s="331" t="str">
        <f>IF(D989="","",IF(OR(D989=Plano!$A$1,D989=Plano!$B$1),"entrada","saída"))</f>
        <v>saída</v>
      </c>
      <c r="T989" s="332" t="s">
        <v>1059</v>
      </c>
      <c r="U989" s="332">
        <v>1362</v>
      </c>
      <c r="V989" s="344"/>
    </row>
    <row r="990" spans="1:22" ht="60" customHeight="1" x14ac:dyDescent="0.2">
      <c r="A990" s="277">
        <f>IF(B990="","",COUNT('Diário 5º PA'!$A$5:$A$2634)+ROW()-4)</f>
        <v>2297</v>
      </c>
      <c r="B990" s="278">
        <v>44354</v>
      </c>
      <c r="C990" s="259">
        <v>44287</v>
      </c>
      <c r="D990" s="252" t="s">
        <v>104</v>
      </c>
      <c r="E990" s="252" t="s">
        <v>104</v>
      </c>
      <c r="F990" s="257">
        <v>125</v>
      </c>
      <c r="G990" s="252" t="s">
        <v>4890</v>
      </c>
      <c r="H990" s="252" t="s">
        <v>104</v>
      </c>
      <c r="I990" s="252" t="s">
        <v>465</v>
      </c>
      <c r="J990" s="250" t="s">
        <v>114</v>
      </c>
      <c r="K990" s="250" t="s">
        <v>466</v>
      </c>
      <c r="L990" s="250" t="s">
        <v>467</v>
      </c>
      <c r="M990" s="336">
        <v>2582</v>
      </c>
      <c r="N990" s="278">
        <v>44354</v>
      </c>
      <c r="O990" s="329" t="s">
        <v>70</v>
      </c>
      <c r="P990" s="330">
        <f t="shared" ref="P990:Q990" si="986">IF(B990=0,0,IF(YEAR(B990)=$Q$1,MONTH(B990)-$P$1+1,(YEAR(B990)-$Q$1)*12-$P$1+1+MONTH(B990)))</f>
        <v>6</v>
      </c>
      <c r="Q990" s="330">
        <f t="shared" si="986"/>
        <v>4</v>
      </c>
      <c r="R990" s="331" t="str">
        <f t="shared" si="1"/>
        <v>Gastos_custeados_por_captação</v>
      </c>
      <c r="S990" s="331" t="str">
        <f>IF(D990="","",IF(OR(D990=Plano!$A$1,D990=Plano!$B$1),"entrada","saída"))</f>
        <v>saída</v>
      </c>
      <c r="T990" s="332" t="s">
        <v>114</v>
      </c>
      <c r="U990" s="332" t="s">
        <v>114</v>
      </c>
      <c r="V990" s="344"/>
    </row>
    <row r="991" spans="1:22" ht="60" customHeight="1" x14ac:dyDescent="0.2">
      <c r="A991" s="277">
        <f>IF(B991="","",COUNT('Diário 5º PA'!$A$5:$A$2634)+ROW()-4)</f>
        <v>2298</v>
      </c>
      <c r="B991" s="278">
        <v>44354</v>
      </c>
      <c r="C991" s="259">
        <v>44287</v>
      </c>
      <c r="D991" s="252" t="s">
        <v>104</v>
      </c>
      <c r="E991" s="252" t="s">
        <v>104</v>
      </c>
      <c r="F991" s="257">
        <v>20</v>
      </c>
      <c r="G991" s="252" t="s">
        <v>4891</v>
      </c>
      <c r="H991" s="252" t="s">
        <v>104</v>
      </c>
      <c r="I991" s="252" t="s">
        <v>465</v>
      </c>
      <c r="J991" s="250" t="s">
        <v>114</v>
      </c>
      <c r="K991" s="250" t="s">
        <v>466</v>
      </c>
      <c r="L991" s="250" t="s">
        <v>467</v>
      </c>
      <c r="M991" s="336">
        <v>2583</v>
      </c>
      <c r="N991" s="278">
        <v>44354</v>
      </c>
      <c r="O991" s="329" t="s">
        <v>70</v>
      </c>
      <c r="P991" s="330">
        <f t="shared" ref="P991:Q991" si="987">IF(B991=0,0,IF(YEAR(B991)=$Q$1,MONTH(B991)-$P$1+1,(YEAR(B991)-$Q$1)*12-$P$1+1+MONTH(B991)))</f>
        <v>6</v>
      </c>
      <c r="Q991" s="330">
        <f t="shared" si="987"/>
        <v>4</v>
      </c>
      <c r="R991" s="331" t="str">
        <f t="shared" si="1"/>
        <v>Gastos_custeados_por_captação</v>
      </c>
      <c r="S991" s="331" t="str">
        <f>IF(D991="","",IF(OR(D991=Plano!$A$1,D991=Plano!$B$1),"entrada","saída"))</f>
        <v>saída</v>
      </c>
      <c r="T991" s="332" t="s">
        <v>114</v>
      </c>
      <c r="U991" s="332" t="s">
        <v>114</v>
      </c>
      <c r="V991" s="344"/>
    </row>
    <row r="992" spans="1:22" ht="60" customHeight="1" x14ac:dyDescent="0.2">
      <c r="A992" s="277">
        <f>IF(B992="","",COUNT('Diário 5º PA'!$A$5:$A$2634)+ROW()-4)</f>
        <v>2299</v>
      </c>
      <c r="B992" s="278">
        <v>44354</v>
      </c>
      <c r="C992" s="259">
        <v>44287</v>
      </c>
      <c r="D992" s="252" t="s">
        <v>104</v>
      </c>
      <c r="E992" s="252" t="s">
        <v>104</v>
      </c>
      <c r="F992" s="257">
        <v>20</v>
      </c>
      <c r="G992" s="252" t="s">
        <v>4892</v>
      </c>
      <c r="H992" s="252" t="s">
        <v>104</v>
      </c>
      <c r="I992" s="252" t="s">
        <v>465</v>
      </c>
      <c r="J992" s="250" t="s">
        <v>114</v>
      </c>
      <c r="K992" s="250" t="s">
        <v>466</v>
      </c>
      <c r="L992" s="250" t="s">
        <v>467</v>
      </c>
      <c r="M992" s="336">
        <v>2584</v>
      </c>
      <c r="N992" s="278">
        <v>44354</v>
      </c>
      <c r="O992" s="329" t="s">
        <v>70</v>
      </c>
      <c r="P992" s="330">
        <f t="shared" ref="P992:Q992" si="988">IF(B992=0,0,IF(YEAR(B992)=$Q$1,MONTH(B992)-$P$1+1,(YEAR(B992)-$Q$1)*12-$P$1+1+MONTH(B992)))</f>
        <v>6</v>
      </c>
      <c r="Q992" s="330">
        <f t="shared" si="988"/>
        <v>4</v>
      </c>
      <c r="R992" s="331" t="str">
        <f t="shared" si="1"/>
        <v>Gastos_custeados_por_captação</v>
      </c>
      <c r="S992" s="331" t="str">
        <f>IF(D992="","",IF(OR(D992=Plano!$A$1,D992=Plano!$B$1),"entrada","saída"))</f>
        <v>saída</v>
      </c>
      <c r="T992" s="332" t="s">
        <v>114</v>
      </c>
      <c r="U992" s="332" t="s">
        <v>114</v>
      </c>
      <c r="V992" s="344"/>
    </row>
    <row r="993" spans="1:22" ht="60" customHeight="1" x14ac:dyDescent="0.2">
      <c r="A993" s="277">
        <f>IF(B993="","",COUNT('Diário 5º PA'!$A$5:$A$2634)+ROW()-4)</f>
        <v>2300</v>
      </c>
      <c r="B993" s="278">
        <v>44354</v>
      </c>
      <c r="C993" s="259">
        <v>44287</v>
      </c>
      <c r="D993" s="252" t="s">
        <v>104</v>
      </c>
      <c r="E993" s="252" t="s">
        <v>104</v>
      </c>
      <c r="F993" s="257">
        <v>20</v>
      </c>
      <c r="G993" s="252" t="s">
        <v>4893</v>
      </c>
      <c r="H993" s="252" t="s">
        <v>104</v>
      </c>
      <c r="I993" s="250" t="s">
        <v>465</v>
      </c>
      <c r="J993" s="250" t="s">
        <v>114</v>
      </c>
      <c r="K993" s="250" t="s">
        <v>466</v>
      </c>
      <c r="L993" s="250" t="s">
        <v>467</v>
      </c>
      <c r="M993" s="336">
        <v>2585</v>
      </c>
      <c r="N993" s="278">
        <v>44354</v>
      </c>
      <c r="O993" s="329" t="s">
        <v>70</v>
      </c>
      <c r="P993" s="330">
        <f t="shared" ref="P993:Q993" si="989">IF(B993=0,0,IF(YEAR(B993)=$Q$1,MONTH(B993)-$P$1+1,(YEAR(B993)-$Q$1)*12-$P$1+1+MONTH(B993)))</f>
        <v>6</v>
      </c>
      <c r="Q993" s="330">
        <f t="shared" si="989"/>
        <v>4</v>
      </c>
      <c r="R993" s="331" t="str">
        <f t="shared" si="1"/>
        <v>Gastos_custeados_por_captação</v>
      </c>
      <c r="S993" s="331" t="str">
        <f>IF(D993="","",IF(OR(D993=Plano!$A$1,D993=Plano!$B$1),"entrada","saída"))</f>
        <v>saída</v>
      </c>
      <c r="T993" s="332" t="s">
        <v>114</v>
      </c>
      <c r="U993" s="332" t="s">
        <v>114</v>
      </c>
      <c r="V993" s="344"/>
    </row>
    <row r="994" spans="1:22" ht="60" customHeight="1" x14ac:dyDescent="0.2">
      <c r="A994" s="277">
        <f>IF(B994="","",COUNT('Diário 5º PA'!$A$5:$A$2634)+ROW()-4)</f>
        <v>2301</v>
      </c>
      <c r="B994" s="278">
        <v>44354</v>
      </c>
      <c r="C994" s="259">
        <v>44317</v>
      </c>
      <c r="D994" s="252" t="s">
        <v>104</v>
      </c>
      <c r="E994" s="252" t="s">
        <v>104</v>
      </c>
      <c r="F994" s="257">
        <v>25</v>
      </c>
      <c r="G994" s="252" t="s">
        <v>4894</v>
      </c>
      <c r="H994" s="252" t="s">
        <v>104</v>
      </c>
      <c r="I994" s="250" t="s">
        <v>465</v>
      </c>
      <c r="J994" s="250" t="s">
        <v>114</v>
      </c>
      <c r="K994" s="250" t="s">
        <v>466</v>
      </c>
      <c r="L994" s="250" t="s">
        <v>467</v>
      </c>
      <c r="M994" s="336">
        <v>2586</v>
      </c>
      <c r="N994" s="278">
        <v>44354</v>
      </c>
      <c r="O994" s="329" t="s">
        <v>70</v>
      </c>
      <c r="P994" s="330">
        <f t="shared" ref="P994:Q994" si="990">IF(B994=0,0,IF(YEAR(B994)=$Q$1,MONTH(B994)-$P$1+1,(YEAR(B994)-$Q$1)*12-$P$1+1+MONTH(B994)))</f>
        <v>6</v>
      </c>
      <c r="Q994" s="330">
        <f t="shared" si="990"/>
        <v>5</v>
      </c>
      <c r="R994" s="331" t="str">
        <f t="shared" si="1"/>
        <v>Gastos_custeados_por_captação</v>
      </c>
      <c r="S994" s="331" t="str">
        <f>IF(D994="","",IF(OR(D994=Plano!$A$1,D994=Plano!$B$1),"entrada","saída"))</f>
        <v>saída</v>
      </c>
      <c r="T994" s="332" t="s">
        <v>114</v>
      </c>
      <c r="U994" s="332" t="s">
        <v>114</v>
      </c>
      <c r="V994" s="344"/>
    </row>
    <row r="995" spans="1:22" ht="60" customHeight="1" x14ac:dyDescent="0.2">
      <c r="A995" s="277">
        <f>IF(B995="","",COUNT('Diário 5º PA'!$A$5:$A$2634)+ROW()-4)</f>
        <v>2302</v>
      </c>
      <c r="B995" s="278">
        <v>44354</v>
      </c>
      <c r="C995" s="259">
        <v>44317</v>
      </c>
      <c r="D995" s="252" t="s">
        <v>104</v>
      </c>
      <c r="E995" s="252" t="s">
        <v>104</v>
      </c>
      <c r="F995" s="257">
        <v>20</v>
      </c>
      <c r="G995" s="252" t="s">
        <v>4895</v>
      </c>
      <c r="H995" s="252" t="s">
        <v>104</v>
      </c>
      <c r="I995" s="252" t="s">
        <v>465</v>
      </c>
      <c r="J995" s="250" t="s">
        <v>114</v>
      </c>
      <c r="K995" s="250" t="s">
        <v>466</v>
      </c>
      <c r="L995" s="250" t="s">
        <v>467</v>
      </c>
      <c r="M995" s="336">
        <v>2587</v>
      </c>
      <c r="N995" s="278">
        <v>44354</v>
      </c>
      <c r="O995" s="329" t="s">
        <v>70</v>
      </c>
      <c r="P995" s="330">
        <f t="shared" ref="P995:Q995" si="991">IF(B995=0,0,IF(YEAR(B995)=$Q$1,MONTH(B995)-$P$1+1,(YEAR(B995)-$Q$1)*12-$P$1+1+MONTH(B995)))</f>
        <v>6</v>
      </c>
      <c r="Q995" s="330">
        <f t="shared" si="991"/>
        <v>5</v>
      </c>
      <c r="R995" s="331" t="str">
        <f t="shared" si="1"/>
        <v>Gastos_custeados_por_captação</v>
      </c>
      <c r="S995" s="331" t="str">
        <f>IF(D995="","",IF(OR(D995=Plano!$A$1,D995=Plano!$B$1),"entrada","saída"))</f>
        <v>saída</v>
      </c>
      <c r="T995" s="332" t="s">
        <v>114</v>
      </c>
      <c r="U995" s="332" t="s">
        <v>114</v>
      </c>
      <c r="V995" s="344"/>
    </row>
    <row r="996" spans="1:22" ht="60" customHeight="1" x14ac:dyDescent="0.2">
      <c r="A996" s="277">
        <f>IF(B996="","",COUNT('Diário 5º PA'!$A$5:$A$2634)+ROW()-4)</f>
        <v>2303</v>
      </c>
      <c r="B996" s="278">
        <v>44354</v>
      </c>
      <c r="C996" s="259">
        <v>44317</v>
      </c>
      <c r="D996" s="252" t="s">
        <v>104</v>
      </c>
      <c r="E996" s="252" t="s">
        <v>104</v>
      </c>
      <c r="F996" s="257">
        <v>20</v>
      </c>
      <c r="G996" s="252" t="s">
        <v>4896</v>
      </c>
      <c r="H996" s="252" t="s">
        <v>104</v>
      </c>
      <c r="I996" s="252" t="s">
        <v>465</v>
      </c>
      <c r="J996" s="250" t="s">
        <v>114</v>
      </c>
      <c r="K996" s="250" t="s">
        <v>466</v>
      </c>
      <c r="L996" s="250" t="s">
        <v>467</v>
      </c>
      <c r="M996" s="336">
        <v>2588</v>
      </c>
      <c r="N996" s="278">
        <v>44354</v>
      </c>
      <c r="O996" s="329" t="s">
        <v>70</v>
      </c>
      <c r="P996" s="330">
        <f t="shared" ref="P996:Q996" si="992">IF(B996=0,0,IF(YEAR(B996)=$Q$1,MONTH(B996)-$P$1+1,(YEAR(B996)-$Q$1)*12-$P$1+1+MONTH(B996)))</f>
        <v>6</v>
      </c>
      <c r="Q996" s="330">
        <f t="shared" si="992"/>
        <v>5</v>
      </c>
      <c r="R996" s="331" t="str">
        <f t="shared" si="1"/>
        <v>Gastos_custeados_por_captação</v>
      </c>
      <c r="S996" s="331" t="str">
        <f>IF(D996="","",IF(OR(D996=Plano!$A$1,D996=Plano!$B$1),"entrada","saída"))</f>
        <v>saída</v>
      </c>
      <c r="T996" s="332" t="s">
        <v>114</v>
      </c>
      <c r="U996" s="332" t="s">
        <v>114</v>
      </c>
      <c r="V996" s="344"/>
    </row>
    <row r="997" spans="1:22" ht="60" customHeight="1" x14ac:dyDescent="0.2">
      <c r="A997" s="277">
        <f>IF(B997="","",COUNT('Diário 5º PA'!$A$5:$A$2634)+ROW()-4)</f>
        <v>2304</v>
      </c>
      <c r="B997" s="278">
        <v>44354</v>
      </c>
      <c r="C997" s="259">
        <v>44287</v>
      </c>
      <c r="D997" s="252" t="s">
        <v>104</v>
      </c>
      <c r="E997" s="252" t="s">
        <v>104</v>
      </c>
      <c r="F997" s="257">
        <v>55.27</v>
      </c>
      <c r="G997" s="252" t="s">
        <v>4897</v>
      </c>
      <c r="H997" s="252" t="s">
        <v>104</v>
      </c>
      <c r="I997" s="250" t="s">
        <v>465</v>
      </c>
      <c r="J997" s="250" t="s">
        <v>114</v>
      </c>
      <c r="K997" s="250" t="s">
        <v>466</v>
      </c>
      <c r="L997" s="250" t="s">
        <v>467</v>
      </c>
      <c r="M997" s="336">
        <v>2589</v>
      </c>
      <c r="N997" s="278">
        <v>44354</v>
      </c>
      <c r="O997" s="329" t="s">
        <v>70</v>
      </c>
      <c r="P997" s="330">
        <f t="shared" ref="P997:Q997" si="993">IF(B997=0,0,IF(YEAR(B997)=$Q$1,MONTH(B997)-$P$1+1,(YEAR(B997)-$Q$1)*12-$P$1+1+MONTH(B997)))</f>
        <v>6</v>
      </c>
      <c r="Q997" s="330">
        <f t="shared" si="993"/>
        <v>4</v>
      </c>
      <c r="R997" s="331" t="str">
        <f t="shared" si="1"/>
        <v>Gastos_custeados_por_captação</v>
      </c>
      <c r="S997" s="331" t="str">
        <f>IF(D997="","",IF(OR(D997=Plano!$A$1,D997=Plano!$B$1),"entrada","saída"))</f>
        <v>saída</v>
      </c>
      <c r="T997" s="332" t="s">
        <v>114</v>
      </c>
      <c r="U997" s="332" t="s">
        <v>114</v>
      </c>
      <c r="V997" s="344"/>
    </row>
    <row r="998" spans="1:22" ht="60" customHeight="1" x14ac:dyDescent="0.2">
      <c r="A998" s="277">
        <f>IF(B998="","",COUNT('Diário 5º PA'!$A$5:$A$2634)+ROW()-4)</f>
        <v>2305</v>
      </c>
      <c r="B998" s="278">
        <v>44354</v>
      </c>
      <c r="C998" s="259">
        <v>44287</v>
      </c>
      <c r="D998" s="252" t="s">
        <v>104</v>
      </c>
      <c r="E998" s="252" t="s">
        <v>104</v>
      </c>
      <c r="F998" s="257">
        <v>71.400000000000006</v>
      </c>
      <c r="G998" s="252" t="s">
        <v>4898</v>
      </c>
      <c r="H998" s="252" t="s">
        <v>104</v>
      </c>
      <c r="I998" s="250" t="s">
        <v>465</v>
      </c>
      <c r="J998" s="250" t="s">
        <v>114</v>
      </c>
      <c r="K998" s="250" t="s">
        <v>466</v>
      </c>
      <c r="L998" s="250" t="s">
        <v>467</v>
      </c>
      <c r="M998" s="336">
        <v>2590</v>
      </c>
      <c r="N998" s="278">
        <v>44354</v>
      </c>
      <c r="O998" s="329" t="s">
        <v>70</v>
      </c>
      <c r="P998" s="330">
        <f t="shared" ref="P998:Q998" si="994">IF(B998=0,0,IF(YEAR(B998)=$Q$1,MONTH(B998)-$P$1+1,(YEAR(B998)-$Q$1)*12-$P$1+1+MONTH(B998)))</f>
        <v>6</v>
      </c>
      <c r="Q998" s="330">
        <f t="shared" si="994"/>
        <v>4</v>
      </c>
      <c r="R998" s="331" t="str">
        <f t="shared" si="1"/>
        <v>Gastos_custeados_por_captação</v>
      </c>
      <c r="S998" s="331" t="str">
        <f>IF(D998="","",IF(OR(D998=Plano!$A$1,D998=Plano!$B$1),"entrada","saída"))</f>
        <v>saída</v>
      </c>
      <c r="T998" s="332" t="s">
        <v>114</v>
      </c>
      <c r="U998" s="332" t="s">
        <v>114</v>
      </c>
      <c r="V998" s="344"/>
    </row>
    <row r="999" spans="1:22" ht="113.25" customHeight="1" x14ac:dyDescent="0.2">
      <c r="A999" s="277">
        <f>IF(B999="","",COUNT('Diário 5º PA'!$A$5:$A$2634)+ROW()-4)</f>
        <v>2306</v>
      </c>
      <c r="B999" s="278">
        <v>44354</v>
      </c>
      <c r="C999" s="259">
        <v>44317</v>
      </c>
      <c r="D999" s="252" t="s">
        <v>104</v>
      </c>
      <c r="E999" s="252" t="s">
        <v>104</v>
      </c>
      <c r="F999" s="257">
        <v>2000</v>
      </c>
      <c r="G999" s="252" t="s">
        <v>510</v>
      </c>
      <c r="H999" s="252" t="s">
        <v>104</v>
      </c>
      <c r="I999" s="252" t="s">
        <v>3260</v>
      </c>
      <c r="J999" s="250" t="s">
        <v>512</v>
      </c>
      <c r="K999" s="250" t="s">
        <v>1015</v>
      </c>
      <c r="L999" s="250" t="s">
        <v>992</v>
      </c>
      <c r="M999" s="277" t="s">
        <v>1296</v>
      </c>
      <c r="N999" s="278">
        <v>44354</v>
      </c>
      <c r="O999" s="329" t="s">
        <v>71</v>
      </c>
      <c r="P999" s="330">
        <f t="shared" ref="P999:Q999" si="995">IF(B999=0,0,IF(YEAR(B999)=$Q$1,MONTH(B999)-$P$1+1,(YEAR(B999)-$Q$1)*12-$P$1+1+MONTH(B999)))</f>
        <v>6</v>
      </c>
      <c r="Q999" s="330">
        <f t="shared" si="995"/>
        <v>5</v>
      </c>
      <c r="R999" s="331" t="str">
        <f t="shared" si="1"/>
        <v>Gastos_custeados_por_captação</v>
      </c>
      <c r="S999" s="331" t="str">
        <f>IF(D999="","",IF(OR(D999=Plano!$A$1,D999=Plano!$B$1),"entrada","saída"))</f>
        <v>saída</v>
      </c>
      <c r="T999" s="332" t="s">
        <v>1059</v>
      </c>
      <c r="U999" s="332">
        <v>1235</v>
      </c>
      <c r="V999" s="344"/>
    </row>
    <row r="1000" spans="1:22" ht="60" customHeight="1" x14ac:dyDescent="0.2">
      <c r="A1000" s="277">
        <f>IF(B1000="","",COUNT('Diário 5º PA'!$A$5:$A$2634)+ROW()-4)</f>
        <v>2307</v>
      </c>
      <c r="B1000" s="278">
        <v>44354</v>
      </c>
      <c r="C1000" s="259">
        <v>44287</v>
      </c>
      <c r="D1000" s="252" t="s">
        <v>104</v>
      </c>
      <c r="E1000" s="252" t="s">
        <v>104</v>
      </c>
      <c r="F1000" s="257">
        <v>75</v>
      </c>
      <c r="G1000" s="252" t="s">
        <v>4899</v>
      </c>
      <c r="H1000" s="252" t="s">
        <v>104</v>
      </c>
      <c r="I1000" s="252" t="s">
        <v>465</v>
      </c>
      <c r="J1000" s="250" t="s">
        <v>114</v>
      </c>
      <c r="K1000" s="250" t="s">
        <v>466</v>
      </c>
      <c r="L1000" s="250" t="s">
        <v>467</v>
      </c>
      <c r="M1000" s="336">
        <v>2579</v>
      </c>
      <c r="N1000" s="278">
        <v>44354</v>
      </c>
      <c r="O1000" s="329" t="s">
        <v>71</v>
      </c>
      <c r="P1000" s="330">
        <f t="shared" ref="P1000:Q1000" si="996">IF(B1000=0,0,IF(YEAR(B1000)=$Q$1,MONTH(B1000)-$P$1+1,(YEAR(B1000)-$Q$1)*12-$P$1+1+MONTH(B1000)))</f>
        <v>6</v>
      </c>
      <c r="Q1000" s="330">
        <f t="shared" si="996"/>
        <v>4</v>
      </c>
      <c r="R1000" s="331" t="str">
        <f t="shared" si="1"/>
        <v>Gastos_custeados_por_captação</v>
      </c>
      <c r="S1000" s="331" t="str">
        <f>IF(D1000="","",IF(OR(D1000=Plano!$A$1,D1000=Plano!$B$1),"entrada","saída"))</f>
        <v>saída</v>
      </c>
      <c r="T1000" s="332" t="s">
        <v>114</v>
      </c>
      <c r="U1000" s="332" t="s">
        <v>114</v>
      </c>
      <c r="V1000" s="344"/>
    </row>
    <row r="1001" spans="1:22" ht="60" customHeight="1" x14ac:dyDescent="0.2">
      <c r="A1001" s="277">
        <f>IF(B1001="","",COUNT('Diário 5º PA'!$A$5:$A$2634)+ROW()-4)</f>
        <v>2308</v>
      </c>
      <c r="B1001" s="278">
        <v>44354</v>
      </c>
      <c r="C1001" s="259">
        <v>44287</v>
      </c>
      <c r="D1001" s="252" t="s">
        <v>104</v>
      </c>
      <c r="E1001" s="252" t="s">
        <v>104</v>
      </c>
      <c r="F1001" s="257">
        <v>160</v>
      </c>
      <c r="G1001" s="252" t="s">
        <v>4900</v>
      </c>
      <c r="H1001" s="252" t="s">
        <v>104</v>
      </c>
      <c r="I1001" s="252" t="s">
        <v>465</v>
      </c>
      <c r="J1001" s="250" t="s">
        <v>114</v>
      </c>
      <c r="K1001" s="250" t="s">
        <v>466</v>
      </c>
      <c r="L1001" s="250" t="s">
        <v>467</v>
      </c>
      <c r="M1001" s="336">
        <v>2580</v>
      </c>
      <c r="N1001" s="278">
        <v>44354</v>
      </c>
      <c r="O1001" s="329" t="s">
        <v>71</v>
      </c>
      <c r="P1001" s="330">
        <f t="shared" ref="P1001:Q1001" si="997">IF(B1001=0,0,IF(YEAR(B1001)=$Q$1,MONTH(B1001)-$P$1+1,(YEAR(B1001)-$Q$1)*12-$P$1+1+MONTH(B1001)))</f>
        <v>6</v>
      </c>
      <c r="Q1001" s="330">
        <f t="shared" si="997"/>
        <v>4</v>
      </c>
      <c r="R1001" s="331" t="str">
        <f t="shared" si="1"/>
        <v>Gastos_custeados_por_captação</v>
      </c>
      <c r="S1001" s="331" t="str">
        <f>IF(D1001="","",IF(OR(D1001=Plano!$A$1,D1001=Plano!$B$1),"entrada","saída"))</f>
        <v>saída</v>
      </c>
      <c r="T1001" s="332" t="s">
        <v>114</v>
      </c>
      <c r="U1001" s="332" t="s">
        <v>114</v>
      </c>
      <c r="V1001" s="344"/>
    </row>
    <row r="1002" spans="1:22" ht="60" customHeight="1" x14ac:dyDescent="0.2">
      <c r="A1002" s="277">
        <f>IF(B1002="","",COUNT('Diário 5º PA'!$A$5:$A$2634)+ROW()-4)</f>
        <v>2309</v>
      </c>
      <c r="B1002" s="278">
        <v>44354</v>
      </c>
      <c r="C1002" s="259">
        <v>44287</v>
      </c>
      <c r="D1002" s="252" t="s">
        <v>104</v>
      </c>
      <c r="E1002" s="252" t="s">
        <v>104</v>
      </c>
      <c r="F1002" s="257">
        <v>125</v>
      </c>
      <c r="G1002" s="252" t="s">
        <v>4901</v>
      </c>
      <c r="H1002" s="252" t="s">
        <v>104</v>
      </c>
      <c r="I1002" s="252" t="s">
        <v>465</v>
      </c>
      <c r="J1002" s="250" t="s">
        <v>114</v>
      </c>
      <c r="K1002" s="250" t="s">
        <v>466</v>
      </c>
      <c r="L1002" s="250" t="s">
        <v>467</v>
      </c>
      <c r="M1002" s="336">
        <v>2581</v>
      </c>
      <c r="N1002" s="278">
        <v>44354</v>
      </c>
      <c r="O1002" s="329" t="s">
        <v>71</v>
      </c>
      <c r="P1002" s="330">
        <f t="shared" ref="P1002:Q1002" si="998">IF(B1002=0,0,IF(YEAR(B1002)=$Q$1,MONTH(B1002)-$P$1+1,(YEAR(B1002)-$Q$1)*12-$P$1+1+MONTH(B1002)))</f>
        <v>6</v>
      </c>
      <c r="Q1002" s="330">
        <f t="shared" si="998"/>
        <v>4</v>
      </c>
      <c r="R1002" s="331" t="str">
        <f t="shared" si="1"/>
        <v>Gastos_custeados_por_captação</v>
      </c>
      <c r="S1002" s="331" t="str">
        <f>IF(D1002="","",IF(OR(D1002=Plano!$A$1,D1002=Plano!$B$1),"entrada","saída"))</f>
        <v>saída</v>
      </c>
      <c r="T1002" s="332" t="s">
        <v>114</v>
      </c>
      <c r="U1002" s="332" t="s">
        <v>114</v>
      </c>
      <c r="V1002" s="344"/>
    </row>
    <row r="1003" spans="1:22" ht="68.25" customHeight="1" x14ac:dyDescent="0.2">
      <c r="A1003" s="277">
        <f>IF(B1003="","",COUNT('Diário 5º PA'!$A$5:$A$2634)+ROW()-4)</f>
        <v>2310</v>
      </c>
      <c r="B1003" s="278">
        <v>44355</v>
      </c>
      <c r="C1003" s="256">
        <v>44317</v>
      </c>
      <c r="D1003" s="255" t="s">
        <v>99</v>
      </c>
      <c r="E1003" s="255" t="s">
        <v>230</v>
      </c>
      <c r="F1003" s="257">
        <v>-1741.71</v>
      </c>
      <c r="G1003" s="252" t="s">
        <v>4902</v>
      </c>
      <c r="H1003" s="255" t="s">
        <v>115</v>
      </c>
      <c r="I1003" s="250" t="s">
        <v>983</v>
      </c>
      <c r="J1003" s="255" t="s">
        <v>850</v>
      </c>
      <c r="K1003" s="255" t="s">
        <v>1069</v>
      </c>
      <c r="L1003" s="250" t="s">
        <v>947</v>
      </c>
      <c r="M1003" s="277" t="s">
        <v>114</v>
      </c>
      <c r="N1003" s="278">
        <v>44355</v>
      </c>
      <c r="O1003" s="329" t="s">
        <v>67</v>
      </c>
      <c r="P1003" s="330">
        <f t="shared" ref="P1003:Q1003" si="999">IF(B1003=0,0,IF(YEAR(B1003)=$Q$1,MONTH(B1003)-$P$1+1,(YEAR(B1003)-$Q$1)*12-$P$1+1+MONTH(B1003)))</f>
        <v>6</v>
      </c>
      <c r="Q1003" s="330">
        <f t="shared" si="999"/>
        <v>5</v>
      </c>
      <c r="R1003" s="331" t="str">
        <f t="shared" si="1"/>
        <v>Gastos_Gerais</v>
      </c>
      <c r="S1003" s="331" t="str">
        <f>IF(D1003="","",IF(OR(D1003=Plano!$A$1,D1003=Plano!$B$1),"entrada","saída"))</f>
        <v>saída</v>
      </c>
      <c r="T1003" s="332" t="s">
        <v>114</v>
      </c>
      <c r="U1003" s="332" t="s">
        <v>114</v>
      </c>
      <c r="V1003" s="344"/>
    </row>
    <row r="1004" spans="1:22" ht="177.75" customHeight="1" x14ac:dyDescent="0.2">
      <c r="A1004" s="277">
        <f>IF(B1004="","",COUNT('Diário 5º PA'!$A$5:$A$2634)+ROW()-4)</f>
        <v>2311</v>
      </c>
      <c r="B1004" s="278">
        <v>44355</v>
      </c>
      <c r="C1004" s="259">
        <v>44317</v>
      </c>
      <c r="D1004" s="252" t="s">
        <v>99</v>
      </c>
      <c r="E1004" s="252" t="s">
        <v>358</v>
      </c>
      <c r="F1004" s="257">
        <v>534</v>
      </c>
      <c r="G1004" s="252" t="s">
        <v>4903</v>
      </c>
      <c r="H1004" s="252" t="s">
        <v>123</v>
      </c>
      <c r="I1004" s="250" t="s">
        <v>4904</v>
      </c>
      <c r="J1004" s="250" t="s">
        <v>4905</v>
      </c>
      <c r="K1004" s="255" t="s">
        <v>1015</v>
      </c>
      <c r="L1004" s="250" t="s">
        <v>1029</v>
      </c>
      <c r="M1004" s="277">
        <v>1196</v>
      </c>
      <c r="N1004" s="278">
        <v>44355</v>
      </c>
      <c r="O1004" s="329" t="s">
        <v>67</v>
      </c>
      <c r="P1004" s="330">
        <f t="shared" ref="P1004:Q1004" si="1000">IF(B1004=0,0,IF(YEAR(B1004)=$Q$1,MONTH(B1004)-$P$1+1,(YEAR(B1004)-$Q$1)*12-$P$1+1+MONTH(B1004)))</f>
        <v>6</v>
      </c>
      <c r="Q1004" s="330">
        <f t="shared" si="1000"/>
        <v>5</v>
      </c>
      <c r="R1004" s="331" t="str">
        <f t="shared" si="1"/>
        <v>Gastos_Gerais</v>
      </c>
      <c r="S1004" s="331" t="str">
        <f>IF(D1004="","",IF(OR(D1004=Plano!$A$1,D1004=Plano!$B$1),"entrada","saída"))</f>
        <v>saída</v>
      </c>
      <c r="T1004" s="332" t="s">
        <v>994</v>
      </c>
      <c r="U1004" s="332">
        <v>1585</v>
      </c>
      <c r="V1004" s="344"/>
    </row>
    <row r="1005" spans="1:22" ht="160.5" customHeight="1" x14ac:dyDescent="0.2">
      <c r="A1005" s="277">
        <f>IF(B1005="","",COUNT('Diário 5º PA'!$A$5:$A$2634)+ROW()-4)</f>
        <v>2312</v>
      </c>
      <c r="B1005" s="278">
        <v>44355</v>
      </c>
      <c r="C1005" s="249">
        <v>44317</v>
      </c>
      <c r="D1005" s="255" t="s">
        <v>99</v>
      </c>
      <c r="E1005" s="255" t="s">
        <v>230</v>
      </c>
      <c r="F1005" s="258">
        <v>6594.88</v>
      </c>
      <c r="G1005" s="255" t="s">
        <v>484</v>
      </c>
      <c r="H1005" s="255" t="s">
        <v>115</v>
      </c>
      <c r="I1005" s="250" t="s">
        <v>485</v>
      </c>
      <c r="J1005" s="252" t="s">
        <v>1255</v>
      </c>
      <c r="K1005" s="255" t="s">
        <v>1015</v>
      </c>
      <c r="L1005" s="250" t="s">
        <v>3666</v>
      </c>
      <c r="M1005" s="277" t="s">
        <v>114</v>
      </c>
      <c r="N1005" s="278">
        <v>44354</v>
      </c>
      <c r="O1005" s="329" t="s">
        <v>67</v>
      </c>
      <c r="P1005" s="330">
        <f t="shared" ref="P1005:Q1005" si="1001">IF(B1005=0,0,IF(YEAR(B1005)=$Q$1,MONTH(B1005)-$P$1+1,(YEAR(B1005)-$Q$1)*12-$P$1+1+MONTH(B1005)))</f>
        <v>6</v>
      </c>
      <c r="Q1005" s="330">
        <f t="shared" si="1001"/>
        <v>5</v>
      </c>
      <c r="R1005" s="331" t="str">
        <f t="shared" si="1"/>
        <v>Gastos_Gerais</v>
      </c>
      <c r="S1005" s="331" t="str">
        <f>IF(D1005="","",IF(OR(D1005=Plano!$A$1,D1005=Plano!$B$1),"entrada","saída"))</f>
        <v>saída</v>
      </c>
      <c r="T1005" s="332" t="s">
        <v>1059</v>
      </c>
      <c r="U1005" s="332">
        <v>1115</v>
      </c>
      <c r="V1005" s="344"/>
    </row>
    <row r="1006" spans="1:22" ht="187.5" customHeight="1" x14ac:dyDescent="0.2">
      <c r="A1006" s="277">
        <f>IF(B1006="","",COUNT('Diário 5º PA'!$A$5:$A$2634)+ROW()-4)</f>
        <v>2313</v>
      </c>
      <c r="B1006" s="278">
        <v>44355</v>
      </c>
      <c r="C1006" s="259">
        <v>44317</v>
      </c>
      <c r="D1006" s="252" t="s">
        <v>99</v>
      </c>
      <c r="E1006" s="252" t="s">
        <v>358</v>
      </c>
      <c r="F1006" s="257">
        <v>516</v>
      </c>
      <c r="G1006" s="252" t="s">
        <v>4906</v>
      </c>
      <c r="H1006" s="252" t="s">
        <v>124</v>
      </c>
      <c r="I1006" s="250" t="s">
        <v>4907</v>
      </c>
      <c r="J1006" s="250" t="s">
        <v>4908</v>
      </c>
      <c r="K1006" s="255" t="s">
        <v>1015</v>
      </c>
      <c r="L1006" s="250" t="s">
        <v>1029</v>
      </c>
      <c r="M1006" s="277">
        <v>1182</v>
      </c>
      <c r="N1006" s="278">
        <v>44349</v>
      </c>
      <c r="O1006" s="329" t="s">
        <v>67</v>
      </c>
      <c r="P1006" s="330">
        <f t="shared" ref="P1006:Q1006" si="1002">IF(B1006=0,0,IF(YEAR(B1006)=$Q$1,MONTH(B1006)-$P$1+1,(YEAR(B1006)-$Q$1)*12-$P$1+1+MONTH(B1006)))</f>
        <v>6</v>
      </c>
      <c r="Q1006" s="330">
        <f t="shared" si="1002"/>
        <v>5</v>
      </c>
      <c r="R1006" s="331" t="str">
        <f t="shared" si="1"/>
        <v>Gastos_Gerais</v>
      </c>
      <c r="S1006" s="331" t="str">
        <f>IF(D1006="","",IF(OR(D1006=Plano!$A$1,D1006=Plano!$B$1),"entrada","saída"))</f>
        <v>saída</v>
      </c>
      <c r="T1006" s="332" t="s">
        <v>994</v>
      </c>
      <c r="U1006" s="332">
        <v>1447</v>
      </c>
      <c r="V1006" s="344"/>
    </row>
    <row r="1007" spans="1:22" ht="36" customHeight="1" x14ac:dyDescent="0.2">
      <c r="A1007" s="277">
        <f>IF(B1007="","",COUNT('Diário 5º PA'!$A$5:$A$2634)+ROW()-4)</f>
        <v>2314</v>
      </c>
      <c r="B1007" s="278">
        <v>44355</v>
      </c>
      <c r="C1007" s="256">
        <v>44317</v>
      </c>
      <c r="D1007" s="255" t="s">
        <v>99</v>
      </c>
      <c r="E1007" s="255" t="s">
        <v>218</v>
      </c>
      <c r="F1007" s="258">
        <v>104.73</v>
      </c>
      <c r="G1007" s="255" t="s">
        <v>4909</v>
      </c>
      <c r="H1007" s="255" t="s">
        <v>129</v>
      </c>
      <c r="I1007" s="250" t="s">
        <v>515</v>
      </c>
      <c r="J1007" s="255" t="s">
        <v>699</v>
      </c>
      <c r="K1007" s="255" t="s">
        <v>700</v>
      </c>
      <c r="L1007" s="250" t="s">
        <v>697</v>
      </c>
      <c r="M1007" s="277" t="s">
        <v>4910</v>
      </c>
      <c r="N1007" s="278">
        <v>44341</v>
      </c>
      <c r="O1007" s="329" t="s">
        <v>67</v>
      </c>
      <c r="P1007" s="330">
        <f t="shared" ref="P1007:Q1007" si="1003">IF(B1007=0,0,IF(YEAR(B1007)=$Q$1,MONTH(B1007)-$P$1+1,(YEAR(B1007)-$Q$1)*12-$P$1+1+MONTH(B1007)))</f>
        <v>6</v>
      </c>
      <c r="Q1007" s="330">
        <f t="shared" si="1003"/>
        <v>5</v>
      </c>
      <c r="R1007" s="331" t="str">
        <f t="shared" si="1"/>
        <v>Gastos_Gerais</v>
      </c>
      <c r="S1007" s="331" t="str">
        <f>IF(D1007="","",IF(OR(D1007=Plano!$A$1,D1007=Plano!$B$1),"entrada","saída"))</f>
        <v>saída</v>
      </c>
      <c r="T1007" s="332" t="s">
        <v>114</v>
      </c>
      <c r="U1007" s="332" t="s">
        <v>114</v>
      </c>
      <c r="V1007" s="344"/>
    </row>
    <row r="1008" spans="1:22" ht="135.75" customHeight="1" x14ac:dyDescent="0.2">
      <c r="A1008" s="277">
        <f>IF(B1008="","",COUNT('Diário 5º PA'!$A$5:$A$2634)+ROW()-4)</f>
        <v>2315</v>
      </c>
      <c r="B1008" s="278">
        <v>44355</v>
      </c>
      <c r="C1008" s="259">
        <v>44348</v>
      </c>
      <c r="D1008" s="252" t="s">
        <v>99</v>
      </c>
      <c r="E1008" s="252" t="s">
        <v>376</v>
      </c>
      <c r="F1008" s="257">
        <v>2000</v>
      </c>
      <c r="G1008" s="252" t="s">
        <v>477</v>
      </c>
      <c r="H1008" s="252" t="s">
        <v>124</v>
      </c>
      <c r="I1008" s="252" t="s">
        <v>1293</v>
      </c>
      <c r="J1008" s="250" t="s">
        <v>479</v>
      </c>
      <c r="K1008" s="255" t="s">
        <v>991</v>
      </c>
      <c r="L1008" s="250" t="s">
        <v>1016</v>
      </c>
      <c r="M1008" s="277" t="s">
        <v>1299</v>
      </c>
      <c r="N1008" s="278">
        <v>44354</v>
      </c>
      <c r="O1008" s="329" t="s">
        <v>67</v>
      </c>
      <c r="P1008" s="330">
        <f t="shared" ref="P1008:Q1008" si="1004">IF(B1008=0,0,IF(YEAR(B1008)=$Q$1,MONTH(B1008)-$P$1+1,(YEAR(B1008)-$Q$1)*12-$P$1+1+MONTH(B1008)))</f>
        <v>6</v>
      </c>
      <c r="Q1008" s="330">
        <f t="shared" si="1004"/>
        <v>6</v>
      </c>
      <c r="R1008" s="331" t="str">
        <f t="shared" si="1"/>
        <v>Gastos_Gerais</v>
      </c>
      <c r="S1008" s="331" t="str">
        <f>IF(D1008="","",IF(OR(D1008=Plano!$A$1,D1008=Plano!$B$1),"entrada","saída"))</f>
        <v>saída</v>
      </c>
      <c r="T1008" s="332" t="s">
        <v>1059</v>
      </c>
      <c r="U1008" s="332">
        <v>1268</v>
      </c>
      <c r="V1008" s="344"/>
    </row>
    <row r="1009" spans="1:22" ht="181.5" customHeight="1" x14ac:dyDescent="0.2">
      <c r="A1009" s="277">
        <f>IF(B1009="","",COUNT('Diário 5º PA'!$A$5:$A$2634)+ROW()-4)</f>
        <v>2316</v>
      </c>
      <c r="B1009" s="278">
        <v>44355</v>
      </c>
      <c r="C1009" s="259">
        <v>44317</v>
      </c>
      <c r="D1009" s="252" t="s">
        <v>99</v>
      </c>
      <c r="E1009" s="252" t="s">
        <v>386</v>
      </c>
      <c r="F1009" s="257">
        <v>2762.55</v>
      </c>
      <c r="G1009" s="252" t="s">
        <v>4911</v>
      </c>
      <c r="H1009" s="252" t="s">
        <v>123</v>
      </c>
      <c r="I1009" s="250" t="s">
        <v>4912</v>
      </c>
      <c r="J1009" s="250" t="s">
        <v>4913</v>
      </c>
      <c r="K1009" s="255" t="s">
        <v>991</v>
      </c>
      <c r="L1009" s="250" t="s">
        <v>1029</v>
      </c>
      <c r="M1009" s="277">
        <v>1195</v>
      </c>
      <c r="N1009" s="278">
        <v>44355</v>
      </c>
      <c r="O1009" s="329" t="s">
        <v>67</v>
      </c>
      <c r="P1009" s="330">
        <f t="shared" ref="P1009:Q1009" si="1005">IF(B1009=0,0,IF(YEAR(B1009)=$Q$1,MONTH(B1009)-$P$1+1,(YEAR(B1009)-$Q$1)*12-$P$1+1+MONTH(B1009)))</f>
        <v>6</v>
      </c>
      <c r="Q1009" s="330">
        <f t="shared" si="1005"/>
        <v>5</v>
      </c>
      <c r="R1009" s="331" t="str">
        <f t="shared" si="1"/>
        <v>Gastos_Gerais</v>
      </c>
      <c r="S1009" s="331" t="str">
        <f>IF(D1009="","",IF(OR(D1009=Plano!$A$1,D1009=Plano!$B$1),"entrada","saída"))</f>
        <v>saída</v>
      </c>
      <c r="T1009" s="332" t="s">
        <v>994</v>
      </c>
      <c r="U1009" s="332">
        <v>1584</v>
      </c>
      <c r="V1009" s="344"/>
    </row>
    <row r="1010" spans="1:22" ht="153" customHeight="1" x14ac:dyDescent="0.2">
      <c r="A1010" s="277">
        <f>IF(B1010="","",COUNT('Diário 5º PA'!$A$5:$A$2634)+ROW()-4)</f>
        <v>2317</v>
      </c>
      <c r="B1010" s="278">
        <v>44355</v>
      </c>
      <c r="C1010" s="259">
        <v>44317</v>
      </c>
      <c r="D1010" s="255" t="s">
        <v>99</v>
      </c>
      <c r="E1010" s="252" t="s">
        <v>358</v>
      </c>
      <c r="F1010" s="258">
        <v>1238.4000000000001</v>
      </c>
      <c r="G1010" s="255" t="s">
        <v>4914</v>
      </c>
      <c r="H1010" s="255" t="s">
        <v>124</v>
      </c>
      <c r="I1010" s="252" t="s">
        <v>4594</v>
      </c>
      <c r="J1010" s="250" t="s">
        <v>4595</v>
      </c>
      <c r="K1010" s="255" t="s">
        <v>991</v>
      </c>
      <c r="L1010" s="250" t="s">
        <v>1029</v>
      </c>
      <c r="M1010" s="277">
        <v>1178</v>
      </c>
      <c r="N1010" s="278">
        <v>44349</v>
      </c>
      <c r="O1010" s="329" t="s">
        <v>67</v>
      </c>
      <c r="P1010" s="330">
        <f t="shared" ref="P1010:Q1010" si="1006">IF(B1010=0,0,IF(YEAR(B1010)=$Q$1,MONTH(B1010)-$P$1+1,(YEAR(B1010)-$Q$1)*12-$P$1+1+MONTH(B1010)))</f>
        <v>6</v>
      </c>
      <c r="Q1010" s="330">
        <f t="shared" si="1006"/>
        <v>5</v>
      </c>
      <c r="R1010" s="331" t="str">
        <f t="shared" si="1"/>
        <v>Gastos_Gerais</v>
      </c>
      <c r="S1010" s="331" t="str">
        <f>IF(D1010="","",IF(OR(D1010=Plano!$A$1,D1010=Plano!$B$1),"entrada","saída"))</f>
        <v>saída</v>
      </c>
      <c r="T1010" s="332" t="s">
        <v>994</v>
      </c>
      <c r="U1010" s="332">
        <v>1537</v>
      </c>
      <c r="V1010" s="344"/>
    </row>
    <row r="1011" spans="1:22" ht="51" customHeight="1" x14ac:dyDescent="0.2">
      <c r="A1011" s="277">
        <f>IF(B1011="","",COUNT('Diário 5º PA'!$A$5:$A$2634)+ROW()-4)</f>
        <v>2318</v>
      </c>
      <c r="B1011" s="278">
        <v>44355</v>
      </c>
      <c r="C1011" s="249">
        <v>44348</v>
      </c>
      <c r="D1011" s="255" t="s">
        <v>99</v>
      </c>
      <c r="E1011" s="255" t="s">
        <v>272</v>
      </c>
      <c r="F1011" s="258">
        <v>10.45</v>
      </c>
      <c r="G1011" s="255" t="s">
        <v>1323</v>
      </c>
      <c r="H1011" s="252" t="s">
        <v>124</v>
      </c>
      <c r="I1011" s="250" t="s">
        <v>949</v>
      </c>
      <c r="J1011" s="255" t="s">
        <v>950</v>
      </c>
      <c r="K1011" s="255" t="s">
        <v>951</v>
      </c>
      <c r="L1011" s="250" t="s">
        <v>947</v>
      </c>
      <c r="M1011" s="336" t="s">
        <v>114</v>
      </c>
      <c r="N1011" s="278">
        <v>44355</v>
      </c>
      <c r="O1011" s="329" t="s">
        <v>67</v>
      </c>
      <c r="P1011" s="330">
        <f t="shared" ref="P1011:Q1011" si="1007">IF(B1011=0,0,IF(YEAR(B1011)=$Q$1,MONTH(B1011)-$P$1+1,(YEAR(B1011)-$Q$1)*12-$P$1+1+MONTH(B1011)))</f>
        <v>6</v>
      </c>
      <c r="Q1011" s="330">
        <f t="shared" si="1007"/>
        <v>6</v>
      </c>
      <c r="R1011" s="331" t="str">
        <f t="shared" si="1"/>
        <v>Gastos_Gerais</v>
      </c>
      <c r="S1011" s="331" t="str">
        <f>IF(D1011="","",IF(OR(D1011=Plano!$A$1,D1011=Plano!$B$1),"entrada","saída"))</f>
        <v>saída</v>
      </c>
      <c r="T1011" s="332" t="s">
        <v>114</v>
      </c>
      <c r="U1011" s="332" t="s">
        <v>114</v>
      </c>
      <c r="V1011" s="344"/>
    </row>
    <row r="1012" spans="1:22" ht="55.5" customHeight="1" x14ac:dyDescent="0.2">
      <c r="A1012" s="277">
        <f>IF(B1012="","",COUNT('Diário 5º PA'!$A$5:$A$2634)+ROW()-4)</f>
        <v>2319</v>
      </c>
      <c r="B1012" s="278">
        <v>44355</v>
      </c>
      <c r="C1012" s="249">
        <v>44348</v>
      </c>
      <c r="D1012" s="255" t="s">
        <v>99</v>
      </c>
      <c r="E1012" s="255" t="s">
        <v>272</v>
      </c>
      <c r="F1012" s="258">
        <v>10.45</v>
      </c>
      <c r="G1012" s="255" t="s">
        <v>4915</v>
      </c>
      <c r="H1012" s="252" t="s">
        <v>123</v>
      </c>
      <c r="I1012" s="250" t="s">
        <v>949</v>
      </c>
      <c r="J1012" s="255" t="s">
        <v>950</v>
      </c>
      <c r="K1012" s="255" t="s">
        <v>951</v>
      </c>
      <c r="L1012" s="250" t="s">
        <v>947</v>
      </c>
      <c r="M1012" s="336" t="s">
        <v>114</v>
      </c>
      <c r="N1012" s="278">
        <v>44355</v>
      </c>
      <c r="O1012" s="329" t="s">
        <v>67</v>
      </c>
      <c r="P1012" s="330">
        <f t="shared" ref="P1012:Q1012" si="1008">IF(B1012=0,0,IF(YEAR(B1012)=$Q$1,MONTH(B1012)-$P$1+1,(YEAR(B1012)-$Q$1)*12-$P$1+1+MONTH(B1012)))</f>
        <v>6</v>
      </c>
      <c r="Q1012" s="330">
        <f t="shared" si="1008"/>
        <v>6</v>
      </c>
      <c r="R1012" s="331" t="str">
        <f t="shared" si="1"/>
        <v>Gastos_Gerais</v>
      </c>
      <c r="S1012" s="331" t="str">
        <f>IF(D1012="","",IF(OR(D1012=Plano!$A$1,D1012=Plano!$B$1),"entrada","saída"))</f>
        <v>saída</v>
      </c>
      <c r="T1012" s="332" t="s">
        <v>114</v>
      </c>
      <c r="U1012" s="332" t="s">
        <v>114</v>
      </c>
      <c r="V1012" s="344"/>
    </row>
    <row r="1013" spans="1:22" ht="60" customHeight="1" x14ac:dyDescent="0.2">
      <c r="A1013" s="277">
        <f>IF(B1013="","",COUNT('Diário 5º PA'!$A$5:$A$2634)+ROW()-4)</f>
        <v>2320</v>
      </c>
      <c r="B1013" s="278">
        <v>44355</v>
      </c>
      <c r="C1013" s="249">
        <v>44348</v>
      </c>
      <c r="D1013" s="255" t="s">
        <v>99</v>
      </c>
      <c r="E1013" s="255" t="s">
        <v>272</v>
      </c>
      <c r="F1013" s="258">
        <v>10.45</v>
      </c>
      <c r="G1013" s="255" t="s">
        <v>4916</v>
      </c>
      <c r="H1013" s="255" t="s">
        <v>124</v>
      </c>
      <c r="I1013" s="250" t="s">
        <v>949</v>
      </c>
      <c r="J1013" s="255" t="s">
        <v>950</v>
      </c>
      <c r="K1013" s="255" t="s">
        <v>951</v>
      </c>
      <c r="L1013" s="250" t="s">
        <v>947</v>
      </c>
      <c r="M1013" s="336" t="s">
        <v>114</v>
      </c>
      <c r="N1013" s="278">
        <v>44355</v>
      </c>
      <c r="O1013" s="329" t="s">
        <v>67</v>
      </c>
      <c r="P1013" s="330">
        <f t="shared" ref="P1013:Q1013" si="1009">IF(B1013=0,0,IF(YEAR(B1013)=$Q$1,MONTH(B1013)-$P$1+1,(YEAR(B1013)-$Q$1)*12-$P$1+1+MONTH(B1013)))</f>
        <v>6</v>
      </c>
      <c r="Q1013" s="330">
        <f t="shared" si="1009"/>
        <v>6</v>
      </c>
      <c r="R1013" s="331" t="str">
        <f t="shared" si="1"/>
        <v>Gastos_Gerais</v>
      </c>
      <c r="S1013" s="331" t="str">
        <f>IF(D1013="","",IF(OR(D1013=Plano!$A$1,D1013=Plano!$B$1),"entrada","saída"))</f>
        <v>saída</v>
      </c>
      <c r="T1013" s="332" t="s">
        <v>114</v>
      </c>
      <c r="U1013" s="332" t="s">
        <v>114</v>
      </c>
      <c r="V1013" s="344"/>
    </row>
    <row r="1014" spans="1:22" ht="132.75" customHeight="1" x14ac:dyDescent="0.2">
      <c r="A1014" s="277">
        <f>IF(B1014="","",COUNT('Diário 5º PA'!$A$5:$A$2634)+ROW()-4)</f>
        <v>2321</v>
      </c>
      <c r="B1014" s="278">
        <v>44355</v>
      </c>
      <c r="C1014" s="259">
        <v>44317</v>
      </c>
      <c r="D1014" s="252" t="s">
        <v>104</v>
      </c>
      <c r="E1014" s="252" t="s">
        <v>104</v>
      </c>
      <c r="F1014" s="257">
        <v>2300</v>
      </c>
      <c r="G1014" s="252" t="s">
        <v>4387</v>
      </c>
      <c r="H1014" s="252" t="s">
        <v>104</v>
      </c>
      <c r="I1014" s="252" t="s">
        <v>2493</v>
      </c>
      <c r="J1014" s="250" t="s">
        <v>2494</v>
      </c>
      <c r="K1014" s="255" t="s">
        <v>1015</v>
      </c>
      <c r="L1014" s="250" t="s">
        <v>992</v>
      </c>
      <c r="M1014" s="277" t="s">
        <v>1540</v>
      </c>
      <c r="N1014" s="278">
        <v>44348</v>
      </c>
      <c r="O1014" s="329" t="s">
        <v>68</v>
      </c>
      <c r="P1014" s="330">
        <f t="shared" ref="P1014:Q1014" si="1010">IF(B1014=0,0,IF(YEAR(B1014)=$Q$1,MONTH(B1014)-$P$1+1,(YEAR(B1014)-$Q$1)*12-$P$1+1+MONTH(B1014)))</f>
        <v>6</v>
      </c>
      <c r="Q1014" s="330">
        <f t="shared" si="1010"/>
        <v>5</v>
      </c>
      <c r="R1014" s="331" t="str">
        <f t="shared" si="1"/>
        <v>Gastos_custeados_por_captação</v>
      </c>
      <c r="S1014" s="331" t="str">
        <f>IF(D1014="","",IF(OR(D1014=Plano!$A$1,D1014=Plano!$B$1),"entrada","saída"))</f>
        <v>saída</v>
      </c>
      <c r="T1014" s="332" t="s">
        <v>994</v>
      </c>
      <c r="U1014" s="332">
        <v>1396</v>
      </c>
      <c r="V1014" s="344"/>
    </row>
    <row r="1015" spans="1:22" ht="57" customHeight="1" x14ac:dyDescent="0.2">
      <c r="A1015" s="277">
        <f>IF(B1015="","",COUNT('Diário 5º PA'!$A$5:$A$2634)+ROW()-4)</f>
        <v>2322</v>
      </c>
      <c r="B1015" s="278">
        <v>44356</v>
      </c>
      <c r="C1015" s="249">
        <v>44317</v>
      </c>
      <c r="D1015" s="255" t="s">
        <v>99</v>
      </c>
      <c r="E1015" s="255" t="s">
        <v>266</v>
      </c>
      <c r="F1015" s="258">
        <v>-69.989999999999995</v>
      </c>
      <c r="G1015" s="255" t="s">
        <v>4917</v>
      </c>
      <c r="H1015" s="255" t="s">
        <v>115</v>
      </c>
      <c r="I1015" s="250" t="s">
        <v>983</v>
      </c>
      <c r="J1015" s="255" t="s">
        <v>850</v>
      </c>
      <c r="K1015" s="255" t="s">
        <v>946</v>
      </c>
      <c r="L1015" s="250" t="s">
        <v>947</v>
      </c>
      <c r="M1015" s="277" t="s">
        <v>114</v>
      </c>
      <c r="N1015" s="278">
        <v>44356</v>
      </c>
      <c r="O1015" s="329" t="s">
        <v>67</v>
      </c>
      <c r="P1015" s="330">
        <f t="shared" ref="P1015:Q1015" si="1011">IF(B1015=0,0,IF(YEAR(B1015)=$Q$1,MONTH(B1015)-$P$1+1,(YEAR(B1015)-$Q$1)*12-$P$1+1+MONTH(B1015)))</f>
        <v>6</v>
      </c>
      <c r="Q1015" s="330">
        <f t="shared" si="1011"/>
        <v>5</v>
      </c>
      <c r="R1015" s="331" t="str">
        <f t="shared" si="1"/>
        <v>Gastos_Gerais</v>
      </c>
      <c r="S1015" s="331" t="str">
        <f>IF(D1015="","",IF(OR(D1015=Plano!$A$1,D1015=Plano!$B$1),"entrada","saída"))</f>
        <v>saída</v>
      </c>
      <c r="T1015" s="332" t="s">
        <v>114</v>
      </c>
      <c r="U1015" s="332" t="s">
        <v>114</v>
      </c>
      <c r="V1015" s="344"/>
    </row>
    <row r="1016" spans="1:22" ht="136.5" customHeight="1" x14ac:dyDescent="0.2">
      <c r="A1016" s="277">
        <f>IF(B1016="","",COUNT('Diário 5º PA'!$A$5:$A$2634)+ROW()-4)</f>
        <v>2323</v>
      </c>
      <c r="B1016" s="278">
        <v>44356</v>
      </c>
      <c r="C1016" s="259">
        <v>44317</v>
      </c>
      <c r="D1016" s="252" t="s">
        <v>99</v>
      </c>
      <c r="E1016" s="252" t="s">
        <v>352</v>
      </c>
      <c r="F1016" s="257">
        <v>2694.72</v>
      </c>
      <c r="G1016" s="252" t="s">
        <v>579</v>
      </c>
      <c r="H1016" s="252" t="s">
        <v>132</v>
      </c>
      <c r="I1016" s="252" t="s">
        <v>1328</v>
      </c>
      <c r="J1016" s="250" t="s">
        <v>581</v>
      </c>
      <c r="K1016" s="255" t="s">
        <v>1015</v>
      </c>
      <c r="L1016" s="250" t="s">
        <v>992</v>
      </c>
      <c r="M1016" s="277" t="s">
        <v>2152</v>
      </c>
      <c r="N1016" s="278">
        <v>44355</v>
      </c>
      <c r="O1016" s="329" t="s">
        <v>67</v>
      </c>
      <c r="P1016" s="330">
        <f t="shared" ref="P1016:Q1016" si="1012">IF(B1016=0,0,IF(YEAR(B1016)=$Q$1,MONTH(B1016)-$P$1+1,(YEAR(B1016)-$Q$1)*12-$P$1+1+MONTH(B1016)))</f>
        <v>6</v>
      </c>
      <c r="Q1016" s="330">
        <f t="shared" si="1012"/>
        <v>5</v>
      </c>
      <c r="R1016" s="331" t="str">
        <f t="shared" si="1"/>
        <v>Gastos_Gerais</v>
      </c>
      <c r="S1016" s="331" t="str">
        <f>IF(D1016="","",IF(OR(D1016=Plano!$A$1,D1016=Plano!$B$1),"entrada","saída"))</f>
        <v>saída</v>
      </c>
      <c r="T1016" s="332" t="s">
        <v>1059</v>
      </c>
      <c r="U1016" s="332">
        <v>1338</v>
      </c>
      <c r="V1016" s="344"/>
    </row>
    <row r="1017" spans="1:22" ht="134.25" customHeight="1" x14ac:dyDescent="0.2">
      <c r="A1017" s="277">
        <f>IF(B1017="","",COUNT('Diário 5º PA'!$A$5:$A$2634)+ROW()-4)</f>
        <v>2324</v>
      </c>
      <c r="B1017" s="278">
        <v>44356</v>
      </c>
      <c r="C1017" s="259">
        <v>44317</v>
      </c>
      <c r="D1017" s="252" t="s">
        <v>99</v>
      </c>
      <c r="E1017" s="252" t="s">
        <v>364</v>
      </c>
      <c r="F1017" s="257">
        <v>2269.2399999999998</v>
      </c>
      <c r="G1017" s="252" t="s">
        <v>4918</v>
      </c>
      <c r="H1017" s="252" t="s">
        <v>132</v>
      </c>
      <c r="I1017" s="252" t="s">
        <v>4414</v>
      </c>
      <c r="J1017" s="250" t="s">
        <v>4415</v>
      </c>
      <c r="K1017" s="255" t="s">
        <v>991</v>
      </c>
      <c r="L1017" s="250" t="s">
        <v>1029</v>
      </c>
      <c r="M1017" s="277">
        <v>1176</v>
      </c>
      <c r="N1017" s="278">
        <v>44348</v>
      </c>
      <c r="O1017" s="329" t="s">
        <v>67</v>
      </c>
      <c r="P1017" s="330">
        <f t="shared" ref="P1017:Q1017" si="1013">IF(B1017=0,0,IF(YEAR(B1017)=$Q$1,MONTH(B1017)-$P$1+1,(YEAR(B1017)-$Q$1)*12-$P$1+1+MONTH(B1017)))</f>
        <v>6</v>
      </c>
      <c r="Q1017" s="330">
        <f t="shared" si="1013"/>
        <v>5</v>
      </c>
      <c r="R1017" s="331" t="str">
        <f t="shared" si="1"/>
        <v>Gastos_Gerais</v>
      </c>
      <c r="S1017" s="331" t="str">
        <f>IF(D1017="","",IF(OR(D1017=Plano!$A$1,D1017=Plano!$B$1),"entrada","saída"))</f>
        <v>saída</v>
      </c>
      <c r="T1017" s="332" t="s">
        <v>994</v>
      </c>
      <c r="U1017" s="332">
        <v>1449</v>
      </c>
      <c r="V1017" s="344"/>
    </row>
    <row r="1018" spans="1:22" ht="126.75" customHeight="1" x14ac:dyDescent="0.2">
      <c r="A1018" s="277">
        <f>IF(B1018="","",COUNT('Diário 5º PA'!$A$5:$A$2634)+ROW()-4)</f>
        <v>2325</v>
      </c>
      <c r="B1018" s="278">
        <v>44356</v>
      </c>
      <c r="C1018" s="259">
        <v>44317</v>
      </c>
      <c r="D1018" s="252" t="s">
        <v>99</v>
      </c>
      <c r="E1018" s="252" t="s">
        <v>364</v>
      </c>
      <c r="F1018" s="257">
        <v>5389.45</v>
      </c>
      <c r="G1018" s="252" t="s">
        <v>570</v>
      </c>
      <c r="H1018" s="252" t="s">
        <v>132</v>
      </c>
      <c r="I1018" s="252" t="s">
        <v>1300</v>
      </c>
      <c r="J1018" s="250" t="s">
        <v>572</v>
      </c>
      <c r="K1018" s="255" t="s">
        <v>991</v>
      </c>
      <c r="L1018" s="250" t="s">
        <v>1016</v>
      </c>
      <c r="M1018" s="277" t="s">
        <v>1546</v>
      </c>
      <c r="N1018" s="278">
        <v>44356</v>
      </c>
      <c r="O1018" s="329" t="s">
        <v>67</v>
      </c>
      <c r="P1018" s="330">
        <f t="shared" ref="P1018:Q1018" si="1014">IF(B1018=0,0,IF(YEAR(B1018)=$Q$1,MONTH(B1018)-$P$1+1,(YEAR(B1018)-$Q$1)*12-$P$1+1+MONTH(B1018)))</f>
        <v>6</v>
      </c>
      <c r="Q1018" s="330">
        <f t="shared" si="1014"/>
        <v>5</v>
      </c>
      <c r="R1018" s="331" t="str">
        <f t="shared" si="1"/>
        <v>Gastos_Gerais</v>
      </c>
      <c r="S1018" s="331" t="str">
        <f>IF(D1018="","",IF(OR(D1018=Plano!$A$1,D1018=Plano!$B$1),"entrada","saída"))</f>
        <v>saída</v>
      </c>
      <c r="T1018" s="332" t="s">
        <v>1059</v>
      </c>
      <c r="U1018" s="332">
        <v>1339</v>
      </c>
      <c r="V1018" s="344"/>
    </row>
    <row r="1019" spans="1:22" ht="90.75" customHeight="1" x14ac:dyDescent="0.2">
      <c r="A1019" s="277">
        <f>IF(B1019="","",COUNT('Diário 5º PA'!$A$5:$A$2634)+ROW()-4)</f>
        <v>2326</v>
      </c>
      <c r="B1019" s="278">
        <v>44356</v>
      </c>
      <c r="C1019" s="259">
        <v>44348</v>
      </c>
      <c r="D1019" s="252" t="s">
        <v>99</v>
      </c>
      <c r="E1019" s="252" t="s">
        <v>352</v>
      </c>
      <c r="F1019" s="257">
        <v>3325</v>
      </c>
      <c r="G1019" s="252" t="s">
        <v>564</v>
      </c>
      <c r="H1019" s="252" t="s">
        <v>131</v>
      </c>
      <c r="I1019" s="252" t="s">
        <v>1210</v>
      </c>
      <c r="J1019" s="250" t="s">
        <v>567</v>
      </c>
      <c r="K1019" s="255" t="s">
        <v>991</v>
      </c>
      <c r="L1019" s="250" t="s">
        <v>992</v>
      </c>
      <c r="M1019" s="278" t="s">
        <v>1049</v>
      </c>
      <c r="N1019" s="278">
        <v>44355</v>
      </c>
      <c r="O1019" s="329" t="s">
        <v>67</v>
      </c>
      <c r="P1019" s="330">
        <f t="shared" ref="P1019:Q1019" si="1015">IF(B1019=0,0,IF(YEAR(B1019)=$Q$1,MONTH(B1019)-$P$1+1,(YEAR(B1019)-$Q$1)*12-$P$1+1+MONTH(B1019)))</f>
        <v>6</v>
      </c>
      <c r="Q1019" s="330">
        <f t="shared" si="1015"/>
        <v>6</v>
      </c>
      <c r="R1019" s="331" t="str">
        <f t="shared" si="1"/>
        <v>Gastos_Gerais</v>
      </c>
      <c r="S1019" s="331" t="str">
        <f>IF(D1019="","",IF(OR(D1019=Plano!$A$1,D1019=Plano!$B$1),"entrada","saída"))</f>
        <v>saída</v>
      </c>
      <c r="T1019" s="332" t="s">
        <v>1059</v>
      </c>
      <c r="U1019" s="332">
        <v>1279</v>
      </c>
      <c r="V1019" s="344"/>
    </row>
    <row r="1020" spans="1:22" ht="40.5" customHeight="1" x14ac:dyDescent="0.2">
      <c r="A1020" s="277">
        <f>IF(B1020="","",COUNT('Diário 5º PA'!$A$5:$A$2634)+ROW()-4)</f>
        <v>2327</v>
      </c>
      <c r="B1020" s="278">
        <v>44356</v>
      </c>
      <c r="C1020" s="335">
        <v>44348</v>
      </c>
      <c r="D1020" s="255" t="s">
        <v>88</v>
      </c>
      <c r="E1020" s="255" t="s">
        <v>173</v>
      </c>
      <c r="F1020" s="258">
        <v>3308.4</v>
      </c>
      <c r="G1020" s="255" t="s">
        <v>4919</v>
      </c>
      <c r="H1020" s="255" t="s">
        <v>114</v>
      </c>
      <c r="I1020" s="250" t="s">
        <v>1259</v>
      </c>
      <c r="J1020" s="255" t="s">
        <v>114</v>
      </c>
      <c r="K1020" s="255" t="s">
        <v>466</v>
      </c>
      <c r="L1020" s="250" t="s">
        <v>171</v>
      </c>
      <c r="M1020" s="278" t="s">
        <v>114</v>
      </c>
      <c r="N1020" s="278">
        <v>44356</v>
      </c>
      <c r="O1020" s="329" t="s">
        <v>67</v>
      </c>
      <c r="P1020" s="330">
        <f t="shared" ref="P1020:Q1020" si="1016">IF(B1020=0,0,IF(YEAR(B1020)=$Q$1,MONTH(B1020)-$P$1+1,(YEAR(B1020)-$Q$1)*12-$P$1+1+MONTH(B1020)))</f>
        <v>6</v>
      </c>
      <c r="Q1020" s="330">
        <f t="shared" si="1016"/>
        <v>6</v>
      </c>
      <c r="R1020" s="331" t="str">
        <f t="shared" si="1"/>
        <v>Gastos_com_Pessoal</v>
      </c>
      <c r="S1020" s="331" t="str">
        <f>IF(D1020="","",IF(OR(D1020=Plano!$A$1,D1020=Plano!$B$1),"entrada","saída"))</f>
        <v>saída</v>
      </c>
      <c r="T1020" s="332" t="s">
        <v>114</v>
      </c>
      <c r="U1020" s="332" t="s">
        <v>114</v>
      </c>
      <c r="V1020" s="344"/>
    </row>
    <row r="1021" spans="1:22" ht="43.5" customHeight="1" x14ac:dyDescent="0.2">
      <c r="A1021" s="277">
        <f>IF(B1021="","",COUNT('Diário 5º PA'!$A$5:$A$2634)+ROW()-4)</f>
        <v>2328</v>
      </c>
      <c r="B1021" s="278">
        <v>44356</v>
      </c>
      <c r="C1021" s="335">
        <v>44348</v>
      </c>
      <c r="D1021" s="255" t="s">
        <v>99</v>
      </c>
      <c r="E1021" s="255" t="s">
        <v>272</v>
      </c>
      <c r="F1021" s="258">
        <v>10.45</v>
      </c>
      <c r="G1021" s="255" t="s">
        <v>1326</v>
      </c>
      <c r="H1021" s="252" t="s">
        <v>132</v>
      </c>
      <c r="I1021" s="250" t="s">
        <v>949</v>
      </c>
      <c r="J1021" s="255" t="s">
        <v>950</v>
      </c>
      <c r="K1021" s="255" t="s">
        <v>951</v>
      </c>
      <c r="L1021" s="250" t="s">
        <v>947</v>
      </c>
      <c r="M1021" s="336" t="s">
        <v>114</v>
      </c>
      <c r="N1021" s="278">
        <v>44356</v>
      </c>
      <c r="O1021" s="329" t="s">
        <v>67</v>
      </c>
      <c r="P1021" s="330">
        <f t="shared" ref="P1021:Q1021" si="1017">IF(B1021=0,0,IF(YEAR(B1021)=$Q$1,MONTH(B1021)-$P$1+1,(YEAR(B1021)-$Q$1)*12-$P$1+1+MONTH(B1021)))</f>
        <v>6</v>
      </c>
      <c r="Q1021" s="330">
        <f t="shared" si="1017"/>
        <v>6</v>
      </c>
      <c r="R1021" s="331" t="str">
        <f t="shared" si="1"/>
        <v>Gastos_Gerais</v>
      </c>
      <c r="S1021" s="331" t="str">
        <f>IF(D1021="","",IF(OR(D1021=Plano!$A$1,D1021=Plano!$B$1),"entrada","saída"))</f>
        <v>saída</v>
      </c>
      <c r="T1021" s="332" t="s">
        <v>114</v>
      </c>
      <c r="U1021" s="332" t="s">
        <v>114</v>
      </c>
      <c r="V1021" s="344"/>
    </row>
    <row r="1022" spans="1:22" ht="54" customHeight="1" x14ac:dyDescent="0.2">
      <c r="A1022" s="277">
        <f>IF(B1022="","",COUNT('Diário 5º PA'!$A$5:$A$2634)+ROW()-4)</f>
        <v>2329</v>
      </c>
      <c r="B1022" s="278">
        <v>44356</v>
      </c>
      <c r="C1022" s="335">
        <v>44348</v>
      </c>
      <c r="D1022" s="255" t="s">
        <v>99</v>
      </c>
      <c r="E1022" s="255" t="s">
        <v>272</v>
      </c>
      <c r="F1022" s="258">
        <v>10.45</v>
      </c>
      <c r="G1022" s="255" t="s">
        <v>1246</v>
      </c>
      <c r="H1022" s="252" t="s">
        <v>131</v>
      </c>
      <c r="I1022" s="250" t="s">
        <v>949</v>
      </c>
      <c r="J1022" s="255" t="s">
        <v>950</v>
      </c>
      <c r="K1022" s="255" t="s">
        <v>951</v>
      </c>
      <c r="L1022" s="250" t="s">
        <v>947</v>
      </c>
      <c r="M1022" s="336" t="s">
        <v>114</v>
      </c>
      <c r="N1022" s="278">
        <v>44356</v>
      </c>
      <c r="O1022" s="329" t="s">
        <v>67</v>
      </c>
      <c r="P1022" s="330">
        <f t="shared" ref="P1022:Q1022" si="1018">IF(B1022=0,0,IF(YEAR(B1022)=$Q$1,MONTH(B1022)-$P$1+1,(YEAR(B1022)-$Q$1)*12-$P$1+1+MONTH(B1022)))</f>
        <v>6</v>
      </c>
      <c r="Q1022" s="330">
        <f t="shared" si="1018"/>
        <v>6</v>
      </c>
      <c r="R1022" s="331" t="str">
        <f t="shared" si="1"/>
        <v>Gastos_Gerais</v>
      </c>
      <c r="S1022" s="331" t="str">
        <f>IF(D1022="","",IF(OR(D1022=Plano!$A$1,D1022=Plano!$B$1),"entrada","saída"))</f>
        <v>saída</v>
      </c>
      <c r="T1022" s="332" t="s">
        <v>114</v>
      </c>
      <c r="U1022" s="332" t="s">
        <v>114</v>
      </c>
      <c r="V1022" s="344"/>
    </row>
    <row r="1023" spans="1:22" ht="66.75" customHeight="1" x14ac:dyDescent="0.2">
      <c r="A1023" s="277">
        <f>IF(B1023="","",COUNT('Diário 5º PA'!$A$5:$A$2634)+ROW()-4)</f>
        <v>2330</v>
      </c>
      <c r="B1023" s="278">
        <v>44357</v>
      </c>
      <c r="C1023" s="249">
        <v>44317</v>
      </c>
      <c r="D1023" s="255" t="s">
        <v>99</v>
      </c>
      <c r="E1023" s="255" t="s">
        <v>246</v>
      </c>
      <c r="F1023" s="258">
        <v>-158.46</v>
      </c>
      <c r="G1023" s="255" t="s">
        <v>4920</v>
      </c>
      <c r="H1023" s="255" t="s">
        <v>115</v>
      </c>
      <c r="I1023" s="250" t="s">
        <v>983</v>
      </c>
      <c r="J1023" s="255" t="s">
        <v>850</v>
      </c>
      <c r="K1023" s="255" t="s">
        <v>946</v>
      </c>
      <c r="L1023" s="250" t="s">
        <v>947</v>
      </c>
      <c r="M1023" s="277" t="s">
        <v>114</v>
      </c>
      <c r="N1023" s="278">
        <v>44357</v>
      </c>
      <c r="O1023" s="329" t="s">
        <v>67</v>
      </c>
      <c r="P1023" s="330">
        <f t="shared" ref="P1023:Q1023" si="1019">IF(B1023=0,0,IF(YEAR(B1023)=$Q$1,MONTH(B1023)-$P$1+1,(YEAR(B1023)-$Q$1)*12-$P$1+1+MONTH(B1023)))</f>
        <v>6</v>
      </c>
      <c r="Q1023" s="330">
        <f t="shared" si="1019"/>
        <v>5</v>
      </c>
      <c r="R1023" s="331" t="str">
        <f t="shared" si="1"/>
        <v>Gastos_Gerais</v>
      </c>
      <c r="S1023" s="331" t="str">
        <f>IF(D1023="","",IF(OR(D1023=Plano!$A$1,D1023=Plano!$B$1),"entrada","saída"))</f>
        <v>saída</v>
      </c>
      <c r="T1023" s="332" t="s">
        <v>114</v>
      </c>
      <c r="U1023" s="332" t="s">
        <v>114</v>
      </c>
      <c r="V1023" s="344"/>
    </row>
    <row r="1024" spans="1:22" ht="76.5" customHeight="1" x14ac:dyDescent="0.2">
      <c r="A1024" s="277">
        <f>IF(B1024="","",COUNT('Diário 5º PA'!$A$5:$A$2634)+ROW()-4)</f>
        <v>2331</v>
      </c>
      <c r="B1024" s="278">
        <v>44357</v>
      </c>
      <c r="C1024" s="259">
        <v>44317</v>
      </c>
      <c r="D1024" s="252" t="s">
        <v>99</v>
      </c>
      <c r="E1024" s="252" t="s">
        <v>352</v>
      </c>
      <c r="F1024" s="257">
        <v>2850</v>
      </c>
      <c r="G1024" s="252" t="s">
        <v>564</v>
      </c>
      <c r="H1024" s="252" t="s">
        <v>131</v>
      </c>
      <c r="I1024" s="252" t="s">
        <v>1332</v>
      </c>
      <c r="J1024" s="250" t="s">
        <v>565</v>
      </c>
      <c r="K1024" s="255" t="s">
        <v>991</v>
      </c>
      <c r="L1024" s="250" t="s">
        <v>1016</v>
      </c>
      <c r="M1024" s="277" t="s">
        <v>1061</v>
      </c>
      <c r="N1024" s="278">
        <v>44349</v>
      </c>
      <c r="O1024" s="329" t="s">
        <v>67</v>
      </c>
      <c r="P1024" s="330">
        <f t="shared" ref="P1024:Q1024" si="1020">IF(B1024=0,0,IF(YEAR(B1024)=$Q$1,MONTH(B1024)-$P$1+1,(YEAR(B1024)-$Q$1)*12-$P$1+1+MONTH(B1024)))</f>
        <v>6</v>
      </c>
      <c r="Q1024" s="330">
        <f t="shared" si="1020"/>
        <v>5</v>
      </c>
      <c r="R1024" s="331" t="str">
        <f t="shared" si="1"/>
        <v>Gastos_Gerais</v>
      </c>
      <c r="S1024" s="331" t="str">
        <f>IF(D1024="","",IF(OR(D1024=Plano!$A$1,D1024=Plano!$B$1),"entrada","saída"))</f>
        <v>saída</v>
      </c>
      <c r="T1024" s="332" t="s">
        <v>1059</v>
      </c>
      <c r="U1024" s="332">
        <v>1280</v>
      </c>
      <c r="V1024" s="344"/>
    </row>
    <row r="1025" spans="1:22" ht="97.5" customHeight="1" x14ac:dyDescent="0.2">
      <c r="A1025" s="277">
        <f>IF(B1025="","",COUNT('Diário 5º PA'!$A$5:$A$2634)+ROW()-4)</f>
        <v>2332</v>
      </c>
      <c r="B1025" s="278">
        <v>44357</v>
      </c>
      <c r="C1025" s="259">
        <v>44317</v>
      </c>
      <c r="D1025" s="255" t="s">
        <v>99</v>
      </c>
      <c r="E1025" s="255" t="s">
        <v>246</v>
      </c>
      <c r="F1025" s="257">
        <v>600</v>
      </c>
      <c r="G1025" s="252" t="s">
        <v>1369</v>
      </c>
      <c r="H1025" s="255" t="s">
        <v>115</v>
      </c>
      <c r="I1025" s="250" t="s">
        <v>1370</v>
      </c>
      <c r="J1025" s="252" t="s">
        <v>1371</v>
      </c>
      <c r="K1025" s="255" t="s">
        <v>560</v>
      </c>
      <c r="L1025" s="250" t="s">
        <v>1016</v>
      </c>
      <c r="M1025" s="277" t="s">
        <v>4921</v>
      </c>
      <c r="N1025" s="278">
        <v>44351</v>
      </c>
      <c r="O1025" s="329" t="s">
        <v>67</v>
      </c>
      <c r="P1025" s="330">
        <f t="shared" ref="P1025:Q1025" si="1021">IF(B1025=0,0,IF(YEAR(B1025)=$Q$1,MONTH(B1025)-$P$1+1,(YEAR(B1025)-$Q$1)*12-$P$1+1+MONTH(B1025)))</f>
        <v>6</v>
      </c>
      <c r="Q1025" s="330">
        <f t="shared" si="1021"/>
        <v>5</v>
      </c>
      <c r="R1025" s="331" t="str">
        <f t="shared" si="1"/>
        <v>Gastos_Gerais</v>
      </c>
      <c r="S1025" s="331" t="str">
        <f>IF(D1025="","",IF(OR(D1025=Plano!$A$1,D1025=Plano!$B$1),"entrada","saída"))</f>
        <v>saída</v>
      </c>
      <c r="T1025" s="332" t="s">
        <v>1059</v>
      </c>
      <c r="U1025" s="332">
        <v>1144</v>
      </c>
      <c r="V1025" s="344"/>
    </row>
    <row r="1026" spans="1:22" ht="188.25" customHeight="1" x14ac:dyDescent="0.2">
      <c r="A1026" s="277">
        <f>IF(B1026="","",COUNT('Diário 5º PA'!$A$5:$A$2634)+ROW()-4)</f>
        <v>2333</v>
      </c>
      <c r="B1026" s="278">
        <v>44357</v>
      </c>
      <c r="C1026" s="256">
        <v>44317</v>
      </c>
      <c r="D1026" s="255" t="s">
        <v>99</v>
      </c>
      <c r="E1026" s="255" t="s">
        <v>224</v>
      </c>
      <c r="F1026" s="258">
        <v>49.99</v>
      </c>
      <c r="G1026" s="255" t="s">
        <v>642</v>
      </c>
      <c r="H1026" s="255" t="s">
        <v>130</v>
      </c>
      <c r="I1026" s="252" t="s">
        <v>1374</v>
      </c>
      <c r="J1026" s="252" t="s">
        <v>644</v>
      </c>
      <c r="K1026" s="255" t="s">
        <v>1375</v>
      </c>
      <c r="L1026" s="250" t="s">
        <v>697</v>
      </c>
      <c r="M1026" s="336">
        <v>1298532</v>
      </c>
      <c r="N1026" s="278">
        <v>44333</v>
      </c>
      <c r="O1026" s="329" t="s">
        <v>67</v>
      </c>
      <c r="P1026" s="330">
        <f t="shared" ref="P1026:Q1026" si="1022">IF(B1026=0,0,IF(YEAR(B1026)=$Q$1,MONTH(B1026)-$P$1+1,(YEAR(B1026)-$Q$1)*12-$P$1+1+MONTH(B1026)))</f>
        <v>6</v>
      </c>
      <c r="Q1026" s="330">
        <f t="shared" si="1022"/>
        <v>5</v>
      </c>
      <c r="R1026" s="331" t="str">
        <f t="shared" si="1"/>
        <v>Gastos_Gerais</v>
      </c>
      <c r="S1026" s="331" t="str">
        <f>IF(D1026="","",IF(OR(D1026=Plano!$A$1,D1026=Plano!$B$1),"entrada","saída"))</f>
        <v>saída</v>
      </c>
      <c r="T1026" s="332" t="s">
        <v>1082</v>
      </c>
      <c r="U1026" s="332">
        <v>277</v>
      </c>
      <c r="V1026" s="344"/>
    </row>
    <row r="1027" spans="1:22" ht="114.75" customHeight="1" x14ac:dyDescent="0.2">
      <c r="A1027" s="277">
        <f>IF(B1027="","",COUNT('Diário 5º PA'!$A$5:$A$2634)+ROW()-4)</f>
        <v>2334</v>
      </c>
      <c r="B1027" s="278">
        <v>44357</v>
      </c>
      <c r="C1027" s="256">
        <v>44317</v>
      </c>
      <c r="D1027" s="255" t="s">
        <v>99</v>
      </c>
      <c r="E1027" s="255" t="s">
        <v>266</v>
      </c>
      <c r="F1027" s="258">
        <v>255.72</v>
      </c>
      <c r="G1027" s="255" t="s">
        <v>480</v>
      </c>
      <c r="H1027" s="255" t="s">
        <v>115</v>
      </c>
      <c r="I1027" s="252" t="s">
        <v>1372</v>
      </c>
      <c r="J1027" s="252" t="s">
        <v>482</v>
      </c>
      <c r="K1027" s="255" t="s">
        <v>560</v>
      </c>
      <c r="L1027" s="250" t="s">
        <v>1016</v>
      </c>
      <c r="M1027" s="277" t="s">
        <v>4799</v>
      </c>
      <c r="N1027" s="278">
        <v>44321</v>
      </c>
      <c r="O1027" s="329" t="s">
        <v>67</v>
      </c>
      <c r="P1027" s="330">
        <f t="shared" ref="P1027:Q1027" si="1023">IF(B1027=0,0,IF(YEAR(B1027)=$Q$1,MONTH(B1027)-$P$1+1,(YEAR(B1027)-$Q$1)*12-$P$1+1+MONTH(B1027)))</f>
        <v>6</v>
      </c>
      <c r="Q1027" s="330">
        <f t="shared" si="1023"/>
        <v>5</v>
      </c>
      <c r="R1027" s="331" t="str">
        <f t="shared" si="1"/>
        <v>Gastos_Gerais</v>
      </c>
      <c r="S1027" s="331" t="str">
        <f>IF(D1027="","",IF(OR(D1027=Plano!$A$1,D1027=Plano!$B$1),"entrada","saída"))</f>
        <v>saída</v>
      </c>
      <c r="T1027" s="332" t="s">
        <v>1059</v>
      </c>
      <c r="U1027" s="332">
        <v>1133</v>
      </c>
      <c r="V1027" s="344"/>
    </row>
    <row r="1028" spans="1:22" ht="126" customHeight="1" x14ac:dyDescent="0.2">
      <c r="A1028" s="277">
        <f>IF(B1028="","",COUNT('Diário 5º PA'!$A$5:$A$2634)+ROW()-4)</f>
        <v>2335</v>
      </c>
      <c r="B1028" s="278">
        <v>44357</v>
      </c>
      <c r="C1028" s="259">
        <v>44317</v>
      </c>
      <c r="D1028" s="252" t="s">
        <v>99</v>
      </c>
      <c r="E1028" s="252" t="s">
        <v>384</v>
      </c>
      <c r="F1028" s="257">
        <v>5144.47</v>
      </c>
      <c r="G1028" s="252" t="s">
        <v>4922</v>
      </c>
      <c r="H1028" s="252" t="s">
        <v>125</v>
      </c>
      <c r="I1028" s="252" t="s">
        <v>2108</v>
      </c>
      <c r="J1028" s="250" t="s">
        <v>2109</v>
      </c>
      <c r="K1028" s="255" t="s">
        <v>991</v>
      </c>
      <c r="L1028" s="250" t="s">
        <v>1016</v>
      </c>
      <c r="M1028" s="277" t="s">
        <v>1299</v>
      </c>
      <c r="N1028" s="278">
        <v>44356</v>
      </c>
      <c r="O1028" s="329" t="s">
        <v>67</v>
      </c>
      <c r="P1028" s="330">
        <f t="shared" ref="P1028:Q1028" si="1024">IF(B1028=0,0,IF(YEAR(B1028)=$Q$1,MONTH(B1028)-$P$1+1,(YEAR(B1028)-$Q$1)*12-$P$1+1+MONTH(B1028)))</f>
        <v>6</v>
      </c>
      <c r="Q1028" s="330">
        <f t="shared" si="1024"/>
        <v>5</v>
      </c>
      <c r="R1028" s="331" t="str">
        <f t="shared" si="1"/>
        <v>Gastos_Gerais</v>
      </c>
      <c r="S1028" s="331" t="str">
        <f>IF(D1028="","",IF(OR(D1028=Plano!$A$1,D1028=Plano!$B$1),"entrada","saída"))</f>
        <v>saída</v>
      </c>
      <c r="T1028" s="332" t="s">
        <v>1059</v>
      </c>
      <c r="U1028" s="332">
        <v>1507</v>
      </c>
      <c r="V1028" s="344"/>
    </row>
    <row r="1029" spans="1:22" ht="125.25" customHeight="1" x14ac:dyDescent="0.2">
      <c r="A1029" s="277">
        <f>IF(B1029="","",COUNT('Diário 5º PA'!$A$5:$A$2634)+ROW()-4)</f>
        <v>2336</v>
      </c>
      <c r="B1029" s="278">
        <v>44357</v>
      </c>
      <c r="C1029" s="259">
        <v>44317</v>
      </c>
      <c r="D1029" s="252" t="s">
        <v>99</v>
      </c>
      <c r="E1029" s="252" t="s">
        <v>370</v>
      </c>
      <c r="F1029" s="257">
        <v>5488</v>
      </c>
      <c r="G1029" s="252" t="s">
        <v>4923</v>
      </c>
      <c r="H1029" s="252" t="s">
        <v>125</v>
      </c>
      <c r="I1029" s="252" t="s">
        <v>2105</v>
      </c>
      <c r="J1029" s="250" t="s">
        <v>2106</v>
      </c>
      <c r="K1029" s="255" t="s">
        <v>991</v>
      </c>
      <c r="L1029" s="250" t="s">
        <v>1016</v>
      </c>
      <c r="M1029" s="277">
        <v>232</v>
      </c>
      <c r="N1029" s="278">
        <v>44356</v>
      </c>
      <c r="O1029" s="329" t="s">
        <v>67</v>
      </c>
      <c r="P1029" s="330">
        <f t="shared" ref="P1029:Q1029" si="1025">IF(B1029=0,0,IF(YEAR(B1029)=$Q$1,MONTH(B1029)-$P$1+1,(YEAR(B1029)-$Q$1)*12-$P$1+1+MONTH(B1029)))</f>
        <v>6</v>
      </c>
      <c r="Q1029" s="330">
        <f t="shared" si="1025"/>
        <v>5</v>
      </c>
      <c r="R1029" s="331" t="str">
        <f t="shared" si="1"/>
        <v>Gastos_Gerais</v>
      </c>
      <c r="S1029" s="331" t="str">
        <f>IF(D1029="","",IF(OR(D1029=Plano!$A$1,D1029=Plano!$B$1),"entrada","saída"))</f>
        <v>saída</v>
      </c>
      <c r="T1029" s="332" t="s">
        <v>1059</v>
      </c>
      <c r="U1029" s="332">
        <v>1508</v>
      </c>
      <c r="V1029" s="344"/>
    </row>
    <row r="1030" spans="1:22" ht="188.25" customHeight="1" x14ac:dyDescent="0.2">
      <c r="A1030" s="277">
        <f>IF(B1030="","",COUNT('Diário 5º PA'!$A$5:$A$2634)+ROW()-4)</f>
        <v>2337</v>
      </c>
      <c r="B1030" s="278">
        <v>44357</v>
      </c>
      <c r="C1030" s="259">
        <v>44348</v>
      </c>
      <c r="D1030" s="252" t="s">
        <v>99</v>
      </c>
      <c r="E1030" s="252" t="s">
        <v>364</v>
      </c>
      <c r="F1030" s="257">
        <v>4767.21</v>
      </c>
      <c r="G1030" s="252" t="s">
        <v>4924</v>
      </c>
      <c r="H1030" s="252" t="s">
        <v>123</v>
      </c>
      <c r="I1030" s="250" t="s">
        <v>1450</v>
      </c>
      <c r="J1030" s="250" t="s">
        <v>1451</v>
      </c>
      <c r="K1030" s="255" t="s">
        <v>991</v>
      </c>
      <c r="L1030" s="250" t="s">
        <v>1016</v>
      </c>
      <c r="M1030" s="277" t="s">
        <v>1052</v>
      </c>
      <c r="N1030" s="278">
        <v>44357</v>
      </c>
      <c r="O1030" s="329" t="s">
        <v>67</v>
      </c>
      <c r="P1030" s="330">
        <f t="shared" ref="P1030:Q1030" si="1026">IF(B1030=0,0,IF(YEAR(B1030)=$Q$1,MONTH(B1030)-$P$1+1,(YEAR(B1030)-$Q$1)*12-$P$1+1+MONTH(B1030)))</f>
        <v>6</v>
      </c>
      <c r="Q1030" s="330">
        <f t="shared" si="1026"/>
        <v>6</v>
      </c>
      <c r="R1030" s="331" t="str">
        <f t="shared" si="1"/>
        <v>Gastos_Gerais</v>
      </c>
      <c r="S1030" s="331" t="str">
        <f>IF(D1030="","",IF(OR(D1030=Plano!$A$1,D1030=Plano!$B$1),"entrada","saída"))</f>
        <v>saída</v>
      </c>
      <c r="T1030" s="332" t="s">
        <v>1059</v>
      </c>
      <c r="U1030" s="332">
        <v>1594</v>
      </c>
      <c r="V1030" s="344"/>
    </row>
    <row r="1031" spans="1:22" ht="66.75" customHeight="1" x14ac:dyDescent="0.2">
      <c r="A1031" s="277">
        <f>IF(B1031="","",COUNT('Diário 5º PA'!$A$5:$A$2634)+ROW()-4)</f>
        <v>2338</v>
      </c>
      <c r="B1031" s="278">
        <v>44357</v>
      </c>
      <c r="C1031" s="335">
        <v>44348</v>
      </c>
      <c r="D1031" s="255" t="s">
        <v>99</v>
      </c>
      <c r="E1031" s="255" t="s">
        <v>272</v>
      </c>
      <c r="F1031" s="258">
        <v>10.45</v>
      </c>
      <c r="G1031" s="255" t="s">
        <v>4925</v>
      </c>
      <c r="H1031" s="252" t="s">
        <v>116</v>
      </c>
      <c r="I1031" s="250" t="s">
        <v>949</v>
      </c>
      <c r="J1031" s="255" t="s">
        <v>950</v>
      </c>
      <c r="K1031" s="255" t="s">
        <v>951</v>
      </c>
      <c r="L1031" s="250" t="s">
        <v>947</v>
      </c>
      <c r="M1031" s="336" t="s">
        <v>114</v>
      </c>
      <c r="N1031" s="278">
        <v>44357</v>
      </c>
      <c r="O1031" s="329" t="s">
        <v>67</v>
      </c>
      <c r="P1031" s="330">
        <f t="shared" ref="P1031:Q1031" si="1027">IF(B1031=0,0,IF(YEAR(B1031)=$Q$1,MONTH(B1031)-$P$1+1,(YEAR(B1031)-$Q$1)*12-$P$1+1+MONTH(B1031)))</f>
        <v>6</v>
      </c>
      <c r="Q1031" s="330">
        <f t="shared" si="1027"/>
        <v>6</v>
      </c>
      <c r="R1031" s="331" t="str">
        <f t="shared" si="1"/>
        <v>Gastos_Gerais</v>
      </c>
      <c r="S1031" s="331" t="str">
        <f>IF(D1031="","",IF(OR(D1031=Plano!$A$1,D1031=Plano!$B$1),"entrada","saída"))</f>
        <v>saída</v>
      </c>
      <c r="T1031" s="332" t="s">
        <v>114</v>
      </c>
      <c r="U1031" s="332" t="s">
        <v>114</v>
      </c>
      <c r="V1031" s="344"/>
    </row>
    <row r="1032" spans="1:22" ht="42" customHeight="1" x14ac:dyDescent="0.2">
      <c r="A1032" s="277">
        <f>IF(B1032="","",COUNT('Diário 5º PA'!$A$5:$A$2634)+ROW()-4)</f>
        <v>2339</v>
      </c>
      <c r="B1032" s="278">
        <v>44357</v>
      </c>
      <c r="C1032" s="335">
        <v>44348</v>
      </c>
      <c r="D1032" s="255" t="s">
        <v>99</v>
      </c>
      <c r="E1032" s="255" t="s">
        <v>272</v>
      </c>
      <c r="F1032" s="258">
        <v>10.45</v>
      </c>
      <c r="G1032" s="255" t="s">
        <v>4308</v>
      </c>
      <c r="H1032" s="252" t="s">
        <v>125</v>
      </c>
      <c r="I1032" s="250" t="s">
        <v>949</v>
      </c>
      <c r="J1032" s="255" t="s">
        <v>950</v>
      </c>
      <c r="K1032" s="255" t="s">
        <v>951</v>
      </c>
      <c r="L1032" s="250" t="s">
        <v>947</v>
      </c>
      <c r="M1032" s="336" t="s">
        <v>114</v>
      </c>
      <c r="N1032" s="278">
        <v>44357</v>
      </c>
      <c r="O1032" s="329" t="s">
        <v>67</v>
      </c>
      <c r="P1032" s="330">
        <f t="shared" ref="P1032:Q1032" si="1028">IF(B1032=0,0,IF(YEAR(B1032)=$Q$1,MONTH(B1032)-$P$1+1,(YEAR(B1032)-$Q$1)*12-$P$1+1+MONTH(B1032)))</f>
        <v>6</v>
      </c>
      <c r="Q1032" s="330">
        <f t="shared" si="1028"/>
        <v>6</v>
      </c>
      <c r="R1032" s="331" t="str">
        <f t="shared" si="1"/>
        <v>Gastos_Gerais</v>
      </c>
      <c r="S1032" s="331" t="str">
        <f>IF(D1032="","",IF(OR(D1032=Plano!$A$1,D1032=Plano!$B$1),"entrada","saída"))</f>
        <v>saída</v>
      </c>
      <c r="T1032" s="332" t="s">
        <v>114</v>
      </c>
      <c r="U1032" s="332" t="s">
        <v>114</v>
      </c>
      <c r="V1032" s="344"/>
    </row>
    <row r="1033" spans="1:22" ht="59.25" customHeight="1" x14ac:dyDescent="0.2">
      <c r="A1033" s="277">
        <f>IF(B1033="","",COUNT('Diário 5º PA'!$A$5:$A$2634)+ROW()-4)</f>
        <v>2340</v>
      </c>
      <c r="B1033" s="278">
        <v>44357</v>
      </c>
      <c r="C1033" s="335">
        <v>44348</v>
      </c>
      <c r="D1033" s="255" t="s">
        <v>99</v>
      </c>
      <c r="E1033" s="255" t="s">
        <v>272</v>
      </c>
      <c r="F1033" s="258">
        <v>10.45</v>
      </c>
      <c r="G1033" s="255" t="s">
        <v>4578</v>
      </c>
      <c r="H1033" s="252" t="s">
        <v>125</v>
      </c>
      <c r="I1033" s="250" t="s">
        <v>949</v>
      </c>
      <c r="J1033" s="255" t="s">
        <v>950</v>
      </c>
      <c r="K1033" s="255" t="s">
        <v>951</v>
      </c>
      <c r="L1033" s="250" t="s">
        <v>947</v>
      </c>
      <c r="M1033" s="336" t="s">
        <v>114</v>
      </c>
      <c r="N1033" s="278">
        <v>44357</v>
      </c>
      <c r="O1033" s="329" t="s">
        <v>67</v>
      </c>
      <c r="P1033" s="330">
        <f t="shared" ref="P1033:Q1033" si="1029">IF(B1033=0,0,IF(YEAR(B1033)=$Q$1,MONTH(B1033)-$P$1+1,(YEAR(B1033)-$Q$1)*12-$P$1+1+MONTH(B1033)))</f>
        <v>6</v>
      </c>
      <c r="Q1033" s="330">
        <f t="shared" si="1029"/>
        <v>6</v>
      </c>
      <c r="R1033" s="331" t="str">
        <f t="shared" si="1"/>
        <v>Gastos_Gerais</v>
      </c>
      <c r="S1033" s="331" t="str">
        <f>IF(D1033="","",IF(OR(D1033=Plano!$A$1,D1033=Plano!$B$1),"entrada","saída"))</f>
        <v>saída</v>
      </c>
      <c r="T1033" s="332" t="s">
        <v>114</v>
      </c>
      <c r="U1033" s="332" t="s">
        <v>114</v>
      </c>
      <c r="V1033" s="344"/>
    </row>
    <row r="1034" spans="1:22" ht="44.25" customHeight="1" x14ac:dyDescent="0.2">
      <c r="A1034" s="277">
        <f>IF(B1034="","",COUNT('Diário 5º PA'!$A$5:$A$2634)+ROW()-4)</f>
        <v>2341</v>
      </c>
      <c r="B1034" s="278">
        <v>44357</v>
      </c>
      <c r="C1034" s="335">
        <v>44348</v>
      </c>
      <c r="D1034" s="255" t="s">
        <v>99</v>
      </c>
      <c r="E1034" s="255" t="s">
        <v>272</v>
      </c>
      <c r="F1034" s="258">
        <v>10.45</v>
      </c>
      <c r="G1034" s="255" t="s">
        <v>4231</v>
      </c>
      <c r="H1034" s="252" t="s">
        <v>131</v>
      </c>
      <c r="I1034" s="250" t="s">
        <v>949</v>
      </c>
      <c r="J1034" s="255" t="s">
        <v>950</v>
      </c>
      <c r="K1034" s="255" t="s">
        <v>951</v>
      </c>
      <c r="L1034" s="250" t="s">
        <v>947</v>
      </c>
      <c r="M1034" s="336" t="s">
        <v>114</v>
      </c>
      <c r="N1034" s="278">
        <v>44357</v>
      </c>
      <c r="O1034" s="329" t="s">
        <v>67</v>
      </c>
      <c r="P1034" s="330">
        <f t="shared" ref="P1034:Q1034" si="1030">IF(B1034=0,0,IF(YEAR(B1034)=$Q$1,MONTH(B1034)-$P$1+1,(YEAR(B1034)-$Q$1)*12-$P$1+1+MONTH(B1034)))</f>
        <v>6</v>
      </c>
      <c r="Q1034" s="330">
        <f t="shared" si="1030"/>
        <v>6</v>
      </c>
      <c r="R1034" s="331" t="str">
        <f t="shared" si="1"/>
        <v>Gastos_Gerais</v>
      </c>
      <c r="S1034" s="331" t="str">
        <f>IF(D1034="","",IF(OR(D1034=Plano!$A$1,D1034=Plano!$B$1),"entrada","saída"))</f>
        <v>saída</v>
      </c>
      <c r="T1034" s="332" t="s">
        <v>114</v>
      </c>
      <c r="U1034" s="332" t="s">
        <v>114</v>
      </c>
      <c r="V1034" s="344"/>
    </row>
    <row r="1035" spans="1:22" ht="51.75" customHeight="1" x14ac:dyDescent="0.2">
      <c r="A1035" s="277">
        <f>IF(B1035="","",COUNT('Diário 5º PA'!$A$5:$A$2634)+ROW()-4)</f>
        <v>2342</v>
      </c>
      <c r="B1035" s="278">
        <v>44357</v>
      </c>
      <c r="C1035" s="335">
        <v>44348</v>
      </c>
      <c r="D1035" s="255" t="s">
        <v>99</v>
      </c>
      <c r="E1035" s="255" t="s">
        <v>272</v>
      </c>
      <c r="F1035" s="258">
        <v>10.45</v>
      </c>
      <c r="G1035" s="255" t="s">
        <v>4926</v>
      </c>
      <c r="H1035" s="252" t="s">
        <v>123</v>
      </c>
      <c r="I1035" s="250" t="s">
        <v>949</v>
      </c>
      <c r="J1035" s="255" t="s">
        <v>950</v>
      </c>
      <c r="K1035" s="255" t="s">
        <v>951</v>
      </c>
      <c r="L1035" s="250" t="s">
        <v>947</v>
      </c>
      <c r="M1035" s="336" t="s">
        <v>114</v>
      </c>
      <c r="N1035" s="278">
        <v>44357</v>
      </c>
      <c r="O1035" s="329" t="s">
        <v>67</v>
      </c>
      <c r="P1035" s="330">
        <f t="shared" ref="P1035:Q1035" si="1031">IF(B1035=0,0,IF(YEAR(B1035)=$Q$1,MONTH(B1035)-$P$1+1,(YEAR(B1035)-$Q$1)*12-$P$1+1+MONTH(B1035)))</f>
        <v>6</v>
      </c>
      <c r="Q1035" s="330">
        <f t="shared" si="1031"/>
        <v>6</v>
      </c>
      <c r="R1035" s="331" t="str">
        <f t="shared" si="1"/>
        <v>Gastos_Gerais</v>
      </c>
      <c r="S1035" s="331" t="str">
        <f>IF(D1035="","",IF(OR(D1035=Plano!$A$1,D1035=Plano!$B$1),"entrada","saída"))</f>
        <v>saída</v>
      </c>
      <c r="T1035" s="332" t="s">
        <v>114</v>
      </c>
      <c r="U1035" s="332" t="s">
        <v>114</v>
      </c>
      <c r="V1035" s="344"/>
    </row>
    <row r="1036" spans="1:22" ht="87" customHeight="1" x14ac:dyDescent="0.2">
      <c r="A1036" s="277">
        <f>IF(B1036="","",COUNT('Diário 5º PA'!$A$5:$A$2634)+ROW()-4)</f>
        <v>2343</v>
      </c>
      <c r="B1036" s="278">
        <v>44357</v>
      </c>
      <c r="C1036" s="335">
        <v>44317</v>
      </c>
      <c r="D1036" s="255" t="s">
        <v>104</v>
      </c>
      <c r="E1036" s="255" t="s">
        <v>104</v>
      </c>
      <c r="F1036" s="258">
        <v>2694.72</v>
      </c>
      <c r="G1036" s="255" t="s">
        <v>4622</v>
      </c>
      <c r="H1036" s="252" t="s">
        <v>104</v>
      </c>
      <c r="I1036" s="250" t="s">
        <v>1602</v>
      </c>
      <c r="J1036" s="255" t="s">
        <v>1393</v>
      </c>
      <c r="K1036" s="255" t="s">
        <v>1015</v>
      </c>
      <c r="L1036" s="250" t="s">
        <v>992</v>
      </c>
      <c r="M1036" s="277" t="s">
        <v>1049</v>
      </c>
      <c r="N1036" s="278">
        <v>44356</v>
      </c>
      <c r="O1036" s="329" t="s">
        <v>70</v>
      </c>
      <c r="P1036" s="330">
        <f t="shared" ref="P1036:Q1036" si="1032">IF(B1036=0,0,IF(YEAR(B1036)=$Q$1,MONTH(B1036)-$P$1+1,(YEAR(B1036)-$Q$1)*12-$P$1+1+MONTH(B1036)))</f>
        <v>6</v>
      </c>
      <c r="Q1036" s="330">
        <f t="shared" si="1032"/>
        <v>5</v>
      </c>
      <c r="R1036" s="331" t="str">
        <f t="shared" si="1"/>
        <v>Gastos_custeados_por_captação</v>
      </c>
      <c r="S1036" s="331" t="str">
        <f>IF(D1036="","",IF(OR(D1036=Plano!$A$1,D1036=Plano!$B$1),"entrada","saída"))</f>
        <v>saída</v>
      </c>
      <c r="T1036" s="332" t="s">
        <v>1082</v>
      </c>
      <c r="U1036" s="332">
        <v>1487</v>
      </c>
      <c r="V1036" s="344"/>
    </row>
    <row r="1037" spans="1:22" ht="88.5" customHeight="1" x14ac:dyDescent="0.2">
      <c r="A1037" s="277">
        <f>IF(B1037="","",COUNT('Diário 5º PA'!$A$5:$A$2634)+ROW()-4)</f>
        <v>2344</v>
      </c>
      <c r="B1037" s="278">
        <v>44357</v>
      </c>
      <c r="C1037" s="335">
        <v>44317</v>
      </c>
      <c r="D1037" s="255" t="s">
        <v>104</v>
      </c>
      <c r="E1037" s="255" t="s">
        <v>104</v>
      </c>
      <c r="F1037" s="258">
        <v>3426.15</v>
      </c>
      <c r="G1037" s="255" t="s">
        <v>4621</v>
      </c>
      <c r="H1037" s="252" t="s">
        <v>104</v>
      </c>
      <c r="I1037" s="250" t="s">
        <v>1405</v>
      </c>
      <c r="J1037" s="255" t="s">
        <v>1406</v>
      </c>
      <c r="K1037" s="255" t="s">
        <v>1015</v>
      </c>
      <c r="L1037" s="250" t="s">
        <v>992</v>
      </c>
      <c r="M1037" s="277" t="s">
        <v>1256</v>
      </c>
      <c r="N1037" s="278">
        <v>44356</v>
      </c>
      <c r="O1037" s="329" t="s">
        <v>70</v>
      </c>
      <c r="P1037" s="330">
        <f t="shared" ref="P1037:Q1037" si="1033">IF(B1037=0,0,IF(YEAR(B1037)=$Q$1,MONTH(B1037)-$P$1+1,(YEAR(B1037)-$Q$1)*12-$P$1+1+MONTH(B1037)))</f>
        <v>6</v>
      </c>
      <c r="Q1037" s="330">
        <f t="shared" si="1033"/>
        <v>5</v>
      </c>
      <c r="R1037" s="331" t="str">
        <f t="shared" si="1"/>
        <v>Gastos_custeados_por_captação</v>
      </c>
      <c r="S1037" s="331" t="str">
        <f>IF(D1037="","",IF(OR(D1037=Plano!$A$1,D1037=Plano!$B$1),"entrada","saída"))</f>
        <v>saída</v>
      </c>
      <c r="T1037" s="332" t="s">
        <v>1059</v>
      </c>
      <c r="U1037" s="332">
        <v>1485</v>
      </c>
      <c r="V1037" s="344"/>
    </row>
    <row r="1038" spans="1:22" ht="69.75" customHeight="1" x14ac:dyDescent="0.2">
      <c r="A1038" s="277">
        <f>IF(B1038="","",COUNT('Diário 5º PA'!$A$5:$A$2634)+ROW()-4)</f>
        <v>2345</v>
      </c>
      <c r="B1038" s="278">
        <v>44361</v>
      </c>
      <c r="C1038" s="256">
        <v>44317</v>
      </c>
      <c r="D1038" s="255" t="s">
        <v>99</v>
      </c>
      <c r="E1038" s="255" t="s">
        <v>306</v>
      </c>
      <c r="F1038" s="258">
        <v>-127.76</v>
      </c>
      <c r="G1038" s="255" t="s">
        <v>4927</v>
      </c>
      <c r="H1038" s="252" t="s">
        <v>115</v>
      </c>
      <c r="I1038" s="250" t="s">
        <v>983</v>
      </c>
      <c r="J1038" s="255" t="s">
        <v>850</v>
      </c>
      <c r="K1038" s="255" t="s">
        <v>946</v>
      </c>
      <c r="L1038" s="250" t="s">
        <v>947</v>
      </c>
      <c r="M1038" s="277" t="s">
        <v>114</v>
      </c>
      <c r="N1038" s="278">
        <v>44361</v>
      </c>
      <c r="O1038" s="329" t="s">
        <v>67</v>
      </c>
      <c r="P1038" s="330">
        <f t="shared" ref="P1038:Q1038" si="1034">IF(B1038=0,0,IF(YEAR(B1038)=$Q$1,MONTH(B1038)-$P$1+1,(YEAR(B1038)-$Q$1)*12-$P$1+1+MONTH(B1038)))</f>
        <v>6</v>
      </c>
      <c r="Q1038" s="330">
        <f t="shared" si="1034"/>
        <v>5</v>
      </c>
      <c r="R1038" s="331" t="str">
        <f t="shared" si="1"/>
        <v>Gastos_Gerais</v>
      </c>
      <c r="S1038" s="331" t="str">
        <f>IF(D1038="","",IF(OR(D1038=Plano!$A$1,D1038=Plano!$B$1),"entrada","saída"))</f>
        <v>saída</v>
      </c>
      <c r="T1038" s="332" t="s">
        <v>114</v>
      </c>
      <c r="U1038" s="332" t="s">
        <v>114</v>
      </c>
      <c r="V1038" s="344"/>
    </row>
    <row r="1039" spans="1:22" ht="60" customHeight="1" x14ac:dyDescent="0.2">
      <c r="A1039" s="277">
        <f>IF(B1039="","",COUNT('Diário 5º PA'!$A$5:$A$2634)+ROW()-4)</f>
        <v>2346</v>
      </c>
      <c r="B1039" s="278">
        <v>44361</v>
      </c>
      <c r="C1039" s="256">
        <v>44317</v>
      </c>
      <c r="D1039" s="255" t="s">
        <v>99</v>
      </c>
      <c r="E1039" s="255" t="s">
        <v>208</v>
      </c>
      <c r="F1039" s="258">
        <v>-1667.53</v>
      </c>
      <c r="G1039" s="255" t="s">
        <v>4928</v>
      </c>
      <c r="H1039" s="255" t="s">
        <v>115</v>
      </c>
      <c r="I1039" s="250" t="s">
        <v>983</v>
      </c>
      <c r="J1039" s="255" t="s">
        <v>850</v>
      </c>
      <c r="K1039" s="255" t="s">
        <v>946</v>
      </c>
      <c r="L1039" s="250" t="s">
        <v>947</v>
      </c>
      <c r="M1039" s="277" t="s">
        <v>114</v>
      </c>
      <c r="N1039" s="278">
        <v>44361</v>
      </c>
      <c r="O1039" s="329" t="s">
        <v>67</v>
      </c>
      <c r="P1039" s="330">
        <f t="shared" ref="P1039:Q1039" si="1035">IF(B1039=0,0,IF(YEAR(B1039)=$Q$1,MONTH(B1039)-$P$1+1,(YEAR(B1039)-$Q$1)*12-$P$1+1+MONTH(B1039)))</f>
        <v>6</v>
      </c>
      <c r="Q1039" s="330">
        <f t="shared" si="1035"/>
        <v>5</v>
      </c>
      <c r="R1039" s="331" t="str">
        <f t="shared" si="1"/>
        <v>Gastos_Gerais</v>
      </c>
      <c r="S1039" s="331" t="str">
        <f>IF(D1039="","",IF(OR(D1039=Plano!$A$1,D1039=Plano!$B$1),"entrada","saída"))</f>
        <v>saída</v>
      </c>
      <c r="T1039" s="332" t="s">
        <v>114</v>
      </c>
      <c r="U1039" s="332" t="s">
        <v>114</v>
      </c>
      <c r="V1039" s="344"/>
    </row>
    <row r="1040" spans="1:22" ht="57.75" customHeight="1" x14ac:dyDescent="0.2">
      <c r="A1040" s="277">
        <f>IF(B1040="","",COUNT('Diário 5º PA'!$A$5:$A$2634)+ROW()-4)</f>
        <v>2347</v>
      </c>
      <c r="B1040" s="278">
        <v>44361</v>
      </c>
      <c r="C1040" s="256">
        <v>44317</v>
      </c>
      <c r="D1040" s="255" t="s">
        <v>99</v>
      </c>
      <c r="E1040" s="255" t="s">
        <v>212</v>
      </c>
      <c r="F1040" s="258">
        <v>-447.21</v>
      </c>
      <c r="G1040" s="255" t="s">
        <v>4929</v>
      </c>
      <c r="H1040" s="255" t="s">
        <v>115</v>
      </c>
      <c r="I1040" s="250" t="s">
        <v>983</v>
      </c>
      <c r="J1040" s="255" t="s">
        <v>850</v>
      </c>
      <c r="K1040" s="255" t="s">
        <v>946</v>
      </c>
      <c r="L1040" s="250" t="s">
        <v>947</v>
      </c>
      <c r="M1040" s="277" t="s">
        <v>114</v>
      </c>
      <c r="N1040" s="278">
        <v>44361</v>
      </c>
      <c r="O1040" s="329" t="s">
        <v>67</v>
      </c>
      <c r="P1040" s="330">
        <f t="shared" ref="P1040:Q1040" si="1036">IF(B1040=0,0,IF(YEAR(B1040)=$Q$1,MONTH(B1040)-$P$1+1,(YEAR(B1040)-$Q$1)*12-$P$1+1+MONTH(B1040)))</f>
        <v>6</v>
      </c>
      <c r="Q1040" s="330">
        <f t="shared" si="1036"/>
        <v>5</v>
      </c>
      <c r="R1040" s="331" t="str">
        <f t="shared" si="1"/>
        <v>Gastos_Gerais</v>
      </c>
      <c r="S1040" s="331" t="str">
        <f>IF(D1040="","",IF(OR(D1040=Plano!$A$1,D1040=Plano!$B$1),"entrada","saída"))</f>
        <v>saída</v>
      </c>
      <c r="T1040" s="332" t="s">
        <v>114</v>
      </c>
      <c r="U1040" s="332" t="s">
        <v>114</v>
      </c>
      <c r="V1040" s="344"/>
    </row>
    <row r="1041" spans="1:22" ht="51" customHeight="1" x14ac:dyDescent="0.2">
      <c r="A1041" s="277">
        <f>IF(B1041="","",COUNT('Diário 5º PA'!$A$5:$A$2634)+ROW()-4)</f>
        <v>2348</v>
      </c>
      <c r="B1041" s="278">
        <v>44361</v>
      </c>
      <c r="C1041" s="256">
        <v>44317</v>
      </c>
      <c r="D1041" s="255" t="s">
        <v>99</v>
      </c>
      <c r="E1041" s="255" t="s">
        <v>306</v>
      </c>
      <c r="F1041" s="258">
        <v>-25.58</v>
      </c>
      <c r="G1041" s="255" t="s">
        <v>4930</v>
      </c>
      <c r="H1041" s="252" t="s">
        <v>115</v>
      </c>
      <c r="I1041" s="250" t="s">
        <v>983</v>
      </c>
      <c r="J1041" s="255" t="s">
        <v>850</v>
      </c>
      <c r="K1041" s="255" t="s">
        <v>946</v>
      </c>
      <c r="L1041" s="250" t="s">
        <v>947</v>
      </c>
      <c r="M1041" s="277" t="s">
        <v>114</v>
      </c>
      <c r="N1041" s="278">
        <v>44361</v>
      </c>
      <c r="O1041" s="329" t="s">
        <v>67</v>
      </c>
      <c r="P1041" s="330">
        <f t="shared" ref="P1041:Q1041" si="1037">IF(B1041=0,0,IF(YEAR(B1041)=$Q$1,MONTH(B1041)-$P$1+1,(YEAR(B1041)-$Q$1)*12-$P$1+1+MONTH(B1041)))</f>
        <v>6</v>
      </c>
      <c r="Q1041" s="330">
        <f t="shared" si="1037"/>
        <v>5</v>
      </c>
      <c r="R1041" s="331" t="str">
        <f t="shared" si="1"/>
        <v>Gastos_Gerais</v>
      </c>
      <c r="S1041" s="331" t="str">
        <f>IF(D1041="","",IF(OR(D1041=Plano!$A$1,D1041=Plano!$B$1),"entrada","saída"))</f>
        <v>saída</v>
      </c>
      <c r="T1041" s="332" t="s">
        <v>114</v>
      </c>
      <c r="U1041" s="332" t="s">
        <v>114</v>
      </c>
      <c r="V1041" s="344"/>
    </row>
    <row r="1042" spans="1:22" ht="62.25" customHeight="1" x14ac:dyDescent="0.2">
      <c r="A1042" s="277">
        <f>IF(B1042="","",COUNT('Diário 5º PA'!$A$5:$A$2634)+ROW()-4)</f>
        <v>2349</v>
      </c>
      <c r="B1042" s="278">
        <v>44361</v>
      </c>
      <c r="C1042" s="249">
        <v>44317</v>
      </c>
      <c r="D1042" s="255" t="s">
        <v>99</v>
      </c>
      <c r="E1042" s="255" t="s">
        <v>220</v>
      </c>
      <c r="F1042" s="258">
        <v>-112.08</v>
      </c>
      <c r="G1042" s="255" t="s">
        <v>4931</v>
      </c>
      <c r="H1042" s="255" t="s">
        <v>115</v>
      </c>
      <c r="I1042" s="250" t="s">
        <v>983</v>
      </c>
      <c r="J1042" s="252" t="s">
        <v>850</v>
      </c>
      <c r="K1042" s="255" t="s">
        <v>1069</v>
      </c>
      <c r="L1042" s="250" t="s">
        <v>947</v>
      </c>
      <c r="M1042" s="277" t="s">
        <v>114</v>
      </c>
      <c r="N1042" s="278">
        <v>44361</v>
      </c>
      <c r="O1042" s="329" t="s">
        <v>67</v>
      </c>
      <c r="P1042" s="330">
        <f t="shared" ref="P1042:Q1042" si="1038">IF(B1042=0,0,IF(YEAR(B1042)=$Q$1,MONTH(B1042)-$P$1+1,(YEAR(B1042)-$Q$1)*12-$P$1+1+MONTH(B1042)))</f>
        <v>6</v>
      </c>
      <c r="Q1042" s="330">
        <f t="shared" si="1038"/>
        <v>5</v>
      </c>
      <c r="R1042" s="331" t="str">
        <f t="shared" si="1"/>
        <v>Gastos_Gerais</v>
      </c>
      <c r="S1042" s="331" t="str">
        <f>IF(D1042="","",IF(OR(D1042=Plano!$A$1,D1042=Plano!$B$1),"entrada","saída"))</f>
        <v>saída</v>
      </c>
      <c r="T1042" s="332" t="s">
        <v>114</v>
      </c>
      <c r="U1042" s="332" t="s">
        <v>114</v>
      </c>
      <c r="V1042" s="344"/>
    </row>
    <row r="1043" spans="1:22" ht="66.75" customHeight="1" x14ac:dyDescent="0.2">
      <c r="A1043" s="277">
        <f>IF(B1043="","",COUNT('Diário 5º PA'!$A$5:$A$2634)+ROW()-4)</f>
        <v>2350</v>
      </c>
      <c r="B1043" s="278">
        <v>44361</v>
      </c>
      <c r="C1043" s="256">
        <v>44317</v>
      </c>
      <c r="D1043" s="255" t="s">
        <v>99</v>
      </c>
      <c r="E1043" s="255" t="s">
        <v>254</v>
      </c>
      <c r="F1043" s="258">
        <v>-132.05000000000001</v>
      </c>
      <c r="G1043" s="252" t="s">
        <v>4932</v>
      </c>
      <c r="H1043" s="255" t="s">
        <v>115</v>
      </c>
      <c r="I1043" s="250" t="s">
        <v>983</v>
      </c>
      <c r="J1043" s="252" t="s">
        <v>850</v>
      </c>
      <c r="K1043" s="255" t="s">
        <v>946</v>
      </c>
      <c r="L1043" s="250" t="s">
        <v>947</v>
      </c>
      <c r="M1043" s="277" t="s">
        <v>114</v>
      </c>
      <c r="N1043" s="278">
        <v>44361</v>
      </c>
      <c r="O1043" s="329" t="s">
        <v>67</v>
      </c>
      <c r="P1043" s="330">
        <f t="shared" ref="P1043:Q1043" si="1039">IF(B1043=0,0,IF(YEAR(B1043)=$Q$1,MONTH(B1043)-$P$1+1,(YEAR(B1043)-$Q$1)*12-$P$1+1+MONTH(B1043)))</f>
        <v>6</v>
      </c>
      <c r="Q1043" s="330">
        <f t="shared" si="1039"/>
        <v>5</v>
      </c>
      <c r="R1043" s="331" t="str">
        <f t="shared" si="1"/>
        <v>Gastos_Gerais</v>
      </c>
      <c r="S1043" s="331" t="str">
        <f>IF(D1043="","",IF(OR(D1043=Plano!$A$1,D1043=Plano!$B$1),"entrada","saída"))</f>
        <v>saída</v>
      </c>
      <c r="T1043" s="332" t="s">
        <v>114</v>
      </c>
      <c r="U1043" s="332" t="s">
        <v>114</v>
      </c>
      <c r="V1043" s="344"/>
    </row>
    <row r="1044" spans="1:22" ht="59.25" customHeight="1" x14ac:dyDescent="0.2">
      <c r="A1044" s="277">
        <f>IF(B1044="","",COUNT('Diário 5º PA'!$A$5:$A$2634)+ROW()-4)</f>
        <v>2351</v>
      </c>
      <c r="B1044" s="278">
        <v>44361</v>
      </c>
      <c r="C1044" s="256">
        <v>44317</v>
      </c>
      <c r="D1044" s="255" t="s">
        <v>77</v>
      </c>
      <c r="E1044" s="255" t="s">
        <v>79</v>
      </c>
      <c r="F1044" s="258">
        <v>768108.68</v>
      </c>
      <c r="G1044" s="255" t="s">
        <v>4933</v>
      </c>
      <c r="H1044" s="255" t="s">
        <v>114</v>
      </c>
      <c r="I1044" s="250" t="s">
        <v>983</v>
      </c>
      <c r="J1044" s="255" t="s">
        <v>850</v>
      </c>
      <c r="K1044" s="255" t="s">
        <v>946</v>
      </c>
      <c r="L1044" s="250" t="s">
        <v>947</v>
      </c>
      <c r="M1044" s="277" t="s">
        <v>114</v>
      </c>
      <c r="N1044" s="278">
        <v>44361</v>
      </c>
      <c r="O1044" s="329" t="s">
        <v>67</v>
      </c>
      <c r="P1044" s="330">
        <f t="shared" ref="P1044:Q1044" si="1040">IF(B1044=0,0,IF(YEAR(B1044)=$Q$1,MONTH(B1044)-$P$1+1,(YEAR(B1044)-$Q$1)*12-$P$1+1+MONTH(B1044)))</f>
        <v>6</v>
      </c>
      <c r="Q1044" s="330">
        <f t="shared" si="1040"/>
        <v>5</v>
      </c>
      <c r="R1044" s="331" t="str">
        <f t="shared" si="1"/>
        <v>Receitas</v>
      </c>
      <c r="S1044" s="331" t="str">
        <f>IF(D1044="","",IF(OR(D1044=Plano!$A$1,D1044=Plano!$B$1),"entrada","saída"))</f>
        <v>entrada</v>
      </c>
      <c r="T1044" s="332" t="s">
        <v>114</v>
      </c>
      <c r="U1044" s="332" t="s">
        <v>114</v>
      </c>
      <c r="V1044" s="344"/>
    </row>
    <row r="1045" spans="1:22" ht="196.5" customHeight="1" x14ac:dyDescent="0.2">
      <c r="A1045" s="277">
        <f>IF(B1045="","",COUNT('Diário 5º PA'!$A$5:$A$2634)+ROW()-4)</f>
        <v>2352</v>
      </c>
      <c r="B1045" s="278">
        <v>44361</v>
      </c>
      <c r="C1045" s="259">
        <v>44348</v>
      </c>
      <c r="D1045" s="252" t="s">
        <v>99</v>
      </c>
      <c r="E1045" s="252" t="s">
        <v>262</v>
      </c>
      <c r="F1045" s="257">
        <v>3000</v>
      </c>
      <c r="G1045" s="252" t="s">
        <v>474</v>
      </c>
      <c r="H1045" s="252" t="s">
        <v>129</v>
      </c>
      <c r="I1045" s="252" t="s">
        <v>1257</v>
      </c>
      <c r="J1045" s="250" t="s">
        <v>476</v>
      </c>
      <c r="K1045" s="255" t="s">
        <v>1015</v>
      </c>
      <c r="L1045" s="250" t="s">
        <v>1016</v>
      </c>
      <c r="M1045" s="277" t="s">
        <v>1296</v>
      </c>
      <c r="N1045" s="278">
        <v>44358</v>
      </c>
      <c r="O1045" s="329" t="s">
        <v>67</v>
      </c>
      <c r="P1045" s="330">
        <f t="shared" ref="P1045:Q1045" si="1041">IF(B1045=0,0,IF(YEAR(B1045)=$Q$1,MONTH(B1045)-$P$1+1,(YEAR(B1045)-$Q$1)*12-$P$1+1+MONTH(B1045)))</f>
        <v>6</v>
      </c>
      <c r="Q1045" s="330">
        <f t="shared" si="1041"/>
        <v>6</v>
      </c>
      <c r="R1045" s="331" t="str">
        <f t="shared" si="1"/>
        <v>Gastos_Gerais</v>
      </c>
      <c r="S1045" s="331" t="str">
        <f>IF(D1045="","",IF(OR(D1045=Plano!$A$1,D1045=Plano!$B$1),"entrada","saída"))</f>
        <v>saída</v>
      </c>
      <c r="T1045" s="332" t="s">
        <v>1059</v>
      </c>
      <c r="U1045" s="332">
        <v>1273</v>
      </c>
      <c r="V1045" s="344"/>
    </row>
    <row r="1046" spans="1:22" ht="129.75" customHeight="1" x14ac:dyDescent="0.2">
      <c r="A1046" s="277">
        <f>IF(B1046="","",COUNT('Diário 5º PA'!$A$5:$A$2634)+ROW()-4)</f>
        <v>2353</v>
      </c>
      <c r="B1046" s="278">
        <v>44361</v>
      </c>
      <c r="C1046" s="259">
        <v>44287</v>
      </c>
      <c r="D1046" s="252" t="s">
        <v>99</v>
      </c>
      <c r="E1046" s="252" t="s">
        <v>364</v>
      </c>
      <c r="F1046" s="257">
        <v>4891.5</v>
      </c>
      <c r="G1046" s="252" t="s">
        <v>4934</v>
      </c>
      <c r="H1046" s="252" t="s">
        <v>132</v>
      </c>
      <c r="I1046" s="252" t="s">
        <v>1557</v>
      </c>
      <c r="J1046" s="250" t="s">
        <v>1558</v>
      </c>
      <c r="K1046" s="255" t="s">
        <v>991</v>
      </c>
      <c r="L1046" s="250" t="s">
        <v>992</v>
      </c>
      <c r="M1046" s="277" t="s">
        <v>1061</v>
      </c>
      <c r="N1046" s="278">
        <v>44356</v>
      </c>
      <c r="O1046" s="329" t="s">
        <v>67</v>
      </c>
      <c r="P1046" s="330">
        <f t="shared" ref="P1046:Q1046" si="1042">IF(B1046=0,0,IF(YEAR(B1046)=$Q$1,MONTH(B1046)-$P$1+1,(YEAR(B1046)-$Q$1)*12-$P$1+1+MONTH(B1046)))</f>
        <v>6</v>
      </c>
      <c r="Q1046" s="330">
        <f t="shared" si="1042"/>
        <v>4</v>
      </c>
      <c r="R1046" s="331" t="str">
        <f t="shared" si="1"/>
        <v>Gastos_Gerais</v>
      </c>
      <c r="S1046" s="331" t="str">
        <f>IF(D1046="","",IF(OR(D1046=Plano!$A$1,D1046=Plano!$B$1),"entrada","saída"))</f>
        <v>saída</v>
      </c>
      <c r="T1046" s="332" t="s">
        <v>994</v>
      </c>
      <c r="U1046" s="332">
        <v>1505</v>
      </c>
      <c r="V1046" s="344"/>
    </row>
    <row r="1047" spans="1:22" ht="94.5" customHeight="1" x14ac:dyDescent="0.2">
      <c r="A1047" s="277">
        <f>IF(B1047="","",COUNT('Diário 5º PA'!$A$5:$A$2634)+ROW()-4)</f>
        <v>2354</v>
      </c>
      <c r="B1047" s="278">
        <v>44361</v>
      </c>
      <c r="C1047" s="259">
        <v>44317</v>
      </c>
      <c r="D1047" s="252" t="s">
        <v>99</v>
      </c>
      <c r="E1047" s="252" t="s">
        <v>352</v>
      </c>
      <c r="F1047" s="257">
        <v>3429.65</v>
      </c>
      <c r="G1047" s="252" t="s">
        <v>4935</v>
      </c>
      <c r="H1047" s="252" t="s">
        <v>132</v>
      </c>
      <c r="I1047" s="250" t="s">
        <v>1389</v>
      </c>
      <c r="J1047" s="250" t="s">
        <v>661</v>
      </c>
      <c r="K1047" s="255" t="s">
        <v>991</v>
      </c>
      <c r="L1047" s="250" t="s">
        <v>992</v>
      </c>
      <c r="M1047" s="277" t="s">
        <v>1148</v>
      </c>
      <c r="N1047" s="278">
        <v>44356</v>
      </c>
      <c r="O1047" s="329" t="s">
        <v>67</v>
      </c>
      <c r="P1047" s="330">
        <f t="shared" ref="P1047:Q1047" si="1043">IF(B1047=0,0,IF(YEAR(B1047)=$Q$1,MONTH(B1047)-$P$1+1,(YEAR(B1047)-$Q$1)*12-$P$1+1+MONTH(B1047)))</f>
        <v>6</v>
      </c>
      <c r="Q1047" s="330">
        <f t="shared" si="1043"/>
        <v>5</v>
      </c>
      <c r="R1047" s="331" t="str">
        <f t="shared" si="1"/>
        <v>Gastos_Gerais</v>
      </c>
      <c r="S1047" s="331" t="str">
        <f>IF(D1047="","",IF(OR(D1047=Plano!$A$1,D1047=Plano!$B$1),"entrada","saída"))</f>
        <v>saída</v>
      </c>
      <c r="T1047" s="332" t="s">
        <v>1059</v>
      </c>
      <c r="U1047" s="332">
        <v>1486</v>
      </c>
      <c r="V1047" s="344"/>
    </row>
    <row r="1048" spans="1:22" ht="42" customHeight="1" x14ac:dyDescent="0.2">
      <c r="A1048" s="277">
        <f>IF(B1048="","",COUNT('Diário 5º PA'!$A$5:$A$2634)+ROW()-4)</f>
        <v>2355</v>
      </c>
      <c r="B1048" s="278">
        <v>44361</v>
      </c>
      <c r="C1048" s="256">
        <v>44317</v>
      </c>
      <c r="D1048" s="255" t="s">
        <v>99</v>
      </c>
      <c r="E1048" s="255" t="s">
        <v>306</v>
      </c>
      <c r="F1048" s="258">
        <v>246.58</v>
      </c>
      <c r="G1048" s="255" t="s">
        <v>4936</v>
      </c>
      <c r="H1048" s="255" t="s">
        <v>115</v>
      </c>
      <c r="I1048" s="250" t="s">
        <v>4937</v>
      </c>
      <c r="J1048" s="255" t="s">
        <v>2359</v>
      </c>
      <c r="K1048" s="255" t="s">
        <v>991</v>
      </c>
      <c r="L1048" s="250" t="s">
        <v>992</v>
      </c>
      <c r="M1048" s="277" t="s">
        <v>4938</v>
      </c>
      <c r="N1048" s="278">
        <v>44354</v>
      </c>
      <c r="O1048" s="329" t="s">
        <v>67</v>
      </c>
      <c r="P1048" s="330">
        <f t="shared" ref="P1048:Q1048" si="1044">IF(B1048=0,0,IF(YEAR(B1048)=$Q$1,MONTH(B1048)-$P$1+1,(YEAR(B1048)-$Q$1)*12-$P$1+1+MONTH(B1048)))</f>
        <v>6</v>
      </c>
      <c r="Q1048" s="330">
        <f t="shared" si="1044"/>
        <v>5</v>
      </c>
      <c r="R1048" s="331" t="str">
        <f t="shared" si="1"/>
        <v>Gastos_Gerais</v>
      </c>
      <c r="S1048" s="331" t="str">
        <f>IF(D1048="","",IF(OR(D1048=Plano!$A$1,D1048=Plano!$B$1),"entrada","saída"))</f>
        <v>saída</v>
      </c>
      <c r="T1048" s="332" t="s">
        <v>114</v>
      </c>
      <c r="U1048" s="332" t="s">
        <v>114</v>
      </c>
      <c r="V1048" s="344"/>
    </row>
    <row r="1049" spans="1:22" ht="198.75" customHeight="1" x14ac:dyDescent="0.2">
      <c r="A1049" s="277">
        <f>IF(B1049="","",COUNT('Diário 5º PA'!$A$5:$A$2634)+ROW()-4)</f>
        <v>2356</v>
      </c>
      <c r="B1049" s="278">
        <v>44361</v>
      </c>
      <c r="C1049" s="256">
        <v>44317</v>
      </c>
      <c r="D1049" s="255" t="s">
        <v>99</v>
      </c>
      <c r="E1049" s="255" t="s">
        <v>254</v>
      </c>
      <c r="F1049" s="258">
        <v>500</v>
      </c>
      <c r="G1049" s="255" t="s">
        <v>448</v>
      </c>
      <c r="H1049" s="255" t="s">
        <v>115</v>
      </c>
      <c r="I1049" s="250" t="s">
        <v>1376</v>
      </c>
      <c r="J1049" s="252" t="s">
        <v>1377</v>
      </c>
      <c r="K1049" s="255" t="s">
        <v>560</v>
      </c>
      <c r="L1049" s="250" t="s">
        <v>1378</v>
      </c>
      <c r="M1049" s="277" t="s">
        <v>4939</v>
      </c>
      <c r="N1049" s="278">
        <v>44349</v>
      </c>
      <c r="O1049" s="329" t="s">
        <v>67</v>
      </c>
      <c r="P1049" s="330">
        <f t="shared" ref="P1049:Q1049" si="1045">IF(B1049=0,0,IF(YEAR(B1049)=$Q$1,MONTH(B1049)-$P$1+1,(YEAR(B1049)-$Q$1)*12-$P$1+1+MONTH(B1049)))</f>
        <v>6</v>
      </c>
      <c r="Q1049" s="330">
        <f t="shared" si="1045"/>
        <v>5</v>
      </c>
      <c r="R1049" s="331" t="str">
        <f t="shared" si="1"/>
        <v>Gastos_Gerais</v>
      </c>
      <c r="S1049" s="331" t="str">
        <f>IF(D1049="","",IF(OR(D1049=Plano!$A$1,D1049=Plano!$B$1),"entrada","saída"))</f>
        <v>saída</v>
      </c>
      <c r="T1049" s="332" t="s">
        <v>1059</v>
      </c>
      <c r="U1049" s="332">
        <v>1143</v>
      </c>
      <c r="V1049" s="344"/>
    </row>
    <row r="1050" spans="1:22" ht="38.25" customHeight="1" x14ac:dyDescent="0.2">
      <c r="A1050" s="277">
        <f>IF(B1050="","",COUNT('Diário 5º PA'!$A$5:$A$2634)+ROW()-4)</f>
        <v>2357</v>
      </c>
      <c r="B1050" s="278">
        <v>44361</v>
      </c>
      <c r="C1050" s="256">
        <v>44317</v>
      </c>
      <c r="D1050" s="255" t="s">
        <v>99</v>
      </c>
      <c r="E1050" s="255" t="s">
        <v>216</v>
      </c>
      <c r="F1050" s="258">
        <v>119.97</v>
      </c>
      <c r="G1050" s="255" t="s">
        <v>4940</v>
      </c>
      <c r="H1050" s="255" t="s">
        <v>129</v>
      </c>
      <c r="I1050" s="250" t="s">
        <v>513</v>
      </c>
      <c r="J1050" s="252" t="s">
        <v>514</v>
      </c>
      <c r="K1050" s="255" t="s">
        <v>696</v>
      </c>
      <c r="L1050" s="250" t="s">
        <v>697</v>
      </c>
      <c r="M1050" s="277">
        <v>59233526</v>
      </c>
      <c r="N1050" s="278">
        <v>44340</v>
      </c>
      <c r="O1050" s="329" t="s">
        <v>67</v>
      </c>
      <c r="P1050" s="386">
        <f t="shared" ref="P1050:Q1050" si="1046">IF(B1050=0,0,IF(YEAR(B1050)=$Q$1,MONTH(B1050)-$P$1+1,(YEAR(B1050)-$Q$1)*12-$P$1+1+MONTH(B1050)))</f>
        <v>6</v>
      </c>
      <c r="Q1050" s="330">
        <f t="shared" si="1046"/>
        <v>5</v>
      </c>
      <c r="R1050" s="331" t="str">
        <f t="shared" si="1"/>
        <v>Gastos_Gerais</v>
      </c>
      <c r="S1050" s="331" t="str">
        <f>IF(D1050="","",IF(OR(D1050=Plano!$A$1,D1050=Plano!$B$1),"entrada","saída"))</f>
        <v>saída</v>
      </c>
      <c r="T1050" s="332" t="s">
        <v>114</v>
      </c>
      <c r="U1050" s="332" t="s">
        <v>114</v>
      </c>
      <c r="V1050" s="344"/>
    </row>
    <row r="1051" spans="1:22" ht="42" customHeight="1" x14ac:dyDescent="0.2">
      <c r="A1051" s="277">
        <f>IF(B1051="","",COUNT('Diário 5º PA'!$A$5:$A$2634)+ROW()-4)</f>
        <v>2358</v>
      </c>
      <c r="B1051" s="278">
        <v>44361</v>
      </c>
      <c r="C1051" s="256">
        <v>44317</v>
      </c>
      <c r="D1051" s="255" t="s">
        <v>99</v>
      </c>
      <c r="E1051" s="255" t="s">
        <v>220</v>
      </c>
      <c r="F1051" s="258">
        <v>424.39</v>
      </c>
      <c r="G1051" s="255" t="s">
        <v>4941</v>
      </c>
      <c r="H1051" s="255" t="s">
        <v>115</v>
      </c>
      <c r="I1051" s="252" t="s">
        <v>522</v>
      </c>
      <c r="J1051" s="252" t="s">
        <v>523</v>
      </c>
      <c r="K1051" s="255" t="s">
        <v>1375</v>
      </c>
      <c r="L1051" s="250" t="s">
        <v>1016</v>
      </c>
      <c r="M1051" s="277" t="s">
        <v>4942</v>
      </c>
      <c r="N1051" s="278">
        <v>44335</v>
      </c>
      <c r="O1051" s="329" t="s">
        <v>67</v>
      </c>
      <c r="P1051" s="330">
        <f t="shared" ref="P1051:Q1051" si="1047">IF(B1051=0,0,IF(YEAR(B1051)=$Q$1,MONTH(B1051)-$P$1+1,(YEAR(B1051)-$Q$1)*12-$P$1+1+MONTH(B1051)))</f>
        <v>6</v>
      </c>
      <c r="Q1051" s="330">
        <f t="shared" si="1047"/>
        <v>5</v>
      </c>
      <c r="R1051" s="331" t="str">
        <f t="shared" si="1"/>
        <v>Gastos_Gerais</v>
      </c>
      <c r="S1051" s="331" t="str">
        <f>IF(D1051="","",IF(OR(D1051=Plano!$A$1,D1051=Plano!$B$1),"entrada","saída"))</f>
        <v>saída</v>
      </c>
      <c r="T1051" s="332" t="s">
        <v>114</v>
      </c>
      <c r="U1051" s="332" t="s">
        <v>114</v>
      </c>
      <c r="V1051" s="344"/>
    </row>
    <row r="1052" spans="1:22" ht="32.25" customHeight="1" x14ac:dyDescent="0.2">
      <c r="A1052" s="277">
        <f>IF(B1052="","",COUNT('Diário 5º PA'!$A$5:$A$2634)+ROW()-4)</f>
        <v>2359</v>
      </c>
      <c r="B1052" s="278">
        <v>44361</v>
      </c>
      <c r="C1052" s="256">
        <v>44317</v>
      </c>
      <c r="D1052" s="255" t="s">
        <v>99</v>
      </c>
      <c r="E1052" s="255" t="s">
        <v>208</v>
      </c>
      <c r="F1052" s="258">
        <v>6314.02</v>
      </c>
      <c r="G1052" s="255" t="s">
        <v>4943</v>
      </c>
      <c r="H1052" s="255" t="s">
        <v>115</v>
      </c>
      <c r="I1052" s="252" t="s">
        <v>518</v>
      </c>
      <c r="J1052" s="252" t="s">
        <v>519</v>
      </c>
      <c r="K1052" s="255" t="s">
        <v>560</v>
      </c>
      <c r="L1052" s="250" t="s">
        <v>114</v>
      </c>
      <c r="M1052" s="277">
        <v>6</v>
      </c>
      <c r="N1052" s="278">
        <v>44358</v>
      </c>
      <c r="O1052" s="329" t="s">
        <v>67</v>
      </c>
      <c r="P1052" s="330">
        <f t="shared" ref="P1052:Q1052" si="1048">IF(B1052=0,0,IF(YEAR(B1052)=$Q$1,MONTH(B1052)-$P$1+1,(YEAR(B1052)-$Q$1)*12-$P$1+1+MONTH(B1052)))</f>
        <v>6</v>
      </c>
      <c r="Q1052" s="330">
        <f t="shared" si="1048"/>
        <v>5</v>
      </c>
      <c r="R1052" s="331" t="str">
        <f t="shared" si="1"/>
        <v>Gastos_Gerais</v>
      </c>
      <c r="S1052" s="331" t="str">
        <f>IF(D1052="","",IF(OR(D1052=Plano!$A$1,D1052=Plano!$B$1),"entrada","saída"))</f>
        <v>saída</v>
      </c>
      <c r="T1052" s="332" t="s">
        <v>114</v>
      </c>
      <c r="U1052" s="332" t="s">
        <v>114</v>
      </c>
      <c r="V1052" s="344"/>
    </row>
    <row r="1053" spans="1:22" ht="25.5" customHeight="1" x14ac:dyDescent="0.2">
      <c r="A1053" s="277">
        <f>IF(B1053="","",COUNT('Diário 5º PA'!$A$5:$A$2634)+ROW()-4)</f>
        <v>2360</v>
      </c>
      <c r="B1053" s="278">
        <v>44361</v>
      </c>
      <c r="C1053" s="256">
        <v>44317</v>
      </c>
      <c r="D1053" s="255" t="s">
        <v>99</v>
      </c>
      <c r="E1053" s="255" t="s">
        <v>212</v>
      </c>
      <c r="F1053" s="258">
        <v>1693.33</v>
      </c>
      <c r="G1053" s="255" t="s">
        <v>4944</v>
      </c>
      <c r="H1053" s="255" t="s">
        <v>115</v>
      </c>
      <c r="I1053" s="252" t="s">
        <v>518</v>
      </c>
      <c r="J1053" s="252" t="s">
        <v>519</v>
      </c>
      <c r="K1053" s="255" t="s">
        <v>560</v>
      </c>
      <c r="L1053" s="250" t="s">
        <v>947</v>
      </c>
      <c r="M1053" s="277" t="s">
        <v>114</v>
      </c>
      <c r="N1053" s="278">
        <v>44358</v>
      </c>
      <c r="O1053" s="329" t="s">
        <v>67</v>
      </c>
      <c r="P1053" s="330">
        <f t="shared" ref="P1053:Q1053" si="1049">IF(B1053=0,0,IF(YEAR(B1053)=$Q$1,MONTH(B1053)-$P$1+1,(YEAR(B1053)-$Q$1)*12-$P$1+1+MONTH(B1053)))</f>
        <v>6</v>
      </c>
      <c r="Q1053" s="330">
        <f t="shared" si="1049"/>
        <v>5</v>
      </c>
      <c r="R1053" s="331" t="str">
        <f t="shared" si="1"/>
        <v>Gastos_Gerais</v>
      </c>
      <c r="S1053" s="331" t="str">
        <f>IF(D1053="","",IF(OR(D1053=Plano!$A$1,D1053=Plano!$B$1),"entrada","saída"))</f>
        <v>saída</v>
      </c>
      <c r="T1053" s="332" t="s">
        <v>114</v>
      </c>
      <c r="U1053" s="332" t="s">
        <v>114</v>
      </c>
      <c r="V1053" s="344"/>
    </row>
    <row r="1054" spans="1:22" ht="123" customHeight="1" x14ac:dyDescent="0.2">
      <c r="A1054" s="277">
        <f>IF(B1054="","",COUNT('Diário 5º PA'!$A$5:$A$2634)+ROW()-4)</f>
        <v>2361</v>
      </c>
      <c r="B1054" s="278">
        <v>44361</v>
      </c>
      <c r="C1054" s="259">
        <v>44287</v>
      </c>
      <c r="D1054" s="252" t="s">
        <v>99</v>
      </c>
      <c r="E1054" s="252" t="s">
        <v>364</v>
      </c>
      <c r="F1054" s="257">
        <v>3200</v>
      </c>
      <c r="G1054" s="252" t="s">
        <v>4945</v>
      </c>
      <c r="H1054" s="252" t="s">
        <v>117</v>
      </c>
      <c r="I1054" s="252" t="s">
        <v>1637</v>
      </c>
      <c r="J1054" s="250" t="s">
        <v>1048</v>
      </c>
      <c r="K1054" s="255" t="s">
        <v>991</v>
      </c>
      <c r="L1054" s="250" t="s">
        <v>1016</v>
      </c>
      <c r="M1054" s="277" t="s">
        <v>1058</v>
      </c>
      <c r="N1054" s="278">
        <v>44363</v>
      </c>
      <c r="O1054" s="329" t="s">
        <v>67</v>
      </c>
      <c r="P1054" s="330">
        <f t="shared" ref="P1054:Q1054" si="1050">IF(B1054=0,0,IF(YEAR(B1054)=$Q$1,MONTH(B1054)-$P$1+1,(YEAR(B1054)-$Q$1)*12-$P$1+1+MONTH(B1054)))</f>
        <v>6</v>
      </c>
      <c r="Q1054" s="330">
        <f t="shared" si="1050"/>
        <v>4</v>
      </c>
      <c r="R1054" s="331" t="str">
        <f t="shared" si="1"/>
        <v>Gastos_Gerais</v>
      </c>
      <c r="S1054" s="331" t="str">
        <f>IF(D1054="","",IF(OR(D1054=Plano!$A$1,D1054=Plano!$B$1),"entrada","saída"))</f>
        <v>saída</v>
      </c>
      <c r="T1054" s="332" t="s">
        <v>994</v>
      </c>
      <c r="U1054" s="332">
        <v>1546</v>
      </c>
      <c r="V1054" s="344"/>
    </row>
    <row r="1055" spans="1:22" ht="200.25" customHeight="1" x14ac:dyDescent="0.2">
      <c r="A1055" s="277">
        <f>IF(B1055="","",COUNT('Diário 5º PA'!$A$5:$A$2634)+ROW()-4)</f>
        <v>2362</v>
      </c>
      <c r="B1055" s="278">
        <v>44361</v>
      </c>
      <c r="C1055" s="259">
        <v>44348</v>
      </c>
      <c r="D1055" s="252" t="s">
        <v>99</v>
      </c>
      <c r="E1055" s="252" t="s">
        <v>354</v>
      </c>
      <c r="F1055" s="257">
        <v>2762.55</v>
      </c>
      <c r="G1055" s="252" t="s">
        <v>4946</v>
      </c>
      <c r="H1055" s="252" t="s">
        <v>123</v>
      </c>
      <c r="I1055" s="250" t="s">
        <v>4947</v>
      </c>
      <c r="J1055" s="250" t="s">
        <v>4948</v>
      </c>
      <c r="K1055" s="255" t="s">
        <v>991</v>
      </c>
      <c r="L1055" s="250" t="s">
        <v>1029</v>
      </c>
      <c r="M1055" s="277">
        <v>1198</v>
      </c>
      <c r="N1055" s="278">
        <v>44357</v>
      </c>
      <c r="O1055" s="329" t="s">
        <v>67</v>
      </c>
      <c r="P1055" s="330">
        <f t="shared" ref="P1055:Q1055" si="1051">IF(B1055=0,0,IF(YEAR(B1055)=$Q$1,MONTH(B1055)-$P$1+1,(YEAR(B1055)-$Q$1)*12-$P$1+1+MONTH(B1055)))</f>
        <v>6</v>
      </c>
      <c r="Q1055" s="330">
        <f t="shared" si="1051"/>
        <v>6</v>
      </c>
      <c r="R1055" s="331" t="str">
        <f t="shared" si="1"/>
        <v>Gastos_Gerais</v>
      </c>
      <c r="S1055" s="331" t="str">
        <f>IF(D1055="","",IF(OR(D1055=Plano!$A$1,D1055=Plano!$B$1),"entrada","saída"))</f>
        <v>saída</v>
      </c>
      <c r="T1055" s="332" t="s">
        <v>994</v>
      </c>
      <c r="U1055" s="332">
        <v>1583</v>
      </c>
      <c r="V1055" s="344"/>
    </row>
    <row r="1056" spans="1:22" ht="136.5" customHeight="1" x14ac:dyDescent="0.2">
      <c r="A1056" s="277">
        <f>IF(B1056="","",COUNT('Diário 5º PA'!$A$5:$A$2634)+ROW()-4)</f>
        <v>2363</v>
      </c>
      <c r="B1056" s="278">
        <v>44361</v>
      </c>
      <c r="C1056" s="259">
        <v>44317</v>
      </c>
      <c r="D1056" s="252" t="s">
        <v>104</v>
      </c>
      <c r="E1056" s="252" t="s">
        <v>104</v>
      </c>
      <c r="F1056" s="257">
        <v>2300</v>
      </c>
      <c r="G1056" s="252" t="s">
        <v>4387</v>
      </c>
      <c r="H1056" s="252" t="s">
        <v>104</v>
      </c>
      <c r="I1056" s="252" t="s">
        <v>1631</v>
      </c>
      <c r="J1056" s="250" t="s">
        <v>1632</v>
      </c>
      <c r="K1056" s="255" t="s">
        <v>991</v>
      </c>
      <c r="L1056" s="250" t="s">
        <v>1016</v>
      </c>
      <c r="M1056" s="277" t="s">
        <v>1294</v>
      </c>
      <c r="N1056" s="278">
        <v>44360</v>
      </c>
      <c r="O1056" s="329" t="s">
        <v>68</v>
      </c>
      <c r="P1056" s="330">
        <f t="shared" ref="P1056:Q1056" si="1052">IF(B1056=0,0,IF(YEAR(B1056)=$Q$1,MONTH(B1056)-$P$1+1,(YEAR(B1056)-$Q$1)*12-$P$1+1+MONTH(B1056)))</f>
        <v>6</v>
      </c>
      <c r="Q1056" s="330">
        <f t="shared" si="1052"/>
        <v>5</v>
      </c>
      <c r="R1056" s="331" t="str">
        <f t="shared" si="1"/>
        <v>Gastos_custeados_por_captação</v>
      </c>
      <c r="S1056" s="331" t="str">
        <f>IF(D1056="","",IF(OR(D1056=Plano!$A$1,D1056=Plano!$B$1),"entrada","saída"))</f>
        <v>saída</v>
      </c>
      <c r="T1056" s="332" t="s">
        <v>994</v>
      </c>
      <c r="U1056" s="332">
        <v>1402</v>
      </c>
      <c r="V1056" s="344"/>
    </row>
    <row r="1057" spans="1:22" ht="53.25" customHeight="1" x14ac:dyDescent="0.2">
      <c r="A1057" s="277">
        <f>IF(B1057="","",COUNT('Diário 5º PA'!$A$5:$A$2634)+ROW()-4)</f>
        <v>2364</v>
      </c>
      <c r="B1057" s="278">
        <v>44361</v>
      </c>
      <c r="C1057" s="259">
        <v>44348</v>
      </c>
      <c r="D1057" s="252" t="s">
        <v>104</v>
      </c>
      <c r="E1057" s="252" t="s">
        <v>104</v>
      </c>
      <c r="F1057" s="257">
        <v>153</v>
      </c>
      <c r="G1057" s="252" t="s">
        <v>1157</v>
      </c>
      <c r="H1057" s="252" t="s">
        <v>104</v>
      </c>
      <c r="I1057" s="250" t="s">
        <v>949</v>
      </c>
      <c r="J1057" s="255" t="s">
        <v>950</v>
      </c>
      <c r="K1057" s="255" t="s">
        <v>951</v>
      </c>
      <c r="L1057" s="250" t="s">
        <v>947</v>
      </c>
      <c r="M1057" s="336" t="s">
        <v>114</v>
      </c>
      <c r="N1057" s="278">
        <v>44361</v>
      </c>
      <c r="O1057" s="329" t="s">
        <v>71</v>
      </c>
      <c r="P1057" s="330">
        <f t="shared" ref="P1057:Q1057" si="1053">IF(B1057=0,0,IF(YEAR(B1057)=$Q$1,MONTH(B1057)-$P$1+1,(YEAR(B1057)-$Q$1)*12-$P$1+1+MONTH(B1057)))</f>
        <v>6</v>
      </c>
      <c r="Q1057" s="330">
        <f t="shared" si="1053"/>
        <v>6</v>
      </c>
      <c r="R1057" s="331" t="str">
        <f t="shared" si="1"/>
        <v>Gastos_custeados_por_captação</v>
      </c>
      <c r="S1057" s="331" t="str">
        <f>IF(D1057="","",IF(OR(D1057=Plano!$A$1,D1057=Plano!$B$1),"entrada","saída"))</f>
        <v>saída</v>
      </c>
      <c r="T1057" s="332" t="s">
        <v>114</v>
      </c>
      <c r="U1057" s="332" t="s">
        <v>114</v>
      </c>
      <c r="V1057" s="344"/>
    </row>
    <row r="1058" spans="1:22" ht="15.75" customHeight="1" x14ac:dyDescent="0.2">
      <c r="A1058" s="277">
        <f>IF(B1058="","",COUNT('Diário 5º PA'!$A$5:$A$2634)+ROW()-4)</f>
        <v>2365</v>
      </c>
      <c r="B1058" s="278">
        <v>44357</v>
      </c>
      <c r="C1058" s="335">
        <v>44348</v>
      </c>
      <c r="D1058" s="255" t="s">
        <v>99</v>
      </c>
      <c r="E1058" s="255" t="s">
        <v>272</v>
      </c>
      <c r="F1058" s="258">
        <v>10.45</v>
      </c>
      <c r="G1058" s="255" t="s">
        <v>4949</v>
      </c>
      <c r="H1058" s="252" t="s">
        <v>132</v>
      </c>
      <c r="I1058" s="250" t="s">
        <v>949</v>
      </c>
      <c r="J1058" s="255" t="s">
        <v>950</v>
      </c>
      <c r="K1058" s="255" t="s">
        <v>951</v>
      </c>
      <c r="L1058" s="250" t="s">
        <v>947</v>
      </c>
      <c r="M1058" s="336" t="s">
        <v>114</v>
      </c>
      <c r="N1058" s="278">
        <v>44357</v>
      </c>
      <c r="O1058" s="329" t="s">
        <v>67</v>
      </c>
      <c r="P1058" s="330">
        <f t="shared" ref="P1058:Q1058" si="1054">IF(B1058=0,0,IF(YEAR(B1058)=$Q$1,MONTH(B1058)-$P$1+1,(YEAR(B1058)-$Q$1)*12-$P$1+1+MONTH(B1058)))</f>
        <v>6</v>
      </c>
      <c r="Q1058" s="330">
        <f t="shared" si="1054"/>
        <v>6</v>
      </c>
      <c r="R1058" s="331" t="str">
        <f t="shared" si="1"/>
        <v>Gastos_Gerais</v>
      </c>
      <c r="S1058" s="331" t="str">
        <f>IF(D1058="","",IF(OR(D1058=Plano!$A$1,D1058=Plano!$B$1),"entrada","saída"))</f>
        <v>saída</v>
      </c>
      <c r="T1058" s="332" t="s">
        <v>114</v>
      </c>
      <c r="U1058" s="332" t="s">
        <v>114</v>
      </c>
      <c r="V1058" s="344"/>
    </row>
    <row r="1059" spans="1:22" ht="51" customHeight="1" x14ac:dyDescent="0.2">
      <c r="A1059" s="277">
        <f>IF(B1059="","",COUNT('Diário 5º PA'!$A$5:$A$2634)+ROW()-4)</f>
        <v>2366</v>
      </c>
      <c r="B1059" s="278">
        <v>44357</v>
      </c>
      <c r="C1059" s="335">
        <v>44348</v>
      </c>
      <c r="D1059" s="255" t="s">
        <v>99</v>
      </c>
      <c r="E1059" s="255" t="s">
        <v>272</v>
      </c>
      <c r="F1059" s="258">
        <v>10.45</v>
      </c>
      <c r="G1059" s="255" t="s">
        <v>4950</v>
      </c>
      <c r="H1059" s="252" t="s">
        <v>132</v>
      </c>
      <c r="I1059" s="250" t="s">
        <v>949</v>
      </c>
      <c r="J1059" s="255" t="s">
        <v>950</v>
      </c>
      <c r="K1059" s="255" t="s">
        <v>951</v>
      </c>
      <c r="L1059" s="250" t="s">
        <v>947</v>
      </c>
      <c r="M1059" s="336" t="s">
        <v>114</v>
      </c>
      <c r="N1059" s="278">
        <v>44357</v>
      </c>
      <c r="O1059" s="329" t="s">
        <v>67</v>
      </c>
      <c r="P1059" s="330">
        <f t="shared" ref="P1059:Q1059" si="1055">IF(B1059=0,0,IF(YEAR(B1059)=$Q$1,MONTH(B1059)-$P$1+1,(YEAR(B1059)-$Q$1)*12-$P$1+1+MONTH(B1059)))</f>
        <v>6</v>
      </c>
      <c r="Q1059" s="330">
        <f t="shared" si="1055"/>
        <v>6</v>
      </c>
      <c r="R1059" s="331" t="str">
        <f t="shared" si="1"/>
        <v>Gastos_Gerais</v>
      </c>
      <c r="S1059" s="331" t="str">
        <f>IF(D1059="","",IF(OR(D1059=Plano!$A$1,D1059=Plano!$B$1),"entrada","saída"))</f>
        <v>saída</v>
      </c>
      <c r="T1059" s="332" t="s">
        <v>114</v>
      </c>
      <c r="U1059" s="332" t="s">
        <v>114</v>
      </c>
      <c r="V1059" s="344"/>
    </row>
    <row r="1060" spans="1:22" ht="52.5" customHeight="1" x14ac:dyDescent="0.2">
      <c r="A1060" s="277">
        <f>IF(B1060="","",COUNT('Diário 5º PA'!$A$5:$A$2634)+ROW()-4)</f>
        <v>2367</v>
      </c>
      <c r="B1060" s="278">
        <v>44357</v>
      </c>
      <c r="C1060" s="335">
        <v>44348</v>
      </c>
      <c r="D1060" s="255" t="s">
        <v>99</v>
      </c>
      <c r="E1060" s="255" t="s">
        <v>272</v>
      </c>
      <c r="F1060" s="258">
        <v>10.45</v>
      </c>
      <c r="G1060" s="255" t="s">
        <v>4951</v>
      </c>
      <c r="H1060" s="252" t="s">
        <v>117</v>
      </c>
      <c r="I1060" s="250" t="s">
        <v>949</v>
      </c>
      <c r="J1060" s="255" t="s">
        <v>950</v>
      </c>
      <c r="K1060" s="255" t="s">
        <v>951</v>
      </c>
      <c r="L1060" s="250" t="s">
        <v>947</v>
      </c>
      <c r="M1060" s="336" t="s">
        <v>114</v>
      </c>
      <c r="N1060" s="278">
        <v>44357</v>
      </c>
      <c r="O1060" s="329" t="s">
        <v>67</v>
      </c>
      <c r="P1060" s="330">
        <f t="shared" ref="P1060:Q1060" si="1056">IF(B1060=0,0,IF(YEAR(B1060)=$Q$1,MONTH(B1060)-$P$1+1,(YEAR(B1060)-$Q$1)*12-$P$1+1+MONTH(B1060)))</f>
        <v>6</v>
      </c>
      <c r="Q1060" s="330">
        <f t="shared" si="1056"/>
        <v>6</v>
      </c>
      <c r="R1060" s="331" t="str">
        <f t="shared" si="1"/>
        <v>Gastos_Gerais</v>
      </c>
      <c r="S1060" s="331" t="str">
        <f>IF(D1060="","",IF(OR(D1060=Plano!$A$1,D1060=Plano!$B$1),"entrada","saída"))</f>
        <v>saída</v>
      </c>
      <c r="T1060" s="332" t="s">
        <v>114</v>
      </c>
      <c r="U1060" s="332" t="s">
        <v>114</v>
      </c>
      <c r="V1060" s="344"/>
    </row>
    <row r="1061" spans="1:22" ht="46.5" customHeight="1" x14ac:dyDescent="0.2">
      <c r="A1061" s="277">
        <f>IF(B1061="","",COUNT('Diário 5º PA'!$A$5:$A$2634)+ROW()-4)</f>
        <v>2368</v>
      </c>
      <c r="B1061" s="278">
        <v>44357</v>
      </c>
      <c r="C1061" s="335">
        <v>44348</v>
      </c>
      <c r="D1061" s="255" t="s">
        <v>99</v>
      </c>
      <c r="E1061" s="255" t="s">
        <v>272</v>
      </c>
      <c r="F1061" s="258">
        <v>10.45</v>
      </c>
      <c r="G1061" s="255" t="s">
        <v>4952</v>
      </c>
      <c r="H1061" s="252" t="s">
        <v>123</v>
      </c>
      <c r="I1061" s="250" t="s">
        <v>949</v>
      </c>
      <c r="J1061" s="255" t="s">
        <v>950</v>
      </c>
      <c r="K1061" s="255" t="s">
        <v>951</v>
      </c>
      <c r="L1061" s="250" t="s">
        <v>947</v>
      </c>
      <c r="M1061" s="336" t="s">
        <v>114</v>
      </c>
      <c r="N1061" s="278">
        <v>44357</v>
      </c>
      <c r="O1061" s="329" t="s">
        <v>67</v>
      </c>
      <c r="P1061" s="330">
        <f t="shared" ref="P1061:Q1061" si="1057">IF(B1061=0,0,IF(YEAR(B1061)=$Q$1,MONTH(B1061)-$P$1+1,(YEAR(B1061)-$Q$1)*12-$P$1+1+MONTH(B1061)))</f>
        <v>6</v>
      </c>
      <c r="Q1061" s="330">
        <f t="shared" si="1057"/>
        <v>6</v>
      </c>
      <c r="R1061" s="331" t="str">
        <f t="shared" si="1"/>
        <v>Gastos_Gerais</v>
      </c>
      <c r="S1061" s="331" t="str">
        <f>IF(D1061="","",IF(OR(D1061=Plano!$A$1,D1061=Plano!$B$1),"entrada","saída"))</f>
        <v>saída</v>
      </c>
      <c r="T1061" s="332" t="s">
        <v>114</v>
      </c>
      <c r="U1061" s="332" t="s">
        <v>114</v>
      </c>
      <c r="V1061" s="344"/>
    </row>
    <row r="1062" spans="1:22" ht="54" customHeight="1" x14ac:dyDescent="0.2">
      <c r="A1062" s="277">
        <f>IF(B1062="","",COUNT('Diário 5º PA'!$A$5:$A$2634)+ROW()-4)</f>
        <v>2369</v>
      </c>
      <c r="B1062" s="278">
        <v>44362</v>
      </c>
      <c r="C1062" s="256">
        <v>44348</v>
      </c>
      <c r="D1062" s="255" t="s">
        <v>88</v>
      </c>
      <c r="E1062" s="255" t="s">
        <v>196</v>
      </c>
      <c r="F1062" s="258">
        <v>-592.32000000000005</v>
      </c>
      <c r="G1062" s="252" t="s">
        <v>1418</v>
      </c>
      <c r="H1062" s="255" t="s">
        <v>114</v>
      </c>
      <c r="I1062" s="250" t="s">
        <v>983</v>
      </c>
      <c r="J1062" s="255" t="s">
        <v>850</v>
      </c>
      <c r="K1062" s="255" t="s">
        <v>946</v>
      </c>
      <c r="L1062" s="250" t="s">
        <v>947</v>
      </c>
      <c r="M1062" s="349" t="s">
        <v>114</v>
      </c>
      <c r="N1062" s="278">
        <v>44362</v>
      </c>
      <c r="O1062" s="329" t="s">
        <v>67</v>
      </c>
      <c r="P1062" s="330">
        <f t="shared" ref="P1062:Q1062" si="1058">IF(B1062=0,0,IF(YEAR(B1062)=$Q$1,MONTH(B1062)-$P$1+1,(YEAR(B1062)-$Q$1)*12-$P$1+1+MONTH(B1062)))</f>
        <v>6</v>
      </c>
      <c r="Q1062" s="330">
        <f t="shared" si="1058"/>
        <v>6</v>
      </c>
      <c r="R1062" s="331" t="str">
        <f t="shared" si="1"/>
        <v>Gastos_com_Pessoal</v>
      </c>
      <c r="S1062" s="331" t="str">
        <f>IF(D1062="","",IF(OR(D1062=Plano!$A$1,D1062=Plano!$B$1),"entrada","saída"))</f>
        <v>saída</v>
      </c>
      <c r="T1062" s="332" t="s">
        <v>114</v>
      </c>
      <c r="U1062" s="332" t="s">
        <v>114</v>
      </c>
      <c r="V1062" s="344"/>
    </row>
    <row r="1063" spans="1:22" ht="62.25" customHeight="1" x14ac:dyDescent="0.2">
      <c r="A1063" s="277">
        <f>IF(B1063="","",COUNT('Diário 5º PA'!$A$5:$A$2634)+ROW()-4)</f>
        <v>2370</v>
      </c>
      <c r="B1063" s="278">
        <v>44362</v>
      </c>
      <c r="C1063" s="256">
        <v>44317</v>
      </c>
      <c r="D1063" s="255" t="s">
        <v>99</v>
      </c>
      <c r="E1063" s="255" t="s">
        <v>208</v>
      </c>
      <c r="F1063" s="258">
        <v>-278.89</v>
      </c>
      <c r="G1063" s="255" t="s">
        <v>4953</v>
      </c>
      <c r="H1063" s="255" t="s">
        <v>115</v>
      </c>
      <c r="I1063" s="250" t="s">
        <v>983</v>
      </c>
      <c r="J1063" s="255" t="s">
        <v>850</v>
      </c>
      <c r="K1063" s="255" t="s">
        <v>946</v>
      </c>
      <c r="L1063" s="250" t="s">
        <v>947</v>
      </c>
      <c r="M1063" s="277" t="s">
        <v>114</v>
      </c>
      <c r="N1063" s="278">
        <v>44362</v>
      </c>
      <c r="O1063" s="329" t="s">
        <v>67</v>
      </c>
      <c r="P1063" s="330">
        <f t="shared" ref="P1063:Q1063" si="1059">IF(B1063=0,0,IF(YEAR(B1063)=$Q$1,MONTH(B1063)-$P$1+1,(YEAR(B1063)-$Q$1)*12-$P$1+1+MONTH(B1063)))</f>
        <v>6</v>
      </c>
      <c r="Q1063" s="330">
        <f t="shared" si="1059"/>
        <v>5</v>
      </c>
      <c r="R1063" s="331" t="str">
        <f t="shared" si="1"/>
        <v>Gastos_Gerais</v>
      </c>
      <c r="S1063" s="331" t="str">
        <f>IF(D1063="","",IF(OR(D1063=Plano!$A$1,D1063=Plano!$B$1),"entrada","saída"))</f>
        <v>saída</v>
      </c>
      <c r="T1063" s="332" t="s">
        <v>114</v>
      </c>
      <c r="U1063" s="332" t="s">
        <v>114</v>
      </c>
      <c r="V1063" s="344"/>
    </row>
    <row r="1064" spans="1:22" ht="51.75" customHeight="1" x14ac:dyDescent="0.2">
      <c r="A1064" s="277">
        <f>IF(B1064="","",COUNT('Diário 5º PA'!$A$5:$A$2634)+ROW()-4)</f>
        <v>2371</v>
      </c>
      <c r="B1064" s="278">
        <v>44362</v>
      </c>
      <c r="C1064" s="256">
        <v>44348</v>
      </c>
      <c r="D1064" s="255" t="s">
        <v>88</v>
      </c>
      <c r="E1064" s="255" t="s">
        <v>196</v>
      </c>
      <c r="F1064" s="258">
        <v>-1899.31</v>
      </c>
      <c r="G1064" s="250" t="s">
        <v>1419</v>
      </c>
      <c r="H1064" s="255" t="s">
        <v>114</v>
      </c>
      <c r="I1064" s="250" t="s">
        <v>983</v>
      </c>
      <c r="J1064" s="255" t="s">
        <v>850</v>
      </c>
      <c r="K1064" s="255" t="s">
        <v>946</v>
      </c>
      <c r="L1064" s="250" t="s">
        <v>947</v>
      </c>
      <c r="M1064" s="277" t="s">
        <v>114</v>
      </c>
      <c r="N1064" s="278">
        <v>44362</v>
      </c>
      <c r="O1064" s="329" t="s">
        <v>67</v>
      </c>
      <c r="P1064" s="330">
        <f t="shared" ref="P1064:Q1064" si="1060">IF(B1064=0,0,IF(YEAR(B1064)=$Q$1,MONTH(B1064)-$P$1+1,(YEAR(B1064)-$Q$1)*12-$P$1+1+MONTH(B1064)))</f>
        <v>6</v>
      </c>
      <c r="Q1064" s="330">
        <f t="shared" si="1060"/>
        <v>6</v>
      </c>
      <c r="R1064" s="331" t="str">
        <f t="shared" si="1"/>
        <v>Gastos_com_Pessoal</v>
      </c>
      <c r="S1064" s="331" t="str">
        <f>IF(D1064="","",IF(OR(D1064=Plano!$A$1,D1064=Plano!$B$1),"entrada","saída"))</f>
        <v>saída</v>
      </c>
      <c r="T1064" s="332" t="s">
        <v>114</v>
      </c>
      <c r="U1064" s="332" t="s">
        <v>114</v>
      </c>
      <c r="V1064" s="344"/>
    </row>
    <row r="1065" spans="1:22" ht="48.75" customHeight="1" x14ac:dyDescent="0.2">
      <c r="A1065" s="277">
        <f>IF(B1065="","",COUNT('Diário 5º PA'!$A$5:$A$2634)+ROW()-4)</f>
        <v>2372</v>
      </c>
      <c r="B1065" s="278">
        <v>44362</v>
      </c>
      <c r="C1065" s="259">
        <v>44348</v>
      </c>
      <c r="D1065" s="255" t="s">
        <v>88</v>
      </c>
      <c r="E1065" s="255" t="s">
        <v>181</v>
      </c>
      <c r="F1065" s="258">
        <v>8951.9699999999993</v>
      </c>
      <c r="G1065" s="255" t="s">
        <v>4954</v>
      </c>
      <c r="H1065" s="255" t="s">
        <v>114</v>
      </c>
      <c r="I1065" s="250" t="s">
        <v>2756</v>
      </c>
      <c r="J1065" s="250" t="s">
        <v>2757</v>
      </c>
      <c r="K1065" s="255" t="s">
        <v>991</v>
      </c>
      <c r="L1065" s="250" t="s">
        <v>1352</v>
      </c>
      <c r="M1065" s="277" t="s">
        <v>114</v>
      </c>
      <c r="N1065" s="278">
        <v>44362</v>
      </c>
      <c r="O1065" s="329" t="s">
        <v>67</v>
      </c>
      <c r="P1065" s="330">
        <f t="shared" ref="P1065:Q1065" si="1061">IF(B1065=0,0,IF(YEAR(B1065)=$Q$1,MONTH(B1065)-$P$1+1,(YEAR(B1065)-$Q$1)*12-$P$1+1+MONTH(B1065)))</f>
        <v>6</v>
      </c>
      <c r="Q1065" s="330">
        <f t="shared" si="1061"/>
        <v>6</v>
      </c>
      <c r="R1065" s="331" t="str">
        <f t="shared" si="1"/>
        <v>Gastos_com_Pessoal</v>
      </c>
      <c r="S1065" s="331" t="str">
        <f>IF(D1065="","",IF(OR(D1065=Plano!$A$1,D1065=Plano!$B$1),"entrada","saída"))</f>
        <v>saída</v>
      </c>
      <c r="T1065" s="332" t="s">
        <v>114</v>
      </c>
      <c r="U1065" s="332" t="s">
        <v>114</v>
      </c>
      <c r="V1065" s="344"/>
    </row>
    <row r="1066" spans="1:22" ht="134.25" customHeight="1" x14ac:dyDescent="0.2">
      <c r="A1066" s="277">
        <f>IF(B1066="","",COUNT('Diário 5º PA'!$A$5:$A$2634)+ROW()-4)</f>
        <v>2373</v>
      </c>
      <c r="B1066" s="278">
        <v>44362</v>
      </c>
      <c r="C1066" s="249">
        <v>44287</v>
      </c>
      <c r="D1066" s="255" t="s">
        <v>88</v>
      </c>
      <c r="E1066" s="255" t="s">
        <v>90</v>
      </c>
      <c r="F1066" s="258">
        <v>157.36000000000001</v>
      </c>
      <c r="G1066" s="255" t="s">
        <v>1423</v>
      </c>
      <c r="H1066" s="255" t="s">
        <v>114</v>
      </c>
      <c r="I1066" s="252" t="s">
        <v>542</v>
      </c>
      <c r="J1066" s="252" t="s">
        <v>543</v>
      </c>
      <c r="K1066" s="255" t="s">
        <v>560</v>
      </c>
      <c r="L1066" s="250" t="s">
        <v>1016</v>
      </c>
      <c r="M1066" s="277" t="s">
        <v>4955</v>
      </c>
      <c r="N1066" s="278">
        <v>44321</v>
      </c>
      <c r="O1066" s="329" t="s">
        <v>67</v>
      </c>
      <c r="P1066" s="330">
        <f t="shared" ref="P1066:Q1066" si="1062">IF(B1066=0,0,IF(YEAR(B1066)=$Q$1,MONTH(B1066)-$P$1+1,(YEAR(B1066)-$Q$1)*12-$P$1+1+MONTH(B1066)))</f>
        <v>6</v>
      </c>
      <c r="Q1066" s="330">
        <f t="shared" si="1062"/>
        <v>4</v>
      </c>
      <c r="R1066" s="331" t="str">
        <f t="shared" si="1"/>
        <v>Gastos_com_Pessoal</v>
      </c>
      <c r="S1066" s="331" t="str">
        <f>IF(D1066="","",IF(OR(D1066=Plano!$A$1,D1066=Plano!$B$1),"entrada","saída"))</f>
        <v>saída</v>
      </c>
      <c r="T1066" s="332" t="s">
        <v>1059</v>
      </c>
      <c r="U1066" s="332">
        <v>284</v>
      </c>
      <c r="V1066" s="344"/>
    </row>
    <row r="1067" spans="1:22" ht="134.25" customHeight="1" x14ac:dyDescent="0.2">
      <c r="A1067" s="277">
        <f>IF(B1067="","",COUNT('Diário 5º PA'!$A$5:$A$2634)+ROW()-4)</f>
        <v>2374</v>
      </c>
      <c r="B1067" s="278">
        <v>44362</v>
      </c>
      <c r="C1067" s="249">
        <v>44348</v>
      </c>
      <c r="D1067" s="255" t="s">
        <v>88</v>
      </c>
      <c r="E1067" s="255" t="s">
        <v>196</v>
      </c>
      <c r="F1067" s="258">
        <v>9284.17</v>
      </c>
      <c r="G1067" s="255" t="s">
        <v>541</v>
      </c>
      <c r="H1067" s="255" t="s">
        <v>114</v>
      </c>
      <c r="I1067" s="252" t="s">
        <v>542</v>
      </c>
      <c r="J1067" s="252" t="s">
        <v>543</v>
      </c>
      <c r="K1067" s="255" t="s">
        <v>560</v>
      </c>
      <c r="L1067" s="250" t="s">
        <v>1016</v>
      </c>
      <c r="M1067" s="277" t="s">
        <v>4956</v>
      </c>
      <c r="N1067" s="278">
        <v>44323</v>
      </c>
      <c r="O1067" s="329" t="s">
        <v>67</v>
      </c>
      <c r="P1067" s="330">
        <f t="shared" ref="P1067:Q1067" si="1063">IF(B1067=0,0,IF(YEAR(B1067)=$Q$1,MONTH(B1067)-$P$1+1,(YEAR(B1067)-$Q$1)*12-$P$1+1+MONTH(B1067)))</f>
        <v>6</v>
      </c>
      <c r="Q1067" s="330">
        <f t="shared" si="1063"/>
        <v>6</v>
      </c>
      <c r="R1067" s="331" t="str">
        <f t="shared" si="1"/>
        <v>Gastos_com_Pessoal</v>
      </c>
      <c r="S1067" s="331" t="str">
        <f>IF(D1067="","",IF(OR(D1067=Plano!$A$1,D1067=Plano!$B$1),"entrada","saída"))</f>
        <v>saída</v>
      </c>
      <c r="T1067" s="332" t="s">
        <v>1059</v>
      </c>
      <c r="U1067" s="332">
        <v>284</v>
      </c>
      <c r="V1067" s="344"/>
    </row>
    <row r="1068" spans="1:22" ht="90.75" customHeight="1" x14ac:dyDescent="0.2">
      <c r="A1068" s="277">
        <f>IF(B1068="","",COUNT('Diário 5º PA'!$A$5:$A$2634)+ROW()-4)</f>
        <v>2375</v>
      </c>
      <c r="B1068" s="278">
        <v>44362</v>
      </c>
      <c r="C1068" s="249">
        <v>44317</v>
      </c>
      <c r="D1068" s="255" t="s">
        <v>99</v>
      </c>
      <c r="E1068" s="255" t="s">
        <v>312</v>
      </c>
      <c r="F1068" s="258">
        <v>225.58</v>
      </c>
      <c r="G1068" s="255" t="s">
        <v>439</v>
      </c>
      <c r="H1068" s="255" t="s">
        <v>115</v>
      </c>
      <c r="I1068" s="252" t="s">
        <v>1421</v>
      </c>
      <c r="J1068" s="252" t="s">
        <v>441</v>
      </c>
      <c r="K1068" s="255" t="s">
        <v>560</v>
      </c>
      <c r="L1068" s="250" t="s">
        <v>1016</v>
      </c>
      <c r="M1068" s="277">
        <v>3246117</v>
      </c>
      <c r="N1068" s="278">
        <v>44348</v>
      </c>
      <c r="O1068" s="329" t="s">
        <v>67</v>
      </c>
      <c r="P1068" s="330">
        <f t="shared" ref="P1068:Q1068" si="1064">IF(B1068=0,0,IF(YEAR(B1068)=$Q$1,MONTH(B1068)-$P$1+1,(YEAR(B1068)-$Q$1)*12-$P$1+1+MONTH(B1068)))</f>
        <v>6</v>
      </c>
      <c r="Q1068" s="330">
        <f t="shared" si="1064"/>
        <v>5</v>
      </c>
      <c r="R1068" s="331" t="str">
        <f t="shared" si="1"/>
        <v>Gastos_Gerais</v>
      </c>
      <c r="S1068" s="331" t="str">
        <f>IF(D1068="","",IF(OR(D1068=Plano!$A$1,D1068=Plano!$B$1),"entrada","saída"))</f>
        <v>saída</v>
      </c>
      <c r="T1068" s="332" t="s">
        <v>1059</v>
      </c>
      <c r="U1068" s="332">
        <v>1142</v>
      </c>
      <c r="V1068" s="344"/>
    </row>
    <row r="1069" spans="1:22" ht="48.75" customHeight="1" x14ac:dyDescent="0.2">
      <c r="A1069" s="277">
        <f>IF(B1069="","",COUNT('Diário 5º PA'!$A$5:$A$2634)+ROW()-4)</f>
        <v>2376</v>
      </c>
      <c r="B1069" s="278">
        <v>44362</v>
      </c>
      <c r="C1069" s="249">
        <v>44348</v>
      </c>
      <c r="D1069" s="255" t="s">
        <v>99</v>
      </c>
      <c r="E1069" s="255" t="s">
        <v>272</v>
      </c>
      <c r="F1069" s="258">
        <v>10.45</v>
      </c>
      <c r="G1069" s="255" t="s">
        <v>4957</v>
      </c>
      <c r="H1069" s="255" t="s">
        <v>114</v>
      </c>
      <c r="I1069" s="250" t="s">
        <v>949</v>
      </c>
      <c r="J1069" s="255" t="s">
        <v>950</v>
      </c>
      <c r="K1069" s="255" t="s">
        <v>951</v>
      </c>
      <c r="L1069" s="250" t="s">
        <v>947</v>
      </c>
      <c r="M1069" s="336" t="s">
        <v>114</v>
      </c>
      <c r="N1069" s="278">
        <v>44362</v>
      </c>
      <c r="O1069" s="329" t="s">
        <v>67</v>
      </c>
      <c r="P1069" s="330">
        <f t="shared" ref="P1069:Q1069" si="1065">IF(B1069=0,0,IF(YEAR(B1069)=$Q$1,MONTH(B1069)-$P$1+1,(YEAR(B1069)-$Q$1)*12-$P$1+1+MONTH(B1069)))</f>
        <v>6</v>
      </c>
      <c r="Q1069" s="330">
        <f t="shared" si="1065"/>
        <v>6</v>
      </c>
      <c r="R1069" s="331" t="str">
        <f t="shared" si="1"/>
        <v>Gastos_Gerais</v>
      </c>
      <c r="S1069" s="331" t="str">
        <f>IF(D1069="","",IF(OR(D1069=Plano!$A$1,D1069=Plano!$B$1),"entrada","saída"))</f>
        <v>saída</v>
      </c>
      <c r="T1069" s="332" t="s">
        <v>114</v>
      </c>
      <c r="U1069" s="332" t="s">
        <v>114</v>
      </c>
      <c r="V1069" s="344"/>
    </row>
    <row r="1070" spans="1:22" ht="132.75" customHeight="1" x14ac:dyDescent="0.2">
      <c r="A1070" s="277">
        <f>IF(B1070="","",COUNT('Diário 5º PA'!$A$5:$A$2634)+ROW()-4)</f>
        <v>2377</v>
      </c>
      <c r="B1070" s="278">
        <v>44363</v>
      </c>
      <c r="C1070" s="256">
        <v>44317</v>
      </c>
      <c r="D1070" s="250" t="s">
        <v>99</v>
      </c>
      <c r="E1070" s="250" t="s">
        <v>226</v>
      </c>
      <c r="F1070" s="258">
        <v>-760.61</v>
      </c>
      <c r="G1070" s="255" t="s">
        <v>4958</v>
      </c>
      <c r="H1070" s="255" t="s">
        <v>115</v>
      </c>
      <c r="I1070" s="250" t="s">
        <v>983</v>
      </c>
      <c r="J1070" s="255" t="s">
        <v>850</v>
      </c>
      <c r="K1070" s="255" t="s">
        <v>946</v>
      </c>
      <c r="L1070" s="250" t="s">
        <v>947</v>
      </c>
      <c r="M1070" s="277" t="s">
        <v>114</v>
      </c>
      <c r="N1070" s="278">
        <v>44363</v>
      </c>
      <c r="O1070" s="329" t="s">
        <v>67</v>
      </c>
      <c r="P1070" s="330">
        <f t="shared" ref="P1070:Q1070" si="1066">IF(B1070=0,0,IF(YEAR(B1070)=$Q$1,MONTH(B1070)-$P$1+1,(YEAR(B1070)-$Q$1)*12-$P$1+1+MONTH(B1070)))</f>
        <v>6</v>
      </c>
      <c r="Q1070" s="330">
        <f t="shared" si="1066"/>
        <v>5</v>
      </c>
      <c r="R1070" s="331" t="str">
        <f t="shared" si="1"/>
        <v>Gastos_Gerais</v>
      </c>
      <c r="S1070" s="331" t="str">
        <f>IF(D1070="","",IF(OR(D1070=Plano!$A$1,D1070=Plano!$B$1),"entrada","saída"))</f>
        <v>saída</v>
      </c>
      <c r="T1070" s="332" t="s">
        <v>114</v>
      </c>
      <c r="U1070" s="332" t="s">
        <v>114</v>
      </c>
      <c r="V1070" s="344"/>
    </row>
    <row r="1071" spans="1:22" ht="240.75" customHeight="1" x14ac:dyDescent="0.2">
      <c r="A1071" s="277">
        <f>IF(B1071="","",COUNT('Diário 5º PA'!$A$5:$A$2634)+ROW()-4)</f>
        <v>2378</v>
      </c>
      <c r="B1071" s="278">
        <v>44363</v>
      </c>
      <c r="C1071" s="259">
        <v>44348</v>
      </c>
      <c r="D1071" s="252" t="s">
        <v>99</v>
      </c>
      <c r="E1071" s="252" t="s">
        <v>330</v>
      </c>
      <c r="F1071" s="257">
        <v>7500</v>
      </c>
      <c r="G1071" s="252" t="s">
        <v>4959</v>
      </c>
      <c r="H1071" s="252" t="s">
        <v>131</v>
      </c>
      <c r="I1071" s="250" t="s">
        <v>4960</v>
      </c>
      <c r="J1071" s="250" t="s">
        <v>667</v>
      </c>
      <c r="K1071" s="255" t="s">
        <v>4755</v>
      </c>
      <c r="L1071" s="250" t="s">
        <v>992</v>
      </c>
      <c r="M1071" s="277" t="s">
        <v>1305</v>
      </c>
      <c r="N1071" s="278">
        <v>44362</v>
      </c>
      <c r="O1071" s="329" t="s">
        <v>67</v>
      </c>
      <c r="P1071" s="330">
        <f t="shared" ref="P1071:Q1071" si="1067">IF(B1071=0,0,IF(YEAR(B1071)=$Q$1,MONTH(B1071)-$P$1+1,(YEAR(B1071)-$Q$1)*12-$P$1+1+MONTH(B1071)))</f>
        <v>6</v>
      </c>
      <c r="Q1071" s="330">
        <f t="shared" si="1067"/>
        <v>6</v>
      </c>
      <c r="R1071" s="331" t="str">
        <f t="shared" si="1"/>
        <v>Gastos_Gerais</v>
      </c>
      <c r="S1071" s="331" t="str">
        <f>IF(D1071="","",IF(OR(D1071=Plano!$A$1,D1071=Plano!$B$1),"entrada","saída"))</f>
        <v>saída</v>
      </c>
      <c r="T1071" s="332" t="s">
        <v>1059</v>
      </c>
      <c r="U1071" s="332">
        <v>1601</v>
      </c>
      <c r="V1071" s="344"/>
    </row>
    <row r="1072" spans="1:22" ht="15.75" customHeight="1" x14ac:dyDescent="0.2">
      <c r="A1072" s="277">
        <f>IF(B1072="","",COUNT('Diário 5º PA'!$A$5:$A$2634)+ROW()-4)</f>
        <v>2379</v>
      </c>
      <c r="B1072" s="278">
        <v>44363</v>
      </c>
      <c r="C1072" s="259">
        <v>44317</v>
      </c>
      <c r="D1072" s="250" t="s">
        <v>99</v>
      </c>
      <c r="E1072" s="250" t="s">
        <v>330</v>
      </c>
      <c r="F1072" s="251">
        <v>174.8</v>
      </c>
      <c r="G1072" s="250" t="s">
        <v>554</v>
      </c>
      <c r="H1072" s="250" t="s">
        <v>128</v>
      </c>
      <c r="I1072" s="252" t="s">
        <v>1430</v>
      </c>
      <c r="J1072" s="250" t="s">
        <v>556</v>
      </c>
      <c r="K1072" s="255" t="s">
        <v>1015</v>
      </c>
      <c r="L1072" s="250" t="s">
        <v>1177</v>
      </c>
      <c r="M1072" s="277" t="s">
        <v>114</v>
      </c>
      <c r="N1072" s="278">
        <v>44363</v>
      </c>
      <c r="O1072" s="329" t="s">
        <v>67</v>
      </c>
      <c r="P1072" s="330">
        <f t="shared" ref="P1072:Q1072" si="1068">IF(B1072=0,0,IF(YEAR(B1072)=$Q$1,MONTH(B1072)-$P$1+1,(YEAR(B1072)-$Q$1)*12-$P$1+1+MONTH(B1072)))</f>
        <v>6</v>
      </c>
      <c r="Q1072" s="330">
        <f t="shared" si="1068"/>
        <v>5</v>
      </c>
      <c r="R1072" s="331" t="str">
        <f t="shared" si="1"/>
        <v>Gastos_Gerais</v>
      </c>
      <c r="S1072" s="331" t="str">
        <f>IF(D1072="","",IF(OR(D1072=Plano!$A$1,D1072=Plano!$B$1),"entrada","saída"))</f>
        <v>saída</v>
      </c>
      <c r="T1072" s="332" t="s">
        <v>1059</v>
      </c>
      <c r="U1072" s="332">
        <v>1336</v>
      </c>
      <c r="V1072" s="344"/>
    </row>
    <row r="1073" spans="1:22" ht="110.25" customHeight="1" x14ac:dyDescent="0.2">
      <c r="A1073" s="277">
        <f>IF(B1073="","",COUNT('Diário 5º PA'!$A$5:$A$2634)+ROW()-4)</f>
        <v>2380</v>
      </c>
      <c r="B1073" s="278">
        <v>44363</v>
      </c>
      <c r="C1073" s="259">
        <v>44317</v>
      </c>
      <c r="D1073" s="252" t="s">
        <v>99</v>
      </c>
      <c r="E1073" s="252" t="s">
        <v>364</v>
      </c>
      <c r="F1073" s="257">
        <v>439.1</v>
      </c>
      <c r="G1073" s="252" t="s">
        <v>4961</v>
      </c>
      <c r="H1073" s="252" t="s">
        <v>127</v>
      </c>
      <c r="I1073" s="250" t="s">
        <v>1432</v>
      </c>
      <c r="J1073" s="250" t="s">
        <v>556</v>
      </c>
      <c r="K1073" s="255" t="s">
        <v>1015</v>
      </c>
      <c r="L1073" s="250" t="s">
        <v>1177</v>
      </c>
      <c r="M1073" s="277" t="s">
        <v>114</v>
      </c>
      <c r="N1073" s="278">
        <v>44363</v>
      </c>
      <c r="O1073" s="329" t="s">
        <v>67</v>
      </c>
      <c r="P1073" s="330">
        <f t="shared" ref="P1073:Q1073" si="1069">IF(B1073=0,0,IF(YEAR(B1073)=$Q$1,MONTH(B1073)-$P$1+1,(YEAR(B1073)-$Q$1)*12-$P$1+1+MONTH(B1073)))</f>
        <v>6</v>
      </c>
      <c r="Q1073" s="330">
        <f t="shared" si="1069"/>
        <v>5</v>
      </c>
      <c r="R1073" s="331" t="str">
        <f t="shared" si="1"/>
        <v>Gastos_Gerais</v>
      </c>
      <c r="S1073" s="331" t="str">
        <f>IF(D1073="","",IF(OR(D1073=Plano!$A$1,D1073=Plano!$B$1),"entrada","saída"))</f>
        <v>saída</v>
      </c>
      <c r="T1073" s="332" t="s">
        <v>1059</v>
      </c>
      <c r="U1073" s="332">
        <v>1586</v>
      </c>
      <c r="V1073" s="344"/>
    </row>
    <row r="1074" spans="1:22" ht="197.25" customHeight="1" x14ac:dyDescent="0.2">
      <c r="A1074" s="277">
        <f>IF(B1074="","",COUNT('Diário 5º PA'!$A$5:$A$2634)+ROW()-4)</f>
        <v>2381</v>
      </c>
      <c r="B1074" s="278">
        <v>44363</v>
      </c>
      <c r="C1074" s="259">
        <v>44317</v>
      </c>
      <c r="D1074" s="252" t="s">
        <v>99</v>
      </c>
      <c r="E1074" s="252" t="s">
        <v>330</v>
      </c>
      <c r="F1074" s="257">
        <v>77</v>
      </c>
      <c r="G1074" s="252" t="s">
        <v>4962</v>
      </c>
      <c r="H1074" s="252" t="s">
        <v>116</v>
      </c>
      <c r="I1074" s="250" t="s">
        <v>4963</v>
      </c>
      <c r="J1074" s="250" t="s">
        <v>4964</v>
      </c>
      <c r="K1074" s="255" t="s">
        <v>560</v>
      </c>
      <c r="L1074" s="250" t="s">
        <v>1016</v>
      </c>
      <c r="M1074" s="277">
        <v>65497</v>
      </c>
      <c r="N1074" s="278">
        <v>44342</v>
      </c>
      <c r="O1074" s="329" t="s">
        <v>67</v>
      </c>
      <c r="P1074" s="330">
        <f t="shared" ref="P1074:Q1074" si="1070">IF(B1074=0,0,IF(YEAR(B1074)=$Q$1,MONTH(B1074)-$P$1+1,(YEAR(B1074)-$Q$1)*12-$P$1+1+MONTH(B1074)))</f>
        <v>6</v>
      </c>
      <c r="Q1074" s="330">
        <f t="shared" si="1070"/>
        <v>5</v>
      </c>
      <c r="R1074" s="331" t="str">
        <f t="shared" si="1"/>
        <v>Gastos_Gerais</v>
      </c>
      <c r="S1074" s="331" t="str">
        <f>IF(D1074="","",IF(OR(D1074=Plano!$A$1,D1074=Plano!$B$1),"entrada","saída"))</f>
        <v>saída</v>
      </c>
      <c r="T1074" s="332" t="s">
        <v>1011</v>
      </c>
      <c r="U1074" s="332">
        <v>1590</v>
      </c>
      <c r="V1074" s="344"/>
    </row>
    <row r="1075" spans="1:22" ht="183" customHeight="1" x14ac:dyDescent="0.2">
      <c r="A1075" s="277">
        <f>IF(B1075="","",COUNT('Diário 5º PA'!$A$5:$A$2634)+ROW()-4)</f>
        <v>2382</v>
      </c>
      <c r="B1075" s="278">
        <v>44363</v>
      </c>
      <c r="C1075" s="249">
        <v>44317</v>
      </c>
      <c r="D1075" s="250" t="s">
        <v>99</v>
      </c>
      <c r="E1075" s="250" t="s">
        <v>226</v>
      </c>
      <c r="F1075" s="251">
        <v>2058.6</v>
      </c>
      <c r="G1075" s="250" t="s">
        <v>4965</v>
      </c>
      <c r="H1075" s="250" t="s">
        <v>115</v>
      </c>
      <c r="I1075" s="250" t="s">
        <v>1446</v>
      </c>
      <c r="J1075" s="250" t="s">
        <v>660</v>
      </c>
      <c r="K1075" s="255" t="s">
        <v>991</v>
      </c>
      <c r="L1075" s="250" t="s">
        <v>1029</v>
      </c>
      <c r="M1075" s="277">
        <v>1200</v>
      </c>
      <c r="N1075" s="278">
        <v>44358</v>
      </c>
      <c r="O1075" s="329" t="s">
        <v>67</v>
      </c>
      <c r="P1075" s="330">
        <f t="shared" ref="P1075:Q1075" si="1071">IF(B1075=0,0,IF(YEAR(B1075)=$Q$1,MONTH(B1075)-$P$1+1,(YEAR(B1075)-$Q$1)*12-$P$1+1+MONTH(B1075)))</f>
        <v>6</v>
      </c>
      <c r="Q1075" s="330">
        <f t="shared" si="1071"/>
        <v>5</v>
      </c>
      <c r="R1075" s="331" t="str">
        <f t="shared" si="1"/>
        <v>Gastos_Gerais</v>
      </c>
      <c r="S1075" s="331" t="str">
        <f>IF(D1075="","",IF(OR(D1075=Plano!$A$1,D1075=Plano!$B$1),"entrada","saída"))</f>
        <v>saída</v>
      </c>
      <c r="T1075" s="332" t="s">
        <v>1059</v>
      </c>
      <c r="U1075" s="332">
        <v>1559</v>
      </c>
      <c r="V1075" s="344"/>
    </row>
    <row r="1076" spans="1:22" ht="57.75" customHeight="1" x14ac:dyDescent="0.2">
      <c r="A1076" s="277">
        <f>IF(B1076="","",COUNT('Diário 5º PA'!$A$5:$A$2634)+ROW()-4)</f>
        <v>2383</v>
      </c>
      <c r="B1076" s="278">
        <v>44363</v>
      </c>
      <c r="C1076" s="335">
        <v>44348</v>
      </c>
      <c r="D1076" s="255" t="s">
        <v>99</v>
      </c>
      <c r="E1076" s="255" t="s">
        <v>272</v>
      </c>
      <c r="F1076" s="258">
        <v>10.45</v>
      </c>
      <c r="G1076" s="255" t="s">
        <v>4966</v>
      </c>
      <c r="H1076" s="250" t="s">
        <v>115</v>
      </c>
      <c r="I1076" s="250" t="s">
        <v>949</v>
      </c>
      <c r="J1076" s="255" t="s">
        <v>950</v>
      </c>
      <c r="K1076" s="255" t="s">
        <v>951</v>
      </c>
      <c r="L1076" s="250" t="s">
        <v>947</v>
      </c>
      <c r="M1076" s="336" t="s">
        <v>114</v>
      </c>
      <c r="N1076" s="278">
        <v>44363</v>
      </c>
      <c r="O1076" s="329" t="s">
        <v>67</v>
      </c>
      <c r="P1076" s="330">
        <f t="shared" ref="P1076:Q1076" si="1072">IF(B1076=0,0,IF(YEAR(B1076)=$Q$1,MONTH(B1076)-$P$1+1,(YEAR(B1076)-$Q$1)*12-$P$1+1+MONTH(B1076)))</f>
        <v>6</v>
      </c>
      <c r="Q1076" s="330">
        <f t="shared" si="1072"/>
        <v>6</v>
      </c>
      <c r="R1076" s="331" t="str">
        <f t="shared" si="1"/>
        <v>Gastos_Gerais</v>
      </c>
      <c r="S1076" s="331" t="str">
        <f>IF(D1076="","",IF(OR(D1076=Plano!$A$1,D1076=Plano!$B$1),"entrada","saída"))</f>
        <v>saída</v>
      </c>
      <c r="T1076" s="332" t="s">
        <v>114</v>
      </c>
      <c r="U1076" s="332" t="s">
        <v>114</v>
      </c>
      <c r="V1076" s="344"/>
    </row>
    <row r="1077" spans="1:22" ht="73.5" customHeight="1" x14ac:dyDescent="0.2">
      <c r="A1077" s="277">
        <f>IF(B1077="","",COUNT('Diário 5º PA'!$A$5:$A$2634)+ROW()-4)</f>
        <v>2384</v>
      </c>
      <c r="B1077" s="278">
        <v>44364</v>
      </c>
      <c r="C1077" s="256">
        <v>44317</v>
      </c>
      <c r="D1077" s="255" t="s">
        <v>99</v>
      </c>
      <c r="E1077" s="255" t="s">
        <v>216</v>
      </c>
      <c r="F1077" s="258">
        <v>-69.569999999999993</v>
      </c>
      <c r="G1077" s="255" t="s">
        <v>4967</v>
      </c>
      <c r="H1077" s="255" t="s">
        <v>115</v>
      </c>
      <c r="I1077" s="250" t="s">
        <v>983</v>
      </c>
      <c r="J1077" s="255" t="s">
        <v>850</v>
      </c>
      <c r="K1077" s="255" t="s">
        <v>946</v>
      </c>
      <c r="L1077" s="250" t="s">
        <v>947</v>
      </c>
      <c r="M1077" s="277" t="s">
        <v>114</v>
      </c>
      <c r="N1077" s="278">
        <v>44364</v>
      </c>
      <c r="O1077" s="329" t="s">
        <v>67</v>
      </c>
      <c r="P1077" s="330">
        <f t="shared" ref="P1077:Q1077" si="1073">IF(B1077=0,0,IF(YEAR(B1077)=$Q$1,MONTH(B1077)-$P$1+1,(YEAR(B1077)-$Q$1)*12-$P$1+1+MONTH(B1077)))</f>
        <v>6</v>
      </c>
      <c r="Q1077" s="330">
        <f t="shared" si="1073"/>
        <v>5</v>
      </c>
      <c r="R1077" s="331" t="str">
        <f t="shared" si="1"/>
        <v>Gastos_Gerais</v>
      </c>
      <c r="S1077" s="331" t="str">
        <f>IF(D1077="","",IF(OR(D1077=Plano!$A$1,D1077=Plano!$B$1),"entrada","saída"))</f>
        <v>saída</v>
      </c>
      <c r="T1077" s="332" t="s">
        <v>114</v>
      </c>
      <c r="U1077" s="332" t="s">
        <v>114</v>
      </c>
      <c r="V1077" s="344"/>
    </row>
    <row r="1078" spans="1:22" ht="64.5" customHeight="1" x14ac:dyDescent="0.2">
      <c r="A1078" s="277">
        <f>IF(B1078="","",COUNT('Diário 5º PA'!$A$5:$A$2634)+ROW()-4)</f>
        <v>2385</v>
      </c>
      <c r="B1078" s="278">
        <v>44364</v>
      </c>
      <c r="C1078" s="259">
        <v>44287</v>
      </c>
      <c r="D1078" s="252" t="s">
        <v>99</v>
      </c>
      <c r="E1078" s="252" t="s">
        <v>364</v>
      </c>
      <c r="F1078" s="257">
        <v>-2700</v>
      </c>
      <c r="G1078" s="255" t="s">
        <v>4968</v>
      </c>
      <c r="H1078" s="252" t="s">
        <v>117</v>
      </c>
      <c r="I1078" s="250" t="s">
        <v>983</v>
      </c>
      <c r="J1078" s="255" t="s">
        <v>850</v>
      </c>
      <c r="K1078" s="255" t="s">
        <v>946</v>
      </c>
      <c r="L1078" s="250" t="s">
        <v>947</v>
      </c>
      <c r="M1078" s="277" t="s">
        <v>114</v>
      </c>
      <c r="N1078" s="278">
        <v>44364</v>
      </c>
      <c r="O1078" s="329" t="s">
        <v>67</v>
      </c>
      <c r="P1078" s="330">
        <f t="shared" ref="P1078:Q1078" si="1074">IF(B1078=0,0,IF(YEAR(B1078)=$Q$1,MONTH(B1078)-$P$1+1,(YEAR(B1078)-$Q$1)*12-$P$1+1+MONTH(B1078)))</f>
        <v>6</v>
      </c>
      <c r="Q1078" s="330">
        <f t="shared" si="1074"/>
        <v>4</v>
      </c>
      <c r="R1078" s="331" t="str">
        <f t="shared" si="1"/>
        <v>Gastos_Gerais</v>
      </c>
      <c r="S1078" s="331" t="str">
        <f>IF(D1078="","",IF(OR(D1078=Plano!$A$1,D1078=Plano!$B$1),"entrada","saída"))</f>
        <v>saída</v>
      </c>
      <c r="T1078" s="332" t="s">
        <v>114</v>
      </c>
      <c r="U1078" s="332" t="s">
        <v>114</v>
      </c>
      <c r="V1078" s="344"/>
    </row>
    <row r="1079" spans="1:22" ht="24.75" customHeight="1" x14ac:dyDescent="0.2">
      <c r="A1079" s="277">
        <f>IF(B1079="","",COUNT('Diário 5º PA'!$A$5:$A$2634)+ROW()-4)</f>
        <v>2386</v>
      </c>
      <c r="B1079" s="278">
        <v>44364</v>
      </c>
      <c r="C1079" s="249">
        <v>44317</v>
      </c>
      <c r="D1079" s="255" t="s">
        <v>99</v>
      </c>
      <c r="E1079" s="255" t="s">
        <v>216</v>
      </c>
      <c r="F1079" s="258">
        <v>263.41000000000003</v>
      </c>
      <c r="G1079" s="252" t="s">
        <v>4969</v>
      </c>
      <c r="H1079" s="255" t="s">
        <v>115</v>
      </c>
      <c r="I1079" s="250" t="s">
        <v>513</v>
      </c>
      <c r="J1079" s="252" t="s">
        <v>514</v>
      </c>
      <c r="K1079" s="255" t="s">
        <v>696</v>
      </c>
      <c r="L1079" s="250" t="s">
        <v>697</v>
      </c>
      <c r="M1079" s="277">
        <v>59318662</v>
      </c>
      <c r="N1079" s="278">
        <v>44341</v>
      </c>
      <c r="O1079" s="329" t="s">
        <v>67</v>
      </c>
      <c r="P1079" s="330">
        <f t="shared" ref="P1079:Q1079" si="1075">IF(B1079=0,0,IF(YEAR(B1079)=$Q$1,MONTH(B1079)-$P$1+1,(YEAR(B1079)-$Q$1)*12-$P$1+1+MONTH(B1079)))</f>
        <v>6</v>
      </c>
      <c r="Q1079" s="330">
        <f t="shared" si="1075"/>
        <v>5</v>
      </c>
      <c r="R1079" s="331" t="str">
        <f t="shared" si="1"/>
        <v>Gastos_Gerais</v>
      </c>
      <c r="S1079" s="331" t="str">
        <f>IF(D1079="","",IF(OR(D1079=Plano!$A$1,D1079=Plano!$B$1),"entrada","saída"))</f>
        <v>saída</v>
      </c>
      <c r="T1079" s="332" t="s">
        <v>114</v>
      </c>
      <c r="U1079" s="332" t="s">
        <v>114</v>
      </c>
      <c r="V1079" s="344"/>
    </row>
    <row r="1080" spans="1:22" ht="216.75" customHeight="1" x14ac:dyDescent="0.2">
      <c r="A1080" s="277">
        <f>IF(B1080="","",COUNT('Diário 5º PA'!$A$5:$A$2634)+ROW()-4)</f>
        <v>2387</v>
      </c>
      <c r="B1080" s="278">
        <v>44364</v>
      </c>
      <c r="C1080" s="259">
        <v>44317</v>
      </c>
      <c r="D1080" s="252" t="s">
        <v>99</v>
      </c>
      <c r="E1080" s="252" t="s">
        <v>364</v>
      </c>
      <c r="F1080" s="257">
        <v>4605.53</v>
      </c>
      <c r="G1080" s="252" t="s">
        <v>4970</v>
      </c>
      <c r="H1080" s="252" t="s">
        <v>123</v>
      </c>
      <c r="I1080" s="250" t="s">
        <v>1454</v>
      </c>
      <c r="J1080" s="250" t="s">
        <v>1455</v>
      </c>
      <c r="K1080" s="255" t="s">
        <v>991</v>
      </c>
      <c r="L1080" s="250" t="s">
        <v>1016</v>
      </c>
      <c r="M1080" s="277" t="s">
        <v>3859</v>
      </c>
      <c r="N1080" s="278">
        <v>44364</v>
      </c>
      <c r="O1080" s="329" t="s">
        <v>67</v>
      </c>
      <c r="P1080" s="330">
        <f t="shared" ref="P1080:Q1080" si="1076">IF(B1080=0,0,IF(YEAR(B1080)=$Q$1,MONTH(B1080)-$P$1+1,(YEAR(B1080)-$Q$1)*12-$P$1+1+MONTH(B1080)))</f>
        <v>6</v>
      </c>
      <c r="Q1080" s="330">
        <f t="shared" si="1076"/>
        <v>5</v>
      </c>
      <c r="R1080" s="331" t="str">
        <f t="shared" si="1"/>
        <v>Gastos_Gerais</v>
      </c>
      <c r="S1080" s="331" t="str">
        <f>IF(D1080="","",IF(OR(D1080=Plano!$A$1,D1080=Plano!$B$1),"entrada","saída"))</f>
        <v>saída</v>
      </c>
      <c r="T1080" s="332" t="s">
        <v>1059</v>
      </c>
      <c r="U1080" s="332">
        <v>1597</v>
      </c>
      <c r="V1080" s="344"/>
    </row>
    <row r="1081" spans="1:22" ht="165.75" customHeight="1" x14ac:dyDescent="0.2">
      <c r="A1081" s="277">
        <f>IF(B1081="","",COUNT('Diário 5º PA'!$A$5:$A$2634)+ROW()-4)</f>
        <v>2388</v>
      </c>
      <c r="B1081" s="278">
        <v>44364</v>
      </c>
      <c r="C1081" s="259">
        <v>44317</v>
      </c>
      <c r="D1081" s="252" t="s">
        <v>99</v>
      </c>
      <c r="E1081" s="252" t="s">
        <v>336</v>
      </c>
      <c r="F1081" s="257">
        <v>2300</v>
      </c>
      <c r="G1081" s="252" t="s">
        <v>4388</v>
      </c>
      <c r="H1081" s="252" t="s">
        <v>116</v>
      </c>
      <c r="I1081" s="252" t="s">
        <v>2890</v>
      </c>
      <c r="J1081" s="250" t="s">
        <v>672</v>
      </c>
      <c r="K1081" s="255" t="s">
        <v>991</v>
      </c>
      <c r="L1081" s="250" t="s">
        <v>1016</v>
      </c>
      <c r="M1081" s="277">
        <v>174</v>
      </c>
      <c r="N1081" s="278">
        <v>44351</v>
      </c>
      <c r="O1081" s="329" t="s">
        <v>67</v>
      </c>
      <c r="P1081" s="330">
        <f t="shared" ref="P1081:Q1081" si="1077">IF(B1081=0,0,IF(YEAR(B1081)=$Q$1,MONTH(B1081)-$P$1+1,(YEAR(B1081)-$Q$1)*12-$P$1+1+MONTH(B1081)))</f>
        <v>6</v>
      </c>
      <c r="Q1081" s="330">
        <f t="shared" si="1077"/>
        <v>5</v>
      </c>
      <c r="R1081" s="331" t="str">
        <f t="shared" si="1"/>
        <v>Gastos_Gerais</v>
      </c>
      <c r="S1081" s="331" t="str">
        <f>IF(D1081="","",IF(OR(D1081=Plano!$A$1,D1081=Plano!$B$1),"entrada","saída"))</f>
        <v>saída</v>
      </c>
      <c r="T1081" s="332" t="s">
        <v>1059</v>
      </c>
      <c r="U1081" s="332">
        <v>1412</v>
      </c>
      <c r="V1081" s="344"/>
    </row>
    <row r="1082" spans="1:22" ht="42" customHeight="1" x14ac:dyDescent="0.2">
      <c r="A1082" s="277">
        <f>IF(B1082="","",COUNT('Diário 5º PA'!$A$5:$A$2634)+ROW()-4)</f>
        <v>2389</v>
      </c>
      <c r="B1082" s="278">
        <v>44364</v>
      </c>
      <c r="C1082" s="256">
        <v>44348</v>
      </c>
      <c r="D1082" s="255" t="s">
        <v>88</v>
      </c>
      <c r="E1082" s="255" t="s">
        <v>194</v>
      </c>
      <c r="F1082" s="258">
        <v>331.94</v>
      </c>
      <c r="G1082" s="255" t="s">
        <v>4971</v>
      </c>
      <c r="H1082" s="255" t="s">
        <v>114</v>
      </c>
      <c r="I1082" s="250" t="s">
        <v>532</v>
      </c>
      <c r="J1082" s="255" t="s">
        <v>1261</v>
      </c>
      <c r="K1082" s="255" t="s">
        <v>560</v>
      </c>
      <c r="L1082" s="250" t="s">
        <v>1016</v>
      </c>
      <c r="M1082" s="277">
        <v>963623</v>
      </c>
      <c r="N1082" s="278">
        <v>44369</v>
      </c>
      <c r="O1082" s="329" t="s">
        <v>67</v>
      </c>
      <c r="P1082" s="330">
        <f t="shared" ref="P1082:Q1082" si="1078">IF(B1082=0,0,IF(YEAR(B1082)=$Q$1,MONTH(B1082)-$P$1+1,(YEAR(B1082)-$Q$1)*12-$P$1+1+MONTH(B1082)))</f>
        <v>6</v>
      </c>
      <c r="Q1082" s="330">
        <f t="shared" si="1078"/>
        <v>6</v>
      </c>
      <c r="R1082" s="331" t="str">
        <f t="shared" si="1"/>
        <v>Gastos_com_Pessoal</v>
      </c>
      <c r="S1082" s="331" t="str">
        <f>IF(D1082="","",IF(OR(D1082=Plano!$A$1,D1082=Plano!$B$1),"entrada","saída"))</f>
        <v>saída</v>
      </c>
      <c r="T1082" s="332" t="s">
        <v>114</v>
      </c>
      <c r="U1082" s="332" t="s">
        <v>114</v>
      </c>
      <c r="V1082" s="344"/>
    </row>
    <row r="1083" spans="1:22" ht="60.75" customHeight="1" x14ac:dyDescent="0.2">
      <c r="A1083" s="277">
        <f>IF(B1083="","",COUNT('Diário 5º PA'!$A$5:$A$2634)+ROW()-4)</f>
        <v>2390</v>
      </c>
      <c r="B1083" s="278">
        <v>44364</v>
      </c>
      <c r="C1083" s="335">
        <v>44348</v>
      </c>
      <c r="D1083" s="255" t="s">
        <v>99</v>
      </c>
      <c r="E1083" s="255" t="s">
        <v>272</v>
      </c>
      <c r="F1083" s="258">
        <v>10.45</v>
      </c>
      <c r="G1083" s="255" t="s">
        <v>4972</v>
      </c>
      <c r="H1083" s="252" t="s">
        <v>123</v>
      </c>
      <c r="I1083" s="250" t="s">
        <v>949</v>
      </c>
      <c r="J1083" s="255" t="s">
        <v>950</v>
      </c>
      <c r="K1083" s="255" t="s">
        <v>951</v>
      </c>
      <c r="L1083" s="250" t="s">
        <v>947</v>
      </c>
      <c r="M1083" s="336" t="s">
        <v>114</v>
      </c>
      <c r="N1083" s="278">
        <v>44364</v>
      </c>
      <c r="O1083" s="329" t="s">
        <v>67</v>
      </c>
      <c r="P1083" s="330">
        <f t="shared" ref="P1083:Q1083" si="1079">IF(B1083=0,0,IF(YEAR(B1083)=$Q$1,MONTH(B1083)-$P$1+1,(YEAR(B1083)-$Q$1)*12-$P$1+1+MONTH(B1083)))</f>
        <v>6</v>
      </c>
      <c r="Q1083" s="330">
        <f t="shared" si="1079"/>
        <v>6</v>
      </c>
      <c r="R1083" s="331" t="str">
        <f t="shared" si="1"/>
        <v>Gastos_Gerais</v>
      </c>
      <c r="S1083" s="331" t="str">
        <f>IF(D1083="","",IF(OR(D1083=Plano!$A$1,D1083=Plano!$B$1),"entrada","saída"))</f>
        <v>saída</v>
      </c>
      <c r="T1083" s="332" t="s">
        <v>114</v>
      </c>
      <c r="U1083" s="332" t="s">
        <v>114</v>
      </c>
      <c r="V1083" s="344"/>
    </row>
    <row r="1084" spans="1:22" ht="55.5" customHeight="1" x14ac:dyDescent="0.2">
      <c r="A1084" s="277">
        <f>IF(B1084="","",COUNT('Diário 5º PA'!$A$5:$A$2634)+ROW()-4)</f>
        <v>2391</v>
      </c>
      <c r="B1084" s="278">
        <v>44364</v>
      </c>
      <c r="C1084" s="335">
        <v>44348</v>
      </c>
      <c r="D1084" s="255" t="s">
        <v>99</v>
      </c>
      <c r="E1084" s="255" t="s">
        <v>272</v>
      </c>
      <c r="F1084" s="258">
        <v>10.45</v>
      </c>
      <c r="G1084" s="255" t="s">
        <v>4925</v>
      </c>
      <c r="H1084" s="252" t="s">
        <v>116</v>
      </c>
      <c r="I1084" s="250" t="s">
        <v>949</v>
      </c>
      <c r="J1084" s="255" t="s">
        <v>950</v>
      </c>
      <c r="K1084" s="255" t="s">
        <v>951</v>
      </c>
      <c r="L1084" s="250" t="s">
        <v>947</v>
      </c>
      <c r="M1084" s="336" t="s">
        <v>114</v>
      </c>
      <c r="N1084" s="278">
        <v>44364</v>
      </c>
      <c r="O1084" s="329" t="s">
        <v>67</v>
      </c>
      <c r="P1084" s="330">
        <f t="shared" ref="P1084:Q1084" si="1080">IF(B1084=0,0,IF(YEAR(B1084)=$Q$1,MONTH(B1084)-$P$1+1,(YEAR(B1084)-$Q$1)*12-$P$1+1+MONTH(B1084)))</f>
        <v>6</v>
      </c>
      <c r="Q1084" s="330">
        <f t="shared" si="1080"/>
        <v>6</v>
      </c>
      <c r="R1084" s="331" t="str">
        <f t="shared" si="1"/>
        <v>Gastos_Gerais</v>
      </c>
      <c r="S1084" s="331" t="str">
        <f>IF(D1084="","",IF(OR(D1084=Plano!$A$1,D1084=Plano!$B$1),"entrada","saída"))</f>
        <v>saída</v>
      </c>
      <c r="T1084" s="332" t="s">
        <v>114</v>
      </c>
      <c r="U1084" s="332" t="s">
        <v>114</v>
      </c>
      <c r="V1084" s="344"/>
    </row>
    <row r="1085" spans="1:22" ht="137.25" customHeight="1" x14ac:dyDescent="0.2">
      <c r="A1085" s="277">
        <f>IF(B1085="","",COUNT('Diário 5º PA'!$A$5:$A$2634)+ROW()-4)</f>
        <v>2392</v>
      </c>
      <c r="B1085" s="278">
        <v>44365</v>
      </c>
      <c r="C1085" s="259">
        <v>44348</v>
      </c>
      <c r="D1085" s="252" t="s">
        <v>99</v>
      </c>
      <c r="E1085" s="252" t="s">
        <v>336</v>
      </c>
      <c r="F1085" s="257">
        <v>2500</v>
      </c>
      <c r="G1085" s="252" t="s">
        <v>4973</v>
      </c>
      <c r="H1085" s="252" t="s">
        <v>123</v>
      </c>
      <c r="I1085" s="250" t="s">
        <v>4974</v>
      </c>
      <c r="J1085" s="250" t="s">
        <v>4975</v>
      </c>
      <c r="K1085" s="255" t="s">
        <v>991</v>
      </c>
      <c r="L1085" s="250" t="s">
        <v>1016</v>
      </c>
      <c r="M1085" s="277" t="s">
        <v>1148</v>
      </c>
      <c r="N1085" s="278">
        <v>44364</v>
      </c>
      <c r="O1085" s="329" t="s">
        <v>67</v>
      </c>
      <c r="P1085" s="330">
        <f t="shared" ref="P1085:Q1085" si="1081">IF(B1085=0,0,IF(YEAR(B1085)=$Q$1,MONTH(B1085)-$P$1+1,(YEAR(B1085)-$Q$1)*12-$P$1+1+MONTH(B1085)))</f>
        <v>6</v>
      </c>
      <c r="Q1085" s="330">
        <f t="shared" si="1081"/>
        <v>6</v>
      </c>
      <c r="R1085" s="331" t="str">
        <f t="shared" si="1"/>
        <v>Gastos_Gerais</v>
      </c>
      <c r="S1085" s="331" t="str">
        <f>IF(D1085="","",IF(OR(D1085=Plano!$A$1,D1085=Plano!$B$1),"entrada","saída"))</f>
        <v>saída</v>
      </c>
      <c r="T1085" s="332" t="s">
        <v>994</v>
      </c>
      <c r="U1085" s="332">
        <v>1581</v>
      </c>
      <c r="V1085" s="344"/>
    </row>
    <row r="1086" spans="1:22" ht="45.75" customHeight="1" x14ac:dyDescent="0.2">
      <c r="A1086" s="277">
        <f>IF(B1086="","",COUNT('Diário 5º PA'!$A$5:$A$2634)+ROW()-4)</f>
        <v>2393</v>
      </c>
      <c r="B1086" s="278">
        <v>44365</v>
      </c>
      <c r="C1086" s="259">
        <v>44287</v>
      </c>
      <c r="D1086" s="252" t="s">
        <v>99</v>
      </c>
      <c r="E1086" s="252" t="s">
        <v>364</v>
      </c>
      <c r="F1086" s="257">
        <v>40.76</v>
      </c>
      <c r="G1086" s="252" t="s">
        <v>4976</v>
      </c>
      <c r="H1086" s="252" t="s">
        <v>132</v>
      </c>
      <c r="I1086" s="252" t="s">
        <v>488</v>
      </c>
      <c r="J1086" s="250" t="s">
        <v>114</v>
      </c>
      <c r="K1086" s="250" t="s">
        <v>466</v>
      </c>
      <c r="L1086" s="250" t="s">
        <v>489</v>
      </c>
      <c r="M1086" s="277" t="s">
        <v>114</v>
      </c>
      <c r="N1086" s="278">
        <v>44347</v>
      </c>
      <c r="O1086" s="329" t="s">
        <v>67</v>
      </c>
      <c r="P1086" s="330">
        <f t="shared" ref="P1086:Q1086" si="1082">IF(B1086=0,0,IF(YEAR(B1086)=$Q$1,MONTH(B1086)-$P$1+1,(YEAR(B1086)-$Q$1)*12-$P$1+1+MONTH(B1086)))</f>
        <v>6</v>
      </c>
      <c r="Q1086" s="330">
        <f t="shared" si="1082"/>
        <v>4</v>
      </c>
      <c r="R1086" s="331" t="str">
        <f t="shared" si="1"/>
        <v>Gastos_Gerais</v>
      </c>
      <c r="S1086" s="331" t="str">
        <f>IF(D1086="","",IF(OR(D1086=Plano!$A$1,D1086=Plano!$B$1),"entrada","saída"))</f>
        <v>saída</v>
      </c>
      <c r="T1086" s="332" t="s">
        <v>114</v>
      </c>
      <c r="U1086" s="332" t="s">
        <v>114</v>
      </c>
      <c r="V1086" s="344"/>
    </row>
    <row r="1087" spans="1:22" ht="52.5" customHeight="1" x14ac:dyDescent="0.2">
      <c r="A1087" s="277">
        <f>IF(B1087="","",COUNT('Diário 5º PA'!$A$5:$A$2634)+ROW()-4)</f>
        <v>2394</v>
      </c>
      <c r="B1087" s="278">
        <v>44365</v>
      </c>
      <c r="C1087" s="259">
        <v>44256</v>
      </c>
      <c r="D1087" s="252" t="s">
        <v>99</v>
      </c>
      <c r="E1087" s="252" t="s">
        <v>336</v>
      </c>
      <c r="F1087" s="257">
        <v>341.04</v>
      </c>
      <c r="G1087" s="252" t="s">
        <v>4977</v>
      </c>
      <c r="H1087" s="252" t="s">
        <v>117</v>
      </c>
      <c r="I1087" s="252" t="s">
        <v>488</v>
      </c>
      <c r="J1087" s="250" t="s">
        <v>114</v>
      </c>
      <c r="K1087" s="250" t="s">
        <v>466</v>
      </c>
      <c r="L1087" s="250" t="s">
        <v>489</v>
      </c>
      <c r="M1087" s="277" t="s">
        <v>114</v>
      </c>
      <c r="N1087" s="278">
        <v>44347</v>
      </c>
      <c r="O1087" s="329" t="s">
        <v>67</v>
      </c>
      <c r="P1087" s="330">
        <f t="shared" ref="P1087:Q1087" si="1083">IF(B1087=0,0,IF(YEAR(B1087)=$Q$1,MONTH(B1087)-$P$1+1,(YEAR(B1087)-$Q$1)*12-$P$1+1+MONTH(B1087)))</f>
        <v>6</v>
      </c>
      <c r="Q1087" s="330">
        <f t="shared" si="1083"/>
        <v>3</v>
      </c>
      <c r="R1087" s="331" t="str">
        <f t="shared" si="1"/>
        <v>Gastos_Gerais</v>
      </c>
      <c r="S1087" s="331" t="str">
        <f>IF(D1087="","",IF(OR(D1087=Plano!$A$1,D1087=Plano!$B$1),"entrada","saída"))</f>
        <v>saída</v>
      </c>
      <c r="T1087" s="332" t="s">
        <v>114</v>
      </c>
      <c r="U1087" s="332" t="s">
        <v>114</v>
      </c>
      <c r="V1087" s="344"/>
    </row>
    <row r="1088" spans="1:22" ht="55.5" customHeight="1" x14ac:dyDescent="0.2">
      <c r="A1088" s="277">
        <f>IF(B1088="","",COUNT('Diário 5º PA'!$A$5:$A$2634)+ROW()-4)</f>
        <v>2395</v>
      </c>
      <c r="B1088" s="278">
        <v>44365</v>
      </c>
      <c r="C1088" s="259">
        <v>44287</v>
      </c>
      <c r="D1088" s="252" t="s">
        <v>99</v>
      </c>
      <c r="E1088" s="252" t="s">
        <v>336</v>
      </c>
      <c r="F1088" s="257">
        <v>24.08</v>
      </c>
      <c r="G1088" s="252" t="s">
        <v>4978</v>
      </c>
      <c r="H1088" s="252" t="s">
        <v>117</v>
      </c>
      <c r="I1088" s="252" t="s">
        <v>488</v>
      </c>
      <c r="J1088" s="250" t="s">
        <v>114</v>
      </c>
      <c r="K1088" s="250" t="s">
        <v>466</v>
      </c>
      <c r="L1088" s="250" t="s">
        <v>489</v>
      </c>
      <c r="M1088" s="277" t="s">
        <v>114</v>
      </c>
      <c r="N1088" s="278">
        <v>44347</v>
      </c>
      <c r="O1088" s="329" t="s">
        <v>67</v>
      </c>
      <c r="P1088" s="330">
        <f t="shared" ref="P1088:Q1088" si="1084">IF(B1088=0,0,IF(YEAR(B1088)=$Q$1,MONTH(B1088)-$P$1+1,(YEAR(B1088)-$Q$1)*12-$P$1+1+MONTH(B1088)))</f>
        <v>6</v>
      </c>
      <c r="Q1088" s="330">
        <f t="shared" si="1084"/>
        <v>4</v>
      </c>
      <c r="R1088" s="331" t="str">
        <f t="shared" si="1"/>
        <v>Gastos_Gerais</v>
      </c>
      <c r="S1088" s="331" t="str">
        <f>IF(D1088="","",IF(OR(D1088=Plano!$A$1,D1088=Plano!$B$1),"entrada","saída"))</f>
        <v>saída</v>
      </c>
      <c r="T1088" s="332" t="s">
        <v>114</v>
      </c>
      <c r="U1088" s="332" t="s">
        <v>114</v>
      </c>
      <c r="V1088" s="344"/>
    </row>
    <row r="1089" spans="1:22" ht="51" customHeight="1" x14ac:dyDescent="0.2">
      <c r="A1089" s="277">
        <f>IF(B1089="","",COUNT('Diário 5º PA'!$A$5:$A$2634)+ROW()-4)</f>
        <v>2396</v>
      </c>
      <c r="B1089" s="278">
        <v>44365</v>
      </c>
      <c r="C1089" s="259">
        <v>44256</v>
      </c>
      <c r="D1089" s="252" t="s">
        <v>99</v>
      </c>
      <c r="E1089" s="252" t="s">
        <v>262</v>
      </c>
      <c r="F1089" s="257">
        <v>57.45</v>
      </c>
      <c r="G1089" s="252" t="s">
        <v>4979</v>
      </c>
      <c r="H1089" s="252" t="s">
        <v>127</v>
      </c>
      <c r="I1089" s="252" t="s">
        <v>488</v>
      </c>
      <c r="J1089" s="250" t="s">
        <v>114</v>
      </c>
      <c r="K1089" s="250" t="s">
        <v>466</v>
      </c>
      <c r="L1089" s="250" t="s">
        <v>489</v>
      </c>
      <c r="M1089" s="277" t="s">
        <v>114</v>
      </c>
      <c r="N1089" s="278">
        <v>44347</v>
      </c>
      <c r="O1089" s="329" t="s">
        <v>67</v>
      </c>
      <c r="P1089" s="330">
        <f t="shared" ref="P1089:Q1089" si="1085">IF(B1089=0,0,IF(YEAR(B1089)=$Q$1,MONTH(B1089)-$P$1+1,(YEAR(B1089)-$Q$1)*12-$P$1+1+MONTH(B1089)))</f>
        <v>6</v>
      </c>
      <c r="Q1089" s="330">
        <f t="shared" si="1085"/>
        <v>3</v>
      </c>
      <c r="R1089" s="331" t="str">
        <f t="shared" si="1"/>
        <v>Gastos_Gerais</v>
      </c>
      <c r="S1089" s="331" t="str">
        <f>IF(D1089="","",IF(OR(D1089=Plano!$A$1,D1089=Plano!$B$1),"entrada","saída"))</f>
        <v>saída</v>
      </c>
      <c r="T1089" s="332" t="s">
        <v>114</v>
      </c>
      <c r="U1089" s="332" t="s">
        <v>114</v>
      </c>
      <c r="V1089" s="344"/>
    </row>
    <row r="1090" spans="1:22" ht="42.75" customHeight="1" x14ac:dyDescent="0.2">
      <c r="A1090" s="277">
        <f>IF(B1090="","",COUNT('Diário 5º PA'!$A$5:$A$2634)+ROW()-4)</f>
        <v>2397</v>
      </c>
      <c r="B1090" s="278">
        <v>44365</v>
      </c>
      <c r="C1090" s="259">
        <v>44317</v>
      </c>
      <c r="D1090" s="252" t="s">
        <v>99</v>
      </c>
      <c r="E1090" s="252" t="s">
        <v>386</v>
      </c>
      <c r="F1090" s="257">
        <v>10.73</v>
      </c>
      <c r="G1090" s="252" t="s">
        <v>4980</v>
      </c>
      <c r="H1090" s="252" t="s">
        <v>131</v>
      </c>
      <c r="I1090" s="250" t="s">
        <v>488</v>
      </c>
      <c r="J1090" s="250" t="s">
        <v>114</v>
      </c>
      <c r="K1090" s="250" t="s">
        <v>466</v>
      </c>
      <c r="L1090" s="250" t="s">
        <v>489</v>
      </c>
      <c r="M1090" s="277" t="s">
        <v>114</v>
      </c>
      <c r="N1090" s="278">
        <v>44347</v>
      </c>
      <c r="O1090" s="329" t="s">
        <v>67</v>
      </c>
      <c r="P1090" s="330">
        <f t="shared" ref="P1090:Q1090" si="1086">IF(B1090=0,0,IF(YEAR(B1090)=$Q$1,MONTH(B1090)-$P$1+1,(YEAR(B1090)-$Q$1)*12-$P$1+1+MONTH(B1090)))</f>
        <v>6</v>
      </c>
      <c r="Q1090" s="330">
        <f t="shared" si="1086"/>
        <v>5</v>
      </c>
      <c r="R1090" s="331" t="str">
        <f t="shared" si="1"/>
        <v>Gastos_Gerais</v>
      </c>
      <c r="S1090" s="331" t="str">
        <f>IF(D1090="","",IF(OR(D1090=Plano!$A$1,D1090=Plano!$B$1),"entrada","saída"))</f>
        <v>saída</v>
      </c>
      <c r="T1090" s="332" t="s">
        <v>114</v>
      </c>
      <c r="U1090" s="332" t="s">
        <v>114</v>
      </c>
      <c r="V1090" s="344"/>
    </row>
    <row r="1091" spans="1:22" ht="51" customHeight="1" x14ac:dyDescent="0.2">
      <c r="A1091" s="277">
        <f>IF(B1091="","",COUNT('Diário 5º PA'!$A$5:$A$2634)+ROW()-4)</f>
        <v>2398</v>
      </c>
      <c r="B1091" s="278">
        <v>44365</v>
      </c>
      <c r="C1091" s="256">
        <v>44317</v>
      </c>
      <c r="D1091" s="255" t="s">
        <v>99</v>
      </c>
      <c r="E1091" s="252" t="s">
        <v>364</v>
      </c>
      <c r="F1091" s="258">
        <v>365.12</v>
      </c>
      <c r="G1091" s="255" t="s">
        <v>4981</v>
      </c>
      <c r="H1091" s="255" t="s">
        <v>131</v>
      </c>
      <c r="I1091" s="250" t="s">
        <v>488</v>
      </c>
      <c r="J1091" s="250" t="s">
        <v>114</v>
      </c>
      <c r="K1091" s="250" t="s">
        <v>466</v>
      </c>
      <c r="L1091" s="250" t="s">
        <v>489</v>
      </c>
      <c r="M1091" s="277" t="s">
        <v>114</v>
      </c>
      <c r="N1091" s="278">
        <v>44347</v>
      </c>
      <c r="O1091" s="329" t="s">
        <v>67</v>
      </c>
      <c r="P1091" s="330">
        <f t="shared" ref="P1091:Q1091" si="1087">IF(B1091=0,0,IF(YEAR(B1091)=$Q$1,MONTH(B1091)-$P$1+1,(YEAR(B1091)-$Q$1)*12-$P$1+1+MONTH(B1091)))</f>
        <v>6</v>
      </c>
      <c r="Q1091" s="330">
        <f t="shared" si="1087"/>
        <v>5</v>
      </c>
      <c r="R1091" s="331" t="str">
        <f t="shared" si="1"/>
        <v>Gastos_Gerais</v>
      </c>
      <c r="S1091" s="331" t="str">
        <f>IF(D1091="","",IF(OR(D1091=Plano!$A$1,D1091=Plano!$B$1),"entrada","saída"))</f>
        <v>saída</v>
      </c>
      <c r="T1091" s="332" t="s">
        <v>114</v>
      </c>
      <c r="U1091" s="332" t="s">
        <v>114</v>
      </c>
      <c r="V1091" s="344"/>
    </row>
    <row r="1092" spans="1:22" ht="42" customHeight="1" x14ac:dyDescent="0.2">
      <c r="A1092" s="277">
        <f>IF(B1092="","",COUNT('Diário 5º PA'!$A$5:$A$2634)+ROW()-4)</f>
        <v>2399</v>
      </c>
      <c r="B1092" s="278">
        <v>44365</v>
      </c>
      <c r="C1092" s="259">
        <v>44287</v>
      </c>
      <c r="D1092" s="252" t="s">
        <v>99</v>
      </c>
      <c r="E1092" s="252" t="s">
        <v>346</v>
      </c>
      <c r="F1092" s="257">
        <v>17.399999999999999</v>
      </c>
      <c r="G1092" s="252" t="s">
        <v>4982</v>
      </c>
      <c r="H1092" s="252" t="s">
        <v>125</v>
      </c>
      <c r="I1092" s="252" t="s">
        <v>488</v>
      </c>
      <c r="J1092" s="250" t="s">
        <v>114</v>
      </c>
      <c r="K1092" s="250" t="s">
        <v>466</v>
      </c>
      <c r="L1092" s="250" t="s">
        <v>489</v>
      </c>
      <c r="M1092" s="277" t="s">
        <v>114</v>
      </c>
      <c r="N1092" s="278">
        <v>44347</v>
      </c>
      <c r="O1092" s="329" t="s">
        <v>67</v>
      </c>
      <c r="P1092" s="330">
        <f t="shared" ref="P1092:Q1092" si="1088">IF(B1092=0,0,IF(YEAR(B1092)=$Q$1,MONTH(B1092)-$P$1+1,(YEAR(B1092)-$Q$1)*12-$P$1+1+MONTH(B1092)))</f>
        <v>6</v>
      </c>
      <c r="Q1092" s="330">
        <f t="shared" si="1088"/>
        <v>4</v>
      </c>
      <c r="R1092" s="331" t="str">
        <f t="shared" si="1"/>
        <v>Gastos_Gerais</v>
      </c>
      <c r="S1092" s="331" t="str">
        <f>IF(D1092="","",IF(OR(D1092=Plano!$A$1,D1092=Plano!$B$1),"entrada","saída"))</f>
        <v>saída</v>
      </c>
      <c r="T1092" s="332" t="s">
        <v>114</v>
      </c>
      <c r="U1092" s="332" t="s">
        <v>114</v>
      </c>
      <c r="V1092" s="344"/>
    </row>
    <row r="1093" spans="1:22" ht="47.25" customHeight="1" x14ac:dyDescent="0.2">
      <c r="A1093" s="277">
        <f>IF(B1093="","",COUNT('Diário 5º PA'!$A$5:$A$2634)+ROW()-4)</f>
        <v>2400</v>
      </c>
      <c r="B1093" s="278">
        <v>44365</v>
      </c>
      <c r="C1093" s="256">
        <v>44317</v>
      </c>
      <c r="D1093" s="255" t="s">
        <v>99</v>
      </c>
      <c r="E1093" s="252" t="s">
        <v>386</v>
      </c>
      <c r="F1093" s="258">
        <v>10.73</v>
      </c>
      <c r="G1093" s="255" t="s">
        <v>4983</v>
      </c>
      <c r="H1093" s="255" t="s">
        <v>131</v>
      </c>
      <c r="I1093" s="250" t="s">
        <v>488</v>
      </c>
      <c r="J1093" s="250" t="s">
        <v>114</v>
      </c>
      <c r="K1093" s="250" t="s">
        <v>466</v>
      </c>
      <c r="L1093" s="250" t="s">
        <v>489</v>
      </c>
      <c r="M1093" s="277" t="s">
        <v>114</v>
      </c>
      <c r="N1093" s="278">
        <v>44347</v>
      </c>
      <c r="O1093" s="329" t="s">
        <v>67</v>
      </c>
      <c r="P1093" s="330">
        <f t="shared" ref="P1093:Q1093" si="1089">IF(B1093=0,0,IF(YEAR(B1093)=$Q$1,MONTH(B1093)-$P$1+1,(YEAR(B1093)-$Q$1)*12-$P$1+1+MONTH(B1093)))</f>
        <v>6</v>
      </c>
      <c r="Q1093" s="330">
        <f t="shared" si="1089"/>
        <v>5</v>
      </c>
      <c r="R1093" s="331" t="str">
        <f t="shared" si="1"/>
        <v>Gastos_Gerais</v>
      </c>
      <c r="S1093" s="331" t="str">
        <f>IF(D1093="","",IF(OR(D1093=Plano!$A$1,D1093=Plano!$B$1),"entrada","saída"))</f>
        <v>saída</v>
      </c>
      <c r="T1093" s="332" t="s">
        <v>114</v>
      </c>
      <c r="U1093" s="332" t="s">
        <v>114</v>
      </c>
      <c r="V1093" s="344"/>
    </row>
    <row r="1094" spans="1:22" ht="42.75" customHeight="1" x14ac:dyDescent="0.2">
      <c r="A1094" s="277">
        <f>IF(B1094="","",COUNT('Diário 5º PA'!$A$5:$A$2634)+ROW()-4)</f>
        <v>2401</v>
      </c>
      <c r="B1094" s="278">
        <v>44365</v>
      </c>
      <c r="C1094" s="259">
        <v>44287</v>
      </c>
      <c r="D1094" s="255" t="s">
        <v>99</v>
      </c>
      <c r="E1094" s="252" t="s">
        <v>358</v>
      </c>
      <c r="F1094" s="258">
        <v>446.4</v>
      </c>
      <c r="G1094" s="255" t="s">
        <v>4984</v>
      </c>
      <c r="H1094" s="255" t="s">
        <v>124</v>
      </c>
      <c r="I1094" s="252" t="s">
        <v>530</v>
      </c>
      <c r="J1094" s="250" t="s">
        <v>114</v>
      </c>
      <c r="K1094" s="250" t="s">
        <v>466</v>
      </c>
      <c r="L1094" s="250" t="s">
        <v>547</v>
      </c>
      <c r="M1094" s="277" t="s">
        <v>114</v>
      </c>
      <c r="N1094" s="278">
        <v>44347</v>
      </c>
      <c r="O1094" s="329" t="s">
        <v>67</v>
      </c>
      <c r="P1094" s="330">
        <f t="shared" ref="P1094:Q1094" si="1090">IF(B1094=0,0,IF(YEAR(B1094)=$Q$1,MONTH(B1094)-$P$1+1,(YEAR(B1094)-$Q$1)*12-$P$1+1+MONTH(B1094)))</f>
        <v>6</v>
      </c>
      <c r="Q1094" s="330">
        <f t="shared" si="1090"/>
        <v>4</v>
      </c>
      <c r="R1094" s="331" t="str">
        <f t="shared" si="1"/>
        <v>Gastos_Gerais</v>
      </c>
      <c r="S1094" s="331" t="str">
        <f>IF(D1094="","",IF(OR(D1094=Plano!$A$1,D1094=Plano!$B$1),"entrada","saída"))</f>
        <v>saída</v>
      </c>
      <c r="T1094" s="332" t="s">
        <v>114</v>
      </c>
      <c r="U1094" s="332" t="s">
        <v>114</v>
      </c>
      <c r="V1094" s="344"/>
    </row>
    <row r="1095" spans="1:22" ht="36.75" customHeight="1" x14ac:dyDescent="0.2">
      <c r="A1095" s="277">
        <f>IF(B1095="","",COUNT('Diário 5º PA'!$A$5:$A$2634)+ROW()-4)</f>
        <v>2402</v>
      </c>
      <c r="B1095" s="278">
        <v>44365</v>
      </c>
      <c r="C1095" s="259">
        <v>44287</v>
      </c>
      <c r="D1095" s="252" t="s">
        <v>99</v>
      </c>
      <c r="E1095" s="252" t="s">
        <v>336</v>
      </c>
      <c r="F1095" s="257">
        <v>620</v>
      </c>
      <c r="G1095" s="252" t="s">
        <v>4985</v>
      </c>
      <c r="H1095" s="252" t="s">
        <v>116</v>
      </c>
      <c r="I1095" s="252" t="s">
        <v>530</v>
      </c>
      <c r="J1095" s="250" t="s">
        <v>114</v>
      </c>
      <c r="K1095" s="250" t="s">
        <v>466</v>
      </c>
      <c r="L1095" s="250" t="s">
        <v>547</v>
      </c>
      <c r="M1095" s="277" t="s">
        <v>114</v>
      </c>
      <c r="N1095" s="278">
        <v>44347</v>
      </c>
      <c r="O1095" s="329" t="s">
        <v>67</v>
      </c>
      <c r="P1095" s="330">
        <f t="shared" ref="P1095:Q1095" si="1091">IF(B1095=0,0,IF(YEAR(B1095)=$Q$1,MONTH(B1095)-$P$1+1,(YEAR(B1095)-$Q$1)*12-$P$1+1+MONTH(B1095)))</f>
        <v>6</v>
      </c>
      <c r="Q1095" s="330">
        <f t="shared" si="1091"/>
        <v>4</v>
      </c>
      <c r="R1095" s="331" t="str">
        <f t="shared" si="1"/>
        <v>Gastos_Gerais</v>
      </c>
      <c r="S1095" s="331" t="str">
        <f>IF(D1095="","",IF(OR(D1095=Plano!$A$1,D1095=Plano!$B$1),"entrada","saída"))</f>
        <v>saída</v>
      </c>
      <c r="T1095" s="332" t="s">
        <v>114</v>
      </c>
      <c r="U1095" s="332" t="s">
        <v>114</v>
      </c>
      <c r="V1095" s="344"/>
    </row>
    <row r="1096" spans="1:22" ht="47.25" customHeight="1" x14ac:dyDescent="0.2">
      <c r="A1096" s="277">
        <f>IF(B1096="","",COUNT('Diário 5º PA'!$A$5:$A$2634)+ROW()-4)</f>
        <v>2403</v>
      </c>
      <c r="B1096" s="278">
        <v>44365</v>
      </c>
      <c r="C1096" s="259">
        <v>44287</v>
      </c>
      <c r="D1096" s="252" t="s">
        <v>99</v>
      </c>
      <c r="E1096" s="252" t="s">
        <v>364</v>
      </c>
      <c r="F1096" s="257">
        <v>852.5</v>
      </c>
      <c r="G1096" s="252" t="s">
        <v>4986</v>
      </c>
      <c r="H1096" s="252" t="s">
        <v>132</v>
      </c>
      <c r="I1096" s="252" t="s">
        <v>530</v>
      </c>
      <c r="J1096" s="250" t="s">
        <v>114</v>
      </c>
      <c r="K1096" s="250" t="s">
        <v>466</v>
      </c>
      <c r="L1096" s="250" t="s">
        <v>547</v>
      </c>
      <c r="M1096" s="277" t="s">
        <v>114</v>
      </c>
      <c r="N1096" s="278">
        <v>44347</v>
      </c>
      <c r="O1096" s="329" t="s">
        <v>67</v>
      </c>
      <c r="P1096" s="330">
        <f t="shared" ref="P1096:Q1096" si="1092">IF(B1096=0,0,IF(YEAR(B1096)=$Q$1,MONTH(B1096)-$P$1+1,(YEAR(B1096)-$Q$1)*12-$P$1+1+MONTH(B1096)))</f>
        <v>6</v>
      </c>
      <c r="Q1096" s="330">
        <f t="shared" si="1092"/>
        <v>4</v>
      </c>
      <c r="R1096" s="331" t="str">
        <f t="shared" si="1"/>
        <v>Gastos_Gerais</v>
      </c>
      <c r="S1096" s="331" t="str">
        <f>IF(D1096="","",IF(OR(D1096=Plano!$A$1,D1096=Plano!$B$1),"entrada","saída"))</f>
        <v>saída</v>
      </c>
      <c r="T1096" s="332" t="s">
        <v>114</v>
      </c>
      <c r="U1096" s="332" t="s">
        <v>114</v>
      </c>
      <c r="V1096" s="344"/>
    </row>
    <row r="1097" spans="1:22" ht="42" customHeight="1" x14ac:dyDescent="0.2">
      <c r="A1097" s="277">
        <f>IF(B1097="","",COUNT('Diário 5º PA'!$A$5:$A$2634)+ROW()-4)</f>
        <v>2404</v>
      </c>
      <c r="B1097" s="278">
        <v>44365</v>
      </c>
      <c r="C1097" s="259">
        <v>44256</v>
      </c>
      <c r="D1097" s="252" t="s">
        <v>99</v>
      </c>
      <c r="E1097" s="252" t="s">
        <v>336</v>
      </c>
      <c r="F1097" s="257">
        <v>775</v>
      </c>
      <c r="G1097" s="252" t="s">
        <v>4987</v>
      </c>
      <c r="H1097" s="252" t="s">
        <v>117</v>
      </c>
      <c r="I1097" s="252" t="s">
        <v>530</v>
      </c>
      <c r="J1097" s="250" t="s">
        <v>114</v>
      </c>
      <c r="K1097" s="250" t="s">
        <v>466</v>
      </c>
      <c r="L1097" s="250" t="s">
        <v>547</v>
      </c>
      <c r="M1097" s="277" t="s">
        <v>114</v>
      </c>
      <c r="N1097" s="278">
        <v>44347</v>
      </c>
      <c r="O1097" s="329" t="s">
        <v>67</v>
      </c>
      <c r="P1097" s="330">
        <f t="shared" ref="P1097:Q1097" si="1093">IF(B1097=0,0,IF(YEAR(B1097)=$Q$1,MONTH(B1097)-$P$1+1,(YEAR(B1097)-$Q$1)*12-$P$1+1+MONTH(B1097)))</f>
        <v>6</v>
      </c>
      <c r="Q1097" s="330">
        <f t="shared" si="1093"/>
        <v>3</v>
      </c>
      <c r="R1097" s="331" t="str">
        <f t="shared" si="1"/>
        <v>Gastos_Gerais</v>
      </c>
      <c r="S1097" s="331" t="str">
        <f>IF(D1097="","",IF(OR(D1097=Plano!$A$1,D1097=Plano!$B$1),"entrada","saída"))</f>
        <v>saída</v>
      </c>
      <c r="T1097" s="332" t="s">
        <v>114</v>
      </c>
      <c r="U1097" s="332" t="s">
        <v>114</v>
      </c>
      <c r="V1097" s="344"/>
    </row>
    <row r="1098" spans="1:22" ht="50.25" customHeight="1" x14ac:dyDescent="0.2">
      <c r="A1098" s="277">
        <f>IF(B1098="","",COUNT('Diário 5º PA'!$A$5:$A$2634)+ROW()-4)</f>
        <v>2405</v>
      </c>
      <c r="B1098" s="278">
        <v>44365</v>
      </c>
      <c r="C1098" s="259">
        <v>44287</v>
      </c>
      <c r="D1098" s="252" t="s">
        <v>99</v>
      </c>
      <c r="E1098" s="252" t="s">
        <v>336</v>
      </c>
      <c r="F1098" s="257">
        <v>775</v>
      </c>
      <c r="G1098" s="252" t="s">
        <v>4988</v>
      </c>
      <c r="H1098" s="252" t="s">
        <v>117</v>
      </c>
      <c r="I1098" s="252" t="s">
        <v>530</v>
      </c>
      <c r="J1098" s="250" t="s">
        <v>114</v>
      </c>
      <c r="K1098" s="250" t="s">
        <v>466</v>
      </c>
      <c r="L1098" s="250" t="s">
        <v>547</v>
      </c>
      <c r="M1098" s="277" t="s">
        <v>114</v>
      </c>
      <c r="N1098" s="278">
        <v>44347</v>
      </c>
      <c r="O1098" s="329" t="s">
        <v>67</v>
      </c>
      <c r="P1098" s="330">
        <f t="shared" ref="P1098:Q1098" si="1094">IF(B1098=0,0,IF(YEAR(B1098)=$Q$1,MONTH(B1098)-$P$1+1,(YEAR(B1098)-$Q$1)*12-$P$1+1+MONTH(B1098)))</f>
        <v>6</v>
      </c>
      <c r="Q1098" s="330">
        <f t="shared" si="1094"/>
        <v>4</v>
      </c>
      <c r="R1098" s="331" t="str">
        <f t="shared" si="1"/>
        <v>Gastos_Gerais</v>
      </c>
      <c r="S1098" s="331" t="str">
        <f>IF(D1098="","",IF(OR(D1098=Plano!$A$1,D1098=Plano!$B$1),"entrada","saída"))</f>
        <v>saída</v>
      </c>
      <c r="T1098" s="332" t="s">
        <v>114</v>
      </c>
      <c r="U1098" s="332" t="s">
        <v>114</v>
      </c>
      <c r="V1098" s="344"/>
    </row>
    <row r="1099" spans="1:22" ht="45" customHeight="1" x14ac:dyDescent="0.2">
      <c r="A1099" s="277">
        <f>IF(B1099="","",COUNT('Diário 5º PA'!$A$5:$A$2634)+ROW()-4)</f>
        <v>2406</v>
      </c>
      <c r="B1099" s="278">
        <v>44365</v>
      </c>
      <c r="C1099" s="259">
        <v>44317</v>
      </c>
      <c r="D1099" s="252" t="s">
        <v>99</v>
      </c>
      <c r="E1099" s="252" t="s">
        <v>226</v>
      </c>
      <c r="F1099" s="257">
        <v>170.5</v>
      </c>
      <c r="G1099" s="252" t="s">
        <v>4989</v>
      </c>
      <c r="H1099" s="252" t="s">
        <v>132</v>
      </c>
      <c r="I1099" s="250" t="s">
        <v>530</v>
      </c>
      <c r="J1099" s="250" t="s">
        <v>114</v>
      </c>
      <c r="K1099" s="250" t="s">
        <v>466</v>
      </c>
      <c r="L1099" s="250" t="s">
        <v>547</v>
      </c>
      <c r="M1099" s="277" t="s">
        <v>114</v>
      </c>
      <c r="N1099" s="278">
        <v>44347</v>
      </c>
      <c r="O1099" s="329" t="s">
        <v>67</v>
      </c>
      <c r="P1099" s="330">
        <f t="shared" ref="P1099:Q1099" si="1095">IF(B1099=0,0,IF(YEAR(B1099)=$Q$1,MONTH(B1099)-$P$1+1,(YEAR(B1099)-$Q$1)*12-$P$1+1+MONTH(B1099)))</f>
        <v>6</v>
      </c>
      <c r="Q1099" s="330">
        <f t="shared" si="1095"/>
        <v>5</v>
      </c>
      <c r="R1099" s="331" t="str">
        <f t="shared" si="1"/>
        <v>Gastos_Gerais</v>
      </c>
      <c r="S1099" s="331" t="str">
        <f>IF(D1099="","",IF(OR(D1099=Plano!$A$1,D1099=Plano!$B$1),"entrada","saída"))</f>
        <v>saída</v>
      </c>
      <c r="T1099" s="332" t="s">
        <v>114</v>
      </c>
      <c r="U1099" s="332" t="s">
        <v>114</v>
      </c>
      <c r="V1099" s="344"/>
    </row>
    <row r="1100" spans="1:22" ht="41.25" customHeight="1" x14ac:dyDescent="0.2">
      <c r="A1100" s="277">
        <f>IF(B1100="","",COUNT('Diário 5º PA'!$A$5:$A$2634)+ROW()-4)</f>
        <v>2407</v>
      </c>
      <c r="B1100" s="278">
        <v>44365</v>
      </c>
      <c r="C1100" s="259">
        <v>44287</v>
      </c>
      <c r="D1100" s="252" t="s">
        <v>99</v>
      </c>
      <c r="E1100" s="252" t="s">
        <v>364</v>
      </c>
      <c r="F1100" s="257">
        <v>558</v>
      </c>
      <c r="G1100" s="252" t="s">
        <v>4990</v>
      </c>
      <c r="H1100" s="252" t="s">
        <v>125</v>
      </c>
      <c r="I1100" s="252" t="s">
        <v>530</v>
      </c>
      <c r="J1100" s="250" t="s">
        <v>114</v>
      </c>
      <c r="K1100" s="250" t="s">
        <v>466</v>
      </c>
      <c r="L1100" s="250" t="s">
        <v>547</v>
      </c>
      <c r="M1100" s="277" t="s">
        <v>114</v>
      </c>
      <c r="N1100" s="278">
        <v>44347</v>
      </c>
      <c r="O1100" s="329" t="s">
        <v>67</v>
      </c>
      <c r="P1100" s="330">
        <f t="shared" ref="P1100:Q1100" si="1096">IF(B1100=0,0,IF(YEAR(B1100)=$Q$1,MONTH(B1100)-$P$1+1,(YEAR(B1100)-$Q$1)*12-$P$1+1+MONTH(B1100)))</f>
        <v>6</v>
      </c>
      <c r="Q1100" s="330">
        <f t="shared" si="1096"/>
        <v>4</v>
      </c>
      <c r="R1100" s="331" t="str">
        <f t="shared" si="1"/>
        <v>Gastos_Gerais</v>
      </c>
      <c r="S1100" s="331" t="str">
        <f>IF(D1100="","",IF(OR(D1100=Plano!$A$1,D1100=Plano!$B$1),"entrada","saída"))</f>
        <v>saída</v>
      </c>
      <c r="T1100" s="332" t="s">
        <v>114</v>
      </c>
      <c r="U1100" s="332" t="s">
        <v>114</v>
      </c>
      <c r="V1100" s="344"/>
    </row>
    <row r="1101" spans="1:22" ht="57" customHeight="1" x14ac:dyDescent="0.2">
      <c r="A1101" s="277">
        <f>IF(B1101="","",COUNT('Diário 5º PA'!$A$5:$A$2634)+ROW()-4)</f>
        <v>2408</v>
      </c>
      <c r="B1101" s="278">
        <v>44365</v>
      </c>
      <c r="C1101" s="259">
        <v>44256</v>
      </c>
      <c r="D1101" s="252" t="s">
        <v>99</v>
      </c>
      <c r="E1101" s="252" t="s">
        <v>262</v>
      </c>
      <c r="F1101" s="257">
        <v>930</v>
      </c>
      <c r="G1101" s="252" t="s">
        <v>4991</v>
      </c>
      <c r="H1101" s="252" t="s">
        <v>127</v>
      </c>
      <c r="I1101" s="252" t="s">
        <v>530</v>
      </c>
      <c r="J1101" s="250" t="s">
        <v>114</v>
      </c>
      <c r="K1101" s="250" t="s">
        <v>466</v>
      </c>
      <c r="L1101" s="250" t="s">
        <v>547</v>
      </c>
      <c r="M1101" s="277" t="s">
        <v>114</v>
      </c>
      <c r="N1101" s="278">
        <v>44347</v>
      </c>
      <c r="O1101" s="329" t="s">
        <v>67</v>
      </c>
      <c r="P1101" s="330">
        <f t="shared" ref="P1101:Q1101" si="1097">IF(B1101=0,0,IF(YEAR(B1101)=$Q$1,MONTH(B1101)-$P$1+1,(YEAR(B1101)-$Q$1)*12-$P$1+1+MONTH(B1101)))</f>
        <v>6</v>
      </c>
      <c r="Q1101" s="330">
        <f t="shared" si="1097"/>
        <v>3</v>
      </c>
      <c r="R1101" s="331" t="str">
        <f t="shared" si="1"/>
        <v>Gastos_Gerais</v>
      </c>
      <c r="S1101" s="331" t="str">
        <f>IF(D1101="","",IF(OR(D1101=Plano!$A$1,D1101=Plano!$B$1),"entrada","saída"))</f>
        <v>saída</v>
      </c>
      <c r="T1101" s="332" t="s">
        <v>114</v>
      </c>
      <c r="U1101" s="332" t="s">
        <v>114</v>
      </c>
      <c r="V1101" s="344"/>
    </row>
    <row r="1102" spans="1:22" ht="38.25" customHeight="1" x14ac:dyDescent="0.2">
      <c r="A1102" s="277">
        <f>IF(B1102="","",COUNT('Diário 5º PA'!$A$5:$A$2634)+ROW()-4)</f>
        <v>2409</v>
      </c>
      <c r="B1102" s="278">
        <v>44365</v>
      </c>
      <c r="C1102" s="259">
        <v>44317</v>
      </c>
      <c r="D1102" s="252" t="s">
        <v>99</v>
      </c>
      <c r="E1102" s="252" t="s">
        <v>386</v>
      </c>
      <c r="F1102" s="257">
        <v>713</v>
      </c>
      <c r="G1102" s="252" t="s">
        <v>4992</v>
      </c>
      <c r="H1102" s="252" t="s">
        <v>131</v>
      </c>
      <c r="I1102" s="250" t="s">
        <v>530</v>
      </c>
      <c r="J1102" s="250" t="s">
        <v>114</v>
      </c>
      <c r="K1102" s="250" t="s">
        <v>466</v>
      </c>
      <c r="L1102" s="250" t="s">
        <v>547</v>
      </c>
      <c r="M1102" s="277" t="s">
        <v>114</v>
      </c>
      <c r="N1102" s="278">
        <v>44347</v>
      </c>
      <c r="O1102" s="329" t="s">
        <v>67</v>
      </c>
      <c r="P1102" s="330">
        <f t="shared" ref="P1102:Q1102" si="1098">IF(B1102=0,0,IF(YEAR(B1102)=$Q$1,MONTH(B1102)-$P$1+1,(YEAR(B1102)-$Q$1)*12-$P$1+1+MONTH(B1102)))</f>
        <v>6</v>
      </c>
      <c r="Q1102" s="330">
        <f t="shared" si="1098"/>
        <v>5</v>
      </c>
      <c r="R1102" s="331" t="str">
        <f t="shared" si="1"/>
        <v>Gastos_Gerais</v>
      </c>
      <c r="S1102" s="331" t="str">
        <f>IF(D1102="","",IF(OR(D1102=Plano!$A$1,D1102=Plano!$B$1),"entrada","saída"))</f>
        <v>saída</v>
      </c>
      <c r="T1102" s="332" t="s">
        <v>114</v>
      </c>
      <c r="U1102" s="332" t="s">
        <v>114</v>
      </c>
      <c r="V1102" s="344"/>
    </row>
    <row r="1103" spans="1:22" ht="57" customHeight="1" x14ac:dyDescent="0.2">
      <c r="A1103" s="277">
        <f>IF(B1103="","",COUNT('Diário 5º PA'!$A$5:$A$2634)+ROW()-4)</f>
        <v>2410</v>
      </c>
      <c r="B1103" s="278">
        <v>44365</v>
      </c>
      <c r="C1103" s="259">
        <v>44317</v>
      </c>
      <c r="D1103" s="252" t="s">
        <v>99</v>
      </c>
      <c r="E1103" s="252" t="s">
        <v>358</v>
      </c>
      <c r="F1103" s="257">
        <v>186</v>
      </c>
      <c r="G1103" s="252" t="s">
        <v>4993</v>
      </c>
      <c r="H1103" s="252" t="s">
        <v>122</v>
      </c>
      <c r="I1103" s="252" t="s">
        <v>530</v>
      </c>
      <c r="J1103" s="250" t="s">
        <v>114</v>
      </c>
      <c r="K1103" s="250" t="s">
        <v>466</v>
      </c>
      <c r="L1103" s="250" t="s">
        <v>547</v>
      </c>
      <c r="M1103" s="277" t="s">
        <v>114</v>
      </c>
      <c r="N1103" s="278">
        <v>44347</v>
      </c>
      <c r="O1103" s="329" t="s">
        <v>67</v>
      </c>
      <c r="P1103" s="330">
        <f t="shared" ref="P1103:Q1103" si="1099">IF(B1103=0,0,IF(YEAR(B1103)=$Q$1,MONTH(B1103)-$P$1+1,(YEAR(B1103)-$Q$1)*12-$P$1+1+MONTH(B1103)))</f>
        <v>6</v>
      </c>
      <c r="Q1103" s="330">
        <f t="shared" si="1099"/>
        <v>5</v>
      </c>
      <c r="R1103" s="331" t="str">
        <f t="shared" si="1"/>
        <v>Gastos_Gerais</v>
      </c>
      <c r="S1103" s="331" t="str">
        <f>IF(D1103="","",IF(OR(D1103=Plano!$A$1,D1103=Plano!$B$1),"entrada","saída"))</f>
        <v>saída</v>
      </c>
      <c r="T1103" s="332" t="s">
        <v>114</v>
      </c>
      <c r="U1103" s="332" t="s">
        <v>114</v>
      </c>
      <c r="V1103" s="344"/>
    </row>
    <row r="1104" spans="1:22" ht="38.25" customHeight="1" x14ac:dyDescent="0.2">
      <c r="A1104" s="277">
        <f>IF(B1104="","",COUNT('Diário 5º PA'!$A$5:$A$2634)+ROW()-4)</f>
        <v>2411</v>
      </c>
      <c r="B1104" s="278">
        <v>44365</v>
      </c>
      <c r="C1104" s="256">
        <v>44317</v>
      </c>
      <c r="D1104" s="255" t="s">
        <v>99</v>
      </c>
      <c r="E1104" s="252" t="s">
        <v>364</v>
      </c>
      <c r="F1104" s="258">
        <v>1550</v>
      </c>
      <c r="G1104" s="255" t="s">
        <v>4994</v>
      </c>
      <c r="H1104" s="255" t="s">
        <v>131</v>
      </c>
      <c r="I1104" s="250" t="s">
        <v>530</v>
      </c>
      <c r="J1104" s="250" t="s">
        <v>114</v>
      </c>
      <c r="K1104" s="250" t="s">
        <v>466</v>
      </c>
      <c r="L1104" s="250" t="s">
        <v>547</v>
      </c>
      <c r="M1104" s="277" t="s">
        <v>114</v>
      </c>
      <c r="N1104" s="278">
        <v>44347</v>
      </c>
      <c r="O1104" s="329" t="s">
        <v>67</v>
      </c>
      <c r="P1104" s="330">
        <f t="shared" ref="P1104:Q1104" si="1100">IF(B1104=0,0,IF(YEAR(B1104)=$Q$1,MONTH(B1104)-$P$1+1,(YEAR(B1104)-$Q$1)*12-$P$1+1+MONTH(B1104)))</f>
        <v>6</v>
      </c>
      <c r="Q1104" s="330">
        <f t="shared" si="1100"/>
        <v>5</v>
      </c>
      <c r="R1104" s="331" t="str">
        <f t="shared" si="1"/>
        <v>Gastos_Gerais</v>
      </c>
      <c r="S1104" s="331" t="str">
        <f>IF(D1104="","",IF(OR(D1104=Plano!$A$1,D1104=Plano!$B$1),"entrada","saída"))</f>
        <v>saída</v>
      </c>
      <c r="T1104" s="332" t="s">
        <v>114</v>
      </c>
      <c r="U1104" s="332" t="s">
        <v>114</v>
      </c>
      <c r="V1104" s="344"/>
    </row>
    <row r="1105" spans="1:22" ht="44.25" customHeight="1" x14ac:dyDescent="0.2">
      <c r="A1105" s="277">
        <f>IF(B1105="","",COUNT('Diário 5º PA'!$A$5:$A$2634)+ROW()-4)</f>
        <v>2412</v>
      </c>
      <c r="B1105" s="278">
        <v>44365</v>
      </c>
      <c r="C1105" s="259">
        <v>44256</v>
      </c>
      <c r="D1105" s="252" t="s">
        <v>99</v>
      </c>
      <c r="E1105" s="252" t="s">
        <v>262</v>
      </c>
      <c r="F1105" s="257">
        <v>465</v>
      </c>
      <c r="G1105" s="252" t="s">
        <v>4995</v>
      </c>
      <c r="H1105" s="252" t="s">
        <v>128</v>
      </c>
      <c r="I1105" s="252" t="s">
        <v>530</v>
      </c>
      <c r="J1105" s="250" t="s">
        <v>114</v>
      </c>
      <c r="K1105" s="250" t="s">
        <v>466</v>
      </c>
      <c r="L1105" s="250" t="s">
        <v>547</v>
      </c>
      <c r="M1105" s="277" t="s">
        <v>114</v>
      </c>
      <c r="N1105" s="278">
        <v>44347</v>
      </c>
      <c r="O1105" s="329" t="s">
        <v>67</v>
      </c>
      <c r="P1105" s="330">
        <f t="shared" ref="P1105:Q1105" si="1101">IF(B1105=0,0,IF(YEAR(B1105)=$Q$1,MONTH(B1105)-$P$1+1,(YEAR(B1105)-$Q$1)*12-$P$1+1+MONTH(B1105)))</f>
        <v>6</v>
      </c>
      <c r="Q1105" s="330">
        <f t="shared" si="1101"/>
        <v>3</v>
      </c>
      <c r="R1105" s="331" t="str">
        <f t="shared" si="1"/>
        <v>Gastos_Gerais</v>
      </c>
      <c r="S1105" s="331" t="str">
        <f>IF(D1105="","",IF(OR(D1105=Plano!$A$1,D1105=Plano!$B$1),"entrada","saída"))</f>
        <v>saída</v>
      </c>
      <c r="T1105" s="332" t="s">
        <v>114</v>
      </c>
      <c r="U1105" s="332" t="s">
        <v>114</v>
      </c>
      <c r="V1105" s="344"/>
    </row>
    <row r="1106" spans="1:22" ht="42" customHeight="1" x14ac:dyDescent="0.2">
      <c r="A1106" s="277">
        <f>IF(B1106="","",COUNT('Diário 5º PA'!$A$5:$A$2634)+ROW()-4)</f>
        <v>2413</v>
      </c>
      <c r="B1106" s="278">
        <v>44365</v>
      </c>
      <c r="C1106" s="259">
        <v>44287</v>
      </c>
      <c r="D1106" s="252" t="s">
        <v>99</v>
      </c>
      <c r="E1106" s="252" t="s">
        <v>346</v>
      </c>
      <c r="F1106" s="257">
        <v>744</v>
      </c>
      <c r="G1106" s="252" t="s">
        <v>4996</v>
      </c>
      <c r="H1106" s="252" t="s">
        <v>125</v>
      </c>
      <c r="I1106" s="252" t="s">
        <v>530</v>
      </c>
      <c r="J1106" s="250" t="s">
        <v>114</v>
      </c>
      <c r="K1106" s="250" t="s">
        <v>466</v>
      </c>
      <c r="L1106" s="250" t="s">
        <v>547</v>
      </c>
      <c r="M1106" s="277" t="s">
        <v>114</v>
      </c>
      <c r="N1106" s="278">
        <v>44347</v>
      </c>
      <c r="O1106" s="329" t="s">
        <v>67</v>
      </c>
      <c r="P1106" s="330">
        <f t="shared" ref="P1106:Q1106" si="1102">IF(B1106=0,0,IF(YEAR(B1106)=$Q$1,MONTH(B1106)-$P$1+1,(YEAR(B1106)-$Q$1)*12-$P$1+1+MONTH(B1106)))</f>
        <v>6</v>
      </c>
      <c r="Q1106" s="330">
        <f t="shared" si="1102"/>
        <v>4</v>
      </c>
      <c r="R1106" s="331" t="str">
        <f t="shared" si="1"/>
        <v>Gastos_Gerais</v>
      </c>
      <c r="S1106" s="331" t="str">
        <f>IF(D1106="","",IF(OR(D1106=Plano!$A$1,D1106=Plano!$B$1),"entrada","saída"))</f>
        <v>saída</v>
      </c>
      <c r="T1106" s="332" t="s">
        <v>114</v>
      </c>
      <c r="U1106" s="332" t="s">
        <v>114</v>
      </c>
      <c r="V1106" s="344"/>
    </row>
    <row r="1107" spans="1:22" ht="44.25" customHeight="1" x14ac:dyDescent="0.2">
      <c r="A1107" s="277">
        <f>IF(B1107="","",COUNT('Diário 5º PA'!$A$5:$A$2634)+ROW()-4)</f>
        <v>2414</v>
      </c>
      <c r="B1107" s="278">
        <v>44365</v>
      </c>
      <c r="C1107" s="259">
        <v>44228</v>
      </c>
      <c r="D1107" s="252" t="s">
        <v>99</v>
      </c>
      <c r="E1107" s="252" t="s">
        <v>358</v>
      </c>
      <c r="F1107" s="257">
        <v>77.5</v>
      </c>
      <c r="G1107" s="252" t="s">
        <v>4997</v>
      </c>
      <c r="H1107" s="252" t="s">
        <v>126</v>
      </c>
      <c r="I1107" s="252" t="s">
        <v>530</v>
      </c>
      <c r="J1107" s="250" t="s">
        <v>114</v>
      </c>
      <c r="K1107" s="250" t="s">
        <v>466</v>
      </c>
      <c r="L1107" s="250" t="s">
        <v>547</v>
      </c>
      <c r="M1107" s="277" t="s">
        <v>114</v>
      </c>
      <c r="N1107" s="278">
        <v>44347</v>
      </c>
      <c r="O1107" s="329" t="s">
        <v>67</v>
      </c>
      <c r="P1107" s="330">
        <f t="shared" ref="P1107:Q1107" si="1103">IF(B1107=0,0,IF(YEAR(B1107)=$Q$1,MONTH(B1107)-$P$1+1,(YEAR(B1107)-$Q$1)*12-$P$1+1+MONTH(B1107)))</f>
        <v>6</v>
      </c>
      <c r="Q1107" s="330">
        <f t="shared" si="1103"/>
        <v>2</v>
      </c>
      <c r="R1107" s="331" t="str">
        <f t="shared" si="1"/>
        <v>Gastos_Gerais</v>
      </c>
      <c r="S1107" s="331" t="str">
        <f>IF(D1107="","",IF(OR(D1107=Plano!$A$1,D1107=Plano!$B$1),"entrada","saída"))</f>
        <v>saída</v>
      </c>
      <c r="T1107" s="332" t="s">
        <v>114</v>
      </c>
      <c r="U1107" s="332" t="s">
        <v>114</v>
      </c>
      <c r="V1107" s="344"/>
    </row>
    <row r="1108" spans="1:22" ht="41.25" customHeight="1" x14ac:dyDescent="0.2">
      <c r="A1108" s="277">
        <f>IF(B1108="","",COUNT('Diário 5º PA'!$A$5:$A$2634)+ROW()-4)</f>
        <v>2415</v>
      </c>
      <c r="B1108" s="278">
        <v>44365</v>
      </c>
      <c r="C1108" s="259">
        <v>44287</v>
      </c>
      <c r="D1108" s="252" t="s">
        <v>99</v>
      </c>
      <c r="E1108" s="252" t="s">
        <v>330</v>
      </c>
      <c r="F1108" s="257">
        <v>465</v>
      </c>
      <c r="G1108" s="252" t="s">
        <v>4998</v>
      </c>
      <c r="H1108" s="252" t="s">
        <v>128</v>
      </c>
      <c r="I1108" s="252" t="s">
        <v>530</v>
      </c>
      <c r="J1108" s="250" t="s">
        <v>114</v>
      </c>
      <c r="K1108" s="250" t="s">
        <v>466</v>
      </c>
      <c r="L1108" s="250" t="s">
        <v>547</v>
      </c>
      <c r="M1108" s="277" t="s">
        <v>114</v>
      </c>
      <c r="N1108" s="278">
        <v>44347</v>
      </c>
      <c r="O1108" s="329" t="s">
        <v>67</v>
      </c>
      <c r="P1108" s="330">
        <f t="shared" ref="P1108:Q1108" si="1104">IF(B1108=0,0,IF(YEAR(B1108)=$Q$1,MONTH(B1108)-$P$1+1,(YEAR(B1108)-$Q$1)*12-$P$1+1+MONTH(B1108)))</f>
        <v>6</v>
      </c>
      <c r="Q1108" s="330">
        <f t="shared" si="1104"/>
        <v>4</v>
      </c>
      <c r="R1108" s="331" t="str">
        <f t="shared" si="1"/>
        <v>Gastos_Gerais</v>
      </c>
      <c r="S1108" s="331" t="str">
        <f>IF(D1108="","",IF(OR(D1108=Plano!$A$1,D1108=Plano!$B$1),"entrada","saída"))</f>
        <v>saída</v>
      </c>
      <c r="T1108" s="332" t="s">
        <v>114</v>
      </c>
      <c r="U1108" s="332" t="s">
        <v>114</v>
      </c>
      <c r="V1108" s="344"/>
    </row>
    <row r="1109" spans="1:22" ht="47.25" customHeight="1" x14ac:dyDescent="0.2">
      <c r="A1109" s="277">
        <f>IF(B1109="","",COUNT('Diário 5º PA'!$A$5:$A$2634)+ROW()-4)</f>
        <v>2416</v>
      </c>
      <c r="B1109" s="278">
        <v>44365</v>
      </c>
      <c r="C1109" s="259">
        <v>44287</v>
      </c>
      <c r="D1109" s="252" t="s">
        <v>99</v>
      </c>
      <c r="E1109" s="252" t="s">
        <v>364</v>
      </c>
      <c r="F1109" s="257">
        <v>124</v>
      </c>
      <c r="G1109" s="252" t="s">
        <v>4999</v>
      </c>
      <c r="H1109" s="252" t="s">
        <v>124</v>
      </c>
      <c r="I1109" s="252" t="s">
        <v>530</v>
      </c>
      <c r="J1109" s="250" t="s">
        <v>114</v>
      </c>
      <c r="K1109" s="250" t="s">
        <v>466</v>
      </c>
      <c r="L1109" s="250" t="s">
        <v>547</v>
      </c>
      <c r="M1109" s="277" t="s">
        <v>114</v>
      </c>
      <c r="N1109" s="278">
        <v>44347</v>
      </c>
      <c r="O1109" s="329" t="s">
        <v>67</v>
      </c>
      <c r="P1109" s="330">
        <f t="shared" ref="P1109:Q1109" si="1105">IF(B1109=0,0,IF(YEAR(B1109)=$Q$1,MONTH(B1109)-$P$1+1,(YEAR(B1109)-$Q$1)*12-$P$1+1+MONTH(B1109)))</f>
        <v>6</v>
      </c>
      <c r="Q1109" s="330">
        <f t="shared" si="1105"/>
        <v>4</v>
      </c>
      <c r="R1109" s="331" t="str">
        <f t="shared" si="1"/>
        <v>Gastos_Gerais</v>
      </c>
      <c r="S1109" s="331" t="str">
        <f>IF(D1109="","",IF(OR(D1109=Plano!$A$1,D1109=Plano!$B$1),"entrada","saída"))</f>
        <v>saída</v>
      </c>
      <c r="T1109" s="332" t="s">
        <v>114</v>
      </c>
      <c r="U1109" s="332" t="s">
        <v>114</v>
      </c>
      <c r="V1109" s="344"/>
    </row>
    <row r="1110" spans="1:22" ht="48.75" customHeight="1" x14ac:dyDescent="0.2">
      <c r="A1110" s="277">
        <f>IF(B1110="","",COUNT('Diário 5º PA'!$A$5:$A$2634)+ROW()-4)</f>
        <v>2417</v>
      </c>
      <c r="B1110" s="278">
        <v>44365</v>
      </c>
      <c r="C1110" s="256">
        <v>44317</v>
      </c>
      <c r="D1110" s="255" t="s">
        <v>99</v>
      </c>
      <c r="E1110" s="252" t="s">
        <v>386</v>
      </c>
      <c r="F1110" s="258">
        <v>713</v>
      </c>
      <c r="G1110" s="255" t="s">
        <v>5000</v>
      </c>
      <c r="H1110" s="255" t="s">
        <v>131</v>
      </c>
      <c r="I1110" s="250" t="s">
        <v>530</v>
      </c>
      <c r="J1110" s="250" t="s">
        <v>114</v>
      </c>
      <c r="K1110" s="250" t="s">
        <v>466</v>
      </c>
      <c r="L1110" s="250" t="s">
        <v>547</v>
      </c>
      <c r="M1110" s="277" t="s">
        <v>114</v>
      </c>
      <c r="N1110" s="278">
        <v>44347</v>
      </c>
      <c r="O1110" s="329" t="s">
        <v>67</v>
      </c>
      <c r="P1110" s="330">
        <f t="shared" ref="P1110:Q1110" si="1106">IF(B1110=0,0,IF(YEAR(B1110)=$Q$1,MONTH(B1110)-$P$1+1,(YEAR(B1110)-$Q$1)*12-$P$1+1+MONTH(B1110)))</f>
        <v>6</v>
      </c>
      <c r="Q1110" s="330">
        <f t="shared" si="1106"/>
        <v>5</v>
      </c>
      <c r="R1110" s="331" t="str">
        <f t="shared" si="1"/>
        <v>Gastos_Gerais</v>
      </c>
      <c r="S1110" s="331" t="str">
        <f>IF(D1110="","",IF(OR(D1110=Plano!$A$1,D1110=Plano!$B$1),"entrada","saída"))</f>
        <v>saída</v>
      </c>
      <c r="T1110" s="332" t="s">
        <v>114</v>
      </c>
      <c r="U1110" s="332" t="s">
        <v>114</v>
      </c>
      <c r="V1110" s="344"/>
    </row>
    <row r="1111" spans="1:22" ht="42.75" customHeight="1" x14ac:dyDescent="0.2">
      <c r="A1111" s="277">
        <f>IF(B1111="","",COUNT('Diário 5º PA'!$A$5:$A$2634)+ROW()-4)</f>
        <v>2418</v>
      </c>
      <c r="B1111" s="278">
        <v>44365</v>
      </c>
      <c r="C1111" s="259">
        <v>44287</v>
      </c>
      <c r="D1111" s="252" t="s">
        <v>99</v>
      </c>
      <c r="E1111" s="252" t="s">
        <v>336</v>
      </c>
      <c r="F1111" s="257">
        <v>496</v>
      </c>
      <c r="G1111" s="252" t="s">
        <v>5001</v>
      </c>
      <c r="H1111" s="252" t="s">
        <v>117</v>
      </c>
      <c r="I1111" s="252" t="s">
        <v>530</v>
      </c>
      <c r="J1111" s="250" t="s">
        <v>114</v>
      </c>
      <c r="K1111" s="250" t="s">
        <v>466</v>
      </c>
      <c r="L1111" s="250" t="s">
        <v>547</v>
      </c>
      <c r="M1111" s="277" t="s">
        <v>114</v>
      </c>
      <c r="N1111" s="278">
        <v>44347</v>
      </c>
      <c r="O1111" s="329" t="s">
        <v>67</v>
      </c>
      <c r="P1111" s="330">
        <f t="shared" ref="P1111:Q1111" si="1107">IF(B1111=0,0,IF(YEAR(B1111)=$Q$1,MONTH(B1111)-$P$1+1,(YEAR(B1111)-$Q$1)*12-$P$1+1+MONTH(B1111)))</f>
        <v>6</v>
      </c>
      <c r="Q1111" s="330">
        <f t="shared" si="1107"/>
        <v>4</v>
      </c>
      <c r="R1111" s="331" t="str">
        <f t="shared" si="1"/>
        <v>Gastos_Gerais</v>
      </c>
      <c r="S1111" s="331" t="str">
        <f>IF(D1111="","",IF(OR(D1111=Plano!$A$1,D1111=Plano!$B$1),"entrada","saída"))</f>
        <v>saída</v>
      </c>
      <c r="T1111" s="332" t="s">
        <v>114</v>
      </c>
      <c r="U1111" s="332" t="s">
        <v>114</v>
      </c>
      <c r="V1111" s="344"/>
    </row>
    <row r="1112" spans="1:22" ht="30.75" customHeight="1" x14ac:dyDescent="0.2">
      <c r="A1112" s="277">
        <f>IF(B1112="","",COUNT('Diário 5º PA'!$A$5:$A$2634)+ROW()-4)</f>
        <v>2419</v>
      </c>
      <c r="B1112" s="278">
        <v>44365</v>
      </c>
      <c r="C1112" s="259">
        <v>44317</v>
      </c>
      <c r="D1112" s="252" t="s">
        <v>88</v>
      </c>
      <c r="E1112" s="252" t="s">
        <v>90</v>
      </c>
      <c r="F1112" s="257">
        <v>6539.98</v>
      </c>
      <c r="G1112" s="252" t="s">
        <v>5002</v>
      </c>
      <c r="H1112" s="252" t="s">
        <v>114</v>
      </c>
      <c r="I1112" s="252" t="s">
        <v>530</v>
      </c>
      <c r="J1112" s="250" t="s">
        <v>114</v>
      </c>
      <c r="K1112" s="250" t="s">
        <v>466</v>
      </c>
      <c r="L1112" s="250" t="s">
        <v>547</v>
      </c>
      <c r="M1112" s="277" t="s">
        <v>114</v>
      </c>
      <c r="N1112" s="278">
        <v>44347</v>
      </c>
      <c r="O1112" s="329" t="s">
        <v>67</v>
      </c>
      <c r="P1112" s="330">
        <f t="shared" ref="P1112:Q1112" si="1108">IF(B1112=0,0,IF(YEAR(B1112)=$Q$1,MONTH(B1112)-$P$1+1,(YEAR(B1112)-$Q$1)*12-$P$1+1+MONTH(B1112)))</f>
        <v>6</v>
      </c>
      <c r="Q1112" s="330">
        <f t="shared" si="1108"/>
        <v>5</v>
      </c>
      <c r="R1112" s="331" t="str">
        <f t="shared" si="1"/>
        <v>Gastos_com_Pessoal</v>
      </c>
      <c r="S1112" s="331" t="str">
        <f>IF(D1112="","",IF(OR(D1112=Plano!$A$1,D1112=Plano!$B$1),"entrada","saída"))</f>
        <v>saída</v>
      </c>
      <c r="T1112" s="332" t="s">
        <v>114</v>
      </c>
      <c r="U1112" s="332" t="s">
        <v>114</v>
      </c>
      <c r="V1112" s="344"/>
    </row>
    <row r="1113" spans="1:22" ht="37.5" customHeight="1" x14ac:dyDescent="0.2">
      <c r="A1113" s="277">
        <f>IF(B1113="","",COUNT('Diário 5º PA'!$A$5:$A$2634)+ROW()-4)</f>
        <v>2420</v>
      </c>
      <c r="B1113" s="278">
        <v>44365</v>
      </c>
      <c r="C1113" s="249">
        <v>44317</v>
      </c>
      <c r="D1113" s="255" t="s">
        <v>88</v>
      </c>
      <c r="E1113" s="255" t="s">
        <v>167</v>
      </c>
      <c r="F1113" s="258">
        <v>22459.73</v>
      </c>
      <c r="G1113" s="250" t="s">
        <v>5003</v>
      </c>
      <c r="H1113" s="255" t="s">
        <v>114</v>
      </c>
      <c r="I1113" s="250" t="s">
        <v>530</v>
      </c>
      <c r="J1113" s="250" t="s">
        <v>114</v>
      </c>
      <c r="K1113" s="255" t="s">
        <v>466</v>
      </c>
      <c r="L1113" s="250" t="s">
        <v>547</v>
      </c>
      <c r="M1113" s="277" t="s">
        <v>114</v>
      </c>
      <c r="N1113" s="278">
        <v>44347</v>
      </c>
      <c r="O1113" s="329" t="s">
        <v>67</v>
      </c>
      <c r="P1113" s="330">
        <f t="shared" ref="P1113:Q1113" si="1109">IF(B1113=0,0,IF(YEAR(B1113)=$Q$1,MONTH(B1113)-$P$1+1,(YEAR(B1113)-$Q$1)*12-$P$1+1+MONTH(B1113)))</f>
        <v>6</v>
      </c>
      <c r="Q1113" s="330">
        <f t="shared" si="1109"/>
        <v>5</v>
      </c>
      <c r="R1113" s="331" t="str">
        <f t="shared" si="1"/>
        <v>Gastos_com_Pessoal</v>
      </c>
      <c r="S1113" s="331" t="str">
        <f>IF(D1113="","",IF(OR(D1113=Plano!$A$1,D1113=Plano!$B$1),"entrada","saída"))</f>
        <v>saída</v>
      </c>
      <c r="T1113" s="332" t="s">
        <v>114</v>
      </c>
      <c r="U1113" s="332" t="s">
        <v>114</v>
      </c>
      <c r="V1113" s="344"/>
    </row>
    <row r="1114" spans="1:22" ht="37.5" customHeight="1" x14ac:dyDescent="0.2">
      <c r="A1114" s="277">
        <f>IF(B1114="","",COUNT('Diário 5º PA'!$A$5:$A$2634)+ROW()-4)</f>
        <v>2421</v>
      </c>
      <c r="B1114" s="278">
        <v>44365</v>
      </c>
      <c r="C1114" s="259">
        <v>44317</v>
      </c>
      <c r="D1114" s="252" t="s">
        <v>99</v>
      </c>
      <c r="E1114" s="252" t="s">
        <v>364</v>
      </c>
      <c r="F1114" s="257">
        <v>80.2</v>
      </c>
      <c r="G1114" s="252" t="s">
        <v>5004</v>
      </c>
      <c r="H1114" s="252" t="s">
        <v>131</v>
      </c>
      <c r="I1114" s="250" t="s">
        <v>488</v>
      </c>
      <c r="J1114" s="250" t="s">
        <v>114</v>
      </c>
      <c r="K1114" s="250" t="s">
        <v>466</v>
      </c>
      <c r="L1114" s="250" t="s">
        <v>489</v>
      </c>
      <c r="M1114" s="277" t="s">
        <v>114</v>
      </c>
      <c r="N1114" s="278">
        <v>44347</v>
      </c>
      <c r="O1114" s="329" t="s">
        <v>67</v>
      </c>
      <c r="P1114" s="330">
        <f t="shared" ref="P1114:Q1114" si="1110">IF(B1114=0,0,IF(YEAR(B1114)=$Q$1,MONTH(B1114)-$P$1+1,(YEAR(B1114)-$Q$1)*12-$P$1+1+MONTH(B1114)))</f>
        <v>6</v>
      </c>
      <c r="Q1114" s="330">
        <f t="shared" si="1110"/>
        <v>5</v>
      </c>
      <c r="R1114" s="331" t="str">
        <f t="shared" si="1"/>
        <v>Gastos_Gerais</v>
      </c>
      <c r="S1114" s="331" t="str">
        <f>IF(D1114="","",IF(OR(D1114=Plano!$A$1,D1114=Plano!$B$1),"entrada","saída"))</f>
        <v>saída</v>
      </c>
      <c r="T1114" s="332" t="s">
        <v>114</v>
      </c>
      <c r="U1114" s="332" t="s">
        <v>114</v>
      </c>
      <c r="V1114" s="344"/>
    </row>
    <row r="1115" spans="1:22" ht="36" customHeight="1" x14ac:dyDescent="0.2">
      <c r="A1115" s="277">
        <f>IF(B1115="","",COUNT('Diário 5º PA'!$A$5:$A$2634)+ROW()-4)</f>
        <v>2422</v>
      </c>
      <c r="B1115" s="278">
        <v>44365</v>
      </c>
      <c r="C1115" s="259">
        <v>44317</v>
      </c>
      <c r="D1115" s="252" t="s">
        <v>99</v>
      </c>
      <c r="E1115" s="252" t="s">
        <v>364</v>
      </c>
      <c r="F1115" s="257">
        <v>80.2</v>
      </c>
      <c r="G1115" s="252" t="s">
        <v>5005</v>
      </c>
      <c r="H1115" s="252" t="s">
        <v>131</v>
      </c>
      <c r="I1115" s="250" t="s">
        <v>488</v>
      </c>
      <c r="J1115" s="250" t="s">
        <v>114</v>
      </c>
      <c r="K1115" s="250" t="s">
        <v>466</v>
      </c>
      <c r="L1115" s="250" t="s">
        <v>489</v>
      </c>
      <c r="M1115" s="277" t="s">
        <v>114</v>
      </c>
      <c r="N1115" s="278">
        <v>44347</v>
      </c>
      <c r="O1115" s="329" t="s">
        <v>67</v>
      </c>
      <c r="P1115" s="330">
        <f t="shared" ref="P1115:Q1115" si="1111">IF(B1115=0,0,IF(YEAR(B1115)=$Q$1,MONTH(B1115)-$P$1+1,(YEAR(B1115)-$Q$1)*12-$P$1+1+MONTH(B1115)))</f>
        <v>6</v>
      </c>
      <c r="Q1115" s="330">
        <f t="shared" si="1111"/>
        <v>5</v>
      </c>
      <c r="R1115" s="331" t="str">
        <f t="shared" si="1"/>
        <v>Gastos_Gerais</v>
      </c>
      <c r="S1115" s="331" t="str">
        <f>IF(D1115="","",IF(OR(D1115=Plano!$A$1,D1115=Plano!$B$1),"entrada","saída"))</f>
        <v>saída</v>
      </c>
      <c r="T1115" s="332" t="s">
        <v>114</v>
      </c>
      <c r="U1115" s="332" t="s">
        <v>114</v>
      </c>
      <c r="V1115" s="344"/>
    </row>
    <row r="1116" spans="1:22" ht="32.25" customHeight="1" x14ac:dyDescent="0.2">
      <c r="A1116" s="277">
        <f>IF(B1116="","",COUNT('Diário 5º PA'!$A$5:$A$2634)+ROW()-4)</f>
        <v>2423</v>
      </c>
      <c r="B1116" s="278">
        <v>44365</v>
      </c>
      <c r="C1116" s="259">
        <v>44317</v>
      </c>
      <c r="D1116" s="252" t="s">
        <v>99</v>
      </c>
      <c r="E1116" s="252" t="s">
        <v>228</v>
      </c>
      <c r="F1116" s="257">
        <v>127.5</v>
      </c>
      <c r="G1116" s="252" t="s">
        <v>5006</v>
      </c>
      <c r="H1116" s="252" t="s">
        <v>115</v>
      </c>
      <c r="I1116" s="252" t="s">
        <v>488</v>
      </c>
      <c r="J1116" s="250" t="s">
        <v>114</v>
      </c>
      <c r="K1116" s="250" t="s">
        <v>466</v>
      </c>
      <c r="L1116" s="250" t="s">
        <v>489</v>
      </c>
      <c r="M1116" s="277" t="s">
        <v>114</v>
      </c>
      <c r="N1116" s="278">
        <v>44347</v>
      </c>
      <c r="O1116" s="329" t="s">
        <v>67</v>
      </c>
      <c r="P1116" s="330">
        <f t="shared" ref="P1116:Q1116" si="1112">IF(B1116=0,0,IF(YEAR(B1116)=$Q$1,MONTH(B1116)-$P$1+1,(YEAR(B1116)-$Q$1)*12-$P$1+1+MONTH(B1116)))</f>
        <v>6</v>
      </c>
      <c r="Q1116" s="330">
        <f t="shared" si="1112"/>
        <v>5</v>
      </c>
      <c r="R1116" s="331" t="str">
        <f t="shared" si="1"/>
        <v>Gastos_Gerais</v>
      </c>
      <c r="S1116" s="331" t="str">
        <f>IF(D1116="","",IF(OR(D1116=Plano!$A$1,D1116=Plano!$B$1),"entrada","saída"))</f>
        <v>saída</v>
      </c>
      <c r="T1116" s="332" t="s">
        <v>114</v>
      </c>
      <c r="U1116" s="332" t="s">
        <v>114</v>
      </c>
      <c r="V1116" s="344"/>
    </row>
    <row r="1117" spans="1:22" ht="30" customHeight="1" x14ac:dyDescent="0.2">
      <c r="A1117" s="277">
        <f>IF(B1117="","",COUNT('Diário 5º PA'!$A$5:$A$2634)+ROW()-4)</f>
        <v>2424</v>
      </c>
      <c r="B1117" s="278">
        <v>44365</v>
      </c>
      <c r="C1117" s="259">
        <v>44287</v>
      </c>
      <c r="D1117" s="252" t="s">
        <v>99</v>
      </c>
      <c r="E1117" s="252" t="s">
        <v>228</v>
      </c>
      <c r="F1117" s="257">
        <v>395.25</v>
      </c>
      <c r="G1117" s="252" t="s">
        <v>5007</v>
      </c>
      <c r="H1117" s="252" t="s">
        <v>115</v>
      </c>
      <c r="I1117" s="252" t="s">
        <v>488</v>
      </c>
      <c r="J1117" s="250" t="s">
        <v>114</v>
      </c>
      <c r="K1117" s="250" t="s">
        <v>466</v>
      </c>
      <c r="L1117" s="250" t="s">
        <v>489</v>
      </c>
      <c r="M1117" s="277" t="s">
        <v>114</v>
      </c>
      <c r="N1117" s="278">
        <v>44347</v>
      </c>
      <c r="O1117" s="329" t="s">
        <v>67</v>
      </c>
      <c r="P1117" s="330">
        <f t="shared" ref="P1117:Q1117" si="1113">IF(B1117=0,0,IF(YEAR(B1117)=$Q$1,MONTH(B1117)-$P$1+1,(YEAR(B1117)-$Q$1)*12-$P$1+1+MONTH(B1117)))</f>
        <v>6</v>
      </c>
      <c r="Q1117" s="330">
        <f t="shared" si="1113"/>
        <v>4</v>
      </c>
      <c r="R1117" s="331" t="str">
        <f t="shared" si="1"/>
        <v>Gastos_Gerais</v>
      </c>
      <c r="S1117" s="331" t="str">
        <f>IF(D1117="","",IF(OR(D1117=Plano!$A$1,D1117=Plano!$B$1),"entrada","saída"))</f>
        <v>saída</v>
      </c>
      <c r="T1117" s="332" t="s">
        <v>114</v>
      </c>
      <c r="U1117" s="332" t="s">
        <v>114</v>
      </c>
      <c r="V1117" s="344"/>
    </row>
    <row r="1118" spans="1:22" ht="33" customHeight="1" x14ac:dyDescent="0.2">
      <c r="A1118" s="277">
        <f>IF(B1118="","",COUNT('Diário 5º PA'!$A$5:$A$2634)+ROW()-4)</f>
        <v>2425</v>
      </c>
      <c r="B1118" s="278">
        <v>44365</v>
      </c>
      <c r="C1118" s="259">
        <v>44256</v>
      </c>
      <c r="D1118" s="252" t="s">
        <v>88</v>
      </c>
      <c r="E1118" s="252" t="s">
        <v>90</v>
      </c>
      <c r="F1118" s="257">
        <v>13.29</v>
      </c>
      <c r="G1118" s="252" t="s">
        <v>5008</v>
      </c>
      <c r="H1118" s="252" t="s">
        <v>114</v>
      </c>
      <c r="I1118" s="252" t="s">
        <v>488</v>
      </c>
      <c r="J1118" s="250" t="s">
        <v>114</v>
      </c>
      <c r="K1118" s="250" t="s">
        <v>466</v>
      </c>
      <c r="L1118" s="250" t="s">
        <v>489</v>
      </c>
      <c r="M1118" s="277" t="s">
        <v>114</v>
      </c>
      <c r="N1118" s="278">
        <v>44347</v>
      </c>
      <c r="O1118" s="329" t="s">
        <v>67</v>
      </c>
      <c r="P1118" s="330">
        <f t="shared" ref="P1118:Q1118" si="1114">IF(B1118=0,0,IF(YEAR(B1118)=$Q$1,MONTH(B1118)-$P$1+1,(YEAR(B1118)-$Q$1)*12-$P$1+1+MONTH(B1118)))</f>
        <v>6</v>
      </c>
      <c r="Q1118" s="330">
        <f t="shared" si="1114"/>
        <v>3</v>
      </c>
      <c r="R1118" s="351" t="str">
        <f t="shared" si="1"/>
        <v>Gastos_com_Pessoal</v>
      </c>
      <c r="S1118" s="351" t="str">
        <f>IF(D1118="","",IF(OR(D1118=Plano!$A$1,D1118=Plano!$B$1),"entrada","saída"))</f>
        <v>saída</v>
      </c>
      <c r="T1118" s="332" t="s">
        <v>114</v>
      </c>
      <c r="U1118" s="332" t="s">
        <v>114</v>
      </c>
      <c r="V1118" s="344"/>
    </row>
    <row r="1119" spans="1:22" ht="24.75" customHeight="1" x14ac:dyDescent="0.2">
      <c r="A1119" s="277">
        <f>IF(B1119="","",COUNT('Diário 5º PA'!$A$5:$A$2634)+ROW()-4)</f>
        <v>2426</v>
      </c>
      <c r="B1119" s="278">
        <v>44365</v>
      </c>
      <c r="C1119" s="259">
        <v>44287</v>
      </c>
      <c r="D1119" s="252" t="s">
        <v>88</v>
      </c>
      <c r="E1119" s="252" t="s">
        <v>90</v>
      </c>
      <c r="F1119" s="257">
        <v>8987.39</v>
      </c>
      <c r="G1119" s="252" t="s">
        <v>5009</v>
      </c>
      <c r="H1119" s="252" t="s">
        <v>114</v>
      </c>
      <c r="I1119" s="252" t="s">
        <v>488</v>
      </c>
      <c r="J1119" s="250" t="s">
        <v>114</v>
      </c>
      <c r="K1119" s="250" t="s">
        <v>466</v>
      </c>
      <c r="L1119" s="250" t="s">
        <v>489</v>
      </c>
      <c r="M1119" s="277" t="s">
        <v>114</v>
      </c>
      <c r="N1119" s="278">
        <v>44347</v>
      </c>
      <c r="O1119" s="329" t="s">
        <v>67</v>
      </c>
      <c r="P1119" s="330">
        <f t="shared" ref="P1119:Q1119" si="1115">IF(B1119=0,0,IF(YEAR(B1119)=$Q$1,MONTH(B1119)-$P$1+1,(YEAR(B1119)-$Q$1)*12-$P$1+1+MONTH(B1119)))</f>
        <v>6</v>
      </c>
      <c r="Q1119" s="330">
        <f t="shared" si="1115"/>
        <v>4</v>
      </c>
      <c r="R1119" s="331" t="str">
        <f t="shared" si="1"/>
        <v>Gastos_com_Pessoal</v>
      </c>
      <c r="S1119" s="331" t="str">
        <f>IF(D1119="","",IF(OR(D1119=Plano!$A$1,D1119=Plano!$B$1),"entrada","saída"))</f>
        <v>saída</v>
      </c>
      <c r="T1119" s="332" t="s">
        <v>114</v>
      </c>
      <c r="U1119" s="332" t="s">
        <v>114</v>
      </c>
      <c r="V1119" s="344"/>
    </row>
    <row r="1120" spans="1:22" ht="26.25" customHeight="1" x14ac:dyDescent="0.2">
      <c r="A1120" s="277">
        <f>IF(B1120="","",COUNT('Diário 5º PA'!$A$5:$A$2634)+ROW()-4)</f>
        <v>2427</v>
      </c>
      <c r="B1120" s="278">
        <v>44365</v>
      </c>
      <c r="C1120" s="259">
        <v>44287</v>
      </c>
      <c r="D1120" s="252" t="s">
        <v>88</v>
      </c>
      <c r="E1120" s="252" t="s">
        <v>177</v>
      </c>
      <c r="F1120" s="257">
        <v>622.39</v>
      </c>
      <c r="G1120" s="252" t="s">
        <v>4677</v>
      </c>
      <c r="H1120" s="252" t="s">
        <v>114</v>
      </c>
      <c r="I1120" s="252" t="s">
        <v>488</v>
      </c>
      <c r="J1120" s="250" t="s">
        <v>114</v>
      </c>
      <c r="K1120" s="250" t="s">
        <v>466</v>
      </c>
      <c r="L1120" s="250" t="s">
        <v>489</v>
      </c>
      <c r="M1120" s="277" t="s">
        <v>114</v>
      </c>
      <c r="N1120" s="278">
        <v>44347</v>
      </c>
      <c r="O1120" s="329" t="s">
        <v>67</v>
      </c>
      <c r="P1120" s="330">
        <f t="shared" ref="P1120:Q1120" si="1116">IF(B1120=0,0,IF(YEAR(B1120)=$Q$1,MONTH(B1120)-$P$1+1,(YEAR(B1120)-$Q$1)*12-$P$1+1+MONTH(B1120)))</f>
        <v>6</v>
      </c>
      <c r="Q1120" s="330">
        <f t="shared" si="1116"/>
        <v>4</v>
      </c>
      <c r="R1120" s="331" t="str">
        <f t="shared" si="1"/>
        <v>Gastos_com_Pessoal</v>
      </c>
      <c r="S1120" s="331" t="str">
        <f>IF(D1120="","",IF(OR(D1120=Plano!$A$1,D1120=Plano!$B$1),"entrada","saída"))</f>
        <v>saída</v>
      </c>
      <c r="T1120" s="332" t="s">
        <v>114</v>
      </c>
      <c r="U1120" s="332" t="s">
        <v>114</v>
      </c>
      <c r="V1120" s="344"/>
    </row>
    <row r="1121" spans="1:22" ht="36" customHeight="1" x14ac:dyDescent="0.2">
      <c r="A1121" s="277">
        <f>IF(B1121="","",COUNT('Diário 5º PA'!$A$5:$A$2634)+ROW()-4)</f>
        <v>2428</v>
      </c>
      <c r="B1121" s="278">
        <v>44365</v>
      </c>
      <c r="C1121" s="335">
        <v>44348</v>
      </c>
      <c r="D1121" s="255" t="s">
        <v>99</v>
      </c>
      <c r="E1121" s="255" t="s">
        <v>272</v>
      </c>
      <c r="F1121" s="258">
        <v>10.45</v>
      </c>
      <c r="G1121" s="255" t="s">
        <v>5010</v>
      </c>
      <c r="H1121" s="252" t="s">
        <v>123</v>
      </c>
      <c r="I1121" s="250" t="s">
        <v>949</v>
      </c>
      <c r="J1121" s="255" t="s">
        <v>950</v>
      </c>
      <c r="K1121" s="255" t="s">
        <v>951</v>
      </c>
      <c r="L1121" s="250" t="s">
        <v>947</v>
      </c>
      <c r="M1121" s="336" t="s">
        <v>114</v>
      </c>
      <c r="N1121" s="278">
        <v>44365</v>
      </c>
      <c r="O1121" s="329" t="s">
        <v>67</v>
      </c>
      <c r="P1121" s="330">
        <f t="shared" ref="P1121:Q1121" si="1117">IF(B1121=0,0,IF(YEAR(B1121)=$Q$1,MONTH(B1121)-$P$1+1,(YEAR(B1121)-$Q$1)*12-$P$1+1+MONTH(B1121)))</f>
        <v>6</v>
      </c>
      <c r="Q1121" s="330">
        <f t="shared" si="1117"/>
        <v>6</v>
      </c>
      <c r="R1121" s="331" t="str">
        <f t="shared" si="1"/>
        <v>Gastos_Gerais</v>
      </c>
      <c r="S1121" s="331" t="str">
        <f>IF(D1121="","",IF(OR(D1121=Plano!$A$1,D1121=Plano!$B$1),"entrada","saída"))</f>
        <v>saída</v>
      </c>
      <c r="T1121" s="332" t="s">
        <v>114</v>
      </c>
      <c r="U1121" s="332" t="s">
        <v>114</v>
      </c>
      <c r="V1121" s="344"/>
    </row>
    <row r="1122" spans="1:22" ht="36" customHeight="1" x14ac:dyDescent="0.2">
      <c r="A1122" s="277">
        <f>IF(B1122="","",COUNT('Diário 5º PA'!$A$5:$A$2634)+ROW()-4)</f>
        <v>2429</v>
      </c>
      <c r="B1122" s="278">
        <v>44365</v>
      </c>
      <c r="C1122" s="259">
        <v>44287</v>
      </c>
      <c r="D1122" s="252" t="s">
        <v>104</v>
      </c>
      <c r="E1122" s="252" t="s">
        <v>104</v>
      </c>
      <c r="F1122" s="257">
        <v>24.08</v>
      </c>
      <c r="G1122" s="252" t="s">
        <v>5011</v>
      </c>
      <c r="H1122" s="252" t="s">
        <v>104</v>
      </c>
      <c r="I1122" s="252" t="s">
        <v>488</v>
      </c>
      <c r="J1122" s="250" t="s">
        <v>114</v>
      </c>
      <c r="K1122" s="250" t="s">
        <v>466</v>
      </c>
      <c r="L1122" s="250" t="s">
        <v>489</v>
      </c>
      <c r="M1122" s="336" t="s">
        <v>114</v>
      </c>
      <c r="N1122" s="278">
        <v>44347</v>
      </c>
      <c r="O1122" s="329" t="s">
        <v>68</v>
      </c>
      <c r="P1122" s="330">
        <f t="shared" ref="P1122:Q1122" si="1118">IF(B1122=0,0,IF(YEAR(B1122)=$Q$1,MONTH(B1122)-$P$1+1,(YEAR(B1122)-$Q$1)*12-$P$1+1+MONTH(B1122)))</f>
        <v>6</v>
      </c>
      <c r="Q1122" s="330">
        <f t="shared" si="1118"/>
        <v>4</v>
      </c>
      <c r="R1122" s="331" t="str">
        <f t="shared" si="1"/>
        <v>Gastos_custeados_por_captação</v>
      </c>
      <c r="S1122" s="331" t="str">
        <f>IF(D1122="","",IF(OR(D1122=Plano!$A$1,D1122=Plano!$B$1),"entrada","saída"))</f>
        <v>saída</v>
      </c>
      <c r="T1122" s="332" t="s">
        <v>114</v>
      </c>
      <c r="U1122" s="332" t="s">
        <v>114</v>
      </c>
      <c r="V1122" s="344"/>
    </row>
    <row r="1123" spans="1:22" ht="36" customHeight="1" x14ac:dyDescent="0.2">
      <c r="A1123" s="277">
        <f>IF(B1123="","",COUNT('Diário 5º PA'!$A$5:$A$2634)+ROW()-4)</f>
        <v>2430</v>
      </c>
      <c r="B1123" s="278">
        <v>44365</v>
      </c>
      <c r="C1123" s="259">
        <v>44287</v>
      </c>
      <c r="D1123" s="252" t="s">
        <v>104</v>
      </c>
      <c r="E1123" s="252" t="s">
        <v>104</v>
      </c>
      <c r="F1123" s="257">
        <v>10.73</v>
      </c>
      <c r="G1123" s="252" t="s">
        <v>5012</v>
      </c>
      <c r="H1123" s="252" t="s">
        <v>104</v>
      </c>
      <c r="I1123" s="252" t="s">
        <v>488</v>
      </c>
      <c r="J1123" s="250" t="s">
        <v>114</v>
      </c>
      <c r="K1123" s="250" t="s">
        <v>466</v>
      </c>
      <c r="L1123" s="250" t="s">
        <v>489</v>
      </c>
      <c r="M1123" s="336" t="s">
        <v>114</v>
      </c>
      <c r="N1123" s="278">
        <v>44347</v>
      </c>
      <c r="O1123" s="329" t="s">
        <v>68</v>
      </c>
      <c r="P1123" s="330">
        <f t="shared" ref="P1123:Q1123" si="1119">IF(B1123=0,0,IF(YEAR(B1123)=$Q$1,MONTH(B1123)-$P$1+1,(YEAR(B1123)-$Q$1)*12-$P$1+1+MONTH(B1123)))</f>
        <v>6</v>
      </c>
      <c r="Q1123" s="330">
        <f t="shared" si="1119"/>
        <v>4</v>
      </c>
      <c r="R1123" s="331" t="str">
        <f t="shared" si="1"/>
        <v>Gastos_custeados_por_captação</v>
      </c>
      <c r="S1123" s="331" t="str">
        <f>IF(D1123="","",IF(OR(D1123=Plano!$A$1,D1123=Plano!$B$1),"entrada","saída"))</f>
        <v>saída</v>
      </c>
      <c r="T1123" s="332" t="s">
        <v>114</v>
      </c>
      <c r="U1123" s="332" t="s">
        <v>114</v>
      </c>
      <c r="V1123" s="344"/>
    </row>
    <row r="1124" spans="1:22" ht="36" customHeight="1" x14ac:dyDescent="0.2">
      <c r="A1124" s="277">
        <f>IF(B1124="","",COUNT('Diário 5º PA'!$A$5:$A$2634)+ROW()-4)</f>
        <v>2431</v>
      </c>
      <c r="B1124" s="278">
        <v>44365</v>
      </c>
      <c r="C1124" s="259">
        <v>44287</v>
      </c>
      <c r="D1124" s="252" t="s">
        <v>104</v>
      </c>
      <c r="E1124" s="252" t="s">
        <v>104</v>
      </c>
      <c r="F1124" s="257">
        <v>24.08</v>
      </c>
      <c r="G1124" s="252" t="s">
        <v>5013</v>
      </c>
      <c r="H1124" s="252" t="s">
        <v>104</v>
      </c>
      <c r="I1124" s="252" t="s">
        <v>488</v>
      </c>
      <c r="J1124" s="250" t="s">
        <v>114</v>
      </c>
      <c r="K1124" s="250" t="s">
        <v>466</v>
      </c>
      <c r="L1124" s="250" t="s">
        <v>489</v>
      </c>
      <c r="M1124" s="336" t="s">
        <v>114</v>
      </c>
      <c r="N1124" s="278">
        <v>44347</v>
      </c>
      <c r="O1124" s="329" t="s">
        <v>68</v>
      </c>
      <c r="P1124" s="330">
        <f t="shared" ref="P1124:Q1124" si="1120">IF(B1124=0,0,IF(YEAR(B1124)=$Q$1,MONTH(B1124)-$P$1+1,(YEAR(B1124)-$Q$1)*12-$P$1+1+MONTH(B1124)))</f>
        <v>6</v>
      </c>
      <c r="Q1124" s="330">
        <f t="shared" si="1120"/>
        <v>4</v>
      </c>
      <c r="R1124" s="331" t="str">
        <f t="shared" si="1"/>
        <v>Gastos_custeados_por_captação</v>
      </c>
      <c r="S1124" s="331" t="str">
        <f>IF(D1124="","",IF(OR(D1124=Plano!$A$1,D1124=Plano!$B$1),"entrada","saída"))</f>
        <v>saída</v>
      </c>
      <c r="T1124" s="332" t="s">
        <v>114</v>
      </c>
      <c r="U1124" s="332" t="s">
        <v>114</v>
      </c>
      <c r="V1124" s="344"/>
    </row>
    <row r="1125" spans="1:22" ht="36" customHeight="1" x14ac:dyDescent="0.2">
      <c r="A1125" s="277">
        <f>IF(B1125="","",COUNT('Diário 5º PA'!$A$5:$A$2634)+ROW()-4)</f>
        <v>2432</v>
      </c>
      <c r="B1125" s="278">
        <v>44365</v>
      </c>
      <c r="C1125" s="259">
        <v>44287</v>
      </c>
      <c r="D1125" s="252" t="s">
        <v>104</v>
      </c>
      <c r="E1125" s="252" t="s">
        <v>104</v>
      </c>
      <c r="F1125" s="257">
        <v>24.08</v>
      </c>
      <c r="G1125" s="252" t="s">
        <v>5014</v>
      </c>
      <c r="H1125" s="252" t="s">
        <v>104</v>
      </c>
      <c r="I1125" s="252" t="s">
        <v>488</v>
      </c>
      <c r="J1125" s="250" t="s">
        <v>114</v>
      </c>
      <c r="K1125" s="250" t="s">
        <v>466</v>
      </c>
      <c r="L1125" s="250" t="s">
        <v>489</v>
      </c>
      <c r="M1125" s="336" t="s">
        <v>114</v>
      </c>
      <c r="N1125" s="278">
        <v>44347</v>
      </c>
      <c r="O1125" s="329" t="s">
        <v>68</v>
      </c>
      <c r="P1125" s="330">
        <f t="shared" ref="P1125:Q1125" si="1121">IF(B1125=0,0,IF(YEAR(B1125)=$Q$1,MONTH(B1125)-$P$1+1,(YEAR(B1125)-$Q$1)*12-$P$1+1+MONTH(B1125)))</f>
        <v>6</v>
      </c>
      <c r="Q1125" s="330">
        <f t="shared" si="1121"/>
        <v>4</v>
      </c>
      <c r="R1125" s="331" t="str">
        <f t="shared" si="1"/>
        <v>Gastos_custeados_por_captação</v>
      </c>
      <c r="S1125" s="331" t="str">
        <f>IF(D1125="","",IF(OR(D1125=Plano!$A$1,D1125=Plano!$B$1),"entrada","saída"))</f>
        <v>saída</v>
      </c>
      <c r="T1125" s="332" t="s">
        <v>114</v>
      </c>
      <c r="U1125" s="332" t="s">
        <v>114</v>
      </c>
      <c r="V1125" s="344"/>
    </row>
    <row r="1126" spans="1:22" ht="36" customHeight="1" x14ac:dyDescent="0.2">
      <c r="A1126" s="277">
        <f>IF(B1126="","",COUNT('Diário 5º PA'!$A$5:$A$2634)+ROW()-4)</f>
        <v>2433</v>
      </c>
      <c r="B1126" s="278">
        <v>44365</v>
      </c>
      <c r="C1126" s="259">
        <v>44287</v>
      </c>
      <c r="D1126" s="252" t="s">
        <v>104</v>
      </c>
      <c r="E1126" s="252" t="s">
        <v>104</v>
      </c>
      <c r="F1126" s="257">
        <v>775</v>
      </c>
      <c r="G1126" s="252" t="s">
        <v>5015</v>
      </c>
      <c r="H1126" s="252" t="s">
        <v>104</v>
      </c>
      <c r="I1126" s="252" t="s">
        <v>530</v>
      </c>
      <c r="J1126" s="250" t="s">
        <v>114</v>
      </c>
      <c r="K1126" s="250" t="s">
        <v>466</v>
      </c>
      <c r="L1126" s="250" t="s">
        <v>547</v>
      </c>
      <c r="M1126" s="336" t="s">
        <v>114</v>
      </c>
      <c r="N1126" s="278">
        <v>44347</v>
      </c>
      <c r="O1126" s="329" t="s">
        <v>68</v>
      </c>
      <c r="P1126" s="330">
        <f t="shared" ref="P1126:Q1126" si="1122">IF(B1126=0,0,IF(YEAR(B1126)=$Q$1,MONTH(B1126)-$P$1+1,(YEAR(B1126)-$Q$1)*12-$P$1+1+MONTH(B1126)))</f>
        <v>6</v>
      </c>
      <c r="Q1126" s="330">
        <f t="shared" si="1122"/>
        <v>4</v>
      </c>
      <c r="R1126" s="331" t="str">
        <f t="shared" si="1"/>
        <v>Gastos_custeados_por_captação</v>
      </c>
      <c r="S1126" s="331" t="str">
        <f>IF(D1126="","",IF(OR(D1126=Plano!$A$1,D1126=Plano!$B$1),"entrada","saída"))</f>
        <v>saída</v>
      </c>
      <c r="T1126" s="332" t="s">
        <v>114</v>
      </c>
      <c r="U1126" s="332" t="s">
        <v>114</v>
      </c>
      <c r="V1126" s="344"/>
    </row>
    <row r="1127" spans="1:22" ht="36" customHeight="1" x14ac:dyDescent="0.2">
      <c r="A1127" s="277">
        <f>IF(B1127="","",COUNT('Diário 5º PA'!$A$5:$A$2634)+ROW()-4)</f>
        <v>2434</v>
      </c>
      <c r="B1127" s="278">
        <v>44365</v>
      </c>
      <c r="C1127" s="259">
        <v>44287</v>
      </c>
      <c r="D1127" s="252" t="s">
        <v>104</v>
      </c>
      <c r="E1127" s="252" t="s">
        <v>104</v>
      </c>
      <c r="F1127" s="257">
        <v>713</v>
      </c>
      <c r="G1127" s="252" t="s">
        <v>5016</v>
      </c>
      <c r="H1127" s="252" t="s">
        <v>104</v>
      </c>
      <c r="I1127" s="252" t="s">
        <v>530</v>
      </c>
      <c r="J1127" s="250" t="s">
        <v>114</v>
      </c>
      <c r="K1127" s="250" t="s">
        <v>466</v>
      </c>
      <c r="L1127" s="250" t="s">
        <v>547</v>
      </c>
      <c r="M1127" s="336" t="s">
        <v>114</v>
      </c>
      <c r="N1127" s="278">
        <v>44347</v>
      </c>
      <c r="O1127" s="329" t="s">
        <v>68</v>
      </c>
      <c r="P1127" s="330">
        <f t="shared" ref="P1127:Q1127" si="1123">IF(B1127=0,0,IF(YEAR(B1127)=$Q$1,MONTH(B1127)-$P$1+1,(YEAR(B1127)-$Q$1)*12-$P$1+1+MONTH(B1127)))</f>
        <v>6</v>
      </c>
      <c r="Q1127" s="330">
        <f t="shared" si="1123"/>
        <v>4</v>
      </c>
      <c r="R1127" s="331" t="str">
        <f t="shared" si="1"/>
        <v>Gastos_custeados_por_captação</v>
      </c>
      <c r="S1127" s="331" t="str">
        <f>IF(D1127="","",IF(OR(D1127=Plano!$A$1,D1127=Plano!$B$1),"entrada","saída"))</f>
        <v>saída</v>
      </c>
      <c r="T1127" s="332" t="s">
        <v>114</v>
      </c>
      <c r="U1127" s="332" t="s">
        <v>114</v>
      </c>
      <c r="V1127" s="344"/>
    </row>
    <row r="1128" spans="1:22" ht="36" customHeight="1" x14ac:dyDescent="0.2">
      <c r="A1128" s="277">
        <f>IF(B1128="","",COUNT('Diário 5º PA'!$A$5:$A$2634)+ROW()-4)</f>
        <v>2435</v>
      </c>
      <c r="B1128" s="278">
        <v>44365</v>
      </c>
      <c r="C1128" s="259">
        <v>44287</v>
      </c>
      <c r="D1128" s="252" t="s">
        <v>104</v>
      </c>
      <c r="E1128" s="252" t="s">
        <v>104</v>
      </c>
      <c r="F1128" s="257">
        <v>775</v>
      </c>
      <c r="G1128" s="252" t="s">
        <v>5017</v>
      </c>
      <c r="H1128" s="252" t="s">
        <v>104</v>
      </c>
      <c r="I1128" s="252" t="s">
        <v>530</v>
      </c>
      <c r="J1128" s="250" t="s">
        <v>114</v>
      </c>
      <c r="K1128" s="250" t="s">
        <v>466</v>
      </c>
      <c r="L1128" s="250" t="s">
        <v>547</v>
      </c>
      <c r="M1128" s="336" t="s">
        <v>114</v>
      </c>
      <c r="N1128" s="278">
        <v>44347</v>
      </c>
      <c r="O1128" s="329" t="s">
        <v>68</v>
      </c>
      <c r="P1128" s="330">
        <f t="shared" ref="P1128:Q1128" si="1124">IF(B1128=0,0,IF(YEAR(B1128)=$Q$1,MONTH(B1128)-$P$1+1,(YEAR(B1128)-$Q$1)*12-$P$1+1+MONTH(B1128)))</f>
        <v>6</v>
      </c>
      <c r="Q1128" s="330">
        <f t="shared" si="1124"/>
        <v>4</v>
      </c>
      <c r="R1128" s="331" t="str">
        <f t="shared" si="1"/>
        <v>Gastos_custeados_por_captação</v>
      </c>
      <c r="S1128" s="331" t="str">
        <f>IF(D1128="","",IF(OR(D1128=Plano!$A$1,D1128=Plano!$B$1),"entrada","saída"))</f>
        <v>saída</v>
      </c>
      <c r="T1128" s="332" t="s">
        <v>114</v>
      </c>
      <c r="U1128" s="332" t="s">
        <v>114</v>
      </c>
      <c r="V1128" s="344"/>
    </row>
    <row r="1129" spans="1:22" ht="36" customHeight="1" x14ac:dyDescent="0.2">
      <c r="A1129" s="277">
        <f>IF(B1129="","",COUNT('Diário 5º PA'!$A$5:$A$2634)+ROW()-4)</f>
        <v>2436</v>
      </c>
      <c r="B1129" s="278">
        <v>44365</v>
      </c>
      <c r="C1129" s="259">
        <v>44287</v>
      </c>
      <c r="D1129" s="252" t="s">
        <v>104</v>
      </c>
      <c r="E1129" s="252" t="s">
        <v>104</v>
      </c>
      <c r="F1129" s="257">
        <v>775</v>
      </c>
      <c r="G1129" s="252" t="s">
        <v>5018</v>
      </c>
      <c r="H1129" s="252" t="s">
        <v>104</v>
      </c>
      <c r="I1129" s="252" t="s">
        <v>530</v>
      </c>
      <c r="J1129" s="250" t="s">
        <v>114</v>
      </c>
      <c r="K1129" s="250" t="s">
        <v>466</v>
      </c>
      <c r="L1129" s="250" t="s">
        <v>547</v>
      </c>
      <c r="M1129" s="336" t="s">
        <v>114</v>
      </c>
      <c r="N1129" s="278">
        <v>44347</v>
      </c>
      <c r="O1129" s="329" t="s">
        <v>68</v>
      </c>
      <c r="P1129" s="330">
        <f t="shared" ref="P1129:Q1129" si="1125">IF(B1129=0,0,IF(YEAR(B1129)=$Q$1,MONTH(B1129)-$P$1+1,(YEAR(B1129)-$Q$1)*12-$P$1+1+MONTH(B1129)))</f>
        <v>6</v>
      </c>
      <c r="Q1129" s="330">
        <f t="shared" si="1125"/>
        <v>4</v>
      </c>
      <c r="R1129" s="331" t="str">
        <f t="shared" si="1"/>
        <v>Gastos_custeados_por_captação</v>
      </c>
      <c r="S1129" s="331" t="str">
        <f>IF(D1129="","",IF(OR(D1129=Plano!$A$1,D1129=Plano!$B$1),"entrada","saída"))</f>
        <v>saída</v>
      </c>
      <c r="T1129" s="332" t="s">
        <v>114</v>
      </c>
      <c r="U1129" s="332" t="s">
        <v>114</v>
      </c>
      <c r="V1129" s="344"/>
    </row>
    <row r="1130" spans="1:22" ht="36" customHeight="1" x14ac:dyDescent="0.2">
      <c r="A1130" s="277">
        <f>IF(B1130="","",COUNT('Diário 5º PA'!$A$5:$A$2634)+ROW()-4)</f>
        <v>2437</v>
      </c>
      <c r="B1130" s="278">
        <v>44365</v>
      </c>
      <c r="C1130" s="259">
        <v>44287</v>
      </c>
      <c r="D1130" s="252" t="s">
        <v>104</v>
      </c>
      <c r="E1130" s="252" t="s">
        <v>104</v>
      </c>
      <c r="F1130" s="257">
        <v>24.08</v>
      </c>
      <c r="G1130" s="252" t="s">
        <v>5019</v>
      </c>
      <c r="H1130" s="252" t="s">
        <v>104</v>
      </c>
      <c r="I1130" s="252" t="s">
        <v>488</v>
      </c>
      <c r="J1130" s="250" t="s">
        <v>114</v>
      </c>
      <c r="K1130" s="250" t="s">
        <v>466</v>
      </c>
      <c r="L1130" s="250" t="s">
        <v>489</v>
      </c>
      <c r="M1130" s="336" t="s">
        <v>114</v>
      </c>
      <c r="N1130" s="278">
        <v>44347</v>
      </c>
      <c r="O1130" s="329" t="s">
        <v>69</v>
      </c>
      <c r="P1130" s="330">
        <f t="shared" ref="P1130:Q1130" si="1126">IF(B1130=0,0,IF(YEAR(B1130)=$Q$1,MONTH(B1130)-$P$1+1,(YEAR(B1130)-$Q$1)*12-$P$1+1+MONTH(B1130)))</f>
        <v>6</v>
      </c>
      <c r="Q1130" s="330">
        <f t="shared" si="1126"/>
        <v>4</v>
      </c>
      <c r="R1130" s="331" t="str">
        <f t="shared" si="1"/>
        <v>Gastos_custeados_por_captação</v>
      </c>
      <c r="S1130" s="331" t="str">
        <f>IF(D1130="","",IF(OR(D1130=Plano!$A$1,D1130=Plano!$B$1),"entrada","saída"))</f>
        <v>saída</v>
      </c>
      <c r="T1130" s="332" t="s">
        <v>114</v>
      </c>
      <c r="U1130" s="332" t="s">
        <v>114</v>
      </c>
      <c r="V1130" s="344"/>
    </row>
    <row r="1131" spans="1:22" ht="36" customHeight="1" x14ac:dyDescent="0.2">
      <c r="A1131" s="277">
        <f>IF(B1131="","",COUNT('Diário 5º PA'!$A$5:$A$2634)+ROW()-4)</f>
        <v>2438</v>
      </c>
      <c r="B1131" s="278">
        <v>44365</v>
      </c>
      <c r="C1131" s="259">
        <v>44287</v>
      </c>
      <c r="D1131" s="252" t="s">
        <v>104</v>
      </c>
      <c r="E1131" s="252" t="s">
        <v>104</v>
      </c>
      <c r="F1131" s="257">
        <v>775</v>
      </c>
      <c r="G1131" s="252" t="s">
        <v>5020</v>
      </c>
      <c r="H1131" s="252" t="s">
        <v>104</v>
      </c>
      <c r="I1131" s="252" t="s">
        <v>530</v>
      </c>
      <c r="J1131" s="250" t="s">
        <v>114</v>
      </c>
      <c r="K1131" s="250" t="s">
        <v>466</v>
      </c>
      <c r="L1131" s="250" t="s">
        <v>547</v>
      </c>
      <c r="M1131" s="336" t="s">
        <v>114</v>
      </c>
      <c r="N1131" s="278">
        <v>44347</v>
      </c>
      <c r="O1131" s="329" t="s">
        <v>69</v>
      </c>
      <c r="P1131" s="330">
        <f t="shared" ref="P1131:Q1131" si="1127">IF(B1131=0,0,IF(YEAR(B1131)=$Q$1,MONTH(B1131)-$P$1+1,(YEAR(B1131)-$Q$1)*12-$P$1+1+MONTH(B1131)))</f>
        <v>6</v>
      </c>
      <c r="Q1131" s="330">
        <f t="shared" si="1127"/>
        <v>4</v>
      </c>
      <c r="R1131" s="331" t="str">
        <f t="shared" si="1"/>
        <v>Gastos_custeados_por_captação</v>
      </c>
      <c r="S1131" s="331" t="str">
        <f>IF(D1131="","",IF(OR(D1131=Plano!$A$1,D1131=Plano!$B$1),"entrada","saída"))</f>
        <v>saída</v>
      </c>
      <c r="T1131" s="332" t="s">
        <v>114</v>
      </c>
      <c r="U1131" s="332" t="s">
        <v>114</v>
      </c>
      <c r="V1131" s="344"/>
    </row>
    <row r="1132" spans="1:22" ht="36" customHeight="1" x14ac:dyDescent="0.2">
      <c r="A1132" s="277">
        <f>IF(B1132="","",COUNT('Diário 5º PA'!$A$5:$A$2634)+ROW()-4)</f>
        <v>2439</v>
      </c>
      <c r="B1132" s="278">
        <v>44365</v>
      </c>
      <c r="C1132" s="259">
        <v>44287</v>
      </c>
      <c r="D1132" s="252" t="s">
        <v>104</v>
      </c>
      <c r="E1132" s="252" t="s">
        <v>104</v>
      </c>
      <c r="F1132" s="257">
        <v>1316.7</v>
      </c>
      <c r="G1132" s="252" t="s">
        <v>5021</v>
      </c>
      <c r="H1132" s="252" t="s">
        <v>104</v>
      </c>
      <c r="I1132" s="252" t="s">
        <v>530</v>
      </c>
      <c r="J1132" s="250" t="s">
        <v>114</v>
      </c>
      <c r="K1132" s="250" t="s">
        <v>466</v>
      </c>
      <c r="L1132" s="250" t="s">
        <v>547</v>
      </c>
      <c r="M1132" s="336" t="s">
        <v>114</v>
      </c>
      <c r="N1132" s="278">
        <v>44347</v>
      </c>
      <c r="O1132" s="329" t="s">
        <v>69</v>
      </c>
      <c r="P1132" s="330">
        <f t="shared" ref="P1132:Q1132" si="1128">IF(B1132=0,0,IF(YEAR(B1132)=$Q$1,MONTH(B1132)-$P$1+1,(YEAR(B1132)-$Q$1)*12-$P$1+1+MONTH(B1132)))</f>
        <v>6</v>
      </c>
      <c r="Q1132" s="330">
        <f t="shared" si="1128"/>
        <v>4</v>
      </c>
      <c r="R1132" s="331" t="str">
        <f t="shared" si="1"/>
        <v>Gastos_custeados_por_captação</v>
      </c>
      <c r="S1132" s="331" t="str">
        <f>IF(D1132="","",IF(OR(D1132=Plano!$A$1,D1132=Plano!$B$1),"entrada","saída"))</f>
        <v>saída</v>
      </c>
      <c r="T1132" s="332" t="s">
        <v>114</v>
      </c>
      <c r="U1132" s="332" t="s">
        <v>114</v>
      </c>
      <c r="V1132" s="344"/>
    </row>
    <row r="1133" spans="1:22" ht="36" customHeight="1" x14ac:dyDescent="0.2">
      <c r="A1133" s="277">
        <f>IF(B1133="","",COUNT('Diário 5º PA'!$A$5:$A$2634)+ROW()-4)</f>
        <v>2440</v>
      </c>
      <c r="B1133" s="278">
        <v>44365</v>
      </c>
      <c r="C1133" s="259">
        <v>44287</v>
      </c>
      <c r="D1133" s="252" t="s">
        <v>104</v>
      </c>
      <c r="E1133" s="252" t="s">
        <v>104</v>
      </c>
      <c r="F1133" s="257">
        <v>24.08</v>
      </c>
      <c r="G1133" s="252" t="s">
        <v>5022</v>
      </c>
      <c r="H1133" s="252" t="s">
        <v>104</v>
      </c>
      <c r="I1133" s="252" t="s">
        <v>488</v>
      </c>
      <c r="J1133" s="250" t="s">
        <v>114</v>
      </c>
      <c r="K1133" s="250" t="s">
        <v>466</v>
      </c>
      <c r="L1133" s="250" t="s">
        <v>489</v>
      </c>
      <c r="M1133" s="336" t="s">
        <v>114</v>
      </c>
      <c r="N1133" s="278">
        <v>44347</v>
      </c>
      <c r="O1133" s="329" t="s">
        <v>70</v>
      </c>
      <c r="P1133" s="330">
        <f t="shared" ref="P1133:Q1133" si="1129">IF(B1133=0,0,IF(YEAR(B1133)=$Q$1,MONTH(B1133)-$P$1+1,(YEAR(B1133)-$Q$1)*12-$P$1+1+MONTH(B1133)))</f>
        <v>6</v>
      </c>
      <c r="Q1133" s="330">
        <f t="shared" si="1129"/>
        <v>4</v>
      </c>
      <c r="R1133" s="331" t="str">
        <f t="shared" si="1"/>
        <v>Gastos_custeados_por_captação</v>
      </c>
      <c r="S1133" s="331" t="str">
        <f>IF(D1133="","",IF(OR(D1133=Plano!$A$1,D1133=Plano!$B$1),"entrada","saída"))</f>
        <v>saída</v>
      </c>
      <c r="T1133" s="332" t="s">
        <v>114</v>
      </c>
      <c r="U1133" s="332" t="s">
        <v>114</v>
      </c>
      <c r="V1133" s="344"/>
    </row>
    <row r="1134" spans="1:22" ht="36" customHeight="1" x14ac:dyDescent="0.2">
      <c r="A1134" s="277">
        <f>IF(B1134="","",COUNT('Diário 5º PA'!$A$5:$A$2634)+ROW()-4)</f>
        <v>2441</v>
      </c>
      <c r="B1134" s="278">
        <v>44365</v>
      </c>
      <c r="C1134" s="259">
        <v>44287</v>
      </c>
      <c r="D1134" s="252" t="s">
        <v>104</v>
      </c>
      <c r="E1134" s="252" t="s">
        <v>104</v>
      </c>
      <c r="F1134" s="257">
        <v>775</v>
      </c>
      <c r="G1134" s="252" t="s">
        <v>5023</v>
      </c>
      <c r="H1134" s="252" t="s">
        <v>104</v>
      </c>
      <c r="I1134" s="252" t="s">
        <v>530</v>
      </c>
      <c r="J1134" s="250" t="s">
        <v>114</v>
      </c>
      <c r="K1134" s="250" t="s">
        <v>466</v>
      </c>
      <c r="L1134" s="250" t="s">
        <v>547</v>
      </c>
      <c r="M1134" s="336" t="s">
        <v>114</v>
      </c>
      <c r="N1134" s="278">
        <v>44347</v>
      </c>
      <c r="O1134" s="329" t="s">
        <v>70</v>
      </c>
      <c r="P1134" s="330">
        <f t="shared" ref="P1134:Q1134" si="1130">IF(B1134=0,0,IF(YEAR(B1134)=$Q$1,MONTH(B1134)-$P$1+1,(YEAR(B1134)-$Q$1)*12-$P$1+1+MONTH(B1134)))</f>
        <v>6</v>
      </c>
      <c r="Q1134" s="330">
        <f t="shared" si="1130"/>
        <v>4</v>
      </c>
      <c r="R1134" s="331" t="str">
        <f t="shared" si="1"/>
        <v>Gastos_custeados_por_captação</v>
      </c>
      <c r="S1134" s="331" t="str">
        <f>IF(D1134="","",IF(OR(D1134=Plano!$A$1,D1134=Plano!$B$1),"entrada","saída"))</f>
        <v>saída</v>
      </c>
      <c r="T1134" s="332" t="s">
        <v>114</v>
      </c>
      <c r="U1134" s="332" t="s">
        <v>114</v>
      </c>
      <c r="V1134" s="344"/>
    </row>
    <row r="1135" spans="1:22" ht="36" customHeight="1" x14ac:dyDescent="0.2">
      <c r="A1135" s="277">
        <f>IF(B1135="","",COUNT('Diário 5º PA'!$A$5:$A$2634)+ROW()-4)</f>
        <v>2442</v>
      </c>
      <c r="B1135" s="278">
        <v>44365</v>
      </c>
      <c r="C1135" s="259">
        <v>44287</v>
      </c>
      <c r="D1135" s="252" t="s">
        <v>104</v>
      </c>
      <c r="E1135" s="252" t="s">
        <v>104</v>
      </c>
      <c r="F1135" s="257">
        <v>124</v>
      </c>
      <c r="G1135" s="252" t="s">
        <v>5024</v>
      </c>
      <c r="H1135" s="252" t="s">
        <v>104</v>
      </c>
      <c r="I1135" s="252" t="s">
        <v>530</v>
      </c>
      <c r="J1135" s="250" t="s">
        <v>114</v>
      </c>
      <c r="K1135" s="250" t="s">
        <v>466</v>
      </c>
      <c r="L1135" s="250" t="s">
        <v>547</v>
      </c>
      <c r="M1135" s="336" t="s">
        <v>114</v>
      </c>
      <c r="N1135" s="278">
        <v>44347</v>
      </c>
      <c r="O1135" s="329" t="s">
        <v>70</v>
      </c>
      <c r="P1135" s="330">
        <f t="shared" ref="P1135:Q1135" si="1131">IF(B1135=0,0,IF(YEAR(B1135)=$Q$1,MONTH(B1135)-$P$1+1,(YEAR(B1135)-$Q$1)*12-$P$1+1+MONTH(B1135)))</f>
        <v>6</v>
      </c>
      <c r="Q1135" s="330">
        <f t="shared" si="1131"/>
        <v>4</v>
      </c>
      <c r="R1135" s="331" t="str">
        <f t="shared" si="1"/>
        <v>Gastos_custeados_por_captação</v>
      </c>
      <c r="S1135" s="331" t="str">
        <f>IF(D1135="","",IF(OR(D1135=Plano!$A$1,D1135=Plano!$B$1),"entrada","saída"))</f>
        <v>saída</v>
      </c>
      <c r="T1135" s="332" t="s">
        <v>114</v>
      </c>
      <c r="U1135" s="332" t="s">
        <v>114</v>
      </c>
      <c r="V1135" s="344"/>
    </row>
    <row r="1136" spans="1:22" ht="36" customHeight="1" x14ac:dyDescent="0.2">
      <c r="A1136" s="277">
        <f>IF(B1136="","",COUNT('Diário 5º PA'!$A$5:$A$2634)+ROW()-4)</f>
        <v>2443</v>
      </c>
      <c r="B1136" s="278">
        <v>44365</v>
      </c>
      <c r="C1136" s="259">
        <v>44287</v>
      </c>
      <c r="D1136" s="252" t="s">
        <v>104</v>
      </c>
      <c r="E1136" s="252" t="s">
        <v>104</v>
      </c>
      <c r="F1136" s="257">
        <v>124</v>
      </c>
      <c r="G1136" s="252" t="s">
        <v>5025</v>
      </c>
      <c r="H1136" s="252" t="s">
        <v>104</v>
      </c>
      <c r="I1136" s="252" t="s">
        <v>530</v>
      </c>
      <c r="J1136" s="250" t="s">
        <v>114</v>
      </c>
      <c r="K1136" s="250" t="s">
        <v>466</v>
      </c>
      <c r="L1136" s="250" t="s">
        <v>547</v>
      </c>
      <c r="M1136" s="336" t="s">
        <v>114</v>
      </c>
      <c r="N1136" s="278">
        <v>44347</v>
      </c>
      <c r="O1136" s="329" t="s">
        <v>70</v>
      </c>
      <c r="P1136" s="330">
        <f t="shared" ref="P1136:Q1136" si="1132">IF(B1136=0,0,IF(YEAR(B1136)=$Q$1,MONTH(B1136)-$P$1+1,(YEAR(B1136)-$Q$1)*12-$P$1+1+MONTH(B1136)))</f>
        <v>6</v>
      </c>
      <c r="Q1136" s="330">
        <f t="shared" si="1132"/>
        <v>4</v>
      </c>
      <c r="R1136" s="331" t="str">
        <f t="shared" si="1"/>
        <v>Gastos_custeados_por_captação</v>
      </c>
      <c r="S1136" s="331" t="str">
        <f>IF(D1136="","",IF(OR(D1136=Plano!$A$1,D1136=Plano!$B$1),"entrada","saída"))</f>
        <v>saída</v>
      </c>
      <c r="T1136" s="332" t="s">
        <v>114</v>
      </c>
      <c r="U1136" s="332" t="s">
        <v>114</v>
      </c>
      <c r="V1136" s="344"/>
    </row>
    <row r="1137" spans="1:22" ht="36" customHeight="1" x14ac:dyDescent="0.2">
      <c r="A1137" s="277">
        <f>IF(B1137="","",COUNT('Diário 5º PA'!$A$5:$A$2634)+ROW()-4)</f>
        <v>2444</v>
      </c>
      <c r="B1137" s="278">
        <v>44365</v>
      </c>
      <c r="C1137" s="259">
        <v>44287</v>
      </c>
      <c r="D1137" s="252" t="s">
        <v>104</v>
      </c>
      <c r="E1137" s="252" t="s">
        <v>104</v>
      </c>
      <c r="F1137" s="257">
        <v>155</v>
      </c>
      <c r="G1137" s="252" t="s">
        <v>5026</v>
      </c>
      <c r="H1137" s="252" t="s">
        <v>104</v>
      </c>
      <c r="I1137" s="250" t="s">
        <v>530</v>
      </c>
      <c r="J1137" s="250" t="s">
        <v>114</v>
      </c>
      <c r="K1137" s="250" t="s">
        <v>466</v>
      </c>
      <c r="L1137" s="250" t="s">
        <v>547</v>
      </c>
      <c r="M1137" s="336" t="s">
        <v>114</v>
      </c>
      <c r="N1137" s="278">
        <v>44347</v>
      </c>
      <c r="O1137" s="329" t="s">
        <v>70</v>
      </c>
      <c r="P1137" s="330">
        <f t="shared" ref="P1137:Q1137" si="1133">IF(B1137=0,0,IF(YEAR(B1137)=$Q$1,MONTH(B1137)-$P$1+1,(YEAR(B1137)-$Q$1)*12-$P$1+1+MONTH(B1137)))</f>
        <v>6</v>
      </c>
      <c r="Q1137" s="330">
        <f t="shared" si="1133"/>
        <v>4</v>
      </c>
      <c r="R1137" s="331" t="str">
        <f t="shared" si="1"/>
        <v>Gastos_custeados_por_captação</v>
      </c>
      <c r="S1137" s="331" t="str">
        <f>IF(D1137="","",IF(OR(D1137=Plano!$A$1,D1137=Plano!$B$1),"entrada","saída"))</f>
        <v>saída</v>
      </c>
      <c r="T1137" s="332" t="s">
        <v>114</v>
      </c>
      <c r="U1137" s="332" t="s">
        <v>114</v>
      </c>
      <c r="V1137" s="344"/>
    </row>
    <row r="1138" spans="1:22" ht="36" customHeight="1" x14ac:dyDescent="0.2">
      <c r="A1138" s="277">
        <f>IF(B1138="","",COUNT('Diário 5º PA'!$A$5:$A$2634)+ROW()-4)</f>
        <v>2445</v>
      </c>
      <c r="B1138" s="278">
        <v>44365</v>
      </c>
      <c r="C1138" s="259">
        <v>44287</v>
      </c>
      <c r="D1138" s="252" t="s">
        <v>104</v>
      </c>
      <c r="E1138" s="252" t="s">
        <v>104</v>
      </c>
      <c r="F1138" s="257">
        <v>124</v>
      </c>
      <c r="G1138" s="252" t="s">
        <v>5027</v>
      </c>
      <c r="H1138" s="252" t="s">
        <v>104</v>
      </c>
      <c r="I1138" s="250" t="s">
        <v>530</v>
      </c>
      <c r="J1138" s="250" t="s">
        <v>114</v>
      </c>
      <c r="K1138" s="250" t="s">
        <v>466</v>
      </c>
      <c r="L1138" s="250" t="s">
        <v>547</v>
      </c>
      <c r="M1138" s="336" t="s">
        <v>114</v>
      </c>
      <c r="N1138" s="278">
        <v>44347</v>
      </c>
      <c r="O1138" s="329" t="s">
        <v>70</v>
      </c>
      <c r="P1138" s="330">
        <f t="shared" ref="P1138:Q1138" si="1134">IF(B1138=0,0,IF(YEAR(B1138)=$Q$1,MONTH(B1138)-$P$1+1,(YEAR(B1138)-$Q$1)*12-$P$1+1+MONTH(B1138)))</f>
        <v>6</v>
      </c>
      <c r="Q1138" s="330">
        <f t="shared" si="1134"/>
        <v>4</v>
      </c>
      <c r="R1138" s="331" t="str">
        <f t="shared" si="1"/>
        <v>Gastos_custeados_por_captação</v>
      </c>
      <c r="S1138" s="331" t="str">
        <f>IF(D1138="","",IF(OR(D1138=Plano!$A$1,D1138=Plano!$B$1),"entrada","saída"))</f>
        <v>saída</v>
      </c>
      <c r="T1138" s="332" t="s">
        <v>114</v>
      </c>
      <c r="U1138" s="332" t="s">
        <v>114</v>
      </c>
      <c r="V1138" s="344"/>
    </row>
    <row r="1139" spans="1:22" ht="36" customHeight="1" x14ac:dyDescent="0.2">
      <c r="A1139" s="277">
        <f>IF(B1139="","",COUNT('Diário 5º PA'!$A$5:$A$2634)+ROW()-4)</f>
        <v>2446</v>
      </c>
      <c r="B1139" s="278">
        <v>44365</v>
      </c>
      <c r="C1139" s="259">
        <v>44317</v>
      </c>
      <c r="D1139" s="252" t="s">
        <v>104</v>
      </c>
      <c r="E1139" s="252" t="s">
        <v>104</v>
      </c>
      <c r="F1139" s="257">
        <v>124</v>
      </c>
      <c r="G1139" s="252" t="s">
        <v>5028</v>
      </c>
      <c r="H1139" s="252" t="s">
        <v>104</v>
      </c>
      <c r="I1139" s="252" t="s">
        <v>530</v>
      </c>
      <c r="J1139" s="250" t="s">
        <v>114</v>
      </c>
      <c r="K1139" s="250" t="s">
        <v>466</v>
      </c>
      <c r="L1139" s="250" t="s">
        <v>547</v>
      </c>
      <c r="M1139" s="336" t="s">
        <v>114</v>
      </c>
      <c r="N1139" s="278">
        <v>44347</v>
      </c>
      <c r="O1139" s="329" t="s">
        <v>70</v>
      </c>
      <c r="P1139" s="330">
        <f t="shared" ref="P1139:Q1139" si="1135">IF(B1139=0,0,IF(YEAR(B1139)=$Q$1,MONTH(B1139)-$P$1+1,(YEAR(B1139)-$Q$1)*12-$P$1+1+MONTH(B1139)))</f>
        <v>6</v>
      </c>
      <c r="Q1139" s="330">
        <f t="shared" si="1135"/>
        <v>5</v>
      </c>
      <c r="R1139" s="331" t="str">
        <f t="shared" si="1"/>
        <v>Gastos_custeados_por_captação</v>
      </c>
      <c r="S1139" s="331" t="str">
        <f>IF(D1139="","",IF(OR(D1139=Plano!$A$1,D1139=Plano!$B$1),"entrada","saída"))</f>
        <v>saída</v>
      </c>
      <c r="T1139" s="332" t="s">
        <v>114</v>
      </c>
      <c r="U1139" s="332" t="s">
        <v>114</v>
      </c>
      <c r="V1139" s="344"/>
    </row>
    <row r="1140" spans="1:22" ht="36" customHeight="1" x14ac:dyDescent="0.2">
      <c r="A1140" s="277">
        <f>IF(B1140="","",COUNT('Diário 5º PA'!$A$5:$A$2634)+ROW()-4)</f>
        <v>2447</v>
      </c>
      <c r="B1140" s="278">
        <v>44365</v>
      </c>
      <c r="C1140" s="259">
        <v>44317</v>
      </c>
      <c r="D1140" s="252" t="s">
        <v>104</v>
      </c>
      <c r="E1140" s="252" t="s">
        <v>104</v>
      </c>
      <c r="F1140" s="257">
        <v>124</v>
      </c>
      <c r="G1140" s="252" t="s">
        <v>5029</v>
      </c>
      <c r="H1140" s="252" t="s">
        <v>104</v>
      </c>
      <c r="I1140" s="252" t="s">
        <v>530</v>
      </c>
      <c r="J1140" s="250" t="s">
        <v>114</v>
      </c>
      <c r="K1140" s="250" t="s">
        <v>466</v>
      </c>
      <c r="L1140" s="250" t="s">
        <v>547</v>
      </c>
      <c r="M1140" s="336" t="s">
        <v>114</v>
      </c>
      <c r="N1140" s="278">
        <v>44347</v>
      </c>
      <c r="O1140" s="329" t="s">
        <v>70</v>
      </c>
      <c r="P1140" s="330">
        <f t="shared" ref="P1140:Q1140" si="1136">IF(B1140=0,0,IF(YEAR(B1140)=$Q$1,MONTH(B1140)-$P$1+1,(YEAR(B1140)-$Q$1)*12-$P$1+1+MONTH(B1140)))</f>
        <v>6</v>
      </c>
      <c r="Q1140" s="330">
        <f t="shared" si="1136"/>
        <v>5</v>
      </c>
      <c r="R1140" s="331" t="str">
        <f t="shared" si="1"/>
        <v>Gastos_custeados_por_captação</v>
      </c>
      <c r="S1140" s="331" t="str">
        <f>IF(D1140="","",IF(OR(D1140=Plano!$A$1,D1140=Plano!$B$1),"entrada","saída"))</f>
        <v>saída</v>
      </c>
      <c r="T1140" s="332" t="s">
        <v>114</v>
      </c>
      <c r="U1140" s="332" t="s">
        <v>114</v>
      </c>
      <c r="V1140" s="344"/>
    </row>
    <row r="1141" spans="1:22" ht="36" customHeight="1" x14ac:dyDescent="0.2">
      <c r="A1141" s="277">
        <f>IF(B1141="","",COUNT('Diário 5º PA'!$A$5:$A$2634)+ROW()-4)</f>
        <v>2448</v>
      </c>
      <c r="B1141" s="278">
        <v>44365</v>
      </c>
      <c r="C1141" s="259">
        <v>44287</v>
      </c>
      <c r="D1141" s="252" t="s">
        <v>104</v>
      </c>
      <c r="E1141" s="252" t="s">
        <v>104</v>
      </c>
      <c r="F1141" s="257">
        <v>24.08</v>
      </c>
      <c r="G1141" s="252" t="s">
        <v>5030</v>
      </c>
      <c r="H1141" s="252" t="s">
        <v>104</v>
      </c>
      <c r="I1141" s="252" t="s">
        <v>488</v>
      </c>
      <c r="J1141" s="250" t="s">
        <v>114</v>
      </c>
      <c r="K1141" s="250" t="s">
        <v>466</v>
      </c>
      <c r="L1141" s="250" t="s">
        <v>489</v>
      </c>
      <c r="M1141" s="336" t="s">
        <v>114</v>
      </c>
      <c r="N1141" s="278">
        <v>44347</v>
      </c>
      <c r="O1141" s="329" t="s">
        <v>71</v>
      </c>
      <c r="P1141" s="330">
        <f t="shared" ref="P1141:Q1141" si="1137">IF(B1141=0,0,IF(YEAR(B1141)=$Q$1,MONTH(B1141)-$P$1+1,(YEAR(B1141)-$Q$1)*12-$P$1+1+MONTH(B1141)))</f>
        <v>6</v>
      </c>
      <c r="Q1141" s="330">
        <f t="shared" si="1137"/>
        <v>4</v>
      </c>
      <c r="R1141" s="331" t="str">
        <f t="shared" si="1"/>
        <v>Gastos_custeados_por_captação</v>
      </c>
      <c r="S1141" s="331" t="str">
        <f>IF(D1141="","",IF(OR(D1141=Plano!$A$1,D1141=Plano!$B$1),"entrada","saída"))</f>
        <v>saída</v>
      </c>
      <c r="T1141" s="332" t="s">
        <v>114</v>
      </c>
      <c r="U1141" s="332" t="s">
        <v>114</v>
      </c>
      <c r="V1141" s="344"/>
    </row>
    <row r="1142" spans="1:22" ht="36" customHeight="1" x14ac:dyDescent="0.2">
      <c r="A1142" s="277">
        <f>IF(B1142="","",COUNT('Diário 5º PA'!$A$5:$A$2634)+ROW()-4)</f>
        <v>2449</v>
      </c>
      <c r="B1142" s="278">
        <v>44365</v>
      </c>
      <c r="C1142" s="259">
        <v>44287</v>
      </c>
      <c r="D1142" s="252" t="s">
        <v>104</v>
      </c>
      <c r="E1142" s="252" t="s">
        <v>104</v>
      </c>
      <c r="F1142" s="257">
        <v>24.08</v>
      </c>
      <c r="G1142" s="252" t="s">
        <v>5031</v>
      </c>
      <c r="H1142" s="252" t="s">
        <v>104</v>
      </c>
      <c r="I1142" s="252" t="s">
        <v>488</v>
      </c>
      <c r="J1142" s="250" t="s">
        <v>114</v>
      </c>
      <c r="K1142" s="250" t="s">
        <v>466</v>
      </c>
      <c r="L1142" s="250" t="s">
        <v>489</v>
      </c>
      <c r="M1142" s="336" t="s">
        <v>114</v>
      </c>
      <c r="N1142" s="278">
        <v>44347</v>
      </c>
      <c r="O1142" s="329" t="s">
        <v>71</v>
      </c>
      <c r="P1142" s="330">
        <f t="shared" ref="P1142:Q1142" si="1138">IF(B1142=0,0,IF(YEAR(B1142)=$Q$1,MONTH(B1142)-$P$1+1,(YEAR(B1142)-$Q$1)*12-$P$1+1+MONTH(B1142)))</f>
        <v>6</v>
      </c>
      <c r="Q1142" s="330">
        <f t="shared" si="1138"/>
        <v>4</v>
      </c>
      <c r="R1142" s="331" t="str">
        <f t="shared" si="1"/>
        <v>Gastos_custeados_por_captação</v>
      </c>
      <c r="S1142" s="331" t="str">
        <f>IF(D1142="","",IF(OR(D1142=Plano!$A$1,D1142=Plano!$B$1),"entrada","saída"))</f>
        <v>saída</v>
      </c>
      <c r="T1142" s="332" t="s">
        <v>114</v>
      </c>
      <c r="U1142" s="332" t="s">
        <v>114</v>
      </c>
      <c r="V1142" s="344"/>
    </row>
    <row r="1143" spans="1:22" ht="36" customHeight="1" x14ac:dyDescent="0.2">
      <c r="A1143" s="277">
        <f>IF(B1143="","",COUNT('Diário 5º PA'!$A$5:$A$2634)+ROW()-4)</f>
        <v>2450</v>
      </c>
      <c r="B1143" s="278">
        <v>44365</v>
      </c>
      <c r="C1143" s="259">
        <v>44287</v>
      </c>
      <c r="D1143" s="252" t="s">
        <v>104</v>
      </c>
      <c r="E1143" s="252" t="s">
        <v>104</v>
      </c>
      <c r="F1143" s="257">
        <v>72.400000000000006</v>
      </c>
      <c r="G1143" s="252" t="s">
        <v>5032</v>
      </c>
      <c r="H1143" s="252" t="s">
        <v>104</v>
      </c>
      <c r="I1143" s="252" t="s">
        <v>488</v>
      </c>
      <c r="J1143" s="250" t="s">
        <v>114</v>
      </c>
      <c r="K1143" s="250" t="s">
        <v>466</v>
      </c>
      <c r="L1143" s="250" t="s">
        <v>489</v>
      </c>
      <c r="M1143" s="336" t="s">
        <v>114</v>
      </c>
      <c r="N1143" s="278">
        <v>44347</v>
      </c>
      <c r="O1143" s="329" t="s">
        <v>71</v>
      </c>
      <c r="P1143" s="330">
        <f t="shared" ref="P1143:Q1143" si="1139">IF(B1143=0,0,IF(YEAR(B1143)=$Q$1,MONTH(B1143)-$P$1+1,(YEAR(B1143)-$Q$1)*12-$P$1+1+MONTH(B1143)))</f>
        <v>6</v>
      </c>
      <c r="Q1143" s="330">
        <f t="shared" si="1139"/>
        <v>4</v>
      </c>
      <c r="R1143" s="331" t="str">
        <f t="shared" si="1"/>
        <v>Gastos_custeados_por_captação</v>
      </c>
      <c r="S1143" s="331" t="str">
        <f>IF(D1143="","",IF(OR(D1143=Plano!$A$1,D1143=Plano!$B$1),"entrada","saída"))</f>
        <v>saída</v>
      </c>
      <c r="T1143" s="332" t="s">
        <v>114</v>
      </c>
      <c r="U1143" s="332" t="s">
        <v>114</v>
      </c>
      <c r="V1143" s="344"/>
    </row>
    <row r="1144" spans="1:22" ht="36" customHeight="1" x14ac:dyDescent="0.2">
      <c r="A1144" s="277">
        <f>IF(B1144="","",COUNT('Diário 5º PA'!$A$5:$A$2634)+ROW()-4)</f>
        <v>2451</v>
      </c>
      <c r="B1144" s="278">
        <v>44365</v>
      </c>
      <c r="C1144" s="259">
        <v>44287</v>
      </c>
      <c r="D1144" s="252" t="s">
        <v>104</v>
      </c>
      <c r="E1144" s="252" t="s">
        <v>104</v>
      </c>
      <c r="F1144" s="257">
        <v>775</v>
      </c>
      <c r="G1144" s="252" t="s">
        <v>5033</v>
      </c>
      <c r="H1144" s="252" t="s">
        <v>104</v>
      </c>
      <c r="I1144" s="252" t="s">
        <v>530</v>
      </c>
      <c r="J1144" s="250" t="s">
        <v>114</v>
      </c>
      <c r="K1144" s="250" t="s">
        <v>466</v>
      </c>
      <c r="L1144" s="250" t="s">
        <v>547</v>
      </c>
      <c r="M1144" s="336" t="s">
        <v>114</v>
      </c>
      <c r="N1144" s="278">
        <v>44347</v>
      </c>
      <c r="O1144" s="329" t="s">
        <v>71</v>
      </c>
      <c r="P1144" s="330">
        <f t="shared" ref="P1144:Q1144" si="1140">IF(B1144=0,0,IF(YEAR(B1144)=$Q$1,MONTH(B1144)-$P$1+1,(YEAR(B1144)-$Q$1)*12-$P$1+1+MONTH(B1144)))</f>
        <v>6</v>
      </c>
      <c r="Q1144" s="330">
        <f t="shared" si="1140"/>
        <v>4</v>
      </c>
      <c r="R1144" s="331" t="str">
        <f t="shared" si="1"/>
        <v>Gastos_custeados_por_captação</v>
      </c>
      <c r="S1144" s="331" t="str">
        <f>IF(D1144="","",IF(OR(D1144=Plano!$A$1,D1144=Plano!$B$1),"entrada","saída"))</f>
        <v>saída</v>
      </c>
      <c r="T1144" s="332" t="s">
        <v>114</v>
      </c>
      <c r="U1144" s="332" t="s">
        <v>114</v>
      </c>
      <c r="V1144" s="344"/>
    </row>
    <row r="1145" spans="1:22" ht="36" customHeight="1" x14ac:dyDescent="0.2">
      <c r="A1145" s="277">
        <f>IF(B1145="","",COUNT('Diário 5º PA'!$A$5:$A$2634)+ROW()-4)</f>
        <v>2452</v>
      </c>
      <c r="B1145" s="278">
        <v>44365</v>
      </c>
      <c r="C1145" s="259">
        <v>44287</v>
      </c>
      <c r="D1145" s="252" t="s">
        <v>104</v>
      </c>
      <c r="E1145" s="252" t="s">
        <v>104</v>
      </c>
      <c r="F1145" s="257">
        <v>775</v>
      </c>
      <c r="G1145" s="252" t="s">
        <v>5034</v>
      </c>
      <c r="H1145" s="252" t="s">
        <v>104</v>
      </c>
      <c r="I1145" s="252" t="s">
        <v>530</v>
      </c>
      <c r="J1145" s="250" t="s">
        <v>114</v>
      </c>
      <c r="K1145" s="250" t="s">
        <v>466</v>
      </c>
      <c r="L1145" s="250" t="s">
        <v>547</v>
      </c>
      <c r="M1145" s="336" t="s">
        <v>114</v>
      </c>
      <c r="N1145" s="278">
        <v>44347</v>
      </c>
      <c r="O1145" s="329" t="s">
        <v>71</v>
      </c>
      <c r="P1145" s="330">
        <f t="shared" ref="P1145:Q1145" si="1141">IF(B1145=0,0,IF(YEAR(B1145)=$Q$1,MONTH(B1145)-$P$1+1,(YEAR(B1145)-$Q$1)*12-$P$1+1+MONTH(B1145)))</f>
        <v>6</v>
      </c>
      <c r="Q1145" s="330">
        <f t="shared" si="1141"/>
        <v>4</v>
      </c>
      <c r="R1145" s="331" t="str">
        <f t="shared" si="1"/>
        <v>Gastos_custeados_por_captação</v>
      </c>
      <c r="S1145" s="331" t="str">
        <f>IF(D1145="","",IF(OR(D1145=Plano!$A$1,D1145=Plano!$B$1),"entrada","saída"))</f>
        <v>saída</v>
      </c>
      <c r="T1145" s="332" t="s">
        <v>114</v>
      </c>
      <c r="U1145" s="332" t="s">
        <v>114</v>
      </c>
      <c r="V1145" s="344"/>
    </row>
    <row r="1146" spans="1:22" ht="36" customHeight="1" x14ac:dyDescent="0.2">
      <c r="A1146" s="277">
        <f>IF(B1146="","",COUNT('Diário 5º PA'!$A$5:$A$2634)+ROW()-4)</f>
        <v>2453</v>
      </c>
      <c r="B1146" s="278">
        <v>44365</v>
      </c>
      <c r="C1146" s="259">
        <v>44287</v>
      </c>
      <c r="D1146" s="252" t="s">
        <v>104</v>
      </c>
      <c r="E1146" s="252" t="s">
        <v>104</v>
      </c>
      <c r="F1146" s="257">
        <v>992</v>
      </c>
      <c r="G1146" s="252" t="s">
        <v>5035</v>
      </c>
      <c r="H1146" s="252" t="s">
        <v>104</v>
      </c>
      <c r="I1146" s="252" t="s">
        <v>530</v>
      </c>
      <c r="J1146" s="250" t="s">
        <v>114</v>
      </c>
      <c r="K1146" s="250" t="s">
        <v>466</v>
      </c>
      <c r="L1146" s="250" t="s">
        <v>547</v>
      </c>
      <c r="M1146" s="336" t="s">
        <v>114</v>
      </c>
      <c r="N1146" s="278">
        <v>44347</v>
      </c>
      <c r="O1146" s="329" t="s">
        <v>71</v>
      </c>
      <c r="P1146" s="330">
        <f t="shared" ref="P1146:Q1146" si="1142">IF(B1146=0,0,IF(YEAR(B1146)=$Q$1,MONTH(B1146)-$P$1+1,(YEAR(B1146)-$Q$1)*12-$P$1+1+MONTH(B1146)))</f>
        <v>6</v>
      </c>
      <c r="Q1146" s="330">
        <f t="shared" si="1142"/>
        <v>4</v>
      </c>
      <c r="R1146" s="331" t="str">
        <f t="shared" si="1"/>
        <v>Gastos_custeados_por_captação</v>
      </c>
      <c r="S1146" s="331" t="str">
        <f>IF(D1146="","",IF(OR(D1146=Plano!$A$1,D1146=Plano!$B$1),"entrada","saída"))</f>
        <v>saída</v>
      </c>
      <c r="T1146" s="332" t="s">
        <v>114</v>
      </c>
      <c r="U1146" s="332" t="s">
        <v>114</v>
      </c>
      <c r="V1146" s="344"/>
    </row>
    <row r="1147" spans="1:22" ht="65.25" customHeight="1" x14ac:dyDescent="0.2">
      <c r="A1147" s="277">
        <f>IF(B1147="","",COUNT('Diário 5º PA'!$A$5:$A$2634)+ROW()-4)</f>
        <v>2454</v>
      </c>
      <c r="B1147" s="278">
        <v>44368</v>
      </c>
      <c r="C1147" s="256">
        <v>44317</v>
      </c>
      <c r="D1147" s="255" t="s">
        <v>99</v>
      </c>
      <c r="E1147" s="255" t="s">
        <v>222</v>
      </c>
      <c r="F1147" s="258">
        <v>-153.16</v>
      </c>
      <c r="G1147" s="255" t="s">
        <v>5036</v>
      </c>
      <c r="H1147" s="255" t="s">
        <v>115</v>
      </c>
      <c r="I1147" s="250" t="s">
        <v>983</v>
      </c>
      <c r="J1147" s="255" t="s">
        <v>850</v>
      </c>
      <c r="K1147" s="255" t="s">
        <v>946</v>
      </c>
      <c r="L1147" s="250" t="s">
        <v>947</v>
      </c>
      <c r="M1147" s="277" t="s">
        <v>114</v>
      </c>
      <c r="N1147" s="278">
        <v>44368</v>
      </c>
      <c r="O1147" s="329" t="s">
        <v>67</v>
      </c>
      <c r="P1147" s="330">
        <f t="shared" ref="P1147:Q1147" si="1143">IF(B1147=0,0,IF(YEAR(B1147)=$Q$1,MONTH(B1147)-$P$1+1,(YEAR(B1147)-$Q$1)*12-$P$1+1+MONTH(B1147)))</f>
        <v>6</v>
      </c>
      <c r="Q1147" s="330">
        <f t="shared" si="1143"/>
        <v>5</v>
      </c>
      <c r="R1147" s="331" t="str">
        <f t="shared" si="1"/>
        <v>Gastos_Gerais</v>
      </c>
      <c r="S1147" s="331" t="str">
        <f>IF(D1147="","",IF(OR(D1147=Plano!$A$1,D1147=Plano!$B$1),"entrada","saída"))</f>
        <v>saída</v>
      </c>
      <c r="T1147" s="332" t="s">
        <v>114</v>
      </c>
      <c r="U1147" s="332" t="s">
        <v>114</v>
      </c>
      <c r="V1147" s="344"/>
    </row>
    <row r="1148" spans="1:22" ht="60.75" customHeight="1" x14ac:dyDescent="0.2">
      <c r="A1148" s="277">
        <f>IF(B1148="","",COUNT('Diário 5º PA'!$A$5:$A$2634)+ROW()-4)</f>
        <v>2455</v>
      </c>
      <c r="B1148" s="278">
        <v>44368</v>
      </c>
      <c r="C1148" s="249">
        <v>44317</v>
      </c>
      <c r="D1148" s="255" t="s">
        <v>99</v>
      </c>
      <c r="E1148" s="255" t="s">
        <v>224</v>
      </c>
      <c r="F1148" s="257">
        <v>-85.61</v>
      </c>
      <c r="G1148" s="255" t="s">
        <v>5037</v>
      </c>
      <c r="H1148" s="255" t="s">
        <v>115</v>
      </c>
      <c r="I1148" s="250" t="s">
        <v>983</v>
      </c>
      <c r="J1148" s="255" t="s">
        <v>850</v>
      </c>
      <c r="K1148" s="255" t="s">
        <v>946</v>
      </c>
      <c r="L1148" s="250" t="s">
        <v>947</v>
      </c>
      <c r="M1148" s="277" t="s">
        <v>114</v>
      </c>
      <c r="N1148" s="278">
        <v>44368</v>
      </c>
      <c r="O1148" s="329" t="s">
        <v>67</v>
      </c>
      <c r="P1148" s="330">
        <f t="shared" ref="P1148:Q1148" si="1144">IF(B1148=0,0,IF(YEAR(B1148)=$Q$1,MONTH(B1148)-$P$1+1,(YEAR(B1148)-$Q$1)*12-$P$1+1+MONTH(B1148)))</f>
        <v>6</v>
      </c>
      <c r="Q1148" s="330">
        <f t="shared" si="1144"/>
        <v>5</v>
      </c>
      <c r="R1148" s="331" t="str">
        <f t="shared" si="1"/>
        <v>Gastos_Gerais</v>
      </c>
      <c r="S1148" s="331" t="str">
        <f>IF(D1148="","",IF(OR(D1148=Plano!$A$1,D1148=Plano!$B$1),"entrada","saída"))</f>
        <v>saída</v>
      </c>
      <c r="T1148" s="332" t="s">
        <v>114</v>
      </c>
      <c r="U1148" s="332" t="s">
        <v>114</v>
      </c>
      <c r="V1148" s="344"/>
    </row>
    <row r="1149" spans="1:22" ht="69" customHeight="1" x14ac:dyDescent="0.2">
      <c r="A1149" s="277">
        <f>IF(B1149="","",COUNT('Diário 5º PA'!$A$5:$A$2634)+ROW()-4)</f>
        <v>2456</v>
      </c>
      <c r="B1149" s="278">
        <v>44368</v>
      </c>
      <c r="C1149" s="256">
        <v>44317</v>
      </c>
      <c r="D1149" s="255" t="s">
        <v>99</v>
      </c>
      <c r="E1149" s="255" t="s">
        <v>218</v>
      </c>
      <c r="F1149" s="258">
        <v>-16.36</v>
      </c>
      <c r="G1149" s="255" t="s">
        <v>5038</v>
      </c>
      <c r="H1149" s="255" t="s">
        <v>115</v>
      </c>
      <c r="I1149" s="250" t="s">
        <v>983</v>
      </c>
      <c r="J1149" s="255" t="s">
        <v>850</v>
      </c>
      <c r="K1149" s="255" t="s">
        <v>946</v>
      </c>
      <c r="L1149" s="250" t="s">
        <v>947</v>
      </c>
      <c r="M1149" s="349" t="s">
        <v>114</v>
      </c>
      <c r="N1149" s="278">
        <v>44368</v>
      </c>
      <c r="O1149" s="329" t="s">
        <v>67</v>
      </c>
      <c r="P1149" s="330">
        <f t="shared" ref="P1149:Q1149" si="1145">IF(B1149=0,0,IF(YEAR(B1149)=$Q$1,MONTH(B1149)-$P$1+1,(YEAR(B1149)-$Q$1)*12-$P$1+1+MONTH(B1149)))</f>
        <v>6</v>
      </c>
      <c r="Q1149" s="330">
        <f t="shared" si="1145"/>
        <v>5</v>
      </c>
      <c r="R1149" s="331" t="str">
        <f t="shared" si="1"/>
        <v>Gastos_Gerais</v>
      </c>
      <c r="S1149" s="331" t="str">
        <f>IF(D1149="","",IF(OR(D1149=Plano!$A$1,D1149=Plano!$B$1),"entrada","saída"))</f>
        <v>saída</v>
      </c>
      <c r="T1149" s="332" t="s">
        <v>114</v>
      </c>
      <c r="U1149" s="332" t="s">
        <v>114</v>
      </c>
      <c r="V1149" s="344"/>
    </row>
    <row r="1150" spans="1:22" ht="56.25" customHeight="1" x14ac:dyDescent="0.2">
      <c r="A1150" s="277">
        <f>IF(B1150="","",COUNT('Diário 5º PA'!$A$5:$A$2634)+ROW()-4)</f>
        <v>2457</v>
      </c>
      <c r="B1150" s="278">
        <v>44368</v>
      </c>
      <c r="C1150" s="259">
        <v>44256</v>
      </c>
      <c r="D1150" s="252" t="s">
        <v>99</v>
      </c>
      <c r="E1150" s="252" t="s">
        <v>248</v>
      </c>
      <c r="F1150" s="257">
        <v>347.76</v>
      </c>
      <c r="G1150" s="252" t="s">
        <v>5039</v>
      </c>
      <c r="H1150" s="252" t="s">
        <v>129</v>
      </c>
      <c r="I1150" s="252" t="s">
        <v>4298</v>
      </c>
      <c r="J1150" s="250" t="s">
        <v>114</v>
      </c>
      <c r="K1150" s="250" t="s">
        <v>466</v>
      </c>
      <c r="L1150" s="250" t="s">
        <v>5040</v>
      </c>
      <c r="M1150" s="277">
        <v>385682</v>
      </c>
      <c r="N1150" s="278">
        <v>44364</v>
      </c>
      <c r="O1150" s="329" t="s">
        <v>67</v>
      </c>
      <c r="P1150" s="330">
        <f t="shared" ref="P1150:Q1150" si="1146">IF(B1150=0,0,IF(YEAR(B1150)=$Q$1,MONTH(B1150)-$P$1+1,(YEAR(B1150)-$Q$1)*12-$P$1+1+MONTH(B1150)))</f>
        <v>6</v>
      </c>
      <c r="Q1150" s="330">
        <f t="shared" si="1146"/>
        <v>3</v>
      </c>
      <c r="R1150" s="331" t="str">
        <f t="shared" si="1"/>
        <v>Gastos_Gerais</v>
      </c>
      <c r="S1150" s="331" t="str">
        <f>IF(D1150="","",IF(OR(D1150=Plano!$A$1,D1150=Plano!$B$1),"entrada","saída"))</f>
        <v>saída</v>
      </c>
      <c r="T1150" s="332" t="s">
        <v>114</v>
      </c>
      <c r="U1150" s="332" t="s">
        <v>114</v>
      </c>
      <c r="V1150" s="344"/>
    </row>
    <row r="1151" spans="1:22" ht="82.5" customHeight="1" x14ac:dyDescent="0.2">
      <c r="A1151" s="277">
        <f>IF(B1151="","",COUNT('Diário 5º PA'!$A$5:$A$2634)+ROW()-4)</f>
        <v>2458</v>
      </c>
      <c r="B1151" s="278">
        <v>44368</v>
      </c>
      <c r="C1151" s="259">
        <v>44317</v>
      </c>
      <c r="D1151" s="252" t="s">
        <v>99</v>
      </c>
      <c r="E1151" s="252" t="s">
        <v>244</v>
      </c>
      <c r="F1151" s="257">
        <v>2681.66</v>
      </c>
      <c r="G1151" s="252" t="s">
        <v>5041</v>
      </c>
      <c r="H1151" s="252" t="s">
        <v>128</v>
      </c>
      <c r="I1151" s="252" t="s">
        <v>1490</v>
      </c>
      <c r="J1151" s="250" t="s">
        <v>615</v>
      </c>
      <c r="K1151" s="255" t="s">
        <v>560</v>
      </c>
      <c r="L1151" s="250" t="s">
        <v>992</v>
      </c>
      <c r="M1151" s="277" t="s">
        <v>5042</v>
      </c>
      <c r="N1151" s="278">
        <v>44349</v>
      </c>
      <c r="O1151" s="329" t="s">
        <v>67</v>
      </c>
      <c r="P1151" s="330">
        <f t="shared" ref="P1151:Q1151" si="1147">IF(B1151=0,0,IF(YEAR(B1151)=$Q$1,MONTH(B1151)-$P$1+1,(YEAR(B1151)-$Q$1)*12-$P$1+1+MONTH(B1151)))</f>
        <v>6</v>
      </c>
      <c r="Q1151" s="330">
        <f t="shared" si="1147"/>
        <v>5</v>
      </c>
      <c r="R1151" s="351" t="str">
        <f t="shared" si="1"/>
        <v>Gastos_Gerais</v>
      </c>
      <c r="S1151" s="351" t="str">
        <f>IF(D1151="","",IF(OR(D1151=Plano!$A$1,D1151=Plano!$B$1),"entrada","saída"))</f>
        <v>saída</v>
      </c>
      <c r="T1151" s="334" t="s">
        <v>1059</v>
      </c>
      <c r="U1151" s="334">
        <v>1501</v>
      </c>
      <c r="V1151" s="344"/>
    </row>
    <row r="1152" spans="1:22" ht="45" customHeight="1" x14ac:dyDescent="0.2">
      <c r="A1152" s="277">
        <f>IF(B1152="","",COUNT('Diário 5º PA'!$A$5:$A$2634)+ROW()-4)</f>
        <v>2459</v>
      </c>
      <c r="B1152" s="278">
        <v>44368</v>
      </c>
      <c r="C1152" s="256">
        <v>44317</v>
      </c>
      <c r="D1152" s="255" t="s">
        <v>99</v>
      </c>
      <c r="E1152" s="255" t="s">
        <v>218</v>
      </c>
      <c r="F1152" s="258">
        <v>63.36</v>
      </c>
      <c r="G1152" s="255" t="s">
        <v>4909</v>
      </c>
      <c r="H1152" s="255" t="s">
        <v>115</v>
      </c>
      <c r="I1152" s="252" t="s">
        <v>515</v>
      </c>
      <c r="J1152" s="252" t="s">
        <v>516</v>
      </c>
      <c r="K1152" s="255" t="s">
        <v>700</v>
      </c>
      <c r="L1152" s="250" t="s">
        <v>697</v>
      </c>
      <c r="M1152" s="336" t="s">
        <v>5043</v>
      </c>
      <c r="N1152" s="278">
        <v>44348</v>
      </c>
      <c r="O1152" s="329" t="s">
        <v>67</v>
      </c>
      <c r="P1152" s="330">
        <f t="shared" ref="P1152:Q1152" si="1148">IF(B1152=0,0,IF(YEAR(B1152)=$Q$1,MONTH(B1152)-$P$1+1,(YEAR(B1152)-$Q$1)*12-$P$1+1+MONTH(B1152)))</f>
        <v>6</v>
      </c>
      <c r="Q1152" s="330">
        <f t="shared" si="1148"/>
        <v>5</v>
      </c>
      <c r="R1152" s="331" t="str">
        <f t="shared" si="1"/>
        <v>Gastos_Gerais</v>
      </c>
      <c r="S1152" s="331" t="str">
        <f>IF(D1152="","",IF(OR(D1152=Plano!$A$1,D1152=Plano!$B$1),"entrada","saída"))</f>
        <v>saída</v>
      </c>
      <c r="T1152" s="332" t="s">
        <v>114</v>
      </c>
      <c r="U1152" s="332" t="s">
        <v>114</v>
      </c>
      <c r="V1152" s="344"/>
    </row>
    <row r="1153" spans="1:22" ht="29.25" customHeight="1" x14ac:dyDescent="0.2">
      <c r="A1153" s="277">
        <f>IF(B1153="","",COUNT('Diário 5º PA'!$A$5:$A$2634)+ROW()-4)</f>
        <v>2460</v>
      </c>
      <c r="B1153" s="278">
        <v>44368</v>
      </c>
      <c r="C1153" s="249">
        <v>44317</v>
      </c>
      <c r="D1153" s="255" t="s">
        <v>99</v>
      </c>
      <c r="E1153" s="255" t="s">
        <v>224</v>
      </c>
      <c r="F1153" s="258">
        <v>324.14999999999998</v>
      </c>
      <c r="G1153" s="255" t="s">
        <v>5044</v>
      </c>
      <c r="H1153" s="255" t="s">
        <v>115</v>
      </c>
      <c r="I1153" s="250" t="s">
        <v>522</v>
      </c>
      <c r="J1153" s="252" t="s">
        <v>523</v>
      </c>
      <c r="K1153" s="252" t="s">
        <v>1375</v>
      </c>
      <c r="L1153" s="252" t="s">
        <v>697</v>
      </c>
      <c r="M1153" s="277" t="s">
        <v>5045</v>
      </c>
      <c r="N1153" s="278">
        <v>44348</v>
      </c>
      <c r="O1153" s="329" t="s">
        <v>67</v>
      </c>
      <c r="P1153" s="330">
        <f t="shared" ref="P1153:Q1153" si="1149">IF(B1153=0,0,IF(YEAR(B1153)=$Q$1,MONTH(B1153)-$P$1+1,(YEAR(B1153)-$Q$1)*12-$P$1+1+MONTH(B1153)))</f>
        <v>6</v>
      </c>
      <c r="Q1153" s="330">
        <f t="shared" si="1149"/>
        <v>5</v>
      </c>
      <c r="R1153" s="331" t="str">
        <f t="shared" si="1"/>
        <v>Gastos_Gerais</v>
      </c>
      <c r="S1153" s="331" t="str">
        <f>IF(D1153="","",IF(OR(D1153=Plano!$A$1,D1153=Plano!$B$1),"entrada","saída"))</f>
        <v>saída</v>
      </c>
      <c r="T1153" s="332" t="s">
        <v>114</v>
      </c>
      <c r="U1153" s="332" t="s">
        <v>114</v>
      </c>
      <c r="V1153" s="344"/>
    </row>
    <row r="1154" spans="1:22" ht="39" customHeight="1" x14ac:dyDescent="0.2">
      <c r="A1154" s="277">
        <f>IF(B1154="","",COUNT('Diário 5º PA'!$A$5:$A$2634)+ROW()-4)</f>
        <v>2461</v>
      </c>
      <c r="B1154" s="278">
        <v>44368</v>
      </c>
      <c r="C1154" s="249">
        <v>44317</v>
      </c>
      <c r="D1154" s="255" t="s">
        <v>99</v>
      </c>
      <c r="E1154" s="255" t="s">
        <v>222</v>
      </c>
      <c r="F1154" s="258">
        <v>579.94000000000005</v>
      </c>
      <c r="G1154" s="255" t="s">
        <v>524</v>
      </c>
      <c r="H1154" s="255" t="s">
        <v>115</v>
      </c>
      <c r="I1154" s="252" t="s">
        <v>522</v>
      </c>
      <c r="J1154" s="252" t="s">
        <v>523</v>
      </c>
      <c r="K1154" s="255" t="s">
        <v>1375</v>
      </c>
      <c r="L1154" s="250" t="s">
        <v>697</v>
      </c>
      <c r="M1154" s="277" t="s">
        <v>114</v>
      </c>
      <c r="N1154" s="278">
        <v>44365</v>
      </c>
      <c r="O1154" s="329" t="s">
        <v>67</v>
      </c>
      <c r="P1154" s="330">
        <f t="shared" ref="P1154:Q1154" si="1150">IF(B1154=0,0,IF(YEAR(B1154)=$Q$1,MONTH(B1154)-$P$1+1,(YEAR(B1154)-$Q$1)*12-$P$1+1+MONTH(B1154)))</f>
        <v>6</v>
      </c>
      <c r="Q1154" s="330">
        <f t="shared" si="1150"/>
        <v>5</v>
      </c>
      <c r="R1154" s="331" t="str">
        <f t="shared" si="1"/>
        <v>Gastos_Gerais</v>
      </c>
      <c r="S1154" s="331" t="str">
        <f>IF(D1154="","",IF(OR(D1154=Plano!$A$1,D1154=Plano!$B$1),"entrada","saída"))</f>
        <v>saída</v>
      </c>
      <c r="T1154" s="332" t="s">
        <v>114</v>
      </c>
      <c r="U1154" s="332" t="s">
        <v>114</v>
      </c>
      <c r="V1154" s="344"/>
    </row>
    <row r="1155" spans="1:22" ht="125.25" customHeight="1" x14ac:dyDescent="0.2">
      <c r="A1155" s="277">
        <f>IF(B1155="","",COUNT('Diário 5º PA'!$A$5:$A$2634)+ROW()-4)</f>
        <v>2462</v>
      </c>
      <c r="B1155" s="278">
        <v>44368</v>
      </c>
      <c r="C1155" s="259">
        <v>44348</v>
      </c>
      <c r="D1155" s="252" t="s">
        <v>99</v>
      </c>
      <c r="E1155" s="252" t="s">
        <v>336</v>
      </c>
      <c r="F1155" s="257">
        <v>3880</v>
      </c>
      <c r="G1155" s="252" t="s">
        <v>5046</v>
      </c>
      <c r="H1155" s="252" t="s">
        <v>123</v>
      </c>
      <c r="I1155" s="252" t="s">
        <v>1267</v>
      </c>
      <c r="J1155" s="250" t="s">
        <v>1264</v>
      </c>
      <c r="K1155" s="255" t="s">
        <v>991</v>
      </c>
      <c r="L1155" s="250" t="s">
        <v>992</v>
      </c>
      <c r="M1155" s="277" t="s">
        <v>5047</v>
      </c>
      <c r="N1155" s="278">
        <v>44368</v>
      </c>
      <c r="O1155" s="329" t="s">
        <v>67</v>
      </c>
      <c r="P1155" s="330">
        <f t="shared" ref="P1155:Q1155" si="1151">IF(B1155=0,0,IF(YEAR(B1155)=$Q$1,MONTH(B1155)-$P$1+1,(YEAR(B1155)-$Q$1)*12-$P$1+1+MONTH(B1155)))</f>
        <v>6</v>
      </c>
      <c r="Q1155" s="330">
        <f t="shared" si="1151"/>
        <v>6</v>
      </c>
      <c r="R1155" s="351" t="str">
        <f t="shared" si="1"/>
        <v>Gastos_Gerais</v>
      </c>
      <c r="S1155" s="351" t="str">
        <f>IF(D1155="","",IF(OR(D1155=Plano!$A$1,D1155=Plano!$B$1),"entrada","saída"))</f>
        <v>saída</v>
      </c>
      <c r="T1155" s="334" t="s">
        <v>994</v>
      </c>
      <c r="U1155" s="334">
        <v>1598</v>
      </c>
      <c r="V1155" s="344"/>
    </row>
    <row r="1156" spans="1:22" ht="141" customHeight="1" x14ac:dyDescent="0.2">
      <c r="A1156" s="277">
        <f>IF(B1156="","",COUNT('Diário 5º PA'!$A$5:$A$2634)+ROW()-4)</f>
        <v>2463</v>
      </c>
      <c r="B1156" s="278">
        <v>44368</v>
      </c>
      <c r="C1156" s="259">
        <v>44317</v>
      </c>
      <c r="D1156" s="252" t="s">
        <v>99</v>
      </c>
      <c r="E1156" s="252" t="s">
        <v>266</v>
      </c>
      <c r="F1156" s="257">
        <v>10164.92</v>
      </c>
      <c r="G1156" s="252" t="s">
        <v>586</v>
      </c>
      <c r="H1156" s="252" t="s">
        <v>131</v>
      </c>
      <c r="I1156" s="252" t="s">
        <v>1447</v>
      </c>
      <c r="J1156" s="250" t="s">
        <v>587</v>
      </c>
      <c r="K1156" s="255" t="s">
        <v>991</v>
      </c>
      <c r="L1156" s="250" t="s">
        <v>992</v>
      </c>
      <c r="M1156" s="277" t="s">
        <v>2187</v>
      </c>
      <c r="N1156" s="278">
        <v>44365</v>
      </c>
      <c r="O1156" s="329" t="s">
        <v>67</v>
      </c>
      <c r="P1156" s="330">
        <f t="shared" ref="P1156:Q1156" si="1152">IF(B1156=0,0,IF(YEAR(B1156)=$Q$1,MONTH(B1156)-$P$1+1,(YEAR(B1156)-$Q$1)*12-$P$1+1+MONTH(B1156)))</f>
        <v>6</v>
      </c>
      <c r="Q1156" s="330">
        <f t="shared" si="1152"/>
        <v>5</v>
      </c>
      <c r="R1156" s="351" t="str">
        <f t="shared" si="1"/>
        <v>Gastos_Gerais</v>
      </c>
      <c r="S1156" s="351" t="str">
        <f>IF(D1156="","",IF(OR(D1156=Plano!$A$1,D1156=Plano!$B$1),"entrada","saída"))</f>
        <v>saída</v>
      </c>
      <c r="T1156" s="334" t="s">
        <v>1059</v>
      </c>
      <c r="U1156" s="334">
        <v>1441</v>
      </c>
      <c r="V1156" s="344"/>
    </row>
    <row r="1157" spans="1:22" ht="232.5" customHeight="1" x14ac:dyDescent="0.2">
      <c r="A1157" s="277">
        <f>IF(B1157="","",COUNT('Diário 5º PA'!$A$5:$A$2634)+ROW()-4)</f>
        <v>2464</v>
      </c>
      <c r="B1157" s="278">
        <v>44368</v>
      </c>
      <c r="C1157" s="259">
        <v>44348</v>
      </c>
      <c r="D1157" s="252" t="s">
        <v>99</v>
      </c>
      <c r="E1157" s="252" t="s">
        <v>358</v>
      </c>
      <c r="F1157" s="257">
        <v>500</v>
      </c>
      <c r="G1157" s="252" t="s">
        <v>5048</v>
      </c>
      <c r="H1157" s="252" t="s">
        <v>127</v>
      </c>
      <c r="I1157" s="250" t="s">
        <v>5049</v>
      </c>
      <c r="J1157" s="250" t="s">
        <v>5050</v>
      </c>
      <c r="K1157" s="255" t="s">
        <v>991</v>
      </c>
      <c r="L1157" s="250" t="s">
        <v>992</v>
      </c>
      <c r="M1157" s="277" t="s">
        <v>1058</v>
      </c>
      <c r="N1157" s="278">
        <v>44368</v>
      </c>
      <c r="O1157" s="329" t="s">
        <v>67</v>
      </c>
      <c r="P1157" s="330">
        <f t="shared" ref="P1157:Q1157" si="1153">IF(B1157=0,0,IF(YEAR(B1157)=$Q$1,MONTH(B1157)-$P$1+1,(YEAR(B1157)-$Q$1)*12-$P$1+1+MONTH(B1157)))</f>
        <v>6</v>
      </c>
      <c r="Q1157" s="330">
        <f t="shared" si="1153"/>
        <v>6</v>
      </c>
      <c r="R1157" s="351" t="str">
        <f t="shared" si="1"/>
        <v>Gastos_Gerais</v>
      </c>
      <c r="S1157" s="351" t="str">
        <f>IF(D1157="","",IF(OR(D1157=Plano!$A$1,D1157=Plano!$B$1),"entrada","saída"))</f>
        <v>saída</v>
      </c>
      <c r="T1157" s="334" t="s">
        <v>994</v>
      </c>
      <c r="U1157" s="334">
        <v>1658</v>
      </c>
      <c r="V1157" s="344"/>
    </row>
    <row r="1158" spans="1:22" ht="51.75" customHeight="1" x14ac:dyDescent="0.2">
      <c r="A1158" s="277">
        <f>IF(B1158="","",COUNT('Diário 5º PA'!$A$5:$A$2634)+ROW()-4)</f>
        <v>2465</v>
      </c>
      <c r="B1158" s="278">
        <v>44368</v>
      </c>
      <c r="C1158" s="335">
        <v>44348</v>
      </c>
      <c r="D1158" s="255" t="s">
        <v>99</v>
      </c>
      <c r="E1158" s="255" t="s">
        <v>272</v>
      </c>
      <c r="F1158" s="258">
        <v>10.45</v>
      </c>
      <c r="G1158" s="255" t="s">
        <v>5051</v>
      </c>
      <c r="H1158" s="252" t="s">
        <v>123</v>
      </c>
      <c r="I1158" s="250" t="s">
        <v>949</v>
      </c>
      <c r="J1158" s="255" t="s">
        <v>950</v>
      </c>
      <c r="K1158" s="255" t="s">
        <v>951</v>
      </c>
      <c r="L1158" s="250" t="s">
        <v>947</v>
      </c>
      <c r="M1158" s="336" t="s">
        <v>114</v>
      </c>
      <c r="N1158" s="278">
        <v>44368</v>
      </c>
      <c r="O1158" s="329" t="s">
        <v>67</v>
      </c>
      <c r="P1158" s="330">
        <f t="shared" ref="P1158:Q1158" si="1154">IF(B1158=0,0,IF(YEAR(B1158)=$Q$1,MONTH(B1158)-$P$1+1,(YEAR(B1158)-$Q$1)*12-$P$1+1+MONTH(B1158)))</f>
        <v>6</v>
      </c>
      <c r="Q1158" s="330">
        <f t="shared" si="1154"/>
        <v>6</v>
      </c>
      <c r="R1158" s="331" t="str">
        <f t="shared" si="1"/>
        <v>Gastos_Gerais</v>
      </c>
      <c r="S1158" s="331" t="str">
        <f>IF(D1158="","",IF(OR(D1158=Plano!$A$1,D1158=Plano!$B$1),"entrada","saída"))</f>
        <v>saída</v>
      </c>
      <c r="T1158" s="332" t="s">
        <v>114</v>
      </c>
      <c r="U1158" s="332" t="s">
        <v>114</v>
      </c>
      <c r="V1158" s="344"/>
    </row>
    <row r="1159" spans="1:22" ht="54.75" customHeight="1" x14ac:dyDescent="0.2">
      <c r="A1159" s="277">
        <f>IF(B1159="","",COUNT('Diário 5º PA'!$A$5:$A$2634)+ROW()-4)</f>
        <v>2466</v>
      </c>
      <c r="B1159" s="278">
        <v>44368</v>
      </c>
      <c r="C1159" s="335">
        <v>44348</v>
      </c>
      <c r="D1159" s="255" t="s">
        <v>99</v>
      </c>
      <c r="E1159" s="255" t="s">
        <v>272</v>
      </c>
      <c r="F1159" s="258">
        <v>10.45</v>
      </c>
      <c r="G1159" s="255" t="s">
        <v>5052</v>
      </c>
      <c r="H1159" s="252" t="s">
        <v>131</v>
      </c>
      <c r="I1159" s="250" t="s">
        <v>949</v>
      </c>
      <c r="J1159" s="255" t="s">
        <v>950</v>
      </c>
      <c r="K1159" s="255" t="s">
        <v>951</v>
      </c>
      <c r="L1159" s="250" t="s">
        <v>947</v>
      </c>
      <c r="M1159" s="336" t="s">
        <v>114</v>
      </c>
      <c r="N1159" s="278">
        <v>44368</v>
      </c>
      <c r="O1159" s="329" t="s">
        <v>67</v>
      </c>
      <c r="P1159" s="330">
        <f t="shared" ref="P1159:Q1159" si="1155">IF(B1159=0,0,IF(YEAR(B1159)=$Q$1,MONTH(B1159)-$P$1+1,(YEAR(B1159)-$Q$1)*12-$P$1+1+MONTH(B1159)))</f>
        <v>6</v>
      </c>
      <c r="Q1159" s="330">
        <f t="shared" si="1155"/>
        <v>6</v>
      </c>
      <c r="R1159" s="331" t="str">
        <f t="shared" si="1"/>
        <v>Gastos_Gerais</v>
      </c>
      <c r="S1159" s="331" t="str">
        <f>IF(D1159="","",IF(OR(D1159=Plano!$A$1,D1159=Plano!$B$1),"entrada","saída"))</f>
        <v>saída</v>
      </c>
      <c r="T1159" s="332" t="s">
        <v>114</v>
      </c>
      <c r="U1159" s="332" t="s">
        <v>114</v>
      </c>
      <c r="V1159" s="344"/>
    </row>
    <row r="1160" spans="1:22" ht="51" customHeight="1" x14ac:dyDescent="0.2">
      <c r="A1160" s="277">
        <f>IF(B1160="","",COUNT('Diário 5º PA'!$A$5:$A$2634)+ROW()-4)</f>
        <v>2467</v>
      </c>
      <c r="B1160" s="278">
        <v>44368</v>
      </c>
      <c r="C1160" s="335">
        <v>44348</v>
      </c>
      <c r="D1160" s="255" t="s">
        <v>99</v>
      </c>
      <c r="E1160" s="255" t="s">
        <v>272</v>
      </c>
      <c r="F1160" s="258">
        <v>10.45</v>
      </c>
      <c r="G1160" s="255" t="s">
        <v>5053</v>
      </c>
      <c r="H1160" s="252" t="s">
        <v>127</v>
      </c>
      <c r="I1160" s="250" t="s">
        <v>949</v>
      </c>
      <c r="J1160" s="255" t="s">
        <v>950</v>
      </c>
      <c r="K1160" s="255" t="s">
        <v>951</v>
      </c>
      <c r="L1160" s="250" t="s">
        <v>947</v>
      </c>
      <c r="M1160" s="336" t="s">
        <v>114</v>
      </c>
      <c r="N1160" s="278">
        <v>44368</v>
      </c>
      <c r="O1160" s="329" t="s">
        <v>67</v>
      </c>
      <c r="P1160" s="330">
        <f t="shared" ref="P1160:Q1160" si="1156">IF(B1160=0,0,IF(YEAR(B1160)=$Q$1,MONTH(B1160)-$P$1+1,(YEAR(B1160)-$Q$1)*12-$P$1+1+MONTH(B1160)))</f>
        <v>6</v>
      </c>
      <c r="Q1160" s="330">
        <f t="shared" si="1156"/>
        <v>6</v>
      </c>
      <c r="R1160" s="331" t="str">
        <f t="shared" si="1"/>
        <v>Gastos_Gerais</v>
      </c>
      <c r="S1160" s="331" t="str">
        <f>IF(D1160="","",IF(OR(D1160=Plano!$A$1,D1160=Plano!$B$1),"entrada","saída"))</f>
        <v>saída</v>
      </c>
      <c r="T1160" s="332" t="s">
        <v>114</v>
      </c>
      <c r="U1160" s="332" t="s">
        <v>114</v>
      </c>
      <c r="V1160" s="344"/>
    </row>
    <row r="1161" spans="1:22" ht="57.75" customHeight="1" x14ac:dyDescent="0.2">
      <c r="A1161" s="277">
        <f>IF(B1161="","",COUNT('Diário 5º PA'!$A$5:$A$2634)+ROW()-4)</f>
        <v>2468</v>
      </c>
      <c r="B1161" s="278">
        <v>44368</v>
      </c>
      <c r="C1161" s="335">
        <v>44348</v>
      </c>
      <c r="D1161" s="255" t="s">
        <v>99</v>
      </c>
      <c r="E1161" s="255" t="s">
        <v>272</v>
      </c>
      <c r="F1161" s="258">
        <v>10.45</v>
      </c>
      <c r="G1161" s="255" t="s">
        <v>1325</v>
      </c>
      <c r="H1161" s="252" t="s">
        <v>131</v>
      </c>
      <c r="I1161" s="250" t="s">
        <v>949</v>
      </c>
      <c r="J1161" s="255" t="s">
        <v>950</v>
      </c>
      <c r="K1161" s="255" t="s">
        <v>951</v>
      </c>
      <c r="L1161" s="250" t="s">
        <v>947</v>
      </c>
      <c r="M1161" s="336" t="s">
        <v>114</v>
      </c>
      <c r="N1161" s="278">
        <v>44368</v>
      </c>
      <c r="O1161" s="329" t="s">
        <v>67</v>
      </c>
      <c r="P1161" s="330">
        <f t="shared" ref="P1161:Q1161" si="1157">IF(B1161=0,0,IF(YEAR(B1161)=$Q$1,MONTH(B1161)-$P$1+1,(YEAR(B1161)-$Q$1)*12-$P$1+1+MONTH(B1161)))</f>
        <v>6</v>
      </c>
      <c r="Q1161" s="330">
        <f t="shared" si="1157"/>
        <v>6</v>
      </c>
      <c r="R1161" s="331" t="str">
        <f t="shared" si="1"/>
        <v>Gastos_Gerais</v>
      </c>
      <c r="S1161" s="331" t="str">
        <f>IF(D1161="","",IF(OR(D1161=Plano!$A$1,D1161=Plano!$B$1),"entrada","saída"))</f>
        <v>saída</v>
      </c>
      <c r="T1161" s="332" t="s">
        <v>114</v>
      </c>
      <c r="U1161" s="332" t="s">
        <v>114</v>
      </c>
      <c r="V1161" s="344"/>
    </row>
    <row r="1162" spans="1:22" ht="69" customHeight="1" x14ac:dyDescent="0.2">
      <c r="A1162" s="277">
        <f>IF(B1162="","",COUNT('Diário 5º PA'!$A$5:$A$2634)+ROW()-4)</f>
        <v>2469</v>
      </c>
      <c r="B1162" s="278">
        <v>44369</v>
      </c>
      <c r="C1162" s="259">
        <v>44287</v>
      </c>
      <c r="D1162" s="252" t="s">
        <v>99</v>
      </c>
      <c r="E1162" s="252" t="s">
        <v>364</v>
      </c>
      <c r="F1162" s="257">
        <v>500</v>
      </c>
      <c r="G1162" s="252" t="s">
        <v>5054</v>
      </c>
      <c r="H1162" s="252" t="s">
        <v>117</v>
      </c>
      <c r="I1162" s="252" t="s">
        <v>1637</v>
      </c>
      <c r="J1162" s="250" t="s">
        <v>2851</v>
      </c>
      <c r="K1162" s="255" t="s">
        <v>991</v>
      </c>
      <c r="L1162" s="250" t="s">
        <v>1016</v>
      </c>
      <c r="M1162" s="277" t="s">
        <v>1296</v>
      </c>
      <c r="N1162" s="278">
        <v>44368</v>
      </c>
      <c r="O1162" s="329" t="s">
        <v>67</v>
      </c>
      <c r="P1162" s="330">
        <f t="shared" ref="P1162:Q1162" si="1158">IF(B1162=0,0,IF(YEAR(B1162)=$Q$1,MONTH(B1162)-$P$1+1,(YEAR(B1162)-$Q$1)*12-$P$1+1+MONTH(B1162)))</f>
        <v>6</v>
      </c>
      <c r="Q1162" s="330">
        <f t="shared" si="1158"/>
        <v>4</v>
      </c>
      <c r="R1162" s="351" t="str">
        <f t="shared" si="1"/>
        <v>Gastos_Gerais</v>
      </c>
      <c r="S1162" s="351" t="str">
        <f>IF(D1162="","",IF(OR(D1162=Plano!$A$1,D1162=Plano!$B$1),"entrada","saída"))</f>
        <v>saída</v>
      </c>
      <c r="T1162" s="334" t="s">
        <v>994</v>
      </c>
      <c r="U1162" s="334">
        <v>1553</v>
      </c>
      <c r="V1162" s="344"/>
    </row>
    <row r="1163" spans="1:22" ht="172.5" customHeight="1" x14ac:dyDescent="0.2">
      <c r="A1163" s="277">
        <f>IF(B1163="","",COUNT('Diário 5º PA'!$A$5:$A$2634)+ROW()-4)</f>
        <v>2470</v>
      </c>
      <c r="B1163" s="278">
        <v>44369</v>
      </c>
      <c r="C1163" s="256">
        <v>44317</v>
      </c>
      <c r="D1163" s="255" t="s">
        <v>99</v>
      </c>
      <c r="E1163" s="252" t="s">
        <v>234</v>
      </c>
      <c r="F1163" s="258">
        <v>1175.8800000000001</v>
      </c>
      <c r="G1163" s="255" t="s">
        <v>5055</v>
      </c>
      <c r="H1163" s="255" t="s">
        <v>122</v>
      </c>
      <c r="I1163" s="250" t="s">
        <v>5056</v>
      </c>
      <c r="J1163" s="250" t="s">
        <v>840</v>
      </c>
      <c r="K1163" s="255" t="s">
        <v>991</v>
      </c>
      <c r="L1163" s="250" t="s">
        <v>1016</v>
      </c>
      <c r="M1163" s="277" t="s">
        <v>1443</v>
      </c>
      <c r="N1163" s="278">
        <v>44369</v>
      </c>
      <c r="O1163" s="329" t="s">
        <v>67</v>
      </c>
      <c r="P1163" s="330">
        <f t="shared" ref="P1163:Q1163" si="1159">IF(B1163=0,0,IF(YEAR(B1163)=$Q$1,MONTH(B1163)-$P$1+1,(YEAR(B1163)-$Q$1)*12-$P$1+1+MONTH(B1163)))</f>
        <v>6</v>
      </c>
      <c r="Q1163" s="330">
        <f t="shared" si="1159"/>
        <v>5</v>
      </c>
      <c r="R1163" s="351" t="str">
        <f t="shared" si="1"/>
        <v>Gastos_Gerais</v>
      </c>
      <c r="S1163" s="351" t="str">
        <f>IF(D1163="","",IF(OR(D1163=Plano!$A$1,D1163=Plano!$B$1),"entrada","saída"))</f>
        <v>saída</v>
      </c>
      <c r="T1163" s="334" t="s">
        <v>994</v>
      </c>
      <c r="U1163" s="334">
        <v>1552</v>
      </c>
      <c r="V1163" s="344"/>
    </row>
    <row r="1164" spans="1:22" ht="249.75" customHeight="1" x14ac:dyDescent="0.2">
      <c r="A1164" s="277">
        <f>IF(B1164="","",COUNT('Diário 5º PA'!$A$5:$A$2634)+ROW()-4)</f>
        <v>2471</v>
      </c>
      <c r="B1164" s="278">
        <v>44369</v>
      </c>
      <c r="C1164" s="259">
        <v>44317</v>
      </c>
      <c r="D1164" s="252" t="s">
        <v>99</v>
      </c>
      <c r="E1164" s="252" t="s">
        <v>352</v>
      </c>
      <c r="F1164" s="257">
        <v>2254</v>
      </c>
      <c r="G1164" s="252" t="s">
        <v>5057</v>
      </c>
      <c r="H1164" s="252" t="s">
        <v>131</v>
      </c>
      <c r="I1164" s="252" t="s">
        <v>1298</v>
      </c>
      <c r="J1164" s="250" t="s">
        <v>590</v>
      </c>
      <c r="K1164" s="255" t="s">
        <v>991</v>
      </c>
      <c r="L1164" s="250" t="s">
        <v>1016</v>
      </c>
      <c r="M1164" s="277" t="s">
        <v>1540</v>
      </c>
      <c r="N1164" s="278">
        <v>44368</v>
      </c>
      <c r="O1164" s="329" t="s">
        <v>67</v>
      </c>
      <c r="P1164" s="330">
        <f t="shared" ref="P1164:Q1164" si="1160">IF(B1164=0,0,IF(YEAR(B1164)=$Q$1,MONTH(B1164)-$P$1+1,(YEAR(B1164)-$Q$1)*12-$P$1+1+MONTH(B1164)))</f>
        <v>6</v>
      </c>
      <c r="Q1164" s="330">
        <f t="shared" si="1160"/>
        <v>5</v>
      </c>
      <c r="R1164" s="351" t="str">
        <f t="shared" si="1"/>
        <v>Gastos_Gerais</v>
      </c>
      <c r="S1164" s="351" t="str">
        <f>IF(D1164="","",IF(OR(D1164=Plano!$A$1,D1164=Plano!$B$1),"entrada","saída"))</f>
        <v>saída</v>
      </c>
      <c r="T1164" s="334" t="s">
        <v>1059</v>
      </c>
      <c r="U1164" s="334">
        <v>1434</v>
      </c>
      <c r="V1164" s="344"/>
    </row>
    <row r="1165" spans="1:22" ht="66.75" customHeight="1" x14ac:dyDescent="0.2">
      <c r="A1165" s="277">
        <f>IF(B1165="","",COUNT('Diário 5º PA'!$A$5:$A$2634)+ROW()-4)</f>
        <v>2472</v>
      </c>
      <c r="B1165" s="278">
        <v>44369</v>
      </c>
      <c r="C1165" s="335">
        <v>44348</v>
      </c>
      <c r="D1165" s="255" t="s">
        <v>99</v>
      </c>
      <c r="E1165" s="255" t="s">
        <v>272</v>
      </c>
      <c r="F1165" s="258">
        <v>10.45</v>
      </c>
      <c r="G1165" s="255" t="s">
        <v>5058</v>
      </c>
      <c r="H1165" s="252" t="s">
        <v>117</v>
      </c>
      <c r="I1165" s="250" t="s">
        <v>949</v>
      </c>
      <c r="J1165" s="255" t="s">
        <v>950</v>
      </c>
      <c r="K1165" s="255" t="s">
        <v>951</v>
      </c>
      <c r="L1165" s="250" t="s">
        <v>947</v>
      </c>
      <c r="M1165" s="336" t="s">
        <v>114</v>
      </c>
      <c r="N1165" s="278">
        <v>44369</v>
      </c>
      <c r="O1165" s="329" t="s">
        <v>67</v>
      </c>
      <c r="P1165" s="330">
        <f t="shared" ref="P1165:Q1165" si="1161">IF(B1165=0,0,IF(YEAR(B1165)=$Q$1,MONTH(B1165)-$P$1+1,(YEAR(B1165)-$Q$1)*12-$P$1+1+MONTH(B1165)))</f>
        <v>6</v>
      </c>
      <c r="Q1165" s="330">
        <f t="shared" si="1161"/>
        <v>6</v>
      </c>
      <c r="R1165" s="331" t="str">
        <f t="shared" si="1"/>
        <v>Gastos_Gerais</v>
      </c>
      <c r="S1165" s="331" t="str">
        <f>IF(D1165="","",IF(OR(D1165=Plano!$A$1,D1165=Plano!$B$1),"entrada","saída"))</f>
        <v>saída</v>
      </c>
      <c r="T1165" s="332" t="s">
        <v>114</v>
      </c>
      <c r="U1165" s="332" t="s">
        <v>114</v>
      </c>
      <c r="V1165" s="344"/>
    </row>
    <row r="1166" spans="1:22" ht="63.75" customHeight="1" x14ac:dyDescent="0.2">
      <c r="A1166" s="277">
        <f>IF(B1166="","",COUNT('Diário 5º PA'!$A$5:$A$2634)+ROW()-4)</f>
        <v>2473</v>
      </c>
      <c r="B1166" s="278">
        <v>44369</v>
      </c>
      <c r="C1166" s="335">
        <v>44348</v>
      </c>
      <c r="D1166" s="255" t="s">
        <v>99</v>
      </c>
      <c r="E1166" s="255" t="s">
        <v>272</v>
      </c>
      <c r="F1166" s="258">
        <v>10.45</v>
      </c>
      <c r="G1166" s="255" t="s">
        <v>5059</v>
      </c>
      <c r="H1166" s="255" t="s">
        <v>122</v>
      </c>
      <c r="I1166" s="250" t="s">
        <v>949</v>
      </c>
      <c r="J1166" s="255" t="s">
        <v>950</v>
      </c>
      <c r="K1166" s="255" t="s">
        <v>951</v>
      </c>
      <c r="L1166" s="250" t="s">
        <v>947</v>
      </c>
      <c r="M1166" s="336" t="s">
        <v>114</v>
      </c>
      <c r="N1166" s="278">
        <v>44369</v>
      </c>
      <c r="O1166" s="329" t="s">
        <v>67</v>
      </c>
      <c r="P1166" s="330">
        <f t="shared" ref="P1166:Q1166" si="1162">IF(B1166=0,0,IF(YEAR(B1166)=$Q$1,MONTH(B1166)-$P$1+1,(YEAR(B1166)-$Q$1)*12-$P$1+1+MONTH(B1166)))</f>
        <v>6</v>
      </c>
      <c r="Q1166" s="330">
        <f t="shared" si="1162"/>
        <v>6</v>
      </c>
      <c r="R1166" s="331" t="str">
        <f t="shared" si="1"/>
        <v>Gastos_Gerais</v>
      </c>
      <c r="S1166" s="331" t="str">
        <f>IF(D1166="","",IF(OR(D1166=Plano!$A$1,D1166=Plano!$B$1),"entrada","saída"))</f>
        <v>saída</v>
      </c>
      <c r="T1166" s="332" t="s">
        <v>114</v>
      </c>
      <c r="U1166" s="332" t="s">
        <v>114</v>
      </c>
      <c r="V1166" s="344"/>
    </row>
    <row r="1167" spans="1:22" ht="63.75" customHeight="1" x14ac:dyDescent="0.2">
      <c r="A1167" s="277">
        <f>IF(B1167="","",COUNT('Diário 5º PA'!$A$5:$A$2634)+ROW()-4)</f>
        <v>2474</v>
      </c>
      <c r="B1167" s="278">
        <v>44369</v>
      </c>
      <c r="C1167" s="335">
        <v>44348</v>
      </c>
      <c r="D1167" s="255" t="s">
        <v>99</v>
      </c>
      <c r="E1167" s="255" t="s">
        <v>272</v>
      </c>
      <c r="F1167" s="258">
        <v>10.45</v>
      </c>
      <c r="G1167" s="255" t="s">
        <v>1325</v>
      </c>
      <c r="H1167" s="252" t="s">
        <v>131</v>
      </c>
      <c r="I1167" s="250" t="s">
        <v>949</v>
      </c>
      <c r="J1167" s="255" t="s">
        <v>950</v>
      </c>
      <c r="K1167" s="255" t="s">
        <v>951</v>
      </c>
      <c r="L1167" s="250" t="s">
        <v>947</v>
      </c>
      <c r="M1167" s="336" t="s">
        <v>114</v>
      </c>
      <c r="N1167" s="278">
        <v>44369</v>
      </c>
      <c r="O1167" s="329" t="s">
        <v>67</v>
      </c>
      <c r="P1167" s="330">
        <f t="shared" ref="P1167:Q1167" si="1163">IF(B1167=0,0,IF(YEAR(B1167)=$Q$1,MONTH(B1167)-$P$1+1,(YEAR(B1167)-$Q$1)*12-$P$1+1+MONTH(B1167)))</f>
        <v>6</v>
      </c>
      <c r="Q1167" s="330">
        <f t="shared" si="1163"/>
        <v>6</v>
      </c>
      <c r="R1167" s="331" t="str">
        <f t="shared" si="1"/>
        <v>Gastos_Gerais</v>
      </c>
      <c r="S1167" s="331" t="str">
        <f>IF(D1167="","",IF(OR(D1167=Plano!$A$1,D1167=Plano!$B$1),"entrada","saída"))</f>
        <v>saída</v>
      </c>
      <c r="T1167" s="332" t="s">
        <v>114</v>
      </c>
      <c r="U1167" s="332" t="s">
        <v>114</v>
      </c>
      <c r="V1167" s="344"/>
    </row>
    <row r="1168" spans="1:22" ht="73.5" customHeight="1" x14ac:dyDescent="0.2">
      <c r="A1168" s="277">
        <f>IF(B1168="","",COUNT('Diário 5º PA'!$A$5:$A$2634)+ROW()-4)</f>
        <v>2475</v>
      </c>
      <c r="B1168" s="278">
        <v>44370</v>
      </c>
      <c r="C1168" s="259">
        <v>44317</v>
      </c>
      <c r="D1168" s="252" t="s">
        <v>99</v>
      </c>
      <c r="E1168" s="252" t="s">
        <v>336</v>
      </c>
      <c r="F1168" s="257">
        <v>2827.55</v>
      </c>
      <c r="G1168" s="252" t="s">
        <v>5060</v>
      </c>
      <c r="H1168" s="252" t="s">
        <v>116</v>
      </c>
      <c r="I1168" s="250" t="s">
        <v>5061</v>
      </c>
      <c r="J1168" s="250" t="s">
        <v>5062</v>
      </c>
      <c r="K1168" s="255" t="s">
        <v>991</v>
      </c>
      <c r="L1168" s="250" t="s">
        <v>1029</v>
      </c>
      <c r="M1168" s="277">
        <v>1204</v>
      </c>
      <c r="N1168" s="278">
        <v>44368</v>
      </c>
      <c r="O1168" s="329" t="s">
        <v>67</v>
      </c>
      <c r="P1168" s="330">
        <f t="shared" ref="P1168:Q1168" si="1164">IF(B1168=0,0,IF(YEAR(B1168)=$Q$1,MONTH(B1168)-$P$1+1,(YEAR(B1168)-$Q$1)*12-$P$1+1+MONTH(B1168)))</f>
        <v>6</v>
      </c>
      <c r="Q1168" s="330">
        <f t="shared" si="1164"/>
        <v>5</v>
      </c>
      <c r="R1168" s="351" t="str">
        <f t="shared" si="1"/>
        <v>Gastos_Gerais</v>
      </c>
      <c r="S1168" s="351" t="str">
        <f>IF(D1168="","",IF(OR(D1168=Plano!$A$1,D1168=Plano!$B$1),"entrada","saída"))</f>
        <v>saída</v>
      </c>
      <c r="T1168" s="334" t="s">
        <v>994</v>
      </c>
      <c r="U1168" s="334">
        <v>1571</v>
      </c>
      <c r="V1168" s="344"/>
    </row>
    <row r="1169" spans="1:22" ht="56.25" customHeight="1" x14ac:dyDescent="0.2">
      <c r="A1169" s="277">
        <f>IF(B1169="","",COUNT('Diário 5º PA'!$A$5:$A$2634)+ROW()-4)</f>
        <v>2476</v>
      </c>
      <c r="B1169" s="278">
        <v>44370</v>
      </c>
      <c r="C1169" s="335">
        <v>44348</v>
      </c>
      <c r="D1169" s="255" t="s">
        <v>88</v>
      </c>
      <c r="E1169" s="255" t="s">
        <v>192</v>
      </c>
      <c r="F1169" s="258">
        <v>151.41999999999999</v>
      </c>
      <c r="G1169" s="252" t="s">
        <v>5063</v>
      </c>
      <c r="H1169" s="255" t="s">
        <v>114</v>
      </c>
      <c r="I1169" s="252" t="s">
        <v>1032</v>
      </c>
      <c r="J1169" s="252" t="s">
        <v>1033</v>
      </c>
      <c r="K1169" s="255" t="s">
        <v>560</v>
      </c>
      <c r="L1169" s="252" t="s">
        <v>1016</v>
      </c>
      <c r="M1169" s="277" t="s">
        <v>5064</v>
      </c>
      <c r="N1169" s="278">
        <v>44372</v>
      </c>
      <c r="O1169" s="329" t="s">
        <v>67</v>
      </c>
      <c r="P1169" s="386">
        <f t="shared" ref="P1169:Q1169" si="1165">IF(B1169=0,0,IF(YEAR(B1169)=$Q$1,MONTH(B1169)-$P$1+1,(YEAR(B1169)-$Q$1)*12-$P$1+1+MONTH(B1169)))</f>
        <v>6</v>
      </c>
      <c r="Q1169" s="330">
        <f t="shared" si="1165"/>
        <v>6</v>
      </c>
      <c r="R1169" s="331" t="str">
        <f t="shared" si="1"/>
        <v>Gastos_com_Pessoal</v>
      </c>
      <c r="S1169" s="331" t="str">
        <f>IF(D1169="","",IF(OR(D1169=Plano!$A$1,D1169=Plano!$B$1),"entrada","saída"))</f>
        <v>saída</v>
      </c>
      <c r="T1169" s="332" t="s">
        <v>114</v>
      </c>
      <c r="U1169" s="332" t="s">
        <v>114</v>
      </c>
      <c r="V1169" s="344"/>
    </row>
    <row r="1170" spans="1:22" ht="57" customHeight="1" x14ac:dyDescent="0.2">
      <c r="A1170" s="277">
        <f>IF(B1170="","",COUNT('Diário 5º PA'!$A$5:$A$2634)+ROW()-4)</f>
        <v>2477</v>
      </c>
      <c r="B1170" s="278">
        <v>44370</v>
      </c>
      <c r="C1170" s="335">
        <v>44348</v>
      </c>
      <c r="D1170" s="255" t="s">
        <v>99</v>
      </c>
      <c r="E1170" s="255" t="s">
        <v>272</v>
      </c>
      <c r="F1170" s="258">
        <v>10.45</v>
      </c>
      <c r="G1170" s="255" t="s">
        <v>5065</v>
      </c>
      <c r="H1170" s="252" t="s">
        <v>116</v>
      </c>
      <c r="I1170" s="250" t="s">
        <v>949</v>
      </c>
      <c r="J1170" s="255" t="s">
        <v>950</v>
      </c>
      <c r="K1170" s="255" t="s">
        <v>951</v>
      </c>
      <c r="L1170" s="250" t="s">
        <v>947</v>
      </c>
      <c r="M1170" s="336" t="s">
        <v>114</v>
      </c>
      <c r="N1170" s="278">
        <v>44370</v>
      </c>
      <c r="O1170" s="329" t="s">
        <v>67</v>
      </c>
      <c r="P1170" s="330">
        <f t="shared" ref="P1170:Q1170" si="1166">IF(B1170=0,0,IF(YEAR(B1170)=$Q$1,MONTH(B1170)-$P$1+1,(YEAR(B1170)-$Q$1)*12-$P$1+1+MONTH(B1170)))</f>
        <v>6</v>
      </c>
      <c r="Q1170" s="330">
        <f t="shared" si="1166"/>
        <v>6</v>
      </c>
      <c r="R1170" s="331" t="str">
        <f t="shared" si="1"/>
        <v>Gastos_Gerais</v>
      </c>
      <c r="S1170" s="331" t="str">
        <f>IF(D1170="","",IF(OR(D1170=Plano!$A$1,D1170=Plano!$B$1),"entrada","saída"))</f>
        <v>saída</v>
      </c>
      <c r="T1170" s="332" t="s">
        <v>114</v>
      </c>
      <c r="U1170" s="332" t="s">
        <v>114</v>
      </c>
      <c r="V1170" s="344"/>
    </row>
    <row r="1171" spans="1:22" ht="48.75" customHeight="1" x14ac:dyDescent="0.2">
      <c r="A1171" s="277">
        <f>IF(B1171="","",COUNT('Diário 5º PA'!$A$5:$A$2634)+ROW()-4)</f>
        <v>2478</v>
      </c>
      <c r="B1171" s="278">
        <v>44371</v>
      </c>
      <c r="C1171" s="335">
        <v>44348</v>
      </c>
      <c r="D1171" s="255" t="s">
        <v>88</v>
      </c>
      <c r="E1171" s="255" t="s">
        <v>192</v>
      </c>
      <c r="F1171" s="258">
        <v>109.03</v>
      </c>
      <c r="G1171" s="252" t="s">
        <v>5063</v>
      </c>
      <c r="H1171" s="255" t="s">
        <v>114</v>
      </c>
      <c r="I1171" s="252" t="s">
        <v>1032</v>
      </c>
      <c r="J1171" s="252" t="s">
        <v>1033</v>
      </c>
      <c r="K1171" s="255" t="s">
        <v>560</v>
      </c>
      <c r="L1171" s="252" t="s">
        <v>1016</v>
      </c>
      <c r="M1171" s="277" t="s">
        <v>5066</v>
      </c>
      <c r="N1171" s="278">
        <v>44375</v>
      </c>
      <c r="O1171" s="329" t="s">
        <v>67</v>
      </c>
      <c r="P1171" s="386">
        <f t="shared" ref="P1171:Q1171" si="1167">IF(B1171=0,0,IF(YEAR(B1171)=$Q$1,MONTH(B1171)-$P$1+1,(YEAR(B1171)-$Q$1)*12-$P$1+1+MONTH(B1171)))</f>
        <v>6</v>
      </c>
      <c r="Q1171" s="330">
        <f t="shared" si="1167"/>
        <v>6</v>
      </c>
      <c r="R1171" s="331" t="str">
        <f t="shared" si="1"/>
        <v>Gastos_com_Pessoal</v>
      </c>
      <c r="S1171" s="331" t="str">
        <f>IF(D1171="","",IF(OR(D1171=Plano!$A$1,D1171=Plano!$B$1),"entrada","saída"))</f>
        <v>saída</v>
      </c>
      <c r="T1171" s="332" t="s">
        <v>114</v>
      </c>
      <c r="U1171" s="332" t="s">
        <v>114</v>
      </c>
      <c r="V1171" s="344"/>
    </row>
    <row r="1172" spans="1:22" ht="165.75" customHeight="1" x14ac:dyDescent="0.2">
      <c r="A1172" s="277">
        <f>IF(B1172="","",COUNT('Diário 5º PA'!$A$5:$A$2634)+ROW()-4)</f>
        <v>2479</v>
      </c>
      <c r="B1172" s="278">
        <v>44371</v>
      </c>
      <c r="C1172" s="259">
        <v>44197</v>
      </c>
      <c r="D1172" s="252" t="s">
        <v>99</v>
      </c>
      <c r="E1172" s="252" t="s">
        <v>336</v>
      </c>
      <c r="F1172" s="257">
        <v>479.55</v>
      </c>
      <c r="G1172" s="252" t="s">
        <v>5067</v>
      </c>
      <c r="H1172" s="252" t="s">
        <v>116</v>
      </c>
      <c r="I1172" s="252" t="s">
        <v>5068</v>
      </c>
      <c r="J1172" s="250" t="s">
        <v>5069</v>
      </c>
      <c r="K1172" s="255" t="s">
        <v>991</v>
      </c>
      <c r="L1172" s="250" t="s">
        <v>992</v>
      </c>
      <c r="M1172" s="277">
        <v>61</v>
      </c>
      <c r="N1172" s="278">
        <v>44371</v>
      </c>
      <c r="O1172" s="329" t="s">
        <v>67</v>
      </c>
      <c r="P1172" s="330">
        <f t="shared" ref="P1172:Q1172" si="1168">IF(B1172=0,0,IF(YEAR(B1172)=$Q$1,MONTH(B1172)-$P$1+1,(YEAR(B1172)-$Q$1)*12-$P$1+1+MONTH(B1172)))</f>
        <v>6</v>
      </c>
      <c r="Q1172" s="330">
        <f t="shared" si="1168"/>
        <v>1</v>
      </c>
      <c r="R1172" s="351" t="str">
        <f t="shared" si="1"/>
        <v>Gastos_Gerais</v>
      </c>
      <c r="S1172" s="351" t="str">
        <f>IF(D1172="","",IF(OR(D1172=Plano!$A$1,D1172=Plano!$B$1),"entrada","saída"))</f>
        <v>saída</v>
      </c>
      <c r="T1172" s="334" t="s">
        <v>994</v>
      </c>
      <c r="U1172" s="334">
        <v>777</v>
      </c>
      <c r="V1172" s="344"/>
    </row>
    <row r="1173" spans="1:22" ht="75" customHeight="1" x14ac:dyDescent="0.2">
      <c r="A1173" s="277">
        <f>IF(B1173="","",COUNT('Diário 5º PA'!$A$5:$A$2634)+ROW()-4)</f>
        <v>2480</v>
      </c>
      <c r="B1173" s="278">
        <v>44371</v>
      </c>
      <c r="C1173" s="335">
        <v>44348</v>
      </c>
      <c r="D1173" s="255" t="s">
        <v>99</v>
      </c>
      <c r="E1173" s="255" t="s">
        <v>272</v>
      </c>
      <c r="F1173" s="258">
        <v>10.45</v>
      </c>
      <c r="G1173" s="255" t="s">
        <v>5070</v>
      </c>
      <c r="H1173" s="252" t="s">
        <v>131</v>
      </c>
      <c r="I1173" s="250" t="s">
        <v>949</v>
      </c>
      <c r="J1173" s="255" t="s">
        <v>950</v>
      </c>
      <c r="K1173" s="255" t="s">
        <v>951</v>
      </c>
      <c r="L1173" s="250" t="s">
        <v>947</v>
      </c>
      <c r="M1173" s="336" t="s">
        <v>114</v>
      </c>
      <c r="N1173" s="278">
        <v>44371</v>
      </c>
      <c r="O1173" s="329" t="s">
        <v>67</v>
      </c>
      <c r="P1173" s="330">
        <f t="shared" ref="P1173:Q1173" si="1169">IF(B1173=0,0,IF(YEAR(B1173)=$Q$1,MONTH(B1173)-$P$1+1,(YEAR(B1173)-$Q$1)*12-$P$1+1+MONTH(B1173)))</f>
        <v>6</v>
      </c>
      <c r="Q1173" s="330">
        <f t="shared" si="1169"/>
        <v>6</v>
      </c>
      <c r="R1173" s="331" t="str">
        <f t="shared" si="1"/>
        <v>Gastos_Gerais</v>
      </c>
      <c r="S1173" s="331" t="str">
        <f>IF(D1173="","",IF(OR(D1173=Plano!$A$1,D1173=Plano!$B$1),"entrada","saída"))</f>
        <v>saída</v>
      </c>
      <c r="T1173" s="332" t="s">
        <v>114</v>
      </c>
      <c r="U1173" s="332" t="s">
        <v>114</v>
      </c>
      <c r="V1173" s="344"/>
    </row>
    <row r="1174" spans="1:22" ht="55.5" customHeight="1" x14ac:dyDescent="0.2">
      <c r="A1174" s="277">
        <f>IF(B1174="","",COUNT('Diário 5º PA'!$A$5:$A$2634)+ROW()-4)</f>
        <v>2481</v>
      </c>
      <c r="B1174" s="278">
        <v>44371</v>
      </c>
      <c r="C1174" s="335">
        <v>44348</v>
      </c>
      <c r="D1174" s="255" t="s">
        <v>99</v>
      </c>
      <c r="E1174" s="255" t="s">
        <v>272</v>
      </c>
      <c r="F1174" s="258">
        <v>10.45</v>
      </c>
      <c r="G1174" s="255" t="s">
        <v>5071</v>
      </c>
      <c r="H1174" s="252" t="s">
        <v>116</v>
      </c>
      <c r="I1174" s="250" t="s">
        <v>949</v>
      </c>
      <c r="J1174" s="255" t="s">
        <v>950</v>
      </c>
      <c r="K1174" s="255" t="s">
        <v>951</v>
      </c>
      <c r="L1174" s="250" t="s">
        <v>947</v>
      </c>
      <c r="M1174" s="336" t="s">
        <v>114</v>
      </c>
      <c r="N1174" s="278">
        <v>44371</v>
      </c>
      <c r="O1174" s="329" t="s">
        <v>67</v>
      </c>
      <c r="P1174" s="330">
        <f t="shared" ref="P1174:Q1174" si="1170">IF(B1174=0,0,IF(YEAR(B1174)=$Q$1,MONTH(B1174)-$P$1+1,(YEAR(B1174)-$Q$1)*12-$P$1+1+MONTH(B1174)))</f>
        <v>6</v>
      </c>
      <c r="Q1174" s="330">
        <f t="shared" si="1170"/>
        <v>6</v>
      </c>
      <c r="R1174" s="331" t="str">
        <f t="shared" si="1"/>
        <v>Gastos_Gerais</v>
      </c>
      <c r="S1174" s="331" t="str">
        <f>IF(D1174="","",IF(OR(D1174=Plano!$A$1,D1174=Plano!$B$1),"entrada","saída"))</f>
        <v>saída</v>
      </c>
      <c r="T1174" s="332" t="s">
        <v>114</v>
      </c>
      <c r="U1174" s="332" t="s">
        <v>114</v>
      </c>
      <c r="V1174" s="344"/>
    </row>
    <row r="1175" spans="1:22" ht="77.25" customHeight="1" x14ac:dyDescent="0.2">
      <c r="A1175" s="277">
        <f>IF(B1175="","",COUNT('Diário 5º PA'!$A$5:$A$2634)+ROW()-4)</f>
        <v>2482</v>
      </c>
      <c r="B1175" s="278">
        <v>44372</v>
      </c>
      <c r="C1175" s="256">
        <v>44317</v>
      </c>
      <c r="D1175" s="255" t="s">
        <v>99</v>
      </c>
      <c r="E1175" s="255" t="s">
        <v>222</v>
      </c>
      <c r="F1175" s="258">
        <v>-204.23</v>
      </c>
      <c r="G1175" s="255" t="s">
        <v>5072</v>
      </c>
      <c r="H1175" s="255" t="s">
        <v>115</v>
      </c>
      <c r="I1175" s="250" t="s">
        <v>983</v>
      </c>
      <c r="J1175" s="255" t="s">
        <v>850</v>
      </c>
      <c r="K1175" s="255" t="s">
        <v>1069</v>
      </c>
      <c r="L1175" s="250" t="s">
        <v>947</v>
      </c>
      <c r="M1175" s="277" t="s">
        <v>114</v>
      </c>
      <c r="N1175" s="278">
        <v>44372</v>
      </c>
      <c r="O1175" s="329" t="s">
        <v>67</v>
      </c>
      <c r="P1175" s="330">
        <f t="shared" ref="P1175:Q1175" si="1171">IF(B1175=0,0,IF(YEAR(B1175)=$Q$1,MONTH(B1175)-$P$1+1,(YEAR(B1175)-$Q$1)*12-$P$1+1+MONTH(B1175)))</f>
        <v>6</v>
      </c>
      <c r="Q1175" s="330">
        <f t="shared" si="1171"/>
        <v>5</v>
      </c>
      <c r="R1175" s="331" t="str">
        <f t="shared" si="1"/>
        <v>Gastos_Gerais</v>
      </c>
      <c r="S1175" s="331" t="str">
        <f>IF(D1175="","",IF(OR(D1175=Plano!$A$1,D1175=Plano!$B$1),"entrada","saída"))</f>
        <v>saída</v>
      </c>
      <c r="T1175" s="332" t="s">
        <v>114</v>
      </c>
      <c r="U1175" s="332" t="s">
        <v>114</v>
      </c>
      <c r="V1175" s="344"/>
    </row>
    <row r="1176" spans="1:22" ht="54.75" customHeight="1" x14ac:dyDescent="0.2">
      <c r="A1176" s="277">
        <f>IF(B1176="","",COUNT('Diário 5º PA'!$A$5:$A$2634)+ROW()-4)</f>
        <v>2483</v>
      </c>
      <c r="B1176" s="278">
        <v>44372</v>
      </c>
      <c r="C1176" s="256">
        <v>44317</v>
      </c>
      <c r="D1176" s="255" t="s">
        <v>99</v>
      </c>
      <c r="E1176" s="255" t="s">
        <v>254</v>
      </c>
      <c r="F1176" s="258">
        <v>-114.88</v>
      </c>
      <c r="G1176" s="255" t="s">
        <v>5073</v>
      </c>
      <c r="H1176" s="255" t="s">
        <v>115</v>
      </c>
      <c r="I1176" s="250" t="s">
        <v>983</v>
      </c>
      <c r="J1176" s="255" t="s">
        <v>850</v>
      </c>
      <c r="K1176" s="255" t="s">
        <v>1069</v>
      </c>
      <c r="L1176" s="250" t="s">
        <v>947</v>
      </c>
      <c r="M1176" s="277" t="s">
        <v>114</v>
      </c>
      <c r="N1176" s="278">
        <v>44372</v>
      </c>
      <c r="O1176" s="329" t="s">
        <v>67</v>
      </c>
      <c r="P1176" s="330">
        <f t="shared" ref="P1176:Q1176" si="1172">IF(B1176=0,0,IF(YEAR(B1176)=$Q$1,MONTH(B1176)-$P$1+1,(YEAR(B1176)-$Q$1)*12-$P$1+1+MONTH(B1176)))</f>
        <v>6</v>
      </c>
      <c r="Q1176" s="330">
        <f t="shared" si="1172"/>
        <v>5</v>
      </c>
      <c r="R1176" s="331" t="str">
        <f t="shared" si="1"/>
        <v>Gastos_Gerais</v>
      </c>
      <c r="S1176" s="331" t="str">
        <f>IF(D1176="","",IF(OR(D1176=Plano!$A$1,D1176=Plano!$B$1),"entrada","saída"))</f>
        <v>saída</v>
      </c>
      <c r="T1176" s="332" t="s">
        <v>114</v>
      </c>
      <c r="U1176" s="332" t="s">
        <v>114</v>
      </c>
      <c r="V1176" s="344"/>
    </row>
    <row r="1177" spans="1:22" ht="56.25" customHeight="1" x14ac:dyDescent="0.2">
      <c r="A1177" s="277">
        <f>IF(B1177="","",COUNT('Diário 5º PA'!$A$5:$A$2634)+ROW()-4)</f>
        <v>2484</v>
      </c>
      <c r="B1177" s="278">
        <v>44372</v>
      </c>
      <c r="C1177" s="256">
        <v>44317</v>
      </c>
      <c r="D1177" s="255" t="s">
        <v>57</v>
      </c>
      <c r="E1177" s="255" t="s">
        <v>57</v>
      </c>
      <c r="F1177" s="258">
        <v>2066.9699999999998</v>
      </c>
      <c r="G1177" s="255" t="s">
        <v>5074</v>
      </c>
      <c r="H1177" s="255" t="s">
        <v>114</v>
      </c>
      <c r="I1177" s="250" t="s">
        <v>945</v>
      </c>
      <c r="J1177" s="255" t="s">
        <v>850</v>
      </c>
      <c r="K1177" s="255" t="s">
        <v>946</v>
      </c>
      <c r="L1177" s="250" t="s">
        <v>947</v>
      </c>
      <c r="M1177" s="277" t="s">
        <v>114</v>
      </c>
      <c r="N1177" s="278">
        <v>44372</v>
      </c>
      <c r="O1177" s="329" t="s">
        <v>67</v>
      </c>
      <c r="P1177" s="330">
        <f t="shared" ref="P1177:Q1177" si="1173">IF(B1177=0,0,IF(YEAR(B1177)=$Q$1,MONTH(B1177)-$P$1+1,(YEAR(B1177)-$Q$1)*12-$P$1+1+MONTH(B1177)))</f>
        <v>6</v>
      </c>
      <c r="Q1177" s="330">
        <f t="shared" si="1173"/>
        <v>5</v>
      </c>
      <c r="R1177" s="331" t="str">
        <f t="shared" si="1"/>
        <v>Transferência_para_Reserva_de_Recursos</v>
      </c>
      <c r="S1177" s="331" t="str">
        <f>IF(D1177="","",IF(OR(D1177=Plano!$A$1,D1177=Plano!$B$1),"entrada","saída"))</f>
        <v>saída</v>
      </c>
      <c r="T1177" s="332" t="s">
        <v>114</v>
      </c>
      <c r="U1177" s="332" t="s">
        <v>114</v>
      </c>
      <c r="V1177" s="344"/>
    </row>
    <row r="1178" spans="1:22" ht="177" customHeight="1" x14ac:dyDescent="0.2">
      <c r="A1178" s="277">
        <f>IF(B1178="","",COUNT('Diário 5º PA'!$A$5:$A$2634)+ROW()-4)</f>
        <v>2485</v>
      </c>
      <c r="B1178" s="278">
        <v>44372</v>
      </c>
      <c r="C1178" s="259">
        <v>44348</v>
      </c>
      <c r="D1178" s="252" t="s">
        <v>99</v>
      </c>
      <c r="E1178" s="252" t="s">
        <v>364</v>
      </c>
      <c r="F1178" s="257">
        <v>69255</v>
      </c>
      <c r="G1178" s="252" t="s">
        <v>5075</v>
      </c>
      <c r="H1178" s="252" t="s">
        <v>131</v>
      </c>
      <c r="I1178" s="250" t="s">
        <v>5076</v>
      </c>
      <c r="J1178" s="250" t="s">
        <v>2256</v>
      </c>
      <c r="K1178" s="255" t="s">
        <v>991</v>
      </c>
      <c r="L1178" s="250" t="s">
        <v>992</v>
      </c>
      <c r="M1178" s="277" t="s">
        <v>1017</v>
      </c>
      <c r="N1178" s="278">
        <v>44371</v>
      </c>
      <c r="O1178" s="329" t="s">
        <v>67</v>
      </c>
      <c r="P1178" s="330">
        <f t="shared" ref="P1178:Q1178" si="1174">IF(B1178=0,0,IF(YEAR(B1178)=$Q$1,MONTH(B1178)-$P$1+1,(YEAR(B1178)-$Q$1)*12-$P$1+1+MONTH(B1178)))</f>
        <v>6</v>
      </c>
      <c r="Q1178" s="330">
        <f t="shared" si="1174"/>
        <v>6</v>
      </c>
      <c r="R1178" s="351" t="str">
        <f t="shared" si="1"/>
        <v>Gastos_Gerais</v>
      </c>
      <c r="S1178" s="351" t="str">
        <f>IF(D1178="","",IF(OR(D1178=Plano!$A$1,D1178=Plano!$B$1),"entrada","saída"))</f>
        <v>saída</v>
      </c>
      <c r="T1178" s="334" t="s">
        <v>1059</v>
      </c>
      <c r="U1178" s="334">
        <v>1661</v>
      </c>
      <c r="V1178" s="344"/>
    </row>
    <row r="1179" spans="1:22" ht="60" customHeight="1" x14ac:dyDescent="0.2">
      <c r="A1179" s="277">
        <f>IF(B1179="","",COUNT('Diário 5º PA'!$A$5:$A$2634)+ROW()-4)</f>
        <v>2486</v>
      </c>
      <c r="B1179" s="278">
        <v>44372</v>
      </c>
      <c r="C1179" s="256">
        <v>44317</v>
      </c>
      <c r="D1179" s="255" t="s">
        <v>99</v>
      </c>
      <c r="E1179" s="255" t="s">
        <v>222</v>
      </c>
      <c r="F1179" s="258">
        <v>773.3</v>
      </c>
      <c r="G1179" s="255" t="s">
        <v>5077</v>
      </c>
      <c r="H1179" s="255" t="s">
        <v>115</v>
      </c>
      <c r="I1179" s="250" t="s">
        <v>525</v>
      </c>
      <c r="J1179" s="255" t="s">
        <v>1568</v>
      </c>
      <c r="K1179" s="255" t="s">
        <v>1375</v>
      </c>
      <c r="L1179" s="250" t="s">
        <v>697</v>
      </c>
      <c r="M1179" s="277" t="s">
        <v>114</v>
      </c>
      <c r="N1179" s="278">
        <v>44354</v>
      </c>
      <c r="O1179" s="329" t="s">
        <v>67</v>
      </c>
      <c r="P1179" s="330">
        <f t="shared" ref="P1179:Q1179" si="1175">IF(B1179=0,0,IF(YEAR(B1179)=$Q$1,MONTH(B1179)-$P$1+1,(YEAR(B1179)-$Q$1)*12-$P$1+1+MONTH(B1179)))</f>
        <v>6</v>
      </c>
      <c r="Q1179" s="330">
        <f t="shared" si="1175"/>
        <v>5</v>
      </c>
      <c r="R1179" s="331" t="str">
        <f t="shared" si="1"/>
        <v>Gastos_Gerais</v>
      </c>
      <c r="S1179" s="331" t="str">
        <f>IF(D1179="","",IF(OR(D1179=Plano!$A$1,D1179=Plano!$B$1),"entrada","saída"))</f>
        <v>saída</v>
      </c>
      <c r="T1179" s="332" t="s">
        <v>114</v>
      </c>
      <c r="U1179" s="332" t="s">
        <v>114</v>
      </c>
      <c r="V1179" s="344"/>
    </row>
    <row r="1180" spans="1:22" ht="60" customHeight="1" x14ac:dyDescent="0.2">
      <c r="A1180" s="277">
        <f>IF(B1180="","",COUNT('Diário 5º PA'!$A$5:$A$2634)+ROW()-4)</f>
        <v>2487</v>
      </c>
      <c r="B1180" s="278">
        <v>44372</v>
      </c>
      <c r="C1180" s="335">
        <v>44348</v>
      </c>
      <c r="D1180" s="255" t="s">
        <v>99</v>
      </c>
      <c r="E1180" s="255" t="s">
        <v>330</v>
      </c>
      <c r="F1180" s="258">
        <v>300</v>
      </c>
      <c r="G1180" s="255" t="s">
        <v>5078</v>
      </c>
      <c r="H1180" s="255" t="s">
        <v>115</v>
      </c>
      <c r="I1180" s="250" t="s">
        <v>1570</v>
      </c>
      <c r="J1180" s="255" t="s">
        <v>646</v>
      </c>
      <c r="K1180" s="255" t="s">
        <v>560</v>
      </c>
      <c r="L1180" s="250" t="s">
        <v>1016</v>
      </c>
      <c r="M1180" s="277">
        <v>4733312</v>
      </c>
      <c r="N1180" s="278">
        <v>44375</v>
      </c>
      <c r="O1180" s="329" t="s">
        <v>67</v>
      </c>
      <c r="P1180" s="330">
        <f t="shared" ref="P1180:Q1180" si="1176">IF(B1180=0,0,IF(YEAR(B1180)=$Q$1,MONTH(B1180)-$P$1+1,(YEAR(B1180)-$Q$1)*12-$P$1+1+MONTH(B1180)))</f>
        <v>6</v>
      </c>
      <c r="Q1180" s="330">
        <f t="shared" si="1176"/>
        <v>6</v>
      </c>
      <c r="R1180" s="331" t="str">
        <f t="shared" si="1"/>
        <v>Gastos_Gerais</v>
      </c>
      <c r="S1180" s="331" t="str">
        <f>IF(D1180="","",IF(OR(D1180=Plano!$A$1,D1180=Plano!$B$1),"entrada","saída"))</f>
        <v>saída</v>
      </c>
      <c r="T1180" s="332" t="s">
        <v>1082</v>
      </c>
      <c r="U1180" s="332">
        <v>1551</v>
      </c>
      <c r="V1180" s="344"/>
    </row>
    <row r="1181" spans="1:22" ht="166.5" customHeight="1" x14ac:dyDescent="0.2">
      <c r="A1181" s="277">
        <f>IF(B1181="","",COUNT('Diário 5º PA'!$A$5:$A$2634)+ROW()-4)</f>
        <v>2488</v>
      </c>
      <c r="B1181" s="278">
        <v>44372</v>
      </c>
      <c r="C1181" s="256">
        <v>44317</v>
      </c>
      <c r="D1181" s="255" t="s">
        <v>99</v>
      </c>
      <c r="E1181" s="255" t="s">
        <v>254</v>
      </c>
      <c r="F1181" s="258">
        <v>435</v>
      </c>
      <c r="G1181" s="255" t="s">
        <v>445</v>
      </c>
      <c r="H1181" s="255" t="s">
        <v>115</v>
      </c>
      <c r="I1181" s="252" t="s">
        <v>1573</v>
      </c>
      <c r="J1181" s="255" t="s">
        <v>1574</v>
      </c>
      <c r="K1181" s="255" t="s">
        <v>991</v>
      </c>
      <c r="L1181" s="250" t="s">
        <v>1378</v>
      </c>
      <c r="M1181" s="277">
        <v>21284</v>
      </c>
      <c r="N1181" s="278">
        <v>44358</v>
      </c>
      <c r="O1181" s="329" t="s">
        <v>67</v>
      </c>
      <c r="P1181" s="330">
        <f t="shared" ref="P1181:Q1181" si="1177">IF(B1181=0,0,IF(YEAR(B1181)=$Q$1,MONTH(B1181)-$P$1+1,(YEAR(B1181)-$Q$1)*12-$P$1+1+MONTH(B1181)))</f>
        <v>6</v>
      </c>
      <c r="Q1181" s="330">
        <f t="shared" si="1177"/>
        <v>5</v>
      </c>
      <c r="R1181" s="331" t="str">
        <f t="shared" si="1"/>
        <v>Gastos_Gerais</v>
      </c>
      <c r="S1181" s="331" t="str">
        <f>IF(D1181="","",IF(OR(D1181=Plano!$A$1,D1181=Plano!$B$1),"entrada","saída"))</f>
        <v>saída</v>
      </c>
      <c r="T1181" s="332" t="s">
        <v>1059</v>
      </c>
      <c r="U1181" s="332">
        <v>1117</v>
      </c>
      <c r="V1181" s="344"/>
    </row>
    <row r="1182" spans="1:22" ht="48.75" customHeight="1" x14ac:dyDescent="0.2">
      <c r="A1182" s="277">
        <f>IF(B1182="","",COUNT('Diário 5º PA'!$A$5:$A$2634)+ROW()-4)</f>
        <v>2489</v>
      </c>
      <c r="B1182" s="278">
        <v>44372</v>
      </c>
      <c r="C1182" s="256">
        <v>44317</v>
      </c>
      <c r="D1182" s="255" t="s">
        <v>88</v>
      </c>
      <c r="E1182" s="255" t="s">
        <v>169</v>
      </c>
      <c r="F1182" s="258">
        <v>882.78</v>
      </c>
      <c r="G1182" s="255" t="s">
        <v>5079</v>
      </c>
      <c r="H1182" s="255" t="s">
        <v>114</v>
      </c>
      <c r="I1182" s="250" t="s">
        <v>488</v>
      </c>
      <c r="J1182" s="255" t="s">
        <v>114</v>
      </c>
      <c r="K1182" s="255" t="s">
        <v>466</v>
      </c>
      <c r="L1182" s="250" t="s">
        <v>489</v>
      </c>
      <c r="M1182" s="277" t="s">
        <v>114</v>
      </c>
      <c r="N1182" s="278">
        <v>44347</v>
      </c>
      <c r="O1182" s="329" t="s">
        <v>67</v>
      </c>
      <c r="P1182" s="330">
        <f t="shared" ref="P1182:Q1182" si="1178">IF(B1182=0,0,IF(YEAR(B1182)=$Q$1,MONTH(B1182)-$P$1+1,(YEAR(B1182)-$Q$1)*12-$P$1+1+MONTH(B1182)))</f>
        <v>6</v>
      </c>
      <c r="Q1182" s="330">
        <f t="shared" si="1178"/>
        <v>5</v>
      </c>
      <c r="R1182" s="331" t="str">
        <f t="shared" si="1"/>
        <v>Gastos_com_Pessoal</v>
      </c>
      <c r="S1182" s="331" t="str">
        <f>IF(D1182="","",IF(OR(D1182=Plano!$A$1,D1182=Plano!$B$1),"entrada","saída"))</f>
        <v>saída</v>
      </c>
      <c r="T1182" s="332" t="s">
        <v>114</v>
      </c>
      <c r="U1182" s="332" t="s">
        <v>114</v>
      </c>
      <c r="V1182" s="344"/>
    </row>
    <row r="1183" spans="1:22" ht="55.5" customHeight="1" x14ac:dyDescent="0.2">
      <c r="A1183" s="277">
        <f>IF(B1183="","",COUNT('Diário 5º PA'!$A$5:$A$2634)+ROW()-4)</f>
        <v>2490</v>
      </c>
      <c r="B1183" s="278">
        <v>44372</v>
      </c>
      <c r="C1183" s="256">
        <v>44317</v>
      </c>
      <c r="D1183" s="255" t="s">
        <v>99</v>
      </c>
      <c r="E1183" s="255" t="s">
        <v>276</v>
      </c>
      <c r="F1183" s="258">
        <v>135.75</v>
      </c>
      <c r="G1183" s="255" t="s">
        <v>5080</v>
      </c>
      <c r="H1183" s="255" t="s">
        <v>114</v>
      </c>
      <c r="I1183" s="252" t="s">
        <v>488</v>
      </c>
      <c r="J1183" s="252" t="s">
        <v>114</v>
      </c>
      <c r="K1183" s="252" t="s">
        <v>466</v>
      </c>
      <c r="L1183" s="252" t="s">
        <v>489</v>
      </c>
      <c r="M1183" s="277" t="s">
        <v>114</v>
      </c>
      <c r="N1183" s="278">
        <v>44347</v>
      </c>
      <c r="O1183" s="329" t="s">
        <v>67</v>
      </c>
      <c r="P1183" s="330">
        <f t="shared" ref="P1183:Q1183" si="1179">IF(B1183=0,0,IF(YEAR(B1183)=$Q$1,MONTH(B1183)-$P$1+1,(YEAR(B1183)-$Q$1)*12-$P$1+1+MONTH(B1183)))</f>
        <v>6</v>
      </c>
      <c r="Q1183" s="330">
        <f t="shared" si="1179"/>
        <v>5</v>
      </c>
      <c r="R1183" s="331" t="str">
        <f t="shared" si="1"/>
        <v>Gastos_Gerais</v>
      </c>
      <c r="S1183" s="331" t="str">
        <f>IF(D1183="","",IF(OR(D1183=Plano!$A$1,D1183=Plano!$B$1),"entrada","saída"))</f>
        <v>saída</v>
      </c>
      <c r="T1183" s="332" t="s">
        <v>114</v>
      </c>
      <c r="U1183" s="332" t="s">
        <v>114</v>
      </c>
      <c r="V1183" s="344"/>
    </row>
    <row r="1184" spans="1:22" ht="61.5" customHeight="1" x14ac:dyDescent="0.2">
      <c r="A1184" s="277">
        <f>IF(B1184="","",COUNT('Diário 5º PA'!$A$5:$A$2634)+ROW()-4)</f>
        <v>2491</v>
      </c>
      <c r="B1184" s="278">
        <v>44372</v>
      </c>
      <c r="C1184" s="335">
        <v>44348</v>
      </c>
      <c r="D1184" s="255" t="s">
        <v>99</v>
      </c>
      <c r="E1184" s="255" t="s">
        <v>272</v>
      </c>
      <c r="F1184" s="258">
        <v>10.45</v>
      </c>
      <c r="G1184" s="255" t="s">
        <v>5070</v>
      </c>
      <c r="H1184" s="252" t="s">
        <v>131</v>
      </c>
      <c r="I1184" s="250" t="s">
        <v>949</v>
      </c>
      <c r="J1184" s="255" t="s">
        <v>950</v>
      </c>
      <c r="K1184" s="255" t="s">
        <v>951</v>
      </c>
      <c r="L1184" s="250" t="s">
        <v>947</v>
      </c>
      <c r="M1184" s="336" t="s">
        <v>114</v>
      </c>
      <c r="N1184" s="278">
        <v>44372</v>
      </c>
      <c r="O1184" s="329" t="s">
        <v>67</v>
      </c>
      <c r="P1184" s="330">
        <f t="shared" ref="P1184:Q1184" si="1180">IF(B1184=0,0,IF(YEAR(B1184)=$Q$1,MONTH(B1184)-$P$1+1,(YEAR(B1184)-$Q$1)*12-$P$1+1+MONTH(B1184)))</f>
        <v>6</v>
      </c>
      <c r="Q1184" s="330">
        <f t="shared" si="1180"/>
        <v>6</v>
      </c>
      <c r="R1184" s="331" t="str">
        <f t="shared" si="1"/>
        <v>Gastos_Gerais</v>
      </c>
      <c r="S1184" s="331" t="str">
        <f>IF(D1184="","",IF(OR(D1184=Plano!$A$1,D1184=Plano!$B$1),"entrada","saída"))</f>
        <v>saída</v>
      </c>
      <c r="T1184" s="332" t="s">
        <v>114</v>
      </c>
      <c r="U1184" s="332" t="s">
        <v>114</v>
      </c>
      <c r="V1184" s="344"/>
    </row>
    <row r="1185" spans="1:22" ht="42" customHeight="1" x14ac:dyDescent="0.2">
      <c r="A1185" s="277">
        <f>IF(B1185="","",COUNT('Diário 5º PA'!$A$5:$A$2634)+ROW()-4)</f>
        <v>2492</v>
      </c>
      <c r="B1185" s="278">
        <v>44372</v>
      </c>
      <c r="C1185" s="335">
        <v>44348</v>
      </c>
      <c r="D1185" s="255" t="s">
        <v>99</v>
      </c>
      <c r="E1185" s="255" t="s">
        <v>272</v>
      </c>
      <c r="F1185" s="258">
        <v>10.45</v>
      </c>
      <c r="G1185" s="255" t="s">
        <v>1585</v>
      </c>
      <c r="H1185" s="255" t="s">
        <v>115</v>
      </c>
      <c r="I1185" s="250" t="s">
        <v>949</v>
      </c>
      <c r="J1185" s="255" t="s">
        <v>950</v>
      </c>
      <c r="K1185" s="255" t="s">
        <v>951</v>
      </c>
      <c r="L1185" s="250" t="s">
        <v>947</v>
      </c>
      <c r="M1185" s="336" t="s">
        <v>114</v>
      </c>
      <c r="N1185" s="278">
        <v>44372</v>
      </c>
      <c r="O1185" s="329" t="s">
        <v>67</v>
      </c>
      <c r="P1185" s="330">
        <f t="shared" ref="P1185:Q1185" si="1181">IF(B1185=0,0,IF(YEAR(B1185)=$Q$1,MONTH(B1185)-$P$1+1,(YEAR(B1185)-$Q$1)*12-$P$1+1+MONTH(B1185)))</f>
        <v>6</v>
      </c>
      <c r="Q1185" s="330">
        <f t="shared" si="1181"/>
        <v>6</v>
      </c>
      <c r="R1185" s="331" t="str">
        <f t="shared" si="1"/>
        <v>Gastos_Gerais</v>
      </c>
      <c r="S1185" s="331" t="str">
        <f>IF(D1185="","",IF(OR(D1185=Plano!$A$1,D1185=Plano!$B$1),"entrada","saída"))</f>
        <v>saída</v>
      </c>
      <c r="T1185" s="332" t="s">
        <v>114</v>
      </c>
      <c r="U1185" s="332" t="s">
        <v>114</v>
      </c>
      <c r="V1185" s="344"/>
    </row>
    <row r="1186" spans="1:22" ht="59.25" customHeight="1" x14ac:dyDescent="0.2">
      <c r="A1186" s="277">
        <f>IF(B1186="","",COUNT('Diário 5º PA'!$A$5:$A$2634)+ROW()-4)</f>
        <v>2493</v>
      </c>
      <c r="B1186" s="278">
        <v>44372</v>
      </c>
      <c r="C1186" s="335">
        <v>44317</v>
      </c>
      <c r="D1186" s="255" t="s">
        <v>104</v>
      </c>
      <c r="E1186" s="252" t="s">
        <v>104</v>
      </c>
      <c r="F1186" s="258">
        <v>13.37</v>
      </c>
      <c r="G1186" s="255" t="s">
        <v>5080</v>
      </c>
      <c r="H1186" s="252" t="s">
        <v>104</v>
      </c>
      <c r="I1186" s="250" t="s">
        <v>488</v>
      </c>
      <c r="J1186" s="255" t="s">
        <v>114</v>
      </c>
      <c r="K1186" s="255" t="s">
        <v>466</v>
      </c>
      <c r="L1186" s="250" t="s">
        <v>489</v>
      </c>
      <c r="M1186" s="336" t="s">
        <v>114</v>
      </c>
      <c r="N1186" s="278">
        <v>44347</v>
      </c>
      <c r="O1186" s="329" t="s">
        <v>70</v>
      </c>
      <c r="P1186" s="330">
        <f t="shared" ref="P1186:Q1186" si="1182">IF(B1186=0,0,IF(YEAR(B1186)=$Q$1,MONTH(B1186)-$P$1+1,(YEAR(B1186)-$Q$1)*12-$P$1+1+MONTH(B1186)))</f>
        <v>6</v>
      </c>
      <c r="Q1186" s="330">
        <f t="shared" si="1182"/>
        <v>5</v>
      </c>
      <c r="R1186" s="331" t="str">
        <f t="shared" si="1"/>
        <v>Gastos_custeados_por_captação</v>
      </c>
      <c r="S1186" s="331" t="str">
        <f>IF(D1186="","",IF(OR(D1186=Plano!$A$1,D1186=Plano!$B$1),"entrada","saída"))</f>
        <v>saída</v>
      </c>
      <c r="T1186" s="332" t="s">
        <v>114</v>
      </c>
      <c r="U1186" s="332" t="s">
        <v>114</v>
      </c>
      <c r="V1186" s="344"/>
    </row>
    <row r="1187" spans="1:22" ht="29.25" customHeight="1" x14ac:dyDescent="0.2">
      <c r="A1187" s="277">
        <f>IF(B1187="","",COUNT('Diário 5º PA'!$A$5:$A$2634)+ROW()-4)</f>
        <v>2494</v>
      </c>
      <c r="B1187" s="278">
        <v>44375</v>
      </c>
      <c r="C1187" s="256">
        <v>44348</v>
      </c>
      <c r="D1187" s="255" t="s">
        <v>88</v>
      </c>
      <c r="E1187" s="255" t="s">
        <v>194</v>
      </c>
      <c r="F1187" s="258">
        <v>3624.43</v>
      </c>
      <c r="G1187" s="255" t="s">
        <v>1609</v>
      </c>
      <c r="H1187" s="255" t="s">
        <v>114</v>
      </c>
      <c r="I1187" s="252" t="s">
        <v>532</v>
      </c>
      <c r="J1187" s="255" t="s">
        <v>1261</v>
      </c>
      <c r="K1187" s="255" t="s">
        <v>560</v>
      </c>
      <c r="L1187" s="250" t="s">
        <v>1016</v>
      </c>
      <c r="M1187" s="277">
        <v>179572</v>
      </c>
      <c r="N1187" s="278">
        <v>44378</v>
      </c>
      <c r="O1187" s="329" t="s">
        <v>67</v>
      </c>
      <c r="P1187" s="330">
        <f t="shared" ref="P1187:Q1187" si="1183">IF(B1187=0,0,IF(YEAR(B1187)=$Q$1,MONTH(B1187)-$P$1+1,(YEAR(B1187)-$Q$1)*12-$P$1+1+MONTH(B1187)))</f>
        <v>6</v>
      </c>
      <c r="Q1187" s="330">
        <f t="shared" si="1183"/>
        <v>6</v>
      </c>
      <c r="R1187" s="331" t="str">
        <f t="shared" si="1"/>
        <v>Gastos_com_Pessoal</v>
      </c>
      <c r="S1187" s="331" t="str">
        <f>IF(D1187="","",IF(OR(D1187=Plano!$A$1,D1187=Plano!$B$1),"entrada","saída"))</f>
        <v>saída</v>
      </c>
      <c r="T1187" s="332" t="s">
        <v>114</v>
      </c>
      <c r="U1187" s="332" t="s">
        <v>114</v>
      </c>
      <c r="V1187" s="344"/>
    </row>
    <row r="1188" spans="1:22" ht="33.75" customHeight="1" x14ac:dyDescent="0.2">
      <c r="A1188" s="277">
        <f>IF(B1188="","",COUNT('Diário 5º PA'!$A$5:$A$2634)+ROW()-4)</f>
        <v>2495</v>
      </c>
      <c r="B1188" s="278">
        <v>44375</v>
      </c>
      <c r="C1188" s="256">
        <v>44348</v>
      </c>
      <c r="D1188" s="255" t="s">
        <v>88</v>
      </c>
      <c r="E1188" s="255" t="s">
        <v>194</v>
      </c>
      <c r="F1188" s="258">
        <v>3180.59</v>
      </c>
      <c r="G1188" s="255" t="s">
        <v>1260</v>
      </c>
      <c r="H1188" s="255" t="s">
        <v>114</v>
      </c>
      <c r="I1188" s="250" t="s">
        <v>532</v>
      </c>
      <c r="J1188" s="255" t="s">
        <v>1261</v>
      </c>
      <c r="K1188" s="255" t="s">
        <v>560</v>
      </c>
      <c r="L1188" s="250" t="s">
        <v>1016</v>
      </c>
      <c r="M1188" s="277">
        <v>187993</v>
      </c>
      <c r="N1188" s="278">
        <v>44378</v>
      </c>
      <c r="O1188" s="329" t="s">
        <v>67</v>
      </c>
      <c r="P1188" s="330">
        <f t="shared" ref="P1188:Q1188" si="1184">IF(B1188=0,0,IF(YEAR(B1188)=$Q$1,MONTH(B1188)-$P$1+1,(YEAR(B1188)-$Q$1)*12-$P$1+1+MONTH(B1188)))</f>
        <v>6</v>
      </c>
      <c r="Q1188" s="330">
        <f t="shared" si="1184"/>
        <v>6</v>
      </c>
      <c r="R1188" s="331" t="str">
        <f t="shared" si="1"/>
        <v>Gastos_com_Pessoal</v>
      </c>
      <c r="S1188" s="331" t="str">
        <f>IF(D1188="","",IF(OR(D1188=Plano!$A$1,D1188=Plano!$B$1),"entrada","saída"))</f>
        <v>saída</v>
      </c>
      <c r="T1188" s="332" t="s">
        <v>114</v>
      </c>
      <c r="U1188" s="332" t="s">
        <v>114</v>
      </c>
      <c r="V1188" s="344"/>
    </row>
    <row r="1189" spans="1:22" ht="35.25" customHeight="1" x14ac:dyDescent="0.2">
      <c r="A1189" s="277">
        <f>IF(B1189="","",COUNT('Diário 5º PA'!$A$5:$A$2634)+ROW()-4)</f>
        <v>2496</v>
      </c>
      <c r="B1189" s="278">
        <v>44375</v>
      </c>
      <c r="C1189" s="256">
        <v>44348</v>
      </c>
      <c r="D1189" s="255" t="s">
        <v>99</v>
      </c>
      <c r="E1189" s="255" t="s">
        <v>218</v>
      </c>
      <c r="F1189" s="258">
        <v>94.72</v>
      </c>
      <c r="G1189" s="255" t="s">
        <v>1437</v>
      </c>
      <c r="H1189" s="255" t="s">
        <v>129</v>
      </c>
      <c r="I1189" s="250" t="s">
        <v>515</v>
      </c>
      <c r="J1189" s="255" t="s">
        <v>699</v>
      </c>
      <c r="K1189" s="255" t="s">
        <v>700</v>
      </c>
      <c r="L1189" s="250" t="s">
        <v>697</v>
      </c>
      <c r="M1189" s="277" t="s">
        <v>5081</v>
      </c>
      <c r="N1189" s="278">
        <v>44358</v>
      </c>
      <c r="O1189" s="329" t="s">
        <v>67</v>
      </c>
      <c r="P1189" s="330">
        <f t="shared" ref="P1189:Q1189" si="1185">IF(B1189=0,0,IF(YEAR(B1189)=$Q$1,MONTH(B1189)-$P$1+1,(YEAR(B1189)-$Q$1)*12-$P$1+1+MONTH(B1189)))</f>
        <v>6</v>
      </c>
      <c r="Q1189" s="330">
        <f t="shared" si="1185"/>
        <v>6</v>
      </c>
      <c r="R1189" s="331" t="str">
        <f t="shared" si="1"/>
        <v>Gastos_Gerais</v>
      </c>
      <c r="S1189" s="331" t="str">
        <f>IF(D1189="","",IF(OR(D1189=Plano!$A$1,D1189=Plano!$B$1),"entrada","saída"))</f>
        <v>saída</v>
      </c>
      <c r="T1189" s="332" t="s">
        <v>114</v>
      </c>
      <c r="U1189" s="332" t="s">
        <v>114</v>
      </c>
      <c r="V1189" s="344"/>
    </row>
    <row r="1190" spans="1:22" ht="69.75" customHeight="1" x14ac:dyDescent="0.2">
      <c r="A1190" s="277">
        <f>IF(B1190="","",COUNT('Diário 5º PA'!$A$5:$A$2634)+ROW()-4)</f>
        <v>2497</v>
      </c>
      <c r="B1190" s="278">
        <v>44376</v>
      </c>
      <c r="C1190" s="256">
        <v>44348</v>
      </c>
      <c r="D1190" s="252" t="s">
        <v>99</v>
      </c>
      <c r="E1190" s="252" t="s">
        <v>226</v>
      </c>
      <c r="F1190" s="258">
        <v>-641.76</v>
      </c>
      <c r="G1190" s="255" t="s">
        <v>5082</v>
      </c>
      <c r="H1190" s="255" t="s">
        <v>115</v>
      </c>
      <c r="I1190" s="250" t="s">
        <v>983</v>
      </c>
      <c r="J1190" s="255" t="s">
        <v>850</v>
      </c>
      <c r="K1190" s="255" t="s">
        <v>1069</v>
      </c>
      <c r="L1190" s="250" t="s">
        <v>947</v>
      </c>
      <c r="M1190" s="277" t="s">
        <v>114</v>
      </c>
      <c r="N1190" s="278">
        <v>44376</v>
      </c>
      <c r="O1190" s="329" t="s">
        <v>67</v>
      </c>
      <c r="P1190" s="330">
        <f t="shared" ref="P1190:Q1190" si="1186">IF(B1190=0,0,IF(YEAR(B1190)=$Q$1,MONTH(B1190)-$P$1+1,(YEAR(B1190)-$Q$1)*12-$P$1+1+MONTH(B1190)))</f>
        <v>6</v>
      </c>
      <c r="Q1190" s="330">
        <f t="shared" si="1186"/>
        <v>6</v>
      </c>
      <c r="R1190" s="331" t="str">
        <f t="shared" si="1"/>
        <v>Gastos_Gerais</v>
      </c>
      <c r="S1190" s="331" t="str">
        <f>IF(D1190="","",IF(OR(D1190=Plano!$A$1,D1190=Plano!$B$1),"entrada","saída"))</f>
        <v>saída</v>
      </c>
      <c r="T1190" s="332" t="s">
        <v>114</v>
      </c>
      <c r="U1190" s="332" t="s">
        <v>114</v>
      </c>
      <c r="V1190" s="344"/>
    </row>
    <row r="1191" spans="1:22" ht="156" customHeight="1" x14ac:dyDescent="0.2">
      <c r="A1191" s="277">
        <f>IF(B1191="","",COUNT('Diário 5º PA'!$A$5:$A$2634)+ROW()-4)</f>
        <v>2498</v>
      </c>
      <c r="B1191" s="278">
        <v>44376</v>
      </c>
      <c r="C1191" s="259">
        <v>44317</v>
      </c>
      <c r="D1191" s="252" t="s">
        <v>99</v>
      </c>
      <c r="E1191" s="252" t="s">
        <v>364</v>
      </c>
      <c r="F1191" s="257">
        <v>5219.3599999999997</v>
      </c>
      <c r="G1191" s="252" t="s">
        <v>5083</v>
      </c>
      <c r="H1191" s="252" t="s">
        <v>131</v>
      </c>
      <c r="I1191" s="250" t="s">
        <v>1397</v>
      </c>
      <c r="J1191" s="250" t="s">
        <v>1398</v>
      </c>
      <c r="K1191" s="255" t="s">
        <v>1015</v>
      </c>
      <c r="L1191" s="250" t="s">
        <v>1177</v>
      </c>
      <c r="M1191" s="278" t="s">
        <v>114</v>
      </c>
      <c r="N1191" s="278">
        <v>44375</v>
      </c>
      <c r="O1191" s="329" t="s">
        <v>67</v>
      </c>
      <c r="P1191" s="330">
        <f t="shared" ref="P1191:Q1191" si="1187">IF(B1191=0,0,IF(YEAR(B1191)=$Q$1,MONTH(B1191)-$P$1+1,(YEAR(B1191)-$Q$1)*12-$P$1+1+MONTH(B1191)))</f>
        <v>6</v>
      </c>
      <c r="Q1191" s="330">
        <f t="shared" si="1187"/>
        <v>5</v>
      </c>
      <c r="R1191" s="351" t="str">
        <f t="shared" si="1"/>
        <v>Gastos_Gerais</v>
      </c>
      <c r="S1191" s="351" t="str">
        <f>IF(D1191="","",IF(OR(D1191=Plano!$A$1,D1191=Plano!$B$1),"entrada","saída"))</f>
        <v>saída</v>
      </c>
      <c r="T1191" s="334" t="s">
        <v>1059</v>
      </c>
      <c r="U1191" s="334">
        <v>1558</v>
      </c>
      <c r="V1191" s="344"/>
    </row>
    <row r="1192" spans="1:22" ht="141.75" customHeight="1" x14ac:dyDescent="0.2">
      <c r="A1192" s="277">
        <f>IF(B1192="","",COUNT('Diário 5º PA'!$A$5:$A$2634)+ROW()-4)</f>
        <v>2499</v>
      </c>
      <c r="B1192" s="278">
        <v>44376</v>
      </c>
      <c r="C1192" s="259">
        <v>44348</v>
      </c>
      <c r="D1192" s="252" t="s">
        <v>99</v>
      </c>
      <c r="E1192" s="252" t="s">
        <v>226</v>
      </c>
      <c r="F1192" s="257">
        <v>2369.25</v>
      </c>
      <c r="G1192" s="252" t="s">
        <v>5084</v>
      </c>
      <c r="H1192" s="252" t="s">
        <v>115</v>
      </c>
      <c r="I1192" s="250" t="s">
        <v>5085</v>
      </c>
      <c r="J1192" s="250" t="s">
        <v>5086</v>
      </c>
      <c r="K1192" s="255" t="s">
        <v>560</v>
      </c>
      <c r="L1192" s="250" t="s">
        <v>1016</v>
      </c>
      <c r="M1192" s="277" t="s">
        <v>5087</v>
      </c>
      <c r="N1192" s="278">
        <v>44376</v>
      </c>
      <c r="O1192" s="329" t="s">
        <v>67</v>
      </c>
      <c r="P1192" s="330">
        <f t="shared" ref="P1192:Q1192" si="1188">IF(B1192=0,0,IF(YEAR(B1192)=$Q$1,MONTH(B1192)-$P$1+1,(YEAR(B1192)-$Q$1)*12-$P$1+1+MONTH(B1192)))</f>
        <v>6</v>
      </c>
      <c r="Q1192" s="330">
        <f t="shared" si="1188"/>
        <v>6</v>
      </c>
      <c r="R1192" s="351" t="str">
        <f t="shared" si="1"/>
        <v>Gastos_Gerais</v>
      </c>
      <c r="S1192" s="351" t="str">
        <f>IF(D1192="","",IF(OR(D1192=Plano!$A$1,D1192=Plano!$B$1),"entrada","saída"))</f>
        <v>saída</v>
      </c>
      <c r="T1192" s="334" t="s">
        <v>994</v>
      </c>
      <c r="U1192" s="334">
        <v>1694</v>
      </c>
      <c r="V1192" s="344"/>
    </row>
    <row r="1193" spans="1:22" ht="113.25" customHeight="1" x14ac:dyDescent="0.2">
      <c r="A1193" s="277">
        <f>IF(B1193="","",COUNT('Diário 5º PA'!$A$5:$A$2634)+ROW()-4)</f>
        <v>2500</v>
      </c>
      <c r="B1193" s="278">
        <v>44376</v>
      </c>
      <c r="C1193" s="259">
        <v>44197</v>
      </c>
      <c r="D1193" s="252" t="s">
        <v>99</v>
      </c>
      <c r="E1193" s="252" t="s">
        <v>364</v>
      </c>
      <c r="F1193" s="257">
        <v>1000</v>
      </c>
      <c r="G1193" s="252" t="s">
        <v>5088</v>
      </c>
      <c r="H1193" s="252" t="s">
        <v>124</v>
      </c>
      <c r="I1193" s="252" t="s">
        <v>1334</v>
      </c>
      <c r="J1193" s="250" t="s">
        <v>755</v>
      </c>
      <c r="K1193" s="255" t="s">
        <v>991</v>
      </c>
      <c r="L1193" s="250" t="s">
        <v>992</v>
      </c>
      <c r="M1193" s="277" t="s">
        <v>1329</v>
      </c>
      <c r="N1193" s="278">
        <v>44376</v>
      </c>
      <c r="O1193" s="329" t="s">
        <v>67</v>
      </c>
      <c r="P1193" s="330">
        <f t="shared" ref="P1193:Q1193" si="1189">IF(B1193=0,0,IF(YEAR(B1193)=$Q$1,MONTH(B1193)-$P$1+1,(YEAR(B1193)-$Q$1)*12-$P$1+1+MONTH(B1193)))</f>
        <v>6</v>
      </c>
      <c r="Q1193" s="330">
        <f t="shared" si="1189"/>
        <v>1</v>
      </c>
      <c r="R1193" s="351" t="str">
        <f t="shared" si="1"/>
        <v>Gastos_Gerais</v>
      </c>
      <c r="S1193" s="351" t="str">
        <f>IF(D1193="","",IF(OR(D1193=Plano!$A$1,D1193=Plano!$B$1),"entrada","saída"))</f>
        <v>saída</v>
      </c>
      <c r="T1193" s="334" t="s">
        <v>1059</v>
      </c>
      <c r="U1193" s="334">
        <v>1252</v>
      </c>
      <c r="V1193" s="344"/>
    </row>
    <row r="1194" spans="1:22" ht="63" customHeight="1" x14ac:dyDescent="0.2">
      <c r="A1194" s="277">
        <f>IF(B1194="","",COUNT('Diário 5º PA'!$A$5:$A$2634)+ROW()-4)</f>
        <v>2501</v>
      </c>
      <c r="B1194" s="278">
        <v>44376</v>
      </c>
      <c r="C1194" s="256">
        <v>44348</v>
      </c>
      <c r="D1194" s="255" t="s">
        <v>99</v>
      </c>
      <c r="E1194" s="255" t="s">
        <v>272</v>
      </c>
      <c r="F1194" s="258">
        <v>10.45</v>
      </c>
      <c r="G1194" s="255" t="s">
        <v>4729</v>
      </c>
      <c r="H1194" s="252" t="s">
        <v>124</v>
      </c>
      <c r="I1194" s="250" t="s">
        <v>949</v>
      </c>
      <c r="J1194" s="255" t="s">
        <v>950</v>
      </c>
      <c r="K1194" s="255" t="s">
        <v>951</v>
      </c>
      <c r="L1194" s="250" t="s">
        <v>947</v>
      </c>
      <c r="M1194" s="336" t="s">
        <v>114</v>
      </c>
      <c r="N1194" s="278">
        <v>44376</v>
      </c>
      <c r="O1194" s="329" t="s">
        <v>67</v>
      </c>
      <c r="P1194" s="330">
        <f t="shared" ref="P1194:Q1194" si="1190">IF(B1194=0,0,IF(YEAR(B1194)=$Q$1,MONTH(B1194)-$P$1+1,(YEAR(B1194)-$Q$1)*12-$P$1+1+MONTH(B1194)))</f>
        <v>6</v>
      </c>
      <c r="Q1194" s="330">
        <f t="shared" si="1190"/>
        <v>6</v>
      </c>
      <c r="R1194" s="331" t="str">
        <f t="shared" si="1"/>
        <v>Gastos_Gerais</v>
      </c>
      <c r="S1194" s="331" t="str">
        <f>IF(D1194="","",IF(OR(D1194=Plano!$A$1,D1194=Plano!$B$1),"entrada","saída"))</f>
        <v>saída</v>
      </c>
      <c r="T1194" s="332" t="s">
        <v>114</v>
      </c>
      <c r="U1194" s="332" t="s">
        <v>114</v>
      </c>
      <c r="V1194" s="344"/>
    </row>
    <row r="1195" spans="1:22" ht="63" customHeight="1" x14ac:dyDescent="0.2">
      <c r="A1195" s="277">
        <f>IF(B1195="","",COUNT('Diário 5º PA'!$A$5:$A$2634)+ROW()-4)</f>
        <v>2502</v>
      </c>
      <c r="B1195" s="278">
        <v>44377</v>
      </c>
      <c r="C1195" s="256">
        <v>44348</v>
      </c>
      <c r="D1195" s="255" t="s">
        <v>77</v>
      </c>
      <c r="E1195" s="255" t="s">
        <v>147</v>
      </c>
      <c r="F1195" s="258">
        <v>2000</v>
      </c>
      <c r="G1195" s="255" t="s">
        <v>5089</v>
      </c>
      <c r="H1195" s="252" t="s">
        <v>114</v>
      </c>
      <c r="I1195" s="250" t="s">
        <v>983</v>
      </c>
      <c r="J1195" s="255" t="s">
        <v>850</v>
      </c>
      <c r="K1195" s="255" t="s">
        <v>946</v>
      </c>
      <c r="L1195" s="250" t="s">
        <v>947</v>
      </c>
      <c r="M1195" s="279" t="s">
        <v>114</v>
      </c>
      <c r="N1195" s="278">
        <v>44377</v>
      </c>
      <c r="O1195" s="329" t="s">
        <v>70</v>
      </c>
      <c r="P1195" s="330">
        <f t="shared" ref="P1195:Q1195" si="1191">IF(B1195=0,0,IF(YEAR(B1195)=$Q$1,MONTH(B1195)-$P$1+1,(YEAR(B1195)-$Q$1)*12-$P$1+1+MONTH(B1195)))</f>
        <v>6</v>
      </c>
      <c r="Q1195" s="330">
        <f t="shared" si="1191"/>
        <v>6</v>
      </c>
      <c r="R1195" s="331" t="str">
        <f t="shared" si="1"/>
        <v>Receitas</v>
      </c>
      <c r="S1195" s="331" t="str">
        <f>IF(D1195="","",IF(OR(D1195=Plano!$A$1,D1195=Plano!$B$1),"entrada","saída"))</f>
        <v>entrada</v>
      </c>
      <c r="T1195" s="332" t="s">
        <v>114</v>
      </c>
      <c r="U1195" s="332" t="s">
        <v>114</v>
      </c>
      <c r="V1195" s="344"/>
    </row>
    <row r="1196" spans="1:22" ht="63" customHeight="1" x14ac:dyDescent="0.2">
      <c r="A1196" s="277">
        <f>IF(B1196="","",COUNT('Diário 5º PA'!$A$5:$A$2634)+ROW()-4)</f>
        <v>2503</v>
      </c>
      <c r="B1196" s="278">
        <v>44377</v>
      </c>
      <c r="C1196" s="256">
        <v>44348</v>
      </c>
      <c r="D1196" s="255" t="s">
        <v>77</v>
      </c>
      <c r="E1196" s="255" t="s">
        <v>147</v>
      </c>
      <c r="F1196" s="258">
        <v>2000</v>
      </c>
      <c r="G1196" s="255" t="s">
        <v>5089</v>
      </c>
      <c r="H1196" s="252" t="s">
        <v>114</v>
      </c>
      <c r="I1196" s="250" t="s">
        <v>983</v>
      </c>
      <c r="J1196" s="255" t="s">
        <v>850</v>
      </c>
      <c r="K1196" s="255" t="s">
        <v>946</v>
      </c>
      <c r="L1196" s="250" t="s">
        <v>947</v>
      </c>
      <c r="M1196" s="279" t="s">
        <v>114</v>
      </c>
      <c r="N1196" s="278">
        <v>44377</v>
      </c>
      <c r="O1196" s="329" t="s">
        <v>70</v>
      </c>
      <c r="P1196" s="330">
        <f t="shared" ref="P1196:Q1196" si="1192">IF(B1196=0,0,IF(YEAR(B1196)=$Q$1,MONTH(B1196)-$P$1+1,(YEAR(B1196)-$Q$1)*12-$P$1+1+MONTH(B1196)))</f>
        <v>6</v>
      </c>
      <c r="Q1196" s="330">
        <f t="shared" si="1192"/>
        <v>6</v>
      </c>
      <c r="R1196" s="331" t="str">
        <f t="shared" si="1"/>
        <v>Receitas</v>
      </c>
      <c r="S1196" s="331" t="str">
        <f>IF(D1196="","",IF(OR(D1196=Plano!$A$1,D1196=Plano!$B$1),"entrada","saída"))</f>
        <v>entrada</v>
      </c>
      <c r="T1196" s="332" t="s">
        <v>114</v>
      </c>
      <c r="U1196" s="332" t="s">
        <v>114</v>
      </c>
      <c r="V1196" s="344"/>
    </row>
    <row r="1197" spans="1:22" ht="96" customHeight="1" x14ac:dyDescent="0.2">
      <c r="A1197" s="277">
        <f>IF(B1197="","",COUNT('Diário 5º PA'!$A$5:$A$2634)+ROW()-4)</f>
        <v>2504</v>
      </c>
      <c r="B1197" s="278">
        <v>44377</v>
      </c>
      <c r="C1197" s="259">
        <v>44348</v>
      </c>
      <c r="D1197" s="252" t="s">
        <v>99</v>
      </c>
      <c r="E1197" s="252" t="s">
        <v>330</v>
      </c>
      <c r="F1197" s="257">
        <v>150</v>
      </c>
      <c r="G1197" s="252" t="s">
        <v>3231</v>
      </c>
      <c r="H1197" s="252" t="s">
        <v>115</v>
      </c>
      <c r="I1197" s="252" t="s">
        <v>1640</v>
      </c>
      <c r="J1197" s="250" t="s">
        <v>452</v>
      </c>
      <c r="K1197" s="255" t="s">
        <v>560</v>
      </c>
      <c r="L1197" s="250" t="s">
        <v>992</v>
      </c>
      <c r="M1197" s="277">
        <v>29092</v>
      </c>
      <c r="N1197" s="278">
        <v>44349</v>
      </c>
      <c r="O1197" s="329" t="s">
        <v>67</v>
      </c>
      <c r="P1197" s="330">
        <f t="shared" ref="P1197:Q1197" si="1193">IF(B1197=0,0,IF(YEAR(B1197)=$Q$1,MONTH(B1197)-$P$1+1,(YEAR(B1197)-$Q$1)*12-$P$1+1+MONTH(B1197)))</f>
        <v>6</v>
      </c>
      <c r="Q1197" s="330">
        <f t="shared" si="1193"/>
        <v>6</v>
      </c>
      <c r="R1197" s="351" t="str">
        <f t="shared" si="1"/>
        <v>Gastos_Gerais</v>
      </c>
      <c r="S1197" s="351" t="str">
        <f>IF(D1197="","",IF(OR(D1197=Plano!$A$1,D1197=Plano!$B$1),"entrada","saída"))</f>
        <v>saída</v>
      </c>
      <c r="T1197" s="334" t="s">
        <v>994</v>
      </c>
      <c r="U1197" s="334">
        <v>1145</v>
      </c>
      <c r="V1197" s="344"/>
    </row>
    <row r="1198" spans="1:22" ht="130.5" customHeight="1" x14ac:dyDescent="0.2">
      <c r="A1198" s="277">
        <f>IF(B1198="","",COUNT('Diário 5º PA'!$A$5:$A$2634)+ROW()-4)</f>
        <v>2505</v>
      </c>
      <c r="B1198" s="278">
        <v>44377</v>
      </c>
      <c r="C1198" s="259">
        <v>44348</v>
      </c>
      <c r="D1198" s="252" t="s">
        <v>99</v>
      </c>
      <c r="E1198" s="252" t="s">
        <v>336</v>
      </c>
      <c r="F1198" s="257">
        <v>2300</v>
      </c>
      <c r="G1198" s="252" t="s">
        <v>5090</v>
      </c>
      <c r="H1198" s="252" t="s">
        <v>116</v>
      </c>
      <c r="I1198" s="252" t="s">
        <v>3681</v>
      </c>
      <c r="J1198" s="250" t="s">
        <v>2615</v>
      </c>
      <c r="K1198" s="255" t="s">
        <v>991</v>
      </c>
      <c r="L1198" s="250" t="s">
        <v>1016</v>
      </c>
      <c r="M1198" s="277">
        <v>29</v>
      </c>
      <c r="N1198" s="278">
        <v>44370</v>
      </c>
      <c r="O1198" s="329" t="s">
        <v>67</v>
      </c>
      <c r="P1198" s="330">
        <f t="shared" ref="P1198:Q1198" si="1194">IF(B1198=0,0,IF(YEAR(B1198)=$Q$1,MONTH(B1198)-$P$1+1,(YEAR(B1198)-$Q$1)*12-$P$1+1+MONTH(B1198)))</f>
        <v>6</v>
      </c>
      <c r="Q1198" s="330">
        <f t="shared" si="1194"/>
        <v>6</v>
      </c>
      <c r="R1198" s="351" t="str">
        <f t="shared" si="1"/>
        <v>Gastos_Gerais</v>
      </c>
      <c r="S1198" s="351" t="str">
        <f>IF(D1198="","",IF(OR(D1198=Plano!$A$1,D1198=Plano!$B$1),"entrada","saída"))</f>
        <v>saída</v>
      </c>
      <c r="T1198" s="334" t="s">
        <v>994</v>
      </c>
      <c r="U1198" s="334">
        <v>1411</v>
      </c>
      <c r="V1198" s="344"/>
    </row>
    <row r="1199" spans="1:22" ht="159" customHeight="1" x14ac:dyDescent="0.2">
      <c r="A1199" s="277">
        <f>IF(B1199="","",COUNT('Diário 5º PA'!$A$5:$A$2634)+ROW()-4)</f>
        <v>2506</v>
      </c>
      <c r="B1199" s="278">
        <v>44377</v>
      </c>
      <c r="C1199" s="259">
        <v>44348</v>
      </c>
      <c r="D1199" s="252" t="s">
        <v>99</v>
      </c>
      <c r="E1199" s="252" t="s">
        <v>336</v>
      </c>
      <c r="F1199" s="257">
        <v>2300</v>
      </c>
      <c r="G1199" s="252" t="s">
        <v>5090</v>
      </c>
      <c r="H1199" s="252" t="s">
        <v>116</v>
      </c>
      <c r="I1199" s="252" t="s">
        <v>3711</v>
      </c>
      <c r="J1199" s="250" t="s">
        <v>2617</v>
      </c>
      <c r="K1199" s="255" t="s">
        <v>991</v>
      </c>
      <c r="L1199" s="250" t="s">
        <v>1016</v>
      </c>
      <c r="M1199" s="277">
        <v>33</v>
      </c>
      <c r="N1199" s="278">
        <v>44369</v>
      </c>
      <c r="O1199" s="329" t="s">
        <v>67</v>
      </c>
      <c r="P1199" s="330">
        <f t="shared" ref="P1199:Q1199" si="1195">IF(B1199=0,0,IF(YEAR(B1199)=$Q$1,MONTH(B1199)-$P$1+1,(YEAR(B1199)-$Q$1)*12-$P$1+1+MONTH(B1199)))</f>
        <v>6</v>
      </c>
      <c r="Q1199" s="330">
        <f t="shared" si="1195"/>
        <v>6</v>
      </c>
      <c r="R1199" s="351" t="str">
        <f t="shared" si="1"/>
        <v>Gastos_Gerais</v>
      </c>
      <c r="S1199" s="351" t="str">
        <f>IF(D1199="","",IF(OR(D1199=Plano!$A$1,D1199=Plano!$B$1),"entrada","saída"))</f>
        <v>saída</v>
      </c>
      <c r="T1199" s="334" t="s">
        <v>994</v>
      </c>
      <c r="U1199" s="334">
        <v>1417</v>
      </c>
      <c r="V1199" s="344"/>
    </row>
    <row r="1200" spans="1:22" ht="158.25" customHeight="1" x14ac:dyDescent="0.2">
      <c r="A1200" s="277">
        <f>IF(B1200="","",COUNT('Diário 5º PA'!$A$5:$A$2634)+ROW()-4)</f>
        <v>2507</v>
      </c>
      <c r="B1200" s="278">
        <v>44377</v>
      </c>
      <c r="C1200" s="259">
        <v>44348</v>
      </c>
      <c r="D1200" s="252" t="s">
        <v>99</v>
      </c>
      <c r="E1200" s="252" t="s">
        <v>336</v>
      </c>
      <c r="F1200" s="257">
        <v>2300</v>
      </c>
      <c r="G1200" s="252" t="s">
        <v>5090</v>
      </c>
      <c r="H1200" s="252" t="s">
        <v>116</v>
      </c>
      <c r="I1200" s="252" t="s">
        <v>4123</v>
      </c>
      <c r="J1200" s="250" t="s">
        <v>2641</v>
      </c>
      <c r="K1200" s="255" t="s">
        <v>991</v>
      </c>
      <c r="L1200" s="250" t="s">
        <v>1016</v>
      </c>
      <c r="M1200" s="277" t="s">
        <v>1058</v>
      </c>
      <c r="N1200" s="278">
        <v>44369</v>
      </c>
      <c r="O1200" s="329" t="s">
        <v>67</v>
      </c>
      <c r="P1200" s="330">
        <f t="shared" ref="P1200:Q1200" si="1196">IF(B1200=0,0,IF(YEAR(B1200)=$Q$1,MONTH(B1200)-$P$1+1,(YEAR(B1200)-$Q$1)*12-$P$1+1+MONTH(B1200)))</f>
        <v>6</v>
      </c>
      <c r="Q1200" s="330">
        <f t="shared" si="1196"/>
        <v>6</v>
      </c>
      <c r="R1200" s="351" t="str">
        <f t="shared" si="1"/>
        <v>Gastos_Gerais</v>
      </c>
      <c r="S1200" s="351" t="str">
        <f>IF(D1200="","",IF(OR(D1200=Plano!$A$1,D1200=Plano!$B$1),"entrada","saída"))</f>
        <v>saída</v>
      </c>
      <c r="T1200" s="334" t="s">
        <v>994</v>
      </c>
      <c r="U1200" s="334">
        <v>1419</v>
      </c>
      <c r="V1200" s="344"/>
    </row>
    <row r="1201" spans="1:22" ht="138.75" customHeight="1" x14ac:dyDescent="0.2">
      <c r="A1201" s="277">
        <f>IF(B1201="","",COUNT('Diário 5º PA'!$A$5:$A$2634)+ROW()-4)</f>
        <v>2508</v>
      </c>
      <c r="B1201" s="278">
        <v>44377</v>
      </c>
      <c r="C1201" s="259">
        <v>44348</v>
      </c>
      <c r="D1201" s="252" t="s">
        <v>99</v>
      </c>
      <c r="E1201" s="252" t="s">
        <v>336</v>
      </c>
      <c r="F1201" s="257">
        <v>2300</v>
      </c>
      <c r="G1201" s="252" t="s">
        <v>5090</v>
      </c>
      <c r="H1201" s="252" t="s">
        <v>116</v>
      </c>
      <c r="I1201" s="252" t="s">
        <v>4210</v>
      </c>
      <c r="J1201" s="250" t="s">
        <v>2923</v>
      </c>
      <c r="K1201" s="255" t="s">
        <v>991</v>
      </c>
      <c r="L1201" s="250" t="s">
        <v>1016</v>
      </c>
      <c r="M1201" s="277" t="s">
        <v>1294</v>
      </c>
      <c r="N1201" s="278">
        <v>44372</v>
      </c>
      <c r="O1201" s="329" t="s">
        <v>67</v>
      </c>
      <c r="P1201" s="330">
        <f t="shared" ref="P1201:Q1201" si="1197">IF(B1201=0,0,IF(YEAR(B1201)=$Q$1,MONTH(B1201)-$P$1+1,(YEAR(B1201)-$Q$1)*12-$P$1+1+MONTH(B1201)))</f>
        <v>6</v>
      </c>
      <c r="Q1201" s="330">
        <f t="shared" si="1197"/>
        <v>6</v>
      </c>
      <c r="R1201" s="351" t="str">
        <f t="shared" si="1"/>
        <v>Gastos_Gerais</v>
      </c>
      <c r="S1201" s="351" t="str">
        <f>IF(D1201="","",IF(OR(D1201=Plano!$A$1,D1201=Plano!$B$1),"entrada","saída"))</f>
        <v>saída</v>
      </c>
      <c r="T1201" s="334" t="s">
        <v>994</v>
      </c>
      <c r="U1201" s="334">
        <v>1421</v>
      </c>
      <c r="V1201" s="344"/>
    </row>
    <row r="1202" spans="1:22" ht="154.5" customHeight="1" x14ac:dyDescent="0.2">
      <c r="A1202" s="277">
        <f>IF(B1202="","",COUNT('Diário 5º PA'!$A$5:$A$2634)+ROW()-4)</f>
        <v>2509</v>
      </c>
      <c r="B1202" s="278">
        <v>44377</v>
      </c>
      <c r="C1202" s="259">
        <v>44348</v>
      </c>
      <c r="D1202" s="252" t="s">
        <v>99</v>
      </c>
      <c r="E1202" s="252" t="s">
        <v>336</v>
      </c>
      <c r="F1202" s="257">
        <v>2300</v>
      </c>
      <c r="G1202" s="252" t="s">
        <v>5090</v>
      </c>
      <c r="H1202" s="252" t="s">
        <v>116</v>
      </c>
      <c r="I1202" s="252" t="s">
        <v>3719</v>
      </c>
      <c r="J1202" s="250" t="s">
        <v>2643</v>
      </c>
      <c r="K1202" s="255" t="s">
        <v>991</v>
      </c>
      <c r="L1202" s="250" t="s">
        <v>1016</v>
      </c>
      <c r="M1202" s="277" t="s">
        <v>1294</v>
      </c>
      <c r="N1202" s="278">
        <v>44369</v>
      </c>
      <c r="O1202" s="329" t="s">
        <v>67</v>
      </c>
      <c r="P1202" s="330">
        <f t="shared" ref="P1202:Q1202" si="1198">IF(B1202=0,0,IF(YEAR(B1202)=$Q$1,MONTH(B1202)-$P$1+1,(YEAR(B1202)-$Q$1)*12-$P$1+1+MONTH(B1202)))</f>
        <v>6</v>
      </c>
      <c r="Q1202" s="330">
        <f t="shared" si="1198"/>
        <v>6</v>
      </c>
      <c r="R1202" s="351" t="str">
        <f t="shared" si="1"/>
        <v>Gastos_Gerais</v>
      </c>
      <c r="S1202" s="351" t="str">
        <f>IF(D1202="","",IF(OR(D1202=Plano!$A$1,D1202=Plano!$B$1),"entrada","saída"))</f>
        <v>saída</v>
      </c>
      <c r="T1202" s="334" t="s">
        <v>994</v>
      </c>
      <c r="U1202" s="334">
        <v>1423</v>
      </c>
      <c r="V1202" s="344"/>
    </row>
    <row r="1203" spans="1:22" ht="146.25" customHeight="1" x14ac:dyDescent="0.2">
      <c r="A1203" s="277">
        <f>IF(B1203="","",COUNT('Diário 5º PA'!$A$5:$A$2634)+ROW()-4)</f>
        <v>2510</v>
      </c>
      <c r="B1203" s="278">
        <v>44377</v>
      </c>
      <c r="C1203" s="259">
        <v>44348</v>
      </c>
      <c r="D1203" s="252" t="s">
        <v>99</v>
      </c>
      <c r="E1203" s="252" t="s">
        <v>336</v>
      </c>
      <c r="F1203" s="257">
        <v>2300</v>
      </c>
      <c r="G1203" s="252" t="s">
        <v>5090</v>
      </c>
      <c r="H1203" s="252" t="s">
        <v>116</v>
      </c>
      <c r="I1203" s="252" t="s">
        <v>3714</v>
      </c>
      <c r="J1203" s="250" t="s">
        <v>2496</v>
      </c>
      <c r="K1203" s="255" t="s">
        <v>991</v>
      </c>
      <c r="L1203" s="250" t="s">
        <v>1016</v>
      </c>
      <c r="M1203" s="277">
        <v>70</v>
      </c>
      <c r="N1203" s="278">
        <v>44369</v>
      </c>
      <c r="O1203" s="329" t="s">
        <v>67</v>
      </c>
      <c r="P1203" s="330">
        <f t="shared" ref="P1203:Q1203" si="1199">IF(B1203=0,0,IF(YEAR(B1203)=$Q$1,MONTH(B1203)-$P$1+1,(YEAR(B1203)-$Q$1)*12-$P$1+1+MONTH(B1203)))</f>
        <v>6</v>
      </c>
      <c r="Q1203" s="330">
        <f t="shared" si="1199"/>
        <v>6</v>
      </c>
      <c r="R1203" s="351" t="str">
        <f t="shared" si="1"/>
        <v>Gastos_Gerais</v>
      </c>
      <c r="S1203" s="351" t="str">
        <f>IF(D1203="","",IF(OR(D1203=Plano!$A$1,D1203=Plano!$B$1),"entrada","saída"))</f>
        <v>saída</v>
      </c>
      <c r="T1203" s="334" t="s">
        <v>994</v>
      </c>
      <c r="U1203" s="334">
        <v>1406</v>
      </c>
      <c r="V1203" s="344"/>
    </row>
    <row r="1204" spans="1:22" ht="138" customHeight="1" x14ac:dyDescent="0.2">
      <c r="A1204" s="277">
        <f>IF(B1204="","",COUNT('Diário 5º PA'!$A$5:$A$2634)+ROW()-4)</f>
        <v>2511</v>
      </c>
      <c r="B1204" s="278">
        <v>44377</v>
      </c>
      <c r="C1204" s="259">
        <v>44348</v>
      </c>
      <c r="D1204" s="252" t="s">
        <v>99</v>
      </c>
      <c r="E1204" s="252" t="s">
        <v>336</v>
      </c>
      <c r="F1204" s="257">
        <v>2300</v>
      </c>
      <c r="G1204" s="252" t="s">
        <v>5090</v>
      </c>
      <c r="H1204" s="252" t="s">
        <v>116</v>
      </c>
      <c r="I1204" s="252" t="s">
        <v>3748</v>
      </c>
      <c r="J1204" s="250" t="s">
        <v>2637</v>
      </c>
      <c r="K1204" s="255" t="s">
        <v>991</v>
      </c>
      <c r="L1204" s="250" t="s">
        <v>1016</v>
      </c>
      <c r="M1204" s="277" t="s">
        <v>1532</v>
      </c>
      <c r="N1204" s="278">
        <v>44369</v>
      </c>
      <c r="O1204" s="329" t="s">
        <v>67</v>
      </c>
      <c r="P1204" s="330">
        <f t="shared" ref="P1204:Q1204" si="1200">IF(B1204=0,0,IF(YEAR(B1204)=$Q$1,MONTH(B1204)-$P$1+1,(YEAR(B1204)-$Q$1)*12-$P$1+1+MONTH(B1204)))</f>
        <v>6</v>
      </c>
      <c r="Q1204" s="330">
        <f t="shared" si="1200"/>
        <v>6</v>
      </c>
      <c r="R1204" s="351" t="str">
        <f t="shared" si="1"/>
        <v>Gastos_Gerais</v>
      </c>
      <c r="S1204" s="351" t="str">
        <f>IF(D1204="","",IF(OR(D1204=Plano!$A$1,D1204=Plano!$B$1),"entrada","saída"))</f>
        <v>saída</v>
      </c>
      <c r="T1204" s="334" t="s">
        <v>994</v>
      </c>
      <c r="U1204" s="334">
        <v>1414</v>
      </c>
      <c r="V1204" s="344"/>
    </row>
    <row r="1205" spans="1:22" ht="207.75" customHeight="1" x14ac:dyDescent="0.2">
      <c r="A1205" s="277">
        <f>IF(B1205="","",COUNT('Diário 5º PA'!$A$5:$A$2634)+ROW()-4)</f>
        <v>2512</v>
      </c>
      <c r="B1205" s="278">
        <v>44377</v>
      </c>
      <c r="C1205" s="259">
        <v>44348</v>
      </c>
      <c r="D1205" s="252" t="s">
        <v>99</v>
      </c>
      <c r="E1205" s="252" t="s">
        <v>336</v>
      </c>
      <c r="F1205" s="257">
        <v>2231</v>
      </c>
      <c r="G1205" s="252" t="s">
        <v>5091</v>
      </c>
      <c r="H1205" s="252" t="s">
        <v>116</v>
      </c>
      <c r="I1205" s="252" t="s">
        <v>1267</v>
      </c>
      <c r="J1205" s="250" t="s">
        <v>1264</v>
      </c>
      <c r="K1205" s="255" t="s">
        <v>991</v>
      </c>
      <c r="L1205" s="250" t="s">
        <v>1016</v>
      </c>
      <c r="M1205" s="277" t="s">
        <v>5092</v>
      </c>
      <c r="N1205" s="278">
        <v>44370</v>
      </c>
      <c r="O1205" s="329" t="s">
        <v>67</v>
      </c>
      <c r="P1205" s="330">
        <f t="shared" ref="P1205:Q1205" si="1201">IF(B1205=0,0,IF(YEAR(B1205)=$Q$1,MONTH(B1205)-$P$1+1,(YEAR(B1205)-$Q$1)*12-$P$1+1+MONTH(B1205)))</f>
        <v>6</v>
      </c>
      <c r="Q1205" s="330">
        <f t="shared" si="1201"/>
        <v>6</v>
      </c>
      <c r="R1205" s="351" t="str">
        <f t="shared" si="1"/>
        <v>Gastos_Gerais</v>
      </c>
      <c r="S1205" s="351" t="str">
        <f>IF(D1205="","",IF(OR(D1205=Plano!$A$1,D1205=Plano!$B$1),"entrada","saída"))</f>
        <v>saída</v>
      </c>
      <c r="T1205" s="334" t="s">
        <v>994</v>
      </c>
      <c r="U1205" s="334">
        <v>1420</v>
      </c>
      <c r="V1205" s="344"/>
    </row>
    <row r="1206" spans="1:22" ht="149.25" customHeight="1" x14ac:dyDescent="0.2">
      <c r="A1206" s="277">
        <f>IF(B1206="","",COUNT('Diário 5º PA'!$A$5:$A$2634)+ROW()-4)</f>
        <v>2513</v>
      </c>
      <c r="B1206" s="278">
        <v>44377</v>
      </c>
      <c r="C1206" s="259">
        <v>44348</v>
      </c>
      <c r="D1206" s="252" t="s">
        <v>99</v>
      </c>
      <c r="E1206" s="252" t="s">
        <v>336</v>
      </c>
      <c r="F1206" s="257">
        <v>2300</v>
      </c>
      <c r="G1206" s="252" t="s">
        <v>5090</v>
      </c>
      <c r="H1206" s="252" t="s">
        <v>116</v>
      </c>
      <c r="I1206" s="252" t="s">
        <v>3723</v>
      </c>
      <c r="J1206" s="250" t="s">
        <v>2634</v>
      </c>
      <c r="K1206" s="255" t="s">
        <v>991</v>
      </c>
      <c r="L1206" s="250" t="s">
        <v>1016</v>
      </c>
      <c r="M1206" s="277" t="s">
        <v>1049</v>
      </c>
      <c r="N1206" s="278">
        <v>44369</v>
      </c>
      <c r="O1206" s="329" t="s">
        <v>67</v>
      </c>
      <c r="P1206" s="330">
        <f t="shared" ref="P1206:Q1206" si="1202">IF(B1206=0,0,IF(YEAR(B1206)=$Q$1,MONTH(B1206)-$P$1+1,(YEAR(B1206)-$Q$1)*12-$P$1+1+MONTH(B1206)))</f>
        <v>6</v>
      </c>
      <c r="Q1206" s="330">
        <f t="shared" si="1202"/>
        <v>6</v>
      </c>
      <c r="R1206" s="351" t="str">
        <f t="shared" si="1"/>
        <v>Gastos_Gerais</v>
      </c>
      <c r="S1206" s="351" t="str">
        <f>IF(D1206="","",IF(OR(D1206=Plano!$A$1,D1206=Plano!$B$1),"entrada","saída"))</f>
        <v>saída</v>
      </c>
      <c r="T1206" s="334" t="s">
        <v>994</v>
      </c>
      <c r="U1206" s="334">
        <v>1410</v>
      </c>
      <c r="V1206" s="344"/>
    </row>
    <row r="1207" spans="1:22" ht="134.25" customHeight="1" x14ac:dyDescent="0.2">
      <c r="A1207" s="277">
        <f>IF(B1207="","",COUNT('Diário 5º PA'!$A$5:$A$2634)+ROW()-4)</f>
        <v>2514</v>
      </c>
      <c r="B1207" s="278">
        <v>44377</v>
      </c>
      <c r="C1207" s="259">
        <v>44348</v>
      </c>
      <c r="D1207" s="252" t="s">
        <v>99</v>
      </c>
      <c r="E1207" s="252" t="s">
        <v>336</v>
      </c>
      <c r="F1207" s="257">
        <v>2300</v>
      </c>
      <c r="G1207" s="252" t="s">
        <v>5090</v>
      </c>
      <c r="H1207" s="252" t="s">
        <v>116</v>
      </c>
      <c r="I1207" s="252" t="s">
        <v>3722</v>
      </c>
      <c r="J1207" s="250" t="s">
        <v>2632</v>
      </c>
      <c r="K1207" s="255" t="s">
        <v>991</v>
      </c>
      <c r="L1207" s="250" t="s">
        <v>1016</v>
      </c>
      <c r="M1207" s="277" t="s">
        <v>2429</v>
      </c>
      <c r="N1207" s="278">
        <v>44371</v>
      </c>
      <c r="O1207" s="329" t="s">
        <v>67</v>
      </c>
      <c r="P1207" s="330">
        <f t="shared" ref="P1207:Q1207" si="1203">IF(B1207=0,0,IF(YEAR(B1207)=$Q$1,MONTH(B1207)-$P$1+1,(YEAR(B1207)-$Q$1)*12-$P$1+1+MONTH(B1207)))</f>
        <v>6</v>
      </c>
      <c r="Q1207" s="330">
        <f t="shared" si="1203"/>
        <v>6</v>
      </c>
      <c r="R1207" s="351" t="str">
        <f t="shared" si="1"/>
        <v>Gastos_Gerais</v>
      </c>
      <c r="S1207" s="351" t="str">
        <f>IF(D1207="","",IF(OR(D1207=Plano!$A$1,D1207=Plano!$B$1),"entrada","saída"))</f>
        <v>saída</v>
      </c>
      <c r="T1207" s="334" t="s">
        <v>994</v>
      </c>
      <c r="U1207" s="334">
        <v>1409</v>
      </c>
      <c r="V1207" s="344"/>
    </row>
    <row r="1208" spans="1:22" ht="153" customHeight="1" x14ac:dyDescent="0.2">
      <c r="A1208" s="277">
        <f>IF(B1208="","",COUNT('Diário 5º PA'!$A$5:$A$2634)+ROW()-4)</f>
        <v>2515</v>
      </c>
      <c r="B1208" s="278">
        <v>44377</v>
      </c>
      <c r="C1208" s="259">
        <v>44348</v>
      </c>
      <c r="D1208" s="252" t="s">
        <v>99</v>
      </c>
      <c r="E1208" s="252" t="s">
        <v>336</v>
      </c>
      <c r="F1208" s="257">
        <v>2300</v>
      </c>
      <c r="G1208" s="252" t="s">
        <v>5090</v>
      </c>
      <c r="H1208" s="252" t="s">
        <v>116</v>
      </c>
      <c r="I1208" s="252" t="s">
        <v>3718</v>
      </c>
      <c r="J1208" s="250" t="s">
        <v>2662</v>
      </c>
      <c r="K1208" s="255" t="s">
        <v>991</v>
      </c>
      <c r="L1208" s="250" t="s">
        <v>1016</v>
      </c>
      <c r="M1208" s="277" t="s">
        <v>1049</v>
      </c>
      <c r="N1208" s="278">
        <v>44369</v>
      </c>
      <c r="O1208" s="329" t="s">
        <v>67</v>
      </c>
      <c r="P1208" s="330">
        <f t="shared" ref="P1208:Q1208" si="1204">IF(B1208=0,0,IF(YEAR(B1208)=$Q$1,MONTH(B1208)-$P$1+1,(YEAR(B1208)-$Q$1)*12-$P$1+1+MONTH(B1208)))</f>
        <v>6</v>
      </c>
      <c r="Q1208" s="330">
        <f t="shared" si="1204"/>
        <v>6</v>
      </c>
      <c r="R1208" s="351" t="str">
        <f t="shared" si="1"/>
        <v>Gastos_Gerais</v>
      </c>
      <c r="S1208" s="351" t="str">
        <f>IF(D1208="","",IF(OR(D1208=Plano!$A$1,D1208=Plano!$B$1),"entrada","saída"))</f>
        <v>saída</v>
      </c>
      <c r="T1208" s="334" t="s">
        <v>994</v>
      </c>
      <c r="U1208" s="334">
        <v>1422</v>
      </c>
      <c r="V1208" s="344"/>
    </row>
    <row r="1209" spans="1:22" ht="150" customHeight="1" x14ac:dyDescent="0.2">
      <c r="A1209" s="277">
        <f>IF(B1209="","",COUNT('Diário 5º PA'!$A$5:$A$2634)+ROW()-4)</f>
        <v>2516</v>
      </c>
      <c r="B1209" s="278">
        <v>44377</v>
      </c>
      <c r="C1209" s="259">
        <v>44348</v>
      </c>
      <c r="D1209" s="252" t="s">
        <v>99</v>
      </c>
      <c r="E1209" s="252" t="s">
        <v>336</v>
      </c>
      <c r="F1209" s="257">
        <v>2300</v>
      </c>
      <c r="G1209" s="252" t="s">
        <v>5090</v>
      </c>
      <c r="H1209" s="252" t="s">
        <v>116</v>
      </c>
      <c r="I1209" s="252" t="s">
        <v>2890</v>
      </c>
      <c r="J1209" s="250" t="s">
        <v>672</v>
      </c>
      <c r="K1209" s="255" t="s">
        <v>991</v>
      </c>
      <c r="L1209" s="250" t="s">
        <v>1016</v>
      </c>
      <c r="M1209" s="277">
        <v>175</v>
      </c>
      <c r="N1209" s="278">
        <v>44376</v>
      </c>
      <c r="O1209" s="329" t="s">
        <v>67</v>
      </c>
      <c r="P1209" s="330">
        <f t="shared" ref="P1209:Q1209" si="1205">IF(B1209=0,0,IF(YEAR(B1209)=$Q$1,MONTH(B1209)-$P$1+1,(YEAR(B1209)-$Q$1)*12-$P$1+1+MONTH(B1209)))</f>
        <v>6</v>
      </c>
      <c r="Q1209" s="330">
        <f t="shared" si="1205"/>
        <v>6</v>
      </c>
      <c r="R1209" s="351" t="str">
        <f t="shared" si="1"/>
        <v>Gastos_Gerais</v>
      </c>
      <c r="S1209" s="351" t="str">
        <f>IF(D1209="","",IF(OR(D1209=Plano!$A$1,D1209=Plano!$B$1),"entrada","saída"))</f>
        <v>saída</v>
      </c>
      <c r="T1209" s="334" t="s">
        <v>994</v>
      </c>
      <c r="U1209" s="334">
        <v>1412</v>
      </c>
      <c r="V1209" s="344"/>
    </row>
    <row r="1210" spans="1:22" ht="156" customHeight="1" x14ac:dyDescent="0.2">
      <c r="A1210" s="277">
        <f>IF(B1210="","",COUNT('Diário 5º PA'!$A$5:$A$2634)+ROW()-4)</f>
        <v>2517</v>
      </c>
      <c r="B1210" s="278">
        <v>44377</v>
      </c>
      <c r="C1210" s="259">
        <v>44317</v>
      </c>
      <c r="D1210" s="252" t="s">
        <v>99</v>
      </c>
      <c r="E1210" s="252" t="s">
        <v>336</v>
      </c>
      <c r="F1210" s="257">
        <v>2300</v>
      </c>
      <c r="G1210" s="252" t="s">
        <v>4388</v>
      </c>
      <c r="H1210" s="252" t="s">
        <v>116</v>
      </c>
      <c r="I1210" s="252" t="s">
        <v>4121</v>
      </c>
      <c r="J1210" s="250" t="s">
        <v>2673</v>
      </c>
      <c r="K1210" s="255" t="s">
        <v>991</v>
      </c>
      <c r="L1210" s="250" t="s">
        <v>1016</v>
      </c>
      <c r="M1210" s="277" t="s">
        <v>2429</v>
      </c>
      <c r="N1210" s="278">
        <v>44376</v>
      </c>
      <c r="O1210" s="329" t="s">
        <v>67</v>
      </c>
      <c r="P1210" s="330">
        <f t="shared" ref="P1210:Q1210" si="1206">IF(B1210=0,0,IF(YEAR(B1210)=$Q$1,MONTH(B1210)-$P$1+1,(YEAR(B1210)-$Q$1)*12-$P$1+1+MONTH(B1210)))</f>
        <v>6</v>
      </c>
      <c r="Q1210" s="330">
        <f t="shared" si="1206"/>
        <v>5</v>
      </c>
      <c r="R1210" s="351" t="str">
        <f t="shared" si="1"/>
        <v>Gastos_Gerais</v>
      </c>
      <c r="S1210" s="351" t="str">
        <f>IF(D1210="","",IF(OR(D1210=Plano!$A$1,D1210=Plano!$B$1),"entrada","saída"))</f>
        <v>saída</v>
      </c>
      <c r="T1210" s="334" t="s">
        <v>1059</v>
      </c>
      <c r="U1210" s="334">
        <v>1415</v>
      </c>
      <c r="V1210" s="344"/>
    </row>
    <row r="1211" spans="1:22" ht="150" customHeight="1" x14ac:dyDescent="0.2">
      <c r="A1211" s="277">
        <f>IF(B1211="","",COUNT('Diário 5º PA'!$A$5:$A$2634)+ROW()-4)</f>
        <v>2518</v>
      </c>
      <c r="B1211" s="278">
        <v>44377</v>
      </c>
      <c r="C1211" s="259">
        <v>44348</v>
      </c>
      <c r="D1211" s="252" t="s">
        <v>99</v>
      </c>
      <c r="E1211" s="252" t="s">
        <v>336</v>
      </c>
      <c r="F1211" s="257">
        <v>2300</v>
      </c>
      <c r="G1211" s="252" t="s">
        <v>5090</v>
      </c>
      <c r="H1211" s="252" t="s">
        <v>116</v>
      </c>
      <c r="I1211" s="252" t="s">
        <v>4121</v>
      </c>
      <c r="J1211" s="250" t="s">
        <v>2673</v>
      </c>
      <c r="K1211" s="255" t="s">
        <v>991</v>
      </c>
      <c r="L1211" s="250" t="s">
        <v>1016</v>
      </c>
      <c r="M1211" s="277" t="s">
        <v>1407</v>
      </c>
      <c r="N1211" s="278">
        <v>44376</v>
      </c>
      <c r="O1211" s="329" t="s">
        <v>67</v>
      </c>
      <c r="P1211" s="330">
        <f t="shared" ref="P1211:Q1211" si="1207">IF(B1211=0,0,IF(YEAR(B1211)=$Q$1,MONTH(B1211)-$P$1+1,(YEAR(B1211)-$Q$1)*12-$P$1+1+MONTH(B1211)))</f>
        <v>6</v>
      </c>
      <c r="Q1211" s="330">
        <f t="shared" si="1207"/>
        <v>6</v>
      </c>
      <c r="R1211" s="351" t="str">
        <f t="shared" si="1"/>
        <v>Gastos_Gerais</v>
      </c>
      <c r="S1211" s="351" t="str">
        <f>IF(D1211="","",IF(OR(D1211=Plano!$A$1,D1211=Plano!$B$1),"entrada","saída"))</f>
        <v>saída</v>
      </c>
      <c r="T1211" s="334" t="s">
        <v>994</v>
      </c>
      <c r="U1211" s="334">
        <v>1415</v>
      </c>
      <c r="V1211" s="344"/>
    </row>
    <row r="1212" spans="1:22" ht="148.5" customHeight="1" x14ac:dyDescent="0.2">
      <c r="A1212" s="277">
        <f>IF(B1212="","",COUNT('Diário 5º PA'!$A$5:$A$2634)+ROW()-4)</f>
        <v>2519</v>
      </c>
      <c r="B1212" s="278">
        <v>44377</v>
      </c>
      <c r="C1212" s="259">
        <v>44348</v>
      </c>
      <c r="D1212" s="252" t="s">
        <v>99</v>
      </c>
      <c r="E1212" s="252" t="s">
        <v>336</v>
      </c>
      <c r="F1212" s="257">
        <v>2300</v>
      </c>
      <c r="G1212" s="252" t="s">
        <v>5090</v>
      </c>
      <c r="H1212" s="252" t="s">
        <v>116</v>
      </c>
      <c r="I1212" s="252" t="s">
        <v>2745</v>
      </c>
      <c r="J1212" s="250" t="s">
        <v>2746</v>
      </c>
      <c r="K1212" s="255" t="s">
        <v>991</v>
      </c>
      <c r="L1212" s="250" t="s">
        <v>1016</v>
      </c>
      <c r="M1212" s="277" t="s">
        <v>1058</v>
      </c>
      <c r="N1212" s="278">
        <v>44371</v>
      </c>
      <c r="O1212" s="329" t="s">
        <v>67</v>
      </c>
      <c r="P1212" s="330">
        <f t="shared" ref="P1212:Q1212" si="1208">IF(B1212=0,0,IF(YEAR(B1212)=$Q$1,MONTH(B1212)-$P$1+1,(YEAR(B1212)-$Q$1)*12-$P$1+1+MONTH(B1212)))</f>
        <v>6</v>
      </c>
      <c r="Q1212" s="330">
        <f t="shared" si="1208"/>
        <v>6</v>
      </c>
      <c r="R1212" s="351" t="str">
        <f t="shared" si="1"/>
        <v>Gastos_Gerais</v>
      </c>
      <c r="S1212" s="351" t="str">
        <f>IF(D1212="","",IF(OR(D1212=Plano!$A$1,D1212=Plano!$B$1),"entrada","saída"))</f>
        <v>saída</v>
      </c>
      <c r="T1212" s="334" t="s">
        <v>994</v>
      </c>
      <c r="U1212" s="334">
        <v>1418</v>
      </c>
      <c r="V1212" s="344"/>
    </row>
    <row r="1213" spans="1:22" ht="136.5" customHeight="1" x14ac:dyDescent="0.2">
      <c r="A1213" s="277">
        <f>IF(B1213="","",COUNT('Diário 5º PA'!$A$5:$A$2634)+ROW()-4)</f>
        <v>2520</v>
      </c>
      <c r="B1213" s="278">
        <v>44377</v>
      </c>
      <c r="C1213" s="259">
        <v>44348</v>
      </c>
      <c r="D1213" s="252" t="s">
        <v>99</v>
      </c>
      <c r="E1213" s="252" t="s">
        <v>358</v>
      </c>
      <c r="F1213" s="257">
        <v>860</v>
      </c>
      <c r="G1213" s="252" t="s">
        <v>5093</v>
      </c>
      <c r="H1213" s="252" t="s">
        <v>124</v>
      </c>
      <c r="I1213" s="250" t="s">
        <v>5094</v>
      </c>
      <c r="J1213" s="250" t="s">
        <v>5095</v>
      </c>
      <c r="K1213" s="255" t="s">
        <v>991</v>
      </c>
      <c r="L1213" s="250" t="s">
        <v>1016</v>
      </c>
      <c r="M1213" s="277">
        <v>1210</v>
      </c>
      <c r="N1213" s="278">
        <v>44376</v>
      </c>
      <c r="O1213" s="329" t="s">
        <v>67</v>
      </c>
      <c r="P1213" s="330">
        <f t="shared" ref="P1213:Q1213" si="1209">IF(B1213=0,0,IF(YEAR(B1213)=$Q$1,MONTH(B1213)-$P$1+1,(YEAR(B1213)-$Q$1)*12-$P$1+1+MONTH(B1213)))</f>
        <v>6</v>
      </c>
      <c r="Q1213" s="330">
        <f t="shared" si="1209"/>
        <v>6</v>
      </c>
      <c r="R1213" s="351" t="str">
        <f t="shared" si="1"/>
        <v>Gastos_Gerais</v>
      </c>
      <c r="S1213" s="351" t="str">
        <f>IF(D1213="","",IF(OR(D1213=Plano!$A$1,D1213=Plano!$B$1),"entrada","saída"))</f>
        <v>saída</v>
      </c>
      <c r="T1213" s="334" t="s">
        <v>994</v>
      </c>
      <c r="U1213" s="334">
        <v>1667</v>
      </c>
      <c r="V1213" s="344"/>
    </row>
    <row r="1214" spans="1:22" ht="35.25" customHeight="1" x14ac:dyDescent="0.2">
      <c r="A1214" s="277">
        <f>IF(B1214="","",COUNT('Diário 5º PA'!$A$5:$A$2634)+ROW()-4)</f>
        <v>2521</v>
      </c>
      <c r="B1214" s="278">
        <v>44377</v>
      </c>
      <c r="C1214" s="256">
        <v>44348</v>
      </c>
      <c r="D1214" s="255" t="s">
        <v>88</v>
      </c>
      <c r="E1214" s="255" t="s">
        <v>194</v>
      </c>
      <c r="F1214" s="258">
        <v>432.6</v>
      </c>
      <c r="G1214" s="255" t="s">
        <v>5096</v>
      </c>
      <c r="H1214" s="255" t="s">
        <v>114</v>
      </c>
      <c r="I1214" s="250" t="s">
        <v>532</v>
      </c>
      <c r="J1214" s="255" t="s">
        <v>1261</v>
      </c>
      <c r="K1214" s="255" t="s">
        <v>560</v>
      </c>
      <c r="L1214" s="250" t="s">
        <v>1016</v>
      </c>
      <c r="M1214" s="277">
        <v>226569</v>
      </c>
      <c r="N1214" s="278">
        <v>44382</v>
      </c>
      <c r="O1214" s="329" t="s">
        <v>67</v>
      </c>
      <c r="P1214" s="330">
        <f t="shared" ref="P1214:Q1214" si="1210">IF(B1214=0,0,IF(YEAR(B1214)=$Q$1,MONTH(B1214)-$P$1+1,(YEAR(B1214)-$Q$1)*12-$P$1+1+MONTH(B1214)))</f>
        <v>6</v>
      </c>
      <c r="Q1214" s="330">
        <f t="shared" si="1210"/>
        <v>6</v>
      </c>
      <c r="R1214" s="331" t="str">
        <f t="shared" si="1"/>
        <v>Gastos_com_Pessoal</v>
      </c>
      <c r="S1214" s="331" t="str">
        <f>IF(D1214="","",IF(OR(D1214=Plano!$A$1,D1214=Plano!$B$1),"entrada","saída"))</f>
        <v>saída</v>
      </c>
      <c r="T1214" s="332" t="s">
        <v>114</v>
      </c>
      <c r="U1214" s="332" t="s">
        <v>114</v>
      </c>
      <c r="V1214" s="344"/>
    </row>
    <row r="1215" spans="1:22" ht="39" customHeight="1" x14ac:dyDescent="0.2">
      <c r="A1215" s="277">
        <f>IF(B1215="","",COUNT('Diário 5º PA'!$A$5:$A$2634)+ROW()-4)</f>
        <v>2522</v>
      </c>
      <c r="B1215" s="278">
        <v>44377</v>
      </c>
      <c r="C1215" s="335">
        <v>44348</v>
      </c>
      <c r="D1215" s="255" t="s">
        <v>88</v>
      </c>
      <c r="E1215" s="255" t="s">
        <v>192</v>
      </c>
      <c r="F1215" s="258">
        <v>18.170000000000002</v>
      </c>
      <c r="G1215" s="252" t="s">
        <v>5063</v>
      </c>
      <c r="H1215" s="255" t="s">
        <v>114</v>
      </c>
      <c r="I1215" s="252" t="s">
        <v>1032</v>
      </c>
      <c r="J1215" s="252" t="s">
        <v>1033</v>
      </c>
      <c r="K1215" s="255" t="s">
        <v>560</v>
      </c>
      <c r="L1215" s="252" t="s">
        <v>1016</v>
      </c>
      <c r="M1215" s="277" t="s">
        <v>5097</v>
      </c>
      <c r="N1215" s="278">
        <v>44381</v>
      </c>
      <c r="O1215" s="329" t="s">
        <v>67</v>
      </c>
      <c r="P1215" s="386">
        <f t="shared" ref="P1215:Q1215" si="1211">IF(B1215=0,0,IF(YEAR(B1215)=$Q$1,MONTH(B1215)-$P$1+1,(YEAR(B1215)-$Q$1)*12-$P$1+1+MONTH(B1215)))</f>
        <v>6</v>
      </c>
      <c r="Q1215" s="330">
        <f t="shared" si="1211"/>
        <v>6</v>
      </c>
      <c r="R1215" s="331" t="str">
        <f t="shared" si="1"/>
        <v>Gastos_com_Pessoal</v>
      </c>
      <c r="S1215" s="331" t="str">
        <f>IF(D1215="","",IF(OR(D1215=Plano!$A$1,D1215=Plano!$B$1),"entrada","saída"))</f>
        <v>saída</v>
      </c>
      <c r="T1215" s="332" t="s">
        <v>114</v>
      </c>
      <c r="U1215" s="332" t="s">
        <v>114</v>
      </c>
      <c r="V1215" s="344"/>
    </row>
    <row r="1216" spans="1:22" ht="144.75" customHeight="1" x14ac:dyDescent="0.2">
      <c r="A1216" s="277">
        <f>IF(B1216="","",COUNT('Diário 5º PA'!$A$5:$A$2634)+ROW()-4)</f>
        <v>2523</v>
      </c>
      <c r="B1216" s="278">
        <v>44377</v>
      </c>
      <c r="C1216" s="259">
        <v>44348</v>
      </c>
      <c r="D1216" s="252" t="s">
        <v>99</v>
      </c>
      <c r="E1216" s="252" t="s">
        <v>336</v>
      </c>
      <c r="F1216" s="257">
        <v>2300</v>
      </c>
      <c r="G1216" s="252" t="s">
        <v>5090</v>
      </c>
      <c r="H1216" s="252" t="s">
        <v>116</v>
      </c>
      <c r="I1216" s="252" t="s">
        <v>2609</v>
      </c>
      <c r="J1216" s="250" t="s">
        <v>2610</v>
      </c>
      <c r="K1216" s="255" t="s">
        <v>991</v>
      </c>
      <c r="L1216" s="250" t="s">
        <v>992</v>
      </c>
      <c r="M1216" s="277">
        <v>44</v>
      </c>
      <c r="N1216" s="278">
        <v>44370</v>
      </c>
      <c r="O1216" s="329" t="s">
        <v>67</v>
      </c>
      <c r="P1216" s="330">
        <f t="shared" ref="P1216:Q1216" si="1212">IF(B1216=0,0,IF(YEAR(B1216)=$Q$1,MONTH(B1216)-$P$1+1,(YEAR(B1216)-$Q$1)*12-$P$1+1+MONTH(B1216)))</f>
        <v>6</v>
      </c>
      <c r="Q1216" s="330">
        <f t="shared" si="1212"/>
        <v>6</v>
      </c>
      <c r="R1216" s="351" t="str">
        <f t="shared" si="1"/>
        <v>Gastos_Gerais</v>
      </c>
      <c r="S1216" s="351" t="str">
        <f>IF(D1216="","",IF(OR(D1216=Plano!$A$1,D1216=Plano!$B$1),"entrada","saída"))</f>
        <v>saída</v>
      </c>
      <c r="T1216" s="334" t="s">
        <v>994</v>
      </c>
      <c r="U1216" s="334">
        <v>1424</v>
      </c>
      <c r="V1216" s="344"/>
    </row>
    <row r="1217" spans="1:22" ht="141" customHeight="1" x14ac:dyDescent="0.2">
      <c r="A1217" s="277">
        <f>IF(B1217="","",COUNT('Diário 5º PA'!$A$5:$A$2634)+ROW()-4)</f>
        <v>2524</v>
      </c>
      <c r="B1217" s="278">
        <v>44377</v>
      </c>
      <c r="C1217" s="259">
        <v>44348</v>
      </c>
      <c r="D1217" s="252" t="s">
        <v>99</v>
      </c>
      <c r="E1217" s="252" t="s">
        <v>336</v>
      </c>
      <c r="F1217" s="257">
        <v>2300</v>
      </c>
      <c r="G1217" s="252" t="s">
        <v>5090</v>
      </c>
      <c r="H1217" s="252" t="s">
        <v>116</v>
      </c>
      <c r="I1217" s="252" t="s">
        <v>5098</v>
      </c>
      <c r="J1217" s="250" t="s">
        <v>2488</v>
      </c>
      <c r="K1217" s="255" t="s">
        <v>991</v>
      </c>
      <c r="L1217" s="250" t="s">
        <v>992</v>
      </c>
      <c r="M1217" s="277">
        <v>20</v>
      </c>
      <c r="N1217" s="278">
        <v>44370</v>
      </c>
      <c r="O1217" s="329" t="s">
        <v>67</v>
      </c>
      <c r="P1217" s="330">
        <f t="shared" ref="P1217:Q1217" si="1213">IF(B1217=0,0,IF(YEAR(B1217)=$Q$1,MONTH(B1217)-$P$1+1,(YEAR(B1217)-$Q$1)*12-$P$1+1+MONTH(B1217)))</f>
        <v>6</v>
      </c>
      <c r="Q1217" s="330">
        <f t="shared" si="1213"/>
        <v>6</v>
      </c>
      <c r="R1217" s="351" t="str">
        <f t="shared" si="1"/>
        <v>Gastos_Gerais</v>
      </c>
      <c r="S1217" s="351" t="str">
        <f>IF(D1217="","",IF(OR(D1217=Plano!$A$1,D1217=Plano!$B$1),"entrada","saída"))</f>
        <v>saída</v>
      </c>
      <c r="T1217" s="334" t="s">
        <v>994</v>
      </c>
      <c r="U1217" s="334">
        <v>1416</v>
      </c>
      <c r="V1217" s="344"/>
    </row>
    <row r="1218" spans="1:22" ht="145.5" customHeight="1" x14ac:dyDescent="0.2">
      <c r="A1218" s="277">
        <f>IF(B1218="","",COUNT('Diário 5º PA'!$A$5:$A$2634)+ROW()-4)</f>
        <v>2525</v>
      </c>
      <c r="B1218" s="278">
        <v>44377</v>
      </c>
      <c r="C1218" s="259">
        <v>44348</v>
      </c>
      <c r="D1218" s="252" t="s">
        <v>99</v>
      </c>
      <c r="E1218" s="252" t="s">
        <v>336</v>
      </c>
      <c r="F1218" s="257">
        <v>1703.71</v>
      </c>
      <c r="G1218" s="252" t="s">
        <v>5090</v>
      </c>
      <c r="H1218" s="252" t="s">
        <v>116</v>
      </c>
      <c r="I1218" s="252" t="s">
        <v>3743</v>
      </c>
      <c r="J1218" s="250" t="s">
        <v>3744</v>
      </c>
      <c r="K1218" s="255" t="s">
        <v>1015</v>
      </c>
      <c r="L1218" s="250" t="s">
        <v>1029</v>
      </c>
      <c r="M1218" s="277">
        <v>1206</v>
      </c>
      <c r="N1218" s="278">
        <v>44370</v>
      </c>
      <c r="O1218" s="329" t="s">
        <v>67</v>
      </c>
      <c r="P1218" s="330">
        <f t="shared" ref="P1218:Q1218" si="1214">IF(B1218=0,0,IF(YEAR(B1218)=$Q$1,MONTH(B1218)-$P$1+1,(YEAR(B1218)-$Q$1)*12-$P$1+1+MONTH(B1218)))</f>
        <v>6</v>
      </c>
      <c r="Q1218" s="330">
        <f t="shared" si="1214"/>
        <v>6</v>
      </c>
      <c r="R1218" s="331" t="str">
        <f t="shared" si="1"/>
        <v>Gastos_Gerais</v>
      </c>
      <c r="S1218" s="331" t="str">
        <f>IF(D1218="","",IF(OR(D1218=Plano!$A$1,D1218=Plano!$B$1),"entrada","saída"))</f>
        <v>saída</v>
      </c>
      <c r="T1218" s="332" t="s">
        <v>994</v>
      </c>
      <c r="U1218" s="332">
        <v>1408</v>
      </c>
      <c r="V1218" s="344"/>
    </row>
    <row r="1219" spans="1:22" ht="53.25" customHeight="1" x14ac:dyDescent="0.2">
      <c r="A1219" s="277">
        <f>IF(B1219="","",COUNT('Diário 5º PA'!$A$5:$A$2634)+ROW()-4)</f>
        <v>2526</v>
      </c>
      <c r="B1219" s="278">
        <v>44377</v>
      </c>
      <c r="C1219" s="335">
        <v>44348</v>
      </c>
      <c r="D1219" s="255" t="s">
        <v>99</v>
      </c>
      <c r="E1219" s="255" t="s">
        <v>272</v>
      </c>
      <c r="F1219" s="258">
        <v>10.45</v>
      </c>
      <c r="G1219" s="255" t="s">
        <v>5099</v>
      </c>
      <c r="H1219" s="252" t="s">
        <v>116</v>
      </c>
      <c r="I1219" s="250" t="s">
        <v>949</v>
      </c>
      <c r="J1219" s="255" t="s">
        <v>950</v>
      </c>
      <c r="K1219" s="255" t="s">
        <v>951</v>
      </c>
      <c r="L1219" s="250" t="s">
        <v>947</v>
      </c>
      <c r="M1219" s="336" t="s">
        <v>114</v>
      </c>
      <c r="N1219" s="278">
        <v>44377</v>
      </c>
      <c r="O1219" s="329" t="s">
        <v>67</v>
      </c>
      <c r="P1219" s="330">
        <f t="shared" ref="P1219:Q1219" si="1215">IF(B1219=0,0,IF(YEAR(B1219)=$Q$1,MONTH(B1219)-$P$1+1,(YEAR(B1219)-$Q$1)*12-$P$1+1+MONTH(B1219)))</f>
        <v>6</v>
      </c>
      <c r="Q1219" s="330">
        <f t="shared" si="1215"/>
        <v>6</v>
      </c>
      <c r="R1219" s="331" t="str">
        <f t="shared" si="1"/>
        <v>Gastos_Gerais</v>
      </c>
      <c r="S1219" s="331" t="str">
        <f>IF(D1219="","",IF(OR(D1219=Plano!$A$1,D1219=Plano!$B$1),"entrada","saída"))</f>
        <v>saída</v>
      </c>
      <c r="T1219" s="332" t="s">
        <v>114</v>
      </c>
      <c r="U1219" s="332" t="s">
        <v>114</v>
      </c>
      <c r="V1219" s="344"/>
    </row>
    <row r="1220" spans="1:22" ht="42" customHeight="1" x14ac:dyDescent="0.2">
      <c r="A1220" s="277">
        <f>IF(B1220="","",COUNT('Diário 5º PA'!$A$5:$A$2634)+ROW()-4)</f>
        <v>2527</v>
      </c>
      <c r="B1220" s="278">
        <v>44377</v>
      </c>
      <c r="C1220" s="256">
        <v>44348</v>
      </c>
      <c r="D1220" s="255" t="s">
        <v>99</v>
      </c>
      <c r="E1220" s="255" t="s">
        <v>272</v>
      </c>
      <c r="F1220" s="258">
        <v>10.45</v>
      </c>
      <c r="G1220" s="255" t="s">
        <v>4770</v>
      </c>
      <c r="H1220" s="252" t="s">
        <v>116</v>
      </c>
      <c r="I1220" s="250" t="s">
        <v>949</v>
      </c>
      <c r="J1220" s="255" t="s">
        <v>950</v>
      </c>
      <c r="K1220" s="255" t="s">
        <v>951</v>
      </c>
      <c r="L1220" s="250" t="s">
        <v>947</v>
      </c>
      <c r="M1220" s="336" t="s">
        <v>114</v>
      </c>
      <c r="N1220" s="278">
        <v>44377</v>
      </c>
      <c r="O1220" s="329" t="s">
        <v>67</v>
      </c>
      <c r="P1220" s="330">
        <f t="shared" ref="P1220:Q1220" si="1216">IF(B1220=0,0,IF(YEAR(B1220)=$Q$1,MONTH(B1220)-$P$1+1,(YEAR(B1220)-$Q$1)*12-$P$1+1+MONTH(B1220)))</f>
        <v>6</v>
      </c>
      <c r="Q1220" s="330">
        <f t="shared" si="1216"/>
        <v>6</v>
      </c>
      <c r="R1220" s="331" t="str">
        <f t="shared" si="1"/>
        <v>Gastos_Gerais</v>
      </c>
      <c r="S1220" s="331" t="str">
        <f>IF(D1220="","",IF(OR(D1220=Plano!$A$1,D1220=Plano!$B$1),"entrada","saída"))</f>
        <v>saída</v>
      </c>
      <c r="T1220" s="332" t="s">
        <v>114</v>
      </c>
      <c r="U1220" s="332" t="s">
        <v>114</v>
      </c>
      <c r="V1220" s="344"/>
    </row>
    <row r="1221" spans="1:22" ht="57.75" customHeight="1" x14ac:dyDescent="0.2">
      <c r="A1221" s="277">
        <f>IF(B1221="","",COUNT('Diário 5º PA'!$A$5:$A$2634)+ROW()-4)</f>
        <v>2528</v>
      </c>
      <c r="B1221" s="278">
        <v>44377</v>
      </c>
      <c r="C1221" s="256">
        <v>44348</v>
      </c>
      <c r="D1221" s="255" t="s">
        <v>99</v>
      </c>
      <c r="E1221" s="255" t="s">
        <v>272</v>
      </c>
      <c r="F1221" s="258">
        <v>10.45</v>
      </c>
      <c r="G1221" s="255" t="s">
        <v>4778</v>
      </c>
      <c r="H1221" s="252" t="s">
        <v>116</v>
      </c>
      <c r="I1221" s="250" t="s">
        <v>949</v>
      </c>
      <c r="J1221" s="255" t="s">
        <v>950</v>
      </c>
      <c r="K1221" s="255" t="s">
        <v>951</v>
      </c>
      <c r="L1221" s="250" t="s">
        <v>947</v>
      </c>
      <c r="M1221" s="336" t="s">
        <v>114</v>
      </c>
      <c r="N1221" s="278">
        <v>44377</v>
      </c>
      <c r="O1221" s="329" t="s">
        <v>67</v>
      </c>
      <c r="P1221" s="330">
        <f t="shared" ref="P1221:Q1221" si="1217">IF(B1221=0,0,IF(YEAR(B1221)=$Q$1,MONTH(B1221)-$P$1+1,(YEAR(B1221)-$Q$1)*12-$P$1+1+MONTH(B1221)))</f>
        <v>6</v>
      </c>
      <c r="Q1221" s="330">
        <f t="shared" si="1217"/>
        <v>6</v>
      </c>
      <c r="R1221" s="331" t="str">
        <f t="shared" si="1"/>
        <v>Gastos_Gerais</v>
      </c>
      <c r="S1221" s="331" t="str">
        <f>IF(D1221="","",IF(OR(D1221=Plano!$A$1,D1221=Plano!$B$1),"entrada","saída"))</f>
        <v>saída</v>
      </c>
      <c r="T1221" s="332" t="s">
        <v>114</v>
      </c>
      <c r="U1221" s="332" t="s">
        <v>114</v>
      </c>
      <c r="V1221" s="344"/>
    </row>
    <row r="1222" spans="1:22" ht="61.5" customHeight="1" x14ac:dyDescent="0.2">
      <c r="A1222" s="277">
        <f>IF(B1222="","",COUNT('Diário 5º PA'!$A$5:$A$2634)+ROW()-4)</f>
        <v>2529</v>
      </c>
      <c r="B1222" s="278">
        <v>44377</v>
      </c>
      <c r="C1222" s="249">
        <v>44348</v>
      </c>
      <c r="D1222" s="255" t="s">
        <v>99</v>
      </c>
      <c r="E1222" s="255" t="s">
        <v>272</v>
      </c>
      <c r="F1222" s="258">
        <v>10.45</v>
      </c>
      <c r="G1222" s="255" t="s">
        <v>4868</v>
      </c>
      <c r="H1222" s="252" t="s">
        <v>116</v>
      </c>
      <c r="I1222" s="250" t="s">
        <v>949</v>
      </c>
      <c r="J1222" s="255" t="s">
        <v>950</v>
      </c>
      <c r="K1222" s="255" t="s">
        <v>951</v>
      </c>
      <c r="L1222" s="250" t="s">
        <v>947</v>
      </c>
      <c r="M1222" s="336" t="s">
        <v>114</v>
      </c>
      <c r="N1222" s="278">
        <v>44377</v>
      </c>
      <c r="O1222" s="329" t="s">
        <v>67</v>
      </c>
      <c r="P1222" s="330">
        <f t="shared" ref="P1222:Q1222" si="1218">IF(B1222=0,0,IF(YEAR(B1222)=$Q$1,MONTH(B1222)-$P$1+1,(YEAR(B1222)-$Q$1)*12-$P$1+1+MONTH(B1222)))</f>
        <v>6</v>
      </c>
      <c r="Q1222" s="330">
        <f t="shared" si="1218"/>
        <v>6</v>
      </c>
      <c r="R1222" s="331" t="str">
        <f t="shared" si="1"/>
        <v>Gastos_Gerais</v>
      </c>
      <c r="S1222" s="331" t="str">
        <f>IF(D1222="","",IF(OR(D1222=Plano!$A$1,D1222=Plano!$B$1),"entrada","saída"))</f>
        <v>saída</v>
      </c>
      <c r="T1222" s="332" t="s">
        <v>114</v>
      </c>
      <c r="U1222" s="332" t="s">
        <v>114</v>
      </c>
      <c r="V1222" s="344"/>
    </row>
    <row r="1223" spans="1:22" ht="57" customHeight="1" x14ac:dyDescent="0.2">
      <c r="A1223" s="277">
        <f>IF(B1223="","",COUNT('Diário 5º PA'!$A$5:$A$2634)+ROW()-4)</f>
        <v>2530</v>
      </c>
      <c r="B1223" s="278">
        <v>44377</v>
      </c>
      <c r="C1223" s="256">
        <v>44348</v>
      </c>
      <c r="D1223" s="255" t="s">
        <v>99</v>
      </c>
      <c r="E1223" s="255" t="s">
        <v>272</v>
      </c>
      <c r="F1223" s="258">
        <v>10.45</v>
      </c>
      <c r="G1223" s="255" t="s">
        <v>4776</v>
      </c>
      <c r="H1223" s="252" t="s">
        <v>116</v>
      </c>
      <c r="I1223" s="250" t="s">
        <v>949</v>
      </c>
      <c r="J1223" s="255" t="s">
        <v>950</v>
      </c>
      <c r="K1223" s="255" t="s">
        <v>951</v>
      </c>
      <c r="L1223" s="250" t="s">
        <v>947</v>
      </c>
      <c r="M1223" s="336" t="s">
        <v>114</v>
      </c>
      <c r="N1223" s="278">
        <v>44377</v>
      </c>
      <c r="O1223" s="329" t="s">
        <v>67</v>
      </c>
      <c r="P1223" s="330">
        <f t="shared" ref="P1223:Q1223" si="1219">IF(B1223=0,0,IF(YEAR(B1223)=$Q$1,MONTH(B1223)-$P$1+1,(YEAR(B1223)-$Q$1)*12-$P$1+1+MONTH(B1223)))</f>
        <v>6</v>
      </c>
      <c r="Q1223" s="330">
        <f t="shared" si="1219"/>
        <v>6</v>
      </c>
      <c r="R1223" s="331" t="str">
        <f t="shared" si="1"/>
        <v>Gastos_Gerais</v>
      </c>
      <c r="S1223" s="331" t="str">
        <f>IF(D1223="","",IF(OR(D1223=Plano!$A$1,D1223=Plano!$B$1),"entrada","saída"))</f>
        <v>saída</v>
      </c>
      <c r="T1223" s="332" t="s">
        <v>114</v>
      </c>
      <c r="U1223" s="332" t="s">
        <v>114</v>
      </c>
      <c r="V1223" s="344"/>
    </row>
    <row r="1224" spans="1:22" ht="48.75" customHeight="1" x14ac:dyDescent="0.2">
      <c r="A1224" s="277">
        <f>IF(B1224="","",COUNT('Diário 5º PA'!$A$5:$A$2634)+ROW()-4)</f>
        <v>2531</v>
      </c>
      <c r="B1224" s="278">
        <v>44377</v>
      </c>
      <c r="C1224" s="256">
        <v>44348</v>
      </c>
      <c r="D1224" s="255" t="s">
        <v>99</v>
      </c>
      <c r="E1224" s="255" t="s">
        <v>272</v>
      </c>
      <c r="F1224" s="258">
        <v>10.45</v>
      </c>
      <c r="G1224" s="255" t="s">
        <v>4771</v>
      </c>
      <c r="H1224" s="252" t="s">
        <v>116</v>
      </c>
      <c r="I1224" s="250" t="s">
        <v>949</v>
      </c>
      <c r="J1224" s="255" t="s">
        <v>950</v>
      </c>
      <c r="K1224" s="255" t="s">
        <v>951</v>
      </c>
      <c r="L1224" s="250" t="s">
        <v>947</v>
      </c>
      <c r="M1224" s="336" t="s">
        <v>114</v>
      </c>
      <c r="N1224" s="278">
        <v>44377</v>
      </c>
      <c r="O1224" s="329" t="s">
        <v>67</v>
      </c>
      <c r="P1224" s="330">
        <f t="shared" ref="P1224:Q1224" si="1220">IF(B1224=0,0,IF(YEAR(B1224)=$Q$1,MONTH(B1224)-$P$1+1,(YEAR(B1224)-$Q$1)*12-$P$1+1+MONTH(B1224)))</f>
        <v>6</v>
      </c>
      <c r="Q1224" s="330">
        <f t="shared" si="1220"/>
        <v>6</v>
      </c>
      <c r="R1224" s="331" t="str">
        <f t="shared" si="1"/>
        <v>Gastos_Gerais</v>
      </c>
      <c r="S1224" s="331" t="str">
        <f>IF(D1224="","",IF(OR(D1224=Plano!$A$1,D1224=Plano!$B$1),"entrada","saída"))</f>
        <v>saída</v>
      </c>
      <c r="T1224" s="332" t="s">
        <v>114</v>
      </c>
      <c r="U1224" s="332" t="s">
        <v>114</v>
      </c>
      <c r="V1224" s="344"/>
    </row>
    <row r="1225" spans="1:22" ht="59.25" customHeight="1" x14ac:dyDescent="0.2">
      <c r="A1225" s="277">
        <f>IF(B1225="","",COUNT('Diário 5º PA'!$A$5:$A$2634)+ROW()-4)</f>
        <v>2532</v>
      </c>
      <c r="B1225" s="278">
        <v>44377</v>
      </c>
      <c r="C1225" s="256">
        <v>44348</v>
      </c>
      <c r="D1225" s="255" t="s">
        <v>99</v>
      </c>
      <c r="E1225" s="255" t="s">
        <v>272</v>
      </c>
      <c r="F1225" s="258">
        <v>10.45</v>
      </c>
      <c r="G1225" s="255" t="s">
        <v>4779</v>
      </c>
      <c r="H1225" s="252" t="s">
        <v>116</v>
      </c>
      <c r="I1225" s="250" t="s">
        <v>949</v>
      </c>
      <c r="J1225" s="255" t="s">
        <v>950</v>
      </c>
      <c r="K1225" s="255" t="s">
        <v>951</v>
      </c>
      <c r="L1225" s="250" t="s">
        <v>947</v>
      </c>
      <c r="M1225" s="336" t="s">
        <v>114</v>
      </c>
      <c r="N1225" s="278">
        <v>44377</v>
      </c>
      <c r="O1225" s="329" t="s">
        <v>67</v>
      </c>
      <c r="P1225" s="330">
        <f t="shared" ref="P1225:Q1225" si="1221">IF(B1225=0,0,IF(YEAR(B1225)=$Q$1,MONTH(B1225)-$P$1+1,(YEAR(B1225)-$Q$1)*12-$P$1+1+MONTH(B1225)))</f>
        <v>6</v>
      </c>
      <c r="Q1225" s="330">
        <f t="shared" si="1221"/>
        <v>6</v>
      </c>
      <c r="R1225" s="331" t="str">
        <f t="shared" si="1"/>
        <v>Gastos_Gerais</v>
      </c>
      <c r="S1225" s="331" t="str">
        <f>IF(D1225="","",IF(OR(D1225=Plano!$A$1,D1225=Plano!$B$1),"entrada","saída"))</f>
        <v>saída</v>
      </c>
      <c r="T1225" s="332" t="s">
        <v>114</v>
      </c>
      <c r="U1225" s="332" t="s">
        <v>114</v>
      </c>
      <c r="V1225" s="344"/>
    </row>
    <row r="1226" spans="1:22" ht="55.5" customHeight="1" x14ac:dyDescent="0.2">
      <c r="A1226" s="277">
        <f>IF(B1226="","",COUNT('Diário 5º PA'!$A$5:$A$2634)+ROW()-4)</f>
        <v>2533</v>
      </c>
      <c r="B1226" s="278">
        <v>44377</v>
      </c>
      <c r="C1226" s="249">
        <v>44348</v>
      </c>
      <c r="D1226" s="255" t="s">
        <v>99</v>
      </c>
      <c r="E1226" s="255" t="s">
        <v>272</v>
      </c>
      <c r="F1226" s="258">
        <v>10.45</v>
      </c>
      <c r="G1226" s="255" t="s">
        <v>4870</v>
      </c>
      <c r="H1226" s="252" t="s">
        <v>116</v>
      </c>
      <c r="I1226" s="250" t="s">
        <v>949</v>
      </c>
      <c r="J1226" s="255" t="s">
        <v>950</v>
      </c>
      <c r="K1226" s="255" t="s">
        <v>951</v>
      </c>
      <c r="L1226" s="250" t="s">
        <v>947</v>
      </c>
      <c r="M1226" s="336" t="s">
        <v>114</v>
      </c>
      <c r="N1226" s="278">
        <v>44377</v>
      </c>
      <c r="O1226" s="329" t="s">
        <v>67</v>
      </c>
      <c r="P1226" s="330">
        <f t="shared" ref="P1226:Q1226" si="1222">IF(B1226=0,0,IF(YEAR(B1226)=$Q$1,MONTH(B1226)-$P$1+1,(YEAR(B1226)-$Q$1)*12-$P$1+1+MONTH(B1226)))</f>
        <v>6</v>
      </c>
      <c r="Q1226" s="330">
        <f t="shared" si="1222"/>
        <v>6</v>
      </c>
      <c r="R1226" s="331" t="str">
        <f t="shared" si="1"/>
        <v>Gastos_Gerais</v>
      </c>
      <c r="S1226" s="331" t="str">
        <f>IF(D1226="","",IF(OR(D1226=Plano!$A$1,D1226=Plano!$B$1),"entrada","saída"))</f>
        <v>saída</v>
      </c>
      <c r="T1226" s="332" t="s">
        <v>114</v>
      </c>
      <c r="U1226" s="332" t="s">
        <v>114</v>
      </c>
      <c r="V1226" s="344"/>
    </row>
    <row r="1227" spans="1:22" ht="47.25" customHeight="1" x14ac:dyDescent="0.2">
      <c r="A1227" s="277">
        <f>IF(B1227="","",COUNT('Diário 5º PA'!$A$5:$A$2634)+ROW()-4)</f>
        <v>2534</v>
      </c>
      <c r="B1227" s="278">
        <v>44377</v>
      </c>
      <c r="C1227" s="249">
        <v>44348</v>
      </c>
      <c r="D1227" s="255" t="s">
        <v>99</v>
      </c>
      <c r="E1227" s="255" t="s">
        <v>272</v>
      </c>
      <c r="F1227" s="258">
        <v>10.45</v>
      </c>
      <c r="G1227" s="255" t="s">
        <v>5100</v>
      </c>
      <c r="H1227" s="252" t="s">
        <v>116</v>
      </c>
      <c r="I1227" s="250" t="s">
        <v>949</v>
      </c>
      <c r="J1227" s="255" t="s">
        <v>950</v>
      </c>
      <c r="K1227" s="255" t="s">
        <v>951</v>
      </c>
      <c r="L1227" s="250" t="s">
        <v>947</v>
      </c>
      <c r="M1227" s="336" t="s">
        <v>114</v>
      </c>
      <c r="N1227" s="278">
        <v>44377</v>
      </c>
      <c r="O1227" s="329" t="s">
        <v>67</v>
      </c>
      <c r="P1227" s="330">
        <f t="shared" ref="P1227:Q1227" si="1223">IF(B1227=0,0,IF(YEAR(B1227)=$Q$1,MONTH(B1227)-$P$1+1,(YEAR(B1227)-$Q$1)*12-$P$1+1+MONTH(B1227)))</f>
        <v>6</v>
      </c>
      <c r="Q1227" s="330">
        <f t="shared" si="1223"/>
        <v>6</v>
      </c>
      <c r="R1227" s="331" t="str">
        <f t="shared" si="1"/>
        <v>Gastos_Gerais</v>
      </c>
      <c r="S1227" s="331" t="str">
        <f>IF(D1227="","",IF(OR(D1227=Plano!$A$1,D1227=Plano!$B$1),"entrada","saída"))</f>
        <v>saída</v>
      </c>
      <c r="T1227" s="332" t="s">
        <v>114</v>
      </c>
      <c r="U1227" s="332" t="s">
        <v>114</v>
      </c>
      <c r="V1227" s="344"/>
    </row>
    <row r="1228" spans="1:22" ht="52.5" customHeight="1" x14ac:dyDescent="0.2">
      <c r="A1228" s="277">
        <f>IF(B1228="","",COUNT('Diário 5º PA'!$A$5:$A$2634)+ROW()-4)</f>
        <v>2535</v>
      </c>
      <c r="B1228" s="278">
        <v>44377</v>
      </c>
      <c r="C1228" s="249">
        <v>44348</v>
      </c>
      <c r="D1228" s="255" t="s">
        <v>99</v>
      </c>
      <c r="E1228" s="255" t="s">
        <v>272</v>
      </c>
      <c r="F1228" s="258">
        <v>10.45</v>
      </c>
      <c r="G1228" s="255" t="s">
        <v>5101</v>
      </c>
      <c r="H1228" s="252" t="s">
        <v>116</v>
      </c>
      <c r="I1228" s="250" t="s">
        <v>949</v>
      </c>
      <c r="J1228" s="255" t="s">
        <v>950</v>
      </c>
      <c r="K1228" s="255" t="s">
        <v>951</v>
      </c>
      <c r="L1228" s="250" t="s">
        <v>947</v>
      </c>
      <c r="M1228" s="336" t="s">
        <v>114</v>
      </c>
      <c r="N1228" s="278">
        <v>44377</v>
      </c>
      <c r="O1228" s="329" t="s">
        <v>67</v>
      </c>
      <c r="P1228" s="330">
        <f t="shared" ref="P1228:Q1228" si="1224">IF(B1228=0,0,IF(YEAR(B1228)=$Q$1,MONTH(B1228)-$P$1+1,(YEAR(B1228)-$Q$1)*12-$P$1+1+MONTH(B1228)))</f>
        <v>6</v>
      </c>
      <c r="Q1228" s="330">
        <f t="shared" si="1224"/>
        <v>6</v>
      </c>
      <c r="R1228" s="331" t="str">
        <f t="shared" si="1"/>
        <v>Gastos_Gerais</v>
      </c>
      <c r="S1228" s="331" t="str">
        <f>IF(D1228="","",IF(OR(D1228=Plano!$A$1,D1228=Plano!$B$1),"entrada","saída"))</f>
        <v>saída</v>
      </c>
      <c r="T1228" s="332" t="s">
        <v>114</v>
      </c>
      <c r="U1228" s="332" t="s">
        <v>114</v>
      </c>
      <c r="V1228" s="344"/>
    </row>
    <row r="1229" spans="1:22" ht="52.5" customHeight="1" x14ac:dyDescent="0.2">
      <c r="A1229" s="277">
        <f>IF(B1229="","",COUNT('Diário 5º PA'!$A$5:$A$2634)+ROW()-4)</f>
        <v>2536</v>
      </c>
      <c r="B1229" s="278">
        <v>44377</v>
      </c>
      <c r="C1229" s="249">
        <v>44348</v>
      </c>
      <c r="D1229" s="255" t="s">
        <v>99</v>
      </c>
      <c r="E1229" s="255" t="s">
        <v>272</v>
      </c>
      <c r="F1229" s="258">
        <v>10.45</v>
      </c>
      <c r="G1229" s="255" t="s">
        <v>5102</v>
      </c>
      <c r="H1229" s="252" t="s">
        <v>116</v>
      </c>
      <c r="I1229" s="250" t="s">
        <v>949</v>
      </c>
      <c r="J1229" s="255" t="s">
        <v>950</v>
      </c>
      <c r="K1229" s="255" t="s">
        <v>951</v>
      </c>
      <c r="L1229" s="250" t="s">
        <v>947</v>
      </c>
      <c r="M1229" s="336" t="s">
        <v>114</v>
      </c>
      <c r="N1229" s="278">
        <v>44377</v>
      </c>
      <c r="O1229" s="329" t="s">
        <v>67</v>
      </c>
      <c r="P1229" s="330">
        <f t="shared" ref="P1229:Q1229" si="1225">IF(B1229=0,0,IF(YEAR(B1229)=$Q$1,MONTH(B1229)-$P$1+1,(YEAR(B1229)-$Q$1)*12-$P$1+1+MONTH(B1229)))</f>
        <v>6</v>
      </c>
      <c r="Q1229" s="330">
        <f t="shared" si="1225"/>
        <v>6</v>
      </c>
      <c r="R1229" s="331" t="str">
        <f t="shared" si="1"/>
        <v>Gastos_Gerais</v>
      </c>
      <c r="S1229" s="331" t="str">
        <f>IF(D1229="","",IF(OR(D1229=Plano!$A$1,D1229=Plano!$B$1),"entrada","saída"))</f>
        <v>saída</v>
      </c>
      <c r="T1229" s="332" t="s">
        <v>114</v>
      </c>
      <c r="U1229" s="332" t="s">
        <v>114</v>
      </c>
      <c r="V1229" s="344"/>
    </row>
    <row r="1230" spans="1:22" ht="57" customHeight="1" x14ac:dyDescent="0.2">
      <c r="A1230" s="277">
        <f>IF(B1230="","",COUNT('Diário 5º PA'!$A$5:$A$2634)+ROW()-4)</f>
        <v>2537</v>
      </c>
      <c r="B1230" s="278">
        <v>44377</v>
      </c>
      <c r="C1230" s="335">
        <v>44348</v>
      </c>
      <c r="D1230" s="255" t="s">
        <v>99</v>
      </c>
      <c r="E1230" s="255" t="s">
        <v>272</v>
      </c>
      <c r="F1230" s="258">
        <v>10.45</v>
      </c>
      <c r="G1230" s="255" t="s">
        <v>4925</v>
      </c>
      <c r="H1230" s="252" t="s">
        <v>116</v>
      </c>
      <c r="I1230" s="250" t="s">
        <v>949</v>
      </c>
      <c r="J1230" s="255" t="s">
        <v>950</v>
      </c>
      <c r="K1230" s="255" t="s">
        <v>951</v>
      </c>
      <c r="L1230" s="250" t="s">
        <v>947</v>
      </c>
      <c r="M1230" s="336" t="s">
        <v>114</v>
      </c>
      <c r="N1230" s="278">
        <v>44377</v>
      </c>
      <c r="O1230" s="329" t="s">
        <v>67</v>
      </c>
      <c r="P1230" s="330">
        <f t="shared" ref="P1230:Q1230" si="1226">IF(B1230=0,0,IF(YEAR(B1230)=$Q$1,MONTH(B1230)-$P$1+1,(YEAR(B1230)-$Q$1)*12-$P$1+1+MONTH(B1230)))</f>
        <v>6</v>
      </c>
      <c r="Q1230" s="330">
        <f t="shared" si="1226"/>
        <v>6</v>
      </c>
      <c r="R1230" s="331" t="str">
        <f t="shared" si="1"/>
        <v>Gastos_Gerais</v>
      </c>
      <c r="S1230" s="331" t="str">
        <f>IF(D1230="","",IF(OR(D1230=Plano!$A$1,D1230=Plano!$B$1),"entrada","saída"))</f>
        <v>saída</v>
      </c>
      <c r="T1230" s="332" t="s">
        <v>114</v>
      </c>
      <c r="U1230" s="332" t="s">
        <v>114</v>
      </c>
      <c r="V1230" s="344"/>
    </row>
    <row r="1231" spans="1:22" ht="56.25" customHeight="1" x14ac:dyDescent="0.2">
      <c r="A1231" s="277">
        <f>IF(B1231="","",COUNT('Diário 5º PA'!$A$5:$A$2634)+ROW()-4)</f>
        <v>2538</v>
      </c>
      <c r="B1231" s="278">
        <v>44377</v>
      </c>
      <c r="C1231" s="335">
        <v>44348</v>
      </c>
      <c r="D1231" s="255" t="s">
        <v>99</v>
      </c>
      <c r="E1231" s="255" t="s">
        <v>272</v>
      </c>
      <c r="F1231" s="258">
        <v>10.45</v>
      </c>
      <c r="G1231" s="255" t="s">
        <v>5103</v>
      </c>
      <c r="H1231" s="252" t="s">
        <v>116</v>
      </c>
      <c r="I1231" s="250" t="s">
        <v>949</v>
      </c>
      <c r="J1231" s="255" t="s">
        <v>950</v>
      </c>
      <c r="K1231" s="255" t="s">
        <v>951</v>
      </c>
      <c r="L1231" s="250" t="s">
        <v>947</v>
      </c>
      <c r="M1231" s="336" t="s">
        <v>114</v>
      </c>
      <c r="N1231" s="278">
        <v>44377</v>
      </c>
      <c r="O1231" s="329" t="s">
        <v>67</v>
      </c>
      <c r="P1231" s="330">
        <f t="shared" ref="P1231:Q1231" si="1227">IF(B1231=0,0,IF(YEAR(B1231)=$Q$1,MONTH(B1231)-$P$1+1,(YEAR(B1231)-$Q$1)*12-$P$1+1+MONTH(B1231)))</f>
        <v>6</v>
      </c>
      <c r="Q1231" s="330">
        <f t="shared" si="1227"/>
        <v>6</v>
      </c>
      <c r="R1231" s="331" t="str">
        <f t="shared" si="1"/>
        <v>Gastos_Gerais</v>
      </c>
      <c r="S1231" s="331" t="str">
        <f>IF(D1231="","",IF(OR(D1231=Plano!$A$1,D1231=Plano!$B$1),"entrada","saída"))</f>
        <v>saída</v>
      </c>
      <c r="T1231" s="332" t="s">
        <v>114</v>
      </c>
      <c r="U1231" s="332" t="s">
        <v>114</v>
      </c>
      <c r="V1231" s="344"/>
    </row>
    <row r="1232" spans="1:22" ht="54" customHeight="1" x14ac:dyDescent="0.2">
      <c r="A1232" s="277">
        <f>IF(B1232="","",COUNT('Diário 5º PA'!$A$5:$A$2634)+ROW()-4)</f>
        <v>2539</v>
      </c>
      <c r="B1232" s="278">
        <v>44377</v>
      </c>
      <c r="C1232" s="335">
        <v>44348</v>
      </c>
      <c r="D1232" s="255" t="s">
        <v>99</v>
      </c>
      <c r="E1232" s="255" t="s">
        <v>272</v>
      </c>
      <c r="F1232" s="258">
        <v>10.45</v>
      </c>
      <c r="G1232" s="255" t="s">
        <v>5103</v>
      </c>
      <c r="H1232" s="252" t="s">
        <v>116</v>
      </c>
      <c r="I1232" s="250" t="s">
        <v>949</v>
      </c>
      <c r="J1232" s="255" t="s">
        <v>950</v>
      </c>
      <c r="K1232" s="255" t="s">
        <v>951</v>
      </c>
      <c r="L1232" s="250" t="s">
        <v>947</v>
      </c>
      <c r="M1232" s="336" t="s">
        <v>114</v>
      </c>
      <c r="N1232" s="278">
        <v>44377</v>
      </c>
      <c r="O1232" s="329" t="s">
        <v>67</v>
      </c>
      <c r="P1232" s="330">
        <f t="shared" ref="P1232:Q1232" si="1228">IF(B1232=0,0,IF(YEAR(B1232)=$Q$1,MONTH(B1232)-$P$1+1,(YEAR(B1232)-$Q$1)*12-$P$1+1+MONTH(B1232)))</f>
        <v>6</v>
      </c>
      <c r="Q1232" s="330">
        <f t="shared" si="1228"/>
        <v>6</v>
      </c>
      <c r="R1232" s="331" t="str">
        <f t="shared" si="1"/>
        <v>Gastos_Gerais</v>
      </c>
      <c r="S1232" s="331" t="str">
        <f>IF(D1232="","",IF(OR(D1232=Plano!$A$1,D1232=Plano!$B$1),"entrada","saída"))</f>
        <v>saída</v>
      </c>
      <c r="T1232" s="332" t="s">
        <v>114</v>
      </c>
      <c r="U1232" s="332" t="s">
        <v>114</v>
      </c>
      <c r="V1232" s="344"/>
    </row>
    <row r="1233" spans="1:22" ht="52.5" customHeight="1" x14ac:dyDescent="0.2">
      <c r="A1233" s="277">
        <f>IF(B1233="","",COUNT('Diário 5º PA'!$A$5:$A$2634)+ROW()-4)</f>
        <v>2540</v>
      </c>
      <c r="B1233" s="278">
        <v>44377</v>
      </c>
      <c r="C1233" s="335">
        <v>44348</v>
      </c>
      <c r="D1233" s="255" t="s">
        <v>99</v>
      </c>
      <c r="E1233" s="255" t="s">
        <v>272</v>
      </c>
      <c r="F1233" s="258">
        <v>10.45</v>
      </c>
      <c r="G1233" s="255" t="s">
        <v>4777</v>
      </c>
      <c r="H1233" s="252" t="s">
        <v>116</v>
      </c>
      <c r="I1233" s="250" t="s">
        <v>949</v>
      </c>
      <c r="J1233" s="255" t="s">
        <v>950</v>
      </c>
      <c r="K1233" s="255" t="s">
        <v>951</v>
      </c>
      <c r="L1233" s="250" t="s">
        <v>947</v>
      </c>
      <c r="M1233" s="336" t="s">
        <v>114</v>
      </c>
      <c r="N1233" s="278">
        <v>44377</v>
      </c>
      <c r="O1233" s="329" t="s">
        <v>67</v>
      </c>
      <c r="P1233" s="330">
        <f t="shared" ref="P1233:Q1233" si="1229">IF(B1233=0,0,IF(YEAR(B1233)=$Q$1,MONTH(B1233)-$P$1+1,(YEAR(B1233)-$Q$1)*12-$P$1+1+MONTH(B1233)))</f>
        <v>6</v>
      </c>
      <c r="Q1233" s="330">
        <f t="shared" si="1229"/>
        <v>6</v>
      </c>
      <c r="R1233" s="331" t="str">
        <f t="shared" si="1"/>
        <v>Gastos_Gerais</v>
      </c>
      <c r="S1233" s="331" t="str">
        <f>IF(D1233="","",IF(OR(D1233=Plano!$A$1,D1233=Plano!$B$1),"entrada","saída"))</f>
        <v>saída</v>
      </c>
      <c r="T1233" s="332" t="s">
        <v>114</v>
      </c>
      <c r="U1233" s="332" t="s">
        <v>114</v>
      </c>
      <c r="V1233" s="344"/>
    </row>
    <row r="1234" spans="1:22" ht="58.5" customHeight="1" x14ac:dyDescent="0.2">
      <c r="A1234" s="277">
        <f>IF(B1234="","",COUNT('Diário 5º PA'!$A$5:$A$2634)+ROW()-4)</f>
        <v>2541</v>
      </c>
      <c r="B1234" s="278">
        <v>44377</v>
      </c>
      <c r="C1234" s="335">
        <v>44348</v>
      </c>
      <c r="D1234" s="255" t="s">
        <v>99</v>
      </c>
      <c r="E1234" s="255" t="s">
        <v>272</v>
      </c>
      <c r="F1234" s="258">
        <v>10.45</v>
      </c>
      <c r="G1234" s="255" t="s">
        <v>5104</v>
      </c>
      <c r="H1234" s="252" t="s">
        <v>124</v>
      </c>
      <c r="I1234" s="250" t="s">
        <v>949</v>
      </c>
      <c r="J1234" s="255" t="s">
        <v>950</v>
      </c>
      <c r="K1234" s="255" t="s">
        <v>951</v>
      </c>
      <c r="L1234" s="250" t="s">
        <v>947</v>
      </c>
      <c r="M1234" s="336" t="s">
        <v>114</v>
      </c>
      <c r="N1234" s="278">
        <v>44377</v>
      </c>
      <c r="O1234" s="329" t="s">
        <v>67</v>
      </c>
      <c r="P1234" s="330">
        <f t="shared" ref="P1234:Q1234" si="1230">IF(B1234=0,0,IF(YEAR(B1234)=$Q$1,MONTH(B1234)-$P$1+1,(YEAR(B1234)-$Q$1)*12-$P$1+1+MONTH(B1234)))</f>
        <v>6</v>
      </c>
      <c r="Q1234" s="330">
        <f t="shared" si="1230"/>
        <v>6</v>
      </c>
      <c r="R1234" s="331" t="str">
        <f t="shared" si="1"/>
        <v>Gastos_Gerais</v>
      </c>
      <c r="S1234" s="331" t="str">
        <f>IF(D1234="","",IF(OR(D1234=Plano!$A$1,D1234=Plano!$B$1),"entrada","saída"))</f>
        <v>saída</v>
      </c>
      <c r="T1234" s="332" t="s">
        <v>114</v>
      </c>
      <c r="U1234" s="332" t="s">
        <v>114</v>
      </c>
      <c r="V1234" s="344"/>
    </row>
    <row r="1235" spans="1:22" ht="45.75" customHeight="1" x14ac:dyDescent="0.2">
      <c r="A1235" s="277">
        <f>IF(B1235="","",COUNT('Diário 5º PA'!$A$5:$A$2634)+ROW()-4)</f>
        <v>2542</v>
      </c>
      <c r="B1235" s="278">
        <v>44377</v>
      </c>
      <c r="C1235" s="335">
        <v>44348</v>
      </c>
      <c r="D1235" s="255" t="s">
        <v>85</v>
      </c>
      <c r="E1235" s="255" t="s">
        <v>85</v>
      </c>
      <c r="F1235" s="258">
        <v>5157.97</v>
      </c>
      <c r="G1235" s="255" t="s">
        <v>5105</v>
      </c>
      <c r="H1235" s="255" t="s">
        <v>114</v>
      </c>
      <c r="I1235" s="250" t="s">
        <v>945</v>
      </c>
      <c r="J1235" s="255" t="s">
        <v>850</v>
      </c>
      <c r="K1235" s="255" t="s">
        <v>946</v>
      </c>
      <c r="L1235" s="250" t="s">
        <v>947</v>
      </c>
      <c r="M1235" s="336" t="s">
        <v>114</v>
      </c>
      <c r="N1235" s="278">
        <v>44377</v>
      </c>
      <c r="O1235" s="329" t="s">
        <v>67</v>
      </c>
      <c r="P1235" s="330">
        <f t="shared" ref="P1235:Q1235" si="1231">IF(B1235=0,0,IF(YEAR(B1235)=$Q$1,MONTH(B1235)-$P$1+1,(YEAR(B1235)-$Q$1)*12-$P$1+1+MONTH(B1235)))</f>
        <v>6</v>
      </c>
      <c r="Q1235" s="330">
        <f t="shared" si="1231"/>
        <v>6</v>
      </c>
      <c r="R1235" s="331" t="str">
        <f t="shared" si="1"/>
        <v>Rendimentos_de_Aplicações_Fin.</v>
      </c>
      <c r="S1235" s="331" t="str">
        <f>IF(D1235="","",IF(OR(D1235=Plano!$A$1,D1235=Plano!$B$1),"entrada","saída"))</f>
        <v>entrada</v>
      </c>
      <c r="T1235" s="332" t="s">
        <v>114</v>
      </c>
      <c r="U1235" s="332" t="s">
        <v>114</v>
      </c>
      <c r="V1235" s="344"/>
    </row>
    <row r="1236" spans="1:22" ht="38.25" customHeight="1" x14ac:dyDescent="0.2">
      <c r="A1236" s="277">
        <f>IF(B1236="","",COUNT('Diário 5º PA'!$A$5:$A$2634)+ROW()-4)</f>
        <v>2543</v>
      </c>
      <c r="B1236" s="278">
        <v>44377</v>
      </c>
      <c r="C1236" s="335">
        <v>44348</v>
      </c>
      <c r="D1236" s="255" t="s">
        <v>99</v>
      </c>
      <c r="E1236" s="255" t="s">
        <v>280</v>
      </c>
      <c r="F1236" s="258">
        <v>144.94</v>
      </c>
      <c r="G1236" s="255" t="s">
        <v>5106</v>
      </c>
      <c r="H1236" s="255" t="s">
        <v>114</v>
      </c>
      <c r="I1236" s="250" t="s">
        <v>488</v>
      </c>
      <c r="J1236" s="255" t="s">
        <v>114</v>
      </c>
      <c r="K1236" s="255" t="s">
        <v>466</v>
      </c>
      <c r="L1236" s="250" t="s">
        <v>489</v>
      </c>
      <c r="M1236" s="277" t="s">
        <v>114</v>
      </c>
      <c r="N1236" s="278">
        <v>44377</v>
      </c>
      <c r="O1236" s="329" t="s">
        <v>67</v>
      </c>
      <c r="P1236" s="330">
        <f t="shared" ref="P1236:Q1236" si="1232">IF(B1236=0,0,IF(YEAR(B1236)=$Q$1,MONTH(B1236)-$P$1+1,(YEAR(B1236)-$Q$1)*12-$P$1+1+MONTH(B1236)))</f>
        <v>6</v>
      </c>
      <c r="Q1236" s="330">
        <f t="shared" si="1232"/>
        <v>6</v>
      </c>
      <c r="R1236" s="331" t="str">
        <f t="shared" si="1"/>
        <v>Gastos_Gerais</v>
      </c>
      <c r="S1236" s="331" t="str">
        <f>IF(D1236="","",IF(OR(D1236=Plano!$A$1,D1236=Plano!$B$1),"entrada","saída"))</f>
        <v>saída</v>
      </c>
      <c r="T1236" s="332" t="s">
        <v>114</v>
      </c>
      <c r="U1236" s="332" t="s">
        <v>114</v>
      </c>
      <c r="V1236" s="344"/>
    </row>
    <row r="1237" spans="1:22" ht="53.25" customHeight="1" x14ac:dyDescent="0.2">
      <c r="A1237" s="277" t="str">
        <f>IF(B1237="","",COUNT('Diário 5º PA'!$A$5:$A$2634)+ROW()-4)</f>
        <v/>
      </c>
      <c r="B1237" s="278"/>
      <c r="C1237" s="335"/>
      <c r="D1237" s="255"/>
      <c r="E1237" s="255"/>
      <c r="F1237" s="258"/>
      <c r="G1237" s="255"/>
      <c r="H1237" s="255"/>
      <c r="I1237" s="250"/>
      <c r="J1237" s="255"/>
      <c r="K1237" s="255"/>
      <c r="L1237" s="250"/>
      <c r="M1237" s="277"/>
      <c r="N1237" s="278"/>
      <c r="O1237" s="329"/>
      <c r="P1237" s="330">
        <f t="shared" ref="P1237:Q1237" si="1233">IF(B1237=0,0,IF(YEAR(B1237)=$Q$1,MONTH(B1237)-$P$1+1,(YEAR(B1237)-$Q$1)*12-$P$1+1+MONTH(B1237)))</f>
        <v>0</v>
      </c>
      <c r="Q1237" s="330">
        <f t="shared" si="1233"/>
        <v>0</v>
      </c>
      <c r="R1237" s="331" t="str">
        <f t="shared" si="1"/>
        <v/>
      </c>
      <c r="S1237" s="331" t="str">
        <f>IF(D1237="","",IF(OR(D1237=Plano!$A$1,D1237=Plano!$B$1),"entrada","saída"))</f>
        <v/>
      </c>
      <c r="T1237" s="332"/>
      <c r="U1237" s="332"/>
      <c r="V1237" s="344"/>
    </row>
    <row r="1238" spans="1:22" ht="12.75" customHeight="1" x14ac:dyDescent="0.2">
      <c r="A1238" s="277" t="str">
        <f>IF(B1238="","",COUNT('Diário 5º PA'!$A$5:$A$2634)+ROW()-4)</f>
        <v/>
      </c>
      <c r="B1238" s="278"/>
      <c r="C1238" s="335"/>
      <c r="D1238" s="255"/>
      <c r="E1238" s="255"/>
      <c r="F1238" s="258"/>
      <c r="G1238" s="255"/>
      <c r="H1238" s="255"/>
      <c r="I1238" s="250"/>
      <c r="J1238" s="255"/>
      <c r="K1238" s="255"/>
      <c r="L1238" s="250"/>
      <c r="M1238" s="277"/>
      <c r="N1238" s="277"/>
      <c r="O1238" s="329"/>
      <c r="P1238" s="402">
        <f t="shared" ref="P1238:Q1238" si="1234">IF(B1238=0,0,IF(YEAR(B1238)=$Q$1,MONTH(B1238)-$P$1+1,(YEAR(B1238)-$Q$1)*12-$P$1+1+MONTH(B1238)))</f>
        <v>0</v>
      </c>
      <c r="Q1238" s="402">
        <f t="shared" si="1234"/>
        <v>0</v>
      </c>
      <c r="R1238" s="356" t="str">
        <f t="shared" si="1"/>
        <v/>
      </c>
      <c r="S1238" s="356" t="str">
        <f>IF(D1238="","",IF(OR(D1238=Plano!$A$1,D1238=Plano!$B$1),"entrada","saída"))</f>
        <v/>
      </c>
      <c r="T1238" s="345"/>
      <c r="U1238" s="345"/>
      <c r="V1238" s="344"/>
    </row>
    <row r="1239" spans="1:22" ht="12.75" customHeight="1" x14ac:dyDescent="0.2">
      <c r="A1239" s="277" t="str">
        <f>IF(B1239="","",COUNT('Diário 5º PA'!$A$5:$A$2634)+ROW()-4)</f>
        <v/>
      </c>
      <c r="B1239" s="278"/>
      <c r="C1239" s="335"/>
      <c r="D1239" s="255"/>
      <c r="E1239" s="255"/>
      <c r="F1239" s="258"/>
      <c r="G1239" s="255"/>
      <c r="H1239" s="255"/>
      <c r="I1239" s="250"/>
      <c r="J1239" s="255"/>
      <c r="K1239" s="255"/>
      <c r="L1239" s="250"/>
      <c r="M1239" s="277"/>
      <c r="N1239" s="277"/>
      <c r="O1239" s="329"/>
      <c r="P1239" s="402">
        <f t="shared" ref="P1239:Q1239" si="1235">IF(B1239=0,0,IF(YEAR(B1239)=$Q$1,MONTH(B1239)-$P$1+1,(YEAR(B1239)-$Q$1)*12-$P$1+1+MONTH(B1239)))</f>
        <v>0</v>
      </c>
      <c r="Q1239" s="402">
        <f t="shared" si="1235"/>
        <v>0</v>
      </c>
      <c r="R1239" s="356" t="str">
        <f t="shared" si="1"/>
        <v/>
      </c>
      <c r="S1239" s="356" t="str">
        <f>IF(D1239="","",IF(OR(D1239=Plano!$A$1,D1239=Plano!$B$1),"entrada","saída"))</f>
        <v/>
      </c>
      <c r="T1239" s="345"/>
      <c r="U1239" s="345"/>
      <c r="V1239" s="344"/>
    </row>
    <row r="1240" spans="1:22" ht="12.75" customHeight="1" x14ac:dyDescent="0.2">
      <c r="A1240" s="277" t="str">
        <f>IF(B1240="","",COUNT('Diário 5º PA'!$A$5:$A$2634)+ROW()-4)</f>
        <v/>
      </c>
      <c r="B1240" s="278"/>
      <c r="C1240" s="335"/>
      <c r="D1240" s="255"/>
      <c r="E1240" s="255"/>
      <c r="F1240" s="258"/>
      <c r="G1240" s="255"/>
      <c r="H1240" s="255"/>
      <c r="I1240" s="250"/>
      <c r="J1240" s="255"/>
      <c r="K1240" s="255"/>
      <c r="L1240" s="250"/>
      <c r="M1240" s="277"/>
      <c r="N1240" s="277"/>
      <c r="O1240" s="329"/>
      <c r="P1240" s="402">
        <f t="shared" ref="P1240:Q1240" si="1236">IF(B1240=0,0,IF(YEAR(B1240)=$Q$1,MONTH(B1240)-$P$1+1,(YEAR(B1240)-$Q$1)*12-$P$1+1+MONTH(B1240)))</f>
        <v>0</v>
      </c>
      <c r="Q1240" s="402">
        <f t="shared" si="1236"/>
        <v>0</v>
      </c>
      <c r="R1240" s="356" t="str">
        <f t="shared" si="1"/>
        <v/>
      </c>
      <c r="S1240" s="356" t="str">
        <f>IF(D1240="","",IF(OR(D1240=Plano!$A$1,D1240=Plano!$B$1),"entrada","saída"))</f>
        <v/>
      </c>
      <c r="T1240" s="345"/>
      <c r="U1240" s="345"/>
      <c r="V1240" s="344"/>
    </row>
    <row r="1241" spans="1:22" ht="12.75" customHeight="1" x14ac:dyDescent="0.2">
      <c r="A1241" s="277" t="str">
        <f>IF(B1241="","",COUNT('Diário 5º PA'!$A$5:$A$2634)+ROW()-4)</f>
        <v/>
      </c>
      <c r="B1241" s="278"/>
      <c r="C1241" s="335"/>
      <c r="D1241" s="255"/>
      <c r="E1241" s="255"/>
      <c r="F1241" s="258"/>
      <c r="G1241" s="255"/>
      <c r="H1241" s="255"/>
      <c r="I1241" s="250"/>
      <c r="J1241" s="255"/>
      <c r="K1241" s="255"/>
      <c r="L1241" s="250"/>
      <c r="M1241" s="277"/>
      <c r="N1241" s="278"/>
      <c r="O1241" s="329"/>
      <c r="P1241" s="402">
        <f t="shared" ref="P1241:Q1241" si="1237">IF(B1241=0,0,IF(YEAR(B1241)=$Q$1,MONTH(B1241)-$P$1+1,(YEAR(B1241)-$Q$1)*12-$P$1+1+MONTH(B1241)))</f>
        <v>0</v>
      </c>
      <c r="Q1241" s="402">
        <f t="shared" si="1237"/>
        <v>0</v>
      </c>
      <c r="R1241" s="356" t="str">
        <f t="shared" si="1"/>
        <v/>
      </c>
      <c r="S1241" s="356" t="str">
        <f>IF(D1241="","",IF(OR(D1241=Plano!$A$1,D1241=Plano!$B$1),"entrada","saída"))</f>
        <v/>
      </c>
      <c r="T1241" s="345"/>
      <c r="U1241" s="345"/>
      <c r="V1241" s="344"/>
    </row>
    <row r="1242" spans="1:22" ht="12.75" customHeight="1" x14ac:dyDescent="0.2">
      <c r="A1242" s="277" t="str">
        <f>IF(B1242="","",COUNT('Diário 5º PA'!$A$5:$A$2634)+ROW()-4)</f>
        <v/>
      </c>
      <c r="B1242" s="278"/>
      <c r="C1242" s="335"/>
      <c r="D1242" s="255"/>
      <c r="E1242" s="255"/>
      <c r="F1242" s="258"/>
      <c r="G1242" s="255"/>
      <c r="H1242" s="255"/>
      <c r="I1242" s="250"/>
      <c r="J1242" s="255"/>
      <c r="K1242" s="255"/>
      <c r="L1242" s="250"/>
      <c r="M1242" s="277"/>
      <c r="N1242" s="278"/>
      <c r="O1242" s="329"/>
      <c r="P1242" s="402">
        <f t="shared" ref="P1242:Q1242" si="1238">IF(B1242=0,0,IF(YEAR(B1242)=$Q$1,MONTH(B1242)-$P$1+1,(YEAR(B1242)-$Q$1)*12-$P$1+1+MONTH(B1242)))</f>
        <v>0</v>
      </c>
      <c r="Q1242" s="402">
        <f t="shared" si="1238"/>
        <v>0</v>
      </c>
      <c r="R1242" s="356" t="str">
        <f t="shared" si="1"/>
        <v/>
      </c>
      <c r="S1242" s="356" t="str">
        <f>IF(D1242="","",IF(OR(D1242=Plano!$A$1,D1242=Plano!$B$1),"entrada","saída"))</f>
        <v/>
      </c>
      <c r="T1242" s="345"/>
      <c r="U1242" s="345"/>
      <c r="V1242" s="344"/>
    </row>
    <row r="1243" spans="1:22" ht="12.75" customHeight="1" x14ac:dyDescent="0.2">
      <c r="A1243" s="277" t="str">
        <f>IF(B1243="","",COUNT('Diário 5º PA'!$A$5:$A$2634)+ROW()-4)</f>
        <v/>
      </c>
      <c r="B1243" s="278"/>
      <c r="C1243" s="335"/>
      <c r="D1243" s="255"/>
      <c r="E1243" s="255"/>
      <c r="F1243" s="258"/>
      <c r="G1243" s="255"/>
      <c r="H1243" s="255"/>
      <c r="I1243" s="250"/>
      <c r="J1243" s="255"/>
      <c r="K1243" s="255"/>
      <c r="L1243" s="250"/>
      <c r="M1243" s="277"/>
      <c r="N1243" s="278"/>
      <c r="O1243" s="329"/>
      <c r="P1243" s="402">
        <f t="shared" ref="P1243:Q1243" si="1239">IF(B1243=0,0,IF(YEAR(B1243)=$Q$1,MONTH(B1243)-$P$1+1,(YEAR(B1243)-$Q$1)*12-$P$1+1+MONTH(B1243)))</f>
        <v>0</v>
      </c>
      <c r="Q1243" s="402">
        <f t="shared" si="1239"/>
        <v>0</v>
      </c>
      <c r="R1243" s="356" t="str">
        <f t="shared" si="1"/>
        <v/>
      </c>
      <c r="S1243" s="356" t="str">
        <f>IF(D1243="","",IF(OR(D1243=Plano!$A$1,D1243=Plano!$B$1),"entrada","saída"))</f>
        <v/>
      </c>
      <c r="T1243" s="345"/>
      <c r="U1243" s="345"/>
      <c r="V1243" s="344"/>
    </row>
    <row r="1244" spans="1:22" ht="12.75" customHeight="1" x14ac:dyDescent="0.2">
      <c r="A1244" s="277" t="str">
        <f>IF(B1244="","",COUNT('Diário 5º PA'!$A$5:$A$2634)+ROW()-4)</f>
        <v/>
      </c>
      <c r="B1244" s="278"/>
      <c r="C1244" s="335"/>
      <c r="D1244" s="255"/>
      <c r="E1244" s="255"/>
      <c r="F1244" s="258"/>
      <c r="G1244" s="255"/>
      <c r="H1244" s="255"/>
      <c r="I1244" s="250"/>
      <c r="J1244" s="255"/>
      <c r="K1244" s="255"/>
      <c r="L1244" s="250"/>
      <c r="M1244" s="277"/>
      <c r="N1244" s="278"/>
      <c r="O1244" s="329"/>
      <c r="P1244" s="402">
        <f t="shared" ref="P1244:Q1244" si="1240">IF(B1244=0,0,IF(YEAR(B1244)=$Q$1,MONTH(B1244)-$P$1+1,(YEAR(B1244)-$Q$1)*12-$P$1+1+MONTH(B1244)))</f>
        <v>0</v>
      </c>
      <c r="Q1244" s="402">
        <f t="shared" si="1240"/>
        <v>0</v>
      </c>
      <c r="R1244" s="356" t="str">
        <f t="shared" si="1"/>
        <v/>
      </c>
      <c r="S1244" s="356" t="str">
        <f>IF(D1244="","",IF(OR(D1244=Plano!$A$1,D1244=Plano!$B$1),"entrada","saída"))</f>
        <v/>
      </c>
      <c r="T1244" s="345"/>
      <c r="U1244" s="345"/>
      <c r="V1244" s="344"/>
    </row>
    <row r="1245" spans="1:22" ht="12.75" customHeight="1" x14ac:dyDescent="0.2">
      <c r="A1245" s="277" t="str">
        <f>IF(B1245="","",COUNT('Diário 5º PA'!$A$5:$A$2634)+ROW()-4)</f>
        <v/>
      </c>
      <c r="B1245" s="278"/>
      <c r="C1245" s="335"/>
      <c r="D1245" s="255"/>
      <c r="E1245" s="255"/>
      <c r="F1245" s="258"/>
      <c r="G1245" s="255"/>
      <c r="H1245" s="255"/>
      <c r="I1245" s="250"/>
      <c r="J1245" s="255"/>
      <c r="K1245" s="255"/>
      <c r="L1245" s="250"/>
      <c r="M1245" s="277"/>
      <c r="N1245" s="278"/>
      <c r="O1245" s="329"/>
      <c r="P1245" s="402">
        <f t="shared" ref="P1245:Q1245" si="1241">IF(B1245=0,0,IF(YEAR(B1245)=$Q$1,MONTH(B1245)-$P$1+1,(YEAR(B1245)-$Q$1)*12-$P$1+1+MONTH(B1245)))</f>
        <v>0</v>
      </c>
      <c r="Q1245" s="402">
        <f t="shared" si="1241"/>
        <v>0</v>
      </c>
      <c r="R1245" s="356" t="str">
        <f t="shared" si="1"/>
        <v/>
      </c>
      <c r="S1245" s="356" t="str">
        <f>IF(D1245="","",IF(OR(D1245=Plano!$A$1,D1245=Plano!$B$1),"entrada","saída"))</f>
        <v/>
      </c>
      <c r="T1245" s="345"/>
      <c r="U1245" s="345"/>
      <c r="V1245" s="344"/>
    </row>
    <row r="1246" spans="1:22" ht="12.75" customHeight="1" x14ac:dyDescent="0.2">
      <c r="A1246" s="277" t="str">
        <f>IF(B1246="","",COUNT('Diário 5º PA'!$A$5:$A$2634)+ROW()-4)</f>
        <v/>
      </c>
      <c r="B1246" s="278"/>
      <c r="C1246" s="335"/>
      <c r="D1246" s="255"/>
      <c r="E1246" s="255"/>
      <c r="F1246" s="258"/>
      <c r="G1246" s="255"/>
      <c r="H1246" s="255"/>
      <c r="I1246" s="250"/>
      <c r="J1246" s="255"/>
      <c r="K1246" s="255"/>
      <c r="L1246" s="250"/>
      <c r="M1246" s="277"/>
      <c r="N1246" s="278"/>
      <c r="O1246" s="329"/>
      <c r="P1246" s="402">
        <f t="shared" ref="P1246:Q1246" si="1242">IF(B1246=0,0,IF(YEAR(B1246)=$Q$1,MONTH(B1246)-$P$1+1,(YEAR(B1246)-$Q$1)*12-$P$1+1+MONTH(B1246)))</f>
        <v>0</v>
      </c>
      <c r="Q1246" s="402">
        <f t="shared" si="1242"/>
        <v>0</v>
      </c>
      <c r="R1246" s="356" t="str">
        <f t="shared" si="1"/>
        <v/>
      </c>
      <c r="S1246" s="356" t="str">
        <f>IF(D1246="","",IF(OR(D1246=Plano!$A$1,D1246=Plano!$B$1),"entrada","saída"))</f>
        <v/>
      </c>
      <c r="T1246" s="345"/>
      <c r="U1246" s="345"/>
      <c r="V1246" s="344"/>
    </row>
    <row r="1247" spans="1:22" ht="12.75" customHeight="1" x14ac:dyDescent="0.2">
      <c r="A1247" s="277" t="str">
        <f>IF(B1247="","",COUNT('Diário 5º PA'!$A$5:$A$2634)+ROW()-4)</f>
        <v/>
      </c>
      <c r="B1247" s="278"/>
      <c r="C1247" s="335"/>
      <c r="D1247" s="255"/>
      <c r="E1247" s="255"/>
      <c r="F1247" s="258"/>
      <c r="G1247" s="255"/>
      <c r="H1247" s="255"/>
      <c r="I1247" s="250"/>
      <c r="J1247" s="255"/>
      <c r="K1247" s="255"/>
      <c r="L1247" s="250"/>
      <c r="M1247" s="277"/>
      <c r="N1247" s="278"/>
      <c r="O1247" s="329"/>
      <c r="P1247" s="402">
        <f t="shared" ref="P1247:Q1247" si="1243">IF(B1247=0,0,IF(YEAR(B1247)=$Q$1,MONTH(B1247)-$P$1+1,(YEAR(B1247)-$Q$1)*12-$P$1+1+MONTH(B1247)))</f>
        <v>0</v>
      </c>
      <c r="Q1247" s="402">
        <f t="shared" si="1243"/>
        <v>0</v>
      </c>
      <c r="R1247" s="356" t="str">
        <f t="shared" si="1"/>
        <v/>
      </c>
      <c r="S1247" s="356" t="str">
        <f>IF(D1247="","",IF(OR(D1247=Plano!$A$1,D1247=Plano!$B$1),"entrada","saída"))</f>
        <v/>
      </c>
      <c r="T1247" s="345"/>
      <c r="U1247" s="345"/>
      <c r="V1247" s="344"/>
    </row>
    <row r="1248" spans="1:22" ht="12.75" customHeight="1" x14ac:dyDescent="0.2">
      <c r="A1248" s="277" t="str">
        <f>IF(B1248="","",COUNT('Diário 5º PA'!$A$5:$A$2634)+ROW()-4)</f>
        <v/>
      </c>
      <c r="B1248" s="278"/>
      <c r="C1248" s="335"/>
      <c r="D1248" s="255"/>
      <c r="E1248" s="255"/>
      <c r="F1248" s="258"/>
      <c r="G1248" s="255"/>
      <c r="H1248" s="255"/>
      <c r="I1248" s="250"/>
      <c r="J1248" s="255"/>
      <c r="K1248" s="255"/>
      <c r="L1248" s="250"/>
      <c r="M1248" s="277"/>
      <c r="N1248" s="278"/>
      <c r="O1248" s="329"/>
      <c r="P1248" s="402">
        <f t="shared" ref="P1248:Q1248" si="1244">IF(B1248=0,0,IF(YEAR(B1248)=$Q$1,MONTH(B1248)-$P$1+1,(YEAR(B1248)-$Q$1)*12-$P$1+1+MONTH(B1248)))</f>
        <v>0</v>
      </c>
      <c r="Q1248" s="402">
        <f t="shared" si="1244"/>
        <v>0</v>
      </c>
      <c r="R1248" s="356" t="str">
        <f t="shared" si="1"/>
        <v/>
      </c>
      <c r="S1248" s="356" t="str">
        <f>IF(D1248="","",IF(OR(D1248=Plano!$A$1,D1248=Plano!$B$1),"entrada","saída"))</f>
        <v/>
      </c>
      <c r="T1248" s="345"/>
      <c r="U1248" s="345"/>
      <c r="V1248" s="344"/>
    </row>
    <row r="1249" spans="1:22" ht="12.75" customHeight="1" x14ac:dyDescent="0.2">
      <c r="A1249" s="277" t="str">
        <f>IF(B1249="","",COUNT('Diário 5º PA'!$A$5:$A$2634)+ROW()-4)</f>
        <v/>
      </c>
      <c r="B1249" s="278"/>
      <c r="C1249" s="335"/>
      <c r="D1249" s="255"/>
      <c r="E1249" s="255"/>
      <c r="F1249" s="258"/>
      <c r="G1249" s="255"/>
      <c r="H1249" s="255"/>
      <c r="I1249" s="250"/>
      <c r="J1249" s="255"/>
      <c r="K1249" s="255"/>
      <c r="L1249" s="250"/>
      <c r="M1249" s="277"/>
      <c r="N1249" s="278"/>
      <c r="O1249" s="329"/>
      <c r="P1249" s="402">
        <f t="shared" ref="P1249:Q1249" si="1245">IF(B1249=0,0,IF(YEAR(B1249)=$Q$1,MONTH(B1249)-$P$1+1,(YEAR(B1249)-$Q$1)*12-$P$1+1+MONTH(B1249)))</f>
        <v>0</v>
      </c>
      <c r="Q1249" s="402">
        <f t="shared" si="1245"/>
        <v>0</v>
      </c>
      <c r="R1249" s="356" t="str">
        <f t="shared" si="1"/>
        <v/>
      </c>
      <c r="S1249" s="356" t="str">
        <f>IF(D1249="","",IF(OR(D1249=Plano!$A$1,D1249=Plano!$B$1),"entrada","saída"))</f>
        <v/>
      </c>
      <c r="T1249" s="345"/>
      <c r="U1249" s="345"/>
      <c r="V1249" s="344"/>
    </row>
    <row r="1250" spans="1:22" ht="12.75" customHeight="1" x14ac:dyDescent="0.2">
      <c r="A1250" s="277" t="str">
        <f>IF(B1250="","",COUNT('Diário 5º PA'!$A$5:$A$2634)+ROW()-4)</f>
        <v/>
      </c>
      <c r="B1250" s="278"/>
      <c r="C1250" s="335"/>
      <c r="D1250" s="255"/>
      <c r="E1250" s="255"/>
      <c r="F1250" s="258"/>
      <c r="G1250" s="255"/>
      <c r="H1250" s="255"/>
      <c r="I1250" s="250"/>
      <c r="J1250" s="255"/>
      <c r="K1250" s="255"/>
      <c r="L1250" s="250"/>
      <c r="M1250" s="277"/>
      <c r="N1250" s="278"/>
      <c r="O1250" s="329"/>
      <c r="P1250" s="402">
        <f t="shared" ref="P1250:Q1250" si="1246">IF(B1250=0,0,IF(YEAR(B1250)=$Q$1,MONTH(B1250)-$P$1+1,(YEAR(B1250)-$Q$1)*12-$P$1+1+MONTH(B1250)))</f>
        <v>0</v>
      </c>
      <c r="Q1250" s="402">
        <f t="shared" si="1246"/>
        <v>0</v>
      </c>
      <c r="R1250" s="356" t="str">
        <f t="shared" si="1"/>
        <v/>
      </c>
      <c r="S1250" s="356" t="str">
        <f>IF(D1250="","",IF(OR(D1250=Plano!$A$1,D1250=Plano!$B$1),"entrada","saída"))</f>
        <v/>
      </c>
      <c r="T1250" s="345"/>
      <c r="U1250" s="345"/>
      <c r="V1250" s="344"/>
    </row>
    <row r="1251" spans="1:22" ht="12.75" customHeight="1" x14ac:dyDescent="0.2">
      <c r="A1251" s="277" t="str">
        <f>IF(B1251="","",COUNT('Diário 5º PA'!$A$5:$A$2634)+ROW()-4)</f>
        <v/>
      </c>
      <c r="B1251" s="278"/>
      <c r="C1251" s="335"/>
      <c r="D1251" s="255"/>
      <c r="E1251" s="255"/>
      <c r="F1251" s="258"/>
      <c r="G1251" s="255"/>
      <c r="H1251" s="255"/>
      <c r="I1251" s="250"/>
      <c r="J1251" s="255"/>
      <c r="K1251" s="255"/>
      <c r="L1251" s="250"/>
      <c r="M1251" s="277"/>
      <c r="N1251" s="278"/>
      <c r="O1251" s="329"/>
      <c r="P1251" s="402">
        <f t="shared" ref="P1251:Q1251" si="1247">IF(B1251=0,0,IF(YEAR(B1251)=$Q$1,MONTH(B1251)-$P$1+1,(YEAR(B1251)-$Q$1)*12-$P$1+1+MONTH(B1251)))</f>
        <v>0</v>
      </c>
      <c r="Q1251" s="402">
        <f t="shared" si="1247"/>
        <v>0</v>
      </c>
      <c r="R1251" s="356" t="str">
        <f t="shared" si="1"/>
        <v/>
      </c>
      <c r="S1251" s="356" t="str">
        <f>IF(D1251="","",IF(OR(D1251=Plano!$A$1,D1251=Plano!$B$1),"entrada","saída"))</f>
        <v/>
      </c>
      <c r="T1251" s="345"/>
      <c r="U1251" s="345"/>
      <c r="V1251" s="344"/>
    </row>
    <row r="1252" spans="1:22" ht="12.75" customHeight="1" x14ac:dyDescent="0.2">
      <c r="A1252" s="277" t="str">
        <f>IF(B1252="","",COUNT('Diário 5º PA'!$A$5:$A$2634)+ROW()-4)</f>
        <v/>
      </c>
      <c r="B1252" s="278"/>
      <c r="C1252" s="335"/>
      <c r="D1252" s="255"/>
      <c r="E1252" s="255"/>
      <c r="F1252" s="258"/>
      <c r="G1252" s="255"/>
      <c r="H1252" s="255"/>
      <c r="I1252" s="250"/>
      <c r="J1252" s="255"/>
      <c r="K1252" s="255"/>
      <c r="L1252" s="250"/>
      <c r="M1252" s="277"/>
      <c r="N1252" s="278"/>
      <c r="O1252" s="329"/>
      <c r="P1252" s="402">
        <f t="shared" ref="P1252:Q1252" si="1248">IF(B1252=0,0,IF(YEAR(B1252)=$Q$1,MONTH(B1252)-$P$1+1,(YEAR(B1252)-$Q$1)*12-$P$1+1+MONTH(B1252)))</f>
        <v>0</v>
      </c>
      <c r="Q1252" s="402">
        <f t="shared" si="1248"/>
        <v>0</v>
      </c>
      <c r="R1252" s="356" t="str">
        <f t="shared" si="1"/>
        <v/>
      </c>
      <c r="S1252" s="356" t="str">
        <f>IF(D1252="","",IF(OR(D1252=Plano!$A$1,D1252=Plano!$B$1),"entrada","saída"))</f>
        <v/>
      </c>
      <c r="T1252" s="345"/>
      <c r="U1252" s="345"/>
      <c r="V1252" s="344"/>
    </row>
    <row r="1253" spans="1:22" ht="12.75" customHeight="1" x14ac:dyDescent="0.2">
      <c r="A1253" s="277" t="str">
        <f>IF(B1253="","",COUNT('Diário 5º PA'!$A$5:$A$2634)+ROW()-4)</f>
        <v/>
      </c>
      <c r="B1253" s="278"/>
      <c r="C1253" s="335"/>
      <c r="D1253" s="255"/>
      <c r="E1253" s="255"/>
      <c r="F1253" s="258"/>
      <c r="G1253" s="255"/>
      <c r="H1253" s="255"/>
      <c r="I1253" s="250"/>
      <c r="J1253" s="255"/>
      <c r="K1253" s="255"/>
      <c r="L1253" s="250"/>
      <c r="M1253" s="277"/>
      <c r="N1253" s="278"/>
      <c r="O1253" s="329"/>
      <c r="P1253" s="402">
        <f t="shared" ref="P1253:Q1253" si="1249">IF(B1253=0,0,IF(YEAR(B1253)=$Q$1,MONTH(B1253)-$P$1+1,(YEAR(B1253)-$Q$1)*12-$P$1+1+MONTH(B1253)))</f>
        <v>0</v>
      </c>
      <c r="Q1253" s="402">
        <f t="shared" si="1249"/>
        <v>0</v>
      </c>
      <c r="R1253" s="356" t="str">
        <f t="shared" si="1"/>
        <v/>
      </c>
      <c r="S1253" s="356" t="str">
        <f>IF(D1253="","",IF(OR(D1253=Plano!$A$1,D1253=Plano!$B$1),"entrada","saída"))</f>
        <v/>
      </c>
      <c r="T1253" s="345"/>
      <c r="U1253" s="345"/>
      <c r="V1253" s="344"/>
    </row>
    <row r="1254" spans="1:22" ht="12.75" customHeight="1" x14ac:dyDescent="0.2">
      <c r="A1254" s="277" t="str">
        <f>IF(B1254="","",COUNT('Diário 5º PA'!$A$5:$A$2634)+ROW()-4)</f>
        <v/>
      </c>
      <c r="B1254" s="278"/>
      <c r="C1254" s="335"/>
      <c r="D1254" s="255"/>
      <c r="E1254" s="255"/>
      <c r="F1254" s="258"/>
      <c r="G1254" s="255"/>
      <c r="H1254" s="255"/>
      <c r="I1254" s="250"/>
      <c r="J1254" s="255"/>
      <c r="K1254" s="255"/>
      <c r="L1254" s="250"/>
      <c r="M1254" s="277"/>
      <c r="N1254" s="278"/>
      <c r="O1254" s="329"/>
      <c r="P1254" s="402">
        <f t="shared" ref="P1254:Q1254" si="1250">IF(B1254=0,0,IF(YEAR(B1254)=$Q$1,MONTH(B1254)-$P$1+1,(YEAR(B1254)-$Q$1)*12-$P$1+1+MONTH(B1254)))</f>
        <v>0</v>
      </c>
      <c r="Q1254" s="402">
        <f t="shared" si="1250"/>
        <v>0</v>
      </c>
      <c r="R1254" s="356" t="str">
        <f t="shared" si="1"/>
        <v/>
      </c>
      <c r="S1254" s="356" t="str">
        <f>IF(D1254="","",IF(OR(D1254=Plano!$A$1,D1254=Plano!$B$1),"entrada","saída"))</f>
        <v/>
      </c>
      <c r="T1254" s="345"/>
      <c r="U1254" s="345"/>
      <c r="V1254" s="344"/>
    </row>
    <row r="1255" spans="1:22" ht="12.75" customHeight="1" x14ac:dyDescent="0.2">
      <c r="A1255" s="277" t="str">
        <f>IF(B1255="","",COUNT('Diário 5º PA'!$A$5:$A$2634)+ROW()-4)</f>
        <v/>
      </c>
      <c r="B1255" s="278"/>
      <c r="C1255" s="335"/>
      <c r="D1255" s="255"/>
      <c r="E1255" s="255"/>
      <c r="F1255" s="258"/>
      <c r="G1255" s="255"/>
      <c r="H1255" s="255"/>
      <c r="I1255" s="250"/>
      <c r="J1255" s="255"/>
      <c r="K1255" s="255"/>
      <c r="L1255" s="250"/>
      <c r="M1255" s="277"/>
      <c r="N1255" s="278"/>
      <c r="O1255" s="329"/>
      <c r="P1255" s="402">
        <f t="shared" ref="P1255:Q1255" si="1251">IF(B1255=0,0,IF(YEAR(B1255)=$Q$1,MONTH(B1255)-$P$1+1,(YEAR(B1255)-$Q$1)*12-$P$1+1+MONTH(B1255)))</f>
        <v>0</v>
      </c>
      <c r="Q1255" s="402">
        <f t="shared" si="1251"/>
        <v>0</v>
      </c>
      <c r="R1255" s="356" t="str">
        <f t="shared" si="1"/>
        <v/>
      </c>
      <c r="S1255" s="356" t="str">
        <f>IF(D1255="","",IF(OR(D1255=Plano!$A$1,D1255=Plano!$B$1),"entrada","saída"))</f>
        <v/>
      </c>
      <c r="T1255" s="345"/>
      <c r="U1255" s="345"/>
      <c r="V1255" s="344"/>
    </row>
    <row r="1256" spans="1:22" ht="12.75" customHeight="1" x14ac:dyDescent="0.2">
      <c r="A1256" s="277" t="str">
        <f>IF(B1256="","",COUNT('Diário 5º PA'!$A$5:$A$2634)+ROW()-4)</f>
        <v/>
      </c>
      <c r="B1256" s="278"/>
      <c r="C1256" s="335"/>
      <c r="D1256" s="255"/>
      <c r="E1256" s="255"/>
      <c r="F1256" s="258"/>
      <c r="G1256" s="255"/>
      <c r="H1256" s="255"/>
      <c r="I1256" s="250"/>
      <c r="J1256" s="255"/>
      <c r="K1256" s="255"/>
      <c r="L1256" s="250"/>
      <c r="M1256" s="277"/>
      <c r="N1256" s="278"/>
      <c r="O1256" s="329"/>
      <c r="P1256" s="402">
        <f t="shared" ref="P1256:Q1256" si="1252">IF(B1256=0,0,IF(YEAR(B1256)=$Q$1,MONTH(B1256)-$P$1+1,(YEAR(B1256)-$Q$1)*12-$P$1+1+MONTH(B1256)))</f>
        <v>0</v>
      </c>
      <c r="Q1256" s="402">
        <f t="shared" si="1252"/>
        <v>0</v>
      </c>
      <c r="R1256" s="356" t="str">
        <f t="shared" si="1"/>
        <v/>
      </c>
      <c r="S1256" s="356" t="str">
        <f>IF(D1256="","",IF(OR(D1256=Plano!$A$1,D1256=Plano!$B$1),"entrada","saída"))</f>
        <v/>
      </c>
      <c r="T1256" s="345"/>
      <c r="U1256" s="345"/>
      <c r="V1256" s="344"/>
    </row>
    <row r="1257" spans="1:22" ht="12.75" customHeight="1" x14ac:dyDescent="0.2">
      <c r="A1257" s="277" t="str">
        <f>IF(B1257="","",COUNT('Diário 5º PA'!$A$5:$A$2634)+ROW()-4)</f>
        <v/>
      </c>
      <c r="B1257" s="278"/>
      <c r="C1257" s="335"/>
      <c r="D1257" s="255"/>
      <c r="E1257" s="255"/>
      <c r="F1257" s="258"/>
      <c r="G1257" s="255"/>
      <c r="H1257" s="255"/>
      <c r="I1257" s="250"/>
      <c r="J1257" s="255"/>
      <c r="K1257" s="255"/>
      <c r="L1257" s="250"/>
      <c r="M1257" s="277"/>
      <c r="N1257" s="278"/>
      <c r="O1257" s="329"/>
      <c r="P1257" s="402">
        <f t="shared" ref="P1257:Q1257" si="1253">IF(B1257=0,0,IF(YEAR(B1257)=$Q$1,MONTH(B1257)-$P$1+1,(YEAR(B1257)-$Q$1)*12-$P$1+1+MONTH(B1257)))</f>
        <v>0</v>
      </c>
      <c r="Q1257" s="402">
        <f t="shared" si="1253"/>
        <v>0</v>
      </c>
      <c r="R1257" s="356" t="str">
        <f t="shared" si="1"/>
        <v/>
      </c>
      <c r="S1257" s="356" t="str">
        <f>IF(D1257="","",IF(OR(D1257=Plano!$A$1,D1257=Plano!$B$1),"entrada","saída"))</f>
        <v/>
      </c>
      <c r="T1257" s="345"/>
      <c r="U1257" s="345"/>
      <c r="V1257" s="344"/>
    </row>
    <row r="1258" spans="1:22" ht="12.75" customHeight="1" x14ac:dyDescent="0.2">
      <c r="A1258" s="277" t="str">
        <f>IF(B1258="","",COUNT('Diário 5º PA'!$A$5:$A$2634)+ROW()-4)</f>
        <v/>
      </c>
      <c r="B1258" s="278"/>
      <c r="C1258" s="335"/>
      <c r="D1258" s="255"/>
      <c r="E1258" s="255"/>
      <c r="F1258" s="258"/>
      <c r="G1258" s="255"/>
      <c r="H1258" s="255"/>
      <c r="I1258" s="250"/>
      <c r="J1258" s="255"/>
      <c r="K1258" s="255"/>
      <c r="L1258" s="250"/>
      <c r="M1258" s="277"/>
      <c r="N1258" s="278"/>
      <c r="O1258" s="329"/>
      <c r="P1258" s="402">
        <f t="shared" ref="P1258:Q1258" si="1254">IF(B1258=0,0,IF(YEAR(B1258)=$Q$1,MONTH(B1258)-$P$1+1,(YEAR(B1258)-$Q$1)*12-$P$1+1+MONTH(B1258)))</f>
        <v>0</v>
      </c>
      <c r="Q1258" s="402">
        <f t="shared" si="1254"/>
        <v>0</v>
      </c>
      <c r="R1258" s="356" t="str">
        <f t="shared" si="1"/>
        <v/>
      </c>
      <c r="S1258" s="356" t="str">
        <f>IF(D1258="","",IF(OR(D1258=Plano!$A$1,D1258=Plano!$B$1),"entrada","saída"))</f>
        <v/>
      </c>
      <c r="T1258" s="345"/>
      <c r="U1258" s="345"/>
      <c r="V1258" s="344"/>
    </row>
    <row r="1259" spans="1:22" ht="12.75" customHeight="1" x14ac:dyDescent="0.2">
      <c r="A1259" s="277" t="str">
        <f>IF(B1259="","",COUNT('Diário 5º PA'!$A$5:$A$2634)+ROW()-4)</f>
        <v/>
      </c>
      <c r="B1259" s="278"/>
      <c r="C1259" s="335"/>
      <c r="D1259" s="255"/>
      <c r="E1259" s="255"/>
      <c r="F1259" s="258"/>
      <c r="G1259" s="255"/>
      <c r="H1259" s="255"/>
      <c r="I1259" s="250"/>
      <c r="J1259" s="255"/>
      <c r="K1259" s="255"/>
      <c r="L1259" s="250"/>
      <c r="M1259" s="277"/>
      <c r="N1259" s="278"/>
      <c r="O1259" s="329"/>
      <c r="P1259" s="402">
        <f t="shared" ref="P1259:Q1259" si="1255">IF(B1259=0,0,IF(YEAR(B1259)=$Q$1,MONTH(B1259)-$P$1+1,(YEAR(B1259)-$Q$1)*12-$P$1+1+MONTH(B1259)))</f>
        <v>0</v>
      </c>
      <c r="Q1259" s="402">
        <f t="shared" si="1255"/>
        <v>0</v>
      </c>
      <c r="R1259" s="356" t="str">
        <f t="shared" si="1"/>
        <v/>
      </c>
      <c r="S1259" s="356" t="str">
        <f>IF(D1259="","",IF(OR(D1259=Plano!$A$1,D1259=Plano!$B$1),"entrada","saída"))</f>
        <v/>
      </c>
      <c r="T1259" s="345"/>
      <c r="U1259" s="345"/>
      <c r="V1259" s="344"/>
    </row>
    <row r="1260" spans="1:22" ht="12.75" customHeight="1" x14ac:dyDescent="0.2">
      <c r="A1260" s="277" t="str">
        <f>IF(B1260="","",COUNT('Diário 5º PA'!$A$5:$A$2634)+ROW()-4)</f>
        <v/>
      </c>
      <c r="B1260" s="278"/>
      <c r="C1260" s="335"/>
      <c r="D1260" s="255"/>
      <c r="E1260" s="255"/>
      <c r="F1260" s="258"/>
      <c r="G1260" s="255"/>
      <c r="H1260" s="255"/>
      <c r="I1260" s="250"/>
      <c r="J1260" s="255"/>
      <c r="K1260" s="255"/>
      <c r="L1260" s="250"/>
      <c r="M1260" s="277"/>
      <c r="N1260" s="278"/>
      <c r="O1260" s="329"/>
      <c r="P1260" s="402">
        <f t="shared" ref="P1260:Q1260" si="1256">IF(B1260=0,0,IF(YEAR(B1260)=$Q$1,MONTH(B1260)-$P$1+1,(YEAR(B1260)-$Q$1)*12-$P$1+1+MONTH(B1260)))</f>
        <v>0</v>
      </c>
      <c r="Q1260" s="402">
        <f t="shared" si="1256"/>
        <v>0</v>
      </c>
      <c r="R1260" s="356" t="str">
        <f t="shared" si="1"/>
        <v/>
      </c>
      <c r="S1260" s="356" t="str">
        <f>IF(D1260="","",IF(OR(D1260=Plano!$A$1,D1260=Plano!$B$1),"entrada","saída"))</f>
        <v/>
      </c>
      <c r="T1260" s="345"/>
      <c r="U1260" s="345"/>
      <c r="V1260" s="344"/>
    </row>
    <row r="1261" spans="1:22" ht="12.75" customHeight="1" x14ac:dyDescent="0.2">
      <c r="A1261" s="277" t="str">
        <f>IF(B1261="","",COUNT('Diário 5º PA'!$A$5:$A$2634)+ROW()-4)</f>
        <v/>
      </c>
      <c r="B1261" s="278"/>
      <c r="C1261" s="335"/>
      <c r="D1261" s="255"/>
      <c r="E1261" s="255"/>
      <c r="F1261" s="258"/>
      <c r="G1261" s="255"/>
      <c r="H1261" s="255"/>
      <c r="I1261" s="250"/>
      <c r="J1261" s="255"/>
      <c r="K1261" s="255"/>
      <c r="L1261" s="250"/>
      <c r="M1261" s="277"/>
      <c r="N1261" s="278"/>
      <c r="O1261" s="329"/>
      <c r="P1261" s="402">
        <f t="shared" ref="P1261:Q1261" si="1257">IF(B1261=0,0,IF(YEAR(B1261)=$Q$1,MONTH(B1261)-$P$1+1,(YEAR(B1261)-$Q$1)*12-$P$1+1+MONTH(B1261)))</f>
        <v>0</v>
      </c>
      <c r="Q1261" s="402">
        <f t="shared" si="1257"/>
        <v>0</v>
      </c>
      <c r="R1261" s="356" t="str">
        <f t="shared" si="1"/>
        <v/>
      </c>
      <c r="S1261" s="356" t="str">
        <f>IF(D1261="","",IF(OR(D1261=Plano!$A$1,D1261=Plano!$B$1),"entrada","saída"))</f>
        <v/>
      </c>
      <c r="T1261" s="345"/>
      <c r="U1261" s="345"/>
      <c r="V1261" s="344"/>
    </row>
    <row r="1262" spans="1:22" ht="12.75" customHeight="1" x14ac:dyDescent="0.2">
      <c r="A1262" s="277" t="str">
        <f>IF(B1262="","",COUNT('Diário 5º PA'!$A$5:$A$2634)+ROW()-4)</f>
        <v/>
      </c>
      <c r="B1262" s="278"/>
      <c r="C1262" s="335"/>
      <c r="D1262" s="255"/>
      <c r="E1262" s="255"/>
      <c r="F1262" s="258"/>
      <c r="G1262" s="255"/>
      <c r="H1262" s="255"/>
      <c r="I1262" s="250"/>
      <c r="J1262" s="255"/>
      <c r="K1262" s="255"/>
      <c r="L1262" s="250"/>
      <c r="M1262" s="277"/>
      <c r="N1262" s="278"/>
      <c r="O1262" s="329"/>
      <c r="P1262" s="402">
        <f t="shared" ref="P1262:Q1262" si="1258">IF(B1262=0,0,IF(YEAR(B1262)=$Q$1,MONTH(B1262)-$P$1+1,(YEAR(B1262)-$Q$1)*12-$P$1+1+MONTH(B1262)))</f>
        <v>0</v>
      </c>
      <c r="Q1262" s="402">
        <f t="shared" si="1258"/>
        <v>0</v>
      </c>
      <c r="R1262" s="356" t="str">
        <f t="shared" si="1"/>
        <v/>
      </c>
      <c r="S1262" s="356" t="str">
        <f>IF(D1262="","",IF(OR(D1262=Plano!$A$1,D1262=Plano!$B$1),"entrada","saída"))</f>
        <v/>
      </c>
      <c r="T1262" s="345"/>
      <c r="U1262" s="345"/>
      <c r="V1262" s="344"/>
    </row>
    <row r="1263" spans="1:22" ht="12.75" customHeight="1" x14ac:dyDescent="0.2">
      <c r="A1263" s="277" t="str">
        <f>IF(B1263="","",COUNT('Diário 5º PA'!$A$5:$A$2634)+ROW()-4)</f>
        <v/>
      </c>
      <c r="B1263" s="278"/>
      <c r="C1263" s="335"/>
      <c r="D1263" s="255"/>
      <c r="E1263" s="255"/>
      <c r="F1263" s="258"/>
      <c r="G1263" s="255"/>
      <c r="H1263" s="255"/>
      <c r="I1263" s="250"/>
      <c r="J1263" s="255"/>
      <c r="K1263" s="255"/>
      <c r="L1263" s="250"/>
      <c r="M1263" s="277"/>
      <c r="N1263" s="278"/>
      <c r="O1263" s="329"/>
      <c r="P1263" s="402">
        <f t="shared" ref="P1263:Q1263" si="1259">IF(B1263=0,0,IF(YEAR(B1263)=$Q$1,MONTH(B1263)-$P$1+1,(YEAR(B1263)-$Q$1)*12-$P$1+1+MONTH(B1263)))</f>
        <v>0</v>
      </c>
      <c r="Q1263" s="402">
        <f t="shared" si="1259"/>
        <v>0</v>
      </c>
      <c r="R1263" s="356" t="str">
        <f t="shared" si="1"/>
        <v/>
      </c>
      <c r="S1263" s="356" t="str">
        <f>IF(D1263="","",IF(OR(D1263=Plano!$A$1,D1263=Plano!$B$1),"entrada","saída"))</f>
        <v/>
      </c>
      <c r="T1263" s="345"/>
      <c r="U1263" s="345"/>
      <c r="V1263" s="344"/>
    </row>
    <row r="1264" spans="1:22" ht="12.75" customHeight="1" x14ac:dyDescent="0.2">
      <c r="A1264" s="277" t="str">
        <f>IF(B1264="","",COUNT('Diário 5º PA'!$A$5:$A$2634)+ROW()-4)</f>
        <v/>
      </c>
      <c r="B1264" s="278"/>
      <c r="C1264" s="335"/>
      <c r="D1264" s="255"/>
      <c r="E1264" s="255"/>
      <c r="F1264" s="258"/>
      <c r="G1264" s="255"/>
      <c r="H1264" s="255"/>
      <c r="I1264" s="250"/>
      <c r="J1264" s="255"/>
      <c r="K1264" s="255"/>
      <c r="L1264" s="250"/>
      <c r="M1264" s="277"/>
      <c r="N1264" s="278"/>
      <c r="O1264" s="329"/>
      <c r="P1264" s="402">
        <f t="shared" ref="P1264:Q1264" si="1260">IF(B1264=0,0,IF(YEAR(B1264)=$Q$1,MONTH(B1264)-$P$1+1,(YEAR(B1264)-$Q$1)*12-$P$1+1+MONTH(B1264)))</f>
        <v>0</v>
      </c>
      <c r="Q1264" s="402">
        <f t="shared" si="1260"/>
        <v>0</v>
      </c>
      <c r="R1264" s="356" t="str">
        <f t="shared" si="1"/>
        <v/>
      </c>
      <c r="S1264" s="356" t="str">
        <f>IF(D1264="","",IF(OR(D1264=Plano!$A$1,D1264=Plano!$B$1),"entrada","saída"))</f>
        <v/>
      </c>
      <c r="T1264" s="345"/>
      <c r="U1264" s="345"/>
      <c r="V1264" s="344"/>
    </row>
    <row r="1265" spans="1:22" ht="12.75" customHeight="1" x14ac:dyDescent="0.2">
      <c r="A1265" s="277" t="str">
        <f>IF(B1265="","",COUNT('Diário 5º PA'!$A$5:$A$2634)+ROW()-4)</f>
        <v/>
      </c>
      <c r="B1265" s="278"/>
      <c r="C1265" s="335"/>
      <c r="D1265" s="255"/>
      <c r="E1265" s="255"/>
      <c r="F1265" s="258"/>
      <c r="G1265" s="255"/>
      <c r="H1265" s="255"/>
      <c r="I1265" s="250"/>
      <c r="J1265" s="255"/>
      <c r="K1265" s="255"/>
      <c r="L1265" s="250"/>
      <c r="M1265" s="277"/>
      <c r="N1265" s="278"/>
      <c r="O1265" s="329"/>
      <c r="P1265" s="402">
        <f t="shared" ref="P1265:Q1265" si="1261">IF(B1265=0,0,IF(YEAR(B1265)=$Q$1,MONTH(B1265)-$P$1+1,(YEAR(B1265)-$Q$1)*12-$P$1+1+MONTH(B1265)))</f>
        <v>0</v>
      </c>
      <c r="Q1265" s="402">
        <f t="shared" si="1261"/>
        <v>0</v>
      </c>
      <c r="R1265" s="356" t="str">
        <f t="shared" si="1"/>
        <v/>
      </c>
      <c r="S1265" s="356" t="str">
        <f>IF(D1265="","",IF(OR(D1265=Plano!$A$1,D1265=Plano!$B$1),"entrada","saída"))</f>
        <v/>
      </c>
      <c r="T1265" s="345"/>
      <c r="U1265" s="345"/>
      <c r="V1265" s="344"/>
    </row>
    <row r="1266" spans="1:22" ht="12.75" customHeight="1" x14ac:dyDescent="0.2">
      <c r="A1266" s="277" t="str">
        <f>IF(B1266="","",COUNT('Diário 5º PA'!$A$5:$A$2634)+ROW()-4)</f>
        <v/>
      </c>
      <c r="B1266" s="278"/>
      <c r="C1266" s="335"/>
      <c r="D1266" s="255"/>
      <c r="E1266" s="255"/>
      <c r="F1266" s="258"/>
      <c r="G1266" s="255"/>
      <c r="H1266" s="255"/>
      <c r="I1266" s="250"/>
      <c r="J1266" s="255"/>
      <c r="K1266" s="255"/>
      <c r="L1266" s="250"/>
      <c r="M1266" s="277"/>
      <c r="N1266" s="278"/>
      <c r="O1266" s="329"/>
      <c r="P1266" s="402">
        <f t="shared" ref="P1266:Q1266" si="1262">IF(B1266=0,0,IF(YEAR(B1266)=$Q$1,MONTH(B1266)-$P$1+1,(YEAR(B1266)-$Q$1)*12-$P$1+1+MONTH(B1266)))</f>
        <v>0</v>
      </c>
      <c r="Q1266" s="402">
        <f t="shared" si="1262"/>
        <v>0</v>
      </c>
      <c r="R1266" s="356" t="str">
        <f t="shared" si="1"/>
        <v/>
      </c>
      <c r="S1266" s="356" t="str">
        <f>IF(D1266="","",IF(OR(D1266=Plano!$A$1,D1266=Plano!$B$1),"entrada","saída"))</f>
        <v/>
      </c>
      <c r="T1266" s="345"/>
      <c r="U1266" s="345"/>
      <c r="V1266" s="344"/>
    </row>
    <row r="1267" spans="1:22" ht="12.75" customHeight="1" x14ac:dyDescent="0.2">
      <c r="A1267" s="277" t="str">
        <f>IF(B1267="","",COUNT('Diário 5º PA'!$A$5:$A$2634)+ROW()-4)</f>
        <v/>
      </c>
      <c r="B1267" s="278"/>
      <c r="C1267" s="335"/>
      <c r="D1267" s="255"/>
      <c r="E1267" s="255"/>
      <c r="F1267" s="258"/>
      <c r="G1267" s="255"/>
      <c r="H1267" s="255"/>
      <c r="I1267" s="250"/>
      <c r="J1267" s="255"/>
      <c r="K1267" s="255"/>
      <c r="L1267" s="250"/>
      <c r="M1267" s="277"/>
      <c r="N1267" s="277"/>
      <c r="O1267" s="329"/>
      <c r="P1267" s="402">
        <f t="shared" ref="P1267:Q1267" si="1263">IF(B1267=0,0,IF(YEAR(B1267)=$Q$1,MONTH(B1267)-$P$1+1,(YEAR(B1267)-$Q$1)*12-$P$1+1+MONTH(B1267)))</f>
        <v>0</v>
      </c>
      <c r="Q1267" s="402">
        <f t="shared" si="1263"/>
        <v>0</v>
      </c>
      <c r="R1267" s="356" t="str">
        <f t="shared" si="1"/>
        <v/>
      </c>
      <c r="S1267" s="356" t="str">
        <f>IF(D1267="","",IF(OR(D1267=Plano!$A$1,D1267=Plano!$B$1),"entrada","saída"))</f>
        <v/>
      </c>
      <c r="T1267" s="345"/>
      <c r="U1267" s="345"/>
      <c r="V1267" s="344"/>
    </row>
    <row r="1268" spans="1:22" ht="12.75" customHeight="1" x14ac:dyDescent="0.2">
      <c r="A1268" s="277" t="str">
        <f>IF(B1268="","",COUNT('Diário 5º PA'!$A$5:$A$2634)+ROW()-4)</f>
        <v/>
      </c>
      <c r="B1268" s="278"/>
      <c r="C1268" s="335"/>
      <c r="D1268" s="255"/>
      <c r="E1268" s="255"/>
      <c r="F1268" s="258"/>
      <c r="G1268" s="255"/>
      <c r="H1268" s="255"/>
      <c r="I1268" s="250"/>
      <c r="J1268" s="255"/>
      <c r="K1268" s="255"/>
      <c r="L1268" s="250"/>
      <c r="M1268" s="277"/>
      <c r="N1268" s="277"/>
      <c r="O1268" s="329"/>
      <c r="P1268" s="402">
        <f t="shared" ref="P1268:Q1268" si="1264">IF(B1268=0,0,IF(YEAR(B1268)=$Q$1,MONTH(B1268)-$P$1+1,(YEAR(B1268)-$Q$1)*12-$P$1+1+MONTH(B1268)))</f>
        <v>0</v>
      </c>
      <c r="Q1268" s="402">
        <f t="shared" si="1264"/>
        <v>0</v>
      </c>
      <c r="R1268" s="356" t="str">
        <f t="shared" si="1"/>
        <v/>
      </c>
      <c r="S1268" s="356" t="str">
        <f>IF(D1268="","",IF(OR(D1268=Plano!$A$1,D1268=Plano!$B$1),"entrada","saída"))</f>
        <v/>
      </c>
      <c r="T1268" s="345"/>
      <c r="U1268" s="345"/>
      <c r="V1268" s="344"/>
    </row>
    <row r="1269" spans="1:22" ht="12.75" customHeight="1" x14ac:dyDescent="0.2">
      <c r="A1269" s="277" t="str">
        <f>IF(B1269="","",COUNT('Diário 5º PA'!$A$5:$A$2634)+ROW()-4)</f>
        <v/>
      </c>
      <c r="B1269" s="278"/>
      <c r="C1269" s="335"/>
      <c r="D1269" s="255"/>
      <c r="E1269" s="255"/>
      <c r="F1269" s="258"/>
      <c r="G1269" s="255"/>
      <c r="H1269" s="255"/>
      <c r="I1269" s="250"/>
      <c r="J1269" s="255"/>
      <c r="K1269" s="255"/>
      <c r="L1269" s="250"/>
      <c r="M1269" s="277"/>
      <c r="N1269" s="277"/>
      <c r="O1269" s="329"/>
      <c r="P1269" s="402">
        <f t="shared" ref="P1269:Q1269" si="1265">IF(B1269=0,0,IF(YEAR(B1269)=$Q$1,MONTH(B1269)-$P$1+1,(YEAR(B1269)-$Q$1)*12-$P$1+1+MONTH(B1269)))</f>
        <v>0</v>
      </c>
      <c r="Q1269" s="402">
        <f t="shared" si="1265"/>
        <v>0</v>
      </c>
      <c r="R1269" s="356" t="str">
        <f t="shared" si="1"/>
        <v/>
      </c>
      <c r="S1269" s="356" t="str">
        <f>IF(D1269="","",IF(OR(D1269=Plano!$A$1,D1269=Plano!$B$1),"entrada","saída"))</f>
        <v/>
      </c>
      <c r="T1269" s="345"/>
      <c r="U1269" s="345"/>
      <c r="V1269" s="344"/>
    </row>
    <row r="1270" spans="1:22" ht="12.75" customHeight="1" x14ac:dyDescent="0.2">
      <c r="A1270" s="277" t="str">
        <f>IF(B1270="","",COUNT('Diário 5º PA'!$A$5:$A$2634)+ROW()-4)</f>
        <v/>
      </c>
      <c r="B1270" s="278"/>
      <c r="C1270" s="335"/>
      <c r="D1270" s="255"/>
      <c r="E1270" s="255"/>
      <c r="F1270" s="258"/>
      <c r="G1270" s="255"/>
      <c r="H1270" s="255"/>
      <c r="I1270" s="250"/>
      <c r="J1270" s="255"/>
      <c r="K1270" s="255"/>
      <c r="L1270" s="250"/>
      <c r="M1270" s="277"/>
      <c r="N1270" s="277"/>
      <c r="O1270" s="329"/>
      <c r="P1270" s="402">
        <f t="shared" ref="P1270:Q1270" si="1266">IF(B1270=0,0,IF(YEAR(B1270)=$Q$1,MONTH(B1270)-$P$1+1,(YEAR(B1270)-$Q$1)*12-$P$1+1+MONTH(B1270)))</f>
        <v>0</v>
      </c>
      <c r="Q1270" s="402">
        <f t="shared" si="1266"/>
        <v>0</v>
      </c>
      <c r="R1270" s="356" t="str">
        <f t="shared" si="1"/>
        <v/>
      </c>
      <c r="S1270" s="356" t="str">
        <f>IF(D1270="","",IF(OR(D1270=Plano!$A$1,D1270=Plano!$B$1),"entrada","saída"))</f>
        <v/>
      </c>
      <c r="T1270" s="345"/>
      <c r="U1270" s="345"/>
      <c r="V1270" s="344"/>
    </row>
    <row r="1271" spans="1:22" ht="12.75" customHeight="1" x14ac:dyDescent="0.2">
      <c r="A1271" s="277" t="str">
        <f>IF(B1271="","",COUNT('Diário 5º PA'!$A$5:$A$2634)+ROW()-4)</f>
        <v/>
      </c>
      <c r="B1271" s="278"/>
      <c r="C1271" s="335"/>
      <c r="D1271" s="255"/>
      <c r="E1271" s="255"/>
      <c r="F1271" s="258"/>
      <c r="G1271" s="255"/>
      <c r="H1271" s="255"/>
      <c r="I1271" s="250"/>
      <c r="J1271" s="255"/>
      <c r="K1271" s="255"/>
      <c r="L1271" s="250"/>
      <c r="M1271" s="277"/>
      <c r="N1271" s="277"/>
      <c r="O1271" s="329"/>
      <c r="P1271" s="402">
        <f t="shared" ref="P1271:Q1271" si="1267">IF(B1271=0,0,IF(YEAR(B1271)=$Q$1,MONTH(B1271)-$P$1+1,(YEAR(B1271)-$Q$1)*12-$P$1+1+MONTH(B1271)))</f>
        <v>0</v>
      </c>
      <c r="Q1271" s="402">
        <f t="shared" si="1267"/>
        <v>0</v>
      </c>
      <c r="R1271" s="356" t="str">
        <f t="shared" si="1"/>
        <v/>
      </c>
      <c r="S1271" s="356" t="str">
        <f>IF(D1271="","",IF(OR(D1271=Plano!$A$1,D1271=Plano!$B$1),"entrada","saída"))</f>
        <v/>
      </c>
      <c r="T1271" s="345"/>
      <c r="U1271" s="345"/>
      <c r="V1271" s="344"/>
    </row>
    <row r="1272" spans="1:22" ht="12.75" customHeight="1" x14ac:dyDescent="0.2">
      <c r="A1272" s="277" t="str">
        <f>IF(B1272="","",COUNT('Diário 5º PA'!$A$5:$A$2634)+ROW()-4)</f>
        <v/>
      </c>
      <c r="B1272" s="278"/>
      <c r="C1272" s="335"/>
      <c r="D1272" s="255"/>
      <c r="E1272" s="255"/>
      <c r="F1272" s="258"/>
      <c r="G1272" s="255"/>
      <c r="H1272" s="255"/>
      <c r="I1272" s="250"/>
      <c r="J1272" s="255"/>
      <c r="K1272" s="255"/>
      <c r="L1272" s="250"/>
      <c r="M1272" s="277"/>
      <c r="N1272" s="277"/>
      <c r="O1272" s="329"/>
      <c r="P1272" s="402">
        <f t="shared" ref="P1272:Q1272" si="1268">IF(B1272=0,0,IF(YEAR(B1272)=$Q$1,MONTH(B1272)-$P$1+1,(YEAR(B1272)-$Q$1)*12-$P$1+1+MONTH(B1272)))</f>
        <v>0</v>
      </c>
      <c r="Q1272" s="402">
        <f t="shared" si="1268"/>
        <v>0</v>
      </c>
      <c r="R1272" s="356" t="str">
        <f t="shared" si="1"/>
        <v/>
      </c>
      <c r="S1272" s="356" t="str">
        <f>IF(D1272="","",IF(OR(D1272=Plano!$A$1,D1272=Plano!$B$1),"entrada","saída"))</f>
        <v/>
      </c>
      <c r="T1272" s="345"/>
      <c r="U1272" s="345"/>
      <c r="V1272" s="344"/>
    </row>
    <row r="1273" spans="1:22" ht="12.75" customHeight="1" x14ac:dyDescent="0.2">
      <c r="A1273" s="277" t="str">
        <f>IF(B1273="","",COUNT('Diário 5º PA'!$A$5:$A$2634)+ROW()-4)</f>
        <v/>
      </c>
      <c r="B1273" s="278"/>
      <c r="C1273" s="335"/>
      <c r="D1273" s="255"/>
      <c r="E1273" s="255"/>
      <c r="F1273" s="258"/>
      <c r="G1273" s="255"/>
      <c r="H1273" s="255"/>
      <c r="I1273" s="250"/>
      <c r="J1273" s="255"/>
      <c r="K1273" s="255"/>
      <c r="L1273" s="250"/>
      <c r="M1273" s="277"/>
      <c r="N1273" s="277"/>
      <c r="O1273" s="329"/>
      <c r="P1273" s="402">
        <f t="shared" ref="P1273:Q1273" si="1269">IF(B1273=0,0,IF(YEAR(B1273)=$Q$1,MONTH(B1273)-$P$1+1,(YEAR(B1273)-$Q$1)*12-$P$1+1+MONTH(B1273)))</f>
        <v>0</v>
      </c>
      <c r="Q1273" s="402">
        <f t="shared" si="1269"/>
        <v>0</v>
      </c>
      <c r="R1273" s="356" t="str">
        <f t="shared" si="1"/>
        <v/>
      </c>
      <c r="S1273" s="356" t="str">
        <f>IF(D1273="","",IF(OR(D1273=Plano!$A$1,D1273=Plano!$B$1),"entrada","saída"))</f>
        <v/>
      </c>
      <c r="T1273" s="345"/>
      <c r="U1273" s="345"/>
      <c r="V1273" s="344"/>
    </row>
    <row r="1274" spans="1:22" ht="12.75" customHeight="1" x14ac:dyDescent="0.2">
      <c r="A1274" s="277" t="str">
        <f>IF(B1274="","",COUNT('Diário 5º PA'!$A$5:$A$2634)+ROW()-4)</f>
        <v/>
      </c>
      <c r="B1274" s="278"/>
      <c r="C1274" s="335"/>
      <c r="D1274" s="255"/>
      <c r="E1274" s="255"/>
      <c r="F1274" s="258"/>
      <c r="G1274" s="255"/>
      <c r="H1274" s="255"/>
      <c r="I1274" s="250"/>
      <c r="J1274" s="255"/>
      <c r="K1274" s="255"/>
      <c r="L1274" s="250"/>
      <c r="M1274" s="277"/>
      <c r="N1274" s="277"/>
      <c r="O1274" s="329"/>
      <c r="P1274" s="402">
        <f t="shared" ref="P1274:Q1274" si="1270">IF(B1274=0,0,IF(YEAR(B1274)=$Q$1,MONTH(B1274)-$P$1+1,(YEAR(B1274)-$Q$1)*12-$P$1+1+MONTH(B1274)))</f>
        <v>0</v>
      </c>
      <c r="Q1274" s="402">
        <f t="shared" si="1270"/>
        <v>0</v>
      </c>
      <c r="R1274" s="356" t="str">
        <f t="shared" si="1"/>
        <v/>
      </c>
      <c r="S1274" s="356" t="str">
        <f>IF(D1274="","",IF(OR(D1274=Plano!$A$1,D1274=Plano!$B$1),"entrada","saída"))</f>
        <v/>
      </c>
      <c r="T1274" s="345"/>
      <c r="U1274" s="345"/>
      <c r="V1274" s="344"/>
    </row>
    <row r="1275" spans="1:22" ht="12.75" customHeight="1" x14ac:dyDescent="0.2">
      <c r="A1275" s="277" t="str">
        <f>IF(B1275="","",COUNT('Diário 5º PA'!$A$5:$A$2634)+ROW()-4)</f>
        <v/>
      </c>
      <c r="B1275" s="278"/>
      <c r="C1275" s="335"/>
      <c r="D1275" s="255"/>
      <c r="E1275" s="255"/>
      <c r="F1275" s="258"/>
      <c r="G1275" s="255"/>
      <c r="H1275" s="255"/>
      <c r="I1275" s="250"/>
      <c r="J1275" s="255"/>
      <c r="K1275" s="255"/>
      <c r="L1275" s="250"/>
      <c r="M1275" s="277"/>
      <c r="N1275" s="277"/>
      <c r="O1275" s="329"/>
      <c r="P1275" s="402">
        <f t="shared" ref="P1275:Q1275" si="1271">IF(B1275=0,0,IF(YEAR(B1275)=$Q$1,MONTH(B1275)-$P$1+1,(YEAR(B1275)-$Q$1)*12-$P$1+1+MONTH(B1275)))</f>
        <v>0</v>
      </c>
      <c r="Q1275" s="402">
        <f t="shared" si="1271"/>
        <v>0</v>
      </c>
      <c r="R1275" s="356" t="str">
        <f t="shared" si="1"/>
        <v/>
      </c>
      <c r="S1275" s="356" t="str">
        <f>IF(D1275="","",IF(OR(D1275=Plano!$A$1,D1275=Plano!$B$1),"entrada","saída"))</f>
        <v/>
      </c>
      <c r="T1275" s="345"/>
      <c r="U1275" s="345"/>
      <c r="V1275" s="344"/>
    </row>
    <row r="1276" spans="1:22" ht="12.75" customHeight="1" x14ac:dyDescent="0.2">
      <c r="A1276" s="277" t="str">
        <f>IF(B1276="","",COUNT('Diário 5º PA'!$A$5:$A$2634)+ROW()-4)</f>
        <v/>
      </c>
      <c r="B1276" s="278"/>
      <c r="C1276" s="335"/>
      <c r="D1276" s="255"/>
      <c r="E1276" s="255"/>
      <c r="F1276" s="258"/>
      <c r="G1276" s="255"/>
      <c r="H1276" s="255"/>
      <c r="I1276" s="250"/>
      <c r="J1276" s="255"/>
      <c r="K1276" s="255"/>
      <c r="L1276" s="250"/>
      <c r="M1276" s="277"/>
      <c r="N1276" s="277"/>
      <c r="O1276" s="329"/>
      <c r="P1276" s="402">
        <f t="shared" ref="P1276:Q1276" si="1272">IF(B1276=0,0,IF(YEAR(B1276)=$Q$1,MONTH(B1276)-$P$1+1,(YEAR(B1276)-$Q$1)*12-$P$1+1+MONTH(B1276)))</f>
        <v>0</v>
      </c>
      <c r="Q1276" s="402">
        <f t="shared" si="1272"/>
        <v>0</v>
      </c>
      <c r="R1276" s="356" t="str">
        <f t="shared" si="1"/>
        <v/>
      </c>
      <c r="S1276" s="356" t="str">
        <f>IF(D1276="","",IF(OR(D1276=Plano!$A$1,D1276=Plano!$B$1),"entrada","saída"))</f>
        <v/>
      </c>
      <c r="T1276" s="345"/>
      <c r="U1276" s="345"/>
      <c r="V1276" s="344"/>
    </row>
    <row r="1277" spans="1:22" ht="12.75" customHeight="1" x14ac:dyDescent="0.2">
      <c r="A1277" s="277" t="str">
        <f>IF(B1277="","",COUNT('Diário 5º PA'!$A$5:$A$2634)+ROW()-4)</f>
        <v/>
      </c>
      <c r="B1277" s="278"/>
      <c r="C1277" s="335"/>
      <c r="D1277" s="255"/>
      <c r="E1277" s="255"/>
      <c r="F1277" s="258"/>
      <c r="G1277" s="255"/>
      <c r="H1277" s="255"/>
      <c r="I1277" s="250"/>
      <c r="J1277" s="255"/>
      <c r="K1277" s="255"/>
      <c r="L1277" s="250"/>
      <c r="M1277" s="277"/>
      <c r="N1277" s="277"/>
      <c r="O1277" s="329"/>
      <c r="P1277" s="402">
        <f t="shared" ref="P1277:Q1277" si="1273">IF(B1277=0,0,IF(YEAR(B1277)=$Q$1,MONTH(B1277)-$P$1+1,(YEAR(B1277)-$Q$1)*12-$P$1+1+MONTH(B1277)))</f>
        <v>0</v>
      </c>
      <c r="Q1277" s="402">
        <f t="shared" si="1273"/>
        <v>0</v>
      </c>
      <c r="R1277" s="356" t="str">
        <f t="shared" si="1"/>
        <v/>
      </c>
      <c r="S1277" s="356" t="str">
        <f>IF(D1277="","",IF(OR(D1277=Plano!$A$1,D1277=Plano!$B$1),"entrada","saída"))</f>
        <v/>
      </c>
      <c r="T1277" s="345"/>
      <c r="U1277" s="345"/>
      <c r="V1277" s="344"/>
    </row>
    <row r="1278" spans="1:22" ht="12.75" customHeight="1" x14ac:dyDescent="0.2">
      <c r="A1278" s="277" t="str">
        <f>IF(B1278="","",COUNT('Diário 5º PA'!$A$5:$A$2634)+ROW()-4)</f>
        <v/>
      </c>
      <c r="B1278" s="278"/>
      <c r="C1278" s="335"/>
      <c r="D1278" s="255"/>
      <c r="E1278" s="255"/>
      <c r="F1278" s="258"/>
      <c r="G1278" s="255"/>
      <c r="H1278" s="255"/>
      <c r="I1278" s="250"/>
      <c r="J1278" s="255"/>
      <c r="K1278" s="255"/>
      <c r="L1278" s="250"/>
      <c r="M1278" s="277"/>
      <c r="N1278" s="277"/>
      <c r="O1278" s="329"/>
      <c r="P1278" s="402">
        <f t="shared" ref="P1278:Q1278" si="1274">IF(B1278=0,0,IF(YEAR(B1278)=$Q$1,MONTH(B1278)-$P$1+1,(YEAR(B1278)-$Q$1)*12-$P$1+1+MONTH(B1278)))</f>
        <v>0</v>
      </c>
      <c r="Q1278" s="402">
        <f t="shared" si="1274"/>
        <v>0</v>
      </c>
      <c r="R1278" s="356" t="str">
        <f t="shared" si="1"/>
        <v/>
      </c>
      <c r="S1278" s="356" t="str">
        <f>IF(D1278="","",IF(OR(D1278=Plano!$A$1,D1278=Plano!$B$1),"entrada","saída"))</f>
        <v/>
      </c>
      <c r="T1278" s="345"/>
      <c r="U1278" s="345"/>
      <c r="V1278" s="344"/>
    </row>
    <row r="1279" spans="1:22" ht="12.75" customHeight="1" x14ac:dyDescent="0.2">
      <c r="A1279" s="277" t="str">
        <f>IF(B1279="","",COUNT('Diário 5º PA'!$A$5:$A$2634)+ROW()-4)</f>
        <v/>
      </c>
      <c r="B1279" s="278"/>
      <c r="C1279" s="335"/>
      <c r="D1279" s="255"/>
      <c r="E1279" s="255"/>
      <c r="F1279" s="258"/>
      <c r="G1279" s="255"/>
      <c r="H1279" s="255"/>
      <c r="I1279" s="250"/>
      <c r="J1279" s="255"/>
      <c r="K1279" s="255"/>
      <c r="L1279" s="250"/>
      <c r="M1279" s="277"/>
      <c r="N1279" s="277"/>
      <c r="O1279" s="329"/>
      <c r="P1279" s="402">
        <f t="shared" ref="P1279:Q1279" si="1275">IF(B1279=0,0,IF(YEAR(B1279)=$Q$1,MONTH(B1279)-$P$1+1,(YEAR(B1279)-$Q$1)*12-$P$1+1+MONTH(B1279)))</f>
        <v>0</v>
      </c>
      <c r="Q1279" s="402">
        <f t="shared" si="1275"/>
        <v>0</v>
      </c>
      <c r="R1279" s="356" t="str">
        <f t="shared" si="1"/>
        <v/>
      </c>
      <c r="S1279" s="356" t="str">
        <f>IF(D1279="","",IF(OR(D1279=Plano!$A$1,D1279=Plano!$B$1),"entrada","saída"))</f>
        <v/>
      </c>
      <c r="T1279" s="345"/>
      <c r="U1279" s="345"/>
      <c r="V1279" s="344"/>
    </row>
    <row r="1280" spans="1:22" ht="12.75" customHeight="1" x14ac:dyDescent="0.2">
      <c r="A1280" s="277" t="str">
        <f>IF(B1280="","",COUNT('Diário 5º PA'!$A$5:$A$2634)+ROW()-4)</f>
        <v/>
      </c>
      <c r="B1280" s="278"/>
      <c r="C1280" s="335"/>
      <c r="D1280" s="255"/>
      <c r="E1280" s="255"/>
      <c r="F1280" s="258"/>
      <c r="G1280" s="255"/>
      <c r="H1280" s="255"/>
      <c r="I1280" s="250"/>
      <c r="J1280" s="255"/>
      <c r="K1280" s="255"/>
      <c r="L1280" s="250"/>
      <c r="M1280" s="277"/>
      <c r="N1280" s="277"/>
      <c r="O1280" s="329"/>
      <c r="P1280" s="402">
        <f t="shared" ref="P1280:Q1280" si="1276">IF(B1280=0,0,IF(YEAR(B1280)=$Q$1,MONTH(B1280)-$P$1+1,(YEAR(B1280)-$Q$1)*12-$P$1+1+MONTH(B1280)))</f>
        <v>0</v>
      </c>
      <c r="Q1280" s="402">
        <f t="shared" si="1276"/>
        <v>0</v>
      </c>
      <c r="R1280" s="356" t="str">
        <f t="shared" si="1"/>
        <v/>
      </c>
      <c r="S1280" s="356" t="str">
        <f>IF(D1280="","",IF(OR(D1280=Plano!$A$1,D1280=Plano!$B$1),"entrada","saída"))</f>
        <v/>
      </c>
      <c r="T1280" s="345"/>
      <c r="U1280" s="345"/>
      <c r="V1280" s="344"/>
    </row>
    <row r="1281" spans="1:22" ht="12.75" customHeight="1" x14ac:dyDescent="0.2">
      <c r="A1281" s="277" t="str">
        <f>IF(B1281="","",COUNT('Diário 5º PA'!$A$5:$A$2634)+ROW()-4)</f>
        <v/>
      </c>
      <c r="B1281" s="278"/>
      <c r="C1281" s="335"/>
      <c r="D1281" s="255"/>
      <c r="E1281" s="255"/>
      <c r="F1281" s="258"/>
      <c r="G1281" s="255"/>
      <c r="H1281" s="255"/>
      <c r="I1281" s="250"/>
      <c r="J1281" s="255"/>
      <c r="K1281" s="255"/>
      <c r="L1281" s="250"/>
      <c r="M1281" s="277"/>
      <c r="N1281" s="277"/>
      <c r="O1281" s="329"/>
      <c r="P1281" s="402">
        <f t="shared" ref="P1281:Q1281" si="1277">IF(B1281=0,0,IF(YEAR(B1281)=$Q$1,MONTH(B1281)-$P$1+1,(YEAR(B1281)-$Q$1)*12-$P$1+1+MONTH(B1281)))</f>
        <v>0</v>
      </c>
      <c r="Q1281" s="402">
        <f t="shared" si="1277"/>
        <v>0</v>
      </c>
      <c r="R1281" s="356" t="str">
        <f t="shared" si="1"/>
        <v/>
      </c>
      <c r="S1281" s="356" t="str">
        <f>IF(D1281="","",IF(OR(D1281=Plano!$A$1,D1281=Plano!$B$1),"entrada","saída"))</f>
        <v/>
      </c>
      <c r="T1281" s="345"/>
      <c r="U1281" s="345"/>
      <c r="V1281" s="344"/>
    </row>
    <row r="1282" spans="1:22" ht="12.75" customHeight="1" x14ac:dyDescent="0.2">
      <c r="A1282" s="277" t="str">
        <f>IF(B1282="","",COUNT('Diário 5º PA'!$A$5:$A$2634)+ROW()-4)</f>
        <v/>
      </c>
      <c r="B1282" s="278"/>
      <c r="C1282" s="335"/>
      <c r="D1282" s="255"/>
      <c r="E1282" s="255"/>
      <c r="F1282" s="258"/>
      <c r="G1282" s="255"/>
      <c r="H1282" s="255"/>
      <c r="I1282" s="250"/>
      <c r="J1282" s="255"/>
      <c r="K1282" s="255"/>
      <c r="L1282" s="250"/>
      <c r="M1282" s="277"/>
      <c r="N1282" s="277"/>
      <c r="O1282" s="329"/>
      <c r="P1282" s="402">
        <f t="shared" ref="P1282:Q1282" si="1278">IF(B1282=0,0,IF(YEAR(B1282)=$Q$1,MONTH(B1282)-$P$1+1,(YEAR(B1282)-$Q$1)*12-$P$1+1+MONTH(B1282)))</f>
        <v>0</v>
      </c>
      <c r="Q1282" s="402">
        <f t="shared" si="1278"/>
        <v>0</v>
      </c>
      <c r="R1282" s="356" t="str">
        <f t="shared" si="1"/>
        <v/>
      </c>
      <c r="S1282" s="356" t="str">
        <f>IF(D1282="","",IF(OR(D1282=Plano!$A$1,D1282=Plano!$B$1),"entrada","saída"))</f>
        <v/>
      </c>
      <c r="T1282" s="345"/>
      <c r="U1282" s="345"/>
      <c r="V1282" s="344"/>
    </row>
    <row r="1283" spans="1:22" ht="12.75" customHeight="1" x14ac:dyDescent="0.2">
      <c r="A1283" s="277" t="str">
        <f>IF(B1283="","",COUNT('Diário 5º PA'!$A$5:$A$2634)+ROW()-4)</f>
        <v/>
      </c>
      <c r="B1283" s="278"/>
      <c r="C1283" s="335"/>
      <c r="D1283" s="255"/>
      <c r="E1283" s="255"/>
      <c r="F1283" s="258"/>
      <c r="G1283" s="255"/>
      <c r="H1283" s="255"/>
      <c r="I1283" s="250"/>
      <c r="J1283" s="255"/>
      <c r="K1283" s="255"/>
      <c r="L1283" s="250"/>
      <c r="M1283" s="277"/>
      <c r="N1283" s="277"/>
      <c r="O1283" s="329"/>
      <c r="P1283" s="402">
        <f t="shared" ref="P1283:Q1283" si="1279">IF(B1283=0,0,IF(YEAR(B1283)=$Q$1,MONTH(B1283)-$P$1+1,(YEAR(B1283)-$Q$1)*12-$P$1+1+MONTH(B1283)))</f>
        <v>0</v>
      </c>
      <c r="Q1283" s="402">
        <f t="shared" si="1279"/>
        <v>0</v>
      </c>
      <c r="R1283" s="356" t="str">
        <f t="shared" si="1"/>
        <v/>
      </c>
      <c r="S1283" s="356" t="str">
        <f>IF(D1283="","",IF(OR(D1283=Plano!$A$1,D1283=Plano!$B$1),"entrada","saída"))</f>
        <v/>
      </c>
      <c r="T1283" s="345"/>
      <c r="U1283" s="345"/>
      <c r="V1283" s="344"/>
    </row>
    <row r="1284" spans="1:22" ht="12.75" customHeight="1" x14ac:dyDescent="0.2">
      <c r="A1284" s="277" t="str">
        <f>IF(B1284="","",COUNT('Diário 5º PA'!$A$5:$A$2634)+ROW()-4)</f>
        <v/>
      </c>
      <c r="B1284" s="278"/>
      <c r="C1284" s="335"/>
      <c r="D1284" s="255"/>
      <c r="E1284" s="255"/>
      <c r="F1284" s="258"/>
      <c r="G1284" s="255"/>
      <c r="H1284" s="255"/>
      <c r="I1284" s="250"/>
      <c r="J1284" s="255"/>
      <c r="K1284" s="255"/>
      <c r="L1284" s="250"/>
      <c r="M1284" s="277"/>
      <c r="N1284" s="277"/>
      <c r="O1284" s="329"/>
      <c r="P1284" s="402">
        <f t="shared" ref="P1284:Q1284" si="1280">IF(B1284=0,0,IF(YEAR(B1284)=$Q$1,MONTH(B1284)-$P$1+1,(YEAR(B1284)-$Q$1)*12-$P$1+1+MONTH(B1284)))</f>
        <v>0</v>
      </c>
      <c r="Q1284" s="402">
        <f t="shared" si="1280"/>
        <v>0</v>
      </c>
      <c r="R1284" s="356" t="str">
        <f t="shared" si="1"/>
        <v/>
      </c>
      <c r="S1284" s="356" t="str">
        <f>IF(D1284="","",IF(OR(D1284=Plano!$A$1,D1284=Plano!$B$1),"entrada","saída"))</f>
        <v/>
      </c>
      <c r="T1284" s="345"/>
      <c r="U1284" s="345"/>
      <c r="V1284" s="344"/>
    </row>
    <row r="1285" spans="1:22" ht="12.75" customHeight="1" x14ac:dyDescent="0.2">
      <c r="A1285" s="277" t="str">
        <f>IF(B1285="","",COUNT('Diário 5º PA'!$A$5:$A$2634)+ROW()-4)</f>
        <v/>
      </c>
      <c r="B1285" s="278"/>
      <c r="C1285" s="335"/>
      <c r="D1285" s="255"/>
      <c r="E1285" s="255"/>
      <c r="F1285" s="258"/>
      <c r="G1285" s="255"/>
      <c r="H1285" s="255"/>
      <c r="I1285" s="250"/>
      <c r="J1285" s="255"/>
      <c r="K1285" s="255"/>
      <c r="L1285" s="250"/>
      <c r="M1285" s="277"/>
      <c r="N1285" s="277"/>
      <c r="O1285" s="329"/>
      <c r="P1285" s="402">
        <f t="shared" ref="P1285:Q1285" si="1281">IF(B1285=0,0,IF(YEAR(B1285)=$Q$1,MONTH(B1285)-$P$1+1,(YEAR(B1285)-$Q$1)*12-$P$1+1+MONTH(B1285)))</f>
        <v>0</v>
      </c>
      <c r="Q1285" s="402">
        <f t="shared" si="1281"/>
        <v>0</v>
      </c>
      <c r="R1285" s="356" t="str">
        <f t="shared" si="1"/>
        <v/>
      </c>
      <c r="S1285" s="356" t="str">
        <f>IF(D1285="","",IF(OR(D1285=Plano!$A$1,D1285=Plano!$B$1),"entrada","saída"))</f>
        <v/>
      </c>
      <c r="T1285" s="345"/>
      <c r="U1285" s="345"/>
      <c r="V1285" s="344"/>
    </row>
    <row r="1286" spans="1:22" ht="12.75" customHeight="1" x14ac:dyDescent="0.2">
      <c r="A1286" s="277" t="str">
        <f>IF(B1286="","",COUNT('Diário 5º PA'!$A$5:$A$2634)+ROW()-4)</f>
        <v/>
      </c>
      <c r="B1286" s="278"/>
      <c r="C1286" s="335"/>
      <c r="D1286" s="255"/>
      <c r="E1286" s="255"/>
      <c r="F1286" s="258"/>
      <c r="G1286" s="255"/>
      <c r="H1286" s="255"/>
      <c r="I1286" s="250"/>
      <c r="J1286" s="255"/>
      <c r="K1286" s="255"/>
      <c r="L1286" s="250"/>
      <c r="M1286" s="277"/>
      <c r="N1286" s="277"/>
      <c r="O1286" s="329"/>
      <c r="P1286" s="402">
        <f t="shared" ref="P1286:Q1286" si="1282">IF(B1286=0,0,IF(YEAR(B1286)=$Q$1,MONTH(B1286)-$P$1+1,(YEAR(B1286)-$Q$1)*12-$P$1+1+MONTH(B1286)))</f>
        <v>0</v>
      </c>
      <c r="Q1286" s="402">
        <f t="shared" si="1282"/>
        <v>0</v>
      </c>
      <c r="R1286" s="356" t="str">
        <f t="shared" si="1"/>
        <v/>
      </c>
      <c r="S1286" s="356" t="str">
        <f>IF(D1286="","",IF(OR(D1286=Plano!$A$1,D1286=Plano!$B$1),"entrada","saída"))</f>
        <v/>
      </c>
      <c r="T1286" s="345"/>
      <c r="U1286" s="345"/>
      <c r="V1286" s="269"/>
    </row>
    <row r="1287" spans="1:22" ht="12.75" customHeight="1" x14ac:dyDescent="0.2">
      <c r="A1287" s="277" t="str">
        <f>IF(B1287="","",COUNT('Diário 5º PA'!$A$5:$A$2634)+ROW()-4)</f>
        <v/>
      </c>
      <c r="B1287" s="278"/>
      <c r="C1287" s="335"/>
      <c r="D1287" s="255"/>
      <c r="E1287" s="255"/>
      <c r="F1287" s="258"/>
      <c r="G1287" s="255"/>
      <c r="H1287" s="255"/>
      <c r="I1287" s="250"/>
      <c r="J1287" s="255"/>
      <c r="K1287" s="255"/>
      <c r="L1287" s="250"/>
      <c r="M1287" s="277"/>
      <c r="N1287" s="277"/>
      <c r="O1287" s="329"/>
      <c r="P1287" s="402">
        <f t="shared" ref="P1287:Q1287" si="1283">IF(B1287=0,0,IF(YEAR(B1287)=$Q$1,MONTH(B1287)-$P$1+1,(YEAR(B1287)-$Q$1)*12-$P$1+1+MONTH(B1287)))</f>
        <v>0</v>
      </c>
      <c r="Q1287" s="402">
        <f t="shared" si="1283"/>
        <v>0</v>
      </c>
      <c r="R1287" s="356" t="str">
        <f t="shared" si="1"/>
        <v/>
      </c>
      <c r="S1287" s="356" t="str">
        <f>IF(D1287="","",IF(OR(D1287=Plano!$A$1,D1287=Plano!$B$1),"entrada","saída"))</f>
        <v/>
      </c>
      <c r="T1287" s="345"/>
      <c r="U1287" s="345"/>
      <c r="V1287" s="269"/>
    </row>
    <row r="1288" spans="1:22" ht="12.75" customHeight="1" x14ac:dyDescent="0.2">
      <c r="A1288" s="277" t="str">
        <f>IF(B1288="","",COUNT('Diário 5º PA'!$A$5:$A$2634)+ROW()-4)</f>
        <v/>
      </c>
      <c r="B1288" s="278"/>
      <c r="C1288" s="335"/>
      <c r="D1288" s="255"/>
      <c r="E1288" s="255"/>
      <c r="F1288" s="258"/>
      <c r="G1288" s="255"/>
      <c r="H1288" s="255"/>
      <c r="I1288" s="250"/>
      <c r="J1288" s="255"/>
      <c r="K1288" s="255"/>
      <c r="L1288" s="250"/>
      <c r="M1288" s="277"/>
      <c r="N1288" s="277"/>
      <c r="O1288" s="329"/>
      <c r="P1288" s="402">
        <f t="shared" ref="P1288:Q1288" si="1284">IF(B1288=0,0,IF(YEAR(B1288)=$Q$1,MONTH(B1288)-$P$1+1,(YEAR(B1288)-$Q$1)*12-$P$1+1+MONTH(B1288)))</f>
        <v>0</v>
      </c>
      <c r="Q1288" s="402">
        <f t="shared" si="1284"/>
        <v>0</v>
      </c>
      <c r="R1288" s="356" t="str">
        <f t="shared" si="1"/>
        <v/>
      </c>
      <c r="S1288" s="356" t="str">
        <f>IF(D1288="","",IF(OR(D1288=Plano!$A$1,D1288=Plano!$B$1),"entrada","saída"))</f>
        <v/>
      </c>
      <c r="T1288" s="345"/>
      <c r="U1288" s="345"/>
      <c r="V1288" s="269"/>
    </row>
    <row r="1289" spans="1:22" ht="12.75" customHeight="1" x14ac:dyDescent="0.2">
      <c r="A1289" s="277" t="str">
        <f>IF(B1289="","",COUNT('Diário 5º PA'!$A$5:$A$2634)+ROW()-4)</f>
        <v/>
      </c>
      <c r="B1289" s="278"/>
      <c r="C1289" s="335"/>
      <c r="D1289" s="255"/>
      <c r="E1289" s="255"/>
      <c r="F1289" s="258"/>
      <c r="G1289" s="255"/>
      <c r="H1289" s="255"/>
      <c r="I1289" s="250"/>
      <c r="J1289" s="255"/>
      <c r="K1289" s="255"/>
      <c r="L1289" s="250"/>
      <c r="M1289" s="277"/>
      <c r="N1289" s="277"/>
      <c r="O1289" s="329"/>
      <c r="P1289" s="402">
        <f t="shared" ref="P1289:Q1289" si="1285">IF(B1289=0,0,IF(YEAR(B1289)=$Q$1,MONTH(B1289)-$P$1+1,(YEAR(B1289)-$Q$1)*12-$P$1+1+MONTH(B1289)))</f>
        <v>0</v>
      </c>
      <c r="Q1289" s="402">
        <f t="shared" si="1285"/>
        <v>0</v>
      </c>
      <c r="R1289" s="356" t="str">
        <f t="shared" si="1"/>
        <v/>
      </c>
      <c r="S1289" s="356" t="str">
        <f>IF(D1289="","",IF(OR(D1289=Plano!$A$1,D1289=Plano!$B$1),"entrada","saída"))</f>
        <v/>
      </c>
      <c r="T1289" s="345"/>
      <c r="U1289" s="345"/>
      <c r="V1289" s="269"/>
    </row>
    <row r="1290" spans="1:22" ht="12.75" customHeight="1" x14ac:dyDescent="0.2">
      <c r="A1290" s="277" t="str">
        <f>IF(B1290="","",COUNT('Diário 5º PA'!$A$5:$A$2634)+ROW()-4)</f>
        <v/>
      </c>
      <c r="B1290" s="278"/>
      <c r="C1290" s="335"/>
      <c r="D1290" s="255"/>
      <c r="E1290" s="255"/>
      <c r="F1290" s="258"/>
      <c r="G1290" s="255"/>
      <c r="H1290" s="255"/>
      <c r="I1290" s="250"/>
      <c r="J1290" s="255"/>
      <c r="K1290" s="255"/>
      <c r="L1290" s="250"/>
      <c r="M1290" s="277"/>
      <c r="N1290" s="277"/>
      <c r="O1290" s="329"/>
      <c r="P1290" s="402">
        <f t="shared" ref="P1290:Q1290" si="1286">IF(B1290=0,0,IF(YEAR(B1290)=$Q$1,MONTH(B1290)-$P$1+1,(YEAR(B1290)-$Q$1)*12-$P$1+1+MONTH(B1290)))</f>
        <v>0</v>
      </c>
      <c r="Q1290" s="402">
        <f t="shared" si="1286"/>
        <v>0</v>
      </c>
      <c r="R1290" s="356" t="str">
        <f t="shared" si="1"/>
        <v/>
      </c>
      <c r="S1290" s="356" t="str">
        <f>IF(D1290="","",IF(OR(D1290=Plano!$A$1,D1290=Plano!$B$1),"entrada","saída"))</f>
        <v/>
      </c>
      <c r="T1290" s="345"/>
      <c r="U1290" s="345"/>
      <c r="V1290" s="269"/>
    </row>
    <row r="1291" spans="1:22" ht="12.75" customHeight="1" x14ac:dyDescent="0.2">
      <c r="A1291" s="277" t="str">
        <f>IF(B1291="","",COUNT('Diário 5º PA'!$A$5:$A$2634)+ROW()-4)</f>
        <v/>
      </c>
      <c r="B1291" s="278"/>
      <c r="C1291" s="335"/>
      <c r="D1291" s="255"/>
      <c r="E1291" s="255"/>
      <c r="F1291" s="258"/>
      <c r="G1291" s="255"/>
      <c r="H1291" s="255"/>
      <c r="I1291" s="250"/>
      <c r="J1291" s="255"/>
      <c r="K1291" s="255"/>
      <c r="L1291" s="250"/>
      <c r="M1291" s="277"/>
      <c r="N1291" s="277"/>
      <c r="O1291" s="329"/>
      <c r="P1291" s="402">
        <f t="shared" ref="P1291:Q1291" si="1287">IF(B1291=0,0,IF(YEAR(B1291)=$Q$1,MONTH(B1291)-$P$1+1,(YEAR(B1291)-$Q$1)*12-$P$1+1+MONTH(B1291)))</f>
        <v>0</v>
      </c>
      <c r="Q1291" s="402">
        <f t="shared" si="1287"/>
        <v>0</v>
      </c>
      <c r="R1291" s="356" t="str">
        <f t="shared" si="1"/>
        <v/>
      </c>
      <c r="S1291" s="356" t="str">
        <f>IF(D1291="","",IF(OR(D1291=Plano!$A$1,D1291=Plano!$B$1),"entrada","saída"))</f>
        <v/>
      </c>
      <c r="T1291" s="345"/>
      <c r="U1291" s="345"/>
      <c r="V1291" s="269"/>
    </row>
    <row r="1292" spans="1:22" ht="12.75" customHeight="1" x14ac:dyDescent="0.2">
      <c r="A1292" s="277" t="str">
        <f>IF(B1292="","",COUNT('Diário 5º PA'!$A$5:$A$2634)+ROW()-4)</f>
        <v/>
      </c>
      <c r="B1292" s="278"/>
      <c r="C1292" s="335"/>
      <c r="D1292" s="255"/>
      <c r="E1292" s="255"/>
      <c r="F1292" s="258"/>
      <c r="G1292" s="255"/>
      <c r="H1292" s="255"/>
      <c r="I1292" s="250"/>
      <c r="J1292" s="255"/>
      <c r="K1292" s="255"/>
      <c r="L1292" s="250"/>
      <c r="M1292" s="277"/>
      <c r="N1292" s="277"/>
      <c r="O1292" s="329"/>
      <c r="P1292" s="402">
        <f t="shared" ref="P1292:Q1292" si="1288">IF(B1292=0,0,IF(YEAR(B1292)=$Q$1,MONTH(B1292)-$P$1+1,(YEAR(B1292)-$Q$1)*12-$P$1+1+MONTH(B1292)))</f>
        <v>0</v>
      </c>
      <c r="Q1292" s="402">
        <f t="shared" si="1288"/>
        <v>0</v>
      </c>
      <c r="R1292" s="356" t="str">
        <f t="shared" si="1"/>
        <v/>
      </c>
      <c r="S1292" s="356" t="str">
        <f>IF(D1292="","",IF(OR(D1292=Plano!$A$1,D1292=Plano!$B$1),"entrada","saída"))</f>
        <v/>
      </c>
      <c r="T1292" s="345"/>
      <c r="U1292" s="345"/>
      <c r="V1292" s="269"/>
    </row>
    <row r="1293" spans="1:22" ht="12.75" customHeight="1" x14ac:dyDescent="0.2">
      <c r="A1293" s="277" t="str">
        <f>IF(B1293="","",COUNT('Diário 5º PA'!$A$5:$A$2634)+ROW()-4)</f>
        <v/>
      </c>
      <c r="B1293" s="278"/>
      <c r="C1293" s="335"/>
      <c r="D1293" s="255"/>
      <c r="E1293" s="255"/>
      <c r="F1293" s="258"/>
      <c r="G1293" s="255"/>
      <c r="H1293" s="255"/>
      <c r="I1293" s="250"/>
      <c r="J1293" s="255"/>
      <c r="K1293" s="255"/>
      <c r="L1293" s="250"/>
      <c r="M1293" s="277"/>
      <c r="N1293" s="277"/>
      <c r="O1293" s="329"/>
      <c r="P1293" s="402">
        <f t="shared" ref="P1293:Q1293" si="1289">IF(B1293=0,0,IF(YEAR(B1293)=$Q$1,MONTH(B1293)-$P$1+1,(YEAR(B1293)-$Q$1)*12-$P$1+1+MONTH(B1293)))</f>
        <v>0</v>
      </c>
      <c r="Q1293" s="402">
        <f t="shared" si="1289"/>
        <v>0</v>
      </c>
      <c r="R1293" s="356" t="str">
        <f t="shared" si="1"/>
        <v/>
      </c>
      <c r="S1293" s="356" t="str">
        <f>IF(D1293="","",IF(OR(D1293=Plano!$A$1,D1293=Plano!$B$1),"entrada","saída"))</f>
        <v/>
      </c>
      <c r="T1293" s="345"/>
      <c r="U1293" s="345"/>
      <c r="V1293" s="269"/>
    </row>
    <row r="1294" spans="1:22" ht="12.75" customHeight="1" x14ac:dyDescent="0.2">
      <c r="A1294" s="277" t="str">
        <f>IF(B1294="","",COUNT('Diário 5º PA'!$A$5:$A$2634)+ROW()-4)</f>
        <v/>
      </c>
      <c r="B1294" s="278"/>
      <c r="C1294" s="335"/>
      <c r="D1294" s="255"/>
      <c r="E1294" s="255"/>
      <c r="F1294" s="258"/>
      <c r="G1294" s="255"/>
      <c r="H1294" s="255"/>
      <c r="I1294" s="250"/>
      <c r="J1294" s="255"/>
      <c r="K1294" s="255"/>
      <c r="L1294" s="250"/>
      <c r="M1294" s="277"/>
      <c r="N1294" s="277"/>
      <c r="O1294" s="329"/>
      <c r="P1294" s="402">
        <f t="shared" ref="P1294:Q1294" si="1290">IF(B1294=0,0,IF(YEAR(B1294)=$Q$1,MONTH(B1294)-$P$1+1,(YEAR(B1294)-$Q$1)*12-$P$1+1+MONTH(B1294)))</f>
        <v>0</v>
      </c>
      <c r="Q1294" s="402">
        <f t="shared" si="1290"/>
        <v>0</v>
      </c>
      <c r="R1294" s="356" t="str">
        <f t="shared" si="1"/>
        <v/>
      </c>
      <c r="S1294" s="356" t="str">
        <f>IF(D1294="","",IF(OR(D1294=Plano!$A$1,D1294=Plano!$B$1),"entrada","saída"))</f>
        <v/>
      </c>
      <c r="T1294" s="345"/>
      <c r="U1294" s="345"/>
      <c r="V1294" s="269"/>
    </row>
    <row r="1295" spans="1:22" ht="12.75" customHeight="1" x14ac:dyDescent="0.2">
      <c r="A1295" s="277" t="str">
        <f>IF(B1295="","",COUNT('Diário 5º PA'!$A$5:$A$2634)+ROW()-4)</f>
        <v/>
      </c>
      <c r="B1295" s="278"/>
      <c r="C1295" s="335"/>
      <c r="D1295" s="255"/>
      <c r="E1295" s="255"/>
      <c r="F1295" s="258"/>
      <c r="G1295" s="255"/>
      <c r="H1295" s="255"/>
      <c r="I1295" s="250"/>
      <c r="J1295" s="255"/>
      <c r="K1295" s="255"/>
      <c r="L1295" s="250"/>
      <c r="M1295" s="277"/>
      <c r="N1295" s="277"/>
      <c r="O1295" s="329"/>
      <c r="P1295" s="402">
        <f t="shared" ref="P1295:Q1295" si="1291">IF(B1295=0,0,IF(YEAR(B1295)=$Q$1,MONTH(B1295)-$P$1+1,(YEAR(B1295)-$Q$1)*12-$P$1+1+MONTH(B1295)))</f>
        <v>0</v>
      </c>
      <c r="Q1295" s="402">
        <f t="shared" si="1291"/>
        <v>0</v>
      </c>
      <c r="R1295" s="356" t="str">
        <f t="shared" si="1"/>
        <v/>
      </c>
      <c r="S1295" s="356" t="str">
        <f>IF(D1295="","",IF(OR(D1295=Plano!$A$1,D1295=Plano!$B$1),"entrada","saída"))</f>
        <v/>
      </c>
      <c r="T1295" s="345"/>
      <c r="U1295" s="345"/>
      <c r="V1295" s="269"/>
    </row>
    <row r="1296" spans="1:22" ht="12.75" customHeight="1" x14ac:dyDescent="0.2">
      <c r="A1296" s="277" t="str">
        <f>IF(B1296="","",COUNT('Diário 5º PA'!$A$5:$A$2634)+ROW()-4)</f>
        <v/>
      </c>
      <c r="B1296" s="278"/>
      <c r="C1296" s="335"/>
      <c r="D1296" s="255"/>
      <c r="E1296" s="255"/>
      <c r="F1296" s="258"/>
      <c r="G1296" s="255"/>
      <c r="H1296" s="255"/>
      <c r="I1296" s="250"/>
      <c r="J1296" s="255"/>
      <c r="K1296" s="255"/>
      <c r="L1296" s="250"/>
      <c r="M1296" s="277"/>
      <c r="N1296" s="277"/>
      <c r="O1296" s="329"/>
      <c r="P1296" s="402">
        <f t="shared" ref="P1296:Q1296" si="1292">IF(B1296=0,0,IF(YEAR(B1296)=$Q$1,MONTH(B1296)-$P$1+1,(YEAR(B1296)-$Q$1)*12-$P$1+1+MONTH(B1296)))</f>
        <v>0</v>
      </c>
      <c r="Q1296" s="402">
        <f t="shared" si="1292"/>
        <v>0</v>
      </c>
      <c r="R1296" s="356" t="str">
        <f t="shared" si="1"/>
        <v/>
      </c>
      <c r="S1296" s="356" t="str">
        <f>IF(D1296="","",IF(OR(D1296=Plano!$A$1,D1296=Plano!$B$1),"entrada","saída"))</f>
        <v/>
      </c>
      <c r="T1296" s="345"/>
      <c r="U1296" s="345"/>
      <c r="V1296" s="269"/>
    </row>
    <row r="1297" spans="1:22" ht="12.75" customHeight="1" x14ac:dyDescent="0.2">
      <c r="A1297" s="277" t="str">
        <f>IF(B1297="","",COUNT('Diário 5º PA'!$A$5:$A$2634)+ROW()-4)</f>
        <v/>
      </c>
      <c r="B1297" s="278"/>
      <c r="C1297" s="335"/>
      <c r="D1297" s="255"/>
      <c r="E1297" s="255"/>
      <c r="F1297" s="258"/>
      <c r="G1297" s="255"/>
      <c r="H1297" s="255"/>
      <c r="I1297" s="250"/>
      <c r="J1297" s="255"/>
      <c r="K1297" s="255"/>
      <c r="L1297" s="250"/>
      <c r="M1297" s="277"/>
      <c r="N1297" s="277"/>
      <c r="O1297" s="329"/>
      <c r="P1297" s="402">
        <f t="shared" ref="P1297:Q1297" si="1293">IF(B1297=0,0,IF(YEAR(B1297)=$Q$1,MONTH(B1297)-$P$1+1,(YEAR(B1297)-$Q$1)*12-$P$1+1+MONTH(B1297)))</f>
        <v>0</v>
      </c>
      <c r="Q1297" s="402">
        <f t="shared" si="1293"/>
        <v>0</v>
      </c>
      <c r="R1297" s="356" t="str">
        <f t="shared" si="1"/>
        <v/>
      </c>
      <c r="S1297" s="356" t="str">
        <f>IF(D1297="","",IF(OR(D1297=Plano!$A$1,D1297=Plano!$B$1),"entrada","saída"))</f>
        <v/>
      </c>
      <c r="T1297" s="345"/>
      <c r="U1297" s="345"/>
      <c r="V1297" s="269"/>
    </row>
    <row r="1298" spans="1:22" ht="12.75" customHeight="1" x14ac:dyDescent="0.2">
      <c r="A1298" s="277" t="str">
        <f>IF(B1298="","",COUNT('Diário 5º PA'!$A$5:$A$2634)+ROW()-4)</f>
        <v/>
      </c>
      <c r="B1298" s="278"/>
      <c r="C1298" s="335"/>
      <c r="D1298" s="255"/>
      <c r="E1298" s="255"/>
      <c r="F1298" s="258"/>
      <c r="G1298" s="255"/>
      <c r="H1298" s="255"/>
      <c r="I1298" s="250"/>
      <c r="J1298" s="255"/>
      <c r="K1298" s="255"/>
      <c r="L1298" s="250"/>
      <c r="M1298" s="277"/>
      <c r="N1298" s="277"/>
      <c r="O1298" s="329"/>
      <c r="P1298" s="402">
        <f t="shared" ref="P1298:Q1298" si="1294">IF(B1298=0,0,IF(YEAR(B1298)=$Q$1,MONTH(B1298)-$P$1+1,(YEAR(B1298)-$Q$1)*12-$P$1+1+MONTH(B1298)))</f>
        <v>0</v>
      </c>
      <c r="Q1298" s="402">
        <f t="shared" si="1294"/>
        <v>0</v>
      </c>
      <c r="R1298" s="356" t="str">
        <f t="shared" si="1"/>
        <v/>
      </c>
      <c r="S1298" s="356" t="str">
        <f>IF(D1298="","",IF(OR(D1298=Plano!$A$1,D1298=Plano!$B$1),"entrada","saída"))</f>
        <v/>
      </c>
      <c r="T1298" s="345"/>
      <c r="U1298" s="345"/>
      <c r="V1298" s="269"/>
    </row>
    <row r="1299" spans="1:22" ht="12.75" customHeight="1" x14ac:dyDescent="0.2">
      <c r="A1299" s="277" t="str">
        <f>IF(B1299="","",COUNT('Diário 5º PA'!$A$5:$A$2634)+ROW()-4)</f>
        <v/>
      </c>
      <c r="B1299" s="278"/>
      <c r="C1299" s="335"/>
      <c r="D1299" s="255"/>
      <c r="E1299" s="255"/>
      <c r="F1299" s="258"/>
      <c r="G1299" s="255"/>
      <c r="H1299" s="255"/>
      <c r="I1299" s="250"/>
      <c r="J1299" s="255"/>
      <c r="K1299" s="255"/>
      <c r="L1299" s="250"/>
      <c r="M1299" s="277"/>
      <c r="N1299" s="277"/>
      <c r="O1299" s="329"/>
      <c r="P1299" s="402">
        <f t="shared" ref="P1299:Q1299" si="1295">IF(B1299=0,0,IF(YEAR(B1299)=$Q$1,MONTH(B1299)-$P$1+1,(YEAR(B1299)-$Q$1)*12-$P$1+1+MONTH(B1299)))</f>
        <v>0</v>
      </c>
      <c r="Q1299" s="402">
        <f t="shared" si="1295"/>
        <v>0</v>
      </c>
      <c r="R1299" s="356" t="str">
        <f t="shared" si="1"/>
        <v/>
      </c>
      <c r="S1299" s="356" t="str">
        <f>IF(D1299="","",IF(OR(D1299=Plano!$A$1,D1299=Plano!$B$1),"entrada","saída"))</f>
        <v/>
      </c>
      <c r="T1299" s="345"/>
      <c r="U1299" s="345"/>
      <c r="V1299" s="269"/>
    </row>
    <row r="1300" spans="1:22" ht="12.75" customHeight="1" x14ac:dyDescent="0.2">
      <c r="A1300" s="277" t="str">
        <f>IF(B1300="","",COUNT('Diário 5º PA'!$A$5:$A$2634)+ROW()-4)</f>
        <v/>
      </c>
      <c r="B1300" s="278"/>
      <c r="C1300" s="335"/>
      <c r="D1300" s="255"/>
      <c r="E1300" s="255"/>
      <c r="F1300" s="258"/>
      <c r="G1300" s="255"/>
      <c r="H1300" s="255"/>
      <c r="I1300" s="250"/>
      <c r="J1300" s="255"/>
      <c r="K1300" s="255"/>
      <c r="L1300" s="250"/>
      <c r="M1300" s="411"/>
      <c r="N1300" s="277"/>
      <c r="O1300" s="329"/>
      <c r="P1300" s="402">
        <f t="shared" ref="P1300:Q1300" si="1296">IF(B1300=0,0,IF(YEAR(B1300)=$Q$1,MONTH(B1300)-$P$1+1,(YEAR(B1300)-$Q$1)*12-$P$1+1+MONTH(B1300)))</f>
        <v>0</v>
      </c>
      <c r="Q1300" s="402">
        <f t="shared" si="1296"/>
        <v>0</v>
      </c>
      <c r="R1300" s="356" t="str">
        <f t="shared" si="1"/>
        <v/>
      </c>
      <c r="S1300" s="356" t="str">
        <f>IF(D1300="","",IF(OR(D1300=Plano!$A$1,D1300=Plano!$B$1),"entrada","saída"))</f>
        <v/>
      </c>
      <c r="T1300" s="345"/>
      <c r="U1300" s="345"/>
      <c r="V1300" s="269"/>
    </row>
    <row r="1301" spans="1:22" ht="12.75" customHeight="1" x14ac:dyDescent="0.2">
      <c r="A1301" s="277" t="str">
        <f>IF(B1301="","",COUNT('Diário 5º PA'!$A$5:$A$2634)+ROW()-4)</f>
        <v/>
      </c>
      <c r="B1301" s="278"/>
      <c r="C1301" s="335"/>
      <c r="D1301" s="255"/>
      <c r="E1301" s="255"/>
      <c r="F1301" s="258"/>
      <c r="G1301" s="255"/>
      <c r="H1301" s="255"/>
      <c r="I1301" s="250"/>
      <c r="J1301" s="255"/>
      <c r="K1301" s="255"/>
      <c r="L1301" s="250"/>
      <c r="M1301" s="411"/>
      <c r="N1301" s="277"/>
      <c r="O1301" s="329"/>
      <c r="P1301" s="402">
        <f t="shared" ref="P1301:Q1301" si="1297">IF(B1301=0,0,IF(YEAR(B1301)=$Q$1,MONTH(B1301)-$P$1+1,(YEAR(B1301)-$Q$1)*12-$P$1+1+MONTH(B1301)))</f>
        <v>0</v>
      </c>
      <c r="Q1301" s="402">
        <f t="shared" si="1297"/>
        <v>0</v>
      </c>
      <c r="R1301" s="356" t="str">
        <f t="shared" si="1"/>
        <v/>
      </c>
      <c r="S1301" s="356" t="str">
        <f>IF(D1301="","",IF(OR(D1301=Plano!$A$1,D1301=Plano!$B$1),"entrada","saída"))</f>
        <v/>
      </c>
      <c r="T1301" s="345"/>
      <c r="U1301" s="345"/>
      <c r="V1301" s="269"/>
    </row>
    <row r="1302" spans="1:22" ht="12.75" customHeight="1" x14ac:dyDescent="0.2">
      <c r="A1302" s="277" t="str">
        <f>IF(B1302="","",COUNT('Diário 5º PA'!$A$5:$A$2634)+ROW()-4)</f>
        <v/>
      </c>
      <c r="B1302" s="278"/>
      <c r="C1302" s="335"/>
      <c r="D1302" s="255"/>
      <c r="E1302" s="255"/>
      <c r="F1302" s="258"/>
      <c r="G1302" s="255"/>
      <c r="H1302" s="255"/>
      <c r="I1302" s="250"/>
      <c r="J1302" s="255"/>
      <c r="K1302" s="255"/>
      <c r="L1302" s="250"/>
      <c r="M1302" s="411"/>
      <c r="N1302" s="277"/>
      <c r="O1302" s="329"/>
      <c r="P1302" s="402">
        <f t="shared" ref="P1302:Q1302" si="1298">IF(B1302=0,0,IF(YEAR(B1302)=$Q$1,MONTH(B1302)-$P$1+1,(YEAR(B1302)-$Q$1)*12-$P$1+1+MONTH(B1302)))</f>
        <v>0</v>
      </c>
      <c r="Q1302" s="402">
        <f t="shared" si="1298"/>
        <v>0</v>
      </c>
      <c r="R1302" s="356" t="str">
        <f t="shared" si="1"/>
        <v/>
      </c>
      <c r="S1302" s="356" t="str">
        <f>IF(D1302="","",IF(OR(D1302=Plano!$A$1,D1302=Plano!$B$1),"entrada","saída"))</f>
        <v/>
      </c>
      <c r="T1302" s="345"/>
      <c r="U1302" s="345"/>
      <c r="V1302" s="269"/>
    </row>
    <row r="1303" spans="1:22" ht="12.75" customHeight="1" x14ac:dyDescent="0.2">
      <c r="A1303" s="277" t="str">
        <f>IF(B1303="","",COUNT('Diário 5º PA'!$A$5:$A$2634)+ROW()-4)</f>
        <v/>
      </c>
      <c r="B1303" s="278"/>
      <c r="C1303" s="335"/>
      <c r="D1303" s="255"/>
      <c r="E1303" s="255"/>
      <c r="F1303" s="258"/>
      <c r="G1303" s="255"/>
      <c r="H1303" s="255"/>
      <c r="I1303" s="250"/>
      <c r="J1303" s="255"/>
      <c r="K1303" s="255"/>
      <c r="L1303" s="250"/>
      <c r="M1303" s="411"/>
      <c r="N1303" s="277"/>
      <c r="O1303" s="329"/>
      <c r="P1303" s="402">
        <f t="shared" ref="P1303:Q1303" si="1299">IF(B1303=0,0,IF(YEAR(B1303)=$Q$1,MONTH(B1303)-$P$1+1,(YEAR(B1303)-$Q$1)*12-$P$1+1+MONTH(B1303)))</f>
        <v>0</v>
      </c>
      <c r="Q1303" s="402">
        <f t="shared" si="1299"/>
        <v>0</v>
      </c>
      <c r="R1303" s="356" t="str">
        <f t="shared" si="1"/>
        <v/>
      </c>
      <c r="S1303" s="356" t="str">
        <f>IF(D1303="","",IF(OR(D1303=Plano!$A$1,D1303=Plano!$B$1),"entrada","saída"))</f>
        <v/>
      </c>
      <c r="T1303" s="345"/>
      <c r="U1303" s="345"/>
      <c r="V1303" s="269"/>
    </row>
    <row r="1304" spans="1:22" ht="12.75" customHeight="1" x14ac:dyDescent="0.2">
      <c r="A1304" s="277" t="str">
        <f>IF(B1304="","",COUNT('Diário 5º PA'!$A$5:$A$2634)+ROW()-4)</f>
        <v/>
      </c>
      <c r="B1304" s="278"/>
      <c r="C1304" s="335"/>
      <c r="D1304" s="255"/>
      <c r="E1304" s="255"/>
      <c r="F1304" s="258"/>
      <c r="G1304" s="255"/>
      <c r="H1304" s="255"/>
      <c r="I1304" s="250"/>
      <c r="J1304" s="255"/>
      <c r="K1304" s="255"/>
      <c r="L1304" s="250"/>
      <c r="M1304" s="411"/>
      <c r="N1304" s="277"/>
      <c r="O1304" s="329"/>
      <c r="P1304" s="402">
        <f t="shared" ref="P1304:Q1304" si="1300">IF(B1304=0,0,IF(YEAR(B1304)=$Q$1,MONTH(B1304)-$P$1+1,(YEAR(B1304)-$Q$1)*12-$P$1+1+MONTH(B1304)))</f>
        <v>0</v>
      </c>
      <c r="Q1304" s="402">
        <f t="shared" si="1300"/>
        <v>0</v>
      </c>
      <c r="R1304" s="356" t="str">
        <f t="shared" si="1"/>
        <v/>
      </c>
      <c r="S1304" s="356" t="str">
        <f>IF(D1304="","",IF(OR(D1304=Plano!$A$1,D1304=Plano!$B$1),"entrada","saída"))</f>
        <v/>
      </c>
      <c r="T1304" s="345"/>
      <c r="U1304" s="345"/>
      <c r="V1304" s="269"/>
    </row>
    <row r="1305" spans="1:22" ht="12.75" customHeight="1" x14ac:dyDescent="0.2">
      <c r="A1305" s="277" t="str">
        <f>IF(B1305="","",COUNT('Diário 5º PA'!$A$5:$A$2634)+ROW()-4)</f>
        <v/>
      </c>
      <c r="B1305" s="278"/>
      <c r="C1305" s="335"/>
      <c r="D1305" s="255"/>
      <c r="E1305" s="255"/>
      <c r="F1305" s="258"/>
      <c r="G1305" s="255"/>
      <c r="H1305" s="255"/>
      <c r="I1305" s="250"/>
      <c r="J1305" s="255"/>
      <c r="K1305" s="255"/>
      <c r="L1305" s="250"/>
      <c r="M1305" s="411"/>
      <c r="N1305" s="277"/>
      <c r="O1305" s="329"/>
      <c r="P1305" s="402">
        <f t="shared" ref="P1305:Q1305" si="1301">IF(B1305=0,0,IF(YEAR(B1305)=$Q$1,MONTH(B1305)-$P$1+1,(YEAR(B1305)-$Q$1)*12-$P$1+1+MONTH(B1305)))</f>
        <v>0</v>
      </c>
      <c r="Q1305" s="402">
        <f t="shared" si="1301"/>
        <v>0</v>
      </c>
      <c r="R1305" s="356" t="str">
        <f t="shared" si="1"/>
        <v/>
      </c>
      <c r="S1305" s="356" t="str">
        <f>IF(D1305="","",IF(OR(D1305=Plano!$A$1,D1305=Plano!$B$1),"entrada","saída"))</f>
        <v/>
      </c>
      <c r="T1305" s="345"/>
      <c r="U1305" s="345"/>
      <c r="V1305" s="269"/>
    </row>
    <row r="1306" spans="1:22" ht="12.75" customHeight="1" x14ac:dyDescent="0.2">
      <c r="A1306" s="277" t="str">
        <f>IF(B1306="","",COUNT('Diário 5º PA'!$A$5:$A$2634)+ROW()-4)</f>
        <v/>
      </c>
      <c r="B1306" s="278"/>
      <c r="C1306" s="335"/>
      <c r="D1306" s="255"/>
      <c r="E1306" s="255"/>
      <c r="F1306" s="258"/>
      <c r="G1306" s="255"/>
      <c r="H1306" s="255"/>
      <c r="I1306" s="250"/>
      <c r="J1306" s="255"/>
      <c r="K1306" s="255"/>
      <c r="L1306" s="250"/>
      <c r="M1306" s="411"/>
      <c r="N1306" s="277"/>
      <c r="O1306" s="329"/>
      <c r="P1306" s="402">
        <f t="shared" ref="P1306:Q1306" si="1302">IF(B1306=0,0,IF(YEAR(B1306)=$Q$1,MONTH(B1306)-$P$1+1,(YEAR(B1306)-$Q$1)*12-$P$1+1+MONTH(B1306)))</f>
        <v>0</v>
      </c>
      <c r="Q1306" s="402">
        <f t="shared" si="1302"/>
        <v>0</v>
      </c>
      <c r="R1306" s="356" t="str">
        <f t="shared" si="1"/>
        <v/>
      </c>
      <c r="S1306" s="356" t="str">
        <f>IF(D1306="","",IF(OR(D1306=Plano!$A$1,D1306=Plano!$B$1),"entrada","saída"))</f>
        <v/>
      </c>
      <c r="T1306" s="345"/>
      <c r="U1306" s="345"/>
      <c r="V1306" s="269"/>
    </row>
    <row r="1307" spans="1:22" ht="12.75" customHeight="1" x14ac:dyDescent="0.2">
      <c r="A1307" s="277" t="str">
        <f>IF(B1307="","",COUNT('Diário 5º PA'!$A$5:$A$2634)+ROW()-4)</f>
        <v/>
      </c>
      <c r="B1307" s="278"/>
      <c r="C1307" s="335"/>
      <c r="D1307" s="255"/>
      <c r="E1307" s="255"/>
      <c r="F1307" s="258"/>
      <c r="G1307" s="255"/>
      <c r="H1307" s="255"/>
      <c r="I1307" s="250"/>
      <c r="J1307" s="255"/>
      <c r="K1307" s="255"/>
      <c r="L1307" s="250"/>
      <c r="M1307" s="411"/>
      <c r="N1307" s="277"/>
      <c r="O1307" s="329"/>
      <c r="P1307" s="402">
        <f t="shared" ref="P1307:Q1307" si="1303">IF(B1307=0,0,IF(YEAR(B1307)=$Q$1,MONTH(B1307)-$P$1+1,(YEAR(B1307)-$Q$1)*12-$P$1+1+MONTH(B1307)))</f>
        <v>0</v>
      </c>
      <c r="Q1307" s="402">
        <f t="shared" si="1303"/>
        <v>0</v>
      </c>
      <c r="R1307" s="356" t="str">
        <f t="shared" si="1"/>
        <v/>
      </c>
      <c r="S1307" s="356" t="str">
        <f>IF(D1307="","",IF(OR(D1307=Plano!$A$1,D1307=Plano!$B$1),"entrada","saída"))</f>
        <v/>
      </c>
      <c r="T1307" s="345"/>
      <c r="U1307" s="345"/>
      <c r="V1307" s="269"/>
    </row>
    <row r="1308" spans="1:22" ht="12.75" customHeight="1" x14ac:dyDescent="0.2">
      <c r="A1308" s="277" t="str">
        <f>IF(B1308="","",COUNT('Diário 5º PA'!$A$5:$A$2634)+ROW()-4)</f>
        <v/>
      </c>
      <c r="B1308" s="278"/>
      <c r="C1308" s="335"/>
      <c r="D1308" s="255"/>
      <c r="E1308" s="255"/>
      <c r="F1308" s="258"/>
      <c r="G1308" s="255"/>
      <c r="H1308" s="255"/>
      <c r="I1308" s="250"/>
      <c r="J1308" s="255"/>
      <c r="K1308" s="255"/>
      <c r="L1308" s="250"/>
      <c r="M1308" s="411"/>
      <c r="N1308" s="277"/>
      <c r="O1308" s="329"/>
      <c r="P1308" s="402">
        <f t="shared" ref="P1308:Q1308" si="1304">IF(B1308=0,0,IF(YEAR(B1308)=$Q$1,MONTH(B1308)-$P$1+1,(YEAR(B1308)-$Q$1)*12-$P$1+1+MONTH(B1308)))</f>
        <v>0</v>
      </c>
      <c r="Q1308" s="402">
        <f t="shared" si="1304"/>
        <v>0</v>
      </c>
      <c r="R1308" s="356" t="str">
        <f t="shared" si="1"/>
        <v/>
      </c>
      <c r="S1308" s="356" t="str">
        <f>IF(D1308="","",IF(OR(D1308=Plano!$A$1,D1308=Plano!$B$1),"entrada","saída"))</f>
        <v/>
      </c>
      <c r="T1308" s="345"/>
      <c r="U1308" s="345"/>
      <c r="V1308" s="269"/>
    </row>
    <row r="1309" spans="1:22" ht="12.75" customHeight="1" x14ac:dyDescent="0.2">
      <c r="A1309" s="277" t="str">
        <f>IF(B1309="","",COUNT('Diário 5º PA'!$A$5:$A$2634)+ROW()-4)</f>
        <v/>
      </c>
      <c r="B1309" s="278"/>
      <c r="C1309" s="335"/>
      <c r="D1309" s="255"/>
      <c r="E1309" s="255"/>
      <c r="F1309" s="258"/>
      <c r="G1309" s="255"/>
      <c r="H1309" s="255"/>
      <c r="I1309" s="250"/>
      <c r="J1309" s="255"/>
      <c r="K1309" s="255"/>
      <c r="L1309" s="250"/>
      <c r="M1309" s="411"/>
      <c r="N1309" s="277"/>
      <c r="O1309" s="329"/>
      <c r="P1309" s="402">
        <f t="shared" ref="P1309:Q1309" si="1305">IF(B1309=0,0,IF(YEAR(B1309)=$Q$1,MONTH(B1309)-$P$1+1,(YEAR(B1309)-$Q$1)*12-$P$1+1+MONTH(B1309)))</f>
        <v>0</v>
      </c>
      <c r="Q1309" s="402">
        <f t="shared" si="1305"/>
        <v>0</v>
      </c>
      <c r="R1309" s="356" t="str">
        <f t="shared" si="1"/>
        <v/>
      </c>
      <c r="S1309" s="356" t="str">
        <f>IF(D1309="","",IF(OR(D1309=Plano!$A$1,D1309=Plano!$B$1),"entrada","saída"))</f>
        <v/>
      </c>
      <c r="T1309" s="345"/>
      <c r="U1309" s="345"/>
      <c r="V1309" s="269"/>
    </row>
    <row r="1310" spans="1:22" ht="12.75" customHeight="1" x14ac:dyDescent="0.2">
      <c r="A1310" s="277" t="str">
        <f>IF(B1310="","",COUNT('Diário 5º PA'!$A$5:$A$2634)+ROW()-4)</f>
        <v/>
      </c>
      <c r="B1310" s="278"/>
      <c r="C1310" s="335"/>
      <c r="D1310" s="255"/>
      <c r="E1310" s="255"/>
      <c r="F1310" s="258"/>
      <c r="G1310" s="255"/>
      <c r="H1310" s="255"/>
      <c r="I1310" s="250"/>
      <c r="J1310" s="255"/>
      <c r="K1310" s="255"/>
      <c r="L1310" s="250"/>
      <c r="M1310" s="411"/>
      <c r="N1310" s="277"/>
      <c r="O1310" s="329"/>
      <c r="P1310" s="402">
        <f t="shared" ref="P1310:Q1310" si="1306">IF(B1310=0,0,IF(YEAR(B1310)=$Q$1,MONTH(B1310)-$P$1+1,(YEAR(B1310)-$Q$1)*12-$P$1+1+MONTH(B1310)))</f>
        <v>0</v>
      </c>
      <c r="Q1310" s="402">
        <f t="shared" si="1306"/>
        <v>0</v>
      </c>
      <c r="R1310" s="356" t="str">
        <f t="shared" si="1"/>
        <v/>
      </c>
      <c r="S1310" s="356" t="str">
        <f>IF(D1310="","",IF(OR(D1310=Plano!$A$1,D1310=Plano!$B$1),"entrada","saída"))</f>
        <v/>
      </c>
      <c r="T1310" s="345"/>
      <c r="U1310" s="345"/>
      <c r="V1310" s="269"/>
    </row>
    <row r="1311" spans="1:22" ht="12.75" customHeight="1" x14ac:dyDescent="0.2">
      <c r="A1311" s="277" t="str">
        <f>IF(B1311="","",COUNT('Diário 5º PA'!$A$5:$A$2634)+ROW()-4)</f>
        <v/>
      </c>
      <c r="B1311" s="278"/>
      <c r="C1311" s="335"/>
      <c r="D1311" s="255"/>
      <c r="E1311" s="255"/>
      <c r="F1311" s="258"/>
      <c r="G1311" s="255"/>
      <c r="H1311" s="255"/>
      <c r="I1311" s="250"/>
      <c r="J1311" s="255"/>
      <c r="K1311" s="255"/>
      <c r="L1311" s="250"/>
      <c r="M1311" s="411"/>
      <c r="N1311" s="277"/>
      <c r="O1311" s="329"/>
      <c r="P1311" s="402">
        <f t="shared" ref="P1311:Q1311" si="1307">IF(B1311=0,0,IF(YEAR(B1311)=$Q$1,MONTH(B1311)-$P$1+1,(YEAR(B1311)-$Q$1)*12-$P$1+1+MONTH(B1311)))</f>
        <v>0</v>
      </c>
      <c r="Q1311" s="402">
        <f t="shared" si="1307"/>
        <v>0</v>
      </c>
      <c r="R1311" s="356" t="str">
        <f t="shared" si="1"/>
        <v/>
      </c>
      <c r="S1311" s="356" t="str">
        <f>IF(D1311="","",IF(OR(D1311=Plano!$A$1,D1311=Plano!$B$1),"entrada","saída"))</f>
        <v/>
      </c>
      <c r="T1311" s="345"/>
      <c r="U1311" s="345"/>
      <c r="V1311" s="269"/>
    </row>
    <row r="1312" spans="1:22" ht="12.75" customHeight="1" x14ac:dyDescent="0.2">
      <c r="A1312" s="277" t="str">
        <f>IF(B1312="","",COUNT('Diário 5º PA'!$A$5:$A$2634)+ROW()-4)</f>
        <v/>
      </c>
      <c r="B1312" s="278"/>
      <c r="C1312" s="335"/>
      <c r="D1312" s="255"/>
      <c r="E1312" s="255"/>
      <c r="F1312" s="258"/>
      <c r="G1312" s="255"/>
      <c r="H1312" s="255"/>
      <c r="I1312" s="250"/>
      <c r="J1312" s="255"/>
      <c r="K1312" s="255"/>
      <c r="L1312" s="250"/>
      <c r="M1312" s="411"/>
      <c r="N1312" s="277"/>
      <c r="O1312" s="329"/>
      <c r="P1312" s="402">
        <f t="shared" ref="P1312:Q1312" si="1308">IF(B1312=0,0,IF(YEAR(B1312)=$Q$1,MONTH(B1312)-$P$1+1,(YEAR(B1312)-$Q$1)*12-$P$1+1+MONTH(B1312)))</f>
        <v>0</v>
      </c>
      <c r="Q1312" s="402">
        <f t="shared" si="1308"/>
        <v>0</v>
      </c>
      <c r="R1312" s="356" t="str">
        <f t="shared" si="1"/>
        <v/>
      </c>
      <c r="S1312" s="356" t="str">
        <f>IF(D1312="","",IF(OR(D1312=Plano!$A$1,D1312=Plano!$B$1),"entrada","saída"))</f>
        <v/>
      </c>
      <c r="T1312" s="345"/>
      <c r="U1312" s="345"/>
      <c r="V1312" s="269"/>
    </row>
    <row r="1313" spans="1:22" ht="12.75" customHeight="1" x14ac:dyDescent="0.2">
      <c r="A1313" s="277" t="str">
        <f>IF(B1313="","",COUNT('Diário 5º PA'!$A$5:$A$2634)+ROW()-4)</f>
        <v/>
      </c>
      <c r="B1313" s="278"/>
      <c r="C1313" s="335"/>
      <c r="D1313" s="255"/>
      <c r="E1313" s="255"/>
      <c r="F1313" s="258"/>
      <c r="G1313" s="255"/>
      <c r="H1313" s="255"/>
      <c r="I1313" s="250"/>
      <c r="J1313" s="255"/>
      <c r="K1313" s="255"/>
      <c r="L1313" s="250"/>
      <c r="M1313" s="411"/>
      <c r="N1313" s="277"/>
      <c r="O1313" s="329"/>
      <c r="P1313" s="402">
        <f t="shared" ref="P1313:Q1313" si="1309">IF(B1313=0,0,IF(YEAR(B1313)=$Q$1,MONTH(B1313)-$P$1+1,(YEAR(B1313)-$Q$1)*12-$P$1+1+MONTH(B1313)))</f>
        <v>0</v>
      </c>
      <c r="Q1313" s="402">
        <f t="shared" si="1309"/>
        <v>0</v>
      </c>
      <c r="R1313" s="356" t="str">
        <f t="shared" si="1"/>
        <v/>
      </c>
      <c r="S1313" s="356" t="str">
        <f>IF(D1313="","",IF(OR(D1313=Plano!$A$1,D1313=Plano!$B$1),"entrada","saída"))</f>
        <v/>
      </c>
      <c r="T1313" s="345"/>
      <c r="U1313" s="345"/>
      <c r="V1313" s="269"/>
    </row>
    <row r="1314" spans="1:22" ht="12.75" customHeight="1" x14ac:dyDescent="0.2">
      <c r="A1314" s="277" t="str">
        <f>IF(B1314="","",COUNT('Diário 5º PA'!$A$5:$A$2634)+ROW()-4)</f>
        <v/>
      </c>
      <c r="B1314" s="278"/>
      <c r="C1314" s="335"/>
      <c r="D1314" s="255"/>
      <c r="E1314" s="255"/>
      <c r="F1314" s="258"/>
      <c r="G1314" s="255"/>
      <c r="H1314" s="255"/>
      <c r="I1314" s="250"/>
      <c r="J1314" s="255"/>
      <c r="K1314" s="255"/>
      <c r="L1314" s="250"/>
      <c r="M1314" s="411"/>
      <c r="N1314" s="277"/>
      <c r="O1314" s="329"/>
      <c r="P1314" s="402">
        <f t="shared" ref="P1314:Q1314" si="1310">IF(B1314=0,0,IF(YEAR(B1314)=$Q$1,MONTH(B1314)-$P$1+1,(YEAR(B1314)-$Q$1)*12-$P$1+1+MONTH(B1314)))</f>
        <v>0</v>
      </c>
      <c r="Q1314" s="402">
        <f t="shared" si="1310"/>
        <v>0</v>
      </c>
      <c r="R1314" s="356" t="str">
        <f t="shared" si="1"/>
        <v/>
      </c>
      <c r="S1314" s="356" t="str">
        <f>IF(D1314="","",IF(OR(D1314=Plano!$A$1,D1314=Plano!$B$1),"entrada","saída"))</f>
        <v/>
      </c>
      <c r="T1314" s="345"/>
      <c r="U1314" s="345"/>
      <c r="V1314" s="269"/>
    </row>
    <row r="1315" spans="1:22" ht="12.75" customHeight="1" x14ac:dyDescent="0.2">
      <c r="A1315" s="277" t="str">
        <f>IF(B1315="","",COUNT('Diário 5º PA'!$A$5:$A$2634)+ROW()-4)</f>
        <v/>
      </c>
      <c r="B1315" s="278"/>
      <c r="C1315" s="335"/>
      <c r="D1315" s="255"/>
      <c r="E1315" s="255"/>
      <c r="F1315" s="258"/>
      <c r="G1315" s="255"/>
      <c r="H1315" s="255"/>
      <c r="I1315" s="250"/>
      <c r="J1315" s="255"/>
      <c r="K1315" s="255"/>
      <c r="L1315" s="250"/>
      <c r="M1315" s="411"/>
      <c r="N1315" s="277"/>
      <c r="O1315" s="329"/>
      <c r="P1315" s="402">
        <f t="shared" ref="P1315:Q1315" si="1311">IF(B1315=0,0,IF(YEAR(B1315)=$Q$1,MONTH(B1315)-$P$1+1,(YEAR(B1315)-$Q$1)*12-$P$1+1+MONTH(B1315)))</f>
        <v>0</v>
      </c>
      <c r="Q1315" s="402">
        <f t="shared" si="1311"/>
        <v>0</v>
      </c>
      <c r="R1315" s="356" t="str">
        <f t="shared" si="1"/>
        <v/>
      </c>
      <c r="S1315" s="356" t="str">
        <f>IF(D1315="","",IF(OR(D1315=Plano!$A$1,D1315=Plano!$B$1),"entrada","saída"))</f>
        <v/>
      </c>
      <c r="T1315" s="345"/>
      <c r="U1315" s="345"/>
      <c r="V1315" s="269"/>
    </row>
    <row r="1316" spans="1:22" ht="12.75" customHeight="1" x14ac:dyDescent="0.2">
      <c r="A1316" s="277" t="str">
        <f>IF(B1316="","",COUNT('Diário 5º PA'!$A$5:$A$2634)+ROW()-4)</f>
        <v/>
      </c>
      <c r="B1316" s="278"/>
      <c r="C1316" s="335"/>
      <c r="D1316" s="255"/>
      <c r="E1316" s="255"/>
      <c r="F1316" s="258"/>
      <c r="G1316" s="255"/>
      <c r="H1316" s="255"/>
      <c r="I1316" s="250"/>
      <c r="J1316" s="255"/>
      <c r="K1316" s="255"/>
      <c r="L1316" s="250"/>
      <c r="M1316" s="411"/>
      <c r="N1316" s="277"/>
      <c r="O1316" s="329"/>
      <c r="P1316" s="402">
        <f t="shared" ref="P1316:Q1316" si="1312">IF(B1316=0,0,IF(YEAR(B1316)=$Q$1,MONTH(B1316)-$P$1+1,(YEAR(B1316)-$Q$1)*12-$P$1+1+MONTH(B1316)))</f>
        <v>0</v>
      </c>
      <c r="Q1316" s="402">
        <f t="shared" si="1312"/>
        <v>0</v>
      </c>
      <c r="R1316" s="356" t="str">
        <f t="shared" si="1"/>
        <v/>
      </c>
      <c r="S1316" s="356" t="str">
        <f>IF(D1316="","",IF(OR(D1316=Plano!$A$1,D1316=Plano!$B$1),"entrada","saída"))</f>
        <v/>
      </c>
      <c r="T1316" s="345"/>
      <c r="U1316" s="345"/>
      <c r="V1316" s="269"/>
    </row>
    <row r="1317" spans="1:22" ht="12.75" customHeight="1" x14ac:dyDescent="0.2">
      <c r="A1317" s="277" t="str">
        <f>IF(B1317="","",COUNT('Diário 5º PA'!$A$5:$A$2634)+ROW()-4)</f>
        <v/>
      </c>
      <c r="B1317" s="278"/>
      <c r="C1317" s="335"/>
      <c r="D1317" s="255"/>
      <c r="E1317" s="255"/>
      <c r="F1317" s="258"/>
      <c r="G1317" s="255"/>
      <c r="H1317" s="255"/>
      <c r="I1317" s="250"/>
      <c r="J1317" s="255"/>
      <c r="K1317" s="255"/>
      <c r="L1317" s="250"/>
      <c r="M1317" s="411"/>
      <c r="N1317" s="277"/>
      <c r="O1317" s="329"/>
      <c r="P1317" s="402">
        <f t="shared" ref="P1317:Q1317" si="1313">IF(B1317=0,0,IF(YEAR(B1317)=$Q$1,MONTH(B1317)-$P$1+1,(YEAR(B1317)-$Q$1)*12-$P$1+1+MONTH(B1317)))</f>
        <v>0</v>
      </c>
      <c r="Q1317" s="402">
        <f t="shared" si="1313"/>
        <v>0</v>
      </c>
      <c r="R1317" s="356" t="str">
        <f t="shared" si="1"/>
        <v/>
      </c>
      <c r="S1317" s="356" t="str">
        <f>IF(D1317="","",IF(OR(D1317=Plano!$A$1,D1317=Plano!$B$1),"entrada","saída"))</f>
        <v/>
      </c>
      <c r="T1317" s="345"/>
      <c r="U1317" s="345"/>
      <c r="V1317" s="269"/>
    </row>
    <row r="1318" spans="1:22" ht="12.75" customHeight="1" x14ac:dyDescent="0.2">
      <c r="A1318" s="277" t="str">
        <f>IF(B1318="","",COUNT('Diário 5º PA'!$A$5:$A$2634)+ROW()-4)</f>
        <v/>
      </c>
      <c r="B1318" s="278"/>
      <c r="C1318" s="335"/>
      <c r="D1318" s="255"/>
      <c r="E1318" s="255"/>
      <c r="F1318" s="258"/>
      <c r="G1318" s="255"/>
      <c r="H1318" s="255"/>
      <c r="I1318" s="250"/>
      <c r="J1318" s="255"/>
      <c r="K1318" s="255"/>
      <c r="L1318" s="250"/>
      <c r="M1318" s="411"/>
      <c r="N1318" s="277"/>
      <c r="O1318" s="329"/>
      <c r="P1318" s="402">
        <f t="shared" ref="P1318:Q1318" si="1314">IF(B1318=0,0,IF(YEAR(B1318)=$Q$1,MONTH(B1318)-$P$1+1,(YEAR(B1318)-$Q$1)*12-$P$1+1+MONTH(B1318)))</f>
        <v>0</v>
      </c>
      <c r="Q1318" s="402">
        <f t="shared" si="1314"/>
        <v>0</v>
      </c>
      <c r="R1318" s="356" t="str">
        <f t="shared" si="1"/>
        <v/>
      </c>
      <c r="S1318" s="356" t="str">
        <f>IF(D1318="","",IF(OR(D1318=Plano!$A$1,D1318=Plano!$B$1),"entrada","saída"))</f>
        <v/>
      </c>
      <c r="T1318" s="345"/>
      <c r="U1318" s="345"/>
      <c r="V1318" s="269"/>
    </row>
    <row r="1319" spans="1:22" ht="12.75" customHeight="1" x14ac:dyDescent="0.2">
      <c r="A1319" s="277" t="str">
        <f>IF(B1319="","",COUNT('Diário 5º PA'!$A$5:$A$2634)+ROW()-4)</f>
        <v/>
      </c>
      <c r="B1319" s="278"/>
      <c r="C1319" s="335"/>
      <c r="D1319" s="255"/>
      <c r="E1319" s="255"/>
      <c r="F1319" s="258"/>
      <c r="G1319" s="255"/>
      <c r="H1319" s="255"/>
      <c r="I1319" s="250"/>
      <c r="J1319" s="255"/>
      <c r="K1319" s="255"/>
      <c r="L1319" s="250"/>
      <c r="M1319" s="411"/>
      <c r="N1319" s="277"/>
      <c r="O1319" s="329"/>
      <c r="P1319" s="402">
        <f t="shared" ref="P1319:Q1319" si="1315">IF(B1319=0,0,IF(YEAR(B1319)=$Q$1,MONTH(B1319)-$P$1+1,(YEAR(B1319)-$Q$1)*12-$P$1+1+MONTH(B1319)))</f>
        <v>0</v>
      </c>
      <c r="Q1319" s="402">
        <f t="shared" si="1315"/>
        <v>0</v>
      </c>
      <c r="R1319" s="356" t="str">
        <f t="shared" si="1"/>
        <v/>
      </c>
      <c r="S1319" s="356" t="str">
        <f>IF(D1319="","",IF(OR(D1319=Plano!$A$1,D1319=Plano!$B$1),"entrada","saída"))</f>
        <v/>
      </c>
      <c r="T1319" s="345"/>
      <c r="U1319" s="345"/>
      <c r="V1319" s="269"/>
    </row>
    <row r="1320" spans="1:22" ht="12.75" customHeight="1" x14ac:dyDescent="0.2">
      <c r="A1320" s="277" t="str">
        <f>IF(B1320="","",COUNT('Diário 5º PA'!$A$5:$A$2634)+ROW()-4)</f>
        <v/>
      </c>
      <c r="B1320" s="278"/>
      <c r="C1320" s="335"/>
      <c r="D1320" s="255"/>
      <c r="E1320" s="255"/>
      <c r="F1320" s="258"/>
      <c r="G1320" s="255"/>
      <c r="H1320" s="255"/>
      <c r="I1320" s="250"/>
      <c r="J1320" s="255"/>
      <c r="K1320" s="255"/>
      <c r="L1320" s="250"/>
      <c r="M1320" s="411"/>
      <c r="N1320" s="277"/>
      <c r="O1320" s="329"/>
      <c r="P1320" s="402">
        <f t="shared" ref="P1320:Q1320" si="1316">IF(B1320=0,0,IF(YEAR(B1320)=$Q$1,MONTH(B1320)-$P$1+1,(YEAR(B1320)-$Q$1)*12-$P$1+1+MONTH(B1320)))</f>
        <v>0</v>
      </c>
      <c r="Q1320" s="402">
        <f t="shared" si="1316"/>
        <v>0</v>
      </c>
      <c r="R1320" s="356" t="str">
        <f t="shared" si="1"/>
        <v/>
      </c>
      <c r="S1320" s="356" t="str">
        <f>IF(D1320="","",IF(OR(D1320=Plano!$A$1,D1320=Plano!$B$1),"entrada","saída"))</f>
        <v/>
      </c>
      <c r="T1320" s="345"/>
      <c r="U1320" s="345"/>
      <c r="V1320" s="269"/>
    </row>
    <row r="1321" spans="1:22" ht="12.75" customHeight="1" x14ac:dyDescent="0.2">
      <c r="A1321" s="277" t="str">
        <f>IF(B1321="","",COUNT('Diário 5º PA'!$A$5:$A$2634)+ROW()-4)</f>
        <v/>
      </c>
      <c r="B1321" s="278"/>
      <c r="C1321" s="335"/>
      <c r="D1321" s="255"/>
      <c r="E1321" s="255"/>
      <c r="F1321" s="258"/>
      <c r="G1321" s="255"/>
      <c r="H1321" s="255"/>
      <c r="I1321" s="250"/>
      <c r="J1321" s="255"/>
      <c r="K1321" s="255"/>
      <c r="L1321" s="250"/>
      <c r="M1321" s="411"/>
      <c r="N1321" s="277"/>
      <c r="O1321" s="329"/>
      <c r="P1321" s="402">
        <f t="shared" ref="P1321:Q1321" si="1317">IF(B1321=0,0,IF(YEAR(B1321)=$Q$1,MONTH(B1321)-$P$1+1,(YEAR(B1321)-$Q$1)*12-$P$1+1+MONTH(B1321)))</f>
        <v>0</v>
      </c>
      <c r="Q1321" s="402">
        <f t="shared" si="1317"/>
        <v>0</v>
      </c>
      <c r="R1321" s="356" t="str">
        <f t="shared" si="1"/>
        <v/>
      </c>
      <c r="S1321" s="356" t="str">
        <f>IF(D1321="","",IF(OR(D1321=Plano!$A$1,D1321=Plano!$B$1),"entrada","saída"))</f>
        <v/>
      </c>
      <c r="T1321" s="345"/>
      <c r="U1321" s="345"/>
      <c r="V1321" s="269"/>
    </row>
    <row r="1322" spans="1:22" ht="12.75" customHeight="1" x14ac:dyDescent="0.2">
      <c r="A1322" s="277" t="str">
        <f>IF(B1322="","",COUNT('Diário 5º PA'!$A$5:$A$2634)+ROW()-4)</f>
        <v/>
      </c>
      <c r="B1322" s="278"/>
      <c r="C1322" s="335"/>
      <c r="D1322" s="255"/>
      <c r="E1322" s="255"/>
      <c r="F1322" s="258"/>
      <c r="G1322" s="255"/>
      <c r="H1322" s="255"/>
      <c r="I1322" s="250"/>
      <c r="J1322" s="255"/>
      <c r="K1322" s="255"/>
      <c r="L1322" s="250"/>
      <c r="M1322" s="411"/>
      <c r="N1322" s="277"/>
      <c r="O1322" s="329"/>
      <c r="P1322" s="402">
        <f t="shared" ref="P1322:Q1322" si="1318">IF(B1322=0,0,IF(YEAR(B1322)=$Q$1,MONTH(B1322)-$P$1+1,(YEAR(B1322)-$Q$1)*12-$P$1+1+MONTH(B1322)))</f>
        <v>0</v>
      </c>
      <c r="Q1322" s="402">
        <f t="shared" si="1318"/>
        <v>0</v>
      </c>
      <c r="R1322" s="356" t="str">
        <f t="shared" si="1"/>
        <v/>
      </c>
      <c r="S1322" s="356" t="str">
        <f>IF(D1322="","",IF(OR(D1322=Plano!$A$1,D1322=Plano!$B$1),"entrada","saída"))</f>
        <v/>
      </c>
      <c r="T1322" s="345"/>
      <c r="U1322" s="345"/>
      <c r="V1322" s="269"/>
    </row>
    <row r="1323" spans="1:22" ht="12.75" customHeight="1" x14ac:dyDescent="0.2">
      <c r="A1323" s="277" t="str">
        <f>IF(B1323="","",COUNT('Diário 5º PA'!$A$5:$A$2634)+ROW()-4)</f>
        <v/>
      </c>
      <c r="B1323" s="278"/>
      <c r="C1323" s="335"/>
      <c r="D1323" s="255"/>
      <c r="E1323" s="255"/>
      <c r="F1323" s="258"/>
      <c r="G1323" s="255"/>
      <c r="H1323" s="255"/>
      <c r="I1323" s="250"/>
      <c r="J1323" s="255"/>
      <c r="K1323" s="255"/>
      <c r="L1323" s="250"/>
      <c r="M1323" s="411"/>
      <c r="N1323" s="277"/>
      <c r="O1323" s="329"/>
      <c r="P1323" s="402">
        <f t="shared" ref="P1323:Q1323" si="1319">IF(B1323=0,0,IF(YEAR(B1323)=$Q$1,MONTH(B1323)-$P$1+1,(YEAR(B1323)-$Q$1)*12-$P$1+1+MONTH(B1323)))</f>
        <v>0</v>
      </c>
      <c r="Q1323" s="402">
        <f t="shared" si="1319"/>
        <v>0</v>
      </c>
      <c r="R1323" s="356" t="str">
        <f t="shared" si="1"/>
        <v/>
      </c>
      <c r="S1323" s="356" t="str">
        <f>IF(D1323="","",IF(OR(D1323=Plano!$A$1,D1323=Plano!$B$1),"entrada","saída"))</f>
        <v/>
      </c>
      <c r="T1323" s="345"/>
      <c r="U1323" s="345"/>
      <c r="V1323" s="269"/>
    </row>
    <row r="1324" spans="1:22" ht="12.75" customHeight="1" x14ac:dyDescent="0.2">
      <c r="A1324" s="277" t="str">
        <f>IF(B1324="","",COUNT('Diário 5º PA'!$A$5:$A$2634)+ROW()-4)</f>
        <v/>
      </c>
      <c r="B1324" s="278"/>
      <c r="C1324" s="335"/>
      <c r="D1324" s="255"/>
      <c r="E1324" s="255"/>
      <c r="F1324" s="258"/>
      <c r="G1324" s="255"/>
      <c r="H1324" s="255"/>
      <c r="I1324" s="250"/>
      <c r="J1324" s="255"/>
      <c r="K1324" s="255"/>
      <c r="L1324" s="250"/>
      <c r="M1324" s="411"/>
      <c r="N1324" s="277"/>
      <c r="O1324" s="329"/>
      <c r="P1324" s="402">
        <f t="shared" ref="P1324:Q1324" si="1320">IF(B1324=0,0,IF(YEAR(B1324)=$Q$1,MONTH(B1324)-$P$1+1,(YEAR(B1324)-$Q$1)*12-$P$1+1+MONTH(B1324)))</f>
        <v>0</v>
      </c>
      <c r="Q1324" s="402">
        <f t="shared" si="1320"/>
        <v>0</v>
      </c>
      <c r="R1324" s="356" t="str">
        <f t="shared" si="1"/>
        <v/>
      </c>
      <c r="S1324" s="356" t="str">
        <f>IF(D1324="","",IF(OR(D1324=Plano!$A$1,D1324=Plano!$B$1),"entrada","saída"))</f>
        <v/>
      </c>
      <c r="T1324" s="345"/>
      <c r="U1324" s="345"/>
      <c r="V1324" s="269"/>
    </row>
    <row r="1325" spans="1:22" ht="12.75" customHeight="1" x14ac:dyDescent="0.2">
      <c r="A1325" s="277" t="str">
        <f>IF(B1325="","",COUNT('Diário 5º PA'!$A$5:$A$2634)+ROW()-4)</f>
        <v/>
      </c>
      <c r="B1325" s="278"/>
      <c r="C1325" s="335"/>
      <c r="D1325" s="255"/>
      <c r="E1325" s="255"/>
      <c r="F1325" s="258"/>
      <c r="G1325" s="255"/>
      <c r="H1325" s="255"/>
      <c r="I1325" s="250"/>
      <c r="J1325" s="255"/>
      <c r="K1325" s="255"/>
      <c r="L1325" s="250"/>
      <c r="M1325" s="411"/>
      <c r="N1325" s="277"/>
      <c r="O1325" s="329"/>
      <c r="P1325" s="402">
        <f t="shared" ref="P1325:Q1325" si="1321">IF(B1325=0,0,IF(YEAR(B1325)=$Q$1,MONTH(B1325)-$P$1+1,(YEAR(B1325)-$Q$1)*12-$P$1+1+MONTH(B1325)))</f>
        <v>0</v>
      </c>
      <c r="Q1325" s="402">
        <f t="shared" si="1321"/>
        <v>0</v>
      </c>
      <c r="R1325" s="356" t="str">
        <f t="shared" si="1"/>
        <v/>
      </c>
      <c r="S1325" s="356" t="str">
        <f>IF(D1325="","",IF(OR(D1325=Plano!$A$1,D1325=Plano!$B$1),"entrada","saída"))</f>
        <v/>
      </c>
      <c r="T1325" s="345"/>
      <c r="U1325" s="345"/>
      <c r="V1325" s="269"/>
    </row>
    <row r="1326" spans="1:22" ht="12.75" customHeight="1" x14ac:dyDescent="0.2">
      <c r="A1326" s="277" t="str">
        <f>IF(B1326="","",COUNT('Diário 5º PA'!$A$5:$A$2634)+ROW()-4)</f>
        <v/>
      </c>
      <c r="B1326" s="278"/>
      <c r="C1326" s="335"/>
      <c r="D1326" s="255"/>
      <c r="E1326" s="255"/>
      <c r="F1326" s="258"/>
      <c r="G1326" s="255"/>
      <c r="H1326" s="255"/>
      <c r="I1326" s="250"/>
      <c r="J1326" s="255"/>
      <c r="K1326" s="255"/>
      <c r="L1326" s="250"/>
      <c r="M1326" s="411"/>
      <c r="N1326" s="277"/>
      <c r="O1326" s="329"/>
      <c r="P1326" s="402">
        <f t="shared" ref="P1326:Q1326" si="1322">IF(B1326=0,0,IF(YEAR(B1326)=$Q$1,MONTH(B1326)-$P$1+1,(YEAR(B1326)-$Q$1)*12-$P$1+1+MONTH(B1326)))</f>
        <v>0</v>
      </c>
      <c r="Q1326" s="402">
        <f t="shared" si="1322"/>
        <v>0</v>
      </c>
      <c r="R1326" s="356" t="str">
        <f t="shared" si="1"/>
        <v/>
      </c>
      <c r="S1326" s="356" t="str">
        <f>IF(D1326="","",IF(OR(D1326=Plano!$A$1,D1326=Plano!$B$1),"entrada","saída"))</f>
        <v/>
      </c>
      <c r="T1326" s="345"/>
      <c r="U1326" s="345"/>
      <c r="V1326" s="269"/>
    </row>
    <row r="1327" spans="1:22" ht="12.75" customHeight="1" x14ac:dyDescent="0.2">
      <c r="A1327" s="277" t="str">
        <f>IF(B1327="","",COUNT('Diário 5º PA'!$A$5:$A$2634)+ROW()-4)</f>
        <v/>
      </c>
      <c r="B1327" s="278"/>
      <c r="C1327" s="335"/>
      <c r="D1327" s="255"/>
      <c r="E1327" s="255"/>
      <c r="F1327" s="258"/>
      <c r="G1327" s="255"/>
      <c r="H1327" s="255"/>
      <c r="I1327" s="250"/>
      <c r="J1327" s="255"/>
      <c r="K1327" s="255"/>
      <c r="L1327" s="250"/>
      <c r="M1327" s="411"/>
      <c r="N1327" s="277"/>
      <c r="O1327" s="329"/>
      <c r="P1327" s="402">
        <f t="shared" ref="P1327:Q1327" si="1323">IF(B1327=0,0,IF(YEAR(B1327)=$Q$1,MONTH(B1327)-$P$1+1,(YEAR(B1327)-$Q$1)*12-$P$1+1+MONTH(B1327)))</f>
        <v>0</v>
      </c>
      <c r="Q1327" s="402">
        <f t="shared" si="1323"/>
        <v>0</v>
      </c>
      <c r="R1327" s="356" t="str">
        <f t="shared" si="1"/>
        <v/>
      </c>
      <c r="S1327" s="356" t="str">
        <f>IF(D1327="","",IF(OR(D1327=Plano!$A$1,D1327=Plano!$B$1),"entrada","saída"))</f>
        <v/>
      </c>
      <c r="T1327" s="345"/>
      <c r="U1327" s="345"/>
      <c r="V1327" s="269"/>
    </row>
    <row r="1328" spans="1:22" ht="12.75" customHeight="1" x14ac:dyDescent="0.2">
      <c r="A1328" s="277" t="str">
        <f>IF(B1328="","",COUNT('Diário 5º PA'!$A$5:$A$2634)+ROW()-4)</f>
        <v/>
      </c>
      <c r="B1328" s="278"/>
      <c r="C1328" s="335"/>
      <c r="D1328" s="255"/>
      <c r="E1328" s="255"/>
      <c r="F1328" s="258"/>
      <c r="G1328" s="255"/>
      <c r="H1328" s="255"/>
      <c r="I1328" s="250"/>
      <c r="J1328" s="255"/>
      <c r="K1328" s="255"/>
      <c r="L1328" s="250"/>
      <c r="M1328" s="411"/>
      <c r="N1328" s="277"/>
      <c r="O1328" s="329"/>
      <c r="P1328" s="402">
        <f t="shared" ref="P1328:Q1328" si="1324">IF(B1328=0,0,IF(YEAR(B1328)=$Q$1,MONTH(B1328)-$P$1+1,(YEAR(B1328)-$Q$1)*12-$P$1+1+MONTH(B1328)))</f>
        <v>0</v>
      </c>
      <c r="Q1328" s="402">
        <f t="shared" si="1324"/>
        <v>0</v>
      </c>
      <c r="R1328" s="356" t="str">
        <f t="shared" si="1"/>
        <v/>
      </c>
      <c r="S1328" s="356" t="str">
        <f>IF(D1328="","",IF(OR(D1328=Plano!$A$1,D1328=Plano!$B$1),"entrada","saída"))</f>
        <v/>
      </c>
      <c r="T1328" s="345"/>
      <c r="U1328" s="345"/>
      <c r="V1328" s="269"/>
    </row>
    <row r="1329" spans="1:22" ht="12.75" customHeight="1" x14ac:dyDescent="0.2">
      <c r="A1329" s="277" t="str">
        <f>IF(B1329="","",COUNT('Diário 5º PA'!$A$5:$A$2634)+ROW()-4)</f>
        <v/>
      </c>
      <c r="B1329" s="278"/>
      <c r="C1329" s="335"/>
      <c r="D1329" s="255"/>
      <c r="E1329" s="255"/>
      <c r="F1329" s="258"/>
      <c r="G1329" s="255"/>
      <c r="H1329" s="255"/>
      <c r="I1329" s="250"/>
      <c r="J1329" s="255"/>
      <c r="K1329" s="255"/>
      <c r="L1329" s="250"/>
      <c r="M1329" s="411"/>
      <c r="N1329" s="277"/>
      <c r="O1329" s="329"/>
      <c r="P1329" s="402">
        <f t="shared" ref="P1329:Q1329" si="1325">IF(B1329=0,0,IF(YEAR(B1329)=$Q$1,MONTH(B1329)-$P$1+1,(YEAR(B1329)-$Q$1)*12-$P$1+1+MONTH(B1329)))</f>
        <v>0</v>
      </c>
      <c r="Q1329" s="402">
        <f t="shared" si="1325"/>
        <v>0</v>
      </c>
      <c r="R1329" s="356" t="str">
        <f t="shared" si="1"/>
        <v/>
      </c>
      <c r="S1329" s="356" t="str">
        <f>IF(D1329="","",IF(OR(D1329=Plano!$A$1,D1329=Plano!$B$1),"entrada","saída"))</f>
        <v/>
      </c>
      <c r="T1329" s="345"/>
      <c r="U1329" s="345"/>
      <c r="V1329" s="269"/>
    </row>
    <row r="1330" spans="1:22" ht="12.75" customHeight="1" x14ac:dyDescent="0.2">
      <c r="A1330" s="277" t="str">
        <f>IF(B1330="","",COUNT('Diário 5º PA'!$A$5:$A$2634)+ROW()-4)</f>
        <v/>
      </c>
      <c r="B1330" s="278"/>
      <c r="C1330" s="335"/>
      <c r="D1330" s="255"/>
      <c r="E1330" s="255"/>
      <c r="F1330" s="258"/>
      <c r="G1330" s="255"/>
      <c r="H1330" s="255"/>
      <c r="I1330" s="250"/>
      <c r="J1330" s="255"/>
      <c r="K1330" s="255"/>
      <c r="L1330" s="250"/>
      <c r="M1330" s="411"/>
      <c r="N1330" s="277"/>
      <c r="O1330" s="329"/>
      <c r="P1330" s="402">
        <f t="shared" ref="P1330:Q1330" si="1326">IF(B1330=0,0,IF(YEAR(B1330)=$Q$1,MONTH(B1330)-$P$1+1,(YEAR(B1330)-$Q$1)*12-$P$1+1+MONTH(B1330)))</f>
        <v>0</v>
      </c>
      <c r="Q1330" s="402">
        <f t="shared" si="1326"/>
        <v>0</v>
      </c>
      <c r="R1330" s="356" t="str">
        <f t="shared" si="1"/>
        <v/>
      </c>
      <c r="S1330" s="356" t="str">
        <f>IF(D1330="","",IF(OR(D1330=Plano!$A$1,D1330=Plano!$B$1),"entrada","saída"))</f>
        <v/>
      </c>
      <c r="T1330" s="345"/>
      <c r="U1330" s="345"/>
      <c r="V1330" s="269"/>
    </row>
    <row r="1331" spans="1:22" ht="12.75" customHeight="1" x14ac:dyDescent="0.2">
      <c r="A1331" s="277" t="str">
        <f>IF(B1331="","",COUNT('Diário 5º PA'!$A$5:$A$2634)+ROW()-4)</f>
        <v/>
      </c>
      <c r="B1331" s="278"/>
      <c r="C1331" s="335"/>
      <c r="D1331" s="255"/>
      <c r="E1331" s="255"/>
      <c r="F1331" s="258"/>
      <c r="G1331" s="255"/>
      <c r="H1331" s="255"/>
      <c r="I1331" s="250"/>
      <c r="J1331" s="255"/>
      <c r="K1331" s="255"/>
      <c r="L1331" s="250"/>
      <c r="M1331" s="411"/>
      <c r="N1331" s="277"/>
      <c r="O1331" s="329"/>
      <c r="P1331" s="402">
        <f t="shared" ref="P1331:Q1331" si="1327">IF(B1331=0,0,IF(YEAR(B1331)=$Q$1,MONTH(B1331)-$P$1+1,(YEAR(B1331)-$Q$1)*12-$P$1+1+MONTH(B1331)))</f>
        <v>0</v>
      </c>
      <c r="Q1331" s="402">
        <f t="shared" si="1327"/>
        <v>0</v>
      </c>
      <c r="R1331" s="356" t="str">
        <f t="shared" si="1"/>
        <v/>
      </c>
      <c r="S1331" s="356" t="str">
        <f>IF(D1331="","",IF(OR(D1331=Plano!$A$1,D1331=Plano!$B$1),"entrada","saída"))</f>
        <v/>
      </c>
      <c r="T1331" s="345"/>
      <c r="U1331" s="345"/>
      <c r="V1331" s="269"/>
    </row>
    <row r="1332" spans="1:22" ht="12.75" customHeight="1" x14ac:dyDescent="0.2">
      <c r="A1332" s="277" t="str">
        <f>IF(B1332="","",COUNT('Diário 5º PA'!$A$5:$A$2634)+ROW()-4)</f>
        <v/>
      </c>
      <c r="B1332" s="278"/>
      <c r="C1332" s="335"/>
      <c r="D1332" s="255"/>
      <c r="E1332" s="255"/>
      <c r="F1332" s="258"/>
      <c r="G1332" s="255"/>
      <c r="H1332" s="255"/>
      <c r="I1332" s="250"/>
      <c r="J1332" s="255"/>
      <c r="K1332" s="255"/>
      <c r="L1332" s="250"/>
      <c r="M1332" s="411"/>
      <c r="N1332" s="277"/>
      <c r="O1332" s="329"/>
      <c r="P1332" s="402">
        <f t="shared" ref="P1332:Q1332" si="1328">IF(B1332=0,0,IF(YEAR(B1332)=$Q$1,MONTH(B1332)-$P$1+1,(YEAR(B1332)-$Q$1)*12-$P$1+1+MONTH(B1332)))</f>
        <v>0</v>
      </c>
      <c r="Q1332" s="402">
        <f t="shared" si="1328"/>
        <v>0</v>
      </c>
      <c r="R1332" s="356" t="str">
        <f t="shared" si="1"/>
        <v/>
      </c>
      <c r="S1332" s="356" t="str">
        <f>IF(D1332="","",IF(OR(D1332=Plano!$A$1,D1332=Plano!$B$1),"entrada","saída"))</f>
        <v/>
      </c>
      <c r="T1332" s="345"/>
      <c r="U1332" s="345"/>
      <c r="V1332" s="269"/>
    </row>
    <row r="1333" spans="1:22" ht="12.75" customHeight="1" x14ac:dyDescent="0.2">
      <c r="A1333" s="277" t="str">
        <f>IF(B1333="","",COUNT('Diário 5º PA'!$A$5:$A$2634)+ROW()-4)</f>
        <v/>
      </c>
      <c r="B1333" s="278"/>
      <c r="C1333" s="335"/>
      <c r="D1333" s="255"/>
      <c r="E1333" s="255"/>
      <c r="F1333" s="258"/>
      <c r="G1333" s="255"/>
      <c r="H1333" s="255"/>
      <c r="I1333" s="250"/>
      <c r="J1333" s="255"/>
      <c r="K1333" s="255"/>
      <c r="L1333" s="250"/>
      <c r="M1333" s="411"/>
      <c r="N1333" s="277"/>
      <c r="O1333" s="329"/>
      <c r="P1333" s="402">
        <f t="shared" ref="P1333:Q1333" si="1329">IF(B1333=0,0,IF(YEAR(B1333)=$Q$1,MONTH(B1333)-$P$1+1,(YEAR(B1333)-$Q$1)*12-$P$1+1+MONTH(B1333)))</f>
        <v>0</v>
      </c>
      <c r="Q1333" s="402">
        <f t="shared" si="1329"/>
        <v>0</v>
      </c>
      <c r="R1333" s="356" t="str">
        <f t="shared" si="1"/>
        <v/>
      </c>
      <c r="S1333" s="356" t="str">
        <f>IF(D1333="","",IF(OR(D1333=Plano!$A$1,D1333=Plano!$B$1),"entrada","saída"))</f>
        <v/>
      </c>
      <c r="T1333" s="345"/>
      <c r="U1333" s="345"/>
      <c r="V1333" s="269"/>
    </row>
    <row r="1334" spans="1:22" ht="12.75" customHeight="1" x14ac:dyDescent="0.2">
      <c r="A1334" s="277" t="str">
        <f>IF(B1334="","",COUNT('Diário 5º PA'!$A$5:$A$2634)+ROW()-4)</f>
        <v/>
      </c>
      <c r="B1334" s="278"/>
      <c r="C1334" s="335"/>
      <c r="D1334" s="255"/>
      <c r="E1334" s="255"/>
      <c r="F1334" s="258"/>
      <c r="G1334" s="255"/>
      <c r="H1334" s="255"/>
      <c r="I1334" s="250"/>
      <c r="J1334" s="255"/>
      <c r="K1334" s="255"/>
      <c r="L1334" s="250"/>
      <c r="M1334" s="411"/>
      <c r="N1334" s="277"/>
      <c r="O1334" s="329"/>
      <c r="P1334" s="402">
        <f t="shared" ref="P1334:Q1334" si="1330">IF(B1334=0,0,IF(YEAR(B1334)=$Q$1,MONTH(B1334)-$P$1+1,(YEAR(B1334)-$Q$1)*12-$P$1+1+MONTH(B1334)))</f>
        <v>0</v>
      </c>
      <c r="Q1334" s="402">
        <f t="shared" si="1330"/>
        <v>0</v>
      </c>
      <c r="R1334" s="356" t="str">
        <f t="shared" si="1"/>
        <v/>
      </c>
      <c r="S1334" s="356" t="str">
        <f>IF(D1334="","",IF(OR(D1334=Plano!$A$1,D1334=Plano!$B$1),"entrada","saída"))</f>
        <v/>
      </c>
      <c r="T1334" s="345"/>
      <c r="U1334" s="345"/>
      <c r="V1334" s="269"/>
    </row>
    <row r="1335" spans="1:22" ht="12.75" customHeight="1" x14ac:dyDescent="0.2">
      <c r="A1335" s="277" t="str">
        <f>IF(B1335="","",COUNT('Diário 5º PA'!$A$5:$A$2634)+ROW()-4)</f>
        <v/>
      </c>
      <c r="B1335" s="278"/>
      <c r="C1335" s="335"/>
      <c r="D1335" s="255"/>
      <c r="E1335" s="255"/>
      <c r="F1335" s="258"/>
      <c r="G1335" s="255"/>
      <c r="H1335" s="255"/>
      <c r="I1335" s="250"/>
      <c r="J1335" s="255"/>
      <c r="K1335" s="255"/>
      <c r="L1335" s="250"/>
      <c r="M1335" s="411"/>
      <c r="N1335" s="277"/>
      <c r="O1335" s="329"/>
      <c r="P1335" s="402">
        <f t="shared" ref="P1335:Q1335" si="1331">IF(B1335=0,0,IF(YEAR(B1335)=$Q$1,MONTH(B1335)-$P$1+1,(YEAR(B1335)-$Q$1)*12-$P$1+1+MONTH(B1335)))</f>
        <v>0</v>
      </c>
      <c r="Q1335" s="402">
        <f t="shared" si="1331"/>
        <v>0</v>
      </c>
      <c r="R1335" s="356" t="str">
        <f t="shared" si="1"/>
        <v/>
      </c>
      <c r="S1335" s="356" t="str">
        <f>IF(D1335="","",IF(OR(D1335=Plano!$A$1,D1335=Plano!$B$1),"entrada","saída"))</f>
        <v/>
      </c>
      <c r="T1335" s="345"/>
      <c r="U1335" s="345"/>
      <c r="V1335" s="269"/>
    </row>
    <row r="1336" spans="1:22" ht="12.75" customHeight="1" x14ac:dyDescent="0.2">
      <c r="A1336" s="277" t="str">
        <f>IF(B1336="","",COUNT('Diário 5º PA'!$A$5:$A$2634)+ROW()-4)</f>
        <v/>
      </c>
      <c r="B1336" s="278"/>
      <c r="C1336" s="335"/>
      <c r="D1336" s="255"/>
      <c r="E1336" s="255"/>
      <c r="F1336" s="258"/>
      <c r="G1336" s="255"/>
      <c r="H1336" s="255"/>
      <c r="I1336" s="250"/>
      <c r="J1336" s="255"/>
      <c r="K1336" s="255"/>
      <c r="L1336" s="250"/>
      <c r="M1336" s="411"/>
      <c r="N1336" s="277"/>
      <c r="O1336" s="329"/>
      <c r="P1336" s="402">
        <f t="shared" ref="P1336:Q1336" si="1332">IF(B1336=0,0,IF(YEAR(B1336)=$Q$1,MONTH(B1336)-$P$1+1,(YEAR(B1336)-$Q$1)*12-$P$1+1+MONTH(B1336)))</f>
        <v>0</v>
      </c>
      <c r="Q1336" s="402">
        <f t="shared" si="1332"/>
        <v>0</v>
      </c>
      <c r="R1336" s="356" t="str">
        <f t="shared" si="1"/>
        <v/>
      </c>
      <c r="S1336" s="356" t="str">
        <f>IF(D1336="","",IF(OR(D1336=Plano!$A$1,D1336=Plano!$B$1),"entrada","saída"))</f>
        <v/>
      </c>
      <c r="T1336" s="345"/>
      <c r="U1336" s="345"/>
      <c r="V1336" s="269"/>
    </row>
    <row r="1337" spans="1:22" ht="12.75" customHeight="1" x14ac:dyDescent="0.2">
      <c r="A1337" s="277" t="str">
        <f>IF(B1337="","",COUNT('Diário 5º PA'!$A$5:$A$2634)+ROW()-4)</f>
        <v/>
      </c>
      <c r="B1337" s="278"/>
      <c r="C1337" s="335"/>
      <c r="D1337" s="255"/>
      <c r="E1337" s="255"/>
      <c r="F1337" s="258"/>
      <c r="G1337" s="255"/>
      <c r="H1337" s="255"/>
      <c r="I1337" s="250"/>
      <c r="J1337" s="255"/>
      <c r="K1337" s="255"/>
      <c r="L1337" s="250"/>
      <c r="M1337" s="411"/>
      <c r="N1337" s="277"/>
      <c r="O1337" s="329"/>
      <c r="P1337" s="402">
        <f t="shared" ref="P1337:Q1337" si="1333">IF(B1337=0,0,IF(YEAR(B1337)=$Q$1,MONTH(B1337)-$P$1+1,(YEAR(B1337)-$Q$1)*12-$P$1+1+MONTH(B1337)))</f>
        <v>0</v>
      </c>
      <c r="Q1337" s="402">
        <f t="shared" si="1333"/>
        <v>0</v>
      </c>
      <c r="R1337" s="356" t="str">
        <f t="shared" si="1"/>
        <v/>
      </c>
      <c r="S1337" s="356" t="str">
        <f>IF(D1337="","",IF(OR(D1337=Plano!$A$1,D1337=Plano!$B$1),"entrada","saída"))</f>
        <v/>
      </c>
      <c r="T1337" s="345"/>
      <c r="U1337" s="345"/>
      <c r="V1337" s="269"/>
    </row>
    <row r="1338" spans="1:22" ht="12.75" customHeight="1" x14ac:dyDescent="0.2">
      <c r="A1338" s="277" t="str">
        <f>IF(B1338="","",COUNT('Diário 5º PA'!$A$5:$A$2634)+ROW()-4)</f>
        <v/>
      </c>
      <c r="B1338" s="278"/>
      <c r="C1338" s="335"/>
      <c r="D1338" s="255"/>
      <c r="E1338" s="255"/>
      <c r="F1338" s="258"/>
      <c r="G1338" s="255"/>
      <c r="H1338" s="255"/>
      <c r="I1338" s="250"/>
      <c r="J1338" s="255"/>
      <c r="K1338" s="255"/>
      <c r="L1338" s="250"/>
      <c r="M1338" s="411"/>
      <c r="N1338" s="277"/>
      <c r="O1338" s="329"/>
      <c r="P1338" s="402">
        <f t="shared" ref="P1338:Q1338" si="1334">IF(B1338=0,0,IF(YEAR(B1338)=$Q$1,MONTH(B1338)-$P$1+1,(YEAR(B1338)-$Q$1)*12-$P$1+1+MONTH(B1338)))</f>
        <v>0</v>
      </c>
      <c r="Q1338" s="402">
        <f t="shared" si="1334"/>
        <v>0</v>
      </c>
      <c r="R1338" s="356" t="str">
        <f t="shared" si="1"/>
        <v/>
      </c>
      <c r="S1338" s="356" t="str">
        <f>IF(D1338="","",IF(OR(D1338=Plano!$A$1,D1338=Plano!$B$1),"entrada","saída"))</f>
        <v/>
      </c>
      <c r="T1338" s="345"/>
      <c r="U1338" s="345"/>
      <c r="V1338" s="269"/>
    </row>
    <row r="1339" spans="1:22" ht="12.75" customHeight="1" x14ac:dyDescent="0.2">
      <c r="A1339" s="277" t="str">
        <f>IF(B1339="","",COUNT('Diário 5º PA'!$A$5:$A$2634)+ROW()-4)</f>
        <v/>
      </c>
      <c r="B1339" s="278"/>
      <c r="C1339" s="335"/>
      <c r="D1339" s="255"/>
      <c r="E1339" s="255"/>
      <c r="F1339" s="258"/>
      <c r="G1339" s="255"/>
      <c r="H1339" s="255"/>
      <c r="I1339" s="250"/>
      <c r="J1339" s="255"/>
      <c r="K1339" s="255"/>
      <c r="L1339" s="250"/>
      <c r="M1339" s="411"/>
      <c r="N1339" s="277"/>
      <c r="O1339" s="329"/>
      <c r="P1339" s="402">
        <f t="shared" ref="P1339:Q1339" si="1335">IF(B1339=0,0,IF(YEAR(B1339)=$Q$1,MONTH(B1339)-$P$1+1,(YEAR(B1339)-$Q$1)*12-$P$1+1+MONTH(B1339)))</f>
        <v>0</v>
      </c>
      <c r="Q1339" s="402">
        <f t="shared" si="1335"/>
        <v>0</v>
      </c>
      <c r="R1339" s="356" t="str">
        <f t="shared" si="1"/>
        <v/>
      </c>
      <c r="S1339" s="356" t="str">
        <f>IF(D1339="","",IF(OR(D1339=Plano!$A$1,D1339=Plano!$B$1),"entrada","saída"))</f>
        <v/>
      </c>
      <c r="T1339" s="345"/>
      <c r="U1339" s="345"/>
      <c r="V1339" s="269"/>
    </row>
    <row r="1340" spans="1:22" ht="12.75" customHeight="1" x14ac:dyDescent="0.2">
      <c r="A1340" s="277" t="str">
        <f>IF(B1340="","",COUNT('Diário 5º PA'!$A$5:$A$2634)+ROW()-4)</f>
        <v/>
      </c>
      <c r="B1340" s="278"/>
      <c r="C1340" s="335"/>
      <c r="D1340" s="255"/>
      <c r="E1340" s="255"/>
      <c r="F1340" s="258"/>
      <c r="G1340" s="255"/>
      <c r="H1340" s="255"/>
      <c r="I1340" s="250"/>
      <c r="J1340" s="255"/>
      <c r="K1340" s="255"/>
      <c r="L1340" s="250"/>
      <c r="M1340" s="411"/>
      <c r="N1340" s="277"/>
      <c r="O1340" s="329"/>
      <c r="P1340" s="402">
        <f t="shared" ref="P1340:Q1340" si="1336">IF(B1340=0,0,IF(YEAR(B1340)=$Q$1,MONTH(B1340)-$P$1+1,(YEAR(B1340)-$Q$1)*12-$P$1+1+MONTH(B1340)))</f>
        <v>0</v>
      </c>
      <c r="Q1340" s="402">
        <f t="shared" si="1336"/>
        <v>0</v>
      </c>
      <c r="R1340" s="356" t="str">
        <f t="shared" si="1"/>
        <v/>
      </c>
      <c r="S1340" s="356" t="str">
        <f>IF(D1340="","",IF(OR(D1340=Plano!$A$1,D1340=Plano!$B$1),"entrada","saída"))</f>
        <v/>
      </c>
      <c r="T1340" s="345"/>
      <c r="U1340" s="345"/>
      <c r="V1340" s="269"/>
    </row>
    <row r="1341" spans="1:22" ht="12.75" customHeight="1" x14ac:dyDescent="0.2">
      <c r="A1341" s="277" t="str">
        <f>IF(B1341="","",COUNT('Diário 5º PA'!$A$5:$A$2634)+ROW()-4)</f>
        <v/>
      </c>
      <c r="B1341" s="278"/>
      <c r="C1341" s="335"/>
      <c r="D1341" s="255"/>
      <c r="E1341" s="255"/>
      <c r="F1341" s="258"/>
      <c r="G1341" s="255"/>
      <c r="H1341" s="255"/>
      <c r="I1341" s="250"/>
      <c r="J1341" s="255"/>
      <c r="K1341" s="255"/>
      <c r="L1341" s="250"/>
      <c r="M1341" s="411"/>
      <c r="N1341" s="277"/>
      <c r="O1341" s="329"/>
      <c r="P1341" s="402">
        <f t="shared" ref="P1341:Q1341" si="1337">IF(B1341=0,0,IF(YEAR(B1341)=$Q$1,MONTH(B1341)-$P$1+1,(YEAR(B1341)-$Q$1)*12-$P$1+1+MONTH(B1341)))</f>
        <v>0</v>
      </c>
      <c r="Q1341" s="402">
        <f t="shared" si="1337"/>
        <v>0</v>
      </c>
      <c r="R1341" s="356" t="str">
        <f t="shared" si="1"/>
        <v/>
      </c>
      <c r="S1341" s="356" t="str">
        <f>IF(D1341="","",IF(OR(D1341=Plano!$A$1,D1341=Plano!$B$1),"entrada","saída"))</f>
        <v/>
      </c>
      <c r="T1341" s="345"/>
      <c r="U1341" s="345"/>
      <c r="V1341" s="269"/>
    </row>
    <row r="1342" spans="1:22" ht="12.75" customHeight="1" x14ac:dyDescent="0.2">
      <c r="A1342" s="277" t="str">
        <f>IF(B1342="","",COUNT('Diário 5º PA'!$A$5:$A$2634)+ROW()-4)</f>
        <v/>
      </c>
      <c r="B1342" s="278"/>
      <c r="C1342" s="335"/>
      <c r="D1342" s="255"/>
      <c r="E1342" s="255"/>
      <c r="F1342" s="258"/>
      <c r="G1342" s="255"/>
      <c r="H1342" s="255"/>
      <c r="I1342" s="250"/>
      <c r="J1342" s="255"/>
      <c r="K1342" s="255"/>
      <c r="L1342" s="250"/>
      <c r="M1342" s="411"/>
      <c r="N1342" s="277"/>
      <c r="O1342" s="329"/>
      <c r="P1342" s="402">
        <f t="shared" ref="P1342:Q1342" si="1338">IF(B1342=0,0,IF(YEAR(B1342)=$Q$1,MONTH(B1342)-$P$1+1,(YEAR(B1342)-$Q$1)*12-$P$1+1+MONTH(B1342)))</f>
        <v>0</v>
      </c>
      <c r="Q1342" s="402">
        <f t="shared" si="1338"/>
        <v>0</v>
      </c>
      <c r="R1342" s="356" t="str">
        <f t="shared" si="1"/>
        <v/>
      </c>
      <c r="S1342" s="356" t="str">
        <f>IF(D1342="","",IF(OR(D1342=Plano!$A$1,D1342=Plano!$B$1),"entrada","saída"))</f>
        <v/>
      </c>
      <c r="T1342" s="345"/>
      <c r="U1342" s="345"/>
      <c r="V1342" s="269"/>
    </row>
    <row r="1343" spans="1:22" ht="12.75" customHeight="1" x14ac:dyDescent="0.2">
      <c r="A1343" s="277" t="str">
        <f>IF(B1343="","",COUNT('Diário 5º PA'!$A$5:$A$2634)+ROW()-4)</f>
        <v/>
      </c>
      <c r="B1343" s="278"/>
      <c r="C1343" s="335"/>
      <c r="D1343" s="255"/>
      <c r="E1343" s="255"/>
      <c r="F1343" s="258"/>
      <c r="G1343" s="255"/>
      <c r="H1343" s="255"/>
      <c r="I1343" s="250"/>
      <c r="J1343" s="255"/>
      <c r="K1343" s="255"/>
      <c r="L1343" s="250"/>
      <c r="M1343" s="411"/>
      <c r="N1343" s="277"/>
      <c r="O1343" s="329"/>
      <c r="P1343" s="402">
        <f t="shared" ref="P1343:Q1343" si="1339">IF(B1343=0,0,IF(YEAR(B1343)=$Q$1,MONTH(B1343)-$P$1+1,(YEAR(B1343)-$Q$1)*12-$P$1+1+MONTH(B1343)))</f>
        <v>0</v>
      </c>
      <c r="Q1343" s="402">
        <f t="shared" si="1339"/>
        <v>0</v>
      </c>
      <c r="R1343" s="356" t="str">
        <f t="shared" si="1"/>
        <v/>
      </c>
      <c r="S1343" s="356" t="str">
        <f>IF(D1343="","",IF(OR(D1343=Plano!$A$1,D1343=Plano!$B$1),"entrada","saída"))</f>
        <v/>
      </c>
      <c r="T1343" s="345"/>
      <c r="U1343" s="345"/>
      <c r="V1343" s="269"/>
    </row>
    <row r="1344" spans="1:22" ht="12.75" customHeight="1" x14ac:dyDescent="0.2">
      <c r="A1344" s="277" t="str">
        <f>IF(B1344="","",COUNT('Diário 5º PA'!$A$5:$A$2634)+ROW()-4)</f>
        <v/>
      </c>
      <c r="B1344" s="278"/>
      <c r="C1344" s="335"/>
      <c r="D1344" s="255"/>
      <c r="E1344" s="255"/>
      <c r="F1344" s="258"/>
      <c r="G1344" s="255"/>
      <c r="H1344" s="255"/>
      <c r="I1344" s="250"/>
      <c r="J1344" s="255"/>
      <c r="K1344" s="255"/>
      <c r="L1344" s="250"/>
      <c r="M1344" s="411"/>
      <c r="N1344" s="277"/>
      <c r="O1344" s="329"/>
      <c r="P1344" s="402">
        <f t="shared" ref="P1344:Q1344" si="1340">IF(B1344=0,0,IF(YEAR(B1344)=$Q$1,MONTH(B1344)-$P$1+1,(YEAR(B1344)-$Q$1)*12-$P$1+1+MONTH(B1344)))</f>
        <v>0</v>
      </c>
      <c r="Q1344" s="402">
        <f t="shared" si="1340"/>
        <v>0</v>
      </c>
      <c r="R1344" s="356" t="str">
        <f t="shared" si="1"/>
        <v/>
      </c>
      <c r="S1344" s="356" t="str">
        <f>IF(D1344="","",IF(OR(D1344=Plano!$A$1,D1344=Plano!$B$1),"entrada","saída"))</f>
        <v/>
      </c>
      <c r="T1344" s="345"/>
      <c r="U1344" s="345"/>
      <c r="V1344" s="269"/>
    </row>
    <row r="1345" spans="1:22" ht="12.75" customHeight="1" x14ac:dyDescent="0.2">
      <c r="A1345" s="277" t="str">
        <f>IF(B1345="","",COUNT('Diário 5º PA'!$A$5:$A$2634)+ROW()-4)</f>
        <v/>
      </c>
      <c r="B1345" s="278"/>
      <c r="C1345" s="335"/>
      <c r="D1345" s="255"/>
      <c r="E1345" s="255"/>
      <c r="F1345" s="258"/>
      <c r="G1345" s="255"/>
      <c r="H1345" s="255"/>
      <c r="I1345" s="250"/>
      <c r="J1345" s="255"/>
      <c r="K1345" s="255"/>
      <c r="L1345" s="250"/>
      <c r="M1345" s="411"/>
      <c r="N1345" s="277"/>
      <c r="O1345" s="329"/>
      <c r="P1345" s="402">
        <f t="shared" ref="P1345:Q1345" si="1341">IF(B1345=0,0,IF(YEAR(B1345)=$Q$1,MONTH(B1345)-$P$1+1,(YEAR(B1345)-$Q$1)*12-$P$1+1+MONTH(B1345)))</f>
        <v>0</v>
      </c>
      <c r="Q1345" s="402">
        <f t="shared" si="1341"/>
        <v>0</v>
      </c>
      <c r="R1345" s="356" t="str">
        <f t="shared" si="1"/>
        <v/>
      </c>
      <c r="S1345" s="356" t="str">
        <f>IF(D1345="","",IF(OR(D1345=Plano!$A$1,D1345=Plano!$B$1),"entrada","saída"))</f>
        <v/>
      </c>
      <c r="T1345" s="345"/>
      <c r="U1345" s="345"/>
      <c r="V1345" s="269"/>
    </row>
    <row r="1346" spans="1:22" ht="12.75" customHeight="1" x14ac:dyDescent="0.2">
      <c r="A1346" s="277" t="str">
        <f>IF(B1346="","",COUNT('Diário 5º PA'!$A$5:$A$2634)+ROW()-4)</f>
        <v/>
      </c>
      <c r="B1346" s="278"/>
      <c r="C1346" s="335"/>
      <c r="D1346" s="255"/>
      <c r="E1346" s="255"/>
      <c r="F1346" s="258"/>
      <c r="G1346" s="255"/>
      <c r="H1346" s="255"/>
      <c r="I1346" s="250"/>
      <c r="J1346" s="255"/>
      <c r="K1346" s="255"/>
      <c r="L1346" s="250"/>
      <c r="M1346" s="411"/>
      <c r="N1346" s="277"/>
      <c r="O1346" s="329"/>
      <c r="P1346" s="402">
        <f t="shared" ref="P1346:Q1346" si="1342">IF(B1346=0,0,IF(YEAR(B1346)=$Q$1,MONTH(B1346)-$P$1+1,(YEAR(B1346)-$Q$1)*12-$P$1+1+MONTH(B1346)))</f>
        <v>0</v>
      </c>
      <c r="Q1346" s="402">
        <f t="shared" si="1342"/>
        <v>0</v>
      </c>
      <c r="R1346" s="356" t="str">
        <f t="shared" si="1"/>
        <v/>
      </c>
      <c r="S1346" s="356" t="str">
        <f>IF(D1346="","",IF(OR(D1346=Plano!$A$1,D1346=Plano!$B$1),"entrada","saída"))</f>
        <v/>
      </c>
      <c r="T1346" s="345"/>
      <c r="U1346" s="345"/>
      <c r="V1346" s="269"/>
    </row>
    <row r="1347" spans="1:22" ht="12.75" customHeight="1" x14ac:dyDescent="0.2">
      <c r="A1347" s="277" t="str">
        <f>IF(B1347="","",COUNT('Diário 5º PA'!$A$5:$A$2634)+ROW()-4)</f>
        <v/>
      </c>
      <c r="B1347" s="278"/>
      <c r="C1347" s="335"/>
      <c r="D1347" s="255"/>
      <c r="E1347" s="255"/>
      <c r="F1347" s="258"/>
      <c r="G1347" s="255"/>
      <c r="H1347" s="255"/>
      <c r="I1347" s="250"/>
      <c r="J1347" s="255"/>
      <c r="K1347" s="255"/>
      <c r="L1347" s="250"/>
      <c r="M1347" s="411"/>
      <c r="N1347" s="277"/>
      <c r="O1347" s="329"/>
      <c r="P1347" s="402">
        <f t="shared" ref="P1347:Q1347" si="1343">IF(B1347=0,0,IF(YEAR(B1347)=$Q$1,MONTH(B1347)-$P$1+1,(YEAR(B1347)-$Q$1)*12-$P$1+1+MONTH(B1347)))</f>
        <v>0</v>
      </c>
      <c r="Q1347" s="402">
        <f t="shared" si="1343"/>
        <v>0</v>
      </c>
      <c r="R1347" s="356" t="str">
        <f t="shared" si="1"/>
        <v/>
      </c>
      <c r="S1347" s="356" t="str">
        <f>IF(D1347="","",IF(OR(D1347=Plano!$A$1,D1347=Plano!$B$1),"entrada","saída"))</f>
        <v/>
      </c>
      <c r="T1347" s="345"/>
      <c r="U1347" s="345"/>
      <c r="V1347" s="269"/>
    </row>
    <row r="1348" spans="1:22" ht="12.75" customHeight="1" x14ac:dyDescent="0.2">
      <c r="A1348" s="277" t="str">
        <f>IF(B1348="","",COUNT('Diário 5º PA'!$A$5:$A$2634)+ROW()-4)</f>
        <v/>
      </c>
      <c r="B1348" s="278"/>
      <c r="C1348" s="335"/>
      <c r="D1348" s="255"/>
      <c r="E1348" s="255"/>
      <c r="F1348" s="258"/>
      <c r="G1348" s="255"/>
      <c r="H1348" s="255"/>
      <c r="I1348" s="250"/>
      <c r="J1348" s="255"/>
      <c r="K1348" s="255"/>
      <c r="L1348" s="250"/>
      <c r="M1348" s="411"/>
      <c r="N1348" s="277"/>
      <c r="O1348" s="329"/>
      <c r="P1348" s="402">
        <f t="shared" ref="P1348:Q1348" si="1344">IF(B1348=0,0,IF(YEAR(B1348)=$Q$1,MONTH(B1348)-$P$1+1,(YEAR(B1348)-$Q$1)*12-$P$1+1+MONTH(B1348)))</f>
        <v>0</v>
      </c>
      <c r="Q1348" s="402">
        <f t="shared" si="1344"/>
        <v>0</v>
      </c>
      <c r="R1348" s="356" t="str">
        <f t="shared" si="1"/>
        <v/>
      </c>
      <c r="S1348" s="356" t="str">
        <f>IF(D1348="","",IF(OR(D1348=Plano!$A$1,D1348=Plano!$B$1),"entrada","saída"))</f>
        <v/>
      </c>
      <c r="T1348" s="345"/>
      <c r="U1348" s="345"/>
      <c r="V1348" s="269"/>
    </row>
    <row r="1349" spans="1:22" ht="12.75" customHeight="1" x14ac:dyDescent="0.2">
      <c r="A1349" s="277" t="str">
        <f>IF(B1349="","",COUNT('Diário 5º PA'!$A$5:$A$2634)+ROW()-4)</f>
        <v/>
      </c>
      <c r="B1349" s="278"/>
      <c r="C1349" s="335"/>
      <c r="D1349" s="255"/>
      <c r="E1349" s="255"/>
      <c r="F1349" s="258"/>
      <c r="G1349" s="255"/>
      <c r="H1349" s="255"/>
      <c r="I1349" s="250"/>
      <c r="J1349" s="255"/>
      <c r="K1349" s="255"/>
      <c r="L1349" s="250"/>
      <c r="M1349" s="411"/>
      <c r="N1349" s="277"/>
      <c r="O1349" s="329"/>
      <c r="P1349" s="402">
        <f t="shared" ref="P1349:Q1349" si="1345">IF(B1349=0,0,IF(YEAR(B1349)=$Q$1,MONTH(B1349)-$P$1+1,(YEAR(B1349)-$Q$1)*12-$P$1+1+MONTH(B1349)))</f>
        <v>0</v>
      </c>
      <c r="Q1349" s="402">
        <f t="shared" si="1345"/>
        <v>0</v>
      </c>
      <c r="R1349" s="356" t="str">
        <f t="shared" si="1"/>
        <v/>
      </c>
      <c r="S1349" s="356" t="str">
        <f>IF(D1349="","",IF(OR(D1349=Plano!$A$1,D1349=Plano!$B$1),"entrada","saída"))</f>
        <v/>
      </c>
      <c r="T1349" s="345"/>
      <c r="U1349" s="345"/>
      <c r="V1349" s="269"/>
    </row>
    <row r="1350" spans="1:22" ht="12.75" customHeight="1" x14ac:dyDescent="0.2">
      <c r="A1350" s="277" t="str">
        <f>IF(B1350="","",COUNT('Diário 5º PA'!$A$5:$A$2634)+ROW()-4)</f>
        <v/>
      </c>
      <c r="B1350" s="278"/>
      <c r="C1350" s="335"/>
      <c r="D1350" s="255"/>
      <c r="E1350" s="255"/>
      <c r="F1350" s="258"/>
      <c r="G1350" s="255"/>
      <c r="H1350" s="255"/>
      <c r="I1350" s="250"/>
      <c r="J1350" s="255"/>
      <c r="K1350" s="255"/>
      <c r="L1350" s="250"/>
      <c r="M1350" s="411"/>
      <c r="N1350" s="277"/>
      <c r="O1350" s="329"/>
      <c r="P1350" s="402">
        <f t="shared" ref="P1350:Q1350" si="1346">IF(B1350=0,0,IF(YEAR(B1350)=$Q$1,MONTH(B1350)-$P$1+1,(YEAR(B1350)-$Q$1)*12-$P$1+1+MONTH(B1350)))</f>
        <v>0</v>
      </c>
      <c r="Q1350" s="402">
        <f t="shared" si="1346"/>
        <v>0</v>
      </c>
      <c r="R1350" s="356" t="str">
        <f t="shared" si="1"/>
        <v/>
      </c>
      <c r="S1350" s="356" t="str">
        <f>IF(D1350="","",IF(OR(D1350=Plano!$A$1,D1350=Plano!$B$1),"entrada","saída"))</f>
        <v/>
      </c>
      <c r="T1350" s="345"/>
      <c r="U1350" s="345"/>
      <c r="V1350" s="269"/>
    </row>
    <row r="1351" spans="1:22" ht="12.75" customHeight="1" x14ac:dyDescent="0.2">
      <c r="A1351" s="277" t="str">
        <f>IF(B1351="","",COUNT('Diário 5º PA'!$A$5:$A$2634)+ROW()-4)</f>
        <v/>
      </c>
      <c r="B1351" s="278"/>
      <c r="C1351" s="335"/>
      <c r="D1351" s="255"/>
      <c r="E1351" s="255"/>
      <c r="F1351" s="258"/>
      <c r="G1351" s="255"/>
      <c r="H1351" s="255"/>
      <c r="I1351" s="250"/>
      <c r="J1351" s="255"/>
      <c r="K1351" s="255"/>
      <c r="L1351" s="250"/>
      <c r="M1351" s="411"/>
      <c r="N1351" s="277"/>
      <c r="O1351" s="329"/>
      <c r="P1351" s="402">
        <f t="shared" ref="P1351:Q1351" si="1347">IF(B1351=0,0,IF(YEAR(B1351)=$Q$1,MONTH(B1351)-$P$1+1,(YEAR(B1351)-$Q$1)*12-$P$1+1+MONTH(B1351)))</f>
        <v>0</v>
      </c>
      <c r="Q1351" s="402">
        <f t="shared" si="1347"/>
        <v>0</v>
      </c>
      <c r="R1351" s="356" t="str">
        <f t="shared" si="1"/>
        <v/>
      </c>
      <c r="S1351" s="356" t="str">
        <f>IF(D1351="","",IF(OR(D1351=Plano!$A$1,D1351=Plano!$B$1),"entrada","saída"))</f>
        <v/>
      </c>
      <c r="T1351" s="345"/>
      <c r="U1351" s="345"/>
      <c r="V1351" s="269"/>
    </row>
    <row r="1352" spans="1:22" ht="12.75" customHeight="1" x14ac:dyDescent="0.2">
      <c r="A1352" s="277" t="str">
        <f>IF(B1352="","",COUNT('Diário 5º PA'!$A$5:$A$2634)+ROW()-4)</f>
        <v/>
      </c>
      <c r="B1352" s="278"/>
      <c r="C1352" s="335"/>
      <c r="D1352" s="255"/>
      <c r="E1352" s="255"/>
      <c r="F1352" s="258"/>
      <c r="G1352" s="255"/>
      <c r="H1352" s="255"/>
      <c r="I1352" s="250"/>
      <c r="J1352" s="255"/>
      <c r="K1352" s="255"/>
      <c r="L1352" s="250"/>
      <c r="M1352" s="411"/>
      <c r="N1352" s="277"/>
      <c r="O1352" s="329"/>
      <c r="P1352" s="402">
        <f t="shared" ref="P1352:Q1352" si="1348">IF(B1352=0,0,IF(YEAR(B1352)=$Q$1,MONTH(B1352)-$P$1+1,(YEAR(B1352)-$Q$1)*12-$P$1+1+MONTH(B1352)))</f>
        <v>0</v>
      </c>
      <c r="Q1352" s="402">
        <f t="shared" si="1348"/>
        <v>0</v>
      </c>
      <c r="R1352" s="356" t="str">
        <f t="shared" si="1"/>
        <v/>
      </c>
      <c r="S1352" s="356" t="str">
        <f>IF(D1352="","",IF(OR(D1352=Plano!$A$1,D1352=Plano!$B$1),"entrada","saída"))</f>
        <v/>
      </c>
      <c r="T1352" s="345"/>
      <c r="U1352" s="345"/>
      <c r="V1352" s="269"/>
    </row>
    <row r="1353" spans="1:22" ht="12.75" customHeight="1" x14ac:dyDescent="0.2">
      <c r="A1353" s="277" t="str">
        <f>IF(B1353="","",COUNT('Diário 5º PA'!$A$5:$A$2634)+ROW()-4)</f>
        <v/>
      </c>
      <c r="B1353" s="278"/>
      <c r="C1353" s="335"/>
      <c r="D1353" s="255"/>
      <c r="E1353" s="255"/>
      <c r="F1353" s="258"/>
      <c r="G1353" s="255"/>
      <c r="H1353" s="255"/>
      <c r="I1353" s="250"/>
      <c r="J1353" s="255"/>
      <c r="K1353" s="255"/>
      <c r="L1353" s="250"/>
      <c r="M1353" s="411"/>
      <c r="N1353" s="277"/>
      <c r="O1353" s="329"/>
      <c r="P1353" s="402">
        <f t="shared" ref="P1353:Q1353" si="1349">IF(B1353=0,0,IF(YEAR(B1353)=$Q$1,MONTH(B1353)-$P$1+1,(YEAR(B1353)-$Q$1)*12-$P$1+1+MONTH(B1353)))</f>
        <v>0</v>
      </c>
      <c r="Q1353" s="402">
        <f t="shared" si="1349"/>
        <v>0</v>
      </c>
      <c r="R1353" s="356" t="str">
        <f t="shared" si="1"/>
        <v/>
      </c>
      <c r="S1353" s="356" t="str">
        <f>IF(D1353="","",IF(OR(D1353=Plano!$A$1,D1353=Plano!$B$1),"entrada","saída"))</f>
        <v/>
      </c>
      <c r="T1353" s="345"/>
      <c r="U1353" s="345"/>
      <c r="V1353" s="269"/>
    </row>
    <row r="1354" spans="1:22" ht="12.75" customHeight="1" x14ac:dyDescent="0.2">
      <c r="A1354" s="277" t="str">
        <f>IF(B1354="","",COUNT('Diário 5º PA'!$A$5:$A$2634)+ROW()-4)</f>
        <v/>
      </c>
      <c r="B1354" s="278"/>
      <c r="C1354" s="335"/>
      <c r="D1354" s="255"/>
      <c r="E1354" s="255"/>
      <c r="F1354" s="258"/>
      <c r="G1354" s="255"/>
      <c r="H1354" s="255"/>
      <c r="I1354" s="250"/>
      <c r="J1354" s="255"/>
      <c r="K1354" s="255"/>
      <c r="L1354" s="250"/>
      <c r="M1354" s="411"/>
      <c r="N1354" s="277"/>
      <c r="O1354" s="329"/>
      <c r="P1354" s="402">
        <f t="shared" ref="P1354:Q1354" si="1350">IF(B1354=0,0,IF(YEAR(B1354)=$Q$1,MONTH(B1354)-$P$1+1,(YEAR(B1354)-$Q$1)*12-$P$1+1+MONTH(B1354)))</f>
        <v>0</v>
      </c>
      <c r="Q1354" s="402">
        <f t="shared" si="1350"/>
        <v>0</v>
      </c>
      <c r="R1354" s="356" t="str">
        <f t="shared" si="1"/>
        <v/>
      </c>
      <c r="S1354" s="356" t="str">
        <f>IF(D1354="","",IF(OR(D1354=Plano!$A$1,D1354=Plano!$B$1),"entrada","saída"))</f>
        <v/>
      </c>
      <c r="T1354" s="345"/>
      <c r="U1354" s="345"/>
      <c r="V1354" s="269"/>
    </row>
    <row r="1355" spans="1:22" ht="12.75" customHeight="1" x14ac:dyDescent="0.2">
      <c r="A1355" s="277" t="str">
        <f>IF(B1355="","",COUNT('Diário 5º PA'!$A$5:$A$2634)+ROW()-4)</f>
        <v/>
      </c>
      <c r="B1355" s="278"/>
      <c r="C1355" s="335"/>
      <c r="D1355" s="255"/>
      <c r="E1355" s="255"/>
      <c r="F1355" s="258"/>
      <c r="G1355" s="255"/>
      <c r="H1355" s="255"/>
      <c r="I1355" s="250"/>
      <c r="J1355" s="255"/>
      <c r="K1355" s="255"/>
      <c r="L1355" s="250"/>
      <c r="M1355" s="411"/>
      <c r="N1355" s="277"/>
      <c r="O1355" s="329"/>
      <c r="P1355" s="402">
        <f t="shared" ref="P1355:Q1355" si="1351">IF(B1355=0,0,IF(YEAR(B1355)=$Q$1,MONTH(B1355)-$P$1+1,(YEAR(B1355)-$Q$1)*12-$P$1+1+MONTH(B1355)))</f>
        <v>0</v>
      </c>
      <c r="Q1355" s="402">
        <f t="shared" si="1351"/>
        <v>0</v>
      </c>
      <c r="R1355" s="356" t="str">
        <f t="shared" si="1"/>
        <v/>
      </c>
      <c r="S1355" s="356" t="str">
        <f>IF(D1355="","",IF(OR(D1355=Plano!$A$1,D1355=Plano!$B$1),"entrada","saída"))</f>
        <v/>
      </c>
      <c r="T1355" s="345"/>
      <c r="U1355" s="345"/>
      <c r="V1355" s="269"/>
    </row>
    <row r="1356" spans="1:22" ht="12.75" customHeight="1" x14ac:dyDescent="0.2">
      <c r="A1356" s="277" t="str">
        <f>IF(B1356="","",COUNT('Diário 5º PA'!$A$5:$A$2634)+ROW()-4)</f>
        <v/>
      </c>
      <c r="B1356" s="278"/>
      <c r="C1356" s="335"/>
      <c r="D1356" s="255"/>
      <c r="E1356" s="255"/>
      <c r="F1356" s="258"/>
      <c r="G1356" s="255"/>
      <c r="H1356" s="255"/>
      <c r="I1356" s="250"/>
      <c r="J1356" s="255"/>
      <c r="K1356" s="255"/>
      <c r="L1356" s="250"/>
      <c r="M1356" s="411"/>
      <c r="N1356" s="277"/>
      <c r="O1356" s="329"/>
      <c r="P1356" s="402">
        <f t="shared" ref="P1356:Q1356" si="1352">IF(B1356=0,0,IF(YEAR(B1356)=$Q$1,MONTH(B1356)-$P$1+1,(YEAR(B1356)-$Q$1)*12-$P$1+1+MONTH(B1356)))</f>
        <v>0</v>
      </c>
      <c r="Q1356" s="402">
        <f t="shared" si="1352"/>
        <v>0</v>
      </c>
      <c r="R1356" s="356" t="str">
        <f t="shared" si="1"/>
        <v/>
      </c>
      <c r="S1356" s="356" t="str">
        <f>IF(D1356="","",IF(OR(D1356=Plano!$A$1,D1356=Plano!$B$1),"entrada","saída"))</f>
        <v/>
      </c>
      <c r="T1356" s="345"/>
      <c r="U1356" s="345"/>
      <c r="V1356" s="269"/>
    </row>
    <row r="1357" spans="1:22" ht="12.75" customHeight="1" x14ac:dyDescent="0.2">
      <c r="A1357" s="277" t="str">
        <f>IF(B1357="","",COUNT('Diário 5º PA'!$A$5:$A$2634)+ROW()-4)</f>
        <v/>
      </c>
      <c r="B1357" s="278"/>
      <c r="C1357" s="335"/>
      <c r="D1357" s="255"/>
      <c r="E1357" s="255"/>
      <c r="F1357" s="258"/>
      <c r="G1357" s="255"/>
      <c r="H1357" s="255"/>
      <c r="I1357" s="250"/>
      <c r="J1357" s="255"/>
      <c r="K1357" s="255"/>
      <c r="L1357" s="250"/>
      <c r="M1357" s="411"/>
      <c r="N1357" s="277"/>
      <c r="O1357" s="329"/>
      <c r="P1357" s="402">
        <f t="shared" ref="P1357:Q1357" si="1353">IF(B1357=0,0,IF(YEAR(B1357)=$Q$1,MONTH(B1357)-$P$1+1,(YEAR(B1357)-$Q$1)*12-$P$1+1+MONTH(B1357)))</f>
        <v>0</v>
      </c>
      <c r="Q1357" s="402">
        <f t="shared" si="1353"/>
        <v>0</v>
      </c>
      <c r="R1357" s="356" t="str">
        <f t="shared" si="1"/>
        <v/>
      </c>
      <c r="S1357" s="356" t="str">
        <f>IF(D1357="","",IF(OR(D1357=Plano!$A$1,D1357=Plano!$B$1),"entrada","saída"))</f>
        <v/>
      </c>
      <c r="T1357" s="345"/>
      <c r="U1357" s="345"/>
      <c r="V1357" s="269"/>
    </row>
    <row r="1358" spans="1:22" ht="12.75" customHeight="1" x14ac:dyDescent="0.2">
      <c r="A1358" s="277" t="str">
        <f>IF(B1358="","",COUNT('Diário 5º PA'!$A$5:$A$2634)+ROW()-4)</f>
        <v/>
      </c>
      <c r="B1358" s="278"/>
      <c r="C1358" s="335"/>
      <c r="D1358" s="255"/>
      <c r="E1358" s="255"/>
      <c r="F1358" s="258"/>
      <c r="G1358" s="255"/>
      <c r="H1358" s="255"/>
      <c r="I1358" s="250"/>
      <c r="J1358" s="255"/>
      <c r="K1358" s="255"/>
      <c r="L1358" s="250"/>
      <c r="M1358" s="411"/>
      <c r="N1358" s="277"/>
      <c r="O1358" s="329"/>
      <c r="P1358" s="402">
        <f t="shared" ref="P1358:Q1358" si="1354">IF(B1358=0,0,IF(YEAR(B1358)=$Q$1,MONTH(B1358)-$P$1+1,(YEAR(B1358)-$Q$1)*12-$P$1+1+MONTH(B1358)))</f>
        <v>0</v>
      </c>
      <c r="Q1358" s="402">
        <f t="shared" si="1354"/>
        <v>0</v>
      </c>
      <c r="R1358" s="356" t="str">
        <f t="shared" si="1"/>
        <v/>
      </c>
      <c r="S1358" s="356" t="str">
        <f>IF(D1358="","",IF(OR(D1358=Plano!$A$1,D1358=Plano!$B$1),"entrada","saída"))</f>
        <v/>
      </c>
      <c r="T1358" s="345"/>
      <c r="U1358" s="345"/>
      <c r="V1358" s="269"/>
    </row>
    <row r="1359" spans="1:22" ht="12.75" customHeight="1" x14ac:dyDescent="0.2">
      <c r="A1359" s="277" t="str">
        <f>IF(B1359="","",COUNT('Diário 5º PA'!$A$5:$A$2634)+ROW()-4)</f>
        <v/>
      </c>
      <c r="B1359" s="278"/>
      <c r="C1359" s="335"/>
      <c r="D1359" s="255"/>
      <c r="E1359" s="255"/>
      <c r="F1359" s="258"/>
      <c r="G1359" s="255"/>
      <c r="H1359" s="255"/>
      <c r="I1359" s="250"/>
      <c r="J1359" s="255"/>
      <c r="K1359" s="255"/>
      <c r="L1359" s="250"/>
      <c r="M1359" s="411"/>
      <c r="N1359" s="277"/>
      <c r="O1359" s="329"/>
      <c r="P1359" s="402">
        <f t="shared" ref="P1359:Q1359" si="1355">IF(B1359=0,0,IF(YEAR(B1359)=$Q$1,MONTH(B1359)-$P$1+1,(YEAR(B1359)-$Q$1)*12-$P$1+1+MONTH(B1359)))</f>
        <v>0</v>
      </c>
      <c r="Q1359" s="402">
        <f t="shared" si="1355"/>
        <v>0</v>
      </c>
      <c r="R1359" s="356" t="str">
        <f t="shared" si="1"/>
        <v/>
      </c>
      <c r="S1359" s="356" t="str">
        <f>IF(D1359="","",IF(OR(D1359=Plano!$A$1,D1359=Plano!$B$1),"entrada","saída"))</f>
        <v/>
      </c>
      <c r="T1359" s="345"/>
      <c r="U1359" s="345"/>
      <c r="V1359" s="269"/>
    </row>
    <row r="1360" spans="1:22" ht="12.75" customHeight="1" x14ac:dyDescent="0.2">
      <c r="A1360" s="277" t="str">
        <f>IF(B1360="","",COUNT('Diário 5º PA'!$A$5:$A$2634)+ROW()-4)</f>
        <v/>
      </c>
      <c r="B1360" s="278"/>
      <c r="C1360" s="335"/>
      <c r="D1360" s="255"/>
      <c r="E1360" s="255"/>
      <c r="F1360" s="258"/>
      <c r="G1360" s="255"/>
      <c r="H1360" s="255"/>
      <c r="I1360" s="250"/>
      <c r="J1360" s="255"/>
      <c r="K1360" s="255"/>
      <c r="L1360" s="250"/>
      <c r="M1360" s="411"/>
      <c r="N1360" s="277"/>
      <c r="O1360" s="329"/>
      <c r="P1360" s="402">
        <f t="shared" ref="P1360:Q1360" si="1356">IF(B1360=0,0,IF(YEAR(B1360)=$Q$1,MONTH(B1360)-$P$1+1,(YEAR(B1360)-$Q$1)*12-$P$1+1+MONTH(B1360)))</f>
        <v>0</v>
      </c>
      <c r="Q1360" s="402">
        <f t="shared" si="1356"/>
        <v>0</v>
      </c>
      <c r="R1360" s="356" t="str">
        <f t="shared" si="1"/>
        <v/>
      </c>
      <c r="S1360" s="356" t="str">
        <f>IF(D1360="","",IF(OR(D1360=Plano!$A$1,D1360=Plano!$B$1),"entrada","saída"))</f>
        <v/>
      </c>
      <c r="T1360" s="345"/>
      <c r="U1360" s="345"/>
      <c r="V1360" s="269"/>
    </row>
    <row r="1361" spans="1:22" ht="12.75" customHeight="1" x14ac:dyDescent="0.2">
      <c r="A1361" s="277" t="str">
        <f>IF(B1361="","",COUNT('Diário 5º PA'!$A$5:$A$2634)+ROW()-4)</f>
        <v/>
      </c>
      <c r="B1361" s="278"/>
      <c r="C1361" s="335"/>
      <c r="D1361" s="255"/>
      <c r="E1361" s="255"/>
      <c r="F1361" s="258"/>
      <c r="G1361" s="255"/>
      <c r="H1361" s="255"/>
      <c r="I1361" s="250"/>
      <c r="J1361" s="255"/>
      <c r="K1361" s="255"/>
      <c r="L1361" s="250"/>
      <c r="M1361" s="411"/>
      <c r="N1361" s="277"/>
      <c r="O1361" s="329"/>
      <c r="P1361" s="402">
        <f t="shared" ref="P1361:Q1361" si="1357">IF(B1361=0,0,IF(YEAR(B1361)=$Q$1,MONTH(B1361)-$P$1+1,(YEAR(B1361)-$Q$1)*12-$P$1+1+MONTH(B1361)))</f>
        <v>0</v>
      </c>
      <c r="Q1361" s="402">
        <f t="shared" si="1357"/>
        <v>0</v>
      </c>
      <c r="R1361" s="356" t="str">
        <f t="shared" si="1"/>
        <v/>
      </c>
      <c r="S1361" s="356" t="str">
        <f>IF(D1361="","",IF(OR(D1361=Plano!$A$1,D1361=Plano!$B$1),"entrada","saída"))</f>
        <v/>
      </c>
      <c r="T1361" s="345"/>
      <c r="U1361" s="345"/>
      <c r="V1361" s="269"/>
    </row>
    <row r="1362" spans="1:22" ht="12.75" customHeight="1" x14ac:dyDescent="0.2">
      <c r="A1362" s="277" t="str">
        <f>IF(B1362="","",COUNT('Diário 5º PA'!$A$5:$A$2634)+ROW()-4)</f>
        <v/>
      </c>
      <c r="B1362" s="278"/>
      <c r="C1362" s="335"/>
      <c r="D1362" s="255"/>
      <c r="E1362" s="255"/>
      <c r="F1362" s="258"/>
      <c r="G1362" s="255"/>
      <c r="H1362" s="255"/>
      <c r="I1362" s="250"/>
      <c r="J1362" s="255"/>
      <c r="K1362" s="255"/>
      <c r="L1362" s="250"/>
      <c r="M1362" s="411"/>
      <c r="N1362" s="277"/>
      <c r="O1362" s="329"/>
      <c r="P1362" s="402">
        <f t="shared" ref="P1362:Q1362" si="1358">IF(B1362=0,0,IF(YEAR(B1362)=$Q$1,MONTH(B1362)-$P$1+1,(YEAR(B1362)-$Q$1)*12-$P$1+1+MONTH(B1362)))</f>
        <v>0</v>
      </c>
      <c r="Q1362" s="402">
        <f t="shared" si="1358"/>
        <v>0</v>
      </c>
      <c r="R1362" s="356" t="str">
        <f t="shared" si="1"/>
        <v/>
      </c>
      <c r="S1362" s="356" t="str">
        <f>IF(D1362="","",IF(OR(D1362=Plano!$A$1,D1362=Plano!$B$1),"entrada","saída"))</f>
        <v/>
      </c>
      <c r="T1362" s="345"/>
      <c r="U1362" s="345"/>
      <c r="V1362" s="269"/>
    </row>
    <row r="1363" spans="1:22" ht="12.75" customHeight="1" x14ac:dyDescent="0.2">
      <c r="A1363" s="277" t="str">
        <f>IF(B1363="","",COUNT('Diário 5º PA'!$A$5:$A$2634)+ROW()-4)</f>
        <v/>
      </c>
      <c r="B1363" s="278"/>
      <c r="C1363" s="335"/>
      <c r="D1363" s="255"/>
      <c r="E1363" s="255"/>
      <c r="F1363" s="258"/>
      <c r="G1363" s="255"/>
      <c r="H1363" s="255"/>
      <c r="I1363" s="250"/>
      <c r="J1363" s="255"/>
      <c r="K1363" s="255"/>
      <c r="L1363" s="250"/>
      <c r="M1363" s="411"/>
      <c r="N1363" s="277"/>
      <c r="O1363" s="329"/>
      <c r="P1363" s="402">
        <f t="shared" ref="P1363:Q1363" si="1359">IF(B1363=0,0,IF(YEAR(B1363)=$Q$1,MONTH(B1363)-$P$1+1,(YEAR(B1363)-$Q$1)*12-$P$1+1+MONTH(B1363)))</f>
        <v>0</v>
      </c>
      <c r="Q1363" s="402">
        <f t="shared" si="1359"/>
        <v>0</v>
      </c>
      <c r="R1363" s="356" t="str">
        <f t="shared" si="1"/>
        <v/>
      </c>
      <c r="S1363" s="356" t="str">
        <f>IF(D1363="","",IF(OR(D1363=Plano!$A$1,D1363=Plano!$B$1),"entrada","saída"))</f>
        <v/>
      </c>
      <c r="T1363" s="345"/>
      <c r="U1363" s="345"/>
      <c r="V1363" s="269"/>
    </row>
    <row r="1364" spans="1:22" ht="12.75" customHeight="1" x14ac:dyDescent="0.2">
      <c r="A1364" s="277" t="str">
        <f>IF(B1364="","",COUNT('Diário 5º PA'!$A$5:$A$2634)+ROW()-4)</f>
        <v/>
      </c>
      <c r="B1364" s="278"/>
      <c r="C1364" s="335"/>
      <c r="D1364" s="255"/>
      <c r="E1364" s="255"/>
      <c r="F1364" s="258"/>
      <c r="G1364" s="255"/>
      <c r="H1364" s="255"/>
      <c r="I1364" s="250"/>
      <c r="J1364" s="255"/>
      <c r="K1364" s="255"/>
      <c r="L1364" s="250"/>
      <c r="M1364" s="411"/>
      <c r="N1364" s="277"/>
      <c r="O1364" s="329"/>
      <c r="P1364" s="402">
        <f t="shared" ref="P1364:Q1364" si="1360">IF(B1364=0,0,IF(YEAR(B1364)=$Q$1,MONTH(B1364)-$P$1+1,(YEAR(B1364)-$Q$1)*12-$P$1+1+MONTH(B1364)))</f>
        <v>0</v>
      </c>
      <c r="Q1364" s="402">
        <f t="shared" si="1360"/>
        <v>0</v>
      </c>
      <c r="R1364" s="356" t="str">
        <f t="shared" si="1"/>
        <v/>
      </c>
      <c r="S1364" s="356" t="str">
        <f>IF(D1364="","",IF(OR(D1364=Plano!$A$1,D1364=Plano!$B$1),"entrada","saída"))</f>
        <v/>
      </c>
      <c r="T1364" s="345"/>
      <c r="U1364" s="345"/>
      <c r="V1364" s="269"/>
    </row>
    <row r="1365" spans="1:22" ht="12.75" customHeight="1" x14ac:dyDescent="0.2">
      <c r="A1365" s="277" t="str">
        <f>IF(B1365="","",COUNT('Diário 5º PA'!$A$5:$A$2634)+ROW()-4)</f>
        <v/>
      </c>
      <c r="B1365" s="278"/>
      <c r="C1365" s="335"/>
      <c r="D1365" s="255"/>
      <c r="E1365" s="255"/>
      <c r="F1365" s="258"/>
      <c r="G1365" s="255"/>
      <c r="H1365" s="255"/>
      <c r="I1365" s="250"/>
      <c r="J1365" s="255"/>
      <c r="K1365" s="255"/>
      <c r="L1365" s="250"/>
      <c r="M1365" s="411"/>
      <c r="N1365" s="277"/>
      <c r="O1365" s="329"/>
      <c r="P1365" s="402">
        <f t="shared" ref="P1365:Q1365" si="1361">IF(B1365=0,0,IF(YEAR(B1365)=$Q$1,MONTH(B1365)-$P$1+1,(YEAR(B1365)-$Q$1)*12-$P$1+1+MONTH(B1365)))</f>
        <v>0</v>
      </c>
      <c r="Q1365" s="402">
        <f t="shared" si="1361"/>
        <v>0</v>
      </c>
      <c r="R1365" s="356" t="str">
        <f t="shared" si="1"/>
        <v/>
      </c>
      <c r="S1365" s="356" t="str">
        <f>IF(D1365="","",IF(OR(D1365=Plano!$A$1,D1365=Plano!$B$1),"entrada","saída"))</f>
        <v/>
      </c>
      <c r="T1365" s="345"/>
      <c r="U1365" s="345"/>
      <c r="V1365" s="269"/>
    </row>
    <row r="1366" spans="1:22" ht="12.75" customHeight="1" x14ac:dyDescent="0.2">
      <c r="A1366" s="277" t="str">
        <f>IF(B1366="","",COUNT('Diário 5º PA'!$A$5:$A$2634)+ROW()-4)</f>
        <v/>
      </c>
      <c r="B1366" s="278"/>
      <c r="C1366" s="335"/>
      <c r="D1366" s="255"/>
      <c r="E1366" s="255"/>
      <c r="F1366" s="258"/>
      <c r="G1366" s="255"/>
      <c r="H1366" s="255"/>
      <c r="I1366" s="250"/>
      <c r="J1366" s="255"/>
      <c r="K1366" s="255"/>
      <c r="L1366" s="250"/>
      <c r="M1366" s="411"/>
      <c r="N1366" s="277"/>
      <c r="O1366" s="329"/>
      <c r="P1366" s="402">
        <f t="shared" ref="P1366:Q1366" si="1362">IF(B1366=0,0,IF(YEAR(B1366)=$Q$1,MONTH(B1366)-$P$1+1,(YEAR(B1366)-$Q$1)*12-$P$1+1+MONTH(B1366)))</f>
        <v>0</v>
      </c>
      <c r="Q1366" s="402">
        <f t="shared" si="1362"/>
        <v>0</v>
      </c>
      <c r="R1366" s="356" t="str">
        <f t="shared" si="1"/>
        <v/>
      </c>
      <c r="S1366" s="356" t="str">
        <f>IF(D1366="","",IF(OR(D1366=Plano!$A$1,D1366=Plano!$B$1),"entrada","saída"))</f>
        <v/>
      </c>
      <c r="T1366" s="345"/>
      <c r="U1366" s="345"/>
      <c r="V1366" s="269"/>
    </row>
    <row r="1367" spans="1:22" ht="12.75" customHeight="1" x14ac:dyDescent="0.2">
      <c r="A1367" s="277" t="str">
        <f>IF(B1367="","",COUNT('Diário 5º PA'!$A$5:$A$2634)+ROW()-4)</f>
        <v/>
      </c>
      <c r="B1367" s="278"/>
      <c r="C1367" s="335"/>
      <c r="D1367" s="255"/>
      <c r="E1367" s="255"/>
      <c r="F1367" s="258"/>
      <c r="G1367" s="255"/>
      <c r="H1367" s="255"/>
      <c r="I1367" s="250"/>
      <c r="J1367" s="255"/>
      <c r="K1367" s="255"/>
      <c r="L1367" s="250"/>
      <c r="M1367" s="411"/>
      <c r="N1367" s="277"/>
      <c r="O1367" s="329"/>
      <c r="P1367" s="402">
        <f t="shared" ref="P1367:Q1367" si="1363">IF(B1367=0,0,IF(YEAR(B1367)=$Q$1,MONTH(B1367)-$P$1+1,(YEAR(B1367)-$Q$1)*12-$P$1+1+MONTH(B1367)))</f>
        <v>0</v>
      </c>
      <c r="Q1367" s="402">
        <f t="shared" si="1363"/>
        <v>0</v>
      </c>
      <c r="R1367" s="356" t="str">
        <f t="shared" si="1"/>
        <v/>
      </c>
      <c r="S1367" s="356" t="str">
        <f>IF(D1367="","",IF(OR(D1367=Plano!$A$1,D1367=Plano!$B$1),"entrada","saída"))</f>
        <v/>
      </c>
      <c r="T1367" s="345"/>
      <c r="U1367" s="345"/>
      <c r="V1367" s="269"/>
    </row>
    <row r="1368" spans="1:22" ht="12.75" customHeight="1" x14ac:dyDescent="0.2">
      <c r="A1368" s="277" t="str">
        <f>IF(B1368="","",COUNT('Diário 5º PA'!$A$5:$A$2634)+ROW()-4)</f>
        <v/>
      </c>
      <c r="B1368" s="278"/>
      <c r="C1368" s="335"/>
      <c r="D1368" s="255"/>
      <c r="E1368" s="255"/>
      <c r="F1368" s="258"/>
      <c r="G1368" s="255"/>
      <c r="H1368" s="255"/>
      <c r="I1368" s="250"/>
      <c r="J1368" s="255"/>
      <c r="K1368" s="255"/>
      <c r="L1368" s="250"/>
      <c r="M1368" s="411"/>
      <c r="N1368" s="277"/>
      <c r="O1368" s="329"/>
      <c r="P1368" s="402">
        <f t="shared" ref="P1368:Q1368" si="1364">IF(B1368=0,0,IF(YEAR(B1368)=$Q$1,MONTH(B1368)-$P$1+1,(YEAR(B1368)-$Q$1)*12-$P$1+1+MONTH(B1368)))</f>
        <v>0</v>
      </c>
      <c r="Q1368" s="402">
        <f t="shared" si="1364"/>
        <v>0</v>
      </c>
      <c r="R1368" s="356" t="str">
        <f t="shared" si="1"/>
        <v/>
      </c>
      <c r="S1368" s="356" t="str">
        <f>IF(D1368="","",IF(OR(D1368=Plano!$A$1,D1368=Plano!$B$1),"entrada","saída"))</f>
        <v/>
      </c>
      <c r="T1368" s="345"/>
      <c r="U1368" s="345"/>
      <c r="V1368" s="269"/>
    </row>
    <row r="1369" spans="1:22" ht="12.75" customHeight="1" x14ac:dyDescent="0.2">
      <c r="A1369" s="277" t="str">
        <f>IF(B1369="","",COUNT('Diário 5º PA'!$A$5:$A$2634)+ROW()-4)</f>
        <v/>
      </c>
      <c r="B1369" s="278"/>
      <c r="C1369" s="335"/>
      <c r="D1369" s="255"/>
      <c r="E1369" s="255"/>
      <c r="F1369" s="258"/>
      <c r="G1369" s="255"/>
      <c r="H1369" s="255"/>
      <c r="I1369" s="250"/>
      <c r="J1369" s="255"/>
      <c r="K1369" s="255"/>
      <c r="L1369" s="250"/>
      <c r="M1369" s="411"/>
      <c r="N1369" s="277"/>
      <c r="O1369" s="329"/>
      <c r="P1369" s="402">
        <f t="shared" ref="P1369:Q1369" si="1365">IF(B1369=0,0,IF(YEAR(B1369)=$Q$1,MONTH(B1369)-$P$1+1,(YEAR(B1369)-$Q$1)*12-$P$1+1+MONTH(B1369)))</f>
        <v>0</v>
      </c>
      <c r="Q1369" s="402">
        <f t="shared" si="1365"/>
        <v>0</v>
      </c>
      <c r="R1369" s="356" t="str">
        <f t="shared" si="1"/>
        <v/>
      </c>
      <c r="S1369" s="356" t="str">
        <f>IF(D1369="","",IF(OR(D1369=Plano!$A$1,D1369=Plano!$B$1),"entrada","saída"))</f>
        <v/>
      </c>
      <c r="T1369" s="345"/>
      <c r="U1369" s="345"/>
      <c r="V1369" s="269"/>
    </row>
    <row r="1370" spans="1:22" ht="12.75" customHeight="1" x14ac:dyDescent="0.2">
      <c r="A1370" s="277" t="str">
        <f>IF(B1370="","",COUNT('Diário 5º PA'!$A$5:$A$2634)+ROW()-4)</f>
        <v/>
      </c>
      <c r="B1370" s="278"/>
      <c r="C1370" s="335"/>
      <c r="D1370" s="255"/>
      <c r="E1370" s="255"/>
      <c r="F1370" s="258"/>
      <c r="G1370" s="255"/>
      <c r="H1370" s="255"/>
      <c r="I1370" s="250"/>
      <c r="J1370" s="255"/>
      <c r="K1370" s="255"/>
      <c r="L1370" s="250"/>
      <c r="M1370" s="411"/>
      <c r="N1370" s="277"/>
      <c r="O1370" s="329"/>
      <c r="P1370" s="402">
        <f t="shared" ref="P1370:Q1370" si="1366">IF(B1370=0,0,IF(YEAR(B1370)=$Q$1,MONTH(B1370)-$P$1+1,(YEAR(B1370)-$Q$1)*12-$P$1+1+MONTH(B1370)))</f>
        <v>0</v>
      </c>
      <c r="Q1370" s="402">
        <f t="shared" si="1366"/>
        <v>0</v>
      </c>
      <c r="R1370" s="356" t="str">
        <f t="shared" si="1"/>
        <v/>
      </c>
      <c r="S1370" s="356" t="str">
        <f>IF(D1370="","",IF(OR(D1370=Plano!$A$1,D1370=Plano!$B$1),"entrada","saída"))</f>
        <v/>
      </c>
      <c r="T1370" s="345"/>
      <c r="U1370" s="345"/>
      <c r="V1370" s="269"/>
    </row>
    <row r="1371" spans="1:22" ht="12.75" customHeight="1" x14ac:dyDescent="0.2">
      <c r="A1371" s="277" t="str">
        <f>IF(B1371="","",COUNT('Diário 5º PA'!$A$5:$A$2634)+ROW()-4)</f>
        <v/>
      </c>
      <c r="B1371" s="278"/>
      <c r="C1371" s="335"/>
      <c r="D1371" s="255"/>
      <c r="E1371" s="255"/>
      <c r="F1371" s="258"/>
      <c r="G1371" s="255"/>
      <c r="H1371" s="255"/>
      <c r="I1371" s="250"/>
      <c r="J1371" s="255"/>
      <c r="K1371" s="255"/>
      <c r="L1371" s="250"/>
      <c r="M1371" s="411"/>
      <c r="N1371" s="277"/>
      <c r="O1371" s="329"/>
      <c r="P1371" s="402">
        <f t="shared" ref="P1371:Q1371" si="1367">IF(B1371=0,0,IF(YEAR(B1371)=$Q$1,MONTH(B1371)-$P$1+1,(YEAR(B1371)-$Q$1)*12-$P$1+1+MONTH(B1371)))</f>
        <v>0</v>
      </c>
      <c r="Q1371" s="402">
        <f t="shared" si="1367"/>
        <v>0</v>
      </c>
      <c r="R1371" s="356" t="str">
        <f t="shared" si="1"/>
        <v/>
      </c>
      <c r="S1371" s="356" t="str">
        <f>IF(D1371="","",IF(OR(D1371=Plano!$A$1,D1371=Plano!$B$1),"entrada","saída"))</f>
        <v/>
      </c>
      <c r="T1371" s="345"/>
      <c r="U1371" s="345"/>
      <c r="V1371" s="269"/>
    </row>
    <row r="1372" spans="1:22" ht="12.75" customHeight="1" x14ac:dyDescent="0.2">
      <c r="A1372" s="277" t="str">
        <f>IF(B1372="","",COUNT('Diário 5º PA'!$A$5:$A$2634)+ROW()-4)</f>
        <v/>
      </c>
      <c r="B1372" s="278"/>
      <c r="C1372" s="335"/>
      <c r="D1372" s="255"/>
      <c r="E1372" s="255"/>
      <c r="F1372" s="258"/>
      <c r="G1372" s="255"/>
      <c r="H1372" s="255"/>
      <c r="I1372" s="250"/>
      <c r="J1372" s="255"/>
      <c r="K1372" s="255"/>
      <c r="L1372" s="250"/>
      <c r="M1372" s="411"/>
      <c r="N1372" s="277"/>
      <c r="O1372" s="329"/>
      <c r="P1372" s="402">
        <f t="shared" ref="P1372:Q1372" si="1368">IF(B1372=0,0,IF(YEAR(B1372)=$Q$1,MONTH(B1372)-$P$1+1,(YEAR(B1372)-$Q$1)*12-$P$1+1+MONTH(B1372)))</f>
        <v>0</v>
      </c>
      <c r="Q1372" s="402">
        <f t="shared" si="1368"/>
        <v>0</v>
      </c>
      <c r="R1372" s="356" t="str">
        <f t="shared" si="1"/>
        <v/>
      </c>
      <c r="S1372" s="356" t="str">
        <f>IF(D1372="","",IF(OR(D1372=Plano!$A$1,D1372=Plano!$B$1),"entrada","saída"))</f>
        <v/>
      </c>
      <c r="T1372" s="345"/>
      <c r="U1372" s="345"/>
      <c r="V1372" s="269"/>
    </row>
    <row r="1373" spans="1:22" ht="12.75" customHeight="1" x14ac:dyDescent="0.2">
      <c r="A1373" s="277" t="str">
        <f>IF(B1373="","",COUNT('Diário 5º PA'!$A$5:$A$2634)+ROW()-4)</f>
        <v/>
      </c>
      <c r="B1373" s="278"/>
      <c r="C1373" s="335"/>
      <c r="D1373" s="255"/>
      <c r="E1373" s="255"/>
      <c r="F1373" s="258"/>
      <c r="G1373" s="255"/>
      <c r="H1373" s="255"/>
      <c r="I1373" s="250"/>
      <c r="J1373" s="255"/>
      <c r="K1373" s="255"/>
      <c r="L1373" s="250"/>
      <c r="M1373" s="411"/>
      <c r="N1373" s="277"/>
      <c r="O1373" s="329"/>
      <c r="P1373" s="402">
        <f t="shared" ref="P1373:Q1373" si="1369">IF(B1373=0,0,IF(YEAR(B1373)=$Q$1,MONTH(B1373)-$P$1+1,(YEAR(B1373)-$Q$1)*12-$P$1+1+MONTH(B1373)))</f>
        <v>0</v>
      </c>
      <c r="Q1373" s="402">
        <f t="shared" si="1369"/>
        <v>0</v>
      </c>
      <c r="R1373" s="356" t="str">
        <f t="shared" si="1"/>
        <v/>
      </c>
      <c r="S1373" s="356" t="str">
        <f>IF(D1373="","",IF(OR(D1373=Plano!$A$1,D1373=Plano!$B$1),"entrada","saída"))</f>
        <v/>
      </c>
      <c r="T1373" s="345"/>
      <c r="U1373" s="345"/>
      <c r="V1373" s="269"/>
    </row>
    <row r="1374" spans="1:22" ht="12.75" customHeight="1" x14ac:dyDescent="0.2">
      <c r="A1374" s="277" t="str">
        <f>IF(B1374="","",COUNT('Diário 5º PA'!$A$5:$A$2634)+ROW()-4)</f>
        <v/>
      </c>
      <c r="B1374" s="278"/>
      <c r="C1374" s="335"/>
      <c r="D1374" s="255"/>
      <c r="E1374" s="255"/>
      <c r="F1374" s="258"/>
      <c r="G1374" s="255"/>
      <c r="H1374" s="255"/>
      <c r="I1374" s="250"/>
      <c r="J1374" s="255"/>
      <c r="K1374" s="255"/>
      <c r="L1374" s="250"/>
      <c r="M1374" s="411"/>
      <c r="N1374" s="277"/>
      <c r="O1374" s="329"/>
      <c r="P1374" s="402">
        <f t="shared" ref="P1374:Q1374" si="1370">IF(B1374=0,0,IF(YEAR(B1374)=$Q$1,MONTH(B1374)-$P$1+1,(YEAR(B1374)-$Q$1)*12-$P$1+1+MONTH(B1374)))</f>
        <v>0</v>
      </c>
      <c r="Q1374" s="402">
        <f t="shared" si="1370"/>
        <v>0</v>
      </c>
      <c r="R1374" s="356" t="str">
        <f t="shared" si="1"/>
        <v/>
      </c>
      <c r="S1374" s="356" t="str">
        <f>IF(D1374="","",IF(OR(D1374=Plano!$A$1,D1374=Plano!$B$1),"entrada","saída"))</f>
        <v/>
      </c>
      <c r="T1374" s="345"/>
      <c r="U1374" s="345"/>
      <c r="V1374" s="269"/>
    </row>
    <row r="1375" spans="1:22" ht="12.75" customHeight="1" x14ac:dyDescent="0.2">
      <c r="A1375" s="277" t="str">
        <f>IF(B1375="","",COUNT('Diário 5º PA'!$A$5:$A$2634)+ROW()-4)</f>
        <v/>
      </c>
      <c r="B1375" s="278"/>
      <c r="C1375" s="335"/>
      <c r="D1375" s="255"/>
      <c r="E1375" s="255"/>
      <c r="F1375" s="258"/>
      <c r="G1375" s="255"/>
      <c r="H1375" s="255"/>
      <c r="I1375" s="250"/>
      <c r="J1375" s="255"/>
      <c r="K1375" s="255"/>
      <c r="L1375" s="250"/>
      <c r="M1375" s="411"/>
      <c r="N1375" s="277"/>
      <c r="O1375" s="329"/>
      <c r="P1375" s="402">
        <f t="shared" ref="P1375:Q1375" si="1371">IF(B1375=0,0,IF(YEAR(B1375)=$Q$1,MONTH(B1375)-$P$1+1,(YEAR(B1375)-$Q$1)*12-$P$1+1+MONTH(B1375)))</f>
        <v>0</v>
      </c>
      <c r="Q1375" s="402">
        <f t="shared" si="1371"/>
        <v>0</v>
      </c>
      <c r="R1375" s="356" t="str">
        <f t="shared" si="1"/>
        <v/>
      </c>
      <c r="S1375" s="356" t="str">
        <f>IF(D1375="","",IF(OR(D1375=Plano!$A$1,D1375=Plano!$B$1),"entrada","saída"))</f>
        <v/>
      </c>
      <c r="T1375" s="345"/>
      <c r="U1375" s="345"/>
      <c r="V1375" s="269"/>
    </row>
    <row r="1376" spans="1:22" ht="12.75" customHeight="1" x14ac:dyDescent="0.2">
      <c r="A1376" s="277" t="str">
        <f>IF(B1376="","",COUNT('Diário 5º PA'!$A$5:$A$2634)+ROW()-4)</f>
        <v/>
      </c>
      <c r="B1376" s="278"/>
      <c r="C1376" s="335"/>
      <c r="D1376" s="255"/>
      <c r="E1376" s="255"/>
      <c r="F1376" s="258"/>
      <c r="G1376" s="255"/>
      <c r="H1376" s="255"/>
      <c r="I1376" s="250"/>
      <c r="J1376" s="255"/>
      <c r="K1376" s="255"/>
      <c r="L1376" s="250"/>
      <c r="M1376" s="411"/>
      <c r="N1376" s="277"/>
      <c r="O1376" s="329"/>
      <c r="P1376" s="402">
        <f t="shared" ref="P1376:Q1376" si="1372">IF(B1376=0,0,IF(YEAR(B1376)=$Q$1,MONTH(B1376)-$P$1+1,(YEAR(B1376)-$Q$1)*12-$P$1+1+MONTH(B1376)))</f>
        <v>0</v>
      </c>
      <c r="Q1376" s="402">
        <f t="shared" si="1372"/>
        <v>0</v>
      </c>
      <c r="R1376" s="356" t="str">
        <f t="shared" si="1"/>
        <v/>
      </c>
      <c r="S1376" s="356" t="str">
        <f>IF(D1376="","",IF(OR(D1376=Plano!$A$1,D1376=Plano!$B$1),"entrada","saída"))</f>
        <v/>
      </c>
      <c r="T1376" s="345"/>
      <c r="U1376" s="345"/>
      <c r="V1376" s="269"/>
    </row>
    <row r="1377" spans="1:22" ht="12.75" customHeight="1" x14ac:dyDescent="0.2">
      <c r="A1377" s="277" t="str">
        <f>IF(B1377="","",COUNT('Diário 5º PA'!$A$5:$A$2634)+ROW()-4)</f>
        <v/>
      </c>
      <c r="B1377" s="278"/>
      <c r="C1377" s="335"/>
      <c r="D1377" s="255"/>
      <c r="E1377" s="255"/>
      <c r="F1377" s="258"/>
      <c r="G1377" s="255"/>
      <c r="H1377" s="255"/>
      <c r="I1377" s="250"/>
      <c r="J1377" s="255"/>
      <c r="K1377" s="255"/>
      <c r="L1377" s="250"/>
      <c r="M1377" s="411"/>
      <c r="N1377" s="277"/>
      <c r="O1377" s="329"/>
      <c r="P1377" s="402">
        <f t="shared" ref="P1377:Q1377" si="1373">IF(B1377=0,0,IF(YEAR(B1377)=$Q$1,MONTH(B1377)-$P$1+1,(YEAR(B1377)-$Q$1)*12-$P$1+1+MONTH(B1377)))</f>
        <v>0</v>
      </c>
      <c r="Q1377" s="402">
        <f t="shared" si="1373"/>
        <v>0</v>
      </c>
      <c r="R1377" s="356" t="str">
        <f t="shared" si="1"/>
        <v/>
      </c>
      <c r="S1377" s="356" t="str">
        <f>IF(D1377="","",IF(OR(D1377=Plano!$A$1,D1377=Plano!$B$1),"entrada","saída"))</f>
        <v/>
      </c>
      <c r="T1377" s="345"/>
      <c r="U1377" s="345"/>
      <c r="V1377" s="269"/>
    </row>
    <row r="1378" spans="1:22" ht="12.75" customHeight="1" x14ac:dyDescent="0.2">
      <c r="A1378" s="277" t="str">
        <f>IF(B1378="","",COUNT('Diário 5º PA'!$A$5:$A$2634)+ROW()-4)</f>
        <v/>
      </c>
      <c r="B1378" s="278"/>
      <c r="C1378" s="335"/>
      <c r="D1378" s="255"/>
      <c r="E1378" s="255"/>
      <c r="F1378" s="258"/>
      <c r="G1378" s="255"/>
      <c r="H1378" s="255"/>
      <c r="I1378" s="250"/>
      <c r="J1378" s="255"/>
      <c r="K1378" s="255"/>
      <c r="L1378" s="250"/>
      <c r="M1378" s="411"/>
      <c r="N1378" s="277"/>
      <c r="O1378" s="329"/>
      <c r="P1378" s="402">
        <f t="shared" ref="P1378:Q1378" si="1374">IF(B1378=0,0,IF(YEAR(B1378)=$Q$1,MONTH(B1378)-$P$1+1,(YEAR(B1378)-$Q$1)*12-$P$1+1+MONTH(B1378)))</f>
        <v>0</v>
      </c>
      <c r="Q1378" s="402">
        <f t="shared" si="1374"/>
        <v>0</v>
      </c>
      <c r="R1378" s="356" t="str">
        <f t="shared" si="1"/>
        <v/>
      </c>
      <c r="S1378" s="356" t="str">
        <f>IF(D1378="","",IF(OR(D1378=Plano!$A$1,D1378=Plano!$B$1),"entrada","saída"))</f>
        <v/>
      </c>
      <c r="T1378" s="345"/>
      <c r="U1378" s="345"/>
      <c r="V1378" s="269"/>
    </row>
    <row r="1379" spans="1:22" ht="12.75" customHeight="1" x14ac:dyDescent="0.2">
      <c r="A1379" s="277" t="str">
        <f>IF(B1379="","",COUNT('Diário 5º PA'!$A$5:$A$2634)+ROW()-4)</f>
        <v/>
      </c>
      <c r="B1379" s="278"/>
      <c r="C1379" s="335"/>
      <c r="D1379" s="255"/>
      <c r="E1379" s="255"/>
      <c r="F1379" s="258"/>
      <c r="G1379" s="255"/>
      <c r="H1379" s="255"/>
      <c r="I1379" s="250"/>
      <c r="J1379" s="255"/>
      <c r="K1379" s="255"/>
      <c r="L1379" s="250"/>
      <c r="M1379" s="411"/>
      <c r="N1379" s="277"/>
      <c r="O1379" s="329"/>
      <c r="P1379" s="402">
        <f t="shared" ref="P1379:Q1379" si="1375">IF(B1379=0,0,IF(YEAR(B1379)=$Q$1,MONTH(B1379)-$P$1+1,(YEAR(B1379)-$Q$1)*12-$P$1+1+MONTH(B1379)))</f>
        <v>0</v>
      </c>
      <c r="Q1379" s="402">
        <f t="shared" si="1375"/>
        <v>0</v>
      </c>
      <c r="R1379" s="356" t="str">
        <f t="shared" si="1"/>
        <v/>
      </c>
      <c r="S1379" s="356" t="str">
        <f>IF(D1379="","",IF(OR(D1379=Plano!$A$1,D1379=Plano!$B$1),"entrada","saída"))</f>
        <v/>
      </c>
      <c r="T1379" s="345"/>
      <c r="U1379" s="345"/>
      <c r="V1379" s="269"/>
    </row>
    <row r="1380" spans="1:22" ht="12.75" customHeight="1" x14ac:dyDescent="0.2">
      <c r="A1380" s="277" t="str">
        <f>IF(B1380="","",COUNT('Diário 5º PA'!$A$5:$A$2634)+ROW()-4)</f>
        <v/>
      </c>
      <c r="B1380" s="278"/>
      <c r="C1380" s="335"/>
      <c r="D1380" s="255"/>
      <c r="E1380" s="255"/>
      <c r="F1380" s="258"/>
      <c r="G1380" s="255"/>
      <c r="H1380" s="255"/>
      <c r="I1380" s="250"/>
      <c r="J1380" s="255"/>
      <c r="K1380" s="255"/>
      <c r="L1380" s="250"/>
      <c r="M1380" s="411"/>
      <c r="N1380" s="277"/>
      <c r="O1380" s="329"/>
      <c r="P1380" s="402">
        <f t="shared" ref="P1380:Q1380" si="1376">IF(B1380=0,0,IF(YEAR(B1380)=$Q$1,MONTH(B1380)-$P$1+1,(YEAR(B1380)-$Q$1)*12-$P$1+1+MONTH(B1380)))</f>
        <v>0</v>
      </c>
      <c r="Q1380" s="402">
        <f t="shared" si="1376"/>
        <v>0</v>
      </c>
      <c r="R1380" s="356" t="str">
        <f t="shared" si="1"/>
        <v/>
      </c>
      <c r="S1380" s="356" t="str">
        <f>IF(D1380="","",IF(OR(D1380=Plano!$A$1,D1380=Plano!$B$1),"entrada","saída"))</f>
        <v/>
      </c>
      <c r="T1380" s="345"/>
      <c r="U1380" s="345"/>
      <c r="V1380" s="269"/>
    </row>
    <row r="1381" spans="1:22" ht="12.75" customHeight="1" x14ac:dyDescent="0.2">
      <c r="A1381" s="277" t="str">
        <f>IF(B1381="","",COUNT('Diário 5º PA'!$A$5:$A$2634)+ROW()-4)</f>
        <v/>
      </c>
      <c r="B1381" s="278"/>
      <c r="C1381" s="335"/>
      <c r="D1381" s="255"/>
      <c r="E1381" s="255"/>
      <c r="F1381" s="258"/>
      <c r="G1381" s="255"/>
      <c r="H1381" s="255"/>
      <c r="I1381" s="250"/>
      <c r="J1381" s="255"/>
      <c r="K1381" s="255"/>
      <c r="L1381" s="250"/>
      <c r="M1381" s="411"/>
      <c r="N1381" s="277"/>
      <c r="O1381" s="329"/>
      <c r="P1381" s="402">
        <f t="shared" ref="P1381:Q1381" si="1377">IF(B1381=0,0,IF(YEAR(B1381)=$Q$1,MONTH(B1381)-$P$1+1,(YEAR(B1381)-$Q$1)*12-$P$1+1+MONTH(B1381)))</f>
        <v>0</v>
      </c>
      <c r="Q1381" s="402">
        <f t="shared" si="1377"/>
        <v>0</v>
      </c>
      <c r="R1381" s="356" t="str">
        <f t="shared" si="1"/>
        <v/>
      </c>
      <c r="S1381" s="356" t="str">
        <f>IF(D1381="","",IF(OR(D1381=Plano!$A$1,D1381=Plano!$B$1),"entrada","saída"))</f>
        <v/>
      </c>
      <c r="T1381" s="345"/>
      <c r="U1381" s="345"/>
      <c r="V1381" s="269"/>
    </row>
    <row r="1382" spans="1:22" ht="12.75" customHeight="1" x14ac:dyDescent="0.2">
      <c r="A1382" s="277" t="str">
        <f>IF(B1382="","",COUNT('Diário 5º PA'!$A$5:$A$2634)+ROW()-4)</f>
        <v/>
      </c>
      <c r="B1382" s="278"/>
      <c r="C1382" s="335"/>
      <c r="D1382" s="255"/>
      <c r="E1382" s="255"/>
      <c r="F1382" s="258"/>
      <c r="G1382" s="255"/>
      <c r="H1382" s="255"/>
      <c r="I1382" s="250"/>
      <c r="J1382" s="255"/>
      <c r="K1382" s="255"/>
      <c r="L1382" s="250"/>
      <c r="M1382" s="411"/>
      <c r="N1382" s="277"/>
      <c r="O1382" s="329"/>
      <c r="P1382" s="402">
        <f t="shared" ref="P1382:Q1382" si="1378">IF(B1382=0,0,IF(YEAR(B1382)=$Q$1,MONTH(B1382)-$P$1+1,(YEAR(B1382)-$Q$1)*12-$P$1+1+MONTH(B1382)))</f>
        <v>0</v>
      </c>
      <c r="Q1382" s="402">
        <f t="shared" si="1378"/>
        <v>0</v>
      </c>
      <c r="R1382" s="356" t="str">
        <f t="shared" si="1"/>
        <v/>
      </c>
      <c r="S1382" s="356" t="str">
        <f>IF(D1382="","",IF(OR(D1382=Plano!$A$1,D1382=Plano!$B$1),"entrada","saída"))</f>
        <v/>
      </c>
      <c r="T1382" s="345"/>
      <c r="U1382" s="345"/>
      <c r="V1382" s="269"/>
    </row>
    <row r="1383" spans="1:22" ht="12.75" customHeight="1" x14ac:dyDescent="0.2">
      <c r="A1383" s="277" t="str">
        <f>IF(B1383="","",COUNT('Diário 5º PA'!$A$5:$A$2634)+ROW()-4)</f>
        <v/>
      </c>
      <c r="B1383" s="278"/>
      <c r="C1383" s="335"/>
      <c r="D1383" s="255"/>
      <c r="E1383" s="255"/>
      <c r="F1383" s="258"/>
      <c r="G1383" s="255"/>
      <c r="H1383" s="255"/>
      <c r="I1383" s="250"/>
      <c r="J1383" s="255"/>
      <c r="K1383" s="255"/>
      <c r="L1383" s="250"/>
      <c r="M1383" s="411"/>
      <c r="N1383" s="277"/>
      <c r="O1383" s="329"/>
      <c r="P1383" s="402">
        <f t="shared" ref="P1383:Q1383" si="1379">IF(B1383=0,0,IF(YEAR(B1383)=$Q$1,MONTH(B1383)-$P$1+1,(YEAR(B1383)-$Q$1)*12-$P$1+1+MONTH(B1383)))</f>
        <v>0</v>
      </c>
      <c r="Q1383" s="402">
        <f t="shared" si="1379"/>
        <v>0</v>
      </c>
      <c r="R1383" s="356" t="str">
        <f t="shared" si="1"/>
        <v/>
      </c>
      <c r="S1383" s="356" t="str">
        <f>IF(D1383="","",IF(OR(D1383=Plano!$A$1,D1383=Plano!$B$1),"entrada","saída"))</f>
        <v/>
      </c>
      <c r="T1383" s="345"/>
      <c r="U1383" s="345"/>
      <c r="V1383" s="269"/>
    </row>
    <row r="1384" spans="1:22" ht="12.75" customHeight="1" x14ac:dyDescent="0.2">
      <c r="A1384" s="277" t="str">
        <f>IF(B1384="","",COUNT('Diário 5º PA'!$A$5:$A$2634)+ROW()-4)</f>
        <v/>
      </c>
      <c r="B1384" s="278"/>
      <c r="C1384" s="335"/>
      <c r="D1384" s="255"/>
      <c r="E1384" s="255"/>
      <c r="F1384" s="258"/>
      <c r="G1384" s="255"/>
      <c r="H1384" s="255"/>
      <c r="I1384" s="250"/>
      <c r="J1384" s="255"/>
      <c r="K1384" s="255"/>
      <c r="L1384" s="250"/>
      <c r="M1384" s="411"/>
      <c r="N1384" s="277"/>
      <c r="O1384" s="329"/>
      <c r="P1384" s="402">
        <f t="shared" ref="P1384:Q1384" si="1380">IF(B1384=0,0,IF(YEAR(B1384)=$Q$1,MONTH(B1384)-$P$1+1,(YEAR(B1384)-$Q$1)*12-$P$1+1+MONTH(B1384)))</f>
        <v>0</v>
      </c>
      <c r="Q1384" s="402">
        <f t="shared" si="1380"/>
        <v>0</v>
      </c>
      <c r="R1384" s="356" t="str">
        <f t="shared" si="1"/>
        <v/>
      </c>
      <c r="S1384" s="356" t="str">
        <f>IF(D1384="","",IF(OR(D1384=Plano!$A$1,D1384=Plano!$B$1),"entrada","saída"))</f>
        <v/>
      </c>
      <c r="T1384" s="345"/>
      <c r="U1384" s="345"/>
      <c r="V1384" s="269"/>
    </row>
    <row r="1385" spans="1:22" ht="12.75" customHeight="1" x14ac:dyDescent="0.2">
      <c r="A1385" s="277" t="str">
        <f>IF(B1385="","",COUNT('Diário 5º PA'!$A$5:$A$2634)+ROW()-4)</f>
        <v/>
      </c>
      <c r="B1385" s="278"/>
      <c r="C1385" s="335"/>
      <c r="D1385" s="255"/>
      <c r="E1385" s="255"/>
      <c r="F1385" s="258"/>
      <c r="G1385" s="255"/>
      <c r="H1385" s="255"/>
      <c r="I1385" s="250"/>
      <c r="J1385" s="255"/>
      <c r="K1385" s="255"/>
      <c r="L1385" s="250"/>
      <c r="M1385" s="411"/>
      <c r="N1385" s="277"/>
      <c r="O1385" s="329"/>
      <c r="P1385" s="402">
        <f t="shared" ref="P1385:Q1385" si="1381">IF(B1385=0,0,IF(YEAR(B1385)=$Q$1,MONTH(B1385)-$P$1+1,(YEAR(B1385)-$Q$1)*12-$P$1+1+MONTH(B1385)))</f>
        <v>0</v>
      </c>
      <c r="Q1385" s="402">
        <f t="shared" si="1381"/>
        <v>0</v>
      </c>
      <c r="R1385" s="356" t="str">
        <f t="shared" si="1"/>
        <v/>
      </c>
      <c r="S1385" s="356" t="str">
        <f>IF(D1385="","",IF(OR(D1385=Plano!$A$1,D1385=Plano!$B$1),"entrada","saída"))</f>
        <v/>
      </c>
      <c r="T1385" s="345"/>
      <c r="U1385" s="345"/>
      <c r="V1385" s="269"/>
    </row>
    <row r="1386" spans="1:22" ht="12.75" customHeight="1" x14ac:dyDescent="0.2">
      <c r="A1386" s="277" t="str">
        <f>IF(B1386="","",COUNT('Diário 5º PA'!$A$5:$A$2634)+ROW()-4)</f>
        <v/>
      </c>
      <c r="B1386" s="278"/>
      <c r="C1386" s="335"/>
      <c r="D1386" s="255"/>
      <c r="E1386" s="255"/>
      <c r="F1386" s="258"/>
      <c r="G1386" s="255"/>
      <c r="H1386" s="255"/>
      <c r="I1386" s="250"/>
      <c r="J1386" s="255"/>
      <c r="K1386" s="255"/>
      <c r="L1386" s="250"/>
      <c r="M1386" s="411"/>
      <c r="N1386" s="277"/>
      <c r="O1386" s="329"/>
      <c r="P1386" s="402">
        <f t="shared" ref="P1386:Q1386" si="1382">IF(B1386=0,0,IF(YEAR(B1386)=$Q$1,MONTH(B1386)-$P$1+1,(YEAR(B1386)-$Q$1)*12-$P$1+1+MONTH(B1386)))</f>
        <v>0</v>
      </c>
      <c r="Q1386" s="402">
        <f t="shared" si="1382"/>
        <v>0</v>
      </c>
      <c r="R1386" s="356" t="str">
        <f t="shared" si="1"/>
        <v/>
      </c>
      <c r="S1386" s="356" t="str">
        <f>IF(D1386="","",IF(OR(D1386=Plano!$A$1,D1386=Plano!$B$1),"entrada","saída"))</f>
        <v/>
      </c>
      <c r="T1386" s="345"/>
      <c r="U1386" s="345"/>
      <c r="V1386" s="269"/>
    </row>
    <row r="1387" spans="1:22" ht="12.75" customHeight="1" x14ac:dyDescent="0.2">
      <c r="A1387" s="277" t="str">
        <f>IF(B1387="","",COUNT('Diário 5º PA'!$A$5:$A$2634)+ROW()-4)</f>
        <v/>
      </c>
      <c r="B1387" s="278"/>
      <c r="C1387" s="335"/>
      <c r="D1387" s="255"/>
      <c r="E1387" s="255"/>
      <c r="F1387" s="258"/>
      <c r="G1387" s="255"/>
      <c r="H1387" s="255"/>
      <c r="I1387" s="250"/>
      <c r="J1387" s="255"/>
      <c r="K1387" s="255"/>
      <c r="L1387" s="250"/>
      <c r="M1387" s="411"/>
      <c r="N1387" s="277"/>
      <c r="O1387" s="329"/>
      <c r="P1387" s="402">
        <f t="shared" ref="P1387:Q1387" si="1383">IF(B1387=0,0,IF(YEAR(B1387)=$Q$1,MONTH(B1387)-$P$1+1,(YEAR(B1387)-$Q$1)*12-$P$1+1+MONTH(B1387)))</f>
        <v>0</v>
      </c>
      <c r="Q1387" s="402">
        <f t="shared" si="1383"/>
        <v>0</v>
      </c>
      <c r="R1387" s="356" t="str">
        <f t="shared" si="1"/>
        <v/>
      </c>
      <c r="S1387" s="356" t="str">
        <f>IF(D1387="","",IF(OR(D1387=Plano!$A$1,D1387=Plano!$B$1),"entrada","saída"))</f>
        <v/>
      </c>
      <c r="T1387" s="345"/>
      <c r="U1387" s="345"/>
      <c r="V1387" s="269"/>
    </row>
    <row r="1388" spans="1:22" ht="12.75" customHeight="1" x14ac:dyDescent="0.2">
      <c r="A1388" s="277" t="str">
        <f>IF(B1388="","",COUNT('Diário 5º PA'!$A$5:$A$2634)+ROW()-4)</f>
        <v/>
      </c>
      <c r="B1388" s="278"/>
      <c r="C1388" s="335"/>
      <c r="D1388" s="255"/>
      <c r="E1388" s="255"/>
      <c r="F1388" s="258"/>
      <c r="G1388" s="255"/>
      <c r="H1388" s="255"/>
      <c r="I1388" s="250"/>
      <c r="J1388" s="255"/>
      <c r="K1388" s="255"/>
      <c r="L1388" s="250"/>
      <c r="M1388" s="411"/>
      <c r="N1388" s="277"/>
      <c r="O1388" s="329"/>
      <c r="P1388" s="402">
        <f t="shared" ref="P1388:Q1388" si="1384">IF(B1388=0,0,IF(YEAR(B1388)=$Q$1,MONTH(B1388)-$P$1+1,(YEAR(B1388)-$Q$1)*12-$P$1+1+MONTH(B1388)))</f>
        <v>0</v>
      </c>
      <c r="Q1388" s="402">
        <f t="shared" si="1384"/>
        <v>0</v>
      </c>
      <c r="R1388" s="356" t="str">
        <f t="shared" si="1"/>
        <v/>
      </c>
      <c r="S1388" s="356" t="str">
        <f>IF(D1388="","",IF(OR(D1388=Plano!$A$1,D1388=Plano!$B$1),"entrada","saída"))</f>
        <v/>
      </c>
      <c r="T1388" s="345"/>
      <c r="U1388" s="345"/>
      <c r="V1388" s="269"/>
    </row>
    <row r="1389" spans="1:22" ht="12.75" customHeight="1" x14ac:dyDescent="0.2">
      <c r="A1389" s="277" t="str">
        <f>IF(B1389="","",COUNT('Diário 5º PA'!$A$5:$A$2634)+ROW()-4)</f>
        <v/>
      </c>
      <c r="B1389" s="278"/>
      <c r="C1389" s="335"/>
      <c r="D1389" s="255"/>
      <c r="E1389" s="255"/>
      <c r="F1389" s="258"/>
      <c r="G1389" s="255"/>
      <c r="H1389" s="255"/>
      <c r="I1389" s="250"/>
      <c r="J1389" s="255"/>
      <c r="K1389" s="255"/>
      <c r="L1389" s="250"/>
      <c r="M1389" s="411"/>
      <c r="N1389" s="277"/>
      <c r="O1389" s="329"/>
      <c r="P1389" s="402">
        <f t="shared" ref="P1389:Q1389" si="1385">IF(B1389=0,0,IF(YEAR(B1389)=$Q$1,MONTH(B1389)-$P$1+1,(YEAR(B1389)-$Q$1)*12-$P$1+1+MONTH(B1389)))</f>
        <v>0</v>
      </c>
      <c r="Q1389" s="402">
        <f t="shared" si="1385"/>
        <v>0</v>
      </c>
      <c r="R1389" s="356" t="str">
        <f t="shared" si="1"/>
        <v/>
      </c>
      <c r="S1389" s="356" t="str">
        <f>IF(D1389="","",IF(OR(D1389=Plano!$A$1,D1389=Plano!$B$1),"entrada","saída"))</f>
        <v/>
      </c>
      <c r="T1389" s="345"/>
      <c r="U1389" s="345"/>
      <c r="V1389" s="269"/>
    </row>
    <row r="1390" spans="1:22" ht="12.75" customHeight="1" x14ac:dyDescent="0.2">
      <c r="A1390" s="277" t="str">
        <f>IF(B1390="","",COUNT('Diário 5º PA'!$A$5:$A$2634)+ROW()-4)</f>
        <v/>
      </c>
      <c r="B1390" s="278"/>
      <c r="C1390" s="335"/>
      <c r="D1390" s="255"/>
      <c r="E1390" s="255"/>
      <c r="F1390" s="258"/>
      <c r="G1390" s="255"/>
      <c r="H1390" s="255"/>
      <c r="I1390" s="250"/>
      <c r="J1390" s="255"/>
      <c r="K1390" s="255"/>
      <c r="L1390" s="250"/>
      <c r="M1390" s="411"/>
      <c r="N1390" s="277"/>
      <c r="O1390" s="329"/>
      <c r="P1390" s="402">
        <f t="shared" ref="P1390:Q1390" si="1386">IF(B1390=0,0,IF(YEAR(B1390)=$Q$1,MONTH(B1390)-$P$1+1,(YEAR(B1390)-$Q$1)*12-$P$1+1+MONTH(B1390)))</f>
        <v>0</v>
      </c>
      <c r="Q1390" s="402">
        <f t="shared" si="1386"/>
        <v>0</v>
      </c>
      <c r="R1390" s="356" t="str">
        <f t="shared" si="1"/>
        <v/>
      </c>
      <c r="S1390" s="356" t="str">
        <f>IF(D1390="","",IF(OR(D1390=Plano!$A$1,D1390=Plano!$B$1),"entrada","saída"))</f>
        <v/>
      </c>
      <c r="T1390" s="345"/>
      <c r="U1390" s="345"/>
      <c r="V1390" s="269"/>
    </row>
    <row r="1391" spans="1:22" ht="12.75" customHeight="1" x14ac:dyDescent="0.2">
      <c r="A1391" s="277" t="str">
        <f>IF(B1391="","",COUNT('Diário 5º PA'!$A$5:$A$2634)+ROW()-4)</f>
        <v/>
      </c>
      <c r="B1391" s="278"/>
      <c r="C1391" s="335"/>
      <c r="D1391" s="255"/>
      <c r="E1391" s="255"/>
      <c r="F1391" s="258"/>
      <c r="G1391" s="255"/>
      <c r="H1391" s="255"/>
      <c r="I1391" s="250"/>
      <c r="J1391" s="255"/>
      <c r="K1391" s="255"/>
      <c r="L1391" s="250"/>
      <c r="M1391" s="411"/>
      <c r="N1391" s="277"/>
      <c r="O1391" s="329"/>
      <c r="P1391" s="402">
        <f t="shared" ref="P1391:Q1391" si="1387">IF(B1391=0,0,IF(YEAR(B1391)=$Q$1,MONTH(B1391)-$P$1+1,(YEAR(B1391)-$Q$1)*12-$P$1+1+MONTH(B1391)))</f>
        <v>0</v>
      </c>
      <c r="Q1391" s="402">
        <f t="shared" si="1387"/>
        <v>0</v>
      </c>
      <c r="R1391" s="356" t="str">
        <f t="shared" si="1"/>
        <v/>
      </c>
      <c r="S1391" s="356" t="str">
        <f>IF(D1391="","",IF(OR(D1391=Plano!$A$1,D1391=Plano!$B$1),"entrada","saída"))</f>
        <v/>
      </c>
      <c r="T1391" s="345"/>
      <c r="U1391" s="345"/>
      <c r="V1391" s="269"/>
    </row>
    <row r="1392" spans="1:22" ht="12.75" customHeight="1" x14ac:dyDescent="0.2">
      <c r="A1392" s="277" t="str">
        <f>IF(B1392="","",COUNT('Diário 5º PA'!$A$5:$A$2634)+ROW()-4)</f>
        <v/>
      </c>
      <c r="B1392" s="278"/>
      <c r="C1392" s="335"/>
      <c r="D1392" s="255"/>
      <c r="E1392" s="255"/>
      <c r="F1392" s="258"/>
      <c r="G1392" s="255"/>
      <c r="H1392" s="255"/>
      <c r="I1392" s="250"/>
      <c r="J1392" s="255"/>
      <c r="K1392" s="255"/>
      <c r="L1392" s="250"/>
      <c r="M1392" s="411"/>
      <c r="N1392" s="277"/>
      <c r="O1392" s="329"/>
      <c r="P1392" s="402">
        <f t="shared" ref="P1392:Q1392" si="1388">IF(B1392=0,0,IF(YEAR(B1392)=$Q$1,MONTH(B1392)-$P$1+1,(YEAR(B1392)-$Q$1)*12-$P$1+1+MONTH(B1392)))</f>
        <v>0</v>
      </c>
      <c r="Q1392" s="402">
        <f t="shared" si="1388"/>
        <v>0</v>
      </c>
      <c r="R1392" s="356" t="str">
        <f t="shared" si="1"/>
        <v/>
      </c>
      <c r="S1392" s="356" t="str">
        <f>IF(D1392="","",IF(OR(D1392=Plano!$A$1,D1392=Plano!$B$1),"entrada","saída"))</f>
        <v/>
      </c>
      <c r="T1392" s="345"/>
      <c r="U1392" s="345"/>
      <c r="V1392" s="269"/>
    </row>
    <row r="1393" spans="1:22" ht="12.75" customHeight="1" x14ac:dyDescent="0.2">
      <c r="A1393" s="277" t="str">
        <f>IF(B1393="","",COUNT('Diário 5º PA'!$A$5:$A$2634)+ROW()-4)</f>
        <v/>
      </c>
      <c r="B1393" s="278"/>
      <c r="C1393" s="335"/>
      <c r="D1393" s="255"/>
      <c r="E1393" s="255"/>
      <c r="F1393" s="258"/>
      <c r="G1393" s="255"/>
      <c r="H1393" s="255"/>
      <c r="I1393" s="250"/>
      <c r="J1393" s="255"/>
      <c r="K1393" s="255"/>
      <c r="L1393" s="250"/>
      <c r="M1393" s="411"/>
      <c r="N1393" s="277"/>
      <c r="O1393" s="329"/>
      <c r="P1393" s="402">
        <f t="shared" ref="P1393:Q1393" si="1389">IF(B1393=0,0,IF(YEAR(B1393)=$Q$1,MONTH(B1393)-$P$1+1,(YEAR(B1393)-$Q$1)*12-$P$1+1+MONTH(B1393)))</f>
        <v>0</v>
      </c>
      <c r="Q1393" s="402">
        <f t="shared" si="1389"/>
        <v>0</v>
      </c>
      <c r="R1393" s="356" t="str">
        <f t="shared" si="1"/>
        <v/>
      </c>
      <c r="S1393" s="356" t="str">
        <f>IF(D1393="","",IF(OR(D1393=Plano!$A$1,D1393=Plano!$B$1),"entrada","saída"))</f>
        <v/>
      </c>
      <c r="T1393" s="345"/>
      <c r="U1393" s="345"/>
      <c r="V1393" s="269"/>
    </row>
    <row r="1394" spans="1:22" ht="12.75" customHeight="1" x14ac:dyDescent="0.2">
      <c r="A1394" s="277" t="str">
        <f>IF(B1394="","",COUNT('Diário 5º PA'!$A$5:$A$2634)+ROW()-4)</f>
        <v/>
      </c>
      <c r="B1394" s="278"/>
      <c r="C1394" s="335"/>
      <c r="D1394" s="255"/>
      <c r="E1394" s="255"/>
      <c r="F1394" s="258"/>
      <c r="G1394" s="255"/>
      <c r="H1394" s="255"/>
      <c r="I1394" s="250"/>
      <c r="J1394" s="255"/>
      <c r="K1394" s="255"/>
      <c r="L1394" s="250"/>
      <c r="M1394" s="411"/>
      <c r="N1394" s="277"/>
      <c r="O1394" s="329"/>
      <c r="P1394" s="402">
        <f t="shared" ref="P1394:Q1394" si="1390">IF(B1394=0,0,IF(YEAR(B1394)=$Q$1,MONTH(B1394)-$P$1+1,(YEAR(B1394)-$Q$1)*12-$P$1+1+MONTH(B1394)))</f>
        <v>0</v>
      </c>
      <c r="Q1394" s="402">
        <f t="shared" si="1390"/>
        <v>0</v>
      </c>
      <c r="R1394" s="356" t="str">
        <f t="shared" si="1"/>
        <v/>
      </c>
      <c r="S1394" s="356" t="str">
        <f>IF(D1394="","",IF(OR(D1394=Plano!$A$1,D1394=Plano!$B$1),"entrada","saída"))</f>
        <v/>
      </c>
      <c r="T1394" s="345"/>
      <c r="U1394" s="345"/>
      <c r="V1394" s="269"/>
    </row>
    <row r="1395" spans="1:22" ht="12.75" customHeight="1" x14ac:dyDescent="0.2">
      <c r="A1395" s="277" t="str">
        <f>IF(B1395="","",COUNT('Diário 5º PA'!$A$5:$A$2634)+ROW()-4)</f>
        <v/>
      </c>
      <c r="B1395" s="278"/>
      <c r="C1395" s="335"/>
      <c r="D1395" s="255"/>
      <c r="E1395" s="255"/>
      <c r="F1395" s="258"/>
      <c r="G1395" s="255"/>
      <c r="H1395" s="255"/>
      <c r="I1395" s="250"/>
      <c r="J1395" s="255"/>
      <c r="K1395" s="255"/>
      <c r="L1395" s="250"/>
      <c r="M1395" s="411"/>
      <c r="N1395" s="277"/>
      <c r="O1395" s="329"/>
      <c r="P1395" s="402">
        <f t="shared" ref="P1395:Q1395" si="1391">IF(B1395=0,0,IF(YEAR(B1395)=$Q$1,MONTH(B1395)-$P$1+1,(YEAR(B1395)-$Q$1)*12-$P$1+1+MONTH(B1395)))</f>
        <v>0</v>
      </c>
      <c r="Q1395" s="402">
        <f t="shared" si="1391"/>
        <v>0</v>
      </c>
      <c r="R1395" s="356" t="str">
        <f t="shared" si="1"/>
        <v/>
      </c>
      <c r="S1395" s="356" t="str">
        <f>IF(D1395="","",IF(OR(D1395=Plano!$A$1,D1395=Plano!$B$1),"entrada","saída"))</f>
        <v/>
      </c>
      <c r="T1395" s="345"/>
      <c r="U1395" s="345"/>
      <c r="V1395" s="269"/>
    </row>
    <row r="1396" spans="1:22" ht="12.75" customHeight="1" x14ac:dyDescent="0.2">
      <c r="A1396" s="277" t="str">
        <f>IF(B1396="","",COUNT('Diário 5º PA'!$A$5:$A$2634)+ROW()-4)</f>
        <v/>
      </c>
      <c r="B1396" s="278"/>
      <c r="C1396" s="335"/>
      <c r="D1396" s="255"/>
      <c r="E1396" s="255"/>
      <c r="F1396" s="258"/>
      <c r="G1396" s="255"/>
      <c r="H1396" s="255"/>
      <c r="I1396" s="250"/>
      <c r="J1396" s="255"/>
      <c r="K1396" s="255"/>
      <c r="L1396" s="250"/>
      <c r="M1396" s="411"/>
      <c r="N1396" s="277"/>
      <c r="O1396" s="329"/>
      <c r="P1396" s="402">
        <f t="shared" ref="P1396:Q1396" si="1392">IF(B1396=0,0,IF(YEAR(B1396)=$Q$1,MONTH(B1396)-$P$1+1,(YEAR(B1396)-$Q$1)*12-$P$1+1+MONTH(B1396)))</f>
        <v>0</v>
      </c>
      <c r="Q1396" s="402">
        <f t="shared" si="1392"/>
        <v>0</v>
      </c>
      <c r="R1396" s="356" t="str">
        <f t="shared" si="1"/>
        <v/>
      </c>
      <c r="S1396" s="356" t="str">
        <f>IF(D1396="","",IF(OR(D1396=Plano!$A$1,D1396=Plano!$B$1),"entrada","saída"))</f>
        <v/>
      </c>
      <c r="T1396" s="345"/>
      <c r="U1396" s="345"/>
      <c r="V1396" s="269"/>
    </row>
    <row r="1397" spans="1:22" ht="12.75" customHeight="1" x14ac:dyDescent="0.2">
      <c r="A1397" s="277" t="str">
        <f>IF(B1397="","",COUNT('Diário 5º PA'!$A$5:$A$2634)+ROW()-4)</f>
        <v/>
      </c>
      <c r="B1397" s="278"/>
      <c r="C1397" s="335"/>
      <c r="D1397" s="255"/>
      <c r="E1397" s="255"/>
      <c r="F1397" s="258"/>
      <c r="G1397" s="255"/>
      <c r="H1397" s="255"/>
      <c r="I1397" s="250"/>
      <c r="J1397" s="255"/>
      <c r="K1397" s="255"/>
      <c r="L1397" s="250"/>
      <c r="M1397" s="411"/>
      <c r="N1397" s="277"/>
      <c r="O1397" s="329"/>
      <c r="P1397" s="402">
        <f t="shared" ref="P1397:Q1397" si="1393">IF(B1397=0,0,IF(YEAR(B1397)=$Q$1,MONTH(B1397)-$P$1+1,(YEAR(B1397)-$Q$1)*12-$P$1+1+MONTH(B1397)))</f>
        <v>0</v>
      </c>
      <c r="Q1397" s="402">
        <f t="shared" si="1393"/>
        <v>0</v>
      </c>
      <c r="R1397" s="356" t="str">
        <f t="shared" si="1"/>
        <v/>
      </c>
      <c r="S1397" s="356" t="str">
        <f>IF(D1397="","",IF(OR(D1397=Plano!$A$1,D1397=Plano!$B$1),"entrada","saída"))</f>
        <v/>
      </c>
      <c r="T1397" s="345"/>
      <c r="U1397" s="345"/>
      <c r="V1397" s="269"/>
    </row>
    <row r="1398" spans="1:22" ht="12.75" customHeight="1" x14ac:dyDescent="0.2">
      <c r="A1398" s="277" t="str">
        <f>IF(B1398="","",COUNT('Diário 5º PA'!$A$5:$A$2634)+ROW()-4)</f>
        <v/>
      </c>
      <c r="B1398" s="278"/>
      <c r="C1398" s="335"/>
      <c r="D1398" s="255"/>
      <c r="E1398" s="255"/>
      <c r="F1398" s="258"/>
      <c r="G1398" s="255"/>
      <c r="H1398" s="255"/>
      <c r="I1398" s="250"/>
      <c r="J1398" s="255"/>
      <c r="K1398" s="255"/>
      <c r="L1398" s="250"/>
      <c r="M1398" s="411"/>
      <c r="N1398" s="277"/>
      <c r="O1398" s="329"/>
      <c r="P1398" s="402">
        <f t="shared" ref="P1398:Q1398" si="1394">IF(B1398=0,0,IF(YEAR(B1398)=$Q$1,MONTH(B1398)-$P$1+1,(YEAR(B1398)-$Q$1)*12-$P$1+1+MONTH(B1398)))</f>
        <v>0</v>
      </c>
      <c r="Q1398" s="402">
        <f t="shared" si="1394"/>
        <v>0</v>
      </c>
      <c r="R1398" s="356" t="str">
        <f t="shared" si="1"/>
        <v/>
      </c>
      <c r="S1398" s="356" t="str">
        <f>IF(D1398="","",IF(OR(D1398=Plano!$A$1,D1398=Plano!$B$1),"entrada","saída"))</f>
        <v/>
      </c>
      <c r="T1398" s="345"/>
      <c r="U1398" s="345"/>
      <c r="V1398" s="269"/>
    </row>
    <row r="1399" spans="1:22" ht="12.75" customHeight="1" x14ac:dyDescent="0.2">
      <c r="A1399" s="277" t="str">
        <f>IF(B1399="","",COUNT('Diário 5º PA'!$A$5:$A$2634)+ROW()-4)</f>
        <v/>
      </c>
      <c r="B1399" s="278"/>
      <c r="C1399" s="335"/>
      <c r="D1399" s="255"/>
      <c r="E1399" s="255"/>
      <c r="F1399" s="258"/>
      <c r="G1399" s="255"/>
      <c r="H1399" s="255"/>
      <c r="I1399" s="250"/>
      <c r="J1399" s="255"/>
      <c r="K1399" s="255"/>
      <c r="L1399" s="250"/>
      <c r="M1399" s="411"/>
      <c r="N1399" s="277"/>
      <c r="O1399" s="329"/>
      <c r="P1399" s="402">
        <f t="shared" ref="P1399:Q1399" si="1395">IF(B1399=0,0,IF(YEAR(B1399)=$Q$1,MONTH(B1399)-$P$1+1,(YEAR(B1399)-$Q$1)*12-$P$1+1+MONTH(B1399)))</f>
        <v>0</v>
      </c>
      <c r="Q1399" s="402">
        <f t="shared" si="1395"/>
        <v>0</v>
      </c>
      <c r="R1399" s="356" t="str">
        <f t="shared" si="1"/>
        <v/>
      </c>
      <c r="S1399" s="356" t="str">
        <f>IF(D1399="","",IF(OR(D1399=Plano!$A$1,D1399=Plano!$B$1),"entrada","saída"))</f>
        <v/>
      </c>
      <c r="T1399" s="345"/>
      <c r="U1399" s="345"/>
      <c r="V1399" s="269"/>
    </row>
    <row r="1400" spans="1:22" ht="12.75" customHeight="1" x14ac:dyDescent="0.2">
      <c r="A1400" s="277" t="str">
        <f>IF(B1400="","",COUNT('Diário 5º PA'!$A$5:$A$2634)+ROW()-4)</f>
        <v/>
      </c>
      <c r="B1400" s="278"/>
      <c r="C1400" s="335"/>
      <c r="D1400" s="255"/>
      <c r="E1400" s="255"/>
      <c r="F1400" s="258"/>
      <c r="G1400" s="255"/>
      <c r="H1400" s="255"/>
      <c r="I1400" s="250"/>
      <c r="J1400" s="255"/>
      <c r="K1400" s="255"/>
      <c r="L1400" s="250"/>
      <c r="M1400" s="411"/>
      <c r="N1400" s="277"/>
      <c r="O1400" s="329"/>
      <c r="P1400" s="402">
        <f t="shared" ref="P1400:Q1400" si="1396">IF(B1400=0,0,IF(YEAR(B1400)=$Q$1,MONTH(B1400)-$P$1+1,(YEAR(B1400)-$Q$1)*12-$P$1+1+MONTH(B1400)))</f>
        <v>0</v>
      </c>
      <c r="Q1400" s="402">
        <f t="shared" si="1396"/>
        <v>0</v>
      </c>
      <c r="R1400" s="356" t="str">
        <f t="shared" si="1"/>
        <v/>
      </c>
      <c r="S1400" s="356" t="str">
        <f>IF(D1400="","",IF(OR(D1400=Plano!$A$1,D1400=Plano!$B$1),"entrada","saída"))</f>
        <v/>
      </c>
      <c r="T1400" s="345"/>
      <c r="U1400" s="345"/>
      <c r="V1400" s="269"/>
    </row>
    <row r="1401" spans="1:22" ht="12.75" customHeight="1" x14ac:dyDescent="0.2">
      <c r="A1401" s="277" t="str">
        <f>IF(B1401="","",COUNT('Diário 5º PA'!$A$5:$A$2634)+ROW()-4)</f>
        <v/>
      </c>
      <c r="B1401" s="278"/>
      <c r="C1401" s="335"/>
      <c r="D1401" s="255"/>
      <c r="E1401" s="255"/>
      <c r="F1401" s="258"/>
      <c r="G1401" s="255"/>
      <c r="H1401" s="255"/>
      <c r="I1401" s="250"/>
      <c r="J1401" s="255"/>
      <c r="K1401" s="255"/>
      <c r="L1401" s="250"/>
      <c r="M1401" s="411"/>
      <c r="N1401" s="277"/>
      <c r="O1401" s="329"/>
      <c r="P1401" s="402">
        <f t="shared" ref="P1401:Q1401" si="1397">IF(B1401=0,0,IF(YEAR(B1401)=$Q$1,MONTH(B1401)-$P$1+1,(YEAR(B1401)-$Q$1)*12-$P$1+1+MONTH(B1401)))</f>
        <v>0</v>
      </c>
      <c r="Q1401" s="402">
        <f t="shared" si="1397"/>
        <v>0</v>
      </c>
      <c r="R1401" s="356" t="str">
        <f t="shared" si="1"/>
        <v/>
      </c>
      <c r="S1401" s="356" t="str">
        <f>IF(D1401="","",IF(OR(D1401=Plano!$A$1,D1401=Plano!$B$1),"entrada","saída"))</f>
        <v/>
      </c>
      <c r="T1401" s="345"/>
      <c r="U1401" s="345"/>
      <c r="V1401" s="269"/>
    </row>
    <row r="1402" spans="1:22" ht="12.75" customHeight="1" x14ac:dyDescent="0.2">
      <c r="A1402" s="277" t="str">
        <f>IF(B1402="","",COUNT('Diário 5º PA'!$A$5:$A$2634)+ROW()-4)</f>
        <v/>
      </c>
      <c r="B1402" s="278"/>
      <c r="C1402" s="335"/>
      <c r="D1402" s="255"/>
      <c r="E1402" s="255"/>
      <c r="F1402" s="258"/>
      <c r="G1402" s="255"/>
      <c r="H1402" s="255"/>
      <c r="I1402" s="250"/>
      <c r="J1402" s="255"/>
      <c r="K1402" s="255"/>
      <c r="L1402" s="250"/>
      <c r="M1402" s="411"/>
      <c r="N1402" s="277"/>
      <c r="O1402" s="329"/>
      <c r="P1402" s="402">
        <f t="shared" ref="P1402:Q1402" si="1398">IF(B1402=0,0,IF(YEAR(B1402)=$Q$1,MONTH(B1402)-$P$1+1,(YEAR(B1402)-$Q$1)*12-$P$1+1+MONTH(B1402)))</f>
        <v>0</v>
      </c>
      <c r="Q1402" s="402">
        <f t="shared" si="1398"/>
        <v>0</v>
      </c>
      <c r="R1402" s="356" t="str">
        <f t="shared" si="1"/>
        <v/>
      </c>
      <c r="S1402" s="356" t="str">
        <f>IF(D1402="","",IF(OR(D1402=Plano!$A$1,D1402=Plano!$B$1),"entrada","saída"))</f>
        <v/>
      </c>
      <c r="T1402" s="345"/>
      <c r="U1402" s="345"/>
      <c r="V1402" s="269"/>
    </row>
    <row r="1403" spans="1:22" ht="12.75" customHeight="1" x14ac:dyDescent="0.2">
      <c r="A1403" s="277" t="str">
        <f>IF(B1403="","",COUNT('Diário 5º PA'!$A$5:$A$2634)+ROW()-4)</f>
        <v/>
      </c>
      <c r="B1403" s="278"/>
      <c r="C1403" s="335"/>
      <c r="D1403" s="255"/>
      <c r="E1403" s="255"/>
      <c r="F1403" s="258"/>
      <c r="G1403" s="255"/>
      <c r="H1403" s="255"/>
      <c r="I1403" s="250"/>
      <c r="J1403" s="255"/>
      <c r="K1403" s="255"/>
      <c r="L1403" s="250"/>
      <c r="M1403" s="411"/>
      <c r="N1403" s="277"/>
      <c r="O1403" s="329"/>
      <c r="P1403" s="402">
        <f t="shared" ref="P1403:Q1403" si="1399">IF(B1403=0,0,IF(YEAR(B1403)=$Q$1,MONTH(B1403)-$P$1+1,(YEAR(B1403)-$Q$1)*12-$P$1+1+MONTH(B1403)))</f>
        <v>0</v>
      </c>
      <c r="Q1403" s="402">
        <f t="shared" si="1399"/>
        <v>0</v>
      </c>
      <c r="R1403" s="356" t="str">
        <f t="shared" si="1"/>
        <v/>
      </c>
      <c r="S1403" s="356" t="str">
        <f>IF(D1403="","",IF(OR(D1403=Plano!$A$1,D1403=Plano!$B$1),"entrada","saída"))</f>
        <v/>
      </c>
      <c r="T1403" s="345"/>
      <c r="U1403" s="345"/>
      <c r="V1403" s="269"/>
    </row>
    <row r="1404" spans="1:22" ht="12.75" customHeight="1" x14ac:dyDescent="0.2">
      <c r="A1404" s="277" t="str">
        <f>IF(B1404="","",COUNT('Diário 5º PA'!$A$5:$A$2634)+ROW()-4)</f>
        <v/>
      </c>
      <c r="B1404" s="278"/>
      <c r="C1404" s="335"/>
      <c r="D1404" s="255"/>
      <c r="E1404" s="255"/>
      <c r="F1404" s="258"/>
      <c r="G1404" s="255"/>
      <c r="H1404" s="255"/>
      <c r="I1404" s="250"/>
      <c r="J1404" s="255"/>
      <c r="K1404" s="255"/>
      <c r="L1404" s="250"/>
      <c r="M1404" s="411"/>
      <c r="N1404" s="277"/>
      <c r="O1404" s="329"/>
      <c r="P1404" s="402">
        <f t="shared" ref="P1404:Q1404" si="1400">IF(B1404=0,0,IF(YEAR(B1404)=$Q$1,MONTH(B1404)-$P$1+1,(YEAR(B1404)-$Q$1)*12-$P$1+1+MONTH(B1404)))</f>
        <v>0</v>
      </c>
      <c r="Q1404" s="402">
        <f t="shared" si="1400"/>
        <v>0</v>
      </c>
      <c r="R1404" s="356" t="str">
        <f t="shared" si="1"/>
        <v/>
      </c>
      <c r="S1404" s="356" t="str">
        <f>IF(D1404="","",IF(OR(D1404=Plano!$A$1,D1404=Plano!$B$1),"entrada","saída"))</f>
        <v/>
      </c>
      <c r="T1404" s="345"/>
      <c r="U1404" s="345"/>
      <c r="V1404" s="269"/>
    </row>
    <row r="1405" spans="1:22" ht="12.75" customHeight="1" x14ac:dyDescent="0.2">
      <c r="A1405" s="277" t="str">
        <f>IF(B1405="","",COUNT('Diário 5º PA'!$A$5:$A$2634)+ROW()-4)</f>
        <v/>
      </c>
      <c r="B1405" s="278"/>
      <c r="C1405" s="335"/>
      <c r="D1405" s="255"/>
      <c r="E1405" s="255"/>
      <c r="F1405" s="258"/>
      <c r="G1405" s="255"/>
      <c r="H1405" s="255"/>
      <c r="I1405" s="250"/>
      <c r="J1405" s="255"/>
      <c r="K1405" s="255"/>
      <c r="L1405" s="250"/>
      <c r="M1405" s="411"/>
      <c r="N1405" s="277"/>
      <c r="O1405" s="329"/>
      <c r="P1405" s="402">
        <f t="shared" ref="P1405:Q1405" si="1401">IF(B1405=0,0,IF(YEAR(B1405)=$Q$1,MONTH(B1405)-$P$1+1,(YEAR(B1405)-$Q$1)*12-$P$1+1+MONTH(B1405)))</f>
        <v>0</v>
      </c>
      <c r="Q1405" s="402">
        <f t="shared" si="1401"/>
        <v>0</v>
      </c>
      <c r="R1405" s="356" t="str">
        <f t="shared" si="1"/>
        <v/>
      </c>
      <c r="S1405" s="356" t="str">
        <f>IF(D1405="","",IF(OR(D1405=Plano!$A$1,D1405=Plano!$B$1),"entrada","saída"))</f>
        <v/>
      </c>
      <c r="T1405" s="345"/>
      <c r="U1405" s="345"/>
      <c r="V1405" s="269"/>
    </row>
    <row r="1406" spans="1:22" ht="12.75" customHeight="1" x14ac:dyDescent="0.2">
      <c r="A1406" s="277" t="str">
        <f>IF(B1406="","",COUNT('Diário 5º PA'!$A$5:$A$2634)+ROW()-4)</f>
        <v/>
      </c>
      <c r="B1406" s="278"/>
      <c r="C1406" s="335"/>
      <c r="D1406" s="255"/>
      <c r="E1406" s="255"/>
      <c r="F1406" s="258"/>
      <c r="G1406" s="255"/>
      <c r="H1406" s="255"/>
      <c r="I1406" s="250"/>
      <c r="J1406" s="255"/>
      <c r="K1406" s="255"/>
      <c r="L1406" s="250"/>
      <c r="M1406" s="411"/>
      <c r="N1406" s="277"/>
      <c r="O1406" s="329"/>
      <c r="P1406" s="402">
        <f t="shared" ref="P1406:Q1406" si="1402">IF(B1406=0,0,IF(YEAR(B1406)=$Q$1,MONTH(B1406)-$P$1+1,(YEAR(B1406)-$Q$1)*12-$P$1+1+MONTH(B1406)))</f>
        <v>0</v>
      </c>
      <c r="Q1406" s="402">
        <f t="shared" si="1402"/>
        <v>0</v>
      </c>
      <c r="R1406" s="356" t="str">
        <f t="shared" si="1"/>
        <v/>
      </c>
      <c r="S1406" s="356" t="str">
        <f>IF(D1406="","",IF(OR(D1406=Plano!$A$1,D1406=Plano!$B$1),"entrada","saída"))</f>
        <v/>
      </c>
      <c r="T1406" s="345"/>
      <c r="U1406" s="345"/>
      <c r="V1406" s="269"/>
    </row>
    <row r="1407" spans="1:22" ht="12.75" customHeight="1" x14ac:dyDescent="0.2">
      <c r="A1407" s="277" t="str">
        <f>IF(B1407="","",COUNT('Diário 5º PA'!$A$5:$A$2634)+ROW()-4)</f>
        <v/>
      </c>
      <c r="B1407" s="278"/>
      <c r="C1407" s="335"/>
      <c r="D1407" s="255"/>
      <c r="E1407" s="255"/>
      <c r="F1407" s="258"/>
      <c r="G1407" s="255"/>
      <c r="H1407" s="255"/>
      <c r="I1407" s="250"/>
      <c r="J1407" s="255"/>
      <c r="K1407" s="255"/>
      <c r="L1407" s="250"/>
      <c r="M1407" s="411"/>
      <c r="N1407" s="277"/>
      <c r="O1407" s="329"/>
      <c r="P1407" s="402">
        <f t="shared" ref="P1407:Q1407" si="1403">IF(B1407=0,0,IF(YEAR(B1407)=$Q$1,MONTH(B1407)-$P$1+1,(YEAR(B1407)-$Q$1)*12-$P$1+1+MONTH(B1407)))</f>
        <v>0</v>
      </c>
      <c r="Q1407" s="402">
        <f t="shared" si="1403"/>
        <v>0</v>
      </c>
      <c r="R1407" s="356" t="str">
        <f t="shared" si="1"/>
        <v/>
      </c>
      <c r="S1407" s="356" t="str">
        <f>IF(D1407="","",IF(OR(D1407=Plano!$A$1,D1407=Plano!$B$1),"entrada","saída"))</f>
        <v/>
      </c>
      <c r="T1407" s="345"/>
      <c r="U1407" s="345"/>
      <c r="V1407" s="269"/>
    </row>
    <row r="1408" spans="1:22" ht="12.75" customHeight="1" x14ac:dyDescent="0.2">
      <c r="A1408" s="277" t="str">
        <f>IF(B1408="","",COUNT('Diário 5º PA'!$A$5:$A$2634)+ROW()-4)</f>
        <v/>
      </c>
      <c r="B1408" s="278"/>
      <c r="C1408" s="335"/>
      <c r="D1408" s="255"/>
      <c r="E1408" s="255"/>
      <c r="F1408" s="258"/>
      <c r="G1408" s="255"/>
      <c r="H1408" s="255"/>
      <c r="I1408" s="250"/>
      <c r="J1408" s="255"/>
      <c r="K1408" s="255"/>
      <c r="L1408" s="250"/>
      <c r="M1408" s="411"/>
      <c r="N1408" s="277"/>
      <c r="O1408" s="329"/>
      <c r="P1408" s="402">
        <f t="shared" ref="P1408:Q1408" si="1404">IF(B1408=0,0,IF(YEAR(B1408)=$Q$1,MONTH(B1408)-$P$1+1,(YEAR(B1408)-$Q$1)*12-$P$1+1+MONTH(B1408)))</f>
        <v>0</v>
      </c>
      <c r="Q1408" s="402">
        <f t="shared" si="1404"/>
        <v>0</v>
      </c>
      <c r="R1408" s="356" t="str">
        <f t="shared" si="1"/>
        <v/>
      </c>
      <c r="S1408" s="356" t="str">
        <f>IF(D1408="","",IF(OR(D1408=Plano!$A$1,D1408=Plano!$B$1),"entrada","saída"))</f>
        <v/>
      </c>
      <c r="T1408" s="345"/>
      <c r="U1408" s="345"/>
      <c r="V1408" s="269"/>
    </row>
    <row r="1409" spans="1:22" ht="12.75" customHeight="1" x14ac:dyDescent="0.2">
      <c r="A1409" s="277" t="str">
        <f>IF(B1409="","",COUNT('Diário 5º PA'!$A$5:$A$2634)+ROW()-4)</f>
        <v/>
      </c>
      <c r="B1409" s="278"/>
      <c r="C1409" s="335"/>
      <c r="D1409" s="255"/>
      <c r="E1409" s="255"/>
      <c r="F1409" s="258"/>
      <c r="G1409" s="255"/>
      <c r="H1409" s="255"/>
      <c r="I1409" s="250"/>
      <c r="J1409" s="255"/>
      <c r="K1409" s="255"/>
      <c r="L1409" s="250"/>
      <c r="M1409" s="411"/>
      <c r="N1409" s="277"/>
      <c r="O1409" s="329"/>
      <c r="P1409" s="402">
        <f t="shared" ref="P1409:Q1409" si="1405">IF(B1409=0,0,IF(YEAR(B1409)=$Q$1,MONTH(B1409)-$P$1+1,(YEAR(B1409)-$Q$1)*12-$P$1+1+MONTH(B1409)))</f>
        <v>0</v>
      </c>
      <c r="Q1409" s="402">
        <f t="shared" si="1405"/>
        <v>0</v>
      </c>
      <c r="R1409" s="356" t="str">
        <f t="shared" si="1"/>
        <v/>
      </c>
      <c r="S1409" s="356" t="str">
        <f>IF(D1409="","",IF(OR(D1409=Plano!$A$1,D1409=Plano!$B$1),"entrada","saída"))</f>
        <v/>
      </c>
      <c r="T1409" s="345"/>
      <c r="U1409" s="345"/>
      <c r="V1409" s="269"/>
    </row>
    <row r="1410" spans="1:22" ht="12.75" customHeight="1" x14ac:dyDescent="0.2">
      <c r="A1410" s="277" t="str">
        <f>IF(B1410="","",COUNT('Diário 5º PA'!$A$5:$A$2634)+ROW()-4)</f>
        <v/>
      </c>
      <c r="B1410" s="278"/>
      <c r="C1410" s="335"/>
      <c r="D1410" s="255"/>
      <c r="E1410" s="255"/>
      <c r="F1410" s="258"/>
      <c r="G1410" s="255"/>
      <c r="H1410" s="255"/>
      <c r="I1410" s="250"/>
      <c r="J1410" s="255"/>
      <c r="K1410" s="255"/>
      <c r="L1410" s="250"/>
      <c r="M1410" s="411"/>
      <c r="N1410" s="277"/>
      <c r="O1410" s="329"/>
      <c r="P1410" s="402">
        <f t="shared" ref="P1410:Q1410" si="1406">IF(B1410=0,0,IF(YEAR(B1410)=$Q$1,MONTH(B1410)-$P$1+1,(YEAR(B1410)-$Q$1)*12-$P$1+1+MONTH(B1410)))</f>
        <v>0</v>
      </c>
      <c r="Q1410" s="402">
        <f t="shared" si="1406"/>
        <v>0</v>
      </c>
      <c r="R1410" s="356" t="str">
        <f t="shared" si="1"/>
        <v/>
      </c>
      <c r="S1410" s="356" t="str">
        <f>IF(D1410="","",IF(OR(D1410=Plano!$A$1,D1410=Plano!$B$1),"entrada","saída"))</f>
        <v/>
      </c>
      <c r="T1410" s="345"/>
      <c r="U1410" s="345"/>
      <c r="V1410" s="269"/>
    </row>
    <row r="1411" spans="1:22" ht="12.75" customHeight="1" x14ac:dyDescent="0.2">
      <c r="A1411" s="277" t="str">
        <f>IF(B1411="","",COUNT('Diário 5º PA'!$A$5:$A$2634)+ROW()-4)</f>
        <v/>
      </c>
      <c r="B1411" s="278"/>
      <c r="C1411" s="335"/>
      <c r="D1411" s="255"/>
      <c r="E1411" s="255"/>
      <c r="F1411" s="258"/>
      <c r="G1411" s="255"/>
      <c r="H1411" s="255"/>
      <c r="I1411" s="250"/>
      <c r="J1411" s="255"/>
      <c r="K1411" s="255"/>
      <c r="L1411" s="250"/>
      <c r="M1411" s="411"/>
      <c r="N1411" s="277"/>
      <c r="O1411" s="329"/>
      <c r="P1411" s="402">
        <f t="shared" ref="P1411:Q1411" si="1407">IF(B1411=0,0,IF(YEAR(B1411)=$Q$1,MONTH(B1411)-$P$1+1,(YEAR(B1411)-$Q$1)*12-$P$1+1+MONTH(B1411)))</f>
        <v>0</v>
      </c>
      <c r="Q1411" s="402">
        <f t="shared" si="1407"/>
        <v>0</v>
      </c>
      <c r="R1411" s="356" t="str">
        <f t="shared" si="1"/>
        <v/>
      </c>
      <c r="S1411" s="356" t="str">
        <f>IF(D1411="","",IF(OR(D1411=Plano!$A$1,D1411=Plano!$B$1),"entrada","saída"))</f>
        <v/>
      </c>
      <c r="T1411" s="345"/>
      <c r="U1411" s="345"/>
      <c r="V1411" s="269"/>
    </row>
    <row r="1412" spans="1:22" ht="12.75" customHeight="1" x14ac:dyDescent="0.2">
      <c r="A1412" s="277" t="str">
        <f>IF(B1412="","",COUNT('Diário 5º PA'!$A$5:$A$2634)+ROW()-4)</f>
        <v/>
      </c>
      <c r="B1412" s="278"/>
      <c r="C1412" s="335"/>
      <c r="D1412" s="255"/>
      <c r="E1412" s="255"/>
      <c r="F1412" s="258"/>
      <c r="G1412" s="255"/>
      <c r="H1412" s="255"/>
      <c r="I1412" s="250"/>
      <c r="J1412" s="255"/>
      <c r="K1412" s="255"/>
      <c r="L1412" s="250"/>
      <c r="M1412" s="411"/>
      <c r="N1412" s="277"/>
      <c r="O1412" s="329"/>
      <c r="P1412" s="402">
        <f t="shared" ref="P1412:Q1412" si="1408">IF(B1412=0,0,IF(YEAR(B1412)=$Q$1,MONTH(B1412)-$P$1+1,(YEAR(B1412)-$Q$1)*12-$P$1+1+MONTH(B1412)))</f>
        <v>0</v>
      </c>
      <c r="Q1412" s="402">
        <f t="shared" si="1408"/>
        <v>0</v>
      </c>
      <c r="R1412" s="356" t="str">
        <f t="shared" si="1"/>
        <v/>
      </c>
      <c r="S1412" s="356" t="str">
        <f>IF(D1412="","",IF(OR(D1412=Plano!$A$1,D1412=Plano!$B$1),"entrada","saída"))</f>
        <v/>
      </c>
      <c r="T1412" s="345"/>
      <c r="U1412" s="345"/>
      <c r="V1412" s="269"/>
    </row>
    <row r="1413" spans="1:22" ht="12.75" customHeight="1" x14ac:dyDescent="0.2">
      <c r="A1413" s="277" t="str">
        <f>IF(B1413="","",COUNT('Diário 5º PA'!$A$5:$A$2634)+ROW()-4)</f>
        <v/>
      </c>
      <c r="B1413" s="278"/>
      <c r="C1413" s="335"/>
      <c r="D1413" s="255"/>
      <c r="E1413" s="255"/>
      <c r="F1413" s="258"/>
      <c r="G1413" s="255"/>
      <c r="H1413" s="255"/>
      <c r="I1413" s="250"/>
      <c r="J1413" s="255"/>
      <c r="K1413" s="255"/>
      <c r="L1413" s="250"/>
      <c r="M1413" s="411"/>
      <c r="N1413" s="277"/>
      <c r="O1413" s="329"/>
      <c r="P1413" s="402">
        <f t="shared" ref="P1413:Q1413" si="1409">IF(B1413=0,0,IF(YEAR(B1413)=$Q$1,MONTH(B1413)-$P$1+1,(YEAR(B1413)-$Q$1)*12-$P$1+1+MONTH(B1413)))</f>
        <v>0</v>
      </c>
      <c r="Q1413" s="402">
        <f t="shared" si="1409"/>
        <v>0</v>
      </c>
      <c r="R1413" s="356" t="str">
        <f t="shared" si="1"/>
        <v/>
      </c>
      <c r="S1413" s="356" t="str">
        <f>IF(D1413="","",IF(OR(D1413=Plano!$A$1,D1413=Plano!$B$1),"entrada","saída"))</f>
        <v/>
      </c>
      <c r="T1413" s="345"/>
      <c r="U1413" s="345"/>
      <c r="V1413" s="269"/>
    </row>
    <row r="1414" spans="1:22" ht="12.75" customHeight="1" x14ac:dyDescent="0.2">
      <c r="A1414" s="277" t="str">
        <f>IF(B1414="","",COUNT('Diário 5º PA'!$A$5:$A$2634)+ROW()-4)</f>
        <v/>
      </c>
      <c r="B1414" s="278"/>
      <c r="C1414" s="335"/>
      <c r="D1414" s="255"/>
      <c r="E1414" s="255"/>
      <c r="F1414" s="258"/>
      <c r="G1414" s="255"/>
      <c r="H1414" s="255"/>
      <c r="I1414" s="250"/>
      <c r="J1414" s="255"/>
      <c r="K1414" s="255"/>
      <c r="L1414" s="250"/>
      <c r="M1414" s="411"/>
      <c r="N1414" s="277"/>
      <c r="O1414" s="329"/>
      <c r="P1414" s="402">
        <f t="shared" ref="P1414:Q1414" si="1410">IF(B1414=0,0,IF(YEAR(B1414)=$Q$1,MONTH(B1414)-$P$1+1,(YEAR(B1414)-$Q$1)*12-$P$1+1+MONTH(B1414)))</f>
        <v>0</v>
      </c>
      <c r="Q1414" s="402">
        <f t="shared" si="1410"/>
        <v>0</v>
      </c>
      <c r="R1414" s="356" t="str">
        <f t="shared" si="1"/>
        <v/>
      </c>
      <c r="S1414" s="356" t="str">
        <f>IF(D1414="","",IF(OR(D1414=Plano!$A$1,D1414=Plano!$B$1),"entrada","saída"))</f>
        <v/>
      </c>
      <c r="T1414" s="345"/>
      <c r="U1414" s="345"/>
      <c r="V1414" s="269"/>
    </row>
    <row r="1415" spans="1:22" ht="12.75" customHeight="1" x14ac:dyDescent="0.2">
      <c r="A1415" s="277" t="str">
        <f>IF(B1415="","",COUNT('Diário 5º PA'!$A$5:$A$2634)+ROW()-4)</f>
        <v/>
      </c>
      <c r="B1415" s="278"/>
      <c r="C1415" s="335"/>
      <c r="D1415" s="255"/>
      <c r="E1415" s="255"/>
      <c r="F1415" s="258"/>
      <c r="G1415" s="255"/>
      <c r="H1415" s="255"/>
      <c r="I1415" s="250"/>
      <c r="J1415" s="255"/>
      <c r="K1415" s="255"/>
      <c r="L1415" s="250"/>
      <c r="M1415" s="411"/>
      <c r="N1415" s="277"/>
      <c r="O1415" s="329"/>
      <c r="P1415" s="402">
        <f t="shared" ref="P1415:Q1415" si="1411">IF(B1415=0,0,IF(YEAR(B1415)=$Q$1,MONTH(B1415)-$P$1+1,(YEAR(B1415)-$Q$1)*12-$P$1+1+MONTH(B1415)))</f>
        <v>0</v>
      </c>
      <c r="Q1415" s="402">
        <f t="shared" si="1411"/>
        <v>0</v>
      </c>
      <c r="R1415" s="356" t="str">
        <f t="shared" si="1"/>
        <v/>
      </c>
      <c r="S1415" s="356" t="str">
        <f>IF(D1415="","",IF(OR(D1415=Plano!$A$1,D1415=Plano!$B$1),"entrada","saída"))</f>
        <v/>
      </c>
      <c r="T1415" s="345"/>
      <c r="U1415" s="345"/>
      <c r="V1415" s="269"/>
    </row>
    <row r="1416" spans="1:22" ht="12.75" customHeight="1" x14ac:dyDescent="0.2">
      <c r="A1416" s="277" t="str">
        <f>IF(B1416="","",COUNT('Diário 5º PA'!$A$5:$A$2634)+ROW()-4)</f>
        <v/>
      </c>
      <c r="B1416" s="278"/>
      <c r="C1416" s="335"/>
      <c r="D1416" s="255"/>
      <c r="E1416" s="255"/>
      <c r="F1416" s="258"/>
      <c r="G1416" s="255"/>
      <c r="H1416" s="255"/>
      <c r="I1416" s="250"/>
      <c r="J1416" s="255"/>
      <c r="K1416" s="255"/>
      <c r="L1416" s="250"/>
      <c r="M1416" s="411"/>
      <c r="N1416" s="277"/>
      <c r="O1416" s="329"/>
      <c r="P1416" s="402">
        <f t="shared" ref="P1416:Q1416" si="1412">IF(B1416=0,0,IF(YEAR(B1416)=$Q$1,MONTH(B1416)-$P$1+1,(YEAR(B1416)-$Q$1)*12-$P$1+1+MONTH(B1416)))</f>
        <v>0</v>
      </c>
      <c r="Q1416" s="402">
        <f t="shared" si="1412"/>
        <v>0</v>
      </c>
      <c r="R1416" s="356" t="str">
        <f t="shared" si="1"/>
        <v/>
      </c>
      <c r="S1416" s="356" t="str">
        <f>IF(D1416="","",IF(OR(D1416=Plano!$A$1,D1416=Plano!$B$1),"entrada","saída"))</f>
        <v/>
      </c>
      <c r="T1416" s="345"/>
      <c r="U1416" s="345"/>
      <c r="V1416" s="269"/>
    </row>
    <row r="1417" spans="1:22" ht="12.75" customHeight="1" x14ac:dyDescent="0.2">
      <c r="A1417" s="277" t="str">
        <f>IF(B1417="","",COUNT('Diário 5º PA'!$A$5:$A$2634)+ROW()-4)</f>
        <v/>
      </c>
      <c r="B1417" s="278"/>
      <c r="C1417" s="335"/>
      <c r="D1417" s="255"/>
      <c r="E1417" s="255"/>
      <c r="F1417" s="258"/>
      <c r="G1417" s="255"/>
      <c r="H1417" s="255"/>
      <c r="I1417" s="250"/>
      <c r="J1417" s="255"/>
      <c r="K1417" s="255"/>
      <c r="L1417" s="250"/>
      <c r="M1417" s="411"/>
      <c r="N1417" s="277"/>
      <c r="O1417" s="329"/>
      <c r="P1417" s="402">
        <f t="shared" ref="P1417:Q1417" si="1413">IF(B1417=0,0,IF(YEAR(B1417)=$Q$1,MONTH(B1417)-$P$1+1,(YEAR(B1417)-$Q$1)*12-$P$1+1+MONTH(B1417)))</f>
        <v>0</v>
      </c>
      <c r="Q1417" s="402">
        <f t="shared" si="1413"/>
        <v>0</v>
      </c>
      <c r="R1417" s="356" t="str">
        <f t="shared" si="1"/>
        <v/>
      </c>
      <c r="S1417" s="356" t="str">
        <f>IF(D1417="","",IF(OR(D1417=Plano!$A$1,D1417=Plano!$B$1),"entrada","saída"))</f>
        <v/>
      </c>
      <c r="T1417" s="345"/>
      <c r="U1417" s="345"/>
      <c r="V1417" s="269"/>
    </row>
    <row r="1418" spans="1:22" ht="12.75" customHeight="1" x14ac:dyDescent="0.2">
      <c r="A1418" s="277" t="str">
        <f>IF(B1418="","",COUNT('Diário 5º PA'!$A$5:$A$2634)+ROW()-4)</f>
        <v/>
      </c>
      <c r="B1418" s="278"/>
      <c r="C1418" s="335"/>
      <c r="D1418" s="255"/>
      <c r="E1418" s="255"/>
      <c r="F1418" s="258"/>
      <c r="G1418" s="255"/>
      <c r="H1418" s="255"/>
      <c r="I1418" s="250"/>
      <c r="J1418" s="255"/>
      <c r="K1418" s="255"/>
      <c r="L1418" s="250"/>
      <c r="M1418" s="411"/>
      <c r="N1418" s="277"/>
      <c r="O1418" s="329"/>
      <c r="P1418" s="402">
        <f t="shared" ref="P1418:Q1418" si="1414">IF(B1418=0,0,IF(YEAR(B1418)=$Q$1,MONTH(B1418)-$P$1+1,(YEAR(B1418)-$Q$1)*12-$P$1+1+MONTH(B1418)))</f>
        <v>0</v>
      </c>
      <c r="Q1418" s="402">
        <f t="shared" si="1414"/>
        <v>0</v>
      </c>
      <c r="R1418" s="356" t="str">
        <f t="shared" si="1"/>
        <v/>
      </c>
      <c r="S1418" s="356" t="str">
        <f>IF(D1418="","",IF(OR(D1418=Plano!$A$1,D1418=Plano!$B$1),"entrada","saída"))</f>
        <v/>
      </c>
      <c r="T1418" s="345"/>
      <c r="U1418" s="345"/>
      <c r="V1418" s="269"/>
    </row>
    <row r="1419" spans="1:22" ht="12.75" customHeight="1" x14ac:dyDescent="0.2">
      <c r="A1419" s="277" t="str">
        <f>IF(B1419="","",COUNT('Diário 5º PA'!$A$5:$A$2634)+ROW()-4)</f>
        <v/>
      </c>
      <c r="B1419" s="278"/>
      <c r="C1419" s="335"/>
      <c r="D1419" s="255"/>
      <c r="E1419" s="255"/>
      <c r="F1419" s="258"/>
      <c r="G1419" s="255"/>
      <c r="H1419" s="255"/>
      <c r="I1419" s="250"/>
      <c r="J1419" s="255"/>
      <c r="K1419" s="255"/>
      <c r="L1419" s="250"/>
      <c r="M1419" s="411"/>
      <c r="N1419" s="277"/>
      <c r="O1419" s="329"/>
      <c r="P1419" s="402">
        <f t="shared" ref="P1419:Q1419" si="1415">IF(B1419=0,0,IF(YEAR(B1419)=$Q$1,MONTH(B1419)-$P$1+1,(YEAR(B1419)-$Q$1)*12-$P$1+1+MONTH(B1419)))</f>
        <v>0</v>
      </c>
      <c r="Q1419" s="402">
        <f t="shared" si="1415"/>
        <v>0</v>
      </c>
      <c r="R1419" s="356" t="str">
        <f t="shared" si="1"/>
        <v/>
      </c>
      <c r="S1419" s="356" t="str">
        <f>IF(D1419="","",IF(OR(D1419=Plano!$A$1,D1419=Plano!$B$1),"entrada","saída"))</f>
        <v/>
      </c>
      <c r="T1419" s="345"/>
      <c r="U1419" s="345"/>
      <c r="V1419" s="269"/>
    </row>
    <row r="1420" spans="1:22" ht="12.75" customHeight="1" x14ac:dyDescent="0.2">
      <c r="A1420" s="277" t="str">
        <f>IF(B1420="","",COUNT('Diário 5º PA'!$A$5:$A$2634)+ROW()-4)</f>
        <v/>
      </c>
      <c r="B1420" s="278"/>
      <c r="C1420" s="335"/>
      <c r="D1420" s="255"/>
      <c r="E1420" s="255"/>
      <c r="F1420" s="258"/>
      <c r="G1420" s="255"/>
      <c r="H1420" s="255"/>
      <c r="I1420" s="250"/>
      <c r="J1420" s="255"/>
      <c r="K1420" s="255"/>
      <c r="L1420" s="250"/>
      <c r="M1420" s="411"/>
      <c r="N1420" s="277"/>
      <c r="O1420" s="329"/>
      <c r="P1420" s="402">
        <f t="shared" ref="P1420:Q1420" si="1416">IF(B1420=0,0,IF(YEAR(B1420)=$Q$1,MONTH(B1420)-$P$1+1,(YEAR(B1420)-$Q$1)*12-$P$1+1+MONTH(B1420)))</f>
        <v>0</v>
      </c>
      <c r="Q1420" s="402">
        <f t="shared" si="1416"/>
        <v>0</v>
      </c>
      <c r="R1420" s="356" t="str">
        <f t="shared" si="1"/>
        <v/>
      </c>
      <c r="S1420" s="356" t="str">
        <f>IF(D1420="","",IF(OR(D1420=Plano!$A$1,D1420=Plano!$B$1),"entrada","saída"))</f>
        <v/>
      </c>
      <c r="T1420" s="345"/>
      <c r="U1420" s="345"/>
      <c r="V1420" s="269"/>
    </row>
    <row r="1421" spans="1:22" ht="12.75" customHeight="1" x14ac:dyDescent="0.2">
      <c r="A1421" s="277" t="str">
        <f>IF(B1421="","",COUNT('Diário 5º PA'!$A$5:$A$2634)+ROW()-4)</f>
        <v/>
      </c>
      <c r="B1421" s="278"/>
      <c r="C1421" s="335"/>
      <c r="D1421" s="255"/>
      <c r="E1421" s="255"/>
      <c r="F1421" s="258"/>
      <c r="G1421" s="255"/>
      <c r="H1421" s="255"/>
      <c r="I1421" s="250"/>
      <c r="J1421" s="255"/>
      <c r="K1421" s="255"/>
      <c r="L1421" s="250"/>
      <c r="M1421" s="411"/>
      <c r="N1421" s="277"/>
      <c r="O1421" s="329"/>
      <c r="P1421" s="402">
        <f t="shared" ref="P1421:Q1421" si="1417">IF(B1421=0,0,IF(YEAR(B1421)=$Q$1,MONTH(B1421)-$P$1+1,(YEAR(B1421)-$Q$1)*12-$P$1+1+MONTH(B1421)))</f>
        <v>0</v>
      </c>
      <c r="Q1421" s="402">
        <f t="shared" si="1417"/>
        <v>0</v>
      </c>
      <c r="R1421" s="356" t="str">
        <f t="shared" si="1"/>
        <v/>
      </c>
      <c r="S1421" s="356" t="str">
        <f>IF(D1421="","",IF(OR(D1421=Plano!$A$1,D1421=Plano!$B$1),"entrada","saída"))</f>
        <v/>
      </c>
      <c r="T1421" s="345"/>
      <c r="U1421" s="345"/>
      <c r="V1421" s="269"/>
    </row>
    <row r="1422" spans="1:22" ht="12.75" customHeight="1" x14ac:dyDescent="0.2">
      <c r="A1422" s="277" t="str">
        <f>IF(B1422="","",COUNT('Diário 5º PA'!$A$5:$A$2634)+ROW()-4)</f>
        <v/>
      </c>
      <c r="B1422" s="278"/>
      <c r="C1422" s="335"/>
      <c r="D1422" s="255"/>
      <c r="E1422" s="255"/>
      <c r="F1422" s="258"/>
      <c r="G1422" s="255"/>
      <c r="H1422" s="255"/>
      <c r="I1422" s="250"/>
      <c r="J1422" s="255"/>
      <c r="K1422" s="255"/>
      <c r="L1422" s="250"/>
      <c r="M1422" s="411"/>
      <c r="N1422" s="277"/>
      <c r="O1422" s="329"/>
      <c r="P1422" s="402">
        <f t="shared" ref="P1422:Q1422" si="1418">IF(B1422=0,0,IF(YEAR(B1422)=$Q$1,MONTH(B1422)-$P$1+1,(YEAR(B1422)-$Q$1)*12-$P$1+1+MONTH(B1422)))</f>
        <v>0</v>
      </c>
      <c r="Q1422" s="402">
        <f t="shared" si="1418"/>
        <v>0</v>
      </c>
      <c r="R1422" s="356" t="str">
        <f t="shared" si="1"/>
        <v/>
      </c>
      <c r="S1422" s="356" t="str">
        <f>IF(D1422="","",IF(OR(D1422=Plano!$A$1,D1422=Plano!$B$1),"entrada","saída"))</f>
        <v/>
      </c>
      <c r="T1422" s="345"/>
      <c r="U1422" s="345"/>
      <c r="V1422" s="269"/>
    </row>
    <row r="1423" spans="1:22" ht="12.75" customHeight="1" x14ac:dyDescent="0.2">
      <c r="A1423" s="277" t="str">
        <f>IF(B1423="","",COUNT('Diário 5º PA'!$A$5:$A$2634)+ROW()-4)</f>
        <v/>
      </c>
      <c r="B1423" s="278"/>
      <c r="C1423" s="335"/>
      <c r="D1423" s="255"/>
      <c r="E1423" s="255"/>
      <c r="F1423" s="258"/>
      <c r="G1423" s="255"/>
      <c r="H1423" s="255"/>
      <c r="I1423" s="250"/>
      <c r="J1423" s="255"/>
      <c r="K1423" s="255"/>
      <c r="L1423" s="250"/>
      <c r="M1423" s="411"/>
      <c r="N1423" s="277"/>
      <c r="O1423" s="329"/>
      <c r="P1423" s="402">
        <f t="shared" ref="P1423:Q1423" si="1419">IF(B1423=0,0,IF(YEAR(B1423)=$Q$1,MONTH(B1423)-$P$1+1,(YEAR(B1423)-$Q$1)*12-$P$1+1+MONTH(B1423)))</f>
        <v>0</v>
      </c>
      <c r="Q1423" s="402">
        <f t="shared" si="1419"/>
        <v>0</v>
      </c>
      <c r="R1423" s="356" t="str">
        <f t="shared" si="1"/>
        <v/>
      </c>
      <c r="S1423" s="356" t="str">
        <f>IF(D1423="","",IF(OR(D1423=Plano!$A$1,D1423=Plano!$B$1),"entrada","saída"))</f>
        <v/>
      </c>
      <c r="T1423" s="345"/>
      <c r="U1423" s="345"/>
      <c r="V1423" s="269"/>
    </row>
    <row r="1424" spans="1:22" ht="12.75" customHeight="1" x14ac:dyDescent="0.2">
      <c r="A1424" s="277" t="str">
        <f>IF(B1424="","",COUNT('Diário 5º PA'!$A$5:$A$2634)+ROW()-4)</f>
        <v/>
      </c>
      <c r="B1424" s="278"/>
      <c r="C1424" s="335"/>
      <c r="D1424" s="255"/>
      <c r="E1424" s="255"/>
      <c r="F1424" s="258"/>
      <c r="G1424" s="255"/>
      <c r="H1424" s="255"/>
      <c r="I1424" s="250"/>
      <c r="J1424" s="255"/>
      <c r="K1424" s="255"/>
      <c r="L1424" s="250"/>
      <c r="M1424" s="411"/>
      <c r="N1424" s="277"/>
      <c r="O1424" s="329"/>
      <c r="P1424" s="402">
        <f t="shared" ref="P1424:Q1424" si="1420">IF(B1424=0,0,IF(YEAR(B1424)=$Q$1,MONTH(B1424)-$P$1+1,(YEAR(B1424)-$Q$1)*12-$P$1+1+MONTH(B1424)))</f>
        <v>0</v>
      </c>
      <c r="Q1424" s="402">
        <f t="shared" si="1420"/>
        <v>0</v>
      </c>
      <c r="R1424" s="356" t="str">
        <f t="shared" si="1"/>
        <v/>
      </c>
      <c r="S1424" s="356" t="str">
        <f>IF(D1424="","",IF(OR(D1424=Plano!$A$1,D1424=Plano!$B$1),"entrada","saída"))</f>
        <v/>
      </c>
      <c r="T1424" s="345"/>
      <c r="U1424" s="345"/>
      <c r="V1424" s="269"/>
    </row>
    <row r="1425" spans="1:22" ht="12.75" customHeight="1" x14ac:dyDescent="0.2">
      <c r="A1425" s="277" t="str">
        <f>IF(B1425="","",COUNT('Diário 5º PA'!$A$5:$A$2634)+ROW()-4)</f>
        <v/>
      </c>
      <c r="B1425" s="278"/>
      <c r="C1425" s="335"/>
      <c r="D1425" s="255"/>
      <c r="E1425" s="255"/>
      <c r="F1425" s="258"/>
      <c r="G1425" s="255"/>
      <c r="H1425" s="255"/>
      <c r="I1425" s="250"/>
      <c r="J1425" s="255"/>
      <c r="K1425" s="255"/>
      <c r="L1425" s="250"/>
      <c r="M1425" s="411"/>
      <c r="N1425" s="277"/>
      <c r="O1425" s="329"/>
      <c r="P1425" s="402">
        <f t="shared" ref="P1425:Q1425" si="1421">IF(B1425=0,0,IF(YEAR(B1425)=$Q$1,MONTH(B1425)-$P$1+1,(YEAR(B1425)-$Q$1)*12-$P$1+1+MONTH(B1425)))</f>
        <v>0</v>
      </c>
      <c r="Q1425" s="402">
        <f t="shared" si="1421"/>
        <v>0</v>
      </c>
      <c r="R1425" s="356" t="str">
        <f t="shared" si="1"/>
        <v/>
      </c>
      <c r="S1425" s="356" t="str">
        <f>IF(D1425="","",IF(OR(D1425=Plano!$A$1,D1425=Plano!$B$1),"entrada","saída"))</f>
        <v/>
      </c>
      <c r="T1425" s="345"/>
      <c r="U1425" s="345"/>
      <c r="V1425" s="269"/>
    </row>
    <row r="1426" spans="1:22" ht="12.75" customHeight="1" x14ac:dyDescent="0.2">
      <c r="A1426" s="277" t="str">
        <f>IF(B1426="","",COUNT('Diário 5º PA'!$A$5:$A$2634)+ROW()-4)</f>
        <v/>
      </c>
      <c r="B1426" s="278"/>
      <c r="C1426" s="335"/>
      <c r="D1426" s="255"/>
      <c r="E1426" s="255"/>
      <c r="F1426" s="258"/>
      <c r="G1426" s="255"/>
      <c r="H1426" s="255"/>
      <c r="I1426" s="250"/>
      <c r="J1426" s="255"/>
      <c r="K1426" s="255"/>
      <c r="L1426" s="250"/>
      <c r="M1426" s="411"/>
      <c r="N1426" s="277"/>
      <c r="O1426" s="329"/>
      <c r="P1426" s="402">
        <f t="shared" ref="P1426:Q1426" si="1422">IF(B1426=0,0,IF(YEAR(B1426)=$Q$1,MONTH(B1426)-$P$1+1,(YEAR(B1426)-$Q$1)*12-$P$1+1+MONTH(B1426)))</f>
        <v>0</v>
      </c>
      <c r="Q1426" s="402">
        <f t="shared" si="1422"/>
        <v>0</v>
      </c>
      <c r="R1426" s="356" t="str">
        <f t="shared" si="1"/>
        <v/>
      </c>
      <c r="S1426" s="356" t="str">
        <f>IF(D1426="","",IF(OR(D1426=Plano!$A$1,D1426=Plano!$B$1),"entrada","saída"))</f>
        <v/>
      </c>
      <c r="T1426" s="345"/>
      <c r="U1426" s="345"/>
      <c r="V1426" s="269"/>
    </row>
    <row r="1427" spans="1:22" ht="12.75" customHeight="1" x14ac:dyDescent="0.2">
      <c r="A1427" s="277" t="str">
        <f>IF(B1427="","",COUNT('Diário 5º PA'!$A$5:$A$2634)+ROW()-4)</f>
        <v/>
      </c>
      <c r="B1427" s="278"/>
      <c r="C1427" s="335"/>
      <c r="D1427" s="255"/>
      <c r="E1427" s="255"/>
      <c r="F1427" s="258"/>
      <c r="G1427" s="255"/>
      <c r="H1427" s="255"/>
      <c r="I1427" s="250"/>
      <c r="J1427" s="255"/>
      <c r="K1427" s="255"/>
      <c r="L1427" s="250"/>
      <c r="M1427" s="411"/>
      <c r="N1427" s="277"/>
      <c r="O1427" s="329"/>
      <c r="P1427" s="402">
        <f t="shared" ref="P1427:Q1427" si="1423">IF(B1427=0,0,IF(YEAR(B1427)=$Q$1,MONTH(B1427)-$P$1+1,(YEAR(B1427)-$Q$1)*12-$P$1+1+MONTH(B1427)))</f>
        <v>0</v>
      </c>
      <c r="Q1427" s="402">
        <f t="shared" si="1423"/>
        <v>0</v>
      </c>
      <c r="R1427" s="356" t="str">
        <f t="shared" si="1"/>
        <v/>
      </c>
      <c r="S1427" s="356" t="str">
        <f>IF(D1427="","",IF(OR(D1427=Plano!$A$1,D1427=Plano!$B$1),"entrada","saída"))</f>
        <v/>
      </c>
      <c r="T1427" s="345"/>
      <c r="U1427" s="345"/>
      <c r="V1427" s="269"/>
    </row>
    <row r="1428" spans="1:22" ht="12.75" customHeight="1" x14ac:dyDescent="0.2">
      <c r="A1428" s="277" t="str">
        <f>IF(B1428="","",COUNT('Diário 5º PA'!$A$5:$A$2634)+ROW()-4)</f>
        <v/>
      </c>
      <c r="B1428" s="278"/>
      <c r="C1428" s="335"/>
      <c r="D1428" s="255"/>
      <c r="E1428" s="255"/>
      <c r="F1428" s="258"/>
      <c r="G1428" s="255"/>
      <c r="H1428" s="255"/>
      <c r="I1428" s="250"/>
      <c r="J1428" s="255"/>
      <c r="K1428" s="255"/>
      <c r="L1428" s="250"/>
      <c r="M1428" s="411"/>
      <c r="N1428" s="277"/>
      <c r="O1428" s="329"/>
      <c r="P1428" s="402">
        <f t="shared" ref="P1428:Q1428" si="1424">IF(B1428=0,0,IF(YEAR(B1428)=$Q$1,MONTH(B1428)-$P$1+1,(YEAR(B1428)-$Q$1)*12-$P$1+1+MONTH(B1428)))</f>
        <v>0</v>
      </c>
      <c r="Q1428" s="402">
        <f t="shared" si="1424"/>
        <v>0</v>
      </c>
      <c r="R1428" s="356" t="str">
        <f t="shared" si="1"/>
        <v/>
      </c>
      <c r="S1428" s="356" t="str">
        <f>IF(D1428="","",IF(OR(D1428=Plano!$A$1,D1428=Plano!$B$1),"entrada","saída"))</f>
        <v/>
      </c>
      <c r="T1428" s="345"/>
      <c r="U1428" s="345"/>
      <c r="V1428" s="269"/>
    </row>
    <row r="1429" spans="1:22" ht="12.75" customHeight="1" x14ac:dyDescent="0.2">
      <c r="A1429" s="277" t="str">
        <f>IF(B1429="","",COUNT('Diário 5º PA'!$A$5:$A$2634)+ROW()-4)</f>
        <v/>
      </c>
      <c r="B1429" s="278"/>
      <c r="C1429" s="335"/>
      <c r="D1429" s="255"/>
      <c r="E1429" s="255"/>
      <c r="F1429" s="258"/>
      <c r="G1429" s="255"/>
      <c r="H1429" s="255"/>
      <c r="I1429" s="250"/>
      <c r="J1429" s="255"/>
      <c r="K1429" s="255"/>
      <c r="L1429" s="250"/>
      <c r="M1429" s="411"/>
      <c r="N1429" s="277"/>
      <c r="O1429" s="329"/>
      <c r="P1429" s="402">
        <f t="shared" ref="P1429:Q1429" si="1425">IF(B1429=0,0,IF(YEAR(B1429)=$Q$1,MONTH(B1429)-$P$1+1,(YEAR(B1429)-$Q$1)*12-$P$1+1+MONTH(B1429)))</f>
        <v>0</v>
      </c>
      <c r="Q1429" s="402">
        <f t="shared" si="1425"/>
        <v>0</v>
      </c>
      <c r="R1429" s="356" t="str">
        <f t="shared" si="1"/>
        <v/>
      </c>
      <c r="S1429" s="356" t="str">
        <f>IF(D1429="","",IF(OR(D1429=Plano!$A$1,D1429=Plano!$B$1),"entrada","saída"))</f>
        <v/>
      </c>
      <c r="T1429" s="345"/>
      <c r="U1429" s="345"/>
      <c r="V1429" s="269"/>
    </row>
    <row r="1430" spans="1:22" ht="12.75" customHeight="1" x14ac:dyDescent="0.2">
      <c r="A1430" s="277" t="str">
        <f>IF(B1430="","",COUNT('Diário 5º PA'!$A$5:$A$2634)+ROW()-4)</f>
        <v/>
      </c>
      <c r="B1430" s="278"/>
      <c r="C1430" s="335"/>
      <c r="D1430" s="255"/>
      <c r="E1430" s="255"/>
      <c r="F1430" s="258"/>
      <c r="G1430" s="255"/>
      <c r="H1430" s="255"/>
      <c r="I1430" s="250"/>
      <c r="J1430" s="255"/>
      <c r="K1430" s="255"/>
      <c r="L1430" s="250"/>
      <c r="M1430" s="411"/>
      <c r="N1430" s="277"/>
      <c r="O1430" s="329"/>
      <c r="P1430" s="402">
        <f t="shared" ref="P1430:Q1430" si="1426">IF(B1430=0,0,IF(YEAR(B1430)=$Q$1,MONTH(B1430)-$P$1+1,(YEAR(B1430)-$Q$1)*12-$P$1+1+MONTH(B1430)))</f>
        <v>0</v>
      </c>
      <c r="Q1430" s="402">
        <f t="shared" si="1426"/>
        <v>0</v>
      </c>
      <c r="R1430" s="356" t="str">
        <f t="shared" si="1"/>
        <v/>
      </c>
      <c r="S1430" s="356" t="str">
        <f>IF(D1430="","",IF(OR(D1430=Plano!$A$1,D1430=Plano!$B$1),"entrada","saída"))</f>
        <v/>
      </c>
      <c r="T1430" s="345"/>
      <c r="U1430" s="345"/>
      <c r="V1430" s="269"/>
    </row>
    <row r="1431" spans="1:22" ht="12.75" customHeight="1" x14ac:dyDescent="0.2">
      <c r="A1431" s="277" t="str">
        <f>IF(B1431="","",COUNT('Diário 5º PA'!$A$5:$A$2634)+ROW()-4)</f>
        <v/>
      </c>
      <c r="B1431" s="278"/>
      <c r="C1431" s="335"/>
      <c r="D1431" s="255"/>
      <c r="E1431" s="255"/>
      <c r="F1431" s="258"/>
      <c r="G1431" s="255"/>
      <c r="H1431" s="255"/>
      <c r="I1431" s="250"/>
      <c r="J1431" s="255"/>
      <c r="K1431" s="255"/>
      <c r="L1431" s="250"/>
      <c r="M1431" s="411"/>
      <c r="N1431" s="277"/>
      <c r="O1431" s="329"/>
      <c r="P1431" s="402">
        <f t="shared" ref="P1431:Q1431" si="1427">IF(B1431=0,0,IF(YEAR(B1431)=$Q$1,MONTH(B1431)-$P$1+1,(YEAR(B1431)-$Q$1)*12-$P$1+1+MONTH(B1431)))</f>
        <v>0</v>
      </c>
      <c r="Q1431" s="402">
        <f t="shared" si="1427"/>
        <v>0</v>
      </c>
      <c r="R1431" s="356" t="str">
        <f t="shared" si="1"/>
        <v/>
      </c>
      <c r="S1431" s="356" t="str">
        <f>IF(D1431="","",IF(OR(D1431=Plano!$A$1,D1431=Plano!$B$1),"entrada","saída"))</f>
        <v/>
      </c>
      <c r="T1431" s="345"/>
      <c r="U1431" s="345"/>
      <c r="V1431" s="269"/>
    </row>
    <row r="1432" spans="1:22" ht="12.75" customHeight="1" x14ac:dyDescent="0.2">
      <c r="A1432" s="277" t="str">
        <f>IF(B1432="","",COUNT('Diário 5º PA'!$A$5:$A$2634)+ROW()-4)</f>
        <v/>
      </c>
      <c r="B1432" s="278"/>
      <c r="C1432" s="335"/>
      <c r="D1432" s="255"/>
      <c r="E1432" s="255"/>
      <c r="F1432" s="258"/>
      <c r="G1432" s="255"/>
      <c r="H1432" s="255"/>
      <c r="I1432" s="250"/>
      <c r="J1432" s="255"/>
      <c r="K1432" s="255"/>
      <c r="L1432" s="250"/>
      <c r="M1432" s="411"/>
      <c r="N1432" s="277"/>
      <c r="O1432" s="329"/>
      <c r="P1432" s="402">
        <f t="shared" ref="P1432:Q1432" si="1428">IF(B1432=0,0,IF(YEAR(B1432)=$Q$1,MONTH(B1432)-$P$1+1,(YEAR(B1432)-$Q$1)*12-$P$1+1+MONTH(B1432)))</f>
        <v>0</v>
      </c>
      <c r="Q1432" s="402">
        <f t="shared" si="1428"/>
        <v>0</v>
      </c>
      <c r="R1432" s="356" t="str">
        <f t="shared" si="1"/>
        <v/>
      </c>
      <c r="S1432" s="356" t="str">
        <f>IF(D1432="","",IF(OR(D1432=Plano!$A$1,D1432=Plano!$B$1),"entrada","saída"))</f>
        <v/>
      </c>
      <c r="T1432" s="345"/>
      <c r="U1432" s="345"/>
      <c r="V1432" s="269"/>
    </row>
    <row r="1433" spans="1:22" ht="12.75" customHeight="1" x14ac:dyDescent="0.2">
      <c r="A1433" s="277" t="str">
        <f>IF(B1433="","",COUNT('Diário 5º PA'!$A$5:$A$2634)+ROW()-4)</f>
        <v/>
      </c>
      <c r="B1433" s="278"/>
      <c r="C1433" s="335"/>
      <c r="D1433" s="255"/>
      <c r="E1433" s="255"/>
      <c r="F1433" s="258"/>
      <c r="G1433" s="255"/>
      <c r="H1433" s="255"/>
      <c r="I1433" s="250"/>
      <c r="J1433" s="255"/>
      <c r="K1433" s="255"/>
      <c r="L1433" s="250"/>
      <c r="M1433" s="411"/>
      <c r="N1433" s="277"/>
      <c r="O1433" s="329"/>
      <c r="P1433" s="402">
        <f t="shared" ref="P1433:Q1433" si="1429">IF(B1433=0,0,IF(YEAR(B1433)=$Q$1,MONTH(B1433)-$P$1+1,(YEAR(B1433)-$Q$1)*12-$P$1+1+MONTH(B1433)))</f>
        <v>0</v>
      </c>
      <c r="Q1433" s="402">
        <f t="shared" si="1429"/>
        <v>0</v>
      </c>
      <c r="R1433" s="356" t="str">
        <f t="shared" si="1"/>
        <v/>
      </c>
      <c r="S1433" s="356" t="str">
        <f>IF(D1433="","",IF(OR(D1433=Plano!$A$1,D1433=Plano!$B$1),"entrada","saída"))</f>
        <v/>
      </c>
      <c r="T1433" s="345"/>
      <c r="U1433" s="345"/>
      <c r="V1433" s="269"/>
    </row>
    <row r="1434" spans="1:22" ht="12.75" customHeight="1" x14ac:dyDescent="0.2">
      <c r="A1434" s="277" t="str">
        <f>IF(B1434="","",COUNT('Diário 5º PA'!$A$5:$A$2634)+ROW()-4)</f>
        <v/>
      </c>
      <c r="B1434" s="278"/>
      <c r="C1434" s="335"/>
      <c r="D1434" s="255"/>
      <c r="E1434" s="255"/>
      <c r="F1434" s="258"/>
      <c r="G1434" s="255"/>
      <c r="H1434" s="255"/>
      <c r="I1434" s="250"/>
      <c r="J1434" s="255"/>
      <c r="K1434" s="255"/>
      <c r="L1434" s="250"/>
      <c r="M1434" s="411"/>
      <c r="N1434" s="277"/>
      <c r="O1434" s="329"/>
      <c r="P1434" s="402">
        <f t="shared" ref="P1434:Q1434" si="1430">IF(B1434=0,0,IF(YEAR(B1434)=$Q$1,MONTH(B1434)-$P$1+1,(YEAR(B1434)-$Q$1)*12-$P$1+1+MONTH(B1434)))</f>
        <v>0</v>
      </c>
      <c r="Q1434" s="402">
        <f t="shared" si="1430"/>
        <v>0</v>
      </c>
      <c r="R1434" s="356" t="str">
        <f t="shared" si="1"/>
        <v/>
      </c>
      <c r="S1434" s="356" t="str">
        <f>IF(D1434="","",IF(OR(D1434=Plano!$A$1,D1434=Plano!$B$1),"entrada","saída"))</f>
        <v/>
      </c>
      <c r="T1434" s="345"/>
      <c r="U1434" s="345"/>
      <c r="V1434" s="269"/>
    </row>
    <row r="1435" spans="1:22" ht="12.75" customHeight="1" x14ac:dyDescent="0.2">
      <c r="A1435" s="277" t="str">
        <f>IF(B1435="","",COUNT('Diário 5º PA'!$A$5:$A$2634)+ROW()-4)</f>
        <v/>
      </c>
      <c r="B1435" s="278"/>
      <c r="C1435" s="335"/>
      <c r="D1435" s="255"/>
      <c r="E1435" s="255"/>
      <c r="F1435" s="258"/>
      <c r="G1435" s="255"/>
      <c r="H1435" s="255"/>
      <c r="I1435" s="250"/>
      <c r="J1435" s="255"/>
      <c r="K1435" s="255"/>
      <c r="L1435" s="250"/>
      <c r="M1435" s="411"/>
      <c r="N1435" s="277"/>
      <c r="O1435" s="329"/>
      <c r="P1435" s="402">
        <f t="shared" ref="P1435:Q1435" si="1431">IF(B1435=0,0,IF(YEAR(B1435)=$Q$1,MONTH(B1435)-$P$1+1,(YEAR(B1435)-$Q$1)*12-$P$1+1+MONTH(B1435)))</f>
        <v>0</v>
      </c>
      <c r="Q1435" s="402">
        <f t="shared" si="1431"/>
        <v>0</v>
      </c>
      <c r="R1435" s="356" t="str">
        <f t="shared" si="1"/>
        <v/>
      </c>
      <c r="S1435" s="356" t="str">
        <f>IF(D1435="","",IF(OR(D1435=Plano!$A$1,D1435=Plano!$B$1),"entrada","saída"))</f>
        <v/>
      </c>
      <c r="T1435" s="345"/>
      <c r="U1435" s="345"/>
      <c r="V1435" s="269"/>
    </row>
    <row r="1436" spans="1:22" ht="12.75" customHeight="1" x14ac:dyDescent="0.2">
      <c r="A1436" s="277" t="str">
        <f>IF(B1436="","",COUNT('Diário 5º PA'!$A$5:$A$2634)+ROW()-4)</f>
        <v/>
      </c>
      <c r="B1436" s="278"/>
      <c r="C1436" s="335"/>
      <c r="D1436" s="255"/>
      <c r="E1436" s="255"/>
      <c r="F1436" s="258"/>
      <c r="G1436" s="255"/>
      <c r="H1436" s="255"/>
      <c r="I1436" s="250"/>
      <c r="J1436" s="255"/>
      <c r="K1436" s="255"/>
      <c r="L1436" s="250"/>
      <c r="M1436" s="411"/>
      <c r="N1436" s="277"/>
      <c r="O1436" s="329"/>
      <c r="P1436" s="402">
        <f t="shared" ref="P1436:Q1436" si="1432">IF(B1436=0,0,IF(YEAR(B1436)=$Q$1,MONTH(B1436)-$P$1+1,(YEAR(B1436)-$Q$1)*12-$P$1+1+MONTH(B1436)))</f>
        <v>0</v>
      </c>
      <c r="Q1436" s="402">
        <f t="shared" si="1432"/>
        <v>0</v>
      </c>
      <c r="R1436" s="356" t="str">
        <f t="shared" si="1"/>
        <v/>
      </c>
      <c r="S1436" s="356" t="str">
        <f>IF(D1436="","",IF(OR(D1436=Plano!$A$1,D1436=Plano!$B$1),"entrada","saída"))</f>
        <v/>
      </c>
      <c r="T1436" s="345"/>
      <c r="U1436" s="345"/>
      <c r="V1436" s="269"/>
    </row>
    <row r="1437" spans="1:22" ht="12.75" customHeight="1" x14ac:dyDescent="0.2">
      <c r="A1437" s="277" t="str">
        <f>IF(B1437="","",COUNT('Diário 5º PA'!$A$5:$A$2634)+ROW()-4)</f>
        <v/>
      </c>
      <c r="B1437" s="278"/>
      <c r="C1437" s="335"/>
      <c r="D1437" s="255"/>
      <c r="E1437" s="255"/>
      <c r="F1437" s="258"/>
      <c r="G1437" s="255"/>
      <c r="H1437" s="255"/>
      <c r="I1437" s="250"/>
      <c r="J1437" s="255"/>
      <c r="K1437" s="255"/>
      <c r="L1437" s="250"/>
      <c r="M1437" s="411"/>
      <c r="N1437" s="277"/>
      <c r="O1437" s="329"/>
      <c r="P1437" s="402">
        <f t="shared" ref="P1437:Q1437" si="1433">IF(B1437=0,0,IF(YEAR(B1437)=$Q$1,MONTH(B1437)-$P$1+1,(YEAR(B1437)-$Q$1)*12-$P$1+1+MONTH(B1437)))</f>
        <v>0</v>
      </c>
      <c r="Q1437" s="402">
        <f t="shared" si="1433"/>
        <v>0</v>
      </c>
      <c r="R1437" s="356" t="str">
        <f t="shared" si="1"/>
        <v/>
      </c>
      <c r="S1437" s="356" t="str">
        <f>IF(D1437="","",IF(OR(D1437=Plano!$A$1,D1437=Plano!$B$1),"entrada","saída"))</f>
        <v/>
      </c>
      <c r="T1437" s="345"/>
      <c r="U1437" s="345"/>
      <c r="V1437" s="269"/>
    </row>
    <row r="1438" spans="1:22" ht="12.75" customHeight="1" x14ac:dyDescent="0.2">
      <c r="A1438" s="277" t="str">
        <f>IF(B1438="","",COUNT('Diário 5º PA'!$A$5:$A$2634)+ROW()-4)</f>
        <v/>
      </c>
      <c r="B1438" s="278"/>
      <c r="C1438" s="335"/>
      <c r="D1438" s="255"/>
      <c r="E1438" s="255"/>
      <c r="F1438" s="258"/>
      <c r="G1438" s="255"/>
      <c r="H1438" s="255"/>
      <c r="I1438" s="250"/>
      <c r="J1438" s="255"/>
      <c r="K1438" s="255"/>
      <c r="L1438" s="250"/>
      <c r="M1438" s="411"/>
      <c r="N1438" s="277"/>
      <c r="O1438" s="329"/>
      <c r="P1438" s="402">
        <f t="shared" ref="P1438:Q1438" si="1434">IF(B1438=0,0,IF(YEAR(B1438)=$Q$1,MONTH(B1438)-$P$1+1,(YEAR(B1438)-$Q$1)*12-$P$1+1+MONTH(B1438)))</f>
        <v>0</v>
      </c>
      <c r="Q1438" s="402">
        <f t="shared" si="1434"/>
        <v>0</v>
      </c>
      <c r="R1438" s="356" t="str">
        <f t="shared" si="1"/>
        <v/>
      </c>
      <c r="S1438" s="356" t="str">
        <f>IF(D1438="","",IF(OR(D1438=Plano!$A$1,D1438=Plano!$B$1),"entrada","saída"))</f>
        <v/>
      </c>
      <c r="T1438" s="345"/>
      <c r="U1438" s="345"/>
      <c r="V1438" s="269"/>
    </row>
    <row r="1439" spans="1:22" ht="12.75" customHeight="1" x14ac:dyDescent="0.2">
      <c r="A1439" s="277" t="str">
        <f>IF(B1439="","",COUNT('Diário 5º PA'!$A$5:$A$2634)+ROW()-4)</f>
        <v/>
      </c>
      <c r="B1439" s="278"/>
      <c r="C1439" s="335"/>
      <c r="D1439" s="255"/>
      <c r="E1439" s="255"/>
      <c r="F1439" s="258"/>
      <c r="G1439" s="255"/>
      <c r="H1439" s="255"/>
      <c r="I1439" s="250"/>
      <c r="J1439" s="255"/>
      <c r="K1439" s="255"/>
      <c r="L1439" s="250"/>
      <c r="M1439" s="411"/>
      <c r="N1439" s="277"/>
      <c r="O1439" s="329"/>
      <c r="P1439" s="402">
        <f t="shared" ref="P1439:Q1439" si="1435">IF(B1439=0,0,IF(YEAR(B1439)=$Q$1,MONTH(B1439)-$P$1+1,(YEAR(B1439)-$Q$1)*12-$P$1+1+MONTH(B1439)))</f>
        <v>0</v>
      </c>
      <c r="Q1439" s="402">
        <f t="shared" si="1435"/>
        <v>0</v>
      </c>
      <c r="R1439" s="356" t="str">
        <f t="shared" si="1"/>
        <v/>
      </c>
      <c r="S1439" s="356" t="str">
        <f>IF(D1439="","",IF(OR(D1439=Plano!$A$1,D1439=Plano!$B$1),"entrada","saída"))</f>
        <v/>
      </c>
      <c r="T1439" s="345"/>
      <c r="U1439" s="345"/>
      <c r="V1439" s="269"/>
    </row>
    <row r="1440" spans="1:22" ht="12.75" customHeight="1" x14ac:dyDescent="0.2">
      <c r="A1440" s="277" t="str">
        <f>IF(B1440="","",COUNT('Diário 5º PA'!$A$5:$A$2634)+ROW()-4)</f>
        <v/>
      </c>
      <c r="B1440" s="278"/>
      <c r="C1440" s="335"/>
      <c r="D1440" s="255"/>
      <c r="E1440" s="255"/>
      <c r="F1440" s="258"/>
      <c r="G1440" s="255"/>
      <c r="H1440" s="255"/>
      <c r="I1440" s="250"/>
      <c r="J1440" s="255"/>
      <c r="K1440" s="255"/>
      <c r="L1440" s="250"/>
      <c r="M1440" s="411"/>
      <c r="N1440" s="277"/>
      <c r="O1440" s="329"/>
      <c r="P1440" s="402">
        <f t="shared" ref="P1440:Q1440" si="1436">IF(B1440=0,0,IF(YEAR(B1440)=$Q$1,MONTH(B1440)-$P$1+1,(YEAR(B1440)-$Q$1)*12-$P$1+1+MONTH(B1440)))</f>
        <v>0</v>
      </c>
      <c r="Q1440" s="402">
        <f t="shared" si="1436"/>
        <v>0</v>
      </c>
      <c r="R1440" s="356" t="str">
        <f t="shared" si="1"/>
        <v/>
      </c>
      <c r="S1440" s="356" t="str">
        <f>IF(D1440="","",IF(OR(D1440=Plano!$A$1,D1440=Plano!$B$1),"entrada","saída"))</f>
        <v/>
      </c>
      <c r="T1440" s="345"/>
      <c r="U1440" s="345"/>
      <c r="V1440" s="269"/>
    </row>
    <row r="1441" spans="1:22" ht="12.75" customHeight="1" x14ac:dyDescent="0.2">
      <c r="A1441" s="277" t="str">
        <f>IF(B1441="","",COUNT('Diário 5º PA'!$A$5:$A$2634)+ROW()-4)</f>
        <v/>
      </c>
      <c r="B1441" s="278"/>
      <c r="C1441" s="335"/>
      <c r="D1441" s="255"/>
      <c r="E1441" s="255"/>
      <c r="F1441" s="258"/>
      <c r="G1441" s="255"/>
      <c r="H1441" s="255"/>
      <c r="I1441" s="250"/>
      <c r="J1441" s="255"/>
      <c r="K1441" s="255"/>
      <c r="L1441" s="250"/>
      <c r="M1441" s="411"/>
      <c r="N1441" s="277"/>
      <c r="O1441" s="329"/>
      <c r="P1441" s="402">
        <f t="shared" ref="P1441:Q1441" si="1437">IF(B1441=0,0,IF(YEAR(B1441)=$Q$1,MONTH(B1441)-$P$1+1,(YEAR(B1441)-$Q$1)*12-$P$1+1+MONTH(B1441)))</f>
        <v>0</v>
      </c>
      <c r="Q1441" s="402">
        <f t="shared" si="1437"/>
        <v>0</v>
      </c>
      <c r="R1441" s="356" t="str">
        <f t="shared" si="1"/>
        <v/>
      </c>
      <c r="S1441" s="356" t="str">
        <f>IF(D1441="","",IF(OR(D1441=Plano!$A$1,D1441=Plano!$B$1),"entrada","saída"))</f>
        <v/>
      </c>
      <c r="T1441" s="345"/>
      <c r="U1441" s="345"/>
      <c r="V1441" s="269"/>
    </row>
    <row r="1442" spans="1:22" ht="12.75" customHeight="1" x14ac:dyDescent="0.2">
      <c r="A1442" s="277" t="str">
        <f>IF(B1442="","",COUNT('Diário 5º PA'!$A$5:$A$2634)+ROW()-4)</f>
        <v/>
      </c>
      <c r="B1442" s="278"/>
      <c r="C1442" s="335"/>
      <c r="D1442" s="255"/>
      <c r="E1442" s="255"/>
      <c r="F1442" s="258"/>
      <c r="G1442" s="255"/>
      <c r="H1442" s="255"/>
      <c r="I1442" s="250"/>
      <c r="J1442" s="255"/>
      <c r="K1442" s="255"/>
      <c r="L1442" s="250"/>
      <c r="M1442" s="411"/>
      <c r="N1442" s="277"/>
      <c r="O1442" s="329"/>
      <c r="P1442" s="402">
        <f t="shared" ref="P1442:Q1442" si="1438">IF(B1442=0,0,IF(YEAR(B1442)=$Q$1,MONTH(B1442)-$P$1+1,(YEAR(B1442)-$Q$1)*12-$P$1+1+MONTH(B1442)))</f>
        <v>0</v>
      </c>
      <c r="Q1442" s="402">
        <f t="shared" si="1438"/>
        <v>0</v>
      </c>
      <c r="R1442" s="356" t="str">
        <f t="shared" si="1"/>
        <v/>
      </c>
      <c r="S1442" s="356" t="str">
        <f>IF(D1442="","",IF(OR(D1442=Plano!$A$1,D1442=Plano!$B$1),"entrada","saída"))</f>
        <v/>
      </c>
      <c r="T1442" s="345"/>
      <c r="U1442" s="345"/>
      <c r="V1442" s="269"/>
    </row>
    <row r="1443" spans="1:22" ht="12.75" customHeight="1" x14ac:dyDescent="0.2">
      <c r="A1443" s="277" t="str">
        <f>IF(B1443="","",COUNT('Diário 5º PA'!$A$5:$A$2634)+ROW()-4)</f>
        <v/>
      </c>
      <c r="B1443" s="278"/>
      <c r="C1443" s="335"/>
      <c r="D1443" s="255"/>
      <c r="E1443" s="255"/>
      <c r="F1443" s="258"/>
      <c r="G1443" s="255"/>
      <c r="H1443" s="255"/>
      <c r="I1443" s="250"/>
      <c r="J1443" s="255"/>
      <c r="K1443" s="255"/>
      <c r="L1443" s="250"/>
      <c r="M1443" s="411"/>
      <c r="N1443" s="277"/>
      <c r="O1443" s="329"/>
      <c r="P1443" s="402">
        <f t="shared" ref="P1443:Q1443" si="1439">IF(B1443=0,0,IF(YEAR(B1443)=$Q$1,MONTH(B1443)-$P$1+1,(YEAR(B1443)-$Q$1)*12-$P$1+1+MONTH(B1443)))</f>
        <v>0</v>
      </c>
      <c r="Q1443" s="402">
        <f t="shared" si="1439"/>
        <v>0</v>
      </c>
      <c r="R1443" s="356" t="str">
        <f t="shared" si="1"/>
        <v/>
      </c>
      <c r="S1443" s="356" t="str">
        <f>IF(D1443="","",IF(OR(D1443=Plano!$A$1,D1443=Plano!$B$1),"entrada","saída"))</f>
        <v/>
      </c>
      <c r="T1443" s="345"/>
      <c r="U1443" s="345"/>
      <c r="V1443" s="269"/>
    </row>
    <row r="1444" spans="1:22" ht="12.75" customHeight="1" x14ac:dyDescent="0.2">
      <c r="A1444" s="277" t="str">
        <f>IF(B1444="","",COUNT('Diário 5º PA'!$A$5:$A$2634)+ROW()-4)</f>
        <v/>
      </c>
      <c r="B1444" s="278"/>
      <c r="C1444" s="335"/>
      <c r="D1444" s="255"/>
      <c r="E1444" s="255"/>
      <c r="F1444" s="258"/>
      <c r="G1444" s="255"/>
      <c r="H1444" s="255"/>
      <c r="I1444" s="250"/>
      <c r="J1444" s="255"/>
      <c r="K1444" s="255"/>
      <c r="L1444" s="250"/>
      <c r="M1444" s="411"/>
      <c r="N1444" s="277"/>
      <c r="O1444" s="329"/>
      <c r="P1444" s="402">
        <f t="shared" ref="P1444:Q1444" si="1440">IF(B1444=0,0,IF(YEAR(B1444)=$Q$1,MONTH(B1444)-$P$1+1,(YEAR(B1444)-$Q$1)*12-$P$1+1+MONTH(B1444)))</f>
        <v>0</v>
      </c>
      <c r="Q1444" s="402">
        <f t="shared" si="1440"/>
        <v>0</v>
      </c>
      <c r="R1444" s="356" t="str">
        <f t="shared" si="1"/>
        <v/>
      </c>
      <c r="S1444" s="356" t="str">
        <f>IF(D1444="","",IF(OR(D1444=Plano!$A$1,D1444=Plano!$B$1),"entrada","saída"))</f>
        <v/>
      </c>
      <c r="T1444" s="345"/>
      <c r="U1444" s="345"/>
      <c r="V1444" s="269"/>
    </row>
    <row r="1445" spans="1:22" ht="12.75" customHeight="1" x14ac:dyDescent="0.2">
      <c r="A1445" s="277" t="str">
        <f>IF(B1445="","",COUNT('Diário 5º PA'!$A$5:$A$2634)+ROW()-4)</f>
        <v/>
      </c>
      <c r="B1445" s="278"/>
      <c r="C1445" s="335"/>
      <c r="D1445" s="255"/>
      <c r="E1445" s="255"/>
      <c r="F1445" s="258"/>
      <c r="G1445" s="255"/>
      <c r="H1445" s="255"/>
      <c r="I1445" s="250"/>
      <c r="J1445" s="255"/>
      <c r="K1445" s="255"/>
      <c r="L1445" s="250"/>
      <c r="M1445" s="411"/>
      <c r="N1445" s="277"/>
      <c r="O1445" s="329"/>
      <c r="P1445" s="402">
        <f t="shared" ref="P1445:Q1445" si="1441">IF(B1445=0,0,IF(YEAR(B1445)=$Q$1,MONTH(B1445)-$P$1+1,(YEAR(B1445)-$Q$1)*12-$P$1+1+MONTH(B1445)))</f>
        <v>0</v>
      </c>
      <c r="Q1445" s="402">
        <f t="shared" si="1441"/>
        <v>0</v>
      </c>
      <c r="R1445" s="356" t="str">
        <f t="shared" si="1"/>
        <v/>
      </c>
      <c r="S1445" s="356" t="str">
        <f>IF(D1445="","",IF(OR(D1445=Plano!$A$1,D1445=Plano!$B$1),"entrada","saída"))</f>
        <v/>
      </c>
      <c r="T1445" s="345"/>
      <c r="U1445" s="345"/>
      <c r="V1445" s="269"/>
    </row>
    <row r="1446" spans="1:22" ht="12.75" customHeight="1" x14ac:dyDescent="0.2">
      <c r="A1446" s="277" t="str">
        <f>IF(B1446="","",COUNT('Diário 5º PA'!$A$5:$A$2634)+ROW()-4)</f>
        <v/>
      </c>
      <c r="B1446" s="278"/>
      <c r="C1446" s="335"/>
      <c r="D1446" s="255"/>
      <c r="E1446" s="255"/>
      <c r="F1446" s="258"/>
      <c r="G1446" s="255"/>
      <c r="H1446" s="255"/>
      <c r="I1446" s="250"/>
      <c r="J1446" s="255"/>
      <c r="K1446" s="255"/>
      <c r="L1446" s="250"/>
      <c r="M1446" s="411"/>
      <c r="N1446" s="277"/>
      <c r="O1446" s="329"/>
      <c r="P1446" s="402">
        <f t="shared" ref="P1446:Q1446" si="1442">IF(B1446=0,0,IF(YEAR(B1446)=$Q$1,MONTH(B1446)-$P$1+1,(YEAR(B1446)-$Q$1)*12-$P$1+1+MONTH(B1446)))</f>
        <v>0</v>
      </c>
      <c r="Q1446" s="402">
        <f t="shared" si="1442"/>
        <v>0</v>
      </c>
      <c r="R1446" s="356" t="str">
        <f t="shared" si="1"/>
        <v/>
      </c>
      <c r="S1446" s="356" t="str">
        <f>IF(D1446="","",IF(OR(D1446=Plano!$A$1,D1446=Plano!$B$1),"entrada","saída"))</f>
        <v/>
      </c>
      <c r="T1446" s="345"/>
      <c r="U1446" s="345"/>
      <c r="V1446" s="269"/>
    </row>
    <row r="1447" spans="1:22" ht="12.75" customHeight="1" x14ac:dyDescent="0.2">
      <c r="A1447" s="277" t="str">
        <f>IF(B1447="","",COUNT('Diário 5º PA'!$A$5:$A$2634)+ROW()-4)</f>
        <v/>
      </c>
      <c r="B1447" s="278"/>
      <c r="C1447" s="335"/>
      <c r="D1447" s="255"/>
      <c r="E1447" s="255"/>
      <c r="F1447" s="258"/>
      <c r="G1447" s="255"/>
      <c r="H1447" s="255"/>
      <c r="I1447" s="250"/>
      <c r="J1447" s="255"/>
      <c r="K1447" s="255"/>
      <c r="L1447" s="250"/>
      <c r="M1447" s="411"/>
      <c r="N1447" s="277"/>
      <c r="O1447" s="329"/>
      <c r="P1447" s="402">
        <f t="shared" ref="P1447:Q1447" si="1443">IF(B1447=0,0,IF(YEAR(B1447)=$Q$1,MONTH(B1447)-$P$1+1,(YEAR(B1447)-$Q$1)*12-$P$1+1+MONTH(B1447)))</f>
        <v>0</v>
      </c>
      <c r="Q1447" s="402">
        <f t="shared" si="1443"/>
        <v>0</v>
      </c>
      <c r="R1447" s="356" t="str">
        <f t="shared" si="1"/>
        <v/>
      </c>
      <c r="S1447" s="356" t="str">
        <f>IF(D1447="","",IF(OR(D1447=Plano!$A$1,D1447=Plano!$B$1),"entrada","saída"))</f>
        <v/>
      </c>
      <c r="T1447" s="345"/>
      <c r="U1447" s="345"/>
      <c r="V1447" s="269"/>
    </row>
    <row r="1448" spans="1:22" ht="12.75" customHeight="1" x14ac:dyDescent="0.2">
      <c r="A1448" s="277" t="str">
        <f>IF(B1448="","",COUNT('Diário 5º PA'!$A$5:$A$2634)+ROW()-4)</f>
        <v/>
      </c>
      <c r="B1448" s="278"/>
      <c r="C1448" s="335"/>
      <c r="D1448" s="255"/>
      <c r="E1448" s="255"/>
      <c r="F1448" s="258"/>
      <c r="G1448" s="255"/>
      <c r="H1448" s="255"/>
      <c r="I1448" s="250"/>
      <c r="J1448" s="255"/>
      <c r="K1448" s="255"/>
      <c r="L1448" s="250"/>
      <c r="M1448" s="411"/>
      <c r="N1448" s="277"/>
      <c r="O1448" s="329"/>
      <c r="P1448" s="402">
        <f t="shared" ref="P1448:Q1448" si="1444">IF(B1448=0,0,IF(YEAR(B1448)=$Q$1,MONTH(B1448)-$P$1+1,(YEAR(B1448)-$Q$1)*12-$P$1+1+MONTH(B1448)))</f>
        <v>0</v>
      </c>
      <c r="Q1448" s="402">
        <f t="shared" si="1444"/>
        <v>0</v>
      </c>
      <c r="R1448" s="356" t="str">
        <f t="shared" si="1"/>
        <v/>
      </c>
      <c r="S1448" s="356" t="str">
        <f>IF(D1448="","",IF(OR(D1448=Plano!$A$1,D1448=Plano!$B$1),"entrada","saída"))</f>
        <v/>
      </c>
      <c r="T1448" s="345"/>
      <c r="U1448" s="345"/>
      <c r="V1448" s="269"/>
    </row>
    <row r="1449" spans="1:22" ht="12.75" customHeight="1" x14ac:dyDescent="0.2">
      <c r="A1449" s="277" t="str">
        <f>IF(B1449="","",COUNT('Diário 5º PA'!$A$5:$A$2634)+ROW()-4)</f>
        <v/>
      </c>
      <c r="B1449" s="278"/>
      <c r="C1449" s="335"/>
      <c r="D1449" s="255"/>
      <c r="E1449" s="255"/>
      <c r="F1449" s="258"/>
      <c r="G1449" s="255"/>
      <c r="H1449" s="255"/>
      <c r="I1449" s="250"/>
      <c r="J1449" s="255"/>
      <c r="K1449" s="255"/>
      <c r="L1449" s="250"/>
      <c r="M1449" s="411"/>
      <c r="N1449" s="277"/>
      <c r="O1449" s="329"/>
      <c r="P1449" s="402">
        <f t="shared" ref="P1449:Q1449" si="1445">IF(B1449=0,0,IF(YEAR(B1449)=$Q$1,MONTH(B1449)-$P$1+1,(YEAR(B1449)-$Q$1)*12-$P$1+1+MONTH(B1449)))</f>
        <v>0</v>
      </c>
      <c r="Q1449" s="402">
        <f t="shared" si="1445"/>
        <v>0</v>
      </c>
      <c r="R1449" s="356" t="str">
        <f t="shared" si="1"/>
        <v/>
      </c>
      <c r="S1449" s="356" t="str">
        <f>IF(D1449="","",IF(OR(D1449=Plano!$A$1,D1449=Plano!$B$1),"entrada","saída"))</f>
        <v/>
      </c>
      <c r="T1449" s="345"/>
      <c r="U1449" s="345"/>
      <c r="V1449" s="269"/>
    </row>
    <row r="1450" spans="1:22" ht="12.75" customHeight="1" x14ac:dyDescent="0.2">
      <c r="A1450" s="277" t="str">
        <f>IF(B1450="","",COUNT('Diário 5º PA'!$A$5:$A$2634)+ROW()-4)</f>
        <v/>
      </c>
      <c r="B1450" s="278"/>
      <c r="C1450" s="335"/>
      <c r="D1450" s="255"/>
      <c r="E1450" s="255"/>
      <c r="F1450" s="258"/>
      <c r="G1450" s="255"/>
      <c r="H1450" s="255"/>
      <c r="I1450" s="250"/>
      <c r="J1450" s="255"/>
      <c r="K1450" s="255"/>
      <c r="L1450" s="250"/>
      <c r="M1450" s="411"/>
      <c r="N1450" s="277"/>
      <c r="O1450" s="329"/>
      <c r="P1450" s="402">
        <f t="shared" ref="P1450:Q1450" si="1446">IF(B1450=0,0,IF(YEAR(B1450)=$Q$1,MONTH(B1450)-$P$1+1,(YEAR(B1450)-$Q$1)*12-$P$1+1+MONTH(B1450)))</f>
        <v>0</v>
      </c>
      <c r="Q1450" s="402">
        <f t="shared" si="1446"/>
        <v>0</v>
      </c>
      <c r="R1450" s="356" t="str">
        <f t="shared" si="1"/>
        <v/>
      </c>
      <c r="S1450" s="356" t="str">
        <f>IF(D1450="","",IF(OR(D1450=Plano!$A$1,D1450=Plano!$B$1),"entrada","saída"))</f>
        <v/>
      </c>
      <c r="T1450" s="345"/>
      <c r="U1450" s="345"/>
      <c r="V1450" s="269"/>
    </row>
    <row r="1451" spans="1:22" ht="12.75" customHeight="1" x14ac:dyDescent="0.2">
      <c r="A1451" s="277" t="str">
        <f>IF(B1451="","",COUNT('Diário 5º PA'!$A$5:$A$2634)+ROW()-4)</f>
        <v/>
      </c>
      <c r="B1451" s="278"/>
      <c r="C1451" s="335"/>
      <c r="D1451" s="255"/>
      <c r="E1451" s="255"/>
      <c r="F1451" s="258"/>
      <c r="G1451" s="255"/>
      <c r="H1451" s="255"/>
      <c r="I1451" s="250"/>
      <c r="J1451" s="255"/>
      <c r="K1451" s="255"/>
      <c r="L1451" s="250"/>
      <c r="M1451" s="411"/>
      <c r="N1451" s="277"/>
      <c r="O1451" s="329"/>
      <c r="P1451" s="402">
        <f t="shared" ref="P1451:Q1451" si="1447">IF(B1451=0,0,IF(YEAR(B1451)=$Q$1,MONTH(B1451)-$P$1+1,(YEAR(B1451)-$Q$1)*12-$P$1+1+MONTH(B1451)))</f>
        <v>0</v>
      </c>
      <c r="Q1451" s="402">
        <f t="shared" si="1447"/>
        <v>0</v>
      </c>
      <c r="R1451" s="356" t="str">
        <f t="shared" si="1"/>
        <v/>
      </c>
      <c r="S1451" s="356" t="str">
        <f>IF(D1451="","",IF(OR(D1451=Plano!$A$1,D1451=Plano!$B$1),"entrada","saída"))</f>
        <v/>
      </c>
      <c r="T1451" s="345"/>
      <c r="U1451" s="345"/>
      <c r="V1451" s="269"/>
    </row>
    <row r="1452" spans="1:22" ht="12.75" customHeight="1" x14ac:dyDescent="0.2">
      <c r="A1452" s="277" t="str">
        <f>IF(B1452="","",COUNT('Diário 5º PA'!$A$5:$A$2634)+ROW()-4)</f>
        <v/>
      </c>
      <c r="B1452" s="278"/>
      <c r="C1452" s="335"/>
      <c r="D1452" s="255"/>
      <c r="E1452" s="255"/>
      <c r="F1452" s="258"/>
      <c r="G1452" s="255"/>
      <c r="H1452" s="255"/>
      <c r="I1452" s="250"/>
      <c r="J1452" s="255"/>
      <c r="K1452" s="255"/>
      <c r="L1452" s="250"/>
      <c r="M1452" s="411"/>
      <c r="N1452" s="277"/>
      <c r="O1452" s="329"/>
      <c r="P1452" s="402">
        <f t="shared" ref="P1452:Q1452" si="1448">IF(B1452=0,0,IF(YEAR(B1452)=$Q$1,MONTH(B1452)-$P$1+1,(YEAR(B1452)-$Q$1)*12-$P$1+1+MONTH(B1452)))</f>
        <v>0</v>
      </c>
      <c r="Q1452" s="402">
        <f t="shared" si="1448"/>
        <v>0</v>
      </c>
      <c r="R1452" s="356" t="str">
        <f t="shared" si="1"/>
        <v/>
      </c>
      <c r="S1452" s="356" t="str">
        <f>IF(D1452="","",IF(OR(D1452=Plano!$A$1,D1452=Plano!$B$1),"entrada","saída"))</f>
        <v/>
      </c>
      <c r="T1452" s="345"/>
      <c r="U1452" s="345"/>
      <c r="V1452" s="269"/>
    </row>
    <row r="1453" spans="1:22" ht="12.75" customHeight="1" x14ac:dyDescent="0.2">
      <c r="A1453" s="277" t="str">
        <f>IF(B1453="","",COUNT('Diário 5º PA'!$A$5:$A$2634)+ROW()-4)</f>
        <v/>
      </c>
      <c r="B1453" s="278"/>
      <c r="C1453" s="335"/>
      <c r="D1453" s="255"/>
      <c r="E1453" s="255"/>
      <c r="F1453" s="258"/>
      <c r="G1453" s="255"/>
      <c r="H1453" s="255"/>
      <c r="I1453" s="250"/>
      <c r="J1453" s="255"/>
      <c r="K1453" s="255"/>
      <c r="L1453" s="250"/>
      <c r="M1453" s="411"/>
      <c r="N1453" s="277"/>
      <c r="O1453" s="329"/>
      <c r="P1453" s="402">
        <f t="shared" ref="P1453:Q1453" si="1449">IF(B1453=0,0,IF(YEAR(B1453)=$Q$1,MONTH(B1453)-$P$1+1,(YEAR(B1453)-$Q$1)*12-$P$1+1+MONTH(B1453)))</f>
        <v>0</v>
      </c>
      <c r="Q1453" s="402">
        <f t="shared" si="1449"/>
        <v>0</v>
      </c>
      <c r="R1453" s="356" t="str">
        <f t="shared" si="1"/>
        <v/>
      </c>
      <c r="S1453" s="356" t="str">
        <f>IF(D1453="","",IF(OR(D1453=Plano!$A$1,D1453=Plano!$B$1),"entrada","saída"))</f>
        <v/>
      </c>
      <c r="T1453" s="345"/>
      <c r="U1453" s="345"/>
      <c r="V1453" s="269"/>
    </row>
    <row r="1454" spans="1:22" ht="12.75" customHeight="1" x14ac:dyDescent="0.2">
      <c r="A1454" s="277" t="str">
        <f>IF(B1454="","",COUNT('Diário 5º PA'!$A$5:$A$2634)+ROW()-4)</f>
        <v/>
      </c>
      <c r="B1454" s="278"/>
      <c r="C1454" s="335"/>
      <c r="D1454" s="255"/>
      <c r="E1454" s="255"/>
      <c r="F1454" s="258"/>
      <c r="G1454" s="255"/>
      <c r="H1454" s="255"/>
      <c r="I1454" s="250"/>
      <c r="J1454" s="255"/>
      <c r="K1454" s="255"/>
      <c r="L1454" s="250"/>
      <c r="M1454" s="411"/>
      <c r="N1454" s="277"/>
      <c r="O1454" s="329"/>
      <c r="P1454" s="402">
        <f t="shared" ref="P1454:Q1454" si="1450">IF(B1454=0,0,IF(YEAR(B1454)=$Q$1,MONTH(B1454)-$P$1+1,(YEAR(B1454)-$Q$1)*12-$P$1+1+MONTH(B1454)))</f>
        <v>0</v>
      </c>
      <c r="Q1454" s="402">
        <f t="shared" si="1450"/>
        <v>0</v>
      </c>
      <c r="R1454" s="356" t="str">
        <f t="shared" si="1"/>
        <v/>
      </c>
      <c r="S1454" s="356" t="str">
        <f>IF(D1454="","",IF(OR(D1454=Plano!$A$1,D1454=Plano!$B$1),"entrada","saída"))</f>
        <v/>
      </c>
      <c r="T1454" s="345"/>
      <c r="U1454" s="345"/>
      <c r="V1454" s="269"/>
    </row>
    <row r="1455" spans="1:22" ht="12.75" customHeight="1" x14ac:dyDescent="0.2">
      <c r="A1455" s="277" t="str">
        <f>IF(B1455="","",COUNT('Diário 5º PA'!$A$5:$A$2634)+ROW()-4)</f>
        <v/>
      </c>
      <c r="B1455" s="278"/>
      <c r="C1455" s="335"/>
      <c r="D1455" s="255"/>
      <c r="E1455" s="255"/>
      <c r="F1455" s="258"/>
      <c r="G1455" s="255"/>
      <c r="H1455" s="255"/>
      <c r="I1455" s="250"/>
      <c r="J1455" s="255"/>
      <c r="K1455" s="255"/>
      <c r="L1455" s="250"/>
      <c r="M1455" s="411"/>
      <c r="N1455" s="277"/>
      <c r="O1455" s="329"/>
      <c r="P1455" s="402">
        <f t="shared" ref="P1455:Q1455" si="1451">IF(B1455=0,0,IF(YEAR(B1455)=$Q$1,MONTH(B1455)-$P$1+1,(YEAR(B1455)-$Q$1)*12-$P$1+1+MONTH(B1455)))</f>
        <v>0</v>
      </c>
      <c r="Q1455" s="402">
        <f t="shared" si="1451"/>
        <v>0</v>
      </c>
      <c r="R1455" s="356" t="str">
        <f t="shared" si="1"/>
        <v/>
      </c>
      <c r="S1455" s="356" t="str">
        <f>IF(D1455="","",IF(OR(D1455=Plano!$A$1,D1455=Plano!$B$1),"entrada","saída"))</f>
        <v/>
      </c>
      <c r="T1455" s="345"/>
      <c r="U1455" s="345"/>
      <c r="V1455" s="269"/>
    </row>
    <row r="1456" spans="1:22" ht="12.75" customHeight="1" x14ac:dyDescent="0.2">
      <c r="A1456" s="277" t="str">
        <f>IF(B1456="","",COUNT('Diário 5º PA'!$A$5:$A$2634)+ROW()-4)</f>
        <v/>
      </c>
      <c r="B1456" s="278"/>
      <c r="C1456" s="335"/>
      <c r="D1456" s="255"/>
      <c r="E1456" s="255"/>
      <c r="F1456" s="258"/>
      <c r="G1456" s="255"/>
      <c r="H1456" s="255"/>
      <c r="I1456" s="250"/>
      <c r="J1456" s="255"/>
      <c r="K1456" s="255"/>
      <c r="L1456" s="250"/>
      <c r="M1456" s="411"/>
      <c r="N1456" s="277"/>
      <c r="O1456" s="329"/>
      <c r="P1456" s="402">
        <f t="shared" ref="P1456:Q1456" si="1452">IF(B1456=0,0,IF(YEAR(B1456)=$Q$1,MONTH(B1456)-$P$1+1,(YEAR(B1456)-$Q$1)*12-$P$1+1+MONTH(B1456)))</f>
        <v>0</v>
      </c>
      <c r="Q1456" s="402">
        <f t="shared" si="1452"/>
        <v>0</v>
      </c>
      <c r="R1456" s="356" t="str">
        <f t="shared" si="1"/>
        <v/>
      </c>
      <c r="S1456" s="356" t="str">
        <f>IF(D1456="","",IF(OR(D1456=Plano!$A$1,D1456=Plano!$B$1),"entrada","saída"))</f>
        <v/>
      </c>
      <c r="T1456" s="345"/>
      <c r="U1456" s="345"/>
      <c r="V1456" s="269"/>
    </row>
    <row r="1457" spans="1:22" ht="12.75" customHeight="1" x14ac:dyDescent="0.2">
      <c r="A1457" s="277" t="str">
        <f>IF(B1457="","",COUNT('Diário 5º PA'!$A$5:$A$2634)+ROW()-4)</f>
        <v/>
      </c>
      <c r="B1457" s="278"/>
      <c r="C1457" s="335"/>
      <c r="D1457" s="255"/>
      <c r="E1457" s="255"/>
      <c r="F1457" s="258"/>
      <c r="G1457" s="255"/>
      <c r="H1457" s="255"/>
      <c r="I1457" s="250"/>
      <c r="J1457" s="255"/>
      <c r="K1457" s="255"/>
      <c r="L1457" s="250"/>
      <c r="M1457" s="411"/>
      <c r="N1457" s="277"/>
      <c r="O1457" s="329"/>
      <c r="P1457" s="402">
        <f t="shared" ref="P1457:Q1457" si="1453">IF(B1457=0,0,IF(YEAR(B1457)=$Q$1,MONTH(B1457)-$P$1+1,(YEAR(B1457)-$Q$1)*12-$P$1+1+MONTH(B1457)))</f>
        <v>0</v>
      </c>
      <c r="Q1457" s="402">
        <f t="shared" si="1453"/>
        <v>0</v>
      </c>
      <c r="R1457" s="356" t="str">
        <f t="shared" si="1"/>
        <v/>
      </c>
      <c r="S1457" s="356" t="str">
        <f>IF(D1457="","",IF(OR(D1457=Plano!$A$1,D1457=Plano!$B$1),"entrada","saída"))</f>
        <v/>
      </c>
      <c r="T1457" s="345"/>
      <c r="U1457" s="345"/>
      <c r="V1457" s="269"/>
    </row>
    <row r="1458" spans="1:22" ht="12.75" customHeight="1" x14ac:dyDescent="0.2">
      <c r="A1458" s="277" t="str">
        <f>IF(B1458="","",COUNT('Diário 5º PA'!$A$5:$A$2634)+ROW()-4)</f>
        <v/>
      </c>
      <c r="B1458" s="278"/>
      <c r="C1458" s="335"/>
      <c r="D1458" s="255"/>
      <c r="E1458" s="255"/>
      <c r="F1458" s="258"/>
      <c r="G1458" s="255"/>
      <c r="H1458" s="255"/>
      <c r="I1458" s="250"/>
      <c r="J1458" s="255"/>
      <c r="K1458" s="255"/>
      <c r="L1458" s="250"/>
      <c r="M1458" s="411"/>
      <c r="N1458" s="277"/>
      <c r="O1458" s="329"/>
      <c r="P1458" s="402">
        <f t="shared" ref="P1458:Q1458" si="1454">IF(B1458=0,0,IF(YEAR(B1458)=$Q$1,MONTH(B1458)-$P$1+1,(YEAR(B1458)-$Q$1)*12-$P$1+1+MONTH(B1458)))</f>
        <v>0</v>
      </c>
      <c r="Q1458" s="402">
        <f t="shared" si="1454"/>
        <v>0</v>
      </c>
      <c r="R1458" s="356" t="str">
        <f t="shared" si="1"/>
        <v/>
      </c>
      <c r="S1458" s="356" t="str">
        <f>IF(D1458="","",IF(OR(D1458=Plano!$A$1,D1458=Plano!$B$1),"entrada","saída"))</f>
        <v/>
      </c>
      <c r="T1458" s="345"/>
      <c r="U1458" s="345"/>
      <c r="V1458" s="269"/>
    </row>
    <row r="1459" spans="1:22" ht="12.75" customHeight="1" x14ac:dyDescent="0.2">
      <c r="A1459" s="277" t="str">
        <f>IF(B1459="","",COUNT('Diário 5º PA'!$A$5:$A$2634)+ROW()-4)</f>
        <v/>
      </c>
      <c r="B1459" s="278"/>
      <c r="C1459" s="335"/>
      <c r="D1459" s="255"/>
      <c r="E1459" s="255"/>
      <c r="F1459" s="258"/>
      <c r="G1459" s="255"/>
      <c r="H1459" s="255"/>
      <c r="I1459" s="250"/>
      <c r="J1459" s="255"/>
      <c r="K1459" s="255"/>
      <c r="L1459" s="250"/>
      <c r="M1459" s="411"/>
      <c r="N1459" s="277"/>
      <c r="O1459" s="329"/>
      <c r="P1459" s="402">
        <f t="shared" ref="P1459:Q1459" si="1455">IF(B1459=0,0,IF(YEAR(B1459)=$Q$1,MONTH(B1459)-$P$1+1,(YEAR(B1459)-$Q$1)*12-$P$1+1+MONTH(B1459)))</f>
        <v>0</v>
      </c>
      <c r="Q1459" s="402">
        <f t="shared" si="1455"/>
        <v>0</v>
      </c>
      <c r="R1459" s="356" t="str">
        <f t="shared" si="1"/>
        <v/>
      </c>
      <c r="S1459" s="356" t="str">
        <f>IF(D1459="","",IF(OR(D1459=Plano!$A$1,D1459=Plano!$B$1),"entrada","saída"))</f>
        <v/>
      </c>
      <c r="T1459" s="345"/>
      <c r="U1459" s="345"/>
      <c r="V1459" s="269"/>
    </row>
    <row r="1460" spans="1:22" ht="12.75" customHeight="1" x14ac:dyDescent="0.2">
      <c r="A1460" s="277" t="str">
        <f>IF(B1460="","",COUNT('Diário 5º PA'!$A$5:$A$2634)+ROW()-4)</f>
        <v/>
      </c>
      <c r="B1460" s="278"/>
      <c r="C1460" s="335"/>
      <c r="D1460" s="255"/>
      <c r="E1460" s="255"/>
      <c r="F1460" s="258"/>
      <c r="G1460" s="255"/>
      <c r="H1460" s="255"/>
      <c r="I1460" s="250"/>
      <c r="J1460" s="255"/>
      <c r="K1460" s="255"/>
      <c r="L1460" s="250"/>
      <c r="M1460" s="411"/>
      <c r="N1460" s="277"/>
      <c r="O1460" s="329"/>
      <c r="P1460" s="402">
        <f t="shared" ref="P1460:Q1460" si="1456">IF(B1460=0,0,IF(YEAR(B1460)=$Q$1,MONTH(B1460)-$P$1+1,(YEAR(B1460)-$Q$1)*12-$P$1+1+MONTH(B1460)))</f>
        <v>0</v>
      </c>
      <c r="Q1460" s="402">
        <f t="shared" si="1456"/>
        <v>0</v>
      </c>
      <c r="R1460" s="356" t="str">
        <f t="shared" si="1"/>
        <v/>
      </c>
      <c r="S1460" s="356" t="str">
        <f>IF(D1460="","",IF(OR(D1460=Plano!$A$1,D1460=Plano!$B$1),"entrada","saída"))</f>
        <v/>
      </c>
      <c r="T1460" s="345"/>
      <c r="U1460" s="345"/>
      <c r="V1460" s="269"/>
    </row>
    <row r="1461" spans="1:22" ht="12.75" customHeight="1" x14ac:dyDescent="0.2">
      <c r="A1461" s="277" t="str">
        <f>IF(B1461="","",COUNT('Diário 5º PA'!$A$5:$A$2634)+ROW()-4)</f>
        <v/>
      </c>
      <c r="B1461" s="278"/>
      <c r="C1461" s="335"/>
      <c r="D1461" s="255"/>
      <c r="E1461" s="255"/>
      <c r="F1461" s="258"/>
      <c r="G1461" s="255"/>
      <c r="H1461" s="255"/>
      <c r="I1461" s="250"/>
      <c r="J1461" s="255"/>
      <c r="K1461" s="255"/>
      <c r="L1461" s="250"/>
      <c r="M1461" s="411"/>
      <c r="N1461" s="277"/>
      <c r="O1461" s="329"/>
      <c r="P1461" s="402">
        <f t="shared" ref="P1461:Q1461" si="1457">IF(B1461=0,0,IF(YEAR(B1461)=$Q$1,MONTH(B1461)-$P$1+1,(YEAR(B1461)-$Q$1)*12-$P$1+1+MONTH(B1461)))</f>
        <v>0</v>
      </c>
      <c r="Q1461" s="402">
        <f t="shared" si="1457"/>
        <v>0</v>
      </c>
      <c r="R1461" s="356" t="str">
        <f t="shared" si="1"/>
        <v/>
      </c>
      <c r="S1461" s="356" t="str">
        <f>IF(D1461="","",IF(OR(D1461=Plano!$A$1,D1461=Plano!$B$1),"entrada","saída"))</f>
        <v/>
      </c>
      <c r="T1461" s="345"/>
      <c r="U1461" s="345"/>
      <c r="V1461" s="269"/>
    </row>
    <row r="1462" spans="1:22" ht="12.75" customHeight="1" x14ac:dyDescent="0.2">
      <c r="A1462" s="277" t="str">
        <f>IF(B1462="","",COUNT('Diário 5º PA'!$A$5:$A$2634)+ROW()-4)</f>
        <v/>
      </c>
      <c r="B1462" s="278"/>
      <c r="C1462" s="335"/>
      <c r="D1462" s="255"/>
      <c r="E1462" s="255"/>
      <c r="F1462" s="258"/>
      <c r="G1462" s="255"/>
      <c r="H1462" s="255"/>
      <c r="I1462" s="250"/>
      <c r="J1462" s="255"/>
      <c r="K1462" s="255"/>
      <c r="L1462" s="250"/>
      <c r="M1462" s="411"/>
      <c r="N1462" s="277"/>
      <c r="O1462" s="329"/>
      <c r="P1462" s="402">
        <f t="shared" ref="P1462:Q1462" si="1458">IF(B1462=0,0,IF(YEAR(B1462)=$Q$1,MONTH(B1462)-$P$1+1,(YEAR(B1462)-$Q$1)*12-$P$1+1+MONTH(B1462)))</f>
        <v>0</v>
      </c>
      <c r="Q1462" s="402">
        <f t="shared" si="1458"/>
        <v>0</v>
      </c>
      <c r="R1462" s="356" t="str">
        <f t="shared" si="1"/>
        <v/>
      </c>
      <c r="S1462" s="356" t="str">
        <f>IF(D1462="","",IF(OR(D1462=Plano!$A$1,D1462=Plano!$B$1),"entrada","saída"))</f>
        <v/>
      </c>
      <c r="T1462" s="345"/>
      <c r="U1462" s="345"/>
      <c r="V1462" s="269"/>
    </row>
    <row r="1463" spans="1:22" ht="12.75" customHeight="1" x14ac:dyDescent="0.2">
      <c r="A1463" s="277" t="str">
        <f>IF(B1463="","",COUNT('Diário 5º PA'!$A$5:$A$2634)+ROW()-4)</f>
        <v/>
      </c>
      <c r="B1463" s="278"/>
      <c r="C1463" s="335"/>
      <c r="D1463" s="255"/>
      <c r="E1463" s="255"/>
      <c r="F1463" s="258"/>
      <c r="G1463" s="255"/>
      <c r="H1463" s="255"/>
      <c r="I1463" s="250"/>
      <c r="J1463" s="255"/>
      <c r="K1463" s="255"/>
      <c r="L1463" s="250"/>
      <c r="M1463" s="411"/>
      <c r="N1463" s="277"/>
      <c r="O1463" s="329"/>
      <c r="P1463" s="402">
        <f t="shared" ref="P1463:Q1463" si="1459">IF(B1463=0,0,IF(YEAR(B1463)=$Q$1,MONTH(B1463)-$P$1+1,(YEAR(B1463)-$Q$1)*12-$P$1+1+MONTH(B1463)))</f>
        <v>0</v>
      </c>
      <c r="Q1463" s="402">
        <f t="shared" si="1459"/>
        <v>0</v>
      </c>
      <c r="R1463" s="356" t="str">
        <f t="shared" si="1"/>
        <v/>
      </c>
      <c r="S1463" s="356" t="str">
        <f>IF(D1463="","",IF(OR(D1463=Plano!$A$1,D1463=Plano!$B$1),"entrada","saída"))</f>
        <v/>
      </c>
      <c r="T1463" s="345"/>
      <c r="U1463" s="345"/>
      <c r="V1463" s="269"/>
    </row>
    <row r="1464" spans="1:22" ht="12.75" customHeight="1" x14ac:dyDescent="0.2">
      <c r="A1464" s="277" t="str">
        <f>IF(B1464="","",COUNT('Diário 5º PA'!$A$5:$A$2634)+ROW()-4)</f>
        <v/>
      </c>
      <c r="B1464" s="278"/>
      <c r="C1464" s="335"/>
      <c r="D1464" s="255"/>
      <c r="E1464" s="255"/>
      <c r="F1464" s="258"/>
      <c r="G1464" s="255"/>
      <c r="H1464" s="255"/>
      <c r="I1464" s="250"/>
      <c r="J1464" s="255"/>
      <c r="K1464" s="255"/>
      <c r="L1464" s="250"/>
      <c r="M1464" s="411"/>
      <c r="N1464" s="277"/>
      <c r="O1464" s="329"/>
      <c r="P1464" s="402">
        <f t="shared" ref="P1464:Q1464" si="1460">IF(B1464=0,0,IF(YEAR(B1464)=$Q$1,MONTH(B1464)-$P$1+1,(YEAR(B1464)-$Q$1)*12-$P$1+1+MONTH(B1464)))</f>
        <v>0</v>
      </c>
      <c r="Q1464" s="402">
        <f t="shared" si="1460"/>
        <v>0</v>
      </c>
      <c r="R1464" s="356" t="str">
        <f t="shared" si="1"/>
        <v/>
      </c>
      <c r="S1464" s="356" t="str">
        <f>IF(D1464="","",IF(OR(D1464=Plano!$A$1,D1464=Plano!$B$1),"entrada","saída"))</f>
        <v/>
      </c>
      <c r="T1464" s="345"/>
      <c r="U1464" s="345"/>
      <c r="V1464" s="269"/>
    </row>
    <row r="1465" spans="1:22" ht="12.75" customHeight="1" x14ac:dyDescent="0.2">
      <c r="A1465" s="277" t="str">
        <f>IF(B1465="","",COUNT('Diário 5º PA'!$A$5:$A$2634)+ROW()-4)</f>
        <v/>
      </c>
      <c r="B1465" s="278"/>
      <c r="C1465" s="335"/>
      <c r="D1465" s="255"/>
      <c r="E1465" s="255"/>
      <c r="F1465" s="258"/>
      <c r="G1465" s="255"/>
      <c r="H1465" s="255"/>
      <c r="I1465" s="250"/>
      <c r="J1465" s="255"/>
      <c r="K1465" s="255"/>
      <c r="L1465" s="250"/>
      <c r="M1465" s="411"/>
      <c r="N1465" s="277"/>
      <c r="O1465" s="329"/>
      <c r="P1465" s="402">
        <f t="shared" ref="P1465:Q1465" si="1461">IF(B1465=0,0,IF(YEAR(B1465)=$Q$1,MONTH(B1465)-$P$1+1,(YEAR(B1465)-$Q$1)*12-$P$1+1+MONTH(B1465)))</f>
        <v>0</v>
      </c>
      <c r="Q1465" s="402">
        <f t="shared" si="1461"/>
        <v>0</v>
      </c>
      <c r="R1465" s="356" t="str">
        <f t="shared" si="1"/>
        <v/>
      </c>
      <c r="S1465" s="356" t="str">
        <f>IF(D1465="","",IF(OR(D1465=Plano!$A$1,D1465=Plano!$B$1),"entrada","saída"))</f>
        <v/>
      </c>
      <c r="T1465" s="345"/>
      <c r="U1465" s="345"/>
      <c r="V1465" s="269"/>
    </row>
    <row r="1466" spans="1:22" ht="12.75" customHeight="1" x14ac:dyDescent="0.2">
      <c r="A1466" s="277" t="str">
        <f>IF(B1466="","",COUNT('Diário 5º PA'!$A$5:$A$2634)+ROW()-4)</f>
        <v/>
      </c>
      <c r="B1466" s="278"/>
      <c r="C1466" s="335"/>
      <c r="D1466" s="255"/>
      <c r="E1466" s="255"/>
      <c r="F1466" s="258"/>
      <c r="G1466" s="255"/>
      <c r="H1466" s="255"/>
      <c r="I1466" s="250"/>
      <c r="J1466" s="255"/>
      <c r="K1466" s="255"/>
      <c r="L1466" s="250"/>
      <c r="M1466" s="411"/>
      <c r="N1466" s="277"/>
      <c r="O1466" s="329"/>
      <c r="P1466" s="402">
        <f t="shared" ref="P1466:Q1466" si="1462">IF(B1466=0,0,IF(YEAR(B1466)=$Q$1,MONTH(B1466)-$P$1+1,(YEAR(B1466)-$Q$1)*12-$P$1+1+MONTH(B1466)))</f>
        <v>0</v>
      </c>
      <c r="Q1466" s="402">
        <f t="shared" si="1462"/>
        <v>0</v>
      </c>
      <c r="R1466" s="356" t="str">
        <f t="shared" si="1"/>
        <v/>
      </c>
      <c r="S1466" s="356" t="str">
        <f>IF(D1466="","",IF(OR(D1466=Plano!$A$1,D1466=Plano!$B$1),"entrada","saída"))</f>
        <v/>
      </c>
      <c r="T1466" s="345"/>
      <c r="U1466" s="345"/>
      <c r="V1466" s="269"/>
    </row>
    <row r="1467" spans="1:22" ht="12.75" customHeight="1" x14ac:dyDescent="0.2">
      <c r="A1467" s="277" t="str">
        <f>IF(B1467="","",COUNT('Diário 5º PA'!$A$5:$A$2634)+ROW()-4)</f>
        <v/>
      </c>
      <c r="B1467" s="278"/>
      <c r="C1467" s="335"/>
      <c r="D1467" s="255"/>
      <c r="E1467" s="255"/>
      <c r="F1467" s="258"/>
      <c r="G1467" s="255"/>
      <c r="H1467" s="255"/>
      <c r="I1467" s="250"/>
      <c r="J1467" s="255"/>
      <c r="K1467" s="255"/>
      <c r="L1467" s="250"/>
      <c r="M1467" s="411"/>
      <c r="N1467" s="277"/>
      <c r="O1467" s="329"/>
      <c r="P1467" s="402">
        <f t="shared" ref="P1467:Q1467" si="1463">IF(B1467=0,0,IF(YEAR(B1467)=$Q$1,MONTH(B1467)-$P$1+1,(YEAR(B1467)-$Q$1)*12-$P$1+1+MONTH(B1467)))</f>
        <v>0</v>
      </c>
      <c r="Q1467" s="402">
        <f t="shared" si="1463"/>
        <v>0</v>
      </c>
      <c r="R1467" s="356" t="str">
        <f t="shared" si="1"/>
        <v/>
      </c>
      <c r="S1467" s="356" t="str">
        <f>IF(D1467="","",IF(OR(D1467=Plano!$A$1,D1467=Plano!$B$1),"entrada","saída"))</f>
        <v/>
      </c>
      <c r="T1467" s="345"/>
      <c r="U1467" s="345"/>
      <c r="V1467" s="269"/>
    </row>
    <row r="1468" spans="1:22" ht="12.75" customHeight="1" x14ac:dyDescent="0.2">
      <c r="A1468" s="277" t="str">
        <f>IF(B1468="","",COUNT('Diário 5º PA'!$A$5:$A$2634)+ROW()-4)</f>
        <v/>
      </c>
      <c r="B1468" s="278"/>
      <c r="C1468" s="335"/>
      <c r="D1468" s="255"/>
      <c r="E1468" s="255"/>
      <c r="F1468" s="258"/>
      <c r="G1468" s="255"/>
      <c r="H1468" s="255"/>
      <c r="I1468" s="250"/>
      <c r="J1468" s="255"/>
      <c r="K1468" s="255"/>
      <c r="L1468" s="250"/>
      <c r="M1468" s="411"/>
      <c r="N1468" s="277"/>
      <c r="O1468" s="329"/>
      <c r="P1468" s="402">
        <f t="shared" ref="P1468:Q1468" si="1464">IF(B1468=0,0,IF(YEAR(B1468)=$Q$1,MONTH(B1468)-$P$1+1,(YEAR(B1468)-$Q$1)*12-$P$1+1+MONTH(B1468)))</f>
        <v>0</v>
      </c>
      <c r="Q1468" s="402">
        <f t="shared" si="1464"/>
        <v>0</v>
      </c>
      <c r="R1468" s="356" t="str">
        <f t="shared" si="1"/>
        <v/>
      </c>
      <c r="S1468" s="356" t="str">
        <f>IF(D1468="","",IF(OR(D1468=Plano!$A$1,D1468=Plano!$B$1),"entrada","saída"))</f>
        <v/>
      </c>
      <c r="T1468" s="345"/>
      <c r="U1468" s="345"/>
      <c r="V1468" s="269"/>
    </row>
    <row r="1469" spans="1:22" ht="12.75" customHeight="1" x14ac:dyDescent="0.2">
      <c r="A1469" s="277" t="str">
        <f>IF(B1469="","",COUNT('Diário 5º PA'!$A$5:$A$2634)+ROW()-4)</f>
        <v/>
      </c>
      <c r="B1469" s="278"/>
      <c r="C1469" s="335"/>
      <c r="D1469" s="255"/>
      <c r="E1469" s="255"/>
      <c r="F1469" s="258"/>
      <c r="G1469" s="255"/>
      <c r="H1469" s="255"/>
      <c r="I1469" s="250"/>
      <c r="J1469" s="255"/>
      <c r="K1469" s="255"/>
      <c r="L1469" s="250"/>
      <c r="M1469" s="411"/>
      <c r="N1469" s="277"/>
      <c r="O1469" s="329"/>
      <c r="P1469" s="402">
        <f t="shared" ref="P1469:Q1469" si="1465">IF(B1469=0,0,IF(YEAR(B1469)=$Q$1,MONTH(B1469)-$P$1+1,(YEAR(B1469)-$Q$1)*12-$P$1+1+MONTH(B1469)))</f>
        <v>0</v>
      </c>
      <c r="Q1469" s="402">
        <f t="shared" si="1465"/>
        <v>0</v>
      </c>
      <c r="R1469" s="356" t="str">
        <f t="shared" si="1"/>
        <v/>
      </c>
      <c r="S1469" s="356" t="str">
        <f>IF(D1469="","",IF(OR(D1469=Plano!$A$1,D1469=Plano!$B$1),"entrada","saída"))</f>
        <v/>
      </c>
      <c r="T1469" s="345"/>
      <c r="U1469" s="345"/>
      <c r="V1469" s="269"/>
    </row>
    <row r="1470" spans="1:22" ht="12.75" customHeight="1" x14ac:dyDescent="0.2">
      <c r="A1470" s="277" t="str">
        <f>IF(B1470="","",COUNT('Diário 5º PA'!$A$5:$A$2634)+ROW()-4)</f>
        <v/>
      </c>
      <c r="B1470" s="278"/>
      <c r="C1470" s="335"/>
      <c r="D1470" s="255"/>
      <c r="E1470" s="255"/>
      <c r="F1470" s="258"/>
      <c r="G1470" s="255"/>
      <c r="H1470" s="255"/>
      <c r="I1470" s="250"/>
      <c r="J1470" s="255"/>
      <c r="K1470" s="255"/>
      <c r="L1470" s="250"/>
      <c r="M1470" s="411"/>
      <c r="N1470" s="277"/>
      <c r="O1470" s="329"/>
      <c r="P1470" s="402">
        <f t="shared" ref="P1470:Q1470" si="1466">IF(B1470=0,0,IF(YEAR(B1470)=$Q$1,MONTH(B1470)-$P$1+1,(YEAR(B1470)-$Q$1)*12-$P$1+1+MONTH(B1470)))</f>
        <v>0</v>
      </c>
      <c r="Q1470" s="402">
        <f t="shared" si="1466"/>
        <v>0</v>
      </c>
      <c r="R1470" s="356" t="str">
        <f t="shared" si="1"/>
        <v/>
      </c>
      <c r="S1470" s="356" t="str">
        <f>IF(D1470="","",IF(OR(D1470=Plano!$A$1,D1470=Plano!$B$1),"entrada","saída"))</f>
        <v/>
      </c>
      <c r="T1470" s="345"/>
      <c r="U1470" s="345"/>
      <c r="V1470" s="269"/>
    </row>
    <row r="1471" spans="1:22" ht="12.75" customHeight="1" x14ac:dyDescent="0.2">
      <c r="A1471" s="277" t="str">
        <f>IF(B1471="","",COUNT('Diário 5º PA'!$A$5:$A$2634)+ROW()-4)</f>
        <v/>
      </c>
      <c r="B1471" s="278"/>
      <c r="C1471" s="335"/>
      <c r="D1471" s="255"/>
      <c r="E1471" s="255"/>
      <c r="F1471" s="258"/>
      <c r="G1471" s="255"/>
      <c r="H1471" s="255"/>
      <c r="I1471" s="250"/>
      <c r="J1471" s="255"/>
      <c r="K1471" s="255"/>
      <c r="L1471" s="250"/>
      <c r="M1471" s="411"/>
      <c r="N1471" s="277"/>
      <c r="O1471" s="329"/>
      <c r="P1471" s="402">
        <f t="shared" ref="P1471:Q1471" si="1467">IF(B1471=0,0,IF(YEAR(B1471)=$Q$1,MONTH(B1471)-$P$1+1,(YEAR(B1471)-$Q$1)*12-$P$1+1+MONTH(B1471)))</f>
        <v>0</v>
      </c>
      <c r="Q1471" s="402">
        <f t="shared" si="1467"/>
        <v>0</v>
      </c>
      <c r="R1471" s="356" t="str">
        <f t="shared" si="1"/>
        <v/>
      </c>
      <c r="S1471" s="356" t="str">
        <f>IF(D1471="","",IF(OR(D1471=Plano!$A$1,D1471=Plano!$B$1),"entrada","saída"))</f>
        <v/>
      </c>
      <c r="T1471" s="345"/>
      <c r="U1471" s="345"/>
      <c r="V1471" s="269"/>
    </row>
    <row r="1472" spans="1:22" ht="12.75" customHeight="1" x14ac:dyDescent="0.2">
      <c r="A1472" s="277" t="str">
        <f>IF(B1472="","",COUNT('Diário 5º PA'!$A$5:$A$2634)+ROW()-4)</f>
        <v/>
      </c>
      <c r="B1472" s="278"/>
      <c r="C1472" s="335"/>
      <c r="D1472" s="255"/>
      <c r="E1472" s="255"/>
      <c r="F1472" s="258"/>
      <c r="G1472" s="255"/>
      <c r="H1472" s="255"/>
      <c r="I1472" s="250"/>
      <c r="J1472" s="255"/>
      <c r="K1472" s="255"/>
      <c r="L1472" s="250"/>
      <c r="M1472" s="411"/>
      <c r="N1472" s="277"/>
      <c r="O1472" s="329"/>
      <c r="P1472" s="402">
        <f t="shared" ref="P1472:Q1472" si="1468">IF(B1472=0,0,IF(YEAR(B1472)=$Q$1,MONTH(B1472)-$P$1+1,(YEAR(B1472)-$Q$1)*12-$P$1+1+MONTH(B1472)))</f>
        <v>0</v>
      </c>
      <c r="Q1472" s="402">
        <f t="shared" si="1468"/>
        <v>0</v>
      </c>
      <c r="R1472" s="356" t="str">
        <f t="shared" si="1"/>
        <v/>
      </c>
      <c r="S1472" s="356" t="str">
        <f>IF(D1472="","",IF(OR(D1472=Plano!$A$1,D1472=Plano!$B$1),"entrada","saída"))</f>
        <v/>
      </c>
      <c r="T1472" s="345"/>
      <c r="U1472" s="345"/>
      <c r="V1472" s="269"/>
    </row>
    <row r="1473" spans="1:22" ht="12.75" customHeight="1" x14ac:dyDescent="0.2">
      <c r="A1473" s="277" t="str">
        <f>IF(B1473="","",COUNT('Diário 5º PA'!$A$5:$A$2634)+ROW()-4)</f>
        <v/>
      </c>
      <c r="B1473" s="278"/>
      <c r="C1473" s="335"/>
      <c r="D1473" s="255"/>
      <c r="E1473" s="255"/>
      <c r="F1473" s="258"/>
      <c r="G1473" s="255"/>
      <c r="H1473" s="255"/>
      <c r="I1473" s="250"/>
      <c r="J1473" s="255"/>
      <c r="K1473" s="255"/>
      <c r="L1473" s="250"/>
      <c r="M1473" s="411"/>
      <c r="N1473" s="277"/>
      <c r="O1473" s="329"/>
      <c r="P1473" s="402">
        <f t="shared" ref="P1473:Q1473" si="1469">IF(B1473=0,0,IF(YEAR(B1473)=$Q$1,MONTH(B1473)-$P$1+1,(YEAR(B1473)-$Q$1)*12-$P$1+1+MONTH(B1473)))</f>
        <v>0</v>
      </c>
      <c r="Q1473" s="402">
        <f t="shared" si="1469"/>
        <v>0</v>
      </c>
      <c r="R1473" s="356" t="str">
        <f t="shared" si="1"/>
        <v/>
      </c>
      <c r="S1473" s="356" t="str">
        <f>IF(D1473="","",IF(OR(D1473=Plano!$A$1,D1473=Plano!$B$1),"entrada","saída"))</f>
        <v/>
      </c>
      <c r="T1473" s="345"/>
      <c r="U1473" s="345"/>
      <c r="V1473" s="269"/>
    </row>
    <row r="1474" spans="1:22" ht="12.75" customHeight="1" x14ac:dyDescent="0.2">
      <c r="A1474" s="277" t="str">
        <f>IF(B1474="","",COUNT('Diário 5º PA'!$A$5:$A$2634)+ROW()-4)</f>
        <v/>
      </c>
      <c r="B1474" s="278"/>
      <c r="C1474" s="335"/>
      <c r="D1474" s="255"/>
      <c r="E1474" s="255"/>
      <c r="F1474" s="258"/>
      <c r="G1474" s="255"/>
      <c r="H1474" s="255"/>
      <c r="I1474" s="250"/>
      <c r="J1474" s="255"/>
      <c r="K1474" s="255"/>
      <c r="L1474" s="250"/>
      <c r="M1474" s="411"/>
      <c r="N1474" s="277"/>
      <c r="O1474" s="329"/>
      <c r="P1474" s="402">
        <f t="shared" ref="P1474:Q1474" si="1470">IF(B1474=0,0,IF(YEAR(B1474)=$Q$1,MONTH(B1474)-$P$1+1,(YEAR(B1474)-$Q$1)*12-$P$1+1+MONTH(B1474)))</f>
        <v>0</v>
      </c>
      <c r="Q1474" s="402">
        <f t="shared" si="1470"/>
        <v>0</v>
      </c>
      <c r="R1474" s="356" t="str">
        <f t="shared" si="1"/>
        <v/>
      </c>
      <c r="S1474" s="356" t="str">
        <f>IF(D1474="","",IF(OR(D1474=Plano!$A$1,D1474=Plano!$B$1),"entrada","saída"))</f>
        <v/>
      </c>
      <c r="T1474" s="345"/>
      <c r="U1474" s="345"/>
      <c r="V1474" s="269"/>
    </row>
    <row r="1475" spans="1:22" ht="12.75" customHeight="1" x14ac:dyDescent="0.2">
      <c r="A1475" s="277" t="str">
        <f>IF(B1475="","",COUNT('Diário 5º PA'!$A$5:$A$2634)+ROW()-4)</f>
        <v/>
      </c>
      <c r="B1475" s="278"/>
      <c r="C1475" s="335"/>
      <c r="D1475" s="255"/>
      <c r="E1475" s="255"/>
      <c r="F1475" s="258"/>
      <c r="G1475" s="255"/>
      <c r="H1475" s="255"/>
      <c r="I1475" s="250"/>
      <c r="J1475" s="255"/>
      <c r="K1475" s="255"/>
      <c r="L1475" s="250"/>
      <c r="M1475" s="411"/>
      <c r="N1475" s="277"/>
      <c r="O1475" s="329"/>
      <c r="P1475" s="402">
        <f t="shared" ref="P1475:Q1475" si="1471">IF(B1475=0,0,IF(YEAR(B1475)=$Q$1,MONTH(B1475)-$P$1+1,(YEAR(B1475)-$Q$1)*12-$P$1+1+MONTH(B1475)))</f>
        <v>0</v>
      </c>
      <c r="Q1475" s="402">
        <f t="shared" si="1471"/>
        <v>0</v>
      </c>
      <c r="R1475" s="356" t="str">
        <f t="shared" si="1"/>
        <v/>
      </c>
      <c r="S1475" s="356" t="str">
        <f>IF(D1475="","",IF(OR(D1475=Plano!$A$1,D1475=Plano!$B$1),"entrada","saída"))</f>
        <v/>
      </c>
      <c r="T1475" s="345"/>
      <c r="U1475" s="345"/>
      <c r="V1475" s="269"/>
    </row>
    <row r="1476" spans="1:22" ht="12.75" customHeight="1" x14ac:dyDescent="0.2">
      <c r="A1476" s="277" t="str">
        <f>IF(B1476="","",COUNT('Diário 5º PA'!$A$5:$A$2634)+ROW()-4)</f>
        <v/>
      </c>
      <c r="B1476" s="278"/>
      <c r="C1476" s="335"/>
      <c r="D1476" s="255"/>
      <c r="E1476" s="255"/>
      <c r="F1476" s="258"/>
      <c r="G1476" s="255"/>
      <c r="H1476" s="255"/>
      <c r="I1476" s="250"/>
      <c r="J1476" s="255"/>
      <c r="K1476" s="255"/>
      <c r="L1476" s="250"/>
      <c r="M1476" s="411"/>
      <c r="N1476" s="277"/>
      <c r="O1476" s="329"/>
      <c r="P1476" s="402">
        <f t="shared" ref="P1476:Q1476" si="1472">IF(B1476=0,0,IF(YEAR(B1476)=$Q$1,MONTH(B1476)-$P$1+1,(YEAR(B1476)-$Q$1)*12-$P$1+1+MONTH(B1476)))</f>
        <v>0</v>
      </c>
      <c r="Q1476" s="402">
        <f t="shared" si="1472"/>
        <v>0</v>
      </c>
      <c r="R1476" s="356" t="str">
        <f t="shared" si="1"/>
        <v/>
      </c>
      <c r="S1476" s="356" t="str">
        <f>IF(D1476="","",IF(OR(D1476=Plano!$A$1,D1476=Plano!$B$1),"entrada","saída"))</f>
        <v/>
      </c>
      <c r="T1476" s="345"/>
      <c r="U1476" s="345"/>
      <c r="V1476" s="269"/>
    </row>
    <row r="1477" spans="1:22" ht="12.75" customHeight="1" x14ac:dyDescent="0.2">
      <c r="A1477" s="277" t="str">
        <f>IF(B1477="","",COUNT('Diário 5º PA'!$A$5:$A$2634)+ROW()-4)</f>
        <v/>
      </c>
      <c r="B1477" s="278"/>
      <c r="C1477" s="335"/>
      <c r="D1477" s="255"/>
      <c r="E1477" s="255"/>
      <c r="F1477" s="258"/>
      <c r="G1477" s="255"/>
      <c r="H1477" s="255"/>
      <c r="I1477" s="250"/>
      <c r="J1477" s="255"/>
      <c r="K1477" s="255"/>
      <c r="L1477" s="250"/>
      <c r="M1477" s="411"/>
      <c r="N1477" s="277"/>
      <c r="O1477" s="329"/>
      <c r="P1477" s="402">
        <f t="shared" ref="P1477:Q1477" si="1473">IF(B1477=0,0,IF(YEAR(B1477)=$Q$1,MONTH(B1477)-$P$1+1,(YEAR(B1477)-$Q$1)*12-$P$1+1+MONTH(B1477)))</f>
        <v>0</v>
      </c>
      <c r="Q1477" s="402">
        <f t="shared" si="1473"/>
        <v>0</v>
      </c>
      <c r="R1477" s="356" t="str">
        <f t="shared" si="1"/>
        <v/>
      </c>
      <c r="S1477" s="356" t="str">
        <f>IF(D1477="","",IF(OR(D1477=Plano!$A$1,D1477=Plano!$B$1),"entrada","saída"))</f>
        <v/>
      </c>
      <c r="T1477" s="345"/>
      <c r="U1477" s="345"/>
      <c r="V1477" s="269"/>
    </row>
    <row r="1478" spans="1:22" ht="12.75" customHeight="1" x14ac:dyDescent="0.2">
      <c r="A1478" s="277" t="str">
        <f>IF(B1478="","",COUNT('Diário 5º PA'!$A$5:$A$2634)+ROW()-4)</f>
        <v/>
      </c>
      <c r="B1478" s="278"/>
      <c r="C1478" s="335"/>
      <c r="D1478" s="255"/>
      <c r="E1478" s="255"/>
      <c r="F1478" s="258"/>
      <c r="G1478" s="255"/>
      <c r="H1478" s="255"/>
      <c r="I1478" s="250"/>
      <c r="J1478" s="255"/>
      <c r="K1478" s="255"/>
      <c r="L1478" s="250"/>
      <c r="M1478" s="411"/>
      <c r="N1478" s="277"/>
      <c r="O1478" s="329"/>
      <c r="P1478" s="402">
        <f t="shared" ref="P1478:Q1478" si="1474">IF(B1478=0,0,IF(YEAR(B1478)=$Q$1,MONTH(B1478)-$P$1+1,(YEAR(B1478)-$Q$1)*12-$P$1+1+MONTH(B1478)))</f>
        <v>0</v>
      </c>
      <c r="Q1478" s="402">
        <f t="shared" si="1474"/>
        <v>0</v>
      </c>
      <c r="R1478" s="356" t="str">
        <f t="shared" si="1"/>
        <v/>
      </c>
      <c r="S1478" s="356" t="str">
        <f>IF(D1478="","",IF(OR(D1478=Plano!$A$1,D1478=Plano!$B$1),"entrada","saída"))</f>
        <v/>
      </c>
      <c r="T1478" s="345"/>
      <c r="U1478" s="345"/>
      <c r="V1478" s="269"/>
    </row>
    <row r="1479" spans="1:22" ht="12.75" customHeight="1" x14ac:dyDescent="0.2">
      <c r="A1479" s="277" t="str">
        <f>IF(B1479="","",COUNT('Diário 5º PA'!$A$5:$A$2634)+ROW()-4)</f>
        <v/>
      </c>
      <c r="B1479" s="278"/>
      <c r="C1479" s="335"/>
      <c r="D1479" s="255"/>
      <c r="E1479" s="255"/>
      <c r="F1479" s="258"/>
      <c r="G1479" s="255"/>
      <c r="H1479" s="255"/>
      <c r="I1479" s="250"/>
      <c r="J1479" s="255"/>
      <c r="K1479" s="255"/>
      <c r="L1479" s="250"/>
      <c r="M1479" s="411"/>
      <c r="N1479" s="277"/>
      <c r="O1479" s="329"/>
      <c r="P1479" s="402">
        <f t="shared" ref="P1479:Q1479" si="1475">IF(B1479=0,0,IF(YEAR(B1479)=$Q$1,MONTH(B1479)-$P$1+1,(YEAR(B1479)-$Q$1)*12-$P$1+1+MONTH(B1479)))</f>
        <v>0</v>
      </c>
      <c r="Q1479" s="402">
        <f t="shared" si="1475"/>
        <v>0</v>
      </c>
      <c r="R1479" s="356" t="str">
        <f t="shared" si="1"/>
        <v/>
      </c>
      <c r="S1479" s="356" t="str">
        <f>IF(D1479="","",IF(OR(D1479=Plano!$A$1,D1479=Plano!$B$1),"entrada","saída"))</f>
        <v/>
      </c>
      <c r="T1479" s="345"/>
      <c r="U1479" s="345"/>
      <c r="V1479" s="269"/>
    </row>
    <row r="1480" spans="1:22" ht="12.75" customHeight="1" x14ac:dyDescent="0.2">
      <c r="A1480" s="277" t="str">
        <f>IF(B1480="","",COUNT('Diário 5º PA'!$A$5:$A$2634)+ROW()-4)</f>
        <v/>
      </c>
      <c r="B1480" s="278"/>
      <c r="C1480" s="335"/>
      <c r="D1480" s="255"/>
      <c r="E1480" s="255"/>
      <c r="F1480" s="258"/>
      <c r="G1480" s="255"/>
      <c r="H1480" s="255"/>
      <c r="I1480" s="250"/>
      <c r="J1480" s="255"/>
      <c r="K1480" s="255"/>
      <c r="L1480" s="250"/>
      <c r="M1480" s="411"/>
      <c r="N1480" s="277"/>
      <c r="O1480" s="329"/>
      <c r="P1480" s="402">
        <f t="shared" ref="P1480:Q1480" si="1476">IF(B1480=0,0,IF(YEAR(B1480)=$Q$1,MONTH(B1480)-$P$1+1,(YEAR(B1480)-$Q$1)*12-$P$1+1+MONTH(B1480)))</f>
        <v>0</v>
      </c>
      <c r="Q1480" s="402">
        <f t="shared" si="1476"/>
        <v>0</v>
      </c>
      <c r="R1480" s="356" t="str">
        <f t="shared" si="1"/>
        <v/>
      </c>
      <c r="S1480" s="356" t="str">
        <f>IF(D1480="","",IF(OR(D1480=Plano!$A$1,D1480=Plano!$B$1),"entrada","saída"))</f>
        <v/>
      </c>
      <c r="T1480" s="345"/>
      <c r="U1480" s="345"/>
      <c r="V1480" s="269"/>
    </row>
    <row r="1481" spans="1:22" ht="12.75" customHeight="1" x14ac:dyDescent="0.2">
      <c r="A1481" s="277" t="str">
        <f>IF(B1481="","",COUNT('Diário 5º PA'!$A$5:$A$2634)+ROW()-4)</f>
        <v/>
      </c>
      <c r="B1481" s="278"/>
      <c r="C1481" s="335"/>
      <c r="D1481" s="255"/>
      <c r="E1481" s="255"/>
      <c r="F1481" s="258"/>
      <c r="G1481" s="255"/>
      <c r="H1481" s="255"/>
      <c r="I1481" s="250"/>
      <c r="J1481" s="255"/>
      <c r="K1481" s="255"/>
      <c r="L1481" s="250"/>
      <c r="M1481" s="411"/>
      <c r="N1481" s="277"/>
      <c r="O1481" s="329"/>
      <c r="P1481" s="402">
        <f t="shared" ref="P1481:Q1481" si="1477">IF(B1481=0,0,IF(YEAR(B1481)=$Q$1,MONTH(B1481)-$P$1+1,(YEAR(B1481)-$Q$1)*12-$P$1+1+MONTH(B1481)))</f>
        <v>0</v>
      </c>
      <c r="Q1481" s="402">
        <f t="shared" si="1477"/>
        <v>0</v>
      </c>
      <c r="R1481" s="356" t="str">
        <f t="shared" si="1"/>
        <v/>
      </c>
      <c r="S1481" s="356" t="str">
        <f>IF(D1481="","",IF(OR(D1481=Plano!$A$1,D1481=Plano!$B$1),"entrada","saída"))</f>
        <v/>
      </c>
      <c r="T1481" s="345"/>
      <c r="U1481" s="345"/>
      <c r="V1481" s="269"/>
    </row>
    <row r="1482" spans="1:22" ht="12.75" customHeight="1" x14ac:dyDescent="0.2">
      <c r="A1482" s="277" t="str">
        <f>IF(B1482="","",COUNT('Diário 5º PA'!$A$5:$A$2634)+ROW()-4)</f>
        <v/>
      </c>
      <c r="B1482" s="278"/>
      <c r="C1482" s="335"/>
      <c r="D1482" s="255"/>
      <c r="E1482" s="255"/>
      <c r="F1482" s="258"/>
      <c r="G1482" s="255"/>
      <c r="H1482" s="255"/>
      <c r="I1482" s="250"/>
      <c r="J1482" s="255"/>
      <c r="K1482" s="255"/>
      <c r="L1482" s="250"/>
      <c r="M1482" s="411"/>
      <c r="N1482" s="277"/>
      <c r="O1482" s="329"/>
      <c r="P1482" s="402">
        <f t="shared" ref="P1482:Q1482" si="1478">IF(B1482=0,0,IF(YEAR(B1482)=$Q$1,MONTH(B1482)-$P$1+1,(YEAR(B1482)-$Q$1)*12-$P$1+1+MONTH(B1482)))</f>
        <v>0</v>
      </c>
      <c r="Q1482" s="402">
        <f t="shared" si="1478"/>
        <v>0</v>
      </c>
      <c r="R1482" s="356" t="str">
        <f t="shared" si="1"/>
        <v/>
      </c>
      <c r="S1482" s="356" t="str">
        <f>IF(D1482="","",IF(OR(D1482=Plano!$A$1,D1482=Plano!$B$1),"entrada","saída"))</f>
        <v/>
      </c>
      <c r="T1482" s="345"/>
      <c r="U1482" s="345"/>
      <c r="V1482" s="269"/>
    </row>
    <row r="1483" spans="1:22" ht="12.75" customHeight="1" x14ac:dyDescent="0.2">
      <c r="A1483" s="277" t="str">
        <f>IF(B1483="","",COUNT('Diário 5º PA'!$A$5:$A$2634)+ROW()-4)</f>
        <v/>
      </c>
      <c r="B1483" s="278"/>
      <c r="C1483" s="335"/>
      <c r="D1483" s="255"/>
      <c r="E1483" s="255"/>
      <c r="F1483" s="258"/>
      <c r="G1483" s="255"/>
      <c r="H1483" s="255"/>
      <c r="I1483" s="250"/>
      <c r="J1483" s="255"/>
      <c r="K1483" s="255"/>
      <c r="L1483" s="250"/>
      <c r="M1483" s="411"/>
      <c r="N1483" s="277"/>
      <c r="O1483" s="329"/>
      <c r="P1483" s="402">
        <f t="shared" ref="P1483:Q1483" si="1479">IF(B1483=0,0,IF(YEAR(B1483)=$Q$1,MONTH(B1483)-$P$1+1,(YEAR(B1483)-$Q$1)*12-$P$1+1+MONTH(B1483)))</f>
        <v>0</v>
      </c>
      <c r="Q1483" s="402">
        <f t="shared" si="1479"/>
        <v>0</v>
      </c>
      <c r="R1483" s="356" t="str">
        <f t="shared" si="1"/>
        <v/>
      </c>
      <c r="S1483" s="356" t="str">
        <f>IF(D1483="","",IF(OR(D1483=Plano!$A$1,D1483=Plano!$B$1),"entrada","saída"))</f>
        <v/>
      </c>
      <c r="T1483" s="345"/>
      <c r="U1483" s="345"/>
      <c r="V1483" s="269"/>
    </row>
    <row r="1484" spans="1:22" ht="12.75" customHeight="1" x14ac:dyDescent="0.2">
      <c r="A1484" s="277" t="str">
        <f>IF(B1484="","",COUNT('Diário 5º PA'!$A$5:$A$2634)+ROW()-4)</f>
        <v/>
      </c>
      <c r="B1484" s="278"/>
      <c r="C1484" s="335"/>
      <c r="D1484" s="255"/>
      <c r="E1484" s="255"/>
      <c r="F1484" s="258"/>
      <c r="G1484" s="255"/>
      <c r="H1484" s="255"/>
      <c r="I1484" s="250"/>
      <c r="J1484" s="255"/>
      <c r="K1484" s="255"/>
      <c r="L1484" s="250"/>
      <c r="M1484" s="411"/>
      <c r="N1484" s="277"/>
      <c r="O1484" s="329"/>
      <c r="P1484" s="402">
        <f t="shared" ref="P1484:Q1484" si="1480">IF(B1484=0,0,IF(YEAR(B1484)=$Q$1,MONTH(B1484)-$P$1+1,(YEAR(B1484)-$Q$1)*12-$P$1+1+MONTH(B1484)))</f>
        <v>0</v>
      </c>
      <c r="Q1484" s="402">
        <f t="shared" si="1480"/>
        <v>0</v>
      </c>
      <c r="R1484" s="356" t="str">
        <f t="shared" si="1"/>
        <v/>
      </c>
      <c r="S1484" s="356" t="str">
        <f>IF(D1484="","",IF(OR(D1484=Plano!$A$1,D1484=Plano!$B$1),"entrada","saída"))</f>
        <v/>
      </c>
      <c r="T1484" s="345"/>
      <c r="U1484" s="345"/>
      <c r="V1484" s="269"/>
    </row>
    <row r="1485" spans="1:22" ht="12.75" customHeight="1" x14ac:dyDescent="0.2">
      <c r="A1485" s="277" t="str">
        <f>IF(B1485="","",COUNT('Diário 5º PA'!$A$5:$A$2634)+ROW()-4)</f>
        <v/>
      </c>
      <c r="B1485" s="278"/>
      <c r="C1485" s="335"/>
      <c r="D1485" s="255"/>
      <c r="E1485" s="255"/>
      <c r="F1485" s="258"/>
      <c r="G1485" s="255"/>
      <c r="H1485" s="255"/>
      <c r="I1485" s="250"/>
      <c r="J1485" s="255"/>
      <c r="K1485" s="255"/>
      <c r="L1485" s="250"/>
      <c r="M1485" s="411"/>
      <c r="N1485" s="277"/>
      <c r="O1485" s="329"/>
      <c r="P1485" s="402">
        <f t="shared" ref="P1485:Q1485" si="1481">IF(B1485=0,0,IF(YEAR(B1485)=$Q$1,MONTH(B1485)-$P$1+1,(YEAR(B1485)-$Q$1)*12-$P$1+1+MONTH(B1485)))</f>
        <v>0</v>
      </c>
      <c r="Q1485" s="402">
        <f t="shared" si="1481"/>
        <v>0</v>
      </c>
      <c r="R1485" s="356" t="str">
        <f t="shared" si="1"/>
        <v/>
      </c>
      <c r="S1485" s="356" t="str">
        <f>IF(D1485="","",IF(OR(D1485=Plano!$A$1,D1485=Plano!$B$1),"entrada","saída"))</f>
        <v/>
      </c>
      <c r="T1485" s="345"/>
      <c r="U1485" s="345"/>
      <c r="V1485" s="269"/>
    </row>
    <row r="1486" spans="1:22" ht="12.75" customHeight="1" x14ac:dyDescent="0.2">
      <c r="A1486" s="277" t="str">
        <f>IF(B1486="","",COUNT('Diário 5º PA'!$A$5:$A$2634)+ROW()-4)</f>
        <v/>
      </c>
      <c r="B1486" s="278"/>
      <c r="C1486" s="335"/>
      <c r="D1486" s="255"/>
      <c r="E1486" s="255"/>
      <c r="F1486" s="258"/>
      <c r="G1486" s="255"/>
      <c r="H1486" s="255"/>
      <c r="I1486" s="250"/>
      <c r="J1486" s="255"/>
      <c r="K1486" s="255"/>
      <c r="L1486" s="250"/>
      <c r="M1486" s="411"/>
      <c r="N1486" s="277"/>
      <c r="O1486" s="329"/>
      <c r="P1486" s="402">
        <f t="shared" ref="P1486:Q1486" si="1482">IF(B1486=0,0,IF(YEAR(B1486)=$Q$1,MONTH(B1486)-$P$1+1,(YEAR(B1486)-$Q$1)*12-$P$1+1+MONTH(B1486)))</f>
        <v>0</v>
      </c>
      <c r="Q1486" s="402">
        <f t="shared" si="1482"/>
        <v>0</v>
      </c>
      <c r="R1486" s="356" t="str">
        <f t="shared" si="1"/>
        <v/>
      </c>
      <c r="S1486" s="356" t="str">
        <f>IF(D1486="","",IF(OR(D1486=Plano!$A$1,D1486=Plano!$B$1),"entrada","saída"))</f>
        <v/>
      </c>
      <c r="T1486" s="345"/>
      <c r="U1486" s="345"/>
      <c r="V1486" s="269"/>
    </row>
    <row r="1487" spans="1:22" ht="12.75" customHeight="1" x14ac:dyDescent="0.2">
      <c r="A1487" s="277" t="str">
        <f>IF(B1487="","",COUNT('Diário 5º PA'!$A$5:$A$2634)+ROW()-4)</f>
        <v/>
      </c>
      <c r="B1487" s="278"/>
      <c r="C1487" s="335"/>
      <c r="D1487" s="255"/>
      <c r="E1487" s="255"/>
      <c r="F1487" s="258"/>
      <c r="G1487" s="255"/>
      <c r="H1487" s="255"/>
      <c r="I1487" s="250"/>
      <c r="J1487" s="255"/>
      <c r="K1487" s="255"/>
      <c r="L1487" s="250"/>
      <c r="M1487" s="411"/>
      <c r="N1487" s="277"/>
      <c r="O1487" s="329"/>
      <c r="P1487" s="402">
        <f t="shared" ref="P1487:Q1487" si="1483">IF(B1487=0,0,IF(YEAR(B1487)=$Q$1,MONTH(B1487)-$P$1+1,(YEAR(B1487)-$Q$1)*12-$P$1+1+MONTH(B1487)))</f>
        <v>0</v>
      </c>
      <c r="Q1487" s="402">
        <f t="shared" si="1483"/>
        <v>0</v>
      </c>
      <c r="R1487" s="356" t="str">
        <f t="shared" si="1"/>
        <v/>
      </c>
      <c r="S1487" s="356" t="str">
        <f>IF(D1487="","",IF(OR(D1487=Plano!$A$1,D1487=Plano!$B$1),"entrada","saída"))</f>
        <v/>
      </c>
      <c r="T1487" s="345"/>
      <c r="U1487" s="345"/>
      <c r="V1487" s="269"/>
    </row>
    <row r="1488" spans="1:22" ht="12.75" customHeight="1" x14ac:dyDescent="0.2">
      <c r="A1488" s="277" t="str">
        <f>IF(B1488="","",COUNT('Diário 5º PA'!$A$5:$A$2634)+ROW()-4)</f>
        <v/>
      </c>
      <c r="B1488" s="278"/>
      <c r="C1488" s="335"/>
      <c r="D1488" s="255"/>
      <c r="E1488" s="255"/>
      <c r="F1488" s="258"/>
      <c r="G1488" s="255"/>
      <c r="H1488" s="255"/>
      <c r="I1488" s="250"/>
      <c r="J1488" s="255"/>
      <c r="K1488" s="255"/>
      <c r="L1488" s="250"/>
      <c r="M1488" s="411"/>
      <c r="N1488" s="277"/>
      <c r="O1488" s="329"/>
      <c r="P1488" s="402">
        <f t="shared" ref="P1488:Q1488" si="1484">IF(B1488=0,0,IF(YEAR(B1488)=$Q$1,MONTH(B1488)-$P$1+1,(YEAR(B1488)-$Q$1)*12-$P$1+1+MONTH(B1488)))</f>
        <v>0</v>
      </c>
      <c r="Q1488" s="402">
        <f t="shared" si="1484"/>
        <v>0</v>
      </c>
      <c r="R1488" s="356" t="str">
        <f t="shared" si="1"/>
        <v/>
      </c>
      <c r="S1488" s="356" t="str">
        <f>IF(D1488="","",IF(OR(D1488=Plano!$A$1,D1488=Plano!$B$1),"entrada","saída"))</f>
        <v/>
      </c>
      <c r="T1488" s="345"/>
      <c r="U1488" s="345"/>
      <c r="V1488" s="269"/>
    </row>
    <row r="1489" spans="1:22" ht="12.75" customHeight="1" x14ac:dyDescent="0.2">
      <c r="A1489" s="277" t="str">
        <f>IF(B1489="","",COUNT('Diário 5º PA'!$A$5:$A$2634)+ROW()-4)</f>
        <v/>
      </c>
      <c r="B1489" s="278"/>
      <c r="C1489" s="335"/>
      <c r="D1489" s="255"/>
      <c r="E1489" s="255"/>
      <c r="F1489" s="258"/>
      <c r="G1489" s="255"/>
      <c r="H1489" s="255"/>
      <c r="I1489" s="250"/>
      <c r="J1489" s="255"/>
      <c r="K1489" s="255"/>
      <c r="L1489" s="250"/>
      <c r="M1489" s="411"/>
      <c r="N1489" s="277"/>
      <c r="O1489" s="329"/>
      <c r="P1489" s="402">
        <f t="shared" ref="P1489:Q1489" si="1485">IF(B1489=0,0,IF(YEAR(B1489)=$Q$1,MONTH(B1489)-$P$1+1,(YEAR(B1489)-$Q$1)*12-$P$1+1+MONTH(B1489)))</f>
        <v>0</v>
      </c>
      <c r="Q1489" s="402">
        <f t="shared" si="1485"/>
        <v>0</v>
      </c>
      <c r="R1489" s="356" t="str">
        <f t="shared" si="1"/>
        <v/>
      </c>
      <c r="S1489" s="356" t="str">
        <f>IF(D1489="","",IF(OR(D1489=Plano!$A$1,D1489=Plano!$B$1),"entrada","saída"))</f>
        <v/>
      </c>
      <c r="T1489" s="345"/>
      <c r="U1489" s="345"/>
      <c r="V1489" s="269"/>
    </row>
    <row r="1490" spans="1:22" ht="12.75" customHeight="1" x14ac:dyDescent="0.2">
      <c r="A1490" s="277" t="str">
        <f>IF(B1490="","",COUNT('Diário 5º PA'!$A$5:$A$2634)+ROW()-4)</f>
        <v/>
      </c>
      <c r="B1490" s="278"/>
      <c r="C1490" s="335"/>
      <c r="D1490" s="255"/>
      <c r="E1490" s="255"/>
      <c r="F1490" s="258"/>
      <c r="G1490" s="255"/>
      <c r="H1490" s="255"/>
      <c r="I1490" s="250"/>
      <c r="J1490" s="255"/>
      <c r="K1490" s="255"/>
      <c r="L1490" s="250"/>
      <c r="M1490" s="411"/>
      <c r="N1490" s="277"/>
      <c r="O1490" s="329"/>
      <c r="P1490" s="402">
        <f t="shared" ref="P1490:Q1490" si="1486">IF(B1490=0,0,IF(YEAR(B1490)=$Q$1,MONTH(B1490)-$P$1+1,(YEAR(B1490)-$Q$1)*12-$P$1+1+MONTH(B1490)))</f>
        <v>0</v>
      </c>
      <c r="Q1490" s="402">
        <f t="shared" si="1486"/>
        <v>0</v>
      </c>
      <c r="R1490" s="356" t="str">
        <f t="shared" si="1"/>
        <v/>
      </c>
      <c r="S1490" s="356" t="str">
        <f>IF(D1490="","",IF(OR(D1490=Plano!$A$1,D1490=Plano!$B$1),"entrada","saída"))</f>
        <v/>
      </c>
      <c r="T1490" s="345"/>
      <c r="U1490" s="345"/>
      <c r="V1490" s="269"/>
    </row>
    <row r="1491" spans="1:22" ht="12.75" customHeight="1" x14ac:dyDescent="0.2">
      <c r="A1491" s="277" t="str">
        <f>IF(B1491="","",COUNT('Diário 5º PA'!$A$5:$A$2634)+ROW()-4)</f>
        <v/>
      </c>
      <c r="B1491" s="278"/>
      <c r="C1491" s="335"/>
      <c r="D1491" s="255"/>
      <c r="E1491" s="255"/>
      <c r="F1491" s="258"/>
      <c r="G1491" s="255"/>
      <c r="H1491" s="255"/>
      <c r="I1491" s="250"/>
      <c r="J1491" s="255"/>
      <c r="K1491" s="255"/>
      <c r="L1491" s="250"/>
      <c r="M1491" s="411"/>
      <c r="N1491" s="277"/>
      <c r="O1491" s="329"/>
      <c r="P1491" s="402">
        <f t="shared" ref="P1491:Q1491" si="1487">IF(B1491=0,0,IF(YEAR(B1491)=$Q$1,MONTH(B1491)-$P$1+1,(YEAR(B1491)-$Q$1)*12-$P$1+1+MONTH(B1491)))</f>
        <v>0</v>
      </c>
      <c r="Q1491" s="402">
        <f t="shared" si="1487"/>
        <v>0</v>
      </c>
      <c r="R1491" s="356" t="str">
        <f t="shared" si="1"/>
        <v/>
      </c>
      <c r="S1491" s="356" t="str">
        <f>IF(D1491="","",IF(OR(D1491=Plano!$A$1,D1491=Plano!$B$1),"entrada","saída"))</f>
        <v/>
      </c>
      <c r="T1491" s="345"/>
      <c r="U1491" s="345"/>
      <c r="V1491" s="269"/>
    </row>
    <row r="1492" spans="1:22" ht="12.75" customHeight="1" x14ac:dyDescent="0.2">
      <c r="A1492" s="277" t="str">
        <f>IF(B1492="","",COUNT('Diário 5º PA'!$A$5:$A$2634)+ROW()-4)</f>
        <v/>
      </c>
      <c r="B1492" s="278"/>
      <c r="C1492" s="335"/>
      <c r="D1492" s="255"/>
      <c r="E1492" s="255"/>
      <c r="F1492" s="258"/>
      <c r="G1492" s="255"/>
      <c r="H1492" s="255"/>
      <c r="I1492" s="250"/>
      <c r="J1492" s="255"/>
      <c r="K1492" s="255"/>
      <c r="L1492" s="250"/>
      <c r="M1492" s="411"/>
      <c r="N1492" s="277"/>
      <c r="O1492" s="329"/>
      <c r="P1492" s="402">
        <f t="shared" ref="P1492:Q1492" si="1488">IF(B1492=0,0,IF(YEAR(B1492)=$Q$1,MONTH(B1492)-$P$1+1,(YEAR(B1492)-$Q$1)*12-$P$1+1+MONTH(B1492)))</f>
        <v>0</v>
      </c>
      <c r="Q1492" s="402">
        <f t="shared" si="1488"/>
        <v>0</v>
      </c>
      <c r="R1492" s="356" t="str">
        <f t="shared" si="1"/>
        <v/>
      </c>
      <c r="S1492" s="356" t="str">
        <f>IF(D1492="","",IF(OR(D1492=Plano!$A$1,D1492=Plano!$B$1),"entrada","saída"))</f>
        <v/>
      </c>
      <c r="T1492" s="345"/>
      <c r="U1492" s="345"/>
      <c r="V1492" s="269"/>
    </row>
    <row r="1493" spans="1:22" ht="12.75" customHeight="1" x14ac:dyDescent="0.2">
      <c r="A1493" s="277" t="str">
        <f>IF(B1493="","",COUNT('Diário 5º PA'!$A$5:$A$2634)+ROW()-4)</f>
        <v/>
      </c>
      <c r="B1493" s="278"/>
      <c r="C1493" s="335"/>
      <c r="D1493" s="255"/>
      <c r="E1493" s="255"/>
      <c r="F1493" s="258"/>
      <c r="G1493" s="255"/>
      <c r="H1493" s="255"/>
      <c r="I1493" s="250"/>
      <c r="J1493" s="255"/>
      <c r="K1493" s="255"/>
      <c r="L1493" s="250"/>
      <c r="M1493" s="411"/>
      <c r="N1493" s="277"/>
      <c r="O1493" s="329"/>
      <c r="P1493" s="402">
        <f t="shared" ref="P1493:Q1493" si="1489">IF(B1493=0,0,IF(YEAR(B1493)=$Q$1,MONTH(B1493)-$P$1+1,(YEAR(B1493)-$Q$1)*12-$P$1+1+MONTH(B1493)))</f>
        <v>0</v>
      </c>
      <c r="Q1493" s="402">
        <f t="shared" si="1489"/>
        <v>0</v>
      </c>
      <c r="R1493" s="356" t="str">
        <f t="shared" si="1"/>
        <v/>
      </c>
      <c r="S1493" s="356" t="str">
        <f>IF(D1493="","",IF(OR(D1493=Plano!$A$1,D1493=Plano!$B$1),"entrada","saída"))</f>
        <v/>
      </c>
      <c r="T1493" s="345"/>
      <c r="U1493" s="345"/>
      <c r="V1493" s="269"/>
    </row>
    <row r="1494" spans="1:22" ht="12.75" customHeight="1" x14ac:dyDescent="0.2">
      <c r="A1494" s="277" t="str">
        <f>IF(B1494="","",COUNT('Diário 5º PA'!$A$5:$A$2634)+ROW()-4)</f>
        <v/>
      </c>
      <c r="B1494" s="278"/>
      <c r="C1494" s="335"/>
      <c r="D1494" s="255"/>
      <c r="E1494" s="255"/>
      <c r="F1494" s="258"/>
      <c r="G1494" s="255"/>
      <c r="H1494" s="255"/>
      <c r="I1494" s="250"/>
      <c r="J1494" s="255"/>
      <c r="K1494" s="255"/>
      <c r="L1494" s="250"/>
      <c r="M1494" s="411"/>
      <c r="N1494" s="277"/>
      <c r="O1494" s="329"/>
      <c r="P1494" s="402">
        <f t="shared" ref="P1494:Q1494" si="1490">IF(B1494=0,0,IF(YEAR(B1494)=$Q$1,MONTH(B1494)-$P$1+1,(YEAR(B1494)-$Q$1)*12-$P$1+1+MONTH(B1494)))</f>
        <v>0</v>
      </c>
      <c r="Q1494" s="402">
        <f t="shared" si="1490"/>
        <v>0</v>
      </c>
      <c r="R1494" s="356" t="str">
        <f t="shared" si="1"/>
        <v/>
      </c>
      <c r="S1494" s="356" t="str">
        <f>IF(D1494="","",IF(OR(D1494=Plano!$A$1,D1494=Plano!$B$1),"entrada","saída"))</f>
        <v/>
      </c>
      <c r="T1494" s="345"/>
      <c r="U1494" s="345"/>
      <c r="V1494" s="269"/>
    </row>
    <row r="1495" spans="1:22" ht="12.75" customHeight="1" x14ac:dyDescent="0.2">
      <c r="A1495" s="277" t="str">
        <f>IF(B1495="","",COUNT('Diário 5º PA'!$A$5:$A$2634)+ROW()-4)</f>
        <v/>
      </c>
      <c r="B1495" s="278"/>
      <c r="C1495" s="335"/>
      <c r="D1495" s="255"/>
      <c r="E1495" s="255"/>
      <c r="F1495" s="258"/>
      <c r="G1495" s="255"/>
      <c r="H1495" s="255"/>
      <c r="I1495" s="250"/>
      <c r="J1495" s="255"/>
      <c r="K1495" s="255"/>
      <c r="L1495" s="250"/>
      <c r="M1495" s="255"/>
      <c r="N1495" s="277"/>
      <c r="O1495" s="329"/>
      <c r="P1495" s="402">
        <f t="shared" ref="P1495:Q1495" si="1491">IF(B1495=0,0,IF(YEAR(B1495)=$Q$1,MONTH(B1495)-$P$1+1,(YEAR(B1495)-$Q$1)*12-$P$1+1+MONTH(B1495)))</f>
        <v>0</v>
      </c>
      <c r="Q1495" s="402">
        <f t="shared" si="1491"/>
        <v>0</v>
      </c>
      <c r="R1495" s="356" t="str">
        <f t="shared" si="1"/>
        <v/>
      </c>
      <c r="S1495" s="356" t="str">
        <f>IF(D1495="","",IF(OR(D1495=Plano!$A$1,D1495=Plano!$B$1),"entrada","saída"))</f>
        <v/>
      </c>
      <c r="T1495" s="345"/>
      <c r="U1495" s="345"/>
      <c r="V1495" s="269"/>
    </row>
    <row r="1496" spans="1:22" ht="12.75" customHeight="1" x14ac:dyDescent="0.2">
      <c r="A1496" s="277" t="str">
        <f>IF(B1496="","",COUNT('Diário 5º PA'!$A$5:$A$2634)+ROW()-4)</f>
        <v/>
      </c>
      <c r="B1496" s="278"/>
      <c r="C1496" s="335"/>
      <c r="D1496" s="255"/>
      <c r="E1496" s="255"/>
      <c r="F1496" s="258"/>
      <c r="G1496" s="255"/>
      <c r="H1496" s="255"/>
      <c r="I1496" s="250"/>
      <c r="J1496" s="255"/>
      <c r="K1496" s="255"/>
      <c r="L1496" s="250"/>
      <c r="M1496" s="255"/>
      <c r="N1496" s="277"/>
      <c r="O1496" s="329"/>
      <c r="P1496" s="402">
        <f t="shared" ref="P1496:Q1496" si="1492">IF(B1496=0,0,IF(YEAR(B1496)=$Q$1,MONTH(B1496)-$P$1+1,(YEAR(B1496)-$Q$1)*12-$P$1+1+MONTH(B1496)))</f>
        <v>0</v>
      </c>
      <c r="Q1496" s="402">
        <f t="shared" si="1492"/>
        <v>0</v>
      </c>
      <c r="R1496" s="356" t="str">
        <f t="shared" si="1"/>
        <v/>
      </c>
      <c r="S1496" s="356" t="str">
        <f>IF(D1496="","",IF(OR(D1496=Plano!$A$1,D1496=Plano!$B$1),"entrada","saída"))</f>
        <v/>
      </c>
      <c r="T1496" s="345"/>
      <c r="U1496" s="345"/>
      <c r="V1496" s="269"/>
    </row>
    <row r="1497" spans="1:22" ht="12.75" customHeight="1" x14ac:dyDescent="0.2">
      <c r="A1497" s="277" t="str">
        <f>IF(B1497="","",COUNT('Diário 5º PA'!$A$5:$A$2634)+ROW()-4)</f>
        <v/>
      </c>
      <c r="B1497" s="278"/>
      <c r="C1497" s="335"/>
      <c r="D1497" s="255"/>
      <c r="E1497" s="255"/>
      <c r="F1497" s="258"/>
      <c r="G1497" s="255"/>
      <c r="H1497" s="255"/>
      <c r="I1497" s="250"/>
      <c r="J1497" s="255"/>
      <c r="K1497" s="255"/>
      <c r="L1497" s="250"/>
      <c r="M1497" s="255"/>
      <c r="N1497" s="277"/>
      <c r="O1497" s="329"/>
      <c r="P1497" s="402">
        <f t="shared" ref="P1497:Q1497" si="1493">IF(B1497=0,0,IF(YEAR(B1497)=$Q$1,MONTH(B1497)-$P$1+1,(YEAR(B1497)-$Q$1)*12-$P$1+1+MONTH(B1497)))</f>
        <v>0</v>
      </c>
      <c r="Q1497" s="402">
        <f t="shared" si="1493"/>
        <v>0</v>
      </c>
      <c r="R1497" s="356" t="str">
        <f t="shared" si="1"/>
        <v/>
      </c>
      <c r="S1497" s="356" t="str">
        <f>IF(D1497="","",IF(OR(D1497=Plano!$A$1,D1497=Plano!$B$1),"entrada","saída"))</f>
        <v/>
      </c>
      <c r="T1497" s="345"/>
      <c r="U1497" s="345"/>
      <c r="V1497" s="269"/>
    </row>
    <row r="1498" spans="1:22" ht="12.75" customHeight="1" x14ac:dyDescent="0.2">
      <c r="A1498" s="277" t="str">
        <f>IF(B1498="","",COUNT('Diário 5º PA'!$A$5:$A$2634)+ROW()-4)</f>
        <v/>
      </c>
      <c r="B1498" s="278"/>
      <c r="C1498" s="335"/>
      <c r="D1498" s="255"/>
      <c r="E1498" s="255"/>
      <c r="F1498" s="258"/>
      <c r="G1498" s="255"/>
      <c r="H1498" s="255"/>
      <c r="I1498" s="250"/>
      <c r="J1498" s="255"/>
      <c r="K1498" s="255"/>
      <c r="L1498" s="250"/>
      <c r="M1498" s="255"/>
      <c r="N1498" s="277"/>
      <c r="O1498" s="329"/>
      <c r="P1498" s="402">
        <f t="shared" ref="P1498:Q1498" si="1494">IF(B1498=0,0,IF(YEAR(B1498)=$Q$1,MONTH(B1498)-$P$1+1,(YEAR(B1498)-$Q$1)*12-$P$1+1+MONTH(B1498)))</f>
        <v>0</v>
      </c>
      <c r="Q1498" s="402">
        <f t="shared" si="1494"/>
        <v>0</v>
      </c>
      <c r="R1498" s="356" t="str">
        <f t="shared" si="1"/>
        <v/>
      </c>
      <c r="S1498" s="356" t="str">
        <f>IF(D1498="","",IF(OR(D1498=Plano!$A$1,D1498=Plano!$B$1),"entrada","saída"))</f>
        <v/>
      </c>
      <c r="T1498" s="345"/>
      <c r="U1498" s="345"/>
      <c r="V1498" s="269"/>
    </row>
    <row r="1499" spans="1:22" ht="12.75" customHeight="1" x14ac:dyDescent="0.2">
      <c r="A1499" s="277" t="str">
        <f>IF(B1499="","",COUNT('Diário 5º PA'!$A$5:$A$2634)+ROW()-4)</f>
        <v/>
      </c>
      <c r="B1499" s="278"/>
      <c r="C1499" s="335"/>
      <c r="D1499" s="255"/>
      <c r="E1499" s="255"/>
      <c r="F1499" s="258"/>
      <c r="G1499" s="255"/>
      <c r="H1499" s="255"/>
      <c r="I1499" s="250"/>
      <c r="J1499" s="255"/>
      <c r="K1499" s="255"/>
      <c r="L1499" s="250"/>
      <c r="M1499" s="255"/>
      <c r="N1499" s="277"/>
      <c r="O1499" s="329"/>
      <c r="P1499" s="402">
        <f t="shared" ref="P1499:Q1499" si="1495">IF(B1499=0,0,IF(YEAR(B1499)=$Q$1,MONTH(B1499)-$P$1+1,(YEAR(B1499)-$Q$1)*12-$P$1+1+MONTH(B1499)))</f>
        <v>0</v>
      </c>
      <c r="Q1499" s="402">
        <f t="shared" si="1495"/>
        <v>0</v>
      </c>
      <c r="R1499" s="356" t="str">
        <f t="shared" si="1"/>
        <v/>
      </c>
      <c r="S1499" s="356" t="str">
        <f>IF(D1499="","",IF(OR(D1499=Plano!$A$1,D1499=Plano!$B$1),"entrada","saída"))</f>
        <v/>
      </c>
      <c r="T1499" s="345"/>
      <c r="U1499" s="345"/>
      <c r="V1499" s="269"/>
    </row>
    <row r="1500" spans="1:22" ht="12.75" customHeight="1" x14ac:dyDescent="0.2">
      <c r="A1500" s="277" t="str">
        <f>IF(B1500="","",COUNT('Diário 5º PA'!$A$5:$A$2634)+ROW()-4)</f>
        <v/>
      </c>
      <c r="B1500" s="278"/>
      <c r="C1500" s="335"/>
      <c r="D1500" s="255"/>
      <c r="E1500" s="255"/>
      <c r="F1500" s="258"/>
      <c r="G1500" s="255"/>
      <c r="H1500" s="255"/>
      <c r="I1500" s="250"/>
      <c r="J1500" s="255"/>
      <c r="K1500" s="255"/>
      <c r="L1500" s="250"/>
      <c r="M1500" s="255"/>
      <c r="N1500" s="277"/>
      <c r="O1500" s="329"/>
      <c r="P1500" s="402">
        <f t="shared" ref="P1500:Q1500" si="1496">IF(B1500=0,0,IF(YEAR(B1500)=$Q$1,MONTH(B1500)-$P$1+1,(YEAR(B1500)-$Q$1)*12-$P$1+1+MONTH(B1500)))</f>
        <v>0</v>
      </c>
      <c r="Q1500" s="402">
        <f t="shared" si="1496"/>
        <v>0</v>
      </c>
      <c r="R1500" s="356" t="str">
        <f t="shared" si="1"/>
        <v/>
      </c>
      <c r="S1500" s="356" t="str">
        <f>IF(D1500="","",IF(OR(D1500=Plano!$A$1,D1500=Plano!$B$1),"entrada","saída"))</f>
        <v/>
      </c>
      <c r="T1500" s="345"/>
      <c r="U1500" s="345"/>
      <c r="V1500" s="269"/>
    </row>
    <row r="1501" spans="1:22" ht="12.75" customHeight="1" x14ac:dyDescent="0.2">
      <c r="A1501" s="277" t="str">
        <f>IF(B1501="","",COUNT('Diário 5º PA'!$A$5:$A$2634)+ROW()-4)</f>
        <v/>
      </c>
      <c r="B1501" s="278"/>
      <c r="C1501" s="335"/>
      <c r="D1501" s="255"/>
      <c r="E1501" s="255"/>
      <c r="F1501" s="258"/>
      <c r="G1501" s="255"/>
      <c r="H1501" s="255"/>
      <c r="I1501" s="250"/>
      <c r="J1501" s="255"/>
      <c r="K1501" s="255"/>
      <c r="L1501" s="250"/>
      <c r="M1501" s="255"/>
      <c r="N1501" s="277"/>
      <c r="O1501" s="329"/>
      <c r="P1501" s="402">
        <f t="shared" ref="P1501:Q1501" si="1497">IF(B1501=0,0,IF(YEAR(B1501)=$Q$1,MONTH(B1501)-$P$1+1,(YEAR(B1501)-$Q$1)*12-$P$1+1+MONTH(B1501)))</f>
        <v>0</v>
      </c>
      <c r="Q1501" s="402">
        <f t="shared" si="1497"/>
        <v>0</v>
      </c>
      <c r="R1501" s="356" t="str">
        <f t="shared" si="1"/>
        <v/>
      </c>
      <c r="S1501" s="356" t="str">
        <f>IF(D1501="","",IF(OR(D1501=Plano!$A$1,D1501=Plano!$B$1),"entrada","saída"))</f>
        <v/>
      </c>
      <c r="T1501" s="345"/>
      <c r="U1501" s="345"/>
      <c r="V1501" s="269"/>
    </row>
    <row r="1502" spans="1:22" ht="12.75" customHeight="1" x14ac:dyDescent="0.2">
      <c r="A1502" s="277" t="str">
        <f>IF(B1502="","",COUNT('Diário 5º PA'!$A$5:$A$2634)+ROW()-4)</f>
        <v/>
      </c>
      <c r="B1502" s="278"/>
      <c r="C1502" s="335"/>
      <c r="D1502" s="255"/>
      <c r="E1502" s="255"/>
      <c r="F1502" s="258"/>
      <c r="G1502" s="255"/>
      <c r="H1502" s="255"/>
      <c r="I1502" s="250"/>
      <c r="J1502" s="255"/>
      <c r="K1502" s="255"/>
      <c r="L1502" s="250"/>
      <c r="M1502" s="255"/>
      <c r="N1502" s="277"/>
      <c r="O1502" s="329"/>
      <c r="P1502" s="402">
        <f t="shared" ref="P1502:Q1502" si="1498">IF(B1502=0,0,IF(YEAR(B1502)=$Q$1,MONTH(B1502)-$P$1+1,(YEAR(B1502)-$Q$1)*12-$P$1+1+MONTH(B1502)))</f>
        <v>0</v>
      </c>
      <c r="Q1502" s="402">
        <f t="shared" si="1498"/>
        <v>0</v>
      </c>
      <c r="R1502" s="356" t="str">
        <f t="shared" si="1"/>
        <v/>
      </c>
      <c r="S1502" s="356" t="str">
        <f>IF(D1502="","",IF(OR(D1502=Plano!$A$1,D1502=Plano!$B$1),"entrada","saída"))</f>
        <v/>
      </c>
      <c r="T1502" s="345"/>
      <c r="U1502" s="345"/>
      <c r="V1502" s="269"/>
    </row>
    <row r="1503" spans="1:22" ht="12.75" customHeight="1" x14ac:dyDescent="0.2">
      <c r="A1503" s="277" t="str">
        <f>IF(B1503="","",COUNT('Diário 5º PA'!$A$5:$A$2634)+ROW()-4)</f>
        <v/>
      </c>
      <c r="B1503" s="278"/>
      <c r="C1503" s="335"/>
      <c r="D1503" s="255"/>
      <c r="E1503" s="255"/>
      <c r="F1503" s="258"/>
      <c r="G1503" s="255"/>
      <c r="H1503" s="255"/>
      <c r="I1503" s="250"/>
      <c r="J1503" s="255"/>
      <c r="K1503" s="255"/>
      <c r="L1503" s="250"/>
      <c r="M1503" s="255"/>
      <c r="N1503" s="277"/>
      <c r="O1503" s="329"/>
      <c r="P1503" s="402">
        <f t="shared" ref="P1503:Q1503" si="1499">IF(B1503=0,0,IF(YEAR(B1503)=$Q$1,MONTH(B1503)-$P$1+1,(YEAR(B1503)-$Q$1)*12-$P$1+1+MONTH(B1503)))</f>
        <v>0</v>
      </c>
      <c r="Q1503" s="402">
        <f t="shared" si="1499"/>
        <v>0</v>
      </c>
      <c r="R1503" s="356" t="str">
        <f t="shared" si="1"/>
        <v/>
      </c>
      <c r="S1503" s="356" t="str">
        <f>IF(D1503="","",IF(OR(D1503=Plano!$A$1,D1503=Plano!$B$1),"entrada","saída"))</f>
        <v/>
      </c>
      <c r="T1503" s="345"/>
      <c r="U1503" s="345"/>
      <c r="V1503" s="269"/>
    </row>
    <row r="1504" spans="1:22" ht="12.75" customHeight="1" x14ac:dyDescent="0.2">
      <c r="A1504" s="277" t="str">
        <f>IF(B1504="","",COUNT('Diário 5º PA'!$A$5:$A$2634)+ROW()-4)</f>
        <v/>
      </c>
      <c r="B1504" s="278"/>
      <c r="C1504" s="335"/>
      <c r="D1504" s="255"/>
      <c r="E1504" s="255"/>
      <c r="F1504" s="258"/>
      <c r="G1504" s="255"/>
      <c r="H1504" s="255"/>
      <c r="I1504" s="250"/>
      <c r="J1504" s="255"/>
      <c r="K1504" s="255"/>
      <c r="L1504" s="250"/>
      <c r="M1504" s="255"/>
      <c r="N1504" s="277"/>
      <c r="O1504" s="329"/>
      <c r="P1504" s="402">
        <f t="shared" ref="P1504:Q1504" si="1500">IF(B1504=0,0,IF(YEAR(B1504)=$Q$1,MONTH(B1504)-$P$1+1,(YEAR(B1504)-$Q$1)*12-$P$1+1+MONTH(B1504)))</f>
        <v>0</v>
      </c>
      <c r="Q1504" s="402">
        <f t="shared" si="1500"/>
        <v>0</v>
      </c>
      <c r="R1504" s="356" t="str">
        <f t="shared" si="1"/>
        <v/>
      </c>
      <c r="S1504" s="356" t="str">
        <f>IF(D1504="","",IF(OR(D1504=Plano!$A$1,D1504=Plano!$B$1),"entrada","saída"))</f>
        <v/>
      </c>
      <c r="T1504" s="345"/>
      <c r="U1504" s="345"/>
      <c r="V1504" s="269"/>
    </row>
    <row r="1505" spans="1:22" ht="12.75" customHeight="1" x14ac:dyDescent="0.2">
      <c r="A1505" s="277" t="str">
        <f>IF(B1505="","",COUNT('Diário 5º PA'!$A$5:$A$2634)+ROW()-4)</f>
        <v/>
      </c>
      <c r="B1505" s="278"/>
      <c r="C1505" s="335"/>
      <c r="D1505" s="255"/>
      <c r="E1505" s="255"/>
      <c r="F1505" s="258"/>
      <c r="G1505" s="255"/>
      <c r="H1505" s="255"/>
      <c r="I1505" s="250"/>
      <c r="J1505" s="255"/>
      <c r="K1505" s="255"/>
      <c r="L1505" s="250"/>
      <c r="M1505" s="255"/>
      <c r="N1505" s="277"/>
      <c r="O1505" s="329"/>
      <c r="P1505" s="402">
        <f t="shared" ref="P1505:Q1505" si="1501">IF(B1505=0,0,IF(YEAR(B1505)=$Q$1,MONTH(B1505)-$P$1+1,(YEAR(B1505)-$Q$1)*12-$P$1+1+MONTH(B1505)))</f>
        <v>0</v>
      </c>
      <c r="Q1505" s="402">
        <f t="shared" si="1501"/>
        <v>0</v>
      </c>
      <c r="R1505" s="356" t="str">
        <f t="shared" si="1"/>
        <v/>
      </c>
      <c r="S1505" s="356" t="str">
        <f>IF(D1505="","",IF(OR(D1505=Plano!$A$1,D1505=Plano!$B$1),"entrada","saída"))</f>
        <v/>
      </c>
      <c r="T1505" s="345"/>
      <c r="U1505" s="345"/>
      <c r="V1505" s="269"/>
    </row>
    <row r="1506" spans="1:22" ht="12.75" customHeight="1" x14ac:dyDescent="0.2">
      <c r="A1506" s="277" t="str">
        <f>IF(B1506="","",COUNT('Diário 5º PA'!$A$5:$A$2634)+ROW()-4)</f>
        <v/>
      </c>
      <c r="B1506" s="278"/>
      <c r="C1506" s="335"/>
      <c r="D1506" s="255"/>
      <c r="E1506" s="255"/>
      <c r="F1506" s="258"/>
      <c r="G1506" s="255"/>
      <c r="H1506" s="255"/>
      <c r="I1506" s="250"/>
      <c r="J1506" s="255"/>
      <c r="K1506" s="255"/>
      <c r="L1506" s="250"/>
      <c r="M1506" s="255"/>
      <c r="N1506" s="277"/>
      <c r="O1506" s="329"/>
      <c r="P1506" s="402">
        <f t="shared" ref="P1506:Q1506" si="1502">IF(B1506=0,0,IF(YEAR(B1506)=$Q$1,MONTH(B1506)-$P$1+1,(YEAR(B1506)-$Q$1)*12-$P$1+1+MONTH(B1506)))</f>
        <v>0</v>
      </c>
      <c r="Q1506" s="402">
        <f t="shared" si="1502"/>
        <v>0</v>
      </c>
      <c r="R1506" s="356" t="str">
        <f t="shared" si="1"/>
        <v/>
      </c>
      <c r="S1506" s="356" t="str">
        <f>IF(D1506="","",IF(OR(D1506=Plano!$A$1,D1506=Plano!$B$1),"entrada","saída"))</f>
        <v/>
      </c>
      <c r="T1506" s="345"/>
      <c r="U1506" s="345"/>
      <c r="V1506" s="269"/>
    </row>
    <row r="1507" spans="1:22" ht="12.75" customHeight="1" x14ac:dyDescent="0.2">
      <c r="A1507" s="277" t="str">
        <f>IF(B1507="","",COUNT('Diário 5º PA'!$A$5:$A$2634)+ROW()-4)</f>
        <v/>
      </c>
      <c r="B1507" s="278"/>
      <c r="C1507" s="335"/>
      <c r="D1507" s="255"/>
      <c r="E1507" s="255"/>
      <c r="F1507" s="258"/>
      <c r="G1507" s="255"/>
      <c r="H1507" s="255"/>
      <c r="I1507" s="250"/>
      <c r="J1507" s="255"/>
      <c r="K1507" s="255"/>
      <c r="L1507" s="250"/>
      <c r="M1507" s="255"/>
      <c r="N1507" s="277"/>
      <c r="O1507" s="329"/>
      <c r="P1507" s="402">
        <f t="shared" ref="P1507:Q1507" si="1503">IF(B1507=0,0,IF(YEAR(B1507)=$Q$1,MONTH(B1507)-$P$1+1,(YEAR(B1507)-$Q$1)*12-$P$1+1+MONTH(B1507)))</f>
        <v>0</v>
      </c>
      <c r="Q1507" s="402">
        <f t="shared" si="1503"/>
        <v>0</v>
      </c>
      <c r="R1507" s="356" t="str">
        <f t="shared" si="1"/>
        <v/>
      </c>
      <c r="S1507" s="356" t="str">
        <f>IF(D1507="","",IF(OR(D1507=Plano!$A$1,D1507=Plano!$B$1),"entrada","saída"))</f>
        <v/>
      </c>
      <c r="T1507" s="345"/>
      <c r="U1507" s="345"/>
      <c r="V1507" s="269"/>
    </row>
    <row r="1508" spans="1:22" ht="12.75" customHeight="1" x14ac:dyDescent="0.2">
      <c r="A1508" s="289" t="str">
        <f>IF(B1508="","",COUNT('Diário 5º PA'!$A$5:$A$2634)+ROW()-4)</f>
        <v/>
      </c>
      <c r="B1508" s="290"/>
      <c r="C1508" s="357"/>
      <c r="D1508" s="291"/>
      <c r="E1508" s="291"/>
      <c r="F1508" s="292"/>
      <c r="G1508" s="291"/>
      <c r="H1508" s="291"/>
      <c r="I1508" s="293"/>
      <c r="J1508" s="291"/>
      <c r="K1508" s="291"/>
      <c r="L1508" s="293"/>
      <c r="M1508" s="291"/>
      <c r="N1508" s="289"/>
      <c r="O1508" s="358"/>
      <c r="P1508" s="280">
        <f t="shared" ref="P1508:Q1508" si="1504">IF(B1508=0,0,IF(YEAR(B1508)=$Q$1,MONTH(B1508)-$P$1+1,(YEAR(B1508)-$Q$1)*12-$P$1+1+MONTH(B1508)))</f>
        <v>0</v>
      </c>
      <c r="Q1508" s="280">
        <f t="shared" si="1504"/>
        <v>0</v>
      </c>
      <c r="R1508" s="405" t="str">
        <f t="shared" si="1"/>
        <v/>
      </c>
      <c r="S1508" s="269" t="str">
        <f>IF(D1508="","",IF(OR(D1508=Plano!$A$1,D1508=Plano!$B$1),"entrada","saída"))</f>
        <v/>
      </c>
      <c r="T1508" s="406"/>
      <c r="U1508" s="406"/>
      <c r="V1508" s="269"/>
    </row>
    <row r="1509" spans="1:22" ht="12.75" customHeight="1" x14ac:dyDescent="0.2">
      <c r="A1509" s="289" t="str">
        <f>IF(B1509="","",COUNT('Diário 5º PA'!$A$5:$A$2634)+ROW()-4)</f>
        <v/>
      </c>
      <c r="B1509" s="290"/>
      <c r="C1509" s="357"/>
      <c r="D1509" s="291"/>
      <c r="E1509" s="291"/>
      <c r="F1509" s="292"/>
      <c r="G1509" s="291"/>
      <c r="H1509" s="291"/>
      <c r="I1509" s="293"/>
      <c r="J1509" s="291"/>
      <c r="K1509" s="291"/>
      <c r="L1509" s="293"/>
      <c r="M1509" s="291"/>
      <c r="N1509" s="289"/>
      <c r="O1509" s="358"/>
      <c r="P1509" s="402">
        <f t="shared" ref="P1509:Q1509" si="1505">IF(B1509=0,0,IF(YEAR(B1509)=$Q$1,MONTH(B1509)-$P$1+1,(YEAR(B1509)-$Q$1)*12-$P$1+1+MONTH(B1509)))</f>
        <v>0</v>
      </c>
      <c r="Q1509" s="280">
        <f t="shared" si="1505"/>
        <v>0</v>
      </c>
      <c r="R1509" s="356" t="str">
        <f t="shared" si="1"/>
        <v/>
      </c>
      <c r="S1509" s="269" t="str">
        <f>IF(D1509="","",IF(OR(D1509=Plano!$A$1,D1509=Plano!$B$1),"entrada","saída"))</f>
        <v/>
      </c>
      <c r="T1509" s="406"/>
      <c r="U1509" s="406"/>
      <c r="V1509" s="269"/>
    </row>
    <row r="1510" spans="1:22" ht="12.75" customHeight="1" x14ac:dyDescent="0.2">
      <c r="A1510" s="289" t="str">
        <f>IF(B1510="","",COUNT('Diário 5º PA'!$A$5:$A$2634)+ROW()-4)</f>
        <v/>
      </c>
      <c r="B1510" s="290"/>
      <c r="C1510" s="357"/>
      <c r="D1510" s="291"/>
      <c r="E1510" s="291"/>
      <c r="F1510" s="292"/>
      <c r="G1510" s="291"/>
      <c r="H1510" s="291"/>
      <c r="I1510" s="293"/>
      <c r="J1510" s="291"/>
      <c r="K1510" s="291"/>
      <c r="L1510" s="293"/>
      <c r="M1510" s="291"/>
      <c r="N1510" s="289"/>
      <c r="O1510" s="358"/>
      <c r="P1510" s="402">
        <f t="shared" ref="P1510:Q1510" si="1506">IF(B1510=0,0,IF(YEAR(B1510)=$Q$1,MONTH(B1510)-$P$1+1,(YEAR(B1510)-$Q$1)*12-$P$1+1+MONTH(B1510)))</f>
        <v>0</v>
      </c>
      <c r="Q1510" s="280">
        <f t="shared" si="1506"/>
        <v>0</v>
      </c>
      <c r="R1510" s="356" t="str">
        <f t="shared" si="1"/>
        <v/>
      </c>
      <c r="S1510" s="269" t="str">
        <f>IF(D1510="","",IF(OR(D1510=Plano!$A$1,D1510=Plano!$B$1),"entrada","saída"))</f>
        <v/>
      </c>
      <c r="T1510" s="406"/>
      <c r="U1510" s="406"/>
      <c r="V1510" s="269"/>
    </row>
    <row r="1511" spans="1:22" ht="12.75" customHeight="1" x14ac:dyDescent="0.2">
      <c r="A1511" s="289" t="str">
        <f>IF(B1511="","",COUNT('Diário 5º PA'!$A$5:$A$2634)+ROW()-4)</f>
        <v/>
      </c>
      <c r="B1511" s="290"/>
      <c r="C1511" s="357"/>
      <c r="D1511" s="291"/>
      <c r="E1511" s="291"/>
      <c r="F1511" s="292"/>
      <c r="G1511" s="291"/>
      <c r="H1511" s="291"/>
      <c r="I1511" s="293"/>
      <c r="J1511" s="291"/>
      <c r="K1511" s="291"/>
      <c r="L1511" s="293"/>
      <c r="M1511" s="291"/>
      <c r="N1511" s="289"/>
      <c r="O1511" s="358"/>
      <c r="P1511" s="402">
        <f t="shared" ref="P1511:Q1511" si="1507">IF(B1511=0,0,IF(YEAR(B1511)=$Q$1,MONTH(B1511)-$P$1+1,(YEAR(B1511)-$Q$1)*12-$P$1+1+MONTH(B1511)))</f>
        <v>0</v>
      </c>
      <c r="Q1511" s="280">
        <f t="shared" si="1507"/>
        <v>0</v>
      </c>
      <c r="R1511" s="356" t="str">
        <f t="shared" si="1"/>
        <v/>
      </c>
      <c r="S1511" s="269" t="str">
        <f>IF(D1511="","",IF(OR(D1511=Plano!$A$1,D1511=Plano!$B$1),"entrada","saída"))</f>
        <v/>
      </c>
      <c r="T1511" s="406"/>
      <c r="U1511" s="406"/>
      <c r="V1511" s="269"/>
    </row>
    <row r="1512" spans="1:22" ht="12.75" customHeight="1" x14ac:dyDescent="0.2">
      <c r="A1512" s="289" t="str">
        <f>IF(B1512="","",COUNT('Diário 5º PA'!$A$5:$A$2634)+ROW()-4)</f>
        <v/>
      </c>
      <c r="B1512" s="290"/>
      <c r="C1512" s="357"/>
      <c r="D1512" s="291"/>
      <c r="E1512" s="291"/>
      <c r="F1512" s="292"/>
      <c r="G1512" s="291"/>
      <c r="H1512" s="291"/>
      <c r="I1512" s="293"/>
      <c r="J1512" s="291"/>
      <c r="K1512" s="291"/>
      <c r="L1512" s="293"/>
      <c r="M1512" s="291"/>
      <c r="N1512" s="289"/>
      <c r="O1512" s="358"/>
      <c r="P1512" s="402">
        <f t="shared" ref="P1512:Q1512" si="1508">IF(B1512=0,0,IF(YEAR(B1512)=$Q$1,MONTH(B1512)-$P$1+1,(YEAR(B1512)-$Q$1)*12-$P$1+1+MONTH(B1512)))</f>
        <v>0</v>
      </c>
      <c r="Q1512" s="280">
        <f t="shared" si="1508"/>
        <v>0</v>
      </c>
      <c r="R1512" s="356" t="str">
        <f t="shared" si="1"/>
        <v/>
      </c>
      <c r="S1512" s="269" t="str">
        <f>IF(D1512="","",IF(OR(D1512=Plano!$A$1,D1512=Plano!$B$1),"entrada","saída"))</f>
        <v/>
      </c>
      <c r="T1512" s="406"/>
      <c r="U1512" s="406"/>
      <c r="V1512" s="269"/>
    </row>
    <row r="1513" spans="1:22" ht="12.75" customHeight="1" x14ac:dyDescent="0.2">
      <c r="A1513" s="289" t="str">
        <f>IF(B1513="","",COUNT('Diário 5º PA'!$A$5:$A$2634)+ROW()-4)</f>
        <v/>
      </c>
      <c r="B1513" s="290"/>
      <c r="C1513" s="357"/>
      <c r="D1513" s="291"/>
      <c r="E1513" s="291"/>
      <c r="F1513" s="292"/>
      <c r="G1513" s="291"/>
      <c r="H1513" s="291"/>
      <c r="I1513" s="293"/>
      <c r="J1513" s="291"/>
      <c r="K1513" s="291"/>
      <c r="L1513" s="293"/>
      <c r="M1513" s="291"/>
      <c r="N1513" s="289"/>
      <c r="O1513" s="358"/>
      <c r="P1513" s="402">
        <f t="shared" ref="P1513:Q1513" si="1509">IF(B1513=0,0,IF(YEAR(B1513)=$Q$1,MONTH(B1513)-$P$1+1,(YEAR(B1513)-$Q$1)*12-$P$1+1+MONTH(B1513)))</f>
        <v>0</v>
      </c>
      <c r="Q1513" s="280">
        <f t="shared" si="1509"/>
        <v>0</v>
      </c>
      <c r="R1513" s="356" t="str">
        <f t="shared" si="1"/>
        <v/>
      </c>
      <c r="S1513" s="269" t="str">
        <f>IF(D1513="","",IF(OR(D1513=Plano!$A$1,D1513=Plano!$B$1),"entrada","saída"))</f>
        <v/>
      </c>
      <c r="T1513" s="406"/>
      <c r="U1513" s="406"/>
      <c r="V1513" s="269"/>
    </row>
    <row r="1514" spans="1:22" ht="12.75" customHeight="1" x14ac:dyDescent="0.2">
      <c r="A1514" s="289" t="str">
        <f>IF(B1514="","",COUNT('Diário 5º PA'!$A$5:$A$2634)+ROW()-4)</f>
        <v/>
      </c>
      <c r="B1514" s="290"/>
      <c r="C1514" s="357"/>
      <c r="D1514" s="291"/>
      <c r="E1514" s="291"/>
      <c r="F1514" s="292"/>
      <c r="G1514" s="291"/>
      <c r="H1514" s="291"/>
      <c r="I1514" s="293"/>
      <c r="J1514" s="291"/>
      <c r="K1514" s="291"/>
      <c r="L1514" s="293"/>
      <c r="M1514" s="291"/>
      <c r="N1514" s="289"/>
      <c r="O1514" s="358"/>
      <c r="P1514" s="402">
        <f t="shared" ref="P1514:Q1514" si="1510">IF(B1514=0,0,IF(YEAR(B1514)=$Q$1,MONTH(B1514)-$P$1+1,(YEAR(B1514)-$Q$1)*12-$P$1+1+MONTH(B1514)))</f>
        <v>0</v>
      </c>
      <c r="Q1514" s="280">
        <f t="shared" si="1510"/>
        <v>0</v>
      </c>
      <c r="R1514" s="356" t="str">
        <f t="shared" si="1"/>
        <v/>
      </c>
      <c r="S1514" s="269" t="str">
        <f>IF(D1514="","",IF(OR(D1514=Plano!$A$1,D1514=Plano!$B$1),"entrada","saída"))</f>
        <v/>
      </c>
      <c r="T1514" s="406"/>
      <c r="U1514" s="406"/>
      <c r="V1514" s="269"/>
    </row>
    <row r="1515" spans="1:22" ht="12.75" customHeight="1" x14ac:dyDescent="0.2">
      <c r="A1515" s="289" t="str">
        <f>IF(B1515="","",COUNT('Diário 5º PA'!$A$5:$A$2634)+ROW()-4)</f>
        <v/>
      </c>
      <c r="B1515" s="290"/>
      <c r="C1515" s="357"/>
      <c r="D1515" s="291"/>
      <c r="E1515" s="291"/>
      <c r="F1515" s="292"/>
      <c r="G1515" s="291"/>
      <c r="H1515" s="291"/>
      <c r="I1515" s="293"/>
      <c r="J1515" s="291"/>
      <c r="K1515" s="291"/>
      <c r="L1515" s="293"/>
      <c r="M1515" s="291"/>
      <c r="N1515" s="289"/>
      <c r="O1515" s="358"/>
      <c r="P1515" s="402">
        <f t="shared" ref="P1515:Q1515" si="1511">IF(B1515=0,0,IF(YEAR(B1515)=$Q$1,MONTH(B1515)-$P$1+1,(YEAR(B1515)-$Q$1)*12-$P$1+1+MONTH(B1515)))</f>
        <v>0</v>
      </c>
      <c r="Q1515" s="280">
        <f t="shared" si="1511"/>
        <v>0</v>
      </c>
      <c r="R1515" s="356" t="str">
        <f t="shared" si="1"/>
        <v/>
      </c>
      <c r="S1515" s="269" t="str">
        <f>IF(D1515="","",IF(OR(D1515=Plano!$A$1,D1515=Plano!$B$1),"entrada","saída"))</f>
        <v/>
      </c>
      <c r="T1515" s="406"/>
      <c r="U1515" s="406"/>
      <c r="V1515" s="269"/>
    </row>
    <row r="1516" spans="1:22" ht="12.75" customHeight="1" x14ac:dyDescent="0.2">
      <c r="A1516" s="289" t="str">
        <f>IF(B1516="","",COUNT('Diário 5º PA'!$A$5:$A$2634)+ROW()-4)</f>
        <v/>
      </c>
      <c r="B1516" s="290"/>
      <c r="C1516" s="357"/>
      <c r="D1516" s="291"/>
      <c r="E1516" s="291"/>
      <c r="F1516" s="292"/>
      <c r="G1516" s="291"/>
      <c r="H1516" s="291"/>
      <c r="I1516" s="293"/>
      <c r="J1516" s="291"/>
      <c r="K1516" s="291"/>
      <c r="L1516" s="293"/>
      <c r="M1516" s="291"/>
      <c r="N1516" s="289"/>
      <c r="O1516" s="358"/>
      <c r="P1516" s="402">
        <f t="shared" ref="P1516:Q1516" si="1512">IF(B1516=0,0,IF(YEAR(B1516)=$Q$1,MONTH(B1516)-$P$1+1,(YEAR(B1516)-$Q$1)*12-$P$1+1+MONTH(B1516)))</f>
        <v>0</v>
      </c>
      <c r="Q1516" s="280">
        <f t="shared" si="1512"/>
        <v>0</v>
      </c>
      <c r="R1516" s="356" t="str">
        <f t="shared" si="1"/>
        <v/>
      </c>
      <c r="S1516" s="269" t="str">
        <f>IF(D1516="","",IF(OR(D1516=Plano!$A$1,D1516=Plano!$B$1),"entrada","saída"))</f>
        <v/>
      </c>
      <c r="T1516" s="406"/>
      <c r="U1516" s="406"/>
      <c r="V1516" s="269"/>
    </row>
    <row r="1517" spans="1:22" ht="12.75" customHeight="1" x14ac:dyDescent="0.2">
      <c r="A1517" s="289" t="str">
        <f>IF(B1517="","",COUNT('Diário 5º PA'!$A$5:$A$2634)+ROW()-4)</f>
        <v/>
      </c>
      <c r="B1517" s="290"/>
      <c r="C1517" s="357"/>
      <c r="D1517" s="291"/>
      <c r="E1517" s="291"/>
      <c r="F1517" s="292"/>
      <c r="G1517" s="291"/>
      <c r="H1517" s="291"/>
      <c r="I1517" s="293"/>
      <c r="J1517" s="291"/>
      <c r="K1517" s="291"/>
      <c r="L1517" s="293"/>
      <c r="M1517" s="291"/>
      <c r="N1517" s="289"/>
      <c r="O1517" s="358"/>
      <c r="P1517" s="402">
        <f t="shared" ref="P1517:Q1517" si="1513">IF(B1517=0,0,IF(YEAR(B1517)=$Q$1,MONTH(B1517)-$P$1+1,(YEAR(B1517)-$Q$1)*12-$P$1+1+MONTH(B1517)))</f>
        <v>0</v>
      </c>
      <c r="Q1517" s="280">
        <f t="shared" si="1513"/>
        <v>0</v>
      </c>
      <c r="R1517" s="356" t="str">
        <f t="shared" si="1"/>
        <v/>
      </c>
      <c r="S1517" s="269" t="str">
        <f>IF(D1517="","",IF(OR(D1517=Plano!$A$1,D1517=Plano!$B$1),"entrada","saída"))</f>
        <v/>
      </c>
      <c r="T1517" s="406"/>
      <c r="U1517" s="406"/>
      <c r="V1517" s="269"/>
    </row>
    <row r="1518" spans="1:22" ht="12.75" customHeight="1" x14ac:dyDescent="0.2">
      <c r="A1518" s="289" t="str">
        <f>IF(B1518="","",COUNT('Diário 5º PA'!$A$5:$A$2634)+ROW()-4)</f>
        <v/>
      </c>
      <c r="B1518" s="290"/>
      <c r="C1518" s="357"/>
      <c r="D1518" s="291"/>
      <c r="E1518" s="291"/>
      <c r="F1518" s="292"/>
      <c r="G1518" s="291"/>
      <c r="H1518" s="291"/>
      <c r="I1518" s="293"/>
      <c r="J1518" s="291"/>
      <c r="K1518" s="291"/>
      <c r="L1518" s="293"/>
      <c r="M1518" s="291"/>
      <c r="N1518" s="289"/>
      <c r="O1518" s="358"/>
      <c r="P1518" s="402">
        <f t="shared" ref="P1518:Q1518" si="1514">IF(B1518=0,0,IF(YEAR(B1518)=$Q$1,MONTH(B1518)-$P$1+1,(YEAR(B1518)-$Q$1)*12-$P$1+1+MONTH(B1518)))</f>
        <v>0</v>
      </c>
      <c r="Q1518" s="280">
        <f t="shared" si="1514"/>
        <v>0</v>
      </c>
      <c r="R1518" s="356" t="str">
        <f t="shared" si="1"/>
        <v/>
      </c>
      <c r="S1518" s="269" t="str">
        <f>IF(D1518="","",IF(OR(D1518=Plano!$A$1,D1518=Plano!$B$1),"entrada","saída"))</f>
        <v/>
      </c>
      <c r="T1518" s="406"/>
      <c r="U1518" s="406"/>
      <c r="V1518" s="269"/>
    </row>
    <row r="1519" spans="1:22" ht="12.75" customHeight="1" x14ac:dyDescent="0.2">
      <c r="A1519" s="289" t="str">
        <f>IF(B1519="","",COUNT('Diário 5º PA'!$A$5:$A$2634)+ROW()-4)</f>
        <v/>
      </c>
      <c r="B1519" s="290"/>
      <c r="C1519" s="357"/>
      <c r="D1519" s="291"/>
      <c r="E1519" s="291"/>
      <c r="F1519" s="292"/>
      <c r="G1519" s="291"/>
      <c r="H1519" s="291"/>
      <c r="I1519" s="293"/>
      <c r="J1519" s="291"/>
      <c r="K1519" s="291"/>
      <c r="L1519" s="293"/>
      <c r="M1519" s="291"/>
      <c r="N1519" s="289"/>
      <c r="O1519" s="358"/>
      <c r="P1519" s="402">
        <f t="shared" ref="P1519:Q1519" si="1515">IF(B1519=0,0,IF(YEAR(B1519)=$Q$1,MONTH(B1519)-$P$1+1,(YEAR(B1519)-$Q$1)*12-$P$1+1+MONTH(B1519)))</f>
        <v>0</v>
      </c>
      <c r="Q1519" s="280">
        <f t="shared" si="1515"/>
        <v>0</v>
      </c>
      <c r="R1519" s="356" t="str">
        <f t="shared" si="1"/>
        <v/>
      </c>
      <c r="S1519" s="269" t="str">
        <f>IF(D1519="","",IF(OR(D1519=Plano!$A$1,D1519=Plano!$B$1),"entrada","saída"))</f>
        <v/>
      </c>
      <c r="T1519" s="406"/>
      <c r="U1519" s="406"/>
      <c r="V1519" s="269"/>
    </row>
    <row r="1520" spans="1:22" ht="12.75" customHeight="1" x14ac:dyDescent="0.2">
      <c r="A1520" s="289" t="str">
        <f>IF(B1520="","",COUNT('Diário 5º PA'!$A$5:$A$2634)+ROW()-4)</f>
        <v/>
      </c>
      <c r="B1520" s="290"/>
      <c r="C1520" s="357"/>
      <c r="D1520" s="291"/>
      <c r="E1520" s="291"/>
      <c r="F1520" s="292"/>
      <c r="G1520" s="291"/>
      <c r="H1520" s="291"/>
      <c r="I1520" s="293"/>
      <c r="J1520" s="291"/>
      <c r="K1520" s="291"/>
      <c r="L1520" s="293"/>
      <c r="M1520" s="291"/>
      <c r="N1520" s="289"/>
      <c r="O1520" s="358"/>
      <c r="P1520" s="402">
        <f t="shared" ref="P1520:Q1520" si="1516">IF(B1520=0,0,IF(YEAR(B1520)=$Q$1,MONTH(B1520)-$P$1+1,(YEAR(B1520)-$Q$1)*12-$P$1+1+MONTH(B1520)))</f>
        <v>0</v>
      </c>
      <c r="Q1520" s="280">
        <f t="shared" si="1516"/>
        <v>0</v>
      </c>
      <c r="R1520" s="356" t="str">
        <f t="shared" si="1"/>
        <v/>
      </c>
      <c r="S1520" s="269" t="str">
        <f>IF(D1520="","",IF(OR(D1520=Plano!$A$1,D1520=Plano!$B$1),"entrada","saída"))</f>
        <v/>
      </c>
      <c r="T1520" s="406"/>
      <c r="U1520" s="406"/>
      <c r="V1520" s="269"/>
    </row>
    <row r="1521" spans="1:22" ht="12.75" customHeight="1" x14ac:dyDescent="0.2">
      <c r="A1521" s="289" t="str">
        <f>IF(B1521="","",COUNT('Diário 5º PA'!$A$5:$A$2634)+ROW()-4)</f>
        <v/>
      </c>
      <c r="B1521" s="290"/>
      <c r="C1521" s="357"/>
      <c r="D1521" s="291"/>
      <c r="E1521" s="291"/>
      <c r="F1521" s="292"/>
      <c r="G1521" s="291"/>
      <c r="H1521" s="291"/>
      <c r="I1521" s="293"/>
      <c r="J1521" s="291"/>
      <c r="K1521" s="291"/>
      <c r="L1521" s="293"/>
      <c r="M1521" s="291"/>
      <c r="N1521" s="289"/>
      <c r="O1521" s="358"/>
      <c r="P1521" s="402">
        <f t="shared" ref="P1521:Q1521" si="1517">IF(B1521=0,0,IF(YEAR(B1521)=$Q$1,MONTH(B1521)-$P$1+1,(YEAR(B1521)-$Q$1)*12-$P$1+1+MONTH(B1521)))</f>
        <v>0</v>
      </c>
      <c r="Q1521" s="280">
        <f t="shared" si="1517"/>
        <v>0</v>
      </c>
      <c r="R1521" s="356" t="str">
        <f t="shared" si="1"/>
        <v/>
      </c>
      <c r="S1521" s="269" t="str">
        <f>IF(D1521="","",IF(OR(D1521=Plano!$A$1,D1521=Plano!$B$1),"entrada","saída"))</f>
        <v/>
      </c>
      <c r="T1521" s="406"/>
      <c r="U1521" s="406"/>
      <c r="V1521" s="269"/>
    </row>
    <row r="1522" spans="1:22" ht="12.75" customHeight="1" x14ac:dyDescent="0.2">
      <c r="A1522" s="289" t="str">
        <f>IF(B1522="","",COUNT('Diário 5º PA'!$A$5:$A$2634)+ROW()-4)</f>
        <v/>
      </c>
      <c r="B1522" s="290"/>
      <c r="C1522" s="357"/>
      <c r="D1522" s="291"/>
      <c r="E1522" s="291"/>
      <c r="F1522" s="292"/>
      <c r="G1522" s="291"/>
      <c r="H1522" s="291"/>
      <c r="I1522" s="293"/>
      <c r="J1522" s="291"/>
      <c r="K1522" s="291"/>
      <c r="L1522" s="293"/>
      <c r="M1522" s="291"/>
      <c r="N1522" s="289"/>
      <c r="O1522" s="358"/>
      <c r="P1522" s="402">
        <f t="shared" ref="P1522:Q1522" si="1518">IF(B1522=0,0,IF(YEAR(B1522)=$Q$1,MONTH(B1522)-$P$1+1,(YEAR(B1522)-$Q$1)*12-$P$1+1+MONTH(B1522)))</f>
        <v>0</v>
      </c>
      <c r="Q1522" s="280">
        <f t="shared" si="1518"/>
        <v>0</v>
      </c>
      <c r="R1522" s="356" t="str">
        <f t="shared" si="1"/>
        <v/>
      </c>
      <c r="S1522" s="269" t="str">
        <f>IF(D1522="","",IF(OR(D1522=Plano!$A$1,D1522=Plano!$B$1),"entrada","saída"))</f>
        <v/>
      </c>
      <c r="T1522" s="406"/>
      <c r="U1522" s="406"/>
      <c r="V1522" s="269"/>
    </row>
    <row r="1523" spans="1:22" ht="12.75" customHeight="1" x14ac:dyDescent="0.2">
      <c r="A1523" s="289" t="str">
        <f>IF(B1523="","",COUNT('Diário 5º PA'!$A$5:$A$2634)+ROW()-4)</f>
        <v/>
      </c>
      <c r="B1523" s="290"/>
      <c r="C1523" s="357"/>
      <c r="D1523" s="291"/>
      <c r="E1523" s="291"/>
      <c r="F1523" s="292"/>
      <c r="G1523" s="291"/>
      <c r="H1523" s="291"/>
      <c r="I1523" s="293"/>
      <c r="J1523" s="291"/>
      <c r="K1523" s="291"/>
      <c r="L1523" s="293"/>
      <c r="M1523" s="291"/>
      <c r="N1523" s="289"/>
      <c r="O1523" s="358"/>
      <c r="P1523" s="402">
        <f t="shared" ref="P1523:Q1523" si="1519">IF(B1523=0,0,IF(YEAR(B1523)=$Q$1,MONTH(B1523)-$P$1+1,(YEAR(B1523)-$Q$1)*12-$P$1+1+MONTH(B1523)))</f>
        <v>0</v>
      </c>
      <c r="Q1523" s="280">
        <f t="shared" si="1519"/>
        <v>0</v>
      </c>
      <c r="R1523" s="356" t="str">
        <f t="shared" si="1"/>
        <v/>
      </c>
      <c r="S1523" s="269" t="str">
        <f>IF(D1523="","",IF(OR(D1523=Plano!$A$1,D1523=Plano!$B$1),"entrada","saída"))</f>
        <v/>
      </c>
      <c r="T1523" s="406"/>
      <c r="U1523" s="406"/>
      <c r="V1523" s="269"/>
    </row>
    <row r="1524" spans="1:22" ht="12.75" customHeight="1" x14ac:dyDescent="0.2">
      <c r="A1524" s="289" t="str">
        <f>IF(B1524="","",COUNT('Diário 5º PA'!$A$5:$A$2634)+ROW()-4)</f>
        <v/>
      </c>
      <c r="B1524" s="290"/>
      <c r="C1524" s="357"/>
      <c r="D1524" s="291"/>
      <c r="E1524" s="291"/>
      <c r="F1524" s="292"/>
      <c r="G1524" s="291"/>
      <c r="H1524" s="291"/>
      <c r="I1524" s="293"/>
      <c r="J1524" s="291"/>
      <c r="K1524" s="291"/>
      <c r="L1524" s="293"/>
      <c r="M1524" s="291"/>
      <c r="N1524" s="289"/>
      <c r="O1524" s="358"/>
      <c r="P1524" s="402">
        <f t="shared" ref="P1524:Q1524" si="1520">IF(B1524=0,0,IF(YEAR(B1524)=$Q$1,MONTH(B1524)-$P$1+1,(YEAR(B1524)-$Q$1)*12-$P$1+1+MONTH(B1524)))</f>
        <v>0</v>
      </c>
      <c r="Q1524" s="280">
        <f t="shared" si="1520"/>
        <v>0</v>
      </c>
      <c r="R1524" s="356" t="str">
        <f t="shared" si="1"/>
        <v/>
      </c>
      <c r="S1524" s="269" t="str">
        <f>IF(D1524="","",IF(OR(D1524=Plano!$A$1,D1524=Plano!$B$1),"entrada","saída"))</f>
        <v/>
      </c>
      <c r="T1524" s="406"/>
      <c r="U1524" s="406"/>
      <c r="V1524" s="269"/>
    </row>
    <row r="1525" spans="1:22" ht="12.75" customHeight="1" x14ac:dyDescent="0.2">
      <c r="A1525" s="289" t="str">
        <f>IF(B1525="","",COUNT('Diário 5º PA'!$A$5:$A$2634)+ROW()-4)</f>
        <v/>
      </c>
      <c r="B1525" s="290"/>
      <c r="C1525" s="357"/>
      <c r="D1525" s="291"/>
      <c r="E1525" s="291"/>
      <c r="F1525" s="292"/>
      <c r="G1525" s="291"/>
      <c r="H1525" s="291"/>
      <c r="I1525" s="293"/>
      <c r="J1525" s="291"/>
      <c r="K1525" s="291"/>
      <c r="L1525" s="293"/>
      <c r="M1525" s="291"/>
      <c r="N1525" s="289"/>
      <c r="O1525" s="358"/>
      <c r="P1525" s="402">
        <f t="shared" ref="P1525:Q1525" si="1521">IF(B1525=0,0,IF(YEAR(B1525)=$Q$1,MONTH(B1525)-$P$1+1,(YEAR(B1525)-$Q$1)*12-$P$1+1+MONTH(B1525)))</f>
        <v>0</v>
      </c>
      <c r="Q1525" s="280">
        <f t="shared" si="1521"/>
        <v>0</v>
      </c>
      <c r="R1525" s="356" t="str">
        <f t="shared" si="1"/>
        <v/>
      </c>
      <c r="S1525" s="269" t="str">
        <f>IF(D1525="","",IF(OR(D1525=Plano!$A$1,D1525=Plano!$B$1),"entrada","saída"))</f>
        <v/>
      </c>
      <c r="T1525" s="406"/>
      <c r="U1525" s="406"/>
      <c r="V1525" s="269"/>
    </row>
    <row r="1526" spans="1:22" ht="12.75" customHeight="1" x14ac:dyDescent="0.2">
      <c r="A1526" s="289" t="str">
        <f>IF(B1526="","",COUNT('Diário 5º PA'!$A$5:$A$2634)+ROW()-4)</f>
        <v/>
      </c>
      <c r="B1526" s="290"/>
      <c r="C1526" s="357"/>
      <c r="D1526" s="291"/>
      <c r="E1526" s="291"/>
      <c r="F1526" s="292"/>
      <c r="G1526" s="291"/>
      <c r="H1526" s="291"/>
      <c r="I1526" s="293"/>
      <c r="J1526" s="291"/>
      <c r="K1526" s="291"/>
      <c r="L1526" s="293"/>
      <c r="M1526" s="291"/>
      <c r="N1526" s="289"/>
      <c r="O1526" s="358"/>
      <c r="P1526" s="402">
        <f t="shared" ref="P1526:Q1526" si="1522">IF(B1526=0,0,IF(YEAR(B1526)=$Q$1,MONTH(B1526)-$P$1+1,(YEAR(B1526)-$Q$1)*12-$P$1+1+MONTH(B1526)))</f>
        <v>0</v>
      </c>
      <c r="Q1526" s="280">
        <f t="shared" si="1522"/>
        <v>0</v>
      </c>
      <c r="R1526" s="356" t="str">
        <f t="shared" si="1"/>
        <v/>
      </c>
      <c r="S1526" s="269" t="str">
        <f>IF(D1526="","",IF(OR(D1526=Plano!$A$1,D1526=Plano!$B$1),"entrada","saída"))</f>
        <v/>
      </c>
      <c r="T1526" s="406"/>
      <c r="U1526" s="406"/>
      <c r="V1526" s="269"/>
    </row>
    <row r="1527" spans="1:22" ht="12.75" customHeight="1" x14ac:dyDescent="0.2">
      <c r="A1527" s="289" t="str">
        <f>IF(B1527="","",COUNT('Diário 5º PA'!$A$5:$A$2634)+ROW()-4)</f>
        <v/>
      </c>
      <c r="B1527" s="290"/>
      <c r="C1527" s="357"/>
      <c r="D1527" s="291"/>
      <c r="E1527" s="291"/>
      <c r="F1527" s="292"/>
      <c r="G1527" s="291"/>
      <c r="H1527" s="291"/>
      <c r="I1527" s="293"/>
      <c r="J1527" s="291"/>
      <c r="K1527" s="291"/>
      <c r="L1527" s="293"/>
      <c r="M1527" s="291"/>
      <c r="N1527" s="289"/>
      <c r="O1527" s="358"/>
      <c r="P1527" s="402">
        <f t="shared" ref="P1527:Q1527" si="1523">IF(B1527=0,0,IF(YEAR(B1527)=$Q$1,MONTH(B1527)-$P$1+1,(YEAR(B1527)-$Q$1)*12-$P$1+1+MONTH(B1527)))</f>
        <v>0</v>
      </c>
      <c r="Q1527" s="280">
        <f t="shared" si="1523"/>
        <v>0</v>
      </c>
      <c r="R1527" s="356" t="str">
        <f t="shared" si="1"/>
        <v/>
      </c>
      <c r="S1527" s="269" t="str">
        <f>IF(D1527="","",IF(OR(D1527=Plano!$A$1,D1527=Plano!$B$1),"entrada","saída"))</f>
        <v/>
      </c>
      <c r="T1527" s="406"/>
      <c r="U1527" s="406"/>
      <c r="V1527" s="269"/>
    </row>
    <row r="1528" spans="1:22" ht="12.75" customHeight="1" x14ac:dyDescent="0.2">
      <c r="A1528" s="289" t="str">
        <f>IF(B1528="","",COUNT('Diário 5º PA'!$A$5:$A$2634)+ROW()-4)</f>
        <v/>
      </c>
      <c r="B1528" s="290"/>
      <c r="C1528" s="357"/>
      <c r="D1528" s="291"/>
      <c r="E1528" s="291"/>
      <c r="F1528" s="292"/>
      <c r="G1528" s="291"/>
      <c r="H1528" s="291"/>
      <c r="I1528" s="293"/>
      <c r="J1528" s="291"/>
      <c r="K1528" s="291"/>
      <c r="L1528" s="293"/>
      <c r="M1528" s="291"/>
      <c r="N1528" s="289"/>
      <c r="O1528" s="358"/>
      <c r="P1528" s="402">
        <f t="shared" ref="P1528:Q1528" si="1524">IF(B1528=0,0,IF(YEAR(B1528)=$Q$1,MONTH(B1528)-$P$1+1,(YEAR(B1528)-$Q$1)*12-$P$1+1+MONTH(B1528)))</f>
        <v>0</v>
      </c>
      <c r="Q1528" s="280">
        <f t="shared" si="1524"/>
        <v>0</v>
      </c>
      <c r="R1528" s="356" t="str">
        <f t="shared" si="1"/>
        <v/>
      </c>
      <c r="S1528" s="269" t="str">
        <f>IF(D1528="","",IF(OR(D1528=Plano!$A$1,D1528=Plano!$B$1),"entrada","saída"))</f>
        <v/>
      </c>
      <c r="T1528" s="406"/>
      <c r="U1528" s="406"/>
      <c r="V1528" s="269"/>
    </row>
    <row r="1529" spans="1:22" ht="12.75" customHeight="1" x14ac:dyDescent="0.2">
      <c r="A1529" s="289" t="str">
        <f>IF(B1529="","",COUNT('Diário 5º PA'!$A$5:$A$2634)+ROW()-4)</f>
        <v/>
      </c>
      <c r="B1529" s="290"/>
      <c r="C1529" s="357"/>
      <c r="D1529" s="291"/>
      <c r="E1529" s="291"/>
      <c r="F1529" s="292"/>
      <c r="G1529" s="291"/>
      <c r="H1529" s="291"/>
      <c r="I1529" s="293"/>
      <c r="J1529" s="291"/>
      <c r="K1529" s="291"/>
      <c r="L1529" s="293"/>
      <c r="M1529" s="291"/>
      <c r="N1529" s="289"/>
      <c r="O1529" s="358"/>
      <c r="P1529" s="402">
        <f t="shared" ref="P1529:Q1529" si="1525">IF(B1529=0,0,IF(YEAR(B1529)=$Q$1,MONTH(B1529)-$P$1+1,(YEAR(B1529)-$Q$1)*12-$P$1+1+MONTH(B1529)))</f>
        <v>0</v>
      </c>
      <c r="Q1529" s="280">
        <f t="shared" si="1525"/>
        <v>0</v>
      </c>
      <c r="R1529" s="356" t="str">
        <f t="shared" si="1"/>
        <v/>
      </c>
      <c r="S1529" s="269" t="str">
        <f>IF(D1529="","",IF(OR(D1529=Plano!$A$1,D1529=Plano!$B$1),"entrada","saída"))</f>
        <v/>
      </c>
      <c r="T1529" s="406"/>
      <c r="U1529" s="406"/>
      <c r="V1529" s="269"/>
    </row>
    <row r="1530" spans="1:22" ht="12.75" customHeight="1" x14ac:dyDescent="0.2">
      <c r="A1530" s="289" t="str">
        <f>IF(B1530="","",COUNT('Diário 5º PA'!$A$5:$A$2634)+ROW()-4)</f>
        <v/>
      </c>
      <c r="B1530" s="290"/>
      <c r="C1530" s="357"/>
      <c r="D1530" s="291"/>
      <c r="E1530" s="291"/>
      <c r="F1530" s="292"/>
      <c r="G1530" s="291"/>
      <c r="H1530" s="291"/>
      <c r="I1530" s="293"/>
      <c r="J1530" s="291"/>
      <c r="K1530" s="291"/>
      <c r="L1530" s="293"/>
      <c r="M1530" s="291"/>
      <c r="N1530" s="289"/>
      <c r="O1530" s="358"/>
      <c r="P1530" s="402">
        <f t="shared" ref="P1530:Q1530" si="1526">IF(B1530=0,0,IF(YEAR(B1530)=$Q$1,MONTH(B1530)-$P$1+1,(YEAR(B1530)-$Q$1)*12-$P$1+1+MONTH(B1530)))</f>
        <v>0</v>
      </c>
      <c r="Q1530" s="280">
        <f t="shared" si="1526"/>
        <v>0</v>
      </c>
      <c r="R1530" s="356" t="str">
        <f t="shared" si="1"/>
        <v/>
      </c>
      <c r="S1530" s="269" t="str">
        <f>IF(D1530="","",IF(OR(D1530=Plano!$A$1,D1530=Plano!$B$1),"entrada","saída"))</f>
        <v/>
      </c>
      <c r="T1530" s="406"/>
      <c r="U1530" s="406"/>
      <c r="V1530" s="269"/>
    </row>
    <row r="1531" spans="1:22" ht="12.75" customHeight="1" x14ac:dyDescent="0.2">
      <c r="A1531" s="289" t="str">
        <f>IF(B1531="","",COUNT('Diário 5º PA'!$A$5:$A$2634)+ROW()-4)</f>
        <v/>
      </c>
      <c r="B1531" s="290"/>
      <c r="C1531" s="357"/>
      <c r="D1531" s="291"/>
      <c r="E1531" s="291"/>
      <c r="F1531" s="292"/>
      <c r="G1531" s="291"/>
      <c r="H1531" s="291"/>
      <c r="I1531" s="293"/>
      <c r="J1531" s="291"/>
      <c r="K1531" s="291"/>
      <c r="L1531" s="293"/>
      <c r="M1531" s="291"/>
      <c r="N1531" s="289"/>
      <c r="O1531" s="358"/>
      <c r="P1531" s="402">
        <f t="shared" ref="P1531:Q1531" si="1527">IF(B1531=0,0,IF(YEAR(B1531)=$Q$1,MONTH(B1531)-$P$1+1,(YEAR(B1531)-$Q$1)*12-$P$1+1+MONTH(B1531)))</f>
        <v>0</v>
      </c>
      <c r="Q1531" s="280">
        <f t="shared" si="1527"/>
        <v>0</v>
      </c>
      <c r="R1531" s="356" t="str">
        <f t="shared" si="1"/>
        <v/>
      </c>
      <c r="S1531" s="269" t="str">
        <f>IF(D1531="","",IF(OR(D1531=Plano!$A$1,D1531=Plano!$B$1),"entrada","saída"))</f>
        <v/>
      </c>
      <c r="T1531" s="406"/>
      <c r="U1531" s="406"/>
      <c r="V1531" s="269"/>
    </row>
    <row r="1532" spans="1:22" ht="12.75" customHeight="1" x14ac:dyDescent="0.2">
      <c r="A1532" s="289" t="str">
        <f>IF(B1532="","",COUNT('Diário 5º PA'!$A$5:$A$2634)+ROW()-4)</f>
        <v/>
      </c>
      <c r="B1532" s="290"/>
      <c r="C1532" s="357"/>
      <c r="D1532" s="291"/>
      <c r="E1532" s="291"/>
      <c r="F1532" s="292"/>
      <c r="G1532" s="291"/>
      <c r="H1532" s="291"/>
      <c r="I1532" s="293"/>
      <c r="J1532" s="291"/>
      <c r="K1532" s="291"/>
      <c r="L1532" s="293"/>
      <c r="M1532" s="291"/>
      <c r="N1532" s="289"/>
      <c r="O1532" s="358"/>
      <c r="P1532" s="402">
        <f t="shared" ref="P1532:Q1532" si="1528">IF(B1532=0,0,IF(YEAR(B1532)=$Q$1,MONTH(B1532)-$P$1+1,(YEAR(B1532)-$Q$1)*12-$P$1+1+MONTH(B1532)))</f>
        <v>0</v>
      </c>
      <c r="Q1532" s="280">
        <f t="shared" si="1528"/>
        <v>0</v>
      </c>
      <c r="R1532" s="356" t="str">
        <f t="shared" si="1"/>
        <v/>
      </c>
      <c r="S1532" s="269" t="str">
        <f>IF(D1532="","",IF(OR(D1532=Plano!$A$1,D1532=Plano!$B$1),"entrada","saída"))</f>
        <v/>
      </c>
      <c r="T1532" s="406"/>
      <c r="U1532" s="406"/>
      <c r="V1532" s="269"/>
    </row>
    <row r="1533" spans="1:22" ht="12.75" customHeight="1" x14ac:dyDescent="0.2">
      <c r="A1533" s="289" t="str">
        <f>IF(B1533="","",COUNT('Diário 5º PA'!$A$5:$A$2634)+ROW()-4)</f>
        <v/>
      </c>
      <c r="B1533" s="290"/>
      <c r="C1533" s="357"/>
      <c r="D1533" s="291"/>
      <c r="E1533" s="291"/>
      <c r="F1533" s="292"/>
      <c r="G1533" s="291"/>
      <c r="H1533" s="291"/>
      <c r="I1533" s="293"/>
      <c r="J1533" s="291"/>
      <c r="K1533" s="291"/>
      <c r="L1533" s="293"/>
      <c r="M1533" s="291"/>
      <c r="N1533" s="289"/>
      <c r="O1533" s="358"/>
      <c r="P1533" s="402">
        <f t="shared" ref="P1533:Q1533" si="1529">IF(B1533=0,0,IF(YEAR(B1533)=$Q$1,MONTH(B1533)-$P$1+1,(YEAR(B1533)-$Q$1)*12-$P$1+1+MONTH(B1533)))</f>
        <v>0</v>
      </c>
      <c r="Q1533" s="280">
        <f t="shared" si="1529"/>
        <v>0</v>
      </c>
      <c r="R1533" s="356" t="str">
        <f t="shared" si="1"/>
        <v/>
      </c>
      <c r="S1533" s="269" t="str">
        <f>IF(D1533="","",IF(OR(D1533=Plano!$A$1,D1533=Plano!$B$1),"entrada","saída"))</f>
        <v/>
      </c>
      <c r="T1533" s="406"/>
      <c r="U1533" s="406"/>
      <c r="V1533" s="269"/>
    </row>
    <row r="1534" spans="1:22" ht="12.75" customHeight="1" x14ac:dyDescent="0.2">
      <c r="A1534" s="289" t="str">
        <f>IF(B1534="","",COUNT('Diário 5º PA'!$A$5:$A$2634)+ROW()-4)</f>
        <v/>
      </c>
      <c r="B1534" s="290"/>
      <c r="C1534" s="357"/>
      <c r="D1534" s="291"/>
      <c r="E1534" s="291"/>
      <c r="F1534" s="292"/>
      <c r="G1534" s="291"/>
      <c r="H1534" s="291"/>
      <c r="I1534" s="293"/>
      <c r="J1534" s="291"/>
      <c r="K1534" s="291"/>
      <c r="L1534" s="293"/>
      <c r="M1534" s="291"/>
      <c r="N1534" s="289"/>
      <c r="O1534" s="358"/>
      <c r="P1534" s="402">
        <f t="shared" ref="P1534:Q1534" si="1530">IF(B1534=0,0,IF(YEAR(B1534)=$Q$1,MONTH(B1534)-$P$1+1,(YEAR(B1534)-$Q$1)*12-$P$1+1+MONTH(B1534)))</f>
        <v>0</v>
      </c>
      <c r="Q1534" s="280">
        <f t="shared" si="1530"/>
        <v>0</v>
      </c>
      <c r="R1534" s="356" t="str">
        <f t="shared" si="1"/>
        <v/>
      </c>
      <c r="S1534" s="269" t="str">
        <f>IF(D1534="","",IF(OR(D1534=Plano!$A$1,D1534=Plano!$B$1),"entrada","saída"))</f>
        <v/>
      </c>
      <c r="T1534" s="406"/>
      <c r="U1534" s="406"/>
      <c r="V1534" s="269"/>
    </row>
    <row r="1535" spans="1:22" ht="12.75" customHeight="1" x14ac:dyDescent="0.2">
      <c r="A1535" s="289" t="str">
        <f>IF(B1535="","",COUNT('Diário 5º PA'!$A$5:$A$2634)+ROW()-4)</f>
        <v/>
      </c>
      <c r="B1535" s="290"/>
      <c r="C1535" s="357"/>
      <c r="D1535" s="291"/>
      <c r="E1535" s="291"/>
      <c r="F1535" s="292"/>
      <c r="G1535" s="291"/>
      <c r="H1535" s="291"/>
      <c r="I1535" s="293"/>
      <c r="J1535" s="291"/>
      <c r="K1535" s="291"/>
      <c r="L1535" s="293"/>
      <c r="M1535" s="291"/>
      <c r="N1535" s="289"/>
      <c r="O1535" s="358"/>
      <c r="P1535" s="402">
        <f t="shared" ref="P1535:Q1535" si="1531">IF(B1535=0,0,IF(YEAR(B1535)=$Q$1,MONTH(B1535)-$P$1+1,(YEAR(B1535)-$Q$1)*12-$P$1+1+MONTH(B1535)))</f>
        <v>0</v>
      </c>
      <c r="Q1535" s="280">
        <f t="shared" si="1531"/>
        <v>0</v>
      </c>
      <c r="R1535" s="356" t="str">
        <f t="shared" si="1"/>
        <v/>
      </c>
      <c r="S1535" s="269" t="str">
        <f>IF(D1535="","",IF(OR(D1535=Plano!$A$1,D1535=Plano!$B$1),"entrada","saída"))</f>
        <v/>
      </c>
      <c r="T1535" s="406"/>
      <c r="U1535" s="406"/>
      <c r="V1535" s="269"/>
    </row>
    <row r="1536" spans="1:22" ht="12.75" customHeight="1" x14ac:dyDescent="0.2">
      <c r="A1536" s="289" t="str">
        <f>IF(B1536="","",COUNT('Diário 5º PA'!$A$5:$A$2634)+ROW()-4)</f>
        <v/>
      </c>
      <c r="B1536" s="290"/>
      <c r="C1536" s="357"/>
      <c r="D1536" s="291"/>
      <c r="E1536" s="291"/>
      <c r="F1536" s="292"/>
      <c r="G1536" s="291"/>
      <c r="H1536" s="291"/>
      <c r="I1536" s="293"/>
      <c r="J1536" s="291"/>
      <c r="K1536" s="291"/>
      <c r="L1536" s="293"/>
      <c r="M1536" s="291"/>
      <c r="N1536" s="289"/>
      <c r="O1536" s="358"/>
      <c r="P1536" s="402">
        <f t="shared" ref="P1536:Q1536" si="1532">IF(B1536=0,0,IF(YEAR(B1536)=$Q$1,MONTH(B1536)-$P$1+1,(YEAR(B1536)-$Q$1)*12-$P$1+1+MONTH(B1536)))</f>
        <v>0</v>
      </c>
      <c r="Q1536" s="280">
        <f t="shared" si="1532"/>
        <v>0</v>
      </c>
      <c r="R1536" s="356" t="str">
        <f t="shared" si="1"/>
        <v/>
      </c>
      <c r="S1536" s="269" t="str">
        <f>IF(D1536="","",IF(OR(D1536=Plano!$A$1,D1536=Plano!$B$1),"entrada","saída"))</f>
        <v/>
      </c>
      <c r="T1536" s="406"/>
      <c r="U1536" s="406"/>
      <c r="V1536" s="269"/>
    </row>
    <row r="1537" spans="1:22" ht="12.75" customHeight="1" x14ac:dyDescent="0.2">
      <c r="A1537" s="289" t="str">
        <f>IF(B1537="","",COUNT('Diário 5º PA'!$A$5:$A$2634)+ROW()-4)</f>
        <v/>
      </c>
      <c r="B1537" s="290"/>
      <c r="C1537" s="357"/>
      <c r="D1537" s="291"/>
      <c r="E1537" s="291"/>
      <c r="F1537" s="292"/>
      <c r="G1537" s="291"/>
      <c r="H1537" s="291"/>
      <c r="I1537" s="293"/>
      <c r="J1537" s="291"/>
      <c r="K1537" s="291"/>
      <c r="L1537" s="293"/>
      <c r="M1537" s="291"/>
      <c r="N1537" s="289"/>
      <c r="O1537" s="358"/>
      <c r="P1537" s="402">
        <f t="shared" ref="P1537:Q1537" si="1533">IF(B1537=0,0,IF(YEAR(B1537)=$Q$1,MONTH(B1537)-$P$1+1,(YEAR(B1537)-$Q$1)*12-$P$1+1+MONTH(B1537)))</f>
        <v>0</v>
      </c>
      <c r="Q1537" s="280">
        <f t="shared" si="1533"/>
        <v>0</v>
      </c>
      <c r="R1537" s="356" t="str">
        <f t="shared" si="1"/>
        <v/>
      </c>
      <c r="S1537" s="269" t="str">
        <f>IF(D1537="","",IF(OR(D1537=Plano!$A$1,D1537=Plano!$B$1),"entrada","saída"))</f>
        <v/>
      </c>
      <c r="T1537" s="406"/>
      <c r="U1537" s="406"/>
      <c r="V1537" s="269"/>
    </row>
    <row r="1538" spans="1:22" ht="12.75" customHeight="1" x14ac:dyDescent="0.2">
      <c r="A1538" s="289" t="str">
        <f>IF(B1538="","",COUNT('Diário 5º PA'!$A$5:$A$2634)+ROW()-4)</f>
        <v/>
      </c>
      <c r="B1538" s="290"/>
      <c r="C1538" s="357"/>
      <c r="D1538" s="291"/>
      <c r="E1538" s="291"/>
      <c r="F1538" s="292"/>
      <c r="G1538" s="291"/>
      <c r="H1538" s="291"/>
      <c r="I1538" s="293"/>
      <c r="J1538" s="291"/>
      <c r="K1538" s="291"/>
      <c r="L1538" s="293"/>
      <c r="M1538" s="291"/>
      <c r="N1538" s="289"/>
      <c r="O1538" s="358"/>
      <c r="P1538" s="402">
        <f t="shared" ref="P1538:Q1538" si="1534">IF(B1538=0,0,IF(YEAR(B1538)=$Q$1,MONTH(B1538)-$P$1+1,(YEAR(B1538)-$Q$1)*12-$P$1+1+MONTH(B1538)))</f>
        <v>0</v>
      </c>
      <c r="Q1538" s="280">
        <f t="shared" si="1534"/>
        <v>0</v>
      </c>
      <c r="R1538" s="356" t="str">
        <f t="shared" si="1"/>
        <v/>
      </c>
      <c r="S1538" s="269" t="str">
        <f>IF(D1538="","",IF(OR(D1538=Plano!$A$1,D1538=Plano!$B$1),"entrada","saída"))</f>
        <v/>
      </c>
      <c r="T1538" s="406"/>
      <c r="U1538" s="406"/>
      <c r="V1538" s="269"/>
    </row>
    <row r="1539" spans="1:22" ht="12.75" customHeight="1" x14ac:dyDescent="0.2">
      <c r="A1539" s="289" t="str">
        <f>IF(B1539="","",COUNT('Diário 5º PA'!$A$5:$A$2634)+ROW()-4)</f>
        <v/>
      </c>
      <c r="B1539" s="290"/>
      <c r="C1539" s="357"/>
      <c r="D1539" s="291"/>
      <c r="E1539" s="291"/>
      <c r="F1539" s="292"/>
      <c r="G1539" s="291"/>
      <c r="H1539" s="291"/>
      <c r="I1539" s="293"/>
      <c r="J1539" s="291"/>
      <c r="K1539" s="291"/>
      <c r="L1539" s="293"/>
      <c r="M1539" s="291"/>
      <c r="N1539" s="289"/>
      <c r="O1539" s="358"/>
      <c r="P1539" s="402">
        <f t="shared" ref="P1539:Q1539" si="1535">IF(B1539=0,0,IF(YEAR(B1539)=$Q$1,MONTH(B1539)-$P$1+1,(YEAR(B1539)-$Q$1)*12-$P$1+1+MONTH(B1539)))</f>
        <v>0</v>
      </c>
      <c r="Q1539" s="280">
        <f t="shared" si="1535"/>
        <v>0</v>
      </c>
      <c r="R1539" s="356" t="str">
        <f t="shared" si="1"/>
        <v/>
      </c>
      <c r="S1539" s="269" t="str">
        <f>IF(D1539="","",IF(OR(D1539=Plano!$A$1,D1539=Plano!$B$1),"entrada","saída"))</f>
        <v/>
      </c>
      <c r="T1539" s="406"/>
      <c r="U1539" s="406"/>
      <c r="V1539" s="269"/>
    </row>
    <row r="1540" spans="1:22" ht="12.75" customHeight="1" x14ac:dyDescent="0.2">
      <c r="A1540" s="289" t="str">
        <f>IF(B1540="","",COUNT('Diário 5º PA'!$A$5:$A$2634)+ROW()-4)</f>
        <v/>
      </c>
      <c r="B1540" s="290"/>
      <c r="C1540" s="357"/>
      <c r="D1540" s="291"/>
      <c r="E1540" s="291"/>
      <c r="F1540" s="292"/>
      <c r="G1540" s="291"/>
      <c r="H1540" s="291"/>
      <c r="I1540" s="293"/>
      <c r="J1540" s="291"/>
      <c r="K1540" s="291"/>
      <c r="L1540" s="293"/>
      <c r="M1540" s="291"/>
      <c r="N1540" s="289"/>
      <c r="O1540" s="358"/>
      <c r="P1540" s="402">
        <f t="shared" ref="P1540:Q1540" si="1536">IF(B1540=0,0,IF(YEAR(B1540)=$Q$1,MONTH(B1540)-$P$1+1,(YEAR(B1540)-$Q$1)*12-$P$1+1+MONTH(B1540)))</f>
        <v>0</v>
      </c>
      <c r="Q1540" s="280">
        <f t="shared" si="1536"/>
        <v>0</v>
      </c>
      <c r="R1540" s="356" t="str">
        <f t="shared" si="1"/>
        <v/>
      </c>
      <c r="S1540" s="269" t="str">
        <f>IF(D1540="","",IF(OR(D1540=Plano!$A$1,D1540=Plano!$B$1),"entrada","saída"))</f>
        <v/>
      </c>
      <c r="T1540" s="406"/>
      <c r="U1540" s="406"/>
      <c r="V1540" s="269"/>
    </row>
    <row r="1541" spans="1:22" ht="12.75" customHeight="1" x14ac:dyDescent="0.2">
      <c r="A1541" s="289" t="str">
        <f>IF(B1541="","",COUNT('Diário 5º PA'!$A$5:$A$2634)+ROW()-4)</f>
        <v/>
      </c>
      <c r="B1541" s="290"/>
      <c r="C1541" s="357"/>
      <c r="D1541" s="291"/>
      <c r="E1541" s="291"/>
      <c r="F1541" s="292"/>
      <c r="G1541" s="291"/>
      <c r="H1541" s="291"/>
      <c r="I1541" s="293"/>
      <c r="J1541" s="291"/>
      <c r="K1541" s="291"/>
      <c r="L1541" s="293"/>
      <c r="M1541" s="291"/>
      <c r="N1541" s="289"/>
      <c r="O1541" s="358"/>
      <c r="P1541" s="402">
        <f t="shared" ref="P1541:Q1541" si="1537">IF(B1541=0,0,IF(YEAR(B1541)=$Q$1,MONTH(B1541)-$P$1+1,(YEAR(B1541)-$Q$1)*12-$P$1+1+MONTH(B1541)))</f>
        <v>0</v>
      </c>
      <c r="Q1541" s="280">
        <f t="shared" si="1537"/>
        <v>0</v>
      </c>
      <c r="R1541" s="356" t="str">
        <f t="shared" si="1"/>
        <v/>
      </c>
      <c r="S1541" s="269" t="str">
        <f>IF(D1541="","",IF(OR(D1541=Plano!$A$1,D1541=Plano!$B$1),"entrada","saída"))</f>
        <v/>
      </c>
      <c r="T1541" s="406"/>
      <c r="U1541" s="406"/>
      <c r="V1541" s="269"/>
    </row>
    <row r="1542" spans="1:22" ht="12.75" customHeight="1" x14ac:dyDescent="0.2">
      <c r="A1542" s="289" t="str">
        <f>IF(B1542="","",COUNT('Diário 5º PA'!$A$5:$A$2634)+ROW()-4)</f>
        <v/>
      </c>
      <c r="B1542" s="290"/>
      <c r="C1542" s="357"/>
      <c r="D1542" s="291"/>
      <c r="E1542" s="291"/>
      <c r="F1542" s="292"/>
      <c r="G1542" s="291"/>
      <c r="H1542" s="291"/>
      <c r="I1542" s="293"/>
      <c r="J1542" s="291"/>
      <c r="K1542" s="291"/>
      <c r="L1542" s="293"/>
      <c r="M1542" s="291"/>
      <c r="N1542" s="289"/>
      <c r="O1542" s="358"/>
      <c r="P1542" s="402">
        <f t="shared" ref="P1542:Q1542" si="1538">IF(B1542=0,0,IF(YEAR(B1542)=$Q$1,MONTH(B1542)-$P$1+1,(YEAR(B1542)-$Q$1)*12-$P$1+1+MONTH(B1542)))</f>
        <v>0</v>
      </c>
      <c r="Q1542" s="280">
        <f t="shared" si="1538"/>
        <v>0</v>
      </c>
      <c r="R1542" s="356" t="str">
        <f t="shared" si="1"/>
        <v/>
      </c>
      <c r="S1542" s="269" t="str">
        <f>IF(D1542="","",IF(OR(D1542=Plano!$A$1,D1542=Plano!$B$1),"entrada","saída"))</f>
        <v/>
      </c>
      <c r="T1542" s="406"/>
      <c r="U1542" s="406"/>
      <c r="V1542" s="269"/>
    </row>
    <row r="1543" spans="1:22" ht="12.75" customHeight="1" x14ac:dyDescent="0.2">
      <c r="A1543" s="289" t="str">
        <f>IF(B1543="","",COUNT('Diário 5º PA'!$A$5:$A$2634)+ROW()-4)</f>
        <v/>
      </c>
      <c r="B1543" s="290"/>
      <c r="C1543" s="357"/>
      <c r="D1543" s="291"/>
      <c r="E1543" s="291"/>
      <c r="F1543" s="292"/>
      <c r="G1543" s="291"/>
      <c r="H1543" s="291"/>
      <c r="I1543" s="293"/>
      <c r="J1543" s="291"/>
      <c r="K1543" s="291"/>
      <c r="L1543" s="293"/>
      <c r="M1543" s="291"/>
      <c r="N1543" s="289"/>
      <c r="O1543" s="358"/>
      <c r="P1543" s="402">
        <f t="shared" ref="P1543:Q1543" si="1539">IF(B1543=0,0,IF(YEAR(B1543)=$Q$1,MONTH(B1543)-$P$1+1,(YEAR(B1543)-$Q$1)*12-$P$1+1+MONTH(B1543)))</f>
        <v>0</v>
      </c>
      <c r="Q1543" s="280">
        <f t="shared" si="1539"/>
        <v>0</v>
      </c>
      <c r="R1543" s="356" t="str">
        <f t="shared" si="1"/>
        <v/>
      </c>
      <c r="S1543" s="269" t="str">
        <f>IF(D1543="","",IF(OR(D1543=Plano!$A$1,D1543=Plano!$B$1),"entrada","saída"))</f>
        <v/>
      </c>
      <c r="T1543" s="406"/>
      <c r="U1543" s="406"/>
      <c r="V1543" s="269"/>
    </row>
    <row r="1544" spans="1:22" ht="12.75" customHeight="1" x14ac:dyDescent="0.2">
      <c r="A1544" s="289" t="str">
        <f>IF(B1544="","",COUNT('Diário 5º PA'!$A$5:$A$2634)+ROW()-4)</f>
        <v/>
      </c>
      <c r="B1544" s="290"/>
      <c r="C1544" s="357"/>
      <c r="D1544" s="291"/>
      <c r="E1544" s="291"/>
      <c r="F1544" s="292"/>
      <c r="G1544" s="291"/>
      <c r="H1544" s="291"/>
      <c r="I1544" s="293"/>
      <c r="J1544" s="291"/>
      <c r="K1544" s="291"/>
      <c r="L1544" s="293"/>
      <c r="M1544" s="291"/>
      <c r="N1544" s="289"/>
      <c r="O1544" s="358"/>
      <c r="P1544" s="402">
        <f t="shared" ref="P1544:Q1544" si="1540">IF(B1544=0,0,IF(YEAR(B1544)=$Q$1,MONTH(B1544)-$P$1+1,(YEAR(B1544)-$Q$1)*12-$P$1+1+MONTH(B1544)))</f>
        <v>0</v>
      </c>
      <c r="Q1544" s="280">
        <f t="shared" si="1540"/>
        <v>0</v>
      </c>
      <c r="R1544" s="356" t="str">
        <f t="shared" si="1"/>
        <v/>
      </c>
      <c r="S1544" s="269" t="str">
        <f>IF(D1544="","",IF(OR(D1544=Plano!$A$1,D1544=Plano!$B$1),"entrada","saída"))</f>
        <v/>
      </c>
      <c r="T1544" s="406"/>
      <c r="U1544" s="406"/>
      <c r="V1544" s="269"/>
    </row>
    <row r="1545" spans="1:22" ht="12.75" customHeight="1" x14ac:dyDescent="0.2">
      <c r="A1545" s="289" t="str">
        <f>IF(B1545="","",COUNT('Diário 5º PA'!$A$5:$A$2634)+ROW()-4)</f>
        <v/>
      </c>
      <c r="B1545" s="290"/>
      <c r="C1545" s="357"/>
      <c r="D1545" s="291"/>
      <c r="E1545" s="291"/>
      <c r="F1545" s="292"/>
      <c r="G1545" s="291"/>
      <c r="H1545" s="291"/>
      <c r="I1545" s="293"/>
      <c r="J1545" s="291"/>
      <c r="K1545" s="291"/>
      <c r="L1545" s="293"/>
      <c r="M1545" s="291"/>
      <c r="N1545" s="289"/>
      <c r="O1545" s="358"/>
      <c r="P1545" s="402">
        <f t="shared" ref="P1545:Q1545" si="1541">IF(B1545=0,0,IF(YEAR(B1545)=$Q$1,MONTH(B1545)-$P$1+1,(YEAR(B1545)-$Q$1)*12-$P$1+1+MONTH(B1545)))</f>
        <v>0</v>
      </c>
      <c r="Q1545" s="280">
        <f t="shared" si="1541"/>
        <v>0</v>
      </c>
      <c r="R1545" s="356" t="str">
        <f t="shared" si="1"/>
        <v/>
      </c>
      <c r="S1545" s="269" t="str">
        <f>IF(D1545="","",IF(OR(D1545=Plano!$A$1,D1545=Plano!$B$1),"entrada","saída"))</f>
        <v/>
      </c>
      <c r="T1545" s="406"/>
      <c r="U1545" s="406"/>
      <c r="V1545" s="269"/>
    </row>
    <row r="1546" spans="1:22" ht="12.75" customHeight="1" x14ac:dyDescent="0.2">
      <c r="A1546" s="289" t="str">
        <f>IF(B1546="","",COUNT('Diário 5º PA'!$A$5:$A$2634)+ROW()-4)</f>
        <v/>
      </c>
      <c r="B1546" s="290"/>
      <c r="C1546" s="357"/>
      <c r="D1546" s="291"/>
      <c r="E1546" s="291"/>
      <c r="F1546" s="292"/>
      <c r="G1546" s="291"/>
      <c r="H1546" s="291"/>
      <c r="I1546" s="293"/>
      <c r="J1546" s="291"/>
      <c r="K1546" s="291"/>
      <c r="L1546" s="293"/>
      <c r="M1546" s="291"/>
      <c r="N1546" s="289"/>
      <c r="O1546" s="358"/>
      <c r="P1546" s="402">
        <f t="shared" ref="P1546:Q1546" si="1542">IF(B1546=0,0,IF(YEAR(B1546)=$Q$1,MONTH(B1546)-$P$1+1,(YEAR(B1546)-$Q$1)*12-$P$1+1+MONTH(B1546)))</f>
        <v>0</v>
      </c>
      <c r="Q1546" s="280">
        <f t="shared" si="1542"/>
        <v>0</v>
      </c>
      <c r="R1546" s="356" t="str">
        <f t="shared" si="1"/>
        <v/>
      </c>
      <c r="S1546" s="269" t="str">
        <f>IF(D1546="","",IF(OR(D1546=Plano!$A$1,D1546=Plano!$B$1),"entrada","saída"))</f>
        <v/>
      </c>
      <c r="T1546" s="406"/>
      <c r="U1546" s="406"/>
      <c r="V1546" s="269"/>
    </row>
    <row r="1547" spans="1:22" ht="12.75" customHeight="1" x14ac:dyDescent="0.2">
      <c r="A1547" s="289" t="str">
        <f>IF(B1547="","",COUNT('Diário 5º PA'!$A$5:$A$2634)+ROW()-4)</f>
        <v/>
      </c>
      <c r="B1547" s="290"/>
      <c r="C1547" s="357"/>
      <c r="D1547" s="291"/>
      <c r="E1547" s="291"/>
      <c r="F1547" s="292"/>
      <c r="G1547" s="291"/>
      <c r="H1547" s="291"/>
      <c r="I1547" s="293"/>
      <c r="J1547" s="291"/>
      <c r="K1547" s="291"/>
      <c r="L1547" s="293"/>
      <c r="M1547" s="291"/>
      <c r="N1547" s="289"/>
      <c r="O1547" s="358"/>
      <c r="P1547" s="402">
        <f t="shared" ref="P1547:Q1547" si="1543">IF(B1547=0,0,IF(YEAR(B1547)=$Q$1,MONTH(B1547)-$P$1+1,(YEAR(B1547)-$Q$1)*12-$P$1+1+MONTH(B1547)))</f>
        <v>0</v>
      </c>
      <c r="Q1547" s="280">
        <f t="shared" si="1543"/>
        <v>0</v>
      </c>
      <c r="R1547" s="356" t="str">
        <f t="shared" si="1"/>
        <v/>
      </c>
      <c r="S1547" s="269" t="str">
        <f>IF(D1547="","",IF(OR(D1547=Plano!$A$1,D1547=Plano!$B$1),"entrada","saída"))</f>
        <v/>
      </c>
      <c r="T1547" s="406"/>
      <c r="U1547" s="406"/>
      <c r="V1547" s="269"/>
    </row>
    <row r="1548" spans="1:22" ht="12.75" customHeight="1" x14ac:dyDescent="0.2">
      <c r="A1548" s="289" t="str">
        <f>IF(B1548="","",COUNT('Diário 5º PA'!$A$5:$A$2634)+ROW()-4)</f>
        <v/>
      </c>
      <c r="B1548" s="290"/>
      <c r="C1548" s="357"/>
      <c r="D1548" s="291"/>
      <c r="E1548" s="291"/>
      <c r="F1548" s="292"/>
      <c r="G1548" s="291"/>
      <c r="H1548" s="291"/>
      <c r="I1548" s="293"/>
      <c r="J1548" s="291"/>
      <c r="K1548" s="291"/>
      <c r="L1548" s="293"/>
      <c r="M1548" s="291"/>
      <c r="N1548" s="289"/>
      <c r="O1548" s="358"/>
      <c r="P1548" s="402">
        <f t="shared" ref="P1548:Q1548" si="1544">IF(B1548=0,0,IF(YEAR(B1548)=$Q$1,MONTH(B1548)-$P$1+1,(YEAR(B1548)-$Q$1)*12-$P$1+1+MONTH(B1548)))</f>
        <v>0</v>
      </c>
      <c r="Q1548" s="280">
        <f t="shared" si="1544"/>
        <v>0</v>
      </c>
      <c r="R1548" s="356" t="str">
        <f t="shared" si="1"/>
        <v/>
      </c>
      <c r="S1548" s="269" t="str">
        <f>IF(D1548="","",IF(OR(D1548=Plano!$A$1,D1548=Plano!$B$1),"entrada","saída"))</f>
        <v/>
      </c>
      <c r="T1548" s="406"/>
      <c r="U1548" s="406"/>
      <c r="V1548" s="269"/>
    </row>
    <row r="1549" spans="1:22" ht="12.75" customHeight="1" x14ac:dyDescent="0.2">
      <c r="A1549" s="289" t="str">
        <f>IF(B1549="","",COUNT('Diário 5º PA'!$A$5:$A$2634)+ROW()-4)</f>
        <v/>
      </c>
      <c r="B1549" s="290"/>
      <c r="C1549" s="357"/>
      <c r="D1549" s="291"/>
      <c r="E1549" s="291"/>
      <c r="F1549" s="292"/>
      <c r="G1549" s="291"/>
      <c r="H1549" s="291"/>
      <c r="I1549" s="293"/>
      <c r="J1549" s="291"/>
      <c r="K1549" s="291"/>
      <c r="L1549" s="293"/>
      <c r="M1549" s="291"/>
      <c r="N1549" s="289"/>
      <c r="O1549" s="358"/>
      <c r="P1549" s="402">
        <f t="shared" ref="P1549:Q1549" si="1545">IF(B1549=0,0,IF(YEAR(B1549)=$Q$1,MONTH(B1549)-$P$1+1,(YEAR(B1549)-$Q$1)*12-$P$1+1+MONTH(B1549)))</f>
        <v>0</v>
      </c>
      <c r="Q1549" s="280">
        <f t="shared" si="1545"/>
        <v>0</v>
      </c>
      <c r="R1549" s="356" t="str">
        <f t="shared" si="1"/>
        <v/>
      </c>
      <c r="S1549" s="269" t="str">
        <f>IF(D1549="","",IF(OR(D1549=Plano!$A$1,D1549=Plano!$B$1),"entrada","saída"))</f>
        <v/>
      </c>
      <c r="T1549" s="406"/>
      <c r="U1549" s="406"/>
      <c r="V1549" s="269"/>
    </row>
    <row r="1550" spans="1:22" ht="12.75" customHeight="1" x14ac:dyDescent="0.2">
      <c r="A1550" s="289" t="str">
        <f>IF(B1550="","",COUNT('Diário 5º PA'!$A$5:$A$2634)+ROW()-4)</f>
        <v/>
      </c>
      <c r="B1550" s="290"/>
      <c r="C1550" s="357"/>
      <c r="D1550" s="291"/>
      <c r="E1550" s="291"/>
      <c r="F1550" s="292"/>
      <c r="G1550" s="291"/>
      <c r="H1550" s="291"/>
      <c r="I1550" s="293"/>
      <c r="J1550" s="291"/>
      <c r="K1550" s="291"/>
      <c r="L1550" s="293"/>
      <c r="M1550" s="291"/>
      <c r="N1550" s="289"/>
      <c r="O1550" s="358"/>
      <c r="P1550" s="402">
        <f t="shared" ref="P1550:Q1550" si="1546">IF(B1550=0,0,IF(YEAR(B1550)=$Q$1,MONTH(B1550)-$P$1+1,(YEAR(B1550)-$Q$1)*12-$P$1+1+MONTH(B1550)))</f>
        <v>0</v>
      </c>
      <c r="Q1550" s="280">
        <f t="shared" si="1546"/>
        <v>0</v>
      </c>
      <c r="R1550" s="356" t="str">
        <f t="shared" si="1"/>
        <v/>
      </c>
      <c r="S1550" s="269" t="str">
        <f>IF(D1550="","",IF(OR(D1550=Plano!$A$1,D1550=Plano!$B$1),"entrada","saída"))</f>
        <v/>
      </c>
      <c r="T1550" s="406"/>
      <c r="U1550" s="406"/>
      <c r="V1550" s="269"/>
    </row>
    <row r="1551" spans="1:22" ht="12.75" customHeight="1" x14ac:dyDescent="0.2">
      <c r="A1551" s="289" t="str">
        <f>IF(B1551="","",COUNT('Diário 5º PA'!$A$5:$A$2634)+ROW()-4)</f>
        <v/>
      </c>
      <c r="B1551" s="290"/>
      <c r="C1551" s="357"/>
      <c r="D1551" s="291"/>
      <c r="E1551" s="291"/>
      <c r="F1551" s="292"/>
      <c r="G1551" s="291"/>
      <c r="H1551" s="291"/>
      <c r="I1551" s="293"/>
      <c r="J1551" s="291"/>
      <c r="K1551" s="291"/>
      <c r="L1551" s="293"/>
      <c r="M1551" s="291"/>
      <c r="N1551" s="289"/>
      <c r="O1551" s="358"/>
      <c r="P1551" s="402">
        <f t="shared" ref="P1551:Q1551" si="1547">IF(B1551=0,0,IF(YEAR(B1551)=$Q$1,MONTH(B1551)-$P$1+1,(YEAR(B1551)-$Q$1)*12-$P$1+1+MONTH(B1551)))</f>
        <v>0</v>
      </c>
      <c r="Q1551" s="280">
        <f t="shared" si="1547"/>
        <v>0</v>
      </c>
      <c r="R1551" s="356" t="str">
        <f t="shared" si="1"/>
        <v/>
      </c>
      <c r="S1551" s="269" t="str">
        <f>IF(D1551="","",IF(OR(D1551=Plano!$A$1,D1551=Plano!$B$1),"entrada","saída"))</f>
        <v/>
      </c>
      <c r="T1551" s="406"/>
      <c r="U1551" s="406"/>
      <c r="V1551" s="269"/>
    </row>
    <row r="1552" spans="1:22" ht="12.75" customHeight="1" x14ac:dyDescent="0.2">
      <c r="A1552" s="289" t="str">
        <f>IF(B1552="","",COUNT('Diário 5º PA'!$A$5:$A$2634)+ROW()-4)</f>
        <v/>
      </c>
      <c r="B1552" s="290"/>
      <c r="C1552" s="357"/>
      <c r="D1552" s="291"/>
      <c r="E1552" s="291"/>
      <c r="F1552" s="292"/>
      <c r="G1552" s="291"/>
      <c r="H1552" s="291"/>
      <c r="I1552" s="293"/>
      <c r="J1552" s="291"/>
      <c r="K1552" s="291"/>
      <c r="L1552" s="293"/>
      <c r="M1552" s="291"/>
      <c r="N1552" s="289"/>
      <c r="O1552" s="358"/>
      <c r="P1552" s="402">
        <f t="shared" ref="P1552:Q1552" si="1548">IF(B1552=0,0,IF(YEAR(B1552)=$Q$1,MONTH(B1552)-$P$1+1,(YEAR(B1552)-$Q$1)*12-$P$1+1+MONTH(B1552)))</f>
        <v>0</v>
      </c>
      <c r="Q1552" s="280">
        <f t="shared" si="1548"/>
        <v>0</v>
      </c>
      <c r="R1552" s="356" t="str">
        <f t="shared" si="1"/>
        <v/>
      </c>
      <c r="S1552" s="269" t="str">
        <f>IF(D1552="","",IF(OR(D1552=Plano!$A$1,D1552=Plano!$B$1),"entrada","saída"))</f>
        <v/>
      </c>
      <c r="T1552" s="406"/>
      <c r="U1552" s="406"/>
      <c r="V1552" s="269"/>
    </row>
    <row r="1553" spans="1:22" ht="12.75" customHeight="1" x14ac:dyDescent="0.2">
      <c r="A1553" s="289" t="str">
        <f>IF(B1553="","",COUNT('Diário 5º PA'!$A$5:$A$2634)+ROW()-4)</f>
        <v/>
      </c>
      <c r="B1553" s="290"/>
      <c r="C1553" s="357"/>
      <c r="D1553" s="291"/>
      <c r="E1553" s="291"/>
      <c r="F1553" s="292"/>
      <c r="G1553" s="291"/>
      <c r="H1553" s="291"/>
      <c r="I1553" s="293"/>
      <c r="J1553" s="291"/>
      <c r="K1553" s="291"/>
      <c r="L1553" s="293"/>
      <c r="M1553" s="291"/>
      <c r="N1553" s="289"/>
      <c r="O1553" s="358"/>
      <c r="P1553" s="402">
        <f t="shared" ref="P1553:Q1553" si="1549">IF(B1553=0,0,IF(YEAR(B1553)=$Q$1,MONTH(B1553)-$P$1+1,(YEAR(B1553)-$Q$1)*12-$P$1+1+MONTH(B1553)))</f>
        <v>0</v>
      </c>
      <c r="Q1553" s="280">
        <f t="shared" si="1549"/>
        <v>0</v>
      </c>
      <c r="R1553" s="356" t="str">
        <f t="shared" si="1"/>
        <v/>
      </c>
      <c r="S1553" s="269" t="str">
        <f>IF(D1553="","",IF(OR(D1553=Plano!$A$1,D1553=Plano!$B$1),"entrada","saída"))</f>
        <v/>
      </c>
      <c r="T1553" s="406"/>
      <c r="U1553" s="406"/>
      <c r="V1553" s="269"/>
    </row>
    <row r="1554" spans="1:22" ht="12.75" customHeight="1" x14ac:dyDescent="0.2">
      <c r="A1554" s="289" t="str">
        <f>IF(B1554="","",COUNT('Diário 5º PA'!$A$5:$A$2634)+ROW()-4)</f>
        <v/>
      </c>
      <c r="B1554" s="290"/>
      <c r="C1554" s="357"/>
      <c r="D1554" s="291"/>
      <c r="E1554" s="291"/>
      <c r="F1554" s="292"/>
      <c r="G1554" s="291"/>
      <c r="H1554" s="291"/>
      <c r="I1554" s="293"/>
      <c r="J1554" s="291"/>
      <c r="K1554" s="291"/>
      <c r="L1554" s="293"/>
      <c r="M1554" s="291"/>
      <c r="N1554" s="289"/>
      <c r="O1554" s="358"/>
      <c r="P1554" s="402">
        <f t="shared" ref="P1554:Q1554" si="1550">IF(B1554=0,0,IF(YEAR(B1554)=$Q$1,MONTH(B1554)-$P$1+1,(YEAR(B1554)-$Q$1)*12-$P$1+1+MONTH(B1554)))</f>
        <v>0</v>
      </c>
      <c r="Q1554" s="280">
        <f t="shared" si="1550"/>
        <v>0</v>
      </c>
      <c r="R1554" s="356" t="str">
        <f t="shared" si="1"/>
        <v/>
      </c>
      <c r="S1554" s="269" t="str">
        <f>IF(D1554="","",IF(OR(D1554=Plano!$A$1,D1554=Plano!$B$1),"entrada","saída"))</f>
        <v/>
      </c>
      <c r="T1554" s="406"/>
      <c r="U1554" s="406"/>
      <c r="V1554" s="269"/>
    </row>
    <row r="1555" spans="1:22" ht="12.75" customHeight="1" x14ac:dyDescent="0.2">
      <c r="A1555" s="289" t="str">
        <f>IF(B1555="","",COUNT('Diário 5º PA'!$A$5:$A$2634)+ROW()-4)</f>
        <v/>
      </c>
      <c r="B1555" s="290"/>
      <c r="C1555" s="357"/>
      <c r="D1555" s="291"/>
      <c r="E1555" s="291"/>
      <c r="F1555" s="292"/>
      <c r="G1555" s="291"/>
      <c r="H1555" s="291"/>
      <c r="I1555" s="293"/>
      <c r="J1555" s="291"/>
      <c r="K1555" s="291"/>
      <c r="L1555" s="293"/>
      <c r="M1555" s="291"/>
      <c r="N1555" s="289"/>
      <c r="O1555" s="358"/>
      <c r="P1555" s="402">
        <f t="shared" ref="P1555:Q1555" si="1551">IF(B1555=0,0,IF(YEAR(B1555)=$Q$1,MONTH(B1555)-$P$1+1,(YEAR(B1555)-$Q$1)*12-$P$1+1+MONTH(B1555)))</f>
        <v>0</v>
      </c>
      <c r="Q1555" s="280">
        <f t="shared" si="1551"/>
        <v>0</v>
      </c>
      <c r="R1555" s="356" t="str">
        <f t="shared" si="1"/>
        <v/>
      </c>
      <c r="S1555" s="269" t="str">
        <f>IF(D1555="","",IF(OR(D1555=Plano!$A$1,D1555=Plano!$B$1),"entrada","saída"))</f>
        <v/>
      </c>
      <c r="T1555" s="406"/>
      <c r="U1555" s="406"/>
      <c r="V1555" s="269"/>
    </row>
    <row r="1556" spans="1:22" ht="12.75" customHeight="1" x14ac:dyDescent="0.2">
      <c r="A1556" s="289" t="str">
        <f>IF(B1556="","",COUNT('Diário 5º PA'!$A$5:$A$2634)+ROW()-4)</f>
        <v/>
      </c>
      <c r="B1556" s="290"/>
      <c r="C1556" s="357"/>
      <c r="D1556" s="291"/>
      <c r="E1556" s="291"/>
      <c r="F1556" s="292"/>
      <c r="G1556" s="291"/>
      <c r="H1556" s="291"/>
      <c r="I1556" s="293"/>
      <c r="J1556" s="291"/>
      <c r="K1556" s="291"/>
      <c r="L1556" s="293"/>
      <c r="M1556" s="291"/>
      <c r="N1556" s="289"/>
      <c r="O1556" s="358"/>
      <c r="P1556" s="402">
        <f t="shared" ref="P1556:Q1556" si="1552">IF(B1556=0,0,IF(YEAR(B1556)=$Q$1,MONTH(B1556)-$P$1+1,(YEAR(B1556)-$Q$1)*12-$P$1+1+MONTH(B1556)))</f>
        <v>0</v>
      </c>
      <c r="Q1556" s="280">
        <f t="shared" si="1552"/>
        <v>0</v>
      </c>
      <c r="R1556" s="356" t="str">
        <f t="shared" si="1"/>
        <v/>
      </c>
      <c r="S1556" s="269" t="str">
        <f>IF(D1556="","",IF(OR(D1556=Plano!$A$1,D1556=Plano!$B$1),"entrada","saída"))</f>
        <v/>
      </c>
      <c r="T1556" s="406"/>
      <c r="U1556" s="406"/>
      <c r="V1556" s="269"/>
    </row>
    <row r="1557" spans="1:22" ht="12.75" customHeight="1" x14ac:dyDescent="0.2">
      <c r="A1557" s="289" t="str">
        <f>IF(B1557="","",COUNT('Diário 5º PA'!$A$5:$A$2634)+ROW()-4)</f>
        <v/>
      </c>
      <c r="B1557" s="290"/>
      <c r="C1557" s="357"/>
      <c r="D1557" s="291"/>
      <c r="E1557" s="291"/>
      <c r="F1557" s="292"/>
      <c r="G1557" s="291"/>
      <c r="H1557" s="291"/>
      <c r="I1557" s="293"/>
      <c r="J1557" s="291"/>
      <c r="K1557" s="291"/>
      <c r="L1557" s="293"/>
      <c r="M1557" s="291"/>
      <c r="N1557" s="289"/>
      <c r="O1557" s="358"/>
      <c r="P1557" s="402">
        <f t="shared" ref="P1557:Q1557" si="1553">IF(B1557=0,0,IF(YEAR(B1557)=$Q$1,MONTH(B1557)-$P$1+1,(YEAR(B1557)-$Q$1)*12-$P$1+1+MONTH(B1557)))</f>
        <v>0</v>
      </c>
      <c r="Q1557" s="280">
        <f t="shared" si="1553"/>
        <v>0</v>
      </c>
      <c r="R1557" s="356" t="str">
        <f t="shared" si="1"/>
        <v/>
      </c>
      <c r="S1557" s="269" t="str">
        <f>IF(D1557="","",IF(OR(D1557=Plano!$A$1,D1557=Plano!$B$1),"entrada","saída"))</f>
        <v/>
      </c>
      <c r="T1557" s="406"/>
      <c r="U1557" s="406"/>
      <c r="V1557" s="269"/>
    </row>
    <row r="1558" spans="1:22" ht="12.75" customHeight="1" x14ac:dyDescent="0.2">
      <c r="A1558" s="289" t="str">
        <f>IF(B1558="","",COUNT('Diário 5º PA'!$A$5:$A$2634)+ROW()-4)</f>
        <v/>
      </c>
      <c r="B1558" s="290"/>
      <c r="C1558" s="357"/>
      <c r="D1558" s="291"/>
      <c r="E1558" s="291"/>
      <c r="F1558" s="292"/>
      <c r="G1558" s="291"/>
      <c r="H1558" s="291"/>
      <c r="I1558" s="293"/>
      <c r="J1558" s="291"/>
      <c r="K1558" s="291"/>
      <c r="L1558" s="293"/>
      <c r="M1558" s="291"/>
      <c r="N1558" s="289"/>
      <c r="O1558" s="358"/>
      <c r="P1558" s="402">
        <f t="shared" ref="P1558:Q1558" si="1554">IF(B1558=0,0,IF(YEAR(B1558)=$Q$1,MONTH(B1558)-$P$1+1,(YEAR(B1558)-$Q$1)*12-$P$1+1+MONTH(B1558)))</f>
        <v>0</v>
      </c>
      <c r="Q1558" s="280">
        <f t="shared" si="1554"/>
        <v>0</v>
      </c>
      <c r="R1558" s="356" t="str">
        <f t="shared" si="1"/>
        <v/>
      </c>
      <c r="S1558" s="269" t="str">
        <f>IF(D1558="","",IF(OR(D1558=Plano!$A$1,D1558=Plano!$B$1),"entrada","saída"))</f>
        <v/>
      </c>
      <c r="T1558" s="406"/>
      <c r="U1558" s="406"/>
      <c r="V1558" s="269"/>
    </row>
    <row r="1559" spans="1:22" ht="12.75" customHeight="1" x14ac:dyDescent="0.2">
      <c r="A1559" s="289" t="str">
        <f>IF(B1559="","",COUNT('Diário 5º PA'!$A$5:$A$2634)+ROW()-4)</f>
        <v/>
      </c>
      <c r="B1559" s="290"/>
      <c r="C1559" s="357"/>
      <c r="D1559" s="291"/>
      <c r="E1559" s="291"/>
      <c r="F1559" s="292"/>
      <c r="G1559" s="291"/>
      <c r="H1559" s="291"/>
      <c r="I1559" s="293"/>
      <c r="J1559" s="291"/>
      <c r="K1559" s="291"/>
      <c r="L1559" s="293"/>
      <c r="M1559" s="291"/>
      <c r="N1559" s="289"/>
      <c r="O1559" s="358"/>
      <c r="P1559" s="402">
        <f t="shared" ref="P1559:Q1559" si="1555">IF(B1559=0,0,IF(YEAR(B1559)=$Q$1,MONTH(B1559)-$P$1+1,(YEAR(B1559)-$Q$1)*12-$P$1+1+MONTH(B1559)))</f>
        <v>0</v>
      </c>
      <c r="Q1559" s="280">
        <f t="shared" si="1555"/>
        <v>0</v>
      </c>
      <c r="R1559" s="356" t="str">
        <f t="shared" si="1"/>
        <v/>
      </c>
      <c r="S1559" s="269" t="str">
        <f>IF(D1559="","",IF(OR(D1559=Plano!$A$1,D1559=Plano!$B$1),"entrada","saída"))</f>
        <v/>
      </c>
      <c r="T1559" s="406"/>
      <c r="U1559" s="406"/>
      <c r="V1559" s="269"/>
    </row>
    <row r="1560" spans="1:22" ht="12.75" customHeight="1" x14ac:dyDescent="0.2">
      <c r="A1560" s="289" t="str">
        <f>IF(B1560="","",COUNT('Diário 5º PA'!$A$5:$A$2634)+ROW()-4)</f>
        <v/>
      </c>
      <c r="B1560" s="290"/>
      <c r="C1560" s="357"/>
      <c r="D1560" s="291"/>
      <c r="E1560" s="291"/>
      <c r="F1560" s="292"/>
      <c r="G1560" s="291"/>
      <c r="H1560" s="291"/>
      <c r="I1560" s="293"/>
      <c r="J1560" s="291"/>
      <c r="K1560" s="291"/>
      <c r="L1560" s="293"/>
      <c r="M1560" s="291"/>
      <c r="N1560" s="289"/>
      <c r="O1560" s="358"/>
      <c r="P1560" s="402">
        <f t="shared" ref="P1560:Q1560" si="1556">IF(B1560=0,0,IF(YEAR(B1560)=$Q$1,MONTH(B1560)-$P$1+1,(YEAR(B1560)-$Q$1)*12-$P$1+1+MONTH(B1560)))</f>
        <v>0</v>
      </c>
      <c r="Q1560" s="280">
        <f t="shared" si="1556"/>
        <v>0</v>
      </c>
      <c r="R1560" s="356" t="str">
        <f t="shared" si="1"/>
        <v/>
      </c>
      <c r="S1560" s="269" t="str">
        <f>IF(D1560="","",IF(OR(D1560=Plano!$A$1,D1560=Plano!$B$1),"entrada","saída"))</f>
        <v/>
      </c>
      <c r="T1560" s="406"/>
      <c r="U1560" s="406"/>
      <c r="V1560" s="269"/>
    </row>
    <row r="1561" spans="1:22" ht="12.75" customHeight="1" x14ac:dyDescent="0.2">
      <c r="A1561" s="289" t="str">
        <f>IF(B1561="","",COUNT('Diário 5º PA'!$A$5:$A$2634)+ROW()-4)</f>
        <v/>
      </c>
      <c r="B1561" s="290"/>
      <c r="C1561" s="357"/>
      <c r="D1561" s="291"/>
      <c r="E1561" s="291"/>
      <c r="F1561" s="292"/>
      <c r="G1561" s="291"/>
      <c r="H1561" s="291"/>
      <c r="I1561" s="293"/>
      <c r="J1561" s="291"/>
      <c r="K1561" s="291"/>
      <c r="L1561" s="293"/>
      <c r="M1561" s="291"/>
      <c r="N1561" s="289"/>
      <c r="O1561" s="358"/>
      <c r="P1561" s="402">
        <f t="shared" ref="P1561:Q1561" si="1557">IF(B1561=0,0,IF(YEAR(B1561)=$Q$1,MONTH(B1561)-$P$1+1,(YEAR(B1561)-$Q$1)*12-$P$1+1+MONTH(B1561)))</f>
        <v>0</v>
      </c>
      <c r="Q1561" s="280">
        <f t="shared" si="1557"/>
        <v>0</v>
      </c>
      <c r="R1561" s="356" t="str">
        <f t="shared" si="1"/>
        <v/>
      </c>
      <c r="S1561" s="269" t="str">
        <f>IF(D1561="","",IF(OR(D1561=Plano!$A$1,D1561=Plano!$B$1),"entrada","saída"))</f>
        <v/>
      </c>
      <c r="T1561" s="406"/>
      <c r="U1561" s="406"/>
      <c r="V1561" s="269"/>
    </row>
    <row r="1562" spans="1:22" ht="12.75" customHeight="1" x14ac:dyDescent="0.2">
      <c r="A1562" s="289" t="str">
        <f>IF(B1562="","",COUNT('Diário 5º PA'!$A$5:$A$2634)+ROW()-4)</f>
        <v/>
      </c>
      <c r="B1562" s="290"/>
      <c r="C1562" s="357"/>
      <c r="D1562" s="291"/>
      <c r="E1562" s="291"/>
      <c r="F1562" s="292"/>
      <c r="G1562" s="291"/>
      <c r="H1562" s="291"/>
      <c r="I1562" s="293"/>
      <c r="J1562" s="291"/>
      <c r="K1562" s="291"/>
      <c r="L1562" s="293"/>
      <c r="M1562" s="291"/>
      <c r="N1562" s="289"/>
      <c r="O1562" s="358"/>
      <c r="P1562" s="402">
        <f t="shared" ref="P1562:Q1562" si="1558">IF(B1562=0,0,IF(YEAR(B1562)=$Q$1,MONTH(B1562)-$P$1+1,(YEAR(B1562)-$Q$1)*12-$P$1+1+MONTH(B1562)))</f>
        <v>0</v>
      </c>
      <c r="Q1562" s="280">
        <f t="shared" si="1558"/>
        <v>0</v>
      </c>
      <c r="R1562" s="356" t="str">
        <f t="shared" si="1"/>
        <v/>
      </c>
      <c r="S1562" s="269" t="str">
        <f>IF(D1562="","",IF(OR(D1562=Plano!$A$1,D1562=Plano!$B$1),"entrada","saída"))</f>
        <v/>
      </c>
      <c r="T1562" s="406"/>
      <c r="U1562" s="406"/>
      <c r="V1562" s="269"/>
    </row>
    <row r="1563" spans="1:22" ht="12.75" customHeight="1" x14ac:dyDescent="0.2">
      <c r="A1563" s="289" t="str">
        <f>IF(B1563="","",COUNT('Diário 5º PA'!$A$5:$A$2634)+ROW()-4)</f>
        <v/>
      </c>
      <c r="B1563" s="290"/>
      <c r="C1563" s="357"/>
      <c r="D1563" s="291"/>
      <c r="E1563" s="291"/>
      <c r="F1563" s="292"/>
      <c r="G1563" s="291"/>
      <c r="H1563" s="291"/>
      <c r="I1563" s="293"/>
      <c r="J1563" s="291"/>
      <c r="K1563" s="291"/>
      <c r="L1563" s="293"/>
      <c r="M1563" s="291"/>
      <c r="N1563" s="289"/>
      <c r="O1563" s="358"/>
      <c r="P1563" s="402">
        <f t="shared" ref="P1563:Q1563" si="1559">IF(B1563=0,0,IF(YEAR(B1563)=$Q$1,MONTH(B1563)-$P$1+1,(YEAR(B1563)-$Q$1)*12-$P$1+1+MONTH(B1563)))</f>
        <v>0</v>
      </c>
      <c r="Q1563" s="280">
        <f t="shared" si="1559"/>
        <v>0</v>
      </c>
      <c r="R1563" s="356" t="str">
        <f t="shared" si="1"/>
        <v/>
      </c>
      <c r="S1563" s="269" t="str">
        <f>IF(D1563="","",IF(OR(D1563=Plano!$A$1,D1563=Plano!$B$1),"entrada","saída"))</f>
        <v/>
      </c>
      <c r="T1563" s="406"/>
      <c r="U1563" s="406"/>
      <c r="V1563" s="269"/>
    </row>
    <row r="1564" spans="1:22" ht="12.75" customHeight="1" x14ac:dyDescent="0.2">
      <c r="A1564" s="289" t="str">
        <f>IF(B1564="","",COUNT('Diário 5º PA'!$A$5:$A$2634)+ROW()-4)</f>
        <v/>
      </c>
      <c r="B1564" s="290"/>
      <c r="C1564" s="357"/>
      <c r="D1564" s="291"/>
      <c r="E1564" s="291"/>
      <c r="F1564" s="292"/>
      <c r="G1564" s="291"/>
      <c r="H1564" s="291"/>
      <c r="I1564" s="293"/>
      <c r="J1564" s="291"/>
      <c r="K1564" s="291"/>
      <c r="L1564" s="293"/>
      <c r="M1564" s="291"/>
      <c r="N1564" s="289"/>
      <c r="O1564" s="358"/>
      <c r="P1564" s="402">
        <f t="shared" ref="P1564:Q1564" si="1560">IF(B1564=0,0,IF(YEAR(B1564)=$Q$1,MONTH(B1564)-$P$1+1,(YEAR(B1564)-$Q$1)*12-$P$1+1+MONTH(B1564)))</f>
        <v>0</v>
      </c>
      <c r="Q1564" s="280">
        <f t="shared" si="1560"/>
        <v>0</v>
      </c>
      <c r="R1564" s="356" t="str">
        <f t="shared" si="1"/>
        <v/>
      </c>
      <c r="S1564" s="269" t="str">
        <f>IF(D1564="","",IF(OR(D1564=Plano!$A$1,D1564=Plano!$B$1),"entrada","saída"))</f>
        <v/>
      </c>
      <c r="T1564" s="406"/>
      <c r="U1564" s="406"/>
      <c r="V1564" s="269"/>
    </row>
    <row r="1565" spans="1:22" ht="12.75" customHeight="1" x14ac:dyDescent="0.2">
      <c r="A1565" s="289" t="str">
        <f>IF(B1565="","",COUNT('Diário 5º PA'!$A$5:$A$2634)+ROW()-4)</f>
        <v/>
      </c>
      <c r="B1565" s="290"/>
      <c r="C1565" s="357"/>
      <c r="D1565" s="291"/>
      <c r="E1565" s="291"/>
      <c r="F1565" s="292"/>
      <c r="G1565" s="291"/>
      <c r="H1565" s="291"/>
      <c r="I1565" s="293"/>
      <c r="J1565" s="291"/>
      <c r="K1565" s="291"/>
      <c r="L1565" s="293"/>
      <c r="M1565" s="291"/>
      <c r="N1565" s="289"/>
      <c r="O1565" s="358"/>
      <c r="P1565" s="402">
        <f t="shared" ref="P1565:Q1565" si="1561">IF(B1565=0,0,IF(YEAR(B1565)=$Q$1,MONTH(B1565)-$P$1+1,(YEAR(B1565)-$Q$1)*12-$P$1+1+MONTH(B1565)))</f>
        <v>0</v>
      </c>
      <c r="Q1565" s="280">
        <f t="shared" si="1561"/>
        <v>0</v>
      </c>
      <c r="R1565" s="356" t="str">
        <f t="shared" si="1"/>
        <v/>
      </c>
      <c r="S1565" s="269" t="str">
        <f>IF(D1565="","",IF(OR(D1565=Plano!$A$1,D1565=Plano!$B$1),"entrada","saída"))</f>
        <v/>
      </c>
      <c r="T1565" s="406"/>
      <c r="U1565" s="406"/>
      <c r="V1565" s="269"/>
    </row>
    <row r="1566" spans="1:22" ht="12.75" customHeight="1" x14ac:dyDescent="0.2">
      <c r="A1566" s="289" t="str">
        <f>IF(B1566="","",COUNT('Diário 5º PA'!$A$5:$A$2634)+ROW()-4)</f>
        <v/>
      </c>
      <c r="B1566" s="290"/>
      <c r="C1566" s="357"/>
      <c r="D1566" s="291"/>
      <c r="E1566" s="291"/>
      <c r="F1566" s="292"/>
      <c r="G1566" s="291"/>
      <c r="H1566" s="291"/>
      <c r="I1566" s="293"/>
      <c r="J1566" s="291"/>
      <c r="K1566" s="291"/>
      <c r="L1566" s="293"/>
      <c r="M1566" s="291"/>
      <c r="N1566" s="289"/>
      <c r="O1566" s="358"/>
      <c r="P1566" s="402">
        <f t="shared" ref="P1566:Q1566" si="1562">IF(B1566=0,0,IF(YEAR(B1566)=$Q$1,MONTH(B1566)-$P$1+1,(YEAR(B1566)-$Q$1)*12-$P$1+1+MONTH(B1566)))</f>
        <v>0</v>
      </c>
      <c r="Q1566" s="280">
        <f t="shared" si="1562"/>
        <v>0</v>
      </c>
      <c r="R1566" s="356" t="str">
        <f t="shared" si="1"/>
        <v/>
      </c>
      <c r="S1566" s="269" t="str">
        <f>IF(D1566="","",IF(OR(D1566=Plano!$A$1,D1566=Plano!$B$1),"entrada","saída"))</f>
        <v/>
      </c>
      <c r="T1566" s="406"/>
      <c r="U1566" s="406"/>
      <c r="V1566" s="269"/>
    </row>
    <row r="1567" spans="1:22" ht="12.75" customHeight="1" x14ac:dyDescent="0.2">
      <c r="A1567" s="289" t="str">
        <f>IF(B1567="","",COUNT('Diário 5º PA'!$A$5:$A$2634)+ROW()-4)</f>
        <v/>
      </c>
      <c r="B1567" s="290"/>
      <c r="C1567" s="357"/>
      <c r="D1567" s="291"/>
      <c r="E1567" s="291"/>
      <c r="F1567" s="292"/>
      <c r="G1567" s="291"/>
      <c r="H1567" s="291"/>
      <c r="I1567" s="293"/>
      <c r="J1567" s="291"/>
      <c r="K1567" s="291"/>
      <c r="L1567" s="293"/>
      <c r="M1567" s="291"/>
      <c r="N1567" s="289"/>
      <c r="O1567" s="358"/>
      <c r="P1567" s="402">
        <f t="shared" ref="P1567:Q1567" si="1563">IF(B1567=0,0,IF(YEAR(B1567)=$Q$1,MONTH(B1567)-$P$1+1,(YEAR(B1567)-$Q$1)*12-$P$1+1+MONTH(B1567)))</f>
        <v>0</v>
      </c>
      <c r="Q1567" s="280">
        <f t="shared" si="1563"/>
        <v>0</v>
      </c>
      <c r="R1567" s="356" t="str">
        <f t="shared" si="1"/>
        <v/>
      </c>
      <c r="S1567" s="269" t="str">
        <f>IF(D1567="","",IF(OR(D1567=Plano!$A$1,D1567=Plano!$B$1),"entrada","saída"))</f>
        <v/>
      </c>
      <c r="T1567" s="406"/>
      <c r="U1567" s="406"/>
      <c r="V1567" s="269"/>
    </row>
    <row r="1568" spans="1:22" ht="12.75" customHeight="1" x14ac:dyDescent="0.2">
      <c r="A1568" s="289" t="str">
        <f>IF(B1568="","",COUNT('Diário 5º PA'!$A$5:$A$2634)+ROW()-4)</f>
        <v/>
      </c>
      <c r="B1568" s="290"/>
      <c r="C1568" s="357"/>
      <c r="D1568" s="291"/>
      <c r="E1568" s="291"/>
      <c r="F1568" s="292"/>
      <c r="G1568" s="291"/>
      <c r="H1568" s="291"/>
      <c r="I1568" s="293"/>
      <c r="J1568" s="291"/>
      <c r="K1568" s="291"/>
      <c r="L1568" s="293"/>
      <c r="M1568" s="291"/>
      <c r="N1568" s="289"/>
      <c r="O1568" s="358"/>
      <c r="P1568" s="402">
        <f t="shared" ref="P1568:Q1568" si="1564">IF(B1568=0,0,IF(YEAR(B1568)=$Q$1,MONTH(B1568)-$P$1+1,(YEAR(B1568)-$Q$1)*12-$P$1+1+MONTH(B1568)))</f>
        <v>0</v>
      </c>
      <c r="Q1568" s="280">
        <f t="shared" si="1564"/>
        <v>0</v>
      </c>
      <c r="R1568" s="356" t="str">
        <f t="shared" si="1"/>
        <v/>
      </c>
      <c r="S1568" s="269" t="str">
        <f>IF(D1568="","",IF(OR(D1568=Plano!$A$1,D1568=Plano!$B$1),"entrada","saída"))</f>
        <v/>
      </c>
      <c r="T1568" s="406"/>
      <c r="U1568" s="406"/>
      <c r="V1568" s="269"/>
    </row>
    <row r="1569" spans="1:22" ht="12.75" customHeight="1" x14ac:dyDescent="0.2">
      <c r="A1569" s="289" t="str">
        <f>IF(B1569="","",COUNT('Diário 5º PA'!$A$5:$A$2634)+ROW()-4)</f>
        <v/>
      </c>
      <c r="B1569" s="290"/>
      <c r="C1569" s="357"/>
      <c r="D1569" s="291"/>
      <c r="E1569" s="291"/>
      <c r="F1569" s="292"/>
      <c r="G1569" s="291"/>
      <c r="H1569" s="291"/>
      <c r="I1569" s="293"/>
      <c r="J1569" s="291"/>
      <c r="K1569" s="291"/>
      <c r="L1569" s="293"/>
      <c r="M1569" s="291"/>
      <c r="N1569" s="289"/>
      <c r="O1569" s="358"/>
      <c r="P1569" s="402">
        <f t="shared" ref="P1569:Q1569" si="1565">IF(B1569=0,0,IF(YEAR(B1569)=$Q$1,MONTH(B1569)-$P$1+1,(YEAR(B1569)-$Q$1)*12-$P$1+1+MONTH(B1569)))</f>
        <v>0</v>
      </c>
      <c r="Q1569" s="280">
        <f t="shared" si="1565"/>
        <v>0</v>
      </c>
      <c r="R1569" s="356" t="str">
        <f t="shared" si="1"/>
        <v/>
      </c>
      <c r="S1569" s="269" t="str">
        <f>IF(D1569="","",IF(OR(D1569=Plano!$A$1,D1569=Plano!$B$1),"entrada","saída"))</f>
        <v/>
      </c>
      <c r="T1569" s="406"/>
      <c r="U1569" s="406"/>
      <c r="V1569" s="269"/>
    </row>
    <row r="1570" spans="1:22" ht="12.75" customHeight="1" x14ac:dyDescent="0.2">
      <c r="A1570" s="289" t="str">
        <f>IF(B1570="","",COUNT('Diário 5º PA'!$A$5:$A$2634)+ROW()-4)</f>
        <v/>
      </c>
      <c r="B1570" s="290"/>
      <c r="C1570" s="357"/>
      <c r="D1570" s="291"/>
      <c r="E1570" s="291"/>
      <c r="F1570" s="292"/>
      <c r="G1570" s="291"/>
      <c r="H1570" s="291"/>
      <c r="I1570" s="293"/>
      <c r="J1570" s="291"/>
      <c r="K1570" s="291"/>
      <c r="L1570" s="293"/>
      <c r="M1570" s="291"/>
      <c r="N1570" s="289"/>
      <c r="O1570" s="358"/>
      <c r="P1570" s="402">
        <f t="shared" ref="P1570:Q1570" si="1566">IF(B1570=0,0,IF(YEAR(B1570)=$Q$1,MONTH(B1570)-$P$1+1,(YEAR(B1570)-$Q$1)*12-$P$1+1+MONTH(B1570)))</f>
        <v>0</v>
      </c>
      <c r="Q1570" s="280">
        <f t="shared" si="1566"/>
        <v>0</v>
      </c>
      <c r="R1570" s="356" t="str">
        <f t="shared" si="1"/>
        <v/>
      </c>
      <c r="S1570" s="269" t="str">
        <f>IF(D1570="","",IF(OR(D1570=Plano!$A$1,D1570=Plano!$B$1),"entrada","saída"))</f>
        <v/>
      </c>
      <c r="T1570" s="406"/>
      <c r="U1570" s="406"/>
      <c r="V1570" s="269"/>
    </row>
    <row r="1571" spans="1:22" ht="12.75" customHeight="1" x14ac:dyDescent="0.2">
      <c r="A1571" s="289" t="str">
        <f>IF(B1571="","",COUNT('Diário 5º PA'!$A$5:$A$2634)+ROW()-4)</f>
        <v/>
      </c>
      <c r="B1571" s="290"/>
      <c r="C1571" s="357"/>
      <c r="D1571" s="291"/>
      <c r="E1571" s="291"/>
      <c r="F1571" s="292"/>
      <c r="G1571" s="291"/>
      <c r="H1571" s="291"/>
      <c r="I1571" s="293"/>
      <c r="J1571" s="291"/>
      <c r="K1571" s="291"/>
      <c r="L1571" s="293"/>
      <c r="M1571" s="291"/>
      <c r="N1571" s="289"/>
      <c r="O1571" s="358"/>
      <c r="P1571" s="402">
        <f t="shared" ref="P1571:Q1571" si="1567">IF(B1571=0,0,IF(YEAR(B1571)=$Q$1,MONTH(B1571)-$P$1+1,(YEAR(B1571)-$Q$1)*12-$P$1+1+MONTH(B1571)))</f>
        <v>0</v>
      </c>
      <c r="Q1571" s="280">
        <f t="shared" si="1567"/>
        <v>0</v>
      </c>
      <c r="R1571" s="356" t="str">
        <f t="shared" si="1"/>
        <v/>
      </c>
      <c r="S1571" s="269" t="str">
        <f>IF(D1571="","",IF(OR(D1571=Plano!$A$1,D1571=Plano!$B$1),"entrada","saída"))</f>
        <v/>
      </c>
      <c r="T1571" s="406"/>
      <c r="U1571" s="406"/>
      <c r="V1571" s="269"/>
    </row>
    <row r="1572" spans="1:22" ht="12.75" customHeight="1" x14ac:dyDescent="0.2">
      <c r="A1572" s="289" t="str">
        <f>IF(B1572="","",COUNT('Diário 5º PA'!$A$5:$A$2634)+ROW()-4)</f>
        <v/>
      </c>
      <c r="B1572" s="290"/>
      <c r="C1572" s="357"/>
      <c r="D1572" s="291"/>
      <c r="E1572" s="291"/>
      <c r="F1572" s="292"/>
      <c r="G1572" s="291"/>
      <c r="H1572" s="291"/>
      <c r="I1572" s="293"/>
      <c r="J1572" s="291"/>
      <c r="K1572" s="291"/>
      <c r="L1572" s="293"/>
      <c r="M1572" s="291"/>
      <c r="N1572" s="289"/>
      <c r="O1572" s="358"/>
      <c r="P1572" s="402">
        <f t="shared" ref="P1572:Q1572" si="1568">IF(B1572=0,0,IF(YEAR(B1572)=$Q$1,MONTH(B1572)-$P$1+1,(YEAR(B1572)-$Q$1)*12-$P$1+1+MONTH(B1572)))</f>
        <v>0</v>
      </c>
      <c r="Q1572" s="280">
        <f t="shared" si="1568"/>
        <v>0</v>
      </c>
      <c r="R1572" s="356" t="str">
        <f t="shared" si="1"/>
        <v/>
      </c>
      <c r="S1572" s="269" t="str">
        <f>IF(D1572="","",IF(OR(D1572=Plano!$A$1,D1572=Plano!$B$1),"entrada","saída"))</f>
        <v/>
      </c>
      <c r="T1572" s="406"/>
      <c r="U1572" s="406"/>
      <c r="V1572" s="269"/>
    </row>
    <row r="1573" spans="1:22" ht="12.75" customHeight="1" x14ac:dyDescent="0.2">
      <c r="A1573" s="289" t="str">
        <f>IF(B1573="","",COUNT('Diário 5º PA'!$A$5:$A$2634)+ROW()-4)</f>
        <v/>
      </c>
      <c r="B1573" s="290"/>
      <c r="C1573" s="357"/>
      <c r="D1573" s="291"/>
      <c r="E1573" s="291"/>
      <c r="F1573" s="292"/>
      <c r="G1573" s="291"/>
      <c r="H1573" s="291"/>
      <c r="I1573" s="293"/>
      <c r="J1573" s="291"/>
      <c r="K1573" s="291"/>
      <c r="L1573" s="293"/>
      <c r="M1573" s="291"/>
      <c r="N1573" s="289"/>
      <c r="O1573" s="358"/>
      <c r="P1573" s="402">
        <f t="shared" ref="P1573:Q1573" si="1569">IF(B1573=0,0,IF(YEAR(B1573)=$Q$1,MONTH(B1573)-$P$1+1,(YEAR(B1573)-$Q$1)*12-$P$1+1+MONTH(B1573)))</f>
        <v>0</v>
      </c>
      <c r="Q1573" s="280">
        <f t="shared" si="1569"/>
        <v>0</v>
      </c>
      <c r="R1573" s="356" t="str">
        <f t="shared" si="1"/>
        <v/>
      </c>
      <c r="S1573" s="269" t="str">
        <f>IF(D1573="","",IF(OR(D1573=Plano!$A$1,D1573=Plano!$B$1),"entrada","saída"))</f>
        <v/>
      </c>
      <c r="T1573" s="406"/>
      <c r="U1573" s="406"/>
      <c r="V1573" s="269"/>
    </row>
    <row r="1574" spans="1:22" ht="12.75" customHeight="1" x14ac:dyDescent="0.2">
      <c r="A1574" s="289" t="str">
        <f>IF(B1574="","",COUNT('Diário 5º PA'!$A$5:$A$2634)+ROW()-4)</f>
        <v/>
      </c>
      <c r="B1574" s="290"/>
      <c r="C1574" s="357"/>
      <c r="D1574" s="291"/>
      <c r="E1574" s="291"/>
      <c r="F1574" s="292"/>
      <c r="G1574" s="291"/>
      <c r="H1574" s="291"/>
      <c r="I1574" s="293"/>
      <c r="J1574" s="291"/>
      <c r="K1574" s="291"/>
      <c r="L1574" s="293"/>
      <c r="M1574" s="291"/>
      <c r="N1574" s="289"/>
      <c r="O1574" s="358"/>
      <c r="P1574" s="402">
        <f t="shared" ref="P1574:Q1574" si="1570">IF(B1574=0,0,IF(YEAR(B1574)=$Q$1,MONTH(B1574)-$P$1+1,(YEAR(B1574)-$Q$1)*12-$P$1+1+MONTH(B1574)))</f>
        <v>0</v>
      </c>
      <c r="Q1574" s="280">
        <f t="shared" si="1570"/>
        <v>0</v>
      </c>
      <c r="R1574" s="356" t="str">
        <f t="shared" si="1"/>
        <v/>
      </c>
      <c r="S1574" s="269" t="str">
        <f>IF(D1574="","",IF(OR(D1574=Plano!$A$1,D1574=Plano!$B$1),"entrada","saída"))</f>
        <v/>
      </c>
      <c r="T1574" s="406"/>
      <c r="U1574" s="406"/>
      <c r="V1574" s="269"/>
    </row>
    <row r="1575" spans="1:22" ht="12.75" customHeight="1" x14ac:dyDescent="0.2">
      <c r="A1575" s="289" t="str">
        <f>IF(B1575="","",COUNT('Diário 5º PA'!$A$5:$A$2634)+ROW()-4)</f>
        <v/>
      </c>
      <c r="B1575" s="290"/>
      <c r="C1575" s="357"/>
      <c r="D1575" s="291"/>
      <c r="E1575" s="291"/>
      <c r="F1575" s="292"/>
      <c r="G1575" s="291"/>
      <c r="H1575" s="291"/>
      <c r="I1575" s="293"/>
      <c r="J1575" s="291"/>
      <c r="K1575" s="291"/>
      <c r="L1575" s="293"/>
      <c r="M1575" s="291"/>
      <c r="N1575" s="289"/>
      <c r="O1575" s="358"/>
      <c r="P1575" s="402">
        <f t="shared" ref="P1575:Q1575" si="1571">IF(B1575=0,0,IF(YEAR(B1575)=$Q$1,MONTH(B1575)-$P$1+1,(YEAR(B1575)-$Q$1)*12-$P$1+1+MONTH(B1575)))</f>
        <v>0</v>
      </c>
      <c r="Q1575" s="280">
        <f t="shared" si="1571"/>
        <v>0</v>
      </c>
      <c r="R1575" s="356" t="str">
        <f t="shared" si="1"/>
        <v/>
      </c>
      <c r="S1575" s="269" t="str">
        <f>IF(D1575="","",IF(OR(D1575=Plano!$A$1,D1575=Plano!$B$1),"entrada","saída"))</f>
        <v/>
      </c>
      <c r="T1575" s="406"/>
      <c r="U1575" s="406"/>
      <c r="V1575" s="269"/>
    </row>
    <row r="1576" spans="1:22" ht="12.75" customHeight="1" x14ac:dyDescent="0.2">
      <c r="A1576" s="289" t="str">
        <f>IF(B1576="","",COUNT('Diário 5º PA'!$A$5:$A$2634)+ROW()-4)</f>
        <v/>
      </c>
      <c r="B1576" s="290"/>
      <c r="C1576" s="357"/>
      <c r="D1576" s="291"/>
      <c r="E1576" s="291"/>
      <c r="F1576" s="292"/>
      <c r="G1576" s="291"/>
      <c r="H1576" s="291"/>
      <c r="I1576" s="293"/>
      <c r="J1576" s="291"/>
      <c r="K1576" s="291"/>
      <c r="L1576" s="293"/>
      <c r="M1576" s="291"/>
      <c r="N1576" s="289"/>
      <c r="O1576" s="358"/>
      <c r="P1576" s="402">
        <f t="shared" ref="P1576:Q1576" si="1572">IF(B1576=0,0,IF(YEAR(B1576)=$Q$1,MONTH(B1576)-$P$1+1,(YEAR(B1576)-$Q$1)*12-$P$1+1+MONTH(B1576)))</f>
        <v>0</v>
      </c>
      <c r="Q1576" s="280">
        <f t="shared" si="1572"/>
        <v>0</v>
      </c>
      <c r="R1576" s="356" t="str">
        <f t="shared" si="1"/>
        <v/>
      </c>
      <c r="S1576" s="269" t="str">
        <f>IF(D1576="","",IF(OR(D1576=Plano!$A$1,D1576=Plano!$B$1),"entrada","saída"))</f>
        <v/>
      </c>
      <c r="T1576" s="406"/>
      <c r="U1576" s="406"/>
      <c r="V1576" s="269"/>
    </row>
    <row r="1577" spans="1:22" ht="12.75" customHeight="1" x14ac:dyDescent="0.2">
      <c r="A1577" s="289" t="str">
        <f>IF(B1577="","",COUNT('Diário 5º PA'!$A$5:$A$2634)+ROW()-4)</f>
        <v/>
      </c>
      <c r="B1577" s="290"/>
      <c r="C1577" s="357"/>
      <c r="D1577" s="291"/>
      <c r="E1577" s="291"/>
      <c r="F1577" s="292"/>
      <c r="G1577" s="291"/>
      <c r="H1577" s="291"/>
      <c r="I1577" s="293"/>
      <c r="J1577" s="291"/>
      <c r="K1577" s="291"/>
      <c r="L1577" s="293"/>
      <c r="M1577" s="291"/>
      <c r="N1577" s="289"/>
      <c r="O1577" s="358"/>
      <c r="P1577" s="402">
        <f t="shared" ref="P1577:Q1577" si="1573">IF(B1577=0,0,IF(YEAR(B1577)=$Q$1,MONTH(B1577)-$P$1+1,(YEAR(B1577)-$Q$1)*12-$P$1+1+MONTH(B1577)))</f>
        <v>0</v>
      </c>
      <c r="Q1577" s="280">
        <f t="shared" si="1573"/>
        <v>0</v>
      </c>
      <c r="R1577" s="356" t="str">
        <f t="shared" si="1"/>
        <v/>
      </c>
      <c r="S1577" s="269" t="str">
        <f>IF(D1577="","",IF(OR(D1577=Plano!$A$1,D1577=Plano!$B$1),"entrada","saída"))</f>
        <v/>
      </c>
      <c r="T1577" s="406"/>
      <c r="U1577" s="406"/>
      <c r="V1577" s="269"/>
    </row>
    <row r="1578" spans="1:22" ht="12.75" customHeight="1" x14ac:dyDescent="0.2">
      <c r="A1578" s="289" t="str">
        <f>IF(B1578="","",COUNT('Diário 5º PA'!$A$5:$A$2634)+ROW()-4)</f>
        <v/>
      </c>
      <c r="B1578" s="290"/>
      <c r="C1578" s="357"/>
      <c r="D1578" s="291"/>
      <c r="E1578" s="291"/>
      <c r="F1578" s="292"/>
      <c r="G1578" s="291"/>
      <c r="H1578" s="291"/>
      <c r="I1578" s="293"/>
      <c r="J1578" s="291"/>
      <c r="K1578" s="291"/>
      <c r="L1578" s="293"/>
      <c r="M1578" s="291"/>
      <c r="N1578" s="289"/>
      <c r="O1578" s="358"/>
      <c r="P1578" s="402">
        <f t="shared" ref="P1578:Q1578" si="1574">IF(B1578=0,0,IF(YEAR(B1578)=$Q$1,MONTH(B1578)-$P$1+1,(YEAR(B1578)-$Q$1)*12-$P$1+1+MONTH(B1578)))</f>
        <v>0</v>
      </c>
      <c r="Q1578" s="280">
        <f t="shared" si="1574"/>
        <v>0</v>
      </c>
      <c r="R1578" s="356" t="str">
        <f t="shared" si="1"/>
        <v/>
      </c>
      <c r="S1578" s="269" t="str">
        <f>IF(D1578="","",IF(OR(D1578=Plano!$A$1,D1578=Plano!$B$1),"entrada","saída"))</f>
        <v/>
      </c>
      <c r="T1578" s="406"/>
      <c r="U1578" s="406"/>
      <c r="V1578" s="269"/>
    </row>
    <row r="1579" spans="1:22" ht="12.75" customHeight="1" x14ac:dyDescent="0.2">
      <c r="A1579" s="289" t="str">
        <f>IF(B1579="","",COUNT('Diário 5º PA'!$A$5:$A$2634)+ROW()-4)</f>
        <v/>
      </c>
      <c r="B1579" s="290"/>
      <c r="C1579" s="357"/>
      <c r="D1579" s="291"/>
      <c r="E1579" s="291"/>
      <c r="F1579" s="292"/>
      <c r="G1579" s="291"/>
      <c r="H1579" s="291"/>
      <c r="I1579" s="293"/>
      <c r="J1579" s="291"/>
      <c r="K1579" s="291"/>
      <c r="L1579" s="293"/>
      <c r="M1579" s="291"/>
      <c r="N1579" s="289"/>
      <c r="O1579" s="358"/>
      <c r="P1579" s="402">
        <f t="shared" ref="P1579:Q1579" si="1575">IF(B1579=0,0,IF(YEAR(B1579)=$Q$1,MONTH(B1579)-$P$1+1,(YEAR(B1579)-$Q$1)*12-$P$1+1+MONTH(B1579)))</f>
        <v>0</v>
      </c>
      <c r="Q1579" s="280">
        <f t="shared" si="1575"/>
        <v>0</v>
      </c>
      <c r="R1579" s="356" t="str">
        <f t="shared" si="1"/>
        <v/>
      </c>
      <c r="S1579" s="269" t="str">
        <f>IF(D1579="","",IF(OR(D1579=Plano!$A$1,D1579=Plano!$B$1),"entrada","saída"))</f>
        <v/>
      </c>
      <c r="T1579" s="406"/>
      <c r="U1579" s="406"/>
      <c r="V1579" s="269"/>
    </row>
    <row r="1580" spans="1:22" ht="12.75" customHeight="1" x14ac:dyDescent="0.2">
      <c r="A1580" s="289" t="str">
        <f>IF(B1580="","",COUNT('Diário 5º PA'!$A$5:$A$2634)+ROW()-4)</f>
        <v/>
      </c>
      <c r="B1580" s="290"/>
      <c r="C1580" s="357"/>
      <c r="D1580" s="291"/>
      <c r="E1580" s="291"/>
      <c r="F1580" s="292"/>
      <c r="G1580" s="291"/>
      <c r="H1580" s="291"/>
      <c r="I1580" s="293"/>
      <c r="J1580" s="291"/>
      <c r="K1580" s="291"/>
      <c r="L1580" s="293"/>
      <c r="M1580" s="291"/>
      <c r="N1580" s="289"/>
      <c r="O1580" s="358"/>
      <c r="P1580" s="402">
        <f t="shared" ref="P1580:Q1580" si="1576">IF(B1580=0,0,IF(YEAR(B1580)=$Q$1,MONTH(B1580)-$P$1+1,(YEAR(B1580)-$Q$1)*12-$P$1+1+MONTH(B1580)))</f>
        <v>0</v>
      </c>
      <c r="Q1580" s="280">
        <f t="shared" si="1576"/>
        <v>0</v>
      </c>
      <c r="R1580" s="356" t="str">
        <f t="shared" si="1"/>
        <v/>
      </c>
      <c r="S1580" s="269" t="str">
        <f>IF(D1580="","",IF(OR(D1580=Plano!$A$1,D1580=Plano!$B$1),"entrada","saída"))</f>
        <v/>
      </c>
      <c r="T1580" s="406"/>
      <c r="U1580" s="406"/>
      <c r="V1580" s="269"/>
    </row>
    <row r="1581" spans="1:22" ht="12.75" customHeight="1" x14ac:dyDescent="0.2">
      <c r="A1581" s="289" t="str">
        <f>IF(B1581="","",COUNT('Diário 5º PA'!$A$5:$A$2634)+ROW()-4)</f>
        <v/>
      </c>
      <c r="B1581" s="290"/>
      <c r="C1581" s="357"/>
      <c r="D1581" s="291"/>
      <c r="E1581" s="291"/>
      <c r="F1581" s="292"/>
      <c r="G1581" s="291"/>
      <c r="H1581" s="291"/>
      <c r="I1581" s="293"/>
      <c r="J1581" s="291"/>
      <c r="K1581" s="291"/>
      <c r="L1581" s="293"/>
      <c r="M1581" s="291"/>
      <c r="N1581" s="289"/>
      <c r="O1581" s="358"/>
      <c r="P1581" s="402">
        <f t="shared" ref="P1581:Q1581" si="1577">IF(B1581=0,0,IF(YEAR(B1581)=$Q$1,MONTH(B1581)-$P$1+1,(YEAR(B1581)-$Q$1)*12-$P$1+1+MONTH(B1581)))</f>
        <v>0</v>
      </c>
      <c r="Q1581" s="280">
        <f t="shared" si="1577"/>
        <v>0</v>
      </c>
      <c r="R1581" s="356" t="str">
        <f t="shared" si="1"/>
        <v/>
      </c>
      <c r="S1581" s="269" t="str">
        <f>IF(D1581="","",IF(OR(D1581=Plano!$A$1,D1581=Plano!$B$1),"entrada","saída"))</f>
        <v/>
      </c>
      <c r="T1581" s="406"/>
      <c r="U1581" s="406"/>
      <c r="V1581" s="269"/>
    </row>
    <row r="1582" spans="1:22" ht="12.75" customHeight="1" x14ac:dyDescent="0.2">
      <c r="A1582" s="289" t="str">
        <f>IF(B1582="","",COUNT('Diário 5º PA'!$A$5:$A$2634)+ROW()-4)</f>
        <v/>
      </c>
      <c r="B1582" s="290"/>
      <c r="C1582" s="357"/>
      <c r="D1582" s="291"/>
      <c r="E1582" s="291"/>
      <c r="F1582" s="292"/>
      <c r="G1582" s="291"/>
      <c r="H1582" s="291"/>
      <c r="I1582" s="293"/>
      <c r="J1582" s="291"/>
      <c r="K1582" s="291"/>
      <c r="L1582" s="293"/>
      <c r="M1582" s="291"/>
      <c r="N1582" s="289"/>
      <c r="O1582" s="358"/>
      <c r="P1582" s="402">
        <f t="shared" ref="P1582:Q1582" si="1578">IF(B1582=0,0,IF(YEAR(B1582)=$Q$1,MONTH(B1582)-$P$1+1,(YEAR(B1582)-$Q$1)*12-$P$1+1+MONTH(B1582)))</f>
        <v>0</v>
      </c>
      <c r="Q1582" s="280">
        <f t="shared" si="1578"/>
        <v>0</v>
      </c>
      <c r="R1582" s="356" t="str">
        <f t="shared" si="1"/>
        <v/>
      </c>
      <c r="S1582" s="269" t="str">
        <f>IF(D1582="","",IF(OR(D1582=Plano!$A$1,D1582=Plano!$B$1),"entrada","saída"))</f>
        <v/>
      </c>
      <c r="T1582" s="406"/>
      <c r="U1582" s="406"/>
      <c r="V1582" s="269"/>
    </row>
    <row r="1583" spans="1:22" ht="12.75" customHeight="1" x14ac:dyDescent="0.2">
      <c r="A1583" s="289" t="str">
        <f>IF(B1583="","",COUNT('Diário 5º PA'!$A$5:$A$2634)+ROW()-4)</f>
        <v/>
      </c>
      <c r="B1583" s="290"/>
      <c r="C1583" s="357"/>
      <c r="D1583" s="291"/>
      <c r="E1583" s="291"/>
      <c r="F1583" s="292"/>
      <c r="G1583" s="291"/>
      <c r="H1583" s="291"/>
      <c r="I1583" s="293"/>
      <c r="J1583" s="291"/>
      <c r="K1583" s="291"/>
      <c r="L1583" s="293"/>
      <c r="M1583" s="291"/>
      <c r="N1583" s="289"/>
      <c r="O1583" s="358"/>
      <c r="P1583" s="402">
        <f t="shared" ref="P1583:Q1583" si="1579">IF(B1583=0,0,IF(YEAR(B1583)=$Q$1,MONTH(B1583)-$P$1+1,(YEAR(B1583)-$Q$1)*12-$P$1+1+MONTH(B1583)))</f>
        <v>0</v>
      </c>
      <c r="Q1583" s="280">
        <f t="shared" si="1579"/>
        <v>0</v>
      </c>
      <c r="R1583" s="356" t="str">
        <f t="shared" si="1"/>
        <v/>
      </c>
      <c r="S1583" s="269" t="str">
        <f>IF(D1583="","",IF(OR(D1583=Plano!$A$1,D1583=Plano!$B$1),"entrada","saída"))</f>
        <v/>
      </c>
      <c r="T1583" s="406"/>
      <c r="U1583" s="406"/>
      <c r="V1583" s="269"/>
    </row>
    <row r="1584" spans="1:22" ht="12.75" customHeight="1" x14ac:dyDescent="0.2">
      <c r="A1584" s="289" t="str">
        <f>IF(B1584="","",COUNT('Diário 5º PA'!$A$5:$A$2634)+ROW()-4)</f>
        <v/>
      </c>
      <c r="B1584" s="290"/>
      <c r="C1584" s="357"/>
      <c r="D1584" s="291"/>
      <c r="E1584" s="291"/>
      <c r="F1584" s="292"/>
      <c r="G1584" s="291"/>
      <c r="H1584" s="291"/>
      <c r="I1584" s="293"/>
      <c r="J1584" s="291"/>
      <c r="K1584" s="291"/>
      <c r="L1584" s="293"/>
      <c r="M1584" s="291"/>
      <c r="N1584" s="289"/>
      <c r="O1584" s="358"/>
      <c r="P1584" s="402">
        <f t="shared" ref="P1584:Q1584" si="1580">IF(B1584=0,0,IF(YEAR(B1584)=$Q$1,MONTH(B1584)-$P$1+1,(YEAR(B1584)-$Q$1)*12-$P$1+1+MONTH(B1584)))</f>
        <v>0</v>
      </c>
      <c r="Q1584" s="280">
        <f t="shared" si="1580"/>
        <v>0</v>
      </c>
      <c r="R1584" s="356" t="str">
        <f t="shared" si="1"/>
        <v/>
      </c>
      <c r="S1584" s="269" t="str">
        <f>IF(D1584="","",IF(OR(D1584=Plano!$A$1,D1584=Plano!$B$1),"entrada","saída"))</f>
        <v/>
      </c>
      <c r="T1584" s="406"/>
      <c r="U1584" s="406"/>
      <c r="V1584" s="269"/>
    </row>
    <row r="1585" spans="1:22" ht="12.75" customHeight="1" x14ac:dyDescent="0.2">
      <c r="A1585" s="289" t="str">
        <f>IF(B1585="","",COUNT('Diário 5º PA'!$A$5:$A$2634)+ROW()-4)</f>
        <v/>
      </c>
      <c r="B1585" s="290"/>
      <c r="C1585" s="357"/>
      <c r="D1585" s="291"/>
      <c r="E1585" s="291"/>
      <c r="F1585" s="292"/>
      <c r="G1585" s="291"/>
      <c r="H1585" s="291"/>
      <c r="I1585" s="293"/>
      <c r="J1585" s="291"/>
      <c r="K1585" s="291"/>
      <c r="L1585" s="293"/>
      <c r="M1585" s="291"/>
      <c r="N1585" s="289"/>
      <c r="O1585" s="358"/>
      <c r="P1585" s="402">
        <f t="shared" ref="P1585:Q1585" si="1581">IF(B1585=0,0,IF(YEAR(B1585)=$Q$1,MONTH(B1585)-$P$1+1,(YEAR(B1585)-$Q$1)*12-$P$1+1+MONTH(B1585)))</f>
        <v>0</v>
      </c>
      <c r="Q1585" s="280">
        <f t="shared" si="1581"/>
        <v>0</v>
      </c>
      <c r="R1585" s="356" t="str">
        <f t="shared" si="1"/>
        <v/>
      </c>
      <c r="S1585" s="269" t="str">
        <f>IF(D1585="","",IF(OR(D1585=Plano!$A$1,D1585=Plano!$B$1),"entrada","saída"))</f>
        <v/>
      </c>
      <c r="T1585" s="406"/>
      <c r="U1585" s="406"/>
      <c r="V1585" s="269"/>
    </row>
    <row r="1586" spans="1:22" ht="12.75" customHeight="1" x14ac:dyDescent="0.2">
      <c r="A1586" s="289" t="str">
        <f>IF(B1586="","",COUNT('Diário 5º PA'!$A$5:$A$2634)+ROW()-4)</f>
        <v/>
      </c>
      <c r="B1586" s="290"/>
      <c r="C1586" s="357"/>
      <c r="D1586" s="291"/>
      <c r="E1586" s="291"/>
      <c r="F1586" s="292"/>
      <c r="G1586" s="291"/>
      <c r="H1586" s="291"/>
      <c r="I1586" s="293"/>
      <c r="J1586" s="291"/>
      <c r="K1586" s="291"/>
      <c r="L1586" s="293"/>
      <c r="M1586" s="291"/>
      <c r="N1586" s="289"/>
      <c r="O1586" s="358"/>
      <c r="P1586" s="402">
        <f t="shared" ref="P1586:Q1586" si="1582">IF(B1586=0,0,IF(YEAR(B1586)=$Q$1,MONTH(B1586)-$P$1+1,(YEAR(B1586)-$Q$1)*12-$P$1+1+MONTH(B1586)))</f>
        <v>0</v>
      </c>
      <c r="Q1586" s="280">
        <f t="shared" si="1582"/>
        <v>0</v>
      </c>
      <c r="R1586" s="356" t="str">
        <f t="shared" si="1"/>
        <v/>
      </c>
      <c r="S1586" s="269" t="str">
        <f>IF(D1586="","",IF(OR(D1586=Plano!$A$1,D1586=Plano!$B$1),"entrada","saída"))</f>
        <v/>
      </c>
      <c r="T1586" s="406"/>
      <c r="U1586" s="406"/>
      <c r="V1586" s="269"/>
    </row>
    <row r="1587" spans="1:22" ht="12.75" customHeight="1" x14ac:dyDescent="0.2">
      <c r="A1587" s="289" t="str">
        <f>IF(B1587="","",COUNT('Diário 5º PA'!$A$5:$A$2634)+ROW()-4)</f>
        <v/>
      </c>
      <c r="B1587" s="290"/>
      <c r="C1587" s="357"/>
      <c r="D1587" s="291"/>
      <c r="E1587" s="291"/>
      <c r="F1587" s="292"/>
      <c r="G1587" s="291"/>
      <c r="H1587" s="291"/>
      <c r="I1587" s="293"/>
      <c r="J1587" s="291"/>
      <c r="K1587" s="291"/>
      <c r="L1587" s="293"/>
      <c r="M1587" s="291"/>
      <c r="N1587" s="289"/>
      <c r="O1587" s="358"/>
      <c r="P1587" s="402">
        <f t="shared" ref="P1587:Q1587" si="1583">IF(B1587=0,0,IF(YEAR(B1587)=$Q$1,MONTH(B1587)-$P$1+1,(YEAR(B1587)-$Q$1)*12-$P$1+1+MONTH(B1587)))</f>
        <v>0</v>
      </c>
      <c r="Q1587" s="280">
        <f t="shared" si="1583"/>
        <v>0</v>
      </c>
      <c r="R1587" s="356" t="str">
        <f t="shared" si="1"/>
        <v/>
      </c>
      <c r="S1587" s="269" t="str">
        <f>IF(D1587="","",IF(OR(D1587=Plano!$A$1,D1587=Plano!$B$1),"entrada","saída"))</f>
        <v/>
      </c>
      <c r="T1587" s="406"/>
      <c r="U1587" s="406"/>
      <c r="V1587" s="269"/>
    </row>
    <row r="1588" spans="1:22" ht="12.75" customHeight="1" x14ac:dyDescent="0.2">
      <c r="A1588" s="289" t="str">
        <f>IF(B1588="","",COUNT('Diário 5º PA'!$A$5:$A$2634)+ROW()-4)</f>
        <v/>
      </c>
      <c r="B1588" s="290"/>
      <c r="C1588" s="357"/>
      <c r="D1588" s="291"/>
      <c r="E1588" s="291"/>
      <c r="F1588" s="292"/>
      <c r="G1588" s="291"/>
      <c r="H1588" s="291"/>
      <c r="I1588" s="293"/>
      <c r="J1588" s="291"/>
      <c r="K1588" s="291"/>
      <c r="L1588" s="293"/>
      <c r="M1588" s="291"/>
      <c r="N1588" s="289"/>
      <c r="O1588" s="358"/>
      <c r="P1588" s="402">
        <f t="shared" ref="P1588:Q1588" si="1584">IF(B1588=0,0,IF(YEAR(B1588)=$Q$1,MONTH(B1588)-$P$1+1,(YEAR(B1588)-$Q$1)*12-$P$1+1+MONTH(B1588)))</f>
        <v>0</v>
      </c>
      <c r="Q1588" s="280">
        <f t="shared" si="1584"/>
        <v>0</v>
      </c>
      <c r="R1588" s="356" t="str">
        <f t="shared" si="1"/>
        <v/>
      </c>
      <c r="S1588" s="269" t="str">
        <f>IF(D1588="","",IF(OR(D1588=Plano!$A$1,D1588=Plano!$B$1),"entrada","saída"))</f>
        <v/>
      </c>
      <c r="T1588" s="406"/>
      <c r="U1588" s="406"/>
      <c r="V1588" s="269"/>
    </row>
    <row r="1589" spans="1:22" ht="12.75" customHeight="1" x14ac:dyDescent="0.2">
      <c r="A1589" s="289" t="str">
        <f>IF(B1589="","",COUNT('Diário 5º PA'!$A$5:$A$2634)+ROW()-4)</f>
        <v/>
      </c>
      <c r="B1589" s="290"/>
      <c r="C1589" s="357"/>
      <c r="D1589" s="291"/>
      <c r="E1589" s="291"/>
      <c r="F1589" s="292"/>
      <c r="G1589" s="291"/>
      <c r="H1589" s="291"/>
      <c r="I1589" s="293"/>
      <c r="J1589" s="291"/>
      <c r="K1589" s="291"/>
      <c r="L1589" s="293"/>
      <c r="M1589" s="291"/>
      <c r="N1589" s="289"/>
      <c r="O1589" s="358"/>
      <c r="P1589" s="402">
        <f t="shared" ref="P1589:Q1589" si="1585">IF(B1589=0,0,IF(YEAR(B1589)=$Q$1,MONTH(B1589)-$P$1+1,(YEAR(B1589)-$Q$1)*12-$P$1+1+MONTH(B1589)))</f>
        <v>0</v>
      </c>
      <c r="Q1589" s="280">
        <f t="shared" si="1585"/>
        <v>0</v>
      </c>
      <c r="R1589" s="356" t="str">
        <f t="shared" si="1"/>
        <v/>
      </c>
      <c r="S1589" s="269" t="str">
        <f>IF(D1589="","",IF(OR(D1589=Plano!$A$1,D1589=Plano!$B$1),"entrada","saída"))</f>
        <v/>
      </c>
      <c r="T1589" s="406"/>
      <c r="U1589" s="406"/>
      <c r="V1589" s="269"/>
    </row>
    <row r="1590" spans="1:22" ht="12.75" customHeight="1" x14ac:dyDescent="0.2">
      <c r="A1590" s="289" t="str">
        <f>IF(B1590="","",COUNT('Diário 5º PA'!$A$5:$A$2634)+ROW()-4)</f>
        <v/>
      </c>
      <c r="B1590" s="290"/>
      <c r="C1590" s="357"/>
      <c r="D1590" s="291"/>
      <c r="E1590" s="291"/>
      <c r="F1590" s="292"/>
      <c r="G1590" s="291"/>
      <c r="H1590" s="291"/>
      <c r="I1590" s="293"/>
      <c r="J1590" s="291"/>
      <c r="K1590" s="291"/>
      <c r="L1590" s="293"/>
      <c r="M1590" s="291"/>
      <c r="N1590" s="289"/>
      <c r="O1590" s="358"/>
      <c r="P1590" s="402">
        <f t="shared" ref="P1590:Q1590" si="1586">IF(B1590=0,0,IF(YEAR(B1590)=$Q$1,MONTH(B1590)-$P$1+1,(YEAR(B1590)-$Q$1)*12-$P$1+1+MONTH(B1590)))</f>
        <v>0</v>
      </c>
      <c r="Q1590" s="280">
        <f t="shared" si="1586"/>
        <v>0</v>
      </c>
      <c r="R1590" s="356" t="str">
        <f t="shared" si="1"/>
        <v/>
      </c>
      <c r="S1590" s="269" t="str">
        <f>IF(D1590="","",IF(OR(D1590=Plano!$A$1,D1590=Plano!$B$1),"entrada","saída"))</f>
        <v/>
      </c>
      <c r="T1590" s="406"/>
      <c r="U1590" s="406"/>
      <c r="V1590" s="269"/>
    </row>
    <row r="1591" spans="1:22" ht="12.75" customHeight="1" x14ac:dyDescent="0.2">
      <c r="A1591" s="289" t="str">
        <f>IF(B1591="","",COUNT('Diário 5º PA'!$A$5:$A$2634)+ROW()-4)</f>
        <v/>
      </c>
      <c r="B1591" s="290"/>
      <c r="C1591" s="357"/>
      <c r="D1591" s="291"/>
      <c r="E1591" s="291"/>
      <c r="F1591" s="292"/>
      <c r="G1591" s="291"/>
      <c r="H1591" s="291"/>
      <c r="I1591" s="293"/>
      <c r="J1591" s="291"/>
      <c r="K1591" s="291"/>
      <c r="L1591" s="293"/>
      <c r="M1591" s="291"/>
      <c r="N1591" s="289"/>
      <c r="O1591" s="358"/>
      <c r="P1591" s="402">
        <f t="shared" ref="P1591:Q1591" si="1587">IF(B1591=0,0,IF(YEAR(B1591)=$Q$1,MONTH(B1591)-$P$1+1,(YEAR(B1591)-$Q$1)*12-$P$1+1+MONTH(B1591)))</f>
        <v>0</v>
      </c>
      <c r="Q1591" s="280">
        <f t="shared" si="1587"/>
        <v>0</v>
      </c>
      <c r="R1591" s="356" t="str">
        <f t="shared" si="1"/>
        <v/>
      </c>
      <c r="S1591" s="269" t="str">
        <f>IF(D1591="","",IF(OR(D1591=Plano!$A$1,D1591=Plano!$B$1),"entrada","saída"))</f>
        <v/>
      </c>
      <c r="T1591" s="406"/>
      <c r="U1591" s="406"/>
      <c r="V1591" s="269"/>
    </row>
    <row r="1592" spans="1:22" ht="12.75" customHeight="1" x14ac:dyDescent="0.2">
      <c r="A1592" s="289" t="str">
        <f>IF(B1592="","",COUNT('Diário 5º PA'!$A$5:$A$2634)+ROW()-4)</f>
        <v/>
      </c>
      <c r="B1592" s="290"/>
      <c r="C1592" s="357"/>
      <c r="D1592" s="291"/>
      <c r="E1592" s="291"/>
      <c r="F1592" s="292"/>
      <c r="G1592" s="291"/>
      <c r="H1592" s="291"/>
      <c r="I1592" s="293"/>
      <c r="J1592" s="291"/>
      <c r="K1592" s="291"/>
      <c r="L1592" s="293"/>
      <c r="M1592" s="291"/>
      <c r="N1592" s="289"/>
      <c r="O1592" s="358"/>
      <c r="P1592" s="402">
        <f t="shared" ref="P1592:Q1592" si="1588">IF(B1592=0,0,IF(YEAR(B1592)=$Q$1,MONTH(B1592)-$P$1+1,(YEAR(B1592)-$Q$1)*12-$P$1+1+MONTH(B1592)))</f>
        <v>0</v>
      </c>
      <c r="Q1592" s="280">
        <f t="shared" si="1588"/>
        <v>0</v>
      </c>
      <c r="R1592" s="356" t="str">
        <f t="shared" si="1"/>
        <v/>
      </c>
      <c r="S1592" s="269" t="str">
        <f>IF(D1592="","",IF(OR(D1592=Plano!$A$1,D1592=Plano!$B$1),"entrada","saída"))</f>
        <v/>
      </c>
      <c r="T1592" s="406"/>
      <c r="U1592" s="406"/>
      <c r="V1592" s="269"/>
    </row>
    <row r="1593" spans="1:22" ht="12.75" customHeight="1" x14ac:dyDescent="0.2">
      <c r="A1593" s="289" t="str">
        <f>IF(B1593="","",COUNT('Diário 5º PA'!$A$5:$A$2634)+ROW()-4)</f>
        <v/>
      </c>
      <c r="B1593" s="290"/>
      <c r="C1593" s="357"/>
      <c r="D1593" s="291"/>
      <c r="E1593" s="291"/>
      <c r="F1593" s="292"/>
      <c r="G1593" s="291"/>
      <c r="H1593" s="291"/>
      <c r="I1593" s="293"/>
      <c r="J1593" s="291"/>
      <c r="K1593" s="291"/>
      <c r="L1593" s="293"/>
      <c r="M1593" s="291"/>
      <c r="N1593" s="289"/>
      <c r="O1593" s="358"/>
      <c r="P1593" s="402">
        <f t="shared" ref="P1593:Q1593" si="1589">IF(B1593=0,0,IF(YEAR(B1593)=$Q$1,MONTH(B1593)-$P$1+1,(YEAR(B1593)-$Q$1)*12-$P$1+1+MONTH(B1593)))</f>
        <v>0</v>
      </c>
      <c r="Q1593" s="280">
        <f t="shared" si="1589"/>
        <v>0</v>
      </c>
      <c r="R1593" s="356" t="str">
        <f t="shared" si="1"/>
        <v/>
      </c>
      <c r="S1593" s="269" t="str">
        <f>IF(D1593="","",IF(OR(D1593=Plano!$A$1,D1593=Plano!$B$1),"entrada","saída"))</f>
        <v/>
      </c>
      <c r="T1593" s="406"/>
      <c r="U1593" s="406"/>
      <c r="V1593" s="269"/>
    </row>
    <row r="1594" spans="1:22" ht="12.75" customHeight="1" x14ac:dyDescent="0.2">
      <c r="A1594" s="289" t="str">
        <f>IF(B1594="","",COUNT('Diário 5º PA'!$A$5:$A$2634)+ROW()-4)</f>
        <v/>
      </c>
      <c r="B1594" s="290"/>
      <c r="C1594" s="357"/>
      <c r="D1594" s="291"/>
      <c r="E1594" s="291"/>
      <c r="F1594" s="292"/>
      <c r="G1594" s="291"/>
      <c r="H1594" s="291"/>
      <c r="I1594" s="293"/>
      <c r="J1594" s="291"/>
      <c r="K1594" s="291"/>
      <c r="L1594" s="293"/>
      <c r="M1594" s="291"/>
      <c r="N1594" s="289"/>
      <c r="O1594" s="358"/>
      <c r="P1594" s="402">
        <f t="shared" ref="P1594:Q1594" si="1590">IF(B1594=0,0,IF(YEAR(B1594)=$Q$1,MONTH(B1594)-$P$1+1,(YEAR(B1594)-$Q$1)*12-$P$1+1+MONTH(B1594)))</f>
        <v>0</v>
      </c>
      <c r="Q1594" s="280">
        <f t="shared" si="1590"/>
        <v>0</v>
      </c>
      <c r="R1594" s="356" t="str">
        <f t="shared" si="1"/>
        <v/>
      </c>
      <c r="S1594" s="269" t="str">
        <f>IF(D1594="","",IF(OR(D1594=Plano!$A$1,D1594=Plano!$B$1),"entrada","saída"))</f>
        <v/>
      </c>
      <c r="T1594" s="406"/>
      <c r="U1594" s="406"/>
      <c r="V1594" s="269"/>
    </row>
    <row r="1595" spans="1:22" ht="12.75" customHeight="1" x14ac:dyDescent="0.2">
      <c r="A1595" s="289" t="str">
        <f>IF(B1595="","",COUNT('Diário 5º PA'!$A$5:$A$2634)+ROW()-4)</f>
        <v/>
      </c>
      <c r="B1595" s="290"/>
      <c r="C1595" s="357"/>
      <c r="D1595" s="291"/>
      <c r="E1595" s="291"/>
      <c r="F1595" s="292"/>
      <c r="G1595" s="291"/>
      <c r="H1595" s="291"/>
      <c r="I1595" s="293"/>
      <c r="J1595" s="291"/>
      <c r="K1595" s="291"/>
      <c r="L1595" s="293"/>
      <c r="M1595" s="291"/>
      <c r="N1595" s="289"/>
      <c r="O1595" s="358"/>
      <c r="P1595" s="402">
        <f t="shared" ref="P1595:Q1595" si="1591">IF(B1595=0,0,IF(YEAR(B1595)=$Q$1,MONTH(B1595)-$P$1+1,(YEAR(B1595)-$Q$1)*12-$P$1+1+MONTH(B1595)))</f>
        <v>0</v>
      </c>
      <c r="Q1595" s="280">
        <f t="shared" si="1591"/>
        <v>0</v>
      </c>
      <c r="R1595" s="356" t="str">
        <f t="shared" si="1"/>
        <v/>
      </c>
      <c r="S1595" s="269" t="str">
        <f>IF(D1595="","",IF(OR(D1595=Plano!$A$1,D1595=Plano!$B$1),"entrada","saída"))</f>
        <v/>
      </c>
      <c r="T1595" s="406"/>
      <c r="U1595" s="406"/>
      <c r="V1595" s="269"/>
    </row>
    <row r="1596" spans="1:22" ht="12.75" customHeight="1" x14ac:dyDescent="0.2">
      <c r="A1596" s="289" t="str">
        <f>IF(B1596="","",COUNT('Diário 5º PA'!$A$5:$A$2634)+ROW()-4)</f>
        <v/>
      </c>
      <c r="B1596" s="290"/>
      <c r="C1596" s="357"/>
      <c r="D1596" s="291"/>
      <c r="E1596" s="291"/>
      <c r="F1596" s="292"/>
      <c r="G1596" s="291"/>
      <c r="H1596" s="291"/>
      <c r="I1596" s="293"/>
      <c r="J1596" s="291"/>
      <c r="K1596" s="291"/>
      <c r="L1596" s="293"/>
      <c r="M1596" s="291"/>
      <c r="N1596" s="289"/>
      <c r="O1596" s="358"/>
      <c r="P1596" s="402">
        <f t="shared" ref="P1596:Q1596" si="1592">IF(B1596=0,0,IF(YEAR(B1596)=$Q$1,MONTH(B1596)-$P$1+1,(YEAR(B1596)-$Q$1)*12-$P$1+1+MONTH(B1596)))</f>
        <v>0</v>
      </c>
      <c r="Q1596" s="280">
        <f t="shared" si="1592"/>
        <v>0</v>
      </c>
      <c r="R1596" s="356" t="str">
        <f t="shared" si="1"/>
        <v/>
      </c>
      <c r="S1596" s="269" t="str">
        <f>IF(D1596="","",IF(OR(D1596=Plano!$A$1,D1596=Plano!$B$1),"entrada","saída"))</f>
        <v/>
      </c>
      <c r="T1596" s="406"/>
      <c r="U1596" s="406"/>
      <c r="V1596" s="269"/>
    </row>
    <row r="1597" spans="1:22" ht="12.75" customHeight="1" x14ac:dyDescent="0.2">
      <c r="A1597" s="289" t="str">
        <f>IF(B1597="","",COUNT('Diário 5º PA'!$A$5:$A$2634)+ROW()-4)</f>
        <v/>
      </c>
      <c r="B1597" s="290"/>
      <c r="C1597" s="357"/>
      <c r="D1597" s="291"/>
      <c r="E1597" s="291"/>
      <c r="F1597" s="292"/>
      <c r="G1597" s="291"/>
      <c r="H1597" s="291"/>
      <c r="I1597" s="293"/>
      <c r="J1597" s="291"/>
      <c r="K1597" s="291"/>
      <c r="L1597" s="293"/>
      <c r="M1597" s="291"/>
      <c r="N1597" s="289"/>
      <c r="O1597" s="358"/>
      <c r="P1597" s="402">
        <f t="shared" ref="P1597:Q1597" si="1593">IF(B1597=0,0,IF(YEAR(B1597)=$Q$1,MONTH(B1597)-$P$1+1,(YEAR(B1597)-$Q$1)*12-$P$1+1+MONTH(B1597)))</f>
        <v>0</v>
      </c>
      <c r="Q1597" s="280">
        <f t="shared" si="1593"/>
        <v>0</v>
      </c>
      <c r="R1597" s="356" t="str">
        <f t="shared" si="1"/>
        <v/>
      </c>
      <c r="S1597" s="269" t="str">
        <f>IF(D1597="","",IF(OR(D1597=Plano!$A$1,D1597=Plano!$B$1),"entrada","saída"))</f>
        <v/>
      </c>
      <c r="T1597" s="406"/>
      <c r="U1597" s="406"/>
      <c r="V1597" s="269"/>
    </row>
    <row r="1598" spans="1:22" ht="12.75" customHeight="1" x14ac:dyDescent="0.2">
      <c r="A1598" s="289" t="str">
        <f>IF(B1598="","",COUNT('Diário 5º PA'!$A$5:$A$2634)+ROW()-4)</f>
        <v/>
      </c>
      <c r="B1598" s="290"/>
      <c r="C1598" s="357"/>
      <c r="D1598" s="291"/>
      <c r="E1598" s="291"/>
      <c r="F1598" s="292"/>
      <c r="G1598" s="291"/>
      <c r="H1598" s="291"/>
      <c r="I1598" s="293"/>
      <c r="J1598" s="291"/>
      <c r="K1598" s="291"/>
      <c r="L1598" s="293"/>
      <c r="M1598" s="291"/>
      <c r="N1598" s="289"/>
      <c r="O1598" s="358"/>
      <c r="P1598" s="402">
        <f t="shared" ref="P1598:Q1598" si="1594">IF(B1598=0,0,IF(YEAR(B1598)=$Q$1,MONTH(B1598)-$P$1+1,(YEAR(B1598)-$Q$1)*12-$P$1+1+MONTH(B1598)))</f>
        <v>0</v>
      </c>
      <c r="Q1598" s="280">
        <f t="shared" si="1594"/>
        <v>0</v>
      </c>
      <c r="R1598" s="356" t="str">
        <f t="shared" si="1"/>
        <v/>
      </c>
      <c r="S1598" s="269" t="str">
        <f>IF(D1598="","",IF(OR(D1598=Plano!$A$1,D1598=Plano!$B$1),"entrada","saída"))</f>
        <v/>
      </c>
      <c r="T1598" s="406"/>
      <c r="U1598" s="406"/>
      <c r="V1598" s="269"/>
    </row>
    <row r="1599" spans="1:22" ht="12.75" customHeight="1" x14ac:dyDescent="0.2">
      <c r="A1599" s="289" t="str">
        <f>IF(B1599="","",COUNT('Diário 5º PA'!$A$5:$A$2634)+ROW()-4)</f>
        <v/>
      </c>
      <c r="B1599" s="290"/>
      <c r="C1599" s="357"/>
      <c r="D1599" s="291"/>
      <c r="E1599" s="291"/>
      <c r="F1599" s="292"/>
      <c r="G1599" s="291"/>
      <c r="H1599" s="291"/>
      <c r="I1599" s="293"/>
      <c r="J1599" s="291"/>
      <c r="K1599" s="291"/>
      <c r="L1599" s="293"/>
      <c r="M1599" s="291"/>
      <c r="N1599" s="289"/>
      <c r="O1599" s="358"/>
      <c r="P1599" s="402">
        <f t="shared" ref="P1599:Q1599" si="1595">IF(B1599=0,0,IF(YEAR(B1599)=$Q$1,MONTH(B1599)-$P$1+1,(YEAR(B1599)-$Q$1)*12-$P$1+1+MONTH(B1599)))</f>
        <v>0</v>
      </c>
      <c r="Q1599" s="280">
        <f t="shared" si="1595"/>
        <v>0</v>
      </c>
      <c r="R1599" s="356" t="str">
        <f t="shared" si="1"/>
        <v/>
      </c>
      <c r="S1599" s="269" t="str">
        <f>IF(D1599="","",IF(OR(D1599=Plano!$A$1,D1599=Plano!$B$1),"entrada","saída"))</f>
        <v/>
      </c>
      <c r="T1599" s="406"/>
      <c r="U1599" s="406"/>
      <c r="V1599" s="269"/>
    </row>
    <row r="1600" spans="1:22" ht="12.75" customHeight="1" x14ac:dyDescent="0.2">
      <c r="A1600" s="289" t="str">
        <f>IF(B1600="","",COUNT('Diário 5º PA'!$A$5:$A$2634)+ROW()-4)</f>
        <v/>
      </c>
      <c r="B1600" s="290"/>
      <c r="C1600" s="357"/>
      <c r="D1600" s="291"/>
      <c r="E1600" s="291"/>
      <c r="F1600" s="292"/>
      <c r="G1600" s="291"/>
      <c r="H1600" s="291"/>
      <c r="I1600" s="293"/>
      <c r="J1600" s="291"/>
      <c r="K1600" s="291"/>
      <c r="L1600" s="293"/>
      <c r="M1600" s="291"/>
      <c r="N1600" s="289"/>
      <c r="O1600" s="358"/>
      <c r="P1600" s="402">
        <f t="shared" ref="P1600:Q1600" si="1596">IF(B1600=0,0,IF(YEAR(B1600)=$Q$1,MONTH(B1600)-$P$1+1,(YEAR(B1600)-$Q$1)*12-$P$1+1+MONTH(B1600)))</f>
        <v>0</v>
      </c>
      <c r="Q1600" s="280">
        <f t="shared" si="1596"/>
        <v>0</v>
      </c>
      <c r="R1600" s="356" t="str">
        <f t="shared" si="1"/>
        <v/>
      </c>
      <c r="S1600" s="269" t="str">
        <f>IF(D1600="","",IF(OR(D1600=Plano!$A$1,D1600=Plano!$B$1),"entrada","saída"))</f>
        <v/>
      </c>
      <c r="T1600" s="406"/>
      <c r="U1600" s="406"/>
      <c r="V1600" s="269"/>
    </row>
    <row r="1601" spans="1:22" ht="12.75" customHeight="1" x14ac:dyDescent="0.2">
      <c r="A1601" s="289" t="str">
        <f>IF(B1601="","",COUNT('Diário 5º PA'!$A$5:$A$2634)+ROW()-4)</f>
        <v/>
      </c>
      <c r="B1601" s="290"/>
      <c r="C1601" s="357"/>
      <c r="D1601" s="291"/>
      <c r="E1601" s="291"/>
      <c r="F1601" s="292"/>
      <c r="G1601" s="291"/>
      <c r="H1601" s="291"/>
      <c r="I1601" s="293"/>
      <c r="J1601" s="291"/>
      <c r="K1601" s="291"/>
      <c r="L1601" s="293"/>
      <c r="M1601" s="291"/>
      <c r="N1601" s="289"/>
      <c r="O1601" s="358"/>
      <c r="P1601" s="402">
        <f t="shared" ref="P1601:Q1601" si="1597">IF(B1601=0,0,IF(YEAR(B1601)=$Q$1,MONTH(B1601)-$P$1+1,(YEAR(B1601)-$Q$1)*12-$P$1+1+MONTH(B1601)))</f>
        <v>0</v>
      </c>
      <c r="Q1601" s="280">
        <f t="shared" si="1597"/>
        <v>0</v>
      </c>
      <c r="R1601" s="356" t="str">
        <f t="shared" si="1"/>
        <v/>
      </c>
      <c r="S1601" s="269" t="str">
        <f>IF(D1601="","",IF(OR(D1601=Plano!$A$1,D1601=Plano!$B$1),"entrada","saída"))</f>
        <v/>
      </c>
      <c r="T1601" s="406"/>
      <c r="U1601" s="406"/>
      <c r="V1601" s="269"/>
    </row>
    <row r="1602" spans="1:22" ht="12.75" customHeight="1" x14ac:dyDescent="0.2">
      <c r="A1602" s="289" t="str">
        <f>IF(B1602="","",COUNT('Diário 5º PA'!$A$5:$A$2634)+ROW()-4)</f>
        <v/>
      </c>
      <c r="B1602" s="290"/>
      <c r="C1602" s="357"/>
      <c r="D1602" s="291"/>
      <c r="E1602" s="291"/>
      <c r="F1602" s="292"/>
      <c r="G1602" s="291"/>
      <c r="H1602" s="291"/>
      <c r="I1602" s="293"/>
      <c r="J1602" s="291"/>
      <c r="K1602" s="291"/>
      <c r="L1602" s="293"/>
      <c r="M1602" s="291"/>
      <c r="N1602" s="289"/>
      <c r="O1602" s="358"/>
      <c r="P1602" s="402">
        <f t="shared" ref="P1602:Q1602" si="1598">IF(B1602=0,0,IF(YEAR(B1602)=$Q$1,MONTH(B1602)-$P$1+1,(YEAR(B1602)-$Q$1)*12-$P$1+1+MONTH(B1602)))</f>
        <v>0</v>
      </c>
      <c r="Q1602" s="280">
        <f t="shared" si="1598"/>
        <v>0</v>
      </c>
      <c r="R1602" s="356" t="str">
        <f t="shared" si="1"/>
        <v/>
      </c>
      <c r="S1602" s="269" t="str">
        <f>IF(D1602="","",IF(OR(D1602=Plano!$A$1,D1602=Plano!$B$1),"entrada","saída"))</f>
        <v/>
      </c>
      <c r="T1602" s="406"/>
      <c r="U1602" s="406"/>
      <c r="V1602" s="269"/>
    </row>
    <row r="1603" spans="1:22" ht="12.75" customHeight="1" x14ac:dyDescent="0.2">
      <c r="A1603" s="289" t="str">
        <f>IF(B1603="","",COUNT('Diário 5º PA'!$A$5:$A$2634)+ROW()-4)</f>
        <v/>
      </c>
      <c r="B1603" s="290"/>
      <c r="C1603" s="357"/>
      <c r="D1603" s="291"/>
      <c r="E1603" s="291"/>
      <c r="F1603" s="292"/>
      <c r="G1603" s="291"/>
      <c r="H1603" s="291"/>
      <c r="I1603" s="293"/>
      <c r="J1603" s="291"/>
      <c r="K1603" s="291"/>
      <c r="L1603" s="293"/>
      <c r="M1603" s="291"/>
      <c r="N1603" s="289"/>
      <c r="O1603" s="358"/>
      <c r="P1603" s="402">
        <f t="shared" ref="P1603:Q1603" si="1599">IF(B1603=0,0,IF(YEAR(B1603)=$Q$1,MONTH(B1603)-$P$1+1,(YEAR(B1603)-$Q$1)*12-$P$1+1+MONTH(B1603)))</f>
        <v>0</v>
      </c>
      <c r="Q1603" s="280">
        <f t="shared" si="1599"/>
        <v>0</v>
      </c>
      <c r="R1603" s="356" t="str">
        <f t="shared" si="1"/>
        <v/>
      </c>
      <c r="S1603" s="269" t="str">
        <f>IF(D1603="","",IF(OR(D1603=Plano!$A$1,D1603=Plano!$B$1),"entrada","saída"))</f>
        <v/>
      </c>
      <c r="T1603" s="406"/>
      <c r="U1603" s="406"/>
      <c r="V1603" s="269"/>
    </row>
    <row r="1604" spans="1:22" ht="12.75" customHeight="1" x14ac:dyDescent="0.2">
      <c r="A1604" s="289" t="str">
        <f>IF(B1604="","",COUNT('Diário 5º PA'!$A$5:$A$2634)+ROW()-4)</f>
        <v/>
      </c>
      <c r="B1604" s="290"/>
      <c r="C1604" s="357"/>
      <c r="D1604" s="291"/>
      <c r="E1604" s="291"/>
      <c r="F1604" s="292"/>
      <c r="G1604" s="291"/>
      <c r="H1604" s="291"/>
      <c r="I1604" s="293"/>
      <c r="J1604" s="291"/>
      <c r="K1604" s="291"/>
      <c r="L1604" s="293"/>
      <c r="M1604" s="291"/>
      <c r="N1604" s="289"/>
      <c r="O1604" s="358"/>
      <c r="P1604" s="402">
        <f t="shared" ref="P1604:Q1604" si="1600">IF(B1604=0,0,IF(YEAR(B1604)=$Q$1,MONTH(B1604)-$P$1+1,(YEAR(B1604)-$Q$1)*12-$P$1+1+MONTH(B1604)))</f>
        <v>0</v>
      </c>
      <c r="Q1604" s="280">
        <f t="shared" si="1600"/>
        <v>0</v>
      </c>
      <c r="R1604" s="356" t="str">
        <f t="shared" si="1"/>
        <v/>
      </c>
      <c r="S1604" s="269" t="str">
        <f>IF(D1604="","",IF(OR(D1604=Plano!$A$1,D1604=Plano!$B$1),"entrada","saída"))</f>
        <v/>
      </c>
      <c r="T1604" s="406"/>
      <c r="U1604" s="406"/>
      <c r="V1604" s="269"/>
    </row>
    <row r="1605" spans="1:22" ht="12.75" customHeight="1" x14ac:dyDescent="0.2">
      <c r="A1605" s="289" t="str">
        <f>IF(B1605="","",COUNT('Diário 5º PA'!$A$5:$A$2634)+ROW()-4)</f>
        <v/>
      </c>
      <c r="B1605" s="290"/>
      <c r="C1605" s="357"/>
      <c r="D1605" s="291"/>
      <c r="E1605" s="291"/>
      <c r="F1605" s="292"/>
      <c r="G1605" s="291"/>
      <c r="H1605" s="291"/>
      <c r="I1605" s="293"/>
      <c r="J1605" s="291"/>
      <c r="K1605" s="291"/>
      <c r="L1605" s="293"/>
      <c r="M1605" s="291"/>
      <c r="N1605" s="289"/>
      <c r="O1605" s="358"/>
      <c r="P1605" s="402">
        <f t="shared" ref="P1605:Q1605" si="1601">IF(B1605=0,0,IF(YEAR(B1605)=$Q$1,MONTH(B1605)-$P$1+1,(YEAR(B1605)-$Q$1)*12-$P$1+1+MONTH(B1605)))</f>
        <v>0</v>
      </c>
      <c r="Q1605" s="280">
        <f t="shared" si="1601"/>
        <v>0</v>
      </c>
      <c r="R1605" s="356" t="str">
        <f t="shared" si="1"/>
        <v/>
      </c>
      <c r="S1605" s="269" t="str">
        <f>IF(D1605="","",IF(OR(D1605=Plano!$A$1,D1605=Plano!$B$1),"entrada","saída"))</f>
        <v/>
      </c>
      <c r="T1605" s="406"/>
      <c r="U1605" s="406"/>
      <c r="V1605" s="269"/>
    </row>
    <row r="1606" spans="1:22" ht="12.75" customHeight="1" x14ac:dyDescent="0.2">
      <c r="A1606" s="289" t="str">
        <f>IF(B1606="","",COUNT('Diário 5º PA'!$A$5:$A$2634)+ROW()-4)</f>
        <v/>
      </c>
      <c r="B1606" s="290"/>
      <c r="C1606" s="357"/>
      <c r="D1606" s="291"/>
      <c r="E1606" s="291"/>
      <c r="F1606" s="292"/>
      <c r="G1606" s="291"/>
      <c r="H1606" s="291"/>
      <c r="I1606" s="293"/>
      <c r="J1606" s="291"/>
      <c r="K1606" s="291"/>
      <c r="L1606" s="293"/>
      <c r="M1606" s="291"/>
      <c r="N1606" s="289"/>
      <c r="O1606" s="358"/>
      <c r="P1606" s="402">
        <f t="shared" ref="P1606:Q1606" si="1602">IF(B1606=0,0,IF(YEAR(B1606)=$Q$1,MONTH(B1606)-$P$1+1,(YEAR(B1606)-$Q$1)*12-$P$1+1+MONTH(B1606)))</f>
        <v>0</v>
      </c>
      <c r="Q1606" s="280">
        <f t="shared" si="1602"/>
        <v>0</v>
      </c>
      <c r="R1606" s="356" t="str">
        <f t="shared" si="1"/>
        <v/>
      </c>
      <c r="S1606" s="269" t="str">
        <f>IF(D1606="","",IF(OR(D1606=Plano!$A$1,D1606=Plano!$B$1),"entrada","saída"))</f>
        <v/>
      </c>
      <c r="T1606" s="406"/>
      <c r="U1606" s="406"/>
      <c r="V1606" s="269"/>
    </row>
    <row r="1607" spans="1:22" ht="12.75" customHeight="1" x14ac:dyDescent="0.2">
      <c r="A1607" s="289" t="str">
        <f>IF(B1607="","",COUNT('Diário 5º PA'!$A$5:$A$2634)+ROW()-4)</f>
        <v/>
      </c>
      <c r="B1607" s="290"/>
      <c r="C1607" s="357"/>
      <c r="D1607" s="291"/>
      <c r="E1607" s="291"/>
      <c r="F1607" s="292"/>
      <c r="G1607" s="291"/>
      <c r="H1607" s="291"/>
      <c r="I1607" s="293"/>
      <c r="J1607" s="291"/>
      <c r="K1607" s="291"/>
      <c r="L1607" s="293"/>
      <c r="M1607" s="291"/>
      <c r="N1607" s="289"/>
      <c r="O1607" s="358"/>
      <c r="P1607" s="402">
        <f t="shared" ref="P1607:Q1607" si="1603">IF(B1607=0,0,IF(YEAR(B1607)=$Q$1,MONTH(B1607)-$P$1+1,(YEAR(B1607)-$Q$1)*12-$P$1+1+MONTH(B1607)))</f>
        <v>0</v>
      </c>
      <c r="Q1607" s="280">
        <f t="shared" si="1603"/>
        <v>0</v>
      </c>
      <c r="R1607" s="356" t="str">
        <f t="shared" si="1"/>
        <v/>
      </c>
      <c r="S1607" s="269" t="str">
        <f>IF(D1607="","",IF(OR(D1607=Plano!$A$1,D1607=Plano!$B$1),"entrada","saída"))</f>
        <v/>
      </c>
      <c r="T1607" s="406"/>
      <c r="U1607" s="406"/>
      <c r="V1607" s="269"/>
    </row>
    <row r="1608" spans="1:22" ht="12.75" customHeight="1" x14ac:dyDescent="0.2">
      <c r="A1608" s="289" t="str">
        <f>IF(B1608="","",COUNT('Diário 5º PA'!$A$5:$A$2634)+ROW()-4)</f>
        <v/>
      </c>
      <c r="B1608" s="290"/>
      <c r="C1608" s="357"/>
      <c r="D1608" s="291"/>
      <c r="E1608" s="291"/>
      <c r="F1608" s="292"/>
      <c r="G1608" s="291"/>
      <c r="H1608" s="291"/>
      <c r="I1608" s="293"/>
      <c r="J1608" s="291"/>
      <c r="K1608" s="291"/>
      <c r="L1608" s="293"/>
      <c r="M1608" s="291"/>
      <c r="N1608" s="289"/>
      <c r="O1608" s="358"/>
      <c r="P1608" s="402">
        <f t="shared" ref="P1608:Q1608" si="1604">IF(B1608=0,0,IF(YEAR(B1608)=$Q$1,MONTH(B1608)-$P$1+1,(YEAR(B1608)-$Q$1)*12-$P$1+1+MONTH(B1608)))</f>
        <v>0</v>
      </c>
      <c r="Q1608" s="280">
        <f t="shared" si="1604"/>
        <v>0</v>
      </c>
      <c r="R1608" s="356" t="str">
        <f t="shared" si="1"/>
        <v/>
      </c>
      <c r="S1608" s="269" t="str">
        <f>IF(D1608="","",IF(OR(D1608=Plano!$A$1,D1608=Plano!$B$1),"entrada","saída"))</f>
        <v/>
      </c>
      <c r="T1608" s="406"/>
      <c r="U1608" s="406"/>
      <c r="V1608" s="269"/>
    </row>
    <row r="1609" spans="1:22" ht="12.75" customHeight="1" x14ac:dyDescent="0.2">
      <c r="A1609" s="289" t="str">
        <f>IF(B1609="","",COUNT('Diário 5º PA'!$A$5:$A$2634)+ROW()-4)</f>
        <v/>
      </c>
      <c r="B1609" s="290"/>
      <c r="C1609" s="357"/>
      <c r="D1609" s="291"/>
      <c r="E1609" s="291"/>
      <c r="F1609" s="292"/>
      <c r="G1609" s="291"/>
      <c r="H1609" s="291"/>
      <c r="I1609" s="293"/>
      <c r="J1609" s="291"/>
      <c r="K1609" s="291"/>
      <c r="L1609" s="293"/>
      <c r="M1609" s="291"/>
      <c r="N1609" s="289"/>
      <c r="O1609" s="358"/>
      <c r="P1609" s="402">
        <f t="shared" ref="P1609:Q1609" si="1605">IF(B1609=0,0,IF(YEAR(B1609)=$Q$1,MONTH(B1609)-$P$1+1,(YEAR(B1609)-$Q$1)*12-$P$1+1+MONTH(B1609)))</f>
        <v>0</v>
      </c>
      <c r="Q1609" s="280">
        <f t="shared" si="1605"/>
        <v>0</v>
      </c>
      <c r="R1609" s="356" t="str">
        <f t="shared" si="1"/>
        <v/>
      </c>
      <c r="S1609" s="269" t="str">
        <f>IF(D1609="","",IF(OR(D1609=Plano!$A$1,D1609=Plano!$B$1),"entrada","saída"))</f>
        <v/>
      </c>
      <c r="T1609" s="406"/>
      <c r="U1609" s="406"/>
      <c r="V1609" s="269"/>
    </row>
    <row r="1610" spans="1:22" ht="12.75" customHeight="1" x14ac:dyDescent="0.2">
      <c r="A1610" s="289" t="str">
        <f>IF(B1610="","",COUNT('Diário 5º PA'!$A$5:$A$2634)+ROW()-4)</f>
        <v/>
      </c>
      <c r="B1610" s="290"/>
      <c r="C1610" s="357"/>
      <c r="D1610" s="291"/>
      <c r="E1610" s="291"/>
      <c r="F1610" s="292"/>
      <c r="G1610" s="291"/>
      <c r="H1610" s="291"/>
      <c r="I1610" s="293"/>
      <c r="J1610" s="291"/>
      <c r="K1610" s="291"/>
      <c r="L1610" s="293"/>
      <c r="M1610" s="291"/>
      <c r="N1610" s="289"/>
      <c r="O1610" s="358"/>
      <c r="P1610" s="402">
        <f t="shared" ref="P1610:Q1610" si="1606">IF(B1610=0,0,IF(YEAR(B1610)=$Q$1,MONTH(B1610)-$P$1+1,(YEAR(B1610)-$Q$1)*12-$P$1+1+MONTH(B1610)))</f>
        <v>0</v>
      </c>
      <c r="Q1610" s="280">
        <f t="shared" si="1606"/>
        <v>0</v>
      </c>
      <c r="R1610" s="356" t="str">
        <f t="shared" si="1"/>
        <v/>
      </c>
      <c r="S1610" s="269" t="str">
        <f>IF(D1610="","",IF(OR(D1610=Plano!$A$1,D1610=Plano!$B$1),"entrada","saída"))</f>
        <v/>
      </c>
      <c r="T1610" s="406"/>
      <c r="U1610" s="406"/>
      <c r="V1610" s="269"/>
    </row>
    <row r="1611" spans="1:22" ht="12.75" customHeight="1" x14ac:dyDescent="0.2">
      <c r="A1611" s="289" t="str">
        <f>IF(B1611="","",COUNT('Diário 5º PA'!$A$5:$A$2634)+ROW()-4)</f>
        <v/>
      </c>
      <c r="B1611" s="290"/>
      <c r="C1611" s="357"/>
      <c r="D1611" s="291"/>
      <c r="E1611" s="291"/>
      <c r="F1611" s="292"/>
      <c r="G1611" s="291"/>
      <c r="H1611" s="291"/>
      <c r="I1611" s="293"/>
      <c r="J1611" s="291"/>
      <c r="K1611" s="291"/>
      <c r="L1611" s="293"/>
      <c r="M1611" s="291"/>
      <c r="N1611" s="289"/>
      <c r="O1611" s="358"/>
      <c r="P1611" s="402">
        <f t="shared" ref="P1611:Q1611" si="1607">IF(B1611=0,0,IF(YEAR(B1611)=$Q$1,MONTH(B1611)-$P$1+1,(YEAR(B1611)-$Q$1)*12-$P$1+1+MONTH(B1611)))</f>
        <v>0</v>
      </c>
      <c r="Q1611" s="280">
        <f t="shared" si="1607"/>
        <v>0</v>
      </c>
      <c r="R1611" s="356" t="str">
        <f t="shared" si="1"/>
        <v/>
      </c>
      <c r="S1611" s="269" t="str">
        <f>IF(D1611="","",IF(OR(D1611=Plano!$A$1,D1611=Plano!$B$1),"entrada","saída"))</f>
        <v/>
      </c>
      <c r="T1611" s="406"/>
      <c r="U1611" s="406"/>
      <c r="V1611" s="269"/>
    </row>
    <row r="1612" spans="1:22" ht="12.75" customHeight="1" x14ac:dyDescent="0.2">
      <c r="A1612" s="289" t="str">
        <f>IF(B1612="","",COUNT('Diário 5º PA'!$A$5:$A$2634)+ROW()-4)</f>
        <v/>
      </c>
      <c r="B1612" s="290"/>
      <c r="C1612" s="357"/>
      <c r="D1612" s="291"/>
      <c r="E1612" s="291"/>
      <c r="F1612" s="292"/>
      <c r="G1612" s="291"/>
      <c r="H1612" s="291"/>
      <c r="I1612" s="293"/>
      <c r="J1612" s="291"/>
      <c r="K1612" s="291"/>
      <c r="L1612" s="293"/>
      <c r="M1612" s="291"/>
      <c r="N1612" s="289"/>
      <c r="O1612" s="358"/>
      <c r="P1612" s="402">
        <f t="shared" ref="P1612:Q1612" si="1608">IF(B1612=0,0,IF(YEAR(B1612)=$Q$1,MONTH(B1612)-$P$1+1,(YEAR(B1612)-$Q$1)*12-$P$1+1+MONTH(B1612)))</f>
        <v>0</v>
      </c>
      <c r="Q1612" s="280">
        <f t="shared" si="1608"/>
        <v>0</v>
      </c>
      <c r="R1612" s="356" t="str">
        <f t="shared" si="1"/>
        <v/>
      </c>
      <c r="S1612" s="269" t="str">
        <f>IF(D1612="","",IF(OR(D1612=Plano!$A$1,D1612=Plano!$B$1),"entrada","saída"))</f>
        <v/>
      </c>
      <c r="T1612" s="406"/>
      <c r="U1612" s="406"/>
      <c r="V1612" s="269"/>
    </row>
    <row r="1613" spans="1:22" ht="12.75" customHeight="1" x14ac:dyDescent="0.2">
      <c r="A1613" s="289" t="str">
        <f>IF(B1613="","",COUNT('Diário 5º PA'!$A$5:$A$2634)+ROW()-4)</f>
        <v/>
      </c>
      <c r="B1613" s="290"/>
      <c r="C1613" s="357"/>
      <c r="D1613" s="291"/>
      <c r="E1613" s="291"/>
      <c r="F1613" s="292"/>
      <c r="G1613" s="291"/>
      <c r="H1613" s="291"/>
      <c r="I1613" s="293"/>
      <c r="J1613" s="291"/>
      <c r="K1613" s="291"/>
      <c r="L1613" s="293"/>
      <c r="M1613" s="291"/>
      <c r="N1613" s="289"/>
      <c r="O1613" s="358"/>
      <c r="P1613" s="402">
        <f t="shared" ref="P1613:Q1613" si="1609">IF(B1613=0,0,IF(YEAR(B1613)=$Q$1,MONTH(B1613)-$P$1+1,(YEAR(B1613)-$Q$1)*12-$P$1+1+MONTH(B1613)))</f>
        <v>0</v>
      </c>
      <c r="Q1613" s="280">
        <f t="shared" si="1609"/>
        <v>0</v>
      </c>
      <c r="R1613" s="356" t="str">
        <f t="shared" si="1"/>
        <v/>
      </c>
      <c r="S1613" s="269" t="str">
        <f>IF(D1613="","",IF(OR(D1613=Plano!$A$1,D1613=Plano!$B$1),"entrada","saída"))</f>
        <v/>
      </c>
      <c r="T1613" s="406"/>
      <c r="U1613" s="406"/>
      <c r="V1613" s="269"/>
    </row>
    <row r="1614" spans="1:22" ht="12.75" customHeight="1" x14ac:dyDescent="0.2">
      <c r="A1614" s="289" t="str">
        <f>IF(B1614="","",COUNT('Diário 5º PA'!$A$5:$A$2634)+ROW()-4)</f>
        <v/>
      </c>
      <c r="B1614" s="290"/>
      <c r="C1614" s="357"/>
      <c r="D1614" s="291"/>
      <c r="E1614" s="291"/>
      <c r="F1614" s="292"/>
      <c r="G1614" s="291"/>
      <c r="H1614" s="291"/>
      <c r="I1614" s="293"/>
      <c r="J1614" s="291"/>
      <c r="K1614" s="291"/>
      <c r="L1614" s="293"/>
      <c r="M1614" s="291"/>
      <c r="N1614" s="289"/>
      <c r="O1614" s="358"/>
      <c r="P1614" s="402">
        <f t="shared" ref="P1614:Q1614" si="1610">IF(B1614=0,0,IF(YEAR(B1614)=$Q$1,MONTH(B1614)-$P$1+1,(YEAR(B1614)-$Q$1)*12-$P$1+1+MONTH(B1614)))</f>
        <v>0</v>
      </c>
      <c r="Q1614" s="280">
        <f t="shared" si="1610"/>
        <v>0</v>
      </c>
      <c r="R1614" s="356" t="str">
        <f t="shared" si="1"/>
        <v/>
      </c>
      <c r="S1614" s="269" t="str">
        <f>IF(D1614="","",IF(OR(D1614=Plano!$A$1,D1614=Plano!$B$1),"entrada","saída"))</f>
        <v/>
      </c>
      <c r="T1614" s="406"/>
      <c r="U1614" s="406"/>
      <c r="V1614" s="269"/>
    </row>
    <row r="1615" spans="1:22" ht="12.75" customHeight="1" x14ac:dyDescent="0.2">
      <c r="A1615" s="289" t="str">
        <f>IF(B1615="","",COUNT('Diário 5º PA'!$A$5:$A$2634)+ROW()-4)</f>
        <v/>
      </c>
      <c r="B1615" s="290"/>
      <c r="C1615" s="357"/>
      <c r="D1615" s="291"/>
      <c r="E1615" s="291"/>
      <c r="F1615" s="292"/>
      <c r="G1615" s="291"/>
      <c r="H1615" s="291"/>
      <c r="I1615" s="293"/>
      <c r="J1615" s="291"/>
      <c r="K1615" s="291"/>
      <c r="L1615" s="293"/>
      <c r="M1615" s="291"/>
      <c r="N1615" s="289"/>
      <c r="O1615" s="358"/>
      <c r="P1615" s="402">
        <f t="shared" ref="P1615:Q1615" si="1611">IF(B1615=0,0,IF(YEAR(B1615)=$Q$1,MONTH(B1615)-$P$1+1,(YEAR(B1615)-$Q$1)*12-$P$1+1+MONTH(B1615)))</f>
        <v>0</v>
      </c>
      <c r="Q1615" s="280">
        <f t="shared" si="1611"/>
        <v>0</v>
      </c>
      <c r="R1615" s="356" t="str">
        <f t="shared" si="1"/>
        <v/>
      </c>
      <c r="S1615" s="269" t="str">
        <f>IF(D1615="","",IF(OR(D1615=Plano!$A$1,D1615=Plano!$B$1),"entrada","saída"))</f>
        <v/>
      </c>
      <c r="T1615" s="406"/>
      <c r="U1615" s="406"/>
      <c r="V1615" s="269"/>
    </row>
    <row r="1616" spans="1:22" ht="12.75" customHeight="1" x14ac:dyDescent="0.2">
      <c r="A1616" s="289" t="str">
        <f>IF(B1616="","",COUNT('Diário 5º PA'!$A$5:$A$2634)+ROW()-4)</f>
        <v/>
      </c>
      <c r="B1616" s="290"/>
      <c r="C1616" s="357"/>
      <c r="D1616" s="291"/>
      <c r="E1616" s="291"/>
      <c r="F1616" s="292"/>
      <c r="G1616" s="291"/>
      <c r="H1616" s="291"/>
      <c r="I1616" s="293"/>
      <c r="J1616" s="291"/>
      <c r="K1616" s="291"/>
      <c r="L1616" s="293"/>
      <c r="M1616" s="291"/>
      <c r="N1616" s="289"/>
      <c r="O1616" s="358"/>
      <c r="P1616" s="402">
        <f t="shared" ref="P1616:Q1616" si="1612">IF(B1616=0,0,IF(YEAR(B1616)=$Q$1,MONTH(B1616)-$P$1+1,(YEAR(B1616)-$Q$1)*12-$P$1+1+MONTH(B1616)))</f>
        <v>0</v>
      </c>
      <c r="Q1616" s="280">
        <f t="shared" si="1612"/>
        <v>0</v>
      </c>
      <c r="R1616" s="356" t="str">
        <f t="shared" si="1"/>
        <v/>
      </c>
      <c r="S1616" s="269" t="str">
        <f>IF(D1616="","",IF(OR(D1616=Plano!$A$1,D1616=Plano!$B$1),"entrada","saída"))</f>
        <v/>
      </c>
      <c r="T1616" s="406"/>
      <c r="U1616" s="406"/>
      <c r="V1616" s="269"/>
    </row>
    <row r="1617" spans="1:22" ht="12.75" customHeight="1" x14ac:dyDescent="0.2">
      <c r="A1617" s="289" t="str">
        <f>IF(B1617="","",COUNT('Diário 5º PA'!$A$5:$A$2634)+ROW()-4)</f>
        <v/>
      </c>
      <c r="B1617" s="290"/>
      <c r="C1617" s="357"/>
      <c r="D1617" s="291"/>
      <c r="E1617" s="291"/>
      <c r="F1617" s="292"/>
      <c r="G1617" s="291"/>
      <c r="H1617" s="291"/>
      <c r="I1617" s="293"/>
      <c r="J1617" s="291"/>
      <c r="K1617" s="291"/>
      <c r="L1617" s="293"/>
      <c r="M1617" s="291"/>
      <c r="N1617" s="289"/>
      <c r="O1617" s="358"/>
      <c r="P1617" s="402">
        <f t="shared" ref="P1617:Q1617" si="1613">IF(B1617=0,0,IF(YEAR(B1617)=$Q$1,MONTH(B1617)-$P$1+1,(YEAR(B1617)-$Q$1)*12-$P$1+1+MONTH(B1617)))</f>
        <v>0</v>
      </c>
      <c r="Q1617" s="280">
        <f t="shared" si="1613"/>
        <v>0</v>
      </c>
      <c r="R1617" s="356" t="str">
        <f t="shared" si="1"/>
        <v/>
      </c>
      <c r="S1617" s="269" t="str">
        <f>IF(D1617="","",IF(OR(D1617=Plano!$A$1,D1617=Plano!$B$1),"entrada","saída"))</f>
        <v/>
      </c>
      <c r="T1617" s="406"/>
      <c r="U1617" s="406"/>
      <c r="V1617" s="269"/>
    </row>
    <row r="1618" spans="1:22" ht="12.75" customHeight="1" x14ac:dyDescent="0.2">
      <c r="A1618" s="289" t="str">
        <f>IF(B1618="","",COUNT('Diário 5º PA'!$A$5:$A$2634)+ROW()-4)</f>
        <v/>
      </c>
      <c r="B1618" s="290"/>
      <c r="C1618" s="357"/>
      <c r="D1618" s="291"/>
      <c r="E1618" s="291"/>
      <c r="F1618" s="292"/>
      <c r="G1618" s="291"/>
      <c r="H1618" s="291"/>
      <c r="I1618" s="293"/>
      <c r="J1618" s="291"/>
      <c r="K1618" s="291"/>
      <c r="L1618" s="293"/>
      <c r="M1618" s="291"/>
      <c r="N1618" s="289"/>
      <c r="O1618" s="358"/>
      <c r="P1618" s="402">
        <f t="shared" ref="P1618:Q1618" si="1614">IF(B1618=0,0,IF(YEAR(B1618)=$Q$1,MONTH(B1618)-$P$1+1,(YEAR(B1618)-$Q$1)*12-$P$1+1+MONTH(B1618)))</f>
        <v>0</v>
      </c>
      <c r="Q1618" s="280">
        <f t="shared" si="1614"/>
        <v>0</v>
      </c>
      <c r="R1618" s="356" t="str">
        <f t="shared" si="1"/>
        <v/>
      </c>
      <c r="S1618" s="269" t="str">
        <f>IF(D1618="","",IF(OR(D1618=Plano!$A$1,D1618=Plano!$B$1),"entrada","saída"))</f>
        <v/>
      </c>
      <c r="T1618" s="406"/>
      <c r="U1618" s="406"/>
      <c r="V1618" s="269"/>
    </row>
    <row r="1619" spans="1:22" ht="12.75" customHeight="1" x14ac:dyDescent="0.2">
      <c r="A1619" s="289" t="str">
        <f>IF(B1619="","",COUNT('Diário 5º PA'!$A$5:$A$2634)+ROW()-4)</f>
        <v/>
      </c>
      <c r="B1619" s="290"/>
      <c r="C1619" s="357"/>
      <c r="D1619" s="291"/>
      <c r="E1619" s="291"/>
      <c r="F1619" s="292"/>
      <c r="G1619" s="291"/>
      <c r="H1619" s="291"/>
      <c r="I1619" s="293"/>
      <c r="J1619" s="291"/>
      <c r="K1619" s="291"/>
      <c r="L1619" s="293"/>
      <c r="M1619" s="291"/>
      <c r="N1619" s="289"/>
      <c r="O1619" s="358"/>
      <c r="P1619" s="402">
        <f t="shared" ref="P1619:Q1619" si="1615">IF(B1619=0,0,IF(YEAR(B1619)=$Q$1,MONTH(B1619)-$P$1+1,(YEAR(B1619)-$Q$1)*12-$P$1+1+MONTH(B1619)))</f>
        <v>0</v>
      </c>
      <c r="Q1619" s="280">
        <f t="shared" si="1615"/>
        <v>0</v>
      </c>
      <c r="R1619" s="356" t="str">
        <f t="shared" si="1"/>
        <v/>
      </c>
      <c r="S1619" s="269" t="str">
        <f>IF(D1619="","",IF(OR(D1619=Plano!$A$1,D1619=Plano!$B$1),"entrada","saída"))</f>
        <v/>
      </c>
      <c r="T1619" s="406"/>
      <c r="U1619" s="406"/>
      <c r="V1619" s="269"/>
    </row>
    <row r="1620" spans="1:22" ht="12.75" customHeight="1" x14ac:dyDescent="0.2">
      <c r="A1620" s="289" t="str">
        <f>IF(B1620="","",COUNT('Diário 5º PA'!$A$5:$A$2634)+ROW()-4)</f>
        <v/>
      </c>
      <c r="B1620" s="290"/>
      <c r="C1620" s="357"/>
      <c r="D1620" s="291"/>
      <c r="E1620" s="291"/>
      <c r="F1620" s="292"/>
      <c r="G1620" s="291"/>
      <c r="H1620" s="291"/>
      <c r="I1620" s="293"/>
      <c r="J1620" s="291"/>
      <c r="K1620" s="291"/>
      <c r="L1620" s="293"/>
      <c r="M1620" s="291"/>
      <c r="N1620" s="289"/>
      <c r="O1620" s="358"/>
      <c r="P1620" s="402">
        <f t="shared" ref="P1620:Q1620" si="1616">IF(B1620=0,0,IF(YEAR(B1620)=$Q$1,MONTH(B1620)-$P$1+1,(YEAR(B1620)-$Q$1)*12-$P$1+1+MONTH(B1620)))</f>
        <v>0</v>
      </c>
      <c r="Q1620" s="280">
        <f t="shared" si="1616"/>
        <v>0</v>
      </c>
      <c r="R1620" s="356" t="str">
        <f t="shared" si="1"/>
        <v/>
      </c>
      <c r="S1620" s="269" t="str">
        <f>IF(D1620="","",IF(OR(D1620=Plano!$A$1,D1620=Plano!$B$1),"entrada","saída"))</f>
        <v/>
      </c>
      <c r="T1620" s="406"/>
      <c r="U1620" s="406"/>
      <c r="V1620" s="269"/>
    </row>
    <row r="1621" spans="1:22" ht="12.75" customHeight="1" x14ac:dyDescent="0.2">
      <c r="A1621" s="289" t="str">
        <f>IF(B1621="","",COUNT('Diário 5º PA'!$A$5:$A$2634)+ROW()-4)</f>
        <v/>
      </c>
      <c r="B1621" s="290"/>
      <c r="C1621" s="357"/>
      <c r="D1621" s="291"/>
      <c r="E1621" s="291"/>
      <c r="F1621" s="292"/>
      <c r="G1621" s="291"/>
      <c r="H1621" s="291"/>
      <c r="I1621" s="293"/>
      <c r="J1621" s="291"/>
      <c r="K1621" s="291"/>
      <c r="L1621" s="293"/>
      <c r="M1621" s="291"/>
      <c r="N1621" s="289"/>
      <c r="O1621" s="358"/>
      <c r="P1621" s="402">
        <f t="shared" ref="P1621:Q1621" si="1617">IF(B1621=0,0,IF(YEAR(B1621)=$Q$1,MONTH(B1621)-$P$1+1,(YEAR(B1621)-$Q$1)*12-$P$1+1+MONTH(B1621)))</f>
        <v>0</v>
      </c>
      <c r="Q1621" s="280">
        <f t="shared" si="1617"/>
        <v>0</v>
      </c>
      <c r="R1621" s="356" t="str">
        <f t="shared" si="1"/>
        <v/>
      </c>
      <c r="S1621" s="269" t="str">
        <f>IF(D1621="","",IF(OR(D1621=Plano!$A$1,D1621=Plano!$B$1),"entrada","saída"))</f>
        <v/>
      </c>
      <c r="T1621" s="406"/>
      <c r="U1621" s="406"/>
      <c r="V1621" s="269"/>
    </row>
    <row r="1622" spans="1:22" ht="12.75" customHeight="1" x14ac:dyDescent="0.2">
      <c r="A1622" s="289" t="str">
        <f>IF(B1622="","",COUNT('Diário 5º PA'!$A$5:$A$2634)+ROW()-4)</f>
        <v/>
      </c>
      <c r="B1622" s="290"/>
      <c r="C1622" s="357"/>
      <c r="D1622" s="291"/>
      <c r="E1622" s="291"/>
      <c r="F1622" s="292"/>
      <c r="G1622" s="291"/>
      <c r="H1622" s="291"/>
      <c r="I1622" s="293"/>
      <c r="J1622" s="291"/>
      <c r="K1622" s="291"/>
      <c r="L1622" s="293"/>
      <c r="M1622" s="291"/>
      <c r="N1622" s="289"/>
      <c r="O1622" s="358"/>
      <c r="P1622" s="402">
        <f t="shared" ref="P1622:Q1622" si="1618">IF(B1622=0,0,IF(YEAR(B1622)=$Q$1,MONTH(B1622)-$P$1+1,(YEAR(B1622)-$Q$1)*12-$P$1+1+MONTH(B1622)))</f>
        <v>0</v>
      </c>
      <c r="Q1622" s="280">
        <f t="shared" si="1618"/>
        <v>0</v>
      </c>
      <c r="R1622" s="356" t="str">
        <f t="shared" si="1"/>
        <v/>
      </c>
      <c r="S1622" s="269" t="str">
        <f>IF(D1622="","",IF(OR(D1622=Plano!$A$1,D1622=Plano!$B$1),"entrada","saída"))</f>
        <v/>
      </c>
      <c r="T1622" s="406"/>
      <c r="U1622" s="406"/>
      <c r="V1622" s="269"/>
    </row>
    <row r="1623" spans="1:22" ht="12.75" customHeight="1" x14ac:dyDescent="0.2">
      <c r="A1623" s="289" t="str">
        <f>IF(B1623="","",COUNT('Diário 5º PA'!$A$5:$A$2634)+ROW()-4)</f>
        <v/>
      </c>
      <c r="B1623" s="290"/>
      <c r="C1623" s="357"/>
      <c r="D1623" s="291"/>
      <c r="E1623" s="291"/>
      <c r="F1623" s="292"/>
      <c r="G1623" s="291"/>
      <c r="H1623" s="291"/>
      <c r="I1623" s="293"/>
      <c r="J1623" s="291"/>
      <c r="K1623" s="291"/>
      <c r="L1623" s="293"/>
      <c r="M1623" s="291"/>
      <c r="N1623" s="289"/>
      <c r="O1623" s="358"/>
      <c r="P1623" s="402">
        <f t="shared" ref="P1623:Q1623" si="1619">IF(B1623=0,0,IF(YEAR(B1623)=$Q$1,MONTH(B1623)-$P$1+1,(YEAR(B1623)-$Q$1)*12-$P$1+1+MONTH(B1623)))</f>
        <v>0</v>
      </c>
      <c r="Q1623" s="280">
        <f t="shared" si="1619"/>
        <v>0</v>
      </c>
      <c r="R1623" s="356" t="str">
        <f t="shared" si="1"/>
        <v/>
      </c>
      <c r="S1623" s="269" t="str">
        <f>IF(D1623="","",IF(OR(D1623=Plano!$A$1,D1623=Plano!$B$1),"entrada","saída"))</f>
        <v/>
      </c>
      <c r="T1623" s="406"/>
      <c r="U1623" s="406"/>
      <c r="V1623" s="269"/>
    </row>
    <row r="1624" spans="1:22" ht="12.75" customHeight="1" x14ac:dyDescent="0.2">
      <c r="A1624" s="289" t="str">
        <f>IF(B1624="","",COUNT('Diário 5º PA'!$A$5:$A$2634)+ROW()-4)</f>
        <v/>
      </c>
      <c r="B1624" s="290"/>
      <c r="C1624" s="357"/>
      <c r="D1624" s="291"/>
      <c r="E1624" s="291"/>
      <c r="F1624" s="292"/>
      <c r="G1624" s="291"/>
      <c r="H1624" s="291"/>
      <c r="I1624" s="293"/>
      <c r="J1624" s="291"/>
      <c r="K1624" s="291"/>
      <c r="L1624" s="293"/>
      <c r="M1624" s="291"/>
      <c r="N1624" s="289"/>
      <c r="O1624" s="358"/>
      <c r="P1624" s="402">
        <f t="shared" ref="P1624:Q1624" si="1620">IF(B1624=0,0,IF(YEAR(B1624)=$Q$1,MONTH(B1624)-$P$1+1,(YEAR(B1624)-$Q$1)*12-$P$1+1+MONTH(B1624)))</f>
        <v>0</v>
      </c>
      <c r="Q1624" s="280">
        <f t="shared" si="1620"/>
        <v>0</v>
      </c>
      <c r="R1624" s="356" t="str">
        <f t="shared" si="1"/>
        <v/>
      </c>
      <c r="S1624" s="269" t="str">
        <f>IF(D1624="","",IF(OR(D1624=Plano!$A$1,D1624=Plano!$B$1),"entrada","saída"))</f>
        <v/>
      </c>
      <c r="T1624" s="406"/>
      <c r="U1624" s="406"/>
      <c r="V1624" s="269"/>
    </row>
    <row r="1625" spans="1:22" ht="12.75" customHeight="1" x14ac:dyDescent="0.2">
      <c r="A1625" s="289" t="str">
        <f>IF(B1625="","",COUNT('Diário 5º PA'!$A$5:$A$2634)+ROW()-4)</f>
        <v/>
      </c>
      <c r="B1625" s="290"/>
      <c r="C1625" s="357"/>
      <c r="D1625" s="291"/>
      <c r="E1625" s="291"/>
      <c r="F1625" s="292"/>
      <c r="G1625" s="291"/>
      <c r="H1625" s="291"/>
      <c r="I1625" s="293"/>
      <c r="J1625" s="291"/>
      <c r="K1625" s="291"/>
      <c r="L1625" s="293"/>
      <c r="M1625" s="291"/>
      <c r="N1625" s="289"/>
      <c r="O1625" s="358"/>
      <c r="P1625" s="402">
        <f t="shared" ref="P1625:Q1625" si="1621">IF(B1625=0,0,IF(YEAR(B1625)=$Q$1,MONTH(B1625)-$P$1+1,(YEAR(B1625)-$Q$1)*12-$P$1+1+MONTH(B1625)))</f>
        <v>0</v>
      </c>
      <c r="Q1625" s="280">
        <f t="shared" si="1621"/>
        <v>0</v>
      </c>
      <c r="R1625" s="356" t="str">
        <f t="shared" si="1"/>
        <v/>
      </c>
      <c r="S1625" s="269" t="str">
        <f>IF(D1625="","",IF(OR(D1625=Plano!$A$1,D1625=Plano!$B$1),"entrada","saída"))</f>
        <v/>
      </c>
      <c r="T1625" s="406"/>
      <c r="U1625" s="406"/>
      <c r="V1625" s="269"/>
    </row>
    <row r="1626" spans="1:22" ht="12.75" customHeight="1" x14ac:dyDescent="0.2">
      <c r="A1626" s="289" t="str">
        <f>IF(B1626="","",COUNT('Diário 5º PA'!$A$5:$A$2634)+ROW()-4)</f>
        <v/>
      </c>
      <c r="B1626" s="290"/>
      <c r="C1626" s="357"/>
      <c r="D1626" s="291"/>
      <c r="E1626" s="291"/>
      <c r="F1626" s="292"/>
      <c r="G1626" s="291"/>
      <c r="H1626" s="291"/>
      <c r="I1626" s="293"/>
      <c r="J1626" s="291"/>
      <c r="K1626" s="291"/>
      <c r="L1626" s="293"/>
      <c r="M1626" s="291"/>
      <c r="N1626" s="289"/>
      <c r="O1626" s="358"/>
      <c r="P1626" s="402">
        <f t="shared" ref="P1626:Q1626" si="1622">IF(B1626=0,0,IF(YEAR(B1626)=$Q$1,MONTH(B1626)-$P$1+1,(YEAR(B1626)-$Q$1)*12-$P$1+1+MONTH(B1626)))</f>
        <v>0</v>
      </c>
      <c r="Q1626" s="280">
        <f t="shared" si="1622"/>
        <v>0</v>
      </c>
      <c r="R1626" s="356" t="str">
        <f t="shared" si="1"/>
        <v/>
      </c>
      <c r="S1626" s="269" t="str">
        <f>IF(D1626="","",IF(OR(D1626=Plano!$A$1,D1626=Plano!$B$1),"entrada","saída"))</f>
        <v/>
      </c>
      <c r="T1626" s="406"/>
      <c r="U1626" s="406"/>
      <c r="V1626" s="269"/>
    </row>
    <row r="1627" spans="1:22" ht="12.75" customHeight="1" x14ac:dyDescent="0.2">
      <c r="A1627" s="289" t="str">
        <f>IF(B1627="","",COUNT('Diário 5º PA'!$A$5:$A$2634)+ROW()-4)</f>
        <v/>
      </c>
      <c r="B1627" s="290"/>
      <c r="C1627" s="357"/>
      <c r="D1627" s="291"/>
      <c r="E1627" s="291"/>
      <c r="F1627" s="292"/>
      <c r="G1627" s="291"/>
      <c r="H1627" s="291"/>
      <c r="I1627" s="293"/>
      <c r="J1627" s="291"/>
      <c r="K1627" s="291"/>
      <c r="L1627" s="293"/>
      <c r="M1627" s="291"/>
      <c r="N1627" s="289"/>
      <c r="O1627" s="358"/>
      <c r="P1627" s="402">
        <f t="shared" ref="P1627:Q1627" si="1623">IF(B1627=0,0,IF(YEAR(B1627)=$Q$1,MONTH(B1627)-$P$1+1,(YEAR(B1627)-$Q$1)*12-$P$1+1+MONTH(B1627)))</f>
        <v>0</v>
      </c>
      <c r="Q1627" s="280">
        <f t="shared" si="1623"/>
        <v>0</v>
      </c>
      <c r="R1627" s="356" t="str">
        <f t="shared" si="1"/>
        <v/>
      </c>
      <c r="S1627" s="269" t="str">
        <f>IF(D1627="","",IF(OR(D1627=Plano!$A$1,D1627=Plano!$B$1),"entrada","saída"))</f>
        <v/>
      </c>
      <c r="T1627" s="406"/>
      <c r="U1627" s="406"/>
      <c r="V1627" s="269"/>
    </row>
    <row r="1628" spans="1:22" ht="12.75" customHeight="1" x14ac:dyDescent="0.2">
      <c r="A1628" s="289" t="str">
        <f>IF(B1628="","",COUNT('Diário 5º PA'!$A$5:$A$2634)+ROW()-4)</f>
        <v/>
      </c>
      <c r="B1628" s="290"/>
      <c r="C1628" s="357"/>
      <c r="D1628" s="291"/>
      <c r="E1628" s="291"/>
      <c r="F1628" s="292"/>
      <c r="G1628" s="291"/>
      <c r="H1628" s="291"/>
      <c r="I1628" s="293"/>
      <c r="J1628" s="291"/>
      <c r="K1628" s="291"/>
      <c r="L1628" s="293"/>
      <c r="M1628" s="291"/>
      <c r="N1628" s="289"/>
      <c r="O1628" s="358"/>
      <c r="P1628" s="402">
        <f t="shared" ref="P1628:Q1628" si="1624">IF(B1628=0,0,IF(YEAR(B1628)=$Q$1,MONTH(B1628)-$P$1+1,(YEAR(B1628)-$Q$1)*12-$P$1+1+MONTH(B1628)))</f>
        <v>0</v>
      </c>
      <c r="Q1628" s="280">
        <f t="shared" si="1624"/>
        <v>0</v>
      </c>
      <c r="R1628" s="356" t="str">
        <f t="shared" si="1"/>
        <v/>
      </c>
      <c r="S1628" s="269" t="str">
        <f>IF(D1628="","",IF(OR(D1628=Plano!$A$1,D1628=Plano!$B$1),"entrada","saída"))</f>
        <v/>
      </c>
      <c r="T1628" s="406"/>
      <c r="U1628" s="406"/>
      <c r="V1628" s="269"/>
    </row>
    <row r="1629" spans="1:22" ht="12.75" customHeight="1" x14ac:dyDescent="0.2">
      <c r="A1629" s="289" t="str">
        <f>IF(B1629="","",COUNT('Diário 5º PA'!$A$5:$A$2634)+ROW()-4)</f>
        <v/>
      </c>
      <c r="B1629" s="290"/>
      <c r="C1629" s="357"/>
      <c r="D1629" s="291"/>
      <c r="E1629" s="291"/>
      <c r="F1629" s="292"/>
      <c r="G1629" s="291"/>
      <c r="H1629" s="291"/>
      <c r="I1629" s="293"/>
      <c r="J1629" s="291"/>
      <c r="K1629" s="291"/>
      <c r="L1629" s="293"/>
      <c r="M1629" s="291"/>
      <c r="N1629" s="289"/>
      <c r="O1629" s="358"/>
      <c r="P1629" s="402">
        <f t="shared" ref="P1629:Q1629" si="1625">IF(B1629=0,0,IF(YEAR(B1629)=$Q$1,MONTH(B1629)-$P$1+1,(YEAR(B1629)-$Q$1)*12-$P$1+1+MONTH(B1629)))</f>
        <v>0</v>
      </c>
      <c r="Q1629" s="280">
        <f t="shared" si="1625"/>
        <v>0</v>
      </c>
      <c r="R1629" s="356" t="str">
        <f t="shared" si="1"/>
        <v/>
      </c>
      <c r="S1629" s="269" t="str">
        <f>IF(D1629="","",IF(OR(D1629=Plano!$A$1,D1629=Plano!$B$1),"entrada","saída"))</f>
        <v/>
      </c>
      <c r="T1629" s="406"/>
      <c r="U1629" s="406"/>
      <c r="V1629" s="269"/>
    </row>
    <row r="1630" spans="1:22" ht="12.75" customHeight="1" x14ac:dyDescent="0.2">
      <c r="A1630" s="289" t="str">
        <f>IF(B1630="","",COUNT('Diário 5º PA'!$A$5:$A$2634)+ROW()-4)</f>
        <v/>
      </c>
      <c r="B1630" s="290"/>
      <c r="C1630" s="357"/>
      <c r="D1630" s="291"/>
      <c r="E1630" s="291"/>
      <c r="F1630" s="292"/>
      <c r="G1630" s="291"/>
      <c r="H1630" s="291"/>
      <c r="I1630" s="293"/>
      <c r="J1630" s="291"/>
      <c r="K1630" s="291"/>
      <c r="L1630" s="293"/>
      <c r="M1630" s="291"/>
      <c r="N1630" s="289"/>
      <c r="O1630" s="358"/>
      <c r="P1630" s="402">
        <f t="shared" ref="P1630:Q1630" si="1626">IF(B1630=0,0,IF(YEAR(B1630)=$Q$1,MONTH(B1630)-$P$1+1,(YEAR(B1630)-$Q$1)*12-$P$1+1+MONTH(B1630)))</f>
        <v>0</v>
      </c>
      <c r="Q1630" s="280">
        <f t="shared" si="1626"/>
        <v>0</v>
      </c>
      <c r="R1630" s="356" t="str">
        <f t="shared" si="1"/>
        <v/>
      </c>
      <c r="S1630" s="269" t="str">
        <f>IF(D1630="","",IF(OR(D1630=Plano!$A$1,D1630=Plano!$B$1),"entrada","saída"))</f>
        <v/>
      </c>
      <c r="T1630" s="406"/>
      <c r="U1630" s="406"/>
      <c r="V1630" s="269"/>
    </row>
    <row r="1631" spans="1:22" ht="12.75" customHeight="1" x14ac:dyDescent="0.2">
      <c r="A1631" s="289" t="str">
        <f>IF(B1631="","",COUNT('Diário 5º PA'!$A$5:$A$2634)+ROW()-4)</f>
        <v/>
      </c>
      <c r="B1631" s="290"/>
      <c r="C1631" s="357"/>
      <c r="D1631" s="291"/>
      <c r="E1631" s="291"/>
      <c r="F1631" s="292"/>
      <c r="G1631" s="291"/>
      <c r="H1631" s="291"/>
      <c r="I1631" s="293"/>
      <c r="J1631" s="291"/>
      <c r="K1631" s="291"/>
      <c r="L1631" s="293"/>
      <c r="M1631" s="291"/>
      <c r="N1631" s="289"/>
      <c r="O1631" s="358"/>
      <c r="P1631" s="402">
        <f t="shared" ref="P1631:Q1631" si="1627">IF(B1631=0,0,IF(YEAR(B1631)=$Q$1,MONTH(B1631)-$P$1+1,(YEAR(B1631)-$Q$1)*12-$P$1+1+MONTH(B1631)))</f>
        <v>0</v>
      </c>
      <c r="Q1631" s="280">
        <f t="shared" si="1627"/>
        <v>0</v>
      </c>
      <c r="R1631" s="356" t="str">
        <f t="shared" si="1"/>
        <v/>
      </c>
      <c r="S1631" s="269" t="str">
        <f>IF(D1631="","",IF(OR(D1631=Plano!$A$1,D1631=Plano!$B$1),"entrada","saída"))</f>
        <v/>
      </c>
      <c r="T1631" s="406"/>
      <c r="U1631" s="406"/>
      <c r="V1631" s="269"/>
    </row>
    <row r="1632" spans="1:22" ht="12.75" customHeight="1" x14ac:dyDescent="0.2">
      <c r="A1632" s="289" t="str">
        <f>IF(B1632="","",COUNT('Diário 5º PA'!$A$5:$A$2634)+ROW()-4)</f>
        <v/>
      </c>
      <c r="B1632" s="290"/>
      <c r="C1632" s="357"/>
      <c r="D1632" s="291"/>
      <c r="E1632" s="291"/>
      <c r="F1632" s="292"/>
      <c r="G1632" s="291"/>
      <c r="H1632" s="291"/>
      <c r="I1632" s="293"/>
      <c r="J1632" s="291"/>
      <c r="K1632" s="291"/>
      <c r="L1632" s="293"/>
      <c r="M1632" s="291"/>
      <c r="N1632" s="289"/>
      <c r="O1632" s="358"/>
      <c r="P1632" s="402">
        <f t="shared" ref="P1632:Q1632" si="1628">IF(B1632=0,0,IF(YEAR(B1632)=$Q$1,MONTH(B1632)-$P$1+1,(YEAR(B1632)-$Q$1)*12-$P$1+1+MONTH(B1632)))</f>
        <v>0</v>
      </c>
      <c r="Q1632" s="280">
        <f t="shared" si="1628"/>
        <v>0</v>
      </c>
      <c r="R1632" s="356" t="str">
        <f t="shared" si="1"/>
        <v/>
      </c>
      <c r="S1632" s="269" t="str">
        <f>IF(D1632="","",IF(OR(D1632=Plano!$A$1,D1632=Plano!$B$1),"entrada","saída"))</f>
        <v/>
      </c>
      <c r="T1632" s="406"/>
      <c r="U1632" s="406"/>
      <c r="V1632" s="269"/>
    </row>
    <row r="1633" spans="1:22" ht="12.75" customHeight="1" x14ac:dyDescent="0.2">
      <c r="A1633" s="289" t="str">
        <f>IF(B1633="","",COUNT('Diário 5º PA'!$A$5:$A$2634)+ROW()-4)</f>
        <v/>
      </c>
      <c r="B1633" s="290"/>
      <c r="C1633" s="357"/>
      <c r="D1633" s="291"/>
      <c r="E1633" s="291"/>
      <c r="F1633" s="292"/>
      <c r="G1633" s="291"/>
      <c r="H1633" s="291"/>
      <c r="I1633" s="293"/>
      <c r="J1633" s="291"/>
      <c r="K1633" s="291"/>
      <c r="L1633" s="293"/>
      <c r="M1633" s="291"/>
      <c r="N1633" s="289"/>
      <c r="O1633" s="358"/>
      <c r="P1633" s="402">
        <f t="shared" ref="P1633:Q1633" si="1629">IF(B1633=0,0,IF(YEAR(B1633)=$Q$1,MONTH(B1633)-$P$1+1,(YEAR(B1633)-$Q$1)*12-$P$1+1+MONTH(B1633)))</f>
        <v>0</v>
      </c>
      <c r="Q1633" s="280">
        <f t="shared" si="1629"/>
        <v>0</v>
      </c>
      <c r="R1633" s="356" t="str">
        <f t="shared" si="1"/>
        <v/>
      </c>
      <c r="S1633" s="269" t="str">
        <f>IF(D1633="","",IF(OR(D1633=Plano!$A$1,D1633=Plano!$B$1),"entrada","saída"))</f>
        <v/>
      </c>
      <c r="T1633" s="406"/>
      <c r="U1633" s="406"/>
      <c r="V1633" s="269"/>
    </row>
    <row r="1634" spans="1:22" ht="12.75" customHeight="1" x14ac:dyDescent="0.2">
      <c r="A1634" s="289" t="str">
        <f>IF(B1634="","",COUNT('Diário 5º PA'!$A$5:$A$2634)+ROW()-4)</f>
        <v/>
      </c>
      <c r="B1634" s="290"/>
      <c r="C1634" s="357"/>
      <c r="D1634" s="291"/>
      <c r="E1634" s="291"/>
      <c r="F1634" s="292"/>
      <c r="G1634" s="291"/>
      <c r="H1634" s="291"/>
      <c r="I1634" s="293"/>
      <c r="J1634" s="291"/>
      <c r="K1634" s="291"/>
      <c r="L1634" s="293"/>
      <c r="M1634" s="291"/>
      <c r="N1634" s="289"/>
      <c r="O1634" s="358"/>
      <c r="P1634" s="402">
        <f t="shared" ref="P1634:Q1634" si="1630">IF(B1634=0,0,IF(YEAR(B1634)=$Q$1,MONTH(B1634)-$P$1+1,(YEAR(B1634)-$Q$1)*12-$P$1+1+MONTH(B1634)))</f>
        <v>0</v>
      </c>
      <c r="Q1634" s="280">
        <f t="shared" si="1630"/>
        <v>0</v>
      </c>
      <c r="R1634" s="356" t="str">
        <f t="shared" si="1"/>
        <v/>
      </c>
      <c r="S1634" s="269" t="str">
        <f>IF(D1634="","",IF(OR(D1634=Plano!$A$1,D1634=Plano!$B$1),"entrada","saída"))</f>
        <v/>
      </c>
      <c r="T1634" s="406"/>
      <c r="U1634" s="406"/>
      <c r="V1634" s="269"/>
    </row>
    <row r="1635" spans="1:22" ht="12.75" customHeight="1" x14ac:dyDescent="0.2">
      <c r="A1635" s="289" t="str">
        <f>IF(B1635="","",COUNT('Diário 5º PA'!$A$5:$A$2634)+ROW()-4)</f>
        <v/>
      </c>
      <c r="B1635" s="290"/>
      <c r="C1635" s="357"/>
      <c r="D1635" s="291"/>
      <c r="E1635" s="291"/>
      <c r="F1635" s="292"/>
      <c r="G1635" s="291"/>
      <c r="H1635" s="291"/>
      <c r="I1635" s="293"/>
      <c r="J1635" s="291"/>
      <c r="K1635" s="291"/>
      <c r="L1635" s="293"/>
      <c r="M1635" s="291"/>
      <c r="N1635" s="289"/>
      <c r="O1635" s="358"/>
      <c r="P1635" s="402">
        <f t="shared" ref="P1635:Q1635" si="1631">IF(B1635=0,0,IF(YEAR(B1635)=$Q$1,MONTH(B1635)-$P$1+1,(YEAR(B1635)-$Q$1)*12-$P$1+1+MONTH(B1635)))</f>
        <v>0</v>
      </c>
      <c r="Q1635" s="280">
        <f t="shared" si="1631"/>
        <v>0</v>
      </c>
      <c r="R1635" s="356" t="str">
        <f t="shared" si="1"/>
        <v/>
      </c>
      <c r="S1635" s="269" t="str">
        <f>IF(D1635="","",IF(OR(D1635=Plano!$A$1,D1635=Plano!$B$1),"entrada","saída"))</f>
        <v/>
      </c>
      <c r="T1635" s="406"/>
      <c r="U1635" s="406"/>
      <c r="V1635" s="269"/>
    </row>
    <row r="1636" spans="1:22" ht="12.75" customHeight="1" x14ac:dyDescent="0.2">
      <c r="A1636" s="289" t="str">
        <f>IF(B1636="","",COUNT('Diário 5º PA'!$A$5:$A$2634)+ROW()-4)</f>
        <v/>
      </c>
      <c r="B1636" s="290"/>
      <c r="C1636" s="357"/>
      <c r="D1636" s="291"/>
      <c r="E1636" s="291"/>
      <c r="F1636" s="292"/>
      <c r="G1636" s="291"/>
      <c r="H1636" s="291"/>
      <c r="I1636" s="293"/>
      <c r="J1636" s="291"/>
      <c r="K1636" s="291"/>
      <c r="L1636" s="293"/>
      <c r="M1636" s="291"/>
      <c r="N1636" s="289"/>
      <c r="O1636" s="358"/>
      <c r="P1636" s="402">
        <f t="shared" ref="P1636:Q1636" si="1632">IF(B1636=0,0,IF(YEAR(B1636)=$Q$1,MONTH(B1636)-$P$1+1,(YEAR(B1636)-$Q$1)*12-$P$1+1+MONTH(B1636)))</f>
        <v>0</v>
      </c>
      <c r="Q1636" s="280">
        <f t="shared" si="1632"/>
        <v>0</v>
      </c>
      <c r="R1636" s="356" t="str">
        <f t="shared" si="1"/>
        <v/>
      </c>
      <c r="S1636" s="269" t="str">
        <f>IF(D1636="","",IF(OR(D1636=Plano!$A$1,D1636=Plano!$B$1),"entrada","saída"))</f>
        <v/>
      </c>
      <c r="T1636" s="406"/>
      <c r="U1636" s="406"/>
      <c r="V1636" s="269"/>
    </row>
    <row r="1637" spans="1:22" ht="12.75" customHeight="1" x14ac:dyDescent="0.2">
      <c r="A1637" s="289" t="str">
        <f>IF(B1637="","",COUNT('Diário 5º PA'!$A$5:$A$2634)+ROW()-4)</f>
        <v/>
      </c>
      <c r="B1637" s="290"/>
      <c r="C1637" s="357"/>
      <c r="D1637" s="291"/>
      <c r="E1637" s="291"/>
      <c r="F1637" s="292"/>
      <c r="G1637" s="291"/>
      <c r="H1637" s="291"/>
      <c r="I1637" s="293"/>
      <c r="J1637" s="291"/>
      <c r="K1637" s="291"/>
      <c r="L1637" s="293"/>
      <c r="M1637" s="291"/>
      <c r="N1637" s="289"/>
      <c r="O1637" s="358"/>
      <c r="P1637" s="402">
        <f t="shared" ref="P1637:Q1637" si="1633">IF(B1637=0,0,IF(YEAR(B1637)=$Q$1,MONTH(B1637)-$P$1+1,(YEAR(B1637)-$Q$1)*12-$P$1+1+MONTH(B1637)))</f>
        <v>0</v>
      </c>
      <c r="Q1637" s="280">
        <f t="shared" si="1633"/>
        <v>0</v>
      </c>
      <c r="R1637" s="356" t="str">
        <f t="shared" si="1"/>
        <v/>
      </c>
      <c r="S1637" s="269" t="str">
        <f>IF(D1637="","",IF(OR(D1637=Plano!$A$1,D1637=Plano!$B$1),"entrada","saída"))</f>
        <v/>
      </c>
      <c r="T1637" s="406"/>
      <c r="U1637" s="406"/>
      <c r="V1637" s="269"/>
    </row>
    <row r="1638" spans="1:22" ht="12.75" customHeight="1" x14ac:dyDescent="0.2">
      <c r="A1638" s="289" t="str">
        <f>IF(B1638="","",COUNT('Diário 5º PA'!$A$5:$A$2634)+ROW()-4)</f>
        <v/>
      </c>
      <c r="B1638" s="290"/>
      <c r="C1638" s="357"/>
      <c r="D1638" s="291"/>
      <c r="E1638" s="291"/>
      <c r="F1638" s="292"/>
      <c r="G1638" s="291"/>
      <c r="H1638" s="291"/>
      <c r="I1638" s="293"/>
      <c r="J1638" s="291"/>
      <c r="K1638" s="291"/>
      <c r="L1638" s="293"/>
      <c r="M1638" s="291"/>
      <c r="N1638" s="289"/>
      <c r="O1638" s="358"/>
      <c r="P1638" s="402">
        <f t="shared" ref="P1638:Q1638" si="1634">IF(B1638=0,0,IF(YEAR(B1638)=$Q$1,MONTH(B1638)-$P$1+1,(YEAR(B1638)-$Q$1)*12-$P$1+1+MONTH(B1638)))</f>
        <v>0</v>
      </c>
      <c r="Q1638" s="280">
        <f t="shared" si="1634"/>
        <v>0</v>
      </c>
      <c r="R1638" s="356" t="str">
        <f t="shared" si="1"/>
        <v/>
      </c>
      <c r="S1638" s="269" t="str">
        <f>IF(D1638="","",IF(OR(D1638=Plano!$A$1,D1638=Plano!$B$1),"entrada","saída"))</f>
        <v/>
      </c>
      <c r="T1638" s="406"/>
      <c r="U1638" s="406"/>
      <c r="V1638" s="269"/>
    </row>
    <row r="1639" spans="1:22" ht="12.75" customHeight="1" x14ac:dyDescent="0.2">
      <c r="A1639" s="289" t="str">
        <f>IF(B1639="","",COUNT('Diário 5º PA'!$A$5:$A$2634)+ROW()-4)</f>
        <v/>
      </c>
      <c r="B1639" s="290"/>
      <c r="C1639" s="357"/>
      <c r="D1639" s="291"/>
      <c r="E1639" s="291"/>
      <c r="F1639" s="292"/>
      <c r="G1639" s="291"/>
      <c r="H1639" s="291"/>
      <c r="I1639" s="293"/>
      <c r="J1639" s="291"/>
      <c r="K1639" s="291"/>
      <c r="L1639" s="293"/>
      <c r="M1639" s="291"/>
      <c r="N1639" s="289"/>
      <c r="O1639" s="358"/>
      <c r="P1639" s="402">
        <f t="shared" ref="P1639:Q1639" si="1635">IF(B1639=0,0,IF(YEAR(B1639)=$Q$1,MONTH(B1639)-$P$1+1,(YEAR(B1639)-$Q$1)*12-$P$1+1+MONTH(B1639)))</f>
        <v>0</v>
      </c>
      <c r="Q1639" s="280">
        <f t="shared" si="1635"/>
        <v>0</v>
      </c>
      <c r="R1639" s="356" t="str">
        <f t="shared" si="1"/>
        <v/>
      </c>
      <c r="S1639" s="269" t="str">
        <f>IF(D1639="","",IF(OR(D1639=Plano!$A$1,D1639=Plano!$B$1),"entrada","saída"))</f>
        <v/>
      </c>
      <c r="T1639" s="406"/>
      <c r="U1639" s="406"/>
      <c r="V1639" s="269"/>
    </row>
    <row r="1640" spans="1:22" ht="12.75" customHeight="1" x14ac:dyDescent="0.2">
      <c r="A1640" s="289" t="str">
        <f>IF(B1640="","",COUNT('Diário 5º PA'!$A$5:$A$2634)+ROW()-4)</f>
        <v/>
      </c>
      <c r="B1640" s="290"/>
      <c r="C1640" s="357"/>
      <c r="D1640" s="291"/>
      <c r="E1640" s="291"/>
      <c r="F1640" s="292"/>
      <c r="G1640" s="291"/>
      <c r="H1640" s="291"/>
      <c r="I1640" s="293"/>
      <c r="J1640" s="291"/>
      <c r="K1640" s="291"/>
      <c r="L1640" s="293"/>
      <c r="M1640" s="291"/>
      <c r="N1640" s="289"/>
      <c r="O1640" s="358"/>
      <c r="P1640" s="402">
        <f t="shared" ref="P1640:Q1640" si="1636">IF(B1640=0,0,IF(YEAR(B1640)=$Q$1,MONTH(B1640)-$P$1+1,(YEAR(B1640)-$Q$1)*12-$P$1+1+MONTH(B1640)))</f>
        <v>0</v>
      </c>
      <c r="Q1640" s="280">
        <f t="shared" si="1636"/>
        <v>0</v>
      </c>
      <c r="R1640" s="356" t="str">
        <f t="shared" si="1"/>
        <v/>
      </c>
      <c r="S1640" s="269" t="str">
        <f>IF(D1640="","",IF(OR(D1640=Plano!$A$1,D1640=Plano!$B$1),"entrada","saída"))</f>
        <v/>
      </c>
      <c r="T1640" s="406"/>
      <c r="U1640" s="406"/>
      <c r="V1640" s="269"/>
    </row>
    <row r="1641" spans="1:22" ht="12.75" customHeight="1" x14ac:dyDescent="0.2">
      <c r="A1641" s="289" t="str">
        <f>IF(B1641="","",COUNT('Diário 5º PA'!$A$5:$A$2634)+ROW()-4)</f>
        <v/>
      </c>
      <c r="B1641" s="290"/>
      <c r="C1641" s="357"/>
      <c r="D1641" s="291"/>
      <c r="E1641" s="291"/>
      <c r="F1641" s="292"/>
      <c r="G1641" s="291"/>
      <c r="H1641" s="291"/>
      <c r="I1641" s="293"/>
      <c r="J1641" s="291"/>
      <c r="K1641" s="291"/>
      <c r="L1641" s="293"/>
      <c r="M1641" s="291"/>
      <c r="N1641" s="289"/>
      <c r="O1641" s="358"/>
      <c r="P1641" s="402">
        <f t="shared" ref="P1641:Q1641" si="1637">IF(B1641=0,0,IF(YEAR(B1641)=$Q$1,MONTH(B1641)-$P$1+1,(YEAR(B1641)-$Q$1)*12-$P$1+1+MONTH(B1641)))</f>
        <v>0</v>
      </c>
      <c r="Q1641" s="280">
        <f t="shared" si="1637"/>
        <v>0</v>
      </c>
      <c r="R1641" s="356" t="str">
        <f t="shared" si="1"/>
        <v/>
      </c>
      <c r="S1641" s="269" t="str">
        <f>IF(D1641="","",IF(OR(D1641=Plano!$A$1,D1641=Plano!$B$1),"entrada","saída"))</f>
        <v/>
      </c>
      <c r="T1641" s="406"/>
      <c r="U1641" s="406"/>
      <c r="V1641" s="269"/>
    </row>
    <row r="1642" spans="1:22" ht="12.75" customHeight="1" x14ac:dyDescent="0.2">
      <c r="A1642" s="289" t="str">
        <f>IF(B1642="","",COUNT('Diário 5º PA'!$A$5:$A$2634)+ROW()-4)</f>
        <v/>
      </c>
      <c r="B1642" s="290"/>
      <c r="C1642" s="357"/>
      <c r="D1642" s="291"/>
      <c r="E1642" s="291"/>
      <c r="F1642" s="292"/>
      <c r="G1642" s="291"/>
      <c r="H1642" s="291"/>
      <c r="I1642" s="293"/>
      <c r="J1642" s="291"/>
      <c r="K1642" s="291"/>
      <c r="L1642" s="293"/>
      <c r="M1642" s="291"/>
      <c r="N1642" s="289"/>
      <c r="O1642" s="358"/>
      <c r="P1642" s="402">
        <f t="shared" ref="P1642:Q1642" si="1638">IF(B1642=0,0,IF(YEAR(B1642)=$Q$1,MONTH(B1642)-$P$1+1,(YEAR(B1642)-$Q$1)*12-$P$1+1+MONTH(B1642)))</f>
        <v>0</v>
      </c>
      <c r="Q1642" s="280">
        <f t="shared" si="1638"/>
        <v>0</v>
      </c>
      <c r="R1642" s="356" t="str">
        <f t="shared" si="1"/>
        <v/>
      </c>
      <c r="S1642" s="269" t="str">
        <f>IF(D1642="","",IF(OR(D1642=Plano!$A$1,D1642=Plano!$B$1),"entrada","saída"))</f>
        <v/>
      </c>
      <c r="T1642" s="406"/>
      <c r="U1642" s="406"/>
      <c r="V1642" s="269"/>
    </row>
    <row r="1643" spans="1:22" ht="12.75" customHeight="1" x14ac:dyDescent="0.2">
      <c r="A1643" s="289" t="str">
        <f>IF(B1643="","",COUNT('Diário 5º PA'!$A$5:$A$2634)+ROW()-4)</f>
        <v/>
      </c>
      <c r="B1643" s="290"/>
      <c r="C1643" s="357"/>
      <c r="D1643" s="291"/>
      <c r="E1643" s="291"/>
      <c r="F1643" s="292"/>
      <c r="G1643" s="291"/>
      <c r="H1643" s="291"/>
      <c r="I1643" s="293"/>
      <c r="J1643" s="291"/>
      <c r="K1643" s="291"/>
      <c r="L1643" s="293"/>
      <c r="M1643" s="291"/>
      <c r="N1643" s="289"/>
      <c r="O1643" s="358"/>
      <c r="P1643" s="402">
        <f t="shared" ref="P1643:Q1643" si="1639">IF(B1643=0,0,IF(YEAR(B1643)=$Q$1,MONTH(B1643)-$P$1+1,(YEAR(B1643)-$Q$1)*12-$P$1+1+MONTH(B1643)))</f>
        <v>0</v>
      </c>
      <c r="Q1643" s="280">
        <f t="shared" si="1639"/>
        <v>0</v>
      </c>
      <c r="R1643" s="356" t="str">
        <f t="shared" si="1"/>
        <v/>
      </c>
      <c r="S1643" s="269" t="str">
        <f>IF(D1643="","",IF(OR(D1643=Plano!$A$1,D1643=Plano!$B$1),"entrada","saída"))</f>
        <v/>
      </c>
      <c r="T1643" s="406"/>
      <c r="U1643" s="406"/>
      <c r="V1643" s="269"/>
    </row>
    <row r="1644" spans="1:22" ht="12.75" customHeight="1" x14ac:dyDescent="0.2">
      <c r="A1644" s="289" t="str">
        <f>IF(B1644="","",COUNT('Diário 5º PA'!$A$5:$A$2634)+ROW()-4)</f>
        <v/>
      </c>
      <c r="B1644" s="290"/>
      <c r="C1644" s="357"/>
      <c r="D1644" s="291"/>
      <c r="E1644" s="291"/>
      <c r="F1644" s="292"/>
      <c r="G1644" s="291"/>
      <c r="H1644" s="291"/>
      <c r="I1644" s="293"/>
      <c r="J1644" s="291"/>
      <c r="K1644" s="291"/>
      <c r="L1644" s="293"/>
      <c r="M1644" s="291"/>
      <c r="N1644" s="289"/>
      <c r="O1644" s="358"/>
      <c r="P1644" s="402">
        <f t="shared" ref="P1644:Q1644" si="1640">IF(B1644=0,0,IF(YEAR(B1644)=$Q$1,MONTH(B1644)-$P$1+1,(YEAR(B1644)-$Q$1)*12-$P$1+1+MONTH(B1644)))</f>
        <v>0</v>
      </c>
      <c r="Q1644" s="280">
        <f t="shared" si="1640"/>
        <v>0</v>
      </c>
      <c r="R1644" s="356" t="str">
        <f t="shared" si="1"/>
        <v/>
      </c>
      <c r="S1644" s="269" t="str">
        <f>IF(D1644="","",IF(OR(D1644=Plano!$A$1,D1644=Plano!$B$1),"entrada","saída"))</f>
        <v/>
      </c>
      <c r="T1644" s="406"/>
      <c r="U1644" s="406"/>
      <c r="V1644" s="269"/>
    </row>
    <row r="1645" spans="1:22" ht="12.75" customHeight="1" x14ac:dyDescent="0.2">
      <c r="A1645" s="289" t="str">
        <f>IF(B1645="","",COUNT('Diário 5º PA'!$A$5:$A$2634)+ROW()-4)</f>
        <v/>
      </c>
      <c r="B1645" s="290"/>
      <c r="C1645" s="357"/>
      <c r="D1645" s="291"/>
      <c r="E1645" s="291"/>
      <c r="F1645" s="292"/>
      <c r="G1645" s="291"/>
      <c r="H1645" s="291"/>
      <c r="I1645" s="293"/>
      <c r="J1645" s="291"/>
      <c r="K1645" s="291"/>
      <c r="L1645" s="293"/>
      <c r="M1645" s="291"/>
      <c r="N1645" s="289"/>
      <c r="O1645" s="358"/>
      <c r="P1645" s="402">
        <f t="shared" ref="P1645:Q1645" si="1641">IF(B1645=0,0,IF(YEAR(B1645)=$Q$1,MONTH(B1645)-$P$1+1,(YEAR(B1645)-$Q$1)*12-$P$1+1+MONTH(B1645)))</f>
        <v>0</v>
      </c>
      <c r="Q1645" s="280">
        <f t="shared" si="1641"/>
        <v>0</v>
      </c>
      <c r="R1645" s="356" t="str">
        <f t="shared" si="1"/>
        <v/>
      </c>
      <c r="S1645" s="269" t="str">
        <f>IF(D1645="","",IF(OR(D1645=Plano!$A$1,D1645=Plano!$B$1),"entrada","saída"))</f>
        <v/>
      </c>
      <c r="T1645" s="406"/>
      <c r="U1645" s="406"/>
      <c r="V1645" s="269"/>
    </row>
    <row r="1646" spans="1:22" ht="12.75" customHeight="1" x14ac:dyDescent="0.2">
      <c r="A1646" s="289" t="str">
        <f>IF(B1646="","",COUNT('Diário 5º PA'!$A$5:$A$2634)+ROW()-4)</f>
        <v/>
      </c>
      <c r="B1646" s="290"/>
      <c r="C1646" s="357"/>
      <c r="D1646" s="291"/>
      <c r="E1646" s="291"/>
      <c r="F1646" s="292"/>
      <c r="G1646" s="291"/>
      <c r="H1646" s="291"/>
      <c r="I1646" s="293"/>
      <c r="J1646" s="291"/>
      <c r="K1646" s="291"/>
      <c r="L1646" s="293"/>
      <c r="M1646" s="291"/>
      <c r="N1646" s="289"/>
      <c r="O1646" s="358"/>
      <c r="P1646" s="402">
        <f t="shared" ref="P1646:Q1646" si="1642">IF(B1646=0,0,IF(YEAR(B1646)=$Q$1,MONTH(B1646)-$P$1+1,(YEAR(B1646)-$Q$1)*12-$P$1+1+MONTH(B1646)))</f>
        <v>0</v>
      </c>
      <c r="Q1646" s="280">
        <f t="shared" si="1642"/>
        <v>0</v>
      </c>
      <c r="R1646" s="356" t="str">
        <f t="shared" si="1"/>
        <v/>
      </c>
      <c r="S1646" s="269" t="str">
        <f>IF(D1646="","",IF(OR(D1646=Plano!$A$1,D1646=Plano!$B$1),"entrada","saída"))</f>
        <v/>
      </c>
      <c r="T1646" s="406"/>
      <c r="U1646" s="406"/>
      <c r="V1646" s="269"/>
    </row>
    <row r="1647" spans="1:22" ht="12.75" customHeight="1" x14ac:dyDescent="0.2">
      <c r="A1647" s="289" t="str">
        <f>IF(B1647="","",COUNT('Diário 5º PA'!$A$5:$A$2634)+ROW()-4)</f>
        <v/>
      </c>
      <c r="B1647" s="290"/>
      <c r="C1647" s="357"/>
      <c r="D1647" s="291"/>
      <c r="E1647" s="291"/>
      <c r="F1647" s="292"/>
      <c r="G1647" s="291"/>
      <c r="H1647" s="291"/>
      <c r="I1647" s="293"/>
      <c r="J1647" s="291"/>
      <c r="K1647" s="291"/>
      <c r="L1647" s="293"/>
      <c r="M1647" s="291"/>
      <c r="N1647" s="289"/>
      <c r="O1647" s="358"/>
      <c r="P1647" s="402">
        <f t="shared" ref="P1647:Q1647" si="1643">IF(B1647=0,0,IF(YEAR(B1647)=$Q$1,MONTH(B1647)-$P$1+1,(YEAR(B1647)-$Q$1)*12-$P$1+1+MONTH(B1647)))</f>
        <v>0</v>
      </c>
      <c r="Q1647" s="280">
        <f t="shared" si="1643"/>
        <v>0</v>
      </c>
      <c r="R1647" s="356" t="str">
        <f t="shared" si="1"/>
        <v/>
      </c>
      <c r="S1647" s="269" t="str">
        <f>IF(D1647="","",IF(OR(D1647=Plano!$A$1,D1647=Plano!$B$1),"entrada","saída"))</f>
        <v/>
      </c>
      <c r="T1647" s="406"/>
      <c r="U1647" s="406"/>
      <c r="V1647" s="269"/>
    </row>
    <row r="1648" spans="1:22" ht="12.75" customHeight="1" x14ac:dyDescent="0.2">
      <c r="A1648" s="289" t="str">
        <f>IF(B1648="","",COUNT('Diário 5º PA'!$A$5:$A$2634)+ROW()-4)</f>
        <v/>
      </c>
      <c r="B1648" s="290"/>
      <c r="C1648" s="357"/>
      <c r="D1648" s="291"/>
      <c r="E1648" s="291"/>
      <c r="F1648" s="292"/>
      <c r="G1648" s="291"/>
      <c r="H1648" s="291"/>
      <c r="I1648" s="293"/>
      <c r="J1648" s="291"/>
      <c r="K1648" s="291"/>
      <c r="L1648" s="293"/>
      <c r="M1648" s="291"/>
      <c r="N1648" s="289"/>
      <c r="O1648" s="358"/>
      <c r="P1648" s="402">
        <f t="shared" ref="P1648:Q1648" si="1644">IF(B1648=0,0,IF(YEAR(B1648)=$Q$1,MONTH(B1648)-$P$1+1,(YEAR(B1648)-$Q$1)*12-$P$1+1+MONTH(B1648)))</f>
        <v>0</v>
      </c>
      <c r="Q1648" s="280">
        <f t="shared" si="1644"/>
        <v>0</v>
      </c>
      <c r="R1648" s="356" t="str">
        <f t="shared" si="1"/>
        <v/>
      </c>
      <c r="S1648" s="269" t="str">
        <f>IF(D1648="","",IF(OR(D1648=Plano!$A$1,D1648=Plano!$B$1),"entrada","saída"))</f>
        <v/>
      </c>
      <c r="T1648" s="406"/>
      <c r="U1648" s="406"/>
      <c r="V1648" s="269"/>
    </row>
    <row r="1649" spans="1:22" ht="12.75" customHeight="1" x14ac:dyDescent="0.2">
      <c r="A1649" s="289" t="str">
        <f>IF(B1649="","",COUNT('Diário 5º PA'!$A$5:$A$2634)+ROW()-4)</f>
        <v/>
      </c>
      <c r="B1649" s="290"/>
      <c r="C1649" s="357"/>
      <c r="D1649" s="291"/>
      <c r="E1649" s="291"/>
      <c r="F1649" s="292"/>
      <c r="G1649" s="291"/>
      <c r="H1649" s="291"/>
      <c r="I1649" s="293"/>
      <c r="J1649" s="291"/>
      <c r="K1649" s="291"/>
      <c r="L1649" s="293"/>
      <c r="M1649" s="291"/>
      <c r="N1649" s="289"/>
      <c r="O1649" s="358"/>
      <c r="P1649" s="402">
        <f t="shared" ref="P1649:Q1649" si="1645">IF(B1649=0,0,IF(YEAR(B1649)=$Q$1,MONTH(B1649)-$P$1+1,(YEAR(B1649)-$Q$1)*12-$P$1+1+MONTH(B1649)))</f>
        <v>0</v>
      </c>
      <c r="Q1649" s="280">
        <f t="shared" si="1645"/>
        <v>0</v>
      </c>
      <c r="R1649" s="356" t="str">
        <f t="shared" si="1"/>
        <v/>
      </c>
      <c r="S1649" s="269" t="str">
        <f>IF(D1649="","",IF(OR(D1649=Plano!$A$1,D1649=Plano!$B$1),"entrada","saída"))</f>
        <v/>
      </c>
      <c r="T1649" s="406"/>
      <c r="U1649" s="406"/>
      <c r="V1649" s="269"/>
    </row>
    <row r="1650" spans="1:22" ht="12.75" customHeight="1" x14ac:dyDescent="0.2">
      <c r="A1650" s="289" t="str">
        <f>IF(B1650="","",COUNT('Diário 5º PA'!$A$5:$A$2634)+ROW()-4)</f>
        <v/>
      </c>
      <c r="B1650" s="290"/>
      <c r="C1650" s="357"/>
      <c r="D1650" s="291"/>
      <c r="E1650" s="291"/>
      <c r="F1650" s="292"/>
      <c r="G1650" s="291"/>
      <c r="H1650" s="291"/>
      <c r="I1650" s="293"/>
      <c r="J1650" s="291"/>
      <c r="K1650" s="291"/>
      <c r="L1650" s="293"/>
      <c r="M1650" s="291"/>
      <c r="N1650" s="289"/>
      <c r="O1650" s="358"/>
      <c r="P1650" s="402">
        <f t="shared" ref="P1650:Q1650" si="1646">IF(B1650=0,0,IF(YEAR(B1650)=$Q$1,MONTH(B1650)-$P$1+1,(YEAR(B1650)-$Q$1)*12-$P$1+1+MONTH(B1650)))</f>
        <v>0</v>
      </c>
      <c r="Q1650" s="280">
        <f t="shared" si="1646"/>
        <v>0</v>
      </c>
      <c r="R1650" s="356" t="str">
        <f t="shared" si="1"/>
        <v/>
      </c>
      <c r="S1650" s="269" t="str">
        <f>IF(D1650="","",IF(OR(D1650=Plano!$A$1,D1650=Plano!$B$1),"entrada","saída"))</f>
        <v/>
      </c>
      <c r="T1650" s="406"/>
      <c r="U1650" s="406"/>
      <c r="V1650" s="269"/>
    </row>
    <row r="1651" spans="1:22" ht="12.75" customHeight="1" x14ac:dyDescent="0.2">
      <c r="A1651" s="289" t="str">
        <f>IF(B1651="","",COUNT('Diário 5º PA'!$A$5:$A$2634)+ROW()-4)</f>
        <v/>
      </c>
      <c r="B1651" s="290"/>
      <c r="C1651" s="357"/>
      <c r="D1651" s="291"/>
      <c r="E1651" s="291"/>
      <c r="F1651" s="292"/>
      <c r="G1651" s="291"/>
      <c r="H1651" s="291"/>
      <c r="I1651" s="293"/>
      <c r="J1651" s="291"/>
      <c r="K1651" s="291"/>
      <c r="L1651" s="293"/>
      <c r="M1651" s="291"/>
      <c r="N1651" s="289"/>
      <c r="O1651" s="358"/>
      <c r="P1651" s="402">
        <f t="shared" ref="P1651:Q1651" si="1647">IF(B1651=0,0,IF(YEAR(B1651)=$Q$1,MONTH(B1651)-$P$1+1,(YEAR(B1651)-$Q$1)*12-$P$1+1+MONTH(B1651)))</f>
        <v>0</v>
      </c>
      <c r="Q1651" s="280">
        <f t="shared" si="1647"/>
        <v>0</v>
      </c>
      <c r="R1651" s="356" t="str">
        <f t="shared" si="1"/>
        <v/>
      </c>
      <c r="S1651" s="269" t="str">
        <f>IF(D1651="","",IF(OR(D1651=Plano!$A$1,D1651=Plano!$B$1),"entrada","saída"))</f>
        <v/>
      </c>
      <c r="T1651" s="406"/>
      <c r="U1651" s="406"/>
      <c r="V1651" s="269"/>
    </row>
    <row r="1652" spans="1:22" ht="12.75" customHeight="1" x14ac:dyDescent="0.2">
      <c r="A1652" s="289" t="str">
        <f>IF(B1652="","",COUNT('Diário 5º PA'!$A$5:$A$2634)+ROW()-4)</f>
        <v/>
      </c>
      <c r="B1652" s="290"/>
      <c r="C1652" s="357"/>
      <c r="D1652" s="291"/>
      <c r="E1652" s="291"/>
      <c r="F1652" s="292"/>
      <c r="G1652" s="291"/>
      <c r="H1652" s="291"/>
      <c r="I1652" s="293"/>
      <c r="J1652" s="291"/>
      <c r="K1652" s="291"/>
      <c r="L1652" s="293"/>
      <c r="M1652" s="291"/>
      <c r="N1652" s="289"/>
      <c r="O1652" s="358"/>
      <c r="P1652" s="402">
        <f t="shared" ref="P1652:Q1652" si="1648">IF(B1652=0,0,IF(YEAR(B1652)=$Q$1,MONTH(B1652)-$P$1+1,(YEAR(B1652)-$Q$1)*12-$P$1+1+MONTH(B1652)))</f>
        <v>0</v>
      </c>
      <c r="Q1652" s="280">
        <f t="shared" si="1648"/>
        <v>0</v>
      </c>
      <c r="R1652" s="356" t="str">
        <f t="shared" si="1"/>
        <v/>
      </c>
      <c r="S1652" s="269" t="str">
        <f>IF(D1652="","",IF(OR(D1652=Plano!$A$1,D1652=Plano!$B$1),"entrada","saída"))</f>
        <v/>
      </c>
      <c r="T1652" s="406"/>
      <c r="U1652" s="406"/>
      <c r="V1652" s="269"/>
    </row>
    <row r="1653" spans="1:22" ht="12.75" customHeight="1" x14ac:dyDescent="0.2">
      <c r="A1653" s="289" t="str">
        <f>IF(B1653="","",COUNT('Diário 5º PA'!$A$5:$A$2634)+ROW()-4)</f>
        <v/>
      </c>
      <c r="B1653" s="290"/>
      <c r="C1653" s="357"/>
      <c r="D1653" s="291"/>
      <c r="E1653" s="291"/>
      <c r="F1653" s="292"/>
      <c r="G1653" s="291"/>
      <c r="H1653" s="291"/>
      <c r="I1653" s="293"/>
      <c r="J1653" s="291"/>
      <c r="K1653" s="291"/>
      <c r="L1653" s="293"/>
      <c r="M1653" s="291"/>
      <c r="N1653" s="289"/>
      <c r="O1653" s="358"/>
      <c r="P1653" s="402">
        <f t="shared" ref="P1653:Q1653" si="1649">IF(B1653=0,0,IF(YEAR(B1653)=$Q$1,MONTH(B1653)-$P$1+1,(YEAR(B1653)-$Q$1)*12-$P$1+1+MONTH(B1653)))</f>
        <v>0</v>
      </c>
      <c r="Q1653" s="280">
        <f t="shared" si="1649"/>
        <v>0</v>
      </c>
      <c r="R1653" s="356" t="str">
        <f t="shared" si="1"/>
        <v/>
      </c>
      <c r="S1653" s="269" t="str">
        <f>IF(D1653="","",IF(OR(D1653=Plano!$A$1,D1653=Plano!$B$1),"entrada","saída"))</f>
        <v/>
      </c>
      <c r="T1653" s="406"/>
      <c r="U1653" s="406"/>
      <c r="V1653" s="269"/>
    </row>
    <row r="1654" spans="1:22" ht="12.75" customHeight="1" x14ac:dyDescent="0.2">
      <c r="A1654" s="289" t="str">
        <f>IF(B1654="","",COUNT('Diário 5º PA'!$A$5:$A$2634)+ROW()-4)</f>
        <v/>
      </c>
      <c r="B1654" s="290"/>
      <c r="C1654" s="357"/>
      <c r="D1654" s="291"/>
      <c r="E1654" s="291"/>
      <c r="F1654" s="292"/>
      <c r="G1654" s="291"/>
      <c r="H1654" s="291"/>
      <c r="I1654" s="293"/>
      <c r="J1654" s="291"/>
      <c r="K1654" s="291"/>
      <c r="L1654" s="293"/>
      <c r="M1654" s="291"/>
      <c r="N1654" s="289"/>
      <c r="O1654" s="358"/>
      <c r="P1654" s="402">
        <f t="shared" ref="P1654:Q1654" si="1650">IF(B1654=0,0,IF(YEAR(B1654)=$Q$1,MONTH(B1654)-$P$1+1,(YEAR(B1654)-$Q$1)*12-$P$1+1+MONTH(B1654)))</f>
        <v>0</v>
      </c>
      <c r="Q1654" s="280">
        <f t="shared" si="1650"/>
        <v>0</v>
      </c>
      <c r="R1654" s="356" t="str">
        <f t="shared" si="1"/>
        <v/>
      </c>
      <c r="S1654" s="269" t="str">
        <f>IF(D1654="","",IF(OR(D1654=Plano!$A$1,D1654=Plano!$B$1),"entrada","saída"))</f>
        <v/>
      </c>
      <c r="T1654" s="406"/>
      <c r="U1654" s="406"/>
      <c r="V1654" s="269"/>
    </row>
    <row r="1655" spans="1:22" ht="12.75" customHeight="1" x14ac:dyDescent="0.2">
      <c r="A1655" s="289" t="str">
        <f>IF(B1655="","",COUNT('Diário 5º PA'!$A$5:$A$2634)+ROW()-4)</f>
        <v/>
      </c>
      <c r="B1655" s="290"/>
      <c r="C1655" s="357"/>
      <c r="D1655" s="291"/>
      <c r="E1655" s="291"/>
      <c r="F1655" s="292"/>
      <c r="G1655" s="291"/>
      <c r="H1655" s="291"/>
      <c r="I1655" s="293"/>
      <c r="J1655" s="291"/>
      <c r="K1655" s="291"/>
      <c r="L1655" s="293"/>
      <c r="M1655" s="291"/>
      <c r="N1655" s="289"/>
      <c r="O1655" s="358"/>
      <c r="P1655" s="402">
        <f t="shared" ref="P1655:Q1655" si="1651">IF(B1655=0,0,IF(YEAR(B1655)=$Q$1,MONTH(B1655)-$P$1+1,(YEAR(B1655)-$Q$1)*12-$P$1+1+MONTH(B1655)))</f>
        <v>0</v>
      </c>
      <c r="Q1655" s="280">
        <f t="shared" si="1651"/>
        <v>0</v>
      </c>
      <c r="R1655" s="356" t="str">
        <f t="shared" si="1"/>
        <v/>
      </c>
      <c r="S1655" s="269" t="str">
        <f>IF(D1655="","",IF(OR(D1655=Plano!$A$1,D1655=Plano!$B$1),"entrada","saída"))</f>
        <v/>
      </c>
      <c r="T1655" s="406"/>
      <c r="U1655" s="406"/>
      <c r="V1655" s="269"/>
    </row>
    <row r="1656" spans="1:22" ht="12.75" customHeight="1" x14ac:dyDescent="0.2">
      <c r="A1656" s="289" t="str">
        <f>IF(B1656="","",COUNT('Diário 5º PA'!$A$5:$A$2634)+ROW()-4)</f>
        <v/>
      </c>
      <c r="B1656" s="290"/>
      <c r="C1656" s="357"/>
      <c r="D1656" s="291"/>
      <c r="E1656" s="291"/>
      <c r="F1656" s="292"/>
      <c r="G1656" s="291"/>
      <c r="H1656" s="291"/>
      <c r="I1656" s="293"/>
      <c r="J1656" s="291"/>
      <c r="K1656" s="291"/>
      <c r="L1656" s="293"/>
      <c r="M1656" s="291"/>
      <c r="N1656" s="289"/>
      <c r="O1656" s="358"/>
      <c r="P1656" s="402">
        <f t="shared" ref="P1656:Q1656" si="1652">IF(B1656=0,0,IF(YEAR(B1656)=$Q$1,MONTH(B1656)-$P$1+1,(YEAR(B1656)-$Q$1)*12-$P$1+1+MONTH(B1656)))</f>
        <v>0</v>
      </c>
      <c r="Q1656" s="280">
        <f t="shared" si="1652"/>
        <v>0</v>
      </c>
      <c r="R1656" s="356" t="str">
        <f t="shared" si="1"/>
        <v/>
      </c>
      <c r="S1656" s="269" t="str">
        <f>IF(D1656="","",IF(OR(D1656=Plano!$A$1,D1656=Plano!$B$1),"entrada","saída"))</f>
        <v/>
      </c>
      <c r="T1656" s="406"/>
      <c r="U1656" s="406"/>
      <c r="V1656" s="269"/>
    </row>
    <row r="1657" spans="1:22" ht="12.75" customHeight="1" x14ac:dyDescent="0.2">
      <c r="A1657" s="289" t="str">
        <f>IF(B1657="","",COUNT('Diário 5º PA'!$A$5:$A$2634)+ROW()-4)</f>
        <v/>
      </c>
      <c r="B1657" s="290"/>
      <c r="C1657" s="357"/>
      <c r="D1657" s="291"/>
      <c r="E1657" s="291"/>
      <c r="F1657" s="292"/>
      <c r="G1657" s="291"/>
      <c r="H1657" s="291"/>
      <c r="I1657" s="293"/>
      <c r="J1657" s="291"/>
      <c r="K1657" s="291"/>
      <c r="L1657" s="293"/>
      <c r="M1657" s="291"/>
      <c r="N1657" s="289"/>
      <c r="O1657" s="358"/>
      <c r="P1657" s="402">
        <f t="shared" ref="P1657:Q1657" si="1653">IF(B1657=0,0,IF(YEAR(B1657)=$Q$1,MONTH(B1657)-$P$1+1,(YEAR(B1657)-$Q$1)*12-$P$1+1+MONTH(B1657)))</f>
        <v>0</v>
      </c>
      <c r="Q1657" s="280">
        <f t="shared" si="1653"/>
        <v>0</v>
      </c>
      <c r="R1657" s="356" t="str">
        <f t="shared" si="1"/>
        <v/>
      </c>
      <c r="S1657" s="269" t="str">
        <f>IF(D1657="","",IF(OR(D1657=Plano!$A$1,D1657=Plano!$B$1),"entrada","saída"))</f>
        <v/>
      </c>
      <c r="T1657" s="406"/>
      <c r="U1657" s="406"/>
      <c r="V1657" s="269"/>
    </row>
    <row r="1658" spans="1:22" ht="12.75" customHeight="1" x14ac:dyDescent="0.2">
      <c r="A1658" s="289" t="str">
        <f>IF(B1658="","",COUNT('Diário 5º PA'!$A$5:$A$2634)+ROW()-4)</f>
        <v/>
      </c>
      <c r="B1658" s="290"/>
      <c r="C1658" s="357"/>
      <c r="D1658" s="291"/>
      <c r="E1658" s="291"/>
      <c r="F1658" s="292"/>
      <c r="G1658" s="291"/>
      <c r="H1658" s="291"/>
      <c r="I1658" s="293"/>
      <c r="J1658" s="291"/>
      <c r="K1658" s="291"/>
      <c r="L1658" s="293"/>
      <c r="M1658" s="291"/>
      <c r="N1658" s="289"/>
      <c r="O1658" s="358"/>
      <c r="P1658" s="402">
        <f t="shared" ref="P1658:Q1658" si="1654">IF(B1658=0,0,IF(YEAR(B1658)=$Q$1,MONTH(B1658)-$P$1+1,(YEAR(B1658)-$Q$1)*12-$P$1+1+MONTH(B1658)))</f>
        <v>0</v>
      </c>
      <c r="Q1658" s="280">
        <f t="shared" si="1654"/>
        <v>0</v>
      </c>
      <c r="R1658" s="356" t="str">
        <f t="shared" si="1"/>
        <v/>
      </c>
      <c r="S1658" s="269" t="str">
        <f>IF(D1658="","",IF(OR(D1658=Plano!$A$1,D1658=Plano!$B$1),"entrada","saída"))</f>
        <v/>
      </c>
      <c r="T1658" s="406"/>
      <c r="U1658" s="406"/>
      <c r="V1658" s="269"/>
    </row>
    <row r="1659" spans="1:22" ht="12.75" customHeight="1" x14ac:dyDescent="0.2">
      <c r="A1659" s="289" t="str">
        <f>IF(B1659="","",COUNT('Diário 5º PA'!$A$5:$A$2634)+ROW()-4)</f>
        <v/>
      </c>
      <c r="B1659" s="290"/>
      <c r="C1659" s="357"/>
      <c r="D1659" s="291"/>
      <c r="E1659" s="291"/>
      <c r="F1659" s="292"/>
      <c r="G1659" s="291"/>
      <c r="H1659" s="291"/>
      <c r="I1659" s="293"/>
      <c r="J1659" s="291"/>
      <c r="K1659" s="291"/>
      <c r="L1659" s="293"/>
      <c r="M1659" s="291"/>
      <c r="N1659" s="289"/>
      <c r="O1659" s="358"/>
      <c r="P1659" s="402">
        <f t="shared" ref="P1659:Q1659" si="1655">IF(B1659=0,0,IF(YEAR(B1659)=$Q$1,MONTH(B1659)-$P$1+1,(YEAR(B1659)-$Q$1)*12-$P$1+1+MONTH(B1659)))</f>
        <v>0</v>
      </c>
      <c r="Q1659" s="280">
        <f t="shared" si="1655"/>
        <v>0</v>
      </c>
      <c r="R1659" s="356" t="str">
        <f t="shared" si="1"/>
        <v/>
      </c>
      <c r="S1659" s="269" t="str">
        <f>IF(D1659="","",IF(OR(D1659=Plano!$A$1,D1659=Plano!$B$1),"entrada","saída"))</f>
        <v/>
      </c>
      <c r="T1659" s="406"/>
      <c r="U1659" s="406"/>
      <c r="V1659" s="269"/>
    </row>
    <row r="1660" spans="1:22" ht="12.75" customHeight="1" x14ac:dyDescent="0.2">
      <c r="A1660" s="289" t="str">
        <f>IF(B1660="","",COUNT('Diário 5º PA'!$A$5:$A$2634)+ROW()-4)</f>
        <v/>
      </c>
      <c r="B1660" s="290"/>
      <c r="C1660" s="357"/>
      <c r="D1660" s="291"/>
      <c r="E1660" s="291"/>
      <c r="F1660" s="292"/>
      <c r="G1660" s="291"/>
      <c r="H1660" s="291"/>
      <c r="I1660" s="293"/>
      <c r="J1660" s="291"/>
      <c r="K1660" s="291"/>
      <c r="L1660" s="293"/>
      <c r="M1660" s="291"/>
      <c r="N1660" s="289"/>
      <c r="O1660" s="358"/>
      <c r="P1660" s="402">
        <f t="shared" ref="P1660:Q1660" si="1656">IF(B1660=0,0,IF(YEAR(B1660)=$Q$1,MONTH(B1660)-$P$1+1,(YEAR(B1660)-$Q$1)*12-$P$1+1+MONTH(B1660)))</f>
        <v>0</v>
      </c>
      <c r="Q1660" s="280">
        <f t="shared" si="1656"/>
        <v>0</v>
      </c>
      <c r="R1660" s="356" t="str">
        <f t="shared" si="1"/>
        <v/>
      </c>
      <c r="S1660" s="269" t="str">
        <f>IF(D1660="","",IF(OR(D1660=Plano!$A$1,D1660=Plano!$B$1),"entrada","saída"))</f>
        <v/>
      </c>
      <c r="T1660" s="406"/>
      <c r="U1660" s="406"/>
      <c r="V1660" s="269"/>
    </row>
    <row r="1661" spans="1:22" ht="12.75" customHeight="1" x14ac:dyDescent="0.2">
      <c r="A1661" s="289" t="str">
        <f>IF(B1661="","",COUNT('Diário 5º PA'!$A$5:$A$2634)+ROW()-4)</f>
        <v/>
      </c>
      <c r="B1661" s="290"/>
      <c r="C1661" s="357"/>
      <c r="D1661" s="291"/>
      <c r="E1661" s="291"/>
      <c r="F1661" s="292"/>
      <c r="G1661" s="291"/>
      <c r="H1661" s="291"/>
      <c r="I1661" s="293"/>
      <c r="J1661" s="291"/>
      <c r="K1661" s="291"/>
      <c r="L1661" s="293"/>
      <c r="M1661" s="291"/>
      <c r="N1661" s="289"/>
      <c r="O1661" s="358"/>
      <c r="P1661" s="402">
        <f t="shared" ref="P1661:Q1661" si="1657">IF(B1661=0,0,IF(YEAR(B1661)=$Q$1,MONTH(B1661)-$P$1+1,(YEAR(B1661)-$Q$1)*12-$P$1+1+MONTH(B1661)))</f>
        <v>0</v>
      </c>
      <c r="Q1661" s="280">
        <f t="shared" si="1657"/>
        <v>0</v>
      </c>
      <c r="R1661" s="356" t="str">
        <f t="shared" si="1"/>
        <v/>
      </c>
      <c r="S1661" s="269" t="str">
        <f>IF(D1661="","",IF(OR(D1661=Plano!$A$1,D1661=Plano!$B$1),"entrada","saída"))</f>
        <v/>
      </c>
      <c r="T1661" s="406"/>
      <c r="U1661" s="406"/>
      <c r="V1661" s="269"/>
    </row>
    <row r="1662" spans="1:22" ht="12.75" customHeight="1" x14ac:dyDescent="0.2">
      <c r="A1662" s="289" t="str">
        <f>IF(B1662="","",COUNT('Diário 5º PA'!$A$5:$A$2634)+ROW()-4)</f>
        <v/>
      </c>
      <c r="B1662" s="290"/>
      <c r="C1662" s="357"/>
      <c r="D1662" s="291"/>
      <c r="E1662" s="291"/>
      <c r="F1662" s="292"/>
      <c r="G1662" s="291"/>
      <c r="H1662" s="291"/>
      <c r="I1662" s="293"/>
      <c r="J1662" s="291"/>
      <c r="K1662" s="291"/>
      <c r="L1662" s="293"/>
      <c r="M1662" s="291"/>
      <c r="N1662" s="289"/>
      <c r="O1662" s="358"/>
      <c r="P1662" s="402">
        <f t="shared" ref="P1662:Q1662" si="1658">IF(B1662=0,0,IF(YEAR(B1662)=$Q$1,MONTH(B1662)-$P$1+1,(YEAR(B1662)-$Q$1)*12-$P$1+1+MONTH(B1662)))</f>
        <v>0</v>
      </c>
      <c r="Q1662" s="280">
        <f t="shared" si="1658"/>
        <v>0</v>
      </c>
      <c r="R1662" s="356" t="str">
        <f t="shared" si="1"/>
        <v/>
      </c>
      <c r="S1662" s="269" t="str">
        <f>IF(D1662="","",IF(OR(D1662=Plano!$A$1,D1662=Plano!$B$1),"entrada","saída"))</f>
        <v/>
      </c>
      <c r="T1662" s="406"/>
      <c r="U1662" s="406"/>
      <c r="V1662" s="269"/>
    </row>
    <row r="1663" spans="1:22" ht="12.75" customHeight="1" x14ac:dyDescent="0.2">
      <c r="A1663" s="289" t="str">
        <f>IF(B1663="","",COUNT('Diário 5º PA'!$A$5:$A$2634)+ROW()-4)</f>
        <v/>
      </c>
      <c r="B1663" s="290"/>
      <c r="C1663" s="357"/>
      <c r="D1663" s="291"/>
      <c r="E1663" s="291"/>
      <c r="F1663" s="292"/>
      <c r="G1663" s="291"/>
      <c r="H1663" s="291"/>
      <c r="I1663" s="293"/>
      <c r="J1663" s="291"/>
      <c r="K1663" s="291"/>
      <c r="L1663" s="293"/>
      <c r="M1663" s="291"/>
      <c r="N1663" s="289"/>
      <c r="O1663" s="358"/>
      <c r="P1663" s="402">
        <f t="shared" ref="P1663:Q1663" si="1659">IF(B1663=0,0,IF(YEAR(B1663)=$Q$1,MONTH(B1663)-$P$1+1,(YEAR(B1663)-$Q$1)*12-$P$1+1+MONTH(B1663)))</f>
        <v>0</v>
      </c>
      <c r="Q1663" s="280">
        <f t="shared" si="1659"/>
        <v>0</v>
      </c>
      <c r="R1663" s="356" t="str">
        <f t="shared" si="1"/>
        <v/>
      </c>
      <c r="S1663" s="269" t="str">
        <f>IF(D1663="","",IF(OR(D1663=Plano!$A$1,D1663=Plano!$B$1),"entrada","saída"))</f>
        <v/>
      </c>
      <c r="T1663" s="406"/>
      <c r="U1663" s="406"/>
      <c r="V1663" s="269"/>
    </row>
    <row r="1664" spans="1:22" ht="12.75" customHeight="1" x14ac:dyDescent="0.2">
      <c r="A1664" s="289" t="str">
        <f>IF(B1664="","",COUNT('Diário 5º PA'!$A$5:$A$2634)+ROW()-4)</f>
        <v/>
      </c>
      <c r="B1664" s="290"/>
      <c r="C1664" s="357"/>
      <c r="D1664" s="291"/>
      <c r="E1664" s="291"/>
      <c r="F1664" s="292"/>
      <c r="G1664" s="291"/>
      <c r="H1664" s="291"/>
      <c r="I1664" s="293"/>
      <c r="J1664" s="291"/>
      <c r="K1664" s="291"/>
      <c r="L1664" s="293"/>
      <c r="M1664" s="291"/>
      <c r="N1664" s="289"/>
      <c r="O1664" s="358"/>
      <c r="P1664" s="402">
        <f t="shared" ref="P1664:Q1664" si="1660">IF(B1664=0,0,IF(YEAR(B1664)=$Q$1,MONTH(B1664)-$P$1+1,(YEAR(B1664)-$Q$1)*12-$P$1+1+MONTH(B1664)))</f>
        <v>0</v>
      </c>
      <c r="Q1664" s="280">
        <f t="shared" si="1660"/>
        <v>0</v>
      </c>
      <c r="R1664" s="356" t="str">
        <f t="shared" si="1"/>
        <v/>
      </c>
      <c r="S1664" s="269" t="str">
        <f>IF(D1664="","",IF(OR(D1664=Plano!$A$1,D1664=Plano!$B$1),"entrada","saída"))</f>
        <v/>
      </c>
      <c r="T1664" s="406"/>
      <c r="U1664" s="406"/>
      <c r="V1664" s="269"/>
    </row>
    <row r="1665" spans="1:22" ht="12.75" customHeight="1" x14ac:dyDescent="0.2">
      <c r="A1665" s="289" t="str">
        <f>IF(B1665="","",COUNT('Diário 5º PA'!$A$5:$A$2634)+ROW()-4)</f>
        <v/>
      </c>
      <c r="B1665" s="290"/>
      <c r="C1665" s="357"/>
      <c r="D1665" s="291"/>
      <c r="E1665" s="291"/>
      <c r="F1665" s="292"/>
      <c r="G1665" s="291"/>
      <c r="H1665" s="291"/>
      <c r="I1665" s="293"/>
      <c r="J1665" s="291"/>
      <c r="K1665" s="291"/>
      <c r="L1665" s="293"/>
      <c r="M1665" s="291"/>
      <c r="N1665" s="289"/>
      <c r="O1665" s="358"/>
      <c r="P1665" s="402">
        <f t="shared" ref="P1665:Q1665" si="1661">IF(B1665=0,0,IF(YEAR(B1665)=$Q$1,MONTH(B1665)-$P$1+1,(YEAR(B1665)-$Q$1)*12-$P$1+1+MONTH(B1665)))</f>
        <v>0</v>
      </c>
      <c r="Q1665" s="280">
        <f t="shared" si="1661"/>
        <v>0</v>
      </c>
      <c r="R1665" s="356" t="str">
        <f t="shared" si="1"/>
        <v/>
      </c>
      <c r="S1665" s="269" t="str">
        <f>IF(D1665="","",IF(OR(D1665=Plano!$A$1,D1665=Plano!$B$1),"entrada","saída"))</f>
        <v/>
      </c>
      <c r="T1665" s="406"/>
      <c r="U1665" s="406"/>
      <c r="V1665" s="269"/>
    </row>
    <row r="1666" spans="1:22" ht="12.75" customHeight="1" x14ac:dyDescent="0.2">
      <c r="A1666" s="289" t="str">
        <f>IF(B1666="","",COUNT('Diário 5º PA'!$A$5:$A$2634)+ROW()-4)</f>
        <v/>
      </c>
      <c r="B1666" s="290"/>
      <c r="C1666" s="357"/>
      <c r="D1666" s="291"/>
      <c r="E1666" s="291"/>
      <c r="F1666" s="292"/>
      <c r="G1666" s="291"/>
      <c r="H1666" s="291"/>
      <c r="I1666" s="293"/>
      <c r="J1666" s="291"/>
      <c r="K1666" s="291"/>
      <c r="L1666" s="293"/>
      <c r="M1666" s="291"/>
      <c r="N1666" s="289"/>
      <c r="O1666" s="358"/>
      <c r="P1666" s="402">
        <f t="shared" ref="P1666:Q1666" si="1662">IF(B1666=0,0,IF(YEAR(B1666)=$Q$1,MONTH(B1666)-$P$1+1,(YEAR(B1666)-$Q$1)*12-$P$1+1+MONTH(B1666)))</f>
        <v>0</v>
      </c>
      <c r="Q1666" s="280">
        <f t="shared" si="1662"/>
        <v>0</v>
      </c>
      <c r="R1666" s="356" t="str">
        <f t="shared" si="1"/>
        <v/>
      </c>
      <c r="S1666" s="269" t="str">
        <f>IF(D1666="","",IF(OR(D1666=Plano!$A$1,D1666=Plano!$B$1),"entrada","saída"))</f>
        <v/>
      </c>
      <c r="T1666" s="406"/>
      <c r="U1666" s="406"/>
      <c r="V1666" s="269"/>
    </row>
    <row r="1667" spans="1:22" ht="12.75" customHeight="1" x14ac:dyDescent="0.2">
      <c r="A1667" s="289" t="str">
        <f>IF(B1667="","",COUNT('Diário 5º PA'!$A$5:$A$2634)+ROW()-4)</f>
        <v/>
      </c>
      <c r="B1667" s="290"/>
      <c r="C1667" s="357"/>
      <c r="D1667" s="291"/>
      <c r="E1667" s="291"/>
      <c r="F1667" s="292"/>
      <c r="G1667" s="291"/>
      <c r="H1667" s="291"/>
      <c r="I1667" s="293"/>
      <c r="J1667" s="291"/>
      <c r="K1667" s="291"/>
      <c r="L1667" s="293"/>
      <c r="M1667" s="291"/>
      <c r="N1667" s="289"/>
      <c r="O1667" s="358"/>
      <c r="P1667" s="402">
        <f t="shared" ref="P1667:Q1667" si="1663">IF(B1667=0,0,IF(YEAR(B1667)=$Q$1,MONTH(B1667)-$P$1+1,(YEAR(B1667)-$Q$1)*12-$P$1+1+MONTH(B1667)))</f>
        <v>0</v>
      </c>
      <c r="Q1667" s="280">
        <f t="shared" si="1663"/>
        <v>0</v>
      </c>
      <c r="R1667" s="356" t="str">
        <f t="shared" si="1"/>
        <v/>
      </c>
      <c r="S1667" s="269" t="str">
        <f>IF(D1667="","",IF(OR(D1667=Plano!$A$1,D1667=Plano!$B$1),"entrada","saída"))</f>
        <v/>
      </c>
      <c r="T1667" s="406"/>
      <c r="U1667" s="406"/>
      <c r="V1667" s="269"/>
    </row>
    <row r="1668" spans="1:22" ht="12.75" customHeight="1" x14ac:dyDescent="0.2">
      <c r="A1668" s="289" t="str">
        <f>IF(B1668="","",COUNT('Diário 5º PA'!$A$5:$A$2634)+ROW()-4)</f>
        <v/>
      </c>
      <c r="B1668" s="290"/>
      <c r="C1668" s="357"/>
      <c r="D1668" s="291"/>
      <c r="E1668" s="291"/>
      <c r="F1668" s="292"/>
      <c r="G1668" s="291"/>
      <c r="H1668" s="291"/>
      <c r="I1668" s="293"/>
      <c r="J1668" s="291"/>
      <c r="K1668" s="291"/>
      <c r="L1668" s="293"/>
      <c r="M1668" s="291"/>
      <c r="N1668" s="289"/>
      <c r="O1668" s="358"/>
      <c r="P1668" s="402">
        <f t="shared" ref="P1668:Q1668" si="1664">IF(B1668=0,0,IF(YEAR(B1668)=$Q$1,MONTH(B1668)-$P$1+1,(YEAR(B1668)-$Q$1)*12-$P$1+1+MONTH(B1668)))</f>
        <v>0</v>
      </c>
      <c r="Q1668" s="280">
        <f t="shared" si="1664"/>
        <v>0</v>
      </c>
      <c r="R1668" s="356" t="str">
        <f t="shared" si="1"/>
        <v/>
      </c>
      <c r="S1668" s="269" t="str">
        <f>IF(D1668="","",IF(OR(D1668=Plano!$A$1,D1668=Plano!$B$1),"entrada","saída"))</f>
        <v/>
      </c>
      <c r="T1668" s="406"/>
      <c r="U1668" s="406"/>
      <c r="V1668" s="269"/>
    </row>
    <row r="1669" spans="1:22" ht="12.75" customHeight="1" x14ac:dyDescent="0.2">
      <c r="A1669" s="289" t="str">
        <f>IF(B1669="","",COUNT('Diário 5º PA'!$A$5:$A$2634)+ROW()-4)</f>
        <v/>
      </c>
      <c r="B1669" s="290"/>
      <c r="C1669" s="357"/>
      <c r="D1669" s="291"/>
      <c r="E1669" s="291"/>
      <c r="F1669" s="292"/>
      <c r="G1669" s="291"/>
      <c r="H1669" s="291"/>
      <c r="I1669" s="293"/>
      <c r="J1669" s="291"/>
      <c r="K1669" s="291"/>
      <c r="L1669" s="293"/>
      <c r="M1669" s="291"/>
      <c r="N1669" s="289"/>
      <c r="O1669" s="358"/>
      <c r="P1669" s="402">
        <f t="shared" ref="P1669:Q1669" si="1665">IF(B1669=0,0,IF(YEAR(B1669)=$Q$1,MONTH(B1669)-$P$1+1,(YEAR(B1669)-$Q$1)*12-$P$1+1+MONTH(B1669)))</f>
        <v>0</v>
      </c>
      <c r="Q1669" s="280">
        <f t="shared" si="1665"/>
        <v>0</v>
      </c>
      <c r="R1669" s="356" t="str">
        <f t="shared" si="1"/>
        <v/>
      </c>
      <c r="S1669" s="269" t="str">
        <f>IF(D1669="","",IF(OR(D1669=Plano!$A$1,D1669=Plano!$B$1),"entrada","saída"))</f>
        <v/>
      </c>
      <c r="T1669" s="406"/>
      <c r="U1669" s="406"/>
      <c r="V1669" s="269"/>
    </row>
    <row r="1670" spans="1:22" ht="12.75" customHeight="1" x14ac:dyDescent="0.2">
      <c r="A1670" s="289" t="str">
        <f>IF(B1670="","",COUNT('Diário 5º PA'!$A$5:$A$2634)+ROW()-4)</f>
        <v/>
      </c>
      <c r="B1670" s="290"/>
      <c r="C1670" s="357"/>
      <c r="D1670" s="291"/>
      <c r="E1670" s="291"/>
      <c r="F1670" s="292"/>
      <c r="G1670" s="291"/>
      <c r="H1670" s="291"/>
      <c r="I1670" s="293"/>
      <c r="J1670" s="291"/>
      <c r="K1670" s="291"/>
      <c r="L1670" s="293"/>
      <c r="M1670" s="291"/>
      <c r="N1670" s="289"/>
      <c r="O1670" s="358"/>
      <c r="P1670" s="402">
        <f t="shared" ref="P1670:Q1670" si="1666">IF(B1670=0,0,IF(YEAR(B1670)=$Q$1,MONTH(B1670)-$P$1+1,(YEAR(B1670)-$Q$1)*12-$P$1+1+MONTH(B1670)))</f>
        <v>0</v>
      </c>
      <c r="Q1670" s="280">
        <f t="shared" si="1666"/>
        <v>0</v>
      </c>
      <c r="R1670" s="356" t="str">
        <f t="shared" si="1"/>
        <v/>
      </c>
      <c r="S1670" s="269" t="str">
        <f>IF(D1670="","",IF(OR(D1670=Plano!$A$1,D1670=Plano!$B$1),"entrada","saída"))</f>
        <v/>
      </c>
      <c r="T1670" s="406"/>
      <c r="U1670" s="406"/>
      <c r="V1670" s="269"/>
    </row>
    <row r="1671" spans="1:22" ht="12.75" customHeight="1" x14ac:dyDescent="0.2">
      <c r="A1671" s="289" t="str">
        <f>IF(B1671="","",COUNT('Diário 5º PA'!$A$5:$A$2634)+ROW()-4)</f>
        <v/>
      </c>
      <c r="B1671" s="290"/>
      <c r="C1671" s="357"/>
      <c r="D1671" s="291"/>
      <c r="E1671" s="291"/>
      <c r="F1671" s="292"/>
      <c r="G1671" s="291"/>
      <c r="H1671" s="291"/>
      <c r="I1671" s="293"/>
      <c r="J1671" s="291"/>
      <c r="K1671" s="291"/>
      <c r="L1671" s="293"/>
      <c r="M1671" s="291"/>
      <c r="N1671" s="289"/>
      <c r="O1671" s="358"/>
      <c r="P1671" s="402">
        <f t="shared" ref="P1671:Q1671" si="1667">IF(B1671=0,0,IF(YEAR(B1671)=$Q$1,MONTH(B1671)-$P$1+1,(YEAR(B1671)-$Q$1)*12-$P$1+1+MONTH(B1671)))</f>
        <v>0</v>
      </c>
      <c r="Q1671" s="280">
        <f t="shared" si="1667"/>
        <v>0</v>
      </c>
      <c r="R1671" s="356" t="str">
        <f t="shared" si="1"/>
        <v/>
      </c>
      <c r="S1671" s="269" t="str">
        <f>IF(D1671="","",IF(OR(D1671=Plano!$A$1,D1671=Plano!$B$1),"entrada","saída"))</f>
        <v/>
      </c>
      <c r="T1671" s="406"/>
      <c r="U1671" s="406"/>
      <c r="V1671" s="269"/>
    </row>
    <row r="1672" spans="1:22" ht="12.75" customHeight="1" x14ac:dyDescent="0.2">
      <c r="A1672" s="289" t="str">
        <f>IF(B1672="","",COUNT('Diário 5º PA'!$A$5:$A$2634)+ROW()-4)</f>
        <v/>
      </c>
      <c r="B1672" s="290"/>
      <c r="C1672" s="357"/>
      <c r="D1672" s="291"/>
      <c r="E1672" s="291"/>
      <c r="F1672" s="292"/>
      <c r="G1672" s="291"/>
      <c r="H1672" s="291"/>
      <c r="I1672" s="293"/>
      <c r="J1672" s="291"/>
      <c r="K1672" s="291"/>
      <c r="L1672" s="293"/>
      <c r="M1672" s="291"/>
      <c r="N1672" s="289"/>
      <c r="O1672" s="358"/>
      <c r="P1672" s="402">
        <f t="shared" ref="P1672:Q1672" si="1668">IF(B1672=0,0,IF(YEAR(B1672)=$Q$1,MONTH(B1672)-$P$1+1,(YEAR(B1672)-$Q$1)*12-$P$1+1+MONTH(B1672)))</f>
        <v>0</v>
      </c>
      <c r="Q1672" s="280">
        <f t="shared" si="1668"/>
        <v>0</v>
      </c>
      <c r="R1672" s="356" t="str">
        <f t="shared" si="1"/>
        <v/>
      </c>
      <c r="S1672" s="269" t="str">
        <f>IF(D1672="","",IF(OR(D1672=Plano!$A$1,D1672=Plano!$B$1),"entrada","saída"))</f>
        <v/>
      </c>
      <c r="T1672" s="406"/>
      <c r="U1672" s="406"/>
      <c r="V1672" s="269"/>
    </row>
    <row r="1673" spans="1:22" ht="12.75" customHeight="1" x14ac:dyDescent="0.2">
      <c r="A1673" s="289" t="str">
        <f>IF(B1673="","",COUNT('Diário 5º PA'!$A$5:$A$2634)+ROW()-4)</f>
        <v/>
      </c>
      <c r="B1673" s="290"/>
      <c r="C1673" s="357"/>
      <c r="D1673" s="291"/>
      <c r="E1673" s="291"/>
      <c r="F1673" s="292"/>
      <c r="G1673" s="291"/>
      <c r="H1673" s="291"/>
      <c r="I1673" s="293"/>
      <c r="J1673" s="291"/>
      <c r="K1673" s="291"/>
      <c r="L1673" s="293"/>
      <c r="M1673" s="291"/>
      <c r="N1673" s="289"/>
      <c r="O1673" s="358"/>
      <c r="P1673" s="402">
        <f t="shared" ref="P1673:Q1673" si="1669">IF(B1673=0,0,IF(YEAR(B1673)=$Q$1,MONTH(B1673)-$P$1+1,(YEAR(B1673)-$Q$1)*12-$P$1+1+MONTH(B1673)))</f>
        <v>0</v>
      </c>
      <c r="Q1673" s="280">
        <f t="shared" si="1669"/>
        <v>0</v>
      </c>
      <c r="R1673" s="356" t="str">
        <f t="shared" si="1"/>
        <v/>
      </c>
      <c r="S1673" s="269" t="str">
        <f>IF(D1673="","",IF(OR(D1673=Plano!$A$1,D1673=Plano!$B$1),"entrada","saída"))</f>
        <v/>
      </c>
      <c r="T1673" s="406"/>
      <c r="U1673" s="406"/>
      <c r="V1673" s="269"/>
    </row>
    <row r="1674" spans="1:22" ht="12.75" customHeight="1" x14ac:dyDescent="0.2">
      <c r="A1674" s="289" t="str">
        <f>IF(B1674="","",COUNT('Diário 5º PA'!$A$5:$A$2634)+ROW()-4)</f>
        <v/>
      </c>
      <c r="B1674" s="290"/>
      <c r="C1674" s="357"/>
      <c r="D1674" s="291"/>
      <c r="E1674" s="291"/>
      <c r="F1674" s="292"/>
      <c r="G1674" s="291"/>
      <c r="H1674" s="291"/>
      <c r="I1674" s="293"/>
      <c r="J1674" s="291"/>
      <c r="K1674" s="291"/>
      <c r="L1674" s="293"/>
      <c r="M1674" s="291"/>
      <c r="N1674" s="289"/>
      <c r="O1674" s="358"/>
      <c r="P1674" s="402">
        <f t="shared" ref="P1674:Q1674" si="1670">IF(B1674=0,0,IF(YEAR(B1674)=$Q$1,MONTH(B1674)-$P$1+1,(YEAR(B1674)-$Q$1)*12-$P$1+1+MONTH(B1674)))</f>
        <v>0</v>
      </c>
      <c r="Q1674" s="280">
        <f t="shared" si="1670"/>
        <v>0</v>
      </c>
      <c r="R1674" s="356" t="str">
        <f t="shared" si="1"/>
        <v/>
      </c>
      <c r="S1674" s="269" t="str">
        <f>IF(D1674="","",IF(OR(D1674=Plano!$A$1,D1674=Plano!$B$1),"entrada","saída"))</f>
        <v/>
      </c>
      <c r="T1674" s="406"/>
      <c r="U1674" s="406"/>
      <c r="V1674" s="269"/>
    </row>
    <row r="1675" spans="1:22" ht="12.75" customHeight="1" x14ac:dyDescent="0.2">
      <c r="A1675" s="289" t="str">
        <f>IF(B1675="","",COUNT('Diário 5º PA'!$A$5:$A$2634)+ROW()-4)</f>
        <v/>
      </c>
      <c r="B1675" s="290"/>
      <c r="C1675" s="357"/>
      <c r="D1675" s="291"/>
      <c r="E1675" s="291"/>
      <c r="F1675" s="292"/>
      <c r="G1675" s="291"/>
      <c r="H1675" s="291"/>
      <c r="I1675" s="293"/>
      <c r="J1675" s="291"/>
      <c r="K1675" s="291"/>
      <c r="L1675" s="293"/>
      <c r="M1675" s="291"/>
      <c r="N1675" s="289"/>
      <c r="O1675" s="358"/>
      <c r="P1675" s="402">
        <f t="shared" ref="P1675:Q1675" si="1671">IF(B1675=0,0,IF(YEAR(B1675)=$Q$1,MONTH(B1675)-$P$1+1,(YEAR(B1675)-$Q$1)*12-$P$1+1+MONTH(B1675)))</f>
        <v>0</v>
      </c>
      <c r="Q1675" s="280">
        <f t="shared" si="1671"/>
        <v>0</v>
      </c>
      <c r="R1675" s="356" t="str">
        <f t="shared" si="1"/>
        <v/>
      </c>
      <c r="S1675" s="269" t="str">
        <f>IF(D1675="","",IF(OR(D1675=Plano!$A$1,D1675=Plano!$B$1),"entrada","saída"))</f>
        <v/>
      </c>
      <c r="T1675" s="406"/>
      <c r="U1675" s="406"/>
      <c r="V1675" s="269"/>
    </row>
    <row r="1676" spans="1:22" ht="12.75" customHeight="1" x14ac:dyDescent="0.2">
      <c r="A1676" s="289" t="str">
        <f>IF(B1676="","",COUNT('Diário 5º PA'!$A$5:$A$2634)+ROW()-4)</f>
        <v/>
      </c>
      <c r="B1676" s="290"/>
      <c r="C1676" s="357"/>
      <c r="D1676" s="291"/>
      <c r="E1676" s="291"/>
      <c r="F1676" s="292"/>
      <c r="G1676" s="291"/>
      <c r="H1676" s="291"/>
      <c r="I1676" s="293"/>
      <c r="J1676" s="291"/>
      <c r="K1676" s="291"/>
      <c r="L1676" s="293"/>
      <c r="M1676" s="291"/>
      <c r="N1676" s="289"/>
      <c r="O1676" s="358"/>
      <c r="P1676" s="402">
        <f t="shared" ref="P1676:Q1676" si="1672">IF(B1676=0,0,IF(YEAR(B1676)=$Q$1,MONTH(B1676)-$P$1+1,(YEAR(B1676)-$Q$1)*12-$P$1+1+MONTH(B1676)))</f>
        <v>0</v>
      </c>
      <c r="Q1676" s="280">
        <f t="shared" si="1672"/>
        <v>0</v>
      </c>
      <c r="R1676" s="356" t="str">
        <f t="shared" si="1"/>
        <v/>
      </c>
      <c r="S1676" s="269" t="str">
        <f>IF(D1676="","",IF(OR(D1676=Plano!$A$1,D1676=Plano!$B$1),"entrada","saída"))</f>
        <v/>
      </c>
      <c r="T1676" s="406"/>
      <c r="U1676" s="406"/>
      <c r="V1676" s="269"/>
    </row>
    <row r="1677" spans="1:22" ht="12.75" customHeight="1" x14ac:dyDescent="0.2">
      <c r="A1677" s="289" t="str">
        <f>IF(B1677="","",COUNT('Diário 5º PA'!$A$5:$A$2634)+ROW()-4)</f>
        <v/>
      </c>
      <c r="B1677" s="290"/>
      <c r="C1677" s="357"/>
      <c r="D1677" s="291"/>
      <c r="E1677" s="291"/>
      <c r="F1677" s="292"/>
      <c r="G1677" s="291"/>
      <c r="H1677" s="291"/>
      <c r="I1677" s="293"/>
      <c r="J1677" s="291"/>
      <c r="K1677" s="291"/>
      <c r="L1677" s="293"/>
      <c r="M1677" s="291"/>
      <c r="N1677" s="289"/>
      <c r="O1677" s="358"/>
      <c r="P1677" s="402">
        <f t="shared" ref="P1677:Q1677" si="1673">IF(B1677=0,0,IF(YEAR(B1677)=$Q$1,MONTH(B1677)-$P$1+1,(YEAR(B1677)-$Q$1)*12-$P$1+1+MONTH(B1677)))</f>
        <v>0</v>
      </c>
      <c r="Q1677" s="280">
        <f t="shared" si="1673"/>
        <v>0</v>
      </c>
      <c r="R1677" s="356" t="str">
        <f t="shared" si="1"/>
        <v/>
      </c>
      <c r="S1677" s="269" t="str">
        <f>IF(D1677="","",IF(OR(D1677=Plano!$A$1,D1677=Plano!$B$1),"entrada","saída"))</f>
        <v/>
      </c>
      <c r="T1677" s="406"/>
      <c r="U1677" s="406"/>
      <c r="V1677" s="269"/>
    </row>
    <row r="1678" spans="1:22" ht="12.75" customHeight="1" x14ac:dyDescent="0.2">
      <c r="A1678" s="289" t="str">
        <f>IF(B1678="","",COUNT('Diário 5º PA'!$A$5:$A$2634)+ROW()-4)</f>
        <v/>
      </c>
      <c r="B1678" s="290"/>
      <c r="C1678" s="357"/>
      <c r="D1678" s="291"/>
      <c r="E1678" s="291"/>
      <c r="F1678" s="292"/>
      <c r="G1678" s="291"/>
      <c r="H1678" s="291"/>
      <c r="I1678" s="293"/>
      <c r="J1678" s="291"/>
      <c r="K1678" s="291"/>
      <c r="L1678" s="293"/>
      <c r="M1678" s="291"/>
      <c r="N1678" s="289"/>
      <c r="O1678" s="358"/>
      <c r="P1678" s="402">
        <f t="shared" ref="P1678:Q1678" si="1674">IF(B1678=0,0,IF(YEAR(B1678)=$Q$1,MONTH(B1678)-$P$1+1,(YEAR(B1678)-$Q$1)*12-$P$1+1+MONTH(B1678)))</f>
        <v>0</v>
      </c>
      <c r="Q1678" s="280">
        <f t="shared" si="1674"/>
        <v>0</v>
      </c>
      <c r="R1678" s="356" t="str">
        <f t="shared" si="1"/>
        <v/>
      </c>
      <c r="S1678" s="269" t="str">
        <f>IF(D1678="","",IF(OR(D1678=Plano!$A$1,D1678=Plano!$B$1),"entrada","saída"))</f>
        <v/>
      </c>
      <c r="T1678" s="406"/>
      <c r="U1678" s="406"/>
      <c r="V1678" s="269"/>
    </row>
    <row r="1679" spans="1:22" ht="12.75" customHeight="1" x14ac:dyDescent="0.2">
      <c r="A1679" s="289" t="str">
        <f>IF(B1679="","",COUNT('Diário 5º PA'!$A$5:$A$2634)+ROW()-4)</f>
        <v/>
      </c>
      <c r="B1679" s="290"/>
      <c r="C1679" s="357"/>
      <c r="D1679" s="291"/>
      <c r="E1679" s="291"/>
      <c r="F1679" s="292"/>
      <c r="G1679" s="291"/>
      <c r="H1679" s="291"/>
      <c r="I1679" s="293"/>
      <c r="J1679" s="291"/>
      <c r="K1679" s="291"/>
      <c r="L1679" s="293"/>
      <c r="M1679" s="291"/>
      <c r="N1679" s="289"/>
      <c r="O1679" s="358"/>
      <c r="P1679" s="402">
        <f t="shared" ref="P1679:Q1679" si="1675">IF(B1679=0,0,IF(YEAR(B1679)=$Q$1,MONTH(B1679)-$P$1+1,(YEAR(B1679)-$Q$1)*12-$P$1+1+MONTH(B1679)))</f>
        <v>0</v>
      </c>
      <c r="Q1679" s="280">
        <f t="shared" si="1675"/>
        <v>0</v>
      </c>
      <c r="R1679" s="356" t="str">
        <f t="shared" si="1"/>
        <v/>
      </c>
      <c r="S1679" s="269" t="str">
        <f>IF(D1679="","",IF(OR(D1679=Plano!$A$1,D1679=Plano!$B$1),"entrada","saída"))</f>
        <v/>
      </c>
      <c r="T1679" s="406"/>
      <c r="U1679" s="406"/>
      <c r="V1679" s="269"/>
    </row>
    <row r="1680" spans="1:22" ht="12.75" customHeight="1" x14ac:dyDescent="0.2">
      <c r="A1680" s="289" t="str">
        <f>IF(B1680="","",COUNT('Diário 5º PA'!$A$5:$A$2634)+ROW()-4)</f>
        <v/>
      </c>
      <c r="B1680" s="290"/>
      <c r="C1680" s="357"/>
      <c r="D1680" s="291"/>
      <c r="E1680" s="291"/>
      <c r="F1680" s="292"/>
      <c r="G1680" s="291"/>
      <c r="H1680" s="291"/>
      <c r="I1680" s="293"/>
      <c r="J1680" s="291"/>
      <c r="K1680" s="291"/>
      <c r="L1680" s="293"/>
      <c r="M1680" s="291"/>
      <c r="N1680" s="289"/>
      <c r="O1680" s="358"/>
      <c r="P1680" s="402">
        <f t="shared" ref="P1680:Q1680" si="1676">IF(B1680=0,0,IF(YEAR(B1680)=$Q$1,MONTH(B1680)-$P$1+1,(YEAR(B1680)-$Q$1)*12-$P$1+1+MONTH(B1680)))</f>
        <v>0</v>
      </c>
      <c r="Q1680" s="280">
        <f t="shared" si="1676"/>
        <v>0</v>
      </c>
      <c r="R1680" s="356" t="str">
        <f t="shared" si="1"/>
        <v/>
      </c>
      <c r="S1680" s="269" t="str">
        <f>IF(D1680="","",IF(OR(D1680=Plano!$A$1,D1680=Plano!$B$1),"entrada","saída"))</f>
        <v/>
      </c>
      <c r="T1680" s="406"/>
      <c r="U1680" s="406"/>
      <c r="V1680" s="269"/>
    </row>
    <row r="1681" spans="1:22" ht="12.75" customHeight="1" x14ac:dyDescent="0.2">
      <c r="A1681" s="289" t="str">
        <f>IF(B1681="","",COUNT('Diário 5º PA'!$A$5:$A$2634)+ROW()-4)</f>
        <v/>
      </c>
      <c r="B1681" s="290"/>
      <c r="C1681" s="357"/>
      <c r="D1681" s="291"/>
      <c r="E1681" s="291"/>
      <c r="F1681" s="292"/>
      <c r="G1681" s="291"/>
      <c r="H1681" s="291"/>
      <c r="I1681" s="293"/>
      <c r="J1681" s="291"/>
      <c r="K1681" s="291"/>
      <c r="L1681" s="293"/>
      <c r="M1681" s="291"/>
      <c r="N1681" s="289"/>
      <c r="O1681" s="358"/>
      <c r="P1681" s="402">
        <f t="shared" ref="P1681:Q1681" si="1677">IF(B1681=0,0,IF(YEAR(B1681)=$Q$1,MONTH(B1681)-$P$1+1,(YEAR(B1681)-$Q$1)*12-$P$1+1+MONTH(B1681)))</f>
        <v>0</v>
      </c>
      <c r="Q1681" s="280">
        <f t="shared" si="1677"/>
        <v>0</v>
      </c>
      <c r="R1681" s="356" t="str">
        <f t="shared" si="1"/>
        <v/>
      </c>
      <c r="S1681" s="269" t="str">
        <f>IF(D1681="","",IF(OR(D1681=Plano!$A$1,D1681=Plano!$B$1),"entrada","saída"))</f>
        <v/>
      </c>
      <c r="T1681" s="406"/>
      <c r="U1681" s="406"/>
      <c r="V1681" s="269"/>
    </row>
    <row r="1682" spans="1:22" ht="12.75" customHeight="1" x14ac:dyDescent="0.2">
      <c r="A1682" s="289" t="str">
        <f>IF(B1682="","",COUNT('Diário 5º PA'!$A$5:$A$2634)+ROW()-4)</f>
        <v/>
      </c>
      <c r="B1682" s="290"/>
      <c r="C1682" s="357"/>
      <c r="D1682" s="291"/>
      <c r="E1682" s="291"/>
      <c r="F1682" s="292"/>
      <c r="G1682" s="291"/>
      <c r="H1682" s="291"/>
      <c r="I1682" s="293"/>
      <c r="J1682" s="291"/>
      <c r="K1682" s="291"/>
      <c r="L1682" s="293"/>
      <c r="M1682" s="291"/>
      <c r="N1682" s="289"/>
      <c r="O1682" s="358"/>
      <c r="P1682" s="402">
        <f t="shared" ref="P1682:Q1682" si="1678">IF(B1682=0,0,IF(YEAR(B1682)=$Q$1,MONTH(B1682)-$P$1+1,(YEAR(B1682)-$Q$1)*12-$P$1+1+MONTH(B1682)))</f>
        <v>0</v>
      </c>
      <c r="Q1682" s="280">
        <f t="shared" si="1678"/>
        <v>0</v>
      </c>
      <c r="R1682" s="356" t="str">
        <f t="shared" si="1"/>
        <v/>
      </c>
      <c r="S1682" s="269" t="str">
        <f>IF(D1682="","",IF(OR(D1682=Plano!$A$1,D1682=Plano!$B$1),"entrada","saída"))</f>
        <v/>
      </c>
      <c r="T1682" s="406"/>
      <c r="U1682" s="406"/>
      <c r="V1682" s="269"/>
    </row>
    <row r="1683" spans="1:22" ht="12.75" customHeight="1" x14ac:dyDescent="0.2">
      <c r="A1683" s="289" t="str">
        <f>IF(B1683="","",COUNT('Diário 5º PA'!$A$5:$A$2634)+ROW()-4)</f>
        <v/>
      </c>
      <c r="B1683" s="290"/>
      <c r="C1683" s="357"/>
      <c r="D1683" s="291"/>
      <c r="E1683" s="291"/>
      <c r="F1683" s="292"/>
      <c r="G1683" s="291"/>
      <c r="H1683" s="291"/>
      <c r="I1683" s="293"/>
      <c r="J1683" s="291"/>
      <c r="K1683" s="291"/>
      <c r="L1683" s="293"/>
      <c r="M1683" s="291"/>
      <c r="N1683" s="289"/>
      <c r="O1683" s="358"/>
      <c r="P1683" s="402">
        <f t="shared" ref="P1683:Q1683" si="1679">IF(B1683=0,0,IF(YEAR(B1683)=$Q$1,MONTH(B1683)-$P$1+1,(YEAR(B1683)-$Q$1)*12-$P$1+1+MONTH(B1683)))</f>
        <v>0</v>
      </c>
      <c r="Q1683" s="280">
        <f t="shared" si="1679"/>
        <v>0</v>
      </c>
      <c r="R1683" s="356" t="str">
        <f t="shared" si="1"/>
        <v/>
      </c>
      <c r="S1683" s="269" t="str">
        <f>IF(D1683="","",IF(OR(D1683=Plano!$A$1,D1683=Plano!$B$1),"entrada","saída"))</f>
        <v/>
      </c>
      <c r="T1683" s="406"/>
      <c r="U1683" s="406"/>
      <c r="V1683" s="269"/>
    </row>
    <row r="1684" spans="1:22" ht="12.75" customHeight="1" x14ac:dyDescent="0.2">
      <c r="A1684" s="289" t="str">
        <f>IF(B1684="","",COUNT('Diário 5º PA'!$A$5:$A$2634)+ROW()-4)</f>
        <v/>
      </c>
      <c r="B1684" s="290"/>
      <c r="C1684" s="357"/>
      <c r="D1684" s="291"/>
      <c r="E1684" s="291"/>
      <c r="F1684" s="292"/>
      <c r="G1684" s="291"/>
      <c r="H1684" s="291"/>
      <c r="I1684" s="293"/>
      <c r="J1684" s="291"/>
      <c r="K1684" s="291"/>
      <c r="L1684" s="293"/>
      <c r="M1684" s="291"/>
      <c r="N1684" s="289"/>
      <c r="O1684" s="358"/>
      <c r="P1684" s="402">
        <f t="shared" ref="P1684:Q1684" si="1680">IF(B1684=0,0,IF(YEAR(B1684)=$Q$1,MONTH(B1684)-$P$1+1,(YEAR(B1684)-$Q$1)*12-$P$1+1+MONTH(B1684)))</f>
        <v>0</v>
      </c>
      <c r="Q1684" s="280">
        <f t="shared" si="1680"/>
        <v>0</v>
      </c>
      <c r="R1684" s="356" t="str">
        <f t="shared" si="1"/>
        <v/>
      </c>
      <c r="S1684" s="269" t="str">
        <f>IF(D1684="","",IF(OR(D1684=Plano!$A$1,D1684=Plano!$B$1),"entrada","saída"))</f>
        <v/>
      </c>
      <c r="T1684" s="406"/>
      <c r="U1684" s="406"/>
      <c r="V1684" s="269"/>
    </row>
    <row r="1685" spans="1:22" ht="12.75" customHeight="1" x14ac:dyDescent="0.2">
      <c r="A1685" s="289" t="str">
        <f>IF(B1685="","",COUNT('Diário 5º PA'!$A$5:$A$2634)+ROW()-4)</f>
        <v/>
      </c>
      <c r="B1685" s="290"/>
      <c r="C1685" s="357"/>
      <c r="D1685" s="291"/>
      <c r="E1685" s="291"/>
      <c r="F1685" s="292"/>
      <c r="G1685" s="291"/>
      <c r="H1685" s="291"/>
      <c r="I1685" s="293"/>
      <c r="J1685" s="291"/>
      <c r="K1685" s="291"/>
      <c r="L1685" s="293"/>
      <c r="M1685" s="291"/>
      <c r="N1685" s="289"/>
      <c r="O1685" s="358"/>
      <c r="P1685" s="402">
        <f t="shared" ref="P1685:Q1685" si="1681">IF(B1685=0,0,IF(YEAR(B1685)=$Q$1,MONTH(B1685)-$P$1+1,(YEAR(B1685)-$Q$1)*12-$P$1+1+MONTH(B1685)))</f>
        <v>0</v>
      </c>
      <c r="Q1685" s="280">
        <f t="shared" si="1681"/>
        <v>0</v>
      </c>
      <c r="R1685" s="356" t="str">
        <f t="shared" si="1"/>
        <v/>
      </c>
      <c r="S1685" s="269" t="str">
        <f>IF(D1685="","",IF(OR(D1685=Plano!$A$1,D1685=Plano!$B$1),"entrada","saída"))</f>
        <v/>
      </c>
      <c r="T1685" s="406"/>
      <c r="U1685" s="406"/>
      <c r="V1685" s="269"/>
    </row>
    <row r="1686" spans="1:22" ht="12.75" customHeight="1" x14ac:dyDescent="0.2">
      <c r="A1686" s="289" t="str">
        <f>IF(B1686="","",COUNT('Diário 5º PA'!$A$5:$A$2634)+ROW()-4)</f>
        <v/>
      </c>
      <c r="B1686" s="290"/>
      <c r="C1686" s="357"/>
      <c r="D1686" s="291"/>
      <c r="E1686" s="291"/>
      <c r="F1686" s="292"/>
      <c r="G1686" s="291"/>
      <c r="H1686" s="291"/>
      <c r="I1686" s="293"/>
      <c r="J1686" s="291"/>
      <c r="K1686" s="291"/>
      <c r="L1686" s="293"/>
      <c r="M1686" s="291"/>
      <c r="N1686" s="289"/>
      <c r="O1686" s="358"/>
      <c r="P1686" s="402">
        <f t="shared" ref="P1686:Q1686" si="1682">IF(B1686=0,0,IF(YEAR(B1686)=$Q$1,MONTH(B1686)-$P$1+1,(YEAR(B1686)-$Q$1)*12-$P$1+1+MONTH(B1686)))</f>
        <v>0</v>
      </c>
      <c r="Q1686" s="280">
        <f t="shared" si="1682"/>
        <v>0</v>
      </c>
      <c r="R1686" s="356" t="str">
        <f t="shared" si="1"/>
        <v/>
      </c>
      <c r="S1686" s="269" t="str">
        <f>IF(D1686="","",IF(OR(D1686=Plano!$A$1,D1686=Plano!$B$1),"entrada","saída"))</f>
        <v/>
      </c>
      <c r="T1686" s="406"/>
      <c r="U1686" s="406"/>
      <c r="V1686" s="269"/>
    </row>
    <row r="1687" spans="1:22" ht="12.75" customHeight="1" x14ac:dyDescent="0.2">
      <c r="A1687" s="289" t="str">
        <f>IF(B1687="","",COUNT('Diário 5º PA'!$A$5:$A$2634)+ROW()-4)</f>
        <v/>
      </c>
      <c r="B1687" s="290"/>
      <c r="C1687" s="357"/>
      <c r="D1687" s="291"/>
      <c r="E1687" s="291"/>
      <c r="F1687" s="292"/>
      <c r="G1687" s="291"/>
      <c r="H1687" s="291"/>
      <c r="I1687" s="293"/>
      <c r="J1687" s="291"/>
      <c r="K1687" s="291"/>
      <c r="L1687" s="293"/>
      <c r="M1687" s="291"/>
      <c r="N1687" s="289"/>
      <c r="O1687" s="358"/>
      <c r="P1687" s="402">
        <f t="shared" ref="P1687:Q1687" si="1683">IF(B1687=0,0,IF(YEAR(B1687)=$Q$1,MONTH(B1687)-$P$1+1,(YEAR(B1687)-$Q$1)*12-$P$1+1+MONTH(B1687)))</f>
        <v>0</v>
      </c>
      <c r="Q1687" s="280">
        <f t="shared" si="1683"/>
        <v>0</v>
      </c>
      <c r="R1687" s="356" t="str">
        <f t="shared" si="1"/>
        <v/>
      </c>
      <c r="S1687" s="269" t="str">
        <f>IF(D1687="","",IF(OR(D1687=Plano!$A$1,D1687=Plano!$B$1),"entrada","saída"))</f>
        <v/>
      </c>
      <c r="T1687" s="406"/>
      <c r="U1687" s="406"/>
      <c r="V1687" s="269"/>
    </row>
    <row r="1688" spans="1:22" ht="12.75" customHeight="1" x14ac:dyDescent="0.2">
      <c r="A1688" s="289" t="str">
        <f>IF(B1688="","",COUNT('Diário 5º PA'!$A$5:$A$2634)+ROW()-4)</f>
        <v/>
      </c>
      <c r="B1688" s="290"/>
      <c r="C1688" s="357"/>
      <c r="D1688" s="291"/>
      <c r="E1688" s="291"/>
      <c r="F1688" s="292"/>
      <c r="G1688" s="291"/>
      <c r="H1688" s="291"/>
      <c r="I1688" s="293"/>
      <c r="J1688" s="291"/>
      <c r="K1688" s="291"/>
      <c r="L1688" s="293"/>
      <c r="M1688" s="291"/>
      <c r="N1688" s="289"/>
      <c r="O1688" s="358"/>
      <c r="P1688" s="402">
        <f t="shared" ref="P1688:Q1688" si="1684">IF(B1688=0,0,IF(YEAR(B1688)=$Q$1,MONTH(B1688)-$P$1+1,(YEAR(B1688)-$Q$1)*12-$P$1+1+MONTH(B1688)))</f>
        <v>0</v>
      </c>
      <c r="Q1688" s="280">
        <f t="shared" si="1684"/>
        <v>0</v>
      </c>
      <c r="R1688" s="356" t="str">
        <f t="shared" si="1"/>
        <v/>
      </c>
      <c r="S1688" s="269" t="str">
        <f>IF(D1688="","",IF(OR(D1688=Plano!$A$1,D1688=Plano!$B$1),"entrada","saída"))</f>
        <v/>
      </c>
      <c r="T1688" s="406"/>
      <c r="U1688" s="406"/>
      <c r="V1688" s="269"/>
    </row>
    <row r="1689" spans="1:22" ht="12.75" customHeight="1" x14ac:dyDescent="0.2">
      <c r="A1689" s="289" t="str">
        <f>IF(B1689="","",COUNT('Diário 5º PA'!$A$5:$A$2634)+ROW()-4)</f>
        <v/>
      </c>
      <c r="B1689" s="290"/>
      <c r="C1689" s="357"/>
      <c r="D1689" s="291"/>
      <c r="E1689" s="291"/>
      <c r="F1689" s="292"/>
      <c r="G1689" s="291"/>
      <c r="H1689" s="291"/>
      <c r="I1689" s="293"/>
      <c r="J1689" s="291"/>
      <c r="K1689" s="291"/>
      <c r="L1689" s="293"/>
      <c r="M1689" s="291"/>
      <c r="N1689" s="289"/>
      <c r="O1689" s="358"/>
      <c r="P1689" s="402">
        <f t="shared" ref="P1689:Q1689" si="1685">IF(B1689=0,0,IF(YEAR(B1689)=$Q$1,MONTH(B1689)-$P$1+1,(YEAR(B1689)-$Q$1)*12-$P$1+1+MONTH(B1689)))</f>
        <v>0</v>
      </c>
      <c r="Q1689" s="280">
        <f t="shared" si="1685"/>
        <v>0</v>
      </c>
      <c r="R1689" s="356" t="str">
        <f t="shared" si="1"/>
        <v/>
      </c>
      <c r="S1689" s="269" t="str">
        <f>IF(D1689="","",IF(OR(D1689=Plano!$A$1,D1689=Plano!$B$1),"entrada","saída"))</f>
        <v/>
      </c>
      <c r="T1689" s="406"/>
      <c r="U1689" s="406"/>
      <c r="V1689" s="269"/>
    </row>
    <row r="1690" spans="1:22" ht="12.75" customHeight="1" x14ac:dyDescent="0.2">
      <c r="A1690" s="289" t="str">
        <f>IF(B1690="","",COUNT('Diário 5º PA'!$A$5:$A$2634)+ROW()-4)</f>
        <v/>
      </c>
      <c r="B1690" s="290"/>
      <c r="C1690" s="357"/>
      <c r="D1690" s="291"/>
      <c r="E1690" s="291"/>
      <c r="F1690" s="292"/>
      <c r="G1690" s="291"/>
      <c r="H1690" s="291"/>
      <c r="I1690" s="293"/>
      <c r="J1690" s="291"/>
      <c r="K1690" s="291"/>
      <c r="L1690" s="293"/>
      <c r="M1690" s="291"/>
      <c r="N1690" s="289"/>
      <c r="O1690" s="358"/>
      <c r="P1690" s="402">
        <f t="shared" ref="P1690:Q1690" si="1686">IF(B1690=0,0,IF(YEAR(B1690)=$Q$1,MONTH(B1690)-$P$1+1,(YEAR(B1690)-$Q$1)*12-$P$1+1+MONTH(B1690)))</f>
        <v>0</v>
      </c>
      <c r="Q1690" s="280">
        <f t="shared" si="1686"/>
        <v>0</v>
      </c>
      <c r="R1690" s="356" t="str">
        <f t="shared" si="1"/>
        <v/>
      </c>
      <c r="S1690" s="269" t="str">
        <f>IF(D1690="","",IF(OR(D1690=Plano!$A$1,D1690=Plano!$B$1),"entrada","saída"))</f>
        <v/>
      </c>
      <c r="T1690" s="406"/>
      <c r="U1690" s="406"/>
      <c r="V1690" s="269"/>
    </row>
    <row r="1691" spans="1:22" ht="12.75" customHeight="1" x14ac:dyDescent="0.2">
      <c r="A1691" s="289" t="str">
        <f>IF(B1691="","",COUNT('Diário 5º PA'!$A$5:$A$2634)+ROW()-4)</f>
        <v/>
      </c>
      <c r="B1691" s="290"/>
      <c r="C1691" s="357"/>
      <c r="D1691" s="291"/>
      <c r="E1691" s="291"/>
      <c r="F1691" s="292"/>
      <c r="G1691" s="291"/>
      <c r="H1691" s="291"/>
      <c r="I1691" s="293"/>
      <c r="J1691" s="291"/>
      <c r="K1691" s="291"/>
      <c r="L1691" s="293"/>
      <c r="M1691" s="291"/>
      <c r="N1691" s="289"/>
      <c r="O1691" s="358"/>
      <c r="P1691" s="402">
        <f t="shared" ref="P1691:Q1691" si="1687">IF(B1691=0,0,IF(YEAR(B1691)=$Q$1,MONTH(B1691)-$P$1+1,(YEAR(B1691)-$Q$1)*12-$P$1+1+MONTH(B1691)))</f>
        <v>0</v>
      </c>
      <c r="Q1691" s="280">
        <f t="shared" si="1687"/>
        <v>0</v>
      </c>
      <c r="R1691" s="356" t="str">
        <f t="shared" si="1"/>
        <v/>
      </c>
      <c r="S1691" s="269" t="str">
        <f>IF(D1691="","",IF(OR(D1691=Plano!$A$1,D1691=Plano!$B$1),"entrada","saída"))</f>
        <v/>
      </c>
      <c r="T1691" s="406"/>
      <c r="U1691" s="406"/>
      <c r="V1691" s="269"/>
    </row>
    <row r="1692" spans="1:22" ht="12.75" customHeight="1" x14ac:dyDescent="0.2">
      <c r="A1692" s="289" t="str">
        <f>IF(B1692="","",COUNT('Diário 5º PA'!$A$5:$A$2634)+ROW()-4)</f>
        <v/>
      </c>
      <c r="B1692" s="290"/>
      <c r="C1692" s="357"/>
      <c r="D1692" s="291"/>
      <c r="E1692" s="291"/>
      <c r="F1692" s="292"/>
      <c r="G1692" s="291"/>
      <c r="H1692" s="291"/>
      <c r="I1692" s="293"/>
      <c r="J1692" s="291"/>
      <c r="K1692" s="291"/>
      <c r="L1692" s="293"/>
      <c r="M1692" s="291"/>
      <c r="N1692" s="289"/>
      <c r="O1692" s="358"/>
      <c r="P1692" s="402">
        <f t="shared" ref="P1692:Q1692" si="1688">IF(B1692=0,0,IF(YEAR(B1692)=$Q$1,MONTH(B1692)-$P$1+1,(YEAR(B1692)-$Q$1)*12-$P$1+1+MONTH(B1692)))</f>
        <v>0</v>
      </c>
      <c r="Q1692" s="280">
        <f t="shared" si="1688"/>
        <v>0</v>
      </c>
      <c r="R1692" s="356" t="str">
        <f t="shared" si="1"/>
        <v/>
      </c>
      <c r="S1692" s="269" t="str">
        <f>IF(D1692="","",IF(OR(D1692=Plano!$A$1,D1692=Plano!$B$1),"entrada","saída"))</f>
        <v/>
      </c>
      <c r="T1692" s="406"/>
      <c r="U1692" s="406"/>
      <c r="V1692" s="269"/>
    </row>
    <row r="1693" spans="1:22" ht="12.75" customHeight="1" x14ac:dyDescent="0.2">
      <c r="A1693" s="289" t="str">
        <f>IF(B1693="","",COUNT('Diário 5º PA'!$A$5:$A$2634)+ROW()-4)</f>
        <v/>
      </c>
      <c r="B1693" s="290"/>
      <c r="C1693" s="357"/>
      <c r="D1693" s="291"/>
      <c r="E1693" s="291"/>
      <c r="F1693" s="292"/>
      <c r="G1693" s="291"/>
      <c r="H1693" s="291"/>
      <c r="I1693" s="293"/>
      <c r="J1693" s="291"/>
      <c r="K1693" s="291"/>
      <c r="L1693" s="293"/>
      <c r="M1693" s="291"/>
      <c r="N1693" s="289"/>
      <c r="O1693" s="358"/>
      <c r="P1693" s="402">
        <f t="shared" ref="P1693:Q1693" si="1689">IF(B1693=0,0,IF(YEAR(B1693)=$Q$1,MONTH(B1693)-$P$1+1,(YEAR(B1693)-$Q$1)*12-$P$1+1+MONTH(B1693)))</f>
        <v>0</v>
      </c>
      <c r="Q1693" s="280">
        <f t="shared" si="1689"/>
        <v>0</v>
      </c>
      <c r="R1693" s="356" t="str">
        <f t="shared" si="1"/>
        <v/>
      </c>
      <c r="S1693" s="269" t="str">
        <f>IF(D1693="","",IF(OR(D1693=Plano!$A$1,D1693=Plano!$B$1),"entrada","saída"))</f>
        <v/>
      </c>
      <c r="T1693" s="406"/>
      <c r="U1693" s="406"/>
      <c r="V1693" s="269"/>
    </row>
    <row r="1694" spans="1:22" ht="12.75" customHeight="1" x14ac:dyDescent="0.2">
      <c r="A1694" s="289" t="str">
        <f>IF(B1694="","",COUNT('Diário 5º PA'!$A$5:$A$2634)+ROW()-4)</f>
        <v/>
      </c>
      <c r="B1694" s="290"/>
      <c r="C1694" s="357"/>
      <c r="D1694" s="291"/>
      <c r="E1694" s="291"/>
      <c r="F1694" s="292"/>
      <c r="G1694" s="291"/>
      <c r="H1694" s="291"/>
      <c r="I1694" s="293"/>
      <c r="J1694" s="291"/>
      <c r="K1694" s="291"/>
      <c r="L1694" s="293"/>
      <c r="M1694" s="291"/>
      <c r="N1694" s="289"/>
      <c r="O1694" s="358"/>
      <c r="P1694" s="402">
        <f t="shared" ref="P1694:Q1694" si="1690">IF(B1694=0,0,IF(YEAR(B1694)=$Q$1,MONTH(B1694)-$P$1+1,(YEAR(B1694)-$Q$1)*12-$P$1+1+MONTH(B1694)))</f>
        <v>0</v>
      </c>
      <c r="Q1694" s="280">
        <f t="shared" si="1690"/>
        <v>0</v>
      </c>
      <c r="R1694" s="356" t="str">
        <f t="shared" si="1"/>
        <v/>
      </c>
      <c r="S1694" s="269" t="str">
        <f>IF(D1694="","",IF(OR(D1694=Plano!$A$1,D1694=Plano!$B$1),"entrada","saída"))</f>
        <v/>
      </c>
      <c r="T1694" s="406"/>
      <c r="U1694" s="406"/>
      <c r="V1694" s="269"/>
    </row>
    <row r="1695" spans="1:22" ht="12.75" customHeight="1" x14ac:dyDescent="0.2">
      <c r="A1695" s="289" t="str">
        <f>IF(B1695="","",COUNT('Diário 5º PA'!$A$5:$A$2634)+ROW()-4)</f>
        <v/>
      </c>
      <c r="B1695" s="290"/>
      <c r="C1695" s="357"/>
      <c r="D1695" s="291"/>
      <c r="E1695" s="291"/>
      <c r="F1695" s="292"/>
      <c r="G1695" s="291"/>
      <c r="H1695" s="291"/>
      <c r="I1695" s="293"/>
      <c r="J1695" s="291"/>
      <c r="K1695" s="291"/>
      <c r="L1695" s="293"/>
      <c r="M1695" s="291"/>
      <c r="N1695" s="289"/>
      <c r="O1695" s="358"/>
      <c r="P1695" s="402">
        <f t="shared" ref="P1695:Q1695" si="1691">IF(B1695=0,0,IF(YEAR(B1695)=$Q$1,MONTH(B1695)-$P$1+1,(YEAR(B1695)-$Q$1)*12-$P$1+1+MONTH(B1695)))</f>
        <v>0</v>
      </c>
      <c r="Q1695" s="280">
        <f t="shared" si="1691"/>
        <v>0</v>
      </c>
      <c r="R1695" s="356" t="str">
        <f t="shared" si="1"/>
        <v/>
      </c>
      <c r="S1695" s="269" t="str">
        <f>IF(D1695="","",IF(OR(D1695=Plano!$A$1,D1695=Plano!$B$1),"entrada","saída"))</f>
        <v/>
      </c>
      <c r="T1695" s="406"/>
      <c r="U1695" s="406"/>
      <c r="V1695" s="269"/>
    </row>
    <row r="1696" spans="1:22" ht="12.75" customHeight="1" x14ac:dyDescent="0.2">
      <c r="A1696" s="289" t="str">
        <f>IF(B1696="","",COUNT('Diário 5º PA'!$A$5:$A$2634)+ROW()-4)</f>
        <v/>
      </c>
      <c r="B1696" s="290"/>
      <c r="C1696" s="357"/>
      <c r="D1696" s="291"/>
      <c r="E1696" s="291"/>
      <c r="F1696" s="292"/>
      <c r="G1696" s="291"/>
      <c r="H1696" s="291"/>
      <c r="I1696" s="293"/>
      <c r="J1696" s="291"/>
      <c r="K1696" s="291"/>
      <c r="L1696" s="293"/>
      <c r="M1696" s="291"/>
      <c r="N1696" s="289"/>
      <c r="O1696" s="358"/>
      <c r="P1696" s="402">
        <f t="shared" ref="P1696:Q1696" si="1692">IF(B1696=0,0,IF(YEAR(B1696)=$Q$1,MONTH(B1696)-$P$1+1,(YEAR(B1696)-$Q$1)*12-$P$1+1+MONTH(B1696)))</f>
        <v>0</v>
      </c>
      <c r="Q1696" s="280">
        <f t="shared" si="1692"/>
        <v>0</v>
      </c>
      <c r="R1696" s="356" t="str">
        <f t="shared" si="1"/>
        <v/>
      </c>
      <c r="S1696" s="269" t="str">
        <f>IF(D1696="","",IF(OR(D1696=Plano!$A$1,D1696=Plano!$B$1),"entrada","saída"))</f>
        <v/>
      </c>
      <c r="T1696" s="406"/>
      <c r="U1696" s="406"/>
      <c r="V1696" s="269"/>
    </row>
    <row r="1697" spans="1:22" ht="12.75" customHeight="1" x14ac:dyDescent="0.2">
      <c r="A1697" s="289" t="str">
        <f>IF(B1697="","",COUNT('Diário 5º PA'!$A$5:$A$2634)+ROW()-4)</f>
        <v/>
      </c>
      <c r="B1697" s="290"/>
      <c r="C1697" s="357"/>
      <c r="D1697" s="291"/>
      <c r="E1697" s="291"/>
      <c r="F1697" s="292"/>
      <c r="G1697" s="291"/>
      <c r="H1697" s="291"/>
      <c r="I1697" s="293"/>
      <c r="J1697" s="291"/>
      <c r="K1697" s="291"/>
      <c r="L1697" s="293"/>
      <c r="M1697" s="291"/>
      <c r="N1697" s="289"/>
      <c r="O1697" s="358"/>
      <c r="P1697" s="402">
        <f t="shared" ref="P1697:Q1697" si="1693">IF(B1697=0,0,IF(YEAR(B1697)=$Q$1,MONTH(B1697)-$P$1+1,(YEAR(B1697)-$Q$1)*12-$P$1+1+MONTH(B1697)))</f>
        <v>0</v>
      </c>
      <c r="Q1697" s="280">
        <f t="shared" si="1693"/>
        <v>0</v>
      </c>
      <c r="R1697" s="356" t="str">
        <f t="shared" si="1"/>
        <v/>
      </c>
      <c r="S1697" s="269" t="str">
        <f>IF(D1697="","",IF(OR(D1697=Plano!$A$1,D1697=Plano!$B$1),"entrada","saída"))</f>
        <v/>
      </c>
      <c r="T1697" s="406"/>
      <c r="U1697" s="406"/>
      <c r="V1697" s="269"/>
    </row>
    <row r="1698" spans="1:22" ht="12.75" customHeight="1" x14ac:dyDescent="0.2">
      <c r="A1698" s="289" t="str">
        <f>IF(B1698="","",COUNT('Diário 5º PA'!$A$5:$A$2634)+ROW()-4)</f>
        <v/>
      </c>
      <c r="B1698" s="290"/>
      <c r="C1698" s="357"/>
      <c r="D1698" s="291"/>
      <c r="E1698" s="291"/>
      <c r="F1698" s="292"/>
      <c r="G1698" s="291"/>
      <c r="H1698" s="291"/>
      <c r="I1698" s="293"/>
      <c r="J1698" s="291"/>
      <c r="K1698" s="291"/>
      <c r="L1698" s="293"/>
      <c r="M1698" s="291"/>
      <c r="N1698" s="289"/>
      <c r="O1698" s="358"/>
      <c r="P1698" s="402">
        <f t="shared" ref="P1698:Q1698" si="1694">IF(B1698=0,0,IF(YEAR(B1698)=$Q$1,MONTH(B1698)-$P$1+1,(YEAR(B1698)-$Q$1)*12-$P$1+1+MONTH(B1698)))</f>
        <v>0</v>
      </c>
      <c r="Q1698" s="280">
        <f t="shared" si="1694"/>
        <v>0</v>
      </c>
      <c r="R1698" s="356" t="str">
        <f t="shared" si="1"/>
        <v/>
      </c>
      <c r="S1698" s="269" t="str">
        <f>IF(D1698="","",IF(OR(D1698=Plano!$A$1,D1698=Plano!$B$1),"entrada","saída"))</f>
        <v/>
      </c>
      <c r="T1698" s="406"/>
      <c r="U1698" s="406"/>
      <c r="V1698" s="269"/>
    </row>
    <row r="1699" spans="1:22" ht="12.75" customHeight="1" x14ac:dyDescent="0.2">
      <c r="A1699" s="289" t="str">
        <f>IF(B1699="","",COUNT('Diário 5º PA'!$A$5:$A$2634)+ROW()-4)</f>
        <v/>
      </c>
      <c r="B1699" s="290"/>
      <c r="C1699" s="357"/>
      <c r="D1699" s="291"/>
      <c r="E1699" s="291"/>
      <c r="F1699" s="292"/>
      <c r="G1699" s="291"/>
      <c r="H1699" s="291"/>
      <c r="I1699" s="293"/>
      <c r="J1699" s="291"/>
      <c r="K1699" s="291"/>
      <c r="L1699" s="293"/>
      <c r="M1699" s="291"/>
      <c r="N1699" s="289"/>
      <c r="O1699" s="358"/>
      <c r="P1699" s="402">
        <f t="shared" ref="P1699:Q1699" si="1695">IF(B1699=0,0,IF(YEAR(B1699)=$Q$1,MONTH(B1699)-$P$1+1,(YEAR(B1699)-$Q$1)*12-$P$1+1+MONTH(B1699)))</f>
        <v>0</v>
      </c>
      <c r="Q1699" s="280">
        <f t="shared" si="1695"/>
        <v>0</v>
      </c>
      <c r="R1699" s="356" t="str">
        <f t="shared" si="1"/>
        <v/>
      </c>
      <c r="S1699" s="269" t="str">
        <f>IF(D1699="","",IF(OR(D1699=Plano!$A$1,D1699=Plano!$B$1),"entrada","saída"))</f>
        <v/>
      </c>
      <c r="T1699" s="406"/>
      <c r="U1699" s="406"/>
      <c r="V1699" s="269"/>
    </row>
    <row r="1700" spans="1:22" ht="12.75" customHeight="1" x14ac:dyDescent="0.2">
      <c r="A1700" s="289" t="str">
        <f>IF(B1700="","",COUNT('Diário 5º PA'!$A$5:$A$2634)+ROW()-4)</f>
        <v/>
      </c>
      <c r="B1700" s="290"/>
      <c r="C1700" s="357"/>
      <c r="D1700" s="291"/>
      <c r="E1700" s="291"/>
      <c r="F1700" s="292"/>
      <c r="G1700" s="291"/>
      <c r="H1700" s="291"/>
      <c r="I1700" s="293"/>
      <c r="J1700" s="291"/>
      <c r="K1700" s="291"/>
      <c r="L1700" s="293"/>
      <c r="M1700" s="291"/>
      <c r="N1700" s="289"/>
      <c r="O1700" s="358"/>
      <c r="P1700" s="402">
        <f t="shared" ref="P1700:Q1700" si="1696">IF(B1700=0,0,IF(YEAR(B1700)=$Q$1,MONTH(B1700)-$P$1+1,(YEAR(B1700)-$Q$1)*12-$P$1+1+MONTH(B1700)))</f>
        <v>0</v>
      </c>
      <c r="Q1700" s="280">
        <f t="shared" si="1696"/>
        <v>0</v>
      </c>
      <c r="R1700" s="356" t="str">
        <f t="shared" si="1"/>
        <v/>
      </c>
      <c r="S1700" s="269" t="str">
        <f>IF(D1700="","",IF(OR(D1700=Plano!$A$1,D1700=Plano!$B$1),"entrada","saída"))</f>
        <v/>
      </c>
      <c r="T1700" s="406"/>
      <c r="U1700" s="406"/>
      <c r="V1700" s="269"/>
    </row>
    <row r="1701" spans="1:22" ht="12.75" customHeight="1" x14ac:dyDescent="0.2">
      <c r="A1701" s="289" t="str">
        <f>IF(B1701="","",COUNT('Diário 5º PA'!$A$5:$A$2634)+ROW()-4)</f>
        <v/>
      </c>
      <c r="B1701" s="290"/>
      <c r="C1701" s="357"/>
      <c r="D1701" s="291"/>
      <c r="E1701" s="291"/>
      <c r="F1701" s="292"/>
      <c r="G1701" s="291"/>
      <c r="H1701" s="291"/>
      <c r="I1701" s="293"/>
      <c r="J1701" s="291"/>
      <c r="K1701" s="291"/>
      <c r="L1701" s="293"/>
      <c r="M1701" s="291"/>
      <c r="N1701" s="289"/>
      <c r="O1701" s="358"/>
      <c r="P1701" s="402">
        <f t="shared" ref="P1701:Q1701" si="1697">IF(B1701=0,0,IF(YEAR(B1701)=$Q$1,MONTH(B1701)-$P$1+1,(YEAR(B1701)-$Q$1)*12-$P$1+1+MONTH(B1701)))</f>
        <v>0</v>
      </c>
      <c r="Q1701" s="280">
        <f t="shared" si="1697"/>
        <v>0</v>
      </c>
      <c r="R1701" s="356" t="str">
        <f t="shared" si="1"/>
        <v/>
      </c>
      <c r="S1701" s="269" t="str">
        <f>IF(D1701="","",IF(OR(D1701=Plano!$A$1,D1701=Plano!$B$1),"entrada","saída"))</f>
        <v/>
      </c>
      <c r="T1701" s="406"/>
      <c r="U1701" s="406"/>
      <c r="V1701" s="269"/>
    </row>
    <row r="1702" spans="1:22" ht="12.75" customHeight="1" x14ac:dyDescent="0.2">
      <c r="A1702" s="289" t="str">
        <f>IF(B1702="","",COUNT('Diário 5º PA'!$A$5:$A$2634)+ROW()-4)</f>
        <v/>
      </c>
      <c r="B1702" s="290"/>
      <c r="C1702" s="357"/>
      <c r="D1702" s="291"/>
      <c r="E1702" s="291"/>
      <c r="F1702" s="292"/>
      <c r="G1702" s="291"/>
      <c r="H1702" s="291"/>
      <c r="I1702" s="293"/>
      <c r="J1702" s="291"/>
      <c r="K1702" s="291"/>
      <c r="L1702" s="293"/>
      <c r="M1702" s="291"/>
      <c r="N1702" s="289"/>
      <c r="O1702" s="358"/>
      <c r="P1702" s="402">
        <f t="shared" ref="P1702:Q1702" si="1698">IF(B1702=0,0,IF(YEAR(B1702)=$Q$1,MONTH(B1702)-$P$1+1,(YEAR(B1702)-$Q$1)*12-$P$1+1+MONTH(B1702)))</f>
        <v>0</v>
      </c>
      <c r="Q1702" s="280">
        <f t="shared" si="1698"/>
        <v>0</v>
      </c>
      <c r="R1702" s="356" t="str">
        <f t="shared" si="1"/>
        <v/>
      </c>
      <c r="S1702" s="269" t="str">
        <f>IF(D1702="","",IF(OR(D1702=Plano!$A$1,D1702=Plano!$B$1),"entrada","saída"))</f>
        <v/>
      </c>
      <c r="T1702" s="406"/>
      <c r="U1702" s="406"/>
      <c r="V1702" s="269"/>
    </row>
    <row r="1703" spans="1:22" ht="12.75" customHeight="1" x14ac:dyDescent="0.2">
      <c r="A1703" s="289" t="str">
        <f>IF(B1703="","",COUNT('Diário 5º PA'!$A$5:$A$2634)+ROW()-4)</f>
        <v/>
      </c>
      <c r="B1703" s="290"/>
      <c r="C1703" s="357"/>
      <c r="D1703" s="291"/>
      <c r="E1703" s="291"/>
      <c r="F1703" s="292"/>
      <c r="G1703" s="291"/>
      <c r="H1703" s="291"/>
      <c r="I1703" s="293"/>
      <c r="J1703" s="291"/>
      <c r="K1703" s="291"/>
      <c r="L1703" s="293"/>
      <c r="M1703" s="291"/>
      <c r="N1703" s="289"/>
      <c r="O1703" s="358"/>
      <c r="P1703" s="402">
        <f t="shared" ref="P1703:Q1703" si="1699">IF(B1703=0,0,IF(YEAR(B1703)=$Q$1,MONTH(B1703)-$P$1+1,(YEAR(B1703)-$Q$1)*12-$P$1+1+MONTH(B1703)))</f>
        <v>0</v>
      </c>
      <c r="Q1703" s="280">
        <f t="shared" si="1699"/>
        <v>0</v>
      </c>
      <c r="R1703" s="356" t="str">
        <f t="shared" si="1"/>
        <v/>
      </c>
      <c r="S1703" s="269" t="str">
        <f>IF(D1703="","",IF(OR(D1703=Plano!$A$1,D1703=Plano!$B$1),"entrada","saída"))</f>
        <v/>
      </c>
      <c r="T1703" s="406"/>
      <c r="U1703" s="406"/>
      <c r="V1703" s="269"/>
    </row>
    <row r="1704" spans="1:22" ht="12.75" customHeight="1" x14ac:dyDescent="0.2">
      <c r="A1704" s="289" t="str">
        <f>IF(B1704="","",COUNT('Diário 5º PA'!$A$5:$A$2634)+ROW()-4)</f>
        <v/>
      </c>
      <c r="B1704" s="290"/>
      <c r="C1704" s="357"/>
      <c r="D1704" s="291"/>
      <c r="E1704" s="291"/>
      <c r="F1704" s="292"/>
      <c r="G1704" s="291"/>
      <c r="H1704" s="291"/>
      <c r="I1704" s="293"/>
      <c r="J1704" s="291"/>
      <c r="K1704" s="291"/>
      <c r="L1704" s="293"/>
      <c r="M1704" s="291"/>
      <c r="N1704" s="289"/>
      <c r="O1704" s="358"/>
      <c r="P1704" s="402">
        <f t="shared" ref="P1704:Q1704" si="1700">IF(B1704=0,0,IF(YEAR(B1704)=$Q$1,MONTH(B1704)-$P$1+1,(YEAR(B1704)-$Q$1)*12-$P$1+1+MONTH(B1704)))</f>
        <v>0</v>
      </c>
      <c r="Q1704" s="280">
        <f t="shared" si="1700"/>
        <v>0</v>
      </c>
      <c r="R1704" s="356" t="str">
        <f t="shared" si="1"/>
        <v/>
      </c>
      <c r="S1704" s="269" t="str">
        <f>IF(D1704="","",IF(OR(D1704=Plano!$A$1,D1704=Plano!$B$1),"entrada","saída"))</f>
        <v/>
      </c>
      <c r="T1704" s="406"/>
      <c r="U1704" s="406"/>
      <c r="V1704" s="269"/>
    </row>
    <row r="1705" spans="1:22" ht="12.75" customHeight="1" x14ac:dyDescent="0.2">
      <c r="A1705" s="289" t="str">
        <f>IF(B1705="","",COUNT('Diário 5º PA'!$A$5:$A$2634)+ROW()-4)</f>
        <v/>
      </c>
      <c r="B1705" s="290"/>
      <c r="C1705" s="357"/>
      <c r="D1705" s="291"/>
      <c r="E1705" s="291"/>
      <c r="F1705" s="292"/>
      <c r="G1705" s="291"/>
      <c r="H1705" s="291"/>
      <c r="I1705" s="293"/>
      <c r="J1705" s="291"/>
      <c r="K1705" s="291"/>
      <c r="L1705" s="293"/>
      <c r="M1705" s="291"/>
      <c r="N1705" s="289"/>
      <c r="O1705" s="358"/>
      <c r="P1705" s="402">
        <f t="shared" ref="P1705:Q1705" si="1701">IF(B1705=0,0,IF(YEAR(B1705)=$Q$1,MONTH(B1705)-$P$1+1,(YEAR(B1705)-$Q$1)*12-$P$1+1+MONTH(B1705)))</f>
        <v>0</v>
      </c>
      <c r="Q1705" s="280">
        <f t="shared" si="1701"/>
        <v>0</v>
      </c>
      <c r="R1705" s="356" t="str">
        <f t="shared" si="1"/>
        <v/>
      </c>
      <c r="S1705" s="269" t="str">
        <f>IF(D1705="","",IF(OR(D1705=Plano!$A$1,D1705=Plano!$B$1),"entrada","saída"))</f>
        <v/>
      </c>
      <c r="T1705" s="406"/>
      <c r="U1705" s="406"/>
      <c r="V1705" s="269"/>
    </row>
    <row r="1706" spans="1:22" ht="12.75" customHeight="1" x14ac:dyDescent="0.2">
      <c r="A1706" s="289" t="str">
        <f>IF(B1706="","",COUNT('Diário 5º PA'!$A$5:$A$2634)+ROW()-4)</f>
        <v/>
      </c>
      <c r="B1706" s="290"/>
      <c r="C1706" s="357"/>
      <c r="D1706" s="291"/>
      <c r="E1706" s="291"/>
      <c r="F1706" s="292"/>
      <c r="G1706" s="291"/>
      <c r="H1706" s="291"/>
      <c r="I1706" s="293"/>
      <c r="J1706" s="291"/>
      <c r="K1706" s="291"/>
      <c r="L1706" s="293"/>
      <c r="M1706" s="291"/>
      <c r="N1706" s="289"/>
      <c r="O1706" s="358"/>
      <c r="P1706" s="402">
        <f t="shared" ref="P1706:Q1706" si="1702">IF(B1706=0,0,IF(YEAR(B1706)=$Q$1,MONTH(B1706)-$P$1+1,(YEAR(B1706)-$Q$1)*12-$P$1+1+MONTH(B1706)))</f>
        <v>0</v>
      </c>
      <c r="Q1706" s="280">
        <f t="shared" si="1702"/>
        <v>0</v>
      </c>
      <c r="R1706" s="356" t="str">
        <f t="shared" si="1"/>
        <v/>
      </c>
      <c r="S1706" s="269" t="str">
        <f>IF(D1706="","",IF(OR(D1706=Plano!$A$1,D1706=Plano!$B$1),"entrada","saída"))</f>
        <v/>
      </c>
      <c r="T1706" s="406"/>
      <c r="U1706" s="406"/>
      <c r="V1706" s="269"/>
    </row>
    <row r="1707" spans="1:22" ht="12.75" customHeight="1" x14ac:dyDescent="0.2">
      <c r="A1707" s="289" t="str">
        <f>IF(B1707="","",COUNT('Diário 5º PA'!$A$5:$A$2634)+ROW()-4)</f>
        <v/>
      </c>
      <c r="B1707" s="290"/>
      <c r="C1707" s="357"/>
      <c r="D1707" s="291"/>
      <c r="E1707" s="291"/>
      <c r="F1707" s="292"/>
      <c r="G1707" s="291"/>
      <c r="H1707" s="291"/>
      <c r="I1707" s="293"/>
      <c r="J1707" s="291"/>
      <c r="K1707" s="291"/>
      <c r="L1707" s="293"/>
      <c r="M1707" s="291"/>
      <c r="N1707" s="289"/>
      <c r="O1707" s="358"/>
      <c r="P1707" s="402">
        <f t="shared" ref="P1707:Q1707" si="1703">IF(B1707=0,0,IF(YEAR(B1707)=$Q$1,MONTH(B1707)-$P$1+1,(YEAR(B1707)-$Q$1)*12-$P$1+1+MONTH(B1707)))</f>
        <v>0</v>
      </c>
      <c r="Q1707" s="280">
        <f t="shared" si="1703"/>
        <v>0</v>
      </c>
      <c r="R1707" s="356" t="str">
        <f t="shared" si="1"/>
        <v/>
      </c>
      <c r="S1707" s="269" t="str">
        <f>IF(D1707="","",IF(OR(D1707=Plano!$A$1,D1707=Plano!$B$1),"entrada","saída"))</f>
        <v/>
      </c>
      <c r="T1707" s="406"/>
      <c r="U1707" s="406"/>
      <c r="V1707" s="269"/>
    </row>
    <row r="1708" spans="1:22" ht="12.75" customHeight="1" x14ac:dyDescent="0.2">
      <c r="A1708" s="289" t="str">
        <f>IF(B1708="","",COUNT('Diário 5º PA'!$A$5:$A$2634)+ROW()-4)</f>
        <v/>
      </c>
      <c r="B1708" s="290"/>
      <c r="C1708" s="357"/>
      <c r="D1708" s="291"/>
      <c r="E1708" s="291"/>
      <c r="F1708" s="292"/>
      <c r="G1708" s="291"/>
      <c r="H1708" s="291"/>
      <c r="I1708" s="293"/>
      <c r="J1708" s="291"/>
      <c r="K1708" s="291"/>
      <c r="L1708" s="293"/>
      <c r="M1708" s="291"/>
      <c r="N1708" s="289"/>
      <c r="O1708" s="358"/>
      <c r="P1708" s="402">
        <f t="shared" ref="P1708:Q1708" si="1704">IF(B1708=0,0,IF(YEAR(B1708)=$Q$1,MONTH(B1708)-$P$1+1,(YEAR(B1708)-$Q$1)*12-$P$1+1+MONTH(B1708)))</f>
        <v>0</v>
      </c>
      <c r="Q1708" s="280">
        <f t="shared" si="1704"/>
        <v>0</v>
      </c>
      <c r="R1708" s="356" t="str">
        <f t="shared" si="1"/>
        <v/>
      </c>
      <c r="S1708" s="269" t="str">
        <f>IF(D1708="","",IF(OR(D1708=Plano!$A$1,D1708=Plano!$B$1),"entrada","saída"))</f>
        <v/>
      </c>
      <c r="T1708" s="406"/>
      <c r="U1708" s="406"/>
      <c r="V1708" s="269"/>
    </row>
    <row r="1709" spans="1:22" ht="12.75" customHeight="1" x14ac:dyDescent="0.2">
      <c r="A1709" s="289" t="str">
        <f>IF(B1709="","",COUNT('Diário 5º PA'!$A$5:$A$2634)+ROW()-4)</f>
        <v/>
      </c>
      <c r="B1709" s="290"/>
      <c r="C1709" s="357"/>
      <c r="D1709" s="291"/>
      <c r="E1709" s="291"/>
      <c r="F1709" s="292"/>
      <c r="G1709" s="291"/>
      <c r="H1709" s="291"/>
      <c r="I1709" s="293"/>
      <c r="J1709" s="291"/>
      <c r="K1709" s="291"/>
      <c r="L1709" s="293"/>
      <c r="M1709" s="291"/>
      <c r="N1709" s="289"/>
      <c r="O1709" s="358"/>
      <c r="P1709" s="402">
        <f t="shared" ref="P1709:Q1709" si="1705">IF(B1709=0,0,IF(YEAR(B1709)=$Q$1,MONTH(B1709)-$P$1+1,(YEAR(B1709)-$Q$1)*12-$P$1+1+MONTH(B1709)))</f>
        <v>0</v>
      </c>
      <c r="Q1709" s="280">
        <f t="shared" si="1705"/>
        <v>0</v>
      </c>
      <c r="R1709" s="356" t="str">
        <f t="shared" si="1"/>
        <v/>
      </c>
      <c r="S1709" s="269" t="str">
        <f>IF(D1709="","",IF(OR(D1709=Plano!$A$1,D1709=Plano!$B$1),"entrada","saída"))</f>
        <v/>
      </c>
      <c r="T1709" s="406"/>
      <c r="U1709" s="406"/>
      <c r="V1709" s="269"/>
    </row>
    <row r="1710" spans="1:22" ht="12.75" customHeight="1" x14ac:dyDescent="0.2">
      <c r="A1710" s="289" t="str">
        <f>IF(B1710="","",COUNT('Diário 5º PA'!$A$5:$A$2634)+ROW()-4)</f>
        <v/>
      </c>
      <c r="B1710" s="290"/>
      <c r="C1710" s="357"/>
      <c r="D1710" s="291"/>
      <c r="E1710" s="291"/>
      <c r="F1710" s="292"/>
      <c r="G1710" s="291"/>
      <c r="H1710" s="291"/>
      <c r="I1710" s="293"/>
      <c r="J1710" s="291"/>
      <c r="K1710" s="291"/>
      <c r="L1710" s="293"/>
      <c r="M1710" s="291"/>
      <c r="N1710" s="289"/>
      <c r="O1710" s="358"/>
      <c r="P1710" s="402">
        <f t="shared" ref="P1710:Q1710" si="1706">IF(B1710=0,0,IF(YEAR(B1710)=$Q$1,MONTH(B1710)-$P$1+1,(YEAR(B1710)-$Q$1)*12-$P$1+1+MONTH(B1710)))</f>
        <v>0</v>
      </c>
      <c r="Q1710" s="280">
        <f t="shared" si="1706"/>
        <v>0</v>
      </c>
      <c r="R1710" s="356" t="str">
        <f t="shared" si="1"/>
        <v/>
      </c>
      <c r="S1710" s="269" t="str">
        <f>IF(D1710="","",IF(OR(D1710=Plano!$A$1,D1710=Plano!$B$1),"entrada","saída"))</f>
        <v/>
      </c>
      <c r="T1710" s="406"/>
      <c r="U1710" s="406"/>
      <c r="V1710" s="269"/>
    </row>
    <row r="1711" spans="1:22" ht="12.75" customHeight="1" x14ac:dyDescent="0.2">
      <c r="A1711" s="289" t="str">
        <f>IF(B1711="","",COUNT('Diário 5º PA'!$A$5:$A$2634)+ROW()-4)</f>
        <v/>
      </c>
      <c r="B1711" s="290"/>
      <c r="C1711" s="357"/>
      <c r="D1711" s="291"/>
      <c r="E1711" s="291"/>
      <c r="F1711" s="292"/>
      <c r="G1711" s="291"/>
      <c r="H1711" s="291"/>
      <c r="I1711" s="293"/>
      <c r="J1711" s="291"/>
      <c r="K1711" s="291"/>
      <c r="L1711" s="293"/>
      <c r="M1711" s="291"/>
      <c r="N1711" s="289"/>
      <c r="O1711" s="358"/>
      <c r="P1711" s="402">
        <f t="shared" ref="P1711:Q1711" si="1707">IF(B1711=0,0,IF(YEAR(B1711)=$Q$1,MONTH(B1711)-$P$1+1,(YEAR(B1711)-$Q$1)*12-$P$1+1+MONTH(B1711)))</f>
        <v>0</v>
      </c>
      <c r="Q1711" s="280">
        <f t="shared" si="1707"/>
        <v>0</v>
      </c>
      <c r="R1711" s="356" t="str">
        <f t="shared" si="1"/>
        <v/>
      </c>
      <c r="S1711" s="269" t="str">
        <f>IF(D1711="","",IF(OR(D1711=Plano!$A$1,D1711=Plano!$B$1),"entrada","saída"))</f>
        <v/>
      </c>
      <c r="T1711" s="406"/>
      <c r="U1711" s="406"/>
      <c r="V1711" s="269"/>
    </row>
    <row r="1712" spans="1:22" ht="12.75" customHeight="1" x14ac:dyDescent="0.2">
      <c r="A1712" s="289" t="str">
        <f>IF(B1712="","",COUNT('Diário 5º PA'!$A$5:$A$2634)+ROW()-4)</f>
        <v/>
      </c>
      <c r="B1712" s="290"/>
      <c r="C1712" s="357"/>
      <c r="D1712" s="291"/>
      <c r="E1712" s="291"/>
      <c r="F1712" s="292"/>
      <c r="G1712" s="291"/>
      <c r="H1712" s="291"/>
      <c r="I1712" s="293"/>
      <c r="J1712" s="291"/>
      <c r="K1712" s="291"/>
      <c r="L1712" s="293"/>
      <c r="M1712" s="291"/>
      <c r="N1712" s="289"/>
      <c r="O1712" s="358"/>
      <c r="P1712" s="402">
        <f t="shared" ref="P1712:Q1712" si="1708">IF(B1712=0,0,IF(YEAR(B1712)=$Q$1,MONTH(B1712)-$P$1+1,(YEAR(B1712)-$Q$1)*12-$P$1+1+MONTH(B1712)))</f>
        <v>0</v>
      </c>
      <c r="Q1712" s="280">
        <f t="shared" si="1708"/>
        <v>0</v>
      </c>
      <c r="R1712" s="356" t="str">
        <f t="shared" si="1"/>
        <v/>
      </c>
      <c r="S1712" s="269" t="str">
        <f>IF(D1712="","",IF(OR(D1712=Plano!$A$1,D1712=Plano!$B$1),"entrada","saída"))</f>
        <v/>
      </c>
      <c r="T1712" s="406"/>
      <c r="U1712" s="406"/>
      <c r="V1712" s="269"/>
    </row>
    <row r="1713" spans="1:22" ht="12.75" customHeight="1" x14ac:dyDescent="0.2">
      <c r="A1713" s="289" t="str">
        <f>IF(B1713="","",COUNT('Diário 5º PA'!$A$5:$A$2634)+ROW()-4)</f>
        <v/>
      </c>
      <c r="B1713" s="290"/>
      <c r="C1713" s="357"/>
      <c r="D1713" s="291"/>
      <c r="E1713" s="291"/>
      <c r="F1713" s="292"/>
      <c r="G1713" s="291"/>
      <c r="H1713" s="291"/>
      <c r="I1713" s="293"/>
      <c r="J1713" s="291"/>
      <c r="K1713" s="291"/>
      <c r="L1713" s="293"/>
      <c r="M1713" s="291"/>
      <c r="N1713" s="289"/>
      <c r="O1713" s="358"/>
      <c r="P1713" s="402">
        <f t="shared" ref="P1713:Q1713" si="1709">IF(B1713=0,0,IF(YEAR(B1713)=$Q$1,MONTH(B1713)-$P$1+1,(YEAR(B1713)-$Q$1)*12-$P$1+1+MONTH(B1713)))</f>
        <v>0</v>
      </c>
      <c r="Q1713" s="280">
        <f t="shared" si="1709"/>
        <v>0</v>
      </c>
      <c r="R1713" s="356" t="str">
        <f t="shared" si="1"/>
        <v/>
      </c>
      <c r="S1713" s="269" t="str">
        <f>IF(D1713="","",IF(OR(D1713=Plano!$A$1,D1713=Plano!$B$1),"entrada","saída"))</f>
        <v/>
      </c>
      <c r="T1713" s="406"/>
      <c r="U1713" s="406"/>
      <c r="V1713" s="269"/>
    </row>
    <row r="1714" spans="1:22" ht="12.75" customHeight="1" x14ac:dyDescent="0.2">
      <c r="A1714" s="289" t="str">
        <f>IF(B1714="","",COUNT('Diário 5º PA'!$A$5:$A$2634)+ROW()-4)</f>
        <v/>
      </c>
      <c r="B1714" s="290"/>
      <c r="C1714" s="357"/>
      <c r="D1714" s="291"/>
      <c r="E1714" s="291"/>
      <c r="F1714" s="292"/>
      <c r="G1714" s="291"/>
      <c r="H1714" s="291"/>
      <c r="I1714" s="293"/>
      <c r="J1714" s="291"/>
      <c r="K1714" s="291"/>
      <c r="L1714" s="293"/>
      <c r="M1714" s="291"/>
      <c r="N1714" s="289"/>
      <c r="O1714" s="358"/>
      <c r="P1714" s="402">
        <f t="shared" ref="P1714:Q1714" si="1710">IF(B1714=0,0,IF(YEAR(B1714)=$Q$1,MONTH(B1714)-$P$1+1,(YEAR(B1714)-$Q$1)*12-$P$1+1+MONTH(B1714)))</f>
        <v>0</v>
      </c>
      <c r="Q1714" s="280">
        <f t="shared" si="1710"/>
        <v>0</v>
      </c>
      <c r="R1714" s="356" t="str">
        <f t="shared" si="1"/>
        <v/>
      </c>
      <c r="S1714" s="269" t="str">
        <f>IF(D1714="","",IF(OR(D1714=Plano!$A$1,D1714=Plano!$B$1),"entrada","saída"))</f>
        <v/>
      </c>
      <c r="T1714" s="406"/>
      <c r="U1714" s="406"/>
      <c r="V1714" s="269"/>
    </row>
    <row r="1715" spans="1:22" ht="12.75" customHeight="1" x14ac:dyDescent="0.2">
      <c r="A1715" s="289" t="str">
        <f>IF(B1715="","",COUNT('Diário 5º PA'!$A$5:$A$2634)+ROW()-4)</f>
        <v/>
      </c>
      <c r="B1715" s="290"/>
      <c r="C1715" s="357"/>
      <c r="D1715" s="291"/>
      <c r="E1715" s="291"/>
      <c r="F1715" s="292"/>
      <c r="G1715" s="291"/>
      <c r="H1715" s="291"/>
      <c r="I1715" s="293"/>
      <c r="J1715" s="291"/>
      <c r="K1715" s="291"/>
      <c r="L1715" s="293"/>
      <c r="M1715" s="291"/>
      <c r="N1715" s="289"/>
      <c r="O1715" s="358"/>
      <c r="P1715" s="402">
        <f t="shared" ref="P1715:Q1715" si="1711">IF(B1715=0,0,IF(YEAR(B1715)=$Q$1,MONTH(B1715)-$P$1+1,(YEAR(B1715)-$Q$1)*12-$P$1+1+MONTH(B1715)))</f>
        <v>0</v>
      </c>
      <c r="Q1715" s="280">
        <f t="shared" si="1711"/>
        <v>0</v>
      </c>
      <c r="R1715" s="356" t="str">
        <f t="shared" si="1"/>
        <v/>
      </c>
      <c r="S1715" s="269" t="str">
        <f>IF(D1715="","",IF(OR(D1715=Plano!$A$1,D1715=Plano!$B$1),"entrada","saída"))</f>
        <v/>
      </c>
      <c r="T1715" s="406"/>
      <c r="U1715" s="406"/>
      <c r="V1715" s="269"/>
    </row>
    <row r="1716" spans="1:22" ht="12.75" customHeight="1" x14ac:dyDescent="0.2">
      <c r="A1716" s="289" t="str">
        <f>IF(B1716="","",COUNT('Diário 5º PA'!$A$5:$A$2634)+ROW()-4)</f>
        <v/>
      </c>
      <c r="B1716" s="290"/>
      <c r="C1716" s="357"/>
      <c r="D1716" s="291"/>
      <c r="E1716" s="291"/>
      <c r="F1716" s="292"/>
      <c r="G1716" s="291"/>
      <c r="H1716" s="291"/>
      <c r="I1716" s="293"/>
      <c r="J1716" s="291"/>
      <c r="K1716" s="291"/>
      <c r="L1716" s="293"/>
      <c r="M1716" s="291"/>
      <c r="N1716" s="289"/>
      <c r="O1716" s="358"/>
      <c r="P1716" s="402">
        <f t="shared" ref="P1716:Q1716" si="1712">IF(B1716=0,0,IF(YEAR(B1716)=$Q$1,MONTH(B1716)-$P$1+1,(YEAR(B1716)-$Q$1)*12-$P$1+1+MONTH(B1716)))</f>
        <v>0</v>
      </c>
      <c r="Q1716" s="280">
        <f t="shared" si="1712"/>
        <v>0</v>
      </c>
      <c r="R1716" s="356" t="str">
        <f t="shared" si="1"/>
        <v/>
      </c>
      <c r="S1716" s="269" t="str">
        <f>IF(D1716="","",IF(OR(D1716=Plano!$A$1,D1716=Plano!$B$1),"entrada","saída"))</f>
        <v/>
      </c>
      <c r="T1716" s="406"/>
      <c r="U1716" s="406"/>
      <c r="V1716" s="269"/>
    </row>
    <row r="1717" spans="1:22" ht="12.75" customHeight="1" x14ac:dyDescent="0.2">
      <c r="A1717" s="289" t="str">
        <f>IF(B1717="","",COUNT('Diário 5º PA'!$A$5:$A$2634)+ROW()-4)</f>
        <v/>
      </c>
      <c r="B1717" s="290"/>
      <c r="C1717" s="357"/>
      <c r="D1717" s="291"/>
      <c r="E1717" s="291"/>
      <c r="F1717" s="292"/>
      <c r="G1717" s="291"/>
      <c r="H1717" s="291"/>
      <c r="I1717" s="293"/>
      <c r="J1717" s="291"/>
      <c r="K1717" s="291"/>
      <c r="L1717" s="293"/>
      <c r="M1717" s="291"/>
      <c r="N1717" s="289"/>
      <c r="O1717" s="358"/>
      <c r="P1717" s="402">
        <f t="shared" ref="P1717:Q1717" si="1713">IF(B1717=0,0,IF(YEAR(B1717)=$Q$1,MONTH(B1717)-$P$1+1,(YEAR(B1717)-$Q$1)*12-$P$1+1+MONTH(B1717)))</f>
        <v>0</v>
      </c>
      <c r="Q1717" s="280">
        <f t="shared" si="1713"/>
        <v>0</v>
      </c>
      <c r="R1717" s="356" t="str">
        <f t="shared" si="1"/>
        <v/>
      </c>
      <c r="S1717" s="269" t="str">
        <f>IF(D1717="","",IF(OR(D1717=Plano!$A$1,D1717=Plano!$B$1),"entrada","saída"))</f>
        <v/>
      </c>
      <c r="T1717" s="406"/>
      <c r="U1717" s="406"/>
      <c r="V1717" s="269"/>
    </row>
    <row r="1718" spans="1:22" ht="12.75" customHeight="1" x14ac:dyDescent="0.2">
      <c r="A1718" s="289" t="str">
        <f>IF(B1718="","",COUNT('Diário 5º PA'!$A$5:$A$2634)+ROW()-4)</f>
        <v/>
      </c>
      <c r="B1718" s="290"/>
      <c r="C1718" s="357"/>
      <c r="D1718" s="291"/>
      <c r="E1718" s="291"/>
      <c r="F1718" s="292"/>
      <c r="G1718" s="291"/>
      <c r="H1718" s="291"/>
      <c r="I1718" s="293"/>
      <c r="J1718" s="291"/>
      <c r="K1718" s="291"/>
      <c r="L1718" s="293"/>
      <c r="M1718" s="291"/>
      <c r="N1718" s="289"/>
      <c r="O1718" s="358"/>
      <c r="P1718" s="402">
        <f t="shared" ref="P1718:Q1718" si="1714">IF(B1718=0,0,IF(YEAR(B1718)=$Q$1,MONTH(B1718)-$P$1+1,(YEAR(B1718)-$Q$1)*12-$P$1+1+MONTH(B1718)))</f>
        <v>0</v>
      </c>
      <c r="Q1718" s="280">
        <f t="shared" si="1714"/>
        <v>0</v>
      </c>
      <c r="R1718" s="356" t="str">
        <f t="shared" si="1"/>
        <v/>
      </c>
      <c r="S1718" s="269" t="str">
        <f>IF(D1718="","",IF(OR(D1718=Plano!$A$1,D1718=Plano!$B$1),"entrada","saída"))</f>
        <v/>
      </c>
      <c r="T1718" s="406"/>
      <c r="U1718" s="406"/>
      <c r="V1718" s="269"/>
    </row>
    <row r="1719" spans="1:22" ht="12.75" customHeight="1" x14ac:dyDescent="0.2">
      <c r="A1719" s="289" t="str">
        <f>IF(B1719="","",COUNT('Diário 5º PA'!$A$5:$A$2634)+ROW()-4)</f>
        <v/>
      </c>
      <c r="B1719" s="290"/>
      <c r="C1719" s="357"/>
      <c r="D1719" s="291"/>
      <c r="E1719" s="291"/>
      <c r="F1719" s="292"/>
      <c r="G1719" s="291"/>
      <c r="H1719" s="291"/>
      <c r="I1719" s="293"/>
      <c r="J1719" s="291"/>
      <c r="K1719" s="291"/>
      <c r="L1719" s="293"/>
      <c r="M1719" s="291"/>
      <c r="N1719" s="289"/>
      <c r="O1719" s="358"/>
      <c r="P1719" s="402">
        <f t="shared" ref="P1719:Q1719" si="1715">IF(B1719=0,0,IF(YEAR(B1719)=$Q$1,MONTH(B1719)-$P$1+1,(YEAR(B1719)-$Q$1)*12-$P$1+1+MONTH(B1719)))</f>
        <v>0</v>
      </c>
      <c r="Q1719" s="280">
        <f t="shared" si="1715"/>
        <v>0</v>
      </c>
      <c r="R1719" s="356" t="str">
        <f t="shared" si="1"/>
        <v/>
      </c>
      <c r="S1719" s="269" t="str">
        <f>IF(D1719="","",IF(OR(D1719=Plano!$A$1,D1719=Plano!$B$1),"entrada","saída"))</f>
        <v/>
      </c>
      <c r="T1719" s="406"/>
      <c r="U1719" s="406"/>
      <c r="V1719" s="269"/>
    </row>
    <row r="1720" spans="1:22" ht="12.75" customHeight="1" x14ac:dyDescent="0.2">
      <c r="A1720" s="289" t="str">
        <f>IF(B1720="","",COUNT('Diário 5º PA'!$A$5:$A$2634)+ROW()-4)</f>
        <v/>
      </c>
      <c r="B1720" s="290"/>
      <c r="C1720" s="357"/>
      <c r="D1720" s="291"/>
      <c r="E1720" s="291"/>
      <c r="F1720" s="292"/>
      <c r="G1720" s="291"/>
      <c r="H1720" s="291"/>
      <c r="I1720" s="293"/>
      <c r="J1720" s="291"/>
      <c r="K1720" s="291"/>
      <c r="L1720" s="293"/>
      <c r="M1720" s="291"/>
      <c r="N1720" s="289"/>
      <c r="O1720" s="358"/>
      <c r="P1720" s="402">
        <f t="shared" ref="P1720:Q1720" si="1716">IF(B1720=0,0,IF(YEAR(B1720)=$Q$1,MONTH(B1720)-$P$1+1,(YEAR(B1720)-$Q$1)*12-$P$1+1+MONTH(B1720)))</f>
        <v>0</v>
      </c>
      <c r="Q1720" s="280">
        <f t="shared" si="1716"/>
        <v>0</v>
      </c>
      <c r="R1720" s="356" t="str">
        <f t="shared" si="1"/>
        <v/>
      </c>
      <c r="S1720" s="269" t="str">
        <f>IF(D1720="","",IF(OR(D1720=Plano!$A$1,D1720=Plano!$B$1),"entrada","saída"))</f>
        <v/>
      </c>
      <c r="T1720" s="406"/>
      <c r="U1720" s="406"/>
      <c r="V1720" s="269"/>
    </row>
    <row r="1721" spans="1:22" ht="12.75" customHeight="1" x14ac:dyDescent="0.2">
      <c r="A1721" s="289" t="str">
        <f>IF(B1721="","",COUNT('Diário 5º PA'!$A$5:$A$2634)+ROW()-4)</f>
        <v/>
      </c>
      <c r="B1721" s="290"/>
      <c r="C1721" s="357"/>
      <c r="D1721" s="291"/>
      <c r="E1721" s="291"/>
      <c r="F1721" s="292"/>
      <c r="G1721" s="291"/>
      <c r="H1721" s="291"/>
      <c r="I1721" s="293"/>
      <c r="J1721" s="291"/>
      <c r="K1721" s="291"/>
      <c r="L1721" s="293"/>
      <c r="M1721" s="291"/>
      <c r="N1721" s="289"/>
      <c r="O1721" s="358"/>
      <c r="P1721" s="402">
        <f t="shared" ref="P1721:Q1721" si="1717">IF(B1721=0,0,IF(YEAR(B1721)=$Q$1,MONTH(B1721)-$P$1+1,(YEAR(B1721)-$Q$1)*12-$P$1+1+MONTH(B1721)))</f>
        <v>0</v>
      </c>
      <c r="Q1721" s="280">
        <f t="shared" si="1717"/>
        <v>0</v>
      </c>
      <c r="R1721" s="356" t="str">
        <f t="shared" si="1"/>
        <v/>
      </c>
      <c r="S1721" s="269" t="str">
        <f>IF(D1721="","",IF(OR(D1721=Plano!$A$1,D1721=Plano!$B$1),"entrada","saída"))</f>
        <v/>
      </c>
      <c r="T1721" s="406"/>
      <c r="U1721" s="406"/>
      <c r="V1721" s="269"/>
    </row>
    <row r="1722" spans="1:22" ht="12.75" customHeight="1" x14ac:dyDescent="0.2">
      <c r="A1722" s="289" t="str">
        <f>IF(B1722="","",COUNT('Diário 5º PA'!$A$5:$A$2634)+ROW()-4)</f>
        <v/>
      </c>
      <c r="B1722" s="290"/>
      <c r="C1722" s="357"/>
      <c r="D1722" s="291"/>
      <c r="E1722" s="291"/>
      <c r="F1722" s="292"/>
      <c r="G1722" s="291"/>
      <c r="H1722" s="291"/>
      <c r="I1722" s="293"/>
      <c r="J1722" s="291"/>
      <c r="K1722" s="291"/>
      <c r="L1722" s="293"/>
      <c r="M1722" s="291"/>
      <c r="N1722" s="289"/>
      <c r="O1722" s="358"/>
      <c r="P1722" s="402">
        <f t="shared" ref="P1722:Q1722" si="1718">IF(B1722=0,0,IF(YEAR(B1722)=$Q$1,MONTH(B1722)-$P$1+1,(YEAR(B1722)-$Q$1)*12-$P$1+1+MONTH(B1722)))</f>
        <v>0</v>
      </c>
      <c r="Q1722" s="280">
        <f t="shared" si="1718"/>
        <v>0</v>
      </c>
      <c r="R1722" s="356" t="str">
        <f t="shared" si="1"/>
        <v/>
      </c>
      <c r="S1722" s="269" t="str">
        <f>IF(D1722="","",IF(OR(D1722=Plano!$A$1,D1722=Plano!$B$1),"entrada","saída"))</f>
        <v/>
      </c>
      <c r="T1722" s="406"/>
      <c r="U1722" s="406"/>
      <c r="V1722" s="269"/>
    </row>
    <row r="1723" spans="1:22" ht="12.75" customHeight="1" x14ac:dyDescent="0.2">
      <c r="A1723" s="289" t="str">
        <f>IF(B1723="","",COUNT('Diário 5º PA'!$A$5:$A$2634)+ROW()-4)</f>
        <v/>
      </c>
      <c r="B1723" s="290"/>
      <c r="C1723" s="357"/>
      <c r="D1723" s="291"/>
      <c r="E1723" s="291"/>
      <c r="F1723" s="292"/>
      <c r="G1723" s="291"/>
      <c r="H1723" s="291"/>
      <c r="I1723" s="293"/>
      <c r="J1723" s="291"/>
      <c r="K1723" s="291"/>
      <c r="L1723" s="293"/>
      <c r="M1723" s="291"/>
      <c r="N1723" s="289"/>
      <c r="O1723" s="358"/>
      <c r="P1723" s="402">
        <f t="shared" ref="P1723:Q1723" si="1719">IF(B1723=0,0,IF(YEAR(B1723)=$Q$1,MONTH(B1723)-$P$1+1,(YEAR(B1723)-$Q$1)*12-$P$1+1+MONTH(B1723)))</f>
        <v>0</v>
      </c>
      <c r="Q1723" s="280">
        <f t="shared" si="1719"/>
        <v>0</v>
      </c>
      <c r="R1723" s="356" t="str">
        <f t="shared" si="1"/>
        <v/>
      </c>
      <c r="S1723" s="269" t="str">
        <f>IF(D1723="","",IF(OR(D1723=Plano!$A$1,D1723=Plano!$B$1),"entrada","saída"))</f>
        <v/>
      </c>
      <c r="T1723" s="406"/>
      <c r="U1723" s="406"/>
      <c r="V1723" s="269"/>
    </row>
    <row r="1724" spans="1:22" ht="12.75" customHeight="1" x14ac:dyDescent="0.2">
      <c r="A1724" s="289" t="str">
        <f>IF(B1724="","",COUNT('Diário 5º PA'!$A$5:$A$2634)+ROW()-4)</f>
        <v/>
      </c>
      <c r="B1724" s="290"/>
      <c r="C1724" s="357"/>
      <c r="D1724" s="291"/>
      <c r="E1724" s="291"/>
      <c r="F1724" s="292"/>
      <c r="G1724" s="291"/>
      <c r="H1724" s="291"/>
      <c r="I1724" s="293"/>
      <c r="J1724" s="291"/>
      <c r="K1724" s="291"/>
      <c r="L1724" s="293"/>
      <c r="M1724" s="291"/>
      <c r="N1724" s="289"/>
      <c r="O1724" s="358"/>
      <c r="P1724" s="402">
        <f t="shared" ref="P1724:Q1724" si="1720">IF(B1724=0,0,IF(YEAR(B1724)=$Q$1,MONTH(B1724)-$P$1+1,(YEAR(B1724)-$Q$1)*12-$P$1+1+MONTH(B1724)))</f>
        <v>0</v>
      </c>
      <c r="Q1724" s="280">
        <f t="shared" si="1720"/>
        <v>0</v>
      </c>
      <c r="R1724" s="356" t="str">
        <f t="shared" si="1"/>
        <v/>
      </c>
      <c r="S1724" s="269" t="str">
        <f>IF(D1724="","",IF(OR(D1724=Plano!$A$1,D1724=Plano!$B$1),"entrada","saída"))</f>
        <v/>
      </c>
      <c r="T1724" s="406"/>
      <c r="U1724" s="406"/>
      <c r="V1724" s="269"/>
    </row>
    <row r="1725" spans="1:22" ht="12.75" customHeight="1" x14ac:dyDescent="0.2">
      <c r="A1725" s="289" t="str">
        <f>IF(B1725="","",COUNT('Diário 5º PA'!$A$5:$A$2634)+ROW()-4)</f>
        <v/>
      </c>
      <c r="B1725" s="290"/>
      <c r="C1725" s="357"/>
      <c r="D1725" s="291"/>
      <c r="E1725" s="291"/>
      <c r="F1725" s="292"/>
      <c r="G1725" s="291"/>
      <c r="H1725" s="291"/>
      <c r="I1725" s="293"/>
      <c r="J1725" s="291"/>
      <c r="K1725" s="291"/>
      <c r="L1725" s="293"/>
      <c r="M1725" s="291"/>
      <c r="N1725" s="289"/>
      <c r="O1725" s="358"/>
      <c r="P1725" s="402">
        <f t="shared" ref="P1725:Q1725" si="1721">IF(B1725=0,0,IF(YEAR(B1725)=$Q$1,MONTH(B1725)-$P$1+1,(YEAR(B1725)-$Q$1)*12-$P$1+1+MONTH(B1725)))</f>
        <v>0</v>
      </c>
      <c r="Q1725" s="280">
        <f t="shared" si="1721"/>
        <v>0</v>
      </c>
      <c r="R1725" s="356" t="str">
        <f t="shared" si="1"/>
        <v/>
      </c>
      <c r="S1725" s="269" t="str">
        <f>IF(D1725="","",IF(OR(D1725=Plano!$A$1,D1725=Plano!$B$1),"entrada","saída"))</f>
        <v/>
      </c>
      <c r="T1725" s="406"/>
      <c r="U1725" s="406"/>
      <c r="V1725" s="269"/>
    </row>
    <row r="1726" spans="1:22" ht="12.75" customHeight="1" x14ac:dyDescent="0.2">
      <c r="A1726" s="289" t="str">
        <f>IF(B1726="","",COUNT('Diário 5º PA'!$A$5:$A$2634)+ROW()-4)</f>
        <v/>
      </c>
      <c r="B1726" s="290"/>
      <c r="C1726" s="357"/>
      <c r="D1726" s="291"/>
      <c r="E1726" s="291"/>
      <c r="F1726" s="292"/>
      <c r="G1726" s="291"/>
      <c r="H1726" s="291"/>
      <c r="I1726" s="293"/>
      <c r="J1726" s="291"/>
      <c r="K1726" s="291"/>
      <c r="L1726" s="293"/>
      <c r="M1726" s="291"/>
      <c r="N1726" s="289"/>
      <c r="O1726" s="358"/>
      <c r="P1726" s="402">
        <f t="shared" ref="P1726:Q1726" si="1722">IF(B1726=0,0,IF(YEAR(B1726)=$Q$1,MONTH(B1726)-$P$1+1,(YEAR(B1726)-$Q$1)*12-$P$1+1+MONTH(B1726)))</f>
        <v>0</v>
      </c>
      <c r="Q1726" s="280">
        <f t="shared" si="1722"/>
        <v>0</v>
      </c>
      <c r="R1726" s="356" t="str">
        <f t="shared" si="1"/>
        <v/>
      </c>
      <c r="S1726" s="269" t="str">
        <f>IF(D1726="","",IF(OR(D1726=Plano!$A$1,D1726=Plano!$B$1),"entrada","saída"))</f>
        <v/>
      </c>
      <c r="T1726" s="406"/>
      <c r="U1726" s="406"/>
      <c r="V1726" s="269"/>
    </row>
    <row r="1727" spans="1:22" ht="12.75" customHeight="1" x14ac:dyDescent="0.2">
      <c r="A1727" s="289" t="str">
        <f>IF(B1727="","",COUNT('Diário 5º PA'!$A$5:$A$2634)+ROW()-4)</f>
        <v/>
      </c>
      <c r="B1727" s="290"/>
      <c r="C1727" s="357"/>
      <c r="D1727" s="291"/>
      <c r="E1727" s="291"/>
      <c r="F1727" s="292"/>
      <c r="G1727" s="291"/>
      <c r="H1727" s="291"/>
      <c r="I1727" s="293"/>
      <c r="J1727" s="291"/>
      <c r="K1727" s="291"/>
      <c r="L1727" s="293"/>
      <c r="M1727" s="291"/>
      <c r="N1727" s="289"/>
      <c r="O1727" s="358"/>
      <c r="P1727" s="402">
        <f t="shared" ref="P1727:Q1727" si="1723">IF(B1727=0,0,IF(YEAR(B1727)=$Q$1,MONTH(B1727)-$P$1+1,(YEAR(B1727)-$Q$1)*12-$P$1+1+MONTH(B1727)))</f>
        <v>0</v>
      </c>
      <c r="Q1727" s="280">
        <f t="shared" si="1723"/>
        <v>0</v>
      </c>
      <c r="R1727" s="356" t="str">
        <f t="shared" si="1"/>
        <v/>
      </c>
      <c r="S1727" s="269" t="str">
        <f>IF(D1727="","",IF(OR(D1727=Plano!$A$1,D1727=Plano!$B$1),"entrada","saída"))</f>
        <v/>
      </c>
      <c r="T1727" s="406"/>
      <c r="U1727" s="406"/>
      <c r="V1727" s="269"/>
    </row>
    <row r="1728" spans="1:22" ht="12.75" customHeight="1" x14ac:dyDescent="0.2">
      <c r="A1728" s="289" t="str">
        <f>IF(B1728="","",COUNT('Diário 5º PA'!$A$5:$A$2634)+ROW()-4)</f>
        <v/>
      </c>
      <c r="B1728" s="290"/>
      <c r="C1728" s="357"/>
      <c r="D1728" s="291"/>
      <c r="E1728" s="291"/>
      <c r="F1728" s="292"/>
      <c r="G1728" s="291"/>
      <c r="H1728" s="291"/>
      <c r="I1728" s="293"/>
      <c r="J1728" s="291"/>
      <c r="K1728" s="291"/>
      <c r="L1728" s="293"/>
      <c r="M1728" s="291"/>
      <c r="N1728" s="289"/>
      <c r="O1728" s="358"/>
      <c r="P1728" s="402">
        <f t="shared" ref="P1728:Q1728" si="1724">IF(B1728=0,0,IF(YEAR(B1728)=$Q$1,MONTH(B1728)-$P$1+1,(YEAR(B1728)-$Q$1)*12-$P$1+1+MONTH(B1728)))</f>
        <v>0</v>
      </c>
      <c r="Q1728" s="280">
        <f t="shared" si="1724"/>
        <v>0</v>
      </c>
      <c r="R1728" s="356" t="str">
        <f t="shared" si="1"/>
        <v/>
      </c>
      <c r="S1728" s="269" t="str">
        <f>IF(D1728="","",IF(OR(D1728=Plano!$A$1,D1728=Plano!$B$1),"entrada","saída"))</f>
        <v/>
      </c>
      <c r="T1728" s="406"/>
      <c r="U1728" s="406"/>
      <c r="V1728" s="269"/>
    </row>
    <row r="1729" spans="1:22" ht="12.75" customHeight="1" x14ac:dyDescent="0.2">
      <c r="A1729" s="289" t="str">
        <f>IF(B1729="","",COUNT('Diário 5º PA'!$A$5:$A$2634)+ROW()-4)</f>
        <v/>
      </c>
      <c r="B1729" s="290"/>
      <c r="C1729" s="357"/>
      <c r="D1729" s="291"/>
      <c r="E1729" s="291"/>
      <c r="F1729" s="292"/>
      <c r="G1729" s="291"/>
      <c r="H1729" s="291"/>
      <c r="I1729" s="293"/>
      <c r="J1729" s="291"/>
      <c r="K1729" s="291"/>
      <c r="L1729" s="293"/>
      <c r="M1729" s="291"/>
      <c r="N1729" s="289"/>
      <c r="O1729" s="358"/>
      <c r="P1729" s="402">
        <f t="shared" ref="P1729:Q1729" si="1725">IF(B1729=0,0,IF(YEAR(B1729)=$Q$1,MONTH(B1729)-$P$1+1,(YEAR(B1729)-$Q$1)*12-$P$1+1+MONTH(B1729)))</f>
        <v>0</v>
      </c>
      <c r="Q1729" s="280">
        <f t="shared" si="1725"/>
        <v>0</v>
      </c>
      <c r="R1729" s="356" t="str">
        <f t="shared" si="1"/>
        <v/>
      </c>
      <c r="S1729" s="269" t="str">
        <f>IF(D1729="","",IF(OR(D1729=Plano!$A$1,D1729=Plano!$B$1),"entrada","saída"))</f>
        <v/>
      </c>
      <c r="T1729" s="406"/>
      <c r="U1729" s="406"/>
      <c r="V1729" s="269"/>
    </row>
    <row r="1730" spans="1:22" ht="12.75" customHeight="1" x14ac:dyDescent="0.2">
      <c r="A1730" s="289" t="str">
        <f>IF(B1730="","",COUNT('Diário 5º PA'!$A$5:$A$2634)+ROW()-4)</f>
        <v/>
      </c>
      <c r="B1730" s="290"/>
      <c r="C1730" s="357"/>
      <c r="D1730" s="291"/>
      <c r="E1730" s="291"/>
      <c r="F1730" s="292"/>
      <c r="G1730" s="291"/>
      <c r="H1730" s="291"/>
      <c r="I1730" s="293"/>
      <c r="J1730" s="291"/>
      <c r="K1730" s="291"/>
      <c r="L1730" s="293"/>
      <c r="M1730" s="291"/>
      <c r="N1730" s="289"/>
      <c r="O1730" s="358"/>
      <c r="P1730" s="402">
        <f t="shared" ref="P1730:Q1730" si="1726">IF(B1730=0,0,IF(YEAR(B1730)=$Q$1,MONTH(B1730)-$P$1+1,(YEAR(B1730)-$Q$1)*12-$P$1+1+MONTH(B1730)))</f>
        <v>0</v>
      </c>
      <c r="Q1730" s="280">
        <f t="shared" si="1726"/>
        <v>0</v>
      </c>
      <c r="R1730" s="356" t="str">
        <f t="shared" si="1"/>
        <v/>
      </c>
      <c r="S1730" s="269" t="str">
        <f>IF(D1730="","",IF(OR(D1730=Plano!$A$1,D1730=Plano!$B$1),"entrada","saída"))</f>
        <v/>
      </c>
      <c r="T1730" s="406"/>
      <c r="U1730" s="406"/>
      <c r="V1730" s="269"/>
    </row>
    <row r="1731" spans="1:22" ht="12.75" customHeight="1" x14ac:dyDescent="0.2">
      <c r="A1731" s="289" t="str">
        <f>IF(B1731="","",COUNT('Diário 5º PA'!$A$5:$A$2634)+ROW()-4)</f>
        <v/>
      </c>
      <c r="B1731" s="290"/>
      <c r="C1731" s="357"/>
      <c r="D1731" s="291"/>
      <c r="E1731" s="291"/>
      <c r="F1731" s="292"/>
      <c r="G1731" s="291"/>
      <c r="H1731" s="291"/>
      <c r="I1731" s="293"/>
      <c r="J1731" s="291"/>
      <c r="K1731" s="291"/>
      <c r="L1731" s="293"/>
      <c r="M1731" s="291"/>
      <c r="N1731" s="289"/>
      <c r="O1731" s="358"/>
      <c r="P1731" s="402">
        <f t="shared" ref="P1731:Q1731" si="1727">IF(B1731=0,0,IF(YEAR(B1731)=$Q$1,MONTH(B1731)-$P$1+1,(YEAR(B1731)-$Q$1)*12-$P$1+1+MONTH(B1731)))</f>
        <v>0</v>
      </c>
      <c r="Q1731" s="280">
        <f t="shared" si="1727"/>
        <v>0</v>
      </c>
      <c r="R1731" s="356" t="str">
        <f t="shared" si="1"/>
        <v/>
      </c>
      <c r="S1731" s="269" t="str">
        <f>IF(D1731="","",IF(OR(D1731=Plano!$A$1,D1731=Plano!$B$1),"entrada","saída"))</f>
        <v/>
      </c>
      <c r="T1731" s="406"/>
      <c r="U1731" s="406"/>
      <c r="V1731" s="269"/>
    </row>
    <row r="1732" spans="1:22" ht="12.75" customHeight="1" x14ac:dyDescent="0.2">
      <c r="A1732" s="289" t="str">
        <f>IF(B1732="","",COUNT('Diário 5º PA'!$A$5:$A$2634)+ROW()-4)</f>
        <v/>
      </c>
      <c r="B1732" s="290"/>
      <c r="C1732" s="357"/>
      <c r="D1732" s="291"/>
      <c r="E1732" s="291"/>
      <c r="F1732" s="292"/>
      <c r="G1732" s="291"/>
      <c r="H1732" s="291"/>
      <c r="I1732" s="293"/>
      <c r="J1732" s="291"/>
      <c r="K1732" s="291"/>
      <c r="L1732" s="293"/>
      <c r="M1732" s="291"/>
      <c r="N1732" s="289"/>
      <c r="O1732" s="358"/>
      <c r="P1732" s="402">
        <f t="shared" ref="P1732:Q1732" si="1728">IF(B1732=0,0,IF(YEAR(B1732)=$Q$1,MONTH(B1732)-$P$1+1,(YEAR(B1732)-$Q$1)*12-$P$1+1+MONTH(B1732)))</f>
        <v>0</v>
      </c>
      <c r="Q1732" s="280">
        <f t="shared" si="1728"/>
        <v>0</v>
      </c>
      <c r="R1732" s="356" t="str">
        <f t="shared" si="1"/>
        <v/>
      </c>
      <c r="S1732" s="269" t="str">
        <f>IF(D1732="","",IF(OR(D1732=Plano!$A$1,D1732=Plano!$B$1),"entrada","saída"))</f>
        <v/>
      </c>
      <c r="T1732" s="406"/>
      <c r="U1732" s="406"/>
      <c r="V1732" s="269"/>
    </row>
    <row r="1733" spans="1:22" ht="12.75" customHeight="1" x14ac:dyDescent="0.2">
      <c r="A1733" s="289" t="str">
        <f>IF(B1733="","",COUNT('Diário 5º PA'!$A$5:$A$2634)+ROW()-4)</f>
        <v/>
      </c>
      <c r="B1733" s="290"/>
      <c r="C1733" s="357"/>
      <c r="D1733" s="291"/>
      <c r="E1733" s="291"/>
      <c r="F1733" s="292"/>
      <c r="G1733" s="291"/>
      <c r="H1733" s="291"/>
      <c r="I1733" s="293"/>
      <c r="J1733" s="291"/>
      <c r="K1733" s="291"/>
      <c r="L1733" s="293"/>
      <c r="M1733" s="291"/>
      <c r="N1733" s="289"/>
      <c r="O1733" s="358"/>
      <c r="P1733" s="402">
        <f t="shared" ref="P1733:Q1733" si="1729">IF(B1733=0,0,IF(YEAR(B1733)=$Q$1,MONTH(B1733)-$P$1+1,(YEAR(B1733)-$Q$1)*12-$P$1+1+MONTH(B1733)))</f>
        <v>0</v>
      </c>
      <c r="Q1733" s="280">
        <f t="shared" si="1729"/>
        <v>0</v>
      </c>
      <c r="R1733" s="356" t="str">
        <f t="shared" si="1"/>
        <v/>
      </c>
      <c r="S1733" s="269" t="str">
        <f>IF(D1733="","",IF(OR(D1733=Plano!$A$1,D1733=Plano!$B$1),"entrada","saída"))</f>
        <v/>
      </c>
      <c r="T1733" s="406"/>
      <c r="U1733" s="406"/>
      <c r="V1733" s="269"/>
    </row>
    <row r="1734" spans="1:22" ht="12.75" customHeight="1" x14ac:dyDescent="0.2">
      <c r="A1734" s="289" t="str">
        <f>IF(B1734="","",COUNT('Diário 5º PA'!$A$5:$A$2634)+ROW()-4)</f>
        <v/>
      </c>
      <c r="B1734" s="290"/>
      <c r="C1734" s="357"/>
      <c r="D1734" s="291"/>
      <c r="E1734" s="291"/>
      <c r="F1734" s="292"/>
      <c r="G1734" s="291"/>
      <c r="H1734" s="291"/>
      <c r="I1734" s="293"/>
      <c r="J1734" s="291"/>
      <c r="K1734" s="291"/>
      <c r="L1734" s="293"/>
      <c r="M1734" s="291"/>
      <c r="N1734" s="289"/>
      <c r="O1734" s="358"/>
      <c r="P1734" s="402">
        <f t="shared" ref="P1734:Q1734" si="1730">IF(B1734=0,0,IF(YEAR(B1734)=$Q$1,MONTH(B1734)-$P$1+1,(YEAR(B1734)-$Q$1)*12-$P$1+1+MONTH(B1734)))</f>
        <v>0</v>
      </c>
      <c r="Q1734" s="280">
        <f t="shared" si="1730"/>
        <v>0</v>
      </c>
      <c r="R1734" s="356" t="str">
        <f t="shared" si="1"/>
        <v/>
      </c>
      <c r="S1734" s="269" t="str">
        <f>IF(D1734="","",IF(OR(D1734=Plano!$A$1,D1734=Plano!$B$1),"entrada","saída"))</f>
        <v/>
      </c>
      <c r="T1734" s="406"/>
      <c r="U1734" s="406"/>
      <c r="V1734" s="269"/>
    </row>
    <row r="1735" spans="1:22" ht="12.75" customHeight="1" x14ac:dyDescent="0.2">
      <c r="A1735" s="289" t="str">
        <f>IF(B1735="","",COUNT('Diário 5º PA'!$A$5:$A$2634)+ROW()-4)</f>
        <v/>
      </c>
      <c r="B1735" s="290"/>
      <c r="C1735" s="357"/>
      <c r="D1735" s="291"/>
      <c r="E1735" s="291"/>
      <c r="F1735" s="292"/>
      <c r="G1735" s="291"/>
      <c r="H1735" s="291"/>
      <c r="I1735" s="293"/>
      <c r="J1735" s="291"/>
      <c r="K1735" s="291"/>
      <c r="L1735" s="293"/>
      <c r="M1735" s="291"/>
      <c r="N1735" s="289"/>
      <c r="O1735" s="358"/>
      <c r="P1735" s="402">
        <f t="shared" ref="P1735:Q1735" si="1731">IF(B1735=0,0,IF(YEAR(B1735)=$Q$1,MONTH(B1735)-$P$1+1,(YEAR(B1735)-$Q$1)*12-$P$1+1+MONTH(B1735)))</f>
        <v>0</v>
      </c>
      <c r="Q1735" s="280">
        <f t="shared" si="1731"/>
        <v>0</v>
      </c>
      <c r="R1735" s="356" t="str">
        <f t="shared" si="1"/>
        <v/>
      </c>
      <c r="S1735" s="269" t="str">
        <f>IF(D1735="","",IF(OR(D1735=Plano!$A$1,D1735=Plano!$B$1),"entrada","saída"))</f>
        <v/>
      </c>
      <c r="T1735" s="406"/>
      <c r="U1735" s="406"/>
      <c r="V1735" s="269"/>
    </row>
    <row r="1736" spans="1:22" ht="12.75" customHeight="1" x14ac:dyDescent="0.2">
      <c r="A1736" s="289" t="str">
        <f>IF(B1736="","",COUNT('Diário 5º PA'!$A$5:$A$2634)+ROW()-4)</f>
        <v/>
      </c>
      <c r="B1736" s="290"/>
      <c r="C1736" s="357"/>
      <c r="D1736" s="291"/>
      <c r="E1736" s="291"/>
      <c r="F1736" s="292"/>
      <c r="G1736" s="291"/>
      <c r="H1736" s="291"/>
      <c r="I1736" s="293"/>
      <c r="J1736" s="291"/>
      <c r="K1736" s="291"/>
      <c r="L1736" s="293"/>
      <c r="M1736" s="291"/>
      <c r="N1736" s="289"/>
      <c r="O1736" s="358"/>
      <c r="P1736" s="402">
        <f t="shared" ref="P1736:Q1736" si="1732">IF(B1736=0,0,IF(YEAR(B1736)=$Q$1,MONTH(B1736)-$P$1+1,(YEAR(B1736)-$Q$1)*12-$P$1+1+MONTH(B1736)))</f>
        <v>0</v>
      </c>
      <c r="Q1736" s="280">
        <f t="shared" si="1732"/>
        <v>0</v>
      </c>
      <c r="R1736" s="356" t="str">
        <f t="shared" si="1"/>
        <v/>
      </c>
      <c r="S1736" s="269" t="str">
        <f>IF(D1736="","",IF(OR(D1736=Plano!$A$1,D1736=Plano!$B$1),"entrada","saída"))</f>
        <v/>
      </c>
      <c r="T1736" s="406"/>
      <c r="U1736" s="406"/>
      <c r="V1736" s="269"/>
    </row>
    <row r="1737" spans="1:22" ht="12.75" customHeight="1" x14ac:dyDescent="0.2">
      <c r="A1737" s="289" t="str">
        <f>IF(B1737="","",COUNT('Diário 5º PA'!$A$5:$A$2634)+ROW()-4)</f>
        <v/>
      </c>
      <c r="B1737" s="290"/>
      <c r="C1737" s="357"/>
      <c r="D1737" s="291"/>
      <c r="E1737" s="291"/>
      <c r="F1737" s="292"/>
      <c r="G1737" s="291"/>
      <c r="H1737" s="291"/>
      <c r="I1737" s="293"/>
      <c r="J1737" s="291"/>
      <c r="K1737" s="291"/>
      <c r="L1737" s="293"/>
      <c r="M1737" s="291"/>
      <c r="N1737" s="289"/>
      <c r="O1737" s="358"/>
      <c r="P1737" s="402">
        <f t="shared" ref="P1737:Q1737" si="1733">IF(B1737=0,0,IF(YEAR(B1737)=$Q$1,MONTH(B1737)-$P$1+1,(YEAR(B1737)-$Q$1)*12-$P$1+1+MONTH(B1737)))</f>
        <v>0</v>
      </c>
      <c r="Q1737" s="280">
        <f t="shared" si="1733"/>
        <v>0</v>
      </c>
      <c r="R1737" s="356" t="str">
        <f t="shared" si="1"/>
        <v/>
      </c>
      <c r="S1737" s="269" t="str">
        <f>IF(D1737="","",IF(OR(D1737=Plano!$A$1,D1737=Plano!$B$1),"entrada","saída"))</f>
        <v/>
      </c>
      <c r="T1737" s="406"/>
      <c r="U1737" s="406"/>
      <c r="V1737" s="269"/>
    </row>
    <row r="1738" spans="1:22" ht="12.75" customHeight="1" x14ac:dyDescent="0.2">
      <c r="A1738" s="289" t="str">
        <f>IF(B1738="","",COUNT('Diário 5º PA'!$A$5:$A$2634)+ROW()-4)</f>
        <v/>
      </c>
      <c r="B1738" s="290"/>
      <c r="C1738" s="357"/>
      <c r="D1738" s="291"/>
      <c r="E1738" s="291"/>
      <c r="F1738" s="292"/>
      <c r="G1738" s="291"/>
      <c r="H1738" s="291"/>
      <c r="I1738" s="293"/>
      <c r="J1738" s="291"/>
      <c r="K1738" s="291"/>
      <c r="L1738" s="293"/>
      <c r="M1738" s="291"/>
      <c r="N1738" s="289"/>
      <c r="O1738" s="358"/>
      <c r="P1738" s="402">
        <f t="shared" ref="P1738:Q1738" si="1734">IF(B1738=0,0,IF(YEAR(B1738)=$Q$1,MONTH(B1738)-$P$1+1,(YEAR(B1738)-$Q$1)*12-$P$1+1+MONTH(B1738)))</f>
        <v>0</v>
      </c>
      <c r="Q1738" s="280">
        <f t="shared" si="1734"/>
        <v>0</v>
      </c>
      <c r="R1738" s="356" t="str">
        <f t="shared" si="1"/>
        <v/>
      </c>
      <c r="S1738" s="269" t="str">
        <f>IF(D1738="","",IF(OR(D1738=Plano!$A$1,D1738=Plano!$B$1),"entrada","saída"))</f>
        <v/>
      </c>
      <c r="T1738" s="406"/>
      <c r="U1738" s="406"/>
      <c r="V1738" s="269"/>
    </row>
    <row r="1739" spans="1:22" ht="12.75" customHeight="1" x14ac:dyDescent="0.2">
      <c r="A1739" s="289" t="str">
        <f>IF(B1739="","",COUNT('Diário 5º PA'!$A$5:$A$2634)+ROW()-4)</f>
        <v/>
      </c>
      <c r="B1739" s="290"/>
      <c r="C1739" s="357"/>
      <c r="D1739" s="291"/>
      <c r="E1739" s="291"/>
      <c r="F1739" s="292"/>
      <c r="G1739" s="291"/>
      <c r="H1739" s="291"/>
      <c r="I1739" s="293"/>
      <c r="J1739" s="291"/>
      <c r="K1739" s="291"/>
      <c r="L1739" s="293"/>
      <c r="M1739" s="291"/>
      <c r="N1739" s="289"/>
      <c r="O1739" s="358"/>
      <c r="P1739" s="402">
        <f t="shared" ref="P1739:Q1739" si="1735">IF(B1739=0,0,IF(YEAR(B1739)=$Q$1,MONTH(B1739)-$P$1+1,(YEAR(B1739)-$Q$1)*12-$P$1+1+MONTH(B1739)))</f>
        <v>0</v>
      </c>
      <c r="Q1739" s="280">
        <f t="shared" si="1735"/>
        <v>0</v>
      </c>
      <c r="R1739" s="356" t="str">
        <f t="shared" si="1"/>
        <v/>
      </c>
      <c r="S1739" s="269" t="str">
        <f>IF(D1739="","",IF(OR(D1739=Plano!$A$1,D1739=Plano!$B$1),"entrada","saída"))</f>
        <v/>
      </c>
      <c r="T1739" s="406"/>
      <c r="U1739" s="406"/>
      <c r="V1739" s="269"/>
    </row>
    <row r="1740" spans="1:22" ht="12.75" customHeight="1" x14ac:dyDescent="0.2">
      <c r="A1740" s="289" t="str">
        <f>IF(B1740="","",COUNT('Diário 5º PA'!$A$5:$A$2634)+ROW()-4)</f>
        <v/>
      </c>
      <c r="B1740" s="290"/>
      <c r="C1740" s="357"/>
      <c r="D1740" s="291"/>
      <c r="E1740" s="291"/>
      <c r="F1740" s="292"/>
      <c r="G1740" s="291"/>
      <c r="H1740" s="291"/>
      <c r="I1740" s="293"/>
      <c r="J1740" s="291"/>
      <c r="K1740" s="291"/>
      <c r="L1740" s="293"/>
      <c r="M1740" s="291"/>
      <c r="N1740" s="289"/>
      <c r="O1740" s="358"/>
      <c r="P1740" s="402">
        <f t="shared" ref="P1740:Q1740" si="1736">IF(B1740=0,0,IF(YEAR(B1740)=$Q$1,MONTH(B1740)-$P$1+1,(YEAR(B1740)-$Q$1)*12-$P$1+1+MONTH(B1740)))</f>
        <v>0</v>
      </c>
      <c r="Q1740" s="280">
        <f t="shared" si="1736"/>
        <v>0</v>
      </c>
      <c r="R1740" s="356" t="str">
        <f t="shared" si="1"/>
        <v/>
      </c>
      <c r="S1740" s="269" t="str">
        <f>IF(D1740="","",IF(OR(D1740=Plano!$A$1,D1740=Plano!$B$1),"entrada","saída"))</f>
        <v/>
      </c>
      <c r="T1740" s="406"/>
      <c r="U1740" s="406"/>
      <c r="V1740" s="269"/>
    </row>
    <row r="1741" spans="1:22" ht="12.75" customHeight="1" x14ac:dyDescent="0.2">
      <c r="A1741" s="289" t="str">
        <f>IF(B1741="","",COUNT('Diário 5º PA'!$A$5:$A$2634)+ROW()-4)</f>
        <v/>
      </c>
      <c r="B1741" s="290"/>
      <c r="C1741" s="357"/>
      <c r="D1741" s="291"/>
      <c r="E1741" s="291"/>
      <c r="F1741" s="292"/>
      <c r="G1741" s="291"/>
      <c r="H1741" s="291"/>
      <c r="I1741" s="293"/>
      <c r="J1741" s="291"/>
      <c r="K1741" s="291"/>
      <c r="L1741" s="293"/>
      <c r="M1741" s="291"/>
      <c r="N1741" s="289"/>
      <c r="O1741" s="358"/>
      <c r="P1741" s="402">
        <f t="shared" ref="P1741:Q1741" si="1737">IF(B1741=0,0,IF(YEAR(B1741)=$Q$1,MONTH(B1741)-$P$1+1,(YEAR(B1741)-$Q$1)*12-$P$1+1+MONTH(B1741)))</f>
        <v>0</v>
      </c>
      <c r="Q1741" s="280">
        <f t="shared" si="1737"/>
        <v>0</v>
      </c>
      <c r="R1741" s="356" t="str">
        <f t="shared" si="1"/>
        <v/>
      </c>
      <c r="S1741" s="269" t="str">
        <f>IF(D1741="","",IF(OR(D1741=Plano!$A$1,D1741=Plano!$B$1),"entrada","saída"))</f>
        <v/>
      </c>
      <c r="T1741" s="406"/>
      <c r="U1741" s="406"/>
      <c r="V1741" s="269"/>
    </row>
    <row r="1742" spans="1:22" ht="12.75" customHeight="1" x14ac:dyDescent="0.2">
      <c r="A1742" s="289" t="str">
        <f>IF(B1742="","",COUNT('Diário 5º PA'!$A$5:$A$2634)+ROW()-4)</f>
        <v/>
      </c>
      <c r="B1742" s="290"/>
      <c r="C1742" s="357"/>
      <c r="D1742" s="291"/>
      <c r="E1742" s="291"/>
      <c r="F1742" s="292"/>
      <c r="G1742" s="291"/>
      <c r="H1742" s="291"/>
      <c r="I1742" s="293"/>
      <c r="J1742" s="291"/>
      <c r="K1742" s="291"/>
      <c r="L1742" s="293"/>
      <c r="M1742" s="291"/>
      <c r="N1742" s="289"/>
      <c r="O1742" s="358"/>
      <c r="P1742" s="402">
        <f t="shared" ref="P1742:Q1742" si="1738">IF(B1742=0,0,IF(YEAR(B1742)=$Q$1,MONTH(B1742)-$P$1+1,(YEAR(B1742)-$Q$1)*12-$P$1+1+MONTH(B1742)))</f>
        <v>0</v>
      </c>
      <c r="Q1742" s="280">
        <f t="shared" si="1738"/>
        <v>0</v>
      </c>
      <c r="R1742" s="356" t="str">
        <f t="shared" si="1"/>
        <v/>
      </c>
      <c r="S1742" s="269" t="str">
        <f>IF(D1742="","",IF(OR(D1742=Plano!$A$1,D1742=Plano!$B$1),"entrada","saída"))</f>
        <v/>
      </c>
      <c r="T1742" s="406"/>
      <c r="U1742" s="406"/>
      <c r="V1742" s="269"/>
    </row>
    <row r="1743" spans="1:22" ht="12.75" customHeight="1" x14ac:dyDescent="0.2">
      <c r="A1743" s="289" t="str">
        <f>IF(B1743="","",COUNT('Diário 5º PA'!$A$5:$A$2634)+ROW()-4)</f>
        <v/>
      </c>
      <c r="B1743" s="290"/>
      <c r="C1743" s="357"/>
      <c r="D1743" s="291"/>
      <c r="E1743" s="291"/>
      <c r="F1743" s="292"/>
      <c r="G1743" s="291"/>
      <c r="H1743" s="291"/>
      <c r="I1743" s="293"/>
      <c r="J1743" s="291"/>
      <c r="K1743" s="291"/>
      <c r="L1743" s="293"/>
      <c r="M1743" s="291"/>
      <c r="N1743" s="289"/>
      <c r="O1743" s="358"/>
      <c r="P1743" s="402">
        <f t="shared" ref="P1743:Q1743" si="1739">IF(B1743=0,0,IF(YEAR(B1743)=$Q$1,MONTH(B1743)-$P$1+1,(YEAR(B1743)-$Q$1)*12-$P$1+1+MONTH(B1743)))</f>
        <v>0</v>
      </c>
      <c r="Q1743" s="280">
        <f t="shared" si="1739"/>
        <v>0</v>
      </c>
      <c r="R1743" s="356" t="str">
        <f t="shared" si="1"/>
        <v/>
      </c>
      <c r="S1743" s="269" t="str">
        <f>IF(D1743="","",IF(OR(D1743=Plano!$A$1,D1743=Plano!$B$1),"entrada","saída"))</f>
        <v/>
      </c>
      <c r="T1743" s="406"/>
      <c r="U1743" s="406"/>
      <c r="V1743" s="269"/>
    </row>
    <row r="1744" spans="1:22" ht="12.75" customHeight="1" x14ac:dyDescent="0.2">
      <c r="A1744" s="289" t="str">
        <f>IF(B1744="","",COUNT('Diário 5º PA'!$A$5:$A$2634)+ROW()-4)</f>
        <v/>
      </c>
      <c r="B1744" s="290"/>
      <c r="C1744" s="357"/>
      <c r="D1744" s="291"/>
      <c r="E1744" s="291"/>
      <c r="F1744" s="292"/>
      <c r="G1744" s="291"/>
      <c r="H1744" s="291"/>
      <c r="I1744" s="293"/>
      <c r="J1744" s="291"/>
      <c r="K1744" s="291"/>
      <c r="L1744" s="293"/>
      <c r="M1744" s="291"/>
      <c r="N1744" s="289"/>
      <c r="O1744" s="358"/>
      <c r="P1744" s="402">
        <f t="shared" ref="P1744:Q1744" si="1740">IF(B1744=0,0,IF(YEAR(B1744)=$Q$1,MONTH(B1744)-$P$1+1,(YEAR(B1744)-$Q$1)*12-$P$1+1+MONTH(B1744)))</f>
        <v>0</v>
      </c>
      <c r="Q1744" s="280">
        <f t="shared" si="1740"/>
        <v>0</v>
      </c>
      <c r="R1744" s="356" t="str">
        <f t="shared" si="1"/>
        <v/>
      </c>
      <c r="S1744" s="269" t="str">
        <f>IF(D1744="","",IF(OR(D1744=Plano!$A$1,D1744=Plano!$B$1),"entrada","saída"))</f>
        <v/>
      </c>
      <c r="T1744" s="406"/>
      <c r="U1744" s="406"/>
      <c r="V1744" s="269"/>
    </row>
    <row r="1745" spans="1:22" ht="12.75" customHeight="1" x14ac:dyDescent="0.2">
      <c r="A1745" s="289" t="str">
        <f>IF(B1745="","",COUNT('Diário 5º PA'!$A$5:$A$2634)+ROW()-4)</f>
        <v/>
      </c>
      <c r="B1745" s="290"/>
      <c r="C1745" s="357"/>
      <c r="D1745" s="291"/>
      <c r="E1745" s="291"/>
      <c r="F1745" s="292"/>
      <c r="G1745" s="291"/>
      <c r="H1745" s="291"/>
      <c r="I1745" s="293"/>
      <c r="J1745" s="291"/>
      <c r="K1745" s="291"/>
      <c r="L1745" s="293"/>
      <c r="M1745" s="291"/>
      <c r="N1745" s="289"/>
      <c r="O1745" s="358"/>
      <c r="P1745" s="402">
        <f t="shared" ref="P1745:Q1745" si="1741">IF(B1745=0,0,IF(YEAR(B1745)=$Q$1,MONTH(B1745)-$P$1+1,(YEAR(B1745)-$Q$1)*12-$P$1+1+MONTH(B1745)))</f>
        <v>0</v>
      </c>
      <c r="Q1745" s="280">
        <f t="shared" si="1741"/>
        <v>0</v>
      </c>
      <c r="R1745" s="356" t="str">
        <f t="shared" si="1"/>
        <v/>
      </c>
      <c r="S1745" s="269" t="str">
        <f>IF(D1745="","",IF(OR(D1745=Plano!$A$1,D1745=Plano!$B$1),"entrada","saída"))</f>
        <v/>
      </c>
      <c r="T1745" s="406"/>
      <c r="U1745" s="406"/>
      <c r="V1745" s="269"/>
    </row>
    <row r="1746" spans="1:22" ht="12.75" customHeight="1" x14ac:dyDescent="0.2">
      <c r="A1746" s="289" t="str">
        <f>IF(B1746="","",COUNT('Diário 5º PA'!$A$5:$A$2634)+ROW()-4)</f>
        <v/>
      </c>
      <c r="B1746" s="290"/>
      <c r="C1746" s="357"/>
      <c r="D1746" s="291"/>
      <c r="E1746" s="291"/>
      <c r="F1746" s="292"/>
      <c r="G1746" s="291"/>
      <c r="H1746" s="291"/>
      <c r="I1746" s="293"/>
      <c r="J1746" s="291"/>
      <c r="K1746" s="291"/>
      <c r="L1746" s="293"/>
      <c r="M1746" s="291"/>
      <c r="N1746" s="289"/>
      <c r="O1746" s="358"/>
      <c r="P1746" s="402">
        <f t="shared" ref="P1746:Q1746" si="1742">IF(B1746=0,0,IF(YEAR(B1746)=$Q$1,MONTH(B1746)-$P$1+1,(YEAR(B1746)-$Q$1)*12-$P$1+1+MONTH(B1746)))</f>
        <v>0</v>
      </c>
      <c r="Q1746" s="280">
        <f t="shared" si="1742"/>
        <v>0</v>
      </c>
      <c r="R1746" s="356" t="str">
        <f t="shared" si="1"/>
        <v/>
      </c>
      <c r="S1746" s="269" t="str">
        <f>IF(D1746="","",IF(OR(D1746=Plano!$A$1,D1746=Plano!$B$1),"entrada","saída"))</f>
        <v/>
      </c>
      <c r="T1746" s="406"/>
      <c r="U1746" s="406"/>
      <c r="V1746" s="269"/>
    </row>
    <row r="1747" spans="1:22" ht="12.75" customHeight="1" x14ac:dyDescent="0.2">
      <c r="A1747" s="289" t="str">
        <f>IF(B1747="","",COUNT('Diário 5º PA'!$A$5:$A$2634)+ROW()-4)</f>
        <v/>
      </c>
      <c r="B1747" s="290"/>
      <c r="C1747" s="357"/>
      <c r="D1747" s="291"/>
      <c r="E1747" s="291"/>
      <c r="F1747" s="292"/>
      <c r="G1747" s="291"/>
      <c r="H1747" s="291"/>
      <c r="I1747" s="293"/>
      <c r="J1747" s="291"/>
      <c r="K1747" s="291"/>
      <c r="L1747" s="293"/>
      <c r="M1747" s="291"/>
      <c r="N1747" s="289"/>
      <c r="O1747" s="358"/>
      <c r="P1747" s="402">
        <f t="shared" ref="P1747:Q1747" si="1743">IF(B1747=0,0,IF(YEAR(B1747)=$Q$1,MONTH(B1747)-$P$1+1,(YEAR(B1747)-$Q$1)*12-$P$1+1+MONTH(B1747)))</f>
        <v>0</v>
      </c>
      <c r="Q1747" s="280">
        <f t="shared" si="1743"/>
        <v>0</v>
      </c>
      <c r="R1747" s="356" t="str">
        <f t="shared" si="1"/>
        <v/>
      </c>
      <c r="S1747" s="269" t="str">
        <f>IF(D1747="","",IF(OR(D1747=Plano!$A$1,D1747=Plano!$B$1),"entrada","saída"))</f>
        <v/>
      </c>
      <c r="T1747" s="406"/>
      <c r="U1747" s="406"/>
      <c r="V1747" s="269"/>
    </row>
    <row r="1748" spans="1:22" ht="12.75" customHeight="1" x14ac:dyDescent="0.2">
      <c r="A1748" s="289" t="str">
        <f>IF(B1748="","",COUNT('Diário 5º PA'!$A$5:$A$2634)+ROW()-4)</f>
        <v/>
      </c>
      <c r="B1748" s="290"/>
      <c r="C1748" s="357"/>
      <c r="D1748" s="291"/>
      <c r="E1748" s="291"/>
      <c r="F1748" s="292"/>
      <c r="G1748" s="291"/>
      <c r="H1748" s="291"/>
      <c r="I1748" s="293"/>
      <c r="J1748" s="291"/>
      <c r="K1748" s="291"/>
      <c r="L1748" s="293"/>
      <c r="M1748" s="291"/>
      <c r="N1748" s="289"/>
      <c r="O1748" s="358"/>
      <c r="P1748" s="402">
        <f t="shared" ref="P1748:Q1748" si="1744">IF(B1748=0,0,IF(YEAR(B1748)=$Q$1,MONTH(B1748)-$P$1+1,(YEAR(B1748)-$Q$1)*12-$P$1+1+MONTH(B1748)))</f>
        <v>0</v>
      </c>
      <c r="Q1748" s="280">
        <f t="shared" si="1744"/>
        <v>0</v>
      </c>
      <c r="R1748" s="356" t="str">
        <f t="shared" si="1"/>
        <v/>
      </c>
      <c r="S1748" s="269" t="str">
        <f>IF(D1748="","",IF(OR(D1748=Plano!$A$1,D1748=Plano!$B$1),"entrada","saída"))</f>
        <v/>
      </c>
      <c r="T1748" s="406"/>
      <c r="U1748" s="406"/>
      <c r="V1748" s="269"/>
    </row>
    <row r="1749" spans="1:22" ht="12.75" customHeight="1" x14ac:dyDescent="0.2">
      <c r="A1749" s="289" t="str">
        <f>IF(B1749="","",COUNT('Diário 5º PA'!$A$5:$A$2634)+ROW()-4)</f>
        <v/>
      </c>
      <c r="B1749" s="290"/>
      <c r="C1749" s="357"/>
      <c r="D1749" s="291"/>
      <c r="E1749" s="291"/>
      <c r="F1749" s="292"/>
      <c r="G1749" s="291"/>
      <c r="H1749" s="291"/>
      <c r="I1749" s="293"/>
      <c r="J1749" s="291"/>
      <c r="K1749" s="291"/>
      <c r="L1749" s="293"/>
      <c r="M1749" s="291"/>
      <c r="N1749" s="289"/>
      <c r="O1749" s="358"/>
      <c r="P1749" s="402">
        <f t="shared" ref="P1749:Q1749" si="1745">IF(B1749=0,0,IF(YEAR(B1749)=$Q$1,MONTH(B1749)-$P$1+1,(YEAR(B1749)-$Q$1)*12-$P$1+1+MONTH(B1749)))</f>
        <v>0</v>
      </c>
      <c r="Q1749" s="280">
        <f t="shared" si="1745"/>
        <v>0</v>
      </c>
      <c r="R1749" s="356" t="str">
        <f t="shared" si="1"/>
        <v/>
      </c>
      <c r="S1749" s="269" t="str">
        <f>IF(D1749="","",IF(OR(D1749=Plano!$A$1,D1749=Plano!$B$1),"entrada","saída"))</f>
        <v/>
      </c>
      <c r="T1749" s="406"/>
      <c r="U1749" s="406"/>
      <c r="V1749" s="269"/>
    </row>
    <row r="1750" spans="1:22" ht="12.75" customHeight="1" x14ac:dyDescent="0.2">
      <c r="A1750" s="289" t="str">
        <f>IF(B1750="","",COUNT('Diário 5º PA'!$A$5:$A$2634)+ROW()-4)</f>
        <v/>
      </c>
      <c r="B1750" s="290"/>
      <c r="C1750" s="357"/>
      <c r="D1750" s="291"/>
      <c r="E1750" s="291"/>
      <c r="F1750" s="292"/>
      <c r="G1750" s="291"/>
      <c r="H1750" s="291"/>
      <c r="I1750" s="293"/>
      <c r="J1750" s="291"/>
      <c r="K1750" s="291"/>
      <c r="L1750" s="293"/>
      <c r="M1750" s="291"/>
      <c r="N1750" s="289"/>
      <c r="O1750" s="358"/>
      <c r="P1750" s="402">
        <f t="shared" ref="P1750:Q1750" si="1746">IF(B1750=0,0,IF(YEAR(B1750)=$Q$1,MONTH(B1750)-$P$1+1,(YEAR(B1750)-$Q$1)*12-$P$1+1+MONTH(B1750)))</f>
        <v>0</v>
      </c>
      <c r="Q1750" s="280">
        <f t="shared" si="1746"/>
        <v>0</v>
      </c>
      <c r="R1750" s="356" t="str">
        <f t="shared" si="1"/>
        <v/>
      </c>
      <c r="S1750" s="269" t="str">
        <f>IF(D1750="","",IF(OR(D1750=Plano!$A$1,D1750=Plano!$B$1),"entrada","saída"))</f>
        <v/>
      </c>
      <c r="T1750" s="406"/>
      <c r="U1750" s="406"/>
      <c r="V1750" s="269"/>
    </row>
    <row r="1751" spans="1:22" ht="12.75" customHeight="1" x14ac:dyDescent="0.2">
      <c r="A1751" s="289" t="str">
        <f>IF(B1751="","",COUNT('Diário 5º PA'!$A$5:$A$2634)+ROW()-4)</f>
        <v/>
      </c>
      <c r="B1751" s="290"/>
      <c r="C1751" s="357"/>
      <c r="D1751" s="291"/>
      <c r="E1751" s="291"/>
      <c r="F1751" s="292"/>
      <c r="G1751" s="291"/>
      <c r="H1751" s="291"/>
      <c r="I1751" s="293"/>
      <c r="J1751" s="291"/>
      <c r="K1751" s="291"/>
      <c r="L1751" s="293"/>
      <c r="M1751" s="291"/>
      <c r="N1751" s="289"/>
      <c r="O1751" s="358"/>
      <c r="P1751" s="402">
        <f t="shared" ref="P1751:Q1751" si="1747">IF(B1751=0,0,IF(YEAR(B1751)=$Q$1,MONTH(B1751)-$P$1+1,(YEAR(B1751)-$Q$1)*12-$P$1+1+MONTH(B1751)))</f>
        <v>0</v>
      </c>
      <c r="Q1751" s="280">
        <f t="shared" si="1747"/>
        <v>0</v>
      </c>
      <c r="R1751" s="356" t="str">
        <f t="shared" si="1"/>
        <v/>
      </c>
      <c r="S1751" s="269" t="str">
        <f>IF(D1751="","",IF(OR(D1751=Plano!$A$1,D1751=Plano!$B$1),"entrada","saída"))</f>
        <v/>
      </c>
      <c r="T1751" s="406"/>
      <c r="U1751" s="406"/>
      <c r="V1751" s="269"/>
    </row>
    <row r="1752" spans="1:22" ht="12.75" customHeight="1" x14ac:dyDescent="0.2">
      <c r="A1752" s="289" t="str">
        <f>IF(B1752="","",COUNT('Diário 5º PA'!$A$5:$A$2634)+ROW()-4)</f>
        <v/>
      </c>
      <c r="B1752" s="290"/>
      <c r="C1752" s="357"/>
      <c r="D1752" s="291"/>
      <c r="E1752" s="291"/>
      <c r="F1752" s="292"/>
      <c r="G1752" s="291"/>
      <c r="H1752" s="291"/>
      <c r="I1752" s="293"/>
      <c r="J1752" s="291"/>
      <c r="K1752" s="291"/>
      <c r="L1752" s="293"/>
      <c r="M1752" s="291"/>
      <c r="N1752" s="289"/>
      <c r="O1752" s="358"/>
      <c r="P1752" s="402">
        <f t="shared" ref="P1752:Q1752" si="1748">IF(B1752=0,0,IF(YEAR(B1752)=$Q$1,MONTH(B1752)-$P$1+1,(YEAR(B1752)-$Q$1)*12-$P$1+1+MONTH(B1752)))</f>
        <v>0</v>
      </c>
      <c r="Q1752" s="280">
        <f t="shared" si="1748"/>
        <v>0</v>
      </c>
      <c r="R1752" s="356" t="str">
        <f t="shared" si="1"/>
        <v/>
      </c>
      <c r="S1752" s="269" t="str">
        <f>IF(D1752="","",IF(OR(D1752=Plano!$A$1,D1752=Plano!$B$1),"entrada","saída"))</f>
        <v/>
      </c>
      <c r="T1752" s="406"/>
      <c r="U1752" s="406"/>
      <c r="V1752" s="269"/>
    </row>
    <row r="1753" spans="1:22" ht="12.75" customHeight="1" x14ac:dyDescent="0.2">
      <c r="A1753" s="289" t="str">
        <f>IF(B1753="","",COUNT('Diário 5º PA'!$A$5:$A$2634)+ROW()-4)</f>
        <v/>
      </c>
      <c r="B1753" s="290"/>
      <c r="C1753" s="357"/>
      <c r="D1753" s="291"/>
      <c r="E1753" s="291"/>
      <c r="F1753" s="292"/>
      <c r="G1753" s="291"/>
      <c r="H1753" s="291"/>
      <c r="I1753" s="293"/>
      <c r="J1753" s="291"/>
      <c r="K1753" s="291"/>
      <c r="L1753" s="293"/>
      <c r="M1753" s="291"/>
      <c r="N1753" s="289"/>
      <c r="O1753" s="358"/>
      <c r="P1753" s="402">
        <f t="shared" ref="P1753:Q1753" si="1749">IF(B1753=0,0,IF(YEAR(B1753)=$Q$1,MONTH(B1753)-$P$1+1,(YEAR(B1753)-$Q$1)*12-$P$1+1+MONTH(B1753)))</f>
        <v>0</v>
      </c>
      <c r="Q1753" s="280">
        <f t="shared" si="1749"/>
        <v>0</v>
      </c>
      <c r="R1753" s="356" t="str">
        <f t="shared" si="1"/>
        <v/>
      </c>
      <c r="S1753" s="269" t="str">
        <f>IF(D1753="","",IF(OR(D1753=Plano!$A$1,D1753=Plano!$B$1),"entrada","saída"))</f>
        <v/>
      </c>
      <c r="T1753" s="406"/>
      <c r="U1753" s="406"/>
      <c r="V1753" s="269"/>
    </row>
    <row r="1754" spans="1:22" ht="12.75" customHeight="1" x14ac:dyDescent="0.2">
      <c r="A1754" s="289" t="str">
        <f>IF(B1754="","",COUNT('Diário 5º PA'!$A$5:$A$2634)+ROW()-4)</f>
        <v/>
      </c>
      <c r="B1754" s="290"/>
      <c r="C1754" s="357"/>
      <c r="D1754" s="291"/>
      <c r="E1754" s="291"/>
      <c r="F1754" s="292"/>
      <c r="G1754" s="291"/>
      <c r="H1754" s="291"/>
      <c r="I1754" s="293"/>
      <c r="J1754" s="291"/>
      <c r="K1754" s="291"/>
      <c r="L1754" s="293"/>
      <c r="M1754" s="291"/>
      <c r="N1754" s="289"/>
      <c r="O1754" s="358"/>
      <c r="P1754" s="402">
        <f t="shared" ref="P1754:Q1754" si="1750">IF(B1754=0,0,IF(YEAR(B1754)=$Q$1,MONTH(B1754)-$P$1+1,(YEAR(B1754)-$Q$1)*12-$P$1+1+MONTH(B1754)))</f>
        <v>0</v>
      </c>
      <c r="Q1754" s="280">
        <f t="shared" si="1750"/>
        <v>0</v>
      </c>
      <c r="R1754" s="356" t="str">
        <f t="shared" si="1"/>
        <v/>
      </c>
      <c r="S1754" s="269" t="str">
        <f>IF(D1754="","",IF(OR(D1754=Plano!$A$1,D1754=Plano!$B$1),"entrada","saída"))</f>
        <v/>
      </c>
      <c r="T1754" s="406"/>
      <c r="U1754" s="406"/>
      <c r="V1754" s="269"/>
    </row>
    <row r="1755" spans="1:22" ht="12.75" customHeight="1" x14ac:dyDescent="0.2">
      <c r="A1755" s="289" t="str">
        <f>IF(B1755="","",COUNT('Diário 5º PA'!$A$5:$A$2634)+ROW()-4)</f>
        <v/>
      </c>
      <c r="B1755" s="290"/>
      <c r="C1755" s="357"/>
      <c r="D1755" s="291"/>
      <c r="E1755" s="291"/>
      <c r="F1755" s="292"/>
      <c r="G1755" s="291"/>
      <c r="H1755" s="291"/>
      <c r="I1755" s="293"/>
      <c r="J1755" s="291"/>
      <c r="K1755" s="291"/>
      <c r="L1755" s="293"/>
      <c r="M1755" s="291"/>
      <c r="N1755" s="289"/>
      <c r="O1755" s="358"/>
      <c r="P1755" s="402">
        <f t="shared" ref="P1755:Q1755" si="1751">IF(B1755=0,0,IF(YEAR(B1755)=$Q$1,MONTH(B1755)-$P$1+1,(YEAR(B1755)-$Q$1)*12-$P$1+1+MONTH(B1755)))</f>
        <v>0</v>
      </c>
      <c r="Q1755" s="280">
        <f t="shared" si="1751"/>
        <v>0</v>
      </c>
      <c r="R1755" s="356" t="str">
        <f t="shared" si="1"/>
        <v/>
      </c>
      <c r="S1755" s="269" t="str">
        <f>IF(D1755="","",IF(OR(D1755=Plano!$A$1,D1755=Plano!$B$1),"entrada","saída"))</f>
        <v/>
      </c>
      <c r="T1755" s="406"/>
      <c r="U1755" s="406"/>
      <c r="V1755" s="269"/>
    </row>
    <row r="1756" spans="1:22" ht="12.75" customHeight="1" x14ac:dyDescent="0.2">
      <c r="A1756" s="289" t="str">
        <f>IF(B1756="","",COUNT('Diário 5º PA'!$A$5:$A$2634)+ROW()-4)</f>
        <v/>
      </c>
      <c r="B1756" s="290"/>
      <c r="C1756" s="357"/>
      <c r="D1756" s="291"/>
      <c r="E1756" s="291"/>
      <c r="F1756" s="292"/>
      <c r="G1756" s="291"/>
      <c r="H1756" s="291"/>
      <c r="I1756" s="293"/>
      <c r="J1756" s="291"/>
      <c r="K1756" s="291"/>
      <c r="L1756" s="293"/>
      <c r="M1756" s="291"/>
      <c r="N1756" s="289"/>
      <c r="O1756" s="358"/>
      <c r="P1756" s="402">
        <f t="shared" ref="P1756:Q1756" si="1752">IF(B1756=0,0,IF(YEAR(B1756)=$Q$1,MONTH(B1756)-$P$1+1,(YEAR(B1756)-$Q$1)*12-$P$1+1+MONTH(B1756)))</f>
        <v>0</v>
      </c>
      <c r="Q1756" s="280">
        <f t="shared" si="1752"/>
        <v>0</v>
      </c>
      <c r="R1756" s="356" t="str">
        <f t="shared" si="1"/>
        <v/>
      </c>
      <c r="S1756" s="269" t="str">
        <f>IF(D1756="","",IF(OR(D1756=Plano!$A$1,D1756=Plano!$B$1),"entrada","saída"))</f>
        <v/>
      </c>
      <c r="T1756" s="406"/>
      <c r="U1756" s="406"/>
      <c r="V1756" s="269"/>
    </row>
    <row r="1757" spans="1:22" ht="12.75" customHeight="1" x14ac:dyDescent="0.2">
      <c r="A1757" s="289" t="str">
        <f>IF(B1757="","",COUNT('Diário 5º PA'!$A$5:$A$2634)+ROW()-4)</f>
        <v/>
      </c>
      <c r="B1757" s="290"/>
      <c r="C1757" s="357"/>
      <c r="D1757" s="291"/>
      <c r="E1757" s="291"/>
      <c r="F1757" s="292"/>
      <c r="G1757" s="291"/>
      <c r="H1757" s="291"/>
      <c r="I1757" s="293"/>
      <c r="J1757" s="291"/>
      <c r="K1757" s="291"/>
      <c r="L1757" s="293"/>
      <c r="M1757" s="291"/>
      <c r="N1757" s="289"/>
      <c r="O1757" s="358"/>
      <c r="P1757" s="402">
        <f t="shared" ref="P1757:Q1757" si="1753">IF(B1757=0,0,IF(YEAR(B1757)=$Q$1,MONTH(B1757)-$P$1+1,(YEAR(B1757)-$Q$1)*12-$P$1+1+MONTH(B1757)))</f>
        <v>0</v>
      </c>
      <c r="Q1757" s="280">
        <f t="shared" si="1753"/>
        <v>0</v>
      </c>
      <c r="R1757" s="356" t="str">
        <f t="shared" si="1"/>
        <v/>
      </c>
      <c r="S1757" s="269" t="str">
        <f>IF(D1757="","",IF(OR(D1757=Plano!$A$1,D1757=Plano!$B$1),"entrada","saída"))</f>
        <v/>
      </c>
      <c r="T1757" s="406"/>
      <c r="U1757" s="406"/>
      <c r="V1757" s="269"/>
    </row>
    <row r="1758" spans="1:22" ht="12.75" customHeight="1" x14ac:dyDescent="0.2">
      <c r="A1758" s="289" t="str">
        <f>IF(B1758="","",COUNT('Diário 5º PA'!$A$5:$A$2634)+ROW()-4)</f>
        <v/>
      </c>
      <c r="B1758" s="290"/>
      <c r="C1758" s="357"/>
      <c r="D1758" s="291"/>
      <c r="E1758" s="291"/>
      <c r="F1758" s="292"/>
      <c r="G1758" s="291"/>
      <c r="H1758" s="291"/>
      <c r="I1758" s="293"/>
      <c r="J1758" s="291"/>
      <c r="K1758" s="291"/>
      <c r="L1758" s="293"/>
      <c r="M1758" s="291"/>
      <c r="N1758" s="289"/>
      <c r="O1758" s="358"/>
      <c r="P1758" s="402">
        <f t="shared" ref="P1758:Q1758" si="1754">IF(B1758=0,0,IF(YEAR(B1758)=$Q$1,MONTH(B1758)-$P$1+1,(YEAR(B1758)-$Q$1)*12-$P$1+1+MONTH(B1758)))</f>
        <v>0</v>
      </c>
      <c r="Q1758" s="280">
        <f t="shared" si="1754"/>
        <v>0</v>
      </c>
      <c r="R1758" s="356" t="str">
        <f t="shared" si="1"/>
        <v/>
      </c>
      <c r="S1758" s="269" t="str">
        <f>IF(D1758="","",IF(OR(D1758=Plano!$A$1,D1758=Plano!$B$1),"entrada","saída"))</f>
        <v/>
      </c>
      <c r="T1758" s="406"/>
      <c r="U1758" s="406"/>
      <c r="V1758" s="269"/>
    </row>
    <row r="1759" spans="1:22" ht="12.75" customHeight="1" x14ac:dyDescent="0.2">
      <c r="A1759" s="289" t="str">
        <f>IF(B1759="","",COUNT('Diário 5º PA'!$A$5:$A$2634)+ROW()-4)</f>
        <v/>
      </c>
      <c r="B1759" s="290"/>
      <c r="C1759" s="357"/>
      <c r="D1759" s="291"/>
      <c r="E1759" s="291"/>
      <c r="F1759" s="292"/>
      <c r="G1759" s="291"/>
      <c r="H1759" s="291"/>
      <c r="I1759" s="293"/>
      <c r="J1759" s="291"/>
      <c r="K1759" s="291"/>
      <c r="L1759" s="293"/>
      <c r="M1759" s="291"/>
      <c r="N1759" s="289"/>
      <c r="O1759" s="358"/>
      <c r="P1759" s="402">
        <f t="shared" ref="P1759:Q1759" si="1755">IF(B1759=0,0,IF(YEAR(B1759)=$Q$1,MONTH(B1759)-$P$1+1,(YEAR(B1759)-$Q$1)*12-$P$1+1+MONTH(B1759)))</f>
        <v>0</v>
      </c>
      <c r="Q1759" s="280">
        <f t="shared" si="1755"/>
        <v>0</v>
      </c>
      <c r="R1759" s="356" t="str">
        <f t="shared" si="1"/>
        <v/>
      </c>
      <c r="S1759" s="269" t="str">
        <f>IF(D1759="","",IF(OR(D1759=Plano!$A$1,D1759=Plano!$B$1),"entrada","saída"))</f>
        <v/>
      </c>
      <c r="T1759" s="406"/>
      <c r="U1759" s="406"/>
      <c r="V1759" s="269"/>
    </row>
    <row r="1760" spans="1:22" ht="12.75" customHeight="1" x14ac:dyDescent="0.2">
      <c r="A1760" s="289" t="str">
        <f>IF(B1760="","",COUNT('Diário 5º PA'!$A$5:$A$2634)+ROW()-4)</f>
        <v/>
      </c>
      <c r="B1760" s="290"/>
      <c r="C1760" s="357"/>
      <c r="D1760" s="291"/>
      <c r="E1760" s="291"/>
      <c r="F1760" s="292"/>
      <c r="G1760" s="291"/>
      <c r="H1760" s="291"/>
      <c r="I1760" s="293"/>
      <c r="J1760" s="291"/>
      <c r="K1760" s="291"/>
      <c r="L1760" s="293"/>
      <c r="M1760" s="291"/>
      <c r="N1760" s="289"/>
      <c r="O1760" s="358"/>
      <c r="P1760" s="402">
        <f t="shared" ref="P1760:Q1760" si="1756">IF(B1760=0,0,IF(YEAR(B1760)=$Q$1,MONTH(B1760)-$P$1+1,(YEAR(B1760)-$Q$1)*12-$P$1+1+MONTH(B1760)))</f>
        <v>0</v>
      </c>
      <c r="Q1760" s="280">
        <f t="shared" si="1756"/>
        <v>0</v>
      </c>
      <c r="R1760" s="356" t="str">
        <f t="shared" si="1"/>
        <v/>
      </c>
      <c r="S1760" s="269" t="str">
        <f>IF(D1760="","",IF(OR(D1760=Plano!$A$1,D1760=Plano!$B$1),"entrada","saída"))</f>
        <v/>
      </c>
      <c r="T1760" s="406"/>
      <c r="U1760" s="406"/>
      <c r="V1760" s="269"/>
    </row>
    <row r="1761" spans="1:22" ht="12.75" customHeight="1" x14ac:dyDescent="0.2">
      <c r="A1761" s="289" t="str">
        <f>IF(B1761="","",COUNT('Diário 5º PA'!$A$5:$A$2634)+ROW()-4)</f>
        <v/>
      </c>
      <c r="B1761" s="290"/>
      <c r="C1761" s="357"/>
      <c r="D1761" s="291"/>
      <c r="E1761" s="291"/>
      <c r="F1761" s="292"/>
      <c r="G1761" s="291"/>
      <c r="H1761" s="291"/>
      <c r="I1761" s="293"/>
      <c r="J1761" s="291"/>
      <c r="K1761" s="291"/>
      <c r="L1761" s="293"/>
      <c r="M1761" s="291"/>
      <c r="N1761" s="289"/>
      <c r="O1761" s="358"/>
      <c r="P1761" s="402">
        <f t="shared" ref="P1761:Q1761" si="1757">IF(B1761=0,0,IF(YEAR(B1761)=$Q$1,MONTH(B1761)-$P$1+1,(YEAR(B1761)-$Q$1)*12-$P$1+1+MONTH(B1761)))</f>
        <v>0</v>
      </c>
      <c r="Q1761" s="280">
        <f t="shared" si="1757"/>
        <v>0</v>
      </c>
      <c r="R1761" s="356" t="str">
        <f t="shared" si="1"/>
        <v/>
      </c>
      <c r="S1761" s="269" t="str">
        <f>IF(D1761="","",IF(OR(D1761=Plano!$A$1,D1761=Plano!$B$1),"entrada","saída"))</f>
        <v/>
      </c>
      <c r="T1761" s="406"/>
      <c r="U1761" s="406"/>
      <c r="V1761" s="269"/>
    </row>
    <row r="1762" spans="1:22" ht="12.75" customHeight="1" x14ac:dyDescent="0.2">
      <c r="A1762" s="289" t="str">
        <f>IF(B1762="","",COUNT('Diário 5º PA'!$A$5:$A$2634)+ROW()-4)</f>
        <v/>
      </c>
      <c r="B1762" s="290"/>
      <c r="C1762" s="357"/>
      <c r="D1762" s="291"/>
      <c r="E1762" s="291"/>
      <c r="F1762" s="292"/>
      <c r="G1762" s="291"/>
      <c r="H1762" s="291"/>
      <c r="I1762" s="293"/>
      <c r="J1762" s="291"/>
      <c r="K1762" s="291"/>
      <c r="L1762" s="293"/>
      <c r="M1762" s="291"/>
      <c r="N1762" s="289"/>
      <c r="O1762" s="358"/>
      <c r="P1762" s="402">
        <f t="shared" ref="P1762:Q1762" si="1758">IF(B1762=0,0,IF(YEAR(B1762)=$Q$1,MONTH(B1762)-$P$1+1,(YEAR(B1762)-$Q$1)*12-$P$1+1+MONTH(B1762)))</f>
        <v>0</v>
      </c>
      <c r="Q1762" s="280">
        <f t="shared" si="1758"/>
        <v>0</v>
      </c>
      <c r="R1762" s="356" t="str">
        <f t="shared" si="1"/>
        <v/>
      </c>
      <c r="S1762" s="269" t="str">
        <f>IF(D1762="","",IF(OR(D1762=Plano!$A$1,D1762=Plano!$B$1),"entrada","saída"))</f>
        <v/>
      </c>
      <c r="T1762" s="406"/>
      <c r="U1762" s="406"/>
      <c r="V1762" s="269"/>
    </row>
    <row r="1763" spans="1:22" ht="12.75" customHeight="1" x14ac:dyDescent="0.2">
      <c r="A1763" s="289" t="str">
        <f>IF(B1763="","",COUNT('Diário 5º PA'!$A$5:$A$2634)+ROW()-4)</f>
        <v/>
      </c>
      <c r="B1763" s="290"/>
      <c r="C1763" s="357"/>
      <c r="D1763" s="291"/>
      <c r="E1763" s="291"/>
      <c r="F1763" s="292"/>
      <c r="G1763" s="291"/>
      <c r="H1763" s="291"/>
      <c r="I1763" s="293"/>
      <c r="J1763" s="291"/>
      <c r="K1763" s="291"/>
      <c r="L1763" s="293"/>
      <c r="M1763" s="291"/>
      <c r="N1763" s="289"/>
      <c r="O1763" s="358"/>
      <c r="P1763" s="402">
        <f t="shared" ref="P1763:Q1763" si="1759">IF(B1763=0,0,IF(YEAR(B1763)=$Q$1,MONTH(B1763)-$P$1+1,(YEAR(B1763)-$Q$1)*12-$P$1+1+MONTH(B1763)))</f>
        <v>0</v>
      </c>
      <c r="Q1763" s="280">
        <f t="shared" si="1759"/>
        <v>0</v>
      </c>
      <c r="R1763" s="356" t="str">
        <f t="shared" si="1"/>
        <v/>
      </c>
      <c r="S1763" s="269" t="str">
        <f>IF(D1763="","",IF(OR(D1763=Plano!$A$1,D1763=Plano!$B$1),"entrada","saída"))</f>
        <v/>
      </c>
      <c r="T1763" s="406"/>
      <c r="U1763" s="406"/>
      <c r="V1763" s="269"/>
    </row>
    <row r="1764" spans="1:22" ht="12.75" customHeight="1" x14ac:dyDescent="0.2">
      <c r="A1764" s="289" t="str">
        <f>IF(B1764="","",COUNT('Diário 5º PA'!$A$5:$A$2634)+ROW()-4)</f>
        <v/>
      </c>
      <c r="B1764" s="290"/>
      <c r="C1764" s="357"/>
      <c r="D1764" s="291"/>
      <c r="E1764" s="291"/>
      <c r="F1764" s="292"/>
      <c r="G1764" s="291"/>
      <c r="H1764" s="291"/>
      <c r="I1764" s="293"/>
      <c r="J1764" s="291"/>
      <c r="K1764" s="291"/>
      <c r="L1764" s="293"/>
      <c r="M1764" s="291"/>
      <c r="N1764" s="289"/>
      <c r="O1764" s="358"/>
      <c r="P1764" s="402">
        <f t="shared" ref="P1764:Q1764" si="1760">IF(B1764=0,0,IF(YEAR(B1764)=$Q$1,MONTH(B1764)-$P$1+1,(YEAR(B1764)-$Q$1)*12-$P$1+1+MONTH(B1764)))</f>
        <v>0</v>
      </c>
      <c r="Q1764" s="280">
        <f t="shared" si="1760"/>
        <v>0</v>
      </c>
      <c r="R1764" s="356" t="str">
        <f t="shared" si="1"/>
        <v/>
      </c>
      <c r="S1764" s="269" t="str">
        <f>IF(D1764="","",IF(OR(D1764=Plano!$A$1,D1764=Plano!$B$1),"entrada","saída"))</f>
        <v/>
      </c>
      <c r="T1764" s="406"/>
      <c r="U1764" s="406"/>
      <c r="V1764" s="269"/>
    </row>
    <row r="1765" spans="1:22" ht="12.75" customHeight="1" x14ac:dyDescent="0.2">
      <c r="A1765" s="289" t="str">
        <f>IF(B1765="","",COUNT('Diário 5º PA'!$A$5:$A$2634)+ROW()-4)</f>
        <v/>
      </c>
      <c r="B1765" s="290"/>
      <c r="C1765" s="357"/>
      <c r="D1765" s="291"/>
      <c r="E1765" s="291"/>
      <c r="F1765" s="292"/>
      <c r="G1765" s="291"/>
      <c r="H1765" s="291"/>
      <c r="I1765" s="293"/>
      <c r="J1765" s="291"/>
      <c r="K1765" s="291"/>
      <c r="L1765" s="293"/>
      <c r="M1765" s="291"/>
      <c r="N1765" s="289"/>
      <c r="O1765" s="358"/>
      <c r="P1765" s="402">
        <f t="shared" ref="P1765:Q1765" si="1761">IF(B1765=0,0,IF(YEAR(B1765)=$Q$1,MONTH(B1765)-$P$1+1,(YEAR(B1765)-$Q$1)*12-$P$1+1+MONTH(B1765)))</f>
        <v>0</v>
      </c>
      <c r="Q1765" s="280">
        <f t="shared" si="1761"/>
        <v>0</v>
      </c>
      <c r="R1765" s="356" t="str">
        <f t="shared" si="1"/>
        <v/>
      </c>
      <c r="S1765" s="269" t="str">
        <f>IF(D1765="","",IF(OR(D1765=Plano!$A$1,D1765=Plano!$B$1),"entrada","saída"))</f>
        <v/>
      </c>
      <c r="T1765" s="406"/>
      <c r="U1765" s="406"/>
      <c r="V1765" s="269"/>
    </row>
    <row r="1766" spans="1:22" ht="12.75" customHeight="1" x14ac:dyDescent="0.2">
      <c r="A1766" s="289" t="str">
        <f>IF(B1766="","",COUNT('Diário 5º PA'!$A$5:$A$2634)+ROW()-4)</f>
        <v/>
      </c>
      <c r="B1766" s="290"/>
      <c r="C1766" s="357"/>
      <c r="D1766" s="291"/>
      <c r="E1766" s="291"/>
      <c r="F1766" s="292"/>
      <c r="G1766" s="291"/>
      <c r="H1766" s="291"/>
      <c r="I1766" s="293"/>
      <c r="J1766" s="291"/>
      <c r="K1766" s="291"/>
      <c r="L1766" s="293"/>
      <c r="M1766" s="291"/>
      <c r="N1766" s="289"/>
      <c r="O1766" s="358"/>
      <c r="P1766" s="402">
        <f t="shared" ref="P1766:Q1766" si="1762">IF(B1766=0,0,IF(YEAR(B1766)=$Q$1,MONTH(B1766)-$P$1+1,(YEAR(B1766)-$Q$1)*12-$P$1+1+MONTH(B1766)))</f>
        <v>0</v>
      </c>
      <c r="Q1766" s="280">
        <f t="shared" si="1762"/>
        <v>0</v>
      </c>
      <c r="R1766" s="356" t="str">
        <f t="shared" si="1"/>
        <v/>
      </c>
      <c r="S1766" s="269" t="str">
        <f>IF(D1766="","",IF(OR(D1766=Plano!$A$1,D1766=Plano!$B$1),"entrada","saída"))</f>
        <v/>
      </c>
      <c r="T1766" s="406"/>
      <c r="U1766" s="406"/>
      <c r="V1766" s="269"/>
    </row>
    <row r="1767" spans="1:22" ht="12.75" customHeight="1" x14ac:dyDescent="0.2">
      <c r="A1767" s="289" t="str">
        <f>IF(B1767="","",COUNT('Diário 5º PA'!$A$5:$A$2634)+ROW()-4)</f>
        <v/>
      </c>
      <c r="B1767" s="290"/>
      <c r="C1767" s="357"/>
      <c r="D1767" s="291"/>
      <c r="E1767" s="291"/>
      <c r="F1767" s="292"/>
      <c r="G1767" s="291"/>
      <c r="H1767" s="291"/>
      <c r="I1767" s="293"/>
      <c r="J1767" s="291"/>
      <c r="K1767" s="291"/>
      <c r="L1767" s="293"/>
      <c r="M1767" s="291"/>
      <c r="N1767" s="289"/>
      <c r="O1767" s="358"/>
      <c r="P1767" s="402">
        <f t="shared" ref="P1767:Q1767" si="1763">IF(B1767=0,0,IF(YEAR(B1767)=$Q$1,MONTH(B1767)-$P$1+1,(YEAR(B1767)-$Q$1)*12-$P$1+1+MONTH(B1767)))</f>
        <v>0</v>
      </c>
      <c r="Q1767" s="280">
        <f t="shared" si="1763"/>
        <v>0</v>
      </c>
      <c r="R1767" s="356" t="str">
        <f t="shared" si="1"/>
        <v/>
      </c>
      <c r="S1767" s="269" t="str">
        <f>IF(D1767="","",IF(OR(D1767=Plano!$A$1,D1767=Plano!$B$1),"entrada","saída"))</f>
        <v/>
      </c>
      <c r="T1767" s="406"/>
      <c r="U1767" s="406"/>
      <c r="V1767" s="269"/>
    </row>
    <row r="1768" spans="1:22" ht="12.75" customHeight="1" x14ac:dyDescent="0.2">
      <c r="A1768" s="289" t="str">
        <f>IF(B1768="","",COUNT('Diário 5º PA'!$A$5:$A$2634)+ROW()-4)</f>
        <v/>
      </c>
      <c r="B1768" s="290"/>
      <c r="C1768" s="357"/>
      <c r="D1768" s="291"/>
      <c r="E1768" s="291"/>
      <c r="F1768" s="292"/>
      <c r="G1768" s="291"/>
      <c r="H1768" s="291"/>
      <c r="I1768" s="293"/>
      <c r="J1768" s="291"/>
      <c r="K1768" s="291"/>
      <c r="L1768" s="293"/>
      <c r="M1768" s="291"/>
      <c r="N1768" s="289"/>
      <c r="O1768" s="358"/>
      <c r="P1768" s="402">
        <f t="shared" ref="P1768:Q1768" si="1764">IF(B1768=0,0,IF(YEAR(B1768)=$Q$1,MONTH(B1768)-$P$1+1,(YEAR(B1768)-$Q$1)*12-$P$1+1+MONTH(B1768)))</f>
        <v>0</v>
      </c>
      <c r="Q1768" s="280">
        <f t="shared" si="1764"/>
        <v>0</v>
      </c>
      <c r="R1768" s="356" t="str">
        <f t="shared" si="1"/>
        <v/>
      </c>
      <c r="S1768" s="269" t="str">
        <f>IF(D1768="","",IF(OR(D1768=Plano!$A$1,D1768=Plano!$B$1),"entrada","saída"))</f>
        <v/>
      </c>
      <c r="T1768" s="406"/>
      <c r="U1768" s="406"/>
      <c r="V1768" s="269"/>
    </row>
    <row r="1769" spans="1:22" ht="12.75" customHeight="1" x14ac:dyDescent="0.2">
      <c r="A1769" s="289" t="str">
        <f>IF(B1769="","",COUNT('Diário 5º PA'!$A$5:$A$2634)+ROW()-4)</f>
        <v/>
      </c>
      <c r="B1769" s="290"/>
      <c r="C1769" s="357"/>
      <c r="D1769" s="291"/>
      <c r="E1769" s="291"/>
      <c r="F1769" s="292"/>
      <c r="G1769" s="291"/>
      <c r="H1769" s="291"/>
      <c r="I1769" s="293"/>
      <c r="J1769" s="291"/>
      <c r="K1769" s="291"/>
      <c r="L1769" s="293"/>
      <c r="M1769" s="291"/>
      <c r="N1769" s="289"/>
      <c r="O1769" s="358"/>
      <c r="P1769" s="402">
        <f t="shared" ref="P1769:Q1769" si="1765">IF(B1769=0,0,IF(YEAR(B1769)=$Q$1,MONTH(B1769)-$P$1+1,(YEAR(B1769)-$Q$1)*12-$P$1+1+MONTH(B1769)))</f>
        <v>0</v>
      </c>
      <c r="Q1769" s="280">
        <f t="shared" si="1765"/>
        <v>0</v>
      </c>
      <c r="R1769" s="356" t="str">
        <f t="shared" si="1"/>
        <v/>
      </c>
      <c r="S1769" s="269" t="str">
        <f>IF(D1769="","",IF(OR(D1769=Plano!$A$1,D1769=Plano!$B$1),"entrada","saída"))</f>
        <v/>
      </c>
      <c r="T1769" s="406"/>
      <c r="U1769" s="406"/>
      <c r="V1769" s="269"/>
    </row>
    <row r="1770" spans="1:22" ht="12.75" customHeight="1" x14ac:dyDescent="0.2">
      <c r="A1770" s="289" t="str">
        <f>IF(B1770="","",COUNT('Diário 5º PA'!$A$5:$A$2634)+ROW()-4)</f>
        <v/>
      </c>
      <c r="B1770" s="290"/>
      <c r="C1770" s="357"/>
      <c r="D1770" s="291"/>
      <c r="E1770" s="291"/>
      <c r="F1770" s="292"/>
      <c r="G1770" s="291"/>
      <c r="H1770" s="291"/>
      <c r="I1770" s="293"/>
      <c r="J1770" s="291"/>
      <c r="K1770" s="291"/>
      <c r="L1770" s="293"/>
      <c r="M1770" s="291"/>
      <c r="N1770" s="289"/>
      <c r="O1770" s="358"/>
      <c r="P1770" s="402">
        <f t="shared" ref="P1770:Q1770" si="1766">IF(B1770=0,0,IF(YEAR(B1770)=$Q$1,MONTH(B1770)-$P$1+1,(YEAR(B1770)-$Q$1)*12-$P$1+1+MONTH(B1770)))</f>
        <v>0</v>
      </c>
      <c r="Q1770" s="280">
        <f t="shared" si="1766"/>
        <v>0</v>
      </c>
      <c r="R1770" s="356" t="str">
        <f t="shared" si="1"/>
        <v/>
      </c>
      <c r="S1770" s="269" t="str">
        <f>IF(D1770="","",IF(OR(D1770=Plano!$A$1,D1770=Plano!$B$1),"entrada","saída"))</f>
        <v/>
      </c>
      <c r="T1770" s="406"/>
      <c r="U1770" s="406"/>
      <c r="V1770" s="269"/>
    </row>
    <row r="1771" spans="1:22" ht="12.75" customHeight="1" x14ac:dyDescent="0.2">
      <c r="A1771" s="289" t="str">
        <f>IF(B1771="","",COUNT('Diário 5º PA'!$A$5:$A$2634)+ROW()-4)</f>
        <v/>
      </c>
      <c r="B1771" s="290"/>
      <c r="C1771" s="357"/>
      <c r="D1771" s="291"/>
      <c r="E1771" s="291"/>
      <c r="F1771" s="292"/>
      <c r="G1771" s="291"/>
      <c r="H1771" s="291"/>
      <c r="I1771" s="293"/>
      <c r="J1771" s="291"/>
      <c r="K1771" s="291"/>
      <c r="L1771" s="293"/>
      <c r="M1771" s="291"/>
      <c r="N1771" s="289"/>
      <c r="O1771" s="358"/>
      <c r="P1771" s="402">
        <f t="shared" ref="P1771:Q1771" si="1767">IF(B1771=0,0,IF(YEAR(B1771)=$Q$1,MONTH(B1771)-$P$1+1,(YEAR(B1771)-$Q$1)*12-$P$1+1+MONTH(B1771)))</f>
        <v>0</v>
      </c>
      <c r="Q1771" s="280">
        <f t="shared" si="1767"/>
        <v>0</v>
      </c>
      <c r="R1771" s="356" t="str">
        <f t="shared" si="1"/>
        <v/>
      </c>
      <c r="S1771" s="269" t="str">
        <f>IF(D1771="","",IF(OR(D1771=Plano!$A$1,D1771=Plano!$B$1),"entrada","saída"))</f>
        <v/>
      </c>
      <c r="T1771" s="406"/>
      <c r="U1771" s="406"/>
      <c r="V1771" s="269"/>
    </row>
    <row r="1772" spans="1:22" ht="12.75" customHeight="1" x14ac:dyDescent="0.2">
      <c r="A1772" s="289" t="str">
        <f>IF(B1772="","",COUNT('Diário 5º PA'!$A$5:$A$2634)+ROW()-4)</f>
        <v/>
      </c>
      <c r="B1772" s="290"/>
      <c r="C1772" s="357"/>
      <c r="D1772" s="291"/>
      <c r="E1772" s="291"/>
      <c r="F1772" s="292"/>
      <c r="G1772" s="291"/>
      <c r="H1772" s="291"/>
      <c r="I1772" s="293"/>
      <c r="J1772" s="291"/>
      <c r="K1772" s="291"/>
      <c r="L1772" s="293"/>
      <c r="M1772" s="291"/>
      <c r="N1772" s="289"/>
      <c r="O1772" s="358"/>
      <c r="P1772" s="402">
        <f t="shared" ref="P1772:Q1772" si="1768">IF(B1772=0,0,IF(YEAR(B1772)=$Q$1,MONTH(B1772)-$P$1+1,(YEAR(B1772)-$Q$1)*12-$P$1+1+MONTH(B1772)))</f>
        <v>0</v>
      </c>
      <c r="Q1772" s="280">
        <f t="shared" si="1768"/>
        <v>0</v>
      </c>
      <c r="R1772" s="356" t="str">
        <f t="shared" si="1"/>
        <v/>
      </c>
      <c r="S1772" s="269" t="str">
        <f>IF(D1772="","",IF(OR(D1772=Plano!$A$1,D1772=Plano!$B$1),"entrada","saída"))</f>
        <v/>
      </c>
      <c r="T1772" s="406"/>
      <c r="U1772" s="406"/>
      <c r="V1772" s="269"/>
    </row>
    <row r="1773" spans="1:22" ht="12.75" customHeight="1" x14ac:dyDescent="0.2">
      <c r="A1773" s="289" t="str">
        <f>IF(B1773="","",COUNT('Diário 5º PA'!$A$5:$A$2634)+ROW()-4)</f>
        <v/>
      </c>
      <c r="B1773" s="290"/>
      <c r="C1773" s="357"/>
      <c r="D1773" s="291"/>
      <c r="E1773" s="291"/>
      <c r="F1773" s="292"/>
      <c r="G1773" s="291"/>
      <c r="H1773" s="291"/>
      <c r="I1773" s="293"/>
      <c r="J1773" s="291"/>
      <c r="K1773" s="291"/>
      <c r="L1773" s="293"/>
      <c r="M1773" s="291"/>
      <c r="N1773" s="289"/>
      <c r="O1773" s="358"/>
      <c r="P1773" s="402">
        <f t="shared" ref="P1773:Q1773" si="1769">IF(B1773=0,0,IF(YEAR(B1773)=$Q$1,MONTH(B1773)-$P$1+1,(YEAR(B1773)-$Q$1)*12-$P$1+1+MONTH(B1773)))</f>
        <v>0</v>
      </c>
      <c r="Q1773" s="280">
        <f t="shared" si="1769"/>
        <v>0</v>
      </c>
      <c r="R1773" s="356" t="str">
        <f t="shared" si="1"/>
        <v/>
      </c>
      <c r="S1773" s="269" t="str">
        <f>IF(D1773="","",IF(OR(D1773=Plano!$A$1,D1773=Plano!$B$1),"entrada","saída"))</f>
        <v/>
      </c>
      <c r="T1773" s="406"/>
      <c r="U1773" s="406"/>
      <c r="V1773" s="269"/>
    </row>
    <row r="1774" spans="1:22" ht="12.75" customHeight="1" x14ac:dyDescent="0.2">
      <c r="A1774" s="289" t="str">
        <f>IF(B1774="","",COUNT('Diário 5º PA'!$A$5:$A$2634)+ROW()-4)</f>
        <v/>
      </c>
      <c r="B1774" s="290"/>
      <c r="C1774" s="357"/>
      <c r="D1774" s="291"/>
      <c r="E1774" s="291"/>
      <c r="F1774" s="292"/>
      <c r="G1774" s="291"/>
      <c r="H1774" s="291"/>
      <c r="I1774" s="293"/>
      <c r="J1774" s="291"/>
      <c r="K1774" s="291"/>
      <c r="L1774" s="293"/>
      <c r="M1774" s="291"/>
      <c r="N1774" s="289"/>
      <c r="O1774" s="358"/>
      <c r="P1774" s="402">
        <f t="shared" ref="P1774:Q1774" si="1770">IF(B1774=0,0,IF(YEAR(B1774)=$Q$1,MONTH(B1774)-$P$1+1,(YEAR(B1774)-$Q$1)*12-$P$1+1+MONTH(B1774)))</f>
        <v>0</v>
      </c>
      <c r="Q1774" s="280">
        <f t="shared" si="1770"/>
        <v>0</v>
      </c>
      <c r="R1774" s="356" t="str">
        <f t="shared" si="1"/>
        <v/>
      </c>
      <c r="S1774" s="269" t="str">
        <f>IF(D1774="","",IF(OR(D1774=Plano!$A$1,D1774=Plano!$B$1),"entrada","saída"))</f>
        <v/>
      </c>
      <c r="T1774" s="406"/>
      <c r="U1774" s="406"/>
      <c r="V1774" s="269"/>
    </row>
    <row r="1775" spans="1:22" ht="12.75" customHeight="1" x14ac:dyDescent="0.2">
      <c r="A1775" s="289" t="str">
        <f>IF(B1775="","",COUNT('Diário 5º PA'!$A$5:$A$2634)+ROW()-4)</f>
        <v/>
      </c>
      <c r="B1775" s="290"/>
      <c r="C1775" s="357"/>
      <c r="D1775" s="291"/>
      <c r="E1775" s="291"/>
      <c r="F1775" s="292"/>
      <c r="G1775" s="291"/>
      <c r="H1775" s="291"/>
      <c r="I1775" s="293"/>
      <c r="J1775" s="291"/>
      <c r="K1775" s="291"/>
      <c r="L1775" s="293"/>
      <c r="M1775" s="291"/>
      <c r="N1775" s="289"/>
      <c r="O1775" s="358"/>
      <c r="P1775" s="402">
        <f t="shared" ref="P1775:Q1775" si="1771">IF(B1775=0,0,IF(YEAR(B1775)=$Q$1,MONTH(B1775)-$P$1+1,(YEAR(B1775)-$Q$1)*12-$P$1+1+MONTH(B1775)))</f>
        <v>0</v>
      </c>
      <c r="Q1775" s="280">
        <f t="shared" si="1771"/>
        <v>0</v>
      </c>
      <c r="R1775" s="356" t="str">
        <f t="shared" si="1"/>
        <v/>
      </c>
      <c r="S1775" s="269" t="str">
        <f>IF(D1775="","",IF(OR(D1775=Plano!$A$1,D1775=Plano!$B$1),"entrada","saída"))</f>
        <v/>
      </c>
      <c r="T1775" s="406"/>
      <c r="U1775" s="406"/>
      <c r="V1775" s="269"/>
    </row>
    <row r="1776" spans="1:22" ht="12.75" customHeight="1" x14ac:dyDescent="0.2">
      <c r="A1776" s="289" t="str">
        <f>IF(B1776="","",COUNT('Diário 5º PA'!$A$5:$A$2634)+ROW()-4)</f>
        <v/>
      </c>
      <c r="B1776" s="290"/>
      <c r="C1776" s="357"/>
      <c r="D1776" s="291"/>
      <c r="E1776" s="291"/>
      <c r="F1776" s="292"/>
      <c r="G1776" s="291"/>
      <c r="H1776" s="291"/>
      <c r="I1776" s="293"/>
      <c r="J1776" s="291"/>
      <c r="K1776" s="291"/>
      <c r="L1776" s="293"/>
      <c r="M1776" s="291"/>
      <c r="N1776" s="289"/>
      <c r="O1776" s="358"/>
      <c r="P1776" s="402">
        <f t="shared" ref="P1776:Q1776" si="1772">IF(B1776=0,0,IF(YEAR(B1776)=$Q$1,MONTH(B1776)-$P$1+1,(YEAR(B1776)-$Q$1)*12-$P$1+1+MONTH(B1776)))</f>
        <v>0</v>
      </c>
      <c r="Q1776" s="280">
        <f t="shared" si="1772"/>
        <v>0</v>
      </c>
      <c r="R1776" s="356" t="str">
        <f t="shared" si="1"/>
        <v/>
      </c>
      <c r="S1776" s="269" t="str">
        <f>IF(D1776="","",IF(OR(D1776=Plano!$A$1,D1776=Plano!$B$1),"entrada","saída"))</f>
        <v/>
      </c>
      <c r="T1776" s="406"/>
      <c r="U1776" s="406"/>
      <c r="V1776" s="269"/>
    </row>
    <row r="1777" spans="1:22" ht="12.75" customHeight="1" x14ac:dyDescent="0.2">
      <c r="A1777" s="289" t="str">
        <f>IF(B1777="","",COUNT('Diário 5º PA'!$A$5:$A$2634)+ROW()-4)</f>
        <v/>
      </c>
      <c r="B1777" s="290"/>
      <c r="C1777" s="357"/>
      <c r="D1777" s="291"/>
      <c r="E1777" s="291"/>
      <c r="F1777" s="292"/>
      <c r="G1777" s="291"/>
      <c r="H1777" s="291"/>
      <c r="I1777" s="293"/>
      <c r="J1777" s="291"/>
      <c r="K1777" s="291"/>
      <c r="L1777" s="293"/>
      <c r="M1777" s="291"/>
      <c r="N1777" s="289"/>
      <c r="O1777" s="358"/>
      <c r="P1777" s="402">
        <f t="shared" ref="P1777:Q1777" si="1773">IF(B1777=0,0,IF(YEAR(B1777)=$Q$1,MONTH(B1777)-$P$1+1,(YEAR(B1777)-$Q$1)*12-$P$1+1+MONTH(B1777)))</f>
        <v>0</v>
      </c>
      <c r="Q1777" s="280">
        <f t="shared" si="1773"/>
        <v>0</v>
      </c>
      <c r="R1777" s="356" t="str">
        <f t="shared" si="1"/>
        <v/>
      </c>
      <c r="S1777" s="269" t="str">
        <f>IF(D1777="","",IF(OR(D1777=Plano!$A$1,D1777=Plano!$B$1),"entrada","saída"))</f>
        <v/>
      </c>
      <c r="T1777" s="406"/>
      <c r="U1777" s="406"/>
      <c r="V1777" s="269"/>
    </row>
    <row r="1778" spans="1:22" ht="12.75" customHeight="1" x14ac:dyDescent="0.2">
      <c r="A1778" s="289" t="str">
        <f>IF(B1778="","",COUNT('Diário 5º PA'!$A$5:$A$2634)+ROW()-4)</f>
        <v/>
      </c>
      <c r="B1778" s="290"/>
      <c r="C1778" s="357"/>
      <c r="D1778" s="291"/>
      <c r="E1778" s="291"/>
      <c r="F1778" s="292"/>
      <c r="G1778" s="291"/>
      <c r="H1778" s="291"/>
      <c r="I1778" s="293"/>
      <c r="J1778" s="291"/>
      <c r="K1778" s="291"/>
      <c r="L1778" s="293"/>
      <c r="M1778" s="291"/>
      <c r="N1778" s="289"/>
      <c r="O1778" s="358"/>
      <c r="P1778" s="402">
        <f t="shared" ref="P1778:Q1778" si="1774">IF(B1778=0,0,IF(YEAR(B1778)=$Q$1,MONTH(B1778)-$P$1+1,(YEAR(B1778)-$Q$1)*12-$P$1+1+MONTH(B1778)))</f>
        <v>0</v>
      </c>
      <c r="Q1778" s="280">
        <f t="shared" si="1774"/>
        <v>0</v>
      </c>
      <c r="R1778" s="356" t="str">
        <f t="shared" si="1"/>
        <v/>
      </c>
      <c r="S1778" s="269" t="str">
        <f>IF(D1778="","",IF(OR(D1778=Plano!$A$1,D1778=Plano!$B$1),"entrada","saída"))</f>
        <v/>
      </c>
      <c r="T1778" s="406"/>
      <c r="U1778" s="406"/>
      <c r="V1778" s="269"/>
    </row>
    <row r="1779" spans="1:22" ht="12.75" customHeight="1" x14ac:dyDescent="0.2">
      <c r="A1779" s="289" t="str">
        <f>IF(B1779="","",COUNT('Diário 5º PA'!$A$5:$A$2634)+ROW()-4)</f>
        <v/>
      </c>
      <c r="B1779" s="290"/>
      <c r="C1779" s="357"/>
      <c r="D1779" s="291"/>
      <c r="E1779" s="291"/>
      <c r="F1779" s="292"/>
      <c r="G1779" s="291"/>
      <c r="H1779" s="291"/>
      <c r="I1779" s="293"/>
      <c r="J1779" s="291"/>
      <c r="K1779" s="291"/>
      <c r="L1779" s="293"/>
      <c r="M1779" s="291"/>
      <c r="N1779" s="289"/>
      <c r="O1779" s="358"/>
      <c r="P1779" s="402">
        <f t="shared" ref="P1779:Q1779" si="1775">IF(B1779=0,0,IF(YEAR(B1779)=$Q$1,MONTH(B1779)-$P$1+1,(YEAR(B1779)-$Q$1)*12-$P$1+1+MONTH(B1779)))</f>
        <v>0</v>
      </c>
      <c r="Q1779" s="280">
        <f t="shared" si="1775"/>
        <v>0</v>
      </c>
      <c r="R1779" s="356" t="str">
        <f t="shared" si="1"/>
        <v/>
      </c>
      <c r="S1779" s="269" t="str">
        <f>IF(D1779="","",IF(OR(D1779=Plano!$A$1,D1779=Plano!$B$1),"entrada","saída"))</f>
        <v/>
      </c>
      <c r="T1779" s="406"/>
      <c r="U1779" s="406"/>
      <c r="V1779" s="269"/>
    </row>
    <row r="1780" spans="1:22" ht="12.75" customHeight="1" x14ac:dyDescent="0.2">
      <c r="A1780" s="289" t="str">
        <f>IF(B1780="","",COUNT('Diário 5º PA'!$A$5:$A$2634)+ROW()-4)</f>
        <v/>
      </c>
      <c r="B1780" s="290"/>
      <c r="C1780" s="357"/>
      <c r="D1780" s="291"/>
      <c r="E1780" s="291"/>
      <c r="F1780" s="292"/>
      <c r="G1780" s="291"/>
      <c r="H1780" s="291"/>
      <c r="I1780" s="293"/>
      <c r="J1780" s="291"/>
      <c r="K1780" s="291"/>
      <c r="L1780" s="293"/>
      <c r="M1780" s="291"/>
      <c r="N1780" s="289"/>
      <c r="O1780" s="358"/>
      <c r="P1780" s="402">
        <f t="shared" ref="P1780:Q1780" si="1776">IF(B1780=0,0,IF(YEAR(B1780)=$Q$1,MONTH(B1780)-$P$1+1,(YEAR(B1780)-$Q$1)*12-$P$1+1+MONTH(B1780)))</f>
        <v>0</v>
      </c>
      <c r="Q1780" s="280">
        <f t="shared" si="1776"/>
        <v>0</v>
      </c>
      <c r="R1780" s="356" t="str">
        <f t="shared" si="1"/>
        <v/>
      </c>
      <c r="S1780" s="269" t="str">
        <f>IF(D1780="","",IF(OR(D1780=Plano!$A$1,D1780=Plano!$B$1),"entrada","saída"))</f>
        <v/>
      </c>
      <c r="T1780" s="406"/>
      <c r="U1780" s="406"/>
      <c r="V1780" s="269"/>
    </row>
    <row r="1781" spans="1:22" ht="12.75" customHeight="1" x14ac:dyDescent="0.2">
      <c r="A1781" s="289" t="str">
        <f>IF(B1781="","",COUNT('Diário 5º PA'!$A$5:$A$2634)+ROW()-4)</f>
        <v/>
      </c>
      <c r="B1781" s="290"/>
      <c r="C1781" s="357"/>
      <c r="D1781" s="291"/>
      <c r="E1781" s="291"/>
      <c r="F1781" s="292"/>
      <c r="G1781" s="291"/>
      <c r="H1781" s="291"/>
      <c r="I1781" s="293"/>
      <c r="J1781" s="291"/>
      <c r="K1781" s="291"/>
      <c r="L1781" s="293"/>
      <c r="M1781" s="291"/>
      <c r="N1781" s="289"/>
      <c r="O1781" s="358"/>
      <c r="P1781" s="402">
        <f t="shared" ref="P1781:Q1781" si="1777">IF(B1781=0,0,IF(YEAR(B1781)=$Q$1,MONTH(B1781)-$P$1+1,(YEAR(B1781)-$Q$1)*12-$P$1+1+MONTH(B1781)))</f>
        <v>0</v>
      </c>
      <c r="Q1781" s="280">
        <f t="shared" si="1777"/>
        <v>0</v>
      </c>
      <c r="R1781" s="356" t="str">
        <f t="shared" si="1"/>
        <v/>
      </c>
      <c r="S1781" s="269" t="str">
        <f>IF(D1781="","",IF(OR(D1781=Plano!$A$1,D1781=Plano!$B$1),"entrada","saída"))</f>
        <v/>
      </c>
      <c r="T1781" s="406"/>
      <c r="U1781" s="406"/>
      <c r="V1781" s="269"/>
    </row>
    <row r="1782" spans="1:22" ht="12.75" customHeight="1" x14ac:dyDescent="0.2">
      <c r="A1782" s="289" t="str">
        <f>IF(B1782="","",COUNT('Diário 5º PA'!$A$5:$A$2634)+ROW()-4)</f>
        <v/>
      </c>
      <c r="B1782" s="290"/>
      <c r="C1782" s="357"/>
      <c r="D1782" s="291"/>
      <c r="E1782" s="291"/>
      <c r="F1782" s="292"/>
      <c r="G1782" s="291"/>
      <c r="H1782" s="291"/>
      <c r="I1782" s="293"/>
      <c r="J1782" s="291"/>
      <c r="K1782" s="291"/>
      <c r="L1782" s="293"/>
      <c r="M1782" s="291"/>
      <c r="N1782" s="289"/>
      <c r="O1782" s="358"/>
      <c r="P1782" s="402">
        <f t="shared" ref="P1782:Q1782" si="1778">IF(B1782=0,0,IF(YEAR(B1782)=$Q$1,MONTH(B1782)-$P$1+1,(YEAR(B1782)-$Q$1)*12-$P$1+1+MONTH(B1782)))</f>
        <v>0</v>
      </c>
      <c r="Q1782" s="280">
        <f t="shared" si="1778"/>
        <v>0</v>
      </c>
      <c r="R1782" s="356" t="str">
        <f t="shared" si="1"/>
        <v/>
      </c>
      <c r="S1782" s="269" t="str">
        <f>IF(D1782="","",IF(OR(D1782=Plano!$A$1,D1782=Plano!$B$1),"entrada","saída"))</f>
        <v/>
      </c>
      <c r="T1782" s="406"/>
      <c r="U1782" s="406"/>
      <c r="V1782" s="269"/>
    </row>
    <row r="1783" spans="1:22" ht="12.75" customHeight="1" x14ac:dyDescent="0.2">
      <c r="A1783" s="289" t="str">
        <f>IF(B1783="","",COUNT('Diário 5º PA'!$A$5:$A$2634)+ROW()-4)</f>
        <v/>
      </c>
      <c r="B1783" s="290"/>
      <c r="C1783" s="357"/>
      <c r="D1783" s="291"/>
      <c r="E1783" s="291"/>
      <c r="F1783" s="292"/>
      <c r="G1783" s="291"/>
      <c r="H1783" s="291"/>
      <c r="I1783" s="293"/>
      <c r="J1783" s="291"/>
      <c r="K1783" s="291"/>
      <c r="L1783" s="293"/>
      <c r="M1783" s="291"/>
      <c r="N1783" s="289"/>
      <c r="O1783" s="358"/>
      <c r="P1783" s="402">
        <f t="shared" ref="P1783:Q1783" si="1779">IF(B1783=0,0,IF(YEAR(B1783)=$Q$1,MONTH(B1783)-$P$1+1,(YEAR(B1783)-$Q$1)*12-$P$1+1+MONTH(B1783)))</f>
        <v>0</v>
      </c>
      <c r="Q1783" s="280">
        <f t="shared" si="1779"/>
        <v>0</v>
      </c>
      <c r="R1783" s="356" t="str">
        <f t="shared" si="1"/>
        <v/>
      </c>
      <c r="S1783" s="269" t="str">
        <f>IF(D1783="","",IF(OR(D1783=Plano!$A$1,D1783=Plano!$B$1),"entrada","saída"))</f>
        <v/>
      </c>
      <c r="T1783" s="406"/>
      <c r="U1783" s="406"/>
      <c r="V1783" s="269"/>
    </row>
    <row r="1784" spans="1:22" ht="12.75" customHeight="1" x14ac:dyDescent="0.2">
      <c r="A1784" s="289" t="str">
        <f>IF(B1784="","",COUNT('Diário 5º PA'!$A$5:$A$2634)+ROW()-4)</f>
        <v/>
      </c>
      <c r="B1784" s="290"/>
      <c r="C1784" s="357"/>
      <c r="D1784" s="291"/>
      <c r="E1784" s="291"/>
      <c r="F1784" s="292"/>
      <c r="G1784" s="291"/>
      <c r="H1784" s="291"/>
      <c r="I1784" s="293"/>
      <c r="J1784" s="291"/>
      <c r="K1784" s="291"/>
      <c r="L1784" s="293"/>
      <c r="M1784" s="291"/>
      <c r="N1784" s="289"/>
      <c r="O1784" s="358"/>
      <c r="P1784" s="402">
        <f t="shared" ref="P1784:Q1784" si="1780">IF(B1784=0,0,IF(YEAR(B1784)=$Q$1,MONTH(B1784)-$P$1+1,(YEAR(B1784)-$Q$1)*12-$P$1+1+MONTH(B1784)))</f>
        <v>0</v>
      </c>
      <c r="Q1784" s="280">
        <f t="shared" si="1780"/>
        <v>0</v>
      </c>
      <c r="R1784" s="356" t="str">
        <f t="shared" si="1"/>
        <v/>
      </c>
      <c r="S1784" s="269" t="str">
        <f>IF(D1784="","",IF(OR(D1784=Plano!$A$1,D1784=Plano!$B$1),"entrada","saída"))</f>
        <v/>
      </c>
      <c r="T1784" s="406"/>
      <c r="U1784" s="406"/>
      <c r="V1784" s="269"/>
    </row>
    <row r="1785" spans="1:22" ht="12.75" customHeight="1" x14ac:dyDescent="0.2">
      <c r="A1785" s="289" t="str">
        <f>IF(B1785="","",COUNT('Diário 5º PA'!$A$5:$A$2634)+ROW()-4)</f>
        <v/>
      </c>
      <c r="B1785" s="290"/>
      <c r="C1785" s="357"/>
      <c r="D1785" s="291"/>
      <c r="E1785" s="291"/>
      <c r="F1785" s="292"/>
      <c r="G1785" s="291"/>
      <c r="H1785" s="291"/>
      <c r="I1785" s="293"/>
      <c r="J1785" s="291"/>
      <c r="K1785" s="291"/>
      <c r="L1785" s="293"/>
      <c r="M1785" s="291"/>
      <c r="N1785" s="289"/>
      <c r="O1785" s="358"/>
      <c r="P1785" s="402">
        <f t="shared" ref="P1785:Q1785" si="1781">IF(B1785=0,0,IF(YEAR(B1785)=$Q$1,MONTH(B1785)-$P$1+1,(YEAR(B1785)-$Q$1)*12-$P$1+1+MONTH(B1785)))</f>
        <v>0</v>
      </c>
      <c r="Q1785" s="280">
        <f t="shared" si="1781"/>
        <v>0</v>
      </c>
      <c r="R1785" s="356" t="str">
        <f t="shared" si="1"/>
        <v/>
      </c>
      <c r="S1785" s="269" t="str">
        <f>IF(D1785="","",IF(OR(D1785=Plano!$A$1,D1785=Plano!$B$1),"entrada","saída"))</f>
        <v/>
      </c>
      <c r="T1785" s="406"/>
      <c r="U1785" s="406"/>
      <c r="V1785" s="269"/>
    </row>
    <row r="1786" spans="1:22" ht="12.75" customHeight="1" x14ac:dyDescent="0.2">
      <c r="A1786" s="289" t="str">
        <f>IF(B1786="","",COUNT('Diário 5º PA'!$A$5:$A$2634)+ROW()-4)</f>
        <v/>
      </c>
      <c r="B1786" s="290"/>
      <c r="C1786" s="357"/>
      <c r="D1786" s="291"/>
      <c r="E1786" s="291"/>
      <c r="F1786" s="292"/>
      <c r="G1786" s="291"/>
      <c r="H1786" s="291"/>
      <c r="I1786" s="293"/>
      <c r="J1786" s="291"/>
      <c r="K1786" s="291"/>
      <c r="L1786" s="293"/>
      <c r="M1786" s="291"/>
      <c r="N1786" s="289"/>
      <c r="O1786" s="358"/>
      <c r="P1786" s="402">
        <f t="shared" ref="P1786:Q1786" si="1782">IF(B1786=0,0,IF(YEAR(B1786)=$Q$1,MONTH(B1786)-$P$1+1,(YEAR(B1786)-$Q$1)*12-$P$1+1+MONTH(B1786)))</f>
        <v>0</v>
      </c>
      <c r="Q1786" s="280">
        <f t="shared" si="1782"/>
        <v>0</v>
      </c>
      <c r="R1786" s="356" t="str">
        <f t="shared" si="1"/>
        <v/>
      </c>
      <c r="S1786" s="269" t="str">
        <f>IF(D1786="","",IF(OR(D1786=Plano!$A$1,D1786=Plano!$B$1),"entrada","saída"))</f>
        <v/>
      </c>
      <c r="T1786" s="406"/>
      <c r="U1786" s="406"/>
      <c r="V1786" s="269"/>
    </row>
    <row r="1787" spans="1:22" ht="12.75" customHeight="1" x14ac:dyDescent="0.2">
      <c r="A1787" s="289" t="str">
        <f>IF(B1787="","",COUNT('Diário 5º PA'!$A$5:$A$2634)+ROW()-4)</f>
        <v/>
      </c>
      <c r="B1787" s="290"/>
      <c r="C1787" s="357"/>
      <c r="D1787" s="291"/>
      <c r="E1787" s="291"/>
      <c r="F1787" s="292"/>
      <c r="G1787" s="291"/>
      <c r="H1787" s="291"/>
      <c r="I1787" s="293"/>
      <c r="J1787" s="291"/>
      <c r="K1787" s="291"/>
      <c r="L1787" s="293"/>
      <c r="M1787" s="291"/>
      <c r="N1787" s="289"/>
      <c r="O1787" s="358"/>
      <c r="P1787" s="402">
        <f t="shared" ref="P1787:Q1787" si="1783">IF(B1787=0,0,IF(YEAR(B1787)=$Q$1,MONTH(B1787)-$P$1+1,(YEAR(B1787)-$Q$1)*12-$P$1+1+MONTH(B1787)))</f>
        <v>0</v>
      </c>
      <c r="Q1787" s="280">
        <f t="shared" si="1783"/>
        <v>0</v>
      </c>
      <c r="R1787" s="356" t="str">
        <f t="shared" si="1"/>
        <v/>
      </c>
      <c r="S1787" s="269" t="str">
        <f>IF(D1787="","",IF(OR(D1787=Plano!$A$1,D1787=Plano!$B$1),"entrada","saída"))</f>
        <v/>
      </c>
      <c r="T1787" s="406"/>
      <c r="U1787" s="406"/>
      <c r="V1787" s="269"/>
    </row>
    <row r="1788" spans="1:22" ht="12.75" customHeight="1" x14ac:dyDescent="0.2">
      <c r="A1788" s="289" t="str">
        <f>IF(B1788="","",COUNT('Diário 5º PA'!$A$5:$A$2634)+ROW()-4)</f>
        <v/>
      </c>
      <c r="B1788" s="290"/>
      <c r="C1788" s="357"/>
      <c r="D1788" s="291"/>
      <c r="E1788" s="291"/>
      <c r="F1788" s="292"/>
      <c r="G1788" s="291"/>
      <c r="H1788" s="291"/>
      <c r="I1788" s="293"/>
      <c r="J1788" s="291"/>
      <c r="K1788" s="291"/>
      <c r="L1788" s="293"/>
      <c r="M1788" s="291"/>
      <c r="N1788" s="289"/>
      <c r="O1788" s="358"/>
      <c r="P1788" s="402">
        <f t="shared" ref="P1788:Q1788" si="1784">IF(B1788=0,0,IF(YEAR(B1788)=$Q$1,MONTH(B1788)-$P$1+1,(YEAR(B1788)-$Q$1)*12-$P$1+1+MONTH(B1788)))</f>
        <v>0</v>
      </c>
      <c r="Q1788" s="280">
        <f t="shared" si="1784"/>
        <v>0</v>
      </c>
      <c r="R1788" s="356" t="str">
        <f t="shared" si="1"/>
        <v/>
      </c>
      <c r="S1788" s="269" t="str">
        <f>IF(D1788="","",IF(OR(D1788=Plano!$A$1,D1788=Plano!$B$1),"entrada","saída"))</f>
        <v/>
      </c>
      <c r="T1788" s="406"/>
      <c r="U1788" s="406"/>
      <c r="V1788" s="269"/>
    </row>
    <row r="1789" spans="1:22" ht="12.75" customHeight="1" x14ac:dyDescent="0.2">
      <c r="A1789" s="289" t="str">
        <f>IF(B1789="","",COUNT('Diário 5º PA'!$A$5:$A$2634)+ROW()-4)</f>
        <v/>
      </c>
      <c r="B1789" s="290"/>
      <c r="C1789" s="357"/>
      <c r="D1789" s="291"/>
      <c r="E1789" s="291"/>
      <c r="F1789" s="292"/>
      <c r="G1789" s="291"/>
      <c r="H1789" s="291"/>
      <c r="I1789" s="293"/>
      <c r="J1789" s="291"/>
      <c r="K1789" s="291"/>
      <c r="L1789" s="293"/>
      <c r="M1789" s="291"/>
      <c r="N1789" s="289"/>
      <c r="O1789" s="358"/>
      <c r="P1789" s="402">
        <f t="shared" ref="P1789:Q1789" si="1785">IF(B1789=0,0,IF(YEAR(B1789)=$Q$1,MONTH(B1789)-$P$1+1,(YEAR(B1789)-$Q$1)*12-$P$1+1+MONTH(B1789)))</f>
        <v>0</v>
      </c>
      <c r="Q1789" s="280">
        <f t="shared" si="1785"/>
        <v>0</v>
      </c>
      <c r="R1789" s="356" t="str">
        <f t="shared" si="1"/>
        <v/>
      </c>
      <c r="S1789" s="269" t="str">
        <f>IF(D1789="","",IF(OR(D1789=Plano!$A$1,D1789=Plano!$B$1),"entrada","saída"))</f>
        <v/>
      </c>
      <c r="T1789" s="406"/>
      <c r="U1789" s="406"/>
      <c r="V1789" s="269"/>
    </row>
    <row r="1790" spans="1:22" ht="12.75" customHeight="1" x14ac:dyDescent="0.2">
      <c r="A1790" s="289" t="str">
        <f>IF(B1790="","",COUNT('Diário 5º PA'!$A$5:$A$2634)+ROW()-4)</f>
        <v/>
      </c>
      <c r="B1790" s="290"/>
      <c r="C1790" s="357"/>
      <c r="D1790" s="291"/>
      <c r="E1790" s="291"/>
      <c r="F1790" s="292"/>
      <c r="G1790" s="291"/>
      <c r="H1790" s="291"/>
      <c r="I1790" s="293"/>
      <c r="J1790" s="291"/>
      <c r="K1790" s="291"/>
      <c r="L1790" s="293"/>
      <c r="M1790" s="291"/>
      <c r="N1790" s="289"/>
      <c r="O1790" s="358"/>
      <c r="P1790" s="402">
        <f t="shared" ref="P1790:Q1790" si="1786">IF(B1790=0,0,IF(YEAR(B1790)=$Q$1,MONTH(B1790)-$P$1+1,(YEAR(B1790)-$Q$1)*12-$P$1+1+MONTH(B1790)))</f>
        <v>0</v>
      </c>
      <c r="Q1790" s="280">
        <f t="shared" si="1786"/>
        <v>0</v>
      </c>
      <c r="R1790" s="356" t="str">
        <f t="shared" si="1"/>
        <v/>
      </c>
      <c r="S1790" s="269" t="str">
        <f>IF(D1790="","",IF(OR(D1790=Plano!$A$1,D1790=Plano!$B$1),"entrada","saída"))</f>
        <v/>
      </c>
      <c r="T1790" s="406"/>
      <c r="U1790" s="406"/>
      <c r="V1790" s="269"/>
    </row>
    <row r="1791" spans="1:22" ht="12.75" customHeight="1" x14ac:dyDescent="0.2">
      <c r="A1791" s="289" t="str">
        <f>IF(B1791="","",COUNT('Diário 5º PA'!$A$5:$A$2634)+ROW()-4)</f>
        <v/>
      </c>
      <c r="B1791" s="290"/>
      <c r="C1791" s="357"/>
      <c r="D1791" s="291"/>
      <c r="E1791" s="291"/>
      <c r="F1791" s="292"/>
      <c r="G1791" s="291"/>
      <c r="H1791" s="291"/>
      <c r="I1791" s="293"/>
      <c r="J1791" s="291"/>
      <c r="K1791" s="291"/>
      <c r="L1791" s="293"/>
      <c r="M1791" s="291"/>
      <c r="N1791" s="289"/>
      <c r="O1791" s="358"/>
      <c r="P1791" s="402">
        <f t="shared" ref="P1791:Q1791" si="1787">IF(B1791=0,0,IF(YEAR(B1791)=$Q$1,MONTH(B1791)-$P$1+1,(YEAR(B1791)-$Q$1)*12-$P$1+1+MONTH(B1791)))</f>
        <v>0</v>
      </c>
      <c r="Q1791" s="280">
        <f t="shared" si="1787"/>
        <v>0</v>
      </c>
      <c r="R1791" s="356" t="str">
        <f t="shared" si="1"/>
        <v/>
      </c>
      <c r="S1791" s="269" t="str">
        <f>IF(D1791="","",IF(OR(D1791=Plano!$A$1,D1791=Plano!$B$1),"entrada","saída"))</f>
        <v/>
      </c>
      <c r="T1791" s="406"/>
      <c r="U1791" s="406"/>
      <c r="V1791" s="269"/>
    </row>
    <row r="1792" spans="1:22" ht="12.75" customHeight="1" x14ac:dyDescent="0.2">
      <c r="A1792" s="289" t="str">
        <f>IF(B1792="","",COUNT('Diário 5º PA'!$A$5:$A$2634)+ROW()-4)</f>
        <v/>
      </c>
      <c r="B1792" s="290"/>
      <c r="C1792" s="357"/>
      <c r="D1792" s="291"/>
      <c r="E1792" s="291"/>
      <c r="F1792" s="292"/>
      <c r="G1792" s="291"/>
      <c r="H1792" s="291"/>
      <c r="I1792" s="293"/>
      <c r="J1792" s="291"/>
      <c r="K1792" s="291"/>
      <c r="L1792" s="293"/>
      <c r="M1792" s="291"/>
      <c r="N1792" s="289"/>
      <c r="O1792" s="358"/>
      <c r="P1792" s="402">
        <f t="shared" ref="P1792:Q1792" si="1788">IF(B1792=0,0,IF(YEAR(B1792)=$Q$1,MONTH(B1792)-$P$1+1,(YEAR(B1792)-$Q$1)*12-$P$1+1+MONTH(B1792)))</f>
        <v>0</v>
      </c>
      <c r="Q1792" s="280">
        <f t="shared" si="1788"/>
        <v>0</v>
      </c>
      <c r="R1792" s="356" t="str">
        <f t="shared" si="1"/>
        <v/>
      </c>
      <c r="S1792" s="269" t="str">
        <f>IF(D1792="","",IF(OR(D1792=Plano!$A$1,D1792=Plano!$B$1),"entrada","saída"))</f>
        <v/>
      </c>
      <c r="T1792" s="406"/>
      <c r="U1792" s="406"/>
      <c r="V1792" s="269"/>
    </row>
    <row r="1793" spans="1:22" ht="12.75" customHeight="1" x14ac:dyDescent="0.2">
      <c r="A1793" s="289" t="str">
        <f>IF(B1793="","",COUNT('Diário 5º PA'!$A$5:$A$2634)+ROW()-4)</f>
        <v/>
      </c>
      <c r="B1793" s="290"/>
      <c r="C1793" s="357"/>
      <c r="D1793" s="291"/>
      <c r="E1793" s="291"/>
      <c r="F1793" s="292"/>
      <c r="G1793" s="291"/>
      <c r="H1793" s="291"/>
      <c r="I1793" s="293"/>
      <c r="J1793" s="291"/>
      <c r="K1793" s="291"/>
      <c r="L1793" s="293"/>
      <c r="M1793" s="291"/>
      <c r="N1793" s="289"/>
      <c r="O1793" s="358"/>
      <c r="P1793" s="402">
        <f t="shared" ref="P1793:Q1793" si="1789">IF(B1793=0,0,IF(YEAR(B1793)=$Q$1,MONTH(B1793)-$P$1+1,(YEAR(B1793)-$Q$1)*12-$P$1+1+MONTH(B1793)))</f>
        <v>0</v>
      </c>
      <c r="Q1793" s="280">
        <f t="shared" si="1789"/>
        <v>0</v>
      </c>
      <c r="R1793" s="356" t="str">
        <f t="shared" si="1"/>
        <v/>
      </c>
      <c r="S1793" s="269" t="str">
        <f>IF(D1793="","",IF(OR(D1793=Plano!$A$1,D1793=Plano!$B$1),"entrada","saída"))</f>
        <v/>
      </c>
      <c r="T1793" s="406"/>
      <c r="U1793" s="406"/>
      <c r="V1793" s="269"/>
    </row>
    <row r="1794" spans="1:22" ht="12.75" customHeight="1" x14ac:dyDescent="0.2">
      <c r="A1794" s="289" t="str">
        <f>IF(B1794="","",COUNT('Diário 5º PA'!$A$5:$A$2634)+ROW()-4)</f>
        <v/>
      </c>
      <c r="B1794" s="290"/>
      <c r="C1794" s="357"/>
      <c r="D1794" s="291"/>
      <c r="E1794" s="291"/>
      <c r="F1794" s="292"/>
      <c r="G1794" s="291"/>
      <c r="H1794" s="291"/>
      <c r="I1794" s="293"/>
      <c r="J1794" s="291"/>
      <c r="K1794" s="291"/>
      <c r="L1794" s="293"/>
      <c r="M1794" s="291"/>
      <c r="N1794" s="289"/>
      <c r="O1794" s="358"/>
      <c r="P1794" s="402">
        <f t="shared" ref="P1794:Q1794" si="1790">IF(B1794=0,0,IF(YEAR(B1794)=$Q$1,MONTH(B1794)-$P$1+1,(YEAR(B1794)-$Q$1)*12-$P$1+1+MONTH(B1794)))</f>
        <v>0</v>
      </c>
      <c r="Q1794" s="280">
        <f t="shared" si="1790"/>
        <v>0</v>
      </c>
      <c r="R1794" s="356" t="str">
        <f t="shared" si="1"/>
        <v/>
      </c>
      <c r="S1794" s="269" t="str">
        <f>IF(D1794="","",IF(OR(D1794=Plano!$A$1,D1794=Plano!$B$1),"entrada","saída"))</f>
        <v/>
      </c>
      <c r="T1794" s="406"/>
      <c r="U1794" s="406"/>
      <c r="V1794" s="269"/>
    </row>
    <row r="1795" spans="1:22" ht="12.75" customHeight="1" x14ac:dyDescent="0.2">
      <c r="A1795" s="289" t="str">
        <f>IF(B1795="","",COUNT('Diário 5º PA'!$A$5:$A$2634)+ROW()-4)</f>
        <v/>
      </c>
      <c r="B1795" s="290"/>
      <c r="C1795" s="357"/>
      <c r="D1795" s="291"/>
      <c r="E1795" s="291"/>
      <c r="F1795" s="292"/>
      <c r="G1795" s="291"/>
      <c r="H1795" s="291"/>
      <c r="I1795" s="293"/>
      <c r="J1795" s="291"/>
      <c r="K1795" s="291"/>
      <c r="L1795" s="293"/>
      <c r="M1795" s="291"/>
      <c r="N1795" s="289"/>
      <c r="O1795" s="358"/>
      <c r="P1795" s="402">
        <f t="shared" ref="P1795:Q1795" si="1791">IF(B1795=0,0,IF(YEAR(B1795)=$Q$1,MONTH(B1795)-$P$1+1,(YEAR(B1795)-$Q$1)*12-$P$1+1+MONTH(B1795)))</f>
        <v>0</v>
      </c>
      <c r="Q1795" s="280">
        <f t="shared" si="1791"/>
        <v>0</v>
      </c>
      <c r="R1795" s="356" t="str">
        <f t="shared" si="1"/>
        <v/>
      </c>
      <c r="S1795" s="269" t="str">
        <f>IF(D1795="","",IF(OR(D1795=Plano!$A$1,D1795=Plano!$B$1),"entrada","saída"))</f>
        <v/>
      </c>
      <c r="T1795" s="406"/>
      <c r="U1795" s="406"/>
      <c r="V1795" s="269"/>
    </row>
    <row r="1796" spans="1:22" ht="12.75" customHeight="1" x14ac:dyDescent="0.2">
      <c r="A1796" s="289" t="str">
        <f>IF(B1796="","",COUNT('Diário 5º PA'!$A$5:$A$2634)+ROW()-4)</f>
        <v/>
      </c>
      <c r="B1796" s="290"/>
      <c r="C1796" s="357"/>
      <c r="D1796" s="291"/>
      <c r="E1796" s="291"/>
      <c r="F1796" s="292"/>
      <c r="G1796" s="291"/>
      <c r="H1796" s="291"/>
      <c r="I1796" s="293"/>
      <c r="J1796" s="291"/>
      <c r="K1796" s="291"/>
      <c r="L1796" s="293"/>
      <c r="M1796" s="291"/>
      <c r="N1796" s="289"/>
      <c r="O1796" s="358"/>
      <c r="P1796" s="402">
        <f t="shared" ref="P1796:Q1796" si="1792">IF(B1796=0,0,IF(YEAR(B1796)=$Q$1,MONTH(B1796)-$P$1+1,(YEAR(B1796)-$Q$1)*12-$P$1+1+MONTH(B1796)))</f>
        <v>0</v>
      </c>
      <c r="Q1796" s="280">
        <f t="shared" si="1792"/>
        <v>0</v>
      </c>
      <c r="R1796" s="356" t="str">
        <f t="shared" si="1"/>
        <v/>
      </c>
      <c r="S1796" s="269" t="str">
        <f>IF(D1796="","",IF(OR(D1796=Plano!$A$1,D1796=Plano!$B$1),"entrada","saída"))</f>
        <v/>
      </c>
      <c r="T1796" s="406"/>
      <c r="U1796" s="406"/>
      <c r="V1796" s="269"/>
    </row>
    <row r="1797" spans="1:22" ht="12.75" customHeight="1" x14ac:dyDescent="0.2">
      <c r="A1797" s="289" t="str">
        <f>IF(B1797="","",COUNT('Diário 5º PA'!$A$5:$A$2634)+ROW()-4)</f>
        <v/>
      </c>
      <c r="B1797" s="290"/>
      <c r="C1797" s="357"/>
      <c r="D1797" s="291"/>
      <c r="E1797" s="291"/>
      <c r="F1797" s="292"/>
      <c r="G1797" s="291"/>
      <c r="H1797" s="291"/>
      <c r="I1797" s="293"/>
      <c r="J1797" s="291"/>
      <c r="K1797" s="291"/>
      <c r="L1797" s="293"/>
      <c r="M1797" s="291"/>
      <c r="N1797" s="289"/>
      <c r="O1797" s="358"/>
      <c r="P1797" s="402">
        <f t="shared" ref="P1797:Q1797" si="1793">IF(B1797=0,0,IF(YEAR(B1797)=$Q$1,MONTH(B1797)-$P$1+1,(YEAR(B1797)-$Q$1)*12-$P$1+1+MONTH(B1797)))</f>
        <v>0</v>
      </c>
      <c r="Q1797" s="280">
        <f t="shared" si="1793"/>
        <v>0</v>
      </c>
      <c r="R1797" s="356" t="str">
        <f t="shared" si="1"/>
        <v/>
      </c>
      <c r="S1797" s="269" t="str">
        <f>IF(D1797="","",IF(OR(D1797=Plano!$A$1,D1797=Plano!$B$1),"entrada","saída"))</f>
        <v/>
      </c>
      <c r="T1797" s="406"/>
      <c r="U1797" s="406"/>
      <c r="V1797" s="269"/>
    </row>
    <row r="1798" spans="1:22" ht="12.75" customHeight="1" x14ac:dyDescent="0.2">
      <c r="A1798" s="289" t="str">
        <f>IF(B1798="","",COUNT('Diário 5º PA'!$A$5:$A$2634)+ROW()-4)</f>
        <v/>
      </c>
      <c r="B1798" s="290"/>
      <c r="C1798" s="357"/>
      <c r="D1798" s="291"/>
      <c r="E1798" s="291"/>
      <c r="F1798" s="292"/>
      <c r="G1798" s="291"/>
      <c r="H1798" s="291"/>
      <c r="I1798" s="293"/>
      <c r="J1798" s="291"/>
      <c r="K1798" s="291"/>
      <c r="L1798" s="293"/>
      <c r="M1798" s="291"/>
      <c r="N1798" s="289"/>
      <c r="O1798" s="358"/>
      <c r="P1798" s="402">
        <f t="shared" ref="P1798:Q1798" si="1794">IF(B1798=0,0,IF(YEAR(B1798)=$Q$1,MONTH(B1798)-$P$1+1,(YEAR(B1798)-$Q$1)*12-$P$1+1+MONTH(B1798)))</f>
        <v>0</v>
      </c>
      <c r="Q1798" s="280">
        <f t="shared" si="1794"/>
        <v>0</v>
      </c>
      <c r="R1798" s="356" t="str">
        <f t="shared" si="1"/>
        <v/>
      </c>
      <c r="S1798" s="269" t="str">
        <f>IF(D1798="","",IF(OR(D1798=Plano!$A$1,D1798=Plano!$B$1),"entrada","saída"))</f>
        <v/>
      </c>
      <c r="T1798" s="406"/>
      <c r="U1798" s="406"/>
      <c r="V1798" s="269"/>
    </row>
    <row r="1799" spans="1:22" ht="12.75" customHeight="1" x14ac:dyDescent="0.2">
      <c r="A1799" s="289" t="str">
        <f>IF(B1799="","",COUNT('Diário 5º PA'!$A$5:$A$2634)+ROW()-4)</f>
        <v/>
      </c>
      <c r="B1799" s="290"/>
      <c r="C1799" s="357"/>
      <c r="D1799" s="291"/>
      <c r="E1799" s="291"/>
      <c r="F1799" s="292"/>
      <c r="G1799" s="291"/>
      <c r="H1799" s="291"/>
      <c r="I1799" s="293"/>
      <c r="J1799" s="291"/>
      <c r="K1799" s="291"/>
      <c r="L1799" s="293"/>
      <c r="M1799" s="291"/>
      <c r="N1799" s="289"/>
      <c r="O1799" s="358"/>
      <c r="P1799" s="402">
        <f t="shared" ref="P1799:Q1799" si="1795">IF(B1799=0,0,IF(YEAR(B1799)=$Q$1,MONTH(B1799)-$P$1+1,(YEAR(B1799)-$Q$1)*12-$P$1+1+MONTH(B1799)))</f>
        <v>0</v>
      </c>
      <c r="Q1799" s="280">
        <f t="shared" si="1795"/>
        <v>0</v>
      </c>
      <c r="R1799" s="356" t="str">
        <f t="shared" si="1"/>
        <v/>
      </c>
      <c r="S1799" s="269" t="str">
        <f>IF(D1799="","",IF(OR(D1799=Plano!$A$1,D1799=Plano!$B$1),"entrada","saída"))</f>
        <v/>
      </c>
      <c r="T1799" s="406"/>
      <c r="U1799" s="406"/>
      <c r="V1799" s="269"/>
    </row>
    <row r="1800" spans="1:22" ht="12.75" customHeight="1" x14ac:dyDescent="0.2">
      <c r="A1800" s="289" t="str">
        <f>IF(B1800="","",COUNT('Diário 5º PA'!$A$5:$A$2634)+ROW()-4)</f>
        <v/>
      </c>
      <c r="B1800" s="290"/>
      <c r="C1800" s="357"/>
      <c r="D1800" s="291"/>
      <c r="E1800" s="291"/>
      <c r="F1800" s="292"/>
      <c r="G1800" s="291"/>
      <c r="H1800" s="291"/>
      <c r="I1800" s="293"/>
      <c r="J1800" s="291"/>
      <c r="K1800" s="291"/>
      <c r="L1800" s="293"/>
      <c r="M1800" s="291"/>
      <c r="N1800" s="289"/>
      <c r="O1800" s="358"/>
      <c r="P1800" s="402">
        <f t="shared" ref="P1800:Q1800" si="1796">IF(B1800=0,0,IF(YEAR(B1800)=$Q$1,MONTH(B1800)-$P$1+1,(YEAR(B1800)-$Q$1)*12-$P$1+1+MONTH(B1800)))</f>
        <v>0</v>
      </c>
      <c r="Q1800" s="280">
        <f t="shared" si="1796"/>
        <v>0</v>
      </c>
      <c r="R1800" s="356" t="str">
        <f t="shared" si="1"/>
        <v/>
      </c>
      <c r="S1800" s="269" t="str">
        <f>IF(D1800="","",IF(OR(D1800=Plano!$A$1,D1800=Plano!$B$1),"entrada","saída"))</f>
        <v/>
      </c>
      <c r="T1800" s="406"/>
      <c r="U1800" s="406"/>
      <c r="V1800" s="269"/>
    </row>
    <row r="1801" spans="1:22" ht="12.75" customHeight="1" x14ac:dyDescent="0.2">
      <c r="A1801" s="289" t="str">
        <f>IF(B1801="","",COUNT('Diário 5º PA'!$A$5:$A$2634)+ROW()-4)</f>
        <v/>
      </c>
      <c r="B1801" s="290"/>
      <c r="C1801" s="357"/>
      <c r="D1801" s="291"/>
      <c r="E1801" s="291"/>
      <c r="F1801" s="292"/>
      <c r="G1801" s="291"/>
      <c r="H1801" s="291"/>
      <c r="I1801" s="293"/>
      <c r="J1801" s="291"/>
      <c r="K1801" s="291"/>
      <c r="L1801" s="293"/>
      <c r="M1801" s="291"/>
      <c r="N1801" s="289"/>
      <c r="O1801" s="358"/>
      <c r="P1801" s="402">
        <f t="shared" ref="P1801:Q1801" si="1797">IF(B1801=0,0,IF(YEAR(B1801)=$Q$1,MONTH(B1801)-$P$1+1,(YEAR(B1801)-$Q$1)*12-$P$1+1+MONTH(B1801)))</f>
        <v>0</v>
      </c>
      <c r="Q1801" s="280">
        <f t="shared" si="1797"/>
        <v>0</v>
      </c>
      <c r="R1801" s="356" t="str">
        <f t="shared" si="1"/>
        <v/>
      </c>
      <c r="S1801" s="269" t="str">
        <f>IF(D1801="","",IF(OR(D1801=Plano!$A$1,D1801=Plano!$B$1),"entrada","saída"))</f>
        <v/>
      </c>
      <c r="T1801" s="406"/>
      <c r="U1801" s="406"/>
      <c r="V1801" s="269"/>
    </row>
    <row r="1802" spans="1:22" ht="12.75" customHeight="1" x14ac:dyDescent="0.2">
      <c r="A1802" s="289" t="str">
        <f>IF(B1802="","",COUNT('Diário 5º PA'!$A$5:$A$2634)+ROW()-4)</f>
        <v/>
      </c>
      <c r="B1802" s="290"/>
      <c r="C1802" s="357"/>
      <c r="D1802" s="291"/>
      <c r="E1802" s="291"/>
      <c r="F1802" s="292"/>
      <c r="G1802" s="291"/>
      <c r="H1802" s="291"/>
      <c r="I1802" s="293"/>
      <c r="J1802" s="291"/>
      <c r="K1802" s="291"/>
      <c r="L1802" s="293"/>
      <c r="M1802" s="291"/>
      <c r="N1802" s="289"/>
      <c r="O1802" s="358"/>
      <c r="P1802" s="402">
        <f t="shared" ref="P1802:Q1802" si="1798">IF(B1802=0,0,IF(YEAR(B1802)=$Q$1,MONTH(B1802)-$P$1+1,(YEAR(B1802)-$Q$1)*12-$P$1+1+MONTH(B1802)))</f>
        <v>0</v>
      </c>
      <c r="Q1802" s="280">
        <f t="shared" si="1798"/>
        <v>0</v>
      </c>
      <c r="R1802" s="356" t="str">
        <f t="shared" si="1"/>
        <v/>
      </c>
      <c r="S1802" s="269" t="str">
        <f>IF(D1802="","",IF(OR(D1802=Plano!$A$1,D1802=Plano!$B$1),"entrada","saída"))</f>
        <v/>
      </c>
      <c r="T1802" s="406"/>
      <c r="U1802" s="406"/>
      <c r="V1802" s="269"/>
    </row>
    <row r="1803" spans="1:22" ht="12.75" customHeight="1" x14ac:dyDescent="0.2">
      <c r="A1803" s="289" t="str">
        <f>IF(B1803="","",COUNT('Diário 5º PA'!$A$5:$A$2634)+ROW()-4)</f>
        <v/>
      </c>
      <c r="B1803" s="290"/>
      <c r="C1803" s="357"/>
      <c r="D1803" s="291"/>
      <c r="E1803" s="291"/>
      <c r="F1803" s="292"/>
      <c r="G1803" s="291"/>
      <c r="H1803" s="291"/>
      <c r="I1803" s="293"/>
      <c r="J1803" s="291"/>
      <c r="K1803" s="291"/>
      <c r="L1803" s="293"/>
      <c r="M1803" s="291"/>
      <c r="N1803" s="289"/>
      <c r="O1803" s="358"/>
      <c r="P1803" s="402">
        <f t="shared" ref="P1803:Q1803" si="1799">IF(B1803=0,0,IF(YEAR(B1803)=$Q$1,MONTH(B1803)-$P$1+1,(YEAR(B1803)-$Q$1)*12-$P$1+1+MONTH(B1803)))</f>
        <v>0</v>
      </c>
      <c r="Q1803" s="280">
        <f t="shared" si="1799"/>
        <v>0</v>
      </c>
      <c r="R1803" s="356" t="str">
        <f t="shared" si="1"/>
        <v/>
      </c>
      <c r="S1803" s="269" t="str">
        <f>IF(D1803="","",IF(OR(D1803=Plano!$A$1,D1803=Plano!$B$1),"entrada","saída"))</f>
        <v/>
      </c>
      <c r="T1803" s="406"/>
      <c r="U1803" s="406"/>
      <c r="V1803" s="269"/>
    </row>
    <row r="1804" spans="1:22" ht="12.75" customHeight="1" x14ac:dyDescent="0.2">
      <c r="A1804" s="289" t="str">
        <f>IF(B1804="","",COUNT('Diário 5º PA'!$A$5:$A$2634)+ROW()-4)</f>
        <v/>
      </c>
      <c r="B1804" s="290"/>
      <c r="C1804" s="357"/>
      <c r="D1804" s="291"/>
      <c r="E1804" s="291"/>
      <c r="F1804" s="292"/>
      <c r="G1804" s="291"/>
      <c r="H1804" s="291"/>
      <c r="I1804" s="293"/>
      <c r="J1804" s="291"/>
      <c r="K1804" s="291"/>
      <c r="L1804" s="293"/>
      <c r="M1804" s="291"/>
      <c r="N1804" s="289"/>
      <c r="O1804" s="358"/>
      <c r="P1804" s="402">
        <f t="shared" ref="P1804:Q1804" si="1800">IF(B1804=0,0,IF(YEAR(B1804)=$Q$1,MONTH(B1804)-$P$1+1,(YEAR(B1804)-$Q$1)*12-$P$1+1+MONTH(B1804)))</f>
        <v>0</v>
      </c>
      <c r="Q1804" s="280">
        <f t="shared" si="1800"/>
        <v>0</v>
      </c>
      <c r="R1804" s="356" t="str">
        <f t="shared" si="1"/>
        <v/>
      </c>
      <c r="S1804" s="269" t="str">
        <f>IF(D1804="","",IF(OR(D1804=Plano!$A$1,D1804=Plano!$B$1),"entrada","saída"))</f>
        <v/>
      </c>
      <c r="T1804" s="406"/>
      <c r="U1804" s="406"/>
      <c r="V1804" s="269"/>
    </row>
    <row r="1805" spans="1:22" ht="12.75" customHeight="1" x14ac:dyDescent="0.2">
      <c r="A1805" s="289" t="str">
        <f>IF(B1805="","",COUNT('Diário 5º PA'!$A$5:$A$2634)+ROW()-4)</f>
        <v/>
      </c>
      <c r="B1805" s="290"/>
      <c r="C1805" s="357"/>
      <c r="D1805" s="291"/>
      <c r="E1805" s="291"/>
      <c r="F1805" s="292"/>
      <c r="G1805" s="291"/>
      <c r="H1805" s="291"/>
      <c r="I1805" s="293"/>
      <c r="J1805" s="291"/>
      <c r="K1805" s="291"/>
      <c r="L1805" s="293"/>
      <c r="M1805" s="291"/>
      <c r="N1805" s="289"/>
      <c r="O1805" s="358"/>
      <c r="P1805" s="402">
        <f t="shared" ref="P1805:Q1805" si="1801">IF(B1805=0,0,IF(YEAR(B1805)=$Q$1,MONTH(B1805)-$P$1+1,(YEAR(B1805)-$Q$1)*12-$P$1+1+MONTH(B1805)))</f>
        <v>0</v>
      </c>
      <c r="Q1805" s="280">
        <f t="shared" si="1801"/>
        <v>0</v>
      </c>
      <c r="R1805" s="356" t="str">
        <f t="shared" si="1"/>
        <v/>
      </c>
      <c r="S1805" s="269" t="str">
        <f>IF(D1805="","",IF(OR(D1805=Plano!$A$1,D1805=Plano!$B$1),"entrada","saída"))</f>
        <v/>
      </c>
      <c r="T1805" s="406"/>
      <c r="U1805" s="406"/>
      <c r="V1805" s="269"/>
    </row>
    <row r="1806" spans="1:22" ht="12.75" customHeight="1" x14ac:dyDescent="0.2">
      <c r="A1806" s="289" t="str">
        <f>IF(B1806="","",COUNT('Diário 5º PA'!$A$5:$A$2634)+ROW()-4)</f>
        <v/>
      </c>
      <c r="B1806" s="290"/>
      <c r="C1806" s="357"/>
      <c r="D1806" s="291"/>
      <c r="E1806" s="291"/>
      <c r="F1806" s="292"/>
      <c r="G1806" s="291"/>
      <c r="H1806" s="291"/>
      <c r="I1806" s="293"/>
      <c r="J1806" s="291"/>
      <c r="K1806" s="291"/>
      <c r="L1806" s="293"/>
      <c r="M1806" s="291"/>
      <c r="N1806" s="289"/>
      <c r="O1806" s="358"/>
      <c r="P1806" s="402">
        <f t="shared" ref="P1806:Q1806" si="1802">IF(B1806=0,0,IF(YEAR(B1806)=$Q$1,MONTH(B1806)-$P$1+1,(YEAR(B1806)-$Q$1)*12-$P$1+1+MONTH(B1806)))</f>
        <v>0</v>
      </c>
      <c r="Q1806" s="280">
        <f t="shared" si="1802"/>
        <v>0</v>
      </c>
      <c r="R1806" s="356" t="str">
        <f t="shared" si="1"/>
        <v/>
      </c>
      <c r="S1806" s="269" t="str">
        <f>IF(D1806="","",IF(OR(D1806=Plano!$A$1,D1806=Plano!$B$1),"entrada","saída"))</f>
        <v/>
      </c>
      <c r="T1806" s="406"/>
      <c r="U1806" s="406"/>
      <c r="V1806" s="269"/>
    </row>
    <row r="1807" spans="1:22" ht="12.75" customHeight="1" x14ac:dyDescent="0.2">
      <c r="A1807" s="289" t="str">
        <f>IF(B1807="","",COUNT('Diário 5º PA'!$A$5:$A$2634)+ROW()-4)</f>
        <v/>
      </c>
      <c r="B1807" s="290"/>
      <c r="C1807" s="357"/>
      <c r="D1807" s="291"/>
      <c r="E1807" s="291"/>
      <c r="F1807" s="292"/>
      <c r="G1807" s="291"/>
      <c r="H1807" s="291"/>
      <c r="I1807" s="293"/>
      <c r="J1807" s="291"/>
      <c r="K1807" s="291"/>
      <c r="L1807" s="293"/>
      <c r="M1807" s="291"/>
      <c r="N1807" s="289"/>
      <c r="O1807" s="358"/>
      <c r="P1807" s="402">
        <f t="shared" ref="P1807:Q1807" si="1803">IF(B1807=0,0,IF(YEAR(B1807)=$Q$1,MONTH(B1807)-$P$1+1,(YEAR(B1807)-$Q$1)*12-$P$1+1+MONTH(B1807)))</f>
        <v>0</v>
      </c>
      <c r="Q1807" s="280">
        <f t="shared" si="1803"/>
        <v>0</v>
      </c>
      <c r="R1807" s="356" t="str">
        <f t="shared" si="1"/>
        <v/>
      </c>
      <c r="S1807" s="269" t="str">
        <f>IF(D1807="","",IF(OR(D1807=Plano!$A$1,D1807=Plano!$B$1),"entrada","saída"))</f>
        <v/>
      </c>
      <c r="T1807" s="406"/>
      <c r="U1807" s="406"/>
      <c r="V1807" s="269"/>
    </row>
    <row r="1808" spans="1:22" ht="12.75" customHeight="1" x14ac:dyDescent="0.2">
      <c r="A1808" s="289" t="str">
        <f>IF(B1808="","",COUNT('Diário 5º PA'!$A$5:$A$2634)+ROW()-4)</f>
        <v/>
      </c>
      <c r="B1808" s="290"/>
      <c r="C1808" s="357"/>
      <c r="D1808" s="291"/>
      <c r="E1808" s="291"/>
      <c r="F1808" s="292"/>
      <c r="G1808" s="291"/>
      <c r="H1808" s="291"/>
      <c r="I1808" s="293"/>
      <c r="J1808" s="291"/>
      <c r="K1808" s="291"/>
      <c r="L1808" s="293"/>
      <c r="M1808" s="291"/>
      <c r="N1808" s="289"/>
      <c r="O1808" s="358"/>
      <c r="P1808" s="402">
        <f t="shared" ref="P1808:Q1808" si="1804">IF(B1808=0,0,IF(YEAR(B1808)=$Q$1,MONTH(B1808)-$P$1+1,(YEAR(B1808)-$Q$1)*12-$P$1+1+MONTH(B1808)))</f>
        <v>0</v>
      </c>
      <c r="Q1808" s="280">
        <f t="shared" si="1804"/>
        <v>0</v>
      </c>
      <c r="R1808" s="356" t="str">
        <f t="shared" si="1"/>
        <v/>
      </c>
      <c r="S1808" s="269" t="str">
        <f>IF(D1808="","",IF(OR(D1808=Plano!$A$1,D1808=Plano!$B$1),"entrada","saída"))</f>
        <v/>
      </c>
      <c r="T1808" s="406"/>
      <c r="U1808" s="406"/>
      <c r="V1808" s="269"/>
    </row>
    <row r="1809" spans="1:22" ht="12.75" customHeight="1" x14ac:dyDescent="0.2">
      <c r="A1809" s="289" t="str">
        <f>IF(B1809="","",COUNT('Diário 5º PA'!$A$5:$A$2634)+ROW()-4)</f>
        <v/>
      </c>
      <c r="B1809" s="290"/>
      <c r="C1809" s="357"/>
      <c r="D1809" s="291"/>
      <c r="E1809" s="291"/>
      <c r="F1809" s="292"/>
      <c r="G1809" s="291"/>
      <c r="H1809" s="291"/>
      <c r="I1809" s="293"/>
      <c r="J1809" s="291"/>
      <c r="K1809" s="291"/>
      <c r="L1809" s="293"/>
      <c r="M1809" s="291"/>
      <c r="N1809" s="289"/>
      <c r="O1809" s="358"/>
      <c r="P1809" s="402">
        <f t="shared" ref="P1809:Q1809" si="1805">IF(B1809=0,0,IF(YEAR(B1809)=$Q$1,MONTH(B1809)-$P$1+1,(YEAR(B1809)-$Q$1)*12-$P$1+1+MONTH(B1809)))</f>
        <v>0</v>
      </c>
      <c r="Q1809" s="280">
        <f t="shared" si="1805"/>
        <v>0</v>
      </c>
      <c r="R1809" s="356" t="str">
        <f t="shared" si="1"/>
        <v/>
      </c>
      <c r="S1809" s="269" t="str">
        <f>IF(D1809="","",IF(OR(D1809=Plano!$A$1,D1809=Plano!$B$1),"entrada","saída"))</f>
        <v/>
      </c>
      <c r="T1809" s="406"/>
      <c r="U1809" s="406"/>
      <c r="V1809" s="269"/>
    </row>
    <row r="1810" spans="1:22" ht="12.75" customHeight="1" x14ac:dyDescent="0.2">
      <c r="A1810" s="289" t="str">
        <f>IF(B1810="","",COUNT('Diário 5º PA'!$A$5:$A$2634)+ROW()-4)</f>
        <v/>
      </c>
      <c r="B1810" s="290"/>
      <c r="C1810" s="357"/>
      <c r="D1810" s="291"/>
      <c r="E1810" s="291"/>
      <c r="F1810" s="292"/>
      <c r="G1810" s="291"/>
      <c r="H1810" s="291"/>
      <c r="I1810" s="293"/>
      <c r="J1810" s="291"/>
      <c r="K1810" s="291"/>
      <c r="L1810" s="293"/>
      <c r="M1810" s="291"/>
      <c r="N1810" s="289"/>
      <c r="O1810" s="358"/>
      <c r="P1810" s="402">
        <f t="shared" ref="P1810:Q1810" si="1806">IF(B1810=0,0,IF(YEAR(B1810)=$Q$1,MONTH(B1810)-$P$1+1,(YEAR(B1810)-$Q$1)*12-$P$1+1+MONTH(B1810)))</f>
        <v>0</v>
      </c>
      <c r="Q1810" s="280">
        <f t="shared" si="1806"/>
        <v>0</v>
      </c>
      <c r="R1810" s="356" t="str">
        <f t="shared" si="1"/>
        <v/>
      </c>
      <c r="S1810" s="269" t="str">
        <f>IF(D1810="","",IF(OR(D1810=Plano!$A$1,D1810=Plano!$B$1),"entrada","saída"))</f>
        <v/>
      </c>
      <c r="T1810" s="406"/>
      <c r="U1810" s="406"/>
      <c r="V1810" s="269"/>
    </row>
    <row r="1811" spans="1:22" ht="12.75" customHeight="1" x14ac:dyDescent="0.2">
      <c r="A1811" s="289" t="str">
        <f>IF(B1811="","",COUNT('Diário 5º PA'!$A$5:$A$2634)+ROW()-4)</f>
        <v/>
      </c>
      <c r="B1811" s="290"/>
      <c r="C1811" s="357"/>
      <c r="D1811" s="291"/>
      <c r="E1811" s="291"/>
      <c r="F1811" s="292"/>
      <c r="G1811" s="291"/>
      <c r="H1811" s="291"/>
      <c r="I1811" s="293"/>
      <c r="J1811" s="291"/>
      <c r="K1811" s="291"/>
      <c r="L1811" s="293"/>
      <c r="M1811" s="291"/>
      <c r="N1811" s="289"/>
      <c r="O1811" s="358"/>
      <c r="P1811" s="402">
        <f t="shared" ref="P1811:Q1811" si="1807">IF(B1811=0,0,IF(YEAR(B1811)=$Q$1,MONTH(B1811)-$P$1+1,(YEAR(B1811)-$Q$1)*12-$P$1+1+MONTH(B1811)))</f>
        <v>0</v>
      </c>
      <c r="Q1811" s="280">
        <f t="shared" si="1807"/>
        <v>0</v>
      </c>
      <c r="R1811" s="356" t="str">
        <f t="shared" si="1"/>
        <v/>
      </c>
      <c r="S1811" s="269" t="str">
        <f>IF(D1811="","",IF(OR(D1811=Plano!$A$1,D1811=Plano!$B$1),"entrada","saída"))</f>
        <v/>
      </c>
      <c r="T1811" s="406"/>
      <c r="U1811" s="406"/>
      <c r="V1811" s="269"/>
    </row>
    <row r="1812" spans="1:22" ht="12.75" customHeight="1" x14ac:dyDescent="0.2">
      <c r="A1812" s="289" t="str">
        <f>IF(B1812="","",COUNT('Diário 5º PA'!$A$5:$A$2634)+ROW()-4)</f>
        <v/>
      </c>
      <c r="B1812" s="290"/>
      <c r="C1812" s="357"/>
      <c r="D1812" s="291"/>
      <c r="E1812" s="291"/>
      <c r="F1812" s="292"/>
      <c r="G1812" s="291"/>
      <c r="H1812" s="291"/>
      <c r="I1812" s="293"/>
      <c r="J1812" s="291"/>
      <c r="K1812" s="291"/>
      <c r="L1812" s="293"/>
      <c r="M1812" s="291"/>
      <c r="N1812" s="289"/>
      <c r="O1812" s="358"/>
      <c r="P1812" s="402">
        <f t="shared" ref="P1812:Q1812" si="1808">IF(B1812=0,0,IF(YEAR(B1812)=$Q$1,MONTH(B1812)-$P$1+1,(YEAR(B1812)-$Q$1)*12-$P$1+1+MONTH(B1812)))</f>
        <v>0</v>
      </c>
      <c r="Q1812" s="280">
        <f t="shared" si="1808"/>
        <v>0</v>
      </c>
      <c r="R1812" s="356" t="str">
        <f t="shared" si="1"/>
        <v/>
      </c>
      <c r="S1812" s="269" t="str">
        <f>IF(D1812="","",IF(OR(D1812=Plano!$A$1,D1812=Plano!$B$1),"entrada","saída"))</f>
        <v/>
      </c>
      <c r="T1812" s="406"/>
      <c r="U1812" s="406"/>
      <c r="V1812" s="269"/>
    </row>
    <row r="1813" spans="1:22" ht="12.75" customHeight="1" x14ac:dyDescent="0.2">
      <c r="A1813" s="289" t="str">
        <f>IF(B1813="","",COUNT('Diário 5º PA'!$A$5:$A$2634)+ROW()-4)</f>
        <v/>
      </c>
      <c r="B1813" s="290"/>
      <c r="C1813" s="357"/>
      <c r="D1813" s="291"/>
      <c r="E1813" s="291"/>
      <c r="F1813" s="292"/>
      <c r="G1813" s="291"/>
      <c r="H1813" s="291"/>
      <c r="I1813" s="293"/>
      <c r="J1813" s="291"/>
      <c r="K1813" s="291"/>
      <c r="L1813" s="293"/>
      <c r="M1813" s="291"/>
      <c r="N1813" s="289"/>
      <c r="O1813" s="358"/>
      <c r="P1813" s="402">
        <f t="shared" ref="P1813:Q1813" si="1809">IF(B1813=0,0,IF(YEAR(B1813)=$Q$1,MONTH(B1813)-$P$1+1,(YEAR(B1813)-$Q$1)*12-$P$1+1+MONTH(B1813)))</f>
        <v>0</v>
      </c>
      <c r="Q1813" s="280">
        <f t="shared" si="1809"/>
        <v>0</v>
      </c>
      <c r="R1813" s="356" t="str">
        <f t="shared" si="1"/>
        <v/>
      </c>
      <c r="S1813" s="269" t="str">
        <f>IF(D1813="","",IF(OR(D1813=Plano!$A$1,D1813=Plano!$B$1),"entrada","saída"))</f>
        <v/>
      </c>
      <c r="T1813" s="406"/>
      <c r="U1813" s="406"/>
      <c r="V1813" s="269"/>
    </row>
    <row r="1814" spans="1:22" ht="12.75" customHeight="1" x14ac:dyDescent="0.2">
      <c r="A1814" s="289" t="str">
        <f>IF(B1814="","",COUNT('Diário 5º PA'!$A$5:$A$2634)+ROW()-4)</f>
        <v/>
      </c>
      <c r="B1814" s="290"/>
      <c r="C1814" s="357"/>
      <c r="D1814" s="291"/>
      <c r="E1814" s="291"/>
      <c r="F1814" s="292"/>
      <c r="G1814" s="291"/>
      <c r="H1814" s="291"/>
      <c r="I1814" s="293"/>
      <c r="J1814" s="291"/>
      <c r="K1814" s="291"/>
      <c r="L1814" s="293"/>
      <c r="M1814" s="291"/>
      <c r="N1814" s="289"/>
      <c r="O1814" s="358"/>
      <c r="P1814" s="402">
        <f t="shared" ref="P1814:Q1814" si="1810">IF(B1814=0,0,IF(YEAR(B1814)=$Q$1,MONTH(B1814)-$P$1+1,(YEAR(B1814)-$Q$1)*12-$P$1+1+MONTH(B1814)))</f>
        <v>0</v>
      </c>
      <c r="Q1814" s="280">
        <f t="shared" si="1810"/>
        <v>0</v>
      </c>
      <c r="R1814" s="356" t="str">
        <f t="shared" si="1"/>
        <v/>
      </c>
      <c r="S1814" s="269" t="str">
        <f>IF(D1814="","",IF(OR(D1814=Plano!$A$1,D1814=Plano!$B$1),"entrada","saída"))</f>
        <v/>
      </c>
      <c r="T1814" s="406"/>
      <c r="U1814" s="406"/>
      <c r="V1814" s="269"/>
    </row>
    <row r="1815" spans="1:22" ht="12.75" customHeight="1" x14ac:dyDescent="0.2">
      <c r="A1815" s="289" t="str">
        <f>IF(B1815="","",COUNT('Diário 5º PA'!$A$5:$A$2634)+ROW()-4)</f>
        <v/>
      </c>
      <c r="B1815" s="290"/>
      <c r="C1815" s="357"/>
      <c r="D1815" s="291"/>
      <c r="E1815" s="291"/>
      <c r="F1815" s="292"/>
      <c r="G1815" s="291"/>
      <c r="H1815" s="291"/>
      <c r="I1815" s="293"/>
      <c r="J1815" s="291"/>
      <c r="K1815" s="291"/>
      <c r="L1815" s="293"/>
      <c r="M1815" s="291"/>
      <c r="N1815" s="289"/>
      <c r="O1815" s="358"/>
      <c r="P1815" s="402">
        <f t="shared" ref="P1815:Q1815" si="1811">IF(B1815=0,0,IF(YEAR(B1815)=$Q$1,MONTH(B1815)-$P$1+1,(YEAR(B1815)-$Q$1)*12-$P$1+1+MONTH(B1815)))</f>
        <v>0</v>
      </c>
      <c r="Q1815" s="280">
        <f t="shared" si="1811"/>
        <v>0</v>
      </c>
      <c r="R1815" s="356" t="str">
        <f t="shared" si="1"/>
        <v/>
      </c>
      <c r="S1815" s="269" t="str">
        <f>IF(D1815="","",IF(OR(D1815=Plano!$A$1,D1815=Plano!$B$1),"entrada","saída"))</f>
        <v/>
      </c>
      <c r="T1815" s="406"/>
      <c r="U1815" s="406"/>
      <c r="V1815" s="269"/>
    </row>
    <row r="1816" spans="1:22" ht="12.75" customHeight="1" x14ac:dyDescent="0.2">
      <c r="A1816" s="289" t="str">
        <f>IF(B1816="","",COUNT('Diário 5º PA'!$A$5:$A$2634)+ROW()-4)</f>
        <v/>
      </c>
      <c r="B1816" s="290"/>
      <c r="C1816" s="357"/>
      <c r="D1816" s="291"/>
      <c r="E1816" s="291"/>
      <c r="F1816" s="292"/>
      <c r="G1816" s="291"/>
      <c r="H1816" s="291"/>
      <c r="I1816" s="293"/>
      <c r="J1816" s="291"/>
      <c r="K1816" s="291"/>
      <c r="L1816" s="293"/>
      <c r="M1816" s="291"/>
      <c r="N1816" s="289"/>
      <c r="O1816" s="358"/>
      <c r="P1816" s="402">
        <f t="shared" ref="P1816:Q1816" si="1812">IF(B1816=0,0,IF(YEAR(B1816)=$Q$1,MONTH(B1816)-$P$1+1,(YEAR(B1816)-$Q$1)*12-$P$1+1+MONTH(B1816)))</f>
        <v>0</v>
      </c>
      <c r="Q1816" s="280">
        <f t="shared" si="1812"/>
        <v>0</v>
      </c>
      <c r="R1816" s="356" t="str">
        <f t="shared" si="1"/>
        <v/>
      </c>
      <c r="S1816" s="269" t="str">
        <f>IF(D1816="","",IF(OR(D1816=Plano!$A$1,D1816=Plano!$B$1),"entrada","saída"))</f>
        <v/>
      </c>
      <c r="T1816" s="406"/>
      <c r="U1816" s="406"/>
      <c r="V1816" s="269"/>
    </row>
    <row r="1817" spans="1:22" ht="12.75" customHeight="1" x14ac:dyDescent="0.2">
      <c r="A1817" s="289" t="str">
        <f>IF(B1817="","",COUNT('Diário 5º PA'!$A$5:$A$2634)+ROW()-4)</f>
        <v/>
      </c>
      <c r="B1817" s="290"/>
      <c r="C1817" s="357"/>
      <c r="D1817" s="291"/>
      <c r="E1817" s="291"/>
      <c r="F1817" s="292"/>
      <c r="G1817" s="291"/>
      <c r="H1817" s="291"/>
      <c r="I1817" s="293"/>
      <c r="J1817" s="291"/>
      <c r="K1817" s="291"/>
      <c r="L1817" s="293"/>
      <c r="M1817" s="291"/>
      <c r="N1817" s="289"/>
      <c r="O1817" s="358"/>
      <c r="P1817" s="402">
        <f t="shared" ref="P1817:Q1817" si="1813">IF(B1817=0,0,IF(YEAR(B1817)=$Q$1,MONTH(B1817)-$P$1+1,(YEAR(B1817)-$Q$1)*12-$P$1+1+MONTH(B1817)))</f>
        <v>0</v>
      </c>
      <c r="Q1817" s="280">
        <f t="shared" si="1813"/>
        <v>0</v>
      </c>
      <c r="R1817" s="356" t="str">
        <f t="shared" si="1"/>
        <v/>
      </c>
      <c r="S1817" s="269" t="str">
        <f>IF(D1817="","",IF(OR(D1817=Plano!$A$1,D1817=Plano!$B$1),"entrada","saída"))</f>
        <v/>
      </c>
      <c r="T1817" s="406"/>
      <c r="U1817" s="406"/>
      <c r="V1817" s="269"/>
    </row>
    <row r="1818" spans="1:22" ht="12.75" customHeight="1" x14ac:dyDescent="0.2">
      <c r="A1818" s="289" t="str">
        <f>IF(B1818="","",COUNT('Diário 5º PA'!$A$5:$A$2634)+ROW()-4)</f>
        <v/>
      </c>
      <c r="B1818" s="290"/>
      <c r="C1818" s="357"/>
      <c r="D1818" s="291"/>
      <c r="E1818" s="291"/>
      <c r="F1818" s="292"/>
      <c r="G1818" s="291"/>
      <c r="H1818" s="291"/>
      <c r="I1818" s="293"/>
      <c r="J1818" s="291"/>
      <c r="K1818" s="291"/>
      <c r="L1818" s="293"/>
      <c r="M1818" s="291"/>
      <c r="N1818" s="289"/>
      <c r="O1818" s="358"/>
      <c r="P1818" s="402">
        <f t="shared" ref="P1818:Q1818" si="1814">IF(B1818=0,0,IF(YEAR(B1818)=$Q$1,MONTH(B1818)-$P$1+1,(YEAR(B1818)-$Q$1)*12-$P$1+1+MONTH(B1818)))</f>
        <v>0</v>
      </c>
      <c r="Q1818" s="280">
        <f t="shared" si="1814"/>
        <v>0</v>
      </c>
      <c r="R1818" s="356" t="str">
        <f t="shared" si="1"/>
        <v/>
      </c>
      <c r="S1818" s="269" t="str">
        <f>IF(D1818="","",IF(OR(D1818=Plano!$A$1,D1818=Plano!$B$1),"entrada","saída"))</f>
        <v/>
      </c>
      <c r="T1818" s="406"/>
      <c r="U1818" s="406"/>
      <c r="V1818" s="269"/>
    </row>
    <row r="1819" spans="1:22" ht="12.75" customHeight="1" x14ac:dyDescent="0.2">
      <c r="A1819" s="289" t="str">
        <f>IF(B1819="","",COUNT('Diário 5º PA'!$A$5:$A$2634)+ROW()-4)</f>
        <v/>
      </c>
      <c r="B1819" s="290"/>
      <c r="C1819" s="357"/>
      <c r="D1819" s="291"/>
      <c r="E1819" s="291"/>
      <c r="F1819" s="292"/>
      <c r="G1819" s="291"/>
      <c r="H1819" s="291"/>
      <c r="I1819" s="293"/>
      <c r="J1819" s="291"/>
      <c r="K1819" s="291"/>
      <c r="L1819" s="293"/>
      <c r="M1819" s="291"/>
      <c r="N1819" s="289"/>
      <c r="O1819" s="358"/>
      <c r="P1819" s="402">
        <f t="shared" ref="P1819:Q1819" si="1815">IF(B1819=0,0,IF(YEAR(B1819)=$Q$1,MONTH(B1819)-$P$1+1,(YEAR(B1819)-$Q$1)*12-$P$1+1+MONTH(B1819)))</f>
        <v>0</v>
      </c>
      <c r="Q1819" s="280">
        <f t="shared" si="1815"/>
        <v>0</v>
      </c>
      <c r="R1819" s="356" t="str">
        <f t="shared" si="1"/>
        <v/>
      </c>
      <c r="S1819" s="269" t="str">
        <f>IF(D1819="","",IF(OR(D1819=Plano!$A$1,D1819=Plano!$B$1),"entrada","saída"))</f>
        <v/>
      </c>
      <c r="T1819" s="406"/>
      <c r="U1819" s="406"/>
      <c r="V1819" s="269"/>
    </row>
    <row r="1820" spans="1:22" ht="12.75" customHeight="1" x14ac:dyDescent="0.2">
      <c r="A1820" s="289" t="str">
        <f>IF(B1820="","",COUNT('Diário 5º PA'!$A$5:$A$2634)+ROW()-4)</f>
        <v/>
      </c>
      <c r="B1820" s="290"/>
      <c r="C1820" s="357"/>
      <c r="D1820" s="291"/>
      <c r="E1820" s="291"/>
      <c r="F1820" s="292"/>
      <c r="G1820" s="291"/>
      <c r="H1820" s="291"/>
      <c r="I1820" s="293"/>
      <c r="J1820" s="291"/>
      <c r="K1820" s="291"/>
      <c r="L1820" s="293"/>
      <c r="M1820" s="291"/>
      <c r="N1820" s="289"/>
      <c r="O1820" s="358"/>
      <c r="P1820" s="402">
        <f t="shared" ref="P1820:Q1820" si="1816">IF(B1820=0,0,IF(YEAR(B1820)=$Q$1,MONTH(B1820)-$P$1+1,(YEAR(B1820)-$Q$1)*12-$P$1+1+MONTH(B1820)))</f>
        <v>0</v>
      </c>
      <c r="Q1820" s="280">
        <f t="shared" si="1816"/>
        <v>0</v>
      </c>
      <c r="R1820" s="356" t="str">
        <f t="shared" si="1"/>
        <v/>
      </c>
      <c r="S1820" s="269" t="str">
        <f>IF(D1820="","",IF(OR(D1820=Plano!$A$1,D1820=Plano!$B$1),"entrada","saída"))</f>
        <v/>
      </c>
      <c r="T1820" s="406"/>
      <c r="U1820" s="406"/>
      <c r="V1820" s="269"/>
    </row>
    <row r="1821" spans="1:22" ht="12.75" customHeight="1" x14ac:dyDescent="0.2">
      <c r="A1821" s="289" t="str">
        <f>IF(B1821="","",COUNT('Diário 5º PA'!$A$5:$A$2634)+ROW()-4)</f>
        <v/>
      </c>
      <c r="B1821" s="290"/>
      <c r="C1821" s="357"/>
      <c r="D1821" s="291"/>
      <c r="E1821" s="291"/>
      <c r="F1821" s="292"/>
      <c r="G1821" s="291"/>
      <c r="H1821" s="291"/>
      <c r="I1821" s="293"/>
      <c r="J1821" s="291"/>
      <c r="K1821" s="291"/>
      <c r="L1821" s="293"/>
      <c r="M1821" s="291"/>
      <c r="N1821" s="289"/>
      <c r="O1821" s="358"/>
      <c r="P1821" s="402">
        <f t="shared" ref="P1821:Q1821" si="1817">IF(B1821=0,0,IF(YEAR(B1821)=$Q$1,MONTH(B1821)-$P$1+1,(YEAR(B1821)-$Q$1)*12-$P$1+1+MONTH(B1821)))</f>
        <v>0</v>
      </c>
      <c r="Q1821" s="280">
        <f t="shared" si="1817"/>
        <v>0</v>
      </c>
      <c r="R1821" s="356" t="str">
        <f t="shared" si="1"/>
        <v/>
      </c>
      <c r="S1821" s="269" t="str">
        <f>IF(D1821="","",IF(OR(D1821=Plano!$A$1,D1821=Plano!$B$1),"entrada","saída"))</f>
        <v/>
      </c>
      <c r="T1821" s="406"/>
      <c r="U1821" s="406"/>
      <c r="V1821" s="269"/>
    </row>
    <row r="1822" spans="1:22" ht="12.75" customHeight="1" x14ac:dyDescent="0.2">
      <c r="A1822" s="289" t="str">
        <f>IF(B1822="","",COUNT('Diário 5º PA'!$A$5:$A$2634)+ROW()-4)</f>
        <v/>
      </c>
      <c r="B1822" s="290"/>
      <c r="C1822" s="357"/>
      <c r="D1822" s="291"/>
      <c r="E1822" s="291"/>
      <c r="F1822" s="292"/>
      <c r="G1822" s="291"/>
      <c r="H1822" s="291"/>
      <c r="I1822" s="293"/>
      <c r="J1822" s="291"/>
      <c r="K1822" s="291"/>
      <c r="L1822" s="293"/>
      <c r="M1822" s="291"/>
      <c r="N1822" s="289"/>
      <c r="O1822" s="358"/>
      <c r="P1822" s="402">
        <f t="shared" ref="P1822:Q1822" si="1818">IF(B1822=0,0,IF(YEAR(B1822)=$Q$1,MONTH(B1822)-$P$1+1,(YEAR(B1822)-$Q$1)*12-$P$1+1+MONTH(B1822)))</f>
        <v>0</v>
      </c>
      <c r="Q1822" s="280">
        <f t="shared" si="1818"/>
        <v>0</v>
      </c>
      <c r="R1822" s="356" t="str">
        <f t="shared" si="1"/>
        <v/>
      </c>
      <c r="S1822" s="269" t="str">
        <f>IF(D1822="","",IF(OR(D1822=Plano!$A$1,D1822=Plano!$B$1),"entrada","saída"))</f>
        <v/>
      </c>
      <c r="T1822" s="406"/>
      <c r="U1822" s="406"/>
      <c r="V1822" s="269"/>
    </row>
    <row r="1823" spans="1:22" ht="12.75" customHeight="1" x14ac:dyDescent="0.2">
      <c r="A1823" s="289" t="str">
        <f>IF(B1823="","",COUNT('Diário 5º PA'!$A$5:$A$2634)+ROW()-4)</f>
        <v/>
      </c>
      <c r="B1823" s="290"/>
      <c r="C1823" s="357"/>
      <c r="D1823" s="291"/>
      <c r="E1823" s="291"/>
      <c r="F1823" s="292"/>
      <c r="G1823" s="291"/>
      <c r="H1823" s="291"/>
      <c r="I1823" s="293"/>
      <c r="J1823" s="291"/>
      <c r="K1823" s="291"/>
      <c r="L1823" s="293"/>
      <c r="M1823" s="291"/>
      <c r="N1823" s="289"/>
      <c r="O1823" s="358"/>
      <c r="P1823" s="402">
        <f t="shared" ref="P1823:Q1823" si="1819">IF(B1823=0,0,IF(YEAR(B1823)=$Q$1,MONTH(B1823)-$P$1+1,(YEAR(B1823)-$Q$1)*12-$P$1+1+MONTH(B1823)))</f>
        <v>0</v>
      </c>
      <c r="Q1823" s="280">
        <f t="shared" si="1819"/>
        <v>0</v>
      </c>
      <c r="R1823" s="356" t="str">
        <f t="shared" si="1"/>
        <v/>
      </c>
      <c r="S1823" s="269" t="str">
        <f>IF(D1823="","",IF(OR(D1823=Plano!$A$1,D1823=Plano!$B$1),"entrada","saída"))</f>
        <v/>
      </c>
      <c r="T1823" s="406"/>
      <c r="U1823" s="406"/>
      <c r="V1823" s="269"/>
    </row>
    <row r="1824" spans="1:22" ht="12.75" customHeight="1" x14ac:dyDescent="0.2">
      <c r="A1824" s="289" t="str">
        <f>IF(B1824="","",COUNT('Diário 5º PA'!$A$5:$A$2634)+ROW()-4)</f>
        <v/>
      </c>
      <c r="B1824" s="290"/>
      <c r="C1824" s="357"/>
      <c r="D1824" s="291"/>
      <c r="E1824" s="291"/>
      <c r="F1824" s="292"/>
      <c r="G1824" s="291"/>
      <c r="H1824" s="291"/>
      <c r="I1824" s="293"/>
      <c r="J1824" s="291"/>
      <c r="K1824" s="291"/>
      <c r="L1824" s="293"/>
      <c r="M1824" s="291"/>
      <c r="N1824" s="289"/>
      <c r="O1824" s="358"/>
      <c r="P1824" s="402">
        <f t="shared" ref="P1824:Q1824" si="1820">IF(B1824=0,0,IF(YEAR(B1824)=$Q$1,MONTH(B1824)-$P$1+1,(YEAR(B1824)-$Q$1)*12-$P$1+1+MONTH(B1824)))</f>
        <v>0</v>
      </c>
      <c r="Q1824" s="280">
        <f t="shared" si="1820"/>
        <v>0</v>
      </c>
      <c r="R1824" s="356" t="str">
        <f t="shared" si="1"/>
        <v/>
      </c>
      <c r="S1824" s="269" t="str">
        <f>IF(D1824="","",IF(OR(D1824=Plano!$A$1,D1824=Plano!$B$1),"entrada","saída"))</f>
        <v/>
      </c>
      <c r="T1824" s="406"/>
      <c r="U1824" s="406"/>
      <c r="V1824" s="269"/>
    </row>
    <row r="1825" spans="1:22" ht="12.75" customHeight="1" x14ac:dyDescent="0.2">
      <c r="A1825" s="289" t="str">
        <f>IF(B1825="","",COUNT('Diário 5º PA'!$A$5:$A$2634)+ROW()-4)</f>
        <v/>
      </c>
      <c r="B1825" s="290"/>
      <c r="C1825" s="357"/>
      <c r="D1825" s="291"/>
      <c r="E1825" s="291"/>
      <c r="F1825" s="292"/>
      <c r="G1825" s="291"/>
      <c r="H1825" s="291"/>
      <c r="I1825" s="293"/>
      <c r="J1825" s="291"/>
      <c r="K1825" s="291"/>
      <c r="L1825" s="293"/>
      <c r="M1825" s="291"/>
      <c r="N1825" s="289"/>
      <c r="O1825" s="358"/>
      <c r="P1825" s="402">
        <f t="shared" ref="P1825:Q1825" si="1821">IF(B1825=0,0,IF(YEAR(B1825)=$Q$1,MONTH(B1825)-$P$1+1,(YEAR(B1825)-$Q$1)*12-$P$1+1+MONTH(B1825)))</f>
        <v>0</v>
      </c>
      <c r="Q1825" s="280">
        <f t="shared" si="1821"/>
        <v>0</v>
      </c>
      <c r="R1825" s="356" t="str">
        <f t="shared" si="1"/>
        <v/>
      </c>
      <c r="S1825" s="269" t="str">
        <f>IF(D1825="","",IF(OR(D1825=Plano!$A$1,D1825=Plano!$B$1),"entrada","saída"))</f>
        <v/>
      </c>
      <c r="T1825" s="406"/>
      <c r="U1825" s="406"/>
      <c r="V1825" s="269"/>
    </row>
    <row r="1826" spans="1:22" ht="12.75" customHeight="1" x14ac:dyDescent="0.2">
      <c r="A1826" s="289" t="str">
        <f>IF(B1826="","",COUNT('Diário 5º PA'!$A$5:$A$2634)+ROW()-4)</f>
        <v/>
      </c>
      <c r="B1826" s="290"/>
      <c r="C1826" s="357"/>
      <c r="D1826" s="291"/>
      <c r="E1826" s="291"/>
      <c r="F1826" s="292"/>
      <c r="G1826" s="291"/>
      <c r="H1826" s="291"/>
      <c r="I1826" s="293"/>
      <c r="J1826" s="291"/>
      <c r="K1826" s="291"/>
      <c r="L1826" s="293"/>
      <c r="M1826" s="291"/>
      <c r="N1826" s="289"/>
      <c r="O1826" s="358"/>
      <c r="P1826" s="402">
        <f t="shared" ref="P1826:Q1826" si="1822">IF(B1826=0,0,IF(YEAR(B1826)=$Q$1,MONTH(B1826)-$P$1+1,(YEAR(B1826)-$Q$1)*12-$P$1+1+MONTH(B1826)))</f>
        <v>0</v>
      </c>
      <c r="Q1826" s="280">
        <f t="shared" si="1822"/>
        <v>0</v>
      </c>
      <c r="R1826" s="356" t="str">
        <f t="shared" si="1"/>
        <v/>
      </c>
      <c r="S1826" s="269" t="str">
        <f>IF(D1826="","",IF(OR(D1826=Plano!$A$1,D1826=Plano!$B$1),"entrada","saída"))</f>
        <v/>
      </c>
      <c r="T1826" s="406"/>
      <c r="U1826" s="406"/>
      <c r="V1826" s="269"/>
    </row>
    <row r="1827" spans="1:22" ht="12.75" customHeight="1" x14ac:dyDescent="0.2">
      <c r="A1827" s="289" t="str">
        <f>IF(B1827="","",COUNT('Diário 5º PA'!$A$5:$A$2634)+ROW()-4)</f>
        <v/>
      </c>
      <c r="B1827" s="290"/>
      <c r="C1827" s="357"/>
      <c r="D1827" s="291"/>
      <c r="E1827" s="291"/>
      <c r="F1827" s="292"/>
      <c r="G1827" s="291"/>
      <c r="H1827" s="291"/>
      <c r="I1827" s="293"/>
      <c r="J1827" s="291"/>
      <c r="K1827" s="291"/>
      <c r="L1827" s="293"/>
      <c r="M1827" s="291"/>
      <c r="N1827" s="289"/>
      <c r="O1827" s="358"/>
      <c r="P1827" s="402">
        <f t="shared" ref="P1827:Q1827" si="1823">IF(B1827=0,0,IF(YEAR(B1827)=$Q$1,MONTH(B1827)-$P$1+1,(YEAR(B1827)-$Q$1)*12-$P$1+1+MONTH(B1827)))</f>
        <v>0</v>
      </c>
      <c r="Q1827" s="280">
        <f t="shared" si="1823"/>
        <v>0</v>
      </c>
      <c r="R1827" s="356" t="str">
        <f t="shared" si="1"/>
        <v/>
      </c>
      <c r="S1827" s="269" t="str">
        <f>IF(D1827="","",IF(OR(D1827=Plano!$A$1,D1827=Plano!$B$1),"entrada","saída"))</f>
        <v/>
      </c>
      <c r="T1827" s="406"/>
      <c r="U1827" s="406"/>
      <c r="V1827" s="269"/>
    </row>
    <row r="1828" spans="1:22" ht="12.75" customHeight="1" x14ac:dyDescent="0.2">
      <c r="A1828" s="289" t="str">
        <f>IF(B1828="","",COUNT('Diário 5º PA'!$A$5:$A$2634)+ROW()-4)</f>
        <v/>
      </c>
      <c r="B1828" s="290"/>
      <c r="C1828" s="357"/>
      <c r="D1828" s="291"/>
      <c r="E1828" s="291"/>
      <c r="F1828" s="292"/>
      <c r="G1828" s="291"/>
      <c r="H1828" s="291"/>
      <c r="I1828" s="293"/>
      <c r="J1828" s="291"/>
      <c r="K1828" s="291"/>
      <c r="L1828" s="293"/>
      <c r="M1828" s="291"/>
      <c r="N1828" s="289"/>
      <c r="O1828" s="358"/>
      <c r="P1828" s="402">
        <f t="shared" ref="P1828:Q1828" si="1824">IF(B1828=0,0,IF(YEAR(B1828)=$Q$1,MONTH(B1828)-$P$1+1,(YEAR(B1828)-$Q$1)*12-$P$1+1+MONTH(B1828)))</f>
        <v>0</v>
      </c>
      <c r="Q1828" s="280">
        <f t="shared" si="1824"/>
        <v>0</v>
      </c>
      <c r="R1828" s="356" t="str">
        <f t="shared" si="1"/>
        <v/>
      </c>
      <c r="S1828" s="269" t="str">
        <f>IF(D1828="","",IF(OR(D1828=Plano!$A$1,D1828=Plano!$B$1),"entrada","saída"))</f>
        <v/>
      </c>
      <c r="T1828" s="406"/>
      <c r="U1828" s="406"/>
      <c r="V1828" s="269"/>
    </row>
    <row r="1829" spans="1:22" ht="12.75" customHeight="1" x14ac:dyDescent="0.2">
      <c r="A1829" s="289" t="str">
        <f>IF(B1829="","",COUNT('Diário 5º PA'!$A$5:$A$2634)+ROW()-4)</f>
        <v/>
      </c>
      <c r="B1829" s="290"/>
      <c r="C1829" s="357"/>
      <c r="D1829" s="291"/>
      <c r="E1829" s="291"/>
      <c r="F1829" s="292"/>
      <c r="G1829" s="291"/>
      <c r="H1829" s="291"/>
      <c r="I1829" s="293"/>
      <c r="J1829" s="291"/>
      <c r="K1829" s="291"/>
      <c r="L1829" s="293"/>
      <c r="M1829" s="291"/>
      <c r="N1829" s="289"/>
      <c r="O1829" s="358"/>
      <c r="P1829" s="402">
        <f t="shared" ref="P1829:Q1829" si="1825">IF(B1829=0,0,IF(YEAR(B1829)=$Q$1,MONTH(B1829)-$P$1+1,(YEAR(B1829)-$Q$1)*12-$P$1+1+MONTH(B1829)))</f>
        <v>0</v>
      </c>
      <c r="Q1829" s="280">
        <f t="shared" si="1825"/>
        <v>0</v>
      </c>
      <c r="R1829" s="356" t="str">
        <f t="shared" si="1"/>
        <v/>
      </c>
      <c r="S1829" s="269" t="str">
        <f>IF(D1829="","",IF(OR(D1829=Plano!$A$1,D1829=Plano!$B$1),"entrada","saída"))</f>
        <v/>
      </c>
      <c r="T1829" s="406"/>
      <c r="U1829" s="406"/>
      <c r="V1829" s="269"/>
    </row>
    <row r="1830" spans="1:22" ht="12.75" customHeight="1" x14ac:dyDescent="0.2">
      <c r="A1830" s="289" t="str">
        <f>IF(B1830="","",COUNT('Diário 5º PA'!$A$5:$A$2634)+ROW()-4)</f>
        <v/>
      </c>
      <c r="B1830" s="290"/>
      <c r="C1830" s="357"/>
      <c r="D1830" s="291"/>
      <c r="E1830" s="291"/>
      <c r="F1830" s="292"/>
      <c r="G1830" s="291"/>
      <c r="H1830" s="291"/>
      <c r="I1830" s="293"/>
      <c r="J1830" s="291"/>
      <c r="K1830" s="291"/>
      <c r="L1830" s="293"/>
      <c r="M1830" s="291"/>
      <c r="N1830" s="289"/>
      <c r="O1830" s="358"/>
      <c r="P1830" s="402">
        <f t="shared" ref="P1830:Q1830" si="1826">IF(B1830=0,0,IF(YEAR(B1830)=$Q$1,MONTH(B1830)-$P$1+1,(YEAR(B1830)-$Q$1)*12-$P$1+1+MONTH(B1830)))</f>
        <v>0</v>
      </c>
      <c r="Q1830" s="280">
        <f t="shared" si="1826"/>
        <v>0</v>
      </c>
      <c r="R1830" s="356" t="str">
        <f t="shared" si="1"/>
        <v/>
      </c>
      <c r="S1830" s="269" t="str">
        <f>IF(D1830="","",IF(OR(D1830=Plano!$A$1,D1830=Plano!$B$1),"entrada","saída"))</f>
        <v/>
      </c>
      <c r="T1830" s="406"/>
      <c r="U1830" s="406"/>
      <c r="V1830" s="269"/>
    </row>
    <row r="1831" spans="1:22" ht="12.75" customHeight="1" x14ac:dyDescent="0.2">
      <c r="A1831" s="289" t="str">
        <f>IF(B1831="","",COUNT('Diário 5º PA'!$A$5:$A$2634)+ROW()-4)</f>
        <v/>
      </c>
      <c r="B1831" s="290"/>
      <c r="C1831" s="357"/>
      <c r="D1831" s="291"/>
      <c r="E1831" s="291"/>
      <c r="F1831" s="292"/>
      <c r="G1831" s="291"/>
      <c r="H1831" s="291"/>
      <c r="I1831" s="293"/>
      <c r="J1831" s="291"/>
      <c r="K1831" s="291"/>
      <c r="L1831" s="293"/>
      <c r="M1831" s="291"/>
      <c r="N1831" s="289"/>
      <c r="O1831" s="358"/>
      <c r="P1831" s="402">
        <f t="shared" ref="P1831:Q1831" si="1827">IF(B1831=0,0,IF(YEAR(B1831)=$Q$1,MONTH(B1831)-$P$1+1,(YEAR(B1831)-$Q$1)*12-$P$1+1+MONTH(B1831)))</f>
        <v>0</v>
      </c>
      <c r="Q1831" s="280">
        <f t="shared" si="1827"/>
        <v>0</v>
      </c>
      <c r="R1831" s="356" t="str">
        <f t="shared" si="1"/>
        <v/>
      </c>
      <c r="S1831" s="269" t="str">
        <f>IF(D1831="","",IF(OR(D1831=Plano!$A$1,D1831=Plano!$B$1),"entrada","saída"))</f>
        <v/>
      </c>
      <c r="T1831" s="406"/>
      <c r="U1831" s="406"/>
      <c r="V1831" s="269"/>
    </row>
    <row r="1832" spans="1:22" ht="12.75" customHeight="1" x14ac:dyDescent="0.2">
      <c r="A1832" s="289" t="str">
        <f>IF(B1832="","",COUNT('Diário 5º PA'!$A$5:$A$2634)+ROW()-4)</f>
        <v/>
      </c>
      <c r="B1832" s="290"/>
      <c r="C1832" s="357"/>
      <c r="D1832" s="291"/>
      <c r="E1832" s="291"/>
      <c r="F1832" s="292"/>
      <c r="G1832" s="291"/>
      <c r="H1832" s="291"/>
      <c r="I1832" s="293"/>
      <c r="J1832" s="291"/>
      <c r="K1832" s="291"/>
      <c r="L1832" s="293"/>
      <c r="M1832" s="291"/>
      <c r="N1832" s="289"/>
      <c r="O1832" s="358"/>
      <c r="P1832" s="402">
        <f t="shared" ref="P1832:Q1832" si="1828">IF(B1832=0,0,IF(YEAR(B1832)=$Q$1,MONTH(B1832)-$P$1+1,(YEAR(B1832)-$Q$1)*12-$P$1+1+MONTH(B1832)))</f>
        <v>0</v>
      </c>
      <c r="Q1832" s="280">
        <f t="shared" si="1828"/>
        <v>0</v>
      </c>
      <c r="R1832" s="356" t="str">
        <f t="shared" si="1"/>
        <v/>
      </c>
      <c r="S1832" s="269" t="str">
        <f>IF(D1832="","",IF(OR(D1832=Plano!$A$1,D1832=Plano!$B$1),"entrada","saída"))</f>
        <v/>
      </c>
      <c r="T1832" s="406"/>
      <c r="U1832" s="406"/>
      <c r="V1832" s="269"/>
    </row>
    <row r="1833" spans="1:22" ht="12.75" customHeight="1" x14ac:dyDescent="0.2">
      <c r="A1833" s="289" t="str">
        <f>IF(B1833="","",COUNT('Diário 5º PA'!$A$5:$A$2634)+ROW()-4)</f>
        <v/>
      </c>
      <c r="B1833" s="290"/>
      <c r="C1833" s="357"/>
      <c r="D1833" s="291"/>
      <c r="E1833" s="291"/>
      <c r="F1833" s="292"/>
      <c r="G1833" s="291"/>
      <c r="H1833" s="291"/>
      <c r="I1833" s="293"/>
      <c r="J1833" s="291"/>
      <c r="K1833" s="291"/>
      <c r="L1833" s="293"/>
      <c r="M1833" s="291"/>
      <c r="N1833" s="289"/>
      <c r="O1833" s="358"/>
      <c r="P1833" s="402">
        <f t="shared" ref="P1833:Q1833" si="1829">IF(B1833=0,0,IF(YEAR(B1833)=$Q$1,MONTH(B1833)-$P$1+1,(YEAR(B1833)-$Q$1)*12-$P$1+1+MONTH(B1833)))</f>
        <v>0</v>
      </c>
      <c r="Q1833" s="280">
        <f t="shared" si="1829"/>
        <v>0</v>
      </c>
      <c r="R1833" s="356" t="str">
        <f t="shared" si="1"/>
        <v/>
      </c>
      <c r="S1833" s="269" t="str">
        <f>IF(D1833="","",IF(OR(D1833=Plano!$A$1,D1833=Plano!$B$1),"entrada","saída"))</f>
        <v/>
      </c>
      <c r="T1833" s="406"/>
      <c r="U1833" s="406"/>
      <c r="V1833" s="269"/>
    </row>
    <row r="1834" spans="1:22" ht="12.75" customHeight="1" x14ac:dyDescent="0.2">
      <c r="A1834" s="289" t="str">
        <f>IF(B1834="","",COUNT('Diário 5º PA'!$A$5:$A$2634)+ROW()-4)</f>
        <v/>
      </c>
      <c r="B1834" s="290"/>
      <c r="C1834" s="357"/>
      <c r="D1834" s="291"/>
      <c r="E1834" s="291"/>
      <c r="F1834" s="292"/>
      <c r="G1834" s="291"/>
      <c r="H1834" s="291"/>
      <c r="I1834" s="293"/>
      <c r="J1834" s="291"/>
      <c r="K1834" s="291"/>
      <c r="L1834" s="293"/>
      <c r="M1834" s="291"/>
      <c r="N1834" s="289"/>
      <c r="O1834" s="358"/>
      <c r="P1834" s="402">
        <f t="shared" ref="P1834:Q1834" si="1830">IF(B1834=0,0,IF(YEAR(B1834)=$Q$1,MONTH(B1834)-$P$1+1,(YEAR(B1834)-$Q$1)*12-$P$1+1+MONTH(B1834)))</f>
        <v>0</v>
      </c>
      <c r="Q1834" s="280">
        <f t="shared" si="1830"/>
        <v>0</v>
      </c>
      <c r="R1834" s="356" t="str">
        <f t="shared" si="1"/>
        <v/>
      </c>
      <c r="S1834" s="269" t="str">
        <f>IF(D1834="","",IF(OR(D1834=Plano!$A$1,D1834=Plano!$B$1),"entrada","saída"))</f>
        <v/>
      </c>
      <c r="T1834" s="406"/>
      <c r="U1834" s="406"/>
      <c r="V1834" s="269"/>
    </row>
    <row r="1835" spans="1:22" ht="12.75" customHeight="1" x14ac:dyDescent="0.2">
      <c r="A1835" s="289" t="str">
        <f>IF(B1835="","",COUNT('Diário 5º PA'!$A$5:$A$2634)+ROW()-4)</f>
        <v/>
      </c>
      <c r="B1835" s="290"/>
      <c r="C1835" s="357"/>
      <c r="D1835" s="291"/>
      <c r="E1835" s="291"/>
      <c r="F1835" s="292"/>
      <c r="G1835" s="291"/>
      <c r="H1835" s="291"/>
      <c r="I1835" s="293"/>
      <c r="J1835" s="291"/>
      <c r="K1835" s="291"/>
      <c r="L1835" s="293"/>
      <c r="M1835" s="291"/>
      <c r="N1835" s="289"/>
      <c r="O1835" s="358"/>
      <c r="P1835" s="402">
        <f t="shared" ref="P1835:Q1835" si="1831">IF(B1835=0,0,IF(YEAR(B1835)=$Q$1,MONTH(B1835)-$P$1+1,(YEAR(B1835)-$Q$1)*12-$P$1+1+MONTH(B1835)))</f>
        <v>0</v>
      </c>
      <c r="Q1835" s="280">
        <f t="shared" si="1831"/>
        <v>0</v>
      </c>
      <c r="R1835" s="356" t="str">
        <f t="shared" si="1"/>
        <v/>
      </c>
      <c r="S1835" s="269" t="str">
        <f>IF(D1835="","",IF(OR(D1835=Plano!$A$1,D1835=Plano!$B$1),"entrada","saída"))</f>
        <v/>
      </c>
      <c r="T1835" s="406"/>
      <c r="U1835" s="406"/>
      <c r="V1835" s="269"/>
    </row>
    <row r="1836" spans="1:22" ht="12.75" customHeight="1" x14ac:dyDescent="0.2">
      <c r="A1836" s="289" t="str">
        <f>IF(B1836="","",COUNT('Diário 5º PA'!$A$5:$A$2634)+ROW()-4)</f>
        <v/>
      </c>
      <c r="B1836" s="290"/>
      <c r="C1836" s="357"/>
      <c r="D1836" s="291"/>
      <c r="E1836" s="291"/>
      <c r="F1836" s="292"/>
      <c r="G1836" s="291"/>
      <c r="H1836" s="291"/>
      <c r="I1836" s="293"/>
      <c r="J1836" s="291"/>
      <c r="K1836" s="291"/>
      <c r="L1836" s="293"/>
      <c r="M1836" s="291"/>
      <c r="N1836" s="289"/>
      <c r="O1836" s="358"/>
      <c r="P1836" s="402">
        <f t="shared" ref="P1836:Q1836" si="1832">IF(B1836=0,0,IF(YEAR(B1836)=$Q$1,MONTH(B1836)-$P$1+1,(YEAR(B1836)-$Q$1)*12-$P$1+1+MONTH(B1836)))</f>
        <v>0</v>
      </c>
      <c r="Q1836" s="280">
        <f t="shared" si="1832"/>
        <v>0</v>
      </c>
      <c r="R1836" s="356" t="str">
        <f t="shared" si="1"/>
        <v/>
      </c>
      <c r="S1836" s="269" t="str">
        <f>IF(D1836="","",IF(OR(D1836=Plano!$A$1,D1836=Plano!$B$1),"entrada","saída"))</f>
        <v/>
      </c>
      <c r="T1836" s="406"/>
      <c r="U1836" s="406"/>
      <c r="V1836" s="269"/>
    </row>
    <row r="1837" spans="1:22" ht="12.75" customHeight="1" x14ac:dyDescent="0.2">
      <c r="A1837" s="289" t="str">
        <f>IF(B1837="","",COUNT('Diário 5º PA'!$A$5:$A$2634)+ROW()-4)</f>
        <v/>
      </c>
      <c r="B1837" s="290"/>
      <c r="C1837" s="357"/>
      <c r="D1837" s="291"/>
      <c r="E1837" s="291"/>
      <c r="F1837" s="292"/>
      <c r="G1837" s="291"/>
      <c r="H1837" s="291"/>
      <c r="I1837" s="293"/>
      <c r="J1837" s="291"/>
      <c r="K1837" s="291"/>
      <c r="L1837" s="293"/>
      <c r="M1837" s="291"/>
      <c r="N1837" s="289"/>
      <c r="O1837" s="358"/>
      <c r="P1837" s="402">
        <f t="shared" ref="P1837:Q1837" si="1833">IF(B1837=0,0,IF(YEAR(B1837)=$Q$1,MONTH(B1837)-$P$1+1,(YEAR(B1837)-$Q$1)*12-$P$1+1+MONTH(B1837)))</f>
        <v>0</v>
      </c>
      <c r="Q1837" s="280">
        <f t="shared" si="1833"/>
        <v>0</v>
      </c>
      <c r="R1837" s="356" t="str">
        <f t="shared" si="1"/>
        <v/>
      </c>
      <c r="S1837" s="269" t="str">
        <f>IF(D1837="","",IF(OR(D1837=Plano!$A$1,D1837=Plano!$B$1),"entrada","saída"))</f>
        <v/>
      </c>
      <c r="T1837" s="406"/>
      <c r="U1837" s="406"/>
      <c r="V1837" s="269"/>
    </row>
    <row r="1838" spans="1:22" ht="12.75" customHeight="1" x14ac:dyDescent="0.2">
      <c r="A1838" s="289" t="str">
        <f>IF(B1838="","",COUNT('Diário 5º PA'!$A$5:$A$2634)+ROW()-4)</f>
        <v/>
      </c>
      <c r="B1838" s="290"/>
      <c r="C1838" s="357"/>
      <c r="D1838" s="291"/>
      <c r="E1838" s="291"/>
      <c r="F1838" s="292"/>
      <c r="G1838" s="291"/>
      <c r="H1838" s="291"/>
      <c r="I1838" s="293"/>
      <c r="J1838" s="291"/>
      <c r="K1838" s="291"/>
      <c r="L1838" s="293"/>
      <c r="M1838" s="291"/>
      <c r="N1838" s="289"/>
      <c r="O1838" s="358"/>
      <c r="P1838" s="402">
        <f t="shared" ref="P1838:Q1838" si="1834">IF(B1838=0,0,IF(YEAR(B1838)=$Q$1,MONTH(B1838)-$P$1+1,(YEAR(B1838)-$Q$1)*12-$P$1+1+MONTH(B1838)))</f>
        <v>0</v>
      </c>
      <c r="Q1838" s="280">
        <f t="shared" si="1834"/>
        <v>0</v>
      </c>
      <c r="R1838" s="356" t="str">
        <f t="shared" si="1"/>
        <v/>
      </c>
      <c r="S1838" s="269" t="str">
        <f>IF(D1838="","",IF(OR(D1838=Plano!$A$1,D1838=Plano!$B$1),"entrada","saída"))</f>
        <v/>
      </c>
      <c r="T1838" s="406"/>
      <c r="U1838" s="406"/>
      <c r="V1838" s="269"/>
    </row>
    <row r="1839" spans="1:22" ht="12.75" customHeight="1" x14ac:dyDescent="0.2">
      <c r="A1839" s="289" t="str">
        <f>IF(B1839="","",COUNT('Diário 5º PA'!$A$5:$A$2634)+ROW()-4)</f>
        <v/>
      </c>
      <c r="B1839" s="290"/>
      <c r="C1839" s="357"/>
      <c r="D1839" s="291"/>
      <c r="E1839" s="291"/>
      <c r="F1839" s="292"/>
      <c r="G1839" s="291"/>
      <c r="H1839" s="291"/>
      <c r="I1839" s="293"/>
      <c r="J1839" s="291"/>
      <c r="K1839" s="291"/>
      <c r="L1839" s="293"/>
      <c r="M1839" s="291"/>
      <c r="N1839" s="289"/>
      <c r="O1839" s="358"/>
      <c r="P1839" s="402">
        <f t="shared" ref="P1839:Q1839" si="1835">IF(B1839=0,0,IF(YEAR(B1839)=$Q$1,MONTH(B1839)-$P$1+1,(YEAR(B1839)-$Q$1)*12-$P$1+1+MONTH(B1839)))</f>
        <v>0</v>
      </c>
      <c r="Q1839" s="280">
        <f t="shared" si="1835"/>
        <v>0</v>
      </c>
      <c r="R1839" s="356" t="str">
        <f t="shared" si="1"/>
        <v/>
      </c>
      <c r="S1839" s="269" t="str">
        <f>IF(D1839="","",IF(OR(D1839=Plano!$A$1,D1839=Plano!$B$1),"entrada","saída"))</f>
        <v/>
      </c>
      <c r="T1839" s="406"/>
      <c r="U1839" s="406"/>
      <c r="V1839" s="269"/>
    </row>
    <row r="1840" spans="1:22" ht="12.75" customHeight="1" x14ac:dyDescent="0.2">
      <c r="A1840" s="289" t="str">
        <f>IF(B1840="","",COUNT('Diário 5º PA'!$A$5:$A$2634)+ROW()-4)</f>
        <v/>
      </c>
      <c r="B1840" s="290"/>
      <c r="C1840" s="357"/>
      <c r="D1840" s="291"/>
      <c r="E1840" s="291"/>
      <c r="F1840" s="292"/>
      <c r="G1840" s="291"/>
      <c r="H1840" s="291"/>
      <c r="I1840" s="293"/>
      <c r="J1840" s="291"/>
      <c r="K1840" s="291"/>
      <c r="L1840" s="293"/>
      <c r="M1840" s="291"/>
      <c r="N1840" s="289"/>
      <c r="O1840" s="358"/>
      <c r="P1840" s="402">
        <f t="shared" ref="P1840:Q1840" si="1836">IF(B1840=0,0,IF(YEAR(B1840)=$Q$1,MONTH(B1840)-$P$1+1,(YEAR(B1840)-$Q$1)*12-$P$1+1+MONTH(B1840)))</f>
        <v>0</v>
      </c>
      <c r="Q1840" s="280">
        <f t="shared" si="1836"/>
        <v>0</v>
      </c>
      <c r="R1840" s="356" t="str">
        <f t="shared" si="1"/>
        <v/>
      </c>
      <c r="S1840" s="269" t="str">
        <f>IF(D1840="","",IF(OR(D1840=Plano!$A$1,D1840=Plano!$B$1),"entrada","saída"))</f>
        <v/>
      </c>
      <c r="T1840" s="406"/>
      <c r="U1840" s="406"/>
      <c r="V1840" s="269"/>
    </row>
    <row r="1841" spans="1:22" ht="12.75" customHeight="1" x14ac:dyDescent="0.2">
      <c r="A1841" s="289" t="str">
        <f>IF(B1841="","",COUNT('Diário 5º PA'!$A$5:$A$2634)+ROW()-4)</f>
        <v/>
      </c>
      <c r="B1841" s="290"/>
      <c r="C1841" s="357"/>
      <c r="D1841" s="291"/>
      <c r="E1841" s="291"/>
      <c r="F1841" s="292"/>
      <c r="G1841" s="291"/>
      <c r="H1841" s="291"/>
      <c r="I1841" s="293"/>
      <c r="J1841" s="291"/>
      <c r="K1841" s="291"/>
      <c r="L1841" s="293"/>
      <c r="M1841" s="291"/>
      <c r="N1841" s="289"/>
      <c r="O1841" s="358"/>
      <c r="P1841" s="402">
        <f t="shared" ref="P1841:Q1841" si="1837">IF(B1841=0,0,IF(YEAR(B1841)=$Q$1,MONTH(B1841)-$P$1+1,(YEAR(B1841)-$Q$1)*12-$P$1+1+MONTH(B1841)))</f>
        <v>0</v>
      </c>
      <c r="Q1841" s="280">
        <f t="shared" si="1837"/>
        <v>0</v>
      </c>
      <c r="R1841" s="356" t="str">
        <f t="shared" si="1"/>
        <v/>
      </c>
      <c r="S1841" s="269" t="str">
        <f>IF(D1841="","",IF(OR(D1841=Plano!$A$1,D1841=Plano!$B$1),"entrada","saída"))</f>
        <v/>
      </c>
      <c r="T1841" s="406"/>
      <c r="U1841" s="406"/>
      <c r="V1841" s="269"/>
    </row>
    <row r="1842" spans="1:22" ht="12.75" customHeight="1" x14ac:dyDescent="0.2">
      <c r="A1842" s="289" t="str">
        <f>IF(B1842="","",COUNT('Diário 5º PA'!$A$5:$A$2634)+ROW()-4)</f>
        <v/>
      </c>
      <c r="B1842" s="290"/>
      <c r="C1842" s="357"/>
      <c r="D1842" s="291"/>
      <c r="E1842" s="291"/>
      <c r="F1842" s="292"/>
      <c r="G1842" s="291"/>
      <c r="H1842" s="291"/>
      <c r="I1842" s="293"/>
      <c r="J1842" s="291"/>
      <c r="K1842" s="291"/>
      <c r="L1842" s="293"/>
      <c r="M1842" s="291"/>
      <c r="N1842" s="289"/>
      <c r="O1842" s="358"/>
      <c r="P1842" s="402">
        <f t="shared" ref="P1842:Q1842" si="1838">IF(B1842=0,0,IF(YEAR(B1842)=$Q$1,MONTH(B1842)-$P$1+1,(YEAR(B1842)-$Q$1)*12-$P$1+1+MONTH(B1842)))</f>
        <v>0</v>
      </c>
      <c r="Q1842" s="280">
        <f t="shared" si="1838"/>
        <v>0</v>
      </c>
      <c r="R1842" s="356" t="str">
        <f t="shared" si="1"/>
        <v/>
      </c>
      <c r="S1842" s="269" t="str">
        <f>IF(D1842="","",IF(OR(D1842=Plano!$A$1,D1842=Plano!$B$1),"entrada","saída"))</f>
        <v/>
      </c>
      <c r="T1842" s="406"/>
      <c r="U1842" s="406"/>
      <c r="V1842" s="269"/>
    </row>
    <row r="1843" spans="1:22" ht="12.75" customHeight="1" x14ac:dyDescent="0.2">
      <c r="A1843" s="289" t="str">
        <f>IF(B1843="","",COUNT('Diário 5º PA'!$A$5:$A$2634)+ROW()-4)</f>
        <v/>
      </c>
      <c r="B1843" s="290"/>
      <c r="C1843" s="357"/>
      <c r="D1843" s="291"/>
      <c r="E1843" s="291"/>
      <c r="F1843" s="292"/>
      <c r="G1843" s="291"/>
      <c r="H1843" s="291"/>
      <c r="I1843" s="293"/>
      <c r="J1843" s="291"/>
      <c r="K1843" s="291"/>
      <c r="L1843" s="293"/>
      <c r="M1843" s="291"/>
      <c r="N1843" s="289"/>
      <c r="O1843" s="358"/>
      <c r="P1843" s="402">
        <f t="shared" ref="P1843:Q1843" si="1839">IF(B1843=0,0,IF(YEAR(B1843)=$Q$1,MONTH(B1843)-$P$1+1,(YEAR(B1843)-$Q$1)*12-$P$1+1+MONTH(B1843)))</f>
        <v>0</v>
      </c>
      <c r="Q1843" s="280">
        <f t="shared" si="1839"/>
        <v>0</v>
      </c>
      <c r="R1843" s="356" t="str">
        <f t="shared" si="1"/>
        <v/>
      </c>
      <c r="S1843" s="269" t="str">
        <f>IF(D1843="","",IF(OR(D1843=Plano!$A$1,D1843=Plano!$B$1),"entrada","saída"))</f>
        <v/>
      </c>
      <c r="T1843" s="406"/>
      <c r="U1843" s="406"/>
      <c r="V1843" s="269"/>
    </row>
    <row r="1844" spans="1:22" ht="12.75" customHeight="1" x14ac:dyDescent="0.2">
      <c r="A1844" s="289" t="str">
        <f>IF(B1844="","",COUNT('Diário 5º PA'!$A$5:$A$2634)+ROW()-4)</f>
        <v/>
      </c>
      <c r="B1844" s="290"/>
      <c r="C1844" s="357"/>
      <c r="D1844" s="291"/>
      <c r="E1844" s="291"/>
      <c r="F1844" s="292"/>
      <c r="G1844" s="291"/>
      <c r="H1844" s="291"/>
      <c r="I1844" s="293"/>
      <c r="J1844" s="291"/>
      <c r="K1844" s="291"/>
      <c r="L1844" s="293"/>
      <c r="M1844" s="291"/>
      <c r="N1844" s="289"/>
      <c r="O1844" s="358"/>
      <c r="P1844" s="402">
        <f t="shared" ref="P1844:Q1844" si="1840">IF(B1844=0,0,IF(YEAR(B1844)=$Q$1,MONTH(B1844)-$P$1+1,(YEAR(B1844)-$Q$1)*12-$P$1+1+MONTH(B1844)))</f>
        <v>0</v>
      </c>
      <c r="Q1844" s="280">
        <f t="shared" si="1840"/>
        <v>0</v>
      </c>
      <c r="R1844" s="356" t="str">
        <f t="shared" si="1"/>
        <v/>
      </c>
      <c r="S1844" s="269" t="str">
        <f>IF(D1844="","",IF(OR(D1844=Plano!$A$1,D1844=Plano!$B$1),"entrada","saída"))</f>
        <v/>
      </c>
      <c r="T1844" s="406"/>
      <c r="U1844" s="406"/>
      <c r="V1844" s="269"/>
    </row>
    <row r="1845" spans="1:22" ht="12.75" customHeight="1" x14ac:dyDescent="0.2">
      <c r="A1845" s="289" t="str">
        <f>IF(B1845="","",COUNT('Diário 5º PA'!$A$5:$A$2634)+ROW()-4)</f>
        <v/>
      </c>
      <c r="B1845" s="290"/>
      <c r="C1845" s="357"/>
      <c r="D1845" s="291"/>
      <c r="E1845" s="291"/>
      <c r="F1845" s="292"/>
      <c r="G1845" s="291"/>
      <c r="H1845" s="291"/>
      <c r="I1845" s="293"/>
      <c r="J1845" s="291"/>
      <c r="K1845" s="291"/>
      <c r="L1845" s="293"/>
      <c r="M1845" s="291"/>
      <c r="N1845" s="289"/>
      <c r="O1845" s="358"/>
      <c r="P1845" s="402">
        <f t="shared" ref="P1845:Q1845" si="1841">IF(B1845=0,0,IF(YEAR(B1845)=$Q$1,MONTH(B1845)-$P$1+1,(YEAR(B1845)-$Q$1)*12-$P$1+1+MONTH(B1845)))</f>
        <v>0</v>
      </c>
      <c r="Q1845" s="280">
        <f t="shared" si="1841"/>
        <v>0</v>
      </c>
      <c r="R1845" s="356" t="str">
        <f t="shared" si="1"/>
        <v/>
      </c>
      <c r="S1845" s="269" t="str">
        <f>IF(D1845="","",IF(OR(D1845=Plano!$A$1,D1845=Plano!$B$1),"entrada","saída"))</f>
        <v/>
      </c>
      <c r="T1845" s="406"/>
      <c r="U1845" s="406"/>
      <c r="V1845" s="269"/>
    </row>
    <row r="1846" spans="1:22" ht="12.75" customHeight="1" x14ac:dyDescent="0.2">
      <c r="A1846" s="289" t="str">
        <f>IF(B1846="","",COUNT('Diário 5º PA'!$A$5:$A$2634)+ROW()-4)</f>
        <v/>
      </c>
      <c r="B1846" s="290"/>
      <c r="C1846" s="357"/>
      <c r="D1846" s="291"/>
      <c r="E1846" s="291"/>
      <c r="F1846" s="292"/>
      <c r="G1846" s="291"/>
      <c r="H1846" s="291"/>
      <c r="I1846" s="293"/>
      <c r="J1846" s="291"/>
      <c r="K1846" s="291"/>
      <c r="L1846" s="293"/>
      <c r="M1846" s="291"/>
      <c r="N1846" s="289"/>
      <c r="O1846" s="358"/>
      <c r="P1846" s="402">
        <f t="shared" ref="P1846:Q1846" si="1842">IF(B1846=0,0,IF(YEAR(B1846)=$Q$1,MONTH(B1846)-$P$1+1,(YEAR(B1846)-$Q$1)*12-$P$1+1+MONTH(B1846)))</f>
        <v>0</v>
      </c>
      <c r="Q1846" s="280">
        <f t="shared" si="1842"/>
        <v>0</v>
      </c>
      <c r="R1846" s="356" t="str">
        <f t="shared" si="1"/>
        <v/>
      </c>
      <c r="S1846" s="269" t="str">
        <f>IF(D1846="","",IF(OR(D1846=Plano!$A$1,D1846=Plano!$B$1),"entrada","saída"))</f>
        <v/>
      </c>
      <c r="T1846" s="406"/>
      <c r="U1846" s="406"/>
      <c r="V1846" s="269"/>
    </row>
    <row r="1847" spans="1:22" ht="12.75" customHeight="1" x14ac:dyDescent="0.2">
      <c r="A1847" s="289" t="str">
        <f>IF(B1847="","",COUNT('Diário 5º PA'!$A$5:$A$2634)+ROW()-4)</f>
        <v/>
      </c>
      <c r="B1847" s="290"/>
      <c r="C1847" s="357"/>
      <c r="D1847" s="291"/>
      <c r="E1847" s="291"/>
      <c r="F1847" s="292"/>
      <c r="G1847" s="291"/>
      <c r="H1847" s="291"/>
      <c r="I1847" s="293"/>
      <c r="J1847" s="291"/>
      <c r="K1847" s="291"/>
      <c r="L1847" s="293"/>
      <c r="M1847" s="291"/>
      <c r="N1847" s="289"/>
      <c r="O1847" s="358"/>
      <c r="P1847" s="402">
        <f t="shared" ref="P1847:Q1847" si="1843">IF(B1847=0,0,IF(YEAR(B1847)=$Q$1,MONTH(B1847)-$P$1+1,(YEAR(B1847)-$Q$1)*12-$P$1+1+MONTH(B1847)))</f>
        <v>0</v>
      </c>
      <c r="Q1847" s="280">
        <f t="shared" si="1843"/>
        <v>0</v>
      </c>
      <c r="R1847" s="356" t="str">
        <f t="shared" si="1"/>
        <v/>
      </c>
      <c r="S1847" s="269" t="str">
        <f>IF(D1847="","",IF(OR(D1847=Plano!$A$1,D1847=Plano!$B$1),"entrada","saída"))</f>
        <v/>
      </c>
      <c r="T1847" s="406"/>
      <c r="U1847" s="406"/>
      <c r="V1847" s="269"/>
    </row>
    <row r="1848" spans="1:22" ht="12.75" customHeight="1" x14ac:dyDescent="0.2">
      <c r="A1848" s="289" t="str">
        <f>IF(B1848="","",COUNT('Diário 5º PA'!$A$5:$A$2634)+ROW()-4)</f>
        <v/>
      </c>
      <c r="B1848" s="290"/>
      <c r="C1848" s="357"/>
      <c r="D1848" s="291"/>
      <c r="E1848" s="291"/>
      <c r="F1848" s="292"/>
      <c r="G1848" s="291"/>
      <c r="H1848" s="291"/>
      <c r="I1848" s="293"/>
      <c r="J1848" s="291"/>
      <c r="K1848" s="291"/>
      <c r="L1848" s="293"/>
      <c r="M1848" s="291"/>
      <c r="N1848" s="289"/>
      <c r="O1848" s="358"/>
      <c r="P1848" s="402">
        <f t="shared" ref="P1848:Q1848" si="1844">IF(B1848=0,0,IF(YEAR(B1848)=$Q$1,MONTH(B1848)-$P$1+1,(YEAR(B1848)-$Q$1)*12-$P$1+1+MONTH(B1848)))</f>
        <v>0</v>
      </c>
      <c r="Q1848" s="280">
        <f t="shared" si="1844"/>
        <v>0</v>
      </c>
      <c r="R1848" s="356" t="str">
        <f t="shared" si="1"/>
        <v/>
      </c>
      <c r="S1848" s="269" t="str">
        <f>IF(D1848="","",IF(OR(D1848=Plano!$A$1,D1848=Plano!$B$1),"entrada","saída"))</f>
        <v/>
      </c>
      <c r="T1848" s="406"/>
      <c r="U1848" s="406"/>
      <c r="V1848" s="269"/>
    </row>
    <row r="1849" spans="1:22" ht="12.75" customHeight="1" x14ac:dyDescent="0.2">
      <c r="A1849" s="289" t="str">
        <f>IF(B1849="","",COUNT('Diário 5º PA'!$A$5:$A$2634)+ROW()-4)</f>
        <v/>
      </c>
      <c r="B1849" s="290"/>
      <c r="C1849" s="357"/>
      <c r="D1849" s="291"/>
      <c r="E1849" s="291"/>
      <c r="F1849" s="292"/>
      <c r="G1849" s="291"/>
      <c r="H1849" s="291"/>
      <c r="I1849" s="293"/>
      <c r="J1849" s="291"/>
      <c r="K1849" s="291"/>
      <c r="L1849" s="293"/>
      <c r="M1849" s="291"/>
      <c r="N1849" s="289"/>
      <c r="O1849" s="358"/>
      <c r="P1849" s="402">
        <f t="shared" ref="P1849:Q1849" si="1845">IF(B1849=0,0,IF(YEAR(B1849)=$Q$1,MONTH(B1849)-$P$1+1,(YEAR(B1849)-$Q$1)*12-$P$1+1+MONTH(B1849)))</f>
        <v>0</v>
      </c>
      <c r="Q1849" s="280">
        <f t="shared" si="1845"/>
        <v>0</v>
      </c>
      <c r="R1849" s="356" t="str">
        <f t="shared" si="1"/>
        <v/>
      </c>
      <c r="S1849" s="269" t="str">
        <f>IF(D1849="","",IF(OR(D1849=Plano!$A$1,D1849=Plano!$B$1),"entrada","saída"))</f>
        <v/>
      </c>
      <c r="T1849" s="406"/>
      <c r="U1849" s="406"/>
      <c r="V1849" s="269"/>
    </row>
    <row r="1850" spans="1:22" ht="12.75" customHeight="1" x14ac:dyDescent="0.2">
      <c r="A1850" s="289" t="str">
        <f>IF(B1850="","",COUNT('Diário 5º PA'!$A$5:$A$2634)+ROW()-4)</f>
        <v/>
      </c>
      <c r="B1850" s="290"/>
      <c r="C1850" s="357"/>
      <c r="D1850" s="291"/>
      <c r="E1850" s="291"/>
      <c r="F1850" s="292"/>
      <c r="G1850" s="291"/>
      <c r="H1850" s="291"/>
      <c r="I1850" s="293"/>
      <c r="J1850" s="291"/>
      <c r="K1850" s="291"/>
      <c r="L1850" s="293"/>
      <c r="M1850" s="291"/>
      <c r="N1850" s="289"/>
      <c r="O1850" s="358"/>
      <c r="P1850" s="402">
        <f t="shared" ref="P1850:Q1850" si="1846">IF(B1850=0,0,IF(YEAR(B1850)=$Q$1,MONTH(B1850)-$P$1+1,(YEAR(B1850)-$Q$1)*12-$P$1+1+MONTH(B1850)))</f>
        <v>0</v>
      </c>
      <c r="Q1850" s="280">
        <f t="shared" si="1846"/>
        <v>0</v>
      </c>
      <c r="R1850" s="356" t="str">
        <f t="shared" si="1"/>
        <v/>
      </c>
      <c r="S1850" s="269" t="str">
        <f>IF(D1850="","",IF(OR(D1850=Plano!$A$1,D1850=Plano!$B$1),"entrada","saída"))</f>
        <v/>
      </c>
      <c r="T1850" s="406"/>
      <c r="U1850" s="406"/>
      <c r="V1850" s="269"/>
    </row>
    <row r="1851" spans="1:22" ht="12.75" customHeight="1" x14ac:dyDescent="0.2">
      <c r="A1851" s="289" t="str">
        <f>IF(B1851="","",COUNT('Diário 5º PA'!$A$5:$A$2634)+ROW()-4)</f>
        <v/>
      </c>
      <c r="B1851" s="290"/>
      <c r="C1851" s="357"/>
      <c r="D1851" s="291"/>
      <c r="E1851" s="291"/>
      <c r="F1851" s="292"/>
      <c r="G1851" s="291"/>
      <c r="H1851" s="291"/>
      <c r="I1851" s="293"/>
      <c r="J1851" s="291"/>
      <c r="K1851" s="291"/>
      <c r="L1851" s="293"/>
      <c r="M1851" s="291"/>
      <c r="N1851" s="289"/>
      <c r="O1851" s="358"/>
      <c r="P1851" s="402">
        <f t="shared" ref="P1851:Q1851" si="1847">IF(B1851=0,0,IF(YEAR(B1851)=$Q$1,MONTH(B1851)-$P$1+1,(YEAR(B1851)-$Q$1)*12-$P$1+1+MONTH(B1851)))</f>
        <v>0</v>
      </c>
      <c r="Q1851" s="280">
        <f t="shared" si="1847"/>
        <v>0</v>
      </c>
      <c r="R1851" s="356" t="str">
        <f t="shared" si="1"/>
        <v/>
      </c>
      <c r="S1851" s="269" t="str">
        <f>IF(D1851="","",IF(OR(D1851=Plano!$A$1,D1851=Plano!$B$1),"entrada","saída"))</f>
        <v/>
      </c>
      <c r="T1851" s="406"/>
      <c r="U1851" s="406"/>
      <c r="V1851" s="269"/>
    </row>
    <row r="1852" spans="1:22" ht="12.75" customHeight="1" x14ac:dyDescent="0.2">
      <c r="A1852" s="289" t="str">
        <f>IF(B1852="","",COUNT('Diário 5º PA'!$A$5:$A$2634)+ROW()-4)</f>
        <v/>
      </c>
      <c r="B1852" s="290"/>
      <c r="C1852" s="357"/>
      <c r="D1852" s="291"/>
      <c r="E1852" s="291"/>
      <c r="F1852" s="292"/>
      <c r="G1852" s="291"/>
      <c r="H1852" s="291"/>
      <c r="I1852" s="293"/>
      <c r="J1852" s="291"/>
      <c r="K1852" s="291"/>
      <c r="L1852" s="293"/>
      <c r="M1852" s="291"/>
      <c r="N1852" s="289"/>
      <c r="O1852" s="358"/>
      <c r="P1852" s="402">
        <f t="shared" ref="P1852:Q1852" si="1848">IF(B1852=0,0,IF(YEAR(B1852)=$Q$1,MONTH(B1852)-$P$1+1,(YEAR(B1852)-$Q$1)*12-$P$1+1+MONTH(B1852)))</f>
        <v>0</v>
      </c>
      <c r="Q1852" s="280">
        <f t="shared" si="1848"/>
        <v>0</v>
      </c>
      <c r="R1852" s="356" t="str">
        <f t="shared" si="1"/>
        <v/>
      </c>
      <c r="S1852" s="269" t="str">
        <f>IF(D1852="","",IF(OR(D1852=Plano!$A$1,D1852=Plano!$B$1),"entrada","saída"))</f>
        <v/>
      </c>
      <c r="T1852" s="406"/>
      <c r="U1852" s="406"/>
      <c r="V1852" s="269"/>
    </row>
    <row r="1853" spans="1:22" ht="12.75" customHeight="1" x14ac:dyDescent="0.2">
      <c r="A1853" s="289" t="str">
        <f>IF(B1853="","",COUNT('Diário 5º PA'!$A$5:$A$2634)+ROW()-4)</f>
        <v/>
      </c>
      <c r="B1853" s="290"/>
      <c r="C1853" s="357"/>
      <c r="D1853" s="291"/>
      <c r="E1853" s="291"/>
      <c r="F1853" s="292"/>
      <c r="G1853" s="291"/>
      <c r="H1853" s="291"/>
      <c r="I1853" s="293"/>
      <c r="J1853" s="291"/>
      <c r="K1853" s="291"/>
      <c r="L1853" s="293"/>
      <c r="M1853" s="291"/>
      <c r="N1853" s="289"/>
      <c r="O1853" s="358"/>
      <c r="P1853" s="402">
        <f t="shared" ref="P1853:Q1853" si="1849">IF(B1853=0,0,IF(YEAR(B1853)=$Q$1,MONTH(B1853)-$P$1+1,(YEAR(B1853)-$Q$1)*12-$P$1+1+MONTH(B1853)))</f>
        <v>0</v>
      </c>
      <c r="Q1853" s="280">
        <f t="shared" si="1849"/>
        <v>0</v>
      </c>
      <c r="R1853" s="356" t="str">
        <f t="shared" si="1"/>
        <v/>
      </c>
      <c r="S1853" s="269" t="str">
        <f>IF(D1853="","",IF(OR(D1853=Plano!$A$1,D1853=Plano!$B$1),"entrada","saída"))</f>
        <v/>
      </c>
      <c r="T1853" s="406"/>
      <c r="U1853" s="406"/>
      <c r="V1853" s="269"/>
    </row>
    <row r="1854" spans="1:22" ht="12.75" customHeight="1" x14ac:dyDescent="0.2">
      <c r="A1854" s="289" t="str">
        <f>IF(B1854="","",COUNT('Diário 5º PA'!$A$5:$A$2634)+ROW()-4)</f>
        <v/>
      </c>
      <c r="B1854" s="290"/>
      <c r="C1854" s="357"/>
      <c r="D1854" s="291"/>
      <c r="E1854" s="291"/>
      <c r="F1854" s="292"/>
      <c r="G1854" s="291"/>
      <c r="H1854" s="291"/>
      <c r="I1854" s="293"/>
      <c r="J1854" s="291"/>
      <c r="K1854" s="291"/>
      <c r="L1854" s="293"/>
      <c r="M1854" s="291"/>
      <c r="N1854" s="289"/>
      <c r="O1854" s="358"/>
      <c r="P1854" s="402">
        <f t="shared" ref="P1854:Q1854" si="1850">IF(B1854=0,0,IF(YEAR(B1854)=$Q$1,MONTH(B1854)-$P$1+1,(YEAR(B1854)-$Q$1)*12-$P$1+1+MONTH(B1854)))</f>
        <v>0</v>
      </c>
      <c r="Q1854" s="280">
        <f t="shared" si="1850"/>
        <v>0</v>
      </c>
      <c r="R1854" s="356" t="str">
        <f t="shared" si="1"/>
        <v/>
      </c>
      <c r="S1854" s="269" t="str">
        <f>IF(D1854="","",IF(OR(D1854=Plano!$A$1,D1854=Plano!$B$1),"entrada","saída"))</f>
        <v/>
      </c>
      <c r="T1854" s="406"/>
      <c r="U1854" s="406"/>
      <c r="V1854" s="269"/>
    </row>
    <row r="1855" spans="1:22" ht="12.75" customHeight="1" x14ac:dyDescent="0.2">
      <c r="A1855" s="289" t="str">
        <f>IF(B1855="","",COUNT('Diário 5º PA'!$A$5:$A$2634)+ROW()-4)</f>
        <v/>
      </c>
      <c r="B1855" s="290"/>
      <c r="C1855" s="357"/>
      <c r="D1855" s="291"/>
      <c r="E1855" s="291"/>
      <c r="F1855" s="292"/>
      <c r="G1855" s="291"/>
      <c r="H1855" s="291"/>
      <c r="I1855" s="293"/>
      <c r="J1855" s="291"/>
      <c r="K1855" s="291"/>
      <c r="L1855" s="293"/>
      <c r="M1855" s="291"/>
      <c r="N1855" s="289"/>
      <c r="O1855" s="358"/>
      <c r="P1855" s="402">
        <f t="shared" ref="P1855:Q1855" si="1851">IF(B1855=0,0,IF(YEAR(B1855)=$Q$1,MONTH(B1855)-$P$1+1,(YEAR(B1855)-$Q$1)*12-$P$1+1+MONTH(B1855)))</f>
        <v>0</v>
      </c>
      <c r="Q1855" s="280">
        <f t="shared" si="1851"/>
        <v>0</v>
      </c>
      <c r="R1855" s="356" t="str">
        <f t="shared" si="1"/>
        <v/>
      </c>
      <c r="S1855" s="269" t="str">
        <f>IF(D1855="","",IF(OR(D1855=Plano!$A$1,D1855=Plano!$B$1),"entrada","saída"))</f>
        <v/>
      </c>
      <c r="T1855" s="406"/>
      <c r="U1855" s="406"/>
      <c r="V1855" s="269"/>
    </row>
    <row r="1856" spans="1:22" ht="12.75" customHeight="1" x14ac:dyDescent="0.2">
      <c r="A1856" s="289" t="str">
        <f>IF(B1856="","",COUNT('Diário 5º PA'!$A$5:$A$2634)+ROW()-4)</f>
        <v/>
      </c>
      <c r="B1856" s="290"/>
      <c r="C1856" s="357"/>
      <c r="D1856" s="291"/>
      <c r="E1856" s="291"/>
      <c r="F1856" s="292"/>
      <c r="G1856" s="291"/>
      <c r="H1856" s="291"/>
      <c r="I1856" s="293"/>
      <c r="J1856" s="291"/>
      <c r="K1856" s="291"/>
      <c r="L1856" s="293"/>
      <c r="M1856" s="291"/>
      <c r="N1856" s="289"/>
      <c r="O1856" s="358"/>
      <c r="P1856" s="402">
        <f t="shared" ref="P1856:Q1856" si="1852">IF(B1856=0,0,IF(YEAR(B1856)=$Q$1,MONTH(B1856)-$P$1+1,(YEAR(B1856)-$Q$1)*12-$P$1+1+MONTH(B1856)))</f>
        <v>0</v>
      </c>
      <c r="Q1856" s="280">
        <f t="shared" si="1852"/>
        <v>0</v>
      </c>
      <c r="R1856" s="356" t="str">
        <f t="shared" si="1"/>
        <v/>
      </c>
      <c r="S1856" s="269" t="str">
        <f>IF(D1856="","",IF(OR(D1856=Plano!$A$1,D1856=Plano!$B$1),"entrada","saída"))</f>
        <v/>
      </c>
      <c r="T1856" s="406"/>
      <c r="U1856" s="406"/>
      <c r="V1856" s="269"/>
    </row>
    <row r="1857" spans="1:22" ht="12.75" customHeight="1" x14ac:dyDescent="0.2">
      <c r="A1857" s="289" t="str">
        <f>IF(B1857="","",COUNT('Diário 5º PA'!$A$5:$A$2634)+ROW()-4)</f>
        <v/>
      </c>
      <c r="B1857" s="290"/>
      <c r="C1857" s="357"/>
      <c r="D1857" s="291"/>
      <c r="E1857" s="291"/>
      <c r="F1857" s="292"/>
      <c r="G1857" s="291"/>
      <c r="H1857" s="291"/>
      <c r="I1857" s="293"/>
      <c r="J1857" s="291"/>
      <c r="K1857" s="291"/>
      <c r="L1857" s="293"/>
      <c r="M1857" s="291"/>
      <c r="N1857" s="289"/>
      <c r="O1857" s="358"/>
      <c r="P1857" s="402">
        <f t="shared" ref="P1857:Q1857" si="1853">IF(B1857=0,0,IF(YEAR(B1857)=$Q$1,MONTH(B1857)-$P$1+1,(YEAR(B1857)-$Q$1)*12-$P$1+1+MONTH(B1857)))</f>
        <v>0</v>
      </c>
      <c r="Q1857" s="280">
        <f t="shared" si="1853"/>
        <v>0</v>
      </c>
      <c r="R1857" s="356" t="str">
        <f t="shared" si="1"/>
        <v/>
      </c>
      <c r="S1857" s="269" t="str">
        <f>IF(D1857="","",IF(OR(D1857=Plano!$A$1,D1857=Plano!$B$1),"entrada","saída"))</f>
        <v/>
      </c>
      <c r="T1857" s="406"/>
      <c r="U1857" s="406"/>
      <c r="V1857" s="269"/>
    </row>
    <row r="1858" spans="1:22" ht="12.75" customHeight="1" x14ac:dyDescent="0.2">
      <c r="A1858" s="289" t="str">
        <f>IF(B1858="","",COUNT('Diário 5º PA'!$A$5:$A$2634)+ROW()-4)</f>
        <v/>
      </c>
      <c r="B1858" s="290"/>
      <c r="C1858" s="357"/>
      <c r="D1858" s="291"/>
      <c r="E1858" s="291"/>
      <c r="F1858" s="292"/>
      <c r="G1858" s="291"/>
      <c r="H1858" s="291"/>
      <c r="I1858" s="293"/>
      <c r="J1858" s="291"/>
      <c r="K1858" s="291"/>
      <c r="L1858" s="293"/>
      <c r="M1858" s="291"/>
      <c r="N1858" s="289"/>
      <c r="O1858" s="358"/>
      <c r="P1858" s="402">
        <f t="shared" ref="P1858:Q1858" si="1854">IF(B1858=0,0,IF(YEAR(B1858)=$Q$1,MONTH(B1858)-$P$1+1,(YEAR(B1858)-$Q$1)*12-$P$1+1+MONTH(B1858)))</f>
        <v>0</v>
      </c>
      <c r="Q1858" s="280">
        <f t="shared" si="1854"/>
        <v>0</v>
      </c>
      <c r="R1858" s="356" t="str">
        <f t="shared" si="1"/>
        <v/>
      </c>
      <c r="S1858" s="269" t="str">
        <f>IF(D1858="","",IF(OR(D1858=Plano!$A$1,D1858=Plano!$B$1),"entrada","saída"))</f>
        <v/>
      </c>
      <c r="T1858" s="406"/>
      <c r="U1858" s="406"/>
      <c r="V1858" s="269"/>
    </row>
    <row r="1859" spans="1:22" ht="12.75" customHeight="1" x14ac:dyDescent="0.2">
      <c r="A1859" s="289" t="str">
        <f>IF(B1859="","",COUNT('Diário 5º PA'!$A$5:$A$2634)+ROW()-4)</f>
        <v/>
      </c>
      <c r="B1859" s="290"/>
      <c r="C1859" s="357"/>
      <c r="D1859" s="291"/>
      <c r="E1859" s="291"/>
      <c r="F1859" s="292"/>
      <c r="G1859" s="291"/>
      <c r="H1859" s="291"/>
      <c r="I1859" s="293"/>
      <c r="J1859" s="291"/>
      <c r="K1859" s="291"/>
      <c r="L1859" s="293"/>
      <c r="M1859" s="291"/>
      <c r="N1859" s="289"/>
      <c r="O1859" s="358"/>
      <c r="P1859" s="402">
        <f t="shared" ref="P1859:Q1859" si="1855">IF(B1859=0,0,IF(YEAR(B1859)=$Q$1,MONTH(B1859)-$P$1+1,(YEAR(B1859)-$Q$1)*12-$P$1+1+MONTH(B1859)))</f>
        <v>0</v>
      </c>
      <c r="Q1859" s="280">
        <f t="shared" si="1855"/>
        <v>0</v>
      </c>
      <c r="R1859" s="356" t="str">
        <f t="shared" si="1"/>
        <v/>
      </c>
      <c r="S1859" s="269" t="str">
        <f>IF(D1859="","",IF(OR(D1859=Plano!$A$1,D1859=Plano!$B$1),"entrada","saída"))</f>
        <v/>
      </c>
      <c r="T1859" s="406"/>
      <c r="U1859" s="406"/>
      <c r="V1859" s="269"/>
    </row>
    <row r="1860" spans="1:22" ht="12.75" customHeight="1" x14ac:dyDescent="0.2">
      <c r="A1860" s="289" t="str">
        <f>IF(B1860="","",COUNT('Diário 5º PA'!$A$5:$A$2634)+ROW()-4)</f>
        <v/>
      </c>
      <c r="B1860" s="290"/>
      <c r="C1860" s="357"/>
      <c r="D1860" s="291"/>
      <c r="E1860" s="291"/>
      <c r="F1860" s="292"/>
      <c r="G1860" s="291"/>
      <c r="H1860" s="291"/>
      <c r="I1860" s="293"/>
      <c r="J1860" s="291"/>
      <c r="K1860" s="291"/>
      <c r="L1860" s="293"/>
      <c r="M1860" s="291"/>
      <c r="N1860" s="289"/>
      <c r="O1860" s="358"/>
      <c r="P1860" s="402">
        <f t="shared" ref="P1860:Q1860" si="1856">IF(B1860=0,0,IF(YEAR(B1860)=$Q$1,MONTH(B1860)-$P$1+1,(YEAR(B1860)-$Q$1)*12-$P$1+1+MONTH(B1860)))</f>
        <v>0</v>
      </c>
      <c r="Q1860" s="280">
        <f t="shared" si="1856"/>
        <v>0</v>
      </c>
      <c r="R1860" s="356" t="str">
        <f t="shared" si="1"/>
        <v/>
      </c>
      <c r="S1860" s="269" t="str">
        <f>IF(D1860="","",IF(OR(D1860=Plano!$A$1,D1860=Plano!$B$1),"entrada","saída"))</f>
        <v/>
      </c>
      <c r="T1860" s="406"/>
      <c r="U1860" s="406"/>
      <c r="V1860" s="269"/>
    </row>
    <row r="1861" spans="1:22" ht="12.75" customHeight="1" x14ac:dyDescent="0.2">
      <c r="A1861" s="289" t="str">
        <f>IF(B1861="","",COUNT('Diário 5º PA'!$A$5:$A$2634)+ROW()-4)</f>
        <v/>
      </c>
      <c r="B1861" s="290"/>
      <c r="C1861" s="357"/>
      <c r="D1861" s="291"/>
      <c r="E1861" s="291"/>
      <c r="F1861" s="292"/>
      <c r="G1861" s="291"/>
      <c r="H1861" s="291"/>
      <c r="I1861" s="293"/>
      <c r="J1861" s="291"/>
      <c r="K1861" s="291"/>
      <c r="L1861" s="293"/>
      <c r="M1861" s="291"/>
      <c r="N1861" s="289"/>
      <c r="O1861" s="358"/>
      <c r="P1861" s="402">
        <f t="shared" ref="P1861:Q1861" si="1857">IF(B1861=0,0,IF(YEAR(B1861)=$Q$1,MONTH(B1861)-$P$1+1,(YEAR(B1861)-$Q$1)*12-$P$1+1+MONTH(B1861)))</f>
        <v>0</v>
      </c>
      <c r="Q1861" s="280">
        <f t="shared" si="1857"/>
        <v>0</v>
      </c>
      <c r="R1861" s="356" t="str">
        <f t="shared" si="1"/>
        <v/>
      </c>
      <c r="S1861" s="269" t="str">
        <f>IF(D1861="","",IF(OR(D1861=Plano!$A$1,D1861=Plano!$B$1),"entrada","saída"))</f>
        <v/>
      </c>
      <c r="T1861" s="406"/>
      <c r="U1861" s="406"/>
      <c r="V1861" s="269"/>
    </row>
    <row r="1862" spans="1:22" ht="12.75" customHeight="1" x14ac:dyDescent="0.2">
      <c r="A1862" s="289" t="str">
        <f>IF(B1862="","",COUNT('Diário 5º PA'!$A$5:$A$2634)+ROW()-4)</f>
        <v/>
      </c>
      <c r="B1862" s="290"/>
      <c r="C1862" s="357"/>
      <c r="D1862" s="291"/>
      <c r="E1862" s="291"/>
      <c r="F1862" s="292"/>
      <c r="G1862" s="291"/>
      <c r="H1862" s="291"/>
      <c r="I1862" s="293"/>
      <c r="J1862" s="291"/>
      <c r="K1862" s="291"/>
      <c r="L1862" s="293"/>
      <c r="M1862" s="291"/>
      <c r="N1862" s="289"/>
      <c r="O1862" s="358"/>
      <c r="P1862" s="402">
        <f t="shared" ref="P1862:Q1862" si="1858">IF(B1862=0,0,IF(YEAR(B1862)=$Q$1,MONTH(B1862)-$P$1+1,(YEAR(B1862)-$Q$1)*12-$P$1+1+MONTH(B1862)))</f>
        <v>0</v>
      </c>
      <c r="Q1862" s="280">
        <f t="shared" si="1858"/>
        <v>0</v>
      </c>
      <c r="R1862" s="356" t="str">
        <f t="shared" si="1"/>
        <v/>
      </c>
      <c r="S1862" s="269" t="str">
        <f>IF(D1862="","",IF(OR(D1862=Plano!$A$1,D1862=Plano!$B$1),"entrada","saída"))</f>
        <v/>
      </c>
      <c r="T1862" s="406"/>
      <c r="U1862" s="406"/>
      <c r="V1862" s="269"/>
    </row>
    <row r="1863" spans="1:22" ht="12.75" customHeight="1" x14ac:dyDescent="0.2">
      <c r="A1863" s="289" t="str">
        <f>IF(B1863="","",COUNT('Diário 5º PA'!$A$5:$A$2634)+ROW()-4)</f>
        <v/>
      </c>
      <c r="B1863" s="290"/>
      <c r="C1863" s="357"/>
      <c r="D1863" s="291"/>
      <c r="E1863" s="291"/>
      <c r="F1863" s="292"/>
      <c r="G1863" s="291"/>
      <c r="H1863" s="291"/>
      <c r="I1863" s="293"/>
      <c r="J1863" s="291"/>
      <c r="K1863" s="291"/>
      <c r="L1863" s="293"/>
      <c r="M1863" s="291"/>
      <c r="N1863" s="289"/>
      <c r="O1863" s="358"/>
      <c r="P1863" s="402">
        <f t="shared" ref="P1863:Q1863" si="1859">IF(B1863=0,0,IF(YEAR(B1863)=$Q$1,MONTH(B1863)-$P$1+1,(YEAR(B1863)-$Q$1)*12-$P$1+1+MONTH(B1863)))</f>
        <v>0</v>
      </c>
      <c r="Q1863" s="280">
        <f t="shared" si="1859"/>
        <v>0</v>
      </c>
      <c r="R1863" s="356" t="str">
        <f t="shared" si="1"/>
        <v/>
      </c>
      <c r="S1863" s="269" t="str">
        <f>IF(D1863="","",IF(OR(D1863=Plano!$A$1,D1863=Plano!$B$1),"entrada","saída"))</f>
        <v/>
      </c>
      <c r="T1863" s="406"/>
      <c r="U1863" s="406"/>
      <c r="V1863" s="269"/>
    </row>
    <row r="1864" spans="1:22" ht="12.75" customHeight="1" x14ac:dyDescent="0.2">
      <c r="A1864" s="289" t="str">
        <f>IF(B1864="","",COUNT('Diário 5º PA'!$A$5:$A$2634)+ROW()-4)</f>
        <v/>
      </c>
      <c r="B1864" s="290"/>
      <c r="C1864" s="357"/>
      <c r="D1864" s="291"/>
      <c r="E1864" s="291"/>
      <c r="F1864" s="292"/>
      <c r="G1864" s="291"/>
      <c r="H1864" s="291"/>
      <c r="I1864" s="293"/>
      <c r="J1864" s="291"/>
      <c r="K1864" s="291"/>
      <c r="L1864" s="293"/>
      <c r="M1864" s="291"/>
      <c r="N1864" s="289"/>
      <c r="O1864" s="358"/>
      <c r="P1864" s="402">
        <f t="shared" ref="P1864:Q1864" si="1860">IF(B1864=0,0,IF(YEAR(B1864)=$Q$1,MONTH(B1864)-$P$1+1,(YEAR(B1864)-$Q$1)*12-$P$1+1+MONTH(B1864)))</f>
        <v>0</v>
      </c>
      <c r="Q1864" s="280">
        <f t="shared" si="1860"/>
        <v>0</v>
      </c>
      <c r="R1864" s="356" t="str">
        <f t="shared" si="1"/>
        <v/>
      </c>
      <c r="S1864" s="269" t="str">
        <f>IF(D1864="","",IF(OR(D1864=Plano!$A$1,D1864=Plano!$B$1),"entrada","saída"))</f>
        <v/>
      </c>
      <c r="T1864" s="406"/>
      <c r="U1864" s="406"/>
      <c r="V1864" s="269"/>
    </row>
    <row r="1865" spans="1:22" ht="12.75" customHeight="1" x14ac:dyDescent="0.2">
      <c r="A1865" s="289" t="str">
        <f>IF(B1865="","",COUNT('Diário 5º PA'!$A$5:$A$2634)+ROW()-4)</f>
        <v/>
      </c>
      <c r="B1865" s="290"/>
      <c r="C1865" s="357"/>
      <c r="D1865" s="291"/>
      <c r="E1865" s="291"/>
      <c r="F1865" s="292"/>
      <c r="G1865" s="291"/>
      <c r="H1865" s="291"/>
      <c r="I1865" s="293"/>
      <c r="J1865" s="291"/>
      <c r="K1865" s="291"/>
      <c r="L1865" s="293"/>
      <c r="M1865" s="291"/>
      <c r="N1865" s="289"/>
      <c r="O1865" s="358"/>
      <c r="P1865" s="402">
        <f t="shared" ref="P1865:Q1865" si="1861">IF(B1865=0,0,IF(YEAR(B1865)=$Q$1,MONTH(B1865)-$P$1+1,(YEAR(B1865)-$Q$1)*12-$P$1+1+MONTH(B1865)))</f>
        <v>0</v>
      </c>
      <c r="Q1865" s="280">
        <f t="shared" si="1861"/>
        <v>0</v>
      </c>
      <c r="R1865" s="356" t="str">
        <f t="shared" si="1"/>
        <v/>
      </c>
      <c r="S1865" s="269" t="str">
        <f>IF(D1865="","",IF(OR(D1865=Plano!$A$1,D1865=Plano!$B$1),"entrada","saída"))</f>
        <v/>
      </c>
      <c r="T1865" s="406"/>
      <c r="U1865" s="406"/>
      <c r="V1865" s="269"/>
    </row>
    <row r="1866" spans="1:22" ht="12.75" customHeight="1" x14ac:dyDescent="0.2">
      <c r="A1866" s="289" t="str">
        <f>IF(B1866="","",COUNT('Diário 5º PA'!$A$5:$A$2634)+ROW()-4)</f>
        <v/>
      </c>
      <c r="B1866" s="290"/>
      <c r="C1866" s="357"/>
      <c r="D1866" s="291"/>
      <c r="E1866" s="291"/>
      <c r="F1866" s="292"/>
      <c r="G1866" s="291"/>
      <c r="H1866" s="291"/>
      <c r="I1866" s="293"/>
      <c r="J1866" s="291"/>
      <c r="K1866" s="291"/>
      <c r="L1866" s="293"/>
      <c r="M1866" s="291"/>
      <c r="N1866" s="289"/>
      <c r="O1866" s="358"/>
      <c r="P1866" s="402">
        <f t="shared" ref="P1866:Q1866" si="1862">IF(B1866=0,0,IF(YEAR(B1866)=$Q$1,MONTH(B1866)-$P$1+1,(YEAR(B1866)-$Q$1)*12-$P$1+1+MONTH(B1866)))</f>
        <v>0</v>
      </c>
      <c r="Q1866" s="280">
        <f t="shared" si="1862"/>
        <v>0</v>
      </c>
      <c r="R1866" s="356" t="str">
        <f t="shared" si="1"/>
        <v/>
      </c>
      <c r="S1866" s="269" t="str">
        <f>IF(D1866="","",IF(OR(D1866=Plano!$A$1,D1866=Plano!$B$1),"entrada","saída"))</f>
        <v/>
      </c>
      <c r="T1866" s="406"/>
      <c r="U1866" s="406"/>
      <c r="V1866" s="269"/>
    </row>
    <row r="1867" spans="1:22" ht="12.75" customHeight="1" x14ac:dyDescent="0.2">
      <c r="A1867" s="289" t="str">
        <f>IF(B1867="","",COUNT('Diário 5º PA'!$A$5:$A$2634)+ROW()-4)</f>
        <v/>
      </c>
      <c r="B1867" s="290"/>
      <c r="C1867" s="357"/>
      <c r="D1867" s="291"/>
      <c r="E1867" s="291"/>
      <c r="F1867" s="292"/>
      <c r="G1867" s="291"/>
      <c r="H1867" s="291"/>
      <c r="I1867" s="293"/>
      <c r="J1867" s="291"/>
      <c r="K1867" s="291"/>
      <c r="L1867" s="293"/>
      <c r="M1867" s="291"/>
      <c r="N1867" s="289"/>
      <c r="O1867" s="358"/>
      <c r="P1867" s="402">
        <f t="shared" ref="P1867:Q1867" si="1863">IF(B1867=0,0,IF(YEAR(B1867)=$Q$1,MONTH(B1867)-$P$1+1,(YEAR(B1867)-$Q$1)*12-$P$1+1+MONTH(B1867)))</f>
        <v>0</v>
      </c>
      <c r="Q1867" s="280">
        <f t="shared" si="1863"/>
        <v>0</v>
      </c>
      <c r="R1867" s="356" t="str">
        <f t="shared" si="1"/>
        <v/>
      </c>
      <c r="S1867" s="269" t="str">
        <f>IF(D1867="","",IF(OR(D1867=Plano!$A$1,D1867=Plano!$B$1),"entrada","saída"))</f>
        <v/>
      </c>
      <c r="T1867" s="406"/>
      <c r="U1867" s="406"/>
      <c r="V1867" s="269"/>
    </row>
    <row r="1868" spans="1:22" ht="12.75" customHeight="1" x14ac:dyDescent="0.2">
      <c r="A1868" s="289" t="str">
        <f>IF(B1868="","",COUNT('Diário 5º PA'!$A$5:$A$2634)+ROW()-4)</f>
        <v/>
      </c>
      <c r="B1868" s="290"/>
      <c r="C1868" s="357"/>
      <c r="D1868" s="291"/>
      <c r="E1868" s="291"/>
      <c r="F1868" s="292"/>
      <c r="G1868" s="291"/>
      <c r="H1868" s="291"/>
      <c r="I1868" s="293"/>
      <c r="J1868" s="291"/>
      <c r="K1868" s="291"/>
      <c r="L1868" s="293"/>
      <c r="M1868" s="291"/>
      <c r="N1868" s="289"/>
      <c r="O1868" s="358"/>
      <c r="P1868" s="402">
        <f t="shared" ref="P1868:Q1868" si="1864">IF(B1868=0,0,IF(YEAR(B1868)=$Q$1,MONTH(B1868)-$P$1+1,(YEAR(B1868)-$Q$1)*12-$P$1+1+MONTH(B1868)))</f>
        <v>0</v>
      </c>
      <c r="Q1868" s="280">
        <f t="shared" si="1864"/>
        <v>0</v>
      </c>
      <c r="R1868" s="356" t="str">
        <f t="shared" si="1"/>
        <v/>
      </c>
      <c r="S1868" s="269" t="str">
        <f>IF(D1868="","",IF(OR(D1868=Plano!$A$1,D1868=Plano!$B$1),"entrada","saída"))</f>
        <v/>
      </c>
      <c r="T1868" s="406"/>
      <c r="U1868" s="406"/>
      <c r="V1868" s="269"/>
    </row>
    <row r="1869" spans="1:22" ht="12.75" customHeight="1" x14ac:dyDescent="0.2">
      <c r="A1869" s="289" t="str">
        <f>IF(B1869="","",COUNT('Diário 5º PA'!$A$5:$A$2634)+ROW()-4)</f>
        <v/>
      </c>
      <c r="B1869" s="290"/>
      <c r="C1869" s="357"/>
      <c r="D1869" s="291"/>
      <c r="E1869" s="291"/>
      <c r="F1869" s="292"/>
      <c r="G1869" s="291"/>
      <c r="H1869" s="291"/>
      <c r="I1869" s="293"/>
      <c r="J1869" s="291"/>
      <c r="K1869" s="291"/>
      <c r="L1869" s="293"/>
      <c r="M1869" s="291"/>
      <c r="N1869" s="289"/>
      <c r="O1869" s="358"/>
      <c r="P1869" s="402">
        <f t="shared" ref="P1869:Q1869" si="1865">IF(B1869=0,0,IF(YEAR(B1869)=$Q$1,MONTH(B1869)-$P$1+1,(YEAR(B1869)-$Q$1)*12-$P$1+1+MONTH(B1869)))</f>
        <v>0</v>
      </c>
      <c r="Q1869" s="280">
        <f t="shared" si="1865"/>
        <v>0</v>
      </c>
      <c r="R1869" s="356" t="str">
        <f t="shared" si="1"/>
        <v/>
      </c>
      <c r="S1869" s="269" t="str">
        <f>IF(D1869="","",IF(OR(D1869=Plano!$A$1,D1869=Plano!$B$1),"entrada","saída"))</f>
        <v/>
      </c>
      <c r="T1869" s="406"/>
      <c r="U1869" s="406"/>
      <c r="V1869" s="269"/>
    </row>
    <row r="1870" spans="1:22" ht="12.75" customHeight="1" x14ac:dyDescent="0.2">
      <c r="A1870" s="289" t="str">
        <f>IF(B1870="","",COUNT('Diário 5º PA'!$A$5:$A$2634)+ROW()-4)</f>
        <v/>
      </c>
      <c r="B1870" s="290"/>
      <c r="C1870" s="357"/>
      <c r="D1870" s="291"/>
      <c r="E1870" s="291"/>
      <c r="F1870" s="292"/>
      <c r="G1870" s="291"/>
      <c r="H1870" s="291"/>
      <c r="I1870" s="293"/>
      <c r="J1870" s="291"/>
      <c r="K1870" s="291"/>
      <c r="L1870" s="293"/>
      <c r="M1870" s="291"/>
      <c r="N1870" s="289"/>
      <c r="O1870" s="358"/>
      <c r="P1870" s="402">
        <f t="shared" ref="P1870:Q1870" si="1866">IF(B1870=0,0,IF(YEAR(B1870)=$Q$1,MONTH(B1870)-$P$1+1,(YEAR(B1870)-$Q$1)*12-$P$1+1+MONTH(B1870)))</f>
        <v>0</v>
      </c>
      <c r="Q1870" s="280">
        <f t="shared" si="1866"/>
        <v>0</v>
      </c>
      <c r="R1870" s="356" t="str">
        <f t="shared" si="1"/>
        <v/>
      </c>
      <c r="S1870" s="269" t="str">
        <f>IF(D1870="","",IF(OR(D1870=Plano!$A$1,D1870=Plano!$B$1),"entrada","saída"))</f>
        <v/>
      </c>
      <c r="T1870" s="406"/>
      <c r="U1870" s="406"/>
      <c r="V1870" s="269"/>
    </row>
    <row r="1871" spans="1:22" ht="12.75" customHeight="1" x14ac:dyDescent="0.2">
      <c r="A1871" s="289" t="str">
        <f>IF(B1871="","",COUNT('Diário 5º PA'!$A$5:$A$2634)+ROW()-4)</f>
        <v/>
      </c>
      <c r="B1871" s="290"/>
      <c r="C1871" s="357"/>
      <c r="D1871" s="291"/>
      <c r="E1871" s="291"/>
      <c r="F1871" s="292"/>
      <c r="G1871" s="291"/>
      <c r="H1871" s="291"/>
      <c r="I1871" s="293"/>
      <c r="J1871" s="291"/>
      <c r="K1871" s="291"/>
      <c r="L1871" s="293"/>
      <c r="M1871" s="291"/>
      <c r="N1871" s="289"/>
      <c r="O1871" s="358"/>
      <c r="P1871" s="402">
        <f t="shared" ref="P1871:Q1871" si="1867">IF(B1871=0,0,IF(YEAR(B1871)=$Q$1,MONTH(B1871)-$P$1+1,(YEAR(B1871)-$Q$1)*12-$P$1+1+MONTH(B1871)))</f>
        <v>0</v>
      </c>
      <c r="Q1871" s="280">
        <f t="shared" si="1867"/>
        <v>0</v>
      </c>
      <c r="R1871" s="356" t="str">
        <f t="shared" si="1"/>
        <v/>
      </c>
      <c r="S1871" s="269" t="str">
        <f>IF(D1871="","",IF(OR(D1871=Plano!$A$1,D1871=Plano!$B$1),"entrada","saída"))</f>
        <v/>
      </c>
      <c r="T1871" s="406"/>
      <c r="U1871" s="406"/>
      <c r="V1871" s="269"/>
    </row>
    <row r="1872" spans="1:22" ht="12.75" customHeight="1" x14ac:dyDescent="0.2">
      <c r="A1872" s="289" t="str">
        <f>IF(B1872="","",COUNT('Diário 5º PA'!$A$5:$A$2634)+ROW()-4)</f>
        <v/>
      </c>
      <c r="B1872" s="290"/>
      <c r="C1872" s="357"/>
      <c r="D1872" s="291"/>
      <c r="E1872" s="291"/>
      <c r="F1872" s="292"/>
      <c r="G1872" s="291"/>
      <c r="H1872" s="291"/>
      <c r="I1872" s="293"/>
      <c r="J1872" s="291"/>
      <c r="K1872" s="291"/>
      <c r="L1872" s="293"/>
      <c r="M1872" s="291"/>
      <c r="N1872" s="289"/>
      <c r="O1872" s="358"/>
      <c r="P1872" s="402">
        <f t="shared" ref="P1872:Q1872" si="1868">IF(B1872=0,0,IF(YEAR(B1872)=$Q$1,MONTH(B1872)-$P$1+1,(YEAR(B1872)-$Q$1)*12-$P$1+1+MONTH(B1872)))</f>
        <v>0</v>
      </c>
      <c r="Q1872" s="280">
        <f t="shared" si="1868"/>
        <v>0</v>
      </c>
      <c r="R1872" s="356" t="str">
        <f t="shared" si="1"/>
        <v/>
      </c>
      <c r="S1872" s="269" t="str">
        <f>IF(D1872="","",IF(OR(D1872=Plano!$A$1,D1872=Plano!$B$1),"entrada","saída"))</f>
        <v/>
      </c>
      <c r="T1872" s="406"/>
      <c r="U1872" s="406"/>
      <c r="V1872" s="269"/>
    </row>
    <row r="1873" spans="1:22" ht="12.75" customHeight="1" x14ac:dyDescent="0.2">
      <c r="A1873" s="289" t="str">
        <f>IF(B1873="","",COUNT('Diário 5º PA'!$A$5:$A$2634)+ROW()-4)</f>
        <v/>
      </c>
      <c r="B1873" s="290"/>
      <c r="C1873" s="357"/>
      <c r="D1873" s="291"/>
      <c r="E1873" s="291"/>
      <c r="F1873" s="292"/>
      <c r="G1873" s="291"/>
      <c r="H1873" s="291"/>
      <c r="I1873" s="293"/>
      <c r="J1873" s="291"/>
      <c r="K1873" s="291"/>
      <c r="L1873" s="293"/>
      <c r="M1873" s="291"/>
      <c r="N1873" s="289"/>
      <c r="O1873" s="358"/>
      <c r="P1873" s="402">
        <f t="shared" ref="P1873:Q1873" si="1869">IF(B1873=0,0,IF(YEAR(B1873)=$Q$1,MONTH(B1873)-$P$1+1,(YEAR(B1873)-$Q$1)*12-$P$1+1+MONTH(B1873)))</f>
        <v>0</v>
      </c>
      <c r="Q1873" s="280">
        <f t="shared" si="1869"/>
        <v>0</v>
      </c>
      <c r="R1873" s="356" t="str">
        <f t="shared" si="1"/>
        <v/>
      </c>
      <c r="S1873" s="269" t="str">
        <f>IF(D1873="","",IF(OR(D1873=Plano!$A$1,D1873=Plano!$B$1),"entrada","saída"))</f>
        <v/>
      </c>
      <c r="T1873" s="406"/>
      <c r="U1873" s="406"/>
      <c r="V1873" s="269"/>
    </row>
    <row r="1874" spans="1:22" ht="12.75" customHeight="1" x14ac:dyDescent="0.2">
      <c r="A1874" s="289" t="str">
        <f>IF(B1874="","",COUNT('Diário 5º PA'!$A$5:$A$2634)+ROW()-4)</f>
        <v/>
      </c>
      <c r="B1874" s="290"/>
      <c r="C1874" s="357"/>
      <c r="D1874" s="291"/>
      <c r="E1874" s="291"/>
      <c r="F1874" s="292"/>
      <c r="G1874" s="291"/>
      <c r="H1874" s="291"/>
      <c r="I1874" s="293"/>
      <c r="J1874" s="291"/>
      <c r="K1874" s="291"/>
      <c r="L1874" s="293"/>
      <c r="M1874" s="291"/>
      <c r="N1874" s="289"/>
      <c r="O1874" s="358"/>
      <c r="P1874" s="402">
        <f t="shared" ref="P1874:Q1874" si="1870">IF(B1874=0,0,IF(YEAR(B1874)=$Q$1,MONTH(B1874)-$P$1+1,(YEAR(B1874)-$Q$1)*12-$P$1+1+MONTH(B1874)))</f>
        <v>0</v>
      </c>
      <c r="Q1874" s="280">
        <f t="shared" si="1870"/>
        <v>0</v>
      </c>
      <c r="R1874" s="356" t="str">
        <f t="shared" si="1"/>
        <v/>
      </c>
      <c r="S1874" s="269" t="str">
        <f>IF(D1874="","",IF(OR(D1874=Plano!$A$1,D1874=Plano!$B$1),"entrada","saída"))</f>
        <v/>
      </c>
      <c r="T1874" s="406"/>
      <c r="U1874" s="406"/>
      <c r="V1874" s="269"/>
    </row>
    <row r="1875" spans="1:22" ht="12.75" customHeight="1" x14ac:dyDescent="0.2">
      <c r="A1875" s="289" t="str">
        <f>IF(B1875="","",COUNT('Diário 5º PA'!$A$5:$A$2634)+ROW()-4)</f>
        <v/>
      </c>
      <c r="B1875" s="290"/>
      <c r="C1875" s="357"/>
      <c r="D1875" s="291"/>
      <c r="E1875" s="291"/>
      <c r="F1875" s="292"/>
      <c r="G1875" s="291"/>
      <c r="H1875" s="291"/>
      <c r="I1875" s="293"/>
      <c r="J1875" s="291"/>
      <c r="K1875" s="291"/>
      <c r="L1875" s="293"/>
      <c r="M1875" s="291"/>
      <c r="N1875" s="289"/>
      <c r="O1875" s="358"/>
      <c r="P1875" s="402">
        <f t="shared" ref="P1875:Q1875" si="1871">IF(B1875=0,0,IF(YEAR(B1875)=$Q$1,MONTH(B1875)-$P$1+1,(YEAR(B1875)-$Q$1)*12-$P$1+1+MONTH(B1875)))</f>
        <v>0</v>
      </c>
      <c r="Q1875" s="280">
        <f t="shared" si="1871"/>
        <v>0</v>
      </c>
      <c r="R1875" s="356" t="str">
        <f t="shared" si="1"/>
        <v/>
      </c>
      <c r="S1875" s="269" t="str">
        <f>IF(D1875="","",IF(OR(D1875=Plano!$A$1,D1875=Plano!$B$1),"entrada","saída"))</f>
        <v/>
      </c>
      <c r="T1875" s="406"/>
      <c r="U1875" s="406"/>
      <c r="V1875" s="269"/>
    </row>
    <row r="1876" spans="1:22" ht="12.75" customHeight="1" x14ac:dyDescent="0.2">
      <c r="A1876" s="289" t="str">
        <f>IF(B1876="","",COUNT('Diário 5º PA'!$A$5:$A$2634)+ROW()-4)</f>
        <v/>
      </c>
      <c r="B1876" s="290"/>
      <c r="C1876" s="357"/>
      <c r="D1876" s="291"/>
      <c r="E1876" s="291"/>
      <c r="F1876" s="292"/>
      <c r="G1876" s="291"/>
      <c r="H1876" s="291"/>
      <c r="I1876" s="293"/>
      <c r="J1876" s="291"/>
      <c r="K1876" s="291"/>
      <c r="L1876" s="293"/>
      <c r="M1876" s="291"/>
      <c r="N1876" s="289"/>
      <c r="O1876" s="358"/>
      <c r="P1876" s="402">
        <f t="shared" ref="P1876:Q1876" si="1872">IF(B1876=0,0,IF(YEAR(B1876)=$Q$1,MONTH(B1876)-$P$1+1,(YEAR(B1876)-$Q$1)*12-$P$1+1+MONTH(B1876)))</f>
        <v>0</v>
      </c>
      <c r="Q1876" s="280">
        <f t="shared" si="1872"/>
        <v>0</v>
      </c>
      <c r="R1876" s="356" t="str">
        <f t="shared" si="1"/>
        <v/>
      </c>
      <c r="S1876" s="269" t="str">
        <f>IF(D1876="","",IF(OR(D1876=Plano!$A$1,D1876=Plano!$B$1),"entrada","saída"))</f>
        <v/>
      </c>
      <c r="T1876" s="406"/>
      <c r="U1876" s="406"/>
      <c r="V1876" s="269"/>
    </row>
    <row r="1877" spans="1:22" ht="12.75" customHeight="1" x14ac:dyDescent="0.2">
      <c r="A1877" s="289" t="str">
        <f>IF(B1877="","",COUNT('Diário 5º PA'!$A$5:$A$2634)+ROW()-4)</f>
        <v/>
      </c>
      <c r="B1877" s="290"/>
      <c r="C1877" s="357"/>
      <c r="D1877" s="291"/>
      <c r="E1877" s="291"/>
      <c r="F1877" s="292"/>
      <c r="G1877" s="291"/>
      <c r="H1877" s="291"/>
      <c r="I1877" s="293"/>
      <c r="J1877" s="291"/>
      <c r="K1877" s="291"/>
      <c r="L1877" s="293"/>
      <c r="M1877" s="291"/>
      <c r="N1877" s="289"/>
      <c r="O1877" s="358"/>
      <c r="P1877" s="402">
        <f t="shared" ref="P1877:Q1877" si="1873">IF(B1877=0,0,IF(YEAR(B1877)=$Q$1,MONTH(B1877)-$P$1+1,(YEAR(B1877)-$Q$1)*12-$P$1+1+MONTH(B1877)))</f>
        <v>0</v>
      </c>
      <c r="Q1877" s="280">
        <f t="shared" si="1873"/>
        <v>0</v>
      </c>
      <c r="R1877" s="356" t="str">
        <f t="shared" si="1"/>
        <v/>
      </c>
      <c r="S1877" s="269" t="str">
        <f>IF(D1877="","",IF(OR(D1877=Plano!$A$1,D1877=Plano!$B$1),"entrada","saída"))</f>
        <v/>
      </c>
      <c r="T1877" s="406"/>
      <c r="U1877" s="406"/>
      <c r="V1877" s="269"/>
    </row>
    <row r="1878" spans="1:22" ht="12.75" customHeight="1" x14ac:dyDescent="0.2">
      <c r="A1878" s="289" t="str">
        <f>IF(B1878="","",COUNT('Diário 5º PA'!$A$5:$A$2634)+ROW()-4)</f>
        <v/>
      </c>
      <c r="B1878" s="290"/>
      <c r="C1878" s="357"/>
      <c r="D1878" s="291"/>
      <c r="E1878" s="291"/>
      <c r="F1878" s="292"/>
      <c r="G1878" s="291"/>
      <c r="H1878" s="291"/>
      <c r="I1878" s="293"/>
      <c r="J1878" s="291"/>
      <c r="K1878" s="291"/>
      <c r="L1878" s="293"/>
      <c r="M1878" s="291"/>
      <c r="N1878" s="289"/>
      <c r="O1878" s="358"/>
      <c r="P1878" s="402">
        <f t="shared" ref="P1878:Q1878" si="1874">IF(B1878=0,0,IF(YEAR(B1878)=$Q$1,MONTH(B1878)-$P$1+1,(YEAR(B1878)-$Q$1)*12-$P$1+1+MONTH(B1878)))</f>
        <v>0</v>
      </c>
      <c r="Q1878" s="280">
        <f t="shared" si="1874"/>
        <v>0</v>
      </c>
      <c r="R1878" s="356" t="str">
        <f t="shared" si="1"/>
        <v/>
      </c>
      <c r="S1878" s="269" t="str">
        <f>IF(D1878="","",IF(OR(D1878=Plano!$A$1,D1878=Plano!$B$1),"entrada","saída"))</f>
        <v/>
      </c>
      <c r="T1878" s="406"/>
      <c r="U1878" s="406"/>
      <c r="V1878" s="269"/>
    </row>
    <row r="1879" spans="1:22" ht="12.75" customHeight="1" x14ac:dyDescent="0.2">
      <c r="A1879" s="289" t="str">
        <f>IF(B1879="","",COUNT('Diário 5º PA'!$A$5:$A$2634)+ROW()-4)</f>
        <v/>
      </c>
      <c r="B1879" s="290"/>
      <c r="C1879" s="357"/>
      <c r="D1879" s="291"/>
      <c r="E1879" s="291"/>
      <c r="F1879" s="292"/>
      <c r="G1879" s="291"/>
      <c r="H1879" s="291"/>
      <c r="I1879" s="293"/>
      <c r="J1879" s="291"/>
      <c r="K1879" s="291"/>
      <c r="L1879" s="293"/>
      <c r="M1879" s="291"/>
      <c r="N1879" s="289"/>
      <c r="O1879" s="358"/>
      <c r="P1879" s="402">
        <f t="shared" ref="P1879:Q1879" si="1875">IF(B1879=0,0,IF(YEAR(B1879)=$Q$1,MONTH(B1879)-$P$1+1,(YEAR(B1879)-$Q$1)*12-$P$1+1+MONTH(B1879)))</f>
        <v>0</v>
      </c>
      <c r="Q1879" s="280">
        <f t="shared" si="1875"/>
        <v>0</v>
      </c>
      <c r="R1879" s="356" t="str">
        <f t="shared" si="1"/>
        <v/>
      </c>
      <c r="S1879" s="269" t="str">
        <f>IF(D1879="","",IF(OR(D1879=Plano!$A$1,D1879=Plano!$B$1),"entrada","saída"))</f>
        <v/>
      </c>
      <c r="T1879" s="406"/>
      <c r="U1879" s="406"/>
      <c r="V1879" s="269"/>
    </row>
    <row r="1880" spans="1:22" ht="12.75" customHeight="1" x14ac:dyDescent="0.2">
      <c r="A1880" s="289" t="str">
        <f>IF(B1880="","",COUNT('Diário 5º PA'!$A$5:$A$2634)+ROW()-4)</f>
        <v/>
      </c>
      <c r="B1880" s="290"/>
      <c r="C1880" s="357"/>
      <c r="D1880" s="291"/>
      <c r="E1880" s="291"/>
      <c r="F1880" s="292"/>
      <c r="G1880" s="291"/>
      <c r="H1880" s="291"/>
      <c r="I1880" s="293"/>
      <c r="J1880" s="291"/>
      <c r="K1880" s="291"/>
      <c r="L1880" s="293"/>
      <c r="M1880" s="291"/>
      <c r="N1880" s="289"/>
      <c r="O1880" s="358"/>
      <c r="P1880" s="402">
        <f t="shared" ref="P1880:Q1880" si="1876">IF(B1880=0,0,IF(YEAR(B1880)=$Q$1,MONTH(B1880)-$P$1+1,(YEAR(B1880)-$Q$1)*12-$P$1+1+MONTH(B1880)))</f>
        <v>0</v>
      </c>
      <c r="Q1880" s="280">
        <f t="shared" si="1876"/>
        <v>0</v>
      </c>
      <c r="R1880" s="356" t="str">
        <f t="shared" si="1"/>
        <v/>
      </c>
      <c r="S1880" s="269" t="str">
        <f>IF(D1880="","",IF(OR(D1880=Plano!$A$1,D1880=Plano!$B$1),"entrada","saída"))</f>
        <v/>
      </c>
      <c r="T1880" s="406"/>
      <c r="U1880" s="406"/>
      <c r="V1880" s="269"/>
    </row>
    <row r="1881" spans="1:22" ht="12.75" customHeight="1" x14ac:dyDescent="0.2">
      <c r="A1881" s="289" t="str">
        <f>IF(B1881="","",COUNT('Diário 5º PA'!$A$5:$A$2634)+ROW()-4)</f>
        <v/>
      </c>
      <c r="B1881" s="290"/>
      <c r="C1881" s="357"/>
      <c r="D1881" s="291"/>
      <c r="E1881" s="291"/>
      <c r="F1881" s="292"/>
      <c r="G1881" s="291"/>
      <c r="H1881" s="291"/>
      <c r="I1881" s="293"/>
      <c r="J1881" s="291"/>
      <c r="K1881" s="291"/>
      <c r="L1881" s="293"/>
      <c r="M1881" s="291"/>
      <c r="N1881" s="289"/>
      <c r="O1881" s="358"/>
      <c r="P1881" s="402">
        <f t="shared" ref="P1881:Q1881" si="1877">IF(B1881=0,0,IF(YEAR(B1881)=$Q$1,MONTH(B1881)-$P$1+1,(YEAR(B1881)-$Q$1)*12-$P$1+1+MONTH(B1881)))</f>
        <v>0</v>
      </c>
      <c r="Q1881" s="280">
        <f t="shared" si="1877"/>
        <v>0</v>
      </c>
      <c r="R1881" s="356" t="str">
        <f t="shared" si="1"/>
        <v/>
      </c>
      <c r="S1881" s="269" t="str">
        <f>IF(D1881="","",IF(OR(D1881=Plano!$A$1,D1881=Plano!$B$1),"entrada","saída"))</f>
        <v/>
      </c>
      <c r="T1881" s="406"/>
      <c r="U1881" s="406"/>
      <c r="V1881" s="269"/>
    </row>
    <row r="1882" spans="1:22" ht="12.75" customHeight="1" x14ac:dyDescent="0.2">
      <c r="A1882" s="289" t="str">
        <f>IF(B1882="","",COUNT('Diário 5º PA'!$A$5:$A$2634)+ROW()-4)</f>
        <v/>
      </c>
      <c r="B1882" s="290"/>
      <c r="C1882" s="357"/>
      <c r="D1882" s="291"/>
      <c r="E1882" s="291"/>
      <c r="F1882" s="292"/>
      <c r="G1882" s="291"/>
      <c r="H1882" s="291"/>
      <c r="I1882" s="293"/>
      <c r="J1882" s="291"/>
      <c r="K1882" s="291"/>
      <c r="L1882" s="293"/>
      <c r="M1882" s="291"/>
      <c r="N1882" s="289"/>
      <c r="O1882" s="358"/>
      <c r="P1882" s="402">
        <f t="shared" ref="P1882:Q1882" si="1878">IF(B1882=0,0,IF(YEAR(B1882)=$Q$1,MONTH(B1882)-$P$1+1,(YEAR(B1882)-$Q$1)*12-$P$1+1+MONTH(B1882)))</f>
        <v>0</v>
      </c>
      <c r="Q1882" s="280">
        <f t="shared" si="1878"/>
        <v>0</v>
      </c>
      <c r="R1882" s="356" t="str">
        <f t="shared" si="1"/>
        <v/>
      </c>
      <c r="S1882" s="269" t="str">
        <f>IF(D1882="","",IF(OR(D1882=Plano!$A$1,D1882=Plano!$B$1),"entrada","saída"))</f>
        <v/>
      </c>
      <c r="T1882" s="406"/>
      <c r="U1882" s="406"/>
      <c r="V1882" s="269"/>
    </row>
    <row r="1883" spans="1:22" ht="12.75" customHeight="1" x14ac:dyDescent="0.2">
      <c r="A1883" s="289" t="str">
        <f>IF(B1883="","",COUNT('Diário 5º PA'!$A$5:$A$2634)+ROW()-4)</f>
        <v/>
      </c>
      <c r="B1883" s="290"/>
      <c r="C1883" s="357"/>
      <c r="D1883" s="291"/>
      <c r="E1883" s="291"/>
      <c r="F1883" s="292"/>
      <c r="G1883" s="291"/>
      <c r="H1883" s="291"/>
      <c r="I1883" s="293"/>
      <c r="J1883" s="291"/>
      <c r="K1883" s="291"/>
      <c r="L1883" s="293"/>
      <c r="M1883" s="291"/>
      <c r="N1883" s="289"/>
      <c r="O1883" s="358"/>
      <c r="P1883" s="402">
        <f t="shared" ref="P1883:Q1883" si="1879">IF(B1883=0,0,IF(YEAR(B1883)=$Q$1,MONTH(B1883)-$P$1+1,(YEAR(B1883)-$Q$1)*12-$P$1+1+MONTH(B1883)))</f>
        <v>0</v>
      </c>
      <c r="Q1883" s="280">
        <f t="shared" si="1879"/>
        <v>0</v>
      </c>
      <c r="R1883" s="356" t="str">
        <f t="shared" si="1"/>
        <v/>
      </c>
      <c r="S1883" s="269" t="str">
        <f>IF(D1883="","",IF(OR(D1883=Plano!$A$1,D1883=Plano!$B$1),"entrada","saída"))</f>
        <v/>
      </c>
      <c r="T1883" s="406"/>
      <c r="U1883" s="406"/>
      <c r="V1883" s="269"/>
    </row>
    <row r="1884" spans="1:22" ht="12.75" customHeight="1" x14ac:dyDescent="0.2">
      <c r="A1884" s="289" t="str">
        <f>IF(B1884="","",COUNT('Diário 5º PA'!$A$5:$A$2634)+ROW()-4)</f>
        <v/>
      </c>
      <c r="B1884" s="290"/>
      <c r="C1884" s="357"/>
      <c r="D1884" s="291"/>
      <c r="E1884" s="291"/>
      <c r="F1884" s="292"/>
      <c r="G1884" s="291"/>
      <c r="H1884" s="291"/>
      <c r="I1884" s="293"/>
      <c r="J1884" s="291"/>
      <c r="K1884" s="291"/>
      <c r="L1884" s="293"/>
      <c r="M1884" s="291"/>
      <c r="N1884" s="289"/>
      <c r="O1884" s="358"/>
      <c r="P1884" s="402">
        <f t="shared" ref="P1884:Q1884" si="1880">IF(B1884=0,0,IF(YEAR(B1884)=$Q$1,MONTH(B1884)-$P$1+1,(YEAR(B1884)-$Q$1)*12-$P$1+1+MONTH(B1884)))</f>
        <v>0</v>
      </c>
      <c r="Q1884" s="280">
        <f t="shared" si="1880"/>
        <v>0</v>
      </c>
      <c r="R1884" s="356" t="str">
        <f t="shared" si="1"/>
        <v/>
      </c>
      <c r="S1884" s="269" t="str">
        <f>IF(D1884="","",IF(OR(D1884=Plano!$A$1,D1884=Plano!$B$1),"entrada","saída"))</f>
        <v/>
      </c>
      <c r="T1884" s="406"/>
      <c r="U1884" s="406"/>
      <c r="V1884" s="269"/>
    </row>
    <row r="1885" spans="1:22" ht="12.75" customHeight="1" x14ac:dyDescent="0.2">
      <c r="A1885" s="289" t="str">
        <f>IF(B1885="","",COUNT('Diário 5º PA'!$A$5:$A$2634)+ROW()-4)</f>
        <v/>
      </c>
      <c r="B1885" s="290"/>
      <c r="C1885" s="357"/>
      <c r="D1885" s="291"/>
      <c r="E1885" s="291"/>
      <c r="F1885" s="292"/>
      <c r="G1885" s="291"/>
      <c r="H1885" s="291"/>
      <c r="I1885" s="293"/>
      <c r="J1885" s="291"/>
      <c r="K1885" s="291"/>
      <c r="L1885" s="293"/>
      <c r="M1885" s="291"/>
      <c r="N1885" s="289"/>
      <c r="O1885" s="358"/>
      <c r="P1885" s="402">
        <f t="shared" ref="P1885:Q1885" si="1881">IF(B1885=0,0,IF(YEAR(B1885)=$Q$1,MONTH(B1885)-$P$1+1,(YEAR(B1885)-$Q$1)*12-$P$1+1+MONTH(B1885)))</f>
        <v>0</v>
      </c>
      <c r="Q1885" s="280">
        <f t="shared" si="1881"/>
        <v>0</v>
      </c>
      <c r="R1885" s="356" t="str">
        <f t="shared" si="1"/>
        <v/>
      </c>
      <c r="S1885" s="269" t="str">
        <f>IF(D1885="","",IF(OR(D1885=Plano!$A$1,D1885=Plano!$B$1),"entrada","saída"))</f>
        <v/>
      </c>
      <c r="T1885" s="406"/>
      <c r="U1885" s="406"/>
      <c r="V1885" s="269"/>
    </row>
    <row r="1886" spans="1:22" ht="12.75" customHeight="1" x14ac:dyDescent="0.2">
      <c r="A1886" s="289" t="str">
        <f>IF(B1886="","",COUNT('Diário 5º PA'!$A$5:$A$2634)+ROW()-4)</f>
        <v/>
      </c>
      <c r="B1886" s="290"/>
      <c r="C1886" s="357"/>
      <c r="D1886" s="291"/>
      <c r="E1886" s="291"/>
      <c r="F1886" s="292"/>
      <c r="G1886" s="291"/>
      <c r="H1886" s="291"/>
      <c r="I1886" s="293"/>
      <c r="J1886" s="291"/>
      <c r="K1886" s="291"/>
      <c r="L1886" s="293"/>
      <c r="M1886" s="291"/>
      <c r="N1886" s="289"/>
      <c r="O1886" s="358"/>
      <c r="P1886" s="402">
        <f t="shared" ref="P1886:Q1886" si="1882">IF(B1886=0,0,IF(YEAR(B1886)=$Q$1,MONTH(B1886)-$P$1+1,(YEAR(B1886)-$Q$1)*12-$P$1+1+MONTH(B1886)))</f>
        <v>0</v>
      </c>
      <c r="Q1886" s="280">
        <f t="shared" si="1882"/>
        <v>0</v>
      </c>
      <c r="R1886" s="356" t="str">
        <f t="shared" si="1"/>
        <v/>
      </c>
      <c r="S1886" s="269" t="str">
        <f>IF(D1886="","",IF(OR(D1886=Plano!$A$1,D1886=Plano!$B$1),"entrada","saída"))</f>
        <v/>
      </c>
      <c r="T1886" s="406"/>
      <c r="U1886" s="406"/>
      <c r="V1886" s="269"/>
    </row>
    <row r="1887" spans="1:22" ht="12.75" customHeight="1" x14ac:dyDescent="0.2">
      <c r="A1887" s="289" t="str">
        <f>IF(B1887="","",COUNT('Diário 5º PA'!$A$5:$A$2634)+ROW()-4)</f>
        <v/>
      </c>
      <c r="B1887" s="290"/>
      <c r="C1887" s="357"/>
      <c r="D1887" s="291"/>
      <c r="E1887" s="291"/>
      <c r="F1887" s="292"/>
      <c r="G1887" s="291"/>
      <c r="H1887" s="291"/>
      <c r="I1887" s="293"/>
      <c r="J1887" s="291"/>
      <c r="K1887" s="291"/>
      <c r="L1887" s="293"/>
      <c r="M1887" s="291"/>
      <c r="N1887" s="289"/>
      <c r="O1887" s="358"/>
      <c r="P1887" s="402">
        <f t="shared" ref="P1887:Q1887" si="1883">IF(B1887=0,0,IF(YEAR(B1887)=$Q$1,MONTH(B1887)-$P$1+1,(YEAR(B1887)-$Q$1)*12-$P$1+1+MONTH(B1887)))</f>
        <v>0</v>
      </c>
      <c r="Q1887" s="280">
        <f t="shared" si="1883"/>
        <v>0</v>
      </c>
      <c r="R1887" s="356" t="str">
        <f t="shared" si="1"/>
        <v/>
      </c>
      <c r="S1887" s="269" t="str">
        <f>IF(D1887="","",IF(OR(D1887=Plano!$A$1,D1887=Plano!$B$1),"entrada","saída"))</f>
        <v/>
      </c>
      <c r="T1887" s="406"/>
      <c r="U1887" s="406"/>
      <c r="V1887" s="269"/>
    </row>
    <row r="1888" spans="1:22" ht="12.75" customHeight="1" x14ac:dyDescent="0.2">
      <c r="A1888" s="289" t="str">
        <f>IF(B1888="","",COUNT('Diário 5º PA'!$A$5:$A$2634)+ROW()-4)</f>
        <v/>
      </c>
      <c r="B1888" s="290"/>
      <c r="C1888" s="357"/>
      <c r="D1888" s="291"/>
      <c r="E1888" s="291"/>
      <c r="F1888" s="292"/>
      <c r="G1888" s="291"/>
      <c r="H1888" s="291"/>
      <c r="I1888" s="293"/>
      <c r="J1888" s="291"/>
      <c r="K1888" s="291"/>
      <c r="L1888" s="293"/>
      <c r="M1888" s="291"/>
      <c r="N1888" s="289"/>
      <c r="O1888" s="358"/>
      <c r="P1888" s="402">
        <f t="shared" ref="P1888:Q1888" si="1884">IF(B1888=0,0,IF(YEAR(B1888)=$Q$1,MONTH(B1888)-$P$1+1,(YEAR(B1888)-$Q$1)*12-$P$1+1+MONTH(B1888)))</f>
        <v>0</v>
      </c>
      <c r="Q1888" s="280">
        <f t="shared" si="1884"/>
        <v>0</v>
      </c>
      <c r="R1888" s="356" t="str">
        <f t="shared" si="1"/>
        <v/>
      </c>
      <c r="S1888" s="269" t="str">
        <f>IF(D1888="","",IF(OR(D1888=Plano!$A$1,D1888=Plano!$B$1),"entrada","saída"))</f>
        <v/>
      </c>
      <c r="T1888" s="406"/>
      <c r="U1888" s="406"/>
      <c r="V1888" s="269"/>
    </row>
    <row r="1889" spans="1:22" ht="12.75" customHeight="1" x14ac:dyDescent="0.2">
      <c r="A1889" s="289" t="str">
        <f>IF(B1889="","",COUNT('Diário 5º PA'!$A$5:$A$2634)+ROW()-4)</f>
        <v/>
      </c>
      <c r="B1889" s="290"/>
      <c r="C1889" s="357"/>
      <c r="D1889" s="291"/>
      <c r="E1889" s="291"/>
      <c r="F1889" s="292"/>
      <c r="G1889" s="291"/>
      <c r="H1889" s="291"/>
      <c r="I1889" s="293"/>
      <c r="J1889" s="291"/>
      <c r="K1889" s="291"/>
      <c r="L1889" s="293"/>
      <c r="M1889" s="291"/>
      <c r="N1889" s="289"/>
      <c r="O1889" s="358"/>
      <c r="P1889" s="402">
        <f t="shared" ref="P1889:Q1889" si="1885">IF(B1889=0,0,IF(YEAR(B1889)=$Q$1,MONTH(B1889)-$P$1+1,(YEAR(B1889)-$Q$1)*12-$P$1+1+MONTH(B1889)))</f>
        <v>0</v>
      </c>
      <c r="Q1889" s="280">
        <f t="shared" si="1885"/>
        <v>0</v>
      </c>
      <c r="R1889" s="356" t="str">
        <f t="shared" si="1"/>
        <v/>
      </c>
      <c r="S1889" s="269" t="str">
        <f>IF(D1889="","",IF(OR(D1889=Plano!$A$1,D1889=Plano!$B$1),"entrada","saída"))</f>
        <v/>
      </c>
      <c r="T1889" s="406"/>
      <c r="U1889" s="406"/>
      <c r="V1889" s="269"/>
    </row>
    <row r="1890" spans="1:22" ht="12.75" customHeight="1" x14ac:dyDescent="0.2">
      <c r="A1890" s="289" t="str">
        <f>IF(B1890="","",COUNT('Diário 5º PA'!$A$5:$A$2634)+ROW()-4)</f>
        <v/>
      </c>
      <c r="B1890" s="290"/>
      <c r="C1890" s="357"/>
      <c r="D1890" s="291"/>
      <c r="E1890" s="291"/>
      <c r="F1890" s="292"/>
      <c r="G1890" s="291"/>
      <c r="H1890" s="291"/>
      <c r="I1890" s="293"/>
      <c r="J1890" s="291"/>
      <c r="K1890" s="291"/>
      <c r="L1890" s="293"/>
      <c r="M1890" s="291"/>
      <c r="N1890" s="289"/>
      <c r="O1890" s="358"/>
      <c r="P1890" s="402">
        <f t="shared" ref="P1890:Q1890" si="1886">IF(B1890=0,0,IF(YEAR(B1890)=$Q$1,MONTH(B1890)-$P$1+1,(YEAR(B1890)-$Q$1)*12-$P$1+1+MONTH(B1890)))</f>
        <v>0</v>
      </c>
      <c r="Q1890" s="280">
        <f t="shared" si="1886"/>
        <v>0</v>
      </c>
      <c r="R1890" s="356" t="str">
        <f t="shared" si="1"/>
        <v/>
      </c>
      <c r="S1890" s="269" t="str">
        <f>IF(D1890="","",IF(OR(D1890=Plano!$A$1,D1890=Plano!$B$1),"entrada","saída"))</f>
        <v/>
      </c>
      <c r="T1890" s="406"/>
      <c r="U1890" s="406"/>
      <c r="V1890" s="269"/>
    </row>
    <row r="1891" spans="1:22" ht="12.75" customHeight="1" x14ac:dyDescent="0.2">
      <c r="A1891" s="289" t="str">
        <f>IF(B1891="","",COUNT('Diário 5º PA'!$A$5:$A$2634)+ROW()-4)</f>
        <v/>
      </c>
      <c r="B1891" s="290"/>
      <c r="C1891" s="357"/>
      <c r="D1891" s="291"/>
      <c r="E1891" s="291"/>
      <c r="F1891" s="292"/>
      <c r="G1891" s="291"/>
      <c r="H1891" s="291"/>
      <c r="I1891" s="293"/>
      <c r="J1891" s="291"/>
      <c r="K1891" s="291"/>
      <c r="L1891" s="293"/>
      <c r="M1891" s="291"/>
      <c r="N1891" s="289"/>
      <c r="O1891" s="358"/>
      <c r="P1891" s="402">
        <f t="shared" ref="P1891:Q1891" si="1887">IF(B1891=0,0,IF(YEAR(B1891)=$Q$1,MONTH(B1891)-$P$1+1,(YEAR(B1891)-$Q$1)*12-$P$1+1+MONTH(B1891)))</f>
        <v>0</v>
      </c>
      <c r="Q1891" s="280">
        <f t="shared" si="1887"/>
        <v>0</v>
      </c>
      <c r="R1891" s="356" t="str">
        <f t="shared" si="1"/>
        <v/>
      </c>
      <c r="S1891" s="269" t="str">
        <f>IF(D1891="","",IF(OR(D1891=Plano!$A$1,D1891=Plano!$B$1),"entrada","saída"))</f>
        <v/>
      </c>
      <c r="T1891" s="406"/>
      <c r="U1891" s="406"/>
      <c r="V1891" s="269"/>
    </row>
    <row r="1892" spans="1:22" ht="12.75" customHeight="1" x14ac:dyDescent="0.2">
      <c r="A1892" s="289" t="str">
        <f>IF(B1892="","",COUNT('Diário 5º PA'!$A$5:$A$2634)+ROW()-4)</f>
        <v/>
      </c>
      <c r="B1892" s="290"/>
      <c r="C1892" s="357"/>
      <c r="D1892" s="291"/>
      <c r="E1892" s="291"/>
      <c r="F1892" s="292"/>
      <c r="G1892" s="291"/>
      <c r="H1892" s="291"/>
      <c r="I1892" s="293"/>
      <c r="J1892" s="291"/>
      <c r="K1892" s="291"/>
      <c r="L1892" s="293"/>
      <c r="M1892" s="291"/>
      <c r="N1892" s="289"/>
      <c r="O1892" s="358"/>
      <c r="P1892" s="402">
        <f t="shared" ref="P1892:Q1892" si="1888">IF(B1892=0,0,IF(YEAR(B1892)=$Q$1,MONTH(B1892)-$P$1+1,(YEAR(B1892)-$Q$1)*12-$P$1+1+MONTH(B1892)))</f>
        <v>0</v>
      </c>
      <c r="Q1892" s="280">
        <f t="shared" si="1888"/>
        <v>0</v>
      </c>
      <c r="R1892" s="356" t="str">
        <f t="shared" si="1"/>
        <v/>
      </c>
      <c r="S1892" s="269" t="str">
        <f>IF(D1892="","",IF(OR(D1892=Plano!$A$1,D1892=Plano!$B$1),"entrada","saída"))</f>
        <v/>
      </c>
      <c r="T1892" s="406"/>
      <c r="U1892" s="406"/>
      <c r="V1892" s="269"/>
    </row>
    <row r="1893" spans="1:22" ht="12.75" customHeight="1" x14ac:dyDescent="0.2">
      <c r="A1893" s="289" t="str">
        <f>IF(B1893="","",COUNT('Diário 5º PA'!$A$5:$A$2634)+ROW()-4)</f>
        <v/>
      </c>
      <c r="B1893" s="290"/>
      <c r="C1893" s="357"/>
      <c r="D1893" s="291"/>
      <c r="E1893" s="291"/>
      <c r="F1893" s="292"/>
      <c r="G1893" s="291"/>
      <c r="H1893" s="291"/>
      <c r="I1893" s="293"/>
      <c r="J1893" s="291"/>
      <c r="K1893" s="291"/>
      <c r="L1893" s="293"/>
      <c r="M1893" s="291"/>
      <c r="N1893" s="289"/>
      <c r="O1893" s="358"/>
      <c r="P1893" s="402">
        <f t="shared" ref="P1893:Q1893" si="1889">IF(B1893=0,0,IF(YEAR(B1893)=$Q$1,MONTH(B1893)-$P$1+1,(YEAR(B1893)-$Q$1)*12-$P$1+1+MONTH(B1893)))</f>
        <v>0</v>
      </c>
      <c r="Q1893" s="280">
        <f t="shared" si="1889"/>
        <v>0</v>
      </c>
      <c r="R1893" s="356" t="str">
        <f t="shared" si="1"/>
        <v/>
      </c>
      <c r="S1893" s="269" t="str">
        <f>IF(D1893="","",IF(OR(D1893=Plano!$A$1,D1893=Plano!$B$1),"entrada","saída"))</f>
        <v/>
      </c>
      <c r="T1893" s="406"/>
      <c r="U1893" s="406"/>
      <c r="V1893" s="269"/>
    </row>
    <row r="1894" spans="1:22" ht="12.75" customHeight="1" x14ac:dyDescent="0.2">
      <c r="A1894" s="289" t="str">
        <f>IF(B1894="","",COUNT('Diário 5º PA'!$A$5:$A$2634)+ROW()-4)</f>
        <v/>
      </c>
      <c r="B1894" s="290"/>
      <c r="C1894" s="357"/>
      <c r="D1894" s="291"/>
      <c r="E1894" s="291"/>
      <c r="F1894" s="292"/>
      <c r="G1894" s="291"/>
      <c r="H1894" s="291"/>
      <c r="I1894" s="293"/>
      <c r="J1894" s="291"/>
      <c r="K1894" s="291"/>
      <c r="L1894" s="293"/>
      <c r="M1894" s="291"/>
      <c r="N1894" s="289"/>
      <c r="O1894" s="358"/>
      <c r="P1894" s="402">
        <f t="shared" ref="P1894:Q1894" si="1890">IF(B1894=0,0,IF(YEAR(B1894)=$Q$1,MONTH(B1894)-$P$1+1,(YEAR(B1894)-$Q$1)*12-$P$1+1+MONTH(B1894)))</f>
        <v>0</v>
      </c>
      <c r="Q1894" s="280">
        <f t="shared" si="1890"/>
        <v>0</v>
      </c>
      <c r="R1894" s="356" t="str">
        <f t="shared" si="1"/>
        <v/>
      </c>
      <c r="S1894" s="269" t="str">
        <f>IF(D1894="","",IF(OR(D1894=Plano!$A$1,D1894=Plano!$B$1),"entrada","saída"))</f>
        <v/>
      </c>
      <c r="T1894" s="406"/>
      <c r="U1894" s="406"/>
      <c r="V1894" s="269"/>
    </row>
    <row r="1895" spans="1:22" ht="12.75" customHeight="1" x14ac:dyDescent="0.2">
      <c r="A1895" s="289" t="str">
        <f>IF(B1895="","",COUNT('Diário 5º PA'!$A$5:$A$2634)+ROW()-4)</f>
        <v/>
      </c>
      <c r="B1895" s="290"/>
      <c r="C1895" s="357"/>
      <c r="D1895" s="291"/>
      <c r="E1895" s="291"/>
      <c r="F1895" s="292"/>
      <c r="G1895" s="291"/>
      <c r="H1895" s="291"/>
      <c r="I1895" s="293"/>
      <c r="J1895" s="291"/>
      <c r="K1895" s="291"/>
      <c r="L1895" s="293"/>
      <c r="M1895" s="291"/>
      <c r="N1895" s="289"/>
      <c r="O1895" s="358"/>
      <c r="P1895" s="402">
        <f t="shared" ref="P1895:Q1895" si="1891">IF(B1895=0,0,IF(YEAR(B1895)=$Q$1,MONTH(B1895)-$P$1+1,(YEAR(B1895)-$Q$1)*12-$P$1+1+MONTH(B1895)))</f>
        <v>0</v>
      </c>
      <c r="Q1895" s="280">
        <f t="shared" si="1891"/>
        <v>0</v>
      </c>
      <c r="R1895" s="356" t="str">
        <f t="shared" si="1"/>
        <v/>
      </c>
      <c r="S1895" s="269" t="str">
        <f>IF(D1895="","",IF(OR(D1895=Plano!$A$1,D1895=Plano!$B$1),"entrada","saída"))</f>
        <v/>
      </c>
      <c r="T1895" s="406"/>
      <c r="U1895" s="406"/>
      <c r="V1895" s="269"/>
    </row>
    <row r="1896" spans="1:22" ht="12.75" customHeight="1" x14ac:dyDescent="0.2">
      <c r="A1896" s="289" t="str">
        <f>IF(B1896="","",COUNT('Diário 5º PA'!$A$5:$A$2634)+ROW()-4)</f>
        <v/>
      </c>
      <c r="B1896" s="290"/>
      <c r="C1896" s="357"/>
      <c r="D1896" s="291"/>
      <c r="E1896" s="291"/>
      <c r="F1896" s="292"/>
      <c r="G1896" s="291"/>
      <c r="H1896" s="291"/>
      <c r="I1896" s="293"/>
      <c r="J1896" s="291"/>
      <c r="K1896" s="291"/>
      <c r="L1896" s="293"/>
      <c r="M1896" s="291"/>
      <c r="N1896" s="289"/>
      <c r="O1896" s="358"/>
      <c r="P1896" s="402">
        <f t="shared" ref="P1896:Q1896" si="1892">IF(B1896=0,0,IF(YEAR(B1896)=$Q$1,MONTH(B1896)-$P$1+1,(YEAR(B1896)-$Q$1)*12-$P$1+1+MONTH(B1896)))</f>
        <v>0</v>
      </c>
      <c r="Q1896" s="280">
        <f t="shared" si="1892"/>
        <v>0</v>
      </c>
      <c r="R1896" s="356" t="str">
        <f t="shared" si="1"/>
        <v/>
      </c>
      <c r="S1896" s="269" t="str">
        <f>IF(D1896="","",IF(OR(D1896=Plano!$A$1,D1896=Plano!$B$1),"entrada","saída"))</f>
        <v/>
      </c>
      <c r="T1896" s="406"/>
      <c r="U1896" s="406"/>
      <c r="V1896" s="269"/>
    </row>
    <row r="1897" spans="1:22" ht="12.75" customHeight="1" x14ac:dyDescent="0.2">
      <c r="A1897" s="289" t="str">
        <f>IF(B1897="","",COUNT('Diário 5º PA'!$A$5:$A$2634)+ROW()-4)</f>
        <v/>
      </c>
      <c r="B1897" s="290"/>
      <c r="C1897" s="357"/>
      <c r="D1897" s="291"/>
      <c r="E1897" s="291"/>
      <c r="F1897" s="292"/>
      <c r="G1897" s="291"/>
      <c r="H1897" s="291"/>
      <c r="I1897" s="293"/>
      <c r="J1897" s="291"/>
      <c r="K1897" s="291"/>
      <c r="L1897" s="293"/>
      <c r="M1897" s="291"/>
      <c r="N1897" s="289"/>
      <c r="O1897" s="358"/>
      <c r="P1897" s="402">
        <f t="shared" ref="P1897:Q1897" si="1893">IF(B1897=0,0,IF(YEAR(B1897)=$Q$1,MONTH(B1897)-$P$1+1,(YEAR(B1897)-$Q$1)*12-$P$1+1+MONTH(B1897)))</f>
        <v>0</v>
      </c>
      <c r="Q1897" s="280">
        <f t="shared" si="1893"/>
        <v>0</v>
      </c>
      <c r="R1897" s="356" t="str">
        <f t="shared" si="1"/>
        <v/>
      </c>
      <c r="S1897" s="269" t="str">
        <f>IF(D1897="","",IF(OR(D1897=Plano!$A$1,D1897=Plano!$B$1),"entrada","saída"))</f>
        <v/>
      </c>
      <c r="T1897" s="406"/>
      <c r="U1897" s="406"/>
      <c r="V1897" s="269"/>
    </row>
    <row r="1898" spans="1:22" ht="12.75" customHeight="1" x14ac:dyDescent="0.2">
      <c r="A1898" s="289" t="str">
        <f>IF(B1898="","",COUNT('Diário 5º PA'!$A$5:$A$2634)+ROW()-4)</f>
        <v/>
      </c>
      <c r="B1898" s="290"/>
      <c r="C1898" s="357"/>
      <c r="D1898" s="291"/>
      <c r="E1898" s="291"/>
      <c r="F1898" s="292"/>
      <c r="G1898" s="291"/>
      <c r="H1898" s="291"/>
      <c r="I1898" s="293"/>
      <c r="J1898" s="291"/>
      <c r="K1898" s="291"/>
      <c r="L1898" s="293"/>
      <c r="M1898" s="291"/>
      <c r="N1898" s="289"/>
      <c r="O1898" s="358"/>
      <c r="P1898" s="402">
        <f t="shared" ref="P1898:Q1898" si="1894">IF(B1898=0,0,IF(YEAR(B1898)=$Q$1,MONTH(B1898)-$P$1+1,(YEAR(B1898)-$Q$1)*12-$P$1+1+MONTH(B1898)))</f>
        <v>0</v>
      </c>
      <c r="Q1898" s="280">
        <f t="shared" si="1894"/>
        <v>0</v>
      </c>
      <c r="R1898" s="356" t="str">
        <f t="shared" si="1"/>
        <v/>
      </c>
      <c r="S1898" s="269" t="str">
        <f>IF(D1898="","",IF(OR(D1898=Plano!$A$1,D1898=Plano!$B$1),"entrada","saída"))</f>
        <v/>
      </c>
      <c r="T1898" s="406"/>
      <c r="U1898" s="406"/>
      <c r="V1898" s="269"/>
    </row>
    <row r="1899" spans="1:22" ht="12.75" customHeight="1" x14ac:dyDescent="0.2">
      <c r="A1899" s="289" t="str">
        <f>IF(B1899="","",COUNT('Diário 5º PA'!$A$5:$A$2634)+ROW()-4)</f>
        <v/>
      </c>
      <c r="B1899" s="290"/>
      <c r="C1899" s="357"/>
      <c r="D1899" s="291"/>
      <c r="E1899" s="291"/>
      <c r="F1899" s="292"/>
      <c r="G1899" s="291"/>
      <c r="H1899" s="291"/>
      <c r="I1899" s="293"/>
      <c r="J1899" s="291"/>
      <c r="K1899" s="291"/>
      <c r="L1899" s="293"/>
      <c r="M1899" s="291"/>
      <c r="N1899" s="289"/>
      <c r="O1899" s="358"/>
      <c r="P1899" s="402">
        <f t="shared" ref="P1899:Q1899" si="1895">IF(B1899=0,0,IF(YEAR(B1899)=$Q$1,MONTH(B1899)-$P$1+1,(YEAR(B1899)-$Q$1)*12-$P$1+1+MONTH(B1899)))</f>
        <v>0</v>
      </c>
      <c r="Q1899" s="280">
        <f t="shared" si="1895"/>
        <v>0</v>
      </c>
      <c r="R1899" s="356" t="str">
        <f t="shared" si="1"/>
        <v/>
      </c>
      <c r="S1899" s="269" t="str">
        <f>IF(D1899="","",IF(OR(D1899=Plano!$A$1,D1899=Plano!$B$1),"entrada","saída"))</f>
        <v/>
      </c>
      <c r="T1899" s="406"/>
      <c r="U1899" s="406"/>
      <c r="V1899" s="269"/>
    </row>
    <row r="1900" spans="1:22" ht="12.75" customHeight="1" x14ac:dyDescent="0.2">
      <c r="A1900" s="289" t="str">
        <f>IF(B1900="","",COUNT('Diário 5º PA'!$A$5:$A$2634)+ROW()-4)</f>
        <v/>
      </c>
      <c r="B1900" s="290"/>
      <c r="C1900" s="357"/>
      <c r="D1900" s="291"/>
      <c r="E1900" s="291"/>
      <c r="F1900" s="292"/>
      <c r="G1900" s="291"/>
      <c r="H1900" s="291"/>
      <c r="I1900" s="293"/>
      <c r="J1900" s="291"/>
      <c r="K1900" s="291"/>
      <c r="L1900" s="293"/>
      <c r="M1900" s="291"/>
      <c r="N1900" s="289"/>
      <c r="O1900" s="358"/>
      <c r="P1900" s="402">
        <f t="shared" ref="P1900:Q1900" si="1896">IF(B1900=0,0,IF(YEAR(B1900)=$Q$1,MONTH(B1900)-$P$1+1,(YEAR(B1900)-$Q$1)*12-$P$1+1+MONTH(B1900)))</f>
        <v>0</v>
      </c>
      <c r="Q1900" s="280">
        <f t="shared" si="1896"/>
        <v>0</v>
      </c>
      <c r="R1900" s="356" t="str">
        <f t="shared" si="1"/>
        <v/>
      </c>
      <c r="S1900" s="269" t="str">
        <f>IF(D1900="","",IF(OR(D1900=Plano!$A$1,D1900=Plano!$B$1),"entrada","saída"))</f>
        <v/>
      </c>
      <c r="T1900" s="406"/>
      <c r="U1900" s="406"/>
      <c r="V1900" s="269"/>
    </row>
    <row r="1901" spans="1:22" ht="12.75" customHeight="1" x14ac:dyDescent="0.2">
      <c r="A1901" s="289" t="str">
        <f>IF(B1901="","",COUNT('Diário 5º PA'!$A$5:$A$2634)+ROW()-4)</f>
        <v/>
      </c>
      <c r="B1901" s="290"/>
      <c r="C1901" s="357"/>
      <c r="D1901" s="291"/>
      <c r="E1901" s="291"/>
      <c r="F1901" s="292"/>
      <c r="G1901" s="291"/>
      <c r="H1901" s="291"/>
      <c r="I1901" s="293"/>
      <c r="J1901" s="291"/>
      <c r="K1901" s="291"/>
      <c r="L1901" s="293"/>
      <c r="M1901" s="291"/>
      <c r="N1901" s="289"/>
      <c r="O1901" s="358"/>
      <c r="P1901" s="402">
        <f t="shared" ref="P1901:Q1901" si="1897">IF(B1901=0,0,IF(YEAR(B1901)=$Q$1,MONTH(B1901)-$P$1+1,(YEAR(B1901)-$Q$1)*12-$P$1+1+MONTH(B1901)))</f>
        <v>0</v>
      </c>
      <c r="Q1901" s="280">
        <f t="shared" si="1897"/>
        <v>0</v>
      </c>
      <c r="R1901" s="356" t="str">
        <f t="shared" si="1"/>
        <v/>
      </c>
      <c r="S1901" s="269" t="str">
        <f>IF(D1901="","",IF(OR(D1901=Plano!$A$1,D1901=Plano!$B$1),"entrada","saída"))</f>
        <v/>
      </c>
      <c r="T1901" s="406"/>
      <c r="U1901" s="406"/>
      <c r="V1901" s="269"/>
    </row>
    <row r="1902" spans="1:22" ht="12.75" customHeight="1" x14ac:dyDescent="0.2">
      <c r="A1902" s="289" t="str">
        <f>IF(B1902="","",COUNT('Diário 5º PA'!$A$5:$A$2634)+ROW()-4)</f>
        <v/>
      </c>
      <c r="B1902" s="290"/>
      <c r="C1902" s="357"/>
      <c r="D1902" s="291"/>
      <c r="E1902" s="291"/>
      <c r="F1902" s="292"/>
      <c r="G1902" s="291"/>
      <c r="H1902" s="291"/>
      <c r="I1902" s="293"/>
      <c r="J1902" s="291"/>
      <c r="K1902" s="291"/>
      <c r="L1902" s="293"/>
      <c r="M1902" s="291"/>
      <c r="N1902" s="289"/>
      <c r="O1902" s="358"/>
      <c r="P1902" s="402">
        <f t="shared" ref="P1902:Q1902" si="1898">IF(B1902=0,0,IF(YEAR(B1902)=$Q$1,MONTH(B1902)-$P$1+1,(YEAR(B1902)-$Q$1)*12-$P$1+1+MONTH(B1902)))</f>
        <v>0</v>
      </c>
      <c r="Q1902" s="280">
        <f t="shared" si="1898"/>
        <v>0</v>
      </c>
      <c r="R1902" s="356" t="str">
        <f t="shared" si="1"/>
        <v/>
      </c>
      <c r="S1902" s="269" t="str">
        <f>IF(D1902="","",IF(OR(D1902=Plano!$A$1,D1902=Plano!$B$1),"entrada","saída"))</f>
        <v/>
      </c>
      <c r="T1902" s="406"/>
      <c r="U1902" s="406"/>
      <c r="V1902" s="269"/>
    </row>
    <row r="1903" spans="1:22" ht="12.75" customHeight="1" x14ac:dyDescent="0.2">
      <c r="A1903" s="289" t="str">
        <f>IF(B1903="","",COUNT('Diário 5º PA'!$A$5:$A$2634)+ROW()-4)</f>
        <v/>
      </c>
      <c r="B1903" s="290"/>
      <c r="C1903" s="357"/>
      <c r="D1903" s="291"/>
      <c r="E1903" s="291"/>
      <c r="F1903" s="292"/>
      <c r="G1903" s="291"/>
      <c r="H1903" s="291"/>
      <c r="I1903" s="293"/>
      <c r="J1903" s="291"/>
      <c r="K1903" s="291"/>
      <c r="L1903" s="293"/>
      <c r="M1903" s="291"/>
      <c r="N1903" s="289"/>
      <c r="O1903" s="358"/>
      <c r="P1903" s="402">
        <f t="shared" ref="P1903:Q1903" si="1899">IF(B1903=0,0,IF(YEAR(B1903)=$Q$1,MONTH(B1903)-$P$1+1,(YEAR(B1903)-$Q$1)*12-$P$1+1+MONTH(B1903)))</f>
        <v>0</v>
      </c>
      <c r="Q1903" s="280">
        <f t="shared" si="1899"/>
        <v>0</v>
      </c>
      <c r="R1903" s="356" t="str">
        <f t="shared" si="1"/>
        <v/>
      </c>
      <c r="S1903" s="269" t="str">
        <f>IF(D1903="","",IF(OR(D1903=Plano!$A$1,D1903=Plano!$B$1),"entrada","saída"))</f>
        <v/>
      </c>
      <c r="T1903" s="406"/>
      <c r="U1903" s="406"/>
      <c r="V1903" s="269"/>
    </row>
    <row r="1904" spans="1:22" ht="12.75" customHeight="1" x14ac:dyDescent="0.2">
      <c r="A1904" s="289" t="str">
        <f>IF(B1904="","",COUNT('Diário 5º PA'!$A$5:$A$2634)+ROW()-4)</f>
        <v/>
      </c>
      <c r="B1904" s="290"/>
      <c r="C1904" s="357"/>
      <c r="D1904" s="291"/>
      <c r="E1904" s="291"/>
      <c r="F1904" s="292"/>
      <c r="G1904" s="291"/>
      <c r="H1904" s="291"/>
      <c r="I1904" s="293"/>
      <c r="J1904" s="291"/>
      <c r="K1904" s="291"/>
      <c r="L1904" s="293"/>
      <c r="M1904" s="291"/>
      <c r="N1904" s="289"/>
      <c r="O1904" s="358"/>
      <c r="P1904" s="402">
        <f t="shared" ref="P1904:Q1904" si="1900">IF(B1904=0,0,IF(YEAR(B1904)=$Q$1,MONTH(B1904)-$P$1+1,(YEAR(B1904)-$Q$1)*12-$P$1+1+MONTH(B1904)))</f>
        <v>0</v>
      </c>
      <c r="Q1904" s="280">
        <f t="shared" si="1900"/>
        <v>0</v>
      </c>
      <c r="R1904" s="356" t="str">
        <f t="shared" si="1"/>
        <v/>
      </c>
      <c r="S1904" s="269" t="str">
        <f>IF(D1904="","",IF(OR(D1904=Plano!$A$1,D1904=Plano!$B$1),"entrada","saída"))</f>
        <v/>
      </c>
      <c r="T1904" s="406"/>
      <c r="U1904" s="406"/>
      <c r="V1904" s="269"/>
    </row>
    <row r="1905" spans="1:22" ht="12.75" customHeight="1" x14ac:dyDescent="0.2">
      <c r="A1905" s="289" t="str">
        <f>IF(B1905="","",COUNT('Diário 5º PA'!$A$5:$A$2634)+ROW()-4)</f>
        <v/>
      </c>
      <c r="B1905" s="290"/>
      <c r="C1905" s="357"/>
      <c r="D1905" s="291"/>
      <c r="E1905" s="291"/>
      <c r="F1905" s="292"/>
      <c r="G1905" s="291"/>
      <c r="H1905" s="291"/>
      <c r="I1905" s="293"/>
      <c r="J1905" s="291"/>
      <c r="K1905" s="291"/>
      <c r="L1905" s="293"/>
      <c r="M1905" s="291"/>
      <c r="N1905" s="289"/>
      <c r="O1905" s="358"/>
      <c r="P1905" s="402">
        <f t="shared" ref="P1905:Q1905" si="1901">IF(B1905=0,0,IF(YEAR(B1905)=$Q$1,MONTH(B1905)-$P$1+1,(YEAR(B1905)-$Q$1)*12-$P$1+1+MONTH(B1905)))</f>
        <v>0</v>
      </c>
      <c r="Q1905" s="280">
        <f t="shared" si="1901"/>
        <v>0</v>
      </c>
      <c r="R1905" s="356" t="str">
        <f t="shared" si="1"/>
        <v/>
      </c>
      <c r="S1905" s="269" t="str">
        <f>IF(D1905="","",IF(OR(D1905=Plano!$A$1,D1905=Plano!$B$1),"entrada","saída"))</f>
        <v/>
      </c>
      <c r="T1905" s="406"/>
      <c r="U1905" s="406"/>
      <c r="V1905" s="269"/>
    </row>
    <row r="1906" spans="1:22" ht="12.75" customHeight="1" x14ac:dyDescent="0.2">
      <c r="A1906" s="289" t="str">
        <f>IF(B1906="","",COUNT('Diário 5º PA'!$A$5:$A$2634)+ROW()-4)</f>
        <v/>
      </c>
      <c r="B1906" s="290"/>
      <c r="C1906" s="357"/>
      <c r="D1906" s="291"/>
      <c r="E1906" s="291"/>
      <c r="F1906" s="292"/>
      <c r="G1906" s="291"/>
      <c r="H1906" s="291"/>
      <c r="I1906" s="293"/>
      <c r="J1906" s="291"/>
      <c r="K1906" s="291"/>
      <c r="L1906" s="293"/>
      <c r="M1906" s="291"/>
      <c r="N1906" s="289"/>
      <c r="O1906" s="358"/>
      <c r="P1906" s="402">
        <f t="shared" ref="P1906:Q1906" si="1902">IF(B1906=0,0,IF(YEAR(B1906)=$Q$1,MONTH(B1906)-$P$1+1,(YEAR(B1906)-$Q$1)*12-$P$1+1+MONTH(B1906)))</f>
        <v>0</v>
      </c>
      <c r="Q1906" s="280">
        <f t="shared" si="1902"/>
        <v>0</v>
      </c>
      <c r="R1906" s="356" t="str">
        <f t="shared" si="1"/>
        <v/>
      </c>
      <c r="S1906" s="269" t="str">
        <f>IF(D1906="","",IF(OR(D1906=Plano!$A$1,D1906=Plano!$B$1),"entrada","saída"))</f>
        <v/>
      </c>
      <c r="T1906" s="406"/>
      <c r="U1906" s="406"/>
      <c r="V1906" s="269"/>
    </row>
    <row r="1907" spans="1:22" ht="12.75" customHeight="1" x14ac:dyDescent="0.2">
      <c r="A1907" s="289" t="str">
        <f>IF(B1907="","",COUNT('Diário 5º PA'!$A$5:$A$2634)+ROW()-4)</f>
        <v/>
      </c>
      <c r="B1907" s="290"/>
      <c r="C1907" s="357"/>
      <c r="D1907" s="291"/>
      <c r="E1907" s="291"/>
      <c r="F1907" s="292"/>
      <c r="G1907" s="291"/>
      <c r="H1907" s="291"/>
      <c r="I1907" s="293"/>
      <c r="J1907" s="291"/>
      <c r="K1907" s="291"/>
      <c r="L1907" s="293"/>
      <c r="M1907" s="291"/>
      <c r="N1907" s="289"/>
      <c r="O1907" s="358"/>
      <c r="P1907" s="402">
        <f t="shared" ref="P1907:Q1907" si="1903">IF(B1907=0,0,IF(YEAR(B1907)=$Q$1,MONTH(B1907)-$P$1+1,(YEAR(B1907)-$Q$1)*12-$P$1+1+MONTH(B1907)))</f>
        <v>0</v>
      </c>
      <c r="Q1907" s="280">
        <f t="shared" si="1903"/>
        <v>0</v>
      </c>
      <c r="R1907" s="356" t="str">
        <f t="shared" si="1"/>
        <v/>
      </c>
      <c r="S1907" s="269" t="str">
        <f>IF(D1907="","",IF(OR(D1907=Plano!$A$1,D1907=Plano!$B$1),"entrada","saída"))</f>
        <v/>
      </c>
      <c r="T1907" s="406"/>
      <c r="U1907" s="406"/>
      <c r="V1907" s="269"/>
    </row>
    <row r="1908" spans="1:22" ht="12.75" customHeight="1" x14ac:dyDescent="0.2">
      <c r="A1908" s="289" t="str">
        <f>IF(B1908="","",COUNT('Diário 5º PA'!$A$5:$A$2634)+ROW()-4)</f>
        <v/>
      </c>
      <c r="B1908" s="290"/>
      <c r="C1908" s="357"/>
      <c r="D1908" s="291"/>
      <c r="E1908" s="291"/>
      <c r="F1908" s="292"/>
      <c r="G1908" s="291"/>
      <c r="H1908" s="291"/>
      <c r="I1908" s="293"/>
      <c r="J1908" s="291"/>
      <c r="K1908" s="291"/>
      <c r="L1908" s="293"/>
      <c r="M1908" s="291"/>
      <c r="N1908" s="289"/>
      <c r="O1908" s="358"/>
      <c r="P1908" s="402">
        <f t="shared" ref="P1908:Q1908" si="1904">IF(B1908=0,0,IF(YEAR(B1908)=$Q$1,MONTH(B1908)-$P$1+1,(YEAR(B1908)-$Q$1)*12-$P$1+1+MONTH(B1908)))</f>
        <v>0</v>
      </c>
      <c r="Q1908" s="280">
        <f t="shared" si="1904"/>
        <v>0</v>
      </c>
      <c r="R1908" s="356" t="str">
        <f t="shared" si="1"/>
        <v/>
      </c>
      <c r="S1908" s="269" t="str">
        <f>IF(D1908="","",IF(OR(D1908=Plano!$A$1,D1908=Plano!$B$1),"entrada","saída"))</f>
        <v/>
      </c>
      <c r="T1908" s="406"/>
      <c r="U1908" s="406"/>
      <c r="V1908" s="269"/>
    </row>
    <row r="1909" spans="1:22" ht="12.75" customHeight="1" x14ac:dyDescent="0.2">
      <c r="A1909" s="289" t="str">
        <f>IF(B1909="","",COUNT('Diário 5º PA'!$A$5:$A$2634)+ROW()-4)</f>
        <v/>
      </c>
      <c r="B1909" s="290"/>
      <c r="C1909" s="357"/>
      <c r="D1909" s="291"/>
      <c r="E1909" s="291"/>
      <c r="F1909" s="292"/>
      <c r="G1909" s="291"/>
      <c r="H1909" s="291"/>
      <c r="I1909" s="293"/>
      <c r="J1909" s="291"/>
      <c r="K1909" s="291"/>
      <c r="L1909" s="293"/>
      <c r="M1909" s="291"/>
      <c r="N1909" s="289"/>
      <c r="O1909" s="358"/>
      <c r="P1909" s="402">
        <f t="shared" ref="P1909:Q1909" si="1905">IF(B1909=0,0,IF(YEAR(B1909)=$Q$1,MONTH(B1909)-$P$1+1,(YEAR(B1909)-$Q$1)*12-$P$1+1+MONTH(B1909)))</f>
        <v>0</v>
      </c>
      <c r="Q1909" s="280">
        <f t="shared" si="1905"/>
        <v>0</v>
      </c>
      <c r="R1909" s="356" t="str">
        <f t="shared" si="1"/>
        <v/>
      </c>
      <c r="S1909" s="269" t="str">
        <f>IF(D1909="","",IF(OR(D1909=Plano!$A$1,D1909=Plano!$B$1),"entrada","saída"))</f>
        <v/>
      </c>
      <c r="T1909" s="406"/>
      <c r="U1909" s="406"/>
      <c r="V1909" s="269"/>
    </row>
    <row r="1910" spans="1:22" ht="12.75" customHeight="1" x14ac:dyDescent="0.2">
      <c r="A1910" s="289" t="str">
        <f>IF(B1910="","",COUNT('Diário 5º PA'!$A$5:$A$2634)+ROW()-4)</f>
        <v/>
      </c>
      <c r="B1910" s="290"/>
      <c r="C1910" s="357"/>
      <c r="D1910" s="291"/>
      <c r="E1910" s="291"/>
      <c r="F1910" s="292"/>
      <c r="G1910" s="291"/>
      <c r="H1910" s="291"/>
      <c r="I1910" s="293"/>
      <c r="J1910" s="291"/>
      <c r="K1910" s="291"/>
      <c r="L1910" s="293"/>
      <c r="M1910" s="291"/>
      <c r="N1910" s="289"/>
      <c r="O1910" s="358"/>
      <c r="P1910" s="402">
        <f t="shared" ref="P1910:Q1910" si="1906">IF(B1910=0,0,IF(YEAR(B1910)=$Q$1,MONTH(B1910)-$P$1+1,(YEAR(B1910)-$Q$1)*12-$P$1+1+MONTH(B1910)))</f>
        <v>0</v>
      </c>
      <c r="Q1910" s="280">
        <f t="shared" si="1906"/>
        <v>0</v>
      </c>
      <c r="R1910" s="356" t="str">
        <f t="shared" si="1"/>
        <v/>
      </c>
      <c r="S1910" s="269" t="str">
        <f>IF(D1910="","",IF(OR(D1910=Plano!$A$1,D1910=Plano!$B$1),"entrada","saída"))</f>
        <v/>
      </c>
      <c r="T1910" s="406"/>
      <c r="U1910" s="406"/>
      <c r="V1910" s="269"/>
    </row>
    <row r="1911" spans="1:22" ht="12.75" customHeight="1" x14ac:dyDescent="0.2">
      <c r="A1911" s="289" t="str">
        <f>IF(B1911="","",COUNT('Diário 5º PA'!$A$5:$A$2634)+ROW()-4)</f>
        <v/>
      </c>
      <c r="B1911" s="290"/>
      <c r="C1911" s="357"/>
      <c r="D1911" s="291"/>
      <c r="E1911" s="291"/>
      <c r="F1911" s="292"/>
      <c r="G1911" s="291"/>
      <c r="H1911" s="291"/>
      <c r="I1911" s="293"/>
      <c r="J1911" s="291"/>
      <c r="K1911" s="291"/>
      <c r="L1911" s="293"/>
      <c r="M1911" s="291"/>
      <c r="N1911" s="289"/>
      <c r="O1911" s="358"/>
      <c r="P1911" s="402">
        <f t="shared" ref="P1911:Q1911" si="1907">IF(B1911=0,0,IF(YEAR(B1911)=$Q$1,MONTH(B1911)-$P$1+1,(YEAR(B1911)-$Q$1)*12-$P$1+1+MONTH(B1911)))</f>
        <v>0</v>
      </c>
      <c r="Q1911" s="280">
        <f t="shared" si="1907"/>
        <v>0</v>
      </c>
      <c r="R1911" s="356" t="str">
        <f t="shared" si="1"/>
        <v/>
      </c>
      <c r="S1911" s="269" t="str">
        <f>IF(D1911="","",IF(OR(D1911=Plano!$A$1,D1911=Plano!$B$1),"entrada","saída"))</f>
        <v/>
      </c>
      <c r="T1911" s="406"/>
      <c r="U1911" s="406"/>
      <c r="V1911" s="269"/>
    </row>
    <row r="1912" spans="1:22" ht="12.75" customHeight="1" x14ac:dyDescent="0.2">
      <c r="A1912" s="289" t="str">
        <f>IF(B1912="","",COUNT('Diário 5º PA'!$A$5:$A$2634)+ROW()-4)</f>
        <v/>
      </c>
      <c r="B1912" s="290"/>
      <c r="C1912" s="357"/>
      <c r="D1912" s="291"/>
      <c r="E1912" s="291"/>
      <c r="F1912" s="292"/>
      <c r="G1912" s="291"/>
      <c r="H1912" s="291"/>
      <c r="I1912" s="293"/>
      <c r="J1912" s="291"/>
      <c r="K1912" s="291"/>
      <c r="L1912" s="293"/>
      <c r="M1912" s="291"/>
      <c r="N1912" s="289"/>
      <c r="O1912" s="358"/>
      <c r="P1912" s="402">
        <f t="shared" ref="P1912:Q1912" si="1908">IF(B1912=0,0,IF(YEAR(B1912)=$Q$1,MONTH(B1912)-$P$1+1,(YEAR(B1912)-$Q$1)*12-$P$1+1+MONTH(B1912)))</f>
        <v>0</v>
      </c>
      <c r="Q1912" s="280">
        <f t="shared" si="1908"/>
        <v>0</v>
      </c>
      <c r="R1912" s="356" t="str">
        <f t="shared" si="1"/>
        <v/>
      </c>
      <c r="S1912" s="269" t="str">
        <f>IF(D1912="","",IF(OR(D1912=Plano!$A$1,D1912=Plano!$B$1),"entrada","saída"))</f>
        <v/>
      </c>
      <c r="T1912" s="406"/>
      <c r="U1912" s="406"/>
      <c r="V1912" s="269"/>
    </row>
    <row r="1913" spans="1:22" ht="12.75" customHeight="1" x14ac:dyDescent="0.2">
      <c r="A1913" s="289" t="str">
        <f>IF(B1913="","",COUNT('Diário 5º PA'!$A$5:$A$2634)+ROW()-4)</f>
        <v/>
      </c>
      <c r="B1913" s="290"/>
      <c r="C1913" s="357"/>
      <c r="D1913" s="291"/>
      <c r="E1913" s="291"/>
      <c r="F1913" s="292"/>
      <c r="G1913" s="291"/>
      <c r="H1913" s="291"/>
      <c r="I1913" s="293"/>
      <c r="J1913" s="291"/>
      <c r="K1913" s="291"/>
      <c r="L1913" s="293"/>
      <c r="M1913" s="291"/>
      <c r="N1913" s="289"/>
      <c r="O1913" s="358"/>
      <c r="P1913" s="402">
        <f t="shared" ref="P1913:Q1913" si="1909">IF(B1913=0,0,IF(YEAR(B1913)=$Q$1,MONTH(B1913)-$P$1+1,(YEAR(B1913)-$Q$1)*12-$P$1+1+MONTH(B1913)))</f>
        <v>0</v>
      </c>
      <c r="Q1913" s="280">
        <f t="shared" si="1909"/>
        <v>0</v>
      </c>
      <c r="R1913" s="356" t="str">
        <f t="shared" si="1"/>
        <v/>
      </c>
      <c r="S1913" s="269" t="str">
        <f>IF(D1913="","",IF(OR(D1913=Plano!$A$1,D1913=Plano!$B$1),"entrada","saída"))</f>
        <v/>
      </c>
      <c r="T1913" s="406"/>
      <c r="U1913" s="406"/>
      <c r="V1913" s="269"/>
    </row>
    <row r="1914" spans="1:22" ht="12.75" customHeight="1" x14ac:dyDescent="0.2">
      <c r="A1914" s="289" t="str">
        <f>IF(B1914="","",COUNT('Diário 5º PA'!$A$5:$A$2634)+ROW()-4)</f>
        <v/>
      </c>
      <c r="B1914" s="290"/>
      <c r="C1914" s="357"/>
      <c r="D1914" s="291"/>
      <c r="E1914" s="291"/>
      <c r="F1914" s="292"/>
      <c r="G1914" s="291"/>
      <c r="H1914" s="291"/>
      <c r="I1914" s="293"/>
      <c r="J1914" s="291"/>
      <c r="K1914" s="291"/>
      <c r="L1914" s="293"/>
      <c r="M1914" s="291"/>
      <c r="N1914" s="289"/>
      <c r="O1914" s="358"/>
      <c r="P1914" s="402">
        <f t="shared" ref="P1914:Q1914" si="1910">IF(B1914=0,0,IF(YEAR(B1914)=$Q$1,MONTH(B1914)-$P$1+1,(YEAR(B1914)-$Q$1)*12-$P$1+1+MONTH(B1914)))</f>
        <v>0</v>
      </c>
      <c r="Q1914" s="280">
        <f t="shared" si="1910"/>
        <v>0</v>
      </c>
      <c r="R1914" s="356" t="str">
        <f t="shared" si="1"/>
        <v/>
      </c>
      <c r="S1914" s="269" t="str">
        <f>IF(D1914="","",IF(OR(D1914=Plano!$A$1,D1914=Plano!$B$1),"entrada","saída"))</f>
        <v/>
      </c>
      <c r="T1914" s="406"/>
      <c r="U1914" s="406"/>
      <c r="V1914" s="269"/>
    </row>
    <row r="1915" spans="1:22" ht="12.75" customHeight="1" x14ac:dyDescent="0.2">
      <c r="A1915" s="289" t="str">
        <f>IF(B1915="","",COUNT('Diário 5º PA'!$A$5:$A$2634)+ROW()-4)</f>
        <v/>
      </c>
      <c r="B1915" s="290"/>
      <c r="C1915" s="357"/>
      <c r="D1915" s="291"/>
      <c r="E1915" s="291"/>
      <c r="F1915" s="292"/>
      <c r="G1915" s="291"/>
      <c r="H1915" s="291"/>
      <c r="I1915" s="293"/>
      <c r="J1915" s="291"/>
      <c r="K1915" s="291"/>
      <c r="L1915" s="293"/>
      <c r="M1915" s="291"/>
      <c r="N1915" s="289"/>
      <c r="O1915" s="358"/>
      <c r="P1915" s="402">
        <f t="shared" ref="P1915:Q1915" si="1911">IF(B1915=0,0,IF(YEAR(B1915)=$Q$1,MONTH(B1915)-$P$1+1,(YEAR(B1915)-$Q$1)*12-$P$1+1+MONTH(B1915)))</f>
        <v>0</v>
      </c>
      <c r="Q1915" s="280">
        <f t="shared" si="1911"/>
        <v>0</v>
      </c>
      <c r="R1915" s="356" t="str">
        <f t="shared" si="1"/>
        <v/>
      </c>
      <c r="S1915" s="269" t="str">
        <f>IF(D1915="","",IF(OR(D1915=Plano!$A$1,D1915=Plano!$B$1),"entrada","saída"))</f>
        <v/>
      </c>
      <c r="T1915" s="406"/>
      <c r="U1915" s="406"/>
      <c r="V1915" s="269"/>
    </row>
    <row r="1916" spans="1:22" ht="12.75" customHeight="1" x14ac:dyDescent="0.2">
      <c r="A1916" s="289" t="str">
        <f>IF(B1916="","",COUNT('Diário 5º PA'!$A$5:$A$2634)+ROW()-4)</f>
        <v/>
      </c>
      <c r="B1916" s="290"/>
      <c r="C1916" s="357"/>
      <c r="D1916" s="291"/>
      <c r="E1916" s="291"/>
      <c r="F1916" s="292"/>
      <c r="G1916" s="291"/>
      <c r="H1916" s="291"/>
      <c r="I1916" s="293"/>
      <c r="J1916" s="291"/>
      <c r="K1916" s="291"/>
      <c r="L1916" s="293"/>
      <c r="M1916" s="291"/>
      <c r="N1916" s="289"/>
      <c r="O1916" s="358"/>
      <c r="P1916" s="402">
        <f t="shared" ref="P1916:Q1916" si="1912">IF(B1916=0,0,IF(YEAR(B1916)=$Q$1,MONTH(B1916)-$P$1+1,(YEAR(B1916)-$Q$1)*12-$P$1+1+MONTH(B1916)))</f>
        <v>0</v>
      </c>
      <c r="Q1916" s="280">
        <f t="shared" si="1912"/>
        <v>0</v>
      </c>
      <c r="R1916" s="356" t="str">
        <f t="shared" si="1"/>
        <v/>
      </c>
      <c r="S1916" s="269" t="str">
        <f>IF(D1916="","",IF(OR(D1916=Plano!$A$1,D1916=Plano!$B$1),"entrada","saída"))</f>
        <v/>
      </c>
      <c r="T1916" s="406"/>
      <c r="U1916" s="406"/>
      <c r="V1916" s="269"/>
    </row>
    <row r="1917" spans="1:22" ht="12.75" customHeight="1" x14ac:dyDescent="0.2">
      <c r="A1917" s="289" t="str">
        <f>IF(B1917="","",COUNT('Diário 5º PA'!$A$5:$A$2634)+ROW()-4)</f>
        <v/>
      </c>
      <c r="B1917" s="290"/>
      <c r="C1917" s="357"/>
      <c r="D1917" s="291"/>
      <c r="E1917" s="291"/>
      <c r="F1917" s="292"/>
      <c r="G1917" s="291"/>
      <c r="H1917" s="291"/>
      <c r="I1917" s="293"/>
      <c r="J1917" s="291"/>
      <c r="K1917" s="291"/>
      <c r="L1917" s="293"/>
      <c r="M1917" s="291"/>
      <c r="N1917" s="289"/>
      <c r="O1917" s="358"/>
      <c r="P1917" s="402">
        <f t="shared" ref="P1917:Q1917" si="1913">IF(B1917=0,0,IF(YEAR(B1917)=$Q$1,MONTH(B1917)-$P$1+1,(YEAR(B1917)-$Q$1)*12-$P$1+1+MONTH(B1917)))</f>
        <v>0</v>
      </c>
      <c r="Q1917" s="280">
        <f t="shared" si="1913"/>
        <v>0</v>
      </c>
      <c r="R1917" s="356" t="str">
        <f t="shared" si="1"/>
        <v/>
      </c>
      <c r="S1917" s="269" t="str">
        <f>IF(D1917="","",IF(OR(D1917=Plano!$A$1,D1917=Plano!$B$1),"entrada","saída"))</f>
        <v/>
      </c>
      <c r="T1917" s="406"/>
      <c r="U1917" s="406"/>
      <c r="V1917" s="269"/>
    </row>
    <row r="1918" spans="1:22" ht="12.75" customHeight="1" x14ac:dyDescent="0.2">
      <c r="A1918" s="289" t="str">
        <f>IF(B1918="","",COUNT('Diário 5º PA'!$A$5:$A$2634)+ROW()-4)</f>
        <v/>
      </c>
      <c r="B1918" s="290"/>
      <c r="C1918" s="357"/>
      <c r="D1918" s="291"/>
      <c r="E1918" s="291"/>
      <c r="F1918" s="292"/>
      <c r="G1918" s="291"/>
      <c r="H1918" s="291"/>
      <c r="I1918" s="293"/>
      <c r="J1918" s="291"/>
      <c r="K1918" s="291"/>
      <c r="L1918" s="293"/>
      <c r="M1918" s="291"/>
      <c r="N1918" s="289"/>
      <c r="O1918" s="358"/>
      <c r="P1918" s="402">
        <f t="shared" ref="P1918:Q1918" si="1914">IF(B1918=0,0,IF(YEAR(B1918)=$Q$1,MONTH(B1918)-$P$1+1,(YEAR(B1918)-$Q$1)*12-$P$1+1+MONTH(B1918)))</f>
        <v>0</v>
      </c>
      <c r="Q1918" s="280">
        <f t="shared" si="1914"/>
        <v>0</v>
      </c>
      <c r="R1918" s="356" t="str">
        <f t="shared" si="1"/>
        <v/>
      </c>
      <c r="S1918" s="269" t="str">
        <f>IF(D1918="","",IF(OR(D1918=Plano!$A$1,D1918=Plano!$B$1),"entrada","saída"))</f>
        <v/>
      </c>
      <c r="T1918" s="406"/>
      <c r="U1918" s="406"/>
      <c r="V1918" s="269"/>
    </row>
    <row r="1919" spans="1:22" ht="12.75" customHeight="1" x14ac:dyDescent="0.2">
      <c r="A1919" s="289" t="str">
        <f>IF(B1919="","",COUNT('Diário 5º PA'!$A$5:$A$2634)+ROW()-4)</f>
        <v/>
      </c>
      <c r="B1919" s="290"/>
      <c r="C1919" s="357"/>
      <c r="D1919" s="291"/>
      <c r="E1919" s="291"/>
      <c r="F1919" s="292"/>
      <c r="G1919" s="291"/>
      <c r="H1919" s="291"/>
      <c r="I1919" s="293"/>
      <c r="J1919" s="291"/>
      <c r="K1919" s="291"/>
      <c r="L1919" s="293"/>
      <c r="M1919" s="291"/>
      <c r="N1919" s="289"/>
      <c r="O1919" s="358"/>
      <c r="P1919" s="402">
        <f t="shared" ref="P1919:Q1919" si="1915">IF(B1919=0,0,IF(YEAR(B1919)=$Q$1,MONTH(B1919)-$P$1+1,(YEAR(B1919)-$Q$1)*12-$P$1+1+MONTH(B1919)))</f>
        <v>0</v>
      </c>
      <c r="Q1919" s="280">
        <f t="shared" si="1915"/>
        <v>0</v>
      </c>
      <c r="R1919" s="356" t="str">
        <f t="shared" si="1"/>
        <v/>
      </c>
      <c r="S1919" s="269" t="str">
        <f>IF(D1919="","",IF(OR(D1919=Plano!$A$1,D1919=Plano!$B$1),"entrada","saída"))</f>
        <v/>
      </c>
      <c r="T1919" s="406"/>
      <c r="U1919" s="406"/>
      <c r="V1919" s="269"/>
    </row>
    <row r="1920" spans="1:22" ht="12.75" customHeight="1" x14ac:dyDescent="0.2">
      <c r="A1920" s="289" t="str">
        <f>IF(B1920="","",COUNT('Diário 5º PA'!$A$5:$A$2634)+ROW()-4)</f>
        <v/>
      </c>
      <c r="B1920" s="290"/>
      <c r="C1920" s="357"/>
      <c r="D1920" s="291"/>
      <c r="E1920" s="291"/>
      <c r="F1920" s="292"/>
      <c r="G1920" s="291"/>
      <c r="H1920" s="291"/>
      <c r="I1920" s="293"/>
      <c r="J1920" s="291"/>
      <c r="K1920" s="291"/>
      <c r="L1920" s="293"/>
      <c r="M1920" s="291"/>
      <c r="N1920" s="289"/>
      <c r="O1920" s="358"/>
      <c r="P1920" s="402">
        <f t="shared" ref="P1920:Q1920" si="1916">IF(B1920=0,0,IF(YEAR(B1920)=$Q$1,MONTH(B1920)-$P$1+1,(YEAR(B1920)-$Q$1)*12-$P$1+1+MONTH(B1920)))</f>
        <v>0</v>
      </c>
      <c r="Q1920" s="280">
        <f t="shared" si="1916"/>
        <v>0</v>
      </c>
      <c r="R1920" s="356" t="str">
        <f t="shared" si="1"/>
        <v/>
      </c>
      <c r="S1920" s="269" t="str">
        <f>IF(D1920="","",IF(OR(D1920=Plano!$A$1,D1920=Plano!$B$1),"entrada","saída"))</f>
        <v/>
      </c>
      <c r="T1920" s="406"/>
      <c r="U1920" s="406"/>
      <c r="V1920" s="269"/>
    </row>
    <row r="1921" spans="1:22" ht="12.75" customHeight="1" x14ac:dyDescent="0.2">
      <c r="A1921" s="289" t="str">
        <f>IF(B1921="","",COUNT('Diário 5º PA'!$A$5:$A$2634)+ROW()-4)</f>
        <v/>
      </c>
      <c r="B1921" s="290"/>
      <c r="C1921" s="357"/>
      <c r="D1921" s="291"/>
      <c r="E1921" s="291"/>
      <c r="F1921" s="292"/>
      <c r="G1921" s="291"/>
      <c r="H1921" s="291"/>
      <c r="I1921" s="293"/>
      <c r="J1921" s="291"/>
      <c r="K1921" s="291"/>
      <c r="L1921" s="293"/>
      <c r="M1921" s="291"/>
      <c r="N1921" s="289"/>
      <c r="O1921" s="358"/>
      <c r="P1921" s="402">
        <f t="shared" ref="P1921:Q1921" si="1917">IF(B1921=0,0,IF(YEAR(B1921)=$Q$1,MONTH(B1921)-$P$1+1,(YEAR(B1921)-$Q$1)*12-$P$1+1+MONTH(B1921)))</f>
        <v>0</v>
      </c>
      <c r="Q1921" s="280">
        <f t="shared" si="1917"/>
        <v>0</v>
      </c>
      <c r="R1921" s="356" t="str">
        <f t="shared" si="1"/>
        <v/>
      </c>
      <c r="S1921" s="269" t="str">
        <f>IF(D1921="","",IF(OR(D1921=Plano!$A$1,D1921=Plano!$B$1),"entrada","saída"))</f>
        <v/>
      </c>
      <c r="T1921" s="406"/>
      <c r="U1921" s="406"/>
      <c r="V1921" s="269"/>
    </row>
    <row r="1922" spans="1:22" ht="12.75" customHeight="1" x14ac:dyDescent="0.2">
      <c r="A1922" s="289" t="str">
        <f>IF(B1922="","",COUNT('Diário 5º PA'!$A$5:$A$2634)+ROW()-4)</f>
        <v/>
      </c>
      <c r="B1922" s="290"/>
      <c r="C1922" s="357"/>
      <c r="D1922" s="291"/>
      <c r="E1922" s="291"/>
      <c r="F1922" s="292"/>
      <c r="G1922" s="291"/>
      <c r="H1922" s="291"/>
      <c r="I1922" s="293"/>
      <c r="J1922" s="291"/>
      <c r="K1922" s="291"/>
      <c r="L1922" s="293"/>
      <c r="M1922" s="291"/>
      <c r="N1922" s="289"/>
      <c r="O1922" s="358"/>
      <c r="P1922" s="402">
        <f t="shared" ref="P1922:Q1922" si="1918">IF(B1922=0,0,IF(YEAR(B1922)=$Q$1,MONTH(B1922)-$P$1+1,(YEAR(B1922)-$Q$1)*12-$P$1+1+MONTH(B1922)))</f>
        <v>0</v>
      </c>
      <c r="Q1922" s="280">
        <f t="shared" si="1918"/>
        <v>0</v>
      </c>
      <c r="R1922" s="356" t="str">
        <f t="shared" si="1"/>
        <v/>
      </c>
      <c r="S1922" s="269" t="str">
        <f>IF(D1922="","",IF(OR(D1922=Plano!$A$1,D1922=Plano!$B$1),"entrada","saída"))</f>
        <v/>
      </c>
      <c r="T1922" s="406"/>
      <c r="U1922" s="406"/>
      <c r="V1922" s="269"/>
    </row>
    <row r="1923" spans="1:22" ht="12.75" customHeight="1" x14ac:dyDescent="0.2">
      <c r="A1923" s="289" t="str">
        <f>IF(B1923="","",COUNT('Diário 5º PA'!$A$5:$A$2634)+ROW()-4)</f>
        <v/>
      </c>
      <c r="B1923" s="290"/>
      <c r="C1923" s="357"/>
      <c r="D1923" s="291"/>
      <c r="E1923" s="291"/>
      <c r="F1923" s="292"/>
      <c r="G1923" s="291"/>
      <c r="H1923" s="291"/>
      <c r="I1923" s="293"/>
      <c r="J1923" s="291"/>
      <c r="K1923" s="291"/>
      <c r="L1923" s="293"/>
      <c r="M1923" s="291"/>
      <c r="N1923" s="289"/>
      <c r="O1923" s="358"/>
      <c r="P1923" s="402">
        <f t="shared" ref="P1923:Q1923" si="1919">IF(B1923=0,0,IF(YEAR(B1923)=$Q$1,MONTH(B1923)-$P$1+1,(YEAR(B1923)-$Q$1)*12-$P$1+1+MONTH(B1923)))</f>
        <v>0</v>
      </c>
      <c r="Q1923" s="280">
        <f t="shared" si="1919"/>
        <v>0</v>
      </c>
      <c r="R1923" s="356" t="str">
        <f t="shared" si="1"/>
        <v/>
      </c>
      <c r="S1923" s="269" t="str">
        <f>IF(D1923="","",IF(OR(D1923=Plano!$A$1,D1923=Plano!$B$1),"entrada","saída"))</f>
        <v/>
      </c>
      <c r="T1923" s="406"/>
      <c r="U1923" s="406"/>
      <c r="V1923" s="269"/>
    </row>
    <row r="1924" spans="1:22" ht="12.75" customHeight="1" x14ac:dyDescent="0.2">
      <c r="A1924" s="289" t="str">
        <f>IF(B1924="","",COUNT('Diário 5º PA'!$A$5:$A$2634)+ROW()-4)</f>
        <v/>
      </c>
      <c r="B1924" s="290"/>
      <c r="C1924" s="357"/>
      <c r="D1924" s="291"/>
      <c r="E1924" s="291"/>
      <c r="F1924" s="292"/>
      <c r="G1924" s="291"/>
      <c r="H1924" s="291"/>
      <c r="I1924" s="293"/>
      <c r="J1924" s="291"/>
      <c r="K1924" s="291"/>
      <c r="L1924" s="293"/>
      <c r="M1924" s="291"/>
      <c r="N1924" s="289"/>
      <c r="O1924" s="358"/>
      <c r="P1924" s="402">
        <f t="shared" ref="P1924:Q1924" si="1920">IF(B1924=0,0,IF(YEAR(B1924)=$Q$1,MONTH(B1924)-$P$1+1,(YEAR(B1924)-$Q$1)*12-$P$1+1+MONTH(B1924)))</f>
        <v>0</v>
      </c>
      <c r="Q1924" s="280">
        <f t="shared" si="1920"/>
        <v>0</v>
      </c>
      <c r="R1924" s="356" t="str">
        <f t="shared" si="1"/>
        <v/>
      </c>
      <c r="S1924" s="269" t="str">
        <f>IF(D1924="","",IF(OR(D1924=Plano!$A$1,D1924=Plano!$B$1),"entrada","saída"))</f>
        <v/>
      </c>
      <c r="T1924" s="406"/>
      <c r="U1924" s="406"/>
      <c r="V1924" s="269"/>
    </row>
    <row r="1925" spans="1:22" ht="12.75" customHeight="1" x14ac:dyDescent="0.2">
      <c r="A1925" s="289" t="str">
        <f>IF(B1925="","",COUNT('Diário 5º PA'!$A$5:$A$2634)+ROW()-4)</f>
        <v/>
      </c>
      <c r="B1925" s="290"/>
      <c r="C1925" s="357"/>
      <c r="D1925" s="291"/>
      <c r="E1925" s="291"/>
      <c r="F1925" s="292"/>
      <c r="G1925" s="291"/>
      <c r="H1925" s="291"/>
      <c r="I1925" s="293"/>
      <c r="J1925" s="291"/>
      <c r="K1925" s="291"/>
      <c r="L1925" s="293"/>
      <c r="M1925" s="291"/>
      <c r="N1925" s="289"/>
      <c r="O1925" s="358"/>
      <c r="P1925" s="402">
        <f t="shared" ref="P1925:Q1925" si="1921">IF(B1925=0,0,IF(YEAR(B1925)=$Q$1,MONTH(B1925)-$P$1+1,(YEAR(B1925)-$Q$1)*12-$P$1+1+MONTH(B1925)))</f>
        <v>0</v>
      </c>
      <c r="Q1925" s="280">
        <f t="shared" si="1921"/>
        <v>0</v>
      </c>
      <c r="R1925" s="356" t="str">
        <f t="shared" si="1"/>
        <v/>
      </c>
      <c r="S1925" s="269" t="str">
        <f>IF(D1925="","",IF(OR(D1925=Plano!$A$1,D1925=Plano!$B$1),"entrada","saída"))</f>
        <v/>
      </c>
      <c r="T1925" s="406"/>
      <c r="U1925" s="406"/>
      <c r="V1925" s="269"/>
    </row>
    <row r="1926" spans="1:22" ht="12.75" customHeight="1" x14ac:dyDescent="0.2">
      <c r="A1926" s="289" t="str">
        <f>IF(B1926="","",COUNT('Diário 5º PA'!$A$5:$A$2634)+ROW()-4)</f>
        <v/>
      </c>
      <c r="B1926" s="290"/>
      <c r="C1926" s="357"/>
      <c r="D1926" s="291"/>
      <c r="E1926" s="291"/>
      <c r="F1926" s="292"/>
      <c r="G1926" s="291"/>
      <c r="H1926" s="291"/>
      <c r="I1926" s="293"/>
      <c r="J1926" s="291"/>
      <c r="K1926" s="291"/>
      <c r="L1926" s="293"/>
      <c r="M1926" s="291"/>
      <c r="N1926" s="289"/>
      <c r="O1926" s="358"/>
      <c r="P1926" s="402">
        <f t="shared" ref="P1926:Q1926" si="1922">IF(B1926=0,0,IF(YEAR(B1926)=$Q$1,MONTH(B1926)-$P$1+1,(YEAR(B1926)-$Q$1)*12-$P$1+1+MONTH(B1926)))</f>
        <v>0</v>
      </c>
      <c r="Q1926" s="280">
        <f t="shared" si="1922"/>
        <v>0</v>
      </c>
      <c r="R1926" s="356" t="str">
        <f t="shared" si="1"/>
        <v/>
      </c>
      <c r="S1926" s="269" t="str">
        <f>IF(D1926="","",IF(OR(D1926=Plano!$A$1,D1926=Plano!$B$1),"entrada","saída"))</f>
        <v/>
      </c>
      <c r="T1926" s="406"/>
      <c r="U1926" s="406"/>
      <c r="V1926" s="269"/>
    </row>
    <row r="1927" spans="1:22" ht="12.75" customHeight="1" x14ac:dyDescent="0.2">
      <c r="A1927" s="289" t="str">
        <f>IF(B1927="","",COUNT('Diário 5º PA'!$A$5:$A$2634)+ROW()-4)</f>
        <v/>
      </c>
      <c r="B1927" s="290"/>
      <c r="C1927" s="357"/>
      <c r="D1927" s="291"/>
      <c r="E1927" s="291"/>
      <c r="F1927" s="292"/>
      <c r="G1927" s="291"/>
      <c r="H1927" s="291"/>
      <c r="I1927" s="293"/>
      <c r="J1927" s="291"/>
      <c r="K1927" s="291"/>
      <c r="L1927" s="293"/>
      <c r="M1927" s="291"/>
      <c r="N1927" s="289"/>
      <c r="O1927" s="358"/>
      <c r="P1927" s="402">
        <f t="shared" ref="P1927:Q1927" si="1923">IF(B1927=0,0,IF(YEAR(B1927)=$Q$1,MONTH(B1927)-$P$1+1,(YEAR(B1927)-$Q$1)*12-$P$1+1+MONTH(B1927)))</f>
        <v>0</v>
      </c>
      <c r="Q1927" s="280">
        <f t="shared" si="1923"/>
        <v>0</v>
      </c>
      <c r="R1927" s="356" t="str">
        <f t="shared" si="1"/>
        <v/>
      </c>
      <c r="S1927" s="269" t="str">
        <f>IF(D1927="","",IF(OR(D1927=Plano!$A$1,D1927=Plano!$B$1),"entrada","saída"))</f>
        <v/>
      </c>
      <c r="T1927" s="406"/>
      <c r="U1927" s="406"/>
      <c r="V1927" s="269"/>
    </row>
    <row r="1928" spans="1:22" ht="12.75" customHeight="1" x14ac:dyDescent="0.2">
      <c r="A1928" s="289" t="str">
        <f>IF(B1928="","",COUNT('Diário 5º PA'!$A$5:$A$2634)+ROW()-4)</f>
        <v/>
      </c>
      <c r="B1928" s="290"/>
      <c r="C1928" s="357"/>
      <c r="D1928" s="291"/>
      <c r="E1928" s="291"/>
      <c r="F1928" s="292"/>
      <c r="G1928" s="291"/>
      <c r="H1928" s="291"/>
      <c r="I1928" s="293"/>
      <c r="J1928" s="291"/>
      <c r="K1928" s="291"/>
      <c r="L1928" s="293"/>
      <c r="M1928" s="291"/>
      <c r="N1928" s="289"/>
      <c r="O1928" s="358"/>
      <c r="P1928" s="402">
        <f t="shared" ref="P1928:Q1928" si="1924">IF(B1928=0,0,IF(YEAR(B1928)=$Q$1,MONTH(B1928)-$P$1+1,(YEAR(B1928)-$Q$1)*12-$P$1+1+MONTH(B1928)))</f>
        <v>0</v>
      </c>
      <c r="Q1928" s="280">
        <f t="shared" si="1924"/>
        <v>0</v>
      </c>
      <c r="R1928" s="356" t="str">
        <f t="shared" si="1"/>
        <v/>
      </c>
      <c r="S1928" s="269" t="str">
        <f>IF(D1928="","",IF(OR(D1928=Plano!$A$1,D1928=Plano!$B$1),"entrada","saída"))</f>
        <v/>
      </c>
      <c r="T1928" s="406"/>
      <c r="U1928" s="406"/>
      <c r="V1928" s="269"/>
    </row>
    <row r="1929" spans="1:22" ht="12.75" customHeight="1" x14ac:dyDescent="0.2">
      <c r="A1929" s="289" t="str">
        <f>IF(B1929="","",COUNT('Diário 5º PA'!$A$5:$A$2634)+ROW()-4)</f>
        <v/>
      </c>
      <c r="B1929" s="290"/>
      <c r="C1929" s="357"/>
      <c r="D1929" s="291"/>
      <c r="E1929" s="291"/>
      <c r="F1929" s="292"/>
      <c r="G1929" s="291"/>
      <c r="H1929" s="291"/>
      <c r="I1929" s="293"/>
      <c r="J1929" s="291"/>
      <c r="K1929" s="291"/>
      <c r="L1929" s="293"/>
      <c r="M1929" s="291"/>
      <c r="N1929" s="289"/>
      <c r="O1929" s="358"/>
      <c r="P1929" s="402">
        <f t="shared" ref="P1929:Q1929" si="1925">IF(B1929=0,0,IF(YEAR(B1929)=$Q$1,MONTH(B1929)-$P$1+1,(YEAR(B1929)-$Q$1)*12-$P$1+1+MONTH(B1929)))</f>
        <v>0</v>
      </c>
      <c r="Q1929" s="280">
        <f t="shared" si="1925"/>
        <v>0</v>
      </c>
      <c r="R1929" s="356" t="str">
        <f t="shared" si="1"/>
        <v/>
      </c>
      <c r="S1929" s="269" t="str">
        <f>IF(D1929="","",IF(OR(D1929=Plano!$A$1,D1929=Plano!$B$1),"entrada","saída"))</f>
        <v/>
      </c>
      <c r="T1929" s="406"/>
      <c r="U1929" s="406"/>
      <c r="V1929" s="269"/>
    </row>
    <row r="1930" spans="1:22" ht="12.75" customHeight="1" x14ac:dyDescent="0.2">
      <c r="A1930" s="289" t="str">
        <f>IF(B1930="","",COUNT('Diário 5º PA'!$A$5:$A$2634)+ROW()-4)</f>
        <v/>
      </c>
      <c r="B1930" s="290"/>
      <c r="C1930" s="357"/>
      <c r="D1930" s="291"/>
      <c r="E1930" s="291"/>
      <c r="F1930" s="292"/>
      <c r="G1930" s="291"/>
      <c r="H1930" s="291"/>
      <c r="I1930" s="293"/>
      <c r="J1930" s="291"/>
      <c r="K1930" s="291"/>
      <c r="L1930" s="293"/>
      <c r="M1930" s="291"/>
      <c r="N1930" s="289"/>
      <c r="O1930" s="358"/>
      <c r="P1930" s="402">
        <f t="shared" ref="P1930:Q1930" si="1926">IF(B1930=0,0,IF(YEAR(B1930)=$Q$1,MONTH(B1930)-$P$1+1,(YEAR(B1930)-$Q$1)*12-$P$1+1+MONTH(B1930)))</f>
        <v>0</v>
      </c>
      <c r="Q1930" s="280">
        <f t="shared" si="1926"/>
        <v>0</v>
      </c>
      <c r="R1930" s="356" t="str">
        <f t="shared" si="1"/>
        <v/>
      </c>
      <c r="S1930" s="269" t="str">
        <f>IF(D1930="","",IF(OR(D1930=Plano!$A$1,D1930=Plano!$B$1),"entrada","saída"))</f>
        <v/>
      </c>
      <c r="T1930" s="406"/>
      <c r="U1930" s="406"/>
      <c r="V1930" s="269"/>
    </row>
    <row r="1931" spans="1:22" ht="12.75" customHeight="1" x14ac:dyDescent="0.2">
      <c r="A1931" s="289" t="str">
        <f>IF(B1931="","",COUNT('Diário 5º PA'!$A$5:$A$2634)+ROW()-4)</f>
        <v/>
      </c>
      <c r="B1931" s="290"/>
      <c r="C1931" s="357"/>
      <c r="D1931" s="291"/>
      <c r="E1931" s="291"/>
      <c r="F1931" s="292"/>
      <c r="G1931" s="291"/>
      <c r="H1931" s="291"/>
      <c r="I1931" s="293"/>
      <c r="J1931" s="291"/>
      <c r="K1931" s="291"/>
      <c r="L1931" s="293"/>
      <c r="M1931" s="291"/>
      <c r="N1931" s="289"/>
      <c r="O1931" s="358"/>
      <c r="P1931" s="402">
        <f t="shared" ref="P1931:Q1931" si="1927">IF(B1931=0,0,IF(YEAR(B1931)=$Q$1,MONTH(B1931)-$P$1+1,(YEAR(B1931)-$Q$1)*12-$P$1+1+MONTH(B1931)))</f>
        <v>0</v>
      </c>
      <c r="Q1931" s="280">
        <f t="shared" si="1927"/>
        <v>0</v>
      </c>
      <c r="R1931" s="356" t="str">
        <f t="shared" si="1"/>
        <v/>
      </c>
      <c r="S1931" s="269" t="str">
        <f>IF(D1931="","",IF(OR(D1931=Plano!$A$1,D1931=Plano!$B$1),"entrada","saída"))</f>
        <v/>
      </c>
      <c r="T1931" s="406"/>
      <c r="U1931" s="406"/>
      <c r="V1931" s="269"/>
    </row>
    <row r="1932" spans="1:22" ht="12.75" customHeight="1" x14ac:dyDescent="0.2">
      <c r="A1932" s="289" t="str">
        <f>IF(B1932="","",COUNT('Diário 5º PA'!$A$5:$A$2634)+ROW()-4)</f>
        <v/>
      </c>
      <c r="B1932" s="290"/>
      <c r="C1932" s="357"/>
      <c r="D1932" s="291"/>
      <c r="E1932" s="291"/>
      <c r="F1932" s="292"/>
      <c r="G1932" s="291"/>
      <c r="H1932" s="291"/>
      <c r="I1932" s="293"/>
      <c r="J1932" s="291"/>
      <c r="K1932" s="291"/>
      <c r="L1932" s="293"/>
      <c r="M1932" s="291"/>
      <c r="N1932" s="289"/>
      <c r="O1932" s="358"/>
      <c r="P1932" s="402">
        <f t="shared" ref="P1932:Q1932" si="1928">IF(B1932=0,0,IF(YEAR(B1932)=$Q$1,MONTH(B1932)-$P$1+1,(YEAR(B1932)-$Q$1)*12-$P$1+1+MONTH(B1932)))</f>
        <v>0</v>
      </c>
      <c r="Q1932" s="280">
        <f t="shared" si="1928"/>
        <v>0</v>
      </c>
      <c r="R1932" s="356" t="str">
        <f t="shared" si="1"/>
        <v/>
      </c>
      <c r="S1932" s="269" t="str">
        <f>IF(D1932="","",IF(OR(D1932=Plano!$A$1,D1932=Plano!$B$1),"entrada","saída"))</f>
        <v/>
      </c>
      <c r="T1932" s="406"/>
      <c r="U1932" s="406"/>
      <c r="V1932" s="269"/>
    </row>
    <row r="1933" spans="1:22" ht="12.75" customHeight="1" x14ac:dyDescent="0.2">
      <c r="A1933" s="289" t="str">
        <f>IF(B1933="","",COUNT('Diário 5º PA'!$A$5:$A$2634)+ROW()-4)</f>
        <v/>
      </c>
      <c r="B1933" s="290"/>
      <c r="C1933" s="357"/>
      <c r="D1933" s="291"/>
      <c r="E1933" s="291"/>
      <c r="F1933" s="292"/>
      <c r="G1933" s="291"/>
      <c r="H1933" s="291"/>
      <c r="I1933" s="293"/>
      <c r="J1933" s="291"/>
      <c r="K1933" s="291"/>
      <c r="L1933" s="293"/>
      <c r="M1933" s="291"/>
      <c r="N1933" s="289"/>
      <c r="O1933" s="358"/>
      <c r="P1933" s="402">
        <f t="shared" ref="P1933:Q1933" si="1929">IF(B1933=0,0,IF(YEAR(B1933)=$Q$1,MONTH(B1933)-$P$1+1,(YEAR(B1933)-$Q$1)*12-$P$1+1+MONTH(B1933)))</f>
        <v>0</v>
      </c>
      <c r="Q1933" s="280">
        <f t="shared" si="1929"/>
        <v>0</v>
      </c>
      <c r="R1933" s="356" t="str">
        <f t="shared" si="1"/>
        <v/>
      </c>
      <c r="S1933" s="269" t="str">
        <f>IF(D1933="","",IF(OR(D1933=Plano!$A$1,D1933=Plano!$B$1),"entrada","saída"))</f>
        <v/>
      </c>
      <c r="T1933" s="406"/>
      <c r="U1933" s="406"/>
      <c r="V1933" s="269"/>
    </row>
    <row r="1934" spans="1:22" ht="12.75" customHeight="1" x14ac:dyDescent="0.2">
      <c r="A1934" s="289" t="str">
        <f>IF(B1934="","",COUNT('Diário 5º PA'!$A$5:$A$2634)+ROW()-4)</f>
        <v/>
      </c>
      <c r="B1934" s="290"/>
      <c r="C1934" s="357"/>
      <c r="D1934" s="291"/>
      <c r="E1934" s="291"/>
      <c r="F1934" s="292"/>
      <c r="G1934" s="291"/>
      <c r="H1934" s="291"/>
      <c r="I1934" s="293"/>
      <c r="J1934" s="291"/>
      <c r="K1934" s="291"/>
      <c r="L1934" s="293"/>
      <c r="M1934" s="291"/>
      <c r="N1934" s="289"/>
      <c r="O1934" s="358"/>
      <c r="P1934" s="402">
        <f t="shared" ref="P1934:Q1934" si="1930">IF(B1934=0,0,IF(YEAR(B1934)=$Q$1,MONTH(B1934)-$P$1+1,(YEAR(B1934)-$Q$1)*12-$P$1+1+MONTH(B1934)))</f>
        <v>0</v>
      </c>
      <c r="Q1934" s="280">
        <f t="shared" si="1930"/>
        <v>0</v>
      </c>
      <c r="R1934" s="356" t="str">
        <f t="shared" si="1"/>
        <v/>
      </c>
      <c r="S1934" s="269" t="str">
        <f>IF(D1934="","",IF(OR(D1934=Plano!$A$1,D1934=Plano!$B$1),"entrada","saída"))</f>
        <v/>
      </c>
      <c r="T1934" s="406"/>
      <c r="U1934" s="406"/>
      <c r="V1934" s="269"/>
    </row>
    <row r="1935" spans="1:22" ht="12.75" customHeight="1" x14ac:dyDescent="0.2">
      <c r="A1935" s="289" t="str">
        <f>IF(B1935="","",COUNT('Diário 5º PA'!$A$5:$A$2634)+ROW()-4)</f>
        <v/>
      </c>
      <c r="B1935" s="290"/>
      <c r="C1935" s="357"/>
      <c r="D1935" s="291"/>
      <c r="E1935" s="291"/>
      <c r="F1935" s="292"/>
      <c r="G1935" s="291"/>
      <c r="H1935" s="291"/>
      <c r="I1935" s="293"/>
      <c r="J1935" s="291"/>
      <c r="K1935" s="291"/>
      <c r="L1935" s="293"/>
      <c r="M1935" s="291"/>
      <c r="N1935" s="289"/>
      <c r="O1935" s="358"/>
      <c r="P1935" s="402">
        <f t="shared" ref="P1935:Q1935" si="1931">IF(B1935=0,0,IF(YEAR(B1935)=$Q$1,MONTH(B1935)-$P$1+1,(YEAR(B1935)-$Q$1)*12-$P$1+1+MONTH(B1935)))</f>
        <v>0</v>
      </c>
      <c r="Q1935" s="280">
        <f t="shared" si="1931"/>
        <v>0</v>
      </c>
      <c r="R1935" s="356" t="str">
        <f t="shared" si="1"/>
        <v/>
      </c>
      <c r="S1935" s="269" t="str">
        <f>IF(D1935="","",IF(OR(D1935=Plano!$A$1,D1935=Plano!$B$1),"entrada","saída"))</f>
        <v/>
      </c>
      <c r="T1935" s="406"/>
      <c r="U1935" s="406"/>
      <c r="V1935" s="269"/>
    </row>
    <row r="1936" spans="1:22" ht="12.75" customHeight="1" x14ac:dyDescent="0.2">
      <c r="A1936" s="289" t="str">
        <f>IF(B1936="","",COUNT('Diário 5º PA'!$A$5:$A$2634)+ROW()-4)</f>
        <v/>
      </c>
      <c r="B1936" s="290"/>
      <c r="C1936" s="357"/>
      <c r="D1936" s="291"/>
      <c r="E1936" s="291"/>
      <c r="F1936" s="292"/>
      <c r="G1936" s="291"/>
      <c r="H1936" s="291"/>
      <c r="I1936" s="293"/>
      <c r="J1936" s="291"/>
      <c r="K1936" s="291"/>
      <c r="L1936" s="293"/>
      <c r="M1936" s="291"/>
      <c r="N1936" s="289"/>
      <c r="O1936" s="358"/>
      <c r="P1936" s="402">
        <f t="shared" ref="P1936:Q1936" si="1932">IF(B1936=0,0,IF(YEAR(B1936)=$Q$1,MONTH(B1936)-$P$1+1,(YEAR(B1936)-$Q$1)*12-$P$1+1+MONTH(B1936)))</f>
        <v>0</v>
      </c>
      <c r="Q1936" s="280">
        <f t="shared" si="1932"/>
        <v>0</v>
      </c>
      <c r="R1936" s="356" t="str">
        <f t="shared" si="1"/>
        <v/>
      </c>
      <c r="S1936" s="269" t="str">
        <f>IF(D1936="","",IF(OR(D1936=Plano!$A$1,D1936=Plano!$B$1),"entrada","saída"))</f>
        <v/>
      </c>
      <c r="T1936" s="406"/>
      <c r="U1936" s="406"/>
      <c r="V1936" s="269"/>
    </row>
    <row r="1937" spans="1:22" ht="12.75" customHeight="1" x14ac:dyDescent="0.2">
      <c r="A1937" s="289" t="str">
        <f>IF(B1937="","",COUNT('Diário 5º PA'!$A$5:$A$2634)+ROW()-4)</f>
        <v/>
      </c>
      <c r="B1937" s="290"/>
      <c r="C1937" s="357"/>
      <c r="D1937" s="291"/>
      <c r="E1937" s="291"/>
      <c r="F1937" s="292"/>
      <c r="G1937" s="291"/>
      <c r="H1937" s="291"/>
      <c r="I1937" s="293"/>
      <c r="J1937" s="291"/>
      <c r="K1937" s="291"/>
      <c r="L1937" s="293"/>
      <c r="M1937" s="291"/>
      <c r="N1937" s="289"/>
      <c r="O1937" s="358"/>
      <c r="P1937" s="402">
        <f t="shared" ref="P1937:Q1937" si="1933">IF(B1937=0,0,IF(YEAR(B1937)=$Q$1,MONTH(B1937)-$P$1+1,(YEAR(B1937)-$Q$1)*12-$P$1+1+MONTH(B1937)))</f>
        <v>0</v>
      </c>
      <c r="Q1937" s="280">
        <f t="shared" si="1933"/>
        <v>0</v>
      </c>
      <c r="R1937" s="356" t="str">
        <f t="shared" si="1"/>
        <v/>
      </c>
      <c r="S1937" s="269" t="str">
        <f>IF(D1937="","",IF(OR(D1937=Plano!$A$1,D1937=Plano!$B$1),"entrada","saída"))</f>
        <v/>
      </c>
      <c r="T1937" s="406"/>
      <c r="U1937" s="406"/>
      <c r="V1937" s="269"/>
    </row>
    <row r="1938" spans="1:22" ht="12.75" customHeight="1" x14ac:dyDescent="0.2">
      <c r="A1938" s="289" t="str">
        <f>IF(B1938="","",COUNT('Diário 5º PA'!$A$5:$A$2634)+ROW()-4)</f>
        <v/>
      </c>
      <c r="B1938" s="290"/>
      <c r="C1938" s="357"/>
      <c r="D1938" s="291"/>
      <c r="E1938" s="291"/>
      <c r="F1938" s="292"/>
      <c r="G1938" s="291"/>
      <c r="H1938" s="291"/>
      <c r="I1938" s="293"/>
      <c r="J1938" s="291"/>
      <c r="K1938" s="291"/>
      <c r="L1938" s="293"/>
      <c r="M1938" s="291"/>
      <c r="N1938" s="289"/>
      <c r="O1938" s="358"/>
      <c r="P1938" s="402">
        <f t="shared" ref="P1938:Q1938" si="1934">IF(B1938=0,0,IF(YEAR(B1938)=$Q$1,MONTH(B1938)-$P$1+1,(YEAR(B1938)-$Q$1)*12-$P$1+1+MONTH(B1938)))</f>
        <v>0</v>
      </c>
      <c r="Q1938" s="280">
        <f t="shared" si="1934"/>
        <v>0</v>
      </c>
      <c r="R1938" s="356" t="str">
        <f t="shared" si="1"/>
        <v/>
      </c>
      <c r="S1938" s="269" t="str">
        <f>IF(D1938="","",IF(OR(D1938=Plano!$A$1,D1938=Plano!$B$1),"entrada","saída"))</f>
        <v/>
      </c>
      <c r="T1938" s="406"/>
      <c r="U1938" s="406"/>
      <c r="V1938" s="269"/>
    </row>
    <row r="1939" spans="1:22" ht="12.75" customHeight="1" x14ac:dyDescent="0.2">
      <c r="A1939" s="289" t="str">
        <f>IF(B1939="","",COUNT('Diário 5º PA'!$A$5:$A$2634)+ROW()-4)</f>
        <v/>
      </c>
      <c r="B1939" s="290"/>
      <c r="C1939" s="357"/>
      <c r="D1939" s="291"/>
      <c r="E1939" s="291"/>
      <c r="F1939" s="292"/>
      <c r="G1939" s="291"/>
      <c r="H1939" s="291"/>
      <c r="I1939" s="293"/>
      <c r="J1939" s="291"/>
      <c r="K1939" s="291"/>
      <c r="L1939" s="293"/>
      <c r="M1939" s="291"/>
      <c r="N1939" s="289"/>
      <c r="O1939" s="358"/>
      <c r="P1939" s="402">
        <f t="shared" ref="P1939:Q1939" si="1935">IF(B1939=0,0,IF(YEAR(B1939)=$Q$1,MONTH(B1939)-$P$1+1,(YEAR(B1939)-$Q$1)*12-$P$1+1+MONTH(B1939)))</f>
        <v>0</v>
      </c>
      <c r="Q1939" s="280">
        <f t="shared" si="1935"/>
        <v>0</v>
      </c>
      <c r="R1939" s="356" t="str">
        <f t="shared" si="1"/>
        <v/>
      </c>
      <c r="S1939" s="269" t="str">
        <f>IF(D1939="","",IF(OR(D1939=Plano!$A$1,D1939=Plano!$B$1),"entrada","saída"))</f>
        <v/>
      </c>
      <c r="T1939" s="406"/>
      <c r="U1939" s="406"/>
      <c r="V1939" s="269"/>
    </row>
    <row r="1940" spans="1:22" ht="12.75" customHeight="1" x14ac:dyDescent="0.2">
      <c r="A1940" s="289" t="str">
        <f>IF(B1940="","",COUNT('Diário 5º PA'!$A$5:$A$2634)+ROW()-4)</f>
        <v/>
      </c>
      <c r="B1940" s="290"/>
      <c r="C1940" s="357"/>
      <c r="D1940" s="291"/>
      <c r="E1940" s="291"/>
      <c r="F1940" s="292"/>
      <c r="G1940" s="291"/>
      <c r="H1940" s="291"/>
      <c r="I1940" s="293"/>
      <c r="J1940" s="291"/>
      <c r="K1940" s="291"/>
      <c r="L1940" s="293"/>
      <c r="M1940" s="291"/>
      <c r="N1940" s="289"/>
      <c r="O1940" s="358"/>
      <c r="P1940" s="402">
        <f t="shared" ref="P1940:Q1940" si="1936">IF(B1940=0,0,IF(YEAR(B1940)=$Q$1,MONTH(B1940)-$P$1+1,(YEAR(B1940)-$Q$1)*12-$P$1+1+MONTH(B1940)))</f>
        <v>0</v>
      </c>
      <c r="Q1940" s="280">
        <f t="shared" si="1936"/>
        <v>0</v>
      </c>
      <c r="R1940" s="356" t="str">
        <f t="shared" si="1"/>
        <v/>
      </c>
      <c r="S1940" s="269" t="str">
        <f>IF(D1940="","",IF(OR(D1940=Plano!$A$1,D1940=Plano!$B$1),"entrada","saída"))</f>
        <v/>
      </c>
      <c r="T1940" s="406"/>
      <c r="U1940" s="406"/>
      <c r="V1940" s="269"/>
    </row>
    <row r="1941" spans="1:22" ht="12.75" customHeight="1" x14ac:dyDescent="0.2">
      <c r="A1941" s="289" t="str">
        <f>IF(B1941="","",COUNT('Diário 5º PA'!$A$5:$A$2634)+ROW()-4)</f>
        <v/>
      </c>
      <c r="B1941" s="290"/>
      <c r="C1941" s="357"/>
      <c r="D1941" s="291"/>
      <c r="E1941" s="291"/>
      <c r="F1941" s="292"/>
      <c r="G1941" s="291"/>
      <c r="H1941" s="291"/>
      <c r="I1941" s="293"/>
      <c r="J1941" s="291"/>
      <c r="K1941" s="291"/>
      <c r="L1941" s="293"/>
      <c r="M1941" s="291"/>
      <c r="N1941" s="289"/>
      <c r="O1941" s="358"/>
      <c r="P1941" s="402">
        <f t="shared" ref="P1941:Q1941" si="1937">IF(B1941=0,0,IF(YEAR(B1941)=$Q$1,MONTH(B1941)-$P$1+1,(YEAR(B1941)-$Q$1)*12-$P$1+1+MONTH(B1941)))</f>
        <v>0</v>
      </c>
      <c r="Q1941" s="280">
        <f t="shared" si="1937"/>
        <v>0</v>
      </c>
      <c r="R1941" s="356" t="str">
        <f t="shared" si="1"/>
        <v/>
      </c>
      <c r="S1941" s="269" t="str">
        <f>IF(D1941="","",IF(OR(D1941=Plano!$A$1,D1941=Plano!$B$1),"entrada","saída"))</f>
        <v/>
      </c>
      <c r="T1941" s="406"/>
      <c r="U1941" s="406"/>
      <c r="V1941" s="269"/>
    </row>
    <row r="1942" spans="1:22" ht="12.75" customHeight="1" x14ac:dyDescent="0.2">
      <c r="A1942" s="289" t="str">
        <f>IF(B1942="","",COUNT('Diário 5º PA'!$A$5:$A$2634)+ROW()-4)</f>
        <v/>
      </c>
      <c r="B1942" s="290"/>
      <c r="C1942" s="357"/>
      <c r="D1942" s="291"/>
      <c r="E1942" s="291"/>
      <c r="F1942" s="292"/>
      <c r="G1942" s="291"/>
      <c r="H1942" s="291"/>
      <c r="I1942" s="293"/>
      <c r="J1942" s="291"/>
      <c r="K1942" s="291"/>
      <c r="L1942" s="293"/>
      <c r="M1942" s="291"/>
      <c r="N1942" s="289"/>
      <c r="O1942" s="358"/>
      <c r="P1942" s="402">
        <f t="shared" ref="P1942:Q1942" si="1938">IF(B1942=0,0,IF(YEAR(B1942)=$Q$1,MONTH(B1942)-$P$1+1,(YEAR(B1942)-$Q$1)*12-$P$1+1+MONTH(B1942)))</f>
        <v>0</v>
      </c>
      <c r="Q1942" s="280">
        <f t="shared" si="1938"/>
        <v>0</v>
      </c>
      <c r="R1942" s="356" t="str">
        <f t="shared" si="1"/>
        <v/>
      </c>
      <c r="S1942" s="269" t="str">
        <f>IF(D1942="","",IF(OR(D1942=Plano!$A$1,D1942=Plano!$B$1),"entrada","saída"))</f>
        <v/>
      </c>
      <c r="T1942" s="406"/>
      <c r="U1942" s="406"/>
      <c r="V1942" s="269"/>
    </row>
    <row r="1943" spans="1:22" ht="12.75" customHeight="1" x14ac:dyDescent="0.2">
      <c r="A1943" s="289" t="str">
        <f>IF(B1943="","",COUNT('Diário 5º PA'!$A$5:$A$2634)+ROW()-4)</f>
        <v/>
      </c>
      <c r="B1943" s="290"/>
      <c r="C1943" s="357"/>
      <c r="D1943" s="291"/>
      <c r="E1943" s="291"/>
      <c r="F1943" s="292"/>
      <c r="G1943" s="291"/>
      <c r="H1943" s="291"/>
      <c r="I1943" s="293"/>
      <c r="J1943" s="291"/>
      <c r="K1943" s="291"/>
      <c r="L1943" s="293"/>
      <c r="M1943" s="291"/>
      <c r="N1943" s="289"/>
      <c r="O1943" s="358"/>
      <c r="P1943" s="402">
        <f t="shared" ref="P1943:Q1943" si="1939">IF(B1943=0,0,IF(YEAR(B1943)=$Q$1,MONTH(B1943)-$P$1+1,(YEAR(B1943)-$Q$1)*12-$P$1+1+MONTH(B1943)))</f>
        <v>0</v>
      </c>
      <c r="Q1943" s="280">
        <f t="shared" si="1939"/>
        <v>0</v>
      </c>
      <c r="R1943" s="356" t="str">
        <f t="shared" si="1"/>
        <v/>
      </c>
      <c r="S1943" s="269" t="str">
        <f>IF(D1943="","",IF(OR(D1943=Plano!$A$1,D1943=Plano!$B$1),"entrada","saída"))</f>
        <v/>
      </c>
      <c r="T1943" s="406"/>
      <c r="U1943" s="406"/>
      <c r="V1943" s="269"/>
    </row>
    <row r="1944" spans="1:22" ht="12.75" customHeight="1" x14ac:dyDescent="0.2">
      <c r="A1944" s="289" t="str">
        <f>IF(B1944="","",COUNT('Diário 5º PA'!$A$5:$A$2634)+ROW()-4)</f>
        <v/>
      </c>
      <c r="B1944" s="290"/>
      <c r="C1944" s="357"/>
      <c r="D1944" s="291"/>
      <c r="E1944" s="291"/>
      <c r="F1944" s="292"/>
      <c r="G1944" s="291"/>
      <c r="H1944" s="291"/>
      <c r="I1944" s="293"/>
      <c r="J1944" s="291"/>
      <c r="K1944" s="291"/>
      <c r="L1944" s="293"/>
      <c r="M1944" s="291"/>
      <c r="N1944" s="289"/>
      <c r="O1944" s="358"/>
      <c r="P1944" s="402">
        <f t="shared" ref="P1944:Q1944" si="1940">IF(B1944=0,0,IF(YEAR(B1944)=$Q$1,MONTH(B1944)-$P$1+1,(YEAR(B1944)-$Q$1)*12-$P$1+1+MONTH(B1944)))</f>
        <v>0</v>
      </c>
      <c r="Q1944" s="280">
        <f t="shared" si="1940"/>
        <v>0</v>
      </c>
      <c r="R1944" s="356" t="str">
        <f t="shared" si="1"/>
        <v/>
      </c>
      <c r="S1944" s="269" t="str">
        <f>IF(D1944="","",IF(OR(D1944=Plano!$A$1,D1944=Plano!$B$1),"entrada","saída"))</f>
        <v/>
      </c>
      <c r="T1944" s="406"/>
      <c r="U1944" s="406"/>
      <c r="V1944" s="269"/>
    </row>
    <row r="1945" spans="1:22" ht="12.75" customHeight="1" x14ac:dyDescent="0.2">
      <c r="A1945" s="289" t="str">
        <f>IF(B1945="","",COUNT('Diário 5º PA'!$A$5:$A$2634)+ROW()-4)</f>
        <v/>
      </c>
      <c r="B1945" s="290"/>
      <c r="C1945" s="357"/>
      <c r="D1945" s="291"/>
      <c r="E1945" s="291"/>
      <c r="F1945" s="292"/>
      <c r="G1945" s="291"/>
      <c r="H1945" s="291"/>
      <c r="I1945" s="293"/>
      <c r="J1945" s="291"/>
      <c r="K1945" s="291"/>
      <c r="L1945" s="293"/>
      <c r="M1945" s="291"/>
      <c r="N1945" s="289"/>
      <c r="O1945" s="358"/>
      <c r="P1945" s="402">
        <f t="shared" ref="P1945:Q1945" si="1941">IF(B1945=0,0,IF(YEAR(B1945)=$Q$1,MONTH(B1945)-$P$1+1,(YEAR(B1945)-$Q$1)*12-$P$1+1+MONTH(B1945)))</f>
        <v>0</v>
      </c>
      <c r="Q1945" s="280">
        <f t="shared" si="1941"/>
        <v>0</v>
      </c>
      <c r="R1945" s="356" t="str">
        <f t="shared" si="1"/>
        <v/>
      </c>
      <c r="S1945" s="269" t="str">
        <f>IF(D1945="","",IF(OR(D1945=Plano!$A$1,D1945=Plano!$B$1),"entrada","saída"))</f>
        <v/>
      </c>
      <c r="T1945" s="406"/>
      <c r="U1945" s="406"/>
      <c r="V1945" s="269"/>
    </row>
    <row r="1946" spans="1:22" ht="12.75" customHeight="1" x14ac:dyDescent="0.2">
      <c r="A1946" s="289" t="str">
        <f>IF(B1946="","",COUNT('Diário 5º PA'!$A$5:$A$2634)+ROW()-4)</f>
        <v/>
      </c>
      <c r="B1946" s="290"/>
      <c r="C1946" s="357"/>
      <c r="D1946" s="291"/>
      <c r="E1946" s="291"/>
      <c r="F1946" s="292"/>
      <c r="G1946" s="291"/>
      <c r="H1946" s="291"/>
      <c r="I1946" s="293"/>
      <c r="J1946" s="291"/>
      <c r="K1946" s="291"/>
      <c r="L1946" s="293"/>
      <c r="M1946" s="291"/>
      <c r="N1946" s="289"/>
      <c r="O1946" s="358"/>
      <c r="P1946" s="402">
        <f t="shared" ref="P1946:Q1946" si="1942">IF(B1946=0,0,IF(YEAR(B1946)=$Q$1,MONTH(B1946)-$P$1+1,(YEAR(B1946)-$Q$1)*12-$P$1+1+MONTH(B1946)))</f>
        <v>0</v>
      </c>
      <c r="Q1946" s="280">
        <f t="shared" si="1942"/>
        <v>0</v>
      </c>
      <c r="R1946" s="356" t="str">
        <f t="shared" si="1"/>
        <v/>
      </c>
      <c r="S1946" s="269" t="str">
        <f>IF(D1946="","",IF(OR(D1946=Plano!$A$1,D1946=Plano!$B$1),"entrada","saída"))</f>
        <v/>
      </c>
      <c r="T1946" s="406"/>
      <c r="U1946" s="406"/>
      <c r="V1946" s="269"/>
    </row>
    <row r="1947" spans="1:22" ht="12.75" customHeight="1" x14ac:dyDescent="0.2">
      <c r="A1947" s="289" t="str">
        <f>IF(B1947="","",COUNT('Diário 5º PA'!$A$5:$A$2634)+ROW()-4)</f>
        <v/>
      </c>
      <c r="B1947" s="290"/>
      <c r="C1947" s="357"/>
      <c r="D1947" s="291"/>
      <c r="E1947" s="291"/>
      <c r="F1947" s="292"/>
      <c r="G1947" s="291"/>
      <c r="H1947" s="291"/>
      <c r="I1947" s="293"/>
      <c r="J1947" s="291"/>
      <c r="K1947" s="291"/>
      <c r="L1947" s="293"/>
      <c r="M1947" s="291"/>
      <c r="N1947" s="289"/>
      <c r="O1947" s="358"/>
      <c r="P1947" s="402">
        <f t="shared" ref="P1947:Q1947" si="1943">IF(B1947=0,0,IF(YEAR(B1947)=$Q$1,MONTH(B1947)-$P$1+1,(YEAR(B1947)-$Q$1)*12-$P$1+1+MONTH(B1947)))</f>
        <v>0</v>
      </c>
      <c r="Q1947" s="280">
        <f t="shared" si="1943"/>
        <v>0</v>
      </c>
      <c r="R1947" s="356" t="str">
        <f t="shared" si="1"/>
        <v/>
      </c>
      <c r="S1947" s="269" t="str">
        <f>IF(D1947="","",IF(OR(D1947=Plano!$A$1,D1947=Plano!$B$1),"entrada","saída"))</f>
        <v/>
      </c>
      <c r="T1947" s="406"/>
      <c r="U1947" s="406"/>
      <c r="V1947" s="269"/>
    </row>
    <row r="1948" spans="1:22" ht="12.75" customHeight="1" x14ac:dyDescent="0.2">
      <c r="A1948" s="289" t="str">
        <f>IF(B1948="","",COUNT('Diário 5º PA'!$A$5:$A$2634)+ROW()-4)</f>
        <v/>
      </c>
      <c r="B1948" s="290"/>
      <c r="C1948" s="357"/>
      <c r="D1948" s="291"/>
      <c r="E1948" s="291"/>
      <c r="F1948" s="292"/>
      <c r="G1948" s="291"/>
      <c r="H1948" s="291"/>
      <c r="I1948" s="293"/>
      <c r="J1948" s="291"/>
      <c r="K1948" s="291"/>
      <c r="L1948" s="293"/>
      <c r="M1948" s="291"/>
      <c r="N1948" s="289"/>
      <c r="O1948" s="358"/>
      <c r="P1948" s="402">
        <f t="shared" ref="P1948:Q1948" si="1944">IF(B1948=0,0,IF(YEAR(B1948)=$Q$1,MONTH(B1948)-$P$1+1,(YEAR(B1948)-$Q$1)*12-$P$1+1+MONTH(B1948)))</f>
        <v>0</v>
      </c>
      <c r="Q1948" s="280">
        <f t="shared" si="1944"/>
        <v>0</v>
      </c>
      <c r="R1948" s="356" t="str">
        <f t="shared" si="1"/>
        <v/>
      </c>
      <c r="S1948" s="269" t="str">
        <f>IF(D1948="","",IF(OR(D1948=Plano!$A$1,D1948=Plano!$B$1),"entrada","saída"))</f>
        <v/>
      </c>
      <c r="T1948" s="406"/>
      <c r="U1948" s="406"/>
      <c r="V1948" s="269"/>
    </row>
    <row r="1949" spans="1:22" ht="12.75" customHeight="1" x14ac:dyDescent="0.2">
      <c r="A1949" s="289" t="str">
        <f>IF(B1949="","",COUNT('Diário 5º PA'!$A$5:$A$2634)+ROW()-4)</f>
        <v/>
      </c>
      <c r="B1949" s="290"/>
      <c r="C1949" s="357"/>
      <c r="D1949" s="291"/>
      <c r="E1949" s="291"/>
      <c r="F1949" s="292"/>
      <c r="G1949" s="291"/>
      <c r="H1949" s="291"/>
      <c r="I1949" s="293"/>
      <c r="J1949" s="291"/>
      <c r="K1949" s="291"/>
      <c r="L1949" s="293"/>
      <c r="M1949" s="291"/>
      <c r="N1949" s="289"/>
      <c r="O1949" s="358"/>
      <c r="P1949" s="402">
        <f t="shared" ref="P1949:Q1949" si="1945">IF(B1949=0,0,IF(YEAR(B1949)=$Q$1,MONTH(B1949)-$P$1+1,(YEAR(B1949)-$Q$1)*12-$P$1+1+MONTH(B1949)))</f>
        <v>0</v>
      </c>
      <c r="Q1949" s="280">
        <f t="shared" si="1945"/>
        <v>0</v>
      </c>
      <c r="R1949" s="356" t="str">
        <f t="shared" si="1"/>
        <v/>
      </c>
      <c r="S1949" s="269" t="str">
        <f>IF(D1949="","",IF(OR(D1949=Plano!$A$1,D1949=Plano!$B$1),"entrada","saída"))</f>
        <v/>
      </c>
      <c r="T1949" s="406"/>
      <c r="U1949" s="406"/>
      <c r="V1949" s="269"/>
    </row>
    <row r="1950" spans="1:22" ht="12.75" customHeight="1" x14ac:dyDescent="0.2">
      <c r="A1950" s="289" t="str">
        <f>IF(B1950="","",COUNT('Diário 5º PA'!$A$5:$A$2634)+ROW()-4)</f>
        <v/>
      </c>
      <c r="B1950" s="290"/>
      <c r="C1950" s="357"/>
      <c r="D1950" s="291"/>
      <c r="E1950" s="291"/>
      <c r="F1950" s="292"/>
      <c r="G1950" s="291"/>
      <c r="H1950" s="291"/>
      <c r="I1950" s="293"/>
      <c r="J1950" s="291"/>
      <c r="K1950" s="291"/>
      <c r="L1950" s="293"/>
      <c r="M1950" s="291"/>
      <c r="N1950" s="289"/>
      <c r="O1950" s="358"/>
      <c r="P1950" s="402">
        <f t="shared" ref="P1950:Q1950" si="1946">IF(B1950=0,0,IF(YEAR(B1950)=$Q$1,MONTH(B1950)-$P$1+1,(YEAR(B1950)-$Q$1)*12-$P$1+1+MONTH(B1950)))</f>
        <v>0</v>
      </c>
      <c r="Q1950" s="280">
        <f t="shared" si="1946"/>
        <v>0</v>
      </c>
      <c r="R1950" s="356" t="str">
        <f t="shared" si="1"/>
        <v/>
      </c>
      <c r="S1950" s="269" t="str">
        <f>IF(D1950="","",IF(OR(D1950=Plano!$A$1,D1950=Plano!$B$1),"entrada","saída"))</f>
        <v/>
      </c>
      <c r="T1950" s="406"/>
      <c r="U1950" s="406"/>
      <c r="V1950" s="269"/>
    </row>
    <row r="1951" spans="1:22" ht="12.75" customHeight="1" x14ac:dyDescent="0.2">
      <c r="A1951" s="289" t="str">
        <f>IF(B1951="","",COUNT('Diário 5º PA'!$A$5:$A$2634)+ROW()-4)</f>
        <v/>
      </c>
      <c r="B1951" s="290"/>
      <c r="C1951" s="357"/>
      <c r="D1951" s="291"/>
      <c r="E1951" s="291"/>
      <c r="F1951" s="292"/>
      <c r="G1951" s="291"/>
      <c r="H1951" s="291"/>
      <c r="I1951" s="293"/>
      <c r="J1951" s="291"/>
      <c r="K1951" s="291"/>
      <c r="L1951" s="293"/>
      <c r="M1951" s="291"/>
      <c r="N1951" s="289"/>
      <c r="O1951" s="358"/>
      <c r="P1951" s="402">
        <f t="shared" ref="P1951:Q1951" si="1947">IF(B1951=0,0,IF(YEAR(B1951)=$Q$1,MONTH(B1951)-$P$1+1,(YEAR(B1951)-$Q$1)*12-$P$1+1+MONTH(B1951)))</f>
        <v>0</v>
      </c>
      <c r="Q1951" s="280">
        <f t="shared" si="1947"/>
        <v>0</v>
      </c>
      <c r="R1951" s="356" t="str">
        <f t="shared" si="1"/>
        <v/>
      </c>
      <c r="S1951" s="269" t="str">
        <f>IF(D1951="","",IF(OR(D1951=Plano!$A$1,D1951=Plano!$B$1),"entrada","saída"))</f>
        <v/>
      </c>
      <c r="T1951" s="406"/>
      <c r="U1951" s="406"/>
      <c r="V1951" s="269"/>
    </row>
    <row r="1952" spans="1:22" ht="12.75" customHeight="1" x14ac:dyDescent="0.2">
      <c r="A1952" s="289" t="str">
        <f>IF(B1952="","",COUNT('Diário 5º PA'!$A$5:$A$2634)+ROW()-4)</f>
        <v/>
      </c>
      <c r="B1952" s="290"/>
      <c r="C1952" s="357"/>
      <c r="D1952" s="291"/>
      <c r="E1952" s="291"/>
      <c r="F1952" s="292"/>
      <c r="G1952" s="291"/>
      <c r="H1952" s="291"/>
      <c r="I1952" s="293"/>
      <c r="J1952" s="291"/>
      <c r="K1952" s="291"/>
      <c r="L1952" s="293"/>
      <c r="M1952" s="291"/>
      <c r="N1952" s="289"/>
      <c r="O1952" s="358"/>
      <c r="P1952" s="402">
        <f t="shared" ref="P1952:Q1952" si="1948">IF(B1952=0,0,IF(YEAR(B1952)=$Q$1,MONTH(B1952)-$P$1+1,(YEAR(B1952)-$Q$1)*12-$P$1+1+MONTH(B1952)))</f>
        <v>0</v>
      </c>
      <c r="Q1952" s="280">
        <f t="shared" si="1948"/>
        <v>0</v>
      </c>
      <c r="R1952" s="356" t="str">
        <f t="shared" si="1"/>
        <v/>
      </c>
      <c r="S1952" s="269" t="str">
        <f>IF(D1952="","",IF(OR(D1952=Plano!$A$1,D1952=Plano!$B$1),"entrada","saída"))</f>
        <v/>
      </c>
      <c r="T1952" s="406"/>
      <c r="U1952" s="406"/>
      <c r="V1952" s="269"/>
    </row>
    <row r="1953" spans="1:22" ht="12.75" customHeight="1" x14ac:dyDescent="0.2">
      <c r="A1953" s="289" t="str">
        <f>IF(B1953="","",COUNT('Diário 5º PA'!$A$5:$A$2634)+ROW()-4)</f>
        <v/>
      </c>
      <c r="B1953" s="290"/>
      <c r="C1953" s="357"/>
      <c r="D1953" s="291"/>
      <c r="E1953" s="291"/>
      <c r="F1953" s="292"/>
      <c r="G1953" s="291"/>
      <c r="H1953" s="291"/>
      <c r="I1953" s="293"/>
      <c r="J1953" s="291"/>
      <c r="K1953" s="291"/>
      <c r="L1953" s="293"/>
      <c r="M1953" s="291"/>
      <c r="N1953" s="289"/>
      <c r="O1953" s="358"/>
      <c r="P1953" s="402">
        <f t="shared" ref="P1953:Q1953" si="1949">IF(B1953=0,0,IF(YEAR(B1953)=$Q$1,MONTH(B1953)-$P$1+1,(YEAR(B1953)-$Q$1)*12-$P$1+1+MONTH(B1953)))</f>
        <v>0</v>
      </c>
      <c r="Q1953" s="280">
        <f t="shared" si="1949"/>
        <v>0</v>
      </c>
      <c r="R1953" s="356" t="str">
        <f t="shared" si="1"/>
        <v/>
      </c>
      <c r="S1953" s="269" t="str">
        <f>IF(D1953="","",IF(OR(D1953=Plano!$A$1,D1953=Plano!$B$1),"entrada","saída"))</f>
        <v/>
      </c>
      <c r="T1953" s="406"/>
      <c r="U1953" s="406"/>
      <c r="V1953" s="269"/>
    </row>
    <row r="1954" spans="1:22" ht="12.75" customHeight="1" x14ac:dyDescent="0.2">
      <c r="A1954" s="289" t="str">
        <f>IF(B1954="","",COUNT('Diário 5º PA'!$A$5:$A$2634)+ROW()-4)</f>
        <v/>
      </c>
      <c r="B1954" s="290"/>
      <c r="C1954" s="357"/>
      <c r="D1954" s="291"/>
      <c r="E1954" s="291"/>
      <c r="F1954" s="292"/>
      <c r="G1954" s="291"/>
      <c r="H1954" s="291"/>
      <c r="I1954" s="293"/>
      <c r="J1954" s="291"/>
      <c r="K1954" s="291"/>
      <c r="L1954" s="293"/>
      <c r="M1954" s="291"/>
      <c r="N1954" s="289"/>
      <c r="O1954" s="358"/>
      <c r="P1954" s="402">
        <f t="shared" ref="P1954:Q1954" si="1950">IF(B1954=0,0,IF(YEAR(B1954)=$Q$1,MONTH(B1954)-$P$1+1,(YEAR(B1954)-$Q$1)*12-$P$1+1+MONTH(B1954)))</f>
        <v>0</v>
      </c>
      <c r="Q1954" s="280">
        <f t="shared" si="1950"/>
        <v>0</v>
      </c>
      <c r="R1954" s="356" t="str">
        <f t="shared" si="1"/>
        <v/>
      </c>
      <c r="S1954" s="269" t="str">
        <f>IF(D1954="","",IF(OR(D1954=Plano!$A$1,D1954=Plano!$B$1),"entrada","saída"))</f>
        <v/>
      </c>
      <c r="T1954" s="406"/>
      <c r="U1954" s="406"/>
      <c r="V1954" s="269"/>
    </row>
    <row r="1955" spans="1:22" ht="12.75" customHeight="1" x14ac:dyDescent="0.2">
      <c r="A1955" s="289" t="str">
        <f>IF(B1955="","",COUNT('Diário 5º PA'!$A$5:$A$2634)+ROW()-4)</f>
        <v/>
      </c>
      <c r="B1955" s="290"/>
      <c r="C1955" s="357"/>
      <c r="D1955" s="291"/>
      <c r="E1955" s="291"/>
      <c r="F1955" s="292"/>
      <c r="G1955" s="291"/>
      <c r="H1955" s="291"/>
      <c r="I1955" s="293"/>
      <c r="J1955" s="291"/>
      <c r="K1955" s="291"/>
      <c r="L1955" s="293"/>
      <c r="M1955" s="291"/>
      <c r="N1955" s="289"/>
      <c r="O1955" s="358"/>
      <c r="P1955" s="402">
        <f t="shared" ref="P1955:Q1955" si="1951">IF(B1955=0,0,IF(YEAR(B1955)=$Q$1,MONTH(B1955)-$P$1+1,(YEAR(B1955)-$Q$1)*12-$P$1+1+MONTH(B1955)))</f>
        <v>0</v>
      </c>
      <c r="Q1955" s="280">
        <f t="shared" si="1951"/>
        <v>0</v>
      </c>
      <c r="R1955" s="356" t="str">
        <f t="shared" si="1"/>
        <v/>
      </c>
      <c r="S1955" s="269" t="str">
        <f>IF(D1955="","",IF(OR(D1955=Plano!$A$1,D1955=Plano!$B$1),"entrada","saída"))</f>
        <v/>
      </c>
      <c r="T1955" s="406"/>
      <c r="U1955" s="406"/>
      <c r="V1955" s="269"/>
    </row>
    <row r="1956" spans="1:22" ht="12.75" customHeight="1" x14ac:dyDescent="0.2">
      <c r="A1956" s="289" t="str">
        <f>IF(B1956="","",COUNT('Diário 5º PA'!$A$5:$A$2634)+ROW()-4)</f>
        <v/>
      </c>
      <c r="B1956" s="290"/>
      <c r="C1956" s="357"/>
      <c r="D1956" s="291"/>
      <c r="E1956" s="291"/>
      <c r="F1956" s="292"/>
      <c r="G1956" s="291"/>
      <c r="H1956" s="291"/>
      <c r="I1956" s="293"/>
      <c r="J1956" s="291"/>
      <c r="K1956" s="291"/>
      <c r="L1956" s="293"/>
      <c r="M1956" s="291"/>
      <c r="N1956" s="289"/>
      <c r="O1956" s="358"/>
      <c r="P1956" s="402">
        <f t="shared" ref="P1956:Q1956" si="1952">IF(B1956=0,0,IF(YEAR(B1956)=$Q$1,MONTH(B1956)-$P$1+1,(YEAR(B1956)-$Q$1)*12-$P$1+1+MONTH(B1956)))</f>
        <v>0</v>
      </c>
      <c r="Q1956" s="280">
        <f t="shared" si="1952"/>
        <v>0</v>
      </c>
      <c r="R1956" s="356" t="str">
        <f t="shared" si="1"/>
        <v/>
      </c>
      <c r="S1956" s="269" t="str">
        <f>IF(D1956="","",IF(OR(D1956=Plano!$A$1,D1956=Plano!$B$1),"entrada","saída"))</f>
        <v/>
      </c>
      <c r="T1956" s="406"/>
      <c r="U1956" s="406"/>
      <c r="V1956" s="269"/>
    </row>
    <row r="1957" spans="1:22" ht="12.75" customHeight="1" x14ac:dyDescent="0.2">
      <c r="A1957" s="289" t="str">
        <f>IF(B1957="","",COUNT('Diário 5º PA'!$A$5:$A$2634)+ROW()-4)</f>
        <v/>
      </c>
      <c r="B1957" s="290"/>
      <c r="C1957" s="357"/>
      <c r="D1957" s="291"/>
      <c r="E1957" s="291"/>
      <c r="F1957" s="292"/>
      <c r="G1957" s="291"/>
      <c r="H1957" s="291"/>
      <c r="I1957" s="293"/>
      <c r="J1957" s="291"/>
      <c r="K1957" s="291"/>
      <c r="L1957" s="293"/>
      <c r="M1957" s="291"/>
      <c r="N1957" s="289"/>
      <c r="O1957" s="358"/>
      <c r="P1957" s="402">
        <f t="shared" ref="P1957:Q1957" si="1953">IF(B1957=0,0,IF(YEAR(B1957)=$Q$1,MONTH(B1957)-$P$1+1,(YEAR(B1957)-$Q$1)*12-$P$1+1+MONTH(B1957)))</f>
        <v>0</v>
      </c>
      <c r="Q1957" s="280">
        <f t="shared" si="1953"/>
        <v>0</v>
      </c>
      <c r="R1957" s="356" t="str">
        <f t="shared" si="1"/>
        <v/>
      </c>
      <c r="S1957" s="269" t="str">
        <f>IF(D1957="","",IF(OR(D1957=Plano!$A$1,D1957=Plano!$B$1),"entrada","saída"))</f>
        <v/>
      </c>
      <c r="T1957" s="406"/>
      <c r="U1957" s="406"/>
      <c r="V1957" s="269"/>
    </row>
    <row r="1958" spans="1:22" ht="12.75" customHeight="1" x14ac:dyDescent="0.2">
      <c r="A1958" s="289" t="str">
        <f>IF(B1958="","",COUNT('Diário 5º PA'!$A$5:$A$2634)+ROW()-4)</f>
        <v/>
      </c>
      <c r="B1958" s="290"/>
      <c r="C1958" s="357"/>
      <c r="D1958" s="291"/>
      <c r="E1958" s="291"/>
      <c r="F1958" s="292"/>
      <c r="G1958" s="291"/>
      <c r="H1958" s="291"/>
      <c r="I1958" s="293"/>
      <c r="J1958" s="291"/>
      <c r="K1958" s="291"/>
      <c r="L1958" s="293"/>
      <c r="M1958" s="291"/>
      <c r="N1958" s="289"/>
      <c r="O1958" s="358"/>
      <c r="P1958" s="402">
        <f t="shared" ref="P1958:Q1958" si="1954">IF(B1958=0,0,IF(YEAR(B1958)=$Q$1,MONTH(B1958)-$P$1+1,(YEAR(B1958)-$Q$1)*12-$P$1+1+MONTH(B1958)))</f>
        <v>0</v>
      </c>
      <c r="Q1958" s="280">
        <f t="shared" si="1954"/>
        <v>0</v>
      </c>
      <c r="R1958" s="356" t="str">
        <f t="shared" si="1"/>
        <v/>
      </c>
      <c r="S1958" s="269" t="str">
        <f>IF(D1958="","",IF(OR(D1958=Plano!$A$1,D1958=Plano!$B$1),"entrada","saída"))</f>
        <v/>
      </c>
      <c r="T1958" s="406"/>
      <c r="U1958" s="406"/>
      <c r="V1958" s="269"/>
    </row>
    <row r="1959" spans="1:22" ht="12.75" customHeight="1" x14ac:dyDescent="0.2">
      <c r="A1959" s="289" t="str">
        <f>IF(B1959="","",COUNT('Diário 5º PA'!$A$5:$A$2634)+ROW()-4)</f>
        <v/>
      </c>
      <c r="B1959" s="290"/>
      <c r="C1959" s="357"/>
      <c r="D1959" s="291"/>
      <c r="E1959" s="291"/>
      <c r="F1959" s="292"/>
      <c r="G1959" s="291"/>
      <c r="H1959" s="291"/>
      <c r="I1959" s="293"/>
      <c r="J1959" s="291"/>
      <c r="K1959" s="291"/>
      <c r="L1959" s="293"/>
      <c r="M1959" s="291"/>
      <c r="N1959" s="289"/>
      <c r="O1959" s="358"/>
      <c r="P1959" s="402">
        <f t="shared" ref="P1959:Q1959" si="1955">IF(B1959=0,0,IF(YEAR(B1959)=$Q$1,MONTH(B1959)-$P$1+1,(YEAR(B1959)-$Q$1)*12-$P$1+1+MONTH(B1959)))</f>
        <v>0</v>
      </c>
      <c r="Q1959" s="280">
        <f t="shared" si="1955"/>
        <v>0</v>
      </c>
      <c r="R1959" s="356" t="str">
        <f t="shared" si="1"/>
        <v/>
      </c>
      <c r="S1959" s="269" t="str">
        <f>IF(D1959="","",IF(OR(D1959=Plano!$A$1,D1959=Plano!$B$1),"entrada","saída"))</f>
        <v/>
      </c>
      <c r="T1959" s="406"/>
      <c r="U1959" s="406"/>
      <c r="V1959" s="269"/>
    </row>
    <row r="1960" spans="1:22" ht="12.75" customHeight="1" x14ac:dyDescent="0.2">
      <c r="A1960" s="289" t="str">
        <f>IF(B1960="","",COUNT('Diário 5º PA'!$A$5:$A$2634)+ROW()-4)</f>
        <v/>
      </c>
      <c r="B1960" s="290"/>
      <c r="C1960" s="357"/>
      <c r="D1960" s="291"/>
      <c r="E1960" s="291"/>
      <c r="F1960" s="292"/>
      <c r="G1960" s="291"/>
      <c r="H1960" s="291"/>
      <c r="I1960" s="293"/>
      <c r="J1960" s="291"/>
      <c r="K1960" s="291"/>
      <c r="L1960" s="293"/>
      <c r="M1960" s="291"/>
      <c r="N1960" s="289"/>
      <c r="O1960" s="358"/>
      <c r="P1960" s="402">
        <f t="shared" ref="P1960:Q1960" si="1956">IF(B1960=0,0,IF(YEAR(B1960)=$Q$1,MONTH(B1960)-$P$1+1,(YEAR(B1960)-$Q$1)*12-$P$1+1+MONTH(B1960)))</f>
        <v>0</v>
      </c>
      <c r="Q1960" s="280">
        <f t="shared" si="1956"/>
        <v>0</v>
      </c>
      <c r="R1960" s="356" t="str">
        <f t="shared" si="1"/>
        <v/>
      </c>
      <c r="S1960" s="269" t="str">
        <f>IF(D1960="","",IF(OR(D1960=Plano!$A$1,D1960=Plano!$B$1),"entrada","saída"))</f>
        <v/>
      </c>
      <c r="T1960" s="406"/>
      <c r="U1960" s="406"/>
      <c r="V1960" s="269"/>
    </row>
    <row r="1961" spans="1:22" ht="12.75" customHeight="1" x14ac:dyDescent="0.2">
      <c r="A1961" s="289" t="str">
        <f>IF(B1961="","",COUNT('Diário 5º PA'!$A$5:$A$2634)+ROW()-4)</f>
        <v/>
      </c>
      <c r="B1961" s="290"/>
      <c r="C1961" s="357"/>
      <c r="D1961" s="291"/>
      <c r="E1961" s="291"/>
      <c r="F1961" s="292"/>
      <c r="G1961" s="291"/>
      <c r="H1961" s="291"/>
      <c r="I1961" s="293"/>
      <c r="J1961" s="291"/>
      <c r="K1961" s="291"/>
      <c r="L1961" s="293"/>
      <c r="M1961" s="291"/>
      <c r="N1961" s="289"/>
      <c r="O1961" s="358"/>
      <c r="P1961" s="402">
        <f t="shared" ref="P1961:Q1961" si="1957">IF(B1961=0,0,IF(YEAR(B1961)=$Q$1,MONTH(B1961)-$P$1+1,(YEAR(B1961)-$Q$1)*12-$P$1+1+MONTH(B1961)))</f>
        <v>0</v>
      </c>
      <c r="Q1961" s="280">
        <f t="shared" si="1957"/>
        <v>0</v>
      </c>
      <c r="R1961" s="356" t="str">
        <f t="shared" si="1"/>
        <v/>
      </c>
      <c r="S1961" s="269" t="str">
        <f>IF(D1961="","",IF(OR(D1961=Plano!$A$1,D1961=Plano!$B$1),"entrada","saída"))</f>
        <v/>
      </c>
      <c r="T1961" s="406"/>
      <c r="U1961" s="406"/>
      <c r="V1961" s="269"/>
    </row>
    <row r="1962" spans="1:22" ht="12.75" customHeight="1" x14ac:dyDescent="0.2">
      <c r="A1962" s="289" t="str">
        <f>IF(B1962="","",COUNT('Diário 5º PA'!$A$5:$A$2634)+ROW()-4)</f>
        <v/>
      </c>
      <c r="B1962" s="290"/>
      <c r="C1962" s="357"/>
      <c r="D1962" s="291"/>
      <c r="E1962" s="291"/>
      <c r="F1962" s="292"/>
      <c r="G1962" s="291"/>
      <c r="H1962" s="291"/>
      <c r="I1962" s="293"/>
      <c r="J1962" s="291"/>
      <c r="K1962" s="291"/>
      <c r="L1962" s="293"/>
      <c r="M1962" s="291"/>
      <c r="N1962" s="289"/>
      <c r="O1962" s="358"/>
      <c r="P1962" s="402">
        <f t="shared" ref="P1962:Q1962" si="1958">IF(B1962=0,0,IF(YEAR(B1962)=$Q$1,MONTH(B1962)-$P$1+1,(YEAR(B1962)-$Q$1)*12-$P$1+1+MONTH(B1962)))</f>
        <v>0</v>
      </c>
      <c r="Q1962" s="280">
        <f t="shared" si="1958"/>
        <v>0</v>
      </c>
      <c r="R1962" s="356" t="str">
        <f t="shared" si="1"/>
        <v/>
      </c>
      <c r="S1962" s="269" t="str">
        <f>IF(D1962="","",IF(OR(D1962=Plano!$A$1,D1962=Plano!$B$1),"entrada","saída"))</f>
        <v/>
      </c>
      <c r="T1962" s="406"/>
      <c r="U1962" s="406"/>
      <c r="V1962" s="269"/>
    </row>
    <row r="1963" spans="1:22" ht="12.75" customHeight="1" x14ac:dyDescent="0.2">
      <c r="A1963" s="289" t="str">
        <f>IF(B1963="","",COUNT('Diário 5º PA'!$A$5:$A$2634)+ROW()-4)</f>
        <v/>
      </c>
      <c r="B1963" s="290"/>
      <c r="C1963" s="357"/>
      <c r="D1963" s="291"/>
      <c r="E1963" s="291"/>
      <c r="F1963" s="292"/>
      <c r="G1963" s="291"/>
      <c r="H1963" s="291"/>
      <c r="I1963" s="293"/>
      <c r="J1963" s="291"/>
      <c r="K1963" s="291"/>
      <c r="L1963" s="293"/>
      <c r="M1963" s="291"/>
      <c r="N1963" s="289"/>
      <c r="O1963" s="358"/>
      <c r="P1963" s="402">
        <f t="shared" ref="P1963:Q1963" si="1959">IF(B1963=0,0,IF(YEAR(B1963)=$Q$1,MONTH(B1963)-$P$1+1,(YEAR(B1963)-$Q$1)*12-$P$1+1+MONTH(B1963)))</f>
        <v>0</v>
      </c>
      <c r="Q1963" s="280">
        <f t="shared" si="1959"/>
        <v>0</v>
      </c>
      <c r="R1963" s="356" t="str">
        <f t="shared" si="1"/>
        <v/>
      </c>
      <c r="S1963" s="269" t="str">
        <f>IF(D1963="","",IF(OR(D1963=Plano!$A$1,D1963=Plano!$B$1),"entrada","saída"))</f>
        <v/>
      </c>
      <c r="T1963" s="406"/>
      <c r="U1963" s="406"/>
      <c r="V1963" s="269"/>
    </row>
    <row r="1964" spans="1:22" ht="12.75" customHeight="1" x14ac:dyDescent="0.2">
      <c r="A1964" s="289" t="str">
        <f>IF(B1964="","",COUNT('Diário 5º PA'!$A$5:$A$2634)+ROW()-4)</f>
        <v/>
      </c>
      <c r="B1964" s="290"/>
      <c r="C1964" s="357"/>
      <c r="D1964" s="291"/>
      <c r="E1964" s="291"/>
      <c r="F1964" s="292"/>
      <c r="G1964" s="291"/>
      <c r="H1964" s="291"/>
      <c r="I1964" s="293"/>
      <c r="J1964" s="291"/>
      <c r="K1964" s="291"/>
      <c r="L1964" s="293"/>
      <c r="M1964" s="291"/>
      <c r="N1964" s="289"/>
      <c r="O1964" s="358"/>
      <c r="P1964" s="402">
        <f t="shared" ref="P1964:Q1964" si="1960">IF(B1964=0,0,IF(YEAR(B1964)=$Q$1,MONTH(B1964)-$P$1+1,(YEAR(B1964)-$Q$1)*12-$P$1+1+MONTH(B1964)))</f>
        <v>0</v>
      </c>
      <c r="Q1964" s="280">
        <f t="shared" si="1960"/>
        <v>0</v>
      </c>
      <c r="R1964" s="356" t="str">
        <f t="shared" si="1"/>
        <v/>
      </c>
      <c r="S1964" s="269" t="str">
        <f>IF(D1964="","",IF(OR(D1964=Plano!$A$1,D1964=Plano!$B$1),"entrada","saída"))</f>
        <v/>
      </c>
      <c r="T1964" s="406"/>
      <c r="U1964" s="406"/>
      <c r="V1964" s="269"/>
    </row>
    <row r="1965" spans="1:22" ht="12.75" customHeight="1" x14ac:dyDescent="0.2">
      <c r="A1965" s="289" t="str">
        <f>IF(B1965="","",COUNT('Diário 5º PA'!$A$5:$A$2634)+ROW()-4)</f>
        <v/>
      </c>
      <c r="B1965" s="290"/>
      <c r="C1965" s="357"/>
      <c r="D1965" s="291"/>
      <c r="E1965" s="291"/>
      <c r="F1965" s="292"/>
      <c r="G1965" s="291"/>
      <c r="H1965" s="291"/>
      <c r="I1965" s="293"/>
      <c r="J1965" s="291"/>
      <c r="K1965" s="291"/>
      <c r="L1965" s="293"/>
      <c r="M1965" s="291"/>
      <c r="N1965" s="289"/>
      <c r="O1965" s="358"/>
      <c r="P1965" s="402">
        <f t="shared" ref="P1965:Q1965" si="1961">IF(B1965=0,0,IF(YEAR(B1965)=$Q$1,MONTH(B1965)-$P$1+1,(YEAR(B1965)-$Q$1)*12-$P$1+1+MONTH(B1965)))</f>
        <v>0</v>
      </c>
      <c r="Q1965" s="280">
        <f t="shared" si="1961"/>
        <v>0</v>
      </c>
      <c r="R1965" s="356" t="str">
        <f t="shared" si="1"/>
        <v/>
      </c>
      <c r="S1965" s="269" t="str">
        <f>IF(D1965="","",IF(OR(D1965=Plano!$A$1,D1965=Plano!$B$1),"entrada","saída"))</f>
        <v/>
      </c>
      <c r="T1965" s="406"/>
      <c r="U1965" s="406"/>
      <c r="V1965" s="269"/>
    </row>
    <row r="1966" spans="1:22" ht="12.75" customHeight="1" x14ac:dyDescent="0.2">
      <c r="A1966" s="289" t="str">
        <f>IF(B1966="","",COUNT('Diário 5º PA'!$A$5:$A$2634)+ROW()-4)</f>
        <v/>
      </c>
      <c r="B1966" s="290"/>
      <c r="C1966" s="357"/>
      <c r="D1966" s="291"/>
      <c r="E1966" s="291"/>
      <c r="F1966" s="292"/>
      <c r="G1966" s="291"/>
      <c r="H1966" s="291"/>
      <c r="I1966" s="293"/>
      <c r="J1966" s="291"/>
      <c r="K1966" s="291"/>
      <c r="L1966" s="293"/>
      <c r="M1966" s="291"/>
      <c r="N1966" s="289"/>
      <c r="O1966" s="358"/>
      <c r="P1966" s="402">
        <f t="shared" ref="P1966:Q1966" si="1962">IF(B1966=0,0,IF(YEAR(B1966)=$Q$1,MONTH(B1966)-$P$1+1,(YEAR(B1966)-$Q$1)*12-$P$1+1+MONTH(B1966)))</f>
        <v>0</v>
      </c>
      <c r="Q1966" s="280">
        <f t="shared" si="1962"/>
        <v>0</v>
      </c>
      <c r="R1966" s="356" t="str">
        <f t="shared" si="1"/>
        <v/>
      </c>
      <c r="S1966" s="269" t="str">
        <f>IF(D1966="","",IF(OR(D1966=Plano!$A$1,D1966=Plano!$B$1),"entrada","saída"))</f>
        <v/>
      </c>
      <c r="T1966" s="406"/>
      <c r="U1966" s="406"/>
      <c r="V1966" s="269"/>
    </row>
    <row r="1967" spans="1:22" ht="12.75" customHeight="1" x14ac:dyDescent="0.2">
      <c r="A1967" s="289" t="str">
        <f>IF(B1967="","",COUNT('Diário 5º PA'!$A$5:$A$2634)+ROW()-4)</f>
        <v/>
      </c>
      <c r="B1967" s="290"/>
      <c r="C1967" s="357"/>
      <c r="D1967" s="291"/>
      <c r="E1967" s="291"/>
      <c r="F1967" s="292"/>
      <c r="G1967" s="291"/>
      <c r="H1967" s="291"/>
      <c r="I1967" s="293"/>
      <c r="J1967" s="291"/>
      <c r="K1967" s="291"/>
      <c r="L1967" s="293"/>
      <c r="M1967" s="291"/>
      <c r="N1967" s="289"/>
      <c r="O1967" s="358"/>
      <c r="P1967" s="402">
        <f t="shared" ref="P1967:Q1967" si="1963">IF(B1967=0,0,IF(YEAR(B1967)=$Q$1,MONTH(B1967)-$P$1+1,(YEAR(B1967)-$Q$1)*12-$P$1+1+MONTH(B1967)))</f>
        <v>0</v>
      </c>
      <c r="Q1967" s="280">
        <f t="shared" si="1963"/>
        <v>0</v>
      </c>
      <c r="R1967" s="356" t="str">
        <f t="shared" si="1"/>
        <v/>
      </c>
      <c r="S1967" s="269" t="str">
        <f>IF(D1967="","",IF(OR(D1967=Plano!$A$1,D1967=Plano!$B$1),"entrada","saída"))</f>
        <v/>
      </c>
      <c r="T1967" s="406"/>
      <c r="U1967" s="406"/>
      <c r="V1967" s="269"/>
    </row>
    <row r="1968" spans="1:22" ht="12.75" customHeight="1" x14ac:dyDescent="0.2">
      <c r="A1968" s="289" t="str">
        <f>IF(B1968="","",COUNT('Diário 5º PA'!$A$5:$A$2634)+ROW()-4)</f>
        <v/>
      </c>
      <c r="B1968" s="290"/>
      <c r="C1968" s="357"/>
      <c r="D1968" s="291"/>
      <c r="E1968" s="291"/>
      <c r="F1968" s="292"/>
      <c r="G1968" s="291"/>
      <c r="H1968" s="291"/>
      <c r="I1968" s="293"/>
      <c r="J1968" s="291"/>
      <c r="K1968" s="291"/>
      <c r="L1968" s="293"/>
      <c r="M1968" s="291"/>
      <c r="N1968" s="289"/>
      <c r="O1968" s="358"/>
      <c r="P1968" s="402">
        <f t="shared" ref="P1968:Q1968" si="1964">IF(B1968=0,0,IF(YEAR(B1968)=$Q$1,MONTH(B1968)-$P$1+1,(YEAR(B1968)-$Q$1)*12-$P$1+1+MONTH(B1968)))</f>
        <v>0</v>
      </c>
      <c r="Q1968" s="280">
        <f t="shared" si="1964"/>
        <v>0</v>
      </c>
      <c r="R1968" s="356" t="str">
        <f t="shared" si="1"/>
        <v/>
      </c>
      <c r="S1968" s="269" t="str">
        <f>IF(D1968="","",IF(OR(D1968=Plano!$A$1,D1968=Plano!$B$1),"entrada","saída"))</f>
        <v/>
      </c>
      <c r="T1968" s="406"/>
      <c r="U1968" s="406"/>
      <c r="V1968" s="269"/>
    </row>
    <row r="1969" spans="1:22" ht="12.75" customHeight="1" x14ac:dyDescent="0.2">
      <c r="A1969" s="289" t="str">
        <f>IF(B1969="","",COUNT('Diário 5º PA'!$A$5:$A$2634)+ROW()-4)</f>
        <v/>
      </c>
      <c r="B1969" s="290"/>
      <c r="C1969" s="357"/>
      <c r="D1969" s="291"/>
      <c r="E1969" s="291"/>
      <c r="F1969" s="292"/>
      <c r="G1969" s="291"/>
      <c r="H1969" s="291"/>
      <c r="I1969" s="293"/>
      <c r="J1969" s="291"/>
      <c r="K1969" s="291"/>
      <c r="L1969" s="293"/>
      <c r="M1969" s="291"/>
      <c r="N1969" s="289"/>
      <c r="O1969" s="358"/>
      <c r="P1969" s="402">
        <f t="shared" ref="P1969:Q1969" si="1965">IF(B1969=0,0,IF(YEAR(B1969)=$Q$1,MONTH(B1969)-$P$1+1,(YEAR(B1969)-$Q$1)*12-$P$1+1+MONTH(B1969)))</f>
        <v>0</v>
      </c>
      <c r="Q1969" s="280">
        <f t="shared" si="1965"/>
        <v>0</v>
      </c>
      <c r="R1969" s="356" t="str">
        <f t="shared" si="1"/>
        <v/>
      </c>
      <c r="S1969" s="269" t="str">
        <f>IF(D1969="","",IF(OR(D1969=Plano!$A$1,D1969=Plano!$B$1),"entrada","saída"))</f>
        <v/>
      </c>
      <c r="T1969" s="406"/>
      <c r="U1969" s="406"/>
      <c r="V1969" s="269"/>
    </row>
    <row r="1970" spans="1:22" ht="12.75" customHeight="1" x14ac:dyDescent="0.2">
      <c r="A1970" s="289" t="str">
        <f>IF(B1970="","",COUNT('Diário 5º PA'!$A$5:$A$2634)+ROW()-4)</f>
        <v/>
      </c>
      <c r="B1970" s="290"/>
      <c r="C1970" s="357"/>
      <c r="D1970" s="291"/>
      <c r="E1970" s="291"/>
      <c r="F1970" s="292"/>
      <c r="G1970" s="291"/>
      <c r="H1970" s="291"/>
      <c r="I1970" s="293"/>
      <c r="J1970" s="291"/>
      <c r="K1970" s="291"/>
      <c r="L1970" s="293"/>
      <c r="M1970" s="291"/>
      <c r="N1970" s="289"/>
      <c r="O1970" s="358"/>
      <c r="P1970" s="402">
        <f t="shared" ref="P1970:Q1970" si="1966">IF(B1970=0,0,IF(YEAR(B1970)=$Q$1,MONTH(B1970)-$P$1+1,(YEAR(B1970)-$Q$1)*12-$P$1+1+MONTH(B1970)))</f>
        <v>0</v>
      </c>
      <c r="Q1970" s="280">
        <f t="shared" si="1966"/>
        <v>0</v>
      </c>
      <c r="R1970" s="356" t="str">
        <f t="shared" si="1"/>
        <v/>
      </c>
      <c r="S1970" s="269" t="str">
        <f>IF(D1970="","",IF(OR(D1970=Plano!$A$1,D1970=Plano!$B$1),"entrada","saída"))</f>
        <v/>
      </c>
      <c r="T1970" s="406"/>
      <c r="U1970" s="406"/>
      <c r="V1970" s="269"/>
    </row>
    <row r="1971" spans="1:22" ht="12.75" customHeight="1" x14ac:dyDescent="0.2">
      <c r="A1971" s="289" t="str">
        <f>IF(B1971="","",COUNT('Diário 5º PA'!$A$5:$A$2634)+ROW()-4)</f>
        <v/>
      </c>
      <c r="B1971" s="290"/>
      <c r="C1971" s="357"/>
      <c r="D1971" s="291"/>
      <c r="E1971" s="291"/>
      <c r="F1971" s="292"/>
      <c r="G1971" s="291"/>
      <c r="H1971" s="291"/>
      <c r="I1971" s="293"/>
      <c r="J1971" s="291"/>
      <c r="K1971" s="291"/>
      <c r="L1971" s="293"/>
      <c r="M1971" s="291"/>
      <c r="N1971" s="289"/>
      <c r="O1971" s="358"/>
      <c r="P1971" s="402">
        <f t="shared" ref="P1971:Q1971" si="1967">IF(B1971=0,0,IF(YEAR(B1971)=$Q$1,MONTH(B1971)-$P$1+1,(YEAR(B1971)-$Q$1)*12-$P$1+1+MONTH(B1971)))</f>
        <v>0</v>
      </c>
      <c r="Q1971" s="280">
        <f t="shared" si="1967"/>
        <v>0</v>
      </c>
      <c r="R1971" s="356" t="str">
        <f t="shared" si="1"/>
        <v/>
      </c>
      <c r="S1971" s="269" t="str">
        <f>IF(D1971="","",IF(OR(D1971=Plano!$A$1,D1971=Plano!$B$1),"entrada","saída"))</f>
        <v/>
      </c>
      <c r="T1971" s="406"/>
      <c r="U1971" s="406"/>
      <c r="V1971" s="269"/>
    </row>
    <row r="1972" spans="1:22" ht="12.75" customHeight="1" x14ac:dyDescent="0.2">
      <c r="A1972" s="289" t="str">
        <f>IF(B1972="","",COUNT('Diário 5º PA'!$A$5:$A$2634)+ROW()-4)</f>
        <v/>
      </c>
      <c r="B1972" s="290"/>
      <c r="C1972" s="357"/>
      <c r="D1972" s="291"/>
      <c r="E1972" s="291"/>
      <c r="F1972" s="292"/>
      <c r="G1972" s="291"/>
      <c r="H1972" s="291"/>
      <c r="I1972" s="293"/>
      <c r="J1972" s="291"/>
      <c r="K1972" s="291"/>
      <c r="L1972" s="293"/>
      <c r="M1972" s="291"/>
      <c r="N1972" s="289"/>
      <c r="O1972" s="358"/>
      <c r="P1972" s="402">
        <f t="shared" ref="P1972:Q1972" si="1968">IF(B1972=0,0,IF(YEAR(B1972)=$Q$1,MONTH(B1972)-$P$1+1,(YEAR(B1972)-$Q$1)*12-$P$1+1+MONTH(B1972)))</f>
        <v>0</v>
      </c>
      <c r="Q1972" s="280">
        <f t="shared" si="1968"/>
        <v>0</v>
      </c>
      <c r="R1972" s="356" t="str">
        <f t="shared" si="1"/>
        <v/>
      </c>
      <c r="S1972" s="269" t="str">
        <f>IF(D1972="","",IF(OR(D1972=Plano!$A$1,D1972=Plano!$B$1),"entrada","saída"))</f>
        <v/>
      </c>
      <c r="T1972" s="406"/>
      <c r="U1972" s="406"/>
      <c r="V1972" s="269"/>
    </row>
    <row r="1973" spans="1:22" ht="12.75" customHeight="1" x14ac:dyDescent="0.2">
      <c r="A1973" s="289" t="str">
        <f>IF(B1973="","",COUNT('Diário 5º PA'!$A$5:$A$2634)+ROW()-4)</f>
        <v/>
      </c>
      <c r="B1973" s="290"/>
      <c r="C1973" s="357"/>
      <c r="D1973" s="291"/>
      <c r="E1973" s="291"/>
      <c r="F1973" s="292"/>
      <c r="G1973" s="291"/>
      <c r="H1973" s="291"/>
      <c r="I1973" s="293"/>
      <c r="J1973" s="291"/>
      <c r="K1973" s="291"/>
      <c r="L1973" s="293"/>
      <c r="M1973" s="291"/>
      <c r="N1973" s="289"/>
      <c r="O1973" s="358"/>
      <c r="P1973" s="402">
        <f t="shared" ref="P1973:Q1973" si="1969">IF(B1973=0,0,IF(YEAR(B1973)=$Q$1,MONTH(B1973)-$P$1+1,(YEAR(B1973)-$Q$1)*12-$P$1+1+MONTH(B1973)))</f>
        <v>0</v>
      </c>
      <c r="Q1973" s="280">
        <f t="shared" si="1969"/>
        <v>0</v>
      </c>
      <c r="R1973" s="356" t="str">
        <f t="shared" si="1"/>
        <v/>
      </c>
      <c r="S1973" s="269" t="str">
        <f>IF(D1973="","",IF(OR(D1973=Plano!$A$1,D1973=Plano!$B$1),"entrada","saída"))</f>
        <v/>
      </c>
      <c r="T1973" s="406"/>
      <c r="U1973" s="406"/>
      <c r="V1973" s="269"/>
    </row>
    <row r="1974" spans="1:22" ht="12.75" customHeight="1" x14ac:dyDescent="0.2">
      <c r="A1974" s="289" t="str">
        <f>IF(B1974="","",COUNT('Diário 5º PA'!$A$5:$A$2634)+ROW()-4)</f>
        <v/>
      </c>
      <c r="B1974" s="290"/>
      <c r="C1974" s="357"/>
      <c r="D1974" s="291"/>
      <c r="E1974" s="291"/>
      <c r="F1974" s="292"/>
      <c r="G1974" s="291"/>
      <c r="H1974" s="291"/>
      <c r="I1974" s="293"/>
      <c r="J1974" s="291"/>
      <c r="K1974" s="291"/>
      <c r="L1974" s="293"/>
      <c r="M1974" s="291"/>
      <c r="N1974" s="289"/>
      <c r="O1974" s="358"/>
      <c r="P1974" s="402">
        <f t="shared" ref="P1974:Q1974" si="1970">IF(B1974=0,0,IF(YEAR(B1974)=$Q$1,MONTH(B1974)-$P$1+1,(YEAR(B1974)-$Q$1)*12-$P$1+1+MONTH(B1974)))</f>
        <v>0</v>
      </c>
      <c r="Q1974" s="280">
        <f t="shared" si="1970"/>
        <v>0</v>
      </c>
      <c r="R1974" s="356" t="str">
        <f t="shared" si="1"/>
        <v/>
      </c>
      <c r="S1974" s="269" t="str">
        <f>IF(D1974="","",IF(OR(D1974=Plano!$A$1,D1974=Plano!$B$1),"entrada","saída"))</f>
        <v/>
      </c>
      <c r="T1974" s="406"/>
      <c r="U1974" s="406"/>
      <c r="V1974" s="269"/>
    </row>
    <row r="1975" spans="1:22" ht="12.75" customHeight="1" x14ac:dyDescent="0.2">
      <c r="A1975" s="289" t="str">
        <f>IF(B1975="","",COUNT('Diário 5º PA'!$A$5:$A$2634)+ROW()-4)</f>
        <v/>
      </c>
      <c r="B1975" s="290"/>
      <c r="C1975" s="357"/>
      <c r="D1975" s="291"/>
      <c r="E1975" s="291"/>
      <c r="F1975" s="292"/>
      <c r="G1975" s="291"/>
      <c r="H1975" s="291"/>
      <c r="I1975" s="293"/>
      <c r="J1975" s="291"/>
      <c r="K1975" s="291"/>
      <c r="L1975" s="293"/>
      <c r="M1975" s="291"/>
      <c r="N1975" s="289"/>
      <c r="O1975" s="358"/>
      <c r="P1975" s="402">
        <f t="shared" ref="P1975:Q1975" si="1971">IF(B1975=0,0,IF(YEAR(B1975)=$Q$1,MONTH(B1975)-$P$1+1,(YEAR(B1975)-$Q$1)*12-$P$1+1+MONTH(B1975)))</f>
        <v>0</v>
      </c>
      <c r="Q1975" s="280">
        <f t="shared" si="1971"/>
        <v>0</v>
      </c>
      <c r="R1975" s="356" t="str">
        <f t="shared" si="1"/>
        <v/>
      </c>
      <c r="S1975" s="269" t="str">
        <f>IF(D1975="","",IF(OR(D1975=Plano!$A$1,D1975=Plano!$B$1),"entrada","saída"))</f>
        <v/>
      </c>
      <c r="T1975" s="406"/>
      <c r="U1975" s="406"/>
      <c r="V1975" s="269"/>
    </row>
    <row r="1976" spans="1:22" ht="12.75" customHeight="1" x14ac:dyDescent="0.2">
      <c r="A1976" s="289" t="str">
        <f>IF(B1976="","",COUNT('Diário 5º PA'!$A$5:$A$2634)+ROW()-4)</f>
        <v/>
      </c>
      <c r="B1976" s="290"/>
      <c r="C1976" s="357"/>
      <c r="D1976" s="291"/>
      <c r="E1976" s="291"/>
      <c r="F1976" s="292"/>
      <c r="G1976" s="291"/>
      <c r="H1976" s="291"/>
      <c r="I1976" s="293"/>
      <c r="J1976" s="291"/>
      <c r="K1976" s="291"/>
      <c r="L1976" s="293"/>
      <c r="M1976" s="291"/>
      <c r="N1976" s="289"/>
      <c r="O1976" s="358"/>
      <c r="P1976" s="402">
        <f t="shared" ref="P1976:Q1976" si="1972">IF(B1976=0,0,IF(YEAR(B1976)=$Q$1,MONTH(B1976)-$P$1+1,(YEAR(B1976)-$Q$1)*12-$P$1+1+MONTH(B1976)))</f>
        <v>0</v>
      </c>
      <c r="Q1976" s="280">
        <f t="shared" si="1972"/>
        <v>0</v>
      </c>
      <c r="R1976" s="356" t="str">
        <f t="shared" si="1"/>
        <v/>
      </c>
      <c r="S1976" s="269" t="str">
        <f>IF(D1976="","",IF(OR(D1976=Plano!$A$1,D1976=Plano!$B$1),"entrada","saída"))</f>
        <v/>
      </c>
      <c r="T1976" s="406"/>
      <c r="U1976" s="406"/>
      <c r="V1976" s="269"/>
    </row>
    <row r="1977" spans="1:22" ht="12.75" customHeight="1" x14ac:dyDescent="0.2">
      <c r="A1977" s="289" t="str">
        <f>IF(B1977="","",COUNT('Diário 5º PA'!$A$5:$A$2634)+ROW()-4)</f>
        <v/>
      </c>
      <c r="B1977" s="290"/>
      <c r="C1977" s="357"/>
      <c r="D1977" s="291"/>
      <c r="E1977" s="291"/>
      <c r="F1977" s="292"/>
      <c r="G1977" s="291"/>
      <c r="H1977" s="291"/>
      <c r="I1977" s="293"/>
      <c r="J1977" s="291"/>
      <c r="K1977" s="291"/>
      <c r="L1977" s="293"/>
      <c r="M1977" s="291"/>
      <c r="N1977" s="289"/>
      <c r="O1977" s="358"/>
      <c r="P1977" s="402">
        <f t="shared" ref="P1977:Q1977" si="1973">IF(B1977=0,0,IF(YEAR(B1977)=$Q$1,MONTH(B1977)-$P$1+1,(YEAR(B1977)-$Q$1)*12-$P$1+1+MONTH(B1977)))</f>
        <v>0</v>
      </c>
      <c r="Q1977" s="280">
        <f t="shared" si="1973"/>
        <v>0</v>
      </c>
      <c r="R1977" s="356" t="str">
        <f t="shared" si="1"/>
        <v/>
      </c>
      <c r="S1977" s="269" t="str">
        <f>IF(D1977="","",IF(OR(D1977=Plano!$A$1,D1977=Plano!$B$1),"entrada","saída"))</f>
        <v/>
      </c>
      <c r="T1977" s="406"/>
      <c r="U1977" s="406"/>
      <c r="V1977" s="269"/>
    </row>
    <row r="1978" spans="1:22" ht="12.75" customHeight="1" x14ac:dyDescent="0.2">
      <c r="A1978" s="289" t="str">
        <f>IF(B1978="","",COUNT('Diário 5º PA'!$A$5:$A$2634)+ROW()-4)</f>
        <v/>
      </c>
      <c r="B1978" s="290"/>
      <c r="C1978" s="357"/>
      <c r="D1978" s="291"/>
      <c r="E1978" s="291"/>
      <c r="F1978" s="292"/>
      <c r="G1978" s="291"/>
      <c r="H1978" s="291"/>
      <c r="I1978" s="293"/>
      <c r="J1978" s="291"/>
      <c r="K1978" s="291"/>
      <c r="L1978" s="293"/>
      <c r="M1978" s="291"/>
      <c r="N1978" s="289"/>
      <c r="O1978" s="358"/>
      <c r="P1978" s="402">
        <f t="shared" ref="P1978:Q1978" si="1974">IF(B1978=0,0,IF(YEAR(B1978)=$Q$1,MONTH(B1978)-$P$1+1,(YEAR(B1978)-$Q$1)*12-$P$1+1+MONTH(B1978)))</f>
        <v>0</v>
      </c>
      <c r="Q1978" s="280">
        <f t="shared" si="1974"/>
        <v>0</v>
      </c>
      <c r="R1978" s="356" t="str">
        <f t="shared" si="1"/>
        <v/>
      </c>
      <c r="S1978" s="269" t="str">
        <f>IF(D1978="","",IF(OR(D1978=Plano!$A$1,D1978=Plano!$B$1),"entrada","saída"))</f>
        <v/>
      </c>
      <c r="T1978" s="406"/>
      <c r="U1978" s="406"/>
      <c r="V1978" s="269"/>
    </row>
    <row r="1979" spans="1:22" ht="12.75" customHeight="1" x14ac:dyDescent="0.2">
      <c r="A1979" s="289" t="str">
        <f>IF(B1979="","",COUNT('Diário 5º PA'!$A$5:$A$2634)+ROW()-4)</f>
        <v/>
      </c>
      <c r="B1979" s="290"/>
      <c r="C1979" s="357"/>
      <c r="D1979" s="291"/>
      <c r="E1979" s="291"/>
      <c r="F1979" s="292"/>
      <c r="G1979" s="291"/>
      <c r="H1979" s="291"/>
      <c r="I1979" s="293"/>
      <c r="J1979" s="291"/>
      <c r="K1979" s="291"/>
      <c r="L1979" s="293"/>
      <c r="M1979" s="291"/>
      <c r="N1979" s="289"/>
      <c r="O1979" s="358"/>
      <c r="P1979" s="402">
        <f t="shared" ref="P1979:Q1979" si="1975">IF(B1979=0,0,IF(YEAR(B1979)=$Q$1,MONTH(B1979)-$P$1+1,(YEAR(B1979)-$Q$1)*12-$P$1+1+MONTH(B1979)))</f>
        <v>0</v>
      </c>
      <c r="Q1979" s="280">
        <f t="shared" si="1975"/>
        <v>0</v>
      </c>
      <c r="R1979" s="356" t="str">
        <f t="shared" si="1"/>
        <v/>
      </c>
      <c r="S1979" s="269" t="str">
        <f>IF(D1979="","",IF(OR(D1979=Plano!$A$1,D1979=Plano!$B$1),"entrada","saída"))</f>
        <v/>
      </c>
      <c r="T1979" s="406"/>
      <c r="U1979" s="406"/>
      <c r="V1979" s="269"/>
    </row>
    <row r="1980" spans="1:22" ht="12.75" customHeight="1" x14ac:dyDescent="0.2">
      <c r="A1980" s="289" t="str">
        <f>IF(B1980="","",COUNT('Diário 5º PA'!$A$5:$A$2634)+ROW()-4)</f>
        <v/>
      </c>
      <c r="B1980" s="290"/>
      <c r="C1980" s="357"/>
      <c r="D1980" s="291"/>
      <c r="E1980" s="291"/>
      <c r="F1980" s="292"/>
      <c r="G1980" s="291"/>
      <c r="H1980" s="291"/>
      <c r="I1980" s="293"/>
      <c r="J1980" s="291"/>
      <c r="K1980" s="291"/>
      <c r="L1980" s="293"/>
      <c r="M1980" s="291"/>
      <c r="N1980" s="289"/>
      <c r="O1980" s="358"/>
      <c r="P1980" s="402">
        <f t="shared" ref="P1980:Q1980" si="1976">IF(B1980=0,0,IF(YEAR(B1980)=$Q$1,MONTH(B1980)-$P$1+1,(YEAR(B1980)-$Q$1)*12-$P$1+1+MONTH(B1980)))</f>
        <v>0</v>
      </c>
      <c r="Q1980" s="280">
        <f t="shared" si="1976"/>
        <v>0</v>
      </c>
      <c r="R1980" s="356" t="str">
        <f t="shared" si="1"/>
        <v/>
      </c>
      <c r="S1980" s="269" t="str">
        <f>IF(D1980="","",IF(OR(D1980=Plano!$A$1,D1980=Plano!$B$1),"entrada","saída"))</f>
        <v/>
      </c>
      <c r="T1980" s="406"/>
      <c r="U1980" s="406"/>
      <c r="V1980" s="269"/>
    </row>
    <row r="1981" spans="1:22" ht="12.75" customHeight="1" x14ac:dyDescent="0.2">
      <c r="A1981" s="289" t="str">
        <f>IF(B1981="","",COUNT('Diário 5º PA'!$A$5:$A$2634)+ROW()-4)</f>
        <v/>
      </c>
      <c r="B1981" s="290"/>
      <c r="C1981" s="357"/>
      <c r="D1981" s="291"/>
      <c r="E1981" s="291"/>
      <c r="F1981" s="292"/>
      <c r="G1981" s="291"/>
      <c r="H1981" s="291"/>
      <c r="I1981" s="293"/>
      <c r="J1981" s="291"/>
      <c r="K1981" s="291"/>
      <c r="L1981" s="293"/>
      <c r="M1981" s="291"/>
      <c r="N1981" s="289"/>
      <c r="O1981" s="358"/>
      <c r="P1981" s="402">
        <f t="shared" ref="P1981:Q1981" si="1977">IF(B1981=0,0,IF(YEAR(B1981)=$Q$1,MONTH(B1981)-$P$1+1,(YEAR(B1981)-$Q$1)*12-$P$1+1+MONTH(B1981)))</f>
        <v>0</v>
      </c>
      <c r="Q1981" s="280">
        <f t="shared" si="1977"/>
        <v>0</v>
      </c>
      <c r="R1981" s="356" t="str">
        <f t="shared" si="1"/>
        <v/>
      </c>
      <c r="S1981" s="269" t="str">
        <f>IF(D1981="","",IF(OR(D1981=Plano!$A$1,D1981=Plano!$B$1),"entrada","saída"))</f>
        <v/>
      </c>
      <c r="T1981" s="406"/>
      <c r="U1981" s="406"/>
      <c r="V1981" s="269"/>
    </row>
    <row r="1982" spans="1:22" ht="12.75" customHeight="1" x14ac:dyDescent="0.2">
      <c r="A1982" s="289" t="str">
        <f>IF(B1982="","",COUNT('Diário 5º PA'!$A$5:$A$2634)+ROW()-4)</f>
        <v/>
      </c>
      <c r="B1982" s="290"/>
      <c r="C1982" s="357"/>
      <c r="D1982" s="291"/>
      <c r="E1982" s="291"/>
      <c r="F1982" s="292"/>
      <c r="G1982" s="291"/>
      <c r="H1982" s="291"/>
      <c r="I1982" s="293"/>
      <c r="J1982" s="291"/>
      <c r="K1982" s="291"/>
      <c r="L1982" s="293"/>
      <c r="M1982" s="291"/>
      <c r="N1982" s="289"/>
      <c r="O1982" s="358"/>
      <c r="P1982" s="402">
        <f t="shared" ref="P1982:Q1982" si="1978">IF(B1982=0,0,IF(YEAR(B1982)=$Q$1,MONTH(B1982)-$P$1+1,(YEAR(B1982)-$Q$1)*12-$P$1+1+MONTH(B1982)))</f>
        <v>0</v>
      </c>
      <c r="Q1982" s="280">
        <f t="shared" si="1978"/>
        <v>0</v>
      </c>
      <c r="R1982" s="356" t="str">
        <f t="shared" si="1"/>
        <v/>
      </c>
      <c r="S1982" s="269" t="str">
        <f>IF(D1982="","",IF(OR(D1982=Plano!$A$1,D1982=Plano!$B$1),"entrada","saída"))</f>
        <v/>
      </c>
      <c r="T1982" s="406"/>
      <c r="U1982" s="406"/>
      <c r="V1982" s="269"/>
    </row>
    <row r="1983" spans="1:22" ht="12.75" customHeight="1" x14ac:dyDescent="0.2">
      <c r="A1983" s="289" t="str">
        <f>IF(B1983="","",COUNT('Diário 5º PA'!$A$5:$A$2634)+ROW()-4)</f>
        <v/>
      </c>
      <c r="B1983" s="290"/>
      <c r="C1983" s="357"/>
      <c r="D1983" s="291"/>
      <c r="E1983" s="291"/>
      <c r="F1983" s="292"/>
      <c r="G1983" s="291"/>
      <c r="H1983" s="291"/>
      <c r="I1983" s="293"/>
      <c r="J1983" s="291"/>
      <c r="K1983" s="291"/>
      <c r="L1983" s="293"/>
      <c r="M1983" s="291"/>
      <c r="N1983" s="289"/>
      <c r="O1983" s="358"/>
      <c r="P1983" s="402">
        <f t="shared" ref="P1983:Q1983" si="1979">IF(B1983=0,0,IF(YEAR(B1983)=$Q$1,MONTH(B1983)-$P$1+1,(YEAR(B1983)-$Q$1)*12-$P$1+1+MONTH(B1983)))</f>
        <v>0</v>
      </c>
      <c r="Q1983" s="280">
        <f t="shared" si="1979"/>
        <v>0</v>
      </c>
      <c r="R1983" s="356" t="str">
        <f t="shared" si="1"/>
        <v/>
      </c>
      <c r="S1983" s="269" t="str">
        <f>IF(D1983="","",IF(OR(D1983=Plano!$A$1,D1983=Plano!$B$1),"entrada","saída"))</f>
        <v/>
      </c>
      <c r="T1983" s="406"/>
      <c r="U1983" s="406"/>
      <c r="V1983" s="269"/>
    </row>
    <row r="1984" spans="1:22" ht="12.75" customHeight="1" x14ac:dyDescent="0.2">
      <c r="A1984" s="289" t="str">
        <f>IF(B1984="","",COUNT('Diário 5º PA'!$A$5:$A$2634)+ROW()-4)</f>
        <v/>
      </c>
      <c r="B1984" s="290"/>
      <c r="C1984" s="357"/>
      <c r="D1984" s="291"/>
      <c r="E1984" s="291"/>
      <c r="F1984" s="292"/>
      <c r="G1984" s="291"/>
      <c r="H1984" s="291"/>
      <c r="I1984" s="293"/>
      <c r="J1984" s="291"/>
      <c r="K1984" s="291"/>
      <c r="L1984" s="293"/>
      <c r="M1984" s="291"/>
      <c r="N1984" s="289"/>
      <c r="O1984" s="358"/>
      <c r="P1984" s="402">
        <f t="shared" ref="P1984:Q1984" si="1980">IF(B1984=0,0,IF(YEAR(B1984)=$Q$1,MONTH(B1984)-$P$1+1,(YEAR(B1984)-$Q$1)*12-$P$1+1+MONTH(B1984)))</f>
        <v>0</v>
      </c>
      <c r="Q1984" s="280">
        <f t="shared" si="1980"/>
        <v>0</v>
      </c>
      <c r="R1984" s="356" t="str">
        <f t="shared" si="1"/>
        <v/>
      </c>
      <c r="S1984" s="269" t="str">
        <f>IF(D1984="","",IF(OR(D1984=Plano!$A$1,D1984=Plano!$B$1),"entrada","saída"))</f>
        <v/>
      </c>
      <c r="T1984" s="406"/>
      <c r="U1984" s="406"/>
      <c r="V1984" s="269"/>
    </row>
    <row r="1985" spans="1:22" ht="12.75" customHeight="1" x14ac:dyDescent="0.2">
      <c r="A1985" s="289" t="str">
        <f>IF(B1985="","",COUNT('Diário 5º PA'!$A$5:$A$2634)+ROW()-4)</f>
        <v/>
      </c>
      <c r="B1985" s="290"/>
      <c r="C1985" s="357"/>
      <c r="D1985" s="291"/>
      <c r="E1985" s="291"/>
      <c r="F1985" s="292"/>
      <c r="G1985" s="291"/>
      <c r="H1985" s="291"/>
      <c r="I1985" s="293"/>
      <c r="J1985" s="291"/>
      <c r="K1985" s="291"/>
      <c r="L1985" s="293"/>
      <c r="M1985" s="291"/>
      <c r="N1985" s="289"/>
      <c r="O1985" s="358"/>
      <c r="P1985" s="402">
        <f t="shared" ref="P1985:Q1985" si="1981">IF(B1985=0,0,IF(YEAR(B1985)=$Q$1,MONTH(B1985)-$P$1+1,(YEAR(B1985)-$Q$1)*12-$P$1+1+MONTH(B1985)))</f>
        <v>0</v>
      </c>
      <c r="Q1985" s="280">
        <f t="shared" si="1981"/>
        <v>0</v>
      </c>
      <c r="R1985" s="356" t="str">
        <f t="shared" si="1"/>
        <v/>
      </c>
      <c r="S1985" s="269" t="str">
        <f>IF(D1985="","",IF(OR(D1985=Plano!$A$1,D1985=Plano!$B$1),"entrada","saída"))</f>
        <v/>
      </c>
      <c r="T1985" s="406"/>
      <c r="U1985" s="406"/>
      <c r="V1985" s="269"/>
    </row>
    <row r="1986" spans="1:22" ht="12.75" customHeight="1" x14ac:dyDescent="0.2">
      <c r="A1986" s="289" t="str">
        <f>IF(B1986="","",COUNT('Diário 5º PA'!$A$5:$A$2634)+ROW()-4)</f>
        <v/>
      </c>
      <c r="B1986" s="290"/>
      <c r="C1986" s="357"/>
      <c r="D1986" s="291"/>
      <c r="E1986" s="291"/>
      <c r="F1986" s="292"/>
      <c r="G1986" s="291"/>
      <c r="H1986" s="291"/>
      <c r="I1986" s="293"/>
      <c r="J1986" s="291"/>
      <c r="K1986" s="291"/>
      <c r="L1986" s="293"/>
      <c r="M1986" s="291"/>
      <c r="N1986" s="289"/>
      <c r="O1986" s="358"/>
      <c r="P1986" s="402">
        <f t="shared" ref="P1986:Q1986" si="1982">IF(B1986=0,0,IF(YEAR(B1986)=$Q$1,MONTH(B1986)-$P$1+1,(YEAR(B1986)-$Q$1)*12-$P$1+1+MONTH(B1986)))</f>
        <v>0</v>
      </c>
      <c r="Q1986" s="280">
        <f t="shared" si="1982"/>
        <v>0</v>
      </c>
      <c r="R1986" s="356" t="str">
        <f t="shared" si="1"/>
        <v/>
      </c>
      <c r="S1986" s="269" t="str">
        <f>IF(D1986="","",IF(OR(D1986=Plano!$A$1,D1986=Plano!$B$1),"entrada","saída"))</f>
        <v/>
      </c>
      <c r="T1986" s="406"/>
      <c r="U1986" s="406"/>
      <c r="V1986" s="269"/>
    </row>
    <row r="1987" spans="1:22" ht="12.75" customHeight="1" x14ac:dyDescent="0.2">
      <c r="A1987" s="289" t="str">
        <f>IF(B1987="","",COUNT('Diário 5º PA'!$A$5:$A$2634)+ROW()-4)</f>
        <v/>
      </c>
      <c r="B1987" s="290"/>
      <c r="C1987" s="357"/>
      <c r="D1987" s="291"/>
      <c r="E1987" s="291"/>
      <c r="F1987" s="292"/>
      <c r="G1987" s="291"/>
      <c r="H1987" s="291"/>
      <c r="I1987" s="293"/>
      <c r="J1987" s="291"/>
      <c r="K1987" s="291"/>
      <c r="L1987" s="293"/>
      <c r="M1987" s="291"/>
      <c r="N1987" s="289"/>
      <c r="O1987" s="358"/>
      <c r="P1987" s="402">
        <f t="shared" ref="P1987:Q1987" si="1983">IF(B1987=0,0,IF(YEAR(B1987)=$Q$1,MONTH(B1987)-$P$1+1,(YEAR(B1987)-$Q$1)*12-$P$1+1+MONTH(B1987)))</f>
        <v>0</v>
      </c>
      <c r="Q1987" s="280">
        <f t="shared" si="1983"/>
        <v>0</v>
      </c>
      <c r="R1987" s="356" t="str">
        <f t="shared" si="1"/>
        <v/>
      </c>
      <c r="S1987" s="269" t="str">
        <f>IF(D1987="","",IF(OR(D1987=Plano!$A$1,D1987=Plano!$B$1),"entrada","saída"))</f>
        <v/>
      </c>
      <c r="T1987" s="406"/>
      <c r="U1987" s="406"/>
      <c r="V1987" s="269"/>
    </row>
    <row r="1988" spans="1:22" ht="12.75" customHeight="1" x14ac:dyDescent="0.2">
      <c r="A1988" s="289" t="str">
        <f>IF(B1988="","",COUNT('Diário 5º PA'!$A$5:$A$2634)+ROW()-4)</f>
        <v/>
      </c>
      <c r="B1988" s="290"/>
      <c r="C1988" s="357"/>
      <c r="D1988" s="291"/>
      <c r="E1988" s="291"/>
      <c r="F1988" s="292"/>
      <c r="G1988" s="291"/>
      <c r="H1988" s="291"/>
      <c r="I1988" s="293"/>
      <c r="J1988" s="291"/>
      <c r="K1988" s="291"/>
      <c r="L1988" s="293"/>
      <c r="M1988" s="291"/>
      <c r="N1988" s="289"/>
      <c r="O1988" s="358"/>
      <c r="P1988" s="402">
        <f t="shared" ref="P1988:Q1988" si="1984">IF(B1988=0,0,IF(YEAR(B1988)=$Q$1,MONTH(B1988)-$P$1+1,(YEAR(B1988)-$Q$1)*12-$P$1+1+MONTH(B1988)))</f>
        <v>0</v>
      </c>
      <c r="Q1988" s="280">
        <f t="shared" si="1984"/>
        <v>0</v>
      </c>
      <c r="R1988" s="356" t="str">
        <f t="shared" si="1"/>
        <v/>
      </c>
      <c r="S1988" s="269" t="str">
        <f>IF(D1988="","",IF(OR(D1988=Plano!$A$1,D1988=Plano!$B$1),"entrada","saída"))</f>
        <v/>
      </c>
      <c r="T1988" s="406"/>
      <c r="U1988" s="406"/>
      <c r="V1988" s="269"/>
    </row>
    <row r="1989" spans="1:22" ht="12.75" customHeight="1" x14ac:dyDescent="0.2">
      <c r="A1989" s="289" t="str">
        <f>IF(B1989="","",COUNT('Diário 5º PA'!$A$5:$A$2634)+ROW()-4)</f>
        <v/>
      </c>
      <c r="B1989" s="290"/>
      <c r="C1989" s="357"/>
      <c r="D1989" s="291"/>
      <c r="E1989" s="291"/>
      <c r="F1989" s="292"/>
      <c r="G1989" s="291"/>
      <c r="H1989" s="291"/>
      <c r="I1989" s="293"/>
      <c r="J1989" s="291"/>
      <c r="K1989" s="291"/>
      <c r="L1989" s="293"/>
      <c r="M1989" s="291"/>
      <c r="N1989" s="289"/>
      <c r="O1989" s="358"/>
      <c r="P1989" s="402">
        <f t="shared" ref="P1989:Q1989" si="1985">IF(B1989=0,0,IF(YEAR(B1989)=$Q$1,MONTH(B1989)-$P$1+1,(YEAR(B1989)-$Q$1)*12-$P$1+1+MONTH(B1989)))</f>
        <v>0</v>
      </c>
      <c r="Q1989" s="280">
        <f t="shared" si="1985"/>
        <v>0</v>
      </c>
      <c r="R1989" s="356" t="str">
        <f t="shared" si="1"/>
        <v/>
      </c>
      <c r="S1989" s="269" t="str">
        <f>IF(D1989="","",IF(OR(D1989=Plano!$A$1,D1989=Plano!$B$1),"entrada","saída"))</f>
        <v/>
      </c>
      <c r="T1989" s="406"/>
      <c r="U1989" s="406"/>
      <c r="V1989" s="269"/>
    </row>
    <row r="1990" spans="1:22" ht="12.75" customHeight="1" x14ac:dyDescent="0.2">
      <c r="A1990" s="289" t="str">
        <f>IF(B1990="","",COUNT('Diário 5º PA'!$A$5:$A$2634)+ROW()-4)</f>
        <v/>
      </c>
      <c r="B1990" s="290"/>
      <c r="C1990" s="357"/>
      <c r="D1990" s="291"/>
      <c r="E1990" s="291"/>
      <c r="F1990" s="292"/>
      <c r="G1990" s="291"/>
      <c r="H1990" s="291"/>
      <c r="I1990" s="293"/>
      <c r="J1990" s="291"/>
      <c r="K1990" s="291"/>
      <c r="L1990" s="293"/>
      <c r="M1990" s="291"/>
      <c r="N1990" s="289"/>
      <c r="O1990" s="358"/>
      <c r="P1990" s="402">
        <f t="shared" ref="P1990:Q1990" si="1986">IF(B1990=0,0,IF(YEAR(B1990)=$Q$1,MONTH(B1990)-$P$1+1,(YEAR(B1990)-$Q$1)*12-$P$1+1+MONTH(B1990)))</f>
        <v>0</v>
      </c>
      <c r="Q1990" s="280">
        <f t="shared" si="1986"/>
        <v>0</v>
      </c>
      <c r="R1990" s="356" t="str">
        <f t="shared" si="1"/>
        <v/>
      </c>
      <c r="S1990" s="269" t="str">
        <f>IF(D1990="","",IF(OR(D1990=Plano!$A$1,D1990=Plano!$B$1),"entrada","saída"))</f>
        <v/>
      </c>
      <c r="T1990" s="406"/>
      <c r="U1990" s="406"/>
      <c r="V1990" s="269"/>
    </row>
    <row r="1991" spans="1:22" ht="12.75" customHeight="1" x14ac:dyDescent="0.2">
      <c r="A1991" s="289" t="str">
        <f>IF(B1991="","",COUNT('Diário 5º PA'!$A$5:$A$2634)+ROW()-4)</f>
        <v/>
      </c>
      <c r="B1991" s="290"/>
      <c r="C1991" s="357"/>
      <c r="D1991" s="291"/>
      <c r="E1991" s="291"/>
      <c r="F1991" s="292"/>
      <c r="G1991" s="291"/>
      <c r="H1991" s="291"/>
      <c r="I1991" s="293"/>
      <c r="J1991" s="291"/>
      <c r="K1991" s="291"/>
      <c r="L1991" s="293"/>
      <c r="M1991" s="291"/>
      <c r="N1991" s="289"/>
      <c r="O1991" s="358"/>
      <c r="P1991" s="402">
        <f t="shared" ref="P1991:Q1991" si="1987">IF(B1991=0,0,IF(YEAR(B1991)=$Q$1,MONTH(B1991)-$P$1+1,(YEAR(B1991)-$Q$1)*12-$P$1+1+MONTH(B1991)))</f>
        <v>0</v>
      </c>
      <c r="Q1991" s="280">
        <f t="shared" si="1987"/>
        <v>0</v>
      </c>
      <c r="R1991" s="356" t="str">
        <f t="shared" si="1"/>
        <v/>
      </c>
      <c r="S1991" s="269" t="str">
        <f>IF(D1991="","",IF(OR(D1991=Plano!$A$1,D1991=Plano!$B$1),"entrada","saída"))</f>
        <v/>
      </c>
      <c r="T1991" s="406"/>
      <c r="U1991" s="406"/>
      <c r="V1991" s="269"/>
    </row>
    <row r="1992" spans="1:22" ht="12.75" customHeight="1" x14ac:dyDescent="0.2">
      <c r="A1992" s="289" t="str">
        <f>IF(B1992="","",COUNT('Diário 5º PA'!$A$5:$A$2634)+ROW()-4)</f>
        <v/>
      </c>
      <c r="B1992" s="290"/>
      <c r="C1992" s="357"/>
      <c r="D1992" s="291"/>
      <c r="E1992" s="291"/>
      <c r="F1992" s="292"/>
      <c r="G1992" s="291"/>
      <c r="H1992" s="291"/>
      <c r="I1992" s="293"/>
      <c r="J1992" s="291"/>
      <c r="K1992" s="291"/>
      <c r="L1992" s="293"/>
      <c r="M1992" s="291"/>
      <c r="N1992" s="289"/>
      <c r="O1992" s="358"/>
      <c r="P1992" s="402">
        <f t="shared" ref="P1992:Q1992" si="1988">IF(B1992=0,0,IF(YEAR(B1992)=$Q$1,MONTH(B1992)-$P$1+1,(YEAR(B1992)-$Q$1)*12-$P$1+1+MONTH(B1992)))</f>
        <v>0</v>
      </c>
      <c r="Q1992" s="280">
        <f t="shared" si="1988"/>
        <v>0</v>
      </c>
      <c r="R1992" s="356" t="str">
        <f t="shared" si="1"/>
        <v/>
      </c>
      <c r="S1992" s="269" t="str">
        <f>IF(D1992="","",IF(OR(D1992=Plano!$A$1,D1992=Plano!$B$1),"entrada","saída"))</f>
        <v/>
      </c>
      <c r="T1992" s="406"/>
      <c r="U1992" s="406"/>
      <c r="V1992" s="269"/>
    </row>
    <row r="1993" spans="1:22" ht="12.75" customHeight="1" x14ac:dyDescent="0.2">
      <c r="A1993" s="289" t="str">
        <f>IF(B1993="","",COUNT('Diário 5º PA'!$A$5:$A$2634)+ROW()-4)</f>
        <v/>
      </c>
      <c r="B1993" s="290"/>
      <c r="C1993" s="357"/>
      <c r="D1993" s="291"/>
      <c r="E1993" s="291"/>
      <c r="F1993" s="292"/>
      <c r="G1993" s="291"/>
      <c r="H1993" s="291"/>
      <c r="I1993" s="293"/>
      <c r="J1993" s="291"/>
      <c r="K1993" s="291"/>
      <c r="L1993" s="293"/>
      <c r="M1993" s="291"/>
      <c r="N1993" s="289"/>
      <c r="O1993" s="358"/>
      <c r="P1993" s="402">
        <f t="shared" ref="P1993:Q1993" si="1989">IF(B1993=0,0,IF(YEAR(B1993)=$Q$1,MONTH(B1993)-$P$1+1,(YEAR(B1993)-$Q$1)*12-$P$1+1+MONTH(B1993)))</f>
        <v>0</v>
      </c>
      <c r="Q1993" s="280">
        <f t="shared" si="1989"/>
        <v>0</v>
      </c>
      <c r="R1993" s="356" t="str">
        <f t="shared" si="1"/>
        <v/>
      </c>
      <c r="S1993" s="269" t="str">
        <f>IF(D1993="","",IF(OR(D1993=Plano!$A$1,D1993=Plano!$B$1),"entrada","saída"))</f>
        <v/>
      </c>
      <c r="T1993" s="406"/>
      <c r="U1993" s="406"/>
      <c r="V1993" s="269"/>
    </row>
    <row r="1994" spans="1:22" ht="12.75" customHeight="1" x14ac:dyDescent="0.2">
      <c r="A1994" s="289" t="str">
        <f>IF(B1994="","",COUNT('Diário 5º PA'!$A$5:$A$2634)+ROW()-4)</f>
        <v/>
      </c>
      <c r="B1994" s="290"/>
      <c r="C1994" s="357"/>
      <c r="D1994" s="291"/>
      <c r="E1994" s="291"/>
      <c r="F1994" s="292"/>
      <c r="G1994" s="291"/>
      <c r="H1994" s="291"/>
      <c r="I1994" s="293"/>
      <c r="J1994" s="291"/>
      <c r="K1994" s="291"/>
      <c r="L1994" s="293"/>
      <c r="M1994" s="291"/>
      <c r="N1994" s="289"/>
      <c r="O1994" s="358"/>
      <c r="P1994" s="402">
        <f t="shared" ref="P1994:Q1994" si="1990">IF(B1994=0,0,IF(YEAR(B1994)=$Q$1,MONTH(B1994)-$P$1+1,(YEAR(B1994)-$Q$1)*12-$P$1+1+MONTH(B1994)))</f>
        <v>0</v>
      </c>
      <c r="Q1994" s="280">
        <f t="shared" si="1990"/>
        <v>0</v>
      </c>
      <c r="R1994" s="356" t="str">
        <f t="shared" si="1"/>
        <v/>
      </c>
      <c r="S1994" s="269" t="str">
        <f>IF(D1994="","",IF(OR(D1994=Plano!$A$1,D1994=Plano!$B$1),"entrada","saída"))</f>
        <v/>
      </c>
      <c r="T1994" s="406"/>
      <c r="U1994" s="406"/>
      <c r="V1994" s="269"/>
    </row>
    <row r="1995" spans="1:22" ht="12.75" customHeight="1" x14ac:dyDescent="0.2">
      <c r="A1995" s="289" t="str">
        <f>IF(B1995="","",COUNT('Diário 5º PA'!$A$5:$A$2634)+ROW()-4)</f>
        <v/>
      </c>
      <c r="B1995" s="290"/>
      <c r="C1995" s="357"/>
      <c r="D1995" s="291"/>
      <c r="E1995" s="291"/>
      <c r="F1995" s="292"/>
      <c r="G1995" s="291"/>
      <c r="H1995" s="291"/>
      <c r="I1995" s="293"/>
      <c r="J1995" s="291"/>
      <c r="K1995" s="291"/>
      <c r="L1995" s="293"/>
      <c r="M1995" s="291"/>
      <c r="N1995" s="289"/>
      <c r="O1995" s="358"/>
      <c r="P1995" s="402">
        <f t="shared" ref="P1995:Q1995" si="1991">IF(B1995=0,0,IF(YEAR(B1995)=$Q$1,MONTH(B1995)-$P$1+1,(YEAR(B1995)-$Q$1)*12-$P$1+1+MONTH(B1995)))</f>
        <v>0</v>
      </c>
      <c r="Q1995" s="280">
        <f t="shared" si="1991"/>
        <v>0</v>
      </c>
      <c r="R1995" s="356" t="str">
        <f t="shared" si="1"/>
        <v/>
      </c>
      <c r="S1995" s="269" t="str">
        <f>IF(D1995="","",IF(OR(D1995=Plano!$A$1,D1995=Plano!$B$1),"entrada","saída"))</f>
        <v/>
      </c>
      <c r="T1995" s="406"/>
      <c r="U1995" s="406"/>
      <c r="V1995" s="269"/>
    </row>
    <row r="1996" spans="1:22" ht="12.75" customHeight="1" x14ac:dyDescent="0.2">
      <c r="A1996" s="289" t="str">
        <f>IF(B1996="","",COUNT('Diário 5º PA'!$A$5:$A$2634)+ROW()-4)</f>
        <v/>
      </c>
      <c r="B1996" s="290"/>
      <c r="C1996" s="357"/>
      <c r="D1996" s="291"/>
      <c r="E1996" s="291"/>
      <c r="F1996" s="292"/>
      <c r="G1996" s="291"/>
      <c r="H1996" s="291"/>
      <c r="I1996" s="293"/>
      <c r="J1996" s="291"/>
      <c r="K1996" s="291"/>
      <c r="L1996" s="293"/>
      <c r="M1996" s="291"/>
      <c r="N1996" s="289"/>
      <c r="O1996" s="358"/>
      <c r="P1996" s="402">
        <f t="shared" ref="P1996:Q1996" si="1992">IF(B1996=0,0,IF(YEAR(B1996)=$Q$1,MONTH(B1996)-$P$1+1,(YEAR(B1996)-$Q$1)*12-$P$1+1+MONTH(B1996)))</f>
        <v>0</v>
      </c>
      <c r="Q1996" s="280">
        <f t="shared" si="1992"/>
        <v>0</v>
      </c>
      <c r="R1996" s="356" t="str">
        <f t="shared" si="1"/>
        <v/>
      </c>
      <c r="S1996" s="269" t="str">
        <f>IF(D1996="","",IF(OR(D1996=Plano!$A$1,D1996=Plano!$B$1),"entrada","saída"))</f>
        <v/>
      </c>
      <c r="T1996" s="406"/>
      <c r="U1996" s="406"/>
      <c r="V1996" s="269"/>
    </row>
    <row r="1997" spans="1:22" ht="12.75" customHeight="1" x14ac:dyDescent="0.2">
      <c r="A1997" s="289" t="str">
        <f>IF(B1997="","",COUNT('Diário 5º PA'!$A$5:$A$2634)+ROW()-4)</f>
        <v/>
      </c>
      <c r="B1997" s="290"/>
      <c r="C1997" s="357"/>
      <c r="D1997" s="291"/>
      <c r="E1997" s="291"/>
      <c r="F1997" s="292"/>
      <c r="G1997" s="291"/>
      <c r="H1997" s="291"/>
      <c r="I1997" s="293"/>
      <c r="J1997" s="291"/>
      <c r="K1997" s="291"/>
      <c r="L1997" s="293"/>
      <c r="M1997" s="291"/>
      <c r="N1997" s="289"/>
      <c r="O1997" s="358"/>
      <c r="P1997" s="402">
        <f t="shared" ref="P1997:Q1997" si="1993">IF(B1997=0,0,IF(YEAR(B1997)=$Q$1,MONTH(B1997)-$P$1+1,(YEAR(B1997)-$Q$1)*12-$P$1+1+MONTH(B1997)))</f>
        <v>0</v>
      </c>
      <c r="Q1997" s="280">
        <f t="shared" si="1993"/>
        <v>0</v>
      </c>
      <c r="R1997" s="356" t="str">
        <f t="shared" si="1"/>
        <v/>
      </c>
      <c r="S1997" s="269" t="str">
        <f>IF(D1997="","",IF(OR(D1997=Plano!$A$1,D1997=Plano!$B$1),"entrada","saída"))</f>
        <v/>
      </c>
      <c r="T1997" s="406"/>
      <c r="U1997" s="406"/>
      <c r="V1997" s="269"/>
    </row>
    <row r="1998" spans="1:22" ht="12.75" customHeight="1" x14ac:dyDescent="0.2">
      <c r="A1998" s="289" t="str">
        <f>IF(B1998="","",COUNT('Diário 5º PA'!$A$5:$A$2634)+ROW()-4)</f>
        <v/>
      </c>
      <c r="B1998" s="290"/>
      <c r="C1998" s="357"/>
      <c r="D1998" s="291"/>
      <c r="E1998" s="291"/>
      <c r="F1998" s="292"/>
      <c r="G1998" s="291"/>
      <c r="H1998" s="291"/>
      <c r="I1998" s="293"/>
      <c r="J1998" s="291"/>
      <c r="K1998" s="291"/>
      <c r="L1998" s="293"/>
      <c r="M1998" s="291"/>
      <c r="N1998" s="289"/>
      <c r="O1998" s="358"/>
      <c r="P1998" s="402">
        <f t="shared" ref="P1998:Q1998" si="1994">IF(B1998=0,0,IF(YEAR(B1998)=$Q$1,MONTH(B1998)-$P$1+1,(YEAR(B1998)-$Q$1)*12-$P$1+1+MONTH(B1998)))</f>
        <v>0</v>
      </c>
      <c r="Q1998" s="280">
        <f t="shared" si="1994"/>
        <v>0</v>
      </c>
      <c r="R1998" s="356" t="str">
        <f t="shared" si="1"/>
        <v/>
      </c>
      <c r="S1998" s="269" t="str">
        <f>IF(D1998="","",IF(OR(D1998=Plano!$A$1,D1998=Plano!$B$1),"entrada","saída"))</f>
        <v/>
      </c>
      <c r="T1998" s="406"/>
      <c r="U1998" s="406"/>
      <c r="V1998" s="269"/>
    </row>
    <row r="1999" spans="1:22" ht="12.75" customHeight="1" x14ac:dyDescent="0.2">
      <c r="A1999" s="289" t="str">
        <f>IF(B1999="","",COUNT('Diário 5º PA'!$A$5:$A$2634)+ROW()-4)</f>
        <v/>
      </c>
      <c r="B1999" s="290"/>
      <c r="C1999" s="357"/>
      <c r="D1999" s="291"/>
      <c r="E1999" s="291"/>
      <c r="F1999" s="292"/>
      <c r="G1999" s="291"/>
      <c r="H1999" s="291"/>
      <c r="I1999" s="293"/>
      <c r="J1999" s="291"/>
      <c r="K1999" s="291"/>
      <c r="L1999" s="293"/>
      <c r="M1999" s="291"/>
      <c r="N1999" s="289"/>
      <c r="O1999" s="358"/>
      <c r="P1999" s="402">
        <f t="shared" ref="P1999:Q1999" si="1995">IF(B1999=0,0,IF(YEAR(B1999)=$Q$1,MONTH(B1999)-$P$1+1,(YEAR(B1999)-$Q$1)*12-$P$1+1+MONTH(B1999)))</f>
        <v>0</v>
      </c>
      <c r="Q1999" s="280">
        <f t="shared" si="1995"/>
        <v>0</v>
      </c>
      <c r="R1999" s="356" t="str">
        <f t="shared" si="1"/>
        <v/>
      </c>
      <c r="S1999" s="269" t="str">
        <f>IF(D1999="","",IF(OR(D1999=Plano!$A$1,D1999=Plano!$B$1),"entrada","saída"))</f>
        <v/>
      </c>
      <c r="T1999" s="406"/>
      <c r="U1999" s="406"/>
      <c r="V1999" s="269"/>
    </row>
    <row r="2000" spans="1:22" ht="12.75" customHeight="1" x14ac:dyDescent="0.2">
      <c r="A2000" s="289" t="str">
        <f>IF(B2000="","",COUNT('Diário 5º PA'!$A$5:$A$2634)+ROW()-4)</f>
        <v/>
      </c>
      <c r="B2000" s="290"/>
      <c r="C2000" s="357"/>
      <c r="D2000" s="291"/>
      <c r="E2000" s="291"/>
      <c r="F2000" s="292"/>
      <c r="G2000" s="291"/>
      <c r="H2000" s="291"/>
      <c r="I2000" s="293"/>
      <c r="J2000" s="291"/>
      <c r="K2000" s="291"/>
      <c r="L2000" s="293"/>
      <c r="M2000" s="291"/>
      <c r="N2000" s="289"/>
      <c r="O2000" s="358"/>
      <c r="P2000" s="402">
        <f t="shared" ref="P2000:Q2000" si="1996">IF(B2000=0,0,IF(YEAR(B2000)=$Q$1,MONTH(B2000)-$P$1+1,(YEAR(B2000)-$Q$1)*12-$P$1+1+MONTH(B2000)))</f>
        <v>0</v>
      </c>
      <c r="Q2000" s="280">
        <f t="shared" si="1996"/>
        <v>0</v>
      </c>
      <c r="R2000" s="356" t="str">
        <f t="shared" si="1"/>
        <v/>
      </c>
      <c r="S2000" s="269" t="str">
        <f>IF(D2000="","",IF(OR(D2000=Plano!$A$1,D2000=Plano!$B$1),"entrada","saída"))</f>
        <v/>
      </c>
      <c r="T2000" s="406"/>
      <c r="U2000" s="406"/>
      <c r="V2000" s="269"/>
    </row>
    <row r="2001" spans="1:22" ht="12.75" customHeight="1" x14ac:dyDescent="0.2">
      <c r="A2001" s="289" t="str">
        <f>IF(B2001="","",COUNT('Diário 5º PA'!$A$5:$A$2634)+ROW()-4)</f>
        <v/>
      </c>
      <c r="B2001" s="290"/>
      <c r="C2001" s="357"/>
      <c r="D2001" s="291"/>
      <c r="E2001" s="291"/>
      <c r="F2001" s="292"/>
      <c r="G2001" s="291"/>
      <c r="H2001" s="291"/>
      <c r="I2001" s="293"/>
      <c r="J2001" s="291"/>
      <c r="K2001" s="291"/>
      <c r="L2001" s="293"/>
      <c r="M2001" s="291"/>
      <c r="N2001" s="289"/>
      <c r="O2001" s="358"/>
      <c r="P2001" s="402">
        <f t="shared" ref="P2001:Q2001" si="1997">IF(B2001=0,0,IF(YEAR(B2001)=$Q$1,MONTH(B2001)-$P$1+1,(YEAR(B2001)-$Q$1)*12-$P$1+1+MONTH(B2001)))</f>
        <v>0</v>
      </c>
      <c r="Q2001" s="280">
        <f t="shared" si="1997"/>
        <v>0</v>
      </c>
      <c r="R2001" s="356" t="str">
        <f t="shared" si="1"/>
        <v/>
      </c>
      <c r="S2001" s="269" t="str">
        <f>IF(D2001="","",IF(OR(D2001=Plano!$A$1,D2001=Plano!$B$1),"entrada","saída"))</f>
        <v/>
      </c>
      <c r="T2001" s="406"/>
      <c r="U2001" s="406"/>
      <c r="V2001" s="269"/>
    </row>
    <row r="2002" spans="1:22" ht="12.75" customHeight="1" x14ac:dyDescent="0.2">
      <c r="A2002" s="289" t="str">
        <f>IF(B2002="","",COUNT('Diário 5º PA'!$A$5:$A$2634)+ROW()-4)</f>
        <v/>
      </c>
      <c r="B2002" s="290"/>
      <c r="C2002" s="357"/>
      <c r="D2002" s="291"/>
      <c r="E2002" s="291"/>
      <c r="F2002" s="292"/>
      <c r="G2002" s="291"/>
      <c r="H2002" s="291"/>
      <c r="I2002" s="293"/>
      <c r="J2002" s="291"/>
      <c r="K2002" s="291"/>
      <c r="L2002" s="293"/>
      <c r="M2002" s="291"/>
      <c r="N2002" s="289"/>
      <c r="O2002" s="358"/>
      <c r="P2002" s="402">
        <f t="shared" ref="P2002:Q2002" si="1998">IF(B2002=0,0,IF(YEAR(B2002)=$Q$1,MONTH(B2002)-$P$1+1,(YEAR(B2002)-$Q$1)*12-$P$1+1+MONTH(B2002)))</f>
        <v>0</v>
      </c>
      <c r="Q2002" s="280">
        <f t="shared" si="1998"/>
        <v>0</v>
      </c>
      <c r="R2002" s="356" t="str">
        <f t="shared" si="1"/>
        <v/>
      </c>
      <c r="S2002" s="269" t="str">
        <f>IF(D2002="","",IF(OR(D2002=Plano!$A$1,D2002=Plano!$B$1),"entrada","saída"))</f>
        <v/>
      </c>
      <c r="T2002" s="406"/>
      <c r="U2002" s="406"/>
      <c r="V2002" s="269"/>
    </row>
    <row r="2003" spans="1:22" ht="12.75" customHeight="1" x14ac:dyDescent="0.2">
      <c r="A2003" s="289" t="str">
        <f>IF(B2003="","",COUNT('Diário 5º PA'!$A$5:$A$2634)+ROW()-4)</f>
        <v/>
      </c>
      <c r="B2003" s="290"/>
      <c r="C2003" s="357"/>
      <c r="D2003" s="291"/>
      <c r="E2003" s="291"/>
      <c r="F2003" s="292"/>
      <c r="G2003" s="291"/>
      <c r="H2003" s="291"/>
      <c r="I2003" s="293"/>
      <c r="J2003" s="291"/>
      <c r="K2003" s="291"/>
      <c r="L2003" s="293"/>
      <c r="M2003" s="291"/>
      <c r="N2003" s="289"/>
      <c r="O2003" s="358"/>
      <c r="P2003" s="402">
        <f t="shared" ref="P2003:Q2003" si="1999">IF(B2003=0,0,IF(YEAR(B2003)=$Q$1,MONTH(B2003)-$P$1+1,(YEAR(B2003)-$Q$1)*12-$P$1+1+MONTH(B2003)))</f>
        <v>0</v>
      </c>
      <c r="Q2003" s="280">
        <f t="shared" si="1999"/>
        <v>0</v>
      </c>
      <c r="R2003" s="356" t="str">
        <f t="shared" si="1"/>
        <v/>
      </c>
      <c r="S2003" s="269" t="str">
        <f>IF(D2003="","",IF(OR(D2003=Plano!$A$1,D2003=Plano!$B$1),"entrada","saída"))</f>
        <v/>
      </c>
      <c r="T2003" s="406"/>
      <c r="U2003" s="406"/>
      <c r="V2003" s="269"/>
    </row>
    <row r="2004" spans="1:22" ht="12.75" customHeight="1" x14ac:dyDescent="0.2">
      <c r="A2004" s="289" t="str">
        <f>IF(B2004="","",COUNT('Diário 5º PA'!$A$5:$A$2634)+ROW()-4)</f>
        <v/>
      </c>
      <c r="B2004" s="290"/>
      <c r="C2004" s="357"/>
      <c r="D2004" s="291"/>
      <c r="E2004" s="291"/>
      <c r="F2004" s="292"/>
      <c r="G2004" s="291"/>
      <c r="H2004" s="291"/>
      <c r="I2004" s="293"/>
      <c r="J2004" s="291"/>
      <c r="K2004" s="291"/>
      <c r="L2004" s="293"/>
      <c r="M2004" s="291"/>
      <c r="N2004" s="289"/>
      <c r="O2004" s="358"/>
      <c r="P2004" s="402">
        <f t="shared" ref="P2004:Q2004" si="2000">IF(B2004=0,0,IF(YEAR(B2004)=$Q$1,MONTH(B2004)-$P$1+1,(YEAR(B2004)-$Q$1)*12-$P$1+1+MONTH(B2004)))</f>
        <v>0</v>
      </c>
      <c r="Q2004" s="280">
        <f t="shared" si="2000"/>
        <v>0</v>
      </c>
      <c r="R2004" s="356" t="str">
        <f t="shared" si="1"/>
        <v/>
      </c>
      <c r="S2004" s="269" t="str">
        <f>IF(D2004="","",IF(OR(D2004=Plano!$A$1,D2004=Plano!$B$1),"entrada","saída"))</f>
        <v/>
      </c>
      <c r="T2004" s="406"/>
      <c r="U2004" s="406"/>
      <c r="V2004" s="269"/>
    </row>
    <row r="2005" spans="1:22" ht="12.75" customHeight="1" x14ac:dyDescent="0.2">
      <c r="A2005" s="289" t="str">
        <f>IF(B2005="","",COUNT('Diário 5º PA'!$A$5:$A$2634)+ROW()-4)</f>
        <v/>
      </c>
      <c r="B2005" s="290"/>
      <c r="C2005" s="357"/>
      <c r="D2005" s="291"/>
      <c r="E2005" s="291"/>
      <c r="F2005" s="292"/>
      <c r="G2005" s="291"/>
      <c r="H2005" s="291"/>
      <c r="I2005" s="293"/>
      <c r="J2005" s="291"/>
      <c r="K2005" s="291"/>
      <c r="L2005" s="293"/>
      <c r="M2005" s="291"/>
      <c r="N2005" s="289"/>
      <c r="O2005" s="358"/>
      <c r="P2005" s="402">
        <f t="shared" ref="P2005:Q2005" si="2001">IF(B2005=0,0,IF(YEAR(B2005)=$Q$1,MONTH(B2005)-$P$1+1,(YEAR(B2005)-$Q$1)*12-$P$1+1+MONTH(B2005)))</f>
        <v>0</v>
      </c>
      <c r="Q2005" s="280">
        <f t="shared" si="2001"/>
        <v>0</v>
      </c>
      <c r="R2005" s="356" t="str">
        <f t="shared" si="1"/>
        <v/>
      </c>
      <c r="S2005" s="269" t="str">
        <f>IF(D2005="","",IF(OR(D2005=Plano!$A$1,D2005=Plano!$B$1),"entrada","saída"))</f>
        <v/>
      </c>
      <c r="T2005" s="406"/>
      <c r="U2005" s="406"/>
      <c r="V2005" s="269"/>
    </row>
    <row r="2006" spans="1:22" ht="12.75" customHeight="1" x14ac:dyDescent="0.2">
      <c r="A2006" s="289" t="str">
        <f>IF(B2006="","",COUNT('Diário 5º PA'!$A$5:$A$2634)+ROW()-4)</f>
        <v/>
      </c>
      <c r="B2006" s="290"/>
      <c r="C2006" s="357"/>
      <c r="D2006" s="291"/>
      <c r="E2006" s="291"/>
      <c r="F2006" s="292"/>
      <c r="G2006" s="291"/>
      <c r="H2006" s="291"/>
      <c r="I2006" s="293"/>
      <c r="J2006" s="291"/>
      <c r="K2006" s="291"/>
      <c r="L2006" s="293"/>
      <c r="M2006" s="291"/>
      <c r="N2006" s="289"/>
      <c r="O2006" s="358"/>
      <c r="P2006" s="402">
        <f t="shared" ref="P2006:Q2006" si="2002">IF(B2006=0,0,IF(YEAR(B2006)=$Q$1,MONTH(B2006)-$P$1+1,(YEAR(B2006)-$Q$1)*12-$P$1+1+MONTH(B2006)))</f>
        <v>0</v>
      </c>
      <c r="Q2006" s="280">
        <f t="shared" si="2002"/>
        <v>0</v>
      </c>
      <c r="R2006" s="356" t="str">
        <f t="shared" si="1"/>
        <v/>
      </c>
      <c r="S2006" s="269" t="str">
        <f>IF(D2006="","",IF(OR(D2006=Plano!$A$1,D2006=Plano!$B$1),"entrada","saída"))</f>
        <v/>
      </c>
      <c r="T2006" s="406"/>
      <c r="U2006" s="406"/>
      <c r="V2006" s="269"/>
    </row>
    <row r="2007" spans="1:22" ht="12.75" customHeight="1" x14ac:dyDescent="0.2">
      <c r="A2007" s="289" t="str">
        <f>IF(B2007="","",COUNT('Diário 5º PA'!$A$5:$A$2634)+ROW()-4)</f>
        <v/>
      </c>
      <c r="B2007" s="290"/>
      <c r="C2007" s="357"/>
      <c r="D2007" s="291"/>
      <c r="E2007" s="291"/>
      <c r="F2007" s="292"/>
      <c r="G2007" s="291"/>
      <c r="H2007" s="291"/>
      <c r="I2007" s="293"/>
      <c r="J2007" s="291"/>
      <c r="K2007" s="291"/>
      <c r="L2007" s="293"/>
      <c r="M2007" s="291"/>
      <c r="N2007" s="289"/>
      <c r="O2007" s="358"/>
      <c r="P2007" s="402">
        <f t="shared" ref="P2007:Q2007" si="2003">IF(B2007=0,0,IF(YEAR(B2007)=$Q$1,MONTH(B2007)-$P$1+1,(YEAR(B2007)-$Q$1)*12-$P$1+1+MONTH(B2007)))</f>
        <v>0</v>
      </c>
      <c r="Q2007" s="280">
        <f t="shared" si="2003"/>
        <v>0</v>
      </c>
      <c r="R2007" s="356" t="str">
        <f t="shared" si="1"/>
        <v/>
      </c>
      <c r="S2007" s="269" t="str">
        <f>IF(D2007="","",IF(OR(D2007=Plano!$A$1,D2007=Plano!$B$1),"entrada","saída"))</f>
        <v/>
      </c>
      <c r="T2007" s="406"/>
      <c r="U2007" s="406"/>
      <c r="V2007" s="269"/>
    </row>
    <row r="2008" spans="1:22" ht="12.75" customHeight="1" x14ac:dyDescent="0.2">
      <c r="A2008" s="289" t="str">
        <f>IF(B2008="","",COUNT('Diário 5º PA'!$A$5:$A$2634)+ROW()-4)</f>
        <v/>
      </c>
      <c r="B2008" s="290"/>
      <c r="C2008" s="357"/>
      <c r="D2008" s="291"/>
      <c r="E2008" s="291"/>
      <c r="F2008" s="292"/>
      <c r="G2008" s="291"/>
      <c r="H2008" s="291"/>
      <c r="I2008" s="293"/>
      <c r="J2008" s="291"/>
      <c r="K2008" s="291"/>
      <c r="L2008" s="293"/>
      <c r="M2008" s="291"/>
      <c r="N2008" s="289"/>
      <c r="O2008" s="358"/>
      <c r="P2008" s="402">
        <f t="shared" ref="P2008:Q2008" si="2004">IF(B2008=0,0,IF(YEAR(B2008)=$Q$1,MONTH(B2008)-$P$1+1,(YEAR(B2008)-$Q$1)*12-$P$1+1+MONTH(B2008)))</f>
        <v>0</v>
      </c>
      <c r="Q2008" s="280">
        <f t="shared" si="2004"/>
        <v>0</v>
      </c>
      <c r="R2008" s="356" t="str">
        <f t="shared" si="1"/>
        <v/>
      </c>
      <c r="S2008" s="269" t="str">
        <f>IF(D2008="","",IF(OR(D2008=Plano!$A$1,D2008=Plano!$B$1),"entrada","saída"))</f>
        <v/>
      </c>
      <c r="T2008" s="406"/>
      <c r="U2008" s="406"/>
      <c r="V2008" s="269"/>
    </row>
    <row r="2009" spans="1:22" ht="12.75" customHeight="1" x14ac:dyDescent="0.2">
      <c r="A2009" s="289" t="str">
        <f>IF(B2009="","",COUNT('Diário 5º PA'!$A$5:$A$2634)+ROW()-4)</f>
        <v/>
      </c>
      <c r="B2009" s="290"/>
      <c r="C2009" s="357"/>
      <c r="D2009" s="291"/>
      <c r="E2009" s="291"/>
      <c r="F2009" s="292"/>
      <c r="G2009" s="291"/>
      <c r="H2009" s="291"/>
      <c r="I2009" s="293"/>
      <c r="J2009" s="291"/>
      <c r="K2009" s="291"/>
      <c r="L2009" s="293"/>
      <c r="M2009" s="291"/>
      <c r="N2009" s="289"/>
      <c r="O2009" s="358"/>
      <c r="P2009" s="402">
        <f t="shared" ref="P2009:Q2009" si="2005">IF(B2009=0,0,IF(YEAR(B2009)=$Q$1,MONTH(B2009)-$P$1+1,(YEAR(B2009)-$Q$1)*12-$P$1+1+MONTH(B2009)))</f>
        <v>0</v>
      </c>
      <c r="Q2009" s="280">
        <f t="shared" si="2005"/>
        <v>0</v>
      </c>
      <c r="R2009" s="356" t="str">
        <f t="shared" si="1"/>
        <v/>
      </c>
      <c r="S2009" s="269" t="str">
        <f>IF(D2009="","",IF(OR(D2009=Plano!$A$1,D2009=Plano!$B$1),"entrada","saída"))</f>
        <v/>
      </c>
      <c r="T2009" s="406"/>
      <c r="U2009" s="406"/>
      <c r="V2009" s="269"/>
    </row>
    <row r="2010" spans="1:22" ht="12.75" customHeight="1" x14ac:dyDescent="0.2">
      <c r="A2010" s="289" t="str">
        <f>IF(B2010="","",COUNT('Diário 5º PA'!$A$5:$A$2634)+ROW()-4)</f>
        <v/>
      </c>
      <c r="B2010" s="290"/>
      <c r="C2010" s="357"/>
      <c r="D2010" s="291"/>
      <c r="E2010" s="291"/>
      <c r="F2010" s="292"/>
      <c r="G2010" s="291"/>
      <c r="H2010" s="291"/>
      <c r="I2010" s="293"/>
      <c r="J2010" s="291"/>
      <c r="K2010" s="291"/>
      <c r="L2010" s="293"/>
      <c r="M2010" s="291"/>
      <c r="N2010" s="289"/>
      <c r="O2010" s="358"/>
      <c r="P2010" s="402">
        <f t="shared" ref="P2010:Q2010" si="2006">IF(B2010=0,0,IF(YEAR(B2010)=$Q$1,MONTH(B2010)-$P$1+1,(YEAR(B2010)-$Q$1)*12-$P$1+1+MONTH(B2010)))</f>
        <v>0</v>
      </c>
      <c r="Q2010" s="280">
        <f t="shared" si="2006"/>
        <v>0</v>
      </c>
      <c r="R2010" s="356" t="str">
        <f t="shared" si="1"/>
        <v/>
      </c>
      <c r="S2010" s="269" t="str">
        <f>IF(D2010="","",IF(OR(D2010=Plano!$A$1,D2010=Plano!$B$1),"entrada","saída"))</f>
        <v/>
      </c>
      <c r="T2010" s="406"/>
      <c r="U2010" s="406"/>
      <c r="V2010" s="269"/>
    </row>
    <row r="2011" spans="1:22" ht="12.75" customHeight="1" x14ac:dyDescent="0.2">
      <c r="A2011" s="289" t="str">
        <f>IF(B2011="","",COUNT('Diário 5º PA'!$A$5:$A$2634)+ROW()-4)</f>
        <v/>
      </c>
      <c r="B2011" s="290"/>
      <c r="C2011" s="357"/>
      <c r="D2011" s="291"/>
      <c r="E2011" s="291"/>
      <c r="F2011" s="292"/>
      <c r="G2011" s="291"/>
      <c r="H2011" s="291"/>
      <c r="I2011" s="293"/>
      <c r="J2011" s="291"/>
      <c r="K2011" s="291"/>
      <c r="L2011" s="293"/>
      <c r="M2011" s="291"/>
      <c r="N2011" s="289"/>
      <c r="O2011" s="358"/>
      <c r="P2011" s="402">
        <f t="shared" ref="P2011:Q2011" si="2007">IF(B2011=0,0,IF(YEAR(B2011)=$Q$1,MONTH(B2011)-$P$1+1,(YEAR(B2011)-$Q$1)*12-$P$1+1+MONTH(B2011)))</f>
        <v>0</v>
      </c>
      <c r="Q2011" s="280">
        <f t="shared" si="2007"/>
        <v>0</v>
      </c>
      <c r="R2011" s="356" t="str">
        <f t="shared" si="1"/>
        <v/>
      </c>
      <c r="S2011" s="269" t="str">
        <f>IF(D2011="","",IF(OR(D2011=Plano!$A$1,D2011=Plano!$B$1),"entrada","saída"))</f>
        <v/>
      </c>
      <c r="T2011" s="406"/>
      <c r="U2011" s="406"/>
      <c r="V2011" s="269"/>
    </row>
    <row r="2012" spans="1:22" ht="12.75" customHeight="1" x14ac:dyDescent="0.2">
      <c r="A2012" s="289" t="str">
        <f>IF(B2012="","",COUNT('Diário 5º PA'!$A$5:$A$2634)+ROW()-4)</f>
        <v/>
      </c>
      <c r="B2012" s="290"/>
      <c r="C2012" s="357"/>
      <c r="D2012" s="291"/>
      <c r="E2012" s="291"/>
      <c r="F2012" s="292"/>
      <c r="G2012" s="291"/>
      <c r="H2012" s="291"/>
      <c r="I2012" s="293"/>
      <c r="J2012" s="291"/>
      <c r="K2012" s="291"/>
      <c r="L2012" s="293"/>
      <c r="M2012" s="291"/>
      <c r="N2012" s="289"/>
      <c r="O2012" s="358"/>
      <c r="P2012" s="402">
        <f t="shared" ref="P2012:Q2012" si="2008">IF(B2012=0,0,IF(YEAR(B2012)=$Q$1,MONTH(B2012)-$P$1+1,(YEAR(B2012)-$Q$1)*12-$P$1+1+MONTH(B2012)))</f>
        <v>0</v>
      </c>
      <c r="Q2012" s="280">
        <f t="shared" si="2008"/>
        <v>0</v>
      </c>
      <c r="R2012" s="356" t="str">
        <f t="shared" si="1"/>
        <v/>
      </c>
      <c r="S2012" s="269" t="str">
        <f>IF(D2012="","",IF(OR(D2012=Plano!$A$1,D2012=Plano!$B$1),"entrada","saída"))</f>
        <v/>
      </c>
      <c r="T2012" s="406"/>
      <c r="U2012" s="406"/>
      <c r="V2012" s="269"/>
    </row>
    <row r="2013" spans="1:22" ht="12.75" customHeight="1" x14ac:dyDescent="0.2">
      <c r="A2013" s="289" t="str">
        <f>IF(B2013="","",COUNT('Diário 5º PA'!$A$5:$A$2634)+ROW()-4)</f>
        <v/>
      </c>
      <c r="B2013" s="290"/>
      <c r="C2013" s="357"/>
      <c r="D2013" s="291"/>
      <c r="E2013" s="291"/>
      <c r="F2013" s="292"/>
      <c r="G2013" s="291"/>
      <c r="H2013" s="291"/>
      <c r="I2013" s="293"/>
      <c r="J2013" s="291"/>
      <c r="K2013" s="291"/>
      <c r="L2013" s="293"/>
      <c r="M2013" s="291"/>
      <c r="N2013" s="289"/>
      <c r="O2013" s="358"/>
      <c r="P2013" s="402">
        <f t="shared" ref="P2013:Q2013" si="2009">IF(B2013=0,0,IF(YEAR(B2013)=$Q$1,MONTH(B2013)-$P$1+1,(YEAR(B2013)-$Q$1)*12-$P$1+1+MONTH(B2013)))</f>
        <v>0</v>
      </c>
      <c r="Q2013" s="280">
        <f t="shared" si="2009"/>
        <v>0</v>
      </c>
      <c r="R2013" s="356" t="str">
        <f t="shared" si="1"/>
        <v/>
      </c>
      <c r="S2013" s="269" t="str">
        <f>IF(D2013="","",IF(OR(D2013=Plano!$A$1,D2013=Plano!$B$1),"entrada","saída"))</f>
        <v/>
      </c>
      <c r="T2013" s="406"/>
      <c r="U2013" s="406"/>
      <c r="V2013" s="269"/>
    </row>
    <row r="2014" spans="1:22" ht="12.75" customHeight="1" x14ac:dyDescent="0.2">
      <c r="A2014" s="289" t="str">
        <f>IF(B2014="","",COUNT('Diário 5º PA'!$A$5:$A$2634)+ROW()-4)</f>
        <v/>
      </c>
      <c r="B2014" s="290"/>
      <c r="C2014" s="357"/>
      <c r="D2014" s="291"/>
      <c r="E2014" s="291"/>
      <c r="F2014" s="292"/>
      <c r="G2014" s="291"/>
      <c r="H2014" s="291"/>
      <c r="I2014" s="293"/>
      <c r="J2014" s="291"/>
      <c r="K2014" s="291"/>
      <c r="L2014" s="293"/>
      <c r="M2014" s="291"/>
      <c r="N2014" s="289"/>
      <c r="O2014" s="358"/>
      <c r="P2014" s="402">
        <f t="shared" ref="P2014:Q2014" si="2010">IF(B2014=0,0,IF(YEAR(B2014)=$Q$1,MONTH(B2014)-$P$1+1,(YEAR(B2014)-$Q$1)*12-$P$1+1+MONTH(B2014)))</f>
        <v>0</v>
      </c>
      <c r="Q2014" s="280">
        <f t="shared" si="2010"/>
        <v>0</v>
      </c>
      <c r="R2014" s="356" t="str">
        <f t="shared" si="1"/>
        <v/>
      </c>
      <c r="S2014" s="269" t="str">
        <f>IF(D2014="","",IF(OR(D2014=Plano!$A$1,D2014=Plano!$B$1),"entrada","saída"))</f>
        <v/>
      </c>
      <c r="T2014" s="406"/>
      <c r="U2014" s="406"/>
      <c r="V2014" s="269"/>
    </row>
    <row r="2015" spans="1:22" ht="12.75" customHeight="1" x14ac:dyDescent="0.2">
      <c r="A2015" s="289" t="str">
        <f>IF(B2015="","",COUNT('Diário 5º PA'!$A$5:$A$2634)+ROW()-4)</f>
        <v/>
      </c>
      <c r="B2015" s="290"/>
      <c r="C2015" s="357"/>
      <c r="D2015" s="291"/>
      <c r="E2015" s="291"/>
      <c r="F2015" s="292"/>
      <c r="G2015" s="291"/>
      <c r="H2015" s="291"/>
      <c r="I2015" s="293"/>
      <c r="J2015" s="291"/>
      <c r="K2015" s="291"/>
      <c r="L2015" s="293"/>
      <c r="M2015" s="291"/>
      <c r="N2015" s="289"/>
      <c r="O2015" s="358"/>
      <c r="P2015" s="402">
        <f t="shared" ref="P2015:Q2015" si="2011">IF(B2015=0,0,IF(YEAR(B2015)=$Q$1,MONTH(B2015)-$P$1+1,(YEAR(B2015)-$Q$1)*12-$P$1+1+MONTH(B2015)))</f>
        <v>0</v>
      </c>
      <c r="Q2015" s="280">
        <f t="shared" si="2011"/>
        <v>0</v>
      </c>
      <c r="R2015" s="356" t="str">
        <f t="shared" si="1"/>
        <v/>
      </c>
      <c r="S2015" s="269" t="str">
        <f>IF(D2015="","",IF(OR(D2015=Plano!$A$1,D2015=Plano!$B$1),"entrada","saída"))</f>
        <v/>
      </c>
      <c r="T2015" s="406"/>
      <c r="U2015" s="406"/>
      <c r="V2015" s="269"/>
    </row>
    <row r="2016" spans="1:22" ht="12.75" customHeight="1" x14ac:dyDescent="0.2">
      <c r="A2016" s="289" t="str">
        <f>IF(B2016="","",COUNT('Diário 5º PA'!$A$5:$A$2634)+ROW()-4)</f>
        <v/>
      </c>
      <c r="B2016" s="290"/>
      <c r="C2016" s="357"/>
      <c r="D2016" s="291"/>
      <c r="E2016" s="291"/>
      <c r="F2016" s="292"/>
      <c r="G2016" s="291"/>
      <c r="H2016" s="291"/>
      <c r="I2016" s="293"/>
      <c r="J2016" s="291"/>
      <c r="K2016" s="291"/>
      <c r="L2016" s="293"/>
      <c r="M2016" s="291"/>
      <c r="N2016" s="289"/>
      <c r="O2016" s="358"/>
      <c r="P2016" s="402">
        <f t="shared" ref="P2016:Q2016" si="2012">IF(B2016=0,0,IF(YEAR(B2016)=$Q$1,MONTH(B2016)-$P$1+1,(YEAR(B2016)-$Q$1)*12-$P$1+1+MONTH(B2016)))</f>
        <v>0</v>
      </c>
      <c r="Q2016" s="280">
        <f t="shared" si="2012"/>
        <v>0</v>
      </c>
      <c r="R2016" s="356" t="str">
        <f t="shared" si="1"/>
        <v/>
      </c>
      <c r="S2016" s="269" t="str">
        <f>IF(D2016="","",IF(OR(D2016=Plano!$A$1,D2016=Plano!$B$1),"entrada","saída"))</f>
        <v/>
      </c>
      <c r="T2016" s="406"/>
      <c r="U2016" s="406"/>
      <c r="V2016" s="269"/>
    </row>
    <row r="2017" spans="1:22" ht="12.75" customHeight="1" x14ac:dyDescent="0.2">
      <c r="A2017" s="289" t="str">
        <f>IF(B2017="","",COUNT('Diário 5º PA'!$A$5:$A$2634)+ROW()-4)</f>
        <v/>
      </c>
      <c r="B2017" s="290"/>
      <c r="C2017" s="357"/>
      <c r="D2017" s="291"/>
      <c r="E2017" s="291"/>
      <c r="F2017" s="292"/>
      <c r="G2017" s="291"/>
      <c r="H2017" s="291"/>
      <c r="I2017" s="293"/>
      <c r="J2017" s="291"/>
      <c r="K2017" s="291"/>
      <c r="L2017" s="293"/>
      <c r="M2017" s="291"/>
      <c r="N2017" s="289"/>
      <c r="O2017" s="358"/>
      <c r="P2017" s="402">
        <f t="shared" ref="P2017:Q2017" si="2013">IF(B2017=0,0,IF(YEAR(B2017)=$Q$1,MONTH(B2017)-$P$1+1,(YEAR(B2017)-$Q$1)*12-$P$1+1+MONTH(B2017)))</f>
        <v>0</v>
      </c>
      <c r="Q2017" s="280">
        <f t="shared" si="2013"/>
        <v>0</v>
      </c>
      <c r="R2017" s="356" t="str">
        <f t="shared" si="1"/>
        <v/>
      </c>
      <c r="S2017" s="269" t="str">
        <f>IF(D2017="","",IF(OR(D2017=Plano!$A$1,D2017=Plano!$B$1),"entrada","saída"))</f>
        <v/>
      </c>
      <c r="T2017" s="406"/>
      <c r="U2017" s="406"/>
      <c r="V2017" s="269"/>
    </row>
    <row r="2018" spans="1:22" ht="12.75" customHeight="1" x14ac:dyDescent="0.2">
      <c r="A2018" s="289" t="str">
        <f>IF(B2018="","",COUNT('Diário 5º PA'!$A$5:$A$2634)+ROW()-4)</f>
        <v/>
      </c>
      <c r="B2018" s="290"/>
      <c r="C2018" s="357"/>
      <c r="D2018" s="291"/>
      <c r="E2018" s="291"/>
      <c r="F2018" s="292"/>
      <c r="G2018" s="291"/>
      <c r="H2018" s="291"/>
      <c r="I2018" s="293"/>
      <c r="J2018" s="291"/>
      <c r="K2018" s="291"/>
      <c r="L2018" s="293"/>
      <c r="M2018" s="291"/>
      <c r="N2018" s="289"/>
      <c r="O2018" s="358"/>
      <c r="P2018" s="402">
        <f t="shared" ref="P2018:Q2018" si="2014">IF(B2018=0,0,IF(YEAR(B2018)=$Q$1,MONTH(B2018)-$P$1+1,(YEAR(B2018)-$Q$1)*12-$P$1+1+MONTH(B2018)))</f>
        <v>0</v>
      </c>
      <c r="Q2018" s="280">
        <f t="shared" si="2014"/>
        <v>0</v>
      </c>
      <c r="R2018" s="356" t="str">
        <f t="shared" si="1"/>
        <v/>
      </c>
      <c r="S2018" s="269" t="str">
        <f>IF(D2018="","",IF(OR(D2018=Plano!$A$1,D2018=Plano!$B$1),"entrada","saída"))</f>
        <v/>
      </c>
      <c r="T2018" s="406"/>
      <c r="U2018" s="406"/>
      <c r="V2018" s="269"/>
    </row>
    <row r="2019" spans="1:22" ht="12.75" customHeight="1" x14ac:dyDescent="0.2">
      <c r="A2019" s="289" t="str">
        <f>IF(B2019="","",COUNT('Diário 5º PA'!$A$5:$A$2634)+ROW()-4)</f>
        <v/>
      </c>
      <c r="B2019" s="290"/>
      <c r="C2019" s="357"/>
      <c r="D2019" s="291"/>
      <c r="E2019" s="291"/>
      <c r="F2019" s="292"/>
      <c r="G2019" s="291"/>
      <c r="H2019" s="291"/>
      <c r="I2019" s="293"/>
      <c r="J2019" s="291"/>
      <c r="K2019" s="291"/>
      <c r="L2019" s="293"/>
      <c r="M2019" s="291"/>
      <c r="N2019" s="289"/>
      <c r="O2019" s="358"/>
      <c r="P2019" s="402">
        <f t="shared" ref="P2019:Q2019" si="2015">IF(B2019=0,0,IF(YEAR(B2019)=$Q$1,MONTH(B2019)-$P$1+1,(YEAR(B2019)-$Q$1)*12-$P$1+1+MONTH(B2019)))</f>
        <v>0</v>
      </c>
      <c r="Q2019" s="280">
        <f t="shared" si="2015"/>
        <v>0</v>
      </c>
      <c r="R2019" s="356" t="str">
        <f t="shared" si="1"/>
        <v/>
      </c>
      <c r="S2019" s="269" t="str">
        <f>IF(D2019="","",IF(OR(D2019=Plano!$A$1,D2019=Plano!$B$1),"entrada","saída"))</f>
        <v/>
      </c>
      <c r="T2019" s="406"/>
      <c r="U2019" s="406"/>
      <c r="V2019" s="269"/>
    </row>
    <row r="2020" spans="1:22" ht="12.75" customHeight="1" x14ac:dyDescent="0.2">
      <c r="A2020" s="289" t="str">
        <f>IF(B2020="","",COUNT('Diário 5º PA'!$A$5:$A$2634)+ROW()-4)</f>
        <v/>
      </c>
      <c r="B2020" s="290"/>
      <c r="C2020" s="357"/>
      <c r="D2020" s="291"/>
      <c r="E2020" s="291"/>
      <c r="F2020" s="292"/>
      <c r="G2020" s="291"/>
      <c r="H2020" s="291"/>
      <c r="I2020" s="293"/>
      <c r="J2020" s="291"/>
      <c r="K2020" s="291"/>
      <c r="L2020" s="293"/>
      <c r="M2020" s="291"/>
      <c r="N2020" s="289"/>
      <c r="O2020" s="358"/>
      <c r="P2020" s="402">
        <f t="shared" ref="P2020:Q2020" si="2016">IF(B2020=0,0,IF(YEAR(B2020)=$Q$1,MONTH(B2020)-$P$1+1,(YEAR(B2020)-$Q$1)*12-$P$1+1+MONTH(B2020)))</f>
        <v>0</v>
      </c>
      <c r="Q2020" s="280">
        <f t="shared" si="2016"/>
        <v>0</v>
      </c>
      <c r="R2020" s="356" t="str">
        <f t="shared" si="1"/>
        <v/>
      </c>
      <c r="S2020" s="269" t="str">
        <f>IF(D2020="","",IF(OR(D2020=Plano!$A$1,D2020=Plano!$B$1),"entrada","saída"))</f>
        <v/>
      </c>
      <c r="T2020" s="406"/>
      <c r="U2020" s="406"/>
      <c r="V2020" s="269"/>
    </row>
    <row r="2021" spans="1:22" ht="12.75" customHeight="1" x14ac:dyDescent="0.2">
      <c r="A2021" s="289" t="str">
        <f>IF(B2021="","",COUNT('Diário 5º PA'!$A$5:$A$2634)+ROW()-4)</f>
        <v/>
      </c>
      <c r="B2021" s="290"/>
      <c r="C2021" s="357"/>
      <c r="D2021" s="291"/>
      <c r="E2021" s="291"/>
      <c r="F2021" s="292"/>
      <c r="G2021" s="291"/>
      <c r="H2021" s="291"/>
      <c r="I2021" s="293"/>
      <c r="J2021" s="291"/>
      <c r="K2021" s="291"/>
      <c r="L2021" s="293"/>
      <c r="M2021" s="291"/>
      <c r="N2021" s="289"/>
      <c r="O2021" s="358"/>
      <c r="P2021" s="402">
        <f t="shared" ref="P2021:Q2021" si="2017">IF(B2021=0,0,IF(YEAR(B2021)=$Q$1,MONTH(B2021)-$P$1+1,(YEAR(B2021)-$Q$1)*12-$P$1+1+MONTH(B2021)))</f>
        <v>0</v>
      </c>
      <c r="Q2021" s="280">
        <f t="shared" si="2017"/>
        <v>0</v>
      </c>
      <c r="R2021" s="356" t="str">
        <f t="shared" si="1"/>
        <v/>
      </c>
      <c r="S2021" s="269" t="str">
        <f>IF(D2021="","",IF(OR(D2021=Plano!$A$1,D2021=Plano!$B$1),"entrada","saída"))</f>
        <v/>
      </c>
      <c r="T2021" s="406"/>
      <c r="U2021" s="406"/>
      <c r="V2021" s="269"/>
    </row>
    <row r="2022" spans="1:22" ht="12.75" customHeight="1" x14ac:dyDescent="0.2">
      <c r="A2022" s="289" t="str">
        <f>IF(B2022="","",COUNT('Diário 5º PA'!$A$5:$A$2634)+ROW()-4)</f>
        <v/>
      </c>
      <c r="B2022" s="290"/>
      <c r="C2022" s="357"/>
      <c r="D2022" s="291"/>
      <c r="E2022" s="291"/>
      <c r="F2022" s="292"/>
      <c r="G2022" s="291"/>
      <c r="H2022" s="291"/>
      <c r="I2022" s="293"/>
      <c r="J2022" s="291"/>
      <c r="K2022" s="291"/>
      <c r="L2022" s="293"/>
      <c r="M2022" s="291"/>
      <c r="N2022" s="289"/>
      <c r="O2022" s="358"/>
      <c r="P2022" s="402">
        <f t="shared" ref="P2022:Q2022" si="2018">IF(B2022=0,0,IF(YEAR(B2022)=$Q$1,MONTH(B2022)-$P$1+1,(YEAR(B2022)-$Q$1)*12-$P$1+1+MONTH(B2022)))</f>
        <v>0</v>
      </c>
      <c r="Q2022" s="280">
        <f t="shared" si="2018"/>
        <v>0</v>
      </c>
      <c r="R2022" s="356" t="str">
        <f t="shared" si="1"/>
        <v/>
      </c>
      <c r="S2022" s="269" t="str">
        <f>IF(D2022="","",IF(OR(D2022=Plano!$A$1,D2022=Plano!$B$1),"entrada","saída"))</f>
        <v/>
      </c>
      <c r="T2022" s="406"/>
      <c r="U2022" s="406"/>
      <c r="V2022" s="269"/>
    </row>
    <row r="2023" spans="1:22" ht="12.75" customHeight="1" x14ac:dyDescent="0.2">
      <c r="A2023" s="289" t="str">
        <f>IF(B2023="","",COUNT('Diário 5º PA'!$A$5:$A$2634)+ROW()-4)</f>
        <v/>
      </c>
      <c r="B2023" s="290"/>
      <c r="C2023" s="357"/>
      <c r="D2023" s="291"/>
      <c r="E2023" s="291"/>
      <c r="F2023" s="292"/>
      <c r="G2023" s="291"/>
      <c r="H2023" s="291"/>
      <c r="I2023" s="293"/>
      <c r="J2023" s="291"/>
      <c r="K2023" s="291"/>
      <c r="L2023" s="293"/>
      <c r="M2023" s="291"/>
      <c r="N2023" s="289"/>
      <c r="O2023" s="358"/>
      <c r="P2023" s="402">
        <f t="shared" ref="P2023:Q2023" si="2019">IF(B2023=0,0,IF(YEAR(B2023)=$Q$1,MONTH(B2023)-$P$1+1,(YEAR(B2023)-$Q$1)*12-$P$1+1+MONTH(B2023)))</f>
        <v>0</v>
      </c>
      <c r="Q2023" s="280">
        <f t="shared" si="2019"/>
        <v>0</v>
      </c>
      <c r="R2023" s="356" t="str">
        <f t="shared" si="1"/>
        <v/>
      </c>
      <c r="S2023" s="269" t="str">
        <f>IF(D2023="","",IF(OR(D2023=Plano!$A$1,D2023=Plano!$B$1),"entrada","saída"))</f>
        <v/>
      </c>
      <c r="T2023" s="406"/>
      <c r="U2023" s="406"/>
      <c r="V2023" s="269"/>
    </row>
    <row r="2024" spans="1:22" ht="12.75" customHeight="1" x14ac:dyDescent="0.2">
      <c r="A2024" s="289" t="str">
        <f>IF(B2024="","",COUNT('Diário 5º PA'!$A$5:$A$2634)+ROW()-4)</f>
        <v/>
      </c>
      <c r="B2024" s="290"/>
      <c r="C2024" s="357"/>
      <c r="D2024" s="291"/>
      <c r="E2024" s="291"/>
      <c r="F2024" s="292"/>
      <c r="G2024" s="291"/>
      <c r="H2024" s="291"/>
      <c r="I2024" s="293"/>
      <c r="J2024" s="291"/>
      <c r="K2024" s="291"/>
      <c r="L2024" s="293"/>
      <c r="M2024" s="291"/>
      <c r="N2024" s="289"/>
      <c r="O2024" s="358"/>
      <c r="P2024" s="402">
        <f t="shared" ref="P2024:Q2024" si="2020">IF(B2024=0,0,IF(YEAR(B2024)=$Q$1,MONTH(B2024)-$P$1+1,(YEAR(B2024)-$Q$1)*12-$P$1+1+MONTH(B2024)))</f>
        <v>0</v>
      </c>
      <c r="Q2024" s="280">
        <f t="shared" si="2020"/>
        <v>0</v>
      </c>
      <c r="R2024" s="356" t="str">
        <f t="shared" si="1"/>
        <v/>
      </c>
      <c r="S2024" s="269" t="str">
        <f>IF(D2024="","",IF(OR(D2024=Plano!$A$1,D2024=Plano!$B$1),"entrada","saída"))</f>
        <v/>
      </c>
      <c r="T2024" s="406"/>
      <c r="U2024" s="406"/>
      <c r="V2024" s="269"/>
    </row>
    <row r="2025" spans="1:22" ht="12.75" customHeight="1" x14ac:dyDescent="0.2">
      <c r="A2025" s="289" t="str">
        <f>IF(B2025="","",COUNT('Diário 5º PA'!$A$5:$A$2634)+ROW()-4)</f>
        <v/>
      </c>
      <c r="B2025" s="290"/>
      <c r="C2025" s="357"/>
      <c r="D2025" s="291"/>
      <c r="E2025" s="291"/>
      <c r="F2025" s="292"/>
      <c r="G2025" s="291"/>
      <c r="H2025" s="291"/>
      <c r="I2025" s="293"/>
      <c r="J2025" s="291"/>
      <c r="K2025" s="291"/>
      <c r="L2025" s="293"/>
      <c r="M2025" s="291"/>
      <c r="N2025" s="289"/>
      <c r="O2025" s="358"/>
      <c r="P2025" s="402">
        <f t="shared" ref="P2025:Q2025" si="2021">IF(B2025=0,0,IF(YEAR(B2025)=$Q$1,MONTH(B2025)-$P$1+1,(YEAR(B2025)-$Q$1)*12-$P$1+1+MONTH(B2025)))</f>
        <v>0</v>
      </c>
      <c r="Q2025" s="280">
        <f t="shared" si="2021"/>
        <v>0</v>
      </c>
      <c r="R2025" s="356" t="str">
        <f t="shared" si="1"/>
        <v/>
      </c>
      <c r="S2025" s="269" t="str">
        <f>IF(D2025="","",IF(OR(D2025=Plano!$A$1,D2025=Plano!$B$1),"entrada","saída"))</f>
        <v/>
      </c>
      <c r="T2025" s="406"/>
      <c r="U2025" s="406"/>
      <c r="V2025" s="269"/>
    </row>
    <row r="2026" spans="1:22" ht="12.75" customHeight="1" x14ac:dyDescent="0.2">
      <c r="A2026" s="289" t="str">
        <f>IF(B2026="","",COUNT('Diário 5º PA'!$A$5:$A$2634)+ROW()-4)</f>
        <v/>
      </c>
      <c r="B2026" s="290"/>
      <c r="C2026" s="357"/>
      <c r="D2026" s="291"/>
      <c r="E2026" s="291"/>
      <c r="F2026" s="292"/>
      <c r="G2026" s="291"/>
      <c r="H2026" s="291"/>
      <c r="I2026" s="293"/>
      <c r="J2026" s="291"/>
      <c r="K2026" s="291"/>
      <c r="L2026" s="293"/>
      <c r="M2026" s="291"/>
      <c r="N2026" s="289"/>
      <c r="O2026" s="358"/>
      <c r="P2026" s="402">
        <f t="shared" ref="P2026:Q2026" si="2022">IF(B2026=0,0,IF(YEAR(B2026)=$Q$1,MONTH(B2026)-$P$1+1,(YEAR(B2026)-$Q$1)*12-$P$1+1+MONTH(B2026)))</f>
        <v>0</v>
      </c>
      <c r="Q2026" s="280">
        <f t="shared" si="2022"/>
        <v>0</v>
      </c>
      <c r="R2026" s="356" t="str">
        <f t="shared" si="1"/>
        <v/>
      </c>
      <c r="S2026" s="269" t="str">
        <f>IF(D2026="","",IF(OR(D2026=Plano!$A$1,D2026=Plano!$B$1),"entrada","saída"))</f>
        <v/>
      </c>
      <c r="T2026" s="406"/>
      <c r="U2026" s="406"/>
      <c r="V2026" s="269"/>
    </row>
    <row r="2027" spans="1:22" ht="12.75" customHeight="1" x14ac:dyDescent="0.2">
      <c r="A2027" s="289" t="str">
        <f>IF(B2027="","",COUNT('Diário 5º PA'!$A$5:$A$2634)+ROW()-4)</f>
        <v/>
      </c>
      <c r="B2027" s="290"/>
      <c r="C2027" s="357"/>
      <c r="D2027" s="291"/>
      <c r="E2027" s="291"/>
      <c r="F2027" s="292"/>
      <c r="G2027" s="291"/>
      <c r="H2027" s="291"/>
      <c r="I2027" s="293"/>
      <c r="J2027" s="291"/>
      <c r="K2027" s="291"/>
      <c r="L2027" s="293"/>
      <c r="M2027" s="291"/>
      <c r="N2027" s="289"/>
      <c r="O2027" s="358"/>
      <c r="P2027" s="402">
        <f t="shared" ref="P2027:Q2027" si="2023">IF(B2027=0,0,IF(YEAR(B2027)=$Q$1,MONTH(B2027)-$P$1+1,(YEAR(B2027)-$Q$1)*12-$P$1+1+MONTH(B2027)))</f>
        <v>0</v>
      </c>
      <c r="Q2027" s="280">
        <f t="shared" si="2023"/>
        <v>0</v>
      </c>
      <c r="R2027" s="356" t="str">
        <f t="shared" si="1"/>
        <v/>
      </c>
      <c r="S2027" s="269" t="str">
        <f>IF(D2027="","",IF(OR(D2027=Plano!$A$1,D2027=Plano!$B$1),"entrada","saída"))</f>
        <v/>
      </c>
      <c r="T2027" s="406"/>
      <c r="U2027" s="406"/>
      <c r="V2027" s="269"/>
    </row>
    <row r="2028" spans="1:22" ht="12.75" customHeight="1" x14ac:dyDescent="0.2">
      <c r="A2028" s="289" t="str">
        <f>IF(B2028="","",COUNT('Diário 5º PA'!$A$5:$A$2634)+ROW()-4)</f>
        <v/>
      </c>
      <c r="B2028" s="290"/>
      <c r="C2028" s="357"/>
      <c r="D2028" s="291"/>
      <c r="E2028" s="291"/>
      <c r="F2028" s="292"/>
      <c r="G2028" s="291"/>
      <c r="H2028" s="291"/>
      <c r="I2028" s="293"/>
      <c r="J2028" s="291"/>
      <c r="K2028" s="291"/>
      <c r="L2028" s="293"/>
      <c r="M2028" s="291"/>
      <c r="N2028" s="289"/>
      <c r="O2028" s="358"/>
      <c r="P2028" s="402">
        <f t="shared" ref="P2028:Q2028" si="2024">IF(B2028=0,0,IF(YEAR(B2028)=$Q$1,MONTH(B2028)-$P$1+1,(YEAR(B2028)-$Q$1)*12-$P$1+1+MONTH(B2028)))</f>
        <v>0</v>
      </c>
      <c r="Q2028" s="280">
        <f t="shared" si="2024"/>
        <v>0</v>
      </c>
      <c r="R2028" s="356" t="str">
        <f t="shared" si="1"/>
        <v/>
      </c>
      <c r="S2028" s="269" t="str">
        <f>IF(D2028="","",IF(OR(D2028=Plano!$A$1,D2028=Plano!$B$1),"entrada","saída"))</f>
        <v/>
      </c>
      <c r="T2028" s="406"/>
      <c r="U2028" s="406"/>
      <c r="V2028" s="269"/>
    </row>
    <row r="2029" spans="1:22" ht="12.75" customHeight="1" x14ac:dyDescent="0.2">
      <c r="A2029" s="289" t="str">
        <f>IF(B2029="","",COUNT('Diário 5º PA'!$A$5:$A$2634)+ROW()-4)</f>
        <v/>
      </c>
      <c r="B2029" s="290"/>
      <c r="C2029" s="357"/>
      <c r="D2029" s="291"/>
      <c r="E2029" s="291"/>
      <c r="F2029" s="292"/>
      <c r="G2029" s="291"/>
      <c r="H2029" s="291"/>
      <c r="I2029" s="293"/>
      <c r="J2029" s="291"/>
      <c r="K2029" s="291"/>
      <c r="L2029" s="293"/>
      <c r="M2029" s="291"/>
      <c r="N2029" s="289"/>
      <c r="O2029" s="358"/>
      <c r="P2029" s="402">
        <f t="shared" ref="P2029:Q2029" si="2025">IF(B2029=0,0,IF(YEAR(B2029)=$Q$1,MONTH(B2029)-$P$1+1,(YEAR(B2029)-$Q$1)*12-$P$1+1+MONTH(B2029)))</f>
        <v>0</v>
      </c>
      <c r="Q2029" s="280">
        <f t="shared" si="2025"/>
        <v>0</v>
      </c>
      <c r="R2029" s="356" t="str">
        <f t="shared" si="1"/>
        <v/>
      </c>
      <c r="S2029" s="269" t="str">
        <f>IF(D2029="","",IF(OR(D2029=Plano!$A$1,D2029=Plano!$B$1),"entrada","saída"))</f>
        <v/>
      </c>
      <c r="T2029" s="406"/>
      <c r="U2029" s="406"/>
      <c r="V2029" s="269"/>
    </row>
    <row r="2030" spans="1:22" ht="12.75" customHeight="1" x14ac:dyDescent="0.2">
      <c r="A2030" s="289" t="str">
        <f>IF(B2030="","",COUNT('Diário 5º PA'!$A$5:$A$2634)+ROW()-4)</f>
        <v/>
      </c>
      <c r="B2030" s="290"/>
      <c r="C2030" s="357"/>
      <c r="D2030" s="291"/>
      <c r="E2030" s="291"/>
      <c r="F2030" s="292"/>
      <c r="G2030" s="291"/>
      <c r="H2030" s="291"/>
      <c r="I2030" s="293"/>
      <c r="J2030" s="291"/>
      <c r="K2030" s="291"/>
      <c r="L2030" s="293"/>
      <c r="M2030" s="291"/>
      <c r="N2030" s="289"/>
      <c r="O2030" s="358"/>
      <c r="P2030" s="402">
        <f t="shared" ref="P2030:Q2030" si="2026">IF(B2030=0,0,IF(YEAR(B2030)=$Q$1,MONTH(B2030)-$P$1+1,(YEAR(B2030)-$Q$1)*12-$P$1+1+MONTH(B2030)))</f>
        <v>0</v>
      </c>
      <c r="Q2030" s="280">
        <f t="shared" si="2026"/>
        <v>0</v>
      </c>
      <c r="R2030" s="356" t="str">
        <f t="shared" si="1"/>
        <v/>
      </c>
      <c r="S2030" s="269" t="str">
        <f>IF(D2030="","",IF(OR(D2030=Plano!$A$1,D2030=Plano!$B$1),"entrada","saída"))</f>
        <v/>
      </c>
      <c r="T2030" s="406"/>
      <c r="U2030" s="406"/>
      <c r="V2030" s="269"/>
    </row>
    <row r="2031" spans="1:22" ht="12.75" customHeight="1" x14ac:dyDescent="0.2">
      <c r="A2031" s="289" t="str">
        <f>IF(B2031="","",COUNT('Diário 5º PA'!$A$5:$A$2634)+ROW()-4)</f>
        <v/>
      </c>
      <c r="B2031" s="290"/>
      <c r="C2031" s="357"/>
      <c r="D2031" s="291"/>
      <c r="E2031" s="291"/>
      <c r="F2031" s="292"/>
      <c r="G2031" s="291"/>
      <c r="H2031" s="291"/>
      <c r="I2031" s="293"/>
      <c r="J2031" s="291"/>
      <c r="K2031" s="291"/>
      <c r="L2031" s="293"/>
      <c r="M2031" s="291"/>
      <c r="N2031" s="289"/>
      <c r="O2031" s="358"/>
      <c r="P2031" s="402">
        <f t="shared" ref="P2031:Q2031" si="2027">IF(B2031=0,0,IF(YEAR(B2031)=$Q$1,MONTH(B2031)-$P$1+1,(YEAR(B2031)-$Q$1)*12-$P$1+1+MONTH(B2031)))</f>
        <v>0</v>
      </c>
      <c r="Q2031" s="280">
        <f t="shared" si="2027"/>
        <v>0</v>
      </c>
      <c r="R2031" s="356" t="str">
        <f t="shared" si="1"/>
        <v/>
      </c>
      <c r="S2031" s="269" t="str">
        <f>IF(D2031="","",IF(OR(D2031=Plano!$A$1,D2031=Plano!$B$1),"entrada","saída"))</f>
        <v/>
      </c>
      <c r="T2031" s="406"/>
      <c r="U2031" s="406"/>
      <c r="V2031" s="269"/>
    </row>
    <row r="2032" spans="1:22" ht="12.75" customHeight="1" x14ac:dyDescent="0.2">
      <c r="A2032" s="289" t="str">
        <f>IF(B2032="","",COUNT('Diário 5º PA'!$A$5:$A$2634)+ROW()-4)</f>
        <v/>
      </c>
      <c r="B2032" s="290"/>
      <c r="C2032" s="357"/>
      <c r="D2032" s="291"/>
      <c r="E2032" s="291"/>
      <c r="F2032" s="292"/>
      <c r="G2032" s="291"/>
      <c r="H2032" s="291"/>
      <c r="I2032" s="293"/>
      <c r="J2032" s="291"/>
      <c r="K2032" s="291"/>
      <c r="L2032" s="293"/>
      <c r="M2032" s="291"/>
      <c r="N2032" s="289"/>
      <c r="O2032" s="358"/>
      <c r="P2032" s="402">
        <f t="shared" ref="P2032:Q2032" si="2028">IF(B2032=0,0,IF(YEAR(B2032)=$Q$1,MONTH(B2032)-$P$1+1,(YEAR(B2032)-$Q$1)*12-$P$1+1+MONTH(B2032)))</f>
        <v>0</v>
      </c>
      <c r="Q2032" s="280">
        <f t="shared" si="2028"/>
        <v>0</v>
      </c>
      <c r="R2032" s="356" t="str">
        <f t="shared" si="1"/>
        <v/>
      </c>
      <c r="S2032" s="269" t="str">
        <f>IF(D2032="","",IF(OR(D2032=Plano!$A$1,D2032=Plano!$B$1),"entrada","saída"))</f>
        <v/>
      </c>
      <c r="T2032" s="406"/>
      <c r="U2032" s="406"/>
      <c r="V2032" s="269"/>
    </row>
    <row r="2033" spans="1:22" ht="12.75" customHeight="1" x14ac:dyDescent="0.2">
      <c r="A2033" s="289" t="str">
        <f>IF(B2033="","",COUNT('Diário 5º PA'!$A$5:$A$2634)+ROW()-4)</f>
        <v/>
      </c>
      <c r="B2033" s="290"/>
      <c r="C2033" s="357"/>
      <c r="D2033" s="291"/>
      <c r="E2033" s="291"/>
      <c r="F2033" s="292"/>
      <c r="G2033" s="291"/>
      <c r="H2033" s="291"/>
      <c r="I2033" s="293"/>
      <c r="J2033" s="291"/>
      <c r="K2033" s="291"/>
      <c r="L2033" s="293"/>
      <c r="M2033" s="291"/>
      <c r="N2033" s="289"/>
      <c r="O2033" s="358"/>
      <c r="P2033" s="402">
        <f t="shared" ref="P2033:Q2033" si="2029">IF(B2033=0,0,IF(YEAR(B2033)=$Q$1,MONTH(B2033)-$P$1+1,(YEAR(B2033)-$Q$1)*12-$P$1+1+MONTH(B2033)))</f>
        <v>0</v>
      </c>
      <c r="Q2033" s="280">
        <f t="shared" si="2029"/>
        <v>0</v>
      </c>
      <c r="R2033" s="356" t="str">
        <f t="shared" si="1"/>
        <v/>
      </c>
      <c r="S2033" s="269" t="str">
        <f>IF(D2033="","",IF(OR(D2033=Plano!$A$1,D2033=Plano!$B$1),"entrada","saída"))</f>
        <v/>
      </c>
      <c r="T2033" s="406"/>
      <c r="U2033" s="406"/>
      <c r="V2033" s="269"/>
    </row>
    <row r="2034" spans="1:22" ht="12.75" customHeight="1" x14ac:dyDescent="0.2">
      <c r="A2034" s="289" t="str">
        <f>IF(B2034="","",COUNT('Diário 5º PA'!$A$5:$A$2634)+ROW()-4)</f>
        <v/>
      </c>
      <c r="B2034" s="290"/>
      <c r="C2034" s="357"/>
      <c r="D2034" s="291"/>
      <c r="E2034" s="291"/>
      <c r="F2034" s="292"/>
      <c r="G2034" s="291"/>
      <c r="H2034" s="291"/>
      <c r="I2034" s="293"/>
      <c r="J2034" s="291"/>
      <c r="K2034" s="291"/>
      <c r="L2034" s="293"/>
      <c r="M2034" s="291"/>
      <c r="N2034" s="289"/>
      <c r="O2034" s="358"/>
      <c r="P2034" s="402">
        <f t="shared" ref="P2034:Q2034" si="2030">IF(B2034=0,0,IF(YEAR(B2034)=$Q$1,MONTH(B2034)-$P$1+1,(YEAR(B2034)-$Q$1)*12-$P$1+1+MONTH(B2034)))</f>
        <v>0</v>
      </c>
      <c r="Q2034" s="280">
        <f t="shared" si="2030"/>
        <v>0</v>
      </c>
      <c r="R2034" s="356" t="str">
        <f t="shared" si="1"/>
        <v/>
      </c>
      <c r="S2034" s="269" t="str">
        <f>IF(D2034="","",IF(OR(D2034=Plano!$A$1,D2034=Plano!$B$1),"entrada","saída"))</f>
        <v/>
      </c>
      <c r="T2034" s="406"/>
      <c r="U2034" s="406"/>
      <c r="V2034" s="269"/>
    </row>
    <row r="2035" spans="1:22" ht="12.75" customHeight="1" x14ac:dyDescent="0.2">
      <c r="A2035" s="289" t="str">
        <f>IF(B2035="","",COUNT('Diário 5º PA'!$A$5:$A$2634)+ROW()-4)</f>
        <v/>
      </c>
      <c r="B2035" s="290"/>
      <c r="C2035" s="357"/>
      <c r="D2035" s="291"/>
      <c r="E2035" s="291"/>
      <c r="F2035" s="292"/>
      <c r="G2035" s="291"/>
      <c r="H2035" s="291"/>
      <c r="I2035" s="293"/>
      <c r="J2035" s="291"/>
      <c r="K2035" s="291"/>
      <c r="L2035" s="293"/>
      <c r="M2035" s="291"/>
      <c r="N2035" s="289"/>
      <c r="O2035" s="358"/>
      <c r="P2035" s="402">
        <f t="shared" ref="P2035:Q2035" si="2031">IF(B2035=0,0,IF(YEAR(B2035)=$Q$1,MONTH(B2035)-$P$1+1,(YEAR(B2035)-$Q$1)*12-$P$1+1+MONTH(B2035)))</f>
        <v>0</v>
      </c>
      <c r="Q2035" s="280">
        <f t="shared" si="2031"/>
        <v>0</v>
      </c>
      <c r="R2035" s="356" t="str">
        <f t="shared" si="1"/>
        <v/>
      </c>
      <c r="S2035" s="269" t="str">
        <f>IF(D2035="","",IF(OR(D2035=Plano!$A$1,D2035=Plano!$B$1),"entrada","saída"))</f>
        <v/>
      </c>
      <c r="T2035" s="406"/>
      <c r="U2035" s="406"/>
      <c r="V2035" s="269"/>
    </row>
    <row r="2036" spans="1:22" ht="12.75" customHeight="1" x14ac:dyDescent="0.2">
      <c r="A2036" s="289" t="str">
        <f>IF(B2036="","",COUNT('Diário 5º PA'!$A$5:$A$2634)+ROW()-4)</f>
        <v/>
      </c>
      <c r="B2036" s="290"/>
      <c r="C2036" s="357"/>
      <c r="D2036" s="291"/>
      <c r="E2036" s="291"/>
      <c r="F2036" s="292"/>
      <c r="G2036" s="291"/>
      <c r="H2036" s="291"/>
      <c r="I2036" s="293"/>
      <c r="J2036" s="291"/>
      <c r="K2036" s="291"/>
      <c r="L2036" s="293"/>
      <c r="M2036" s="291"/>
      <c r="N2036" s="289"/>
      <c r="O2036" s="358"/>
      <c r="P2036" s="402">
        <f t="shared" ref="P2036:Q2036" si="2032">IF(B2036=0,0,IF(YEAR(B2036)=$Q$1,MONTH(B2036)-$P$1+1,(YEAR(B2036)-$Q$1)*12-$P$1+1+MONTH(B2036)))</f>
        <v>0</v>
      </c>
      <c r="Q2036" s="280">
        <f t="shared" si="2032"/>
        <v>0</v>
      </c>
      <c r="R2036" s="356" t="str">
        <f t="shared" si="1"/>
        <v/>
      </c>
      <c r="S2036" s="269" t="str">
        <f>IF(D2036="","",IF(OR(D2036=Plano!$A$1,D2036=Plano!$B$1),"entrada","saída"))</f>
        <v/>
      </c>
      <c r="T2036" s="406"/>
      <c r="U2036" s="406"/>
      <c r="V2036" s="269"/>
    </row>
    <row r="2037" spans="1:22" ht="12.75" customHeight="1" x14ac:dyDescent="0.2">
      <c r="A2037" s="289" t="str">
        <f>IF(B2037="","",COUNT('Diário 5º PA'!$A$5:$A$2634)+ROW()-4)</f>
        <v/>
      </c>
      <c r="B2037" s="290"/>
      <c r="C2037" s="357"/>
      <c r="D2037" s="291"/>
      <c r="E2037" s="291"/>
      <c r="F2037" s="292"/>
      <c r="G2037" s="291"/>
      <c r="H2037" s="291"/>
      <c r="I2037" s="293"/>
      <c r="J2037" s="291"/>
      <c r="K2037" s="291"/>
      <c r="L2037" s="293"/>
      <c r="M2037" s="291"/>
      <c r="N2037" s="289"/>
      <c r="O2037" s="358"/>
      <c r="P2037" s="402">
        <f t="shared" ref="P2037:Q2037" si="2033">IF(B2037=0,0,IF(YEAR(B2037)=$Q$1,MONTH(B2037)-$P$1+1,(YEAR(B2037)-$Q$1)*12-$P$1+1+MONTH(B2037)))</f>
        <v>0</v>
      </c>
      <c r="Q2037" s="280">
        <f t="shared" si="2033"/>
        <v>0</v>
      </c>
      <c r="R2037" s="356" t="str">
        <f t="shared" si="1"/>
        <v/>
      </c>
      <c r="S2037" s="269" t="str">
        <f>IF(D2037="","",IF(OR(D2037=Plano!$A$1,D2037=Plano!$B$1),"entrada","saída"))</f>
        <v/>
      </c>
      <c r="T2037" s="406"/>
      <c r="U2037" s="406"/>
      <c r="V2037" s="269"/>
    </row>
    <row r="2038" spans="1:22" ht="12.75" customHeight="1" x14ac:dyDescent="0.2">
      <c r="A2038" s="289" t="str">
        <f>IF(B2038="","",COUNT('Diário 5º PA'!$A$5:$A$2634)+ROW()-4)</f>
        <v/>
      </c>
      <c r="B2038" s="290"/>
      <c r="C2038" s="357"/>
      <c r="D2038" s="291"/>
      <c r="E2038" s="291"/>
      <c r="F2038" s="292"/>
      <c r="G2038" s="291"/>
      <c r="H2038" s="291"/>
      <c r="I2038" s="293"/>
      <c r="J2038" s="291"/>
      <c r="K2038" s="291"/>
      <c r="L2038" s="293"/>
      <c r="M2038" s="291"/>
      <c r="N2038" s="289"/>
      <c r="O2038" s="358"/>
      <c r="P2038" s="402">
        <f t="shared" ref="P2038:Q2038" si="2034">IF(B2038=0,0,IF(YEAR(B2038)=$Q$1,MONTH(B2038)-$P$1+1,(YEAR(B2038)-$Q$1)*12-$P$1+1+MONTH(B2038)))</f>
        <v>0</v>
      </c>
      <c r="Q2038" s="280">
        <f t="shared" si="2034"/>
        <v>0</v>
      </c>
      <c r="R2038" s="356" t="str">
        <f t="shared" si="1"/>
        <v/>
      </c>
      <c r="S2038" s="269" t="str">
        <f>IF(D2038="","",IF(OR(D2038=Plano!$A$1,D2038=Plano!$B$1),"entrada","saída"))</f>
        <v/>
      </c>
      <c r="T2038" s="406"/>
      <c r="U2038" s="406"/>
      <c r="V2038" s="269"/>
    </row>
    <row r="2039" spans="1:22" ht="12.75" customHeight="1" x14ac:dyDescent="0.2">
      <c r="A2039" s="289" t="str">
        <f>IF(B2039="","",COUNT('Diário 5º PA'!$A$5:$A$2634)+ROW()-4)</f>
        <v/>
      </c>
      <c r="B2039" s="290"/>
      <c r="C2039" s="357"/>
      <c r="D2039" s="291"/>
      <c r="E2039" s="291"/>
      <c r="F2039" s="292"/>
      <c r="G2039" s="291"/>
      <c r="H2039" s="291"/>
      <c r="I2039" s="293"/>
      <c r="J2039" s="291"/>
      <c r="K2039" s="291"/>
      <c r="L2039" s="293"/>
      <c r="M2039" s="291"/>
      <c r="N2039" s="289"/>
      <c r="O2039" s="358"/>
      <c r="P2039" s="402">
        <f t="shared" ref="P2039:Q2039" si="2035">IF(B2039=0,0,IF(YEAR(B2039)=$Q$1,MONTH(B2039)-$P$1+1,(YEAR(B2039)-$Q$1)*12-$P$1+1+MONTH(B2039)))</f>
        <v>0</v>
      </c>
      <c r="Q2039" s="280">
        <f t="shared" si="2035"/>
        <v>0</v>
      </c>
      <c r="R2039" s="356" t="str">
        <f t="shared" si="1"/>
        <v/>
      </c>
      <c r="S2039" s="269" t="str">
        <f>IF(D2039="","",IF(OR(D2039=Plano!$A$1,D2039=Plano!$B$1),"entrada","saída"))</f>
        <v/>
      </c>
      <c r="T2039" s="406"/>
      <c r="U2039" s="406"/>
      <c r="V2039" s="269"/>
    </row>
    <row r="2040" spans="1:22" ht="12.75" customHeight="1" x14ac:dyDescent="0.2">
      <c r="A2040" s="289" t="str">
        <f>IF(B2040="","",COUNT('Diário 5º PA'!$A$5:$A$2634)+ROW()-4)</f>
        <v/>
      </c>
      <c r="B2040" s="290"/>
      <c r="C2040" s="357"/>
      <c r="D2040" s="291"/>
      <c r="E2040" s="291"/>
      <c r="F2040" s="292"/>
      <c r="G2040" s="291"/>
      <c r="H2040" s="291"/>
      <c r="I2040" s="293"/>
      <c r="J2040" s="291"/>
      <c r="K2040" s="291"/>
      <c r="L2040" s="293"/>
      <c r="M2040" s="291"/>
      <c r="N2040" s="289"/>
      <c r="O2040" s="358"/>
      <c r="P2040" s="402">
        <f t="shared" ref="P2040:Q2040" si="2036">IF(B2040=0,0,IF(YEAR(B2040)=$Q$1,MONTH(B2040)-$P$1+1,(YEAR(B2040)-$Q$1)*12-$P$1+1+MONTH(B2040)))</f>
        <v>0</v>
      </c>
      <c r="Q2040" s="280">
        <f t="shared" si="2036"/>
        <v>0</v>
      </c>
      <c r="R2040" s="356" t="str">
        <f t="shared" si="1"/>
        <v/>
      </c>
      <c r="S2040" s="269" t="str">
        <f>IF(D2040="","",IF(OR(D2040=Plano!$A$1,D2040=Plano!$B$1),"entrada","saída"))</f>
        <v/>
      </c>
      <c r="T2040" s="406"/>
      <c r="U2040" s="406"/>
      <c r="V2040" s="269"/>
    </row>
    <row r="2041" spans="1:22" ht="12.75" customHeight="1" x14ac:dyDescent="0.2">
      <c r="A2041" s="289" t="str">
        <f>IF(B2041="","",COUNT('Diário 5º PA'!$A$5:$A$2634)+ROW()-4)</f>
        <v/>
      </c>
      <c r="B2041" s="290"/>
      <c r="C2041" s="357"/>
      <c r="D2041" s="291"/>
      <c r="E2041" s="291"/>
      <c r="F2041" s="292"/>
      <c r="G2041" s="291"/>
      <c r="H2041" s="291"/>
      <c r="I2041" s="293"/>
      <c r="J2041" s="291"/>
      <c r="K2041" s="291"/>
      <c r="L2041" s="293"/>
      <c r="M2041" s="291"/>
      <c r="N2041" s="289"/>
      <c r="O2041" s="358"/>
      <c r="P2041" s="402">
        <f t="shared" ref="P2041:Q2041" si="2037">IF(B2041=0,0,IF(YEAR(B2041)=$Q$1,MONTH(B2041)-$P$1+1,(YEAR(B2041)-$Q$1)*12-$P$1+1+MONTH(B2041)))</f>
        <v>0</v>
      </c>
      <c r="Q2041" s="280">
        <f t="shared" si="2037"/>
        <v>0</v>
      </c>
      <c r="R2041" s="356" t="str">
        <f t="shared" si="1"/>
        <v/>
      </c>
      <c r="S2041" s="269" t="str">
        <f>IF(D2041="","",IF(OR(D2041=Plano!$A$1,D2041=Plano!$B$1),"entrada","saída"))</f>
        <v/>
      </c>
      <c r="T2041" s="406"/>
      <c r="U2041" s="406"/>
      <c r="V2041" s="269"/>
    </row>
    <row r="2042" spans="1:22" ht="12.75" customHeight="1" x14ac:dyDescent="0.2">
      <c r="A2042" s="289" t="str">
        <f>IF(B2042="","",COUNT('Diário 5º PA'!$A$5:$A$2634)+ROW()-4)</f>
        <v/>
      </c>
      <c r="B2042" s="290"/>
      <c r="C2042" s="357"/>
      <c r="D2042" s="291"/>
      <c r="E2042" s="291"/>
      <c r="F2042" s="292"/>
      <c r="G2042" s="291"/>
      <c r="H2042" s="291"/>
      <c r="I2042" s="293"/>
      <c r="J2042" s="291"/>
      <c r="K2042" s="291"/>
      <c r="L2042" s="293"/>
      <c r="M2042" s="291"/>
      <c r="N2042" s="289"/>
      <c r="O2042" s="358"/>
      <c r="P2042" s="402">
        <f t="shared" ref="P2042:Q2042" si="2038">IF(B2042=0,0,IF(YEAR(B2042)=$Q$1,MONTH(B2042)-$P$1+1,(YEAR(B2042)-$Q$1)*12-$P$1+1+MONTH(B2042)))</f>
        <v>0</v>
      </c>
      <c r="Q2042" s="280">
        <f t="shared" si="2038"/>
        <v>0</v>
      </c>
      <c r="R2042" s="356" t="str">
        <f t="shared" si="1"/>
        <v/>
      </c>
      <c r="S2042" s="269" t="str">
        <f>IF(D2042="","",IF(OR(D2042=Plano!$A$1,D2042=Plano!$B$1),"entrada","saída"))</f>
        <v/>
      </c>
      <c r="T2042" s="406"/>
      <c r="U2042" s="406"/>
      <c r="V2042" s="269"/>
    </row>
    <row r="2043" spans="1:22" ht="12.75" customHeight="1" x14ac:dyDescent="0.2">
      <c r="A2043" s="289" t="str">
        <f>IF(B2043="","",COUNT('Diário 5º PA'!$A$5:$A$2634)+ROW()-4)</f>
        <v/>
      </c>
      <c r="B2043" s="290"/>
      <c r="C2043" s="357"/>
      <c r="D2043" s="291"/>
      <c r="E2043" s="291"/>
      <c r="F2043" s="292"/>
      <c r="G2043" s="291"/>
      <c r="H2043" s="291"/>
      <c r="I2043" s="293"/>
      <c r="J2043" s="291"/>
      <c r="K2043" s="291"/>
      <c r="L2043" s="293"/>
      <c r="M2043" s="291"/>
      <c r="N2043" s="289"/>
      <c r="O2043" s="358"/>
      <c r="P2043" s="402">
        <f t="shared" ref="P2043:Q2043" si="2039">IF(B2043=0,0,IF(YEAR(B2043)=$Q$1,MONTH(B2043)-$P$1+1,(YEAR(B2043)-$Q$1)*12-$P$1+1+MONTH(B2043)))</f>
        <v>0</v>
      </c>
      <c r="Q2043" s="280">
        <f t="shared" si="2039"/>
        <v>0</v>
      </c>
      <c r="R2043" s="356" t="str">
        <f t="shared" si="1"/>
        <v/>
      </c>
      <c r="S2043" s="269" t="str">
        <f>IF(D2043="","",IF(OR(D2043=Plano!$A$1,D2043=Plano!$B$1),"entrada","saída"))</f>
        <v/>
      </c>
      <c r="T2043" s="406"/>
      <c r="U2043" s="406"/>
      <c r="V2043" s="269"/>
    </row>
    <row r="2044" spans="1:22" ht="12.75" customHeight="1" x14ac:dyDescent="0.2">
      <c r="A2044" s="289" t="str">
        <f>IF(B2044="","",COUNT('Diário 5º PA'!$A$5:$A$2634)+ROW()-4)</f>
        <v/>
      </c>
      <c r="B2044" s="290"/>
      <c r="C2044" s="357"/>
      <c r="D2044" s="291"/>
      <c r="E2044" s="291"/>
      <c r="F2044" s="292"/>
      <c r="G2044" s="291"/>
      <c r="H2044" s="291"/>
      <c r="I2044" s="293"/>
      <c r="J2044" s="291"/>
      <c r="K2044" s="291"/>
      <c r="L2044" s="293"/>
      <c r="M2044" s="291"/>
      <c r="N2044" s="289"/>
      <c r="O2044" s="358"/>
      <c r="P2044" s="402">
        <f t="shared" ref="P2044:Q2044" si="2040">IF(B2044=0,0,IF(YEAR(B2044)=$Q$1,MONTH(B2044)-$P$1+1,(YEAR(B2044)-$Q$1)*12-$P$1+1+MONTH(B2044)))</f>
        <v>0</v>
      </c>
      <c r="Q2044" s="280">
        <f t="shared" si="2040"/>
        <v>0</v>
      </c>
      <c r="R2044" s="356" t="str">
        <f t="shared" si="1"/>
        <v/>
      </c>
      <c r="S2044" s="269" t="str">
        <f>IF(D2044="","",IF(OR(D2044=Plano!$A$1,D2044=Plano!$B$1),"entrada","saída"))</f>
        <v/>
      </c>
      <c r="T2044" s="406"/>
      <c r="U2044" s="406"/>
      <c r="V2044" s="269"/>
    </row>
    <row r="2045" spans="1:22" ht="12.75" customHeight="1" x14ac:dyDescent="0.2">
      <c r="A2045" s="289" t="str">
        <f>IF(B2045="","",COUNT('Diário 5º PA'!$A$5:$A$2634)+ROW()-4)</f>
        <v/>
      </c>
      <c r="B2045" s="290"/>
      <c r="C2045" s="357"/>
      <c r="D2045" s="291"/>
      <c r="E2045" s="291"/>
      <c r="F2045" s="292"/>
      <c r="G2045" s="291"/>
      <c r="H2045" s="291"/>
      <c r="I2045" s="293"/>
      <c r="J2045" s="291"/>
      <c r="K2045" s="291"/>
      <c r="L2045" s="293"/>
      <c r="M2045" s="291"/>
      <c r="N2045" s="289"/>
      <c r="O2045" s="358"/>
      <c r="P2045" s="402">
        <f t="shared" ref="P2045:Q2045" si="2041">IF(B2045=0,0,IF(YEAR(B2045)=$Q$1,MONTH(B2045)-$P$1+1,(YEAR(B2045)-$Q$1)*12-$P$1+1+MONTH(B2045)))</f>
        <v>0</v>
      </c>
      <c r="Q2045" s="280">
        <f t="shared" si="2041"/>
        <v>0</v>
      </c>
      <c r="R2045" s="356" t="str">
        <f t="shared" si="1"/>
        <v/>
      </c>
      <c r="S2045" s="269" t="str">
        <f>IF(D2045="","",IF(OR(D2045=Plano!$A$1,D2045=Plano!$B$1),"entrada","saída"))</f>
        <v/>
      </c>
      <c r="T2045" s="406"/>
      <c r="U2045" s="406"/>
      <c r="V2045" s="269"/>
    </row>
    <row r="2046" spans="1:22" ht="12.75" customHeight="1" x14ac:dyDescent="0.2">
      <c r="A2046" s="289" t="str">
        <f>IF(B2046="","",COUNT('Diário 5º PA'!$A$5:$A$2634)+ROW()-4)</f>
        <v/>
      </c>
      <c r="B2046" s="290"/>
      <c r="C2046" s="357"/>
      <c r="D2046" s="291"/>
      <c r="E2046" s="291"/>
      <c r="F2046" s="292"/>
      <c r="G2046" s="291"/>
      <c r="H2046" s="291"/>
      <c r="I2046" s="293"/>
      <c r="J2046" s="291"/>
      <c r="K2046" s="291"/>
      <c r="L2046" s="293"/>
      <c r="M2046" s="291"/>
      <c r="N2046" s="289"/>
      <c r="O2046" s="358"/>
      <c r="P2046" s="402">
        <f t="shared" ref="P2046:Q2046" si="2042">IF(B2046=0,0,IF(YEAR(B2046)=$Q$1,MONTH(B2046)-$P$1+1,(YEAR(B2046)-$Q$1)*12-$P$1+1+MONTH(B2046)))</f>
        <v>0</v>
      </c>
      <c r="Q2046" s="280">
        <f t="shared" si="2042"/>
        <v>0</v>
      </c>
      <c r="R2046" s="356" t="str">
        <f t="shared" si="1"/>
        <v/>
      </c>
      <c r="S2046" s="269" t="str">
        <f>IF(D2046="","",IF(OR(D2046=Plano!$A$1,D2046=Plano!$B$1),"entrada","saída"))</f>
        <v/>
      </c>
      <c r="T2046" s="406"/>
      <c r="U2046" s="406"/>
      <c r="V2046" s="269"/>
    </row>
    <row r="2047" spans="1:22" ht="12.75" customHeight="1" x14ac:dyDescent="0.2">
      <c r="A2047" s="289" t="str">
        <f>IF(B2047="","",COUNT('Diário 5º PA'!$A$5:$A$2634)+ROW()-4)</f>
        <v/>
      </c>
      <c r="B2047" s="290"/>
      <c r="C2047" s="357"/>
      <c r="D2047" s="291"/>
      <c r="E2047" s="291"/>
      <c r="F2047" s="292"/>
      <c r="G2047" s="291"/>
      <c r="H2047" s="291"/>
      <c r="I2047" s="293"/>
      <c r="J2047" s="291"/>
      <c r="K2047" s="291"/>
      <c r="L2047" s="293"/>
      <c r="M2047" s="291"/>
      <c r="N2047" s="289"/>
      <c r="O2047" s="358"/>
      <c r="P2047" s="402">
        <f t="shared" ref="P2047:Q2047" si="2043">IF(B2047=0,0,IF(YEAR(B2047)=$Q$1,MONTH(B2047)-$P$1+1,(YEAR(B2047)-$Q$1)*12-$P$1+1+MONTH(B2047)))</f>
        <v>0</v>
      </c>
      <c r="Q2047" s="280">
        <f t="shared" si="2043"/>
        <v>0</v>
      </c>
      <c r="R2047" s="356" t="str">
        <f t="shared" si="1"/>
        <v/>
      </c>
      <c r="S2047" s="269" t="str">
        <f>IF(D2047="","",IF(OR(D2047=Plano!$A$1,D2047=Plano!$B$1),"entrada","saída"))</f>
        <v/>
      </c>
      <c r="T2047" s="406"/>
      <c r="U2047" s="406"/>
      <c r="V2047" s="269"/>
    </row>
    <row r="2048" spans="1:22" ht="12.75" customHeight="1" x14ac:dyDescent="0.2">
      <c r="A2048" s="289" t="str">
        <f>IF(B2048="","",COUNT('Diário 5º PA'!$A$5:$A$2634)+ROW()-4)</f>
        <v/>
      </c>
      <c r="B2048" s="290"/>
      <c r="C2048" s="357"/>
      <c r="D2048" s="291"/>
      <c r="E2048" s="291"/>
      <c r="F2048" s="292"/>
      <c r="G2048" s="291"/>
      <c r="H2048" s="291"/>
      <c r="I2048" s="293"/>
      <c r="J2048" s="291"/>
      <c r="K2048" s="291"/>
      <c r="L2048" s="293"/>
      <c r="M2048" s="291"/>
      <c r="N2048" s="289"/>
      <c r="O2048" s="358"/>
      <c r="P2048" s="402">
        <f t="shared" ref="P2048:Q2048" si="2044">IF(B2048=0,0,IF(YEAR(B2048)=$Q$1,MONTH(B2048)-$P$1+1,(YEAR(B2048)-$Q$1)*12-$P$1+1+MONTH(B2048)))</f>
        <v>0</v>
      </c>
      <c r="Q2048" s="280">
        <f t="shared" si="2044"/>
        <v>0</v>
      </c>
      <c r="R2048" s="356" t="str">
        <f t="shared" si="1"/>
        <v/>
      </c>
      <c r="S2048" s="269" t="str">
        <f>IF(D2048="","",IF(OR(D2048=Plano!$A$1,D2048=Plano!$B$1),"entrada","saída"))</f>
        <v/>
      </c>
      <c r="T2048" s="406"/>
      <c r="U2048" s="406"/>
      <c r="V2048" s="269"/>
    </row>
    <row r="2049" spans="1:22" ht="12.75" customHeight="1" x14ac:dyDescent="0.2">
      <c r="A2049" s="289" t="str">
        <f>IF(B2049="","",COUNT('Diário 5º PA'!$A$5:$A$2634)+ROW()-4)</f>
        <v/>
      </c>
      <c r="B2049" s="290"/>
      <c r="C2049" s="357"/>
      <c r="D2049" s="291"/>
      <c r="E2049" s="291"/>
      <c r="F2049" s="292"/>
      <c r="G2049" s="291"/>
      <c r="H2049" s="291"/>
      <c r="I2049" s="293"/>
      <c r="J2049" s="291"/>
      <c r="K2049" s="291"/>
      <c r="L2049" s="293"/>
      <c r="M2049" s="291"/>
      <c r="N2049" s="289"/>
      <c r="O2049" s="358"/>
      <c r="P2049" s="402">
        <f t="shared" ref="P2049:Q2049" si="2045">IF(B2049=0,0,IF(YEAR(B2049)=$Q$1,MONTH(B2049)-$P$1+1,(YEAR(B2049)-$Q$1)*12-$P$1+1+MONTH(B2049)))</f>
        <v>0</v>
      </c>
      <c r="Q2049" s="280">
        <f t="shared" si="2045"/>
        <v>0</v>
      </c>
      <c r="R2049" s="356" t="str">
        <f t="shared" si="1"/>
        <v/>
      </c>
      <c r="S2049" s="269" t="str">
        <f>IF(D2049="","",IF(OR(D2049=Plano!$A$1,D2049=Plano!$B$1),"entrada","saída"))</f>
        <v/>
      </c>
      <c r="T2049" s="406"/>
      <c r="U2049" s="406"/>
      <c r="V2049" s="269"/>
    </row>
    <row r="2050" spans="1:22" ht="12.75" customHeight="1" x14ac:dyDescent="0.2">
      <c r="A2050" s="289" t="str">
        <f>IF(B2050="","",COUNT('Diário 5º PA'!$A$5:$A$2634)+ROW()-4)</f>
        <v/>
      </c>
      <c r="B2050" s="290"/>
      <c r="C2050" s="357"/>
      <c r="D2050" s="291"/>
      <c r="E2050" s="291"/>
      <c r="F2050" s="292"/>
      <c r="G2050" s="291"/>
      <c r="H2050" s="291"/>
      <c r="I2050" s="293"/>
      <c r="J2050" s="291"/>
      <c r="K2050" s="291"/>
      <c r="L2050" s="293"/>
      <c r="M2050" s="291"/>
      <c r="N2050" s="289"/>
      <c r="O2050" s="358"/>
      <c r="P2050" s="402">
        <f t="shared" ref="P2050:Q2050" si="2046">IF(B2050=0,0,IF(YEAR(B2050)=$Q$1,MONTH(B2050)-$P$1+1,(YEAR(B2050)-$Q$1)*12-$P$1+1+MONTH(B2050)))</f>
        <v>0</v>
      </c>
      <c r="Q2050" s="280">
        <f t="shared" si="2046"/>
        <v>0</v>
      </c>
      <c r="R2050" s="356" t="str">
        <f t="shared" si="1"/>
        <v/>
      </c>
      <c r="S2050" s="269" t="str">
        <f>IF(D2050="","",IF(OR(D2050=Plano!$A$1,D2050=Plano!$B$1),"entrada","saída"))</f>
        <v/>
      </c>
      <c r="T2050" s="406"/>
      <c r="U2050" s="406"/>
      <c r="V2050" s="269"/>
    </row>
    <row r="2051" spans="1:22" ht="12.75" customHeight="1" x14ac:dyDescent="0.2">
      <c r="A2051" s="289" t="str">
        <f>IF(B2051="","",COUNT('Diário 5º PA'!$A$5:$A$2634)+ROW()-4)</f>
        <v/>
      </c>
      <c r="B2051" s="290"/>
      <c r="C2051" s="357"/>
      <c r="D2051" s="291"/>
      <c r="E2051" s="291"/>
      <c r="F2051" s="292"/>
      <c r="G2051" s="291"/>
      <c r="H2051" s="291"/>
      <c r="I2051" s="293"/>
      <c r="J2051" s="291"/>
      <c r="K2051" s="291"/>
      <c r="L2051" s="293"/>
      <c r="M2051" s="291"/>
      <c r="N2051" s="289"/>
      <c r="O2051" s="358"/>
      <c r="P2051" s="402">
        <f t="shared" ref="P2051:Q2051" si="2047">IF(B2051=0,0,IF(YEAR(B2051)=$Q$1,MONTH(B2051)-$P$1+1,(YEAR(B2051)-$Q$1)*12-$P$1+1+MONTH(B2051)))</f>
        <v>0</v>
      </c>
      <c r="Q2051" s="280">
        <f t="shared" si="2047"/>
        <v>0</v>
      </c>
      <c r="R2051" s="356" t="str">
        <f t="shared" si="1"/>
        <v/>
      </c>
      <c r="S2051" s="269" t="str">
        <f>IF(D2051="","",IF(OR(D2051=Plano!$A$1,D2051=Plano!$B$1),"entrada","saída"))</f>
        <v/>
      </c>
      <c r="T2051" s="406"/>
      <c r="U2051" s="406"/>
      <c r="V2051" s="269"/>
    </row>
    <row r="2052" spans="1:22" ht="12.75" customHeight="1" x14ac:dyDescent="0.2">
      <c r="A2052" s="289" t="str">
        <f>IF(B2052="","",COUNT('Diário 5º PA'!$A$5:$A$2634)+ROW()-4)</f>
        <v/>
      </c>
      <c r="B2052" s="290"/>
      <c r="C2052" s="357"/>
      <c r="D2052" s="291"/>
      <c r="E2052" s="291"/>
      <c r="F2052" s="292"/>
      <c r="G2052" s="291"/>
      <c r="H2052" s="291"/>
      <c r="I2052" s="293"/>
      <c r="J2052" s="291"/>
      <c r="K2052" s="291"/>
      <c r="L2052" s="293"/>
      <c r="M2052" s="291"/>
      <c r="N2052" s="289"/>
      <c r="O2052" s="358"/>
      <c r="P2052" s="402">
        <f t="shared" ref="P2052:Q2052" si="2048">IF(B2052=0,0,IF(YEAR(B2052)=$Q$1,MONTH(B2052)-$P$1+1,(YEAR(B2052)-$Q$1)*12-$P$1+1+MONTH(B2052)))</f>
        <v>0</v>
      </c>
      <c r="Q2052" s="280">
        <f t="shared" si="2048"/>
        <v>0</v>
      </c>
      <c r="R2052" s="356" t="str">
        <f t="shared" si="1"/>
        <v/>
      </c>
      <c r="S2052" s="269" t="str">
        <f>IF(D2052="","",IF(OR(D2052=Plano!$A$1,D2052=Plano!$B$1),"entrada","saída"))</f>
        <v/>
      </c>
      <c r="T2052" s="406"/>
      <c r="U2052" s="406"/>
      <c r="V2052" s="269"/>
    </row>
    <row r="2053" spans="1:22" ht="12.75" customHeight="1" x14ac:dyDescent="0.2">
      <c r="A2053" s="289" t="str">
        <f>IF(B2053="","",COUNT('Diário 5º PA'!$A$5:$A$2634)+ROW()-4)</f>
        <v/>
      </c>
      <c r="B2053" s="290"/>
      <c r="C2053" s="357"/>
      <c r="D2053" s="291"/>
      <c r="E2053" s="291"/>
      <c r="F2053" s="292"/>
      <c r="G2053" s="291"/>
      <c r="H2053" s="291"/>
      <c r="I2053" s="293"/>
      <c r="J2053" s="291"/>
      <c r="K2053" s="291"/>
      <c r="L2053" s="293"/>
      <c r="M2053" s="291"/>
      <c r="N2053" s="289"/>
      <c r="O2053" s="358"/>
      <c r="P2053" s="402">
        <f t="shared" ref="P2053:Q2053" si="2049">IF(B2053=0,0,IF(YEAR(B2053)=$Q$1,MONTH(B2053)-$P$1+1,(YEAR(B2053)-$Q$1)*12-$P$1+1+MONTH(B2053)))</f>
        <v>0</v>
      </c>
      <c r="Q2053" s="280">
        <f t="shared" si="2049"/>
        <v>0</v>
      </c>
      <c r="R2053" s="356" t="str">
        <f t="shared" si="1"/>
        <v/>
      </c>
      <c r="S2053" s="269" t="str">
        <f>IF(D2053="","",IF(OR(D2053=Plano!$A$1,D2053=Plano!$B$1),"entrada","saída"))</f>
        <v/>
      </c>
      <c r="T2053" s="406"/>
      <c r="U2053" s="406"/>
      <c r="V2053" s="269"/>
    </row>
    <row r="2054" spans="1:22" ht="12.75" customHeight="1" x14ac:dyDescent="0.2">
      <c r="A2054" s="289" t="str">
        <f>IF(B2054="","",COUNT('Diário 5º PA'!$A$5:$A$2634)+ROW()-4)</f>
        <v/>
      </c>
      <c r="B2054" s="290"/>
      <c r="C2054" s="357"/>
      <c r="D2054" s="291"/>
      <c r="E2054" s="291"/>
      <c r="F2054" s="292"/>
      <c r="G2054" s="291"/>
      <c r="H2054" s="291"/>
      <c r="I2054" s="293"/>
      <c r="J2054" s="291"/>
      <c r="K2054" s="291"/>
      <c r="L2054" s="293"/>
      <c r="M2054" s="291"/>
      <c r="N2054" s="289"/>
      <c r="O2054" s="358"/>
      <c r="P2054" s="402">
        <f t="shared" ref="P2054:Q2054" si="2050">IF(B2054=0,0,IF(YEAR(B2054)=$Q$1,MONTH(B2054)-$P$1+1,(YEAR(B2054)-$Q$1)*12-$P$1+1+MONTH(B2054)))</f>
        <v>0</v>
      </c>
      <c r="Q2054" s="280">
        <f t="shared" si="2050"/>
        <v>0</v>
      </c>
      <c r="R2054" s="356" t="str">
        <f t="shared" si="1"/>
        <v/>
      </c>
      <c r="S2054" s="269" t="str">
        <f>IF(D2054="","",IF(OR(D2054=Plano!$A$1,D2054=Plano!$B$1),"entrada","saída"))</f>
        <v/>
      </c>
      <c r="T2054" s="406"/>
      <c r="U2054" s="406"/>
      <c r="V2054" s="269"/>
    </row>
    <row r="2055" spans="1:22" ht="12.75" customHeight="1" x14ac:dyDescent="0.2">
      <c r="A2055" s="289" t="str">
        <f>IF(B2055="","",COUNT('Diário 5º PA'!$A$5:$A$2634)+ROW()-4)</f>
        <v/>
      </c>
      <c r="B2055" s="290"/>
      <c r="C2055" s="357"/>
      <c r="D2055" s="291"/>
      <c r="E2055" s="291"/>
      <c r="F2055" s="292"/>
      <c r="G2055" s="291"/>
      <c r="H2055" s="291"/>
      <c r="I2055" s="293"/>
      <c r="J2055" s="291"/>
      <c r="K2055" s="291"/>
      <c r="L2055" s="293"/>
      <c r="M2055" s="291"/>
      <c r="N2055" s="289"/>
      <c r="O2055" s="358"/>
      <c r="P2055" s="402">
        <f t="shared" ref="P2055:Q2055" si="2051">IF(B2055=0,0,IF(YEAR(B2055)=$Q$1,MONTH(B2055)-$P$1+1,(YEAR(B2055)-$Q$1)*12-$P$1+1+MONTH(B2055)))</f>
        <v>0</v>
      </c>
      <c r="Q2055" s="280">
        <f t="shared" si="2051"/>
        <v>0</v>
      </c>
      <c r="R2055" s="356" t="str">
        <f t="shared" si="1"/>
        <v/>
      </c>
      <c r="S2055" s="269" t="str">
        <f>IF(D2055="","",IF(OR(D2055=Plano!$A$1,D2055=Plano!$B$1),"entrada","saída"))</f>
        <v/>
      </c>
      <c r="T2055" s="406"/>
      <c r="U2055" s="406"/>
      <c r="V2055" s="269"/>
    </row>
    <row r="2056" spans="1:22" ht="12.75" customHeight="1" x14ac:dyDescent="0.2">
      <c r="A2056" s="289" t="str">
        <f>IF(B2056="","",COUNT('Diário 5º PA'!$A$5:$A$2634)+ROW()-4)</f>
        <v/>
      </c>
      <c r="B2056" s="290"/>
      <c r="C2056" s="357"/>
      <c r="D2056" s="291"/>
      <c r="E2056" s="291"/>
      <c r="F2056" s="292"/>
      <c r="G2056" s="291"/>
      <c r="H2056" s="291"/>
      <c r="I2056" s="293"/>
      <c r="J2056" s="291"/>
      <c r="K2056" s="291"/>
      <c r="L2056" s="293"/>
      <c r="M2056" s="291"/>
      <c r="N2056" s="289"/>
      <c r="O2056" s="358"/>
      <c r="P2056" s="402">
        <f t="shared" ref="P2056:Q2056" si="2052">IF(B2056=0,0,IF(YEAR(B2056)=$Q$1,MONTH(B2056)-$P$1+1,(YEAR(B2056)-$Q$1)*12-$P$1+1+MONTH(B2056)))</f>
        <v>0</v>
      </c>
      <c r="Q2056" s="280">
        <f t="shared" si="2052"/>
        <v>0</v>
      </c>
      <c r="R2056" s="356" t="str">
        <f t="shared" si="1"/>
        <v/>
      </c>
      <c r="S2056" s="269" t="str">
        <f>IF(D2056="","",IF(OR(D2056=Plano!$A$1,D2056=Plano!$B$1),"entrada","saída"))</f>
        <v/>
      </c>
      <c r="T2056" s="406"/>
      <c r="U2056" s="406"/>
      <c r="V2056" s="269"/>
    </row>
    <row r="2057" spans="1:22" ht="12.75" customHeight="1" x14ac:dyDescent="0.2">
      <c r="A2057" s="289" t="str">
        <f>IF(B2057="","",COUNT('Diário 5º PA'!$A$5:$A$2634)+ROW()-4)</f>
        <v/>
      </c>
      <c r="B2057" s="290"/>
      <c r="C2057" s="357"/>
      <c r="D2057" s="291"/>
      <c r="E2057" s="291"/>
      <c r="F2057" s="292"/>
      <c r="G2057" s="291"/>
      <c r="H2057" s="291"/>
      <c r="I2057" s="293"/>
      <c r="J2057" s="291"/>
      <c r="K2057" s="291"/>
      <c r="L2057" s="293"/>
      <c r="M2057" s="291"/>
      <c r="N2057" s="289"/>
      <c r="O2057" s="358"/>
      <c r="P2057" s="402">
        <f t="shared" ref="P2057:Q2057" si="2053">IF(B2057=0,0,IF(YEAR(B2057)=$Q$1,MONTH(B2057)-$P$1+1,(YEAR(B2057)-$Q$1)*12-$P$1+1+MONTH(B2057)))</f>
        <v>0</v>
      </c>
      <c r="Q2057" s="280">
        <f t="shared" si="2053"/>
        <v>0</v>
      </c>
      <c r="R2057" s="356" t="str">
        <f t="shared" si="1"/>
        <v/>
      </c>
      <c r="S2057" s="269" t="str">
        <f>IF(D2057="","",IF(OR(D2057=Plano!$A$1,D2057=Plano!$B$1),"entrada","saída"))</f>
        <v/>
      </c>
      <c r="T2057" s="406"/>
      <c r="U2057" s="406"/>
      <c r="V2057" s="269"/>
    </row>
    <row r="2058" spans="1:22" ht="12.75" customHeight="1" x14ac:dyDescent="0.2">
      <c r="A2058" s="289" t="str">
        <f>IF(B2058="","",COUNT('Diário 5º PA'!$A$5:$A$2634)+ROW()-4)</f>
        <v/>
      </c>
      <c r="B2058" s="290"/>
      <c r="C2058" s="357"/>
      <c r="D2058" s="291"/>
      <c r="E2058" s="291"/>
      <c r="F2058" s="292"/>
      <c r="G2058" s="291"/>
      <c r="H2058" s="291"/>
      <c r="I2058" s="293"/>
      <c r="J2058" s="291"/>
      <c r="K2058" s="291"/>
      <c r="L2058" s="293"/>
      <c r="M2058" s="291"/>
      <c r="N2058" s="289"/>
      <c r="O2058" s="358"/>
      <c r="P2058" s="402">
        <f t="shared" ref="P2058:Q2058" si="2054">IF(B2058=0,0,IF(YEAR(B2058)=$Q$1,MONTH(B2058)-$P$1+1,(YEAR(B2058)-$Q$1)*12-$P$1+1+MONTH(B2058)))</f>
        <v>0</v>
      </c>
      <c r="Q2058" s="280">
        <f t="shared" si="2054"/>
        <v>0</v>
      </c>
      <c r="R2058" s="356" t="str">
        <f t="shared" si="1"/>
        <v/>
      </c>
      <c r="S2058" s="269" t="str">
        <f>IF(D2058="","",IF(OR(D2058=Plano!$A$1,D2058=Plano!$B$1),"entrada","saída"))</f>
        <v/>
      </c>
      <c r="T2058" s="406"/>
      <c r="U2058" s="406"/>
      <c r="V2058" s="269"/>
    </row>
    <row r="2059" spans="1:22" ht="12.75" customHeight="1" x14ac:dyDescent="0.2">
      <c r="A2059" s="289" t="str">
        <f>IF(B2059="","",COUNT('Diário 5º PA'!$A$5:$A$2634)+ROW()-4)</f>
        <v/>
      </c>
      <c r="B2059" s="290"/>
      <c r="C2059" s="357"/>
      <c r="D2059" s="291"/>
      <c r="E2059" s="291"/>
      <c r="F2059" s="292"/>
      <c r="G2059" s="291"/>
      <c r="H2059" s="291"/>
      <c r="I2059" s="293"/>
      <c r="J2059" s="291"/>
      <c r="K2059" s="291"/>
      <c r="L2059" s="293"/>
      <c r="M2059" s="291"/>
      <c r="N2059" s="289"/>
      <c r="O2059" s="358"/>
      <c r="P2059" s="402">
        <f t="shared" ref="P2059:Q2059" si="2055">IF(B2059=0,0,IF(YEAR(B2059)=$Q$1,MONTH(B2059)-$P$1+1,(YEAR(B2059)-$Q$1)*12-$P$1+1+MONTH(B2059)))</f>
        <v>0</v>
      </c>
      <c r="Q2059" s="280">
        <f t="shared" si="2055"/>
        <v>0</v>
      </c>
      <c r="R2059" s="356" t="str">
        <f t="shared" si="1"/>
        <v/>
      </c>
      <c r="S2059" s="269" t="str">
        <f>IF(D2059="","",IF(OR(D2059=Plano!$A$1,D2059=Plano!$B$1),"entrada","saída"))</f>
        <v/>
      </c>
      <c r="T2059" s="406"/>
      <c r="U2059" s="406"/>
      <c r="V2059" s="269"/>
    </row>
    <row r="2060" spans="1:22" ht="12.75" customHeight="1" x14ac:dyDescent="0.2">
      <c r="A2060" s="289" t="str">
        <f>IF(B2060="","",COUNT('Diário 5º PA'!$A$5:$A$2634)+ROW()-4)</f>
        <v/>
      </c>
      <c r="B2060" s="290"/>
      <c r="C2060" s="357"/>
      <c r="D2060" s="291"/>
      <c r="E2060" s="291"/>
      <c r="F2060" s="292"/>
      <c r="G2060" s="291"/>
      <c r="H2060" s="291"/>
      <c r="I2060" s="293"/>
      <c r="J2060" s="291"/>
      <c r="K2060" s="291"/>
      <c r="L2060" s="293"/>
      <c r="M2060" s="291"/>
      <c r="N2060" s="289"/>
      <c r="O2060" s="358"/>
      <c r="P2060" s="402">
        <f t="shared" ref="P2060:Q2060" si="2056">IF(B2060=0,0,IF(YEAR(B2060)=$Q$1,MONTH(B2060)-$P$1+1,(YEAR(B2060)-$Q$1)*12-$P$1+1+MONTH(B2060)))</f>
        <v>0</v>
      </c>
      <c r="Q2060" s="280">
        <f t="shared" si="2056"/>
        <v>0</v>
      </c>
      <c r="R2060" s="356" t="str">
        <f t="shared" si="1"/>
        <v/>
      </c>
      <c r="S2060" s="269" t="str">
        <f>IF(D2060="","",IF(OR(D2060=Plano!$A$1,D2060=Plano!$B$1),"entrada","saída"))</f>
        <v/>
      </c>
      <c r="T2060" s="406"/>
      <c r="U2060" s="406"/>
      <c r="V2060" s="269"/>
    </row>
    <row r="2061" spans="1:22" ht="12.75" customHeight="1" x14ac:dyDescent="0.2">
      <c r="A2061" s="289" t="str">
        <f>IF(B2061="","",COUNT('Diário 5º PA'!$A$5:$A$2634)+ROW()-4)</f>
        <v/>
      </c>
      <c r="B2061" s="290"/>
      <c r="C2061" s="357"/>
      <c r="D2061" s="291"/>
      <c r="E2061" s="291"/>
      <c r="F2061" s="292"/>
      <c r="G2061" s="291"/>
      <c r="H2061" s="291"/>
      <c r="I2061" s="293"/>
      <c r="J2061" s="291"/>
      <c r="K2061" s="291"/>
      <c r="L2061" s="293"/>
      <c r="M2061" s="291"/>
      <c r="N2061" s="289"/>
      <c r="O2061" s="358"/>
      <c r="P2061" s="402">
        <f t="shared" ref="P2061:Q2061" si="2057">IF(B2061=0,0,IF(YEAR(B2061)=$Q$1,MONTH(B2061)-$P$1+1,(YEAR(B2061)-$Q$1)*12-$P$1+1+MONTH(B2061)))</f>
        <v>0</v>
      </c>
      <c r="Q2061" s="280">
        <f t="shared" si="2057"/>
        <v>0</v>
      </c>
      <c r="R2061" s="356" t="str">
        <f t="shared" si="1"/>
        <v/>
      </c>
      <c r="S2061" s="269" t="str">
        <f>IF(D2061="","",IF(OR(D2061=Plano!$A$1,D2061=Plano!$B$1),"entrada","saída"))</f>
        <v/>
      </c>
      <c r="T2061" s="406"/>
      <c r="U2061" s="406"/>
      <c r="V2061" s="269"/>
    </row>
    <row r="2062" spans="1:22" ht="12.75" customHeight="1" x14ac:dyDescent="0.2">
      <c r="A2062" s="289" t="str">
        <f>IF(B2062="","",COUNT('Diário 5º PA'!$A$5:$A$2634)+ROW()-4)</f>
        <v/>
      </c>
      <c r="B2062" s="290"/>
      <c r="C2062" s="357"/>
      <c r="D2062" s="291"/>
      <c r="E2062" s="291"/>
      <c r="F2062" s="292"/>
      <c r="G2062" s="291"/>
      <c r="H2062" s="291"/>
      <c r="I2062" s="293"/>
      <c r="J2062" s="291"/>
      <c r="K2062" s="291"/>
      <c r="L2062" s="293"/>
      <c r="M2062" s="291"/>
      <c r="N2062" s="289"/>
      <c r="O2062" s="358"/>
      <c r="P2062" s="402">
        <f t="shared" ref="P2062:Q2062" si="2058">IF(B2062=0,0,IF(YEAR(B2062)=$Q$1,MONTH(B2062)-$P$1+1,(YEAR(B2062)-$Q$1)*12-$P$1+1+MONTH(B2062)))</f>
        <v>0</v>
      </c>
      <c r="Q2062" s="280">
        <f t="shared" si="2058"/>
        <v>0</v>
      </c>
      <c r="R2062" s="356" t="str">
        <f t="shared" si="1"/>
        <v/>
      </c>
      <c r="S2062" s="269" t="str">
        <f>IF(D2062="","",IF(OR(D2062=Plano!$A$1,D2062=Plano!$B$1),"entrada","saída"))</f>
        <v/>
      </c>
      <c r="T2062" s="406"/>
      <c r="U2062" s="406"/>
      <c r="V2062" s="269"/>
    </row>
    <row r="2063" spans="1:22" ht="12.75" customHeight="1" x14ac:dyDescent="0.2">
      <c r="A2063" s="289" t="str">
        <f>IF(B2063="","",COUNT('Diário 5º PA'!$A$5:$A$2634)+ROW()-4)</f>
        <v/>
      </c>
      <c r="B2063" s="290"/>
      <c r="C2063" s="357"/>
      <c r="D2063" s="291"/>
      <c r="E2063" s="291"/>
      <c r="F2063" s="292"/>
      <c r="G2063" s="291"/>
      <c r="H2063" s="291"/>
      <c r="I2063" s="293"/>
      <c r="J2063" s="291"/>
      <c r="K2063" s="291"/>
      <c r="L2063" s="293"/>
      <c r="M2063" s="291"/>
      <c r="N2063" s="289"/>
      <c r="O2063" s="358"/>
      <c r="P2063" s="402">
        <f t="shared" ref="P2063:Q2063" si="2059">IF(B2063=0,0,IF(YEAR(B2063)=$Q$1,MONTH(B2063)-$P$1+1,(YEAR(B2063)-$Q$1)*12-$P$1+1+MONTH(B2063)))</f>
        <v>0</v>
      </c>
      <c r="Q2063" s="280">
        <f t="shared" si="2059"/>
        <v>0</v>
      </c>
      <c r="R2063" s="356" t="str">
        <f t="shared" si="1"/>
        <v/>
      </c>
      <c r="S2063" s="269" t="str">
        <f>IF(D2063="","",IF(OR(D2063=Plano!$A$1,D2063=Plano!$B$1),"entrada","saída"))</f>
        <v/>
      </c>
      <c r="T2063" s="406"/>
      <c r="U2063" s="406"/>
      <c r="V2063" s="269"/>
    </row>
    <row r="2064" spans="1:22" ht="12.75" customHeight="1" x14ac:dyDescent="0.2">
      <c r="A2064" s="289" t="str">
        <f>IF(B2064="","",COUNT('Diário 5º PA'!$A$5:$A$2634)+ROW()-4)</f>
        <v/>
      </c>
      <c r="B2064" s="290"/>
      <c r="C2064" s="357"/>
      <c r="D2064" s="291"/>
      <c r="E2064" s="291"/>
      <c r="F2064" s="292"/>
      <c r="G2064" s="291"/>
      <c r="H2064" s="291"/>
      <c r="I2064" s="293"/>
      <c r="J2064" s="291"/>
      <c r="K2064" s="291"/>
      <c r="L2064" s="293"/>
      <c r="M2064" s="291"/>
      <c r="N2064" s="289"/>
      <c r="O2064" s="358"/>
      <c r="P2064" s="402">
        <f t="shared" ref="P2064:Q2064" si="2060">IF(B2064=0,0,IF(YEAR(B2064)=$Q$1,MONTH(B2064)-$P$1+1,(YEAR(B2064)-$Q$1)*12-$P$1+1+MONTH(B2064)))</f>
        <v>0</v>
      </c>
      <c r="Q2064" s="280">
        <f t="shared" si="2060"/>
        <v>0</v>
      </c>
      <c r="R2064" s="356" t="str">
        <f t="shared" si="1"/>
        <v/>
      </c>
      <c r="S2064" s="269" t="str">
        <f>IF(D2064="","",IF(OR(D2064=Plano!$A$1,D2064=Plano!$B$1),"entrada","saída"))</f>
        <v/>
      </c>
      <c r="T2064" s="406"/>
      <c r="U2064" s="406"/>
      <c r="V2064" s="269"/>
    </row>
    <row r="2065" spans="1:22" ht="12.75" customHeight="1" x14ac:dyDescent="0.2">
      <c r="A2065" s="289" t="str">
        <f>IF(B2065="","",COUNT('Diário 5º PA'!$A$5:$A$2634)+ROW()-4)</f>
        <v/>
      </c>
      <c r="B2065" s="290"/>
      <c r="C2065" s="357"/>
      <c r="D2065" s="291"/>
      <c r="E2065" s="291"/>
      <c r="F2065" s="292"/>
      <c r="G2065" s="291"/>
      <c r="H2065" s="291"/>
      <c r="I2065" s="293"/>
      <c r="J2065" s="291"/>
      <c r="K2065" s="291"/>
      <c r="L2065" s="293"/>
      <c r="M2065" s="291"/>
      <c r="N2065" s="289"/>
      <c r="O2065" s="358"/>
      <c r="P2065" s="402">
        <f t="shared" ref="P2065:Q2065" si="2061">IF(B2065=0,0,IF(YEAR(B2065)=$Q$1,MONTH(B2065)-$P$1+1,(YEAR(B2065)-$Q$1)*12-$P$1+1+MONTH(B2065)))</f>
        <v>0</v>
      </c>
      <c r="Q2065" s="280">
        <f t="shared" si="2061"/>
        <v>0</v>
      </c>
      <c r="R2065" s="356" t="str">
        <f t="shared" si="1"/>
        <v/>
      </c>
      <c r="S2065" s="269" t="str">
        <f>IF(D2065="","",IF(OR(D2065=Plano!$A$1,D2065=Plano!$B$1),"entrada","saída"))</f>
        <v/>
      </c>
      <c r="T2065" s="406"/>
      <c r="U2065" s="406"/>
      <c r="V2065" s="269"/>
    </row>
    <row r="2066" spans="1:22" ht="12.75" customHeight="1" x14ac:dyDescent="0.2">
      <c r="A2066" s="289" t="str">
        <f>IF(B2066="","",COUNT('Diário 5º PA'!$A$5:$A$2634)+ROW()-4)</f>
        <v/>
      </c>
      <c r="B2066" s="290"/>
      <c r="C2066" s="357"/>
      <c r="D2066" s="291"/>
      <c r="E2066" s="291"/>
      <c r="F2066" s="292"/>
      <c r="G2066" s="291"/>
      <c r="H2066" s="291"/>
      <c r="I2066" s="293"/>
      <c r="J2066" s="291"/>
      <c r="K2066" s="291"/>
      <c r="L2066" s="293"/>
      <c r="M2066" s="291"/>
      <c r="N2066" s="289"/>
      <c r="O2066" s="358"/>
      <c r="P2066" s="402">
        <f t="shared" ref="P2066:Q2066" si="2062">IF(B2066=0,0,IF(YEAR(B2066)=$Q$1,MONTH(B2066)-$P$1+1,(YEAR(B2066)-$Q$1)*12-$P$1+1+MONTH(B2066)))</f>
        <v>0</v>
      </c>
      <c r="Q2066" s="280">
        <f t="shared" si="2062"/>
        <v>0</v>
      </c>
      <c r="R2066" s="356" t="str">
        <f t="shared" si="1"/>
        <v/>
      </c>
      <c r="S2066" s="269" t="str">
        <f>IF(D2066="","",IF(OR(D2066=Plano!$A$1,D2066=Plano!$B$1),"entrada","saída"))</f>
        <v/>
      </c>
      <c r="T2066" s="406"/>
      <c r="U2066" s="406"/>
      <c r="V2066" s="269"/>
    </row>
    <row r="2067" spans="1:22" ht="12.75" customHeight="1" x14ac:dyDescent="0.2">
      <c r="A2067" s="289" t="str">
        <f>IF(B2067="","",COUNT('Diário 5º PA'!$A$5:$A$2634)+ROW()-4)</f>
        <v/>
      </c>
      <c r="B2067" s="290"/>
      <c r="C2067" s="357"/>
      <c r="D2067" s="291"/>
      <c r="E2067" s="291"/>
      <c r="F2067" s="292"/>
      <c r="G2067" s="291"/>
      <c r="H2067" s="291"/>
      <c r="I2067" s="293"/>
      <c r="J2067" s="291"/>
      <c r="K2067" s="291"/>
      <c r="L2067" s="293"/>
      <c r="M2067" s="291"/>
      <c r="N2067" s="289"/>
      <c r="O2067" s="358"/>
      <c r="P2067" s="402">
        <f t="shared" ref="P2067:Q2067" si="2063">IF(B2067=0,0,IF(YEAR(B2067)=$Q$1,MONTH(B2067)-$P$1+1,(YEAR(B2067)-$Q$1)*12-$P$1+1+MONTH(B2067)))</f>
        <v>0</v>
      </c>
      <c r="Q2067" s="280">
        <f t="shared" si="2063"/>
        <v>0</v>
      </c>
      <c r="R2067" s="356" t="str">
        <f t="shared" si="1"/>
        <v/>
      </c>
      <c r="S2067" s="269" t="str">
        <f>IF(D2067="","",IF(OR(D2067=Plano!$A$1,D2067=Plano!$B$1),"entrada","saída"))</f>
        <v/>
      </c>
      <c r="T2067" s="406"/>
      <c r="U2067" s="406"/>
      <c r="V2067" s="269"/>
    </row>
    <row r="2068" spans="1:22" ht="12.75" customHeight="1" x14ac:dyDescent="0.2">
      <c r="A2068" s="289" t="str">
        <f>IF(B2068="","",COUNT('Diário 5º PA'!$A$5:$A$2634)+ROW()-4)</f>
        <v/>
      </c>
      <c r="B2068" s="290"/>
      <c r="C2068" s="357"/>
      <c r="D2068" s="291"/>
      <c r="E2068" s="291"/>
      <c r="F2068" s="292"/>
      <c r="G2068" s="291"/>
      <c r="H2068" s="291"/>
      <c r="I2068" s="293"/>
      <c r="J2068" s="291"/>
      <c r="K2068" s="291"/>
      <c r="L2068" s="293"/>
      <c r="M2068" s="291"/>
      <c r="N2068" s="289"/>
      <c r="O2068" s="358"/>
      <c r="P2068" s="402">
        <f t="shared" ref="P2068:Q2068" si="2064">IF(B2068=0,0,IF(YEAR(B2068)=$Q$1,MONTH(B2068)-$P$1+1,(YEAR(B2068)-$Q$1)*12-$P$1+1+MONTH(B2068)))</f>
        <v>0</v>
      </c>
      <c r="Q2068" s="280">
        <f t="shared" si="2064"/>
        <v>0</v>
      </c>
      <c r="R2068" s="356" t="str">
        <f t="shared" si="1"/>
        <v/>
      </c>
      <c r="S2068" s="269" t="str">
        <f>IF(D2068="","",IF(OR(D2068=Plano!$A$1,D2068=Plano!$B$1),"entrada","saída"))</f>
        <v/>
      </c>
      <c r="T2068" s="406"/>
      <c r="U2068" s="406"/>
      <c r="V2068" s="269"/>
    </row>
    <row r="2069" spans="1:22" ht="12.75" customHeight="1" x14ac:dyDescent="0.2">
      <c r="A2069" s="289" t="str">
        <f>IF(B2069="","",COUNT('Diário 5º PA'!$A$5:$A$2634)+ROW()-4)</f>
        <v/>
      </c>
      <c r="B2069" s="290"/>
      <c r="C2069" s="357"/>
      <c r="D2069" s="291"/>
      <c r="E2069" s="291"/>
      <c r="F2069" s="292"/>
      <c r="G2069" s="291"/>
      <c r="H2069" s="291"/>
      <c r="I2069" s="293"/>
      <c r="J2069" s="291"/>
      <c r="K2069" s="291"/>
      <c r="L2069" s="293"/>
      <c r="M2069" s="291"/>
      <c r="N2069" s="289"/>
      <c r="O2069" s="358"/>
      <c r="P2069" s="402">
        <f t="shared" ref="P2069:Q2069" si="2065">IF(B2069=0,0,IF(YEAR(B2069)=$Q$1,MONTH(B2069)-$P$1+1,(YEAR(B2069)-$Q$1)*12-$P$1+1+MONTH(B2069)))</f>
        <v>0</v>
      </c>
      <c r="Q2069" s="280">
        <f t="shared" si="2065"/>
        <v>0</v>
      </c>
      <c r="R2069" s="356" t="str">
        <f t="shared" si="1"/>
        <v/>
      </c>
      <c r="S2069" s="269" t="str">
        <f>IF(D2069="","",IF(OR(D2069=Plano!$A$1,D2069=Plano!$B$1),"entrada","saída"))</f>
        <v/>
      </c>
      <c r="T2069" s="406"/>
      <c r="U2069" s="406"/>
      <c r="V2069" s="269"/>
    </row>
    <row r="2070" spans="1:22" ht="12.75" customHeight="1" x14ac:dyDescent="0.2">
      <c r="A2070" s="289" t="str">
        <f>IF(B2070="","",COUNT('Diário 5º PA'!$A$5:$A$2634)+ROW()-4)</f>
        <v/>
      </c>
      <c r="B2070" s="290"/>
      <c r="C2070" s="357"/>
      <c r="D2070" s="291"/>
      <c r="E2070" s="291"/>
      <c r="F2070" s="292"/>
      <c r="G2070" s="291"/>
      <c r="H2070" s="291"/>
      <c r="I2070" s="293"/>
      <c r="J2070" s="291"/>
      <c r="K2070" s="291"/>
      <c r="L2070" s="293"/>
      <c r="M2070" s="291"/>
      <c r="N2070" s="289"/>
      <c r="O2070" s="358"/>
      <c r="P2070" s="402">
        <f t="shared" ref="P2070:Q2070" si="2066">IF(B2070=0,0,IF(YEAR(B2070)=$Q$1,MONTH(B2070)-$P$1+1,(YEAR(B2070)-$Q$1)*12-$P$1+1+MONTH(B2070)))</f>
        <v>0</v>
      </c>
      <c r="Q2070" s="280">
        <f t="shared" si="2066"/>
        <v>0</v>
      </c>
      <c r="R2070" s="356" t="str">
        <f t="shared" si="1"/>
        <v/>
      </c>
      <c r="S2070" s="269" t="str">
        <f>IF(D2070="","",IF(OR(D2070=Plano!$A$1,D2070=Plano!$B$1),"entrada","saída"))</f>
        <v/>
      </c>
      <c r="T2070" s="406"/>
      <c r="U2070" s="406"/>
      <c r="V2070" s="269"/>
    </row>
    <row r="2071" spans="1:22" ht="12.75" customHeight="1" x14ac:dyDescent="0.2">
      <c r="A2071" s="289" t="str">
        <f>IF(B2071="","",COUNT('Diário 5º PA'!$A$5:$A$2634)+ROW()-4)</f>
        <v/>
      </c>
      <c r="B2071" s="290"/>
      <c r="C2071" s="357"/>
      <c r="D2071" s="291"/>
      <c r="E2071" s="291"/>
      <c r="F2071" s="292"/>
      <c r="G2071" s="291"/>
      <c r="H2071" s="291"/>
      <c r="I2071" s="293"/>
      <c r="J2071" s="291"/>
      <c r="K2071" s="291"/>
      <c r="L2071" s="293"/>
      <c r="M2071" s="291"/>
      <c r="N2071" s="289"/>
      <c r="O2071" s="358"/>
      <c r="P2071" s="402">
        <f t="shared" ref="P2071:Q2071" si="2067">IF(B2071=0,0,IF(YEAR(B2071)=$Q$1,MONTH(B2071)-$P$1+1,(YEAR(B2071)-$Q$1)*12-$P$1+1+MONTH(B2071)))</f>
        <v>0</v>
      </c>
      <c r="Q2071" s="280">
        <f t="shared" si="2067"/>
        <v>0</v>
      </c>
      <c r="R2071" s="356" t="str">
        <f t="shared" si="1"/>
        <v/>
      </c>
      <c r="S2071" s="269" t="str">
        <f>IF(D2071="","",IF(OR(D2071=Plano!$A$1,D2071=Plano!$B$1),"entrada","saída"))</f>
        <v/>
      </c>
      <c r="T2071" s="406"/>
      <c r="U2071" s="406"/>
      <c r="V2071" s="269"/>
    </row>
    <row r="2072" spans="1:22" ht="12.75" customHeight="1" x14ac:dyDescent="0.2">
      <c r="A2072" s="289" t="str">
        <f>IF(B2072="","",COUNT('Diário 5º PA'!$A$5:$A$2634)+ROW()-4)</f>
        <v/>
      </c>
      <c r="B2072" s="290"/>
      <c r="C2072" s="357"/>
      <c r="D2072" s="291"/>
      <c r="E2072" s="291"/>
      <c r="F2072" s="292"/>
      <c r="G2072" s="291"/>
      <c r="H2072" s="291"/>
      <c r="I2072" s="293"/>
      <c r="J2072" s="291"/>
      <c r="K2072" s="291"/>
      <c r="L2072" s="293"/>
      <c r="M2072" s="291"/>
      <c r="N2072" s="289"/>
      <c r="O2072" s="358"/>
      <c r="P2072" s="402">
        <f t="shared" ref="P2072:Q2072" si="2068">IF(B2072=0,0,IF(YEAR(B2072)=$Q$1,MONTH(B2072)-$P$1+1,(YEAR(B2072)-$Q$1)*12-$P$1+1+MONTH(B2072)))</f>
        <v>0</v>
      </c>
      <c r="Q2072" s="280">
        <f t="shared" si="2068"/>
        <v>0</v>
      </c>
      <c r="R2072" s="356" t="str">
        <f t="shared" si="1"/>
        <v/>
      </c>
      <c r="S2072" s="269" t="str">
        <f>IF(D2072="","",IF(OR(D2072=Plano!$A$1,D2072=Plano!$B$1),"entrada","saída"))</f>
        <v/>
      </c>
      <c r="T2072" s="406"/>
      <c r="U2072" s="406"/>
      <c r="V2072" s="269"/>
    </row>
    <row r="2073" spans="1:22" ht="12.75" customHeight="1" x14ac:dyDescent="0.2">
      <c r="A2073" s="289" t="str">
        <f>IF(B2073="","",COUNT('Diário 5º PA'!$A$5:$A$2634)+ROW()-4)</f>
        <v/>
      </c>
      <c r="B2073" s="290"/>
      <c r="C2073" s="357"/>
      <c r="D2073" s="291"/>
      <c r="E2073" s="291"/>
      <c r="F2073" s="292"/>
      <c r="G2073" s="291"/>
      <c r="H2073" s="291"/>
      <c r="I2073" s="293"/>
      <c r="J2073" s="291"/>
      <c r="K2073" s="291"/>
      <c r="L2073" s="293"/>
      <c r="M2073" s="291"/>
      <c r="N2073" s="289"/>
      <c r="O2073" s="358"/>
      <c r="P2073" s="402">
        <f t="shared" ref="P2073:Q2073" si="2069">IF(B2073=0,0,IF(YEAR(B2073)=$Q$1,MONTH(B2073)-$P$1+1,(YEAR(B2073)-$Q$1)*12-$P$1+1+MONTH(B2073)))</f>
        <v>0</v>
      </c>
      <c r="Q2073" s="280">
        <f t="shared" si="2069"/>
        <v>0</v>
      </c>
      <c r="R2073" s="356" t="str">
        <f t="shared" si="1"/>
        <v/>
      </c>
      <c r="S2073" s="269" t="str">
        <f>IF(D2073="","",IF(OR(D2073=Plano!$A$1,D2073=Plano!$B$1),"entrada","saída"))</f>
        <v/>
      </c>
      <c r="T2073" s="406"/>
      <c r="U2073" s="406"/>
      <c r="V2073" s="269"/>
    </row>
    <row r="2074" spans="1:22" ht="12.75" customHeight="1" x14ac:dyDescent="0.2">
      <c r="A2074" s="289" t="str">
        <f>IF(B2074="","",COUNT('Diário 5º PA'!$A$5:$A$2634)+ROW()-4)</f>
        <v/>
      </c>
      <c r="B2074" s="290"/>
      <c r="C2074" s="357"/>
      <c r="D2074" s="291"/>
      <c r="E2074" s="291"/>
      <c r="F2074" s="292"/>
      <c r="G2074" s="291"/>
      <c r="H2074" s="291"/>
      <c r="I2074" s="293"/>
      <c r="J2074" s="291"/>
      <c r="K2074" s="291"/>
      <c r="L2074" s="293"/>
      <c r="M2074" s="291"/>
      <c r="N2074" s="289"/>
      <c r="O2074" s="358"/>
      <c r="P2074" s="402">
        <f t="shared" ref="P2074:Q2074" si="2070">IF(B2074=0,0,IF(YEAR(B2074)=$Q$1,MONTH(B2074)-$P$1+1,(YEAR(B2074)-$Q$1)*12-$P$1+1+MONTH(B2074)))</f>
        <v>0</v>
      </c>
      <c r="Q2074" s="280">
        <f t="shared" si="2070"/>
        <v>0</v>
      </c>
      <c r="R2074" s="356" t="str">
        <f t="shared" si="1"/>
        <v/>
      </c>
      <c r="S2074" s="269" t="str">
        <f>IF(D2074="","",IF(OR(D2074=Plano!$A$1,D2074=Plano!$B$1),"entrada","saída"))</f>
        <v/>
      </c>
      <c r="T2074" s="406"/>
      <c r="U2074" s="406"/>
      <c r="V2074" s="269"/>
    </row>
    <row r="2075" spans="1:22" ht="12.75" customHeight="1" x14ac:dyDescent="0.2">
      <c r="A2075" s="289" t="str">
        <f>IF(B2075="","",COUNT('Diário 5º PA'!$A$5:$A$2634)+ROW()-4)</f>
        <v/>
      </c>
      <c r="B2075" s="290"/>
      <c r="C2075" s="357"/>
      <c r="D2075" s="291"/>
      <c r="E2075" s="291"/>
      <c r="F2075" s="292"/>
      <c r="G2075" s="291"/>
      <c r="H2075" s="291"/>
      <c r="I2075" s="293"/>
      <c r="J2075" s="291"/>
      <c r="K2075" s="291"/>
      <c r="L2075" s="293"/>
      <c r="M2075" s="291"/>
      <c r="N2075" s="289"/>
      <c r="O2075" s="358"/>
      <c r="P2075" s="402">
        <f t="shared" ref="P2075:Q2075" si="2071">IF(B2075=0,0,IF(YEAR(B2075)=$Q$1,MONTH(B2075)-$P$1+1,(YEAR(B2075)-$Q$1)*12-$P$1+1+MONTH(B2075)))</f>
        <v>0</v>
      </c>
      <c r="Q2075" s="280">
        <f t="shared" si="2071"/>
        <v>0</v>
      </c>
      <c r="R2075" s="356" t="str">
        <f t="shared" si="1"/>
        <v/>
      </c>
      <c r="S2075" s="269" t="str">
        <f>IF(D2075="","",IF(OR(D2075=Plano!$A$1,D2075=Plano!$B$1),"entrada","saída"))</f>
        <v/>
      </c>
      <c r="T2075" s="406"/>
      <c r="U2075" s="406"/>
      <c r="V2075" s="269"/>
    </row>
    <row r="2076" spans="1:22" ht="12.75" customHeight="1" x14ac:dyDescent="0.2">
      <c r="A2076" s="289" t="str">
        <f>IF(B2076="","",COUNT('Diário 5º PA'!$A$5:$A$2634)+ROW()-4)</f>
        <v/>
      </c>
      <c r="B2076" s="290"/>
      <c r="C2076" s="357"/>
      <c r="D2076" s="291"/>
      <c r="E2076" s="291"/>
      <c r="F2076" s="292"/>
      <c r="G2076" s="291"/>
      <c r="H2076" s="291"/>
      <c r="I2076" s="293"/>
      <c r="J2076" s="291"/>
      <c r="K2076" s="291"/>
      <c r="L2076" s="293"/>
      <c r="M2076" s="291"/>
      <c r="N2076" s="289"/>
      <c r="O2076" s="358"/>
      <c r="P2076" s="402">
        <f t="shared" ref="P2076:Q2076" si="2072">IF(B2076=0,0,IF(YEAR(B2076)=$Q$1,MONTH(B2076)-$P$1+1,(YEAR(B2076)-$Q$1)*12-$P$1+1+MONTH(B2076)))</f>
        <v>0</v>
      </c>
      <c r="Q2076" s="280">
        <f t="shared" si="2072"/>
        <v>0</v>
      </c>
      <c r="R2076" s="356" t="str">
        <f t="shared" si="1"/>
        <v/>
      </c>
      <c r="S2076" s="269" t="str">
        <f>IF(D2076="","",IF(OR(D2076=Plano!$A$1,D2076=Plano!$B$1),"entrada","saída"))</f>
        <v/>
      </c>
      <c r="T2076" s="406"/>
      <c r="U2076" s="406"/>
      <c r="V2076" s="269"/>
    </row>
    <row r="2077" spans="1:22" ht="12.75" customHeight="1" x14ac:dyDescent="0.2">
      <c r="A2077" s="289" t="str">
        <f>IF(B2077="","",COUNT('Diário 5º PA'!$A$5:$A$2634)+ROW()-4)</f>
        <v/>
      </c>
      <c r="B2077" s="290"/>
      <c r="C2077" s="357"/>
      <c r="D2077" s="291"/>
      <c r="E2077" s="291"/>
      <c r="F2077" s="292"/>
      <c r="G2077" s="291"/>
      <c r="H2077" s="291"/>
      <c r="I2077" s="293"/>
      <c r="J2077" s="291"/>
      <c r="K2077" s="291"/>
      <c r="L2077" s="293"/>
      <c r="M2077" s="291"/>
      <c r="N2077" s="289"/>
      <c r="O2077" s="358"/>
      <c r="P2077" s="402">
        <f t="shared" ref="P2077:Q2077" si="2073">IF(B2077=0,0,IF(YEAR(B2077)=$Q$1,MONTH(B2077)-$P$1+1,(YEAR(B2077)-$Q$1)*12-$P$1+1+MONTH(B2077)))</f>
        <v>0</v>
      </c>
      <c r="Q2077" s="280">
        <f t="shared" si="2073"/>
        <v>0</v>
      </c>
      <c r="R2077" s="356" t="str">
        <f t="shared" si="1"/>
        <v/>
      </c>
      <c r="S2077" s="269" t="str">
        <f>IF(D2077="","",IF(OR(D2077=Plano!$A$1,D2077=Plano!$B$1),"entrada","saída"))</f>
        <v/>
      </c>
      <c r="T2077" s="406"/>
      <c r="U2077" s="406"/>
      <c r="V2077" s="269"/>
    </row>
    <row r="2078" spans="1:22" ht="12.75" customHeight="1" x14ac:dyDescent="0.2">
      <c r="A2078" s="289" t="str">
        <f>IF(B2078="","",COUNT('Diário 5º PA'!$A$5:$A$2634)+ROW()-4)</f>
        <v/>
      </c>
      <c r="B2078" s="290"/>
      <c r="C2078" s="357"/>
      <c r="D2078" s="291"/>
      <c r="E2078" s="291"/>
      <c r="F2078" s="292"/>
      <c r="G2078" s="291"/>
      <c r="H2078" s="291"/>
      <c r="I2078" s="293"/>
      <c r="J2078" s="291"/>
      <c r="K2078" s="291"/>
      <c r="L2078" s="293"/>
      <c r="M2078" s="291"/>
      <c r="N2078" s="289"/>
      <c r="O2078" s="358"/>
      <c r="P2078" s="402">
        <f t="shared" ref="P2078:Q2078" si="2074">IF(B2078=0,0,IF(YEAR(B2078)=$Q$1,MONTH(B2078)-$P$1+1,(YEAR(B2078)-$Q$1)*12-$P$1+1+MONTH(B2078)))</f>
        <v>0</v>
      </c>
      <c r="Q2078" s="280">
        <f t="shared" si="2074"/>
        <v>0</v>
      </c>
      <c r="R2078" s="356" t="str">
        <f t="shared" si="1"/>
        <v/>
      </c>
      <c r="S2078" s="269" t="str">
        <f>IF(D2078="","",IF(OR(D2078=Plano!$A$1,D2078=Plano!$B$1),"entrada","saída"))</f>
        <v/>
      </c>
      <c r="T2078" s="406"/>
      <c r="U2078" s="406"/>
      <c r="V2078" s="269"/>
    </row>
    <row r="2079" spans="1:22" ht="12.75" customHeight="1" x14ac:dyDescent="0.2">
      <c r="A2079" s="289" t="str">
        <f>IF(B2079="","",COUNT('Diário 5º PA'!$A$5:$A$2634)+ROW()-4)</f>
        <v/>
      </c>
      <c r="B2079" s="290"/>
      <c r="C2079" s="357"/>
      <c r="D2079" s="291"/>
      <c r="E2079" s="291"/>
      <c r="F2079" s="292"/>
      <c r="G2079" s="291"/>
      <c r="H2079" s="291"/>
      <c r="I2079" s="293"/>
      <c r="J2079" s="291"/>
      <c r="K2079" s="291"/>
      <c r="L2079" s="293"/>
      <c r="M2079" s="291"/>
      <c r="N2079" s="289"/>
      <c r="O2079" s="358"/>
      <c r="P2079" s="402">
        <f t="shared" ref="P2079:Q2079" si="2075">IF(B2079=0,0,IF(YEAR(B2079)=$Q$1,MONTH(B2079)-$P$1+1,(YEAR(B2079)-$Q$1)*12-$P$1+1+MONTH(B2079)))</f>
        <v>0</v>
      </c>
      <c r="Q2079" s="280">
        <f t="shared" si="2075"/>
        <v>0</v>
      </c>
      <c r="R2079" s="356" t="str">
        <f t="shared" si="1"/>
        <v/>
      </c>
      <c r="S2079" s="269" t="str">
        <f>IF(D2079="","",IF(OR(D2079=Plano!$A$1,D2079=Plano!$B$1),"entrada","saída"))</f>
        <v/>
      </c>
      <c r="T2079" s="406"/>
      <c r="U2079" s="406"/>
      <c r="V2079" s="269"/>
    </row>
    <row r="2080" spans="1:22" ht="12.75" customHeight="1" x14ac:dyDescent="0.2">
      <c r="A2080" s="289" t="str">
        <f>IF(B2080="","",COUNT('Diário 5º PA'!$A$5:$A$2634)+ROW()-4)</f>
        <v/>
      </c>
      <c r="B2080" s="290"/>
      <c r="C2080" s="357"/>
      <c r="D2080" s="291"/>
      <c r="E2080" s="291"/>
      <c r="F2080" s="292"/>
      <c r="G2080" s="291"/>
      <c r="H2080" s="291"/>
      <c r="I2080" s="293"/>
      <c r="J2080" s="291"/>
      <c r="K2080" s="291"/>
      <c r="L2080" s="293"/>
      <c r="M2080" s="291"/>
      <c r="N2080" s="289"/>
      <c r="O2080" s="358"/>
      <c r="P2080" s="402">
        <f t="shared" ref="P2080:Q2080" si="2076">IF(B2080=0,0,IF(YEAR(B2080)=$Q$1,MONTH(B2080)-$P$1+1,(YEAR(B2080)-$Q$1)*12-$P$1+1+MONTH(B2080)))</f>
        <v>0</v>
      </c>
      <c r="Q2080" s="280">
        <f t="shared" si="2076"/>
        <v>0</v>
      </c>
      <c r="R2080" s="356" t="str">
        <f t="shared" si="1"/>
        <v/>
      </c>
      <c r="S2080" s="269" t="str">
        <f>IF(D2080="","",IF(OR(D2080=Plano!$A$1,D2080=Plano!$B$1),"entrada","saída"))</f>
        <v/>
      </c>
      <c r="T2080" s="406"/>
      <c r="U2080" s="406"/>
      <c r="V2080" s="269"/>
    </row>
    <row r="2081" spans="1:22" ht="12.75" customHeight="1" x14ac:dyDescent="0.2">
      <c r="A2081" s="289" t="str">
        <f>IF(B2081="","",COUNT('Diário 5º PA'!$A$5:$A$2634)+ROW()-4)</f>
        <v/>
      </c>
      <c r="B2081" s="290"/>
      <c r="C2081" s="357"/>
      <c r="D2081" s="291"/>
      <c r="E2081" s="291"/>
      <c r="F2081" s="292"/>
      <c r="G2081" s="291"/>
      <c r="H2081" s="291"/>
      <c r="I2081" s="293"/>
      <c r="J2081" s="291"/>
      <c r="K2081" s="291"/>
      <c r="L2081" s="293"/>
      <c r="M2081" s="291"/>
      <c r="N2081" s="289"/>
      <c r="O2081" s="358"/>
      <c r="P2081" s="402">
        <f t="shared" ref="P2081:Q2081" si="2077">IF(B2081=0,0,IF(YEAR(B2081)=$Q$1,MONTH(B2081)-$P$1+1,(YEAR(B2081)-$Q$1)*12-$P$1+1+MONTH(B2081)))</f>
        <v>0</v>
      </c>
      <c r="Q2081" s="280">
        <f t="shared" si="2077"/>
        <v>0</v>
      </c>
      <c r="R2081" s="356" t="str">
        <f t="shared" si="1"/>
        <v/>
      </c>
      <c r="S2081" s="269" t="str">
        <f>IF(D2081="","",IF(OR(D2081=Plano!$A$1,D2081=Plano!$B$1),"entrada","saída"))</f>
        <v/>
      </c>
      <c r="T2081" s="406"/>
      <c r="U2081" s="406"/>
      <c r="V2081" s="269"/>
    </row>
    <row r="2082" spans="1:22" ht="12.75" customHeight="1" x14ac:dyDescent="0.2">
      <c r="A2082" s="289" t="str">
        <f>IF(B2082="","",COUNT('Diário 5º PA'!$A$5:$A$2634)+ROW()-4)</f>
        <v/>
      </c>
      <c r="B2082" s="290"/>
      <c r="C2082" s="357"/>
      <c r="D2082" s="291"/>
      <c r="E2082" s="291"/>
      <c r="F2082" s="292"/>
      <c r="G2082" s="291"/>
      <c r="H2082" s="291"/>
      <c r="I2082" s="293"/>
      <c r="J2082" s="291"/>
      <c r="K2082" s="291"/>
      <c r="L2082" s="293"/>
      <c r="M2082" s="291"/>
      <c r="N2082" s="289"/>
      <c r="O2082" s="358"/>
      <c r="P2082" s="402">
        <f t="shared" ref="P2082:Q2082" si="2078">IF(B2082=0,0,IF(YEAR(B2082)=$Q$1,MONTH(B2082)-$P$1+1,(YEAR(B2082)-$Q$1)*12-$P$1+1+MONTH(B2082)))</f>
        <v>0</v>
      </c>
      <c r="Q2082" s="280">
        <f t="shared" si="2078"/>
        <v>0</v>
      </c>
      <c r="R2082" s="356" t="str">
        <f t="shared" si="1"/>
        <v/>
      </c>
      <c r="S2082" s="269" t="str">
        <f>IF(D2082="","",IF(OR(D2082=Plano!$A$1,D2082=Plano!$B$1),"entrada","saída"))</f>
        <v/>
      </c>
      <c r="T2082" s="406"/>
      <c r="U2082" s="406"/>
      <c r="V2082" s="269"/>
    </row>
    <row r="2083" spans="1:22" ht="12.75" customHeight="1" x14ac:dyDescent="0.2">
      <c r="A2083" s="289" t="str">
        <f>IF(B2083="","",COUNT('Diário 5º PA'!$A$5:$A$2634)+ROW()-4)</f>
        <v/>
      </c>
      <c r="B2083" s="290"/>
      <c r="C2083" s="357"/>
      <c r="D2083" s="291"/>
      <c r="E2083" s="291"/>
      <c r="F2083" s="292"/>
      <c r="G2083" s="291"/>
      <c r="H2083" s="291"/>
      <c r="I2083" s="293"/>
      <c r="J2083" s="291"/>
      <c r="K2083" s="291"/>
      <c r="L2083" s="293"/>
      <c r="M2083" s="291"/>
      <c r="N2083" s="289"/>
      <c r="O2083" s="358"/>
      <c r="P2083" s="402">
        <f t="shared" ref="P2083:Q2083" si="2079">IF(B2083=0,0,IF(YEAR(B2083)=$Q$1,MONTH(B2083)-$P$1+1,(YEAR(B2083)-$Q$1)*12-$P$1+1+MONTH(B2083)))</f>
        <v>0</v>
      </c>
      <c r="Q2083" s="280">
        <f t="shared" si="2079"/>
        <v>0</v>
      </c>
      <c r="R2083" s="356" t="str">
        <f t="shared" si="1"/>
        <v/>
      </c>
      <c r="S2083" s="269" t="str">
        <f>IF(D2083="","",IF(OR(D2083=Plano!$A$1,D2083=Plano!$B$1),"entrada","saída"))</f>
        <v/>
      </c>
      <c r="T2083" s="406"/>
      <c r="U2083" s="406"/>
      <c r="V2083" s="269"/>
    </row>
    <row r="2084" spans="1:22" ht="12.75" customHeight="1" x14ac:dyDescent="0.2">
      <c r="A2084" s="289" t="str">
        <f>IF(B2084="","",COUNT('Diário 5º PA'!$A$5:$A$2634)+ROW()-4)</f>
        <v/>
      </c>
      <c r="B2084" s="290"/>
      <c r="C2084" s="357"/>
      <c r="D2084" s="291"/>
      <c r="E2084" s="291"/>
      <c r="F2084" s="292"/>
      <c r="G2084" s="291"/>
      <c r="H2084" s="291"/>
      <c r="I2084" s="293"/>
      <c r="J2084" s="291"/>
      <c r="K2084" s="291"/>
      <c r="L2084" s="293"/>
      <c r="M2084" s="291"/>
      <c r="N2084" s="289"/>
      <c r="O2084" s="358"/>
      <c r="P2084" s="402">
        <f t="shared" ref="P2084:Q2084" si="2080">IF(B2084=0,0,IF(YEAR(B2084)=$Q$1,MONTH(B2084)-$P$1+1,(YEAR(B2084)-$Q$1)*12-$P$1+1+MONTH(B2084)))</f>
        <v>0</v>
      </c>
      <c r="Q2084" s="280">
        <f t="shared" si="2080"/>
        <v>0</v>
      </c>
      <c r="R2084" s="356" t="str">
        <f t="shared" si="1"/>
        <v/>
      </c>
      <c r="S2084" s="269" t="str">
        <f>IF(D2084="","",IF(OR(D2084=Plano!$A$1,D2084=Plano!$B$1),"entrada","saída"))</f>
        <v/>
      </c>
      <c r="T2084" s="406"/>
      <c r="U2084" s="406"/>
      <c r="V2084" s="269"/>
    </row>
    <row r="2085" spans="1:22" ht="12.75" customHeight="1" x14ac:dyDescent="0.2">
      <c r="A2085" s="289" t="str">
        <f>IF(B2085="","",COUNT('Diário 5º PA'!$A$5:$A$2634)+ROW()-4)</f>
        <v/>
      </c>
      <c r="B2085" s="290"/>
      <c r="C2085" s="357"/>
      <c r="D2085" s="291"/>
      <c r="E2085" s="291"/>
      <c r="F2085" s="292"/>
      <c r="G2085" s="291"/>
      <c r="H2085" s="291"/>
      <c r="I2085" s="293"/>
      <c r="J2085" s="291"/>
      <c r="K2085" s="291"/>
      <c r="L2085" s="293"/>
      <c r="M2085" s="291"/>
      <c r="N2085" s="289"/>
      <c r="O2085" s="358"/>
      <c r="P2085" s="402">
        <f t="shared" ref="P2085:Q2085" si="2081">IF(B2085=0,0,IF(YEAR(B2085)=$Q$1,MONTH(B2085)-$P$1+1,(YEAR(B2085)-$Q$1)*12-$P$1+1+MONTH(B2085)))</f>
        <v>0</v>
      </c>
      <c r="Q2085" s="280">
        <f t="shared" si="2081"/>
        <v>0</v>
      </c>
      <c r="R2085" s="356" t="str">
        <f t="shared" si="1"/>
        <v/>
      </c>
      <c r="S2085" s="269" t="str">
        <f>IF(D2085="","",IF(OR(D2085=Plano!$A$1,D2085=Plano!$B$1),"entrada","saída"))</f>
        <v/>
      </c>
      <c r="T2085" s="406"/>
      <c r="U2085" s="406"/>
      <c r="V2085" s="269"/>
    </row>
    <row r="2086" spans="1:22" ht="12.75" customHeight="1" x14ac:dyDescent="0.2">
      <c r="A2086" s="289" t="str">
        <f>IF(B2086="","",COUNT('Diário 5º PA'!$A$5:$A$2634)+ROW()-4)</f>
        <v/>
      </c>
      <c r="B2086" s="290"/>
      <c r="C2086" s="357"/>
      <c r="D2086" s="291"/>
      <c r="E2086" s="291"/>
      <c r="F2086" s="292"/>
      <c r="G2086" s="291"/>
      <c r="H2086" s="291"/>
      <c r="I2086" s="293"/>
      <c r="J2086" s="291"/>
      <c r="K2086" s="291"/>
      <c r="L2086" s="293"/>
      <c r="M2086" s="291"/>
      <c r="N2086" s="289"/>
      <c r="O2086" s="358"/>
      <c r="P2086" s="402">
        <f t="shared" ref="P2086:Q2086" si="2082">IF(B2086=0,0,IF(YEAR(B2086)=$Q$1,MONTH(B2086)-$P$1+1,(YEAR(B2086)-$Q$1)*12-$P$1+1+MONTH(B2086)))</f>
        <v>0</v>
      </c>
      <c r="Q2086" s="280">
        <f t="shared" si="2082"/>
        <v>0</v>
      </c>
      <c r="R2086" s="356" t="str">
        <f t="shared" si="1"/>
        <v/>
      </c>
      <c r="S2086" s="269" t="str">
        <f>IF(D2086="","",IF(OR(D2086=Plano!$A$1,D2086=Plano!$B$1),"entrada","saída"))</f>
        <v/>
      </c>
      <c r="T2086" s="406"/>
      <c r="U2086" s="406"/>
      <c r="V2086" s="269"/>
    </row>
    <row r="2087" spans="1:22" ht="12.75" customHeight="1" x14ac:dyDescent="0.2">
      <c r="A2087" s="289" t="str">
        <f>IF(B2087="","",COUNT('Diário 5º PA'!$A$5:$A$2634)+ROW()-4)</f>
        <v/>
      </c>
      <c r="B2087" s="290"/>
      <c r="C2087" s="357"/>
      <c r="D2087" s="291"/>
      <c r="E2087" s="291"/>
      <c r="F2087" s="292"/>
      <c r="G2087" s="291"/>
      <c r="H2087" s="291"/>
      <c r="I2087" s="293"/>
      <c r="J2087" s="291"/>
      <c r="K2087" s="291"/>
      <c r="L2087" s="293"/>
      <c r="M2087" s="291"/>
      <c r="N2087" s="289"/>
      <c r="O2087" s="358"/>
      <c r="P2087" s="402">
        <f t="shared" ref="P2087:Q2087" si="2083">IF(B2087=0,0,IF(YEAR(B2087)=$Q$1,MONTH(B2087)-$P$1+1,(YEAR(B2087)-$Q$1)*12-$P$1+1+MONTH(B2087)))</f>
        <v>0</v>
      </c>
      <c r="Q2087" s="280">
        <f t="shared" si="2083"/>
        <v>0</v>
      </c>
      <c r="R2087" s="356" t="str">
        <f t="shared" si="1"/>
        <v/>
      </c>
      <c r="S2087" s="269" t="str">
        <f>IF(D2087="","",IF(OR(D2087=Plano!$A$1,D2087=Plano!$B$1),"entrada","saída"))</f>
        <v/>
      </c>
      <c r="T2087" s="406"/>
      <c r="U2087" s="406"/>
      <c r="V2087" s="269"/>
    </row>
    <row r="2088" spans="1:22" ht="12.75" customHeight="1" x14ac:dyDescent="0.2">
      <c r="A2088" s="289" t="str">
        <f>IF(B2088="","",COUNT('Diário 5º PA'!$A$5:$A$2634)+ROW()-4)</f>
        <v/>
      </c>
      <c r="B2088" s="290"/>
      <c r="C2088" s="357"/>
      <c r="D2088" s="291"/>
      <c r="E2088" s="291"/>
      <c r="F2088" s="292"/>
      <c r="G2088" s="291"/>
      <c r="H2088" s="291"/>
      <c r="I2088" s="293"/>
      <c r="J2088" s="291"/>
      <c r="K2088" s="291"/>
      <c r="L2088" s="293"/>
      <c r="M2088" s="291"/>
      <c r="N2088" s="289"/>
      <c r="O2088" s="358"/>
      <c r="P2088" s="402">
        <f t="shared" ref="P2088:Q2088" si="2084">IF(B2088=0,0,IF(YEAR(B2088)=$Q$1,MONTH(B2088)-$P$1+1,(YEAR(B2088)-$Q$1)*12-$P$1+1+MONTH(B2088)))</f>
        <v>0</v>
      </c>
      <c r="Q2088" s="280">
        <f t="shared" si="2084"/>
        <v>0</v>
      </c>
      <c r="R2088" s="356" t="str">
        <f t="shared" si="1"/>
        <v/>
      </c>
      <c r="S2088" s="269" t="str">
        <f>IF(D2088="","",IF(OR(D2088=Plano!$A$1,D2088=Plano!$B$1),"entrada","saída"))</f>
        <v/>
      </c>
      <c r="T2088" s="406"/>
      <c r="U2088" s="406"/>
      <c r="V2088" s="269"/>
    </row>
    <row r="2089" spans="1:22" ht="12.75" customHeight="1" x14ac:dyDescent="0.2">
      <c r="A2089" s="289" t="str">
        <f>IF(B2089="","",COUNT('Diário 5º PA'!$A$5:$A$2634)+ROW()-4)</f>
        <v/>
      </c>
      <c r="B2089" s="290"/>
      <c r="C2089" s="357"/>
      <c r="D2089" s="291"/>
      <c r="E2089" s="291"/>
      <c r="F2089" s="292"/>
      <c r="G2089" s="291"/>
      <c r="H2089" s="291"/>
      <c r="I2089" s="293"/>
      <c r="J2089" s="291"/>
      <c r="K2089" s="291"/>
      <c r="L2089" s="293"/>
      <c r="M2089" s="291"/>
      <c r="N2089" s="289"/>
      <c r="O2089" s="358"/>
      <c r="P2089" s="402">
        <f t="shared" ref="P2089:Q2089" si="2085">IF(B2089=0,0,IF(YEAR(B2089)=$Q$1,MONTH(B2089)-$P$1+1,(YEAR(B2089)-$Q$1)*12-$P$1+1+MONTH(B2089)))</f>
        <v>0</v>
      </c>
      <c r="Q2089" s="280">
        <f t="shared" si="2085"/>
        <v>0</v>
      </c>
      <c r="R2089" s="356" t="str">
        <f t="shared" si="1"/>
        <v/>
      </c>
      <c r="S2089" s="269" t="str">
        <f>IF(D2089="","",IF(OR(D2089=Plano!$A$1,D2089=Plano!$B$1),"entrada","saída"))</f>
        <v/>
      </c>
      <c r="T2089" s="406"/>
      <c r="U2089" s="406"/>
      <c r="V2089" s="269"/>
    </row>
    <row r="2090" spans="1:22" ht="12.75" customHeight="1" x14ac:dyDescent="0.2">
      <c r="A2090" s="289" t="str">
        <f>IF(B2090="","",COUNT('Diário 5º PA'!$A$5:$A$2634)+ROW()-4)</f>
        <v/>
      </c>
      <c r="B2090" s="290"/>
      <c r="C2090" s="357"/>
      <c r="D2090" s="291"/>
      <c r="E2090" s="291"/>
      <c r="F2090" s="292"/>
      <c r="G2090" s="291"/>
      <c r="H2090" s="291"/>
      <c r="I2090" s="293"/>
      <c r="J2090" s="291"/>
      <c r="K2090" s="291"/>
      <c r="L2090" s="293"/>
      <c r="M2090" s="291"/>
      <c r="N2090" s="289"/>
      <c r="O2090" s="358"/>
      <c r="P2090" s="402">
        <f t="shared" ref="P2090:Q2090" si="2086">IF(B2090=0,0,IF(YEAR(B2090)=$Q$1,MONTH(B2090)-$P$1+1,(YEAR(B2090)-$Q$1)*12-$P$1+1+MONTH(B2090)))</f>
        <v>0</v>
      </c>
      <c r="Q2090" s="280">
        <f t="shared" si="2086"/>
        <v>0</v>
      </c>
      <c r="R2090" s="356" t="str">
        <f t="shared" si="1"/>
        <v/>
      </c>
      <c r="S2090" s="269" t="str">
        <f>IF(D2090="","",IF(OR(D2090=Plano!$A$1,D2090=Plano!$B$1),"entrada","saída"))</f>
        <v/>
      </c>
      <c r="T2090" s="406"/>
      <c r="U2090" s="406"/>
      <c r="V2090" s="269"/>
    </row>
    <row r="2091" spans="1:22" ht="12.75" customHeight="1" x14ac:dyDescent="0.2">
      <c r="A2091" s="289" t="str">
        <f>IF(B2091="","",COUNT('Diário 5º PA'!$A$5:$A$2634)+ROW()-4)</f>
        <v/>
      </c>
      <c r="B2091" s="290"/>
      <c r="C2091" s="357"/>
      <c r="D2091" s="291"/>
      <c r="E2091" s="291"/>
      <c r="F2091" s="292"/>
      <c r="G2091" s="291"/>
      <c r="H2091" s="291"/>
      <c r="I2091" s="293"/>
      <c r="J2091" s="291"/>
      <c r="K2091" s="291"/>
      <c r="L2091" s="293"/>
      <c r="M2091" s="291"/>
      <c r="N2091" s="289"/>
      <c r="O2091" s="358"/>
      <c r="P2091" s="402">
        <f t="shared" ref="P2091:Q2091" si="2087">IF(B2091=0,0,IF(YEAR(B2091)=$Q$1,MONTH(B2091)-$P$1+1,(YEAR(B2091)-$Q$1)*12-$P$1+1+MONTH(B2091)))</f>
        <v>0</v>
      </c>
      <c r="Q2091" s="280">
        <f t="shared" si="2087"/>
        <v>0</v>
      </c>
      <c r="R2091" s="356" t="str">
        <f t="shared" si="1"/>
        <v/>
      </c>
      <c r="S2091" s="269" t="str">
        <f>IF(D2091="","",IF(OR(D2091=Plano!$A$1,D2091=Plano!$B$1),"entrada","saída"))</f>
        <v/>
      </c>
      <c r="T2091" s="406"/>
      <c r="U2091" s="406"/>
      <c r="V2091" s="269"/>
    </row>
    <row r="2092" spans="1:22" ht="12.75" customHeight="1" x14ac:dyDescent="0.2">
      <c r="A2092" s="289" t="str">
        <f>IF(B2092="","",COUNT('Diário 5º PA'!$A$5:$A$2634)+ROW()-4)</f>
        <v/>
      </c>
      <c r="B2092" s="290"/>
      <c r="C2092" s="357"/>
      <c r="D2092" s="291"/>
      <c r="E2092" s="291"/>
      <c r="F2092" s="292"/>
      <c r="G2092" s="291"/>
      <c r="H2092" s="291"/>
      <c r="I2092" s="293"/>
      <c r="J2092" s="291"/>
      <c r="K2092" s="291"/>
      <c r="L2092" s="293"/>
      <c r="M2092" s="291"/>
      <c r="N2092" s="289"/>
      <c r="O2092" s="358"/>
      <c r="P2092" s="402">
        <f t="shared" ref="P2092:Q2092" si="2088">IF(B2092=0,0,IF(YEAR(B2092)=$Q$1,MONTH(B2092)-$P$1+1,(YEAR(B2092)-$Q$1)*12-$P$1+1+MONTH(B2092)))</f>
        <v>0</v>
      </c>
      <c r="Q2092" s="280">
        <f t="shared" si="2088"/>
        <v>0</v>
      </c>
      <c r="R2092" s="356" t="str">
        <f t="shared" si="1"/>
        <v/>
      </c>
      <c r="S2092" s="269" t="str">
        <f>IF(D2092="","",IF(OR(D2092=Plano!$A$1,D2092=Plano!$B$1),"entrada","saída"))</f>
        <v/>
      </c>
      <c r="T2092" s="406"/>
      <c r="U2092" s="406"/>
      <c r="V2092" s="269"/>
    </row>
    <row r="2093" spans="1:22" ht="12.75" customHeight="1" x14ac:dyDescent="0.2">
      <c r="A2093" s="289" t="str">
        <f>IF(B2093="","",COUNT('Diário 5º PA'!$A$5:$A$2634)+ROW()-4)</f>
        <v/>
      </c>
      <c r="B2093" s="290"/>
      <c r="C2093" s="357"/>
      <c r="D2093" s="291"/>
      <c r="E2093" s="291"/>
      <c r="F2093" s="292"/>
      <c r="G2093" s="291"/>
      <c r="H2093" s="291"/>
      <c r="I2093" s="293"/>
      <c r="J2093" s="291"/>
      <c r="K2093" s="291"/>
      <c r="L2093" s="293"/>
      <c r="M2093" s="291"/>
      <c r="N2093" s="289"/>
      <c r="O2093" s="358"/>
      <c r="P2093" s="402">
        <f t="shared" ref="P2093:Q2093" si="2089">IF(B2093=0,0,IF(YEAR(B2093)=$Q$1,MONTH(B2093)-$P$1+1,(YEAR(B2093)-$Q$1)*12-$P$1+1+MONTH(B2093)))</f>
        <v>0</v>
      </c>
      <c r="Q2093" s="280">
        <f t="shared" si="2089"/>
        <v>0</v>
      </c>
      <c r="R2093" s="356" t="str">
        <f t="shared" si="1"/>
        <v/>
      </c>
      <c r="S2093" s="269" t="str">
        <f>IF(D2093="","",IF(OR(D2093=Plano!$A$1,D2093=Plano!$B$1),"entrada","saída"))</f>
        <v/>
      </c>
      <c r="T2093" s="406"/>
      <c r="U2093" s="406"/>
      <c r="V2093" s="269"/>
    </row>
    <row r="2094" spans="1:22" ht="12.75" customHeight="1" x14ac:dyDescent="0.2">
      <c r="A2094" s="289" t="str">
        <f>IF(B2094="","",COUNT('Diário 5º PA'!$A$5:$A$2634)+ROW()-4)</f>
        <v/>
      </c>
      <c r="B2094" s="290"/>
      <c r="C2094" s="357"/>
      <c r="D2094" s="291"/>
      <c r="E2094" s="291"/>
      <c r="F2094" s="292"/>
      <c r="G2094" s="291"/>
      <c r="H2094" s="291"/>
      <c r="I2094" s="293"/>
      <c r="J2094" s="291"/>
      <c r="K2094" s="291"/>
      <c r="L2094" s="293"/>
      <c r="M2094" s="291"/>
      <c r="N2094" s="289"/>
      <c r="O2094" s="358"/>
      <c r="P2094" s="402">
        <f t="shared" ref="P2094:Q2094" si="2090">IF(B2094=0,0,IF(YEAR(B2094)=$Q$1,MONTH(B2094)-$P$1+1,(YEAR(B2094)-$Q$1)*12-$P$1+1+MONTH(B2094)))</f>
        <v>0</v>
      </c>
      <c r="Q2094" s="280">
        <f t="shared" si="2090"/>
        <v>0</v>
      </c>
      <c r="R2094" s="356" t="str">
        <f t="shared" si="1"/>
        <v/>
      </c>
      <c r="S2094" s="269" t="str">
        <f>IF(D2094="","",IF(OR(D2094=Plano!$A$1,D2094=Plano!$B$1),"entrada","saída"))</f>
        <v/>
      </c>
      <c r="T2094" s="406"/>
      <c r="U2094" s="406"/>
      <c r="V2094" s="269"/>
    </row>
    <row r="2095" spans="1:22" ht="12.75" customHeight="1" x14ac:dyDescent="0.2">
      <c r="A2095" s="289" t="str">
        <f>IF(B2095="","",COUNT('Diário 5º PA'!$A$5:$A$2634)+ROW()-4)</f>
        <v/>
      </c>
      <c r="B2095" s="290"/>
      <c r="C2095" s="357"/>
      <c r="D2095" s="291"/>
      <c r="E2095" s="291"/>
      <c r="F2095" s="292"/>
      <c r="G2095" s="291"/>
      <c r="H2095" s="291"/>
      <c r="I2095" s="293"/>
      <c r="J2095" s="291"/>
      <c r="K2095" s="291"/>
      <c r="L2095" s="293"/>
      <c r="M2095" s="291"/>
      <c r="N2095" s="289"/>
      <c r="O2095" s="358"/>
      <c r="P2095" s="402">
        <f t="shared" ref="P2095:Q2095" si="2091">IF(B2095=0,0,IF(YEAR(B2095)=$Q$1,MONTH(B2095)-$P$1+1,(YEAR(B2095)-$Q$1)*12-$P$1+1+MONTH(B2095)))</f>
        <v>0</v>
      </c>
      <c r="Q2095" s="280">
        <f t="shared" si="2091"/>
        <v>0</v>
      </c>
      <c r="R2095" s="356" t="str">
        <f t="shared" si="1"/>
        <v/>
      </c>
      <c r="S2095" s="269" t="str">
        <f>IF(D2095="","",IF(OR(D2095=Plano!$A$1,D2095=Plano!$B$1),"entrada","saída"))</f>
        <v/>
      </c>
      <c r="T2095" s="406"/>
      <c r="U2095" s="406"/>
      <c r="V2095" s="269"/>
    </row>
    <row r="2096" spans="1:22" ht="12.75" customHeight="1" x14ac:dyDescent="0.2">
      <c r="A2096" s="289" t="str">
        <f>IF(B2096="","",COUNT('Diário 5º PA'!$A$5:$A$2634)+ROW()-4)</f>
        <v/>
      </c>
      <c r="B2096" s="290"/>
      <c r="C2096" s="357"/>
      <c r="D2096" s="291"/>
      <c r="E2096" s="291"/>
      <c r="F2096" s="292"/>
      <c r="G2096" s="291"/>
      <c r="H2096" s="291"/>
      <c r="I2096" s="293"/>
      <c r="J2096" s="291"/>
      <c r="K2096" s="291"/>
      <c r="L2096" s="293"/>
      <c r="M2096" s="291"/>
      <c r="N2096" s="289"/>
      <c r="O2096" s="358"/>
      <c r="P2096" s="402">
        <f t="shared" ref="P2096:Q2096" si="2092">IF(B2096=0,0,IF(YEAR(B2096)=$Q$1,MONTH(B2096)-$P$1+1,(YEAR(B2096)-$Q$1)*12-$P$1+1+MONTH(B2096)))</f>
        <v>0</v>
      </c>
      <c r="Q2096" s="280">
        <f t="shared" si="2092"/>
        <v>0</v>
      </c>
      <c r="R2096" s="356" t="str">
        <f t="shared" si="1"/>
        <v/>
      </c>
      <c r="S2096" s="269" t="str">
        <f>IF(D2096="","",IF(OR(D2096=Plano!$A$1,D2096=Plano!$B$1),"entrada","saída"))</f>
        <v/>
      </c>
      <c r="T2096" s="406"/>
      <c r="U2096" s="406"/>
      <c r="V2096" s="269"/>
    </row>
    <row r="2097" spans="1:22" ht="12.75" customHeight="1" x14ac:dyDescent="0.2">
      <c r="A2097" s="289" t="str">
        <f>IF(B2097="","",COUNT('Diário 5º PA'!$A$5:$A$2634)+ROW()-4)</f>
        <v/>
      </c>
      <c r="B2097" s="290"/>
      <c r="C2097" s="357"/>
      <c r="D2097" s="291"/>
      <c r="E2097" s="291"/>
      <c r="F2097" s="292"/>
      <c r="G2097" s="291"/>
      <c r="H2097" s="291"/>
      <c r="I2097" s="293"/>
      <c r="J2097" s="291"/>
      <c r="K2097" s="291"/>
      <c r="L2097" s="293"/>
      <c r="M2097" s="291"/>
      <c r="N2097" s="289"/>
      <c r="O2097" s="358"/>
      <c r="P2097" s="402">
        <f t="shared" ref="P2097:Q2097" si="2093">IF(B2097=0,0,IF(YEAR(B2097)=$Q$1,MONTH(B2097)-$P$1+1,(YEAR(B2097)-$Q$1)*12-$P$1+1+MONTH(B2097)))</f>
        <v>0</v>
      </c>
      <c r="Q2097" s="280">
        <f t="shared" si="2093"/>
        <v>0</v>
      </c>
      <c r="R2097" s="356" t="str">
        <f t="shared" si="1"/>
        <v/>
      </c>
      <c r="S2097" s="269" t="str">
        <f>IF(D2097="","",IF(OR(D2097=Plano!$A$1,D2097=Plano!$B$1),"entrada","saída"))</f>
        <v/>
      </c>
      <c r="T2097" s="406"/>
      <c r="U2097" s="406"/>
      <c r="V2097" s="269"/>
    </row>
    <row r="2098" spans="1:22" ht="12.75" customHeight="1" x14ac:dyDescent="0.2">
      <c r="A2098" s="289" t="str">
        <f>IF(B2098="","",COUNT('Diário 5º PA'!$A$5:$A$2634)+ROW()-4)</f>
        <v/>
      </c>
      <c r="B2098" s="290"/>
      <c r="C2098" s="357"/>
      <c r="D2098" s="291"/>
      <c r="E2098" s="291"/>
      <c r="F2098" s="292"/>
      <c r="G2098" s="291"/>
      <c r="H2098" s="291"/>
      <c r="I2098" s="293"/>
      <c r="J2098" s="291"/>
      <c r="K2098" s="291"/>
      <c r="L2098" s="293"/>
      <c r="M2098" s="291"/>
      <c r="N2098" s="289"/>
      <c r="O2098" s="358"/>
      <c r="P2098" s="402">
        <f t="shared" ref="P2098:Q2098" si="2094">IF(B2098=0,0,IF(YEAR(B2098)=$Q$1,MONTH(B2098)-$P$1+1,(YEAR(B2098)-$Q$1)*12-$P$1+1+MONTH(B2098)))</f>
        <v>0</v>
      </c>
      <c r="Q2098" s="280">
        <f t="shared" si="2094"/>
        <v>0</v>
      </c>
      <c r="R2098" s="356" t="str">
        <f t="shared" si="1"/>
        <v/>
      </c>
      <c r="S2098" s="269" t="str">
        <f>IF(D2098="","",IF(OR(D2098=Plano!$A$1,D2098=Plano!$B$1),"entrada","saída"))</f>
        <v/>
      </c>
      <c r="T2098" s="406"/>
      <c r="U2098" s="406"/>
      <c r="V2098" s="269"/>
    </row>
    <row r="2099" spans="1:22" ht="12.75" customHeight="1" x14ac:dyDescent="0.2">
      <c r="A2099" s="289" t="str">
        <f>IF(B2099="","",COUNT('Diário 5º PA'!$A$5:$A$2634)+ROW()-4)</f>
        <v/>
      </c>
      <c r="B2099" s="290"/>
      <c r="C2099" s="357"/>
      <c r="D2099" s="291"/>
      <c r="E2099" s="291"/>
      <c r="F2099" s="292"/>
      <c r="G2099" s="291"/>
      <c r="H2099" s="291"/>
      <c r="I2099" s="293"/>
      <c r="J2099" s="291"/>
      <c r="K2099" s="291"/>
      <c r="L2099" s="293"/>
      <c r="M2099" s="291"/>
      <c r="N2099" s="289"/>
      <c r="O2099" s="358"/>
      <c r="P2099" s="402">
        <f t="shared" ref="P2099:Q2099" si="2095">IF(B2099=0,0,IF(YEAR(B2099)=$Q$1,MONTH(B2099)-$P$1+1,(YEAR(B2099)-$Q$1)*12-$P$1+1+MONTH(B2099)))</f>
        <v>0</v>
      </c>
      <c r="Q2099" s="280">
        <f t="shared" si="2095"/>
        <v>0</v>
      </c>
      <c r="R2099" s="356" t="str">
        <f t="shared" si="1"/>
        <v/>
      </c>
      <c r="S2099" s="269" t="str">
        <f>IF(D2099="","",IF(OR(D2099=Plano!$A$1,D2099=Plano!$B$1),"entrada","saída"))</f>
        <v/>
      </c>
      <c r="T2099" s="406"/>
      <c r="U2099" s="406"/>
      <c r="V2099" s="269"/>
    </row>
    <row r="2100" spans="1:22" ht="12.75" customHeight="1" x14ac:dyDescent="0.2">
      <c r="A2100" s="289" t="str">
        <f>IF(B2100="","",COUNT('Diário 5º PA'!$A$5:$A$2634)+ROW()-4)</f>
        <v/>
      </c>
      <c r="B2100" s="290"/>
      <c r="C2100" s="357"/>
      <c r="D2100" s="291"/>
      <c r="E2100" s="291"/>
      <c r="F2100" s="292"/>
      <c r="G2100" s="291"/>
      <c r="H2100" s="291"/>
      <c r="I2100" s="293"/>
      <c r="J2100" s="291"/>
      <c r="K2100" s="291"/>
      <c r="L2100" s="293"/>
      <c r="M2100" s="291"/>
      <c r="N2100" s="289"/>
      <c r="O2100" s="358"/>
      <c r="P2100" s="402">
        <f t="shared" ref="P2100:Q2100" si="2096">IF(B2100=0,0,IF(YEAR(B2100)=$Q$1,MONTH(B2100)-$P$1+1,(YEAR(B2100)-$Q$1)*12-$P$1+1+MONTH(B2100)))</f>
        <v>0</v>
      </c>
      <c r="Q2100" s="280">
        <f t="shared" si="2096"/>
        <v>0</v>
      </c>
      <c r="R2100" s="356" t="str">
        <f t="shared" si="1"/>
        <v/>
      </c>
      <c r="S2100" s="269" t="str">
        <f>IF(D2100="","",IF(OR(D2100=Plano!$A$1,D2100=Plano!$B$1),"entrada","saída"))</f>
        <v/>
      </c>
      <c r="T2100" s="406"/>
      <c r="U2100" s="406"/>
      <c r="V2100" s="269"/>
    </row>
    <row r="2101" spans="1:22" ht="12.75" customHeight="1" x14ac:dyDescent="0.2">
      <c r="A2101" s="289" t="str">
        <f>IF(B2101="","",COUNT('Diário 5º PA'!$A$5:$A$2634)+ROW()-4)</f>
        <v/>
      </c>
      <c r="B2101" s="290"/>
      <c r="C2101" s="357"/>
      <c r="D2101" s="291"/>
      <c r="E2101" s="291"/>
      <c r="F2101" s="292"/>
      <c r="G2101" s="291"/>
      <c r="H2101" s="291"/>
      <c r="I2101" s="293"/>
      <c r="J2101" s="291"/>
      <c r="K2101" s="291"/>
      <c r="L2101" s="293"/>
      <c r="M2101" s="291"/>
      <c r="N2101" s="289"/>
      <c r="O2101" s="358"/>
      <c r="P2101" s="402">
        <f t="shared" ref="P2101:Q2101" si="2097">IF(B2101=0,0,IF(YEAR(B2101)=$Q$1,MONTH(B2101)-$P$1+1,(YEAR(B2101)-$Q$1)*12-$P$1+1+MONTH(B2101)))</f>
        <v>0</v>
      </c>
      <c r="Q2101" s="280">
        <f t="shared" si="2097"/>
        <v>0</v>
      </c>
      <c r="R2101" s="356" t="str">
        <f t="shared" si="1"/>
        <v/>
      </c>
      <c r="S2101" s="269" t="str">
        <f>IF(D2101="","",IF(OR(D2101=Plano!$A$1,D2101=Plano!$B$1),"entrada","saída"))</f>
        <v/>
      </c>
      <c r="T2101" s="406"/>
      <c r="U2101" s="406"/>
      <c r="V2101" s="269"/>
    </row>
    <row r="2102" spans="1:22" ht="12.75" customHeight="1" x14ac:dyDescent="0.2">
      <c r="A2102" s="289" t="str">
        <f>IF(B2102="","",COUNT('Diário 5º PA'!$A$5:$A$2634)+ROW()-4)</f>
        <v/>
      </c>
      <c r="B2102" s="290"/>
      <c r="C2102" s="357"/>
      <c r="D2102" s="291"/>
      <c r="E2102" s="291"/>
      <c r="F2102" s="292"/>
      <c r="G2102" s="291"/>
      <c r="H2102" s="291"/>
      <c r="I2102" s="293"/>
      <c r="J2102" s="291"/>
      <c r="K2102" s="291"/>
      <c r="L2102" s="293"/>
      <c r="M2102" s="291"/>
      <c r="N2102" s="289"/>
      <c r="O2102" s="358"/>
      <c r="P2102" s="402">
        <f t="shared" ref="P2102:Q2102" si="2098">IF(B2102=0,0,IF(YEAR(B2102)=$Q$1,MONTH(B2102)-$P$1+1,(YEAR(B2102)-$Q$1)*12-$P$1+1+MONTH(B2102)))</f>
        <v>0</v>
      </c>
      <c r="Q2102" s="280">
        <f t="shared" si="2098"/>
        <v>0</v>
      </c>
      <c r="R2102" s="356" t="str">
        <f t="shared" si="1"/>
        <v/>
      </c>
      <c r="S2102" s="269" t="str">
        <f>IF(D2102="","",IF(OR(D2102=Plano!$A$1,D2102=Plano!$B$1),"entrada","saída"))</f>
        <v/>
      </c>
      <c r="T2102" s="406"/>
      <c r="U2102" s="406"/>
      <c r="V2102" s="269"/>
    </row>
    <row r="2103" spans="1:22" ht="12.75" customHeight="1" x14ac:dyDescent="0.2">
      <c r="A2103" s="289" t="str">
        <f>IF(B2103="","",COUNT('Diário 5º PA'!$A$5:$A$2634)+ROW()-4)</f>
        <v/>
      </c>
      <c r="B2103" s="290"/>
      <c r="C2103" s="357"/>
      <c r="D2103" s="291"/>
      <c r="E2103" s="291"/>
      <c r="F2103" s="292"/>
      <c r="G2103" s="291"/>
      <c r="H2103" s="291"/>
      <c r="I2103" s="293"/>
      <c r="J2103" s="291"/>
      <c r="K2103" s="291"/>
      <c r="L2103" s="293"/>
      <c r="M2103" s="291"/>
      <c r="N2103" s="289"/>
      <c r="O2103" s="358"/>
      <c r="P2103" s="402">
        <f t="shared" ref="P2103:Q2103" si="2099">IF(B2103=0,0,IF(YEAR(B2103)=$Q$1,MONTH(B2103)-$P$1+1,(YEAR(B2103)-$Q$1)*12-$P$1+1+MONTH(B2103)))</f>
        <v>0</v>
      </c>
      <c r="Q2103" s="280">
        <f t="shared" si="2099"/>
        <v>0</v>
      </c>
      <c r="R2103" s="356" t="str">
        <f t="shared" si="1"/>
        <v/>
      </c>
      <c r="S2103" s="269" t="str">
        <f>IF(D2103="","",IF(OR(D2103=Plano!$A$1,D2103=Plano!$B$1),"entrada","saída"))</f>
        <v/>
      </c>
      <c r="T2103" s="406"/>
      <c r="U2103" s="406"/>
      <c r="V2103" s="269"/>
    </row>
    <row r="2104" spans="1:22" ht="12.75" customHeight="1" x14ac:dyDescent="0.2">
      <c r="A2104" s="289" t="str">
        <f>IF(B2104="","",COUNT('Diário 5º PA'!$A$5:$A$2634)+ROW()-4)</f>
        <v/>
      </c>
      <c r="B2104" s="290"/>
      <c r="C2104" s="357"/>
      <c r="D2104" s="291"/>
      <c r="E2104" s="291"/>
      <c r="F2104" s="292"/>
      <c r="G2104" s="291"/>
      <c r="H2104" s="291"/>
      <c r="I2104" s="293"/>
      <c r="J2104" s="291"/>
      <c r="K2104" s="291"/>
      <c r="L2104" s="293"/>
      <c r="M2104" s="291"/>
      <c r="N2104" s="289"/>
      <c r="O2104" s="358"/>
      <c r="P2104" s="402">
        <f t="shared" ref="P2104:Q2104" si="2100">IF(B2104=0,0,IF(YEAR(B2104)=$Q$1,MONTH(B2104)-$P$1+1,(YEAR(B2104)-$Q$1)*12-$P$1+1+MONTH(B2104)))</f>
        <v>0</v>
      </c>
      <c r="Q2104" s="280">
        <f t="shared" si="2100"/>
        <v>0</v>
      </c>
      <c r="R2104" s="356" t="str">
        <f t="shared" si="1"/>
        <v/>
      </c>
      <c r="S2104" s="269" t="str">
        <f>IF(D2104="","",IF(OR(D2104=Plano!$A$1,D2104=Plano!$B$1),"entrada","saída"))</f>
        <v/>
      </c>
      <c r="T2104" s="406"/>
      <c r="U2104" s="406"/>
      <c r="V2104" s="269"/>
    </row>
    <row r="2105" spans="1:22" ht="12.75" customHeight="1" x14ac:dyDescent="0.2">
      <c r="A2105" s="289" t="str">
        <f>IF(B2105="","",COUNT('Diário 5º PA'!$A$5:$A$2634)+ROW()-4)</f>
        <v/>
      </c>
      <c r="B2105" s="290"/>
      <c r="C2105" s="357"/>
      <c r="D2105" s="291"/>
      <c r="E2105" s="291"/>
      <c r="F2105" s="292"/>
      <c r="G2105" s="291"/>
      <c r="H2105" s="291"/>
      <c r="I2105" s="293"/>
      <c r="J2105" s="291"/>
      <c r="K2105" s="291"/>
      <c r="L2105" s="293"/>
      <c r="M2105" s="291"/>
      <c r="N2105" s="289"/>
      <c r="O2105" s="358"/>
      <c r="P2105" s="402">
        <f t="shared" ref="P2105:Q2105" si="2101">IF(B2105=0,0,IF(YEAR(B2105)=$Q$1,MONTH(B2105)-$P$1+1,(YEAR(B2105)-$Q$1)*12-$P$1+1+MONTH(B2105)))</f>
        <v>0</v>
      </c>
      <c r="Q2105" s="280">
        <f t="shared" si="2101"/>
        <v>0</v>
      </c>
      <c r="R2105" s="356" t="str">
        <f t="shared" si="1"/>
        <v/>
      </c>
      <c r="S2105" s="269" t="str">
        <f>IF(D2105="","",IF(OR(D2105=Plano!$A$1,D2105=Plano!$B$1),"entrada","saída"))</f>
        <v/>
      </c>
      <c r="T2105" s="406"/>
      <c r="U2105" s="406"/>
      <c r="V2105" s="269"/>
    </row>
    <row r="2106" spans="1:22" ht="12.75" customHeight="1" x14ac:dyDescent="0.2">
      <c r="A2106" s="289" t="str">
        <f>IF(B2106="","",COUNT('Diário 5º PA'!$A$5:$A$2634)+ROW()-4)</f>
        <v/>
      </c>
      <c r="B2106" s="290"/>
      <c r="C2106" s="357"/>
      <c r="D2106" s="291"/>
      <c r="E2106" s="291"/>
      <c r="F2106" s="292"/>
      <c r="G2106" s="291"/>
      <c r="H2106" s="291"/>
      <c r="I2106" s="293"/>
      <c r="J2106" s="291"/>
      <c r="K2106" s="291"/>
      <c r="L2106" s="293"/>
      <c r="M2106" s="291"/>
      <c r="N2106" s="289"/>
      <c r="O2106" s="358"/>
      <c r="P2106" s="402">
        <f t="shared" ref="P2106:Q2106" si="2102">IF(B2106=0,0,IF(YEAR(B2106)=$Q$1,MONTH(B2106)-$P$1+1,(YEAR(B2106)-$Q$1)*12-$P$1+1+MONTH(B2106)))</f>
        <v>0</v>
      </c>
      <c r="Q2106" s="280">
        <f t="shared" si="2102"/>
        <v>0</v>
      </c>
      <c r="R2106" s="356" t="str">
        <f t="shared" si="1"/>
        <v/>
      </c>
      <c r="S2106" s="269" t="str">
        <f>IF(D2106="","",IF(OR(D2106=Plano!$A$1,D2106=Plano!$B$1),"entrada","saída"))</f>
        <v/>
      </c>
      <c r="T2106" s="406"/>
      <c r="U2106" s="406"/>
      <c r="V2106" s="269"/>
    </row>
    <row r="2107" spans="1:22" ht="12.75" customHeight="1" x14ac:dyDescent="0.2">
      <c r="A2107" s="289" t="str">
        <f>IF(B2107="","",COUNT('Diário 5º PA'!$A$5:$A$2634)+ROW()-4)</f>
        <v/>
      </c>
      <c r="B2107" s="290"/>
      <c r="C2107" s="357"/>
      <c r="D2107" s="291"/>
      <c r="E2107" s="291"/>
      <c r="F2107" s="292"/>
      <c r="G2107" s="291"/>
      <c r="H2107" s="291"/>
      <c r="I2107" s="293"/>
      <c r="J2107" s="291"/>
      <c r="K2107" s="291"/>
      <c r="L2107" s="293"/>
      <c r="M2107" s="291"/>
      <c r="N2107" s="289"/>
      <c r="O2107" s="358"/>
      <c r="P2107" s="402">
        <f t="shared" ref="P2107:Q2107" si="2103">IF(B2107=0,0,IF(YEAR(B2107)=$Q$1,MONTH(B2107)-$P$1+1,(YEAR(B2107)-$Q$1)*12-$P$1+1+MONTH(B2107)))</f>
        <v>0</v>
      </c>
      <c r="Q2107" s="280">
        <f t="shared" si="2103"/>
        <v>0</v>
      </c>
      <c r="R2107" s="356" t="str">
        <f t="shared" si="1"/>
        <v/>
      </c>
      <c r="S2107" s="269" t="str">
        <f>IF(D2107="","",IF(OR(D2107=Plano!$A$1,D2107=Plano!$B$1),"entrada","saída"))</f>
        <v/>
      </c>
      <c r="T2107" s="406"/>
      <c r="U2107" s="406"/>
      <c r="V2107" s="269"/>
    </row>
    <row r="2108" spans="1:22" ht="12.75" customHeight="1" x14ac:dyDescent="0.2">
      <c r="A2108" s="289" t="str">
        <f>IF(B2108="","",COUNT('Diário 5º PA'!$A$5:$A$2634)+ROW()-4)</f>
        <v/>
      </c>
      <c r="B2108" s="290"/>
      <c r="C2108" s="357"/>
      <c r="D2108" s="291"/>
      <c r="E2108" s="291"/>
      <c r="F2108" s="292"/>
      <c r="G2108" s="291"/>
      <c r="H2108" s="291"/>
      <c r="I2108" s="293"/>
      <c r="J2108" s="291"/>
      <c r="K2108" s="291"/>
      <c r="L2108" s="293"/>
      <c r="M2108" s="291"/>
      <c r="N2108" s="289"/>
      <c r="O2108" s="358"/>
      <c r="P2108" s="402">
        <f t="shared" ref="P2108:Q2108" si="2104">IF(B2108=0,0,IF(YEAR(B2108)=$Q$1,MONTH(B2108)-$P$1+1,(YEAR(B2108)-$Q$1)*12-$P$1+1+MONTH(B2108)))</f>
        <v>0</v>
      </c>
      <c r="Q2108" s="280">
        <f t="shared" si="2104"/>
        <v>0</v>
      </c>
      <c r="R2108" s="356" t="str">
        <f t="shared" si="1"/>
        <v/>
      </c>
      <c r="S2108" s="269" t="str">
        <f>IF(D2108="","",IF(OR(D2108=Plano!$A$1,D2108=Plano!$B$1),"entrada","saída"))</f>
        <v/>
      </c>
      <c r="T2108" s="406"/>
      <c r="U2108" s="406"/>
      <c r="V2108" s="269"/>
    </row>
    <row r="2109" spans="1:22" ht="12.75" customHeight="1" x14ac:dyDescent="0.2">
      <c r="A2109" s="289" t="str">
        <f>IF(B2109="","",COUNT('Diário 5º PA'!$A$5:$A$2634)+ROW()-4)</f>
        <v/>
      </c>
      <c r="B2109" s="290"/>
      <c r="C2109" s="357"/>
      <c r="D2109" s="291"/>
      <c r="E2109" s="291"/>
      <c r="F2109" s="292"/>
      <c r="G2109" s="291"/>
      <c r="H2109" s="291"/>
      <c r="I2109" s="293"/>
      <c r="J2109" s="291"/>
      <c r="K2109" s="291"/>
      <c r="L2109" s="293"/>
      <c r="M2109" s="291"/>
      <c r="N2109" s="289"/>
      <c r="O2109" s="358"/>
      <c r="P2109" s="402">
        <f t="shared" ref="P2109:Q2109" si="2105">IF(B2109=0,0,IF(YEAR(B2109)=$Q$1,MONTH(B2109)-$P$1+1,(YEAR(B2109)-$Q$1)*12-$P$1+1+MONTH(B2109)))</f>
        <v>0</v>
      </c>
      <c r="Q2109" s="280">
        <f t="shared" si="2105"/>
        <v>0</v>
      </c>
      <c r="R2109" s="356" t="str">
        <f t="shared" si="1"/>
        <v/>
      </c>
      <c r="S2109" s="269" t="str">
        <f>IF(D2109="","",IF(OR(D2109=Plano!$A$1,D2109=Plano!$B$1),"entrada","saída"))</f>
        <v/>
      </c>
      <c r="T2109" s="406"/>
      <c r="U2109" s="406"/>
      <c r="V2109" s="269"/>
    </row>
    <row r="2110" spans="1:22" ht="12.75" customHeight="1" x14ac:dyDescent="0.2">
      <c r="A2110" s="289" t="str">
        <f>IF(B2110="","",COUNT('Diário 5º PA'!$A$5:$A$2634)+ROW()-4)</f>
        <v/>
      </c>
      <c r="B2110" s="290"/>
      <c r="C2110" s="357"/>
      <c r="D2110" s="291"/>
      <c r="E2110" s="291"/>
      <c r="F2110" s="292"/>
      <c r="G2110" s="291"/>
      <c r="H2110" s="291"/>
      <c r="I2110" s="293"/>
      <c r="J2110" s="291"/>
      <c r="K2110" s="291"/>
      <c r="L2110" s="293"/>
      <c r="M2110" s="291"/>
      <c r="N2110" s="289"/>
      <c r="O2110" s="358"/>
      <c r="P2110" s="402">
        <f t="shared" ref="P2110:Q2110" si="2106">IF(B2110=0,0,IF(YEAR(B2110)=$Q$1,MONTH(B2110)-$P$1+1,(YEAR(B2110)-$Q$1)*12-$P$1+1+MONTH(B2110)))</f>
        <v>0</v>
      </c>
      <c r="Q2110" s="280">
        <f t="shared" si="2106"/>
        <v>0</v>
      </c>
      <c r="R2110" s="356" t="str">
        <f t="shared" si="1"/>
        <v/>
      </c>
      <c r="S2110" s="269" t="str">
        <f>IF(D2110="","",IF(OR(D2110=Plano!$A$1,D2110=Plano!$B$1),"entrada","saída"))</f>
        <v/>
      </c>
      <c r="T2110" s="406"/>
      <c r="U2110" s="406"/>
      <c r="V2110" s="269"/>
    </row>
    <row r="2111" spans="1:22" ht="12.75" customHeight="1" x14ac:dyDescent="0.2">
      <c r="A2111" s="289" t="str">
        <f>IF(B2111="","",COUNT('Diário 5º PA'!$A$5:$A$2634)+ROW()-4)</f>
        <v/>
      </c>
      <c r="B2111" s="290"/>
      <c r="C2111" s="357"/>
      <c r="D2111" s="291"/>
      <c r="E2111" s="291"/>
      <c r="F2111" s="292"/>
      <c r="G2111" s="291"/>
      <c r="H2111" s="291"/>
      <c r="I2111" s="293"/>
      <c r="J2111" s="291"/>
      <c r="K2111" s="291"/>
      <c r="L2111" s="293"/>
      <c r="M2111" s="291"/>
      <c r="N2111" s="289"/>
      <c r="O2111" s="358"/>
      <c r="P2111" s="402">
        <f t="shared" ref="P2111:Q2111" si="2107">IF(B2111=0,0,IF(YEAR(B2111)=$Q$1,MONTH(B2111)-$P$1+1,(YEAR(B2111)-$Q$1)*12-$P$1+1+MONTH(B2111)))</f>
        <v>0</v>
      </c>
      <c r="Q2111" s="280">
        <f t="shared" si="2107"/>
        <v>0</v>
      </c>
      <c r="R2111" s="356" t="str">
        <f t="shared" si="1"/>
        <v/>
      </c>
      <c r="S2111" s="269" t="str">
        <f>IF(D2111="","",IF(OR(D2111=Plano!$A$1,D2111=Plano!$B$1),"entrada","saída"))</f>
        <v/>
      </c>
      <c r="T2111" s="406"/>
      <c r="U2111" s="406"/>
      <c r="V2111" s="269"/>
    </row>
    <row r="2112" spans="1:22" ht="12.75" customHeight="1" x14ac:dyDescent="0.2">
      <c r="A2112" s="289" t="str">
        <f>IF(B2112="","",COUNT('Diário 5º PA'!$A$5:$A$2634)+ROW()-4)</f>
        <v/>
      </c>
      <c r="B2112" s="290"/>
      <c r="C2112" s="357"/>
      <c r="D2112" s="291"/>
      <c r="E2112" s="291"/>
      <c r="F2112" s="292"/>
      <c r="G2112" s="291"/>
      <c r="H2112" s="291"/>
      <c r="I2112" s="293"/>
      <c r="J2112" s="291"/>
      <c r="K2112" s="291"/>
      <c r="L2112" s="293"/>
      <c r="M2112" s="291"/>
      <c r="N2112" s="289"/>
      <c r="O2112" s="358"/>
      <c r="P2112" s="402">
        <f t="shared" ref="P2112:Q2112" si="2108">IF(B2112=0,0,IF(YEAR(B2112)=$Q$1,MONTH(B2112)-$P$1+1,(YEAR(B2112)-$Q$1)*12-$P$1+1+MONTH(B2112)))</f>
        <v>0</v>
      </c>
      <c r="Q2112" s="280">
        <f t="shared" si="2108"/>
        <v>0</v>
      </c>
      <c r="R2112" s="356" t="str">
        <f t="shared" si="1"/>
        <v/>
      </c>
      <c r="S2112" s="269" t="str">
        <f>IF(D2112="","",IF(OR(D2112=Plano!$A$1,D2112=Plano!$B$1),"entrada","saída"))</f>
        <v/>
      </c>
      <c r="T2112" s="406"/>
      <c r="U2112" s="406"/>
      <c r="V2112" s="269"/>
    </row>
    <row r="2113" spans="1:22" ht="12.75" customHeight="1" x14ac:dyDescent="0.2">
      <c r="A2113" s="289" t="str">
        <f>IF(B2113="","",COUNT('Diário 5º PA'!$A$5:$A$2634)+ROW()-4)</f>
        <v/>
      </c>
      <c r="B2113" s="290"/>
      <c r="C2113" s="357"/>
      <c r="D2113" s="291"/>
      <c r="E2113" s="291"/>
      <c r="F2113" s="292"/>
      <c r="G2113" s="291"/>
      <c r="H2113" s="291"/>
      <c r="I2113" s="293"/>
      <c r="J2113" s="291"/>
      <c r="K2113" s="291"/>
      <c r="L2113" s="293"/>
      <c r="M2113" s="291"/>
      <c r="N2113" s="289"/>
      <c r="O2113" s="358"/>
      <c r="P2113" s="402">
        <f t="shared" ref="P2113:Q2113" si="2109">IF(B2113=0,0,IF(YEAR(B2113)=$Q$1,MONTH(B2113)-$P$1+1,(YEAR(B2113)-$Q$1)*12-$P$1+1+MONTH(B2113)))</f>
        <v>0</v>
      </c>
      <c r="Q2113" s="280">
        <f t="shared" si="2109"/>
        <v>0</v>
      </c>
      <c r="R2113" s="356" t="str">
        <f t="shared" si="1"/>
        <v/>
      </c>
      <c r="S2113" s="269" t="str">
        <f>IF(D2113="","",IF(OR(D2113=Plano!$A$1,D2113=Plano!$B$1),"entrada","saída"))</f>
        <v/>
      </c>
      <c r="T2113" s="406"/>
      <c r="U2113" s="406"/>
      <c r="V2113" s="269"/>
    </row>
    <row r="2114" spans="1:22" ht="12.75" customHeight="1" x14ac:dyDescent="0.2">
      <c r="A2114" s="289" t="str">
        <f>IF(B2114="","",COUNT('Diário 5º PA'!$A$5:$A$2634)+ROW()-4)</f>
        <v/>
      </c>
      <c r="B2114" s="290"/>
      <c r="C2114" s="357"/>
      <c r="D2114" s="291"/>
      <c r="E2114" s="291"/>
      <c r="F2114" s="292"/>
      <c r="G2114" s="291"/>
      <c r="H2114" s="291"/>
      <c r="I2114" s="293"/>
      <c r="J2114" s="291"/>
      <c r="K2114" s="291"/>
      <c r="L2114" s="293"/>
      <c r="M2114" s="291"/>
      <c r="N2114" s="289"/>
      <c r="O2114" s="358"/>
      <c r="P2114" s="402">
        <f t="shared" ref="P2114:Q2114" si="2110">IF(B2114=0,0,IF(YEAR(B2114)=$Q$1,MONTH(B2114)-$P$1+1,(YEAR(B2114)-$Q$1)*12-$P$1+1+MONTH(B2114)))</f>
        <v>0</v>
      </c>
      <c r="Q2114" s="280">
        <f t="shared" si="2110"/>
        <v>0</v>
      </c>
      <c r="R2114" s="356" t="str">
        <f t="shared" si="1"/>
        <v/>
      </c>
      <c r="S2114" s="269" t="str">
        <f>IF(D2114="","",IF(OR(D2114=Plano!$A$1,D2114=Plano!$B$1),"entrada","saída"))</f>
        <v/>
      </c>
      <c r="T2114" s="406"/>
      <c r="U2114" s="406"/>
      <c r="V2114" s="269"/>
    </row>
    <row r="2115" spans="1:22" ht="12.75" customHeight="1" x14ac:dyDescent="0.2">
      <c r="A2115" s="289" t="str">
        <f>IF(B2115="","",COUNT('Diário 5º PA'!$A$5:$A$2634)+ROW()-4)</f>
        <v/>
      </c>
      <c r="B2115" s="290"/>
      <c r="C2115" s="357"/>
      <c r="D2115" s="291"/>
      <c r="E2115" s="291"/>
      <c r="F2115" s="292"/>
      <c r="G2115" s="291"/>
      <c r="H2115" s="291"/>
      <c r="I2115" s="293"/>
      <c r="J2115" s="291"/>
      <c r="K2115" s="291"/>
      <c r="L2115" s="293"/>
      <c r="M2115" s="291"/>
      <c r="N2115" s="289"/>
      <c r="O2115" s="358"/>
      <c r="P2115" s="402">
        <f t="shared" ref="P2115:Q2115" si="2111">IF(B2115=0,0,IF(YEAR(B2115)=$Q$1,MONTH(B2115)-$P$1+1,(YEAR(B2115)-$Q$1)*12-$P$1+1+MONTH(B2115)))</f>
        <v>0</v>
      </c>
      <c r="Q2115" s="280">
        <f t="shared" si="2111"/>
        <v>0</v>
      </c>
      <c r="R2115" s="356" t="str">
        <f t="shared" si="1"/>
        <v/>
      </c>
      <c r="S2115" s="269" t="str">
        <f>IF(D2115="","",IF(OR(D2115=Plano!$A$1,D2115=Plano!$B$1),"entrada","saída"))</f>
        <v/>
      </c>
      <c r="T2115" s="406"/>
      <c r="U2115" s="406"/>
      <c r="V2115" s="269"/>
    </row>
    <row r="2116" spans="1:22" ht="12.75" customHeight="1" x14ac:dyDescent="0.2">
      <c r="A2116" s="289" t="str">
        <f>IF(B2116="","",COUNT('Diário 5º PA'!$A$5:$A$2634)+ROW()-4)</f>
        <v/>
      </c>
      <c r="B2116" s="290"/>
      <c r="C2116" s="357"/>
      <c r="D2116" s="291"/>
      <c r="E2116" s="291"/>
      <c r="F2116" s="292"/>
      <c r="G2116" s="291"/>
      <c r="H2116" s="291"/>
      <c r="I2116" s="293"/>
      <c r="J2116" s="291"/>
      <c r="K2116" s="291"/>
      <c r="L2116" s="293"/>
      <c r="M2116" s="291"/>
      <c r="N2116" s="289"/>
      <c r="O2116" s="358"/>
      <c r="P2116" s="402">
        <f t="shared" ref="P2116:Q2116" si="2112">IF(B2116=0,0,IF(YEAR(B2116)=$Q$1,MONTH(B2116)-$P$1+1,(YEAR(B2116)-$Q$1)*12-$P$1+1+MONTH(B2116)))</f>
        <v>0</v>
      </c>
      <c r="Q2116" s="280">
        <f t="shared" si="2112"/>
        <v>0</v>
      </c>
      <c r="R2116" s="356" t="str">
        <f t="shared" si="1"/>
        <v/>
      </c>
      <c r="S2116" s="269" t="str">
        <f>IF(D2116="","",IF(OR(D2116=Plano!$A$1,D2116=Plano!$B$1),"entrada","saída"))</f>
        <v/>
      </c>
      <c r="T2116" s="406"/>
      <c r="U2116" s="406"/>
      <c r="V2116" s="269"/>
    </row>
    <row r="2117" spans="1:22" ht="12.75" customHeight="1" x14ac:dyDescent="0.2">
      <c r="A2117" s="289" t="str">
        <f>IF(B2117="","",COUNT('Diário 5º PA'!$A$5:$A$2634)+ROW()-4)</f>
        <v/>
      </c>
      <c r="B2117" s="290"/>
      <c r="C2117" s="357"/>
      <c r="D2117" s="291"/>
      <c r="E2117" s="291"/>
      <c r="F2117" s="292"/>
      <c r="G2117" s="291"/>
      <c r="H2117" s="291"/>
      <c r="I2117" s="293"/>
      <c r="J2117" s="291"/>
      <c r="K2117" s="291"/>
      <c r="L2117" s="293"/>
      <c r="M2117" s="291"/>
      <c r="N2117" s="289"/>
      <c r="O2117" s="358"/>
      <c r="P2117" s="402">
        <f t="shared" ref="P2117:Q2117" si="2113">IF(B2117=0,0,IF(YEAR(B2117)=$Q$1,MONTH(B2117)-$P$1+1,(YEAR(B2117)-$Q$1)*12-$P$1+1+MONTH(B2117)))</f>
        <v>0</v>
      </c>
      <c r="Q2117" s="280">
        <f t="shared" si="2113"/>
        <v>0</v>
      </c>
      <c r="R2117" s="356" t="str">
        <f t="shared" si="1"/>
        <v/>
      </c>
      <c r="S2117" s="269" t="str">
        <f>IF(D2117="","",IF(OR(D2117=Plano!$A$1,D2117=Plano!$B$1),"entrada","saída"))</f>
        <v/>
      </c>
      <c r="T2117" s="406"/>
      <c r="U2117" s="406"/>
      <c r="V2117" s="269"/>
    </row>
    <row r="2118" spans="1:22" ht="12.75" customHeight="1" x14ac:dyDescent="0.2">
      <c r="A2118" s="289" t="str">
        <f>IF(B2118="","",COUNT('Diário 5º PA'!$A$5:$A$2634)+ROW()-4)</f>
        <v/>
      </c>
      <c r="B2118" s="290"/>
      <c r="C2118" s="357"/>
      <c r="D2118" s="291"/>
      <c r="E2118" s="291"/>
      <c r="F2118" s="292"/>
      <c r="G2118" s="291"/>
      <c r="H2118" s="291"/>
      <c r="I2118" s="293"/>
      <c r="J2118" s="291"/>
      <c r="K2118" s="291"/>
      <c r="L2118" s="293"/>
      <c r="M2118" s="291"/>
      <c r="N2118" s="289"/>
      <c r="O2118" s="358"/>
      <c r="P2118" s="402">
        <f t="shared" ref="P2118:Q2118" si="2114">IF(B2118=0,0,IF(YEAR(B2118)=$Q$1,MONTH(B2118)-$P$1+1,(YEAR(B2118)-$Q$1)*12-$P$1+1+MONTH(B2118)))</f>
        <v>0</v>
      </c>
      <c r="Q2118" s="280">
        <f t="shared" si="2114"/>
        <v>0</v>
      </c>
      <c r="R2118" s="356" t="str">
        <f t="shared" si="1"/>
        <v/>
      </c>
      <c r="S2118" s="269" t="str">
        <f>IF(D2118="","",IF(OR(D2118=Plano!$A$1,D2118=Plano!$B$1),"entrada","saída"))</f>
        <v/>
      </c>
      <c r="T2118" s="406"/>
      <c r="U2118" s="406"/>
      <c r="V2118" s="269"/>
    </row>
    <row r="2119" spans="1:22" ht="12.75" customHeight="1" x14ac:dyDescent="0.2">
      <c r="A2119" s="289" t="str">
        <f>IF(B2119="","",COUNT('Diário 5º PA'!$A$5:$A$2634)+ROW()-4)</f>
        <v/>
      </c>
      <c r="B2119" s="290"/>
      <c r="C2119" s="357"/>
      <c r="D2119" s="291"/>
      <c r="E2119" s="291"/>
      <c r="F2119" s="292"/>
      <c r="G2119" s="291"/>
      <c r="H2119" s="291"/>
      <c r="I2119" s="293"/>
      <c r="J2119" s="291"/>
      <c r="K2119" s="291"/>
      <c r="L2119" s="293"/>
      <c r="M2119" s="291"/>
      <c r="N2119" s="289"/>
      <c r="O2119" s="358"/>
      <c r="P2119" s="402">
        <f t="shared" ref="P2119:Q2119" si="2115">IF(B2119=0,0,IF(YEAR(B2119)=$Q$1,MONTH(B2119)-$P$1+1,(YEAR(B2119)-$Q$1)*12-$P$1+1+MONTH(B2119)))</f>
        <v>0</v>
      </c>
      <c r="Q2119" s="280">
        <f t="shared" si="2115"/>
        <v>0</v>
      </c>
      <c r="R2119" s="356" t="str">
        <f t="shared" si="1"/>
        <v/>
      </c>
      <c r="S2119" s="269" t="str">
        <f>IF(D2119="","",IF(OR(D2119=Plano!$A$1,D2119=Plano!$B$1),"entrada","saída"))</f>
        <v/>
      </c>
      <c r="T2119" s="406"/>
      <c r="U2119" s="406"/>
      <c r="V2119" s="269"/>
    </row>
    <row r="2120" spans="1:22" ht="12.75" customHeight="1" x14ac:dyDescent="0.2">
      <c r="A2120" s="289" t="str">
        <f>IF(B2120="","",COUNT('Diário 5º PA'!$A$5:$A$2634)+ROW()-4)</f>
        <v/>
      </c>
      <c r="B2120" s="290"/>
      <c r="C2120" s="357"/>
      <c r="D2120" s="291"/>
      <c r="E2120" s="291"/>
      <c r="F2120" s="292"/>
      <c r="G2120" s="291"/>
      <c r="H2120" s="291"/>
      <c r="I2120" s="293"/>
      <c r="J2120" s="291"/>
      <c r="K2120" s="291"/>
      <c r="L2120" s="293"/>
      <c r="M2120" s="291"/>
      <c r="N2120" s="289"/>
      <c r="O2120" s="358"/>
      <c r="P2120" s="402">
        <f t="shared" ref="P2120:Q2120" si="2116">IF(B2120=0,0,IF(YEAR(B2120)=$Q$1,MONTH(B2120)-$P$1+1,(YEAR(B2120)-$Q$1)*12-$P$1+1+MONTH(B2120)))</f>
        <v>0</v>
      </c>
      <c r="Q2120" s="280">
        <f t="shared" si="2116"/>
        <v>0</v>
      </c>
      <c r="R2120" s="356" t="str">
        <f t="shared" si="1"/>
        <v/>
      </c>
      <c r="S2120" s="269" t="str">
        <f>IF(D2120="","",IF(OR(D2120=Plano!$A$1,D2120=Plano!$B$1),"entrada","saída"))</f>
        <v/>
      </c>
      <c r="T2120" s="406"/>
      <c r="U2120" s="406"/>
      <c r="V2120" s="269"/>
    </row>
    <row r="2121" spans="1:22" ht="12.75" customHeight="1" x14ac:dyDescent="0.2">
      <c r="A2121" s="289" t="str">
        <f>IF(B2121="","",COUNT('Diário 5º PA'!$A$5:$A$2634)+ROW()-4)</f>
        <v/>
      </c>
      <c r="B2121" s="290"/>
      <c r="C2121" s="357"/>
      <c r="D2121" s="291"/>
      <c r="E2121" s="291"/>
      <c r="F2121" s="292"/>
      <c r="G2121" s="291"/>
      <c r="H2121" s="291"/>
      <c r="I2121" s="293"/>
      <c r="J2121" s="291"/>
      <c r="K2121" s="291"/>
      <c r="L2121" s="293"/>
      <c r="M2121" s="291"/>
      <c r="N2121" s="289"/>
      <c r="O2121" s="358"/>
      <c r="P2121" s="402">
        <f t="shared" ref="P2121:Q2121" si="2117">IF(B2121=0,0,IF(YEAR(B2121)=$Q$1,MONTH(B2121)-$P$1+1,(YEAR(B2121)-$Q$1)*12-$P$1+1+MONTH(B2121)))</f>
        <v>0</v>
      </c>
      <c r="Q2121" s="280">
        <f t="shared" si="2117"/>
        <v>0</v>
      </c>
      <c r="R2121" s="356" t="str">
        <f t="shared" si="1"/>
        <v/>
      </c>
      <c r="S2121" s="269" t="str">
        <f>IF(D2121="","",IF(OR(D2121=Plano!$A$1,D2121=Plano!$B$1),"entrada","saída"))</f>
        <v/>
      </c>
      <c r="T2121" s="406"/>
      <c r="U2121" s="406"/>
      <c r="V2121" s="269"/>
    </row>
    <row r="2122" spans="1:22" ht="12.75" customHeight="1" x14ac:dyDescent="0.2">
      <c r="A2122" s="289" t="str">
        <f>IF(B2122="","",COUNT('Diário 5º PA'!$A$5:$A$2634)+ROW()-4)</f>
        <v/>
      </c>
      <c r="B2122" s="290"/>
      <c r="C2122" s="357"/>
      <c r="D2122" s="291"/>
      <c r="E2122" s="291"/>
      <c r="F2122" s="292"/>
      <c r="G2122" s="291"/>
      <c r="H2122" s="291"/>
      <c r="I2122" s="293"/>
      <c r="J2122" s="291"/>
      <c r="K2122" s="291"/>
      <c r="L2122" s="293"/>
      <c r="M2122" s="291"/>
      <c r="N2122" s="289"/>
      <c r="O2122" s="358"/>
      <c r="P2122" s="402">
        <f t="shared" ref="P2122:Q2122" si="2118">IF(B2122=0,0,IF(YEAR(B2122)=$Q$1,MONTH(B2122)-$P$1+1,(YEAR(B2122)-$Q$1)*12-$P$1+1+MONTH(B2122)))</f>
        <v>0</v>
      </c>
      <c r="Q2122" s="280">
        <f t="shared" si="2118"/>
        <v>0</v>
      </c>
      <c r="R2122" s="356" t="str">
        <f t="shared" si="1"/>
        <v/>
      </c>
      <c r="S2122" s="269" t="str">
        <f>IF(D2122="","",IF(OR(D2122=Plano!$A$1,D2122=Plano!$B$1),"entrada","saída"))</f>
        <v/>
      </c>
      <c r="T2122" s="406"/>
      <c r="U2122" s="406"/>
      <c r="V2122" s="269"/>
    </row>
    <row r="2123" spans="1:22" ht="12.75" customHeight="1" x14ac:dyDescent="0.2">
      <c r="A2123" s="289" t="str">
        <f>IF(B2123="","",COUNT('Diário 5º PA'!$A$5:$A$2634)+ROW()-4)</f>
        <v/>
      </c>
      <c r="B2123" s="290"/>
      <c r="C2123" s="357"/>
      <c r="D2123" s="291"/>
      <c r="E2123" s="291"/>
      <c r="F2123" s="292"/>
      <c r="G2123" s="291"/>
      <c r="H2123" s="291"/>
      <c r="I2123" s="293"/>
      <c r="J2123" s="291"/>
      <c r="K2123" s="291"/>
      <c r="L2123" s="293"/>
      <c r="M2123" s="291"/>
      <c r="N2123" s="289"/>
      <c r="O2123" s="358"/>
      <c r="P2123" s="402">
        <f t="shared" ref="P2123:Q2123" si="2119">IF(B2123=0,0,IF(YEAR(B2123)=$Q$1,MONTH(B2123)-$P$1+1,(YEAR(B2123)-$Q$1)*12-$P$1+1+MONTH(B2123)))</f>
        <v>0</v>
      </c>
      <c r="Q2123" s="280">
        <f t="shared" si="2119"/>
        <v>0</v>
      </c>
      <c r="R2123" s="356" t="str">
        <f t="shared" si="1"/>
        <v/>
      </c>
      <c r="S2123" s="269" t="str">
        <f>IF(D2123="","",IF(OR(D2123=Plano!$A$1,D2123=Plano!$B$1),"entrada","saída"))</f>
        <v/>
      </c>
      <c r="T2123" s="406"/>
      <c r="U2123" s="406"/>
      <c r="V2123" s="269"/>
    </row>
    <row r="2124" spans="1:22" ht="12.75" customHeight="1" x14ac:dyDescent="0.2">
      <c r="A2124" s="289" t="str">
        <f>IF(B2124="","",COUNT('Diário 5º PA'!$A$5:$A$2634)+ROW()-4)</f>
        <v/>
      </c>
      <c r="B2124" s="290"/>
      <c r="C2124" s="357"/>
      <c r="D2124" s="291"/>
      <c r="E2124" s="291"/>
      <c r="F2124" s="292"/>
      <c r="G2124" s="291"/>
      <c r="H2124" s="291"/>
      <c r="I2124" s="293"/>
      <c r="J2124" s="291"/>
      <c r="K2124" s="291"/>
      <c r="L2124" s="293"/>
      <c r="M2124" s="291"/>
      <c r="N2124" s="289"/>
      <c r="O2124" s="358"/>
      <c r="P2124" s="402">
        <f t="shared" ref="P2124:Q2124" si="2120">IF(B2124=0,0,IF(YEAR(B2124)=$Q$1,MONTH(B2124)-$P$1+1,(YEAR(B2124)-$Q$1)*12-$P$1+1+MONTH(B2124)))</f>
        <v>0</v>
      </c>
      <c r="Q2124" s="280">
        <f t="shared" si="2120"/>
        <v>0</v>
      </c>
      <c r="R2124" s="356" t="str">
        <f t="shared" si="1"/>
        <v/>
      </c>
      <c r="S2124" s="269" t="str">
        <f>IF(D2124="","",IF(OR(D2124=Plano!$A$1,D2124=Plano!$B$1),"entrada","saída"))</f>
        <v/>
      </c>
      <c r="T2124" s="406"/>
      <c r="U2124" s="406"/>
      <c r="V2124" s="269"/>
    </row>
    <row r="2125" spans="1:22" ht="12.75" customHeight="1" x14ac:dyDescent="0.2">
      <c r="A2125" s="289" t="str">
        <f>IF(B2125="","",COUNT('Diário 5º PA'!$A$5:$A$2634)+ROW()-4)</f>
        <v/>
      </c>
      <c r="B2125" s="290"/>
      <c r="C2125" s="357"/>
      <c r="D2125" s="291"/>
      <c r="E2125" s="291"/>
      <c r="F2125" s="292"/>
      <c r="G2125" s="291"/>
      <c r="H2125" s="291"/>
      <c r="I2125" s="293"/>
      <c r="J2125" s="291"/>
      <c r="K2125" s="291"/>
      <c r="L2125" s="293"/>
      <c r="M2125" s="291"/>
      <c r="N2125" s="289"/>
      <c r="O2125" s="358"/>
      <c r="P2125" s="402">
        <f t="shared" ref="P2125:Q2125" si="2121">IF(B2125=0,0,IF(YEAR(B2125)=$Q$1,MONTH(B2125)-$P$1+1,(YEAR(B2125)-$Q$1)*12-$P$1+1+MONTH(B2125)))</f>
        <v>0</v>
      </c>
      <c r="Q2125" s="280">
        <f t="shared" si="2121"/>
        <v>0</v>
      </c>
      <c r="R2125" s="356" t="str">
        <f t="shared" si="1"/>
        <v/>
      </c>
      <c r="S2125" s="269" t="str">
        <f>IF(D2125="","",IF(OR(D2125=Plano!$A$1,D2125=Plano!$B$1),"entrada","saída"))</f>
        <v/>
      </c>
      <c r="T2125" s="406"/>
      <c r="U2125" s="406"/>
      <c r="V2125" s="269"/>
    </row>
    <row r="2126" spans="1:22" ht="12.75" customHeight="1" x14ac:dyDescent="0.2">
      <c r="A2126" s="289" t="str">
        <f>IF(B2126="","",COUNT('Diário 5º PA'!$A$5:$A$2634)+ROW()-4)</f>
        <v/>
      </c>
      <c r="B2126" s="290"/>
      <c r="C2126" s="357"/>
      <c r="D2126" s="291"/>
      <c r="E2126" s="291"/>
      <c r="F2126" s="292"/>
      <c r="G2126" s="291"/>
      <c r="H2126" s="291"/>
      <c r="I2126" s="293"/>
      <c r="J2126" s="291"/>
      <c r="K2126" s="291"/>
      <c r="L2126" s="293"/>
      <c r="M2126" s="291"/>
      <c r="N2126" s="289"/>
      <c r="O2126" s="358"/>
      <c r="P2126" s="402">
        <f t="shared" ref="P2126:Q2126" si="2122">IF(B2126=0,0,IF(YEAR(B2126)=$Q$1,MONTH(B2126)-$P$1+1,(YEAR(B2126)-$Q$1)*12-$P$1+1+MONTH(B2126)))</f>
        <v>0</v>
      </c>
      <c r="Q2126" s="280">
        <f t="shared" si="2122"/>
        <v>0</v>
      </c>
      <c r="R2126" s="356" t="str">
        <f t="shared" si="1"/>
        <v/>
      </c>
      <c r="S2126" s="269" t="str">
        <f>IF(D2126="","",IF(OR(D2126=Plano!$A$1,D2126=Plano!$B$1),"entrada","saída"))</f>
        <v/>
      </c>
      <c r="T2126" s="406"/>
      <c r="U2126" s="406"/>
      <c r="V2126" s="269"/>
    </row>
    <row r="2127" spans="1:22" ht="12.75" customHeight="1" x14ac:dyDescent="0.2">
      <c r="A2127" s="289" t="str">
        <f>IF(B2127="","",COUNT('Diário 5º PA'!$A$5:$A$2634)+ROW()-4)</f>
        <v/>
      </c>
      <c r="B2127" s="290"/>
      <c r="C2127" s="357"/>
      <c r="D2127" s="291"/>
      <c r="E2127" s="291"/>
      <c r="F2127" s="292"/>
      <c r="G2127" s="291"/>
      <c r="H2127" s="291"/>
      <c r="I2127" s="293"/>
      <c r="J2127" s="291"/>
      <c r="K2127" s="291"/>
      <c r="L2127" s="293"/>
      <c r="M2127" s="291"/>
      <c r="N2127" s="289"/>
      <c r="O2127" s="358"/>
      <c r="P2127" s="402">
        <f t="shared" ref="P2127:Q2127" si="2123">IF(B2127=0,0,IF(YEAR(B2127)=$Q$1,MONTH(B2127)-$P$1+1,(YEAR(B2127)-$Q$1)*12-$P$1+1+MONTH(B2127)))</f>
        <v>0</v>
      </c>
      <c r="Q2127" s="280">
        <f t="shared" si="2123"/>
        <v>0</v>
      </c>
      <c r="R2127" s="356" t="str">
        <f t="shared" si="1"/>
        <v/>
      </c>
      <c r="S2127" s="269" t="str">
        <f>IF(D2127="","",IF(OR(D2127=Plano!$A$1,D2127=Plano!$B$1),"entrada","saída"))</f>
        <v/>
      </c>
      <c r="T2127" s="406"/>
      <c r="U2127" s="406"/>
      <c r="V2127" s="269"/>
    </row>
    <row r="2128" spans="1:22" ht="12.75" customHeight="1" x14ac:dyDescent="0.2">
      <c r="A2128" s="289" t="str">
        <f>IF(B2128="","",COUNT('Diário 5º PA'!$A$5:$A$2634)+ROW()-4)</f>
        <v/>
      </c>
      <c r="B2128" s="290"/>
      <c r="C2128" s="357"/>
      <c r="D2128" s="291"/>
      <c r="E2128" s="291"/>
      <c r="F2128" s="292"/>
      <c r="G2128" s="291"/>
      <c r="H2128" s="291"/>
      <c r="I2128" s="293"/>
      <c r="J2128" s="291"/>
      <c r="K2128" s="291"/>
      <c r="L2128" s="293"/>
      <c r="M2128" s="291"/>
      <c r="N2128" s="289"/>
      <c r="O2128" s="358"/>
      <c r="P2128" s="402">
        <f t="shared" ref="P2128:Q2128" si="2124">IF(B2128=0,0,IF(YEAR(B2128)=$Q$1,MONTH(B2128)-$P$1+1,(YEAR(B2128)-$Q$1)*12-$P$1+1+MONTH(B2128)))</f>
        <v>0</v>
      </c>
      <c r="Q2128" s="280">
        <f t="shared" si="2124"/>
        <v>0</v>
      </c>
      <c r="R2128" s="356" t="str">
        <f t="shared" si="1"/>
        <v/>
      </c>
      <c r="S2128" s="269" t="str">
        <f>IF(D2128="","",IF(OR(D2128=Plano!$A$1,D2128=Plano!$B$1),"entrada","saída"))</f>
        <v/>
      </c>
      <c r="T2128" s="406"/>
      <c r="U2128" s="406"/>
      <c r="V2128" s="269"/>
    </row>
    <row r="2129" spans="1:22" ht="12.75" customHeight="1" x14ac:dyDescent="0.2">
      <c r="A2129" s="289" t="str">
        <f>IF(B2129="","",COUNT('Diário 5º PA'!$A$5:$A$2634)+ROW()-4)</f>
        <v/>
      </c>
      <c r="B2129" s="290"/>
      <c r="C2129" s="357"/>
      <c r="D2129" s="291"/>
      <c r="E2129" s="291"/>
      <c r="F2129" s="292"/>
      <c r="G2129" s="291"/>
      <c r="H2129" s="291"/>
      <c r="I2129" s="293"/>
      <c r="J2129" s="291"/>
      <c r="K2129" s="291"/>
      <c r="L2129" s="293"/>
      <c r="M2129" s="291"/>
      <c r="N2129" s="289"/>
      <c r="O2129" s="358"/>
      <c r="P2129" s="402">
        <f t="shared" ref="P2129:Q2129" si="2125">IF(B2129=0,0,IF(YEAR(B2129)=$Q$1,MONTH(B2129)-$P$1+1,(YEAR(B2129)-$Q$1)*12-$P$1+1+MONTH(B2129)))</f>
        <v>0</v>
      </c>
      <c r="Q2129" s="280">
        <f t="shared" si="2125"/>
        <v>0</v>
      </c>
      <c r="R2129" s="356" t="str">
        <f t="shared" si="1"/>
        <v/>
      </c>
      <c r="S2129" s="269" t="str">
        <f>IF(D2129="","",IF(OR(D2129=Plano!$A$1,D2129=Plano!$B$1),"entrada","saída"))</f>
        <v/>
      </c>
      <c r="T2129" s="406"/>
      <c r="U2129" s="406"/>
      <c r="V2129" s="269"/>
    </row>
    <row r="2130" spans="1:22" ht="12.75" customHeight="1" x14ac:dyDescent="0.2">
      <c r="A2130" s="289" t="str">
        <f>IF(B2130="","",COUNT('Diário 5º PA'!$A$5:$A$2634)+ROW()-4)</f>
        <v/>
      </c>
      <c r="B2130" s="290"/>
      <c r="C2130" s="357"/>
      <c r="D2130" s="291"/>
      <c r="E2130" s="291"/>
      <c r="F2130" s="292"/>
      <c r="G2130" s="291"/>
      <c r="H2130" s="291"/>
      <c r="I2130" s="293"/>
      <c r="J2130" s="291"/>
      <c r="K2130" s="291"/>
      <c r="L2130" s="293"/>
      <c r="M2130" s="291"/>
      <c r="N2130" s="289"/>
      <c r="O2130" s="358"/>
      <c r="P2130" s="402">
        <f t="shared" ref="P2130:Q2130" si="2126">IF(B2130=0,0,IF(YEAR(B2130)=$Q$1,MONTH(B2130)-$P$1+1,(YEAR(B2130)-$Q$1)*12-$P$1+1+MONTH(B2130)))</f>
        <v>0</v>
      </c>
      <c r="Q2130" s="280">
        <f t="shared" si="2126"/>
        <v>0</v>
      </c>
      <c r="R2130" s="356" t="str">
        <f t="shared" si="1"/>
        <v/>
      </c>
      <c r="S2130" s="269" t="str">
        <f>IF(D2130="","",IF(OR(D2130=Plano!$A$1,D2130=Plano!$B$1),"entrada","saída"))</f>
        <v/>
      </c>
      <c r="T2130" s="406"/>
      <c r="U2130" s="406"/>
      <c r="V2130" s="269"/>
    </row>
    <row r="2131" spans="1:22" ht="12.75" customHeight="1" x14ac:dyDescent="0.2">
      <c r="A2131" s="289" t="str">
        <f>IF(B2131="","",COUNT('Diário 5º PA'!$A$5:$A$2634)+ROW()-4)</f>
        <v/>
      </c>
      <c r="B2131" s="290"/>
      <c r="C2131" s="357"/>
      <c r="D2131" s="291"/>
      <c r="E2131" s="291"/>
      <c r="F2131" s="292"/>
      <c r="G2131" s="291"/>
      <c r="H2131" s="291"/>
      <c r="I2131" s="293"/>
      <c r="J2131" s="291"/>
      <c r="K2131" s="291"/>
      <c r="L2131" s="293"/>
      <c r="M2131" s="291"/>
      <c r="N2131" s="289"/>
      <c r="O2131" s="358"/>
      <c r="P2131" s="402">
        <f t="shared" ref="P2131:Q2131" si="2127">IF(B2131=0,0,IF(YEAR(B2131)=$Q$1,MONTH(B2131)-$P$1+1,(YEAR(B2131)-$Q$1)*12-$P$1+1+MONTH(B2131)))</f>
        <v>0</v>
      </c>
      <c r="Q2131" s="280">
        <f t="shared" si="2127"/>
        <v>0</v>
      </c>
      <c r="R2131" s="356" t="str">
        <f t="shared" si="1"/>
        <v/>
      </c>
      <c r="S2131" s="269" t="str">
        <f>IF(D2131="","",IF(OR(D2131=Plano!$A$1,D2131=Plano!$B$1),"entrada","saída"))</f>
        <v/>
      </c>
      <c r="T2131" s="406"/>
      <c r="U2131" s="406"/>
      <c r="V2131" s="269"/>
    </row>
    <row r="2132" spans="1:22" ht="12.75" customHeight="1" x14ac:dyDescent="0.2">
      <c r="A2132" s="289" t="str">
        <f>IF(B2132="","",COUNT('Diário 5º PA'!$A$5:$A$2634)+ROW()-4)</f>
        <v/>
      </c>
      <c r="B2132" s="290"/>
      <c r="C2132" s="357"/>
      <c r="D2132" s="291"/>
      <c r="E2132" s="291"/>
      <c r="F2132" s="292"/>
      <c r="G2132" s="291"/>
      <c r="H2132" s="291"/>
      <c r="I2132" s="293"/>
      <c r="J2132" s="291"/>
      <c r="K2132" s="291"/>
      <c r="L2132" s="293"/>
      <c r="M2132" s="291"/>
      <c r="N2132" s="289"/>
      <c r="O2132" s="358"/>
      <c r="P2132" s="402">
        <f t="shared" ref="P2132:Q2132" si="2128">IF(B2132=0,0,IF(YEAR(B2132)=$Q$1,MONTH(B2132)-$P$1+1,(YEAR(B2132)-$Q$1)*12-$P$1+1+MONTH(B2132)))</f>
        <v>0</v>
      </c>
      <c r="Q2132" s="280">
        <f t="shared" si="2128"/>
        <v>0</v>
      </c>
      <c r="R2132" s="356" t="str">
        <f t="shared" si="1"/>
        <v/>
      </c>
      <c r="S2132" s="269" t="str">
        <f>IF(D2132="","",IF(OR(D2132=Plano!$A$1,D2132=Plano!$B$1),"entrada","saída"))</f>
        <v/>
      </c>
      <c r="T2132" s="406"/>
      <c r="U2132" s="406"/>
      <c r="V2132" s="269"/>
    </row>
    <row r="2133" spans="1:22" ht="12.75" customHeight="1" x14ac:dyDescent="0.2">
      <c r="A2133" s="289" t="str">
        <f>IF(B2133="","",COUNT('Diário 5º PA'!$A$5:$A$2634)+ROW()-4)</f>
        <v/>
      </c>
      <c r="B2133" s="290"/>
      <c r="C2133" s="357"/>
      <c r="D2133" s="291"/>
      <c r="E2133" s="291"/>
      <c r="F2133" s="292"/>
      <c r="G2133" s="291"/>
      <c r="H2133" s="291"/>
      <c r="I2133" s="293"/>
      <c r="J2133" s="291"/>
      <c r="K2133" s="291"/>
      <c r="L2133" s="293"/>
      <c r="M2133" s="291"/>
      <c r="N2133" s="289"/>
      <c r="O2133" s="358"/>
      <c r="P2133" s="402">
        <f t="shared" ref="P2133:Q2133" si="2129">IF(B2133=0,0,IF(YEAR(B2133)=$Q$1,MONTH(B2133)-$P$1+1,(YEAR(B2133)-$Q$1)*12-$P$1+1+MONTH(B2133)))</f>
        <v>0</v>
      </c>
      <c r="Q2133" s="280">
        <f t="shared" si="2129"/>
        <v>0</v>
      </c>
      <c r="R2133" s="356" t="str">
        <f t="shared" si="1"/>
        <v/>
      </c>
      <c r="S2133" s="269" t="str">
        <f>IF(D2133="","",IF(OR(D2133=Plano!$A$1,D2133=Plano!$B$1),"entrada","saída"))</f>
        <v/>
      </c>
      <c r="T2133" s="406"/>
      <c r="U2133" s="406"/>
      <c r="V2133" s="269"/>
    </row>
    <row r="2134" spans="1:22" ht="12.75" customHeight="1" x14ac:dyDescent="0.2">
      <c r="A2134" s="289" t="str">
        <f>IF(B2134="","",COUNT('Diário 5º PA'!$A$5:$A$2634)+ROW()-4)</f>
        <v/>
      </c>
      <c r="B2134" s="290"/>
      <c r="C2134" s="357"/>
      <c r="D2134" s="291"/>
      <c r="E2134" s="291"/>
      <c r="F2134" s="292"/>
      <c r="G2134" s="291"/>
      <c r="H2134" s="291"/>
      <c r="I2134" s="293"/>
      <c r="J2134" s="291"/>
      <c r="K2134" s="291"/>
      <c r="L2134" s="293"/>
      <c r="M2134" s="291"/>
      <c r="N2134" s="289"/>
      <c r="O2134" s="358"/>
      <c r="P2134" s="402">
        <f t="shared" ref="P2134:Q2134" si="2130">IF(B2134=0,0,IF(YEAR(B2134)=$Q$1,MONTH(B2134)-$P$1+1,(YEAR(B2134)-$Q$1)*12-$P$1+1+MONTH(B2134)))</f>
        <v>0</v>
      </c>
      <c r="Q2134" s="280">
        <f t="shared" si="2130"/>
        <v>0</v>
      </c>
      <c r="R2134" s="356" t="str">
        <f t="shared" si="1"/>
        <v/>
      </c>
      <c r="S2134" s="269" t="str">
        <f>IF(D2134="","",IF(OR(D2134=Plano!$A$1,D2134=Plano!$B$1),"entrada","saída"))</f>
        <v/>
      </c>
      <c r="T2134" s="406"/>
      <c r="U2134" s="406"/>
      <c r="V2134" s="269"/>
    </row>
    <row r="2135" spans="1:22" ht="12.75" customHeight="1" x14ac:dyDescent="0.2">
      <c r="A2135" s="289" t="str">
        <f>IF(B2135="","",COUNT('Diário 5º PA'!$A$5:$A$2634)+ROW()-4)</f>
        <v/>
      </c>
      <c r="B2135" s="290"/>
      <c r="C2135" s="357"/>
      <c r="D2135" s="291"/>
      <c r="E2135" s="291"/>
      <c r="F2135" s="292"/>
      <c r="G2135" s="291"/>
      <c r="H2135" s="291"/>
      <c r="I2135" s="293"/>
      <c r="J2135" s="291"/>
      <c r="K2135" s="291"/>
      <c r="L2135" s="293"/>
      <c r="M2135" s="291"/>
      <c r="N2135" s="289"/>
      <c r="O2135" s="358"/>
      <c r="P2135" s="402">
        <f t="shared" ref="P2135:Q2135" si="2131">IF(B2135=0,0,IF(YEAR(B2135)=$Q$1,MONTH(B2135)-$P$1+1,(YEAR(B2135)-$Q$1)*12-$P$1+1+MONTH(B2135)))</f>
        <v>0</v>
      </c>
      <c r="Q2135" s="280">
        <f t="shared" si="2131"/>
        <v>0</v>
      </c>
      <c r="R2135" s="356" t="str">
        <f t="shared" si="1"/>
        <v/>
      </c>
      <c r="S2135" s="269" t="str">
        <f>IF(D2135="","",IF(OR(D2135=Plano!$A$1,D2135=Plano!$B$1),"entrada","saída"))</f>
        <v/>
      </c>
      <c r="T2135" s="406"/>
      <c r="U2135" s="406"/>
      <c r="V2135" s="269"/>
    </row>
    <row r="2136" spans="1:22" ht="12.75" customHeight="1" x14ac:dyDescent="0.2">
      <c r="A2136" s="289" t="str">
        <f>IF(B2136="","",COUNT('Diário 5º PA'!$A$5:$A$2634)+ROW()-4)</f>
        <v/>
      </c>
      <c r="B2136" s="290"/>
      <c r="C2136" s="357"/>
      <c r="D2136" s="291"/>
      <c r="E2136" s="291"/>
      <c r="F2136" s="292"/>
      <c r="G2136" s="291"/>
      <c r="H2136" s="291"/>
      <c r="I2136" s="293"/>
      <c r="J2136" s="291"/>
      <c r="K2136" s="291"/>
      <c r="L2136" s="293"/>
      <c r="M2136" s="291"/>
      <c r="N2136" s="289"/>
      <c r="O2136" s="358"/>
      <c r="P2136" s="402">
        <f t="shared" ref="P2136:Q2136" si="2132">IF(B2136=0,0,IF(YEAR(B2136)=$Q$1,MONTH(B2136)-$P$1+1,(YEAR(B2136)-$Q$1)*12-$P$1+1+MONTH(B2136)))</f>
        <v>0</v>
      </c>
      <c r="Q2136" s="280">
        <f t="shared" si="2132"/>
        <v>0</v>
      </c>
      <c r="R2136" s="356" t="str">
        <f t="shared" si="1"/>
        <v/>
      </c>
      <c r="S2136" s="269" t="str">
        <f>IF(D2136="","",IF(OR(D2136=Plano!$A$1,D2136=Plano!$B$1),"entrada","saída"))</f>
        <v/>
      </c>
      <c r="T2136" s="406"/>
      <c r="U2136" s="406"/>
      <c r="V2136" s="269"/>
    </row>
    <row r="2137" spans="1:22" ht="12.75" customHeight="1" x14ac:dyDescent="0.2">
      <c r="A2137" s="289" t="str">
        <f>IF(B2137="","",COUNT('Diário 5º PA'!$A$5:$A$2634)+ROW()-4)</f>
        <v/>
      </c>
      <c r="B2137" s="290"/>
      <c r="C2137" s="357"/>
      <c r="D2137" s="291"/>
      <c r="E2137" s="291"/>
      <c r="F2137" s="292"/>
      <c r="G2137" s="291"/>
      <c r="H2137" s="291"/>
      <c r="I2137" s="293"/>
      <c r="J2137" s="291"/>
      <c r="K2137" s="291"/>
      <c r="L2137" s="293"/>
      <c r="M2137" s="291"/>
      <c r="N2137" s="289"/>
      <c r="O2137" s="358"/>
      <c r="P2137" s="402">
        <f t="shared" ref="P2137:Q2137" si="2133">IF(B2137=0,0,IF(YEAR(B2137)=$Q$1,MONTH(B2137)-$P$1+1,(YEAR(B2137)-$Q$1)*12-$P$1+1+MONTH(B2137)))</f>
        <v>0</v>
      </c>
      <c r="Q2137" s="280">
        <f t="shared" si="2133"/>
        <v>0</v>
      </c>
      <c r="R2137" s="356" t="str">
        <f t="shared" si="1"/>
        <v/>
      </c>
      <c r="S2137" s="269" t="str">
        <f>IF(D2137="","",IF(OR(D2137=Plano!$A$1,D2137=Plano!$B$1),"entrada","saída"))</f>
        <v/>
      </c>
      <c r="T2137" s="406"/>
      <c r="U2137" s="406"/>
      <c r="V2137" s="269"/>
    </row>
    <row r="2138" spans="1:22" ht="12.75" customHeight="1" x14ac:dyDescent="0.2">
      <c r="A2138" s="289" t="str">
        <f>IF(B2138="","",COUNT('Diário 5º PA'!$A$5:$A$2634)+ROW()-4)</f>
        <v/>
      </c>
      <c r="B2138" s="290"/>
      <c r="C2138" s="357"/>
      <c r="D2138" s="291"/>
      <c r="E2138" s="291"/>
      <c r="F2138" s="292"/>
      <c r="G2138" s="291"/>
      <c r="H2138" s="291"/>
      <c r="I2138" s="293"/>
      <c r="J2138" s="291"/>
      <c r="K2138" s="291"/>
      <c r="L2138" s="293"/>
      <c r="M2138" s="291"/>
      <c r="N2138" s="289"/>
      <c r="O2138" s="358"/>
      <c r="P2138" s="402">
        <f t="shared" ref="P2138:Q2138" si="2134">IF(B2138=0,0,IF(YEAR(B2138)=$Q$1,MONTH(B2138)-$P$1+1,(YEAR(B2138)-$Q$1)*12-$P$1+1+MONTH(B2138)))</f>
        <v>0</v>
      </c>
      <c r="Q2138" s="280">
        <f t="shared" si="2134"/>
        <v>0</v>
      </c>
      <c r="R2138" s="356" t="str">
        <f t="shared" si="1"/>
        <v/>
      </c>
      <c r="S2138" s="269" t="str">
        <f>IF(D2138="","",IF(OR(D2138=Plano!$A$1,D2138=Plano!$B$1),"entrada","saída"))</f>
        <v/>
      </c>
      <c r="T2138" s="406"/>
      <c r="U2138" s="406"/>
      <c r="V2138" s="269"/>
    </row>
    <row r="2139" spans="1:22" ht="12.75" customHeight="1" x14ac:dyDescent="0.2">
      <c r="A2139" s="289" t="str">
        <f>IF(B2139="","",COUNT('Diário 5º PA'!$A$5:$A$2634)+ROW()-4)</f>
        <v/>
      </c>
      <c r="B2139" s="290"/>
      <c r="C2139" s="357"/>
      <c r="D2139" s="291"/>
      <c r="E2139" s="291"/>
      <c r="F2139" s="292"/>
      <c r="G2139" s="291"/>
      <c r="H2139" s="291"/>
      <c r="I2139" s="293"/>
      <c r="J2139" s="291"/>
      <c r="K2139" s="291"/>
      <c r="L2139" s="293"/>
      <c r="M2139" s="291"/>
      <c r="N2139" s="289"/>
      <c r="O2139" s="358"/>
      <c r="P2139" s="402">
        <f t="shared" ref="P2139:Q2139" si="2135">IF(B2139=0,0,IF(YEAR(B2139)=$Q$1,MONTH(B2139)-$P$1+1,(YEAR(B2139)-$Q$1)*12-$P$1+1+MONTH(B2139)))</f>
        <v>0</v>
      </c>
      <c r="Q2139" s="280">
        <f t="shared" si="2135"/>
        <v>0</v>
      </c>
      <c r="R2139" s="356" t="str">
        <f t="shared" si="1"/>
        <v/>
      </c>
      <c r="S2139" s="269" t="str">
        <f>IF(D2139="","",IF(OR(D2139=Plano!$A$1,D2139=Plano!$B$1),"entrada","saída"))</f>
        <v/>
      </c>
      <c r="T2139" s="406"/>
      <c r="U2139" s="406"/>
      <c r="V2139" s="269"/>
    </row>
    <row r="2140" spans="1:22" ht="12.75" customHeight="1" x14ac:dyDescent="0.2">
      <c r="A2140" s="289" t="str">
        <f>IF(B2140="","",COUNT('Diário 5º PA'!$A$5:$A$2634)+ROW()-4)</f>
        <v/>
      </c>
      <c r="B2140" s="290"/>
      <c r="C2140" s="357"/>
      <c r="D2140" s="291"/>
      <c r="E2140" s="291"/>
      <c r="F2140" s="292"/>
      <c r="G2140" s="291"/>
      <c r="H2140" s="291"/>
      <c r="I2140" s="293"/>
      <c r="J2140" s="291"/>
      <c r="K2140" s="291"/>
      <c r="L2140" s="293"/>
      <c r="M2140" s="291"/>
      <c r="N2140" s="289"/>
      <c r="O2140" s="358"/>
      <c r="P2140" s="402">
        <f t="shared" ref="P2140:Q2140" si="2136">IF(B2140=0,0,IF(YEAR(B2140)=$Q$1,MONTH(B2140)-$P$1+1,(YEAR(B2140)-$Q$1)*12-$P$1+1+MONTH(B2140)))</f>
        <v>0</v>
      </c>
      <c r="Q2140" s="280">
        <f t="shared" si="2136"/>
        <v>0</v>
      </c>
      <c r="R2140" s="356" t="str">
        <f t="shared" si="1"/>
        <v/>
      </c>
      <c r="S2140" s="269" t="str">
        <f>IF(D2140="","",IF(OR(D2140=Plano!$A$1,D2140=Plano!$B$1),"entrada","saída"))</f>
        <v/>
      </c>
      <c r="T2140" s="406"/>
      <c r="U2140" s="406"/>
      <c r="V2140" s="269"/>
    </row>
    <row r="2141" spans="1:22" ht="12.75" customHeight="1" x14ac:dyDescent="0.2">
      <c r="A2141" s="289" t="str">
        <f>IF(B2141="","",COUNT('Diário 5º PA'!$A$5:$A$2634)+ROW()-4)</f>
        <v/>
      </c>
      <c r="B2141" s="290"/>
      <c r="C2141" s="357"/>
      <c r="D2141" s="291"/>
      <c r="E2141" s="291"/>
      <c r="F2141" s="292"/>
      <c r="G2141" s="291"/>
      <c r="H2141" s="291"/>
      <c r="I2141" s="293"/>
      <c r="J2141" s="291"/>
      <c r="K2141" s="291"/>
      <c r="L2141" s="293"/>
      <c r="M2141" s="291"/>
      <c r="N2141" s="289"/>
      <c r="O2141" s="358"/>
      <c r="P2141" s="402">
        <f t="shared" ref="P2141:Q2141" si="2137">IF(B2141=0,0,IF(YEAR(B2141)=$Q$1,MONTH(B2141)-$P$1+1,(YEAR(B2141)-$Q$1)*12-$P$1+1+MONTH(B2141)))</f>
        <v>0</v>
      </c>
      <c r="Q2141" s="280">
        <f t="shared" si="2137"/>
        <v>0</v>
      </c>
      <c r="R2141" s="356" t="str">
        <f t="shared" si="1"/>
        <v/>
      </c>
      <c r="S2141" s="269" t="str">
        <f>IF(D2141="","",IF(OR(D2141=Plano!$A$1,D2141=Plano!$B$1),"entrada","saída"))</f>
        <v/>
      </c>
      <c r="T2141" s="406"/>
      <c r="U2141" s="406"/>
      <c r="V2141" s="269"/>
    </row>
    <row r="2142" spans="1:22" ht="12.75" customHeight="1" x14ac:dyDescent="0.2">
      <c r="A2142" s="289" t="str">
        <f>IF(B2142="","",COUNT('Diário 5º PA'!$A$5:$A$2634)+ROW()-4)</f>
        <v/>
      </c>
      <c r="B2142" s="290"/>
      <c r="C2142" s="357"/>
      <c r="D2142" s="291"/>
      <c r="E2142" s="291"/>
      <c r="F2142" s="292"/>
      <c r="G2142" s="291"/>
      <c r="H2142" s="291"/>
      <c r="I2142" s="293"/>
      <c r="J2142" s="291"/>
      <c r="K2142" s="291"/>
      <c r="L2142" s="293"/>
      <c r="M2142" s="291"/>
      <c r="N2142" s="289"/>
      <c r="O2142" s="358"/>
      <c r="P2142" s="402">
        <f t="shared" ref="P2142:Q2142" si="2138">IF(B2142=0,0,IF(YEAR(B2142)=$Q$1,MONTH(B2142)-$P$1+1,(YEAR(B2142)-$Q$1)*12-$P$1+1+MONTH(B2142)))</f>
        <v>0</v>
      </c>
      <c r="Q2142" s="280">
        <f t="shared" si="2138"/>
        <v>0</v>
      </c>
      <c r="R2142" s="356" t="str">
        <f t="shared" si="1"/>
        <v/>
      </c>
      <c r="S2142" s="269" t="str">
        <f>IF(D2142="","",IF(OR(D2142=Plano!$A$1,D2142=Plano!$B$1),"entrada","saída"))</f>
        <v/>
      </c>
      <c r="T2142" s="406"/>
      <c r="U2142" s="406"/>
      <c r="V2142" s="269"/>
    </row>
    <row r="2143" spans="1:22" ht="12.75" customHeight="1" x14ac:dyDescent="0.2">
      <c r="A2143" s="289" t="str">
        <f>IF(B2143="","",COUNT('Diário 5º PA'!$A$5:$A$2634)+ROW()-4)</f>
        <v/>
      </c>
      <c r="B2143" s="290"/>
      <c r="C2143" s="357"/>
      <c r="D2143" s="291"/>
      <c r="E2143" s="291"/>
      <c r="F2143" s="292"/>
      <c r="G2143" s="291"/>
      <c r="H2143" s="291"/>
      <c r="I2143" s="293"/>
      <c r="J2143" s="291"/>
      <c r="K2143" s="291"/>
      <c r="L2143" s="293"/>
      <c r="M2143" s="291"/>
      <c r="N2143" s="289"/>
      <c r="O2143" s="358"/>
      <c r="P2143" s="402">
        <f t="shared" ref="P2143:Q2143" si="2139">IF(B2143=0,0,IF(YEAR(B2143)=$Q$1,MONTH(B2143)-$P$1+1,(YEAR(B2143)-$Q$1)*12-$P$1+1+MONTH(B2143)))</f>
        <v>0</v>
      </c>
      <c r="Q2143" s="280">
        <f t="shared" si="2139"/>
        <v>0</v>
      </c>
      <c r="R2143" s="356" t="str">
        <f t="shared" si="1"/>
        <v/>
      </c>
      <c r="S2143" s="269" t="str">
        <f>IF(D2143="","",IF(OR(D2143=Plano!$A$1,D2143=Plano!$B$1),"entrada","saída"))</f>
        <v/>
      </c>
      <c r="T2143" s="406"/>
      <c r="U2143" s="406"/>
      <c r="V2143" s="269"/>
    </row>
    <row r="2144" spans="1:22" ht="12.75" customHeight="1" x14ac:dyDescent="0.2">
      <c r="A2144" s="289" t="str">
        <f>IF(B2144="","",COUNT('Diário 5º PA'!$A$5:$A$2634)+ROW()-4)</f>
        <v/>
      </c>
      <c r="B2144" s="290"/>
      <c r="C2144" s="357"/>
      <c r="D2144" s="291"/>
      <c r="E2144" s="291"/>
      <c r="F2144" s="292"/>
      <c r="G2144" s="291"/>
      <c r="H2144" s="291"/>
      <c r="I2144" s="293"/>
      <c r="J2144" s="291"/>
      <c r="K2144" s="291"/>
      <c r="L2144" s="293"/>
      <c r="M2144" s="291"/>
      <c r="N2144" s="289"/>
      <c r="O2144" s="358"/>
      <c r="P2144" s="402">
        <f t="shared" ref="P2144:Q2144" si="2140">IF(B2144=0,0,IF(YEAR(B2144)=$Q$1,MONTH(B2144)-$P$1+1,(YEAR(B2144)-$Q$1)*12-$P$1+1+MONTH(B2144)))</f>
        <v>0</v>
      </c>
      <c r="Q2144" s="280">
        <f t="shared" si="2140"/>
        <v>0</v>
      </c>
      <c r="R2144" s="356" t="str">
        <f t="shared" si="1"/>
        <v/>
      </c>
      <c r="S2144" s="269" t="str">
        <f>IF(D2144="","",IF(OR(D2144=Plano!$A$1,D2144=Plano!$B$1),"entrada","saída"))</f>
        <v/>
      </c>
      <c r="T2144" s="406"/>
      <c r="U2144" s="406"/>
      <c r="V2144" s="269"/>
    </row>
    <row r="2145" spans="1:22" ht="12.75" customHeight="1" x14ac:dyDescent="0.2">
      <c r="A2145" s="289" t="str">
        <f>IF(B2145="","",COUNT('Diário 5º PA'!$A$5:$A$2634)+ROW()-4)</f>
        <v/>
      </c>
      <c r="B2145" s="290"/>
      <c r="C2145" s="357"/>
      <c r="D2145" s="291"/>
      <c r="E2145" s="291"/>
      <c r="F2145" s="292"/>
      <c r="G2145" s="291"/>
      <c r="H2145" s="291"/>
      <c r="I2145" s="293"/>
      <c r="J2145" s="291"/>
      <c r="K2145" s="291"/>
      <c r="L2145" s="293"/>
      <c r="M2145" s="291"/>
      <c r="N2145" s="289"/>
      <c r="O2145" s="358"/>
      <c r="P2145" s="402">
        <f t="shared" ref="P2145:Q2145" si="2141">IF(B2145=0,0,IF(YEAR(B2145)=$Q$1,MONTH(B2145)-$P$1+1,(YEAR(B2145)-$Q$1)*12-$P$1+1+MONTH(B2145)))</f>
        <v>0</v>
      </c>
      <c r="Q2145" s="280">
        <f t="shared" si="2141"/>
        <v>0</v>
      </c>
      <c r="R2145" s="356" t="str">
        <f t="shared" si="1"/>
        <v/>
      </c>
      <c r="S2145" s="269" t="str">
        <f>IF(D2145="","",IF(OR(D2145=Plano!$A$1,D2145=Plano!$B$1),"entrada","saída"))</f>
        <v/>
      </c>
      <c r="T2145" s="406"/>
      <c r="U2145" s="406"/>
      <c r="V2145" s="269"/>
    </row>
    <row r="2146" spans="1:22" ht="12.75" customHeight="1" x14ac:dyDescent="0.2">
      <c r="A2146" s="289" t="str">
        <f>IF(B2146="","",COUNT('Diário 5º PA'!$A$5:$A$2634)+ROW()-4)</f>
        <v/>
      </c>
      <c r="B2146" s="290"/>
      <c r="C2146" s="357"/>
      <c r="D2146" s="291"/>
      <c r="E2146" s="291"/>
      <c r="F2146" s="292"/>
      <c r="G2146" s="291"/>
      <c r="H2146" s="291"/>
      <c r="I2146" s="293"/>
      <c r="J2146" s="291"/>
      <c r="K2146" s="291"/>
      <c r="L2146" s="293"/>
      <c r="M2146" s="291"/>
      <c r="N2146" s="289"/>
      <c r="O2146" s="358"/>
      <c r="P2146" s="402">
        <f t="shared" ref="P2146:Q2146" si="2142">IF(B2146=0,0,IF(YEAR(B2146)=$Q$1,MONTH(B2146)-$P$1+1,(YEAR(B2146)-$Q$1)*12-$P$1+1+MONTH(B2146)))</f>
        <v>0</v>
      </c>
      <c r="Q2146" s="280">
        <f t="shared" si="2142"/>
        <v>0</v>
      </c>
      <c r="R2146" s="356" t="str">
        <f t="shared" si="1"/>
        <v/>
      </c>
      <c r="S2146" s="269" t="str">
        <f>IF(D2146="","",IF(OR(D2146=Plano!$A$1,D2146=Plano!$B$1),"entrada","saída"))</f>
        <v/>
      </c>
      <c r="T2146" s="406"/>
      <c r="U2146" s="406"/>
      <c r="V2146" s="269"/>
    </row>
    <row r="2147" spans="1:22" ht="12.75" customHeight="1" x14ac:dyDescent="0.2">
      <c r="A2147" s="289" t="str">
        <f>IF(B2147="","",COUNT('Diário 5º PA'!$A$5:$A$2634)+ROW()-4)</f>
        <v/>
      </c>
      <c r="B2147" s="290"/>
      <c r="C2147" s="357"/>
      <c r="D2147" s="291"/>
      <c r="E2147" s="291"/>
      <c r="F2147" s="292"/>
      <c r="G2147" s="291"/>
      <c r="H2147" s="291"/>
      <c r="I2147" s="293"/>
      <c r="J2147" s="291"/>
      <c r="K2147" s="291"/>
      <c r="L2147" s="293"/>
      <c r="M2147" s="291"/>
      <c r="N2147" s="289"/>
      <c r="O2147" s="358"/>
      <c r="P2147" s="402">
        <f t="shared" ref="P2147:Q2147" si="2143">IF(B2147=0,0,IF(YEAR(B2147)=$Q$1,MONTH(B2147)-$P$1+1,(YEAR(B2147)-$Q$1)*12-$P$1+1+MONTH(B2147)))</f>
        <v>0</v>
      </c>
      <c r="Q2147" s="280">
        <f t="shared" si="2143"/>
        <v>0</v>
      </c>
      <c r="R2147" s="356" t="str">
        <f t="shared" si="1"/>
        <v/>
      </c>
      <c r="S2147" s="269" t="str">
        <f>IF(D2147="","",IF(OR(D2147=Plano!$A$1,D2147=Plano!$B$1),"entrada","saída"))</f>
        <v/>
      </c>
      <c r="T2147" s="406"/>
      <c r="U2147" s="406"/>
      <c r="V2147" s="269"/>
    </row>
    <row r="2148" spans="1:22" ht="12.75" customHeight="1" x14ac:dyDescent="0.2">
      <c r="A2148" s="289" t="str">
        <f>IF(B2148="","",COUNT('Diário 5º PA'!$A$5:$A$2634)+ROW()-4)</f>
        <v/>
      </c>
      <c r="B2148" s="290"/>
      <c r="C2148" s="357"/>
      <c r="D2148" s="291"/>
      <c r="E2148" s="291"/>
      <c r="F2148" s="292"/>
      <c r="G2148" s="291"/>
      <c r="H2148" s="291"/>
      <c r="I2148" s="293"/>
      <c r="J2148" s="291"/>
      <c r="K2148" s="291"/>
      <c r="L2148" s="293"/>
      <c r="M2148" s="291"/>
      <c r="N2148" s="289"/>
      <c r="O2148" s="358"/>
      <c r="P2148" s="402">
        <f t="shared" ref="P2148:Q2148" si="2144">IF(B2148=0,0,IF(YEAR(B2148)=$Q$1,MONTH(B2148)-$P$1+1,(YEAR(B2148)-$Q$1)*12-$P$1+1+MONTH(B2148)))</f>
        <v>0</v>
      </c>
      <c r="Q2148" s="280">
        <f t="shared" si="2144"/>
        <v>0</v>
      </c>
      <c r="R2148" s="356" t="str">
        <f t="shared" si="1"/>
        <v/>
      </c>
      <c r="S2148" s="269" t="str">
        <f>IF(D2148="","",IF(OR(D2148=Plano!$A$1,D2148=Plano!$B$1),"entrada","saída"))</f>
        <v/>
      </c>
      <c r="T2148" s="406"/>
      <c r="U2148" s="406"/>
      <c r="V2148" s="269"/>
    </row>
    <row r="2149" spans="1:22" ht="12.75" customHeight="1" x14ac:dyDescent="0.2">
      <c r="A2149" s="289" t="str">
        <f>IF(B2149="","",COUNT('Diário 5º PA'!$A$5:$A$2634)+ROW()-4)</f>
        <v/>
      </c>
      <c r="B2149" s="290"/>
      <c r="C2149" s="357"/>
      <c r="D2149" s="291"/>
      <c r="E2149" s="291"/>
      <c r="F2149" s="292"/>
      <c r="G2149" s="291"/>
      <c r="H2149" s="291"/>
      <c r="I2149" s="293"/>
      <c r="J2149" s="291"/>
      <c r="K2149" s="291"/>
      <c r="L2149" s="293"/>
      <c r="M2149" s="291"/>
      <c r="N2149" s="289"/>
      <c r="O2149" s="358"/>
      <c r="P2149" s="402">
        <f t="shared" ref="P2149:Q2149" si="2145">IF(B2149=0,0,IF(YEAR(B2149)=$Q$1,MONTH(B2149)-$P$1+1,(YEAR(B2149)-$Q$1)*12-$P$1+1+MONTH(B2149)))</f>
        <v>0</v>
      </c>
      <c r="Q2149" s="280">
        <f t="shared" si="2145"/>
        <v>0</v>
      </c>
      <c r="R2149" s="356" t="str">
        <f t="shared" si="1"/>
        <v/>
      </c>
      <c r="S2149" s="269" t="str">
        <f>IF(D2149="","",IF(OR(D2149=Plano!$A$1,D2149=Plano!$B$1),"entrada","saída"))</f>
        <v/>
      </c>
      <c r="T2149" s="406"/>
      <c r="U2149" s="406"/>
      <c r="V2149" s="269"/>
    </row>
    <row r="2150" spans="1:22" ht="12.75" customHeight="1" x14ac:dyDescent="0.2">
      <c r="A2150" s="289" t="str">
        <f>IF(B2150="","",COUNT('Diário 5º PA'!$A$5:$A$2634)+ROW()-4)</f>
        <v/>
      </c>
      <c r="B2150" s="290"/>
      <c r="C2150" s="357"/>
      <c r="D2150" s="291"/>
      <c r="E2150" s="291"/>
      <c r="F2150" s="292"/>
      <c r="G2150" s="291"/>
      <c r="H2150" s="291"/>
      <c r="I2150" s="293"/>
      <c r="J2150" s="291"/>
      <c r="K2150" s="291"/>
      <c r="L2150" s="293"/>
      <c r="M2150" s="291"/>
      <c r="N2150" s="289"/>
      <c r="O2150" s="358"/>
      <c r="P2150" s="402">
        <f t="shared" ref="P2150:Q2150" si="2146">IF(B2150=0,0,IF(YEAR(B2150)=$Q$1,MONTH(B2150)-$P$1+1,(YEAR(B2150)-$Q$1)*12-$P$1+1+MONTH(B2150)))</f>
        <v>0</v>
      </c>
      <c r="Q2150" s="280">
        <f t="shared" si="2146"/>
        <v>0</v>
      </c>
      <c r="R2150" s="356" t="str">
        <f t="shared" si="1"/>
        <v/>
      </c>
      <c r="S2150" s="269" t="str">
        <f>IF(D2150="","",IF(OR(D2150=Plano!$A$1,D2150=Plano!$B$1),"entrada","saída"))</f>
        <v/>
      </c>
      <c r="T2150" s="406"/>
      <c r="U2150" s="406"/>
      <c r="V2150" s="269"/>
    </row>
    <row r="2151" spans="1:22" ht="12.75" customHeight="1" x14ac:dyDescent="0.2">
      <c r="A2151" s="289" t="str">
        <f>IF(B2151="","",COUNT('Diário 5º PA'!$A$5:$A$2634)+ROW()-4)</f>
        <v/>
      </c>
      <c r="B2151" s="290"/>
      <c r="C2151" s="357"/>
      <c r="D2151" s="291"/>
      <c r="E2151" s="291"/>
      <c r="F2151" s="292"/>
      <c r="G2151" s="291"/>
      <c r="H2151" s="291"/>
      <c r="I2151" s="293"/>
      <c r="J2151" s="291"/>
      <c r="K2151" s="291"/>
      <c r="L2151" s="293"/>
      <c r="M2151" s="291"/>
      <c r="N2151" s="289"/>
      <c r="O2151" s="358"/>
      <c r="P2151" s="402">
        <f t="shared" ref="P2151:Q2151" si="2147">IF(B2151=0,0,IF(YEAR(B2151)=$Q$1,MONTH(B2151)-$P$1+1,(YEAR(B2151)-$Q$1)*12-$P$1+1+MONTH(B2151)))</f>
        <v>0</v>
      </c>
      <c r="Q2151" s="280">
        <f t="shared" si="2147"/>
        <v>0</v>
      </c>
      <c r="R2151" s="356" t="str">
        <f t="shared" si="1"/>
        <v/>
      </c>
      <c r="S2151" s="269" t="str">
        <f>IF(D2151="","",IF(OR(D2151=Plano!$A$1,D2151=Plano!$B$1),"entrada","saída"))</f>
        <v/>
      </c>
      <c r="T2151" s="406"/>
      <c r="U2151" s="406"/>
      <c r="V2151" s="269"/>
    </row>
    <row r="2152" spans="1:22" ht="12.75" customHeight="1" x14ac:dyDescent="0.2">
      <c r="A2152" s="289" t="str">
        <f>IF(B2152="","",COUNT('Diário 5º PA'!$A$5:$A$2634)+ROW()-4)</f>
        <v/>
      </c>
      <c r="B2152" s="290"/>
      <c r="C2152" s="357"/>
      <c r="D2152" s="291"/>
      <c r="E2152" s="291"/>
      <c r="F2152" s="292"/>
      <c r="G2152" s="291"/>
      <c r="H2152" s="291"/>
      <c r="I2152" s="293"/>
      <c r="J2152" s="291"/>
      <c r="K2152" s="291"/>
      <c r="L2152" s="293"/>
      <c r="M2152" s="291"/>
      <c r="N2152" s="289"/>
      <c r="O2152" s="358"/>
      <c r="P2152" s="402">
        <f t="shared" ref="P2152:Q2152" si="2148">IF(B2152=0,0,IF(YEAR(B2152)=$Q$1,MONTH(B2152)-$P$1+1,(YEAR(B2152)-$Q$1)*12-$P$1+1+MONTH(B2152)))</f>
        <v>0</v>
      </c>
      <c r="Q2152" s="280">
        <f t="shared" si="2148"/>
        <v>0</v>
      </c>
      <c r="R2152" s="356" t="str">
        <f t="shared" si="1"/>
        <v/>
      </c>
      <c r="S2152" s="269" t="str">
        <f>IF(D2152="","",IF(OR(D2152=Plano!$A$1,D2152=Plano!$B$1),"entrada","saída"))</f>
        <v/>
      </c>
      <c r="T2152" s="406"/>
      <c r="U2152" s="406"/>
      <c r="V2152" s="269"/>
    </row>
    <row r="2153" spans="1:22" ht="12.75" customHeight="1" x14ac:dyDescent="0.2">
      <c r="A2153" s="289" t="str">
        <f>IF(B2153="","",COUNT('Diário 5º PA'!$A$5:$A$2634)+ROW()-4)</f>
        <v/>
      </c>
      <c r="B2153" s="290"/>
      <c r="C2153" s="357"/>
      <c r="D2153" s="291"/>
      <c r="E2153" s="291"/>
      <c r="F2153" s="292"/>
      <c r="G2153" s="291"/>
      <c r="H2153" s="291"/>
      <c r="I2153" s="293"/>
      <c r="J2153" s="291"/>
      <c r="K2153" s="291"/>
      <c r="L2153" s="293"/>
      <c r="M2153" s="291"/>
      <c r="N2153" s="289"/>
      <c r="O2153" s="358"/>
      <c r="P2153" s="402">
        <f t="shared" ref="P2153:Q2153" si="2149">IF(B2153=0,0,IF(YEAR(B2153)=$Q$1,MONTH(B2153)-$P$1+1,(YEAR(B2153)-$Q$1)*12-$P$1+1+MONTH(B2153)))</f>
        <v>0</v>
      </c>
      <c r="Q2153" s="280">
        <f t="shared" si="2149"/>
        <v>0</v>
      </c>
      <c r="R2153" s="356" t="str">
        <f t="shared" si="1"/>
        <v/>
      </c>
      <c r="S2153" s="269" t="str">
        <f>IF(D2153="","",IF(OR(D2153=Plano!$A$1,D2153=Plano!$B$1),"entrada","saída"))</f>
        <v/>
      </c>
      <c r="T2153" s="406"/>
      <c r="U2153" s="406"/>
      <c r="V2153" s="269"/>
    </row>
    <row r="2154" spans="1:22" ht="12.75" customHeight="1" x14ac:dyDescent="0.2">
      <c r="A2154" s="289" t="str">
        <f>IF(B2154="","",COUNT('Diário 5º PA'!$A$5:$A$2634)+ROW()-4)</f>
        <v/>
      </c>
      <c r="B2154" s="290"/>
      <c r="C2154" s="357"/>
      <c r="D2154" s="291"/>
      <c r="E2154" s="291"/>
      <c r="F2154" s="292"/>
      <c r="G2154" s="291"/>
      <c r="H2154" s="291"/>
      <c r="I2154" s="293"/>
      <c r="J2154" s="291"/>
      <c r="K2154" s="291"/>
      <c r="L2154" s="293"/>
      <c r="M2154" s="291"/>
      <c r="N2154" s="289"/>
      <c r="O2154" s="358"/>
      <c r="P2154" s="402">
        <f t="shared" ref="P2154:Q2154" si="2150">IF(B2154=0,0,IF(YEAR(B2154)=$Q$1,MONTH(B2154)-$P$1+1,(YEAR(B2154)-$Q$1)*12-$P$1+1+MONTH(B2154)))</f>
        <v>0</v>
      </c>
      <c r="Q2154" s="280">
        <f t="shared" si="2150"/>
        <v>0</v>
      </c>
      <c r="R2154" s="356" t="str">
        <f t="shared" si="1"/>
        <v/>
      </c>
      <c r="S2154" s="269" t="str">
        <f>IF(D2154="","",IF(OR(D2154=Plano!$A$1,D2154=Plano!$B$1),"entrada","saída"))</f>
        <v/>
      </c>
      <c r="T2154" s="406"/>
      <c r="U2154" s="406"/>
      <c r="V2154" s="269"/>
    </row>
    <row r="2155" spans="1:22" ht="12.75" customHeight="1" x14ac:dyDescent="0.2">
      <c r="A2155" s="289" t="str">
        <f>IF(B2155="","",COUNT('Diário 5º PA'!$A$5:$A$2634)+ROW()-4)</f>
        <v/>
      </c>
      <c r="B2155" s="290"/>
      <c r="C2155" s="357"/>
      <c r="D2155" s="291"/>
      <c r="E2155" s="291"/>
      <c r="F2155" s="292"/>
      <c r="G2155" s="291"/>
      <c r="H2155" s="291"/>
      <c r="I2155" s="293"/>
      <c r="J2155" s="291"/>
      <c r="K2155" s="291"/>
      <c r="L2155" s="293"/>
      <c r="M2155" s="291"/>
      <c r="N2155" s="289"/>
      <c r="O2155" s="358"/>
      <c r="P2155" s="402">
        <f t="shared" ref="P2155:Q2155" si="2151">IF(B2155=0,0,IF(YEAR(B2155)=$Q$1,MONTH(B2155)-$P$1+1,(YEAR(B2155)-$Q$1)*12-$P$1+1+MONTH(B2155)))</f>
        <v>0</v>
      </c>
      <c r="Q2155" s="280">
        <f t="shared" si="2151"/>
        <v>0</v>
      </c>
      <c r="R2155" s="356" t="str">
        <f t="shared" si="1"/>
        <v/>
      </c>
      <c r="S2155" s="269" t="str">
        <f>IF(D2155="","",IF(OR(D2155=Plano!$A$1,D2155=Plano!$B$1),"entrada","saída"))</f>
        <v/>
      </c>
      <c r="T2155" s="406"/>
      <c r="U2155" s="406"/>
      <c r="V2155" s="269"/>
    </row>
    <row r="2156" spans="1:22" ht="12.75" customHeight="1" x14ac:dyDescent="0.2">
      <c r="A2156" s="289" t="str">
        <f>IF(B2156="","",COUNT('Diário 5º PA'!$A$5:$A$2634)+ROW()-4)</f>
        <v/>
      </c>
      <c r="B2156" s="290"/>
      <c r="C2156" s="357"/>
      <c r="D2156" s="291"/>
      <c r="E2156" s="291"/>
      <c r="F2156" s="292"/>
      <c r="G2156" s="291"/>
      <c r="H2156" s="291"/>
      <c r="I2156" s="293"/>
      <c r="J2156" s="291"/>
      <c r="K2156" s="291"/>
      <c r="L2156" s="293"/>
      <c r="M2156" s="291"/>
      <c r="N2156" s="289"/>
      <c r="O2156" s="358"/>
      <c r="P2156" s="402">
        <f t="shared" ref="P2156:Q2156" si="2152">IF(B2156=0,0,IF(YEAR(B2156)=$Q$1,MONTH(B2156)-$P$1+1,(YEAR(B2156)-$Q$1)*12-$P$1+1+MONTH(B2156)))</f>
        <v>0</v>
      </c>
      <c r="Q2156" s="280">
        <f t="shared" si="2152"/>
        <v>0</v>
      </c>
      <c r="R2156" s="356" t="str">
        <f t="shared" si="1"/>
        <v/>
      </c>
      <c r="S2156" s="269" t="str">
        <f>IF(D2156="","",IF(OR(D2156=Plano!$A$1,D2156=Plano!$B$1),"entrada","saída"))</f>
        <v/>
      </c>
      <c r="T2156" s="406"/>
      <c r="U2156" s="406"/>
      <c r="V2156" s="269"/>
    </row>
    <row r="2157" spans="1:22" ht="12.75" customHeight="1" x14ac:dyDescent="0.2">
      <c r="A2157" s="289" t="str">
        <f>IF(B2157="","",COUNT('Diário 5º PA'!$A$5:$A$2634)+ROW()-4)</f>
        <v/>
      </c>
      <c r="B2157" s="290"/>
      <c r="C2157" s="357"/>
      <c r="D2157" s="291"/>
      <c r="E2157" s="291"/>
      <c r="F2157" s="292"/>
      <c r="G2157" s="291"/>
      <c r="H2157" s="291"/>
      <c r="I2157" s="293"/>
      <c r="J2157" s="291"/>
      <c r="K2157" s="291"/>
      <c r="L2157" s="293"/>
      <c r="M2157" s="291"/>
      <c r="N2157" s="289"/>
      <c r="O2157" s="358"/>
      <c r="P2157" s="402">
        <f t="shared" ref="P2157:Q2157" si="2153">IF(B2157=0,0,IF(YEAR(B2157)=$Q$1,MONTH(B2157)-$P$1+1,(YEAR(B2157)-$Q$1)*12-$P$1+1+MONTH(B2157)))</f>
        <v>0</v>
      </c>
      <c r="Q2157" s="280">
        <f t="shared" si="2153"/>
        <v>0</v>
      </c>
      <c r="R2157" s="356" t="str">
        <f t="shared" si="1"/>
        <v/>
      </c>
      <c r="S2157" s="269" t="str">
        <f>IF(D2157="","",IF(OR(D2157=Plano!$A$1,D2157=Plano!$B$1),"entrada","saída"))</f>
        <v/>
      </c>
      <c r="T2157" s="406"/>
      <c r="U2157" s="406"/>
      <c r="V2157" s="269"/>
    </row>
    <row r="2158" spans="1:22" ht="12.75" customHeight="1" x14ac:dyDescent="0.2">
      <c r="A2158" s="289" t="str">
        <f>IF(B2158="","",COUNT('Diário 5º PA'!$A$5:$A$2634)+ROW()-4)</f>
        <v/>
      </c>
      <c r="B2158" s="290"/>
      <c r="C2158" s="357"/>
      <c r="D2158" s="291"/>
      <c r="E2158" s="291"/>
      <c r="F2158" s="292"/>
      <c r="G2158" s="291"/>
      <c r="H2158" s="291"/>
      <c r="I2158" s="293"/>
      <c r="J2158" s="291"/>
      <c r="K2158" s="291"/>
      <c r="L2158" s="293"/>
      <c r="M2158" s="291"/>
      <c r="N2158" s="289"/>
      <c r="O2158" s="358"/>
      <c r="P2158" s="402">
        <f t="shared" ref="P2158:Q2158" si="2154">IF(B2158=0,0,IF(YEAR(B2158)=$Q$1,MONTH(B2158)-$P$1+1,(YEAR(B2158)-$Q$1)*12-$P$1+1+MONTH(B2158)))</f>
        <v>0</v>
      </c>
      <c r="Q2158" s="280">
        <f t="shared" si="2154"/>
        <v>0</v>
      </c>
      <c r="R2158" s="356" t="str">
        <f t="shared" si="1"/>
        <v/>
      </c>
      <c r="S2158" s="269" t="str">
        <f>IF(D2158="","",IF(OR(D2158=Plano!$A$1,D2158=Plano!$B$1),"entrada","saída"))</f>
        <v/>
      </c>
      <c r="T2158" s="406"/>
      <c r="U2158" s="406"/>
      <c r="V2158" s="269"/>
    </row>
    <row r="2159" spans="1:22" ht="12.75" customHeight="1" x14ac:dyDescent="0.2">
      <c r="A2159" s="289" t="str">
        <f>IF(B2159="","",COUNT('Diário 5º PA'!$A$5:$A$2634)+ROW()-4)</f>
        <v/>
      </c>
      <c r="B2159" s="290"/>
      <c r="C2159" s="357"/>
      <c r="D2159" s="291"/>
      <c r="E2159" s="291"/>
      <c r="F2159" s="292"/>
      <c r="G2159" s="291"/>
      <c r="H2159" s="291"/>
      <c r="I2159" s="293"/>
      <c r="J2159" s="291"/>
      <c r="K2159" s="291"/>
      <c r="L2159" s="293"/>
      <c r="M2159" s="291"/>
      <c r="N2159" s="289"/>
      <c r="O2159" s="358"/>
      <c r="P2159" s="402">
        <f t="shared" ref="P2159:Q2159" si="2155">IF(B2159=0,0,IF(YEAR(B2159)=$Q$1,MONTH(B2159)-$P$1+1,(YEAR(B2159)-$Q$1)*12-$P$1+1+MONTH(B2159)))</f>
        <v>0</v>
      </c>
      <c r="Q2159" s="280">
        <f t="shared" si="2155"/>
        <v>0</v>
      </c>
      <c r="R2159" s="356" t="str">
        <f t="shared" si="1"/>
        <v/>
      </c>
      <c r="S2159" s="269" t="str">
        <f>IF(D2159="","",IF(OR(D2159=Plano!$A$1,D2159=Plano!$B$1),"entrada","saída"))</f>
        <v/>
      </c>
      <c r="T2159" s="406"/>
      <c r="U2159" s="406"/>
      <c r="V2159" s="269"/>
    </row>
    <row r="2160" spans="1:22" ht="12.75" customHeight="1" x14ac:dyDescent="0.2">
      <c r="A2160" s="289" t="str">
        <f>IF(B2160="","",COUNT('Diário 5º PA'!$A$5:$A$2634)+ROW()-4)</f>
        <v/>
      </c>
      <c r="B2160" s="290"/>
      <c r="C2160" s="357"/>
      <c r="D2160" s="291"/>
      <c r="E2160" s="291"/>
      <c r="F2160" s="292"/>
      <c r="G2160" s="291"/>
      <c r="H2160" s="291"/>
      <c r="I2160" s="293"/>
      <c r="J2160" s="291"/>
      <c r="K2160" s="291"/>
      <c r="L2160" s="293"/>
      <c r="M2160" s="291"/>
      <c r="N2160" s="289"/>
      <c r="O2160" s="358"/>
      <c r="P2160" s="402">
        <f t="shared" ref="P2160:Q2160" si="2156">IF(B2160=0,0,IF(YEAR(B2160)=$Q$1,MONTH(B2160)-$P$1+1,(YEAR(B2160)-$Q$1)*12-$P$1+1+MONTH(B2160)))</f>
        <v>0</v>
      </c>
      <c r="Q2160" s="280">
        <f t="shared" si="2156"/>
        <v>0</v>
      </c>
      <c r="R2160" s="356" t="str">
        <f t="shared" si="1"/>
        <v/>
      </c>
      <c r="S2160" s="269" t="str">
        <f>IF(D2160="","",IF(OR(D2160=Plano!$A$1,D2160=Plano!$B$1),"entrada","saída"))</f>
        <v/>
      </c>
      <c r="T2160" s="406"/>
      <c r="U2160" s="406"/>
      <c r="V2160" s="269"/>
    </row>
    <row r="2161" spans="1:22" ht="12.75" customHeight="1" x14ac:dyDescent="0.2">
      <c r="A2161" s="289" t="str">
        <f>IF(B2161="","",COUNT('Diário 5º PA'!$A$5:$A$2634)+ROW()-4)</f>
        <v/>
      </c>
      <c r="B2161" s="290"/>
      <c r="C2161" s="357"/>
      <c r="D2161" s="291"/>
      <c r="E2161" s="291"/>
      <c r="F2161" s="292"/>
      <c r="G2161" s="291"/>
      <c r="H2161" s="291"/>
      <c r="I2161" s="293"/>
      <c r="J2161" s="291"/>
      <c r="K2161" s="291"/>
      <c r="L2161" s="293"/>
      <c r="M2161" s="291"/>
      <c r="N2161" s="289"/>
      <c r="O2161" s="358"/>
      <c r="P2161" s="402">
        <f t="shared" ref="P2161:Q2161" si="2157">IF(B2161=0,0,IF(YEAR(B2161)=$Q$1,MONTH(B2161)-$P$1+1,(YEAR(B2161)-$Q$1)*12-$P$1+1+MONTH(B2161)))</f>
        <v>0</v>
      </c>
      <c r="Q2161" s="280">
        <f t="shared" si="2157"/>
        <v>0</v>
      </c>
      <c r="R2161" s="356" t="str">
        <f t="shared" si="1"/>
        <v/>
      </c>
      <c r="S2161" s="269" t="str">
        <f>IF(D2161="","",IF(OR(D2161=Plano!$A$1,D2161=Plano!$B$1),"entrada","saída"))</f>
        <v/>
      </c>
      <c r="T2161" s="406"/>
      <c r="U2161" s="406"/>
      <c r="V2161" s="269"/>
    </row>
    <row r="2162" spans="1:22" ht="12.75" customHeight="1" x14ac:dyDescent="0.2">
      <c r="A2162" s="289" t="str">
        <f>IF(B2162="","",COUNT('Diário 5º PA'!$A$5:$A$2634)+ROW()-4)</f>
        <v/>
      </c>
      <c r="B2162" s="290"/>
      <c r="C2162" s="357"/>
      <c r="D2162" s="291"/>
      <c r="E2162" s="291"/>
      <c r="F2162" s="292"/>
      <c r="G2162" s="291"/>
      <c r="H2162" s="291"/>
      <c r="I2162" s="293"/>
      <c r="J2162" s="291"/>
      <c r="K2162" s="291"/>
      <c r="L2162" s="293"/>
      <c r="M2162" s="291"/>
      <c r="N2162" s="289"/>
      <c r="O2162" s="358"/>
      <c r="P2162" s="402">
        <f t="shared" ref="P2162:Q2162" si="2158">IF(B2162=0,0,IF(YEAR(B2162)=$Q$1,MONTH(B2162)-$P$1+1,(YEAR(B2162)-$Q$1)*12-$P$1+1+MONTH(B2162)))</f>
        <v>0</v>
      </c>
      <c r="Q2162" s="280">
        <f t="shared" si="2158"/>
        <v>0</v>
      </c>
      <c r="R2162" s="356" t="str">
        <f t="shared" si="1"/>
        <v/>
      </c>
      <c r="S2162" s="269" t="str">
        <f>IF(D2162="","",IF(OR(D2162=Plano!$A$1,D2162=Plano!$B$1),"entrada","saída"))</f>
        <v/>
      </c>
      <c r="T2162" s="406"/>
      <c r="U2162" s="406"/>
      <c r="V2162" s="269"/>
    </row>
    <row r="2163" spans="1:22" ht="12.75" customHeight="1" x14ac:dyDescent="0.2">
      <c r="A2163" s="289" t="str">
        <f>IF(B2163="","",COUNT('Diário 5º PA'!$A$5:$A$2634)+ROW()-4)</f>
        <v/>
      </c>
      <c r="B2163" s="290"/>
      <c r="C2163" s="357"/>
      <c r="D2163" s="291"/>
      <c r="E2163" s="291"/>
      <c r="F2163" s="292"/>
      <c r="G2163" s="291"/>
      <c r="H2163" s="291"/>
      <c r="I2163" s="293"/>
      <c r="J2163" s="291"/>
      <c r="K2163" s="291"/>
      <c r="L2163" s="293"/>
      <c r="M2163" s="291"/>
      <c r="N2163" s="289"/>
      <c r="O2163" s="358"/>
      <c r="P2163" s="402">
        <f t="shared" ref="P2163:Q2163" si="2159">IF(B2163=0,0,IF(YEAR(B2163)=$Q$1,MONTH(B2163)-$P$1+1,(YEAR(B2163)-$Q$1)*12-$P$1+1+MONTH(B2163)))</f>
        <v>0</v>
      </c>
      <c r="Q2163" s="280">
        <f t="shared" si="2159"/>
        <v>0</v>
      </c>
      <c r="R2163" s="356" t="str">
        <f t="shared" si="1"/>
        <v/>
      </c>
      <c r="S2163" s="269" t="str">
        <f>IF(D2163="","",IF(OR(D2163=Plano!$A$1,D2163=Plano!$B$1),"entrada","saída"))</f>
        <v/>
      </c>
      <c r="T2163" s="406"/>
      <c r="U2163" s="406"/>
      <c r="V2163" s="269"/>
    </row>
    <row r="2164" spans="1:22" ht="12.75" customHeight="1" x14ac:dyDescent="0.2">
      <c r="A2164" s="289" t="str">
        <f>IF(B2164="","",COUNT('Diário 5º PA'!$A$5:$A$2634)+ROW()-4)</f>
        <v/>
      </c>
      <c r="B2164" s="290"/>
      <c r="C2164" s="357"/>
      <c r="D2164" s="291"/>
      <c r="E2164" s="291"/>
      <c r="F2164" s="292"/>
      <c r="G2164" s="291"/>
      <c r="H2164" s="291"/>
      <c r="I2164" s="293"/>
      <c r="J2164" s="291"/>
      <c r="K2164" s="291"/>
      <c r="L2164" s="293"/>
      <c r="M2164" s="291"/>
      <c r="N2164" s="289"/>
      <c r="O2164" s="358"/>
      <c r="P2164" s="402">
        <f t="shared" ref="P2164:Q2164" si="2160">IF(B2164=0,0,IF(YEAR(B2164)=$Q$1,MONTH(B2164)-$P$1+1,(YEAR(B2164)-$Q$1)*12-$P$1+1+MONTH(B2164)))</f>
        <v>0</v>
      </c>
      <c r="Q2164" s="280">
        <f t="shared" si="2160"/>
        <v>0</v>
      </c>
      <c r="R2164" s="356" t="str">
        <f t="shared" si="1"/>
        <v/>
      </c>
      <c r="S2164" s="269" t="str">
        <f>IF(D2164="","",IF(OR(D2164=Plano!$A$1,D2164=Plano!$B$1),"entrada","saída"))</f>
        <v/>
      </c>
      <c r="T2164" s="406"/>
      <c r="U2164" s="406"/>
      <c r="V2164" s="269"/>
    </row>
    <row r="2165" spans="1:22" ht="12.75" customHeight="1" x14ac:dyDescent="0.2">
      <c r="A2165" s="289" t="str">
        <f>IF(B2165="","",COUNT('Diário 5º PA'!$A$5:$A$2634)+ROW()-4)</f>
        <v/>
      </c>
      <c r="B2165" s="290"/>
      <c r="C2165" s="357"/>
      <c r="D2165" s="291"/>
      <c r="E2165" s="291"/>
      <c r="F2165" s="292"/>
      <c r="G2165" s="291"/>
      <c r="H2165" s="291"/>
      <c r="I2165" s="293"/>
      <c r="J2165" s="291"/>
      <c r="K2165" s="291"/>
      <c r="L2165" s="293"/>
      <c r="M2165" s="291"/>
      <c r="N2165" s="289"/>
      <c r="O2165" s="358"/>
      <c r="P2165" s="402">
        <f t="shared" ref="P2165:Q2165" si="2161">IF(B2165=0,0,IF(YEAR(B2165)=$Q$1,MONTH(B2165)-$P$1+1,(YEAR(B2165)-$Q$1)*12-$P$1+1+MONTH(B2165)))</f>
        <v>0</v>
      </c>
      <c r="Q2165" s="280">
        <f t="shared" si="2161"/>
        <v>0</v>
      </c>
      <c r="R2165" s="356" t="str">
        <f t="shared" si="1"/>
        <v/>
      </c>
      <c r="S2165" s="269" t="str">
        <f>IF(D2165="","",IF(OR(D2165=Plano!$A$1,D2165=Plano!$B$1),"entrada","saída"))</f>
        <v/>
      </c>
      <c r="T2165" s="406"/>
      <c r="U2165" s="406"/>
      <c r="V2165" s="269"/>
    </row>
    <row r="2166" spans="1:22" ht="12.75" customHeight="1" x14ac:dyDescent="0.2">
      <c r="A2166" s="289" t="str">
        <f>IF(B2166="","",COUNT('Diário 5º PA'!$A$5:$A$2634)+ROW()-4)</f>
        <v/>
      </c>
      <c r="B2166" s="290"/>
      <c r="C2166" s="357"/>
      <c r="D2166" s="291"/>
      <c r="E2166" s="291"/>
      <c r="F2166" s="292"/>
      <c r="G2166" s="291"/>
      <c r="H2166" s="291"/>
      <c r="I2166" s="293"/>
      <c r="J2166" s="291"/>
      <c r="K2166" s="291"/>
      <c r="L2166" s="293"/>
      <c r="M2166" s="291"/>
      <c r="N2166" s="289"/>
      <c r="O2166" s="358"/>
      <c r="P2166" s="402">
        <f t="shared" ref="P2166:Q2166" si="2162">IF(B2166=0,0,IF(YEAR(B2166)=$Q$1,MONTH(B2166)-$P$1+1,(YEAR(B2166)-$Q$1)*12-$P$1+1+MONTH(B2166)))</f>
        <v>0</v>
      </c>
      <c r="Q2166" s="280">
        <f t="shared" si="2162"/>
        <v>0</v>
      </c>
      <c r="R2166" s="356" t="str">
        <f t="shared" si="1"/>
        <v/>
      </c>
      <c r="S2166" s="269" t="str">
        <f>IF(D2166="","",IF(OR(D2166=Plano!$A$1,D2166=Plano!$B$1),"entrada","saída"))</f>
        <v/>
      </c>
      <c r="T2166" s="406"/>
      <c r="U2166" s="406"/>
      <c r="V2166" s="269"/>
    </row>
    <row r="2167" spans="1:22" ht="12.75" customHeight="1" x14ac:dyDescent="0.2">
      <c r="A2167" s="289" t="str">
        <f>IF(B2167="","",COUNT('Diário 5º PA'!$A$5:$A$2634)+ROW()-4)</f>
        <v/>
      </c>
      <c r="B2167" s="290"/>
      <c r="C2167" s="357"/>
      <c r="D2167" s="291"/>
      <c r="E2167" s="291"/>
      <c r="F2167" s="292"/>
      <c r="G2167" s="291"/>
      <c r="H2167" s="291"/>
      <c r="I2167" s="293"/>
      <c r="J2167" s="291"/>
      <c r="K2167" s="291"/>
      <c r="L2167" s="293"/>
      <c r="M2167" s="291"/>
      <c r="N2167" s="289"/>
      <c r="O2167" s="358"/>
      <c r="P2167" s="402">
        <f t="shared" ref="P2167:Q2167" si="2163">IF(B2167=0,0,IF(YEAR(B2167)=$Q$1,MONTH(B2167)-$P$1+1,(YEAR(B2167)-$Q$1)*12-$P$1+1+MONTH(B2167)))</f>
        <v>0</v>
      </c>
      <c r="Q2167" s="280">
        <f t="shared" si="2163"/>
        <v>0</v>
      </c>
      <c r="R2167" s="356" t="str">
        <f t="shared" si="1"/>
        <v/>
      </c>
      <c r="S2167" s="269" t="str">
        <f>IF(D2167="","",IF(OR(D2167=Plano!$A$1,D2167=Plano!$B$1),"entrada","saída"))</f>
        <v/>
      </c>
      <c r="T2167" s="406"/>
      <c r="U2167" s="406"/>
      <c r="V2167" s="269"/>
    </row>
    <row r="2168" spans="1:22" ht="12.75" customHeight="1" x14ac:dyDescent="0.2">
      <c r="A2168" s="289" t="str">
        <f>IF(B2168="","",COUNT('Diário 5º PA'!$A$5:$A$2634)+ROW()-4)</f>
        <v/>
      </c>
      <c r="B2168" s="290"/>
      <c r="C2168" s="357"/>
      <c r="D2168" s="291"/>
      <c r="E2168" s="291"/>
      <c r="F2168" s="292"/>
      <c r="G2168" s="291"/>
      <c r="H2168" s="291"/>
      <c r="I2168" s="293"/>
      <c r="J2168" s="291"/>
      <c r="K2168" s="291"/>
      <c r="L2168" s="293"/>
      <c r="M2168" s="291"/>
      <c r="N2168" s="289"/>
      <c r="O2168" s="358"/>
      <c r="P2168" s="402">
        <f t="shared" ref="P2168:Q2168" si="2164">IF(B2168=0,0,IF(YEAR(B2168)=$Q$1,MONTH(B2168)-$P$1+1,(YEAR(B2168)-$Q$1)*12-$P$1+1+MONTH(B2168)))</f>
        <v>0</v>
      </c>
      <c r="Q2168" s="280">
        <f t="shared" si="2164"/>
        <v>0</v>
      </c>
      <c r="R2168" s="356" t="str">
        <f t="shared" si="1"/>
        <v/>
      </c>
      <c r="S2168" s="269" t="str">
        <f>IF(D2168="","",IF(OR(D2168=Plano!$A$1,D2168=Plano!$B$1),"entrada","saída"))</f>
        <v/>
      </c>
      <c r="T2168" s="406"/>
      <c r="U2168" s="406"/>
      <c r="V2168" s="269"/>
    </row>
    <row r="2169" spans="1:22" ht="12.75" customHeight="1" x14ac:dyDescent="0.2">
      <c r="A2169" s="289" t="str">
        <f>IF(B2169="","",COUNT('Diário 5º PA'!$A$5:$A$2634)+ROW()-4)</f>
        <v/>
      </c>
      <c r="B2169" s="290"/>
      <c r="C2169" s="357"/>
      <c r="D2169" s="291"/>
      <c r="E2169" s="291"/>
      <c r="F2169" s="292"/>
      <c r="G2169" s="291"/>
      <c r="H2169" s="291"/>
      <c r="I2169" s="293"/>
      <c r="J2169" s="291"/>
      <c r="K2169" s="291"/>
      <c r="L2169" s="293"/>
      <c r="M2169" s="291"/>
      <c r="N2169" s="289"/>
      <c r="O2169" s="358"/>
      <c r="P2169" s="402">
        <f t="shared" ref="P2169:Q2169" si="2165">IF(B2169=0,0,IF(YEAR(B2169)=$Q$1,MONTH(B2169)-$P$1+1,(YEAR(B2169)-$Q$1)*12-$P$1+1+MONTH(B2169)))</f>
        <v>0</v>
      </c>
      <c r="Q2169" s="280">
        <f t="shared" si="2165"/>
        <v>0</v>
      </c>
      <c r="R2169" s="356" t="str">
        <f t="shared" si="1"/>
        <v/>
      </c>
      <c r="S2169" s="269" t="str">
        <f>IF(D2169="","",IF(OR(D2169=Plano!$A$1,D2169=Plano!$B$1),"entrada","saída"))</f>
        <v/>
      </c>
      <c r="T2169" s="406"/>
      <c r="U2169" s="406"/>
      <c r="V2169" s="269"/>
    </row>
    <row r="2170" spans="1:22" ht="12.75" customHeight="1" x14ac:dyDescent="0.2">
      <c r="A2170" s="289" t="str">
        <f>IF(B2170="","",COUNT('Diário 5º PA'!$A$5:$A$2634)+ROW()-4)</f>
        <v/>
      </c>
      <c r="B2170" s="290"/>
      <c r="C2170" s="357"/>
      <c r="D2170" s="291"/>
      <c r="E2170" s="291"/>
      <c r="F2170" s="292"/>
      <c r="G2170" s="291"/>
      <c r="H2170" s="291"/>
      <c r="I2170" s="293"/>
      <c r="J2170" s="291"/>
      <c r="K2170" s="291"/>
      <c r="L2170" s="293"/>
      <c r="M2170" s="291"/>
      <c r="N2170" s="289"/>
      <c r="O2170" s="358"/>
      <c r="P2170" s="402">
        <f t="shared" ref="P2170:Q2170" si="2166">IF(B2170=0,0,IF(YEAR(B2170)=$Q$1,MONTH(B2170)-$P$1+1,(YEAR(B2170)-$Q$1)*12-$P$1+1+MONTH(B2170)))</f>
        <v>0</v>
      </c>
      <c r="Q2170" s="280">
        <f t="shared" si="2166"/>
        <v>0</v>
      </c>
      <c r="R2170" s="356" t="str">
        <f t="shared" si="1"/>
        <v/>
      </c>
      <c r="S2170" s="269" t="str">
        <f>IF(D2170="","",IF(OR(D2170=Plano!$A$1,D2170=Plano!$B$1),"entrada","saída"))</f>
        <v/>
      </c>
      <c r="T2170" s="406"/>
      <c r="U2170" s="406"/>
      <c r="V2170" s="269"/>
    </row>
    <row r="2171" spans="1:22" ht="12.75" customHeight="1" x14ac:dyDescent="0.2">
      <c r="A2171" s="289" t="str">
        <f>IF(B2171="","",COUNT('Diário 5º PA'!$A$5:$A$2634)+ROW()-4)</f>
        <v/>
      </c>
      <c r="B2171" s="290"/>
      <c r="C2171" s="357"/>
      <c r="D2171" s="291"/>
      <c r="E2171" s="291"/>
      <c r="F2171" s="292"/>
      <c r="G2171" s="291"/>
      <c r="H2171" s="291"/>
      <c r="I2171" s="293"/>
      <c r="J2171" s="291"/>
      <c r="K2171" s="291"/>
      <c r="L2171" s="293"/>
      <c r="M2171" s="291"/>
      <c r="N2171" s="289"/>
      <c r="O2171" s="358"/>
      <c r="P2171" s="402">
        <f t="shared" ref="P2171:Q2171" si="2167">IF(B2171=0,0,IF(YEAR(B2171)=$Q$1,MONTH(B2171)-$P$1+1,(YEAR(B2171)-$Q$1)*12-$P$1+1+MONTH(B2171)))</f>
        <v>0</v>
      </c>
      <c r="Q2171" s="280">
        <f t="shared" si="2167"/>
        <v>0</v>
      </c>
      <c r="R2171" s="356" t="str">
        <f t="shared" si="1"/>
        <v/>
      </c>
      <c r="S2171" s="269" t="str">
        <f>IF(D2171="","",IF(OR(D2171=Plano!$A$1,D2171=Plano!$B$1),"entrada","saída"))</f>
        <v/>
      </c>
      <c r="T2171" s="406"/>
      <c r="U2171" s="406"/>
      <c r="V2171" s="269"/>
    </row>
    <row r="2172" spans="1:22" ht="12.75" customHeight="1" x14ac:dyDescent="0.2">
      <c r="A2172" s="289" t="str">
        <f>IF(B2172="","",COUNT('Diário 5º PA'!$A$5:$A$2634)+ROW()-4)</f>
        <v/>
      </c>
      <c r="B2172" s="290"/>
      <c r="C2172" s="357"/>
      <c r="D2172" s="291"/>
      <c r="E2172" s="291"/>
      <c r="F2172" s="292"/>
      <c r="G2172" s="291"/>
      <c r="H2172" s="291"/>
      <c r="I2172" s="293"/>
      <c r="J2172" s="291"/>
      <c r="K2172" s="291"/>
      <c r="L2172" s="293"/>
      <c r="M2172" s="291"/>
      <c r="N2172" s="289"/>
      <c r="O2172" s="358"/>
      <c r="P2172" s="402">
        <f t="shared" ref="P2172:Q2172" si="2168">IF(B2172=0,0,IF(YEAR(B2172)=$Q$1,MONTH(B2172)-$P$1+1,(YEAR(B2172)-$Q$1)*12-$P$1+1+MONTH(B2172)))</f>
        <v>0</v>
      </c>
      <c r="Q2172" s="280">
        <f t="shared" si="2168"/>
        <v>0</v>
      </c>
      <c r="R2172" s="356" t="str">
        <f t="shared" si="1"/>
        <v/>
      </c>
      <c r="S2172" s="269" t="str">
        <f>IF(D2172="","",IF(OR(D2172=Plano!$A$1,D2172=Plano!$B$1),"entrada","saída"))</f>
        <v/>
      </c>
      <c r="T2172" s="406"/>
      <c r="U2172" s="406"/>
      <c r="V2172" s="269"/>
    </row>
    <row r="2173" spans="1:22" ht="12.75" customHeight="1" x14ac:dyDescent="0.2">
      <c r="A2173" s="289" t="str">
        <f>IF(B2173="","",COUNT('Diário 5º PA'!$A$5:$A$2634)+ROW()-4)</f>
        <v/>
      </c>
      <c r="B2173" s="290"/>
      <c r="C2173" s="357"/>
      <c r="D2173" s="291"/>
      <c r="E2173" s="291"/>
      <c r="F2173" s="292"/>
      <c r="G2173" s="291"/>
      <c r="H2173" s="291"/>
      <c r="I2173" s="293"/>
      <c r="J2173" s="291"/>
      <c r="K2173" s="291"/>
      <c r="L2173" s="293"/>
      <c r="M2173" s="291"/>
      <c r="N2173" s="289"/>
      <c r="O2173" s="358"/>
      <c r="P2173" s="402">
        <f t="shared" ref="P2173:Q2173" si="2169">IF(B2173=0,0,IF(YEAR(B2173)=$Q$1,MONTH(B2173)-$P$1+1,(YEAR(B2173)-$Q$1)*12-$P$1+1+MONTH(B2173)))</f>
        <v>0</v>
      </c>
      <c r="Q2173" s="280">
        <f t="shared" si="2169"/>
        <v>0</v>
      </c>
      <c r="R2173" s="356" t="str">
        <f t="shared" si="1"/>
        <v/>
      </c>
      <c r="S2173" s="269" t="str">
        <f>IF(D2173="","",IF(OR(D2173=Plano!$A$1,D2173=Plano!$B$1),"entrada","saída"))</f>
        <v/>
      </c>
      <c r="T2173" s="406"/>
      <c r="U2173" s="406"/>
      <c r="V2173" s="269"/>
    </row>
    <row r="2174" spans="1:22" ht="12.75" customHeight="1" x14ac:dyDescent="0.2">
      <c r="A2174" s="289" t="str">
        <f>IF(B2174="","",COUNT('Diário 5º PA'!$A$5:$A$2634)+ROW()-4)</f>
        <v/>
      </c>
      <c r="B2174" s="290"/>
      <c r="C2174" s="357"/>
      <c r="D2174" s="291"/>
      <c r="E2174" s="291"/>
      <c r="F2174" s="292"/>
      <c r="G2174" s="291"/>
      <c r="H2174" s="291"/>
      <c r="I2174" s="293"/>
      <c r="J2174" s="291"/>
      <c r="K2174" s="291"/>
      <c r="L2174" s="293"/>
      <c r="M2174" s="291"/>
      <c r="N2174" s="289"/>
      <c r="O2174" s="358"/>
      <c r="P2174" s="402">
        <f t="shared" ref="P2174:Q2174" si="2170">IF(B2174=0,0,IF(YEAR(B2174)=$Q$1,MONTH(B2174)-$P$1+1,(YEAR(B2174)-$Q$1)*12-$P$1+1+MONTH(B2174)))</f>
        <v>0</v>
      </c>
      <c r="Q2174" s="280">
        <f t="shared" si="2170"/>
        <v>0</v>
      </c>
      <c r="R2174" s="356" t="str">
        <f t="shared" si="1"/>
        <v/>
      </c>
      <c r="S2174" s="269" t="str">
        <f>IF(D2174="","",IF(OR(D2174=Plano!$A$1,D2174=Plano!$B$1),"entrada","saída"))</f>
        <v/>
      </c>
      <c r="T2174" s="406"/>
      <c r="U2174" s="406"/>
      <c r="V2174" s="269"/>
    </row>
    <row r="2175" spans="1:22" ht="12.75" customHeight="1" x14ac:dyDescent="0.2">
      <c r="A2175" s="289" t="str">
        <f>IF(B2175="","",COUNT('Diário 5º PA'!$A$5:$A$2634)+ROW()-4)</f>
        <v/>
      </c>
      <c r="B2175" s="290"/>
      <c r="C2175" s="357"/>
      <c r="D2175" s="291"/>
      <c r="E2175" s="291"/>
      <c r="F2175" s="292"/>
      <c r="G2175" s="291"/>
      <c r="H2175" s="291"/>
      <c r="I2175" s="293"/>
      <c r="J2175" s="291"/>
      <c r="K2175" s="291"/>
      <c r="L2175" s="293"/>
      <c r="M2175" s="291"/>
      <c r="N2175" s="289"/>
      <c r="O2175" s="358"/>
      <c r="P2175" s="402">
        <f t="shared" ref="P2175:Q2175" si="2171">IF(B2175=0,0,IF(YEAR(B2175)=$Q$1,MONTH(B2175)-$P$1+1,(YEAR(B2175)-$Q$1)*12-$P$1+1+MONTH(B2175)))</f>
        <v>0</v>
      </c>
      <c r="Q2175" s="280">
        <f t="shared" si="2171"/>
        <v>0</v>
      </c>
      <c r="R2175" s="356" t="str">
        <f t="shared" si="1"/>
        <v/>
      </c>
      <c r="S2175" s="269" t="str">
        <f>IF(D2175="","",IF(OR(D2175=Plano!$A$1,D2175=Plano!$B$1),"entrada","saída"))</f>
        <v/>
      </c>
      <c r="T2175" s="406"/>
      <c r="U2175" s="406"/>
      <c r="V2175" s="269"/>
    </row>
    <row r="2176" spans="1:22" ht="12.75" customHeight="1" x14ac:dyDescent="0.2">
      <c r="A2176" s="289" t="str">
        <f>IF(B2176="","",COUNT('Diário 5º PA'!$A$5:$A$2634)+ROW()-4)</f>
        <v/>
      </c>
      <c r="B2176" s="290"/>
      <c r="C2176" s="357"/>
      <c r="D2176" s="291"/>
      <c r="E2176" s="291"/>
      <c r="F2176" s="292"/>
      <c r="G2176" s="291"/>
      <c r="H2176" s="291"/>
      <c r="I2176" s="293"/>
      <c r="J2176" s="291"/>
      <c r="K2176" s="291"/>
      <c r="L2176" s="293"/>
      <c r="M2176" s="291"/>
      <c r="N2176" s="289"/>
      <c r="O2176" s="358"/>
      <c r="P2176" s="402">
        <f t="shared" ref="P2176:Q2176" si="2172">IF(B2176=0,0,IF(YEAR(B2176)=$Q$1,MONTH(B2176)-$P$1+1,(YEAR(B2176)-$Q$1)*12-$P$1+1+MONTH(B2176)))</f>
        <v>0</v>
      </c>
      <c r="Q2176" s="280">
        <f t="shared" si="2172"/>
        <v>0</v>
      </c>
      <c r="R2176" s="356" t="str">
        <f t="shared" si="1"/>
        <v/>
      </c>
      <c r="S2176" s="269" t="str">
        <f>IF(D2176="","",IF(OR(D2176=Plano!$A$1,D2176=Plano!$B$1),"entrada","saída"))</f>
        <v/>
      </c>
      <c r="T2176" s="406"/>
      <c r="U2176" s="406"/>
      <c r="V2176" s="269"/>
    </row>
    <row r="2177" spans="1:22" ht="12.75" customHeight="1" x14ac:dyDescent="0.2">
      <c r="A2177" s="289" t="str">
        <f>IF(B2177="","",COUNT('Diário 5º PA'!$A$5:$A$2634)+ROW()-4)</f>
        <v/>
      </c>
      <c r="B2177" s="290"/>
      <c r="C2177" s="357"/>
      <c r="D2177" s="291"/>
      <c r="E2177" s="291"/>
      <c r="F2177" s="292"/>
      <c r="G2177" s="291"/>
      <c r="H2177" s="291"/>
      <c r="I2177" s="293"/>
      <c r="J2177" s="291"/>
      <c r="K2177" s="291"/>
      <c r="L2177" s="293"/>
      <c r="M2177" s="291"/>
      <c r="N2177" s="289"/>
      <c r="O2177" s="358"/>
      <c r="P2177" s="402">
        <f t="shared" ref="P2177:Q2177" si="2173">IF(B2177=0,0,IF(YEAR(B2177)=$Q$1,MONTH(B2177)-$P$1+1,(YEAR(B2177)-$Q$1)*12-$P$1+1+MONTH(B2177)))</f>
        <v>0</v>
      </c>
      <c r="Q2177" s="280">
        <f t="shared" si="2173"/>
        <v>0</v>
      </c>
      <c r="R2177" s="356" t="str">
        <f t="shared" si="1"/>
        <v/>
      </c>
      <c r="S2177" s="269" t="str">
        <f>IF(D2177="","",IF(OR(D2177=Plano!$A$1,D2177=Plano!$B$1),"entrada","saída"))</f>
        <v/>
      </c>
      <c r="T2177" s="406"/>
      <c r="U2177" s="406"/>
      <c r="V2177" s="269"/>
    </row>
    <row r="2178" spans="1:22" ht="12.75" customHeight="1" x14ac:dyDescent="0.2">
      <c r="A2178" s="289" t="str">
        <f>IF(B2178="","",COUNT('Diário 5º PA'!$A$5:$A$2634)+ROW()-4)</f>
        <v/>
      </c>
      <c r="B2178" s="290"/>
      <c r="C2178" s="357"/>
      <c r="D2178" s="291"/>
      <c r="E2178" s="291"/>
      <c r="F2178" s="292"/>
      <c r="G2178" s="291"/>
      <c r="H2178" s="291"/>
      <c r="I2178" s="293"/>
      <c r="J2178" s="291"/>
      <c r="K2178" s="291"/>
      <c r="L2178" s="293"/>
      <c r="M2178" s="291"/>
      <c r="N2178" s="289"/>
      <c r="O2178" s="358"/>
      <c r="P2178" s="402">
        <f t="shared" ref="P2178:Q2178" si="2174">IF(B2178=0,0,IF(YEAR(B2178)=$Q$1,MONTH(B2178)-$P$1+1,(YEAR(B2178)-$Q$1)*12-$P$1+1+MONTH(B2178)))</f>
        <v>0</v>
      </c>
      <c r="Q2178" s="280">
        <f t="shared" si="2174"/>
        <v>0</v>
      </c>
      <c r="R2178" s="356" t="str">
        <f t="shared" si="1"/>
        <v/>
      </c>
      <c r="S2178" s="269" t="str">
        <f>IF(D2178="","",IF(OR(D2178=Plano!$A$1,D2178=Plano!$B$1),"entrada","saída"))</f>
        <v/>
      </c>
      <c r="T2178" s="406"/>
      <c r="U2178" s="406"/>
      <c r="V2178" s="269"/>
    </row>
    <row r="2179" spans="1:22" ht="12.75" customHeight="1" x14ac:dyDescent="0.2">
      <c r="A2179" s="289" t="str">
        <f>IF(B2179="","",COUNT('Diário 5º PA'!$A$5:$A$2634)+ROW()-4)</f>
        <v/>
      </c>
      <c r="B2179" s="290"/>
      <c r="C2179" s="357"/>
      <c r="D2179" s="291"/>
      <c r="E2179" s="291"/>
      <c r="F2179" s="292"/>
      <c r="G2179" s="291"/>
      <c r="H2179" s="291"/>
      <c r="I2179" s="293"/>
      <c r="J2179" s="291"/>
      <c r="K2179" s="291"/>
      <c r="L2179" s="293"/>
      <c r="M2179" s="291"/>
      <c r="N2179" s="289"/>
      <c r="O2179" s="358"/>
      <c r="P2179" s="402">
        <f t="shared" ref="P2179:Q2179" si="2175">IF(B2179=0,0,IF(YEAR(B2179)=$Q$1,MONTH(B2179)-$P$1+1,(YEAR(B2179)-$Q$1)*12-$P$1+1+MONTH(B2179)))</f>
        <v>0</v>
      </c>
      <c r="Q2179" s="280">
        <f t="shared" si="2175"/>
        <v>0</v>
      </c>
      <c r="R2179" s="356" t="str">
        <f t="shared" si="1"/>
        <v/>
      </c>
      <c r="S2179" s="269" t="str">
        <f>IF(D2179="","",IF(OR(D2179=Plano!$A$1,D2179=Plano!$B$1),"entrada","saída"))</f>
        <v/>
      </c>
      <c r="T2179" s="406"/>
      <c r="U2179" s="406"/>
      <c r="V2179" s="269"/>
    </row>
    <row r="2180" spans="1:22" ht="12.75" customHeight="1" x14ac:dyDescent="0.2">
      <c r="A2180" s="289" t="str">
        <f>IF(B2180="","",COUNT('Diário 5º PA'!$A$5:$A$2634)+ROW()-4)</f>
        <v/>
      </c>
      <c r="B2180" s="290"/>
      <c r="C2180" s="357"/>
      <c r="D2180" s="291"/>
      <c r="E2180" s="291"/>
      <c r="F2180" s="292"/>
      <c r="G2180" s="291"/>
      <c r="H2180" s="291"/>
      <c r="I2180" s="293"/>
      <c r="J2180" s="291"/>
      <c r="K2180" s="291"/>
      <c r="L2180" s="293"/>
      <c r="M2180" s="291"/>
      <c r="N2180" s="289"/>
      <c r="O2180" s="358"/>
      <c r="P2180" s="402">
        <f t="shared" ref="P2180:Q2180" si="2176">IF(B2180=0,0,IF(YEAR(B2180)=$Q$1,MONTH(B2180)-$P$1+1,(YEAR(B2180)-$Q$1)*12-$P$1+1+MONTH(B2180)))</f>
        <v>0</v>
      </c>
      <c r="Q2180" s="280">
        <f t="shared" si="2176"/>
        <v>0</v>
      </c>
      <c r="R2180" s="356" t="str">
        <f t="shared" si="1"/>
        <v/>
      </c>
      <c r="S2180" s="269" t="str">
        <f>IF(D2180="","",IF(OR(D2180=Plano!$A$1,D2180=Plano!$B$1),"entrada","saída"))</f>
        <v/>
      </c>
      <c r="T2180" s="406"/>
      <c r="U2180" s="406"/>
      <c r="V2180" s="269"/>
    </row>
    <row r="2181" spans="1:22" ht="12.75" customHeight="1" x14ac:dyDescent="0.2">
      <c r="A2181" s="289" t="str">
        <f>IF(B2181="","",COUNT('Diário 5º PA'!$A$5:$A$2634)+ROW()-4)</f>
        <v/>
      </c>
      <c r="B2181" s="290"/>
      <c r="C2181" s="357"/>
      <c r="D2181" s="291"/>
      <c r="E2181" s="291"/>
      <c r="F2181" s="292"/>
      <c r="G2181" s="291"/>
      <c r="H2181" s="291"/>
      <c r="I2181" s="293"/>
      <c r="J2181" s="291"/>
      <c r="K2181" s="291"/>
      <c r="L2181" s="293"/>
      <c r="M2181" s="291"/>
      <c r="N2181" s="289"/>
      <c r="O2181" s="358"/>
      <c r="P2181" s="402">
        <f t="shared" ref="P2181:Q2181" si="2177">IF(B2181=0,0,IF(YEAR(B2181)=$Q$1,MONTH(B2181)-$P$1+1,(YEAR(B2181)-$Q$1)*12-$P$1+1+MONTH(B2181)))</f>
        <v>0</v>
      </c>
      <c r="Q2181" s="280">
        <f t="shared" si="2177"/>
        <v>0</v>
      </c>
      <c r="R2181" s="356" t="str">
        <f t="shared" si="1"/>
        <v/>
      </c>
      <c r="S2181" s="269" t="str">
        <f>IF(D2181="","",IF(OR(D2181=Plano!$A$1,D2181=Plano!$B$1),"entrada","saída"))</f>
        <v/>
      </c>
      <c r="T2181" s="406"/>
      <c r="U2181" s="406"/>
      <c r="V2181" s="269"/>
    </row>
    <row r="2182" spans="1:22" ht="12.75" customHeight="1" x14ac:dyDescent="0.2">
      <c r="A2182" s="289" t="str">
        <f>IF(B2182="","",COUNT('Diário 5º PA'!$A$5:$A$2634)+ROW()-4)</f>
        <v/>
      </c>
      <c r="B2182" s="290"/>
      <c r="C2182" s="357"/>
      <c r="D2182" s="291"/>
      <c r="E2182" s="291"/>
      <c r="F2182" s="292"/>
      <c r="G2182" s="291"/>
      <c r="H2182" s="291"/>
      <c r="I2182" s="293"/>
      <c r="J2182" s="291"/>
      <c r="K2182" s="291"/>
      <c r="L2182" s="293"/>
      <c r="M2182" s="291"/>
      <c r="N2182" s="289"/>
      <c r="O2182" s="358"/>
      <c r="P2182" s="402">
        <f t="shared" ref="P2182:Q2182" si="2178">IF(B2182=0,0,IF(YEAR(B2182)=$Q$1,MONTH(B2182)-$P$1+1,(YEAR(B2182)-$Q$1)*12-$P$1+1+MONTH(B2182)))</f>
        <v>0</v>
      </c>
      <c r="Q2182" s="280">
        <f t="shared" si="2178"/>
        <v>0</v>
      </c>
      <c r="R2182" s="356" t="str">
        <f t="shared" si="1"/>
        <v/>
      </c>
      <c r="S2182" s="269" t="str">
        <f>IF(D2182="","",IF(OR(D2182=Plano!$A$1,D2182=Plano!$B$1),"entrada","saída"))</f>
        <v/>
      </c>
      <c r="T2182" s="406"/>
      <c r="U2182" s="406"/>
      <c r="V2182" s="269"/>
    </row>
    <row r="2183" spans="1:22" ht="12.75" customHeight="1" x14ac:dyDescent="0.2">
      <c r="A2183" s="289" t="str">
        <f>IF(B2183="","",COUNT('Diário 5º PA'!$A$5:$A$2634)+ROW()-4)</f>
        <v/>
      </c>
      <c r="B2183" s="290"/>
      <c r="C2183" s="357"/>
      <c r="D2183" s="291"/>
      <c r="E2183" s="291"/>
      <c r="F2183" s="292"/>
      <c r="G2183" s="291"/>
      <c r="H2183" s="291"/>
      <c r="I2183" s="293"/>
      <c r="J2183" s="291"/>
      <c r="K2183" s="291"/>
      <c r="L2183" s="293"/>
      <c r="M2183" s="291"/>
      <c r="N2183" s="289"/>
      <c r="O2183" s="358"/>
      <c r="P2183" s="402">
        <f t="shared" ref="P2183:Q2183" si="2179">IF(B2183=0,0,IF(YEAR(B2183)=$Q$1,MONTH(B2183)-$P$1+1,(YEAR(B2183)-$Q$1)*12-$P$1+1+MONTH(B2183)))</f>
        <v>0</v>
      </c>
      <c r="Q2183" s="280">
        <f t="shared" si="2179"/>
        <v>0</v>
      </c>
      <c r="R2183" s="356" t="str">
        <f t="shared" si="1"/>
        <v/>
      </c>
      <c r="S2183" s="269" t="str">
        <f>IF(D2183="","",IF(OR(D2183=Plano!$A$1,D2183=Plano!$B$1),"entrada","saída"))</f>
        <v/>
      </c>
      <c r="T2183" s="406"/>
      <c r="U2183" s="406"/>
      <c r="V2183" s="269"/>
    </row>
    <row r="2184" spans="1:22" ht="12.75" customHeight="1" x14ac:dyDescent="0.2">
      <c r="A2184" s="289" t="str">
        <f>IF(B2184="","",COUNT('Diário 5º PA'!$A$5:$A$2634)+ROW()-4)</f>
        <v/>
      </c>
      <c r="B2184" s="290"/>
      <c r="C2184" s="357"/>
      <c r="D2184" s="291"/>
      <c r="E2184" s="291"/>
      <c r="F2184" s="292"/>
      <c r="G2184" s="291"/>
      <c r="H2184" s="291"/>
      <c r="I2184" s="293"/>
      <c r="J2184" s="291"/>
      <c r="K2184" s="291"/>
      <c r="L2184" s="293"/>
      <c r="M2184" s="291"/>
      <c r="N2184" s="289"/>
      <c r="O2184" s="358"/>
      <c r="P2184" s="402">
        <f t="shared" ref="P2184:Q2184" si="2180">IF(B2184=0,0,IF(YEAR(B2184)=$Q$1,MONTH(B2184)-$P$1+1,(YEAR(B2184)-$Q$1)*12-$P$1+1+MONTH(B2184)))</f>
        <v>0</v>
      </c>
      <c r="Q2184" s="280">
        <f t="shared" si="2180"/>
        <v>0</v>
      </c>
      <c r="R2184" s="356" t="str">
        <f t="shared" si="1"/>
        <v/>
      </c>
      <c r="S2184" s="269" t="str">
        <f>IF(D2184="","",IF(OR(D2184=Plano!$A$1,D2184=Plano!$B$1),"entrada","saída"))</f>
        <v/>
      </c>
      <c r="T2184" s="406"/>
      <c r="U2184" s="406"/>
      <c r="V2184" s="269"/>
    </row>
    <row r="2185" spans="1:22" ht="12.75" customHeight="1" x14ac:dyDescent="0.2">
      <c r="A2185" s="289" t="str">
        <f>IF(B2185="","",COUNT('Diário 5º PA'!$A$5:$A$2634)+ROW()-4)</f>
        <v/>
      </c>
      <c r="B2185" s="290"/>
      <c r="C2185" s="357"/>
      <c r="D2185" s="291"/>
      <c r="E2185" s="291"/>
      <c r="F2185" s="292"/>
      <c r="G2185" s="291"/>
      <c r="H2185" s="291"/>
      <c r="I2185" s="293"/>
      <c r="J2185" s="291"/>
      <c r="K2185" s="291"/>
      <c r="L2185" s="293"/>
      <c r="M2185" s="291"/>
      <c r="N2185" s="289"/>
      <c r="O2185" s="358"/>
      <c r="P2185" s="402">
        <f t="shared" ref="P2185:Q2185" si="2181">IF(B2185=0,0,IF(YEAR(B2185)=$Q$1,MONTH(B2185)-$P$1+1,(YEAR(B2185)-$Q$1)*12-$P$1+1+MONTH(B2185)))</f>
        <v>0</v>
      </c>
      <c r="Q2185" s="280">
        <f t="shared" si="2181"/>
        <v>0</v>
      </c>
      <c r="R2185" s="356" t="str">
        <f t="shared" si="1"/>
        <v/>
      </c>
      <c r="S2185" s="269" t="str">
        <f>IF(D2185="","",IF(OR(D2185=Plano!$A$1,D2185=Plano!$B$1),"entrada","saída"))</f>
        <v/>
      </c>
      <c r="T2185" s="406"/>
      <c r="U2185" s="406"/>
      <c r="V2185" s="269"/>
    </row>
    <row r="2186" spans="1:22" ht="12.75" customHeight="1" x14ac:dyDescent="0.2">
      <c r="A2186" s="289" t="str">
        <f>IF(B2186="","",COUNT('Diário 5º PA'!$A$5:$A$2634)+ROW()-4)</f>
        <v/>
      </c>
      <c r="B2186" s="290"/>
      <c r="C2186" s="357"/>
      <c r="D2186" s="291"/>
      <c r="E2186" s="291"/>
      <c r="F2186" s="292"/>
      <c r="G2186" s="291"/>
      <c r="H2186" s="291"/>
      <c r="I2186" s="293"/>
      <c r="J2186" s="291"/>
      <c r="K2186" s="291"/>
      <c r="L2186" s="293"/>
      <c r="M2186" s="291"/>
      <c r="N2186" s="289"/>
      <c r="O2186" s="358"/>
      <c r="P2186" s="402">
        <f t="shared" ref="P2186:Q2186" si="2182">IF(B2186=0,0,IF(YEAR(B2186)=$Q$1,MONTH(B2186)-$P$1+1,(YEAR(B2186)-$Q$1)*12-$P$1+1+MONTH(B2186)))</f>
        <v>0</v>
      </c>
      <c r="Q2186" s="280">
        <f t="shared" si="2182"/>
        <v>0</v>
      </c>
      <c r="R2186" s="356" t="str">
        <f t="shared" si="1"/>
        <v/>
      </c>
      <c r="S2186" s="269" t="str">
        <f>IF(D2186="","",IF(OR(D2186=Plano!$A$1,D2186=Plano!$B$1),"entrada","saída"))</f>
        <v/>
      </c>
      <c r="T2186" s="406"/>
      <c r="U2186" s="406"/>
      <c r="V2186" s="269"/>
    </row>
    <row r="2187" spans="1:22" ht="12.75" customHeight="1" x14ac:dyDescent="0.2">
      <c r="A2187" s="289" t="str">
        <f>IF(B2187="","",COUNT('Diário 5º PA'!$A$5:$A$2634)+ROW()-4)</f>
        <v/>
      </c>
      <c r="B2187" s="290"/>
      <c r="C2187" s="357"/>
      <c r="D2187" s="291"/>
      <c r="E2187" s="291"/>
      <c r="F2187" s="292"/>
      <c r="G2187" s="291"/>
      <c r="H2187" s="291"/>
      <c r="I2187" s="293"/>
      <c r="J2187" s="291"/>
      <c r="K2187" s="291"/>
      <c r="L2187" s="293"/>
      <c r="M2187" s="291"/>
      <c r="N2187" s="289"/>
      <c r="O2187" s="358"/>
      <c r="P2187" s="402">
        <f t="shared" ref="P2187:Q2187" si="2183">IF(B2187=0,0,IF(YEAR(B2187)=$Q$1,MONTH(B2187)-$P$1+1,(YEAR(B2187)-$Q$1)*12-$P$1+1+MONTH(B2187)))</f>
        <v>0</v>
      </c>
      <c r="Q2187" s="280">
        <f t="shared" si="2183"/>
        <v>0</v>
      </c>
      <c r="R2187" s="356" t="str">
        <f t="shared" si="1"/>
        <v/>
      </c>
      <c r="S2187" s="269" t="str">
        <f>IF(D2187="","",IF(OR(D2187=Plano!$A$1,D2187=Plano!$B$1),"entrada","saída"))</f>
        <v/>
      </c>
      <c r="T2187" s="406"/>
      <c r="U2187" s="406"/>
      <c r="V2187" s="269"/>
    </row>
    <row r="2188" spans="1:22" ht="12.75" customHeight="1" x14ac:dyDescent="0.2">
      <c r="A2188" s="289" t="str">
        <f>IF(B2188="","",COUNT('Diário 5º PA'!$A$5:$A$2634)+ROW()-4)</f>
        <v/>
      </c>
      <c r="B2188" s="290"/>
      <c r="C2188" s="357"/>
      <c r="D2188" s="291"/>
      <c r="E2188" s="291"/>
      <c r="F2188" s="292"/>
      <c r="G2188" s="291"/>
      <c r="H2188" s="291"/>
      <c r="I2188" s="293"/>
      <c r="J2188" s="291"/>
      <c r="K2188" s="291"/>
      <c r="L2188" s="293"/>
      <c r="M2188" s="291"/>
      <c r="N2188" s="289"/>
      <c r="O2188" s="358"/>
      <c r="P2188" s="402">
        <f t="shared" ref="P2188:Q2188" si="2184">IF(B2188=0,0,IF(YEAR(B2188)=$Q$1,MONTH(B2188)-$P$1+1,(YEAR(B2188)-$Q$1)*12-$P$1+1+MONTH(B2188)))</f>
        <v>0</v>
      </c>
      <c r="Q2188" s="280">
        <f t="shared" si="2184"/>
        <v>0</v>
      </c>
      <c r="R2188" s="356" t="str">
        <f t="shared" si="1"/>
        <v/>
      </c>
      <c r="S2188" s="269" t="str">
        <f>IF(D2188="","",IF(OR(D2188=Plano!$A$1,D2188=Plano!$B$1),"entrada","saída"))</f>
        <v/>
      </c>
      <c r="T2188" s="406"/>
      <c r="U2188" s="406"/>
      <c r="V2188" s="269"/>
    </row>
    <row r="2189" spans="1:22" ht="12.75" customHeight="1" x14ac:dyDescent="0.2">
      <c r="A2189" s="289" t="str">
        <f>IF(B2189="","",COUNT('Diário 5º PA'!$A$5:$A$2634)+ROW()-4)</f>
        <v/>
      </c>
      <c r="B2189" s="290"/>
      <c r="C2189" s="357"/>
      <c r="D2189" s="291"/>
      <c r="E2189" s="291"/>
      <c r="F2189" s="292"/>
      <c r="G2189" s="291"/>
      <c r="H2189" s="291"/>
      <c r="I2189" s="293"/>
      <c r="J2189" s="291"/>
      <c r="K2189" s="291"/>
      <c r="L2189" s="293"/>
      <c r="M2189" s="291"/>
      <c r="N2189" s="289"/>
      <c r="O2189" s="358"/>
      <c r="P2189" s="402">
        <f t="shared" ref="P2189:Q2189" si="2185">IF(B2189=0,0,IF(YEAR(B2189)=$Q$1,MONTH(B2189)-$P$1+1,(YEAR(B2189)-$Q$1)*12-$P$1+1+MONTH(B2189)))</f>
        <v>0</v>
      </c>
      <c r="Q2189" s="280">
        <f t="shared" si="2185"/>
        <v>0</v>
      </c>
      <c r="R2189" s="356" t="str">
        <f t="shared" si="1"/>
        <v/>
      </c>
      <c r="S2189" s="269" t="str">
        <f>IF(D2189="","",IF(OR(D2189=Plano!$A$1,D2189=Plano!$B$1),"entrada","saída"))</f>
        <v/>
      </c>
      <c r="T2189" s="406"/>
      <c r="U2189" s="406"/>
      <c r="V2189" s="269"/>
    </row>
    <row r="2190" spans="1:22" ht="12.75" customHeight="1" x14ac:dyDescent="0.2">
      <c r="A2190" s="289" t="str">
        <f>IF(B2190="","",COUNT('Diário 5º PA'!$A$5:$A$2634)+ROW()-4)</f>
        <v/>
      </c>
      <c r="B2190" s="290"/>
      <c r="C2190" s="357"/>
      <c r="D2190" s="291"/>
      <c r="E2190" s="291"/>
      <c r="F2190" s="292"/>
      <c r="G2190" s="291"/>
      <c r="H2190" s="291"/>
      <c r="I2190" s="293"/>
      <c r="J2190" s="291"/>
      <c r="K2190" s="291"/>
      <c r="L2190" s="293"/>
      <c r="M2190" s="291"/>
      <c r="N2190" s="289"/>
      <c r="O2190" s="358"/>
      <c r="P2190" s="402">
        <f t="shared" ref="P2190:Q2190" si="2186">IF(B2190=0,0,IF(YEAR(B2190)=$Q$1,MONTH(B2190)-$P$1+1,(YEAR(B2190)-$Q$1)*12-$P$1+1+MONTH(B2190)))</f>
        <v>0</v>
      </c>
      <c r="Q2190" s="280">
        <f t="shared" si="2186"/>
        <v>0</v>
      </c>
      <c r="R2190" s="356" t="str">
        <f t="shared" si="1"/>
        <v/>
      </c>
      <c r="S2190" s="269" t="str">
        <f>IF(D2190="","",IF(OR(D2190=Plano!$A$1,D2190=Plano!$B$1),"entrada","saída"))</f>
        <v/>
      </c>
      <c r="T2190" s="406"/>
      <c r="U2190" s="406"/>
      <c r="V2190" s="269"/>
    </row>
    <row r="2191" spans="1:22" ht="12.75" customHeight="1" x14ac:dyDescent="0.2">
      <c r="A2191" s="289" t="str">
        <f>IF(B2191="","",COUNT('Diário 5º PA'!$A$5:$A$2634)+ROW()-4)</f>
        <v/>
      </c>
      <c r="B2191" s="290"/>
      <c r="C2191" s="357"/>
      <c r="D2191" s="291"/>
      <c r="E2191" s="291"/>
      <c r="F2191" s="292"/>
      <c r="G2191" s="291"/>
      <c r="H2191" s="291"/>
      <c r="I2191" s="293"/>
      <c r="J2191" s="291"/>
      <c r="K2191" s="291"/>
      <c r="L2191" s="293"/>
      <c r="M2191" s="291"/>
      <c r="N2191" s="289"/>
      <c r="O2191" s="358"/>
      <c r="P2191" s="402">
        <f t="shared" ref="P2191:Q2191" si="2187">IF(B2191=0,0,IF(YEAR(B2191)=$Q$1,MONTH(B2191)-$P$1+1,(YEAR(B2191)-$Q$1)*12-$P$1+1+MONTH(B2191)))</f>
        <v>0</v>
      </c>
      <c r="Q2191" s="280">
        <f t="shared" si="2187"/>
        <v>0</v>
      </c>
      <c r="R2191" s="356" t="str">
        <f t="shared" si="1"/>
        <v/>
      </c>
      <c r="S2191" s="269" t="str">
        <f>IF(D2191="","",IF(OR(D2191=Plano!$A$1,D2191=Plano!$B$1),"entrada","saída"))</f>
        <v/>
      </c>
      <c r="T2191" s="406"/>
      <c r="U2191" s="406"/>
      <c r="V2191" s="269"/>
    </row>
    <row r="2192" spans="1:22" ht="12.75" customHeight="1" x14ac:dyDescent="0.2">
      <c r="A2192" s="289" t="str">
        <f>IF(B2192="","",COUNT('Diário 5º PA'!$A$5:$A$2634)+ROW()-4)</f>
        <v/>
      </c>
      <c r="B2192" s="290"/>
      <c r="C2192" s="357"/>
      <c r="D2192" s="291"/>
      <c r="E2192" s="291"/>
      <c r="F2192" s="292"/>
      <c r="G2192" s="291"/>
      <c r="H2192" s="291"/>
      <c r="I2192" s="293"/>
      <c r="J2192" s="291"/>
      <c r="K2192" s="291"/>
      <c r="L2192" s="293"/>
      <c r="M2192" s="291"/>
      <c r="N2192" s="289"/>
      <c r="O2192" s="358"/>
      <c r="P2192" s="402">
        <f t="shared" ref="P2192:Q2192" si="2188">IF(B2192=0,0,IF(YEAR(B2192)=$Q$1,MONTH(B2192)-$P$1+1,(YEAR(B2192)-$Q$1)*12-$P$1+1+MONTH(B2192)))</f>
        <v>0</v>
      </c>
      <c r="Q2192" s="280">
        <f t="shared" si="2188"/>
        <v>0</v>
      </c>
      <c r="R2192" s="356" t="str">
        <f t="shared" si="1"/>
        <v/>
      </c>
      <c r="S2192" s="269" t="str">
        <f>IF(D2192="","",IF(OR(D2192=Plano!$A$1,D2192=Plano!$B$1),"entrada","saída"))</f>
        <v/>
      </c>
      <c r="T2192" s="406"/>
      <c r="U2192" s="406"/>
      <c r="V2192" s="269"/>
    </row>
    <row r="2193" spans="1:22" ht="12.75" customHeight="1" x14ac:dyDescent="0.2">
      <c r="A2193" s="289" t="str">
        <f>IF(B2193="","",COUNT('Diário 5º PA'!$A$5:$A$2634)+ROW()-4)</f>
        <v/>
      </c>
      <c r="B2193" s="290"/>
      <c r="C2193" s="357"/>
      <c r="D2193" s="291"/>
      <c r="E2193" s="291"/>
      <c r="F2193" s="292"/>
      <c r="G2193" s="291"/>
      <c r="H2193" s="291"/>
      <c r="I2193" s="293"/>
      <c r="J2193" s="291"/>
      <c r="K2193" s="291"/>
      <c r="L2193" s="293"/>
      <c r="M2193" s="291"/>
      <c r="N2193" s="289"/>
      <c r="O2193" s="358"/>
      <c r="P2193" s="402">
        <f t="shared" ref="P2193:Q2193" si="2189">IF(B2193=0,0,IF(YEAR(B2193)=$Q$1,MONTH(B2193)-$P$1+1,(YEAR(B2193)-$Q$1)*12-$P$1+1+MONTH(B2193)))</f>
        <v>0</v>
      </c>
      <c r="Q2193" s="280">
        <f t="shared" si="2189"/>
        <v>0</v>
      </c>
      <c r="R2193" s="356" t="str">
        <f t="shared" si="1"/>
        <v/>
      </c>
      <c r="S2193" s="269" t="str">
        <f>IF(D2193="","",IF(OR(D2193=Plano!$A$1,D2193=Plano!$B$1),"entrada","saída"))</f>
        <v/>
      </c>
      <c r="T2193" s="406"/>
      <c r="U2193" s="406"/>
      <c r="V2193" s="269"/>
    </row>
    <row r="2194" spans="1:22" ht="12.75" customHeight="1" x14ac:dyDescent="0.2">
      <c r="A2194" s="289" t="str">
        <f>IF(B2194="","",COUNT('Diário 5º PA'!$A$5:$A$2634)+ROW()-4)</f>
        <v/>
      </c>
      <c r="B2194" s="290"/>
      <c r="C2194" s="357"/>
      <c r="D2194" s="291"/>
      <c r="E2194" s="291"/>
      <c r="F2194" s="292"/>
      <c r="G2194" s="291"/>
      <c r="H2194" s="291"/>
      <c r="I2194" s="293"/>
      <c r="J2194" s="291"/>
      <c r="K2194" s="291"/>
      <c r="L2194" s="293"/>
      <c r="M2194" s="291"/>
      <c r="N2194" s="289"/>
      <c r="O2194" s="358"/>
      <c r="P2194" s="402">
        <f t="shared" ref="P2194:Q2194" si="2190">IF(B2194=0,0,IF(YEAR(B2194)=$Q$1,MONTH(B2194)-$P$1+1,(YEAR(B2194)-$Q$1)*12-$P$1+1+MONTH(B2194)))</f>
        <v>0</v>
      </c>
      <c r="Q2194" s="280">
        <f t="shared" si="2190"/>
        <v>0</v>
      </c>
      <c r="R2194" s="356" t="str">
        <f t="shared" si="1"/>
        <v/>
      </c>
      <c r="S2194" s="269" t="str">
        <f>IF(D2194="","",IF(OR(D2194=Plano!$A$1,D2194=Plano!$B$1),"entrada","saída"))</f>
        <v/>
      </c>
      <c r="T2194" s="406"/>
      <c r="U2194" s="406"/>
      <c r="V2194" s="269"/>
    </row>
    <row r="2195" spans="1:22" ht="12.75" customHeight="1" x14ac:dyDescent="0.2">
      <c r="A2195" s="289" t="str">
        <f>IF(B2195="","",COUNT('Diário 5º PA'!$A$5:$A$2634)+ROW()-4)</f>
        <v/>
      </c>
      <c r="B2195" s="290"/>
      <c r="C2195" s="357"/>
      <c r="D2195" s="291"/>
      <c r="E2195" s="291"/>
      <c r="F2195" s="292"/>
      <c r="G2195" s="291"/>
      <c r="H2195" s="291"/>
      <c r="I2195" s="293"/>
      <c r="J2195" s="291"/>
      <c r="K2195" s="291"/>
      <c r="L2195" s="293"/>
      <c r="M2195" s="291"/>
      <c r="N2195" s="289"/>
      <c r="O2195" s="358"/>
      <c r="P2195" s="402">
        <f t="shared" ref="P2195:Q2195" si="2191">IF(B2195=0,0,IF(YEAR(B2195)=$Q$1,MONTH(B2195)-$P$1+1,(YEAR(B2195)-$Q$1)*12-$P$1+1+MONTH(B2195)))</f>
        <v>0</v>
      </c>
      <c r="Q2195" s="280">
        <f t="shared" si="2191"/>
        <v>0</v>
      </c>
      <c r="R2195" s="356" t="str">
        <f t="shared" si="1"/>
        <v/>
      </c>
      <c r="S2195" s="269" t="str">
        <f>IF(D2195="","",IF(OR(D2195=Plano!$A$1,D2195=Plano!$B$1),"entrada","saída"))</f>
        <v/>
      </c>
      <c r="T2195" s="406"/>
      <c r="U2195" s="406"/>
      <c r="V2195" s="269"/>
    </row>
    <row r="2196" spans="1:22" ht="12.75" customHeight="1" x14ac:dyDescent="0.2">
      <c r="A2196" s="289" t="str">
        <f>IF(B2196="","",COUNT('Diário 5º PA'!$A$5:$A$2634)+ROW()-4)</f>
        <v/>
      </c>
      <c r="B2196" s="290"/>
      <c r="C2196" s="357"/>
      <c r="D2196" s="291"/>
      <c r="E2196" s="291"/>
      <c r="F2196" s="292"/>
      <c r="G2196" s="291"/>
      <c r="H2196" s="291"/>
      <c r="I2196" s="293"/>
      <c r="J2196" s="291"/>
      <c r="K2196" s="291"/>
      <c r="L2196" s="293"/>
      <c r="M2196" s="291"/>
      <c r="N2196" s="289"/>
      <c r="O2196" s="358"/>
      <c r="P2196" s="402">
        <f t="shared" ref="P2196:Q2196" si="2192">IF(B2196=0,0,IF(YEAR(B2196)=$Q$1,MONTH(B2196)-$P$1+1,(YEAR(B2196)-$Q$1)*12-$P$1+1+MONTH(B2196)))</f>
        <v>0</v>
      </c>
      <c r="Q2196" s="280">
        <f t="shared" si="2192"/>
        <v>0</v>
      </c>
      <c r="R2196" s="356" t="str">
        <f t="shared" si="1"/>
        <v/>
      </c>
      <c r="S2196" s="269" t="str">
        <f>IF(D2196="","",IF(OR(D2196=Plano!$A$1,D2196=Plano!$B$1),"entrada","saída"))</f>
        <v/>
      </c>
      <c r="T2196" s="406"/>
      <c r="U2196" s="406"/>
      <c r="V2196" s="269"/>
    </row>
    <row r="2197" spans="1:22" ht="12.75" customHeight="1" x14ac:dyDescent="0.2">
      <c r="A2197" s="289" t="str">
        <f>IF(B2197="","",COUNT('Diário 5º PA'!$A$5:$A$2634)+ROW()-4)</f>
        <v/>
      </c>
      <c r="B2197" s="290"/>
      <c r="C2197" s="357"/>
      <c r="D2197" s="291"/>
      <c r="E2197" s="291"/>
      <c r="F2197" s="292"/>
      <c r="G2197" s="291"/>
      <c r="H2197" s="291"/>
      <c r="I2197" s="293"/>
      <c r="J2197" s="291"/>
      <c r="K2197" s="291"/>
      <c r="L2197" s="293"/>
      <c r="M2197" s="291"/>
      <c r="N2197" s="289"/>
      <c r="O2197" s="358"/>
      <c r="P2197" s="402">
        <f t="shared" ref="P2197:Q2197" si="2193">IF(B2197=0,0,IF(YEAR(B2197)=$Q$1,MONTH(B2197)-$P$1+1,(YEAR(B2197)-$Q$1)*12-$P$1+1+MONTH(B2197)))</f>
        <v>0</v>
      </c>
      <c r="Q2197" s="280">
        <f t="shared" si="2193"/>
        <v>0</v>
      </c>
      <c r="R2197" s="356" t="str">
        <f t="shared" si="1"/>
        <v/>
      </c>
      <c r="S2197" s="269" t="str">
        <f>IF(D2197="","",IF(OR(D2197=Plano!$A$1,D2197=Plano!$B$1),"entrada","saída"))</f>
        <v/>
      </c>
      <c r="T2197" s="406"/>
      <c r="U2197" s="406"/>
      <c r="V2197" s="269"/>
    </row>
    <row r="2198" spans="1:22" ht="12.75" customHeight="1" x14ac:dyDescent="0.2">
      <c r="A2198" s="289" t="str">
        <f>IF(B2198="","",COUNT('Diário 5º PA'!$A$5:$A$2634)+ROW()-4)</f>
        <v/>
      </c>
      <c r="B2198" s="290"/>
      <c r="C2198" s="357"/>
      <c r="D2198" s="291"/>
      <c r="E2198" s="291"/>
      <c r="F2198" s="292"/>
      <c r="G2198" s="291"/>
      <c r="H2198" s="291"/>
      <c r="I2198" s="293"/>
      <c r="J2198" s="291"/>
      <c r="K2198" s="291"/>
      <c r="L2198" s="293"/>
      <c r="M2198" s="291"/>
      <c r="N2198" s="289"/>
      <c r="O2198" s="358"/>
      <c r="P2198" s="402">
        <f t="shared" ref="P2198:Q2198" si="2194">IF(B2198=0,0,IF(YEAR(B2198)=$Q$1,MONTH(B2198)-$P$1+1,(YEAR(B2198)-$Q$1)*12-$P$1+1+MONTH(B2198)))</f>
        <v>0</v>
      </c>
      <c r="Q2198" s="280">
        <f t="shared" si="2194"/>
        <v>0</v>
      </c>
      <c r="R2198" s="356" t="str">
        <f t="shared" si="1"/>
        <v/>
      </c>
      <c r="S2198" s="269" t="str">
        <f>IF(D2198="","",IF(OR(D2198=Plano!$A$1,D2198=Plano!$B$1),"entrada","saída"))</f>
        <v/>
      </c>
      <c r="T2198" s="406"/>
      <c r="U2198" s="406"/>
      <c r="V2198" s="269"/>
    </row>
    <row r="2199" spans="1:22" ht="12.75" customHeight="1" x14ac:dyDescent="0.2">
      <c r="A2199" s="289" t="str">
        <f>IF(B2199="","",COUNT('Diário 5º PA'!$A$5:$A$2634)+ROW()-4)</f>
        <v/>
      </c>
      <c r="B2199" s="290"/>
      <c r="C2199" s="357"/>
      <c r="D2199" s="291"/>
      <c r="E2199" s="291"/>
      <c r="F2199" s="292"/>
      <c r="G2199" s="291"/>
      <c r="H2199" s="291"/>
      <c r="I2199" s="293"/>
      <c r="J2199" s="291"/>
      <c r="K2199" s="291"/>
      <c r="L2199" s="293"/>
      <c r="M2199" s="291"/>
      <c r="N2199" s="289"/>
      <c r="O2199" s="358"/>
      <c r="P2199" s="402">
        <f t="shared" ref="P2199:Q2199" si="2195">IF(B2199=0,0,IF(YEAR(B2199)=$Q$1,MONTH(B2199)-$P$1+1,(YEAR(B2199)-$Q$1)*12-$P$1+1+MONTH(B2199)))</f>
        <v>0</v>
      </c>
      <c r="Q2199" s="280">
        <f t="shared" si="2195"/>
        <v>0</v>
      </c>
      <c r="R2199" s="356" t="str">
        <f t="shared" si="1"/>
        <v/>
      </c>
      <c r="S2199" s="269" t="str">
        <f>IF(D2199="","",IF(OR(D2199=Plano!$A$1,D2199=Plano!$B$1),"entrada","saída"))</f>
        <v/>
      </c>
      <c r="T2199" s="406"/>
      <c r="U2199" s="406"/>
      <c r="V2199" s="269"/>
    </row>
    <row r="2200" spans="1:22" ht="12.75" customHeight="1" x14ac:dyDescent="0.2">
      <c r="A2200" s="289" t="str">
        <f>IF(B2200="","",COUNT('Diário 5º PA'!$A$5:$A$2634)+ROW()-4)</f>
        <v/>
      </c>
      <c r="B2200" s="290"/>
      <c r="C2200" s="357"/>
      <c r="D2200" s="291"/>
      <c r="E2200" s="291"/>
      <c r="F2200" s="292"/>
      <c r="G2200" s="291"/>
      <c r="H2200" s="291"/>
      <c r="I2200" s="293"/>
      <c r="J2200" s="291"/>
      <c r="K2200" s="291"/>
      <c r="L2200" s="293"/>
      <c r="M2200" s="291"/>
      <c r="N2200" s="289"/>
      <c r="O2200" s="358"/>
      <c r="P2200" s="402">
        <f t="shared" ref="P2200:Q2200" si="2196">IF(B2200=0,0,IF(YEAR(B2200)=$Q$1,MONTH(B2200)-$P$1+1,(YEAR(B2200)-$Q$1)*12-$P$1+1+MONTH(B2200)))</f>
        <v>0</v>
      </c>
      <c r="Q2200" s="280">
        <f t="shared" si="2196"/>
        <v>0</v>
      </c>
      <c r="R2200" s="356" t="str">
        <f t="shared" si="1"/>
        <v/>
      </c>
      <c r="S2200" s="269" t="str">
        <f>IF(D2200="","",IF(OR(D2200=Plano!$A$1,D2200=Plano!$B$1),"entrada","saída"))</f>
        <v/>
      </c>
      <c r="T2200" s="406"/>
      <c r="U2200" s="406"/>
      <c r="V2200" s="269"/>
    </row>
    <row r="2201" spans="1:22" ht="12.75" customHeight="1" x14ac:dyDescent="0.2">
      <c r="A2201" s="289" t="str">
        <f>IF(B2201="","",COUNT('Diário 5º PA'!$A$5:$A$2634)+ROW()-4)</f>
        <v/>
      </c>
      <c r="B2201" s="290"/>
      <c r="C2201" s="357"/>
      <c r="D2201" s="291"/>
      <c r="E2201" s="291"/>
      <c r="F2201" s="292"/>
      <c r="G2201" s="291"/>
      <c r="H2201" s="291"/>
      <c r="I2201" s="293"/>
      <c r="J2201" s="291"/>
      <c r="K2201" s="291"/>
      <c r="L2201" s="293"/>
      <c r="M2201" s="291"/>
      <c r="N2201" s="289"/>
      <c r="O2201" s="358"/>
      <c r="P2201" s="402">
        <f t="shared" ref="P2201:Q2201" si="2197">IF(B2201=0,0,IF(YEAR(B2201)=$Q$1,MONTH(B2201)-$P$1+1,(YEAR(B2201)-$Q$1)*12-$P$1+1+MONTH(B2201)))</f>
        <v>0</v>
      </c>
      <c r="Q2201" s="280">
        <f t="shared" si="2197"/>
        <v>0</v>
      </c>
      <c r="R2201" s="356" t="str">
        <f t="shared" si="1"/>
        <v/>
      </c>
      <c r="S2201" s="269" t="str">
        <f>IF(D2201="","",IF(OR(D2201=Plano!$A$1,D2201=Plano!$B$1),"entrada","saída"))</f>
        <v/>
      </c>
      <c r="T2201" s="406"/>
      <c r="U2201" s="406"/>
      <c r="V2201" s="269"/>
    </row>
    <row r="2202" spans="1:22" ht="12.75" customHeight="1" x14ac:dyDescent="0.2">
      <c r="A2202" s="289" t="str">
        <f>IF(B2202="","",COUNT('Diário 5º PA'!$A$5:$A$2634)+ROW()-4)</f>
        <v/>
      </c>
      <c r="B2202" s="290"/>
      <c r="C2202" s="357"/>
      <c r="D2202" s="291"/>
      <c r="E2202" s="291"/>
      <c r="F2202" s="292"/>
      <c r="G2202" s="291"/>
      <c r="H2202" s="291"/>
      <c r="I2202" s="293"/>
      <c r="J2202" s="291"/>
      <c r="K2202" s="291"/>
      <c r="L2202" s="293"/>
      <c r="M2202" s="291"/>
      <c r="N2202" s="289"/>
      <c r="O2202" s="358"/>
      <c r="P2202" s="402">
        <f t="shared" ref="P2202:Q2202" si="2198">IF(B2202=0,0,IF(YEAR(B2202)=$Q$1,MONTH(B2202)-$P$1+1,(YEAR(B2202)-$Q$1)*12-$P$1+1+MONTH(B2202)))</f>
        <v>0</v>
      </c>
      <c r="Q2202" s="280">
        <f t="shared" si="2198"/>
        <v>0</v>
      </c>
      <c r="R2202" s="356" t="str">
        <f t="shared" si="1"/>
        <v/>
      </c>
      <c r="S2202" s="269" t="str">
        <f>IF(D2202="","",IF(OR(D2202=Plano!$A$1,D2202=Plano!$B$1),"entrada","saída"))</f>
        <v/>
      </c>
      <c r="T2202" s="406"/>
      <c r="U2202" s="406"/>
      <c r="V2202" s="269"/>
    </row>
    <row r="2203" spans="1:22" ht="12.75" customHeight="1" x14ac:dyDescent="0.2">
      <c r="A2203" s="289" t="str">
        <f>IF(B2203="","",COUNT('Diário 5º PA'!$A$5:$A$2634)+ROW()-4)</f>
        <v/>
      </c>
      <c r="B2203" s="290"/>
      <c r="C2203" s="357"/>
      <c r="D2203" s="291"/>
      <c r="E2203" s="291"/>
      <c r="F2203" s="292"/>
      <c r="G2203" s="291"/>
      <c r="H2203" s="291"/>
      <c r="I2203" s="293"/>
      <c r="J2203" s="291"/>
      <c r="K2203" s="291"/>
      <c r="L2203" s="293"/>
      <c r="M2203" s="291"/>
      <c r="N2203" s="289"/>
      <c r="O2203" s="358"/>
      <c r="P2203" s="402">
        <f t="shared" ref="P2203:Q2203" si="2199">IF(B2203=0,0,IF(YEAR(B2203)=$Q$1,MONTH(B2203)-$P$1+1,(YEAR(B2203)-$Q$1)*12-$P$1+1+MONTH(B2203)))</f>
        <v>0</v>
      </c>
      <c r="Q2203" s="280">
        <f t="shared" si="2199"/>
        <v>0</v>
      </c>
      <c r="R2203" s="356" t="str">
        <f t="shared" si="1"/>
        <v/>
      </c>
      <c r="S2203" s="269" t="str">
        <f>IF(D2203="","",IF(OR(D2203=Plano!$A$1,D2203=Plano!$B$1),"entrada","saída"))</f>
        <v/>
      </c>
      <c r="T2203" s="406"/>
      <c r="U2203" s="406"/>
      <c r="V2203" s="269"/>
    </row>
    <row r="2204" spans="1:22" ht="12.75" customHeight="1" x14ac:dyDescent="0.2">
      <c r="A2204" s="289" t="str">
        <f>IF(B2204="","",COUNT('Diário 5º PA'!$A$5:$A$2634)+ROW()-4)</f>
        <v/>
      </c>
      <c r="B2204" s="290"/>
      <c r="C2204" s="357"/>
      <c r="D2204" s="291"/>
      <c r="E2204" s="291"/>
      <c r="F2204" s="292"/>
      <c r="G2204" s="291"/>
      <c r="H2204" s="291"/>
      <c r="I2204" s="293"/>
      <c r="J2204" s="291"/>
      <c r="K2204" s="291"/>
      <c r="L2204" s="293"/>
      <c r="M2204" s="291"/>
      <c r="N2204" s="289"/>
      <c r="O2204" s="358"/>
      <c r="P2204" s="402">
        <f t="shared" ref="P2204:Q2204" si="2200">IF(B2204=0,0,IF(YEAR(B2204)=$Q$1,MONTH(B2204)-$P$1+1,(YEAR(B2204)-$Q$1)*12-$P$1+1+MONTH(B2204)))</f>
        <v>0</v>
      </c>
      <c r="Q2204" s="280">
        <f t="shared" si="2200"/>
        <v>0</v>
      </c>
      <c r="R2204" s="356" t="str">
        <f t="shared" si="1"/>
        <v/>
      </c>
      <c r="S2204" s="269" t="str">
        <f>IF(D2204="","",IF(OR(D2204=Plano!$A$1,D2204=Plano!$B$1),"entrada","saída"))</f>
        <v/>
      </c>
      <c r="T2204" s="406"/>
      <c r="U2204" s="406"/>
      <c r="V2204" s="269"/>
    </row>
    <row r="2205" spans="1:22" ht="12.75" customHeight="1" x14ac:dyDescent="0.2">
      <c r="A2205" s="289" t="str">
        <f>IF(B2205="","",COUNT('Diário 5º PA'!$A$5:$A$2634)+ROW()-4)</f>
        <v/>
      </c>
      <c r="B2205" s="290"/>
      <c r="C2205" s="357"/>
      <c r="D2205" s="291"/>
      <c r="E2205" s="291"/>
      <c r="F2205" s="292"/>
      <c r="G2205" s="291"/>
      <c r="H2205" s="291"/>
      <c r="I2205" s="293"/>
      <c r="J2205" s="291"/>
      <c r="K2205" s="291"/>
      <c r="L2205" s="293"/>
      <c r="M2205" s="291"/>
      <c r="N2205" s="289"/>
      <c r="O2205" s="358"/>
      <c r="P2205" s="402">
        <f t="shared" ref="P2205:Q2205" si="2201">IF(B2205=0,0,IF(YEAR(B2205)=$Q$1,MONTH(B2205)-$P$1+1,(YEAR(B2205)-$Q$1)*12-$P$1+1+MONTH(B2205)))</f>
        <v>0</v>
      </c>
      <c r="Q2205" s="280">
        <f t="shared" si="2201"/>
        <v>0</v>
      </c>
      <c r="R2205" s="356" t="str">
        <f t="shared" si="1"/>
        <v/>
      </c>
      <c r="S2205" s="269" t="str">
        <f>IF(D2205="","",IF(OR(D2205=Plano!$A$1,D2205=Plano!$B$1),"entrada","saída"))</f>
        <v/>
      </c>
      <c r="T2205" s="406"/>
      <c r="U2205" s="406"/>
      <c r="V2205" s="269"/>
    </row>
    <row r="2206" spans="1:22" ht="12.75" customHeight="1" x14ac:dyDescent="0.2">
      <c r="A2206" s="289" t="str">
        <f>IF(B2206="","",COUNT('Diário 5º PA'!$A$5:$A$2634)+ROW()-4)</f>
        <v/>
      </c>
      <c r="B2206" s="290"/>
      <c r="C2206" s="357"/>
      <c r="D2206" s="291"/>
      <c r="E2206" s="291"/>
      <c r="F2206" s="292"/>
      <c r="G2206" s="291"/>
      <c r="H2206" s="291"/>
      <c r="I2206" s="293"/>
      <c r="J2206" s="291"/>
      <c r="K2206" s="291"/>
      <c r="L2206" s="293"/>
      <c r="M2206" s="291"/>
      <c r="N2206" s="289"/>
      <c r="O2206" s="358"/>
      <c r="P2206" s="402">
        <f t="shared" ref="P2206:Q2206" si="2202">IF(B2206=0,0,IF(YEAR(B2206)=$Q$1,MONTH(B2206)-$P$1+1,(YEAR(B2206)-$Q$1)*12-$P$1+1+MONTH(B2206)))</f>
        <v>0</v>
      </c>
      <c r="Q2206" s="280">
        <f t="shared" si="2202"/>
        <v>0</v>
      </c>
      <c r="R2206" s="356" t="str">
        <f t="shared" si="1"/>
        <v/>
      </c>
      <c r="S2206" s="269" t="str">
        <f>IF(D2206="","",IF(OR(D2206=Plano!$A$1,D2206=Plano!$B$1),"entrada","saída"))</f>
        <v/>
      </c>
      <c r="T2206" s="406"/>
      <c r="U2206" s="406"/>
      <c r="V2206" s="269"/>
    </row>
    <row r="2207" spans="1:22" ht="12.75" customHeight="1" x14ac:dyDescent="0.2">
      <c r="A2207" s="289" t="str">
        <f>IF(B2207="","",COUNT('Diário 5º PA'!$A$5:$A$2634)+ROW()-4)</f>
        <v/>
      </c>
      <c r="B2207" s="290"/>
      <c r="C2207" s="357"/>
      <c r="D2207" s="291"/>
      <c r="E2207" s="291"/>
      <c r="F2207" s="292"/>
      <c r="G2207" s="291"/>
      <c r="H2207" s="291"/>
      <c r="I2207" s="293"/>
      <c r="J2207" s="291"/>
      <c r="K2207" s="291"/>
      <c r="L2207" s="293"/>
      <c r="M2207" s="291"/>
      <c r="N2207" s="289"/>
      <c r="O2207" s="358"/>
      <c r="P2207" s="402">
        <f t="shared" ref="P2207:Q2207" si="2203">IF(B2207=0,0,IF(YEAR(B2207)=$Q$1,MONTH(B2207)-$P$1+1,(YEAR(B2207)-$Q$1)*12-$P$1+1+MONTH(B2207)))</f>
        <v>0</v>
      </c>
      <c r="Q2207" s="280">
        <f t="shared" si="2203"/>
        <v>0</v>
      </c>
      <c r="R2207" s="356" t="str">
        <f t="shared" si="1"/>
        <v/>
      </c>
      <c r="S2207" s="269" t="str">
        <f>IF(D2207="","",IF(OR(D2207=Plano!$A$1,D2207=Plano!$B$1),"entrada","saída"))</f>
        <v/>
      </c>
      <c r="T2207" s="406"/>
      <c r="U2207" s="406"/>
      <c r="V2207" s="269"/>
    </row>
    <row r="2208" spans="1:22" ht="12.75" customHeight="1" x14ac:dyDescent="0.2">
      <c r="A2208" s="289" t="str">
        <f>IF(B2208="","",COUNT('Diário 5º PA'!$A$5:$A$2634)+ROW()-4)</f>
        <v/>
      </c>
      <c r="B2208" s="290"/>
      <c r="C2208" s="357"/>
      <c r="D2208" s="291"/>
      <c r="E2208" s="291"/>
      <c r="F2208" s="292"/>
      <c r="G2208" s="291"/>
      <c r="H2208" s="291"/>
      <c r="I2208" s="293"/>
      <c r="J2208" s="291"/>
      <c r="K2208" s="291"/>
      <c r="L2208" s="293"/>
      <c r="M2208" s="291"/>
      <c r="N2208" s="289"/>
      <c r="O2208" s="358"/>
      <c r="P2208" s="402">
        <f t="shared" ref="P2208:Q2208" si="2204">IF(B2208=0,0,IF(YEAR(B2208)=$Q$1,MONTH(B2208)-$P$1+1,(YEAR(B2208)-$Q$1)*12-$P$1+1+MONTH(B2208)))</f>
        <v>0</v>
      </c>
      <c r="Q2208" s="280">
        <f t="shared" si="2204"/>
        <v>0</v>
      </c>
      <c r="R2208" s="356" t="str">
        <f t="shared" si="1"/>
        <v/>
      </c>
      <c r="S2208" s="269" t="str">
        <f>IF(D2208="","",IF(OR(D2208=Plano!$A$1,D2208=Plano!$B$1),"entrada","saída"))</f>
        <v/>
      </c>
      <c r="T2208" s="406"/>
      <c r="U2208" s="406"/>
      <c r="V2208" s="269"/>
    </row>
    <row r="2209" spans="1:22" ht="12.75" customHeight="1" x14ac:dyDescent="0.2">
      <c r="A2209" s="289" t="str">
        <f>IF(B2209="","",COUNT('Diário 5º PA'!$A$5:$A$2634)+ROW()-4)</f>
        <v/>
      </c>
      <c r="B2209" s="290"/>
      <c r="C2209" s="357"/>
      <c r="D2209" s="291"/>
      <c r="E2209" s="291"/>
      <c r="F2209" s="292"/>
      <c r="G2209" s="291"/>
      <c r="H2209" s="291"/>
      <c r="I2209" s="293"/>
      <c r="J2209" s="291"/>
      <c r="K2209" s="291"/>
      <c r="L2209" s="293"/>
      <c r="M2209" s="291"/>
      <c r="N2209" s="289"/>
      <c r="O2209" s="358"/>
      <c r="P2209" s="402">
        <f t="shared" ref="P2209:Q2209" si="2205">IF(B2209=0,0,IF(YEAR(B2209)=$Q$1,MONTH(B2209)-$P$1+1,(YEAR(B2209)-$Q$1)*12-$P$1+1+MONTH(B2209)))</f>
        <v>0</v>
      </c>
      <c r="Q2209" s="280">
        <f t="shared" si="2205"/>
        <v>0</v>
      </c>
      <c r="R2209" s="356" t="str">
        <f t="shared" si="1"/>
        <v/>
      </c>
      <c r="S2209" s="269" t="str">
        <f>IF(D2209="","",IF(OR(D2209=Plano!$A$1,D2209=Plano!$B$1),"entrada","saída"))</f>
        <v/>
      </c>
      <c r="T2209" s="406"/>
      <c r="U2209" s="406"/>
      <c r="V2209" s="269"/>
    </row>
    <row r="2210" spans="1:22" ht="12.75" customHeight="1" x14ac:dyDescent="0.2">
      <c r="A2210" s="289" t="str">
        <f>IF(B2210="","",COUNT('Diário 5º PA'!$A$5:$A$2634)+ROW()-4)</f>
        <v/>
      </c>
      <c r="B2210" s="290"/>
      <c r="C2210" s="357"/>
      <c r="D2210" s="291"/>
      <c r="E2210" s="291"/>
      <c r="F2210" s="292"/>
      <c r="G2210" s="291"/>
      <c r="H2210" s="291"/>
      <c r="I2210" s="293"/>
      <c r="J2210" s="291"/>
      <c r="K2210" s="291"/>
      <c r="L2210" s="293"/>
      <c r="M2210" s="291"/>
      <c r="N2210" s="289"/>
      <c r="O2210" s="358"/>
      <c r="P2210" s="402">
        <f t="shared" ref="P2210:Q2210" si="2206">IF(B2210=0,0,IF(YEAR(B2210)=$Q$1,MONTH(B2210)-$P$1+1,(YEAR(B2210)-$Q$1)*12-$P$1+1+MONTH(B2210)))</f>
        <v>0</v>
      </c>
      <c r="Q2210" s="280">
        <f t="shared" si="2206"/>
        <v>0</v>
      </c>
      <c r="R2210" s="356" t="str">
        <f t="shared" si="1"/>
        <v/>
      </c>
      <c r="S2210" s="269" t="str">
        <f>IF(D2210="","",IF(OR(D2210=Plano!$A$1,D2210=Plano!$B$1),"entrada","saída"))</f>
        <v/>
      </c>
      <c r="T2210" s="406"/>
      <c r="U2210" s="406"/>
      <c r="V2210" s="269"/>
    </row>
    <row r="2211" spans="1:22" ht="12.75" customHeight="1" x14ac:dyDescent="0.2">
      <c r="A2211" s="289" t="str">
        <f>IF(B2211="","",COUNT('Diário 5º PA'!$A$5:$A$2634)+ROW()-4)</f>
        <v/>
      </c>
      <c r="B2211" s="290"/>
      <c r="C2211" s="357"/>
      <c r="D2211" s="291"/>
      <c r="E2211" s="291"/>
      <c r="F2211" s="292"/>
      <c r="G2211" s="291"/>
      <c r="H2211" s="291"/>
      <c r="I2211" s="293"/>
      <c r="J2211" s="291"/>
      <c r="K2211" s="291"/>
      <c r="L2211" s="293"/>
      <c r="M2211" s="291"/>
      <c r="N2211" s="289"/>
      <c r="O2211" s="358"/>
      <c r="P2211" s="402">
        <f t="shared" ref="P2211:Q2211" si="2207">IF(B2211=0,0,IF(YEAR(B2211)=$Q$1,MONTH(B2211)-$P$1+1,(YEAR(B2211)-$Q$1)*12-$P$1+1+MONTH(B2211)))</f>
        <v>0</v>
      </c>
      <c r="Q2211" s="280">
        <f t="shared" si="2207"/>
        <v>0</v>
      </c>
      <c r="R2211" s="356" t="str">
        <f t="shared" si="1"/>
        <v/>
      </c>
      <c r="S2211" s="269" t="str">
        <f>IF(D2211="","",IF(OR(D2211=Plano!$A$1,D2211=Plano!$B$1),"entrada","saída"))</f>
        <v/>
      </c>
      <c r="T2211" s="406"/>
      <c r="U2211" s="406"/>
      <c r="V2211" s="269"/>
    </row>
    <row r="2212" spans="1:22" ht="12.75" customHeight="1" x14ac:dyDescent="0.2">
      <c r="A2212" s="289" t="str">
        <f>IF(B2212="","",COUNT('Diário 5º PA'!$A$5:$A$2634)+ROW()-4)</f>
        <v/>
      </c>
      <c r="B2212" s="290"/>
      <c r="C2212" s="357"/>
      <c r="D2212" s="291"/>
      <c r="E2212" s="291"/>
      <c r="F2212" s="292"/>
      <c r="G2212" s="291"/>
      <c r="H2212" s="291"/>
      <c r="I2212" s="293"/>
      <c r="J2212" s="291"/>
      <c r="K2212" s="291"/>
      <c r="L2212" s="293"/>
      <c r="M2212" s="291"/>
      <c r="N2212" s="289"/>
      <c r="O2212" s="358"/>
      <c r="P2212" s="402">
        <f t="shared" ref="P2212:Q2212" si="2208">IF(B2212=0,0,IF(YEAR(B2212)=$Q$1,MONTH(B2212)-$P$1+1,(YEAR(B2212)-$Q$1)*12-$P$1+1+MONTH(B2212)))</f>
        <v>0</v>
      </c>
      <c r="Q2212" s="280">
        <f t="shared" si="2208"/>
        <v>0</v>
      </c>
      <c r="R2212" s="356" t="str">
        <f t="shared" si="1"/>
        <v/>
      </c>
      <c r="S2212" s="269" t="str">
        <f>IF(D2212="","",IF(OR(D2212=Plano!$A$1,D2212=Plano!$B$1),"entrada","saída"))</f>
        <v/>
      </c>
      <c r="T2212" s="406"/>
      <c r="U2212" s="406"/>
      <c r="V2212" s="269"/>
    </row>
    <row r="2213" spans="1:22" ht="12.75" customHeight="1" x14ac:dyDescent="0.2">
      <c r="A2213" s="289" t="str">
        <f>IF(B2213="","",COUNT('Diário 5º PA'!$A$5:$A$2634)+ROW()-4)</f>
        <v/>
      </c>
      <c r="B2213" s="290"/>
      <c r="C2213" s="357"/>
      <c r="D2213" s="291"/>
      <c r="E2213" s="291"/>
      <c r="F2213" s="292"/>
      <c r="G2213" s="291"/>
      <c r="H2213" s="291"/>
      <c r="I2213" s="293"/>
      <c r="J2213" s="291"/>
      <c r="K2213" s="291"/>
      <c r="L2213" s="293"/>
      <c r="M2213" s="291"/>
      <c r="N2213" s="289"/>
      <c r="O2213" s="358"/>
      <c r="P2213" s="402">
        <f t="shared" ref="P2213:Q2213" si="2209">IF(B2213=0,0,IF(YEAR(B2213)=$Q$1,MONTH(B2213)-$P$1+1,(YEAR(B2213)-$Q$1)*12-$P$1+1+MONTH(B2213)))</f>
        <v>0</v>
      </c>
      <c r="Q2213" s="280">
        <f t="shared" si="2209"/>
        <v>0</v>
      </c>
      <c r="R2213" s="356" t="str">
        <f t="shared" si="1"/>
        <v/>
      </c>
      <c r="S2213" s="269" t="str">
        <f>IF(D2213="","",IF(OR(D2213=Plano!$A$1,D2213=Plano!$B$1),"entrada","saída"))</f>
        <v/>
      </c>
      <c r="T2213" s="406"/>
      <c r="U2213" s="406"/>
      <c r="V2213" s="269"/>
    </row>
    <row r="2214" spans="1:22" ht="12.75" customHeight="1" x14ac:dyDescent="0.2">
      <c r="A2214" s="289" t="str">
        <f>IF(B2214="","",COUNT('Diário 5º PA'!$A$5:$A$2634)+ROW()-4)</f>
        <v/>
      </c>
      <c r="B2214" s="290"/>
      <c r="C2214" s="357"/>
      <c r="D2214" s="291"/>
      <c r="E2214" s="291"/>
      <c r="F2214" s="292"/>
      <c r="G2214" s="291"/>
      <c r="H2214" s="291"/>
      <c r="I2214" s="293"/>
      <c r="J2214" s="291"/>
      <c r="K2214" s="291"/>
      <c r="L2214" s="293"/>
      <c r="M2214" s="291"/>
      <c r="N2214" s="289"/>
      <c r="O2214" s="358"/>
      <c r="P2214" s="402">
        <f t="shared" ref="P2214:Q2214" si="2210">IF(B2214=0,0,IF(YEAR(B2214)=$Q$1,MONTH(B2214)-$P$1+1,(YEAR(B2214)-$Q$1)*12-$P$1+1+MONTH(B2214)))</f>
        <v>0</v>
      </c>
      <c r="Q2214" s="280">
        <f t="shared" si="2210"/>
        <v>0</v>
      </c>
      <c r="R2214" s="356" t="str">
        <f t="shared" si="1"/>
        <v/>
      </c>
      <c r="S2214" s="269" t="str">
        <f>IF(D2214="","",IF(OR(D2214=Plano!$A$1,D2214=Plano!$B$1),"entrada","saída"))</f>
        <v/>
      </c>
      <c r="T2214" s="406"/>
      <c r="U2214" s="406"/>
      <c r="V2214" s="269"/>
    </row>
    <row r="2215" spans="1:22" ht="12.75" customHeight="1" x14ac:dyDescent="0.2">
      <c r="A2215" s="289" t="str">
        <f>IF(B2215="","",COUNT('Diário 5º PA'!$A$5:$A$2634)+ROW()-4)</f>
        <v/>
      </c>
      <c r="B2215" s="290"/>
      <c r="C2215" s="357"/>
      <c r="D2215" s="291"/>
      <c r="E2215" s="291"/>
      <c r="F2215" s="292"/>
      <c r="G2215" s="291"/>
      <c r="H2215" s="291"/>
      <c r="I2215" s="293"/>
      <c r="J2215" s="291"/>
      <c r="K2215" s="291"/>
      <c r="L2215" s="293"/>
      <c r="M2215" s="291"/>
      <c r="N2215" s="289"/>
      <c r="O2215" s="358"/>
      <c r="P2215" s="402">
        <f t="shared" ref="P2215:Q2215" si="2211">IF(B2215=0,0,IF(YEAR(B2215)=$Q$1,MONTH(B2215)-$P$1+1,(YEAR(B2215)-$Q$1)*12-$P$1+1+MONTH(B2215)))</f>
        <v>0</v>
      </c>
      <c r="Q2215" s="280">
        <f t="shared" si="2211"/>
        <v>0</v>
      </c>
      <c r="R2215" s="356" t="str">
        <f t="shared" si="1"/>
        <v/>
      </c>
      <c r="S2215" s="269" t="str">
        <f>IF(D2215="","",IF(OR(D2215=Plano!$A$1,D2215=Plano!$B$1),"entrada","saída"))</f>
        <v/>
      </c>
      <c r="T2215" s="406"/>
      <c r="U2215" s="406"/>
      <c r="V2215" s="269"/>
    </row>
    <row r="2216" spans="1:22" ht="12.75" customHeight="1" x14ac:dyDescent="0.2">
      <c r="A2216" s="289" t="str">
        <f>IF(B2216="","",COUNT('Diário 5º PA'!$A$5:$A$2634)+ROW()-4)</f>
        <v/>
      </c>
      <c r="B2216" s="290"/>
      <c r="C2216" s="357"/>
      <c r="D2216" s="291"/>
      <c r="E2216" s="291"/>
      <c r="F2216" s="292"/>
      <c r="G2216" s="291"/>
      <c r="H2216" s="291"/>
      <c r="I2216" s="293"/>
      <c r="J2216" s="291"/>
      <c r="K2216" s="291"/>
      <c r="L2216" s="293"/>
      <c r="M2216" s="291"/>
      <c r="N2216" s="289"/>
      <c r="O2216" s="358"/>
      <c r="P2216" s="402">
        <f t="shared" ref="P2216:Q2216" si="2212">IF(B2216=0,0,IF(YEAR(B2216)=$Q$1,MONTH(B2216)-$P$1+1,(YEAR(B2216)-$Q$1)*12-$P$1+1+MONTH(B2216)))</f>
        <v>0</v>
      </c>
      <c r="Q2216" s="280">
        <f t="shared" si="2212"/>
        <v>0</v>
      </c>
      <c r="R2216" s="356" t="str">
        <f t="shared" si="1"/>
        <v/>
      </c>
      <c r="S2216" s="269" t="str">
        <f>IF(D2216="","",IF(OR(D2216=Plano!$A$1,D2216=Plano!$B$1),"entrada","saída"))</f>
        <v/>
      </c>
      <c r="T2216" s="406"/>
      <c r="U2216" s="406"/>
      <c r="V2216" s="269"/>
    </row>
    <row r="2217" spans="1:22" ht="12.75" customHeight="1" x14ac:dyDescent="0.2">
      <c r="A2217" s="289" t="str">
        <f>IF(B2217="","",COUNT('Diário 5º PA'!$A$5:$A$2634)+ROW()-4)</f>
        <v/>
      </c>
      <c r="B2217" s="290"/>
      <c r="C2217" s="357"/>
      <c r="D2217" s="291"/>
      <c r="E2217" s="291"/>
      <c r="F2217" s="292"/>
      <c r="G2217" s="291"/>
      <c r="H2217" s="291"/>
      <c r="I2217" s="293"/>
      <c r="J2217" s="291"/>
      <c r="K2217" s="291"/>
      <c r="L2217" s="293"/>
      <c r="M2217" s="291"/>
      <c r="N2217" s="289"/>
      <c r="O2217" s="358"/>
      <c r="P2217" s="402">
        <f t="shared" ref="P2217:Q2217" si="2213">IF(B2217=0,0,IF(YEAR(B2217)=$Q$1,MONTH(B2217)-$P$1+1,(YEAR(B2217)-$Q$1)*12-$P$1+1+MONTH(B2217)))</f>
        <v>0</v>
      </c>
      <c r="Q2217" s="280">
        <f t="shared" si="2213"/>
        <v>0</v>
      </c>
      <c r="R2217" s="356" t="str">
        <f t="shared" si="1"/>
        <v/>
      </c>
      <c r="S2217" s="269" t="str">
        <f>IF(D2217="","",IF(OR(D2217=Plano!$A$1,D2217=Plano!$B$1),"entrada","saída"))</f>
        <v/>
      </c>
      <c r="T2217" s="406"/>
      <c r="U2217" s="406"/>
      <c r="V2217" s="269"/>
    </row>
    <row r="2218" spans="1:22" ht="12.75" customHeight="1" x14ac:dyDescent="0.2">
      <c r="A2218" s="289" t="str">
        <f>IF(B2218="","",COUNT('Diário 5º PA'!$A$5:$A$2634)+ROW()-4)</f>
        <v/>
      </c>
      <c r="B2218" s="290"/>
      <c r="C2218" s="357"/>
      <c r="D2218" s="291"/>
      <c r="E2218" s="291"/>
      <c r="F2218" s="292"/>
      <c r="G2218" s="291"/>
      <c r="H2218" s="291"/>
      <c r="I2218" s="293"/>
      <c r="J2218" s="291"/>
      <c r="K2218" s="291"/>
      <c r="L2218" s="293"/>
      <c r="M2218" s="291"/>
      <c r="N2218" s="289"/>
      <c r="O2218" s="358"/>
      <c r="P2218" s="402">
        <f t="shared" ref="P2218:Q2218" si="2214">IF(B2218=0,0,IF(YEAR(B2218)=$Q$1,MONTH(B2218)-$P$1+1,(YEAR(B2218)-$Q$1)*12-$P$1+1+MONTH(B2218)))</f>
        <v>0</v>
      </c>
      <c r="Q2218" s="280">
        <f t="shared" si="2214"/>
        <v>0</v>
      </c>
      <c r="R2218" s="356" t="str">
        <f t="shared" si="1"/>
        <v/>
      </c>
      <c r="S2218" s="269" t="str">
        <f>IF(D2218="","",IF(OR(D2218=Plano!$A$1,D2218=Plano!$B$1),"entrada","saída"))</f>
        <v/>
      </c>
      <c r="T2218" s="406"/>
      <c r="U2218" s="406"/>
      <c r="V2218" s="269"/>
    </row>
    <row r="2219" spans="1:22" ht="12.75" customHeight="1" x14ac:dyDescent="0.2">
      <c r="A2219" s="289" t="str">
        <f>IF(B2219="","",COUNT('Diário 5º PA'!$A$5:$A$2634)+ROW()-4)</f>
        <v/>
      </c>
      <c r="B2219" s="290"/>
      <c r="C2219" s="357"/>
      <c r="D2219" s="291"/>
      <c r="E2219" s="291"/>
      <c r="F2219" s="292"/>
      <c r="G2219" s="291"/>
      <c r="H2219" s="291"/>
      <c r="I2219" s="293"/>
      <c r="J2219" s="291"/>
      <c r="K2219" s="291"/>
      <c r="L2219" s="293"/>
      <c r="M2219" s="291"/>
      <c r="N2219" s="289"/>
      <c r="O2219" s="358"/>
      <c r="P2219" s="402">
        <f t="shared" ref="P2219:Q2219" si="2215">IF(B2219=0,0,IF(YEAR(B2219)=$Q$1,MONTH(B2219)-$P$1+1,(YEAR(B2219)-$Q$1)*12-$P$1+1+MONTH(B2219)))</f>
        <v>0</v>
      </c>
      <c r="Q2219" s="280">
        <f t="shared" si="2215"/>
        <v>0</v>
      </c>
      <c r="R2219" s="356" t="str">
        <f t="shared" si="1"/>
        <v/>
      </c>
      <c r="S2219" s="269" t="str">
        <f>IF(D2219="","",IF(OR(D2219=Plano!$A$1,D2219=Plano!$B$1),"entrada","saída"))</f>
        <v/>
      </c>
      <c r="T2219" s="406"/>
      <c r="U2219" s="406"/>
      <c r="V2219" s="269"/>
    </row>
    <row r="2220" spans="1:22" ht="12.75" customHeight="1" x14ac:dyDescent="0.2">
      <c r="A2220" s="289" t="str">
        <f>IF(B2220="","",COUNT('Diário 5º PA'!$A$5:$A$2634)+ROW()-4)</f>
        <v/>
      </c>
      <c r="B2220" s="290"/>
      <c r="C2220" s="357"/>
      <c r="D2220" s="291"/>
      <c r="E2220" s="291"/>
      <c r="F2220" s="292"/>
      <c r="G2220" s="291"/>
      <c r="H2220" s="291"/>
      <c r="I2220" s="293"/>
      <c r="J2220" s="291"/>
      <c r="K2220" s="291"/>
      <c r="L2220" s="293"/>
      <c r="M2220" s="291"/>
      <c r="N2220" s="289"/>
      <c r="O2220" s="358"/>
      <c r="P2220" s="402">
        <f t="shared" ref="P2220:Q2220" si="2216">IF(B2220=0,0,IF(YEAR(B2220)=$Q$1,MONTH(B2220)-$P$1+1,(YEAR(B2220)-$Q$1)*12-$P$1+1+MONTH(B2220)))</f>
        <v>0</v>
      </c>
      <c r="Q2220" s="280">
        <f t="shared" si="2216"/>
        <v>0</v>
      </c>
      <c r="R2220" s="356" t="str">
        <f t="shared" si="1"/>
        <v/>
      </c>
      <c r="S2220" s="269" t="str">
        <f>IF(D2220="","",IF(OR(D2220=Plano!$A$1,D2220=Plano!$B$1),"entrada","saída"))</f>
        <v/>
      </c>
      <c r="T2220" s="406"/>
      <c r="U2220" s="406"/>
      <c r="V2220" s="269"/>
    </row>
    <row r="2221" spans="1:22" ht="12.75" customHeight="1" x14ac:dyDescent="0.2">
      <c r="A2221" s="289" t="str">
        <f>IF(B2221="","",COUNT('Diário 5º PA'!$A$5:$A$2634)+ROW()-4)</f>
        <v/>
      </c>
      <c r="B2221" s="290"/>
      <c r="C2221" s="357"/>
      <c r="D2221" s="291"/>
      <c r="E2221" s="291"/>
      <c r="F2221" s="292"/>
      <c r="G2221" s="291"/>
      <c r="H2221" s="291"/>
      <c r="I2221" s="293"/>
      <c r="J2221" s="291"/>
      <c r="K2221" s="291"/>
      <c r="L2221" s="293"/>
      <c r="M2221" s="291"/>
      <c r="N2221" s="289"/>
      <c r="O2221" s="358"/>
      <c r="P2221" s="402">
        <f t="shared" ref="P2221:Q2221" si="2217">IF(B2221=0,0,IF(YEAR(B2221)=$Q$1,MONTH(B2221)-$P$1+1,(YEAR(B2221)-$Q$1)*12-$P$1+1+MONTH(B2221)))</f>
        <v>0</v>
      </c>
      <c r="Q2221" s="280">
        <f t="shared" si="2217"/>
        <v>0</v>
      </c>
      <c r="R2221" s="356" t="str">
        <f t="shared" si="1"/>
        <v/>
      </c>
      <c r="S2221" s="269" t="str">
        <f>IF(D2221="","",IF(OR(D2221=Plano!$A$1,D2221=Plano!$B$1),"entrada","saída"))</f>
        <v/>
      </c>
      <c r="T2221" s="406"/>
      <c r="U2221" s="406"/>
      <c r="V2221" s="269"/>
    </row>
    <row r="2222" spans="1:22" ht="12.75" customHeight="1" x14ac:dyDescent="0.2">
      <c r="A2222" s="289" t="str">
        <f>IF(B2222="","",COUNT('Diário 5º PA'!$A$5:$A$2634)+ROW()-4)</f>
        <v/>
      </c>
      <c r="B2222" s="290"/>
      <c r="C2222" s="357"/>
      <c r="D2222" s="291"/>
      <c r="E2222" s="291"/>
      <c r="F2222" s="292"/>
      <c r="G2222" s="291"/>
      <c r="H2222" s="291"/>
      <c r="I2222" s="293"/>
      <c r="J2222" s="291"/>
      <c r="K2222" s="291"/>
      <c r="L2222" s="293"/>
      <c r="M2222" s="291"/>
      <c r="N2222" s="289"/>
      <c r="O2222" s="358"/>
      <c r="P2222" s="402">
        <f t="shared" ref="P2222:Q2222" si="2218">IF(B2222=0,0,IF(YEAR(B2222)=$Q$1,MONTH(B2222)-$P$1+1,(YEAR(B2222)-$Q$1)*12-$P$1+1+MONTH(B2222)))</f>
        <v>0</v>
      </c>
      <c r="Q2222" s="280">
        <f t="shared" si="2218"/>
        <v>0</v>
      </c>
      <c r="R2222" s="356" t="str">
        <f t="shared" si="1"/>
        <v/>
      </c>
      <c r="S2222" s="269" t="str">
        <f>IF(D2222="","",IF(OR(D2222=Plano!$A$1,D2222=Plano!$B$1),"entrada","saída"))</f>
        <v/>
      </c>
      <c r="T2222" s="406"/>
      <c r="U2222" s="406"/>
      <c r="V2222" s="269"/>
    </row>
    <row r="2223" spans="1:22" ht="12.75" customHeight="1" x14ac:dyDescent="0.2">
      <c r="A2223" s="289" t="str">
        <f>IF(B2223="","",COUNT('Diário 5º PA'!$A$5:$A$2634)+ROW()-4)</f>
        <v/>
      </c>
      <c r="B2223" s="290"/>
      <c r="C2223" s="357"/>
      <c r="D2223" s="291"/>
      <c r="E2223" s="291"/>
      <c r="F2223" s="292"/>
      <c r="G2223" s="291"/>
      <c r="H2223" s="291"/>
      <c r="I2223" s="293"/>
      <c r="J2223" s="291"/>
      <c r="K2223" s="291"/>
      <c r="L2223" s="293"/>
      <c r="M2223" s="291"/>
      <c r="N2223" s="289"/>
      <c r="O2223" s="358"/>
      <c r="P2223" s="402">
        <f t="shared" ref="P2223:Q2223" si="2219">IF(B2223=0,0,IF(YEAR(B2223)=$Q$1,MONTH(B2223)-$P$1+1,(YEAR(B2223)-$Q$1)*12-$P$1+1+MONTH(B2223)))</f>
        <v>0</v>
      </c>
      <c r="Q2223" s="280">
        <f t="shared" si="2219"/>
        <v>0</v>
      </c>
      <c r="R2223" s="356" t="str">
        <f t="shared" si="1"/>
        <v/>
      </c>
      <c r="S2223" s="269" t="str">
        <f>IF(D2223="","",IF(OR(D2223=Plano!$A$1,D2223=Plano!$B$1),"entrada","saída"))</f>
        <v/>
      </c>
      <c r="T2223" s="406"/>
      <c r="U2223" s="406"/>
      <c r="V2223" s="269"/>
    </row>
    <row r="2224" spans="1:22" ht="12.75" customHeight="1" x14ac:dyDescent="0.2">
      <c r="A2224" s="289" t="str">
        <f>IF(B2224="","",COUNT('Diário 5º PA'!$A$5:$A$2634)+ROW()-4)</f>
        <v/>
      </c>
      <c r="B2224" s="290"/>
      <c r="C2224" s="357"/>
      <c r="D2224" s="291"/>
      <c r="E2224" s="291"/>
      <c r="F2224" s="292"/>
      <c r="G2224" s="291"/>
      <c r="H2224" s="291"/>
      <c r="I2224" s="293"/>
      <c r="J2224" s="291"/>
      <c r="K2224" s="291"/>
      <c r="L2224" s="293"/>
      <c r="M2224" s="291"/>
      <c r="N2224" s="289"/>
      <c r="O2224" s="358"/>
      <c r="P2224" s="402">
        <f t="shared" ref="P2224:Q2224" si="2220">IF(B2224=0,0,IF(YEAR(B2224)=$Q$1,MONTH(B2224)-$P$1+1,(YEAR(B2224)-$Q$1)*12-$P$1+1+MONTH(B2224)))</f>
        <v>0</v>
      </c>
      <c r="Q2224" s="280">
        <f t="shared" si="2220"/>
        <v>0</v>
      </c>
      <c r="R2224" s="356" t="str">
        <f t="shared" si="1"/>
        <v/>
      </c>
      <c r="S2224" s="269" t="str">
        <f>IF(D2224="","",IF(OR(D2224=Plano!$A$1,D2224=Plano!$B$1),"entrada","saída"))</f>
        <v/>
      </c>
      <c r="T2224" s="406"/>
      <c r="U2224" s="406"/>
      <c r="V2224" s="269"/>
    </row>
    <row r="2225" spans="1:22" ht="12.75" customHeight="1" x14ac:dyDescent="0.2">
      <c r="A2225" s="289" t="str">
        <f>IF(B2225="","",COUNT('Diário 5º PA'!$A$5:$A$2634)+ROW()-4)</f>
        <v/>
      </c>
      <c r="B2225" s="290"/>
      <c r="C2225" s="357"/>
      <c r="D2225" s="291"/>
      <c r="E2225" s="291"/>
      <c r="F2225" s="292"/>
      <c r="G2225" s="291"/>
      <c r="H2225" s="291"/>
      <c r="I2225" s="293"/>
      <c r="J2225" s="291"/>
      <c r="K2225" s="291"/>
      <c r="L2225" s="293"/>
      <c r="M2225" s="291"/>
      <c r="N2225" s="289"/>
      <c r="O2225" s="358"/>
      <c r="P2225" s="402">
        <f t="shared" ref="P2225:Q2225" si="2221">IF(B2225=0,0,IF(YEAR(B2225)=$Q$1,MONTH(B2225)-$P$1+1,(YEAR(B2225)-$Q$1)*12-$P$1+1+MONTH(B2225)))</f>
        <v>0</v>
      </c>
      <c r="Q2225" s="280">
        <f t="shared" si="2221"/>
        <v>0</v>
      </c>
      <c r="R2225" s="356" t="str">
        <f t="shared" si="1"/>
        <v/>
      </c>
      <c r="S2225" s="269" t="str">
        <f>IF(D2225="","",IF(OR(D2225=Plano!$A$1,D2225=Plano!$B$1),"entrada","saída"))</f>
        <v/>
      </c>
      <c r="T2225" s="406"/>
      <c r="U2225" s="406"/>
      <c r="V2225" s="269"/>
    </row>
    <row r="2226" spans="1:22" ht="12.75" customHeight="1" x14ac:dyDescent="0.2">
      <c r="A2226" s="289" t="str">
        <f>IF(B2226="","",COUNT('Diário 5º PA'!$A$5:$A$2634)+ROW()-4)</f>
        <v/>
      </c>
      <c r="B2226" s="290"/>
      <c r="C2226" s="357"/>
      <c r="D2226" s="291"/>
      <c r="E2226" s="291"/>
      <c r="F2226" s="292"/>
      <c r="G2226" s="291"/>
      <c r="H2226" s="291"/>
      <c r="I2226" s="293"/>
      <c r="J2226" s="291"/>
      <c r="K2226" s="291"/>
      <c r="L2226" s="293"/>
      <c r="M2226" s="291"/>
      <c r="N2226" s="289"/>
      <c r="O2226" s="358"/>
      <c r="P2226" s="402">
        <f t="shared" ref="P2226:Q2226" si="2222">IF(B2226=0,0,IF(YEAR(B2226)=$Q$1,MONTH(B2226)-$P$1+1,(YEAR(B2226)-$Q$1)*12-$P$1+1+MONTH(B2226)))</f>
        <v>0</v>
      </c>
      <c r="Q2226" s="280">
        <f t="shared" si="2222"/>
        <v>0</v>
      </c>
      <c r="R2226" s="356" t="str">
        <f t="shared" si="1"/>
        <v/>
      </c>
      <c r="S2226" s="269" t="str">
        <f>IF(D2226="","",IF(OR(D2226=Plano!$A$1,D2226=Plano!$B$1),"entrada","saída"))</f>
        <v/>
      </c>
      <c r="T2226" s="406"/>
      <c r="U2226" s="406"/>
      <c r="V2226" s="269"/>
    </row>
    <row r="2227" spans="1:22" ht="12.75" customHeight="1" x14ac:dyDescent="0.2">
      <c r="A2227" s="289" t="str">
        <f>IF(B2227="","",COUNT('Diário 5º PA'!$A$5:$A$2634)+ROW()-4)</f>
        <v/>
      </c>
      <c r="B2227" s="290"/>
      <c r="C2227" s="357"/>
      <c r="D2227" s="291"/>
      <c r="E2227" s="291"/>
      <c r="F2227" s="292"/>
      <c r="G2227" s="291"/>
      <c r="H2227" s="291"/>
      <c r="I2227" s="293"/>
      <c r="J2227" s="291"/>
      <c r="K2227" s="291"/>
      <c r="L2227" s="293"/>
      <c r="M2227" s="291"/>
      <c r="N2227" s="289"/>
      <c r="O2227" s="358"/>
      <c r="P2227" s="402">
        <f t="shared" ref="P2227:Q2227" si="2223">IF(B2227=0,0,IF(YEAR(B2227)=$Q$1,MONTH(B2227)-$P$1+1,(YEAR(B2227)-$Q$1)*12-$P$1+1+MONTH(B2227)))</f>
        <v>0</v>
      </c>
      <c r="Q2227" s="280">
        <f t="shared" si="2223"/>
        <v>0</v>
      </c>
      <c r="R2227" s="356" t="str">
        <f t="shared" si="1"/>
        <v/>
      </c>
      <c r="S2227" s="269" t="str">
        <f>IF(D2227="","",IF(OR(D2227=Plano!$A$1,D2227=Plano!$B$1),"entrada","saída"))</f>
        <v/>
      </c>
      <c r="T2227" s="406"/>
      <c r="U2227" s="406"/>
      <c r="V2227" s="269"/>
    </row>
    <row r="2228" spans="1:22" ht="12.75" customHeight="1" x14ac:dyDescent="0.2">
      <c r="A2228" s="289" t="str">
        <f>IF(B2228="","",COUNT('Diário 5º PA'!$A$5:$A$2634)+ROW()-4)</f>
        <v/>
      </c>
      <c r="B2228" s="290"/>
      <c r="C2228" s="357"/>
      <c r="D2228" s="291"/>
      <c r="E2228" s="291"/>
      <c r="F2228" s="292"/>
      <c r="G2228" s="291"/>
      <c r="H2228" s="291"/>
      <c r="I2228" s="293"/>
      <c r="J2228" s="291"/>
      <c r="K2228" s="291"/>
      <c r="L2228" s="293"/>
      <c r="M2228" s="291"/>
      <c r="N2228" s="289"/>
      <c r="O2228" s="358"/>
      <c r="P2228" s="402">
        <f t="shared" ref="P2228:Q2228" si="2224">IF(B2228=0,0,IF(YEAR(B2228)=$Q$1,MONTH(B2228)-$P$1+1,(YEAR(B2228)-$Q$1)*12-$P$1+1+MONTH(B2228)))</f>
        <v>0</v>
      </c>
      <c r="Q2228" s="280">
        <f t="shared" si="2224"/>
        <v>0</v>
      </c>
      <c r="R2228" s="356" t="str">
        <f t="shared" si="1"/>
        <v/>
      </c>
      <c r="S2228" s="269" t="str">
        <f>IF(D2228="","",IF(OR(D2228=Plano!$A$1,D2228=Plano!$B$1),"entrada","saída"))</f>
        <v/>
      </c>
      <c r="T2228" s="406"/>
      <c r="U2228" s="406"/>
      <c r="V2228" s="269"/>
    </row>
    <row r="2229" spans="1:22" ht="12.75" customHeight="1" x14ac:dyDescent="0.2">
      <c r="A2229" s="289" t="str">
        <f>IF(B2229="","",COUNT('Diário 5º PA'!$A$5:$A$2634)+ROW()-4)</f>
        <v/>
      </c>
      <c r="B2229" s="290"/>
      <c r="C2229" s="357"/>
      <c r="D2229" s="291"/>
      <c r="E2229" s="291"/>
      <c r="F2229" s="292"/>
      <c r="G2229" s="291"/>
      <c r="H2229" s="291"/>
      <c r="I2229" s="293"/>
      <c r="J2229" s="291"/>
      <c r="K2229" s="291"/>
      <c r="L2229" s="293"/>
      <c r="M2229" s="291"/>
      <c r="N2229" s="289"/>
      <c r="O2229" s="358"/>
      <c r="P2229" s="402">
        <f t="shared" ref="P2229:Q2229" si="2225">IF(B2229=0,0,IF(YEAR(B2229)=$Q$1,MONTH(B2229)-$P$1+1,(YEAR(B2229)-$Q$1)*12-$P$1+1+MONTH(B2229)))</f>
        <v>0</v>
      </c>
      <c r="Q2229" s="280">
        <f t="shared" si="2225"/>
        <v>0</v>
      </c>
      <c r="R2229" s="356" t="str">
        <f t="shared" si="1"/>
        <v/>
      </c>
      <c r="S2229" s="269" t="str">
        <f>IF(D2229="","",IF(OR(D2229=Plano!$A$1,D2229=Plano!$B$1),"entrada","saída"))</f>
        <v/>
      </c>
      <c r="T2229" s="406"/>
      <c r="U2229" s="406"/>
      <c r="V2229" s="269"/>
    </row>
    <row r="2230" spans="1:22" ht="12.75" customHeight="1" x14ac:dyDescent="0.2">
      <c r="A2230" s="289" t="str">
        <f>IF(B2230="","",COUNT('Diário 5º PA'!$A$5:$A$2634)+ROW()-4)</f>
        <v/>
      </c>
      <c r="B2230" s="290"/>
      <c r="C2230" s="357"/>
      <c r="D2230" s="291"/>
      <c r="E2230" s="291"/>
      <c r="F2230" s="292"/>
      <c r="G2230" s="291"/>
      <c r="H2230" s="291"/>
      <c r="I2230" s="293"/>
      <c r="J2230" s="291"/>
      <c r="K2230" s="291"/>
      <c r="L2230" s="293"/>
      <c r="M2230" s="291"/>
      <c r="N2230" s="289"/>
      <c r="O2230" s="358"/>
      <c r="P2230" s="402">
        <f t="shared" ref="P2230:Q2230" si="2226">IF(B2230=0,0,IF(YEAR(B2230)=$Q$1,MONTH(B2230)-$P$1+1,(YEAR(B2230)-$Q$1)*12-$P$1+1+MONTH(B2230)))</f>
        <v>0</v>
      </c>
      <c r="Q2230" s="280">
        <f t="shared" si="2226"/>
        <v>0</v>
      </c>
      <c r="R2230" s="356" t="str">
        <f t="shared" si="1"/>
        <v/>
      </c>
      <c r="S2230" s="269" t="str">
        <f>IF(D2230="","",IF(OR(D2230=Plano!$A$1,D2230=Plano!$B$1),"entrada","saída"))</f>
        <v/>
      </c>
      <c r="T2230" s="406"/>
      <c r="U2230" s="406"/>
      <c r="V2230" s="269"/>
    </row>
    <row r="2231" spans="1:22" ht="12.75" customHeight="1" x14ac:dyDescent="0.2">
      <c r="A2231" s="289" t="str">
        <f>IF(B2231="","",COUNT('Diário 5º PA'!$A$5:$A$2634)+ROW()-4)</f>
        <v/>
      </c>
      <c r="B2231" s="290"/>
      <c r="C2231" s="357"/>
      <c r="D2231" s="291"/>
      <c r="E2231" s="291"/>
      <c r="F2231" s="292"/>
      <c r="G2231" s="291"/>
      <c r="H2231" s="291"/>
      <c r="I2231" s="293"/>
      <c r="J2231" s="291"/>
      <c r="K2231" s="291"/>
      <c r="L2231" s="293"/>
      <c r="M2231" s="291"/>
      <c r="N2231" s="289"/>
      <c r="O2231" s="358"/>
      <c r="P2231" s="402">
        <f t="shared" ref="P2231:Q2231" si="2227">IF(B2231=0,0,IF(YEAR(B2231)=$Q$1,MONTH(B2231)-$P$1+1,(YEAR(B2231)-$Q$1)*12-$P$1+1+MONTH(B2231)))</f>
        <v>0</v>
      </c>
      <c r="Q2231" s="280">
        <f t="shared" si="2227"/>
        <v>0</v>
      </c>
      <c r="R2231" s="356" t="str">
        <f t="shared" si="1"/>
        <v/>
      </c>
      <c r="S2231" s="269" t="str">
        <f>IF(D2231="","",IF(OR(D2231=Plano!$A$1,D2231=Plano!$B$1),"entrada","saída"))</f>
        <v/>
      </c>
      <c r="T2231" s="406"/>
      <c r="U2231" s="406"/>
      <c r="V2231" s="269"/>
    </row>
    <row r="2232" spans="1:22" ht="12.75" customHeight="1" x14ac:dyDescent="0.2">
      <c r="A2232" s="289" t="str">
        <f>IF(B2232="","",COUNT('Diário 5º PA'!$A$5:$A$2634)+ROW()-4)</f>
        <v/>
      </c>
      <c r="B2232" s="290"/>
      <c r="C2232" s="357"/>
      <c r="D2232" s="291"/>
      <c r="E2232" s="291"/>
      <c r="F2232" s="292"/>
      <c r="G2232" s="291"/>
      <c r="H2232" s="291"/>
      <c r="I2232" s="293"/>
      <c r="J2232" s="291"/>
      <c r="K2232" s="291"/>
      <c r="L2232" s="293"/>
      <c r="M2232" s="291"/>
      <c r="N2232" s="289"/>
      <c r="O2232" s="358"/>
      <c r="P2232" s="402">
        <f t="shared" ref="P2232:Q2232" si="2228">IF(B2232=0,0,IF(YEAR(B2232)=$Q$1,MONTH(B2232)-$P$1+1,(YEAR(B2232)-$Q$1)*12-$P$1+1+MONTH(B2232)))</f>
        <v>0</v>
      </c>
      <c r="Q2232" s="280">
        <f t="shared" si="2228"/>
        <v>0</v>
      </c>
      <c r="R2232" s="356" t="str">
        <f t="shared" si="1"/>
        <v/>
      </c>
      <c r="S2232" s="269" t="str">
        <f>IF(D2232="","",IF(OR(D2232=Plano!$A$1,D2232=Plano!$B$1),"entrada","saída"))</f>
        <v/>
      </c>
      <c r="T2232" s="406"/>
      <c r="U2232" s="406"/>
      <c r="V2232" s="269"/>
    </row>
    <row r="2233" spans="1:22" ht="12.75" customHeight="1" x14ac:dyDescent="0.2">
      <c r="A2233" s="289" t="str">
        <f>IF(B2233="","",COUNT('Diário 5º PA'!$A$5:$A$2634)+ROW()-4)</f>
        <v/>
      </c>
      <c r="B2233" s="290"/>
      <c r="C2233" s="357"/>
      <c r="D2233" s="291"/>
      <c r="E2233" s="291"/>
      <c r="F2233" s="292"/>
      <c r="G2233" s="291"/>
      <c r="H2233" s="291"/>
      <c r="I2233" s="293"/>
      <c r="J2233" s="291"/>
      <c r="K2233" s="291"/>
      <c r="L2233" s="293"/>
      <c r="M2233" s="291"/>
      <c r="N2233" s="289"/>
      <c r="O2233" s="358"/>
      <c r="P2233" s="402">
        <f t="shared" ref="P2233:Q2233" si="2229">IF(B2233=0,0,IF(YEAR(B2233)=$Q$1,MONTH(B2233)-$P$1+1,(YEAR(B2233)-$Q$1)*12-$P$1+1+MONTH(B2233)))</f>
        <v>0</v>
      </c>
      <c r="Q2233" s="280">
        <f t="shared" si="2229"/>
        <v>0</v>
      </c>
      <c r="R2233" s="356" t="str">
        <f t="shared" si="1"/>
        <v/>
      </c>
      <c r="S2233" s="269" t="str">
        <f>IF(D2233="","",IF(OR(D2233=Plano!$A$1,D2233=Plano!$B$1),"entrada","saída"))</f>
        <v/>
      </c>
      <c r="T2233" s="406"/>
      <c r="U2233" s="406"/>
      <c r="V2233" s="269"/>
    </row>
    <row r="2234" spans="1:22" ht="12.75" customHeight="1" x14ac:dyDescent="0.2">
      <c r="A2234" s="289" t="str">
        <f>IF(B2234="","",COUNT('Diário 5º PA'!$A$5:$A$2634)+ROW()-4)</f>
        <v/>
      </c>
      <c r="B2234" s="290"/>
      <c r="C2234" s="357"/>
      <c r="D2234" s="291"/>
      <c r="E2234" s="291"/>
      <c r="F2234" s="292"/>
      <c r="G2234" s="291"/>
      <c r="H2234" s="291"/>
      <c r="I2234" s="293"/>
      <c r="J2234" s="291"/>
      <c r="K2234" s="291"/>
      <c r="L2234" s="293"/>
      <c r="M2234" s="291"/>
      <c r="N2234" s="289"/>
      <c r="O2234" s="358"/>
      <c r="P2234" s="402">
        <f t="shared" ref="P2234:Q2234" si="2230">IF(B2234=0,0,IF(YEAR(B2234)=$Q$1,MONTH(B2234)-$P$1+1,(YEAR(B2234)-$Q$1)*12-$P$1+1+MONTH(B2234)))</f>
        <v>0</v>
      </c>
      <c r="Q2234" s="280">
        <f t="shared" si="2230"/>
        <v>0</v>
      </c>
      <c r="R2234" s="356" t="str">
        <f t="shared" si="1"/>
        <v/>
      </c>
      <c r="S2234" s="269" t="str">
        <f>IF(D2234="","",IF(OR(D2234=Plano!$A$1,D2234=Plano!$B$1),"entrada","saída"))</f>
        <v/>
      </c>
      <c r="T2234" s="406"/>
      <c r="U2234" s="406"/>
      <c r="V2234" s="269"/>
    </row>
    <row r="2235" spans="1:22" ht="12.75" customHeight="1" x14ac:dyDescent="0.2">
      <c r="A2235" s="289" t="str">
        <f>IF(B2235="","",COUNT('Diário 5º PA'!$A$5:$A$2634)+ROW()-4)</f>
        <v/>
      </c>
      <c r="B2235" s="290"/>
      <c r="C2235" s="357"/>
      <c r="D2235" s="291"/>
      <c r="E2235" s="291"/>
      <c r="F2235" s="292"/>
      <c r="G2235" s="291"/>
      <c r="H2235" s="291"/>
      <c r="I2235" s="293"/>
      <c r="J2235" s="291"/>
      <c r="K2235" s="291"/>
      <c r="L2235" s="293"/>
      <c r="M2235" s="291"/>
      <c r="N2235" s="289"/>
      <c r="O2235" s="358"/>
      <c r="P2235" s="402">
        <f t="shared" ref="P2235:Q2235" si="2231">IF(B2235=0,0,IF(YEAR(B2235)=$Q$1,MONTH(B2235)-$P$1+1,(YEAR(B2235)-$Q$1)*12-$P$1+1+MONTH(B2235)))</f>
        <v>0</v>
      </c>
      <c r="Q2235" s="280">
        <f t="shared" si="2231"/>
        <v>0</v>
      </c>
      <c r="R2235" s="356" t="str">
        <f t="shared" si="1"/>
        <v/>
      </c>
      <c r="S2235" s="269" t="str">
        <f>IF(D2235="","",IF(OR(D2235=Plano!$A$1,D2235=Plano!$B$1),"entrada","saída"))</f>
        <v/>
      </c>
      <c r="T2235" s="406"/>
      <c r="U2235" s="406"/>
      <c r="V2235" s="269"/>
    </row>
    <row r="2236" spans="1:22" ht="12.75" customHeight="1" x14ac:dyDescent="0.2">
      <c r="A2236" s="289" t="str">
        <f>IF(B2236="","",COUNT('Diário 5º PA'!$A$5:$A$2634)+ROW()-4)</f>
        <v/>
      </c>
      <c r="B2236" s="290"/>
      <c r="C2236" s="357"/>
      <c r="D2236" s="291"/>
      <c r="E2236" s="291"/>
      <c r="F2236" s="292"/>
      <c r="G2236" s="291"/>
      <c r="H2236" s="291"/>
      <c r="I2236" s="293"/>
      <c r="J2236" s="291"/>
      <c r="K2236" s="291"/>
      <c r="L2236" s="293"/>
      <c r="M2236" s="291"/>
      <c r="N2236" s="289"/>
      <c r="O2236" s="358"/>
      <c r="P2236" s="402">
        <f t="shared" ref="P2236:Q2236" si="2232">IF(B2236=0,0,IF(YEAR(B2236)=$Q$1,MONTH(B2236)-$P$1+1,(YEAR(B2236)-$Q$1)*12-$P$1+1+MONTH(B2236)))</f>
        <v>0</v>
      </c>
      <c r="Q2236" s="280">
        <f t="shared" si="2232"/>
        <v>0</v>
      </c>
      <c r="R2236" s="356" t="str">
        <f t="shared" si="1"/>
        <v/>
      </c>
      <c r="S2236" s="269" t="str">
        <f>IF(D2236="","",IF(OR(D2236=Plano!$A$1,D2236=Plano!$B$1),"entrada","saída"))</f>
        <v/>
      </c>
      <c r="T2236" s="406"/>
      <c r="U2236" s="406"/>
      <c r="V2236" s="269"/>
    </row>
    <row r="2237" spans="1:22" ht="12.75" customHeight="1" x14ac:dyDescent="0.2">
      <c r="A2237" s="289" t="str">
        <f>IF(B2237="","",COUNT('Diário 5º PA'!$A$5:$A$2634)+ROW()-4)</f>
        <v/>
      </c>
      <c r="B2237" s="290"/>
      <c r="C2237" s="357"/>
      <c r="D2237" s="291"/>
      <c r="E2237" s="291"/>
      <c r="F2237" s="292"/>
      <c r="G2237" s="291"/>
      <c r="H2237" s="291"/>
      <c r="I2237" s="293"/>
      <c r="J2237" s="291"/>
      <c r="K2237" s="291"/>
      <c r="L2237" s="293"/>
      <c r="M2237" s="291"/>
      <c r="N2237" s="289"/>
      <c r="O2237" s="358"/>
      <c r="P2237" s="402">
        <f t="shared" ref="P2237:Q2237" si="2233">IF(B2237=0,0,IF(YEAR(B2237)=$Q$1,MONTH(B2237)-$P$1+1,(YEAR(B2237)-$Q$1)*12-$P$1+1+MONTH(B2237)))</f>
        <v>0</v>
      </c>
      <c r="Q2237" s="280">
        <f t="shared" si="2233"/>
        <v>0</v>
      </c>
      <c r="R2237" s="356" t="str">
        <f t="shared" si="1"/>
        <v/>
      </c>
      <c r="S2237" s="269" t="str">
        <f>IF(D2237="","",IF(OR(D2237=Plano!$A$1,D2237=Plano!$B$1),"entrada","saída"))</f>
        <v/>
      </c>
      <c r="T2237" s="406"/>
      <c r="U2237" s="406"/>
      <c r="V2237" s="269"/>
    </row>
    <row r="2238" spans="1:22" ht="12.75" customHeight="1" x14ac:dyDescent="0.2">
      <c r="A2238" s="289" t="str">
        <f>IF(B2238="","",COUNT('Diário 5º PA'!$A$5:$A$2634)+ROW()-4)</f>
        <v/>
      </c>
      <c r="B2238" s="290"/>
      <c r="C2238" s="357"/>
      <c r="D2238" s="291"/>
      <c r="E2238" s="291"/>
      <c r="F2238" s="292"/>
      <c r="G2238" s="291"/>
      <c r="H2238" s="291"/>
      <c r="I2238" s="293"/>
      <c r="J2238" s="291"/>
      <c r="K2238" s="291"/>
      <c r="L2238" s="293"/>
      <c r="M2238" s="291"/>
      <c r="N2238" s="289"/>
      <c r="O2238" s="358"/>
      <c r="P2238" s="402">
        <f t="shared" ref="P2238:Q2238" si="2234">IF(B2238=0,0,IF(YEAR(B2238)=$Q$1,MONTH(B2238)-$P$1+1,(YEAR(B2238)-$Q$1)*12-$P$1+1+MONTH(B2238)))</f>
        <v>0</v>
      </c>
      <c r="Q2238" s="280">
        <f t="shared" si="2234"/>
        <v>0</v>
      </c>
      <c r="R2238" s="356" t="str">
        <f t="shared" si="1"/>
        <v/>
      </c>
      <c r="S2238" s="269" t="str">
        <f>IF(D2238="","",IF(OR(D2238=Plano!$A$1,D2238=Plano!$B$1),"entrada","saída"))</f>
        <v/>
      </c>
      <c r="T2238" s="406"/>
      <c r="U2238" s="406"/>
      <c r="V2238" s="269"/>
    </row>
    <row r="2239" spans="1:22" ht="12.75" customHeight="1" x14ac:dyDescent="0.2">
      <c r="A2239" s="289" t="str">
        <f>IF(B2239="","",COUNT('Diário 5º PA'!$A$5:$A$2634)+ROW()-4)</f>
        <v/>
      </c>
      <c r="B2239" s="290"/>
      <c r="C2239" s="357"/>
      <c r="D2239" s="291"/>
      <c r="E2239" s="291"/>
      <c r="F2239" s="292"/>
      <c r="G2239" s="291"/>
      <c r="H2239" s="291"/>
      <c r="I2239" s="293"/>
      <c r="J2239" s="291"/>
      <c r="K2239" s="291"/>
      <c r="L2239" s="293"/>
      <c r="M2239" s="291"/>
      <c r="N2239" s="290"/>
      <c r="O2239" s="358"/>
      <c r="P2239" s="402">
        <f t="shared" ref="P2239:Q2239" si="2235">IF(B2239=0,0,IF(YEAR(B2239)=$Q$1,MONTH(B2239)-$P$1+1,(YEAR(B2239)-$Q$1)*12-$P$1+1+MONTH(B2239)))</f>
        <v>0</v>
      </c>
      <c r="Q2239" s="280">
        <f t="shared" si="2235"/>
        <v>0</v>
      </c>
      <c r="R2239" s="356" t="str">
        <f t="shared" si="1"/>
        <v/>
      </c>
      <c r="S2239" s="269" t="str">
        <f>IF(D2239="","",IF(OR(D2239=Plano!$A$1,D2239=Plano!$B$1),"entrada","saída"))</f>
        <v/>
      </c>
      <c r="T2239" s="406"/>
      <c r="U2239" s="406"/>
      <c r="V2239" s="269"/>
    </row>
    <row r="2240" spans="1:22" ht="12.75" customHeight="1" x14ac:dyDescent="0.2">
      <c r="A2240" s="289" t="str">
        <f>IF(B2240="","",COUNT('Diário 5º PA'!$A$5:$A$2634)+ROW()-4)</f>
        <v/>
      </c>
      <c r="B2240" s="290"/>
      <c r="C2240" s="357"/>
      <c r="D2240" s="291"/>
      <c r="E2240" s="291"/>
      <c r="F2240" s="292"/>
      <c r="G2240" s="291"/>
      <c r="H2240" s="291"/>
      <c r="I2240" s="293"/>
      <c r="J2240" s="291"/>
      <c r="K2240" s="291"/>
      <c r="L2240" s="293"/>
      <c r="M2240" s="291"/>
      <c r="N2240" s="290"/>
      <c r="O2240" s="358"/>
      <c r="P2240" s="402">
        <f t="shared" ref="P2240:Q2240" si="2236">IF(B2240=0,0,IF(YEAR(B2240)=$Q$1,MONTH(B2240)-$P$1+1,(YEAR(B2240)-$Q$1)*12-$P$1+1+MONTH(B2240)))</f>
        <v>0</v>
      </c>
      <c r="Q2240" s="280">
        <f t="shared" si="2236"/>
        <v>0</v>
      </c>
      <c r="R2240" s="356" t="str">
        <f t="shared" si="1"/>
        <v/>
      </c>
      <c r="S2240" s="269" t="str">
        <f>IF(D2240="","",IF(OR(D2240=Plano!$A$1,D2240=Plano!$B$1),"entrada","saída"))</f>
        <v/>
      </c>
      <c r="T2240" s="406"/>
      <c r="U2240" s="406"/>
      <c r="V2240" s="269"/>
    </row>
    <row r="2241" spans="1:22" ht="12.75" customHeight="1" x14ac:dyDescent="0.2">
      <c r="A2241" s="289" t="str">
        <f>IF(B2241="","",COUNT('Diário 5º PA'!$A$5:$A$2634)+ROW()-4)</f>
        <v/>
      </c>
      <c r="B2241" s="290"/>
      <c r="C2241" s="404"/>
      <c r="D2241" s="291"/>
      <c r="E2241" s="291"/>
      <c r="F2241" s="292"/>
      <c r="G2241" s="291"/>
      <c r="H2241" s="291"/>
      <c r="I2241" s="293"/>
      <c r="J2241" s="291"/>
      <c r="K2241" s="291"/>
      <c r="L2241" s="293"/>
      <c r="M2241" s="291"/>
      <c r="N2241" s="289"/>
      <c r="O2241" s="358"/>
      <c r="P2241" s="402">
        <f t="shared" ref="P2241:Q2241" si="2237">IF(B2241=0,0,IF(YEAR(B2241)=$Q$1,MONTH(B2241)-$P$1+1,(YEAR(B2241)-$Q$1)*12-$P$1+1+MONTH(B2241)))</f>
        <v>0</v>
      </c>
      <c r="Q2241" s="280">
        <f t="shared" si="2237"/>
        <v>0</v>
      </c>
      <c r="R2241" s="356" t="str">
        <f t="shared" si="1"/>
        <v/>
      </c>
      <c r="S2241" s="269" t="str">
        <f>IF(D2241="","",IF(OR(D2241=Plano!$A$1,D2241=Plano!$B$1),"entrada","saída"))</f>
        <v/>
      </c>
      <c r="T2241" s="406"/>
      <c r="U2241" s="406"/>
      <c r="V2241" s="269"/>
    </row>
    <row r="2242" spans="1:22" ht="12.75" customHeight="1" x14ac:dyDescent="0.2">
      <c r="A2242" s="289" t="str">
        <f>IF(B2242="","",COUNT('Diário 5º PA'!$A$5:$A$2634)+ROW()-4)</f>
        <v/>
      </c>
      <c r="B2242" s="290"/>
      <c r="C2242" s="404"/>
      <c r="D2242" s="291"/>
      <c r="E2242" s="291"/>
      <c r="F2242" s="292"/>
      <c r="G2242" s="291"/>
      <c r="H2242" s="291"/>
      <c r="I2242" s="293"/>
      <c r="J2242" s="291"/>
      <c r="K2242" s="291"/>
      <c r="L2242" s="293"/>
      <c r="M2242" s="291"/>
      <c r="N2242" s="289"/>
      <c r="O2242" s="358"/>
      <c r="P2242" s="402">
        <f t="shared" ref="P2242:Q2242" si="2238">IF(B2242=0,0,IF(YEAR(B2242)=$Q$1,MONTH(B2242)-$P$1+1,(YEAR(B2242)-$Q$1)*12-$P$1+1+MONTH(B2242)))</f>
        <v>0</v>
      </c>
      <c r="Q2242" s="280">
        <f t="shared" si="2238"/>
        <v>0</v>
      </c>
      <c r="R2242" s="356" t="str">
        <f t="shared" si="1"/>
        <v/>
      </c>
      <c r="S2242" s="269" t="str">
        <f>IF(D2242="","",IF(OR(D2242=Plano!$A$1,D2242=Plano!$B$1),"entrada","saída"))</f>
        <v/>
      </c>
      <c r="T2242" s="406"/>
      <c r="U2242" s="406"/>
      <c r="V2242" s="269"/>
    </row>
    <row r="2243" spans="1:22" ht="12.75" customHeight="1" x14ac:dyDescent="0.2">
      <c r="A2243" s="289" t="str">
        <f>IF(B2243="","",COUNT('Diário 5º PA'!$A$5:$A$2634)+ROW()-4)</f>
        <v/>
      </c>
      <c r="B2243" s="290"/>
      <c r="C2243" s="404"/>
      <c r="D2243" s="291"/>
      <c r="E2243" s="291"/>
      <c r="F2243" s="292"/>
      <c r="G2243" s="291"/>
      <c r="H2243" s="291"/>
      <c r="I2243" s="293"/>
      <c r="J2243" s="291"/>
      <c r="K2243" s="291"/>
      <c r="L2243" s="293"/>
      <c r="M2243" s="291"/>
      <c r="N2243" s="289"/>
      <c r="O2243" s="358"/>
      <c r="P2243" s="402">
        <f t="shared" ref="P2243:Q2243" si="2239">IF(B2243=0,0,IF(YEAR(B2243)=$Q$1,MONTH(B2243)-$P$1+1,(YEAR(B2243)-$Q$1)*12-$P$1+1+MONTH(B2243)))</f>
        <v>0</v>
      </c>
      <c r="Q2243" s="280">
        <f t="shared" si="2239"/>
        <v>0</v>
      </c>
      <c r="R2243" s="356" t="str">
        <f t="shared" si="1"/>
        <v/>
      </c>
      <c r="S2243" s="269" t="str">
        <f>IF(D2243="","",IF(OR(D2243=Plano!$A$1,D2243=Plano!$B$1),"entrada","saída"))</f>
        <v/>
      </c>
      <c r="T2243" s="406"/>
      <c r="U2243" s="406"/>
      <c r="V2243" s="269"/>
    </row>
    <row r="2244" spans="1:22" ht="12.75" customHeight="1" x14ac:dyDescent="0.2">
      <c r="A2244" s="289" t="str">
        <f>IF(B2244="","",COUNT('Diário 5º PA'!$A$5:$A$2634)+ROW()-4)</f>
        <v/>
      </c>
      <c r="B2244" s="290"/>
      <c r="C2244" s="404"/>
      <c r="D2244" s="291"/>
      <c r="E2244" s="291"/>
      <c r="F2244" s="292"/>
      <c r="G2244" s="291"/>
      <c r="H2244" s="291"/>
      <c r="I2244" s="293"/>
      <c r="J2244" s="291"/>
      <c r="K2244" s="291"/>
      <c r="L2244" s="293"/>
      <c r="M2244" s="291"/>
      <c r="N2244" s="289"/>
      <c r="O2244" s="358"/>
      <c r="P2244" s="402">
        <f t="shared" ref="P2244:Q2244" si="2240">IF(B2244=0,0,IF(YEAR(B2244)=$Q$1,MONTH(B2244)-$P$1+1,(YEAR(B2244)-$Q$1)*12-$P$1+1+MONTH(B2244)))</f>
        <v>0</v>
      </c>
      <c r="Q2244" s="280">
        <f t="shared" si="2240"/>
        <v>0</v>
      </c>
      <c r="R2244" s="356" t="str">
        <f t="shared" si="1"/>
        <v/>
      </c>
      <c r="S2244" s="269" t="str">
        <f>IF(D2244="","",IF(OR(D2244=Plano!$A$1,D2244=Plano!$B$1),"entrada","saída"))</f>
        <v/>
      </c>
      <c r="T2244" s="406"/>
      <c r="U2244" s="406"/>
      <c r="V2244" s="269"/>
    </row>
    <row r="2245" spans="1:22" ht="12.75" customHeight="1" x14ac:dyDescent="0.2">
      <c r="A2245" s="289" t="str">
        <f>IF(B2245="","",COUNT('Diário 5º PA'!$A$5:$A$2634)+ROW()-4)</f>
        <v/>
      </c>
      <c r="B2245" s="290"/>
      <c r="C2245" s="404"/>
      <c r="D2245" s="291"/>
      <c r="E2245" s="291"/>
      <c r="F2245" s="292"/>
      <c r="G2245" s="291"/>
      <c r="H2245" s="291"/>
      <c r="I2245" s="293"/>
      <c r="J2245" s="291"/>
      <c r="K2245" s="291"/>
      <c r="L2245" s="293"/>
      <c r="M2245" s="291"/>
      <c r="N2245" s="290"/>
      <c r="O2245" s="358"/>
      <c r="P2245" s="402">
        <f t="shared" ref="P2245:Q2245" si="2241">IF(B2245=0,0,IF(YEAR(B2245)=$Q$1,MONTH(B2245)-$P$1+1,(YEAR(B2245)-$Q$1)*12-$P$1+1+MONTH(B2245)))</f>
        <v>0</v>
      </c>
      <c r="Q2245" s="280">
        <f t="shared" si="2241"/>
        <v>0</v>
      </c>
      <c r="R2245" s="356" t="str">
        <f t="shared" si="1"/>
        <v/>
      </c>
      <c r="S2245" s="269" t="str">
        <f>IF(D2245="","",IF(OR(D2245=Plano!$A$1,D2245=Plano!$B$1),"entrada","saída"))</f>
        <v/>
      </c>
      <c r="T2245" s="406"/>
      <c r="U2245" s="406"/>
      <c r="V2245" s="269"/>
    </row>
    <row r="2246" spans="1:22" ht="11.25" customHeight="1" x14ac:dyDescent="0.2">
      <c r="A2246" s="288" t="str">
        <f>IF(B2246="","",COUNT('Diário 5º PA'!$A$5:$A$2634)+ROW()-4)</f>
        <v/>
      </c>
      <c r="B2246" s="359"/>
      <c r="C2246" s="360"/>
      <c r="D2246" s="361"/>
      <c r="E2246" s="361"/>
      <c r="F2246" s="362"/>
      <c r="G2246" s="361"/>
      <c r="H2246" s="361"/>
      <c r="I2246" s="363"/>
      <c r="J2246" s="361"/>
      <c r="K2246" s="361"/>
      <c r="L2246" s="363"/>
      <c r="M2246" s="361"/>
      <c r="N2246" s="359"/>
      <c r="O2246" s="358"/>
      <c r="P2246" s="402">
        <f t="shared" ref="P2246:Q2246" si="2242">IF(B2246=0,0,IF(YEAR(B2246)=$Q$1,MONTH(B2246)-$P$1+1,(YEAR(B2246)-$Q$1)*12-$P$1+1+MONTH(B2246)))</f>
        <v>0</v>
      </c>
      <c r="Q2246" s="280">
        <f t="shared" si="2242"/>
        <v>0</v>
      </c>
      <c r="R2246" s="356" t="str">
        <f t="shared" si="1"/>
        <v/>
      </c>
      <c r="S2246" s="269" t="str">
        <f>IF(D2246="","",IF(OR(D2246=Plano!$A$1,D2246=Plano!$B$1),"entrada","saída"))</f>
        <v/>
      </c>
      <c r="T2246" s="406"/>
      <c r="U2246" s="412"/>
    </row>
  </sheetData>
  <autoFilter ref="A4:V2246"/>
  <mergeCells count="3">
    <mergeCell ref="A1:N1"/>
    <mergeCell ref="A2:N2"/>
    <mergeCell ref="A3:N3"/>
  </mergeCells>
  <dataValidations count="10">
    <dataValidation type="date" allowBlank="1" showErrorMessage="1" sqref="B5:C11 N10:N11 B12 B13:C16 N16 B17 B18:C20 B21:B44 N18:N44 B45:C46 N46 B47:B78 B79:C79 N79:N92 B80:B114 B115:C120 N104:N120 B121 N122:N132 N134:N135 B122:C138 N138 B139:B140 B141:C146 N141:N162 N167:N170 N179:N184 B147:B202 B203:C204 N202:N204 B205 B206:C207 N212:N217 N222:N226 B208:B244 N237:N244 B245:C247 N252:N261 B248:B266 B267:C271 N263:N271 B272:B279 B280:C283 N278:N283 B284:B285 B286:C286 N289:N293 N299:N300 N302:N329 B287:B339 N334:N340 B340:C342 B343:B345 N346:N348 N352 B346:C356 N358:N370 B357:B374 B375:C379 N372:N380 B380:B391 B392:C392 N392 B393 B394:C394 N394 B395:B396 B397:C397 N397 B398:B423 B424:C424 N401:N424 N428 B425:B466 B467:C467 N467 B468 B469:C471 N474:N518 B472:B554 B555:C559 B560:B570 N529:N570 B571:C572 N572 B573:B597 N574:N599 B598:C603 N604 N609:N612 N617:N624 N629:N630 B604:B637 B638:C638 B639 N634:N639 B640:C642 B643 B644:C644 B645:B649 B650:C656 N644:N656 B657:B666 B667:C667 B668:B675 B676:C676 N668:N676 B677 B678:C678 N681:N682 B679:B683 B684:C684 B685:B688 B689:C689 N688:N689 B690:B753 N728:N757 B754:C766 B767 B768:C771 N769:N771 B772:B774 B775:C777 N775:N777 B778:B781 N782:N785 B782:C786 B787:B791 B792:C795 B796 B797:C797 N789:N797 N805 B798:B822 B823:C832 B833:B837 B838:C840 B841 B842:C844 N823:N844 N848:N857 B845:B858 B859:C859 B860:B861 B862:C862 N861:N862 B863:B875 B876:C876 B877:B892 B893:C894 B895:B898 B899:C899 B900:B908 B909:C909 B910:B1002 B1003:C1003 N878:N1003 B1004:B1006 B1007:C1007 N1011:N1015 B1008:B1019 B1020:C1022 N1019:N1023 B1023:B1025 B1026:C1027 B1028:B1030 N1031:N1035 B1031:C1041 B1042 B1043:C1044 N1038:N1044 B1045:B1047 B1048:C1053 B1054:B1057 B1058:C1065 N1057:N1065 B1066:B1069 B1070:C1070 N1069:N1070 N1072:N1073 B1071:B1075 B1076:C1077 N1076:N1078 B1078:B1081 B1082:C1084 N1083:N1084 B1085:B1090 B1091:C1091 B1092 B1093:C1093 B1094:B1103 B1104:C1104 B1105:B1109 B1110:C1110 B1111:B1120 B1121:C1121 B1122:B1146 B1147:C1147 B1148 B1149:C1149 N1121:N1149 B1150:B1151 B1152:C1152 B1153:B1157 B1158:C1161 N1158:N1161 B1162 B1163:C1163 B1164 B1165:C1167 N1165:N1167 B1168 N1170 B1169:C1171 B1172 B1173:C1177 N1173:N1177 B1178 N1184:N1186 B1179:C1190 N1190 B1191:B1193 B1194:C1196 N1195:N1196 B1197:B1213 B1214:C1215 B1216:B1218 B1219:C1221 B1222 B1223:C1225 B1226:B1229 N1219:N1237 B1230:C2246">
      <formula1>40544</formula1>
      <formula2>44561</formula2>
    </dataValidation>
    <dataValidation type="list" allowBlank="1" showErrorMessage="1" sqref="O5:O2246">
      <formula1>Contas</formula1>
    </dataValidation>
    <dataValidation type="list" allowBlank="1" showErrorMessage="1" sqref="E65 E91 E455">
      <formula1>INDIRECT($Q64)</formula1>
    </dataValidation>
    <dataValidation type="list" allowBlank="1" showErrorMessage="1" sqref="E5:E11 E13:E16 E18:E20 E43:E46 E59 E61 E79 E83:E85 E104:E111 E115:E120 E122:E138 E141:E162 E167:E168 E179:E184 E191:E193 E203:E204 E206:E207 E212:E217 E222:E224 E227:E231 E237:E241 E245:E247 E252:E256 E263:E265 E267:E274 E276 E280:E287 E289 E291:E292 E298 E308:E309 E311 E334:E336 E341:E342 E344 E346:E356 E358 E371:E379 E381:E383 E392 E394 E396:E399 E401:E406 E415:E416 E418:E419 E424 E465:E467 E469:E471 E474:E480 E495:E497 E529:E538 E555:E559 E561:E590 E595:E596 E598:E603 E605 E609:E611 E618:E620 E624 E626 E629:E630 E634 E638 E641 E644:E656 E659:E664 E668:E671 E676:E678 E681:E682 E684 E688:E689 E693 E726:E728 E754:E766 E769:E771 E775:E777 E782:E786 E788:E795 E797 E800:E802 E805 E823:E832 E838:E840 E842:E844 E848:E859 E861:E862 E876 E925:E959 E1003 E1005 E1007 E1011:E1013 E1015 E1020:E1023 E1025:E1027 E1031:E1044 E1048:E1053 E1058:E1069 E1076:E1077 E1079 E1082:E1084 E1113 E1121 E1147:E1149 E1152:E1154 E1158:E1161 E1165:E1167 E1169:E1171 E1173:E1177 E1179:E1185 E1187:E1189 E1194:E1196 E1214:E1215 E1219:E2246">
      <formula1>INDIRECT($R5)</formula1>
    </dataValidation>
    <dataValidation type="list" allowBlank="1" showErrorMessage="1" sqref="H5:H840 H842:H873 H875:H924 H927:H1019 H1049:H1055 H1057:H1084 H1113 H1119:H1120 H1147:H1149 H1152:H1154 H1169 H1171 H1175:H1177 H1179:H1183 H1185 H1187:H1190 H1214:H1215 H1218 H1220:H1226 H1235:H1237">
      <formula1>$B$6:$B$28</formula1>
    </dataValidation>
    <dataValidation type="list" allowBlank="1" showErrorMessage="1" sqref="H841 H925:H926 H1020 H1048 H1238:H2246">
      <formula1>VinculoPT</formula1>
    </dataValidation>
    <dataValidation type="list" allowBlank="1" showErrorMessage="1" sqref="E34 E165:E166">
      <formula1>INDIRECT(#REF!)</formula1>
    </dataValidation>
    <dataValidation type="list" allowBlank="1" showErrorMessage="1" sqref="E12 E17 E21:E33 E35:E42 E47:E58 E60 E62:E64 E66:E78 E80:E82 E86:E90 E92:E103 E112:E114 E121 E139:E140 E163:E164 E169:E178 E185:E190 E194:E202 E205 E208:E211 E218:E221 E225:E226 E232:E236 E242:E244 E248:E251 E257:E262 E266 E275 E277:E279 E288 E290 E293:E297 E299:E307 E310 E312:E333 E337:E340 E343 E345 E357 E359:E370 E380 E384:E391 E393 E395 E400 E407:E414 E417 E420:E423 E425:E454 E456:E464 E468 E472:E473 E481:E494 E498:E515 E517:E528 E539:E554 E560 E591:E594 E597 E604 E606:E608 E612:E617 E621:E623 E625 E627:E628 E631:E633 E635:E637 E639:E640 E642:E643 E657:E658 E665:E667 E672:E675 E679:E680 E683 E685:E687 E690:E692 E694:E725 E729:E746 E748:E750 E752:E753 E767:E768 E772:E774 E778:E781 E787 E796 E798:E799 E803:E804 E806:E822 E833:E837 E841 E845:E847 E860 E863:E875 E877:E924 E960:E1002 E1004 E1006 E1008:E1010 E1014 E1016:E1019 E1024 E1028:E1030 E1045:E1047 E1054:E1057 E1070:E1075 E1078 E1080:E1081 E1085:E1112 E1114:E1120 E1122:E1146 E1150:E1151 E1155:E1157 E1162:E1164 E1168 E1172 E1178 E1186 E1190:E1193 E1197:E1213 E1216:E1218">
      <formula1>INDIRECT($Q12)</formula1>
    </dataValidation>
    <dataValidation type="list" allowBlank="1" showErrorMessage="1" sqref="D5:D515 D516:E516 D517:D746 D747:E747 D748:D750 D751:E751 D752:D2246">
      <formula1>Categorias</formula1>
    </dataValidation>
    <dataValidation type="list" allowBlank="1" showErrorMessage="1" sqref="H1198:H1209 H1212 H1216:H1217 H1227:H1229">
      <formula1>$B$6:$B$32</formula1>
    </dataValidation>
  </dataValidations>
  <pageMargins left="0.59055118110236227" right="0.59055118110236227" top="0.59055118110236227" bottom="0.59055118110236227" header="0" footer="0"/>
  <pageSetup paperSize="9" fitToHeight="0"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14:formula1>
            <xm:f>'Gasto das Atividades'!$B$6:$B$28</xm:f>
          </x14:formula1>
          <xm:sqref>H874 H1021:H1047 H1056 H1085:H1112 H1114:H1118 H1121:H1146 H1150:H1151 H1155:H1168 H1170 H1172:H1174 H1178 H1184 H1186 H1191:H1197 H1210:H1211 H1213 H1219 H1230:H1234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AM2271"/>
  <sheetViews>
    <sheetView workbookViewId="0">
      <pane xSplit="6" ySplit="4" topLeftCell="G5" activePane="bottomRight" state="frozen"/>
      <selection pane="topRight" activeCell="G1" sqref="G1"/>
      <selection pane="bottomLeft" activeCell="A5" sqref="A5"/>
      <selection pane="bottomRight" activeCell="F6" sqref="F6"/>
    </sheetView>
  </sheetViews>
  <sheetFormatPr defaultColWidth="14.42578125" defaultRowHeight="15" customHeight="1" x14ac:dyDescent="0.2"/>
  <cols>
    <col min="1" max="1" width="5.7109375" customWidth="1"/>
    <col min="2" max="3" width="10.5703125" customWidth="1"/>
    <col min="4" max="4" width="15.42578125" customWidth="1"/>
    <col min="5" max="5" width="23.5703125" customWidth="1"/>
    <col min="6" max="6" width="12.85546875" customWidth="1"/>
    <col min="7" max="7" width="39.140625" customWidth="1"/>
    <col min="8" max="8" width="25.28515625" customWidth="1"/>
    <col min="9" max="9" width="23.85546875" customWidth="1"/>
    <col min="10" max="10" width="19.42578125" customWidth="1"/>
    <col min="11" max="11" width="19.140625" customWidth="1"/>
    <col min="12" max="12" width="14.7109375" customWidth="1"/>
    <col min="13" max="13" width="17.85546875" customWidth="1"/>
    <col min="14" max="14" width="11" customWidth="1"/>
    <col min="15" max="15" width="26.42578125" customWidth="1"/>
    <col min="16" max="16" width="5.7109375" customWidth="1"/>
    <col min="17" max="17" width="7.42578125" customWidth="1"/>
    <col min="18" max="18" width="23.7109375" customWidth="1"/>
    <col min="19" max="20" width="9.140625" customWidth="1"/>
    <col min="21" max="21" width="9.7109375" customWidth="1"/>
    <col min="22" max="22" width="9.140625" hidden="1" customWidth="1"/>
    <col min="23" max="39" width="9.140625" customWidth="1"/>
  </cols>
  <sheetData>
    <row r="1" spans="1:39" ht="31.5" customHeight="1" x14ac:dyDescent="0.2">
      <c r="A1" s="709"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6"/>
      <c r="O1" s="324"/>
      <c r="P1" s="268">
        <f>MONTH(Resumo!$C$5)</f>
        <v>1</v>
      </c>
      <c r="Q1" s="268">
        <f>YEAR(Resumo!$C$5)</f>
        <v>2021</v>
      </c>
      <c r="R1" s="269"/>
      <c r="S1" s="269"/>
      <c r="T1" s="269"/>
      <c r="U1" s="269"/>
      <c r="V1" s="269"/>
      <c r="W1" s="269"/>
      <c r="X1" s="269"/>
      <c r="Y1" s="269"/>
      <c r="Z1" s="269"/>
      <c r="AA1" s="269"/>
      <c r="AB1" s="269"/>
      <c r="AC1" s="269"/>
      <c r="AD1" s="269"/>
      <c r="AE1" s="269"/>
      <c r="AF1" s="269"/>
      <c r="AG1" s="269"/>
      <c r="AH1" s="269"/>
      <c r="AI1" s="269"/>
      <c r="AJ1" s="269"/>
      <c r="AK1" s="269"/>
      <c r="AL1" s="269"/>
      <c r="AM1" s="269"/>
    </row>
    <row r="2" spans="1:39" ht="19.5" customHeight="1" x14ac:dyDescent="0.2">
      <c r="A2" s="709" t="str">
        <f>Capa!A3</f>
        <v>8º Relatório Gerencial Financeiro</v>
      </c>
      <c r="B2" s="695"/>
      <c r="C2" s="695"/>
      <c r="D2" s="695"/>
      <c r="E2" s="695"/>
      <c r="F2" s="695"/>
      <c r="G2" s="695"/>
      <c r="H2" s="695"/>
      <c r="I2" s="695"/>
      <c r="J2" s="695"/>
      <c r="K2" s="695"/>
      <c r="L2" s="695"/>
      <c r="M2" s="695"/>
      <c r="N2" s="696"/>
      <c r="O2" s="324"/>
      <c r="P2" s="270"/>
      <c r="Q2" s="270"/>
      <c r="R2" s="269"/>
      <c r="S2" s="269"/>
      <c r="T2" s="269"/>
      <c r="U2" s="269"/>
      <c r="V2" s="269"/>
      <c r="W2" s="269"/>
      <c r="X2" s="269"/>
      <c r="Y2" s="269"/>
      <c r="Z2" s="269"/>
      <c r="AA2" s="269"/>
      <c r="AB2" s="269"/>
      <c r="AC2" s="269"/>
      <c r="AD2" s="269"/>
      <c r="AE2" s="269"/>
      <c r="AF2" s="269"/>
      <c r="AG2" s="269"/>
      <c r="AH2" s="269"/>
      <c r="AI2" s="269"/>
      <c r="AJ2" s="269"/>
      <c r="AK2" s="269"/>
      <c r="AL2" s="269"/>
      <c r="AM2" s="269"/>
    </row>
    <row r="3" spans="1:39" ht="19.5" customHeight="1" x14ac:dyDescent="0.2">
      <c r="A3" s="747" t="s">
        <v>976</v>
      </c>
      <c r="B3" s="711"/>
      <c r="C3" s="711"/>
      <c r="D3" s="711"/>
      <c r="E3" s="711"/>
      <c r="F3" s="711"/>
      <c r="G3" s="711"/>
      <c r="H3" s="711"/>
      <c r="I3" s="711"/>
      <c r="J3" s="711"/>
      <c r="K3" s="711"/>
      <c r="L3" s="711"/>
      <c r="M3" s="711"/>
      <c r="N3" s="712"/>
      <c r="O3" s="325"/>
      <c r="P3" s="271"/>
      <c r="Q3" s="271"/>
      <c r="R3" s="269"/>
      <c r="S3" s="269"/>
      <c r="T3" s="269"/>
      <c r="U3" s="269"/>
      <c r="V3" s="269"/>
      <c r="W3" s="269"/>
      <c r="X3" s="269"/>
      <c r="Y3" s="269"/>
      <c r="Z3" s="269"/>
      <c r="AA3" s="269"/>
      <c r="AB3" s="269"/>
      <c r="AC3" s="269"/>
      <c r="AD3" s="269"/>
      <c r="AE3" s="269"/>
      <c r="AF3" s="269"/>
      <c r="AG3" s="269"/>
      <c r="AH3" s="269"/>
      <c r="AI3" s="269"/>
      <c r="AJ3" s="269"/>
      <c r="AK3" s="269"/>
      <c r="AL3" s="269"/>
      <c r="AM3" s="269"/>
    </row>
    <row r="4" spans="1:39" ht="50.25" customHeight="1" x14ac:dyDescent="0.2">
      <c r="A4" s="272" t="s">
        <v>938</v>
      </c>
      <c r="B4" s="272" t="s">
        <v>939</v>
      </c>
      <c r="C4" s="326" t="s">
        <v>430</v>
      </c>
      <c r="D4" s="272" t="s">
        <v>419</v>
      </c>
      <c r="E4" s="273" t="s">
        <v>420</v>
      </c>
      <c r="F4" s="273" t="s">
        <v>940</v>
      </c>
      <c r="G4" s="273" t="s">
        <v>421</v>
      </c>
      <c r="H4" s="273" t="s">
        <v>422</v>
      </c>
      <c r="I4" s="274" t="s">
        <v>423</v>
      </c>
      <c r="J4" s="273" t="s">
        <v>941</v>
      </c>
      <c r="K4" s="273" t="s">
        <v>425</v>
      </c>
      <c r="L4" s="274" t="s">
        <v>942</v>
      </c>
      <c r="M4" s="273" t="s">
        <v>427</v>
      </c>
      <c r="N4" s="273" t="s">
        <v>428</v>
      </c>
      <c r="O4" s="273" t="s">
        <v>977</v>
      </c>
      <c r="P4" s="327" t="s">
        <v>943</v>
      </c>
      <c r="Q4" s="327" t="s">
        <v>978</v>
      </c>
      <c r="R4" s="327" t="s">
        <v>419</v>
      </c>
      <c r="S4" s="276"/>
      <c r="T4" s="328" t="s">
        <v>979</v>
      </c>
      <c r="U4" s="328" t="s">
        <v>980</v>
      </c>
      <c r="V4" s="328" t="s">
        <v>981</v>
      </c>
      <c r="W4" s="276"/>
      <c r="X4" s="276"/>
      <c r="Y4" s="276"/>
      <c r="Z4" s="276"/>
      <c r="AA4" s="276"/>
      <c r="AB4" s="276"/>
      <c r="AC4" s="276"/>
      <c r="AD4" s="276"/>
      <c r="AE4" s="276"/>
      <c r="AF4" s="276"/>
      <c r="AG4" s="276"/>
      <c r="AH4" s="276"/>
      <c r="AI4" s="276"/>
      <c r="AJ4" s="276"/>
      <c r="AK4" s="276"/>
      <c r="AL4" s="276"/>
      <c r="AM4" s="276"/>
    </row>
    <row r="5" spans="1:39" ht="65.25" customHeight="1" x14ac:dyDescent="0.2">
      <c r="A5" s="277">
        <f>IF(B5="","",COUNT('Diário 5º PA'!$A$5:$A$2634)+COUNT('Diário 6º PA'!$A$5:$A$2246)+ROW()-4)</f>
        <v>2544</v>
      </c>
      <c r="B5" s="278">
        <v>44378</v>
      </c>
      <c r="C5" s="256">
        <v>44348</v>
      </c>
      <c r="D5" s="255" t="s">
        <v>88</v>
      </c>
      <c r="E5" s="255" t="s">
        <v>198</v>
      </c>
      <c r="F5" s="258">
        <v>-21.47</v>
      </c>
      <c r="G5" s="450" t="s">
        <v>982</v>
      </c>
      <c r="H5" s="252" t="s">
        <v>114</v>
      </c>
      <c r="I5" s="250" t="s">
        <v>983</v>
      </c>
      <c r="J5" s="255" t="s">
        <v>850</v>
      </c>
      <c r="K5" s="255" t="s">
        <v>946</v>
      </c>
      <c r="L5" s="250" t="s">
        <v>947</v>
      </c>
      <c r="M5" s="277" t="s">
        <v>114</v>
      </c>
      <c r="N5" s="278">
        <v>44378</v>
      </c>
      <c r="O5" s="329" t="s">
        <v>67</v>
      </c>
      <c r="P5" s="330">
        <f t="shared" ref="P5:Q5" si="0">IF(B5=0,0,IF(YEAR(B5)=$Q$1,MONTH(B5)-$P$1+1,(YEAR(B5)-$Q$1)*12-$P$1+1+MONTH(B5)))</f>
        <v>7</v>
      </c>
      <c r="Q5" s="330">
        <f t="shared" si="0"/>
        <v>6</v>
      </c>
      <c r="R5" s="331" t="str">
        <f t="shared" ref="R5:R69" si="1">SUBSTITUTE(D5," ","_")</f>
        <v>Gastos_com_Pessoal</v>
      </c>
      <c r="S5" s="331" t="str">
        <f>IF(D5="","",IF(OR(D5=Plano!$A$1,D5=Plano!$B$1),"entrada","saída"))</f>
        <v>saída</v>
      </c>
      <c r="T5" s="332" t="s">
        <v>114</v>
      </c>
      <c r="U5" s="332" t="s">
        <v>114</v>
      </c>
      <c r="V5" s="333"/>
      <c r="W5" s="269"/>
      <c r="X5" s="269"/>
      <c r="Y5" s="269"/>
      <c r="Z5" s="269"/>
      <c r="AA5" s="269"/>
      <c r="AB5" s="269"/>
      <c r="AC5" s="269"/>
      <c r="AD5" s="269"/>
      <c r="AE5" s="269"/>
      <c r="AF5" s="269"/>
      <c r="AG5" s="269"/>
      <c r="AH5" s="269"/>
      <c r="AI5" s="269"/>
      <c r="AJ5" s="269"/>
      <c r="AK5" s="269"/>
      <c r="AL5" s="269"/>
      <c r="AM5" s="269"/>
    </row>
    <row r="6" spans="1:39" ht="65.25" customHeight="1" x14ac:dyDescent="0.2">
      <c r="A6" s="277">
        <f>IF(B6="","",COUNT('Diário 5º PA'!$A$5:$A$2634)+COUNT('Diário 6º PA'!$A$5:$A$2246)+ROW()-4)</f>
        <v>2545</v>
      </c>
      <c r="B6" s="278">
        <v>44378</v>
      </c>
      <c r="C6" s="256">
        <v>44348</v>
      </c>
      <c r="D6" s="255" t="s">
        <v>88</v>
      </c>
      <c r="E6" s="255" t="s">
        <v>183</v>
      </c>
      <c r="F6" s="258">
        <v>-27.74</v>
      </c>
      <c r="G6" s="450" t="s">
        <v>984</v>
      </c>
      <c r="H6" s="252" t="s">
        <v>114</v>
      </c>
      <c r="I6" s="250" t="s">
        <v>983</v>
      </c>
      <c r="J6" s="255" t="s">
        <v>850</v>
      </c>
      <c r="K6" s="255" t="s">
        <v>946</v>
      </c>
      <c r="L6" s="250" t="s">
        <v>947</v>
      </c>
      <c r="M6" s="277" t="s">
        <v>114</v>
      </c>
      <c r="N6" s="278">
        <v>44378</v>
      </c>
      <c r="O6" s="329" t="s">
        <v>67</v>
      </c>
      <c r="P6" s="330">
        <f t="shared" ref="P6:P69" si="2">IF(B6=0,0,IF(YEAR(B6)=$Q$1,MONTH(B6)-$P$1+1,(YEAR(B6)-$Q$1)*12-$P$1+1+MONTH(B6)))</f>
        <v>7</v>
      </c>
      <c r="Q6" s="330">
        <f t="shared" ref="Q6:Q69" si="3">IF(C6=0,0,IF(YEAR(C6)=$Q$1,MONTH(C6)-$P$1+1,(YEAR(C6)-$Q$1)*12-$P$1+1+MONTH(C6)))</f>
        <v>6</v>
      </c>
      <c r="R6" s="331" t="str">
        <f t="shared" si="1"/>
        <v>Gastos_com_Pessoal</v>
      </c>
      <c r="S6" s="331" t="str">
        <f>IF(D6="","",IF(OR(D6=Plano!$A$1,D6=Plano!$B$1),"entrada","saída"))</f>
        <v>saída</v>
      </c>
      <c r="T6" s="332" t="s">
        <v>114</v>
      </c>
      <c r="U6" s="332" t="s">
        <v>114</v>
      </c>
      <c r="V6" s="333"/>
      <c r="W6" s="269"/>
      <c r="X6" s="269"/>
      <c r="Y6" s="269"/>
      <c r="Z6" s="269"/>
      <c r="AA6" s="269"/>
      <c r="AB6" s="269"/>
      <c r="AC6" s="269"/>
      <c r="AD6" s="269"/>
      <c r="AE6" s="269"/>
      <c r="AF6" s="269"/>
      <c r="AG6" s="269"/>
      <c r="AH6" s="269"/>
      <c r="AI6" s="269"/>
      <c r="AJ6" s="269"/>
      <c r="AK6" s="269"/>
      <c r="AL6" s="269"/>
      <c r="AM6" s="269"/>
    </row>
    <row r="7" spans="1:39" ht="63.75" customHeight="1" x14ac:dyDescent="0.2">
      <c r="A7" s="277">
        <f>IF(B7="","",COUNT('Diário 5º PA'!$A$5:$A$2634)+COUNT('Diário 6º PA'!$A$5:$A$2246)+ROW()-4)</f>
        <v>2546</v>
      </c>
      <c r="B7" s="278">
        <v>44378</v>
      </c>
      <c r="C7" s="256">
        <v>44348</v>
      </c>
      <c r="D7" s="255" t="s">
        <v>88</v>
      </c>
      <c r="E7" s="255" t="s">
        <v>198</v>
      </c>
      <c r="F7" s="258">
        <v>-21.47</v>
      </c>
      <c r="G7" s="450" t="s">
        <v>985</v>
      </c>
      <c r="H7" s="252" t="s">
        <v>114</v>
      </c>
      <c r="I7" s="250" t="s">
        <v>983</v>
      </c>
      <c r="J7" s="255" t="s">
        <v>850</v>
      </c>
      <c r="K7" s="255" t="s">
        <v>946</v>
      </c>
      <c r="L7" s="250" t="s">
        <v>947</v>
      </c>
      <c r="M7" s="277" t="s">
        <v>114</v>
      </c>
      <c r="N7" s="278">
        <v>44378</v>
      </c>
      <c r="O7" s="329" t="s">
        <v>67</v>
      </c>
      <c r="P7" s="330">
        <f t="shared" si="2"/>
        <v>7</v>
      </c>
      <c r="Q7" s="330">
        <f t="shared" si="3"/>
        <v>6</v>
      </c>
      <c r="R7" s="331" t="str">
        <f t="shared" si="1"/>
        <v>Gastos_com_Pessoal</v>
      </c>
      <c r="S7" s="331" t="str">
        <f>IF(D7="","",IF(OR(D7=Plano!$A$1,D7=Plano!$B$1),"entrada","saída"))</f>
        <v>saída</v>
      </c>
      <c r="T7" s="332" t="s">
        <v>114</v>
      </c>
      <c r="U7" s="332" t="s">
        <v>114</v>
      </c>
      <c r="V7" s="333"/>
      <c r="W7" s="269"/>
      <c r="X7" s="269"/>
      <c r="Y7" s="269"/>
      <c r="Z7" s="269"/>
      <c r="AA7" s="269"/>
      <c r="AB7" s="269"/>
      <c r="AC7" s="269"/>
      <c r="AD7" s="269"/>
      <c r="AE7" s="269"/>
      <c r="AF7" s="269"/>
      <c r="AG7" s="269"/>
      <c r="AH7" s="269"/>
      <c r="AI7" s="269"/>
      <c r="AJ7" s="269"/>
      <c r="AK7" s="269"/>
      <c r="AL7" s="269"/>
      <c r="AM7" s="269"/>
    </row>
    <row r="8" spans="1:39" ht="67.5" customHeight="1" x14ac:dyDescent="0.2">
      <c r="A8" s="277">
        <f>IF(B8="","",COUNT('Diário 5º PA'!$A$5:$A$2634)+COUNT('Diário 6º PA'!$A$5:$A$2246)+ROW()-4)</f>
        <v>2547</v>
      </c>
      <c r="B8" s="278">
        <v>44378</v>
      </c>
      <c r="C8" s="256">
        <v>44348</v>
      </c>
      <c r="D8" s="255" t="s">
        <v>88</v>
      </c>
      <c r="E8" s="255" t="s">
        <v>183</v>
      </c>
      <c r="F8" s="258">
        <v>-83.22</v>
      </c>
      <c r="G8" s="450" t="s">
        <v>986</v>
      </c>
      <c r="H8" s="252" t="s">
        <v>114</v>
      </c>
      <c r="I8" s="250" t="s">
        <v>983</v>
      </c>
      <c r="J8" s="255" t="s">
        <v>850</v>
      </c>
      <c r="K8" s="255" t="s">
        <v>946</v>
      </c>
      <c r="L8" s="250" t="s">
        <v>947</v>
      </c>
      <c r="M8" s="277" t="s">
        <v>114</v>
      </c>
      <c r="N8" s="278">
        <v>44378</v>
      </c>
      <c r="O8" s="329" t="s">
        <v>67</v>
      </c>
      <c r="P8" s="330">
        <f t="shared" si="2"/>
        <v>7</v>
      </c>
      <c r="Q8" s="330">
        <f t="shared" si="3"/>
        <v>6</v>
      </c>
      <c r="R8" s="331" t="str">
        <f t="shared" si="1"/>
        <v>Gastos_com_Pessoal</v>
      </c>
      <c r="S8" s="331" t="str">
        <f>IF(D8="","",IF(OR(D8=Plano!$A$1,D8=Plano!$B$1),"entrada","saída"))</f>
        <v>saída</v>
      </c>
      <c r="T8" s="332" t="s">
        <v>114</v>
      </c>
      <c r="U8" s="332" t="s">
        <v>114</v>
      </c>
      <c r="V8" s="333"/>
      <c r="W8" s="269"/>
      <c r="X8" s="269"/>
      <c r="Y8" s="269"/>
      <c r="Z8" s="269"/>
      <c r="AA8" s="269"/>
      <c r="AB8" s="269"/>
      <c r="AC8" s="269"/>
      <c r="AD8" s="269"/>
      <c r="AE8" s="269"/>
      <c r="AF8" s="269"/>
      <c r="AG8" s="269"/>
      <c r="AH8" s="269"/>
      <c r="AI8" s="269"/>
      <c r="AJ8" s="269"/>
      <c r="AK8" s="269"/>
      <c r="AL8" s="269"/>
      <c r="AM8" s="269"/>
    </row>
    <row r="9" spans="1:39" ht="63.75" customHeight="1" x14ac:dyDescent="0.2">
      <c r="A9" s="277">
        <f>IF(B9="","",COUNT('Diário 5º PA'!$A$5:$A$2634)+COUNT('Diário 6º PA'!$A$5:$A$2246)+ROW()-4)</f>
        <v>2548</v>
      </c>
      <c r="B9" s="278">
        <v>44378</v>
      </c>
      <c r="C9" s="256">
        <v>44348</v>
      </c>
      <c r="D9" s="255" t="s">
        <v>88</v>
      </c>
      <c r="E9" s="255" t="s">
        <v>198</v>
      </c>
      <c r="F9" s="258">
        <v>-128.82</v>
      </c>
      <c r="G9" s="450" t="s">
        <v>987</v>
      </c>
      <c r="H9" s="252" t="s">
        <v>114</v>
      </c>
      <c r="I9" s="250" t="s">
        <v>983</v>
      </c>
      <c r="J9" s="255" t="s">
        <v>850</v>
      </c>
      <c r="K9" s="255" t="s">
        <v>946</v>
      </c>
      <c r="L9" s="250" t="s">
        <v>947</v>
      </c>
      <c r="M9" s="277" t="s">
        <v>114</v>
      </c>
      <c r="N9" s="278">
        <v>44378</v>
      </c>
      <c r="O9" s="329" t="s">
        <v>67</v>
      </c>
      <c r="P9" s="330">
        <f t="shared" si="2"/>
        <v>7</v>
      </c>
      <c r="Q9" s="330">
        <f t="shared" si="3"/>
        <v>6</v>
      </c>
      <c r="R9" s="331" t="str">
        <f t="shared" si="1"/>
        <v>Gastos_com_Pessoal</v>
      </c>
      <c r="S9" s="331" t="str">
        <f>IF(D9="","",IF(OR(D9=Plano!$A$1,D9=Plano!$B$1),"entrada","saída"))</f>
        <v>saída</v>
      </c>
      <c r="T9" s="332" t="s">
        <v>114</v>
      </c>
      <c r="U9" s="332" t="s">
        <v>114</v>
      </c>
      <c r="V9" s="333"/>
      <c r="W9" s="269"/>
      <c r="X9" s="269"/>
      <c r="Y9" s="269"/>
      <c r="Z9" s="269"/>
      <c r="AA9" s="269"/>
      <c r="AB9" s="269"/>
      <c r="AC9" s="269"/>
      <c r="AD9" s="269"/>
      <c r="AE9" s="269"/>
      <c r="AF9" s="269"/>
      <c r="AG9" s="269"/>
      <c r="AH9" s="269"/>
      <c r="AI9" s="269"/>
      <c r="AJ9" s="269"/>
      <c r="AK9" s="269"/>
      <c r="AL9" s="269"/>
      <c r="AM9" s="269"/>
    </row>
    <row r="10" spans="1:39" ht="153" customHeight="1" x14ac:dyDescent="0.2">
      <c r="A10" s="277">
        <f>IF(B10="","",COUNT('Diário 5º PA'!$A$5:$A$2634)+COUNT('Diário 6º PA'!$A$5:$A$2246)+ROW()-4)</f>
        <v>2549</v>
      </c>
      <c r="B10" s="278">
        <v>44378</v>
      </c>
      <c r="C10" s="259">
        <v>44228</v>
      </c>
      <c r="D10" s="252" t="s">
        <v>99</v>
      </c>
      <c r="E10" s="252" t="s">
        <v>290</v>
      </c>
      <c r="F10" s="257">
        <v>12916.2</v>
      </c>
      <c r="G10" s="451" t="s">
        <v>988</v>
      </c>
      <c r="H10" s="252" t="s">
        <v>131</v>
      </c>
      <c r="I10" s="252" t="s">
        <v>989</v>
      </c>
      <c r="J10" s="250" t="s">
        <v>990</v>
      </c>
      <c r="K10" s="255" t="s">
        <v>991</v>
      </c>
      <c r="L10" s="250" t="s">
        <v>992</v>
      </c>
      <c r="M10" s="277" t="s">
        <v>993</v>
      </c>
      <c r="N10" s="278">
        <v>44376</v>
      </c>
      <c r="O10" s="329" t="s">
        <v>67</v>
      </c>
      <c r="P10" s="330">
        <f t="shared" si="2"/>
        <v>7</v>
      </c>
      <c r="Q10" s="330">
        <f t="shared" si="3"/>
        <v>2</v>
      </c>
      <c r="R10" s="331" t="str">
        <f t="shared" si="1"/>
        <v>Gastos_Gerais</v>
      </c>
      <c r="S10" s="331" t="str">
        <f>IF(D10="","",IF(OR(D10=Plano!$A$1,D10=Plano!$B$1),"entrada","saída"))</f>
        <v>saída</v>
      </c>
      <c r="T10" s="334" t="s">
        <v>994</v>
      </c>
      <c r="U10" s="334">
        <v>1312</v>
      </c>
      <c r="V10" s="333"/>
      <c r="W10" s="269"/>
      <c r="X10" s="269"/>
      <c r="Y10" s="269"/>
      <c r="Z10" s="269"/>
      <c r="AA10" s="269"/>
      <c r="AB10" s="269"/>
      <c r="AC10" s="269"/>
      <c r="AD10" s="269"/>
      <c r="AE10" s="269"/>
      <c r="AF10" s="269"/>
      <c r="AG10" s="269"/>
      <c r="AH10" s="269"/>
      <c r="AI10" s="269"/>
      <c r="AJ10" s="269"/>
      <c r="AK10" s="269"/>
      <c r="AL10" s="269"/>
      <c r="AM10" s="269"/>
    </row>
    <row r="11" spans="1:39" ht="43.5" customHeight="1" x14ac:dyDescent="0.2">
      <c r="A11" s="277">
        <f>IF(B11="","",COUNT('Diário 5º PA'!$A$5:$A$2634)+COUNT('Diário 6º PA'!$A$5:$A$2246)+ROW()-4)</f>
        <v>2550</v>
      </c>
      <c r="B11" s="278">
        <v>44378</v>
      </c>
      <c r="C11" s="259">
        <v>44348</v>
      </c>
      <c r="D11" s="255" t="s">
        <v>88</v>
      </c>
      <c r="E11" s="255" t="s">
        <v>183</v>
      </c>
      <c r="F11" s="258">
        <v>183.39</v>
      </c>
      <c r="G11" s="450" t="s">
        <v>995</v>
      </c>
      <c r="H11" s="252" t="s">
        <v>114</v>
      </c>
      <c r="I11" s="250" t="s">
        <v>537</v>
      </c>
      <c r="J11" s="252" t="s">
        <v>538</v>
      </c>
      <c r="K11" s="255" t="s">
        <v>560</v>
      </c>
      <c r="L11" s="250" t="s">
        <v>992</v>
      </c>
      <c r="M11" s="277" t="s">
        <v>996</v>
      </c>
      <c r="N11" s="278">
        <v>44362</v>
      </c>
      <c r="O11" s="329" t="s">
        <v>67</v>
      </c>
      <c r="P11" s="330">
        <f t="shared" si="2"/>
        <v>7</v>
      </c>
      <c r="Q11" s="330">
        <f t="shared" si="3"/>
        <v>6</v>
      </c>
      <c r="R11" s="331" t="str">
        <f t="shared" si="1"/>
        <v>Gastos_com_Pessoal</v>
      </c>
      <c r="S11" s="331" t="str">
        <f>IF(D11="","",IF(OR(D11=Plano!$A$1,D11=Plano!$B$1),"entrada","saída"))</f>
        <v>saída</v>
      </c>
      <c r="T11" s="332" t="s">
        <v>114</v>
      </c>
      <c r="U11" s="332" t="s">
        <v>114</v>
      </c>
      <c r="V11" s="333"/>
      <c r="W11" s="269"/>
      <c r="X11" s="269"/>
      <c r="Y11" s="269"/>
      <c r="Z11" s="269"/>
      <c r="AA11" s="269"/>
      <c r="AB11" s="269"/>
      <c r="AC11" s="269"/>
      <c r="AD11" s="269"/>
      <c r="AE11" s="269"/>
      <c r="AF11" s="269"/>
      <c r="AG11" s="269"/>
      <c r="AH11" s="269"/>
      <c r="AI11" s="269"/>
      <c r="AJ11" s="269"/>
      <c r="AK11" s="269"/>
      <c r="AL11" s="269"/>
      <c r="AM11" s="269"/>
    </row>
    <row r="12" spans="1:39" ht="43.5" customHeight="1" x14ac:dyDescent="0.2">
      <c r="A12" s="277">
        <f>IF(B12="","",COUNT('Diário 5º PA'!$A$5:$A$2634)+COUNT('Diário 6º PA'!$A$5:$A$2246)+ROW()-4)</f>
        <v>2551</v>
      </c>
      <c r="B12" s="278">
        <v>44378</v>
      </c>
      <c r="C12" s="259">
        <v>44348</v>
      </c>
      <c r="D12" s="255" t="s">
        <v>88</v>
      </c>
      <c r="E12" s="255" t="s">
        <v>183</v>
      </c>
      <c r="F12" s="258">
        <v>126.7</v>
      </c>
      <c r="G12" s="450" t="s">
        <v>997</v>
      </c>
      <c r="H12" s="252" t="s">
        <v>114</v>
      </c>
      <c r="I12" s="250" t="s">
        <v>998</v>
      </c>
      <c r="J12" s="252" t="s">
        <v>999</v>
      </c>
      <c r="K12" s="255" t="s">
        <v>560</v>
      </c>
      <c r="L12" s="250" t="s">
        <v>992</v>
      </c>
      <c r="M12" s="277" t="s">
        <v>1000</v>
      </c>
      <c r="N12" s="278">
        <v>44362</v>
      </c>
      <c r="O12" s="329" t="s">
        <v>67</v>
      </c>
      <c r="P12" s="330">
        <f t="shared" si="2"/>
        <v>7</v>
      </c>
      <c r="Q12" s="330">
        <f t="shared" si="3"/>
        <v>6</v>
      </c>
      <c r="R12" s="331" t="str">
        <f t="shared" si="1"/>
        <v>Gastos_com_Pessoal</v>
      </c>
      <c r="S12" s="331" t="str">
        <f>IF(D12="","",IF(OR(D12=Plano!$A$1,D12=Plano!$B$1),"entrada","saída"))</f>
        <v>saída</v>
      </c>
      <c r="T12" s="332" t="s">
        <v>114</v>
      </c>
      <c r="U12" s="332" t="s">
        <v>114</v>
      </c>
      <c r="V12" s="333"/>
      <c r="W12" s="269"/>
      <c r="X12" s="269"/>
      <c r="Y12" s="269"/>
      <c r="Z12" s="269"/>
      <c r="AA12" s="269"/>
      <c r="AB12" s="269"/>
      <c r="AC12" s="269"/>
      <c r="AD12" s="269"/>
      <c r="AE12" s="269"/>
      <c r="AF12" s="269"/>
      <c r="AG12" s="269"/>
      <c r="AH12" s="269"/>
      <c r="AI12" s="269"/>
      <c r="AJ12" s="269"/>
      <c r="AK12" s="269"/>
      <c r="AL12" s="269"/>
      <c r="AM12" s="269"/>
    </row>
    <row r="13" spans="1:39" ht="46.5" customHeight="1" x14ac:dyDescent="0.2">
      <c r="A13" s="277">
        <f>IF(B13="","",COUNT('Diário 5º PA'!$A$5:$A$2634)+COUNT('Diário 6º PA'!$A$5:$A$2246)+ROW()-4)</f>
        <v>2552</v>
      </c>
      <c r="B13" s="278">
        <v>44378</v>
      </c>
      <c r="C13" s="259">
        <v>44348</v>
      </c>
      <c r="D13" s="255" t="s">
        <v>88</v>
      </c>
      <c r="E13" s="255" t="s">
        <v>198</v>
      </c>
      <c r="F13" s="258">
        <v>515.26</v>
      </c>
      <c r="G13" s="450" t="s">
        <v>533</v>
      </c>
      <c r="H13" s="252" t="s">
        <v>114</v>
      </c>
      <c r="I13" s="250" t="s">
        <v>534</v>
      </c>
      <c r="J13" s="252" t="s">
        <v>535</v>
      </c>
      <c r="K13" s="255" t="s">
        <v>560</v>
      </c>
      <c r="L13" s="255" t="s">
        <v>697</v>
      </c>
      <c r="M13" s="277" t="s">
        <v>1001</v>
      </c>
      <c r="N13" s="278">
        <v>44361</v>
      </c>
      <c r="O13" s="329" t="s">
        <v>67</v>
      </c>
      <c r="P13" s="330">
        <f t="shared" si="2"/>
        <v>7</v>
      </c>
      <c r="Q13" s="330">
        <f t="shared" si="3"/>
        <v>6</v>
      </c>
      <c r="R13" s="331" t="str">
        <f t="shared" si="1"/>
        <v>Gastos_com_Pessoal</v>
      </c>
      <c r="S13" s="331" t="str">
        <f>IF(D13="","",IF(OR(D13=Plano!$A$1,D13=Plano!$B$1),"entrada","saída"))</f>
        <v>saída</v>
      </c>
      <c r="T13" s="332" t="s">
        <v>114</v>
      </c>
      <c r="U13" s="332" t="s">
        <v>114</v>
      </c>
      <c r="V13" s="333"/>
      <c r="W13" s="269"/>
      <c r="X13" s="269"/>
      <c r="Y13" s="269"/>
      <c r="Z13" s="269"/>
      <c r="AA13" s="269"/>
      <c r="AB13" s="269"/>
      <c r="AC13" s="269"/>
      <c r="AD13" s="269"/>
      <c r="AE13" s="269"/>
      <c r="AF13" s="269"/>
      <c r="AG13" s="269"/>
      <c r="AH13" s="269"/>
      <c r="AI13" s="269"/>
      <c r="AJ13" s="269"/>
      <c r="AK13" s="269"/>
      <c r="AL13" s="269"/>
      <c r="AM13" s="269"/>
    </row>
    <row r="14" spans="1:39" ht="218.25" customHeight="1" x14ac:dyDescent="0.2">
      <c r="A14" s="277">
        <f>IF(B14="","",COUNT('Diário 5º PA'!$A$5:$A$2634)+COUNT('Diário 6º PA'!$A$5:$A$2246)+ROW()-4)</f>
        <v>2553</v>
      </c>
      <c r="B14" s="278">
        <v>44378</v>
      </c>
      <c r="C14" s="259">
        <v>44348</v>
      </c>
      <c r="D14" s="252" t="s">
        <v>99</v>
      </c>
      <c r="E14" s="252" t="s">
        <v>358</v>
      </c>
      <c r="F14" s="257">
        <v>1200</v>
      </c>
      <c r="G14" s="451" t="s">
        <v>1002</v>
      </c>
      <c r="H14" s="252" t="s">
        <v>125</v>
      </c>
      <c r="I14" s="252" t="s">
        <v>1003</v>
      </c>
      <c r="J14" s="250" t="s">
        <v>1004</v>
      </c>
      <c r="K14" s="255" t="s">
        <v>991</v>
      </c>
      <c r="L14" s="250" t="s">
        <v>992</v>
      </c>
      <c r="M14" s="277">
        <v>84</v>
      </c>
      <c r="N14" s="278">
        <v>44378</v>
      </c>
      <c r="O14" s="329" t="s">
        <v>67</v>
      </c>
      <c r="P14" s="330">
        <f t="shared" si="2"/>
        <v>7</v>
      </c>
      <c r="Q14" s="330">
        <f t="shared" si="3"/>
        <v>6</v>
      </c>
      <c r="R14" s="331" t="str">
        <f t="shared" si="1"/>
        <v>Gastos_Gerais</v>
      </c>
      <c r="S14" s="331" t="str">
        <f>IF(D14="","",IF(OR(D14=Plano!$A$1,D14=Plano!$B$1),"entrada","saída"))</f>
        <v>saída</v>
      </c>
      <c r="T14" s="334" t="s">
        <v>994</v>
      </c>
      <c r="U14" s="334">
        <v>1446</v>
      </c>
      <c r="V14" s="333"/>
      <c r="W14" s="269"/>
      <c r="X14" s="269"/>
      <c r="Y14" s="269"/>
      <c r="Z14" s="269"/>
      <c r="AA14" s="269"/>
      <c r="AB14" s="269"/>
      <c r="AC14" s="269"/>
      <c r="AD14" s="269"/>
      <c r="AE14" s="269"/>
      <c r="AF14" s="269"/>
      <c r="AG14" s="269"/>
      <c r="AH14" s="269"/>
      <c r="AI14" s="269"/>
      <c r="AJ14" s="269"/>
      <c r="AK14" s="269"/>
      <c r="AL14" s="269"/>
      <c r="AM14" s="269"/>
    </row>
    <row r="15" spans="1:39" ht="140.25" customHeight="1" x14ac:dyDescent="0.2">
      <c r="A15" s="277">
        <f>IF(B15="","",COUNT('Diário 5º PA'!$A$5:$A$2634)+COUNT('Diário 6º PA'!$A$5:$A$2246)+ROW()-4)</f>
        <v>2554</v>
      </c>
      <c r="B15" s="278">
        <v>44378</v>
      </c>
      <c r="C15" s="259">
        <v>44348</v>
      </c>
      <c r="D15" s="252" t="s">
        <v>99</v>
      </c>
      <c r="E15" s="252" t="s">
        <v>358</v>
      </c>
      <c r="F15" s="257">
        <v>1000</v>
      </c>
      <c r="G15" s="451" t="s">
        <v>1005</v>
      </c>
      <c r="H15" s="252" t="s">
        <v>125</v>
      </c>
      <c r="I15" s="250" t="s">
        <v>1006</v>
      </c>
      <c r="J15" s="250" t="s">
        <v>1007</v>
      </c>
      <c r="K15" s="255" t="s">
        <v>991</v>
      </c>
      <c r="L15" s="250" t="s">
        <v>992</v>
      </c>
      <c r="M15" s="277">
        <v>227</v>
      </c>
      <c r="N15" s="278">
        <v>44378</v>
      </c>
      <c r="O15" s="329" t="s">
        <v>67</v>
      </c>
      <c r="P15" s="330">
        <f t="shared" si="2"/>
        <v>7</v>
      </c>
      <c r="Q15" s="330">
        <f t="shared" si="3"/>
        <v>6</v>
      </c>
      <c r="R15" s="331" t="str">
        <f t="shared" si="1"/>
        <v>Gastos_Gerais</v>
      </c>
      <c r="S15" s="331" t="str">
        <f>IF(D15="","",IF(OR(D15=Plano!$A$1,D15=Plano!$B$1),"entrada","saída"))</f>
        <v>saída</v>
      </c>
      <c r="T15" s="334" t="s">
        <v>994</v>
      </c>
      <c r="U15" s="334">
        <v>1666</v>
      </c>
      <c r="V15" s="333"/>
      <c r="W15" s="269"/>
      <c r="X15" s="269"/>
      <c r="Y15" s="269"/>
      <c r="Z15" s="269"/>
      <c r="AA15" s="269"/>
      <c r="AB15" s="269"/>
      <c r="AC15" s="269"/>
      <c r="AD15" s="269"/>
      <c r="AE15" s="269"/>
      <c r="AF15" s="269"/>
      <c r="AG15" s="269"/>
      <c r="AH15" s="269"/>
      <c r="AI15" s="269"/>
      <c r="AJ15" s="269"/>
      <c r="AK15" s="269"/>
      <c r="AL15" s="269"/>
      <c r="AM15" s="269"/>
    </row>
    <row r="16" spans="1:39" ht="105" customHeight="1" x14ac:dyDescent="0.2">
      <c r="A16" s="277">
        <f>IF(B16="","",COUNT('Diário 5º PA'!$A$5:$A$2634)+COUNT('Diário 6º PA'!$A$5:$A$2246)+ROW()-4)</f>
        <v>2555</v>
      </c>
      <c r="B16" s="278">
        <v>44378</v>
      </c>
      <c r="C16" s="259">
        <v>44378</v>
      </c>
      <c r="D16" s="252" t="s">
        <v>99</v>
      </c>
      <c r="E16" s="252" t="s">
        <v>330</v>
      </c>
      <c r="F16" s="257">
        <v>50.22</v>
      </c>
      <c r="G16" s="451" t="s">
        <v>1008</v>
      </c>
      <c r="H16" s="252" t="s">
        <v>118</v>
      </c>
      <c r="I16" s="250" t="s">
        <v>1009</v>
      </c>
      <c r="J16" s="250" t="s">
        <v>1010</v>
      </c>
      <c r="K16" s="255" t="s">
        <v>560</v>
      </c>
      <c r="L16" s="250" t="s">
        <v>992</v>
      </c>
      <c r="M16" s="277">
        <v>7286</v>
      </c>
      <c r="N16" s="278">
        <v>44379</v>
      </c>
      <c r="O16" s="329" t="s">
        <v>67</v>
      </c>
      <c r="P16" s="330">
        <f t="shared" si="2"/>
        <v>7</v>
      </c>
      <c r="Q16" s="330">
        <f t="shared" si="3"/>
        <v>7</v>
      </c>
      <c r="R16" s="331" t="str">
        <f t="shared" si="1"/>
        <v>Gastos_Gerais</v>
      </c>
      <c r="S16" s="331" t="str">
        <f>IF(D16="","",IF(OR(D16=Plano!$A$1,D16=Plano!$B$1),"entrada","saída"))</f>
        <v>saída</v>
      </c>
      <c r="T16" s="334" t="s">
        <v>1011</v>
      </c>
      <c r="U16" s="334">
        <v>1730</v>
      </c>
      <c r="V16" s="333"/>
      <c r="W16" s="269"/>
      <c r="X16" s="269"/>
      <c r="Y16" s="269"/>
      <c r="Z16" s="269"/>
      <c r="AA16" s="269"/>
      <c r="AB16" s="269"/>
      <c r="AC16" s="269"/>
      <c r="AD16" s="269"/>
      <c r="AE16" s="269"/>
      <c r="AF16" s="269"/>
      <c r="AG16" s="269"/>
      <c r="AH16" s="269"/>
      <c r="AI16" s="269"/>
      <c r="AJ16" s="269"/>
      <c r="AK16" s="269"/>
      <c r="AL16" s="269"/>
      <c r="AM16" s="269"/>
    </row>
    <row r="17" spans="1:39" ht="105" customHeight="1" x14ac:dyDescent="0.2">
      <c r="A17" s="277">
        <f>IF(B17="","",COUNT('Diário 5º PA'!$A$5:$A$2634)+COUNT('Diário 6º PA'!$A$5:$A$2246)+ROW()-4)</f>
        <v>2556</v>
      </c>
      <c r="B17" s="278">
        <v>44378</v>
      </c>
      <c r="C17" s="249">
        <v>44348</v>
      </c>
      <c r="D17" s="250" t="s">
        <v>104</v>
      </c>
      <c r="E17" s="250" t="s">
        <v>104</v>
      </c>
      <c r="F17" s="251">
        <v>400</v>
      </c>
      <c r="G17" s="452" t="s">
        <v>1012</v>
      </c>
      <c r="H17" s="250" t="s">
        <v>104</v>
      </c>
      <c r="I17" s="250" t="s">
        <v>1013</v>
      </c>
      <c r="J17" s="250" t="s">
        <v>1014</v>
      </c>
      <c r="K17" s="255" t="s">
        <v>1015</v>
      </c>
      <c r="L17" s="250" t="s">
        <v>1016</v>
      </c>
      <c r="M17" s="277" t="s">
        <v>1017</v>
      </c>
      <c r="N17" s="278">
        <v>44378</v>
      </c>
      <c r="O17" s="329" t="s">
        <v>70</v>
      </c>
      <c r="P17" s="330">
        <f t="shared" si="2"/>
        <v>7</v>
      </c>
      <c r="Q17" s="330">
        <f t="shared" si="3"/>
        <v>6</v>
      </c>
      <c r="R17" s="331" t="str">
        <f t="shared" si="1"/>
        <v>Gastos_custeados_por_captação</v>
      </c>
      <c r="S17" s="331" t="str">
        <f>IF(D17="","",IF(OR(D17=Plano!$A$1,D17=Plano!$B$1),"entrada","saída"))</f>
        <v>saída</v>
      </c>
      <c r="T17" s="332" t="s">
        <v>994</v>
      </c>
      <c r="U17" s="332">
        <v>1660</v>
      </c>
      <c r="V17" s="333"/>
      <c r="W17" s="269"/>
      <c r="X17" s="269"/>
      <c r="Y17" s="269"/>
      <c r="Z17" s="269"/>
      <c r="AA17" s="269"/>
      <c r="AB17" s="269"/>
      <c r="AC17" s="269"/>
      <c r="AD17" s="269"/>
      <c r="AE17" s="269"/>
      <c r="AF17" s="269"/>
      <c r="AG17" s="269"/>
      <c r="AH17" s="269"/>
      <c r="AI17" s="269"/>
      <c r="AJ17" s="269"/>
      <c r="AK17" s="269"/>
      <c r="AL17" s="269"/>
      <c r="AM17" s="269"/>
    </row>
    <row r="18" spans="1:39" ht="105" customHeight="1" x14ac:dyDescent="0.2">
      <c r="A18" s="277">
        <f>IF(B18="","",COUNT('Diário 5º PA'!$A$5:$A$2634)+COUNT('Diário 6º PA'!$A$5:$A$2246)+ROW()-4)</f>
        <v>2557</v>
      </c>
      <c r="B18" s="278">
        <v>44378</v>
      </c>
      <c r="C18" s="249">
        <v>44348</v>
      </c>
      <c r="D18" s="250" t="s">
        <v>104</v>
      </c>
      <c r="E18" s="250" t="s">
        <v>104</v>
      </c>
      <c r="F18" s="251">
        <v>400</v>
      </c>
      <c r="G18" s="452" t="s">
        <v>1018</v>
      </c>
      <c r="H18" s="250" t="s">
        <v>104</v>
      </c>
      <c r="I18" s="250" t="s">
        <v>1019</v>
      </c>
      <c r="J18" s="250" t="s">
        <v>1020</v>
      </c>
      <c r="K18" s="255" t="s">
        <v>1015</v>
      </c>
      <c r="L18" s="250" t="s">
        <v>1016</v>
      </c>
      <c r="M18" s="277">
        <v>18</v>
      </c>
      <c r="N18" s="278">
        <v>44378</v>
      </c>
      <c r="O18" s="329" t="s">
        <v>70</v>
      </c>
      <c r="P18" s="330">
        <f t="shared" si="2"/>
        <v>7</v>
      </c>
      <c r="Q18" s="330">
        <f t="shared" si="3"/>
        <v>6</v>
      </c>
      <c r="R18" s="331" t="str">
        <f t="shared" si="1"/>
        <v>Gastos_custeados_por_captação</v>
      </c>
      <c r="S18" s="331" t="str">
        <f>IF(D18="","",IF(OR(D18=Plano!$A$1,D18=Plano!$B$1),"entrada","saída"))</f>
        <v>saída</v>
      </c>
      <c r="T18" s="332" t="s">
        <v>994</v>
      </c>
      <c r="U18" s="332">
        <v>1662</v>
      </c>
      <c r="V18" s="333"/>
      <c r="W18" s="269"/>
      <c r="X18" s="269"/>
      <c r="Y18" s="269"/>
      <c r="Z18" s="269"/>
      <c r="AA18" s="269"/>
      <c r="AB18" s="269"/>
      <c r="AC18" s="269"/>
      <c r="AD18" s="269"/>
      <c r="AE18" s="269"/>
      <c r="AF18" s="269"/>
      <c r="AG18" s="269"/>
      <c r="AH18" s="269"/>
      <c r="AI18" s="269"/>
      <c r="AJ18" s="269"/>
      <c r="AK18" s="269"/>
      <c r="AL18" s="269"/>
      <c r="AM18" s="269"/>
    </row>
    <row r="19" spans="1:39" ht="130.5" customHeight="1" x14ac:dyDescent="0.2">
      <c r="A19" s="277">
        <f>IF(B19="","",COUNT('Diário 5º PA'!$A$5:$A$2634)+COUNT('Diário 6º PA'!$A$5:$A$2246)+ROW()-4)</f>
        <v>2558</v>
      </c>
      <c r="B19" s="278">
        <v>44379</v>
      </c>
      <c r="C19" s="259">
        <v>44348</v>
      </c>
      <c r="D19" s="252" t="s">
        <v>99</v>
      </c>
      <c r="E19" s="252" t="s">
        <v>364</v>
      </c>
      <c r="F19" s="257">
        <v>1600</v>
      </c>
      <c r="G19" s="451" t="s">
        <v>1021</v>
      </c>
      <c r="H19" s="252" t="s">
        <v>118</v>
      </c>
      <c r="I19" s="250" t="s">
        <v>1022</v>
      </c>
      <c r="J19" s="250" t="s">
        <v>833</v>
      </c>
      <c r="K19" s="255" t="s">
        <v>1015</v>
      </c>
      <c r="L19" s="250" t="s">
        <v>992</v>
      </c>
      <c r="M19" s="277">
        <v>243</v>
      </c>
      <c r="N19" s="278">
        <v>44379</v>
      </c>
      <c r="O19" s="329" t="s">
        <v>67</v>
      </c>
      <c r="P19" s="330">
        <f t="shared" si="2"/>
        <v>7</v>
      </c>
      <c r="Q19" s="330">
        <f t="shared" si="3"/>
        <v>6</v>
      </c>
      <c r="R19" s="331" t="str">
        <f t="shared" si="1"/>
        <v>Gastos_Gerais</v>
      </c>
      <c r="S19" s="331" t="str">
        <f>IF(D19="","",IF(OR(D19=Plano!$A$1,D19=Plano!$B$1),"entrada","saída"))</f>
        <v>saída</v>
      </c>
      <c r="T19" s="334" t="s">
        <v>994</v>
      </c>
      <c r="U19" s="334">
        <v>1630</v>
      </c>
      <c r="V19" s="333"/>
      <c r="W19" s="269"/>
      <c r="X19" s="269"/>
      <c r="Y19" s="269"/>
      <c r="Z19" s="269"/>
      <c r="AA19" s="269"/>
      <c r="AB19" s="269"/>
      <c r="AC19" s="269"/>
      <c r="AD19" s="269"/>
      <c r="AE19" s="269"/>
      <c r="AF19" s="269"/>
      <c r="AG19" s="269"/>
      <c r="AH19" s="269"/>
      <c r="AI19" s="269"/>
      <c r="AJ19" s="269"/>
      <c r="AK19" s="269"/>
      <c r="AL19" s="269"/>
      <c r="AM19" s="269"/>
    </row>
    <row r="20" spans="1:39" ht="142.5" customHeight="1" x14ac:dyDescent="0.2">
      <c r="A20" s="277">
        <f>IF(B20="","",COUNT('Diário 5º PA'!$A$5:$A$2634)+COUNT('Diário 6º PA'!$A$5:$A$2246)+ROW()-4)</f>
        <v>2559</v>
      </c>
      <c r="B20" s="278">
        <v>44379</v>
      </c>
      <c r="C20" s="259">
        <v>44348</v>
      </c>
      <c r="D20" s="252" t="s">
        <v>99</v>
      </c>
      <c r="E20" s="252" t="s">
        <v>330</v>
      </c>
      <c r="F20" s="257">
        <v>1600</v>
      </c>
      <c r="G20" s="451" t="s">
        <v>1023</v>
      </c>
      <c r="H20" s="252" t="s">
        <v>118</v>
      </c>
      <c r="I20" s="250" t="s">
        <v>1022</v>
      </c>
      <c r="J20" s="250" t="s">
        <v>833</v>
      </c>
      <c r="K20" s="255" t="s">
        <v>1015</v>
      </c>
      <c r="L20" s="250" t="s">
        <v>992</v>
      </c>
      <c r="M20" s="277">
        <v>242</v>
      </c>
      <c r="N20" s="278">
        <v>44379</v>
      </c>
      <c r="O20" s="329" t="s">
        <v>67</v>
      </c>
      <c r="P20" s="330">
        <f t="shared" si="2"/>
        <v>7</v>
      </c>
      <c r="Q20" s="330">
        <f t="shared" si="3"/>
        <v>6</v>
      </c>
      <c r="R20" s="331" t="str">
        <f t="shared" si="1"/>
        <v>Gastos_Gerais</v>
      </c>
      <c r="S20" s="331" t="str">
        <f>IF(D20="","",IF(OR(D20=Plano!$A$1,D20=Plano!$B$1),"entrada","saída"))</f>
        <v>saída</v>
      </c>
      <c r="T20" s="334" t="s">
        <v>994</v>
      </c>
      <c r="U20" s="334">
        <v>1665</v>
      </c>
      <c r="V20" s="333"/>
      <c r="W20" s="269"/>
      <c r="X20" s="269"/>
      <c r="Y20" s="269"/>
      <c r="Z20" s="269"/>
      <c r="AA20" s="269"/>
      <c r="AB20" s="269"/>
      <c r="AC20" s="269"/>
      <c r="AD20" s="269"/>
      <c r="AE20" s="269"/>
      <c r="AF20" s="269"/>
      <c r="AG20" s="269"/>
      <c r="AH20" s="269"/>
      <c r="AI20" s="269"/>
      <c r="AJ20" s="269"/>
      <c r="AK20" s="269"/>
      <c r="AL20" s="269"/>
      <c r="AM20" s="269"/>
    </row>
    <row r="21" spans="1:39" ht="117" customHeight="1" x14ac:dyDescent="0.2">
      <c r="A21" s="277">
        <f>IF(B21="","",COUNT('Diário 5º PA'!$A$5:$A$2634)+COUNT('Diário 6º PA'!$A$5:$A$2246)+ROW()-4)</f>
        <v>2560</v>
      </c>
      <c r="B21" s="278">
        <v>44379</v>
      </c>
      <c r="C21" s="259">
        <v>44378</v>
      </c>
      <c r="D21" s="252" t="s">
        <v>99</v>
      </c>
      <c r="E21" s="252" t="s">
        <v>380</v>
      </c>
      <c r="F21" s="257">
        <v>170.9</v>
      </c>
      <c r="G21" s="451" t="s">
        <v>1024</v>
      </c>
      <c r="H21" s="252" t="s">
        <v>118</v>
      </c>
      <c r="I21" s="250" t="s">
        <v>1025</v>
      </c>
      <c r="J21" s="250" t="s">
        <v>933</v>
      </c>
      <c r="K21" s="255" t="s">
        <v>1015</v>
      </c>
      <c r="L21" s="250" t="s">
        <v>992</v>
      </c>
      <c r="M21" s="277">
        <v>8966</v>
      </c>
      <c r="N21" s="278">
        <v>44379</v>
      </c>
      <c r="O21" s="329" t="s">
        <v>67</v>
      </c>
      <c r="P21" s="330">
        <f t="shared" si="2"/>
        <v>7</v>
      </c>
      <c r="Q21" s="330">
        <f t="shared" si="3"/>
        <v>7</v>
      </c>
      <c r="R21" s="331" t="str">
        <f t="shared" si="1"/>
        <v>Gastos_Gerais</v>
      </c>
      <c r="S21" s="331" t="str">
        <f>IF(D21="","",IF(OR(D21=Plano!$A$1,D21=Plano!$B$1),"entrada","saída"))</f>
        <v>saída</v>
      </c>
      <c r="T21" s="334" t="s">
        <v>1011</v>
      </c>
      <c r="U21" s="334">
        <v>1739</v>
      </c>
      <c r="V21" s="333"/>
      <c r="W21" s="269"/>
      <c r="X21" s="269"/>
      <c r="Y21" s="269"/>
      <c r="Z21" s="269"/>
      <c r="AA21" s="269"/>
      <c r="AB21" s="269"/>
      <c r="AC21" s="269"/>
      <c r="AD21" s="269"/>
      <c r="AE21" s="269"/>
      <c r="AF21" s="269"/>
      <c r="AG21" s="269"/>
      <c r="AH21" s="269"/>
      <c r="AI21" s="269"/>
      <c r="AJ21" s="269"/>
      <c r="AK21" s="269"/>
      <c r="AL21" s="269"/>
      <c r="AM21" s="269"/>
    </row>
    <row r="22" spans="1:39" ht="54.75" customHeight="1" x14ac:dyDescent="0.2">
      <c r="A22" s="277">
        <f>IF(B22="","",COUNT('Diário 5º PA'!$A$5:$A$2634)+COUNT('Diário 6º PA'!$A$5:$A$2246)+ROW()-4)</f>
        <v>2561</v>
      </c>
      <c r="B22" s="278">
        <v>44379</v>
      </c>
      <c r="C22" s="259">
        <v>44317</v>
      </c>
      <c r="D22" s="252" t="s">
        <v>99</v>
      </c>
      <c r="E22" s="252" t="s">
        <v>336</v>
      </c>
      <c r="F22" s="257">
        <v>774</v>
      </c>
      <c r="G22" s="451" t="s">
        <v>1026</v>
      </c>
      <c r="H22" s="252" t="s">
        <v>116</v>
      </c>
      <c r="I22" s="250" t="s">
        <v>1027</v>
      </c>
      <c r="J22" s="250" t="s">
        <v>1028</v>
      </c>
      <c r="K22" s="255" t="s">
        <v>1015</v>
      </c>
      <c r="L22" s="250" t="s">
        <v>1029</v>
      </c>
      <c r="M22" s="277">
        <v>1213</v>
      </c>
      <c r="N22" s="278">
        <v>44379</v>
      </c>
      <c r="O22" s="329" t="s">
        <v>67</v>
      </c>
      <c r="P22" s="330">
        <f t="shared" si="2"/>
        <v>7</v>
      </c>
      <c r="Q22" s="330">
        <f t="shared" si="3"/>
        <v>5</v>
      </c>
      <c r="R22" s="331" t="str">
        <f t="shared" si="1"/>
        <v>Gastos_Gerais</v>
      </c>
      <c r="S22" s="331" t="str">
        <f>IF(D22="","",IF(OR(D22=Plano!$A$1,D22=Plano!$B$1),"entrada","saída"))</f>
        <v>saída</v>
      </c>
      <c r="T22" s="334" t="s">
        <v>994</v>
      </c>
      <c r="U22" s="334">
        <v>1593</v>
      </c>
      <c r="V22" s="333"/>
      <c r="W22" s="269"/>
      <c r="X22" s="269"/>
      <c r="Y22" s="269"/>
      <c r="Z22" s="269"/>
      <c r="AA22" s="269"/>
      <c r="AB22" s="269"/>
      <c r="AC22" s="269"/>
      <c r="AD22" s="269"/>
      <c r="AE22" s="269"/>
      <c r="AF22" s="269"/>
      <c r="AG22" s="269"/>
      <c r="AH22" s="269"/>
      <c r="AI22" s="269"/>
      <c r="AJ22" s="269"/>
      <c r="AK22" s="269"/>
      <c r="AL22" s="269"/>
      <c r="AM22" s="269"/>
    </row>
    <row r="23" spans="1:39" ht="73.5" customHeight="1" x14ac:dyDescent="0.2">
      <c r="A23" s="277">
        <f>IF(B23="","",COUNT('Diário 5º PA'!$A$5:$A$2634)+COUNT('Diário 6º PA'!$A$5:$A$2246)+ROW()-4)</f>
        <v>2562</v>
      </c>
      <c r="B23" s="278">
        <v>44379</v>
      </c>
      <c r="C23" s="259">
        <v>44378</v>
      </c>
      <c r="D23" s="252" t="s">
        <v>99</v>
      </c>
      <c r="E23" s="252" t="s">
        <v>344</v>
      </c>
      <c r="F23" s="257">
        <v>7.95</v>
      </c>
      <c r="G23" s="451" t="s">
        <v>1030</v>
      </c>
      <c r="H23" s="252" t="s">
        <v>118</v>
      </c>
      <c r="I23" s="250" t="s">
        <v>1031</v>
      </c>
      <c r="J23" s="250" t="s">
        <v>927</v>
      </c>
      <c r="K23" s="255" t="s">
        <v>991</v>
      </c>
      <c r="L23" s="250" t="s">
        <v>992</v>
      </c>
      <c r="M23" s="277">
        <v>433</v>
      </c>
      <c r="N23" s="278">
        <v>44379</v>
      </c>
      <c r="O23" s="329" t="s">
        <v>67</v>
      </c>
      <c r="P23" s="330">
        <f t="shared" si="2"/>
        <v>7</v>
      </c>
      <c r="Q23" s="330">
        <f t="shared" si="3"/>
        <v>7</v>
      </c>
      <c r="R23" s="331" t="str">
        <f t="shared" si="1"/>
        <v>Gastos_Gerais</v>
      </c>
      <c r="S23" s="331" t="str">
        <f>IF(D23="","",IF(OR(D23=Plano!$A$1,D23=Plano!$B$1),"entrada","saída"))</f>
        <v>saída</v>
      </c>
      <c r="T23" s="334" t="s">
        <v>1011</v>
      </c>
      <c r="U23" s="334">
        <v>1736</v>
      </c>
      <c r="V23" s="333"/>
      <c r="W23" s="269"/>
      <c r="X23" s="269"/>
      <c r="Y23" s="269"/>
      <c r="Z23" s="269"/>
      <c r="AA23" s="269"/>
      <c r="AB23" s="269"/>
      <c r="AC23" s="269"/>
      <c r="AD23" s="269"/>
      <c r="AE23" s="269"/>
      <c r="AF23" s="269"/>
      <c r="AG23" s="269"/>
      <c r="AH23" s="269"/>
      <c r="AI23" s="269"/>
      <c r="AJ23" s="269"/>
      <c r="AK23" s="269"/>
      <c r="AL23" s="269"/>
      <c r="AM23" s="269"/>
    </row>
    <row r="24" spans="1:39" ht="41.25" customHeight="1" x14ac:dyDescent="0.2">
      <c r="A24" s="277">
        <f>IF(B24="","",COUNT('Diário 5º PA'!$A$5:$A$2634)+COUNT('Diário 6º PA'!$A$5:$A$2246)+ROW()-4)</f>
        <v>2563</v>
      </c>
      <c r="B24" s="278">
        <v>44379</v>
      </c>
      <c r="C24" s="335">
        <v>44378</v>
      </c>
      <c r="D24" s="255" t="s">
        <v>88</v>
      </c>
      <c r="E24" s="255" t="s">
        <v>192</v>
      </c>
      <c r="F24" s="258">
        <v>45.43</v>
      </c>
      <c r="G24" s="451" t="s">
        <v>5362</v>
      </c>
      <c r="H24" s="255" t="s">
        <v>114</v>
      </c>
      <c r="I24" s="252" t="s">
        <v>1032</v>
      </c>
      <c r="J24" s="252" t="s">
        <v>1033</v>
      </c>
      <c r="K24" s="255" t="s">
        <v>560</v>
      </c>
      <c r="L24" s="252" t="s">
        <v>1016</v>
      </c>
      <c r="M24" s="277" t="s">
        <v>1034</v>
      </c>
      <c r="N24" s="278">
        <v>44383</v>
      </c>
      <c r="O24" s="329" t="s">
        <v>67</v>
      </c>
      <c r="P24" s="330">
        <f t="shared" si="2"/>
        <v>7</v>
      </c>
      <c r="Q24" s="330">
        <f t="shared" si="3"/>
        <v>7</v>
      </c>
      <c r="R24" s="331" t="str">
        <f t="shared" si="1"/>
        <v>Gastos_com_Pessoal</v>
      </c>
      <c r="S24" s="331" t="str">
        <f>IF(D24="","",IF(OR(D24=Plano!$A$1,D24=Plano!$B$1),"entrada","saída"))</f>
        <v>saída</v>
      </c>
      <c r="T24" s="332" t="s">
        <v>114</v>
      </c>
      <c r="U24" s="332" t="s">
        <v>114</v>
      </c>
      <c r="V24" s="333"/>
      <c r="W24" s="269"/>
      <c r="X24" s="269"/>
      <c r="Y24" s="269"/>
      <c r="Z24" s="269"/>
      <c r="AA24" s="269"/>
      <c r="AB24" s="269"/>
      <c r="AC24" s="269"/>
      <c r="AD24" s="269"/>
      <c r="AE24" s="269"/>
      <c r="AF24" s="269"/>
      <c r="AG24" s="269"/>
      <c r="AH24" s="269"/>
      <c r="AI24" s="269"/>
      <c r="AJ24" s="269"/>
      <c r="AK24" s="269"/>
      <c r="AL24" s="269"/>
      <c r="AM24" s="269"/>
    </row>
    <row r="25" spans="1:39" ht="36.75" customHeight="1" x14ac:dyDescent="0.2">
      <c r="A25" s="277">
        <f>IF(B25="","",COUNT('Diário 5º PA'!$A$5:$A$2634)+COUNT('Diário 6º PA'!$A$5:$A$2246)+ROW()-4)</f>
        <v>2564</v>
      </c>
      <c r="B25" s="278">
        <v>44379</v>
      </c>
      <c r="C25" s="335">
        <v>44378</v>
      </c>
      <c r="D25" s="255" t="s">
        <v>88</v>
      </c>
      <c r="E25" s="255" t="s">
        <v>192</v>
      </c>
      <c r="F25" s="258">
        <v>45.43</v>
      </c>
      <c r="G25" s="451" t="s">
        <v>5362</v>
      </c>
      <c r="H25" s="255" t="s">
        <v>114</v>
      </c>
      <c r="I25" s="252" t="s">
        <v>1032</v>
      </c>
      <c r="J25" s="252" t="s">
        <v>1033</v>
      </c>
      <c r="K25" s="255" t="s">
        <v>560</v>
      </c>
      <c r="L25" s="252" t="s">
        <v>1016</v>
      </c>
      <c r="M25" s="277" t="s">
        <v>1035</v>
      </c>
      <c r="N25" s="278">
        <v>44383</v>
      </c>
      <c r="O25" s="329" t="s">
        <v>67</v>
      </c>
      <c r="P25" s="330">
        <f t="shared" si="2"/>
        <v>7</v>
      </c>
      <c r="Q25" s="330">
        <f t="shared" si="3"/>
        <v>7</v>
      </c>
      <c r="R25" s="331" t="str">
        <f t="shared" si="1"/>
        <v>Gastos_com_Pessoal</v>
      </c>
      <c r="S25" s="331" t="str">
        <f>IF(D25="","",IF(OR(D25=Plano!$A$1,D25=Plano!$B$1),"entrada","saída"))</f>
        <v>saída</v>
      </c>
      <c r="T25" s="332" t="s">
        <v>114</v>
      </c>
      <c r="U25" s="332" t="s">
        <v>114</v>
      </c>
      <c r="V25" s="333"/>
      <c r="W25" s="269"/>
      <c r="X25" s="269"/>
      <c r="Y25" s="269"/>
      <c r="Z25" s="269"/>
      <c r="AA25" s="269"/>
      <c r="AB25" s="269"/>
      <c r="AC25" s="269"/>
      <c r="AD25" s="269"/>
      <c r="AE25" s="269"/>
      <c r="AF25" s="269"/>
      <c r="AG25" s="269"/>
      <c r="AH25" s="269"/>
      <c r="AI25" s="269"/>
      <c r="AJ25" s="269"/>
      <c r="AK25" s="269"/>
      <c r="AL25" s="269"/>
      <c r="AM25" s="269"/>
    </row>
    <row r="26" spans="1:39" ht="121.5" customHeight="1" x14ac:dyDescent="0.2">
      <c r="A26" s="277">
        <f>IF(B26="","",COUNT('Diário 5º PA'!$A$5:$A$2634)+COUNT('Diário 6º PA'!$A$5:$A$2246)+ROW()-4)</f>
        <v>2565</v>
      </c>
      <c r="B26" s="278">
        <v>44379</v>
      </c>
      <c r="C26" s="259">
        <v>44348</v>
      </c>
      <c r="D26" s="252" t="s">
        <v>99</v>
      </c>
      <c r="E26" s="252" t="s">
        <v>336</v>
      </c>
      <c r="F26" s="257">
        <v>4000</v>
      </c>
      <c r="G26" s="451" t="s">
        <v>1036</v>
      </c>
      <c r="H26" s="252" t="s">
        <v>116</v>
      </c>
      <c r="I26" s="250" t="s">
        <v>1037</v>
      </c>
      <c r="J26" s="250" t="s">
        <v>1038</v>
      </c>
      <c r="K26" s="255" t="s">
        <v>991</v>
      </c>
      <c r="L26" s="250" t="s">
        <v>1016</v>
      </c>
      <c r="M26" s="277">
        <v>212</v>
      </c>
      <c r="N26" s="278">
        <v>44378</v>
      </c>
      <c r="O26" s="329" t="s">
        <v>67</v>
      </c>
      <c r="P26" s="330">
        <f t="shared" si="2"/>
        <v>7</v>
      </c>
      <c r="Q26" s="330">
        <f t="shared" si="3"/>
        <v>6</v>
      </c>
      <c r="R26" s="331" t="str">
        <f t="shared" si="1"/>
        <v>Gastos_Gerais</v>
      </c>
      <c r="S26" s="331" t="str">
        <f>IF(D26="","",IF(OR(D26=Plano!$A$1,D26=Plano!$B$1),"entrada","saída"))</f>
        <v>saída</v>
      </c>
      <c r="T26" s="334" t="s">
        <v>994</v>
      </c>
      <c r="U26" s="334">
        <v>1706</v>
      </c>
      <c r="V26" s="333"/>
      <c r="W26" s="269"/>
      <c r="X26" s="269"/>
      <c r="Y26" s="269"/>
      <c r="Z26" s="269"/>
      <c r="AA26" s="269"/>
      <c r="AB26" s="269"/>
      <c r="AC26" s="269"/>
      <c r="AD26" s="269"/>
      <c r="AE26" s="269"/>
      <c r="AF26" s="269"/>
      <c r="AG26" s="269"/>
      <c r="AH26" s="269"/>
      <c r="AI26" s="269"/>
      <c r="AJ26" s="269"/>
      <c r="AK26" s="269"/>
      <c r="AL26" s="269"/>
      <c r="AM26" s="269"/>
    </row>
    <row r="27" spans="1:39" ht="74.25" customHeight="1" x14ac:dyDescent="0.2">
      <c r="A27" s="277">
        <f>IF(B27="","",COUNT('Diário 5º PA'!$A$5:$A$2634)+COUNT('Diário 6º PA'!$A$5:$A$2246)+ROW()-4)</f>
        <v>2566</v>
      </c>
      <c r="B27" s="278">
        <v>44379</v>
      </c>
      <c r="C27" s="259">
        <v>44378</v>
      </c>
      <c r="D27" s="252" t="s">
        <v>99</v>
      </c>
      <c r="E27" s="252" t="s">
        <v>344</v>
      </c>
      <c r="F27" s="257">
        <v>14.4</v>
      </c>
      <c r="G27" s="451" t="s">
        <v>1039</v>
      </c>
      <c r="H27" s="252" t="s">
        <v>118</v>
      </c>
      <c r="I27" s="250" t="s">
        <v>1040</v>
      </c>
      <c r="J27" s="250" t="s">
        <v>1041</v>
      </c>
      <c r="K27" s="255" t="s">
        <v>991</v>
      </c>
      <c r="L27" s="250" t="s">
        <v>1016</v>
      </c>
      <c r="M27" s="277">
        <v>2140</v>
      </c>
      <c r="N27" s="278">
        <v>44379</v>
      </c>
      <c r="O27" s="329" t="s">
        <v>67</v>
      </c>
      <c r="P27" s="330">
        <f t="shared" si="2"/>
        <v>7</v>
      </c>
      <c r="Q27" s="330">
        <f t="shared" si="3"/>
        <v>7</v>
      </c>
      <c r="R27" s="331" t="str">
        <f t="shared" si="1"/>
        <v>Gastos_Gerais</v>
      </c>
      <c r="S27" s="331" t="str">
        <f>IF(D27="","",IF(OR(D27=Plano!$A$1,D27=Plano!$B$1),"entrada","saída"))</f>
        <v>saída</v>
      </c>
      <c r="T27" s="334" t="s">
        <v>1011</v>
      </c>
      <c r="U27" s="334">
        <v>1731</v>
      </c>
      <c r="V27" s="333"/>
      <c r="W27" s="269"/>
      <c r="X27" s="269"/>
      <c r="Y27" s="269"/>
      <c r="Z27" s="269"/>
      <c r="AA27" s="269"/>
      <c r="AB27" s="269"/>
      <c r="AC27" s="269"/>
      <c r="AD27" s="269"/>
      <c r="AE27" s="269"/>
      <c r="AF27" s="269"/>
      <c r="AG27" s="269"/>
      <c r="AH27" s="269"/>
      <c r="AI27" s="269"/>
      <c r="AJ27" s="269"/>
      <c r="AK27" s="269"/>
      <c r="AL27" s="269"/>
      <c r="AM27" s="269"/>
    </row>
    <row r="28" spans="1:39" ht="146.25" customHeight="1" x14ac:dyDescent="0.2">
      <c r="A28" s="277">
        <f>IF(B28="","",COUNT('Diário 5º PA'!$A$5:$A$2634)+COUNT('Diário 6º PA'!$A$5:$A$2246)+ROW()-4)</f>
        <v>2567</v>
      </c>
      <c r="B28" s="278">
        <v>44379</v>
      </c>
      <c r="C28" s="259">
        <v>44317</v>
      </c>
      <c r="D28" s="252" t="s">
        <v>99</v>
      </c>
      <c r="E28" s="252" t="s">
        <v>336</v>
      </c>
      <c r="F28" s="257">
        <v>1700</v>
      </c>
      <c r="G28" s="451" t="s">
        <v>1042</v>
      </c>
      <c r="H28" s="252" t="s">
        <v>116</v>
      </c>
      <c r="I28" s="250" t="s">
        <v>1043</v>
      </c>
      <c r="J28" s="250" t="s">
        <v>1044</v>
      </c>
      <c r="K28" s="255" t="s">
        <v>991</v>
      </c>
      <c r="L28" s="250" t="s">
        <v>992</v>
      </c>
      <c r="M28" s="277" t="s">
        <v>1045</v>
      </c>
      <c r="N28" s="278">
        <v>44379</v>
      </c>
      <c r="O28" s="329" t="s">
        <v>67</v>
      </c>
      <c r="P28" s="330">
        <f t="shared" si="2"/>
        <v>7</v>
      </c>
      <c r="Q28" s="330">
        <f t="shared" si="3"/>
        <v>5</v>
      </c>
      <c r="R28" s="331" t="str">
        <f t="shared" si="1"/>
        <v>Gastos_Gerais</v>
      </c>
      <c r="S28" s="331" t="str">
        <f>IF(D28="","",IF(OR(D28=Plano!$A$1,D28=Plano!$B$1),"entrada","saída"))</f>
        <v>saída</v>
      </c>
      <c r="T28" s="334" t="s">
        <v>994</v>
      </c>
      <c r="U28" s="334">
        <v>1567</v>
      </c>
      <c r="V28" s="333"/>
      <c r="W28" s="269"/>
      <c r="X28" s="269"/>
      <c r="Y28" s="269"/>
      <c r="Z28" s="269"/>
      <c r="AA28" s="269"/>
      <c r="AB28" s="269"/>
      <c r="AC28" s="269"/>
      <c r="AD28" s="269"/>
      <c r="AE28" s="269"/>
      <c r="AF28" s="269"/>
      <c r="AG28" s="269"/>
      <c r="AH28" s="269"/>
      <c r="AI28" s="269"/>
      <c r="AJ28" s="269"/>
      <c r="AK28" s="269"/>
      <c r="AL28" s="269"/>
      <c r="AM28" s="269"/>
    </row>
    <row r="29" spans="1:39" ht="47.25" customHeight="1" x14ac:dyDescent="0.2">
      <c r="A29" s="277">
        <f>IF(B29="","",COUNT('Diário 5º PA'!$A$5:$A$2634)+COUNT('Diário 6º PA'!$A$5:$A$2246)+ROW()-4)</f>
        <v>2568</v>
      </c>
      <c r="B29" s="278">
        <v>44379</v>
      </c>
      <c r="C29" s="259">
        <v>44348</v>
      </c>
      <c r="D29" s="252" t="s">
        <v>99</v>
      </c>
      <c r="E29" s="252" t="s">
        <v>364</v>
      </c>
      <c r="F29" s="257">
        <v>500</v>
      </c>
      <c r="G29" s="451" t="s">
        <v>1046</v>
      </c>
      <c r="H29" s="252" t="s">
        <v>117</v>
      </c>
      <c r="I29" s="250" t="s">
        <v>1047</v>
      </c>
      <c r="J29" s="250" t="s">
        <v>1048</v>
      </c>
      <c r="K29" s="255" t="s">
        <v>991</v>
      </c>
      <c r="L29" s="250" t="s">
        <v>992</v>
      </c>
      <c r="M29" s="277" t="s">
        <v>1049</v>
      </c>
      <c r="N29" s="278">
        <v>44379</v>
      </c>
      <c r="O29" s="329" t="s">
        <v>67</v>
      </c>
      <c r="P29" s="330">
        <f t="shared" si="2"/>
        <v>7</v>
      </c>
      <c r="Q29" s="330">
        <f t="shared" si="3"/>
        <v>6</v>
      </c>
      <c r="R29" s="331" t="str">
        <f t="shared" si="1"/>
        <v>Gastos_Gerais</v>
      </c>
      <c r="S29" s="331" t="str">
        <f>IF(D29="","",IF(OR(D29=Plano!$A$1,D29=Plano!$B$1),"entrada","saída"))</f>
        <v>saída</v>
      </c>
      <c r="T29" s="334" t="s">
        <v>994</v>
      </c>
      <c r="U29" s="334">
        <v>1629</v>
      </c>
      <c r="V29" s="333"/>
      <c r="W29" s="269"/>
      <c r="X29" s="269"/>
      <c r="Y29" s="269"/>
      <c r="Z29" s="269"/>
      <c r="AA29" s="269"/>
      <c r="AB29" s="269"/>
      <c r="AC29" s="269"/>
      <c r="AD29" s="269"/>
      <c r="AE29" s="269"/>
      <c r="AF29" s="269"/>
      <c r="AG29" s="269"/>
      <c r="AH29" s="269"/>
      <c r="AI29" s="269"/>
      <c r="AJ29" s="269"/>
      <c r="AK29" s="269"/>
      <c r="AL29" s="269"/>
      <c r="AM29" s="269"/>
    </row>
    <row r="30" spans="1:39" ht="134.25" customHeight="1" x14ac:dyDescent="0.2">
      <c r="A30" s="277">
        <f>IF(B30="","",COUNT('Diário 5º PA'!$A$5:$A$2634)+COUNT('Diário 6º PA'!$A$5:$A$2246)+ROW()-4)</f>
        <v>2569</v>
      </c>
      <c r="B30" s="278">
        <v>44379</v>
      </c>
      <c r="C30" s="259">
        <v>44348</v>
      </c>
      <c r="D30" s="252" t="s">
        <v>99</v>
      </c>
      <c r="E30" s="252" t="s">
        <v>364</v>
      </c>
      <c r="F30" s="257">
        <v>6400</v>
      </c>
      <c r="G30" s="451" t="s">
        <v>1050</v>
      </c>
      <c r="H30" s="252" t="s">
        <v>118</v>
      </c>
      <c r="I30" s="250" t="s">
        <v>1051</v>
      </c>
      <c r="J30" s="250" t="s">
        <v>711</v>
      </c>
      <c r="K30" s="255" t="s">
        <v>991</v>
      </c>
      <c r="L30" s="250" t="s">
        <v>992</v>
      </c>
      <c r="M30" s="277" t="s">
        <v>1052</v>
      </c>
      <c r="N30" s="278">
        <v>44379</v>
      </c>
      <c r="O30" s="329" t="s">
        <v>67</v>
      </c>
      <c r="P30" s="330">
        <f t="shared" si="2"/>
        <v>7</v>
      </c>
      <c r="Q30" s="330">
        <f t="shared" si="3"/>
        <v>6</v>
      </c>
      <c r="R30" s="331" t="str">
        <f t="shared" si="1"/>
        <v>Gastos_Gerais</v>
      </c>
      <c r="S30" s="331" t="str">
        <f>IF(D30="","",IF(OR(D30=Plano!$A$1,D30=Plano!$B$1),"entrada","saída"))</f>
        <v>saída</v>
      </c>
      <c r="T30" s="334" t="s">
        <v>994</v>
      </c>
      <c r="U30" s="334">
        <v>1562</v>
      </c>
      <c r="V30" s="333"/>
      <c r="W30" s="269"/>
      <c r="X30" s="269"/>
      <c r="Y30" s="269"/>
      <c r="Z30" s="269"/>
      <c r="AA30" s="269"/>
      <c r="AB30" s="269"/>
      <c r="AC30" s="269"/>
      <c r="AD30" s="269"/>
      <c r="AE30" s="269"/>
      <c r="AF30" s="269"/>
      <c r="AG30" s="269"/>
      <c r="AH30" s="269"/>
      <c r="AI30" s="269"/>
      <c r="AJ30" s="269"/>
      <c r="AK30" s="269"/>
      <c r="AL30" s="269"/>
      <c r="AM30" s="269"/>
    </row>
    <row r="31" spans="1:39" ht="53.25" customHeight="1" x14ac:dyDescent="0.2">
      <c r="A31" s="277">
        <f>IF(B31="","",COUNT('Diário 5º PA'!$A$5:$A$2634)+COUNT('Diário 6º PA'!$A$5:$A$2246)+ROW()-4)</f>
        <v>2570</v>
      </c>
      <c r="B31" s="278">
        <v>44379</v>
      </c>
      <c r="C31" s="335">
        <v>44378</v>
      </c>
      <c r="D31" s="255" t="s">
        <v>99</v>
      </c>
      <c r="E31" s="255" t="s">
        <v>272</v>
      </c>
      <c r="F31" s="258">
        <v>10.45</v>
      </c>
      <c r="G31" s="450" t="s">
        <v>1053</v>
      </c>
      <c r="H31" s="252" t="s">
        <v>116</v>
      </c>
      <c r="I31" s="250" t="s">
        <v>949</v>
      </c>
      <c r="J31" s="255" t="s">
        <v>950</v>
      </c>
      <c r="K31" s="255" t="s">
        <v>951</v>
      </c>
      <c r="L31" s="250" t="s">
        <v>947</v>
      </c>
      <c r="M31" s="336" t="s">
        <v>114</v>
      </c>
      <c r="N31" s="278">
        <v>44379</v>
      </c>
      <c r="O31" s="329" t="s">
        <v>67</v>
      </c>
      <c r="P31" s="330">
        <f t="shared" si="2"/>
        <v>7</v>
      </c>
      <c r="Q31" s="330">
        <f t="shared" si="3"/>
        <v>7</v>
      </c>
      <c r="R31" s="331" t="str">
        <f t="shared" si="1"/>
        <v>Gastos_Gerais</v>
      </c>
      <c r="S31" s="331" t="str">
        <f>IF(D31="","",IF(OR(D31=Plano!$A$1,D31=Plano!$B$1),"entrada","saída"))</f>
        <v>saída</v>
      </c>
      <c r="T31" s="332" t="s">
        <v>114</v>
      </c>
      <c r="U31" s="332" t="s">
        <v>114</v>
      </c>
      <c r="V31" s="333"/>
      <c r="W31" s="269"/>
      <c r="X31" s="269"/>
      <c r="Y31" s="269"/>
      <c r="Z31" s="269"/>
      <c r="AA31" s="269"/>
      <c r="AB31" s="269"/>
      <c r="AC31" s="269"/>
      <c r="AD31" s="269"/>
      <c r="AE31" s="269"/>
      <c r="AF31" s="269"/>
      <c r="AG31" s="269"/>
      <c r="AH31" s="269"/>
      <c r="AI31" s="269"/>
      <c r="AJ31" s="269"/>
      <c r="AK31" s="269"/>
      <c r="AL31" s="269"/>
      <c r="AM31" s="269"/>
    </row>
    <row r="32" spans="1:39" ht="57" customHeight="1" x14ac:dyDescent="0.2">
      <c r="A32" s="277">
        <f>IF(B32="","",COUNT('Diário 5º PA'!$A$5:$A$2634)+COUNT('Diário 6º PA'!$A$5:$A$2246)+ROW()-4)</f>
        <v>2571</v>
      </c>
      <c r="B32" s="278">
        <v>44379</v>
      </c>
      <c r="C32" s="335">
        <v>44378</v>
      </c>
      <c r="D32" s="255" t="s">
        <v>99</v>
      </c>
      <c r="E32" s="255" t="s">
        <v>272</v>
      </c>
      <c r="F32" s="258">
        <v>10.45</v>
      </c>
      <c r="G32" s="450" t="s">
        <v>1054</v>
      </c>
      <c r="H32" s="252" t="s">
        <v>118</v>
      </c>
      <c r="I32" s="250" t="s">
        <v>949</v>
      </c>
      <c r="J32" s="255" t="s">
        <v>950</v>
      </c>
      <c r="K32" s="255" t="s">
        <v>951</v>
      </c>
      <c r="L32" s="250" t="s">
        <v>947</v>
      </c>
      <c r="M32" s="336" t="s">
        <v>114</v>
      </c>
      <c r="N32" s="278">
        <v>44379</v>
      </c>
      <c r="O32" s="329" t="s">
        <v>67</v>
      </c>
      <c r="P32" s="330">
        <f t="shared" si="2"/>
        <v>7</v>
      </c>
      <c r="Q32" s="330">
        <f t="shared" si="3"/>
        <v>7</v>
      </c>
      <c r="R32" s="331" t="str">
        <f t="shared" si="1"/>
        <v>Gastos_Gerais</v>
      </c>
      <c r="S32" s="331" t="str">
        <f>IF(D32="","",IF(OR(D32=Plano!$A$1,D32=Plano!$B$1),"entrada","saída"))</f>
        <v>saída</v>
      </c>
      <c r="T32" s="332" t="s">
        <v>114</v>
      </c>
      <c r="U32" s="332" t="s">
        <v>114</v>
      </c>
      <c r="V32" s="333"/>
      <c r="W32" s="269"/>
      <c r="X32" s="269"/>
      <c r="Y32" s="269"/>
      <c r="Z32" s="269"/>
      <c r="AA32" s="269"/>
      <c r="AB32" s="269"/>
      <c r="AC32" s="269"/>
      <c r="AD32" s="269"/>
      <c r="AE32" s="269"/>
      <c r="AF32" s="269"/>
      <c r="AG32" s="269"/>
      <c r="AH32" s="269"/>
      <c r="AI32" s="269"/>
      <c r="AJ32" s="269"/>
      <c r="AK32" s="269"/>
      <c r="AL32" s="269"/>
      <c r="AM32" s="269"/>
    </row>
    <row r="33" spans="1:39" ht="60.75" customHeight="1" x14ac:dyDescent="0.2">
      <c r="A33" s="277">
        <f>IF(B33="","",COUNT('Diário 5º PA'!$A$5:$A$2634)+COUNT('Diário 6º PA'!$A$5:$A$2246)+ROW()-4)</f>
        <v>2572</v>
      </c>
      <c r="B33" s="278">
        <v>44379</v>
      </c>
      <c r="C33" s="335">
        <v>44378</v>
      </c>
      <c r="D33" s="255" t="s">
        <v>99</v>
      </c>
      <c r="E33" s="255" t="s">
        <v>272</v>
      </c>
      <c r="F33" s="258">
        <v>10.45</v>
      </c>
      <c r="G33" s="450" t="s">
        <v>1055</v>
      </c>
      <c r="H33" s="252" t="s">
        <v>116</v>
      </c>
      <c r="I33" s="250" t="s">
        <v>949</v>
      </c>
      <c r="J33" s="255" t="s">
        <v>950</v>
      </c>
      <c r="K33" s="255" t="s">
        <v>951</v>
      </c>
      <c r="L33" s="250" t="s">
        <v>947</v>
      </c>
      <c r="M33" s="336" t="s">
        <v>114</v>
      </c>
      <c r="N33" s="278">
        <v>44379</v>
      </c>
      <c r="O33" s="329" t="s">
        <v>67</v>
      </c>
      <c r="P33" s="330">
        <f t="shared" si="2"/>
        <v>7</v>
      </c>
      <c r="Q33" s="330">
        <f t="shared" si="3"/>
        <v>7</v>
      </c>
      <c r="R33" s="331" t="str">
        <f t="shared" si="1"/>
        <v>Gastos_Gerais</v>
      </c>
      <c r="S33" s="331" t="str">
        <f>IF(D33="","",IF(OR(D33=Plano!$A$1,D33=Plano!$B$1),"entrada","saída"))</f>
        <v>saída</v>
      </c>
      <c r="T33" s="332" t="s">
        <v>114</v>
      </c>
      <c r="U33" s="332" t="s">
        <v>114</v>
      </c>
      <c r="V33" s="333"/>
      <c r="W33" s="269"/>
      <c r="X33" s="269"/>
      <c r="Y33" s="269"/>
      <c r="Z33" s="269"/>
      <c r="AA33" s="269"/>
      <c r="AB33" s="269"/>
      <c r="AC33" s="269"/>
      <c r="AD33" s="269"/>
      <c r="AE33" s="269"/>
      <c r="AF33" s="269"/>
      <c r="AG33" s="269"/>
      <c r="AH33" s="269"/>
      <c r="AI33" s="269"/>
      <c r="AJ33" s="269"/>
      <c r="AK33" s="269"/>
      <c r="AL33" s="269"/>
      <c r="AM33" s="269"/>
    </row>
    <row r="34" spans="1:39" ht="66" customHeight="1" x14ac:dyDescent="0.2">
      <c r="A34" s="277">
        <f>IF(B34="","",COUNT('Diário 5º PA'!$A$5:$A$2634)+COUNT('Diário 6º PA'!$A$5:$A$2246)+ROW()-4)</f>
        <v>2573</v>
      </c>
      <c r="B34" s="278">
        <v>44379</v>
      </c>
      <c r="C34" s="335">
        <v>44378</v>
      </c>
      <c r="D34" s="255" t="s">
        <v>99</v>
      </c>
      <c r="E34" s="255" t="s">
        <v>272</v>
      </c>
      <c r="F34" s="258">
        <v>10.45</v>
      </c>
      <c r="G34" s="450" t="s">
        <v>1056</v>
      </c>
      <c r="H34" s="252" t="s">
        <v>117</v>
      </c>
      <c r="I34" s="250" t="s">
        <v>949</v>
      </c>
      <c r="J34" s="255" t="s">
        <v>950</v>
      </c>
      <c r="K34" s="255" t="s">
        <v>951</v>
      </c>
      <c r="L34" s="250" t="s">
        <v>947</v>
      </c>
      <c r="M34" s="336" t="s">
        <v>114</v>
      </c>
      <c r="N34" s="278">
        <v>44379</v>
      </c>
      <c r="O34" s="329" t="s">
        <v>67</v>
      </c>
      <c r="P34" s="330">
        <f t="shared" si="2"/>
        <v>7</v>
      </c>
      <c r="Q34" s="330">
        <f t="shared" si="3"/>
        <v>7</v>
      </c>
      <c r="R34" s="331" t="str">
        <f t="shared" si="1"/>
        <v>Gastos_Gerais</v>
      </c>
      <c r="S34" s="331" t="str">
        <f>IF(D34="","",IF(OR(D34=Plano!$A$1,D34=Plano!$B$1),"entrada","saída"))</f>
        <v>saída</v>
      </c>
      <c r="T34" s="332" t="s">
        <v>114</v>
      </c>
      <c r="U34" s="332" t="s">
        <v>114</v>
      </c>
      <c r="V34" s="333"/>
      <c r="W34" s="269"/>
      <c r="X34" s="269"/>
      <c r="Y34" s="269"/>
      <c r="Z34" s="269"/>
      <c r="AA34" s="269"/>
      <c r="AB34" s="269"/>
      <c r="AC34" s="269"/>
      <c r="AD34" s="269"/>
      <c r="AE34" s="269"/>
      <c r="AF34" s="269"/>
      <c r="AG34" s="269"/>
      <c r="AH34" s="269"/>
      <c r="AI34" s="269"/>
      <c r="AJ34" s="269"/>
      <c r="AK34" s="269"/>
      <c r="AL34" s="269"/>
      <c r="AM34" s="269"/>
    </row>
    <row r="35" spans="1:39" ht="144.75" customHeight="1" x14ac:dyDescent="0.2">
      <c r="A35" s="277">
        <f>IF(B35="","",COUNT('Diário 5º PA'!$A$5:$A$2634)+COUNT('Diário 6º PA'!$A$5:$A$2246)+ROW()-4)</f>
        <v>2574</v>
      </c>
      <c r="B35" s="278">
        <v>44379</v>
      </c>
      <c r="C35" s="249">
        <v>44256</v>
      </c>
      <c r="D35" s="250" t="s">
        <v>104</v>
      </c>
      <c r="E35" s="250" t="s">
        <v>104</v>
      </c>
      <c r="F35" s="251">
        <v>4390.3999999999996</v>
      </c>
      <c r="G35" s="452" t="s">
        <v>582</v>
      </c>
      <c r="H35" s="250" t="s">
        <v>104</v>
      </c>
      <c r="I35" s="252" t="s">
        <v>1057</v>
      </c>
      <c r="J35" s="250" t="s">
        <v>583</v>
      </c>
      <c r="K35" s="255" t="s">
        <v>1015</v>
      </c>
      <c r="L35" s="250" t="s">
        <v>992</v>
      </c>
      <c r="M35" s="277" t="s">
        <v>1058</v>
      </c>
      <c r="N35" s="278">
        <v>44378</v>
      </c>
      <c r="O35" s="329" t="s">
        <v>69</v>
      </c>
      <c r="P35" s="330">
        <f t="shared" si="2"/>
        <v>7</v>
      </c>
      <c r="Q35" s="330">
        <f t="shared" si="3"/>
        <v>3</v>
      </c>
      <c r="R35" s="331" t="str">
        <f t="shared" si="1"/>
        <v>Gastos_custeados_por_captação</v>
      </c>
      <c r="S35" s="331" t="str">
        <f>IF(D35="","",IF(OR(D35=Plano!$A$1,D35=Plano!$B$1),"entrada","saída"))</f>
        <v>saída</v>
      </c>
      <c r="T35" s="332" t="s">
        <v>1059</v>
      </c>
      <c r="U35" s="332">
        <v>1428</v>
      </c>
      <c r="V35" s="333"/>
      <c r="W35" s="269"/>
      <c r="X35" s="269"/>
      <c r="Y35" s="269"/>
      <c r="Z35" s="269"/>
      <c r="AA35" s="269"/>
      <c r="AB35" s="269"/>
      <c r="AC35" s="269"/>
      <c r="AD35" s="269"/>
      <c r="AE35" s="269"/>
      <c r="AF35" s="269"/>
      <c r="AG35" s="269"/>
      <c r="AH35" s="269"/>
      <c r="AI35" s="269"/>
      <c r="AJ35" s="269"/>
      <c r="AK35" s="269"/>
      <c r="AL35" s="269"/>
      <c r="AM35" s="269"/>
    </row>
    <row r="36" spans="1:39" ht="141.75" customHeight="1" x14ac:dyDescent="0.2">
      <c r="A36" s="277">
        <f>IF(B36="","",COUNT('Diário 5º PA'!$A$5:$A$2634)+COUNT('Diário 6º PA'!$A$5:$A$2246)+ROW()-4)</f>
        <v>2575</v>
      </c>
      <c r="B36" s="278">
        <v>44379</v>
      </c>
      <c r="C36" s="249">
        <v>44348</v>
      </c>
      <c r="D36" s="250" t="s">
        <v>104</v>
      </c>
      <c r="E36" s="250" t="s">
        <v>104</v>
      </c>
      <c r="F36" s="251">
        <v>3000</v>
      </c>
      <c r="G36" s="452" t="s">
        <v>495</v>
      </c>
      <c r="H36" s="250" t="s">
        <v>104</v>
      </c>
      <c r="I36" s="252" t="s">
        <v>1060</v>
      </c>
      <c r="J36" s="250" t="s">
        <v>496</v>
      </c>
      <c r="K36" s="255" t="s">
        <v>1015</v>
      </c>
      <c r="L36" s="250" t="s">
        <v>1016</v>
      </c>
      <c r="M36" s="277" t="s">
        <v>1061</v>
      </c>
      <c r="N36" s="278">
        <v>44379</v>
      </c>
      <c r="O36" s="329" t="s">
        <v>69</v>
      </c>
      <c r="P36" s="330">
        <f t="shared" si="2"/>
        <v>7</v>
      </c>
      <c r="Q36" s="330">
        <f t="shared" si="3"/>
        <v>6</v>
      </c>
      <c r="R36" s="331" t="str">
        <f t="shared" si="1"/>
        <v>Gastos_custeados_por_captação</v>
      </c>
      <c r="S36" s="331" t="str">
        <f>IF(D36="","",IF(OR(D36=Plano!$A$1,D36=Plano!$B$1),"entrada","saída"))</f>
        <v>saída</v>
      </c>
      <c r="T36" s="332" t="s">
        <v>1059</v>
      </c>
      <c r="U36" s="332">
        <v>1300</v>
      </c>
      <c r="V36" s="333"/>
      <c r="W36" s="269"/>
      <c r="X36" s="269"/>
      <c r="Y36" s="269"/>
      <c r="Z36" s="269"/>
      <c r="AA36" s="269"/>
      <c r="AB36" s="269"/>
      <c r="AC36" s="269"/>
      <c r="AD36" s="269"/>
      <c r="AE36" s="269"/>
      <c r="AF36" s="269"/>
      <c r="AG36" s="269"/>
      <c r="AH36" s="269"/>
      <c r="AI36" s="269"/>
      <c r="AJ36" s="269"/>
      <c r="AK36" s="269"/>
      <c r="AL36" s="269"/>
      <c r="AM36" s="269"/>
    </row>
    <row r="37" spans="1:39" ht="100.5" customHeight="1" x14ac:dyDescent="0.2">
      <c r="A37" s="277">
        <f>IF(B37="","",COUNT('Diário 5º PA'!$A$5:$A$2634)+COUNT('Diário 6º PA'!$A$5:$A$2246)+ROW()-4)</f>
        <v>2576</v>
      </c>
      <c r="B37" s="278">
        <v>44379</v>
      </c>
      <c r="C37" s="249">
        <v>44348</v>
      </c>
      <c r="D37" s="250" t="s">
        <v>104</v>
      </c>
      <c r="E37" s="250" t="s">
        <v>104</v>
      </c>
      <c r="F37" s="251">
        <v>336</v>
      </c>
      <c r="G37" s="452" t="s">
        <v>1062</v>
      </c>
      <c r="H37" s="250" t="s">
        <v>104</v>
      </c>
      <c r="I37" s="250" t="s">
        <v>1063</v>
      </c>
      <c r="J37" s="250" t="s">
        <v>1064</v>
      </c>
      <c r="K37" s="255" t="s">
        <v>1015</v>
      </c>
      <c r="L37" s="250" t="s">
        <v>1029</v>
      </c>
      <c r="M37" s="277">
        <v>1211</v>
      </c>
      <c r="N37" s="278">
        <v>44378</v>
      </c>
      <c r="O37" s="329" t="s">
        <v>70</v>
      </c>
      <c r="P37" s="330">
        <f t="shared" si="2"/>
        <v>7</v>
      </c>
      <c r="Q37" s="330">
        <f t="shared" si="3"/>
        <v>6</v>
      </c>
      <c r="R37" s="331" t="str">
        <f t="shared" si="1"/>
        <v>Gastos_custeados_por_captação</v>
      </c>
      <c r="S37" s="331" t="str">
        <f>IF(D37="","",IF(OR(D37=Plano!$A$1,D37=Plano!$B$1),"entrada","saída"))</f>
        <v>saída</v>
      </c>
      <c r="T37" s="332" t="s">
        <v>1059</v>
      </c>
      <c r="U37" s="332">
        <v>1663</v>
      </c>
      <c r="V37" s="333"/>
      <c r="W37" s="269"/>
      <c r="X37" s="269"/>
      <c r="Y37" s="269"/>
      <c r="Z37" s="269"/>
      <c r="AA37" s="269"/>
      <c r="AB37" s="269"/>
      <c r="AC37" s="269"/>
      <c r="AD37" s="269"/>
      <c r="AE37" s="269"/>
      <c r="AF37" s="269"/>
      <c r="AG37" s="269"/>
      <c r="AH37" s="269"/>
      <c r="AI37" s="269"/>
      <c r="AJ37" s="269"/>
      <c r="AK37" s="269"/>
      <c r="AL37" s="269"/>
      <c r="AM37" s="269"/>
    </row>
    <row r="38" spans="1:39" ht="54.75" customHeight="1" x14ac:dyDescent="0.2">
      <c r="A38" s="277">
        <f>IF(B38="","",COUNT('Diário 5º PA'!$A$5:$A$2634)+COUNT('Diário 6º PA'!$A$5:$A$2246)+ROW()-4)</f>
        <v>2577</v>
      </c>
      <c r="B38" s="278">
        <v>44382</v>
      </c>
      <c r="C38" s="256">
        <v>44348</v>
      </c>
      <c r="D38" s="255" t="s">
        <v>99</v>
      </c>
      <c r="E38" s="255" t="s">
        <v>330</v>
      </c>
      <c r="F38" s="257">
        <v>-12.45</v>
      </c>
      <c r="G38" s="453" t="s">
        <v>1065</v>
      </c>
      <c r="H38" s="255" t="s">
        <v>115</v>
      </c>
      <c r="I38" s="250" t="s">
        <v>983</v>
      </c>
      <c r="J38" s="255" t="s">
        <v>850</v>
      </c>
      <c r="K38" s="255" t="s">
        <v>946</v>
      </c>
      <c r="L38" s="250" t="s">
        <v>947</v>
      </c>
      <c r="M38" s="277" t="s">
        <v>114</v>
      </c>
      <c r="N38" s="278">
        <v>44382</v>
      </c>
      <c r="O38" s="329" t="s">
        <v>67</v>
      </c>
      <c r="P38" s="330">
        <f t="shared" si="2"/>
        <v>7</v>
      </c>
      <c r="Q38" s="330">
        <f t="shared" si="3"/>
        <v>6</v>
      </c>
      <c r="R38" s="331" t="str">
        <f t="shared" si="1"/>
        <v>Gastos_Gerais</v>
      </c>
      <c r="S38" s="331" t="str">
        <f>IF(D38="","",IF(OR(D38=Plano!$A$1,D38=Plano!$B$1),"entrada","saída"))</f>
        <v>saída</v>
      </c>
      <c r="T38" s="332" t="s">
        <v>114</v>
      </c>
      <c r="U38" s="332" t="s">
        <v>114</v>
      </c>
      <c r="V38" s="333"/>
      <c r="W38" s="269"/>
      <c r="X38" s="269"/>
      <c r="Y38" s="269"/>
      <c r="Z38" s="269"/>
      <c r="AA38" s="269"/>
      <c r="AB38" s="269"/>
      <c r="AC38" s="269"/>
      <c r="AD38" s="269"/>
      <c r="AE38" s="269"/>
      <c r="AF38" s="269"/>
      <c r="AG38" s="269"/>
      <c r="AH38" s="269"/>
      <c r="AI38" s="269"/>
      <c r="AJ38" s="269"/>
      <c r="AK38" s="269"/>
      <c r="AL38" s="269"/>
      <c r="AM38" s="269"/>
    </row>
    <row r="39" spans="1:39" ht="59.25" customHeight="1" x14ac:dyDescent="0.2">
      <c r="A39" s="277">
        <f>IF(B39="","",COUNT('Diário 5º PA'!$A$5:$A$2634)+COUNT('Diário 6º PA'!$A$5:$A$2246)+ROW()-4)</f>
        <v>2578</v>
      </c>
      <c r="B39" s="278">
        <v>44382</v>
      </c>
      <c r="C39" s="256">
        <v>44348</v>
      </c>
      <c r="D39" s="255" t="s">
        <v>99</v>
      </c>
      <c r="E39" s="255" t="s">
        <v>330</v>
      </c>
      <c r="F39" s="257">
        <v>-24.9</v>
      </c>
      <c r="G39" s="453" t="s">
        <v>1066</v>
      </c>
      <c r="H39" s="255" t="s">
        <v>115</v>
      </c>
      <c r="I39" s="250" t="s">
        <v>983</v>
      </c>
      <c r="J39" s="255" t="s">
        <v>850</v>
      </c>
      <c r="K39" s="255" t="s">
        <v>946</v>
      </c>
      <c r="L39" s="250" t="s">
        <v>947</v>
      </c>
      <c r="M39" s="277" t="s">
        <v>114</v>
      </c>
      <c r="N39" s="278">
        <v>44382</v>
      </c>
      <c r="O39" s="329" t="s">
        <v>67</v>
      </c>
      <c r="P39" s="330">
        <f t="shared" si="2"/>
        <v>7</v>
      </c>
      <c r="Q39" s="330">
        <f t="shared" si="3"/>
        <v>6</v>
      </c>
      <c r="R39" s="331" t="str">
        <f t="shared" si="1"/>
        <v>Gastos_Gerais</v>
      </c>
      <c r="S39" s="331" t="str">
        <f>IF(D39="","",IF(OR(D39=Plano!$A$1,D39=Plano!$B$1),"entrada","saída"))</f>
        <v>saída</v>
      </c>
      <c r="T39" s="332" t="s">
        <v>114</v>
      </c>
      <c r="U39" s="332" t="s">
        <v>114</v>
      </c>
      <c r="V39" s="333"/>
      <c r="W39" s="269"/>
      <c r="X39" s="269"/>
      <c r="Y39" s="269"/>
      <c r="Z39" s="269"/>
      <c r="AA39" s="269"/>
      <c r="AB39" s="269"/>
      <c r="AC39" s="269"/>
      <c r="AD39" s="269"/>
      <c r="AE39" s="269"/>
      <c r="AF39" s="269"/>
      <c r="AG39" s="269"/>
      <c r="AH39" s="269"/>
      <c r="AI39" s="269"/>
      <c r="AJ39" s="269"/>
      <c r="AK39" s="269"/>
      <c r="AL39" s="269"/>
      <c r="AM39" s="269"/>
    </row>
    <row r="40" spans="1:39" ht="70.5" customHeight="1" x14ac:dyDescent="0.2">
      <c r="A40" s="277">
        <f>IF(B40="","",COUNT('Diário 5º PA'!$A$5:$A$2634)+COUNT('Diário 6º PA'!$A$5:$A$2246)+ROW()-4)</f>
        <v>2579</v>
      </c>
      <c r="B40" s="278">
        <v>44382</v>
      </c>
      <c r="C40" s="256">
        <v>44348</v>
      </c>
      <c r="D40" s="255" t="s">
        <v>99</v>
      </c>
      <c r="E40" s="255" t="s">
        <v>330</v>
      </c>
      <c r="F40" s="257">
        <v>-149.4</v>
      </c>
      <c r="G40" s="453" t="s">
        <v>1067</v>
      </c>
      <c r="H40" s="255" t="s">
        <v>115</v>
      </c>
      <c r="I40" s="250" t="s">
        <v>983</v>
      </c>
      <c r="J40" s="255" t="s">
        <v>850</v>
      </c>
      <c r="K40" s="255" t="s">
        <v>946</v>
      </c>
      <c r="L40" s="250" t="s">
        <v>947</v>
      </c>
      <c r="M40" s="277" t="s">
        <v>114</v>
      </c>
      <c r="N40" s="278">
        <v>44382</v>
      </c>
      <c r="O40" s="329" t="s">
        <v>67</v>
      </c>
      <c r="P40" s="330">
        <f t="shared" si="2"/>
        <v>7</v>
      </c>
      <c r="Q40" s="330">
        <f t="shared" si="3"/>
        <v>6</v>
      </c>
      <c r="R40" s="331" t="str">
        <f t="shared" si="1"/>
        <v>Gastos_Gerais</v>
      </c>
      <c r="S40" s="331" t="str">
        <f>IF(D40="","",IF(OR(D40=Plano!$A$1,D40=Plano!$B$1),"entrada","saída"))</f>
        <v>saída</v>
      </c>
      <c r="T40" s="332" t="s">
        <v>114</v>
      </c>
      <c r="U40" s="332" t="s">
        <v>114</v>
      </c>
      <c r="V40" s="333"/>
      <c r="W40" s="269"/>
      <c r="X40" s="269"/>
      <c r="Y40" s="269"/>
      <c r="Z40" s="269"/>
      <c r="AA40" s="269"/>
      <c r="AB40" s="269"/>
      <c r="AC40" s="269"/>
      <c r="AD40" s="269"/>
      <c r="AE40" s="269"/>
      <c r="AF40" s="269"/>
      <c r="AG40" s="269"/>
      <c r="AH40" s="269"/>
      <c r="AI40" s="269"/>
      <c r="AJ40" s="269"/>
      <c r="AK40" s="269"/>
      <c r="AL40" s="269"/>
      <c r="AM40" s="269"/>
    </row>
    <row r="41" spans="1:39" ht="72.75" customHeight="1" x14ac:dyDescent="0.2">
      <c r="A41" s="277">
        <f>IF(B41="","",COUNT('Diário 5º PA'!$A$5:$A$2634)+COUNT('Diário 6º PA'!$A$5:$A$2246)+ROW()-4)</f>
        <v>2580</v>
      </c>
      <c r="B41" s="278">
        <v>44382</v>
      </c>
      <c r="C41" s="256">
        <v>44348</v>
      </c>
      <c r="D41" s="255" t="s">
        <v>99</v>
      </c>
      <c r="E41" s="255" t="s">
        <v>228</v>
      </c>
      <c r="F41" s="257">
        <v>-2244.85</v>
      </c>
      <c r="G41" s="451" t="s">
        <v>1068</v>
      </c>
      <c r="H41" s="255" t="s">
        <v>115</v>
      </c>
      <c r="I41" s="250" t="s">
        <v>983</v>
      </c>
      <c r="J41" s="255" t="s">
        <v>850</v>
      </c>
      <c r="K41" s="255" t="s">
        <v>1069</v>
      </c>
      <c r="L41" s="250" t="s">
        <v>947</v>
      </c>
      <c r="M41" s="277" t="s">
        <v>114</v>
      </c>
      <c r="N41" s="278">
        <v>44382</v>
      </c>
      <c r="O41" s="329" t="s">
        <v>67</v>
      </c>
      <c r="P41" s="330">
        <f t="shared" si="2"/>
        <v>7</v>
      </c>
      <c r="Q41" s="330">
        <f t="shared" si="3"/>
        <v>6</v>
      </c>
      <c r="R41" s="331" t="str">
        <f t="shared" si="1"/>
        <v>Gastos_Gerais</v>
      </c>
      <c r="S41" s="331" t="str">
        <f>IF(D41="","",IF(OR(D41=Plano!$A$1,D41=Plano!$B$1),"entrada","saída"))</f>
        <v>saída</v>
      </c>
      <c r="T41" s="332" t="s">
        <v>114</v>
      </c>
      <c r="U41" s="332" t="s">
        <v>114</v>
      </c>
      <c r="V41" s="333"/>
      <c r="W41" s="269"/>
      <c r="X41" s="269"/>
      <c r="Y41" s="269"/>
      <c r="Z41" s="269"/>
      <c r="AA41" s="269"/>
      <c r="AB41" s="269"/>
      <c r="AC41" s="269"/>
      <c r="AD41" s="269"/>
      <c r="AE41" s="269"/>
      <c r="AF41" s="269"/>
      <c r="AG41" s="269"/>
      <c r="AH41" s="269"/>
      <c r="AI41" s="269"/>
      <c r="AJ41" s="269"/>
      <c r="AK41" s="269"/>
      <c r="AL41" s="269"/>
      <c r="AM41" s="269"/>
    </row>
    <row r="42" spans="1:39" ht="170.25" customHeight="1" x14ac:dyDescent="0.2">
      <c r="A42" s="277">
        <f>IF(B42="","",COUNT('Diário 5º PA'!$A$5:$A$2634)+COUNT('Diário 6º PA'!$A$5:$A$2246)+ROW()-4)</f>
        <v>2581</v>
      </c>
      <c r="B42" s="278">
        <v>44382</v>
      </c>
      <c r="C42" s="256">
        <v>44348</v>
      </c>
      <c r="D42" s="255" t="s">
        <v>99</v>
      </c>
      <c r="E42" s="255" t="s">
        <v>262</v>
      </c>
      <c r="F42" s="257">
        <v>-924.35</v>
      </c>
      <c r="G42" s="451" t="s">
        <v>1070</v>
      </c>
      <c r="H42" s="255" t="s">
        <v>115</v>
      </c>
      <c r="I42" s="250" t="s">
        <v>983</v>
      </c>
      <c r="J42" s="255" t="s">
        <v>850</v>
      </c>
      <c r="K42" s="255" t="s">
        <v>1069</v>
      </c>
      <c r="L42" s="250" t="s">
        <v>947</v>
      </c>
      <c r="M42" s="277" t="s">
        <v>114</v>
      </c>
      <c r="N42" s="278">
        <v>44382</v>
      </c>
      <c r="O42" s="329" t="s">
        <v>67</v>
      </c>
      <c r="P42" s="330">
        <f t="shared" si="2"/>
        <v>7</v>
      </c>
      <c r="Q42" s="330">
        <f t="shared" si="3"/>
        <v>6</v>
      </c>
      <c r="R42" s="331" t="str">
        <f t="shared" si="1"/>
        <v>Gastos_Gerais</v>
      </c>
      <c r="S42" s="331" t="str">
        <f>IF(D42="","",IF(OR(D42=Plano!$A$1,D42=Plano!$B$1),"entrada","saída"))</f>
        <v>saída</v>
      </c>
      <c r="T42" s="332" t="s">
        <v>114</v>
      </c>
      <c r="U42" s="332" t="s">
        <v>114</v>
      </c>
      <c r="V42" s="333"/>
      <c r="W42" s="269"/>
      <c r="X42" s="269"/>
      <c r="Y42" s="269"/>
      <c r="Z42" s="269"/>
      <c r="AA42" s="269"/>
      <c r="AB42" s="269"/>
      <c r="AC42" s="269"/>
      <c r="AD42" s="269"/>
      <c r="AE42" s="269"/>
      <c r="AF42" s="269"/>
      <c r="AG42" s="269"/>
      <c r="AH42" s="269"/>
      <c r="AI42" s="269"/>
      <c r="AJ42" s="269"/>
      <c r="AK42" s="269"/>
      <c r="AL42" s="269"/>
      <c r="AM42" s="269"/>
    </row>
    <row r="43" spans="1:39" ht="100.5" customHeight="1" x14ac:dyDescent="0.2">
      <c r="A43" s="277">
        <f>IF(B43="","",COUNT('Diário 5º PA'!$A$5:$A$2634)+COUNT('Diário 6º PA'!$A$5:$A$2246)+ROW()-4)</f>
        <v>2582</v>
      </c>
      <c r="B43" s="278">
        <v>44382</v>
      </c>
      <c r="C43" s="256">
        <v>44348</v>
      </c>
      <c r="D43" s="255" t="s">
        <v>99</v>
      </c>
      <c r="E43" s="255" t="s">
        <v>262</v>
      </c>
      <c r="F43" s="257">
        <v>-1743.06</v>
      </c>
      <c r="G43" s="451" t="s">
        <v>1071</v>
      </c>
      <c r="H43" s="255" t="s">
        <v>115</v>
      </c>
      <c r="I43" s="250" t="s">
        <v>983</v>
      </c>
      <c r="J43" s="255" t="s">
        <v>850</v>
      </c>
      <c r="K43" s="255" t="s">
        <v>1069</v>
      </c>
      <c r="L43" s="250" t="s">
        <v>947</v>
      </c>
      <c r="M43" s="277" t="s">
        <v>114</v>
      </c>
      <c r="N43" s="278">
        <v>44382</v>
      </c>
      <c r="O43" s="329" t="s">
        <v>67</v>
      </c>
      <c r="P43" s="330">
        <f t="shared" si="2"/>
        <v>7</v>
      </c>
      <c r="Q43" s="330">
        <f t="shared" si="3"/>
        <v>6</v>
      </c>
      <c r="R43" s="331" t="str">
        <f t="shared" si="1"/>
        <v>Gastos_Gerais</v>
      </c>
      <c r="S43" s="331" t="str">
        <f>IF(D43="","",IF(OR(D43=Plano!$A$1,D43=Plano!$B$1),"entrada","saída"))</f>
        <v>saída</v>
      </c>
      <c r="T43" s="332" t="s">
        <v>114</v>
      </c>
      <c r="U43" s="332" t="s">
        <v>114</v>
      </c>
      <c r="V43" s="333"/>
      <c r="W43" s="269"/>
      <c r="X43" s="269"/>
      <c r="Y43" s="269"/>
      <c r="Z43" s="269"/>
      <c r="AA43" s="269"/>
      <c r="AB43" s="269"/>
      <c r="AC43" s="269"/>
      <c r="AD43" s="269"/>
      <c r="AE43" s="269"/>
      <c r="AF43" s="269"/>
      <c r="AG43" s="269"/>
      <c r="AH43" s="269"/>
      <c r="AI43" s="269"/>
      <c r="AJ43" s="269"/>
      <c r="AK43" s="269"/>
      <c r="AL43" s="269"/>
      <c r="AM43" s="269"/>
    </row>
    <row r="44" spans="1:39" ht="132" customHeight="1" x14ac:dyDescent="0.2">
      <c r="A44" s="277">
        <f>IF(B44="","",COUNT('Diário 5º PA'!$A$5:$A$2634)+COUNT('Diário 6º PA'!$A$5:$A$2246)+ROW()-4)</f>
        <v>2583</v>
      </c>
      <c r="B44" s="278">
        <v>44382</v>
      </c>
      <c r="C44" s="259">
        <v>44287</v>
      </c>
      <c r="D44" s="252" t="s">
        <v>99</v>
      </c>
      <c r="E44" s="252" t="s">
        <v>358</v>
      </c>
      <c r="F44" s="257">
        <v>1068</v>
      </c>
      <c r="G44" s="451" t="s">
        <v>1072</v>
      </c>
      <c r="H44" s="252" t="s">
        <v>122</v>
      </c>
      <c r="I44" s="252" t="s">
        <v>1073</v>
      </c>
      <c r="J44" s="250" t="s">
        <v>1074</v>
      </c>
      <c r="K44" s="255" t="s">
        <v>1015</v>
      </c>
      <c r="L44" s="250" t="s">
        <v>1029</v>
      </c>
      <c r="M44" s="277">
        <v>1224</v>
      </c>
      <c r="N44" s="278">
        <v>44379</v>
      </c>
      <c r="O44" s="329" t="s">
        <v>67</v>
      </c>
      <c r="P44" s="330">
        <f t="shared" si="2"/>
        <v>7</v>
      </c>
      <c r="Q44" s="330">
        <f t="shared" si="3"/>
        <v>4</v>
      </c>
      <c r="R44" s="331" t="str">
        <f t="shared" si="1"/>
        <v>Gastos_Gerais</v>
      </c>
      <c r="S44" s="331" t="str">
        <f>IF(D44="","",IF(OR(D44=Plano!$A$1,D44=Plano!$B$1),"entrada","saída"))</f>
        <v>saída</v>
      </c>
      <c r="T44" s="334" t="s">
        <v>994</v>
      </c>
      <c r="U44" s="334">
        <v>1536</v>
      </c>
      <c r="V44" s="333"/>
      <c r="W44" s="269"/>
      <c r="X44" s="269"/>
      <c r="Y44" s="269"/>
      <c r="Z44" s="269"/>
      <c r="AA44" s="269"/>
      <c r="AB44" s="269"/>
      <c r="AC44" s="269"/>
      <c r="AD44" s="269"/>
      <c r="AE44" s="269"/>
      <c r="AF44" s="269"/>
      <c r="AG44" s="269"/>
      <c r="AH44" s="269"/>
      <c r="AI44" s="269"/>
      <c r="AJ44" s="269"/>
      <c r="AK44" s="269"/>
      <c r="AL44" s="269"/>
      <c r="AM44" s="269"/>
    </row>
    <row r="45" spans="1:39" ht="126.75" customHeight="1" x14ac:dyDescent="0.2">
      <c r="A45" s="277">
        <f>IF(B45="","",COUNT('Diário 5º PA'!$A$5:$A$2634)+COUNT('Diário 6º PA'!$A$5:$A$2246)+ROW()-4)</f>
        <v>2584</v>
      </c>
      <c r="B45" s="278">
        <v>44382</v>
      </c>
      <c r="C45" s="259">
        <v>44348</v>
      </c>
      <c r="D45" s="252" t="s">
        <v>99</v>
      </c>
      <c r="E45" s="252" t="s">
        <v>358</v>
      </c>
      <c r="F45" s="257">
        <v>860</v>
      </c>
      <c r="G45" s="451" t="s">
        <v>1075</v>
      </c>
      <c r="H45" s="252" t="s">
        <v>127</v>
      </c>
      <c r="I45" s="250" t="s">
        <v>1076</v>
      </c>
      <c r="J45" s="250" t="s">
        <v>1077</v>
      </c>
      <c r="K45" s="255" t="s">
        <v>1015</v>
      </c>
      <c r="L45" s="250" t="s">
        <v>1029</v>
      </c>
      <c r="M45" s="277">
        <v>1219</v>
      </c>
      <c r="N45" s="278">
        <v>44379</v>
      </c>
      <c r="O45" s="329" t="s">
        <v>67</v>
      </c>
      <c r="P45" s="330">
        <f t="shared" si="2"/>
        <v>7</v>
      </c>
      <c r="Q45" s="330">
        <f t="shared" si="3"/>
        <v>6</v>
      </c>
      <c r="R45" s="331" t="str">
        <f t="shared" si="1"/>
        <v>Gastos_Gerais</v>
      </c>
      <c r="S45" s="331" t="str">
        <f>IF(D45="","",IF(OR(D45=Plano!$A$1,D45=Plano!$B$1),"entrada","saída"))</f>
        <v>saída</v>
      </c>
      <c r="T45" s="334" t="s">
        <v>994</v>
      </c>
      <c r="U45" s="334">
        <v>1678</v>
      </c>
      <c r="V45" s="333"/>
      <c r="W45" s="269"/>
      <c r="X45" s="269"/>
      <c r="Y45" s="269"/>
      <c r="Z45" s="269"/>
      <c r="AA45" s="269"/>
      <c r="AB45" s="269"/>
      <c r="AC45" s="269"/>
      <c r="AD45" s="269"/>
      <c r="AE45" s="269"/>
      <c r="AF45" s="269"/>
      <c r="AG45" s="269"/>
      <c r="AH45" s="269"/>
      <c r="AI45" s="269"/>
      <c r="AJ45" s="269"/>
      <c r="AK45" s="269"/>
      <c r="AL45" s="269"/>
      <c r="AM45" s="269"/>
    </row>
    <row r="46" spans="1:39" ht="136.5" customHeight="1" x14ac:dyDescent="0.2">
      <c r="A46" s="277">
        <f>IF(B46="","",COUNT('Diário 5º PA'!$A$5:$A$2634)+COUNT('Diário 6º PA'!$A$5:$A$2246)+ROW()-4)</f>
        <v>2585</v>
      </c>
      <c r="B46" s="278">
        <v>44382</v>
      </c>
      <c r="C46" s="259">
        <v>44348</v>
      </c>
      <c r="D46" s="252" t="s">
        <v>99</v>
      </c>
      <c r="E46" s="252" t="s">
        <v>262</v>
      </c>
      <c r="F46" s="257">
        <v>6467.34</v>
      </c>
      <c r="G46" s="451" t="s">
        <v>621</v>
      </c>
      <c r="H46" s="252" t="s">
        <v>115</v>
      </c>
      <c r="I46" s="252" t="s">
        <v>1078</v>
      </c>
      <c r="J46" s="250" t="s">
        <v>623</v>
      </c>
      <c r="K46" s="255" t="s">
        <v>991</v>
      </c>
      <c r="L46" s="250" t="s">
        <v>1016</v>
      </c>
      <c r="M46" s="277" t="s">
        <v>1079</v>
      </c>
      <c r="N46" s="278">
        <v>44379</v>
      </c>
      <c r="O46" s="329" t="s">
        <v>67</v>
      </c>
      <c r="P46" s="330">
        <f t="shared" si="2"/>
        <v>7</v>
      </c>
      <c r="Q46" s="330">
        <f t="shared" si="3"/>
        <v>6</v>
      </c>
      <c r="R46" s="331" t="str">
        <f t="shared" si="1"/>
        <v>Gastos_Gerais</v>
      </c>
      <c r="S46" s="331" t="str">
        <f>IF(D46="","",IF(OR(D46=Plano!$A$1,D46=Plano!$B$1),"entrada","saída"))</f>
        <v>saída</v>
      </c>
      <c r="T46" s="332" t="s">
        <v>1059</v>
      </c>
      <c r="U46" s="332">
        <v>1134</v>
      </c>
      <c r="V46" s="333"/>
      <c r="W46" s="269"/>
      <c r="X46" s="269"/>
      <c r="Y46" s="269"/>
      <c r="Z46" s="269"/>
      <c r="AA46" s="269"/>
      <c r="AB46" s="269"/>
      <c r="AC46" s="269"/>
      <c r="AD46" s="269"/>
      <c r="AE46" s="269"/>
      <c r="AF46" s="269"/>
      <c r="AG46" s="269"/>
      <c r="AH46" s="269"/>
      <c r="AI46" s="269"/>
      <c r="AJ46" s="269"/>
      <c r="AK46" s="269"/>
      <c r="AL46" s="269"/>
      <c r="AM46" s="269"/>
    </row>
    <row r="47" spans="1:39" ht="141" customHeight="1" x14ac:dyDescent="0.2">
      <c r="A47" s="277">
        <f>IF(B47="","",COUNT('Diário 5º PA'!$A$5:$A$2634)+COUNT('Diário 6º PA'!$A$5:$A$2246)+ROW()-4)</f>
        <v>2586</v>
      </c>
      <c r="B47" s="278">
        <v>44382</v>
      </c>
      <c r="C47" s="259">
        <v>44348</v>
      </c>
      <c r="D47" s="252" t="s">
        <v>99</v>
      </c>
      <c r="E47" s="252" t="s">
        <v>262</v>
      </c>
      <c r="F47" s="257">
        <v>3429.65</v>
      </c>
      <c r="G47" s="451" t="s">
        <v>1080</v>
      </c>
      <c r="H47" s="252" t="s">
        <v>115</v>
      </c>
      <c r="I47" s="252" t="s">
        <v>1078</v>
      </c>
      <c r="J47" s="250" t="s">
        <v>627</v>
      </c>
      <c r="K47" s="255" t="s">
        <v>991</v>
      </c>
      <c r="L47" s="250" t="s">
        <v>992</v>
      </c>
      <c r="M47" s="277" t="s">
        <v>1081</v>
      </c>
      <c r="N47" s="278">
        <v>44379</v>
      </c>
      <c r="O47" s="329" t="s">
        <v>67</v>
      </c>
      <c r="P47" s="330">
        <f t="shared" si="2"/>
        <v>7</v>
      </c>
      <c r="Q47" s="330">
        <f t="shared" si="3"/>
        <v>6</v>
      </c>
      <c r="R47" s="331" t="str">
        <f t="shared" si="1"/>
        <v>Gastos_Gerais</v>
      </c>
      <c r="S47" s="331" t="str">
        <f>IF(D47="","",IF(OR(D47=Plano!$A$1,D47=Plano!$B$1),"entrada","saída"))</f>
        <v>saída</v>
      </c>
      <c r="T47" s="332" t="s">
        <v>1082</v>
      </c>
      <c r="U47" s="332">
        <v>1458</v>
      </c>
      <c r="V47" s="333"/>
      <c r="W47" s="269"/>
      <c r="X47" s="269"/>
      <c r="Y47" s="269"/>
      <c r="Z47" s="269"/>
      <c r="AA47" s="269"/>
      <c r="AB47" s="269"/>
      <c r="AC47" s="269"/>
      <c r="AD47" s="269"/>
      <c r="AE47" s="269"/>
      <c r="AF47" s="269"/>
      <c r="AG47" s="269"/>
      <c r="AH47" s="269"/>
      <c r="AI47" s="269"/>
      <c r="AJ47" s="269"/>
      <c r="AK47" s="269"/>
      <c r="AL47" s="269"/>
      <c r="AM47" s="269"/>
    </row>
    <row r="48" spans="1:39" ht="51" customHeight="1" x14ac:dyDescent="0.2">
      <c r="A48" s="277">
        <f>IF(B48="","",COUNT('Diário 5º PA'!$A$5:$A$2634)+COUNT('Diário 6º PA'!$A$5:$A$2246)+ROW()-4)</f>
        <v>2587</v>
      </c>
      <c r="B48" s="278">
        <v>44382</v>
      </c>
      <c r="C48" s="259">
        <v>44197</v>
      </c>
      <c r="D48" s="252" t="s">
        <v>99</v>
      </c>
      <c r="E48" s="252" t="s">
        <v>336</v>
      </c>
      <c r="F48" s="257">
        <v>20.45</v>
      </c>
      <c r="G48" s="451" t="s">
        <v>1083</v>
      </c>
      <c r="H48" s="252" t="s">
        <v>116</v>
      </c>
      <c r="I48" s="252" t="s">
        <v>465</v>
      </c>
      <c r="J48" s="250" t="s">
        <v>114</v>
      </c>
      <c r="K48" s="250" t="s">
        <v>466</v>
      </c>
      <c r="L48" s="250" t="s">
        <v>467</v>
      </c>
      <c r="M48" s="277">
        <v>2687</v>
      </c>
      <c r="N48" s="278">
        <v>44382</v>
      </c>
      <c r="O48" s="329" t="s">
        <v>67</v>
      </c>
      <c r="P48" s="330">
        <f t="shared" si="2"/>
        <v>7</v>
      </c>
      <c r="Q48" s="330">
        <f t="shared" si="3"/>
        <v>1</v>
      </c>
      <c r="R48" s="331" t="str">
        <f t="shared" si="1"/>
        <v>Gastos_Gerais</v>
      </c>
      <c r="S48" s="331" t="str">
        <f>IF(D48="","",IF(OR(D48=Plano!$A$1,D48=Plano!$B$1),"entrada","saída"))</f>
        <v>saída</v>
      </c>
      <c r="T48" s="334" t="s">
        <v>114</v>
      </c>
      <c r="U48" s="334" t="s">
        <v>114</v>
      </c>
      <c r="V48" s="333"/>
      <c r="W48" s="269"/>
      <c r="X48" s="269"/>
      <c r="Y48" s="269"/>
      <c r="Z48" s="269"/>
      <c r="AA48" s="269"/>
      <c r="AB48" s="269"/>
      <c r="AC48" s="269"/>
      <c r="AD48" s="269"/>
      <c r="AE48" s="269"/>
      <c r="AF48" s="269"/>
      <c r="AG48" s="269"/>
      <c r="AH48" s="269"/>
      <c r="AI48" s="269"/>
      <c r="AJ48" s="269"/>
      <c r="AK48" s="269"/>
      <c r="AL48" s="269"/>
      <c r="AM48" s="269"/>
    </row>
    <row r="49" spans="1:39" ht="44.25" customHeight="1" x14ac:dyDescent="0.2">
      <c r="A49" s="277">
        <f>IF(B49="","",COUNT('Diário 5º PA'!$A$5:$A$2634)+COUNT('Diário 6º PA'!$A$5:$A$2246)+ROW()-4)</f>
        <v>2588</v>
      </c>
      <c r="B49" s="278">
        <v>44382</v>
      </c>
      <c r="C49" s="259">
        <v>44317</v>
      </c>
      <c r="D49" s="252" t="s">
        <v>99</v>
      </c>
      <c r="E49" s="252" t="s">
        <v>336</v>
      </c>
      <c r="F49" s="257">
        <v>116.22</v>
      </c>
      <c r="G49" s="451" t="s">
        <v>1084</v>
      </c>
      <c r="H49" s="252" t="s">
        <v>116</v>
      </c>
      <c r="I49" s="250" t="s">
        <v>465</v>
      </c>
      <c r="J49" s="250" t="s">
        <v>114</v>
      </c>
      <c r="K49" s="250" t="s">
        <v>466</v>
      </c>
      <c r="L49" s="250" t="s">
        <v>467</v>
      </c>
      <c r="M49" s="277">
        <v>2688</v>
      </c>
      <c r="N49" s="278">
        <v>44382</v>
      </c>
      <c r="O49" s="329" t="s">
        <v>67</v>
      </c>
      <c r="P49" s="330">
        <f t="shared" si="2"/>
        <v>7</v>
      </c>
      <c r="Q49" s="330">
        <f t="shared" si="3"/>
        <v>5</v>
      </c>
      <c r="R49" s="331" t="str">
        <f t="shared" si="1"/>
        <v>Gastos_Gerais</v>
      </c>
      <c r="S49" s="331" t="str">
        <f>IF(D49="","",IF(OR(D49=Plano!$A$1,D49=Plano!$B$1),"entrada","saída"))</f>
        <v>saída</v>
      </c>
      <c r="T49" s="334" t="s">
        <v>114</v>
      </c>
      <c r="U49" s="334" t="s">
        <v>114</v>
      </c>
      <c r="V49" s="333"/>
      <c r="W49" s="269"/>
      <c r="X49" s="269"/>
      <c r="Y49" s="269"/>
      <c r="Z49" s="269"/>
      <c r="AA49" s="269"/>
      <c r="AB49" s="269"/>
      <c r="AC49" s="269"/>
      <c r="AD49" s="269"/>
      <c r="AE49" s="269"/>
      <c r="AF49" s="269"/>
      <c r="AG49" s="269"/>
      <c r="AH49" s="269"/>
      <c r="AI49" s="269"/>
      <c r="AJ49" s="269"/>
      <c r="AK49" s="269"/>
      <c r="AL49" s="269"/>
      <c r="AM49" s="269"/>
    </row>
    <row r="50" spans="1:39" ht="40.5" customHeight="1" x14ac:dyDescent="0.2">
      <c r="A50" s="277">
        <f>IF(B50="","",COUNT('Diário 5º PA'!$A$5:$A$2634)+COUNT('Diário 6º PA'!$A$5:$A$2246)+ROW()-4)</f>
        <v>2589</v>
      </c>
      <c r="B50" s="278">
        <v>44382</v>
      </c>
      <c r="C50" s="259">
        <v>44317</v>
      </c>
      <c r="D50" s="252" t="s">
        <v>99</v>
      </c>
      <c r="E50" s="252" t="s">
        <v>370</v>
      </c>
      <c r="F50" s="257">
        <v>112</v>
      </c>
      <c r="G50" s="451" t="s">
        <v>1085</v>
      </c>
      <c r="H50" s="252" t="s">
        <v>125</v>
      </c>
      <c r="I50" s="250" t="s">
        <v>465</v>
      </c>
      <c r="J50" s="250" t="s">
        <v>114</v>
      </c>
      <c r="K50" s="250" t="s">
        <v>466</v>
      </c>
      <c r="L50" s="250" t="s">
        <v>467</v>
      </c>
      <c r="M50" s="277">
        <v>2689</v>
      </c>
      <c r="N50" s="278">
        <v>44382</v>
      </c>
      <c r="O50" s="329" t="s">
        <v>67</v>
      </c>
      <c r="P50" s="330">
        <f t="shared" si="2"/>
        <v>7</v>
      </c>
      <c r="Q50" s="330">
        <f t="shared" si="3"/>
        <v>5</v>
      </c>
      <c r="R50" s="331" t="str">
        <f t="shared" si="1"/>
        <v>Gastos_Gerais</v>
      </c>
      <c r="S50" s="331" t="str">
        <f>IF(D50="","",IF(OR(D50=Plano!$A$1,D50=Plano!$B$1),"entrada","saída"))</f>
        <v>saída</v>
      </c>
      <c r="T50" s="334" t="s">
        <v>114</v>
      </c>
      <c r="U50" s="334" t="s">
        <v>114</v>
      </c>
      <c r="V50" s="333"/>
      <c r="W50" s="269"/>
      <c r="X50" s="269"/>
      <c r="Y50" s="269"/>
      <c r="Z50" s="269"/>
      <c r="AA50" s="269"/>
      <c r="AB50" s="269"/>
      <c r="AC50" s="269"/>
      <c r="AD50" s="269"/>
      <c r="AE50" s="269"/>
      <c r="AF50" s="269"/>
      <c r="AG50" s="269"/>
      <c r="AH50" s="269"/>
      <c r="AI50" s="269"/>
      <c r="AJ50" s="269"/>
      <c r="AK50" s="269"/>
      <c r="AL50" s="269"/>
      <c r="AM50" s="269"/>
    </row>
    <row r="51" spans="1:39" ht="41.25" customHeight="1" x14ac:dyDescent="0.2">
      <c r="A51" s="277">
        <f>IF(B51="","",COUNT('Diário 5º PA'!$A$5:$A$2634)+COUNT('Diário 6º PA'!$A$5:$A$2246)+ROW()-4)</f>
        <v>2590</v>
      </c>
      <c r="B51" s="278">
        <v>44382</v>
      </c>
      <c r="C51" s="259">
        <v>44317</v>
      </c>
      <c r="D51" s="252" t="s">
        <v>99</v>
      </c>
      <c r="E51" s="252" t="s">
        <v>370</v>
      </c>
      <c r="F51" s="257">
        <v>80</v>
      </c>
      <c r="G51" s="451" t="s">
        <v>1086</v>
      </c>
      <c r="H51" s="252" t="s">
        <v>118</v>
      </c>
      <c r="I51" s="250" t="s">
        <v>465</v>
      </c>
      <c r="J51" s="250" t="s">
        <v>114</v>
      </c>
      <c r="K51" s="250" t="s">
        <v>466</v>
      </c>
      <c r="L51" s="250" t="s">
        <v>467</v>
      </c>
      <c r="M51" s="277">
        <v>2690</v>
      </c>
      <c r="N51" s="278">
        <v>44382</v>
      </c>
      <c r="O51" s="329" t="s">
        <v>67</v>
      </c>
      <c r="P51" s="330">
        <f t="shared" si="2"/>
        <v>7</v>
      </c>
      <c r="Q51" s="330">
        <f t="shared" si="3"/>
        <v>5</v>
      </c>
      <c r="R51" s="331" t="str">
        <f t="shared" si="1"/>
        <v>Gastos_Gerais</v>
      </c>
      <c r="S51" s="331" t="str">
        <f>IF(D51="","",IF(OR(D51=Plano!$A$1,D51=Plano!$B$1),"entrada","saída"))</f>
        <v>saída</v>
      </c>
      <c r="T51" s="334" t="s">
        <v>114</v>
      </c>
      <c r="U51" s="334" t="s">
        <v>114</v>
      </c>
      <c r="V51" s="333"/>
      <c r="W51" s="269"/>
      <c r="X51" s="269"/>
      <c r="Y51" s="269"/>
      <c r="Z51" s="269"/>
      <c r="AA51" s="269"/>
      <c r="AB51" s="269"/>
      <c r="AC51" s="269"/>
      <c r="AD51" s="269"/>
      <c r="AE51" s="269"/>
      <c r="AF51" s="269"/>
      <c r="AG51" s="269"/>
      <c r="AH51" s="269"/>
      <c r="AI51" s="269"/>
      <c r="AJ51" s="269"/>
      <c r="AK51" s="269"/>
      <c r="AL51" s="269"/>
      <c r="AM51" s="269"/>
    </row>
    <row r="52" spans="1:39" ht="36" customHeight="1" x14ac:dyDescent="0.2">
      <c r="A52" s="277">
        <f>IF(B52="","",COUNT('Diário 5º PA'!$A$5:$A$2634)+COUNT('Diário 6º PA'!$A$5:$A$2246)+ROW()-4)</f>
        <v>2591</v>
      </c>
      <c r="B52" s="278">
        <v>44382</v>
      </c>
      <c r="C52" s="259">
        <v>44317</v>
      </c>
      <c r="D52" s="252" t="s">
        <v>99</v>
      </c>
      <c r="E52" s="252" t="s">
        <v>336</v>
      </c>
      <c r="F52" s="257">
        <v>27</v>
      </c>
      <c r="G52" s="451" t="s">
        <v>1087</v>
      </c>
      <c r="H52" s="252" t="s">
        <v>116</v>
      </c>
      <c r="I52" s="250" t="s">
        <v>465</v>
      </c>
      <c r="J52" s="250" t="s">
        <v>114</v>
      </c>
      <c r="K52" s="250" t="s">
        <v>466</v>
      </c>
      <c r="L52" s="250" t="s">
        <v>467</v>
      </c>
      <c r="M52" s="277">
        <v>2691</v>
      </c>
      <c r="N52" s="278">
        <v>44382</v>
      </c>
      <c r="O52" s="329" t="s">
        <v>67</v>
      </c>
      <c r="P52" s="330">
        <f t="shared" si="2"/>
        <v>7</v>
      </c>
      <c r="Q52" s="330">
        <f t="shared" si="3"/>
        <v>5</v>
      </c>
      <c r="R52" s="331" t="str">
        <f t="shared" si="1"/>
        <v>Gastos_Gerais</v>
      </c>
      <c r="S52" s="331" t="str">
        <f>IF(D52="","",IF(OR(D52=Plano!$A$1,D52=Plano!$B$1),"entrada","saída"))</f>
        <v>saída</v>
      </c>
      <c r="T52" s="334" t="s">
        <v>114</v>
      </c>
      <c r="U52" s="334" t="s">
        <v>114</v>
      </c>
      <c r="V52" s="333"/>
      <c r="W52" s="269"/>
      <c r="X52" s="269"/>
      <c r="Y52" s="269"/>
      <c r="Z52" s="269"/>
      <c r="AA52" s="269"/>
      <c r="AB52" s="269"/>
      <c r="AC52" s="269"/>
      <c r="AD52" s="269"/>
      <c r="AE52" s="269"/>
      <c r="AF52" s="269"/>
      <c r="AG52" s="269"/>
      <c r="AH52" s="269"/>
      <c r="AI52" s="269"/>
      <c r="AJ52" s="269"/>
      <c r="AK52" s="269"/>
      <c r="AL52" s="269"/>
      <c r="AM52" s="269"/>
    </row>
    <row r="53" spans="1:39" ht="34.5" customHeight="1" x14ac:dyDescent="0.2">
      <c r="A53" s="277">
        <f>IF(B53="","",COUNT('Diário 5º PA'!$A$5:$A$2634)+COUNT('Diário 6º PA'!$A$5:$A$2246)+ROW()-4)</f>
        <v>2592</v>
      </c>
      <c r="B53" s="278">
        <v>44382</v>
      </c>
      <c r="C53" s="259">
        <v>44287</v>
      </c>
      <c r="D53" s="252" t="s">
        <v>99</v>
      </c>
      <c r="E53" s="252" t="s">
        <v>364</v>
      </c>
      <c r="F53" s="257">
        <v>202.5</v>
      </c>
      <c r="G53" s="451" t="s">
        <v>1088</v>
      </c>
      <c r="H53" s="252" t="s">
        <v>131</v>
      </c>
      <c r="I53" s="252" t="s">
        <v>465</v>
      </c>
      <c r="J53" s="250" t="s">
        <v>114</v>
      </c>
      <c r="K53" s="250" t="s">
        <v>466</v>
      </c>
      <c r="L53" s="250" t="s">
        <v>467</v>
      </c>
      <c r="M53" s="277">
        <v>2692</v>
      </c>
      <c r="N53" s="278">
        <v>44382</v>
      </c>
      <c r="O53" s="329" t="s">
        <v>67</v>
      </c>
      <c r="P53" s="330">
        <f t="shared" si="2"/>
        <v>7</v>
      </c>
      <c r="Q53" s="330">
        <f t="shared" si="3"/>
        <v>4</v>
      </c>
      <c r="R53" s="331" t="str">
        <f t="shared" si="1"/>
        <v>Gastos_Gerais</v>
      </c>
      <c r="S53" s="331" t="str">
        <f>IF(D53="","",IF(OR(D53=Plano!$A$1,D53=Plano!$B$1),"entrada","saída"))</f>
        <v>saída</v>
      </c>
      <c r="T53" s="334" t="s">
        <v>114</v>
      </c>
      <c r="U53" s="334" t="s">
        <v>114</v>
      </c>
      <c r="V53" s="333"/>
      <c r="W53" s="269"/>
      <c r="X53" s="269"/>
      <c r="Y53" s="269"/>
      <c r="Z53" s="269"/>
      <c r="AA53" s="269"/>
      <c r="AB53" s="269"/>
      <c r="AC53" s="269"/>
      <c r="AD53" s="269"/>
      <c r="AE53" s="269"/>
      <c r="AF53" s="269"/>
      <c r="AG53" s="269"/>
      <c r="AH53" s="269"/>
      <c r="AI53" s="269"/>
      <c r="AJ53" s="269"/>
      <c r="AK53" s="269"/>
      <c r="AL53" s="269"/>
      <c r="AM53" s="269"/>
    </row>
    <row r="54" spans="1:39" ht="42" customHeight="1" x14ac:dyDescent="0.2">
      <c r="A54" s="277">
        <f>IF(B54="","",COUNT('Diário 5º PA'!$A$5:$A$2634)+COUNT('Diário 6º PA'!$A$5:$A$2246)+ROW()-4)</f>
        <v>2593</v>
      </c>
      <c r="B54" s="278">
        <v>44382</v>
      </c>
      <c r="C54" s="259">
        <v>44317</v>
      </c>
      <c r="D54" s="252" t="s">
        <v>99</v>
      </c>
      <c r="E54" s="252" t="s">
        <v>364</v>
      </c>
      <c r="F54" s="257">
        <v>137.5</v>
      </c>
      <c r="G54" s="451" t="s">
        <v>1089</v>
      </c>
      <c r="H54" s="252" t="s">
        <v>132</v>
      </c>
      <c r="I54" s="252" t="s">
        <v>465</v>
      </c>
      <c r="J54" s="250" t="s">
        <v>114</v>
      </c>
      <c r="K54" s="250" t="s">
        <v>466</v>
      </c>
      <c r="L54" s="250" t="s">
        <v>467</v>
      </c>
      <c r="M54" s="277">
        <v>2693</v>
      </c>
      <c r="N54" s="278">
        <v>44382</v>
      </c>
      <c r="O54" s="329" t="s">
        <v>67</v>
      </c>
      <c r="P54" s="330">
        <f t="shared" si="2"/>
        <v>7</v>
      </c>
      <c r="Q54" s="330">
        <f t="shared" si="3"/>
        <v>5</v>
      </c>
      <c r="R54" s="331" t="str">
        <f t="shared" si="1"/>
        <v>Gastos_Gerais</v>
      </c>
      <c r="S54" s="331" t="str">
        <f>IF(D54="","",IF(OR(D54=Plano!$A$1,D54=Plano!$B$1),"entrada","saída"))</f>
        <v>saída</v>
      </c>
      <c r="T54" s="334" t="s">
        <v>114</v>
      </c>
      <c r="U54" s="334" t="s">
        <v>114</v>
      </c>
      <c r="V54" s="333"/>
      <c r="W54" s="269"/>
      <c r="X54" s="269"/>
      <c r="Y54" s="269"/>
      <c r="Z54" s="269"/>
      <c r="AA54" s="269"/>
      <c r="AB54" s="269"/>
      <c r="AC54" s="269"/>
      <c r="AD54" s="269"/>
      <c r="AE54" s="269"/>
      <c r="AF54" s="269"/>
      <c r="AG54" s="269"/>
      <c r="AH54" s="269"/>
      <c r="AI54" s="269"/>
      <c r="AJ54" s="269"/>
      <c r="AK54" s="269"/>
      <c r="AL54" s="269"/>
      <c r="AM54" s="269"/>
    </row>
    <row r="55" spans="1:39" ht="39" customHeight="1" x14ac:dyDescent="0.2">
      <c r="A55" s="277">
        <f>IF(B55="","",COUNT('Diário 5º PA'!$A$5:$A$2634)+COUNT('Diário 6º PA'!$A$5:$A$2246)+ROW()-4)</f>
        <v>2594</v>
      </c>
      <c r="B55" s="278">
        <v>44382</v>
      </c>
      <c r="C55" s="259">
        <v>44317</v>
      </c>
      <c r="D55" s="252" t="s">
        <v>99</v>
      </c>
      <c r="E55" s="252" t="s">
        <v>336</v>
      </c>
      <c r="F55" s="257">
        <v>69</v>
      </c>
      <c r="G55" s="451" t="s">
        <v>1090</v>
      </c>
      <c r="H55" s="252" t="s">
        <v>116</v>
      </c>
      <c r="I55" s="252" t="s">
        <v>465</v>
      </c>
      <c r="J55" s="250" t="s">
        <v>114</v>
      </c>
      <c r="K55" s="250" t="s">
        <v>466</v>
      </c>
      <c r="L55" s="250" t="s">
        <v>467</v>
      </c>
      <c r="M55" s="277">
        <v>2694</v>
      </c>
      <c r="N55" s="278">
        <v>44382</v>
      </c>
      <c r="O55" s="329" t="s">
        <v>67</v>
      </c>
      <c r="P55" s="330">
        <f t="shared" si="2"/>
        <v>7</v>
      </c>
      <c r="Q55" s="330">
        <f t="shared" si="3"/>
        <v>5</v>
      </c>
      <c r="R55" s="331" t="str">
        <f t="shared" si="1"/>
        <v>Gastos_Gerais</v>
      </c>
      <c r="S55" s="331" t="str">
        <f>IF(D55="","",IF(OR(D55=Plano!$A$1,D55=Plano!$B$1),"entrada","saída"))</f>
        <v>saída</v>
      </c>
      <c r="T55" s="334" t="s">
        <v>114</v>
      </c>
      <c r="U55" s="334" t="s">
        <v>114</v>
      </c>
      <c r="V55" s="333"/>
      <c r="W55" s="269"/>
      <c r="X55" s="269"/>
      <c r="Y55" s="269"/>
      <c r="Z55" s="269"/>
      <c r="AA55" s="269"/>
      <c r="AB55" s="269"/>
      <c r="AC55" s="269"/>
      <c r="AD55" s="269"/>
      <c r="AE55" s="269"/>
      <c r="AF55" s="269"/>
      <c r="AG55" s="269"/>
      <c r="AH55" s="269"/>
      <c r="AI55" s="269"/>
      <c r="AJ55" s="269"/>
      <c r="AK55" s="269"/>
      <c r="AL55" s="269"/>
      <c r="AM55" s="269"/>
    </row>
    <row r="56" spans="1:39" ht="35.25" customHeight="1" x14ac:dyDescent="0.2">
      <c r="A56" s="277">
        <f>IF(B56="","",COUNT('Diário 5º PA'!$A$5:$A$2634)+COUNT('Diário 6º PA'!$A$5:$A$2246)+ROW()-4)</f>
        <v>2595</v>
      </c>
      <c r="B56" s="278">
        <v>44382</v>
      </c>
      <c r="C56" s="259">
        <v>44317</v>
      </c>
      <c r="D56" s="255" t="s">
        <v>99</v>
      </c>
      <c r="E56" s="252" t="s">
        <v>358</v>
      </c>
      <c r="F56" s="258">
        <v>43.2</v>
      </c>
      <c r="G56" s="450" t="s">
        <v>1091</v>
      </c>
      <c r="H56" s="255" t="s">
        <v>124</v>
      </c>
      <c r="I56" s="252" t="s">
        <v>465</v>
      </c>
      <c r="J56" s="250" t="s">
        <v>114</v>
      </c>
      <c r="K56" s="250" t="s">
        <v>466</v>
      </c>
      <c r="L56" s="250" t="s">
        <v>467</v>
      </c>
      <c r="M56" s="277">
        <v>2695</v>
      </c>
      <c r="N56" s="278">
        <v>44382</v>
      </c>
      <c r="O56" s="329" t="s">
        <v>67</v>
      </c>
      <c r="P56" s="330">
        <f t="shared" si="2"/>
        <v>7</v>
      </c>
      <c r="Q56" s="330">
        <f t="shared" si="3"/>
        <v>5</v>
      </c>
      <c r="R56" s="331" t="str">
        <f t="shared" si="1"/>
        <v>Gastos_Gerais</v>
      </c>
      <c r="S56" s="331" t="str">
        <f>IF(D56="","",IF(OR(D56=Plano!$A$1,D56=Plano!$B$1),"entrada","saída"))</f>
        <v>saída</v>
      </c>
      <c r="T56" s="334" t="s">
        <v>114</v>
      </c>
      <c r="U56" s="334" t="s">
        <v>114</v>
      </c>
      <c r="V56" s="333"/>
      <c r="W56" s="269"/>
      <c r="X56" s="269"/>
      <c r="Y56" s="269"/>
      <c r="Z56" s="269"/>
      <c r="AA56" s="269"/>
      <c r="AB56" s="269"/>
      <c r="AC56" s="269"/>
      <c r="AD56" s="269"/>
      <c r="AE56" s="269"/>
      <c r="AF56" s="269"/>
      <c r="AG56" s="269"/>
      <c r="AH56" s="269"/>
      <c r="AI56" s="269"/>
      <c r="AJ56" s="269"/>
      <c r="AK56" s="269"/>
      <c r="AL56" s="269"/>
      <c r="AM56" s="269"/>
    </row>
    <row r="57" spans="1:39" ht="36" customHeight="1" x14ac:dyDescent="0.2">
      <c r="A57" s="277">
        <f>IF(B57="","",COUNT('Diário 5º PA'!$A$5:$A$2634)+COUNT('Diário 6º PA'!$A$5:$A$2246)+ROW()-4)</f>
        <v>2596</v>
      </c>
      <c r="B57" s="278">
        <v>44382</v>
      </c>
      <c r="C57" s="259">
        <v>44317</v>
      </c>
      <c r="D57" s="252" t="s">
        <v>99</v>
      </c>
      <c r="E57" s="252" t="s">
        <v>358</v>
      </c>
      <c r="F57" s="257">
        <v>18</v>
      </c>
      <c r="G57" s="451" t="s">
        <v>1092</v>
      </c>
      <c r="H57" s="252" t="s">
        <v>122</v>
      </c>
      <c r="I57" s="252" t="s">
        <v>465</v>
      </c>
      <c r="J57" s="250" t="s">
        <v>114</v>
      </c>
      <c r="K57" s="250" t="s">
        <v>466</v>
      </c>
      <c r="L57" s="250" t="s">
        <v>467</v>
      </c>
      <c r="M57" s="277">
        <v>2696</v>
      </c>
      <c r="N57" s="278">
        <v>44382</v>
      </c>
      <c r="O57" s="329" t="s">
        <v>67</v>
      </c>
      <c r="P57" s="330">
        <f t="shared" si="2"/>
        <v>7</v>
      </c>
      <c r="Q57" s="330">
        <f t="shared" si="3"/>
        <v>5</v>
      </c>
      <c r="R57" s="331" t="str">
        <f t="shared" si="1"/>
        <v>Gastos_Gerais</v>
      </c>
      <c r="S57" s="331" t="str">
        <f>IF(D57="","",IF(OR(D57=Plano!$A$1,D57=Plano!$B$1),"entrada","saída"))</f>
        <v>saída</v>
      </c>
      <c r="T57" s="334" t="s">
        <v>114</v>
      </c>
      <c r="U57" s="334" t="s">
        <v>114</v>
      </c>
      <c r="V57" s="333"/>
      <c r="W57" s="269"/>
      <c r="X57" s="269"/>
      <c r="Y57" s="269"/>
      <c r="Z57" s="269"/>
      <c r="AA57" s="269"/>
      <c r="AB57" s="269"/>
      <c r="AC57" s="269"/>
      <c r="AD57" s="269"/>
      <c r="AE57" s="269"/>
      <c r="AF57" s="269"/>
      <c r="AG57" s="269"/>
      <c r="AH57" s="269"/>
      <c r="AI57" s="269"/>
      <c r="AJ57" s="269"/>
      <c r="AK57" s="269"/>
      <c r="AL57" s="269"/>
      <c r="AM57" s="269"/>
    </row>
    <row r="58" spans="1:39" ht="35.25" customHeight="1" x14ac:dyDescent="0.2">
      <c r="A58" s="277">
        <f>IF(B58="","",COUNT('Diário 5º PA'!$A$5:$A$2634)+COUNT('Diário 6º PA'!$A$5:$A$2246)+ROW()-4)</f>
        <v>2597</v>
      </c>
      <c r="B58" s="278">
        <v>44382</v>
      </c>
      <c r="C58" s="259">
        <v>44317</v>
      </c>
      <c r="D58" s="252" t="s">
        <v>99</v>
      </c>
      <c r="E58" s="252" t="s">
        <v>330</v>
      </c>
      <c r="F58" s="257">
        <v>75</v>
      </c>
      <c r="G58" s="451" t="s">
        <v>1093</v>
      </c>
      <c r="H58" s="252" t="s">
        <v>128</v>
      </c>
      <c r="I58" s="252" t="s">
        <v>465</v>
      </c>
      <c r="J58" s="250" t="s">
        <v>114</v>
      </c>
      <c r="K58" s="250" t="s">
        <v>466</v>
      </c>
      <c r="L58" s="250" t="s">
        <v>467</v>
      </c>
      <c r="M58" s="277">
        <v>2697</v>
      </c>
      <c r="N58" s="278">
        <v>44382</v>
      </c>
      <c r="O58" s="329" t="s">
        <v>67</v>
      </c>
      <c r="P58" s="330">
        <f t="shared" si="2"/>
        <v>7</v>
      </c>
      <c r="Q58" s="330">
        <f t="shared" si="3"/>
        <v>5</v>
      </c>
      <c r="R58" s="331" t="str">
        <f t="shared" si="1"/>
        <v>Gastos_Gerais</v>
      </c>
      <c r="S58" s="331" t="str">
        <f>IF(D58="","",IF(OR(D58=Plano!$A$1,D58=Plano!$B$1),"entrada","saída"))</f>
        <v>saída</v>
      </c>
      <c r="T58" s="334" t="s">
        <v>114</v>
      </c>
      <c r="U58" s="334" t="s">
        <v>114</v>
      </c>
      <c r="V58" s="333"/>
      <c r="W58" s="269"/>
      <c r="X58" s="269"/>
      <c r="Y58" s="269"/>
      <c r="Z58" s="269"/>
      <c r="AA58" s="269"/>
      <c r="AB58" s="269"/>
      <c r="AC58" s="269"/>
      <c r="AD58" s="269"/>
      <c r="AE58" s="269"/>
      <c r="AF58" s="269"/>
      <c r="AG58" s="269"/>
      <c r="AH58" s="269"/>
      <c r="AI58" s="269"/>
      <c r="AJ58" s="269"/>
      <c r="AK58" s="269"/>
      <c r="AL58" s="269"/>
      <c r="AM58" s="269"/>
    </row>
    <row r="59" spans="1:39" ht="48" customHeight="1" x14ac:dyDescent="0.2">
      <c r="A59" s="277">
        <f>IF(B59="","",COUNT('Diário 5º PA'!$A$5:$A$2634)+COUNT('Diário 6º PA'!$A$5:$A$2246)+ROW()-4)</f>
        <v>2598</v>
      </c>
      <c r="B59" s="278">
        <v>44382</v>
      </c>
      <c r="C59" s="259">
        <v>44317</v>
      </c>
      <c r="D59" s="252" t="s">
        <v>99</v>
      </c>
      <c r="E59" s="252" t="s">
        <v>262</v>
      </c>
      <c r="F59" s="257">
        <v>75</v>
      </c>
      <c r="G59" s="451" t="s">
        <v>1094</v>
      </c>
      <c r="H59" s="252" t="s">
        <v>127</v>
      </c>
      <c r="I59" s="252" t="s">
        <v>465</v>
      </c>
      <c r="J59" s="250" t="s">
        <v>114</v>
      </c>
      <c r="K59" s="250" t="s">
        <v>466</v>
      </c>
      <c r="L59" s="250" t="s">
        <v>467</v>
      </c>
      <c r="M59" s="277">
        <v>2698</v>
      </c>
      <c r="N59" s="278">
        <v>44382</v>
      </c>
      <c r="O59" s="329" t="s">
        <v>67</v>
      </c>
      <c r="P59" s="330">
        <f t="shared" si="2"/>
        <v>7</v>
      </c>
      <c r="Q59" s="330">
        <f t="shared" si="3"/>
        <v>5</v>
      </c>
      <c r="R59" s="331" t="str">
        <f t="shared" si="1"/>
        <v>Gastos_Gerais</v>
      </c>
      <c r="S59" s="331" t="str">
        <f>IF(D59="","",IF(OR(D59=Plano!$A$1,D59=Plano!$B$1),"entrada","saída"))</f>
        <v>saída</v>
      </c>
      <c r="T59" s="334" t="s">
        <v>114</v>
      </c>
      <c r="U59" s="334" t="s">
        <v>114</v>
      </c>
      <c r="V59" s="333"/>
      <c r="W59" s="269"/>
      <c r="X59" s="269"/>
      <c r="Y59" s="269"/>
      <c r="Z59" s="269"/>
      <c r="AA59" s="269"/>
      <c r="AB59" s="269"/>
      <c r="AC59" s="269"/>
      <c r="AD59" s="269"/>
      <c r="AE59" s="269"/>
      <c r="AF59" s="269"/>
      <c r="AG59" s="269"/>
      <c r="AH59" s="269"/>
      <c r="AI59" s="269"/>
      <c r="AJ59" s="269"/>
      <c r="AK59" s="269"/>
      <c r="AL59" s="269"/>
      <c r="AM59" s="269"/>
    </row>
    <row r="60" spans="1:39" ht="45" customHeight="1" x14ac:dyDescent="0.2">
      <c r="A60" s="277">
        <f>IF(B60="","",COUNT('Diário 5º PA'!$A$5:$A$2634)+COUNT('Diário 6º PA'!$A$5:$A$2246)+ROW()-4)</f>
        <v>2599</v>
      </c>
      <c r="B60" s="278">
        <v>44382</v>
      </c>
      <c r="C60" s="259">
        <v>44317</v>
      </c>
      <c r="D60" s="252" t="s">
        <v>99</v>
      </c>
      <c r="E60" s="252" t="s">
        <v>358</v>
      </c>
      <c r="F60" s="257">
        <v>18</v>
      </c>
      <c r="G60" s="451" t="s">
        <v>1095</v>
      </c>
      <c r="H60" s="252" t="s">
        <v>124</v>
      </c>
      <c r="I60" s="250" t="s">
        <v>465</v>
      </c>
      <c r="J60" s="250" t="s">
        <v>114</v>
      </c>
      <c r="K60" s="250" t="s">
        <v>466</v>
      </c>
      <c r="L60" s="250" t="s">
        <v>467</v>
      </c>
      <c r="M60" s="277">
        <v>2699</v>
      </c>
      <c r="N60" s="278">
        <v>44382</v>
      </c>
      <c r="O60" s="329" t="s">
        <v>67</v>
      </c>
      <c r="P60" s="330">
        <f t="shared" si="2"/>
        <v>7</v>
      </c>
      <c r="Q60" s="330">
        <f t="shared" si="3"/>
        <v>5</v>
      </c>
      <c r="R60" s="331" t="str">
        <f t="shared" si="1"/>
        <v>Gastos_Gerais</v>
      </c>
      <c r="S60" s="331" t="str">
        <f>IF(D60="","",IF(OR(D60=Plano!$A$1,D60=Plano!$B$1),"entrada","saída"))</f>
        <v>saída</v>
      </c>
      <c r="T60" s="334" t="s">
        <v>114</v>
      </c>
      <c r="U60" s="334" t="s">
        <v>114</v>
      </c>
      <c r="V60" s="333"/>
      <c r="W60" s="269"/>
      <c r="X60" s="269"/>
      <c r="Y60" s="269"/>
      <c r="Z60" s="269"/>
      <c r="AA60" s="269"/>
      <c r="AB60" s="269"/>
      <c r="AC60" s="269"/>
      <c r="AD60" s="269"/>
      <c r="AE60" s="269"/>
      <c r="AF60" s="269"/>
      <c r="AG60" s="269"/>
      <c r="AH60" s="269"/>
      <c r="AI60" s="269"/>
      <c r="AJ60" s="269"/>
      <c r="AK60" s="269"/>
      <c r="AL60" s="269"/>
      <c r="AM60" s="269"/>
    </row>
    <row r="61" spans="1:39" ht="36.75" customHeight="1" x14ac:dyDescent="0.2">
      <c r="A61" s="277">
        <f>IF(B61="","",COUNT('Diário 5º PA'!$A$5:$A$2634)+COUNT('Diário 6º PA'!$A$5:$A$2246)+ROW()-4)</f>
        <v>2600</v>
      </c>
      <c r="B61" s="278">
        <v>44382</v>
      </c>
      <c r="C61" s="259">
        <v>44317</v>
      </c>
      <c r="D61" s="252" t="s">
        <v>99</v>
      </c>
      <c r="E61" s="252" t="s">
        <v>336</v>
      </c>
      <c r="F61" s="257">
        <v>75</v>
      </c>
      <c r="G61" s="451" t="s">
        <v>1096</v>
      </c>
      <c r="H61" s="252" t="s">
        <v>117</v>
      </c>
      <c r="I61" s="252" t="s">
        <v>465</v>
      </c>
      <c r="J61" s="250" t="s">
        <v>114</v>
      </c>
      <c r="K61" s="250" t="s">
        <v>466</v>
      </c>
      <c r="L61" s="250" t="s">
        <v>467</v>
      </c>
      <c r="M61" s="277">
        <v>2700</v>
      </c>
      <c r="N61" s="278">
        <v>44382</v>
      </c>
      <c r="O61" s="329" t="s">
        <v>67</v>
      </c>
      <c r="P61" s="330">
        <f t="shared" si="2"/>
        <v>7</v>
      </c>
      <c r="Q61" s="330">
        <f t="shared" si="3"/>
        <v>5</v>
      </c>
      <c r="R61" s="331" t="str">
        <f t="shared" si="1"/>
        <v>Gastos_Gerais</v>
      </c>
      <c r="S61" s="331" t="str">
        <f>IF(D61="","",IF(OR(D61=Plano!$A$1,D61=Plano!$B$1),"entrada","saída"))</f>
        <v>saída</v>
      </c>
      <c r="T61" s="334" t="s">
        <v>114</v>
      </c>
      <c r="U61" s="334" t="s">
        <v>114</v>
      </c>
      <c r="V61" s="333"/>
      <c r="W61" s="269"/>
      <c r="X61" s="269"/>
      <c r="Y61" s="269"/>
      <c r="Z61" s="269"/>
      <c r="AA61" s="269"/>
      <c r="AB61" s="269"/>
      <c r="AC61" s="269"/>
      <c r="AD61" s="269"/>
      <c r="AE61" s="269"/>
      <c r="AF61" s="269"/>
      <c r="AG61" s="269"/>
      <c r="AH61" s="269"/>
      <c r="AI61" s="269"/>
      <c r="AJ61" s="269"/>
      <c r="AK61" s="269"/>
      <c r="AL61" s="269"/>
      <c r="AM61" s="269"/>
    </row>
    <row r="62" spans="1:39" ht="45" customHeight="1" x14ac:dyDescent="0.2">
      <c r="A62" s="277">
        <f>IF(B62="","",COUNT('Diário 5º PA'!$A$5:$A$2634)+COUNT('Diário 6º PA'!$A$5:$A$2246)+ROW()-4)</f>
        <v>2601</v>
      </c>
      <c r="B62" s="278">
        <v>44382</v>
      </c>
      <c r="C62" s="259">
        <v>44317</v>
      </c>
      <c r="D62" s="252" t="s">
        <v>99</v>
      </c>
      <c r="E62" s="252" t="s">
        <v>336</v>
      </c>
      <c r="F62" s="257">
        <v>80</v>
      </c>
      <c r="G62" s="451" t="s">
        <v>1097</v>
      </c>
      <c r="H62" s="252" t="s">
        <v>117</v>
      </c>
      <c r="I62" s="252" t="s">
        <v>465</v>
      </c>
      <c r="J62" s="250" t="s">
        <v>114</v>
      </c>
      <c r="K62" s="250" t="s">
        <v>466</v>
      </c>
      <c r="L62" s="250" t="s">
        <v>467</v>
      </c>
      <c r="M62" s="277">
        <v>2701</v>
      </c>
      <c r="N62" s="278">
        <v>44382</v>
      </c>
      <c r="O62" s="329" t="s">
        <v>67</v>
      </c>
      <c r="P62" s="330">
        <f t="shared" si="2"/>
        <v>7</v>
      </c>
      <c r="Q62" s="330">
        <f t="shared" si="3"/>
        <v>5</v>
      </c>
      <c r="R62" s="331" t="str">
        <f t="shared" si="1"/>
        <v>Gastos_Gerais</v>
      </c>
      <c r="S62" s="331" t="str">
        <f>IF(D62="","",IF(OR(D62=Plano!$A$1,D62=Plano!$B$1),"entrada","saída"))</f>
        <v>saída</v>
      </c>
      <c r="T62" s="334" t="s">
        <v>114</v>
      </c>
      <c r="U62" s="334" t="s">
        <v>114</v>
      </c>
      <c r="V62" s="333"/>
      <c r="W62" s="269"/>
      <c r="X62" s="269"/>
      <c r="Y62" s="269"/>
      <c r="Z62" s="269"/>
      <c r="AA62" s="269"/>
      <c r="AB62" s="269"/>
      <c r="AC62" s="269"/>
      <c r="AD62" s="269"/>
      <c r="AE62" s="269"/>
      <c r="AF62" s="269"/>
      <c r="AG62" s="269"/>
      <c r="AH62" s="269"/>
      <c r="AI62" s="269"/>
      <c r="AJ62" s="269"/>
      <c r="AK62" s="269"/>
      <c r="AL62" s="269"/>
      <c r="AM62" s="269"/>
    </row>
    <row r="63" spans="1:39" ht="36" customHeight="1" x14ac:dyDescent="0.2">
      <c r="A63" s="277">
        <f>IF(B63="","",COUNT('Diário 5º PA'!$A$5:$A$2634)+COUNT('Diário 6º PA'!$A$5:$A$2246)+ROW()-4)</f>
        <v>2602</v>
      </c>
      <c r="B63" s="278">
        <v>44382</v>
      </c>
      <c r="C63" s="259">
        <v>44287</v>
      </c>
      <c r="D63" s="252" t="s">
        <v>99</v>
      </c>
      <c r="E63" s="252" t="s">
        <v>336</v>
      </c>
      <c r="F63" s="257">
        <v>57.6</v>
      </c>
      <c r="G63" s="451" t="s">
        <v>1098</v>
      </c>
      <c r="H63" s="252" t="s">
        <v>123</v>
      </c>
      <c r="I63" s="252" t="s">
        <v>465</v>
      </c>
      <c r="J63" s="250" t="s">
        <v>114</v>
      </c>
      <c r="K63" s="250" t="s">
        <v>466</v>
      </c>
      <c r="L63" s="250" t="s">
        <v>467</v>
      </c>
      <c r="M63" s="277">
        <v>2702</v>
      </c>
      <c r="N63" s="278">
        <v>44382</v>
      </c>
      <c r="O63" s="329" t="s">
        <v>67</v>
      </c>
      <c r="P63" s="330">
        <f t="shared" si="2"/>
        <v>7</v>
      </c>
      <c r="Q63" s="330">
        <f t="shared" si="3"/>
        <v>4</v>
      </c>
      <c r="R63" s="331" t="str">
        <f t="shared" si="1"/>
        <v>Gastos_Gerais</v>
      </c>
      <c r="S63" s="331" t="str">
        <f>IF(D63="","",IF(OR(D63=Plano!$A$1,D63=Plano!$B$1),"entrada","saída"))</f>
        <v>saída</v>
      </c>
      <c r="T63" s="334" t="s">
        <v>114</v>
      </c>
      <c r="U63" s="334" t="s">
        <v>114</v>
      </c>
      <c r="V63" s="333"/>
      <c r="W63" s="269"/>
      <c r="X63" s="269"/>
      <c r="Y63" s="269"/>
      <c r="Z63" s="269"/>
      <c r="AA63" s="269"/>
      <c r="AB63" s="269"/>
      <c r="AC63" s="269"/>
      <c r="AD63" s="269"/>
      <c r="AE63" s="269"/>
      <c r="AF63" s="269"/>
      <c r="AG63" s="269"/>
      <c r="AH63" s="269"/>
      <c r="AI63" s="269"/>
      <c r="AJ63" s="269"/>
      <c r="AK63" s="269"/>
      <c r="AL63" s="269"/>
      <c r="AM63" s="269"/>
    </row>
    <row r="64" spans="1:39" ht="34.5" customHeight="1" x14ac:dyDescent="0.2">
      <c r="A64" s="277">
        <f>IF(B64="","",COUNT('Diário 5º PA'!$A$5:$A$2634)+COUNT('Diário 6º PA'!$A$5:$A$2246)+ROW()-4)</f>
        <v>2603</v>
      </c>
      <c r="B64" s="278">
        <v>44382</v>
      </c>
      <c r="C64" s="259">
        <v>44317</v>
      </c>
      <c r="D64" s="252" t="s">
        <v>99</v>
      </c>
      <c r="E64" s="252" t="s">
        <v>386</v>
      </c>
      <c r="F64" s="257">
        <v>170.4</v>
      </c>
      <c r="G64" s="451" t="s">
        <v>1099</v>
      </c>
      <c r="H64" s="252" t="s">
        <v>123</v>
      </c>
      <c r="I64" s="250" t="s">
        <v>465</v>
      </c>
      <c r="J64" s="250" t="s">
        <v>114</v>
      </c>
      <c r="K64" s="250" t="s">
        <v>466</v>
      </c>
      <c r="L64" s="250" t="s">
        <v>467</v>
      </c>
      <c r="M64" s="277">
        <v>2703</v>
      </c>
      <c r="N64" s="278">
        <v>44382</v>
      </c>
      <c r="O64" s="329" t="s">
        <v>67</v>
      </c>
      <c r="P64" s="330">
        <f t="shared" si="2"/>
        <v>7</v>
      </c>
      <c r="Q64" s="330">
        <f t="shared" si="3"/>
        <v>5</v>
      </c>
      <c r="R64" s="331" t="str">
        <f t="shared" si="1"/>
        <v>Gastos_Gerais</v>
      </c>
      <c r="S64" s="331" t="str">
        <f>IF(D64="","",IF(OR(D64=Plano!$A$1,D64=Plano!$B$1),"entrada","saída"))</f>
        <v>saída</v>
      </c>
      <c r="T64" s="334" t="s">
        <v>114</v>
      </c>
      <c r="U64" s="334" t="s">
        <v>114</v>
      </c>
      <c r="V64" s="333"/>
      <c r="W64" s="269"/>
      <c r="X64" s="269"/>
      <c r="Y64" s="269"/>
      <c r="Z64" s="269"/>
      <c r="AA64" s="269"/>
      <c r="AB64" s="269"/>
      <c r="AC64" s="269"/>
      <c r="AD64" s="269"/>
      <c r="AE64" s="269"/>
      <c r="AF64" s="269"/>
      <c r="AG64" s="269"/>
      <c r="AH64" s="269"/>
      <c r="AI64" s="269"/>
      <c r="AJ64" s="269"/>
      <c r="AK64" s="269"/>
      <c r="AL64" s="269"/>
      <c r="AM64" s="269"/>
    </row>
    <row r="65" spans="1:39" ht="40.5" customHeight="1" x14ac:dyDescent="0.2">
      <c r="A65" s="277">
        <f>IF(B65="","",COUNT('Diário 5º PA'!$A$5:$A$2634)+COUNT('Diário 6º PA'!$A$5:$A$2246)+ROW()-4)</f>
        <v>2604</v>
      </c>
      <c r="B65" s="278">
        <v>44382</v>
      </c>
      <c r="C65" s="259">
        <v>44348</v>
      </c>
      <c r="D65" s="252" t="s">
        <v>99</v>
      </c>
      <c r="E65" s="252" t="s">
        <v>354</v>
      </c>
      <c r="F65" s="257">
        <v>170.4</v>
      </c>
      <c r="G65" s="451" t="s">
        <v>1100</v>
      </c>
      <c r="H65" s="252" t="s">
        <v>123</v>
      </c>
      <c r="I65" s="250" t="s">
        <v>465</v>
      </c>
      <c r="J65" s="250" t="s">
        <v>114</v>
      </c>
      <c r="K65" s="250" t="s">
        <v>466</v>
      </c>
      <c r="L65" s="250" t="s">
        <v>467</v>
      </c>
      <c r="M65" s="277">
        <v>2704</v>
      </c>
      <c r="N65" s="278">
        <v>44382</v>
      </c>
      <c r="O65" s="329" t="s">
        <v>67</v>
      </c>
      <c r="P65" s="330">
        <f t="shared" si="2"/>
        <v>7</v>
      </c>
      <c r="Q65" s="330">
        <f t="shared" si="3"/>
        <v>6</v>
      </c>
      <c r="R65" s="331" t="str">
        <f t="shared" si="1"/>
        <v>Gastos_Gerais</v>
      </c>
      <c r="S65" s="331" t="str">
        <f>IF(D65="","",IF(OR(D65=Plano!$A$1,D65=Plano!$B$1),"entrada","saída"))</f>
        <v>saída</v>
      </c>
      <c r="T65" s="334" t="s">
        <v>114</v>
      </c>
      <c r="U65" s="334" t="s">
        <v>114</v>
      </c>
      <c r="V65" s="333"/>
      <c r="W65" s="269"/>
      <c r="X65" s="269"/>
      <c r="Y65" s="269"/>
      <c r="Z65" s="269"/>
      <c r="AA65" s="269"/>
      <c r="AB65" s="269"/>
      <c r="AC65" s="269"/>
      <c r="AD65" s="269"/>
      <c r="AE65" s="269"/>
      <c r="AF65" s="269"/>
      <c r="AG65" s="269"/>
      <c r="AH65" s="269"/>
      <c r="AI65" s="269"/>
      <c r="AJ65" s="269"/>
      <c r="AK65" s="269"/>
      <c r="AL65" s="269"/>
      <c r="AM65" s="269"/>
    </row>
    <row r="66" spans="1:39" ht="46.5" customHeight="1" x14ac:dyDescent="0.2">
      <c r="A66" s="277">
        <f>IF(B66="","",COUNT('Diário 5º PA'!$A$5:$A$2634)+COUNT('Diário 6º PA'!$A$5:$A$2246)+ROW()-4)</f>
        <v>2605</v>
      </c>
      <c r="B66" s="278">
        <v>44382</v>
      </c>
      <c r="C66" s="249">
        <v>44317</v>
      </c>
      <c r="D66" s="250" t="s">
        <v>99</v>
      </c>
      <c r="E66" s="250" t="s">
        <v>262</v>
      </c>
      <c r="F66" s="251">
        <v>60</v>
      </c>
      <c r="G66" s="452" t="s">
        <v>1101</v>
      </c>
      <c r="H66" s="250" t="s">
        <v>115</v>
      </c>
      <c r="I66" s="250" t="s">
        <v>465</v>
      </c>
      <c r="J66" s="250" t="s">
        <v>114</v>
      </c>
      <c r="K66" s="250" t="s">
        <v>466</v>
      </c>
      <c r="L66" s="250" t="s">
        <v>467</v>
      </c>
      <c r="M66" s="277">
        <v>2705</v>
      </c>
      <c r="N66" s="278">
        <v>44382</v>
      </c>
      <c r="O66" s="329" t="s">
        <v>67</v>
      </c>
      <c r="P66" s="330">
        <f t="shared" si="2"/>
        <v>7</v>
      </c>
      <c r="Q66" s="330">
        <f t="shared" si="3"/>
        <v>5</v>
      </c>
      <c r="R66" s="331" t="str">
        <f t="shared" si="1"/>
        <v>Gastos_Gerais</v>
      </c>
      <c r="S66" s="331" t="str">
        <f>IF(D66="","",IF(OR(D66=Plano!$A$1,D66=Plano!$B$1),"entrada","saída"))</f>
        <v>saída</v>
      </c>
      <c r="T66" s="334" t="s">
        <v>114</v>
      </c>
      <c r="U66" s="334" t="s">
        <v>114</v>
      </c>
      <c r="V66" s="333"/>
      <c r="W66" s="269"/>
      <c r="X66" s="269"/>
      <c r="Y66" s="269"/>
      <c r="Z66" s="269"/>
      <c r="AA66" s="269"/>
      <c r="AB66" s="269"/>
      <c r="AC66" s="269"/>
      <c r="AD66" s="269"/>
      <c r="AE66" s="269"/>
      <c r="AF66" s="269"/>
      <c r="AG66" s="269"/>
      <c r="AH66" s="269"/>
      <c r="AI66" s="269"/>
      <c r="AJ66" s="269"/>
      <c r="AK66" s="269"/>
      <c r="AL66" s="269"/>
      <c r="AM66" s="269"/>
    </row>
    <row r="67" spans="1:39" ht="42" customHeight="1" x14ac:dyDescent="0.2">
      <c r="A67" s="277">
        <f>IF(B67="","",COUNT('Diário 5º PA'!$A$5:$A$2634)+COUNT('Diário 6º PA'!$A$5:$A$2246)+ROW()-4)</f>
        <v>2606</v>
      </c>
      <c r="B67" s="278">
        <v>44382</v>
      </c>
      <c r="C67" s="259">
        <v>44317</v>
      </c>
      <c r="D67" s="252" t="s">
        <v>99</v>
      </c>
      <c r="E67" s="252" t="s">
        <v>336</v>
      </c>
      <c r="F67" s="257">
        <v>175</v>
      </c>
      <c r="G67" s="451" t="s">
        <v>1102</v>
      </c>
      <c r="H67" s="252" t="s">
        <v>116</v>
      </c>
      <c r="I67" s="250" t="s">
        <v>465</v>
      </c>
      <c r="J67" s="250" t="s">
        <v>114</v>
      </c>
      <c r="K67" s="250" t="s">
        <v>466</v>
      </c>
      <c r="L67" s="250" t="s">
        <v>467</v>
      </c>
      <c r="M67" s="277">
        <v>2706</v>
      </c>
      <c r="N67" s="278">
        <v>44382</v>
      </c>
      <c r="O67" s="329" t="s">
        <v>67</v>
      </c>
      <c r="P67" s="330">
        <f t="shared" si="2"/>
        <v>7</v>
      </c>
      <c r="Q67" s="330">
        <f t="shared" si="3"/>
        <v>5</v>
      </c>
      <c r="R67" s="331" t="str">
        <f t="shared" si="1"/>
        <v>Gastos_Gerais</v>
      </c>
      <c r="S67" s="331" t="str">
        <f>IF(D67="","",IF(OR(D67=Plano!$A$1,D67=Plano!$B$1),"entrada","saída"))</f>
        <v>saída</v>
      </c>
      <c r="T67" s="334" t="s">
        <v>114</v>
      </c>
      <c r="U67" s="334" t="s">
        <v>114</v>
      </c>
      <c r="V67" s="333"/>
      <c r="W67" s="316"/>
      <c r="X67" s="316"/>
      <c r="Y67" s="338"/>
      <c r="Z67" s="339"/>
      <c r="AA67" s="340"/>
      <c r="AB67" s="316"/>
      <c r="AC67" s="316"/>
      <c r="AD67" s="340"/>
      <c r="AE67" s="316"/>
      <c r="AF67" s="316"/>
      <c r="AG67" s="341"/>
      <c r="AH67" s="342"/>
      <c r="AI67" s="343"/>
      <c r="AJ67" s="343"/>
      <c r="AK67" s="269"/>
      <c r="AL67" s="269"/>
      <c r="AM67" s="269"/>
    </row>
    <row r="68" spans="1:39" ht="39.75" customHeight="1" x14ac:dyDescent="0.2">
      <c r="A68" s="277">
        <f>IF(B68="","",COUNT('Diário 5º PA'!$A$5:$A$2634)+COUNT('Diário 6º PA'!$A$5:$A$2246)+ROW()-4)</f>
        <v>2607</v>
      </c>
      <c r="B68" s="278">
        <v>44382</v>
      </c>
      <c r="C68" s="259">
        <v>44348</v>
      </c>
      <c r="D68" s="252" t="s">
        <v>99</v>
      </c>
      <c r="E68" s="252" t="s">
        <v>336</v>
      </c>
      <c r="F68" s="257">
        <v>69</v>
      </c>
      <c r="G68" s="451" t="s">
        <v>1103</v>
      </c>
      <c r="H68" s="252" t="s">
        <v>116</v>
      </c>
      <c r="I68" s="252" t="s">
        <v>465</v>
      </c>
      <c r="J68" s="250" t="s">
        <v>114</v>
      </c>
      <c r="K68" s="250" t="s">
        <v>466</v>
      </c>
      <c r="L68" s="250" t="s">
        <v>467</v>
      </c>
      <c r="M68" s="277">
        <v>2707</v>
      </c>
      <c r="N68" s="278">
        <v>44382</v>
      </c>
      <c r="O68" s="329" t="s">
        <v>67</v>
      </c>
      <c r="P68" s="330">
        <f t="shared" si="2"/>
        <v>7</v>
      </c>
      <c r="Q68" s="330">
        <f t="shared" si="3"/>
        <v>6</v>
      </c>
      <c r="R68" s="331" t="str">
        <f t="shared" si="1"/>
        <v>Gastos_Gerais</v>
      </c>
      <c r="S68" s="331" t="str">
        <f>IF(D68="","",IF(OR(D68=Plano!$A$1,D68=Plano!$B$1),"entrada","saída"))</f>
        <v>saída</v>
      </c>
      <c r="T68" s="334" t="s">
        <v>114</v>
      </c>
      <c r="U68" s="334" t="s">
        <v>114</v>
      </c>
      <c r="V68" s="333"/>
      <c r="W68" s="269"/>
      <c r="X68" s="269"/>
      <c r="Y68" s="269"/>
      <c r="Z68" s="269"/>
      <c r="AA68" s="269"/>
      <c r="AB68" s="269"/>
      <c r="AC68" s="269"/>
      <c r="AD68" s="269"/>
      <c r="AE68" s="269"/>
      <c r="AF68" s="269"/>
      <c r="AG68" s="269"/>
      <c r="AH68" s="269"/>
      <c r="AI68" s="269"/>
      <c r="AJ68" s="269"/>
      <c r="AK68" s="269"/>
      <c r="AL68" s="269"/>
      <c r="AM68" s="269"/>
    </row>
    <row r="69" spans="1:39" ht="37.5" customHeight="1" x14ac:dyDescent="0.2">
      <c r="A69" s="277">
        <f>IF(B69="","",COUNT('Diário 5º PA'!$A$5:$A$2634)+COUNT('Diário 6º PA'!$A$5:$A$2246)+ROW()-4)</f>
        <v>2608</v>
      </c>
      <c r="B69" s="278">
        <v>44382</v>
      </c>
      <c r="C69" s="259">
        <v>44348</v>
      </c>
      <c r="D69" s="252" t="s">
        <v>99</v>
      </c>
      <c r="E69" s="252" t="s">
        <v>358</v>
      </c>
      <c r="F69" s="257">
        <v>30</v>
      </c>
      <c r="G69" s="451" t="s">
        <v>1104</v>
      </c>
      <c r="H69" s="252" t="s">
        <v>124</v>
      </c>
      <c r="I69" s="250" t="s">
        <v>465</v>
      </c>
      <c r="J69" s="250" t="s">
        <v>114</v>
      </c>
      <c r="K69" s="250" t="s">
        <v>466</v>
      </c>
      <c r="L69" s="250" t="s">
        <v>467</v>
      </c>
      <c r="M69" s="277">
        <v>2708</v>
      </c>
      <c r="N69" s="278">
        <v>44382</v>
      </c>
      <c r="O69" s="329" t="s">
        <v>67</v>
      </c>
      <c r="P69" s="330">
        <f t="shared" si="2"/>
        <v>7</v>
      </c>
      <c r="Q69" s="330">
        <f t="shared" si="3"/>
        <v>6</v>
      </c>
      <c r="R69" s="331" t="str">
        <f t="shared" si="1"/>
        <v>Gastos_Gerais</v>
      </c>
      <c r="S69" s="331" t="str">
        <f>IF(D69="","",IF(OR(D69=Plano!$A$1,D69=Plano!$B$1),"entrada","saída"))</f>
        <v>saída</v>
      </c>
      <c r="T69" s="334" t="s">
        <v>114</v>
      </c>
      <c r="U69" s="334" t="s">
        <v>114</v>
      </c>
      <c r="V69" s="333"/>
      <c r="W69" s="269"/>
      <c r="X69" s="269"/>
      <c r="Y69" s="269"/>
      <c r="Z69" s="269"/>
      <c r="AA69" s="269"/>
      <c r="AB69" s="269"/>
      <c r="AC69" s="269"/>
      <c r="AD69" s="269"/>
      <c r="AE69" s="269"/>
      <c r="AF69" s="269"/>
      <c r="AG69" s="269"/>
      <c r="AH69" s="269"/>
      <c r="AI69" s="269"/>
      <c r="AJ69" s="269"/>
      <c r="AK69" s="269"/>
      <c r="AL69" s="269"/>
      <c r="AM69" s="269"/>
    </row>
    <row r="70" spans="1:39" ht="34.5" customHeight="1" x14ac:dyDescent="0.2">
      <c r="A70" s="277">
        <f>IF(B70="","",COUNT('Diário 5º PA'!$A$5:$A$2634)+COUNT('Diário 6º PA'!$A$5:$A$2246)+ROW()-4)</f>
        <v>2609</v>
      </c>
      <c r="B70" s="278">
        <v>44382</v>
      </c>
      <c r="C70" s="259">
        <v>44348</v>
      </c>
      <c r="D70" s="252" t="s">
        <v>99</v>
      </c>
      <c r="E70" s="252" t="s">
        <v>364</v>
      </c>
      <c r="F70" s="257">
        <v>3645</v>
      </c>
      <c r="G70" s="451" t="s">
        <v>1105</v>
      </c>
      <c r="H70" s="252" t="s">
        <v>131</v>
      </c>
      <c r="I70" s="250" t="s">
        <v>465</v>
      </c>
      <c r="J70" s="250" t="s">
        <v>114</v>
      </c>
      <c r="K70" s="250" t="s">
        <v>466</v>
      </c>
      <c r="L70" s="250" t="s">
        <v>467</v>
      </c>
      <c r="M70" s="277">
        <v>2709</v>
      </c>
      <c r="N70" s="278">
        <v>44382</v>
      </c>
      <c r="O70" s="329" t="s">
        <v>67</v>
      </c>
      <c r="P70" s="330">
        <f t="shared" ref="P70:P133" si="4">IF(B70=0,0,IF(YEAR(B70)=$Q$1,MONTH(B70)-$P$1+1,(YEAR(B70)-$Q$1)*12-$P$1+1+MONTH(B70)))</f>
        <v>7</v>
      </c>
      <c r="Q70" s="330">
        <f t="shared" ref="Q70:Q133" si="5">IF(C70=0,0,IF(YEAR(C70)=$Q$1,MONTH(C70)-$P$1+1,(YEAR(C70)-$Q$1)*12-$P$1+1+MONTH(C70)))</f>
        <v>6</v>
      </c>
      <c r="R70" s="331" t="str">
        <f t="shared" ref="R70:R133" si="6">SUBSTITUTE(D70," ","_")</f>
        <v>Gastos_Gerais</v>
      </c>
      <c r="S70" s="331" t="str">
        <f>IF(D70="","",IF(OR(D70=Plano!$A$1,D70=Plano!$B$1),"entrada","saída"))</f>
        <v>saída</v>
      </c>
      <c r="T70" s="334" t="s">
        <v>114</v>
      </c>
      <c r="U70" s="334" t="s">
        <v>114</v>
      </c>
      <c r="V70" s="333"/>
      <c r="W70" s="269"/>
      <c r="X70" s="269"/>
      <c r="Y70" s="269"/>
      <c r="Z70" s="269"/>
      <c r="AA70" s="269"/>
      <c r="AB70" s="269"/>
      <c r="AC70" s="269"/>
      <c r="AD70" s="269"/>
      <c r="AE70" s="269"/>
      <c r="AF70" s="269"/>
      <c r="AG70" s="269"/>
      <c r="AH70" s="269"/>
      <c r="AI70" s="269"/>
      <c r="AJ70" s="269"/>
      <c r="AK70" s="269"/>
      <c r="AL70" s="269"/>
      <c r="AM70" s="269"/>
    </row>
    <row r="71" spans="1:39" ht="41.25" customHeight="1" x14ac:dyDescent="0.2">
      <c r="A71" s="277">
        <f>IF(B71="","",COUNT('Diário 5º PA'!$A$5:$A$2634)+COUNT('Diário 6º PA'!$A$5:$A$2246)+ROW()-4)</f>
        <v>2610</v>
      </c>
      <c r="B71" s="278">
        <v>44382</v>
      </c>
      <c r="C71" s="259">
        <v>44317</v>
      </c>
      <c r="D71" s="252" t="s">
        <v>99</v>
      </c>
      <c r="E71" s="252" t="s">
        <v>352</v>
      </c>
      <c r="F71" s="257">
        <v>70.349999999999994</v>
      </c>
      <c r="G71" s="451" t="s">
        <v>1106</v>
      </c>
      <c r="H71" s="252" t="s">
        <v>132</v>
      </c>
      <c r="I71" s="250" t="s">
        <v>465</v>
      </c>
      <c r="J71" s="250" t="s">
        <v>114</v>
      </c>
      <c r="K71" s="250" t="s">
        <v>466</v>
      </c>
      <c r="L71" s="250" t="s">
        <v>467</v>
      </c>
      <c r="M71" s="277">
        <v>2710</v>
      </c>
      <c r="N71" s="278">
        <v>44382</v>
      </c>
      <c r="O71" s="329" t="s">
        <v>67</v>
      </c>
      <c r="P71" s="330">
        <f t="shared" si="4"/>
        <v>7</v>
      </c>
      <c r="Q71" s="330">
        <f t="shared" si="5"/>
        <v>5</v>
      </c>
      <c r="R71" s="331" t="str">
        <f t="shared" si="6"/>
        <v>Gastos_Gerais</v>
      </c>
      <c r="S71" s="331" t="str">
        <f>IF(D71="","",IF(OR(D71=Plano!$A$1,D71=Plano!$B$1),"entrada","saída"))</f>
        <v>saída</v>
      </c>
      <c r="T71" s="334" t="s">
        <v>114</v>
      </c>
      <c r="U71" s="334" t="s">
        <v>114</v>
      </c>
      <c r="V71" s="333"/>
      <c r="W71" s="269"/>
      <c r="X71" s="269"/>
      <c r="Y71" s="269"/>
      <c r="Z71" s="269"/>
      <c r="AA71" s="269"/>
      <c r="AB71" s="269"/>
      <c r="AC71" s="269"/>
      <c r="AD71" s="269"/>
      <c r="AE71" s="269"/>
      <c r="AF71" s="269"/>
      <c r="AG71" s="269"/>
      <c r="AH71" s="269"/>
      <c r="AI71" s="269"/>
      <c r="AJ71" s="269"/>
      <c r="AK71" s="269"/>
      <c r="AL71" s="269"/>
      <c r="AM71" s="269"/>
    </row>
    <row r="72" spans="1:39" ht="47.25" customHeight="1" x14ac:dyDescent="0.2">
      <c r="A72" s="277">
        <f>IF(B72="","",COUNT('Diário 5º PA'!$A$5:$A$2634)+COUNT('Diário 6º PA'!$A$5:$A$2246)+ROW()-4)</f>
        <v>2611</v>
      </c>
      <c r="B72" s="278">
        <v>44382</v>
      </c>
      <c r="C72" s="256">
        <v>44317</v>
      </c>
      <c r="D72" s="255" t="s">
        <v>99</v>
      </c>
      <c r="E72" s="252" t="s">
        <v>234</v>
      </c>
      <c r="F72" s="258">
        <v>24.12</v>
      </c>
      <c r="G72" s="450" t="s">
        <v>1107</v>
      </c>
      <c r="H72" s="255" t="s">
        <v>122</v>
      </c>
      <c r="I72" s="250" t="s">
        <v>465</v>
      </c>
      <c r="J72" s="250" t="s">
        <v>114</v>
      </c>
      <c r="K72" s="250" t="s">
        <v>466</v>
      </c>
      <c r="L72" s="250" t="s">
        <v>467</v>
      </c>
      <c r="M72" s="277">
        <v>2711</v>
      </c>
      <c r="N72" s="278">
        <v>44382</v>
      </c>
      <c r="O72" s="329" t="s">
        <v>67</v>
      </c>
      <c r="P72" s="330">
        <f t="shared" si="4"/>
        <v>7</v>
      </c>
      <c r="Q72" s="330">
        <f t="shared" si="5"/>
        <v>5</v>
      </c>
      <c r="R72" s="331" t="str">
        <f t="shared" si="6"/>
        <v>Gastos_Gerais</v>
      </c>
      <c r="S72" s="331" t="str">
        <f>IF(D72="","",IF(OR(D72=Plano!$A$1,D72=Plano!$B$1),"entrada","saída"))</f>
        <v>saída</v>
      </c>
      <c r="T72" s="334" t="s">
        <v>114</v>
      </c>
      <c r="U72" s="334" t="s">
        <v>114</v>
      </c>
      <c r="V72" s="333"/>
      <c r="W72" s="269"/>
      <c r="X72" s="269"/>
      <c r="Y72" s="269"/>
      <c r="Z72" s="269"/>
      <c r="AA72" s="269"/>
      <c r="AB72" s="269"/>
      <c r="AC72" s="269"/>
      <c r="AD72" s="269"/>
      <c r="AE72" s="269"/>
      <c r="AF72" s="269"/>
      <c r="AG72" s="269"/>
      <c r="AH72" s="269"/>
      <c r="AI72" s="269"/>
      <c r="AJ72" s="269"/>
      <c r="AK72" s="269"/>
      <c r="AL72" s="269"/>
      <c r="AM72" s="269"/>
    </row>
    <row r="73" spans="1:39" ht="40.5" customHeight="1" x14ac:dyDescent="0.2">
      <c r="A73" s="277">
        <f>IF(B73="","",COUNT('Diário 5º PA'!$A$5:$A$2634)+COUNT('Diário 6º PA'!$A$5:$A$2246)+ROW()-4)</f>
        <v>2612</v>
      </c>
      <c r="B73" s="278">
        <v>44382</v>
      </c>
      <c r="C73" s="259">
        <v>44317</v>
      </c>
      <c r="D73" s="252" t="s">
        <v>99</v>
      </c>
      <c r="E73" s="252" t="s">
        <v>352</v>
      </c>
      <c r="F73" s="257">
        <v>46</v>
      </c>
      <c r="G73" s="451" t="s">
        <v>1108</v>
      </c>
      <c r="H73" s="252" t="s">
        <v>131</v>
      </c>
      <c r="I73" s="252" t="s">
        <v>465</v>
      </c>
      <c r="J73" s="250" t="s">
        <v>114</v>
      </c>
      <c r="K73" s="250" t="s">
        <v>466</v>
      </c>
      <c r="L73" s="250" t="s">
        <v>467</v>
      </c>
      <c r="M73" s="277">
        <v>2712</v>
      </c>
      <c r="N73" s="278">
        <v>44382</v>
      </c>
      <c r="O73" s="329" t="s">
        <v>67</v>
      </c>
      <c r="P73" s="330">
        <f t="shared" si="4"/>
        <v>7</v>
      </c>
      <c r="Q73" s="330">
        <f t="shared" si="5"/>
        <v>5</v>
      </c>
      <c r="R73" s="331" t="str">
        <f t="shared" si="6"/>
        <v>Gastos_Gerais</v>
      </c>
      <c r="S73" s="331" t="str">
        <f>IF(D73="","",IF(OR(D73=Plano!$A$1,D73=Plano!$B$1),"entrada","saída"))</f>
        <v>saída</v>
      </c>
      <c r="T73" s="334" t="s">
        <v>114</v>
      </c>
      <c r="U73" s="334" t="s">
        <v>114</v>
      </c>
      <c r="V73" s="333"/>
      <c r="W73" s="269"/>
      <c r="X73" s="269"/>
      <c r="Y73" s="269"/>
      <c r="Z73" s="269"/>
      <c r="AA73" s="269"/>
      <c r="AB73" s="269"/>
      <c r="AC73" s="269"/>
      <c r="AD73" s="269"/>
      <c r="AE73" s="269"/>
      <c r="AF73" s="269"/>
      <c r="AG73" s="269"/>
      <c r="AH73" s="269"/>
      <c r="AI73" s="269"/>
      <c r="AJ73" s="269"/>
      <c r="AK73" s="269"/>
      <c r="AL73" s="269"/>
      <c r="AM73" s="269"/>
    </row>
    <row r="74" spans="1:39" ht="48" customHeight="1" x14ac:dyDescent="0.2">
      <c r="A74" s="277">
        <f>IF(B74="","",COUNT('Diário 5º PA'!$A$5:$A$2634)+COUNT('Diário 6º PA'!$A$5:$A$2246)+ROW()-4)</f>
        <v>2613</v>
      </c>
      <c r="B74" s="278">
        <v>44382</v>
      </c>
      <c r="C74" s="259">
        <v>44317</v>
      </c>
      <c r="D74" s="252" t="s">
        <v>99</v>
      </c>
      <c r="E74" s="252" t="s">
        <v>384</v>
      </c>
      <c r="F74" s="251">
        <v>105.53</v>
      </c>
      <c r="G74" s="451" t="s">
        <v>1109</v>
      </c>
      <c r="H74" s="252" t="s">
        <v>125</v>
      </c>
      <c r="I74" s="252" t="s">
        <v>465</v>
      </c>
      <c r="J74" s="250" t="s">
        <v>114</v>
      </c>
      <c r="K74" s="250" t="s">
        <v>466</v>
      </c>
      <c r="L74" s="250" t="s">
        <v>467</v>
      </c>
      <c r="M74" s="277">
        <v>2713</v>
      </c>
      <c r="N74" s="278">
        <v>44382</v>
      </c>
      <c r="O74" s="329" t="s">
        <v>67</v>
      </c>
      <c r="P74" s="330">
        <f t="shared" si="4"/>
        <v>7</v>
      </c>
      <c r="Q74" s="330">
        <f t="shared" si="5"/>
        <v>5</v>
      </c>
      <c r="R74" s="331" t="str">
        <f t="shared" si="6"/>
        <v>Gastos_Gerais</v>
      </c>
      <c r="S74" s="331" t="str">
        <f>IF(D74="","",IF(OR(D74=Plano!$A$1,D74=Plano!$B$1),"entrada","saída"))</f>
        <v>saída</v>
      </c>
      <c r="T74" s="334" t="s">
        <v>114</v>
      </c>
      <c r="U74" s="334" t="s">
        <v>114</v>
      </c>
      <c r="V74" s="333"/>
      <c r="W74" s="269"/>
      <c r="X74" s="269"/>
      <c r="Y74" s="269"/>
      <c r="Z74" s="269"/>
      <c r="AA74" s="269"/>
      <c r="AB74" s="269"/>
      <c r="AC74" s="269"/>
      <c r="AD74" s="269"/>
      <c r="AE74" s="269"/>
      <c r="AF74" s="269"/>
      <c r="AG74" s="269"/>
      <c r="AH74" s="269"/>
      <c r="AI74" s="269"/>
      <c r="AJ74" s="269"/>
      <c r="AK74" s="269"/>
      <c r="AL74" s="269"/>
      <c r="AM74" s="269"/>
    </row>
    <row r="75" spans="1:39" ht="45" customHeight="1" x14ac:dyDescent="0.2">
      <c r="A75" s="277">
        <f>IF(B75="","",COUNT('Diário 5º PA'!$A$5:$A$2634)+COUNT('Diário 6º PA'!$A$5:$A$2246)+ROW()-4)</f>
        <v>2614</v>
      </c>
      <c r="B75" s="278">
        <v>44382</v>
      </c>
      <c r="C75" s="259">
        <v>44348</v>
      </c>
      <c r="D75" s="252" t="s">
        <v>99</v>
      </c>
      <c r="E75" s="252" t="s">
        <v>262</v>
      </c>
      <c r="F75" s="257">
        <v>80</v>
      </c>
      <c r="G75" s="451" t="s">
        <v>1110</v>
      </c>
      <c r="H75" s="252" t="s">
        <v>124</v>
      </c>
      <c r="I75" s="252" t="s">
        <v>465</v>
      </c>
      <c r="J75" s="250" t="s">
        <v>114</v>
      </c>
      <c r="K75" s="250" t="s">
        <v>466</v>
      </c>
      <c r="L75" s="250" t="s">
        <v>467</v>
      </c>
      <c r="M75" s="277">
        <v>2714</v>
      </c>
      <c r="N75" s="278">
        <v>44382</v>
      </c>
      <c r="O75" s="329" t="s">
        <v>67</v>
      </c>
      <c r="P75" s="330">
        <f t="shared" si="4"/>
        <v>7</v>
      </c>
      <c r="Q75" s="330">
        <f t="shared" si="5"/>
        <v>6</v>
      </c>
      <c r="R75" s="331" t="str">
        <f t="shared" si="6"/>
        <v>Gastos_Gerais</v>
      </c>
      <c r="S75" s="331" t="str">
        <f>IF(D75="","",IF(OR(D75=Plano!$A$1,D75=Plano!$B$1),"entrada","saída"))</f>
        <v>saída</v>
      </c>
      <c r="T75" s="334" t="s">
        <v>114</v>
      </c>
      <c r="U75" s="334" t="s">
        <v>114</v>
      </c>
      <c r="V75" s="333"/>
      <c r="W75" s="269"/>
      <c r="X75" s="269"/>
      <c r="Y75" s="269"/>
      <c r="Z75" s="269"/>
      <c r="AA75" s="269"/>
      <c r="AB75" s="269"/>
      <c r="AC75" s="269"/>
      <c r="AD75" s="269"/>
      <c r="AE75" s="269"/>
      <c r="AF75" s="269"/>
      <c r="AG75" s="269"/>
      <c r="AH75" s="269"/>
      <c r="AI75" s="269"/>
      <c r="AJ75" s="269"/>
      <c r="AK75" s="269"/>
      <c r="AL75" s="269"/>
      <c r="AM75" s="269"/>
    </row>
    <row r="76" spans="1:39" ht="40.5" customHeight="1" x14ac:dyDescent="0.2">
      <c r="A76" s="277">
        <f>IF(B76="","",COUNT('Diário 5º PA'!$A$5:$A$2634)+COUNT('Diário 6º PA'!$A$5:$A$2246)+ROW()-4)</f>
        <v>2615</v>
      </c>
      <c r="B76" s="278">
        <v>44382</v>
      </c>
      <c r="C76" s="259">
        <v>44317</v>
      </c>
      <c r="D76" s="252" t="s">
        <v>99</v>
      </c>
      <c r="E76" s="252" t="s">
        <v>352</v>
      </c>
      <c r="F76" s="257">
        <v>150</v>
      </c>
      <c r="G76" s="451" t="s">
        <v>1111</v>
      </c>
      <c r="H76" s="252" t="s">
        <v>131</v>
      </c>
      <c r="I76" s="252" t="s">
        <v>465</v>
      </c>
      <c r="J76" s="250" t="s">
        <v>114</v>
      </c>
      <c r="K76" s="250" t="s">
        <v>466</v>
      </c>
      <c r="L76" s="250" t="s">
        <v>467</v>
      </c>
      <c r="M76" s="277">
        <v>2715</v>
      </c>
      <c r="N76" s="278">
        <v>44382</v>
      </c>
      <c r="O76" s="329" t="s">
        <v>67</v>
      </c>
      <c r="P76" s="330">
        <f t="shared" si="4"/>
        <v>7</v>
      </c>
      <c r="Q76" s="330">
        <f t="shared" si="5"/>
        <v>5</v>
      </c>
      <c r="R76" s="331" t="str">
        <f t="shared" si="6"/>
        <v>Gastos_Gerais</v>
      </c>
      <c r="S76" s="331" t="str">
        <f>IF(D76="","",IF(OR(D76=Plano!$A$1,D76=Plano!$B$1),"entrada","saída"))</f>
        <v>saída</v>
      </c>
      <c r="T76" s="334" t="s">
        <v>114</v>
      </c>
      <c r="U76" s="334" t="s">
        <v>114</v>
      </c>
      <c r="V76" s="333"/>
      <c r="W76" s="269"/>
      <c r="X76" s="269"/>
      <c r="Y76" s="269"/>
      <c r="Z76" s="269"/>
      <c r="AA76" s="269"/>
      <c r="AB76" s="269"/>
      <c r="AC76" s="269"/>
      <c r="AD76" s="269"/>
      <c r="AE76" s="269"/>
      <c r="AF76" s="269"/>
      <c r="AG76" s="269"/>
      <c r="AH76" s="269"/>
      <c r="AI76" s="269"/>
      <c r="AJ76" s="269"/>
      <c r="AK76" s="269"/>
      <c r="AL76" s="269"/>
      <c r="AM76" s="269"/>
    </row>
    <row r="77" spans="1:39" ht="28.5" customHeight="1" x14ac:dyDescent="0.2">
      <c r="A77" s="277">
        <f>IF(B77="","",COUNT('Diário 5º PA'!$A$5:$A$2634)+COUNT('Diário 6º PA'!$A$5:$A$2246)+ROW()-4)</f>
        <v>2616</v>
      </c>
      <c r="B77" s="278">
        <v>44382</v>
      </c>
      <c r="C77" s="259">
        <v>44287</v>
      </c>
      <c r="D77" s="252" t="s">
        <v>99</v>
      </c>
      <c r="E77" s="252" t="s">
        <v>364</v>
      </c>
      <c r="F77" s="257">
        <v>108.5</v>
      </c>
      <c r="G77" s="451" t="s">
        <v>1112</v>
      </c>
      <c r="H77" s="252" t="s">
        <v>132</v>
      </c>
      <c r="I77" s="252" t="s">
        <v>465</v>
      </c>
      <c r="J77" s="250" t="s">
        <v>114</v>
      </c>
      <c r="K77" s="250" t="s">
        <v>466</v>
      </c>
      <c r="L77" s="250" t="s">
        <v>467</v>
      </c>
      <c r="M77" s="277">
        <v>2716</v>
      </c>
      <c r="N77" s="278">
        <v>44382</v>
      </c>
      <c r="O77" s="329" t="s">
        <v>67</v>
      </c>
      <c r="P77" s="330">
        <f t="shared" si="4"/>
        <v>7</v>
      </c>
      <c r="Q77" s="330">
        <f t="shared" si="5"/>
        <v>4</v>
      </c>
      <c r="R77" s="331" t="str">
        <f t="shared" si="6"/>
        <v>Gastos_Gerais</v>
      </c>
      <c r="S77" s="331" t="str">
        <f>IF(D77="","",IF(OR(D77=Plano!$A$1,D77=Plano!$B$1),"entrada","saída"))</f>
        <v>saída</v>
      </c>
      <c r="T77" s="334" t="s">
        <v>114</v>
      </c>
      <c r="U77" s="334" t="s">
        <v>114</v>
      </c>
      <c r="V77" s="333"/>
      <c r="W77" s="269"/>
      <c r="X77" s="269"/>
      <c r="Y77" s="269"/>
      <c r="Z77" s="269"/>
      <c r="AA77" s="269"/>
      <c r="AB77" s="269"/>
      <c r="AC77" s="269"/>
      <c r="AD77" s="269"/>
      <c r="AE77" s="269"/>
      <c r="AF77" s="269"/>
      <c r="AG77" s="269"/>
      <c r="AH77" s="269"/>
      <c r="AI77" s="269"/>
      <c r="AJ77" s="269"/>
      <c r="AK77" s="269"/>
      <c r="AL77" s="269"/>
      <c r="AM77" s="269"/>
    </row>
    <row r="78" spans="1:39" ht="39" customHeight="1" x14ac:dyDescent="0.2">
      <c r="A78" s="277">
        <f>IF(B78="","",COUNT('Diário 5º PA'!$A$5:$A$2634)+COUNT('Diário 6º PA'!$A$5:$A$2246)+ROW()-4)</f>
        <v>2617</v>
      </c>
      <c r="B78" s="278">
        <v>44382</v>
      </c>
      <c r="C78" s="259">
        <v>44348</v>
      </c>
      <c r="D78" s="252" t="s">
        <v>99</v>
      </c>
      <c r="E78" s="252" t="s">
        <v>352</v>
      </c>
      <c r="F78" s="257">
        <v>175</v>
      </c>
      <c r="G78" s="451" t="s">
        <v>1113</v>
      </c>
      <c r="H78" s="252" t="s">
        <v>131</v>
      </c>
      <c r="I78" s="252" t="s">
        <v>465</v>
      </c>
      <c r="J78" s="250" t="s">
        <v>114</v>
      </c>
      <c r="K78" s="250" t="s">
        <v>466</v>
      </c>
      <c r="L78" s="250" t="s">
        <v>467</v>
      </c>
      <c r="M78" s="277">
        <v>2717</v>
      </c>
      <c r="N78" s="278">
        <v>44382</v>
      </c>
      <c r="O78" s="329" t="s">
        <v>67</v>
      </c>
      <c r="P78" s="330">
        <f t="shared" si="4"/>
        <v>7</v>
      </c>
      <c r="Q78" s="330">
        <f t="shared" si="5"/>
        <v>6</v>
      </c>
      <c r="R78" s="331" t="str">
        <f t="shared" si="6"/>
        <v>Gastos_Gerais</v>
      </c>
      <c r="S78" s="331" t="str">
        <f>IF(D78="","",IF(OR(D78=Plano!$A$1,D78=Plano!$B$1),"entrada","saída"))</f>
        <v>saída</v>
      </c>
      <c r="T78" s="334" t="s">
        <v>114</v>
      </c>
      <c r="U78" s="334" t="s">
        <v>114</v>
      </c>
      <c r="V78" s="333"/>
      <c r="W78" s="269"/>
      <c r="X78" s="269"/>
      <c r="Y78" s="269"/>
      <c r="Z78" s="269"/>
      <c r="AA78" s="269"/>
      <c r="AB78" s="269"/>
      <c r="AC78" s="269"/>
      <c r="AD78" s="269"/>
      <c r="AE78" s="269"/>
      <c r="AF78" s="269"/>
      <c r="AG78" s="269"/>
      <c r="AH78" s="269"/>
      <c r="AI78" s="269"/>
      <c r="AJ78" s="269"/>
      <c r="AK78" s="269"/>
      <c r="AL78" s="269"/>
      <c r="AM78" s="269"/>
    </row>
    <row r="79" spans="1:39" ht="39.75" customHeight="1" x14ac:dyDescent="0.2">
      <c r="A79" s="277">
        <f>IF(B79="","",COUNT('Diário 5º PA'!$A$5:$A$2634)+COUNT('Diário 6º PA'!$A$5:$A$2246)+ROW()-4)</f>
        <v>2618</v>
      </c>
      <c r="B79" s="278">
        <v>44382</v>
      </c>
      <c r="C79" s="259">
        <v>44317</v>
      </c>
      <c r="D79" s="252" t="s">
        <v>99</v>
      </c>
      <c r="E79" s="252" t="s">
        <v>364</v>
      </c>
      <c r="F79" s="257">
        <v>94.47</v>
      </c>
      <c r="G79" s="451" t="s">
        <v>1114</v>
      </c>
      <c r="H79" s="252" t="s">
        <v>123</v>
      </c>
      <c r="I79" s="250" t="s">
        <v>465</v>
      </c>
      <c r="J79" s="250" t="s">
        <v>114</v>
      </c>
      <c r="K79" s="250" t="s">
        <v>466</v>
      </c>
      <c r="L79" s="250" t="s">
        <v>467</v>
      </c>
      <c r="M79" s="277">
        <v>2718</v>
      </c>
      <c r="N79" s="278">
        <v>44382</v>
      </c>
      <c r="O79" s="329" t="s">
        <v>67</v>
      </c>
      <c r="P79" s="330">
        <f t="shared" si="4"/>
        <v>7</v>
      </c>
      <c r="Q79" s="330">
        <f t="shared" si="5"/>
        <v>5</v>
      </c>
      <c r="R79" s="331" t="str">
        <f t="shared" si="6"/>
        <v>Gastos_Gerais</v>
      </c>
      <c r="S79" s="331" t="str">
        <f>IF(D79="","",IF(OR(D79=Plano!$A$1,D79=Plano!$B$1),"entrada","saída"))</f>
        <v>saída</v>
      </c>
      <c r="T79" s="334" t="s">
        <v>114</v>
      </c>
      <c r="U79" s="334" t="s">
        <v>114</v>
      </c>
      <c r="V79" s="333"/>
      <c r="W79" s="269"/>
      <c r="X79" s="269"/>
      <c r="Y79" s="269"/>
      <c r="Z79" s="269"/>
      <c r="AA79" s="269"/>
      <c r="AB79" s="269"/>
      <c r="AC79" s="269"/>
      <c r="AD79" s="269"/>
      <c r="AE79" s="269"/>
      <c r="AF79" s="269"/>
      <c r="AG79" s="269"/>
      <c r="AH79" s="269"/>
      <c r="AI79" s="269"/>
      <c r="AJ79" s="269"/>
      <c r="AK79" s="269"/>
      <c r="AL79" s="269"/>
      <c r="AM79" s="269"/>
    </row>
    <row r="80" spans="1:39" ht="45" customHeight="1" x14ac:dyDescent="0.2">
      <c r="A80" s="277">
        <f>IF(B80="","",COUNT('Diário 5º PA'!$A$5:$A$2634)+COUNT('Diário 6º PA'!$A$5:$A$2246)+ROW()-4)</f>
        <v>2619</v>
      </c>
      <c r="B80" s="278">
        <v>44382</v>
      </c>
      <c r="C80" s="259">
        <v>44317</v>
      </c>
      <c r="D80" s="252" t="s">
        <v>99</v>
      </c>
      <c r="E80" s="252" t="s">
        <v>352</v>
      </c>
      <c r="F80" s="257">
        <v>55.27</v>
      </c>
      <c r="G80" s="451" t="s">
        <v>1115</v>
      </c>
      <c r="H80" s="252" t="s">
        <v>132</v>
      </c>
      <c r="I80" s="252" t="s">
        <v>465</v>
      </c>
      <c r="J80" s="250" t="s">
        <v>114</v>
      </c>
      <c r="K80" s="250" t="s">
        <v>466</v>
      </c>
      <c r="L80" s="250" t="s">
        <v>467</v>
      </c>
      <c r="M80" s="277">
        <v>2719</v>
      </c>
      <c r="N80" s="278">
        <v>44382</v>
      </c>
      <c r="O80" s="329" t="s">
        <v>67</v>
      </c>
      <c r="P80" s="330">
        <f t="shared" si="4"/>
        <v>7</v>
      </c>
      <c r="Q80" s="330">
        <f t="shared" si="5"/>
        <v>5</v>
      </c>
      <c r="R80" s="331" t="str">
        <f t="shared" si="6"/>
        <v>Gastos_Gerais</v>
      </c>
      <c r="S80" s="331" t="str">
        <f>IF(D80="","",IF(OR(D80=Plano!$A$1,D80=Plano!$B$1),"entrada","saída"))</f>
        <v>saída</v>
      </c>
      <c r="T80" s="334" t="s">
        <v>114</v>
      </c>
      <c r="U80" s="334" t="s">
        <v>114</v>
      </c>
      <c r="V80" s="333"/>
      <c r="W80" s="269"/>
      <c r="X80" s="269"/>
      <c r="Y80" s="269"/>
      <c r="Z80" s="269"/>
      <c r="AA80" s="269"/>
      <c r="AB80" s="269"/>
      <c r="AC80" s="269"/>
      <c r="AD80" s="269"/>
      <c r="AE80" s="269"/>
      <c r="AF80" s="269"/>
      <c r="AG80" s="269"/>
      <c r="AH80" s="269"/>
      <c r="AI80" s="269"/>
      <c r="AJ80" s="269"/>
      <c r="AK80" s="269"/>
      <c r="AL80" s="269"/>
      <c r="AM80" s="269"/>
    </row>
    <row r="81" spans="1:39" ht="34.5" customHeight="1" x14ac:dyDescent="0.2">
      <c r="A81" s="277">
        <f>IF(B81="","",COUNT('Diário 5º PA'!$A$5:$A$2634)+COUNT('Diário 6º PA'!$A$5:$A$2246)+ROW()-4)</f>
        <v>2620</v>
      </c>
      <c r="B81" s="278">
        <v>44382</v>
      </c>
      <c r="C81" s="259">
        <v>44348</v>
      </c>
      <c r="D81" s="252" t="s">
        <v>99</v>
      </c>
      <c r="E81" s="252" t="s">
        <v>364</v>
      </c>
      <c r="F81" s="257">
        <v>97.79</v>
      </c>
      <c r="G81" s="451" t="s">
        <v>1116</v>
      </c>
      <c r="H81" s="252" t="s">
        <v>123</v>
      </c>
      <c r="I81" s="250" t="s">
        <v>465</v>
      </c>
      <c r="J81" s="250" t="s">
        <v>114</v>
      </c>
      <c r="K81" s="250" t="s">
        <v>466</v>
      </c>
      <c r="L81" s="250" t="s">
        <v>467</v>
      </c>
      <c r="M81" s="277">
        <v>2720</v>
      </c>
      <c r="N81" s="278">
        <v>44382</v>
      </c>
      <c r="O81" s="329" t="s">
        <v>67</v>
      </c>
      <c r="P81" s="330">
        <f t="shared" si="4"/>
        <v>7</v>
      </c>
      <c r="Q81" s="330">
        <f t="shared" si="5"/>
        <v>6</v>
      </c>
      <c r="R81" s="331" t="str">
        <f t="shared" si="6"/>
        <v>Gastos_Gerais</v>
      </c>
      <c r="S81" s="331" t="str">
        <f>IF(D81="","",IF(OR(D81=Plano!$A$1,D81=Plano!$B$1),"entrada","saída"))</f>
        <v>saída</v>
      </c>
      <c r="T81" s="334" t="s">
        <v>114</v>
      </c>
      <c r="U81" s="334" t="s">
        <v>114</v>
      </c>
      <c r="V81" s="333"/>
      <c r="W81" s="269"/>
      <c r="X81" s="269"/>
      <c r="Y81" s="269"/>
      <c r="Z81" s="269"/>
      <c r="AA81" s="269"/>
      <c r="AB81" s="269"/>
      <c r="AC81" s="269"/>
      <c r="AD81" s="269"/>
      <c r="AE81" s="269"/>
      <c r="AF81" s="269"/>
      <c r="AG81" s="269"/>
      <c r="AH81" s="269"/>
      <c r="AI81" s="269"/>
      <c r="AJ81" s="269"/>
      <c r="AK81" s="269"/>
      <c r="AL81" s="269"/>
      <c r="AM81" s="269"/>
    </row>
    <row r="82" spans="1:39" ht="31.5" customHeight="1" x14ac:dyDescent="0.2">
      <c r="A82" s="277">
        <f>IF(B82="","",COUNT('Diário 5º PA'!$A$5:$A$2634)+COUNT('Diário 6º PA'!$A$5:$A$2246)+ROW()-4)</f>
        <v>2621</v>
      </c>
      <c r="B82" s="278">
        <v>44382</v>
      </c>
      <c r="C82" s="259">
        <v>44317</v>
      </c>
      <c r="D82" s="252" t="s">
        <v>99</v>
      </c>
      <c r="E82" s="252" t="s">
        <v>364</v>
      </c>
      <c r="F82" s="257">
        <v>110.55</v>
      </c>
      <c r="G82" s="451" t="s">
        <v>1117</v>
      </c>
      <c r="H82" s="252" t="s">
        <v>132</v>
      </c>
      <c r="I82" s="252" t="s">
        <v>465</v>
      </c>
      <c r="J82" s="250" t="s">
        <v>114</v>
      </c>
      <c r="K82" s="250" t="s">
        <v>466</v>
      </c>
      <c r="L82" s="250" t="s">
        <v>467</v>
      </c>
      <c r="M82" s="277">
        <v>2721</v>
      </c>
      <c r="N82" s="278">
        <v>44382</v>
      </c>
      <c r="O82" s="329" t="s">
        <v>67</v>
      </c>
      <c r="P82" s="330">
        <f t="shared" si="4"/>
        <v>7</v>
      </c>
      <c r="Q82" s="330">
        <f t="shared" si="5"/>
        <v>5</v>
      </c>
      <c r="R82" s="331" t="str">
        <f t="shared" si="6"/>
        <v>Gastos_Gerais</v>
      </c>
      <c r="S82" s="331" t="str">
        <f>IF(D82="","",IF(OR(D82=Plano!$A$1,D82=Plano!$B$1),"entrada","saída"))</f>
        <v>saída</v>
      </c>
      <c r="T82" s="334" t="s">
        <v>114</v>
      </c>
      <c r="U82" s="334" t="s">
        <v>114</v>
      </c>
      <c r="V82" s="333"/>
      <c r="W82" s="269"/>
      <c r="X82" s="269"/>
      <c r="Y82" s="269"/>
      <c r="Z82" s="269"/>
      <c r="AA82" s="269"/>
      <c r="AB82" s="269"/>
      <c r="AC82" s="269"/>
      <c r="AD82" s="269"/>
      <c r="AE82" s="269"/>
      <c r="AF82" s="269"/>
      <c r="AG82" s="269"/>
      <c r="AH82" s="269"/>
      <c r="AI82" s="269"/>
      <c r="AJ82" s="269"/>
      <c r="AK82" s="269"/>
      <c r="AL82" s="269"/>
      <c r="AM82" s="269"/>
    </row>
    <row r="83" spans="1:39" ht="37.5" customHeight="1" x14ac:dyDescent="0.2">
      <c r="A83" s="277">
        <f>IF(B83="","",COUNT('Diário 5º PA'!$A$5:$A$2634)+COUNT('Diário 6º PA'!$A$5:$A$2246)+ROW()-4)</f>
        <v>2622</v>
      </c>
      <c r="B83" s="278">
        <v>44382</v>
      </c>
      <c r="C83" s="259">
        <v>44317</v>
      </c>
      <c r="D83" s="252" t="s">
        <v>99</v>
      </c>
      <c r="E83" s="252" t="s">
        <v>262</v>
      </c>
      <c r="F83" s="257">
        <v>132.66</v>
      </c>
      <c r="G83" s="451" t="s">
        <v>1118</v>
      </c>
      <c r="H83" s="252" t="s">
        <v>115</v>
      </c>
      <c r="I83" s="252" t="s">
        <v>465</v>
      </c>
      <c r="J83" s="250" t="s">
        <v>114</v>
      </c>
      <c r="K83" s="250" t="s">
        <v>466</v>
      </c>
      <c r="L83" s="250" t="s">
        <v>467</v>
      </c>
      <c r="M83" s="277">
        <v>2722</v>
      </c>
      <c r="N83" s="278">
        <v>44382</v>
      </c>
      <c r="O83" s="329" t="s">
        <v>67</v>
      </c>
      <c r="P83" s="330">
        <f t="shared" si="4"/>
        <v>7</v>
      </c>
      <c r="Q83" s="330">
        <f t="shared" si="5"/>
        <v>5</v>
      </c>
      <c r="R83" s="331" t="str">
        <f t="shared" si="6"/>
        <v>Gastos_Gerais</v>
      </c>
      <c r="S83" s="331" t="str">
        <f>IF(D83="","",IF(OR(D83=Plano!$A$1,D83=Plano!$B$1),"entrada","saída"))</f>
        <v>saída</v>
      </c>
      <c r="T83" s="334" t="s">
        <v>114</v>
      </c>
      <c r="U83" s="334" t="s">
        <v>114</v>
      </c>
      <c r="V83" s="333"/>
      <c r="W83" s="269"/>
      <c r="X83" s="269"/>
      <c r="Y83" s="269"/>
      <c r="Z83" s="269"/>
      <c r="AA83" s="269"/>
      <c r="AB83" s="269"/>
      <c r="AC83" s="269"/>
      <c r="AD83" s="269"/>
      <c r="AE83" s="269"/>
      <c r="AF83" s="269"/>
      <c r="AG83" s="269"/>
      <c r="AH83" s="269"/>
      <c r="AI83" s="269"/>
      <c r="AJ83" s="269"/>
      <c r="AK83" s="269"/>
      <c r="AL83" s="269"/>
      <c r="AM83" s="269"/>
    </row>
    <row r="84" spans="1:39" ht="29.25" customHeight="1" x14ac:dyDescent="0.2">
      <c r="A84" s="277">
        <f>IF(B84="","",COUNT('Diário 5º PA'!$A$5:$A$2634)+COUNT('Diário 6º PA'!$A$5:$A$2246)+ROW()-4)</f>
        <v>2623</v>
      </c>
      <c r="B84" s="278">
        <v>44382</v>
      </c>
      <c r="C84" s="259">
        <v>44317</v>
      </c>
      <c r="D84" s="252" t="s">
        <v>99</v>
      </c>
      <c r="E84" s="252" t="s">
        <v>262</v>
      </c>
      <c r="F84" s="257">
        <v>70.349999999999994</v>
      </c>
      <c r="G84" s="451" t="s">
        <v>1119</v>
      </c>
      <c r="H84" s="252" t="s">
        <v>115</v>
      </c>
      <c r="I84" s="252" t="s">
        <v>465</v>
      </c>
      <c r="J84" s="250" t="s">
        <v>114</v>
      </c>
      <c r="K84" s="250" t="s">
        <v>466</v>
      </c>
      <c r="L84" s="250" t="s">
        <v>467</v>
      </c>
      <c r="M84" s="277">
        <v>2723</v>
      </c>
      <c r="N84" s="278">
        <v>44382</v>
      </c>
      <c r="O84" s="329" t="s">
        <v>67</v>
      </c>
      <c r="P84" s="330">
        <f t="shared" si="4"/>
        <v>7</v>
      </c>
      <c r="Q84" s="330">
        <f t="shared" si="5"/>
        <v>5</v>
      </c>
      <c r="R84" s="331" t="str">
        <f t="shared" si="6"/>
        <v>Gastos_Gerais</v>
      </c>
      <c r="S84" s="331" t="str">
        <f>IF(D84="","",IF(OR(D84=Plano!$A$1,D84=Plano!$B$1),"entrada","saída"))</f>
        <v>saída</v>
      </c>
      <c r="T84" s="334" t="s">
        <v>114</v>
      </c>
      <c r="U84" s="334" t="s">
        <v>114</v>
      </c>
      <c r="V84" s="333"/>
      <c r="W84" s="269"/>
      <c r="X84" s="269"/>
      <c r="Y84" s="269"/>
      <c r="Z84" s="269"/>
      <c r="AA84" s="269"/>
      <c r="AB84" s="269"/>
      <c r="AC84" s="269"/>
      <c r="AD84" s="269"/>
      <c r="AE84" s="269"/>
      <c r="AF84" s="269"/>
      <c r="AG84" s="269"/>
      <c r="AH84" s="269"/>
      <c r="AI84" s="269"/>
      <c r="AJ84" s="269"/>
      <c r="AK84" s="269"/>
      <c r="AL84" s="269"/>
      <c r="AM84" s="269"/>
    </row>
    <row r="85" spans="1:39" ht="31.5" customHeight="1" x14ac:dyDescent="0.2">
      <c r="A85" s="277">
        <f>IF(B85="","",COUNT('Diário 5º PA'!$A$5:$A$2634)+COUNT('Diário 6º PA'!$A$5:$A$2246)+ROW()-4)</f>
        <v>2624</v>
      </c>
      <c r="B85" s="278">
        <v>44382</v>
      </c>
      <c r="C85" s="259">
        <v>44317</v>
      </c>
      <c r="D85" s="252" t="s">
        <v>99</v>
      </c>
      <c r="E85" s="252" t="s">
        <v>266</v>
      </c>
      <c r="F85" s="257">
        <v>488.38</v>
      </c>
      <c r="G85" s="451" t="s">
        <v>1120</v>
      </c>
      <c r="H85" s="252" t="s">
        <v>131</v>
      </c>
      <c r="I85" s="252" t="s">
        <v>465</v>
      </c>
      <c r="J85" s="250" t="s">
        <v>114</v>
      </c>
      <c r="K85" s="250" t="s">
        <v>466</v>
      </c>
      <c r="L85" s="250" t="s">
        <v>467</v>
      </c>
      <c r="M85" s="277">
        <v>2724</v>
      </c>
      <c r="N85" s="278">
        <v>44382</v>
      </c>
      <c r="O85" s="329" t="s">
        <v>67</v>
      </c>
      <c r="P85" s="330">
        <f t="shared" si="4"/>
        <v>7</v>
      </c>
      <c r="Q85" s="330">
        <f t="shared" si="5"/>
        <v>5</v>
      </c>
      <c r="R85" s="331" t="str">
        <f t="shared" si="6"/>
        <v>Gastos_Gerais</v>
      </c>
      <c r="S85" s="331" t="str">
        <f>IF(D85="","",IF(OR(D85=Plano!$A$1,D85=Plano!$B$1),"entrada","saída"))</f>
        <v>saída</v>
      </c>
      <c r="T85" s="334" t="s">
        <v>114</v>
      </c>
      <c r="U85" s="334" t="s">
        <v>114</v>
      </c>
      <c r="V85" s="333"/>
      <c r="W85" s="269"/>
      <c r="X85" s="269"/>
      <c r="Y85" s="269"/>
      <c r="Z85" s="269"/>
      <c r="AA85" s="269"/>
      <c r="AB85" s="269"/>
      <c r="AC85" s="269"/>
      <c r="AD85" s="269"/>
      <c r="AE85" s="269"/>
      <c r="AF85" s="269"/>
      <c r="AG85" s="269"/>
      <c r="AH85" s="269"/>
      <c r="AI85" s="269"/>
      <c r="AJ85" s="269"/>
      <c r="AK85" s="269"/>
      <c r="AL85" s="269"/>
      <c r="AM85" s="269"/>
    </row>
    <row r="86" spans="1:39" ht="39" customHeight="1" x14ac:dyDescent="0.2">
      <c r="A86" s="277">
        <f>IF(B86="","",COUNT('Diário 5º PA'!$A$5:$A$2634)+COUNT('Diário 6º PA'!$A$5:$A$2246)+ROW()-4)</f>
        <v>2625</v>
      </c>
      <c r="B86" s="278">
        <v>44382</v>
      </c>
      <c r="C86" s="259">
        <v>44317</v>
      </c>
      <c r="D86" s="252" t="s">
        <v>99</v>
      </c>
      <c r="E86" s="252" t="s">
        <v>336</v>
      </c>
      <c r="F86" s="257">
        <v>69</v>
      </c>
      <c r="G86" s="451" t="s">
        <v>1121</v>
      </c>
      <c r="H86" s="252" t="s">
        <v>116</v>
      </c>
      <c r="I86" s="252" t="s">
        <v>465</v>
      </c>
      <c r="J86" s="250" t="s">
        <v>114</v>
      </c>
      <c r="K86" s="250" t="s">
        <v>466</v>
      </c>
      <c r="L86" s="250" t="s">
        <v>467</v>
      </c>
      <c r="M86" s="277">
        <v>2725</v>
      </c>
      <c r="N86" s="278">
        <v>44382</v>
      </c>
      <c r="O86" s="329" t="s">
        <v>67</v>
      </c>
      <c r="P86" s="330">
        <f t="shared" si="4"/>
        <v>7</v>
      </c>
      <c r="Q86" s="330">
        <f t="shared" si="5"/>
        <v>5</v>
      </c>
      <c r="R86" s="331" t="str">
        <f t="shared" si="6"/>
        <v>Gastos_Gerais</v>
      </c>
      <c r="S86" s="331" t="str">
        <f>IF(D86="","",IF(OR(D86=Plano!$A$1,D86=Plano!$B$1),"entrada","saída"))</f>
        <v>saída</v>
      </c>
      <c r="T86" s="334" t="s">
        <v>114</v>
      </c>
      <c r="U86" s="334" t="s">
        <v>114</v>
      </c>
      <c r="V86" s="333"/>
      <c r="W86" s="269"/>
      <c r="X86" s="269"/>
      <c r="Y86" s="269"/>
      <c r="Z86" s="269"/>
      <c r="AA86" s="269"/>
      <c r="AB86" s="269"/>
      <c r="AC86" s="269"/>
      <c r="AD86" s="269"/>
      <c r="AE86" s="269"/>
      <c r="AF86" s="269"/>
      <c r="AG86" s="269"/>
      <c r="AH86" s="269"/>
      <c r="AI86" s="269"/>
      <c r="AJ86" s="269"/>
      <c r="AK86" s="269"/>
      <c r="AL86" s="269"/>
      <c r="AM86" s="269"/>
    </row>
    <row r="87" spans="1:39" ht="32.25" customHeight="1" x14ac:dyDescent="0.2">
      <c r="A87" s="277">
        <f>IF(B87="","",COUNT('Diário 5º PA'!$A$5:$A$2634)+COUNT('Diário 6º PA'!$A$5:$A$2246)+ROW()-4)</f>
        <v>2626</v>
      </c>
      <c r="B87" s="278">
        <v>44382</v>
      </c>
      <c r="C87" s="259">
        <v>44348</v>
      </c>
      <c r="D87" s="252" t="s">
        <v>99</v>
      </c>
      <c r="E87" s="252" t="s">
        <v>336</v>
      </c>
      <c r="F87" s="257">
        <v>120</v>
      </c>
      <c r="G87" s="451" t="s">
        <v>1122</v>
      </c>
      <c r="H87" s="252" t="s">
        <v>123</v>
      </c>
      <c r="I87" s="250" t="s">
        <v>465</v>
      </c>
      <c r="J87" s="250" t="s">
        <v>114</v>
      </c>
      <c r="K87" s="250" t="s">
        <v>466</v>
      </c>
      <c r="L87" s="250" t="s">
        <v>467</v>
      </c>
      <c r="M87" s="277">
        <v>2726</v>
      </c>
      <c r="N87" s="278">
        <v>44382</v>
      </c>
      <c r="O87" s="329" t="s">
        <v>67</v>
      </c>
      <c r="P87" s="330">
        <f t="shared" si="4"/>
        <v>7</v>
      </c>
      <c r="Q87" s="330">
        <f t="shared" si="5"/>
        <v>6</v>
      </c>
      <c r="R87" s="331" t="str">
        <f t="shared" si="6"/>
        <v>Gastos_Gerais</v>
      </c>
      <c r="S87" s="331" t="str">
        <f>IF(D87="","",IF(OR(D87=Plano!$A$1,D87=Plano!$B$1),"entrada","saída"))</f>
        <v>saída</v>
      </c>
      <c r="T87" s="334" t="s">
        <v>114</v>
      </c>
      <c r="U87" s="334" t="s">
        <v>114</v>
      </c>
      <c r="V87" s="333"/>
      <c r="W87" s="269"/>
      <c r="X87" s="269"/>
      <c r="Y87" s="269"/>
      <c r="Z87" s="269"/>
      <c r="AA87" s="269"/>
      <c r="AB87" s="269"/>
      <c r="AC87" s="269"/>
      <c r="AD87" s="269"/>
      <c r="AE87" s="269"/>
      <c r="AF87" s="269"/>
      <c r="AG87" s="269"/>
      <c r="AH87" s="269"/>
      <c r="AI87" s="269"/>
      <c r="AJ87" s="269"/>
      <c r="AK87" s="269"/>
      <c r="AL87" s="269"/>
      <c r="AM87" s="269"/>
    </row>
    <row r="88" spans="1:39" ht="45.75" customHeight="1" x14ac:dyDescent="0.2">
      <c r="A88" s="277">
        <f>IF(B88="","",COUNT('Diário 5º PA'!$A$5:$A$2634)+COUNT('Diário 6º PA'!$A$5:$A$2246)+ROW()-4)</f>
        <v>2627</v>
      </c>
      <c r="B88" s="278">
        <v>44382</v>
      </c>
      <c r="C88" s="259">
        <v>44348</v>
      </c>
      <c r="D88" s="252" t="s">
        <v>99</v>
      </c>
      <c r="E88" s="252" t="s">
        <v>336</v>
      </c>
      <c r="F88" s="257">
        <v>69</v>
      </c>
      <c r="G88" s="451" t="s">
        <v>1123</v>
      </c>
      <c r="H88" s="252" t="s">
        <v>116</v>
      </c>
      <c r="I88" s="252" t="s">
        <v>465</v>
      </c>
      <c r="J88" s="250" t="s">
        <v>114</v>
      </c>
      <c r="K88" s="250" t="s">
        <v>466</v>
      </c>
      <c r="L88" s="250" t="s">
        <v>467</v>
      </c>
      <c r="M88" s="277">
        <v>2727</v>
      </c>
      <c r="N88" s="278">
        <v>44382</v>
      </c>
      <c r="O88" s="329" t="s">
        <v>67</v>
      </c>
      <c r="P88" s="330">
        <f t="shared" si="4"/>
        <v>7</v>
      </c>
      <c r="Q88" s="330">
        <f t="shared" si="5"/>
        <v>6</v>
      </c>
      <c r="R88" s="331" t="str">
        <f t="shared" si="6"/>
        <v>Gastos_Gerais</v>
      </c>
      <c r="S88" s="331" t="str">
        <f>IF(D88="","",IF(OR(D88=Plano!$A$1,D88=Plano!$B$1),"entrada","saída"))</f>
        <v>saída</v>
      </c>
      <c r="T88" s="334" t="s">
        <v>114</v>
      </c>
      <c r="U88" s="334" t="s">
        <v>114</v>
      </c>
      <c r="V88" s="333"/>
      <c r="W88" s="269"/>
      <c r="X88" s="269"/>
      <c r="Y88" s="269"/>
      <c r="Z88" s="269"/>
      <c r="AA88" s="269"/>
      <c r="AB88" s="269"/>
      <c r="AC88" s="269"/>
      <c r="AD88" s="269"/>
      <c r="AE88" s="269"/>
      <c r="AF88" s="269"/>
      <c r="AG88" s="269"/>
      <c r="AH88" s="269"/>
      <c r="AI88" s="269"/>
      <c r="AJ88" s="269"/>
      <c r="AK88" s="269"/>
      <c r="AL88" s="269"/>
      <c r="AM88" s="269"/>
    </row>
    <row r="89" spans="1:39" ht="32.25" customHeight="1" x14ac:dyDescent="0.2">
      <c r="A89" s="277">
        <f>IF(B89="","",COUNT('Diário 5º PA'!$A$5:$A$2634)+COUNT('Diário 6º PA'!$A$5:$A$2246)+ROW()-4)</f>
        <v>2628</v>
      </c>
      <c r="B89" s="278">
        <v>44382</v>
      </c>
      <c r="C89" s="259">
        <v>44228</v>
      </c>
      <c r="D89" s="252" t="s">
        <v>99</v>
      </c>
      <c r="E89" s="252" t="s">
        <v>290</v>
      </c>
      <c r="F89" s="257">
        <v>283.8</v>
      </c>
      <c r="G89" s="451" t="s">
        <v>1124</v>
      </c>
      <c r="H89" s="252" t="s">
        <v>131</v>
      </c>
      <c r="I89" s="252" t="s">
        <v>465</v>
      </c>
      <c r="J89" s="250" t="s">
        <v>114</v>
      </c>
      <c r="K89" s="250" t="s">
        <v>466</v>
      </c>
      <c r="L89" s="250" t="s">
        <v>467</v>
      </c>
      <c r="M89" s="277">
        <v>2728</v>
      </c>
      <c r="N89" s="278">
        <v>44382</v>
      </c>
      <c r="O89" s="329" t="s">
        <v>67</v>
      </c>
      <c r="P89" s="330">
        <f t="shared" si="4"/>
        <v>7</v>
      </c>
      <c r="Q89" s="330">
        <f t="shared" si="5"/>
        <v>2</v>
      </c>
      <c r="R89" s="331" t="str">
        <f t="shared" si="6"/>
        <v>Gastos_Gerais</v>
      </c>
      <c r="S89" s="331" t="str">
        <f>IF(D89="","",IF(OR(D89=Plano!$A$1,D89=Plano!$B$1),"entrada","saída"))</f>
        <v>saída</v>
      </c>
      <c r="T89" s="334" t="s">
        <v>114</v>
      </c>
      <c r="U89" s="334" t="s">
        <v>114</v>
      </c>
      <c r="V89" s="333"/>
      <c r="W89" s="269"/>
      <c r="X89" s="269"/>
      <c r="Y89" s="269"/>
      <c r="Z89" s="269"/>
      <c r="AA89" s="269"/>
      <c r="AB89" s="269"/>
      <c r="AC89" s="269"/>
      <c r="AD89" s="269"/>
      <c r="AE89" s="269"/>
      <c r="AF89" s="269"/>
      <c r="AG89" s="269"/>
      <c r="AH89" s="269"/>
      <c r="AI89" s="269"/>
      <c r="AJ89" s="269"/>
      <c r="AK89" s="269"/>
      <c r="AL89" s="269"/>
      <c r="AM89" s="269"/>
    </row>
    <row r="90" spans="1:39" ht="36.75" customHeight="1" x14ac:dyDescent="0.2">
      <c r="A90" s="277">
        <f>IF(B90="","",COUNT('Diário 5º PA'!$A$5:$A$2634)+COUNT('Diário 6º PA'!$A$5:$A$2246)+ROW()-4)</f>
        <v>2629</v>
      </c>
      <c r="B90" s="278">
        <v>44382</v>
      </c>
      <c r="C90" s="259">
        <v>44317</v>
      </c>
      <c r="D90" s="252" t="s">
        <v>99</v>
      </c>
      <c r="E90" s="252" t="s">
        <v>244</v>
      </c>
      <c r="F90" s="257">
        <v>106.51</v>
      </c>
      <c r="G90" s="451" t="s">
        <v>1125</v>
      </c>
      <c r="H90" s="252" t="s">
        <v>128</v>
      </c>
      <c r="I90" s="252" t="s">
        <v>465</v>
      </c>
      <c r="J90" s="250" t="s">
        <v>114</v>
      </c>
      <c r="K90" s="250" t="s">
        <v>466</v>
      </c>
      <c r="L90" s="250" t="s">
        <v>467</v>
      </c>
      <c r="M90" s="277">
        <v>2729</v>
      </c>
      <c r="N90" s="278">
        <v>44382</v>
      </c>
      <c r="O90" s="329" t="s">
        <v>67</v>
      </c>
      <c r="P90" s="330">
        <f t="shared" si="4"/>
        <v>7</v>
      </c>
      <c r="Q90" s="330">
        <f t="shared" si="5"/>
        <v>5</v>
      </c>
      <c r="R90" s="331" t="str">
        <f t="shared" si="6"/>
        <v>Gastos_Gerais</v>
      </c>
      <c r="S90" s="331" t="str">
        <f>IF(D90="","",IF(OR(D90=Plano!$A$1,D90=Plano!$B$1),"entrada","saída"))</f>
        <v>saída</v>
      </c>
      <c r="T90" s="334" t="s">
        <v>114</v>
      </c>
      <c r="U90" s="334" t="s">
        <v>114</v>
      </c>
      <c r="V90" s="333"/>
      <c r="W90" s="269"/>
      <c r="X90" s="269"/>
      <c r="Y90" s="269"/>
      <c r="Z90" s="269"/>
      <c r="AA90" s="269"/>
      <c r="AB90" s="269"/>
      <c r="AC90" s="269"/>
      <c r="AD90" s="269"/>
      <c r="AE90" s="269"/>
      <c r="AF90" s="269"/>
      <c r="AG90" s="269"/>
      <c r="AH90" s="269"/>
      <c r="AI90" s="269"/>
      <c r="AJ90" s="269"/>
      <c r="AK90" s="269"/>
      <c r="AL90" s="269"/>
      <c r="AM90" s="269"/>
    </row>
    <row r="91" spans="1:39" ht="40.5" customHeight="1" x14ac:dyDescent="0.2">
      <c r="A91" s="277">
        <f>IF(B91="","",COUNT('Diário 5º PA'!$A$5:$A$2634)+COUNT('Diário 6º PA'!$A$5:$A$2246)+ROW()-4)</f>
        <v>2630</v>
      </c>
      <c r="B91" s="278">
        <v>44382</v>
      </c>
      <c r="C91" s="259">
        <v>44348</v>
      </c>
      <c r="D91" s="252" t="s">
        <v>99</v>
      </c>
      <c r="E91" s="252" t="s">
        <v>226</v>
      </c>
      <c r="F91" s="257">
        <v>60.75</v>
      </c>
      <c r="G91" s="451" t="s">
        <v>1126</v>
      </c>
      <c r="H91" s="252" t="s">
        <v>115</v>
      </c>
      <c r="I91" s="250" t="s">
        <v>465</v>
      </c>
      <c r="J91" s="250" t="s">
        <v>114</v>
      </c>
      <c r="K91" s="250" t="s">
        <v>466</v>
      </c>
      <c r="L91" s="250" t="s">
        <v>467</v>
      </c>
      <c r="M91" s="277">
        <v>2730</v>
      </c>
      <c r="N91" s="278">
        <v>44382</v>
      </c>
      <c r="O91" s="329" t="s">
        <v>67</v>
      </c>
      <c r="P91" s="330">
        <f t="shared" si="4"/>
        <v>7</v>
      </c>
      <c r="Q91" s="330">
        <f t="shared" si="5"/>
        <v>6</v>
      </c>
      <c r="R91" s="331" t="str">
        <f t="shared" si="6"/>
        <v>Gastos_Gerais</v>
      </c>
      <c r="S91" s="331" t="str">
        <f>IF(D91="","",IF(OR(D91=Plano!$A$1,D91=Plano!$B$1),"entrada","saída"))</f>
        <v>saída</v>
      </c>
      <c r="T91" s="334" t="s">
        <v>114</v>
      </c>
      <c r="U91" s="334" t="s">
        <v>114</v>
      </c>
      <c r="V91" s="333"/>
      <c r="W91" s="269"/>
      <c r="X91" s="269"/>
      <c r="Y91" s="269"/>
      <c r="Z91" s="269"/>
      <c r="AA91" s="269"/>
      <c r="AB91" s="269"/>
      <c r="AC91" s="269"/>
      <c r="AD91" s="269"/>
      <c r="AE91" s="269"/>
      <c r="AF91" s="269"/>
      <c r="AG91" s="269"/>
      <c r="AH91" s="269"/>
      <c r="AI91" s="269"/>
      <c r="AJ91" s="269"/>
      <c r="AK91" s="269"/>
      <c r="AL91" s="269"/>
      <c r="AM91" s="269"/>
    </row>
    <row r="92" spans="1:39" ht="27" customHeight="1" x14ac:dyDescent="0.2">
      <c r="A92" s="277">
        <f>IF(B92="","",COUNT('Diário 5º PA'!$A$5:$A$2634)+COUNT('Diário 6º PA'!$A$5:$A$2246)+ROW()-4)</f>
        <v>2631</v>
      </c>
      <c r="B92" s="278">
        <v>44382</v>
      </c>
      <c r="C92" s="259">
        <v>44348</v>
      </c>
      <c r="D92" s="252" t="s">
        <v>99</v>
      </c>
      <c r="E92" s="252" t="s">
        <v>266</v>
      </c>
      <c r="F92" s="258">
        <v>9.2799999999999994</v>
      </c>
      <c r="G92" s="451" t="s">
        <v>1127</v>
      </c>
      <c r="H92" s="252" t="s">
        <v>115</v>
      </c>
      <c r="I92" s="252" t="s">
        <v>465</v>
      </c>
      <c r="J92" s="250" t="s">
        <v>114</v>
      </c>
      <c r="K92" s="250" t="s">
        <v>466</v>
      </c>
      <c r="L92" s="250" t="s">
        <v>467</v>
      </c>
      <c r="M92" s="277">
        <v>2731</v>
      </c>
      <c r="N92" s="278">
        <v>44382</v>
      </c>
      <c r="O92" s="329" t="s">
        <v>67</v>
      </c>
      <c r="P92" s="330">
        <f t="shared" si="4"/>
        <v>7</v>
      </c>
      <c r="Q92" s="330">
        <f t="shared" si="5"/>
        <v>6</v>
      </c>
      <c r="R92" s="331" t="str">
        <f t="shared" si="6"/>
        <v>Gastos_Gerais</v>
      </c>
      <c r="S92" s="331" t="str">
        <f>IF(D92="","",IF(OR(D92=Plano!$A$1,D92=Plano!$B$1),"entrada","saída"))</f>
        <v>saída</v>
      </c>
      <c r="T92" s="332" t="s">
        <v>114</v>
      </c>
      <c r="U92" s="332" t="s">
        <v>114</v>
      </c>
      <c r="V92" s="333"/>
      <c r="W92" s="269"/>
      <c r="X92" s="269"/>
      <c r="Y92" s="269"/>
      <c r="Z92" s="269"/>
      <c r="AA92" s="269"/>
      <c r="AB92" s="269"/>
      <c r="AC92" s="269"/>
      <c r="AD92" s="269"/>
      <c r="AE92" s="269"/>
      <c r="AF92" s="269"/>
      <c r="AG92" s="269"/>
      <c r="AH92" s="269"/>
      <c r="AI92" s="269"/>
      <c r="AJ92" s="269"/>
      <c r="AK92" s="269"/>
      <c r="AL92" s="269"/>
      <c r="AM92" s="269"/>
    </row>
    <row r="93" spans="1:39" ht="49.5" customHeight="1" x14ac:dyDescent="0.2">
      <c r="A93" s="277">
        <f>IF(B93="","",COUNT('Diário 5º PA'!$A$5:$A$2634)+COUNT('Diário 6º PA'!$A$5:$A$2246)+ROW()-4)</f>
        <v>2632</v>
      </c>
      <c r="B93" s="278">
        <v>44382</v>
      </c>
      <c r="C93" s="259">
        <v>44348</v>
      </c>
      <c r="D93" s="252" t="s">
        <v>88</v>
      </c>
      <c r="E93" s="252" t="s">
        <v>183</v>
      </c>
      <c r="F93" s="257">
        <v>3.25</v>
      </c>
      <c r="G93" s="451" t="s">
        <v>1128</v>
      </c>
      <c r="H93" s="252" t="s">
        <v>114</v>
      </c>
      <c r="I93" s="252" t="s">
        <v>465</v>
      </c>
      <c r="J93" s="250" t="s">
        <v>114</v>
      </c>
      <c r="K93" s="250" t="s">
        <v>466</v>
      </c>
      <c r="L93" s="250" t="s">
        <v>467</v>
      </c>
      <c r="M93" s="277">
        <v>2732</v>
      </c>
      <c r="N93" s="278">
        <v>44382</v>
      </c>
      <c r="O93" s="329" t="s">
        <v>67</v>
      </c>
      <c r="P93" s="330">
        <f t="shared" si="4"/>
        <v>7</v>
      </c>
      <c r="Q93" s="330">
        <f t="shared" si="5"/>
        <v>6</v>
      </c>
      <c r="R93" s="331" t="str">
        <f t="shared" si="6"/>
        <v>Gastos_com_Pessoal</v>
      </c>
      <c r="S93" s="331" t="str">
        <f>IF(D93="","",IF(OR(D93=Plano!$A$1,D93=Plano!$B$1),"entrada","saída"))</f>
        <v>saída</v>
      </c>
      <c r="T93" s="332" t="s">
        <v>114</v>
      </c>
      <c r="U93" s="332" t="s">
        <v>114</v>
      </c>
      <c r="V93" s="333"/>
      <c r="W93" s="269"/>
      <c r="X93" s="269"/>
      <c r="Y93" s="269"/>
      <c r="Z93" s="269"/>
      <c r="AA93" s="269"/>
      <c r="AB93" s="269"/>
      <c r="AC93" s="269"/>
      <c r="AD93" s="269"/>
      <c r="AE93" s="269"/>
      <c r="AF93" s="269"/>
      <c r="AG93" s="269"/>
      <c r="AH93" s="269"/>
      <c r="AI93" s="269"/>
      <c r="AJ93" s="269"/>
      <c r="AK93" s="269"/>
      <c r="AL93" s="269"/>
      <c r="AM93" s="269"/>
    </row>
    <row r="94" spans="1:39" ht="39" customHeight="1" x14ac:dyDescent="0.2">
      <c r="A94" s="277">
        <f>IF(B94="","",COUNT('Diário 5º PA'!$A$5:$A$2634)+COUNT('Diário 6º PA'!$A$5:$A$2246)+ROW()-4)</f>
        <v>2633</v>
      </c>
      <c r="B94" s="278">
        <v>44382</v>
      </c>
      <c r="C94" s="259">
        <v>44348</v>
      </c>
      <c r="D94" s="252" t="s">
        <v>88</v>
      </c>
      <c r="E94" s="252" t="s">
        <v>183</v>
      </c>
      <c r="F94" s="257">
        <v>5.67</v>
      </c>
      <c r="G94" s="451" t="s">
        <v>1129</v>
      </c>
      <c r="H94" s="252" t="s">
        <v>114</v>
      </c>
      <c r="I94" s="252" t="s">
        <v>465</v>
      </c>
      <c r="J94" s="250" t="s">
        <v>114</v>
      </c>
      <c r="K94" s="250" t="s">
        <v>466</v>
      </c>
      <c r="L94" s="250" t="s">
        <v>467</v>
      </c>
      <c r="M94" s="277">
        <v>2733</v>
      </c>
      <c r="N94" s="278">
        <v>44382</v>
      </c>
      <c r="O94" s="329" t="s">
        <v>67</v>
      </c>
      <c r="P94" s="330">
        <f t="shared" si="4"/>
        <v>7</v>
      </c>
      <c r="Q94" s="330">
        <f t="shared" si="5"/>
        <v>6</v>
      </c>
      <c r="R94" s="331" t="str">
        <f t="shared" si="6"/>
        <v>Gastos_com_Pessoal</v>
      </c>
      <c r="S94" s="331" t="str">
        <f>IF(D94="","",IF(OR(D94=Plano!$A$1,D94=Plano!$B$1),"entrada","saída"))</f>
        <v>saída</v>
      </c>
      <c r="T94" s="332" t="s">
        <v>114</v>
      </c>
      <c r="U94" s="332" t="s">
        <v>114</v>
      </c>
      <c r="V94" s="333"/>
      <c r="W94" s="269"/>
      <c r="X94" s="269"/>
      <c r="Y94" s="269"/>
      <c r="Z94" s="269"/>
      <c r="AA94" s="269"/>
      <c r="AB94" s="269"/>
      <c r="AC94" s="269"/>
      <c r="AD94" s="269"/>
      <c r="AE94" s="269"/>
      <c r="AF94" s="269"/>
      <c r="AG94" s="269"/>
      <c r="AH94" s="269"/>
      <c r="AI94" s="269"/>
      <c r="AJ94" s="269"/>
      <c r="AK94" s="269"/>
      <c r="AL94" s="269"/>
      <c r="AM94" s="269"/>
    </row>
    <row r="95" spans="1:39" ht="33.75" customHeight="1" x14ac:dyDescent="0.2">
      <c r="A95" s="277">
        <f>IF(B95="","",COUNT('Diário 5º PA'!$A$5:$A$2634)+COUNT('Diário 6º PA'!$A$5:$A$2246)+ROW()-4)</f>
        <v>2634</v>
      </c>
      <c r="B95" s="278">
        <v>44382</v>
      </c>
      <c r="C95" s="259">
        <v>44348</v>
      </c>
      <c r="D95" s="252" t="s">
        <v>88</v>
      </c>
      <c r="E95" s="252" t="s">
        <v>192</v>
      </c>
      <c r="F95" s="257">
        <v>7.0000000000000007E-2</v>
      </c>
      <c r="G95" s="451" t="s">
        <v>1130</v>
      </c>
      <c r="H95" s="252" t="s">
        <v>114</v>
      </c>
      <c r="I95" s="250" t="s">
        <v>465</v>
      </c>
      <c r="J95" s="250" t="s">
        <v>114</v>
      </c>
      <c r="K95" s="250" t="s">
        <v>466</v>
      </c>
      <c r="L95" s="250" t="s">
        <v>467</v>
      </c>
      <c r="M95" s="277">
        <v>2734</v>
      </c>
      <c r="N95" s="278">
        <v>44382</v>
      </c>
      <c r="O95" s="329" t="s">
        <v>67</v>
      </c>
      <c r="P95" s="330">
        <f t="shared" si="4"/>
        <v>7</v>
      </c>
      <c r="Q95" s="330">
        <f t="shared" si="5"/>
        <v>6</v>
      </c>
      <c r="R95" s="331" t="str">
        <f t="shared" si="6"/>
        <v>Gastos_com_Pessoal</v>
      </c>
      <c r="S95" s="331" t="str">
        <f>IF(D95="","",IF(OR(D95=Plano!$A$1,D95=Plano!$B$1),"entrada","saída"))</f>
        <v>saída</v>
      </c>
      <c r="T95" s="332" t="s">
        <v>114</v>
      </c>
      <c r="U95" s="332" t="s">
        <v>114</v>
      </c>
      <c r="V95" s="333"/>
      <c r="W95" s="269"/>
      <c r="X95" s="269"/>
      <c r="Y95" s="269"/>
      <c r="Z95" s="269"/>
      <c r="AA95" s="269"/>
      <c r="AB95" s="269"/>
      <c r="AC95" s="269"/>
      <c r="AD95" s="269"/>
      <c r="AE95" s="269"/>
      <c r="AF95" s="269"/>
      <c r="AG95" s="269"/>
      <c r="AH95" s="269"/>
      <c r="AI95" s="269"/>
      <c r="AJ95" s="269"/>
      <c r="AK95" s="269"/>
      <c r="AL95" s="269"/>
      <c r="AM95" s="269"/>
    </row>
    <row r="96" spans="1:39" ht="42.75" customHeight="1" x14ac:dyDescent="0.2">
      <c r="A96" s="277">
        <f>IF(B96="","",COUNT('Diário 5º PA'!$A$5:$A$2634)+COUNT('Diário 6º PA'!$A$5:$A$2246)+ROW()-4)</f>
        <v>2635</v>
      </c>
      <c r="B96" s="278">
        <v>44382</v>
      </c>
      <c r="C96" s="259">
        <v>44348</v>
      </c>
      <c r="D96" s="252" t="s">
        <v>88</v>
      </c>
      <c r="E96" s="252" t="s">
        <v>192</v>
      </c>
      <c r="F96" s="257">
        <v>0.05</v>
      </c>
      <c r="G96" s="451" t="s">
        <v>1131</v>
      </c>
      <c r="H96" s="252" t="s">
        <v>114</v>
      </c>
      <c r="I96" s="250" t="s">
        <v>465</v>
      </c>
      <c r="J96" s="250" t="s">
        <v>114</v>
      </c>
      <c r="K96" s="250" t="s">
        <v>466</v>
      </c>
      <c r="L96" s="250" t="s">
        <v>467</v>
      </c>
      <c r="M96" s="277">
        <v>2735</v>
      </c>
      <c r="N96" s="278">
        <v>44382</v>
      </c>
      <c r="O96" s="329" t="s">
        <v>67</v>
      </c>
      <c r="P96" s="330">
        <f t="shared" si="4"/>
        <v>7</v>
      </c>
      <c r="Q96" s="330">
        <f t="shared" si="5"/>
        <v>6</v>
      </c>
      <c r="R96" s="331" t="str">
        <f t="shared" si="6"/>
        <v>Gastos_com_Pessoal</v>
      </c>
      <c r="S96" s="331" t="str">
        <f>IF(D96="","",IF(OR(D96=Plano!$A$1,D96=Plano!$B$1),"entrada","saída"))</f>
        <v>saída</v>
      </c>
      <c r="T96" s="332" t="s">
        <v>114</v>
      </c>
      <c r="U96" s="332" t="s">
        <v>114</v>
      </c>
      <c r="V96" s="333"/>
      <c r="W96" s="269"/>
      <c r="X96" s="269"/>
      <c r="Y96" s="269"/>
      <c r="Z96" s="269"/>
      <c r="AA96" s="269"/>
      <c r="AB96" s="269"/>
      <c r="AC96" s="269"/>
      <c r="AD96" s="269"/>
      <c r="AE96" s="269"/>
      <c r="AF96" s="269"/>
      <c r="AG96" s="269"/>
      <c r="AH96" s="269"/>
      <c r="AI96" s="269"/>
      <c r="AJ96" s="269"/>
      <c r="AK96" s="269"/>
      <c r="AL96" s="269"/>
      <c r="AM96" s="269"/>
    </row>
    <row r="97" spans="1:39" ht="47.25" customHeight="1" x14ac:dyDescent="0.2">
      <c r="A97" s="277">
        <f>IF(B97="","",COUNT('Diário 5º PA'!$A$5:$A$2634)+COUNT('Diário 6º PA'!$A$5:$A$2246)+ROW()-4)</f>
        <v>2636</v>
      </c>
      <c r="B97" s="278">
        <v>44382</v>
      </c>
      <c r="C97" s="249">
        <v>44317</v>
      </c>
      <c r="D97" s="252" t="s">
        <v>88</v>
      </c>
      <c r="E97" s="255" t="s">
        <v>90</v>
      </c>
      <c r="F97" s="257">
        <v>4.1500000000000004</v>
      </c>
      <c r="G97" s="451" t="s">
        <v>1132</v>
      </c>
      <c r="H97" s="252" t="s">
        <v>114</v>
      </c>
      <c r="I97" s="252" t="s">
        <v>465</v>
      </c>
      <c r="J97" s="250" t="s">
        <v>114</v>
      </c>
      <c r="K97" s="250" t="s">
        <v>466</v>
      </c>
      <c r="L97" s="250" t="s">
        <v>467</v>
      </c>
      <c r="M97" s="277">
        <v>2736</v>
      </c>
      <c r="N97" s="278">
        <v>44382</v>
      </c>
      <c r="O97" s="329" t="s">
        <v>67</v>
      </c>
      <c r="P97" s="330">
        <f t="shared" si="4"/>
        <v>7</v>
      </c>
      <c r="Q97" s="330">
        <f t="shared" si="5"/>
        <v>5</v>
      </c>
      <c r="R97" s="331" t="str">
        <f t="shared" si="6"/>
        <v>Gastos_com_Pessoal</v>
      </c>
      <c r="S97" s="331" t="str">
        <f>IF(D97="","",IF(OR(D97=Plano!$A$1,D97=Plano!$B$1),"entrada","saída"))</f>
        <v>saída</v>
      </c>
      <c r="T97" s="332" t="s">
        <v>114</v>
      </c>
      <c r="U97" s="332" t="s">
        <v>114</v>
      </c>
      <c r="V97" s="333"/>
      <c r="W97" s="269"/>
      <c r="X97" s="269"/>
      <c r="Y97" s="269"/>
      <c r="Z97" s="269"/>
      <c r="AA97" s="269"/>
      <c r="AB97" s="269"/>
      <c r="AC97" s="269"/>
      <c r="AD97" s="269"/>
      <c r="AE97" s="269"/>
      <c r="AF97" s="269"/>
      <c r="AG97" s="269"/>
      <c r="AH97" s="269"/>
      <c r="AI97" s="269"/>
      <c r="AJ97" s="269"/>
      <c r="AK97" s="269"/>
      <c r="AL97" s="269"/>
      <c r="AM97" s="269"/>
    </row>
    <row r="98" spans="1:39" ht="42" customHeight="1" x14ac:dyDescent="0.2">
      <c r="A98" s="277">
        <f>IF(B98="","",COUNT('Diário 5º PA'!$A$5:$A$2634)+COUNT('Diário 6º PA'!$A$5:$A$2246)+ROW()-4)</f>
        <v>2637</v>
      </c>
      <c r="B98" s="278">
        <v>44382</v>
      </c>
      <c r="C98" s="249">
        <v>44378</v>
      </c>
      <c r="D98" s="252" t="s">
        <v>88</v>
      </c>
      <c r="E98" s="255" t="s">
        <v>196</v>
      </c>
      <c r="F98" s="257">
        <v>84.32</v>
      </c>
      <c r="G98" s="451" t="s">
        <v>1133</v>
      </c>
      <c r="H98" s="252" t="s">
        <v>114</v>
      </c>
      <c r="I98" s="252" t="s">
        <v>465</v>
      </c>
      <c r="J98" s="250" t="s">
        <v>114</v>
      </c>
      <c r="K98" s="250" t="s">
        <v>466</v>
      </c>
      <c r="L98" s="250" t="s">
        <v>467</v>
      </c>
      <c r="M98" s="277">
        <v>2737</v>
      </c>
      <c r="N98" s="278">
        <v>44382</v>
      </c>
      <c r="O98" s="329" t="s">
        <v>67</v>
      </c>
      <c r="P98" s="330">
        <f t="shared" si="4"/>
        <v>7</v>
      </c>
      <c r="Q98" s="330">
        <f t="shared" si="5"/>
        <v>7</v>
      </c>
      <c r="R98" s="331" t="str">
        <f t="shared" si="6"/>
        <v>Gastos_com_Pessoal</v>
      </c>
      <c r="S98" s="331" t="str">
        <f>IF(D98="","",IF(OR(D98=Plano!$A$1,D98=Plano!$B$1),"entrada","saída"))</f>
        <v>saída</v>
      </c>
      <c r="T98" s="332" t="s">
        <v>114</v>
      </c>
      <c r="U98" s="332" t="s">
        <v>114</v>
      </c>
      <c r="V98" s="333"/>
      <c r="W98" s="269"/>
      <c r="X98" s="269"/>
      <c r="Y98" s="269"/>
      <c r="Z98" s="269"/>
      <c r="AA98" s="269"/>
      <c r="AB98" s="269"/>
      <c r="AC98" s="269"/>
      <c r="AD98" s="269"/>
      <c r="AE98" s="269"/>
      <c r="AF98" s="269"/>
      <c r="AG98" s="269"/>
      <c r="AH98" s="269"/>
      <c r="AI98" s="269"/>
      <c r="AJ98" s="269"/>
      <c r="AK98" s="269"/>
      <c r="AL98" s="269"/>
      <c r="AM98" s="269"/>
    </row>
    <row r="99" spans="1:39" ht="27.75" customHeight="1" x14ac:dyDescent="0.2">
      <c r="A99" s="277">
        <f>IF(B99="","",COUNT('Diário 5º PA'!$A$5:$A$2634)+COUNT('Diário 6º PA'!$A$5:$A$2246)+ROW()-4)</f>
        <v>2638</v>
      </c>
      <c r="B99" s="278">
        <v>44382</v>
      </c>
      <c r="C99" s="256">
        <v>44348</v>
      </c>
      <c r="D99" s="255" t="s">
        <v>99</v>
      </c>
      <c r="E99" s="255" t="s">
        <v>330</v>
      </c>
      <c r="F99" s="258">
        <v>19905.97</v>
      </c>
      <c r="G99" s="450" t="s">
        <v>1134</v>
      </c>
      <c r="H99" s="255" t="s">
        <v>129</v>
      </c>
      <c r="I99" s="252" t="s">
        <v>558</v>
      </c>
      <c r="J99" s="252" t="s">
        <v>559</v>
      </c>
      <c r="K99" s="255" t="s">
        <v>560</v>
      </c>
      <c r="L99" s="250" t="s">
        <v>114</v>
      </c>
      <c r="M99" s="277" t="s">
        <v>114</v>
      </c>
      <c r="N99" s="278">
        <v>44382</v>
      </c>
      <c r="O99" s="329" t="s">
        <v>67</v>
      </c>
      <c r="P99" s="330">
        <f t="shared" si="4"/>
        <v>7</v>
      </c>
      <c r="Q99" s="330">
        <f t="shared" si="5"/>
        <v>6</v>
      </c>
      <c r="R99" s="331" t="str">
        <f t="shared" si="6"/>
        <v>Gastos_Gerais</v>
      </c>
      <c r="S99" s="331" t="str">
        <f>IF(D99="","",IF(OR(D99=Plano!$A$1,D99=Plano!$B$1),"entrada","saída"))</f>
        <v>saída</v>
      </c>
      <c r="T99" s="332" t="s">
        <v>114</v>
      </c>
      <c r="U99" s="332" t="s">
        <v>114</v>
      </c>
      <c r="V99" s="333"/>
      <c r="W99" s="269"/>
      <c r="X99" s="269"/>
      <c r="Y99" s="269"/>
      <c r="Z99" s="269"/>
      <c r="AA99" s="269"/>
      <c r="AB99" s="269"/>
      <c r="AC99" s="269"/>
      <c r="AD99" s="269"/>
      <c r="AE99" s="269"/>
      <c r="AF99" s="269"/>
      <c r="AG99" s="269"/>
      <c r="AH99" s="269"/>
      <c r="AI99" s="269"/>
      <c r="AJ99" s="269"/>
      <c r="AK99" s="269"/>
      <c r="AL99" s="269"/>
      <c r="AM99" s="269"/>
    </row>
    <row r="100" spans="1:39" ht="117.75" customHeight="1" x14ac:dyDescent="0.2">
      <c r="A100" s="277">
        <f>IF(B100="","",COUNT('Diário 5º PA'!$A$5:$A$2634)+COUNT('Diário 6º PA'!$A$5:$A$2246)+ROW()-4)</f>
        <v>2639</v>
      </c>
      <c r="B100" s="278">
        <v>44382</v>
      </c>
      <c r="C100" s="256">
        <v>44348</v>
      </c>
      <c r="D100" s="255" t="s">
        <v>99</v>
      </c>
      <c r="E100" s="255" t="s">
        <v>330</v>
      </c>
      <c r="F100" s="257">
        <v>361.05</v>
      </c>
      <c r="G100" s="450" t="s">
        <v>692</v>
      </c>
      <c r="H100" s="255" t="s">
        <v>115</v>
      </c>
      <c r="I100" s="250" t="s">
        <v>693</v>
      </c>
      <c r="J100" s="250" t="s">
        <v>694</v>
      </c>
      <c r="K100" s="255" t="s">
        <v>560</v>
      </c>
      <c r="L100" s="250" t="s">
        <v>1016</v>
      </c>
      <c r="M100" s="277">
        <v>32659</v>
      </c>
      <c r="N100" s="278">
        <v>44378</v>
      </c>
      <c r="O100" s="329" t="s">
        <v>67</v>
      </c>
      <c r="P100" s="330">
        <f t="shared" si="4"/>
        <v>7</v>
      </c>
      <c r="Q100" s="330">
        <f t="shared" si="5"/>
        <v>6</v>
      </c>
      <c r="R100" s="331" t="str">
        <f t="shared" si="6"/>
        <v>Gastos_Gerais</v>
      </c>
      <c r="S100" s="331" t="str">
        <f>IF(D100="","",IF(OR(D100=Plano!$A$1,D100=Plano!$B$1),"entrada","saída"))</f>
        <v>saída</v>
      </c>
      <c r="T100" s="332" t="s">
        <v>1059</v>
      </c>
      <c r="U100" s="332">
        <v>1141</v>
      </c>
      <c r="V100" s="333"/>
      <c r="W100" s="269"/>
      <c r="X100" s="269"/>
      <c r="Y100" s="269"/>
      <c r="Z100" s="269"/>
      <c r="AA100" s="269"/>
      <c r="AB100" s="269"/>
      <c r="AC100" s="269"/>
      <c r="AD100" s="269"/>
      <c r="AE100" s="269"/>
      <c r="AF100" s="269"/>
      <c r="AG100" s="269"/>
      <c r="AH100" s="269"/>
      <c r="AI100" s="269"/>
      <c r="AJ100" s="269"/>
      <c r="AK100" s="269"/>
      <c r="AL100" s="269"/>
      <c r="AM100" s="269"/>
    </row>
    <row r="101" spans="1:39" ht="108" customHeight="1" x14ac:dyDescent="0.2">
      <c r="A101" s="277">
        <f>IF(B101="","",COUNT('Diário 5º PA'!$A$5:$A$2634)+COUNT('Diário 6º PA'!$A$5:$A$2246)+ROW()-4)</f>
        <v>2640</v>
      </c>
      <c r="B101" s="278">
        <v>44382</v>
      </c>
      <c r="C101" s="256">
        <v>44348</v>
      </c>
      <c r="D101" s="255" t="s">
        <v>99</v>
      </c>
      <c r="E101" s="255" t="s">
        <v>254</v>
      </c>
      <c r="F101" s="258">
        <v>750</v>
      </c>
      <c r="G101" s="450" t="s">
        <v>651</v>
      </c>
      <c r="H101" s="255" t="s">
        <v>115</v>
      </c>
      <c r="I101" s="250" t="s">
        <v>1135</v>
      </c>
      <c r="J101" s="250" t="s">
        <v>652</v>
      </c>
      <c r="K101" s="255" t="s">
        <v>991</v>
      </c>
      <c r="L101" s="250" t="s">
        <v>1136</v>
      </c>
      <c r="M101" s="277" t="s">
        <v>114</v>
      </c>
      <c r="N101" s="278">
        <v>44379</v>
      </c>
      <c r="O101" s="329" t="s">
        <v>67</v>
      </c>
      <c r="P101" s="330">
        <f t="shared" si="4"/>
        <v>7</v>
      </c>
      <c r="Q101" s="330">
        <f t="shared" si="5"/>
        <v>6</v>
      </c>
      <c r="R101" s="331" t="str">
        <f t="shared" si="6"/>
        <v>Gastos_Gerais</v>
      </c>
      <c r="S101" s="331" t="str">
        <f>IF(D101="","",IF(OR(D101=Plano!$A$1,D101=Plano!$B$1),"entrada","saída"))</f>
        <v>saída</v>
      </c>
      <c r="T101" s="332" t="s">
        <v>1059</v>
      </c>
      <c r="U101" s="332">
        <v>1139</v>
      </c>
      <c r="V101" s="333"/>
      <c r="W101" s="269"/>
      <c r="X101" s="269"/>
      <c r="Y101" s="269"/>
      <c r="Z101" s="269"/>
      <c r="AA101" s="269"/>
      <c r="AB101" s="269"/>
      <c r="AC101" s="269"/>
      <c r="AD101" s="269"/>
      <c r="AE101" s="269"/>
      <c r="AF101" s="269"/>
      <c r="AG101" s="269"/>
      <c r="AH101" s="269"/>
      <c r="AI101" s="269"/>
      <c r="AJ101" s="269"/>
      <c r="AK101" s="269"/>
      <c r="AL101" s="269"/>
      <c r="AM101" s="269"/>
    </row>
    <row r="102" spans="1:39" ht="95.25" customHeight="1" x14ac:dyDescent="0.2">
      <c r="A102" s="277">
        <f>IF(B102="","",COUNT('Diário 5º PA'!$A$5:$A$2634)+COUNT('Diário 6º PA'!$A$5:$A$2246)+ROW()-4)</f>
        <v>2641</v>
      </c>
      <c r="B102" s="278">
        <v>44382</v>
      </c>
      <c r="C102" s="256">
        <v>44348</v>
      </c>
      <c r="D102" s="255" t="s">
        <v>99</v>
      </c>
      <c r="E102" s="255" t="s">
        <v>228</v>
      </c>
      <c r="F102" s="258">
        <v>7977.25</v>
      </c>
      <c r="G102" s="450" t="s">
        <v>492</v>
      </c>
      <c r="H102" s="255" t="s">
        <v>115</v>
      </c>
      <c r="I102" s="250" t="s">
        <v>493</v>
      </c>
      <c r="J102" s="252" t="s">
        <v>1137</v>
      </c>
      <c r="K102" s="255" t="s">
        <v>991</v>
      </c>
      <c r="L102" s="250" t="s">
        <v>1016</v>
      </c>
      <c r="M102" s="277" t="s">
        <v>1138</v>
      </c>
      <c r="N102" s="278">
        <v>44369</v>
      </c>
      <c r="O102" s="329" t="s">
        <v>67</v>
      </c>
      <c r="P102" s="330">
        <f t="shared" si="4"/>
        <v>7</v>
      </c>
      <c r="Q102" s="330">
        <f t="shared" si="5"/>
        <v>6</v>
      </c>
      <c r="R102" s="331" t="str">
        <f t="shared" si="6"/>
        <v>Gastos_Gerais</v>
      </c>
      <c r="S102" s="331" t="str">
        <f>IF(D102="","",IF(OR(D102=Plano!$A$1,D102=Plano!$B$1),"entrada","saída"))</f>
        <v>saída</v>
      </c>
      <c r="T102" s="332" t="s">
        <v>1059</v>
      </c>
      <c r="U102" s="332">
        <v>1114</v>
      </c>
      <c r="V102" s="333"/>
      <c r="W102" s="269"/>
      <c r="X102" s="269"/>
      <c r="Y102" s="269"/>
      <c r="Z102" s="269"/>
      <c r="AA102" s="269"/>
      <c r="AB102" s="269"/>
      <c r="AC102" s="269"/>
      <c r="AD102" s="269"/>
      <c r="AE102" s="269"/>
      <c r="AF102" s="269"/>
      <c r="AG102" s="269"/>
      <c r="AH102" s="269"/>
      <c r="AI102" s="269"/>
      <c r="AJ102" s="269"/>
      <c r="AK102" s="269"/>
      <c r="AL102" s="269"/>
      <c r="AM102" s="269"/>
    </row>
    <row r="103" spans="1:39" ht="98.25" customHeight="1" x14ac:dyDescent="0.2">
      <c r="A103" s="277">
        <f>IF(B103="","",COUNT('Diário 5º PA'!$A$5:$A$2634)+COUNT('Diário 6º PA'!$A$5:$A$2246)+ROW()-4)</f>
        <v>2642</v>
      </c>
      <c r="B103" s="278">
        <v>44382</v>
      </c>
      <c r="C103" s="259">
        <v>44348</v>
      </c>
      <c r="D103" s="252" t="s">
        <v>99</v>
      </c>
      <c r="E103" s="252" t="s">
        <v>336</v>
      </c>
      <c r="F103" s="257">
        <v>2910.6</v>
      </c>
      <c r="G103" s="451" t="s">
        <v>1139</v>
      </c>
      <c r="H103" s="252" t="s">
        <v>116</v>
      </c>
      <c r="I103" s="250" t="s">
        <v>1140</v>
      </c>
      <c r="J103" s="250" t="s">
        <v>929</v>
      </c>
      <c r="K103" s="255" t="s">
        <v>991</v>
      </c>
      <c r="L103" s="250" t="s">
        <v>1016</v>
      </c>
      <c r="M103" s="277">
        <v>181</v>
      </c>
      <c r="N103" s="278">
        <v>44382</v>
      </c>
      <c r="O103" s="329" t="s">
        <v>67</v>
      </c>
      <c r="P103" s="330">
        <f t="shared" si="4"/>
        <v>7</v>
      </c>
      <c r="Q103" s="330">
        <f t="shared" si="5"/>
        <v>6</v>
      </c>
      <c r="R103" s="331" t="str">
        <f t="shared" si="6"/>
        <v>Gastos_Gerais</v>
      </c>
      <c r="S103" s="331" t="str">
        <f>IF(D103="","",IF(OR(D103=Plano!$A$1,D103=Plano!$B$1),"entrada","saída"))</f>
        <v>saída</v>
      </c>
      <c r="T103" s="334" t="s">
        <v>994</v>
      </c>
      <c r="U103" s="334">
        <v>1705</v>
      </c>
      <c r="V103" s="333"/>
      <c r="W103" s="269"/>
      <c r="X103" s="269"/>
      <c r="Y103" s="269"/>
      <c r="Z103" s="269"/>
      <c r="AA103" s="269"/>
      <c r="AB103" s="269"/>
      <c r="AC103" s="269"/>
      <c r="AD103" s="269"/>
      <c r="AE103" s="269"/>
      <c r="AF103" s="269"/>
      <c r="AG103" s="269"/>
      <c r="AH103" s="269"/>
      <c r="AI103" s="269"/>
      <c r="AJ103" s="269"/>
      <c r="AK103" s="269"/>
      <c r="AL103" s="269"/>
      <c r="AM103" s="269"/>
    </row>
    <row r="104" spans="1:39" ht="126.75" customHeight="1" x14ac:dyDescent="0.2">
      <c r="A104" s="277">
        <f>IF(B104="","",COUNT('Diário 5º PA'!$A$5:$A$2634)+COUNT('Diário 6º PA'!$A$5:$A$2246)+ROW()-4)</f>
        <v>2643</v>
      </c>
      <c r="B104" s="278">
        <v>44382</v>
      </c>
      <c r="C104" s="259">
        <v>44348</v>
      </c>
      <c r="D104" s="252" t="s">
        <v>99</v>
      </c>
      <c r="E104" s="252" t="s">
        <v>336</v>
      </c>
      <c r="F104" s="251">
        <v>19404</v>
      </c>
      <c r="G104" s="451" t="s">
        <v>1141</v>
      </c>
      <c r="H104" s="252" t="s">
        <v>116</v>
      </c>
      <c r="I104" s="252" t="s">
        <v>1140</v>
      </c>
      <c r="J104" s="250" t="s">
        <v>929</v>
      </c>
      <c r="K104" s="255" t="s">
        <v>991</v>
      </c>
      <c r="L104" s="250" t="s">
        <v>1016</v>
      </c>
      <c r="M104" s="277">
        <v>183</v>
      </c>
      <c r="N104" s="278">
        <v>44382</v>
      </c>
      <c r="O104" s="329" t="s">
        <v>67</v>
      </c>
      <c r="P104" s="330">
        <f t="shared" si="4"/>
        <v>7</v>
      </c>
      <c r="Q104" s="330">
        <f t="shared" si="5"/>
        <v>6</v>
      </c>
      <c r="R104" s="331" t="str">
        <f t="shared" si="6"/>
        <v>Gastos_Gerais</v>
      </c>
      <c r="S104" s="331" t="str">
        <f>IF(D104="","",IF(OR(D104=Plano!$A$1,D104=Plano!$B$1),"entrada","saída"))</f>
        <v>saída</v>
      </c>
      <c r="T104" s="334" t="s">
        <v>994</v>
      </c>
      <c r="U104" s="334">
        <v>1380</v>
      </c>
      <c r="V104" s="333"/>
      <c r="W104" s="269"/>
      <c r="X104" s="269"/>
      <c r="Y104" s="269"/>
      <c r="Z104" s="269"/>
      <c r="AA104" s="269"/>
      <c r="AB104" s="269"/>
      <c r="AC104" s="269"/>
      <c r="AD104" s="269"/>
      <c r="AE104" s="269"/>
      <c r="AF104" s="269"/>
      <c r="AG104" s="269"/>
      <c r="AH104" s="269"/>
      <c r="AI104" s="269"/>
      <c r="AJ104" s="269"/>
      <c r="AK104" s="269"/>
      <c r="AL104" s="269"/>
      <c r="AM104" s="269"/>
    </row>
    <row r="105" spans="1:39" ht="171" customHeight="1" x14ac:dyDescent="0.2">
      <c r="A105" s="277">
        <f>IF(B105="","",COUNT('Diário 5º PA'!$A$5:$A$2634)+COUNT('Diário 6º PA'!$A$5:$A$2246)+ROW()-4)</f>
        <v>2644</v>
      </c>
      <c r="B105" s="278">
        <v>44382</v>
      </c>
      <c r="C105" s="259">
        <v>44287</v>
      </c>
      <c r="D105" s="252" t="s">
        <v>99</v>
      </c>
      <c r="E105" s="252" t="s">
        <v>358</v>
      </c>
      <c r="F105" s="257">
        <v>1495.2</v>
      </c>
      <c r="G105" s="451" t="s">
        <v>1142</v>
      </c>
      <c r="H105" s="252" t="s">
        <v>123</v>
      </c>
      <c r="I105" s="252" t="s">
        <v>1143</v>
      </c>
      <c r="J105" s="250" t="s">
        <v>1144</v>
      </c>
      <c r="K105" s="255" t="s">
        <v>991</v>
      </c>
      <c r="L105" s="250" t="s">
        <v>1029</v>
      </c>
      <c r="M105" s="277">
        <v>1222</v>
      </c>
      <c r="N105" s="278">
        <v>44379</v>
      </c>
      <c r="O105" s="329" t="s">
        <v>67</v>
      </c>
      <c r="P105" s="330">
        <f t="shared" si="4"/>
        <v>7</v>
      </c>
      <c r="Q105" s="330">
        <f t="shared" si="5"/>
        <v>4</v>
      </c>
      <c r="R105" s="331" t="str">
        <f t="shared" si="6"/>
        <v>Gastos_Gerais</v>
      </c>
      <c r="S105" s="331" t="str">
        <f>IF(D105="","",IF(OR(D105=Plano!$A$1,D105=Plano!$B$1),"entrada","saída"))</f>
        <v>saída</v>
      </c>
      <c r="T105" s="334" t="s">
        <v>994</v>
      </c>
      <c r="U105" s="334">
        <v>1523</v>
      </c>
      <c r="V105" s="333"/>
      <c r="W105" s="269"/>
      <c r="X105" s="269"/>
      <c r="Y105" s="269"/>
      <c r="Z105" s="269"/>
      <c r="AA105" s="269"/>
      <c r="AB105" s="269"/>
      <c r="AC105" s="269"/>
      <c r="AD105" s="269"/>
      <c r="AE105" s="269"/>
      <c r="AF105" s="269"/>
      <c r="AG105" s="269"/>
      <c r="AH105" s="269"/>
      <c r="AI105" s="269"/>
      <c r="AJ105" s="269"/>
      <c r="AK105" s="269"/>
      <c r="AL105" s="269"/>
      <c r="AM105" s="269"/>
    </row>
    <row r="106" spans="1:39" ht="153.75" customHeight="1" x14ac:dyDescent="0.2">
      <c r="A106" s="277">
        <f>IF(B106="","",COUNT('Diário 5º PA'!$A$5:$A$2634)+COUNT('Diário 6º PA'!$A$5:$A$2246)+ROW()-4)</f>
        <v>2645</v>
      </c>
      <c r="B106" s="278">
        <v>44382</v>
      </c>
      <c r="C106" s="259">
        <v>44348</v>
      </c>
      <c r="D106" s="252" t="s">
        <v>99</v>
      </c>
      <c r="E106" s="252" t="s">
        <v>358</v>
      </c>
      <c r="F106" s="257">
        <v>1000</v>
      </c>
      <c r="G106" s="451" t="s">
        <v>1145</v>
      </c>
      <c r="H106" s="252" t="s">
        <v>124</v>
      </c>
      <c r="I106" s="250" t="s">
        <v>1146</v>
      </c>
      <c r="J106" s="250" t="s">
        <v>1147</v>
      </c>
      <c r="K106" s="255" t="s">
        <v>991</v>
      </c>
      <c r="L106" s="250" t="s">
        <v>992</v>
      </c>
      <c r="M106" s="277" t="s">
        <v>1148</v>
      </c>
      <c r="N106" s="278">
        <v>44382</v>
      </c>
      <c r="O106" s="329" t="s">
        <v>67</v>
      </c>
      <c r="P106" s="330">
        <f t="shared" si="4"/>
        <v>7</v>
      </c>
      <c r="Q106" s="330">
        <f t="shared" si="5"/>
        <v>6</v>
      </c>
      <c r="R106" s="331" t="str">
        <f t="shared" si="6"/>
        <v>Gastos_Gerais</v>
      </c>
      <c r="S106" s="331" t="str">
        <f>IF(D106="","",IF(OR(D106=Plano!$A$1,D106=Plano!$B$1),"entrada","saída"))</f>
        <v>saída</v>
      </c>
      <c r="T106" s="334" t="s">
        <v>994</v>
      </c>
      <c r="U106" s="334">
        <v>1668</v>
      </c>
      <c r="V106" s="333"/>
      <c r="W106" s="269"/>
      <c r="X106" s="269"/>
      <c r="Y106" s="269"/>
      <c r="Z106" s="269"/>
      <c r="AA106" s="269"/>
      <c r="AB106" s="269"/>
      <c r="AC106" s="269"/>
      <c r="AD106" s="269"/>
      <c r="AE106" s="269"/>
      <c r="AF106" s="269"/>
      <c r="AG106" s="269"/>
      <c r="AH106" s="269"/>
      <c r="AI106" s="269"/>
      <c r="AJ106" s="269"/>
      <c r="AK106" s="269"/>
      <c r="AL106" s="269"/>
      <c r="AM106" s="269"/>
    </row>
    <row r="107" spans="1:39" ht="43.5" customHeight="1" x14ac:dyDescent="0.2">
      <c r="A107" s="277">
        <f>IF(B107="","",COUNT('Diário 5º PA'!$A$5:$A$2634)+COUNT('Diário 6º PA'!$A$5:$A$2246)+ROW()-4)</f>
        <v>2646</v>
      </c>
      <c r="B107" s="278">
        <v>44382</v>
      </c>
      <c r="C107" s="335">
        <v>44378</v>
      </c>
      <c r="D107" s="255" t="s">
        <v>99</v>
      </c>
      <c r="E107" s="255" t="s">
        <v>272</v>
      </c>
      <c r="F107" s="258">
        <v>10.45</v>
      </c>
      <c r="G107" s="450" t="s">
        <v>1149</v>
      </c>
      <c r="H107" s="255" t="s">
        <v>115</v>
      </c>
      <c r="I107" s="250" t="s">
        <v>949</v>
      </c>
      <c r="J107" s="255" t="s">
        <v>950</v>
      </c>
      <c r="K107" s="255" t="s">
        <v>951</v>
      </c>
      <c r="L107" s="250" t="s">
        <v>947</v>
      </c>
      <c r="M107" s="336" t="s">
        <v>114</v>
      </c>
      <c r="N107" s="278">
        <v>44382</v>
      </c>
      <c r="O107" s="329" t="s">
        <v>67</v>
      </c>
      <c r="P107" s="330">
        <f t="shared" si="4"/>
        <v>7</v>
      </c>
      <c r="Q107" s="330">
        <f t="shared" si="5"/>
        <v>7</v>
      </c>
      <c r="R107" s="331" t="str">
        <f t="shared" si="6"/>
        <v>Gastos_Gerais</v>
      </c>
      <c r="S107" s="331" t="str">
        <f>IF(D107="","",IF(OR(D107=Plano!$A$1,D107=Plano!$B$1),"entrada","saída"))</f>
        <v>saída</v>
      </c>
      <c r="T107" s="332" t="s">
        <v>114</v>
      </c>
      <c r="U107" s="332" t="s">
        <v>114</v>
      </c>
      <c r="V107" s="333"/>
      <c r="W107" s="269"/>
      <c r="X107" s="269"/>
      <c r="Y107" s="269"/>
      <c r="Z107" s="269"/>
      <c r="AA107" s="269"/>
      <c r="AB107" s="269"/>
      <c r="AC107" s="269"/>
      <c r="AD107" s="269"/>
      <c r="AE107" s="269"/>
      <c r="AF107" s="269"/>
      <c r="AG107" s="269"/>
      <c r="AH107" s="269"/>
      <c r="AI107" s="269"/>
      <c r="AJ107" s="269"/>
      <c r="AK107" s="269"/>
      <c r="AL107" s="269"/>
      <c r="AM107" s="269"/>
    </row>
    <row r="108" spans="1:39" ht="45.75" customHeight="1" x14ac:dyDescent="0.2">
      <c r="A108" s="277">
        <f>IF(B108="","",COUNT('Diário 5º PA'!$A$5:$A$2634)+COUNT('Diário 6º PA'!$A$5:$A$2246)+ROW()-4)</f>
        <v>2647</v>
      </c>
      <c r="B108" s="278">
        <v>44382</v>
      </c>
      <c r="C108" s="335">
        <v>44378</v>
      </c>
      <c r="D108" s="255" t="s">
        <v>99</v>
      </c>
      <c r="E108" s="255" t="s">
        <v>272</v>
      </c>
      <c r="F108" s="258">
        <v>10.45</v>
      </c>
      <c r="G108" s="450" t="s">
        <v>1150</v>
      </c>
      <c r="H108" s="252" t="s">
        <v>115</v>
      </c>
      <c r="I108" s="250" t="s">
        <v>949</v>
      </c>
      <c r="J108" s="255" t="s">
        <v>950</v>
      </c>
      <c r="K108" s="255" t="s">
        <v>951</v>
      </c>
      <c r="L108" s="250" t="s">
        <v>947</v>
      </c>
      <c r="M108" s="336" t="s">
        <v>114</v>
      </c>
      <c r="N108" s="278">
        <v>44382</v>
      </c>
      <c r="O108" s="329" t="s">
        <v>67</v>
      </c>
      <c r="P108" s="330">
        <f t="shared" si="4"/>
        <v>7</v>
      </c>
      <c r="Q108" s="330">
        <f t="shared" si="5"/>
        <v>7</v>
      </c>
      <c r="R108" s="331" t="str">
        <f t="shared" si="6"/>
        <v>Gastos_Gerais</v>
      </c>
      <c r="S108" s="331" t="str">
        <f>IF(D108="","",IF(OR(D108=Plano!$A$1,D108=Plano!$B$1),"entrada","saída"))</f>
        <v>saída</v>
      </c>
      <c r="T108" s="332" t="s">
        <v>114</v>
      </c>
      <c r="U108" s="332" t="s">
        <v>114</v>
      </c>
      <c r="V108" s="333"/>
      <c r="W108" s="269"/>
      <c r="X108" s="269"/>
      <c r="Y108" s="269"/>
      <c r="Z108" s="269"/>
      <c r="AA108" s="269"/>
      <c r="AB108" s="269"/>
      <c r="AC108" s="269"/>
      <c r="AD108" s="269"/>
      <c r="AE108" s="269"/>
      <c r="AF108" s="269"/>
      <c r="AG108" s="269"/>
      <c r="AH108" s="269"/>
      <c r="AI108" s="269"/>
      <c r="AJ108" s="269"/>
      <c r="AK108" s="269"/>
      <c r="AL108" s="269"/>
      <c r="AM108" s="269"/>
    </row>
    <row r="109" spans="1:39" ht="43.5" customHeight="1" x14ac:dyDescent="0.2">
      <c r="A109" s="277">
        <f>IF(B109="","",COUNT('Diário 5º PA'!$A$5:$A$2634)+COUNT('Diário 6º PA'!$A$5:$A$2246)+ROW()-4)</f>
        <v>2648</v>
      </c>
      <c r="B109" s="278">
        <v>44382</v>
      </c>
      <c r="C109" s="335">
        <v>44378</v>
      </c>
      <c r="D109" s="255" t="s">
        <v>99</v>
      </c>
      <c r="E109" s="255" t="s">
        <v>272</v>
      </c>
      <c r="F109" s="258">
        <v>10.45</v>
      </c>
      <c r="G109" s="450" t="s">
        <v>1151</v>
      </c>
      <c r="H109" s="252" t="s">
        <v>116</v>
      </c>
      <c r="I109" s="250" t="s">
        <v>949</v>
      </c>
      <c r="J109" s="255" t="s">
        <v>950</v>
      </c>
      <c r="K109" s="255" t="s">
        <v>951</v>
      </c>
      <c r="L109" s="250" t="s">
        <v>947</v>
      </c>
      <c r="M109" s="336" t="s">
        <v>114</v>
      </c>
      <c r="N109" s="278">
        <v>44382</v>
      </c>
      <c r="O109" s="329" t="s">
        <v>67</v>
      </c>
      <c r="P109" s="330">
        <f t="shared" si="4"/>
        <v>7</v>
      </c>
      <c r="Q109" s="330">
        <f t="shared" si="5"/>
        <v>7</v>
      </c>
      <c r="R109" s="331" t="str">
        <f t="shared" si="6"/>
        <v>Gastos_Gerais</v>
      </c>
      <c r="S109" s="331" t="str">
        <f>IF(D109="","",IF(OR(D109=Plano!$A$1,D109=Plano!$B$1),"entrada","saída"))</f>
        <v>saída</v>
      </c>
      <c r="T109" s="332" t="s">
        <v>114</v>
      </c>
      <c r="U109" s="332" t="s">
        <v>114</v>
      </c>
      <c r="V109" s="333"/>
      <c r="W109" s="269"/>
      <c r="X109" s="269"/>
      <c r="Y109" s="269"/>
      <c r="Z109" s="269"/>
      <c r="AA109" s="269"/>
      <c r="AB109" s="269"/>
      <c r="AC109" s="269"/>
      <c r="AD109" s="269"/>
      <c r="AE109" s="269"/>
      <c r="AF109" s="269"/>
      <c r="AG109" s="269"/>
      <c r="AH109" s="269"/>
      <c r="AI109" s="269"/>
      <c r="AJ109" s="269"/>
      <c r="AK109" s="269"/>
      <c r="AL109" s="269"/>
      <c r="AM109" s="269"/>
    </row>
    <row r="110" spans="1:39" ht="42" customHeight="1" x14ac:dyDescent="0.2">
      <c r="A110" s="277">
        <f>IF(B110="","",COUNT('Diário 5º PA'!$A$5:$A$2634)+COUNT('Diário 6º PA'!$A$5:$A$2246)+ROW()-4)</f>
        <v>2649</v>
      </c>
      <c r="B110" s="278">
        <v>44382</v>
      </c>
      <c r="C110" s="335">
        <v>44378</v>
      </c>
      <c r="D110" s="255" t="s">
        <v>99</v>
      </c>
      <c r="E110" s="255" t="s">
        <v>272</v>
      </c>
      <c r="F110" s="258">
        <v>10.45</v>
      </c>
      <c r="G110" s="450" t="s">
        <v>1152</v>
      </c>
      <c r="H110" s="252" t="s">
        <v>116</v>
      </c>
      <c r="I110" s="250" t="s">
        <v>949</v>
      </c>
      <c r="J110" s="255" t="s">
        <v>950</v>
      </c>
      <c r="K110" s="255" t="s">
        <v>951</v>
      </c>
      <c r="L110" s="250" t="s">
        <v>947</v>
      </c>
      <c r="M110" s="336" t="s">
        <v>114</v>
      </c>
      <c r="N110" s="278">
        <v>44382</v>
      </c>
      <c r="O110" s="329" t="s">
        <v>67</v>
      </c>
      <c r="P110" s="330">
        <f t="shared" si="4"/>
        <v>7</v>
      </c>
      <c r="Q110" s="330">
        <f t="shared" si="5"/>
        <v>7</v>
      </c>
      <c r="R110" s="331" t="str">
        <f t="shared" si="6"/>
        <v>Gastos_Gerais</v>
      </c>
      <c r="S110" s="331" t="str">
        <f>IF(D110="","",IF(OR(D110=Plano!$A$1,D110=Plano!$B$1),"entrada","saída"))</f>
        <v>saída</v>
      </c>
      <c r="T110" s="332" t="s">
        <v>114</v>
      </c>
      <c r="U110" s="332" t="s">
        <v>114</v>
      </c>
      <c r="V110" s="333"/>
      <c r="W110" s="269"/>
      <c r="X110" s="269"/>
      <c r="Y110" s="269"/>
      <c r="Z110" s="269"/>
      <c r="AA110" s="269"/>
      <c r="AB110" s="269"/>
      <c r="AC110" s="269"/>
      <c r="AD110" s="269"/>
      <c r="AE110" s="269"/>
      <c r="AF110" s="269"/>
      <c r="AG110" s="269"/>
      <c r="AH110" s="269"/>
      <c r="AI110" s="269"/>
      <c r="AJ110" s="269"/>
      <c r="AK110" s="269"/>
      <c r="AL110" s="269"/>
      <c r="AM110" s="269"/>
    </row>
    <row r="111" spans="1:39" ht="45" customHeight="1" x14ac:dyDescent="0.2">
      <c r="A111" s="277">
        <f>IF(B111="","",COUNT('Diário 5º PA'!$A$5:$A$2634)+COUNT('Diário 6º PA'!$A$5:$A$2246)+ROW()-4)</f>
        <v>2650</v>
      </c>
      <c r="B111" s="278">
        <v>44382</v>
      </c>
      <c r="C111" s="335">
        <v>44378</v>
      </c>
      <c r="D111" s="255" t="s">
        <v>99</v>
      </c>
      <c r="E111" s="255" t="s">
        <v>272</v>
      </c>
      <c r="F111" s="258">
        <v>10.45</v>
      </c>
      <c r="G111" s="450" t="s">
        <v>1153</v>
      </c>
      <c r="H111" s="252" t="s">
        <v>123</v>
      </c>
      <c r="I111" s="250" t="s">
        <v>949</v>
      </c>
      <c r="J111" s="255" t="s">
        <v>950</v>
      </c>
      <c r="K111" s="255" t="s">
        <v>951</v>
      </c>
      <c r="L111" s="250" t="s">
        <v>947</v>
      </c>
      <c r="M111" s="336" t="s">
        <v>114</v>
      </c>
      <c r="N111" s="278">
        <v>44382</v>
      </c>
      <c r="O111" s="329" t="s">
        <v>67</v>
      </c>
      <c r="P111" s="330">
        <f t="shared" si="4"/>
        <v>7</v>
      </c>
      <c r="Q111" s="330">
        <f t="shared" si="5"/>
        <v>7</v>
      </c>
      <c r="R111" s="331" t="str">
        <f t="shared" si="6"/>
        <v>Gastos_Gerais</v>
      </c>
      <c r="S111" s="331" t="str">
        <f>IF(D111="","",IF(OR(D111=Plano!$A$1,D111=Plano!$B$1),"entrada","saída"))</f>
        <v>saída</v>
      </c>
      <c r="T111" s="332" t="s">
        <v>114</v>
      </c>
      <c r="U111" s="332" t="s">
        <v>114</v>
      </c>
      <c r="V111" s="333"/>
      <c r="W111" s="269"/>
      <c r="X111" s="269"/>
      <c r="Y111" s="269"/>
      <c r="Z111" s="269"/>
      <c r="AA111" s="269"/>
      <c r="AB111" s="269"/>
      <c r="AC111" s="269"/>
      <c r="AD111" s="269"/>
      <c r="AE111" s="269"/>
      <c r="AF111" s="269"/>
      <c r="AG111" s="269"/>
      <c r="AH111" s="269"/>
      <c r="AI111" s="269"/>
      <c r="AJ111" s="269"/>
      <c r="AK111" s="269"/>
      <c r="AL111" s="269"/>
      <c r="AM111" s="269"/>
    </row>
    <row r="112" spans="1:39" ht="57" customHeight="1" x14ac:dyDescent="0.2">
      <c r="A112" s="277">
        <f>IF(B112="","",COUNT('Diário 5º PA'!$A$5:$A$2634)+COUNT('Diário 6º PA'!$A$5:$A$2246)+ROW()-4)</f>
        <v>2651</v>
      </c>
      <c r="B112" s="278">
        <v>44382</v>
      </c>
      <c r="C112" s="335">
        <v>44378</v>
      </c>
      <c r="D112" s="255" t="s">
        <v>99</v>
      </c>
      <c r="E112" s="255" t="s">
        <v>272</v>
      </c>
      <c r="F112" s="258">
        <v>10.45</v>
      </c>
      <c r="G112" s="450" t="s">
        <v>1154</v>
      </c>
      <c r="H112" s="252" t="s">
        <v>124</v>
      </c>
      <c r="I112" s="250" t="s">
        <v>949</v>
      </c>
      <c r="J112" s="255" t="s">
        <v>950</v>
      </c>
      <c r="K112" s="255" t="s">
        <v>951</v>
      </c>
      <c r="L112" s="250" t="s">
        <v>947</v>
      </c>
      <c r="M112" s="336" t="s">
        <v>114</v>
      </c>
      <c r="N112" s="278">
        <v>44382</v>
      </c>
      <c r="O112" s="329" t="s">
        <v>67</v>
      </c>
      <c r="P112" s="330">
        <f t="shared" si="4"/>
        <v>7</v>
      </c>
      <c r="Q112" s="330">
        <f t="shared" si="5"/>
        <v>7</v>
      </c>
      <c r="R112" s="331" t="str">
        <f t="shared" si="6"/>
        <v>Gastos_Gerais</v>
      </c>
      <c r="S112" s="331" t="str">
        <f>IF(D112="","",IF(OR(D112=Plano!$A$1,D112=Plano!$B$1),"entrada","saída"))</f>
        <v>saída</v>
      </c>
      <c r="T112" s="332" t="s">
        <v>114</v>
      </c>
      <c r="U112" s="332" t="s">
        <v>114</v>
      </c>
      <c r="V112" s="333"/>
      <c r="W112" s="269"/>
      <c r="X112" s="269"/>
      <c r="Y112" s="269"/>
      <c r="Z112" s="269"/>
      <c r="AA112" s="269"/>
      <c r="AB112" s="269"/>
      <c r="AC112" s="269"/>
      <c r="AD112" s="269"/>
      <c r="AE112" s="269"/>
      <c r="AF112" s="269"/>
      <c r="AG112" s="269"/>
      <c r="AH112" s="269"/>
      <c r="AI112" s="269"/>
      <c r="AJ112" s="269"/>
      <c r="AK112" s="269"/>
      <c r="AL112" s="269"/>
      <c r="AM112" s="269"/>
    </row>
    <row r="113" spans="1:39" ht="48.75" customHeight="1" x14ac:dyDescent="0.2">
      <c r="A113" s="277">
        <f>IF(B113="","",COUNT('Diário 5º PA'!$A$5:$A$2634)+COUNT('Diário 6º PA'!$A$5:$A$2246)+ROW()-4)</f>
        <v>2652</v>
      </c>
      <c r="B113" s="278">
        <v>44382</v>
      </c>
      <c r="C113" s="335">
        <v>44378</v>
      </c>
      <c r="D113" s="255" t="s">
        <v>99</v>
      </c>
      <c r="E113" s="255" t="s">
        <v>272</v>
      </c>
      <c r="F113" s="258">
        <v>10.45</v>
      </c>
      <c r="G113" s="450" t="s">
        <v>1155</v>
      </c>
      <c r="H113" s="255" t="s">
        <v>115</v>
      </c>
      <c r="I113" s="250" t="s">
        <v>949</v>
      </c>
      <c r="J113" s="255" t="s">
        <v>950</v>
      </c>
      <c r="K113" s="255" t="s">
        <v>951</v>
      </c>
      <c r="L113" s="250" t="s">
        <v>947</v>
      </c>
      <c r="M113" s="336" t="s">
        <v>114</v>
      </c>
      <c r="N113" s="278">
        <v>44382</v>
      </c>
      <c r="O113" s="329" t="s">
        <v>67</v>
      </c>
      <c r="P113" s="330">
        <f t="shared" si="4"/>
        <v>7</v>
      </c>
      <c r="Q113" s="330">
        <f t="shared" si="5"/>
        <v>7</v>
      </c>
      <c r="R113" s="331" t="str">
        <f t="shared" si="6"/>
        <v>Gastos_Gerais</v>
      </c>
      <c r="S113" s="331" t="str">
        <f>IF(D113="","",IF(OR(D113=Plano!$A$1,D113=Plano!$B$1),"entrada","saída"))</f>
        <v>saída</v>
      </c>
      <c r="T113" s="332" t="s">
        <v>114</v>
      </c>
      <c r="U113" s="332" t="s">
        <v>114</v>
      </c>
      <c r="V113" s="333"/>
      <c r="W113" s="269"/>
      <c r="X113" s="269"/>
      <c r="Y113" s="269"/>
      <c r="Z113" s="269"/>
      <c r="AA113" s="269"/>
      <c r="AB113" s="269"/>
      <c r="AC113" s="269"/>
      <c r="AD113" s="269"/>
      <c r="AE113" s="269"/>
      <c r="AF113" s="269"/>
      <c r="AG113" s="269"/>
      <c r="AH113" s="269"/>
      <c r="AI113" s="269"/>
      <c r="AJ113" s="269"/>
      <c r="AK113" s="269"/>
      <c r="AL113" s="269"/>
      <c r="AM113" s="269"/>
    </row>
    <row r="114" spans="1:39" ht="57" customHeight="1" x14ac:dyDescent="0.2">
      <c r="A114" s="277">
        <f>IF(B114="","",COUNT('Diário 5º PA'!$A$5:$A$2634)+COUNT('Diário 6º PA'!$A$5:$A$2246)+ROW()-4)</f>
        <v>2653</v>
      </c>
      <c r="B114" s="278">
        <v>44382</v>
      </c>
      <c r="C114" s="335">
        <v>44378</v>
      </c>
      <c r="D114" s="255" t="s">
        <v>99</v>
      </c>
      <c r="E114" s="255" t="s">
        <v>272</v>
      </c>
      <c r="F114" s="258">
        <v>10.45</v>
      </c>
      <c r="G114" s="450" t="s">
        <v>1156</v>
      </c>
      <c r="H114" s="255" t="s">
        <v>115</v>
      </c>
      <c r="I114" s="250" t="s">
        <v>949</v>
      </c>
      <c r="J114" s="255" t="s">
        <v>950</v>
      </c>
      <c r="K114" s="255" t="s">
        <v>951</v>
      </c>
      <c r="L114" s="250" t="s">
        <v>947</v>
      </c>
      <c r="M114" s="336" t="s">
        <v>114</v>
      </c>
      <c r="N114" s="278">
        <v>44382</v>
      </c>
      <c r="O114" s="329" t="s">
        <v>67</v>
      </c>
      <c r="P114" s="330">
        <f t="shared" si="4"/>
        <v>7</v>
      </c>
      <c r="Q114" s="330">
        <f t="shared" si="5"/>
        <v>7</v>
      </c>
      <c r="R114" s="331" t="str">
        <f t="shared" si="6"/>
        <v>Gastos_Gerais</v>
      </c>
      <c r="S114" s="331" t="str">
        <f>IF(D114="","",IF(OR(D114=Plano!$A$1,D114=Plano!$B$1),"entrada","saída"))</f>
        <v>saída</v>
      </c>
      <c r="T114" s="332" t="s">
        <v>114</v>
      </c>
      <c r="U114" s="332" t="s">
        <v>114</v>
      </c>
      <c r="V114" s="333"/>
      <c r="W114" s="269"/>
      <c r="X114" s="269"/>
      <c r="Y114" s="269"/>
      <c r="Z114" s="269"/>
      <c r="AA114" s="269"/>
      <c r="AB114" s="269"/>
      <c r="AC114" s="269"/>
      <c r="AD114" s="269"/>
      <c r="AE114" s="269"/>
      <c r="AF114" s="269"/>
      <c r="AG114" s="269"/>
      <c r="AH114" s="269"/>
      <c r="AI114" s="269"/>
      <c r="AJ114" s="269"/>
      <c r="AK114" s="269"/>
      <c r="AL114" s="269"/>
      <c r="AM114" s="269"/>
    </row>
    <row r="115" spans="1:39" ht="42" customHeight="1" x14ac:dyDescent="0.2">
      <c r="A115" s="277">
        <f>IF(B115="","",COUNT('Diário 5º PA'!$A$5:$A$2634)+COUNT('Diário 6º PA'!$A$5:$A$2246)+ROW()-4)</f>
        <v>2654</v>
      </c>
      <c r="B115" s="278">
        <v>44382</v>
      </c>
      <c r="C115" s="335">
        <v>44378</v>
      </c>
      <c r="D115" s="255" t="s">
        <v>99</v>
      </c>
      <c r="E115" s="255" t="s">
        <v>272</v>
      </c>
      <c r="F115" s="258">
        <v>153</v>
      </c>
      <c r="G115" s="450" t="s">
        <v>1157</v>
      </c>
      <c r="H115" s="255" t="s">
        <v>115</v>
      </c>
      <c r="I115" s="250" t="s">
        <v>949</v>
      </c>
      <c r="J115" s="255" t="s">
        <v>950</v>
      </c>
      <c r="K115" s="255" t="s">
        <v>951</v>
      </c>
      <c r="L115" s="250" t="s">
        <v>947</v>
      </c>
      <c r="M115" s="336" t="s">
        <v>114</v>
      </c>
      <c r="N115" s="278">
        <v>44382</v>
      </c>
      <c r="O115" s="329" t="s">
        <v>67</v>
      </c>
      <c r="P115" s="330">
        <f t="shared" si="4"/>
        <v>7</v>
      </c>
      <c r="Q115" s="330">
        <f t="shared" si="5"/>
        <v>7</v>
      </c>
      <c r="R115" s="331" t="str">
        <f t="shared" si="6"/>
        <v>Gastos_Gerais</v>
      </c>
      <c r="S115" s="331" t="str">
        <f>IF(D115="","",IF(OR(D115=Plano!$A$1,D115=Plano!$B$1),"entrada","saída"))</f>
        <v>saída</v>
      </c>
      <c r="T115" s="332" t="s">
        <v>114</v>
      </c>
      <c r="U115" s="332" t="s">
        <v>114</v>
      </c>
      <c r="V115" s="333"/>
      <c r="W115" s="269"/>
      <c r="X115" s="269"/>
      <c r="Y115" s="269"/>
      <c r="Z115" s="269"/>
      <c r="AA115" s="269"/>
      <c r="AB115" s="269"/>
      <c r="AC115" s="269"/>
      <c r="AD115" s="269"/>
      <c r="AE115" s="269"/>
      <c r="AF115" s="269"/>
      <c r="AG115" s="269"/>
      <c r="AH115" s="269"/>
      <c r="AI115" s="269"/>
      <c r="AJ115" s="269"/>
      <c r="AK115" s="269"/>
      <c r="AL115" s="269"/>
      <c r="AM115" s="269"/>
    </row>
    <row r="116" spans="1:39" ht="42" customHeight="1" x14ac:dyDescent="0.2">
      <c r="A116" s="277">
        <f>IF(B116="","",COUNT('Diário 5º PA'!$A$5:$A$2634)+COUNT('Diário 6º PA'!$A$5:$A$2246)+ROW()-4)</f>
        <v>2655</v>
      </c>
      <c r="B116" s="278">
        <v>44382</v>
      </c>
      <c r="C116" s="249">
        <v>44317</v>
      </c>
      <c r="D116" s="250" t="s">
        <v>104</v>
      </c>
      <c r="E116" s="250" t="s">
        <v>104</v>
      </c>
      <c r="F116" s="251">
        <v>596</v>
      </c>
      <c r="G116" s="452" t="s">
        <v>1158</v>
      </c>
      <c r="H116" s="250" t="s">
        <v>104</v>
      </c>
      <c r="I116" s="252" t="s">
        <v>465</v>
      </c>
      <c r="J116" s="250" t="s">
        <v>114</v>
      </c>
      <c r="K116" s="250" t="s">
        <v>466</v>
      </c>
      <c r="L116" s="250" t="s">
        <v>467</v>
      </c>
      <c r="M116" s="336">
        <v>2752</v>
      </c>
      <c r="N116" s="278">
        <v>44382</v>
      </c>
      <c r="O116" s="329" t="s">
        <v>68</v>
      </c>
      <c r="P116" s="330">
        <f t="shared" si="4"/>
        <v>7</v>
      </c>
      <c r="Q116" s="330">
        <f t="shared" si="5"/>
        <v>5</v>
      </c>
      <c r="R116" s="331" t="str">
        <f t="shared" si="6"/>
        <v>Gastos_custeados_por_captação</v>
      </c>
      <c r="S116" s="331" t="str">
        <f>IF(D116="","",IF(OR(D116=Plano!$A$1,D116=Plano!$B$1),"entrada","saída"))</f>
        <v>saída</v>
      </c>
      <c r="T116" s="332" t="s">
        <v>114</v>
      </c>
      <c r="U116" s="332" t="s">
        <v>114</v>
      </c>
      <c r="V116" s="333"/>
      <c r="W116" s="269"/>
      <c r="X116" s="269"/>
      <c r="Y116" s="269"/>
      <c r="Z116" s="269"/>
      <c r="AA116" s="269"/>
      <c r="AB116" s="269"/>
      <c r="AC116" s="269"/>
      <c r="AD116" s="269"/>
      <c r="AE116" s="269"/>
      <c r="AF116" s="269"/>
      <c r="AG116" s="269"/>
      <c r="AH116" s="269"/>
      <c r="AI116" s="269"/>
      <c r="AJ116" s="269"/>
      <c r="AK116" s="269"/>
      <c r="AL116" s="269"/>
      <c r="AM116" s="269"/>
    </row>
    <row r="117" spans="1:39" ht="42" customHeight="1" x14ac:dyDescent="0.2">
      <c r="A117" s="277">
        <f>IF(B117="","",COUNT('Diário 5º PA'!$A$5:$A$2634)+COUNT('Diário 6º PA'!$A$5:$A$2246)+ROW()-4)</f>
        <v>2656</v>
      </c>
      <c r="B117" s="278">
        <v>44382</v>
      </c>
      <c r="C117" s="249">
        <v>44317</v>
      </c>
      <c r="D117" s="250" t="s">
        <v>104</v>
      </c>
      <c r="E117" s="250" t="s">
        <v>104</v>
      </c>
      <c r="F117" s="251">
        <v>125</v>
      </c>
      <c r="G117" s="452" t="s">
        <v>1159</v>
      </c>
      <c r="H117" s="250" t="s">
        <v>104</v>
      </c>
      <c r="I117" s="252" t="s">
        <v>465</v>
      </c>
      <c r="J117" s="250" t="s">
        <v>114</v>
      </c>
      <c r="K117" s="250" t="s">
        <v>466</v>
      </c>
      <c r="L117" s="250" t="s">
        <v>467</v>
      </c>
      <c r="M117" s="336">
        <v>2753</v>
      </c>
      <c r="N117" s="278">
        <v>44382</v>
      </c>
      <c r="O117" s="329" t="s">
        <v>68</v>
      </c>
      <c r="P117" s="330">
        <f t="shared" si="4"/>
        <v>7</v>
      </c>
      <c r="Q117" s="330">
        <f t="shared" si="5"/>
        <v>5</v>
      </c>
      <c r="R117" s="331" t="str">
        <f t="shared" si="6"/>
        <v>Gastos_custeados_por_captação</v>
      </c>
      <c r="S117" s="331" t="str">
        <f>IF(D117="","",IF(OR(D117=Plano!$A$1,D117=Plano!$B$1),"entrada","saída"))</f>
        <v>saída</v>
      </c>
      <c r="T117" s="332" t="s">
        <v>114</v>
      </c>
      <c r="U117" s="332" t="s">
        <v>114</v>
      </c>
      <c r="V117" s="333"/>
      <c r="W117" s="269"/>
      <c r="X117" s="269"/>
      <c r="Y117" s="269"/>
      <c r="Z117" s="269"/>
      <c r="AA117" s="269"/>
      <c r="AB117" s="269"/>
      <c r="AC117" s="269"/>
      <c r="AD117" s="269"/>
      <c r="AE117" s="269"/>
      <c r="AF117" s="269"/>
      <c r="AG117" s="269"/>
      <c r="AH117" s="269"/>
      <c r="AI117" s="269"/>
      <c r="AJ117" s="269"/>
      <c r="AK117" s="269"/>
      <c r="AL117" s="269"/>
      <c r="AM117" s="269"/>
    </row>
    <row r="118" spans="1:39" ht="42" customHeight="1" x14ac:dyDescent="0.2">
      <c r="A118" s="277">
        <f>IF(B118="","",COUNT('Diário 5º PA'!$A$5:$A$2634)+COUNT('Diário 6º PA'!$A$5:$A$2246)+ROW()-4)</f>
        <v>2657</v>
      </c>
      <c r="B118" s="278">
        <v>44382</v>
      </c>
      <c r="C118" s="249">
        <v>44317</v>
      </c>
      <c r="D118" s="250" t="s">
        <v>104</v>
      </c>
      <c r="E118" s="250" t="s">
        <v>104</v>
      </c>
      <c r="F118" s="251">
        <v>75</v>
      </c>
      <c r="G118" s="452" t="s">
        <v>1160</v>
      </c>
      <c r="H118" s="250" t="s">
        <v>104</v>
      </c>
      <c r="I118" s="252" t="s">
        <v>465</v>
      </c>
      <c r="J118" s="250" t="s">
        <v>114</v>
      </c>
      <c r="K118" s="250" t="s">
        <v>466</v>
      </c>
      <c r="L118" s="250" t="s">
        <v>467</v>
      </c>
      <c r="M118" s="336">
        <v>2754</v>
      </c>
      <c r="N118" s="278">
        <v>44382</v>
      </c>
      <c r="O118" s="329" t="s">
        <v>68</v>
      </c>
      <c r="P118" s="330">
        <f t="shared" si="4"/>
        <v>7</v>
      </c>
      <c r="Q118" s="330">
        <f t="shared" si="5"/>
        <v>5</v>
      </c>
      <c r="R118" s="331" t="str">
        <f t="shared" si="6"/>
        <v>Gastos_custeados_por_captação</v>
      </c>
      <c r="S118" s="331" t="str">
        <f>IF(D118="","",IF(OR(D118=Plano!$A$1,D118=Plano!$B$1),"entrada","saída"))</f>
        <v>saída</v>
      </c>
      <c r="T118" s="332" t="s">
        <v>114</v>
      </c>
      <c r="U118" s="332" t="s">
        <v>114</v>
      </c>
      <c r="V118" s="333"/>
      <c r="W118" s="269"/>
      <c r="X118" s="269"/>
      <c r="Y118" s="269"/>
      <c r="Z118" s="269"/>
      <c r="AA118" s="269"/>
      <c r="AB118" s="269"/>
      <c r="AC118" s="269"/>
      <c r="AD118" s="269"/>
      <c r="AE118" s="269"/>
      <c r="AF118" s="269"/>
      <c r="AG118" s="269"/>
      <c r="AH118" s="269"/>
      <c r="AI118" s="269"/>
      <c r="AJ118" s="269"/>
      <c r="AK118" s="269"/>
      <c r="AL118" s="269"/>
      <c r="AM118" s="269"/>
    </row>
    <row r="119" spans="1:39" ht="42" customHeight="1" x14ac:dyDescent="0.2">
      <c r="A119" s="277">
        <f>IF(B119="","",COUNT('Diário 5º PA'!$A$5:$A$2634)+COUNT('Diário 6º PA'!$A$5:$A$2246)+ROW()-4)</f>
        <v>2658</v>
      </c>
      <c r="B119" s="278">
        <v>44382</v>
      </c>
      <c r="C119" s="249">
        <v>44317</v>
      </c>
      <c r="D119" s="250" t="s">
        <v>104</v>
      </c>
      <c r="E119" s="250" t="s">
        <v>104</v>
      </c>
      <c r="F119" s="251">
        <v>125</v>
      </c>
      <c r="G119" s="452" t="s">
        <v>1161</v>
      </c>
      <c r="H119" s="250" t="s">
        <v>104</v>
      </c>
      <c r="I119" s="252" t="s">
        <v>465</v>
      </c>
      <c r="J119" s="250" t="s">
        <v>114</v>
      </c>
      <c r="K119" s="250" t="s">
        <v>466</v>
      </c>
      <c r="L119" s="250" t="s">
        <v>467</v>
      </c>
      <c r="M119" s="336">
        <v>2755</v>
      </c>
      <c r="N119" s="278">
        <v>44382</v>
      </c>
      <c r="O119" s="329" t="s">
        <v>68</v>
      </c>
      <c r="P119" s="330">
        <f t="shared" si="4"/>
        <v>7</v>
      </c>
      <c r="Q119" s="330">
        <f t="shared" si="5"/>
        <v>5</v>
      </c>
      <c r="R119" s="331" t="str">
        <f t="shared" si="6"/>
        <v>Gastos_custeados_por_captação</v>
      </c>
      <c r="S119" s="331" t="str">
        <f>IF(D119="","",IF(OR(D119=Plano!$A$1,D119=Plano!$B$1),"entrada","saída"))</f>
        <v>saída</v>
      </c>
      <c r="T119" s="332" t="s">
        <v>114</v>
      </c>
      <c r="U119" s="332" t="s">
        <v>114</v>
      </c>
      <c r="V119" s="333"/>
      <c r="W119" s="269"/>
      <c r="X119" s="269"/>
      <c r="Y119" s="269"/>
      <c r="Z119" s="269"/>
      <c r="AA119" s="269"/>
      <c r="AB119" s="269"/>
      <c r="AC119" s="269"/>
      <c r="AD119" s="269"/>
      <c r="AE119" s="269"/>
      <c r="AF119" s="269"/>
      <c r="AG119" s="269"/>
      <c r="AH119" s="269"/>
      <c r="AI119" s="269"/>
      <c r="AJ119" s="269"/>
      <c r="AK119" s="269"/>
      <c r="AL119" s="269"/>
      <c r="AM119" s="269"/>
    </row>
    <row r="120" spans="1:39" ht="153.75" customHeight="1" x14ac:dyDescent="0.2">
      <c r="A120" s="277">
        <f>IF(B120="","",COUNT('Diário 5º PA'!$A$5:$A$2634)+COUNT('Diário 6º PA'!$A$5:$A$2246)+ROW()-4)</f>
        <v>2659</v>
      </c>
      <c r="B120" s="278">
        <v>44382</v>
      </c>
      <c r="C120" s="249">
        <v>44348</v>
      </c>
      <c r="D120" s="250" t="s">
        <v>104</v>
      </c>
      <c r="E120" s="250" t="s">
        <v>104</v>
      </c>
      <c r="F120" s="251">
        <v>2500</v>
      </c>
      <c r="G120" s="452" t="s">
        <v>497</v>
      </c>
      <c r="H120" s="250" t="s">
        <v>104</v>
      </c>
      <c r="I120" s="252" t="s">
        <v>1162</v>
      </c>
      <c r="J120" s="250" t="s">
        <v>498</v>
      </c>
      <c r="K120" s="255" t="s">
        <v>1015</v>
      </c>
      <c r="L120" s="250" t="s">
        <v>1016</v>
      </c>
      <c r="M120" s="336">
        <v>5</v>
      </c>
      <c r="N120" s="278">
        <v>44382</v>
      </c>
      <c r="O120" s="329" t="s">
        <v>68</v>
      </c>
      <c r="P120" s="330">
        <f t="shared" si="4"/>
        <v>7</v>
      </c>
      <c r="Q120" s="330">
        <f t="shared" si="5"/>
        <v>6</v>
      </c>
      <c r="R120" s="331" t="str">
        <f t="shared" si="6"/>
        <v>Gastos_custeados_por_captação</v>
      </c>
      <c r="S120" s="331" t="str">
        <f>IF(D120="","",IF(OR(D120=Plano!$A$1,D120=Plano!$B$1),"entrada","saída"))</f>
        <v>saída</v>
      </c>
      <c r="T120" s="332" t="s">
        <v>1059</v>
      </c>
      <c r="U120" s="332">
        <v>1303</v>
      </c>
      <c r="V120" s="333"/>
      <c r="W120" s="269"/>
      <c r="X120" s="269"/>
      <c r="Y120" s="269"/>
      <c r="Z120" s="269"/>
      <c r="AA120" s="269"/>
      <c r="AB120" s="269"/>
      <c r="AC120" s="269"/>
      <c r="AD120" s="269"/>
      <c r="AE120" s="269"/>
      <c r="AF120" s="269"/>
      <c r="AG120" s="269"/>
      <c r="AH120" s="269"/>
      <c r="AI120" s="269"/>
      <c r="AJ120" s="269"/>
      <c r="AK120" s="269"/>
      <c r="AL120" s="269"/>
      <c r="AM120" s="269"/>
    </row>
    <row r="121" spans="1:39" ht="186" customHeight="1" x14ac:dyDescent="0.2">
      <c r="A121" s="277">
        <f>IF(B121="","",COUNT('Diário 5º PA'!$A$5:$A$2634)+COUNT('Diário 6º PA'!$A$5:$A$2246)+ROW()-4)</f>
        <v>2660</v>
      </c>
      <c r="B121" s="278">
        <v>44382</v>
      </c>
      <c r="C121" s="249">
        <v>44348</v>
      </c>
      <c r="D121" s="250" t="s">
        <v>104</v>
      </c>
      <c r="E121" s="250" t="s">
        <v>104</v>
      </c>
      <c r="F121" s="251">
        <v>2075.92</v>
      </c>
      <c r="G121" s="452" t="s">
        <v>1163</v>
      </c>
      <c r="H121" s="250" t="s">
        <v>104</v>
      </c>
      <c r="I121" s="252" t="s">
        <v>1164</v>
      </c>
      <c r="J121" s="250" t="s">
        <v>1165</v>
      </c>
      <c r="K121" s="255" t="s">
        <v>1015</v>
      </c>
      <c r="L121" s="250" t="s">
        <v>1029</v>
      </c>
      <c r="M121" s="336">
        <v>1223</v>
      </c>
      <c r="N121" s="278">
        <v>44379</v>
      </c>
      <c r="O121" s="329" t="s">
        <v>68</v>
      </c>
      <c r="P121" s="330">
        <f t="shared" si="4"/>
        <v>7</v>
      </c>
      <c r="Q121" s="330">
        <f t="shared" si="5"/>
        <v>6</v>
      </c>
      <c r="R121" s="331" t="str">
        <f t="shared" si="6"/>
        <v>Gastos_custeados_por_captação</v>
      </c>
      <c r="S121" s="331" t="str">
        <f>IF(D121="","",IF(OR(D121=Plano!$A$1,D121=Plano!$B$1),"entrada","saída"))</f>
        <v>saída</v>
      </c>
      <c r="T121" s="332" t="s">
        <v>1059</v>
      </c>
      <c r="U121" s="332">
        <v>1299</v>
      </c>
      <c r="V121" s="333"/>
      <c r="W121" s="269"/>
      <c r="X121" s="269"/>
      <c r="Y121" s="269"/>
      <c r="Z121" s="269"/>
      <c r="AA121" s="269"/>
      <c r="AB121" s="269"/>
      <c r="AC121" s="269"/>
      <c r="AD121" s="269"/>
      <c r="AE121" s="269"/>
      <c r="AF121" s="269"/>
      <c r="AG121" s="269"/>
      <c r="AH121" s="269"/>
      <c r="AI121" s="269"/>
      <c r="AJ121" s="269"/>
      <c r="AK121" s="269"/>
      <c r="AL121" s="269"/>
      <c r="AM121" s="269"/>
    </row>
    <row r="122" spans="1:39" ht="158.25" customHeight="1" x14ac:dyDescent="0.2">
      <c r="A122" s="277">
        <f>IF(B122="","",COUNT('Diário 5º PA'!$A$5:$A$2634)+COUNT('Diário 6º PA'!$A$5:$A$2246)+ROW()-4)</f>
        <v>2661</v>
      </c>
      <c r="B122" s="278">
        <v>44382</v>
      </c>
      <c r="C122" s="249">
        <v>44348</v>
      </c>
      <c r="D122" s="250" t="s">
        <v>104</v>
      </c>
      <c r="E122" s="250" t="s">
        <v>104</v>
      </c>
      <c r="F122" s="251">
        <v>2125.92</v>
      </c>
      <c r="G122" s="452" t="s">
        <v>548</v>
      </c>
      <c r="H122" s="250" t="s">
        <v>104</v>
      </c>
      <c r="I122" s="252" t="s">
        <v>1166</v>
      </c>
      <c r="J122" s="250" t="s">
        <v>550</v>
      </c>
      <c r="K122" s="255" t="s">
        <v>1015</v>
      </c>
      <c r="L122" s="250" t="s">
        <v>1029</v>
      </c>
      <c r="M122" s="336">
        <v>1220</v>
      </c>
      <c r="N122" s="278">
        <v>44379</v>
      </c>
      <c r="O122" s="329" t="s">
        <v>68</v>
      </c>
      <c r="P122" s="330">
        <f t="shared" si="4"/>
        <v>7</v>
      </c>
      <c r="Q122" s="330">
        <f t="shared" si="5"/>
        <v>6</v>
      </c>
      <c r="R122" s="331" t="str">
        <f t="shared" si="6"/>
        <v>Gastos_custeados_por_captação</v>
      </c>
      <c r="S122" s="331" t="str">
        <f>IF(D122="","",IF(OR(D122=Plano!$A$1,D122=Plano!$B$1),"entrada","saída"))</f>
        <v>saída</v>
      </c>
      <c r="T122" s="332" t="s">
        <v>1059</v>
      </c>
      <c r="U122" s="332">
        <v>1301</v>
      </c>
      <c r="V122" s="333"/>
      <c r="W122" s="269"/>
      <c r="X122" s="269"/>
      <c r="Y122" s="269"/>
      <c r="Z122" s="269"/>
      <c r="AA122" s="269"/>
      <c r="AB122" s="269"/>
      <c r="AC122" s="269"/>
      <c r="AD122" s="269"/>
      <c r="AE122" s="269"/>
      <c r="AF122" s="269"/>
      <c r="AG122" s="269"/>
      <c r="AH122" s="269"/>
      <c r="AI122" s="269"/>
      <c r="AJ122" s="269"/>
      <c r="AK122" s="269"/>
      <c r="AL122" s="269"/>
      <c r="AM122" s="269"/>
    </row>
    <row r="123" spans="1:39" ht="47.25" customHeight="1" x14ac:dyDescent="0.2">
      <c r="A123" s="277">
        <f>IF(B123="","",COUNT('Diário 5º PA'!$A$5:$A$2634)+COUNT('Diário 6º PA'!$A$5:$A$2246)+ROW()-4)</f>
        <v>2662</v>
      </c>
      <c r="B123" s="278">
        <v>44382</v>
      </c>
      <c r="C123" s="249">
        <v>44317</v>
      </c>
      <c r="D123" s="250" t="s">
        <v>104</v>
      </c>
      <c r="E123" s="250" t="s">
        <v>104</v>
      </c>
      <c r="F123" s="251">
        <v>75</v>
      </c>
      <c r="G123" s="452" t="s">
        <v>1167</v>
      </c>
      <c r="H123" s="250" t="s">
        <v>104</v>
      </c>
      <c r="I123" s="252" t="s">
        <v>465</v>
      </c>
      <c r="J123" s="250" t="s">
        <v>114</v>
      </c>
      <c r="K123" s="250" t="s">
        <v>466</v>
      </c>
      <c r="L123" s="250" t="s">
        <v>467</v>
      </c>
      <c r="M123" s="336">
        <v>2757</v>
      </c>
      <c r="N123" s="278">
        <v>44382</v>
      </c>
      <c r="O123" s="329" t="s">
        <v>69</v>
      </c>
      <c r="P123" s="330">
        <f t="shared" si="4"/>
        <v>7</v>
      </c>
      <c r="Q123" s="330">
        <f t="shared" si="5"/>
        <v>5</v>
      </c>
      <c r="R123" s="331" t="str">
        <f t="shared" si="6"/>
        <v>Gastos_custeados_por_captação</v>
      </c>
      <c r="S123" s="331" t="str">
        <f>IF(D123="","",IF(OR(D123=Plano!$A$1,D123=Plano!$B$1),"entrada","saída"))</f>
        <v>saída</v>
      </c>
      <c r="T123" s="332" t="s">
        <v>114</v>
      </c>
      <c r="U123" s="332" t="s">
        <v>114</v>
      </c>
      <c r="V123" s="333"/>
      <c r="W123" s="269"/>
      <c r="X123" s="269"/>
      <c r="Y123" s="269"/>
      <c r="Z123" s="269"/>
      <c r="AA123" s="269"/>
      <c r="AB123" s="269"/>
      <c r="AC123" s="269"/>
      <c r="AD123" s="269"/>
      <c r="AE123" s="269"/>
      <c r="AF123" s="269"/>
      <c r="AG123" s="269"/>
      <c r="AH123" s="269"/>
      <c r="AI123" s="269"/>
      <c r="AJ123" s="269"/>
      <c r="AK123" s="269"/>
      <c r="AL123" s="269"/>
      <c r="AM123" s="269"/>
    </row>
    <row r="124" spans="1:39" ht="148.5" customHeight="1" x14ac:dyDescent="0.2">
      <c r="A124" s="277">
        <f>IF(B124="","",COUNT('Diário 5º PA'!$A$5:$A$2634)+COUNT('Diário 6º PA'!$A$5:$A$2246)+ROW()-4)</f>
        <v>2663</v>
      </c>
      <c r="B124" s="278">
        <v>44382</v>
      </c>
      <c r="C124" s="249">
        <v>44348</v>
      </c>
      <c r="D124" s="250" t="s">
        <v>104</v>
      </c>
      <c r="E124" s="250" t="s">
        <v>104</v>
      </c>
      <c r="F124" s="251">
        <v>2125.92</v>
      </c>
      <c r="G124" s="452" t="s">
        <v>1168</v>
      </c>
      <c r="H124" s="250" t="s">
        <v>104</v>
      </c>
      <c r="I124" s="252" t="s">
        <v>1169</v>
      </c>
      <c r="J124" s="250" t="s">
        <v>1170</v>
      </c>
      <c r="K124" s="255" t="s">
        <v>1015</v>
      </c>
      <c r="L124" s="250" t="s">
        <v>1029</v>
      </c>
      <c r="M124" s="336">
        <v>1225</v>
      </c>
      <c r="N124" s="278">
        <v>44379</v>
      </c>
      <c r="O124" s="329" t="s">
        <v>69</v>
      </c>
      <c r="P124" s="330">
        <f t="shared" si="4"/>
        <v>7</v>
      </c>
      <c r="Q124" s="330">
        <f t="shared" si="5"/>
        <v>6</v>
      </c>
      <c r="R124" s="331" t="str">
        <f t="shared" si="6"/>
        <v>Gastos_custeados_por_captação</v>
      </c>
      <c r="S124" s="331" t="str">
        <f>IF(D124="","",IF(OR(D124=Plano!$A$1,D124=Plano!$B$1),"entrada","saída"))</f>
        <v>saída</v>
      </c>
      <c r="T124" s="332" t="s">
        <v>1059</v>
      </c>
      <c r="U124" s="332">
        <v>1302</v>
      </c>
      <c r="V124" s="333"/>
      <c r="W124" s="269"/>
      <c r="X124" s="269"/>
      <c r="Y124" s="269"/>
      <c r="Z124" s="269"/>
      <c r="AA124" s="269"/>
      <c r="AB124" s="269"/>
      <c r="AC124" s="269"/>
      <c r="AD124" s="269"/>
      <c r="AE124" s="269"/>
      <c r="AF124" s="269"/>
      <c r="AG124" s="269"/>
      <c r="AH124" s="269"/>
      <c r="AI124" s="269"/>
      <c r="AJ124" s="269"/>
      <c r="AK124" s="269"/>
      <c r="AL124" s="269"/>
      <c r="AM124" s="269"/>
    </row>
    <row r="125" spans="1:39" ht="49.5" customHeight="1" x14ac:dyDescent="0.2">
      <c r="A125" s="277">
        <f>IF(B125="","",COUNT('Diário 5º PA'!$A$5:$A$2634)+COUNT('Diário 6º PA'!$A$5:$A$2246)+ROW()-4)</f>
        <v>2664</v>
      </c>
      <c r="B125" s="278">
        <v>44382</v>
      </c>
      <c r="C125" s="249">
        <v>44317</v>
      </c>
      <c r="D125" s="250" t="s">
        <v>104</v>
      </c>
      <c r="E125" s="250" t="s">
        <v>104</v>
      </c>
      <c r="F125" s="251">
        <v>125</v>
      </c>
      <c r="G125" s="452" t="s">
        <v>1171</v>
      </c>
      <c r="H125" s="250" t="s">
        <v>104</v>
      </c>
      <c r="I125" s="252" t="s">
        <v>465</v>
      </c>
      <c r="J125" s="250" t="s">
        <v>114</v>
      </c>
      <c r="K125" s="250" t="s">
        <v>466</v>
      </c>
      <c r="L125" s="250" t="s">
        <v>467</v>
      </c>
      <c r="M125" s="336">
        <v>2744</v>
      </c>
      <c r="N125" s="278">
        <v>44382</v>
      </c>
      <c r="O125" s="329" t="s">
        <v>70</v>
      </c>
      <c r="P125" s="330">
        <f t="shared" si="4"/>
        <v>7</v>
      </c>
      <c r="Q125" s="330">
        <f t="shared" si="5"/>
        <v>5</v>
      </c>
      <c r="R125" s="331" t="str">
        <f t="shared" si="6"/>
        <v>Gastos_custeados_por_captação</v>
      </c>
      <c r="S125" s="331" t="str">
        <f>IF(D125="","",IF(OR(D125=Plano!$A$1,D125=Plano!$B$1),"entrada","saída"))</f>
        <v>saída</v>
      </c>
      <c r="T125" s="332" t="s">
        <v>114</v>
      </c>
      <c r="U125" s="332" t="s">
        <v>114</v>
      </c>
      <c r="V125" s="333"/>
      <c r="W125" s="269"/>
      <c r="X125" s="269"/>
      <c r="Y125" s="269"/>
      <c r="Z125" s="269"/>
      <c r="AA125" s="269"/>
      <c r="AB125" s="269"/>
      <c r="AC125" s="269"/>
      <c r="AD125" s="269"/>
      <c r="AE125" s="269"/>
      <c r="AF125" s="269"/>
      <c r="AG125" s="269"/>
      <c r="AH125" s="269"/>
      <c r="AI125" s="269"/>
      <c r="AJ125" s="269"/>
      <c r="AK125" s="269"/>
      <c r="AL125" s="269"/>
      <c r="AM125" s="269"/>
    </row>
    <row r="126" spans="1:39" ht="55.5" customHeight="1" x14ac:dyDescent="0.2">
      <c r="A126" s="277">
        <f>IF(B126="","",COUNT('Diário 5º PA'!$A$5:$A$2634)+COUNT('Diário 6º PA'!$A$5:$A$2246)+ROW()-4)</f>
        <v>2665</v>
      </c>
      <c r="B126" s="278">
        <v>44382</v>
      </c>
      <c r="C126" s="249">
        <v>44317</v>
      </c>
      <c r="D126" s="250" t="s">
        <v>104</v>
      </c>
      <c r="E126" s="250" t="s">
        <v>104</v>
      </c>
      <c r="F126" s="251">
        <v>55.27</v>
      </c>
      <c r="G126" s="452" t="s">
        <v>1172</v>
      </c>
      <c r="H126" s="250" t="s">
        <v>104</v>
      </c>
      <c r="I126" s="250" t="s">
        <v>465</v>
      </c>
      <c r="J126" s="250" t="s">
        <v>114</v>
      </c>
      <c r="K126" s="250" t="s">
        <v>466</v>
      </c>
      <c r="L126" s="250" t="s">
        <v>467</v>
      </c>
      <c r="M126" s="336">
        <v>2745</v>
      </c>
      <c r="N126" s="278">
        <v>44382</v>
      </c>
      <c r="O126" s="329" t="s">
        <v>70</v>
      </c>
      <c r="P126" s="330">
        <f t="shared" si="4"/>
        <v>7</v>
      </c>
      <c r="Q126" s="330">
        <f t="shared" si="5"/>
        <v>5</v>
      </c>
      <c r="R126" s="331" t="str">
        <f t="shared" si="6"/>
        <v>Gastos_custeados_por_captação</v>
      </c>
      <c r="S126" s="331" t="str">
        <f>IF(D126="","",IF(OR(D126=Plano!$A$1,D126=Plano!$B$1),"entrada","saída"))</f>
        <v>saída</v>
      </c>
      <c r="T126" s="332" t="s">
        <v>114</v>
      </c>
      <c r="U126" s="332" t="s">
        <v>114</v>
      </c>
      <c r="V126" s="333"/>
      <c r="W126" s="269"/>
      <c r="X126" s="269"/>
      <c r="Y126" s="269"/>
      <c r="Z126" s="269"/>
      <c r="AA126" s="269"/>
      <c r="AB126" s="269"/>
      <c r="AC126" s="269"/>
      <c r="AD126" s="269"/>
      <c r="AE126" s="269"/>
      <c r="AF126" s="269"/>
      <c r="AG126" s="269"/>
      <c r="AH126" s="269"/>
      <c r="AI126" s="269"/>
      <c r="AJ126" s="269"/>
      <c r="AK126" s="269"/>
      <c r="AL126" s="269"/>
      <c r="AM126" s="269"/>
    </row>
    <row r="127" spans="1:39" ht="58.5" customHeight="1" x14ac:dyDescent="0.2">
      <c r="A127" s="277">
        <f>IF(B127="","",COUNT('Diário 5º PA'!$A$5:$A$2634)+COUNT('Diário 6º PA'!$A$5:$A$2246)+ROW()-4)</f>
        <v>2666</v>
      </c>
      <c r="B127" s="278">
        <v>44382</v>
      </c>
      <c r="C127" s="249">
        <v>44317</v>
      </c>
      <c r="D127" s="250" t="s">
        <v>104</v>
      </c>
      <c r="E127" s="250" t="s">
        <v>104</v>
      </c>
      <c r="F127" s="251">
        <v>73.849999999999994</v>
      </c>
      <c r="G127" s="452" t="s">
        <v>1173</v>
      </c>
      <c r="H127" s="250" t="s">
        <v>104</v>
      </c>
      <c r="I127" s="250" t="s">
        <v>465</v>
      </c>
      <c r="J127" s="250" t="s">
        <v>114</v>
      </c>
      <c r="K127" s="250" t="s">
        <v>466</v>
      </c>
      <c r="L127" s="250" t="s">
        <v>467</v>
      </c>
      <c r="M127" s="336">
        <v>2746</v>
      </c>
      <c r="N127" s="278">
        <v>44382</v>
      </c>
      <c r="O127" s="329" t="s">
        <v>70</v>
      </c>
      <c r="P127" s="330">
        <f t="shared" si="4"/>
        <v>7</v>
      </c>
      <c r="Q127" s="330">
        <f t="shared" si="5"/>
        <v>5</v>
      </c>
      <c r="R127" s="331" t="str">
        <f t="shared" si="6"/>
        <v>Gastos_custeados_por_captação</v>
      </c>
      <c r="S127" s="331" t="str">
        <f>IF(D127="","",IF(OR(D127=Plano!$A$1,D127=Plano!$B$1),"entrada","saída"))</f>
        <v>saída</v>
      </c>
      <c r="T127" s="332" t="s">
        <v>114</v>
      </c>
      <c r="U127" s="332" t="s">
        <v>114</v>
      </c>
      <c r="V127" s="333"/>
      <c r="W127" s="269"/>
      <c r="X127" s="269"/>
      <c r="Y127" s="269"/>
      <c r="Z127" s="269"/>
      <c r="AA127" s="269"/>
      <c r="AB127" s="269"/>
      <c r="AC127" s="269"/>
      <c r="AD127" s="269"/>
      <c r="AE127" s="269"/>
      <c r="AF127" s="269"/>
      <c r="AG127" s="269"/>
      <c r="AH127" s="269"/>
      <c r="AI127" s="269"/>
      <c r="AJ127" s="269"/>
      <c r="AK127" s="269"/>
      <c r="AL127" s="269"/>
      <c r="AM127" s="269"/>
    </row>
    <row r="128" spans="1:39" ht="72.75" customHeight="1" x14ac:dyDescent="0.2">
      <c r="A128" s="277">
        <f>IF(B128="","",COUNT('Diário 5º PA'!$A$5:$A$2634)+COUNT('Diário 6º PA'!$A$5:$A$2246)+ROW()-4)</f>
        <v>2667</v>
      </c>
      <c r="B128" s="278">
        <v>44382</v>
      </c>
      <c r="C128" s="249">
        <v>44287</v>
      </c>
      <c r="D128" s="250" t="s">
        <v>104</v>
      </c>
      <c r="E128" s="250" t="s">
        <v>104</v>
      </c>
      <c r="F128" s="251">
        <v>5000</v>
      </c>
      <c r="G128" s="452" t="s">
        <v>1174</v>
      </c>
      <c r="H128" s="250" t="s">
        <v>104</v>
      </c>
      <c r="I128" s="252" t="s">
        <v>1175</v>
      </c>
      <c r="J128" s="250" t="s">
        <v>1176</v>
      </c>
      <c r="K128" s="255" t="s">
        <v>1015</v>
      </c>
      <c r="L128" s="250" t="s">
        <v>1177</v>
      </c>
      <c r="M128" s="336" t="s">
        <v>114</v>
      </c>
      <c r="N128" s="278">
        <v>44380</v>
      </c>
      <c r="O128" s="329" t="s">
        <v>70</v>
      </c>
      <c r="P128" s="330">
        <f t="shared" si="4"/>
        <v>7</v>
      </c>
      <c r="Q128" s="330">
        <f t="shared" si="5"/>
        <v>4</v>
      </c>
      <c r="R128" s="331" t="str">
        <f t="shared" si="6"/>
        <v>Gastos_custeados_por_captação</v>
      </c>
      <c r="S128" s="331" t="str">
        <f>IF(D128="","",IF(OR(D128=Plano!$A$1,D128=Plano!$B$1),"entrada","saída"))</f>
        <v>saída</v>
      </c>
      <c r="T128" s="332" t="s">
        <v>994</v>
      </c>
      <c r="U128" s="332">
        <v>1481</v>
      </c>
      <c r="V128" s="333"/>
      <c r="W128" s="269"/>
      <c r="X128" s="269"/>
      <c r="Y128" s="269"/>
      <c r="Z128" s="269"/>
      <c r="AA128" s="269"/>
      <c r="AB128" s="269"/>
      <c r="AC128" s="269"/>
      <c r="AD128" s="269"/>
      <c r="AE128" s="269"/>
      <c r="AF128" s="269"/>
      <c r="AG128" s="269"/>
      <c r="AH128" s="269"/>
      <c r="AI128" s="269"/>
      <c r="AJ128" s="269"/>
      <c r="AK128" s="269"/>
      <c r="AL128" s="269"/>
      <c r="AM128" s="269"/>
    </row>
    <row r="129" spans="1:39" ht="57.75" customHeight="1" x14ac:dyDescent="0.2">
      <c r="A129" s="277">
        <f>IF(B129="","",COUNT('Diário 5º PA'!$A$5:$A$2634)+COUNT('Diário 6º PA'!$A$5:$A$2246)+ROW()-4)</f>
        <v>2668</v>
      </c>
      <c r="B129" s="278">
        <v>44382</v>
      </c>
      <c r="C129" s="249">
        <v>44348</v>
      </c>
      <c r="D129" s="250" t="s">
        <v>104</v>
      </c>
      <c r="E129" s="250" t="s">
        <v>104</v>
      </c>
      <c r="F129" s="251">
        <v>2075.92</v>
      </c>
      <c r="G129" s="452" t="s">
        <v>1178</v>
      </c>
      <c r="H129" s="250" t="s">
        <v>104</v>
      </c>
      <c r="I129" s="252" t="s">
        <v>1179</v>
      </c>
      <c r="J129" s="250" t="s">
        <v>604</v>
      </c>
      <c r="K129" s="255" t="s">
        <v>1015</v>
      </c>
      <c r="L129" s="250" t="s">
        <v>1029</v>
      </c>
      <c r="M129" s="336">
        <v>1227</v>
      </c>
      <c r="N129" s="278">
        <v>44379</v>
      </c>
      <c r="O129" s="329" t="s">
        <v>70</v>
      </c>
      <c r="P129" s="330">
        <f t="shared" si="4"/>
        <v>7</v>
      </c>
      <c r="Q129" s="330">
        <f t="shared" si="5"/>
        <v>6</v>
      </c>
      <c r="R129" s="331" t="str">
        <f t="shared" si="6"/>
        <v>Gastos_custeados_por_captação</v>
      </c>
      <c r="S129" s="331" t="str">
        <f>IF(D129="","",IF(OR(D129=Plano!$A$1,D129=Plano!$B$1),"entrada","saída"))</f>
        <v>saída</v>
      </c>
      <c r="T129" s="332" t="s">
        <v>1059</v>
      </c>
      <c r="U129" s="332">
        <v>1362</v>
      </c>
      <c r="V129" s="333"/>
      <c r="W129" s="269"/>
      <c r="X129" s="269"/>
      <c r="Y129" s="269"/>
      <c r="Z129" s="269"/>
      <c r="AA129" s="269"/>
      <c r="AB129" s="269"/>
      <c r="AC129" s="269"/>
      <c r="AD129" s="269"/>
      <c r="AE129" s="269"/>
      <c r="AF129" s="269"/>
      <c r="AG129" s="269"/>
      <c r="AH129" s="269"/>
      <c r="AI129" s="269"/>
      <c r="AJ129" s="269"/>
      <c r="AK129" s="269"/>
      <c r="AL129" s="269"/>
      <c r="AM129" s="269"/>
    </row>
    <row r="130" spans="1:39" ht="36.75" customHeight="1" x14ac:dyDescent="0.2">
      <c r="A130" s="277">
        <f>IF(B130="","",COUNT('Diário 5º PA'!$A$5:$A$2634)+COUNT('Diário 6º PA'!$A$5:$A$2246)+ROW()-4)</f>
        <v>2669</v>
      </c>
      <c r="B130" s="278">
        <v>44383</v>
      </c>
      <c r="C130" s="259">
        <v>44348</v>
      </c>
      <c r="D130" s="255" t="s">
        <v>88</v>
      </c>
      <c r="E130" s="255" t="s">
        <v>90</v>
      </c>
      <c r="F130" s="258">
        <v>10207.73</v>
      </c>
      <c r="G130" s="450" t="s">
        <v>1180</v>
      </c>
      <c r="H130" s="255" t="s">
        <v>114</v>
      </c>
      <c r="I130" s="250" t="s">
        <v>1181</v>
      </c>
      <c r="J130" s="255" t="s">
        <v>1182</v>
      </c>
      <c r="K130" s="255" t="s">
        <v>991</v>
      </c>
      <c r="L130" s="250" t="s">
        <v>1183</v>
      </c>
      <c r="M130" s="277" t="s">
        <v>114</v>
      </c>
      <c r="N130" s="278">
        <v>44383</v>
      </c>
      <c r="O130" s="329" t="s">
        <v>67</v>
      </c>
      <c r="P130" s="330">
        <f t="shared" si="4"/>
        <v>7</v>
      </c>
      <c r="Q130" s="330">
        <f t="shared" si="5"/>
        <v>6</v>
      </c>
      <c r="R130" s="331" t="str">
        <f t="shared" si="6"/>
        <v>Gastos_com_Pessoal</v>
      </c>
      <c r="S130" s="331" t="str">
        <f>IF(D130="","",IF(OR(D130=Plano!$A$1,D130=Plano!$B$1),"entrada","saída"))</f>
        <v>saída</v>
      </c>
      <c r="T130" s="332" t="s">
        <v>114</v>
      </c>
      <c r="U130" s="332" t="s">
        <v>114</v>
      </c>
      <c r="V130" s="333"/>
      <c r="W130" s="269"/>
      <c r="X130" s="269"/>
      <c r="Y130" s="269"/>
      <c r="Z130" s="269"/>
      <c r="AA130" s="269"/>
      <c r="AB130" s="269"/>
      <c r="AC130" s="269"/>
      <c r="AD130" s="269"/>
      <c r="AE130" s="269"/>
      <c r="AF130" s="269"/>
      <c r="AG130" s="269"/>
      <c r="AH130" s="269"/>
      <c r="AI130" s="269"/>
      <c r="AJ130" s="269"/>
      <c r="AK130" s="269"/>
      <c r="AL130" s="269"/>
      <c r="AM130" s="269"/>
    </row>
    <row r="131" spans="1:39" ht="41.25" customHeight="1" x14ac:dyDescent="0.2">
      <c r="A131" s="277">
        <f>IF(B131="","",COUNT('Diário 5º PA'!$A$5:$A$2634)+COUNT('Diário 6º PA'!$A$5:$A$2246)+ROW()-4)</f>
        <v>2670</v>
      </c>
      <c r="B131" s="278">
        <v>44383</v>
      </c>
      <c r="C131" s="259">
        <v>44348</v>
      </c>
      <c r="D131" s="255" t="s">
        <v>88</v>
      </c>
      <c r="E131" s="255" t="s">
        <v>90</v>
      </c>
      <c r="F131" s="258">
        <v>3038.13</v>
      </c>
      <c r="G131" s="450" t="s">
        <v>1184</v>
      </c>
      <c r="H131" s="255" t="s">
        <v>114</v>
      </c>
      <c r="I131" s="250" t="s">
        <v>1185</v>
      </c>
      <c r="J131" s="250" t="s">
        <v>1186</v>
      </c>
      <c r="K131" s="255" t="s">
        <v>991</v>
      </c>
      <c r="L131" s="250" t="s">
        <v>1183</v>
      </c>
      <c r="M131" s="277" t="s">
        <v>114</v>
      </c>
      <c r="N131" s="278">
        <v>44383</v>
      </c>
      <c r="O131" s="329" t="s">
        <v>67</v>
      </c>
      <c r="P131" s="330">
        <f t="shared" si="4"/>
        <v>7</v>
      </c>
      <c r="Q131" s="330">
        <f t="shared" si="5"/>
        <v>6</v>
      </c>
      <c r="R131" s="331" t="str">
        <f t="shared" si="6"/>
        <v>Gastos_com_Pessoal</v>
      </c>
      <c r="S131" s="331" t="str">
        <f>IF(D131="","",IF(OR(D131=Plano!$A$1,D131=Plano!$B$1),"entrada","saída"))</f>
        <v>saída</v>
      </c>
      <c r="T131" s="332" t="s">
        <v>114</v>
      </c>
      <c r="U131" s="332" t="s">
        <v>114</v>
      </c>
      <c r="V131" s="333"/>
      <c r="W131" s="269"/>
      <c r="X131" s="269"/>
      <c r="Y131" s="269"/>
      <c r="Z131" s="269"/>
      <c r="AA131" s="269"/>
      <c r="AB131" s="269"/>
      <c r="AC131" s="269"/>
      <c r="AD131" s="269"/>
      <c r="AE131" s="269"/>
      <c r="AF131" s="269"/>
      <c r="AG131" s="269"/>
      <c r="AH131" s="269"/>
      <c r="AI131" s="269"/>
      <c r="AJ131" s="269"/>
      <c r="AK131" s="269"/>
      <c r="AL131" s="269"/>
      <c r="AM131" s="269"/>
    </row>
    <row r="132" spans="1:39" ht="36" customHeight="1" x14ac:dyDescent="0.2">
      <c r="A132" s="277">
        <f>IF(B132="","",COUNT('Diário 5º PA'!$A$5:$A$2634)+COUNT('Diário 6º PA'!$A$5:$A$2246)+ROW()-4)</f>
        <v>2671</v>
      </c>
      <c r="B132" s="278">
        <v>44383</v>
      </c>
      <c r="C132" s="259">
        <v>44348</v>
      </c>
      <c r="D132" s="255" t="s">
        <v>88</v>
      </c>
      <c r="E132" s="255" t="s">
        <v>90</v>
      </c>
      <c r="F132" s="258">
        <v>1515.25</v>
      </c>
      <c r="G132" s="450" t="s">
        <v>1187</v>
      </c>
      <c r="H132" s="255" t="s">
        <v>114</v>
      </c>
      <c r="I132" s="250" t="s">
        <v>1188</v>
      </c>
      <c r="J132" s="250" t="s">
        <v>1189</v>
      </c>
      <c r="K132" s="255" t="s">
        <v>991</v>
      </c>
      <c r="L132" s="250" t="s">
        <v>1183</v>
      </c>
      <c r="M132" s="277" t="s">
        <v>114</v>
      </c>
      <c r="N132" s="278">
        <v>44383</v>
      </c>
      <c r="O132" s="329" t="s">
        <v>67</v>
      </c>
      <c r="P132" s="330">
        <f t="shared" si="4"/>
        <v>7</v>
      </c>
      <c r="Q132" s="330">
        <f t="shared" si="5"/>
        <v>6</v>
      </c>
      <c r="R132" s="331" t="str">
        <f t="shared" si="6"/>
        <v>Gastos_com_Pessoal</v>
      </c>
      <c r="S132" s="331" t="str">
        <f>IF(D132="","",IF(OR(D132=Plano!$A$1,D132=Plano!$B$1),"entrada","saída"))</f>
        <v>saída</v>
      </c>
      <c r="T132" s="332" t="s">
        <v>114</v>
      </c>
      <c r="U132" s="332" t="s">
        <v>114</v>
      </c>
      <c r="V132" s="333"/>
      <c r="W132" s="269"/>
      <c r="X132" s="269"/>
      <c r="Y132" s="269"/>
      <c r="Z132" s="269"/>
      <c r="AA132" s="269"/>
      <c r="AB132" s="269"/>
      <c r="AC132" s="269"/>
      <c r="AD132" s="269"/>
      <c r="AE132" s="269"/>
      <c r="AF132" s="269"/>
      <c r="AG132" s="269"/>
      <c r="AH132" s="269"/>
      <c r="AI132" s="269"/>
      <c r="AJ132" s="269"/>
      <c r="AK132" s="269"/>
      <c r="AL132" s="269"/>
      <c r="AM132" s="269"/>
    </row>
    <row r="133" spans="1:39" ht="34.5" customHeight="1" x14ac:dyDescent="0.2">
      <c r="A133" s="277">
        <f>IF(B133="","",COUNT('Diário 5º PA'!$A$5:$A$2634)+COUNT('Diário 6º PA'!$A$5:$A$2246)+ROW()-4)</f>
        <v>2672</v>
      </c>
      <c r="B133" s="278">
        <v>44383</v>
      </c>
      <c r="C133" s="259">
        <v>44348</v>
      </c>
      <c r="D133" s="255" t="s">
        <v>88</v>
      </c>
      <c r="E133" s="255" t="s">
        <v>90</v>
      </c>
      <c r="F133" s="258">
        <v>3549.36</v>
      </c>
      <c r="G133" s="450" t="s">
        <v>1190</v>
      </c>
      <c r="H133" s="255" t="s">
        <v>114</v>
      </c>
      <c r="I133" s="250" t="s">
        <v>1191</v>
      </c>
      <c r="J133" s="255" t="s">
        <v>1192</v>
      </c>
      <c r="K133" s="255" t="s">
        <v>991</v>
      </c>
      <c r="L133" s="250" t="s">
        <v>1183</v>
      </c>
      <c r="M133" s="277" t="s">
        <v>114</v>
      </c>
      <c r="N133" s="278">
        <v>44383</v>
      </c>
      <c r="O133" s="329" t="s">
        <v>67</v>
      </c>
      <c r="P133" s="330">
        <f t="shared" si="4"/>
        <v>7</v>
      </c>
      <c r="Q133" s="330">
        <f t="shared" si="5"/>
        <v>6</v>
      </c>
      <c r="R133" s="331" t="str">
        <f t="shared" si="6"/>
        <v>Gastos_com_Pessoal</v>
      </c>
      <c r="S133" s="331" t="str">
        <f>IF(D133="","",IF(OR(D133=Plano!$A$1,D133=Plano!$B$1),"entrada","saída"))</f>
        <v>saída</v>
      </c>
      <c r="T133" s="332" t="s">
        <v>114</v>
      </c>
      <c r="U133" s="332" t="s">
        <v>114</v>
      </c>
      <c r="V133" s="333"/>
      <c r="W133" s="269"/>
      <c r="X133" s="269"/>
      <c r="Y133" s="269"/>
      <c r="Z133" s="269"/>
      <c r="AA133" s="269"/>
      <c r="AB133" s="269"/>
      <c r="AC133" s="269"/>
      <c r="AD133" s="269"/>
      <c r="AE133" s="269"/>
      <c r="AF133" s="269"/>
      <c r="AG133" s="269"/>
      <c r="AH133" s="269"/>
      <c r="AI133" s="269"/>
      <c r="AJ133" s="269"/>
      <c r="AK133" s="269"/>
      <c r="AL133" s="269"/>
      <c r="AM133" s="269"/>
    </row>
    <row r="134" spans="1:39" ht="40.5" customHeight="1" x14ac:dyDescent="0.2">
      <c r="A134" s="277">
        <f>IF(B134="","",COUNT('Diário 5º PA'!$A$5:$A$2634)+COUNT('Diário 6º PA'!$A$5:$A$2246)+ROW()-4)</f>
        <v>2673</v>
      </c>
      <c r="B134" s="278">
        <v>44383</v>
      </c>
      <c r="C134" s="259">
        <v>44348</v>
      </c>
      <c r="D134" s="255" t="s">
        <v>88</v>
      </c>
      <c r="E134" s="255" t="s">
        <v>90</v>
      </c>
      <c r="F134" s="257">
        <v>4396.1899999999996</v>
      </c>
      <c r="G134" s="450" t="s">
        <v>1193</v>
      </c>
      <c r="H134" s="255" t="s">
        <v>114</v>
      </c>
      <c r="I134" s="250" t="s">
        <v>1194</v>
      </c>
      <c r="J134" s="250" t="s">
        <v>1195</v>
      </c>
      <c r="K134" s="255" t="s">
        <v>991</v>
      </c>
      <c r="L134" s="250" t="s">
        <v>1183</v>
      </c>
      <c r="M134" s="277" t="s">
        <v>114</v>
      </c>
      <c r="N134" s="278">
        <v>44383</v>
      </c>
      <c r="O134" s="329" t="s">
        <v>67</v>
      </c>
      <c r="P134" s="330">
        <f t="shared" ref="P134:P197" si="7">IF(B134=0,0,IF(YEAR(B134)=$Q$1,MONTH(B134)-$P$1+1,(YEAR(B134)-$Q$1)*12-$P$1+1+MONTH(B134)))</f>
        <v>7</v>
      </c>
      <c r="Q134" s="330">
        <f t="shared" ref="Q134:Q197" si="8">IF(C134=0,0,IF(YEAR(C134)=$Q$1,MONTH(C134)-$P$1+1,(YEAR(C134)-$Q$1)*12-$P$1+1+MONTH(C134)))</f>
        <v>6</v>
      </c>
      <c r="R134" s="331" t="str">
        <f t="shared" ref="R134:R197" si="9">SUBSTITUTE(D134," ","_")</f>
        <v>Gastos_com_Pessoal</v>
      </c>
      <c r="S134" s="331" t="str">
        <f>IF(D134="","",IF(OR(D134=Plano!$A$1,D134=Plano!$B$1),"entrada","saída"))</f>
        <v>saída</v>
      </c>
      <c r="T134" s="332" t="s">
        <v>114</v>
      </c>
      <c r="U134" s="332" t="s">
        <v>114</v>
      </c>
      <c r="V134" s="333"/>
      <c r="W134" s="269"/>
      <c r="X134" s="269"/>
      <c r="Y134" s="269"/>
      <c r="Z134" s="269"/>
      <c r="AA134" s="269"/>
      <c r="AB134" s="269"/>
      <c r="AC134" s="269"/>
      <c r="AD134" s="269"/>
      <c r="AE134" s="269"/>
      <c r="AF134" s="269"/>
      <c r="AG134" s="269"/>
      <c r="AH134" s="269"/>
      <c r="AI134" s="269"/>
      <c r="AJ134" s="269"/>
      <c r="AK134" s="269"/>
      <c r="AL134" s="269"/>
      <c r="AM134" s="269"/>
    </row>
    <row r="135" spans="1:39" ht="43.5" customHeight="1" x14ac:dyDescent="0.2">
      <c r="A135" s="277">
        <f>IF(B135="","",COUNT('Diário 5º PA'!$A$5:$A$2634)+COUNT('Diário 6º PA'!$A$5:$A$2246)+ROW()-4)</f>
        <v>2674</v>
      </c>
      <c r="B135" s="278">
        <v>44383</v>
      </c>
      <c r="C135" s="259">
        <v>44348</v>
      </c>
      <c r="D135" s="255" t="s">
        <v>88</v>
      </c>
      <c r="E135" s="255" t="s">
        <v>90</v>
      </c>
      <c r="F135" s="258">
        <v>10378.9</v>
      </c>
      <c r="G135" s="450" t="s">
        <v>1196</v>
      </c>
      <c r="H135" s="255" t="s">
        <v>114</v>
      </c>
      <c r="I135" s="250" t="s">
        <v>1197</v>
      </c>
      <c r="J135" s="255" t="s">
        <v>1198</v>
      </c>
      <c r="K135" s="255" t="s">
        <v>991</v>
      </c>
      <c r="L135" s="250" t="s">
        <v>1183</v>
      </c>
      <c r="M135" s="277" t="s">
        <v>114</v>
      </c>
      <c r="N135" s="278">
        <v>44383</v>
      </c>
      <c r="O135" s="329" t="s">
        <v>67</v>
      </c>
      <c r="P135" s="330">
        <f t="shared" si="7"/>
        <v>7</v>
      </c>
      <c r="Q135" s="330">
        <f t="shared" si="8"/>
        <v>6</v>
      </c>
      <c r="R135" s="331" t="str">
        <f t="shared" si="9"/>
        <v>Gastos_com_Pessoal</v>
      </c>
      <c r="S135" s="331" t="str">
        <f>IF(D135="","",IF(OR(D135=Plano!$A$1,D135=Plano!$B$1),"entrada","saída"))</f>
        <v>saída</v>
      </c>
      <c r="T135" s="332" t="s">
        <v>114</v>
      </c>
      <c r="U135" s="332" t="s">
        <v>114</v>
      </c>
      <c r="V135" s="344"/>
      <c r="W135" s="269"/>
      <c r="X135" s="269"/>
      <c r="Y135" s="269"/>
      <c r="Z135" s="269"/>
      <c r="AA135" s="269"/>
      <c r="AB135" s="269"/>
      <c r="AC135" s="269"/>
      <c r="AD135" s="269"/>
      <c r="AE135" s="269"/>
      <c r="AF135" s="269"/>
      <c r="AG135" s="269"/>
      <c r="AH135" s="269"/>
      <c r="AI135" s="269"/>
      <c r="AJ135" s="269"/>
      <c r="AK135" s="269"/>
      <c r="AL135" s="269"/>
      <c r="AM135" s="269"/>
    </row>
    <row r="136" spans="1:39" ht="40.5" customHeight="1" x14ac:dyDescent="0.2">
      <c r="A136" s="277">
        <f>IF(B136="","",COUNT('Diário 5º PA'!$A$5:$A$2634)+COUNT('Diário 6º PA'!$A$5:$A$2246)+ROW()-4)</f>
        <v>2675</v>
      </c>
      <c r="B136" s="278">
        <v>44383</v>
      </c>
      <c r="C136" s="259">
        <v>44348</v>
      </c>
      <c r="D136" s="255" t="s">
        <v>88</v>
      </c>
      <c r="E136" s="255" t="s">
        <v>90</v>
      </c>
      <c r="F136" s="258">
        <v>2694.3</v>
      </c>
      <c r="G136" s="450" t="s">
        <v>1199</v>
      </c>
      <c r="H136" s="255" t="s">
        <v>114</v>
      </c>
      <c r="I136" s="250" t="s">
        <v>1200</v>
      </c>
      <c r="J136" s="250" t="s">
        <v>1201</v>
      </c>
      <c r="K136" s="255" t="s">
        <v>991</v>
      </c>
      <c r="L136" s="250" t="s">
        <v>1183</v>
      </c>
      <c r="M136" s="277" t="s">
        <v>114</v>
      </c>
      <c r="N136" s="278">
        <v>44383</v>
      </c>
      <c r="O136" s="329" t="s">
        <v>67</v>
      </c>
      <c r="P136" s="330">
        <f t="shared" si="7"/>
        <v>7</v>
      </c>
      <c r="Q136" s="330">
        <f t="shared" si="8"/>
        <v>6</v>
      </c>
      <c r="R136" s="331" t="str">
        <f t="shared" si="9"/>
        <v>Gastos_com_Pessoal</v>
      </c>
      <c r="S136" s="331" t="str">
        <f>IF(D136="","",IF(OR(D136=Plano!$A$1,D136=Plano!$B$1),"entrada","saída"))</f>
        <v>saída</v>
      </c>
      <c r="T136" s="332" t="s">
        <v>114</v>
      </c>
      <c r="U136" s="332" t="s">
        <v>114</v>
      </c>
      <c r="V136" s="344"/>
      <c r="W136" s="269"/>
      <c r="X136" s="269"/>
      <c r="Y136" s="269"/>
      <c r="Z136" s="269"/>
      <c r="AA136" s="269"/>
      <c r="AB136" s="269"/>
      <c r="AC136" s="269"/>
      <c r="AD136" s="269"/>
      <c r="AE136" s="269"/>
      <c r="AF136" s="269"/>
      <c r="AG136" s="269"/>
      <c r="AH136" s="269"/>
      <c r="AI136" s="269"/>
      <c r="AJ136" s="269"/>
      <c r="AK136" s="269"/>
      <c r="AL136" s="269"/>
      <c r="AM136" s="269"/>
    </row>
    <row r="137" spans="1:39" ht="36.75" customHeight="1" x14ac:dyDescent="0.2">
      <c r="A137" s="277">
        <f>IF(B137="","",COUNT('Diário 5º PA'!$A$5:$A$2634)+COUNT('Diário 6º PA'!$A$5:$A$2246)+ROW()-4)</f>
        <v>2676</v>
      </c>
      <c r="B137" s="278">
        <v>44383</v>
      </c>
      <c r="C137" s="259">
        <v>44348</v>
      </c>
      <c r="D137" s="255" t="s">
        <v>88</v>
      </c>
      <c r="E137" s="255" t="s">
        <v>90</v>
      </c>
      <c r="F137" s="258">
        <v>1072.1500000000001</v>
      </c>
      <c r="G137" s="450" t="s">
        <v>1202</v>
      </c>
      <c r="H137" s="255" t="s">
        <v>114</v>
      </c>
      <c r="I137" s="250" t="s">
        <v>1203</v>
      </c>
      <c r="J137" s="250" t="s">
        <v>1204</v>
      </c>
      <c r="K137" s="255" t="s">
        <v>991</v>
      </c>
      <c r="L137" s="250" t="s">
        <v>1183</v>
      </c>
      <c r="M137" s="277" t="s">
        <v>114</v>
      </c>
      <c r="N137" s="278">
        <v>44383</v>
      </c>
      <c r="O137" s="329" t="s">
        <v>67</v>
      </c>
      <c r="P137" s="330">
        <f t="shared" si="7"/>
        <v>7</v>
      </c>
      <c r="Q137" s="330">
        <f t="shared" si="8"/>
        <v>6</v>
      </c>
      <c r="R137" s="331" t="str">
        <f t="shared" si="9"/>
        <v>Gastos_com_Pessoal</v>
      </c>
      <c r="S137" s="331" t="str">
        <f>IF(D137="","",IF(OR(D137=Plano!$A$1,D137=Plano!$B$1),"entrada","saída"))</f>
        <v>saída</v>
      </c>
      <c r="T137" s="332" t="s">
        <v>114</v>
      </c>
      <c r="U137" s="332" t="s">
        <v>114</v>
      </c>
      <c r="V137" s="344"/>
      <c r="W137" s="269"/>
      <c r="X137" s="269"/>
      <c r="Y137" s="269"/>
      <c r="Z137" s="269"/>
      <c r="AA137" s="269"/>
      <c r="AB137" s="269"/>
      <c r="AC137" s="269"/>
      <c r="AD137" s="269"/>
      <c r="AE137" s="269"/>
      <c r="AF137" s="269"/>
      <c r="AG137" s="269"/>
      <c r="AH137" s="269"/>
      <c r="AI137" s="269"/>
      <c r="AJ137" s="269"/>
      <c r="AK137" s="269"/>
      <c r="AL137" s="269"/>
      <c r="AM137" s="269"/>
    </row>
    <row r="138" spans="1:39" ht="38.25" customHeight="1" x14ac:dyDescent="0.2">
      <c r="A138" s="277">
        <f>IF(B138="","",COUNT('Diário 5º PA'!$A$5:$A$2634)+COUNT('Diário 6º PA'!$A$5:$A$2246)+ROW()-4)</f>
        <v>2677</v>
      </c>
      <c r="B138" s="278">
        <v>44383</v>
      </c>
      <c r="C138" s="259">
        <v>44348</v>
      </c>
      <c r="D138" s="255" t="s">
        <v>88</v>
      </c>
      <c r="E138" s="255" t="s">
        <v>90</v>
      </c>
      <c r="F138" s="258">
        <v>1497.7</v>
      </c>
      <c r="G138" s="450" t="s">
        <v>1205</v>
      </c>
      <c r="H138" s="255" t="s">
        <v>114</v>
      </c>
      <c r="I138" s="250" t="s">
        <v>1206</v>
      </c>
      <c r="J138" s="250" t="s">
        <v>1207</v>
      </c>
      <c r="K138" s="255" t="s">
        <v>991</v>
      </c>
      <c r="L138" s="250" t="s">
        <v>1183</v>
      </c>
      <c r="M138" s="277" t="s">
        <v>114</v>
      </c>
      <c r="N138" s="278">
        <v>44383</v>
      </c>
      <c r="O138" s="329" t="s">
        <v>67</v>
      </c>
      <c r="P138" s="330">
        <f t="shared" si="7"/>
        <v>7</v>
      </c>
      <c r="Q138" s="330">
        <f t="shared" si="8"/>
        <v>6</v>
      </c>
      <c r="R138" s="331" t="str">
        <f t="shared" si="9"/>
        <v>Gastos_com_Pessoal</v>
      </c>
      <c r="S138" s="331" t="str">
        <f>IF(D138="","",IF(OR(D138=Plano!$A$1,D138=Plano!$B$1),"entrada","saída"))</f>
        <v>saída</v>
      </c>
      <c r="T138" s="332" t="s">
        <v>114</v>
      </c>
      <c r="U138" s="332" t="s">
        <v>114</v>
      </c>
      <c r="V138" s="344"/>
      <c r="W138" s="269"/>
      <c r="X138" s="269"/>
      <c r="Y138" s="269"/>
      <c r="Z138" s="269"/>
      <c r="AA138" s="269"/>
      <c r="AB138" s="269"/>
      <c r="AC138" s="269"/>
      <c r="AD138" s="269"/>
      <c r="AE138" s="269"/>
      <c r="AF138" s="269"/>
      <c r="AG138" s="269"/>
      <c r="AH138" s="269"/>
      <c r="AI138" s="269"/>
      <c r="AJ138" s="269"/>
      <c r="AK138" s="269"/>
      <c r="AL138" s="269"/>
      <c r="AM138" s="269"/>
    </row>
    <row r="139" spans="1:39" ht="35.25" customHeight="1" x14ac:dyDescent="0.2">
      <c r="A139" s="277">
        <f>IF(B139="","",COUNT('Diário 5º PA'!$A$5:$A$2634)+COUNT('Diário 6º PA'!$A$5:$A$2246)+ROW()-4)</f>
        <v>2678</v>
      </c>
      <c r="B139" s="278">
        <v>44383</v>
      </c>
      <c r="C139" s="259">
        <v>44348</v>
      </c>
      <c r="D139" s="255" t="s">
        <v>88</v>
      </c>
      <c r="E139" s="255" t="s">
        <v>90</v>
      </c>
      <c r="F139" s="258">
        <v>2252.15</v>
      </c>
      <c r="G139" s="450" t="s">
        <v>1199</v>
      </c>
      <c r="H139" s="255" t="s">
        <v>114</v>
      </c>
      <c r="I139" s="250" t="s">
        <v>1208</v>
      </c>
      <c r="J139" s="250" t="s">
        <v>1209</v>
      </c>
      <c r="K139" s="255" t="s">
        <v>991</v>
      </c>
      <c r="L139" s="250" t="s">
        <v>1183</v>
      </c>
      <c r="M139" s="277" t="s">
        <v>114</v>
      </c>
      <c r="N139" s="278">
        <v>44383</v>
      </c>
      <c r="O139" s="329" t="s">
        <v>67</v>
      </c>
      <c r="P139" s="330">
        <f t="shared" si="7"/>
        <v>7</v>
      </c>
      <c r="Q139" s="330">
        <f t="shared" si="8"/>
        <v>6</v>
      </c>
      <c r="R139" s="331" t="str">
        <f t="shared" si="9"/>
        <v>Gastos_com_Pessoal</v>
      </c>
      <c r="S139" s="331" t="str">
        <f>IF(D139="","",IF(OR(D139=Plano!$A$1,D139=Plano!$B$1),"entrada","saída"))</f>
        <v>saída</v>
      </c>
      <c r="T139" s="332" t="s">
        <v>114</v>
      </c>
      <c r="U139" s="332" t="s">
        <v>114</v>
      </c>
      <c r="V139" s="344"/>
      <c r="W139" s="269"/>
      <c r="X139" s="269"/>
      <c r="Y139" s="269"/>
      <c r="Z139" s="269"/>
      <c r="AA139" s="269"/>
      <c r="AB139" s="269"/>
      <c r="AC139" s="269"/>
      <c r="AD139" s="269"/>
      <c r="AE139" s="269"/>
      <c r="AF139" s="269"/>
      <c r="AG139" s="269"/>
      <c r="AH139" s="269"/>
      <c r="AI139" s="269"/>
      <c r="AJ139" s="269"/>
      <c r="AK139" s="269"/>
      <c r="AL139" s="269"/>
      <c r="AM139" s="269"/>
    </row>
    <row r="140" spans="1:39" ht="74.25" customHeight="1" x14ac:dyDescent="0.2">
      <c r="A140" s="277">
        <f>IF(B140="","",COUNT('Diário 5º PA'!$A$5:$A$2634)+COUNT('Diário 6º PA'!$A$5:$A$2246)+ROW()-4)</f>
        <v>2679</v>
      </c>
      <c r="B140" s="278">
        <v>44383</v>
      </c>
      <c r="C140" s="259">
        <v>44378</v>
      </c>
      <c r="D140" s="252" t="s">
        <v>99</v>
      </c>
      <c r="E140" s="252" t="s">
        <v>352</v>
      </c>
      <c r="F140" s="257">
        <v>3325</v>
      </c>
      <c r="G140" s="451" t="s">
        <v>564</v>
      </c>
      <c r="H140" s="252" t="s">
        <v>131</v>
      </c>
      <c r="I140" s="252" t="s">
        <v>1210</v>
      </c>
      <c r="J140" s="250" t="s">
        <v>567</v>
      </c>
      <c r="K140" s="255" t="s">
        <v>991</v>
      </c>
      <c r="L140" s="250" t="s">
        <v>992</v>
      </c>
      <c r="M140" s="277" t="s">
        <v>1211</v>
      </c>
      <c r="N140" s="278">
        <v>44383</v>
      </c>
      <c r="O140" s="329" t="s">
        <v>67</v>
      </c>
      <c r="P140" s="330">
        <f t="shared" si="7"/>
        <v>7</v>
      </c>
      <c r="Q140" s="330">
        <f t="shared" si="8"/>
        <v>7</v>
      </c>
      <c r="R140" s="331" t="str">
        <f t="shared" si="9"/>
        <v>Gastos_Gerais</v>
      </c>
      <c r="S140" s="331" t="str">
        <f>IF(D140="","",IF(OR(D140=Plano!$A$1,D140=Plano!$B$1),"entrada","saída"))</f>
        <v>saída</v>
      </c>
      <c r="T140" s="334" t="s">
        <v>1059</v>
      </c>
      <c r="U140" s="334">
        <v>1279</v>
      </c>
      <c r="V140" s="344"/>
      <c r="W140" s="269"/>
      <c r="X140" s="269"/>
      <c r="Y140" s="269"/>
      <c r="Z140" s="269"/>
      <c r="AA140" s="269"/>
      <c r="AB140" s="269"/>
      <c r="AC140" s="269"/>
      <c r="AD140" s="269"/>
      <c r="AE140" s="269"/>
      <c r="AF140" s="269"/>
      <c r="AG140" s="269"/>
      <c r="AH140" s="269"/>
      <c r="AI140" s="269"/>
      <c r="AJ140" s="269"/>
      <c r="AK140" s="269"/>
      <c r="AL140" s="269"/>
      <c r="AM140" s="269"/>
    </row>
    <row r="141" spans="1:39" ht="113.25" customHeight="1" x14ac:dyDescent="0.2">
      <c r="A141" s="277">
        <f>IF(B141="","",COUNT('Diário 5º PA'!$A$5:$A$2634)+COUNT('Diário 6º PA'!$A$5:$A$2246)+ROW()-4)</f>
        <v>2680</v>
      </c>
      <c r="B141" s="278">
        <v>44383</v>
      </c>
      <c r="C141" s="259">
        <v>44287</v>
      </c>
      <c r="D141" s="252" t="s">
        <v>99</v>
      </c>
      <c r="E141" s="252" t="s">
        <v>358</v>
      </c>
      <c r="F141" s="257">
        <v>1068</v>
      </c>
      <c r="G141" s="451" t="s">
        <v>1212</v>
      </c>
      <c r="H141" s="252" t="s">
        <v>125</v>
      </c>
      <c r="I141" s="252" t="s">
        <v>1213</v>
      </c>
      <c r="J141" s="250" t="s">
        <v>1214</v>
      </c>
      <c r="K141" s="255" t="s">
        <v>991</v>
      </c>
      <c r="L141" s="250" t="s">
        <v>1029</v>
      </c>
      <c r="M141" s="277">
        <v>1228</v>
      </c>
      <c r="N141" s="278">
        <v>44382</v>
      </c>
      <c r="O141" s="329" t="s">
        <v>67</v>
      </c>
      <c r="P141" s="330">
        <f t="shared" si="7"/>
        <v>7</v>
      </c>
      <c r="Q141" s="330">
        <f t="shared" si="8"/>
        <v>4</v>
      </c>
      <c r="R141" s="331" t="str">
        <f t="shared" si="9"/>
        <v>Gastos_Gerais</v>
      </c>
      <c r="S141" s="331" t="str">
        <f>IF(D141="","",IF(OR(D141=Plano!$A$1,D141=Plano!$B$1),"entrada","saída"))</f>
        <v>saída</v>
      </c>
      <c r="T141" s="345" t="s">
        <v>994</v>
      </c>
      <c r="U141" s="345">
        <v>1522</v>
      </c>
      <c r="V141" s="344"/>
      <c r="W141" s="269"/>
      <c r="X141" s="269"/>
      <c r="Y141" s="269"/>
      <c r="Z141" s="269"/>
      <c r="AA141" s="269"/>
      <c r="AB141" s="269"/>
      <c r="AC141" s="269"/>
      <c r="AD141" s="269"/>
      <c r="AE141" s="269"/>
      <c r="AF141" s="269"/>
      <c r="AG141" s="269"/>
      <c r="AH141" s="269"/>
      <c r="AI141" s="269"/>
      <c r="AJ141" s="269"/>
      <c r="AK141" s="269"/>
      <c r="AL141" s="269"/>
      <c r="AM141" s="269"/>
    </row>
    <row r="142" spans="1:39" ht="44.25" customHeight="1" x14ac:dyDescent="0.2">
      <c r="A142" s="277">
        <f>IF(B142="","",COUNT('Diário 5º PA'!$A$5:$A$2634)+COUNT('Diário 6º PA'!$A$5:$A$2246)+ROW()-4)</f>
        <v>2681</v>
      </c>
      <c r="B142" s="278">
        <v>44383</v>
      </c>
      <c r="C142" s="256">
        <v>44348</v>
      </c>
      <c r="D142" s="255" t="s">
        <v>99</v>
      </c>
      <c r="E142" s="255" t="s">
        <v>216</v>
      </c>
      <c r="F142" s="258">
        <v>96.98</v>
      </c>
      <c r="G142" s="450" t="s">
        <v>1215</v>
      </c>
      <c r="H142" s="255" t="s">
        <v>129</v>
      </c>
      <c r="I142" s="250" t="s">
        <v>513</v>
      </c>
      <c r="J142" s="252" t="s">
        <v>514</v>
      </c>
      <c r="K142" s="255" t="s">
        <v>696</v>
      </c>
      <c r="L142" s="250" t="s">
        <v>697</v>
      </c>
      <c r="M142" s="277">
        <v>60316774</v>
      </c>
      <c r="N142" s="278">
        <v>44333</v>
      </c>
      <c r="O142" s="329" t="s">
        <v>67</v>
      </c>
      <c r="P142" s="330">
        <f t="shared" si="7"/>
        <v>7</v>
      </c>
      <c r="Q142" s="330">
        <f t="shared" si="8"/>
        <v>6</v>
      </c>
      <c r="R142" s="331" t="str">
        <f t="shared" si="9"/>
        <v>Gastos_Gerais</v>
      </c>
      <c r="S142" s="331" t="str">
        <f>IF(D142="","",IF(OR(D142=Plano!$A$1,D142=Plano!$B$1),"entrada","saída"))</f>
        <v>saída</v>
      </c>
      <c r="T142" s="332" t="s">
        <v>114</v>
      </c>
      <c r="U142" s="332" t="s">
        <v>114</v>
      </c>
      <c r="V142" s="344"/>
      <c r="W142" s="269"/>
      <c r="X142" s="269"/>
      <c r="Y142" s="269"/>
      <c r="Z142" s="269"/>
      <c r="AA142" s="269"/>
      <c r="AB142" s="269"/>
      <c r="AC142" s="269"/>
      <c r="AD142" s="269"/>
      <c r="AE142" s="269"/>
      <c r="AF142" s="269"/>
      <c r="AG142" s="269"/>
      <c r="AH142" s="269"/>
      <c r="AI142" s="269"/>
      <c r="AJ142" s="269"/>
      <c r="AK142" s="269"/>
      <c r="AL142" s="269"/>
      <c r="AM142" s="269"/>
    </row>
    <row r="143" spans="1:39" ht="85.5" customHeight="1" x14ac:dyDescent="0.2">
      <c r="A143" s="277">
        <f>IF(B143="","",COUNT('Diário 5º PA'!$A$5:$A$2634)+COUNT('Diário 6º PA'!$A$5:$A$2246)+ROW()-4)</f>
        <v>2682</v>
      </c>
      <c r="B143" s="278">
        <v>44383</v>
      </c>
      <c r="C143" s="259">
        <v>44378</v>
      </c>
      <c r="D143" s="252" t="s">
        <v>99</v>
      </c>
      <c r="E143" s="252" t="s">
        <v>330</v>
      </c>
      <c r="F143" s="257">
        <v>3275.15</v>
      </c>
      <c r="G143" s="451" t="s">
        <v>1216</v>
      </c>
      <c r="H143" s="252" t="s">
        <v>125</v>
      </c>
      <c r="I143" s="250" t="s">
        <v>1217</v>
      </c>
      <c r="J143" s="250" t="s">
        <v>1218</v>
      </c>
      <c r="K143" s="255" t="s">
        <v>991</v>
      </c>
      <c r="L143" s="250" t="s">
        <v>992</v>
      </c>
      <c r="M143" s="277" t="s">
        <v>1219</v>
      </c>
      <c r="N143" s="278">
        <v>44383</v>
      </c>
      <c r="O143" s="329" t="s">
        <v>67</v>
      </c>
      <c r="P143" s="330">
        <f t="shared" si="7"/>
        <v>7</v>
      </c>
      <c r="Q143" s="330">
        <f t="shared" si="8"/>
        <v>7</v>
      </c>
      <c r="R143" s="331" t="str">
        <f t="shared" si="9"/>
        <v>Gastos_Gerais</v>
      </c>
      <c r="S143" s="331" t="str">
        <f>IF(D143="","",IF(OR(D143=Plano!$A$1,D143=Plano!$B$1),"entrada","saída"))</f>
        <v>saída</v>
      </c>
      <c r="T143" s="345" t="s">
        <v>1059</v>
      </c>
      <c r="U143" s="345">
        <v>1747</v>
      </c>
      <c r="V143" s="344"/>
      <c r="W143" s="269"/>
      <c r="X143" s="269"/>
      <c r="Y143" s="269"/>
      <c r="Z143" s="269"/>
      <c r="AA143" s="269"/>
      <c r="AB143" s="269"/>
      <c r="AC143" s="269"/>
      <c r="AD143" s="269"/>
      <c r="AE143" s="269"/>
      <c r="AF143" s="269"/>
      <c r="AG143" s="269"/>
      <c r="AH143" s="269"/>
      <c r="AI143" s="269"/>
      <c r="AJ143" s="269"/>
      <c r="AK143" s="269"/>
      <c r="AL143" s="269"/>
      <c r="AM143" s="269"/>
    </row>
    <row r="144" spans="1:39" ht="37.5" customHeight="1" x14ac:dyDescent="0.2">
      <c r="A144" s="277">
        <f>IF(B144="","",COUNT('Diário 5º PA'!$A$5:$A$2634)+COUNT('Diário 6º PA'!$A$5:$A$2246)+ROW()-4)</f>
        <v>2683</v>
      </c>
      <c r="B144" s="278">
        <v>44383</v>
      </c>
      <c r="C144" s="259">
        <v>44348</v>
      </c>
      <c r="D144" s="255" t="s">
        <v>88</v>
      </c>
      <c r="E144" s="255" t="s">
        <v>90</v>
      </c>
      <c r="F144" s="257">
        <v>2742.61</v>
      </c>
      <c r="G144" s="450" t="s">
        <v>1220</v>
      </c>
      <c r="H144" s="255" t="s">
        <v>114</v>
      </c>
      <c r="I144" s="250" t="s">
        <v>1221</v>
      </c>
      <c r="J144" s="255" t="s">
        <v>1222</v>
      </c>
      <c r="K144" s="255" t="s">
        <v>1015</v>
      </c>
      <c r="L144" s="250" t="s">
        <v>1183</v>
      </c>
      <c r="M144" s="277" t="s">
        <v>114</v>
      </c>
      <c r="N144" s="278">
        <v>44383</v>
      </c>
      <c r="O144" s="329" t="s">
        <v>67</v>
      </c>
      <c r="P144" s="330">
        <f t="shared" si="7"/>
        <v>7</v>
      </c>
      <c r="Q144" s="330">
        <f t="shared" si="8"/>
        <v>6</v>
      </c>
      <c r="R144" s="331" t="str">
        <f t="shared" si="9"/>
        <v>Gastos_com_Pessoal</v>
      </c>
      <c r="S144" s="331" t="str">
        <f>IF(D144="","",IF(OR(D144=Plano!$A$1,D144=Plano!$B$1),"entrada","saída"))</f>
        <v>saída</v>
      </c>
      <c r="T144" s="332" t="s">
        <v>114</v>
      </c>
      <c r="U144" s="332" t="s">
        <v>114</v>
      </c>
      <c r="V144" s="344"/>
      <c r="W144" s="269"/>
      <c r="X144" s="269"/>
      <c r="Y144" s="269"/>
      <c r="Z144" s="269"/>
      <c r="AA144" s="269"/>
      <c r="AB144" s="269"/>
      <c r="AC144" s="269"/>
      <c r="AD144" s="269"/>
      <c r="AE144" s="269"/>
      <c r="AF144" s="269"/>
      <c r="AG144" s="269"/>
      <c r="AH144" s="269"/>
      <c r="AI144" s="269"/>
      <c r="AJ144" s="269"/>
      <c r="AK144" s="269"/>
      <c r="AL144" s="269"/>
      <c r="AM144" s="269"/>
    </row>
    <row r="145" spans="1:39" ht="40.5" customHeight="1" x14ac:dyDescent="0.2">
      <c r="A145" s="277">
        <f>IF(B145="","",COUNT('Diário 5º PA'!$A$5:$A$2634)+COUNT('Diário 6º PA'!$A$5:$A$2246)+ROW()-4)</f>
        <v>2684</v>
      </c>
      <c r="B145" s="278">
        <v>44383</v>
      </c>
      <c r="C145" s="259">
        <v>44348</v>
      </c>
      <c r="D145" s="255" t="s">
        <v>88</v>
      </c>
      <c r="E145" s="255" t="s">
        <v>90</v>
      </c>
      <c r="F145" s="257">
        <v>4396.1899999999996</v>
      </c>
      <c r="G145" s="450" t="s">
        <v>1223</v>
      </c>
      <c r="H145" s="255" t="s">
        <v>114</v>
      </c>
      <c r="I145" s="250" t="s">
        <v>1224</v>
      </c>
      <c r="J145" s="255" t="s">
        <v>1225</v>
      </c>
      <c r="K145" s="255" t="s">
        <v>1015</v>
      </c>
      <c r="L145" s="250" t="s">
        <v>1183</v>
      </c>
      <c r="M145" s="277" t="s">
        <v>114</v>
      </c>
      <c r="N145" s="278">
        <v>44383</v>
      </c>
      <c r="O145" s="329" t="s">
        <v>67</v>
      </c>
      <c r="P145" s="330">
        <f t="shared" si="7"/>
        <v>7</v>
      </c>
      <c r="Q145" s="330">
        <f t="shared" si="8"/>
        <v>6</v>
      </c>
      <c r="R145" s="331" t="str">
        <f t="shared" si="9"/>
        <v>Gastos_com_Pessoal</v>
      </c>
      <c r="S145" s="331" t="str">
        <f>IF(D145="","",IF(OR(D145=Plano!$A$1,D145=Plano!$B$1),"entrada","saída"))</f>
        <v>saída</v>
      </c>
      <c r="T145" s="332" t="s">
        <v>114</v>
      </c>
      <c r="U145" s="332" t="s">
        <v>114</v>
      </c>
      <c r="V145" s="344"/>
      <c r="W145" s="269"/>
      <c r="X145" s="269"/>
      <c r="Y145" s="269"/>
      <c r="Z145" s="269"/>
      <c r="AA145" s="269"/>
      <c r="AB145" s="269"/>
      <c r="AC145" s="269"/>
      <c r="AD145" s="269"/>
      <c r="AE145" s="269"/>
      <c r="AF145" s="269"/>
      <c r="AG145" s="269"/>
      <c r="AH145" s="269"/>
      <c r="AI145" s="269"/>
      <c r="AJ145" s="269"/>
      <c r="AK145" s="269"/>
      <c r="AL145" s="269"/>
      <c r="AM145" s="269"/>
    </row>
    <row r="146" spans="1:39" ht="27" customHeight="1" x14ac:dyDescent="0.2">
      <c r="A146" s="277">
        <f>IF(B146="","",COUNT('Diário 5º PA'!$A$5:$A$2634)+COUNT('Diário 6º PA'!$A$5:$A$2246)+ROW()-4)</f>
        <v>2685</v>
      </c>
      <c r="B146" s="278">
        <v>44383</v>
      </c>
      <c r="C146" s="259">
        <v>44348</v>
      </c>
      <c r="D146" s="255" t="s">
        <v>88</v>
      </c>
      <c r="E146" s="255" t="s">
        <v>90</v>
      </c>
      <c r="F146" s="257">
        <v>1515.25</v>
      </c>
      <c r="G146" s="450" t="s">
        <v>1187</v>
      </c>
      <c r="H146" s="255" t="s">
        <v>114</v>
      </c>
      <c r="I146" s="250" t="s">
        <v>1226</v>
      </c>
      <c r="J146" s="255" t="s">
        <v>1227</v>
      </c>
      <c r="K146" s="255" t="s">
        <v>1015</v>
      </c>
      <c r="L146" s="250" t="s">
        <v>1183</v>
      </c>
      <c r="M146" s="277" t="s">
        <v>114</v>
      </c>
      <c r="N146" s="278">
        <v>44383</v>
      </c>
      <c r="O146" s="329" t="s">
        <v>67</v>
      </c>
      <c r="P146" s="330">
        <f t="shared" si="7"/>
        <v>7</v>
      </c>
      <c r="Q146" s="330">
        <f t="shared" si="8"/>
        <v>6</v>
      </c>
      <c r="R146" s="331" t="str">
        <f t="shared" si="9"/>
        <v>Gastos_com_Pessoal</v>
      </c>
      <c r="S146" s="331" t="str">
        <f>IF(D146="","",IF(OR(D146=Plano!$A$1,D146=Plano!$B$1),"entrada","saída"))</f>
        <v>saída</v>
      </c>
      <c r="T146" s="332" t="s">
        <v>114</v>
      </c>
      <c r="U146" s="332" t="s">
        <v>114</v>
      </c>
      <c r="V146" s="344"/>
      <c r="W146" s="269"/>
      <c r="X146" s="269"/>
      <c r="Y146" s="269"/>
      <c r="Z146" s="269"/>
      <c r="AA146" s="269"/>
      <c r="AB146" s="269"/>
      <c r="AC146" s="269"/>
      <c r="AD146" s="269"/>
      <c r="AE146" s="269"/>
      <c r="AF146" s="269"/>
      <c r="AG146" s="269"/>
      <c r="AH146" s="269"/>
      <c r="AI146" s="269"/>
      <c r="AJ146" s="269"/>
      <c r="AK146" s="269"/>
      <c r="AL146" s="269"/>
      <c r="AM146" s="269"/>
    </row>
    <row r="147" spans="1:39" ht="30" customHeight="1" x14ac:dyDescent="0.2">
      <c r="A147" s="277">
        <f>IF(B147="","",COUNT('Diário 5º PA'!$A$5:$A$2634)+COUNT('Diário 6º PA'!$A$5:$A$2246)+ROW()-4)</f>
        <v>2686</v>
      </c>
      <c r="B147" s="278">
        <v>44383</v>
      </c>
      <c r="C147" s="259">
        <v>44348</v>
      </c>
      <c r="D147" s="255" t="s">
        <v>88</v>
      </c>
      <c r="E147" s="255" t="s">
        <v>90</v>
      </c>
      <c r="F147" s="257">
        <v>11994.65</v>
      </c>
      <c r="G147" s="450" t="s">
        <v>1228</v>
      </c>
      <c r="H147" s="255" t="s">
        <v>114</v>
      </c>
      <c r="I147" s="250" t="s">
        <v>1229</v>
      </c>
      <c r="J147" s="255" t="s">
        <v>1230</v>
      </c>
      <c r="K147" s="255" t="s">
        <v>1015</v>
      </c>
      <c r="L147" s="250" t="s">
        <v>1183</v>
      </c>
      <c r="M147" s="277" t="s">
        <v>114</v>
      </c>
      <c r="N147" s="278">
        <v>44383</v>
      </c>
      <c r="O147" s="329" t="s">
        <v>67</v>
      </c>
      <c r="P147" s="330">
        <f t="shared" si="7"/>
        <v>7</v>
      </c>
      <c r="Q147" s="330">
        <f t="shared" si="8"/>
        <v>6</v>
      </c>
      <c r="R147" s="331" t="str">
        <f t="shared" si="9"/>
        <v>Gastos_com_Pessoal</v>
      </c>
      <c r="S147" s="331" t="str">
        <f>IF(D147="","",IF(OR(D147=Plano!$A$1,D147=Plano!$B$1),"entrada","saída"))</f>
        <v>saída</v>
      </c>
      <c r="T147" s="332" t="s">
        <v>114</v>
      </c>
      <c r="U147" s="332" t="s">
        <v>114</v>
      </c>
      <c r="V147" s="344"/>
      <c r="W147" s="269"/>
      <c r="X147" s="269"/>
      <c r="Y147" s="269"/>
      <c r="Z147" s="269"/>
      <c r="AA147" s="269"/>
      <c r="AB147" s="269"/>
      <c r="AC147" s="269"/>
      <c r="AD147" s="269"/>
      <c r="AE147" s="269"/>
      <c r="AF147" s="269"/>
      <c r="AG147" s="269"/>
      <c r="AH147" s="269"/>
      <c r="AI147" s="269"/>
      <c r="AJ147" s="269"/>
      <c r="AK147" s="269"/>
      <c r="AL147" s="269"/>
      <c r="AM147" s="269"/>
    </row>
    <row r="148" spans="1:39" ht="34.5" customHeight="1" x14ac:dyDescent="0.2">
      <c r="A148" s="277">
        <f>IF(B148="","",COUNT('Diário 5º PA'!$A$5:$A$2634)+COUNT('Diário 6º PA'!$A$5:$A$2246)+ROW()-4)</f>
        <v>2687</v>
      </c>
      <c r="B148" s="278">
        <v>44383</v>
      </c>
      <c r="C148" s="259">
        <v>44348</v>
      </c>
      <c r="D148" s="255" t="s">
        <v>88</v>
      </c>
      <c r="E148" s="255" t="s">
        <v>90</v>
      </c>
      <c r="F148" s="257">
        <v>2799.57</v>
      </c>
      <c r="G148" s="450" t="s">
        <v>1231</v>
      </c>
      <c r="H148" s="255" t="s">
        <v>114</v>
      </c>
      <c r="I148" s="250" t="s">
        <v>1232</v>
      </c>
      <c r="J148" s="255" t="s">
        <v>1233</v>
      </c>
      <c r="K148" s="255" t="s">
        <v>1015</v>
      </c>
      <c r="L148" s="250" t="s">
        <v>1183</v>
      </c>
      <c r="M148" s="277" t="s">
        <v>114</v>
      </c>
      <c r="N148" s="278">
        <v>44383</v>
      </c>
      <c r="O148" s="329" t="s">
        <v>67</v>
      </c>
      <c r="P148" s="330">
        <f t="shared" si="7"/>
        <v>7</v>
      </c>
      <c r="Q148" s="330">
        <f t="shared" si="8"/>
        <v>6</v>
      </c>
      <c r="R148" s="331" t="str">
        <f t="shared" si="9"/>
        <v>Gastos_com_Pessoal</v>
      </c>
      <c r="S148" s="331" t="str">
        <f>IF(D148="","",IF(OR(D148=Plano!$A$1,D148=Plano!$B$1),"entrada","saída"))</f>
        <v>saída</v>
      </c>
      <c r="T148" s="332" t="s">
        <v>114</v>
      </c>
      <c r="U148" s="332" t="s">
        <v>114</v>
      </c>
      <c r="V148" s="344"/>
      <c r="W148" s="269"/>
      <c r="X148" s="269"/>
      <c r="Y148" s="269"/>
      <c r="Z148" s="269"/>
      <c r="AA148" s="269"/>
      <c r="AB148" s="269"/>
      <c r="AC148" s="269"/>
      <c r="AD148" s="269"/>
      <c r="AE148" s="269"/>
      <c r="AF148" s="269"/>
      <c r="AG148" s="269"/>
      <c r="AH148" s="269"/>
      <c r="AI148" s="269"/>
      <c r="AJ148" s="269"/>
      <c r="AK148" s="269"/>
      <c r="AL148" s="269"/>
      <c r="AM148" s="269"/>
    </row>
    <row r="149" spans="1:39" ht="37.5" customHeight="1" x14ac:dyDescent="0.2">
      <c r="A149" s="277">
        <f>IF(B149="","",COUNT('Diário 5º PA'!$A$5:$A$2634)+COUNT('Diário 6º PA'!$A$5:$A$2246)+ROW()-4)</f>
        <v>2688</v>
      </c>
      <c r="B149" s="278">
        <v>44383</v>
      </c>
      <c r="C149" s="259">
        <v>44348</v>
      </c>
      <c r="D149" s="255" t="s">
        <v>88</v>
      </c>
      <c r="E149" s="255" t="s">
        <v>90</v>
      </c>
      <c r="F149" s="257">
        <v>4413.74</v>
      </c>
      <c r="G149" s="452" t="s">
        <v>1234</v>
      </c>
      <c r="H149" s="255" t="s">
        <v>114</v>
      </c>
      <c r="I149" s="250" t="s">
        <v>1235</v>
      </c>
      <c r="J149" s="255" t="s">
        <v>1236</v>
      </c>
      <c r="K149" s="255" t="s">
        <v>1015</v>
      </c>
      <c r="L149" s="250" t="s">
        <v>1183</v>
      </c>
      <c r="M149" s="277" t="s">
        <v>114</v>
      </c>
      <c r="N149" s="278">
        <v>44383</v>
      </c>
      <c r="O149" s="329" t="s">
        <v>67</v>
      </c>
      <c r="P149" s="330">
        <f t="shared" si="7"/>
        <v>7</v>
      </c>
      <c r="Q149" s="330">
        <f t="shared" si="8"/>
        <v>6</v>
      </c>
      <c r="R149" s="331" t="str">
        <f t="shared" si="9"/>
        <v>Gastos_com_Pessoal</v>
      </c>
      <c r="S149" s="331" t="str">
        <f>IF(D149="","",IF(OR(D149=Plano!$A$1,D149=Plano!$B$1),"entrada","saída"))</f>
        <v>saída</v>
      </c>
      <c r="T149" s="332" t="s">
        <v>114</v>
      </c>
      <c r="U149" s="332" t="s">
        <v>114</v>
      </c>
      <c r="V149" s="344"/>
      <c r="W149" s="269"/>
      <c r="X149" s="269"/>
      <c r="Y149" s="269"/>
      <c r="Z149" s="269"/>
      <c r="AA149" s="269"/>
      <c r="AB149" s="269"/>
      <c r="AC149" s="269"/>
      <c r="AD149" s="269"/>
      <c r="AE149" s="269"/>
      <c r="AF149" s="269"/>
      <c r="AG149" s="269"/>
      <c r="AH149" s="269"/>
      <c r="AI149" s="269"/>
      <c r="AJ149" s="269"/>
      <c r="AK149" s="269"/>
      <c r="AL149" s="269"/>
      <c r="AM149" s="269"/>
    </row>
    <row r="150" spans="1:39" ht="40.5" customHeight="1" x14ac:dyDescent="0.2">
      <c r="A150" s="277">
        <f>IF(B150="","",COUNT('Diário 5º PA'!$A$5:$A$2634)+COUNT('Diário 6º PA'!$A$5:$A$2246)+ROW()-4)</f>
        <v>2689</v>
      </c>
      <c r="B150" s="278">
        <v>44383</v>
      </c>
      <c r="C150" s="249">
        <v>44378</v>
      </c>
      <c r="D150" s="255" t="s">
        <v>99</v>
      </c>
      <c r="E150" s="255" t="s">
        <v>272</v>
      </c>
      <c r="F150" s="258">
        <v>10.45</v>
      </c>
      <c r="G150" s="450" t="s">
        <v>1237</v>
      </c>
      <c r="H150" s="255" t="s">
        <v>114</v>
      </c>
      <c r="I150" s="250" t="s">
        <v>949</v>
      </c>
      <c r="J150" s="255" t="s">
        <v>950</v>
      </c>
      <c r="K150" s="255" t="s">
        <v>951</v>
      </c>
      <c r="L150" s="250" t="s">
        <v>947</v>
      </c>
      <c r="M150" s="336" t="s">
        <v>114</v>
      </c>
      <c r="N150" s="278">
        <v>44383</v>
      </c>
      <c r="O150" s="329" t="s">
        <v>67</v>
      </c>
      <c r="P150" s="330">
        <f t="shared" si="7"/>
        <v>7</v>
      </c>
      <c r="Q150" s="330">
        <f t="shared" si="8"/>
        <v>7</v>
      </c>
      <c r="R150" s="331" t="str">
        <f t="shared" si="9"/>
        <v>Gastos_Gerais</v>
      </c>
      <c r="S150" s="331" t="str">
        <f>IF(D150="","",IF(OR(D150=Plano!$A$1,D150=Plano!$B$1),"entrada","saída"))</f>
        <v>saída</v>
      </c>
      <c r="T150" s="332" t="s">
        <v>114</v>
      </c>
      <c r="U150" s="332" t="s">
        <v>114</v>
      </c>
      <c r="V150" s="344"/>
      <c r="W150" s="269"/>
      <c r="X150" s="269"/>
      <c r="Y150" s="269"/>
      <c r="Z150" s="269"/>
      <c r="AA150" s="269"/>
      <c r="AB150" s="269"/>
      <c r="AC150" s="269"/>
      <c r="AD150" s="269"/>
      <c r="AE150" s="269"/>
      <c r="AF150" s="269"/>
      <c r="AG150" s="269"/>
      <c r="AH150" s="269"/>
      <c r="AI150" s="269"/>
      <c r="AJ150" s="269"/>
      <c r="AK150" s="269"/>
      <c r="AL150" s="269"/>
      <c r="AM150" s="269"/>
    </row>
    <row r="151" spans="1:39" ht="33.75" customHeight="1" x14ac:dyDescent="0.2">
      <c r="A151" s="277">
        <f>IF(B151="","",COUNT('Diário 5º PA'!$A$5:$A$2634)+COUNT('Diário 6º PA'!$A$5:$A$2246)+ROW()-4)</f>
        <v>2690</v>
      </c>
      <c r="B151" s="278">
        <v>44383</v>
      </c>
      <c r="C151" s="249">
        <v>44378</v>
      </c>
      <c r="D151" s="255" t="s">
        <v>99</v>
      </c>
      <c r="E151" s="255" t="s">
        <v>272</v>
      </c>
      <c r="F151" s="258">
        <v>10.45</v>
      </c>
      <c r="G151" s="450" t="s">
        <v>1238</v>
      </c>
      <c r="H151" s="255" t="s">
        <v>114</v>
      </c>
      <c r="I151" s="250" t="s">
        <v>949</v>
      </c>
      <c r="J151" s="255" t="s">
        <v>950</v>
      </c>
      <c r="K151" s="255" t="s">
        <v>951</v>
      </c>
      <c r="L151" s="250" t="s">
        <v>947</v>
      </c>
      <c r="M151" s="336" t="s">
        <v>114</v>
      </c>
      <c r="N151" s="278">
        <v>44383</v>
      </c>
      <c r="O151" s="329" t="s">
        <v>67</v>
      </c>
      <c r="P151" s="330">
        <f t="shared" si="7"/>
        <v>7</v>
      </c>
      <c r="Q151" s="330">
        <f t="shared" si="8"/>
        <v>7</v>
      </c>
      <c r="R151" s="331" t="str">
        <f t="shared" si="9"/>
        <v>Gastos_Gerais</v>
      </c>
      <c r="S151" s="331" t="str">
        <f>IF(D151="","",IF(OR(D151=Plano!$A$1,D151=Plano!$B$1),"entrada","saída"))</f>
        <v>saída</v>
      </c>
      <c r="T151" s="332" t="s">
        <v>114</v>
      </c>
      <c r="U151" s="332" t="s">
        <v>114</v>
      </c>
      <c r="V151" s="344"/>
      <c r="W151" s="269"/>
      <c r="X151" s="269"/>
      <c r="Y151" s="269"/>
      <c r="Z151" s="269"/>
      <c r="AA151" s="269"/>
      <c r="AB151" s="269"/>
      <c r="AC151" s="269"/>
      <c r="AD151" s="269"/>
      <c r="AE151" s="269"/>
      <c r="AF151" s="269"/>
      <c r="AG151" s="269"/>
      <c r="AH151" s="269"/>
      <c r="AI151" s="269"/>
      <c r="AJ151" s="269"/>
      <c r="AK151" s="269"/>
      <c r="AL151" s="269"/>
      <c r="AM151" s="269"/>
    </row>
    <row r="152" spans="1:39" ht="32.25" customHeight="1" x14ac:dyDescent="0.2">
      <c r="A152" s="277">
        <f>IF(B152="","",COUNT('Diário 5º PA'!$A$5:$A$2634)+COUNT('Diário 6º PA'!$A$5:$A$2246)+ROW()-4)</f>
        <v>2691</v>
      </c>
      <c r="B152" s="278">
        <v>44383</v>
      </c>
      <c r="C152" s="249">
        <v>44378</v>
      </c>
      <c r="D152" s="255" t="s">
        <v>99</v>
      </c>
      <c r="E152" s="255" t="s">
        <v>272</v>
      </c>
      <c r="F152" s="258">
        <v>10.45</v>
      </c>
      <c r="G152" s="450" t="s">
        <v>1239</v>
      </c>
      <c r="H152" s="255" t="s">
        <v>114</v>
      </c>
      <c r="I152" s="250" t="s">
        <v>949</v>
      </c>
      <c r="J152" s="255" t="s">
        <v>950</v>
      </c>
      <c r="K152" s="255" t="s">
        <v>951</v>
      </c>
      <c r="L152" s="250" t="s">
        <v>947</v>
      </c>
      <c r="M152" s="336" t="s">
        <v>114</v>
      </c>
      <c r="N152" s="278">
        <v>44383</v>
      </c>
      <c r="O152" s="329" t="s">
        <v>67</v>
      </c>
      <c r="P152" s="330">
        <f t="shared" si="7"/>
        <v>7</v>
      </c>
      <c r="Q152" s="330">
        <f t="shared" si="8"/>
        <v>7</v>
      </c>
      <c r="R152" s="331" t="str">
        <f t="shared" si="9"/>
        <v>Gastos_Gerais</v>
      </c>
      <c r="S152" s="331" t="str">
        <f>IF(D152="","",IF(OR(D152=Plano!$A$1,D152=Plano!$B$1),"entrada","saída"))</f>
        <v>saída</v>
      </c>
      <c r="T152" s="332" t="s">
        <v>114</v>
      </c>
      <c r="U152" s="332" t="s">
        <v>114</v>
      </c>
      <c r="V152" s="344"/>
      <c r="W152" s="269"/>
      <c r="X152" s="269"/>
      <c r="Y152" s="269"/>
      <c r="Z152" s="269"/>
      <c r="AA152" s="269"/>
      <c r="AB152" s="269"/>
      <c r="AC152" s="269"/>
      <c r="AD152" s="269"/>
      <c r="AE152" s="269"/>
      <c r="AF152" s="269"/>
      <c r="AG152" s="269"/>
      <c r="AH152" s="269"/>
      <c r="AI152" s="269"/>
      <c r="AJ152" s="269"/>
      <c r="AK152" s="269"/>
      <c r="AL152" s="269"/>
      <c r="AM152" s="269"/>
    </row>
    <row r="153" spans="1:39" ht="40.5" customHeight="1" x14ac:dyDescent="0.2">
      <c r="A153" s="277">
        <f>IF(B153="","",COUNT('Diário 5º PA'!$A$5:$A$2634)+COUNT('Diário 6º PA'!$A$5:$A$2246)+ROW()-4)</f>
        <v>2692</v>
      </c>
      <c r="B153" s="278">
        <v>44383</v>
      </c>
      <c r="C153" s="249">
        <v>44378</v>
      </c>
      <c r="D153" s="255" t="s">
        <v>99</v>
      </c>
      <c r="E153" s="255" t="s">
        <v>272</v>
      </c>
      <c r="F153" s="258">
        <v>10.45</v>
      </c>
      <c r="G153" s="450" t="s">
        <v>1240</v>
      </c>
      <c r="H153" s="255" t="s">
        <v>114</v>
      </c>
      <c r="I153" s="250" t="s">
        <v>949</v>
      </c>
      <c r="J153" s="255" t="s">
        <v>950</v>
      </c>
      <c r="K153" s="255" t="s">
        <v>951</v>
      </c>
      <c r="L153" s="250" t="s">
        <v>947</v>
      </c>
      <c r="M153" s="336" t="s">
        <v>114</v>
      </c>
      <c r="N153" s="278">
        <v>44383</v>
      </c>
      <c r="O153" s="329" t="s">
        <v>67</v>
      </c>
      <c r="P153" s="330">
        <f t="shared" si="7"/>
        <v>7</v>
      </c>
      <c r="Q153" s="330">
        <f t="shared" si="8"/>
        <v>7</v>
      </c>
      <c r="R153" s="331" t="str">
        <f t="shared" si="9"/>
        <v>Gastos_Gerais</v>
      </c>
      <c r="S153" s="331" t="str">
        <f>IF(D153="","",IF(OR(D153=Plano!$A$1,D153=Plano!$B$1),"entrada","saída"))</f>
        <v>saída</v>
      </c>
      <c r="T153" s="332" t="s">
        <v>114</v>
      </c>
      <c r="U153" s="332" t="s">
        <v>114</v>
      </c>
      <c r="V153" s="344"/>
      <c r="W153" s="269"/>
      <c r="X153" s="269"/>
      <c r="Y153" s="269"/>
      <c r="Z153" s="269"/>
      <c r="AA153" s="269"/>
      <c r="AB153" s="269"/>
      <c r="AC153" s="269"/>
      <c r="AD153" s="269"/>
      <c r="AE153" s="269"/>
      <c r="AF153" s="269"/>
      <c r="AG153" s="269"/>
      <c r="AH153" s="269"/>
      <c r="AI153" s="269"/>
      <c r="AJ153" s="269"/>
      <c r="AK153" s="269"/>
      <c r="AL153" s="269"/>
      <c r="AM153" s="269"/>
    </row>
    <row r="154" spans="1:39" ht="23.25" customHeight="1" x14ac:dyDescent="0.2">
      <c r="A154" s="277">
        <f>IF(B154="","",COUNT('Diário 5º PA'!$A$5:$A$2634)+COUNT('Diário 6º PA'!$A$5:$A$2246)+ROW()-4)</f>
        <v>2693</v>
      </c>
      <c r="B154" s="278">
        <v>44383</v>
      </c>
      <c r="C154" s="249">
        <v>44378</v>
      </c>
      <c r="D154" s="255" t="s">
        <v>99</v>
      </c>
      <c r="E154" s="255" t="s">
        <v>272</v>
      </c>
      <c r="F154" s="258">
        <v>10.45</v>
      </c>
      <c r="G154" s="450" t="s">
        <v>1241</v>
      </c>
      <c r="H154" s="255" t="s">
        <v>114</v>
      </c>
      <c r="I154" s="250" t="s">
        <v>949</v>
      </c>
      <c r="J154" s="255" t="s">
        <v>950</v>
      </c>
      <c r="K154" s="255" t="s">
        <v>951</v>
      </c>
      <c r="L154" s="250" t="s">
        <v>947</v>
      </c>
      <c r="M154" s="336" t="s">
        <v>114</v>
      </c>
      <c r="N154" s="278">
        <v>44383</v>
      </c>
      <c r="O154" s="329" t="s">
        <v>67</v>
      </c>
      <c r="P154" s="330">
        <f t="shared" si="7"/>
        <v>7</v>
      </c>
      <c r="Q154" s="330">
        <f t="shared" si="8"/>
        <v>7</v>
      </c>
      <c r="R154" s="331" t="str">
        <f t="shared" si="9"/>
        <v>Gastos_Gerais</v>
      </c>
      <c r="S154" s="331" t="str">
        <f>IF(D154="","",IF(OR(D154=Plano!$A$1,D154=Plano!$B$1),"entrada","saída"))</f>
        <v>saída</v>
      </c>
      <c r="T154" s="332" t="s">
        <v>114</v>
      </c>
      <c r="U154" s="332" t="s">
        <v>114</v>
      </c>
      <c r="V154" s="344"/>
      <c r="W154" s="269"/>
      <c r="X154" s="269"/>
      <c r="Y154" s="269"/>
      <c r="Z154" s="269"/>
      <c r="AA154" s="269"/>
      <c r="AB154" s="269"/>
      <c r="AC154" s="269"/>
      <c r="AD154" s="269"/>
      <c r="AE154" s="269"/>
      <c r="AF154" s="269"/>
      <c r="AG154" s="269"/>
      <c r="AH154" s="269"/>
      <c r="AI154" s="269"/>
      <c r="AJ154" s="269"/>
      <c r="AK154" s="269"/>
      <c r="AL154" s="269"/>
      <c r="AM154" s="269"/>
    </row>
    <row r="155" spans="1:39" ht="29.25" customHeight="1" x14ac:dyDescent="0.2">
      <c r="A155" s="277">
        <f>IF(B155="","",COUNT('Diário 5º PA'!$A$5:$A$2634)+COUNT('Diário 6º PA'!$A$5:$A$2246)+ROW()-4)</f>
        <v>2694</v>
      </c>
      <c r="B155" s="278">
        <v>44383</v>
      </c>
      <c r="C155" s="249">
        <v>44378</v>
      </c>
      <c r="D155" s="255" t="s">
        <v>99</v>
      </c>
      <c r="E155" s="255" t="s">
        <v>272</v>
      </c>
      <c r="F155" s="258">
        <v>10.45</v>
      </c>
      <c r="G155" s="450" t="s">
        <v>1242</v>
      </c>
      <c r="H155" s="255" t="s">
        <v>114</v>
      </c>
      <c r="I155" s="250" t="s">
        <v>949</v>
      </c>
      <c r="J155" s="255" t="s">
        <v>950</v>
      </c>
      <c r="K155" s="255" t="s">
        <v>951</v>
      </c>
      <c r="L155" s="250" t="s">
        <v>947</v>
      </c>
      <c r="M155" s="336" t="s">
        <v>114</v>
      </c>
      <c r="N155" s="278">
        <v>44383</v>
      </c>
      <c r="O155" s="329" t="s">
        <v>67</v>
      </c>
      <c r="P155" s="330">
        <f t="shared" si="7"/>
        <v>7</v>
      </c>
      <c r="Q155" s="330">
        <f t="shared" si="8"/>
        <v>7</v>
      </c>
      <c r="R155" s="331" t="str">
        <f t="shared" si="9"/>
        <v>Gastos_Gerais</v>
      </c>
      <c r="S155" s="331" t="str">
        <f>IF(D155="","",IF(OR(D155=Plano!$A$1,D155=Plano!$B$1),"entrada","saída"))</f>
        <v>saída</v>
      </c>
      <c r="T155" s="332" t="s">
        <v>114</v>
      </c>
      <c r="U155" s="332" t="s">
        <v>114</v>
      </c>
      <c r="V155" s="344"/>
      <c r="W155" s="269"/>
      <c r="X155" s="269"/>
      <c r="Y155" s="269"/>
      <c r="Z155" s="269"/>
      <c r="AA155" s="269"/>
      <c r="AB155" s="269"/>
      <c r="AC155" s="269"/>
      <c r="AD155" s="269"/>
      <c r="AE155" s="269"/>
      <c r="AF155" s="269"/>
      <c r="AG155" s="269"/>
      <c r="AH155" s="269"/>
      <c r="AI155" s="269"/>
      <c r="AJ155" s="269"/>
      <c r="AK155" s="269"/>
      <c r="AL155" s="269"/>
      <c r="AM155" s="269"/>
    </row>
    <row r="156" spans="1:39" ht="35.25" customHeight="1" x14ac:dyDescent="0.2">
      <c r="A156" s="277">
        <f>IF(B156="","",COUNT('Diário 5º PA'!$A$5:$A$2634)+COUNT('Diário 6º PA'!$A$5:$A$2246)+ROW()-4)</f>
        <v>2695</v>
      </c>
      <c r="B156" s="278">
        <v>44383</v>
      </c>
      <c r="C156" s="249">
        <v>44378</v>
      </c>
      <c r="D156" s="255" t="s">
        <v>99</v>
      </c>
      <c r="E156" s="255" t="s">
        <v>272</v>
      </c>
      <c r="F156" s="258">
        <v>10.45</v>
      </c>
      <c r="G156" s="450" t="s">
        <v>1243</v>
      </c>
      <c r="H156" s="255" t="s">
        <v>114</v>
      </c>
      <c r="I156" s="250" t="s">
        <v>949</v>
      </c>
      <c r="J156" s="255" t="s">
        <v>950</v>
      </c>
      <c r="K156" s="255" t="s">
        <v>951</v>
      </c>
      <c r="L156" s="250" t="s">
        <v>947</v>
      </c>
      <c r="M156" s="336" t="s">
        <v>114</v>
      </c>
      <c r="N156" s="278">
        <v>44383</v>
      </c>
      <c r="O156" s="329" t="s">
        <v>67</v>
      </c>
      <c r="P156" s="330">
        <f t="shared" si="7"/>
        <v>7</v>
      </c>
      <c r="Q156" s="330">
        <f t="shared" si="8"/>
        <v>7</v>
      </c>
      <c r="R156" s="331" t="str">
        <f t="shared" si="9"/>
        <v>Gastos_Gerais</v>
      </c>
      <c r="S156" s="331" t="str">
        <f>IF(D156="","",IF(OR(D156=Plano!$A$1,D156=Plano!$B$1),"entrada","saída"))</f>
        <v>saída</v>
      </c>
      <c r="T156" s="332" t="s">
        <v>114</v>
      </c>
      <c r="U156" s="332" t="s">
        <v>114</v>
      </c>
      <c r="V156" s="344"/>
      <c r="W156" s="269"/>
      <c r="X156" s="269"/>
      <c r="Y156" s="269"/>
      <c r="Z156" s="269"/>
      <c r="AA156" s="269"/>
      <c r="AB156" s="269"/>
      <c r="AC156" s="269"/>
      <c r="AD156" s="269"/>
      <c r="AE156" s="269"/>
      <c r="AF156" s="269"/>
      <c r="AG156" s="269"/>
      <c r="AH156" s="269"/>
      <c r="AI156" s="269"/>
      <c r="AJ156" s="269"/>
      <c r="AK156" s="269"/>
      <c r="AL156" s="269"/>
      <c r="AM156" s="269"/>
    </row>
    <row r="157" spans="1:39" ht="34.5" customHeight="1" x14ac:dyDescent="0.2">
      <c r="A157" s="277">
        <f>IF(B157="","",COUNT('Diário 5º PA'!$A$5:$A$2634)+COUNT('Diário 6º PA'!$A$5:$A$2246)+ROW()-4)</f>
        <v>2696</v>
      </c>
      <c r="B157" s="278">
        <v>44383</v>
      </c>
      <c r="C157" s="249">
        <v>44378</v>
      </c>
      <c r="D157" s="255" t="s">
        <v>99</v>
      </c>
      <c r="E157" s="255" t="s">
        <v>272</v>
      </c>
      <c r="F157" s="258">
        <v>10.45</v>
      </c>
      <c r="G157" s="450" t="s">
        <v>1244</v>
      </c>
      <c r="H157" s="255" t="s">
        <v>114</v>
      </c>
      <c r="I157" s="250" t="s">
        <v>949</v>
      </c>
      <c r="J157" s="255" t="s">
        <v>950</v>
      </c>
      <c r="K157" s="255" t="s">
        <v>951</v>
      </c>
      <c r="L157" s="250" t="s">
        <v>947</v>
      </c>
      <c r="M157" s="336" t="s">
        <v>114</v>
      </c>
      <c r="N157" s="278">
        <v>44383</v>
      </c>
      <c r="O157" s="329" t="s">
        <v>67</v>
      </c>
      <c r="P157" s="330">
        <f t="shared" si="7"/>
        <v>7</v>
      </c>
      <c r="Q157" s="330">
        <f t="shared" si="8"/>
        <v>7</v>
      </c>
      <c r="R157" s="331" t="str">
        <f t="shared" si="9"/>
        <v>Gastos_Gerais</v>
      </c>
      <c r="S157" s="331" t="str">
        <f>IF(D157="","",IF(OR(D157=Plano!$A$1,D157=Plano!$B$1),"entrada","saída"))</f>
        <v>saída</v>
      </c>
      <c r="T157" s="332" t="s">
        <v>114</v>
      </c>
      <c r="U157" s="332" t="s">
        <v>114</v>
      </c>
      <c r="V157" s="344"/>
      <c r="W157" s="269"/>
      <c r="X157" s="269"/>
      <c r="Y157" s="269"/>
      <c r="Z157" s="269"/>
      <c r="AA157" s="269"/>
      <c r="AB157" s="269"/>
      <c r="AC157" s="269"/>
      <c r="AD157" s="269"/>
      <c r="AE157" s="269"/>
      <c r="AF157" s="269"/>
      <c r="AG157" s="269"/>
      <c r="AH157" s="269"/>
      <c r="AI157" s="269"/>
      <c r="AJ157" s="269"/>
      <c r="AK157" s="269"/>
      <c r="AL157" s="269"/>
      <c r="AM157" s="269"/>
    </row>
    <row r="158" spans="1:39" ht="31.5" customHeight="1" x14ac:dyDescent="0.2">
      <c r="A158" s="277">
        <f>IF(B158="","",COUNT('Diário 5º PA'!$A$5:$A$2634)+COUNT('Diário 6º PA'!$A$5:$A$2246)+ROW()-4)</f>
        <v>2697</v>
      </c>
      <c r="B158" s="278">
        <v>44383</v>
      </c>
      <c r="C158" s="249">
        <v>44378</v>
      </c>
      <c r="D158" s="255" t="s">
        <v>99</v>
      </c>
      <c r="E158" s="255" t="s">
        <v>272</v>
      </c>
      <c r="F158" s="258">
        <v>10.45</v>
      </c>
      <c r="G158" s="450" t="s">
        <v>1239</v>
      </c>
      <c r="H158" s="255" t="s">
        <v>114</v>
      </c>
      <c r="I158" s="250" t="s">
        <v>949</v>
      </c>
      <c r="J158" s="255" t="s">
        <v>950</v>
      </c>
      <c r="K158" s="255" t="s">
        <v>951</v>
      </c>
      <c r="L158" s="250" t="s">
        <v>947</v>
      </c>
      <c r="M158" s="336" t="s">
        <v>114</v>
      </c>
      <c r="N158" s="278">
        <v>44383</v>
      </c>
      <c r="O158" s="329" t="s">
        <v>67</v>
      </c>
      <c r="P158" s="330">
        <f t="shared" si="7"/>
        <v>7</v>
      </c>
      <c r="Q158" s="330">
        <f t="shared" si="8"/>
        <v>7</v>
      </c>
      <c r="R158" s="331" t="str">
        <f t="shared" si="9"/>
        <v>Gastos_Gerais</v>
      </c>
      <c r="S158" s="331" t="str">
        <f>IF(D158="","",IF(OR(D158=Plano!$A$1,D158=Plano!$B$1),"entrada","saída"))</f>
        <v>saída</v>
      </c>
      <c r="T158" s="332" t="s">
        <v>114</v>
      </c>
      <c r="U158" s="332" t="s">
        <v>114</v>
      </c>
      <c r="V158" s="344"/>
      <c r="W158" s="269"/>
      <c r="X158" s="269"/>
      <c r="Y158" s="269"/>
      <c r="Z158" s="269"/>
      <c r="AA158" s="269"/>
      <c r="AB158" s="269"/>
      <c r="AC158" s="269"/>
      <c r="AD158" s="269"/>
      <c r="AE158" s="269"/>
      <c r="AF158" s="269"/>
      <c r="AG158" s="269"/>
      <c r="AH158" s="269"/>
      <c r="AI158" s="269"/>
      <c r="AJ158" s="269"/>
      <c r="AK158" s="269"/>
      <c r="AL158" s="269"/>
      <c r="AM158" s="269"/>
    </row>
    <row r="159" spans="1:39" ht="34.5" customHeight="1" x14ac:dyDescent="0.2">
      <c r="A159" s="277">
        <f>IF(B159="","",COUNT('Diário 5º PA'!$A$5:$A$2634)+COUNT('Diário 6º PA'!$A$5:$A$2246)+ROW()-4)</f>
        <v>2698</v>
      </c>
      <c r="B159" s="278">
        <v>44383</v>
      </c>
      <c r="C159" s="249">
        <v>44378</v>
      </c>
      <c r="D159" s="255" t="s">
        <v>99</v>
      </c>
      <c r="E159" s="255" t="s">
        <v>272</v>
      </c>
      <c r="F159" s="258">
        <v>10.45</v>
      </c>
      <c r="G159" s="450" t="s">
        <v>1245</v>
      </c>
      <c r="H159" s="255" t="s">
        <v>114</v>
      </c>
      <c r="I159" s="250" t="s">
        <v>949</v>
      </c>
      <c r="J159" s="255" t="s">
        <v>950</v>
      </c>
      <c r="K159" s="255" t="s">
        <v>951</v>
      </c>
      <c r="L159" s="250" t="s">
        <v>947</v>
      </c>
      <c r="M159" s="336" t="s">
        <v>114</v>
      </c>
      <c r="N159" s="278">
        <v>44383</v>
      </c>
      <c r="O159" s="329" t="s">
        <v>67</v>
      </c>
      <c r="P159" s="330">
        <f t="shared" si="7"/>
        <v>7</v>
      </c>
      <c r="Q159" s="330">
        <f t="shared" si="8"/>
        <v>7</v>
      </c>
      <c r="R159" s="331" t="str">
        <f t="shared" si="9"/>
        <v>Gastos_Gerais</v>
      </c>
      <c r="S159" s="331" t="str">
        <f>IF(D159="","",IF(OR(D159=Plano!$A$1,D159=Plano!$B$1),"entrada","saída"))</f>
        <v>saída</v>
      </c>
      <c r="T159" s="332" t="s">
        <v>114</v>
      </c>
      <c r="U159" s="332" t="s">
        <v>114</v>
      </c>
      <c r="V159" s="344"/>
      <c r="W159" s="269"/>
      <c r="X159" s="269"/>
      <c r="Y159" s="269"/>
      <c r="Z159" s="269"/>
      <c r="AA159" s="269"/>
      <c r="AB159" s="269"/>
      <c r="AC159" s="269"/>
      <c r="AD159" s="269"/>
      <c r="AE159" s="269"/>
      <c r="AF159" s="269"/>
      <c r="AG159" s="269"/>
      <c r="AH159" s="269"/>
      <c r="AI159" s="269"/>
      <c r="AJ159" s="269"/>
      <c r="AK159" s="269"/>
      <c r="AL159" s="269"/>
      <c r="AM159" s="269"/>
    </row>
    <row r="160" spans="1:39" ht="41.25" customHeight="1" x14ac:dyDescent="0.2">
      <c r="A160" s="277">
        <f>IF(B160="","",COUNT('Diário 5º PA'!$A$5:$A$2634)+COUNT('Diário 6º PA'!$A$5:$A$2246)+ROW()-4)</f>
        <v>2699</v>
      </c>
      <c r="B160" s="278">
        <v>44383</v>
      </c>
      <c r="C160" s="335">
        <v>44378</v>
      </c>
      <c r="D160" s="255" t="s">
        <v>99</v>
      </c>
      <c r="E160" s="255" t="s">
        <v>272</v>
      </c>
      <c r="F160" s="258">
        <v>10.45</v>
      </c>
      <c r="G160" s="450" t="s">
        <v>1246</v>
      </c>
      <c r="H160" s="252" t="s">
        <v>131</v>
      </c>
      <c r="I160" s="250" t="s">
        <v>949</v>
      </c>
      <c r="J160" s="255" t="s">
        <v>950</v>
      </c>
      <c r="K160" s="255" t="s">
        <v>951</v>
      </c>
      <c r="L160" s="250" t="s">
        <v>947</v>
      </c>
      <c r="M160" s="336" t="s">
        <v>114</v>
      </c>
      <c r="N160" s="278">
        <v>44383</v>
      </c>
      <c r="O160" s="329" t="s">
        <v>67</v>
      </c>
      <c r="P160" s="330">
        <f t="shared" si="7"/>
        <v>7</v>
      </c>
      <c r="Q160" s="330">
        <f t="shared" si="8"/>
        <v>7</v>
      </c>
      <c r="R160" s="331" t="str">
        <f t="shared" si="9"/>
        <v>Gastos_Gerais</v>
      </c>
      <c r="S160" s="331" t="str">
        <f>IF(D160="","",IF(OR(D160=Plano!$A$1,D160=Plano!$B$1),"entrada","saída"))</f>
        <v>saída</v>
      </c>
      <c r="T160" s="332" t="s">
        <v>114</v>
      </c>
      <c r="U160" s="332" t="s">
        <v>114</v>
      </c>
      <c r="V160" s="344"/>
      <c r="W160" s="269"/>
      <c r="X160" s="269"/>
      <c r="Y160" s="269"/>
      <c r="Z160" s="269"/>
      <c r="AA160" s="269"/>
      <c r="AB160" s="269"/>
      <c r="AC160" s="269"/>
      <c r="AD160" s="269"/>
      <c r="AE160" s="269"/>
      <c r="AF160" s="269"/>
      <c r="AG160" s="269"/>
      <c r="AH160" s="269"/>
      <c r="AI160" s="269"/>
      <c r="AJ160" s="269"/>
      <c r="AK160" s="269"/>
      <c r="AL160" s="269"/>
      <c r="AM160" s="269"/>
    </row>
    <row r="161" spans="1:39" ht="56.25" customHeight="1" x14ac:dyDescent="0.2">
      <c r="A161" s="277">
        <f>IF(B161="","",COUNT('Diário 5º PA'!$A$5:$A$2634)+COUNT('Diário 6º PA'!$A$5:$A$2246)+ROW()-4)</f>
        <v>2700</v>
      </c>
      <c r="B161" s="278">
        <v>44383</v>
      </c>
      <c r="C161" s="335">
        <v>44378</v>
      </c>
      <c r="D161" s="255" t="s">
        <v>99</v>
      </c>
      <c r="E161" s="255" t="s">
        <v>272</v>
      </c>
      <c r="F161" s="258">
        <v>10.45</v>
      </c>
      <c r="G161" s="450" t="s">
        <v>1247</v>
      </c>
      <c r="H161" s="252" t="s">
        <v>125</v>
      </c>
      <c r="I161" s="250" t="s">
        <v>949</v>
      </c>
      <c r="J161" s="255" t="s">
        <v>950</v>
      </c>
      <c r="K161" s="255" t="s">
        <v>951</v>
      </c>
      <c r="L161" s="250" t="s">
        <v>947</v>
      </c>
      <c r="M161" s="336" t="s">
        <v>114</v>
      </c>
      <c r="N161" s="278">
        <v>44383</v>
      </c>
      <c r="O161" s="329" t="s">
        <v>67</v>
      </c>
      <c r="P161" s="330">
        <f t="shared" si="7"/>
        <v>7</v>
      </c>
      <c r="Q161" s="330">
        <f t="shared" si="8"/>
        <v>7</v>
      </c>
      <c r="R161" s="331" t="str">
        <f t="shared" si="9"/>
        <v>Gastos_Gerais</v>
      </c>
      <c r="S161" s="331" t="str">
        <f>IF(D161="","",IF(OR(D161=Plano!$A$1,D161=Plano!$B$1),"entrada","saída"))</f>
        <v>saída</v>
      </c>
      <c r="T161" s="332" t="s">
        <v>114</v>
      </c>
      <c r="U161" s="332" t="s">
        <v>114</v>
      </c>
      <c r="V161" s="344"/>
      <c r="W161" s="269"/>
      <c r="X161" s="269"/>
      <c r="Y161" s="269"/>
      <c r="Z161" s="269"/>
      <c r="AA161" s="269"/>
      <c r="AB161" s="269"/>
      <c r="AC161" s="269"/>
      <c r="AD161" s="269"/>
      <c r="AE161" s="269"/>
      <c r="AF161" s="269"/>
      <c r="AG161" s="269"/>
      <c r="AH161" s="269"/>
      <c r="AI161" s="269"/>
      <c r="AJ161" s="269"/>
      <c r="AK161" s="269"/>
      <c r="AL161" s="269"/>
      <c r="AM161" s="269"/>
    </row>
    <row r="162" spans="1:39" ht="40.5" customHeight="1" x14ac:dyDescent="0.2">
      <c r="A162" s="277">
        <f>IF(B162="","",COUNT('Diário 5º PA'!$A$5:$A$2634)+COUNT('Diário 6º PA'!$A$5:$A$2246)+ROW()-4)</f>
        <v>2701</v>
      </c>
      <c r="B162" s="278">
        <v>44383</v>
      </c>
      <c r="C162" s="335">
        <v>44378</v>
      </c>
      <c r="D162" s="255" t="s">
        <v>99</v>
      </c>
      <c r="E162" s="255" t="s">
        <v>272</v>
      </c>
      <c r="F162" s="258">
        <v>10.45</v>
      </c>
      <c r="G162" s="450" t="s">
        <v>1248</v>
      </c>
      <c r="H162" s="252" t="s">
        <v>125</v>
      </c>
      <c r="I162" s="250" t="s">
        <v>949</v>
      </c>
      <c r="J162" s="255" t="s">
        <v>950</v>
      </c>
      <c r="K162" s="255" t="s">
        <v>951</v>
      </c>
      <c r="L162" s="250" t="s">
        <v>947</v>
      </c>
      <c r="M162" s="336" t="s">
        <v>114</v>
      </c>
      <c r="N162" s="278">
        <v>44383</v>
      </c>
      <c r="O162" s="329" t="s">
        <v>67</v>
      </c>
      <c r="P162" s="330">
        <f t="shared" si="7"/>
        <v>7</v>
      </c>
      <c r="Q162" s="330">
        <f t="shared" si="8"/>
        <v>7</v>
      </c>
      <c r="R162" s="331" t="str">
        <f t="shared" si="9"/>
        <v>Gastos_Gerais</v>
      </c>
      <c r="S162" s="331" t="str">
        <f>IF(D162="","",IF(OR(D162=Plano!$A$1,D162=Plano!$B$1),"entrada","saída"))</f>
        <v>saída</v>
      </c>
      <c r="T162" s="332" t="s">
        <v>114</v>
      </c>
      <c r="U162" s="332" t="s">
        <v>114</v>
      </c>
      <c r="V162" s="344"/>
      <c r="W162" s="269"/>
      <c r="X162" s="269"/>
      <c r="Y162" s="269"/>
      <c r="Z162" s="269"/>
      <c r="AA162" s="269"/>
      <c r="AB162" s="269"/>
      <c r="AC162" s="269"/>
      <c r="AD162" s="269"/>
      <c r="AE162" s="269"/>
      <c r="AF162" s="269"/>
      <c r="AG162" s="269"/>
      <c r="AH162" s="269"/>
      <c r="AI162" s="269"/>
      <c r="AJ162" s="269"/>
      <c r="AK162" s="269"/>
      <c r="AL162" s="269"/>
      <c r="AM162" s="269"/>
    </row>
    <row r="163" spans="1:39" ht="67.5" customHeight="1" x14ac:dyDescent="0.2">
      <c r="A163" s="277">
        <f>IF(B163="","",COUNT('Diário 5º PA'!$A$5:$A$2634)+COUNT('Diário 6º PA'!$A$5:$A$2246)+ROW()-4)</f>
        <v>2702</v>
      </c>
      <c r="B163" s="278">
        <v>44384</v>
      </c>
      <c r="C163" s="256">
        <v>44348</v>
      </c>
      <c r="D163" s="255" t="s">
        <v>99</v>
      </c>
      <c r="E163" s="255" t="s">
        <v>230</v>
      </c>
      <c r="F163" s="257">
        <v>-1741.71</v>
      </c>
      <c r="G163" s="451" t="s">
        <v>1249</v>
      </c>
      <c r="H163" s="255" t="s">
        <v>115</v>
      </c>
      <c r="I163" s="250" t="s">
        <v>983</v>
      </c>
      <c r="J163" s="255" t="s">
        <v>850</v>
      </c>
      <c r="K163" s="255" t="s">
        <v>1069</v>
      </c>
      <c r="L163" s="250" t="s">
        <v>947</v>
      </c>
      <c r="M163" s="277" t="s">
        <v>114</v>
      </c>
      <c r="N163" s="278">
        <v>44384</v>
      </c>
      <c r="O163" s="329" t="s">
        <v>67</v>
      </c>
      <c r="P163" s="330">
        <f t="shared" si="7"/>
        <v>7</v>
      </c>
      <c r="Q163" s="330">
        <f t="shared" si="8"/>
        <v>6</v>
      </c>
      <c r="R163" s="331" t="str">
        <f t="shared" si="9"/>
        <v>Gastos_Gerais</v>
      </c>
      <c r="S163" s="331" t="str">
        <f>IF(D163="","",IF(OR(D163=Plano!$A$1,D163=Plano!$B$1),"entrada","saída"))</f>
        <v>saída</v>
      </c>
      <c r="T163" s="332" t="s">
        <v>114</v>
      </c>
      <c r="U163" s="332" t="s">
        <v>114</v>
      </c>
      <c r="V163" s="344"/>
      <c r="W163" s="269"/>
      <c r="X163" s="269"/>
      <c r="Y163" s="269"/>
      <c r="Z163" s="269"/>
      <c r="AA163" s="269"/>
      <c r="AB163" s="269"/>
      <c r="AC163" s="269"/>
      <c r="AD163" s="269"/>
      <c r="AE163" s="269"/>
      <c r="AF163" s="269"/>
      <c r="AG163" s="269"/>
      <c r="AH163" s="269"/>
      <c r="AI163" s="269"/>
      <c r="AJ163" s="269"/>
      <c r="AK163" s="269"/>
      <c r="AL163" s="269"/>
      <c r="AM163" s="269"/>
    </row>
    <row r="164" spans="1:39" ht="69.75" customHeight="1" x14ac:dyDescent="0.2">
      <c r="A164" s="277">
        <f>IF(B164="","",COUNT('Diário 5º PA'!$A$5:$A$2634)+COUNT('Diário 6º PA'!$A$5:$A$2246)+ROW()-4)</f>
        <v>2703</v>
      </c>
      <c r="B164" s="278">
        <v>44384</v>
      </c>
      <c r="C164" s="256">
        <v>44348</v>
      </c>
      <c r="D164" s="255" t="s">
        <v>88</v>
      </c>
      <c r="E164" s="255" t="s">
        <v>171</v>
      </c>
      <c r="F164" s="258">
        <v>-2313.87</v>
      </c>
      <c r="G164" s="450" t="s">
        <v>1250</v>
      </c>
      <c r="H164" s="255" t="s">
        <v>114</v>
      </c>
      <c r="I164" s="250" t="s">
        <v>983</v>
      </c>
      <c r="J164" s="255" t="s">
        <v>850</v>
      </c>
      <c r="K164" s="255" t="s">
        <v>946</v>
      </c>
      <c r="L164" s="250" t="s">
        <v>947</v>
      </c>
      <c r="M164" s="277" t="s">
        <v>114</v>
      </c>
      <c r="N164" s="278">
        <v>44384</v>
      </c>
      <c r="O164" s="329" t="s">
        <v>67</v>
      </c>
      <c r="P164" s="330">
        <f t="shared" si="7"/>
        <v>7</v>
      </c>
      <c r="Q164" s="330">
        <f t="shared" si="8"/>
        <v>6</v>
      </c>
      <c r="R164" s="331" t="str">
        <f t="shared" si="9"/>
        <v>Gastos_com_Pessoal</v>
      </c>
      <c r="S164" s="331" t="str">
        <f>IF(D164="","",IF(OR(D164=Plano!$A$1,D164=Plano!$B$1),"entrada","saída"))</f>
        <v>saída</v>
      </c>
      <c r="T164" s="332" t="s">
        <v>114</v>
      </c>
      <c r="U164" s="332" t="s">
        <v>114</v>
      </c>
      <c r="V164" s="344"/>
      <c r="W164" s="269"/>
      <c r="X164" s="269"/>
      <c r="Y164" s="269"/>
      <c r="Z164" s="269"/>
      <c r="AA164" s="269"/>
      <c r="AB164" s="269"/>
      <c r="AC164" s="269"/>
      <c r="AD164" s="269"/>
      <c r="AE164" s="269"/>
      <c r="AF164" s="269"/>
      <c r="AG164" s="269"/>
      <c r="AH164" s="269"/>
      <c r="AI164" s="269"/>
      <c r="AJ164" s="269"/>
      <c r="AK164" s="269"/>
      <c r="AL164" s="269"/>
      <c r="AM164" s="269"/>
    </row>
    <row r="165" spans="1:39" ht="50.25" customHeight="1" x14ac:dyDescent="0.2">
      <c r="A165" s="277">
        <f>IF(B165="","",COUNT('Diário 5º PA'!$A$5:$A$2634)+COUNT('Diário 6º PA'!$A$5:$A$2246)+ROW()-4)</f>
        <v>2704</v>
      </c>
      <c r="B165" s="278">
        <v>44384</v>
      </c>
      <c r="C165" s="256">
        <v>44348</v>
      </c>
      <c r="D165" s="255" t="s">
        <v>88</v>
      </c>
      <c r="E165" s="255" t="s">
        <v>171</v>
      </c>
      <c r="F165" s="258">
        <v>-89.84</v>
      </c>
      <c r="G165" s="450" t="s">
        <v>1251</v>
      </c>
      <c r="H165" s="255" t="s">
        <v>114</v>
      </c>
      <c r="I165" s="250" t="s">
        <v>983</v>
      </c>
      <c r="J165" s="255" t="s">
        <v>850</v>
      </c>
      <c r="K165" s="255" t="s">
        <v>946</v>
      </c>
      <c r="L165" s="250" t="s">
        <v>947</v>
      </c>
      <c r="M165" s="277" t="s">
        <v>114</v>
      </c>
      <c r="N165" s="278">
        <v>44384</v>
      </c>
      <c r="O165" s="329" t="s">
        <v>67</v>
      </c>
      <c r="P165" s="330">
        <f t="shared" si="7"/>
        <v>7</v>
      </c>
      <c r="Q165" s="330">
        <f t="shared" si="8"/>
        <v>6</v>
      </c>
      <c r="R165" s="331" t="str">
        <f t="shared" si="9"/>
        <v>Gastos_com_Pessoal</v>
      </c>
      <c r="S165" s="331" t="str">
        <f>IF(D165="","",IF(OR(D165=Plano!$A$1,D165=Plano!$B$1),"entrada","saída"))</f>
        <v>saída</v>
      </c>
      <c r="T165" s="332" t="s">
        <v>114</v>
      </c>
      <c r="U165" s="332" t="s">
        <v>114</v>
      </c>
      <c r="V165" s="344"/>
      <c r="W165" s="269"/>
      <c r="X165" s="269"/>
      <c r="Y165" s="269"/>
      <c r="Z165" s="269"/>
      <c r="AA165" s="269"/>
      <c r="AB165" s="269"/>
      <c r="AC165" s="269"/>
      <c r="AD165" s="269"/>
      <c r="AE165" s="269"/>
      <c r="AF165" s="269"/>
      <c r="AG165" s="269"/>
      <c r="AH165" s="269"/>
      <c r="AI165" s="269"/>
      <c r="AJ165" s="269"/>
      <c r="AK165" s="269"/>
      <c r="AL165" s="269"/>
      <c r="AM165" s="269"/>
    </row>
    <row r="166" spans="1:39" ht="166.5" customHeight="1" x14ac:dyDescent="0.2">
      <c r="A166" s="277">
        <f>IF(B166="","",COUNT('Diário 5º PA'!$A$5:$A$2634)+COUNT('Diário 6º PA'!$A$5:$A$2246)+ROW()-4)</f>
        <v>2705</v>
      </c>
      <c r="B166" s="278">
        <v>44384</v>
      </c>
      <c r="C166" s="259">
        <v>44348</v>
      </c>
      <c r="D166" s="252" t="s">
        <v>99</v>
      </c>
      <c r="E166" s="252" t="s">
        <v>336</v>
      </c>
      <c r="F166" s="257">
        <v>430</v>
      </c>
      <c r="G166" s="451" t="s">
        <v>1252</v>
      </c>
      <c r="H166" s="252" t="s">
        <v>128</v>
      </c>
      <c r="I166" s="250" t="s">
        <v>1253</v>
      </c>
      <c r="J166" s="250" t="s">
        <v>1254</v>
      </c>
      <c r="K166" s="255" t="s">
        <v>991</v>
      </c>
      <c r="L166" s="250" t="s">
        <v>1029</v>
      </c>
      <c r="M166" s="277">
        <v>1221</v>
      </c>
      <c r="N166" s="278">
        <v>44379</v>
      </c>
      <c r="O166" s="329" t="s">
        <v>67</v>
      </c>
      <c r="P166" s="330">
        <f t="shared" si="7"/>
        <v>7</v>
      </c>
      <c r="Q166" s="330">
        <f t="shared" si="8"/>
        <v>6</v>
      </c>
      <c r="R166" s="331" t="str">
        <f t="shared" si="9"/>
        <v>Gastos_Gerais</v>
      </c>
      <c r="S166" s="331" t="str">
        <f>IF(D166="","",IF(OR(D166=Plano!$A$1,D166=Plano!$B$1),"entrada","saída"))</f>
        <v>saída</v>
      </c>
      <c r="T166" s="334" t="s">
        <v>994</v>
      </c>
      <c r="U166" s="334">
        <v>1656</v>
      </c>
      <c r="V166" s="344"/>
      <c r="W166" s="269"/>
      <c r="X166" s="269"/>
      <c r="Y166" s="269"/>
      <c r="Z166" s="269"/>
      <c r="AA166" s="269"/>
      <c r="AB166" s="269"/>
      <c r="AC166" s="269"/>
      <c r="AD166" s="269"/>
      <c r="AE166" s="269"/>
      <c r="AF166" s="269"/>
      <c r="AG166" s="269"/>
      <c r="AH166" s="269"/>
      <c r="AI166" s="269"/>
      <c r="AJ166" s="269"/>
      <c r="AK166" s="269"/>
      <c r="AL166" s="269"/>
      <c r="AM166" s="269"/>
    </row>
    <row r="167" spans="1:39" ht="140.25" customHeight="1" x14ac:dyDescent="0.2">
      <c r="A167" s="277">
        <f>IF(B167="","",COUNT('Diário 5º PA'!$A$5:$A$2634)+COUNT('Diário 6º PA'!$A$5:$A$2246)+ROW()-4)</f>
        <v>2706</v>
      </c>
      <c r="B167" s="278">
        <v>44384</v>
      </c>
      <c r="C167" s="249">
        <v>44348</v>
      </c>
      <c r="D167" s="255" t="s">
        <v>99</v>
      </c>
      <c r="E167" s="255" t="s">
        <v>230</v>
      </c>
      <c r="F167" s="258">
        <v>6336.36</v>
      </c>
      <c r="G167" s="450" t="s">
        <v>484</v>
      </c>
      <c r="H167" s="255" t="s">
        <v>115</v>
      </c>
      <c r="I167" s="250" t="s">
        <v>485</v>
      </c>
      <c r="J167" s="252" t="s">
        <v>1255</v>
      </c>
      <c r="K167" s="255" t="s">
        <v>1015</v>
      </c>
      <c r="L167" s="250" t="s">
        <v>992</v>
      </c>
      <c r="M167" s="277" t="s">
        <v>1256</v>
      </c>
      <c r="N167" s="278">
        <v>44383</v>
      </c>
      <c r="O167" s="329" t="s">
        <v>67</v>
      </c>
      <c r="P167" s="330">
        <f t="shared" si="7"/>
        <v>7</v>
      </c>
      <c r="Q167" s="330">
        <f t="shared" si="8"/>
        <v>6</v>
      </c>
      <c r="R167" s="331" t="str">
        <f t="shared" si="9"/>
        <v>Gastos_Gerais</v>
      </c>
      <c r="S167" s="331" t="str">
        <f>IF(D167="","",IF(OR(D167=Plano!$A$1,D167=Plano!$B$1),"entrada","saída"))</f>
        <v>saída</v>
      </c>
      <c r="T167" s="332" t="s">
        <v>1059</v>
      </c>
      <c r="U167" s="332">
        <v>1115</v>
      </c>
      <c r="V167" s="344"/>
      <c r="W167" s="269"/>
      <c r="X167" s="269"/>
      <c r="Y167" s="269"/>
      <c r="Z167" s="269"/>
      <c r="AA167" s="269"/>
      <c r="AB167" s="269"/>
      <c r="AC167" s="269"/>
      <c r="AD167" s="269"/>
      <c r="AE167" s="269"/>
      <c r="AF167" s="269"/>
      <c r="AG167" s="269"/>
      <c r="AH167" s="269"/>
      <c r="AI167" s="269"/>
      <c r="AJ167" s="269"/>
      <c r="AK167" s="269"/>
      <c r="AL167" s="269"/>
      <c r="AM167" s="269"/>
    </row>
    <row r="168" spans="1:39" ht="199.5" customHeight="1" x14ac:dyDescent="0.2">
      <c r="A168" s="277">
        <f>IF(B168="","",COUNT('Diário 5º PA'!$A$5:$A$2634)+COUNT('Diário 6º PA'!$A$5:$A$2246)+ROW()-4)</f>
        <v>2707</v>
      </c>
      <c r="B168" s="278">
        <v>44384</v>
      </c>
      <c r="C168" s="259">
        <v>44378</v>
      </c>
      <c r="D168" s="252" t="s">
        <v>99</v>
      </c>
      <c r="E168" s="252" t="s">
        <v>262</v>
      </c>
      <c r="F168" s="257">
        <v>3000</v>
      </c>
      <c r="G168" s="451" t="s">
        <v>474</v>
      </c>
      <c r="H168" s="252" t="s">
        <v>129</v>
      </c>
      <c r="I168" s="252" t="s">
        <v>1257</v>
      </c>
      <c r="J168" s="250" t="s">
        <v>476</v>
      </c>
      <c r="K168" s="255" t="s">
        <v>1015</v>
      </c>
      <c r="L168" s="250" t="s">
        <v>992</v>
      </c>
      <c r="M168" s="277" t="s">
        <v>1061</v>
      </c>
      <c r="N168" s="278">
        <v>44384</v>
      </c>
      <c r="O168" s="329" t="s">
        <v>67</v>
      </c>
      <c r="P168" s="330">
        <f t="shared" si="7"/>
        <v>7</v>
      </c>
      <c r="Q168" s="330">
        <f t="shared" si="8"/>
        <v>7</v>
      </c>
      <c r="R168" s="331" t="str">
        <f t="shared" si="9"/>
        <v>Gastos_Gerais</v>
      </c>
      <c r="S168" s="331" t="str">
        <f>IF(D168="","",IF(OR(D168=Plano!$A$1,D168=Plano!$B$1),"entrada","saída"))</f>
        <v>saída</v>
      </c>
      <c r="T168" s="334" t="s">
        <v>1059</v>
      </c>
      <c r="U168" s="334">
        <v>1273</v>
      </c>
      <c r="V168" s="344"/>
      <c r="W168" s="269"/>
      <c r="X168" s="269"/>
      <c r="Y168" s="269"/>
      <c r="Z168" s="269"/>
      <c r="AA168" s="269"/>
      <c r="AB168" s="269"/>
      <c r="AC168" s="269"/>
      <c r="AD168" s="269"/>
      <c r="AE168" s="269"/>
      <c r="AF168" s="269"/>
      <c r="AG168" s="269"/>
      <c r="AH168" s="269"/>
      <c r="AI168" s="269"/>
      <c r="AJ168" s="269"/>
      <c r="AK168" s="269"/>
      <c r="AL168" s="269"/>
      <c r="AM168" s="269"/>
    </row>
    <row r="169" spans="1:39" ht="39.75" customHeight="1" x14ac:dyDescent="0.2">
      <c r="A169" s="277">
        <f>IF(B169="","",COUNT('Diário 5º PA'!$A$5:$A$2634)+COUNT('Diário 6º PA'!$A$5:$A$2246)+ROW()-4)</f>
        <v>2708</v>
      </c>
      <c r="B169" s="278">
        <v>44384</v>
      </c>
      <c r="C169" s="259">
        <v>44348</v>
      </c>
      <c r="D169" s="255" t="s">
        <v>88</v>
      </c>
      <c r="E169" s="255" t="s">
        <v>171</v>
      </c>
      <c r="F169" s="258">
        <v>9289.2900000000009</v>
      </c>
      <c r="G169" s="450" t="s">
        <v>1258</v>
      </c>
      <c r="H169" s="255" t="s">
        <v>114</v>
      </c>
      <c r="I169" s="250" t="s">
        <v>1259</v>
      </c>
      <c r="J169" s="255" t="s">
        <v>114</v>
      </c>
      <c r="K169" s="255" t="s">
        <v>466</v>
      </c>
      <c r="L169" s="250" t="s">
        <v>171</v>
      </c>
      <c r="M169" s="278" t="s">
        <v>114</v>
      </c>
      <c r="N169" s="278">
        <v>44384</v>
      </c>
      <c r="O169" s="329" t="s">
        <v>67</v>
      </c>
      <c r="P169" s="330">
        <f t="shared" si="7"/>
        <v>7</v>
      </c>
      <c r="Q169" s="330">
        <f t="shared" si="8"/>
        <v>6</v>
      </c>
      <c r="R169" s="331" t="str">
        <f t="shared" si="9"/>
        <v>Gastos_com_Pessoal</v>
      </c>
      <c r="S169" s="331" t="str">
        <f>IF(D169="","",IF(OR(D169=Plano!$A$1,D169=Plano!$B$1),"entrada","saída"))</f>
        <v>saída</v>
      </c>
      <c r="T169" s="332" t="s">
        <v>114</v>
      </c>
      <c r="U169" s="332" t="s">
        <v>114</v>
      </c>
      <c r="V169" s="344"/>
      <c r="W169" s="269"/>
      <c r="X169" s="269"/>
      <c r="Y169" s="269"/>
      <c r="Z169" s="269"/>
      <c r="AA169" s="269"/>
      <c r="AB169" s="269"/>
      <c r="AC169" s="269"/>
      <c r="AD169" s="269"/>
      <c r="AE169" s="269"/>
      <c r="AF169" s="269"/>
      <c r="AG169" s="269"/>
      <c r="AH169" s="269"/>
      <c r="AI169" s="269"/>
      <c r="AJ169" s="269"/>
      <c r="AK169" s="269"/>
      <c r="AL169" s="269"/>
      <c r="AM169" s="269"/>
    </row>
    <row r="170" spans="1:39" ht="56.25" customHeight="1" x14ac:dyDescent="0.2">
      <c r="A170" s="277">
        <f>IF(B170="","",COUNT('Diário 5º PA'!$A$5:$A$2634)+COUNT('Diário 6º PA'!$A$5:$A$2246)+ROW()-4)</f>
        <v>2709</v>
      </c>
      <c r="B170" s="278">
        <v>44384</v>
      </c>
      <c r="C170" s="256">
        <v>44378</v>
      </c>
      <c r="D170" s="255" t="s">
        <v>88</v>
      </c>
      <c r="E170" s="255" t="s">
        <v>194</v>
      </c>
      <c r="F170" s="258">
        <v>6696.63</v>
      </c>
      <c r="G170" s="450" t="s">
        <v>1260</v>
      </c>
      <c r="H170" s="255" t="s">
        <v>114</v>
      </c>
      <c r="I170" s="250" t="s">
        <v>532</v>
      </c>
      <c r="J170" s="255" t="s">
        <v>1261</v>
      </c>
      <c r="K170" s="255" t="s">
        <v>560</v>
      </c>
      <c r="L170" s="250" t="s">
        <v>1016</v>
      </c>
      <c r="M170" s="277">
        <v>523216</v>
      </c>
      <c r="N170" s="278">
        <v>44389</v>
      </c>
      <c r="O170" s="329" t="s">
        <v>67</v>
      </c>
      <c r="P170" s="330">
        <f t="shared" si="7"/>
        <v>7</v>
      </c>
      <c r="Q170" s="330">
        <f t="shared" si="8"/>
        <v>7</v>
      </c>
      <c r="R170" s="331" t="str">
        <f t="shared" si="9"/>
        <v>Gastos_com_Pessoal</v>
      </c>
      <c r="S170" s="331" t="str">
        <f>IF(D170="","",IF(OR(D170=Plano!$A$1,D170=Plano!$B$1),"entrada","saída"))</f>
        <v>saída</v>
      </c>
      <c r="T170" s="332" t="s">
        <v>114</v>
      </c>
      <c r="U170" s="332" t="s">
        <v>114</v>
      </c>
      <c r="V170" s="344"/>
      <c r="W170" s="269"/>
      <c r="X170" s="269"/>
      <c r="Y170" s="269"/>
      <c r="Z170" s="269"/>
      <c r="AA170" s="269"/>
      <c r="AB170" s="269"/>
      <c r="AC170" s="269"/>
      <c r="AD170" s="269"/>
      <c r="AE170" s="269"/>
      <c r="AF170" s="269"/>
      <c r="AG170" s="269"/>
      <c r="AH170" s="269"/>
      <c r="AI170" s="269"/>
      <c r="AJ170" s="269"/>
      <c r="AK170" s="269"/>
      <c r="AL170" s="269"/>
      <c r="AM170" s="269"/>
    </row>
    <row r="171" spans="1:39" ht="118.5" customHeight="1" x14ac:dyDescent="0.2">
      <c r="A171" s="277">
        <f>IF(B171="","",COUNT('Diário 5º PA'!$A$5:$A$2634)+COUNT('Diário 6º PA'!$A$5:$A$2246)+ROW()-4)</f>
        <v>2710</v>
      </c>
      <c r="B171" s="278">
        <v>44384</v>
      </c>
      <c r="C171" s="259">
        <v>44348</v>
      </c>
      <c r="D171" s="252" t="s">
        <v>99</v>
      </c>
      <c r="E171" s="252" t="s">
        <v>336</v>
      </c>
      <c r="F171" s="257">
        <v>3201</v>
      </c>
      <c r="G171" s="451" t="s">
        <v>1262</v>
      </c>
      <c r="H171" s="252" t="s">
        <v>118</v>
      </c>
      <c r="I171" s="250" t="s">
        <v>1263</v>
      </c>
      <c r="J171" s="250" t="s">
        <v>1264</v>
      </c>
      <c r="K171" s="255" t="s">
        <v>991</v>
      </c>
      <c r="L171" s="250" t="s">
        <v>992</v>
      </c>
      <c r="M171" s="277" t="s">
        <v>1265</v>
      </c>
      <c r="N171" s="278">
        <v>44383</v>
      </c>
      <c r="O171" s="329" t="s">
        <v>67</v>
      </c>
      <c r="P171" s="330">
        <f t="shared" si="7"/>
        <v>7</v>
      </c>
      <c r="Q171" s="330">
        <f t="shared" si="8"/>
        <v>6</v>
      </c>
      <c r="R171" s="331" t="str">
        <f t="shared" si="9"/>
        <v>Gastos_Gerais</v>
      </c>
      <c r="S171" s="331" t="str">
        <f>IF(D171="","",IF(OR(D171=Plano!$A$1,D171=Plano!$B$1),"entrada","saída"))</f>
        <v>saída</v>
      </c>
      <c r="T171" s="334" t="s">
        <v>1059</v>
      </c>
      <c r="U171" s="334">
        <v>1613</v>
      </c>
      <c r="V171" s="344"/>
      <c r="W171" s="269"/>
      <c r="X171" s="269"/>
      <c r="Y171" s="269"/>
      <c r="Z171" s="269"/>
      <c r="AA171" s="269"/>
      <c r="AB171" s="269"/>
      <c r="AC171" s="269"/>
      <c r="AD171" s="269"/>
      <c r="AE171" s="269"/>
      <c r="AF171" s="269"/>
      <c r="AG171" s="269"/>
      <c r="AH171" s="269"/>
      <c r="AI171" s="269"/>
      <c r="AJ171" s="269"/>
      <c r="AK171" s="269"/>
      <c r="AL171" s="269"/>
      <c r="AM171" s="269"/>
    </row>
    <row r="172" spans="1:39" ht="102" customHeight="1" x14ac:dyDescent="0.2">
      <c r="A172" s="277">
        <f>IF(B172="","",COUNT('Diário 5º PA'!$A$5:$A$2634)+COUNT('Diário 6º PA'!$A$5:$A$2246)+ROW()-4)</f>
        <v>2711</v>
      </c>
      <c r="B172" s="278">
        <v>44384</v>
      </c>
      <c r="C172" s="259">
        <v>44348</v>
      </c>
      <c r="D172" s="252" t="s">
        <v>99</v>
      </c>
      <c r="E172" s="252" t="s">
        <v>336</v>
      </c>
      <c r="F172" s="257">
        <v>3201</v>
      </c>
      <c r="G172" s="451" t="s">
        <v>1266</v>
      </c>
      <c r="H172" s="252" t="s">
        <v>118</v>
      </c>
      <c r="I172" s="250" t="s">
        <v>1267</v>
      </c>
      <c r="J172" s="250" t="s">
        <v>1264</v>
      </c>
      <c r="K172" s="255" t="s">
        <v>991</v>
      </c>
      <c r="L172" s="250" t="s">
        <v>992</v>
      </c>
      <c r="M172" s="277" t="s">
        <v>1268</v>
      </c>
      <c r="N172" s="278">
        <v>44383</v>
      </c>
      <c r="O172" s="329" t="s">
        <v>67</v>
      </c>
      <c r="P172" s="330">
        <f t="shared" si="7"/>
        <v>7</v>
      </c>
      <c r="Q172" s="330">
        <f t="shared" si="8"/>
        <v>6</v>
      </c>
      <c r="R172" s="331" t="str">
        <f t="shared" si="9"/>
        <v>Gastos_Gerais</v>
      </c>
      <c r="S172" s="331" t="str">
        <f>IF(D172="","",IF(OR(D172=Plano!$A$1,D172=Plano!$B$1),"entrada","saída"))</f>
        <v>saída</v>
      </c>
      <c r="T172" s="334" t="s">
        <v>1059</v>
      </c>
      <c r="U172" s="334">
        <v>1614</v>
      </c>
      <c r="V172" s="344"/>
      <c r="W172" s="269"/>
      <c r="X172" s="269"/>
      <c r="Y172" s="269"/>
      <c r="Z172" s="269"/>
      <c r="AA172" s="269"/>
      <c r="AB172" s="269"/>
      <c r="AC172" s="269"/>
      <c r="AD172" s="269"/>
      <c r="AE172" s="269"/>
      <c r="AF172" s="269"/>
      <c r="AG172" s="269"/>
      <c r="AH172" s="269"/>
      <c r="AI172" s="269"/>
      <c r="AJ172" s="269"/>
      <c r="AK172" s="269"/>
      <c r="AL172" s="269"/>
      <c r="AM172" s="269"/>
    </row>
    <row r="173" spans="1:39" ht="122.25" customHeight="1" x14ac:dyDescent="0.2">
      <c r="A173" s="277">
        <f>IF(B173="","",COUNT('Diário 5º PA'!$A$5:$A$2634)+COUNT('Diário 6º PA'!$A$5:$A$2246)+ROW()-4)</f>
        <v>2712</v>
      </c>
      <c r="B173" s="278">
        <v>44384</v>
      </c>
      <c r="C173" s="259">
        <v>44348</v>
      </c>
      <c r="D173" s="252" t="s">
        <v>99</v>
      </c>
      <c r="E173" s="252" t="s">
        <v>336</v>
      </c>
      <c r="F173" s="257">
        <v>3201</v>
      </c>
      <c r="G173" s="451" t="s">
        <v>1269</v>
      </c>
      <c r="H173" s="252" t="s">
        <v>118</v>
      </c>
      <c r="I173" s="250" t="s">
        <v>1263</v>
      </c>
      <c r="J173" s="250" t="s">
        <v>1264</v>
      </c>
      <c r="K173" s="255" t="s">
        <v>991</v>
      </c>
      <c r="L173" s="250" t="s">
        <v>992</v>
      </c>
      <c r="M173" s="277" t="s">
        <v>1270</v>
      </c>
      <c r="N173" s="278">
        <v>44383</v>
      </c>
      <c r="O173" s="329" t="s">
        <v>67</v>
      </c>
      <c r="P173" s="330">
        <f t="shared" si="7"/>
        <v>7</v>
      </c>
      <c r="Q173" s="330">
        <f t="shared" si="8"/>
        <v>6</v>
      </c>
      <c r="R173" s="331" t="str">
        <f t="shared" si="9"/>
        <v>Gastos_Gerais</v>
      </c>
      <c r="S173" s="331" t="str">
        <f>IF(D173="","",IF(OR(D173=Plano!$A$1,D173=Plano!$B$1),"entrada","saída"))</f>
        <v>saída</v>
      </c>
      <c r="T173" s="334" t="s">
        <v>1059</v>
      </c>
      <c r="U173" s="334">
        <v>1615</v>
      </c>
      <c r="V173" s="344"/>
      <c r="W173" s="269"/>
      <c r="X173" s="269"/>
      <c r="Y173" s="269"/>
      <c r="Z173" s="269"/>
      <c r="AA173" s="269"/>
      <c r="AB173" s="269"/>
      <c r="AC173" s="269"/>
      <c r="AD173" s="269"/>
      <c r="AE173" s="269"/>
      <c r="AF173" s="269"/>
      <c r="AG173" s="269"/>
      <c r="AH173" s="269"/>
      <c r="AI173" s="269"/>
      <c r="AJ173" s="269"/>
      <c r="AK173" s="269"/>
      <c r="AL173" s="269"/>
      <c r="AM173" s="269"/>
    </row>
    <row r="174" spans="1:39" ht="103.5" customHeight="1" x14ac:dyDescent="0.2">
      <c r="A174" s="277">
        <f>IF(B174="","",COUNT('Diário 5º PA'!$A$5:$A$2634)+COUNT('Diário 6º PA'!$A$5:$A$2246)+ROW()-4)</f>
        <v>2713</v>
      </c>
      <c r="B174" s="278">
        <v>44384</v>
      </c>
      <c r="C174" s="259">
        <v>44348</v>
      </c>
      <c r="D174" s="252" t="s">
        <v>99</v>
      </c>
      <c r="E174" s="252" t="s">
        <v>336</v>
      </c>
      <c r="F174" s="257">
        <v>3201</v>
      </c>
      <c r="G174" s="451" t="s">
        <v>1271</v>
      </c>
      <c r="H174" s="252" t="s">
        <v>118</v>
      </c>
      <c r="I174" s="250" t="s">
        <v>1263</v>
      </c>
      <c r="J174" s="250" t="s">
        <v>1264</v>
      </c>
      <c r="K174" s="255" t="s">
        <v>991</v>
      </c>
      <c r="L174" s="250" t="s">
        <v>992</v>
      </c>
      <c r="M174" s="277" t="s">
        <v>1272</v>
      </c>
      <c r="N174" s="278">
        <v>44383</v>
      </c>
      <c r="O174" s="329" t="s">
        <v>67</v>
      </c>
      <c r="P174" s="330">
        <f t="shared" si="7"/>
        <v>7</v>
      </c>
      <c r="Q174" s="330">
        <f t="shared" si="8"/>
        <v>6</v>
      </c>
      <c r="R174" s="331" t="str">
        <f t="shared" si="9"/>
        <v>Gastos_Gerais</v>
      </c>
      <c r="S174" s="331" t="str">
        <f>IF(D174="","",IF(OR(D174=Plano!$A$1,D174=Plano!$B$1),"entrada","saída"))</f>
        <v>saída</v>
      </c>
      <c r="T174" s="334" t="s">
        <v>1059</v>
      </c>
      <c r="U174" s="334">
        <v>1616</v>
      </c>
      <c r="V174" s="344"/>
      <c r="W174" s="269"/>
      <c r="X174" s="269"/>
      <c r="Y174" s="269"/>
      <c r="Z174" s="269"/>
      <c r="AA174" s="269"/>
      <c r="AB174" s="269"/>
      <c r="AC174" s="269"/>
      <c r="AD174" s="269"/>
      <c r="AE174" s="269"/>
      <c r="AF174" s="269"/>
      <c r="AG174" s="269"/>
      <c r="AH174" s="269"/>
      <c r="AI174" s="269"/>
      <c r="AJ174" s="269"/>
      <c r="AK174" s="269"/>
      <c r="AL174" s="269"/>
      <c r="AM174" s="269"/>
    </row>
    <row r="175" spans="1:39" ht="114" customHeight="1" x14ac:dyDescent="0.2">
      <c r="A175" s="277">
        <f>IF(B175="","",COUNT('Diário 5º PA'!$A$5:$A$2634)+COUNT('Diário 6º PA'!$A$5:$A$2246)+ROW()-4)</f>
        <v>2714</v>
      </c>
      <c r="B175" s="278">
        <v>44384</v>
      </c>
      <c r="C175" s="259">
        <v>44348</v>
      </c>
      <c r="D175" s="252" t="s">
        <v>99</v>
      </c>
      <c r="E175" s="252" t="s">
        <v>336</v>
      </c>
      <c r="F175" s="257">
        <v>3201</v>
      </c>
      <c r="G175" s="451" t="s">
        <v>1273</v>
      </c>
      <c r="H175" s="252" t="s">
        <v>118</v>
      </c>
      <c r="I175" s="250" t="s">
        <v>1263</v>
      </c>
      <c r="J175" s="250" t="s">
        <v>1264</v>
      </c>
      <c r="K175" s="255" t="s">
        <v>991</v>
      </c>
      <c r="L175" s="250" t="s">
        <v>992</v>
      </c>
      <c r="M175" s="277" t="s">
        <v>1274</v>
      </c>
      <c r="N175" s="278">
        <v>44383</v>
      </c>
      <c r="O175" s="329" t="s">
        <v>67</v>
      </c>
      <c r="P175" s="330">
        <f t="shared" si="7"/>
        <v>7</v>
      </c>
      <c r="Q175" s="330">
        <f t="shared" si="8"/>
        <v>6</v>
      </c>
      <c r="R175" s="331" t="str">
        <f t="shared" si="9"/>
        <v>Gastos_Gerais</v>
      </c>
      <c r="S175" s="331" t="str">
        <f>IF(D175="","",IF(OR(D175=Plano!$A$1,D175=Plano!$B$1),"entrada","saída"))</f>
        <v>saída</v>
      </c>
      <c r="T175" s="334" t="s">
        <v>1082</v>
      </c>
      <c r="U175" s="334">
        <v>1617</v>
      </c>
      <c r="V175" s="344"/>
      <c r="W175" s="269"/>
      <c r="X175" s="269"/>
      <c r="Y175" s="269"/>
      <c r="Z175" s="269"/>
      <c r="AA175" s="269"/>
      <c r="AB175" s="269"/>
      <c r="AC175" s="269"/>
      <c r="AD175" s="269"/>
      <c r="AE175" s="269"/>
      <c r="AF175" s="269"/>
      <c r="AG175" s="269"/>
      <c r="AH175" s="269"/>
      <c r="AI175" s="269"/>
      <c r="AJ175" s="269"/>
      <c r="AK175" s="269"/>
      <c r="AL175" s="269"/>
      <c r="AM175" s="269"/>
    </row>
    <row r="176" spans="1:39" ht="100.5" customHeight="1" x14ac:dyDescent="0.2">
      <c r="A176" s="277">
        <f>IF(B176="","",COUNT('Diário 5º PA'!$A$5:$A$2634)+COUNT('Diário 6º PA'!$A$5:$A$2246)+ROW()-4)</f>
        <v>2715</v>
      </c>
      <c r="B176" s="278">
        <v>44384</v>
      </c>
      <c r="C176" s="259">
        <v>44348</v>
      </c>
      <c r="D176" s="252" t="s">
        <v>99</v>
      </c>
      <c r="E176" s="252" t="s">
        <v>336</v>
      </c>
      <c r="F176" s="257">
        <v>3201</v>
      </c>
      <c r="G176" s="451" t="s">
        <v>1275</v>
      </c>
      <c r="H176" s="252" t="s">
        <v>118</v>
      </c>
      <c r="I176" s="250" t="s">
        <v>1267</v>
      </c>
      <c r="J176" s="250" t="s">
        <v>1264</v>
      </c>
      <c r="K176" s="255" t="s">
        <v>991</v>
      </c>
      <c r="L176" s="250" t="s">
        <v>992</v>
      </c>
      <c r="M176" s="277" t="s">
        <v>1276</v>
      </c>
      <c r="N176" s="278">
        <v>44383</v>
      </c>
      <c r="O176" s="329" t="s">
        <v>67</v>
      </c>
      <c r="P176" s="330">
        <f t="shared" si="7"/>
        <v>7</v>
      </c>
      <c r="Q176" s="330">
        <f t="shared" si="8"/>
        <v>6</v>
      </c>
      <c r="R176" s="331" t="str">
        <f t="shared" si="9"/>
        <v>Gastos_Gerais</v>
      </c>
      <c r="S176" s="331" t="str">
        <f>IF(D176="","",IF(OR(D176=Plano!$A$1,D176=Plano!$B$1),"entrada","saída"))</f>
        <v>saída</v>
      </c>
      <c r="T176" s="334" t="s">
        <v>1082</v>
      </c>
      <c r="U176" s="334">
        <v>1618</v>
      </c>
      <c r="V176" s="344"/>
      <c r="W176" s="269"/>
      <c r="X176" s="269"/>
      <c r="Y176" s="269"/>
      <c r="Z176" s="269"/>
      <c r="AA176" s="269"/>
      <c r="AB176" s="269"/>
      <c r="AC176" s="269"/>
      <c r="AD176" s="269"/>
      <c r="AE176" s="269"/>
      <c r="AF176" s="269"/>
      <c r="AG176" s="269"/>
      <c r="AH176" s="269"/>
      <c r="AI176" s="269"/>
      <c r="AJ176" s="269"/>
      <c r="AK176" s="269"/>
      <c r="AL176" s="269"/>
      <c r="AM176" s="269"/>
    </row>
    <row r="177" spans="1:39" ht="114" customHeight="1" x14ac:dyDescent="0.2">
      <c r="A177" s="277">
        <f>IF(B177="","",COUNT('Diário 5º PA'!$A$5:$A$2634)+COUNT('Diário 6º PA'!$A$5:$A$2246)+ROW()-4)</f>
        <v>2716</v>
      </c>
      <c r="B177" s="278">
        <v>44384</v>
      </c>
      <c r="C177" s="259">
        <v>44348</v>
      </c>
      <c r="D177" s="252" t="s">
        <v>99</v>
      </c>
      <c r="E177" s="252" t="s">
        <v>336</v>
      </c>
      <c r="F177" s="257">
        <v>3201</v>
      </c>
      <c r="G177" s="451" t="s">
        <v>1277</v>
      </c>
      <c r="H177" s="252" t="s">
        <v>118</v>
      </c>
      <c r="I177" s="250" t="s">
        <v>1267</v>
      </c>
      <c r="J177" s="250" t="s">
        <v>1264</v>
      </c>
      <c r="K177" s="255" t="s">
        <v>991</v>
      </c>
      <c r="L177" s="250" t="s">
        <v>992</v>
      </c>
      <c r="M177" s="277" t="s">
        <v>1278</v>
      </c>
      <c r="N177" s="278">
        <v>44383</v>
      </c>
      <c r="O177" s="329" t="s">
        <v>67</v>
      </c>
      <c r="P177" s="330">
        <f t="shared" si="7"/>
        <v>7</v>
      </c>
      <c r="Q177" s="330">
        <f t="shared" si="8"/>
        <v>6</v>
      </c>
      <c r="R177" s="331" t="str">
        <f t="shared" si="9"/>
        <v>Gastos_Gerais</v>
      </c>
      <c r="S177" s="331" t="str">
        <f>IF(D177="","",IF(OR(D177=Plano!$A$1,D177=Plano!$B$1),"entrada","saída"))</f>
        <v>saída</v>
      </c>
      <c r="T177" s="334" t="s">
        <v>1059</v>
      </c>
      <c r="U177" s="334">
        <v>1619</v>
      </c>
      <c r="V177" s="344"/>
      <c r="W177" s="269"/>
      <c r="X177" s="269"/>
      <c r="Y177" s="269"/>
      <c r="Z177" s="269"/>
      <c r="AA177" s="269"/>
      <c r="AB177" s="269"/>
      <c r="AC177" s="269"/>
      <c r="AD177" s="269"/>
      <c r="AE177" s="269"/>
      <c r="AF177" s="269"/>
      <c r="AG177" s="269"/>
      <c r="AH177" s="269"/>
      <c r="AI177" s="269"/>
      <c r="AJ177" s="269"/>
      <c r="AK177" s="269"/>
      <c r="AL177" s="269"/>
      <c r="AM177" s="269"/>
    </row>
    <row r="178" spans="1:39" ht="113.25" customHeight="1" x14ac:dyDescent="0.2">
      <c r="A178" s="277">
        <f>IF(B178="","",COUNT('Diário 5º PA'!$A$5:$A$2634)+COUNT('Diário 6º PA'!$A$5:$A$2246)+ROW()-4)</f>
        <v>2717</v>
      </c>
      <c r="B178" s="278">
        <v>44384</v>
      </c>
      <c r="C178" s="259">
        <v>44348</v>
      </c>
      <c r="D178" s="252" t="s">
        <v>99</v>
      </c>
      <c r="E178" s="252" t="s">
        <v>336</v>
      </c>
      <c r="F178" s="257">
        <v>3201</v>
      </c>
      <c r="G178" s="451" t="s">
        <v>1279</v>
      </c>
      <c r="H178" s="252" t="s">
        <v>118</v>
      </c>
      <c r="I178" s="250" t="s">
        <v>1263</v>
      </c>
      <c r="J178" s="250" t="s">
        <v>1264</v>
      </c>
      <c r="K178" s="255" t="s">
        <v>991</v>
      </c>
      <c r="L178" s="250" t="s">
        <v>992</v>
      </c>
      <c r="M178" s="277" t="s">
        <v>1280</v>
      </c>
      <c r="N178" s="278">
        <v>44383</v>
      </c>
      <c r="O178" s="329" t="s">
        <v>67</v>
      </c>
      <c r="P178" s="330">
        <f t="shared" si="7"/>
        <v>7</v>
      </c>
      <c r="Q178" s="330">
        <f t="shared" si="8"/>
        <v>6</v>
      </c>
      <c r="R178" s="331" t="str">
        <f t="shared" si="9"/>
        <v>Gastos_Gerais</v>
      </c>
      <c r="S178" s="331" t="str">
        <f>IF(D178="","",IF(OR(D178=Plano!$A$1,D178=Plano!$B$1),"entrada","saída"))</f>
        <v>saída</v>
      </c>
      <c r="T178" s="334" t="s">
        <v>1082</v>
      </c>
      <c r="U178" s="334">
        <v>1620</v>
      </c>
      <c r="V178" s="344"/>
      <c r="W178" s="269"/>
      <c r="X178" s="269"/>
      <c r="Y178" s="269"/>
      <c r="Z178" s="269"/>
      <c r="AA178" s="269"/>
      <c r="AB178" s="269"/>
      <c r="AC178" s="269"/>
      <c r="AD178" s="269"/>
      <c r="AE178" s="269"/>
      <c r="AF178" s="269"/>
      <c r="AG178" s="269"/>
      <c r="AH178" s="269"/>
      <c r="AI178" s="269"/>
      <c r="AJ178" s="269"/>
      <c r="AK178" s="269"/>
      <c r="AL178" s="269"/>
      <c r="AM178" s="269"/>
    </row>
    <row r="179" spans="1:39" ht="120" customHeight="1" x14ac:dyDescent="0.2">
      <c r="A179" s="277">
        <f>IF(B179="","",COUNT('Diário 5º PA'!$A$5:$A$2634)+COUNT('Diário 6º PA'!$A$5:$A$2246)+ROW()-4)</f>
        <v>2718</v>
      </c>
      <c r="B179" s="278">
        <v>44384</v>
      </c>
      <c r="C179" s="259">
        <v>44348</v>
      </c>
      <c r="D179" s="252" t="s">
        <v>99</v>
      </c>
      <c r="E179" s="252" t="s">
        <v>336</v>
      </c>
      <c r="F179" s="257">
        <v>3201</v>
      </c>
      <c r="G179" s="451" t="s">
        <v>1281</v>
      </c>
      <c r="H179" s="252" t="s">
        <v>118</v>
      </c>
      <c r="I179" s="250" t="s">
        <v>1267</v>
      </c>
      <c r="J179" s="250" t="s">
        <v>1264</v>
      </c>
      <c r="K179" s="255" t="s">
        <v>991</v>
      </c>
      <c r="L179" s="250" t="s">
        <v>992</v>
      </c>
      <c r="M179" s="277" t="s">
        <v>1282</v>
      </c>
      <c r="N179" s="278">
        <v>44383</v>
      </c>
      <c r="O179" s="329" t="s">
        <v>67</v>
      </c>
      <c r="P179" s="330">
        <f t="shared" si="7"/>
        <v>7</v>
      </c>
      <c r="Q179" s="330">
        <f t="shared" si="8"/>
        <v>6</v>
      </c>
      <c r="R179" s="331" t="str">
        <f t="shared" si="9"/>
        <v>Gastos_Gerais</v>
      </c>
      <c r="S179" s="331" t="str">
        <f>IF(D179="","",IF(OR(D179=Plano!$A$1,D179=Plano!$B$1),"entrada","saída"))</f>
        <v>saída</v>
      </c>
      <c r="T179" s="334" t="s">
        <v>1059</v>
      </c>
      <c r="U179" s="334">
        <v>1621</v>
      </c>
      <c r="V179" s="344"/>
      <c r="W179" s="269"/>
      <c r="X179" s="269"/>
      <c r="Y179" s="269"/>
      <c r="Z179" s="269"/>
      <c r="AA179" s="269"/>
      <c r="AB179" s="269"/>
      <c r="AC179" s="269"/>
      <c r="AD179" s="269"/>
      <c r="AE179" s="269"/>
      <c r="AF179" s="269"/>
      <c r="AG179" s="269"/>
      <c r="AH179" s="269"/>
      <c r="AI179" s="269"/>
      <c r="AJ179" s="269"/>
      <c r="AK179" s="269"/>
      <c r="AL179" s="269"/>
      <c r="AM179" s="269"/>
    </row>
    <row r="180" spans="1:39" ht="108" customHeight="1" x14ac:dyDescent="0.2">
      <c r="A180" s="277">
        <f>IF(B180="","",COUNT('Diário 5º PA'!$A$5:$A$2634)+COUNT('Diário 6º PA'!$A$5:$A$2246)+ROW()-4)</f>
        <v>2719</v>
      </c>
      <c r="B180" s="278">
        <v>44384</v>
      </c>
      <c r="C180" s="259">
        <v>44348</v>
      </c>
      <c r="D180" s="252" t="s">
        <v>99</v>
      </c>
      <c r="E180" s="252" t="s">
        <v>336</v>
      </c>
      <c r="F180" s="257">
        <v>3201</v>
      </c>
      <c r="G180" s="451" t="s">
        <v>1283</v>
      </c>
      <c r="H180" s="252" t="s">
        <v>118</v>
      </c>
      <c r="I180" s="250" t="s">
        <v>1263</v>
      </c>
      <c r="J180" s="250" t="s">
        <v>1264</v>
      </c>
      <c r="K180" s="255" t="s">
        <v>991</v>
      </c>
      <c r="L180" s="250" t="s">
        <v>992</v>
      </c>
      <c r="M180" s="277" t="s">
        <v>1284</v>
      </c>
      <c r="N180" s="278">
        <v>44383</v>
      </c>
      <c r="O180" s="329" t="s">
        <v>67</v>
      </c>
      <c r="P180" s="330">
        <f t="shared" si="7"/>
        <v>7</v>
      </c>
      <c r="Q180" s="330">
        <f t="shared" si="8"/>
        <v>6</v>
      </c>
      <c r="R180" s="331" t="str">
        <f t="shared" si="9"/>
        <v>Gastos_Gerais</v>
      </c>
      <c r="S180" s="331" t="str">
        <f>IF(D180="","",IF(OR(D180=Plano!$A$1,D180=Plano!$B$1),"entrada","saída"))</f>
        <v>saída</v>
      </c>
      <c r="T180" s="334" t="s">
        <v>1059</v>
      </c>
      <c r="U180" s="334">
        <v>1622</v>
      </c>
      <c r="V180" s="344"/>
      <c r="W180" s="269"/>
      <c r="X180" s="269"/>
      <c r="Y180" s="269"/>
      <c r="Z180" s="269"/>
      <c r="AA180" s="269"/>
      <c r="AB180" s="269"/>
      <c r="AC180" s="269"/>
      <c r="AD180" s="269"/>
      <c r="AE180" s="269"/>
      <c r="AF180" s="269"/>
      <c r="AG180" s="269"/>
      <c r="AH180" s="269"/>
      <c r="AI180" s="269"/>
      <c r="AJ180" s="269"/>
      <c r="AK180" s="269"/>
      <c r="AL180" s="269"/>
      <c r="AM180" s="269"/>
    </row>
    <row r="181" spans="1:39" ht="167.25" customHeight="1" x14ac:dyDescent="0.2">
      <c r="A181" s="277">
        <f>IF(B181="","",COUNT('Diário 5º PA'!$A$5:$A$2634)+COUNT('Diário 6º PA'!$A$5:$A$2246)+ROW()-4)</f>
        <v>2720</v>
      </c>
      <c r="B181" s="278">
        <v>44384</v>
      </c>
      <c r="C181" s="259">
        <v>44378</v>
      </c>
      <c r="D181" s="252" t="s">
        <v>99</v>
      </c>
      <c r="E181" s="252" t="s">
        <v>372</v>
      </c>
      <c r="F181" s="257">
        <v>2500</v>
      </c>
      <c r="G181" s="451" t="s">
        <v>471</v>
      </c>
      <c r="H181" s="252" t="s">
        <v>129</v>
      </c>
      <c r="I181" s="252" t="s">
        <v>1285</v>
      </c>
      <c r="J181" s="250" t="s">
        <v>473</v>
      </c>
      <c r="K181" s="255" t="s">
        <v>991</v>
      </c>
      <c r="L181" s="250" t="s">
        <v>992</v>
      </c>
      <c r="M181" s="277">
        <v>122</v>
      </c>
      <c r="N181" s="278">
        <v>44384</v>
      </c>
      <c r="O181" s="329" t="s">
        <v>67</v>
      </c>
      <c r="P181" s="330">
        <f t="shared" si="7"/>
        <v>7</v>
      </c>
      <c r="Q181" s="330">
        <f t="shared" si="8"/>
        <v>7</v>
      </c>
      <c r="R181" s="331" t="str">
        <f t="shared" si="9"/>
        <v>Gastos_Gerais</v>
      </c>
      <c r="S181" s="331" t="str">
        <f>IF(D181="","",IF(OR(D181=Plano!$A$1,D181=Plano!$B$1),"entrada","saída"))</f>
        <v>saída</v>
      </c>
      <c r="T181" s="334" t="s">
        <v>1059</v>
      </c>
      <c r="U181" s="334">
        <v>1275</v>
      </c>
      <c r="V181" s="344"/>
      <c r="W181" s="269"/>
      <c r="X181" s="269"/>
      <c r="Y181" s="269"/>
      <c r="Z181" s="269"/>
      <c r="AA181" s="269"/>
      <c r="AB181" s="269"/>
      <c r="AC181" s="269"/>
      <c r="AD181" s="269"/>
      <c r="AE181" s="269"/>
      <c r="AF181" s="269"/>
      <c r="AG181" s="269"/>
      <c r="AH181" s="269"/>
      <c r="AI181" s="269"/>
      <c r="AJ181" s="269"/>
      <c r="AK181" s="269"/>
      <c r="AL181" s="269"/>
      <c r="AM181" s="269"/>
    </row>
    <row r="182" spans="1:39" ht="66" customHeight="1" x14ac:dyDescent="0.2">
      <c r="A182" s="277">
        <f>IF(B182="","",COUNT('Diário 5º PA'!$A$5:$A$2634)+COUNT('Diário 6º PA'!$A$5:$A$2246)+ROW()-4)</f>
        <v>2721</v>
      </c>
      <c r="B182" s="278">
        <v>44384</v>
      </c>
      <c r="C182" s="259">
        <v>44348</v>
      </c>
      <c r="D182" s="252" t="s">
        <v>99</v>
      </c>
      <c r="E182" s="252" t="s">
        <v>336</v>
      </c>
      <c r="F182" s="257">
        <v>215</v>
      </c>
      <c r="G182" s="451" t="s">
        <v>1286</v>
      </c>
      <c r="H182" s="252" t="s">
        <v>116</v>
      </c>
      <c r="I182" s="250" t="s">
        <v>1287</v>
      </c>
      <c r="J182" s="250" t="s">
        <v>1288</v>
      </c>
      <c r="K182" s="255" t="s">
        <v>991</v>
      </c>
      <c r="L182" s="250" t="s">
        <v>1029</v>
      </c>
      <c r="M182" s="277">
        <v>1214</v>
      </c>
      <c r="N182" s="278">
        <v>44379</v>
      </c>
      <c r="O182" s="329" t="s">
        <v>67</v>
      </c>
      <c r="P182" s="330">
        <f t="shared" si="7"/>
        <v>7</v>
      </c>
      <c r="Q182" s="330">
        <f t="shared" si="8"/>
        <v>6</v>
      </c>
      <c r="R182" s="331" t="str">
        <f t="shared" si="9"/>
        <v>Gastos_Gerais</v>
      </c>
      <c r="S182" s="331" t="str">
        <f>IF(D182="","",IF(OR(D182=Plano!$A$1,D182=Plano!$B$1),"entrada","saída"))</f>
        <v>saída</v>
      </c>
      <c r="T182" s="334" t="s">
        <v>994</v>
      </c>
      <c r="U182" s="334">
        <v>1711</v>
      </c>
      <c r="V182" s="344"/>
      <c r="W182" s="269"/>
      <c r="X182" s="269"/>
      <c r="Y182" s="269"/>
      <c r="Z182" s="269"/>
      <c r="AA182" s="269"/>
      <c r="AB182" s="269"/>
      <c r="AC182" s="269"/>
      <c r="AD182" s="269"/>
      <c r="AE182" s="269"/>
      <c r="AF182" s="269"/>
      <c r="AG182" s="269"/>
      <c r="AH182" s="269"/>
      <c r="AI182" s="269"/>
      <c r="AJ182" s="269"/>
      <c r="AK182" s="269"/>
      <c r="AL182" s="269"/>
      <c r="AM182" s="269"/>
    </row>
    <row r="183" spans="1:39" ht="103.5" customHeight="1" x14ac:dyDescent="0.2">
      <c r="A183" s="277">
        <f>IF(B183="","",COUNT('Diário 5º PA'!$A$5:$A$2634)+COUNT('Diário 6º PA'!$A$5:$A$2246)+ROW()-4)</f>
        <v>2722</v>
      </c>
      <c r="B183" s="278">
        <v>44384</v>
      </c>
      <c r="C183" s="259">
        <v>44378</v>
      </c>
      <c r="D183" s="252" t="s">
        <v>99</v>
      </c>
      <c r="E183" s="252" t="s">
        <v>344</v>
      </c>
      <c r="F183" s="257">
        <v>18.86</v>
      </c>
      <c r="G183" s="451" t="s">
        <v>1289</v>
      </c>
      <c r="H183" s="252" t="s">
        <v>118</v>
      </c>
      <c r="I183" s="250" t="s">
        <v>1290</v>
      </c>
      <c r="J183" s="250" t="s">
        <v>1291</v>
      </c>
      <c r="K183" s="255" t="s">
        <v>991</v>
      </c>
      <c r="L183" s="250" t="s">
        <v>992</v>
      </c>
      <c r="M183" s="346" t="s">
        <v>1292</v>
      </c>
      <c r="N183" s="278">
        <v>44384</v>
      </c>
      <c r="O183" s="329" t="s">
        <v>67</v>
      </c>
      <c r="P183" s="330">
        <f t="shared" si="7"/>
        <v>7</v>
      </c>
      <c r="Q183" s="330">
        <f t="shared" si="8"/>
        <v>7</v>
      </c>
      <c r="R183" s="331" t="str">
        <f t="shared" si="9"/>
        <v>Gastos_Gerais</v>
      </c>
      <c r="S183" s="331" t="str">
        <f>IF(D183="","",IF(OR(D183=Plano!$A$1,D183=Plano!$B$1),"entrada","saída"))</f>
        <v>saída</v>
      </c>
      <c r="T183" s="334" t="s">
        <v>1011</v>
      </c>
      <c r="U183" s="334">
        <v>1734</v>
      </c>
      <c r="V183" s="344"/>
      <c r="W183" s="269"/>
      <c r="X183" s="269"/>
      <c r="Y183" s="269"/>
      <c r="Z183" s="269"/>
      <c r="AA183" s="269"/>
      <c r="AB183" s="269"/>
      <c r="AC183" s="269"/>
      <c r="AD183" s="269"/>
      <c r="AE183" s="269"/>
      <c r="AF183" s="269"/>
      <c r="AG183" s="269"/>
      <c r="AH183" s="269"/>
      <c r="AI183" s="269"/>
      <c r="AJ183" s="269"/>
      <c r="AK183" s="269"/>
      <c r="AL183" s="269"/>
      <c r="AM183" s="269"/>
    </row>
    <row r="184" spans="1:39" ht="114" customHeight="1" x14ac:dyDescent="0.2">
      <c r="A184" s="277">
        <f>IF(B184="","",COUNT('Diário 5º PA'!$A$5:$A$2634)+COUNT('Diário 6º PA'!$A$5:$A$2246)+ROW()-4)</f>
        <v>2723</v>
      </c>
      <c r="B184" s="278">
        <v>44384</v>
      </c>
      <c r="C184" s="259">
        <v>44378</v>
      </c>
      <c r="D184" s="252" t="s">
        <v>99</v>
      </c>
      <c r="E184" s="252" t="s">
        <v>376</v>
      </c>
      <c r="F184" s="257">
        <v>2000</v>
      </c>
      <c r="G184" s="451" t="s">
        <v>477</v>
      </c>
      <c r="H184" s="252" t="s">
        <v>124</v>
      </c>
      <c r="I184" s="252" t="s">
        <v>1293</v>
      </c>
      <c r="J184" s="250" t="s">
        <v>479</v>
      </c>
      <c r="K184" s="255" t="s">
        <v>991</v>
      </c>
      <c r="L184" s="250" t="s">
        <v>992</v>
      </c>
      <c r="M184" s="277" t="s">
        <v>1294</v>
      </c>
      <c r="N184" s="278">
        <v>44384</v>
      </c>
      <c r="O184" s="329" t="s">
        <v>67</v>
      </c>
      <c r="P184" s="330">
        <f t="shared" si="7"/>
        <v>7</v>
      </c>
      <c r="Q184" s="330">
        <f t="shared" si="8"/>
        <v>7</v>
      </c>
      <c r="R184" s="331" t="str">
        <f t="shared" si="9"/>
        <v>Gastos_Gerais</v>
      </c>
      <c r="S184" s="331" t="str">
        <f>IF(D184="","",IF(OR(D184=Plano!$A$1,D184=Plano!$B$1),"entrada","saída"))</f>
        <v>saída</v>
      </c>
      <c r="T184" s="334" t="s">
        <v>1059</v>
      </c>
      <c r="U184" s="334">
        <v>1268</v>
      </c>
      <c r="V184" s="344"/>
      <c r="W184" s="269"/>
      <c r="X184" s="269"/>
      <c r="Y184" s="269"/>
      <c r="Z184" s="269"/>
      <c r="AA184" s="269"/>
      <c r="AB184" s="269"/>
      <c r="AC184" s="269"/>
      <c r="AD184" s="269"/>
      <c r="AE184" s="269"/>
      <c r="AF184" s="269"/>
      <c r="AG184" s="269"/>
      <c r="AH184" s="269"/>
      <c r="AI184" s="269"/>
      <c r="AJ184" s="269"/>
      <c r="AK184" s="269"/>
      <c r="AL184" s="269"/>
      <c r="AM184" s="269"/>
    </row>
    <row r="185" spans="1:39" ht="169.5" customHeight="1" x14ac:dyDescent="0.2">
      <c r="A185" s="277">
        <f>IF(B185="","",COUNT('Diário 5º PA'!$A$5:$A$2634)+COUNT('Diário 6º PA'!$A$5:$A$2246)+ROW()-4)</f>
        <v>2724</v>
      </c>
      <c r="B185" s="278">
        <v>44384</v>
      </c>
      <c r="C185" s="259">
        <v>44378</v>
      </c>
      <c r="D185" s="252" t="s">
        <v>99</v>
      </c>
      <c r="E185" s="252" t="s">
        <v>262</v>
      </c>
      <c r="F185" s="257">
        <v>3920</v>
      </c>
      <c r="G185" s="451" t="s">
        <v>468</v>
      </c>
      <c r="H185" s="252" t="s">
        <v>124</v>
      </c>
      <c r="I185" s="252" t="s">
        <v>1295</v>
      </c>
      <c r="J185" s="250" t="s">
        <v>470</v>
      </c>
      <c r="K185" s="255" t="s">
        <v>991</v>
      </c>
      <c r="L185" s="250" t="s">
        <v>992</v>
      </c>
      <c r="M185" s="277" t="s">
        <v>1296</v>
      </c>
      <c r="N185" s="278">
        <v>44384</v>
      </c>
      <c r="O185" s="329" t="s">
        <v>67</v>
      </c>
      <c r="P185" s="330">
        <f t="shared" si="7"/>
        <v>7</v>
      </c>
      <c r="Q185" s="330">
        <f t="shared" si="8"/>
        <v>7</v>
      </c>
      <c r="R185" s="331" t="str">
        <f t="shared" si="9"/>
        <v>Gastos_Gerais</v>
      </c>
      <c r="S185" s="331" t="str">
        <f>IF(D185="","",IF(OR(D185=Plano!$A$1,D185=Plano!$B$1),"entrada","saída"))</f>
        <v>saída</v>
      </c>
      <c r="T185" s="334" t="s">
        <v>1059</v>
      </c>
      <c r="U185" s="334">
        <v>1269</v>
      </c>
      <c r="V185" s="344"/>
      <c r="W185" s="269"/>
      <c r="X185" s="269"/>
      <c r="Y185" s="269"/>
      <c r="Z185" s="269"/>
      <c r="AA185" s="269"/>
      <c r="AB185" s="269"/>
      <c r="AC185" s="269"/>
      <c r="AD185" s="269"/>
      <c r="AE185" s="269"/>
      <c r="AF185" s="269"/>
      <c r="AG185" s="269"/>
      <c r="AH185" s="269"/>
      <c r="AI185" s="269"/>
      <c r="AJ185" s="269"/>
      <c r="AK185" s="269"/>
      <c r="AL185" s="269"/>
      <c r="AM185" s="269"/>
    </row>
    <row r="186" spans="1:39" ht="233.25" customHeight="1" x14ac:dyDescent="0.2">
      <c r="A186" s="277">
        <f>IF(B186="","",COUNT('Diário 5º PA'!$A$5:$A$2634)+COUNT('Diário 6º PA'!$A$5:$A$2246)+ROW()-4)</f>
        <v>2725</v>
      </c>
      <c r="B186" s="278">
        <v>44384</v>
      </c>
      <c r="C186" s="259">
        <v>44348</v>
      </c>
      <c r="D186" s="252" t="s">
        <v>99</v>
      </c>
      <c r="E186" s="252" t="s">
        <v>352</v>
      </c>
      <c r="F186" s="257">
        <v>2254</v>
      </c>
      <c r="G186" s="451" t="s">
        <v>1297</v>
      </c>
      <c r="H186" s="252" t="s">
        <v>131</v>
      </c>
      <c r="I186" s="252" t="s">
        <v>1298</v>
      </c>
      <c r="J186" s="250" t="s">
        <v>590</v>
      </c>
      <c r="K186" s="255" t="s">
        <v>991</v>
      </c>
      <c r="L186" s="250" t="s">
        <v>992</v>
      </c>
      <c r="M186" s="277" t="s">
        <v>1299</v>
      </c>
      <c r="N186" s="278">
        <v>44383</v>
      </c>
      <c r="O186" s="329" t="s">
        <v>67</v>
      </c>
      <c r="P186" s="330">
        <f t="shared" si="7"/>
        <v>7</v>
      </c>
      <c r="Q186" s="330">
        <f t="shared" si="8"/>
        <v>6</v>
      </c>
      <c r="R186" s="331" t="str">
        <f t="shared" si="9"/>
        <v>Gastos_Gerais</v>
      </c>
      <c r="S186" s="331" t="str">
        <f>IF(D186="","",IF(OR(D186=Plano!$A$1,D186=Plano!$B$1),"entrada","saída"))</f>
        <v>saída</v>
      </c>
      <c r="T186" s="334" t="s">
        <v>1059</v>
      </c>
      <c r="U186" s="334">
        <v>1434</v>
      </c>
      <c r="V186" s="344"/>
      <c r="W186" s="269"/>
      <c r="X186" s="269"/>
      <c r="Y186" s="269"/>
      <c r="Z186" s="269"/>
      <c r="AA186" s="269"/>
      <c r="AB186" s="269"/>
      <c r="AC186" s="269"/>
      <c r="AD186" s="269"/>
      <c r="AE186" s="269"/>
      <c r="AF186" s="269"/>
      <c r="AG186" s="269"/>
      <c r="AH186" s="269"/>
      <c r="AI186" s="269"/>
      <c r="AJ186" s="269"/>
      <c r="AK186" s="269"/>
      <c r="AL186" s="269"/>
      <c r="AM186" s="269"/>
    </row>
    <row r="187" spans="1:39" ht="171" customHeight="1" x14ac:dyDescent="0.2">
      <c r="A187" s="277">
        <f>IF(B187="","",COUNT('Diário 5º PA'!$A$5:$A$2634)+COUNT('Diário 6º PA'!$A$5:$A$2246)+ROW()-4)</f>
        <v>2726</v>
      </c>
      <c r="B187" s="278">
        <v>44384</v>
      </c>
      <c r="C187" s="259">
        <v>44348</v>
      </c>
      <c r="D187" s="252" t="s">
        <v>99</v>
      </c>
      <c r="E187" s="252" t="s">
        <v>364</v>
      </c>
      <c r="F187" s="257">
        <v>5389.45</v>
      </c>
      <c r="G187" s="451" t="s">
        <v>570</v>
      </c>
      <c r="H187" s="252" t="s">
        <v>132</v>
      </c>
      <c r="I187" s="252" t="s">
        <v>1300</v>
      </c>
      <c r="J187" s="250" t="s">
        <v>572</v>
      </c>
      <c r="K187" s="255" t="s">
        <v>991</v>
      </c>
      <c r="L187" s="250" t="s">
        <v>992</v>
      </c>
      <c r="M187" s="277" t="s">
        <v>1301</v>
      </c>
      <c r="N187" s="278">
        <v>44383</v>
      </c>
      <c r="O187" s="329" t="s">
        <v>67</v>
      </c>
      <c r="P187" s="330">
        <f t="shared" si="7"/>
        <v>7</v>
      </c>
      <c r="Q187" s="330">
        <f t="shared" si="8"/>
        <v>6</v>
      </c>
      <c r="R187" s="331" t="str">
        <f t="shared" si="9"/>
        <v>Gastos_Gerais</v>
      </c>
      <c r="S187" s="331" t="str">
        <f>IF(D187="","",IF(OR(D187=Plano!$A$1,D187=Plano!$B$1),"entrada","saída"))</f>
        <v>saída</v>
      </c>
      <c r="T187" s="334" t="s">
        <v>1059</v>
      </c>
      <c r="U187" s="334">
        <v>1339</v>
      </c>
      <c r="V187" s="344"/>
      <c r="W187" s="269"/>
      <c r="X187" s="269"/>
      <c r="Y187" s="269"/>
      <c r="Z187" s="269"/>
      <c r="AA187" s="269"/>
      <c r="AB187" s="269"/>
      <c r="AC187" s="269"/>
      <c r="AD187" s="269"/>
      <c r="AE187" s="269"/>
      <c r="AF187" s="269"/>
      <c r="AG187" s="269"/>
      <c r="AH187" s="269"/>
      <c r="AI187" s="269"/>
      <c r="AJ187" s="269"/>
      <c r="AK187" s="269"/>
      <c r="AL187" s="269"/>
      <c r="AM187" s="269"/>
    </row>
    <row r="188" spans="1:39" ht="131.25" customHeight="1" x14ac:dyDescent="0.2">
      <c r="A188" s="277">
        <f>IF(B188="","",COUNT('Diário 5º PA'!$A$5:$A$2634)+COUNT('Diário 6º PA'!$A$5:$A$2246)+ROW()-4)</f>
        <v>2727</v>
      </c>
      <c r="B188" s="278">
        <v>44384</v>
      </c>
      <c r="C188" s="259">
        <v>44348</v>
      </c>
      <c r="D188" s="252" t="s">
        <v>99</v>
      </c>
      <c r="E188" s="252" t="s">
        <v>310</v>
      </c>
      <c r="F188" s="257">
        <v>500</v>
      </c>
      <c r="G188" s="451" t="s">
        <v>1302</v>
      </c>
      <c r="H188" s="252" t="s">
        <v>116</v>
      </c>
      <c r="I188" s="250" t="s">
        <v>1303</v>
      </c>
      <c r="J188" s="250" t="s">
        <v>1304</v>
      </c>
      <c r="K188" s="255" t="s">
        <v>991</v>
      </c>
      <c r="L188" s="250" t="s">
        <v>992</v>
      </c>
      <c r="M188" s="277" t="s">
        <v>1305</v>
      </c>
      <c r="N188" s="278">
        <v>44383</v>
      </c>
      <c r="O188" s="329" t="s">
        <v>67</v>
      </c>
      <c r="P188" s="330">
        <f t="shared" si="7"/>
        <v>7</v>
      </c>
      <c r="Q188" s="330">
        <f t="shared" si="8"/>
        <v>6</v>
      </c>
      <c r="R188" s="331" t="str">
        <f t="shared" si="9"/>
        <v>Gastos_Gerais</v>
      </c>
      <c r="S188" s="331" t="str">
        <f>IF(D188="","",IF(OR(D188=Plano!$A$1,D188=Plano!$B$1),"entrada","saída"))</f>
        <v>saída</v>
      </c>
      <c r="T188" s="334" t="s">
        <v>994</v>
      </c>
      <c r="U188" s="334">
        <v>1709</v>
      </c>
      <c r="V188" s="344"/>
      <c r="W188" s="269"/>
      <c r="X188" s="269"/>
      <c r="Y188" s="269"/>
      <c r="Z188" s="269"/>
      <c r="AA188" s="269"/>
      <c r="AB188" s="269"/>
      <c r="AC188" s="269"/>
      <c r="AD188" s="269"/>
      <c r="AE188" s="269"/>
      <c r="AF188" s="269"/>
      <c r="AG188" s="269"/>
      <c r="AH188" s="269"/>
      <c r="AI188" s="269"/>
      <c r="AJ188" s="269"/>
      <c r="AK188" s="269"/>
      <c r="AL188" s="269"/>
      <c r="AM188" s="269"/>
    </row>
    <row r="189" spans="1:39" ht="102" customHeight="1" x14ac:dyDescent="0.2">
      <c r="A189" s="277">
        <f>IF(B189="","",COUNT('Diário 5º PA'!$A$5:$A$2634)+COUNT('Diário 6º PA'!$A$5:$A$2246)+ROW()-4)</f>
        <v>2728</v>
      </c>
      <c r="B189" s="278">
        <v>44384</v>
      </c>
      <c r="C189" s="259">
        <v>44348</v>
      </c>
      <c r="D189" s="252" t="s">
        <v>99</v>
      </c>
      <c r="E189" s="252" t="s">
        <v>324</v>
      </c>
      <c r="F189" s="257">
        <v>2710.08</v>
      </c>
      <c r="G189" s="451" t="s">
        <v>1306</v>
      </c>
      <c r="H189" s="252" t="s">
        <v>116</v>
      </c>
      <c r="I189" s="250" t="s">
        <v>1307</v>
      </c>
      <c r="J189" s="250" t="s">
        <v>1308</v>
      </c>
      <c r="K189" s="255" t="s">
        <v>991</v>
      </c>
      <c r="L189" s="250" t="s">
        <v>992</v>
      </c>
      <c r="M189" s="277" t="s">
        <v>1309</v>
      </c>
      <c r="N189" s="278">
        <v>44384</v>
      </c>
      <c r="O189" s="329" t="s">
        <v>67</v>
      </c>
      <c r="P189" s="330">
        <f t="shared" si="7"/>
        <v>7</v>
      </c>
      <c r="Q189" s="330">
        <f t="shared" si="8"/>
        <v>6</v>
      </c>
      <c r="R189" s="331" t="str">
        <f t="shared" si="9"/>
        <v>Gastos_Gerais</v>
      </c>
      <c r="S189" s="331" t="str">
        <f>IF(D189="","",IF(OR(D189=Plano!$A$1,D189=Plano!$B$1),"entrada","saída"))</f>
        <v>saída</v>
      </c>
      <c r="T189" s="334" t="s">
        <v>1011</v>
      </c>
      <c r="U189" s="334">
        <v>1707</v>
      </c>
      <c r="V189" s="344"/>
      <c r="W189" s="269"/>
      <c r="X189" s="269"/>
      <c r="Y189" s="269"/>
      <c r="Z189" s="269"/>
      <c r="AA189" s="269"/>
      <c r="AB189" s="269"/>
      <c r="AC189" s="269"/>
      <c r="AD189" s="269"/>
      <c r="AE189" s="269"/>
      <c r="AF189" s="269"/>
      <c r="AG189" s="269"/>
      <c r="AH189" s="269"/>
      <c r="AI189" s="269"/>
      <c r="AJ189" s="269"/>
      <c r="AK189" s="269"/>
      <c r="AL189" s="269"/>
      <c r="AM189" s="269"/>
    </row>
    <row r="190" spans="1:39" ht="62.25" customHeight="1" x14ac:dyDescent="0.2">
      <c r="A190" s="277">
        <f>IF(B190="","",COUNT('Diário 5º PA'!$A$5:$A$2634)+COUNT('Diário 6º PA'!$A$5:$A$2246)+ROW()-4)</f>
        <v>2729</v>
      </c>
      <c r="B190" s="278">
        <v>44384</v>
      </c>
      <c r="C190" s="335">
        <v>44378</v>
      </c>
      <c r="D190" s="255" t="s">
        <v>99</v>
      </c>
      <c r="E190" s="255" t="s">
        <v>272</v>
      </c>
      <c r="F190" s="258">
        <v>10.45</v>
      </c>
      <c r="G190" s="450" t="s">
        <v>1310</v>
      </c>
      <c r="H190" s="252" t="s">
        <v>118</v>
      </c>
      <c r="I190" s="250" t="s">
        <v>949</v>
      </c>
      <c r="J190" s="255" t="s">
        <v>950</v>
      </c>
      <c r="K190" s="255" t="s">
        <v>951</v>
      </c>
      <c r="L190" s="250" t="s">
        <v>947</v>
      </c>
      <c r="M190" s="336" t="s">
        <v>114</v>
      </c>
      <c r="N190" s="278">
        <v>44384</v>
      </c>
      <c r="O190" s="329" t="s">
        <v>67</v>
      </c>
      <c r="P190" s="330">
        <f t="shared" si="7"/>
        <v>7</v>
      </c>
      <c r="Q190" s="330">
        <f t="shared" si="8"/>
        <v>7</v>
      </c>
      <c r="R190" s="331" t="str">
        <f t="shared" si="9"/>
        <v>Gastos_Gerais</v>
      </c>
      <c r="S190" s="331" t="str">
        <f>IF(D190="","",IF(OR(D190=Plano!$A$1,D190=Plano!$B$1),"entrada","saída"))</f>
        <v>saída</v>
      </c>
      <c r="T190" s="332" t="s">
        <v>114</v>
      </c>
      <c r="U190" s="332" t="s">
        <v>114</v>
      </c>
      <c r="V190" s="344"/>
      <c r="W190" s="269"/>
      <c r="X190" s="269"/>
      <c r="Y190" s="269"/>
      <c r="Z190" s="269"/>
      <c r="AA190" s="269"/>
      <c r="AB190" s="269"/>
      <c r="AC190" s="269"/>
      <c r="AD190" s="269"/>
      <c r="AE190" s="269"/>
      <c r="AF190" s="269"/>
      <c r="AG190" s="269"/>
      <c r="AH190" s="269"/>
      <c r="AI190" s="269"/>
      <c r="AJ190" s="269"/>
      <c r="AK190" s="269"/>
      <c r="AL190" s="269"/>
      <c r="AM190" s="269"/>
    </row>
    <row r="191" spans="1:39" ht="50.25" customHeight="1" x14ac:dyDescent="0.2">
      <c r="A191" s="277">
        <f>IF(B191="","",COUNT('Diário 5º PA'!$A$5:$A$2634)+COUNT('Diário 6º PA'!$A$5:$A$2246)+ROW()-4)</f>
        <v>2730</v>
      </c>
      <c r="B191" s="278">
        <v>44384</v>
      </c>
      <c r="C191" s="335">
        <v>44378</v>
      </c>
      <c r="D191" s="255" t="s">
        <v>99</v>
      </c>
      <c r="E191" s="255" t="s">
        <v>272</v>
      </c>
      <c r="F191" s="258">
        <v>10.45</v>
      </c>
      <c r="G191" s="450" t="s">
        <v>1311</v>
      </c>
      <c r="H191" s="252" t="s">
        <v>118</v>
      </c>
      <c r="I191" s="250" t="s">
        <v>949</v>
      </c>
      <c r="J191" s="255" t="s">
        <v>950</v>
      </c>
      <c r="K191" s="255" t="s">
        <v>951</v>
      </c>
      <c r="L191" s="250" t="s">
        <v>947</v>
      </c>
      <c r="M191" s="336" t="s">
        <v>114</v>
      </c>
      <c r="N191" s="278">
        <v>44384</v>
      </c>
      <c r="O191" s="329" t="s">
        <v>67</v>
      </c>
      <c r="P191" s="330">
        <f t="shared" si="7"/>
        <v>7</v>
      </c>
      <c r="Q191" s="330">
        <f t="shared" si="8"/>
        <v>7</v>
      </c>
      <c r="R191" s="331" t="str">
        <f t="shared" si="9"/>
        <v>Gastos_Gerais</v>
      </c>
      <c r="S191" s="331" t="str">
        <f>IF(D191="","",IF(OR(D191=Plano!$A$1,D191=Plano!$B$1),"entrada","saída"))</f>
        <v>saída</v>
      </c>
      <c r="T191" s="332" t="s">
        <v>114</v>
      </c>
      <c r="U191" s="332" t="s">
        <v>114</v>
      </c>
      <c r="V191" s="344"/>
      <c r="W191" s="269"/>
      <c r="X191" s="269"/>
      <c r="Y191" s="269"/>
      <c r="Z191" s="269"/>
      <c r="AA191" s="269"/>
      <c r="AB191" s="269"/>
      <c r="AC191" s="269"/>
      <c r="AD191" s="269"/>
      <c r="AE191" s="269"/>
      <c r="AF191" s="269"/>
      <c r="AG191" s="269"/>
      <c r="AH191" s="269"/>
      <c r="AI191" s="269"/>
      <c r="AJ191" s="269"/>
      <c r="AK191" s="269"/>
      <c r="AL191" s="269"/>
      <c r="AM191" s="269"/>
    </row>
    <row r="192" spans="1:39" ht="58.5" customHeight="1" x14ac:dyDescent="0.2">
      <c r="A192" s="277">
        <f>IF(B192="","",COUNT('Diário 5º PA'!$A$5:$A$2634)+COUNT('Diário 6º PA'!$A$5:$A$2246)+ROW()-4)</f>
        <v>2731</v>
      </c>
      <c r="B192" s="278">
        <v>44384</v>
      </c>
      <c r="C192" s="335">
        <v>44378</v>
      </c>
      <c r="D192" s="255" t="s">
        <v>99</v>
      </c>
      <c r="E192" s="255" t="s">
        <v>272</v>
      </c>
      <c r="F192" s="258">
        <v>10.45</v>
      </c>
      <c r="G192" s="450" t="s">
        <v>1312</v>
      </c>
      <c r="H192" s="252" t="s">
        <v>118</v>
      </c>
      <c r="I192" s="250" t="s">
        <v>949</v>
      </c>
      <c r="J192" s="255" t="s">
        <v>950</v>
      </c>
      <c r="K192" s="255" t="s">
        <v>951</v>
      </c>
      <c r="L192" s="250" t="s">
        <v>947</v>
      </c>
      <c r="M192" s="336" t="s">
        <v>114</v>
      </c>
      <c r="N192" s="278">
        <v>44384</v>
      </c>
      <c r="O192" s="329" t="s">
        <v>67</v>
      </c>
      <c r="P192" s="330">
        <f t="shared" si="7"/>
        <v>7</v>
      </c>
      <c r="Q192" s="330">
        <f t="shared" si="8"/>
        <v>7</v>
      </c>
      <c r="R192" s="331" t="str">
        <f t="shared" si="9"/>
        <v>Gastos_Gerais</v>
      </c>
      <c r="S192" s="331" t="str">
        <f>IF(D192="","",IF(OR(D192=Plano!$A$1,D192=Plano!$B$1),"entrada","saída"))</f>
        <v>saída</v>
      </c>
      <c r="T192" s="332" t="s">
        <v>114</v>
      </c>
      <c r="U192" s="332" t="s">
        <v>114</v>
      </c>
      <c r="V192" s="344"/>
      <c r="W192" s="269"/>
      <c r="X192" s="269"/>
      <c r="Y192" s="269"/>
      <c r="Z192" s="269"/>
      <c r="AA192" s="269"/>
      <c r="AB192" s="269"/>
      <c r="AC192" s="269"/>
      <c r="AD192" s="269"/>
      <c r="AE192" s="269"/>
      <c r="AF192" s="269"/>
      <c r="AG192" s="269"/>
      <c r="AH192" s="269"/>
      <c r="AI192" s="269"/>
      <c r="AJ192" s="269"/>
      <c r="AK192" s="269"/>
      <c r="AL192" s="269"/>
      <c r="AM192" s="269"/>
    </row>
    <row r="193" spans="1:39" ht="55.5" customHeight="1" x14ac:dyDescent="0.2">
      <c r="A193" s="277">
        <f>IF(B193="","",COUNT('Diário 5º PA'!$A$5:$A$2634)+COUNT('Diário 6º PA'!$A$5:$A$2246)+ROW()-4)</f>
        <v>2732</v>
      </c>
      <c r="B193" s="278">
        <v>44384</v>
      </c>
      <c r="C193" s="335">
        <v>44378</v>
      </c>
      <c r="D193" s="255" t="s">
        <v>99</v>
      </c>
      <c r="E193" s="255" t="s">
        <v>272</v>
      </c>
      <c r="F193" s="258">
        <v>10.45</v>
      </c>
      <c r="G193" s="450" t="s">
        <v>1313</v>
      </c>
      <c r="H193" s="252" t="s">
        <v>118</v>
      </c>
      <c r="I193" s="250" t="s">
        <v>949</v>
      </c>
      <c r="J193" s="255" t="s">
        <v>950</v>
      </c>
      <c r="K193" s="255" t="s">
        <v>951</v>
      </c>
      <c r="L193" s="250" t="s">
        <v>947</v>
      </c>
      <c r="M193" s="336" t="s">
        <v>114</v>
      </c>
      <c r="N193" s="278">
        <v>44384</v>
      </c>
      <c r="O193" s="329" t="s">
        <v>67</v>
      </c>
      <c r="P193" s="330">
        <f t="shared" si="7"/>
        <v>7</v>
      </c>
      <c r="Q193" s="330">
        <f t="shared" si="8"/>
        <v>7</v>
      </c>
      <c r="R193" s="331" t="str">
        <f t="shared" si="9"/>
        <v>Gastos_Gerais</v>
      </c>
      <c r="S193" s="331" t="str">
        <f>IF(D193="","",IF(OR(D193=Plano!$A$1,D193=Plano!$B$1),"entrada","saída"))</f>
        <v>saída</v>
      </c>
      <c r="T193" s="332" t="s">
        <v>114</v>
      </c>
      <c r="U193" s="332" t="s">
        <v>114</v>
      </c>
      <c r="V193" s="344"/>
      <c r="W193" s="269"/>
      <c r="X193" s="269"/>
      <c r="Y193" s="269"/>
      <c r="Z193" s="269"/>
      <c r="AA193" s="269"/>
      <c r="AB193" s="269"/>
      <c r="AC193" s="269"/>
      <c r="AD193" s="269"/>
      <c r="AE193" s="269"/>
      <c r="AF193" s="269"/>
      <c r="AG193" s="269"/>
      <c r="AH193" s="269"/>
      <c r="AI193" s="269"/>
      <c r="AJ193" s="269"/>
      <c r="AK193" s="269"/>
      <c r="AL193" s="269"/>
      <c r="AM193" s="269"/>
    </row>
    <row r="194" spans="1:39" ht="52.5" customHeight="1" x14ac:dyDescent="0.2">
      <c r="A194" s="277">
        <f>IF(B194="","",COUNT('Diário 5º PA'!$A$5:$A$2634)+COUNT('Diário 6º PA'!$A$5:$A$2246)+ROW()-4)</f>
        <v>2733</v>
      </c>
      <c r="B194" s="278">
        <v>44384</v>
      </c>
      <c r="C194" s="335">
        <v>44378</v>
      </c>
      <c r="D194" s="255" t="s">
        <v>99</v>
      </c>
      <c r="E194" s="255" t="s">
        <v>272</v>
      </c>
      <c r="F194" s="258">
        <v>10.45</v>
      </c>
      <c r="G194" s="450" t="s">
        <v>1314</v>
      </c>
      <c r="H194" s="252" t="s">
        <v>118</v>
      </c>
      <c r="I194" s="250" t="s">
        <v>949</v>
      </c>
      <c r="J194" s="255" t="s">
        <v>950</v>
      </c>
      <c r="K194" s="255" t="s">
        <v>951</v>
      </c>
      <c r="L194" s="250" t="s">
        <v>947</v>
      </c>
      <c r="M194" s="336" t="s">
        <v>114</v>
      </c>
      <c r="N194" s="278">
        <v>44384</v>
      </c>
      <c r="O194" s="329" t="s">
        <v>67</v>
      </c>
      <c r="P194" s="330">
        <f t="shared" si="7"/>
        <v>7</v>
      </c>
      <c r="Q194" s="330">
        <f t="shared" si="8"/>
        <v>7</v>
      </c>
      <c r="R194" s="331" t="str">
        <f t="shared" si="9"/>
        <v>Gastos_Gerais</v>
      </c>
      <c r="S194" s="331" t="str">
        <f>IF(D194="","",IF(OR(D194=Plano!$A$1,D194=Plano!$B$1),"entrada","saída"))</f>
        <v>saída</v>
      </c>
      <c r="T194" s="332" t="s">
        <v>114</v>
      </c>
      <c r="U194" s="332" t="s">
        <v>114</v>
      </c>
      <c r="V194" s="344"/>
      <c r="W194" s="269"/>
      <c r="X194" s="269"/>
      <c r="Y194" s="269"/>
      <c r="Z194" s="269"/>
      <c r="AA194" s="269"/>
      <c r="AB194" s="269"/>
      <c r="AC194" s="269"/>
      <c r="AD194" s="269"/>
      <c r="AE194" s="269"/>
      <c r="AF194" s="269"/>
      <c r="AG194" s="269"/>
      <c r="AH194" s="269"/>
      <c r="AI194" s="269"/>
      <c r="AJ194" s="269"/>
      <c r="AK194" s="269"/>
      <c r="AL194" s="269"/>
      <c r="AM194" s="269"/>
    </row>
    <row r="195" spans="1:39" ht="60.75" customHeight="1" x14ac:dyDescent="0.2">
      <c r="A195" s="277">
        <f>IF(B195="","",COUNT('Diário 5º PA'!$A$5:$A$2634)+COUNT('Diário 6º PA'!$A$5:$A$2246)+ROW()-4)</f>
        <v>2734</v>
      </c>
      <c r="B195" s="278">
        <v>44384</v>
      </c>
      <c r="C195" s="335">
        <v>44378</v>
      </c>
      <c r="D195" s="255" t="s">
        <v>99</v>
      </c>
      <c r="E195" s="255" t="s">
        <v>272</v>
      </c>
      <c r="F195" s="258">
        <v>10.45</v>
      </c>
      <c r="G195" s="450" t="s">
        <v>1315</v>
      </c>
      <c r="H195" s="252" t="s">
        <v>118</v>
      </c>
      <c r="I195" s="250" t="s">
        <v>949</v>
      </c>
      <c r="J195" s="255" t="s">
        <v>950</v>
      </c>
      <c r="K195" s="255" t="s">
        <v>951</v>
      </c>
      <c r="L195" s="250" t="s">
        <v>947</v>
      </c>
      <c r="M195" s="336" t="s">
        <v>114</v>
      </c>
      <c r="N195" s="278">
        <v>44384</v>
      </c>
      <c r="O195" s="329" t="s">
        <v>67</v>
      </c>
      <c r="P195" s="330">
        <f t="shared" si="7"/>
        <v>7</v>
      </c>
      <c r="Q195" s="330">
        <f t="shared" si="8"/>
        <v>7</v>
      </c>
      <c r="R195" s="331" t="str">
        <f t="shared" si="9"/>
        <v>Gastos_Gerais</v>
      </c>
      <c r="S195" s="331" t="str">
        <f>IF(D195="","",IF(OR(D195=Plano!$A$1,D195=Plano!$B$1),"entrada","saída"))</f>
        <v>saída</v>
      </c>
      <c r="T195" s="332" t="s">
        <v>114</v>
      </c>
      <c r="U195" s="332" t="s">
        <v>114</v>
      </c>
      <c r="V195" s="344"/>
      <c r="W195" s="269"/>
      <c r="X195" s="269"/>
      <c r="Y195" s="269"/>
      <c r="Z195" s="269"/>
      <c r="AA195" s="269"/>
      <c r="AB195" s="269"/>
      <c r="AC195" s="269"/>
      <c r="AD195" s="269"/>
      <c r="AE195" s="269"/>
      <c r="AF195" s="269"/>
      <c r="AG195" s="269"/>
      <c r="AH195" s="269"/>
      <c r="AI195" s="269"/>
      <c r="AJ195" s="269"/>
      <c r="AK195" s="269"/>
      <c r="AL195" s="269"/>
      <c r="AM195" s="269"/>
    </row>
    <row r="196" spans="1:39" ht="64.5" customHeight="1" x14ac:dyDescent="0.2">
      <c r="A196" s="277">
        <f>IF(B196="","",COUNT('Diário 5º PA'!$A$5:$A$2634)+COUNT('Diário 6º PA'!$A$5:$A$2246)+ROW()-4)</f>
        <v>2735</v>
      </c>
      <c r="B196" s="278">
        <v>44384</v>
      </c>
      <c r="C196" s="335">
        <v>44378</v>
      </c>
      <c r="D196" s="255" t="s">
        <v>99</v>
      </c>
      <c r="E196" s="255" t="s">
        <v>272</v>
      </c>
      <c r="F196" s="258">
        <v>10.45</v>
      </c>
      <c r="G196" s="450" t="s">
        <v>1316</v>
      </c>
      <c r="H196" s="252" t="s">
        <v>118</v>
      </c>
      <c r="I196" s="250" t="s">
        <v>949</v>
      </c>
      <c r="J196" s="255" t="s">
        <v>950</v>
      </c>
      <c r="K196" s="255" t="s">
        <v>951</v>
      </c>
      <c r="L196" s="250" t="s">
        <v>947</v>
      </c>
      <c r="M196" s="336" t="s">
        <v>114</v>
      </c>
      <c r="N196" s="278">
        <v>44384</v>
      </c>
      <c r="O196" s="329" t="s">
        <v>67</v>
      </c>
      <c r="P196" s="330">
        <f t="shared" si="7"/>
        <v>7</v>
      </c>
      <c r="Q196" s="330">
        <f t="shared" si="8"/>
        <v>7</v>
      </c>
      <c r="R196" s="331" t="str">
        <f t="shared" si="9"/>
        <v>Gastos_Gerais</v>
      </c>
      <c r="S196" s="331" t="str">
        <f>IF(D196="","",IF(OR(D196=Plano!$A$1,D196=Plano!$B$1),"entrada","saída"))</f>
        <v>saída</v>
      </c>
      <c r="T196" s="332" t="s">
        <v>114</v>
      </c>
      <c r="U196" s="332" t="s">
        <v>114</v>
      </c>
      <c r="V196" s="344"/>
      <c r="W196" s="269"/>
      <c r="X196" s="269"/>
      <c r="Y196" s="269"/>
      <c r="Z196" s="269"/>
      <c r="AA196" s="269"/>
      <c r="AB196" s="269"/>
      <c r="AC196" s="269"/>
      <c r="AD196" s="269"/>
      <c r="AE196" s="269"/>
      <c r="AF196" s="269"/>
      <c r="AG196" s="269"/>
      <c r="AH196" s="269"/>
      <c r="AI196" s="269"/>
      <c r="AJ196" s="269"/>
      <c r="AK196" s="269"/>
      <c r="AL196" s="269"/>
      <c r="AM196" s="269"/>
    </row>
    <row r="197" spans="1:39" ht="72" customHeight="1" x14ac:dyDescent="0.2">
      <c r="A197" s="277">
        <f>IF(B197="","",COUNT('Diário 5º PA'!$A$5:$A$2634)+COUNT('Diário 6º PA'!$A$5:$A$2246)+ROW()-4)</f>
        <v>2736</v>
      </c>
      <c r="B197" s="278">
        <v>44384</v>
      </c>
      <c r="C197" s="335">
        <v>44378</v>
      </c>
      <c r="D197" s="255" t="s">
        <v>99</v>
      </c>
      <c r="E197" s="255" t="s">
        <v>272</v>
      </c>
      <c r="F197" s="258">
        <v>10.45</v>
      </c>
      <c r="G197" s="450" t="s">
        <v>1317</v>
      </c>
      <c r="H197" s="252" t="s">
        <v>118</v>
      </c>
      <c r="I197" s="250" t="s">
        <v>949</v>
      </c>
      <c r="J197" s="255" t="s">
        <v>950</v>
      </c>
      <c r="K197" s="255" t="s">
        <v>951</v>
      </c>
      <c r="L197" s="250" t="s">
        <v>947</v>
      </c>
      <c r="M197" s="336" t="s">
        <v>114</v>
      </c>
      <c r="N197" s="278">
        <v>44384</v>
      </c>
      <c r="O197" s="329" t="s">
        <v>67</v>
      </c>
      <c r="P197" s="330">
        <f t="shared" si="7"/>
        <v>7</v>
      </c>
      <c r="Q197" s="330">
        <f t="shared" si="8"/>
        <v>7</v>
      </c>
      <c r="R197" s="331" t="str">
        <f t="shared" si="9"/>
        <v>Gastos_Gerais</v>
      </c>
      <c r="S197" s="331" t="str">
        <f>IF(D197="","",IF(OR(D197=Plano!$A$1,D197=Plano!$B$1),"entrada","saída"))</f>
        <v>saída</v>
      </c>
      <c r="T197" s="332" t="s">
        <v>114</v>
      </c>
      <c r="U197" s="332" t="s">
        <v>114</v>
      </c>
      <c r="V197" s="344"/>
      <c r="W197" s="269"/>
      <c r="X197" s="269"/>
      <c r="Y197" s="269"/>
      <c r="Z197" s="269"/>
      <c r="AA197" s="269"/>
      <c r="AB197" s="269"/>
      <c r="AC197" s="269"/>
      <c r="AD197" s="269"/>
      <c r="AE197" s="269"/>
      <c r="AF197" s="269"/>
      <c r="AG197" s="269"/>
      <c r="AH197" s="269"/>
      <c r="AI197" s="269"/>
      <c r="AJ197" s="269"/>
      <c r="AK197" s="269"/>
      <c r="AL197" s="269"/>
      <c r="AM197" s="269"/>
    </row>
    <row r="198" spans="1:39" ht="53.25" customHeight="1" x14ac:dyDescent="0.2">
      <c r="A198" s="277">
        <f>IF(B198="","",COUNT('Diário 5º PA'!$A$5:$A$2634)+COUNT('Diário 6º PA'!$A$5:$A$2246)+ROW()-4)</f>
        <v>2737</v>
      </c>
      <c r="B198" s="278">
        <v>44384</v>
      </c>
      <c r="C198" s="335">
        <v>44378</v>
      </c>
      <c r="D198" s="255" t="s">
        <v>99</v>
      </c>
      <c r="E198" s="255" t="s">
        <v>272</v>
      </c>
      <c r="F198" s="258">
        <v>10.45</v>
      </c>
      <c r="G198" s="450" t="s">
        <v>1318</v>
      </c>
      <c r="H198" s="252" t="s">
        <v>118</v>
      </c>
      <c r="I198" s="250" t="s">
        <v>949</v>
      </c>
      <c r="J198" s="255" t="s">
        <v>950</v>
      </c>
      <c r="K198" s="255" t="s">
        <v>951</v>
      </c>
      <c r="L198" s="250" t="s">
        <v>947</v>
      </c>
      <c r="M198" s="336" t="s">
        <v>114</v>
      </c>
      <c r="N198" s="278">
        <v>44384</v>
      </c>
      <c r="O198" s="329" t="s">
        <v>67</v>
      </c>
      <c r="P198" s="330">
        <f t="shared" ref="P198:P261" si="10">IF(B198=0,0,IF(YEAR(B198)=$Q$1,MONTH(B198)-$P$1+1,(YEAR(B198)-$Q$1)*12-$P$1+1+MONTH(B198)))</f>
        <v>7</v>
      </c>
      <c r="Q198" s="330">
        <f t="shared" ref="Q198:Q261" si="11">IF(C198=0,0,IF(YEAR(C198)=$Q$1,MONTH(C198)-$P$1+1,(YEAR(C198)-$Q$1)*12-$P$1+1+MONTH(C198)))</f>
        <v>7</v>
      </c>
      <c r="R198" s="331" t="str">
        <f t="shared" ref="R198:R261" si="12">SUBSTITUTE(D198," ","_")</f>
        <v>Gastos_Gerais</v>
      </c>
      <c r="S198" s="331" t="str">
        <f>IF(D198="","",IF(OR(D198=Plano!$A$1,D198=Plano!$B$1),"entrada","saída"))</f>
        <v>saída</v>
      </c>
      <c r="T198" s="332" t="s">
        <v>114</v>
      </c>
      <c r="U198" s="332" t="s">
        <v>114</v>
      </c>
      <c r="V198" s="344"/>
      <c r="W198" s="269"/>
      <c r="X198" s="269"/>
      <c r="Y198" s="269"/>
      <c r="Z198" s="269"/>
      <c r="AA198" s="269"/>
      <c r="AB198" s="269"/>
      <c r="AC198" s="269"/>
      <c r="AD198" s="269"/>
      <c r="AE198" s="269"/>
      <c r="AF198" s="269"/>
      <c r="AG198" s="269"/>
      <c r="AH198" s="269"/>
      <c r="AI198" s="269"/>
      <c r="AJ198" s="269"/>
      <c r="AK198" s="269"/>
      <c r="AL198" s="269"/>
      <c r="AM198" s="269"/>
    </row>
    <row r="199" spans="1:39" ht="50.25" customHeight="1" x14ac:dyDescent="0.2">
      <c r="A199" s="277">
        <f>IF(B199="","",COUNT('Diário 5º PA'!$A$5:$A$2634)+COUNT('Diário 6º PA'!$A$5:$A$2246)+ROW()-4)</f>
        <v>2738</v>
      </c>
      <c r="B199" s="278">
        <v>44384</v>
      </c>
      <c r="C199" s="335">
        <v>44378</v>
      </c>
      <c r="D199" s="255" t="s">
        <v>99</v>
      </c>
      <c r="E199" s="255" t="s">
        <v>272</v>
      </c>
      <c r="F199" s="258">
        <v>10.45</v>
      </c>
      <c r="G199" s="450" t="s">
        <v>1319</v>
      </c>
      <c r="H199" s="252" t="s">
        <v>118</v>
      </c>
      <c r="I199" s="250" t="s">
        <v>949</v>
      </c>
      <c r="J199" s="255" t="s">
        <v>950</v>
      </c>
      <c r="K199" s="255" t="s">
        <v>951</v>
      </c>
      <c r="L199" s="250" t="s">
        <v>947</v>
      </c>
      <c r="M199" s="336" t="s">
        <v>114</v>
      </c>
      <c r="N199" s="278">
        <v>44384</v>
      </c>
      <c r="O199" s="329" t="s">
        <v>67</v>
      </c>
      <c r="P199" s="330">
        <f t="shared" si="10"/>
        <v>7</v>
      </c>
      <c r="Q199" s="330">
        <f t="shared" si="11"/>
        <v>7</v>
      </c>
      <c r="R199" s="331" t="str">
        <f t="shared" si="12"/>
        <v>Gastos_Gerais</v>
      </c>
      <c r="S199" s="331" t="str">
        <f>IF(D199="","",IF(OR(D199=Plano!$A$1,D199=Plano!$B$1),"entrada","saída"))</f>
        <v>saída</v>
      </c>
      <c r="T199" s="332" t="s">
        <v>114</v>
      </c>
      <c r="U199" s="332" t="s">
        <v>114</v>
      </c>
      <c r="V199" s="344"/>
      <c r="W199" s="269"/>
      <c r="X199" s="269"/>
      <c r="Y199" s="269"/>
      <c r="Z199" s="269"/>
      <c r="AA199" s="269"/>
      <c r="AB199" s="269"/>
      <c r="AC199" s="269"/>
      <c r="AD199" s="269"/>
      <c r="AE199" s="269"/>
      <c r="AF199" s="269"/>
      <c r="AG199" s="269"/>
      <c r="AH199" s="269"/>
      <c r="AI199" s="269"/>
      <c r="AJ199" s="269"/>
      <c r="AK199" s="269"/>
      <c r="AL199" s="269"/>
      <c r="AM199" s="269"/>
    </row>
    <row r="200" spans="1:39" ht="45.75" customHeight="1" x14ac:dyDescent="0.2">
      <c r="A200" s="277">
        <f>IF(B200="","",COUNT('Diário 5º PA'!$A$5:$A$2634)+COUNT('Diário 6º PA'!$A$5:$A$2246)+ROW()-4)</f>
        <v>2739</v>
      </c>
      <c r="B200" s="278">
        <v>44384</v>
      </c>
      <c r="C200" s="335">
        <v>44378</v>
      </c>
      <c r="D200" s="255" t="s">
        <v>99</v>
      </c>
      <c r="E200" s="255" t="s">
        <v>272</v>
      </c>
      <c r="F200" s="258">
        <v>10.45</v>
      </c>
      <c r="G200" s="450" t="s">
        <v>1320</v>
      </c>
      <c r="H200" s="255" t="s">
        <v>129</v>
      </c>
      <c r="I200" s="250" t="s">
        <v>949</v>
      </c>
      <c r="J200" s="255" t="s">
        <v>950</v>
      </c>
      <c r="K200" s="255" t="s">
        <v>951</v>
      </c>
      <c r="L200" s="250" t="s">
        <v>947</v>
      </c>
      <c r="M200" s="336" t="s">
        <v>114</v>
      </c>
      <c r="N200" s="278">
        <v>44384</v>
      </c>
      <c r="O200" s="329" t="s">
        <v>67</v>
      </c>
      <c r="P200" s="330">
        <f t="shared" si="10"/>
        <v>7</v>
      </c>
      <c r="Q200" s="330">
        <f t="shared" si="11"/>
        <v>7</v>
      </c>
      <c r="R200" s="331" t="str">
        <f t="shared" si="12"/>
        <v>Gastos_Gerais</v>
      </c>
      <c r="S200" s="331" t="str">
        <f>IF(D200="","",IF(OR(D200=Plano!$A$1,D200=Plano!$B$1),"entrada","saída"))</f>
        <v>saída</v>
      </c>
      <c r="T200" s="332" t="s">
        <v>114</v>
      </c>
      <c r="U200" s="332" t="s">
        <v>114</v>
      </c>
      <c r="V200" s="344"/>
      <c r="W200" s="269"/>
      <c r="X200" s="269"/>
      <c r="Y200" s="269"/>
      <c r="Z200" s="269"/>
      <c r="AA200" s="269"/>
      <c r="AB200" s="269"/>
      <c r="AC200" s="269"/>
      <c r="AD200" s="269"/>
      <c r="AE200" s="269"/>
      <c r="AF200" s="269"/>
      <c r="AG200" s="269"/>
      <c r="AH200" s="269"/>
      <c r="AI200" s="269"/>
      <c r="AJ200" s="269"/>
      <c r="AK200" s="269"/>
      <c r="AL200" s="269"/>
      <c r="AM200" s="269"/>
    </row>
    <row r="201" spans="1:39" ht="42" customHeight="1" x14ac:dyDescent="0.2">
      <c r="A201" s="277">
        <f>IF(B201="","",COUNT('Diário 5º PA'!$A$5:$A$2634)+COUNT('Diário 6º PA'!$A$5:$A$2246)+ROW()-4)</f>
        <v>2740</v>
      </c>
      <c r="B201" s="278">
        <v>44384</v>
      </c>
      <c r="C201" s="335">
        <v>44378</v>
      </c>
      <c r="D201" s="255" t="s">
        <v>99</v>
      </c>
      <c r="E201" s="255" t="s">
        <v>272</v>
      </c>
      <c r="F201" s="258">
        <v>10.45</v>
      </c>
      <c r="G201" s="450" t="s">
        <v>1321</v>
      </c>
      <c r="H201" s="252" t="s">
        <v>116</v>
      </c>
      <c r="I201" s="250" t="s">
        <v>949</v>
      </c>
      <c r="J201" s="255" t="s">
        <v>950</v>
      </c>
      <c r="K201" s="255" t="s">
        <v>951</v>
      </c>
      <c r="L201" s="250" t="s">
        <v>947</v>
      </c>
      <c r="M201" s="336" t="s">
        <v>114</v>
      </c>
      <c r="N201" s="278">
        <v>44384</v>
      </c>
      <c r="O201" s="329" t="s">
        <v>67</v>
      </c>
      <c r="P201" s="330">
        <f t="shared" si="10"/>
        <v>7</v>
      </c>
      <c r="Q201" s="330">
        <f t="shared" si="11"/>
        <v>7</v>
      </c>
      <c r="R201" s="331" t="str">
        <f t="shared" si="12"/>
        <v>Gastos_Gerais</v>
      </c>
      <c r="S201" s="331" t="str">
        <f>IF(D201="","",IF(OR(D201=Plano!$A$1,D201=Plano!$B$1),"entrada","saída"))</f>
        <v>saída</v>
      </c>
      <c r="T201" s="332" t="s">
        <v>114</v>
      </c>
      <c r="U201" s="332" t="s">
        <v>114</v>
      </c>
      <c r="V201" s="344"/>
      <c r="W201" s="269"/>
      <c r="X201" s="269"/>
      <c r="Y201" s="269"/>
      <c r="Z201" s="269"/>
      <c r="AA201" s="269"/>
      <c r="AB201" s="269"/>
      <c r="AC201" s="269"/>
      <c r="AD201" s="269"/>
      <c r="AE201" s="269"/>
      <c r="AF201" s="269"/>
      <c r="AG201" s="269"/>
      <c r="AH201" s="269"/>
      <c r="AI201" s="269"/>
      <c r="AJ201" s="269"/>
      <c r="AK201" s="269"/>
      <c r="AL201" s="269"/>
      <c r="AM201" s="269"/>
    </row>
    <row r="202" spans="1:39" ht="43.5" customHeight="1" x14ac:dyDescent="0.2">
      <c r="A202" s="277">
        <f>IF(B202="","",COUNT('Diário 5º PA'!$A$5:$A$2634)+COUNT('Diário 6º PA'!$A$5:$A$2246)+ROW()-4)</f>
        <v>2741</v>
      </c>
      <c r="B202" s="278">
        <v>44384</v>
      </c>
      <c r="C202" s="335">
        <v>44378</v>
      </c>
      <c r="D202" s="255" t="s">
        <v>99</v>
      </c>
      <c r="E202" s="255" t="s">
        <v>272</v>
      </c>
      <c r="F202" s="258">
        <v>10.45</v>
      </c>
      <c r="G202" s="450" t="s">
        <v>1322</v>
      </c>
      <c r="H202" s="252" t="s">
        <v>118</v>
      </c>
      <c r="I202" s="250" t="s">
        <v>949</v>
      </c>
      <c r="J202" s="255" t="s">
        <v>950</v>
      </c>
      <c r="K202" s="255" t="s">
        <v>951</v>
      </c>
      <c r="L202" s="250" t="s">
        <v>947</v>
      </c>
      <c r="M202" s="336" t="s">
        <v>114</v>
      </c>
      <c r="N202" s="278">
        <v>44384</v>
      </c>
      <c r="O202" s="329" t="s">
        <v>67</v>
      </c>
      <c r="P202" s="330">
        <f t="shared" si="10"/>
        <v>7</v>
      </c>
      <c r="Q202" s="330">
        <f t="shared" si="11"/>
        <v>7</v>
      </c>
      <c r="R202" s="331" t="str">
        <f t="shared" si="12"/>
        <v>Gastos_Gerais</v>
      </c>
      <c r="S202" s="331" t="str">
        <f>IF(D202="","",IF(OR(D202=Plano!$A$1,D202=Plano!$B$1),"entrada","saída"))</f>
        <v>saída</v>
      </c>
      <c r="T202" s="332" t="s">
        <v>114</v>
      </c>
      <c r="U202" s="332" t="s">
        <v>114</v>
      </c>
      <c r="V202" s="344"/>
      <c r="W202" s="269"/>
      <c r="X202" s="269"/>
      <c r="Y202" s="269"/>
      <c r="Z202" s="269"/>
      <c r="AA202" s="269"/>
      <c r="AB202" s="269"/>
      <c r="AC202" s="269"/>
      <c r="AD202" s="269"/>
      <c r="AE202" s="269"/>
      <c r="AF202" s="269"/>
      <c r="AG202" s="269"/>
      <c r="AH202" s="269"/>
      <c r="AI202" s="269"/>
      <c r="AJ202" s="269"/>
      <c r="AK202" s="269"/>
      <c r="AL202" s="269"/>
      <c r="AM202" s="269"/>
    </row>
    <row r="203" spans="1:39" ht="45.75" customHeight="1" x14ac:dyDescent="0.2">
      <c r="A203" s="277">
        <f>IF(B203="","",COUNT('Diário 5º PA'!$A$5:$A$2634)+COUNT('Diário 6º PA'!$A$5:$A$2246)+ROW()-4)</f>
        <v>2742</v>
      </c>
      <c r="B203" s="278">
        <v>44384</v>
      </c>
      <c r="C203" s="335">
        <v>44378</v>
      </c>
      <c r="D203" s="255" t="s">
        <v>99</v>
      </c>
      <c r="E203" s="255" t="s">
        <v>272</v>
      </c>
      <c r="F203" s="258">
        <v>10.45</v>
      </c>
      <c r="G203" s="450" t="s">
        <v>1323</v>
      </c>
      <c r="H203" s="252" t="s">
        <v>124</v>
      </c>
      <c r="I203" s="250" t="s">
        <v>949</v>
      </c>
      <c r="J203" s="255" t="s">
        <v>950</v>
      </c>
      <c r="K203" s="255" t="s">
        <v>951</v>
      </c>
      <c r="L203" s="250" t="s">
        <v>947</v>
      </c>
      <c r="M203" s="336" t="s">
        <v>114</v>
      </c>
      <c r="N203" s="278">
        <v>44384</v>
      </c>
      <c r="O203" s="329" t="s">
        <v>67</v>
      </c>
      <c r="P203" s="330">
        <f t="shared" si="10"/>
        <v>7</v>
      </c>
      <c r="Q203" s="330">
        <f t="shared" si="11"/>
        <v>7</v>
      </c>
      <c r="R203" s="331" t="str">
        <f t="shared" si="12"/>
        <v>Gastos_Gerais</v>
      </c>
      <c r="S203" s="331" t="str">
        <f>IF(D203="","",IF(OR(D203=Plano!$A$1,D203=Plano!$B$1),"entrada","saída"))</f>
        <v>saída</v>
      </c>
      <c r="T203" s="332" t="s">
        <v>114</v>
      </c>
      <c r="U203" s="332" t="s">
        <v>114</v>
      </c>
      <c r="V203" s="344"/>
      <c r="W203" s="269"/>
      <c r="X203" s="269"/>
      <c r="Y203" s="269"/>
      <c r="Z203" s="269"/>
      <c r="AA203" s="269"/>
      <c r="AB203" s="269"/>
      <c r="AC203" s="269"/>
      <c r="AD203" s="269"/>
      <c r="AE203" s="269"/>
      <c r="AF203" s="269"/>
      <c r="AG203" s="269"/>
      <c r="AH203" s="269"/>
      <c r="AI203" s="269"/>
      <c r="AJ203" s="269"/>
      <c r="AK203" s="269"/>
      <c r="AL203" s="269"/>
      <c r="AM203" s="269"/>
    </row>
    <row r="204" spans="1:39" ht="64.5" customHeight="1" x14ac:dyDescent="0.2">
      <c r="A204" s="277">
        <f>IF(B204="","",COUNT('Diário 5º PA'!$A$5:$A$2634)+COUNT('Diário 6º PA'!$A$5:$A$2246)+ROW()-4)</f>
        <v>2743</v>
      </c>
      <c r="B204" s="278">
        <v>44384</v>
      </c>
      <c r="C204" s="335">
        <v>44378</v>
      </c>
      <c r="D204" s="255" t="s">
        <v>99</v>
      </c>
      <c r="E204" s="255" t="s">
        <v>272</v>
      </c>
      <c r="F204" s="258">
        <v>10.45</v>
      </c>
      <c r="G204" s="450" t="s">
        <v>1324</v>
      </c>
      <c r="H204" s="255" t="s">
        <v>124</v>
      </c>
      <c r="I204" s="250" t="s">
        <v>949</v>
      </c>
      <c r="J204" s="255" t="s">
        <v>950</v>
      </c>
      <c r="K204" s="255" t="s">
        <v>951</v>
      </c>
      <c r="L204" s="250" t="s">
        <v>947</v>
      </c>
      <c r="M204" s="336" t="s">
        <v>114</v>
      </c>
      <c r="N204" s="278">
        <v>44384</v>
      </c>
      <c r="O204" s="329" t="s">
        <v>67</v>
      </c>
      <c r="P204" s="330">
        <f t="shared" si="10"/>
        <v>7</v>
      </c>
      <c r="Q204" s="330">
        <f t="shared" si="11"/>
        <v>7</v>
      </c>
      <c r="R204" s="331" t="str">
        <f t="shared" si="12"/>
        <v>Gastos_Gerais</v>
      </c>
      <c r="S204" s="331" t="str">
        <f>IF(D204="","",IF(OR(D204=Plano!$A$1,D204=Plano!$B$1),"entrada","saída"))</f>
        <v>saída</v>
      </c>
      <c r="T204" s="332" t="s">
        <v>114</v>
      </c>
      <c r="U204" s="332" t="s">
        <v>114</v>
      </c>
      <c r="V204" s="344"/>
      <c r="W204" s="269"/>
      <c r="X204" s="269"/>
      <c r="Y204" s="269"/>
      <c r="Z204" s="269"/>
      <c r="AA204" s="269"/>
      <c r="AB204" s="269"/>
      <c r="AC204" s="269"/>
      <c r="AD204" s="269"/>
      <c r="AE204" s="269"/>
      <c r="AF204" s="269"/>
      <c r="AG204" s="269"/>
      <c r="AH204" s="269"/>
      <c r="AI204" s="269"/>
      <c r="AJ204" s="269"/>
      <c r="AK204" s="269"/>
      <c r="AL204" s="269"/>
      <c r="AM204" s="269"/>
    </row>
    <row r="205" spans="1:39" ht="54.75" customHeight="1" x14ac:dyDescent="0.2">
      <c r="A205" s="277">
        <f>IF(B205="","",COUNT('Diário 5º PA'!$A$5:$A$2634)+COUNT('Diário 6º PA'!$A$5:$A$2246)+ROW()-4)</f>
        <v>2744</v>
      </c>
      <c r="B205" s="278">
        <v>44384</v>
      </c>
      <c r="C205" s="335">
        <v>44378</v>
      </c>
      <c r="D205" s="255" t="s">
        <v>99</v>
      </c>
      <c r="E205" s="255" t="s">
        <v>272</v>
      </c>
      <c r="F205" s="258">
        <v>10.45</v>
      </c>
      <c r="G205" s="450" t="s">
        <v>1325</v>
      </c>
      <c r="H205" s="252" t="s">
        <v>131</v>
      </c>
      <c r="I205" s="250" t="s">
        <v>949</v>
      </c>
      <c r="J205" s="255" t="s">
        <v>950</v>
      </c>
      <c r="K205" s="255" t="s">
        <v>951</v>
      </c>
      <c r="L205" s="250" t="s">
        <v>947</v>
      </c>
      <c r="M205" s="336" t="s">
        <v>114</v>
      </c>
      <c r="N205" s="278">
        <v>44384</v>
      </c>
      <c r="O205" s="329" t="s">
        <v>67</v>
      </c>
      <c r="P205" s="330">
        <f t="shared" si="10"/>
        <v>7</v>
      </c>
      <c r="Q205" s="330">
        <f t="shared" si="11"/>
        <v>7</v>
      </c>
      <c r="R205" s="331" t="str">
        <f t="shared" si="12"/>
        <v>Gastos_Gerais</v>
      </c>
      <c r="S205" s="331" t="str">
        <f>IF(D205="","",IF(OR(D205=Plano!$A$1,D205=Plano!$B$1),"entrada","saída"))</f>
        <v>saída</v>
      </c>
      <c r="T205" s="332" t="s">
        <v>114</v>
      </c>
      <c r="U205" s="332" t="s">
        <v>114</v>
      </c>
      <c r="V205" s="344"/>
      <c r="W205" s="269"/>
      <c r="X205" s="269"/>
      <c r="Y205" s="269"/>
      <c r="Z205" s="269"/>
      <c r="AA205" s="269"/>
      <c r="AB205" s="269"/>
      <c r="AC205" s="269"/>
      <c r="AD205" s="269"/>
      <c r="AE205" s="269"/>
      <c r="AF205" s="269"/>
      <c r="AG205" s="269"/>
      <c r="AH205" s="269"/>
      <c r="AI205" s="269"/>
      <c r="AJ205" s="269"/>
      <c r="AK205" s="269"/>
      <c r="AL205" s="269"/>
      <c r="AM205" s="269"/>
    </row>
    <row r="206" spans="1:39" ht="50.25" customHeight="1" x14ac:dyDescent="0.2">
      <c r="A206" s="277">
        <f>IF(B206="","",COUNT('Diário 5º PA'!$A$5:$A$2634)+COUNT('Diário 6º PA'!$A$5:$A$2246)+ROW()-4)</f>
        <v>2745</v>
      </c>
      <c r="B206" s="278">
        <v>44384</v>
      </c>
      <c r="C206" s="335">
        <v>44378</v>
      </c>
      <c r="D206" s="255" t="s">
        <v>99</v>
      </c>
      <c r="E206" s="255" t="s">
        <v>272</v>
      </c>
      <c r="F206" s="258">
        <v>10.45</v>
      </c>
      <c r="G206" s="450" t="s">
        <v>1326</v>
      </c>
      <c r="H206" s="252" t="s">
        <v>132</v>
      </c>
      <c r="I206" s="250" t="s">
        <v>949</v>
      </c>
      <c r="J206" s="255" t="s">
        <v>950</v>
      </c>
      <c r="K206" s="255" t="s">
        <v>951</v>
      </c>
      <c r="L206" s="250" t="s">
        <v>947</v>
      </c>
      <c r="M206" s="336" t="s">
        <v>114</v>
      </c>
      <c r="N206" s="278">
        <v>44384</v>
      </c>
      <c r="O206" s="329" t="s">
        <v>67</v>
      </c>
      <c r="P206" s="330">
        <f t="shared" si="10"/>
        <v>7</v>
      </c>
      <c r="Q206" s="330">
        <f t="shared" si="11"/>
        <v>7</v>
      </c>
      <c r="R206" s="331" t="str">
        <f t="shared" si="12"/>
        <v>Gastos_Gerais</v>
      </c>
      <c r="S206" s="331" t="str">
        <f>IF(D206="","",IF(OR(D206=Plano!$A$1,D206=Plano!$B$1),"entrada","saída"))</f>
        <v>saída</v>
      </c>
      <c r="T206" s="332" t="s">
        <v>114</v>
      </c>
      <c r="U206" s="332" t="s">
        <v>114</v>
      </c>
      <c r="V206" s="344"/>
      <c r="W206" s="269"/>
      <c r="X206" s="269"/>
      <c r="Y206" s="269"/>
      <c r="Z206" s="269"/>
      <c r="AA206" s="269"/>
      <c r="AB206" s="269"/>
      <c r="AC206" s="269"/>
      <c r="AD206" s="269"/>
      <c r="AE206" s="269"/>
      <c r="AF206" s="269"/>
      <c r="AG206" s="269"/>
      <c r="AH206" s="269"/>
      <c r="AI206" s="269"/>
      <c r="AJ206" s="269"/>
      <c r="AK206" s="269"/>
      <c r="AL206" s="269"/>
      <c r="AM206" s="269"/>
    </row>
    <row r="207" spans="1:39" ht="45" customHeight="1" x14ac:dyDescent="0.2">
      <c r="A207" s="277">
        <f>IF(B207="","",COUNT('Diário 5º PA'!$A$5:$A$2634)+COUNT('Diário 6º PA'!$A$5:$A$2246)+ROW()-4)</f>
        <v>2746</v>
      </c>
      <c r="B207" s="278">
        <v>44384</v>
      </c>
      <c r="C207" s="335">
        <v>44378</v>
      </c>
      <c r="D207" s="255" t="s">
        <v>99</v>
      </c>
      <c r="E207" s="255" t="s">
        <v>272</v>
      </c>
      <c r="F207" s="258">
        <v>10.45</v>
      </c>
      <c r="G207" s="450" t="s">
        <v>1327</v>
      </c>
      <c r="H207" s="252" t="s">
        <v>116</v>
      </c>
      <c r="I207" s="250" t="s">
        <v>949</v>
      </c>
      <c r="J207" s="255" t="s">
        <v>950</v>
      </c>
      <c r="K207" s="255" t="s">
        <v>951</v>
      </c>
      <c r="L207" s="250" t="s">
        <v>947</v>
      </c>
      <c r="M207" s="336" t="s">
        <v>114</v>
      </c>
      <c r="N207" s="278">
        <v>44384</v>
      </c>
      <c r="O207" s="329" t="s">
        <v>67</v>
      </c>
      <c r="P207" s="330">
        <f t="shared" si="10"/>
        <v>7</v>
      </c>
      <c r="Q207" s="330">
        <f t="shared" si="11"/>
        <v>7</v>
      </c>
      <c r="R207" s="331" t="str">
        <f t="shared" si="12"/>
        <v>Gastos_Gerais</v>
      </c>
      <c r="S207" s="331" t="str">
        <f>IF(D207="","",IF(OR(D207=Plano!$A$1,D207=Plano!$B$1),"entrada","saída"))</f>
        <v>saída</v>
      </c>
      <c r="T207" s="332" t="s">
        <v>114</v>
      </c>
      <c r="U207" s="332" t="s">
        <v>114</v>
      </c>
      <c r="V207" s="344"/>
      <c r="W207" s="269"/>
      <c r="X207" s="269"/>
      <c r="Y207" s="269"/>
      <c r="Z207" s="269"/>
      <c r="AA207" s="269"/>
      <c r="AB207" s="269"/>
      <c r="AC207" s="269"/>
      <c r="AD207" s="269"/>
      <c r="AE207" s="269"/>
      <c r="AF207" s="269"/>
      <c r="AG207" s="269"/>
      <c r="AH207" s="269"/>
      <c r="AI207" s="269"/>
      <c r="AJ207" s="269"/>
      <c r="AK207" s="269"/>
      <c r="AL207" s="269"/>
      <c r="AM207" s="269"/>
    </row>
    <row r="208" spans="1:39" ht="135.75" customHeight="1" x14ac:dyDescent="0.2">
      <c r="A208" s="277">
        <f>IF(B208="","",COUNT('Diário 5º PA'!$A$5:$A$2634)+COUNT('Diário 6º PA'!$A$5:$A$2246)+ROW()-4)</f>
        <v>2747</v>
      </c>
      <c r="B208" s="278">
        <v>44384</v>
      </c>
      <c r="C208" s="259">
        <v>44348</v>
      </c>
      <c r="D208" s="252" t="s">
        <v>99</v>
      </c>
      <c r="E208" s="252" t="s">
        <v>352</v>
      </c>
      <c r="F208" s="257">
        <v>2694.72</v>
      </c>
      <c r="G208" s="451" t="s">
        <v>579</v>
      </c>
      <c r="H208" s="252" t="s">
        <v>132</v>
      </c>
      <c r="I208" s="252" t="s">
        <v>1328</v>
      </c>
      <c r="J208" s="250" t="s">
        <v>581</v>
      </c>
      <c r="K208" s="255" t="s">
        <v>991</v>
      </c>
      <c r="L208" s="250" t="s">
        <v>992</v>
      </c>
      <c r="M208" s="277" t="s">
        <v>1329</v>
      </c>
      <c r="N208" s="278">
        <v>44384</v>
      </c>
      <c r="O208" s="329" t="s">
        <v>67</v>
      </c>
      <c r="P208" s="330">
        <f t="shared" si="10"/>
        <v>7</v>
      </c>
      <c r="Q208" s="330">
        <f t="shared" si="11"/>
        <v>6</v>
      </c>
      <c r="R208" s="331" t="str">
        <f t="shared" si="12"/>
        <v>Gastos_Gerais</v>
      </c>
      <c r="S208" s="331" t="str">
        <f>IF(D208="","",IF(OR(D208=Plano!$A$1,D208=Plano!$B$1),"entrada","saída"))</f>
        <v>saída</v>
      </c>
      <c r="T208" s="334" t="s">
        <v>1059</v>
      </c>
      <c r="U208" s="334">
        <v>1338</v>
      </c>
      <c r="V208" s="344"/>
      <c r="W208" s="269"/>
      <c r="X208" s="269"/>
      <c r="Y208" s="269"/>
      <c r="Z208" s="269"/>
      <c r="AA208" s="269"/>
      <c r="AB208" s="269"/>
      <c r="AC208" s="269"/>
      <c r="AD208" s="269"/>
      <c r="AE208" s="269"/>
      <c r="AF208" s="269"/>
      <c r="AG208" s="269"/>
      <c r="AH208" s="269"/>
      <c r="AI208" s="269"/>
      <c r="AJ208" s="269"/>
      <c r="AK208" s="269"/>
      <c r="AL208" s="269"/>
      <c r="AM208" s="269"/>
    </row>
    <row r="209" spans="1:39" ht="83.25" customHeight="1" x14ac:dyDescent="0.2">
      <c r="A209" s="277">
        <f>IF(B209="","",COUNT('Diário 5º PA'!$A$5:$A$2634)+COUNT('Diário 6º PA'!$A$5:$A$2246)+ROW()-4)</f>
        <v>2748</v>
      </c>
      <c r="B209" s="278">
        <v>44385</v>
      </c>
      <c r="C209" s="259">
        <v>44378</v>
      </c>
      <c r="D209" s="252" t="s">
        <v>99</v>
      </c>
      <c r="E209" s="252" t="s">
        <v>330</v>
      </c>
      <c r="F209" s="257">
        <v>280.74</v>
      </c>
      <c r="G209" s="451" t="s">
        <v>1216</v>
      </c>
      <c r="H209" s="252" t="s">
        <v>125</v>
      </c>
      <c r="I209" s="250" t="s">
        <v>1217</v>
      </c>
      <c r="J209" s="250" t="s">
        <v>1218</v>
      </c>
      <c r="K209" s="255" t="s">
        <v>991</v>
      </c>
      <c r="L209" s="250" t="s">
        <v>992</v>
      </c>
      <c r="M209" s="277" t="s">
        <v>1330</v>
      </c>
      <c r="N209" s="278">
        <v>44384</v>
      </c>
      <c r="O209" s="329" t="s">
        <v>67</v>
      </c>
      <c r="P209" s="330">
        <f t="shared" si="10"/>
        <v>7</v>
      </c>
      <c r="Q209" s="330">
        <f t="shared" si="11"/>
        <v>7</v>
      </c>
      <c r="R209" s="331" t="str">
        <f t="shared" si="12"/>
        <v>Gastos_Gerais</v>
      </c>
      <c r="S209" s="331" t="str">
        <f>IF(D209="","",IF(OR(D209=Plano!$A$1,D209=Plano!$B$1),"entrada","saída"))</f>
        <v>saída</v>
      </c>
      <c r="T209" s="334" t="s">
        <v>994</v>
      </c>
      <c r="U209" s="334">
        <v>1747</v>
      </c>
      <c r="V209" s="344"/>
      <c r="W209" s="269"/>
      <c r="X209" s="269"/>
      <c r="Y209" s="269"/>
      <c r="Z209" s="269"/>
      <c r="AA209" s="269"/>
      <c r="AB209" s="269"/>
      <c r="AC209" s="269"/>
      <c r="AD209" s="269"/>
      <c r="AE209" s="269"/>
      <c r="AF209" s="269"/>
      <c r="AG209" s="269"/>
      <c r="AH209" s="269"/>
      <c r="AI209" s="269"/>
      <c r="AJ209" s="269"/>
      <c r="AK209" s="269"/>
      <c r="AL209" s="269"/>
      <c r="AM209" s="269"/>
    </row>
    <row r="210" spans="1:39" ht="225.75" customHeight="1" x14ac:dyDescent="0.2">
      <c r="A210" s="277">
        <f>IF(B210="","",COUNT('Diário 5º PA'!$A$5:$A$2634)+COUNT('Diário 6º PA'!$A$5:$A$2246)+ROW()-4)</f>
        <v>2749</v>
      </c>
      <c r="B210" s="278">
        <v>44385</v>
      </c>
      <c r="C210" s="259">
        <v>44348</v>
      </c>
      <c r="D210" s="252" t="s">
        <v>99</v>
      </c>
      <c r="E210" s="252" t="s">
        <v>262</v>
      </c>
      <c r="F210" s="257">
        <v>2000</v>
      </c>
      <c r="G210" s="451" t="s">
        <v>462</v>
      </c>
      <c r="H210" s="252" t="s">
        <v>125</v>
      </c>
      <c r="I210" s="252" t="s">
        <v>1331</v>
      </c>
      <c r="J210" s="250" t="s">
        <v>464</v>
      </c>
      <c r="K210" s="255" t="s">
        <v>991</v>
      </c>
      <c r="L210" s="250" t="s">
        <v>992</v>
      </c>
      <c r="M210" s="277" t="s">
        <v>1296</v>
      </c>
      <c r="N210" s="278">
        <v>44383</v>
      </c>
      <c r="O210" s="329" t="s">
        <v>67</v>
      </c>
      <c r="P210" s="330">
        <f t="shared" si="10"/>
        <v>7</v>
      </c>
      <c r="Q210" s="330">
        <f t="shared" si="11"/>
        <v>6</v>
      </c>
      <c r="R210" s="331" t="str">
        <f t="shared" si="12"/>
        <v>Gastos_Gerais</v>
      </c>
      <c r="S210" s="331" t="str">
        <f>IF(D210="","",IF(OR(D210=Plano!$A$1,D210=Plano!$B$1),"entrada","saída"))</f>
        <v>saída</v>
      </c>
      <c r="T210" s="334" t="s">
        <v>1059</v>
      </c>
      <c r="U210" s="334">
        <v>1267</v>
      </c>
      <c r="V210" s="344"/>
      <c r="W210" s="269"/>
      <c r="X210" s="269"/>
      <c r="Y210" s="269"/>
      <c r="Z210" s="269"/>
      <c r="AA210" s="269"/>
      <c r="AB210" s="269"/>
      <c r="AC210" s="269"/>
      <c r="AD210" s="269"/>
      <c r="AE210" s="269"/>
      <c r="AF210" s="269"/>
      <c r="AG210" s="269"/>
      <c r="AH210" s="269"/>
      <c r="AI210" s="269"/>
      <c r="AJ210" s="269"/>
      <c r="AK210" s="269"/>
      <c r="AL210" s="269"/>
      <c r="AM210" s="269"/>
    </row>
    <row r="211" spans="1:39" ht="108" customHeight="1" x14ac:dyDescent="0.2">
      <c r="A211" s="277">
        <f>IF(B211="","",COUNT('Diário 5º PA'!$A$5:$A$2634)+COUNT('Diário 6º PA'!$A$5:$A$2246)+ROW()-4)</f>
        <v>2750</v>
      </c>
      <c r="B211" s="278">
        <v>44385</v>
      </c>
      <c r="C211" s="259">
        <v>44348</v>
      </c>
      <c r="D211" s="252" t="s">
        <v>99</v>
      </c>
      <c r="E211" s="252" t="s">
        <v>352</v>
      </c>
      <c r="F211" s="257">
        <v>2850</v>
      </c>
      <c r="G211" s="451" t="s">
        <v>564</v>
      </c>
      <c r="H211" s="252" t="s">
        <v>131</v>
      </c>
      <c r="I211" s="252" t="s">
        <v>1332</v>
      </c>
      <c r="J211" s="250" t="s">
        <v>565</v>
      </c>
      <c r="K211" s="255" t="s">
        <v>991</v>
      </c>
      <c r="L211" s="250" t="s">
        <v>992</v>
      </c>
      <c r="M211" s="277" t="s">
        <v>1049</v>
      </c>
      <c r="N211" s="278">
        <v>44385</v>
      </c>
      <c r="O211" s="329" t="s">
        <v>67</v>
      </c>
      <c r="P211" s="330">
        <f t="shared" si="10"/>
        <v>7</v>
      </c>
      <c r="Q211" s="330">
        <f t="shared" si="11"/>
        <v>6</v>
      </c>
      <c r="R211" s="331" t="str">
        <f t="shared" si="12"/>
        <v>Gastos_Gerais</v>
      </c>
      <c r="S211" s="331" t="str">
        <f>IF(D211="","",IF(OR(D211=Plano!$A$1,D211=Plano!$B$1),"entrada","saída"))</f>
        <v>saída</v>
      </c>
      <c r="T211" s="334" t="s">
        <v>1059</v>
      </c>
      <c r="U211" s="334">
        <v>1280</v>
      </c>
      <c r="V211" s="344"/>
      <c r="W211" s="269"/>
      <c r="X211" s="269"/>
      <c r="Y211" s="269"/>
      <c r="Z211" s="269"/>
      <c r="AA211" s="269"/>
      <c r="AB211" s="269"/>
      <c r="AC211" s="269"/>
      <c r="AD211" s="269"/>
      <c r="AE211" s="269"/>
      <c r="AF211" s="269"/>
      <c r="AG211" s="269"/>
      <c r="AH211" s="269"/>
      <c r="AI211" s="269"/>
      <c r="AJ211" s="269"/>
      <c r="AK211" s="269"/>
      <c r="AL211" s="269"/>
      <c r="AM211" s="269"/>
    </row>
    <row r="212" spans="1:39" ht="232.5" customHeight="1" x14ac:dyDescent="0.2">
      <c r="A212" s="277">
        <f>IF(B212="","",COUNT('Diário 5º PA'!$A$5:$A$2634)+COUNT('Diário 6º PA'!$A$5:$A$2246)+ROW()-4)</f>
        <v>2751</v>
      </c>
      <c r="B212" s="278">
        <v>44385</v>
      </c>
      <c r="C212" s="259">
        <v>44317</v>
      </c>
      <c r="D212" s="252" t="s">
        <v>99</v>
      </c>
      <c r="E212" s="252" t="s">
        <v>358</v>
      </c>
      <c r="F212" s="257">
        <v>1200</v>
      </c>
      <c r="G212" s="451" t="s">
        <v>1333</v>
      </c>
      <c r="H212" s="252" t="s">
        <v>126</v>
      </c>
      <c r="I212" s="250" t="s">
        <v>1334</v>
      </c>
      <c r="J212" s="250" t="s">
        <v>1335</v>
      </c>
      <c r="K212" s="255" t="s">
        <v>991</v>
      </c>
      <c r="L212" s="250" t="s">
        <v>992</v>
      </c>
      <c r="M212" s="277" t="s">
        <v>1336</v>
      </c>
      <c r="N212" s="278">
        <v>44385</v>
      </c>
      <c r="O212" s="329" t="s">
        <v>67</v>
      </c>
      <c r="P212" s="330">
        <f t="shared" si="10"/>
        <v>7</v>
      </c>
      <c r="Q212" s="330">
        <f t="shared" si="11"/>
        <v>5</v>
      </c>
      <c r="R212" s="331" t="str">
        <f t="shared" si="12"/>
        <v>Gastos_Gerais</v>
      </c>
      <c r="S212" s="331" t="str">
        <f>IF(D212="","",IF(OR(D212=Plano!$A$1,D212=Plano!$B$1),"entrada","saída"))</f>
        <v>saída</v>
      </c>
      <c r="T212" s="334" t="s">
        <v>994</v>
      </c>
      <c r="U212" s="334">
        <v>1587</v>
      </c>
      <c r="V212" s="344"/>
      <c r="W212" s="269"/>
      <c r="X212" s="269"/>
      <c r="Y212" s="269"/>
      <c r="Z212" s="269"/>
      <c r="AA212" s="269"/>
      <c r="AB212" s="269"/>
      <c r="AC212" s="269"/>
      <c r="AD212" s="269"/>
      <c r="AE212" s="269"/>
      <c r="AF212" s="269"/>
      <c r="AG212" s="269"/>
      <c r="AH212" s="269"/>
      <c r="AI212" s="269"/>
      <c r="AJ212" s="269"/>
      <c r="AK212" s="269"/>
      <c r="AL212" s="269"/>
      <c r="AM212" s="269"/>
    </row>
    <row r="213" spans="1:39" ht="168.75" customHeight="1" x14ac:dyDescent="0.2">
      <c r="A213" s="277">
        <f>IF(B213="","",COUNT('Diário 5º PA'!$A$5:$A$2634)+COUNT('Diário 6º PA'!$A$5:$A$2246)+ROW()-4)</f>
        <v>2752</v>
      </c>
      <c r="B213" s="278">
        <v>44385</v>
      </c>
      <c r="C213" s="256">
        <v>44136</v>
      </c>
      <c r="D213" s="255" t="s">
        <v>99</v>
      </c>
      <c r="E213" s="255" t="s">
        <v>224</v>
      </c>
      <c r="F213" s="257">
        <v>2009</v>
      </c>
      <c r="G213" s="450" t="s">
        <v>434</v>
      </c>
      <c r="H213" s="255" t="s">
        <v>123</v>
      </c>
      <c r="I213" s="252" t="s">
        <v>532</v>
      </c>
      <c r="J213" s="255" t="s">
        <v>1337</v>
      </c>
      <c r="K213" s="255" t="s">
        <v>560</v>
      </c>
      <c r="L213" s="252" t="s">
        <v>1016</v>
      </c>
      <c r="M213" s="347">
        <v>521317</v>
      </c>
      <c r="N213" s="348">
        <v>44387</v>
      </c>
      <c r="O213" s="329" t="s">
        <v>67</v>
      </c>
      <c r="P213" s="330">
        <f t="shared" si="10"/>
        <v>7</v>
      </c>
      <c r="Q213" s="330">
        <f t="shared" si="11"/>
        <v>-1</v>
      </c>
      <c r="R213" s="331" t="str">
        <f t="shared" si="12"/>
        <v>Gastos_Gerais</v>
      </c>
      <c r="S213" s="331" t="str">
        <f>IF(D213="","",IF(OR(D213=Plano!$A$1,D213=Plano!$B$1),"entrada","saída"))</f>
        <v>saída</v>
      </c>
      <c r="T213" s="332" t="s">
        <v>1059</v>
      </c>
      <c r="U213" s="332">
        <v>528</v>
      </c>
      <c r="V213" s="344"/>
      <c r="W213" s="269"/>
      <c r="X213" s="269"/>
      <c r="Y213" s="269"/>
      <c r="Z213" s="269"/>
      <c r="AA213" s="269"/>
      <c r="AB213" s="269"/>
      <c r="AC213" s="269"/>
      <c r="AD213" s="269"/>
      <c r="AE213" s="269"/>
      <c r="AF213" s="269"/>
      <c r="AG213" s="269"/>
      <c r="AH213" s="269"/>
      <c r="AI213" s="269"/>
      <c r="AJ213" s="269"/>
      <c r="AK213" s="269"/>
      <c r="AL213" s="269"/>
      <c r="AM213" s="269"/>
    </row>
    <row r="214" spans="1:39" ht="154.5" customHeight="1" x14ac:dyDescent="0.2">
      <c r="A214" s="277">
        <f>IF(B214="","",COUNT('Diário 5º PA'!$A$5:$A$2634)+COUNT('Diário 6º PA'!$A$5:$A$2246)+ROW()-4)</f>
        <v>2753</v>
      </c>
      <c r="B214" s="278">
        <v>44385</v>
      </c>
      <c r="C214" s="259">
        <v>44348</v>
      </c>
      <c r="D214" s="252" t="s">
        <v>99</v>
      </c>
      <c r="E214" s="252" t="s">
        <v>348</v>
      </c>
      <c r="F214" s="257">
        <v>5600.5</v>
      </c>
      <c r="G214" s="451" t="s">
        <v>680</v>
      </c>
      <c r="H214" s="252" t="s">
        <v>116</v>
      </c>
      <c r="I214" s="250" t="s">
        <v>1338</v>
      </c>
      <c r="J214" s="250" t="s">
        <v>682</v>
      </c>
      <c r="K214" s="255" t="s">
        <v>991</v>
      </c>
      <c r="L214" s="250" t="s">
        <v>992</v>
      </c>
      <c r="M214" s="277">
        <v>252</v>
      </c>
      <c r="N214" s="278">
        <v>44385</v>
      </c>
      <c r="O214" s="329" t="s">
        <v>67</v>
      </c>
      <c r="P214" s="330">
        <f t="shared" si="10"/>
        <v>7</v>
      </c>
      <c r="Q214" s="330">
        <f t="shared" si="11"/>
        <v>6</v>
      </c>
      <c r="R214" s="331" t="str">
        <f t="shared" si="12"/>
        <v>Gastos_Gerais</v>
      </c>
      <c r="S214" s="331" t="str">
        <f>IF(D214="","",IF(OR(D214=Plano!$A$1,D214=Plano!$B$1),"entrada","saída"))</f>
        <v>saída</v>
      </c>
      <c r="T214" s="334" t="s">
        <v>1059</v>
      </c>
      <c r="U214" s="334">
        <v>1686</v>
      </c>
      <c r="V214" s="344"/>
      <c r="W214" s="269"/>
      <c r="X214" s="269"/>
      <c r="Y214" s="269"/>
      <c r="Z214" s="269"/>
      <c r="AA214" s="269"/>
      <c r="AB214" s="269"/>
      <c r="AC214" s="269"/>
      <c r="AD214" s="269"/>
      <c r="AE214" s="269"/>
      <c r="AF214" s="269"/>
      <c r="AG214" s="269"/>
      <c r="AH214" s="269"/>
      <c r="AI214" s="269"/>
      <c r="AJ214" s="269"/>
      <c r="AK214" s="269"/>
      <c r="AL214" s="269"/>
      <c r="AM214" s="269"/>
    </row>
    <row r="215" spans="1:39" ht="51" customHeight="1" x14ac:dyDescent="0.2">
      <c r="A215" s="277">
        <f>IF(B215="","",COUNT('Diário 5º PA'!$A$5:$A$2634)+COUNT('Diário 6º PA'!$A$5:$A$2246)+ROW()-4)</f>
        <v>2754</v>
      </c>
      <c r="B215" s="278">
        <v>44385</v>
      </c>
      <c r="C215" s="335">
        <v>44378</v>
      </c>
      <c r="D215" s="255" t="s">
        <v>99</v>
      </c>
      <c r="E215" s="255" t="s">
        <v>272</v>
      </c>
      <c r="F215" s="258">
        <v>10.45</v>
      </c>
      <c r="G215" s="450" t="s">
        <v>1339</v>
      </c>
      <c r="H215" s="252" t="s">
        <v>132</v>
      </c>
      <c r="I215" s="250" t="s">
        <v>949</v>
      </c>
      <c r="J215" s="255" t="s">
        <v>950</v>
      </c>
      <c r="K215" s="255" t="s">
        <v>951</v>
      </c>
      <c r="L215" s="250" t="s">
        <v>947</v>
      </c>
      <c r="M215" s="336" t="s">
        <v>114</v>
      </c>
      <c r="N215" s="278">
        <v>44385</v>
      </c>
      <c r="O215" s="329" t="s">
        <v>67</v>
      </c>
      <c r="P215" s="330">
        <f t="shared" si="10"/>
        <v>7</v>
      </c>
      <c r="Q215" s="330">
        <f t="shared" si="11"/>
        <v>7</v>
      </c>
      <c r="R215" s="331" t="str">
        <f t="shared" si="12"/>
        <v>Gastos_Gerais</v>
      </c>
      <c r="S215" s="331" t="str">
        <f>IF(D215="","",IF(OR(D215=Plano!$A$1,D215=Plano!$B$1),"entrada","saída"))</f>
        <v>saída</v>
      </c>
      <c r="T215" s="332" t="s">
        <v>114</v>
      </c>
      <c r="U215" s="332" t="s">
        <v>114</v>
      </c>
      <c r="V215" s="344"/>
      <c r="W215" s="269"/>
      <c r="X215" s="269"/>
      <c r="Y215" s="269"/>
      <c r="Z215" s="269"/>
      <c r="AA215" s="269"/>
      <c r="AB215" s="269"/>
      <c r="AC215" s="269"/>
      <c r="AD215" s="269"/>
      <c r="AE215" s="269"/>
      <c r="AF215" s="269"/>
      <c r="AG215" s="269"/>
      <c r="AH215" s="269"/>
      <c r="AI215" s="269"/>
      <c r="AJ215" s="269"/>
      <c r="AK215" s="269"/>
      <c r="AL215" s="269"/>
      <c r="AM215" s="269"/>
    </row>
    <row r="216" spans="1:39" ht="54.75" customHeight="1" x14ac:dyDescent="0.2">
      <c r="A216" s="277">
        <f>IF(B216="","",COUNT('Diário 5º PA'!$A$5:$A$2634)+COUNT('Diário 6º PA'!$A$5:$A$2246)+ROW()-4)</f>
        <v>2755</v>
      </c>
      <c r="B216" s="278">
        <v>44385</v>
      </c>
      <c r="C216" s="335">
        <v>44378</v>
      </c>
      <c r="D216" s="255" t="s">
        <v>99</v>
      </c>
      <c r="E216" s="255" t="s">
        <v>272</v>
      </c>
      <c r="F216" s="258">
        <v>10.45</v>
      </c>
      <c r="G216" s="450" t="s">
        <v>1340</v>
      </c>
      <c r="H216" s="252" t="s">
        <v>125</v>
      </c>
      <c r="I216" s="250" t="s">
        <v>949</v>
      </c>
      <c r="J216" s="255" t="s">
        <v>950</v>
      </c>
      <c r="K216" s="255" t="s">
        <v>951</v>
      </c>
      <c r="L216" s="250" t="s">
        <v>947</v>
      </c>
      <c r="M216" s="336" t="s">
        <v>114</v>
      </c>
      <c r="N216" s="278">
        <v>44385</v>
      </c>
      <c r="O216" s="329" t="s">
        <v>67</v>
      </c>
      <c r="P216" s="330">
        <f t="shared" si="10"/>
        <v>7</v>
      </c>
      <c r="Q216" s="330">
        <f t="shared" si="11"/>
        <v>7</v>
      </c>
      <c r="R216" s="331" t="str">
        <f t="shared" si="12"/>
        <v>Gastos_Gerais</v>
      </c>
      <c r="S216" s="331" t="str">
        <f>IF(D216="","",IF(OR(D216=Plano!$A$1,D216=Plano!$B$1),"entrada","saída"))</f>
        <v>saída</v>
      </c>
      <c r="T216" s="332" t="s">
        <v>114</v>
      </c>
      <c r="U216" s="332" t="s">
        <v>114</v>
      </c>
      <c r="V216" s="344"/>
      <c r="W216" s="269"/>
      <c r="X216" s="269"/>
      <c r="Y216" s="269"/>
      <c r="Z216" s="269"/>
      <c r="AA216" s="269"/>
      <c r="AB216" s="269"/>
      <c r="AC216" s="269"/>
      <c r="AD216" s="269"/>
      <c r="AE216" s="269"/>
      <c r="AF216" s="269"/>
      <c r="AG216" s="269"/>
      <c r="AH216" s="269"/>
      <c r="AI216" s="269"/>
      <c r="AJ216" s="269"/>
      <c r="AK216" s="269"/>
      <c r="AL216" s="269"/>
      <c r="AM216" s="269"/>
    </row>
    <row r="217" spans="1:39" ht="46.5" customHeight="1" x14ac:dyDescent="0.2">
      <c r="A217" s="277">
        <f>IF(B217="","",COUNT('Diário 5º PA'!$A$5:$A$2634)+COUNT('Diário 6º PA'!$A$5:$A$2246)+ROW()-4)</f>
        <v>2756</v>
      </c>
      <c r="B217" s="278">
        <v>44385</v>
      </c>
      <c r="C217" s="335">
        <v>44378</v>
      </c>
      <c r="D217" s="255" t="s">
        <v>99</v>
      </c>
      <c r="E217" s="255" t="s">
        <v>272</v>
      </c>
      <c r="F217" s="258">
        <v>10.45</v>
      </c>
      <c r="G217" s="450" t="s">
        <v>1341</v>
      </c>
      <c r="H217" s="252" t="s">
        <v>125</v>
      </c>
      <c r="I217" s="250" t="s">
        <v>949</v>
      </c>
      <c r="J217" s="255" t="s">
        <v>950</v>
      </c>
      <c r="K217" s="255" t="s">
        <v>951</v>
      </c>
      <c r="L217" s="250" t="s">
        <v>947</v>
      </c>
      <c r="M217" s="336" t="s">
        <v>114</v>
      </c>
      <c r="N217" s="278">
        <v>44385</v>
      </c>
      <c r="O217" s="329" t="s">
        <v>67</v>
      </c>
      <c r="P217" s="330">
        <f t="shared" si="10"/>
        <v>7</v>
      </c>
      <c r="Q217" s="330">
        <f t="shared" si="11"/>
        <v>7</v>
      </c>
      <c r="R217" s="331" t="str">
        <f t="shared" si="12"/>
        <v>Gastos_Gerais</v>
      </c>
      <c r="S217" s="331" t="str">
        <f>IF(D217="","",IF(OR(D217=Plano!$A$1,D217=Plano!$B$1),"entrada","saída"))</f>
        <v>saída</v>
      </c>
      <c r="T217" s="332" t="s">
        <v>114</v>
      </c>
      <c r="U217" s="332" t="s">
        <v>114</v>
      </c>
      <c r="V217" s="344"/>
      <c r="W217" s="269"/>
      <c r="X217" s="269"/>
      <c r="Y217" s="269"/>
      <c r="Z217" s="269"/>
      <c r="AA217" s="269"/>
      <c r="AB217" s="269"/>
      <c r="AC217" s="269"/>
      <c r="AD217" s="269"/>
      <c r="AE217" s="269"/>
      <c r="AF217" s="269"/>
      <c r="AG217" s="269"/>
      <c r="AH217" s="269"/>
      <c r="AI217" s="269"/>
      <c r="AJ217" s="269"/>
      <c r="AK217" s="269"/>
      <c r="AL217" s="269"/>
      <c r="AM217" s="269"/>
    </row>
    <row r="218" spans="1:39" ht="50.25" customHeight="1" x14ac:dyDescent="0.2">
      <c r="A218" s="277">
        <f>IF(B218="","",COUNT('Diário 5º PA'!$A$5:$A$2634)+COUNT('Diário 6º PA'!$A$5:$A$2246)+ROW()-4)</f>
        <v>2757</v>
      </c>
      <c r="B218" s="278">
        <v>44385</v>
      </c>
      <c r="C218" s="335">
        <v>44378</v>
      </c>
      <c r="D218" s="255" t="s">
        <v>99</v>
      </c>
      <c r="E218" s="255" t="s">
        <v>272</v>
      </c>
      <c r="F218" s="258">
        <v>10.45</v>
      </c>
      <c r="G218" s="450" t="s">
        <v>1342</v>
      </c>
      <c r="H218" s="252" t="s">
        <v>131</v>
      </c>
      <c r="I218" s="250" t="s">
        <v>949</v>
      </c>
      <c r="J218" s="255" t="s">
        <v>950</v>
      </c>
      <c r="K218" s="255" t="s">
        <v>951</v>
      </c>
      <c r="L218" s="250" t="s">
        <v>947</v>
      </c>
      <c r="M218" s="336" t="s">
        <v>114</v>
      </c>
      <c r="N218" s="278">
        <v>44385</v>
      </c>
      <c r="O218" s="329" t="s">
        <v>67</v>
      </c>
      <c r="P218" s="330">
        <f t="shared" si="10"/>
        <v>7</v>
      </c>
      <c r="Q218" s="330">
        <f t="shared" si="11"/>
        <v>7</v>
      </c>
      <c r="R218" s="331" t="str">
        <f t="shared" si="12"/>
        <v>Gastos_Gerais</v>
      </c>
      <c r="S218" s="331" t="str">
        <f>IF(D218="","",IF(OR(D218=Plano!$A$1,D218=Plano!$B$1),"entrada","saída"))</f>
        <v>saída</v>
      </c>
      <c r="T218" s="332" t="s">
        <v>114</v>
      </c>
      <c r="U218" s="332" t="s">
        <v>114</v>
      </c>
      <c r="V218" s="344"/>
      <c r="W218" s="269"/>
      <c r="X218" s="269"/>
      <c r="Y218" s="269"/>
      <c r="Z218" s="269"/>
      <c r="AA218" s="269"/>
      <c r="AB218" s="269"/>
      <c r="AC218" s="269"/>
      <c r="AD218" s="269"/>
      <c r="AE218" s="269"/>
      <c r="AF218" s="269"/>
      <c r="AG218" s="269"/>
      <c r="AH218" s="269"/>
      <c r="AI218" s="269"/>
      <c r="AJ218" s="269"/>
      <c r="AK218" s="269"/>
      <c r="AL218" s="269"/>
      <c r="AM218" s="269"/>
    </row>
    <row r="219" spans="1:39" ht="50.25" customHeight="1" x14ac:dyDescent="0.2">
      <c r="A219" s="277">
        <f>IF(B219="","",COUNT('Diário 5º PA'!$A$5:$A$2634)+COUNT('Diário 6º PA'!$A$5:$A$2246)+ROW()-4)</f>
        <v>2758</v>
      </c>
      <c r="B219" s="278">
        <v>44385</v>
      </c>
      <c r="C219" s="335">
        <v>44378</v>
      </c>
      <c r="D219" s="255" t="s">
        <v>99</v>
      </c>
      <c r="E219" s="255" t="s">
        <v>272</v>
      </c>
      <c r="F219" s="258">
        <v>10.45</v>
      </c>
      <c r="G219" s="450" t="s">
        <v>1343</v>
      </c>
      <c r="H219" s="252" t="s">
        <v>126</v>
      </c>
      <c r="I219" s="250" t="s">
        <v>949</v>
      </c>
      <c r="J219" s="255" t="s">
        <v>950</v>
      </c>
      <c r="K219" s="255" t="s">
        <v>951</v>
      </c>
      <c r="L219" s="250" t="s">
        <v>947</v>
      </c>
      <c r="M219" s="336" t="s">
        <v>114</v>
      </c>
      <c r="N219" s="278">
        <v>44385</v>
      </c>
      <c r="O219" s="329" t="s">
        <v>67</v>
      </c>
      <c r="P219" s="330">
        <f t="shared" si="10"/>
        <v>7</v>
      </c>
      <c r="Q219" s="330">
        <f t="shared" si="11"/>
        <v>7</v>
      </c>
      <c r="R219" s="331" t="str">
        <f t="shared" si="12"/>
        <v>Gastos_Gerais</v>
      </c>
      <c r="S219" s="331" t="str">
        <f>IF(D219="","",IF(OR(D219=Plano!$A$1,D219=Plano!$B$1),"entrada","saída"))</f>
        <v>saída</v>
      </c>
      <c r="T219" s="332" t="s">
        <v>114</v>
      </c>
      <c r="U219" s="332" t="s">
        <v>114</v>
      </c>
      <c r="V219" s="344"/>
      <c r="W219" s="269"/>
      <c r="X219" s="269"/>
      <c r="Y219" s="269"/>
      <c r="Z219" s="269"/>
      <c r="AA219" s="269"/>
      <c r="AB219" s="269"/>
      <c r="AC219" s="269"/>
      <c r="AD219" s="269"/>
      <c r="AE219" s="269"/>
      <c r="AF219" s="269"/>
      <c r="AG219" s="269"/>
      <c r="AH219" s="269"/>
      <c r="AI219" s="269"/>
      <c r="AJ219" s="269"/>
      <c r="AK219" s="269"/>
      <c r="AL219" s="269"/>
      <c r="AM219" s="269"/>
    </row>
    <row r="220" spans="1:39" ht="59.25" customHeight="1" x14ac:dyDescent="0.2">
      <c r="A220" s="277">
        <f>IF(B220="","",COUNT('Diário 5º PA'!$A$5:$A$2634)+COUNT('Diário 6º PA'!$A$5:$A$2246)+ROW()-4)</f>
        <v>2759</v>
      </c>
      <c r="B220" s="278">
        <v>44386</v>
      </c>
      <c r="C220" s="256">
        <v>44348</v>
      </c>
      <c r="D220" s="255" t="s">
        <v>99</v>
      </c>
      <c r="E220" s="255" t="s">
        <v>208</v>
      </c>
      <c r="F220" s="258">
        <v>-2738.72</v>
      </c>
      <c r="G220" s="450" t="s">
        <v>1344</v>
      </c>
      <c r="H220" s="255" t="s">
        <v>115</v>
      </c>
      <c r="I220" s="250" t="s">
        <v>983</v>
      </c>
      <c r="J220" s="255" t="s">
        <v>850</v>
      </c>
      <c r="K220" s="255" t="s">
        <v>946</v>
      </c>
      <c r="L220" s="250" t="s">
        <v>947</v>
      </c>
      <c r="M220" s="277" t="s">
        <v>114</v>
      </c>
      <c r="N220" s="278">
        <v>44386</v>
      </c>
      <c r="O220" s="329" t="s">
        <v>67</v>
      </c>
      <c r="P220" s="330">
        <f t="shared" si="10"/>
        <v>7</v>
      </c>
      <c r="Q220" s="330">
        <f t="shared" si="11"/>
        <v>6</v>
      </c>
      <c r="R220" s="331" t="str">
        <f t="shared" si="12"/>
        <v>Gastos_Gerais</v>
      </c>
      <c r="S220" s="331" t="str">
        <f>IF(D220="","",IF(OR(D220=Plano!$A$1,D220=Plano!$B$1),"entrada","saída"))</f>
        <v>saída</v>
      </c>
      <c r="T220" s="332" t="s">
        <v>114</v>
      </c>
      <c r="U220" s="332" t="s">
        <v>114</v>
      </c>
      <c r="V220" s="344"/>
      <c r="W220" s="269"/>
      <c r="X220" s="269"/>
      <c r="Y220" s="269"/>
      <c r="Z220" s="269"/>
      <c r="AA220" s="269"/>
      <c r="AB220" s="269"/>
      <c r="AC220" s="269"/>
      <c r="AD220" s="269"/>
      <c r="AE220" s="269"/>
      <c r="AF220" s="269"/>
      <c r="AG220" s="269"/>
      <c r="AH220" s="269"/>
      <c r="AI220" s="269"/>
      <c r="AJ220" s="269"/>
      <c r="AK220" s="269"/>
      <c r="AL220" s="269"/>
      <c r="AM220" s="269"/>
    </row>
    <row r="221" spans="1:39" ht="48" customHeight="1" x14ac:dyDescent="0.2">
      <c r="A221" s="277">
        <f>IF(B221="","",COUNT('Diário 5º PA'!$A$5:$A$2634)+COUNT('Diário 6º PA'!$A$5:$A$2246)+ROW()-4)</f>
        <v>2760</v>
      </c>
      <c r="B221" s="278">
        <v>44386</v>
      </c>
      <c r="C221" s="256">
        <v>44348</v>
      </c>
      <c r="D221" s="255" t="s">
        <v>99</v>
      </c>
      <c r="E221" s="255" t="s">
        <v>212</v>
      </c>
      <c r="F221" s="258">
        <v>-447.21</v>
      </c>
      <c r="G221" s="450" t="s">
        <v>1345</v>
      </c>
      <c r="H221" s="255" t="s">
        <v>115</v>
      </c>
      <c r="I221" s="250" t="s">
        <v>983</v>
      </c>
      <c r="J221" s="255" t="s">
        <v>850</v>
      </c>
      <c r="K221" s="255" t="s">
        <v>946</v>
      </c>
      <c r="L221" s="250" t="s">
        <v>947</v>
      </c>
      <c r="M221" s="277" t="s">
        <v>114</v>
      </c>
      <c r="N221" s="278">
        <v>44386</v>
      </c>
      <c r="O221" s="329" t="s">
        <v>67</v>
      </c>
      <c r="P221" s="330">
        <f t="shared" si="10"/>
        <v>7</v>
      </c>
      <c r="Q221" s="330">
        <f t="shared" si="11"/>
        <v>6</v>
      </c>
      <c r="R221" s="331" t="str">
        <f t="shared" si="12"/>
        <v>Gastos_Gerais</v>
      </c>
      <c r="S221" s="331" t="str">
        <f>IF(D221="","",IF(OR(D221=Plano!$A$1,D221=Plano!$B$1),"entrada","saída"))</f>
        <v>saída</v>
      </c>
      <c r="T221" s="332" t="s">
        <v>114</v>
      </c>
      <c r="U221" s="332" t="s">
        <v>114</v>
      </c>
      <c r="V221" s="344"/>
      <c r="W221" s="269"/>
      <c r="X221" s="269"/>
      <c r="Y221" s="269"/>
      <c r="Z221" s="269"/>
      <c r="AA221" s="269"/>
      <c r="AB221" s="269"/>
      <c r="AC221" s="269"/>
      <c r="AD221" s="269"/>
      <c r="AE221" s="269"/>
      <c r="AF221" s="269"/>
      <c r="AG221" s="269"/>
      <c r="AH221" s="269"/>
      <c r="AI221" s="269"/>
      <c r="AJ221" s="269"/>
      <c r="AK221" s="269"/>
      <c r="AL221" s="269"/>
      <c r="AM221" s="269"/>
    </row>
    <row r="222" spans="1:39" ht="47.25" customHeight="1" x14ac:dyDescent="0.2">
      <c r="A222" s="277">
        <f>IF(B222="","",COUNT('Diário 5º PA'!$A$5:$A$2634)+COUNT('Diário 6º PA'!$A$5:$A$2246)+ROW()-4)</f>
        <v>2761</v>
      </c>
      <c r="B222" s="278">
        <v>44386</v>
      </c>
      <c r="C222" s="259">
        <v>44378</v>
      </c>
      <c r="D222" s="255" t="s">
        <v>88</v>
      </c>
      <c r="E222" s="255" t="s">
        <v>177</v>
      </c>
      <c r="F222" s="257">
        <v>2389.88</v>
      </c>
      <c r="G222" s="450" t="s">
        <v>1346</v>
      </c>
      <c r="H222" s="255" t="s">
        <v>114</v>
      </c>
      <c r="I222" s="250" t="s">
        <v>1221</v>
      </c>
      <c r="J222" s="255" t="s">
        <v>1222</v>
      </c>
      <c r="K222" s="255" t="s">
        <v>1015</v>
      </c>
      <c r="L222" s="250" t="s">
        <v>1347</v>
      </c>
      <c r="M222" s="277" t="s">
        <v>114</v>
      </c>
      <c r="N222" s="278">
        <v>44386</v>
      </c>
      <c r="O222" s="329" t="s">
        <v>67</v>
      </c>
      <c r="P222" s="330">
        <f t="shared" si="10"/>
        <v>7</v>
      </c>
      <c r="Q222" s="330">
        <f t="shared" si="11"/>
        <v>7</v>
      </c>
      <c r="R222" s="331" t="str">
        <f t="shared" si="12"/>
        <v>Gastos_com_Pessoal</v>
      </c>
      <c r="S222" s="331" t="str">
        <f>IF(D222="","",IF(OR(D222=Plano!$A$1,D222=Plano!$B$1),"entrada","saída"))</f>
        <v>saída</v>
      </c>
      <c r="T222" s="332" t="s">
        <v>114</v>
      </c>
      <c r="U222" s="332" t="s">
        <v>114</v>
      </c>
      <c r="V222" s="344"/>
      <c r="W222" s="269"/>
      <c r="X222" s="269"/>
      <c r="Y222" s="269"/>
      <c r="Z222" s="269"/>
      <c r="AA222" s="269"/>
      <c r="AB222" s="269"/>
      <c r="AC222" s="269"/>
      <c r="AD222" s="269"/>
      <c r="AE222" s="269"/>
      <c r="AF222" s="269"/>
      <c r="AG222" s="269"/>
      <c r="AH222" s="269"/>
      <c r="AI222" s="269"/>
      <c r="AJ222" s="269"/>
      <c r="AK222" s="269"/>
      <c r="AL222" s="269"/>
      <c r="AM222" s="269"/>
    </row>
    <row r="223" spans="1:39" ht="177.75" customHeight="1" x14ac:dyDescent="0.2">
      <c r="A223" s="277">
        <f>IF(B223="","",COUNT('Diário 5º PA'!$A$5:$A$2634)+COUNT('Diário 6º PA'!$A$5:$A$2246)+ROW()-4)</f>
        <v>2762</v>
      </c>
      <c r="B223" s="278">
        <v>44386</v>
      </c>
      <c r="C223" s="259">
        <v>44348</v>
      </c>
      <c r="D223" s="252" t="s">
        <v>99</v>
      </c>
      <c r="E223" s="252" t="s">
        <v>262</v>
      </c>
      <c r="F223" s="257">
        <v>2537.5500000000002</v>
      </c>
      <c r="G223" s="451" t="s">
        <v>596</v>
      </c>
      <c r="H223" s="252" t="s">
        <v>127</v>
      </c>
      <c r="I223" s="252" t="s">
        <v>1348</v>
      </c>
      <c r="J223" s="255" t="s">
        <v>598</v>
      </c>
      <c r="K223" s="255" t="s">
        <v>1015</v>
      </c>
      <c r="L223" s="250" t="s">
        <v>1029</v>
      </c>
      <c r="M223" s="277">
        <v>1233</v>
      </c>
      <c r="N223" s="278">
        <v>44386</v>
      </c>
      <c r="O223" s="329" t="s">
        <v>67</v>
      </c>
      <c r="P223" s="330">
        <f t="shared" si="10"/>
        <v>7</v>
      </c>
      <c r="Q223" s="330">
        <f t="shared" si="11"/>
        <v>6</v>
      </c>
      <c r="R223" s="331" t="str">
        <f t="shared" si="12"/>
        <v>Gastos_Gerais</v>
      </c>
      <c r="S223" s="331" t="str">
        <f>IF(D223="","",IF(OR(D223=Plano!$A$1,D223=Plano!$B$1),"entrada","saída"))</f>
        <v>saída</v>
      </c>
      <c r="T223" s="334" t="s">
        <v>1059</v>
      </c>
      <c r="U223" s="334">
        <v>1466</v>
      </c>
      <c r="V223" s="344"/>
      <c r="W223" s="269"/>
      <c r="X223" s="269"/>
      <c r="Y223" s="269"/>
      <c r="Z223" s="269"/>
      <c r="AA223" s="269"/>
      <c r="AB223" s="269"/>
      <c r="AC223" s="269"/>
      <c r="AD223" s="269"/>
      <c r="AE223" s="269"/>
      <c r="AF223" s="269"/>
      <c r="AG223" s="269"/>
      <c r="AH223" s="269"/>
      <c r="AI223" s="269"/>
      <c r="AJ223" s="269"/>
      <c r="AK223" s="269"/>
      <c r="AL223" s="269"/>
      <c r="AM223" s="269"/>
    </row>
    <row r="224" spans="1:39" ht="27" customHeight="1" x14ac:dyDescent="0.2">
      <c r="A224" s="277">
        <f>IF(B224="","",COUNT('Diário 5º PA'!$A$5:$A$2634)+COUNT('Diário 6º PA'!$A$5:$A$2246)+ROW()-4)</f>
        <v>2763</v>
      </c>
      <c r="B224" s="278">
        <v>44386</v>
      </c>
      <c r="C224" s="256">
        <v>44348</v>
      </c>
      <c r="D224" s="255" t="s">
        <v>99</v>
      </c>
      <c r="E224" s="255" t="s">
        <v>208</v>
      </c>
      <c r="F224" s="258">
        <v>8489.02</v>
      </c>
      <c r="G224" s="450" t="s">
        <v>1349</v>
      </c>
      <c r="H224" s="255" t="s">
        <v>115</v>
      </c>
      <c r="I224" s="252" t="s">
        <v>518</v>
      </c>
      <c r="J224" s="252" t="s">
        <v>519</v>
      </c>
      <c r="K224" s="255" t="s">
        <v>560</v>
      </c>
      <c r="L224" s="250" t="s">
        <v>114</v>
      </c>
      <c r="M224" s="277">
        <v>7</v>
      </c>
      <c r="N224" s="278">
        <v>44371</v>
      </c>
      <c r="O224" s="329" t="s">
        <v>67</v>
      </c>
      <c r="P224" s="330">
        <f t="shared" si="10"/>
        <v>7</v>
      </c>
      <c r="Q224" s="330">
        <f t="shared" si="11"/>
        <v>6</v>
      </c>
      <c r="R224" s="331" t="str">
        <f t="shared" si="12"/>
        <v>Gastos_Gerais</v>
      </c>
      <c r="S224" s="331" t="str">
        <f>IF(D224="","",IF(OR(D224=Plano!$A$1,D224=Plano!$B$1),"entrada","saída"))</f>
        <v>saída</v>
      </c>
      <c r="T224" s="332" t="s">
        <v>114</v>
      </c>
      <c r="U224" s="332" t="s">
        <v>114</v>
      </c>
      <c r="V224" s="344"/>
      <c r="W224" s="269"/>
      <c r="X224" s="269"/>
      <c r="Y224" s="269"/>
      <c r="Z224" s="269"/>
      <c r="AA224" s="269"/>
      <c r="AB224" s="269"/>
      <c r="AC224" s="269"/>
      <c r="AD224" s="269"/>
      <c r="AE224" s="269"/>
      <c r="AF224" s="269"/>
      <c r="AG224" s="269"/>
      <c r="AH224" s="269"/>
      <c r="AI224" s="269"/>
      <c r="AJ224" s="269"/>
      <c r="AK224" s="269"/>
      <c r="AL224" s="269"/>
      <c r="AM224" s="269"/>
    </row>
    <row r="225" spans="1:39" ht="25.5" customHeight="1" x14ac:dyDescent="0.2">
      <c r="A225" s="277">
        <f>IF(B225="","",COUNT('Diário 5º PA'!$A$5:$A$2634)+COUNT('Diário 6º PA'!$A$5:$A$2246)+ROW()-4)</f>
        <v>2764</v>
      </c>
      <c r="B225" s="278">
        <v>44386</v>
      </c>
      <c r="C225" s="256">
        <v>44348</v>
      </c>
      <c r="D225" s="255" t="s">
        <v>99</v>
      </c>
      <c r="E225" s="255" t="s">
        <v>212</v>
      </c>
      <c r="F225" s="258">
        <v>1693.33</v>
      </c>
      <c r="G225" s="450" t="s">
        <v>1350</v>
      </c>
      <c r="H225" s="255" t="s">
        <v>115</v>
      </c>
      <c r="I225" s="252" t="s">
        <v>518</v>
      </c>
      <c r="J225" s="252" t="s">
        <v>519</v>
      </c>
      <c r="K225" s="255" t="s">
        <v>560</v>
      </c>
      <c r="L225" s="250" t="s">
        <v>947</v>
      </c>
      <c r="M225" s="277">
        <v>7</v>
      </c>
      <c r="N225" s="278">
        <v>44371</v>
      </c>
      <c r="O225" s="329" t="s">
        <v>67</v>
      </c>
      <c r="P225" s="330">
        <f t="shared" si="10"/>
        <v>7</v>
      </c>
      <c r="Q225" s="330">
        <f t="shared" si="11"/>
        <v>6</v>
      </c>
      <c r="R225" s="331" t="str">
        <f t="shared" si="12"/>
        <v>Gastos_Gerais</v>
      </c>
      <c r="S225" s="331" t="str">
        <f>IF(D225="","",IF(OR(D225=Plano!$A$1,D225=Plano!$B$1),"entrada","saída"))</f>
        <v>saída</v>
      </c>
      <c r="T225" s="332" t="s">
        <v>114</v>
      </c>
      <c r="U225" s="332" t="s">
        <v>114</v>
      </c>
      <c r="V225" s="344"/>
      <c r="W225" s="269"/>
      <c r="X225" s="269"/>
      <c r="Y225" s="269"/>
      <c r="Z225" s="269"/>
      <c r="AA225" s="269"/>
      <c r="AB225" s="269"/>
      <c r="AC225" s="269"/>
      <c r="AD225" s="269"/>
      <c r="AE225" s="269"/>
      <c r="AF225" s="269"/>
      <c r="AG225" s="269"/>
      <c r="AH225" s="269"/>
      <c r="AI225" s="269"/>
      <c r="AJ225" s="269"/>
      <c r="AK225" s="269"/>
      <c r="AL225" s="269"/>
      <c r="AM225" s="269"/>
    </row>
    <row r="226" spans="1:39" ht="36" customHeight="1" x14ac:dyDescent="0.2">
      <c r="A226" s="277">
        <f>IF(B226="","",COUNT('Diário 5º PA'!$A$5:$A$2634)+COUNT('Diário 6º PA'!$A$5:$A$2246)+ROW()-4)</f>
        <v>2765</v>
      </c>
      <c r="B226" s="278">
        <v>44386</v>
      </c>
      <c r="C226" s="259">
        <v>44378</v>
      </c>
      <c r="D226" s="255" t="s">
        <v>88</v>
      </c>
      <c r="E226" s="255" t="s">
        <v>181</v>
      </c>
      <c r="F226" s="257">
        <v>8212.68</v>
      </c>
      <c r="G226" s="450" t="s">
        <v>1351</v>
      </c>
      <c r="H226" s="255" t="s">
        <v>114</v>
      </c>
      <c r="I226" s="250" t="s">
        <v>1194</v>
      </c>
      <c r="J226" s="250" t="s">
        <v>1195</v>
      </c>
      <c r="K226" s="255" t="s">
        <v>991</v>
      </c>
      <c r="L226" s="250" t="s">
        <v>1352</v>
      </c>
      <c r="M226" s="277" t="s">
        <v>114</v>
      </c>
      <c r="N226" s="278">
        <v>44386</v>
      </c>
      <c r="O226" s="329" t="s">
        <v>67</v>
      </c>
      <c r="P226" s="330">
        <f t="shared" si="10"/>
        <v>7</v>
      </c>
      <c r="Q226" s="330">
        <f t="shared" si="11"/>
        <v>7</v>
      </c>
      <c r="R226" s="331" t="str">
        <f t="shared" si="12"/>
        <v>Gastos_com_Pessoal</v>
      </c>
      <c r="S226" s="331" t="str">
        <f>IF(D226="","",IF(OR(D226=Plano!$A$1,D226=Plano!$B$1),"entrada","saída"))</f>
        <v>saída</v>
      </c>
      <c r="T226" s="332" t="s">
        <v>114</v>
      </c>
      <c r="U226" s="332" t="s">
        <v>114</v>
      </c>
      <c r="V226" s="344"/>
      <c r="W226" s="269"/>
      <c r="X226" s="269"/>
      <c r="Y226" s="269"/>
      <c r="Z226" s="269"/>
      <c r="AA226" s="269"/>
      <c r="AB226" s="269"/>
      <c r="AC226" s="269"/>
      <c r="AD226" s="269"/>
      <c r="AE226" s="269"/>
      <c r="AF226" s="269"/>
      <c r="AG226" s="269"/>
      <c r="AH226" s="269"/>
      <c r="AI226" s="269"/>
      <c r="AJ226" s="269"/>
      <c r="AK226" s="269"/>
      <c r="AL226" s="269"/>
      <c r="AM226" s="269"/>
    </row>
    <row r="227" spans="1:39" ht="27.75" customHeight="1" x14ac:dyDescent="0.2">
      <c r="A227" s="277">
        <f>IF(B227="","",COUNT('Diário 5º PA'!$A$5:$A$2634)+COUNT('Diário 6º PA'!$A$5:$A$2246)+ROW()-4)</f>
        <v>2766</v>
      </c>
      <c r="B227" s="278">
        <v>44386</v>
      </c>
      <c r="C227" s="259">
        <v>44378</v>
      </c>
      <c r="D227" s="255" t="s">
        <v>88</v>
      </c>
      <c r="E227" s="255" t="s">
        <v>173</v>
      </c>
      <c r="F227" s="258">
        <v>2052.6999999999998</v>
      </c>
      <c r="G227" s="450" t="s">
        <v>1353</v>
      </c>
      <c r="H227" s="255" t="s">
        <v>114</v>
      </c>
      <c r="I227" s="250" t="s">
        <v>1259</v>
      </c>
      <c r="J227" s="255" t="s">
        <v>114</v>
      </c>
      <c r="K227" s="255" t="s">
        <v>466</v>
      </c>
      <c r="L227" s="250" t="s">
        <v>171</v>
      </c>
      <c r="M227" s="278" t="s">
        <v>114</v>
      </c>
      <c r="N227" s="278">
        <v>44386</v>
      </c>
      <c r="O227" s="329" t="s">
        <v>67</v>
      </c>
      <c r="P227" s="330">
        <f t="shared" si="10"/>
        <v>7</v>
      </c>
      <c r="Q227" s="330">
        <f t="shared" si="11"/>
        <v>7</v>
      </c>
      <c r="R227" s="331" t="str">
        <f t="shared" si="12"/>
        <v>Gastos_com_Pessoal</v>
      </c>
      <c r="S227" s="331" t="str">
        <f>IF(D227="","",IF(OR(D227=Plano!$A$1,D227=Plano!$B$1),"entrada","saída"))</f>
        <v>saída</v>
      </c>
      <c r="T227" s="332" t="s">
        <v>114</v>
      </c>
      <c r="U227" s="332" t="s">
        <v>114</v>
      </c>
      <c r="V227" s="344"/>
      <c r="W227" s="269"/>
      <c r="X227" s="269"/>
      <c r="Y227" s="269"/>
      <c r="Z227" s="269"/>
      <c r="AA227" s="269"/>
      <c r="AB227" s="269"/>
      <c r="AC227" s="269"/>
      <c r="AD227" s="269"/>
      <c r="AE227" s="269"/>
      <c r="AF227" s="269"/>
      <c r="AG227" s="269"/>
      <c r="AH227" s="269"/>
      <c r="AI227" s="269"/>
      <c r="AJ227" s="269"/>
      <c r="AK227" s="269"/>
      <c r="AL227" s="269"/>
      <c r="AM227" s="269"/>
    </row>
    <row r="228" spans="1:39" ht="230.25" customHeight="1" x14ac:dyDescent="0.2">
      <c r="A228" s="277">
        <f>IF(B228="","",COUNT('Diário 5º PA'!$A$5:$A$2634)+COUNT('Diário 6º PA'!$A$5:$A$2246)+ROW()-4)</f>
        <v>2767</v>
      </c>
      <c r="B228" s="278">
        <v>44386</v>
      </c>
      <c r="C228" s="259">
        <v>44348</v>
      </c>
      <c r="D228" s="252" t="s">
        <v>99</v>
      </c>
      <c r="E228" s="252" t="s">
        <v>330</v>
      </c>
      <c r="F228" s="257">
        <v>1260</v>
      </c>
      <c r="G228" s="451" t="s">
        <v>574</v>
      </c>
      <c r="H228" s="252" t="s">
        <v>128</v>
      </c>
      <c r="I228" s="252" t="s">
        <v>1354</v>
      </c>
      <c r="J228" s="250" t="s">
        <v>576</v>
      </c>
      <c r="K228" s="255" t="s">
        <v>991</v>
      </c>
      <c r="L228" s="250" t="s">
        <v>1029</v>
      </c>
      <c r="M228" s="277">
        <v>1232</v>
      </c>
      <c r="N228" s="278">
        <v>44386</v>
      </c>
      <c r="O228" s="329" t="s">
        <v>67</v>
      </c>
      <c r="P228" s="330">
        <f t="shared" si="10"/>
        <v>7</v>
      </c>
      <c r="Q228" s="330">
        <f t="shared" si="11"/>
        <v>6</v>
      </c>
      <c r="R228" s="331" t="str">
        <f t="shared" si="12"/>
        <v>Gastos_Gerais</v>
      </c>
      <c r="S228" s="331" t="str">
        <f>IF(D228="","",IF(OR(D228=Plano!$A$1,D228=Plano!$B$1),"entrada","saída"))</f>
        <v>saída</v>
      </c>
      <c r="T228" s="334" t="s">
        <v>1059</v>
      </c>
      <c r="U228" s="334">
        <v>1350</v>
      </c>
      <c r="V228" s="344"/>
      <c r="W228" s="269"/>
      <c r="X228" s="269"/>
      <c r="Y228" s="269"/>
      <c r="Z228" s="269"/>
      <c r="AA228" s="269"/>
      <c r="AB228" s="269"/>
      <c r="AC228" s="269"/>
      <c r="AD228" s="269"/>
      <c r="AE228" s="269"/>
      <c r="AF228" s="269"/>
      <c r="AG228" s="269"/>
      <c r="AH228" s="269"/>
      <c r="AI228" s="269"/>
      <c r="AJ228" s="269"/>
      <c r="AK228" s="269"/>
      <c r="AL228" s="269"/>
      <c r="AM228" s="269"/>
    </row>
    <row r="229" spans="1:39" ht="111.75" customHeight="1" x14ac:dyDescent="0.2">
      <c r="A229" s="277">
        <f>IF(B229="","",COUNT('Diário 5º PA'!$A$5:$A$2634)+COUNT('Diário 6º PA'!$A$5:$A$2246)+ROW()-4)</f>
        <v>2768</v>
      </c>
      <c r="B229" s="278">
        <v>44386</v>
      </c>
      <c r="C229" s="259">
        <v>44317</v>
      </c>
      <c r="D229" s="252" t="s">
        <v>99</v>
      </c>
      <c r="E229" s="252" t="s">
        <v>356</v>
      </c>
      <c r="F229" s="257">
        <v>600</v>
      </c>
      <c r="G229" s="451" t="s">
        <v>1355</v>
      </c>
      <c r="H229" s="252" t="s">
        <v>124</v>
      </c>
      <c r="I229" s="250" t="s">
        <v>1356</v>
      </c>
      <c r="J229" s="250" t="s">
        <v>1357</v>
      </c>
      <c r="K229" s="255" t="s">
        <v>991</v>
      </c>
      <c r="L229" s="250" t="s">
        <v>992</v>
      </c>
      <c r="M229" s="277" t="s">
        <v>1058</v>
      </c>
      <c r="N229" s="278">
        <v>44385</v>
      </c>
      <c r="O229" s="329" t="s">
        <v>67</v>
      </c>
      <c r="P229" s="330">
        <f t="shared" si="10"/>
        <v>7</v>
      </c>
      <c r="Q229" s="330">
        <f t="shared" si="11"/>
        <v>5</v>
      </c>
      <c r="R229" s="331" t="str">
        <f t="shared" si="12"/>
        <v>Gastos_Gerais</v>
      </c>
      <c r="S229" s="331" t="str">
        <f>IF(D229="","",IF(OR(D229=Plano!$A$1,D229=Plano!$B$1),"entrada","saída"))</f>
        <v>saída</v>
      </c>
      <c r="T229" s="334" t="s">
        <v>994</v>
      </c>
      <c r="U229" s="334">
        <v>1561</v>
      </c>
      <c r="V229" s="344"/>
      <c r="W229" s="269"/>
      <c r="X229" s="269"/>
      <c r="Y229" s="269"/>
      <c r="Z229" s="269"/>
      <c r="AA229" s="269"/>
      <c r="AB229" s="269"/>
      <c r="AC229" s="269"/>
      <c r="AD229" s="269"/>
      <c r="AE229" s="269"/>
      <c r="AF229" s="269"/>
      <c r="AG229" s="269"/>
      <c r="AH229" s="269"/>
      <c r="AI229" s="269"/>
      <c r="AJ229" s="269"/>
      <c r="AK229" s="269"/>
      <c r="AL229" s="269"/>
      <c r="AM229" s="269"/>
    </row>
    <row r="230" spans="1:39" ht="41.25" customHeight="1" x14ac:dyDescent="0.2">
      <c r="A230" s="277">
        <f>IF(B230="","",COUNT('Diário 5º PA'!$A$5:$A$2634)+COUNT('Diário 6º PA'!$A$5:$A$2246)+ROW()-4)</f>
        <v>2769</v>
      </c>
      <c r="B230" s="278">
        <v>44386</v>
      </c>
      <c r="C230" s="249">
        <v>44378</v>
      </c>
      <c r="D230" s="255" t="s">
        <v>99</v>
      </c>
      <c r="E230" s="255" t="s">
        <v>272</v>
      </c>
      <c r="F230" s="258">
        <v>10.45</v>
      </c>
      <c r="G230" s="450" t="s">
        <v>1358</v>
      </c>
      <c r="H230" s="255" t="s">
        <v>114</v>
      </c>
      <c r="I230" s="250" t="s">
        <v>949</v>
      </c>
      <c r="J230" s="255" t="s">
        <v>950</v>
      </c>
      <c r="K230" s="255" t="s">
        <v>951</v>
      </c>
      <c r="L230" s="250" t="s">
        <v>947</v>
      </c>
      <c r="M230" s="336" t="s">
        <v>114</v>
      </c>
      <c r="N230" s="278">
        <v>44386</v>
      </c>
      <c r="O230" s="329" t="s">
        <v>67</v>
      </c>
      <c r="P230" s="330">
        <f t="shared" si="10"/>
        <v>7</v>
      </c>
      <c r="Q230" s="330">
        <f t="shared" si="11"/>
        <v>7</v>
      </c>
      <c r="R230" s="331" t="str">
        <f t="shared" si="12"/>
        <v>Gastos_Gerais</v>
      </c>
      <c r="S230" s="331" t="str">
        <f>IF(D230="","",IF(OR(D230=Plano!$A$1,D230=Plano!$B$1),"entrada","saída"))</f>
        <v>saída</v>
      </c>
      <c r="T230" s="332" t="s">
        <v>114</v>
      </c>
      <c r="U230" s="332" t="s">
        <v>114</v>
      </c>
      <c r="V230" s="344"/>
      <c r="W230" s="269"/>
      <c r="X230" s="269"/>
      <c r="Y230" s="269"/>
      <c r="Z230" s="269"/>
      <c r="AA230" s="269"/>
      <c r="AB230" s="269"/>
      <c r="AC230" s="269"/>
      <c r="AD230" s="269"/>
      <c r="AE230" s="269"/>
      <c r="AF230" s="269"/>
      <c r="AG230" s="269"/>
      <c r="AH230" s="269"/>
      <c r="AI230" s="269"/>
      <c r="AJ230" s="269"/>
      <c r="AK230" s="269"/>
      <c r="AL230" s="269"/>
      <c r="AM230" s="269"/>
    </row>
    <row r="231" spans="1:39" ht="38.25" customHeight="1" x14ac:dyDescent="0.2">
      <c r="A231" s="277">
        <f>IF(B231="","",COUNT('Diário 5º PA'!$A$5:$A$2634)+COUNT('Diário 6º PA'!$A$5:$A$2246)+ROW()-4)</f>
        <v>2770</v>
      </c>
      <c r="B231" s="278">
        <v>44386</v>
      </c>
      <c r="C231" s="335">
        <v>44378</v>
      </c>
      <c r="D231" s="255" t="s">
        <v>99</v>
      </c>
      <c r="E231" s="255" t="s">
        <v>272</v>
      </c>
      <c r="F231" s="258">
        <v>10.45</v>
      </c>
      <c r="G231" s="450" t="s">
        <v>1359</v>
      </c>
      <c r="H231" s="252" t="s">
        <v>128</v>
      </c>
      <c r="I231" s="250" t="s">
        <v>949</v>
      </c>
      <c r="J231" s="255" t="s">
        <v>950</v>
      </c>
      <c r="K231" s="255" t="s">
        <v>951</v>
      </c>
      <c r="L231" s="250" t="s">
        <v>947</v>
      </c>
      <c r="M231" s="336" t="s">
        <v>114</v>
      </c>
      <c r="N231" s="278">
        <v>44385</v>
      </c>
      <c r="O231" s="329" t="s">
        <v>67</v>
      </c>
      <c r="P231" s="330">
        <f t="shared" si="10"/>
        <v>7</v>
      </c>
      <c r="Q231" s="330">
        <f t="shared" si="11"/>
        <v>7</v>
      </c>
      <c r="R231" s="331" t="str">
        <f t="shared" si="12"/>
        <v>Gastos_Gerais</v>
      </c>
      <c r="S231" s="331" t="str">
        <f>IF(D231="","",IF(OR(D231=Plano!$A$1,D231=Plano!$B$1),"entrada","saída"))</f>
        <v>saída</v>
      </c>
      <c r="T231" s="332" t="s">
        <v>114</v>
      </c>
      <c r="U231" s="332" t="s">
        <v>114</v>
      </c>
      <c r="V231" s="344"/>
      <c r="W231" s="269"/>
      <c r="X231" s="269"/>
      <c r="Y231" s="269"/>
      <c r="Z231" s="269"/>
      <c r="AA231" s="269"/>
      <c r="AB231" s="269"/>
      <c r="AC231" s="269"/>
      <c r="AD231" s="269"/>
      <c r="AE231" s="269"/>
      <c r="AF231" s="269"/>
      <c r="AG231" s="269"/>
      <c r="AH231" s="269"/>
      <c r="AI231" s="269"/>
      <c r="AJ231" s="269"/>
      <c r="AK231" s="269"/>
      <c r="AL231" s="269"/>
      <c r="AM231" s="269"/>
    </row>
    <row r="232" spans="1:39" ht="51" customHeight="1" x14ac:dyDescent="0.2">
      <c r="A232" s="277">
        <f>IF(B232="","",COUNT('Diário 5º PA'!$A$5:$A$2634)+COUNT('Diário 6º PA'!$A$5:$A$2246)+ROW()-4)</f>
        <v>2771</v>
      </c>
      <c r="B232" s="278">
        <v>44386</v>
      </c>
      <c r="C232" s="335">
        <v>44378</v>
      </c>
      <c r="D232" s="255" t="s">
        <v>99</v>
      </c>
      <c r="E232" s="255" t="s">
        <v>272</v>
      </c>
      <c r="F232" s="258">
        <v>10.45</v>
      </c>
      <c r="G232" s="450" t="s">
        <v>1360</v>
      </c>
      <c r="H232" s="252" t="s">
        <v>124</v>
      </c>
      <c r="I232" s="250" t="s">
        <v>949</v>
      </c>
      <c r="J232" s="255" t="s">
        <v>950</v>
      </c>
      <c r="K232" s="255" t="s">
        <v>951</v>
      </c>
      <c r="L232" s="250" t="s">
        <v>947</v>
      </c>
      <c r="M232" s="336" t="s">
        <v>114</v>
      </c>
      <c r="N232" s="278">
        <v>44385</v>
      </c>
      <c r="O232" s="329" t="s">
        <v>67</v>
      </c>
      <c r="P232" s="330">
        <f t="shared" si="10"/>
        <v>7</v>
      </c>
      <c r="Q232" s="330">
        <f t="shared" si="11"/>
        <v>7</v>
      </c>
      <c r="R232" s="331" t="str">
        <f t="shared" si="12"/>
        <v>Gastos_Gerais</v>
      </c>
      <c r="S232" s="331" t="str">
        <f>IF(D232="","",IF(OR(D232=Plano!$A$1,D232=Plano!$B$1),"entrada","saída"))</f>
        <v>saída</v>
      </c>
      <c r="T232" s="332" t="s">
        <v>114</v>
      </c>
      <c r="U232" s="332" t="s">
        <v>114</v>
      </c>
      <c r="V232" s="344"/>
      <c r="W232" s="269"/>
      <c r="X232" s="269"/>
      <c r="Y232" s="269"/>
      <c r="Z232" s="269"/>
      <c r="AA232" s="269"/>
      <c r="AB232" s="269"/>
      <c r="AC232" s="269"/>
      <c r="AD232" s="269"/>
      <c r="AE232" s="269"/>
      <c r="AF232" s="269"/>
      <c r="AG232" s="269"/>
      <c r="AH232" s="269"/>
      <c r="AI232" s="269"/>
      <c r="AJ232" s="269"/>
      <c r="AK232" s="269"/>
      <c r="AL232" s="269"/>
      <c r="AM232" s="269"/>
    </row>
    <row r="233" spans="1:39" ht="69.75" customHeight="1" x14ac:dyDescent="0.2">
      <c r="A233" s="277">
        <f>IF(B233="","",COUNT('Diário 5º PA'!$A$5:$A$2634)+COUNT('Diário 6º PA'!$A$5:$A$2246)+ROW()-4)</f>
        <v>2772</v>
      </c>
      <c r="B233" s="278">
        <v>44389</v>
      </c>
      <c r="C233" s="249">
        <v>44348</v>
      </c>
      <c r="D233" s="255" t="s">
        <v>99</v>
      </c>
      <c r="E233" s="255" t="s">
        <v>246</v>
      </c>
      <c r="F233" s="258">
        <v>-158.46</v>
      </c>
      <c r="G233" s="450" t="s">
        <v>1361</v>
      </c>
      <c r="H233" s="255" t="s">
        <v>115</v>
      </c>
      <c r="I233" s="250" t="s">
        <v>983</v>
      </c>
      <c r="J233" s="255" t="s">
        <v>850</v>
      </c>
      <c r="K233" s="255" t="s">
        <v>946</v>
      </c>
      <c r="L233" s="250" t="s">
        <v>947</v>
      </c>
      <c r="M233" s="277" t="s">
        <v>114</v>
      </c>
      <c r="N233" s="278">
        <v>44389</v>
      </c>
      <c r="O233" s="329" t="s">
        <v>67</v>
      </c>
      <c r="P233" s="330">
        <f t="shared" si="10"/>
        <v>7</v>
      </c>
      <c r="Q233" s="330">
        <f t="shared" si="11"/>
        <v>6</v>
      </c>
      <c r="R233" s="331" t="str">
        <f t="shared" si="12"/>
        <v>Gastos_Gerais</v>
      </c>
      <c r="S233" s="331" t="str">
        <f>IF(D233="","",IF(OR(D233=Plano!$A$1,D233=Plano!$B$1),"entrada","saída"))</f>
        <v>saída</v>
      </c>
      <c r="T233" s="332" t="s">
        <v>114</v>
      </c>
      <c r="U233" s="332" t="s">
        <v>114</v>
      </c>
      <c r="V233" s="344"/>
      <c r="W233" s="269"/>
      <c r="X233" s="269"/>
      <c r="Y233" s="269"/>
      <c r="Z233" s="269"/>
      <c r="AA233" s="269"/>
      <c r="AB233" s="269"/>
      <c r="AC233" s="269"/>
      <c r="AD233" s="269"/>
      <c r="AE233" s="269"/>
      <c r="AF233" s="269"/>
      <c r="AG233" s="269"/>
      <c r="AH233" s="269"/>
      <c r="AI233" s="269"/>
      <c r="AJ233" s="269"/>
      <c r="AK233" s="269"/>
      <c r="AL233" s="269"/>
      <c r="AM233" s="269"/>
    </row>
    <row r="234" spans="1:39" ht="50.25" customHeight="1" x14ac:dyDescent="0.2">
      <c r="A234" s="277">
        <f>IF(B234="","",COUNT('Diário 5º PA'!$A$5:$A$2634)+COUNT('Diário 6º PA'!$A$5:$A$2246)+ROW()-4)</f>
        <v>2773</v>
      </c>
      <c r="B234" s="278">
        <v>44389</v>
      </c>
      <c r="C234" s="249">
        <v>44348</v>
      </c>
      <c r="D234" s="255" t="s">
        <v>99</v>
      </c>
      <c r="E234" s="255" t="s">
        <v>220</v>
      </c>
      <c r="F234" s="258">
        <v>-83.48</v>
      </c>
      <c r="G234" s="450" t="s">
        <v>1362</v>
      </c>
      <c r="H234" s="255" t="s">
        <v>115</v>
      </c>
      <c r="I234" s="250" t="s">
        <v>983</v>
      </c>
      <c r="J234" s="252" t="s">
        <v>850</v>
      </c>
      <c r="K234" s="255" t="s">
        <v>1069</v>
      </c>
      <c r="L234" s="250" t="s">
        <v>947</v>
      </c>
      <c r="M234" s="277" t="s">
        <v>114</v>
      </c>
      <c r="N234" s="278">
        <v>44389</v>
      </c>
      <c r="O234" s="329" t="s">
        <v>67</v>
      </c>
      <c r="P234" s="330">
        <f t="shared" si="10"/>
        <v>7</v>
      </c>
      <c r="Q234" s="330">
        <f t="shared" si="11"/>
        <v>6</v>
      </c>
      <c r="R234" s="331" t="str">
        <f t="shared" si="12"/>
        <v>Gastos_Gerais</v>
      </c>
      <c r="S234" s="331" t="str">
        <f>IF(D234="","",IF(OR(D234=Plano!$A$1,D234=Plano!$B$1),"entrada","saída"))</f>
        <v>saída</v>
      </c>
      <c r="T234" s="332" t="s">
        <v>114</v>
      </c>
      <c r="U234" s="332" t="s">
        <v>114</v>
      </c>
      <c r="V234" s="344"/>
      <c r="W234" s="269"/>
      <c r="X234" s="269"/>
      <c r="Y234" s="269"/>
      <c r="Z234" s="269"/>
      <c r="AA234" s="269"/>
      <c r="AB234" s="269"/>
      <c r="AC234" s="269"/>
      <c r="AD234" s="269"/>
      <c r="AE234" s="269"/>
      <c r="AF234" s="269"/>
      <c r="AG234" s="269"/>
      <c r="AH234" s="269"/>
      <c r="AI234" s="269"/>
      <c r="AJ234" s="269"/>
      <c r="AK234" s="269"/>
      <c r="AL234" s="269"/>
      <c r="AM234" s="269"/>
    </row>
    <row r="235" spans="1:39" ht="60.75" customHeight="1" x14ac:dyDescent="0.2">
      <c r="A235" s="277">
        <f>IF(B235="","",COUNT('Diário 5º PA'!$A$5:$A$2634)+COUNT('Diário 6º PA'!$A$5:$A$2246)+ROW()-4)</f>
        <v>2774</v>
      </c>
      <c r="B235" s="278">
        <v>44389</v>
      </c>
      <c r="C235" s="249">
        <v>44348</v>
      </c>
      <c r="D235" s="255" t="s">
        <v>99</v>
      </c>
      <c r="E235" s="255" t="s">
        <v>254</v>
      </c>
      <c r="F235" s="258">
        <v>-132.05000000000001</v>
      </c>
      <c r="G235" s="451" t="s">
        <v>1363</v>
      </c>
      <c r="H235" s="255" t="s">
        <v>115</v>
      </c>
      <c r="I235" s="250" t="s">
        <v>983</v>
      </c>
      <c r="J235" s="252" t="s">
        <v>850</v>
      </c>
      <c r="K235" s="255" t="s">
        <v>946</v>
      </c>
      <c r="L235" s="250" t="s">
        <v>947</v>
      </c>
      <c r="M235" s="277" t="s">
        <v>114</v>
      </c>
      <c r="N235" s="278">
        <v>44389</v>
      </c>
      <c r="O235" s="329" t="s">
        <v>67</v>
      </c>
      <c r="P235" s="330">
        <f t="shared" si="10"/>
        <v>7</v>
      </c>
      <c r="Q235" s="330">
        <f t="shared" si="11"/>
        <v>6</v>
      </c>
      <c r="R235" s="331" t="str">
        <f t="shared" si="12"/>
        <v>Gastos_Gerais</v>
      </c>
      <c r="S235" s="331" t="str">
        <f>IF(D235="","",IF(OR(D235=Plano!$A$1,D235=Plano!$B$1),"entrada","saída"))</f>
        <v>saída</v>
      </c>
      <c r="T235" s="332" t="s">
        <v>114</v>
      </c>
      <c r="U235" s="332" t="s">
        <v>114</v>
      </c>
      <c r="V235" s="344"/>
      <c r="W235" s="269"/>
      <c r="X235" s="269"/>
      <c r="Y235" s="269"/>
      <c r="Z235" s="269"/>
      <c r="AA235" s="269"/>
      <c r="AB235" s="269"/>
      <c r="AC235" s="269"/>
      <c r="AD235" s="269"/>
      <c r="AE235" s="269"/>
      <c r="AF235" s="269"/>
      <c r="AG235" s="269"/>
      <c r="AH235" s="269"/>
      <c r="AI235" s="269"/>
      <c r="AJ235" s="269"/>
      <c r="AK235" s="269"/>
      <c r="AL235" s="269"/>
      <c r="AM235" s="269"/>
    </row>
    <row r="236" spans="1:39" ht="106.5" customHeight="1" x14ac:dyDescent="0.2">
      <c r="A236" s="277">
        <f>IF(B236="","",COUNT('Diário 5º PA'!$A$5:$A$2634)+COUNT('Diário 6º PA'!$A$5:$A$2246)+ROW()-4)</f>
        <v>2775</v>
      </c>
      <c r="B236" s="278">
        <v>44389</v>
      </c>
      <c r="C236" s="249">
        <v>44378</v>
      </c>
      <c r="D236" s="252" t="s">
        <v>99</v>
      </c>
      <c r="E236" s="252" t="s">
        <v>226</v>
      </c>
      <c r="F236" s="258">
        <v>-114.31</v>
      </c>
      <c r="G236" s="451" t="s">
        <v>1364</v>
      </c>
      <c r="H236" s="255" t="s">
        <v>115</v>
      </c>
      <c r="I236" s="250" t="s">
        <v>983</v>
      </c>
      <c r="J236" s="252" t="s">
        <v>850</v>
      </c>
      <c r="K236" s="255" t="s">
        <v>946</v>
      </c>
      <c r="L236" s="250" t="s">
        <v>947</v>
      </c>
      <c r="M236" s="277" t="s">
        <v>114</v>
      </c>
      <c r="N236" s="278">
        <v>44389</v>
      </c>
      <c r="O236" s="329" t="s">
        <v>67</v>
      </c>
      <c r="P236" s="330">
        <f t="shared" si="10"/>
        <v>7</v>
      </c>
      <c r="Q236" s="330">
        <f t="shared" si="11"/>
        <v>7</v>
      </c>
      <c r="R236" s="331" t="str">
        <f t="shared" si="12"/>
        <v>Gastos_Gerais</v>
      </c>
      <c r="S236" s="331" t="str">
        <f>IF(D236="","",IF(OR(D236=Plano!$A$1,D236=Plano!$B$1),"entrada","saída"))</f>
        <v>saída</v>
      </c>
      <c r="T236" s="332" t="s">
        <v>114</v>
      </c>
      <c r="U236" s="332" t="s">
        <v>114</v>
      </c>
      <c r="V236" s="344"/>
      <c r="W236" s="269"/>
      <c r="X236" s="269"/>
      <c r="Y236" s="269"/>
      <c r="Z236" s="269"/>
      <c r="AA236" s="269"/>
      <c r="AB236" s="269"/>
      <c r="AC236" s="269"/>
      <c r="AD236" s="269"/>
      <c r="AE236" s="269"/>
      <c r="AF236" s="269"/>
      <c r="AG236" s="269"/>
      <c r="AH236" s="269"/>
      <c r="AI236" s="269"/>
      <c r="AJ236" s="269"/>
      <c r="AK236" s="269"/>
      <c r="AL236" s="269"/>
      <c r="AM236" s="269"/>
    </row>
    <row r="237" spans="1:39" ht="97.5" customHeight="1" x14ac:dyDescent="0.2">
      <c r="A237" s="277">
        <f>IF(B237="","",COUNT('Diário 5º PA'!$A$5:$A$2634)+COUNT('Diário 6º PA'!$A$5:$A$2246)+ROW()-4)</f>
        <v>2776</v>
      </c>
      <c r="B237" s="278">
        <v>44389</v>
      </c>
      <c r="C237" s="249">
        <v>44197</v>
      </c>
      <c r="D237" s="252" t="s">
        <v>99</v>
      </c>
      <c r="E237" s="252" t="s">
        <v>330</v>
      </c>
      <c r="F237" s="258">
        <v>-258.82</v>
      </c>
      <c r="G237" s="451" t="s">
        <v>1365</v>
      </c>
      <c r="H237" s="255" t="s">
        <v>115</v>
      </c>
      <c r="I237" s="250" t="s">
        <v>983</v>
      </c>
      <c r="J237" s="252" t="s">
        <v>850</v>
      </c>
      <c r="K237" s="255" t="s">
        <v>946</v>
      </c>
      <c r="L237" s="250" t="s">
        <v>947</v>
      </c>
      <c r="M237" s="277" t="s">
        <v>114</v>
      </c>
      <c r="N237" s="278">
        <v>44389</v>
      </c>
      <c r="O237" s="329" t="s">
        <v>67</v>
      </c>
      <c r="P237" s="330">
        <f t="shared" si="10"/>
        <v>7</v>
      </c>
      <c r="Q237" s="330">
        <f t="shared" si="11"/>
        <v>1</v>
      </c>
      <c r="R237" s="331" t="str">
        <f t="shared" si="12"/>
        <v>Gastos_Gerais</v>
      </c>
      <c r="S237" s="331" t="str">
        <f>IF(D237="","",IF(OR(D237=Plano!$A$1,D237=Plano!$B$1),"entrada","saída"))</f>
        <v>saída</v>
      </c>
      <c r="T237" s="332" t="s">
        <v>114</v>
      </c>
      <c r="U237" s="332" t="s">
        <v>114</v>
      </c>
      <c r="V237" s="344"/>
      <c r="W237" s="269"/>
      <c r="X237" s="269"/>
      <c r="Y237" s="269"/>
      <c r="Z237" s="269"/>
      <c r="AA237" s="269"/>
      <c r="AB237" s="269"/>
      <c r="AC237" s="269"/>
      <c r="AD237" s="269"/>
      <c r="AE237" s="269"/>
      <c r="AF237" s="269"/>
      <c r="AG237" s="269"/>
      <c r="AH237" s="269"/>
      <c r="AI237" s="269"/>
      <c r="AJ237" s="269"/>
      <c r="AK237" s="269"/>
      <c r="AL237" s="269"/>
      <c r="AM237" s="269"/>
    </row>
    <row r="238" spans="1:39" ht="54" customHeight="1" x14ac:dyDescent="0.2">
      <c r="A238" s="277">
        <f>IF(B238="","",COUNT('Diário 5º PA'!$A$5:$A$2634)+COUNT('Diário 6º PA'!$A$5:$A$2246)+ROW()-4)</f>
        <v>2777</v>
      </c>
      <c r="B238" s="278">
        <v>44389</v>
      </c>
      <c r="C238" s="249">
        <v>44348</v>
      </c>
      <c r="D238" s="255" t="s">
        <v>99</v>
      </c>
      <c r="E238" s="255" t="s">
        <v>266</v>
      </c>
      <c r="F238" s="258">
        <v>-69.989999999999995</v>
      </c>
      <c r="G238" s="450" t="s">
        <v>1366</v>
      </c>
      <c r="H238" s="255" t="s">
        <v>115</v>
      </c>
      <c r="I238" s="250" t="s">
        <v>983</v>
      </c>
      <c r="J238" s="255" t="s">
        <v>850</v>
      </c>
      <c r="K238" s="255" t="s">
        <v>946</v>
      </c>
      <c r="L238" s="250" t="s">
        <v>947</v>
      </c>
      <c r="M238" s="277" t="s">
        <v>114</v>
      </c>
      <c r="N238" s="278">
        <v>44389</v>
      </c>
      <c r="O238" s="329" t="s">
        <v>67</v>
      </c>
      <c r="P238" s="330">
        <f t="shared" si="10"/>
        <v>7</v>
      </c>
      <c r="Q238" s="330">
        <f t="shared" si="11"/>
        <v>6</v>
      </c>
      <c r="R238" s="331" t="str">
        <f t="shared" si="12"/>
        <v>Gastos_Gerais</v>
      </c>
      <c r="S238" s="331" t="str">
        <f>IF(D238="","",IF(OR(D238=Plano!$A$1,D238=Plano!$B$1),"entrada","saída"))</f>
        <v>saída</v>
      </c>
      <c r="T238" s="332" t="s">
        <v>114</v>
      </c>
      <c r="U238" s="332" t="s">
        <v>114</v>
      </c>
      <c r="V238" s="344"/>
      <c r="W238" s="269"/>
      <c r="X238" s="269"/>
      <c r="Y238" s="269"/>
      <c r="Z238" s="269"/>
      <c r="AA238" s="269"/>
      <c r="AB238" s="269"/>
      <c r="AC238" s="269"/>
      <c r="AD238" s="269"/>
      <c r="AE238" s="269"/>
      <c r="AF238" s="269"/>
      <c r="AG238" s="269"/>
      <c r="AH238" s="269"/>
      <c r="AI238" s="269"/>
      <c r="AJ238" s="269"/>
      <c r="AK238" s="269"/>
      <c r="AL238" s="269"/>
      <c r="AM238" s="269"/>
    </row>
    <row r="239" spans="1:39" ht="81.75" customHeight="1" x14ac:dyDescent="0.2">
      <c r="A239" s="277">
        <f>IF(B239="","",COUNT('Diário 5º PA'!$A$5:$A$2634)+COUNT('Diário 6º PA'!$A$5:$A$2246)+ROW()-4)</f>
        <v>2778</v>
      </c>
      <c r="B239" s="278">
        <v>44389</v>
      </c>
      <c r="C239" s="259">
        <v>44197</v>
      </c>
      <c r="D239" s="252" t="s">
        <v>99</v>
      </c>
      <c r="E239" s="252" t="s">
        <v>330</v>
      </c>
      <c r="F239" s="257">
        <v>980</v>
      </c>
      <c r="G239" s="451" t="s">
        <v>1367</v>
      </c>
      <c r="H239" s="252" t="s">
        <v>115</v>
      </c>
      <c r="I239" s="252" t="s">
        <v>1368</v>
      </c>
      <c r="J239" s="250" t="s">
        <v>779</v>
      </c>
      <c r="K239" s="255" t="s">
        <v>560</v>
      </c>
      <c r="L239" s="250" t="s">
        <v>1016</v>
      </c>
      <c r="M239" s="277">
        <v>3478</v>
      </c>
      <c r="N239" s="278">
        <v>44368</v>
      </c>
      <c r="O239" s="329" t="s">
        <v>67</v>
      </c>
      <c r="P239" s="330">
        <f t="shared" si="10"/>
        <v>7</v>
      </c>
      <c r="Q239" s="330">
        <f t="shared" si="11"/>
        <v>1</v>
      </c>
      <c r="R239" s="331" t="str">
        <f t="shared" si="12"/>
        <v>Gastos_Gerais</v>
      </c>
      <c r="S239" s="331" t="str">
        <f>IF(D239="","",IF(OR(D239=Plano!$A$1,D239=Plano!$B$1),"entrada","saída"))</f>
        <v>saída</v>
      </c>
      <c r="T239" s="334" t="s">
        <v>994</v>
      </c>
      <c r="U239" s="334">
        <v>1140</v>
      </c>
      <c r="V239" s="344"/>
      <c r="W239" s="269"/>
      <c r="X239" s="269"/>
      <c r="Y239" s="269"/>
      <c r="Z239" s="269"/>
      <c r="AA239" s="269"/>
      <c r="AB239" s="269"/>
      <c r="AC239" s="269"/>
      <c r="AD239" s="269"/>
      <c r="AE239" s="269"/>
      <c r="AF239" s="269"/>
      <c r="AG239" s="269"/>
      <c r="AH239" s="269"/>
      <c r="AI239" s="269"/>
      <c r="AJ239" s="269"/>
      <c r="AK239" s="269"/>
      <c r="AL239" s="269"/>
      <c r="AM239" s="269"/>
    </row>
    <row r="240" spans="1:39" ht="97.5" customHeight="1" x14ac:dyDescent="0.2">
      <c r="A240" s="277">
        <f>IF(B240="","",COUNT('Diário 5º PA'!$A$5:$A$2634)+COUNT('Diário 6º PA'!$A$5:$A$2246)+ROW()-4)</f>
        <v>2779</v>
      </c>
      <c r="B240" s="278">
        <v>44389</v>
      </c>
      <c r="C240" s="259">
        <v>44348</v>
      </c>
      <c r="D240" s="255" t="s">
        <v>99</v>
      </c>
      <c r="E240" s="255" t="s">
        <v>246</v>
      </c>
      <c r="F240" s="257">
        <v>600</v>
      </c>
      <c r="G240" s="451" t="s">
        <v>1369</v>
      </c>
      <c r="H240" s="255" t="s">
        <v>115</v>
      </c>
      <c r="I240" s="250" t="s">
        <v>1370</v>
      </c>
      <c r="J240" s="252" t="s">
        <v>1371</v>
      </c>
      <c r="K240" s="255" t="s">
        <v>560</v>
      </c>
      <c r="L240" s="250" t="s">
        <v>1016</v>
      </c>
      <c r="M240" s="277" t="s">
        <v>1265</v>
      </c>
      <c r="N240" s="278">
        <v>44379</v>
      </c>
      <c r="O240" s="329" t="s">
        <v>67</v>
      </c>
      <c r="P240" s="330">
        <f t="shared" si="10"/>
        <v>7</v>
      </c>
      <c r="Q240" s="330">
        <f t="shared" si="11"/>
        <v>6</v>
      </c>
      <c r="R240" s="331" t="str">
        <f t="shared" si="12"/>
        <v>Gastos_Gerais</v>
      </c>
      <c r="S240" s="331" t="str">
        <f>IF(D240="","",IF(OR(D240=Plano!$A$1,D240=Plano!$B$1),"entrada","saída"))</f>
        <v>saída</v>
      </c>
      <c r="T240" s="332" t="s">
        <v>1059</v>
      </c>
      <c r="U240" s="332">
        <v>1144</v>
      </c>
      <c r="V240" s="344"/>
      <c r="W240" s="269"/>
      <c r="X240" s="269"/>
      <c r="Y240" s="269"/>
      <c r="Z240" s="269"/>
      <c r="AA240" s="269"/>
      <c r="AB240" s="269"/>
      <c r="AC240" s="269"/>
      <c r="AD240" s="269"/>
      <c r="AE240" s="269"/>
      <c r="AF240" s="269"/>
      <c r="AG240" s="269"/>
      <c r="AH240" s="269"/>
      <c r="AI240" s="269"/>
      <c r="AJ240" s="269"/>
      <c r="AK240" s="269"/>
      <c r="AL240" s="269"/>
      <c r="AM240" s="269"/>
    </row>
    <row r="241" spans="1:39" ht="122.25" customHeight="1" x14ac:dyDescent="0.2">
      <c r="A241" s="277">
        <f>IF(B241="","",COUNT('Diário 5º PA'!$A$5:$A$2634)+COUNT('Diário 6º PA'!$A$5:$A$2246)+ROW()-4)</f>
        <v>2780</v>
      </c>
      <c r="B241" s="278">
        <v>44389</v>
      </c>
      <c r="C241" s="259">
        <v>44348</v>
      </c>
      <c r="D241" s="255" t="s">
        <v>99</v>
      </c>
      <c r="E241" s="255" t="s">
        <v>266</v>
      </c>
      <c r="F241" s="258">
        <v>255.72</v>
      </c>
      <c r="G241" s="450" t="s">
        <v>480</v>
      </c>
      <c r="H241" s="255" t="s">
        <v>115</v>
      </c>
      <c r="I241" s="252" t="s">
        <v>1372</v>
      </c>
      <c r="J241" s="252" t="s">
        <v>482</v>
      </c>
      <c r="K241" s="255" t="s">
        <v>560</v>
      </c>
      <c r="L241" s="250" t="s">
        <v>1016</v>
      </c>
      <c r="M241" s="277" t="s">
        <v>1373</v>
      </c>
      <c r="N241" s="278">
        <v>44351</v>
      </c>
      <c r="O241" s="329" t="s">
        <v>67</v>
      </c>
      <c r="P241" s="330">
        <f t="shared" si="10"/>
        <v>7</v>
      </c>
      <c r="Q241" s="330">
        <f t="shared" si="11"/>
        <v>6</v>
      </c>
      <c r="R241" s="331" t="str">
        <f t="shared" si="12"/>
        <v>Gastos_Gerais</v>
      </c>
      <c r="S241" s="331" t="str">
        <f>IF(D241="","",IF(OR(D241=Plano!$A$1,D241=Plano!$B$1),"entrada","saída"))</f>
        <v>saída</v>
      </c>
      <c r="T241" s="332" t="s">
        <v>1059</v>
      </c>
      <c r="U241" s="332">
        <v>1133</v>
      </c>
      <c r="V241" s="344"/>
      <c r="W241" s="269"/>
      <c r="X241" s="269"/>
      <c r="Y241" s="269"/>
      <c r="Z241" s="269"/>
      <c r="AA241" s="269"/>
      <c r="AB241" s="269"/>
      <c r="AC241" s="269"/>
      <c r="AD241" s="269"/>
      <c r="AE241" s="269"/>
      <c r="AF241" s="269"/>
      <c r="AG241" s="269"/>
      <c r="AH241" s="269"/>
      <c r="AI241" s="269"/>
      <c r="AJ241" s="269"/>
      <c r="AK241" s="269"/>
      <c r="AL241" s="269"/>
      <c r="AM241" s="269"/>
    </row>
    <row r="242" spans="1:39" ht="189" customHeight="1" x14ac:dyDescent="0.2">
      <c r="A242" s="277">
        <f>IF(B242="","",COUNT('Diário 5º PA'!$A$5:$A$2634)+COUNT('Diário 6º PA'!$A$5:$A$2246)+ROW()-4)</f>
        <v>2781</v>
      </c>
      <c r="B242" s="278">
        <v>44389</v>
      </c>
      <c r="C242" s="249">
        <v>44348</v>
      </c>
      <c r="D242" s="255" t="s">
        <v>99</v>
      </c>
      <c r="E242" s="255" t="s">
        <v>224</v>
      </c>
      <c r="F242" s="258">
        <v>49.99</v>
      </c>
      <c r="G242" s="450" t="s">
        <v>642</v>
      </c>
      <c r="H242" s="255" t="s">
        <v>130</v>
      </c>
      <c r="I242" s="252" t="s">
        <v>1374</v>
      </c>
      <c r="J242" s="252" t="s">
        <v>644</v>
      </c>
      <c r="K242" s="255" t="s">
        <v>1375</v>
      </c>
      <c r="L242" s="250" t="s">
        <v>697</v>
      </c>
      <c r="M242" s="336">
        <v>2106954712530</v>
      </c>
      <c r="N242" s="278">
        <v>44363</v>
      </c>
      <c r="O242" s="329" t="s">
        <v>67</v>
      </c>
      <c r="P242" s="330">
        <f t="shared" si="10"/>
        <v>7</v>
      </c>
      <c r="Q242" s="330">
        <f t="shared" si="11"/>
        <v>6</v>
      </c>
      <c r="R242" s="331" t="str">
        <f t="shared" si="12"/>
        <v>Gastos_Gerais</v>
      </c>
      <c r="S242" s="331" t="str">
        <f>IF(D242="","",IF(OR(D242=Plano!$A$1,D242=Plano!$B$1),"entrada","saída"))</f>
        <v>saída</v>
      </c>
      <c r="T242" s="332" t="s">
        <v>1082</v>
      </c>
      <c r="U242" s="332">
        <v>277</v>
      </c>
      <c r="V242" s="344"/>
      <c r="W242" s="269"/>
      <c r="X242" s="269"/>
      <c r="Y242" s="269"/>
      <c r="Z242" s="269"/>
      <c r="AA242" s="269"/>
      <c r="AB242" s="269"/>
      <c r="AC242" s="269"/>
      <c r="AD242" s="269"/>
      <c r="AE242" s="269"/>
      <c r="AF242" s="269"/>
      <c r="AG242" s="269"/>
      <c r="AH242" s="269"/>
      <c r="AI242" s="269"/>
      <c r="AJ242" s="269"/>
      <c r="AK242" s="269"/>
      <c r="AL242" s="269"/>
      <c r="AM242" s="269"/>
    </row>
    <row r="243" spans="1:39" ht="160.5" customHeight="1" x14ac:dyDescent="0.2">
      <c r="A243" s="277">
        <f>IF(B243="","",COUNT('Diário 5º PA'!$A$5:$A$2634)+COUNT('Diário 6º PA'!$A$5:$A$2246)+ROW()-4)</f>
        <v>2782</v>
      </c>
      <c r="B243" s="278">
        <v>44389</v>
      </c>
      <c r="C243" s="256">
        <v>44348</v>
      </c>
      <c r="D243" s="255" t="s">
        <v>99</v>
      </c>
      <c r="E243" s="255" t="s">
        <v>254</v>
      </c>
      <c r="F243" s="258">
        <v>500</v>
      </c>
      <c r="G243" s="450" t="s">
        <v>448</v>
      </c>
      <c r="H243" s="255" t="s">
        <v>115</v>
      </c>
      <c r="I243" s="250" t="s">
        <v>1376</v>
      </c>
      <c r="J243" s="252" t="s">
        <v>1377</v>
      </c>
      <c r="K243" s="255" t="s">
        <v>560</v>
      </c>
      <c r="L243" s="250" t="s">
        <v>1378</v>
      </c>
      <c r="M243" s="277" t="s">
        <v>1379</v>
      </c>
      <c r="N243" s="278">
        <v>44379</v>
      </c>
      <c r="O243" s="329" t="s">
        <v>67</v>
      </c>
      <c r="P243" s="330">
        <f t="shared" si="10"/>
        <v>7</v>
      </c>
      <c r="Q243" s="330">
        <f t="shared" si="11"/>
        <v>6</v>
      </c>
      <c r="R243" s="331" t="str">
        <f t="shared" si="12"/>
        <v>Gastos_Gerais</v>
      </c>
      <c r="S243" s="331" t="str">
        <f>IF(D243="","",IF(OR(D243=Plano!$A$1,D243=Plano!$B$1),"entrada","saída"))</f>
        <v>saída</v>
      </c>
      <c r="T243" s="332" t="s">
        <v>1059</v>
      </c>
      <c r="U243" s="332">
        <v>1143</v>
      </c>
      <c r="V243" s="344"/>
      <c r="W243" s="269"/>
      <c r="X243" s="269"/>
      <c r="Y243" s="269"/>
      <c r="Z243" s="269"/>
      <c r="AA243" s="269"/>
      <c r="AB243" s="269"/>
      <c r="AC243" s="269"/>
      <c r="AD243" s="269"/>
      <c r="AE243" s="269"/>
      <c r="AF243" s="269"/>
      <c r="AG243" s="269"/>
      <c r="AH243" s="269"/>
      <c r="AI243" s="269"/>
      <c r="AJ243" s="269"/>
      <c r="AK243" s="269"/>
      <c r="AL243" s="269"/>
      <c r="AM243" s="269"/>
    </row>
    <row r="244" spans="1:39" ht="45" customHeight="1" x14ac:dyDescent="0.2">
      <c r="A244" s="277">
        <f>IF(B244="","",COUNT('Diário 5º PA'!$A$5:$A$2634)+COUNT('Diário 6º PA'!$A$5:$A$2246)+ROW()-4)</f>
        <v>2783</v>
      </c>
      <c r="B244" s="278">
        <v>44389</v>
      </c>
      <c r="C244" s="256">
        <v>44348</v>
      </c>
      <c r="D244" s="255" t="s">
        <v>99</v>
      </c>
      <c r="E244" s="255" t="s">
        <v>220</v>
      </c>
      <c r="F244" s="258">
        <v>316.08999999999997</v>
      </c>
      <c r="G244" s="450" t="s">
        <v>1380</v>
      </c>
      <c r="H244" s="255" t="s">
        <v>115</v>
      </c>
      <c r="I244" s="252" t="s">
        <v>522</v>
      </c>
      <c r="J244" s="252" t="s">
        <v>523</v>
      </c>
      <c r="K244" s="255" t="s">
        <v>1375</v>
      </c>
      <c r="L244" s="250" t="s">
        <v>1016</v>
      </c>
      <c r="M244" s="277" t="s">
        <v>1381</v>
      </c>
      <c r="N244" s="278">
        <v>44366</v>
      </c>
      <c r="O244" s="329" t="s">
        <v>67</v>
      </c>
      <c r="P244" s="330">
        <f t="shared" si="10"/>
        <v>7</v>
      </c>
      <c r="Q244" s="330">
        <f t="shared" si="11"/>
        <v>6</v>
      </c>
      <c r="R244" s="331" t="str">
        <f t="shared" si="12"/>
        <v>Gastos_Gerais</v>
      </c>
      <c r="S244" s="331" t="str">
        <f>IF(D244="","",IF(OR(D244=Plano!$A$1,D244=Plano!$B$1),"entrada","saída"))</f>
        <v>saída</v>
      </c>
      <c r="T244" s="332" t="s">
        <v>114</v>
      </c>
      <c r="U244" s="332" t="s">
        <v>114</v>
      </c>
      <c r="V244" s="344"/>
      <c r="W244" s="269"/>
      <c r="X244" s="269"/>
      <c r="Y244" s="269"/>
      <c r="Z244" s="269"/>
      <c r="AA244" s="269"/>
      <c r="AB244" s="269"/>
      <c r="AC244" s="269"/>
      <c r="AD244" s="269"/>
      <c r="AE244" s="269"/>
      <c r="AF244" s="269"/>
      <c r="AG244" s="269"/>
      <c r="AH244" s="269"/>
      <c r="AI244" s="269"/>
      <c r="AJ244" s="269"/>
      <c r="AK244" s="269"/>
      <c r="AL244" s="269"/>
      <c r="AM244" s="269"/>
    </row>
    <row r="245" spans="1:39" ht="42.75" customHeight="1" x14ac:dyDescent="0.2">
      <c r="A245" s="277">
        <f>IF(B245="","",COUNT('Diário 5º PA'!$A$5:$A$2634)+COUNT('Diário 6º PA'!$A$5:$A$2246)+ROW()-4)</f>
        <v>2784</v>
      </c>
      <c r="B245" s="278">
        <v>44389</v>
      </c>
      <c r="C245" s="256">
        <v>44378</v>
      </c>
      <c r="D245" s="255" t="s">
        <v>88</v>
      </c>
      <c r="E245" s="255" t="s">
        <v>194</v>
      </c>
      <c r="F245" s="258">
        <v>889.77</v>
      </c>
      <c r="G245" s="450" t="s">
        <v>1260</v>
      </c>
      <c r="H245" s="255" t="s">
        <v>114</v>
      </c>
      <c r="I245" s="250" t="s">
        <v>532</v>
      </c>
      <c r="J245" s="255" t="s">
        <v>1261</v>
      </c>
      <c r="K245" s="255" t="s">
        <v>560</v>
      </c>
      <c r="L245" s="250" t="s">
        <v>1016</v>
      </c>
      <c r="M245" s="277">
        <v>602247</v>
      </c>
      <c r="N245" s="278">
        <v>44392</v>
      </c>
      <c r="O245" s="329" t="s">
        <v>67</v>
      </c>
      <c r="P245" s="330">
        <f t="shared" si="10"/>
        <v>7</v>
      </c>
      <c r="Q245" s="330">
        <f t="shared" si="11"/>
        <v>7</v>
      </c>
      <c r="R245" s="331" t="str">
        <f t="shared" si="12"/>
        <v>Gastos_com_Pessoal</v>
      </c>
      <c r="S245" s="331" t="str">
        <f>IF(D245="","",IF(OR(D245=Plano!$A$1,D245=Plano!$B$1),"entrada","saída"))</f>
        <v>saída</v>
      </c>
      <c r="T245" s="332" t="s">
        <v>114</v>
      </c>
      <c r="U245" s="332" t="s">
        <v>114</v>
      </c>
      <c r="V245" s="344"/>
      <c r="W245" s="269"/>
      <c r="X245" s="269"/>
      <c r="Y245" s="269"/>
      <c r="Z245" s="269"/>
      <c r="AA245" s="269"/>
      <c r="AB245" s="269"/>
      <c r="AC245" s="269"/>
      <c r="AD245" s="269"/>
      <c r="AE245" s="269"/>
      <c r="AF245" s="269"/>
      <c r="AG245" s="269"/>
      <c r="AH245" s="269"/>
      <c r="AI245" s="269"/>
      <c r="AJ245" s="269"/>
      <c r="AK245" s="269"/>
      <c r="AL245" s="269"/>
      <c r="AM245" s="269"/>
    </row>
    <row r="246" spans="1:39" ht="30.75" customHeight="1" x14ac:dyDescent="0.2">
      <c r="A246" s="277">
        <f>IF(B246="","",COUNT('Diário 5º PA'!$A$5:$A$2634)+COUNT('Diário 6º PA'!$A$5:$A$2246)+ROW()-4)</f>
        <v>2785</v>
      </c>
      <c r="B246" s="278">
        <v>44389</v>
      </c>
      <c r="C246" s="335">
        <v>44378</v>
      </c>
      <c r="D246" s="255" t="s">
        <v>88</v>
      </c>
      <c r="E246" s="255" t="s">
        <v>192</v>
      </c>
      <c r="F246" s="258">
        <v>45.43</v>
      </c>
      <c r="G246" s="451" t="s">
        <v>5362</v>
      </c>
      <c r="H246" s="255" t="s">
        <v>114</v>
      </c>
      <c r="I246" s="252" t="s">
        <v>1032</v>
      </c>
      <c r="J246" s="252" t="s">
        <v>1033</v>
      </c>
      <c r="K246" s="255" t="s">
        <v>560</v>
      </c>
      <c r="L246" s="252" t="s">
        <v>1016</v>
      </c>
      <c r="M246" s="277" t="s">
        <v>1382</v>
      </c>
      <c r="N246" s="278">
        <v>44392</v>
      </c>
      <c r="O246" s="329" t="s">
        <v>67</v>
      </c>
      <c r="P246" s="330">
        <f t="shared" si="10"/>
        <v>7</v>
      </c>
      <c r="Q246" s="330">
        <f t="shared" si="11"/>
        <v>7</v>
      </c>
      <c r="R246" s="331" t="str">
        <f t="shared" si="12"/>
        <v>Gastos_com_Pessoal</v>
      </c>
      <c r="S246" s="331" t="str">
        <f>IF(D246="","",IF(OR(D246=Plano!$A$1,D246=Plano!$B$1),"entrada","saída"))</f>
        <v>saída</v>
      </c>
      <c r="T246" s="332" t="s">
        <v>114</v>
      </c>
      <c r="U246" s="332" t="s">
        <v>114</v>
      </c>
      <c r="V246" s="344"/>
      <c r="W246" s="269"/>
      <c r="X246" s="269"/>
      <c r="Y246" s="269"/>
      <c r="Z246" s="269"/>
      <c r="AA246" s="269"/>
      <c r="AB246" s="269"/>
      <c r="AC246" s="269"/>
      <c r="AD246" s="269"/>
      <c r="AE246" s="269"/>
      <c r="AF246" s="269"/>
      <c r="AG246" s="269"/>
      <c r="AH246" s="269"/>
      <c r="AI246" s="269"/>
      <c r="AJ246" s="269"/>
      <c r="AK246" s="269"/>
      <c r="AL246" s="269"/>
      <c r="AM246" s="269"/>
    </row>
    <row r="247" spans="1:39" ht="39" customHeight="1" x14ac:dyDescent="0.2">
      <c r="A247" s="277">
        <f>IF(B247="","",COUNT('Diário 5º PA'!$A$5:$A$2634)+COUNT('Diário 6º PA'!$A$5:$A$2246)+ROW()-4)</f>
        <v>2786</v>
      </c>
      <c r="B247" s="278">
        <v>44389</v>
      </c>
      <c r="C247" s="335">
        <v>44378</v>
      </c>
      <c r="D247" s="255" t="s">
        <v>88</v>
      </c>
      <c r="E247" s="255" t="s">
        <v>192</v>
      </c>
      <c r="F247" s="258">
        <v>45.43</v>
      </c>
      <c r="G247" s="451" t="s">
        <v>5362</v>
      </c>
      <c r="H247" s="255" t="s">
        <v>114</v>
      </c>
      <c r="I247" s="252" t="s">
        <v>1032</v>
      </c>
      <c r="J247" s="252" t="s">
        <v>1033</v>
      </c>
      <c r="K247" s="255" t="s">
        <v>560</v>
      </c>
      <c r="L247" s="252" t="s">
        <v>1016</v>
      </c>
      <c r="M247" s="277" t="s">
        <v>1383</v>
      </c>
      <c r="N247" s="278">
        <v>44392</v>
      </c>
      <c r="O247" s="329" t="s">
        <v>67</v>
      </c>
      <c r="P247" s="330">
        <f t="shared" si="10"/>
        <v>7</v>
      </c>
      <c r="Q247" s="330">
        <f t="shared" si="11"/>
        <v>7</v>
      </c>
      <c r="R247" s="331" t="str">
        <f t="shared" si="12"/>
        <v>Gastos_com_Pessoal</v>
      </c>
      <c r="S247" s="331" t="str">
        <f>IF(D247="","",IF(OR(D247=Plano!$A$1,D247=Plano!$B$1),"entrada","saída"))</f>
        <v>saída</v>
      </c>
      <c r="T247" s="332" t="s">
        <v>114</v>
      </c>
      <c r="U247" s="332" t="s">
        <v>114</v>
      </c>
      <c r="V247" s="344"/>
      <c r="W247" s="269"/>
      <c r="X247" s="269"/>
      <c r="Y247" s="269"/>
      <c r="Z247" s="269"/>
      <c r="AA247" s="269"/>
      <c r="AB247" s="269"/>
      <c r="AC247" s="269"/>
      <c r="AD247" s="269"/>
      <c r="AE247" s="269"/>
      <c r="AF247" s="269"/>
      <c r="AG247" s="269"/>
      <c r="AH247" s="269"/>
      <c r="AI247" s="269"/>
      <c r="AJ247" s="269"/>
      <c r="AK247" s="269"/>
      <c r="AL247" s="269"/>
      <c r="AM247" s="269"/>
    </row>
    <row r="248" spans="1:39" ht="162.75" customHeight="1" x14ac:dyDescent="0.2">
      <c r="A248" s="277">
        <f>IF(B248="","",COUNT('Diário 5º PA'!$A$5:$A$2634)+COUNT('Diário 6º PA'!$A$5:$A$2246)+ROW()-4)</f>
        <v>2787</v>
      </c>
      <c r="B248" s="278">
        <v>44389</v>
      </c>
      <c r="C248" s="259">
        <v>44378</v>
      </c>
      <c r="D248" s="252" t="s">
        <v>99</v>
      </c>
      <c r="E248" s="252" t="s">
        <v>226</v>
      </c>
      <c r="F248" s="257">
        <v>432.84</v>
      </c>
      <c r="G248" s="451" t="s">
        <v>1384</v>
      </c>
      <c r="H248" s="252" t="s">
        <v>115</v>
      </c>
      <c r="I248" s="250" t="s">
        <v>1385</v>
      </c>
      <c r="J248" s="250" t="s">
        <v>1386</v>
      </c>
      <c r="K248" s="255" t="s">
        <v>560</v>
      </c>
      <c r="L248" s="250" t="s">
        <v>1016</v>
      </c>
      <c r="M248" s="277">
        <v>2548</v>
      </c>
      <c r="N248" s="278">
        <v>44467</v>
      </c>
      <c r="O248" s="329" t="s">
        <v>67</v>
      </c>
      <c r="P248" s="330">
        <f t="shared" si="10"/>
        <v>7</v>
      </c>
      <c r="Q248" s="330">
        <f t="shared" si="11"/>
        <v>7</v>
      </c>
      <c r="R248" s="331" t="str">
        <f t="shared" si="12"/>
        <v>Gastos_Gerais</v>
      </c>
      <c r="S248" s="331" t="str">
        <f>IF(D248="","",IF(OR(D248=Plano!$A$1,D248=Plano!$B$1),"entrada","saída"))</f>
        <v>saída</v>
      </c>
      <c r="T248" s="334" t="s">
        <v>994</v>
      </c>
      <c r="U248" s="334">
        <v>1773</v>
      </c>
      <c r="V248" s="344"/>
      <c r="W248" s="269"/>
      <c r="X248" s="269"/>
      <c r="Y248" s="269"/>
      <c r="Z248" s="269"/>
      <c r="AA248" s="269"/>
      <c r="AB248" s="269"/>
      <c r="AC248" s="269"/>
      <c r="AD248" s="269"/>
      <c r="AE248" s="269"/>
      <c r="AF248" s="269"/>
      <c r="AG248" s="269"/>
      <c r="AH248" s="269"/>
      <c r="AI248" s="269"/>
      <c r="AJ248" s="269"/>
      <c r="AK248" s="269"/>
      <c r="AL248" s="269"/>
      <c r="AM248" s="269"/>
    </row>
    <row r="249" spans="1:39" ht="80.25" customHeight="1" x14ac:dyDescent="0.2">
      <c r="A249" s="277">
        <f>IF(B249="","",COUNT('Diário 5º PA'!$A$5:$A$2634)+COUNT('Diário 6º PA'!$A$5:$A$2246)+ROW()-4)</f>
        <v>2788</v>
      </c>
      <c r="B249" s="278">
        <v>44389</v>
      </c>
      <c r="C249" s="259">
        <v>44348</v>
      </c>
      <c r="D249" s="252" t="s">
        <v>99</v>
      </c>
      <c r="E249" s="252" t="s">
        <v>352</v>
      </c>
      <c r="F249" s="257">
        <v>3429.65</v>
      </c>
      <c r="G249" s="451" t="s">
        <v>1388</v>
      </c>
      <c r="H249" s="252" t="s">
        <v>132</v>
      </c>
      <c r="I249" s="250" t="s">
        <v>1389</v>
      </c>
      <c r="J249" s="250" t="s">
        <v>661</v>
      </c>
      <c r="K249" s="255" t="s">
        <v>991</v>
      </c>
      <c r="L249" s="250" t="s">
        <v>992</v>
      </c>
      <c r="M249" s="277" t="s">
        <v>1148</v>
      </c>
      <c r="N249" s="278">
        <v>44356</v>
      </c>
      <c r="O249" s="329" t="s">
        <v>67</v>
      </c>
      <c r="P249" s="330">
        <f t="shared" si="10"/>
        <v>7</v>
      </c>
      <c r="Q249" s="330">
        <f t="shared" si="11"/>
        <v>6</v>
      </c>
      <c r="R249" s="331" t="str">
        <f t="shared" si="12"/>
        <v>Gastos_Gerais</v>
      </c>
      <c r="S249" s="331" t="str">
        <f>IF(D249="","",IF(OR(D249=Plano!$A$1,D249=Plano!$B$1),"entrada","saída"))</f>
        <v>saída</v>
      </c>
      <c r="T249" s="345" t="s">
        <v>1059</v>
      </c>
      <c r="U249" s="345">
        <v>1486</v>
      </c>
      <c r="V249" s="344"/>
      <c r="W249" s="269"/>
      <c r="X249" s="269"/>
      <c r="Y249" s="269"/>
      <c r="Z249" s="269"/>
      <c r="AA249" s="269"/>
      <c r="AB249" s="269"/>
      <c r="AC249" s="269"/>
      <c r="AD249" s="269"/>
      <c r="AE249" s="269"/>
      <c r="AF249" s="269"/>
      <c r="AG249" s="269"/>
      <c r="AH249" s="269"/>
      <c r="AI249" s="269"/>
      <c r="AJ249" s="269"/>
      <c r="AK249" s="269"/>
      <c r="AL249" s="269"/>
      <c r="AM249" s="269"/>
    </row>
    <row r="250" spans="1:39" ht="50.25" customHeight="1" x14ac:dyDescent="0.2">
      <c r="A250" s="277">
        <f>IF(B250="","",COUNT('Diário 5º PA'!$A$5:$A$2634)+COUNT('Diário 6º PA'!$A$5:$A$2246)+ROW()-4)</f>
        <v>2789</v>
      </c>
      <c r="B250" s="278">
        <v>44389</v>
      </c>
      <c r="C250" s="256">
        <v>44378</v>
      </c>
      <c r="D250" s="255" t="s">
        <v>99</v>
      </c>
      <c r="E250" s="255" t="s">
        <v>272</v>
      </c>
      <c r="F250" s="258">
        <v>10.45</v>
      </c>
      <c r="G250" s="450" t="s">
        <v>1390</v>
      </c>
      <c r="H250" s="252" t="s">
        <v>132</v>
      </c>
      <c r="I250" s="250" t="s">
        <v>949</v>
      </c>
      <c r="J250" s="255" t="s">
        <v>950</v>
      </c>
      <c r="K250" s="255" t="s">
        <v>951</v>
      </c>
      <c r="L250" s="250" t="s">
        <v>947</v>
      </c>
      <c r="M250" s="336" t="s">
        <v>114</v>
      </c>
      <c r="N250" s="278">
        <v>44389</v>
      </c>
      <c r="O250" s="329" t="s">
        <v>67</v>
      </c>
      <c r="P250" s="330">
        <f t="shared" si="10"/>
        <v>7</v>
      </c>
      <c r="Q250" s="330">
        <f t="shared" si="11"/>
        <v>7</v>
      </c>
      <c r="R250" s="331" t="str">
        <f t="shared" si="12"/>
        <v>Gastos_Gerais</v>
      </c>
      <c r="S250" s="331" t="str">
        <f>IF(D250="","",IF(OR(D250=Plano!$A$1,D250=Plano!$B$1),"entrada","saída"))</f>
        <v>saída</v>
      </c>
      <c r="T250" s="332" t="s">
        <v>114</v>
      </c>
      <c r="U250" s="332" t="s">
        <v>114</v>
      </c>
      <c r="V250" s="344"/>
      <c r="W250" s="269"/>
      <c r="X250" s="269"/>
      <c r="Y250" s="269"/>
      <c r="Z250" s="269"/>
      <c r="AA250" s="269"/>
      <c r="AB250" s="269"/>
      <c r="AC250" s="269"/>
      <c r="AD250" s="269"/>
      <c r="AE250" s="269"/>
      <c r="AF250" s="269"/>
      <c r="AG250" s="269"/>
      <c r="AH250" s="269"/>
      <c r="AI250" s="269"/>
      <c r="AJ250" s="269"/>
      <c r="AK250" s="269"/>
      <c r="AL250" s="269"/>
      <c r="AM250" s="269"/>
    </row>
    <row r="251" spans="1:39" ht="93" customHeight="1" x14ac:dyDescent="0.2">
      <c r="A251" s="277">
        <f>IF(B251="","",COUNT('Diário 5º PA'!$A$5:$A$2634)+COUNT('Diário 6º PA'!$A$5:$A$2246)+ROW()-4)</f>
        <v>2790</v>
      </c>
      <c r="B251" s="278">
        <v>44389</v>
      </c>
      <c r="C251" s="249">
        <v>44348</v>
      </c>
      <c r="D251" s="250" t="s">
        <v>104</v>
      </c>
      <c r="E251" s="250" t="s">
        <v>104</v>
      </c>
      <c r="F251" s="251">
        <v>2694.72</v>
      </c>
      <c r="G251" s="452" t="s">
        <v>1391</v>
      </c>
      <c r="H251" s="250" t="s">
        <v>104</v>
      </c>
      <c r="I251" s="250" t="s">
        <v>1392</v>
      </c>
      <c r="J251" s="250" t="s">
        <v>1393</v>
      </c>
      <c r="K251" s="255" t="s">
        <v>1015</v>
      </c>
      <c r="L251" s="250" t="s">
        <v>992</v>
      </c>
      <c r="M251" s="277" t="s">
        <v>1394</v>
      </c>
      <c r="N251" s="278">
        <v>44389</v>
      </c>
      <c r="O251" s="329" t="s">
        <v>70</v>
      </c>
      <c r="P251" s="330">
        <f t="shared" si="10"/>
        <v>7</v>
      </c>
      <c r="Q251" s="330">
        <f t="shared" si="11"/>
        <v>6</v>
      </c>
      <c r="R251" s="331" t="str">
        <f t="shared" si="12"/>
        <v>Gastos_custeados_por_captação</v>
      </c>
      <c r="S251" s="331" t="str">
        <f>IF(D251="","",IF(OR(D251=Plano!$A$1,D251=Plano!$B$1),"entrada","saída"))</f>
        <v>saída</v>
      </c>
      <c r="T251" s="332" t="s">
        <v>1059</v>
      </c>
      <c r="U251" s="332">
        <v>1487</v>
      </c>
      <c r="V251" s="344"/>
      <c r="W251" s="269"/>
      <c r="X251" s="269"/>
      <c r="Y251" s="269"/>
      <c r="Z251" s="269"/>
      <c r="AA251" s="269"/>
      <c r="AB251" s="269"/>
      <c r="AC251" s="269"/>
      <c r="AD251" s="269"/>
      <c r="AE251" s="269"/>
      <c r="AF251" s="269"/>
      <c r="AG251" s="269"/>
      <c r="AH251" s="269"/>
      <c r="AI251" s="269"/>
      <c r="AJ251" s="269"/>
      <c r="AK251" s="269"/>
      <c r="AL251" s="269"/>
      <c r="AM251" s="269"/>
    </row>
    <row r="252" spans="1:39" ht="78.75" customHeight="1" x14ac:dyDescent="0.2">
      <c r="A252" s="277">
        <f>IF(B252="","",COUNT('Diário 5º PA'!$A$5:$A$2634)+COUNT('Diário 6º PA'!$A$5:$A$2246)+ROW()-4)</f>
        <v>2791</v>
      </c>
      <c r="B252" s="278">
        <v>44390</v>
      </c>
      <c r="C252" s="259">
        <v>44348</v>
      </c>
      <c r="D252" s="252" t="s">
        <v>99</v>
      </c>
      <c r="E252" s="252" t="s">
        <v>324</v>
      </c>
      <c r="F252" s="257">
        <v>-1.1000000000000001</v>
      </c>
      <c r="G252" s="451" t="s">
        <v>1395</v>
      </c>
      <c r="H252" s="252" t="s">
        <v>116</v>
      </c>
      <c r="I252" s="250" t="s">
        <v>983</v>
      </c>
      <c r="J252" s="252" t="s">
        <v>850</v>
      </c>
      <c r="K252" s="255" t="s">
        <v>1069</v>
      </c>
      <c r="L252" s="250" t="s">
        <v>947</v>
      </c>
      <c r="M252" s="277" t="s">
        <v>114</v>
      </c>
      <c r="N252" s="278">
        <v>44390</v>
      </c>
      <c r="O252" s="329" t="s">
        <v>67</v>
      </c>
      <c r="P252" s="330">
        <f t="shared" si="10"/>
        <v>7</v>
      </c>
      <c r="Q252" s="330">
        <f t="shared" si="11"/>
        <v>6</v>
      </c>
      <c r="R252" s="331" t="str">
        <f t="shared" si="12"/>
        <v>Gastos_Gerais</v>
      </c>
      <c r="S252" s="331" t="str">
        <f>IF(D252="","",IF(OR(D252=Plano!$A$1,D252=Plano!$B$1),"entrada","saída"))</f>
        <v>saída</v>
      </c>
      <c r="T252" s="332" t="s">
        <v>114</v>
      </c>
      <c r="U252" s="332" t="s">
        <v>114</v>
      </c>
      <c r="V252" s="344"/>
      <c r="W252" s="269"/>
      <c r="X252" s="269"/>
      <c r="Y252" s="269"/>
      <c r="Z252" s="269"/>
      <c r="AA252" s="269"/>
      <c r="AB252" s="269"/>
      <c r="AC252" s="269"/>
      <c r="AD252" s="269"/>
      <c r="AE252" s="269"/>
      <c r="AF252" s="269"/>
      <c r="AG252" s="269"/>
      <c r="AH252" s="269"/>
      <c r="AI252" s="269"/>
      <c r="AJ252" s="269"/>
      <c r="AK252" s="269"/>
      <c r="AL252" s="269"/>
      <c r="AM252" s="269"/>
    </row>
    <row r="253" spans="1:39" ht="154.5" customHeight="1" x14ac:dyDescent="0.2">
      <c r="A253" s="277">
        <f>IF(B253="","",COUNT('Diário 5º PA'!$A$5:$A$2634)+COUNT('Diário 6º PA'!$A$5:$A$2246)+ROW()-4)</f>
        <v>2792</v>
      </c>
      <c r="B253" s="278">
        <v>44390</v>
      </c>
      <c r="C253" s="259">
        <v>44317</v>
      </c>
      <c r="D253" s="252" t="s">
        <v>99</v>
      </c>
      <c r="E253" s="252" t="s">
        <v>364</v>
      </c>
      <c r="F253" s="257">
        <v>5219.3599999999997</v>
      </c>
      <c r="G253" s="451" t="s">
        <v>1396</v>
      </c>
      <c r="H253" s="252" t="s">
        <v>131</v>
      </c>
      <c r="I253" s="250" t="s">
        <v>1397</v>
      </c>
      <c r="J253" s="250" t="s">
        <v>1398</v>
      </c>
      <c r="K253" s="255" t="s">
        <v>1015</v>
      </c>
      <c r="L253" s="250" t="s">
        <v>1177</v>
      </c>
      <c r="M253" s="278" t="s">
        <v>114</v>
      </c>
      <c r="N253" s="278">
        <v>44390</v>
      </c>
      <c r="O253" s="329" t="s">
        <v>67</v>
      </c>
      <c r="P253" s="330">
        <f t="shared" si="10"/>
        <v>7</v>
      </c>
      <c r="Q253" s="330">
        <f t="shared" si="11"/>
        <v>5</v>
      </c>
      <c r="R253" s="331" t="str">
        <f t="shared" si="12"/>
        <v>Gastos_Gerais</v>
      </c>
      <c r="S253" s="331" t="str">
        <f>IF(D253="","",IF(OR(D253=Plano!$A$1,D253=Plano!$B$1),"entrada","saída"))</f>
        <v>saída</v>
      </c>
      <c r="T253" s="334" t="s">
        <v>1059</v>
      </c>
      <c r="U253" s="334">
        <v>1558</v>
      </c>
      <c r="V253" s="344"/>
      <c r="W253" s="269"/>
      <c r="X253" s="269"/>
      <c r="Y253" s="269"/>
      <c r="Z253" s="269"/>
      <c r="AA253" s="269"/>
      <c r="AB253" s="269"/>
      <c r="AC253" s="269"/>
      <c r="AD253" s="269"/>
      <c r="AE253" s="269"/>
      <c r="AF253" s="269"/>
      <c r="AG253" s="269"/>
      <c r="AH253" s="269"/>
      <c r="AI253" s="269"/>
      <c r="AJ253" s="269"/>
      <c r="AK253" s="269"/>
      <c r="AL253" s="269"/>
      <c r="AM253" s="269"/>
    </row>
    <row r="254" spans="1:39" ht="150" customHeight="1" x14ac:dyDescent="0.2">
      <c r="A254" s="277">
        <f>IF(B254="","",COUNT('Diário 5º PA'!$A$5:$A$2634)+COUNT('Diário 6º PA'!$A$5:$A$2246)+ROW()-4)</f>
        <v>2793</v>
      </c>
      <c r="B254" s="278">
        <v>44390</v>
      </c>
      <c r="C254" s="256">
        <v>44317</v>
      </c>
      <c r="D254" s="255" t="s">
        <v>99</v>
      </c>
      <c r="E254" s="252" t="s">
        <v>364</v>
      </c>
      <c r="F254" s="258">
        <v>3834.88</v>
      </c>
      <c r="G254" s="450" t="s">
        <v>1399</v>
      </c>
      <c r="H254" s="255" t="s">
        <v>131</v>
      </c>
      <c r="I254" s="250" t="s">
        <v>1400</v>
      </c>
      <c r="J254" s="250" t="s">
        <v>1401</v>
      </c>
      <c r="K254" s="255" t="s">
        <v>991</v>
      </c>
      <c r="L254" s="250" t="s">
        <v>1029</v>
      </c>
      <c r="M254" s="277">
        <v>1234</v>
      </c>
      <c r="N254" s="278">
        <v>44389</v>
      </c>
      <c r="O254" s="329" t="s">
        <v>67</v>
      </c>
      <c r="P254" s="330">
        <f t="shared" si="10"/>
        <v>7</v>
      </c>
      <c r="Q254" s="330">
        <f t="shared" si="11"/>
        <v>5</v>
      </c>
      <c r="R254" s="331" t="str">
        <f t="shared" si="12"/>
        <v>Gastos_Gerais</v>
      </c>
      <c r="S254" s="331" t="str">
        <f>IF(D254="","",IF(OR(D254=Plano!$A$1,D254=Plano!$B$1),"entrada","saída"))</f>
        <v>saída</v>
      </c>
      <c r="T254" s="334" t="s">
        <v>1059</v>
      </c>
      <c r="U254" s="334">
        <v>1496</v>
      </c>
      <c r="V254" s="344"/>
      <c r="W254" s="269"/>
      <c r="X254" s="269"/>
      <c r="Y254" s="269"/>
      <c r="Z254" s="269"/>
      <c r="AA254" s="269"/>
      <c r="AB254" s="269"/>
      <c r="AC254" s="269"/>
      <c r="AD254" s="269"/>
      <c r="AE254" s="269"/>
      <c r="AF254" s="269"/>
      <c r="AG254" s="269"/>
      <c r="AH254" s="269"/>
      <c r="AI254" s="269"/>
      <c r="AJ254" s="269"/>
      <c r="AK254" s="269"/>
      <c r="AL254" s="269"/>
      <c r="AM254" s="269"/>
    </row>
    <row r="255" spans="1:39" ht="42.75" customHeight="1" x14ac:dyDescent="0.2">
      <c r="A255" s="277">
        <f>IF(B255="","",COUNT('Diário 5º PA'!$A$5:$A$2634)+COUNT('Diário 6º PA'!$A$5:$A$2246)+ROW()-4)</f>
        <v>2794</v>
      </c>
      <c r="B255" s="278">
        <v>44390</v>
      </c>
      <c r="C255" s="259">
        <v>44348</v>
      </c>
      <c r="D255" s="252" t="s">
        <v>99</v>
      </c>
      <c r="E255" s="252" t="s">
        <v>324</v>
      </c>
      <c r="F255" s="257">
        <v>56.41</v>
      </c>
      <c r="G255" s="450" t="s">
        <v>1402</v>
      </c>
      <c r="H255" s="252" t="s">
        <v>116</v>
      </c>
      <c r="I255" s="250" t="s">
        <v>465</v>
      </c>
      <c r="J255" s="255" t="s">
        <v>114</v>
      </c>
      <c r="K255" s="255" t="s">
        <v>466</v>
      </c>
      <c r="L255" s="250" t="s">
        <v>467</v>
      </c>
      <c r="M255" s="277">
        <v>2774</v>
      </c>
      <c r="N255" s="278">
        <v>44389</v>
      </c>
      <c r="O255" s="329" t="s">
        <v>67</v>
      </c>
      <c r="P255" s="330">
        <f t="shared" si="10"/>
        <v>7</v>
      </c>
      <c r="Q255" s="330">
        <f t="shared" si="11"/>
        <v>6</v>
      </c>
      <c r="R255" s="331" t="str">
        <f t="shared" si="12"/>
        <v>Gastos_Gerais</v>
      </c>
      <c r="S255" s="331" t="str">
        <f>IF(D255="","",IF(OR(D255=Plano!$A$1,D255=Plano!$B$1),"entrada","saída"))</f>
        <v>saída</v>
      </c>
      <c r="T255" s="334" t="s">
        <v>114</v>
      </c>
      <c r="U255" s="334" t="s">
        <v>114</v>
      </c>
      <c r="V255" s="344"/>
      <c r="W255" s="269"/>
      <c r="X255" s="269"/>
      <c r="Y255" s="269"/>
      <c r="Z255" s="269"/>
      <c r="AA255" s="269"/>
      <c r="AB255" s="269"/>
      <c r="AC255" s="269"/>
      <c r="AD255" s="269"/>
      <c r="AE255" s="269"/>
      <c r="AF255" s="269"/>
      <c r="AG255" s="269"/>
      <c r="AH255" s="269"/>
      <c r="AI255" s="269"/>
      <c r="AJ255" s="269"/>
      <c r="AK255" s="269"/>
      <c r="AL255" s="269"/>
      <c r="AM255" s="269"/>
    </row>
    <row r="256" spans="1:39" ht="49.5" customHeight="1" x14ac:dyDescent="0.2">
      <c r="A256" s="277">
        <f>IF(B256="","",COUNT('Diário 5º PA'!$A$5:$A$2634)+COUNT('Diário 6º PA'!$A$5:$A$2246)+ROW()-4)</f>
        <v>2795</v>
      </c>
      <c r="B256" s="278">
        <v>44390</v>
      </c>
      <c r="C256" s="249">
        <v>44378</v>
      </c>
      <c r="D256" s="255" t="s">
        <v>99</v>
      </c>
      <c r="E256" s="255" t="s">
        <v>272</v>
      </c>
      <c r="F256" s="258">
        <v>10.45</v>
      </c>
      <c r="G256" s="450" t="s">
        <v>1403</v>
      </c>
      <c r="H256" s="255" t="s">
        <v>131</v>
      </c>
      <c r="I256" s="250" t="s">
        <v>949</v>
      </c>
      <c r="J256" s="255" t="s">
        <v>950</v>
      </c>
      <c r="K256" s="255" t="s">
        <v>951</v>
      </c>
      <c r="L256" s="250" t="s">
        <v>947</v>
      </c>
      <c r="M256" s="336" t="s">
        <v>114</v>
      </c>
      <c r="N256" s="278">
        <v>44390</v>
      </c>
      <c r="O256" s="329" t="s">
        <v>67</v>
      </c>
      <c r="P256" s="330">
        <f t="shared" si="10"/>
        <v>7</v>
      </c>
      <c r="Q256" s="330">
        <f t="shared" si="11"/>
        <v>7</v>
      </c>
      <c r="R256" s="331" t="str">
        <f t="shared" si="12"/>
        <v>Gastos_Gerais</v>
      </c>
      <c r="S256" s="331" t="str">
        <f>IF(D256="","",IF(OR(D256=Plano!$A$1,D256=Plano!$B$1),"entrada","saída"))</f>
        <v>saída</v>
      </c>
      <c r="T256" s="332" t="s">
        <v>114</v>
      </c>
      <c r="U256" s="332" t="s">
        <v>114</v>
      </c>
      <c r="V256" s="344"/>
      <c r="W256" s="269"/>
      <c r="X256" s="269"/>
      <c r="Y256" s="269"/>
      <c r="Z256" s="269"/>
      <c r="AA256" s="269"/>
      <c r="AB256" s="269"/>
      <c r="AC256" s="269"/>
      <c r="AD256" s="269"/>
      <c r="AE256" s="269"/>
      <c r="AF256" s="269"/>
      <c r="AG256" s="269"/>
      <c r="AH256" s="269"/>
      <c r="AI256" s="269"/>
      <c r="AJ256" s="269"/>
      <c r="AK256" s="269"/>
      <c r="AL256" s="269"/>
      <c r="AM256" s="269"/>
    </row>
    <row r="257" spans="1:39" ht="86.25" customHeight="1" x14ac:dyDescent="0.2">
      <c r="A257" s="277">
        <f>IF(B257="","",COUNT('Diário 5º PA'!$A$5:$A$2634)+COUNT('Diário 6º PA'!$A$5:$A$2246)+ROW()-4)</f>
        <v>2796</v>
      </c>
      <c r="B257" s="278">
        <v>44390</v>
      </c>
      <c r="C257" s="249">
        <v>44348</v>
      </c>
      <c r="D257" s="250" t="s">
        <v>104</v>
      </c>
      <c r="E257" s="250" t="s">
        <v>104</v>
      </c>
      <c r="F257" s="251">
        <v>3425.1</v>
      </c>
      <c r="G257" s="452" t="s">
        <v>1404</v>
      </c>
      <c r="H257" s="250" t="s">
        <v>104</v>
      </c>
      <c r="I257" s="250" t="s">
        <v>1405</v>
      </c>
      <c r="J257" s="250" t="s">
        <v>1406</v>
      </c>
      <c r="K257" s="255" t="s">
        <v>1015</v>
      </c>
      <c r="L257" s="250" t="s">
        <v>1016</v>
      </c>
      <c r="M257" s="277" t="s">
        <v>1407</v>
      </c>
      <c r="N257" s="278">
        <v>44390</v>
      </c>
      <c r="O257" s="329" t="s">
        <v>70</v>
      </c>
      <c r="P257" s="330">
        <f t="shared" si="10"/>
        <v>7</v>
      </c>
      <c r="Q257" s="330">
        <f t="shared" si="11"/>
        <v>6</v>
      </c>
      <c r="R257" s="331" t="str">
        <f t="shared" si="12"/>
        <v>Gastos_custeados_por_captação</v>
      </c>
      <c r="S257" s="331" t="str">
        <f>IF(D257="","",IF(OR(D257=Plano!$A$1,D257=Plano!$B$1),"entrada","saída"))</f>
        <v>saída</v>
      </c>
      <c r="T257" s="332" t="s">
        <v>1059</v>
      </c>
      <c r="U257" s="332">
        <v>1485</v>
      </c>
      <c r="V257" s="269"/>
      <c r="W257" s="269"/>
      <c r="X257" s="269"/>
      <c r="Y257" s="269"/>
      <c r="Z257" s="269"/>
      <c r="AA257" s="269"/>
      <c r="AB257" s="269"/>
      <c r="AC257" s="269"/>
      <c r="AD257" s="269"/>
      <c r="AE257" s="269"/>
      <c r="AF257" s="269"/>
      <c r="AG257" s="269"/>
      <c r="AH257" s="269"/>
      <c r="AI257" s="269"/>
      <c r="AJ257" s="269"/>
      <c r="AK257" s="269"/>
      <c r="AL257" s="269"/>
      <c r="AM257" s="269"/>
    </row>
    <row r="258" spans="1:39" ht="56.25" customHeight="1" x14ac:dyDescent="0.2">
      <c r="A258" s="277">
        <f>IF(B258="","",COUNT('Diário 5º PA'!$A$5:$A$2634)+COUNT('Diário 6º PA'!$A$5:$A$2246)+ROW()-4)</f>
        <v>2797</v>
      </c>
      <c r="B258" s="278">
        <v>44390</v>
      </c>
      <c r="C258" s="249">
        <v>44378</v>
      </c>
      <c r="D258" s="250" t="s">
        <v>104</v>
      </c>
      <c r="E258" s="250" t="s">
        <v>104</v>
      </c>
      <c r="F258" s="258">
        <v>153</v>
      </c>
      <c r="G258" s="450" t="s">
        <v>1157</v>
      </c>
      <c r="H258" s="250" t="s">
        <v>104</v>
      </c>
      <c r="I258" s="250" t="s">
        <v>949</v>
      </c>
      <c r="J258" s="255" t="s">
        <v>950</v>
      </c>
      <c r="K258" s="255" t="s">
        <v>951</v>
      </c>
      <c r="L258" s="250" t="s">
        <v>947</v>
      </c>
      <c r="M258" s="336" t="s">
        <v>114</v>
      </c>
      <c r="N258" s="278">
        <v>44390</v>
      </c>
      <c r="O258" s="329" t="s">
        <v>71</v>
      </c>
      <c r="P258" s="330">
        <f t="shared" si="10"/>
        <v>7</v>
      </c>
      <c r="Q258" s="330">
        <f t="shared" si="11"/>
        <v>7</v>
      </c>
      <c r="R258" s="331" t="str">
        <f t="shared" si="12"/>
        <v>Gastos_custeados_por_captação</v>
      </c>
      <c r="S258" s="331" t="str">
        <f>IF(D258="","",IF(OR(D258=Plano!$A$1,D258=Plano!$B$1),"entrada","saída"))</f>
        <v>saída</v>
      </c>
      <c r="T258" s="332" t="s">
        <v>114</v>
      </c>
      <c r="U258" s="332" t="s">
        <v>114</v>
      </c>
      <c r="V258" s="269"/>
      <c r="W258" s="269"/>
      <c r="X258" s="269"/>
      <c r="Y258" s="269"/>
      <c r="Z258" s="269"/>
      <c r="AA258" s="269"/>
      <c r="AB258" s="269"/>
      <c r="AC258" s="269"/>
      <c r="AD258" s="269"/>
      <c r="AE258" s="269"/>
      <c r="AF258" s="269"/>
      <c r="AG258" s="269"/>
      <c r="AH258" s="269"/>
      <c r="AI258" s="269"/>
      <c r="AJ258" s="269"/>
      <c r="AK258" s="269"/>
      <c r="AL258" s="269"/>
      <c r="AM258" s="269"/>
    </row>
    <row r="259" spans="1:39" ht="155.25" customHeight="1" x14ac:dyDescent="0.2">
      <c r="A259" s="277">
        <f>IF(B259="","",COUNT('Diário 5º PA'!$A$5:$A$2634)+COUNT('Diário 6º PA'!$A$5:$A$2246)+ROW()-4)</f>
        <v>2798</v>
      </c>
      <c r="B259" s="278">
        <v>44391</v>
      </c>
      <c r="C259" s="249">
        <v>44348</v>
      </c>
      <c r="D259" s="250" t="s">
        <v>99</v>
      </c>
      <c r="E259" s="250" t="s">
        <v>284</v>
      </c>
      <c r="F259" s="258">
        <v>-176.26</v>
      </c>
      <c r="G259" s="451" t="s">
        <v>1408</v>
      </c>
      <c r="H259" s="255" t="s">
        <v>115</v>
      </c>
      <c r="I259" s="250" t="s">
        <v>983</v>
      </c>
      <c r="J259" s="252" t="s">
        <v>850</v>
      </c>
      <c r="K259" s="255" t="s">
        <v>946</v>
      </c>
      <c r="L259" s="250" t="s">
        <v>947</v>
      </c>
      <c r="M259" s="277" t="s">
        <v>114</v>
      </c>
      <c r="N259" s="278">
        <v>44391</v>
      </c>
      <c r="O259" s="329" t="s">
        <v>67</v>
      </c>
      <c r="P259" s="330">
        <f t="shared" si="10"/>
        <v>7</v>
      </c>
      <c r="Q259" s="330">
        <f t="shared" si="11"/>
        <v>6</v>
      </c>
      <c r="R259" s="331" t="str">
        <f t="shared" si="12"/>
        <v>Gastos_Gerais</v>
      </c>
      <c r="S259" s="331" t="str">
        <f>IF(D259="","",IF(OR(D259=Plano!$A$1,D259=Plano!$B$1),"entrada","saída"))</f>
        <v>saída</v>
      </c>
      <c r="T259" s="332" t="s">
        <v>114</v>
      </c>
      <c r="U259" s="332" t="s">
        <v>114</v>
      </c>
      <c r="V259" s="269"/>
      <c r="W259" s="269"/>
      <c r="X259" s="269"/>
      <c r="Y259" s="269"/>
      <c r="Z259" s="269"/>
      <c r="AA259" s="269"/>
      <c r="AB259" s="269"/>
      <c r="AC259" s="269"/>
      <c r="AD259" s="269"/>
      <c r="AE259" s="269"/>
      <c r="AF259" s="269"/>
      <c r="AG259" s="269"/>
      <c r="AH259" s="269"/>
      <c r="AI259" s="269"/>
      <c r="AJ259" s="269"/>
      <c r="AK259" s="269"/>
      <c r="AL259" s="269"/>
      <c r="AM259" s="269"/>
    </row>
    <row r="260" spans="1:39" ht="148.5" customHeight="1" x14ac:dyDescent="0.2">
      <c r="A260" s="277">
        <f>IF(B260="","",COUNT('Diário 5º PA'!$A$5:$A$2634)+COUNT('Diário 6º PA'!$A$5:$A$2246)+ROW()-4)</f>
        <v>2799</v>
      </c>
      <c r="B260" s="278">
        <v>44391</v>
      </c>
      <c r="C260" s="249">
        <v>44317</v>
      </c>
      <c r="D260" s="250" t="s">
        <v>99</v>
      </c>
      <c r="E260" s="250" t="s">
        <v>340</v>
      </c>
      <c r="F260" s="251">
        <v>7420.5</v>
      </c>
      <c r="G260" s="452" t="s">
        <v>1409</v>
      </c>
      <c r="H260" s="250" t="s">
        <v>125</v>
      </c>
      <c r="I260" s="250" t="s">
        <v>1410</v>
      </c>
      <c r="J260" s="250" t="s">
        <v>1411</v>
      </c>
      <c r="K260" s="255" t="s">
        <v>1015</v>
      </c>
      <c r="L260" s="250" t="s">
        <v>1016</v>
      </c>
      <c r="M260" s="277" t="s">
        <v>1296</v>
      </c>
      <c r="N260" s="278">
        <v>44389</v>
      </c>
      <c r="O260" s="329" t="s">
        <v>67</v>
      </c>
      <c r="P260" s="330">
        <f t="shared" si="10"/>
        <v>7</v>
      </c>
      <c r="Q260" s="330">
        <f t="shared" si="11"/>
        <v>5</v>
      </c>
      <c r="R260" s="331" t="str">
        <f t="shared" si="12"/>
        <v>Gastos_Gerais</v>
      </c>
      <c r="S260" s="331" t="str">
        <f>IF(D260="","",IF(OR(D260=Plano!$A$1,D260=Plano!$B$1),"entrada","saída"))</f>
        <v>saída</v>
      </c>
      <c r="T260" s="334" t="s">
        <v>994</v>
      </c>
      <c r="U260" s="334">
        <v>1548</v>
      </c>
      <c r="V260" s="269"/>
      <c r="W260" s="269"/>
      <c r="X260" s="269"/>
      <c r="Y260" s="269"/>
      <c r="Z260" s="269"/>
      <c r="AA260" s="269"/>
      <c r="AB260" s="269"/>
      <c r="AC260" s="269"/>
      <c r="AD260" s="269"/>
      <c r="AE260" s="269"/>
      <c r="AF260" s="269"/>
      <c r="AG260" s="269"/>
      <c r="AH260" s="269"/>
      <c r="AI260" s="269"/>
      <c r="AJ260" s="269"/>
      <c r="AK260" s="269"/>
      <c r="AL260" s="269"/>
      <c r="AM260" s="269"/>
    </row>
    <row r="261" spans="1:39" ht="84.75" customHeight="1" x14ac:dyDescent="0.2">
      <c r="A261" s="277">
        <f>IF(B261="","",COUNT('Diário 5º PA'!$A$5:$A$2634)+COUNT('Diário 6º PA'!$A$5:$A$2246)+ROW()-4)</f>
        <v>2800</v>
      </c>
      <c r="B261" s="278">
        <v>44391</v>
      </c>
      <c r="C261" s="249">
        <v>44348</v>
      </c>
      <c r="D261" s="250" t="s">
        <v>99</v>
      </c>
      <c r="E261" s="250" t="s">
        <v>358</v>
      </c>
      <c r="F261" s="251">
        <v>2046.6</v>
      </c>
      <c r="G261" s="452" t="s">
        <v>1412</v>
      </c>
      <c r="H261" s="250" t="s">
        <v>127</v>
      </c>
      <c r="I261" s="250" t="s">
        <v>5544</v>
      </c>
      <c r="J261" s="250" t="s">
        <v>1413</v>
      </c>
      <c r="K261" s="255" t="s">
        <v>1015</v>
      </c>
      <c r="L261" s="250" t="s">
        <v>1029</v>
      </c>
      <c r="M261" s="277">
        <v>1236</v>
      </c>
      <c r="N261" s="278">
        <v>44390</v>
      </c>
      <c r="O261" s="329" t="s">
        <v>67</v>
      </c>
      <c r="P261" s="330">
        <f t="shared" si="10"/>
        <v>7</v>
      </c>
      <c r="Q261" s="330">
        <f t="shared" si="11"/>
        <v>6</v>
      </c>
      <c r="R261" s="331" t="str">
        <f t="shared" si="12"/>
        <v>Gastos_Gerais</v>
      </c>
      <c r="S261" s="331" t="str">
        <f>IF(D261="","",IF(OR(D261=Plano!$A$1,D261=Plano!$B$1),"entrada","saída"))</f>
        <v>saída</v>
      </c>
      <c r="T261" s="334" t="s">
        <v>994</v>
      </c>
      <c r="U261" s="334">
        <v>1702</v>
      </c>
      <c r="V261" s="269"/>
      <c r="W261" s="269"/>
      <c r="X261" s="269"/>
      <c r="Y261" s="269"/>
      <c r="Z261" s="269"/>
      <c r="AA261" s="269"/>
      <c r="AB261" s="269"/>
      <c r="AC261" s="269"/>
      <c r="AD261" s="269"/>
      <c r="AE261" s="269"/>
      <c r="AF261" s="269"/>
      <c r="AG261" s="269"/>
      <c r="AH261" s="269"/>
      <c r="AI261" s="269"/>
      <c r="AJ261" s="269"/>
      <c r="AK261" s="269"/>
      <c r="AL261" s="269"/>
      <c r="AM261" s="269"/>
    </row>
    <row r="262" spans="1:39" ht="121.5" customHeight="1" x14ac:dyDescent="0.2">
      <c r="A262" s="277">
        <f>IF(B262="","",COUNT('Diário 5º PA'!$A$5:$A$2634)+COUNT('Diário 6º PA'!$A$5:$A$2246)+ROW()-4)</f>
        <v>2801</v>
      </c>
      <c r="B262" s="278">
        <v>44391</v>
      </c>
      <c r="C262" s="249">
        <v>44348</v>
      </c>
      <c r="D262" s="250" t="s">
        <v>99</v>
      </c>
      <c r="E262" s="250" t="s">
        <v>284</v>
      </c>
      <c r="F262" s="251">
        <v>667.4</v>
      </c>
      <c r="G262" s="452" t="s">
        <v>1414</v>
      </c>
      <c r="H262" s="250" t="s">
        <v>115</v>
      </c>
      <c r="I262" s="250" t="s">
        <v>1415</v>
      </c>
      <c r="J262" s="250" t="s">
        <v>1416</v>
      </c>
      <c r="K262" s="255" t="s">
        <v>560</v>
      </c>
      <c r="L262" s="250" t="s">
        <v>992</v>
      </c>
      <c r="M262" s="277">
        <v>60179</v>
      </c>
      <c r="N262" s="278">
        <v>44363</v>
      </c>
      <c r="O262" s="329" t="s">
        <v>67</v>
      </c>
      <c r="P262" s="330">
        <f t="shared" ref="P262:P324" si="13">IF(B262=0,0,IF(YEAR(B262)=$Q$1,MONTH(B262)-$P$1+1,(YEAR(B262)-$Q$1)*12-$P$1+1+MONTH(B262)))</f>
        <v>7</v>
      </c>
      <c r="Q262" s="330">
        <f t="shared" ref="Q262:Q324" si="14">IF(C262=0,0,IF(YEAR(C262)=$Q$1,MONTH(C262)-$P$1+1,(YEAR(C262)-$Q$1)*12-$P$1+1+MONTH(C262)))</f>
        <v>6</v>
      </c>
      <c r="R262" s="331" t="str">
        <f t="shared" ref="R262:R324" si="15">SUBSTITUTE(D262," ","_")</f>
        <v>Gastos_Gerais</v>
      </c>
      <c r="S262" s="331" t="str">
        <f>IF(D262="","",IF(OR(D262=Plano!$A$1,D262=Plano!$B$1),"entrada","saída"))</f>
        <v>saída</v>
      </c>
      <c r="T262" s="334" t="s">
        <v>1417</v>
      </c>
      <c r="U262" s="334">
        <v>1670</v>
      </c>
      <c r="V262" s="269"/>
      <c r="W262" s="269"/>
      <c r="X262" s="269"/>
      <c r="Y262" s="269"/>
      <c r="Z262" s="269"/>
      <c r="AA262" s="269"/>
      <c r="AB262" s="269"/>
      <c r="AC262" s="269"/>
      <c r="AD262" s="269"/>
      <c r="AE262" s="269"/>
      <c r="AF262" s="269"/>
      <c r="AG262" s="269"/>
      <c r="AH262" s="269"/>
      <c r="AI262" s="269"/>
      <c r="AJ262" s="269"/>
      <c r="AK262" s="269"/>
      <c r="AL262" s="269"/>
      <c r="AM262" s="269"/>
    </row>
    <row r="263" spans="1:39" ht="54.75" customHeight="1" x14ac:dyDescent="0.2">
      <c r="A263" s="277">
        <f>IF(B263="","",COUNT('Diário 5º PA'!$A$5:$A$2634)+COUNT('Diário 6º PA'!$A$5:$A$2246)+ROW()-4)</f>
        <v>2802</v>
      </c>
      <c r="B263" s="278">
        <v>44392</v>
      </c>
      <c r="C263" s="256">
        <v>44378</v>
      </c>
      <c r="D263" s="255" t="s">
        <v>88</v>
      </c>
      <c r="E263" s="255" t="s">
        <v>196</v>
      </c>
      <c r="F263" s="258">
        <v>-592.32000000000005</v>
      </c>
      <c r="G263" s="451" t="s">
        <v>1418</v>
      </c>
      <c r="H263" s="255" t="s">
        <v>114</v>
      </c>
      <c r="I263" s="250" t="s">
        <v>983</v>
      </c>
      <c r="J263" s="255" t="s">
        <v>850</v>
      </c>
      <c r="K263" s="255" t="s">
        <v>946</v>
      </c>
      <c r="L263" s="250" t="s">
        <v>947</v>
      </c>
      <c r="M263" s="349" t="s">
        <v>114</v>
      </c>
      <c r="N263" s="278">
        <v>44392</v>
      </c>
      <c r="O263" s="329" t="s">
        <v>67</v>
      </c>
      <c r="P263" s="330">
        <f t="shared" si="13"/>
        <v>7</v>
      </c>
      <c r="Q263" s="330">
        <f t="shared" si="14"/>
        <v>7</v>
      </c>
      <c r="R263" s="331" t="str">
        <f t="shared" si="15"/>
        <v>Gastos_com_Pessoal</v>
      </c>
      <c r="S263" s="331" t="str">
        <f>IF(D263="","",IF(OR(D263=Plano!$A$1,D263=Plano!$B$1),"entrada","saída"))</f>
        <v>saída</v>
      </c>
      <c r="T263" s="332" t="s">
        <v>114</v>
      </c>
      <c r="U263" s="332" t="s">
        <v>114</v>
      </c>
      <c r="V263" s="269"/>
      <c r="W263" s="269"/>
      <c r="X263" s="269"/>
      <c r="Y263" s="269"/>
      <c r="Z263" s="269"/>
      <c r="AA263" s="269"/>
      <c r="AB263" s="269"/>
      <c r="AC263" s="269"/>
      <c r="AD263" s="269"/>
      <c r="AE263" s="269"/>
      <c r="AF263" s="269"/>
      <c r="AG263" s="269"/>
      <c r="AH263" s="269"/>
      <c r="AI263" s="269"/>
      <c r="AJ263" s="269"/>
      <c r="AK263" s="269"/>
      <c r="AL263" s="269"/>
      <c r="AM263" s="269"/>
    </row>
    <row r="264" spans="1:39" ht="63" customHeight="1" x14ac:dyDescent="0.2">
      <c r="A264" s="277">
        <f>IF(B264="","",COUNT('Diário 5º PA'!$A$5:$A$2634)+COUNT('Diário 6º PA'!$A$5:$A$2246)+ROW()-4)</f>
        <v>2803</v>
      </c>
      <c r="B264" s="278">
        <v>44392</v>
      </c>
      <c r="C264" s="256">
        <v>44378</v>
      </c>
      <c r="D264" s="255" t="s">
        <v>88</v>
      </c>
      <c r="E264" s="255" t="s">
        <v>196</v>
      </c>
      <c r="F264" s="258">
        <v>-1899.31</v>
      </c>
      <c r="G264" s="452" t="s">
        <v>1419</v>
      </c>
      <c r="H264" s="255" t="s">
        <v>114</v>
      </c>
      <c r="I264" s="250" t="s">
        <v>983</v>
      </c>
      <c r="J264" s="255" t="s">
        <v>850</v>
      </c>
      <c r="K264" s="255" t="s">
        <v>946</v>
      </c>
      <c r="L264" s="250" t="s">
        <v>947</v>
      </c>
      <c r="M264" s="277" t="s">
        <v>114</v>
      </c>
      <c r="N264" s="278">
        <v>44392</v>
      </c>
      <c r="O264" s="329" t="s">
        <v>67</v>
      </c>
      <c r="P264" s="330">
        <f t="shared" si="13"/>
        <v>7</v>
      </c>
      <c r="Q264" s="330">
        <f t="shared" si="14"/>
        <v>7</v>
      </c>
      <c r="R264" s="331" t="str">
        <f t="shared" si="15"/>
        <v>Gastos_com_Pessoal</v>
      </c>
      <c r="S264" s="331" t="str">
        <f>IF(D264="","",IF(OR(D264=Plano!$A$1,D264=Plano!$B$1),"entrada","saída"))</f>
        <v>saída</v>
      </c>
      <c r="T264" s="332" t="s">
        <v>114</v>
      </c>
      <c r="U264" s="332" t="s">
        <v>114</v>
      </c>
      <c r="V264" s="269"/>
      <c r="W264" s="269"/>
      <c r="X264" s="269"/>
      <c r="Y264" s="269"/>
      <c r="Z264" s="269"/>
      <c r="AA264" s="269"/>
      <c r="AB264" s="269"/>
      <c r="AC264" s="269"/>
      <c r="AD264" s="269"/>
      <c r="AE264" s="269"/>
      <c r="AF264" s="269"/>
      <c r="AG264" s="269"/>
      <c r="AH264" s="269"/>
      <c r="AI264" s="269"/>
      <c r="AJ264" s="269"/>
      <c r="AK264" s="269"/>
      <c r="AL264" s="269"/>
      <c r="AM264" s="269"/>
    </row>
    <row r="265" spans="1:39" ht="57" customHeight="1" x14ac:dyDescent="0.2">
      <c r="A265" s="277">
        <f>IF(B265="","",COUNT('Diário 5º PA'!$A$5:$A$2634)+COUNT('Diário 6º PA'!$A$5:$A$2246)+ROW()-4)</f>
        <v>2804</v>
      </c>
      <c r="B265" s="278">
        <v>44392</v>
      </c>
      <c r="C265" s="256">
        <v>44317</v>
      </c>
      <c r="D265" s="255" t="s">
        <v>88</v>
      </c>
      <c r="E265" s="255" t="s">
        <v>90</v>
      </c>
      <c r="F265" s="258">
        <v>-103.62</v>
      </c>
      <c r="G265" s="452" t="s">
        <v>1420</v>
      </c>
      <c r="H265" s="255" t="s">
        <v>114</v>
      </c>
      <c r="I265" s="250" t="s">
        <v>983</v>
      </c>
      <c r="J265" s="255" t="s">
        <v>850</v>
      </c>
      <c r="K265" s="255" t="s">
        <v>946</v>
      </c>
      <c r="L265" s="250" t="s">
        <v>947</v>
      </c>
      <c r="M265" s="277" t="s">
        <v>114</v>
      </c>
      <c r="N265" s="278">
        <v>44392</v>
      </c>
      <c r="O265" s="329" t="s">
        <v>67</v>
      </c>
      <c r="P265" s="330">
        <f t="shared" si="13"/>
        <v>7</v>
      </c>
      <c r="Q265" s="330">
        <f t="shared" si="14"/>
        <v>5</v>
      </c>
      <c r="R265" s="331" t="str">
        <f t="shared" si="15"/>
        <v>Gastos_com_Pessoal</v>
      </c>
      <c r="S265" s="331" t="str">
        <f>IF(D265="","",IF(OR(D265=Plano!$A$1,D265=Plano!$B$1),"entrada","saída"))</f>
        <v>saída</v>
      </c>
      <c r="T265" s="332" t="s">
        <v>114</v>
      </c>
      <c r="U265" s="332" t="s">
        <v>114</v>
      </c>
      <c r="V265" s="269"/>
      <c r="W265" s="269"/>
      <c r="X265" s="269"/>
      <c r="Y265" s="269"/>
      <c r="Z265" s="269"/>
      <c r="AA265" s="269"/>
      <c r="AB265" s="269"/>
      <c r="AC265" s="269"/>
      <c r="AD265" s="269"/>
      <c r="AE265" s="269"/>
      <c r="AF265" s="269"/>
      <c r="AG265" s="269"/>
      <c r="AH265" s="269"/>
      <c r="AI265" s="269"/>
      <c r="AJ265" s="269"/>
      <c r="AK265" s="269"/>
      <c r="AL265" s="269"/>
      <c r="AM265" s="269"/>
    </row>
    <row r="266" spans="1:39" ht="64.5" customHeight="1" x14ac:dyDescent="0.2">
      <c r="A266" s="277">
        <f>IF(B266="","",COUNT('Diário 5º PA'!$A$5:$A$2634)+COUNT('Diário 6º PA'!$A$5:$A$2246)+ROW()-4)</f>
        <v>2805</v>
      </c>
      <c r="B266" s="278">
        <v>44392</v>
      </c>
      <c r="C266" s="249">
        <v>44348</v>
      </c>
      <c r="D266" s="255" t="s">
        <v>99</v>
      </c>
      <c r="E266" s="255" t="s">
        <v>312</v>
      </c>
      <c r="F266" s="258">
        <v>240.67</v>
      </c>
      <c r="G266" s="450" t="s">
        <v>439</v>
      </c>
      <c r="H266" s="255" t="s">
        <v>115</v>
      </c>
      <c r="I266" s="252" t="s">
        <v>1421</v>
      </c>
      <c r="J266" s="252" t="s">
        <v>441</v>
      </c>
      <c r="K266" s="255" t="s">
        <v>560</v>
      </c>
      <c r="L266" s="250" t="s">
        <v>1016</v>
      </c>
      <c r="M266" s="277">
        <v>3322788</v>
      </c>
      <c r="N266" s="278">
        <v>44378</v>
      </c>
      <c r="O266" s="329" t="s">
        <v>67</v>
      </c>
      <c r="P266" s="330">
        <f t="shared" si="13"/>
        <v>7</v>
      </c>
      <c r="Q266" s="330">
        <f t="shared" si="14"/>
        <v>6</v>
      </c>
      <c r="R266" s="331" t="str">
        <f t="shared" si="15"/>
        <v>Gastos_Gerais</v>
      </c>
      <c r="S266" s="331" t="str">
        <f>IF(D266="","",IF(OR(D266=Plano!$A$1,D266=Plano!$B$1),"entrada","saída"))</f>
        <v>saída</v>
      </c>
      <c r="T266" s="332" t="s">
        <v>1059</v>
      </c>
      <c r="U266" s="332">
        <v>1142</v>
      </c>
      <c r="V266" s="269"/>
      <c r="W266" s="269"/>
      <c r="X266" s="269"/>
      <c r="Y266" s="269"/>
      <c r="Z266" s="269"/>
      <c r="AA266" s="269"/>
      <c r="AB266" s="269"/>
      <c r="AC266" s="269"/>
      <c r="AD266" s="269"/>
      <c r="AE266" s="269"/>
      <c r="AF266" s="269"/>
      <c r="AG266" s="269"/>
      <c r="AH266" s="269"/>
      <c r="AI266" s="269"/>
      <c r="AJ266" s="269"/>
      <c r="AK266" s="269"/>
      <c r="AL266" s="269"/>
      <c r="AM266" s="269"/>
    </row>
    <row r="267" spans="1:39" ht="117.75" customHeight="1" x14ac:dyDescent="0.2">
      <c r="A267" s="277">
        <f>IF(B267="","",COUNT('Diário 5º PA'!$A$5:$A$2634)+COUNT('Diário 6º PA'!$A$5:$A$2246)+ROW()-4)</f>
        <v>2806</v>
      </c>
      <c r="B267" s="278">
        <v>44392</v>
      </c>
      <c r="C267" s="249">
        <v>44378</v>
      </c>
      <c r="D267" s="255" t="s">
        <v>88</v>
      </c>
      <c r="E267" s="255" t="s">
        <v>196</v>
      </c>
      <c r="F267" s="258">
        <v>9284.17</v>
      </c>
      <c r="G267" s="450" t="s">
        <v>541</v>
      </c>
      <c r="H267" s="255" t="s">
        <v>114</v>
      </c>
      <c r="I267" s="252" t="s">
        <v>542</v>
      </c>
      <c r="J267" s="252" t="s">
        <v>543</v>
      </c>
      <c r="K267" s="255" t="s">
        <v>560</v>
      </c>
      <c r="L267" s="250" t="s">
        <v>1016</v>
      </c>
      <c r="M267" s="277" t="s">
        <v>1422</v>
      </c>
      <c r="N267" s="278">
        <v>44351</v>
      </c>
      <c r="O267" s="329" t="s">
        <v>67</v>
      </c>
      <c r="P267" s="330">
        <f t="shared" si="13"/>
        <v>7</v>
      </c>
      <c r="Q267" s="330">
        <f t="shared" si="14"/>
        <v>7</v>
      </c>
      <c r="R267" s="331" t="str">
        <f t="shared" si="15"/>
        <v>Gastos_com_Pessoal</v>
      </c>
      <c r="S267" s="331" t="str">
        <f>IF(D267="","",IF(OR(D267=Plano!$A$1,D267=Plano!$B$1),"entrada","saída"))</f>
        <v>saída</v>
      </c>
      <c r="T267" s="332" t="s">
        <v>1059</v>
      </c>
      <c r="U267" s="332">
        <v>284</v>
      </c>
      <c r="V267" s="269"/>
      <c r="W267" s="269"/>
      <c r="X267" s="269"/>
      <c r="Y267" s="269"/>
      <c r="Z267" s="269"/>
      <c r="AA267" s="269"/>
      <c r="AB267" s="269"/>
      <c r="AC267" s="269"/>
      <c r="AD267" s="269"/>
      <c r="AE267" s="269"/>
      <c r="AF267" s="269"/>
      <c r="AG267" s="269"/>
      <c r="AH267" s="269"/>
      <c r="AI267" s="269"/>
      <c r="AJ267" s="269"/>
      <c r="AK267" s="269"/>
      <c r="AL267" s="269"/>
      <c r="AM267" s="269"/>
    </row>
    <row r="268" spans="1:39" ht="131.25" customHeight="1" x14ac:dyDescent="0.2">
      <c r="A268" s="277">
        <f>IF(B268="","",COUNT('Diário 5º PA'!$A$5:$A$2634)+COUNT('Diário 6º PA'!$A$5:$A$2246)+ROW()-4)</f>
        <v>2807</v>
      </c>
      <c r="B268" s="278">
        <v>44392</v>
      </c>
      <c r="C268" s="249">
        <v>44317</v>
      </c>
      <c r="D268" s="255" t="s">
        <v>88</v>
      </c>
      <c r="E268" s="255" t="s">
        <v>90</v>
      </c>
      <c r="F268" s="258">
        <v>456.81</v>
      </c>
      <c r="G268" s="450" t="s">
        <v>1423</v>
      </c>
      <c r="H268" s="255" t="s">
        <v>114</v>
      </c>
      <c r="I268" s="252" t="s">
        <v>542</v>
      </c>
      <c r="J268" s="252" t="s">
        <v>543</v>
      </c>
      <c r="K268" s="255" t="s">
        <v>560</v>
      </c>
      <c r="L268" s="250" t="s">
        <v>1016</v>
      </c>
      <c r="M268" s="277" t="s">
        <v>1424</v>
      </c>
      <c r="N268" s="278">
        <v>44349</v>
      </c>
      <c r="O268" s="329" t="s">
        <v>67</v>
      </c>
      <c r="P268" s="330">
        <f t="shared" si="13"/>
        <v>7</v>
      </c>
      <c r="Q268" s="330">
        <f t="shared" si="14"/>
        <v>5</v>
      </c>
      <c r="R268" s="331" t="str">
        <f t="shared" si="15"/>
        <v>Gastos_com_Pessoal</v>
      </c>
      <c r="S268" s="331" t="str">
        <f>IF(D268="","",IF(OR(D268=Plano!$A$1,D268=Plano!$B$1),"entrada","saída"))</f>
        <v>saída</v>
      </c>
      <c r="T268" s="332" t="s">
        <v>1059</v>
      </c>
      <c r="U268" s="332">
        <v>284</v>
      </c>
      <c r="V268" s="269"/>
      <c r="W268" s="269"/>
      <c r="X268" s="269"/>
      <c r="Y268" s="269"/>
      <c r="Z268" s="269"/>
      <c r="AA268" s="269"/>
      <c r="AB268" s="269"/>
      <c r="AC268" s="269"/>
      <c r="AD268" s="269"/>
      <c r="AE268" s="269"/>
      <c r="AF268" s="269"/>
      <c r="AG268" s="269"/>
      <c r="AH268" s="269"/>
      <c r="AI268" s="269"/>
      <c r="AJ268" s="269"/>
      <c r="AK268" s="269"/>
      <c r="AL268" s="269"/>
      <c r="AM268" s="269"/>
    </row>
    <row r="269" spans="1:39" ht="119.25" customHeight="1" x14ac:dyDescent="0.2">
      <c r="A269" s="277">
        <f>IF(B269="","",COUNT('Diário 5º PA'!$A$5:$A$2634)+COUNT('Diário 6º PA'!$A$5:$A$2246)+ROW()-4)</f>
        <v>2808</v>
      </c>
      <c r="B269" s="278">
        <v>44392</v>
      </c>
      <c r="C269" s="249">
        <v>44348</v>
      </c>
      <c r="D269" s="250" t="s">
        <v>99</v>
      </c>
      <c r="E269" s="250" t="s">
        <v>312</v>
      </c>
      <c r="F269" s="251">
        <v>1460</v>
      </c>
      <c r="G269" s="452" t="s">
        <v>1425</v>
      </c>
      <c r="H269" s="250" t="s">
        <v>125</v>
      </c>
      <c r="I269" s="250" t="s">
        <v>1426</v>
      </c>
      <c r="J269" s="250" t="s">
        <v>1427</v>
      </c>
      <c r="K269" s="255" t="s">
        <v>991</v>
      </c>
      <c r="L269" s="250" t="s">
        <v>1428</v>
      </c>
      <c r="M269" s="277">
        <v>304</v>
      </c>
      <c r="N269" s="278">
        <v>44392</v>
      </c>
      <c r="O269" s="329" t="s">
        <v>67</v>
      </c>
      <c r="P269" s="330">
        <f t="shared" si="13"/>
        <v>7</v>
      </c>
      <c r="Q269" s="330">
        <f t="shared" si="14"/>
        <v>6</v>
      </c>
      <c r="R269" s="331" t="str">
        <f t="shared" si="15"/>
        <v>Gastos_Gerais</v>
      </c>
      <c r="S269" s="331" t="str">
        <f>IF(D269="","",IF(OR(D269=Plano!$A$1,D269=Plano!$B$1),"entrada","saída"))</f>
        <v>saída</v>
      </c>
      <c r="T269" s="334" t="s">
        <v>994</v>
      </c>
      <c r="U269" s="334">
        <v>1679</v>
      </c>
      <c r="V269" s="269"/>
      <c r="W269" s="269"/>
      <c r="X269" s="269"/>
      <c r="Y269" s="269"/>
      <c r="Z269" s="269"/>
      <c r="AA269" s="269"/>
      <c r="AB269" s="269"/>
      <c r="AC269" s="269"/>
      <c r="AD269" s="269"/>
      <c r="AE269" s="269"/>
      <c r="AF269" s="269"/>
      <c r="AG269" s="269"/>
      <c r="AH269" s="269"/>
      <c r="AI269" s="269"/>
      <c r="AJ269" s="269"/>
      <c r="AK269" s="269"/>
      <c r="AL269" s="269"/>
      <c r="AM269" s="269"/>
    </row>
    <row r="270" spans="1:39" ht="42.75" customHeight="1" x14ac:dyDescent="0.2">
      <c r="A270" s="277">
        <f>IF(B270="","",COUNT('Diário 5º PA'!$A$5:$A$2634)+COUNT('Diário 6º PA'!$A$5:$A$2246)+ROW()-4)</f>
        <v>2809</v>
      </c>
      <c r="B270" s="278">
        <v>44392</v>
      </c>
      <c r="C270" s="249">
        <v>44378</v>
      </c>
      <c r="D270" s="255" t="s">
        <v>99</v>
      </c>
      <c r="E270" s="255" t="s">
        <v>272</v>
      </c>
      <c r="F270" s="258">
        <v>10.45</v>
      </c>
      <c r="G270" s="450" t="s">
        <v>1429</v>
      </c>
      <c r="H270" s="250" t="s">
        <v>125</v>
      </c>
      <c r="I270" s="250" t="s">
        <v>949</v>
      </c>
      <c r="J270" s="255" t="s">
        <v>950</v>
      </c>
      <c r="K270" s="255" t="s">
        <v>951</v>
      </c>
      <c r="L270" s="250" t="s">
        <v>947</v>
      </c>
      <c r="M270" s="336" t="s">
        <v>114</v>
      </c>
      <c r="N270" s="278">
        <v>44392</v>
      </c>
      <c r="O270" s="329" t="s">
        <v>67</v>
      </c>
      <c r="P270" s="330">
        <f t="shared" si="13"/>
        <v>7</v>
      </c>
      <c r="Q270" s="330">
        <f t="shared" si="14"/>
        <v>7</v>
      </c>
      <c r="R270" s="331" t="str">
        <f t="shared" si="15"/>
        <v>Gastos_Gerais</v>
      </c>
      <c r="S270" s="331" t="str">
        <f>IF(D270="","",IF(OR(D270=Plano!$A$1,D270=Plano!$B$1),"entrada","saída"))</f>
        <v>saída</v>
      </c>
      <c r="T270" s="332" t="s">
        <v>114</v>
      </c>
      <c r="U270" s="332" t="s">
        <v>114</v>
      </c>
      <c r="V270" s="269"/>
      <c r="W270" s="269"/>
      <c r="X270" s="269"/>
      <c r="Y270" s="269"/>
      <c r="Z270" s="269"/>
      <c r="AA270" s="269"/>
      <c r="AB270" s="269"/>
      <c r="AC270" s="269"/>
      <c r="AD270" s="269"/>
      <c r="AE270" s="269"/>
      <c r="AF270" s="269"/>
      <c r="AG270" s="269"/>
      <c r="AH270" s="269"/>
      <c r="AI270" s="269"/>
      <c r="AJ270" s="269"/>
      <c r="AK270" s="269"/>
      <c r="AL270" s="269"/>
      <c r="AM270" s="269"/>
    </row>
    <row r="271" spans="1:39" ht="158.25" customHeight="1" x14ac:dyDescent="0.2">
      <c r="A271" s="277">
        <f>IF(B271="","",COUNT('Diário 5º PA'!$A$5:$A$2634)+COUNT('Diário 6º PA'!$A$5:$A$2246)+ROW()-4)</f>
        <v>2810</v>
      </c>
      <c r="B271" s="278">
        <v>44393</v>
      </c>
      <c r="C271" s="249">
        <v>44348</v>
      </c>
      <c r="D271" s="250" t="s">
        <v>99</v>
      </c>
      <c r="E271" s="250" t="s">
        <v>330</v>
      </c>
      <c r="F271" s="251">
        <v>168.18</v>
      </c>
      <c r="G271" s="452" t="s">
        <v>554</v>
      </c>
      <c r="H271" s="250" t="s">
        <v>128</v>
      </c>
      <c r="I271" s="252" t="s">
        <v>1430</v>
      </c>
      <c r="J271" s="250" t="s">
        <v>556</v>
      </c>
      <c r="K271" s="255" t="s">
        <v>1015</v>
      </c>
      <c r="L271" s="250" t="s">
        <v>1177</v>
      </c>
      <c r="M271" s="277" t="s">
        <v>114</v>
      </c>
      <c r="N271" s="278">
        <v>44393</v>
      </c>
      <c r="O271" s="329" t="s">
        <v>67</v>
      </c>
      <c r="P271" s="330">
        <f t="shared" si="13"/>
        <v>7</v>
      </c>
      <c r="Q271" s="330">
        <f t="shared" si="14"/>
        <v>6</v>
      </c>
      <c r="R271" s="331" t="str">
        <f t="shared" si="15"/>
        <v>Gastos_Gerais</v>
      </c>
      <c r="S271" s="331" t="str">
        <f>IF(D271="","",IF(OR(D271=Plano!$A$1,D271=Plano!$B$1),"entrada","saída"))</f>
        <v>saída</v>
      </c>
      <c r="T271" s="334" t="s">
        <v>1059</v>
      </c>
      <c r="U271" s="334">
        <v>1336</v>
      </c>
      <c r="V271" s="269"/>
      <c r="W271" s="269"/>
      <c r="X271" s="269"/>
      <c r="Y271" s="269"/>
      <c r="Z271" s="269"/>
      <c r="AA271" s="269"/>
      <c r="AB271" s="269"/>
      <c r="AC271" s="269"/>
      <c r="AD271" s="269"/>
      <c r="AE271" s="269"/>
      <c r="AF271" s="269"/>
      <c r="AG271" s="269"/>
      <c r="AH271" s="269"/>
      <c r="AI271" s="269"/>
      <c r="AJ271" s="269"/>
      <c r="AK271" s="269"/>
      <c r="AL271" s="269"/>
      <c r="AM271" s="269"/>
    </row>
    <row r="272" spans="1:39" ht="119.25" customHeight="1" x14ac:dyDescent="0.2">
      <c r="A272" s="277">
        <f>IF(B272="","",COUNT('Diário 5º PA'!$A$5:$A$2634)+COUNT('Diário 6º PA'!$A$5:$A$2246)+ROW()-4)</f>
        <v>2811</v>
      </c>
      <c r="B272" s="278">
        <v>44393</v>
      </c>
      <c r="C272" s="249">
        <v>44348</v>
      </c>
      <c r="D272" s="250" t="s">
        <v>99</v>
      </c>
      <c r="E272" s="250" t="s">
        <v>364</v>
      </c>
      <c r="F272" s="251">
        <v>416.98</v>
      </c>
      <c r="G272" s="452" t="s">
        <v>1431</v>
      </c>
      <c r="H272" s="250" t="s">
        <v>127</v>
      </c>
      <c r="I272" s="250" t="s">
        <v>1432</v>
      </c>
      <c r="J272" s="250" t="s">
        <v>556</v>
      </c>
      <c r="K272" s="255" t="s">
        <v>1015</v>
      </c>
      <c r="L272" s="250" t="s">
        <v>1177</v>
      </c>
      <c r="M272" s="277" t="s">
        <v>114</v>
      </c>
      <c r="N272" s="278">
        <v>44393</v>
      </c>
      <c r="O272" s="329" t="s">
        <v>67</v>
      </c>
      <c r="P272" s="330">
        <f t="shared" si="13"/>
        <v>7</v>
      </c>
      <c r="Q272" s="330">
        <f t="shared" si="14"/>
        <v>6</v>
      </c>
      <c r="R272" s="331" t="str">
        <f t="shared" si="15"/>
        <v>Gastos_Gerais</v>
      </c>
      <c r="S272" s="331" t="str">
        <f>IF(D272="","",IF(OR(D272=Plano!$A$1,D272=Plano!$B$1),"entrada","saída"))</f>
        <v>saída</v>
      </c>
      <c r="T272" s="334" t="s">
        <v>1059</v>
      </c>
      <c r="U272" s="334">
        <v>1586</v>
      </c>
      <c r="V272" s="269"/>
      <c r="W272" s="269"/>
      <c r="X272" s="269"/>
      <c r="Y272" s="269"/>
      <c r="Z272" s="269"/>
      <c r="AA272" s="269"/>
      <c r="AB272" s="269"/>
      <c r="AC272" s="269"/>
      <c r="AD272" s="269"/>
      <c r="AE272" s="269"/>
      <c r="AF272" s="269"/>
      <c r="AG272" s="269"/>
      <c r="AH272" s="269"/>
      <c r="AI272" s="269"/>
      <c r="AJ272" s="269"/>
      <c r="AK272" s="269"/>
      <c r="AL272" s="269"/>
      <c r="AM272" s="269"/>
    </row>
    <row r="273" spans="1:39" ht="114" customHeight="1" x14ac:dyDescent="0.2">
      <c r="A273" s="277">
        <f>IF(B273="","",COUNT('Diário 5º PA'!$A$5:$A$2634)+COUNT('Diário 6º PA'!$A$5:$A$2246)+ROW()-4)</f>
        <v>2812</v>
      </c>
      <c r="B273" s="278">
        <v>44396</v>
      </c>
      <c r="C273" s="256">
        <v>44348</v>
      </c>
      <c r="D273" s="250" t="s">
        <v>99</v>
      </c>
      <c r="E273" s="250" t="s">
        <v>262</v>
      </c>
      <c r="F273" s="258">
        <v>-760.61</v>
      </c>
      <c r="G273" s="450" t="s">
        <v>1433</v>
      </c>
      <c r="H273" s="255" t="s">
        <v>115</v>
      </c>
      <c r="I273" s="250" t="s">
        <v>983</v>
      </c>
      <c r="J273" s="255" t="s">
        <v>850</v>
      </c>
      <c r="K273" s="255" t="s">
        <v>946</v>
      </c>
      <c r="L273" s="250" t="s">
        <v>947</v>
      </c>
      <c r="M273" s="277" t="s">
        <v>114</v>
      </c>
      <c r="N273" s="278">
        <v>44393</v>
      </c>
      <c r="O273" s="329" t="s">
        <v>67</v>
      </c>
      <c r="P273" s="330">
        <f t="shared" si="13"/>
        <v>7</v>
      </c>
      <c r="Q273" s="330">
        <f t="shared" si="14"/>
        <v>6</v>
      </c>
      <c r="R273" s="331" t="str">
        <f t="shared" si="15"/>
        <v>Gastos_Gerais</v>
      </c>
      <c r="S273" s="331" t="str">
        <f>IF(D273="","",IF(OR(D273=Plano!$A$1,D273=Plano!$B$1),"entrada","saída"))</f>
        <v>saída</v>
      </c>
      <c r="T273" s="332" t="s">
        <v>114</v>
      </c>
      <c r="U273" s="332" t="s">
        <v>114</v>
      </c>
      <c r="V273" s="269"/>
      <c r="W273" s="269"/>
      <c r="X273" s="269"/>
      <c r="Y273" s="269"/>
      <c r="Z273" s="269"/>
      <c r="AA273" s="269"/>
      <c r="AB273" s="269"/>
      <c r="AC273" s="269"/>
      <c r="AD273" s="269"/>
      <c r="AE273" s="269"/>
      <c r="AF273" s="269"/>
      <c r="AG273" s="269"/>
      <c r="AH273" s="269"/>
      <c r="AI273" s="269"/>
      <c r="AJ273" s="269"/>
      <c r="AK273" s="269"/>
      <c r="AL273" s="269"/>
      <c r="AM273" s="269"/>
    </row>
    <row r="274" spans="1:39" ht="71.25" customHeight="1" x14ac:dyDescent="0.2">
      <c r="A274" s="277">
        <f>IF(B274="","",COUNT('Diário 5º PA'!$A$5:$A$2634)+COUNT('Diário 6º PA'!$A$5:$A$2246)+ROW()-4)</f>
        <v>2813</v>
      </c>
      <c r="B274" s="278">
        <v>44396</v>
      </c>
      <c r="C274" s="256">
        <v>44348</v>
      </c>
      <c r="D274" s="255" t="s">
        <v>99</v>
      </c>
      <c r="E274" s="255" t="s">
        <v>218</v>
      </c>
      <c r="F274" s="258">
        <v>-16.260000000000002</v>
      </c>
      <c r="G274" s="450" t="s">
        <v>1434</v>
      </c>
      <c r="H274" s="255" t="s">
        <v>115</v>
      </c>
      <c r="I274" s="250" t="s">
        <v>983</v>
      </c>
      <c r="J274" s="255" t="s">
        <v>850</v>
      </c>
      <c r="K274" s="255" t="s">
        <v>946</v>
      </c>
      <c r="L274" s="250" t="s">
        <v>947</v>
      </c>
      <c r="M274" s="349" t="s">
        <v>114</v>
      </c>
      <c r="N274" s="278">
        <v>44393</v>
      </c>
      <c r="O274" s="329" t="s">
        <v>67</v>
      </c>
      <c r="P274" s="330">
        <f t="shared" si="13"/>
        <v>7</v>
      </c>
      <c r="Q274" s="330">
        <f t="shared" si="14"/>
        <v>6</v>
      </c>
      <c r="R274" s="331" t="str">
        <f t="shared" si="15"/>
        <v>Gastos_Gerais</v>
      </c>
      <c r="S274" s="331" t="str">
        <f>IF(D274="","",IF(OR(D274=Plano!$A$1,D274=Plano!$B$1),"entrada","saída"))</f>
        <v>saída</v>
      </c>
      <c r="T274" s="332" t="s">
        <v>114</v>
      </c>
      <c r="U274" s="332" t="s">
        <v>114</v>
      </c>
      <c r="V274" s="269"/>
      <c r="W274" s="269"/>
      <c r="X274" s="269"/>
      <c r="Y274" s="269"/>
      <c r="Z274" s="269"/>
      <c r="AA274" s="269"/>
      <c r="AB274" s="269"/>
      <c r="AC274" s="269"/>
      <c r="AD274" s="269"/>
      <c r="AE274" s="269"/>
      <c r="AF274" s="269"/>
      <c r="AG274" s="269"/>
      <c r="AH274" s="269"/>
      <c r="AI274" s="269"/>
      <c r="AJ274" s="269"/>
      <c r="AK274" s="269"/>
      <c r="AL274" s="269"/>
      <c r="AM274" s="269"/>
    </row>
    <row r="275" spans="1:39" ht="69" customHeight="1" x14ac:dyDescent="0.2">
      <c r="A275" s="277">
        <f>IF(B275="","",COUNT('Diário 5º PA'!$A$5:$A$2634)+COUNT('Diário 6º PA'!$A$5:$A$2246)+ROW()-4)</f>
        <v>2814</v>
      </c>
      <c r="B275" s="278">
        <v>44396</v>
      </c>
      <c r="C275" s="256">
        <v>44348</v>
      </c>
      <c r="D275" s="255" t="s">
        <v>99</v>
      </c>
      <c r="E275" s="255" t="s">
        <v>222</v>
      </c>
      <c r="F275" s="258">
        <v>-156.43</v>
      </c>
      <c r="G275" s="450" t="s">
        <v>1435</v>
      </c>
      <c r="H275" s="255" t="s">
        <v>115</v>
      </c>
      <c r="I275" s="250" t="s">
        <v>983</v>
      </c>
      <c r="J275" s="255" t="s">
        <v>850</v>
      </c>
      <c r="K275" s="255" t="s">
        <v>946</v>
      </c>
      <c r="L275" s="250" t="s">
        <v>947</v>
      </c>
      <c r="M275" s="277" t="s">
        <v>114</v>
      </c>
      <c r="N275" s="278">
        <v>44393</v>
      </c>
      <c r="O275" s="329" t="s">
        <v>67</v>
      </c>
      <c r="P275" s="330">
        <f t="shared" si="13"/>
        <v>7</v>
      </c>
      <c r="Q275" s="330">
        <f t="shared" si="14"/>
        <v>6</v>
      </c>
      <c r="R275" s="331" t="str">
        <f t="shared" si="15"/>
        <v>Gastos_Gerais</v>
      </c>
      <c r="S275" s="331" t="str">
        <f>IF(D275="","",IF(OR(D275=Plano!$A$1,D275=Plano!$B$1),"entrada","saída"))</f>
        <v>saída</v>
      </c>
      <c r="T275" s="332" t="s">
        <v>114</v>
      </c>
      <c r="U275" s="332" t="s">
        <v>114</v>
      </c>
      <c r="V275" s="269"/>
      <c r="W275" s="269"/>
      <c r="X275" s="269"/>
      <c r="Y275" s="269"/>
      <c r="Z275" s="269"/>
      <c r="AA275" s="269"/>
      <c r="AB275" s="269"/>
      <c r="AC275" s="269"/>
      <c r="AD275" s="269"/>
      <c r="AE275" s="269"/>
      <c r="AF275" s="269"/>
      <c r="AG275" s="269"/>
      <c r="AH275" s="269"/>
      <c r="AI275" s="269"/>
      <c r="AJ275" s="269"/>
      <c r="AK275" s="269"/>
      <c r="AL275" s="269"/>
      <c r="AM275" s="269"/>
    </row>
    <row r="276" spans="1:39" ht="59.25" customHeight="1" x14ac:dyDescent="0.2">
      <c r="A276" s="277">
        <f>IF(B276="","",COUNT('Diário 5º PA'!$A$5:$A$2634)+COUNT('Diário 6º PA'!$A$5:$A$2246)+ROW()-4)</f>
        <v>2815</v>
      </c>
      <c r="B276" s="278">
        <v>44396</v>
      </c>
      <c r="C276" s="256">
        <v>44348</v>
      </c>
      <c r="D276" s="255" t="s">
        <v>99</v>
      </c>
      <c r="E276" s="255" t="s">
        <v>216</v>
      </c>
      <c r="F276" s="258">
        <v>-76.17</v>
      </c>
      <c r="G276" s="450" t="s">
        <v>1436</v>
      </c>
      <c r="H276" s="255" t="s">
        <v>115</v>
      </c>
      <c r="I276" s="250" t="s">
        <v>983</v>
      </c>
      <c r="J276" s="255" t="s">
        <v>850</v>
      </c>
      <c r="K276" s="255" t="s">
        <v>946</v>
      </c>
      <c r="L276" s="250" t="s">
        <v>947</v>
      </c>
      <c r="M276" s="277" t="s">
        <v>114</v>
      </c>
      <c r="N276" s="278">
        <v>44393</v>
      </c>
      <c r="O276" s="329" t="s">
        <v>67</v>
      </c>
      <c r="P276" s="330">
        <f t="shared" si="13"/>
        <v>7</v>
      </c>
      <c r="Q276" s="330">
        <f t="shared" si="14"/>
        <v>6</v>
      </c>
      <c r="R276" s="331" t="str">
        <f t="shared" si="15"/>
        <v>Gastos_Gerais</v>
      </c>
      <c r="S276" s="331" t="str">
        <f>IF(D276="","",IF(OR(D276=Plano!$A$1,D276=Plano!$B$1),"entrada","saída"))</f>
        <v>saída</v>
      </c>
      <c r="T276" s="332" t="s">
        <v>114</v>
      </c>
      <c r="U276" s="332" t="s">
        <v>114</v>
      </c>
      <c r="V276" s="269"/>
      <c r="W276" s="269"/>
      <c r="X276" s="269"/>
      <c r="Y276" s="269"/>
      <c r="Z276" s="269"/>
      <c r="AA276" s="269"/>
      <c r="AB276" s="269"/>
      <c r="AC276" s="269"/>
      <c r="AD276" s="269"/>
      <c r="AE276" s="269"/>
      <c r="AF276" s="269"/>
      <c r="AG276" s="269"/>
      <c r="AH276" s="269"/>
      <c r="AI276" s="269"/>
      <c r="AJ276" s="269"/>
      <c r="AK276" s="269"/>
      <c r="AL276" s="269"/>
      <c r="AM276" s="269"/>
    </row>
    <row r="277" spans="1:39" ht="37.5" customHeight="1" x14ac:dyDescent="0.2">
      <c r="A277" s="277">
        <f>IF(B277="","",COUNT('Diário 5º PA'!$A$5:$A$2634)+COUNT('Diário 6º PA'!$A$5:$A$2246)+ROW()-4)</f>
        <v>2816</v>
      </c>
      <c r="B277" s="278">
        <v>44396</v>
      </c>
      <c r="C277" s="256">
        <v>44348</v>
      </c>
      <c r="D277" s="255" t="s">
        <v>99</v>
      </c>
      <c r="E277" s="255" t="s">
        <v>218</v>
      </c>
      <c r="F277" s="258">
        <v>61.58</v>
      </c>
      <c r="G277" s="450" t="s">
        <v>1437</v>
      </c>
      <c r="H277" s="255" t="s">
        <v>115</v>
      </c>
      <c r="I277" s="252" t="s">
        <v>515</v>
      </c>
      <c r="J277" s="252" t="s">
        <v>516</v>
      </c>
      <c r="K277" s="255" t="s">
        <v>700</v>
      </c>
      <c r="L277" s="250" t="s">
        <v>697</v>
      </c>
      <c r="M277" s="336" t="s">
        <v>1438</v>
      </c>
      <c r="N277" s="278">
        <v>44379</v>
      </c>
      <c r="O277" s="329" t="s">
        <v>67</v>
      </c>
      <c r="P277" s="330">
        <f t="shared" si="13"/>
        <v>7</v>
      </c>
      <c r="Q277" s="330">
        <f t="shared" si="14"/>
        <v>6</v>
      </c>
      <c r="R277" s="331" t="str">
        <f t="shared" si="15"/>
        <v>Gastos_Gerais</v>
      </c>
      <c r="S277" s="331" t="str">
        <f>IF(D277="","",IF(OR(D277=Plano!$A$1,D277=Plano!$B$1),"entrada","saída"))</f>
        <v>saída</v>
      </c>
      <c r="T277" s="332" t="s">
        <v>114</v>
      </c>
      <c r="U277" s="332" t="s">
        <v>114</v>
      </c>
      <c r="V277" s="269"/>
      <c r="W277" s="269"/>
      <c r="X277" s="269"/>
      <c r="Y277" s="269"/>
      <c r="Z277" s="269"/>
      <c r="AA277" s="269"/>
      <c r="AB277" s="269"/>
      <c r="AC277" s="269"/>
      <c r="AD277" s="269"/>
      <c r="AE277" s="269"/>
      <c r="AF277" s="269"/>
      <c r="AG277" s="269"/>
      <c r="AH277" s="269"/>
      <c r="AI277" s="269"/>
      <c r="AJ277" s="269"/>
      <c r="AK277" s="269"/>
      <c r="AL277" s="269"/>
      <c r="AM277" s="269"/>
    </row>
    <row r="278" spans="1:39" ht="40.5" customHeight="1" x14ac:dyDescent="0.2">
      <c r="A278" s="277">
        <f>IF(B278="","",COUNT('Diário 5º PA'!$A$5:$A$2634)+COUNT('Diário 6º PA'!$A$5:$A$2246)+ROW()-4)</f>
        <v>2817</v>
      </c>
      <c r="B278" s="278">
        <v>44396</v>
      </c>
      <c r="C278" s="256">
        <v>44348</v>
      </c>
      <c r="D278" s="255" t="s">
        <v>99</v>
      </c>
      <c r="E278" s="255" t="s">
        <v>222</v>
      </c>
      <c r="F278" s="258">
        <v>592.30999999999995</v>
      </c>
      <c r="G278" s="450" t="s">
        <v>524</v>
      </c>
      <c r="H278" s="255" t="s">
        <v>115</v>
      </c>
      <c r="I278" s="252" t="s">
        <v>522</v>
      </c>
      <c r="J278" s="252" t="s">
        <v>523</v>
      </c>
      <c r="K278" s="255" t="s">
        <v>1375</v>
      </c>
      <c r="L278" s="250" t="s">
        <v>697</v>
      </c>
      <c r="M278" s="277" t="s">
        <v>114</v>
      </c>
      <c r="N278" s="278">
        <v>44378</v>
      </c>
      <c r="O278" s="329" t="s">
        <v>67</v>
      </c>
      <c r="P278" s="330">
        <f t="shared" si="13"/>
        <v>7</v>
      </c>
      <c r="Q278" s="330">
        <f t="shared" si="14"/>
        <v>6</v>
      </c>
      <c r="R278" s="331" t="str">
        <f t="shared" si="15"/>
        <v>Gastos_Gerais</v>
      </c>
      <c r="S278" s="331" t="str">
        <f>IF(D278="","",IF(OR(D278=Plano!$A$1,D278=Plano!$B$1),"entrada","saída"))</f>
        <v>saída</v>
      </c>
      <c r="T278" s="332" t="s">
        <v>114</v>
      </c>
      <c r="U278" s="332" t="s">
        <v>114</v>
      </c>
      <c r="V278" s="269"/>
      <c r="W278" s="269"/>
      <c r="X278" s="269"/>
      <c r="Y278" s="269"/>
      <c r="Z278" s="269"/>
      <c r="AA278" s="269"/>
      <c r="AB278" s="269"/>
      <c r="AC278" s="269"/>
      <c r="AD278" s="269"/>
      <c r="AE278" s="269"/>
      <c r="AF278" s="269"/>
      <c r="AG278" s="269"/>
      <c r="AH278" s="269"/>
      <c r="AI278" s="269"/>
      <c r="AJ278" s="269"/>
      <c r="AK278" s="269"/>
      <c r="AL278" s="269"/>
      <c r="AM278" s="269"/>
    </row>
    <row r="279" spans="1:39" ht="26.25" customHeight="1" x14ac:dyDescent="0.2">
      <c r="A279" s="277">
        <f>IF(B279="","",COUNT('Diário 5º PA'!$A$5:$A$2634)+COUNT('Diário 6º PA'!$A$5:$A$2246)+ROW()-4)</f>
        <v>2818</v>
      </c>
      <c r="B279" s="278">
        <v>44396</v>
      </c>
      <c r="C279" s="256">
        <v>44348</v>
      </c>
      <c r="D279" s="255" t="s">
        <v>99</v>
      </c>
      <c r="E279" s="255" t="s">
        <v>216</v>
      </c>
      <c r="F279" s="258">
        <v>288.39999999999998</v>
      </c>
      <c r="G279" s="450" t="s">
        <v>1215</v>
      </c>
      <c r="H279" s="255" t="s">
        <v>115</v>
      </c>
      <c r="I279" s="250" t="s">
        <v>513</v>
      </c>
      <c r="J279" s="252" t="s">
        <v>514</v>
      </c>
      <c r="K279" s="255" t="s">
        <v>696</v>
      </c>
      <c r="L279" s="250" t="s">
        <v>697</v>
      </c>
      <c r="M279" s="277">
        <v>60771269</v>
      </c>
      <c r="N279" s="278">
        <v>44371</v>
      </c>
      <c r="O279" s="329" t="s">
        <v>67</v>
      </c>
      <c r="P279" s="330">
        <f t="shared" si="13"/>
        <v>7</v>
      </c>
      <c r="Q279" s="330">
        <f t="shared" si="14"/>
        <v>6</v>
      </c>
      <c r="R279" s="331" t="str">
        <f t="shared" si="15"/>
        <v>Gastos_Gerais</v>
      </c>
      <c r="S279" s="331" t="str">
        <f>IF(D279="","",IF(OR(D279=Plano!$A$1,D279=Plano!$B$1),"entrada","saída"))</f>
        <v>saída</v>
      </c>
      <c r="T279" s="332" t="s">
        <v>114</v>
      </c>
      <c r="U279" s="332" t="s">
        <v>114</v>
      </c>
      <c r="V279" s="269"/>
      <c r="W279" s="269"/>
      <c r="X279" s="269"/>
      <c r="Y279" s="269"/>
      <c r="Z279" s="269"/>
      <c r="AA279" s="269"/>
      <c r="AB279" s="269"/>
      <c r="AC279" s="269"/>
      <c r="AD279" s="269"/>
      <c r="AE279" s="269"/>
      <c r="AF279" s="269"/>
      <c r="AG279" s="269"/>
      <c r="AH279" s="269"/>
      <c r="AI279" s="269"/>
      <c r="AJ279" s="269"/>
      <c r="AK279" s="269"/>
      <c r="AL279" s="269"/>
      <c r="AM279" s="269"/>
    </row>
    <row r="280" spans="1:39" ht="31.5" customHeight="1" x14ac:dyDescent="0.2">
      <c r="A280" s="277">
        <f>IF(B280="","",COUNT('Diário 5º PA'!$A$5:$A$2634)+COUNT('Diário 6º PA'!$A$5:$A$2246)+ROW()-4)</f>
        <v>2819</v>
      </c>
      <c r="B280" s="278">
        <v>44396</v>
      </c>
      <c r="C280" s="335">
        <v>44378</v>
      </c>
      <c r="D280" s="255" t="s">
        <v>88</v>
      </c>
      <c r="E280" s="255" t="s">
        <v>192</v>
      </c>
      <c r="F280" s="258">
        <v>109.03</v>
      </c>
      <c r="G280" s="451" t="s">
        <v>5362</v>
      </c>
      <c r="H280" s="255" t="s">
        <v>114</v>
      </c>
      <c r="I280" s="252" t="s">
        <v>1032</v>
      </c>
      <c r="J280" s="252" t="s">
        <v>1033</v>
      </c>
      <c r="K280" s="255" t="s">
        <v>560</v>
      </c>
      <c r="L280" s="252" t="s">
        <v>1016</v>
      </c>
      <c r="M280" s="277" t="s">
        <v>1439</v>
      </c>
      <c r="N280" s="278">
        <v>44398</v>
      </c>
      <c r="O280" s="329" t="s">
        <v>67</v>
      </c>
      <c r="P280" s="330">
        <f t="shared" si="13"/>
        <v>7</v>
      </c>
      <c r="Q280" s="330">
        <f t="shared" si="14"/>
        <v>7</v>
      </c>
      <c r="R280" s="331" t="str">
        <f t="shared" si="15"/>
        <v>Gastos_com_Pessoal</v>
      </c>
      <c r="S280" s="331" t="str">
        <f>IF(D280="","",IF(OR(D280=Plano!$A$1,D280=Plano!$B$1),"entrada","saída"))</f>
        <v>saída</v>
      </c>
      <c r="T280" s="332" t="s">
        <v>114</v>
      </c>
      <c r="U280" s="332" t="s">
        <v>114</v>
      </c>
      <c r="V280" s="269"/>
      <c r="W280" s="269"/>
      <c r="X280" s="269"/>
      <c r="Y280" s="269"/>
      <c r="Z280" s="269"/>
      <c r="AA280" s="269"/>
      <c r="AB280" s="269"/>
      <c r="AC280" s="269"/>
      <c r="AD280" s="269"/>
      <c r="AE280" s="269"/>
      <c r="AF280" s="269"/>
      <c r="AG280" s="269"/>
      <c r="AH280" s="269"/>
      <c r="AI280" s="269"/>
      <c r="AJ280" s="269"/>
      <c r="AK280" s="269"/>
      <c r="AL280" s="269"/>
      <c r="AM280" s="269"/>
    </row>
    <row r="281" spans="1:39" ht="60" customHeight="1" x14ac:dyDescent="0.2">
      <c r="A281" s="277">
        <f>IF(B281="","",COUNT('Diário 5º PA'!$A$5:$A$2634)+COUNT('Diário 6º PA'!$A$5:$A$2246)+ROW()-4)</f>
        <v>2820</v>
      </c>
      <c r="B281" s="278">
        <v>44396</v>
      </c>
      <c r="C281" s="249">
        <v>44348</v>
      </c>
      <c r="D281" s="250" t="s">
        <v>104</v>
      </c>
      <c r="E281" s="250" t="s">
        <v>104</v>
      </c>
      <c r="F281" s="251">
        <v>400</v>
      </c>
      <c r="G281" s="452" t="s">
        <v>1440</v>
      </c>
      <c r="H281" s="250" t="s">
        <v>104</v>
      </c>
      <c r="I281" s="250" t="s">
        <v>1441</v>
      </c>
      <c r="J281" s="250" t="s">
        <v>1442</v>
      </c>
      <c r="K281" s="255" t="s">
        <v>991</v>
      </c>
      <c r="L281" s="252" t="s">
        <v>992</v>
      </c>
      <c r="M281" s="277" t="s">
        <v>1443</v>
      </c>
      <c r="N281" s="278">
        <v>44393</v>
      </c>
      <c r="O281" s="329" t="s">
        <v>70</v>
      </c>
      <c r="P281" s="330">
        <f t="shared" si="13"/>
        <v>7</v>
      </c>
      <c r="Q281" s="330">
        <f t="shared" si="14"/>
        <v>6</v>
      </c>
      <c r="R281" s="331" t="str">
        <f t="shared" si="15"/>
        <v>Gastos_custeados_por_captação</v>
      </c>
      <c r="S281" s="331" t="str">
        <f>IF(D281="","",IF(OR(D281=Plano!$A$1,D281=Plano!$B$1),"entrada","saída"))</f>
        <v>saída</v>
      </c>
      <c r="T281" s="332" t="s">
        <v>994</v>
      </c>
      <c r="U281" s="332">
        <v>1664</v>
      </c>
      <c r="V281" s="269"/>
      <c r="W281" s="269"/>
      <c r="X281" s="269"/>
      <c r="Y281" s="269"/>
      <c r="Z281" s="269"/>
      <c r="AA281" s="269"/>
      <c r="AB281" s="269"/>
      <c r="AC281" s="269"/>
      <c r="AD281" s="269"/>
      <c r="AE281" s="269"/>
      <c r="AF281" s="269"/>
      <c r="AG281" s="269"/>
      <c r="AH281" s="269"/>
      <c r="AI281" s="269"/>
      <c r="AJ281" s="269"/>
      <c r="AK281" s="269"/>
      <c r="AL281" s="269"/>
      <c r="AM281" s="269"/>
    </row>
    <row r="282" spans="1:39" ht="66" customHeight="1" x14ac:dyDescent="0.2">
      <c r="A282" s="277">
        <f>IF(B282="","",COUNT('Diário 5º PA'!$A$5:$A$2634)+COUNT('Diário 6º PA'!$A$5:$A$2246)+ROW()-4)</f>
        <v>2821</v>
      </c>
      <c r="B282" s="278">
        <v>44397</v>
      </c>
      <c r="C282" s="249">
        <v>44348</v>
      </c>
      <c r="D282" s="255" t="s">
        <v>99</v>
      </c>
      <c r="E282" s="255" t="s">
        <v>224</v>
      </c>
      <c r="F282" s="257">
        <v>-85.71</v>
      </c>
      <c r="G282" s="450" t="s">
        <v>1444</v>
      </c>
      <c r="H282" s="255" t="s">
        <v>115</v>
      </c>
      <c r="I282" s="250" t="s">
        <v>983</v>
      </c>
      <c r="J282" s="255" t="s">
        <v>850</v>
      </c>
      <c r="K282" s="255" t="s">
        <v>946</v>
      </c>
      <c r="L282" s="250" t="s">
        <v>947</v>
      </c>
      <c r="M282" s="277" t="s">
        <v>114</v>
      </c>
      <c r="N282" s="278">
        <v>44397</v>
      </c>
      <c r="O282" s="329" t="s">
        <v>67</v>
      </c>
      <c r="P282" s="330">
        <f t="shared" si="13"/>
        <v>7</v>
      </c>
      <c r="Q282" s="330">
        <f t="shared" si="14"/>
        <v>6</v>
      </c>
      <c r="R282" s="331" t="str">
        <f t="shared" si="15"/>
        <v>Gastos_Gerais</v>
      </c>
      <c r="S282" s="331" t="str">
        <f>IF(D282="","",IF(OR(D282=Plano!$A$1,D282=Plano!$B$1),"entrada","saída"))</f>
        <v>saída</v>
      </c>
      <c r="T282" s="332" t="s">
        <v>114</v>
      </c>
      <c r="U282" s="332" t="s">
        <v>114</v>
      </c>
      <c r="V282" s="269"/>
      <c r="W282" s="269"/>
      <c r="X282" s="269"/>
      <c r="Y282" s="269"/>
      <c r="Z282" s="269"/>
      <c r="AA282" s="269"/>
      <c r="AB282" s="269"/>
      <c r="AC282" s="269"/>
      <c r="AD282" s="269"/>
      <c r="AE282" s="269"/>
      <c r="AF282" s="269"/>
      <c r="AG282" s="269"/>
      <c r="AH282" s="269"/>
      <c r="AI282" s="269"/>
      <c r="AJ282" s="269"/>
      <c r="AK282" s="269"/>
      <c r="AL282" s="269"/>
      <c r="AM282" s="269"/>
    </row>
    <row r="283" spans="1:39" ht="192" customHeight="1" x14ac:dyDescent="0.2">
      <c r="A283" s="277">
        <f>IF(B283="","",COUNT('Diário 5º PA'!$A$5:$A$2634)+COUNT('Diário 6º PA'!$A$5:$A$2246)+ROW()-4)</f>
        <v>2822</v>
      </c>
      <c r="B283" s="278">
        <v>44397</v>
      </c>
      <c r="C283" s="249">
        <v>44348</v>
      </c>
      <c r="D283" s="250" t="s">
        <v>99</v>
      </c>
      <c r="E283" s="250" t="s">
        <v>262</v>
      </c>
      <c r="F283" s="251">
        <v>2042.58</v>
      </c>
      <c r="G283" s="452" t="s">
        <v>1445</v>
      </c>
      <c r="H283" s="250" t="s">
        <v>115</v>
      </c>
      <c r="I283" s="250" t="s">
        <v>1446</v>
      </c>
      <c r="J283" s="250" t="s">
        <v>660</v>
      </c>
      <c r="K283" s="255" t="s">
        <v>991</v>
      </c>
      <c r="L283" s="250" t="s">
        <v>1029</v>
      </c>
      <c r="M283" s="277">
        <v>1238</v>
      </c>
      <c r="N283" s="278">
        <v>44396</v>
      </c>
      <c r="O283" s="329" t="s">
        <v>67</v>
      </c>
      <c r="P283" s="330">
        <f t="shared" si="13"/>
        <v>7</v>
      </c>
      <c r="Q283" s="330">
        <f t="shared" si="14"/>
        <v>6</v>
      </c>
      <c r="R283" s="331" t="str">
        <f t="shared" si="15"/>
        <v>Gastos_Gerais</v>
      </c>
      <c r="S283" s="331" t="str">
        <f>IF(D283="","",IF(OR(D283=Plano!$A$1,D283=Plano!$B$1),"entrada","saída"))</f>
        <v>saída</v>
      </c>
      <c r="T283" s="334" t="s">
        <v>1059</v>
      </c>
      <c r="U283" s="334">
        <v>1559</v>
      </c>
      <c r="V283" s="269"/>
      <c r="W283" s="269"/>
      <c r="X283" s="269"/>
      <c r="Y283" s="269"/>
      <c r="Z283" s="269"/>
      <c r="AA283" s="269"/>
      <c r="AB283" s="269"/>
      <c r="AC283" s="269"/>
      <c r="AD283" s="269"/>
      <c r="AE283" s="269"/>
      <c r="AF283" s="269"/>
      <c r="AG283" s="269"/>
      <c r="AH283" s="269"/>
      <c r="AI283" s="269"/>
      <c r="AJ283" s="269"/>
      <c r="AK283" s="269"/>
      <c r="AL283" s="269"/>
      <c r="AM283" s="269"/>
    </row>
    <row r="284" spans="1:39" ht="139.5" customHeight="1" x14ac:dyDescent="0.2">
      <c r="A284" s="277">
        <f>IF(B284="","",COUNT('Diário 5º PA'!$A$5:$A$2634)+COUNT('Diário 6º PA'!$A$5:$A$2246)+ROW()-4)</f>
        <v>2823</v>
      </c>
      <c r="B284" s="278">
        <v>44397</v>
      </c>
      <c r="C284" s="249">
        <v>44348</v>
      </c>
      <c r="D284" s="250" t="s">
        <v>99</v>
      </c>
      <c r="E284" s="250" t="s">
        <v>266</v>
      </c>
      <c r="F284" s="251">
        <v>10164.92</v>
      </c>
      <c r="G284" s="452" t="s">
        <v>586</v>
      </c>
      <c r="H284" s="250" t="s">
        <v>131</v>
      </c>
      <c r="I284" s="252" t="s">
        <v>1447</v>
      </c>
      <c r="J284" s="250" t="s">
        <v>587</v>
      </c>
      <c r="K284" s="255" t="s">
        <v>991</v>
      </c>
      <c r="L284" s="250" t="s">
        <v>992</v>
      </c>
      <c r="M284" s="277" t="s">
        <v>1448</v>
      </c>
      <c r="N284" s="278">
        <v>44396</v>
      </c>
      <c r="O284" s="329" t="s">
        <v>67</v>
      </c>
      <c r="P284" s="330">
        <f t="shared" si="13"/>
        <v>7</v>
      </c>
      <c r="Q284" s="330">
        <f t="shared" si="14"/>
        <v>6</v>
      </c>
      <c r="R284" s="331" t="str">
        <f t="shared" si="15"/>
        <v>Gastos_Gerais</v>
      </c>
      <c r="S284" s="331" t="str">
        <f>IF(D284="","",IF(OR(D284=Plano!$A$1,D284=Plano!$B$1),"entrada","saída"))</f>
        <v>saída</v>
      </c>
      <c r="T284" s="334" t="s">
        <v>1082</v>
      </c>
      <c r="U284" s="334">
        <v>1441</v>
      </c>
      <c r="V284" s="269"/>
      <c r="W284" s="269"/>
      <c r="X284" s="269"/>
      <c r="Y284" s="269"/>
      <c r="Z284" s="269"/>
      <c r="AA284" s="269"/>
      <c r="AB284" s="269"/>
      <c r="AC284" s="269"/>
      <c r="AD284" s="269"/>
      <c r="AE284" s="269"/>
      <c r="AF284" s="269"/>
      <c r="AG284" s="269"/>
      <c r="AH284" s="269"/>
      <c r="AI284" s="269"/>
      <c r="AJ284" s="269"/>
      <c r="AK284" s="269"/>
      <c r="AL284" s="269"/>
      <c r="AM284" s="269"/>
    </row>
    <row r="285" spans="1:39" ht="192" customHeight="1" x14ac:dyDescent="0.2">
      <c r="A285" s="277">
        <f>IF(B285="","",COUNT('Diário 5º PA'!$A$5:$A$2634)+COUNT('Diário 6º PA'!$A$5:$A$2246)+ROW()-4)</f>
        <v>2824</v>
      </c>
      <c r="B285" s="278">
        <v>44397</v>
      </c>
      <c r="C285" s="249">
        <v>44348</v>
      </c>
      <c r="D285" s="250" t="s">
        <v>99</v>
      </c>
      <c r="E285" s="250" t="s">
        <v>364</v>
      </c>
      <c r="F285" s="251">
        <v>4767.21</v>
      </c>
      <c r="G285" s="452" t="s">
        <v>1449</v>
      </c>
      <c r="H285" s="250" t="s">
        <v>123</v>
      </c>
      <c r="I285" s="250" t="s">
        <v>1450</v>
      </c>
      <c r="J285" s="250" t="s">
        <v>1451</v>
      </c>
      <c r="K285" s="255" t="s">
        <v>991</v>
      </c>
      <c r="L285" s="250" t="s">
        <v>992</v>
      </c>
      <c r="M285" s="277" t="s">
        <v>1452</v>
      </c>
      <c r="N285" s="278">
        <v>44396</v>
      </c>
      <c r="O285" s="329" t="s">
        <v>67</v>
      </c>
      <c r="P285" s="330">
        <f t="shared" si="13"/>
        <v>7</v>
      </c>
      <c r="Q285" s="330">
        <f t="shared" si="14"/>
        <v>6</v>
      </c>
      <c r="R285" s="331" t="str">
        <f t="shared" si="15"/>
        <v>Gastos_Gerais</v>
      </c>
      <c r="S285" s="331" t="str">
        <f>IF(D285="","",IF(OR(D285=Plano!$A$1,D285=Plano!$B$1),"entrada","saída"))</f>
        <v>saída</v>
      </c>
      <c r="T285" s="334" t="s">
        <v>994</v>
      </c>
      <c r="U285" s="334">
        <v>1594</v>
      </c>
      <c r="V285" s="269"/>
      <c r="W285" s="269"/>
      <c r="X285" s="269"/>
      <c r="Y285" s="269"/>
      <c r="Z285" s="269"/>
      <c r="AA285" s="269"/>
      <c r="AB285" s="269"/>
      <c r="AC285" s="269"/>
      <c r="AD285" s="269"/>
      <c r="AE285" s="269"/>
      <c r="AF285" s="269"/>
      <c r="AG285" s="269"/>
      <c r="AH285" s="269"/>
      <c r="AI285" s="269"/>
      <c r="AJ285" s="269"/>
      <c r="AK285" s="269"/>
      <c r="AL285" s="269"/>
      <c r="AM285" s="269"/>
    </row>
    <row r="286" spans="1:39" ht="210" customHeight="1" x14ac:dyDescent="0.2">
      <c r="A286" s="277">
        <f>IF(B286="","",COUNT('Diário 5º PA'!$A$5:$A$2634)+COUNT('Diário 6º PA'!$A$5:$A$2246)+ROW()-4)</f>
        <v>2825</v>
      </c>
      <c r="B286" s="278">
        <v>44397</v>
      </c>
      <c r="C286" s="249">
        <v>44348</v>
      </c>
      <c r="D286" s="250" t="s">
        <v>99</v>
      </c>
      <c r="E286" s="250" t="s">
        <v>364</v>
      </c>
      <c r="F286" s="251">
        <v>4605.53</v>
      </c>
      <c r="G286" s="452" t="s">
        <v>1453</v>
      </c>
      <c r="H286" s="250" t="s">
        <v>123</v>
      </c>
      <c r="I286" s="250" t="s">
        <v>1454</v>
      </c>
      <c r="J286" s="250" t="s">
        <v>1455</v>
      </c>
      <c r="K286" s="255" t="s">
        <v>991</v>
      </c>
      <c r="L286" s="250" t="s">
        <v>1016</v>
      </c>
      <c r="M286" s="277" t="s">
        <v>1452</v>
      </c>
      <c r="N286" s="278">
        <v>44393</v>
      </c>
      <c r="O286" s="329" t="s">
        <v>67</v>
      </c>
      <c r="P286" s="330">
        <f t="shared" si="13"/>
        <v>7</v>
      </c>
      <c r="Q286" s="330">
        <f t="shared" si="14"/>
        <v>6</v>
      </c>
      <c r="R286" s="331" t="str">
        <f t="shared" si="15"/>
        <v>Gastos_Gerais</v>
      </c>
      <c r="S286" s="331" t="str">
        <f>IF(D286="","",IF(OR(D286=Plano!$A$1,D286=Plano!$B$1),"entrada","saída"))</f>
        <v>saída</v>
      </c>
      <c r="T286" s="334" t="s">
        <v>994</v>
      </c>
      <c r="U286" s="334">
        <v>1597</v>
      </c>
      <c r="V286" s="269"/>
      <c r="W286" s="269"/>
      <c r="X286" s="269"/>
      <c r="Y286" s="269"/>
      <c r="Z286" s="269"/>
      <c r="AA286" s="269"/>
      <c r="AB286" s="269"/>
      <c r="AC286" s="269"/>
      <c r="AD286" s="269"/>
      <c r="AE286" s="269"/>
      <c r="AF286" s="269"/>
      <c r="AG286" s="269"/>
      <c r="AH286" s="269"/>
      <c r="AI286" s="269"/>
      <c r="AJ286" s="269"/>
      <c r="AK286" s="269"/>
      <c r="AL286" s="269"/>
      <c r="AM286" s="269"/>
    </row>
    <row r="287" spans="1:39" ht="48.75" customHeight="1" x14ac:dyDescent="0.2">
      <c r="A287" s="277">
        <f>IF(B287="","",COUNT('Diário 5º PA'!$A$5:$A$2634)+COUNT('Diário 6º PA'!$A$5:$A$2246)+ROW()-4)</f>
        <v>2826</v>
      </c>
      <c r="B287" s="278">
        <v>44397</v>
      </c>
      <c r="C287" s="249">
        <v>44348</v>
      </c>
      <c r="D287" s="250" t="s">
        <v>99</v>
      </c>
      <c r="E287" s="250" t="s">
        <v>336</v>
      </c>
      <c r="F287" s="251">
        <v>274.29000000000002</v>
      </c>
      <c r="G287" s="452" t="s">
        <v>1456</v>
      </c>
      <c r="H287" s="250" t="s">
        <v>116</v>
      </c>
      <c r="I287" s="252" t="s">
        <v>488</v>
      </c>
      <c r="J287" s="250" t="s">
        <v>114</v>
      </c>
      <c r="K287" s="250" t="s">
        <v>466</v>
      </c>
      <c r="L287" s="250" t="s">
        <v>489</v>
      </c>
      <c r="M287" s="346" t="s">
        <v>114</v>
      </c>
      <c r="N287" s="350">
        <v>44377</v>
      </c>
      <c r="O287" s="329" t="s">
        <v>67</v>
      </c>
      <c r="P287" s="330">
        <f t="shared" si="13"/>
        <v>7</v>
      </c>
      <c r="Q287" s="330">
        <f t="shared" si="14"/>
        <v>6</v>
      </c>
      <c r="R287" s="331" t="str">
        <f t="shared" si="15"/>
        <v>Gastos_Gerais</v>
      </c>
      <c r="S287" s="331" t="str">
        <f>IF(D287="","",IF(OR(D287=Plano!$A$1,D287=Plano!$B$1),"entrada","saída"))</f>
        <v>saída</v>
      </c>
      <c r="T287" s="334" t="s">
        <v>114</v>
      </c>
      <c r="U287" s="334" t="s">
        <v>114</v>
      </c>
      <c r="V287" s="269"/>
      <c r="W287" s="269"/>
      <c r="X287" s="269"/>
      <c r="Y287" s="269"/>
      <c r="Z287" s="269"/>
      <c r="AA287" s="269"/>
      <c r="AB287" s="269"/>
      <c r="AC287" s="269"/>
      <c r="AD287" s="269"/>
      <c r="AE287" s="269"/>
      <c r="AF287" s="269"/>
      <c r="AG287" s="269"/>
      <c r="AH287" s="269"/>
      <c r="AI287" s="269"/>
      <c r="AJ287" s="269"/>
      <c r="AK287" s="269"/>
      <c r="AL287" s="269"/>
      <c r="AM287" s="269"/>
    </row>
    <row r="288" spans="1:39" ht="48.75" customHeight="1" x14ac:dyDescent="0.2">
      <c r="A288" s="277">
        <f>IF(B288="","",COUNT('Diário 5º PA'!$A$5:$A$2634)+COUNT('Diário 6º PA'!$A$5:$A$2246)+ROW()-4)</f>
        <v>2827</v>
      </c>
      <c r="B288" s="278">
        <v>44397</v>
      </c>
      <c r="C288" s="249">
        <v>44348</v>
      </c>
      <c r="D288" s="250" t="s">
        <v>99</v>
      </c>
      <c r="E288" s="250" t="s">
        <v>336</v>
      </c>
      <c r="F288" s="251">
        <v>10.73</v>
      </c>
      <c r="G288" s="452" t="s">
        <v>1457</v>
      </c>
      <c r="H288" s="250" t="s">
        <v>116</v>
      </c>
      <c r="I288" s="252" t="s">
        <v>488</v>
      </c>
      <c r="J288" s="250" t="s">
        <v>114</v>
      </c>
      <c r="K288" s="250" t="s">
        <v>466</v>
      </c>
      <c r="L288" s="250" t="s">
        <v>489</v>
      </c>
      <c r="M288" s="346" t="s">
        <v>114</v>
      </c>
      <c r="N288" s="350">
        <v>44377</v>
      </c>
      <c r="O288" s="329" t="s">
        <v>67</v>
      </c>
      <c r="P288" s="330">
        <f t="shared" si="13"/>
        <v>7</v>
      </c>
      <c r="Q288" s="330">
        <f t="shared" si="14"/>
        <v>6</v>
      </c>
      <c r="R288" s="331" t="str">
        <f t="shared" si="15"/>
        <v>Gastos_Gerais</v>
      </c>
      <c r="S288" s="331" t="str">
        <f>IF(D288="","",IF(OR(D288=Plano!$A$1,D288=Plano!$B$1),"entrada","saída"))</f>
        <v>saída</v>
      </c>
      <c r="T288" s="334" t="s">
        <v>114</v>
      </c>
      <c r="U288" s="334" t="s">
        <v>114</v>
      </c>
      <c r="V288" s="269"/>
      <c r="W288" s="269"/>
      <c r="X288" s="269"/>
      <c r="Y288" s="269"/>
      <c r="Z288" s="269"/>
      <c r="AA288" s="269"/>
      <c r="AB288" s="269"/>
      <c r="AC288" s="269"/>
      <c r="AD288" s="269"/>
      <c r="AE288" s="269"/>
      <c r="AF288" s="269"/>
      <c r="AG288" s="269"/>
      <c r="AH288" s="269"/>
      <c r="AI288" s="269"/>
      <c r="AJ288" s="269"/>
      <c r="AK288" s="269"/>
      <c r="AL288" s="269"/>
      <c r="AM288" s="269"/>
    </row>
    <row r="289" spans="1:39" ht="35.25" customHeight="1" x14ac:dyDescent="0.2">
      <c r="A289" s="277">
        <f>IF(B289="","",COUNT('Diário 5º PA'!$A$5:$A$2634)+COUNT('Diário 6º PA'!$A$5:$A$2246)+ROW()-4)</f>
        <v>2828</v>
      </c>
      <c r="B289" s="278">
        <v>44397</v>
      </c>
      <c r="C289" s="249">
        <v>44317</v>
      </c>
      <c r="D289" s="250" t="s">
        <v>99</v>
      </c>
      <c r="E289" s="250" t="s">
        <v>364</v>
      </c>
      <c r="F289" s="251">
        <v>40.76</v>
      </c>
      <c r="G289" s="452" t="s">
        <v>1458</v>
      </c>
      <c r="H289" s="250" t="s">
        <v>132</v>
      </c>
      <c r="I289" s="252" t="s">
        <v>488</v>
      </c>
      <c r="J289" s="250" t="s">
        <v>114</v>
      </c>
      <c r="K289" s="250" t="s">
        <v>466</v>
      </c>
      <c r="L289" s="250" t="s">
        <v>489</v>
      </c>
      <c r="M289" s="346" t="s">
        <v>114</v>
      </c>
      <c r="N289" s="350">
        <v>44377</v>
      </c>
      <c r="O289" s="329" t="s">
        <v>67</v>
      </c>
      <c r="P289" s="330">
        <f t="shared" si="13"/>
        <v>7</v>
      </c>
      <c r="Q289" s="330">
        <f t="shared" si="14"/>
        <v>5</v>
      </c>
      <c r="R289" s="331" t="str">
        <f t="shared" si="15"/>
        <v>Gastos_Gerais</v>
      </c>
      <c r="S289" s="331" t="str">
        <f>IF(D289="","",IF(OR(D289=Plano!$A$1,D289=Plano!$B$1),"entrada","saída"))</f>
        <v>saída</v>
      </c>
      <c r="T289" s="334" t="s">
        <v>114</v>
      </c>
      <c r="U289" s="334" t="s">
        <v>114</v>
      </c>
      <c r="V289" s="269"/>
      <c r="W289" s="269"/>
      <c r="X289" s="269"/>
      <c r="Y289" s="269"/>
      <c r="Z289" s="269"/>
      <c r="AA289" s="269"/>
      <c r="AB289" s="269"/>
      <c r="AC289" s="269"/>
      <c r="AD289" s="269"/>
      <c r="AE289" s="269"/>
      <c r="AF289" s="269"/>
      <c r="AG289" s="269"/>
      <c r="AH289" s="269"/>
      <c r="AI289" s="269"/>
      <c r="AJ289" s="269"/>
      <c r="AK289" s="269"/>
      <c r="AL289" s="269"/>
      <c r="AM289" s="269"/>
    </row>
    <row r="290" spans="1:39" ht="47.25" customHeight="1" x14ac:dyDescent="0.2">
      <c r="A290" s="277">
        <f>IF(B290="","",COUNT('Diário 5º PA'!$A$5:$A$2634)+COUNT('Diário 6º PA'!$A$5:$A$2246)+ROW()-4)</f>
        <v>2829</v>
      </c>
      <c r="B290" s="278">
        <v>44397</v>
      </c>
      <c r="C290" s="249">
        <v>44317</v>
      </c>
      <c r="D290" s="250" t="s">
        <v>99</v>
      </c>
      <c r="E290" s="250" t="s">
        <v>336</v>
      </c>
      <c r="F290" s="251">
        <v>24.08</v>
      </c>
      <c r="G290" s="452" t="s">
        <v>1459</v>
      </c>
      <c r="H290" s="250" t="s">
        <v>117</v>
      </c>
      <c r="I290" s="252" t="s">
        <v>488</v>
      </c>
      <c r="J290" s="250" t="s">
        <v>114</v>
      </c>
      <c r="K290" s="250" t="s">
        <v>466</v>
      </c>
      <c r="L290" s="250" t="s">
        <v>489</v>
      </c>
      <c r="M290" s="346" t="s">
        <v>114</v>
      </c>
      <c r="N290" s="350">
        <v>44377</v>
      </c>
      <c r="O290" s="329" t="s">
        <v>67</v>
      </c>
      <c r="P290" s="330">
        <f t="shared" si="13"/>
        <v>7</v>
      </c>
      <c r="Q290" s="330">
        <f t="shared" si="14"/>
        <v>5</v>
      </c>
      <c r="R290" s="331" t="str">
        <f t="shared" si="15"/>
        <v>Gastos_Gerais</v>
      </c>
      <c r="S290" s="331" t="str">
        <f>IF(D290="","",IF(OR(D290=Plano!$A$1,D290=Plano!$B$1),"entrada","saída"))</f>
        <v>saída</v>
      </c>
      <c r="T290" s="334" t="s">
        <v>114</v>
      </c>
      <c r="U290" s="334" t="s">
        <v>114</v>
      </c>
      <c r="V290" s="269"/>
      <c r="W290" s="269"/>
      <c r="X290" s="269"/>
      <c r="Y290" s="269"/>
      <c r="Z290" s="269"/>
      <c r="AA290" s="269"/>
      <c r="AB290" s="269"/>
      <c r="AC290" s="269"/>
      <c r="AD290" s="269"/>
      <c r="AE290" s="269"/>
      <c r="AF290" s="269"/>
      <c r="AG290" s="269"/>
      <c r="AH290" s="269"/>
      <c r="AI290" s="269"/>
      <c r="AJ290" s="269"/>
      <c r="AK290" s="269"/>
      <c r="AL290" s="269"/>
      <c r="AM290" s="269"/>
    </row>
    <row r="291" spans="1:39" ht="43.5" customHeight="1" x14ac:dyDescent="0.2">
      <c r="A291" s="277">
        <f>IF(B291="","",COUNT('Diário 5º PA'!$A$5:$A$2634)+COUNT('Diário 6º PA'!$A$5:$A$2246)+ROW()-4)</f>
        <v>2830</v>
      </c>
      <c r="B291" s="278">
        <v>44397</v>
      </c>
      <c r="C291" s="249">
        <v>44317</v>
      </c>
      <c r="D291" s="250" t="s">
        <v>99</v>
      </c>
      <c r="E291" s="250" t="s">
        <v>262</v>
      </c>
      <c r="F291" s="251">
        <v>17.399999999999999</v>
      </c>
      <c r="G291" s="452" t="s">
        <v>1460</v>
      </c>
      <c r="H291" s="250" t="s">
        <v>115</v>
      </c>
      <c r="I291" s="250" t="s">
        <v>488</v>
      </c>
      <c r="J291" s="250" t="s">
        <v>114</v>
      </c>
      <c r="K291" s="250" t="s">
        <v>466</v>
      </c>
      <c r="L291" s="250" t="s">
        <v>489</v>
      </c>
      <c r="M291" s="346" t="s">
        <v>114</v>
      </c>
      <c r="N291" s="350">
        <v>44377</v>
      </c>
      <c r="O291" s="329" t="s">
        <v>67</v>
      </c>
      <c r="P291" s="330">
        <f t="shared" si="13"/>
        <v>7</v>
      </c>
      <c r="Q291" s="330">
        <f t="shared" si="14"/>
        <v>5</v>
      </c>
      <c r="R291" s="331" t="str">
        <f t="shared" si="15"/>
        <v>Gastos_Gerais</v>
      </c>
      <c r="S291" s="331" t="str">
        <f>IF(D291="","",IF(OR(D291=Plano!$A$1,D291=Plano!$B$1),"entrada","saída"))</f>
        <v>saída</v>
      </c>
      <c r="T291" s="334" t="s">
        <v>114</v>
      </c>
      <c r="U291" s="334" t="s">
        <v>114</v>
      </c>
      <c r="V291" s="269"/>
      <c r="W291" s="269"/>
      <c r="X291" s="269"/>
      <c r="Y291" s="269"/>
      <c r="Z291" s="269"/>
      <c r="AA291" s="269"/>
      <c r="AB291" s="269"/>
      <c r="AC291" s="269"/>
      <c r="AD291" s="269"/>
      <c r="AE291" s="269"/>
      <c r="AF291" s="269"/>
      <c r="AG291" s="269"/>
      <c r="AH291" s="269"/>
      <c r="AI291" s="269"/>
      <c r="AJ291" s="269"/>
      <c r="AK291" s="269"/>
      <c r="AL291" s="269"/>
      <c r="AM291" s="269"/>
    </row>
    <row r="292" spans="1:39" ht="42" customHeight="1" x14ac:dyDescent="0.2">
      <c r="A292" s="277">
        <f>IF(B292="","",COUNT('Diário 5º PA'!$A$5:$A$2634)+COUNT('Diário 6º PA'!$A$5:$A$2246)+ROW()-4)</f>
        <v>2831</v>
      </c>
      <c r="B292" s="278">
        <v>44397</v>
      </c>
      <c r="C292" s="249">
        <v>44348</v>
      </c>
      <c r="D292" s="250" t="s">
        <v>99</v>
      </c>
      <c r="E292" s="250" t="s">
        <v>354</v>
      </c>
      <c r="F292" s="251">
        <v>100.17</v>
      </c>
      <c r="G292" s="452" t="s">
        <v>1461</v>
      </c>
      <c r="H292" s="250" t="s">
        <v>123</v>
      </c>
      <c r="I292" s="250" t="s">
        <v>488</v>
      </c>
      <c r="J292" s="250" t="s">
        <v>114</v>
      </c>
      <c r="K292" s="250" t="s">
        <v>466</v>
      </c>
      <c r="L292" s="250" t="s">
        <v>489</v>
      </c>
      <c r="M292" s="346" t="s">
        <v>114</v>
      </c>
      <c r="N292" s="350">
        <v>44377</v>
      </c>
      <c r="O292" s="329" t="s">
        <v>67</v>
      </c>
      <c r="P292" s="330">
        <f t="shared" si="13"/>
        <v>7</v>
      </c>
      <c r="Q292" s="330">
        <f t="shared" si="14"/>
        <v>6</v>
      </c>
      <c r="R292" s="331" t="str">
        <f t="shared" si="15"/>
        <v>Gastos_Gerais</v>
      </c>
      <c r="S292" s="331" t="str">
        <f>IF(D292="","",IF(OR(D292=Plano!$A$1,D292=Plano!$B$1),"entrada","saída"))</f>
        <v>saída</v>
      </c>
      <c r="T292" s="334" t="s">
        <v>114</v>
      </c>
      <c r="U292" s="334" t="s">
        <v>114</v>
      </c>
      <c r="V292" s="269"/>
      <c r="W292" s="269"/>
      <c r="X292" s="269"/>
      <c r="Y292" s="269"/>
      <c r="Z292" s="269"/>
      <c r="AA292" s="269"/>
      <c r="AB292" s="269"/>
      <c r="AC292" s="269"/>
      <c r="AD292" s="269"/>
      <c r="AE292" s="269"/>
      <c r="AF292" s="269"/>
      <c r="AG292" s="269"/>
      <c r="AH292" s="269"/>
      <c r="AI292" s="269"/>
      <c r="AJ292" s="269"/>
      <c r="AK292" s="269"/>
      <c r="AL292" s="269"/>
      <c r="AM292" s="269"/>
    </row>
    <row r="293" spans="1:39" ht="60.75" customHeight="1" x14ac:dyDescent="0.2">
      <c r="A293" s="277">
        <f>IF(B293="","",COUNT('Diário 5º PA'!$A$5:$A$2634)+COUNT('Diário 6º PA'!$A$5:$A$2246)+ROW()-4)</f>
        <v>2832</v>
      </c>
      <c r="B293" s="278">
        <v>44397</v>
      </c>
      <c r="C293" s="249">
        <v>44317</v>
      </c>
      <c r="D293" s="250" t="s">
        <v>99</v>
      </c>
      <c r="E293" s="250" t="s">
        <v>262</v>
      </c>
      <c r="F293" s="251">
        <v>57.45</v>
      </c>
      <c r="G293" s="452" t="s">
        <v>1462</v>
      </c>
      <c r="H293" s="250" t="s">
        <v>127</v>
      </c>
      <c r="I293" s="252" t="s">
        <v>488</v>
      </c>
      <c r="J293" s="250" t="s">
        <v>114</v>
      </c>
      <c r="K293" s="250" t="s">
        <v>466</v>
      </c>
      <c r="L293" s="250" t="s">
        <v>489</v>
      </c>
      <c r="M293" s="346" t="s">
        <v>114</v>
      </c>
      <c r="N293" s="350">
        <v>44377</v>
      </c>
      <c r="O293" s="329" t="s">
        <v>67</v>
      </c>
      <c r="P293" s="330">
        <f t="shared" si="13"/>
        <v>7</v>
      </c>
      <c r="Q293" s="330">
        <f t="shared" si="14"/>
        <v>5</v>
      </c>
      <c r="R293" s="331" t="str">
        <f t="shared" si="15"/>
        <v>Gastos_Gerais</v>
      </c>
      <c r="S293" s="331" t="str">
        <f>IF(D293="","",IF(OR(D293=Plano!$A$1,D293=Plano!$B$1),"entrada","saída"))</f>
        <v>saída</v>
      </c>
      <c r="T293" s="334" t="s">
        <v>114</v>
      </c>
      <c r="U293" s="334" t="s">
        <v>114</v>
      </c>
      <c r="V293" s="269"/>
      <c r="W293" s="269"/>
      <c r="X293" s="269"/>
      <c r="Y293" s="269"/>
      <c r="Z293" s="269"/>
      <c r="AA293" s="269"/>
      <c r="AB293" s="269"/>
      <c r="AC293" s="269"/>
      <c r="AD293" s="269"/>
      <c r="AE293" s="269"/>
      <c r="AF293" s="269"/>
      <c r="AG293" s="269"/>
      <c r="AH293" s="269"/>
      <c r="AI293" s="269"/>
      <c r="AJ293" s="269"/>
      <c r="AK293" s="269"/>
      <c r="AL293" s="269"/>
      <c r="AM293" s="269"/>
    </row>
    <row r="294" spans="1:39" ht="51" customHeight="1" x14ac:dyDescent="0.2">
      <c r="A294" s="277">
        <f>IF(B294="","",COUNT('Diário 5º PA'!$A$5:$A$2634)+COUNT('Diário 6º PA'!$A$5:$A$2246)+ROW()-4)</f>
        <v>2833</v>
      </c>
      <c r="B294" s="278">
        <v>44397</v>
      </c>
      <c r="C294" s="249">
        <v>44317</v>
      </c>
      <c r="D294" s="250" t="s">
        <v>99</v>
      </c>
      <c r="E294" s="250" t="s">
        <v>386</v>
      </c>
      <c r="F294" s="251">
        <v>100.17</v>
      </c>
      <c r="G294" s="452" t="s">
        <v>1463</v>
      </c>
      <c r="H294" s="250" t="s">
        <v>123</v>
      </c>
      <c r="I294" s="250" t="s">
        <v>488</v>
      </c>
      <c r="J294" s="250" t="s">
        <v>114</v>
      </c>
      <c r="K294" s="250" t="s">
        <v>466</v>
      </c>
      <c r="L294" s="250" t="s">
        <v>489</v>
      </c>
      <c r="M294" s="346" t="s">
        <v>114</v>
      </c>
      <c r="N294" s="350">
        <v>44377</v>
      </c>
      <c r="O294" s="329" t="s">
        <v>67</v>
      </c>
      <c r="P294" s="330">
        <f t="shared" si="13"/>
        <v>7</v>
      </c>
      <c r="Q294" s="330">
        <f t="shared" si="14"/>
        <v>5</v>
      </c>
      <c r="R294" s="331" t="str">
        <f t="shared" si="15"/>
        <v>Gastos_Gerais</v>
      </c>
      <c r="S294" s="331" t="str">
        <f>IF(D294="","",IF(OR(D294=Plano!$A$1,D294=Plano!$B$1),"entrada","saída"))</f>
        <v>saída</v>
      </c>
      <c r="T294" s="334" t="s">
        <v>114</v>
      </c>
      <c r="U294" s="334" t="s">
        <v>114</v>
      </c>
      <c r="V294" s="269"/>
      <c r="W294" s="269"/>
      <c r="X294" s="269"/>
      <c r="Y294" s="269"/>
      <c r="Z294" s="269"/>
      <c r="AA294" s="269"/>
      <c r="AB294" s="269"/>
      <c r="AC294" s="269"/>
      <c r="AD294" s="269"/>
      <c r="AE294" s="269"/>
      <c r="AF294" s="269"/>
      <c r="AG294" s="269"/>
      <c r="AH294" s="269"/>
      <c r="AI294" s="269"/>
      <c r="AJ294" s="269"/>
      <c r="AK294" s="269"/>
      <c r="AL294" s="269"/>
      <c r="AM294" s="269"/>
    </row>
    <row r="295" spans="1:39" ht="42" customHeight="1" x14ac:dyDescent="0.2">
      <c r="A295" s="277">
        <f>IF(B295="","",COUNT('Diário 5º PA'!$A$5:$A$2634)+COUNT('Diário 6º PA'!$A$5:$A$2246)+ROW()-4)</f>
        <v>2834</v>
      </c>
      <c r="B295" s="278">
        <v>44397</v>
      </c>
      <c r="C295" s="249">
        <v>44317</v>
      </c>
      <c r="D295" s="250" t="s">
        <v>99</v>
      </c>
      <c r="E295" s="250" t="s">
        <v>336</v>
      </c>
      <c r="F295" s="251">
        <v>112.45</v>
      </c>
      <c r="G295" s="452" t="s">
        <v>1464</v>
      </c>
      <c r="H295" s="250" t="s">
        <v>116</v>
      </c>
      <c r="I295" s="250" t="s">
        <v>488</v>
      </c>
      <c r="J295" s="250" t="s">
        <v>114</v>
      </c>
      <c r="K295" s="250" t="s">
        <v>466</v>
      </c>
      <c r="L295" s="250" t="s">
        <v>489</v>
      </c>
      <c r="M295" s="346" t="s">
        <v>114</v>
      </c>
      <c r="N295" s="350">
        <v>44377</v>
      </c>
      <c r="O295" s="329" t="s">
        <v>67</v>
      </c>
      <c r="P295" s="330">
        <f t="shared" si="13"/>
        <v>7</v>
      </c>
      <c r="Q295" s="330">
        <f t="shared" si="14"/>
        <v>5</v>
      </c>
      <c r="R295" s="331" t="str">
        <f t="shared" si="15"/>
        <v>Gastos_Gerais</v>
      </c>
      <c r="S295" s="331" t="str">
        <f>IF(D295="","",IF(OR(D295=Plano!$A$1,D295=Plano!$B$1),"entrada","saída"))</f>
        <v>saída</v>
      </c>
      <c r="T295" s="334" t="s">
        <v>114</v>
      </c>
      <c r="U295" s="334" t="s">
        <v>114</v>
      </c>
      <c r="V295" s="269"/>
      <c r="W295" s="269"/>
      <c r="X295" s="269"/>
      <c r="Y295" s="269"/>
      <c r="Z295" s="269"/>
      <c r="AA295" s="269"/>
      <c r="AB295" s="269"/>
      <c r="AC295" s="269"/>
      <c r="AD295" s="269"/>
      <c r="AE295" s="269"/>
      <c r="AF295" s="269"/>
      <c r="AG295" s="269"/>
      <c r="AH295" s="269"/>
      <c r="AI295" s="269"/>
      <c r="AJ295" s="269"/>
      <c r="AK295" s="269"/>
      <c r="AL295" s="269"/>
      <c r="AM295" s="269"/>
    </row>
    <row r="296" spans="1:39" ht="37.5" customHeight="1" x14ac:dyDescent="0.2">
      <c r="A296" s="277">
        <f>IF(B296="","",COUNT('Diário 5º PA'!$A$5:$A$2634)+COUNT('Diário 6º PA'!$A$5:$A$2246)+ROW()-4)</f>
        <v>2835</v>
      </c>
      <c r="B296" s="278">
        <v>44397</v>
      </c>
      <c r="C296" s="249">
        <v>44287</v>
      </c>
      <c r="D296" s="250" t="s">
        <v>99</v>
      </c>
      <c r="E296" s="250" t="s">
        <v>364</v>
      </c>
      <c r="F296" s="251">
        <v>185.88</v>
      </c>
      <c r="G296" s="452" t="s">
        <v>1465</v>
      </c>
      <c r="H296" s="250" t="s">
        <v>131</v>
      </c>
      <c r="I296" s="252" t="s">
        <v>488</v>
      </c>
      <c r="J296" s="250" t="s">
        <v>114</v>
      </c>
      <c r="K296" s="250" t="s">
        <v>466</v>
      </c>
      <c r="L296" s="250" t="s">
        <v>489</v>
      </c>
      <c r="M296" s="346" t="s">
        <v>114</v>
      </c>
      <c r="N296" s="350">
        <v>44377</v>
      </c>
      <c r="O296" s="329" t="s">
        <v>67</v>
      </c>
      <c r="P296" s="330">
        <f t="shared" si="13"/>
        <v>7</v>
      </c>
      <c r="Q296" s="330">
        <f t="shared" si="14"/>
        <v>4</v>
      </c>
      <c r="R296" s="331" t="str">
        <f t="shared" si="15"/>
        <v>Gastos_Gerais</v>
      </c>
      <c r="S296" s="331" t="str">
        <f>IF(D296="","",IF(OR(D296=Plano!$A$1,D296=Plano!$B$1),"entrada","saída"))</f>
        <v>saída</v>
      </c>
      <c r="T296" s="334" t="s">
        <v>114</v>
      </c>
      <c r="U296" s="334" t="s">
        <v>114</v>
      </c>
      <c r="V296" s="269"/>
      <c r="W296" s="269"/>
      <c r="X296" s="269"/>
      <c r="Y296" s="269"/>
      <c r="Z296" s="269"/>
      <c r="AA296" s="269"/>
      <c r="AB296" s="269"/>
      <c r="AC296" s="269"/>
      <c r="AD296" s="269"/>
      <c r="AE296" s="269"/>
      <c r="AF296" s="269"/>
      <c r="AG296" s="269"/>
      <c r="AH296" s="269"/>
      <c r="AI296" s="269"/>
      <c r="AJ296" s="269"/>
      <c r="AK296" s="269"/>
      <c r="AL296" s="269"/>
      <c r="AM296" s="269"/>
    </row>
    <row r="297" spans="1:39" ht="42.75" customHeight="1" x14ac:dyDescent="0.2">
      <c r="A297" s="277">
        <f>IF(B297="","",COUNT('Diário 5º PA'!$A$5:$A$2634)+COUNT('Diário 6º PA'!$A$5:$A$2246)+ROW()-4)</f>
        <v>2836</v>
      </c>
      <c r="B297" s="278">
        <v>44397</v>
      </c>
      <c r="C297" s="249">
        <v>44317</v>
      </c>
      <c r="D297" s="250" t="s">
        <v>99</v>
      </c>
      <c r="E297" s="250" t="s">
        <v>358</v>
      </c>
      <c r="F297" s="251">
        <v>446.4</v>
      </c>
      <c r="G297" s="452" t="s">
        <v>1466</v>
      </c>
      <c r="H297" s="250" t="s">
        <v>124</v>
      </c>
      <c r="I297" s="252" t="s">
        <v>530</v>
      </c>
      <c r="J297" s="250" t="s">
        <v>114</v>
      </c>
      <c r="K297" s="250" t="s">
        <v>466</v>
      </c>
      <c r="L297" s="250" t="s">
        <v>547</v>
      </c>
      <c r="M297" s="346" t="s">
        <v>114</v>
      </c>
      <c r="N297" s="350">
        <v>44377</v>
      </c>
      <c r="O297" s="329" t="s">
        <v>67</v>
      </c>
      <c r="P297" s="330">
        <f t="shared" si="13"/>
        <v>7</v>
      </c>
      <c r="Q297" s="330">
        <f t="shared" si="14"/>
        <v>5</v>
      </c>
      <c r="R297" s="331" t="str">
        <f t="shared" si="15"/>
        <v>Gastos_Gerais</v>
      </c>
      <c r="S297" s="331" t="str">
        <f>IF(D297="","",IF(OR(D297=Plano!$A$1,D297=Plano!$B$1),"entrada","saída"))</f>
        <v>saída</v>
      </c>
      <c r="T297" s="334" t="s">
        <v>114</v>
      </c>
      <c r="U297" s="334" t="s">
        <v>114</v>
      </c>
      <c r="V297" s="269"/>
      <c r="W297" s="269"/>
      <c r="X297" s="269"/>
      <c r="Y297" s="269"/>
      <c r="Z297" s="269"/>
      <c r="AA297" s="269"/>
      <c r="AB297" s="269"/>
      <c r="AC297" s="269"/>
      <c r="AD297" s="269"/>
      <c r="AE297" s="269"/>
      <c r="AF297" s="269"/>
      <c r="AG297" s="269"/>
      <c r="AH297" s="269"/>
      <c r="AI297" s="269"/>
      <c r="AJ297" s="269"/>
      <c r="AK297" s="269"/>
      <c r="AL297" s="269"/>
      <c r="AM297" s="269"/>
    </row>
    <row r="298" spans="1:39" ht="39.75" customHeight="1" x14ac:dyDescent="0.2">
      <c r="A298" s="277">
        <f>IF(B298="","",COUNT('Diário 5º PA'!$A$5:$A$2634)+COUNT('Diário 6º PA'!$A$5:$A$2246)+ROW()-4)</f>
        <v>2837</v>
      </c>
      <c r="B298" s="278">
        <v>44397</v>
      </c>
      <c r="C298" s="249">
        <v>44317</v>
      </c>
      <c r="D298" s="250" t="s">
        <v>99</v>
      </c>
      <c r="E298" s="250" t="s">
        <v>336</v>
      </c>
      <c r="F298" s="251">
        <v>279</v>
      </c>
      <c r="G298" s="452" t="s">
        <v>1467</v>
      </c>
      <c r="H298" s="250" t="s">
        <v>116</v>
      </c>
      <c r="I298" s="250" t="s">
        <v>530</v>
      </c>
      <c r="J298" s="250" t="s">
        <v>114</v>
      </c>
      <c r="K298" s="250" t="s">
        <v>466</v>
      </c>
      <c r="L298" s="250" t="s">
        <v>547</v>
      </c>
      <c r="M298" s="346" t="s">
        <v>114</v>
      </c>
      <c r="N298" s="350">
        <v>44377</v>
      </c>
      <c r="O298" s="329" t="s">
        <v>67</v>
      </c>
      <c r="P298" s="330">
        <f t="shared" si="13"/>
        <v>7</v>
      </c>
      <c r="Q298" s="330">
        <f t="shared" si="14"/>
        <v>5</v>
      </c>
      <c r="R298" s="331" t="str">
        <f t="shared" si="15"/>
        <v>Gastos_Gerais</v>
      </c>
      <c r="S298" s="331" t="str">
        <f>IF(D298="","",IF(OR(D298=Plano!$A$1,D298=Plano!$B$1),"entrada","saída"))</f>
        <v>saída</v>
      </c>
      <c r="T298" s="334" t="s">
        <v>114</v>
      </c>
      <c r="U298" s="334" t="s">
        <v>114</v>
      </c>
      <c r="V298" s="269"/>
      <c r="W298" s="269"/>
      <c r="X298" s="269"/>
      <c r="Y298" s="269"/>
      <c r="Z298" s="269"/>
      <c r="AA298" s="269"/>
      <c r="AB298" s="269"/>
      <c r="AC298" s="269"/>
      <c r="AD298" s="269"/>
      <c r="AE298" s="269"/>
      <c r="AF298" s="269"/>
      <c r="AG298" s="269"/>
      <c r="AH298" s="269"/>
      <c r="AI298" s="269"/>
      <c r="AJ298" s="269"/>
      <c r="AK298" s="269"/>
      <c r="AL298" s="269"/>
      <c r="AM298" s="269"/>
    </row>
    <row r="299" spans="1:39" ht="42" customHeight="1" x14ac:dyDescent="0.2">
      <c r="A299" s="277">
        <f>IF(B299="","",COUNT('Diário 5º PA'!$A$5:$A$2634)+COUNT('Diário 6º PA'!$A$5:$A$2246)+ROW()-4)</f>
        <v>2838</v>
      </c>
      <c r="B299" s="278">
        <v>44397</v>
      </c>
      <c r="C299" s="249">
        <v>44317</v>
      </c>
      <c r="D299" s="250" t="s">
        <v>99</v>
      </c>
      <c r="E299" s="250" t="s">
        <v>336</v>
      </c>
      <c r="F299" s="251">
        <v>713</v>
      </c>
      <c r="G299" s="452" t="s">
        <v>1468</v>
      </c>
      <c r="H299" s="250" t="s">
        <v>116</v>
      </c>
      <c r="I299" s="252" t="s">
        <v>530</v>
      </c>
      <c r="J299" s="250" t="s">
        <v>114</v>
      </c>
      <c r="K299" s="250" t="s">
        <v>466</v>
      </c>
      <c r="L299" s="250" t="s">
        <v>547</v>
      </c>
      <c r="M299" s="346" t="s">
        <v>114</v>
      </c>
      <c r="N299" s="350">
        <v>44377</v>
      </c>
      <c r="O299" s="329" t="s">
        <v>67</v>
      </c>
      <c r="P299" s="330">
        <f t="shared" si="13"/>
        <v>7</v>
      </c>
      <c r="Q299" s="330">
        <f t="shared" si="14"/>
        <v>5</v>
      </c>
      <c r="R299" s="331" t="str">
        <f t="shared" si="15"/>
        <v>Gastos_Gerais</v>
      </c>
      <c r="S299" s="331" t="str">
        <f>IF(D299="","",IF(OR(D299=Plano!$A$1,D299=Plano!$B$1),"entrada","saída"))</f>
        <v>saída</v>
      </c>
      <c r="T299" s="334" t="s">
        <v>114</v>
      </c>
      <c r="U299" s="334" t="s">
        <v>114</v>
      </c>
      <c r="V299" s="269"/>
      <c r="W299" s="269"/>
      <c r="X299" s="269"/>
      <c r="Y299" s="269"/>
      <c r="Z299" s="269"/>
      <c r="AA299" s="269"/>
      <c r="AB299" s="269"/>
      <c r="AC299" s="269"/>
      <c r="AD299" s="269"/>
      <c r="AE299" s="269"/>
      <c r="AF299" s="269"/>
      <c r="AG299" s="269"/>
      <c r="AH299" s="269"/>
      <c r="AI299" s="269"/>
      <c r="AJ299" s="269"/>
      <c r="AK299" s="269"/>
      <c r="AL299" s="269"/>
      <c r="AM299" s="269"/>
    </row>
    <row r="300" spans="1:39" ht="45.75" customHeight="1" x14ac:dyDescent="0.2">
      <c r="A300" s="277">
        <f>IF(B300="","",COUNT('Diário 5º PA'!$A$5:$A$2634)+COUNT('Diário 6º PA'!$A$5:$A$2246)+ROW()-4)</f>
        <v>2839</v>
      </c>
      <c r="B300" s="278">
        <v>44397</v>
      </c>
      <c r="C300" s="249">
        <v>44348</v>
      </c>
      <c r="D300" s="250" t="s">
        <v>99</v>
      </c>
      <c r="E300" s="250" t="s">
        <v>336</v>
      </c>
      <c r="F300" s="251">
        <v>713</v>
      </c>
      <c r="G300" s="452" t="s">
        <v>1469</v>
      </c>
      <c r="H300" s="250" t="s">
        <v>116</v>
      </c>
      <c r="I300" s="252" t="s">
        <v>530</v>
      </c>
      <c r="J300" s="250" t="s">
        <v>114</v>
      </c>
      <c r="K300" s="250" t="s">
        <v>466</v>
      </c>
      <c r="L300" s="250" t="s">
        <v>547</v>
      </c>
      <c r="M300" s="346" t="s">
        <v>114</v>
      </c>
      <c r="N300" s="350">
        <v>44377</v>
      </c>
      <c r="O300" s="329" t="s">
        <v>67</v>
      </c>
      <c r="P300" s="330">
        <f t="shared" si="13"/>
        <v>7</v>
      </c>
      <c r="Q300" s="330">
        <f t="shared" si="14"/>
        <v>6</v>
      </c>
      <c r="R300" s="331" t="str">
        <f t="shared" si="15"/>
        <v>Gastos_Gerais</v>
      </c>
      <c r="S300" s="331" t="str">
        <f>IF(D300="","",IF(OR(D300=Plano!$A$1,D300=Plano!$B$1),"entrada","saída"))</f>
        <v>saída</v>
      </c>
      <c r="T300" s="334" t="s">
        <v>114</v>
      </c>
      <c r="U300" s="334" t="s">
        <v>114</v>
      </c>
      <c r="V300" s="269"/>
      <c r="W300" s="269"/>
      <c r="X300" s="269"/>
      <c r="Y300" s="269"/>
      <c r="Z300" s="269"/>
      <c r="AA300" s="269"/>
      <c r="AB300" s="269"/>
      <c r="AC300" s="269"/>
      <c r="AD300" s="269"/>
      <c r="AE300" s="269"/>
      <c r="AF300" s="269"/>
      <c r="AG300" s="269"/>
      <c r="AH300" s="269"/>
      <c r="AI300" s="269"/>
      <c r="AJ300" s="269"/>
      <c r="AK300" s="269"/>
      <c r="AL300" s="269"/>
      <c r="AM300" s="269"/>
    </row>
    <row r="301" spans="1:39" ht="51" customHeight="1" x14ac:dyDescent="0.2">
      <c r="A301" s="277">
        <f>IF(B301="","",COUNT('Diário 5º PA'!$A$5:$A$2634)+COUNT('Diário 6º PA'!$A$5:$A$2246)+ROW()-4)</f>
        <v>2840</v>
      </c>
      <c r="B301" s="278">
        <v>44397</v>
      </c>
      <c r="C301" s="249">
        <v>44317</v>
      </c>
      <c r="D301" s="250" t="s">
        <v>99</v>
      </c>
      <c r="E301" s="250" t="s">
        <v>364</v>
      </c>
      <c r="F301" s="251">
        <v>852.5</v>
      </c>
      <c r="G301" s="452" t="s">
        <v>1470</v>
      </c>
      <c r="H301" s="250" t="s">
        <v>132</v>
      </c>
      <c r="I301" s="252" t="s">
        <v>530</v>
      </c>
      <c r="J301" s="250" t="s">
        <v>114</v>
      </c>
      <c r="K301" s="250" t="s">
        <v>466</v>
      </c>
      <c r="L301" s="250" t="s">
        <v>547</v>
      </c>
      <c r="M301" s="346" t="s">
        <v>114</v>
      </c>
      <c r="N301" s="350">
        <v>44377</v>
      </c>
      <c r="O301" s="329" t="s">
        <v>67</v>
      </c>
      <c r="P301" s="330">
        <f t="shared" si="13"/>
        <v>7</v>
      </c>
      <c r="Q301" s="330">
        <f t="shared" si="14"/>
        <v>5</v>
      </c>
      <c r="R301" s="331" t="str">
        <f t="shared" si="15"/>
        <v>Gastos_Gerais</v>
      </c>
      <c r="S301" s="331" t="str">
        <f>IF(D301="","",IF(OR(D301=Plano!$A$1,D301=Plano!$B$1),"entrada","saída"))</f>
        <v>saída</v>
      </c>
      <c r="T301" s="334" t="s">
        <v>114</v>
      </c>
      <c r="U301" s="334" t="s">
        <v>114</v>
      </c>
      <c r="V301" s="269"/>
      <c r="W301" s="269"/>
      <c r="X301" s="269"/>
      <c r="Y301" s="269"/>
      <c r="Z301" s="269"/>
      <c r="AA301" s="269"/>
      <c r="AB301" s="269"/>
      <c r="AC301" s="269"/>
      <c r="AD301" s="269"/>
      <c r="AE301" s="269"/>
      <c r="AF301" s="269"/>
      <c r="AG301" s="269"/>
      <c r="AH301" s="269"/>
      <c r="AI301" s="269"/>
      <c r="AJ301" s="269"/>
      <c r="AK301" s="269"/>
      <c r="AL301" s="269"/>
      <c r="AM301" s="269"/>
    </row>
    <row r="302" spans="1:39" ht="56.25" customHeight="1" x14ac:dyDescent="0.2">
      <c r="A302" s="277">
        <f>IF(B302="","",COUNT('Diário 5º PA'!$A$5:$A$2634)+COUNT('Diário 6º PA'!$A$5:$A$2246)+ROW()-4)</f>
        <v>2841</v>
      </c>
      <c r="B302" s="278">
        <v>44397</v>
      </c>
      <c r="C302" s="249">
        <v>44317</v>
      </c>
      <c r="D302" s="250" t="s">
        <v>99</v>
      </c>
      <c r="E302" s="250" t="s">
        <v>336</v>
      </c>
      <c r="F302" s="251">
        <v>775</v>
      </c>
      <c r="G302" s="452" t="s">
        <v>1471</v>
      </c>
      <c r="H302" s="250" t="s">
        <v>117</v>
      </c>
      <c r="I302" s="252" t="s">
        <v>530</v>
      </c>
      <c r="J302" s="250" t="s">
        <v>114</v>
      </c>
      <c r="K302" s="250" t="s">
        <v>466</v>
      </c>
      <c r="L302" s="250" t="s">
        <v>547</v>
      </c>
      <c r="M302" s="346" t="s">
        <v>114</v>
      </c>
      <c r="N302" s="350">
        <v>44377</v>
      </c>
      <c r="O302" s="329" t="s">
        <v>67</v>
      </c>
      <c r="P302" s="330">
        <f t="shared" si="13"/>
        <v>7</v>
      </c>
      <c r="Q302" s="330">
        <f t="shared" si="14"/>
        <v>5</v>
      </c>
      <c r="R302" s="331" t="str">
        <f t="shared" si="15"/>
        <v>Gastos_Gerais</v>
      </c>
      <c r="S302" s="331" t="str">
        <f>IF(D302="","",IF(OR(D302=Plano!$A$1,D302=Plano!$B$1),"entrada","saída"))</f>
        <v>saída</v>
      </c>
      <c r="T302" s="334" t="s">
        <v>114</v>
      </c>
      <c r="U302" s="334" t="s">
        <v>114</v>
      </c>
      <c r="V302" s="269"/>
      <c r="W302" s="269"/>
      <c r="X302" s="269"/>
      <c r="Y302" s="269"/>
      <c r="Z302" s="269"/>
      <c r="AA302" s="269"/>
      <c r="AB302" s="269"/>
      <c r="AC302" s="269"/>
      <c r="AD302" s="269"/>
      <c r="AE302" s="269"/>
      <c r="AF302" s="269"/>
      <c r="AG302" s="269"/>
      <c r="AH302" s="269"/>
      <c r="AI302" s="269"/>
      <c r="AJ302" s="269"/>
      <c r="AK302" s="269"/>
      <c r="AL302" s="269"/>
      <c r="AM302" s="269"/>
    </row>
    <row r="303" spans="1:39" ht="39.75" customHeight="1" x14ac:dyDescent="0.2">
      <c r="A303" s="277">
        <f>IF(B303="","",COUNT('Diário 5º PA'!$A$5:$A$2634)+COUNT('Diário 6º PA'!$A$5:$A$2246)+ROW()-4)</f>
        <v>2842</v>
      </c>
      <c r="B303" s="278">
        <v>44397</v>
      </c>
      <c r="C303" s="249">
        <v>44317</v>
      </c>
      <c r="D303" s="250" t="s">
        <v>99</v>
      </c>
      <c r="E303" s="250" t="s">
        <v>358</v>
      </c>
      <c r="F303" s="251">
        <v>186</v>
      </c>
      <c r="G303" s="452" t="s">
        <v>1472</v>
      </c>
      <c r="H303" s="250" t="s">
        <v>124</v>
      </c>
      <c r="I303" s="250" t="s">
        <v>530</v>
      </c>
      <c r="J303" s="250" t="s">
        <v>114</v>
      </c>
      <c r="K303" s="250" t="s">
        <v>466</v>
      </c>
      <c r="L303" s="250" t="s">
        <v>547</v>
      </c>
      <c r="M303" s="346" t="s">
        <v>114</v>
      </c>
      <c r="N303" s="350">
        <v>44377</v>
      </c>
      <c r="O303" s="329" t="s">
        <v>67</v>
      </c>
      <c r="P303" s="330">
        <f t="shared" si="13"/>
        <v>7</v>
      </c>
      <c r="Q303" s="330">
        <f t="shared" si="14"/>
        <v>5</v>
      </c>
      <c r="R303" s="331" t="str">
        <f t="shared" si="15"/>
        <v>Gastos_Gerais</v>
      </c>
      <c r="S303" s="331" t="str">
        <f>IF(D303="","",IF(OR(D303=Plano!$A$1,D303=Plano!$B$1),"entrada","saída"))</f>
        <v>saída</v>
      </c>
      <c r="T303" s="334" t="s">
        <v>114</v>
      </c>
      <c r="U303" s="334" t="s">
        <v>114</v>
      </c>
      <c r="V303" s="269"/>
      <c r="W303" s="269"/>
      <c r="X303" s="269"/>
      <c r="Y303" s="269"/>
      <c r="Z303" s="269"/>
      <c r="AA303" s="269"/>
      <c r="AB303" s="269"/>
      <c r="AC303" s="269"/>
      <c r="AD303" s="269"/>
      <c r="AE303" s="269"/>
      <c r="AF303" s="269"/>
      <c r="AG303" s="269"/>
      <c r="AH303" s="269"/>
      <c r="AI303" s="269"/>
      <c r="AJ303" s="269"/>
      <c r="AK303" s="269"/>
      <c r="AL303" s="269"/>
      <c r="AM303" s="269"/>
    </row>
    <row r="304" spans="1:39" ht="42.75" customHeight="1" x14ac:dyDescent="0.2">
      <c r="A304" s="277">
        <f>IF(B304="","",COUNT('Diário 5º PA'!$A$5:$A$2634)+COUNT('Diário 6º PA'!$A$5:$A$2246)+ROW()-4)</f>
        <v>2843</v>
      </c>
      <c r="B304" s="278">
        <v>44397</v>
      </c>
      <c r="C304" s="249">
        <v>44317</v>
      </c>
      <c r="D304" s="250" t="s">
        <v>99</v>
      </c>
      <c r="E304" s="250" t="s">
        <v>262</v>
      </c>
      <c r="F304" s="251">
        <v>744</v>
      </c>
      <c r="G304" s="452" t="s">
        <v>1473</v>
      </c>
      <c r="H304" s="250" t="s">
        <v>115</v>
      </c>
      <c r="I304" s="250" t="s">
        <v>530</v>
      </c>
      <c r="J304" s="250" t="s">
        <v>114</v>
      </c>
      <c r="K304" s="250" t="s">
        <v>466</v>
      </c>
      <c r="L304" s="250" t="s">
        <v>547</v>
      </c>
      <c r="M304" s="346" t="s">
        <v>114</v>
      </c>
      <c r="N304" s="350">
        <v>44377</v>
      </c>
      <c r="O304" s="329" t="s">
        <v>67</v>
      </c>
      <c r="P304" s="330">
        <f t="shared" si="13"/>
        <v>7</v>
      </c>
      <c r="Q304" s="330">
        <f t="shared" si="14"/>
        <v>5</v>
      </c>
      <c r="R304" s="331" t="str">
        <f t="shared" si="15"/>
        <v>Gastos_Gerais</v>
      </c>
      <c r="S304" s="331" t="str">
        <f>IF(D304="","",IF(OR(D304=Plano!$A$1,D304=Plano!$B$1),"entrada","saída"))</f>
        <v>saída</v>
      </c>
      <c r="T304" s="334" t="s">
        <v>114</v>
      </c>
      <c r="U304" s="334" t="s">
        <v>114</v>
      </c>
      <c r="V304" s="269"/>
      <c r="W304" s="269"/>
      <c r="X304" s="269"/>
      <c r="Y304" s="269"/>
      <c r="Z304" s="269"/>
      <c r="AA304" s="269"/>
      <c r="AB304" s="269"/>
      <c r="AC304" s="269"/>
      <c r="AD304" s="269"/>
      <c r="AE304" s="269"/>
      <c r="AF304" s="269"/>
      <c r="AG304" s="269"/>
      <c r="AH304" s="269"/>
      <c r="AI304" s="269"/>
      <c r="AJ304" s="269"/>
      <c r="AK304" s="269"/>
      <c r="AL304" s="269"/>
      <c r="AM304" s="269"/>
    </row>
    <row r="305" spans="1:39" ht="42" customHeight="1" x14ac:dyDescent="0.2">
      <c r="A305" s="277">
        <f>IF(B305="","",COUNT('Diário 5º PA'!$A$5:$A$2634)+COUNT('Diário 6º PA'!$A$5:$A$2246)+ROW()-4)</f>
        <v>2844</v>
      </c>
      <c r="B305" s="278">
        <v>44397</v>
      </c>
      <c r="C305" s="249">
        <v>44348</v>
      </c>
      <c r="D305" s="250" t="s">
        <v>99</v>
      </c>
      <c r="E305" s="250" t="s">
        <v>354</v>
      </c>
      <c r="F305" s="251">
        <v>1056.48</v>
      </c>
      <c r="G305" s="452" t="s">
        <v>1474</v>
      </c>
      <c r="H305" s="250" t="s">
        <v>123</v>
      </c>
      <c r="I305" s="250" t="s">
        <v>530</v>
      </c>
      <c r="J305" s="250" t="s">
        <v>114</v>
      </c>
      <c r="K305" s="250" t="s">
        <v>466</v>
      </c>
      <c r="L305" s="250" t="s">
        <v>547</v>
      </c>
      <c r="M305" s="346" t="s">
        <v>114</v>
      </c>
      <c r="N305" s="350">
        <v>44377</v>
      </c>
      <c r="O305" s="329" t="s">
        <v>67</v>
      </c>
      <c r="P305" s="330">
        <f t="shared" si="13"/>
        <v>7</v>
      </c>
      <c r="Q305" s="330">
        <f t="shared" si="14"/>
        <v>6</v>
      </c>
      <c r="R305" s="331" t="str">
        <f t="shared" si="15"/>
        <v>Gastos_Gerais</v>
      </c>
      <c r="S305" s="331" t="str">
        <f>IF(D305="","",IF(OR(D305=Plano!$A$1,D305=Plano!$B$1),"entrada","saída"))</f>
        <v>saída</v>
      </c>
      <c r="T305" s="334" t="s">
        <v>114</v>
      </c>
      <c r="U305" s="334" t="s">
        <v>114</v>
      </c>
      <c r="V305" s="269"/>
      <c r="W305" s="269"/>
      <c r="X305" s="269"/>
      <c r="Y305" s="269"/>
      <c r="Z305" s="269"/>
      <c r="AA305" s="269"/>
      <c r="AB305" s="269"/>
      <c r="AC305" s="269"/>
      <c r="AD305" s="269"/>
      <c r="AE305" s="269"/>
      <c r="AF305" s="269"/>
      <c r="AG305" s="269"/>
      <c r="AH305" s="269"/>
      <c r="AI305" s="269"/>
      <c r="AJ305" s="269"/>
      <c r="AK305" s="269"/>
      <c r="AL305" s="269"/>
      <c r="AM305" s="269"/>
    </row>
    <row r="306" spans="1:39" ht="48" customHeight="1" x14ac:dyDescent="0.2">
      <c r="A306" s="277">
        <f>IF(B306="","",COUNT('Diário 5º PA'!$A$5:$A$2634)+COUNT('Diário 6º PA'!$A$5:$A$2246)+ROW()-4)</f>
        <v>2845</v>
      </c>
      <c r="B306" s="278">
        <v>44397</v>
      </c>
      <c r="C306" s="249">
        <v>44317</v>
      </c>
      <c r="D306" s="250" t="s">
        <v>99</v>
      </c>
      <c r="E306" s="250" t="s">
        <v>262</v>
      </c>
      <c r="F306" s="251">
        <v>930</v>
      </c>
      <c r="G306" s="452" t="s">
        <v>1475</v>
      </c>
      <c r="H306" s="250" t="s">
        <v>127</v>
      </c>
      <c r="I306" s="252" t="s">
        <v>530</v>
      </c>
      <c r="J306" s="250" t="s">
        <v>114</v>
      </c>
      <c r="K306" s="250" t="s">
        <v>466</v>
      </c>
      <c r="L306" s="250" t="s">
        <v>547</v>
      </c>
      <c r="M306" s="346" t="s">
        <v>114</v>
      </c>
      <c r="N306" s="350">
        <v>44377</v>
      </c>
      <c r="O306" s="329" t="s">
        <v>67</v>
      </c>
      <c r="P306" s="330">
        <f t="shared" si="13"/>
        <v>7</v>
      </c>
      <c r="Q306" s="330">
        <f t="shared" si="14"/>
        <v>5</v>
      </c>
      <c r="R306" s="331" t="str">
        <f t="shared" si="15"/>
        <v>Gastos_Gerais</v>
      </c>
      <c r="S306" s="331" t="str">
        <f>IF(D306="","",IF(OR(D306=Plano!$A$1,D306=Plano!$B$1),"entrada","saída"))</f>
        <v>saída</v>
      </c>
      <c r="T306" s="334" t="s">
        <v>114</v>
      </c>
      <c r="U306" s="334" t="s">
        <v>114</v>
      </c>
      <c r="V306" s="269"/>
      <c r="W306" s="269"/>
      <c r="X306" s="269"/>
      <c r="Y306" s="269"/>
      <c r="Z306" s="269"/>
      <c r="AA306" s="269"/>
      <c r="AB306" s="269"/>
      <c r="AC306" s="269"/>
      <c r="AD306" s="269"/>
      <c r="AE306" s="269"/>
      <c r="AF306" s="269"/>
      <c r="AG306" s="269"/>
      <c r="AH306" s="269"/>
      <c r="AI306" s="269"/>
      <c r="AJ306" s="269"/>
      <c r="AK306" s="269"/>
      <c r="AL306" s="269"/>
      <c r="AM306" s="269"/>
    </row>
    <row r="307" spans="1:39" ht="48" customHeight="1" x14ac:dyDescent="0.2">
      <c r="A307" s="277">
        <f>IF(B307="","",COUNT('Diário 5º PA'!$A$5:$A$2634)+COUNT('Diário 6º PA'!$A$5:$A$2246)+ROW()-4)</f>
        <v>2846</v>
      </c>
      <c r="B307" s="278">
        <v>44397</v>
      </c>
      <c r="C307" s="249">
        <v>44317</v>
      </c>
      <c r="D307" s="250" t="s">
        <v>99</v>
      </c>
      <c r="E307" s="250" t="s">
        <v>358</v>
      </c>
      <c r="F307" s="251">
        <v>186</v>
      </c>
      <c r="G307" s="452" t="s">
        <v>1476</v>
      </c>
      <c r="H307" s="250" t="s">
        <v>123</v>
      </c>
      <c r="I307" s="250" t="s">
        <v>530</v>
      </c>
      <c r="J307" s="250" t="s">
        <v>114</v>
      </c>
      <c r="K307" s="250" t="s">
        <v>466</v>
      </c>
      <c r="L307" s="250" t="s">
        <v>547</v>
      </c>
      <c r="M307" s="346" t="s">
        <v>114</v>
      </c>
      <c r="N307" s="350">
        <v>44377</v>
      </c>
      <c r="O307" s="329" t="s">
        <v>67</v>
      </c>
      <c r="P307" s="330">
        <f t="shared" si="13"/>
        <v>7</v>
      </c>
      <c r="Q307" s="330">
        <f t="shared" si="14"/>
        <v>5</v>
      </c>
      <c r="R307" s="331" t="str">
        <f t="shared" si="15"/>
        <v>Gastos_Gerais</v>
      </c>
      <c r="S307" s="331" t="str">
        <f>IF(D307="","",IF(OR(D307=Plano!$A$1,D307=Plano!$B$1),"entrada","saída"))</f>
        <v>saída</v>
      </c>
      <c r="T307" s="334" t="s">
        <v>114</v>
      </c>
      <c r="U307" s="334" t="s">
        <v>114</v>
      </c>
      <c r="V307" s="269"/>
      <c r="W307" s="269"/>
      <c r="X307" s="269"/>
      <c r="Y307" s="269"/>
      <c r="Z307" s="269"/>
      <c r="AA307" s="269"/>
      <c r="AB307" s="269"/>
      <c r="AC307" s="269"/>
      <c r="AD307" s="269"/>
      <c r="AE307" s="269"/>
      <c r="AF307" s="269"/>
      <c r="AG307" s="269"/>
      <c r="AH307" s="269"/>
      <c r="AI307" s="269"/>
      <c r="AJ307" s="269"/>
      <c r="AK307" s="269"/>
      <c r="AL307" s="269"/>
      <c r="AM307" s="269"/>
    </row>
    <row r="308" spans="1:39" ht="45.75" customHeight="1" x14ac:dyDescent="0.2">
      <c r="A308" s="277">
        <f>IF(B308="","",COUNT('Diário 5º PA'!$A$5:$A$2634)+COUNT('Diário 6º PA'!$A$5:$A$2246)+ROW()-4)</f>
        <v>2847</v>
      </c>
      <c r="B308" s="278">
        <v>44397</v>
      </c>
      <c r="C308" s="249">
        <v>44317</v>
      </c>
      <c r="D308" s="250" t="s">
        <v>99</v>
      </c>
      <c r="E308" s="250" t="s">
        <v>358</v>
      </c>
      <c r="F308" s="251">
        <v>186</v>
      </c>
      <c r="G308" s="452" t="s">
        <v>1477</v>
      </c>
      <c r="H308" s="250" t="s">
        <v>122</v>
      </c>
      <c r="I308" s="252" t="s">
        <v>530</v>
      </c>
      <c r="J308" s="250" t="s">
        <v>114</v>
      </c>
      <c r="K308" s="250" t="s">
        <v>466</v>
      </c>
      <c r="L308" s="250" t="s">
        <v>547</v>
      </c>
      <c r="M308" s="346" t="s">
        <v>114</v>
      </c>
      <c r="N308" s="350">
        <v>44377</v>
      </c>
      <c r="O308" s="329" t="s">
        <v>67</v>
      </c>
      <c r="P308" s="330">
        <f t="shared" si="13"/>
        <v>7</v>
      </c>
      <c r="Q308" s="330">
        <f t="shared" si="14"/>
        <v>5</v>
      </c>
      <c r="R308" s="331" t="str">
        <f t="shared" si="15"/>
        <v>Gastos_Gerais</v>
      </c>
      <c r="S308" s="331" t="str">
        <f>IF(D308="","",IF(OR(D308=Plano!$A$1,D308=Plano!$B$1),"entrada","saída"))</f>
        <v>saída</v>
      </c>
      <c r="T308" s="334" t="s">
        <v>114</v>
      </c>
      <c r="U308" s="334" t="s">
        <v>114</v>
      </c>
      <c r="V308" s="269"/>
      <c r="W308" s="269"/>
      <c r="X308" s="269"/>
      <c r="Y308" s="269"/>
      <c r="Z308" s="269"/>
      <c r="AA308" s="269"/>
      <c r="AB308" s="269"/>
      <c r="AC308" s="269"/>
      <c r="AD308" s="269"/>
      <c r="AE308" s="269"/>
      <c r="AF308" s="269"/>
      <c r="AG308" s="269"/>
      <c r="AH308" s="269"/>
      <c r="AI308" s="269"/>
      <c r="AJ308" s="269"/>
      <c r="AK308" s="269"/>
      <c r="AL308" s="269"/>
      <c r="AM308" s="269"/>
    </row>
    <row r="309" spans="1:39" ht="44.25" customHeight="1" x14ac:dyDescent="0.2">
      <c r="A309" s="277">
        <f>IF(B309="","",COUNT('Diário 5º PA'!$A$5:$A$2634)+COUNT('Diário 6º PA'!$A$5:$A$2246)+ROW()-4)</f>
        <v>2848</v>
      </c>
      <c r="B309" s="278">
        <v>44397</v>
      </c>
      <c r="C309" s="249">
        <v>44317</v>
      </c>
      <c r="D309" s="250" t="s">
        <v>99</v>
      </c>
      <c r="E309" s="250" t="s">
        <v>370</v>
      </c>
      <c r="F309" s="251">
        <v>496</v>
      </c>
      <c r="G309" s="452" t="s">
        <v>1478</v>
      </c>
      <c r="H309" s="250" t="s">
        <v>118</v>
      </c>
      <c r="I309" s="250" t="s">
        <v>530</v>
      </c>
      <c r="J309" s="250" t="s">
        <v>114</v>
      </c>
      <c r="K309" s="250" t="s">
        <v>466</v>
      </c>
      <c r="L309" s="250" t="s">
        <v>547</v>
      </c>
      <c r="M309" s="346" t="s">
        <v>114</v>
      </c>
      <c r="N309" s="350">
        <v>44377</v>
      </c>
      <c r="O309" s="329" t="s">
        <v>67</v>
      </c>
      <c r="P309" s="330">
        <f t="shared" si="13"/>
        <v>7</v>
      </c>
      <c r="Q309" s="330">
        <f t="shared" si="14"/>
        <v>5</v>
      </c>
      <c r="R309" s="331" t="str">
        <f t="shared" si="15"/>
        <v>Gastos_Gerais</v>
      </c>
      <c r="S309" s="331" t="str">
        <f>IF(D309="","",IF(OR(D309=Plano!$A$1,D309=Plano!$B$1),"entrada","saída"))</f>
        <v>saída</v>
      </c>
      <c r="T309" s="334" t="s">
        <v>114</v>
      </c>
      <c r="U309" s="334" t="s">
        <v>114</v>
      </c>
      <c r="V309" s="269"/>
      <c r="W309" s="269"/>
      <c r="X309" s="269"/>
      <c r="Y309" s="269"/>
      <c r="Z309" s="269"/>
      <c r="AA309" s="269"/>
      <c r="AB309" s="269"/>
      <c r="AC309" s="269"/>
      <c r="AD309" s="269"/>
      <c r="AE309" s="269"/>
      <c r="AF309" s="269"/>
      <c r="AG309" s="269"/>
      <c r="AH309" s="269"/>
      <c r="AI309" s="269"/>
      <c r="AJ309" s="269"/>
      <c r="AK309" s="269"/>
      <c r="AL309" s="269"/>
      <c r="AM309" s="269"/>
    </row>
    <row r="310" spans="1:39" ht="40.5" customHeight="1" x14ac:dyDescent="0.2">
      <c r="A310" s="277">
        <f>IF(B310="","",COUNT('Diário 5º PA'!$A$5:$A$2634)+COUNT('Diário 6º PA'!$A$5:$A$2246)+ROW()-4)</f>
        <v>2849</v>
      </c>
      <c r="B310" s="278">
        <v>44397</v>
      </c>
      <c r="C310" s="249">
        <v>44317</v>
      </c>
      <c r="D310" s="250" t="s">
        <v>99</v>
      </c>
      <c r="E310" s="250" t="s">
        <v>386</v>
      </c>
      <c r="F310" s="251">
        <v>1056.48</v>
      </c>
      <c r="G310" s="452" t="s">
        <v>1479</v>
      </c>
      <c r="H310" s="250" t="s">
        <v>123</v>
      </c>
      <c r="I310" s="250" t="s">
        <v>530</v>
      </c>
      <c r="J310" s="250" t="s">
        <v>114</v>
      </c>
      <c r="K310" s="250" t="s">
        <v>466</v>
      </c>
      <c r="L310" s="250" t="s">
        <v>547</v>
      </c>
      <c r="M310" s="346" t="s">
        <v>114</v>
      </c>
      <c r="N310" s="350">
        <v>44377</v>
      </c>
      <c r="O310" s="329" t="s">
        <v>67</v>
      </c>
      <c r="P310" s="330">
        <f t="shared" si="13"/>
        <v>7</v>
      </c>
      <c r="Q310" s="330">
        <f t="shared" si="14"/>
        <v>5</v>
      </c>
      <c r="R310" s="331" t="str">
        <f t="shared" si="15"/>
        <v>Gastos_Gerais</v>
      </c>
      <c r="S310" s="331" t="str">
        <f>IF(D310="","",IF(OR(D310=Plano!$A$1,D310=Plano!$B$1),"entrada","saída"))</f>
        <v>saída</v>
      </c>
      <c r="T310" s="334" t="s">
        <v>114</v>
      </c>
      <c r="U310" s="334" t="s">
        <v>114</v>
      </c>
      <c r="V310" s="269"/>
      <c r="W310" s="269"/>
      <c r="X310" s="269"/>
      <c r="Y310" s="269"/>
      <c r="Z310" s="269"/>
      <c r="AA310" s="269"/>
      <c r="AB310" s="269"/>
      <c r="AC310" s="269"/>
      <c r="AD310" s="269"/>
      <c r="AE310" s="269"/>
      <c r="AF310" s="269"/>
      <c r="AG310" s="269"/>
      <c r="AH310" s="269"/>
      <c r="AI310" s="269"/>
      <c r="AJ310" s="269"/>
      <c r="AK310" s="269"/>
      <c r="AL310" s="269"/>
      <c r="AM310" s="269"/>
    </row>
    <row r="311" spans="1:39" ht="40.5" customHeight="1" x14ac:dyDescent="0.2">
      <c r="A311" s="277">
        <f>IF(B311="","",COUNT('Diário 5º PA'!$A$5:$A$2634)+COUNT('Diário 6º PA'!$A$5:$A$2246)+ROW()-4)</f>
        <v>2850</v>
      </c>
      <c r="B311" s="278">
        <v>44397</v>
      </c>
      <c r="C311" s="249">
        <v>44287</v>
      </c>
      <c r="D311" s="250" t="s">
        <v>99</v>
      </c>
      <c r="E311" s="250" t="s">
        <v>336</v>
      </c>
      <c r="F311" s="251">
        <v>595.20000000000005</v>
      </c>
      <c r="G311" s="452" t="s">
        <v>1480</v>
      </c>
      <c r="H311" s="250" t="s">
        <v>123</v>
      </c>
      <c r="I311" s="252" t="s">
        <v>530</v>
      </c>
      <c r="J311" s="250" t="s">
        <v>114</v>
      </c>
      <c r="K311" s="250" t="s">
        <v>466</v>
      </c>
      <c r="L311" s="250" t="s">
        <v>547</v>
      </c>
      <c r="M311" s="346" t="s">
        <v>114</v>
      </c>
      <c r="N311" s="350">
        <v>44377</v>
      </c>
      <c r="O311" s="329" t="s">
        <v>67</v>
      </c>
      <c r="P311" s="330">
        <f t="shared" si="13"/>
        <v>7</v>
      </c>
      <c r="Q311" s="330">
        <f t="shared" si="14"/>
        <v>4</v>
      </c>
      <c r="R311" s="331" t="str">
        <f t="shared" si="15"/>
        <v>Gastos_Gerais</v>
      </c>
      <c r="S311" s="331" t="str">
        <f>IF(D311="","",IF(OR(D311=Plano!$A$1,D311=Plano!$B$1),"entrada","saída"))</f>
        <v>saída</v>
      </c>
      <c r="T311" s="334" t="s">
        <v>114</v>
      </c>
      <c r="U311" s="334" t="s">
        <v>114</v>
      </c>
      <c r="V311" s="269"/>
      <c r="W311" s="269"/>
      <c r="X311" s="269"/>
      <c r="Y311" s="269"/>
      <c r="Z311" s="269"/>
      <c r="AA311" s="269"/>
      <c r="AB311" s="269"/>
      <c r="AC311" s="269"/>
      <c r="AD311" s="269"/>
      <c r="AE311" s="269"/>
      <c r="AF311" s="269"/>
      <c r="AG311" s="269"/>
      <c r="AH311" s="269"/>
      <c r="AI311" s="269"/>
      <c r="AJ311" s="269"/>
      <c r="AK311" s="269"/>
      <c r="AL311" s="269"/>
      <c r="AM311" s="269"/>
    </row>
    <row r="312" spans="1:39" ht="51.75" customHeight="1" x14ac:dyDescent="0.2">
      <c r="A312" s="277">
        <f>IF(B312="","",COUNT('Diário 5º PA'!$A$5:$A$2634)+COUNT('Diário 6º PA'!$A$5:$A$2246)+ROW()-4)</f>
        <v>2851</v>
      </c>
      <c r="B312" s="278">
        <v>44397</v>
      </c>
      <c r="C312" s="249">
        <v>44317</v>
      </c>
      <c r="D312" s="250" t="s">
        <v>99</v>
      </c>
      <c r="E312" s="250" t="s">
        <v>330</v>
      </c>
      <c r="F312" s="251">
        <v>465</v>
      </c>
      <c r="G312" s="452" t="s">
        <v>1481</v>
      </c>
      <c r="H312" s="250" t="s">
        <v>128</v>
      </c>
      <c r="I312" s="252" t="s">
        <v>530</v>
      </c>
      <c r="J312" s="250" t="s">
        <v>114</v>
      </c>
      <c r="K312" s="250" t="s">
        <v>466</v>
      </c>
      <c r="L312" s="250" t="s">
        <v>547</v>
      </c>
      <c r="M312" s="346" t="s">
        <v>114</v>
      </c>
      <c r="N312" s="350">
        <v>44377</v>
      </c>
      <c r="O312" s="329" t="s">
        <v>67</v>
      </c>
      <c r="P312" s="330">
        <f t="shared" si="13"/>
        <v>7</v>
      </c>
      <c r="Q312" s="330">
        <f t="shared" si="14"/>
        <v>5</v>
      </c>
      <c r="R312" s="331" t="str">
        <f t="shared" si="15"/>
        <v>Gastos_Gerais</v>
      </c>
      <c r="S312" s="331" t="str">
        <f>IF(D312="","",IF(OR(D312=Plano!$A$1,D312=Plano!$B$1),"entrada","saída"))</f>
        <v>saída</v>
      </c>
      <c r="T312" s="334" t="s">
        <v>114</v>
      </c>
      <c r="U312" s="334" t="s">
        <v>114</v>
      </c>
      <c r="V312" s="269"/>
      <c r="W312" s="269"/>
      <c r="X312" s="269"/>
      <c r="Y312" s="269"/>
      <c r="Z312" s="269"/>
      <c r="AA312" s="269"/>
      <c r="AB312" s="269"/>
      <c r="AC312" s="269"/>
      <c r="AD312" s="269"/>
      <c r="AE312" s="269"/>
      <c r="AF312" s="269"/>
      <c r="AG312" s="269"/>
      <c r="AH312" s="269"/>
      <c r="AI312" s="269"/>
      <c r="AJ312" s="269"/>
      <c r="AK312" s="269"/>
      <c r="AL312" s="269"/>
      <c r="AM312" s="269"/>
    </row>
    <row r="313" spans="1:39" ht="44.25" customHeight="1" x14ac:dyDescent="0.2">
      <c r="A313" s="277">
        <f>IF(B313="","",COUNT('Diário 5º PA'!$A$5:$A$2634)+COUNT('Diário 6º PA'!$A$5:$A$2246)+ROW()-4)</f>
        <v>2852</v>
      </c>
      <c r="B313" s="278">
        <v>44397</v>
      </c>
      <c r="C313" s="249">
        <v>44317</v>
      </c>
      <c r="D313" s="250" t="s">
        <v>99</v>
      </c>
      <c r="E313" s="250" t="s">
        <v>336</v>
      </c>
      <c r="F313" s="251">
        <v>1085</v>
      </c>
      <c r="G313" s="452" t="s">
        <v>1482</v>
      </c>
      <c r="H313" s="250" t="s">
        <v>116</v>
      </c>
      <c r="I313" s="250" t="s">
        <v>530</v>
      </c>
      <c r="J313" s="250" t="s">
        <v>114</v>
      </c>
      <c r="K313" s="250" t="s">
        <v>466</v>
      </c>
      <c r="L313" s="250" t="s">
        <v>547</v>
      </c>
      <c r="M313" s="346" t="s">
        <v>114</v>
      </c>
      <c r="N313" s="350">
        <v>44377</v>
      </c>
      <c r="O313" s="329" t="s">
        <v>67</v>
      </c>
      <c r="P313" s="330">
        <f t="shared" si="13"/>
        <v>7</v>
      </c>
      <c r="Q313" s="330">
        <f t="shared" si="14"/>
        <v>5</v>
      </c>
      <c r="R313" s="331" t="str">
        <f t="shared" si="15"/>
        <v>Gastos_Gerais</v>
      </c>
      <c r="S313" s="331" t="str">
        <f>IF(D313="","",IF(OR(D313=Plano!$A$1,D313=Plano!$B$1),"entrada","saída"))</f>
        <v>saída</v>
      </c>
      <c r="T313" s="334" t="s">
        <v>114</v>
      </c>
      <c r="U313" s="334" t="s">
        <v>114</v>
      </c>
      <c r="V313" s="269"/>
      <c r="W313" s="269"/>
      <c r="X313" s="269"/>
      <c r="Y313" s="269"/>
      <c r="Z313" s="269"/>
      <c r="AA313" s="269"/>
      <c r="AB313" s="269"/>
      <c r="AC313" s="269"/>
      <c r="AD313" s="269"/>
      <c r="AE313" s="269"/>
      <c r="AF313" s="269"/>
      <c r="AG313" s="269"/>
      <c r="AH313" s="269"/>
      <c r="AI313" s="269"/>
      <c r="AJ313" s="269"/>
      <c r="AK313" s="269"/>
      <c r="AL313" s="269"/>
      <c r="AM313" s="269"/>
    </row>
    <row r="314" spans="1:39" ht="45" customHeight="1" x14ac:dyDescent="0.2">
      <c r="A314" s="277">
        <f>IF(B314="","",COUNT('Diário 5º PA'!$A$5:$A$2634)+COUNT('Diário 6º PA'!$A$5:$A$2246)+ROW()-4)</f>
        <v>2853</v>
      </c>
      <c r="B314" s="278">
        <v>44397</v>
      </c>
      <c r="C314" s="249">
        <v>44317</v>
      </c>
      <c r="D314" s="250" t="s">
        <v>99</v>
      </c>
      <c r="E314" s="250" t="s">
        <v>336</v>
      </c>
      <c r="F314" s="251">
        <v>496</v>
      </c>
      <c r="G314" s="452" t="s">
        <v>1483</v>
      </c>
      <c r="H314" s="250" t="s">
        <v>117</v>
      </c>
      <c r="I314" s="252" t="s">
        <v>530</v>
      </c>
      <c r="J314" s="250" t="s">
        <v>114</v>
      </c>
      <c r="K314" s="250" t="s">
        <v>466</v>
      </c>
      <c r="L314" s="250" t="s">
        <v>547</v>
      </c>
      <c r="M314" s="346" t="s">
        <v>114</v>
      </c>
      <c r="N314" s="350">
        <v>44377</v>
      </c>
      <c r="O314" s="329" t="s">
        <v>67</v>
      </c>
      <c r="P314" s="330">
        <f t="shared" si="13"/>
        <v>7</v>
      </c>
      <c r="Q314" s="330">
        <f t="shared" si="14"/>
        <v>5</v>
      </c>
      <c r="R314" s="331" t="str">
        <f t="shared" si="15"/>
        <v>Gastos_Gerais</v>
      </c>
      <c r="S314" s="331" t="str">
        <f>IF(D314="","",IF(OR(D314=Plano!$A$1,D314=Plano!$B$1),"entrada","saída"))</f>
        <v>saída</v>
      </c>
      <c r="T314" s="334" t="s">
        <v>114</v>
      </c>
      <c r="U314" s="334" t="s">
        <v>114</v>
      </c>
      <c r="V314" s="269"/>
      <c r="W314" s="269"/>
      <c r="X314" s="269"/>
      <c r="Y314" s="269"/>
      <c r="Z314" s="269"/>
      <c r="AA314" s="269"/>
      <c r="AB314" s="269"/>
      <c r="AC314" s="269"/>
      <c r="AD314" s="269"/>
      <c r="AE314" s="269"/>
      <c r="AF314" s="269"/>
      <c r="AG314" s="269"/>
      <c r="AH314" s="269"/>
      <c r="AI314" s="269"/>
      <c r="AJ314" s="269"/>
      <c r="AK314" s="269"/>
      <c r="AL314" s="269"/>
      <c r="AM314" s="269"/>
    </row>
    <row r="315" spans="1:39" ht="46.5" customHeight="1" x14ac:dyDescent="0.2">
      <c r="A315" s="277">
        <f>IF(B315="","",COUNT('Diário 5º PA'!$A$5:$A$2634)+COUNT('Diário 6º PA'!$A$5:$A$2246)+ROW()-4)</f>
        <v>2854</v>
      </c>
      <c r="B315" s="278">
        <v>44397</v>
      </c>
      <c r="C315" s="249">
        <v>44348</v>
      </c>
      <c r="D315" s="250" t="s">
        <v>99</v>
      </c>
      <c r="E315" s="250" t="s">
        <v>358</v>
      </c>
      <c r="F315" s="251">
        <v>310</v>
      </c>
      <c r="G315" s="452" t="s">
        <v>1484</v>
      </c>
      <c r="H315" s="250" t="s">
        <v>124</v>
      </c>
      <c r="I315" s="250" t="s">
        <v>530</v>
      </c>
      <c r="J315" s="250" t="s">
        <v>114</v>
      </c>
      <c r="K315" s="250" t="s">
        <v>466</v>
      </c>
      <c r="L315" s="250" t="s">
        <v>547</v>
      </c>
      <c r="M315" s="346" t="s">
        <v>114</v>
      </c>
      <c r="N315" s="350">
        <v>44377</v>
      </c>
      <c r="O315" s="329" t="s">
        <v>67</v>
      </c>
      <c r="P315" s="330">
        <f t="shared" si="13"/>
        <v>7</v>
      </c>
      <c r="Q315" s="330">
        <f t="shared" si="14"/>
        <v>6</v>
      </c>
      <c r="R315" s="331" t="str">
        <f t="shared" si="15"/>
        <v>Gastos_Gerais</v>
      </c>
      <c r="S315" s="331" t="str">
        <f>IF(D315="","",IF(OR(D315=Plano!$A$1,D315=Plano!$B$1),"entrada","saída"))</f>
        <v>saída</v>
      </c>
      <c r="T315" s="334" t="s">
        <v>114</v>
      </c>
      <c r="U315" s="334" t="s">
        <v>114</v>
      </c>
      <c r="V315" s="269"/>
      <c r="W315" s="269"/>
      <c r="X315" s="269"/>
      <c r="Y315" s="269"/>
      <c r="Z315" s="269"/>
      <c r="AA315" s="269"/>
      <c r="AB315" s="269"/>
      <c r="AC315" s="269"/>
      <c r="AD315" s="269"/>
      <c r="AE315" s="269"/>
      <c r="AF315" s="269"/>
      <c r="AG315" s="269"/>
      <c r="AH315" s="269"/>
      <c r="AI315" s="269"/>
      <c r="AJ315" s="269"/>
      <c r="AK315" s="269"/>
      <c r="AL315" s="269"/>
      <c r="AM315" s="269"/>
    </row>
    <row r="316" spans="1:39" ht="34.5" customHeight="1" x14ac:dyDescent="0.2">
      <c r="A316" s="277">
        <f>IF(B316="","",COUNT('Diário 5º PA'!$A$5:$A$2634)+COUNT('Diário 6º PA'!$A$5:$A$2246)+ROW()-4)</f>
        <v>2855</v>
      </c>
      <c r="B316" s="278">
        <v>44397</v>
      </c>
      <c r="C316" s="249">
        <v>44287</v>
      </c>
      <c r="D316" s="250" t="s">
        <v>99</v>
      </c>
      <c r="E316" s="250" t="s">
        <v>364</v>
      </c>
      <c r="F316" s="251">
        <v>1255.5</v>
      </c>
      <c r="G316" s="452" t="s">
        <v>1485</v>
      </c>
      <c r="H316" s="250" t="s">
        <v>131</v>
      </c>
      <c r="I316" s="252" t="s">
        <v>530</v>
      </c>
      <c r="J316" s="250" t="s">
        <v>114</v>
      </c>
      <c r="K316" s="250" t="s">
        <v>466</v>
      </c>
      <c r="L316" s="250" t="s">
        <v>547</v>
      </c>
      <c r="M316" s="346" t="s">
        <v>114</v>
      </c>
      <c r="N316" s="350">
        <v>44377</v>
      </c>
      <c r="O316" s="329" t="s">
        <v>67</v>
      </c>
      <c r="P316" s="330">
        <f t="shared" si="13"/>
        <v>7</v>
      </c>
      <c r="Q316" s="330">
        <f t="shared" si="14"/>
        <v>4</v>
      </c>
      <c r="R316" s="331" t="str">
        <f t="shared" si="15"/>
        <v>Gastos_Gerais</v>
      </c>
      <c r="S316" s="331" t="str">
        <f>IF(D316="","",IF(OR(D316=Plano!$A$1,D316=Plano!$B$1),"entrada","saída"))</f>
        <v>saída</v>
      </c>
      <c r="T316" s="334" t="s">
        <v>114</v>
      </c>
      <c r="U316" s="334" t="s">
        <v>114</v>
      </c>
      <c r="V316" s="269"/>
      <c r="W316" s="269"/>
      <c r="X316" s="269"/>
      <c r="Y316" s="269"/>
      <c r="Z316" s="269"/>
      <c r="AA316" s="269"/>
      <c r="AB316" s="269"/>
      <c r="AC316" s="269"/>
      <c r="AD316" s="269"/>
      <c r="AE316" s="269"/>
      <c r="AF316" s="269"/>
      <c r="AG316" s="269"/>
      <c r="AH316" s="269"/>
      <c r="AI316" s="269"/>
      <c r="AJ316" s="269"/>
      <c r="AK316" s="269"/>
      <c r="AL316" s="269"/>
      <c r="AM316" s="269"/>
    </row>
    <row r="317" spans="1:39" ht="48.75" customHeight="1" x14ac:dyDescent="0.2">
      <c r="A317" s="277">
        <f>IF(B317="","",COUNT('Diário 5º PA'!$A$5:$A$2634)+COUNT('Diário 6º PA'!$A$5:$A$2246)+ROW()-4)</f>
        <v>2856</v>
      </c>
      <c r="B317" s="278">
        <v>44397</v>
      </c>
      <c r="C317" s="249">
        <v>44317</v>
      </c>
      <c r="D317" s="250" t="s">
        <v>99</v>
      </c>
      <c r="E317" s="250" t="s">
        <v>266</v>
      </c>
      <c r="F317" s="251">
        <v>1316.7</v>
      </c>
      <c r="G317" s="452" t="s">
        <v>1486</v>
      </c>
      <c r="H317" s="250" t="s">
        <v>131</v>
      </c>
      <c r="I317" s="252" t="s">
        <v>530</v>
      </c>
      <c r="J317" s="250" t="s">
        <v>114</v>
      </c>
      <c r="K317" s="250" t="s">
        <v>466</v>
      </c>
      <c r="L317" s="250" t="s">
        <v>547</v>
      </c>
      <c r="M317" s="346" t="s">
        <v>114</v>
      </c>
      <c r="N317" s="350">
        <v>44377</v>
      </c>
      <c r="O317" s="329" t="s">
        <v>67</v>
      </c>
      <c r="P317" s="330">
        <f t="shared" si="13"/>
        <v>7</v>
      </c>
      <c r="Q317" s="330">
        <f t="shared" si="14"/>
        <v>5</v>
      </c>
      <c r="R317" s="331" t="str">
        <f t="shared" si="15"/>
        <v>Gastos_Gerais</v>
      </c>
      <c r="S317" s="331" t="str">
        <f>IF(D317="","",IF(OR(D317=Plano!$A$1,D317=Plano!$B$1),"entrada","saída"))</f>
        <v>saída</v>
      </c>
      <c r="T317" s="334" t="s">
        <v>114</v>
      </c>
      <c r="U317" s="334" t="s">
        <v>114</v>
      </c>
      <c r="V317" s="269"/>
      <c r="W317" s="269"/>
      <c r="X317" s="269"/>
      <c r="Y317" s="269"/>
      <c r="Z317" s="269"/>
      <c r="AA317" s="269"/>
      <c r="AB317" s="269"/>
      <c r="AC317" s="269"/>
      <c r="AD317" s="269"/>
      <c r="AE317" s="269"/>
      <c r="AF317" s="269"/>
      <c r="AG317" s="269"/>
      <c r="AH317" s="269"/>
      <c r="AI317" s="269"/>
      <c r="AJ317" s="269"/>
      <c r="AK317" s="269"/>
      <c r="AL317" s="269"/>
      <c r="AM317" s="269"/>
    </row>
    <row r="318" spans="1:39" ht="36.75" customHeight="1" x14ac:dyDescent="0.2">
      <c r="A318" s="277">
        <f>IF(B318="","",COUNT('Diário 5º PA'!$A$5:$A$2634)+COUNT('Diário 6º PA'!$A$5:$A$2246)+ROW()-4)</f>
        <v>2857</v>
      </c>
      <c r="B318" s="278">
        <v>44397</v>
      </c>
      <c r="C318" s="249">
        <v>44348</v>
      </c>
      <c r="D318" s="255" t="s">
        <v>99</v>
      </c>
      <c r="E318" s="255" t="s">
        <v>224</v>
      </c>
      <c r="F318" s="258">
        <v>324.52</v>
      </c>
      <c r="G318" s="450" t="s">
        <v>1487</v>
      </c>
      <c r="H318" s="255" t="s">
        <v>115</v>
      </c>
      <c r="I318" s="250" t="s">
        <v>522</v>
      </c>
      <c r="J318" s="252" t="s">
        <v>523</v>
      </c>
      <c r="K318" s="252" t="s">
        <v>1375</v>
      </c>
      <c r="L318" s="252" t="s">
        <v>697</v>
      </c>
      <c r="M318" s="277" t="s">
        <v>1488</v>
      </c>
      <c r="N318" s="278">
        <v>44378</v>
      </c>
      <c r="O318" s="329" t="s">
        <v>67</v>
      </c>
      <c r="P318" s="330">
        <f t="shared" si="13"/>
        <v>7</v>
      </c>
      <c r="Q318" s="330">
        <f t="shared" si="14"/>
        <v>6</v>
      </c>
      <c r="R318" s="331" t="str">
        <f t="shared" si="15"/>
        <v>Gastos_Gerais</v>
      </c>
      <c r="S318" s="331" t="str">
        <f>IF(D318="","",IF(OR(D318=Plano!$A$1,D318=Plano!$B$1),"entrada","saída"))</f>
        <v>saída</v>
      </c>
      <c r="T318" s="332" t="s">
        <v>114</v>
      </c>
      <c r="U318" s="332" t="s">
        <v>114</v>
      </c>
      <c r="V318" s="269"/>
      <c r="W318" s="269"/>
      <c r="X318" s="269"/>
      <c r="Y318" s="269"/>
      <c r="Z318" s="269"/>
      <c r="AA318" s="269"/>
      <c r="AB318" s="269"/>
      <c r="AC318" s="269"/>
      <c r="AD318" s="269"/>
      <c r="AE318" s="269"/>
      <c r="AF318" s="269"/>
      <c r="AG318" s="269"/>
      <c r="AH318" s="269"/>
      <c r="AI318" s="269"/>
      <c r="AJ318" s="269"/>
      <c r="AK318" s="269"/>
      <c r="AL318" s="269"/>
      <c r="AM318" s="269"/>
    </row>
    <row r="319" spans="1:39" ht="98.25" customHeight="1" x14ac:dyDescent="0.2">
      <c r="A319" s="277">
        <f>IF(B319="","",COUNT('Diário 5º PA'!$A$5:$A$2634)+COUNT('Diário 6º PA'!$A$5:$A$2246)+ROW()-4)</f>
        <v>2858</v>
      </c>
      <c r="B319" s="278">
        <v>44397</v>
      </c>
      <c r="C319" s="249">
        <v>44348</v>
      </c>
      <c r="D319" s="250" t="s">
        <v>99</v>
      </c>
      <c r="E319" s="250" t="s">
        <v>244</v>
      </c>
      <c r="F319" s="251">
        <v>2680.55</v>
      </c>
      <c r="G319" s="452" t="s">
        <v>1489</v>
      </c>
      <c r="H319" s="250" t="s">
        <v>128</v>
      </c>
      <c r="I319" s="252" t="s">
        <v>1490</v>
      </c>
      <c r="J319" s="250" t="s">
        <v>615</v>
      </c>
      <c r="K319" s="255" t="s">
        <v>560</v>
      </c>
      <c r="L319" s="250" t="s">
        <v>992</v>
      </c>
      <c r="M319" s="277" t="s">
        <v>1491</v>
      </c>
      <c r="N319" s="278">
        <v>44382</v>
      </c>
      <c r="O319" s="329" t="s">
        <v>67</v>
      </c>
      <c r="P319" s="330">
        <f t="shared" si="13"/>
        <v>7</v>
      </c>
      <c r="Q319" s="330">
        <f t="shared" si="14"/>
        <v>6</v>
      </c>
      <c r="R319" s="331" t="str">
        <f t="shared" si="15"/>
        <v>Gastos_Gerais</v>
      </c>
      <c r="S319" s="331" t="str">
        <f>IF(D319="","",IF(OR(D319=Plano!$A$1,D319=Plano!$B$1),"entrada","saída"))</f>
        <v>saída</v>
      </c>
      <c r="T319" s="334" t="s">
        <v>1082</v>
      </c>
      <c r="U319" s="334">
        <v>1501</v>
      </c>
      <c r="V319" s="269"/>
      <c r="W319" s="269"/>
      <c r="X319" s="269"/>
      <c r="Y319" s="269"/>
      <c r="Z319" s="269"/>
      <c r="AA319" s="269"/>
      <c r="AB319" s="269"/>
      <c r="AC319" s="269"/>
      <c r="AD319" s="269"/>
      <c r="AE319" s="269"/>
      <c r="AF319" s="269"/>
      <c r="AG319" s="269"/>
      <c r="AH319" s="269"/>
      <c r="AI319" s="269"/>
      <c r="AJ319" s="269"/>
      <c r="AK319" s="269"/>
      <c r="AL319" s="269"/>
      <c r="AM319" s="269"/>
    </row>
    <row r="320" spans="1:39" ht="22.5" customHeight="1" x14ac:dyDescent="0.2">
      <c r="A320" s="277">
        <f>IF(B320="","",COUNT('Diário 5º PA'!$A$5:$A$2634)+COUNT('Diário 6º PA'!$A$5:$A$2246)+ROW()-4)</f>
        <v>2859</v>
      </c>
      <c r="B320" s="278">
        <v>44397</v>
      </c>
      <c r="C320" s="259">
        <v>44348</v>
      </c>
      <c r="D320" s="252" t="s">
        <v>88</v>
      </c>
      <c r="E320" s="252" t="s">
        <v>90</v>
      </c>
      <c r="F320" s="257">
        <v>6741.26</v>
      </c>
      <c r="G320" s="451" t="s">
        <v>1492</v>
      </c>
      <c r="H320" s="252" t="s">
        <v>114</v>
      </c>
      <c r="I320" s="252" t="s">
        <v>530</v>
      </c>
      <c r="J320" s="250" t="s">
        <v>114</v>
      </c>
      <c r="K320" s="250" t="s">
        <v>466</v>
      </c>
      <c r="L320" s="250" t="s">
        <v>547</v>
      </c>
      <c r="M320" s="277" t="s">
        <v>114</v>
      </c>
      <c r="N320" s="278">
        <v>44377</v>
      </c>
      <c r="O320" s="329" t="s">
        <v>67</v>
      </c>
      <c r="P320" s="330">
        <f t="shared" si="13"/>
        <v>7</v>
      </c>
      <c r="Q320" s="330">
        <f t="shared" si="14"/>
        <v>6</v>
      </c>
      <c r="R320" s="331" t="str">
        <f t="shared" si="15"/>
        <v>Gastos_com_Pessoal</v>
      </c>
      <c r="S320" s="331" t="str">
        <f>IF(D320="","",IF(OR(D320=Plano!$A$1,D320=Plano!$B$1),"entrada","saída"))</f>
        <v>saída</v>
      </c>
      <c r="T320" s="332" t="s">
        <v>114</v>
      </c>
      <c r="U320" s="332" t="s">
        <v>114</v>
      </c>
      <c r="V320" s="269"/>
      <c r="W320" s="269"/>
      <c r="X320" s="269"/>
      <c r="Y320" s="269"/>
      <c r="Z320" s="269"/>
      <c r="AA320" s="269"/>
      <c r="AB320" s="269"/>
      <c r="AC320" s="269"/>
      <c r="AD320" s="269"/>
      <c r="AE320" s="269"/>
      <c r="AF320" s="269"/>
      <c r="AG320" s="269"/>
      <c r="AH320" s="269"/>
      <c r="AI320" s="269"/>
      <c r="AJ320" s="269"/>
      <c r="AK320" s="269"/>
      <c r="AL320" s="269"/>
      <c r="AM320" s="269"/>
    </row>
    <row r="321" spans="1:39" ht="31.5" customHeight="1" x14ac:dyDescent="0.2">
      <c r="A321" s="277">
        <f>IF(B321="","",COUNT('Diário 5º PA'!$A$5:$A$2634)+COUNT('Diário 6º PA'!$A$5:$A$2246)+ROW()-4)</f>
        <v>2860</v>
      </c>
      <c r="B321" s="278">
        <v>44397</v>
      </c>
      <c r="C321" s="249">
        <v>44348</v>
      </c>
      <c r="D321" s="255" t="s">
        <v>88</v>
      </c>
      <c r="E321" s="255" t="s">
        <v>167</v>
      </c>
      <c r="F321" s="258">
        <v>22763.200000000001</v>
      </c>
      <c r="G321" s="452" t="s">
        <v>1493</v>
      </c>
      <c r="H321" s="255" t="s">
        <v>114</v>
      </c>
      <c r="I321" s="250" t="s">
        <v>530</v>
      </c>
      <c r="J321" s="250" t="s">
        <v>114</v>
      </c>
      <c r="K321" s="255" t="s">
        <v>466</v>
      </c>
      <c r="L321" s="250" t="s">
        <v>547</v>
      </c>
      <c r="M321" s="277" t="s">
        <v>114</v>
      </c>
      <c r="N321" s="278">
        <v>44377</v>
      </c>
      <c r="O321" s="329" t="s">
        <v>67</v>
      </c>
      <c r="P321" s="330">
        <f t="shared" si="13"/>
        <v>7</v>
      </c>
      <c r="Q321" s="330">
        <f t="shared" si="14"/>
        <v>6</v>
      </c>
      <c r="R321" s="331" t="str">
        <f t="shared" si="15"/>
        <v>Gastos_com_Pessoal</v>
      </c>
      <c r="S321" s="331" t="str">
        <f>IF(D321="","",IF(OR(D321=Plano!$A$1,D321=Plano!$B$1),"entrada","saída"))</f>
        <v>saída</v>
      </c>
      <c r="T321" s="332" t="s">
        <v>114</v>
      </c>
      <c r="U321" s="332" t="s">
        <v>114</v>
      </c>
      <c r="V321" s="269"/>
      <c r="W321" s="269"/>
      <c r="X321" s="269"/>
      <c r="Y321" s="269"/>
      <c r="Z321" s="269"/>
      <c r="AA321" s="269"/>
      <c r="AB321" s="269"/>
      <c r="AC321" s="269"/>
      <c r="AD321" s="269"/>
      <c r="AE321" s="269"/>
      <c r="AF321" s="269"/>
      <c r="AG321" s="269"/>
      <c r="AH321" s="269"/>
      <c r="AI321" s="269"/>
      <c r="AJ321" s="269"/>
      <c r="AK321" s="269"/>
      <c r="AL321" s="269"/>
      <c r="AM321" s="269"/>
    </row>
    <row r="322" spans="1:39" ht="33.75" customHeight="1" x14ac:dyDescent="0.2">
      <c r="A322" s="277">
        <f>IF(B322="","",COUNT('Diário 5º PA'!$A$5:$A$2634)+COUNT('Diário 6º PA'!$A$5:$A$2246)+ROW()-4)</f>
        <v>2861</v>
      </c>
      <c r="B322" s="278">
        <v>44397</v>
      </c>
      <c r="C322" s="249">
        <v>44317</v>
      </c>
      <c r="D322" s="250" t="s">
        <v>99</v>
      </c>
      <c r="E322" s="250" t="s">
        <v>228</v>
      </c>
      <c r="F322" s="251">
        <v>395.25</v>
      </c>
      <c r="G322" s="452" t="s">
        <v>1494</v>
      </c>
      <c r="H322" s="250" t="s">
        <v>115</v>
      </c>
      <c r="I322" s="252" t="s">
        <v>488</v>
      </c>
      <c r="J322" s="250" t="s">
        <v>114</v>
      </c>
      <c r="K322" s="250" t="s">
        <v>466</v>
      </c>
      <c r="L322" s="250" t="s">
        <v>489</v>
      </c>
      <c r="M322" s="277" t="s">
        <v>114</v>
      </c>
      <c r="N322" s="278">
        <v>44377</v>
      </c>
      <c r="O322" s="329" t="s">
        <v>67</v>
      </c>
      <c r="P322" s="330">
        <f t="shared" si="13"/>
        <v>7</v>
      </c>
      <c r="Q322" s="330">
        <f t="shared" si="14"/>
        <v>5</v>
      </c>
      <c r="R322" s="331" t="str">
        <f t="shared" si="15"/>
        <v>Gastos_Gerais</v>
      </c>
      <c r="S322" s="331" t="str">
        <f>IF(D322="","",IF(OR(D322=Plano!$A$1,D322=Plano!$B$1),"entrada","saída"))</f>
        <v>saída</v>
      </c>
      <c r="T322" s="332" t="s">
        <v>114</v>
      </c>
      <c r="U322" s="332" t="s">
        <v>114</v>
      </c>
      <c r="V322" s="269"/>
      <c r="W322" s="269"/>
      <c r="X322" s="269"/>
      <c r="Y322" s="269"/>
      <c r="Z322" s="269"/>
      <c r="AA322" s="269"/>
      <c r="AB322" s="269"/>
      <c r="AC322" s="269"/>
      <c r="AD322" s="269"/>
      <c r="AE322" s="269"/>
      <c r="AF322" s="269"/>
      <c r="AG322" s="269"/>
      <c r="AH322" s="269"/>
      <c r="AI322" s="269"/>
      <c r="AJ322" s="269"/>
      <c r="AK322" s="269"/>
      <c r="AL322" s="269"/>
      <c r="AM322" s="269"/>
    </row>
    <row r="323" spans="1:39" ht="41.25" customHeight="1" x14ac:dyDescent="0.2">
      <c r="A323" s="277">
        <f>IF(B323="","",COUNT('Diário 5º PA'!$A$5:$A$2634)+COUNT('Diário 6º PA'!$A$5:$A$2246)+ROW()-4)</f>
        <v>2862</v>
      </c>
      <c r="B323" s="278">
        <v>44397</v>
      </c>
      <c r="C323" s="249">
        <v>44317</v>
      </c>
      <c r="D323" s="250" t="s">
        <v>99</v>
      </c>
      <c r="E323" s="250" t="s">
        <v>364</v>
      </c>
      <c r="F323" s="251">
        <v>780.64</v>
      </c>
      <c r="G323" s="452" t="s">
        <v>1495</v>
      </c>
      <c r="H323" s="250" t="s">
        <v>131</v>
      </c>
      <c r="I323" s="250" t="s">
        <v>488</v>
      </c>
      <c r="J323" s="250" t="s">
        <v>114</v>
      </c>
      <c r="K323" s="250" t="s">
        <v>466</v>
      </c>
      <c r="L323" s="250" t="s">
        <v>489</v>
      </c>
      <c r="M323" s="277" t="s">
        <v>114</v>
      </c>
      <c r="N323" s="278">
        <v>44377</v>
      </c>
      <c r="O323" s="329" t="s">
        <v>67</v>
      </c>
      <c r="P323" s="330">
        <f t="shared" si="13"/>
        <v>7</v>
      </c>
      <c r="Q323" s="330">
        <f t="shared" si="14"/>
        <v>5</v>
      </c>
      <c r="R323" s="331" t="str">
        <f t="shared" si="15"/>
        <v>Gastos_Gerais</v>
      </c>
      <c r="S323" s="331" t="str">
        <f>IF(D323="","",IF(OR(D323=Plano!$A$1,D323=Plano!$B$1),"entrada","saída"))</f>
        <v>saída</v>
      </c>
      <c r="T323" s="332" t="s">
        <v>114</v>
      </c>
      <c r="U323" s="332" t="s">
        <v>114</v>
      </c>
      <c r="V323" s="269"/>
      <c r="W323" s="269"/>
      <c r="X323" s="269"/>
      <c r="Y323" s="269"/>
      <c r="Z323" s="269"/>
      <c r="AA323" s="269"/>
      <c r="AB323" s="269"/>
      <c r="AC323" s="269"/>
      <c r="AD323" s="269"/>
      <c r="AE323" s="269"/>
      <c r="AF323" s="269"/>
      <c r="AG323" s="269"/>
      <c r="AH323" s="269"/>
      <c r="AI323" s="269"/>
      <c r="AJ323" s="269"/>
      <c r="AK323" s="269"/>
      <c r="AL323" s="269"/>
      <c r="AM323" s="269"/>
    </row>
    <row r="324" spans="1:39" ht="33.75" customHeight="1" x14ac:dyDescent="0.2">
      <c r="A324" s="277">
        <f>IF(B324="","",COUNT('Diário 5º PA'!$A$5:$A$2634)+COUNT('Diário 6º PA'!$A$5:$A$2246)+ROW()-4)</f>
        <v>2863</v>
      </c>
      <c r="B324" s="278">
        <v>44397</v>
      </c>
      <c r="C324" s="249">
        <v>44348</v>
      </c>
      <c r="D324" s="250" t="s">
        <v>99</v>
      </c>
      <c r="E324" s="250" t="s">
        <v>228</v>
      </c>
      <c r="F324" s="251">
        <v>127.5</v>
      </c>
      <c r="G324" s="452" t="s">
        <v>1496</v>
      </c>
      <c r="H324" s="250" t="s">
        <v>115</v>
      </c>
      <c r="I324" s="252" t="s">
        <v>488</v>
      </c>
      <c r="J324" s="250" t="s">
        <v>114</v>
      </c>
      <c r="K324" s="250" t="s">
        <v>466</v>
      </c>
      <c r="L324" s="250" t="s">
        <v>489</v>
      </c>
      <c r="M324" s="277" t="s">
        <v>114</v>
      </c>
      <c r="N324" s="278">
        <v>44377</v>
      </c>
      <c r="O324" s="329" t="s">
        <v>67</v>
      </c>
      <c r="P324" s="330">
        <f t="shared" si="13"/>
        <v>7</v>
      </c>
      <c r="Q324" s="330">
        <f t="shared" si="14"/>
        <v>6</v>
      </c>
      <c r="R324" s="331" t="str">
        <f t="shared" si="15"/>
        <v>Gastos_Gerais</v>
      </c>
      <c r="S324" s="331" t="str">
        <f>IF(D324="","",IF(OR(D324=Plano!$A$1,D324=Plano!$B$1),"entrada","saída"))</f>
        <v>saída</v>
      </c>
      <c r="T324" s="332" t="s">
        <v>114</v>
      </c>
      <c r="U324" s="332" t="s">
        <v>114</v>
      </c>
      <c r="V324" s="269"/>
      <c r="W324" s="269"/>
      <c r="X324" s="269"/>
      <c r="Y324" s="269"/>
      <c r="Z324" s="269"/>
      <c r="AA324" s="269"/>
      <c r="AB324" s="269"/>
      <c r="AC324" s="269"/>
      <c r="AD324" s="269"/>
      <c r="AE324" s="269"/>
      <c r="AF324" s="269"/>
      <c r="AG324" s="269"/>
      <c r="AH324" s="269"/>
      <c r="AI324" s="269"/>
      <c r="AJ324" s="269"/>
      <c r="AK324" s="269"/>
      <c r="AL324" s="269"/>
      <c r="AM324" s="269"/>
    </row>
    <row r="325" spans="1:39" ht="24.75" customHeight="1" x14ac:dyDescent="0.2">
      <c r="A325" s="277">
        <f>IF(B325="","",COUNT('Diário 5º PA'!$A$5:$A$2634)+COUNT('Diário 6º PA'!$A$5:$A$2246)+ROW()-4)</f>
        <v>2864</v>
      </c>
      <c r="B325" s="278">
        <v>44397</v>
      </c>
      <c r="C325" s="259">
        <v>44317</v>
      </c>
      <c r="D325" s="252" t="s">
        <v>88</v>
      </c>
      <c r="E325" s="252" t="s">
        <v>90</v>
      </c>
      <c r="F325" s="257">
        <v>9602.91</v>
      </c>
      <c r="G325" s="451" t="s">
        <v>1497</v>
      </c>
      <c r="H325" s="252" t="s">
        <v>114</v>
      </c>
      <c r="I325" s="252" t="s">
        <v>488</v>
      </c>
      <c r="J325" s="250" t="s">
        <v>114</v>
      </c>
      <c r="K325" s="250" t="s">
        <v>466</v>
      </c>
      <c r="L325" s="250" t="s">
        <v>489</v>
      </c>
      <c r="M325" s="277" t="s">
        <v>114</v>
      </c>
      <c r="N325" s="278">
        <v>44377</v>
      </c>
      <c r="O325" s="329" t="s">
        <v>67</v>
      </c>
      <c r="P325" s="330">
        <f t="shared" ref="P325:P388" si="16">IF(B325=0,0,IF(YEAR(B325)=$Q$1,MONTH(B325)-$P$1+1,(YEAR(B325)-$Q$1)*12-$P$1+1+MONTH(B325)))</f>
        <v>7</v>
      </c>
      <c r="Q325" s="330">
        <f t="shared" ref="Q325:Q388" si="17">IF(C325=0,0,IF(YEAR(C325)=$Q$1,MONTH(C325)-$P$1+1,(YEAR(C325)-$Q$1)*12-$P$1+1+MONTH(C325)))</f>
        <v>5</v>
      </c>
      <c r="R325" s="331" t="str">
        <f t="shared" ref="R325:R388" si="18">SUBSTITUTE(D325," ","_")</f>
        <v>Gastos_com_Pessoal</v>
      </c>
      <c r="S325" s="331" t="str">
        <f>IF(D325="","",IF(OR(D325=Plano!$A$1,D325=Plano!$B$1),"entrada","saída"))</f>
        <v>saída</v>
      </c>
      <c r="T325" s="332" t="s">
        <v>114</v>
      </c>
      <c r="U325" s="332" t="s">
        <v>114</v>
      </c>
      <c r="V325" s="269"/>
      <c r="W325" s="269"/>
      <c r="X325" s="269"/>
      <c r="Y325" s="269"/>
      <c r="Z325" s="269"/>
      <c r="AA325" s="269"/>
      <c r="AB325" s="269"/>
      <c r="AC325" s="269"/>
      <c r="AD325" s="269"/>
      <c r="AE325" s="269"/>
      <c r="AF325" s="269"/>
      <c r="AG325" s="269"/>
      <c r="AH325" s="269"/>
      <c r="AI325" s="269"/>
      <c r="AJ325" s="269"/>
      <c r="AK325" s="269"/>
      <c r="AL325" s="269"/>
      <c r="AM325" s="269"/>
    </row>
    <row r="326" spans="1:39" ht="44.25" customHeight="1" x14ac:dyDescent="0.2">
      <c r="A326" s="277">
        <f>IF(B326="","",COUNT('Diário 5º PA'!$A$5:$A$2634)+COUNT('Diário 6º PA'!$A$5:$A$2246)+ROW()-4)</f>
        <v>2865</v>
      </c>
      <c r="B326" s="278">
        <v>44397</v>
      </c>
      <c r="C326" s="259">
        <v>44348</v>
      </c>
      <c r="D326" s="255" t="s">
        <v>88</v>
      </c>
      <c r="E326" s="255" t="s">
        <v>181</v>
      </c>
      <c r="F326" s="257">
        <v>295.37</v>
      </c>
      <c r="G326" s="451" t="s">
        <v>1498</v>
      </c>
      <c r="H326" s="252" t="s">
        <v>114</v>
      </c>
      <c r="I326" s="252" t="s">
        <v>488</v>
      </c>
      <c r="J326" s="250" t="s">
        <v>114</v>
      </c>
      <c r="K326" s="250" t="s">
        <v>466</v>
      </c>
      <c r="L326" s="250" t="s">
        <v>489</v>
      </c>
      <c r="M326" s="277" t="s">
        <v>114</v>
      </c>
      <c r="N326" s="278">
        <v>44377</v>
      </c>
      <c r="O326" s="329" t="s">
        <v>67</v>
      </c>
      <c r="P326" s="330">
        <f t="shared" si="16"/>
        <v>7</v>
      </c>
      <c r="Q326" s="330">
        <f t="shared" si="17"/>
        <v>6</v>
      </c>
      <c r="R326" s="331" t="str">
        <f t="shared" si="18"/>
        <v>Gastos_com_Pessoal</v>
      </c>
      <c r="S326" s="331" t="str">
        <f>IF(D326="","",IF(OR(D326=Plano!$A$1,D326=Plano!$B$1),"entrada","saída"))</f>
        <v>saída</v>
      </c>
      <c r="T326" s="332" t="s">
        <v>114</v>
      </c>
      <c r="U326" s="332" t="s">
        <v>114</v>
      </c>
      <c r="V326" s="269"/>
      <c r="W326" s="269"/>
      <c r="X326" s="269"/>
      <c r="Y326" s="269"/>
      <c r="Z326" s="269"/>
      <c r="AA326" s="269"/>
      <c r="AB326" s="269"/>
      <c r="AC326" s="269"/>
      <c r="AD326" s="269"/>
      <c r="AE326" s="269"/>
      <c r="AF326" s="269"/>
      <c r="AG326" s="269"/>
      <c r="AH326" s="269"/>
      <c r="AI326" s="269"/>
      <c r="AJ326" s="269"/>
      <c r="AK326" s="269"/>
      <c r="AL326" s="269"/>
      <c r="AM326" s="269"/>
    </row>
    <row r="327" spans="1:39" ht="45" customHeight="1" x14ac:dyDescent="0.2">
      <c r="A327" s="277">
        <f>IF(B327="","",COUNT('Diário 5º PA'!$A$5:$A$2634)+COUNT('Diário 6º PA'!$A$5:$A$2246)+ROW()-4)</f>
        <v>2866</v>
      </c>
      <c r="B327" s="278">
        <v>44397</v>
      </c>
      <c r="C327" s="259">
        <v>44348</v>
      </c>
      <c r="D327" s="255" t="s">
        <v>99</v>
      </c>
      <c r="E327" s="255" t="s">
        <v>272</v>
      </c>
      <c r="F327" s="258">
        <v>10.45</v>
      </c>
      <c r="G327" s="450" t="s">
        <v>1499</v>
      </c>
      <c r="H327" s="250" t="s">
        <v>115</v>
      </c>
      <c r="I327" s="250" t="s">
        <v>949</v>
      </c>
      <c r="J327" s="255" t="s">
        <v>950</v>
      </c>
      <c r="K327" s="255" t="s">
        <v>951</v>
      </c>
      <c r="L327" s="250" t="s">
        <v>947</v>
      </c>
      <c r="M327" s="336" t="s">
        <v>114</v>
      </c>
      <c r="N327" s="278">
        <v>44397</v>
      </c>
      <c r="O327" s="329" t="s">
        <v>67</v>
      </c>
      <c r="P327" s="330">
        <f t="shared" si="16"/>
        <v>7</v>
      </c>
      <c r="Q327" s="330">
        <f t="shared" si="17"/>
        <v>6</v>
      </c>
      <c r="R327" s="331" t="str">
        <f t="shared" si="18"/>
        <v>Gastos_Gerais</v>
      </c>
      <c r="S327" s="331" t="str">
        <f>IF(D327="","",IF(OR(D327=Plano!$A$1,D327=Plano!$B$1),"entrada","saída"))</f>
        <v>saída</v>
      </c>
      <c r="T327" s="332" t="s">
        <v>114</v>
      </c>
      <c r="U327" s="332" t="s">
        <v>114</v>
      </c>
      <c r="V327" s="269"/>
      <c r="W327" s="269"/>
      <c r="X327" s="269"/>
      <c r="Y327" s="269"/>
      <c r="Z327" s="269"/>
      <c r="AA327" s="269"/>
      <c r="AB327" s="269"/>
      <c r="AC327" s="269"/>
      <c r="AD327" s="269"/>
      <c r="AE327" s="269"/>
      <c r="AF327" s="269"/>
      <c r="AG327" s="269"/>
      <c r="AH327" s="269"/>
      <c r="AI327" s="269"/>
      <c r="AJ327" s="269"/>
      <c r="AK327" s="269"/>
      <c r="AL327" s="269"/>
      <c r="AM327" s="269"/>
    </row>
    <row r="328" spans="1:39" ht="47.25" customHeight="1" x14ac:dyDescent="0.2">
      <c r="A328" s="277">
        <f>IF(B328="","",COUNT('Diário 5º PA'!$A$5:$A$2634)+COUNT('Diário 6º PA'!$A$5:$A$2246)+ROW()-4)</f>
        <v>2867</v>
      </c>
      <c r="B328" s="278">
        <v>44397</v>
      </c>
      <c r="C328" s="335">
        <v>44378</v>
      </c>
      <c r="D328" s="255" t="s">
        <v>99</v>
      </c>
      <c r="E328" s="255" t="s">
        <v>272</v>
      </c>
      <c r="F328" s="258">
        <v>10.45</v>
      </c>
      <c r="G328" s="450" t="s">
        <v>1500</v>
      </c>
      <c r="H328" s="250" t="s">
        <v>131</v>
      </c>
      <c r="I328" s="250" t="s">
        <v>949</v>
      </c>
      <c r="J328" s="255" t="s">
        <v>950</v>
      </c>
      <c r="K328" s="255" t="s">
        <v>951</v>
      </c>
      <c r="L328" s="250" t="s">
        <v>947</v>
      </c>
      <c r="M328" s="336" t="s">
        <v>114</v>
      </c>
      <c r="N328" s="278">
        <v>44397</v>
      </c>
      <c r="O328" s="329" t="s">
        <v>67</v>
      </c>
      <c r="P328" s="330">
        <f t="shared" si="16"/>
        <v>7</v>
      </c>
      <c r="Q328" s="330">
        <f t="shared" si="17"/>
        <v>7</v>
      </c>
      <c r="R328" s="331" t="str">
        <f t="shared" si="18"/>
        <v>Gastos_Gerais</v>
      </c>
      <c r="S328" s="331" t="str">
        <f>IF(D328="","",IF(OR(D328=Plano!$A$1,D328=Plano!$B$1),"entrada","saída"))</f>
        <v>saída</v>
      </c>
      <c r="T328" s="332" t="s">
        <v>114</v>
      </c>
      <c r="U328" s="332" t="s">
        <v>114</v>
      </c>
      <c r="V328" s="269"/>
      <c r="W328" s="269"/>
      <c r="X328" s="269"/>
      <c r="Y328" s="269"/>
      <c r="Z328" s="269"/>
      <c r="AA328" s="269"/>
      <c r="AB328" s="269"/>
      <c r="AC328" s="269"/>
      <c r="AD328" s="269"/>
      <c r="AE328" s="269"/>
      <c r="AF328" s="269"/>
      <c r="AG328" s="269"/>
      <c r="AH328" s="269"/>
      <c r="AI328" s="269"/>
      <c r="AJ328" s="269"/>
      <c r="AK328" s="269"/>
      <c r="AL328" s="269"/>
      <c r="AM328" s="269"/>
    </row>
    <row r="329" spans="1:39" ht="43.5" customHeight="1" x14ac:dyDescent="0.2">
      <c r="A329" s="277">
        <f>IF(B329="","",COUNT('Diário 5º PA'!$A$5:$A$2634)+COUNT('Diário 6º PA'!$A$5:$A$2246)+ROW()-4)</f>
        <v>2868</v>
      </c>
      <c r="B329" s="278">
        <v>44397</v>
      </c>
      <c r="C329" s="335">
        <v>44378</v>
      </c>
      <c r="D329" s="255" t="s">
        <v>99</v>
      </c>
      <c r="E329" s="255" t="s">
        <v>272</v>
      </c>
      <c r="F329" s="258">
        <v>10.45</v>
      </c>
      <c r="G329" s="450" t="s">
        <v>1501</v>
      </c>
      <c r="H329" s="250" t="s">
        <v>123</v>
      </c>
      <c r="I329" s="250" t="s">
        <v>949</v>
      </c>
      <c r="J329" s="255" t="s">
        <v>950</v>
      </c>
      <c r="K329" s="255" t="s">
        <v>951</v>
      </c>
      <c r="L329" s="250" t="s">
        <v>947</v>
      </c>
      <c r="M329" s="336" t="s">
        <v>114</v>
      </c>
      <c r="N329" s="278">
        <v>44397</v>
      </c>
      <c r="O329" s="329" t="s">
        <v>67</v>
      </c>
      <c r="P329" s="330">
        <f t="shared" si="16"/>
        <v>7</v>
      </c>
      <c r="Q329" s="330">
        <f t="shared" si="17"/>
        <v>7</v>
      </c>
      <c r="R329" s="331" t="str">
        <f t="shared" si="18"/>
        <v>Gastos_Gerais</v>
      </c>
      <c r="S329" s="331" t="str">
        <f>IF(D329="","",IF(OR(D329=Plano!$A$1,D329=Plano!$B$1),"entrada","saída"))</f>
        <v>saída</v>
      </c>
      <c r="T329" s="332" t="s">
        <v>114</v>
      </c>
      <c r="U329" s="332" t="s">
        <v>114</v>
      </c>
      <c r="V329" s="269"/>
      <c r="W329" s="269"/>
      <c r="X329" s="269"/>
      <c r="Y329" s="269"/>
      <c r="Z329" s="269"/>
      <c r="AA329" s="269"/>
      <c r="AB329" s="269"/>
      <c r="AC329" s="269"/>
      <c r="AD329" s="269"/>
      <c r="AE329" s="269"/>
      <c r="AF329" s="269"/>
      <c r="AG329" s="269"/>
      <c r="AH329" s="269"/>
      <c r="AI329" s="269"/>
      <c r="AJ329" s="269"/>
      <c r="AK329" s="269"/>
      <c r="AL329" s="269"/>
      <c r="AM329" s="269"/>
    </row>
    <row r="330" spans="1:39" ht="40.5" customHeight="1" x14ac:dyDescent="0.2">
      <c r="A330" s="277">
        <f>IF(B330="","",COUNT('Diário 5º PA'!$A$5:$A$2634)+COUNT('Diário 6º PA'!$A$5:$A$2246)+ROW()-4)</f>
        <v>2869</v>
      </c>
      <c r="B330" s="278">
        <v>44397</v>
      </c>
      <c r="C330" s="335">
        <v>44378</v>
      </c>
      <c r="D330" s="255" t="s">
        <v>99</v>
      </c>
      <c r="E330" s="255" t="s">
        <v>272</v>
      </c>
      <c r="F330" s="258">
        <v>10.45</v>
      </c>
      <c r="G330" s="450" t="s">
        <v>1502</v>
      </c>
      <c r="H330" s="250" t="s">
        <v>123</v>
      </c>
      <c r="I330" s="250" t="s">
        <v>949</v>
      </c>
      <c r="J330" s="255" t="s">
        <v>950</v>
      </c>
      <c r="K330" s="255" t="s">
        <v>951</v>
      </c>
      <c r="L330" s="250" t="s">
        <v>947</v>
      </c>
      <c r="M330" s="336" t="s">
        <v>114</v>
      </c>
      <c r="N330" s="278">
        <v>44397</v>
      </c>
      <c r="O330" s="329" t="s">
        <v>67</v>
      </c>
      <c r="P330" s="330">
        <f t="shared" si="16"/>
        <v>7</v>
      </c>
      <c r="Q330" s="330">
        <f t="shared" si="17"/>
        <v>7</v>
      </c>
      <c r="R330" s="331" t="str">
        <f t="shared" si="18"/>
        <v>Gastos_Gerais</v>
      </c>
      <c r="S330" s="331" t="str">
        <f>IF(D330="","",IF(OR(D330=Plano!$A$1,D330=Plano!$B$1),"entrada","saída"))</f>
        <v>saída</v>
      </c>
      <c r="T330" s="332" t="s">
        <v>114</v>
      </c>
      <c r="U330" s="332" t="s">
        <v>114</v>
      </c>
      <c r="V330" s="269"/>
      <c r="W330" s="269"/>
      <c r="X330" s="269"/>
      <c r="Y330" s="269"/>
      <c r="Z330" s="269"/>
      <c r="AA330" s="269"/>
      <c r="AB330" s="269"/>
      <c r="AC330" s="269"/>
      <c r="AD330" s="269"/>
      <c r="AE330" s="269"/>
      <c r="AF330" s="269"/>
      <c r="AG330" s="269"/>
      <c r="AH330" s="269"/>
      <c r="AI330" s="269"/>
      <c r="AJ330" s="269"/>
      <c r="AK330" s="269"/>
      <c r="AL330" s="269"/>
      <c r="AM330" s="269"/>
    </row>
    <row r="331" spans="1:39" ht="40.5" customHeight="1" x14ac:dyDescent="0.2">
      <c r="A331" s="277">
        <f>IF(B331="","",COUNT('Diário 5º PA'!$A$5:$A$2634)+COUNT('Diário 6º PA'!$A$5:$A$2246)+ROW()-4)</f>
        <v>2870</v>
      </c>
      <c r="B331" s="278">
        <v>44397</v>
      </c>
      <c r="C331" s="249">
        <v>44317</v>
      </c>
      <c r="D331" s="250" t="s">
        <v>104</v>
      </c>
      <c r="E331" s="250" t="s">
        <v>104</v>
      </c>
      <c r="F331" s="251">
        <v>24.08</v>
      </c>
      <c r="G331" s="452" t="s">
        <v>1503</v>
      </c>
      <c r="H331" s="250" t="s">
        <v>104</v>
      </c>
      <c r="I331" s="252" t="s">
        <v>488</v>
      </c>
      <c r="J331" s="250" t="s">
        <v>114</v>
      </c>
      <c r="K331" s="250" t="s">
        <v>466</v>
      </c>
      <c r="L331" s="250" t="s">
        <v>489</v>
      </c>
      <c r="M331" s="336" t="s">
        <v>114</v>
      </c>
      <c r="N331" s="278">
        <v>44377</v>
      </c>
      <c r="O331" s="329" t="s">
        <v>68</v>
      </c>
      <c r="P331" s="330">
        <f t="shared" si="16"/>
        <v>7</v>
      </c>
      <c r="Q331" s="330">
        <f t="shared" si="17"/>
        <v>5</v>
      </c>
      <c r="R331" s="331" t="str">
        <f t="shared" si="18"/>
        <v>Gastos_custeados_por_captação</v>
      </c>
      <c r="S331" s="331" t="str">
        <f>IF(D331="","",IF(OR(D331=Plano!$A$1,D331=Plano!$B$1),"entrada","saída"))</f>
        <v>saída</v>
      </c>
      <c r="T331" s="332" t="s">
        <v>114</v>
      </c>
      <c r="U331" s="332" t="s">
        <v>114</v>
      </c>
      <c r="V331" s="269"/>
      <c r="W331" s="269"/>
      <c r="X331" s="269"/>
      <c r="Y331" s="269"/>
      <c r="Z331" s="269"/>
      <c r="AA331" s="269"/>
      <c r="AB331" s="269"/>
      <c r="AC331" s="269"/>
      <c r="AD331" s="269"/>
      <c r="AE331" s="269"/>
      <c r="AF331" s="269"/>
      <c r="AG331" s="269"/>
      <c r="AH331" s="269"/>
      <c r="AI331" s="269"/>
      <c r="AJ331" s="269"/>
      <c r="AK331" s="269"/>
      <c r="AL331" s="269"/>
      <c r="AM331" s="269"/>
    </row>
    <row r="332" spans="1:39" ht="40.5" customHeight="1" x14ac:dyDescent="0.2">
      <c r="A332" s="277">
        <f>IF(B332="","",COUNT('Diário 5º PA'!$A$5:$A$2634)+COUNT('Diário 6º PA'!$A$5:$A$2246)+ROW()-4)</f>
        <v>2871</v>
      </c>
      <c r="B332" s="278">
        <v>44397</v>
      </c>
      <c r="C332" s="249">
        <v>44317</v>
      </c>
      <c r="D332" s="250" t="s">
        <v>104</v>
      </c>
      <c r="E332" s="250" t="s">
        <v>104</v>
      </c>
      <c r="F332" s="251">
        <v>24.08</v>
      </c>
      <c r="G332" s="452" t="s">
        <v>1504</v>
      </c>
      <c r="H332" s="250" t="s">
        <v>104</v>
      </c>
      <c r="I332" s="252" t="s">
        <v>488</v>
      </c>
      <c r="J332" s="250" t="s">
        <v>114</v>
      </c>
      <c r="K332" s="250" t="s">
        <v>466</v>
      </c>
      <c r="L332" s="250" t="s">
        <v>489</v>
      </c>
      <c r="M332" s="336" t="s">
        <v>114</v>
      </c>
      <c r="N332" s="278">
        <v>44377</v>
      </c>
      <c r="O332" s="329" t="s">
        <v>68</v>
      </c>
      <c r="P332" s="330">
        <f t="shared" si="16"/>
        <v>7</v>
      </c>
      <c r="Q332" s="330">
        <f t="shared" si="17"/>
        <v>5</v>
      </c>
      <c r="R332" s="331" t="str">
        <f t="shared" si="18"/>
        <v>Gastos_custeados_por_captação</v>
      </c>
      <c r="S332" s="331" t="str">
        <f>IF(D332="","",IF(OR(D332=Plano!$A$1,D332=Plano!$B$1),"entrada","saída"))</f>
        <v>saída</v>
      </c>
      <c r="T332" s="332" t="s">
        <v>114</v>
      </c>
      <c r="U332" s="332" t="s">
        <v>114</v>
      </c>
      <c r="V332" s="269"/>
      <c r="W332" s="269"/>
      <c r="X332" s="269"/>
      <c r="Y332" s="269"/>
      <c r="Z332" s="269"/>
      <c r="AA332" s="269"/>
      <c r="AB332" s="269"/>
      <c r="AC332" s="269"/>
      <c r="AD332" s="269"/>
      <c r="AE332" s="269"/>
      <c r="AF332" s="269"/>
      <c r="AG332" s="269"/>
      <c r="AH332" s="269"/>
      <c r="AI332" s="269"/>
      <c r="AJ332" s="269"/>
      <c r="AK332" s="269"/>
      <c r="AL332" s="269"/>
      <c r="AM332" s="269"/>
    </row>
    <row r="333" spans="1:39" ht="40.5" customHeight="1" x14ac:dyDescent="0.2">
      <c r="A333" s="277">
        <f>IF(B333="","",COUNT('Diário 5º PA'!$A$5:$A$2634)+COUNT('Diário 6º PA'!$A$5:$A$2246)+ROW()-4)</f>
        <v>2872</v>
      </c>
      <c r="B333" s="278">
        <v>44397</v>
      </c>
      <c r="C333" s="249">
        <v>44317</v>
      </c>
      <c r="D333" s="250" t="s">
        <v>104</v>
      </c>
      <c r="E333" s="250" t="s">
        <v>104</v>
      </c>
      <c r="F333" s="251">
        <v>24.08</v>
      </c>
      <c r="G333" s="452" t="s">
        <v>1505</v>
      </c>
      <c r="H333" s="250" t="s">
        <v>104</v>
      </c>
      <c r="I333" s="252" t="s">
        <v>488</v>
      </c>
      <c r="J333" s="250" t="s">
        <v>114</v>
      </c>
      <c r="K333" s="250" t="s">
        <v>466</v>
      </c>
      <c r="L333" s="250" t="s">
        <v>489</v>
      </c>
      <c r="M333" s="336" t="s">
        <v>114</v>
      </c>
      <c r="N333" s="278">
        <v>44377</v>
      </c>
      <c r="O333" s="329" t="s">
        <v>68</v>
      </c>
      <c r="P333" s="330">
        <f t="shared" si="16"/>
        <v>7</v>
      </c>
      <c r="Q333" s="330">
        <f t="shared" si="17"/>
        <v>5</v>
      </c>
      <c r="R333" s="331" t="str">
        <f t="shared" si="18"/>
        <v>Gastos_custeados_por_captação</v>
      </c>
      <c r="S333" s="331" t="str">
        <f>IF(D333="","",IF(OR(D333=Plano!$A$1,D333=Plano!$B$1),"entrada","saída"))</f>
        <v>saída</v>
      </c>
      <c r="T333" s="332" t="s">
        <v>114</v>
      </c>
      <c r="U333" s="332" t="s">
        <v>114</v>
      </c>
      <c r="V333" s="269"/>
      <c r="W333" s="269"/>
      <c r="X333" s="269"/>
      <c r="Y333" s="269"/>
      <c r="Z333" s="269"/>
      <c r="AA333" s="269"/>
      <c r="AB333" s="269"/>
      <c r="AC333" s="269"/>
      <c r="AD333" s="269"/>
      <c r="AE333" s="269"/>
      <c r="AF333" s="269"/>
      <c r="AG333" s="269"/>
      <c r="AH333" s="269"/>
      <c r="AI333" s="269"/>
      <c r="AJ333" s="269"/>
      <c r="AK333" s="269"/>
      <c r="AL333" s="269"/>
      <c r="AM333" s="269"/>
    </row>
    <row r="334" spans="1:39" ht="40.5" customHeight="1" x14ac:dyDescent="0.2">
      <c r="A334" s="277">
        <f>IF(B334="","",COUNT('Diário 5º PA'!$A$5:$A$2634)+COUNT('Diário 6º PA'!$A$5:$A$2246)+ROW()-4)</f>
        <v>2873</v>
      </c>
      <c r="B334" s="278">
        <v>44397</v>
      </c>
      <c r="C334" s="249">
        <v>44317</v>
      </c>
      <c r="D334" s="250" t="s">
        <v>104</v>
      </c>
      <c r="E334" s="250" t="s">
        <v>104</v>
      </c>
      <c r="F334" s="251">
        <v>775</v>
      </c>
      <c r="G334" s="452" t="s">
        <v>1506</v>
      </c>
      <c r="H334" s="250" t="s">
        <v>104</v>
      </c>
      <c r="I334" s="252" t="s">
        <v>530</v>
      </c>
      <c r="J334" s="250" t="s">
        <v>114</v>
      </c>
      <c r="K334" s="250" t="s">
        <v>466</v>
      </c>
      <c r="L334" s="250" t="s">
        <v>547</v>
      </c>
      <c r="M334" s="336" t="s">
        <v>114</v>
      </c>
      <c r="N334" s="278">
        <v>44377</v>
      </c>
      <c r="O334" s="329" t="s">
        <v>68</v>
      </c>
      <c r="P334" s="330">
        <f t="shared" si="16"/>
        <v>7</v>
      </c>
      <c r="Q334" s="330">
        <f t="shared" si="17"/>
        <v>5</v>
      </c>
      <c r="R334" s="331" t="str">
        <f t="shared" si="18"/>
        <v>Gastos_custeados_por_captação</v>
      </c>
      <c r="S334" s="331" t="str">
        <f>IF(D334="","",IF(OR(D334=Plano!$A$1,D334=Plano!$B$1),"entrada","saída"))</f>
        <v>saída</v>
      </c>
      <c r="T334" s="332" t="s">
        <v>114</v>
      </c>
      <c r="U334" s="332" t="s">
        <v>114</v>
      </c>
      <c r="V334" s="269"/>
      <c r="W334" s="269"/>
      <c r="X334" s="269"/>
      <c r="Y334" s="269"/>
      <c r="Z334" s="269"/>
      <c r="AA334" s="269"/>
      <c r="AB334" s="269"/>
      <c r="AC334" s="269"/>
      <c r="AD334" s="269"/>
      <c r="AE334" s="269"/>
      <c r="AF334" s="269"/>
      <c r="AG334" s="269"/>
      <c r="AH334" s="269"/>
      <c r="AI334" s="269"/>
      <c r="AJ334" s="269"/>
      <c r="AK334" s="269"/>
      <c r="AL334" s="269"/>
      <c r="AM334" s="269"/>
    </row>
    <row r="335" spans="1:39" ht="40.5" customHeight="1" x14ac:dyDescent="0.2">
      <c r="A335" s="277">
        <f>IF(B335="","",COUNT('Diário 5º PA'!$A$5:$A$2634)+COUNT('Diário 6º PA'!$A$5:$A$2246)+ROW()-4)</f>
        <v>2874</v>
      </c>
      <c r="B335" s="278">
        <v>44397</v>
      </c>
      <c r="C335" s="249">
        <v>44317</v>
      </c>
      <c r="D335" s="250" t="s">
        <v>104</v>
      </c>
      <c r="E335" s="250" t="s">
        <v>104</v>
      </c>
      <c r="F335" s="251">
        <v>775</v>
      </c>
      <c r="G335" s="452" t="s">
        <v>1507</v>
      </c>
      <c r="H335" s="250" t="s">
        <v>104</v>
      </c>
      <c r="I335" s="252" t="s">
        <v>530</v>
      </c>
      <c r="J335" s="250" t="s">
        <v>114</v>
      </c>
      <c r="K335" s="250" t="s">
        <v>466</v>
      </c>
      <c r="L335" s="250" t="s">
        <v>547</v>
      </c>
      <c r="M335" s="336" t="s">
        <v>114</v>
      </c>
      <c r="N335" s="278">
        <v>44377</v>
      </c>
      <c r="O335" s="329" t="s">
        <v>68</v>
      </c>
      <c r="P335" s="330">
        <f t="shared" si="16"/>
        <v>7</v>
      </c>
      <c r="Q335" s="330">
        <f t="shared" si="17"/>
        <v>5</v>
      </c>
      <c r="R335" s="331" t="str">
        <f t="shared" si="18"/>
        <v>Gastos_custeados_por_captação</v>
      </c>
      <c r="S335" s="331" t="str">
        <f>IF(D335="","",IF(OR(D335=Plano!$A$1,D335=Plano!$B$1),"entrada","saída"))</f>
        <v>saída</v>
      </c>
      <c r="T335" s="332" t="s">
        <v>114</v>
      </c>
      <c r="U335" s="332" t="s">
        <v>114</v>
      </c>
      <c r="V335" s="269"/>
      <c r="W335" s="269"/>
      <c r="X335" s="269"/>
      <c r="Y335" s="269"/>
      <c r="Z335" s="269"/>
      <c r="AA335" s="269"/>
      <c r="AB335" s="269"/>
      <c r="AC335" s="269"/>
      <c r="AD335" s="269"/>
      <c r="AE335" s="269"/>
      <c r="AF335" s="269"/>
      <c r="AG335" s="269"/>
      <c r="AH335" s="269"/>
      <c r="AI335" s="269"/>
      <c r="AJ335" s="269"/>
      <c r="AK335" s="269"/>
      <c r="AL335" s="269"/>
      <c r="AM335" s="269"/>
    </row>
    <row r="336" spans="1:39" ht="40.5" customHeight="1" x14ac:dyDescent="0.2">
      <c r="A336" s="277">
        <f>IF(B336="","",COUNT('Diário 5º PA'!$A$5:$A$2634)+COUNT('Diário 6º PA'!$A$5:$A$2246)+ROW()-4)</f>
        <v>2875</v>
      </c>
      <c r="B336" s="278">
        <v>44397</v>
      </c>
      <c r="C336" s="249">
        <v>44317</v>
      </c>
      <c r="D336" s="250" t="s">
        <v>104</v>
      </c>
      <c r="E336" s="250" t="s">
        <v>104</v>
      </c>
      <c r="F336" s="251">
        <v>775</v>
      </c>
      <c r="G336" s="452" t="s">
        <v>1508</v>
      </c>
      <c r="H336" s="250" t="s">
        <v>104</v>
      </c>
      <c r="I336" s="252" t="s">
        <v>530</v>
      </c>
      <c r="J336" s="250" t="s">
        <v>114</v>
      </c>
      <c r="K336" s="250" t="s">
        <v>466</v>
      </c>
      <c r="L336" s="250" t="s">
        <v>547</v>
      </c>
      <c r="M336" s="336" t="s">
        <v>114</v>
      </c>
      <c r="N336" s="278">
        <v>44377</v>
      </c>
      <c r="O336" s="329" t="s">
        <v>68</v>
      </c>
      <c r="P336" s="330">
        <f t="shared" si="16"/>
        <v>7</v>
      </c>
      <c r="Q336" s="330">
        <f t="shared" si="17"/>
        <v>5</v>
      </c>
      <c r="R336" s="331" t="str">
        <f t="shared" si="18"/>
        <v>Gastos_custeados_por_captação</v>
      </c>
      <c r="S336" s="331" t="str">
        <f>IF(D336="","",IF(OR(D336=Plano!$A$1,D336=Plano!$B$1),"entrada","saída"))</f>
        <v>saída</v>
      </c>
      <c r="T336" s="332" t="s">
        <v>114</v>
      </c>
      <c r="U336" s="332" t="s">
        <v>114</v>
      </c>
      <c r="V336" s="269"/>
      <c r="W336" s="269"/>
      <c r="X336" s="269"/>
      <c r="Y336" s="269"/>
      <c r="Z336" s="269"/>
      <c r="AA336" s="269"/>
      <c r="AB336" s="269"/>
      <c r="AC336" s="269"/>
      <c r="AD336" s="269"/>
      <c r="AE336" s="269"/>
      <c r="AF336" s="269"/>
      <c r="AG336" s="269"/>
      <c r="AH336" s="269"/>
      <c r="AI336" s="269"/>
      <c r="AJ336" s="269"/>
      <c r="AK336" s="269"/>
      <c r="AL336" s="269"/>
      <c r="AM336" s="269"/>
    </row>
    <row r="337" spans="1:39" ht="40.5" customHeight="1" x14ac:dyDescent="0.2">
      <c r="A337" s="277">
        <f>IF(B337="","",COUNT('Diário 5º PA'!$A$5:$A$2634)+COUNT('Diário 6º PA'!$A$5:$A$2246)+ROW()-4)</f>
        <v>2876</v>
      </c>
      <c r="B337" s="278">
        <v>44397</v>
      </c>
      <c r="C337" s="249">
        <v>44317</v>
      </c>
      <c r="D337" s="250" t="s">
        <v>104</v>
      </c>
      <c r="E337" s="250" t="s">
        <v>104</v>
      </c>
      <c r="F337" s="251">
        <v>775</v>
      </c>
      <c r="G337" s="452" t="s">
        <v>1509</v>
      </c>
      <c r="H337" s="250" t="s">
        <v>104</v>
      </c>
      <c r="I337" s="252" t="s">
        <v>530</v>
      </c>
      <c r="J337" s="250" t="s">
        <v>114</v>
      </c>
      <c r="K337" s="250" t="s">
        <v>466</v>
      </c>
      <c r="L337" s="250" t="s">
        <v>547</v>
      </c>
      <c r="M337" s="336" t="s">
        <v>114</v>
      </c>
      <c r="N337" s="278">
        <v>44377</v>
      </c>
      <c r="O337" s="329" t="s">
        <v>69</v>
      </c>
      <c r="P337" s="330">
        <f t="shared" si="16"/>
        <v>7</v>
      </c>
      <c r="Q337" s="330">
        <f t="shared" si="17"/>
        <v>5</v>
      </c>
      <c r="R337" s="331" t="str">
        <f t="shared" si="18"/>
        <v>Gastos_custeados_por_captação</v>
      </c>
      <c r="S337" s="331" t="str">
        <f>IF(D337="","",IF(OR(D337=Plano!$A$1,D337=Plano!$B$1),"entrada","saída"))</f>
        <v>saída</v>
      </c>
      <c r="T337" s="332" t="s">
        <v>114</v>
      </c>
      <c r="U337" s="332" t="s">
        <v>114</v>
      </c>
      <c r="V337" s="269"/>
      <c r="W337" s="269"/>
      <c r="X337" s="269"/>
      <c r="Y337" s="269"/>
      <c r="Z337" s="269"/>
      <c r="AA337" s="269"/>
      <c r="AB337" s="269"/>
      <c r="AC337" s="269"/>
      <c r="AD337" s="269"/>
      <c r="AE337" s="269"/>
      <c r="AF337" s="269"/>
      <c r="AG337" s="269"/>
      <c r="AH337" s="269"/>
      <c r="AI337" s="269"/>
      <c r="AJ337" s="269"/>
      <c r="AK337" s="269"/>
      <c r="AL337" s="269"/>
      <c r="AM337" s="269"/>
    </row>
    <row r="338" spans="1:39" ht="40.5" customHeight="1" x14ac:dyDescent="0.2">
      <c r="A338" s="277">
        <f>IF(B338="","",COUNT('Diário 5º PA'!$A$5:$A$2634)+COUNT('Diário 6º PA'!$A$5:$A$2246)+ROW()-4)</f>
        <v>2877</v>
      </c>
      <c r="B338" s="278">
        <v>44397</v>
      </c>
      <c r="C338" s="249">
        <v>44317</v>
      </c>
      <c r="D338" s="250" t="s">
        <v>104</v>
      </c>
      <c r="E338" s="250" t="s">
        <v>104</v>
      </c>
      <c r="F338" s="251">
        <v>24.08</v>
      </c>
      <c r="G338" s="452" t="s">
        <v>1510</v>
      </c>
      <c r="H338" s="250" t="s">
        <v>104</v>
      </c>
      <c r="I338" s="252" t="s">
        <v>488</v>
      </c>
      <c r="J338" s="250" t="s">
        <v>114</v>
      </c>
      <c r="K338" s="250" t="s">
        <v>466</v>
      </c>
      <c r="L338" s="250" t="s">
        <v>489</v>
      </c>
      <c r="M338" s="336" t="s">
        <v>114</v>
      </c>
      <c r="N338" s="278">
        <v>44377</v>
      </c>
      <c r="O338" s="329" t="s">
        <v>69</v>
      </c>
      <c r="P338" s="330">
        <f t="shared" si="16"/>
        <v>7</v>
      </c>
      <c r="Q338" s="330">
        <f t="shared" si="17"/>
        <v>5</v>
      </c>
      <c r="R338" s="331" t="str">
        <f t="shared" si="18"/>
        <v>Gastos_custeados_por_captação</v>
      </c>
      <c r="S338" s="331" t="str">
        <f>IF(D338="","",IF(OR(D338=Plano!$A$1,D338=Plano!$B$1),"entrada","saída"))</f>
        <v>saída</v>
      </c>
      <c r="T338" s="332" t="s">
        <v>114</v>
      </c>
      <c r="U338" s="332" t="s">
        <v>114</v>
      </c>
      <c r="V338" s="269"/>
      <c r="W338" s="269"/>
      <c r="X338" s="269"/>
      <c r="Y338" s="269"/>
      <c r="Z338" s="269"/>
      <c r="AA338" s="269"/>
      <c r="AB338" s="269"/>
      <c r="AC338" s="269"/>
      <c r="AD338" s="269"/>
      <c r="AE338" s="269"/>
      <c r="AF338" s="269"/>
      <c r="AG338" s="269"/>
      <c r="AH338" s="269"/>
      <c r="AI338" s="269"/>
      <c r="AJ338" s="269"/>
      <c r="AK338" s="269"/>
      <c r="AL338" s="269"/>
      <c r="AM338" s="269"/>
    </row>
    <row r="339" spans="1:39" ht="96" customHeight="1" x14ac:dyDescent="0.2">
      <c r="A339" s="277">
        <f>IF(B339="","",COUNT('Diário 5º PA'!$A$5:$A$2634)+COUNT('Diário 6º PA'!$A$5:$A$2246)+ROW()-4)</f>
        <v>2878</v>
      </c>
      <c r="B339" s="278">
        <v>44397</v>
      </c>
      <c r="C339" s="249">
        <v>44287</v>
      </c>
      <c r="D339" s="250" t="s">
        <v>104</v>
      </c>
      <c r="E339" s="250" t="s">
        <v>104</v>
      </c>
      <c r="F339" s="251">
        <v>3000</v>
      </c>
      <c r="G339" s="452" t="s">
        <v>1511</v>
      </c>
      <c r="H339" s="250" t="s">
        <v>104</v>
      </c>
      <c r="I339" s="252" t="s">
        <v>1512</v>
      </c>
      <c r="J339" s="250" t="s">
        <v>1513</v>
      </c>
      <c r="K339" s="250" t="s">
        <v>991</v>
      </c>
      <c r="L339" s="250" t="s">
        <v>1177</v>
      </c>
      <c r="M339" s="336" t="s">
        <v>114</v>
      </c>
      <c r="N339" s="278">
        <v>44396</v>
      </c>
      <c r="O339" s="329" t="s">
        <v>70</v>
      </c>
      <c r="P339" s="330">
        <f t="shared" si="16"/>
        <v>7</v>
      </c>
      <c r="Q339" s="330">
        <f t="shared" si="17"/>
        <v>4</v>
      </c>
      <c r="R339" s="331" t="str">
        <f t="shared" si="18"/>
        <v>Gastos_custeados_por_captação</v>
      </c>
      <c r="S339" s="331" t="str">
        <f>IF(D339="","",IF(OR(D339=Plano!$A$1,D339=Plano!$B$1),"entrada","saída"))</f>
        <v>saída</v>
      </c>
      <c r="T339" s="332" t="s">
        <v>994</v>
      </c>
      <c r="U339" s="332">
        <v>1482</v>
      </c>
      <c r="V339" s="269"/>
      <c r="W339" s="269"/>
      <c r="X339" s="269"/>
      <c r="Y339" s="269"/>
      <c r="Z339" s="269"/>
      <c r="AA339" s="269"/>
      <c r="AB339" s="269"/>
      <c r="AC339" s="269"/>
      <c r="AD339" s="269"/>
      <c r="AE339" s="269"/>
      <c r="AF339" s="269"/>
      <c r="AG339" s="269"/>
      <c r="AH339" s="269"/>
      <c r="AI339" s="269"/>
      <c r="AJ339" s="269"/>
      <c r="AK339" s="269"/>
      <c r="AL339" s="269"/>
      <c r="AM339" s="269"/>
    </row>
    <row r="340" spans="1:39" ht="40.5" customHeight="1" x14ac:dyDescent="0.2">
      <c r="A340" s="277">
        <f>IF(B340="","",COUNT('Diário 5º PA'!$A$5:$A$2634)+COUNT('Diário 6º PA'!$A$5:$A$2246)+ROW()-4)</f>
        <v>2879</v>
      </c>
      <c r="B340" s="278">
        <v>44397</v>
      </c>
      <c r="C340" s="249">
        <v>44317</v>
      </c>
      <c r="D340" s="250" t="s">
        <v>104</v>
      </c>
      <c r="E340" s="250" t="s">
        <v>104</v>
      </c>
      <c r="F340" s="251">
        <v>24.08</v>
      </c>
      <c r="G340" s="452" t="s">
        <v>1514</v>
      </c>
      <c r="H340" s="250" t="s">
        <v>104</v>
      </c>
      <c r="I340" s="252" t="s">
        <v>488</v>
      </c>
      <c r="J340" s="250" t="s">
        <v>114</v>
      </c>
      <c r="K340" s="250" t="s">
        <v>466</v>
      </c>
      <c r="L340" s="250" t="s">
        <v>489</v>
      </c>
      <c r="M340" s="336" t="s">
        <v>114</v>
      </c>
      <c r="N340" s="278">
        <v>44377</v>
      </c>
      <c r="O340" s="329" t="s">
        <v>70</v>
      </c>
      <c r="P340" s="330">
        <f t="shared" si="16"/>
        <v>7</v>
      </c>
      <c r="Q340" s="330">
        <f t="shared" si="17"/>
        <v>5</v>
      </c>
      <c r="R340" s="331" t="str">
        <f t="shared" si="18"/>
        <v>Gastos_custeados_por_captação</v>
      </c>
      <c r="S340" s="331" t="str">
        <f>IF(D340="","",IF(OR(D340=Plano!$A$1,D340=Plano!$B$1),"entrada","saída"))</f>
        <v>saída</v>
      </c>
      <c r="T340" s="332" t="s">
        <v>114</v>
      </c>
      <c r="U340" s="332" t="s">
        <v>114</v>
      </c>
      <c r="V340" s="269"/>
      <c r="W340" s="269"/>
      <c r="X340" s="269"/>
      <c r="Y340" s="269"/>
      <c r="Z340" s="269"/>
      <c r="AA340" s="269"/>
      <c r="AB340" s="269"/>
      <c r="AC340" s="269"/>
      <c r="AD340" s="269"/>
      <c r="AE340" s="269"/>
      <c r="AF340" s="269"/>
      <c r="AG340" s="269"/>
      <c r="AH340" s="269"/>
      <c r="AI340" s="269"/>
      <c r="AJ340" s="269"/>
      <c r="AK340" s="269"/>
      <c r="AL340" s="269"/>
      <c r="AM340" s="269"/>
    </row>
    <row r="341" spans="1:39" ht="40.5" customHeight="1" x14ac:dyDescent="0.2">
      <c r="A341" s="277">
        <f>IF(B341="","",COUNT('Diário 5º PA'!$A$5:$A$2634)+COUNT('Diário 6º PA'!$A$5:$A$2246)+ROW()-4)</f>
        <v>2880</v>
      </c>
      <c r="B341" s="278">
        <v>44397</v>
      </c>
      <c r="C341" s="249">
        <v>44317</v>
      </c>
      <c r="D341" s="250" t="s">
        <v>104</v>
      </c>
      <c r="E341" s="250" t="s">
        <v>104</v>
      </c>
      <c r="F341" s="251">
        <v>775</v>
      </c>
      <c r="G341" s="452" t="s">
        <v>1515</v>
      </c>
      <c r="H341" s="250" t="s">
        <v>104</v>
      </c>
      <c r="I341" s="252" t="s">
        <v>530</v>
      </c>
      <c r="J341" s="250" t="s">
        <v>114</v>
      </c>
      <c r="K341" s="250" t="s">
        <v>466</v>
      </c>
      <c r="L341" s="250" t="s">
        <v>547</v>
      </c>
      <c r="M341" s="336" t="s">
        <v>114</v>
      </c>
      <c r="N341" s="278">
        <v>44377</v>
      </c>
      <c r="O341" s="329" t="s">
        <v>70</v>
      </c>
      <c r="P341" s="330">
        <f t="shared" si="16"/>
        <v>7</v>
      </c>
      <c r="Q341" s="330">
        <f t="shared" si="17"/>
        <v>5</v>
      </c>
      <c r="R341" s="331" t="str">
        <f t="shared" si="18"/>
        <v>Gastos_custeados_por_captação</v>
      </c>
      <c r="S341" s="331" t="str">
        <f>IF(D341="","",IF(OR(D341=Plano!$A$1,D341=Plano!$B$1),"entrada","saída"))</f>
        <v>saída</v>
      </c>
      <c r="T341" s="332" t="s">
        <v>114</v>
      </c>
      <c r="U341" s="332" t="s">
        <v>114</v>
      </c>
      <c r="V341" s="269"/>
      <c r="W341" s="269"/>
      <c r="X341" s="269"/>
      <c r="Y341" s="269"/>
      <c r="Z341" s="269"/>
      <c r="AA341" s="269"/>
      <c r="AB341" s="269"/>
      <c r="AC341" s="269"/>
      <c r="AD341" s="269"/>
      <c r="AE341" s="269"/>
      <c r="AF341" s="269"/>
      <c r="AG341" s="269"/>
      <c r="AH341" s="269"/>
      <c r="AI341" s="269"/>
      <c r="AJ341" s="269"/>
      <c r="AK341" s="269"/>
      <c r="AL341" s="269"/>
      <c r="AM341" s="269"/>
    </row>
    <row r="342" spans="1:39" ht="170.25" customHeight="1" x14ac:dyDescent="0.2">
      <c r="A342" s="277">
        <f>IF(B342="","",COUNT('Diário 5º PA'!$A$5:$A$2634)+COUNT('Diário 6º PA'!$A$5:$A$2246)+ROW()-4)</f>
        <v>2881</v>
      </c>
      <c r="B342" s="278">
        <v>44398</v>
      </c>
      <c r="C342" s="249">
        <v>44348</v>
      </c>
      <c r="D342" s="250" t="s">
        <v>99</v>
      </c>
      <c r="E342" s="250" t="s">
        <v>330</v>
      </c>
      <c r="F342" s="251">
        <v>3322.1</v>
      </c>
      <c r="G342" s="452" t="s">
        <v>1516</v>
      </c>
      <c r="H342" s="250" t="s">
        <v>123</v>
      </c>
      <c r="I342" s="252" t="s">
        <v>1517</v>
      </c>
      <c r="J342" s="250" t="s">
        <v>1518</v>
      </c>
      <c r="K342" s="255" t="s">
        <v>991</v>
      </c>
      <c r="L342" s="250" t="s">
        <v>1029</v>
      </c>
      <c r="M342" s="277">
        <v>1240</v>
      </c>
      <c r="N342" s="278">
        <v>44397</v>
      </c>
      <c r="O342" s="329" t="s">
        <v>67</v>
      </c>
      <c r="P342" s="330">
        <f t="shared" si="16"/>
        <v>7</v>
      </c>
      <c r="Q342" s="330">
        <f t="shared" si="17"/>
        <v>6</v>
      </c>
      <c r="R342" s="331" t="str">
        <f t="shared" si="18"/>
        <v>Gastos_Gerais</v>
      </c>
      <c r="S342" s="331" t="str">
        <f>IF(D342="","",IF(OR(D342=Plano!$A$1,D342=Plano!$B$1),"entrada","saída"))</f>
        <v>saída</v>
      </c>
      <c r="T342" s="334" t="s">
        <v>994</v>
      </c>
      <c r="U342" s="334">
        <v>1577</v>
      </c>
      <c r="V342" s="269"/>
      <c r="W342" s="269"/>
      <c r="X342" s="269"/>
      <c r="Y342" s="269"/>
      <c r="Z342" s="269"/>
      <c r="AA342" s="269"/>
      <c r="AB342" s="269"/>
      <c r="AC342" s="269"/>
      <c r="AD342" s="269"/>
      <c r="AE342" s="269"/>
      <c r="AF342" s="269"/>
      <c r="AG342" s="269"/>
      <c r="AH342" s="269"/>
      <c r="AI342" s="269"/>
      <c r="AJ342" s="269"/>
      <c r="AK342" s="269"/>
      <c r="AL342" s="269"/>
      <c r="AM342" s="269"/>
    </row>
    <row r="343" spans="1:39" ht="36.75" customHeight="1" x14ac:dyDescent="0.2">
      <c r="A343" s="277">
        <f>IF(B343="","",COUNT('Diário 5º PA'!$A$5:$A$2634)+COUNT('Diário 6º PA'!$A$5:$A$2246)+ROW()-4)</f>
        <v>2882</v>
      </c>
      <c r="B343" s="278">
        <v>44398</v>
      </c>
      <c r="C343" s="335">
        <v>44378</v>
      </c>
      <c r="D343" s="255" t="s">
        <v>99</v>
      </c>
      <c r="E343" s="255" t="s">
        <v>272</v>
      </c>
      <c r="F343" s="258">
        <v>10.45</v>
      </c>
      <c r="G343" s="450" t="s">
        <v>1519</v>
      </c>
      <c r="H343" s="250" t="s">
        <v>123</v>
      </c>
      <c r="I343" s="250" t="s">
        <v>949</v>
      </c>
      <c r="J343" s="255" t="s">
        <v>950</v>
      </c>
      <c r="K343" s="255" t="s">
        <v>951</v>
      </c>
      <c r="L343" s="250" t="s">
        <v>947</v>
      </c>
      <c r="M343" s="336" t="s">
        <v>114</v>
      </c>
      <c r="N343" s="278">
        <v>44398</v>
      </c>
      <c r="O343" s="329" t="s">
        <v>67</v>
      </c>
      <c r="P343" s="330">
        <f t="shared" si="16"/>
        <v>7</v>
      </c>
      <c r="Q343" s="330">
        <f t="shared" si="17"/>
        <v>7</v>
      </c>
      <c r="R343" s="331" t="str">
        <f t="shared" si="18"/>
        <v>Gastos_Gerais</v>
      </c>
      <c r="S343" s="331" t="str">
        <f>IF(D343="","",IF(OR(D343=Plano!$A$1,D343=Plano!$B$1),"entrada","saída"))</f>
        <v>saída</v>
      </c>
      <c r="T343" s="332" t="s">
        <v>114</v>
      </c>
      <c r="U343" s="332" t="s">
        <v>114</v>
      </c>
      <c r="V343" s="269"/>
      <c r="W343" s="269"/>
      <c r="X343" s="269"/>
      <c r="Y343" s="269"/>
      <c r="Z343" s="269"/>
      <c r="AA343" s="269"/>
      <c r="AB343" s="269"/>
      <c r="AC343" s="269"/>
      <c r="AD343" s="269"/>
      <c r="AE343" s="269"/>
      <c r="AF343" s="269"/>
      <c r="AG343" s="269"/>
      <c r="AH343" s="269"/>
      <c r="AI343" s="269"/>
      <c r="AJ343" s="269"/>
      <c r="AK343" s="269"/>
      <c r="AL343" s="269"/>
      <c r="AM343" s="269"/>
    </row>
    <row r="344" spans="1:39" ht="60" customHeight="1" x14ac:dyDescent="0.2">
      <c r="A344" s="277">
        <f>IF(B344="","",COUNT('Diário 5º PA'!$A$5:$A$2634)+COUNT('Diário 6º PA'!$A$5:$A$2246)+ROW()-4)</f>
        <v>2883</v>
      </c>
      <c r="B344" s="278">
        <v>44399</v>
      </c>
      <c r="C344" s="335">
        <v>44378</v>
      </c>
      <c r="D344" s="255" t="s">
        <v>77</v>
      </c>
      <c r="E344" s="255" t="s">
        <v>83</v>
      </c>
      <c r="F344" s="258">
        <v>5040</v>
      </c>
      <c r="G344" s="450" t="s">
        <v>1520</v>
      </c>
      <c r="H344" s="255" t="s">
        <v>114</v>
      </c>
      <c r="I344" s="250" t="s">
        <v>983</v>
      </c>
      <c r="J344" s="255" t="s">
        <v>850</v>
      </c>
      <c r="K344" s="255" t="s">
        <v>946</v>
      </c>
      <c r="L344" s="250" t="s">
        <v>947</v>
      </c>
      <c r="M344" s="277" t="s">
        <v>114</v>
      </c>
      <c r="N344" s="278">
        <v>44397</v>
      </c>
      <c r="O344" s="329" t="s">
        <v>67</v>
      </c>
      <c r="P344" s="330">
        <f t="shared" si="16"/>
        <v>7</v>
      </c>
      <c r="Q344" s="330">
        <f t="shared" si="17"/>
        <v>7</v>
      </c>
      <c r="R344" s="331" t="str">
        <f t="shared" si="18"/>
        <v>Receitas</v>
      </c>
      <c r="S344" s="331" t="str">
        <f>IF(D344="","",IF(OR(D344=Plano!$A$1,D344=Plano!$B$1),"entrada","saída"))</f>
        <v>entrada</v>
      </c>
      <c r="T344" s="332" t="s">
        <v>114</v>
      </c>
      <c r="U344" s="332" t="s">
        <v>114</v>
      </c>
      <c r="V344" s="269"/>
      <c r="W344" s="269"/>
      <c r="X344" s="269"/>
      <c r="Y344" s="269"/>
      <c r="Z344" s="269"/>
      <c r="AA344" s="269"/>
      <c r="AB344" s="269"/>
      <c r="AC344" s="269"/>
      <c r="AD344" s="269"/>
      <c r="AE344" s="269"/>
      <c r="AF344" s="269"/>
      <c r="AG344" s="269"/>
      <c r="AH344" s="269"/>
      <c r="AI344" s="269"/>
      <c r="AJ344" s="269"/>
      <c r="AK344" s="269"/>
      <c r="AL344" s="269"/>
      <c r="AM344" s="269"/>
    </row>
    <row r="345" spans="1:39" ht="96.75" customHeight="1" x14ac:dyDescent="0.2">
      <c r="A345" s="277">
        <f>IF(B345="","",COUNT('Diário 5º PA'!$A$5:$A$2634)+COUNT('Diário 6º PA'!$A$5:$A$2246)+ROW()-4)</f>
        <v>2884</v>
      </c>
      <c r="B345" s="278">
        <v>44399</v>
      </c>
      <c r="C345" s="249">
        <v>44287</v>
      </c>
      <c r="D345" s="250" t="s">
        <v>99</v>
      </c>
      <c r="E345" s="250" t="s">
        <v>340</v>
      </c>
      <c r="F345" s="251">
        <v>907.2</v>
      </c>
      <c r="G345" s="452" t="s">
        <v>1521</v>
      </c>
      <c r="H345" s="250" t="s">
        <v>125</v>
      </c>
      <c r="I345" s="252" t="s">
        <v>1522</v>
      </c>
      <c r="J345" s="250" t="s">
        <v>1523</v>
      </c>
      <c r="K345" s="255" t="s">
        <v>1015</v>
      </c>
      <c r="L345" s="250" t="s">
        <v>1029</v>
      </c>
      <c r="M345" s="277">
        <v>1239</v>
      </c>
      <c r="N345" s="278">
        <v>44397</v>
      </c>
      <c r="O345" s="329" t="s">
        <v>67</v>
      </c>
      <c r="P345" s="330">
        <f t="shared" si="16"/>
        <v>7</v>
      </c>
      <c r="Q345" s="330">
        <f t="shared" si="17"/>
        <v>4</v>
      </c>
      <c r="R345" s="331" t="str">
        <f t="shared" si="18"/>
        <v>Gastos_Gerais</v>
      </c>
      <c r="S345" s="331" t="str">
        <f>IF(D345="","",IF(OR(D345=Plano!$A$1,D345=Plano!$B$1),"entrada","saída"))</f>
        <v>saída</v>
      </c>
      <c r="T345" s="332" t="s">
        <v>994</v>
      </c>
      <c r="U345" s="332">
        <v>1264</v>
      </c>
      <c r="V345" s="269"/>
      <c r="W345" s="269"/>
      <c r="X345" s="269"/>
      <c r="Y345" s="269"/>
      <c r="Z345" s="269"/>
      <c r="AA345" s="269"/>
      <c r="AB345" s="269"/>
      <c r="AC345" s="269"/>
      <c r="AD345" s="269"/>
      <c r="AE345" s="269"/>
      <c r="AF345" s="269"/>
      <c r="AG345" s="269"/>
      <c r="AH345" s="269"/>
      <c r="AI345" s="269"/>
      <c r="AJ345" s="269"/>
      <c r="AK345" s="269"/>
      <c r="AL345" s="269"/>
      <c r="AM345" s="269"/>
    </row>
    <row r="346" spans="1:39" ht="77.25" customHeight="1" x14ac:dyDescent="0.2">
      <c r="A346" s="277">
        <f>IF(B346="","",COUNT('Diário 5º PA'!$A$5:$A$2634)+COUNT('Diário 6º PA'!$A$5:$A$2246)+ROW()-4)</f>
        <v>2885</v>
      </c>
      <c r="B346" s="278">
        <v>44399</v>
      </c>
      <c r="C346" s="249">
        <v>44378</v>
      </c>
      <c r="D346" s="250" t="s">
        <v>99</v>
      </c>
      <c r="E346" s="250" t="s">
        <v>288</v>
      </c>
      <c r="F346" s="251">
        <v>1595</v>
      </c>
      <c r="G346" s="452" t="s">
        <v>1524</v>
      </c>
      <c r="H346" s="250" t="s">
        <v>125</v>
      </c>
      <c r="I346" s="250" t="s">
        <v>1525</v>
      </c>
      <c r="J346" s="250" t="s">
        <v>1526</v>
      </c>
      <c r="K346" s="255" t="s">
        <v>560</v>
      </c>
      <c r="L346" s="250" t="s">
        <v>992</v>
      </c>
      <c r="M346" s="277">
        <v>2285</v>
      </c>
      <c r="N346" s="278">
        <v>44384</v>
      </c>
      <c r="O346" s="329" t="s">
        <v>67</v>
      </c>
      <c r="P346" s="330">
        <f t="shared" si="16"/>
        <v>7</v>
      </c>
      <c r="Q346" s="330">
        <f t="shared" si="17"/>
        <v>7</v>
      </c>
      <c r="R346" s="331" t="str">
        <f t="shared" si="18"/>
        <v>Gastos_Gerais</v>
      </c>
      <c r="S346" s="331" t="str">
        <f>IF(D346="","",IF(OR(D346=Plano!$A$1,D346=Plano!$B$1),"entrada","saída"))</f>
        <v>saída</v>
      </c>
      <c r="T346" s="334" t="s">
        <v>1011</v>
      </c>
      <c r="U346" s="334">
        <v>1749</v>
      </c>
      <c r="V346" s="269"/>
      <c r="W346" s="269"/>
      <c r="X346" s="269"/>
      <c r="Y346" s="269"/>
      <c r="Z346" s="269"/>
      <c r="AA346" s="269"/>
      <c r="AB346" s="269"/>
      <c r="AC346" s="269"/>
      <c r="AD346" s="269"/>
      <c r="AE346" s="269"/>
      <c r="AF346" s="269"/>
      <c r="AG346" s="269"/>
      <c r="AH346" s="269"/>
      <c r="AI346" s="269"/>
      <c r="AJ346" s="269"/>
      <c r="AK346" s="269"/>
      <c r="AL346" s="269"/>
      <c r="AM346" s="269"/>
    </row>
    <row r="347" spans="1:39" ht="99" customHeight="1" x14ac:dyDescent="0.2">
      <c r="A347" s="277">
        <f>IF(B347="","",COUNT('Diário 5º PA'!$A$5:$A$2634)+COUNT('Diário 6º PA'!$A$5:$A$2246)+ROW()-4)</f>
        <v>2886</v>
      </c>
      <c r="B347" s="278">
        <v>44399</v>
      </c>
      <c r="C347" s="249">
        <v>44378</v>
      </c>
      <c r="D347" s="250" t="s">
        <v>99</v>
      </c>
      <c r="E347" s="250" t="s">
        <v>288</v>
      </c>
      <c r="F347" s="251">
        <v>210</v>
      </c>
      <c r="G347" s="452" t="s">
        <v>1527</v>
      </c>
      <c r="H347" s="250" t="s">
        <v>125</v>
      </c>
      <c r="I347" s="250" t="s">
        <v>1525</v>
      </c>
      <c r="J347" s="250" t="s">
        <v>1528</v>
      </c>
      <c r="K347" s="255" t="s">
        <v>560</v>
      </c>
      <c r="L347" s="250" t="s">
        <v>1016</v>
      </c>
      <c r="M347" s="277">
        <v>2281</v>
      </c>
      <c r="N347" s="278">
        <v>44384</v>
      </c>
      <c r="O347" s="329" t="s">
        <v>67</v>
      </c>
      <c r="P347" s="330">
        <f t="shared" si="16"/>
        <v>7</v>
      </c>
      <c r="Q347" s="330">
        <f t="shared" si="17"/>
        <v>7</v>
      </c>
      <c r="R347" s="331" t="str">
        <f t="shared" si="18"/>
        <v>Gastos_Gerais</v>
      </c>
      <c r="S347" s="331" t="str">
        <f>IF(D347="","",IF(OR(D347=Plano!$A$1,D347=Plano!$B$1),"entrada","saída"))</f>
        <v>saída</v>
      </c>
      <c r="T347" s="334" t="s">
        <v>1011</v>
      </c>
      <c r="U347" s="334">
        <v>1751</v>
      </c>
      <c r="V347" s="269"/>
      <c r="W347" s="269"/>
      <c r="X347" s="269"/>
      <c r="Y347" s="269"/>
      <c r="Z347" s="269"/>
      <c r="AA347" s="269"/>
      <c r="AB347" s="269"/>
      <c r="AC347" s="269"/>
      <c r="AD347" s="269"/>
      <c r="AE347" s="269"/>
      <c r="AF347" s="269"/>
      <c r="AG347" s="269"/>
      <c r="AH347" s="269"/>
      <c r="AI347" s="269"/>
      <c r="AJ347" s="269"/>
      <c r="AK347" s="269"/>
      <c r="AL347" s="269"/>
      <c r="AM347" s="269"/>
    </row>
    <row r="348" spans="1:39" ht="228" customHeight="1" x14ac:dyDescent="0.2">
      <c r="A348" s="277">
        <f>IF(B348="","",COUNT('Diário 5º PA'!$A$5:$A$2634)+COUNT('Diário 6º PA'!$A$5:$A$2246)+ROW()-4)</f>
        <v>2887</v>
      </c>
      <c r="B348" s="278">
        <v>44399</v>
      </c>
      <c r="C348" s="249">
        <v>44348</v>
      </c>
      <c r="D348" s="250" t="s">
        <v>99</v>
      </c>
      <c r="E348" s="250" t="s">
        <v>370</v>
      </c>
      <c r="F348" s="251">
        <v>2447.5</v>
      </c>
      <c r="G348" s="452" t="s">
        <v>1529</v>
      </c>
      <c r="H348" s="250" t="s">
        <v>125</v>
      </c>
      <c r="I348" s="252" t="s">
        <v>1530</v>
      </c>
      <c r="J348" s="250" t="s">
        <v>1531</v>
      </c>
      <c r="K348" s="255" t="s">
        <v>991</v>
      </c>
      <c r="L348" s="250" t="s">
        <v>992</v>
      </c>
      <c r="M348" s="277" t="s">
        <v>1532</v>
      </c>
      <c r="N348" s="278">
        <v>44399</v>
      </c>
      <c r="O348" s="329" t="s">
        <v>67</v>
      </c>
      <c r="P348" s="330">
        <f t="shared" si="16"/>
        <v>7</v>
      </c>
      <c r="Q348" s="330">
        <f t="shared" si="17"/>
        <v>6</v>
      </c>
      <c r="R348" s="331" t="str">
        <f t="shared" si="18"/>
        <v>Gastos_Gerais</v>
      </c>
      <c r="S348" s="331" t="str">
        <f>IF(D348="","",IF(OR(D348=Plano!$A$1,D348=Plano!$B$1),"entrada","saída"))</f>
        <v>saída</v>
      </c>
      <c r="T348" s="334" t="s">
        <v>1059</v>
      </c>
      <c r="U348" s="334">
        <v>1261</v>
      </c>
      <c r="V348" s="269"/>
      <c r="W348" s="269"/>
      <c r="X348" s="269"/>
      <c r="Y348" s="269"/>
      <c r="Z348" s="269"/>
      <c r="AA348" s="269"/>
      <c r="AB348" s="269"/>
      <c r="AC348" s="269"/>
      <c r="AD348" s="269"/>
      <c r="AE348" s="269"/>
      <c r="AF348" s="269"/>
      <c r="AG348" s="269"/>
      <c r="AH348" s="269"/>
      <c r="AI348" s="269"/>
      <c r="AJ348" s="269"/>
      <c r="AK348" s="269"/>
      <c r="AL348" s="269"/>
      <c r="AM348" s="269"/>
    </row>
    <row r="349" spans="1:39" ht="233.25" customHeight="1" x14ac:dyDescent="0.2">
      <c r="A349" s="277">
        <f>IF(B349="","",COUNT('Diário 5º PA'!$A$5:$A$2634)+COUNT('Diário 6º PA'!$A$5:$A$2246)+ROW()-4)</f>
        <v>2888</v>
      </c>
      <c r="B349" s="278">
        <v>44399</v>
      </c>
      <c r="C349" s="249">
        <v>44348</v>
      </c>
      <c r="D349" s="250" t="s">
        <v>99</v>
      </c>
      <c r="E349" s="250" t="s">
        <v>370</v>
      </c>
      <c r="F349" s="251">
        <v>2976.16</v>
      </c>
      <c r="G349" s="452" t="s">
        <v>1533</v>
      </c>
      <c r="H349" s="250" t="s">
        <v>125</v>
      </c>
      <c r="I349" s="252" t="s">
        <v>1530</v>
      </c>
      <c r="J349" s="250" t="s">
        <v>1531</v>
      </c>
      <c r="K349" s="255" t="s">
        <v>991</v>
      </c>
      <c r="L349" s="250" t="s">
        <v>992</v>
      </c>
      <c r="M349" s="277" t="s">
        <v>1256</v>
      </c>
      <c r="N349" s="278">
        <v>44399</v>
      </c>
      <c r="O349" s="329" t="s">
        <v>67</v>
      </c>
      <c r="P349" s="330">
        <f t="shared" si="16"/>
        <v>7</v>
      </c>
      <c r="Q349" s="330">
        <f t="shared" si="17"/>
        <v>6</v>
      </c>
      <c r="R349" s="331" t="str">
        <f t="shared" si="18"/>
        <v>Gastos_Gerais</v>
      </c>
      <c r="S349" s="331" t="str">
        <f>IF(D349="","",IF(OR(D349=Plano!$A$1,D349=Plano!$B$1),"entrada","saída"))</f>
        <v>saída</v>
      </c>
      <c r="T349" s="334" t="s">
        <v>994</v>
      </c>
      <c r="U349" s="334">
        <v>1261</v>
      </c>
      <c r="V349" s="269"/>
      <c r="W349" s="269"/>
      <c r="X349" s="269"/>
      <c r="Y349" s="269"/>
      <c r="Z349" s="269"/>
      <c r="AA349" s="269"/>
      <c r="AB349" s="269"/>
      <c r="AC349" s="269"/>
      <c r="AD349" s="269"/>
      <c r="AE349" s="269"/>
      <c r="AF349" s="269"/>
      <c r="AG349" s="269"/>
      <c r="AH349" s="269"/>
      <c r="AI349" s="269"/>
      <c r="AJ349" s="269"/>
      <c r="AK349" s="269"/>
      <c r="AL349" s="269"/>
      <c r="AM349" s="269"/>
    </row>
    <row r="350" spans="1:39" ht="90.75" customHeight="1" x14ac:dyDescent="0.2">
      <c r="A350" s="277">
        <f>IF(B350="","",COUNT('Diário 5º PA'!$A$5:$A$2634)+COUNT('Diário 6º PA'!$A$5:$A$2246)+ROW()-4)</f>
        <v>2889</v>
      </c>
      <c r="B350" s="278">
        <v>44399</v>
      </c>
      <c r="C350" s="249">
        <v>44378</v>
      </c>
      <c r="D350" s="250" t="s">
        <v>99</v>
      </c>
      <c r="E350" s="250" t="s">
        <v>370</v>
      </c>
      <c r="F350" s="251">
        <v>1344</v>
      </c>
      <c r="G350" s="452" t="s">
        <v>1534</v>
      </c>
      <c r="H350" s="250" t="s">
        <v>118</v>
      </c>
      <c r="I350" s="250" t="s">
        <v>1535</v>
      </c>
      <c r="J350" s="250" t="s">
        <v>1536</v>
      </c>
      <c r="K350" s="255" t="s">
        <v>991</v>
      </c>
      <c r="L350" s="250" t="s">
        <v>1029</v>
      </c>
      <c r="M350" s="277">
        <v>1243</v>
      </c>
      <c r="N350" s="278">
        <v>44399</v>
      </c>
      <c r="O350" s="329" t="s">
        <v>67</v>
      </c>
      <c r="P350" s="330">
        <f t="shared" si="16"/>
        <v>7</v>
      </c>
      <c r="Q350" s="330">
        <f t="shared" si="17"/>
        <v>7</v>
      </c>
      <c r="R350" s="331" t="str">
        <f t="shared" si="18"/>
        <v>Gastos_Gerais</v>
      </c>
      <c r="S350" s="331" t="str">
        <f>IF(D350="","",IF(OR(D350=Plano!$A$1,D350=Plano!$B$1),"entrada","saída"))</f>
        <v>saída</v>
      </c>
      <c r="T350" s="334" t="s">
        <v>994</v>
      </c>
      <c r="U350" s="334">
        <v>1724</v>
      </c>
      <c r="V350" s="269"/>
      <c r="W350" s="269"/>
      <c r="X350" s="269"/>
      <c r="Y350" s="269"/>
      <c r="Z350" s="269"/>
      <c r="AA350" s="269"/>
      <c r="AB350" s="269"/>
      <c r="AC350" s="269"/>
      <c r="AD350" s="269"/>
      <c r="AE350" s="269"/>
      <c r="AF350" s="269"/>
      <c r="AG350" s="269"/>
      <c r="AH350" s="269"/>
      <c r="AI350" s="269"/>
      <c r="AJ350" s="269"/>
      <c r="AK350" s="269"/>
      <c r="AL350" s="269"/>
      <c r="AM350" s="269"/>
    </row>
    <row r="351" spans="1:39" ht="141" customHeight="1" x14ac:dyDescent="0.2">
      <c r="A351" s="277">
        <f>IF(B351="","",COUNT('Diário 5º PA'!$A$5:$A$2634)+COUNT('Diário 6º PA'!$A$5:$A$2246)+ROW()-4)</f>
        <v>2890</v>
      </c>
      <c r="B351" s="278">
        <v>44399</v>
      </c>
      <c r="C351" s="249">
        <v>44348</v>
      </c>
      <c r="D351" s="250" t="s">
        <v>99</v>
      </c>
      <c r="E351" s="250" t="s">
        <v>336</v>
      </c>
      <c r="F351" s="251">
        <v>1400</v>
      </c>
      <c r="G351" s="452" t="s">
        <v>1537</v>
      </c>
      <c r="H351" s="250" t="s">
        <v>125</v>
      </c>
      <c r="I351" s="252" t="s">
        <v>1538</v>
      </c>
      <c r="J351" s="250" t="s">
        <v>1539</v>
      </c>
      <c r="K351" s="255" t="s">
        <v>991</v>
      </c>
      <c r="L351" s="250" t="s">
        <v>992</v>
      </c>
      <c r="M351" s="277" t="s">
        <v>1540</v>
      </c>
      <c r="N351" s="278">
        <v>44399</v>
      </c>
      <c r="O351" s="329" t="s">
        <v>67</v>
      </c>
      <c r="P351" s="330">
        <f t="shared" si="16"/>
        <v>7</v>
      </c>
      <c r="Q351" s="330">
        <f t="shared" si="17"/>
        <v>6</v>
      </c>
      <c r="R351" s="331" t="str">
        <f t="shared" si="18"/>
        <v>Gastos_Gerais</v>
      </c>
      <c r="S351" s="331" t="str">
        <f>IF(D351="","",IF(OR(D351=Plano!$A$1,D351=Plano!$B$1),"entrada","saída"))</f>
        <v>saída</v>
      </c>
      <c r="T351" s="334" t="s">
        <v>994</v>
      </c>
      <c r="U351" s="334">
        <v>1263</v>
      </c>
      <c r="V351" s="269"/>
      <c r="W351" s="269"/>
      <c r="X351" s="269"/>
      <c r="Y351" s="269"/>
      <c r="Z351" s="269"/>
      <c r="AA351" s="269"/>
      <c r="AB351" s="269"/>
      <c r="AC351" s="269"/>
      <c r="AD351" s="269"/>
      <c r="AE351" s="269"/>
      <c r="AF351" s="269"/>
      <c r="AG351" s="269"/>
      <c r="AH351" s="269"/>
      <c r="AI351" s="269"/>
      <c r="AJ351" s="269"/>
      <c r="AK351" s="269"/>
      <c r="AL351" s="269"/>
      <c r="AM351" s="269"/>
    </row>
    <row r="352" spans="1:39" ht="57" customHeight="1" x14ac:dyDescent="0.2">
      <c r="A352" s="277">
        <f>IF(B352="","",COUNT('Diário 5º PA'!$A$5:$A$2634)+COUNT('Diário 6º PA'!$A$5:$A$2246)+ROW()-4)</f>
        <v>2891</v>
      </c>
      <c r="B352" s="278">
        <v>44399</v>
      </c>
      <c r="C352" s="335">
        <v>44378</v>
      </c>
      <c r="D352" s="255" t="s">
        <v>99</v>
      </c>
      <c r="E352" s="255" t="s">
        <v>272</v>
      </c>
      <c r="F352" s="258">
        <v>10.45</v>
      </c>
      <c r="G352" s="450" t="s">
        <v>5535</v>
      </c>
      <c r="H352" s="250" t="s">
        <v>125</v>
      </c>
      <c r="I352" s="250" t="s">
        <v>949</v>
      </c>
      <c r="J352" s="255" t="s">
        <v>950</v>
      </c>
      <c r="K352" s="255" t="s">
        <v>951</v>
      </c>
      <c r="L352" s="250" t="s">
        <v>947</v>
      </c>
      <c r="M352" s="336" t="s">
        <v>114</v>
      </c>
      <c r="N352" s="278">
        <v>44399</v>
      </c>
      <c r="O352" s="329" t="s">
        <v>67</v>
      </c>
      <c r="P352" s="330">
        <f t="shared" si="16"/>
        <v>7</v>
      </c>
      <c r="Q352" s="330">
        <f t="shared" si="17"/>
        <v>7</v>
      </c>
      <c r="R352" s="331" t="str">
        <f t="shared" si="18"/>
        <v>Gastos_Gerais</v>
      </c>
      <c r="S352" s="331" t="str">
        <f>IF(D352="","",IF(OR(D352=Plano!$A$1,D352=Plano!$B$1),"entrada","saída"))</f>
        <v>saída</v>
      </c>
      <c r="T352" s="332" t="s">
        <v>114</v>
      </c>
      <c r="U352" s="332" t="s">
        <v>114</v>
      </c>
      <c r="V352" s="269"/>
      <c r="W352" s="269"/>
      <c r="X352" s="269"/>
      <c r="Y352" s="269"/>
      <c r="Z352" s="269"/>
      <c r="AA352" s="269"/>
      <c r="AB352" s="269"/>
      <c r="AC352" s="269"/>
      <c r="AD352" s="269"/>
      <c r="AE352" s="269"/>
      <c r="AF352" s="269"/>
      <c r="AG352" s="269"/>
      <c r="AH352" s="269"/>
      <c r="AI352" s="269"/>
      <c r="AJ352" s="269"/>
      <c r="AK352" s="269"/>
      <c r="AL352" s="269"/>
      <c r="AM352" s="269"/>
    </row>
    <row r="353" spans="1:39" ht="56.25" customHeight="1" x14ac:dyDescent="0.2">
      <c r="A353" s="277">
        <f>IF(B353="","",COUNT('Diário 5º PA'!$A$5:$A$2634)+COUNT('Diário 6º PA'!$A$5:$A$2246)+ROW()-4)</f>
        <v>2892</v>
      </c>
      <c r="B353" s="278">
        <v>44399</v>
      </c>
      <c r="C353" s="335">
        <v>44378</v>
      </c>
      <c r="D353" s="255" t="s">
        <v>99</v>
      </c>
      <c r="E353" s="255" t="s">
        <v>272</v>
      </c>
      <c r="F353" s="258">
        <v>10.45</v>
      </c>
      <c r="G353" s="450" t="s">
        <v>5536</v>
      </c>
      <c r="H353" s="250" t="s">
        <v>125</v>
      </c>
      <c r="I353" s="250" t="s">
        <v>949</v>
      </c>
      <c r="J353" s="255" t="s">
        <v>950</v>
      </c>
      <c r="K353" s="255" t="s">
        <v>951</v>
      </c>
      <c r="L353" s="250" t="s">
        <v>947</v>
      </c>
      <c r="M353" s="336" t="s">
        <v>114</v>
      </c>
      <c r="N353" s="278">
        <v>44399</v>
      </c>
      <c r="O353" s="329" t="s">
        <v>67</v>
      </c>
      <c r="P353" s="330">
        <f t="shared" si="16"/>
        <v>7</v>
      </c>
      <c r="Q353" s="330">
        <f t="shared" si="17"/>
        <v>7</v>
      </c>
      <c r="R353" s="331" t="str">
        <f t="shared" si="18"/>
        <v>Gastos_Gerais</v>
      </c>
      <c r="S353" s="331" t="str">
        <f>IF(D353="","",IF(OR(D353=Plano!$A$1,D353=Plano!$B$1),"entrada","saída"))</f>
        <v>saída</v>
      </c>
      <c r="T353" s="332" t="s">
        <v>114</v>
      </c>
      <c r="U353" s="332" t="s">
        <v>114</v>
      </c>
      <c r="V353" s="269"/>
      <c r="W353" s="269"/>
      <c r="X353" s="269"/>
      <c r="Y353" s="269"/>
      <c r="Z353" s="269"/>
      <c r="AA353" s="269"/>
      <c r="AB353" s="269"/>
      <c r="AC353" s="269"/>
      <c r="AD353" s="269"/>
      <c r="AE353" s="269"/>
      <c r="AF353" s="269"/>
      <c r="AG353" s="269"/>
      <c r="AH353" s="269"/>
      <c r="AI353" s="269"/>
      <c r="AJ353" s="269"/>
      <c r="AK353" s="269"/>
      <c r="AL353" s="269"/>
      <c r="AM353" s="269"/>
    </row>
    <row r="354" spans="1:39" ht="47.25" customHeight="1" x14ac:dyDescent="0.2">
      <c r="A354" s="277">
        <f>IF(B354="","",COUNT('Diário 5º PA'!$A$5:$A$2634)+COUNT('Diário 6º PA'!$A$5:$A$2246)+ROW()-4)</f>
        <v>2893</v>
      </c>
      <c r="B354" s="278">
        <v>44399</v>
      </c>
      <c r="C354" s="335">
        <v>44378</v>
      </c>
      <c r="D354" s="255" t="s">
        <v>99</v>
      </c>
      <c r="E354" s="255" t="s">
        <v>272</v>
      </c>
      <c r="F354" s="258">
        <v>10.45</v>
      </c>
      <c r="G354" s="450" t="s">
        <v>1541</v>
      </c>
      <c r="H354" s="250" t="s">
        <v>118</v>
      </c>
      <c r="I354" s="250" t="s">
        <v>949</v>
      </c>
      <c r="J354" s="255" t="s">
        <v>950</v>
      </c>
      <c r="K354" s="255" t="s">
        <v>951</v>
      </c>
      <c r="L354" s="250" t="s">
        <v>947</v>
      </c>
      <c r="M354" s="336" t="s">
        <v>114</v>
      </c>
      <c r="N354" s="278">
        <v>44399</v>
      </c>
      <c r="O354" s="329" t="s">
        <v>67</v>
      </c>
      <c r="P354" s="330">
        <f t="shared" si="16"/>
        <v>7</v>
      </c>
      <c r="Q354" s="330">
        <f t="shared" si="17"/>
        <v>7</v>
      </c>
      <c r="R354" s="331" t="str">
        <f t="shared" si="18"/>
        <v>Gastos_Gerais</v>
      </c>
      <c r="S354" s="331" t="str">
        <f>IF(D354="","",IF(OR(D354=Plano!$A$1,D354=Plano!$B$1),"entrada","saída"))</f>
        <v>saída</v>
      </c>
      <c r="T354" s="332" t="s">
        <v>114</v>
      </c>
      <c r="U354" s="332" t="s">
        <v>114</v>
      </c>
      <c r="V354" s="269"/>
      <c r="W354" s="269"/>
      <c r="X354" s="269"/>
      <c r="Y354" s="269"/>
      <c r="Z354" s="269"/>
      <c r="AA354" s="269"/>
      <c r="AB354" s="269"/>
      <c r="AC354" s="269"/>
      <c r="AD354" s="269"/>
      <c r="AE354" s="269"/>
      <c r="AF354" s="269"/>
      <c r="AG354" s="269"/>
      <c r="AH354" s="269"/>
      <c r="AI354" s="269"/>
      <c r="AJ354" s="269"/>
      <c r="AK354" s="269"/>
      <c r="AL354" s="269"/>
      <c r="AM354" s="269"/>
    </row>
    <row r="355" spans="1:39" ht="41.25" customHeight="1" x14ac:dyDescent="0.2">
      <c r="A355" s="277">
        <f>IF(B355="","",COUNT('Diário 5º PA'!$A$5:$A$2634)+COUNT('Diário 6º PA'!$A$5:$A$2246)+ROW()-4)</f>
        <v>2894</v>
      </c>
      <c r="B355" s="278">
        <v>44399</v>
      </c>
      <c r="C355" s="335">
        <v>44378</v>
      </c>
      <c r="D355" s="255" t="s">
        <v>99</v>
      </c>
      <c r="E355" s="255" t="s">
        <v>272</v>
      </c>
      <c r="F355" s="258">
        <v>10.45</v>
      </c>
      <c r="G355" s="450" t="s">
        <v>1542</v>
      </c>
      <c r="H355" s="250" t="s">
        <v>125</v>
      </c>
      <c r="I355" s="250" t="s">
        <v>949</v>
      </c>
      <c r="J355" s="255" t="s">
        <v>950</v>
      </c>
      <c r="K355" s="255" t="s">
        <v>951</v>
      </c>
      <c r="L355" s="250" t="s">
        <v>947</v>
      </c>
      <c r="M355" s="336" t="s">
        <v>114</v>
      </c>
      <c r="N355" s="278">
        <v>44399</v>
      </c>
      <c r="O355" s="329" t="s">
        <v>67</v>
      </c>
      <c r="P355" s="330">
        <f t="shared" si="16"/>
        <v>7</v>
      </c>
      <c r="Q355" s="330">
        <f t="shared" si="17"/>
        <v>7</v>
      </c>
      <c r="R355" s="331" t="str">
        <f t="shared" si="18"/>
        <v>Gastos_Gerais</v>
      </c>
      <c r="S355" s="331" t="str">
        <f>IF(D355="","",IF(OR(D355=Plano!$A$1,D355=Plano!$B$1),"entrada","saída"))</f>
        <v>saída</v>
      </c>
      <c r="T355" s="332" t="s">
        <v>114</v>
      </c>
      <c r="U355" s="332" t="s">
        <v>114</v>
      </c>
      <c r="V355" s="269"/>
      <c r="W355" s="269"/>
      <c r="X355" s="269"/>
      <c r="Y355" s="269"/>
      <c r="Z355" s="269"/>
      <c r="AA355" s="269"/>
      <c r="AB355" s="269"/>
      <c r="AC355" s="269"/>
      <c r="AD355" s="269"/>
      <c r="AE355" s="269"/>
      <c r="AF355" s="269"/>
      <c r="AG355" s="269"/>
      <c r="AH355" s="269"/>
      <c r="AI355" s="269"/>
      <c r="AJ355" s="269"/>
      <c r="AK355" s="269"/>
      <c r="AL355" s="269"/>
      <c r="AM355" s="269"/>
    </row>
    <row r="356" spans="1:39" ht="36.75" customHeight="1" x14ac:dyDescent="0.2">
      <c r="A356" s="277">
        <f>IF(B356="","",COUNT('Diário 5º PA'!$A$5:$A$2634)+COUNT('Diário 6º PA'!$A$5:$A$2246)+ROW()-4)</f>
        <v>2895</v>
      </c>
      <c r="B356" s="278">
        <v>44400</v>
      </c>
      <c r="C356" s="256">
        <v>44348</v>
      </c>
      <c r="D356" s="255" t="s">
        <v>88</v>
      </c>
      <c r="E356" s="255" t="s">
        <v>169</v>
      </c>
      <c r="F356" s="258">
        <v>894.69</v>
      </c>
      <c r="G356" s="450" t="s">
        <v>1543</v>
      </c>
      <c r="H356" s="255" t="s">
        <v>114</v>
      </c>
      <c r="I356" s="250" t="s">
        <v>488</v>
      </c>
      <c r="J356" s="255" t="s">
        <v>114</v>
      </c>
      <c r="K356" s="255" t="s">
        <v>466</v>
      </c>
      <c r="L356" s="250" t="s">
        <v>489</v>
      </c>
      <c r="M356" s="277" t="s">
        <v>114</v>
      </c>
      <c r="N356" s="278">
        <v>44377</v>
      </c>
      <c r="O356" s="329" t="s">
        <v>67</v>
      </c>
      <c r="P356" s="330">
        <f t="shared" si="16"/>
        <v>7</v>
      </c>
      <c r="Q356" s="330">
        <f t="shared" si="17"/>
        <v>6</v>
      </c>
      <c r="R356" s="331" t="str">
        <f t="shared" si="18"/>
        <v>Gastos_com_Pessoal</v>
      </c>
      <c r="S356" s="331" t="str">
        <f>IF(D356="","",IF(OR(D356=Plano!$A$1,D356=Plano!$B$1),"entrada","saída"))</f>
        <v>saída</v>
      </c>
      <c r="T356" s="332" t="s">
        <v>114</v>
      </c>
      <c r="U356" s="332" t="s">
        <v>114</v>
      </c>
      <c r="V356" s="269"/>
      <c r="W356" s="269"/>
      <c r="X356" s="269"/>
      <c r="Y356" s="269"/>
      <c r="Z356" s="269"/>
      <c r="AA356" s="269"/>
      <c r="AB356" s="269"/>
      <c r="AC356" s="269"/>
      <c r="AD356" s="269"/>
      <c r="AE356" s="269"/>
      <c r="AF356" s="269"/>
      <c r="AG356" s="269"/>
      <c r="AH356" s="269"/>
      <c r="AI356" s="269"/>
      <c r="AJ356" s="269"/>
      <c r="AK356" s="269"/>
      <c r="AL356" s="269"/>
      <c r="AM356" s="269"/>
    </row>
    <row r="357" spans="1:39" ht="39" customHeight="1" x14ac:dyDescent="0.2">
      <c r="A357" s="277">
        <f>IF(B357="","",COUNT('Diário 5º PA'!$A$5:$A$2634)+COUNT('Diário 6º PA'!$A$5:$A$2246)+ROW()-4)</f>
        <v>2896</v>
      </c>
      <c r="B357" s="278">
        <v>44400</v>
      </c>
      <c r="C357" s="256">
        <v>44348</v>
      </c>
      <c r="D357" s="255" t="s">
        <v>99</v>
      </c>
      <c r="E357" s="255" t="s">
        <v>276</v>
      </c>
      <c r="F357" s="258">
        <v>207.09</v>
      </c>
      <c r="G357" s="450" t="s">
        <v>1544</v>
      </c>
      <c r="H357" s="255" t="s">
        <v>114</v>
      </c>
      <c r="I357" s="252" t="s">
        <v>488</v>
      </c>
      <c r="J357" s="252" t="s">
        <v>114</v>
      </c>
      <c r="K357" s="252" t="s">
        <v>466</v>
      </c>
      <c r="L357" s="252" t="s">
        <v>489</v>
      </c>
      <c r="M357" s="277" t="s">
        <v>114</v>
      </c>
      <c r="N357" s="278">
        <v>44377</v>
      </c>
      <c r="O357" s="329" t="s">
        <v>67</v>
      </c>
      <c r="P357" s="330">
        <f t="shared" si="16"/>
        <v>7</v>
      </c>
      <c r="Q357" s="330">
        <f t="shared" si="17"/>
        <v>6</v>
      </c>
      <c r="R357" s="331" t="str">
        <f t="shared" si="18"/>
        <v>Gastos_Gerais</v>
      </c>
      <c r="S357" s="331" t="str">
        <f>IF(D357="","",IF(OR(D357=Plano!$A$1,D357=Plano!$B$1),"entrada","saída"))</f>
        <v>saída</v>
      </c>
      <c r="T357" s="332" t="s">
        <v>114</v>
      </c>
      <c r="U357" s="332" t="s">
        <v>114</v>
      </c>
      <c r="V357" s="269"/>
      <c r="W357" s="269"/>
      <c r="X357" s="269"/>
      <c r="Y357" s="269"/>
      <c r="Z357" s="269"/>
      <c r="AA357" s="269"/>
      <c r="AB357" s="269"/>
      <c r="AC357" s="269"/>
      <c r="AD357" s="269"/>
      <c r="AE357" s="269"/>
      <c r="AF357" s="269"/>
      <c r="AG357" s="269"/>
      <c r="AH357" s="269"/>
      <c r="AI357" s="269"/>
      <c r="AJ357" s="269"/>
      <c r="AK357" s="269"/>
      <c r="AL357" s="269"/>
      <c r="AM357" s="269"/>
    </row>
    <row r="358" spans="1:39" ht="99" customHeight="1" x14ac:dyDescent="0.2">
      <c r="A358" s="277">
        <f>IF(B358="","",COUNT('Diário 5º PA'!$A$5:$A$2634)+COUNT('Diário 6º PA'!$A$5:$A$2246)+ROW()-4)</f>
        <v>2897</v>
      </c>
      <c r="B358" s="278">
        <v>44400</v>
      </c>
      <c r="C358" s="249">
        <v>44348</v>
      </c>
      <c r="D358" s="250" t="s">
        <v>99</v>
      </c>
      <c r="E358" s="250" t="s">
        <v>366</v>
      </c>
      <c r="F358" s="251">
        <v>3500</v>
      </c>
      <c r="G358" s="452" t="s">
        <v>1545</v>
      </c>
      <c r="H358" s="250" t="s">
        <v>125</v>
      </c>
      <c r="I358" s="252" t="s">
        <v>1051</v>
      </c>
      <c r="J358" s="250" t="s">
        <v>711</v>
      </c>
      <c r="K358" s="255" t="s">
        <v>991</v>
      </c>
      <c r="L358" s="250" t="s">
        <v>992</v>
      </c>
      <c r="M358" s="277" t="s">
        <v>1546</v>
      </c>
      <c r="N358" s="278">
        <v>44399</v>
      </c>
      <c r="O358" s="329" t="s">
        <v>67</v>
      </c>
      <c r="P358" s="330">
        <f t="shared" si="16"/>
        <v>7</v>
      </c>
      <c r="Q358" s="330">
        <f t="shared" si="17"/>
        <v>6</v>
      </c>
      <c r="R358" s="331" t="str">
        <f t="shared" si="18"/>
        <v>Gastos_Gerais</v>
      </c>
      <c r="S358" s="331" t="str">
        <f>IF(D358="","",IF(OR(D358=Plano!$A$1,D358=Plano!$B$1),"entrada","saída"))</f>
        <v>saída</v>
      </c>
      <c r="T358" s="334" t="s">
        <v>994</v>
      </c>
      <c r="U358" s="334">
        <v>1265</v>
      </c>
      <c r="V358" s="269"/>
      <c r="W358" s="269"/>
      <c r="X358" s="269"/>
      <c r="Y358" s="269"/>
      <c r="Z358" s="269"/>
      <c r="AA358" s="269"/>
      <c r="AB358" s="269"/>
      <c r="AC358" s="269"/>
      <c r="AD358" s="269"/>
      <c r="AE358" s="269"/>
      <c r="AF358" s="269"/>
      <c r="AG358" s="269"/>
      <c r="AH358" s="269"/>
      <c r="AI358" s="269"/>
      <c r="AJ358" s="269"/>
      <c r="AK358" s="269"/>
      <c r="AL358" s="269"/>
      <c r="AM358" s="269"/>
    </row>
    <row r="359" spans="1:39" ht="169.5" customHeight="1" x14ac:dyDescent="0.2">
      <c r="A359" s="277">
        <f>IF(B359="","",COUNT('Diário 5º PA'!$A$5:$A$2634)+COUNT('Diário 6º PA'!$A$5:$A$2246)+ROW()-4)</f>
        <v>2898</v>
      </c>
      <c r="B359" s="278">
        <v>44400</v>
      </c>
      <c r="C359" s="249">
        <v>44348</v>
      </c>
      <c r="D359" s="250" t="s">
        <v>99</v>
      </c>
      <c r="E359" s="250" t="s">
        <v>336</v>
      </c>
      <c r="F359" s="251">
        <v>258</v>
      </c>
      <c r="G359" s="452" t="s">
        <v>1547</v>
      </c>
      <c r="H359" s="250" t="s">
        <v>123</v>
      </c>
      <c r="I359" s="252" t="s">
        <v>1548</v>
      </c>
      <c r="J359" s="250" t="s">
        <v>1549</v>
      </c>
      <c r="K359" s="255" t="s">
        <v>991</v>
      </c>
      <c r="L359" s="250" t="s">
        <v>1029</v>
      </c>
      <c r="M359" s="277">
        <v>1247</v>
      </c>
      <c r="N359" s="278">
        <v>44400</v>
      </c>
      <c r="O359" s="329" t="s">
        <v>67</v>
      </c>
      <c r="P359" s="330">
        <f t="shared" si="16"/>
        <v>7</v>
      </c>
      <c r="Q359" s="330">
        <f t="shared" si="17"/>
        <v>6</v>
      </c>
      <c r="R359" s="331" t="str">
        <f t="shared" si="18"/>
        <v>Gastos_Gerais</v>
      </c>
      <c r="S359" s="331" t="str">
        <f>IF(D359="","",IF(OR(D359=Plano!$A$1,D359=Plano!$B$1),"entrada","saída"))</f>
        <v>saída</v>
      </c>
      <c r="T359" s="334" t="s">
        <v>994</v>
      </c>
      <c r="U359" s="334">
        <v>1692</v>
      </c>
      <c r="V359" s="269"/>
      <c r="W359" s="269"/>
      <c r="X359" s="269"/>
      <c r="Y359" s="269"/>
      <c r="Z359" s="269"/>
      <c r="AA359" s="269"/>
      <c r="AB359" s="269"/>
      <c r="AC359" s="269"/>
      <c r="AD359" s="269"/>
      <c r="AE359" s="269"/>
      <c r="AF359" s="269"/>
      <c r="AG359" s="269"/>
      <c r="AH359" s="269"/>
      <c r="AI359" s="269"/>
      <c r="AJ359" s="269"/>
      <c r="AK359" s="269"/>
      <c r="AL359" s="269"/>
      <c r="AM359" s="269"/>
    </row>
    <row r="360" spans="1:39" ht="56.25" customHeight="1" x14ac:dyDescent="0.2">
      <c r="A360" s="277">
        <f>IF(B360="","",COUNT('Diário 5º PA'!$A$5:$A$2634)+COUNT('Diário 6º PA'!$A$5:$A$2246)+ROW()-4)</f>
        <v>2899</v>
      </c>
      <c r="B360" s="278">
        <v>44400</v>
      </c>
      <c r="C360" s="256">
        <v>44348</v>
      </c>
      <c r="D360" s="255" t="s">
        <v>57</v>
      </c>
      <c r="E360" s="255" t="s">
        <v>57</v>
      </c>
      <c r="F360" s="258">
        <v>4805.9399999999996</v>
      </c>
      <c r="G360" s="450" t="s">
        <v>1550</v>
      </c>
      <c r="H360" s="255" t="s">
        <v>114</v>
      </c>
      <c r="I360" s="250" t="s">
        <v>945</v>
      </c>
      <c r="J360" s="255" t="s">
        <v>850</v>
      </c>
      <c r="K360" s="255" t="s">
        <v>946</v>
      </c>
      <c r="L360" s="250" t="s">
        <v>947</v>
      </c>
      <c r="M360" s="277" t="s">
        <v>114</v>
      </c>
      <c r="N360" s="278">
        <v>44400</v>
      </c>
      <c r="O360" s="329" t="s">
        <v>67</v>
      </c>
      <c r="P360" s="330">
        <f t="shared" si="16"/>
        <v>7</v>
      </c>
      <c r="Q360" s="330">
        <f t="shared" si="17"/>
        <v>6</v>
      </c>
      <c r="R360" s="331" t="str">
        <f t="shared" si="18"/>
        <v>Transferência_para_Reserva_de_Recursos</v>
      </c>
      <c r="S360" s="331" t="str">
        <f>IF(D360="","",IF(OR(D360=Plano!$A$1,D360=Plano!$B$1),"entrada","saída"))</f>
        <v>saída</v>
      </c>
      <c r="T360" s="332" t="s">
        <v>114</v>
      </c>
      <c r="U360" s="332" t="s">
        <v>114</v>
      </c>
      <c r="V360" s="269"/>
      <c r="W360" s="269"/>
      <c r="X360" s="269"/>
      <c r="Y360" s="269"/>
      <c r="Z360" s="269"/>
      <c r="AA360" s="269"/>
      <c r="AB360" s="269"/>
      <c r="AC360" s="269"/>
      <c r="AD360" s="269"/>
      <c r="AE360" s="269"/>
      <c r="AF360" s="269"/>
      <c r="AG360" s="269"/>
      <c r="AH360" s="269"/>
      <c r="AI360" s="269"/>
      <c r="AJ360" s="269"/>
      <c r="AK360" s="269"/>
      <c r="AL360" s="269"/>
      <c r="AM360" s="269"/>
    </row>
    <row r="361" spans="1:39" ht="46.5" customHeight="1" x14ac:dyDescent="0.2">
      <c r="A361" s="277">
        <f>IF(B361="","",COUNT('Diário 5º PA'!$A$5:$A$2634)+COUNT('Diário 6º PA'!$A$5:$A$2246)+ROW()-4)</f>
        <v>2900</v>
      </c>
      <c r="B361" s="278">
        <v>44400</v>
      </c>
      <c r="C361" s="335">
        <v>44378</v>
      </c>
      <c r="D361" s="255" t="s">
        <v>99</v>
      </c>
      <c r="E361" s="255" t="s">
        <v>272</v>
      </c>
      <c r="F361" s="258">
        <v>10.45</v>
      </c>
      <c r="G361" s="450" t="s">
        <v>1551</v>
      </c>
      <c r="H361" s="250" t="s">
        <v>125</v>
      </c>
      <c r="I361" s="250" t="s">
        <v>949</v>
      </c>
      <c r="J361" s="255" t="s">
        <v>950</v>
      </c>
      <c r="K361" s="255" t="s">
        <v>951</v>
      </c>
      <c r="L361" s="250" t="s">
        <v>947</v>
      </c>
      <c r="M361" s="336" t="s">
        <v>114</v>
      </c>
      <c r="N361" s="278">
        <v>44400</v>
      </c>
      <c r="O361" s="329" t="s">
        <v>67</v>
      </c>
      <c r="P361" s="330">
        <f t="shared" si="16"/>
        <v>7</v>
      </c>
      <c r="Q361" s="330">
        <f t="shared" si="17"/>
        <v>7</v>
      </c>
      <c r="R361" s="331" t="str">
        <f t="shared" si="18"/>
        <v>Gastos_Gerais</v>
      </c>
      <c r="S361" s="331" t="str">
        <f>IF(D361="","",IF(OR(D361=Plano!$A$1,D361=Plano!$B$1),"entrada","saída"))</f>
        <v>saída</v>
      </c>
      <c r="T361" s="332" t="s">
        <v>114</v>
      </c>
      <c r="U361" s="332" t="s">
        <v>114</v>
      </c>
      <c r="V361" s="269"/>
      <c r="W361" s="269"/>
      <c r="X361" s="269"/>
      <c r="Y361" s="269"/>
      <c r="Z361" s="269"/>
      <c r="AA361" s="269"/>
      <c r="AB361" s="269"/>
      <c r="AC361" s="269"/>
      <c r="AD361" s="269"/>
      <c r="AE361" s="269"/>
      <c r="AF361" s="269"/>
      <c r="AG361" s="269"/>
      <c r="AH361" s="269"/>
      <c r="AI361" s="269"/>
      <c r="AJ361" s="269"/>
      <c r="AK361" s="269"/>
      <c r="AL361" s="269"/>
      <c r="AM361" s="269"/>
    </row>
    <row r="362" spans="1:39" ht="45.75" customHeight="1" x14ac:dyDescent="0.2">
      <c r="A362" s="277">
        <f>IF(B362="","",COUNT('Diário 5º PA'!$A$5:$A$2634)+COUNT('Diário 6º PA'!$A$5:$A$2246)+ROW()-4)</f>
        <v>2901</v>
      </c>
      <c r="B362" s="278">
        <v>44400</v>
      </c>
      <c r="C362" s="335">
        <v>44378</v>
      </c>
      <c r="D362" s="255" t="s">
        <v>99</v>
      </c>
      <c r="E362" s="255" t="s">
        <v>272</v>
      </c>
      <c r="F362" s="258">
        <v>10.45</v>
      </c>
      <c r="G362" s="450" t="s">
        <v>1552</v>
      </c>
      <c r="H362" s="250" t="s">
        <v>123</v>
      </c>
      <c r="I362" s="250" t="s">
        <v>949</v>
      </c>
      <c r="J362" s="255" t="s">
        <v>950</v>
      </c>
      <c r="K362" s="255" t="s">
        <v>951</v>
      </c>
      <c r="L362" s="250" t="s">
        <v>947</v>
      </c>
      <c r="M362" s="336" t="s">
        <v>114</v>
      </c>
      <c r="N362" s="278">
        <v>44400</v>
      </c>
      <c r="O362" s="329" t="s">
        <v>67</v>
      </c>
      <c r="P362" s="330">
        <f t="shared" si="16"/>
        <v>7</v>
      </c>
      <c r="Q362" s="330">
        <f t="shared" si="17"/>
        <v>7</v>
      </c>
      <c r="R362" s="331" t="str">
        <f t="shared" si="18"/>
        <v>Gastos_Gerais</v>
      </c>
      <c r="S362" s="331" t="str">
        <f>IF(D362="","",IF(OR(D362=Plano!$A$1,D362=Plano!$B$1),"entrada","saída"))</f>
        <v>saída</v>
      </c>
      <c r="T362" s="332" t="s">
        <v>114</v>
      </c>
      <c r="U362" s="332" t="s">
        <v>114</v>
      </c>
      <c r="V362" s="269"/>
      <c r="W362" s="269"/>
      <c r="X362" s="269"/>
      <c r="Y362" s="269"/>
      <c r="Z362" s="269"/>
      <c r="AA362" s="269"/>
      <c r="AB362" s="269"/>
      <c r="AC362" s="269"/>
      <c r="AD362" s="269"/>
      <c r="AE362" s="269"/>
      <c r="AF362" s="269"/>
      <c r="AG362" s="269"/>
      <c r="AH362" s="269"/>
      <c r="AI362" s="269"/>
      <c r="AJ362" s="269"/>
      <c r="AK362" s="269"/>
      <c r="AL362" s="269"/>
      <c r="AM362" s="269"/>
    </row>
    <row r="363" spans="1:39" ht="45.75" customHeight="1" x14ac:dyDescent="0.2">
      <c r="A363" s="277">
        <f>IF(B363="","",COUNT('Diário 5º PA'!$A$5:$A$2634)+COUNT('Diário 6º PA'!$A$5:$A$2246)+ROW()-4)</f>
        <v>2902</v>
      </c>
      <c r="B363" s="278">
        <v>44400</v>
      </c>
      <c r="C363" s="256">
        <v>44348</v>
      </c>
      <c r="D363" s="255" t="s">
        <v>104</v>
      </c>
      <c r="E363" s="255" t="s">
        <v>104</v>
      </c>
      <c r="F363" s="258">
        <v>14.82</v>
      </c>
      <c r="G363" s="450" t="s">
        <v>1553</v>
      </c>
      <c r="H363" s="250" t="s">
        <v>104</v>
      </c>
      <c r="I363" s="252" t="s">
        <v>488</v>
      </c>
      <c r="J363" s="252" t="s">
        <v>114</v>
      </c>
      <c r="K363" s="252" t="s">
        <v>466</v>
      </c>
      <c r="L363" s="252" t="s">
        <v>489</v>
      </c>
      <c r="M363" s="277" t="s">
        <v>114</v>
      </c>
      <c r="N363" s="278">
        <v>44377</v>
      </c>
      <c r="O363" s="329" t="s">
        <v>70</v>
      </c>
      <c r="P363" s="330">
        <f t="shared" si="16"/>
        <v>7</v>
      </c>
      <c r="Q363" s="330">
        <f t="shared" si="17"/>
        <v>6</v>
      </c>
      <c r="R363" s="331" t="str">
        <f t="shared" si="18"/>
        <v>Gastos_custeados_por_captação</v>
      </c>
      <c r="S363" s="331" t="str">
        <f>IF(D363="","",IF(OR(D363=Plano!$A$1,D363=Plano!$B$1),"entrada","saída"))</f>
        <v>saída</v>
      </c>
      <c r="T363" s="332" t="s">
        <v>114</v>
      </c>
      <c r="U363" s="332" t="s">
        <v>114</v>
      </c>
      <c r="V363" s="269"/>
      <c r="W363" s="269"/>
      <c r="X363" s="269"/>
      <c r="Y363" s="269"/>
      <c r="Z363" s="269"/>
      <c r="AA363" s="269"/>
      <c r="AB363" s="269"/>
      <c r="AC363" s="269"/>
      <c r="AD363" s="269"/>
      <c r="AE363" s="269"/>
      <c r="AF363" s="269"/>
      <c r="AG363" s="269"/>
      <c r="AH363" s="269"/>
      <c r="AI363" s="269"/>
      <c r="AJ363" s="269"/>
      <c r="AK363" s="269"/>
      <c r="AL363" s="269"/>
      <c r="AM363" s="269"/>
    </row>
    <row r="364" spans="1:39" ht="122.25" customHeight="1" x14ac:dyDescent="0.2">
      <c r="A364" s="277">
        <f>IF(B364="","",COUNT('Diário 5º PA'!$A$5:$A$2634)+COUNT('Diário 6º PA'!$A$5:$A$2246)+ROW()-4)</f>
        <v>2903</v>
      </c>
      <c r="B364" s="278">
        <v>44400</v>
      </c>
      <c r="C364" s="249">
        <v>44348</v>
      </c>
      <c r="D364" s="250" t="s">
        <v>104</v>
      </c>
      <c r="E364" s="250" t="s">
        <v>104</v>
      </c>
      <c r="F364" s="251">
        <v>1960</v>
      </c>
      <c r="G364" s="452" t="s">
        <v>1554</v>
      </c>
      <c r="H364" s="250" t="s">
        <v>104</v>
      </c>
      <c r="I364" s="252" t="s">
        <v>1555</v>
      </c>
      <c r="J364" s="250" t="s">
        <v>674</v>
      </c>
      <c r="K364" s="255" t="s">
        <v>991</v>
      </c>
      <c r="L364" s="250" t="s">
        <v>992</v>
      </c>
      <c r="M364" s="277" t="s">
        <v>1017</v>
      </c>
      <c r="N364" s="278">
        <v>44400</v>
      </c>
      <c r="O364" s="329" t="s">
        <v>70</v>
      </c>
      <c r="P364" s="330">
        <f t="shared" si="16"/>
        <v>7</v>
      </c>
      <c r="Q364" s="330">
        <f t="shared" si="17"/>
        <v>6</v>
      </c>
      <c r="R364" s="331" t="str">
        <f t="shared" si="18"/>
        <v>Gastos_custeados_por_captação</v>
      </c>
      <c r="S364" s="331" t="str">
        <f>IF(D364="","",IF(OR(D364=Plano!$A$1,D364=Plano!$B$1),"entrada","saída"))</f>
        <v>saída</v>
      </c>
      <c r="T364" s="332" t="s">
        <v>1059</v>
      </c>
      <c r="U364" s="332">
        <v>1659</v>
      </c>
      <c r="V364" s="269"/>
      <c r="W364" s="269"/>
      <c r="X364" s="269"/>
      <c r="Y364" s="269"/>
      <c r="Z364" s="269"/>
      <c r="AA364" s="269"/>
      <c r="AB364" s="269"/>
      <c r="AC364" s="269"/>
      <c r="AD364" s="269"/>
      <c r="AE364" s="269"/>
      <c r="AF364" s="269"/>
      <c r="AG364" s="269"/>
      <c r="AH364" s="269"/>
      <c r="AI364" s="269"/>
      <c r="AJ364" s="269"/>
      <c r="AK364" s="269"/>
      <c r="AL364" s="269"/>
      <c r="AM364" s="269"/>
    </row>
    <row r="365" spans="1:39" ht="173.25" customHeight="1" x14ac:dyDescent="0.2">
      <c r="A365" s="277">
        <f>IF(B365="","",COUNT('Diário 5º PA'!$A$5:$A$2634)+COUNT('Diário 6º PA'!$A$5:$A$2246)+ROW()-4)</f>
        <v>2904</v>
      </c>
      <c r="B365" s="278">
        <v>44400</v>
      </c>
      <c r="C365" s="249">
        <v>44348</v>
      </c>
      <c r="D365" s="250" t="s">
        <v>104</v>
      </c>
      <c r="E365" s="250" t="s">
        <v>104</v>
      </c>
      <c r="F365" s="251">
        <v>5869.8</v>
      </c>
      <c r="G365" s="452" t="s">
        <v>1556</v>
      </c>
      <c r="H365" s="250" t="s">
        <v>104</v>
      </c>
      <c r="I365" s="250" t="s">
        <v>1557</v>
      </c>
      <c r="J365" s="250" t="s">
        <v>1558</v>
      </c>
      <c r="K365" s="255" t="s">
        <v>991</v>
      </c>
      <c r="L365" s="250" t="s">
        <v>1016</v>
      </c>
      <c r="M365" s="277" t="s">
        <v>1211</v>
      </c>
      <c r="N365" s="278">
        <v>44399</v>
      </c>
      <c r="O365" s="329" t="s">
        <v>70</v>
      </c>
      <c r="P365" s="330">
        <f t="shared" si="16"/>
        <v>7</v>
      </c>
      <c r="Q365" s="330">
        <f t="shared" si="17"/>
        <v>6</v>
      </c>
      <c r="R365" s="331" t="str">
        <f t="shared" si="18"/>
        <v>Gastos_custeados_por_captação</v>
      </c>
      <c r="S365" s="331" t="str">
        <f>IF(D365="","",IF(OR(D365=Plano!$A$1,D365=Plano!$B$1),"entrada","saída"))</f>
        <v>saída</v>
      </c>
      <c r="T365" s="332" t="s">
        <v>1059</v>
      </c>
      <c r="U365" s="332">
        <v>1633</v>
      </c>
      <c r="V365" s="269"/>
      <c r="W365" s="269"/>
      <c r="X365" s="269"/>
      <c r="Y365" s="269"/>
      <c r="Z365" s="269"/>
      <c r="AA365" s="269"/>
      <c r="AB365" s="269"/>
      <c r="AC365" s="269"/>
      <c r="AD365" s="269"/>
      <c r="AE365" s="269"/>
      <c r="AF365" s="269"/>
      <c r="AG365" s="269"/>
      <c r="AH365" s="269"/>
      <c r="AI365" s="269"/>
      <c r="AJ365" s="269"/>
      <c r="AK365" s="269"/>
      <c r="AL365" s="269"/>
      <c r="AM365" s="269"/>
    </row>
    <row r="366" spans="1:39" ht="71.25" customHeight="1" x14ac:dyDescent="0.2">
      <c r="A366" s="277">
        <f>IF(B366="","",COUNT('Diário 5º PA'!$A$5:$A$2634)+COUNT('Diário 6º PA'!$A$5:$A$2246)+ROW()-4)</f>
        <v>2905</v>
      </c>
      <c r="B366" s="278">
        <v>44403</v>
      </c>
      <c r="C366" s="256">
        <v>44348</v>
      </c>
      <c r="D366" s="255" t="s">
        <v>99</v>
      </c>
      <c r="E366" s="255" t="s">
        <v>222</v>
      </c>
      <c r="F366" s="258">
        <v>-204.23</v>
      </c>
      <c r="G366" s="450" t="s">
        <v>1559</v>
      </c>
      <c r="H366" s="255" t="s">
        <v>115</v>
      </c>
      <c r="I366" s="250" t="s">
        <v>983</v>
      </c>
      <c r="J366" s="255" t="s">
        <v>850</v>
      </c>
      <c r="K366" s="255" t="s">
        <v>1069</v>
      </c>
      <c r="L366" s="250" t="s">
        <v>947</v>
      </c>
      <c r="M366" s="277" t="s">
        <v>114</v>
      </c>
      <c r="N366" s="278">
        <v>44403</v>
      </c>
      <c r="O366" s="329" t="s">
        <v>67</v>
      </c>
      <c r="P366" s="330">
        <f t="shared" si="16"/>
        <v>7</v>
      </c>
      <c r="Q366" s="330">
        <f t="shared" si="17"/>
        <v>6</v>
      </c>
      <c r="R366" s="331" t="str">
        <f t="shared" si="18"/>
        <v>Gastos_Gerais</v>
      </c>
      <c r="S366" s="331" t="str">
        <f>IF(D366="","",IF(OR(D366=Plano!$A$1,D366=Plano!$B$1),"entrada","saída"))</f>
        <v>saída</v>
      </c>
      <c r="T366" s="332" t="s">
        <v>114</v>
      </c>
      <c r="U366" s="332" t="s">
        <v>114</v>
      </c>
      <c r="V366" s="269"/>
      <c r="W366" s="269"/>
      <c r="X366" s="269"/>
      <c r="Y366" s="269"/>
      <c r="Z366" s="269"/>
      <c r="AA366" s="269"/>
      <c r="AB366" s="269"/>
      <c r="AC366" s="269"/>
      <c r="AD366" s="269"/>
      <c r="AE366" s="269"/>
      <c r="AF366" s="269"/>
      <c r="AG366" s="269"/>
      <c r="AH366" s="269"/>
      <c r="AI366" s="269"/>
      <c r="AJ366" s="269"/>
      <c r="AK366" s="269"/>
      <c r="AL366" s="269"/>
      <c r="AM366" s="269"/>
    </row>
    <row r="367" spans="1:39" ht="60.75" customHeight="1" x14ac:dyDescent="0.2">
      <c r="A367" s="277">
        <f>IF(B367="","",COUNT('Diário 5º PA'!$A$5:$A$2634)+COUNT('Diário 6º PA'!$A$5:$A$2246)+ROW()-4)</f>
        <v>2906</v>
      </c>
      <c r="B367" s="278">
        <v>44403</v>
      </c>
      <c r="C367" s="256">
        <v>44348</v>
      </c>
      <c r="D367" s="255" t="s">
        <v>99</v>
      </c>
      <c r="E367" s="255" t="s">
        <v>254</v>
      </c>
      <c r="F367" s="258">
        <v>-114.88</v>
      </c>
      <c r="G367" s="450" t="s">
        <v>1560</v>
      </c>
      <c r="H367" s="255" t="s">
        <v>115</v>
      </c>
      <c r="I367" s="250" t="s">
        <v>983</v>
      </c>
      <c r="J367" s="255" t="s">
        <v>850</v>
      </c>
      <c r="K367" s="255" t="s">
        <v>1069</v>
      </c>
      <c r="L367" s="250" t="s">
        <v>947</v>
      </c>
      <c r="M367" s="277" t="s">
        <v>114</v>
      </c>
      <c r="N367" s="278">
        <v>44403</v>
      </c>
      <c r="O367" s="329" t="s">
        <v>67</v>
      </c>
      <c r="P367" s="330">
        <f t="shared" si="16"/>
        <v>7</v>
      </c>
      <c r="Q367" s="330">
        <f t="shared" si="17"/>
        <v>6</v>
      </c>
      <c r="R367" s="331" t="str">
        <f t="shared" si="18"/>
        <v>Gastos_Gerais</v>
      </c>
      <c r="S367" s="331" t="str">
        <f>IF(D367="","",IF(OR(D367=Plano!$A$1,D367=Plano!$B$1),"entrada","saída"))</f>
        <v>saída</v>
      </c>
      <c r="T367" s="332" t="s">
        <v>114</v>
      </c>
      <c r="U367" s="332" t="s">
        <v>114</v>
      </c>
      <c r="V367" s="269"/>
      <c r="W367" s="269"/>
      <c r="X367" s="269"/>
      <c r="Y367" s="269"/>
      <c r="Z367" s="269"/>
      <c r="AA367" s="269"/>
      <c r="AB367" s="269"/>
      <c r="AC367" s="269"/>
      <c r="AD367" s="269"/>
      <c r="AE367" s="269"/>
      <c r="AF367" s="269"/>
      <c r="AG367" s="269"/>
      <c r="AH367" s="269"/>
      <c r="AI367" s="269"/>
      <c r="AJ367" s="269"/>
      <c r="AK367" s="269"/>
      <c r="AL367" s="269"/>
      <c r="AM367" s="269"/>
    </row>
    <row r="368" spans="1:39" ht="172.5" customHeight="1" x14ac:dyDescent="0.2">
      <c r="A368" s="277">
        <f>IF(B368="","",COUNT('Diário 5º PA'!$A$5:$A$2634)+COUNT('Diário 6º PA'!$A$5:$A$2246)+ROW()-4)</f>
        <v>2907</v>
      </c>
      <c r="B368" s="278">
        <v>44403</v>
      </c>
      <c r="C368" s="249">
        <v>44348</v>
      </c>
      <c r="D368" s="250" t="s">
        <v>99</v>
      </c>
      <c r="E368" s="250" t="s">
        <v>364</v>
      </c>
      <c r="F368" s="251">
        <v>1814.4</v>
      </c>
      <c r="G368" s="452" t="s">
        <v>1561</v>
      </c>
      <c r="H368" s="250" t="s">
        <v>125</v>
      </c>
      <c r="I368" s="250" t="s">
        <v>1562</v>
      </c>
      <c r="J368" s="250" t="s">
        <v>1563</v>
      </c>
      <c r="K368" s="255" t="s">
        <v>1015</v>
      </c>
      <c r="L368" s="250" t="s">
        <v>1029</v>
      </c>
      <c r="M368" s="277">
        <v>1241</v>
      </c>
      <c r="N368" s="278">
        <v>44397</v>
      </c>
      <c r="O368" s="329" t="s">
        <v>67</v>
      </c>
      <c r="P368" s="330">
        <f t="shared" si="16"/>
        <v>7</v>
      </c>
      <c r="Q368" s="330">
        <f t="shared" si="17"/>
        <v>6</v>
      </c>
      <c r="R368" s="331" t="str">
        <f t="shared" si="18"/>
        <v>Gastos_Gerais</v>
      </c>
      <c r="S368" s="331" t="str">
        <f>IF(D368="","",IF(OR(D368=Plano!$A$1,D368=Plano!$B$1),"entrada","saída"))</f>
        <v>saída</v>
      </c>
      <c r="T368" s="334" t="s">
        <v>994</v>
      </c>
      <c r="U368" s="334">
        <v>1652</v>
      </c>
      <c r="V368" s="269"/>
      <c r="W368" s="269"/>
      <c r="X368" s="269"/>
      <c r="Y368" s="269"/>
      <c r="Z368" s="269"/>
      <c r="AA368" s="269"/>
      <c r="AB368" s="269"/>
      <c r="AC368" s="269"/>
      <c r="AD368" s="269"/>
      <c r="AE368" s="269"/>
      <c r="AF368" s="269"/>
      <c r="AG368" s="269"/>
      <c r="AH368" s="269"/>
      <c r="AI368" s="269"/>
      <c r="AJ368" s="269"/>
      <c r="AK368" s="269"/>
      <c r="AL368" s="269"/>
      <c r="AM368" s="269"/>
    </row>
    <row r="369" spans="1:39" ht="178.5" customHeight="1" x14ac:dyDescent="0.2">
      <c r="A369" s="277">
        <f>IF(B369="","",COUNT('Diário 5º PA'!$A$5:$A$2634)+COUNT('Diário 6º PA'!$A$5:$A$2246)+ROW()-4)</f>
        <v>2908</v>
      </c>
      <c r="B369" s="278">
        <v>44403</v>
      </c>
      <c r="C369" s="335">
        <v>44348</v>
      </c>
      <c r="D369" s="255" t="s">
        <v>99</v>
      </c>
      <c r="E369" s="255" t="s">
        <v>364</v>
      </c>
      <c r="F369" s="258">
        <v>2621.23</v>
      </c>
      <c r="G369" s="450" t="s">
        <v>1564</v>
      </c>
      <c r="H369" s="255" t="s">
        <v>131</v>
      </c>
      <c r="I369" s="250" t="s">
        <v>1565</v>
      </c>
      <c r="J369" s="255" t="s">
        <v>1566</v>
      </c>
      <c r="K369" s="255" t="s">
        <v>1015</v>
      </c>
      <c r="L369" s="250" t="s">
        <v>992</v>
      </c>
      <c r="M369" s="277" t="s">
        <v>1299</v>
      </c>
      <c r="N369" s="278">
        <v>44400</v>
      </c>
      <c r="O369" s="329" t="s">
        <v>67</v>
      </c>
      <c r="P369" s="330">
        <f t="shared" si="16"/>
        <v>7</v>
      </c>
      <c r="Q369" s="330">
        <f t="shared" si="17"/>
        <v>6</v>
      </c>
      <c r="R369" s="331" t="str">
        <f t="shared" si="18"/>
        <v>Gastos_Gerais</v>
      </c>
      <c r="S369" s="331" t="str">
        <f>IF(D369="","",IF(OR(D369=Plano!$A$1,D369=Plano!$B$1),"entrada","saída"))</f>
        <v>saída</v>
      </c>
      <c r="T369" s="334" t="s">
        <v>1082</v>
      </c>
      <c r="U369" s="334">
        <v>1635</v>
      </c>
      <c r="V369" s="269"/>
      <c r="W369" s="269"/>
      <c r="X369" s="269"/>
      <c r="Y369" s="269"/>
      <c r="Z369" s="269"/>
      <c r="AA369" s="269"/>
      <c r="AB369" s="269"/>
      <c r="AC369" s="269"/>
      <c r="AD369" s="269"/>
      <c r="AE369" s="269"/>
      <c r="AF369" s="269"/>
      <c r="AG369" s="269"/>
      <c r="AH369" s="269"/>
      <c r="AI369" s="269"/>
      <c r="AJ369" s="269"/>
      <c r="AK369" s="269"/>
      <c r="AL369" s="269"/>
      <c r="AM369" s="269"/>
    </row>
    <row r="370" spans="1:39" ht="47.25" customHeight="1" x14ac:dyDescent="0.2">
      <c r="A370" s="277">
        <f>IF(B370="","",COUNT('Diário 5º PA'!$A$5:$A$2634)+COUNT('Diário 6º PA'!$A$5:$A$2246)+ROW()-4)</f>
        <v>2909</v>
      </c>
      <c r="B370" s="278">
        <v>44403</v>
      </c>
      <c r="C370" s="256">
        <v>44348</v>
      </c>
      <c r="D370" s="255" t="s">
        <v>99</v>
      </c>
      <c r="E370" s="255" t="s">
        <v>222</v>
      </c>
      <c r="F370" s="258">
        <v>773.3</v>
      </c>
      <c r="G370" s="450" t="s">
        <v>1567</v>
      </c>
      <c r="H370" s="255" t="s">
        <v>115</v>
      </c>
      <c r="I370" s="250" t="s">
        <v>525</v>
      </c>
      <c r="J370" s="255" t="s">
        <v>1568</v>
      </c>
      <c r="K370" s="255" t="s">
        <v>1375</v>
      </c>
      <c r="L370" s="250" t="s">
        <v>697</v>
      </c>
      <c r="M370" s="277" t="s">
        <v>114</v>
      </c>
      <c r="N370" s="278">
        <v>44384</v>
      </c>
      <c r="O370" s="329" t="s">
        <v>67</v>
      </c>
      <c r="P370" s="330">
        <f t="shared" si="16"/>
        <v>7</v>
      </c>
      <c r="Q370" s="330">
        <f t="shared" si="17"/>
        <v>6</v>
      </c>
      <c r="R370" s="331" t="str">
        <f t="shared" si="18"/>
        <v>Gastos_Gerais</v>
      </c>
      <c r="S370" s="331" t="str">
        <f>IF(D370="","",IF(OR(D370=Plano!$A$1,D370=Plano!$B$1),"entrada","saída"))</f>
        <v>saída</v>
      </c>
      <c r="T370" s="332" t="s">
        <v>114</v>
      </c>
      <c r="U370" s="332" t="s">
        <v>114</v>
      </c>
      <c r="V370" s="269"/>
      <c r="W370" s="269"/>
      <c r="X370" s="269"/>
      <c r="Y370" s="269"/>
      <c r="Z370" s="269"/>
      <c r="AA370" s="269"/>
      <c r="AB370" s="269"/>
      <c r="AC370" s="269"/>
      <c r="AD370" s="269"/>
      <c r="AE370" s="269"/>
      <c r="AF370" s="269"/>
      <c r="AG370" s="269"/>
      <c r="AH370" s="269"/>
      <c r="AI370" s="269"/>
      <c r="AJ370" s="269"/>
      <c r="AK370" s="269"/>
      <c r="AL370" s="269"/>
      <c r="AM370" s="269"/>
    </row>
    <row r="371" spans="1:39" ht="48.75" customHeight="1" x14ac:dyDescent="0.2">
      <c r="A371" s="277">
        <f>IF(B371="","",COUNT('Diário 5º PA'!$A$5:$A$2634)+COUNT('Diário 6º PA'!$A$5:$A$2246)+ROW()-4)</f>
        <v>2910</v>
      </c>
      <c r="B371" s="278">
        <v>44403</v>
      </c>
      <c r="C371" s="335">
        <v>44348</v>
      </c>
      <c r="D371" s="255" t="s">
        <v>99</v>
      </c>
      <c r="E371" s="255" t="s">
        <v>330</v>
      </c>
      <c r="F371" s="258">
        <v>300</v>
      </c>
      <c r="G371" s="450" t="s">
        <v>1569</v>
      </c>
      <c r="H371" s="255" t="s">
        <v>115</v>
      </c>
      <c r="I371" s="250" t="s">
        <v>1570</v>
      </c>
      <c r="J371" s="255" t="s">
        <v>646</v>
      </c>
      <c r="K371" s="255" t="s">
        <v>560</v>
      </c>
      <c r="L371" s="250" t="s">
        <v>1016</v>
      </c>
      <c r="M371" s="277">
        <v>4848976</v>
      </c>
      <c r="N371" s="278">
        <v>44405</v>
      </c>
      <c r="O371" s="329" t="s">
        <v>67</v>
      </c>
      <c r="P371" s="330">
        <f t="shared" si="16"/>
        <v>7</v>
      </c>
      <c r="Q371" s="330">
        <f t="shared" si="17"/>
        <v>6</v>
      </c>
      <c r="R371" s="331" t="str">
        <f t="shared" si="18"/>
        <v>Gastos_Gerais</v>
      </c>
      <c r="S371" s="331" t="str">
        <f>IF(D371="","",IF(OR(D371=Plano!$A$1,D371=Plano!$B$1),"entrada","saída"))</f>
        <v>saída</v>
      </c>
      <c r="T371" s="332" t="s">
        <v>1082</v>
      </c>
      <c r="U371" s="332">
        <v>1551</v>
      </c>
      <c r="V371" s="269"/>
      <c r="W371" s="269"/>
      <c r="X371" s="269"/>
      <c r="Y371" s="269"/>
      <c r="Z371" s="269"/>
      <c r="AA371" s="269"/>
      <c r="AB371" s="269"/>
      <c r="AC371" s="269"/>
      <c r="AD371" s="269"/>
      <c r="AE371" s="269"/>
      <c r="AF371" s="269"/>
      <c r="AG371" s="269"/>
      <c r="AH371" s="269"/>
      <c r="AI371" s="269"/>
      <c r="AJ371" s="269"/>
      <c r="AK371" s="269"/>
      <c r="AL371" s="269"/>
      <c r="AM371" s="269"/>
    </row>
    <row r="372" spans="1:39" ht="41.25" customHeight="1" x14ac:dyDescent="0.2">
      <c r="A372" s="277">
        <f>IF(B372="","",COUNT('Diário 5º PA'!$A$5:$A$2634)+COUNT('Diário 6º PA'!$A$5:$A$2246)+ROW()-4)</f>
        <v>2911</v>
      </c>
      <c r="B372" s="278">
        <v>44403</v>
      </c>
      <c r="C372" s="335">
        <v>44378</v>
      </c>
      <c r="D372" s="255" t="s">
        <v>99</v>
      </c>
      <c r="E372" s="255" t="s">
        <v>218</v>
      </c>
      <c r="F372" s="258">
        <v>33.33</v>
      </c>
      <c r="G372" s="450" t="s">
        <v>1571</v>
      </c>
      <c r="H372" s="255" t="s">
        <v>129</v>
      </c>
      <c r="I372" s="250" t="s">
        <v>515</v>
      </c>
      <c r="J372" s="255" t="s">
        <v>699</v>
      </c>
      <c r="K372" s="255" t="s">
        <v>700</v>
      </c>
      <c r="L372" s="250" t="s">
        <v>697</v>
      </c>
      <c r="M372" s="277" t="s">
        <v>1572</v>
      </c>
      <c r="N372" s="278">
        <v>44387</v>
      </c>
      <c r="O372" s="329" t="s">
        <v>67</v>
      </c>
      <c r="P372" s="330">
        <f t="shared" si="16"/>
        <v>7</v>
      </c>
      <c r="Q372" s="330">
        <f t="shared" si="17"/>
        <v>7</v>
      </c>
      <c r="R372" s="331" t="str">
        <f t="shared" si="18"/>
        <v>Gastos_Gerais</v>
      </c>
      <c r="S372" s="331" t="str">
        <f>IF(D372="","",IF(OR(D372=Plano!$A$1,D372=Plano!$B$1),"entrada","saída"))</f>
        <v>saída</v>
      </c>
      <c r="T372" s="332" t="s">
        <v>114</v>
      </c>
      <c r="U372" s="332" t="s">
        <v>114</v>
      </c>
      <c r="V372" s="269"/>
      <c r="W372" s="269"/>
      <c r="X372" s="269"/>
      <c r="Y372" s="269"/>
      <c r="Z372" s="269"/>
      <c r="AA372" s="269"/>
      <c r="AB372" s="269"/>
      <c r="AC372" s="269"/>
      <c r="AD372" s="269"/>
      <c r="AE372" s="269"/>
      <c r="AF372" s="269"/>
      <c r="AG372" s="269"/>
      <c r="AH372" s="269"/>
      <c r="AI372" s="269"/>
      <c r="AJ372" s="269"/>
      <c r="AK372" s="269"/>
      <c r="AL372" s="269"/>
      <c r="AM372" s="269"/>
    </row>
    <row r="373" spans="1:39" ht="143.25" customHeight="1" x14ac:dyDescent="0.2">
      <c r="A373" s="277">
        <f>IF(B373="","",COUNT('Diário 5º PA'!$A$5:$A$2634)+COUNT('Diário 6º PA'!$A$5:$A$2246)+ROW()-4)</f>
        <v>2912</v>
      </c>
      <c r="B373" s="278">
        <v>44403</v>
      </c>
      <c r="C373" s="256">
        <v>44348</v>
      </c>
      <c r="D373" s="255" t="s">
        <v>99</v>
      </c>
      <c r="E373" s="255" t="s">
        <v>254</v>
      </c>
      <c r="F373" s="258">
        <v>435</v>
      </c>
      <c r="G373" s="450" t="s">
        <v>445</v>
      </c>
      <c r="H373" s="255" t="s">
        <v>115</v>
      </c>
      <c r="I373" s="252" t="s">
        <v>1573</v>
      </c>
      <c r="J373" s="255" t="s">
        <v>1574</v>
      </c>
      <c r="K373" s="255" t="s">
        <v>991</v>
      </c>
      <c r="L373" s="250" t="s">
        <v>1378</v>
      </c>
      <c r="M373" s="277">
        <v>21332</v>
      </c>
      <c r="N373" s="278">
        <v>44388</v>
      </c>
      <c r="O373" s="329" t="s">
        <v>67</v>
      </c>
      <c r="P373" s="330">
        <f t="shared" si="16"/>
        <v>7</v>
      </c>
      <c r="Q373" s="330">
        <f t="shared" si="17"/>
        <v>6</v>
      </c>
      <c r="R373" s="331" t="str">
        <f t="shared" si="18"/>
        <v>Gastos_Gerais</v>
      </c>
      <c r="S373" s="331" t="str">
        <f>IF(D373="","",IF(OR(D373=Plano!$A$1,D373=Plano!$B$1),"entrada","saída"))</f>
        <v>saída</v>
      </c>
      <c r="T373" s="332" t="s">
        <v>1059</v>
      </c>
      <c r="U373" s="332">
        <v>1117</v>
      </c>
      <c r="V373" s="269"/>
      <c r="W373" s="269"/>
      <c r="X373" s="269"/>
      <c r="Y373" s="269"/>
      <c r="Z373" s="269"/>
      <c r="AA373" s="269"/>
      <c r="AB373" s="269"/>
      <c r="AC373" s="269"/>
      <c r="AD373" s="269"/>
      <c r="AE373" s="269"/>
      <c r="AF373" s="269"/>
      <c r="AG373" s="269"/>
      <c r="AH373" s="269"/>
      <c r="AI373" s="269"/>
      <c r="AJ373" s="269"/>
      <c r="AK373" s="269"/>
      <c r="AL373" s="269"/>
      <c r="AM373" s="269"/>
    </row>
    <row r="374" spans="1:39" ht="52.5" customHeight="1" x14ac:dyDescent="0.2">
      <c r="A374" s="277">
        <f>IF(B374="","",COUNT('Diário 5º PA'!$A$5:$A$2634)+COUNT('Diário 6º PA'!$A$5:$A$2246)+ROW()-4)</f>
        <v>2913</v>
      </c>
      <c r="B374" s="278">
        <v>44403</v>
      </c>
      <c r="C374" s="256">
        <v>44378</v>
      </c>
      <c r="D374" s="255" t="s">
        <v>88</v>
      </c>
      <c r="E374" s="255" t="s">
        <v>177</v>
      </c>
      <c r="F374" s="258">
        <v>4692.0200000000004</v>
      </c>
      <c r="G374" s="450" t="s">
        <v>1575</v>
      </c>
      <c r="H374" s="255" t="s">
        <v>114</v>
      </c>
      <c r="I374" s="250" t="s">
        <v>1181</v>
      </c>
      <c r="J374" s="255" t="s">
        <v>1182</v>
      </c>
      <c r="K374" s="255" t="s">
        <v>991</v>
      </c>
      <c r="L374" s="250" t="s">
        <v>1347</v>
      </c>
      <c r="M374" s="277" t="s">
        <v>114</v>
      </c>
      <c r="N374" s="278">
        <v>44403</v>
      </c>
      <c r="O374" s="329" t="s">
        <v>67</v>
      </c>
      <c r="P374" s="330">
        <f t="shared" si="16"/>
        <v>7</v>
      </c>
      <c r="Q374" s="330">
        <f t="shared" si="17"/>
        <v>7</v>
      </c>
      <c r="R374" s="331" t="str">
        <f t="shared" si="18"/>
        <v>Gastos_com_Pessoal</v>
      </c>
      <c r="S374" s="331" t="str">
        <f>IF(D374="","",IF(OR(D374=Plano!$A$1,D374=Plano!$B$1),"entrada","saída"))</f>
        <v>saída</v>
      </c>
      <c r="T374" s="332" t="s">
        <v>114</v>
      </c>
      <c r="U374" s="332" t="s">
        <v>114</v>
      </c>
      <c r="V374" s="269"/>
      <c r="W374" s="269"/>
      <c r="X374" s="269"/>
      <c r="Y374" s="269"/>
      <c r="Z374" s="269"/>
      <c r="AA374" s="269"/>
      <c r="AB374" s="269"/>
      <c r="AC374" s="269"/>
      <c r="AD374" s="269"/>
      <c r="AE374" s="269"/>
      <c r="AF374" s="269"/>
      <c r="AG374" s="269"/>
      <c r="AH374" s="269"/>
      <c r="AI374" s="269"/>
      <c r="AJ374" s="269"/>
      <c r="AK374" s="269"/>
      <c r="AL374" s="269"/>
      <c r="AM374" s="269"/>
    </row>
    <row r="375" spans="1:39" ht="49.5" customHeight="1" x14ac:dyDescent="0.2">
      <c r="A375" s="277">
        <f>IF(B375="","",COUNT('Diário 5º PA'!$A$5:$A$2634)+COUNT('Diário 6º PA'!$A$5:$A$2246)+ROW()-4)</f>
        <v>2914</v>
      </c>
      <c r="B375" s="278">
        <v>44403</v>
      </c>
      <c r="C375" s="249">
        <v>44378</v>
      </c>
      <c r="D375" s="250" t="s">
        <v>99</v>
      </c>
      <c r="E375" s="250" t="s">
        <v>364</v>
      </c>
      <c r="F375" s="251">
        <v>3000</v>
      </c>
      <c r="G375" s="452" t="s">
        <v>1576</v>
      </c>
      <c r="H375" s="250" t="s">
        <v>125</v>
      </c>
      <c r="I375" s="250" t="s">
        <v>1577</v>
      </c>
      <c r="J375" s="250" t="s">
        <v>1578</v>
      </c>
      <c r="K375" s="255" t="s">
        <v>991</v>
      </c>
      <c r="L375" s="250" t="s">
        <v>992</v>
      </c>
      <c r="M375" s="277">
        <v>189</v>
      </c>
      <c r="N375" s="278">
        <v>44400</v>
      </c>
      <c r="O375" s="329" t="s">
        <v>67</v>
      </c>
      <c r="P375" s="330">
        <f t="shared" si="16"/>
        <v>7</v>
      </c>
      <c r="Q375" s="330">
        <f t="shared" si="17"/>
        <v>7</v>
      </c>
      <c r="R375" s="331" t="str">
        <f t="shared" si="18"/>
        <v>Gastos_Gerais</v>
      </c>
      <c r="S375" s="331" t="str">
        <f>IF(D375="","",IF(OR(D375=Plano!$A$1,D375=Plano!$B$1),"entrada","saída"))</f>
        <v>saída</v>
      </c>
      <c r="T375" s="334" t="s">
        <v>994</v>
      </c>
      <c r="U375" s="334">
        <v>1750</v>
      </c>
      <c r="V375" s="269"/>
      <c r="W375" s="269"/>
      <c r="X375" s="269"/>
      <c r="Y375" s="269"/>
      <c r="Z375" s="269"/>
      <c r="AA375" s="269"/>
      <c r="AB375" s="269"/>
      <c r="AC375" s="269"/>
      <c r="AD375" s="269"/>
      <c r="AE375" s="269"/>
      <c r="AF375" s="269"/>
      <c r="AG375" s="269"/>
      <c r="AH375" s="269"/>
      <c r="AI375" s="269"/>
      <c r="AJ375" s="269"/>
      <c r="AK375" s="269"/>
      <c r="AL375" s="269"/>
      <c r="AM375" s="269"/>
    </row>
    <row r="376" spans="1:39" ht="72.75" customHeight="1" x14ac:dyDescent="0.2">
      <c r="A376" s="277">
        <f>IF(B376="","",COUNT('Diário 5º PA'!$A$5:$A$2634)+COUNT('Diário 6º PA'!$A$5:$A$2246)+ROW()-4)</f>
        <v>2915</v>
      </c>
      <c r="B376" s="278">
        <v>44403</v>
      </c>
      <c r="C376" s="249">
        <v>44317</v>
      </c>
      <c r="D376" s="250" t="s">
        <v>99</v>
      </c>
      <c r="E376" s="250" t="s">
        <v>370</v>
      </c>
      <c r="F376" s="251">
        <v>1600</v>
      </c>
      <c r="G376" s="452" t="s">
        <v>1579</v>
      </c>
      <c r="H376" s="250" t="s">
        <v>118</v>
      </c>
      <c r="I376" s="250" t="s">
        <v>1580</v>
      </c>
      <c r="J376" s="250" t="s">
        <v>1581</v>
      </c>
      <c r="K376" s="255" t="s">
        <v>991</v>
      </c>
      <c r="L376" s="250" t="s">
        <v>992</v>
      </c>
      <c r="M376" s="277">
        <v>134</v>
      </c>
      <c r="N376" s="278">
        <v>44400</v>
      </c>
      <c r="O376" s="329" t="s">
        <v>67</v>
      </c>
      <c r="P376" s="330">
        <f t="shared" si="16"/>
        <v>7</v>
      </c>
      <c r="Q376" s="330">
        <f t="shared" si="17"/>
        <v>5</v>
      </c>
      <c r="R376" s="331" t="str">
        <f t="shared" si="18"/>
        <v>Gastos_Gerais</v>
      </c>
      <c r="S376" s="331" t="str">
        <f>IF(D376="","",IF(OR(D376=Plano!$A$1,D376=Plano!$B$1),"entrada","saída"))</f>
        <v>saída</v>
      </c>
      <c r="T376" s="334" t="s">
        <v>994</v>
      </c>
      <c r="U376" s="334">
        <v>1564</v>
      </c>
      <c r="V376" s="269"/>
      <c r="W376" s="269"/>
      <c r="X376" s="269"/>
      <c r="Y376" s="269"/>
      <c r="Z376" s="269"/>
      <c r="AA376" s="269"/>
      <c r="AB376" s="269"/>
      <c r="AC376" s="269"/>
      <c r="AD376" s="269"/>
      <c r="AE376" s="269"/>
      <c r="AF376" s="269"/>
      <c r="AG376" s="269"/>
      <c r="AH376" s="269"/>
      <c r="AI376" s="269"/>
      <c r="AJ376" s="269"/>
      <c r="AK376" s="269"/>
      <c r="AL376" s="269"/>
      <c r="AM376" s="269"/>
    </row>
    <row r="377" spans="1:39" ht="74.25" customHeight="1" x14ac:dyDescent="0.2">
      <c r="A377" s="277">
        <f>IF(B377="","",COUNT('Diário 5º PA'!$A$5:$A$2634)+COUNT('Diário 6º PA'!$A$5:$A$2246)+ROW()-4)</f>
        <v>2916</v>
      </c>
      <c r="B377" s="278">
        <v>44403</v>
      </c>
      <c r="C377" s="249">
        <v>44378</v>
      </c>
      <c r="D377" s="250" t="s">
        <v>99</v>
      </c>
      <c r="E377" s="250" t="s">
        <v>370</v>
      </c>
      <c r="F377" s="251">
        <v>1600</v>
      </c>
      <c r="G377" s="452" t="s">
        <v>1582</v>
      </c>
      <c r="H377" s="250" t="s">
        <v>118</v>
      </c>
      <c r="I377" s="250" t="s">
        <v>1580</v>
      </c>
      <c r="J377" s="250" t="s">
        <v>1581</v>
      </c>
      <c r="K377" s="255" t="s">
        <v>991</v>
      </c>
      <c r="L377" s="250" t="s">
        <v>992</v>
      </c>
      <c r="M377" s="277">
        <v>135</v>
      </c>
      <c r="N377" s="278">
        <v>44400</v>
      </c>
      <c r="O377" s="329" t="s">
        <v>67</v>
      </c>
      <c r="P377" s="330">
        <f t="shared" si="16"/>
        <v>7</v>
      </c>
      <c r="Q377" s="330">
        <f t="shared" si="17"/>
        <v>7</v>
      </c>
      <c r="R377" s="331" t="str">
        <f t="shared" si="18"/>
        <v>Gastos_Gerais</v>
      </c>
      <c r="S377" s="331" t="str">
        <f>IF(D377="","",IF(OR(D377=Plano!$A$1,D377=Plano!$B$1),"entrada","saída"))</f>
        <v>saída</v>
      </c>
      <c r="T377" s="334" t="s">
        <v>994</v>
      </c>
      <c r="U377" s="334">
        <v>1726</v>
      </c>
      <c r="V377" s="269"/>
      <c r="W377" s="269"/>
      <c r="X377" s="269"/>
      <c r="Y377" s="269"/>
      <c r="Z377" s="269"/>
      <c r="AA377" s="269"/>
      <c r="AB377" s="269"/>
      <c r="AC377" s="269"/>
      <c r="AD377" s="269"/>
      <c r="AE377" s="269"/>
      <c r="AF377" s="269"/>
      <c r="AG377" s="269"/>
      <c r="AH377" s="269"/>
      <c r="AI377" s="269"/>
      <c r="AJ377" s="269"/>
      <c r="AK377" s="269"/>
      <c r="AL377" s="269"/>
      <c r="AM377" s="269"/>
    </row>
    <row r="378" spans="1:39" ht="39" customHeight="1" x14ac:dyDescent="0.2">
      <c r="A378" s="277">
        <f>IF(B378="","",COUNT('Diário 5º PA'!$A$5:$A$2634)+COUNT('Diário 6º PA'!$A$5:$A$2246)+ROW()-4)</f>
        <v>2917</v>
      </c>
      <c r="B378" s="278">
        <v>44403</v>
      </c>
      <c r="C378" s="249">
        <v>44378</v>
      </c>
      <c r="D378" s="255" t="s">
        <v>88</v>
      </c>
      <c r="E378" s="255" t="s">
        <v>181</v>
      </c>
      <c r="F378" s="258">
        <v>206</v>
      </c>
      <c r="G378" s="450" t="s">
        <v>1583</v>
      </c>
      <c r="H378" s="255" t="s">
        <v>114</v>
      </c>
      <c r="I378" s="250" t="s">
        <v>1584</v>
      </c>
      <c r="J378" s="352">
        <v>80377316.180000007</v>
      </c>
      <c r="K378" s="255" t="s">
        <v>991</v>
      </c>
      <c r="L378" s="250" t="s">
        <v>1352</v>
      </c>
      <c r="M378" s="277" t="s">
        <v>114</v>
      </c>
      <c r="N378" s="278">
        <v>44403</v>
      </c>
      <c r="O378" s="329" t="s">
        <v>67</v>
      </c>
      <c r="P378" s="330">
        <f t="shared" si="16"/>
        <v>7</v>
      </c>
      <c r="Q378" s="330">
        <f t="shared" si="17"/>
        <v>7</v>
      </c>
      <c r="R378" s="331" t="str">
        <f t="shared" si="18"/>
        <v>Gastos_com_Pessoal</v>
      </c>
      <c r="S378" s="331" t="str">
        <f>IF(D378="","",IF(OR(D378=Plano!$A$1,D378=Plano!$B$1),"entrada","saída"))</f>
        <v>saída</v>
      </c>
      <c r="T378" s="334" t="s">
        <v>114</v>
      </c>
      <c r="U378" s="334" t="s">
        <v>114</v>
      </c>
      <c r="V378" s="269"/>
      <c r="W378" s="269"/>
      <c r="X378" s="269"/>
      <c r="Y378" s="269"/>
      <c r="Z378" s="269"/>
      <c r="AA378" s="269"/>
      <c r="AB378" s="269"/>
      <c r="AC378" s="269"/>
      <c r="AD378" s="269"/>
      <c r="AE378" s="269"/>
      <c r="AF378" s="269"/>
      <c r="AG378" s="269"/>
      <c r="AH378" s="269"/>
      <c r="AI378" s="269"/>
      <c r="AJ378" s="269"/>
      <c r="AK378" s="269"/>
      <c r="AL378" s="269"/>
      <c r="AM378" s="269"/>
    </row>
    <row r="379" spans="1:39" ht="48.75" customHeight="1" x14ac:dyDescent="0.2">
      <c r="A379" s="277">
        <f>IF(B379="","",COUNT('Diário 5º PA'!$A$5:$A$2634)+COUNT('Diário 6º PA'!$A$5:$A$2246)+ROW()-4)</f>
        <v>2918</v>
      </c>
      <c r="B379" s="278">
        <v>44403</v>
      </c>
      <c r="C379" s="249">
        <v>44378</v>
      </c>
      <c r="D379" s="255" t="s">
        <v>99</v>
      </c>
      <c r="E379" s="255" t="s">
        <v>272</v>
      </c>
      <c r="F379" s="258">
        <v>10.45</v>
      </c>
      <c r="G379" s="450" t="s">
        <v>1585</v>
      </c>
      <c r="H379" s="255" t="s">
        <v>115</v>
      </c>
      <c r="I379" s="250" t="s">
        <v>949</v>
      </c>
      <c r="J379" s="255" t="s">
        <v>950</v>
      </c>
      <c r="K379" s="255" t="s">
        <v>951</v>
      </c>
      <c r="L379" s="250" t="s">
        <v>947</v>
      </c>
      <c r="M379" s="336" t="s">
        <v>114</v>
      </c>
      <c r="N379" s="278">
        <v>44403</v>
      </c>
      <c r="O379" s="329" t="s">
        <v>67</v>
      </c>
      <c r="P379" s="330">
        <f t="shared" si="16"/>
        <v>7</v>
      </c>
      <c r="Q379" s="330">
        <f t="shared" si="17"/>
        <v>7</v>
      </c>
      <c r="R379" s="331" t="str">
        <f t="shared" si="18"/>
        <v>Gastos_Gerais</v>
      </c>
      <c r="S379" s="331" t="str">
        <f>IF(D379="","",IF(OR(D379=Plano!$A$1,D379=Plano!$B$1),"entrada","saída"))</f>
        <v>saída</v>
      </c>
      <c r="T379" s="332" t="s">
        <v>114</v>
      </c>
      <c r="U379" s="332" t="s">
        <v>114</v>
      </c>
      <c r="V379" s="269"/>
      <c r="W379" s="269"/>
      <c r="X379" s="269"/>
      <c r="Y379" s="269"/>
      <c r="Z379" s="269"/>
      <c r="AA379" s="269"/>
      <c r="AB379" s="269"/>
      <c r="AC379" s="269"/>
      <c r="AD379" s="269"/>
      <c r="AE379" s="269"/>
      <c r="AF379" s="269"/>
      <c r="AG379" s="269"/>
      <c r="AH379" s="269"/>
      <c r="AI379" s="269"/>
      <c r="AJ379" s="269"/>
      <c r="AK379" s="269"/>
      <c r="AL379" s="269"/>
      <c r="AM379" s="269"/>
    </row>
    <row r="380" spans="1:39" ht="42.75" customHeight="1" x14ac:dyDescent="0.2">
      <c r="A380" s="277">
        <f>IF(B380="","",COUNT('Diário 5º PA'!$A$5:$A$2634)+COUNT('Diário 6º PA'!$A$5:$A$2246)+ROW()-4)</f>
        <v>2919</v>
      </c>
      <c r="B380" s="278">
        <v>44403</v>
      </c>
      <c r="C380" s="249">
        <v>44378</v>
      </c>
      <c r="D380" s="255" t="s">
        <v>99</v>
      </c>
      <c r="E380" s="255" t="s">
        <v>272</v>
      </c>
      <c r="F380" s="258">
        <v>10.45</v>
      </c>
      <c r="G380" s="450" t="s">
        <v>1586</v>
      </c>
      <c r="H380" s="255" t="s">
        <v>114</v>
      </c>
      <c r="I380" s="250" t="s">
        <v>949</v>
      </c>
      <c r="J380" s="255" t="s">
        <v>950</v>
      </c>
      <c r="K380" s="255" t="s">
        <v>951</v>
      </c>
      <c r="L380" s="250" t="s">
        <v>947</v>
      </c>
      <c r="M380" s="336" t="s">
        <v>114</v>
      </c>
      <c r="N380" s="278">
        <v>44403</v>
      </c>
      <c r="O380" s="329" t="s">
        <v>67</v>
      </c>
      <c r="P380" s="330">
        <f t="shared" si="16"/>
        <v>7</v>
      </c>
      <c r="Q380" s="330">
        <f t="shared" si="17"/>
        <v>7</v>
      </c>
      <c r="R380" s="331" t="str">
        <f t="shared" si="18"/>
        <v>Gastos_Gerais</v>
      </c>
      <c r="S380" s="331" t="str">
        <f>IF(D380="","",IF(OR(D380=Plano!$A$1,D380=Plano!$B$1),"entrada","saída"))</f>
        <v>saída</v>
      </c>
      <c r="T380" s="332" t="s">
        <v>114</v>
      </c>
      <c r="U380" s="332" t="s">
        <v>114</v>
      </c>
      <c r="V380" s="269"/>
      <c r="W380" s="269"/>
      <c r="X380" s="269"/>
      <c r="Y380" s="269"/>
      <c r="Z380" s="269"/>
      <c r="AA380" s="269"/>
      <c r="AB380" s="269"/>
      <c r="AC380" s="269"/>
      <c r="AD380" s="269"/>
      <c r="AE380" s="269"/>
      <c r="AF380" s="269"/>
      <c r="AG380" s="269"/>
      <c r="AH380" s="269"/>
      <c r="AI380" s="269"/>
      <c r="AJ380" s="269"/>
      <c r="AK380" s="269"/>
      <c r="AL380" s="269"/>
      <c r="AM380" s="269"/>
    </row>
    <row r="381" spans="1:39" ht="48" customHeight="1" x14ac:dyDescent="0.2">
      <c r="A381" s="277">
        <f>IF(B381="","",COUNT('Diário 5º PA'!$A$5:$A$2634)+COUNT('Diário 6º PA'!$A$5:$A$2246)+ROW()-4)</f>
        <v>2920</v>
      </c>
      <c r="B381" s="278">
        <v>44403</v>
      </c>
      <c r="C381" s="249">
        <v>44378</v>
      </c>
      <c r="D381" s="255" t="s">
        <v>99</v>
      </c>
      <c r="E381" s="255" t="s">
        <v>272</v>
      </c>
      <c r="F381" s="258">
        <v>10.45</v>
      </c>
      <c r="G381" s="450" t="s">
        <v>1587</v>
      </c>
      <c r="H381" s="250" t="s">
        <v>125</v>
      </c>
      <c r="I381" s="250" t="s">
        <v>949</v>
      </c>
      <c r="J381" s="255" t="s">
        <v>950</v>
      </c>
      <c r="K381" s="255" t="s">
        <v>951</v>
      </c>
      <c r="L381" s="250" t="s">
        <v>947</v>
      </c>
      <c r="M381" s="336" t="s">
        <v>114</v>
      </c>
      <c r="N381" s="278">
        <v>44403</v>
      </c>
      <c r="O381" s="329" t="s">
        <v>67</v>
      </c>
      <c r="P381" s="330">
        <f t="shared" si="16"/>
        <v>7</v>
      </c>
      <c r="Q381" s="330">
        <f t="shared" si="17"/>
        <v>7</v>
      </c>
      <c r="R381" s="331" t="str">
        <f t="shared" si="18"/>
        <v>Gastos_Gerais</v>
      </c>
      <c r="S381" s="331" t="str">
        <f>IF(D381="","",IF(OR(D381=Plano!$A$1,D381=Plano!$B$1),"entrada","saída"))</f>
        <v>saída</v>
      </c>
      <c r="T381" s="332" t="s">
        <v>114</v>
      </c>
      <c r="U381" s="332" t="s">
        <v>114</v>
      </c>
      <c r="V381" s="269"/>
      <c r="W381" s="269"/>
      <c r="X381" s="269"/>
      <c r="Y381" s="269"/>
      <c r="Z381" s="269"/>
      <c r="AA381" s="269"/>
      <c r="AB381" s="269"/>
      <c r="AC381" s="269"/>
      <c r="AD381" s="269"/>
      <c r="AE381" s="269"/>
      <c r="AF381" s="269"/>
      <c r="AG381" s="269"/>
      <c r="AH381" s="269"/>
      <c r="AI381" s="269"/>
      <c r="AJ381" s="269"/>
      <c r="AK381" s="269"/>
      <c r="AL381" s="269"/>
      <c r="AM381" s="269"/>
    </row>
    <row r="382" spans="1:39" ht="45.75" customHeight="1" x14ac:dyDescent="0.2">
      <c r="A382" s="277">
        <f>IF(B382="","",COUNT('Diário 5º PA'!$A$5:$A$2634)+COUNT('Diário 6º PA'!$A$5:$A$2246)+ROW()-4)</f>
        <v>2921</v>
      </c>
      <c r="B382" s="278">
        <v>44403</v>
      </c>
      <c r="C382" s="249">
        <v>44378</v>
      </c>
      <c r="D382" s="255" t="s">
        <v>99</v>
      </c>
      <c r="E382" s="255" t="s">
        <v>272</v>
      </c>
      <c r="F382" s="258">
        <v>10.45</v>
      </c>
      <c r="G382" s="450" t="s">
        <v>1588</v>
      </c>
      <c r="H382" s="250" t="s">
        <v>118</v>
      </c>
      <c r="I382" s="250" t="s">
        <v>949</v>
      </c>
      <c r="J382" s="255" t="s">
        <v>950</v>
      </c>
      <c r="K382" s="255" t="s">
        <v>951</v>
      </c>
      <c r="L382" s="250" t="s">
        <v>947</v>
      </c>
      <c r="M382" s="336" t="s">
        <v>114</v>
      </c>
      <c r="N382" s="278">
        <v>44403</v>
      </c>
      <c r="O382" s="329" t="s">
        <v>67</v>
      </c>
      <c r="P382" s="330">
        <f t="shared" si="16"/>
        <v>7</v>
      </c>
      <c r="Q382" s="330">
        <f t="shared" si="17"/>
        <v>7</v>
      </c>
      <c r="R382" s="331" t="str">
        <f t="shared" si="18"/>
        <v>Gastos_Gerais</v>
      </c>
      <c r="S382" s="331" t="str">
        <f>IF(D382="","",IF(OR(D382=Plano!$A$1,D382=Plano!$B$1),"entrada","saída"))</f>
        <v>saída</v>
      </c>
      <c r="T382" s="332" t="s">
        <v>114</v>
      </c>
      <c r="U382" s="332" t="s">
        <v>114</v>
      </c>
      <c r="V382" s="269"/>
      <c r="W382" s="269"/>
      <c r="X382" s="269"/>
      <c r="Y382" s="269"/>
      <c r="Z382" s="269"/>
      <c r="AA382" s="269"/>
      <c r="AB382" s="269"/>
      <c r="AC382" s="269"/>
      <c r="AD382" s="269"/>
      <c r="AE382" s="269"/>
      <c r="AF382" s="269"/>
      <c r="AG382" s="269"/>
      <c r="AH382" s="269"/>
      <c r="AI382" s="269"/>
      <c r="AJ382" s="269"/>
      <c r="AK382" s="269"/>
      <c r="AL382" s="269"/>
      <c r="AM382" s="269"/>
    </row>
    <row r="383" spans="1:39" ht="45.75" customHeight="1" x14ac:dyDescent="0.2">
      <c r="A383" s="277">
        <f>IF(B383="","",COUNT('Diário 5º PA'!$A$5:$A$2634)+COUNT('Diário 6º PA'!$A$5:$A$2246)+ROW()-4)</f>
        <v>2922</v>
      </c>
      <c r="B383" s="278">
        <v>44403</v>
      </c>
      <c r="C383" s="249">
        <v>44378</v>
      </c>
      <c r="D383" s="255" t="s">
        <v>99</v>
      </c>
      <c r="E383" s="255" t="s">
        <v>272</v>
      </c>
      <c r="F383" s="258">
        <v>10.45</v>
      </c>
      <c r="G383" s="450" t="s">
        <v>1589</v>
      </c>
      <c r="H383" s="250" t="s">
        <v>118</v>
      </c>
      <c r="I383" s="250" t="s">
        <v>949</v>
      </c>
      <c r="J383" s="255" t="s">
        <v>950</v>
      </c>
      <c r="K383" s="255" t="s">
        <v>951</v>
      </c>
      <c r="L383" s="250" t="s">
        <v>947</v>
      </c>
      <c r="M383" s="336" t="s">
        <v>114</v>
      </c>
      <c r="N383" s="278">
        <v>44403</v>
      </c>
      <c r="O383" s="329" t="s">
        <v>67</v>
      </c>
      <c r="P383" s="330">
        <f t="shared" si="16"/>
        <v>7</v>
      </c>
      <c r="Q383" s="330">
        <f t="shared" si="17"/>
        <v>7</v>
      </c>
      <c r="R383" s="331" t="str">
        <f t="shared" si="18"/>
        <v>Gastos_Gerais</v>
      </c>
      <c r="S383" s="331" t="str">
        <f>IF(D383="","",IF(OR(D383=Plano!$A$1,D383=Plano!$B$1),"entrada","saída"))</f>
        <v>saída</v>
      </c>
      <c r="T383" s="332" t="s">
        <v>114</v>
      </c>
      <c r="U383" s="332" t="s">
        <v>114</v>
      </c>
      <c r="V383" s="269"/>
      <c r="W383" s="269"/>
      <c r="X383" s="269"/>
      <c r="Y383" s="269"/>
      <c r="Z383" s="269"/>
      <c r="AA383" s="269"/>
      <c r="AB383" s="269"/>
      <c r="AC383" s="269"/>
      <c r="AD383" s="269"/>
      <c r="AE383" s="269"/>
      <c r="AF383" s="269"/>
      <c r="AG383" s="269"/>
      <c r="AH383" s="269"/>
      <c r="AI383" s="269"/>
      <c r="AJ383" s="269"/>
      <c r="AK383" s="269"/>
      <c r="AL383" s="269"/>
      <c r="AM383" s="269"/>
    </row>
    <row r="384" spans="1:39" ht="45.75" customHeight="1" x14ac:dyDescent="0.2">
      <c r="A384" s="277">
        <f>IF(B384="","",COUNT('Diário 5º PA'!$A$5:$A$2634)+COUNT('Diário 6º PA'!$A$5:$A$2246)+ROW()-4)</f>
        <v>2923</v>
      </c>
      <c r="B384" s="278">
        <v>44403</v>
      </c>
      <c r="C384" s="249">
        <v>44378</v>
      </c>
      <c r="D384" s="255" t="s">
        <v>99</v>
      </c>
      <c r="E384" s="255" t="s">
        <v>272</v>
      </c>
      <c r="F384" s="258">
        <v>10.45</v>
      </c>
      <c r="G384" s="450" t="s">
        <v>1590</v>
      </c>
      <c r="H384" s="255" t="s">
        <v>114</v>
      </c>
      <c r="I384" s="250" t="s">
        <v>949</v>
      </c>
      <c r="J384" s="255" t="s">
        <v>950</v>
      </c>
      <c r="K384" s="255" t="s">
        <v>951</v>
      </c>
      <c r="L384" s="250" t="s">
        <v>947</v>
      </c>
      <c r="M384" s="336" t="s">
        <v>114</v>
      </c>
      <c r="N384" s="278">
        <v>44403</v>
      </c>
      <c r="O384" s="329" t="s">
        <v>67</v>
      </c>
      <c r="P384" s="330">
        <f t="shared" si="16"/>
        <v>7</v>
      </c>
      <c r="Q384" s="330">
        <f t="shared" si="17"/>
        <v>7</v>
      </c>
      <c r="R384" s="331" t="str">
        <f t="shared" si="18"/>
        <v>Gastos_Gerais</v>
      </c>
      <c r="S384" s="331" t="str">
        <f>IF(D384="","",IF(OR(D384=Plano!$A$1,D384=Plano!$B$1),"entrada","saída"))</f>
        <v>saída</v>
      </c>
      <c r="T384" s="332" t="s">
        <v>114</v>
      </c>
      <c r="U384" s="332" t="s">
        <v>114</v>
      </c>
      <c r="V384" s="269"/>
      <c r="W384" s="269"/>
      <c r="X384" s="269"/>
      <c r="Y384" s="269"/>
      <c r="Z384" s="269"/>
      <c r="AA384" s="269"/>
      <c r="AB384" s="269"/>
      <c r="AC384" s="269"/>
      <c r="AD384" s="269"/>
      <c r="AE384" s="269"/>
      <c r="AF384" s="269"/>
      <c r="AG384" s="269"/>
      <c r="AH384" s="269"/>
      <c r="AI384" s="269"/>
      <c r="AJ384" s="269"/>
      <c r="AK384" s="269"/>
      <c r="AL384" s="269"/>
      <c r="AM384" s="269"/>
    </row>
    <row r="385" spans="1:39" ht="121.5" customHeight="1" x14ac:dyDescent="0.2">
      <c r="A385" s="277">
        <f>IF(B385="","",COUNT('Diário 5º PA'!$A$5:$A$2634)+COUNT('Diário 6º PA'!$A$5:$A$2246)+ROW()-4)</f>
        <v>2924</v>
      </c>
      <c r="B385" s="278">
        <v>44404</v>
      </c>
      <c r="C385" s="249">
        <v>44317</v>
      </c>
      <c r="D385" s="250" t="s">
        <v>99</v>
      </c>
      <c r="E385" s="250" t="s">
        <v>358</v>
      </c>
      <c r="F385" s="251">
        <v>1068</v>
      </c>
      <c r="G385" s="452" t="s">
        <v>1591</v>
      </c>
      <c r="H385" s="250" t="s">
        <v>125</v>
      </c>
      <c r="I385" s="250" t="s">
        <v>1592</v>
      </c>
      <c r="J385" s="250" t="s">
        <v>1593</v>
      </c>
      <c r="K385" s="255" t="s">
        <v>991</v>
      </c>
      <c r="L385" s="250" t="s">
        <v>1029</v>
      </c>
      <c r="M385" s="277">
        <v>1242</v>
      </c>
      <c r="N385" s="278">
        <v>44398</v>
      </c>
      <c r="O385" s="329" t="s">
        <v>67</v>
      </c>
      <c r="P385" s="330">
        <f t="shared" si="16"/>
        <v>7</v>
      </c>
      <c r="Q385" s="330">
        <f t="shared" si="17"/>
        <v>5</v>
      </c>
      <c r="R385" s="331" t="str">
        <f t="shared" si="18"/>
        <v>Gastos_Gerais</v>
      </c>
      <c r="S385" s="331" t="str">
        <f>IF(D385="","",IF(OR(D385=Plano!$A$1,D385=Plano!$B$1),"entrada","saída"))</f>
        <v>saída</v>
      </c>
      <c r="T385" s="334" t="s">
        <v>994</v>
      </c>
      <c r="U385" s="334">
        <v>1521</v>
      </c>
      <c r="V385" s="269"/>
      <c r="W385" s="269"/>
      <c r="X385" s="269"/>
      <c r="Y385" s="269"/>
      <c r="Z385" s="269"/>
      <c r="AA385" s="269"/>
      <c r="AB385" s="269"/>
      <c r="AC385" s="269"/>
      <c r="AD385" s="269"/>
      <c r="AE385" s="269"/>
      <c r="AF385" s="269"/>
      <c r="AG385" s="269"/>
      <c r="AH385" s="269"/>
      <c r="AI385" s="269"/>
      <c r="AJ385" s="269"/>
      <c r="AK385" s="269"/>
      <c r="AL385" s="269"/>
      <c r="AM385" s="269"/>
    </row>
    <row r="386" spans="1:39" ht="159.75" customHeight="1" x14ac:dyDescent="0.2">
      <c r="A386" s="277">
        <f>IF(B386="","",COUNT('Diário 5º PA'!$A$5:$A$2634)+COUNT('Diário 6º PA'!$A$5:$A$2246)+ROW()-4)</f>
        <v>2925</v>
      </c>
      <c r="B386" s="278">
        <v>44404</v>
      </c>
      <c r="C386" s="249">
        <v>44378</v>
      </c>
      <c r="D386" s="250" t="s">
        <v>99</v>
      </c>
      <c r="E386" s="250" t="s">
        <v>336</v>
      </c>
      <c r="F386" s="251">
        <v>860</v>
      </c>
      <c r="G386" s="452" t="s">
        <v>1594</v>
      </c>
      <c r="H386" s="250" t="s">
        <v>117</v>
      </c>
      <c r="I386" s="250" t="s">
        <v>1595</v>
      </c>
      <c r="J386" s="250" t="s">
        <v>1596</v>
      </c>
      <c r="K386" s="255" t="s">
        <v>991</v>
      </c>
      <c r="L386" s="250" t="s">
        <v>1029</v>
      </c>
      <c r="M386" s="277">
        <v>1248</v>
      </c>
      <c r="N386" s="278">
        <v>44404</v>
      </c>
      <c r="O386" s="329" t="s">
        <v>67</v>
      </c>
      <c r="P386" s="330">
        <f t="shared" si="16"/>
        <v>7</v>
      </c>
      <c r="Q386" s="330">
        <f t="shared" si="17"/>
        <v>7</v>
      </c>
      <c r="R386" s="331" t="str">
        <f t="shared" si="18"/>
        <v>Gastos_Gerais</v>
      </c>
      <c r="S386" s="331" t="str">
        <f>IF(D386="","",IF(OR(D386=Plano!$A$1,D386=Plano!$B$1),"entrada","saída"))</f>
        <v>saída</v>
      </c>
      <c r="T386" s="334" t="s">
        <v>994</v>
      </c>
      <c r="U386" s="334">
        <v>1804</v>
      </c>
      <c r="V386" s="269"/>
      <c r="W386" s="269"/>
      <c r="X386" s="269"/>
      <c r="Y386" s="269"/>
      <c r="Z386" s="269"/>
      <c r="AA386" s="269"/>
      <c r="AB386" s="269"/>
      <c r="AC386" s="269"/>
      <c r="AD386" s="269"/>
      <c r="AE386" s="269"/>
      <c r="AF386" s="269"/>
      <c r="AG386" s="269"/>
      <c r="AH386" s="269"/>
      <c r="AI386" s="269"/>
      <c r="AJ386" s="269"/>
      <c r="AK386" s="269"/>
      <c r="AL386" s="269"/>
      <c r="AM386" s="269"/>
    </row>
    <row r="387" spans="1:39" ht="66" customHeight="1" x14ac:dyDescent="0.2">
      <c r="A387" s="277">
        <f>IF(B387="","",COUNT('Diário 5º PA'!$A$5:$A$2634)+COUNT('Diário 6º PA'!$A$5:$A$2246)+ROW()-4)</f>
        <v>2926</v>
      </c>
      <c r="B387" s="278">
        <v>44404</v>
      </c>
      <c r="C387" s="249">
        <v>44348</v>
      </c>
      <c r="D387" s="250" t="s">
        <v>99</v>
      </c>
      <c r="E387" s="250" t="s">
        <v>356</v>
      </c>
      <c r="F387" s="251">
        <v>1400</v>
      </c>
      <c r="G387" s="452" t="s">
        <v>1597</v>
      </c>
      <c r="H387" s="250" t="s">
        <v>125</v>
      </c>
      <c r="I387" s="252" t="s">
        <v>1598</v>
      </c>
      <c r="J387" s="250" t="s">
        <v>1599</v>
      </c>
      <c r="K387" s="255" t="s">
        <v>991</v>
      </c>
      <c r="L387" s="250" t="s">
        <v>992</v>
      </c>
      <c r="M387" s="277" t="s">
        <v>1600</v>
      </c>
      <c r="N387" s="278">
        <v>44404</v>
      </c>
      <c r="O387" s="329" t="s">
        <v>67</v>
      </c>
      <c r="P387" s="330">
        <f t="shared" si="16"/>
        <v>7</v>
      </c>
      <c r="Q387" s="330">
        <f t="shared" si="17"/>
        <v>6</v>
      </c>
      <c r="R387" s="331" t="str">
        <f t="shared" si="18"/>
        <v>Gastos_Gerais</v>
      </c>
      <c r="S387" s="331" t="str">
        <f>IF(D387="","",IF(OR(D387=Plano!$A$1,D387=Plano!$B$1),"entrada","saída"))</f>
        <v>saída</v>
      </c>
      <c r="T387" s="334" t="s">
        <v>994</v>
      </c>
      <c r="U387" s="334">
        <v>1262</v>
      </c>
      <c r="V387" s="269"/>
      <c r="W387" s="269"/>
      <c r="X387" s="269"/>
      <c r="Y387" s="269"/>
      <c r="Z387" s="269"/>
      <c r="AA387" s="269"/>
      <c r="AB387" s="269"/>
      <c r="AC387" s="269"/>
      <c r="AD387" s="269"/>
      <c r="AE387" s="269"/>
      <c r="AF387" s="269"/>
      <c r="AG387" s="269"/>
      <c r="AH387" s="269"/>
      <c r="AI387" s="269"/>
      <c r="AJ387" s="269"/>
      <c r="AK387" s="269"/>
      <c r="AL387" s="269"/>
      <c r="AM387" s="269"/>
    </row>
    <row r="388" spans="1:39" ht="138.75" customHeight="1" x14ac:dyDescent="0.2">
      <c r="A388" s="277">
        <f>IF(B388="","",COUNT('Diário 5º PA'!$A$5:$A$2634)+COUNT('Diário 6º PA'!$A$5:$A$2246)+ROW()-4)</f>
        <v>2927</v>
      </c>
      <c r="B388" s="278">
        <v>44404</v>
      </c>
      <c r="C388" s="249">
        <v>44348</v>
      </c>
      <c r="D388" s="250" t="s">
        <v>99</v>
      </c>
      <c r="E388" s="250" t="s">
        <v>364</v>
      </c>
      <c r="F388" s="251">
        <v>3429.65</v>
      </c>
      <c r="G388" s="452" t="s">
        <v>1601</v>
      </c>
      <c r="H388" s="250" t="s">
        <v>132</v>
      </c>
      <c r="I388" s="250" t="s">
        <v>1392</v>
      </c>
      <c r="J388" s="250" t="s">
        <v>1393</v>
      </c>
      <c r="K388" s="255" t="s">
        <v>991</v>
      </c>
      <c r="L388" s="250" t="s">
        <v>992</v>
      </c>
      <c r="M388" s="277" t="s">
        <v>1052</v>
      </c>
      <c r="N388" s="278">
        <v>44403</v>
      </c>
      <c r="O388" s="329" t="s">
        <v>67</v>
      </c>
      <c r="P388" s="330">
        <f t="shared" si="16"/>
        <v>7</v>
      </c>
      <c r="Q388" s="330">
        <f t="shared" si="17"/>
        <v>6</v>
      </c>
      <c r="R388" s="331" t="str">
        <f t="shared" si="18"/>
        <v>Gastos_Gerais</v>
      </c>
      <c r="S388" s="331" t="str">
        <f>IF(D388="","",IF(OR(D388=Plano!$A$1,D388=Plano!$B$1),"entrada","saída"))</f>
        <v>saída</v>
      </c>
      <c r="T388" s="334" t="s">
        <v>1059</v>
      </c>
      <c r="U388" s="334">
        <v>1626</v>
      </c>
      <c r="V388" s="269"/>
      <c r="W388" s="269"/>
      <c r="X388" s="269"/>
      <c r="Y388" s="269"/>
      <c r="Z388" s="269"/>
      <c r="AA388" s="269"/>
      <c r="AB388" s="269"/>
      <c r="AC388" s="269"/>
      <c r="AD388" s="269"/>
      <c r="AE388" s="269"/>
      <c r="AF388" s="269"/>
      <c r="AG388" s="269"/>
      <c r="AH388" s="269"/>
      <c r="AI388" s="269"/>
      <c r="AJ388" s="269"/>
      <c r="AK388" s="269"/>
      <c r="AL388" s="269"/>
      <c r="AM388" s="269"/>
    </row>
    <row r="389" spans="1:39" ht="46.5" customHeight="1" x14ac:dyDescent="0.2">
      <c r="A389" s="277">
        <f>IF(B389="","",COUNT('Diário 5º PA'!$A$5:$A$2634)+COUNT('Diário 6º PA'!$A$5:$A$2246)+ROW()-4)</f>
        <v>2928</v>
      </c>
      <c r="B389" s="278">
        <v>44404</v>
      </c>
      <c r="C389" s="249">
        <v>44378</v>
      </c>
      <c r="D389" s="255" t="s">
        <v>99</v>
      </c>
      <c r="E389" s="255" t="s">
        <v>272</v>
      </c>
      <c r="F389" s="258">
        <v>10.45</v>
      </c>
      <c r="G389" s="450" t="s">
        <v>1603</v>
      </c>
      <c r="H389" s="250" t="s">
        <v>125</v>
      </c>
      <c r="I389" s="250" t="s">
        <v>949</v>
      </c>
      <c r="J389" s="255" t="s">
        <v>950</v>
      </c>
      <c r="K389" s="255" t="s">
        <v>951</v>
      </c>
      <c r="L389" s="250" t="s">
        <v>947</v>
      </c>
      <c r="M389" s="336" t="s">
        <v>114</v>
      </c>
      <c r="N389" s="278">
        <v>44404</v>
      </c>
      <c r="O389" s="329" t="s">
        <v>67</v>
      </c>
      <c r="P389" s="330">
        <f t="shared" ref="P389:P452" si="19">IF(B389=0,0,IF(YEAR(B389)=$Q$1,MONTH(B389)-$P$1+1,(YEAR(B389)-$Q$1)*12-$P$1+1+MONTH(B389)))</f>
        <v>7</v>
      </c>
      <c r="Q389" s="330">
        <f t="shared" ref="Q389:Q452" si="20">IF(C389=0,0,IF(YEAR(C389)=$Q$1,MONTH(C389)-$P$1+1,(YEAR(C389)-$Q$1)*12-$P$1+1+MONTH(C389)))</f>
        <v>7</v>
      </c>
      <c r="R389" s="331" t="str">
        <f t="shared" ref="R389:R452" si="21">SUBSTITUTE(D389," ","_")</f>
        <v>Gastos_Gerais</v>
      </c>
      <c r="S389" s="331" t="str">
        <f>IF(D389="","",IF(OR(D389=Plano!$A$1,D389=Plano!$B$1),"entrada","saída"))</f>
        <v>saída</v>
      </c>
      <c r="T389" s="332" t="s">
        <v>114</v>
      </c>
      <c r="U389" s="332" t="s">
        <v>114</v>
      </c>
      <c r="V389" s="269"/>
      <c r="W389" s="269"/>
      <c r="X389" s="269"/>
      <c r="Y389" s="269"/>
      <c r="Z389" s="269"/>
      <c r="AA389" s="269"/>
      <c r="AB389" s="269"/>
      <c r="AC389" s="269"/>
      <c r="AD389" s="269"/>
      <c r="AE389" s="269"/>
      <c r="AF389" s="269"/>
      <c r="AG389" s="269"/>
      <c r="AH389" s="269"/>
      <c r="AI389" s="269"/>
      <c r="AJ389" s="269"/>
      <c r="AK389" s="269"/>
      <c r="AL389" s="269"/>
      <c r="AM389" s="269"/>
    </row>
    <row r="390" spans="1:39" ht="48" customHeight="1" x14ac:dyDescent="0.2">
      <c r="A390" s="277">
        <f>IF(B390="","",COUNT('Diário 5º PA'!$A$5:$A$2634)+COUNT('Diário 6º PA'!$A$5:$A$2246)+ROW()-4)</f>
        <v>2929</v>
      </c>
      <c r="B390" s="278">
        <v>44404</v>
      </c>
      <c r="C390" s="249">
        <v>44378</v>
      </c>
      <c r="D390" s="255" t="s">
        <v>99</v>
      </c>
      <c r="E390" s="255" t="s">
        <v>272</v>
      </c>
      <c r="F390" s="258">
        <v>10.45</v>
      </c>
      <c r="G390" s="450" t="s">
        <v>1604</v>
      </c>
      <c r="H390" s="250" t="s">
        <v>117</v>
      </c>
      <c r="I390" s="250" t="s">
        <v>949</v>
      </c>
      <c r="J390" s="255" t="s">
        <v>950</v>
      </c>
      <c r="K390" s="255" t="s">
        <v>951</v>
      </c>
      <c r="L390" s="250" t="s">
        <v>947</v>
      </c>
      <c r="M390" s="336" t="s">
        <v>114</v>
      </c>
      <c r="N390" s="278">
        <v>44404</v>
      </c>
      <c r="O390" s="329" t="s">
        <v>67</v>
      </c>
      <c r="P390" s="330">
        <f t="shared" si="19"/>
        <v>7</v>
      </c>
      <c r="Q390" s="330">
        <f t="shared" si="20"/>
        <v>7</v>
      </c>
      <c r="R390" s="331" t="str">
        <f t="shared" si="21"/>
        <v>Gastos_Gerais</v>
      </c>
      <c r="S390" s="331" t="str">
        <f>IF(D390="","",IF(OR(D390=Plano!$A$1,D390=Plano!$B$1),"entrada","saída"))</f>
        <v>saída</v>
      </c>
      <c r="T390" s="332" t="s">
        <v>114</v>
      </c>
      <c r="U390" s="332" t="s">
        <v>114</v>
      </c>
      <c r="V390" s="269"/>
      <c r="W390" s="269"/>
      <c r="X390" s="269"/>
      <c r="Y390" s="269"/>
      <c r="Z390" s="269"/>
      <c r="AA390" s="269"/>
      <c r="AB390" s="269"/>
      <c r="AC390" s="269"/>
      <c r="AD390" s="269"/>
      <c r="AE390" s="269"/>
      <c r="AF390" s="269"/>
      <c r="AG390" s="269"/>
      <c r="AH390" s="269"/>
      <c r="AI390" s="269"/>
      <c r="AJ390" s="269"/>
      <c r="AK390" s="269"/>
      <c r="AL390" s="269"/>
      <c r="AM390" s="269"/>
    </row>
    <row r="391" spans="1:39" ht="52.5" customHeight="1" x14ac:dyDescent="0.2">
      <c r="A391" s="277">
        <f>IF(B391="","",COUNT('Diário 5º PA'!$A$5:$A$2634)+COUNT('Diário 6º PA'!$A$5:$A$2246)+ROW()-4)</f>
        <v>2930</v>
      </c>
      <c r="B391" s="278">
        <v>44404</v>
      </c>
      <c r="C391" s="249">
        <v>44378</v>
      </c>
      <c r="D391" s="255" t="s">
        <v>99</v>
      </c>
      <c r="E391" s="255" t="s">
        <v>272</v>
      </c>
      <c r="F391" s="258">
        <v>10.45</v>
      </c>
      <c r="G391" s="450" t="s">
        <v>1605</v>
      </c>
      <c r="H391" s="250" t="s">
        <v>125</v>
      </c>
      <c r="I391" s="250" t="s">
        <v>949</v>
      </c>
      <c r="J391" s="255" t="s">
        <v>950</v>
      </c>
      <c r="K391" s="255" t="s">
        <v>951</v>
      </c>
      <c r="L391" s="250" t="s">
        <v>947</v>
      </c>
      <c r="M391" s="336" t="s">
        <v>114</v>
      </c>
      <c r="N391" s="278">
        <v>44404</v>
      </c>
      <c r="O391" s="329" t="s">
        <v>67</v>
      </c>
      <c r="P391" s="330">
        <f t="shared" si="19"/>
        <v>7</v>
      </c>
      <c r="Q391" s="330">
        <f t="shared" si="20"/>
        <v>7</v>
      </c>
      <c r="R391" s="331" t="str">
        <f t="shared" si="21"/>
        <v>Gastos_Gerais</v>
      </c>
      <c r="S391" s="331" t="str">
        <f>IF(D391="","",IF(OR(D391=Plano!$A$1,D391=Plano!$B$1),"entrada","saída"))</f>
        <v>saída</v>
      </c>
      <c r="T391" s="332" t="s">
        <v>114</v>
      </c>
      <c r="U391" s="332" t="s">
        <v>114</v>
      </c>
      <c r="V391" s="269"/>
      <c r="W391" s="269"/>
      <c r="X391" s="269"/>
      <c r="Y391" s="269"/>
      <c r="Z391" s="269"/>
      <c r="AA391" s="269"/>
      <c r="AB391" s="269"/>
      <c r="AC391" s="269"/>
      <c r="AD391" s="269"/>
      <c r="AE391" s="269"/>
      <c r="AF391" s="269"/>
      <c r="AG391" s="269"/>
      <c r="AH391" s="269"/>
      <c r="AI391" s="269"/>
      <c r="AJ391" s="269"/>
      <c r="AK391" s="269"/>
      <c r="AL391" s="269"/>
      <c r="AM391" s="269"/>
    </row>
    <row r="392" spans="1:39" ht="55.5" customHeight="1" x14ac:dyDescent="0.2">
      <c r="A392" s="277">
        <f>IF(B392="","",COUNT('Diário 5º PA'!$A$5:$A$2634)+COUNT('Diário 6º PA'!$A$5:$A$2246)+ROW()-4)</f>
        <v>2931</v>
      </c>
      <c r="B392" s="278">
        <v>44404</v>
      </c>
      <c r="C392" s="249">
        <v>44378</v>
      </c>
      <c r="D392" s="255" t="s">
        <v>99</v>
      </c>
      <c r="E392" s="255" t="s">
        <v>272</v>
      </c>
      <c r="F392" s="258">
        <v>10.45</v>
      </c>
      <c r="G392" s="450" t="s">
        <v>1606</v>
      </c>
      <c r="H392" s="250" t="s">
        <v>132</v>
      </c>
      <c r="I392" s="250" t="s">
        <v>949</v>
      </c>
      <c r="J392" s="255" t="s">
        <v>950</v>
      </c>
      <c r="K392" s="255" t="s">
        <v>951</v>
      </c>
      <c r="L392" s="250" t="s">
        <v>947</v>
      </c>
      <c r="M392" s="336" t="s">
        <v>114</v>
      </c>
      <c r="N392" s="278">
        <v>44404</v>
      </c>
      <c r="O392" s="329" t="s">
        <v>67</v>
      </c>
      <c r="P392" s="330">
        <f t="shared" si="19"/>
        <v>7</v>
      </c>
      <c r="Q392" s="330">
        <f t="shared" si="20"/>
        <v>7</v>
      </c>
      <c r="R392" s="331" t="str">
        <f t="shared" si="21"/>
        <v>Gastos_Gerais</v>
      </c>
      <c r="S392" s="331" t="str">
        <f>IF(D392="","",IF(OR(D392=Plano!$A$1,D392=Plano!$B$1),"entrada","saída"))</f>
        <v>saída</v>
      </c>
      <c r="T392" s="332" t="s">
        <v>114</v>
      </c>
      <c r="U392" s="332" t="s">
        <v>114</v>
      </c>
      <c r="V392" s="269"/>
      <c r="W392" s="269"/>
      <c r="X392" s="269"/>
      <c r="Y392" s="269"/>
      <c r="Z392" s="269"/>
      <c r="AA392" s="269"/>
      <c r="AB392" s="269"/>
      <c r="AC392" s="269"/>
      <c r="AD392" s="269"/>
      <c r="AE392" s="269"/>
      <c r="AF392" s="269"/>
      <c r="AG392" s="269"/>
      <c r="AH392" s="269"/>
      <c r="AI392" s="269"/>
      <c r="AJ392" s="269"/>
      <c r="AK392" s="269"/>
      <c r="AL392" s="269"/>
      <c r="AM392" s="269"/>
    </row>
    <row r="393" spans="1:39" ht="123" customHeight="1" x14ac:dyDescent="0.2">
      <c r="A393" s="277">
        <f>IF(B393="","",COUNT('Diário 5º PA'!$A$5:$A$2634)+COUNT('Diário 6º PA'!$A$5:$A$2246)+ROW()-4)</f>
        <v>2932</v>
      </c>
      <c r="B393" s="278">
        <v>44404</v>
      </c>
      <c r="C393" s="249">
        <v>44378</v>
      </c>
      <c r="D393" s="255" t="s">
        <v>104</v>
      </c>
      <c r="E393" s="255" t="s">
        <v>104</v>
      </c>
      <c r="F393" s="258">
        <v>391.96</v>
      </c>
      <c r="G393" s="450" t="s">
        <v>1607</v>
      </c>
      <c r="H393" s="250" t="s">
        <v>104</v>
      </c>
      <c r="I393" s="250" t="s">
        <v>1392</v>
      </c>
      <c r="J393" s="255" t="s">
        <v>1393</v>
      </c>
      <c r="K393" s="255" t="s">
        <v>991</v>
      </c>
      <c r="L393" s="250" t="s">
        <v>992</v>
      </c>
      <c r="M393" s="277" t="s">
        <v>1608</v>
      </c>
      <c r="N393" s="278">
        <v>44404</v>
      </c>
      <c r="O393" s="329" t="s">
        <v>70</v>
      </c>
      <c r="P393" s="330">
        <f t="shared" si="19"/>
        <v>7</v>
      </c>
      <c r="Q393" s="330">
        <f t="shared" si="20"/>
        <v>7</v>
      </c>
      <c r="R393" s="331" t="str">
        <f t="shared" si="21"/>
        <v>Gastos_custeados_por_captação</v>
      </c>
      <c r="S393" s="331" t="str">
        <f>IF(D393="","",IF(OR(D393=Plano!$A$1,D393=Plano!$B$1),"entrada","saída"))</f>
        <v>saída</v>
      </c>
      <c r="T393" s="332" t="s">
        <v>994</v>
      </c>
      <c r="U393" s="332">
        <v>1746</v>
      </c>
      <c r="V393" s="269"/>
      <c r="W393" s="269"/>
      <c r="X393" s="269"/>
      <c r="Y393" s="269"/>
      <c r="Z393" s="269"/>
      <c r="AA393" s="269"/>
      <c r="AB393" s="269"/>
      <c r="AC393" s="269"/>
      <c r="AD393" s="269"/>
      <c r="AE393" s="269"/>
      <c r="AF393" s="269"/>
      <c r="AG393" s="269"/>
      <c r="AH393" s="269"/>
      <c r="AI393" s="269"/>
      <c r="AJ393" s="269"/>
      <c r="AK393" s="269"/>
      <c r="AL393" s="269"/>
      <c r="AM393" s="269"/>
    </row>
    <row r="394" spans="1:39" ht="34.5" customHeight="1" x14ac:dyDescent="0.2">
      <c r="A394" s="277">
        <f>IF(B394="","",COUNT('Diário 5º PA'!$A$5:$A$2634)+COUNT('Diário 6º PA'!$A$5:$A$2246)+ROW()-4)</f>
        <v>2933</v>
      </c>
      <c r="B394" s="278">
        <v>44405</v>
      </c>
      <c r="C394" s="256">
        <v>44378</v>
      </c>
      <c r="D394" s="255" t="s">
        <v>88</v>
      </c>
      <c r="E394" s="255" t="s">
        <v>194</v>
      </c>
      <c r="F394" s="258">
        <v>12725.87</v>
      </c>
      <c r="G394" s="450" t="s">
        <v>1260</v>
      </c>
      <c r="H394" s="255" t="s">
        <v>114</v>
      </c>
      <c r="I394" s="252" t="s">
        <v>532</v>
      </c>
      <c r="J394" s="255" t="s">
        <v>1261</v>
      </c>
      <c r="K394" s="255" t="s">
        <v>560</v>
      </c>
      <c r="L394" s="250" t="s">
        <v>1016</v>
      </c>
      <c r="M394" s="277">
        <v>956674</v>
      </c>
      <c r="N394" s="278">
        <v>44410</v>
      </c>
      <c r="O394" s="329" t="s">
        <v>67</v>
      </c>
      <c r="P394" s="330">
        <f t="shared" si="19"/>
        <v>7</v>
      </c>
      <c r="Q394" s="330">
        <f t="shared" si="20"/>
        <v>7</v>
      </c>
      <c r="R394" s="331" t="str">
        <f t="shared" si="21"/>
        <v>Gastos_com_Pessoal</v>
      </c>
      <c r="S394" s="331" t="str">
        <f>IF(D394="","",IF(OR(D394=Plano!$A$1,D394=Plano!$B$1),"entrada","saída"))</f>
        <v>saída</v>
      </c>
      <c r="T394" s="332" t="s">
        <v>114</v>
      </c>
      <c r="U394" s="332" t="s">
        <v>114</v>
      </c>
      <c r="V394" s="269"/>
      <c r="W394" s="269"/>
      <c r="X394" s="269"/>
      <c r="Y394" s="269"/>
      <c r="Z394" s="269"/>
      <c r="AA394" s="269"/>
      <c r="AB394" s="269"/>
      <c r="AC394" s="269"/>
      <c r="AD394" s="269"/>
      <c r="AE394" s="269"/>
      <c r="AF394" s="269"/>
      <c r="AG394" s="269"/>
      <c r="AH394" s="269"/>
      <c r="AI394" s="269"/>
      <c r="AJ394" s="269"/>
      <c r="AK394" s="269"/>
      <c r="AL394" s="269"/>
      <c r="AM394" s="269"/>
    </row>
    <row r="395" spans="1:39" ht="35.25" customHeight="1" x14ac:dyDescent="0.2">
      <c r="A395" s="277">
        <f>IF(B395="","",COUNT('Diário 5º PA'!$A$5:$A$2634)+COUNT('Diário 6º PA'!$A$5:$A$2246)+ROW()-4)</f>
        <v>2934</v>
      </c>
      <c r="B395" s="278">
        <v>44405</v>
      </c>
      <c r="C395" s="256">
        <v>44378</v>
      </c>
      <c r="D395" s="255" t="s">
        <v>88</v>
      </c>
      <c r="E395" s="255" t="s">
        <v>194</v>
      </c>
      <c r="F395" s="258">
        <v>2884</v>
      </c>
      <c r="G395" s="450" t="s">
        <v>1609</v>
      </c>
      <c r="H395" s="255" t="s">
        <v>114</v>
      </c>
      <c r="I395" s="250" t="s">
        <v>532</v>
      </c>
      <c r="J395" s="255" t="s">
        <v>1261</v>
      </c>
      <c r="K395" s="255" t="s">
        <v>560</v>
      </c>
      <c r="L395" s="250" t="s">
        <v>1016</v>
      </c>
      <c r="M395" s="277">
        <v>964643</v>
      </c>
      <c r="N395" s="278">
        <v>44410</v>
      </c>
      <c r="O395" s="329" t="s">
        <v>67</v>
      </c>
      <c r="P395" s="330">
        <f t="shared" si="19"/>
        <v>7</v>
      </c>
      <c r="Q395" s="330">
        <f t="shared" si="20"/>
        <v>7</v>
      </c>
      <c r="R395" s="331" t="str">
        <f t="shared" si="21"/>
        <v>Gastos_com_Pessoal</v>
      </c>
      <c r="S395" s="331" t="str">
        <f>IF(D395="","",IF(OR(D395=Plano!$A$1,D395=Plano!$B$1),"entrada","saída"))</f>
        <v>saída</v>
      </c>
      <c r="T395" s="332" t="s">
        <v>114</v>
      </c>
      <c r="U395" s="332" t="s">
        <v>114</v>
      </c>
      <c r="V395" s="269"/>
      <c r="W395" s="269"/>
      <c r="X395" s="269"/>
      <c r="Y395" s="269"/>
      <c r="Z395" s="269"/>
      <c r="AA395" s="269"/>
      <c r="AB395" s="269"/>
      <c r="AC395" s="269"/>
      <c r="AD395" s="269"/>
      <c r="AE395" s="269"/>
      <c r="AF395" s="269"/>
      <c r="AG395" s="269"/>
      <c r="AH395" s="269"/>
      <c r="AI395" s="269"/>
      <c r="AJ395" s="269"/>
      <c r="AK395" s="269"/>
      <c r="AL395" s="269"/>
      <c r="AM395" s="269"/>
    </row>
    <row r="396" spans="1:39" ht="198" customHeight="1" x14ac:dyDescent="0.2">
      <c r="A396" s="277">
        <f>IF(B396="","",COUNT('Diário 5º PA'!$A$5:$A$2634)+COUNT('Diário 6º PA'!$A$5:$A$2246)+ROW()-4)</f>
        <v>2935</v>
      </c>
      <c r="B396" s="278">
        <v>44405</v>
      </c>
      <c r="C396" s="249">
        <v>44378</v>
      </c>
      <c r="D396" s="250" t="s">
        <v>99</v>
      </c>
      <c r="E396" s="250" t="s">
        <v>330</v>
      </c>
      <c r="F396" s="251">
        <v>810</v>
      </c>
      <c r="G396" s="452" t="s">
        <v>1610</v>
      </c>
      <c r="H396" s="250" t="s">
        <v>133</v>
      </c>
      <c r="I396" s="250" t="s">
        <v>1611</v>
      </c>
      <c r="J396" s="250" t="s">
        <v>1612</v>
      </c>
      <c r="K396" s="255" t="s">
        <v>991</v>
      </c>
      <c r="L396" s="250" t="s">
        <v>992</v>
      </c>
      <c r="M396" s="277">
        <v>2681</v>
      </c>
      <c r="N396" s="278">
        <v>44405</v>
      </c>
      <c r="O396" s="329" t="s">
        <v>67</v>
      </c>
      <c r="P396" s="330">
        <f t="shared" si="19"/>
        <v>7</v>
      </c>
      <c r="Q396" s="330">
        <f t="shared" si="20"/>
        <v>7</v>
      </c>
      <c r="R396" s="331" t="str">
        <f t="shared" si="21"/>
        <v>Gastos_Gerais</v>
      </c>
      <c r="S396" s="331" t="str">
        <f>IF(D396="","",IF(OR(D396=Plano!$A$1,D396=Plano!$B$1),"entrada","saída"))</f>
        <v>saída</v>
      </c>
      <c r="T396" s="334" t="s">
        <v>1011</v>
      </c>
      <c r="U396" s="334">
        <v>1814</v>
      </c>
      <c r="V396" s="269"/>
      <c r="W396" s="269"/>
      <c r="X396" s="269"/>
      <c r="Y396" s="269"/>
      <c r="Z396" s="269"/>
      <c r="AA396" s="269"/>
      <c r="AB396" s="269"/>
      <c r="AC396" s="269"/>
      <c r="AD396" s="269"/>
      <c r="AE396" s="269"/>
      <c r="AF396" s="269"/>
      <c r="AG396" s="269"/>
      <c r="AH396" s="269"/>
      <c r="AI396" s="269"/>
      <c r="AJ396" s="269"/>
      <c r="AK396" s="269"/>
      <c r="AL396" s="269"/>
      <c r="AM396" s="269"/>
    </row>
    <row r="397" spans="1:39" ht="51.75" customHeight="1" x14ac:dyDescent="0.2">
      <c r="A397" s="277">
        <f>IF(B397="","",COUNT('Diário 5º PA'!$A$5:$A$2634)+COUNT('Diário 6º PA'!$A$5:$A$2246)+ROW()-4)</f>
        <v>2936</v>
      </c>
      <c r="B397" s="278">
        <v>44405</v>
      </c>
      <c r="C397" s="249">
        <v>44378</v>
      </c>
      <c r="D397" s="255" t="s">
        <v>99</v>
      </c>
      <c r="E397" s="255" t="s">
        <v>272</v>
      </c>
      <c r="F397" s="258">
        <v>10.45</v>
      </c>
      <c r="G397" s="450" t="s">
        <v>1613</v>
      </c>
      <c r="H397" s="250" t="s">
        <v>133</v>
      </c>
      <c r="I397" s="250" t="s">
        <v>949</v>
      </c>
      <c r="J397" s="255" t="s">
        <v>950</v>
      </c>
      <c r="K397" s="255" t="s">
        <v>951</v>
      </c>
      <c r="L397" s="250" t="s">
        <v>947</v>
      </c>
      <c r="M397" s="336" t="s">
        <v>114</v>
      </c>
      <c r="N397" s="278">
        <v>44405</v>
      </c>
      <c r="O397" s="329" t="s">
        <v>67</v>
      </c>
      <c r="P397" s="330">
        <f t="shared" si="19"/>
        <v>7</v>
      </c>
      <c r="Q397" s="330">
        <f t="shared" si="20"/>
        <v>7</v>
      </c>
      <c r="R397" s="331" t="str">
        <f t="shared" si="21"/>
        <v>Gastos_Gerais</v>
      </c>
      <c r="S397" s="331" t="str">
        <f>IF(D397="","",IF(OR(D397=Plano!$A$1,D397=Plano!$B$1),"entrada","saída"))</f>
        <v>saída</v>
      </c>
      <c r="T397" s="332" t="s">
        <v>114</v>
      </c>
      <c r="U397" s="332" t="s">
        <v>114</v>
      </c>
      <c r="V397" s="269"/>
      <c r="W397" s="269"/>
      <c r="X397" s="269"/>
      <c r="Y397" s="269"/>
      <c r="Z397" s="269"/>
      <c r="AA397" s="269"/>
      <c r="AB397" s="269"/>
      <c r="AC397" s="269"/>
      <c r="AD397" s="269"/>
      <c r="AE397" s="269"/>
      <c r="AF397" s="269"/>
      <c r="AG397" s="269"/>
      <c r="AH397" s="269"/>
      <c r="AI397" s="269"/>
      <c r="AJ397" s="269"/>
      <c r="AK397" s="269"/>
      <c r="AL397" s="269"/>
      <c r="AM397" s="269"/>
    </row>
    <row r="398" spans="1:39" ht="54.75" customHeight="1" x14ac:dyDescent="0.2">
      <c r="A398" s="277">
        <f>IF(B398="","",COUNT('Diário 5º PA'!$A$5:$A$2634)+COUNT('Diário 6º PA'!$A$5:$A$2246)+ROW()-4)</f>
        <v>2937</v>
      </c>
      <c r="B398" s="278">
        <v>44406</v>
      </c>
      <c r="C398" s="335">
        <v>44317</v>
      </c>
      <c r="D398" s="255" t="s">
        <v>99</v>
      </c>
      <c r="E398" s="255" t="s">
        <v>208</v>
      </c>
      <c r="F398" s="258">
        <v>-31.36</v>
      </c>
      <c r="G398" s="450" t="s">
        <v>1614</v>
      </c>
      <c r="H398" s="255" t="s">
        <v>115</v>
      </c>
      <c r="I398" s="250" t="s">
        <v>983</v>
      </c>
      <c r="J398" s="255" t="s">
        <v>850</v>
      </c>
      <c r="K398" s="255" t="s">
        <v>1069</v>
      </c>
      <c r="L398" s="250" t="s">
        <v>947</v>
      </c>
      <c r="M398" s="277" t="s">
        <v>114</v>
      </c>
      <c r="N398" s="278">
        <v>44406</v>
      </c>
      <c r="O398" s="329" t="s">
        <v>67</v>
      </c>
      <c r="P398" s="330">
        <f t="shared" si="19"/>
        <v>7</v>
      </c>
      <c r="Q398" s="330">
        <f t="shared" si="20"/>
        <v>5</v>
      </c>
      <c r="R398" s="331" t="str">
        <f t="shared" si="21"/>
        <v>Gastos_Gerais</v>
      </c>
      <c r="S398" s="331" t="str">
        <f>IF(D398="","",IF(OR(D398=Plano!$A$1,D398=Plano!$B$1),"entrada","saída"))</f>
        <v>saída</v>
      </c>
      <c r="T398" s="332" t="s">
        <v>114</v>
      </c>
      <c r="U398" s="332" t="s">
        <v>114</v>
      </c>
      <c r="V398" s="269"/>
      <c r="W398" s="269"/>
      <c r="X398" s="269"/>
      <c r="Y398" s="269"/>
      <c r="Z398" s="269"/>
      <c r="AA398" s="269"/>
      <c r="AB398" s="269"/>
      <c r="AC398" s="269"/>
      <c r="AD398" s="269"/>
      <c r="AE398" s="269"/>
      <c r="AF398" s="269"/>
      <c r="AG398" s="269"/>
      <c r="AH398" s="269"/>
      <c r="AI398" s="269"/>
      <c r="AJ398" s="269"/>
      <c r="AK398" s="269"/>
      <c r="AL398" s="269"/>
      <c r="AM398" s="269"/>
    </row>
    <row r="399" spans="1:39" ht="178.5" customHeight="1" x14ac:dyDescent="0.2">
      <c r="A399" s="277">
        <f>IF(B399="","",COUNT('Diário 5º PA'!$A$5:$A$2634)+COUNT('Diário 6º PA'!$A$5:$A$2246)+ROW()-4)</f>
        <v>2938</v>
      </c>
      <c r="B399" s="278">
        <v>44406</v>
      </c>
      <c r="C399" s="249">
        <v>44378</v>
      </c>
      <c r="D399" s="250" t="s">
        <v>99</v>
      </c>
      <c r="E399" s="250" t="s">
        <v>364</v>
      </c>
      <c r="F399" s="251">
        <v>2480.1999999999998</v>
      </c>
      <c r="G399" s="452" t="s">
        <v>1615</v>
      </c>
      <c r="H399" s="250" t="s">
        <v>125</v>
      </c>
      <c r="I399" s="250" t="s">
        <v>1217</v>
      </c>
      <c r="J399" s="250" t="s">
        <v>1218</v>
      </c>
      <c r="K399" s="255" t="s">
        <v>991</v>
      </c>
      <c r="L399" s="250" t="s">
        <v>992</v>
      </c>
      <c r="M399" s="277" t="s">
        <v>1616</v>
      </c>
      <c r="N399" s="278">
        <v>44406</v>
      </c>
      <c r="O399" s="329" t="s">
        <v>67</v>
      </c>
      <c r="P399" s="330">
        <f t="shared" si="19"/>
        <v>7</v>
      </c>
      <c r="Q399" s="330">
        <f t="shared" si="20"/>
        <v>7</v>
      </c>
      <c r="R399" s="331" t="str">
        <f t="shared" si="21"/>
        <v>Gastos_Gerais</v>
      </c>
      <c r="S399" s="331" t="str">
        <f>IF(D399="","",IF(OR(D399=Plano!$A$1,D399=Plano!$B$1),"entrada","saída"))</f>
        <v>saída</v>
      </c>
      <c r="T399" s="334" t="s">
        <v>994</v>
      </c>
      <c r="U399" s="334">
        <v>1803</v>
      </c>
      <c r="V399" s="269"/>
      <c r="W399" s="269"/>
      <c r="X399" s="269"/>
      <c r="Y399" s="269"/>
      <c r="Z399" s="269"/>
      <c r="AA399" s="269"/>
      <c r="AB399" s="269"/>
      <c r="AC399" s="269"/>
      <c r="AD399" s="269"/>
      <c r="AE399" s="269"/>
      <c r="AF399" s="269"/>
      <c r="AG399" s="269"/>
      <c r="AH399" s="269"/>
      <c r="AI399" s="269"/>
      <c r="AJ399" s="269"/>
      <c r="AK399" s="269"/>
      <c r="AL399" s="269"/>
      <c r="AM399" s="269"/>
    </row>
    <row r="400" spans="1:39" ht="40.5" customHeight="1" x14ac:dyDescent="0.2">
      <c r="A400" s="277">
        <f>IF(B400="","",COUNT('Diário 5º PA'!$A$5:$A$2634)+COUNT('Diário 6º PA'!$A$5:$A$2246)+ROW()-4)</f>
        <v>2939</v>
      </c>
      <c r="B400" s="278">
        <v>44406</v>
      </c>
      <c r="C400" s="249">
        <v>44317</v>
      </c>
      <c r="D400" s="250" t="s">
        <v>99</v>
      </c>
      <c r="E400" s="250" t="s">
        <v>208</v>
      </c>
      <c r="F400" s="251">
        <v>1087.3599999999999</v>
      </c>
      <c r="G400" s="452" t="s">
        <v>517</v>
      </c>
      <c r="H400" s="250" t="s">
        <v>115</v>
      </c>
      <c r="I400" s="252" t="s">
        <v>488</v>
      </c>
      <c r="J400" s="250" t="s">
        <v>114</v>
      </c>
      <c r="K400" s="250" t="s">
        <v>466</v>
      </c>
      <c r="L400" s="250" t="s">
        <v>489</v>
      </c>
      <c r="M400" s="277" t="s">
        <v>114</v>
      </c>
      <c r="N400" s="278">
        <v>44406</v>
      </c>
      <c r="O400" s="329" t="s">
        <v>67</v>
      </c>
      <c r="P400" s="330">
        <f t="shared" si="19"/>
        <v>7</v>
      </c>
      <c r="Q400" s="330">
        <f t="shared" si="20"/>
        <v>5</v>
      </c>
      <c r="R400" s="331" t="str">
        <f t="shared" si="21"/>
        <v>Gastos_Gerais</v>
      </c>
      <c r="S400" s="331" t="str">
        <f>IF(D400="","",IF(OR(D400=Plano!$A$1,D400=Plano!$B$1),"entrada","saída"))</f>
        <v>saída</v>
      </c>
      <c r="T400" s="334" t="s">
        <v>114</v>
      </c>
      <c r="U400" s="334" t="s">
        <v>114</v>
      </c>
      <c r="V400" s="269"/>
      <c r="W400" s="269"/>
      <c r="X400" s="269"/>
      <c r="Y400" s="269"/>
      <c r="Z400" s="269"/>
      <c r="AA400" s="269"/>
      <c r="AB400" s="269"/>
      <c r="AC400" s="269"/>
      <c r="AD400" s="269"/>
      <c r="AE400" s="269"/>
      <c r="AF400" s="269"/>
      <c r="AG400" s="269"/>
      <c r="AH400" s="269"/>
      <c r="AI400" s="269"/>
      <c r="AJ400" s="269"/>
      <c r="AK400" s="269"/>
      <c r="AL400" s="269"/>
      <c r="AM400" s="269"/>
    </row>
    <row r="401" spans="1:39" ht="58.5" customHeight="1" x14ac:dyDescent="0.2">
      <c r="A401" s="277">
        <f>IF(B401="","",COUNT('Diário 5º PA'!$A$5:$A$2634)+COUNT('Diário 6º PA'!$A$5:$A$2246)+ROW()-4)</f>
        <v>2940</v>
      </c>
      <c r="B401" s="278">
        <v>44406</v>
      </c>
      <c r="C401" s="249">
        <v>44378</v>
      </c>
      <c r="D401" s="255" t="s">
        <v>99</v>
      </c>
      <c r="E401" s="255" t="s">
        <v>272</v>
      </c>
      <c r="F401" s="258">
        <v>10.45</v>
      </c>
      <c r="G401" s="450" t="s">
        <v>1617</v>
      </c>
      <c r="H401" s="250" t="s">
        <v>125</v>
      </c>
      <c r="I401" s="250" t="s">
        <v>949</v>
      </c>
      <c r="J401" s="255" t="s">
        <v>950</v>
      </c>
      <c r="K401" s="255" t="s">
        <v>951</v>
      </c>
      <c r="L401" s="250" t="s">
        <v>947</v>
      </c>
      <c r="M401" s="336" t="s">
        <v>114</v>
      </c>
      <c r="N401" s="278">
        <v>44406</v>
      </c>
      <c r="O401" s="329" t="s">
        <v>67</v>
      </c>
      <c r="P401" s="330">
        <f t="shared" si="19"/>
        <v>7</v>
      </c>
      <c r="Q401" s="330">
        <f t="shared" si="20"/>
        <v>7</v>
      </c>
      <c r="R401" s="331" t="str">
        <f t="shared" si="21"/>
        <v>Gastos_Gerais</v>
      </c>
      <c r="S401" s="331" t="str">
        <f>IF(D401="","",IF(OR(D401=Plano!$A$1,D401=Plano!$B$1),"entrada","saída"))</f>
        <v>saída</v>
      </c>
      <c r="T401" s="332" t="s">
        <v>114</v>
      </c>
      <c r="U401" s="332" t="s">
        <v>114</v>
      </c>
      <c r="V401" s="269"/>
      <c r="W401" s="269"/>
      <c r="X401" s="269"/>
      <c r="Y401" s="269"/>
      <c r="Z401" s="269"/>
      <c r="AA401" s="269"/>
      <c r="AB401" s="269"/>
      <c r="AC401" s="269"/>
      <c r="AD401" s="269"/>
      <c r="AE401" s="269"/>
      <c r="AF401" s="269"/>
      <c r="AG401" s="269"/>
      <c r="AH401" s="269"/>
      <c r="AI401" s="269"/>
      <c r="AJ401" s="269"/>
      <c r="AK401" s="269"/>
      <c r="AL401" s="269"/>
      <c r="AM401" s="269"/>
    </row>
    <row r="402" spans="1:39" ht="72.75" customHeight="1" x14ac:dyDescent="0.2">
      <c r="A402" s="277">
        <f>IF(B402="","",COUNT('Diário 5º PA'!$A$5:$A$2634)+COUNT('Diário 6º PA'!$A$5:$A$2246)+ROW()-4)</f>
        <v>2941</v>
      </c>
      <c r="B402" s="278">
        <v>44407</v>
      </c>
      <c r="C402" s="259">
        <v>44378</v>
      </c>
      <c r="D402" s="252" t="s">
        <v>99</v>
      </c>
      <c r="E402" s="252" t="s">
        <v>276</v>
      </c>
      <c r="F402" s="258">
        <v>-30.16</v>
      </c>
      <c r="G402" s="450" t="s">
        <v>1618</v>
      </c>
      <c r="H402" s="255" t="s">
        <v>115</v>
      </c>
      <c r="I402" s="250" t="s">
        <v>983</v>
      </c>
      <c r="J402" s="255" t="s">
        <v>850</v>
      </c>
      <c r="K402" s="255" t="s">
        <v>946</v>
      </c>
      <c r="L402" s="250" t="s">
        <v>947</v>
      </c>
      <c r="M402" s="277" t="s">
        <v>114</v>
      </c>
      <c r="N402" s="278">
        <v>44407</v>
      </c>
      <c r="O402" s="329" t="s">
        <v>67</v>
      </c>
      <c r="P402" s="330">
        <f t="shared" si="19"/>
        <v>7</v>
      </c>
      <c r="Q402" s="330">
        <f t="shared" si="20"/>
        <v>7</v>
      </c>
      <c r="R402" s="331" t="str">
        <f t="shared" si="21"/>
        <v>Gastos_Gerais</v>
      </c>
      <c r="S402" s="331" t="str">
        <f>IF(D402="","",IF(OR(D402=Plano!$A$1,D402=Plano!$B$1),"entrada","saída"))</f>
        <v>saída</v>
      </c>
      <c r="T402" s="332" t="s">
        <v>114</v>
      </c>
      <c r="U402" s="332" t="s">
        <v>114</v>
      </c>
      <c r="V402" s="269"/>
      <c r="W402" s="269"/>
      <c r="X402" s="269"/>
      <c r="Y402" s="269"/>
      <c r="Z402" s="269"/>
      <c r="AA402" s="269"/>
      <c r="AB402" s="269"/>
      <c r="AC402" s="269"/>
      <c r="AD402" s="269"/>
      <c r="AE402" s="269"/>
      <c r="AF402" s="269"/>
      <c r="AG402" s="269"/>
      <c r="AH402" s="269"/>
      <c r="AI402" s="269"/>
      <c r="AJ402" s="269"/>
      <c r="AK402" s="269"/>
      <c r="AL402" s="269"/>
      <c r="AM402" s="269"/>
    </row>
    <row r="403" spans="1:39" ht="58.5" customHeight="1" x14ac:dyDescent="0.2">
      <c r="A403" s="277">
        <f>IF(B403="","",COUNT('Diário 5º PA'!$A$5:$A$2634)+COUNT('Diário 6º PA'!$A$5:$A$2246)+ROW()-4)</f>
        <v>2942</v>
      </c>
      <c r="B403" s="278">
        <v>44407</v>
      </c>
      <c r="C403" s="256">
        <v>44378</v>
      </c>
      <c r="D403" s="250" t="s">
        <v>99</v>
      </c>
      <c r="E403" s="250" t="s">
        <v>336</v>
      </c>
      <c r="F403" s="258">
        <v>2300</v>
      </c>
      <c r="G403" s="450" t="s">
        <v>1619</v>
      </c>
      <c r="H403" s="250" t="s">
        <v>117</v>
      </c>
      <c r="I403" s="250" t="s">
        <v>1620</v>
      </c>
      <c r="J403" s="250" t="s">
        <v>1621</v>
      </c>
      <c r="K403" s="255" t="s">
        <v>991</v>
      </c>
      <c r="L403" s="250" t="s">
        <v>992</v>
      </c>
      <c r="M403" s="277" t="s">
        <v>1294</v>
      </c>
      <c r="N403" s="278">
        <v>44405</v>
      </c>
      <c r="O403" s="329" t="s">
        <v>67</v>
      </c>
      <c r="P403" s="330">
        <f t="shared" si="19"/>
        <v>7</v>
      </c>
      <c r="Q403" s="330">
        <f t="shared" si="20"/>
        <v>7</v>
      </c>
      <c r="R403" s="331" t="str">
        <f t="shared" si="21"/>
        <v>Gastos_Gerais</v>
      </c>
      <c r="S403" s="331" t="str">
        <f>IF(D403="","",IF(OR(D403=Plano!$A$1,D403=Plano!$B$1),"entrada","saída"))</f>
        <v>saída</v>
      </c>
      <c r="T403" s="334" t="s">
        <v>994</v>
      </c>
      <c r="U403" s="334">
        <v>1607</v>
      </c>
      <c r="V403" s="269"/>
      <c r="W403" s="269"/>
      <c r="X403" s="269"/>
      <c r="Y403" s="269"/>
      <c r="Z403" s="269"/>
      <c r="AA403" s="269"/>
      <c r="AB403" s="269"/>
      <c r="AC403" s="269"/>
      <c r="AD403" s="269"/>
      <c r="AE403" s="269"/>
      <c r="AF403" s="269"/>
      <c r="AG403" s="269"/>
      <c r="AH403" s="269"/>
      <c r="AI403" s="269"/>
      <c r="AJ403" s="269"/>
      <c r="AK403" s="269"/>
      <c r="AL403" s="269"/>
      <c r="AM403" s="269"/>
    </row>
    <row r="404" spans="1:39" ht="66" customHeight="1" x14ac:dyDescent="0.2">
      <c r="A404" s="277">
        <f>IF(B404="","",COUNT('Diário 5º PA'!$A$5:$A$2634)+COUNT('Diário 6º PA'!$A$5:$A$2246)+ROW()-4)</f>
        <v>2943</v>
      </c>
      <c r="B404" s="278">
        <v>44407</v>
      </c>
      <c r="C404" s="256">
        <v>44378</v>
      </c>
      <c r="D404" s="250" t="s">
        <v>99</v>
      </c>
      <c r="E404" s="250" t="s">
        <v>336</v>
      </c>
      <c r="F404" s="258">
        <v>2300</v>
      </c>
      <c r="G404" s="450" t="s">
        <v>1622</v>
      </c>
      <c r="H404" s="250" t="s">
        <v>117</v>
      </c>
      <c r="I404" s="250" t="s">
        <v>1623</v>
      </c>
      <c r="J404" s="250" t="s">
        <v>1624</v>
      </c>
      <c r="K404" s="255" t="s">
        <v>991</v>
      </c>
      <c r="L404" s="250" t="s">
        <v>992</v>
      </c>
      <c r="M404" s="277">
        <v>65</v>
      </c>
      <c r="N404" s="278">
        <v>44405</v>
      </c>
      <c r="O404" s="329" t="s">
        <v>67</v>
      </c>
      <c r="P404" s="330">
        <f t="shared" si="19"/>
        <v>7</v>
      </c>
      <c r="Q404" s="330">
        <f t="shared" si="20"/>
        <v>7</v>
      </c>
      <c r="R404" s="331" t="str">
        <f t="shared" si="21"/>
        <v>Gastos_Gerais</v>
      </c>
      <c r="S404" s="331" t="str">
        <f>IF(D404="","",IF(OR(D404=Plano!$A$1,D404=Plano!$B$1),"entrada","saída"))</f>
        <v>saída</v>
      </c>
      <c r="T404" s="334" t="s">
        <v>994</v>
      </c>
      <c r="U404" s="334">
        <v>1599</v>
      </c>
      <c r="V404" s="269"/>
      <c r="W404" s="269"/>
      <c r="X404" s="269"/>
      <c r="Y404" s="269"/>
      <c r="Z404" s="269"/>
      <c r="AA404" s="269"/>
      <c r="AB404" s="269"/>
      <c r="AC404" s="269"/>
      <c r="AD404" s="269"/>
      <c r="AE404" s="269"/>
      <c r="AF404" s="269"/>
      <c r="AG404" s="269"/>
      <c r="AH404" s="269"/>
      <c r="AI404" s="269"/>
      <c r="AJ404" s="269"/>
      <c r="AK404" s="269"/>
      <c r="AL404" s="269"/>
      <c r="AM404" s="269"/>
    </row>
    <row r="405" spans="1:39" ht="61.5" customHeight="1" x14ac:dyDescent="0.2">
      <c r="A405" s="277">
        <f>IF(B405="","",COUNT('Diário 5º PA'!$A$5:$A$2634)+COUNT('Diário 6º PA'!$A$5:$A$2246)+ROW()-4)</f>
        <v>2944</v>
      </c>
      <c r="B405" s="278">
        <v>44407</v>
      </c>
      <c r="C405" s="256">
        <v>44378</v>
      </c>
      <c r="D405" s="250" t="s">
        <v>99</v>
      </c>
      <c r="E405" s="250" t="s">
        <v>336</v>
      </c>
      <c r="F405" s="258">
        <v>2300</v>
      </c>
      <c r="G405" s="450" t="s">
        <v>1619</v>
      </c>
      <c r="H405" s="250" t="s">
        <v>117</v>
      </c>
      <c r="I405" s="250" t="s">
        <v>1625</v>
      </c>
      <c r="J405" s="250" t="s">
        <v>1626</v>
      </c>
      <c r="K405" s="255" t="s">
        <v>991</v>
      </c>
      <c r="L405" s="250" t="s">
        <v>992</v>
      </c>
      <c r="M405" s="277">
        <v>25</v>
      </c>
      <c r="N405" s="278">
        <v>44404</v>
      </c>
      <c r="O405" s="329" t="s">
        <v>67</v>
      </c>
      <c r="P405" s="330">
        <f t="shared" si="19"/>
        <v>7</v>
      </c>
      <c r="Q405" s="330">
        <f t="shared" si="20"/>
        <v>7</v>
      </c>
      <c r="R405" s="331" t="str">
        <f t="shared" si="21"/>
        <v>Gastos_Gerais</v>
      </c>
      <c r="S405" s="331" t="str">
        <f>IF(D405="","",IF(OR(D405=Plano!$A$1,D405=Plano!$B$1),"entrada","saída"))</f>
        <v>saída</v>
      </c>
      <c r="T405" s="334" t="s">
        <v>994</v>
      </c>
      <c r="U405" s="334">
        <v>1604</v>
      </c>
      <c r="V405" s="269"/>
      <c r="W405" s="269"/>
      <c r="X405" s="269"/>
      <c r="Y405" s="269"/>
      <c r="Z405" s="269"/>
      <c r="AA405" s="269"/>
      <c r="AB405" s="269"/>
      <c r="AC405" s="269"/>
      <c r="AD405" s="269"/>
      <c r="AE405" s="269"/>
      <c r="AF405" s="269"/>
      <c r="AG405" s="269"/>
      <c r="AH405" s="269"/>
      <c r="AI405" s="269"/>
      <c r="AJ405" s="269"/>
      <c r="AK405" s="269"/>
      <c r="AL405" s="269"/>
      <c r="AM405" s="269"/>
    </row>
    <row r="406" spans="1:39" ht="66" customHeight="1" x14ac:dyDescent="0.2">
      <c r="A406" s="277">
        <f>IF(B406="","",COUNT('Diário 5º PA'!$A$5:$A$2634)+COUNT('Diário 6º PA'!$A$5:$A$2246)+ROW()-4)</f>
        <v>2945</v>
      </c>
      <c r="B406" s="278">
        <v>44407</v>
      </c>
      <c r="C406" s="256">
        <v>44378</v>
      </c>
      <c r="D406" s="250" t="s">
        <v>99</v>
      </c>
      <c r="E406" s="250" t="s">
        <v>336</v>
      </c>
      <c r="F406" s="258">
        <v>2300</v>
      </c>
      <c r="G406" s="450" t="s">
        <v>1619</v>
      </c>
      <c r="H406" s="250" t="s">
        <v>117</v>
      </c>
      <c r="I406" s="250" t="s">
        <v>1627</v>
      </c>
      <c r="J406" s="250" t="s">
        <v>1628</v>
      </c>
      <c r="K406" s="255" t="s">
        <v>991</v>
      </c>
      <c r="L406" s="250" t="s">
        <v>992</v>
      </c>
      <c r="M406" s="277" t="s">
        <v>1058</v>
      </c>
      <c r="N406" s="278">
        <v>44403</v>
      </c>
      <c r="O406" s="329" t="s">
        <v>67</v>
      </c>
      <c r="P406" s="330">
        <f t="shared" si="19"/>
        <v>7</v>
      </c>
      <c r="Q406" s="330">
        <f t="shared" si="20"/>
        <v>7</v>
      </c>
      <c r="R406" s="331" t="str">
        <f t="shared" si="21"/>
        <v>Gastos_Gerais</v>
      </c>
      <c r="S406" s="331" t="str">
        <f>IF(D406="","",IF(OR(D406=Plano!$A$1,D406=Plano!$B$1),"entrada","saída"))</f>
        <v>saída</v>
      </c>
      <c r="T406" s="334" t="s">
        <v>994</v>
      </c>
      <c r="U406" s="334">
        <v>1603</v>
      </c>
      <c r="V406" s="269"/>
      <c r="W406" s="269"/>
      <c r="X406" s="269"/>
      <c r="Y406" s="269"/>
      <c r="Z406" s="269"/>
      <c r="AA406" s="269"/>
      <c r="AB406" s="269"/>
      <c r="AC406" s="269"/>
      <c r="AD406" s="269"/>
      <c r="AE406" s="269"/>
      <c r="AF406" s="269"/>
      <c r="AG406" s="269"/>
      <c r="AH406" s="269"/>
      <c r="AI406" s="269"/>
      <c r="AJ406" s="269"/>
      <c r="AK406" s="269"/>
      <c r="AL406" s="269"/>
      <c r="AM406" s="269"/>
    </row>
    <row r="407" spans="1:39" ht="66.75" customHeight="1" x14ac:dyDescent="0.2">
      <c r="A407" s="277">
        <f>IF(B407="","",COUNT('Diário 5º PA'!$A$5:$A$2634)+COUNT('Diário 6º PA'!$A$5:$A$2246)+ROW()-4)</f>
        <v>2946</v>
      </c>
      <c r="B407" s="278">
        <v>44407</v>
      </c>
      <c r="C407" s="256">
        <v>44378</v>
      </c>
      <c r="D407" s="250" t="s">
        <v>99</v>
      </c>
      <c r="E407" s="250" t="s">
        <v>336</v>
      </c>
      <c r="F407" s="258">
        <v>2300</v>
      </c>
      <c r="G407" s="450" t="s">
        <v>1619</v>
      </c>
      <c r="H407" s="250" t="s">
        <v>117</v>
      </c>
      <c r="I407" s="250" t="s">
        <v>1629</v>
      </c>
      <c r="J407" s="250" t="s">
        <v>1630</v>
      </c>
      <c r="K407" s="255" t="s">
        <v>991</v>
      </c>
      <c r="L407" s="250" t="s">
        <v>992</v>
      </c>
      <c r="M407" s="277" t="s">
        <v>1294</v>
      </c>
      <c r="N407" s="278">
        <v>44403</v>
      </c>
      <c r="O407" s="329" t="s">
        <v>67</v>
      </c>
      <c r="P407" s="330">
        <f t="shared" si="19"/>
        <v>7</v>
      </c>
      <c r="Q407" s="330">
        <f t="shared" si="20"/>
        <v>7</v>
      </c>
      <c r="R407" s="331" t="str">
        <f t="shared" si="21"/>
        <v>Gastos_Gerais</v>
      </c>
      <c r="S407" s="331" t="str">
        <f>IF(D407="","",IF(OR(D407=Plano!$A$1,D407=Plano!$B$1),"entrada","saída"))</f>
        <v>saída</v>
      </c>
      <c r="T407" s="334" t="s">
        <v>994</v>
      </c>
      <c r="U407" s="334">
        <v>1608</v>
      </c>
      <c r="V407" s="269"/>
      <c r="W407" s="269"/>
      <c r="X407" s="269"/>
      <c r="Y407" s="269"/>
      <c r="Z407" s="269"/>
      <c r="AA407" s="269"/>
      <c r="AB407" s="269"/>
      <c r="AC407" s="269"/>
      <c r="AD407" s="269"/>
      <c r="AE407" s="269"/>
      <c r="AF407" s="269"/>
      <c r="AG407" s="269"/>
      <c r="AH407" s="269"/>
      <c r="AI407" s="269"/>
      <c r="AJ407" s="269"/>
      <c r="AK407" s="269"/>
      <c r="AL407" s="269"/>
      <c r="AM407" s="269"/>
    </row>
    <row r="408" spans="1:39" ht="62.25" customHeight="1" x14ac:dyDescent="0.2">
      <c r="A408" s="277">
        <f>IF(B408="","",COUNT('Diário 5º PA'!$A$5:$A$2634)+COUNT('Diário 6º PA'!$A$5:$A$2246)+ROW()-4)</f>
        <v>2947</v>
      </c>
      <c r="B408" s="278">
        <v>44407</v>
      </c>
      <c r="C408" s="256">
        <v>44378</v>
      </c>
      <c r="D408" s="250" t="s">
        <v>99</v>
      </c>
      <c r="E408" s="250" t="s">
        <v>336</v>
      </c>
      <c r="F408" s="258">
        <v>2300</v>
      </c>
      <c r="G408" s="450" t="s">
        <v>1619</v>
      </c>
      <c r="H408" s="250" t="s">
        <v>117</v>
      </c>
      <c r="I408" s="250" t="s">
        <v>1631</v>
      </c>
      <c r="J408" s="250" t="s">
        <v>1632</v>
      </c>
      <c r="K408" s="255" t="s">
        <v>991</v>
      </c>
      <c r="L408" s="250" t="s">
        <v>992</v>
      </c>
      <c r="M408" s="277" t="s">
        <v>1296</v>
      </c>
      <c r="N408" s="278">
        <v>44404</v>
      </c>
      <c r="O408" s="329" t="s">
        <v>67</v>
      </c>
      <c r="P408" s="330">
        <f t="shared" si="19"/>
        <v>7</v>
      </c>
      <c r="Q408" s="330">
        <f t="shared" si="20"/>
        <v>7</v>
      </c>
      <c r="R408" s="331" t="str">
        <f t="shared" si="21"/>
        <v>Gastos_Gerais</v>
      </c>
      <c r="S408" s="331" t="str">
        <f>IF(D408="","",IF(OR(D408=Plano!$A$1,D408=Plano!$B$1),"entrada","saída"))</f>
        <v>saída</v>
      </c>
      <c r="T408" s="334" t="s">
        <v>994</v>
      </c>
      <c r="U408" s="334">
        <v>1609</v>
      </c>
      <c r="V408" s="269"/>
      <c r="W408" s="269"/>
      <c r="X408" s="269"/>
      <c r="Y408" s="269"/>
      <c r="Z408" s="269"/>
      <c r="AA408" s="269"/>
      <c r="AB408" s="269"/>
      <c r="AC408" s="269"/>
      <c r="AD408" s="269"/>
      <c r="AE408" s="269"/>
      <c r="AF408" s="269"/>
      <c r="AG408" s="269"/>
      <c r="AH408" s="269"/>
      <c r="AI408" s="269"/>
      <c r="AJ408" s="269"/>
      <c r="AK408" s="269"/>
      <c r="AL408" s="269"/>
      <c r="AM408" s="269"/>
    </row>
    <row r="409" spans="1:39" ht="68.25" customHeight="1" x14ac:dyDescent="0.2">
      <c r="A409" s="277">
        <f>IF(B409="","",COUNT('Diário 5º PA'!$A$5:$A$2634)+COUNT('Diário 6º PA'!$A$5:$A$2246)+ROW()-4)</f>
        <v>2948</v>
      </c>
      <c r="B409" s="278">
        <v>44407</v>
      </c>
      <c r="C409" s="256">
        <v>44378</v>
      </c>
      <c r="D409" s="250" t="s">
        <v>99</v>
      </c>
      <c r="E409" s="250" t="s">
        <v>336</v>
      </c>
      <c r="F409" s="258">
        <v>2300</v>
      </c>
      <c r="G409" s="450" t="s">
        <v>1619</v>
      </c>
      <c r="H409" s="250" t="s">
        <v>117</v>
      </c>
      <c r="I409" s="250" t="s">
        <v>1633</v>
      </c>
      <c r="J409" s="250" t="s">
        <v>1634</v>
      </c>
      <c r="K409" s="255" t="s">
        <v>991</v>
      </c>
      <c r="L409" s="250" t="s">
        <v>992</v>
      </c>
      <c r="M409" s="277" t="s">
        <v>1061</v>
      </c>
      <c r="N409" s="278">
        <v>44405</v>
      </c>
      <c r="O409" s="329" t="s">
        <v>67</v>
      </c>
      <c r="P409" s="330">
        <f t="shared" si="19"/>
        <v>7</v>
      </c>
      <c r="Q409" s="330">
        <f t="shared" si="20"/>
        <v>7</v>
      </c>
      <c r="R409" s="331" t="str">
        <f t="shared" si="21"/>
        <v>Gastos_Gerais</v>
      </c>
      <c r="S409" s="331" t="str">
        <f>IF(D409="","",IF(OR(D409=Plano!$A$1,D409=Plano!$B$1),"entrada","saída"))</f>
        <v>saída</v>
      </c>
      <c r="T409" s="334" t="s">
        <v>994</v>
      </c>
      <c r="U409" s="334">
        <v>1602</v>
      </c>
      <c r="V409" s="269"/>
      <c r="W409" s="269"/>
      <c r="X409" s="269"/>
      <c r="Y409" s="269"/>
      <c r="Z409" s="269"/>
      <c r="AA409" s="269"/>
      <c r="AB409" s="269"/>
      <c r="AC409" s="269"/>
      <c r="AD409" s="269"/>
      <c r="AE409" s="269"/>
      <c r="AF409" s="269"/>
      <c r="AG409" s="269"/>
      <c r="AH409" s="269"/>
      <c r="AI409" s="269"/>
      <c r="AJ409" s="269"/>
      <c r="AK409" s="269"/>
      <c r="AL409" s="269"/>
      <c r="AM409" s="269"/>
    </row>
    <row r="410" spans="1:39" ht="113.25" customHeight="1" x14ac:dyDescent="0.2">
      <c r="A410" s="277">
        <f>IF(B410="","",COUNT('Diário 5º PA'!$A$5:$A$2634)+COUNT('Diário 6º PA'!$A$5:$A$2246)+ROW()-4)</f>
        <v>2949</v>
      </c>
      <c r="B410" s="278">
        <v>44407</v>
      </c>
      <c r="C410" s="256">
        <v>44378</v>
      </c>
      <c r="D410" s="250" t="s">
        <v>99</v>
      </c>
      <c r="E410" s="250" t="s">
        <v>336</v>
      </c>
      <c r="F410" s="258">
        <v>500</v>
      </c>
      <c r="G410" s="450" t="s">
        <v>1635</v>
      </c>
      <c r="H410" s="250" t="s">
        <v>117</v>
      </c>
      <c r="I410" s="250" t="s">
        <v>1047</v>
      </c>
      <c r="J410" s="250" t="s">
        <v>1636</v>
      </c>
      <c r="K410" s="255" t="s">
        <v>991</v>
      </c>
      <c r="L410" s="250" t="s">
        <v>992</v>
      </c>
      <c r="M410" s="277" t="s">
        <v>1256</v>
      </c>
      <c r="N410" s="278">
        <v>44403</v>
      </c>
      <c r="O410" s="329" t="s">
        <v>67</v>
      </c>
      <c r="P410" s="330">
        <f t="shared" si="19"/>
        <v>7</v>
      </c>
      <c r="Q410" s="330">
        <f t="shared" si="20"/>
        <v>7</v>
      </c>
      <c r="R410" s="331" t="str">
        <f t="shared" si="21"/>
        <v>Gastos_Gerais</v>
      </c>
      <c r="S410" s="331" t="str">
        <f>IF(D410="","",IF(OR(D410=Plano!$A$1,D410=Plano!$B$1),"entrada","saída"))</f>
        <v>saída</v>
      </c>
      <c r="T410" s="334" t="s">
        <v>994</v>
      </c>
      <c r="U410" s="334">
        <v>1720</v>
      </c>
      <c r="V410" s="269"/>
      <c r="W410" s="269"/>
      <c r="X410" s="269"/>
      <c r="Y410" s="269"/>
      <c r="Z410" s="269"/>
      <c r="AA410" s="269"/>
      <c r="AB410" s="269"/>
      <c r="AC410" s="269"/>
      <c r="AD410" s="269"/>
      <c r="AE410" s="269"/>
      <c r="AF410" s="269"/>
      <c r="AG410" s="269"/>
      <c r="AH410" s="269"/>
      <c r="AI410" s="269"/>
      <c r="AJ410" s="269"/>
      <c r="AK410" s="269"/>
      <c r="AL410" s="269"/>
      <c r="AM410" s="269"/>
    </row>
    <row r="411" spans="1:39" ht="63" customHeight="1" x14ac:dyDescent="0.2">
      <c r="A411" s="277">
        <f>IF(B411="","",COUNT('Diário 5º PA'!$A$5:$A$2634)+COUNT('Diário 6º PA'!$A$5:$A$2246)+ROW()-4)</f>
        <v>2950</v>
      </c>
      <c r="B411" s="278">
        <v>44407</v>
      </c>
      <c r="C411" s="256">
        <v>44378</v>
      </c>
      <c r="D411" s="250" t="s">
        <v>99</v>
      </c>
      <c r="E411" s="250" t="s">
        <v>336</v>
      </c>
      <c r="F411" s="258">
        <v>2300</v>
      </c>
      <c r="G411" s="450" t="s">
        <v>1619</v>
      </c>
      <c r="H411" s="250" t="s">
        <v>117</v>
      </c>
      <c r="I411" s="250" t="s">
        <v>1637</v>
      </c>
      <c r="J411" s="250" t="s">
        <v>1636</v>
      </c>
      <c r="K411" s="255" t="s">
        <v>991</v>
      </c>
      <c r="L411" s="250" t="s">
        <v>992</v>
      </c>
      <c r="M411" s="277" t="s">
        <v>1532</v>
      </c>
      <c r="N411" s="278">
        <v>44403</v>
      </c>
      <c r="O411" s="329" t="s">
        <v>67</v>
      </c>
      <c r="P411" s="330">
        <f t="shared" si="19"/>
        <v>7</v>
      </c>
      <c r="Q411" s="330">
        <f t="shared" si="20"/>
        <v>7</v>
      </c>
      <c r="R411" s="331" t="str">
        <f t="shared" si="21"/>
        <v>Gastos_Gerais</v>
      </c>
      <c r="S411" s="331" t="str">
        <f>IF(D411="","",IF(OR(D411=Plano!$A$1,D411=Plano!$B$1),"entrada","saída"))</f>
        <v>saída</v>
      </c>
      <c r="T411" s="334" t="s">
        <v>994</v>
      </c>
      <c r="U411" s="334">
        <v>1600</v>
      </c>
      <c r="V411" s="269"/>
      <c r="W411" s="269"/>
      <c r="X411" s="269"/>
      <c r="Y411" s="269"/>
      <c r="Z411" s="269"/>
      <c r="AA411" s="269"/>
      <c r="AB411" s="269"/>
      <c r="AC411" s="269"/>
      <c r="AD411" s="269"/>
      <c r="AE411" s="269"/>
      <c r="AF411" s="269"/>
      <c r="AG411" s="269"/>
      <c r="AH411" s="269"/>
      <c r="AI411" s="269"/>
      <c r="AJ411" s="269"/>
      <c r="AK411" s="269"/>
      <c r="AL411" s="269"/>
      <c r="AM411" s="269"/>
    </row>
    <row r="412" spans="1:39" ht="66" customHeight="1" x14ac:dyDescent="0.2">
      <c r="A412" s="277">
        <f>IF(B412="","",COUNT('Diário 5º PA'!$A$5:$A$2634)+COUNT('Diário 6º PA'!$A$5:$A$2246)+ROW()-4)</f>
        <v>2951</v>
      </c>
      <c r="B412" s="278">
        <v>44407</v>
      </c>
      <c r="C412" s="256">
        <v>44378</v>
      </c>
      <c r="D412" s="250" t="s">
        <v>99</v>
      </c>
      <c r="E412" s="250" t="s">
        <v>336</v>
      </c>
      <c r="F412" s="258">
        <v>2300</v>
      </c>
      <c r="G412" s="450" t="s">
        <v>1619</v>
      </c>
      <c r="H412" s="250" t="s">
        <v>117</v>
      </c>
      <c r="I412" s="250" t="s">
        <v>1638</v>
      </c>
      <c r="J412" s="250" t="s">
        <v>1639</v>
      </c>
      <c r="K412" s="255" t="s">
        <v>991</v>
      </c>
      <c r="L412" s="250" t="s">
        <v>992</v>
      </c>
      <c r="M412" s="277" t="s">
        <v>1058</v>
      </c>
      <c r="N412" s="278">
        <v>44404</v>
      </c>
      <c r="O412" s="329" t="s">
        <v>67</v>
      </c>
      <c r="P412" s="330">
        <f t="shared" si="19"/>
        <v>7</v>
      </c>
      <c r="Q412" s="330">
        <f t="shared" si="20"/>
        <v>7</v>
      </c>
      <c r="R412" s="331" t="str">
        <f t="shared" si="21"/>
        <v>Gastos_Gerais</v>
      </c>
      <c r="S412" s="331" t="str">
        <f>IF(D412="","",IF(OR(D412=Plano!$A$1,D412=Plano!$B$1),"entrada","saída"))</f>
        <v>saída</v>
      </c>
      <c r="T412" s="334" t="s">
        <v>994</v>
      </c>
      <c r="U412" s="334">
        <v>1606</v>
      </c>
      <c r="V412" s="269"/>
      <c r="W412" s="269"/>
      <c r="X412" s="269"/>
      <c r="Y412" s="269"/>
      <c r="Z412" s="269"/>
      <c r="AA412" s="269"/>
      <c r="AB412" s="269"/>
      <c r="AC412" s="269"/>
      <c r="AD412" s="269"/>
      <c r="AE412" s="269"/>
      <c r="AF412" s="269"/>
      <c r="AG412" s="269"/>
      <c r="AH412" s="269"/>
      <c r="AI412" s="269"/>
      <c r="AJ412" s="269"/>
      <c r="AK412" s="269"/>
      <c r="AL412" s="269"/>
      <c r="AM412" s="269"/>
    </row>
    <row r="413" spans="1:39" ht="96" customHeight="1" x14ac:dyDescent="0.2">
      <c r="A413" s="277">
        <f>IF(B413="","",COUNT('Diário 5º PA'!$A$5:$A$2634)+COUNT('Diário 6º PA'!$A$5:$A$2246)+ROW()-4)</f>
        <v>2952</v>
      </c>
      <c r="B413" s="278">
        <v>44407</v>
      </c>
      <c r="C413" s="249">
        <v>44378</v>
      </c>
      <c r="D413" s="250" t="s">
        <v>99</v>
      </c>
      <c r="E413" s="250" t="s">
        <v>330</v>
      </c>
      <c r="F413" s="251">
        <v>241.92</v>
      </c>
      <c r="G413" s="452" t="s">
        <v>451</v>
      </c>
      <c r="H413" s="250" t="s">
        <v>115</v>
      </c>
      <c r="I413" s="252" t="s">
        <v>1640</v>
      </c>
      <c r="J413" s="250" t="s">
        <v>452</v>
      </c>
      <c r="K413" s="255" t="s">
        <v>560</v>
      </c>
      <c r="L413" s="250" t="s">
        <v>992</v>
      </c>
      <c r="M413" s="277">
        <v>30237</v>
      </c>
      <c r="N413" s="278">
        <v>44393</v>
      </c>
      <c r="O413" s="329" t="s">
        <v>67</v>
      </c>
      <c r="P413" s="330">
        <f t="shared" si="19"/>
        <v>7</v>
      </c>
      <c r="Q413" s="330">
        <f t="shared" si="20"/>
        <v>7</v>
      </c>
      <c r="R413" s="331" t="str">
        <f t="shared" si="21"/>
        <v>Gastos_Gerais</v>
      </c>
      <c r="S413" s="331" t="str">
        <f>IF(D413="","",IF(OR(D413=Plano!$A$1,D413=Plano!$B$1),"entrada","saída"))</f>
        <v>saída</v>
      </c>
      <c r="T413" s="334" t="s">
        <v>1059</v>
      </c>
      <c r="U413" s="334">
        <v>1672</v>
      </c>
      <c r="V413" s="269"/>
      <c r="W413" s="269"/>
      <c r="X413" s="269"/>
      <c r="Y413" s="269"/>
      <c r="Z413" s="269"/>
      <c r="AA413" s="269"/>
      <c r="AB413" s="269"/>
      <c r="AC413" s="269"/>
      <c r="AD413" s="269"/>
      <c r="AE413" s="269"/>
      <c r="AF413" s="269"/>
      <c r="AG413" s="269"/>
      <c r="AH413" s="269"/>
      <c r="AI413" s="269"/>
      <c r="AJ413" s="269"/>
      <c r="AK413" s="269"/>
      <c r="AL413" s="269"/>
      <c r="AM413" s="269"/>
    </row>
    <row r="414" spans="1:39" ht="51.75" customHeight="1" x14ac:dyDescent="0.2">
      <c r="A414" s="277">
        <f>IF(B414="","",COUNT('Diário 5º PA'!$A$5:$A$2634)+COUNT('Diário 6º PA'!$A$5:$A$2246)+ROW()-4)</f>
        <v>2953</v>
      </c>
      <c r="B414" s="278">
        <v>44407</v>
      </c>
      <c r="C414" s="249">
        <v>44378</v>
      </c>
      <c r="D414" s="250" t="s">
        <v>99</v>
      </c>
      <c r="E414" s="250" t="s">
        <v>276</v>
      </c>
      <c r="F414" s="251">
        <v>114.19</v>
      </c>
      <c r="G414" s="452" t="s">
        <v>1641</v>
      </c>
      <c r="H414" s="250" t="s">
        <v>115</v>
      </c>
      <c r="I414" s="252" t="s">
        <v>465</v>
      </c>
      <c r="J414" s="250" t="s">
        <v>114</v>
      </c>
      <c r="K414" s="250" t="s">
        <v>466</v>
      </c>
      <c r="L414" s="250" t="s">
        <v>629</v>
      </c>
      <c r="M414" s="277" t="s">
        <v>1642</v>
      </c>
      <c r="N414" s="278">
        <v>44356</v>
      </c>
      <c r="O414" s="329" t="s">
        <v>67</v>
      </c>
      <c r="P414" s="330">
        <f t="shared" si="19"/>
        <v>7</v>
      </c>
      <c r="Q414" s="330">
        <f t="shared" si="20"/>
        <v>7</v>
      </c>
      <c r="R414" s="331" t="str">
        <f t="shared" si="21"/>
        <v>Gastos_Gerais</v>
      </c>
      <c r="S414" s="331" t="str">
        <f>IF(D414="","",IF(OR(D414=Plano!$A$1,D414=Plano!$B$1),"entrada","saída"))</f>
        <v>saída</v>
      </c>
      <c r="T414" s="334" t="s">
        <v>114</v>
      </c>
      <c r="U414" s="334" t="s">
        <v>114</v>
      </c>
      <c r="V414" s="269"/>
      <c r="W414" s="269"/>
      <c r="X414" s="269"/>
      <c r="Y414" s="269"/>
      <c r="Z414" s="269"/>
      <c r="AA414" s="269"/>
      <c r="AB414" s="269"/>
      <c r="AC414" s="269"/>
      <c r="AD414" s="269"/>
      <c r="AE414" s="269"/>
      <c r="AF414" s="269"/>
      <c r="AG414" s="269"/>
      <c r="AH414" s="269"/>
      <c r="AI414" s="269"/>
      <c r="AJ414" s="269"/>
      <c r="AK414" s="269"/>
      <c r="AL414" s="269"/>
      <c r="AM414" s="269"/>
    </row>
    <row r="415" spans="1:39" ht="98.25" customHeight="1" x14ac:dyDescent="0.2">
      <c r="A415" s="277">
        <f>IF(B415="","",COUNT('Diário 5º PA'!$A$5:$A$2634)+COUNT('Diário 6º PA'!$A$5:$A$2246)+ROW()-4)</f>
        <v>2954</v>
      </c>
      <c r="B415" s="278">
        <v>44407</v>
      </c>
      <c r="C415" s="249">
        <v>44348</v>
      </c>
      <c r="D415" s="250" t="s">
        <v>99</v>
      </c>
      <c r="E415" s="250" t="s">
        <v>328</v>
      </c>
      <c r="F415" s="251">
        <v>572.85</v>
      </c>
      <c r="G415" s="452" t="s">
        <v>1643</v>
      </c>
      <c r="H415" s="250" t="s">
        <v>116</v>
      </c>
      <c r="I415" s="250" t="s">
        <v>1644</v>
      </c>
      <c r="J415" s="250" t="s">
        <v>1645</v>
      </c>
      <c r="K415" s="255" t="s">
        <v>991</v>
      </c>
      <c r="L415" s="250" t="s">
        <v>992</v>
      </c>
      <c r="M415" s="277" t="s">
        <v>1646</v>
      </c>
      <c r="N415" s="278">
        <v>44378</v>
      </c>
      <c r="O415" s="329" t="s">
        <v>67</v>
      </c>
      <c r="P415" s="330">
        <f t="shared" si="19"/>
        <v>7</v>
      </c>
      <c r="Q415" s="330">
        <f t="shared" si="20"/>
        <v>6</v>
      </c>
      <c r="R415" s="331" t="str">
        <f t="shared" si="21"/>
        <v>Gastos_Gerais</v>
      </c>
      <c r="S415" s="331" t="str">
        <f>IF(D415="","",IF(OR(D415=Plano!$A$1,D415=Plano!$B$1),"entrada","saída"))</f>
        <v>saída</v>
      </c>
      <c r="T415" s="334" t="s">
        <v>994</v>
      </c>
      <c r="U415" s="334">
        <v>1708</v>
      </c>
      <c r="V415" s="269"/>
      <c r="W415" s="269"/>
      <c r="X415" s="269"/>
      <c r="Y415" s="269"/>
      <c r="Z415" s="269"/>
      <c r="AA415" s="269"/>
      <c r="AB415" s="269"/>
      <c r="AC415" s="269"/>
      <c r="AD415" s="269"/>
      <c r="AE415" s="269"/>
      <c r="AF415" s="269"/>
      <c r="AG415" s="269"/>
      <c r="AH415" s="269"/>
      <c r="AI415" s="269"/>
      <c r="AJ415" s="269"/>
      <c r="AK415" s="269"/>
      <c r="AL415" s="269"/>
      <c r="AM415" s="269"/>
    </row>
    <row r="416" spans="1:39" ht="81.75" customHeight="1" x14ac:dyDescent="0.2">
      <c r="A416" s="277">
        <f>IF(B416="","",COUNT('Diário 5º PA'!$A$5:$A$2634)+COUNT('Diário 6º PA'!$A$5:$A$2246)+ROW()-4)</f>
        <v>2955</v>
      </c>
      <c r="B416" s="278">
        <v>44407</v>
      </c>
      <c r="C416" s="256">
        <v>44378</v>
      </c>
      <c r="D416" s="250" t="s">
        <v>99</v>
      </c>
      <c r="E416" s="250" t="s">
        <v>336</v>
      </c>
      <c r="F416" s="258">
        <v>2300</v>
      </c>
      <c r="G416" s="450" t="s">
        <v>1619</v>
      </c>
      <c r="H416" s="250" t="s">
        <v>117</v>
      </c>
      <c r="I416" s="250" t="s">
        <v>1647</v>
      </c>
      <c r="J416" s="250" t="s">
        <v>1648</v>
      </c>
      <c r="K416" s="255" t="s">
        <v>991</v>
      </c>
      <c r="L416" s="250" t="s">
        <v>992</v>
      </c>
      <c r="M416" s="277">
        <v>153</v>
      </c>
      <c r="N416" s="278">
        <v>44405</v>
      </c>
      <c r="O416" s="329" t="s">
        <v>67</v>
      </c>
      <c r="P416" s="330">
        <f t="shared" si="19"/>
        <v>7</v>
      </c>
      <c r="Q416" s="330">
        <f t="shared" si="20"/>
        <v>7</v>
      </c>
      <c r="R416" s="331" t="str">
        <f t="shared" si="21"/>
        <v>Gastos_Gerais</v>
      </c>
      <c r="S416" s="331" t="str">
        <f>IF(D416="","",IF(OR(D416=Plano!$A$1,D416=Plano!$B$1),"entrada","saída"))</f>
        <v>saída</v>
      </c>
      <c r="T416" s="334" t="s">
        <v>994</v>
      </c>
      <c r="U416" s="334">
        <v>1605</v>
      </c>
      <c r="V416" s="269"/>
      <c r="W416" s="269"/>
      <c r="X416" s="269"/>
      <c r="Y416" s="269"/>
      <c r="Z416" s="269"/>
      <c r="AA416" s="269"/>
      <c r="AB416" s="269"/>
      <c r="AC416" s="269"/>
      <c r="AD416" s="269"/>
      <c r="AE416" s="269"/>
      <c r="AF416" s="269"/>
      <c r="AG416" s="269"/>
      <c r="AH416" s="269"/>
      <c r="AI416" s="269"/>
      <c r="AJ416" s="269"/>
      <c r="AK416" s="269"/>
      <c r="AL416" s="269"/>
      <c r="AM416" s="269"/>
    </row>
    <row r="417" spans="1:39" ht="58.5" customHeight="1" x14ac:dyDescent="0.2">
      <c r="A417" s="277">
        <f>IF(B417="","",COUNT('Diário 5º PA'!$A$5:$A$2634)+COUNT('Diário 6º PA'!$A$5:$A$2246)+ROW()-4)</f>
        <v>2956</v>
      </c>
      <c r="B417" s="278">
        <v>44407</v>
      </c>
      <c r="C417" s="249">
        <v>44378</v>
      </c>
      <c r="D417" s="255" t="s">
        <v>99</v>
      </c>
      <c r="E417" s="255" t="s">
        <v>272</v>
      </c>
      <c r="F417" s="258">
        <v>10.45</v>
      </c>
      <c r="G417" s="450" t="s">
        <v>1649</v>
      </c>
      <c r="H417" s="250" t="s">
        <v>117</v>
      </c>
      <c r="I417" s="250" t="s">
        <v>949</v>
      </c>
      <c r="J417" s="255" t="s">
        <v>950</v>
      </c>
      <c r="K417" s="255" t="s">
        <v>951</v>
      </c>
      <c r="L417" s="250" t="s">
        <v>947</v>
      </c>
      <c r="M417" s="336" t="s">
        <v>114</v>
      </c>
      <c r="N417" s="278">
        <v>44407</v>
      </c>
      <c r="O417" s="329" t="s">
        <v>67</v>
      </c>
      <c r="P417" s="330">
        <f t="shared" si="19"/>
        <v>7</v>
      </c>
      <c r="Q417" s="330">
        <f t="shared" si="20"/>
        <v>7</v>
      </c>
      <c r="R417" s="331" t="str">
        <f t="shared" si="21"/>
        <v>Gastos_Gerais</v>
      </c>
      <c r="S417" s="331" t="str">
        <f>IF(D417="","",IF(OR(D417=Plano!$A$1,D417=Plano!$B$1),"entrada","saída"))</f>
        <v>saída</v>
      </c>
      <c r="T417" s="332" t="s">
        <v>114</v>
      </c>
      <c r="U417" s="332" t="s">
        <v>114</v>
      </c>
      <c r="V417" s="269"/>
      <c r="W417" s="269"/>
      <c r="X417" s="269"/>
      <c r="Y417" s="269"/>
      <c r="Z417" s="269"/>
      <c r="AA417" s="269"/>
      <c r="AB417" s="269"/>
      <c r="AC417" s="269"/>
      <c r="AD417" s="269"/>
      <c r="AE417" s="269"/>
      <c r="AF417" s="269"/>
      <c r="AG417" s="269"/>
      <c r="AH417" s="269"/>
      <c r="AI417" s="269"/>
      <c r="AJ417" s="269"/>
      <c r="AK417" s="269"/>
      <c r="AL417" s="269"/>
      <c r="AM417" s="269"/>
    </row>
    <row r="418" spans="1:39" ht="52.5" customHeight="1" x14ac:dyDescent="0.2">
      <c r="A418" s="277">
        <f>IF(B418="","",COUNT('Diário 5º PA'!$A$5:$A$2634)+COUNT('Diário 6º PA'!$A$5:$A$2246)+ROW()-4)</f>
        <v>2957</v>
      </c>
      <c r="B418" s="278">
        <v>44407</v>
      </c>
      <c r="C418" s="249">
        <v>44378</v>
      </c>
      <c r="D418" s="255" t="s">
        <v>99</v>
      </c>
      <c r="E418" s="255" t="s">
        <v>272</v>
      </c>
      <c r="F418" s="258">
        <v>10.45</v>
      </c>
      <c r="G418" s="450" t="s">
        <v>1650</v>
      </c>
      <c r="H418" s="250" t="s">
        <v>117</v>
      </c>
      <c r="I418" s="250" t="s">
        <v>949</v>
      </c>
      <c r="J418" s="255" t="s">
        <v>950</v>
      </c>
      <c r="K418" s="255" t="s">
        <v>951</v>
      </c>
      <c r="L418" s="250" t="s">
        <v>947</v>
      </c>
      <c r="M418" s="336" t="s">
        <v>114</v>
      </c>
      <c r="N418" s="278">
        <v>44407</v>
      </c>
      <c r="O418" s="329" t="s">
        <v>67</v>
      </c>
      <c r="P418" s="330">
        <f t="shared" si="19"/>
        <v>7</v>
      </c>
      <c r="Q418" s="330">
        <f t="shared" si="20"/>
        <v>7</v>
      </c>
      <c r="R418" s="331" t="str">
        <f t="shared" si="21"/>
        <v>Gastos_Gerais</v>
      </c>
      <c r="S418" s="331" t="str">
        <f>IF(D418="","",IF(OR(D418=Plano!$A$1,D418=Plano!$B$1),"entrada","saída"))</f>
        <v>saída</v>
      </c>
      <c r="T418" s="332" t="s">
        <v>114</v>
      </c>
      <c r="U418" s="332" t="s">
        <v>114</v>
      </c>
      <c r="V418" s="269"/>
      <c r="W418" s="269"/>
      <c r="X418" s="269"/>
      <c r="Y418" s="269"/>
      <c r="Z418" s="269"/>
      <c r="AA418" s="269"/>
      <c r="AB418" s="269"/>
      <c r="AC418" s="269"/>
      <c r="AD418" s="269"/>
      <c r="AE418" s="269"/>
      <c r="AF418" s="269"/>
      <c r="AG418" s="269"/>
      <c r="AH418" s="269"/>
      <c r="AI418" s="269"/>
      <c r="AJ418" s="269"/>
      <c r="AK418" s="269"/>
      <c r="AL418" s="269"/>
      <c r="AM418" s="269"/>
    </row>
    <row r="419" spans="1:39" ht="56.25" customHeight="1" x14ac:dyDescent="0.2">
      <c r="A419" s="277">
        <f>IF(B419="","",COUNT('Diário 5º PA'!$A$5:$A$2634)+COUNT('Diário 6º PA'!$A$5:$A$2246)+ROW()-4)</f>
        <v>2958</v>
      </c>
      <c r="B419" s="278">
        <v>44407</v>
      </c>
      <c r="C419" s="249">
        <v>44378</v>
      </c>
      <c r="D419" s="255" t="s">
        <v>99</v>
      </c>
      <c r="E419" s="255" t="s">
        <v>272</v>
      </c>
      <c r="F419" s="258">
        <v>10.45</v>
      </c>
      <c r="G419" s="450" t="s">
        <v>1651</v>
      </c>
      <c r="H419" s="250" t="s">
        <v>117</v>
      </c>
      <c r="I419" s="250" t="s">
        <v>949</v>
      </c>
      <c r="J419" s="255" t="s">
        <v>950</v>
      </c>
      <c r="K419" s="255" t="s">
        <v>951</v>
      </c>
      <c r="L419" s="250" t="s">
        <v>947</v>
      </c>
      <c r="M419" s="336" t="s">
        <v>114</v>
      </c>
      <c r="N419" s="278">
        <v>44407</v>
      </c>
      <c r="O419" s="329" t="s">
        <v>67</v>
      </c>
      <c r="P419" s="330">
        <f t="shared" si="19"/>
        <v>7</v>
      </c>
      <c r="Q419" s="330">
        <f t="shared" si="20"/>
        <v>7</v>
      </c>
      <c r="R419" s="331" t="str">
        <f t="shared" si="21"/>
        <v>Gastos_Gerais</v>
      </c>
      <c r="S419" s="331" t="str">
        <f>IF(D419="","",IF(OR(D419=Plano!$A$1,D419=Plano!$B$1),"entrada","saída"))</f>
        <v>saída</v>
      </c>
      <c r="T419" s="332" t="s">
        <v>114</v>
      </c>
      <c r="U419" s="332" t="s">
        <v>114</v>
      </c>
      <c r="V419" s="269"/>
      <c r="W419" s="269"/>
      <c r="X419" s="269"/>
      <c r="Y419" s="269"/>
      <c r="Z419" s="269"/>
      <c r="AA419" s="269"/>
      <c r="AB419" s="269"/>
      <c r="AC419" s="269"/>
      <c r="AD419" s="269"/>
      <c r="AE419" s="269"/>
      <c r="AF419" s="269"/>
      <c r="AG419" s="269"/>
      <c r="AH419" s="269"/>
      <c r="AI419" s="269"/>
      <c r="AJ419" s="269"/>
      <c r="AK419" s="269"/>
      <c r="AL419" s="269"/>
      <c r="AM419" s="269"/>
    </row>
    <row r="420" spans="1:39" ht="50.25" customHeight="1" x14ac:dyDescent="0.2">
      <c r="A420" s="277">
        <f>IF(B420="","",COUNT('Diário 5º PA'!$A$5:$A$2634)+COUNT('Diário 6º PA'!$A$5:$A$2246)+ROW()-4)</f>
        <v>2959</v>
      </c>
      <c r="B420" s="278">
        <v>44407</v>
      </c>
      <c r="C420" s="249">
        <v>44378</v>
      </c>
      <c r="D420" s="255" t="s">
        <v>99</v>
      </c>
      <c r="E420" s="255" t="s">
        <v>272</v>
      </c>
      <c r="F420" s="258">
        <v>10.45</v>
      </c>
      <c r="G420" s="450" t="s">
        <v>1652</v>
      </c>
      <c r="H420" s="250" t="s">
        <v>117</v>
      </c>
      <c r="I420" s="250" t="s">
        <v>949</v>
      </c>
      <c r="J420" s="255" t="s">
        <v>950</v>
      </c>
      <c r="K420" s="255" t="s">
        <v>951</v>
      </c>
      <c r="L420" s="250" t="s">
        <v>947</v>
      </c>
      <c r="M420" s="336" t="s">
        <v>114</v>
      </c>
      <c r="N420" s="278">
        <v>44407</v>
      </c>
      <c r="O420" s="329" t="s">
        <v>67</v>
      </c>
      <c r="P420" s="330">
        <f t="shared" si="19"/>
        <v>7</v>
      </c>
      <c r="Q420" s="330">
        <f t="shared" si="20"/>
        <v>7</v>
      </c>
      <c r="R420" s="331" t="str">
        <f t="shared" si="21"/>
        <v>Gastos_Gerais</v>
      </c>
      <c r="S420" s="331" t="str">
        <f>IF(D420="","",IF(OR(D420=Plano!$A$1,D420=Plano!$B$1),"entrada","saída"))</f>
        <v>saída</v>
      </c>
      <c r="T420" s="332" t="s">
        <v>114</v>
      </c>
      <c r="U420" s="332" t="s">
        <v>114</v>
      </c>
      <c r="V420" s="269"/>
      <c r="W420" s="269"/>
      <c r="X420" s="269"/>
      <c r="Y420" s="269"/>
      <c r="Z420" s="269"/>
      <c r="AA420" s="269"/>
      <c r="AB420" s="269"/>
      <c r="AC420" s="269"/>
      <c r="AD420" s="269"/>
      <c r="AE420" s="269"/>
      <c r="AF420" s="269"/>
      <c r="AG420" s="269"/>
      <c r="AH420" s="269"/>
      <c r="AI420" s="269"/>
      <c r="AJ420" s="269"/>
      <c r="AK420" s="269"/>
      <c r="AL420" s="269"/>
      <c r="AM420" s="269"/>
    </row>
    <row r="421" spans="1:39" ht="51" customHeight="1" x14ac:dyDescent="0.2">
      <c r="A421" s="277">
        <f>IF(B421="","",COUNT('Diário 5º PA'!$A$5:$A$2634)+COUNT('Diário 6º PA'!$A$5:$A$2246)+ROW()-4)</f>
        <v>2960</v>
      </c>
      <c r="B421" s="278">
        <v>44407</v>
      </c>
      <c r="C421" s="249">
        <v>44378</v>
      </c>
      <c r="D421" s="255" t="s">
        <v>99</v>
      </c>
      <c r="E421" s="255" t="s">
        <v>272</v>
      </c>
      <c r="F421" s="258">
        <v>10.45</v>
      </c>
      <c r="G421" s="450" t="s">
        <v>1653</v>
      </c>
      <c r="H421" s="250" t="s">
        <v>117</v>
      </c>
      <c r="I421" s="250" t="s">
        <v>949</v>
      </c>
      <c r="J421" s="255" t="s">
        <v>950</v>
      </c>
      <c r="K421" s="255" t="s">
        <v>951</v>
      </c>
      <c r="L421" s="250" t="s">
        <v>947</v>
      </c>
      <c r="M421" s="336" t="s">
        <v>114</v>
      </c>
      <c r="N421" s="278">
        <v>44407</v>
      </c>
      <c r="O421" s="329" t="s">
        <v>67</v>
      </c>
      <c r="P421" s="330">
        <f t="shared" si="19"/>
        <v>7</v>
      </c>
      <c r="Q421" s="330">
        <f t="shared" si="20"/>
        <v>7</v>
      </c>
      <c r="R421" s="331" t="str">
        <f t="shared" si="21"/>
        <v>Gastos_Gerais</v>
      </c>
      <c r="S421" s="331" t="str">
        <f>IF(D421="","",IF(OR(D421=Plano!$A$1,D421=Plano!$B$1),"entrada","saída"))</f>
        <v>saída</v>
      </c>
      <c r="T421" s="332" t="s">
        <v>114</v>
      </c>
      <c r="U421" s="332" t="s">
        <v>114</v>
      </c>
      <c r="V421" s="269"/>
      <c r="W421" s="269"/>
      <c r="X421" s="269"/>
      <c r="Y421" s="269"/>
      <c r="Z421" s="269"/>
      <c r="AA421" s="269"/>
      <c r="AB421" s="269"/>
      <c r="AC421" s="269"/>
      <c r="AD421" s="269"/>
      <c r="AE421" s="269"/>
      <c r="AF421" s="269"/>
      <c r="AG421" s="269"/>
      <c r="AH421" s="269"/>
      <c r="AI421" s="269"/>
      <c r="AJ421" s="269"/>
      <c r="AK421" s="269"/>
      <c r="AL421" s="269"/>
      <c r="AM421" s="269"/>
    </row>
    <row r="422" spans="1:39" ht="48.75" customHeight="1" x14ac:dyDescent="0.2">
      <c r="A422" s="277">
        <f>IF(B422="","",COUNT('Diário 5º PA'!$A$5:$A$2634)+COUNT('Diário 6º PA'!$A$5:$A$2246)+ROW()-4)</f>
        <v>2961</v>
      </c>
      <c r="B422" s="278">
        <v>44407</v>
      </c>
      <c r="C422" s="249">
        <v>44378</v>
      </c>
      <c r="D422" s="255" t="s">
        <v>99</v>
      </c>
      <c r="E422" s="255" t="s">
        <v>272</v>
      </c>
      <c r="F422" s="258">
        <v>10.45</v>
      </c>
      <c r="G422" s="450" t="s">
        <v>1654</v>
      </c>
      <c r="H422" s="250" t="s">
        <v>117</v>
      </c>
      <c r="I422" s="250" t="s">
        <v>949</v>
      </c>
      <c r="J422" s="255" t="s">
        <v>950</v>
      </c>
      <c r="K422" s="255" t="s">
        <v>951</v>
      </c>
      <c r="L422" s="250" t="s">
        <v>947</v>
      </c>
      <c r="M422" s="336" t="s">
        <v>114</v>
      </c>
      <c r="N422" s="278">
        <v>44407</v>
      </c>
      <c r="O422" s="329" t="s">
        <v>67</v>
      </c>
      <c r="P422" s="330">
        <f t="shared" si="19"/>
        <v>7</v>
      </c>
      <c r="Q422" s="330">
        <f t="shared" si="20"/>
        <v>7</v>
      </c>
      <c r="R422" s="331" t="str">
        <f t="shared" si="21"/>
        <v>Gastos_Gerais</v>
      </c>
      <c r="S422" s="331" t="str">
        <f>IF(D422="","",IF(OR(D422=Plano!$A$1,D422=Plano!$B$1),"entrada","saída"))</f>
        <v>saída</v>
      </c>
      <c r="T422" s="332" t="s">
        <v>114</v>
      </c>
      <c r="U422" s="332" t="s">
        <v>114</v>
      </c>
      <c r="V422" s="269"/>
      <c r="W422" s="269"/>
      <c r="X422" s="269"/>
      <c r="Y422" s="269"/>
      <c r="Z422" s="269"/>
      <c r="AA422" s="269"/>
      <c r="AB422" s="269"/>
      <c r="AC422" s="269"/>
      <c r="AD422" s="269"/>
      <c r="AE422" s="269"/>
      <c r="AF422" s="269"/>
      <c r="AG422" s="269"/>
      <c r="AH422" s="269"/>
      <c r="AI422" s="269"/>
      <c r="AJ422" s="269"/>
      <c r="AK422" s="269"/>
      <c r="AL422" s="269"/>
      <c r="AM422" s="269"/>
    </row>
    <row r="423" spans="1:39" ht="57" customHeight="1" x14ac:dyDescent="0.2">
      <c r="A423" s="277">
        <f>IF(B423="","",COUNT('Diário 5º PA'!$A$5:$A$2634)+COUNT('Diário 6º PA'!$A$5:$A$2246)+ROW()-4)</f>
        <v>2962</v>
      </c>
      <c r="B423" s="278">
        <v>44407</v>
      </c>
      <c r="C423" s="249">
        <v>44378</v>
      </c>
      <c r="D423" s="255" t="s">
        <v>99</v>
      </c>
      <c r="E423" s="255" t="s">
        <v>272</v>
      </c>
      <c r="F423" s="258">
        <v>10.45</v>
      </c>
      <c r="G423" s="450" t="s">
        <v>1655</v>
      </c>
      <c r="H423" s="250" t="s">
        <v>117</v>
      </c>
      <c r="I423" s="250" t="s">
        <v>949</v>
      </c>
      <c r="J423" s="255" t="s">
        <v>950</v>
      </c>
      <c r="K423" s="255" t="s">
        <v>951</v>
      </c>
      <c r="L423" s="250" t="s">
        <v>947</v>
      </c>
      <c r="M423" s="336" t="s">
        <v>114</v>
      </c>
      <c r="N423" s="278">
        <v>44407</v>
      </c>
      <c r="O423" s="329" t="s">
        <v>67</v>
      </c>
      <c r="P423" s="330">
        <f t="shared" si="19"/>
        <v>7</v>
      </c>
      <c r="Q423" s="330">
        <f t="shared" si="20"/>
        <v>7</v>
      </c>
      <c r="R423" s="331" t="str">
        <f t="shared" si="21"/>
        <v>Gastos_Gerais</v>
      </c>
      <c r="S423" s="331" t="str">
        <f>IF(D423="","",IF(OR(D423=Plano!$A$1,D423=Plano!$B$1),"entrada","saída"))</f>
        <v>saída</v>
      </c>
      <c r="T423" s="332" t="s">
        <v>114</v>
      </c>
      <c r="U423" s="332" t="s">
        <v>114</v>
      </c>
      <c r="V423" s="269"/>
      <c r="W423" s="269"/>
      <c r="X423" s="269"/>
      <c r="Y423" s="269"/>
      <c r="Z423" s="269"/>
      <c r="AA423" s="269"/>
      <c r="AB423" s="269"/>
      <c r="AC423" s="269"/>
      <c r="AD423" s="269"/>
      <c r="AE423" s="269"/>
      <c r="AF423" s="269"/>
      <c r="AG423" s="269"/>
      <c r="AH423" s="269"/>
      <c r="AI423" s="269"/>
      <c r="AJ423" s="269"/>
      <c r="AK423" s="269"/>
      <c r="AL423" s="269"/>
      <c r="AM423" s="269"/>
    </row>
    <row r="424" spans="1:39" ht="51" customHeight="1" x14ac:dyDescent="0.2">
      <c r="A424" s="277">
        <f>IF(B424="","",COUNT('Diário 5º PA'!$A$5:$A$2634)+COUNT('Diário 6º PA'!$A$5:$A$2246)+ROW()-4)</f>
        <v>2963</v>
      </c>
      <c r="B424" s="278">
        <v>44407</v>
      </c>
      <c r="C424" s="249">
        <v>44378</v>
      </c>
      <c r="D424" s="255" t="s">
        <v>99</v>
      </c>
      <c r="E424" s="255" t="s">
        <v>272</v>
      </c>
      <c r="F424" s="258">
        <v>10.45</v>
      </c>
      <c r="G424" s="450" t="s">
        <v>1656</v>
      </c>
      <c r="H424" s="250" t="s">
        <v>117</v>
      </c>
      <c r="I424" s="250" t="s">
        <v>949</v>
      </c>
      <c r="J424" s="255" t="s">
        <v>950</v>
      </c>
      <c r="K424" s="255" t="s">
        <v>951</v>
      </c>
      <c r="L424" s="250" t="s">
        <v>947</v>
      </c>
      <c r="M424" s="336" t="s">
        <v>114</v>
      </c>
      <c r="N424" s="278">
        <v>44407</v>
      </c>
      <c r="O424" s="329" t="s">
        <v>67</v>
      </c>
      <c r="P424" s="330">
        <f t="shared" si="19"/>
        <v>7</v>
      </c>
      <c r="Q424" s="330">
        <f t="shared" si="20"/>
        <v>7</v>
      </c>
      <c r="R424" s="331" t="str">
        <f t="shared" si="21"/>
        <v>Gastos_Gerais</v>
      </c>
      <c r="S424" s="331" t="str">
        <f>IF(D424="","",IF(OR(D424=Plano!$A$1,D424=Plano!$B$1),"entrada","saída"))</f>
        <v>saída</v>
      </c>
      <c r="T424" s="332" t="s">
        <v>114</v>
      </c>
      <c r="U424" s="332" t="s">
        <v>114</v>
      </c>
      <c r="V424" s="269"/>
      <c r="W424" s="269"/>
      <c r="X424" s="269"/>
      <c r="Y424" s="269"/>
      <c r="Z424" s="269"/>
      <c r="AA424" s="269"/>
      <c r="AB424" s="269"/>
      <c r="AC424" s="269"/>
      <c r="AD424" s="269"/>
      <c r="AE424" s="269"/>
      <c r="AF424" s="269"/>
      <c r="AG424" s="269"/>
      <c r="AH424" s="269"/>
      <c r="AI424" s="269"/>
      <c r="AJ424" s="269"/>
      <c r="AK424" s="269"/>
      <c r="AL424" s="269"/>
      <c r="AM424" s="269"/>
    </row>
    <row r="425" spans="1:39" ht="52.5" customHeight="1" x14ac:dyDescent="0.2">
      <c r="A425" s="277">
        <f>IF(B425="","",COUNT('Diário 5º PA'!$A$5:$A$2634)+COUNT('Diário 6º PA'!$A$5:$A$2246)+ROW()-4)</f>
        <v>2964</v>
      </c>
      <c r="B425" s="278">
        <v>44407</v>
      </c>
      <c r="C425" s="249">
        <v>44378</v>
      </c>
      <c r="D425" s="255" t="s">
        <v>99</v>
      </c>
      <c r="E425" s="255" t="s">
        <v>272</v>
      </c>
      <c r="F425" s="258">
        <v>10.45</v>
      </c>
      <c r="G425" s="450" t="s">
        <v>1657</v>
      </c>
      <c r="H425" s="250" t="s">
        <v>117</v>
      </c>
      <c r="I425" s="250" t="s">
        <v>949</v>
      </c>
      <c r="J425" s="255" t="s">
        <v>950</v>
      </c>
      <c r="K425" s="255" t="s">
        <v>951</v>
      </c>
      <c r="L425" s="250" t="s">
        <v>947</v>
      </c>
      <c r="M425" s="336" t="s">
        <v>114</v>
      </c>
      <c r="N425" s="278">
        <v>44407</v>
      </c>
      <c r="O425" s="329" t="s">
        <v>67</v>
      </c>
      <c r="P425" s="330">
        <f t="shared" si="19"/>
        <v>7</v>
      </c>
      <c r="Q425" s="330">
        <f t="shared" si="20"/>
        <v>7</v>
      </c>
      <c r="R425" s="331" t="str">
        <f t="shared" si="21"/>
        <v>Gastos_Gerais</v>
      </c>
      <c r="S425" s="331" t="str">
        <f>IF(D425="","",IF(OR(D425=Plano!$A$1,D425=Plano!$B$1),"entrada","saída"))</f>
        <v>saída</v>
      </c>
      <c r="T425" s="332" t="s">
        <v>114</v>
      </c>
      <c r="U425" s="332" t="s">
        <v>114</v>
      </c>
      <c r="V425" s="269"/>
      <c r="W425" s="269"/>
      <c r="X425" s="269"/>
      <c r="Y425" s="269"/>
      <c r="Z425" s="269"/>
      <c r="AA425" s="269"/>
      <c r="AB425" s="269"/>
      <c r="AC425" s="269"/>
      <c r="AD425" s="269"/>
      <c r="AE425" s="269"/>
      <c r="AF425" s="269"/>
      <c r="AG425" s="269"/>
      <c r="AH425" s="269"/>
      <c r="AI425" s="269"/>
      <c r="AJ425" s="269"/>
      <c r="AK425" s="269"/>
      <c r="AL425" s="269"/>
      <c r="AM425" s="269"/>
    </row>
    <row r="426" spans="1:39" ht="54" customHeight="1" x14ac:dyDescent="0.2">
      <c r="A426" s="277">
        <f>IF(B426="","",COUNT('Diário 5º PA'!$A$5:$A$2634)+COUNT('Diário 6º PA'!$A$5:$A$2246)+ROW()-4)</f>
        <v>2965</v>
      </c>
      <c r="B426" s="278">
        <v>44407</v>
      </c>
      <c r="C426" s="249">
        <v>44378</v>
      </c>
      <c r="D426" s="255" t="s">
        <v>99</v>
      </c>
      <c r="E426" s="255" t="s">
        <v>272</v>
      </c>
      <c r="F426" s="258">
        <v>10.45</v>
      </c>
      <c r="G426" s="450" t="s">
        <v>1658</v>
      </c>
      <c r="H426" s="250" t="s">
        <v>117</v>
      </c>
      <c r="I426" s="250" t="s">
        <v>949</v>
      </c>
      <c r="J426" s="255" t="s">
        <v>950</v>
      </c>
      <c r="K426" s="255" t="s">
        <v>951</v>
      </c>
      <c r="L426" s="250" t="s">
        <v>947</v>
      </c>
      <c r="M426" s="336" t="s">
        <v>114</v>
      </c>
      <c r="N426" s="278">
        <v>44407</v>
      </c>
      <c r="O426" s="329" t="s">
        <v>67</v>
      </c>
      <c r="P426" s="330">
        <f t="shared" si="19"/>
        <v>7</v>
      </c>
      <c r="Q426" s="330">
        <f t="shared" si="20"/>
        <v>7</v>
      </c>
      <c r="R426" s="331" t="str">
        <f t="shared" si="21"/>
        <v>Gastos_Gerais</v>
      </c>
      <c r="S426" s="331" t="str">
        <f>IF(D426="","",IF(OR(D426=Plano!$A$1,D426=Plano!$B$1),"entrada","saída"))</f>
        <v>saída</v>
      </c>
      <c r="T426" s="332" t="s">
        <v>114</v>
      </c>
      <c r="U426" s="332" t="s">
        <v>114</v>
      </c>
      <c r="V426" s="269"/>
      <c r="W426" s="269"/>
      <c r="X426" s="269"/>
      <c r="Y426" s="269"/>
      <c r="Z426" s="269"/>
      <c r="AA426" s="269"/>
      <c r="AB426" s="269"/>
      <c r="AC426" s="269"/>
      <c r="AD426" s="269"/>
      <c r="AE426" s="269"/>
      <c r="AF426" s="269"/>
      <c r="AG426" s="269"/>
      <c r="AH426" s="269"/>
      <c r="AI426" s="269"/>
      <c r="AJ426" s="269"/>
      <c r="AK426" s="269"/>
      <c r="AL426" s="269"/>
      <c r="AM426" s="269"/>
    </row>
    <row r="427" spans="1:39" ht="48.75" customHeight="1" x14ac:dyDescent="0.2">
      <c r="A427" s="277">
        <f>IF(B427="","",COUNT('Diário 5º PA'!$A$5:$A$2634)+COUNT('Diário 6º PA'!$A$5:$A$2246)+ROW()-4)</f>
        <v>2966</v>
      </c>
      <c r="B427" s="278">
        <v>44407</v>
      </c>
      <c r="C427" s="249">
        <v>44378</v>
      </c>
      <c r="D427" s="255" t="s">
        <v>99</v>
      </c>
      <c r="E427" s="255" t="s">
        <v>272</v>
      </c>
      <c r="F427" s="258">
        <v>10.45</v>
      </c>
      <c r="G427" s="450" t="s">
        <v>1659</v>
      </c>
      <c r="H427" s="250" t="s">
        <v>116</v>
      </c>
      <c r="I427" s="250" t="s">
        <v>949</v>
      </c>
      <c r="J427" s="255" t="s">
        <v>950</v>
      </c>
      <c r="K427" s="255" t="s">
        <v>951</v>
      </c>
      <c r="L427" s="250" t="s">
        <v>947</v>
      </c>
      <c r="M427" s="336" t="s">
        <v>114</v>
      </c>
      <c r="N427" s="278">
        <v>44407</v>
      </c>
      <c r="O427" s="329" t="s">
        <v>67</v>
      </c>
      <c r="P427" s="330">
        <f t="shared" si="19"/>
        <v>7</v>
      </c>
      <c r="Q427" s="330">
        <f t="shared" si="20"/>
        <v>7</v>
      </c>
      <c r="R427" s="331" t="str">
        <f t="shared" si="21"/>
        <v>Gastos_Gerais</v>
      </c>
      <c r="S427" s="331" t="str">
        <f>IF(D427="","",IF(OR(D427=Plano!$A$1,D427=Plano!$B$1),"entrada","saída"))</f>
        <v>saída</v>
      </c>
      <c r="T427" s="332" t="s">
        <v>114</v>
      </c>
      <c r="U427" s="332" t="s">
        <v>114</v>
      </c>
      <c r="V427" s="269"/>
      <c r="W427" s="269"/>
      <c r="X427" s="269"/>
      <c r="Y427" s="269"/>
      <c r="Z427" s="269"/>
      <c r="AA427" s="269"/>
      <c r="AB427" s="269"/>
      <c r="AC427" s="269"/>
      <c r="AD427" s="269"/>
      <c r="AE427" s="269"/>
      <c r="AF427" s="269"/>
      <c r="AG427" s="269"/>
      <c r="AH427" s="269"/>
      <c r="AI427" s="269"/>
      <c r="AJ427" s="269"/>
      <c r="AK427" s="269"/>
      <c r="AL427" s="269"/>
      <c r="AM427" s="269"/>
    </row>
    <row r="428" spans="1:39" ht="49.5" customHeight="1" x14ac:dyDescent="0.2">
      <c r="A428" s="277">
        <f>IF(B428="","",COUNT('Diário 5º PA'!$A$5:$A$2634)+COUNT('Diário 6º PA'!$A$5:$A$2246)+ROW()-4)</f>
        <v>2967</v>
      </c>
      <c r="B428" s="278">
        <v>44407</v>
      </c>
      <c r="C428" s="249">
        <v>44378</v>
      </c>
      <c r="D428" s="255" t="s">
        <v>99</v>
      </c>
      <c r="E428" s="255" t="s">
        <v>272</v>
      </c>
      <c r="F428" s="258">
        <v>10.45</v>
      </c>
      <c r="G428" s="450" t="s">
        <v>1660</v>
      </c>
      <c r="H428" s="250" t="s">
        <v>117</v>
      </c>
      <c r="I428" s="250" t="s">
        <v>949</v>
      </c>
      <c r="J428" s="255" t="s">
        <v>950</v>
      </c>
      <c r="K428" s="255" t="s">
        <v>951</v>
      </c>
      <c r="L428" s="250" t="s">
        <v>947</v>
      </c>
      <c r="M428" s="336" t="s">
        <v>114</v>
      </c>
      <c r="N428" s="278">
        <v>44407</v>
      </c>
      <c r="O428" s="329" t="s">
        <v>67</v>
      </c>
      <c r="P428" s="330">
        <f t="shared" si="19"/>
        <v>7</v>
      </c>
      <c r="Q428" s="330">
        <f t="shared" si="20"/>
        <v>7</v>
      </c>
      <c r="R428" s="331" t="str">
        <f t="shared" si="21"/>
        <v>Gastos_Gerais</v>
      </c>
      <c r="S428" s="331" t="str">
        <f>IF(D428="","",IF(OR(D428=Plano!$A$1,D428=Plano!$B$1),"entrada","saída"))</f>
        <v>saída</v>
      </c>
      <c r="T428" s="332" t="s">
        <v>114</v>
      </c>
      <c r="U428" s="332" t="s">
        <v>114</v>
      </c>
      <c r="V428" s="269"/>
      <c r="W428" s="269"/>
      <c r="X428" s="269"/>
      <c r="Y428" s="269"/>
      <c r="Z428" s="269"/>
      <c r="AA428" s="269"/>
      <c r="AB428" s="269"/>
      <c r="AC428" s="269"/>
      <c r="AD428" s="269"/>
      <c r="AE428" s="269"/>
      <c r="AF428" s="269"/>
      <c r="AG428" s="269"/>
      <c r="AH428" s="269"/>
      <c r="AI428" s="269"/>
      <c r="AJ428" s="269"/>
      <c r="AK428" s="269"/>
      <c r="AL428" s="269"/>
      <c r="AM428" s="269"/>
    </row>
    <row r="429" spans="1:39" ht="57" customHeight="1" x14ac:dyDescent="0.2">
      <c r="A429" s="277">
        <f>IF(B429="","",COUNT('Diário 5º PA'!$A$5:$A$2634)+COUNT('Diário 6º PA'!$A$5:$A$2246)+ROW()-4)</f>
        <v>2968</v>
      </c>
      <c r="B429" s="278">
        <v>44407</v>
      </c>
      <c r="C429" s="249">
        <v>44378</v>
      </c>
      <c r="D429" s="255" t="s">
        <v>85</v>
      </c>
      <c r="E429" s="255" t="s">
        <v>85</v>
      </c>
      <c r="F429" s="258">
        <v>5875.41</v>
      </c>
      <c r="G429" s="450" t="s">
        <v>1661</v>
      </c>
      <c r="H429" s="255" t="s">
        <v>114</v>
      </c>
      <c r="I429" s="250" t="s">
        <v>945</v>
      </c>
      <c r="J429" s="255" t="s">
        <v>850</v>
      </c>
      <c r="K429" s="255" t="s">
        <v>946</v>
      </c>
      <c r="L429" s="250" t="s">
        <v>947</v>
      </c>
      <c r="M429" s="336" t="s">
        <v>114</v>
      </c>
      <c r="N429" s="278">
        <v>44407</v>
      </c>
      <c r="O429" s="329" t="s">
        <v>67</v>
      </c>
      <c r="P429" s="330">
        <f t="shared" si="19"/>
        <v>7</v>
      </c>
      <c r="Q429" s="330">
        <f t="shared" si="20"/>
        <v>7</v>
      </c>
      <c r="R429" s="331" t="str">
        <f t="shared" si="21"/>
        <v>Rendimentos_de_Aplicações_Fin.</v>
      </c>
      <c r="S429" s="331" t="str">
        <f>IF(D429="","",IF(OR(D429=Plano!$A$1,D429=Plano!$B$1),"entrada","saída"))</f>
        <v>entrada</v>
      </c>
      <c r="T429" s="334" t="s">
        <v>114</v>
      </c>
      <c r="U429" s="334" t="s">
        <v>114</v>
      </c>
      <c r="V429" s="269"/>
      <c r="W429" s="269"/>
      <c r="X429" s="269"/>
      <c r="Y429" s="269"/>
      <c r="Z429" s="269"/>
      <c r="AA429" s="269"/>
      <c r="AB429" s="269"/>
      <c r="AC429" s="269"/>
      <c r="AD429" s="269"/>
      <c r="AE429" s="269"/>
      <c r="AF429" s="269"/>
      <c r="AG429" s="269"/>
      <c r="AH429" s="269"/>
      <c r="AI429" s="269"/>
      <c r="AJ429" s="269"/>
      <c r="AK429" s="269"/>
      <c r="AL429" s="269"/>
      <c r="AM429" s="269"/>
    </row>
    <row r="430" spans="1:39" ht="47.25" customHeight="1" x14ac:dyDescent="0.2">
      <c r="A430" s="277">
        <f>IF(B430="","",COUNT('Diário 5º PA'!$A$5:$A$2634)+COUNT('Diário 6º PA'!$A$5:$A$2246)+ROW()-4)</f>
        <v>2969</v>
      </c>
      <c r="B430" s="278">
        <v>44407</v>
      </c>
      <c r="C430" s="249">
        <v>44378</v>
      </c>
      <c r="D430" s="255" t="s">
        <v>99</v>
      </c>
      <c r="E430" s="255" t="s">
        <v>280</v>
      </c>
      <c r="F430" s="258">
        <v>450.43</v>
      </c>
      <c r="G430" s="450" t="s">
        <v>1662</v>
      </c>
      <c r="H430" s="255" t="s">
        <v>114</v>
      </c>
      <c r="I430" s="250" t="s">
        <v>488</v>
      </c>
      <c r="J430" s="255" t="s">
        <v>114</v>
      </c>
      <c r="K430" s="255" t="s">
        <v>466</v>
      </c>
      <c r="L430" s="250" t="s">
        <v>489</v>
      </c>
      <c r="M430" s="277" t="s">
        <v>114</v>
      </c>
      <c r="N430" s="278">
        <v>44407</v>
      </c>
      <c r="O430" s="329" t="s">
        <v>67</v>
      </c>
      <c r="P430" s="330">
        <f t="shared" si="19"/>
        <v>7</v>
      </c>
      <c r="Q430" s="330">
        <f t="shared" si="20"/>
        <v>7</v>
      </c>
      <c r="R430" s="331" t="str">
        <f t="shared" si="21"/>
        <v>Gastos_Gerais</v>
      </c>
      <c r="S430" s="331" t="str">
        <f>IF(D430="","",IF(OR(D430=Plano!$A$1,D430=Plano!$B$1),"entrada","saída"))</f>
        <v>saída</v>
      </c>
      <c r="T430" s="334" t="s">
        <v>114</v>
      </c>
      <c r="U430" s="334" t="s">
        <v>114</v>
      </c>
      <c r="V430" s="269"/>
      <c r="W430" s="269"/>
      <c r="X430" s="269"/>
      <c r="Y430" s="269"/>
      <c r="Z430" s="269"/>
      <c r="AA430" s="269"/>
      <c r="AB430" s="269"/>
      <c r="AC430" s="269"/>
      <c r="AD430" s="269"/>
      <c r="AE430" s="269"/>
      <c r="AF430" s="269"/>
      <c r="AG430" s="269"/>
      <c r="AH430" s="269"/>
      <c r="AI430" s="269"/>
      <c r="AJ430" s="269"/>
      <c r="AK430" s="269"/>
      <c r="AL430" s="269"/>
      <c r="AM430" s="269"/>
    </row>
    <row r="431" spans="1:39" ht="50.25" customHeight="1" x14ac:dyDescent="0.2">
      <c r="A431" s="277">
        <f>IF(B431="","",COUNT('Diário 5º PA'!$A$5:$A$2634)+COUNT('Diário 6º PA'!$A$5:$A$2246)+ROW()-4)</f>
        <v>2970</v>
      </c>
      <c r="B431" s="278">
        <v>44410</v>
      </c>
      <c r="C431" s="256">
        <v>44378</v>
      </c>
      <c r="D431" s="255" t="s">
        <v>88</v>
      </c>
      <c r="E431" s="255" t="s">
        <v>198</v>
      </c>
      <c r="F431" s="258">
        <v>-21.47</v>
      </c>
      <c r="G431" s="450" t="s">
        <v>982</v>
      </c>
      <c r="H431" s="252" t="s">
        <v>114</v>
      </c>
      <c r="I431" s="250" t="s">
        <v>983</v>
      </c>
      <c r="J431" s="255" t="s">
        <v>850</v>
      </c>
      <c r="K431" s="255" t="s">
        <v>946</v>
      </c>
      <c r="L431" s="250" t="s">
        <v>947</v>
      </c>
      <c r="M431" s="277" t="s">
        <v>114</v>
      </c>
      <c r="N431" s="278">
        <v>44410</v>
      </c>
      <c r="O431" s="329" t="s">
        <v>67</v>
      </c>
      <c r="P431" s="330">
        <f t="shared" si="19"/>
        <v>8</v>
      </c>
      <c r="Q431" s="330">
        <f t="shared" si="20"/>
        <v>7</v>
      </c>
      <c r="R431" s="331" t="str">
        <f t="shared" si="21"/>
        <v>Gastos_com_Pessoal</v>
      </c>
      <c r="S431" s="331" t="str">
        <f>IF(D431="","",IF(OR(D431=Plano!$A$1,D431=Plano!$B$1),"entrada","saída"))</f>
        <v>saída</v>
      </c>
      <c r="T431" s="332" t="s">
        <v>114</v>
      </c>
      <c r="U431" s="332" t="s">
        <v>114</v>
      </c>
      <c r="V431" s="269"/>
      <c r="W431" s="269"/>
      <c r="X431" s="269"/>
      <c r="Y431" s="269"/>
      <c r="Z431" s="269"/>
      <c r="AA431" s="269"/>
      <c r="AB431" s="269"/>
      <c r="AC431" s="269"/>
      <c r="AD431" s="269"/>
      <c r="AE431" s="269"/>
      <c r="AF431" s="269"/>
      <c r="AG431" s="269"/>
      <c r="AH431" s="269"/>
      <c r="AI431" s="269"/>
      <c r="AJ431" s="269"/>
      <c r="AK431" s="269"/>
      <c r="AL431" s="269"/>
      <c r="AM431" s="269"/>
    </row>
    <row r="432" spans="1:39" ht="50.25" customHeight="1" x14ac:dyDescent="0.2">
      <c r="A432" s="277">
        <f>IF(B432="","",COUNT('Diário 5º PA'!$A$5:$A$2634)+COUNT('Diário 6º PA'!$A$5:$A$2246)+ROW()-4)</f>
        <v>2971</v>
      </c>
      <c r="B432" s="278">
        <v>44410</v>
      </c>
      <c r="C432" s="256">
        <v>44378</v>
      </c>
      <c r="D432" s="255" t="s">
        <v>88</v>
      </c>
      <c r="E432" s="255" t="s">
        <v>198</v>
      </c>
      <c r="F432" s="258">
        <v>-21.47</v>
      </c>
      <c r="G432" s="450" t="s">
        <v>985</v>
      </c>
      <c r="H432" s="252" t="s">
        <v>114</v>
      </c>
      <c r="I432" s="250" t="s">
        <v>983</v>
      </c>
      <c r="J432" s="255" t="s">
        <v>850</v>
      </c>
      <c r="K432" s="255" t="s">
        <v>946</v>
      </c>
      <c r="L432" s="250" t="s">
        <v>947</v>
      </c>
      <c r="M432" s="277" t="s">
        <v>114</v>
      </c>
      <c r="N432" s="278">
        <v>44410</v>
      </c>
      <c r="O432" s="329" t="s">
        <v>67</v>
      </c>
      <c r="P432" s="330">
        <f t="shared" si="19"/>
        <v>8</v>
      </c>
      <c r="Q432" s="330">
        <f t="shared" si="20"/>
        <v>7</v>
      </c>
      <c r="R432" s="331" t="str">
        <f t="shared" si="21"/>
        <v>Gastos_com_Pessoal</v>
      </c>
      <c r="S432" s="331" t="str">
        <f>IF(D432="","",IF(OR(D432=Plano!$A$1,D432=Plano!$B$1),"entrada","saída"))</f>
        <v>saída</v>
      </c>
      <c r="T432" s="332" t="s">
        <v>114</v>
      </c>
      <c r="U432" s="332" t="s">
        <v>114</v>
      </c>
      <c r="V432" s="269"/>
      <c r="W432" s="269"/>
      <c r="X432" s="269"/>
      <c r="Y432" s="269"/>
      <c r="Z432" s="269"/>
      <c r="AA432" s="269"/>
      <c r="AB432" s="269"/>
      <c r="AC432" s="269"/>
      <c r="AD432" s="269"/>
      <c r="AE432" s="269"/>
      <c r="AF432" s="269"/>
      <c r="AG432" s="269"/>
      <c r="AH432" s="269"/>
      <c r="AI432" s="269"/>
      <c r="AJ432" s="269"/>
      <c r="AK432" s="269"/>
      <c r="AL432" s="269"/>
      <c r="AM432" s="269"/>
    </row>
    <row r="433" spans="1:39" ht="49.5" customHeight="1" x14ac:dyDescent="0.2">
      <c r="A433" s="277">
        <f>IF(B433="","",COUNT('Diário 5º PA'!$A$5:$A$2634)+COUNT('Diário 6º PA'!$A$5:$A$2246)+ROW()-4)</f>
        <v>2972</v>
      </c>
      <c r="B433" s="278">
        <v>44410</v>
      </c>
      <c r="C433" s="256">
        <v>44378</v>
      </c>
      <c r="D433" s="255" t="s">
        <v>88</v>
      </c>
      <c r="E433" s="255" t="s">
        <v>183</v>
      </c>
      <c r="F433" s="258">
        <v>-83.22</v>
      </c>
      <c r="G433" s="450" t="s">
        <v>986</v>
      </c>
      <c r="H433" s="252" t="s">
        <v>114</v>
      </c>
      <c r="I433" s="250" t="s">
        <v>983</v>
      </c>
      <c r="J433" s="255" t="s">
        <v>850</v>
      </c>
      <c r="K433" s="255" t="s">
        <v>946</v>
      </c>
      <c r="L433" s="250" t="s">
        <v>947</v>
      </c>
      <c r="M433" s="277" t="s">
        <v>114</v>
      </c>
      <c r="N433" s="278">
        <v>44410</v>
      </c>
      <c r="O433" s="329" t="s">
        <v>67</v>
      </c>
      <c r="P433" s="330">
        <f t="shared" si="19"/>
        <v>8</v>
      </c>
      <c r="Q433" s="330">
        <f t="shared" si="20"/>
        <v>7</v>
      </c>
      <c r="R433" s="331" t="str">
        <f t="shared" si="21"/>
        <v>Gastos_com_Pessoal</v>
      </c>
      <c r="S433" s="331" t="str">
        <f>IF(D433="","",IF(OR(D433=Plano!$A$1,D433=Plano!$B$1),"entrada","saída"))</f>
        <v>saída</v>
      </c>
      <c r="T433" s="332" t="s">
        <v>114</v>
      </c>
      <c r="U433" s="332" t="s">
        <v>114</v>
      </c>
      <c r="V433" s="269"/>
      <c r="W433" s="269"/>
      <c r="X433" s="269"/>
      <c r="Y433" s="269"/>
      <c r="Z433" s="269"/>
      <c r="AA433" s="269"/>
      <c r="AB433" s="269"/>
      <c r="AC433" s="269"/>
      <c r="AD433" s="269"/>
      <c r="AE433" s="269"/>
      <c r="AF433" s="269"/>
      <c r="AG433" s="269"/>
      <c r="AH433" s="269"/>
      <c r="AI433" s="269"/>
      <c r="AJ433" s="269"/>
      <c r="AK433" s="269"/>
      <c r="AL433" s="269"/>
      <c r="AM433" s="269"/>
    </row>
    <row r="434" spans="1:39" ht="53.25" customHeight="1" x14ac:dyDescent="0.2">
      <c r="A434" s="277">
        <f>IF(B434="","",COUNT('Diário 5º PA'!$A$5:$A$2634)+COUNT('Diário 6º PA'!$A$5:$A$2246)+ROW()-4)</f>
        <v>2973</v>
      </c>
      <c r="B434" s="278">
        <v>44410</v>
      </c>
      <c r="C434" s="256">
        <v>44378</v>
      </c>
      <c r="D434" s="255" t="s">
        <v>88</v>
      </c>
      <c r="E434" s="255" t="s">
        <v>198</v>
      </c>
      <c r="F434" s="258">
        <v>-128.80000000000001</v>
      </c>
      <c r="G434" s="450" t="s">
        <v>987</v>
      </c>
      <c r="H434" s="252" t="s">
        <v>114</v>
      </c>
      <c r="I434" s="250" t="s">
        <v>983</v>
      </c>
      <c r="J434" s="255" t="s">
        <v>850</v>
      </c>
      <c r="K434" s="255" t="s">
        <v>946</v>
      </c>
      <c r="L434" s="250" t="s">
        <v>947</v>
      </c>
      <c r="M434" s="277" t="s">
        <v>114</v>
      </c>
      <c r="N434" s="278">
        <v>44410</v>
      </c>
      <c r="O434" s="329" t="s">
        <v>67</v>
      </c>
      <c r="P434" s="330">
        <f t="shared" si="19"/>
        <v>8</v>
      </c>
      <c r="Q434" s="330">
        <f t="shared" si="20"/>
        <v>7</v>
      </c>
      <c r="R434" s="331" t="str">
        <f t="shared" si="21"/>
        <v>Gastos_com_Pessoal</v>
      </c>
      <c r="S434" s="331" t="str">
        <f>IF(D434="","",IF(OR(D434=Plano!$A$1,D434=Plano!$B$1),"entrada","saída"))</f>
        <v>saída</v>
      </c>
      <c r="T434" s="332" t="s">
        <v>114</v>
      </c>
      <c r="U434" s="332" t="s">
        <v>114</v>
      </c>
      <c r="V434" s="269"/>
      <c r="W434" s="269"/>
      <c r="X434" s="269"/>
      <c r="Y434" s="269"/>
      <c r="Z434" s="269"/>
      <c r="AA434" s="269"/>
      <c r="AB434" s="269"/>
      <c r="AC434" s="269"/>
      <c r="AD434" s="269"/>
      <c r="AE434" s="269"/>
      <c r="AF434" s="269"/>
      <c r="AG434" s="269"/>
      <c r="AH434" s="269"/>
      <c r="AI434" s="269"/>
      <c r="AJ434" s="269"/>
      <c r="AK434" s="269"/>
      <c r="AL434" s="269"/>
      <c r="AM434" s="269"/>
    </row>
    <row r="435" spans="1:39" ht="54" customHeight="1" x14ac:dyDescent="0.2">
      <c r="A435" s="277">
        <f>IF(B435="","",COUNT('Diário 5º PA'!$A$5:$A$2634)+COUNT('Diário 6º PA'!$A$5:$A$2246)+ROW()-4)</f>
        <v>2974</v>
      </c>
      <c r="B435" s="278">
        <v>44410</v>
      </c>
      <c r="C435" s="256">
        <v>44378</v>
      </c>
      <c r="D435" s="255" t="s">
        <v>88</v>
      </c>
      <c r="E435" s="255" t="s">
        <v>198</v>
      </c>
      <c r="F435" s="258">
        <v>944.65</v>
      </c>
      <c r="G435" s="450" t="s">
        <v>533</v>
      </c>
      <c r="H435" s="252" t="s">
        <v>114</v>
      </c>
      <c r="I435" s="250" t="s">
        <v>534</v>
      </c>
      <c r="J435" s="252" t="s">
        <v>535</v>
      </c>
      <c r="K435" s="255" t="s">
        <v>560</v>
      </c>
      <c r="L435" s="255" t="s">
        <v>697</v>
      </c>
      <c r="M435" s="277" t="s">
        <v>1001</v>
      </c>
      <c r="N435" s="278">
        <v>44396</v>
      </c>
      <c r="O435" s="329" t="s">
        <v>67</v>
      </c>
      <c r="P435" s="330">
        <f t="shared" si="19"/>
        <v>8</v>
      </c>
      <c r="Q435" s="330">
        <f t="shared" si="20"/>
        <v>7</v>
      </c>
      <c r="R435" s="331" t="str">
        <f t="shared" si="21"/>
        <v>Gastos_com_Pessoal</v>
      </c>
      <c r="S435" s="331" t="str">
        <f>IF(D435="","",IF(OR(D435=Plano!$A$1,D435=Plano!$B$1),"entrada","saída"))</f>
        <v>saída</v>
      </c>
      <c r="T435" s="332" t="s">
        <v>114</v>
      </c>
      <c r="U435" s="332" t="s">
        <v>114</v>
      </c>
      <c r="V435" s="269"/>
      <c r="W435" s="269"/>
      <c r="X435" s="269"/>
      <c r="Y435" s="269"/>
      <c r="Z435" s="269"/>
      <c r="AA435" s="269"/>
      <c r="AB435" s="269"/>
      <c r="AC435" s="269"/>
      <c r="AD435" s="269"/>
      <c r="AE435" s="269"/>
      <c r="AF435" s="269"/>
      <c r="AG435" s="269"/>
      <c r="AH435" s="269"/>
      <c r="AI435" s="269"/>
      <c r="AJ435" s="269"/>
      <c r="AK435" s="269"/>
      <c r="AL435" s="269"/>
      <c r="AM435" s="269"/>
    </row>
    <row r="436" spans="1:39" ht="39.75" customHeight="1" x14ac:dyDescent="0.2">
      <c r="A436" s="277">
        <f>IF(B436="","",COUNT('Diário 5º PA'!$A$5:$A$2634)+COUNT('Diário 6º PA'!$A$5:$A$2246)+ROW()-4)</f>
        <v>2975</v>
      </c>
      <c r="B436" s="278">
        <v>44410</v>
      </c>
      <c r="C436" s="256">
        <v>44378</v>
      </c>
      <c r="D436" s="255" t="s">
        <v>88</v>
      </c>
      <c r="E436" s="255" t="s">
        <v>183</v>
      </c>
      <c r="F436" s="258">
        <v>175.41</v>
      </c>
      <c r="G436" s="450" t="s">
        <v>1663</v>
      </c>
      <c r="H436" s="252" t="s">
        <v>114</v>
      </c>
      <c r="I436" s="250" t="s">
        <v>537</v>
      </c>
      <c r="J436" s="252" t="s">
        <v>538</v>
      </c>
      <c r="K436" s="255" t="s">
        <v>560</v>
      </c>
      <c r="L436" s="250" t="s">
        <v>992</v>
      </c>
      <c r="M436" s="277" t="s">
        <v>1664</v>
      </c>
      <c r="N436" s="278">
        <v>44393</v>
      </c>
      <c r="O436" s="329" t="s">
        <v>67</v>
      </c>
      <c r="P436" s="330">
        <f t="shared" si="19"/>
        <v>8</v>
      </c>
      <c r="Q436" s="330">
        <f t="shared" si="20"/>
        <v>7</v>
      </c>
      <c r="R436" s="331" t="str">
        <f t="shared" si="21"/>
        <v>Gastos_com_Pessoal</v>
      </c>
      <c r="S436" s="331" t="str">
        <f>IF(D436="","",IF(OR(D436=Plano!$A$1,D436=Plano!$B$1),"entrada","saída"))</f>
        <v>saída</v>
      </c>
      <c r="T436" s="332" t="s">
        <v>114</v>
      </c>
      <c r="U436" s="332" t="s">
        <v>114</v>
      </c>
      <c r="V436" s="269"/>
      <c r="W436" s="269"/>
      <c r="X436" s="269"/>
      <c r="Y436" s="269"/>
      <c r="Z436" s="269"/>
      <c r="AA436" s="269"/>
      <c r="AB436" s="269"/>
      <c r="AC436" s="269"/>
      <c r="AD436" s="269"/>
      <c r="AE436" s="269"/>
      <c r="AF436" s="269"/>
      <c r="AG436" s="269"/>
      <c r="AH436" s="269"/>
      <c r="AI436" s="269"/>
      <c r="AJ436" s="269"/>
      <c r="AK436" s="269"/>
      <c r="AL436" s="269"/>
      <c r="AM436" s="269"/>
    </row>
    <row r="437" spans="1:39" ht="45.75" customHeight="1" x14ac:dyDescent="0.2">
      <c r="A437" s="277">
        <f>IF(B437="","",COUNT('Diário 5º PA'!$A$5:$A$2634)+COUNT('Diário 6º PA'!$A$5:$A$2246)+ROW()-4)</f>
        <v>2976</v>
      </c>
      <c r="B437" s="278">
        <v>44410</v>
      </c>
      <c r="C437" s="256">
        <v>44378</v>
      </c>
      <c r="D437" s="255" t="s">
        <v>88</v>
      </c>
      <c r="E437" s="255" t="s">
        <v>183</v>
      </c>
      <c r="F437" s="258">
        <v>121.19</v>
      </c>
      <c r="G437" s="450" t="s">
        <v>1665</v>
      </c>
      <c r="H437" s="252" t="s">
        <v>114</v>
      </c>
      <c r="I437" s="250" t="s">
        <v>998</v>
      </c>
      <c r="J437" s="252" t="s">
        <v>999</v>
      </c>
      <c r="K437" s="255" t="s">
        <v>560</v>
      </c>
      <c r="L437" s="250" t="s">
        <v>992</v>
      </c>
      <c r="M437" s="277" t="s">
        <v>1666</v>
      </c>
      <c r="N437" s="278">
        <v>44393</v>
      </c>
      <c r="O437" s="329" t="s">
        <v>67</v>
      </c>
      <c r="P437" s="330">
        <f t="shared" si="19"/>
        <v>8</v>
      </c>
      <c r="Q437" s="330">
        <f t="shared" si="20"/>
        <v>7</v>
      </c>
      <c r="R437" s="331" t="str">
        <f t="shared" si="21"/>
        <v>Gastos_com_Pessoal</v>
      </c>
      <c r="S437" s="331" t="str">
        <f>IF(D437="","",IF(OR(D437=Plano!$A$1,D437=Plano!$B$1),"entrada","saída"))</f>
        <v>saída</v>
      </c>
      <c r="T437" s="332" t="s">
        <v>114</v>
      </c>
      <c r="U437" s="332" t="s">
        <v>114</v>
      </c>
      <c r="V437" s="269"/>
      <c r="W437" s="269"/>
      <c r="X437" s="269"/>
      <c r="Y437" s="269"/>
      <c r="Z437" s="269"/>
      <c r="AA437" s="269"/>
      <c r="AB437" s="269"/>
      <c r="AC437" s="269"/>
      <c r="AD437" s="269"/>
      <c r="AE437" s="269"/>
      <c r="AF437" s="269"/>
      <c r="AG437" s="269"/>
      <c r="AH437" s="269"/>
      <c r="AI437" s="269"/>
      <c r="AJ437" s="269"/>
      <c r="AK437" s="269"/>
      <c r="AL437" s="269"/>
      <c r="AM437" s="269"/>
    </row>
    <row r="438" spans="1:39" ht="47.25" customHeight="1" x14ac:dyDescent="0.2">
      <c r="A438" s="277">
        <f>IF(B438="","",COUNT('Diário 5º PA'!$A$5:$A$2634)+COUNT('Diário 6º PA'!$A$5:$A$2246)+ROW()-4)</f>
        <v>2977</v>
      </c>
      <c r="B438" s="278">
        <v>44412</v>
      </c>
      <c r="C438" s="256">
        <v>44409</v>
      </c>
      <c r="D438" s="255" t="s">
        <v>88</v>
      </c>
      <c r="E438" s="255" t="s">
        <v>194</v>
      </c>
      <c r="F438" s="258">
        <v>454.37</v>
      </c>
      <c r="G438" s="450" t="s">
        <v>1667</v>
      </c>
      <c r="H438" s="255" t="s">
        <v>114</v>
      </c>
      <c r="I438" s="250" t="s">
        <v>532</v>
      </c>
      <c r="J438" s="255" t="s">
        <v>1261</v>
      </c>
      <c r="K438" s="255" t="s">
        <v>560</v>
      </c>
      <c r="L438" s="250" t="s">
        <v>1016</v>
      </c>
      <c r="M438" s="277">
        <v>33039</v>
      </c>
      <c r="N438" s="278">
        <v>44414</v>
      </c>
      <c r="O438" s="329" t="s">
        <v>67</v>
      </c>
      <c r="P438" s="330">
        <f t="shared" si="19"/>
        <v>8</v>
      </c>
      <c r="Q438" s="330">
        <f t="shared" si="20"/>
        <v>8</v>
      </c>
      <c r="R438" s="331" t="str">
        <f t="shared" si="21"/>
        <v>Gastos_com_Pessoal</v>
      </c>
      <c r="S438" s="331" t="str">
        <f>IF(D438="","",IF(OR(D438=Plano!$A$1,D438=Plano!$B$1),"entrada","saída"))</f>
        <v>saída</v>
      </c>
      <c r="T438" s="332" t="s">
        <v>114</v>
      </c>
      <c r="U438" s="332" t="s">
        <v>114</v>
      </c>
      <c r="V438" s="269"/>
      <c r="W438" s="269"/>
      <c r="X438" s="269"/>
      <c r="Y438" s="269"/>
      <c r="Z438" s="269"/>
      <c r="AA438" s="269"/>
      <c r="AB438" s="269"/>
      <c r="AC438" s="269"/>
      <c r="AD438" s="269"/>
      <c r="AE438" s="269"/>
      <c r="AF438" s="269"/>
      <c r="AG438" s="269"/>
      <c r="AH438" s="269"/>
      <c r="AI438" s="269"/>
      <c r="AJ438" s="269"/>
      <c r="AK438" s="269"/>
      <c r="AL438" s="269"/>
      <c r="AM438" s="269"/>
    </row>
    <row r="439" spans="1:39" ht="42" customHeight="1" x14ac:dyDescent="0.2">
      <c r="A439" s="277">
        <f>IF(B439="","",COUNT('Diário 5º PA'!$A$5:$A$2634)+COUNT('Diário 6º PA'!$A$5:$A$2246)+ROW()-4)</f>
        <v>2978</v>
      </c>
      <c r="B439" s="278">
        <v>44412</v>
      </c>
      <c r="C439" s="256">
        <v>44378</v>
      </c>
      <c r="D439" s="255" t="s">
        <v>99</v>
      </c>
      <c r="E439" s="255" t="s">
        <v>216</v>
      </c>
      <c r="F439" s="258">
        <v>101.5</v>
      </c>
      <c r="G439" s="450" t="s">
        <v>1668</v>
      </c>
      <c r="H439" s="255" t="s">
        <v>129</v>
      </c>
      <c r="I439" s="250" t="s">
        <v>513</v>
      </c>
      <c r="J439" s="252" t="s">
        <v>514</v>
      </c>
      <c r="K439" s="255" t="s">
        <v>696</v>
      </c>
      <c r="L439" s="250" t="s">
        <v>697</v>
      </c>
      <c r="M439" s="277">
        <v>61815347</v>
      </c>
      <c r="N439" s="278">
        <v>44392</v>
      </c>
      <c r="O439" s="329" t="s">
        <v>67</v>
      </c>
      <c r="P439" s="330">
        <f t="shared" si="19"/>
        <v>8</v>
      </c>
      <c r="Q439" s="330">
        <f t="shared" si="20"/>
        <v>7</v>
      </c>
      <c r="R439" s="331" t="str">
        <f t="shared" si="21"/>
        <v>Gastos_Gerais</v>
      </c>
      <c r="S439" s="331" t="str">
        <f>IF(D439="","",IF(OR(D439=Plano!$A$1,D439=Plano!$B$1),"entrada","saída"))</f>
        <v>saída</v>
      </c>
      <c r="T439" s="332" t="s">
        <v>114</v>
      </c>
      <c r="U439" s="332" t="s">
        <v>114</v>
      </c>
      <c r="V439" s="269"/>
      <c r="W439" s="269"/>
      <c r="X439" s="269"/>
      <c r="Y439" s="269"/>
      <c r="Z439" s="269"/>
      <c r="AA439" s="269"/>
      <c r="AB439" s="269"/>
      <c r="AC439" s="269"/>
      <c r="AD439" s="269"/>
      <c r="AE439" s="269"/>
      <c r="AF439" s="269"/>
      <c r="AG439" s="269"/>
      <c r="AH439" s="269"/>
      <c r="AI439" s="269"/>
      <c r="AJ439" s="269"/>
      <c r="AK439" s="269"/>
      <c r="AL439" s="269"/>
      <c r="AM439" s="269"/>
    </row>
    <row r="440" spans="1:39" ht="87.75" customHeight="1" x14ac:dyDescent="0.2">
      <c r="A440" s="277">
        <f>IF(B440="","",COUNT('Diário 5º PA'!$A$5:$A$2634)+COUNT('Diário 6º PA'!$A$5:$A$2246)+ROW()-4)</f>
        <v>2979</v>
      </c>
      <c r="B440" s="278">
        <v>44412</v>
      </c>
      <c r="C440" s="249">
        <v>44348</v>
      </c>
      <c r="D440" s="250" t="s">
        <v>99</v>
      </c>
      <c r="E440" s="250" t="s">
        <v>358</v>
      </c>
      <c r="F440" s="251">
        <v>430</v>
      </c>
      <c r="G440" s="452" t="s">
        <v>1669</v>
      </c>
      <c r="H440" s="250" t="s">
        <v>127</v>
      </c>
      <c r="I440" s="250" t="s">
        <v>1670</v>
      </c>
      <c r="J440" s="250" t="s">
        <v>1671</v>
      </c>
      <c r="K440" s="255" t="s">
        <v>991</v>
      </c>
      <c r="L440" s="250" t="s">
        <v>1029</v>
      </c>
      <c r="M440" s="277">
        <v>1260</v>
      </c>
      <c r="N440" s="278">
        <v>44411</v>
      </c>
      <c r="O440" s="329" t="s">
        <v>67</v>
      </c>
      <c r="P440" s="330">
        <f t="shared" si="19"/>
        <v>8</v>
      </c>
      <c r="Q440" s="330">
        <f t="shared" si="20"/>
        <v>6</v>
      </c>
      <c r="R440" s="331" t="str">
        <f t="shared" si="21"/>
        <v>Gastos_Gerais</v>
      </c>
      <c r="S440" s="331" t="str">
        <f>IF(D440="","",IF(OR(D440=Plano!$A$1,D440=Plano!$B$1),"entrada","saída"))</f>
        <v>saída</v>
      </c>
      <c r="T440" s="334" t="s">
        <v>994</v>
      </c>
      <c r="U440" s="334">
        <v>1716</v>
      </c>
      <c r="V440" s="269"/>
      <c r="W440" s="269"/>
      <c r="X440" s="269"/>
      <c r="Y440" s="269"/>
      <c r="Z440" s="269"/>
      <c r="AA440" s="269"/>
      <c r="AB440" s="269"/>
      <c r="AC440" s="269"/>
      <c r="AD440" s="269"/>
      <c r="AE440" s="269"/>
      <c r="AF440" s="269"/>
      <c r="AG440" s="269"/>
      <c r="AH440" s="269"/>
      <c r="AI440" s="269"/>
      <c r="AJ440" s="269"/>
      <c r="AK440" s="269"/>
      <c r="AL440" s="269"/>
      <c r="AM440" s="269"/>
    </row>
    <row r="441" spans="1:39" ht="216" customHeight="1" x14ac:dyDescent="0.2">
      <c r="A441" s="277">
        <f>IF(B441="","",COUNT('Diário 5º PA'!$A$5:$A$2634)+COUNT('Diário 6º PA'!$A$5:$A$2246)+ROW()-4)</f>
        <v>2980</v>
      </c>
      <c r="B441" s="278">
        <v>44412</v>
      </c>
      <c r="C441" s="249">
        <v>44378</v>
      </c>
      <c r="D441" s="250" t="s">
        <v>99</v>
      </c>
      <c r="E441" s="250" t="s">
        <v>364</v>
      </c>
      <c r="F441" s="251">
        <v>1371.86</v>
      </c>
      <c r="G441" s="452" t="s">
        <v>1672</v>
      </c>
      <c r="H441" s="250" t="s">
        <v>125</v>
      </c>
      <c r="I441" s="250" t="s">
        <v>1673</v>
      </c>
      <c r="J441" s="250" t="s">
        <v>1674</v>
      </c>
      <c r="K441" s="255" t="s">
        <v>991</v>
      </c>
      <c r="L441" s="250" t="s">
        <v>992</v>
      </c>
      <c r="M441" s="277" t="s">
        <v>1675</v>
      </c>
      <c r="N441" s="278">
        <v>44411</v>
      </c>
      <c r="O441" s="329" t="s">
        <v>67</v>
      </c>
      <c r="P441" s="330">
        <f t="shared" si="19"/>
        <v>8</v>
      </c>
      <c r="Q441" s="330">
        <f t="shared" si="20"/>
        <v>7</v>
      </c>
      <c r="R441" s="331" t="str">
        <f t="shared" si="21"/>
        <v>Gastos_Gerais</v>
      </c>
      <c r="S441" s="331" t="str">
        <f>IF(D441="","",IF(OR(D441=Plano!$A$1,D441=Plano!$B$1),"entrada","saída"))</f>
        <v>saída</v>
      </c>
      <c r="T441" s="334" t="s">
        <v>1059</v>
      </c>
      <c r="U441" s="334">
        <v>1828</v>
      </c>
      <c r="V441" s="269"/>
      <c r="W441" s="269"/>
      <c r="X441" s="269"/>
      <c r="Y441" s="269"/>
      <c r="Z441" s="269"/>
      <c r="AA441" s="269"/>
      <c r="AB441" s="269"/>
      <c r="AC441" s="269"/>
      <c r="AD441" s="269"/>
      <c r="AE441" s="269"/>
      <c r="AF441" s="269"/>
      <c r="AG441" s="269"/>
      <c r="AH441" s="269"/>
      <c r="AI441" s="269"/>
      <c r="AJ441" s="269"/>
      <c r="AK441" s="269"/>
      <c r="AL441" s="269"/>
      <c r="AM441" s="269"/>
    </row>
    <row r="442" spans="1:39" ht="56.25" customHeight="1" x14ac:dyDescent="0.2">
      <c r="A442" s="277">
        <f>IF(B442="","",COUNT('Diário 5º PA'!$A$5:$A$2634)+COUNT('Diário 6º PA'!$A$5:$A$2246)+ROW()-4)</f>
        <v>2981</v>
      </c>
      <c r="B442" s="278">
        <v>44412</v>
      </c>
      <c r="C442" s="249">
        <v>44378</v>
      </c>
      <c r="D442" s="250" t="s">
        <v>99</v>
      </c>
      <c r="E442" s="250" t="s">
        <v>330</v>
      </c>
      <c r="F442" s="251">
        <v>1665.83</v>
      </c>
      <c r="G442" s="452" t="s">
        <v>1676</v>
      </c>
      <c r="H442" s="250" t="s">
        <v>116</v>
      </c>
      <c r="I442" s="250" t="s">
        <v>1677</v>
      </c>
      <c r="J442" s="250" t="s">
        <v>1678</v>
      </c>
      <c r="K442" s="255" t="s">
        <v>991</v>
      </c>
      <c r="L442" s="250" t="s">
        <v>992</v>
      </c>
      <c r="M442" s="277" t="s">
        <v>1540</v>
      </c>
      <c r="N442" s="278">
        <v>44411</v>
      </c>
      <c r="O442" s="329" t="s">
        <v>67</v>
      </c>
      <c r="P442" s="330">
        <f t="shared" si="19"/>
        <v>8</v>
      </c>
      <c r="Q442" s="330">
        <f t="shared" si="20"/>
        <v>7</v>
      </c>
      <c r="R442" s="331" t="str">
        <f t="shared" si="21"/>
        <v>Gastos_Gerais</v>
      </c>
      <c r="S442" s="331" t="str">
        <f>IF(D442="","",IF(OR(D442=Plano!$A$1,D442=Plano!$B$1),"entrada","saída"))</f>
        <v>saída</v>
      </c>
      <c r="T442" s="334" t="s">
        <v>994</v>
      </c>
      <c r="U442" s="334">
        <v>1740</v>
      </c>
      <c r="V442" s="269"/>
      <c r="W442" s="269"/>
      <c r="X442" s="269"/>
      <c r="Y442" s="269"/>
      <c r="Z442" s="269"/>
      <c r="AA442" s="269"/>
      <c r="AB442" s="269"/>
      <c r="AC442" s="269"/>
      <c r="AD442" s="269"/>
      <c r="AE442" s="269"/>
      <c r="AF442" s="269"/>
      <c r="AG442" s="269"/>
      <c r="AH442" s="269"/>
      <c r="AI442" s="269"/>
      <c r="AJ442" s="269"/>
      <c r="AK442" s="269"/>
      <c r="AL442" s="269"/>
      <c r="AM442" s="269"/>
    </row>
    <row r="443" spans="1:39" ht="105.75" customHeight="1" x14ac:dyDescent="0.2">
      <c r="A443" s="277">
        <f>IF(B443="","",COUNT('Diário 5º PA'!$A$5:$A$2634)+COUNT('Diário 6º PA'!$A$5:$A$2246)+ROW()-4)</f>
        <v>2982</v>
      </c>
      <c r="B443" s="278">
        <v>44412</v>
      </c>
      <c r="C443" s="259">
        <v>44378</v>
      </c>
      <c r="D443" s="252" t="s">
        <v>99</v>
      </c>
      <c r="E443" s="252" t="s">
        <v>336</v>
      </c>
      <c r="F443" s="257">
        <v>3201</v>
      </c>
      <c r="G443" s="451" t="s">
        <v>1679</v>
      </c>
      <c r="H443" s="252" t="s">
        <v>118</v>
      </c>
      <c r="I443" s="250" t="s">
        <v>1263</v>
      </c>
      <c r="J443" s="250" t="s">
        <v>1264</v>
      </c>
      <c r="K443" s="255" t="s">
        <v>991</v>
      </c>
      <c r="L443" s="250" t="s">
        <v>992</v>
      </c>
      <c r="M443" s="277" t="s">
        <v>1680</v>
      </c>
      <c r="N443" s="278">
        <v>44412</v>
      </c>
      <c r="O443" s="329" t="s">
        <v>67</v>
      </c>
      <c r="P443" s="330">
        <f t="shared" si="19"/>
        <v>8</v>
      </c>
      <c r="Q443" s="330">
        <f t="shared" si="20"/>
        <v>7</v>
      </c>
      <c r="R443" s="331" t="str">
        <f t="shared" si="21"/>
        <v>Gastos_Gerais</v>
      </c>
      <c r="S443" s="331" t="str">
        <f>IF(D443="","",IF(OR(D443=Plano!$A$1,D443=Plano!$B$1),"entrada","saída"))</f>
        <v>saída</v>
      </c>
      <c r="T443" s="334" t="s">
        <v>1059</v>
      </c>
      <c r="U443" s="334">
        <v>1613</v>
      </c>
      <c r="V443" s="269"/>
      <c r="W443" s="269"/>
      <c r="X443" s="269"/>
      <c r="Y443" s="269"/>
      <c r="Z443" s="269"/>
      <c r="AA443" s="269"/>
      <c r="AB443" s="269"/>
      <c r="AC443" s="269"/>
      <c r="AD443" s="269"/>
      <c r="AE443" s="269"/>
      <c r="AF443" s="269"/>
      <c r="AG443" s="269"/>
      <c r="AH443" s="269"/>
      <c r="AI443" s="269"/>
      <c r="AJ443" s="269"/>
      <c r="AK443" s="269"/>
      <c r="AL443" s="269"/>
      <c r="AM443" s="269"/>
    </row>
    <row r="444" spans="1:39" ht="113.25" customHeight="1" x14ac:dyDescent="0.2">
      <c r="A444" s="277">
        <f>IF(B444="","",COUNT('Diário 5º PA'!$A$5:$A$2634)+COUNT('Diário 6º PA'!$A$5:$A$2246)+ROW()-4)</f>
        <v>2983</v>
      </c>
      <c r="B444" s="278">
        <v>44412</v>
      </c>
      <c r="C444" s="259">
        <v>44378</v>
      </c>
      <c r="D444" s="252" t="s">
        <v>99</v>
      </c>
      <c r="E444" s="252" t="s">
        <v>336</v>
      </c>
      <c r="F444" s="257">
        <v>3201</v>
      </c>
      <c r="G444" s="451" t="s">
        <v>1681</v>
      </c>
      <c r="H444" s="252" t="s">
        <v>118</v>
      </c>
      <c r="I444" s="250" t="s">
        <v>1263</v>
      </c>
      <c r="J444" s="250" t="s">
        <v>1264</v>
      </c>
      <c r="K444" s="255" t="s">
        <v>991</v>
      </c>
      <c r="L444" s="250" t="s">
        <v>992</v>
      </c>
      <c r="M444" s="277" t="s">
        <v>1682</v>
      </c>
      <c r="N444" s="278">
        <v>44412</v>
      </c>
      <c r="O444" s="329" t="s">
        <v>67</v>
      </c>
      <c r="P444" s="330">
        <f t="shared" si="19"/>
        <v>8</v>
      </c>
      <c r="Q444" s="330">
        <f t="shared" si="20"/>
        <v>7</v>
      </c>
      <c r="R444" s="331" t="str">
        <f t="shared" si="21"/>
        <v>Gastos_Gerais</v>
      </c>
      <c r="S444" s="331" t="str">
        <f>IF(D444="","",IF(OR(D444=Plano!$A$1,D444=Plano!$B$1),"entrada","saída"))</f>
        <v>saída</v>
      </c>
      <c r="T444" s="334" t="s">
        <v>1059</v>
      </c>
      <c r="U444" s="334">
        <v>1614</v>
      </c>
      <c r="V444" s="269"/>
      <c r="W444" s="269"/>
      <c r="X444" s="269"/>
      <c r="Y444" s="269"/>
      <c r="Z444" s="269"/>
      <c r="AA444" s="269"/>
      <c r="AB444" s="269"/>
      <c r="AC444" s="269"/>
      <c r="AD444" s="269"/>
      <c r="AE444" s="269"/>
      <c r="AF444" s="269"/>
      <c r="AG444" s="269"/>
      <c r="AH444" s="269"/>
      <c r="AI444" s="269"/>
      <c r="AJ444" s="269"/>
      <c r="AK444" s="269"/>
      <c r="AL444" s="269"/>
      <c r="AM444" s="269"/>
    </row>
    <row r="445" spans="1:39" ht="90" customHeight="1" x14ac:dyDescent="0.2">
      <c r="A445" s="277">
        <f>IF(B445="","",COUNT('Diário 5º PA'!$A$5:$A$2634)+COUNT('Diário 6º PA'!$A$5:$A$2246)+ROW()-4)</f>
        <v>2984</v>
      </c>
      <c r="B445" s="278">
        <v>44412</v>
      </c>
      <c r="C445" s="259">
        <v>44378</v>
      </c>
      <c r="D445" s="252" t="s">
        <v>99</v>
      </c>
      <c r="E445" s="252" t="s">
        <v>336</v>
      </c>
      <c r="F445" s="257">
        <v>3201</v>
      </c>
      <c r="G445" s="451" t="s">
        <v>1683</v>
      </c>
      <c r="H445" s="252" t="s">
        <v>118</v>
      </c>
      <c r="I445" s="250" t="s">
        <v>1263</v>
      </c>
      <c r="J445" s="250" t="s">
        <v>1264</v>
      </c>
      <c r="K445" s="255" t="s">
        <v>991</v>
      </c>
      <c r="L445" s="250" t="s">
        <v>992</v>
      </c>
      <c r="M445" s="277" t="s">
        <v>1684</v>
      </c>
      <c r="N445" s="278">
        <v>44412</v>
      </c>
      <c r="O445" s="329" t="s">
        <v>67</v>
      </c>
      <c r="P445" s="330">
        <f t="shared" si="19"/>
        <v>8</v>
      </c>
      <c r="Q445" s="330">
        <f t="shared" si="20"/>
        <v>7</v>
      </c>
      <c r="R445" s="331" t="str">
        <f t="shared" si="21"/>
        <v>Gastos_Gerais</v>
      </c>
      <c r="S445" s="331" t="str">
        <f>IF(D445="","",IF(OR(D445=Plano!$A$1,D445=Plano!$B$1),"entrada","saída"))</f>
        <v>saída</v>
      </c>
      <c r="T445" s="334" t="s">
        <v>1059</v>
      </c>
      <c r="U445" s="334">
        <v>1615</v>
      </c>
      <c r="V445" s="269"/>
      <c r="W445" s="269"/>
      <c r="X445" s="269"/>
      <c r="Y445" s="269"/>
      <c r="Z445" s="269"/>
      <c r="AA445" s="269"/>
      <c r="AB445" s="269"/>
      <c r="AC445" s="269"/>
      <c r="AD445" s="269"/>
      <c r="AE445" s="269"/>
      <c r="AF445" s="269"/>
      <c r="AG445" s="269"/>
      <c r="AH445" s="269"/>
      <c r="AI445" s="269"/>
      <c r="AJ445" s="269"/>
      <c r="AK445" s="269"/>
      <c r="AL445" s="269"/>
      <c r="AM445" s="269"/>
    </row>
    <row r="446" spans="1:39" ht="88.5" customHeight="1" x14ac:dyDescent="0.2">
      <c r="A446" s="277">
        <f>IF(B446="","",COUNT('Diário 5º PA'!$A$5:$A$2634)+COUNT('Diário 6º PA'!$A$5:$A$2246)+ROW()-4)</f>
        <v>2985</v>
      </c>
      <c r="B446" s="278">
        <v>44412</v>
      </c>
      <c r="C446" s="259">
        <v>44378</v>
      </c>
      <c r="D446" s="252" t="s">
        <v>99</v>
      </c>
      <c r="E446" s="252" t="s">
        <v>336</v>
      </c>
      <c r="F446" s="257">
        <v>3201</v>
      </c>
      <c r="G446" s="451" t="s">
        <v>1685</v>
      </c>
      <c r="H446" s="252" t="s">
        <v>118</v>
      </c>
      <c r="I446" s="250" t="s">
        <v>1263</v>
      </c>
      <c r="J446" s="250" t="s">
        <v>1264</v>
      </c>
      <c r="K446" s="255" t="s">
        <v>991</v>
      </c>
      <c r="L446" s="250" t="s">
        <v>992</v>
      </c>
      <c r="M446" s="277" t="s">
        <v>1686</v>
      </c>
      <c r="N446" s="278">
        <v>44412</v>
      </c>
      <c r="O446" s="329" t="s">
        <v>67</v>
      </c>
      <c r="P446" s="330">
        <f t="shared" si="19"/>
        <v>8</v>
      </c>
      <c r="Q446" s="330">
        <f t="shared" si="20"/>
        <v>7</v>
      </c>
      <c r="R446" s="331" t="str">
        <f t="shared" si="21"/>
        <v>Gastos_Gerais</v>
      </c>
      <c r="S446" s="331" t="str">
        <f>IF(D446="","",IF(OR(D446=Plano!$A$1,D446=Plano!$B$1),"entrada","saída"))</f>
        <v>saída</v>
      </c>
      <c r="T446" s="334" t="s">
        <v>1059</v>
      </c>
      <c r="U446" s="334">
        <v>1616</v>
      </c>
      <c r="V446" s="269"/>
      <c r="W446" s="269"/>
      <c r="X446" s="269"/>
      <c r="Y446" s="269"/>
      <c r="Z446" s="269"/>
      <c r="AA446" s="269"/>
      <c r="AB446" s="269"/>
      <c r="AC446" s="269"/>
      <c r="AD446" s="269"/>
      <c r="AE446" s="269"/>
      <c r="AF446" s="269"/>
      <c r="AG446" s="269"/>
      <c r="AH446" s="269"/>
      <c r="AI446" s="269"/>
      <c r="AJ446" s="269"/>
      <c r="AK446" s="269"/>
      <c r="AL446" s="269"/>
      <c r="AM446" s="269"/>
    </row>
    <row r="447" spans="1:39" ht="100.5" customHeight="1" x14ac:dyDescent="0.2">
      <c r="A447" s="277">
        <f>IF(B447="","",COUNT('Diário 5º PA'!$A$5:$A$2634)+COUNT('Diário 6º PA'!$A$5:$A$2246)+ROW()-4)</f>
        <v>2986</v>
      </c>
      <c r="B447" s="278">
        <v>44412</v>
      </c>
      <c r="C447" s="259">
        <v>44378</v>
      </c>
      <c r="D447" s="252" t="s">
        <v>99</v>
      </c>
      <c r="E447" s="252" t="s">
        <v>336</v>
      </c>
      <c r="F447" s="257">
        <v>3201</v>
      </c>
      <c r="G447" s="451" t="s">
        <v>1687</v>
      </c>
      <c r="H447" s="252" t="s">
        <v>118</v>
      </c>
      <c r="I447" s="250" t="s">
        <v>1263</v>
      </c>
      <c r="J447" s="250" t="s">
        <v>1264</v>
      </c>
      <c r="K447" s="255" t="s">
        <v>991</v>
      </c>
      <c r="L447" s="250" t="s">
        <v>992</v>
      </c>
      <c r="M447" s="277" t="s">
        <v>1688</v>
      </c>
      <c r="N447" s="278">
        <v>44412</v>
      </c>
      <c r="O447" s="329" t="s">
        <v>67</v>
      </c>
      <c r="P447" s="330">
        <f t="shared" si="19"/>
        <v>8</v>
      </c>
      <c r="Q447" s="330">
        <f t="shared" si="20"/>
        <v>7</v>
      </c>
      <c r="R447" s="331" t="str">
        <f t="shared" si="21"/>
        <v>Gastos_Gerais</v>
      </c>
      <c r="S447" s="331" t="str">
        <f>IF(D447="","",IF(OR(D447=Plano!$A$1,D447=Plano!$B$1),"entrada","saída"))</f>
        <v>saída</v>
      </c>
      <c r="T447" s="334" t="s">
        <v>1059</v>
      </c>
      <c r="U447" s="334">
        <v>1617</v>
      </c>
      <c r="V447" s="269"/>
      <c r="W447" s="269"/>
      <c r="X447" s="269"/>
      <c r="Y447" s="269"/>
      <c r="Z447" s="269"/>
      <c r="AA447" s="269"/>
      <c r="AB447" s="269"/>
      <c r="AC447" s="269"/>
      <c r="AD447" s="269"/>
      <c r="AE447" s="269"/>
      <c r="AF447" s="269"/>
      <c r="AG447" s="269"/>
      <c r="AH447" s="269"/>
      <c r="AI447" s="269"/>
      <c r="AJ447" s="269"/>
      <c r="AK447" s="269"/>
      <c r="AL447" s="269"/>
      <c r="AM447" s="269"/>
    </row>
    <row r="448" spans="1:39" ht="120" customHeight="1" x14ac:dyDescent="0.2">
      <c r="A448" s="277">
        <f>IF(B448="","",COUNT('Diário 5º PA'!$A$5:$A$2634)+COUNT('Diário 6º PA'!$A$5:$A$2246)+ROW()-4)</f>
        <v>2987</v>
      </c>
      <c r="B448" s="278">
        <v>44412</v>
      </c>
      <c r="C448" s="259">
        <v>44378</v>
      </c>
      <c r="D448" s="252" t="s">
        <v>99</v>
      </c>
      <c r="E448" s="252" t="s">
        <v>336</v>
      </c>
      <c r="F448" s="257">
        <v>3201</v>
      </c>
      <c r="G448" s="451" t="s">
        <v>1689</v>
      </c>
      <c r="H448" s="252" t="s">
        <v>118</v>
      </c>
      <c r="I448" s="250" t="s">
        <v>1263</v>
      </c>
      <c r="J448" s="250" t="s">
        <v>1264</v>
      </c>
      <c r="K448" s="255" t="s">
        <v>991</v>
      </c>
      <c r="L448" s="250" t="s">
        <v>992</v>
      </c>
      <c r="M448" s="277" t="s">
        <v>1690</v>
      </c>
      <c r="N448" s="278">
        <v>44412</v>
      </c>
      <c r="O448" s="329" t="s">
        <v>67</v>
      </c>
      <c r="P448" s="330">
        <f t="shared" si="19"/>
        <v>8</v>
      </c>
      <c r="Q448" s="330">
        <f t="shared" si="20"/>
        <v>7</v>
      </c>
      <c r="R448" s="331" t="str">
        <f t="shared" si="21"/>
        <v>Gastos_Gerais</v>
      </c>
      <c r="S448" s="331" t="str">
        <f>IF(D448="","",IF(OR(D448=Plano!$A$1,D448=Plano!$B$1),"entrada","saída"))</f>
        <v>saída</v>
      </c>
      <c r="T448" s="334" t="s">
        <v>1059</v>
      </c>
      <c r="U448" s="334">
        <v>1618</v>
      </c>
      <c r="V448" s="269"/>
      <c r="W448" s="269"/>
      <c r="X448" s="269"/>
      <c r="Y448" s="269"/>
      <c r="Z448" s="269"/>
      <c r="AA448" s="269"/>
      <c r="AB448" s="269"/>
      <c r="AC448" s="269"/>
      <c r="AD448" s="269"/>
      <c r="AE448" s="269"/>
      <c r="AF448" s="269"/>
      <c r="AG448" s="269"/>
      <c r="AH448" s="269"/>
      <c r="AI448" s="269"/>
      <c r="AJ448" s="269"/>
      <c r="AK448" s="269"/>
      <c r="AL448" s="269"/>
      <c r="AM448" s="269"/>
    </row>
    <row r="449" spans="1:39" ht="113.25" customHeight="1" x14ac:dyDescent="0.2">
      <c r="A449" s="277">
        <f>IF(B449="","",COUNT('Diário 5º PA'!$A$5:$A$2634)+COUNT('Diário 6º PA'!$A$5:$A$2246)+ROW()-4)</f>
        <v>2988</v>
      </c>
      <c r="B449" s="278">
        <v>44412</v>
      </c>
      <c r="C449" s="259">
        <v>44378</v>
      </c>
      <c r="D449" s="252" t="s">
        <v>99</v>
      </c>
      <c r="E449" s="252" t="s">
        <v>336</v>
      </c>
      <c r="F449" s="257">
        <v>3201</v>
      </c>
      <c r="G449" s="451" t="s">
        <v>1691</v>
      </c>
      <c r="H449" s="252" t="s">
        <v>118</v>
      </c>
      <c r="I449" s="250" t="s">
        <v>1263</v>
      </c>
      <c r="J449" s="250" t="s">
        <v>1264</v>
      </c>
      <c r="K449" s="255" t="s">
        <v>991</v>
      </c>
      <c r="L449" s="250" t="s">
        <v>992</v>
      </c>
      <c r="M449" s="277" t="s">
        <v>993</v>
      </c>
      <c r="N449" s="278">
        <v>44412</v>
      </c>
      <c r="O449" s="329" t="s">
        <v>67</v>
      </c>
      <c r="P449" s="330">
        <f t="shared" si="19"/>
        <v>8</v>
      </c>
      <c r="Q449" s="330">
        <f t="shared" si="20"/>
        <v>7</v>
      </c>
      <c r="R449" s="331" t="str">
        <f t="shared" si="21"/>
        <v>Gastos_Gerais</v>
      </c>
      <c r="S449" s="331" t="str">
        <f>IF(D449="","",IF(OR(D449=Plano!$A$1,D449=Plano!$B$1),"entrada","saída"))</f>
        <v>saída</v>
      </c>
      <c r="T449" s="334" t="s">
        <v>1059</v>
      </c>
      <c r="U449" s="334">
        <v>1619</v>
      </c>
      <c r="V449" s="269"/>
      <c r="W449" s="269"/>
      <c r="X449" s="269"/>
      <c r="Y449" s="269"/>
      <c r="Z449" s="269"/>
      <c r="AA449" s="269"/>
      <c r="AB449" s="269"/>
      <c r="AC449" s="269"/>
      <c r="AD449" s="269"/>
      <c r="AE449" s="269"/>
      <c r="AF449" s="269"/>
      <c r="AG449" s="269"/>
      <c r="AH449" s="269"/>
      <c r="AI449" s="269"/>
      <c r="AJ449" s="269"/>
      <c r="AK449" s="269"/>
      <c r="AL449" s="269"/>
      <c r="AM449" s="269"/>
    </row>
    <row r="450" spans="1:39" ht="94.5" customHeight="1" x14ac:dyDescent="0.2">
      <c r="A450" s="277">
        <f>IF(B450="","",COUNT('Diário 5º PA'!$A$5:$A$2634)+COUNT('Diário 6º PA'!$A$5:$A$2246)+ROW()-4)</f>
        <v>2989</v>
      </c>
      <c r="B450" s="278">
        <v>44412</v>
      </c>
      <c r="C450" s="259">
        <v>44378</v>
      </c>
      <c r="D450" s="252" t="s">
        <v>99</v>
      </c>
      <c r="E450" s="252" t="s">
        <v>336</v>
      </c>
      <c r="F450" s="257">
        <v>3201</v>
      </c>
      <c r="G450" s="451" t="s">
        <v>1692</v>
      </c>
      <c r="H450" s="252" t="s">
        <v>118</v>
      </c>
      <c r="I450" s="250" t="s">
        <v>1263</v>
      </c>
      <c r="J450" s="250" t="s">
        <v>1264</v>
      </c>
      <c r="K450" s="255" t="s">
        <v>991</v>
      </c>
      <c r="L450" s="250" t="s">
        <v>992</v>
      </c>
      <c r="M450" s="277" t="s">
        <v>1693</v>
      </c>
      <c r="N450" s="278">
        <v>44412</v>
      </c>
      <c r="O450" s="329" t="s">
        <v>67</v>
      </c>
      <c r="P450" s="330">
        <f t="shared" si="19"/>
        <v>8</v>
      </c>
      <c r="Q450" s="330">
        <f t="shared" si="20"/>
        <v>7</v>
      </c>
      <c r="R450" s="331" t="str">
        <f t="shared" si="21"/>
        <v>Gastos_Gerais</v>
      </c>
      <c r="S450" s="331" t="str">
        <f>IF(D450="","",IF(OR(D450=Plano!$A$1,D450=Plano!$B$1),"entrada","saída"))</f>
        <v>saída</v>
      </c>
      <c r="T450" s="334" t="s">
        <v>1059</v>
      </c>
      <c r="U450" s="334">
        <v>1620</v>
      </c>
      <c r="V450" s="269"/>
      <c r="W450" s="269"/>
      <c r="X450" s="269"/>
      <c r="Y450" s="269"/>
      <c r="Z450" s="269"/>
      <c r="AA450" s="269"/>
      <c r="AB450" s="269"/>
      <c r="AC450" s="269"/>
      <c r="AD450" s="269"/>
      <c r="AE450" s="269"/>
      <c r="AF450" s="269"/>
      <c r="AG450" s="269"/>
      <c r="AH450" s="269"/>
      <c r="AI450" s="269"/>
      <c r="AJ450" s="269"/>
      <c r="AK450" s="269"/>
      <c r="AL450" s="269"/>
      <c r="AM450" s="269"/>
    </row>
    <row r="451" spans="1:39" ht="94.5" customHeight="1" x14ac:dyDescent="0.2">
      <c r="A451" s="277">
        <f>IF(B451="","",COUNT('Diário 5º PA'!$A$5:$A$2634)+COUNT('Diário 6º PA'!$A$5:$A$2246)+ROW()-4)</f>
        <v>2990</v>
      </c>
      <c r="B451" s="278">
        <v>44412</v>
      </c>
      <c r="C451" s="249">
        <v>44378</v>
      </c>
      <c r="D451" s="250" t="s">
        <v>99</v>
      </c>
      <c r="E451" s="250" t="s">
        <v>336</v>
      </c>
      <c r="F451" s="251">
        <v>2231</v>
      </c>
      <c r="G451" s="452" t="s">
        <v>1694</v>
      </c>
      <c r="H451" s="250" t="s">
        <v>116</v>
      </c>
      <c r="I451" s="250" t="s">
        <v>1263</v>
      </c>
      <c r="J451" s="250" t="s">
        <v>1264</v>
      </c>
      <c r="K451" s="255" t="s">
        <v>991</v>
      </c>
      <c r="L451" s="250" t="s">
        <v>992</v>
      </c>
      <c r="M451" s="277" t="s">
        <v>1695</v>
      </c>
      <c r="N451" s="278">
        <v>44412</v>
      </c>
      <c r="O451" s="329" t="s">
        <v>67</v>
      </c>
      <c r="P451" s="330">
        <f t="shared" si="19"/>
        <v>8</v>
      </c>
      <c r="Q451" s="330">
        <f t="shared" si="20"/>
        <v>7</v>
      </c>
      <c r="R451" s="331" t="str">
        <f t="shared" si="21"/>
        <v>Gastos_Gerais</v>
      </c>
      <c r="S451" s="331" t="str">
        <f>IF(D451="","",IF(OR(D451=Plano!$A$1,D451=Plano!$B$1),"entrada","saída"))</f>
        <v>saída</v>
      </c>
      <c r="T451" s="334" t="s">
        <v>994</v>
      </c>
      <c r="U451" s="334">
        <v>1809</v>
      </c>
      <c r="V451" s="269"/>
      <c r="W451" s="269"/>
      <c r="X451" s="269"/>
      <c r="Y451" s="269"/>
      <c r="Z451" s="269"/>
      <c r="AA451" s="269"/>
      <c r="AB451" s="269"/>
      <c r="AC451" s="269"/>
      <c r="AD451" s="269"/>
      <c r="AE451" s="269"/>
      <c r="AF451" s="269"/>
      <c r="AG451" s="269"/>
      <c r="AH451" s="269"/>
      <c r="AI451" s="269"/>
      <c r="AJ451" s="269"/>
      <c r="AK451" s="269"/>
      <c r="AL451" s="269"/>
      <c r="AM451" s="269"/>
    </row>
    <row r="452" spans="1:39" ht="107.25" customHeight="1" x14ac:dyDescent="0.2">
      <c r="A452" s="277">
        <f>IF(B452="","",COUNT('Diário 5º PA'!$A$5:$A$2634)+COUNT('Diário 6º PA'!$A$5:$A$2246)+ROW()-4)</f>
        <v>2991</v>
      </c>
      <c r="B452" s="278">
        <v>44412</v>
      </c>
      <c r="C452" s="259">
        <v>44378</v>
      </c>
      <c r="D452" s="252" t="s">
        <v>99</v>
      </c>
      <c r="E452" s="252" t="s">
        <v>336</v>
      </c>
      <c r="F452" s="257">
        <v>3201</v>
      </c>
      <c r="G452" s="451" t="s">
        <v>1696</v>
      </c>
      <c r="H452" s="252" t="s">
        <v>118</v>
      </c>
      <c r="I452" s="250" t="s">
        <v>1263</v>
      </c>
      <c r="J452" s="250" t="s">
        <v>1264</v>
      </c>
      <c r="K452" s="255" t="s">
        <v>991</v>
      </c>
      <c r="L452" s="250" t="s">
        <v>992</v>
      </c>
      <c r="M452" s="277" t="s">
        <v>1697</v>
      </c>
      <c r="N452" s="278">
        <v>44412</v>
      </c>
      <c r="O452" s="329" t="s">
        <v>67</v>
      </c>
      <c r="P452" s="330">
        <f t="shared" si="19"/>
        <v>8</v>
      </c>
      <c r="Q452" s="330">
        <f t="shared" si="20"/>
        <v>7</v>
      </c>
      <c r="R452" s="331" t="str">
        <f t="shared" si="21"/>
        <v>Gastos_Gerais</v>
      </c>
      <c r="S452" s="331" t="str">
        <f>IF(D452="","",IF(OR(D452=Plano!$A$1,D452=Plano!$B$1),"entrada","saída"))</f>
        <v>saída</v>
      </c>
      <c r="T452" s="334" t="s">
        <v>1059</v>
      </c>
      <c r="U452" s="334">
        <v>1621</v>
      </c>
      <c r="V452" s="269"/>
      <c r="W452" s="269"/>
      <c r="X452" s="269"/>
      <c r="Y452" s="269"/>
      <c r="Z452" s="269"/>
      <c r="AA452" s="269"/>
      <c r="AB452" s="269"/>
      <c r="AC452" s="269"/>
      <c r="AD452" s="269"/>
      <c r="AE452" s="269"/>
      <c r="AF452" s="269"/>
      <c r="AG452" s="269"/>
      <c r="AH452" s="269"/>
      <c r="AI452" s="269"/>
      <c r="AJ452" s="269"/>
      <c r="AK452" s="269"/>
      <c r="AL452" s="269"/>
      <c r="AM452" s="269"/>
    </row>
    <row r="453" spans="1:39" ht="102.75" customHeight="1" x14ac:dyDescent="0.2">
      <c r="A453" s="277">
        <f>IF(B453="","",COUNT('Diário 5º PA'!$A$5:$A$2634)+COUNT('Diário 6º PA'!$A$5:$A$2246)+ROW()-4)</f>
        <v>2992</v>
      </c>
      <c r="B453" s="278">
        <v>44412</v>
      </c>
      <c r="C453" s="259">
        <v>44378</v>
      </c>
      <c r="D453" s="252" t="s">
        <v>99</v>
      </c>
      <c r="E453" s="252" t="s">
        <v>336</v>
      </c>
      <c r="F453" s="257">
        <v>3201</v>
      </c>
      <c r="G453" s="451" t="s">
        <v>1698</v>
      </c>
      <c r="H453" s="252" t="s">
        <v>118</v>
      </c>
      <c r="I453" s="250" t="s">
        <v>1263</v>
      </c>
      <c r="J453" s="250" t="s">
        <v>1264</v>
      </c>
      <c r="K453" s="255" t="s">
        <v>991</v>
      </c>
      <c r="L453" s="250" t="s">
        <v>992</v>
      </c>
      <c r="M453" s="277" t="s">
        <v>1699</v>
      </c>
      <c r="N453" s="278">
        <v>44412</v>
      </c>
      <c r="O453" s="329" t="s">
        <v>67</v>
      </c>
      <c r="P453" s="330">
        <f t="shared" ref="P453:P518" si="22">IF(B453=0,0,IF(YEAR(B453)=$Q$1,MONTH(B453)-$P$1+1,(YEAR(B453)-$Q$1)*12-$P$1+1+MONTH(B453)))</f>
        <v>8</v>
      </c>
      <c r="Q453" s="330">
        <f t="shared" ref="Q453:Q518" si="23">IF(C453=0,0,IF(YEAR(C453)=$Q$1,MONTH(C453)-$P$1+1,(YEAR(C453)-$Q$1)*12-$P$1+1+MONTH(C453)))</f>
        <v>7</v>
      </c>
      <c r="R453" s="331" t="str">
        <f t="shared" ref="R453:R518" si="24">SUBSTITUTE(D453," ","_")</f>
        <v>Gastos_Gerais</v>
      </c>
      <c r="S453" s="331" t="str">
        <f>IF(D453="","",IF(OR(D453=Plano!$A$1,D453=Plano!$B$1),"entrada","saída"))</f>
        <v>saída</v>
      </c>
      <c r="T453" s="334" t="s">
        <v>1059</v>
      </c>
      <c r="U453" s="334">
        <v>1622</v>
      </c>
      <c r="V453" s="269"/>
      <c r="W453" s="269"/>
      <c r="X453" s="269"/>
      <c r="Y453" s="269"/>
      <c r="Z453" s="269"/>
      <c r="AA453" s="269"/>
      <c r="AB453" s="269"/>
      <c r="AC453" s="269"/>
      <c r="AD453" s="269"/>
      <c r="AE453" s="269"/>
      <c r="AF453" s="269"/>
      <c r="AG453" s="269"/>
      <c r="AH453" s="269"/>
      <c r="AI453" s="269"/>
      <c r="AJ453" s="269"/>
      <c r="AK453" s="269"/>
      <c r="AL453" s="269"/>
      <c r="AM453" s="269"/>
    </row>
    <row r="454" spans="1:39" ht="72.75" customHeight="1" x14ac:dyDescent="0.2">
      <c r="A454" s="277">
        <f>IF(B454="","",COUNT('Diário 5º PA'!$A$5:$A$2634)+COUNT('Diário 6º PA'!$A$5:$A$2246)+ROW()-4)</f>
        <v>2993</v>
      </c>
      <c r="B454" s="278">
        <v>44412</v>
      </c>
      <c r="C454" s="335">
        <v>44409</v>
      </c>
      <c r="D454" s="255" t="s">
        <v>99</v>
      </c>
      <c r="E454" s="255" t="s">
        <v>272</v>
      </c>
      <c r="F454" s="258">
        <v>10.45</v>
      </c>
      <c r="G454" s="450" t="s">
        <v>1310</v>
      </c>
      <c r="H454" s="252" t="s">
        <v>118</v>
      </c>
      <c r="I454" s="250" t="s">
        <v>949</v>
      </c>
      <c r="J454" s="255" t="s">
        <v>950</v>
      </c>
      <c r="K454" s="255" t="s">
        <v>951</v>
      </c>
      <c r="L454" s="250" t="s">
        <v>947</v>
      </c>
      <c r="M454" s="336" t="s">
        <v>114</v>
      </c>
      <c r="N454" s="278">
        <v>44412</v>
      </c>
      <c r="O454" s="329" t="s">
        <v>67</v>
      </c>
      <c r="P454" s="330">
        <f t="shared" si="22"/>
        <v>8</v>
      </c>
      <c r="Q454" s="330">
        <f t="shared" si="23"/>
        <v>8</v>
      </c>
      <c r="R454" s="331" t="str">
        <f t="shared" si="24"/>
        <v>Gastos_Gerais</v>
      </c>
      <c r="S454" s="331" t="str">
        <f>IF(D454="","",IF(OR(D454=Plano!$A$1,D454=Plano!$B$1),"entrada","saída"))</f>
        <v>saída</v>
      </c>
      <c r="T454" s="332" t="s">
        <v>114</v>
      </c>
      <c r="U454" s="332" t="s">
        <v>114</v>
      </c>
      <c r="V454" s="269"/>
      <c r="W454" s="269"/>
      <c r="X454" s="269"/>
      <c r="Y454" s="269"/>
      <c r="Z454" s="269"/>
      <c r="AA454" s="269"/>
      <c r="AB454" s="269"/>
      <c r="AC454" s="269"/>
      <c r="AD454" s="269"/>
      <c r="AE454" s="269"/>
      <c r="AF454" s="269"/>
      <c r="AG454" s="269"/>
      <c r="AH454" s="269"/>
      <c r="AI454" s="269"/>
      <c r="AJ454" s="269"/>
      <c r="AK454" s="269"/>
      <c r="AL454" s="269"/>
      <c r="AM454" s="269"/>
    </row>
    <row r="455" spans="1:39" ht="54" customHeight="1" x14ac:dyDescent="0.2">
      <c r="A455" s="277">
        <f>IF(B455="","",COUNT('Diário 5º PA'!$A$5:$A$2634)+COUNT('Diário 6º PA'!$A$5:$A$2246)+ROW()-4)</f>
        <v>2994</v>
      </c>
      <c r="B455" s="278">
        <v>44412</v>
      </c>
      <c r="C455" s="335">
        <v>44409</v>
      </c>
      <c r="D455" s="255" t="s">
        <v>99</v>
      </c>
      <c r="E455" s="255" t="s">
        <v>272</v>
      </c>
      <c r="F455" s="258">
        <v>10.45</v>
      </c>
      <c r="G455" s="450" t="s">
        <v>1311</v>
      </c>
      <c r="H455" s="252" t="s">
        <v>118</v>
      </c>
      <c r="I455" s="250" t="s">
        <v>949</v>
      </c>
      <c r="J455" s="255" t="s">
        <v>950</v>
      </c>
      <c r="K455" s="255" t="s">
        <v>951</v>
      </c>
      <c r="L455" s="250" t="s">
        <v>947</v>
      </c>
      <c r="M455" s="336" t="s">
        <v>114</v>
      </c>
      <c r="N455" s="278">
        <v>44412</v>
      </c>
      <c r="O455" s="329" t="s">
        <v>67</v>
      </c>
      <c r="P455" s="330">
        <f t="shared" si="22"/>
        <v>8</v>
      </c>
      <c r="Q455" s="330">
        <f t="shared" si="23"/>
        <v>8</v>
      </c>
      <c r="R455" s="331" t="str">
        <f t="shared" si="24"/>
        <v>Gastos_Gerais</v>
      </c>
      <c r="S455" s="331" t="str">
        <f>IF(D455="","",IF(OR(D455=Plano!$A$1,D455=Plano!$B$1),"entrada","saída"))</f>
        <v>saída</v>
      </c>
      <c r="T455" s="332" t="s">
        <v>114</v>
      </c>
      <c r="U455" s="332" t="s">
        <v>114</v>
      </c>
      <c r="V455" s="269"/>
      <c r="W455" s="269"/>
      <c r="X455" s="269"/>
      <c r="Y455" s="269"/>
      <c r="Z455" s="269"/>
      <c r="AA455" s="269"/>
      <c r="AB455" s="269"/>
      <c r="AC455" s="269"/>
      <c r="AD455" s="269"/>
      <c r="AE455" s="269"/>
      <c r="AF455" s="269"/>
      <c r="AG455" s="269"/>
      <c r="AH455" s="269"/>
      <c r="AI455" s="269"/>
      <c r="AJ455" s="269"/>
      <c r="AK455" s="269"/>
      <c r="AL455" s="269"/>
      <c r="AM455" s="269"/>
    </row>
    <row r="456" spans="1:39" ht="62.25" customHeight="1" x14ac:dyDescent="0.2">
      <c r="A456" s="277">
        <f>IF(B456="","",COUNT('Diário 5º PA'!$A$5:$A$2634)+COUNT('Diário 6º PA'!$A$5:$A$2246)+ROW()-4)</f>
        <v>2995</v>
      </c>
      <c r="B456" s="278">
        <v>44412</v>
      </c>
      <c r="C456" s="335">
        <v>44409</v>
      </c>
      <c r="D456" s="255" t="s">
        <v>99</v>
      </c>
      <c r="E456" s="255" t="s">
        <v>272</v>
      </c>
      <c r="F456" s="258">
        <v>10.45</v>
      </c>
      <c r="G456" s="450" t="s">
        <v>1312</v>
      </c>
      <c r="H456" s="252" t="s">
        <v>118</v>
      </c>
      <c r="I456" s="250" t="s">
        <v>949</v>
      </c>
      <c r="J456" s="255" t="s">
        <v>950</v>
      </c>
      <c r="K456" s="255" t="s">
        <v>951</v>
      </c>
      <c r="L456" s="250" t="s">
        <v>947</v>
      </c>
      <c r="M456" s="336" t="s">
        <v>114</v>
      </c>
      <c r="N456" s="278">
        <v>44412</v>
      </c>
      <c r="O456" s="329" t="s">
        <v>67</v>
      </c>
      <c r="P456" s="330">
        <f t="shared" si="22"/>
        <v>8</v>
      </c>
      <c r="Q456" s="330">
        <f t="shared" si="23"/>
        <v>8</v>
      </c>
      <c r="R456" s="331" t="str">
        <f t="shared" si="24"/>
        <v>Gastos_Gerais</v>
      </c>
      <c r="S456" s="331" t="str">
        <f>IF(D456="","",IF(OR(D456=Plano!$A$1,D456=Plano!$B$1),"entrada","saída"))</f>
        <v>saída</v>
      </c>
      <c r="T456" s="332" t="s">
        <v>114</v>
      </c>
      <c r="U456" s="332" t="s">
        <v>114</v>
      </c>
      <c r="V456" s="269"/>
      <c r="W456" s="269"/>
      <c r="X456" s="269"/>
      <c r="Y456" s="269"/>
      <c r="Z456" s="269"/>
      <c r="AA456" s="269"/>
      <c r="AB456" s="269"/>
      <c r="AC456" s="269"/>
      <c r="AD456" s="269"/>
      <c r="AE456" s="269"/>
      <c r="AF456" s="269"/>
      <c r="AG456" s="269"/>
      <c r="AH456" s="269"/>
      <c r="AI456" s="269"/>
      <c r="AJ456" s="269"/>
      <c r="AK456" s="269"/>
      <c r="AL456" s="269"/>
      <c r="AM456" s="269"/>
    </row>
    <row r="457" spans="1:39" ht="66" customHeight="1" x14ac:dyDescent="0.2">
      <c r="A457" s="277">
        <f>IF(B457="","",COUNT('Diário 5º PA'!$A$5:$A$2634)+COUNT('Diário 6º PA'!$A$5:$A$2246)+ROW()-4)</f>
        <v>2996</v>
      </c>
      <c r="B457" s="278">
        <v>44412</v>
      </c>
      <c r="C457" s="335">
        <v>44409</v>
      </c>
      <c r="D457" s="255" t="s">
        <v>99</v>
      </c>
      <c r="E457" s="255" t="s">
        <v>272</v>
      </c>
      <c r="F457" s="258">
        <v>10.45</v>
      </c>
      <c r="G457" s="450" t="s">
        <v>1313</v>
      </c>
      <c r="H457" s="252" t="s">
        <v>118</v>
      </c>
      <c r="I457" s="250" t="s">
        <v>949</v>
      </c>
      <c r="J457" s="255" t="s">
        <v>950</v>
      </c>
      <c r="K457" s="255" t="s">
        <v>951</v>
      </c>
      <c r="L457" s="250" t="s">
        <v>947</v>
      </c>
      <c r="M457" s="336" t="s">
        <v>114</v>
      </c>
      <c r="N457" s="278">
        <v>44412</v>
      </c>
      <c r="O457" s="329" t="s">
        <v>67</v>
      </c>
      <c r="P457" s="330">
        <f t="shared" si="22"/>
        <v>8</v>
      </c>
      <c r="Q457" s="330">
        <f t="shared" si="23"/>
        <v>8</v>
      </c>
      <c r="R457" s="331" t="str">
        <f t="shared" si="24"/>
        <v>Gastos_Gerais</v>
      </c>
      <c r="S457" s="331" t="str">
        <f>IF(D457="","",IF(OR(D457=Plano!$A$1,D457=Plano!$B$1),"entrada","saída"))</f>
        <v>saída</v>
      </c>
      <c r="T457" s="332" t="s">
        <v>114</v>
      </c>
      <c r="U457" s="332" t="s">
        <v>114</v>
      </c>
      <c r="V457" s="269"/>
      <c r="W457" s="269"/>
      <c r="X457" s="269"/>
      <c r="Y457" s="269"/>
      <c r="Z457" s="269"/>
      <c r="AA457" s="269"/>
      <c r="AB457" s="269"/>
      <c r="AC457" s="269"/>
      <c r="AD457" s="269"/>
      <c r="AE457" s="269"/>
      <c r="AF457" s="269"/>
      <c r="AG457" s="269"/>
      <c r="AH457" s="269"/>
      <c r="AI457" s="269"/>
      <c r="AJ457" s="269"/>
      <c r="AK457" s="269"/>
      <c r="AL457" s="269"/>
      <c r="AM457" s="269"/>
    </row>
    <row r="458" spans="1:39" ht="66" customHeight="1" x14ac:dyDescent="0.2">
      <c r="A458" s="277">
        <f>IF(B458="","",COUNT('Diário 5º PA'!$A$5:$A$2634)+COUNT('Diário 6º PA'!$A$5:$A$2246)+ROW()-4)</f>
        <v>2997</v>
      </c>
      <c r="B458" s="278">
        <v>44412</v>
      </c>
      <c r="C458" s="335">
        <v>44409</v>
      </c>
      <c r="D458" s="255" t="s">
        <v>99</v>
      </c>
      <c r="E458" s="255" t="s">
        <v>272</v>
      </c>
      <c r="F458" s="258">
        <v>10.45</v>
      </c>
      <c r="G458" s="450" t="s">
        <v>1314</v>
      </c>
      <c r="H458" s="252" t="s">
        <v>118</v>
      </c>
      <c r="I458" s="250" t="s">
        <v>949</v>
      </c>
      <c r="J458" s="255" t="s">
        <v>950</v>
      </c>
      <c r="K458" s="255" t="s">
        <v>951</v>
      </c>
      <c r="L458" s="250" t="s">
        <v>947</v>
      </c>
      <c r="M458" s="336" t="s">
        <v>114</v>
      </c>
      <c r="N458" s="278">
        <v>44412</v>
      </c>
      <c r="O458" s="329" t="s">
        <v>67</v>
      </c>
      <c r="P458" s="330">
        <f t="shared" si="22"/>
        <v>8</v>
      </c>
      <c r="Q458" s="330">
        <f t="shared" si="23"/>
        <v>8</v>
      </c>
      <c r="R458" s="331" t="str">
        <f t="shared" si="24"/>
        <v>Gastos_Gerais</v>
      </c>
      <c r="S458" s="331" t="str">
        <f>IF(D458="","",IF(OR(D458=Plano!$A$1,D458=Plano!$B$1),"entrada","saída"))</f>
        <v>saída</v>
      </c>
      <c r="T458" s="332" t="s">
        <v>114</v>
      </c>
      <c r="U458" s="332" t="s">
        <v>114</v>
      </c>
      <c r="V458" s="269"/>
      <c r="W458" s="269"/>
      <c r="X458" s="269"/>
      <c r="Y458" s="269"/>
      <c r="Z458" s="269"/>
      <c r="AA458" s="269"/>
      <c r="AB458" s="269"/>
      <c r="AC458" s="269"/>
      <c r="AD458" s="269"/>
      <c r="AE458" s="269"/>
      <c r="AF458" s="269"/>
      <c r="AG458" s="269"/>
      <c r="AH458" s="269"/>
      <c r="AI458" s="269"/>
      <c r="AJ458" s="269"/>
      <c r="AK458" s="269"/>
      <c r="AL458" s="269"/>
      <c r="AM458" s="269"/>
    </row>
    <row r="459" spans="1:39" ht="61.5" customHeight="1" x14ac:dyDescent="0.2">
      <c r="A459" s="277">
        <f>IF(B459="","",COUNT('Diário 5º PA'!$A$5:$A$2634)+COUNT('Diário 6º PA'!$A$5:$A$2246)+ROW()-4)</f>
        <v>2998</v>
      </c>
      <c r="B459" s="278">
        <v>44412</v>
      </c>
      <c r="C459" s="335">
        <v>44409</v>
      </c>
      <c r="D459" s="255" t="s">
        <v>99</v>
      </c>
      <c r="E459" s="255" t="s">
        <v>272</v>
      </c>
      <c r="F459" s="258">
        <v>10.45</v>
      </c>
      <c r="G459" s="450" t="s">
        <v>1315</v>
      </c>
      <c r="H459" s="252" t="s">
        <v>118</v>
      </c>
      <c r="I459" s="250" t="s">
        <v>949</v>
      </c>
      <c r="J459" s="255" t="s">
        <v>950</v>
      </c>
      <c r="K459" s="255" t="s">
        <v>951</v>
      </c>
      <c r="L459" s="250" t="s">
        <v>947</v>
      </c>
      <c r="M459" s="336" t="s">
        <v>114</v>
      </c>
      <c r="N459" s="278">
        <v>44412</v>
      </c>
      <c r="O459" s="329" t="s">
        <v>67</v>
      </c>
      <c r="P459" s="330">
        <f t="shared" si="22"/>
        <v>8</v>
      </c>
      <c r="Q459" s="330">
        <f t="shared" si="23"/>
        <v>8</v>
      </c>
      <c r="R459" s="331" t="str">
        <f t="shared" si="24"/>
        <v>Gastos_Gerais</v>
      </c>
      <c r="S459" s="331" t="str">
        <f>IF(D459="","",IF(OR(D459=Plano!$A$1,D459=Plano!$B$1),"entrada","saída"))</f>
        <v>saída</v>
      </c>
      <c r="T459" s="332" t="s">
        <v>114</v>
      </c>
      <c r="U459" s="332" t="s">
        <v>114</v>
      </c>
      <c r="V459" s="269"/>
      <c r="W459" s="269"/>
      <c r="X459" s="269"/>
      <c r="Y459" s="269"/>
      <c r="Z459" s="269"/>
      <c r="AA459" s="269"/>
      <c r="AB459" s="269"/>
      <c r="AC459" s="269"/>
      <c r="AD459" s="269"/>
      <c r="AE459" s="269"/>
      <c r="AF459" s="269"/>
      <c r="AG459" s="269"/>
      <c r="AH459" s="269"/>
      <c r="AI459" s="269"/>
      <c r="AJ459" s="269"/>
      <c r="AK459" s="269"/>
      <c r="AL459" s="269"/>
      <c r="AM459" s="269"/>
    </row>
    <row r="460" spans="1:39" ht="49.5" customHeight="1" x14ac:dyDescent="0.2">
      <c r="A460" s="277">
        <f>IF(B460="","",COUNT('Diário 5º PA'!$A$5:$A$2634)+COUNT('Diário 6º PA'!$A$5:$A$2246)+ROW()-4)</f>
        <v>2999</v>
      </c>
      <c r="B460" s="278">
        <v>44412</v>
      </c>
      <c r="C460" s="335">
        <v>44409</v>
      </c>
      <c r="D460" s="255" t="s">
        <v>99</v>
      </c>
      <c r="E460" s="255" t="s">
        <v>272</v>
      </c>
      <c r="F460" s="258">
        <v>10.45</v>
      </c>
      <c r="G460" s="450" t="s">
        <v>1316</v>
      </c>
      <c r="H460" s="252" t="s">
        <v>118</v>
      </c>
      <c r="I460" s="250" t="s">
        <v>949</v>
      </c>
      <c r="J460" s="255" t="s">
        <v>950</v>
      </c>
      <c r="K460" s="255" t="s">
        <v>951</v>
      </c>
      <c r="L460" s="250" t="s">
        <v>947</v>
      </c>
      <c r="M460" s="336" t="s">
        <v>114</v>
      </c>
      <c r="N460" s="278">
        <v>44412</v>
      </c>
      <c r="O460" s="329" t="s">
        <v>67</v>
      </c>
      <c r="P460" s="330">
        <f t="shared" si="22"/>
        <v>8</v>
      </c>
      <c r="Q460" s="330">
        <f t="shared" si="23"/>
        <v>8</v>
      </c>
      <c r="R460" s="331" t="str">
        <f t="shared" si="24"/>
        <v>Gastos_Gerais</v>
      </c>
      <c r="S460" s="331" t="str">
        <f>IF(D460="","",IF(OR(D460=Plano!$A$1,D460=Plano!$B$1),"entrada","saída"))</f>
        <v>saída</v>
      </c>
      <c r="T460" s="332" t="s">
        <v>114</v>
      </c>
      <c r="U460" s="332" t="s">
        <v>114</v>
      </c>
      <c r="V460" s="269"/>
      <c r="W460" s="269"/>
      <c r="X460" s="269"/>
      <c r="Y460" s="269"/>
      <c r="Z460" s="269"/>
      <c r="AA460" s="269"/>
      <c r="AB460" s="269"/>
      <c r="AC460" s="269"/>
      <c r="AD460" s="269"/>
      <c r="AE460" s="269"/>
      <c r="AF460" s="269"/>
      <c r="AG460" s="269"/>
      <c r="AH460" s="269"/>
      <c r="AI460" s="269"/>
      <c r="AJ460" s="269"/>
      <c r="AK460" s="269"/>
      <c r="AL460" s="269"/>
      <c r="AM460" s="269"/>
    </row>
    <row r="461" spans="1:39" ht="49.5" customHeight="1" x14ac:dyDescent="0.2">
      <c r="A461" s="277">
        <f>IF(B461="","",COUNT('Diário 5º PA'!$A$5:$A$2634)+COUNT('Diário 6º PA'!$A$5:$A$2246)+ROW()-4)</f>
        <v>3000</v>
      </c>
      <c r="B461" s="278">
        <v>44412</v>
      </c>
      <c r="C461" s="335">
        <v>44409</v>
      </c>
      <c r="D461" s="255" t="s">
        <v>99</v>
      </c>
      <c r="E461" s="255" t="s">
        <v>272</v>
      </c>
      <c r="F461" s="258">
        <v>10.45</v>
      </c>
      <c r="G461" s="450" t="s">
        <v>1317</v>
      </c>
      <c r="H461" s="252" t="s">
        <v>118</v>
      </c>
      <c r="I461" s="250" t="s">
        <v>949</v>
      </c>
      <c r="J461" s="255" t="s">
        <v>950</v>
      </c>
      <c r="K461" s="255" t="s">
        <v>951</v>
      </c>
      <c r="L461" s="250" t="s">
        <v>947</v>
      </c>
      <c r="M461" s="336" t="s">
        <v>114</v>
      </c>
      <c r="N461" s="278">
        <v>44412</v>
      </c>
      <c r="O461" s="329" t="s">
        <v>67</v>
      </c>
      <c r="P461" s="330">
        <f t="shared" si="22"/>
        <v>8</v>
      </c>
      <c r="Q461" s="330">
        <f t="shared" si="23"/>
        <v>8</v>
      </c>
      <c r="R461" s="331" t="str">
        <f t="shared" si="24"/>
        <v>Gastos_Gerais</v>
      </c>
      <c r="S461" s="331" t="str">
        <f>IF(D461="","",IF(OR(D461=Plano!$A$1,D461=Plano!$B$1),"entrada","saída"))</f>
        <v>saída</v>
      </c>
      <c r="T461" s="332" t="s">
        <v>114</v>
      </c>
      <c r="U461" s="332" t="s">
        <v>114</v>
      </c>
      <c r="V461" s="269"/>
      <c r="W461" s="269"/>
      <c r="X461" s="269"/>
      <c r="Y461" s="269"/>
      <c r="Z461" s="269"/>
      <c r="AA461" s="269"/>
      <c r="AB461" s="269"/>
      <c r="AC461" s="269"/>
      <c r="AD461" s="269"/>
      <c r="AE461" s="269"/>
      <c r="AF461" s="269"/>
      <c r="AG461" s="269"/>
      <c r="AH461" s="269"/>
      <c r="AI461" s="269"/>
      <c r="AJ461" s="269"/>
      <c r="AK461" s="269"/>
      <c r="AL461" s="269"/>
      <c r="AM461" s="269"/>
    </row>
    <row r="462" spans="1:39" ht="58.5" customHeight="1" x14ac:dyDescent="0.2">
      <c r="A462" s="277">
        <f>IF(B462="","",COUNT('Diário 5º PA'!$A$5:$A$2634)+COUNT('Diário 6º PA'!$A$5:$A$2246)+ROW()-4)</f>
        <v>3001</v>
      </c>
      <c r="B462" s="278">
        <v>44412</v>
      </c>
      <c r="C462" s="335">
        <v>44409</v>
      </c>
      <c r="D462" s="255" t="s">
        <v>99</v>
      </c>
      <c r="E462" s="255" t="s">
        <v>272</v>
      </c>
      <c r="F462" s="258">
        <v>10.45</v>
      </c>
      <c r="G462" s="450" t="s">
        <v>1700</v>
      </c>
      <c r="H462" s="250" t="s">
        <v>116</v>
      </c>
      <c r="I462" s="250" t="s">
        <v>949</v>
      </c>
      <c r="J462" s="255" t="s">
        <v>950</v>
      </c>
      <c r="K462" s="255" t="s">
        <v>951</v>
      </c>
      <c r="L462" s="250" t="s">
        <v>947</v>
      </c>
      <c r="M462" s="336" t="s">
        <v>114</v>
      </c>
      <c r="N462" s="278">
        <v>44412</v>
      </c>
      <c r="O462" s="329" t="s">
        <v>67</v>
      </c>
      <c r="P462" s="330">
        <f t="shared" si="22"/>
        <v>8</v>
      </c>
      <c r="Q462" s="330">
        <f t="shared" si="23"/>
        <v>8</v>
      </c>
      <c r="R462" s="331" t="str">
        <f t="shared" si="24"/>
        <v>Gastos_Gerais</v>
      </c>
      <c r="S462" s="331" t="str">
        <f>IF(D462="","",IF(OR(D462=Plano!$A$1,D462=Plano!$B$1),"entrada","saída"))</f>
        <v>saída</v>
      </c>
      <c r="T462" s="332" t="s">
        <v>114</v>
      </c>
      <c r="U462" s="332" t="s">
        <v>114</v>
      </c>
      <c r="V462" s="269"/>
      <c r="W462" s="269"/>
      <c r="X462" s="269"/>
      <c r="Y462" s="269"/>
      <c r="Z462" s="269"/>
      <c r="AA462" s="269"/>
      <c r="AB462" s="269"/>
      <c r="AC462" s="269"/>
      <c r="AD462" s="269"/>
      <c r="AE462" s="269"/>
      <c r="AF462" s="269"/>
      <c r="AG462" s="269"/>
      <c r="AH462" s="269"/>
      <c r="AI462" s="269"/>
      <c r="AJ462" s="269"/>
      <c r="AK462" s="269"/>
      <c r="AL462" s="269"/>
      <c r="AM462" s="269"/>
    </row>
    <row r="463" spans="1:39" ht="80.25" customHeight="1" x14ac:dyDescent="0.2">
      <c r="A463" s="277">
        <f>IF(B463="","",COUNT('Diário 5º PA'!$A$5:$A$2634)+COUNT('Diário 6º PA'!$A$5:$A$2246)+ROW()-4)</f>
        <v>3002</v>
      </c>
      <c r="B463" s="278">
        <v>44412</v>
      </c>
      <c r="C463" s="335">
        <v>44378</v>
      </c>
      <c r="D463" s="255" t="s">
        <v>104</v>
      </c>
      <c r="E463" s="255" t="s">
        <v>104</v>
      </c>
      <c r="F463" s="258">
        <v>760</v>
      </c>
      <c r="G463" s="450" t="s">
        <v>1701</v>
      </c>
      <c r="H463" s="250" t="s">
        <v>104</v>
      </c>
      <c r="I463" s="250" t="s">
        <v>1702</v>
      </c>
      <c r="J463" s="255" t="s">
        <v>1703</v>
      </c>
      <c r="K463" s="255" t="s">
        <v>1015</v>
      </c>
      <c r="L463" s="250" t="s">
        <v>1016</v>
      </c>
      <c r="M463" s="336">
        <v>5238</v>
      </c>
      <c r="N463" s="278">
        <v>44384</v>
      </c>
      <c r="O463" s="329" t="s">
        <v>69</v>
      </c>
      <c r="P463" s="330">
        <f t="shared" si="22"/>
        <v>8</v>
      </c>
      <c r="Q463" s="330">
        <f t="shared" si="23"/>
        <v>7</v>
      </c>
      <c r="R463" s="331" t="str">
        <f t="shared" si="24"/>
        <v>Gastos_custeados_por_captação</v>
      </c>
      <c r="S463" s="331" t="str">
        <f>IF(D463="","",IF(OR(D463=Plano!$A$1,D463=Plano!$B$1),"entrada","saída"))</f>
        <v>saída</v>
      </c>
      <c r="T463" s="332" t="s">
        <v>114</v>
      </c>
      <c r="U463" s="332" t="s">
        <v>114</v>
      </c>
      <c r="V463" s="269"/>
      <c r="W463" s="269"/>
      <c r="X463" s="269"/>
      <c r="Y463" s="269"/>
      <c r="Z463" s="269"/>
      <c r="AA463" s="269"/>
      <c r="AB463" s="269"/>
      <c r="AC463" s="269"/>
      <c r="AD463" s="269"/>
      <c r="AE463" s="269"/>
      <c r="AF463" s="269"/>
      <c r="AG463" s="269"/>
      <c r="AH463" s="269"/>
      <c r="AI463" s="269"/>
      <c r="AJ463" s="269"/>
      <c r="AK463" s="269"/>
      <c r="AL463" s="269"/>
      <c r="AM463" s="269"/>
    </row>
    <row r="464" spans="1:39" ht="141" customHeight="1" x14ac:dyDescent="0.2">
      <c r="A464" s="277">
        <f>IF(B464="","",COUNT('Diário 5º PA'!$A$5:$A$2634)+COUNT('Diário 6º PA'!$A$5:$A$2246)+ROW()-4)</f>
        <v>3003</v>
      </c>
      <c r="B464" s="278">
        <v>44412</v>
      </c>
      <c r="C464" s="249">
        <v>44348</v>
      </c>
      <c r="D464" s="250" t="s">
        <v>104</v>
      </c>
      <c r="E464" s="250" t="s">
        <v>104</v>
      </c>
      <c r="F464" s="251">
        <v>396.7</v>
      </c>
      <c r="G464" s="452" t="s">
        <v>1704</v>
      </c>
      <c r="H464" s="250" t="s">
        <v>104</v>
      </c>
      <c r="I464" s="250" t="s">
        <v>1705</v>
      </c>
      <c r="J464" s="250" t="s">
        <v>1706</v>
      </c>
      <c r="K464" s="255" t="s">
        <v>1015</v>
      </c>
      <c r="L464" s="250" t="s">
        <v>1016</v>
      </c>
      <c r="M464" s="277" t="s">
        <v>1707</v>
      </c>
      <c r="N464" s="278">
        <v>44411</v>
      </c>
      <c r="O464" s="329" t="s">
        <v>70</v>
      </c>
      <c r="P464" s="330">
        <f t="shared" si="22"/>
        <v>8</v>
      </c>
      <c r="Q464" s="330">
        <f t="shared" si="23"/>
        <v>6</v>
      </c>
      <c r="R464" s="331" t="str">
        <f t="shared" si="24"/>
        <v>Gastos_custeados_por_captação</v>
      </c>
      <c r="S464" s="331" t="str">
        <f>IF(D464="","",IF(OR(D464=Plano!$A$1,D464=Plano!$B$1),"entrada","saída"))</f>
        <v>saída</v>
      </c>
      <c r="T464" s="332" t="s">
        <v>994</v>
      </c>
      <c r="U464" s="332">
        <v>1715</v>
      </c>
      <c r="V464" s="269"/>
      <c r="W464" s="269"/>
      <c r="X464" s="269"/>
      <c r="Y464" s="269"/>
      <c r="Z464" s="269"/>
      <c r="AA464" s="269"/>
      <c r="AB464" s="269"/>
      <c r="AC464" s="269"/>
      <c r="AD464" s="269"/>
      <c r="AE464" s="269"/>
      <c r="AF464" s="269"/>
      <c r="AG464" s="269"/>
      <c r="AH464" s="269"/>
      <c r="AI464" s="269"/>
      <c r="AJ464" s="269"/>
      <c r="AK464" s="269"/>
      <c r="AL464" s="269"/>
      <c r="AM464" s="269"/>
    </row>
    <row r="465" spans="1:39" ht="168" customHeight="1" x14ac:dyDescent="0.2">
      <c r="A465" s="277">
        <f>IF(B465="","",COUNT('Diário 5º PA'!$A$5:$A$2634)+COUNT('Diário 6º PA'!$A$5:$A$2246)+ROW()-4)</f>
        <v>3004</v>
      </c>
      <c r="B465" s="278">
        <v>44413</v>
      </c>
      <c r="C465" s="256">
        <v>44378</v>
      </c>
      <c r="D465" s="255" t="s">
        <v>99</v>
      </c>
      <c r="E465" s="255" t="s">
        <v>262</v>
      </c>
      <c r="F465" s="257">
        <v>-924.35</v>
      </c>
      <c r="G465" s="451" t="s">
        <v>1708</v>
      </c>
      <c r="H465" s="255" t="s">
        <v>115</v>
      </c>
      <c r="I465" s="250" t="s">
        <v>983</v>
      </c>
      <c r="J465" s="255" t="s">
        <v>850</v>
      </c>
      <c r="K465" s="255" t="s">
        <v>1069</v>
      </c>
      <c r="L465" s="250" t="s">
        <v>947</v>
      </c>
      <c r="M465" s="277" t="s">
        <v>114</v>
      </c>
      <c r="N465" s="278">
        <v>44413</v>
      </c>
      <c r="O465" s="329" t="s">
        <v>67</v>
      </c>
      <c r="P465" s="330">
        <f t="shared" si="22"/>
        <v>8</v>
      </c>
      <c r="Q465" s="330">
        <f t="shared" si="23"/>
        <v>7</v>
      </c>
      <c r="R465" s="331" t="str">
        <f t="shared" si="24"/>
        <v>Gastos_Gerais</v>
      </c>
      <c r="S465" s="331" t="str">
        <f>IF(D465="","",IF(OR(D465=Plano!$A$1,D465=Plano!$B$1),"entrada","saída"))</f>
        <v>saída</v>
      </c>
      <c r="T465" s="332" t="s">
        <v>114</v>
      </c>
      <c r="U465" s="332" t="s">
        <v>114</v>
      </c>
      <c r="V465" s="269"/>
      <c r="W465" s="269"/>
      <c r="X465" s="269"/>
      <c r="Y465" s="269"/>
      <c r="Z465" s="269"/>
      <c r="AA465" s="269"/>
      <c r="AB465" s="269"/>
      <c r="AC465" s="269"/>
      <c r="AD465" s="269"/>
      <c r="AE465" s="269"/>
      <c r="AF465" s="269"/>
      <c r="AG465" s="269"/>
      <c r="AH465" s="269"/>
      <c r="AI465" s="269"/>
      <c r="AJ465" s="269"/>
      <c r="AK465" s="269"/>
      <c r="AL465" s="269"/>
      <c r="AM465" s="269"/>
    </row>
    <row r="466" spans="1:39" ht="84" customHeight="1" x14ac:dyDescent="0.2">
      <c r="A466" s="277">
        <f>IF(B466="","",COUNT('Diário 5º PA'!$A$5:$A$2634)+COUNT('Diário 6º PA'!$A$5:$A$2246)+ROW()-4)</f>
        <v>3005</v>
      </c>
      <c r="B466" s="278">
        <v>44413</v>
      </c>
      <c r="C466" s="256">
        <v>44378</v>
      </c>
      <c r="D466" s="255" t="s">
        <v>99</v>
      </c>
      <c r="E466" s="255" t="s">
        <v>262</v>
      </c>
      <c r="F466" s="257">
        <v>-2218.44</v>
      </c>
      <c r="G466" s="451" t="s">
        <v>1709</v>
      </c>
      <c r="H466" s="255" t="s">
        <v>115</v>
      </c>
      <c r="I466" s="250" t="s">
        <v>983</v>
      </c>
      <c r="J466" s="255" t="s">
        <v>850</v>
      </c>
      <c r="K466" s="255" t="s">
        <v>1069</v>
      </c>
      <c r="L466" s="250" t="s">
        <v>947</v>
      </c>
      <c r="M466" s="277" t="s">
        <v>114</v>
      </c>
      <c r="N466" s="278">
        <v>44413</v>
      </c>
      <c r="O466" s="329" t="s">
        <v>67</v>
      </c>
      <c r="P466" s="330">
        <f t="shared" si="22"/>
        <v>8</v>
      </c>
      <c r="Q466" s="330">
        <f t="shared" si="23"/>
        <v>7</v>
      </c>
      <c r="R466" s="331" t="str">
        <f t="shared" si="24"/>
        <v>Gastos_Gerais</v>
      </c>
      <c r="S466" s="331" t="str">
        <f>IF(D466="","",IF(OR(D466=Plano!$A$1,D466=Plano!$B$1),"entrada","saída"))</f>
        <v>saída</v>
      </c>
      <c r="T466" s="332" t="s">
        <v>114</v>
      </c>
      <c r="U466" s="332" t="s">
        <v>114</v>
      </c>
      <c r="V466" s="269"/>
      <c r="W466" s="269"/>
      <c r="X466" s="269"/>
      <c r="Y466" s="269"/>
      <c r="Z466" s="269"/>
      <c r="AA466" s="269"/>
      <c r="AB466" s="269"/>
      <c r="AC466" s="269"/>
      <c r="AD466" s="269"/>
      <c r="AE466" s="269"/>
      <c r="AF466" s="269"/>
      <c r="AG466" s="269"/>
      <c r="AH466" s="269"/>
      <c r="AI466" s="269"/>
      <c r="AJ466" s="269"/>
      <c r="AK466" s="269"/>
      <c r="AL466" s="269"/>
      <c r="AM466" s="269"/>
    </row>
    <row r="467" spans="1:39" ht="82.5" customHeight="1" x14ac:dyDescent="0.2">
      <c r="A467" s="277">
        <f>IF(B467="","",COUNT('Diário 5º PA'!$A$5:$A$2634)+COUNT('Diário 6º PA'!$A$5:$A$2246)+ROW()-4)</f>
        <v>3006</v>
      </c>
      <c r="B467" s="278">
        <v>44413</v>
      </c>
      <c r="C467" s="256">
        <v>44378</v>
      </c>
      <c r="D467" s="255" t="s">
        <v>99</v>
      </c>
      <c r="E467" s="255" t="s">
        <v>230</v>
      </c>
      <c r="F467" s="257">
        <v>-1741.71</v>
      </c>
      <c r="G467" s="451" t="s">
        <v>1710</v>
      </c>
      <c r="H467" s="255" t="s">
        <v>115</v>
      </c>
      <c r="I467" s="250" t="s">
        <v>983</v>
      </c>
      <c r="J467" s="255" t="s">
        <v>850</v>
      </c>
      <c r="K467" s="255" t="s">
        <v>1069</v>
      </c>
      <c r="L467" s="250" t="s">
        <v>947</v>
      </c>
      <c r="M467" s="277" t="s">
        <v>114</v>
      </c>
      <c r="N467" s="278">
        <v>44413</v>
      </c>
      <c r="O467" s="329" t="s">
        <v>67</v>
      </c>
      <c r="P467" s="330">
        <f t="shared" si="22"/>
        <v>8</v>
      </c>
      <c r="Q467" s="330">
        <f t="shared" si="23"/>
        <v>7</v>
      </c>
      <c r="R467" s="331" t="str">
        <f t="shared" si="24"/>
        <v>Gastos_Gerais</v>
      </c>
      <c r="S467" s="331" t="str">
        <f>IF(D467="","",IF(OR(D467=Plano!$A$1,D467=Plano!$B$1),"entrada","saída"))</f>
        <v>saída</v>
      </c>
      <c r="T467" s="332" t="s">
        <v>114</v>
      </c>
      <c r="U467" s="332" t="s">
        <v>114</v>
      </c>
      <c r="V467" s="269"/>
      <c r="W467" s="269"/>
      <c r="X467" s="269"/>
      <c r="Y467" s="269"/>
      <c r="Z467" s="269"/>
      <c r="AA467" s="269"/>
      <c r="AB467" s="269"/>
      <c r="AC467" s="269"/>
      <c r="AD467" s="269"/>
      <c r="AE467" s="269"/>
      <c r="AF467" s="269"/>
      <c r="AG467" s="269"/>
      <c r="AH467" s="269"/>
      <c r="AI467" s="269"/>
      <c r="AJ467" s="269"/>
      <c r="AK467" s="269"/>
      <c r="AL467" s="269"/>
      <c r="AM467" s="269"/>
    </row>
    <row r="468" spans="1:39" ht="84.75" customHeight="1" x14ac:dyDescent="0.2">
      <c r="A468" s="277">
        <f>IF(B468="","",COUNT('Diário 5º PA'!$A$5:$A$2634)+COUNT('Diário 6º PA'!$A$5:$A$2246)+ROW()-4)</f>
        <v>3007</v>
      </c>
      <c r="B468" s="278">
        <v>44413</v>
      </c>
      <c r="C468" s="256">
        <v>44378</v>
      </c>
      <c r="D468" s="255" t="s">
        <v>99</v>
      </c>
      <c r="E468" s="255" t="s">
        <v>228</v>
      </c>
      <c r="F468" s="257">
        <v>-2244.85</v>
      </c>
      <c r="G468" s="451" t="s">
        <v>1711</v>
      </c>
      <c r="H468" s="255" t="s">
        <v>115</v>
      </c>
      <c r="I468" s="250" t="s">
        <v>983</v>
      </c>
      <c r="J468" s="255" t="s">
        <v>850</v>
      </c>
      <c r="K468" s="255" t="s">
        <v>1069</v>
      </c>
      <c r="L468" s="250" t="s">
        <v>947</v>
      </c>
      <c r="M468" s="277" t="s">
        <v>114</v>
      </c>
      <c r="N468" s="278">
        <v>44413</v>
      </c>
      <c r="O468" s="329" t="s">
        <v>67</v>
      </c>
      <c r="P468" s="330">
        <f t="shared" si="22"/>
        <v>8</v>
      </c>
      <c r="Q468" s="330">
        <f t="shared" si="23"/>
        <v>7</v>
      </c>
      <c r="R468" s="331" t="str">
        <f t="shared" si="24"/>
        <v>Gastos_Gerais</v>
      </c>
      <c r="S468" s="331" t="str">
        <f>IF(D468="","",IF(OR(D468=Plano!$A$1,D468=Plano!$B$1),"entrada","saída"))</f>
        <v>saída</v>
      </c>
      <c r="T468" s="332" t="s">
        <v>114</v>
      </c>
      <c r="U468" s="332" t="s">
        <v>114</v>
      </c>
      <c r="V468" s="269"/>
      <c r="W468" s="269"/>
      <c r="X468" s="269"/>
      <c r="Y468" s="269"/>
      <c r="Z468" s="269"/>
      <c r="AA468" s="269"/>
      <c r="AB468" s="269"/>
      <c r="AC468" s="269"/>
      <c r="AD468" s="269"/>
      <c r="AE468" s="269"/>
      <c r="AF468" s="269"/>
      <c r="AG468" s="269"/>
      <c r="AH468" s="269"/>
      <c r="AI468" s="269"/>
      <c r="AJ468" s="269"/>
      <c r="AK468" s="269"/>
      <c r="AL468" s="269"/>
      <c r="AM468" s="269"/>
    </row>
    <row r="469" spans="1:39" ht="162.75" customHeight="1" x14ac:dyDescent="0.2">
      <c r="A469" s="277">
        <f>IF(B469="","",COUNT('Diário 5º PA'!$A$5:$A$2634)+COUNT('Diário 6º PA'!$A$5:$A$2246)+ROW()-4)</f>
        <v>3008</v>
      </c>
      <c r="B469" s="278">
        <v>44413</v>
      </c>
      <c r="C469" s="249">
        <v>44348</v>
      </c>
      <c r="D469" s="250" t="s">
        <v>99</v>
      </c>
      <c r="E469" s="250" t="s">
        <v>358</v>
      </c>
      <c r="F469" s="251">
        <v>430</v>
      </c>
      <c r="G469" s="452" t="s">
        <v>1712</v>
      </c>
      <c r="H469" s="250" t="s">
        <v>128</v>
      </c>
      <c r="I469" s="250" t="s">
        <v>1713</v>
      </c>
      <c r="J469" s="250" t="s">
        <v>1714</v>
      </c>
      <c r="K469" s="255" t="s">
        <v>1015</v>
      </c>
      <c r="L469" s="250" t="s">
        <v>1029</v>
      </c>
      <c r="M469" s="277">
        <v>1265</v>
      </c>
      <c r="N469" s="278">
        <v>44412</v>
      </c>
      <c r="O469" s="329" t="s">
        <v>67</v>
      </c>
      <c r="P469" s="330">
        <f t="shared" si="22"/>
        <v>8</v>
      </c>
      <c r="Q469" s="330">
        <f t="shared" si="23"/>
        <v>6</v>
      </c>
      <c r="R469" s="331" t="str">
        <f t="shared" si="24"/>
        <v>Gastos_Gerais</v>
      </c>
      <c r="S469" s="331" t="str">
        <f>IF(D469="","",IF(OR(D469=Plano!$A$1,D469=Plano!$B$1),"entrada","saída"))</f>
        <v>saída</v>
      </c>
      <c r="T469" s="334" t="s">
        <v>994</v>
      </c>
      <c r="U469" s="334">
        <v>1657</v>
      </c>
      <c r="V469" s="269"/>
      <c r="W469" s="269"/>
      <c r="X469" s="269"/>
      <c r="Y469" s="269"/>
      <c r="Z469" s="269"/>
      <c r="AA469" s="269"/>
      <c r="AB469" s="269"/>
      <c r="AC469" s="269"/>
      <c r="AD469" s="269"/>
      <c r="AE469" s="269"/>
      <c r="AF469" s="269"/>
      <c r="AG469" s="269"/>
      <c r="AH469" s="269"/>
      <c r="AI469" s="269"/>
      <c r="AJ469" s="269"/>
      <c r="AK469" s="269"/>
      <c r="AL469" s="269"/>
      <c r="AM469" s="269"/>
    </row>
    <row r="470" spans="1:39" ht="180" customHeight="1" x14ac:dyDescent="0.2">
      <c r="A470" s="277">
        <f>IF(B470="","",COUNT('Diário 5º PA'!$A$5:$A$2634)+COUNT('Diário 6º PA'!$A$5:$A$2246)+ROW()-4)</f>
        <v>3009</v>
      </c>
      <c r="B470" s="278">
        <v>44413</v>
      </c>
      <c r="C470" s="249">
        <v>44409</v>
      </c>
      <c r="D470" s="250" t="s">
        <v>99</v>
      </c>
      <c r="E470" s="250" t="s">
        <v>372</v>
      </c>
      <c r="F470" s="251">
        <v>2500</v>
      </c>
      <c r="G470" s="452" t="s">
        <v>471</v>
      </c>
      <c r="H470" s="250" t="s">
        <v>129</v>
      </c>
      <c r="I470" s="252" t="s">
        <v>1285</v>
      </c>
      <c r="J470" s="250" t="s">
        <v>473</v>
      </c>
      <c r="K470" s="255" t="s">
        <v>991</v>
      </c>
      <c r="L470" s="250" t="s">
        <v>992</v>
      </c>
      <c r="M470" s="277">
        <v>126</v>
      </c>
      <c r="N470" s="278">
        <v>44411</v>
      </c>
      <c r="O470" s="329" t="s">
        <v>67</v>
      </c>
      <c r="P470" s="330">
        <f t="shared" si="22"/>
        <v>8</v>
      </c>
      <c r="Q470" s="330">
        <f t="shared" si="23"/>
        <v>8</v>
      </c>
      <c r="R470" s="331" t="str">
        <f t="shared" si="24"/>
        <v>Gastos_Gerais</v>
      </c>
      <c r="S470" s="331" t="str">
        <f>IF(D470="","",IF(OR(D470=Plano!$A$1,D470=Plano!$B$1),"entrada","saída"))</f>
        <v>saída</v>
      </c>
      <c r="T470" s="334" t="s">
        <v>1059</v>
      </c>
      <c r="U470" s="334">
        <v>1275</v>
      </c>
      <c r="V470" s="269"/>
      <c r="W470" s="269"/>
      <c r="X470" s="269"/>
      <c r="Y470" s="269"/>
      <c r="Z470" s="269"/>
      <c r="AA470" s="269"/>
      <c r="AB470" s="269"/>
      <c r="AC470" s="269"/>
      <c r="AD470" s="269"/>
      <c r="AE470" s="269"/>
      <c r="AF470" s="269"/>
      <c r="AG470" s="269"/>
      <c r="AH470" s="269"/>
      <c r="AI470" s="269"/>
      <c r="AJ470" s="269"/>
      <c r="AK470" s="269"/>
      <c r="AL470" s="269"/>
      <c r="AM470" s="269"/>
    </row>
    <row r="471" spans="1:39" ht="233.25" customHeight="1" x14ac:dyDescent="0.2">
      <c r="A471" s="277">
        <f>IF(B471="","",COUNT('Diário 5º PA'!$A$5:$A$2634)+COUNT('Diário 6º PA'!$A$5:$A$2246)+ROW()-4)</f>
        <v>3010</v>
      </c>
      <c r="B471" s="278">
        <v>44413</v>
      </c>
      <c r="C471" s="249">
        <v>44378</v>
      </c>
      <c r="D471" s="250" t="s">
        <v>99</v>
      </c>
      <c r="E471" s="250" t="s">
        <v>330</v>
      </c>
      <c r="F471" s="251">
        <v>1260</v>
      </c>
      <c r="G471" s="452" t="s">
        <v>574</v>
      </c>
      <c r="H471" s="250" t="s">
        <v>128</v>
      </c>
      <c r="I471" s="252" t="s">
        <v>1354</v>
      </c>
      <c r="J471" s="250" t="s">
        <v>576</v>
      </c>
      <c r="K471" s="255" t="s">
        <v>991</v>
      </c>
      <c r="L471" s="250" t="s">
        <v>1029</v>
      </c>
      <c r="M471" s="277">
        <v>1262</v>
      </c>
      <c r="N471" s="278">
        <v>44411</v>
      </c>
      <c r="O471" s="329" t="s">
        <v>67</v>
      </c>
      <c r="P471" s="330">
        <f t="shared" si="22"/>
        <v>8</v>
      </c>
      <c r="Q471" s="330">
        <f t="shared" si="23"/>
        <v>7</v>
      </c>
      <c r="R471" s="331" t="str">
        <f t="shared" si="24"/>
        <v>Gastos_Gerais</v>
      </c>
      <c r="S471" s="331" t="str">
        <f>IF(D471="","",IF(OR(D471=Plano!$A$1,D471=Plano!$B$1),"entrada","saída"))</f>
        <v>saída</v>
      </c>
      <c r="T471" s="334" t="s">
        <v>1059</v>
      </c>
      <c r="U471" s="334">
        <v>1350</v>
      </c>
      <c r="V471" s="269"/>
      <c r="W471" s="269"/>
      <c r="X471" s="269"/>
      <c r="Y471" s="269"/>
      <c r="Z471" s="269"/>
      <c r="AA471" s="269"/>
      <c r="AB471" s="269"/>
      <c r="AC471" s="269"/>
      <c r="AD471" s="269"/>
      <c r="AE471" s="269"/>
      <c r="AF471" s="269"/>
      <c r="AG471" s="269"/>
      <c r="AH471" s="269"/>
      <c r="AI471" s="269"/>
      <c r="AJ471" s="269"/>
      <c r="AK471" s="269"/>
      <c r="AL471" s="269"/>
      <c r="AM471" s="269"/>
    </row>
    <row r="472" spans="1:39" ht="181.5" customHeight="1" x14ac:dyDescent="0.2">
      <c r="A472" s="277">
        <f>IF(B472="","",COUNT('Diário 5º PA'!$A$5:$A$2634)+COUNT('Diário 6º PA'!$A$5:$A$2246)+ROW()-4)</f>
        <v>3011</v>
      </c>
      <c r="B472" s="278">
        <v>44413</v>
      </c>
      <c r="C472" s="249">
        <v>44409</v>
      </c>
      <c r="D472" s="250" t="s">
        <v>99</v>
      </c>
      <c r="E472" s="250" t="s">
        <v>262</v>
      </c>
      <c r="F472" s="251">
        <v>3920</v>
      </c>
      <c r="G472" s="452" t="s">
        <v>468</v>
      </c>
      <c r="H472" s="250" t="s">
        <v>124</v>
      </c>
      <c r="I472" s="252" t="s">
        <v>1295</v>
      </c>
      <c r="J472" s="250" t="s">
        <v>470</v>
      </c>
      <c r="K472" s="255" t="s">
        <v>991</v>
      </c>
      <c r="L472" s="250" t="s">
        <v>992</v>
      </c>
      <c r="M472" s="277" t="s">
        <v>1049</v>
      </c>
      <c r="N472" s="278">
        <v>44411</v>
      </c>
      <c r="O472" s="353" t="s">
        <v>67</v>
      </c>
      <c r="P472" s="330">
        <f t="shared" si="22"/>
        <v>8</v>
      </c>
      <c r="Q472" s="330">
        <f t="shared" si="23"/>
        <v>8</v>
      </c>
      <c r="R472" s="331" t="str">
        <f t="shared" si="24"/>
        <v>Gastos_Gerais</v>
      </c>
      <c r="S472" s="331" t="str">
        <f>IF(D472="","",IF(OR(D472=Plano!$A$1,D472=Plano!$B$1),"entrada","saída"))</f>
        <v>saída</v>
      </c>
      <c r="T472" s="334" t="s">
        <v>1059</v>
      </c>
      <c r="U472" s="334">
        <v>1269</v>
      </c>
      <c r="V472" s="269"/>
      <c r="W472" s="269"/>
      <c r="X472" s="269"/>
      <c r="Y472" s="269"/>
      <c r="Z472" s="269"/>
      <c r="AA472" s="269"/>
      <c r="AB472" s="269"/>
      <c r="AC472" s="269"/>
      <c r="AD472" s="269"/>
      <c r="AE472" s="269"/>
      <c r="AF472" s="269"/>
      <c r="AG472" s="269"/>
      <c r="AH472" s="269"/>
      <c r="AI472" s="269"/>
      <c r="AJ472" s="269"/>
      <c r="AK472" s="269"/>
      <c r="AL472" s="269"/>
      <c r="AM472" s="269"/>
    </row>
    <row r="473" spans="1:39" ht="136.5" customHeight="1" x14ac:dyDescent="0.2">
      <c r="A473" s="277">
        <f>IF(B473="","",COUNT('Diário 5º PA'!$A$5:$A$2634)+COUNT('Diário 6º PA'!$A$5:$A$2246)+ROW()-4)</f>
        <v>3012</v>
      </c>
      <c r="B473" s="278">
        <v>44413</v>
      </c>
      <c r="C473" s="249">
        <v>44378</v>
      </c>
      <c r="D473" s="250" t="s">
        <v>99</v>
      </c>
      <c r="E473" s="250" t="s">
        <v>262</v>
      </c>
      <c r="F473" s="251">
        <v>8231.16</v>
      </c>
      <c r="G473" s="451" t="s">
        <v>621</v>
      </c>
      <c r="H473" s="252" t="s">
        <v>115</v>
      </c>
      <c r="I473" s="252" t="s">
        <v>1078</v>
      </c>
      <c r="J473" s="250" t="s">
        <v>623</v>
      </c>
      <c r="K473" s="255" t="s">
        <v>991</v>
      </c>
      <c r="L473" s="250" t="s">
        <v>992</v>
      </c>
      <c r="M473" s="277" t="s">
        <v>1715</v>
      </c>
      <c r="N473" s="278">
        <v>44411</v>
      </c>
      <c r="O473" s="329" t="s">
        <v>67</v>
      </c>
      <c r="P473" s="330">
        <f t="shared" si="22"/>
        <v>8</v>
      </c>
      <c r="Q473" s="330">
        <f t="shared" si="23"/>
        <v>7</v>
      </c>
      <c r="R473" s="331" t="str">
        <f t="shared" si="24"/>
        <v>Gastos_Gerais</v>
      </c>
      <c r="S473" s="331" t="str">
        <f>IF(D473="","",IF(OR(D473=Plano!$A$1,D473=Plano!$B$1),"entrada","saída"))</f>
        <v>saída</v>
      </c>
      <c r="T473" s="334" t="s">
        <v>1059</v>
      </c>
      <c r="U473" s="334">
        <v>1134</v>
      </c>
      <c r="V473" s="269"/>
      <c r="W473" s="269"/>
      <c r="X473" s="269"/>
      <c r="Y473" s="269"/>
      <c r="Z473" s="269"/>
      <c r="AA473" s="269"/>
      <c r="AB473" s="269"/>
      <c r="AC473" s="269"/>
      <c r="AD473" s="269"/>
      <c r="AE473" s="269"/>
      <c r="AF473" s="269"/>
      <c r="AG473" s="269"/>
      <c r="AH473" s="269"/>
      <c r="AI473" s="269"/>
      <c r="AJ473" s="269"/>
      <c r="AK473" s="269"/>
      <c r="AL473" s="269"/>
      <c r="AM473" s="269"/>
    </row>
    <row r="474" spans="1:39" ht="123.75" customHeight="1" x14ac:dyDescent="0.2">
      <c r="A474" s="277">
        <f>IF(B474="","",COUNT('Diário 5º PA'!$A$5:$A$2634)+COUNT('Diário 6º PA'!$A$5:$A$2246)+ROW()-4)</f>
        <v>3013</v>
      </c>
      <c r="B474" s="278">
        <v>44413</v>
      </c>
      <c r="C474" s="249">
        <v>44378</v>
      </c>
      <c r="D474" s="250" t="s">
        <v>99</v>
      </c>
      <c r="E474" s="250" t="s">
        <v>262</v>
      </c>
      <c r="F474" s="251">
        <v>3429.65</v>
      </c>
      <c r="G474" s="452" t="s">
        <v>1716</v>
      </c>
      <c r="H474" s="250" t="s">
        <v>115</v>
      </c>
      <c r="I474" s="252" t="s">
        <v>1717</v>
      </c>
      <c r="J474" s="250" t="s">
        <v>627</v>
      </c>
      <c r="K474" s="255" t="s">
        <v>991</v>
      </c>
      <c r="L474" s="250" t="s">
        <v>992</v>
      </c>
      <c r="M474" s="277" t="s">
        <v>1718</v>
      </c>
      <c r="N474" s="278">
        <v>44410</v>
      </c>
      <c r="O474" s="329" t="s">
        <v>67</v>
      </c>
      <c r="P474" s="330">
        <f t="shared" si="22"/>
        <v>8</v>
      </c>
      <c r="Q474" s="330">
        <f t="shared" si="23"/>
        <v>7</v>
      </c>
      <c r="R474" s="331" t="str">
        <f t="shared" si="24"/>
        <v>Gastos_Gerais</v>
      </c>
      <c r="S474" s="331" t="str">
        <f>IF(D474="","",IF(OR(D474=Plano!$A$1,D474=Plano!$B$1),"entrada","saída"))</f>
        <v>saída</v>
      </c>
      <c r="T474" s="334" t="s">
        <v>1059</v>
      </c>
      <c r="U474" s="334">
        <v>1458</v>
      </c>
      <c r="V474" s="269"/>
      <c r="W474" s="269"/>
      <c r="X474" s="269"/>
      <c r="Y474" s="269"/>
      <c r="Z474" s="269"/>
      <c r="AA474" s="269"/>
      <c r="AB474" s="269"/>
      <c r="AC474" s="269"/>
      <c r="AD474" s="269"/>
      <c r="AE474" s="269"/>
      <c r="AF474" s="269"/>
      <c r="AG474" s="269"/>
      <c r="AH474" s="269"/>
      <c r="AI474" s="269"/>
      <c r="AJ474" s="269"/>
      <c r="AK474" s="269"/>
      <c r="AL474" s="269"/>
      <c r="AM474" s="269"/>
    </row>
    <row r="475" spans="1:39" ht="100.5" customHeight="1" x14ac:dyDescent="0.2">
      <c r="A475" s="277">
        <f>IF(B475="","",COUNT('Diário 5º PA'!$A$5:$A$2634)+COUNT('Diário 6º PA'!$A$5:$A$2246)+ROW()-4)</f>
        <v>3014</v>
      </c>
      <c r="B475" s="278">
        <v>44413</v>
      </c>
      <c r="C475" s="249">
        <v>44378</v>
      </c>
      <c r="D475" s="250" t="s">
        <v>99</v>
      </c>
      <c r="E475" s="250" t="s">
        <v>228</v>
      </c>
      <c r="F475" s="251">
        <v>7977.25</v>
      </c>
      <c r="G475" s="452" t="s">
        <v>492</v>
      </c>
      <c r="H475" s="250" t="s">
        <v>115</v>
      </c>
      <c r="I475" s="252" t="s">
        <v>493</v>
      </c>
      <c r="J475" s="250" t="s">
        <v>494</v>
      </c>
      <c r="K475" s="255" t="s">
        <v>991</v>
      </c>
      <c r="L475" s="250" t="s">
        <v>1016</v>
      </c>
      <c r="M475" s="277" t="s">
        <v>1719</v>
      </c>
      <c r="N475" s="278">
        <v>44392</v>
      </c>
      <c r="O475" s="329" t="s">
        <v>67</v>
      </c>
      <c r="P475" s="330">
        <f t="shared" si="22"/>
        <v>8</v>
      </c>
      <c r="Q475" s="330">
        <f t="shared" si="23"/>
        <v>7</v>
      </c>
      <c r="R475" s="331" t="str">
        <f t="shared" si="24"/>
        <v>Gastos_Gerais</v>
      </c>
      <c r="S475" s="331" t="str">
        <f>IF(D475="","",IF(OR(D475=Plano!$A$1,D475=Plano!$B$1),"entrada","saída"))</f>
        <v>saída</v>
      </c>
      <c r="T475" s="334" t="s">
        <v>1059</v>
      </c>
      <c r="U475" s="334">
        <v>1114</v>
      </c>
      <c r="V475" s="269"/>
      <c r="W475" s="269"/>
      <c r="X475" s="269"/>
      <c r="Y475" s="269"/>
      <c r="Z475" s="269"/>
      <c r="AA475" s="269"/>
      <c r="AB475" s="269"/>
      <c r="AC475" s="269"/>
      <c r="AD475" s="269"/>
      <c r="AE475" s="269"/>
      <c r="AF475" s="269"/>
      <c r="AG475" s="269"/>
      <c r="AH475" s="269"/>
      <c r="AI475" s="269"/>
      <c r="AJ475" s="269"/>
      <c r="AK475" s="269"/>
      <c r="AL475" s="269"/>
      <c r="AM475" s="269"/>
    </row>
    <row r="476" spans="1:39" ht="57.75" customHeight="1" x14ac:dyDescent="0.2">
      <c r="A476" s="277">
        <f>IF(B476="","",COUNT('Diário 5º PA'!$A$5:$A$2634)+COUNT('Diário 6º PA'!$A$5:$A$2246)+ROW()-4)</f>
        <v>3015</v>
      </c>
      <c r="B476" s="278">
        <v>44413</v>
      </c>
      <c r="C476" s="249">
        <v>44378</v>
      </c>
      <c r="D476" s="250" t="s">
        <v>99</v>
      </c>
      <c r="E476" s="250" t="s">
        <v>330</v>
      </c>
      <c r="F476" s="251">
        <v>19905.97</v>
      </c>
      <c r="G476" s="452" t="s">
        <v>1720</v>
      </c>
      <c r="H476" s="250" t="s">
        <v>129</v>
      </c>
      <c r="I476" s="252" t="s">
        <v>558</v>
      </c>
      <c r="J476" s="250" t="s">
        <v>559</v>
      </c>
      <c r="K476" s="250" t="s">
        <v>560</v>
      </c>
      <c r="L476" s="250" t="s">
        <v>114</v>
      </c>
      <c r="M476" s="277" t="s">
        <v>114</v>
      </c>
      <c r="N476" s="278">
        <v>44413</v>
      </c>
      <c r="O476" s="329" t="s">
        <v>67</v>
      </c>
      <c r="P476" s="330">
        <f t="shared" si="22"/>
        <v>8</v>
      </c>
      <c r="Q476" s="330">
        <f t="shared" si="23"/>
        <v>7</v>
      </c>
      <c r="R476" s="331" t="str">
        <f t="shared" si="24"/>
        <v>Gastos_Gerais</v>
      </c>
      <c r="S476" s="331" t="str">
        <f>IF(D476="","",IF(OR(D476=Plano!$A$1,D476=Plano!$B$1),"entrada","saída"))</f>
        <v>saída</v>
      </c>
      <c r="T476" s="334" t="s">
        <v>114</v>
      </c>
      <c r="U476" s="334" t="s">
        <v>114</v>
      </c>
      <c r="V476" s="269"/>
      <c r="W476" s="269"/>
      <c r="X476" s="269"/>
      <c r="Y476" s="269"/>
      <c r="Z476" s="269"/>
      <c r="AA476" s="269"/>
      <c r="AB476" s="269"/>
      <c r="AC476" s="269"/>
      <c r="AD476" s="269"/>
      <c r="AE476" s="269"/>
      <c r="AF476" s="269"/>
      <c r="AG476" s="269"/>
      <c r="AH476" s="269"/>
      <c r="AI476" s="269"/>
      <c r="AJ476" s="269"/>
      <c r="AK476" s="269"/>
      <c r="AL476" s="269"/>
      <c r="AM476" s="269"/>
    </row>
    <row r="477" spans="1:39" ht="124.5" customHeight="1" x14ac:dyDescent="0.2">
      <c r="A477" s="277">
        <f>IF(B477="","",COUNT('Diário 5º PA'!$A$5:$A$2634)+COUNT('Diário 6º PA'!$A$5:$A$2246)+ROW()-4)</f>
        <v>3016</v>
      </c>
      <c r="B477" s="278">
        <v>44413</v>
      </c>
      <c r="C477" s="249">
        <v>44409</v>
      </c>
      <c r="D477" s="250" t="s">
        <v>99</v>
      </c>
      <c r="E477" s="250" t="s">
        <v>376</v>
      </c>
      <c r="F477" s="251">
        <v>2000</v>
      </c>
      <c r="G477" s="452" t="s">
        <v>477</v>
      </c>
      <c r="H477" s="250" t="s">
        <v>124</v>
      </c>
      <c r="I477" s="252" t="s">
        <v>1293</v>
      </c>
      <c r="J477" s="250" t="s">
        <v>479</v>
      </c>
      <c r="K477" s="255" t="s">
        <v>991</v>
      </c>
      <c r="L477" s="250" t="s">
        <v>1016</v>
      </c>
      <c r="M477" s="277" t="s">
        <v>1058</v>
      </c>
      <c r="N477" s="278">
        <v>44412</v>
      </c>
      <c r="O477" s="329" t="s">
        <v>67</v>
      </c>
      <c r="P477" s="330">
        <f t="shared" si="22"/>
        <v>8</v>
      </c>
      <c r="Q477" s="330">
        <f t="shared" si="23"/>
        <v>8</v>
      </c>
      <c r="R477" s="331" t="str">
        <f t="shared" si="24"/>
        <v>Gastos_Gerais</v>
      </c>
      <c r="S477" s="331" t="str">
        <f>IF(D477="","",IF(OR(D477=Plano!$A$1,D477=Plano!$B$1),"entrada","saída"))</f>
        <v>saída</v>
      </c>
      <c r="T477" s="334" t="s">
        <v>1059</v>
      </c>
      <c r="U477" s="334">
        <v>1268</v>
      </c>
      <c r="V477" s="269"/>
      <c r="W477" s="269"/>
      <c r="X477" s="269"/>
      <c r="Y477" s="269"/>
      <c r="Z477" s="269"/>
      <c r="AA477" s="269"/>
      <c r="AB477" s="269"/>
      <c r="AC477" s="269"/>
      <c r="AD477" s="269"/>
      <c r="AE477" s="269"/>
      <c r="AF477" s="269"/>
      <c r="AG477" s="269"/>
      <c r="AH477" s="269"/>
      <c r="AI477" s="269"/>
      <c r="AJ477" s="269"/>
      <c r="AK477" s="269"/>
      <c r="AL477" s="269"/>
      <c r="AM477" s="269"/>
    </row>
    <row r="478" spans="1:39" ht="233.25" customHeight="1" x14ac:dyDescent="0.2">
      <c r="A478" s="277">
        <f>IF(B478="","",COUNT('Diário 5º PA'!$A$5:$A$2634)+COUNT('Diário 6º PA'!$A$5:$A$2246)+ROW()-4)</f>
        <v>3017</v>
      </c>
      <c r="B478" s="278">
        <v>44413</v>
      </c>
      <c r="C478" s="249">
        <v>44378</v>
      </c>
      <c r="D478" s="250" t="s">
        <v>99</v>
      </c>
      <c r="E478" s="250" t="s">
        <v>262</v>
      </c>
      <c r="F478" s="251">
        <v>2000</v>
      </c>
      <c r="G478" s="452" t="s">
        <v>462</v>
      </c>
      <c r="H478" s="250" t="s">
        <v>125</v>
      </c>
      <c r="I478" s="252" t="s">
        <v>1331</v>
      </c>
      <c r="J478" s="250" t="s">
        <v>464</v>
      </c>
      <c r="K478" s="255" t="s">
        <v>991</v>
      </c>
      <c r="L478" s="250" t="s">
        <v>1016</v>
      </c>
      <c r="M478" s="277" t="s">
        <v>1061</v>
      </c>
      <c r="N478" s="278">
        <v>44413</v>
      </c>
      <c r="O478" s="329" t="s">
        <v>67</v>
      </c>
      <c r="P478" s="330">
        <f t="shared" si="22"/>
        <v>8</v>
      </c>
      <c r="Q478" s="330">
        <f t="shared" si="23"/>
        <v>7</v>
      </c>
      <c r="R478" s="331" t="str">
        <f t="shared" si="24"/>
        <v>Gastos_Gerais</v>
      </c>
      <c r="S478" s="331" t="str">
        <f>IF(D478="","",IF(OR(D478=Plano!$A$1,D478=Plano!$B$1),"entrada","saída"))</f>
        <v>saída</v>
      </c>
      <c r="T478" s="334" t="s">
        <v>1059</v>
      </c>
      <c r="U478" s="334">
        <v>1267</v>
      </c>
      <c r="V478" s="269"/>
      <c r="W478" s="269"/>
      <c r="X478" s="269"/>
      <c r="Y478" s="269"/>
      <c r="Z478" s="269"/>
      <c r="AA478" s="269"/>
      <c r="AB478" s="269"/>
      <c r="AC478" s="269"/>
      <c r="AD478" s="269"/>
      <c r="AE478" s="269"/>
      <c r="AF478" s="269"/>
      <c r="AG478" s="269"/>
      <c r="AH478" s="269"/>
      <c r="AI478" s="269"/>
      <c r="AJ478" s="269"/>
      <c r="AK478" s="269"/>
      <c r="AL478" s="269"/>
      <c r="AM478" s="269"/>
    </row>
    <row r="479" spans="1:39" ht="228" customHeight="1" x14ac:dyDescent="0.2">
      <c r="A479" s="277">
        <f>IF(B479="","",COUNT('Diário 5º PA'!$A$5:$A$2634)+COUNT('Diário 6º PA'!$A$5:$A$2246)+ROW()-4)</f>
        <v>3018</v>
      </c>
      <c r="B479" s="278">
        <v>44413</v>
      </c>
      <c r="C479" s="249">
        <v>44378</v>
      </c>
      <c r="D479" s="250" t="s">
        <v>99</v>
      </c>
      <c r="E479" s="250" t="s">
        <v>364</v>
      </c>
      <c r="F479" s="251">
        <v>2750</v>
      </c>
      <c r="G479" s="452" t="s">
        <v>1721</v>
      </c>
      <c r="H479" s="250" t="s">
        <v>132</v>
      </c>
      <c r="I479" s="250" t="s">
        <v>1722</v>
      </c>
      <c r="J479" s="250" t="s">
        <v>1723</v>
      </c>
      <c r="K479" s="255" t="s">
        <v>991</v>
      </c>
      <c r="L479" s="250" t="s">
        <v>992</v>
      </c>
      <c r="M479" s="277" t="s">
        <v>1294</v>
      </c>
      <c r="N479" s="278">
        <v>44413</v>
      </c>
      <c r="O479" s="329" t="s">
        <v>67</v>
      </c>
      <c r="P479" s="330">
        <f t="shared" si="22"/>
        <v>8</v>
      </c>
      <c r="Q479" s="330">
        <f t="shared" si="23"/>
        <v>7</v>
      </c>
      <c r="R479" s="331" t="str">
        <f t="shared" si="24"/>
        <v>Gastos_Gerais</v>
      </c>
      <c r="S479" s="331" t="str">
        <f>IF(D479="","",IF(OR(D479=Plano!$A$1,D479=Plano!$B$1),"entrada","saída"))</f>
        <v>saída</v>
      </c>
      <c r="T479" s="334" t="s">
        <v>1059</v>
      </c>
      <c r="U479" s="334">
        <v>1627</v>
      </c>
      <c r="V479" s="269"/>
      <c r="W479" s="269"/>
      <c r="X479" s="269"/>
      <c r="Y479" s="269"/>
      <c r="Z479" s="269"/>
      <c r="AA479" s="269"/>
      <c r="AB479" s="269"/>
      <c r="AC479" s="269"/>
      <c r="AD479" s="269"/>
      <c r="AE479" s="269"/>
      <c r="AF479" s="269"/>
      <c r="AG479" s="269"/>
      <c r="AH479" s="269"/>
      <c r="AI479" s="269"/>
      <c r="AJ479" s="269"/>
      <c r="AK479" s="269"/>
      <c r="AL479" s="269"/>
      <c r="AM479" s="269"/>
    </row>
    <row r="480" spans="1:39" ht="162.75" customHeight="1" x14ac:dyDescent="0.2">
      <c r="A480" s="277">
        <f>IF(B480="","",COUNT('Diário 5º PA'!$A$5:$A$2634)+COUNT('Diário 6º PA'!$A$5:$A$2246)+ROW()-4)</f>
        <v>3019</v>
      </c>
      <c r="B480" s="278">
        <v>44413</v>
      </c>
      <c r="C480" s="249">
        <v>44378</v>
      </c>
      <c r="D480" s="250" t="s">
        <v>99</v>
      </c>
      <c r="E480" s="250" t="s">
        <v>336</v>
      </c>
      <c r="F480" s="251">
        <v>19404</v>
      </c>
      <c r="G480" s="452" t="s">
        <v>1724</v>
      </c>
      <c r="H480" s="250" t="s">
        <v>116</v>
      </c>
      <c r="I480" s="250" t="s">
        <v>1140</v>
      </c>
      <c r="J480" s="250" t="s">
        <v>929</v>
      </c>
      <c r="K480" s="255" t="s">
        <v>991</v>
      </c>
      <c r="L480" s="250" t="s">
        <v>992</v>
      </c>
      <c r="M480" s="277">
        <v>184</v>
      </c>
      <c r="N480" s="278">
        <v>44413</v>
      </c>
      <c r="O480" s="329" t="s">
        <v>67</v>
      </c>
      <c r="P480" s="330">
        <f t="shared" si="22"/>
        <v>8</v>
      </c>
      <c r="Q480" s="330">
        <f t="shared" si="23"/>
        <v>7</v>
      </c>
      <c r="R480" s="331" t="str">
        <f t="shared" si="24"/>
        <v>Gastos_Gerais</v>
      </c>
      <c r="S480" s="331" t="str">
        <f>IF(D480="","",IF(OR(D480=Plano!$A$1,D480=Plano!$B$1),"entrada","saída"))</f>
        <v>saída</v>
      </c>
      <c r="T480" s="334" t="s">
        <v>1059</v>
      </c>
      <c r="U480" s="334">
        <v>1843</v>
      </c>
      <c r="V480" s="269"/>
      <c r="W480" s="269"/>
      <c r="X480" s="269"/>
      <c r="Y480" s="269"/>
      <c r="Z480" s="269"/>
      <c r="AA480" s="269"/>
      <c r="AB480" s="269"/>
      <c r="AC480" s="269"/>
      <c r="AD480" s="269"/>
      <c r="AE480" s="269"/>
      <c r="AF480" s="269"/>
      <c r="AG480" s="269"/>
      <c r="AH480" s="269"/>
      <c r="AI480" s="269"/>
      <c r="AJ480" s="269"/>
      <c r="AK480" s="269"/>
      <c r="AL480" s="269"/>
      <c r="AM480" s="269"/>
    </row>
    <row r="481" spans="1:39" ht="144" customHeight="1" x14ac:dyDescent="0.2">
      <c r="A481" s="277">
        <f>IF(B481="","",COUNT('Diário 5º PA'!$A$5:$A$2634)+COUNT('Diário 6º PA'!$A$5:$A$2246)+ROW()-4)</f>
        <v>3020</v>
      </c>
      <c r="B481" s="278">
        <v>44413</v>
      </c>
      <c r="C481" s="249">
        <v>44348</v>
      </c>
      <c r="D481" s="250" t="s">
        <v>99</v>
      </c>
      <c r="E481" s="250" t="s">
        <v>312</v>
      </c>
      <c r="F481" s="251">
        <v>500</v>
      </c>
      <c r="G481" s="452" t="s">
        <v>1725</v>
      </c>
      <c r="H481" s="250" t="s">
        <v>131</v>
      </c>
      <c r="I481" s="250" t="s">
        <v>1726</v>
      </c>
      <c r="J481" s="250" t="s">
        <v>601</v>
      </c>
      <c r="K481" s="255" t="s">
        <v>991</v>
      </c>
      <c r="L481" s="250" t="s">
        <v>992</v>
      </c>
      <c r="M481" s="277">
        <v>324</v>
      </c>
      <c r="N481" s="278">
        <v>44412</v>
      </c>
      <c r="O481" s="329" t="s">
        <v>67</v>
      </c>
      <c r="P481" s="330">
        <f t="shared" si="22"/>
        <v>8</v>
      </c>
      <c r="Q481" s="330">
        <f t="shared" si="23"/>
        <v>6</v>
      </c>
      <c r="R481" s="331" t="str">
        <f t="shared" si="24"/>
        <v>Gastos_Gerais</v>
      </c>
      <c r="S481" s="331" t="str">
        <f>IF(D481="","",IF(OR(D481=Plano!$A$1,D481=Plano!$B$1),"entrada","saída"))</f>
        <v>saída</v>
      </c>
      <c r="T481" s="334" t="s">
        <v>1059</v>
      </c>
      <c r="U481" s="334">
        <v>1721</v>
      </c>
      <c r="V481" s="269"/>
      <c r="W481" s="269"/>
      <c r="X481" s="269"/>
      <c r="Y481" s="269"/>
      <c r="Z481" s="269"/>
      <c r="AA481" s="269"/>
      <c r="AB481" s="269"/>
      <c r="AC481" s="269"/>
      <c r="AD481" s="269"/>
      <c r="AE481" s="269"/>
      <c r="AF481" s="269"/>
      <c r="AG481" s="269"/>
      <c r="AH481" s="269"/>
      <c r="AI481" s="269"/>
      <c r="AJ481" s="269"/>
      <c r="AK481" s="269"/>
      <c r="AL481" s="269"/>
      <c r="AM481" s="269"/>
    </row>
    <row r="482" spans="1:39" ht="177.75" customHeight="1" x14ac:dyDescent="0.2">
      <c r="A482" s="277">
        <f>IF(B482="","",COUNT('Diário 5º PA'!$A$5:$A$2634)+COUNT('Diário 6º PA'!$A$5:$A$2246)+ROW()-4)</f>
        <v>3021</v>
      </c>
      <c r="B482" s="278">
        <v>44413</v>
      </c>
      <c r="C482" s="249">
        <v>44378</v>
      </c>
      <c r="D482" s="250" t="s">
        <v>99</v>
      </c>
      <c r="E482" s="250" t="s">
        <v>364</v>
      </c>
      <c r="F482" s="251">
        <v>7350</v>
      </c>
      <c r="G482" s="452" t="s">
        <v>1727</v>
      </c>
      <c r="H482" s="250" t="s">
        <v>131</v>
      </c>
      <c r="I482" s="250" t="s">
        <v>1728</v>
      </c>
      <c r="J482" s="250" t="s">
        <v>1729</v>
      </c>
      <c r="K482" s="255" t="s">
        <v>991</v>
      </c>
      <c r="L482" s="250" t="s">
        <v>992</v>
      </c>
      <c r="M482" s="277" t="s">
        <v>1730</v>
      </c>
      <c r="N482" s="278">
        <v>44412</v>
      </c>
      <c r="O482" s="329" t="s">
        <v>67</v>
      </c>
      <c r="P482" s="330">
        <f t="shared" si="22"/>
        <v>8</v>
      </c>
      <c r="Q482" s="330">
        <f t="shared" si="23"/>
        <v>7</v>
      </c>
      <c r="R482" s="331" t="str">
        <f t="shared" si="24"/>
        <v>Gastos_Gerais</v>
      </c>
      <c r="S482" s="331" t="str">
        <f>IF(D482="","",IF(OR(D482=Plano!$A$1,D482=Plano!$B$1),"entrada","saída"))</f>
        <v>saída</v>
      </c>
      <c r="T482" s="334" t="s">
        <v>1059</v>
      </c>
      <c r="U482" s="334">
        <v>1815</v>
      </c>
      <c r="V482" s="269"/>
      <c r="W482" s="269"/>
      <c r="X482" s="269"/>
      <c r="Y482" s="269"/>
      <c r="Z482" s="269"/>
      <c r="AA482" s="269"/>
      <c r="AB482" s="269"/>
      <c r="AC482" s="269"/>
      <c r="AD482" s="269"/>
      <c r="AE482" s="269"/>
      <c r="AF482" s="269"/>
      <c r="AG482" s="269"/>
      <c r="AH482" s="269"/>
      <c r="AI482" s="269"/>
      <c r="AJ482" s="269"/>
      <c r="AK482" s="269"/>
      <c r="AL482" s="269"/>
      <c r="AM482" s="269"/>
    </row>
    <row r="483" spans="1:39" ht="230.25" customHeight="1" x14ac:dyDescent="0.2">
      <c r="A483" s="277">
        <f>IF(B483="","",COUNT('Diário 5º PA'!$A$5:$A$2634)+COUNT('Diário 6º PA'!$A$5:$A$2246)+ROW()-4)</f>
        <v>3022</v>
      </c>
      <c r="B483" s="278">
        <v>44413</v>
      </c>
      <c r="C483" s="249">
        <v>44378</v>
      </c>
      <c r="D483" s="250" t="s">
        <v>99</v>
      </c>
      <c r="E483" s="250" t="s">
        <v>364</v>
      </c>
      <c r="F483" s="251">
        <v>3200</v>
      </c>
      <c r="G483" s="452" t="s">
        <v>1731</v>
      </c>
      <c r="H483" s="250" t="s">
        <v>118</v>
      </c>
      <c r="I483" s="250" t="s">
        <v>1051</v>
      </c>
      <c r="J483" s="250" t="s">
        <v>711</v>
      </c>
      <c r="K483" s="255" t="s">
        <v>991</v>
      </c>
      <c r="L483" s="250" t="s">
        <v>1016</v>
      </c>
      <c r="M483" s="278" t="s">
        <v>1301</v>
      </c>
      <c r="N483" s="278">
        <v>44412</v>
      </c>
      <c r="O483" s="329" t="s">
        <v>67</v>
      </c>
      <c r="P483" s="330">
        <f t="shared" si="22"/>
        <v>8</v>
      </c>
      <c r="Q483" s="330">
        <f t="shared" si="23"/>
        <v>7</v>
      </c>
      <c r="R483" s="331" t="str">
        <f t="shared" si="24"/>
        <v>Gastos_Gerais</v>
      </c>
      <c r="S483" s="331" t="str">
        <f>IF(D483="","",IF(OR(D483=Plano!$A$1,D483=Plano!$B$1),"entrada","saída"))</f>
        <v>saída</v>
      </c>
      <c r="T483" s="334" t="s">
        <v>994</v>
      </c>
      <c r="U483" s="334">
        <v>1728</v>
      </c>
      <c r="V483" s="269"/>
      <c r="W483" s="269"/>
      <c r="X483" s="269"/>
      <c r="Y483" s="269"/>
      <c r="Z483" s="269"/>
      <c r="AA483" s="269"/>
      <c r="AB483" s="269"/>
      <c r="AC483" s="269"/>
      <c r="AD483" s="269"/>
      <c r="AE483" s="269"/>
      <c r="AF483" s="269"/>
      <c r="AG483" s="269"/>
      <c r="AH483" s="269"/>
      <c r="AI483" s="269"/>
      <c r="AJ483" s="269"/>
      <c r="AK483" s="269"/>
      <c r="AL483" s="269"/>
      <c r="AM483" s="269"/>
    </row>
    <row r="484" spans="1:39" ht="169.5" customHeight="1" x14ac:dyDescent="0.2">
      <c r="A484" s="277">
        <f>IF(B484="","",COUNT('Diário 5º PA'!$A$5:$A$2634)+COUNT('Diário 6º PA'!$A$5:$A$2246)+ROW()-4)</f>
        <v>3023</v>
      </c>
      <c r="B484" s="278">
        <v>44413</v>
      </c>
      <c r="C484" s="249">
        <v>44378</v>
      </c>
      <c r="D484" s="250" t="s">
        <v>99</v>
      </c>
      <c r="E484" s="250" t="s">
        <v>262</v>
      </c>
      <c r="F484" s="251">
        <v>2537.5500000000002</v>
      </c>
      <c r="G484" s="452" t="s">
        <v>596</v>
      </c>
      <c r="H484" s="250" t="s">
        <v>127</v>
      </c>
      <c r="I484" s="252" t="s">
        <v>1348</v>
      </c>
      <c r="J484" s="250" t="s">
        <v>598</v>
      </c>
      <c r="K484" s="255" t="s">
        <v>1015</v>
      </c>
      <c r="L484" s="250" t="s">
        <v>1029</v>
      </c>
      <c r="M484" s="277">
        <v>1263</v>
      </c>
      <c r="N484" s="278">
        <v>44412</v>
      </c>
      <c r="O484" s="329" t="s">
        <v>67</v>
      </c>
      <c r="P484" s="330">
        <f t="shared" si="22"/>
        <v>8</v>
      </c>
      <c r="Q484" s="330">
        <f t="shared" si="23"/>
        <v>7</v>
      </c>
      <c r="R484" s="331" t="str">
        <f t="shared" si="24"/>
        <v>Gastos_Gerais</v>
      </c>
      <c r="S484" s="331" t="str">
        <f>IF(D484="","",IF(OR(D484=Plano!$A$1,D484=Plano!$B$1),"entrada","saída"))</f>
        <v>saída</v>
      </c>
      <c r="T484" s="334" t="s">
        <v>1059</v>
      </c>
      <c r="U484" s="334">
        <v>1466</v>
      </c>
      <c r="V484" s="269"/>
      <c r="W484" s="269"/>
      <c r="X484" s="269"/>
      <c r="Y484" s="269"/>
      <c r="Z484" s="269"/>
      <c r="AA484" s="269"/>
      <c r="AB484" s="269"/>
      <c r="AC484" s="269"/>
      <c r="AD484" s="269"/>
      <c r="AE484" s="269"/>
      <c r="AF484" s="269"/>
      <c r="AG484" s="269"/>
      <c r="AH484" s="269"/>
      <c r="AI484" s="269"/>
      <c r="AJ484" s="269"/>
      <c r="AK484" s="269"/>
      <c r="AL484" s="269"/>
      <c r="AM484" s="269"/>
    </row>
    <row r="485" spans="1:39" ht="150.75" customHeight="1" x14ac:dyDescent="0.2">
      <c r="A485" s="277">
        <f>IF(B485="","",COUNT('Diário 5º PA'!$A$5:$A$2634)+COUNT('Diário 6º PA'!$A$5:$A$2246)+ROW()-4)</f>
        <v>3024</v>
      </c>
      <c r="B485" s="278">
        <v>44413</v>
      </c>
      <c r="C485" s="249">
        <v>44378</v>
      </c>
      <c r="D485" s="250" t="s">
        <v>99</v>
      </c>
      <c r="E485" s="250" t="s">
        <v>230</v>
      </c>
      <c r="F485" s="251">
        <v>6326.47</v>
      </c>
      <c r="G485" s="452" t="s">
        <v>484</v>
      </c>
      <c r="H485" s="250" t="s">
        <v>115</v>
      </c>
      <c r="I485" s="252" t="s">
        <v>485</v>
      </c>
      <c r="J485" s="250" t="s">
        <v>486</v>
      </c>
      <c r="K485" s="255" t="s">
        <v>1015</v>
      </c>
      <c r="L485" s="250" t="s">
        <v>992</v>
      </c>
      <c r="M485" s="277" t="s">
        <v>1732</v>
      </c>
      <c r="N485" s="278">
        <v>44411</v>
      </c>
      <c r="O485" s="329" t="s">
        <v>67</v>
      </c>
      <c r="P485" s="330">
        <f t="shared" si="22"/>
        <v>8</v>
      </c>
      <c r="Q485" s="330">
        <f t="shared" si="23"/>
        <v>7</v>
      </c>
      <c r="R485" s="331" t="str">
        <f t="shared" si="24"/>
        <v>Gastos_Gerais</v>
      </c>
      <c r="S485" s="331" t="str">
        <f>IF(D485="","",IF(OR(D485=Plano!$A$1,D485=Plano!$B$1),"entrada","saída"))</f>
        <v>saída</v>
      </c>
      <c r="T485" s="332" t="s">
        <v>1059</v>
      </c>
      <c r="U485" s="332">
        <v>1115</v>
      </c>
      <c r="V485" s="269"/>
      <c r="W485" s="269"/>
      <c r="X485" s="269"/>
      <c r="Y485" s="269"/>
      <c r="Z485" s="269"/>
      <c r="AA485" s="269"/>
      <c r="AB485" s="269"/>
      <c r="AC485" s="269"/>
      <c r="AD485" s="269"/>
      <c r="AE485" s="269"/>
      <c r="AF485" s="269"/>
      <c r="AG485" s="269"/>
      <c r="AH485" s="269"/>
      <c r="AI485" s="269"/>
      <c r="AJ485" s="269"/>
      <c r="AK485" s="269"/>
      <c r="AL485" s="269"/>
      <c r="AM485" s="269"/>
    </row>
    <row r="486" spans="1:39" ht="186.75" customHeight="1" x14ac:dyDescent="0.2">
      <c r="A486" s="277">
        <f>IF(B486="","",COUNT('Diário 5º PA'!$A$5:$A$2634)+COUNT('Diário 6º PA'!$A$5:$A$2246)+ROW()-4)</f>
        <v>3025</v>
      </c>
      <c r="B486" s="278">
        <v>44413</v>
      </c>
      <c r="C486" s="249">
        <v>44409</v>
      </c>
      <c r="D486" s="250" t="s">
        <v>99</v>
      </c>
      <c r="E486" s="250" t="s">
        <v>262</v>
      </c>
      <c r="F486" s="251">
        <v>3000</v>
      </c>
      <c r="G486" s="452" t="s">
        <v>474</v>
      </c>
      <c r="H486" s="250" t="s">
        <v>129</v>
      </c>
      <c r="I486" s="252" t="s">
        <v>1257</v>
      </c>
      <c r="J486" s="250" t="s">
        <v>476</v>
      </c>
      <c r="K486" s="255" t="s">
        <v>991</v>
      </c>
      <c r="L486" s="250" t="s">
        <v>992</v>
      </c>
      <c r="M486" s="277" t="s">
        <v>1049</v>
      </c>
      <c r="N486" s="278">
        <v>44411</v>
      </c>
      <c r="O486" s="329" t="s">
        <v>67</v>
      </c>
      <c r="P486" s="330">
        <f t="shared" si="22"/>
        <v>8</v>
      </c>
      <c r="Q486" s="330">
        <f t="shared" si="23"/>
        <v>8</v>
      </c>
      <c r="R486" s="331" t="str">
        <f t="shared" si="24"/>
        <v>Gastos_Gerais</v>
      </c>
      <c r="S486" s="331" t="str">
        <f>IF(D486="","",IF(OR(D486=Plano!$A$1,D486=Plano!$B$1),"entrada","saída"))</f>
        <v>saída</v>
      </c>
      <c r="T486" s="334" t="s">
        <v>1059</v>
      </c>
      <c r="U486" s="334">
        <v>1273</v>
      </c>
      <c r="V486" s="269"/>
      <c r="W486" s="269"/>
      <c r="X486" s="269"/>
      <c r="Y486" s="269"/>
      <c r="Z486" s="269"/>
      <c r="AA486" s="269"/>
      <c r="AB486" s="269"/>
      <c r="AC486" s="269"/>
      <c r="AD486" s="269"/>
      <c r="AE486" s="269"/>
      <c r="AF486" s="269"/>
      <c r="AG486" s="269"/>
      <c r="AH486" s="269"/>
      <c r="AI486" s="269"/>
      <c r="AJ486" s="269"/>
      <c r="AK486" s="269"/>
      <c r="AL486" s="269"/>
      <c r="AM486" s="269"/>
    </row>
    <row r="487" spans="1:39" ht="42" customHeight="1" x14ac:dyDescent="0.2">
      <c r="A487" s="277">
        <f>IF(B487="","",COUNT('Diário 5º PA'!$A$5:$A$2634)+COUNT('Diário 6º PA'!$A$5:$A$2246)+ROW()-4)</f>
        <v>3026</v>
      </c>
      <c r="B487" s="278">
        <v>44413</v>
      </c>
      <c r="C487" s="335">
        <v>44409</v>
      </c>
      <c r="D487" s="255" t="s">
        <v>99</v>
      </c>
      <c r="E487" s="255" t="s">
        <v>272</v>
      </c>
      <c r="F487" s="258">
        <v>10.45</v>
      </c>
      <c r="G487" s="450" t="s">
        <v>1320</v>
      </c>
      <c r="H487" s="255" t="s">
        <v>129</v>
      </c>
      <c r="I487" s="250" t="s">
        <v>949</v>
      </c>
      <c r="J487" s="255" t="s">
        <v>950</v>
      </c>
      <c r="K487" s="255" t="s">
        <v>951</v>
      </c>
      <c r="L487" s="250" t="s">
        <v>947</v>
      </c>
      <c r="M487" s="336" t="s">
        <v>114</v>
      </c>
      <c r="N487" s="278">
        <v>44413</v>
      </c>
      <c r="O487" s="329" t="s">
        <v>67</v>
      </c>
      <c r="P487" s="330">
        <f t="shared" si="22"/>
        <v>8</v>
      </c>
      <c r="Q487" s="330">
        <f t="shared" si="23"/>
        <v>8</v>
      </c>
      <c r="R487" s="331" t="str">
        <f t="shared" si="24"/>
        <v>Gastos_Gerais</v>
      </c>
      <c r="S487" s="331" t="str">
        <f>IF(D487="","",IF(OR(D487=Plano!$A$1,D487=Plano!$B$1),"entrada","saída"))</f>
        <v>saída</v>
      </c>
      <c r="T487" s="332" t="s">
        <v>114</v>
      </c>
      <c r="U487" s="332" t="s">
        <v>114</v>
      </c>
      <c r="V487" s="269"/>
      <c r="W487" s="269"/>
      <c r="X487" s="269"/>
      <c r="Y487" s="269"/>
      <c r="Z487" s="269"/>
      <c r="AA487" s="269"/>
      <c r="AB487" s="269"/>
      <c r="AC487" s="269"/>
      <c r="AD487" s="269"/>
      <c r="AE487" s="269"/>
      <c r="AF487" s="269"/>
      <c r="AG487" s="269"/>
      <c r="AH487" s="269"/>
      <c r="AI487" s="269"/>
      <c r="AJ487" s="269"/>
      <c r="AK487" s="269"/>
      <c r="AL487" s="269"/>
      <c r="AM487" s="269"/>
    </row>
    <row r="488" spans="1:39" ht="42.75" customHeight="1" x14ac:dyDescent="0.2">
      <c r="A488" s="277">
        <f>IF(B488="","",COUNT('Diário 5º PA'!$A$5:$A$2634)+COUNT('Diário 6º PA'!$A$5:$A$2246)+ROW()-4)</f>
        <v>3027</v>
      </c>
      <c r="B488" s="278">
        <v>44413</v>
      </c>
      <c r="C488" s="335">
        <v>44409</v>
      </c>
      <c r="D488" s="255" t="s">
        <v>99</v>
      </c>
      <c r="E488" s="255" t="s">
        <v>272</v>
      </c>
      <c r="F488" s="258">
        <v>10.45</v>
      </c>
      <c r="G488" s="450" t="s">
        <v>1359</v>
      </c>
      <c r="H488" s="252" t="s">
        <v>128</v>
      </c>
      <c r="I488" s="250" t="s">
        <v>949</v>
      </c>
      <c r="J488" s="255" t="s">
        <v>950</v>
      </c>
      <c r="K488" s="255" t="s">
        <v>951</v>
      </c>
      <c r="L488" s="250" t="s">
        <v>947</v>
      </c>
      <c r="M488" s="336" t="s">
        <v>114</v>
      </c>
      <c r="N488" s="278">
        <v>44413</v>
      </c>
      <c r="O488" s="329" t="s">
        <v>67</v>
      </c>
      <c r="P488" s="330">
        <f t="shared" si="22"/>
        <v>8</v>
      </c>
      <c r="Q488" s="330">
        <f t="shared" si="23"/>
        <v>8</v>
      </c>
      <c r="R488" s="331" t="str">
        <f t="shared" si="24"/>
        <v>Gastos_Gerais</v>
      </c>
      <c r="S488" s="331" t="str">
        <f>IF(D488="","",IF(OR(D488=Plano!$A$1,D488=Plano!$B$1),"entrada","saída"))</f>
        <v>saída</v>
      </c>
      <c r="T488" s="332" t="s">
        <v>114</v>
      </c>
      <c r="U488" s="332" t="s">
        <v>114</v>
      </c>
      <c r="V488" s="269"/>
      <c r="W488" s="269"/>
      <c r="X488" s="269"/>
      <c r="Y488" s="269"/>
      <c r="Z488" s="269"/>
      <c r="AA488" s="269"/>
      <c r="AB488" s="269"/>
      <c r="AC488" s="269"/>
      <c r="AD488" s="269"/>
      <c r="AE488" s="269"/>
      <c r="AF488" s="269"/>
      <c r="AG488" s="269"/>
      <c r="AH488" s="269"/>
      <c r="AI488" s="269"/>
      <c r="AJ488" s="269"/>
      <c r="AK488" s="269"/>
      <c r="AL488" s="269"/>
      <c r="AM488" s="269"/>
    </row>
    <row r="489" spans="1:39" ht="62.25" customHeight="1" x14ac:dyDescent="0.2">
      <c r="A489" s="277">
        <f>IF(B489="","",COUNT('Diário 5º PA'!$A$5:$A$2634)+COUNT('Diário 6º PA'!$A$5:$A$2246)+ROW()-4)</f>
        <v>3028</v>
      </c>
      <c r="B489" s="278">
        <v>44413</v>
      </c>
      <c r="C489" s="335">
        <v>44409</v>
      </c>
      <c r="D489" s="255" t="s">
        <v>99</v>
      </c>
      <c r="E489" s="255" t="s">
        <v>272</v>
      </c>
      <c r="F489" s="258">
        <v>10.45</v>
      </c>
      <c r="G489" s="450" t="s">
        <v>1324</v>
      </c>
      <c r="H489" s="255" t="s">
        <v>124</v>
      </c>
      <c r="I489" s="250" t="s">
        <v>949</v>
      </c>
      <c r="J489" s="255" t="s">
        <v>950</v>
      </c>
      <c r="K489" s="255" t="s">
        <v>951</v>
      </c>
      <c r="L489" s="250" t="s">
        <v>947</v>
      </c>
      <c r="M489" s="336" t="s">
        <v>114</v>
      </c>
      <c r="N489" s="278">
        <v>44413</v>
      </c>
      <c r="O489" s="329" t="s">
        <v>67</v>
      </c>
      <c r="P489" s="330">
        <f t="shared" si="22"/>
        <v>8</v>
      </c>
      <c r="Q489" s="330">
        <f t="shared" si="23"/>
        <v>8</v>
      </c>
      <c r="R489" s="331" t="str">
        <f t="shared" si="24"/>
        <v>Gastos_Gerais</v>
      </c>
      <c r="S489" s="331" t="str">
        <f>IF(D489="","",IF(OR(D489=Plano!$A$1,D489=Plano!$B$1),"entrada","saída"))</f>
        <v>saída</v>
      </c>
      <c r="T489" s="332" t="s">
        <v>114</v>
      </c>
      <c r="U489" s="332" t="s">
        <v>114</v>
      </c>
      <c r="V489" s="269"/>
      <c r="W489" s="269"/>
      <c r="X489" s="269"/>
      <c r="Y489" s="269"/>
      <c r="Z489" s="269"/>
      <c r="AA489" s="269"/>
      <c r="AB489" s="269"/>
      <c r="AC489" s="269"/>
      <c r="AD489" s="269"/>
      <c r="AE489" s="269"/>
      <c r="AF489" s="269"/>
      <c r="AG489" s="269"/>
      <c r="AH489" s="269"/>
      <c r="AI489" s="269"/>
      <c r="AJ489" s="269"/>
      <c r="AK489" s="269"/>
      <c r="AL489" s="269"/>
      <c r="AM489" s="269"/>
    </row>
    <row r="490" spans="1:39" ht="41.25" customHeight="1" x14ac:dyDescent="0.2">
      <c r="A490" s="277">
        <f>IF(B490="","",COUNT('Diário 5º PA'!$A$5:$A$2634)+COUNT('Diário 6º PA'!$A$5:$A$2246)+ROW()-4)</f>
        <v>3029</v>
      </c>
      <c r="B490" s="278">
        <v>44413</v>
      </c>
      <c r="C490" s="335">
        <v>44409</v>
      </c>
      <c r="D490" s="255" t="s">
        <v>99</v>
      </c>
      <c r="E490" s="255" t="s">
        <v>272</v>
      </c>
      <c r="F490" s="258">
        <v>10.45</v>
      </c>
      <c r="G490" s="450" t="s">
        <v>1155</v>
      </c>
      <c r="H490" s="255" t="s">
        <v>115</v>
      </c>
      <c r="I490" s="250" t="s">
        <v>949</v>
      </c>
      <c r="J490" s="255" t="s">
        <v>950</v>
      </c>
      <c r="K490" s="255" t="s">
        <v>951</v>
      </c>
      <c r="L490" s="250" t="s">
        <v>947</v>
      </c>
      <c r="M490" s="336" t="s">
        <v>114</v>
      </c>
      <c r="N490" s="278">
        <v>44413</v>
      </c>
      <c r="O490" s="329" t="s">
        <v>67</v>
      </c>
      <c r="P490" s="330">
        <f t="shared" si="22"/>
        <v>8</v>
      </c>
      <c r="Q490" s="330">
        <f t="shared" si="23"/>
        <v>8</v>
      </c>
      <c r="R490" s="331" t="str">
        <f t="shared" si="24"/>
        <v>Gastos_Gerais</v>
      </c>
      <c r="S490" s="331" t="str">
        <f>IF(D490="","",IF(OR(D490=Plano!$A$1,D490=Plano!$B$1),"entrada","saída"))</f>
        <v>saída</v>
      </c>
      <c r="T490" s="332" t="s">
        <v>114</v>
      </c>
      <c r="U490" s="332" t="s">
        <v>114</v>
      </c>
      <c r="V490" s="269"/>
      <c r="W490" s="269"/>
      <c r="X490" s="269"/>
      <c r="Y490" s="269"/>
      <c r="Z490" s="269"/>
      <c r="AA490" s="269"/>
      <c r="AB490" s="269"/>
      <c r="AC490" s="269"/>
      <c r="AD490" s="269"/>
      <c r="AE490" s="269"/>
      <c r="AF490" s="269"/>
      <c r="AG490" s="269"/>
      <c r="AH490" s="269"/>
      <c r="AI490" s="269"/>
      <c r="AJ490" s="269"/>
      <c r="AK490" s="269"/>
      <c r="AL490" s="269"/>
      <c r="AM490" s="269"/>
    </row>
    <row r="491" spans="1:39" ht="39" customHeight="1" x14ac:dyDescent="0.2">
      <c r="A491" s="277">
        <f>IF(B491="","",COUNT('Diário 5º PA'!$A$5:$A$2634)+COUNT('Diário 6º PA'!$A$5:$A$2246)+ROW()-4)</f>
        <v>3030</v>
      </c>
      <c r="B491" s="278">
        <v>44413</v>
      </c>
      <c r="C491" s="335">
        <v>44409</v>
      </c>
      <c r="D491" s="255" t="s">
        <v>99</v>
      </c>
      <c r="E491" s="255" t="s">
        <v>272</v>
      </c>
      <c r="F491" s="258">
        <v>10.45</v>
      </c>
      <c r="G491" s="450" t="s">
        <v>1156</v>
      </c>
      <c r="H491" s="255" t="s">
        <v>115</v>
      </c>
      <c r="I491" s="250" t="s">
        <v>949</v>
      </c>
      <c r="J491" s="255" t="s">
        <v>950</v>
      </c>
      <c r="K491" s="255" t="s">
        <v>951</v>
      </c>
      <c r="L491" s="250" t="s">
        <v>947</v>
      </c>
      <c r="M491" s="336" t="s">
        <v>114</v>
      </c>
      <c r="N491" s="278">
        <v>44413</v>
      </c>
      <c r="O491" s="329" t="s">
        <v>67</v>
      </c>
      <c r="P491" s="330">
        <f t="shared" si="22"/>
        <v>8</v>
      </c>
      <c r="Q491" s="330">
        <f t="shared" si="23"/>
        <v>8</v>
      </c>
      <c r="R491" s="331" t="str">
        <f t="shared" si="24"/>
        <v>Gastos_Gerais</v>
      </c>
      <c r="S491" s="331" t="str">
        <f>IF(D491="","",IF(OR(D491=Plano!$A$1,D491=Plano!$B$1),"entrada","saída"))</f>
        <v>saída</v>
      </c>
      <c r="T491" s="332" t="s">
        <v>114</v>
      </c>
      <c r="U491" s="332" t="s">
        <v>114</v>
      </c>
      <c r="V491" s="269"/>
      <c r="W491" s="269"/>
      <c r="X491" s="269"/>
      <c r="Y491" s="269"/>
      <c r="Z491" s="269"/>
      <c r="AA491" s="269"/>
      <c r="AB491" s="269"/>
      <c r="AC491" s="269"/>
      <c r="AD491" s="269"/>
      <c r="AE491" s="269"/>
      <c r="AF491" s="269"/>
      <c r="AG491" s="269"/>
      <c r="AH491" s="269"/>
      <c r="AI491" s="269"/>
      <c r="AJ491" s="269"/>
      <c r="AK491" s="269"/>
      <c r="AL491" s="269"/>
      <c r="AM491" s="269"/>
    </row>
    <row r="492" spans="1:39" ht="54.75" customHeight="1" x14ac:dyDescent="0.2">
      <c r="A492" s="277">
        <f>IF(B492="","",COUNT('Diário 5º PA'!$A$5:$A$2634)+COUNT('Diário 6º PA'!$A$5:$A$2246)+ROW()-4)</f>
        <v>3031</v>
      </c>
      <c r="B492" s="278">
        <v>44413</v>
      </c>
      <c r="C492" s="335">
        <v>44409</v>
      </c>
      <c r="D492" s="255" t="s">
        <v>99</v>
      </c>
      <c r="E492" s="255" t="s">
        <v>272</v>
      </c>
      <c r="F492" s="258">
        <v>10.45</v>
      </c>
      <c r="G492" s="450" t="s">
        <v>1323</v>
      </c>
      <c r="H492" s="252" t="s">
        <v>124</v>
      </c>
      <c r="I492" s="250" t="s">
        <v>949</v>
      </c>
      <c r="J492" s="255" t="s">
        <v>950</v>
      </c>
      <c r="K492" s="255" t="s">
        <v>951</v>
      </c>
      <c r="L492" s="250" t="s">
        <v>947</v>
      </c>
      <c r="M492" s="336" t="s">
        <v>114</v>
      </c>
      <c r="N492" s="278">
        <v>44413</v>
      </c>
      <c r="O492" s="329" t="s">
        <v>67</v>
      </c>
      <c r="P492" s="330">
        <f t="shared" si="22"/>
        <v>8</v>
      </c>
      <c r="Q492" s="330">
        <f t="shared" si="23"/>
        <v>8</v>
      </c>
      <c r="R492" s="331" t="str">
        <f t="shared" si="24"/>
        <v>Gastos_Gerais</v>
      </c>
      <c r="S492" s="331" t="str">
        <f>IF(D492="","",IF(OR(D492=Plano!$A$1,D492=Plano!$B$1),"entrada","saída"))</f>
        <v>saída</v>
      </c>
      <c r="T492" s="332" t="s">
        <v>114</v>
      </c>
      <c r="U492" s="332" t="s">
        <v>114</v>
      </c>
      <c r="V492" s="269"/>
      <c r="W492" s="269"/>
      <c r="X492" s="269"/>
      <c r="Y492" s="269"/>
      <c r="Z492" s="269"/>
      <c r="AA492" s="269"/>
      <c r="AB492" s="269"/>
      <c r="AC492" s="269"/>
      <c r="AD492" s="269"/>
      <c r="AE492" s="269"/>
      <c r="AF492" s="269"/>
      <c r="AG492" s="269"/>
      <c r="AH492" s="269"/>
      <c r="AI492" s="269"/>
      <c r="AJ492" s="269"/>
      <c r="AK492" s="269"/>
      <c r="AL492" s="269"/>
      <c r="AM492" s="269"/>
    </row>
    <row r="493" spans="1:39" ht="48.75" customHeight="1" x14ac:dyDescent="0.2">
      <c r="A493" s="277">
        <f>IF(B493="","",COUNT('Diário 5º PA'!$A$5:$A$2634)+COUNT('Diário 6º PA'!$A$5:$A$2246)+ROW()-4)</f>
        <v>3032</v>
      </c>
      <c r="B493" s="278">
        <v>44413</v>
      </c>
      <c r="C493" s="335">
        <v>44409</v>
      </c>
      <c r="D493" s="255" t="s">
        <v>99</v>
      </c>
      <c r="E493" s="255" t="s">
        <v>272</v>
      </c>
      <c r="F493" s="258">
        <v>10.45</v>
      </c>
      <c r="G493" s="450" t="s">
        <v>1341</v>
      </c>
      <c r="H493" s="252" t="s">
        <v>125</v>
      </c>
      <c r="I493" s="250" t="s">
        <v>949</v>
      </c>
      <c r="J493" s="255" t="s">
        <v>950</v>
      </c>
      <c r="K493" s="255" t="s">
        <v>951</v>
      </c>
      <c r="L493" s="250" t="s">
        <v>947</v>
      </c>
      <c r="M493" s="336" t="s">
        <v>114</v>
      </c>
      <c r="N493" s="278">
        <v>44413</v>
      </c>
      <c r="O493" s="329" t="s">
        <v>67</v>
      </c>
      <c r="P493" s="330">
        <f t="shared" si="22"/>
        <v>8</v>
      </c>
      <c r="Q493" s="330">
        <f t="shared" si="23"/>
        <v>8</v>
      </c>
      <c r="R493" s="331" t="str">
        <f t="shared" si="24"/>
        <v>Gastos_Gerais</v>
      </c>
      <c r="S493" s="331" t="str">
        <f>IF(D493="","",IF(OR(D493=Plano!$A$1,D493=Plano!$B$1),"entrada","saída"))</f>
        <v>saída</v>
      </c>
      <c r="T493" s="332" t="s">
        <v>114</v>
      </c>
      <c r="U493" s="332" t="s">
        <v>114</v>
      </c>
      <c r="V493" s="269"/>
      <c r="W493" s="269"/>
      <c r="X493" s="269"/>
      <c r="Y493" s="269"/>
      <c r="Z493" s="269"/>
      <c r="AA493" s="269"/>
      <c r="AB493" s="269"/>
      <c r="AC493" s="269"/>
      <c r="AD493" s="269"/>
      <c r="AE493" s="269"/>
      <c r="AF493" s="269"/>
      <c r="AG493" s="269"/>
      <c r="AH493" s="269"/>
      <c r="AI493" s="269"/>
      <c r="AJ493" s="269"/>
      <c r="AK493" s="269"/>
      <c r="AL493" s="269"/>
      <c r="AM493" s="269"/>
    </row>
    <row r="494" spans="1:39" ht="48.75" customHeight="1" x14ac:dyDescent="0.2">
      <c r="A494" s="277">
        <f>IF(B494="","",COUNT('Diário 5º PA'!$A$5:$A$2634)+COUNT('Diário 6º PA'!$A$5:$A$2246)+ROW()-4)</f>
        <v>3033</v>
      </c>
      <c r="B494" s="278">
        <v>44413</v>
      </c>
      <c r="C494" s="335">
        <v>44409</v>
      </c>
      <c r="D494" s="255" t="s">
        <v>99</v>
      </c>
      <c r="E494" s="255" t="s">
        <v>272</v>
      </c>
      <c r="F494" s="258">
        <v>10.45</v>
      </c>
      <c r="G494" s="450" t="s">
        <v>1733</v>
      </c>
      <c r="H494" s="252" t="s">
        <v>132</v>
      </c>
      <c r="I494" s="250" t="s">
        <v>949</v>
      </c>
      <c r="J494" s="255" t="s">
        <v>950</v>
      </c>
      <c r="K494" s="255" t="s">
        <v>951</v>
      </c>
      <c r="L494" s="250" t="s">
        <v>947</v>
      </c>
      <c r="M494" s="336" t="s">
        <v>114</v>
      </c>
      <c r="N494" s="278">
        <v>44413</v>
      </c>
      <c r="O494" s="329" t="s">
        <v>67</v>
      </c>
      <c r="P494" s="330">
        <f t="shared" si="22"/>
        <v>8</v>
      </c>
      <c r="Q494" s="330">
        <f t="shared" si="23"/>
        <v>8</v>
      </c>
      <c r="R494" s="331" t="str">
        <f t="shared" si="24"/>
        <v>Gastos_Gerais</v>
      </c>
      <c r="S494" s="331" t="str">
        <f>IF(D494="","",IF(OR(D494=Plano!$A$1,D494=Plano!$B$1),"entrada","saída"))</f>
        <v>saída</v>
      </c>
      <c r="T494" s="332" t="s">
        <v>114</v>
      </c>
      <c r="U494" s="332" t="s">
        <v>114</v>
      </c>
      <c r="V494" s="269"/>
      <c r="W494" s="269"/>
      <c r="X494" s="269"/>
      <c r="Y494" s="269"/>
      <c r="Z494" s="269"/>
      <c r="AA494" s="269"/>
      <c r="AB494" s="269"/>
      <c r="AC494" s="269"/>
      <c r="AD494" s="269"/>
      <c r="AE494" s="269"/>
      <c r="AF494" s="269"/>
      <c r="AG494" s="269"/>
      <c r="AH494" s="269"/>
      <c r="AI494" s="269"/>
      <c r="AJ494" s="269"/>
      <c r="AK494" s="269"/>
      <c r="AL494" s="269"/>
      <c r="AM494" s="269"/>
    </row>
    <row r="495" spans="1:39" ht="54" customHeight="1" x14ac:dyDescent="0.2">
      <c r="A495" s="277">
        <f>IF(B495="","",COUNT('Diário 5º PA'!$A$5:$A$2634)+COUNT('Diário 6º PA'!$A$5:$A$2246)+ROW()-4)</f>
        <v>3034</v>
      </c>
      <c r="B495" s="278">
        <v>44413</v>
      </c>
      <c r="C495" s="335">
        <v>44409</v>
      </c>
      <c r="D495" s="255" t="s">
        <v>99</v>
      </c>
      <c r="E495" s="255" t="s">
        <v>272</v>
      </c>
      <c r="F495" s="258">
        <v>10.45</v>
      </c>
      <c r="G495" s="450" t="s">
        <v>1734</v>
      </c>
      <c r="H495" s="252" t="s">
        <v>116</v>
      </c>
      <c r="I495" s="250" t="s">
        <v>949</v>
      </c>
      <c r="J495" s="255" t="s">
        <v>950</v>
      </c>
      <c r="K495" s="255" t="s">
        <v>951</v>
      </c>
      <c r="L495" s="250" t="s">
        <v>947</v>
      </c>
      <c r="M495" s="336" t="s">
        <v>114</v>
      </c>
      <c r="N495" s="278">
        <v>44413</v>
      </c>
      <c r="O495" s="329" t="s">
        <v>67</v>
      </c>
      <c r="P495" s="330">
        <f t="shared" si="22"/>
        <v>8</v>
      </c>
      <c r="Q495" s="330">
        <f t="shared" si="23"/>
        <v>8</v>
      </c>
      <c r="R495" s="331" t="str">
        <f t="shared" si="24"/>
        <v>Gastos_Gerais</v>
      </c>
      <c r="S495" s="331" t="str">
        <f>IF(D495="","",IF(OR(D495=Plano!$A$1,D495=Plano!$B$1),"entrada","saída"))</f>
        <v>saída</v>
      </c>
      <c r="T495" s="332" t="s">
        <v>114</v>
      </c>
      <c r="U495" s="332" t="s">
        <v>114</v>
      </c>
      <c r="V495" s="269"/>
      <c r="W495" s="269"/>
      <c r="X495" s="269"/>
      <c r="Y495" s="269"/>
      <c r="Z495" s="269"/>
      <c r="AA495" s="269"/>
      <c r="AB495" s="269"/>
      <c r="AC495" s="269"/>
      <c r="AD495" s="269"/>
      <c r="AE495" s="269"/>
      <c r="AF495" s="269"/>
      <c r="AG495" s="269"/>
      <c r="AH495" s="269"/>
      <c r="AI495" s="269"/>
      <c r="AJ495" s="269"/>
      <c r="AK495" s="269"/>
      <c r="AL495" s="269"/>
      <c r="AM495" s="269"/>
    </row>
    <row r="496" spans="1:39" ht="52.5" customHeight="1" x14ac:dyDescent="0.2">
      <c r="A496" s="277">
        <f>IF(B496="","",COUNT('Diário 5º PA'!$A$5:$A$2634)+COUNT('Diário 6º PA'!$A$5:$A$2246)+ROW()-4)</f>
        <v>3035</v>
      </c>
      <c r="B496" s="278">
        <v>44413</v>
      </c>
      <c r="C496" s="335">
        <v>44409</v>
      </c>
      <c r="D496" s="255" t="s">
        <v>99</v>
      </c>
      <c r="E496" s="255" t="s">
        <v>272</v>
      </c>
      <c r="F496" s="258">
        <v>10.45</v>
      </c>
      <c r="G496" s="450" t="s">
        <v>1735</v>
      </c>
      <c r="H496" s="252" t="s">
        <v>131</v>
      </c>
      <c r="I496" s="250" t="s">
        <v>949</v>
      </c>
      <c r="J496" s="255" t="s">
        <v>950</v>
      </c>
      <c r="K496" s="255" t="s">
        <v>951</v>
      </c>
      <c r="L496" s="250" t="s">
        <v>947</v>
      </c>
      <c r="M496" s="336" t="s">
        <v>114</v>
      </c>
      <c r="N496" s="278">
        <v>44413</v>
      </c>
      <c r="O496" s="329" t="s">
        <v>67</v>
      </c>
      <c r="P496" s="330">
        <f t="shared" si="22"/>
        <v>8</v>
      </c>
      <c r="Q496" s="330">
        <f t="shared" si="23"/>
        <v>8</v>
      </c>
      <c r="R496" s="331" t="str">
        <f t="shared" si="24"/>
        <v>Gastos_Gerais</v>
      </c>
      <c r="S496" s="331" t="str">
        <f>IF(D496="","",IF(OR(D496=Plano!$A$1,D496=Plano!$B$1),"entrada","saída"))</f>
        <v>saída</v>
      </c>
      <c r="T496" s="332" t="s">
        <v>114</v>
      </c>
      <c r="U496" s="332" t="s">
        <v>114</v>
      </c>
      <c r="V496" s="269"/>
      <c r="W496" s="269"/>
      <c r="X496" s="269"/>
      <c r="Y496" s="269"/>
      <c r="Z496" s="269"/>
      <c r="AA496" s="269"/>
      <c r="AB496" s="269"/>
      <c r="AC496" s="269"/>
      <c r="AD496" s="269"/>
      <c r="AE496" s="269"/>
      <c r="AF496" s="269"/>
      <c r="AG496" s="269"/>
      <c r="AH496" s="269"/>
      <c r="AI496" s="269"/>
      <c r="AJ496" s="269"/>
      <c r="AK496" s="269"/>
      <c r="AL496" s="269"/>
      <c r="AM496" s="269"/>
    </row>
    <row r="497" spans="1:39" ht="55.5" customHeight="1" x14ac:dyDescent="0.2">
      <c r="A497" s="277">
        <f>IF(B497="","",COUNT('Diário 5º PA'!$A$5:$A$2634)+COUNT('Diário 6º PA'!$A$5:$A$2246)+ROW()-4)</f>
        <v>3036</v>
      </c>
      <c r="B497" s="278">
        <v>44413</v>
      </c>
      <c r="C497" s="335">
        <v>44409</v>
      </c>
      <c r="D497" s="255" t="s">
        <v>99</v>
      </c>
      <c r="E497" s="255" t="s">
        <v>272</v>
      </c>
      <c r="F497" s="258">
        <v>10.45</v>
      </c>
      <c r="G497" s="450" t="s">
        <v>1736</v>
      </c>
      <c r="H497" s="252" t="s">
        <v>131</v>
      </c>
      <c r="I497" s="250" t="s">
        <v>949</v>
      </c>
      <c r="J497" s="255" t="s">
        <v>950</v>
      </c>
      <c r="K497" s="255" t="s">
        <v>951</v>
      </c>
      <c r="L497" s="250" t="s">
        <v>947</v>
      </c>
      <c r="M497" s="336" t="s">
        <v>114</v>
      </c>
      <c r="N497" s="278">
        <v>44413</v>
      </c>
      <c r="O497" s="329" t="s">
        <v>67</v>
      </c>
      <c r="P497" s="330">
        <f t="shared" si="22"/>
        <v>8</v>
      </c>
      <c r="Q497" s="330">
        <f t="shared" si="23"/>
        <v>8</v>
      </c>
      <c r="R497" s="331" t="str">
        <f t="shared" si="24"/>
        <v>Gastos_Gerais</v>
      </c>
      <c r="S497" s="331" t="str">
        <f>IF(D497="","",IF(OR(D497=Plano!$A$1,D497=Plano!$B$1),"entrada","saída"))</f>
        <v>saída</v>
      </c>
      <c r="T497" s="332" t="s">
        <v>114</v>
      </c>
      <c r="U497" s="332" t="s">
        <v>114</v>
      </c>
      <c r="V497" s="269"/>
      <c r="W497" s="269"/>
      <c r="X497" s="269"/>
      <c r="Y497" s="269"/>
      <c r="Z497" s="269"/>
      <c r="AA497" s="269"/>
      <c r="AB497" s="269"/>
      <c r="AC497" s="269"/>
      <c r="AD497" s="269"/>
      <c r="AE497" s="269"/>
      <c r="AF497" s="269"/>
      <c r="AG497" s="269"/>
      <c r="AH497" s="269"/>
      <c r="AI497" s="269"/>
      <c r="AJ497" s="269"/>
      <c r="AK497" s="269"/>
      <c r="AL497" s="269"/>
      <c r="AM497" s="269"/>
    </row>
    <row r="498" spans="1:39" ht="43.5" customHeight="1" x14ac:dyDescent="0.2">
      <c r="A498" s="277">
        <f>IF(B498="","",COUNT('Diário 5º PA'!$A$5:$A$2634)+COUNT('Diário 6º PA'!$A$5:$A$2246)+ROW()-4)</f>
        <v>3037</v>
      </c>
      <c r="B498" s="278">
        <v>44413</v>
      </c>
      <c r="C498" s="335">
        <v>44409</v>
      </c>
      <c r="D498" s="255" t="s">
        <v>99</v>
      </c>
      <c r="E498" s="255" t="s">
        <v>272</v>
      </c>
      <c r="F498" s="258">
        <v>10.45</v>
      </c>
      <c r="G498" s="450" t="s">
        <v>1737</v>
      </c>
      <c r="H498" s="252" t="s">
        <v>118</v>
      </c>
      <c r="I498" s="250" t="s">
        <v>949</v>
      </c>
      <c r="J498" s="255" t="s">
        <v>950</v>
      </c>
      <c r="K498" s="255" t="s">
        <v>951</v>
      </c>
      <c r="L498" s="250" t="s">
        <v>947</v>
      </c>
      <c r="M498" s="336" t="s">
        <v>114</v>
      </c>
      <c r="N498" s="278">
        <v>44413</v>
      </c>
      <c r="O498" s="329" t="s">
        <v>67</v>
      </c>
      <c r="P498" s="330">
        <f t="shared" si="22"/>
        <v>8</v>
      </c>
      <c r="Q498" s="330">
        <f t="shared" si="23"/>
        <v>8</v>
      </c>
      <c r="R498" s="331" t="str">
        <f t="shared" si="24"/>
        <v>Gastos_Gerais</v>
      </c>
      <c r="S498" s="331" t="str">
        <f>IF(D498="","",IF(OR(D498=Plano!$A$1,D498=Plano!$B$1),"entrada","saída"))</f>
        <v>saída</v>
      </c>
      <c r="T498" s="332" t="s">
        <v>114</v>
      </c>
      <c r="U498" s="332" t="s">
        <v>114</v>
      </c>
      <c r="V498" s="269"/>
      <c r="W498" s="269"/>
      <c r="X498" s="269"/>
      <c r="Y498" s="269"/>
      <c r="Z498" s="269"/>
      <c r="AA498" s="269"/>
      <c r="AB498" s="269"/>
      <c r="AC498" s="269"/>
      <c r="AD498" s="269"/>
      <c r="AE498" s="269"/>
      <c r="AF498" s="269"/>
      <c r="AG498" s="269"/>
      <c r="AH498" s="269"/>
      <c r="AI498" s="269"/>
      <c r="AJ498" s="269"/>
      <c r="AK498" s="269"/>
      <c r="AL498" s="269"/>
      <c r="AM498" s="269"/>
    </row>
    <row r="499" spans="1:39" ht="29.25" customHeight="1" x14ac:dyDescent="0.2">
      <c r="A499" s="277">
        <f>IF(B499="","",COUNT('Diário 5º PA'!$A$5:$A$2634)+COUNT('Diário 6º PA'!$A$5:$A$2246)+ROW()-4)</f>
        <v>3038</v>
      </c>
      <c r="B499" s="278">
        <v>44413</v>
      </c>
      <c r="C499" s="335">
        <v>44409</v>
      </c>
      <c r="D499" s="255" t="s">
        <v>99</v>
      </c>
      <c r="E499" s="255" t="s">
        <v>272</v>
      </c>
      <c r="F499" s="258">
        <v>153</v>
      </c>
      <c r="G499" s="450" t="s">
        <v>1157</v>
      </c>
      <c r="H499" s="255" t="s">
        <v>115</v>
      </c>
      <c r="I499" s="250" t="s">
        <v>949</v>
      </c>
      <c r="J499" s="255" t="s">
        <v>950</v>
      </c>
      <c r="K499" s="255" t="s">
        <v>951</v>
      </c>
      <c r="L499" s="250" t="s">
        <v>947</v>
      </c>
      <c r="M499" s="336" t="s">
        <v>114</v>
      </c>
      <c r="N499" s="278">
        <v>44413</v>
      </c>
      <c r="O499" s="329" t="s">
        <v>67</v>
      </c>
      <c r="P499" s="330">
        <f t="shared" si="22"/>
        <v>8</v>
      </c>
      <c r="Q499" s="330">
        <f t="shared" si="23"/>
        <v>8</v>
      </c>
      <c r="R499" s="331" t="str">
        <f t="shared" si="24"/>
        <v>Gastos_Gerais</v>
      </c>
      <c r="S499" s="331" t="str">
        <f>IF(D499="","",IF(OR(D499=Plano!$A$1,D499=Plano!$B$1),"entrada","saída"))</f>
        <v>saída</v>
      </c>
      <c r="T499" s="332" t="s">
        <v>114</v>
      </c>
      <c r="U499" s="332" t="s">
        <v>114</v>
      </c>
      <c r="V499" s="269"/>
      <c r="W499" s="269"/>
      <c r="X499" s="269"/>
      <c r="Y499" s="269"/>
      <c r="Z499" s="269"/>
      <c r="AA499" s="269"/>
      <c r="AB499" s="269"/>
      <c r="AC499" s="269"/>
      <c r="AD499" s="269"/>
      <c r="AE499" s="269"/>
      <c r="AF499" s="269"/>
      <c r="AG499" s="269"/>
      <c r="AH499" s="269"/>
      <c r="AI499" s="269"/>
      <c r="AJ499" s="269"/>
      <c r="AK499" s="269"/>
      <c r="AL499" s="269"/>
      <c r="AM499" s="269"/>
    </row>
    <row r="500" spans="1:39" ht="168" customHeight="1" x14ac:dyDescent="0.2">
      <c r="A500" s="277">
        <f>IF(B500="","",COUNT('Diário 5º PA'!$A$5:$A$2634)+COUNT('Diário 6º PA'!$A$5:$A$2246)+ROW()-4)</f>
        <v>3039</v>
      </c>
      <c r="B500" s="278">
        <v>44413</v>
      </c>
      <c r="C500" s="249">
        <v>44378</v>
      </c>
      <c r="D500" s="250" t="s">
        <v>104</v>
      </c>
      <c r="E500" s="250" t="s">
        <v>104</v>
      </c>
      <c r="F500" s="251">
        <v>2500</v>
      </c>
      <c r="G500" s="452" t="s">
        <v>497</v>
      </c>
      <c r="H500" s="250" t="s">
        <v>104</v>
      </c>
      <c r="I500" s="252" t="s">
        <v>1162</v>
      </c>
      <c r="J500" s="250" t="s">
        <v>498</v>
      </c>
      <c r="K500" s="255" t="s">
        <v>991</v>
      </c>
      <c r="L500" s="250" t="s">
        <v>992</v>
      </c>
      <c r="M500" s="336">
        <v>6</v>
      </c>
      <c r="N500" s="278">
        <v>44411</v>
      </c>
      <c r="O500" s="329" t="s">
        <v>68</v>
      </c>
      <c r="P500" s="330">
        <f t="shared" si="22"/>
        <v>8</v>
      </c>
      <c r="Q500" s="330">
        <f t="shared" si="23"/>
        <v>7</v>
      </c>
      <c r="R500" s="331" t="str">
        <f t="shared" si="24"/>
        <v>Gastos_custeados_por_captação</v>
      </c>
      <c r="S500" s="331" t="str">
        <f>IF(D500="","",IF(OR(D500=Plano!$A$1,D500=Plano!$B$1),"entrada","saída"))</f>
        <v>saída</v>
      </c>
      <c r="T500" s="332" t="s">
        <v>1059</v>
      </c>
      <c r="U500" s="332">
        <v>1303</v>
      </c>
      <c r="V500" s="269"/>
      <c r="W500" s="269"/>
      <c r="X500" s="269"/>
      <c r="Y500" s="269"/>
      <c r="Z500" s="269"/>
      <c r="AA500" s="269"/>
      <c r="AB500" s="269"/>
      <c r="AC500" s="269"/>
      <c r="AD500" s="269"/>
      <c r="AE500" s="269"/>
      <c r="AF500" s="269"/>
      <c r="AG500" s="269"/>
      <c r="AH500" s="269"/>
      <c r="AI500" s="269"/>
      <c r="AJ500" s="269"/>
      <c r="AK500" s="269"/>
      <c r="AL500" s="269"/>
      <c r="AM500" s="269"/>
    </row>
    <row r="501" spans="1:39" ht="192.75" customHeight="1" x14ac:dyDescent="0.2">
      <c r="A501" s="277">
        <f>IF(B501="","",COUNT('Diário 5º PA'!$A$5:$A$2634)+COUNT('Diário 6º PA'!$A$5:$A$2246)+ROW()-4)</f>
        <v>3040</v>
      </c>
      <c r="B501" s="278">
        <v>44413</v>
      </c>
      <c r="C501" s="249">
        <v>44378</v>
      </c>
      <c r="D501" s="250" t="s">
        <v>104</v>
      </c>
      <c r="E501" s="250" t="s">
        <v>104</v>
      </c>
      <c r="F501" s="251">
        <v>2075.92</v>
      </c>
      <c r="G501" s="452" t="s">
        <v>1163</v>
      </c>
      <c r="H501" s="250" t="s">
        <v>104</v>
      </c>
      <c r="I501" s="252" t="s">
        <v>1738</v>
      </c>
      <c r="J501" s="250" t="s">
        <v>1165</v>
      </c>
      <c r="K501" s="255" t="s">
        <v>1015</v>
      </c>
      <c r="L501" s="250" t="s">
        <v>1029</v>
      </c>
      <c r="M501" s="336">
        <v>1254</v>
      </c>
      <c r="N501" s="278">
        <v>44410</v>
      </c>
      <c r="O501" s="329" t="s">
        <v>68</v>
      </c>
      <c r="P501" s="330">
        <f t="shared" si="22"/>
        <v>8</v>
      </c>
      <c r="Q501" s="330">
        <f t="shared" si="23"/>
        <v>7</v>
      </c>
      <c r="R501" s="331" t="str">
        <f t="shared" si="24"/>
        <v>Gastos_custeados_por_captação</v>
      </c>
      <c r="S501" s="331" t="str">
        <f>IF(D501="","",IF(OR(D501=Plano!$A$1,D501=Plano!$B$1),"entrada","saída"))</f>
        <v>saída</v>
      </c>
      <c r="T501" s="332" t="s">
        <v>1059</v>
      </c>
      <c r="U501" s="332">
        <v>1299</v>
      </c>
      <c r="V501" s="269"/>
      <c r="W501" s="269"/>
      <c r="X501" s="269"/>
      <c r="Y501" s="269"/>
      <c r="Z501" s="269"/>
      <c r="AA501" s="269"/>
      <c r="AB501" s="269"/>
      <c r="AC501" s="269"/>
      <c r="AD501" s="269"/>
      <c r="AE501" s="269"/>
      <c r="AF501" s="269"/>
      <c r="AG501" s="269"/>
      <c r="AH501" s="269"/>
      <c r="AI501" s="269"/>
      <c r="AJ501" s="269"/>
      <c r="AK501" s="269"/>
      <c r="AL501" s="269"/>
      <c r="AM501" s="269"/>
    </row>
    <row r="502" spans="1:39" ht="138" customHeight="1" x14ac:dyDescent="0.2">
      <c r="A502" s="277">
        <f>IF(B502="","",COUNT('Diário 5º PA'!$A$5:$A$2634)+COUNT('Diário 6º PA'!$A$5:$A$2246)+ROW()-4)</f>
        <v>3041</v>
      </c>
      <c r="B502" s="278">
        <v>44413</v>
      </c>
      <c r="C502" s="249">
        <v>44378</v>
      </c>
      <c r="D502" s="250" t="s">
        <v>104</v>
      </c>
      <c r="E502" s="250" t="s">
        <v>104</v>
      </c>
      <c r="F502" s="251">
        <v>2125.92</v>
      </c>
      <c r="G502" s="452" t="s">
        <v>548</v>
      </c>
      <c r="H502" s="250" t="s">
        <v>104</v>
      </c>
      <c r="I502" s="252" t="s">
        <v>1739</v>
      </c>
      <c r="J502" s="250" t="s">
        <v>550</v>
      </c>
      <c r="K502" s="255" t="s">
        <v>1015</v>
      </c>
      <c r="L502" s="250" t="s">
        <v>1029</v>
      </c>
      <c r="M502" s="336">
        <v>1255</v>
      </c>
      <c r="N502" s="278">
        <v>44410</v>
      </c>
      <c r="O502" s="329" t="s">
        <v>68</v>
      </c>
      <c r="P502" s="330">
        <f t="shared" si="22"/>
        <v>8</v>
      </c>
      <c r="Q502" s="330">
        <f t="shared" si="23"/>
        <v>7</v>
      </c>
      <c r="R502" s="331" t="str">
        <f t="shared" si="24"/>
        <v>Gastos_custeados_por_captação</v>
      </c>
      <c r="S502" s="331" t="str">
        <f>IF(D502="","",IF(OR(D502=Plano!$A$1,D502=Plano!$B$1),"entrada","saída"))</f>
        <v>saída</v>
      </c>
      <c r="T502" s="332" t="s">
        <v>1082</v>
      </c>
      <c r="U502" s="332">
        <v>1301</v>
      </c>
      <c r="V502" s="269"/>
      <c r="W502" s="269"/>
      <c r="X502" s="269"/>
      <c r="Y502" s="269"/>
      <c r="Z502" s="269"/>
      <c r="AA502" s="269"/>
      <c r="AB502" s="269"/>
      <c r="AC502" s="269"/>
      <c r="AD502" s="269"/>
      <c r="AE502" s="269"/>
      <c r="AF502" s="269"/>
      <c r="AG502" s="269"/>
      <c r="AH502" s="269"/>
      <c r="AI502" s="269"/>
      <c r="AJ502" s="269"/>
      <c r="AK502" s="269"/>
      <c r="AL502" s="269"/>
      <c r="AM502" s="269"/>
    </row>
    <row r="503" spans="1:39" ht="84.75" customHeight="1" x14ac:dyDescent="0.2">
      <c r="A503" s="277">
        <f>IF(B503="","",COUNT('Diário 5º PA'!$A$5:$A$2634)+COUNT('Diário 6º PA'!$A$5:$A$2246)+ROW()-4)</f>
        <v>3042</v>
      </c>
      <c r="B503" s="278">
        <v>44413</v>
      </c>
      <c r="C503" s="249">
        <v>44378</v>
      </c>
      <c r="D503" s="250" t="s">
        <v>104</v>
      </c>
      <c r="E503" s="250" t="s">
        <v>104</v>
      </c>
      <c r="F503" s="251">
        <v>2850</v>
      </c>
      <c r="G503" s="452" t="s">
        <v>564</v>
      </c>
      <c r="H503" s="250" t="s">
        <v>104</v>
      </c>
      <c r="I503" s="252" t="s">
        <v>1332</v>
      </c>
      <c r="J503" s="250" t="s">
        <v>565</v>
      </c>
      <c r="K503" s="255" t="s">
        <v>1015</v>
      </c>
      <c r="L503" s="250" t="s">
        <v>992</v>
      </c>
      <c r="M503" s="277" t="s">
        <v>1256</v>
      </c>
      <c r="N503" s="278">
        <v>44412</v>
      </c>
      <c r="O503" s="329" t="s">
        <v>69</v>
      </c>
      <c r="P503" s="330">
        <f t="shared" si="22"/>
        <v>8</v>
      </c>
      <c r="Q503" s="330">
        <f t="shared" si="23"/>
        <v>7</v>
      </c>
      <c r="R503" s="331" t="str">
        <f t="shared" si="24"/>
        <v>Gastos_custeados_por_captação</v>
      </c>
      <c r="S503" s="331" t="str">
        <f>IF(D503="","",IF(OR(D503=Plano!$A$1,D503=Plano!$B$1),"entrada","saída"))</f>
        <v>saída</v>
      </c>
      <c r="T503" s="332" t="s">
        <v>1082</v>
      </c>
      <c r="U503" s="332">
        <v>1280</v>
      </c>
      <c r="V503" s="269"/>
      <c r="W503" s="269"/>
      <c r="X503" s="269"/>
      <c r="Y503" s="269"/>
      <c r="Z503" s="269"/>
      <c r="AA503" s="269"/>
      <c r="AB503" s="269"/>
      <c r="AC503" s="269"/>
      <c r="AD503" s="269"/>
      <c r="AE503" s="269"/>
      <c r="AF503" s="269"/>
      <c r="AG503" s="269"/>
      <c r="AH503" s="269"/>
      <c r="AI503" s="269"/>
      <c r="AJ503" s="269"/>
      <c r="AK503" s="269"/>
      <c r="AL503" s="269"/>
      <c r="AM503" s="269"/>
    </row>
    <row r="504" spans="1:39" ht="101.25" customHeight="1" x14ac:dyDescent="0.2">
      <c r="A504" s="277">
        <f>IF(B504="","",COUNT('Diário 5º PA'!$A$5:$A$2634)+COUNT('Diário 6º PA'!$A$5:$A$2246)+ROW()-4)</f>
        <v>3043</v>
      </c>
      <c r="B504" s="278">
        <v>44413</v>
      </c>
      <c r="C504" s="249">
        <v>44409</v>
      </c>
      <c r="D504" s="250" t="s">
        <v>104</v>
      </c>
      <c r="E504" s="250" t="s">
        <v>104</v>
      </c>
      <c r="F504" s="251">
        <v>3325</v>
      </c>
      <c r="G504" s="452" t="s">
        <v>564</v>
      </c>
      <c r="H504" s="250" t="s">
        <v>104</v>
      </c>
      <c r="I504" s="252" t="s">
        <v>1740</v>
      </c>
      <c r="J504" s="250" t="s">
        <v>567</v>
      </c>
      <c r="K504" s="255" t="s">
        <v>1015</v>
      </c>
      <c r="L504" s="250" t="s">
        <v>992</v>
      </c>
      <c r="M504" s="277" t="s">
        <v>1256</v>
      </c>
      <c r="N504" s="278">
        <v>44412</v>
      </c>
      <c r="O504" s="329" t="s">
        <v>69</v>
      </c>
      <c r="P504" s="330">
        <f t="shared" si="22"/>
        <v>8</v>
      </c>
      <c r="Q504" s="330">
        <f t="shared" si="23"/>
        <v>8</v>
      </c>
      <c r="R504" s="331" t="str">
        <f t="shared" si="24"/>
        <v>Gastos_custeados_por_captação</v>
      </c>
      <c r="S504" s="331" t="str">
        <f>IF(D504="","",IF(OR(D504=Plano!$A$1,D504=Plano!$B$1),"entrada","saída"))</f>
        <v>saída</v>
      </c>
      <c r="T504" s="332" t="s">
        <v>1082</v>
      </c>
      <c r="U504" s="332">
        <v>1279</v>
      </c>
      <c r="V504" s="269"/>
      <c r="W504" s="269"/>
      <c r="X504" s="269"/>
      <c r="Y504" s="269"/>
      <c r="Z504" s="269"/>
      <c r="AA504" s="269"/>
      <c r="AB504" s="269"/>
      <c r="AC504" s="269"/>
      <c r="AD504" s="269"/>
      <c r="AE504" s="269"/>
      <c r="AF504" s="269"/>
      <c r="AG504" s="269"/>
      <c r="AH504" s="269"/>
      <c r="AI504" s="269"/>
      <c r="AJ504" s="269"/>
      <c r="AK504" s="269"/>
      <c r="AL504" s="269"/>
      <c r="AM504" s="269"/>
    </row>
    <row r="505" spans="1:39" ht="101.25" customHeight="1" x14ac:dyDescent="0.2">
      <c r="A505" s="277">
        <f>IF(B505="","",COUNT('Diário 5º PA'!$A$5:$A$2634)+COUNT('Diário 6º PA'!$A$5:$A$2246)+ROW()-4)</f>
        <v>3044</v>
      </c>
      <c r="B505" s="278">
        <v>44413</v>
      </c>
      <c r="C505" s="249">
        <v>44378</v>
      </c>
      <c r="D505" s="250" t="s">
        <v>104</v>
      </c>
      <c r="E505" s="250" t="s">
        <v>104</v>
      </c>
      <c r="F505" s="251">
        <v>2694.72</v>
      </c>
      <c r="G505" s="452" t="s">
        <v>1741</v>
      </c>
      <c r="H505" s="250" t="s">
        <v>104</v>
      </c>
      <c r="I505" s="250" t="s">
        <v>1392</v>
      </c>
      <c r="J505" s="250" t="s">
        <v>1393</v>
      </c>
      <c r="K505" s="255" t="s">
        <v>1015</v>
      </c>
      <c r="L505" s="250" t="s">
        <v>992</v>
      </c>
      <c r="M505" s="277" t="s">
        <v>1329</v>
      </c>
      <c r="N505" s="278">
        <v>44413</v>
      </c>
      <c r="O505" s="329" t="s">
        <v>70</v>
      </c>
      <c r="P505" s="330">
        <f t="shared" si="22"/>
        <v>8</v>
      </c>
      <c r="Q505" s="330">
        <f t="shared" si="23"/>
        <v>7</v>
      </c>
      <c r="R505" s="331" t="str">
        <f t="shared" si="24"/>
        <v>Gastos_custeados_por_captação</v>
      </c>
      <c r="S505" s="331" t="str">
        <f>IF(D505="","",IF(OR(D505=Plano!$A$1,D505=Plano!$B$1),"entrada","saída"))</f>
        <v>saída</v>
      </c>
      <c r="T505" s="332" t="s">
        <v>1059</v>
      </c>
      <c r="U505" s="332">
        <v>1487</v>
      </c>
      <c r="V505" s="269"/>
      <c r="W505" s="269"/>
      <c r="X505" s="269"/>
      <c r="Y505" s="269"/>
      <c r="Z505" s="269"/>
      <c r="AA505" s="269"/>
      <c r="AB505" s="269"/>
      <c r="AC505" s="269"/>
      <c r="AD505" s="269"/>
      <c r="AE505" s="269"/>
      <c r="AF505" s="269"/>
      <c r="AG505" s="269"/>
      <c r="AH505" s="269"/>
      <c r="AI505" s="269"/>
      <c r="AJ505" s="269"/>
      <c r="AK505" s="269"/>
      <c r="AL505" s="269"/>
      <c r="AM505" s="269"/>
    </row>
    <row r="506" spans="1:39" s="475" customFormat="1" ht="72.75" customHeight="1" x14ac:dyDescent="0.2">
      <c r="A506" s="277">
        <f>IF(B506="","",COUNT('Diário 5º PA'!$A$5:$A$2634)+COUNT('Diário 6º PA'!$A$5:$A$2246)+ROW()-4)</f>
        <v>3045</v>
      </c>
      <c r="B506" s="278">
        <v>44413</v>
      </c>
      <c r="C506" s="335">
        <v>44440</v>
      </c>
      <c r="D506" s="250" t="s">
        <v>77</v>
      </c>
      <c r="E506" s="255" t="s">
        <v>147</v>
      </c>
      <c r="F506" s="258">
        <v>267554.46999999997</v>
      </c>
      <c r="G506" s="450" t="s">
        <v>5378</v>
      </c>
      <c r="H506" s="250" t="s">
        <v>114</v>
      </c>
      <c r="I506" s="250" t="s">
        <v>983</v>
      </c>
      <c r="J506" s="255" t="s">
        <v>850</v>
      </c>
      <c r="K506" s="255" t="s">
        <v>946</v>
      </c>
      <c r="L506" s="250" t="s">
        <v>947</v>
      </c>
      <c r="M506" s="336" t="s">
        <v>114</v>
      </c>
      <c r="N506" s="278">
        <v>44413</v>
      </c>
      <c r="O506" s="329" t="s">
        <v>5377</v>
      </c>
      <c r="P506" s="330">
        <f t="shared" si="22"/>
        <v>8</v>
      </c>
      <c r="Q506" s="330">
        <f t="shared" si="23"/>
        <v>9</v>
      </c>
      <c r="R506" s="331" t="str">
        <f t="shared" si="24"/>
        <v>Receitas</v>
      </c>
      <c r="S506" s="331" t="str">
        <f>IF(D506="","",IF(OR(D506=Plano!$A$1,D506=Plano!$B$1),"entrada","saída"))</f>
        <v>entrada</v>
      </c>
      <c r="T506" s="332" t="s">
        <v>114</v>
      </c>
      <c r="U506" s="332" t="s">
        <v>114</v>
      </c>
      <c r="V506" s="439"/>
      <c r="W506" s="439"/>
      <c r="X506" s="439"/>
      <c r="Y506" s="439"/>
      <c r="Z506" s="439"/>
      <c r="AA506" s="439"/>
      <c r="AB506" s="439"/>
      <c r="AC506" s="439"/>
      <c r="AD506" s="439"/>
      <c r="AE506" s="439"/>
      <c r="AF506" s="439"/>
      <c r="AG506" s="439"/>
      <c r="AH506" s="439"/>
      <c r="AI506" s="439"/>
      <c r="AJ506" s="439"/>
      <c r="AK506" s="439"/>
      <c r="AL506" s="439"/>
      <c r="AM506" s="439"/>
    </row>
    <row r="507" spans="1:39" s="485" customFormat="1" ht="72.75" customHeight="1" x14ac:dyDescent="0.2">
      <c r="A507" s="277">
        <f>IF(B507="","",COUNT('Diário 5º PA'!$A$5:$A$2634)+COUNT('Diário 6º PA'!$A$5:$A$2246)+ROW()-4)</f>
        <v>3046</v>
      </c>
      <c r="B507" s="278">
        <v>44413</v>
      </c>
      <c r="C507" s="335">
        <v>44440</v>
      </c>
      <c r="D507" s="250" t="s">
        <v>77</v>
      </c>
      <c r="E507" s="255" t="s">
        <v>147</v>
      </c>
      <c r="F507" s="258">
        <v>47215.5</v>
      </c>
      <c r="G507" s="450" t="s">
        <v>5378</v>
      </c>
      <c r="H507" s="250" t="s">
        <v>114</v>
      </c>
      <c r="I507" s="250" t="s">
        <v>983</v>
      </c>
      <c r="J507" s="255" t="s">
        <v>850</v>
      </c>
      <c r="K507" s="255" t="s">
        <v>946</v>
      </c>
      <c r="L507" s="250" t="s">
        <v>947</v>
      </c>
      <c r="M507" s="336" t="s">
        <v>114</v>
      </c>
      <c r="N507" s="278">
        <v>44413</v>
      </c>
      <c r="O507" s="329" t="s">
        <v>5377</v>
      </c>
      <c r="P507" s="330">
        <f t="shared" ref="P507" si="25">IF(B507=0,0,IF(YEAR(B507)=$Q$1,MONTH(B507)-$P$1+1,(YEAR(B507)-$Q$1)*12-$P$1+1+MONTH(B507)))</f>
        <v>8</v>
      </c>
      <c r="Q507" s="330">
        <f t="shared" ref="Q507" si="26">IF(C507=0,0,IF(YEAR(C507)=$Q$1,MONTH(C507)-$P$1+1,(YEAR(C507)-$Q$1)*12-$P$1+1+MONTH(C507)))</f>
        <v>9</v>
      </c>
      <c r="R507" s="331" t="str">
        <f t="shared" ref="R507" si="27">SUBSTITUTE(D507," ","_")</f>
        <v>Receitas</v>
      </c>
      <c r="S507" s="331" t="str">
        <f>IF(D507="","",IF(OR(D507=Plano!$A$1,D507=Plano!$B$1),"entrada","saída"))</f>
        <v>entrada</v>
      </c>
      <c r="T507" s="332" t="s">
        <v>114</v>
      </c>
      <c r="U507" s="332" t="s">
        <v>114</v>
      </c>
      <c r="V507" s="439"/>
      <c r="W507" s="439"/>
      <c r="X507" s="439"/>
      <c r="Y507" s="439"/>
      <c r="Z507" s="439"/>
      <c r="AA507" s="439"/>
      <c r="AB507" s="439"/>
      <c r="AC507" s="439"/>
      <c r="AD507" s="439"/>
      <c r="AE507" s="439"/>
      <c r="AF507" s="439"/>
      <c r="AG507" s="439"/>
      <c r="AH507" s="439"/>
      <c r="AI507" s="439"/>
      <c r="AJ507" s="439"/>
      <c r="AK507" s="439"/>
      <c r="AL507" s="439"/>
      <c r="AM507" s="439"/>
    </row>
    <row r="508" spans="1:39" ht="66.75" customHeight="1" x14ac:dyDescent="0.2">
      <c r="A508" s="277">
        <f>IF(B508="","",COUNT('Diário 5º PA'!$A$5:$A$2634)+COUNT('Diário 6º PA'!$A$5:$A$2246)+ROW()-4)</f>
        <v>3047</v>
      </c>
      <c r="B508" s="278">
        <v>44414</v>
      </c>
      <c r="C508" s="335">
        <v>44378</v>
      </c>
      <c r="D508" s="255" t="s">
        <v>99</v>
      </c>
      <c r="E508" s="255" t="s">
        <v>330</v>
      </c>
      <c r="F508" s="257">
        <v>-12.45</v>
      </c>
      <c r="G508" s="453" t="s">
        <v>1742</v>
      </c>
      <c r="H508" s="255" t="s">
        <v>115</v>
      </c>
      <c r="I508" s="250" t="s">
        <v>983</v>
      </c>
      <c r="J508" s="255" t="s">
        <v>850</v>
      </c>
      <c r="K508" s="255" t="s">
        <v>946</v>
      </c>
      <c r="L508" s="250" t="s">
        <v>947</v>
      </c>
      <c r="M508" s="277" t="s">
        <v>114</v>
      </c>
      <c r="N508" s="278">
        <v>44414</v>
      </c>
      <c r="O508" s="329" t="s">
        <v>67</v>
      </c>
      <c r="P508" s="330">
        <f t="shared" si="22"/>
        <v>8</v>
      </c>
      <c r="Q508" s="330">
        <f t="shared" si="23"/>
        <v>7</v>
      </c>
      <c r="R508" s="331" t="str">
        <f t="shared" si="24"/>
        <v>Gastos_Gerais</v>
      </c>
      <c r="S508" s="331" t="str">
        <f>IF(D508="","",IF(OR(D508=Plano!$A$1,D508=Plano!$B$1),"entrada","saída"))</f>
        <v>saída</v>
      </c>
      <c r="T508" s="332" t="s">
        <v>114</v>
      </c>
      <c r="U508" s="332" t="s">
        <v>114</v>
      </c>
      <c r="V508" s="269"/>
      <c r="W508" s="269"/>
      <c r="X508" s="269"/>
      <c r="Y508" s="269"/>
      <c r="Z508" s="269"/>
      <c r="AA508" s="269"/>
      <c r="AB508" s="269"/>
      <c r="AC508" s="269"/>
      <c r="AD508" s="269"/>
      <c r="AE508" s="269"/>
      <c r="AF508" s="269"/>
      <c r="AG508" s="269"/>
      <c r="AH508" s="269"/>
      <c r="AI508" s="269"/>
      <c r="AJ508" s="269"/>
      <c r="AK508" s="269"/>
      <c r="AL508" s="269"/>
      <c r="AM508" s="269"/>
    </row>
    <row r="509" spans="1:39" ht="78" customHeight="1" x14ac:dyDescent="0.2">
      <c r="A509" s="277">
        <f>IF(B509="","",COUNT('Diário 5º PA'!$A$5:$A$2634)+COUNT('Diário 6º PA'!$A$5:$A$2246)+ROW()-4)</f>
        <v>3048</v>
      </c>
      <c r="B509" s="278">
        <v>44414</v>
      </c>
      <c r="C509" s="335">
        <v>44378</v>
      </c>
      <c r="D509" s="255" t="s">
        <v>99</v>
      </c>
      <c r="E509" s="255" t="s">
        <v>330</v>
      </c>
      <c r="F509" s="257">
        <v>-24.9</v>
      </c>
      <c r="G509" s="453" t="s">
        <v>1743</v>
      </c>
      <c r="H509" s="255" t="s">
        <v>115</v>
      </c>
      <c r="I509" s="250" t="s">
        <v>983</v>
      </c>
      <c r="J509" s="255" t="s">
        <v>850</v>
      </c>
      <c r="K509" s="255" t="s">
        <v>946</v>
      </c>
      <c r="L509" s="250" t="s">
        <v>947</v>
      </c>
      <c r="M509" s="277" t="s">
        <v>114</v>
      </c>
      <c r="N509" s="278">
        <v>44414</v>
      </c>
      <c r="O509" s="329" t="s">
        <v>67</v>
      </c>
      <c r="P509" s="330">
        <f t="shared" si="22"/>
        <v>8</v>
      </c>
      <c r="Q509" s="330">
        <f t="shared" si="23"/>
        <v>7</v>
      </c>
      <c r="R509" s="331" t="str">
        <f t="shared" si="24"/>
        <v>Gastos_Gerais</v>
      </c>
      <c r="S509" s="331" t="str">
        <f>IF(D509="","",IF(OR(D509=Plano!$A$1,D509=Plano!$B$1),"entrada","saída"))</f>
        <v>saída</v>
      </c>
      <c r="T509" s="332" t="s">
        <v>114</v>
      </c>
      <c r="U509" s="332" t="s">
        <v>114</v>
      </c>
      <c r="V509" s="269"/>
      <c r="W509" s="269"/>
      <c r="X509" s="269"/>
      <c r="Y509" s="269"/>
      <c r="Z509" s="269"/>
      <c r="AA509" s="269"/>
      <c r="AB509" s="269"/>
      <c r="AC509" s="269"/>
      <c r="AD509" s="269"/>
      <c r="AE509" s="269"/>
      <c r="AF509" s="269"/>
      <c r="AG509" s="269"/>
      <c r="AH509" s="269"/>
      <c r="AI509" s="269"/>
      <c r="AJ509" s="269"/>
      <c r="AK509" s="269"/>
      <c r="AL509" s="269"/>
      <c r="AM509" s="269"/>
    </row>
    <row r="510" spans="1:39" ht="77.25" customHeight="1" x14ac:dyDescent="0.2">
      <c r="A510" s="277">
        <f>IF(B510="","",COUNT('Diário 5º PA'!$A$5:$A$2634)+COUNT('Diário 6º PA'!$A$5:$A$2246)+ROW()-4)</f>
        <v>3049</v>
      </c>
      <c r="B510" s="278">
        <v>44414</v>
      </c>
      <c r="C510" s="335">
        <v>44378</v>
      </c>
      <c r="D510" s="255" t="s">
        <v>88</v>
      </c>
      <c r="E510" s="255" t="s">
        <v>171</v>
      </c>
      <c r="F510" s="258">
        <v>-2710.43</v>
      </c>
      <c r="G510" s="450" t="s">
        <v>1744</v>
      </c>
      <c r="H510" s="255" t="s">
        <v>114</v>
      </c>
      <c r="I510" s="250" t="s">
        <v>983</v>
      </c>
      <c r="J510" s="255" t="s">
        <v>850</v>
      </c>
      <c r="K510" s="255" t="s">
        <v>946</v>
      </c>
      <c r="L510" s="250" t="s">
        <v>947</v>
      </c>
      <c r="M510" s="277" t="s">
        <v>114</v>
      </c>
      <c r="N510" s="278">
        <v>44414</v>
      </c>
      <c r="O510" s="329" t="s">
        <v>67</v>
      </c>
      <c r="P510" s="330">
        <f t="shared" si="22"/>
        <v>8</v>
      </c>
      <c r="Q510" s="330">
        <f t="shared" si="23"/>
        <v>7</v>
      </c>
      <c r="R510" s="331" t="str">
        <f t="shared" si="24"/>
        <v>Gastos_com_Pessoal</v>
      </c>
      <c r="S510" s="331" t="str">
        <f>IF(D510="","",IF(OR(D510=Plano!$A$1,D510=Plano!$B$1),"entrada","saída"))</f>
        <v>saída</v>
      </c>
      <c r="T510" s="332" t="s">
        <v>114</v>
      </c>
      <c r="U510" s="332" t="s">
        <v>114</v>
      </c>
      <c r="V510" s="269"/>
      <c r="W510" s="269"/>
      <c r="X510" s="269"/>
      <c r="Y510" s="269"/>
      <c r="Z510" s="269"/>
      <c r="AA510" s="269"/>
      <c r="AB510" s="269"/>
      <c r="AC510" s="269"/>
      <c r="AD510" s="269"/>
      <c r="AE510" s="269"/>
      <c r="AF510" s="269"/>
      <c r="AG510" s="269"/>
      <c r="AH510" s="269"/>
      <c r="AI510" s="269"/>
      <c r="AJ510" s="269"/>
      <c r="AK510" s="269"/>
      <c r="AL510" s="269"/>
      <c r="AM510" s="269"/>
    </row>
    <row r="511" spans="1:39" ht="54.75" customHeight="1" x14ac:dyDescent="0.2">
      <c r="A511" s="277">
        <f>IF(B511="","",COUNT('Diário 5º PA'!$A$5:$A$2634)+COUNT('Diário 6º PA'!$A$5:$A$2246)+ROW()-4)</f>
        <v>3050</v>
      </c>
      <c r="B511" s="278">
        <v>44414</v>
      </c>
      <c r="C511" s="335">
        <v>44378</v>
      </c>
      <c r="D511" s="255" t="s">
        <v>99</v>
      </c>
      <c r="E511" s="255" t="s">
        <v>330</v>
      </c>
      <c r="F511" s="257">
        <v>-161.85</v>
      </c>
      <c r="G511" s="453" t="s">
        <v>1745</v>
      </c>
      <c r="H511" s="255" t="s">
        <v>115</v>
      </c>
      <c r="I511" s="250" t="s">
        <v>983</v>
      </c>
      <c r="J511" s="255" t="s">
        <v>850</v>
      </c>
      <c r="K511" s="255" t="s">
        <v>946</v>
      </c>
      <c r="L511" s="250" t="s">
        <v>947</v>
      </c>
      <c r="M511" s="277" t="s">
        <v>114</v>
      </c>
      <c r="N511" s="278">
        <v>44414</v>
      </c>
      <c r="O511" s="329" t="s">
        <v>67</v>
      </c>
      <c r="P511" s="330">
        <f t="shared" si="22"/>
        <v>8</v>
      </c>
      <c r="Q511" s="330">
        <f t="shared" si="23"/>
        <v>7</v>
      </c>
      <c r="R511" s="331" t="str">
        <f t="shared" si="24"/>
        <v>Gastos_Gerais</v>
      </c>
      <c r="S511" s="331" t="str">
        <f>IF(D511="","",IF(OR(D511=Plano!$A$1,D511=Plano!$B$1),"entrada","saída"))</f>
        <v>saída</v>
      </c>
      <c r="T511" s="332" t="s">
        <v>114</v>
      </c>
      <c r="U511" s="332" t="s">
        <v>114</v>
      </c>
      <c r="V511" s="269"/>
      <c r="W511" s="269"/>
      <c r="X511" s="269"/>
      <c r="Y511" s="269"/>
      <c r="Z511" s="269"/>
      <c r="AA511" s="269"/>
      <c r="AB511" s="269"/>
      <c r="AC511" s="269"/>
      <c r="AD511" s="269"/>
      <c r="AE511" s="269"/>
      <c r="AF511" s="269"/>
      <c r="AG511" s="269"/>
      <c r="AH511" s="269"/>
      <c r="AI511" s="269"/>
      <c r="AJ511" s="269"/>
      <c r="AK511" s="269"/>
      <c r="AL511" s="269"/>
      <c r="AM511" s="269"/>
    </row>
    <row r="512" spans="1:39" ht="60" customHeight="1" x14ac:dyDescent="0.2">
      <c r="A512" s="277">
        <f>IF(B512="","",COUNT('Diário 5º PA'!$A$5:$A$2634)+COUNT('Diário 6º PA'!$A$5:$A$2246)+ROW()-4)</f>
        <v>3051</v>
      </c>
      <c r="B512" s="278">
        <v>44414</v>
      </c>
      <c r="C512" s="335">
        <v>44378</v>
      </c>
      <c r="D512" s="255" t="s">
        <v>88</v>
      </c>
      <c r="E512" s="255" t="s">
        <v>171</v>
      </c>
      <c r="F512" s="258">
        <v>-89.84</v>
      </c>
      <c r="G512" s="450" t="s">
        <v>1251</v>
      </c>
      <c r="H512" s="255" t="s">
        <v>114</v>
      </c>
      <c r="I512" s="250" t="s">
        <v>983</v>
      </c>
      <c r="J512" s="255" t="s">
        <v>850</v>
      </c>
      <c r="K512" s="255" t="s">
        <v>946</v>
      </c>
      <c r="L512" s="250" t="s">
        <v>947</v>
      </c>
      <c r="M512" s="277" t="s">
        <v>114</v>
      </c>
      <c r="N512" s="278">
        <v>44414</v>
      </c>
      <c r="O512" s="329" t="s">
        <v>67</v>
      </c>
      <c r="P512" s="330">
        <f t="shared" si="22"/>
        <v>8</v>
      </c>
      <c r="Q512" s="330">
        <f t="shared" si="23"/>
        <v>7</v>
      </c>
      <c r="R512" s="331" t="str">
        <f t="shared" si="24"/>
        <v>Gastos_com_Pessoal</v>
      </c>
      <c r="S512" s="331" t="str">
        <f>IF(D512="","",IF(OR(D512=Plano!$A$1,D512=Plano!$B$1),"entrada","saída"))</f>
        <v>saída</v>
      </c>
      <c r="T512" s="332" t="s">
        <v>114</v>
      </c>
      <c r="U512" s="332" t="s">
        <v>114</v>
      </c>
      <c r="V512" s="269"/>
      <c r="W512" s="269"/>
      <c r="X512" s="269"/>
      <c r="Y512" s="269"/>
      <c r="Z512" s="269"/>
      <c r="AA512" s="269"/>
      <c r="AB512" s="269"/>
      <c r="AC512" s="269"/>
      <c r="AD512" s="269"/>
      <c r="AE512" s="269"/>
      <c r="AF512" s="269"/>
      <c r="AG512" s="269"/>
      <c r="AH512" s="269"/>
      <c r="AI512" s="269"/>
      <c r="AJ512" s="269"/>
      <c r="AK512" s="269"/>
      <c r="AL512" s="269"/>
      <c r="AM512" s="269"/>
    </row>
    <row r="513" spans="1:39" ht="57.75" customHeight="1" x14ac:dyDescent="0.2">
      <c r="A513" s="277">
        <f>IF(B513="","",COUNT('Diário 5º PA'!$A$5:$A$2634)+COUNT('Diário 6º PA'!$A$5:$A$2246)+ROW()-4)</f>
        <v>3052</v>
      </c>
      <c r="B513" s="278">
        <v>44414</v>
      </c>
      <c r="C513" s="249">
        <v>44378</v>
      </c>
      <c r="D513" s="250" t="s">
        <v>99</v>
      </c>
      <c r="E513" s="250" t="s">
        <v>364</v>
      </c>
      <c r="F513" s="251">
        <v>1600</v>
      </c>
      <c r="G513" s="452" t="s">
        <v>1746</v>
      </c>
      <c r="H513" s="250" t="s">
        <v>118</v>
      </c>
      <c r="I513" s="250" t="s">
        <v>1022</v>
      </c>
      <c r="J513" s="250" t="s">
        <v>1747</v>
      </c>
      <c r="K513" s="255" t="s">
        <v>1015</v>
      </c>
      <c r="L513" s="250" t="s">
        <v>1016</v>
      </c>
      <c r="M513" s="277">
        <v>246</v>
      </c>
      <c r="N513" s="278">
        <v>44413</v>
      </c>
      <c r="O513" s="329" t="s">
        <v>67</v>
      </c>
      <c r="P513" s="330">
        <f t="shared" si="22"/>
        <v>8</v>
      </c>
      <c r="Q513" s="330">
        <f t="shared" si="23"/>
        <v>7</v>
      </c>
      <c r="R513" s="331" t="str">
        <f t="shared" si="24"/>
        <v>Gastos_Gerais</v>
      </c>
      <c r="S513" s="331" t="str">
        <f>IF(D513="","",IF(OR(D513=Plano!$A$1,D513=Plano!$B$1),"entrada","saída"))</f>
        <v>saída</v>
      </c>
      <c r="T513" s="334" t="s">
        <v>994</v>
      </c>
      <c r="U513" s="334">
        <v>1729</v>
      </c>
      <c r="V513" s="269"/>
      <c r="W513" s="269"/>
      <c r="X513" s="269"/>
      <c r="Y513" s="269"/>
      <c r="Z513" s="269"/>
      <c r="AA513" s="269"/>
      <c r="AB513" s="269"/>
      <c r="AC513" s="269"/>
      <c r="AD513" s="269"/>
      <c r="AE513" s="269"/>
      <c r="AF513" s="269"/>
      <c r="AG513" s="269"/>
      <c r="AH513" s="269"/>
      <c r="AI513" s="269"/>
      <c r="AJ513" s="269"/>
      <c r="AK513" s="269"/>
      <c r="AL513" s="269"/>
      <c r="AM513" s="269"/>
    </row>
    <row r="514" spans="1:39" ht="37.5" customHeight="1" x14ac:dyDescent="0.2">
      <c r="A514" s="277">
        <f>IF(B514="","",COUNT('Diário 5º PA'!$A$5:$A$2634)+COUNT('Diário 6º PA'!$A$5:$A$2246)+ROW()-4)</f>
        <v>3053</v>
      </c>
      <c r="B514" s="278">
        <v>44414</v>
      </c>
      <c r="C514" s="249">
        <v>44378</v>
      </c>
      <c r="D514" s="255" t="s">
        <v>88</v>
      </c>
      <c r="E514" s="255" t="s">
        <v>90</v>
      </c>
      <c r="F514" s="258">
        <v>9170.23</v>
      </c>
      <c r="G514" s="450" t="s">
        <v>1748</v>
      </c>
      <c r="H514" s="255" t="s">
        <v>114</v>
      </c>
      <c r="I514" s="250" t="s">
        <v>1181</v>
      </c>
      <c r="J514" s="255" t="s">
        <v>1182</v>
      </c>
      <c r="K514" s="255" t="s">
        <v>991</v>
      </c>
      <c r="L514" s="250" t="s">
        <v>1183</v>
      </c>
      <c r="M514" s="277" t="s">
        <v>114</v>
      </c>
      <c r="N514" s="278">
        <v>44414</v>
      </c>
      <c r="O514" s="329" t="s">
        <v>67</v>
      </c>
      <c r="P514" s="330">
        <f t="shared" si="22"/>
        <v>8</v>
      </c>
      <c r="Q514" s="330">
        <f t="shared" si="23"/>
        <v>7</v>
      </c>
      <c r="R514" s="331" t="str">
        <f t="shared" si="24"/>
        <v>Gastos_com_Pessoal</v>
      </c>
      <c r="S514" s="331" t="str">
        <f>IF(D514="","",IF(OR(D514=Plano!$A$1,D514=Plano!$B$1),"entrada","saída"))</f>
        <v>saída</v>
      </c>
      <c r="T514" s="332" t="s">
        <v>114</v>
      </c>
      <c r="U514" s="332" t="s">
        <v>114</v>
      </c>
      <c r="V514" s="269"/>
      <c r="W514" s="269"/>
      <c r="X514" s="269"/>
      <c r="Y514" s="269"/>
      <c r="Z514" s="269"/>
      <c r="AA514" s="269"/>
      <c r="AB514" s="269"/>
      <c r="AC514" s="269"/>
      <c r="AD514" s="269"/>
      <c r="AE514" s="269"/>
      <c r="AF514" s="269"/>
      <c r="AG514" s="269"/>
      <c r="AH514" s="269"/>
      <c r="AI514" s="269"/>
      <c r="AJ514" s="269"/>
      <c r="AK514" s="269"/>
      <c r="AL514" s="269"/>
      <c r="AM514" s="269"/>
    </row>
    <row r="515" spans="1:39" ht="47.25" customHeight="1" x14ac:dyDescent="0.2">
      <c r="A515" s="277">
        <f>IF(B515="","",COUNT('Diário 5º PA'!$A$5:$A$2634)+COUNT('Diário 6º PA'!$A$5:$A$2246)+ROW()-4)</f>
        <v>3054</v>
      </c>
      <c r="B515" s="278">
        <v>44414</v>
      </c>
      <c r="C515" s="249">
        <v>44378</v>
      </c>
      <c r="D515" s="255" t="s">
        <v>88</v>
      </c>
      <c r="E515" s="255" t="s">
        <v>90</v>
      </c>
      <c r="F515" s="258">
        <v>3105.06</v>
      </c>
      <c r="G515" s="450" t="s">
        <v>1749</v>
      </c>
      <c r="H515" s="255" t="s">
        <v>114</v>
      </c>
      <c r="I515" s="250" t="s">
        <v>1185</v>
      </c>
      <c r="J515" s="250" t="s">
        <v>1186</v>
      </c>
      <c r="K515" s="255" t="s">
        <v>991</v>
      </c>
      <c r="L515" s="250" t="s">
        <v>1183</v>
      </c>
      <c r="M515" s="277" t="s">
        <v>114</v>
      </c>
      <c r="N515" s="278">
        <v>44414</v>
      </c>
      <c r="O515" s="329" t="s">
        <v>67</v>
      </c>
      <c r="P515" s="330">
        <f t="shared" si="22"/>
        <v>8</v>
      </c>
      <c r="Q515" s="330">
        <f t="shared" si="23"/>
        <v>7</v>
      </c>
      <c r="R515" s="331" t="str">
        <f t="shared" si="24"/>
        <v>Gastos_com_Pessoal</v>
      </c>
      <c r="S515" s="331" t="str">
        <f>IF(D515="","",IF(OR(D515=Plano!$A$1,D515=Plano!$B$1),"entrada","saída"))</f>
        <v>saída</v>
      </c>
      <c r="T515" s="332" t="s">
        <v>114</v>
      </c>
      <c r="U515" s="332" t="s">
        <v>114</v>
      </c>
      <c r="V515" s="269"/>
      <c r="W515" s="269"/>
      <c r="X515" s="269"/>
      <c r="Y515" s="269"/>
      <c r="Z515" s="269"/>
      <c r="AA515" s="269"/>
      <c r="AB515" s="269"/>
      <c r="AC515" s="269"/>
      <c r="AD515" s="269"/>
      <c r="AE515" s="269"/>
      <c r="AF515" s="269"/>
      <c r="AG515" s="269"/>
      <c r="AH515" s="269"/>
      <c r="AI515" s="269"/>
      <c r="AJ515" s="269"/>
      <c r="AK515" s="269"/>
      <c r="AL515" s="269"/>
      <c r="AM515" s="269"/>
    </row>
    <row r="516" spans="1:39" ht="49.5" customHeight="1" x14ac:dyDescent="0.2">
      <c r="A516" s="277">
        <f>IF(B516="","",COUNT('Diário 5º PA'!$A$5:$A$2634)+COUNT('Diário 6º PA'!$A$5:$A$2246)+ROW()-4)</f>
        <v>3055</v>
      </c>
      <c r="B516" s="278">
        <v>44414</v>
      </c>
      <c r="C516" s="249">
        <v>44378</v>
      </c>
      <c r="D516" s="255" t="s">
        <v>88</v>
      </c>
      <c r="E516" s="255" t="s">
        <v>90</v>
      </c>
      <c r="F516" s="258">
        <v>1466.9</v>
      </c>
      <c r="G516" s="450" t="s">
        <v>1750</v>
      </c>
      <c r="H516" s="255" t="s">
        <v>114</v>
      </c>
      <c r="I516" s="250" t="s">
        <v>1188</v>
      </c>
      <c r="J516" s="250" t="s">
        <v>1189</v>
      </c>
      <c r="K516" s="255" t="s">
        <v>991</v>
      </c>
      <c r="L516" s="250" t="s">
        <v>1183</v>
      </c>
      <c r="M516" s="277" t="s">
        <v>114</v>
      </c>
      <c r="N516" s="278">
        <v>44414</v>
      </c>
      <c r="O516" s="329" t="s">
        <v>67</v>
      </c>
      <c r="P516" s="330">
        <f t="shared" si="22"/>
        <v>8</v>
      </c>
      <c r="Q516" s="330">
        <f t="shared" si="23"/>
        <v>7</v>
      </c>
      <c r="R516" s="331" t="str">
        <f t="shared" si="24"/>
        <v>Gastos_com_Pessoal</v>
      </c>
      <c r="S516" s="331" t="str">
        <f>IF(D516="","",IF(OR(D516=Plano!$A$1,D516=Plano!$B$1),"entrada","saída"))</f>
        <v>saída</v>
      </c>
      <c r="T516" s="332" t="s">
        <v>114</v>
      </c>
      <c r="U516" s="332" t="s">
        <v>114</v>
      </c>
      <c r="V516" s="269"/>
      <c r="W516" s="269"/>
      <c r="X516" s="269"/>
      <c r="Y516" s="269"/>
      <c r="Z516" s="269"/>
      <c r="AA516" s="269"/>
      <c r="AB516" s="269"/>
      <c r="AC516" s="269"/>
      <c r="AD516" s="269"/>
      <c r="AE516" s="269"/>
      <c r="AF516" s="269"/>
      <c r="AG516" s="269"/>
      <c r="AH516" s="269"/>
      <c r="AI516" s="269"/>
      <c r="AJ516" s="269"/>
      <c r="AK516" s="269"/>
      <c r="AL516" s="269"/>
      <c r="AM516" s="269"/>
    </row>
    <row r="517" spans="1:39" ht="41.25" customHeight="1" x14ac:dyDescent="0.2">
      <c r="A517" s="277">
        <f>IF(B517="","",COUNT('Diário 5º PA'!$A$5:$A$2634)+COUNT('Diário 6º PA'!$A$5:$A$2246)+ROW()-4)</f>
        <v>3056</v>
      </c>
      <c r="B517" s="278">
        <v>44414</v>
      </c>
      <c r="C517" s="249">
        <v>44378</v>
      </c>
      <c r="D517" s="255" t="s">
        <v>88</v>
      </c>
      <c r="E517" s="255" t="s">
        <v>90</v>
      </c>
      <c r="F517" s="258">
        <v>3549.36</v>
      </c>
      <c r="G517" s="450" t="s">
        <v>1751</v>
      </c>
      <c r="H517" s="255" t="s">
        <v>114</v>
      </c>
      <c r="I517" s="250" t="s">
        <v>1191</v>
      </c>
      <c r="J517" s="255" t="s">
        <v>1192</v>
      </c>
      <c r="K517" s="255" t="s">
        <v>991</v>
      </c>
      <c r="L517" s="250" t="s">
        <v>1183</v>
      </c>
      <c r="M517" s="277" t="s">
        <v>114</v>
      </c>
      <c r="N517" s="278">
        <v>44414</v>
      </c>
      <c r="O517" s="329" t="s">
        <v>67</v>
      </c>
      <c r="P517" s="330">
        <f t="shared" si="22"/>
        <v>8</v>
      </c>
      <c r="Q517" s="330">
        <f t="shared" si="23"/>
        <v>7</v>
      </c>
      <c r="R517" s="331" t="str">
        <f t="shared" si="24"/>
        <v>Gastos_com_Pessoal</v>
      </c>
      <c r="S517" s="331" t="str">
        <f>IF(D517="","",IF(OR(D517=Plano!$A$1,D517=Plano!$B$1),"entrada","saída"))</f>
        <v>saída</v>
      </c>
      <c r="T517" s="332" t="s">
        <v>114</v>
      </c>
      <c r="U517" s="332" t="s">
        <v>114</v>
      </c>
      <c r="V517" s="269"/>
      <c r="W517" s="269"/>
      <c r="X517" s="269"/>
      <c r="Y517" s="269"/>
      <c r="Z517" s="269"/>
      <c r="AA517" s="269"/>
      <c r="AB517" s="269"/>
      <c r="AC517" s="269"/>
      <c r="AD517" s="269"/>
      <c r="AE517" s="269"/>
      <c r="AF517" s="269"/>
      <c r="AG517" s="269"/>
      <c r="AH517" s="269"/>
      <c r="AI517" s="269"/>
      <c r="AJ517" s="269"/>
      <c r="AK517" s="269"/>
      <c r="AL517" s="269"/>
      <c r="AM517" s="269"/>
    </row>
    <row r="518" spans="1:39" ht="47.25" customHeight="1" x14ac:dyDescent="0.2">
      <c r="A518" s="277">
        <f>IF(B518="","",COUNT('Diário 5º PA'!$A$5:$A$2634)+COUNT('Diário 6º PA'!$A$5:$A$2246)+ROW()-4)</f>
        <v>3057</v>
      </c>
      <c r="B518" s="278">
        <v>44414</v>
      </c>
      <c r="C518" s="249">
        <v>44378</v>
      </c>
      <c r="D518" s="255" t="s">
        <v>88</v>
      </c>
      <c r="E518" s="255" t="s">
        <v>90</v>
      </c>
      <c r="F518" s="258">
        <v>2756.83</v>
      </c>
      <c r="G518" s="450" t="s">
        <v>1752</v>
      </c>
      <c r="H518" s="255" t="s">
        <v>114</v>
      </c>
      <c r="I518" s="250" t="s">
        <v>1208</v>
      </c>
      <c r="J518" s="250" t="s">
        <v>1209</v>
      </c>
      <c r="K518" s="255" t="s">
        <v>991</v>
      </c>
      <c r="L518" s="250" t="s">
        <v>1183</v>
      </c>
      <c r="M518" s="277" t="s">
        <v>114</v>
      </c>
      <c r="N518" s="278">
        <v>44414</v>
      </c>
      <c r="O518" s="329" t="s">
        <v>67</v>
      </c>
      <c r="P518" s="330">
        <f t="shared" si="22"/>
        <v>8</v>
      </c>
      <c r="Q518" s="330">
        <f t="shared" si="23"/>
        <v>7</v>
      </c>
      <c r="R518" s="331" t="str">
        <f t="shared" si="24"/>
        <v>Gastos_com_Pessoal</v>
      </c>
      <c r="S518" s="331" t="str">
        <f>IF(D518="","",IF(OR(D518=Plano!$A$1,D518=Plano!$B$1),"entrada","saída"))</f>
        <v>saída</v>
      </c>
      <c r="T518" s="332" t="s">
        <v>114</v>
      </c>
      <c r="U518" s="332" t="s">
        <v>114</v>
      </c>
      <c r="V518" s="269"/>
      <c r="W518" s="269"/>
      <c r="X518" s="269"/>
      <c r="Y518" s="269"/>
      <c r="Z518" s="269"/>
      <c r="AA518" s="269"/>
      <c r="AB518" s="269"/>
      <c r="AC518" s="269"/>
      <c r="AD518" s="269"/>
      <c r="AE518" s="269"/>
      <c r="AF518" s="269"/>
      <c r="AG518" s="269"/>
      <c r="AH518" s="269"/>
      <c r="AI518" s="269"/>
      <c r="AJ518" s="269"/>
      <c r="AK518" s="269"/>
      <c r="AL518" s="269"/>
      <c r="AM518" s="269"/>
    </row>
    <row r="519" spans="1:39" ht="42" customHeight="1" x14ac:dyDescent="0.2">
      <c r="A519" s="277">
        <f>IF(B519="","",COUNT('Diário 5º PA'!$A$5:$A$2634)+COUNT('Diário 6º PA'!$A$5:$A$2246)+ROW()-4)</f>
        <v>3058</v>
      </c>
      <c r="B519" s="278">
        <v>44414</v>
      </c>
      <c r="C519" s="249">
        <v>44378</v>
      </c>
      <c r="D519" s="255" t="s">
        <v>88</v>
      </c>
      <c r="E519" s="255" t="s">
        <v>90</v>
      </c>
      <c r="F519" s="258">
        <v>10348.59</v>
      </c>
      <c r="G519" s="450" t="s">
        <v>1753</v>
      </c>
      <c r="H519" s="255" t="s">
        <v>114</v>
      </c>
      <c r="I519" s="250" t="s">
        <v>1197</v>
      </c>
      <c r="J519" s="255" t="s">
        <v>1198</v>
      </c>
      <c r="K519" s="255" t="s">
        <v>991</v>
      </c>
      <c r="L519" s="250" t="s">
        <v>1183</v>
      </c>
      <c r="M519" s="277" t="s">
        <v>114</v>
      </c>
      <c r="N519" s="278">
        <v>44414</v>
      </c>
      <c r="O519" s="329" t="s">
        <v>67</v>
      </c>
      <c r="P519" s="330">
        <f t="shared" ref="P519:P582" si="28">IF(B519=0,0,IF(YEAR(B519)=$Q$1,MONTH(B519)-$P$1+1,(YEAR(B519)-$Q$1)*12-$P$1+1+MONTH(B519)))</f>
        <v>8</v>
      </c>
      <c r="Q519" s="330">
        <f t="shared" ref="Q519:Q582" si="29">IF(C519=0,0,IF(YEAR(C519)=$Q$1,MONTH(C519)-$P$1+1,(YEAR(C519)-$Q$1)*12-$P$1+1+MONTH(C519)))</f>
        <v>7</v>
      </c>
      <c r="R519" s="331" t="str">
        <f t="shared" ref="R519:R582" si="30">SUBSTITUTE(D519," ","_")</f>
        <v>Gastos_com_Pessoal</v>
      </c>
      <c r="S519" s="331" t="str">
        <f>IF(D519="","",IF(OR(D519=Plano!$A$1,D519=Plano!$B$1),"entrada","saída"))</f>
        <v>saída</v>
      </c>
      <c r="T519" s="332" t="s">
        <v>114</v>
      </c>
      <c r="U519" s="332" t="s">
        <v>114</v>
      </c>
      <c r="V519" s="269"/>
      <c r="W519" s="269"/>
      <c r="X519" s="269"/>
      <c r="Y519" s="269"/>
      <c r="Z519" s="269"/>
      <c r="AA519" s="269"/>
      <c r="AB519" s="269"/>
      <c r="AC519" s="269"/>
      <c r="AD519" s="269"/>
      <c r="AE519" s="269"/>
      <c r="AF519" s="269"/>
      <c r="AG519" s="269"/>
      <c r="AH519" s="269"/>
      <c r="AI519" s="269"/>
      <c r="AJ519" s="269"/>
      <c r="AK519" s="269"/>
      <c r="AL519" s="269"/>
      <c r="AM519" s="269"/>
    </row>
    <row r="520" spans="1:39" ht="51" customHeight="1" x14ac:dyDescent="0.2">
      <c r="A520" s="277">
        <f>IF(B520="","",COUNT('Diário 5º PA'!$A$5:$A$2634)+COUNT('Diário 6º PA'!$A$5:$A$2246)+ROW()-4)</f>
        <v>3059</v>
      </c>
      <c r="B520" s="278">
        <v>44414</v>
      </c>
      <c r="C520" s="249">
        <v>44378</v>
      </c>
      <c r="D520" s="255" t="s">
        <v>88</v>
      </c>
      <c r="E520" s="255" t="s">
        <v>90</v>
      </c>
      <c r="F520" s="258">
        <v>2712.3</v>
      </c>
      <c r="G520" s="450" t="s">
        <v>1752</v>
      </c>
      <c r="H520" s="255" t="s">
        <v>114</v>
      </c>
      <c r="I520" s="250" t="s">
        <v>1200</v>
      </c>
      <c r="J520" s="250" t="s">
        <v>1201</v>
      </c>
      <c r="K520" s="255" t="s">
        <v>991</v>
      </c>
      <c r="L520" s="250" t="s">
        <v>1183</v>
      </c>
      <c r="M520" s="277" t="s">
        <v>114</v>
      </c>
      <c r="N520" s="278">
        <v>44414</v>
      </c>
      <c r="O520" s="329" t="s">
        <v>67</v>
      </c>
      <c r="P520" s="330">
        <f t="shared" si="28"/>
        <v>8</v>
      </c>
      <c r="Q520" s="330">
        <f t="shared" si="29"/>
        <v>7</v>
      </c>
      <c r="R520" s="331" t="str">
        <f t="shared" si="30"/>
        <v>Gastos_com_Pessoal</v>
      </c>
      <c r="S520" s="331" t="str">
        <f>IF(D520="","",IF(OR(D520=Plano!$A$1,D520=Plano!$B$1),"entrada","saída"))</f>
        <v>saída</v>
      </c>
      <c r="T520" s="332" t="s">
        <v>114</v>
      </c>
      <c r="U520" s="332" t="s">
        <v>114</v>
      </c>
      <c r="V520" s="269"/>
      <c r="W520" s="269"/>
      <c r="X520" s="269"/>
      <c r="Y520" s="269"/>
      <c r="Z520" s="269"/>
      <c r="AA520" s="269"/>
      <c r="AB520" s="269"/>
      <c r="AC520" s="269"/>
      <c r="AD520" s="269"/>
      <c r="AE520" s="269"/>
      <c r="AF520" s="269"/>
      <c r="AG520" s="269"/>
      <c r="AH520" s="269"/>
      <c r="AI520" s="269"/>
      <c r="AJ520" s="269"/>
      <c r="AK520" s="269"/>
      <c r="AL520" s="269"/>
      <c r="AM520" s="269"/>
    </row>
    <row r="521" spans="1:39" ht="42" customHeight="1" x14ac:dyDescent="0.2">
      <c r="A521" s="277">
        <f>IF(B521="","",COUNT('Diário 5º PA'!$A$5:$A$2634)+COUNT('Diário 6º PA'!$A$5:$A$2246)+ROW()-4)</f>
        <v>3060</v>
      </c>
      <c r="B521" s="278">
        <v>44414</v>
      </c>
      <c r="C521" s="249">
        <v>44378</v>
      </c>
      <c r="D521" s="255" t="s">
        <v>88</v>
      </c>
      <c r="E521" s="255" t="s">
        <v>90</v>
      </c>
      <c r="F521" s="258">
        <v>1072.1500000000001</v>
      </c>
      <c r="G521" s="450" t="s">
        <v>1754</v>
      </c>
      <c r="H521" s="255" t="s">
        <v>114</v>
      </c>
      <c r="I521" s="250" t="s">
        <v>1203</v>
      </c>
      <c r="J521" s="250" t="s">
        <v>1204</v>
      </c>
      <c r="K521" s="255" t="s">
        <v>991</v>
      </c>
      <c r="L521" s="250" t="s">
        <v>1183</v>
      </c>
      <c r="M521" s="277" t="s">
        <v>114</v>
      </c>
      <c r="N521" s="278">
        <v>44414</v>
      </c>
      <c r="O521" s="329" t="s">
        <v>67</v>
      </c>
      <c r="P521" s="330">
        <f t="shared" si="28"/>
        <v>8</v>
      </c>
      <c r="Q521" s="330">
        <f t="shared" si="29"/>
        <v>7</v>
      </c>
      <c r="R521" s="331" t="str">
        <f t="shared" si="30"/>
        <v>Gastos_com_Pessoal</v>
      </c>
      <c r="S521" s="331" t="str">
        <f>IF(D521="","",IF(OR(D521=Plano!$A$1,D521=Plano!$B$1),"entrada","saída"))</f>
        <v>saída</v>
      </c>
      <c r="T521" s="332" t="s">
        <v>114</v>
      </c>
      <c r="U521" s="332" t="s">
        <v>114</v>
      </c>
      <c r="V521" s="269"/>
      <c r="W521" s="269"/>
      <c r="X521" s="269"/>
      <c r="Y521" s="269"/>
      <c r="Z521" s="269"/>
      <c r="AA521" s="269"/>
      <c r="AB521" s="269"/>
      <c r="AC521" s="269"/>
      <c r="AD521" s="269"/>
      <c r="AE521" s="269"/>
      <c r="AF521" s="269"/>
      <c r="AG521" s="269"/>
      <c r="AH521" s="269"/>
      <c r="AI521" s="269"/>
      <c r="AJ521" s="269"/>
      <c r="AK521" s="269"/>
      <c r="AL521" s="269"/>
      <c r="AM521" s="269"/>
    </row>
    <row r="522" spans="1:39" ht="55.5" customHeight="1" x14ac:dyDescent="0.2">
      <c r="A522" s="277">
        <f>IF(B522="","",COUNT('Diário 5º PA'!$A$5:$A$2634)+COUNT('Diário 6º PA'!$A$5:$A$2246)+ROW()-4)</f>
        <v>3061</v>
      </c>
      <c r="B522" s="278">
        <v>44414</v>
      </c>
      <c r="C522" s="249">
        <v>44378</v>
      </c>
      <c r="D522" s="255" t="s">
        <v>88</v>
      </c>
      <c r="E522" s="255" t="s">
        <v>90</v>
      </c>
      <c r="F522" s="258">
        <v>1497.7</v>
      </c>
      <c r="G522" s="450" t="s">
        <v>1755</v>
      </c>
      <c r="H522" s="255" t="s">
        <v>114</v>
      </c>
      <c r="I522" s="250" t="s">
        <v>1206</v>
      </c>
      <c r="J522" s="250" t="s">
        <v>1207</v>
      </c>
      <c r="K522" s="255" t="s">
        <v>991</v>
      </c>
      <c r="L522" s="250" t="s">
        <v>1183</v>
      </c>
      <c r="M522" s="277" t="s">
        <v>114</v>
      </c>
      <c r="N522" s="278">
        <v>44414</v>
      </c>
      <c r="O522" s="329" t="s">
        <v>67</v>
      </c>
      <c r="P522" s="330">
        <f t="shared" si="28"/>
        <v>8</v>
      </c>
      <c r="Q522" s="330">
        <f t="shared" si="29"/>
        <v>7</v>
      </c>
      <c r="R522" s="331" t="str">
        <f t="shared" si="30"/>
        <v>Gastos_com_Pessoal</v>
      </c>
      <c r="S522" s="331" t="str">
        <f>IF(D522="","",IF(OR(D522=Plano!$A$1,D522=Plano!$B$1),"entrada","saída"))</f>
        <v>saída</v>
      </c>
      <c r="T522" s="332" t="s">
        <v>114</v>
      </c>
      <c r="U522" s="332" t="s">
        <v>114</v>
      </c>
      <c r="V522" s="269"/>
      <c r="W522" s="269"/>
      <c r="X522" s="269"/>
      <c r="Y522" s="269"/>
      <c r="Z522" s="269"/>
      <c r="AA522" s="269"/>
      <c r="AB522" s="269"/>
      <c r="AC522" s="269"/>
      <c r="AD522" s="269"/>
      <c r="AE522" s="269"/>
      <c r="AF522" s="269"/>
      <c r="AG522" s="269"/>
      <c r="AH522" s="269"/>
      <c r="AI522" s="269"/>
      <c r="AJ522" s="269"/>
      <c r="AK522" s="269"/>
      <c r="AL522" s="269"/>
      <c r="AM522" s="269"/>
    </row>
    <row r="523" spans="1:39" ht="55.5" customHeight="1" x14ac:dyDescent="0.2">
      <c r="A523" s="277">
        <f>IF(B523="","",COUNT('Diário 5º PA'!$A$5:$A$2634)+COUNT('Diário 6º PA'!$A$5:$A$2246)+ROW()-4)</f>
        <v>3062</v>
      </c>
      <c r="B523" s="278">
        <v>44414</v>
      </c>
      <c r="C523" s="249">
        <v>44378</v>
      </c>
      <c r="D523" s="255" t="s">
        <v>88</v>
      </c>
      <c r="E523" s="255" t="s">
        <v>90</v>
      </c>
      <c r="F523" s="258">
        <v>1704.41</v>
      </c>
      <c r="G523" s="450" t="s">
        <v>1756</v>
      </c>
      <c r="H523" s="255" t="s">
        <v>114</v>
      </c>
      <c r="I523" s="250" t="s">
        <v>1757</v>
      </c>
      <c r="J523" s="250" t="s">
        <v>1758</v>
      </c>
      <c r="K523" s="255" t="s">
        <v>991</v>
      </c>
      <c r="L523" s="250" t="s">
        <v>1183</v>
      </c>
      <c r="M523" s="277" t="s">
        <v>114</v>
      </c>
      <c r="N523" s="278">
        <v>44414</v>
      </c>
      <c r="O523" s="329" t="s">
        <v>67</v>
      </c>
      <c r="P523" s="330">
        <f t="shared" si="28"/>
        <v>8</v>
      </c>
      <c r="Q523" s="330">
        <f t="shared" si="29"/>
        <v>7</v>
      </c>
      <c r="R523" s="331" t="str">
        <f t="shared" si="30"/>
        <v>Gastos_com_Pessoal</v>
      </c>
      <c r="S523" s="331" t="str">
        <f>IF(D523="","",IF(OR(D523=Plano!$A$1,D523=Plano!$B$1),"entrada","saída"))</f>
        <v>saída</v>
      </c>
      <c r="T523" s="332" t="s">
        <v>114</v>
      </c>
      <c r="U523" s="332" t="s">
        <v>114</v>
      </c>
      <c r="V523" s="269"/>
      <c r="W523" s="269"/>
      <c r="X523" s="269"/>
      <c r="Y523" s="269"/>
      <c r="Z523" s="269"/>
      <c r="AA523" s="269"/>
      <c r="AB523" s="269"/>
      <c r="AC523" s="269"/>
      <c r="AD523" s="269"/>
      <c r="AE523" s="269"/>
      <c r="AF523" s="269"/>
      <c r="AG523" s="269"/>
      <c r="AH523" s="269"/>
      <c r="AI523" s="269"/>
      <c r="AJ523" s="269"/>
      <c r="AK523" s="269"/>
      <c r="AL523" s="269"/>
      <c r="AM523" s="269"/>
    </row>
    <row r="524" spans="1:39" ht="51" customHeight="1" x14ac:dyDescent="0.2">
      <c r="A524" s="277">
        <f>IF(B524="","",COUNT('Diário 5º PA'!$A$5:$A$2634)+COUNT('Diário 6º PA'!$A$5:$A$2246)+ROW()-4)</f>
        <v>3063</v>
      </c>
      <c r="B524" s="278">
        <v>44414</v>
      </c>
      <c r="C524" s="249">
        <v>44378</v>
      </c>
      <c r="D524" s="255" t="s">
        <v>88</v>
      </c>
      <c r="E524" s="255" t="s">
        <v>90</v>
      </c>
      <c r="F524" s="258">
        <v>1410.86</v>
      </c>
      <c r="G524" s="450" t="s">
        <v>1759</v>
      </c>
      <c r="H524" s="255" t="s">
        <v>114</v>
      </c>
      <c r="I524" s="250" t="s">
        <v>1760</v>
      </c>
      <c r="J524" s="250" t="s">
        <v>1761</v>
      </c>
      <c r="K524" s="255" t="s">
        <v>991</v>
      </c>
      <c r="L524" s="250" t="s">
        <v>1183</v>
      </c>
      <c r="M524" s="277" t="s">
        <v>114</v>
      </c>
      <c r="N524" s="278">
        <v>44414</v>
      </c>
      <c r="O524" s="329" t="s">
        <v>67</v>
      </c>
      <c r="P524" s="330">
        <f t="shared" si="28"/>
        <v>8</v>
      </c>
      <c r="Q524" s="330">
        <f t="shared" si="29"/>
        <v>7</v>
      </c>
      <c r="R524" s="331" t="str">
        <f t="shared" si="30"/>
        <v>Gastos_com_Pessoal</v>
      </c>
      <c r="S524" s="331" t="str">
        <f>IF(D524="","",IF(OR(D524=Plano!$A$1,D524=Plano!$B$1),"entrada","saída"))</f>
        <v>saída</v>
      </c>
      <c r="T524" s="332" t="s">
        <v>114</v>
      </c>
      <c r="U524" s="332" t="s">
        <v>114</v>
      </c>
      <c r="V524" s="269"/>
      <c r="W524" s="269"/>
      <c r="X524" s="269"/>
      <c r="Y524" s="269"/>
      <c r="Z524" s="269"/>
      <c r="AA524" s="269"/>
      <c r="AB524" s="269"/>
      <c r="AC524" s="269"/>
      <c r="AD524" s="269"/>
      <c r="AE524" s="269"/>
      <c r="AF524" s="269"/>
      <c r="AG524" s="269"/>
      <c r="AH524" s="269"/>
      <c r="AI524" s="269"/>
      <c r="AJ524" s="269"/>
      <c r="AK524" s="269"/>
      <c r="AL524" s="269"/>
      <c r="AM524" s="269"/>
    </row>
    <row r="525" spans="1:39" ht="57" customHeight="1" x14ac:dyDescent="0.2">
      <c r="A525" s="277">
        <f>IF(B525="","",COUNT('Diário 5º PA'!$A$5:$A$2634)+COUNT('Diário 6º PA'!$A$5:$A$2246)+ROW()-4)</f>
        <v>3064</v>
      </c>
      <c r="B525" s="278">
        <v>44414</v>
      </c>
      <c r="C525" s="249">
        <v>44378</v>
      </c>
      <c r="D525" s="255" t="s">
        <v>88</v>
      </c>
      <c r="E525" s="255" t="s">
        <v>90</v>
      </c>
      <c r="F525" s="258">
        <v>1704.41</v>
      </c>
      <c r="G525" s="450" t="s">
        <v>1762</v>
      </c>
      <c r="H525" s="255" t="s">
        <v>114</v>
      </c>
      <c r="I525" s="250" t="s">
        <v>1763</v>
      </c>
      <c r="J525" s="250" t="s">
        <v>1764</v>
      </c>
      <c r="K525" s="255" t="s">
        <v>991</v>
      </c>
      <c r="L525" s="250" t="s">
        <v>1183</v>
      </c>
      <c r="M525" s="277" t="s">
        <v>114</v>
      </c>
      <c r="N525" s="278">
        <v>44414</v>
      </c>
      <c r="O525" s="329" t="s">
        <v>67</v>
      </c>
      <c r="P525" s="330">
        <f t="shared" si="28"/>
        <v>8</v>
      </c>
      <c r="Q525" s="330">
        <f t="shared" si="29"/>
        <v>7</v>
      </c>
      <c r="R525" s="331" t="str">
        <f t="shared" si="30"/>
        <v>Gastos_com_Pessoal</v>
      </c>
      <c r="S525" s="331" t="str">
        <f>IF(D525="","",IF(OR(D525=Plano!$A$1,D525=Plano!$B$1),"entrada","saída"))</f>
        <v>saída</v>
      </c>
      <c r="T525" s="332" t="s">
        <v>114</v>
      </c>
      <c r="U525" s="332" t="s">
        <v>114</v>
      </c>
      <c r="V525" s="269"/>
      <c r="W525" s="269"/>
      <c r="X525" s="269"/>
      <c r="Y525" s="269"/>
      <c r="Z525" s="269"/>
      <c r="AA525" s="269"/>
      <c r="AB525" s="269"/>
      <c r="AC525" s="269"/>
      <c r="AD525" s="269"/>
      <c r="AE525" s="269"/>
      <c r="AF525" s="269"/>
      <c r="AG525" s="269"/>
      <c r="AH525" s="269"/>
      <c r="AI525" s="269"/>
      <c r="AJ525" s="269"/>
      <c r="AK525" s="269"/>
      <c r="AL525" s="269"/>
      <c r="AM525" s="269"/>
    </row>
    <row r="526" spans="1:39" ht="63.75" customHeight="1" x14ac:dyDescent="0.2">
      <c r="A526" s="277">
        <f>IF(B526="","",COUNT('Diário 5º PA'!$A$5:$A$2634)+COUNT('Diário 6º PA'!$A$5:$A$2246)+ROW()-4)</f>
        <v>3065</v>
      </c>
      <c r="B526" s="278">
        <v>44414</v>
      </c>
      <c r="C526" s="249">
        <v>44378</v>
      </c>
      <c r="D526" s="255" t="s">
        <v>88</v>
      </c>
      <c r="E526" s="255" t="s">
        <v>90</v>
      </c>
      <c r="F526" s="258">
        <v>1704.41</v>
      </c>
      <c r="G526" s="450" t="s">
        <v>1756</v>
      </c>
      <c r="H526" s="255" t="s">
        <v>114</v>
      </c>
      <c r="I526" s="250" t="s">
        <v>1765</v>
      </c>
      <c r="J526" s="250" t="s">
        <v>1766</v>
      </c>
      <c r="K526" s="255" t="s">
        <v>991</v>
      </c>
      <c r="L526" s="250" t="s">
        <v>1183</v>
      </c>
      <c r="M526" s="277" t="s">
        <v>114</v>
      </c>
      <c r="N526" s="278">
        <v>44414</v>
      </c>
      <c r="O526" s="329" t="s">
        <v>67</v>
      </c>
      <c r="P526" s="330">
        <f t="shared" si="28"/>
        <v>8</v>
      </c>
      <c r="Q526" s="330">
        <f t="shared" si="29"/>
        <v>7</v>
      </c>
      <c r="R526" s="331" t="str">
        <f t="shared" si="30"/>
        <v>Gastos_com_Pessoal</v>
      </c>
      <c r="S526" s="331" t="str">
        <f>IF(D526="","",IF(OR(D526=Plano!$A$1,D526=Plano!$B$1),"entrada","saída"))</f>
        <v>saída</v>
      </c>
      <c r="T526" s="332" t="s">
        <v>114</v>
      </c>
      <c r="U526" s="332" t="s">
        <v>114</v>
      </c>
      <c r="V526" s="269"/>
      <c r="W526" s="269"/>
      <c r="X526" s="269"/>
      <c r="Y526" s="269"/>
      <c r="Z526" s="269"/>
      <c r="AA526" s="269"/>
      <c r="AB526" s="269"/>
      <c r="AC526" s="269"/>
      <c r="AD526" s="269"/>
      <c r="AE526" s="269"/>
      <c r="AF526" s="269"/>
      <c r="AG526" s="269"/>
      <c r="AH526" s="269"/>
      <c r="AI526" s="269"/>
      <c r="AJ526" s="269"/>
      <c r="AK526" s="269"/>
      <c r="AL526" s="269"/>
      <c r="AM526" s="269"/>
    </row>
    <row r="527" spans="1:39" ht="51.75" customHeight="1" x14ac:dyDescent="0.2">
      <c r="A527" s="277">
        <f>IF(B527="","",COUNT('Diário 5º PA'!$A$5:$A$2634)+COUNT('Diário 6º PA'!$A$5:$A$2246)+ROW()-4)</f>
        <v>3066</v>
      </c>
      <c r="B527" s="278">
        <v>44414</v>
      </c>
      <c r="C527" s="249">
        <v>44378</v>
      </c>
      <c r="D527" s="255" t="s">
        <v>88</v>
      </c>
      <c r="E527" s="255" t="s">
        <v>90</v>
      </c>
      <c r="F527" s="258">
        <v>1704.41</v>
      </c>
      <c r="G527" s="450" t="s">
        <v>1756</v>
      </c>
      <c r="H527" s="255" t="s">
        <v>114</v>
      </c>
      <c r="I527" s="250" t="s">
        <v>1767</v>
      </c>
      <c r="J527" s="250" t="s">
        <v>1768</v>
      </c>
      <c r="K527" s="255" t="s">
        <v>991</v>
      </c>
      <c r="L527" s="250" t="s">
        <v>1183</v>
      </c>
      <c r="M527" s="277" t="s">
        <v>114</v>
      </c>
      <c r="N527" s="278">
        <v>44414</v>
      </c>
      <c r="O527" s="329" t="s">
        <v>67</v>
      </c>
      <c r="P527" s="330">
        <f t="shared" si="28"/>
        <v>8</v>
      </c>
      <c r="Q527" s="330">
        <f t="shared" si="29"/>
        <v>7</v>
      </c>
      <c r="R527" s="331" t="str">
        <f t="shared" si="30"/>
        <v>Gastos_com_Pessoal</v>
      </c>
      <c r="S527" s="331" t="str">
        <f>IF(D527="","",IF(OR(D527=Plano!$A$1,D527=Plano!$B$1),"entrada","saída"))</f>
        <v>saída</v>
      </c>
      <c r="T527" s="332" t="s">
        <v>114</v>
      </c>
      <c r="U527" s="332" t="s">
        <v>114</v>
      </c>
      <c r="V527" s="269"/>
      <c r="W527" s="269"/>
      <c r="X527" s="269"/>
      <c r="Y527" s="269"/>
      <c r="Z527" s="269"/>
      <c r="AA527" s="269"/>
      <c r="AB527" s="269"/>
      <c r="AC527" s="269"/>
      <c r="AD527" s="269"/>
      <c r="AE527" s="269"/>
      <c r="AF527" s="269"/>
      <c r="AG527" s="269"/>
      <c r="AH527" s="269"/>
      <c r="AI527" s="269"/>
      <c r="AJ527" s="269"/>
      <c r="AK527" s="269"/>
      <c r="AL527" s="269"/>
      <c r="AM527" s="269"/>
    </row>
    <row r="528" spans="1:39" ht="56.25" customHeight="1" x14ac:dyDescent="0.2">
      <c r="A528" s="277">
        <f>IF(B528="","",COUNT('Diário 5º PA'!$A$5:$A$2634)+COUNT('Diário 6º PA'!$A$5:$A$2246)+ROW()-4)</f>
        <v>3067</v>
      </c>
      <c r="B528" s="278">
        <v>44414</v>
      </c>
      <c r="C528" s="249">
        <v>44378</v>
      </c>
      <c r="D528" s="255" t="s">
        <v>88</v>
      </c>
      <c r="E528" s="255" t="s">
        <v>90</v>
      </c>
      <c r="F528" s="258">
        <v>1704.41</v>
      </c>
      <c r="G528" s="450" t="s">
        <v>1756</v>
      </c>
      <c r="H528" s="255" t="s">
        <v>114</v>
      </c>
      <c r="I528" s="250" t="s">
        <v>1769</v>
      </c>
      <c r="J528" s="250" t="s">
        <v>1770</v>
      </c>
      <c r="K528" s="255" t="s">
        <v>991</v>
      </c>
      <c r="L528" s="250" t="s">
        <v>1183</v>
      </c>
      <c r="M528" s="277" t="s">
        <v>114</v>
      </c>
      <c r="N528" s="278">
        <v>44414</v>
      </c>
      <c r="O528" s="329" t="s">
        <v>67</v>
      </c>
      <c r="P528" s="330">
        <f t="shared" si="28"/>
        <v>8</v>
      </c>
      <c r="Q528" s="330">
        <f t="shared" si="29"/>
        <v>7</v>
      </c>
      <c r="R528" s="331" t="str">
        <f t="shared" si="30"/>
        <v>Gastos_com_Pessoal</v>
      </c>
      <c r="S528" s="331" t="str">
        <f>IF(D528="","",IF(OR(D528=Plano!$A$1,D528=Plano!$B$1),"entrada","saída"))</f>
        <v>saída</v>
      </c>
      <c r="T528" s="332" t="s">
        <v>114</v>
      </c>
      <c r="U528" s="332" t="s">
        <v>114</v>
      </c>
      <c r="V528" s="269"/>
      <c r="W528" s="269"/>
      <c r="X528" s="269"/>
      <c r="Y528" s="269"/>
      <c r="Z528" s="269"/>
      <c r="AA528" s="269"/>
      <c r="AB528" s="269"/>
      <c r="AC528" s="269"/>
      <c r="AD528" s="269"/>
      <c r="AE528" s="269"/>
      <c r="AF528" s="269"/>
      <c r="AG528" s="269"/>
      <c r="AH528" s="269"/>
      <c r="AI528" s="269"/>
      <c r="AJ528" s="269"/>
      <c r="AK528" s="269"/>
      <c r="AL528" s="269"/>
      <c r="AM528" s="269"/>
    </row>
    <row r="529" spans="1:39" ht="65.25" customHeight="1" x14ac:dyDescent="0.2">
      <c r="A529" s="277">
        <f>IF(B529="","",COUNT('Diário 5º PA'!$A$5:$A$2634)+COUNT('Diário 6º PA'!$A$5:$A$2246)+ROW()-4)</f>
        <v>3068</v>
      </c>
      <c r="B529" s="278">
        <v>44414</v>
      </c>
      <c r="C529" s="249">
        <v>44378</v>
      </c>
      <c r="D529" s="255" t="s">
        <v>88</v>
      </c>
      <c r="E529" s="255" t="s">
        <v>90</v>
      </c>
      <c r="F529" s="258">
        <v>1704.41</v>
      </c>
      <c r="G529" s="450" t="s">
        <v>1756</v>
      </c>
      <c r="H529" s="255" t="s">
        <v>114</v>
      </c>
      <c r="I529" s="250" t="s">
        <v>1771</v>
      </c>
      <c r="J529" s="250" t="s">
        <v>1772</v>
      </c>
      <c r="K529" s="255" t="s">
        <v>991</v>
      </c>
      <c r="L529" s="250" t="s">
        <v>1183</v>
      </c>
      <c r="M529" s="277" t="s">
        <v>114</v>
      </c>
      <c r="N529" s="278">
        <v>44414</v>
      </c>
      <c r="O529" s="329" t="s">
        <v>67</v>
      </c>
      <c r="P529" s="330">
        <f t="shared" si="28"/>
        <v>8</v>
      </c>
      <c r="Q529" s="330">
        <f t="shared" si="29"/>
        <v>7</v>
      </c>
      <c r="R529" s="331" t="str">
        <f t="shared" si="30"/>
        <v>Gastos_com_Pessoal</v>
      </c>
      <c r="S529" s="331" t="str">
        <f>IF(D529="","",IF(OR(D529=Plano!$A$1,D529=Plano!$B$1),"entrada","saída"))</f>
        <v>saída</v>
      </c>
      <c r="T529" s="332" t="s">
        <v>114</v>
      </c>
      <c r="U529" s="332" t="s">
        <v>114</v>
      </c>
      <c r="V529" s="269"/>
      <c r="W529" s="269"/>
      <c r="X529" s="269"/>
      <c r="Y529" s="269"/>
      <c r="Z529" s="269"/>
      <c r="AA529" s="269"/>
      <c r="AB529" s="269"/>
      <c r="AC529" s="269"/>
      <c r="AD529" s="269"/>
      <c r="AE529" s="269"/>
      <c r="AF529" s="269"/>
      <c r="AG529" s="269"/>
      <c r="AH529" s="269"/>
      <c r="AI529" s="269"/>
      <c r="AJ529" s="269"/>
      <c r="AK529" s="269"/>
      <c r="AL529" s="269"/>
      <c r="AM529" s="269"/>
    </row>
    <row r="530" spans="1:39" ht="62.25" customHeight="1" x14ac:dyDescent="0.2">
      <c r="A530" s="277">
        <f>IF(B530="","",COUNT('Diário 5º PA'!$A$5:$A$2634)+COUNT('Diário 6º PA'!$A$5:$A$2246)+ROW()-4)</f>
        <v>3069</v>
      </c>
      <c r="B530" s="278">
        <v>44414</v>
      </c>
      <c r="C530" s="249">
        <v>44378</v>
      </c>
      <c r="D530" s="255" t="s">
        <v>88</v>
      </c>
      <c r="E530" s="255" t="s">
        <v>90</v>
      </c>
      <c r="F530" s="258">
        <v>1704.41</v>
      </c>
      <c r="G530" s="450" t="s">
        <v>1756</v>
      </c>
      <c r="H530" s="255" t="s">
        <v>114</v>
      </c>
      <c r="I530" s="250" t="s">
        <v>1773</v>
      </c>
      <c r="J530" s="250" t="s">
        <v>1774</v>
      </c>
      <c r="K530" s="255" t="s">
        <v>991</v>
      </c>
      <c r="L530" s="250" t="s">
        <v>1183</v>
      </c>
      <c r="M530" s="277" t="s">
        <v>114</v>
      </c>
      <c r="N530" s="278">
        <v>44414</v>
      </c>
      <c r="O530" s="329" t="s">
        <v>67</v>
      </c>
      <c r="P530" s="330">
        <f t="shared" si="28"/>
        <v>8</v>
      </c>
      <c r="Q530" s="330">
        <f t="shared" si="29"/>
        <v>7</v>
      </c>
      <c r="R530" s="331" t="str">
        <f t="shared" si="30"/>
        <v>Gastos_com_Pessoal</v>
      </c>
      <c r="S530" s="331" t="str">
        <f>IF(D530="","",IF(OR(D530=Plano!$A$1,D530=Plano!$B$1),"entrada","saída"))</f>
        <v>saída</v>
      </c>
      <c r="T530" s="332" t="s">
        <v>114</v>
      </c>
      <c r="U530" s="332" t="s">
        <v>114</v>
      </c>
      <c r="V530" s="269"/>
      <c r="W530" s="269"/>
      <c r="X530" s="269"/>
      <c r="Y530" s="269"/>
      <c r="Z530" s="269"/>
      <c r="AA530" s="269"/>
      <c r="AB530" s="269"/>
      <c r="AC530" s="269"/>
      <c r="AD530" s="269"/>
      <c r="AE530" s="269"/>
      <c r="AF530" s="269"/>
      <c r="AG530" s="269"/>
      <c r="AH530" s="269"/>
      <c r="AI530" s="269"/>
      <c r="AJ530" s="269"/>
      <c r="AK530" s="269"/>
      <c r="AL530" s="269"/>
      <c r="AM530" s="269"/>
    </row>
    <row r="531" spans="1:39" ht="61.5" customHeight="1" x14ac:dyDescent="0.2">
      <c r="A531" s="277">
        <f>IF(B531="","",COUNT('Diário 5º PA'!$A$5:$A$2634)+COUNT('Diário 6º PA'!$A$5:$A$2246)+ROW()-4)</f>
        <v>3070</v>
      </c>
      <c r="B531" s="278">
        <v>44414</v>
      </c>
      <c r="C531" s="249">
        <v>44378</v>
      </c>
      <c r="D531" s="255" t="s">
        <v>88</v>
      </c>
      <c r="E531" s="255" t="s">
        <v>90</v>
      </c>
      <c r="F531" s="258">
        <v>1020.44</v>
      </c>
      <c r="G531" s="450" t="s">
        <v>1775</v>
      </c>
      <c r="H531" s="255" t="s">
        <v>114</v>
      </c>
      <c r="I531" s="250" t="s">
        <v>1776</v>
      </c>
      <c r="J531" s="250" t="s">
        <v>1777</v>
      </c>
      <c r="K531" s="255" t="s">
        <v>991</v>
      </c>
      <c r="L531" s="250" t="s">
        <v>1183</v>
      </c>
      <c r="M531" s="277" t="s">
        <v>114</v>
      </c>
      <c r="N531" s="278">
        <v>44414</v>
      </c>
      <c r="O531" s="329" t="s">
        <v>67</v>
      </c>
      <c r="P531" s="330">
        <f t="shared" si="28"/>
        <v>8</v>
      </c>
      <c r="Q531" s="330">
        <f t="shared" si="29"/>
        <v>7</v>
      </c>
      <c r="R531" s="331" t="str">
        <f t="shared" si="30"/>
        <v>Gastos_com_Pessoal</v>
      </c>
      <c r="S531" s="331" t="str">
        <f>IF(D531="","",IF(OR(D531=Plano!$A$1,D531=Plano!$B$1),"entrada","saída"))</f>
        <v>saída</v>
      </c>
      <c r="T531" s="332" t="s">
        <v>114</v>
      </c>
      <c r="U531" s="332" t="s">
        <v>114</v>
      </c>
      <c r="V531" s="269"/>
      <c r="W531" s="269"/>
      <c r="X531" s="269"/>
      <c r="Y531" s="269"/>
      <c r="Z531" s="269"/>
      <c r="AA531" s="269"/>
      <c r="AB531" s="269"/>
      <c r="AC531" s="269"/>
      <c r="AD531" s="269"/>
      <c r="AE531" s="269"/>
      <c r="AF531" s="269"/>
      <c r="AG531" s="269"/>
      <c r="AH531" s="269"/>
      <c r="AI531" s="269"/>
      <c r="AJ531" s="269"/>
      <c r="AK531" s="269"/>
      <c r="AL531" s="269"/>
      <c r="AM531" s="269"/>
    </row>
    <row r="532" spans="1:39" ht="52.5" customHeight="1" x14ac:dyDescent="0.2">
      <c r="A532" s="277">
        <f>IF(B532="","",COUNT('Diário 5º PA'!$A$5:$A$2634)+COUNT('Diário 6º PA'!$A$5:$A$2246)+ROW()-4)</f>
        <v>3071</v>
      </c>
      <c r="B532" s="278">
        <v>44414</v>
      </c>
      <c r="C532" s="249">
        <v>44378</v>
      </c>
      <c r="D532" s="255" t="s">
        <v>88</v>
      </c>
      <c r="E532" s="255" t="s">
        <v>90</v>
      </c>
      <c r="F532" s="258">
        <v>1704.41</v>
      </c>
      <c r="G532" s="450" t="s">
        <v>1762</v>
      </c>
      <c r="H532" s="255" t="s">
        <v>114</v>
      </c>
      <c r="I532" s="250" t="s">
        <v>1778</v>
      </c>
      <c r="J532" s="250" t="s">
        <v>1779</v>
      </c>
      <c r="K532" s="255" t="s">
        <v>991</v>
      </c>
      <c r="L532" s="250" t="s">
        <v>1183</v>
      </c>
      <c r="M532" s="277" t="s">
        <v>114</v>
      </c>
      <c r="N532" s="278">
        <v>44414</v>
      </c>
      <c r="O532" s="329" t="s">
        <v>67</v>
      </c>
      <c r="P532" s="330">
        <f t="shared" si="28"/>
        <v>8</v>
      </c>
      <c r="Q532" s="330">
        <f t="shared" si="29"/>
        <v>7</v>
      </c>
      <c r="R532" s="331" t="str">
        <f t="shared" si="30"/>
        <v>Gastos_com_Pessoal</v>
      </c>
      <c r="S532" s="331" t="str">
        <f>IF(D532="","",IF(OR(D532=Plano!$A$1,D532=Plano!$B$1),"entrada","saída"))</f>
        <v>saída</v>
      </c>
      <c r="T532" s="332" t="s">
        <v>114</v>
      </c>
      <c r="U532" s="332" t="s">
        <v>114</v>
      </c>
      <c r="V532" s="269"/>
      <c r="W532" s="269"/>
      <c r="X532" s="269"/>
      <c r="Y532" s="269"/>
      <c r="Z532" s="269"/>
      <c r="AA532" s="269"/>
      <c r="AB532" s="269"/>
      <c r="AC532" s="269"/>
      <c r="AD532" s="269"/>
      <c r="AE532" s="269"/>
      <c r="AF532" s="269"/>
      <c r="AG532" s="269"/>
      <c r="AH532" s="269"/>
      <c r="AI532" s="269"/>
      <c r="AJ532" s="269"/>
      <c r="AK532" s="269"/>
      <c r="AL532" s="269"/>
      <c r="AM532" s="269"/>
    </row>
    <row r="533" spans="1:39" ht="47.25" customHeight="1" x14ac:dyDescent="0.2">
      <c r="A533" s="277">
        <f>IF(B533="","",COUNT('Diário 5º PA'!$A$5:$A$2634)+COUNT('Diário 6º PA'!$A$5:$A$2246)+ROW()-4)</f>
        <v>3072</v>
      </c>
      <c r="B533" s="278">
        <v>44414</v>
      </c>
      <c r="C533" s="249">
        <v>44378</v>
      </c>
      <c r="D533" s="255" t="s">
        <v>88</v>
      </c>
      <c r="E533" s="255" t="s">
        <v>90</v>
      </c>
      <c r="F533" s="258">
        <v>1704.41</v>
      </c>
      <c r="G533" s="450" t="s">
        <v>1756</v>
      </c>
      <c r="H533" s="255" t="s">
        <v>114</v>
      </c>
      <c r="I533" s="250" t="s">
        <v>1780</v>
      </c>
      <c r="J533" s="250" t="s">
        <v>1781</v>
      </c>
      <c r="K533" s="255" t="s">
        <v>991</v>
      </c>
      <c r="L533" s="250" t="s">
        <v>1183</v>
      </c>
      <c r="M533" s="277" t="s">
        <v>114</v>
      </c>
      <c r="N533" s="278">
        <v>44414</v>
      </c>
      <c r="O533" s="329" t="s">
        <v>67</v>
      </c>
      <c r="P533" s="330">
        <f t="shared" si="28"/>
        <v>8</v>
      </c>
      <c r="Q533" s="330">
        <f t="shared" si="29"/>
        <v>7</v>
      </c>
      <c r="R533" s="331" t="str">
        <f t="shared" si="30"/>
        <v>Gastos_com_Pessoal</v>
      </c>
      <c r="S533" s="331" t="str">
        <f>IF(D533="","",IF(OR(D533=Plano!$A$1,D533=Plano!$B$1),"entrada","saída"))</f>
        <v>saída</v>
      </c>
      <c r="T533" s="332" t="s">
        <v>114</v>
      </c>
      <c r="U533" s="332" t="s">
        <v>114</v>
      </c>
      <c r="V533" s="269"/>
      <c r="W533" s="269"/>
      <c r="X533" s="269"/>
      <c r="Y533" s="269"/>
      <c r="Z533" s="269"/>
      <c r="AA533" s="269"/>
      <c r="AB533" s="269"/>
      <c r="AC533" s="269"/>
      <c r="AD533" s="269"/>
      <c r="AE533" s="269"/>
      <c r="AF533" s="269"/>
      <c r="AG533" s="269"/>
      <c r="AH533" s="269"/>
      <c r="AI533" s="269"/>
      <c r="AJ533" s="269"/>
      <c r="AK533" s="269"/>
      <c r="AL533" s="269"/>
      <c r="AM533" s="269"/>
    </row>
    <row r="534" spans="1:39" ht="53.25" customHeight="1" x14ac:dyDescent="0.2">
      <c r="A534" s="277">
        <f>IF(B534="","",COUNT('Diário 5º PA'!$A$5:$A$2634)+COUNT('Diário 6º PA'!$A$5:$A$2246)+ROW()-4)</f>
        <v>3073</v>
      </c>
      <c r="B534" s="278">
        <v>44414</v>
      </c>
      <c r="C534" s="249">
        <v>44378</v>
      </c>
      <c r="D534" s="255" t="s">
        <v>88</v>
      </c>
      <c r="E534" s="255" t="s">
        <v>90</v>
      </c>
      <c r="F534" s="258">
        <v>1704.41</v>
      </c>
      <c r="G534" s="450" t="s">
        <v>1756</v>
      </c>
      <c r="H534" s="255" t="s">
        <v>114</v>
      </c>
      <c r="I534" s="250" t="s">
        <v>1782</v>
      </c>
      <c r="J534" s="250" t="s">
        <v>1783</v>
      </c>
      <c r="K534" s="255" t="s">
        <v>991</v>
      </c>
      <c r="L534" s="250" t="s">
        <v>1183</v>
      </c>
      <c r="M534" s="277" t="s">
        <v>114</v>
      </c>
      <c r="N534" s="278">
        <v>44414</v>
      </c>
      <c r="O534" s="329" t="s">
        <v>67</v>
      </c>
      <c r="P534" s="330">
        <f t="shared" si="28"/>
        <v>8</v>
      </c>
      <c r="Q534" s="330">
        <f t="shared" si="29"/>
        <v>7</v>
      </c>
      <c r="R534" s="331" t="str">
        <f t="shared" si="30"/>
        <v>Gastos_com_Pessoal</v>
      </c>
      <c r="S534" s="331" t="str">
        <f>IF(D534="","",IF(OR(D534=Plano!$A$1,D534=Plano!$B$1),"entrada","saída"))</f>
        <v>saída</v>
      </c>
      <c r="T534" s="332" t="s">
        <v>114</v>
      </c>
      <c r="U534" s="332" t="s">
        <v>114</v>
      </c>
      <c r="V534" s="269"/>
      <c r="W534" s="269"/>
      <c r="X534" s="269"/>
      <c r="Y534" s="269"/>
      <c r="Z534" s="269"/>
      <c r="AA534" s="269"/>
      <c r="AB534" s="269"/>
      <c r="AC534" s="269"/>
      <c r="AD534" s="269"/>
      <c r="AE534" s="269"/>
      <c r="AF534" s="269"/>
      <c r="AG534" s="269"/>
      <c r="AH534" s="269"/>
      <c r="AI534" s="269"/>
      <c r="AJ534" s="269"/>
      <c r="AK534" s="269"/>
      <c r="AL534" s="269"/>
      <c r="AM534" s="269"/>
    </row>
    <row r="535" spans="1:39" ht="53.25" customHeight="1" x14ac:dyDescent="0.2">
      <c r="A535" s="277">
        <f>IF(B535="","",COUNT('Diário 5º PA'!$A$5:$A$2634)+COUNT('Diário 6º PA'!$A$5:$A$2246)+ROW()-4)</f>
        <v>3074</v>
      </c>
      <c r="B535" s="278">
        <v>44414</v>
      </c>
      <c r="C535" s="249">
        <v>44378</v>
      </c>
      <c r="D535" s="255" t="s">
        <v>88</v>
      </c>
      <c r="E535" s="255" t="s">
        <v>90</v>
      </c>
      <c r="F535" s="258">
        <v>1704.41</v>
      </c>
      <c r="G535" s="450" t="s">
        <v>1756</v>
      </c>
      <c r="H535" s="255" t="s">
        <v>114</v>
      </c>
      <c r="I535" s="250" t="s">
        <v>1784</v>
      </c>
      <c r="J535" s="250" t="s">
        <v>1785</v>
      </c>
      <c r="K535" s="255" t="s">
        <v>991</v>
      </c>
      <c r="L535" s="250" t="s">
        <v>1183</v>
      </c>
      <c r="M535" s="277" t="s">
        <v>114</v>
      </c>
      <c r="N535" s="278">
        <v>44414</v>
      </c>
      <c r="O535" s="329" t="s">
        <v>67</v>
      </c>
      <c r="P535" s="330">
        <f t="shared" si="28"/>
        <v>8</v>
      </c>
      <c r="Q535" s="330">
        <f t="shared" si="29"/>
        <v>7</v>
      </c>
      <c r="R535" s="331" t="str">
        <f t="shared" si="30"/>
        <v>Gastos_com_Pessoal</v>
      </c>
      <c r="S535" s="331" t="str">
        <f>IF(D535="","",IF(OR(D535=Plano!$A$1,D535=Plano!$B$1),"entrada","saída"))</f>
        <v>saída</v>
      </c>
      <c r="T535" s="332" t="s">
        <v>114</v>
      </c>
      <c r="U535" s="332" t="s">
        <v>114</v>
      </c>
      <c r="V535" s="269"/>
      <c r="W535" s="269"/>
      <c r="X535" s="269"/>
      <c r="Y535" s="269"/>
      <c r="Z535" s="269"/>
      <c r="AA535" s="269"/>
      <c r="AB535" s="269"/>
      <c r="AC535" s="269"/>
      <c r="AD535" s="269"/>
      <c r="AE535" s="269"/>
      <c r="AF535" s="269"/>
      <c r="AG535" s="269"/>
      <c r="AH535" s="269"/>
      <c r="AI535" s="269"/>
      <c r="AJ535" s="269"/>
      <c r="AK535" s="269"/>
      <c r="AL535" s="269"/>
      <c r="AM535" s="269"/>
    </row>
    <row r="536" spans="1:39" ht="127.5" customHeight="1" x14ac:dyDescent="0.2">
      <c r="A536" s="277">
        <f>IF(B536="","",COUNT('Diário 5º PA'!$A$5:$A$2634)+COUNT('Diário 6º PA'!$A$5:$A$2246)+ROW()-4)</f>
        <v>3075</v>
      </c>
      <c r="B536" s="278">
        <v>44414</v>
      </c>
      <c r="C536" s="249">
        <v>44378</v>
      </c>
      <c r="D536" s="255" t="s">
        <v>99</v>
      </c>
      <c r="E536" s="255" t="s">
        <v>330</v>
      </c>
      <c r="F536" s="257">
        <v>622.5</v>
      </c>
      <c r="G536" s="450" t="s">
        <v>692</v>
      </c>
      <c r="H536" s="255" t="s">
        <v>115</v>
      </c>
      <c r="I536" s="250" t="s">
        <v>693</v>
      </c>
      <c r="J536" s="250" t="s">
        <v>694</v>
      </c>
      <c r="K536" s="255" t="s">
        <v>560</v>
      </c>
      <c r="L536" s="250" t="s">
        <v>1016</v>
      </c>
      <c r="M536" s="277">
        <v>33734</v>
      </c>
      <c r="N536" s="278">
        <v>44410</v>
      </c>
      <c r="O536" s="329" t="s">
        <v>67</v>
      </c>
      <c r="P536" s="330">
        <f t="shared" si="28"/>
        <v>8</v>
      </c>
      <c r="Q536" s="330">
        <f t="shared" si="29"/>
        <v>7</v>
      </c>
      <c r="R536" s="331" t="str">
        <f t="shared" si="30"/>
        <v>Gastos_Gerais</v>
      </c>
      <c r="S536" s="331" t="str">
        <f>IF(D536="","",IF(OR(D536=Plano!$A$1,D536=Plano!$B$1),"entrada","saída"))</f>
        <v>saída</v>
      </c>
      <c r="T536" s="332" t="s">
        <v>1059</v>
      </c>
      <c r="U536" s="332">
        <v>1141</v>
      </c>
      <c r="V536" s="269"/>
      <c r="W536" s="269"/>
      <c r="X536" s="269"/>
      <c r="Y536" s="269"/>
      <c r="Z536" s="269"/>
      <c r="AA536" s="269"/>
      <c r="AB536" s="269"/>
      <c r="AC536" s="269"/>
      <c r="AD536" s="269"/>
      <c r="AE536" s="269"/>
      <c r="AF536" s="269"/>
      <c r="AG536" s="269"/>
      <c r="AH536" s="269"/>
      <c r="AI536" s="269"/>
      <c r="AJ536" s="269"/>
      <c r="AK536" s="269"/>
      <c r="AL536" s="269"/>
      <c r="AM536" s="269"/>
    </row>
    <row r="537" spans="1:39" ht="89.25" customHeight="1" x14ac:dyDescent="0.2">
      <c r="A537" s="277">
        <f>IF(B537="","",COUNT('Diário 5º PA'!$A$5:$A$2634)+COUNT('Diário 6º PA'!$A$5:$A$2246)+ROW()-4)</f>
        <v>3076</v>
      </c>
      <c r="B537" s="278">
        <v>44414</v>
      </c>
      <c r="C537" s="249">
        <v>44409</v>
      </c>
      <c r="D537" s="250" t="s">
        <v>99</v>
      </c>
      <c r="E537" s="250" t="s">
        <v>284</v>
      </c>
      <c r="F537" s="251">
        <v>640.66999999999996</v>
      </c>
      <c r="G537" s="452" t="s">
        <v>1786</v>
      </c>
      <c r="H537" s="250" t="s">
        <v>130</v>
      </c>
      <c r="I537" s="250" t="s">
        <v>1787</v>
      </c>
      <c r="J537" s="250" t="s">
        <v>1788</v>
      </c>
      <c r="K537" s="255" t="s">
        <v>560</v>
      </c>
      <c r="L537" s="250" t="s">
        <v>992</v>
      </c>
      <c r="M537" s="277" t="s">
        <v>5368</v>
      </c>
      <c r="N537" s="277" t="s">
        <v>5369</v>
      </c>
      <c r="O537" s="329" t="s">
        <v>67</v>
      </c>
      <c r="P537" s="330">
        <f t="shared" si="28"/>
        <v>8</v>
      </c>
      <c r="Q537" s="330">
        <f t="shared" si="29"/>
        <v>8</v>
      </c>
      <c r="R537" s="331" t="str">
        <f t="shared" si="30"/>
        <v>Gastos_Gerais</v>
      </c>
      <c r="S537" s="331" t="str">
        <f>IF(D537="","",IF(OR(D537=Plano!$A$1,D537=Plano!$B$1),"entrada","saída"))</f>
        <v>saída</v>
      </c>
      <c r="T537" s="334" t="s">
        <v>1417</v>
      </c>
      <c r="U537" s="334">
        <v>1859</v>
      </c>
      <c r="V537" s="269"/>
      <c r="W537" s="269"/>
      <c r="X537" s="269"/>
      <c r="Y537" s="269"/>
      <c r="Z537" s="269"/>
      <c r="AA537" s="269"/>
      <c r="AB537" s="269"/>
      <c r="AC537" s="269"/>
      <c r="AD537" s="269"/>
      <c r="AE537" s="269"/>
      <c r="AF537" s="269"/>
      <c r="AG537" s="269"/>
      <c r="AH537" s="269"/>
      <c r="AI537" s="269"/>
      <c r="AJ537" s="269"/>
      <c r="AK537" s="269"/>
      <c r="AL537" s="269"/>
      <c r="AM537" s="269"/>
    </row>
    <row r="538" spans="1:39" ht="53.25" customHeight="1" x14ac:dyDescent="0.2">
      <c r="A538" s="277">
        <f>IF(B538="","",COUNT('Diário 5º PA'!$A$5:$A$2634)+COUNT('Diário 6º PA'!$A$5:$A$2246)+ROW()-4)</f>
        <v>3077</v>
      </c>
      <c r="B538" s="278">
        <v>44414</v>
      </c>
      <c r="C538" s="259">
        <v>44378</v>
      </c>
      <c r="D538" s="255" t="s">
        <v>88</v>
      </c>
      <c r="E538" s="255" t="s">
        <v>171</v>
      </c>
      <c r="F538" s="258">
        <v>12491.65</v>
      </c>
      <c r="G538" s="450" t="s">
        <v>1789</v>
      </c>
      <c r="H538" s="255" t="s">
        <v>114</v>
      </c>
      <c r="I538" s="250" t="s">
        <v>1259</v>
      </c>
      <c r="J538" s="255" t="s">
        <v>114</v>
      </c>
      <c r="K538" s="255" t="s">
        <v>466</v>
      </c>
      <c r="L538" s="250" t="s">
        <v>171</v>
      </c>
      <c r="M538" s="278" t="s">
        <v>114</v>
      </c>
      <c r="N538" s="278">
        <v>44414</v>
      </c>
      <c r="O538" s="329" t="s">
        <v>67</v>
      </c>
      <c r="P538" s="330">
        <f t="shared" si="28"/>
        <v>8</v>
      </c>
      <c r="Q538" s="330">
        <f t="shared" si="29"/>
        <v>7</v>
      </c>
      <c r="R538" s="331" t="str">
        <f t="shared" si="30"/>
        <v>Gastos_com_Pessoal</v>
      </c>
      <c r="S538" s="331" t="str">
        <f>IF(D538="","",IF(OR(D538=Plano!$A$1,D538=Plano!$B$1),"entrada","saída"))</f>
        <v>saída</v>
      </c>
      <c r="T538" s="332" t="s">
        <v>114</v>
      </c>
      <c r="U538" s="332" t="s">
        <v>114</v>
      </c>
      <c r="V538" s="269"/>
      <c r="W538" s="269"/>
      <c r="X538" s="269"/>
      <c r="Y538" s="269"/>
      <c r="Z538" s="269"/>
      <c r="AA538" s="269"/>
      <c r="AB538" s="269"/>
      <c r="AC538" s="269"/>
      <c r="AD538" s="269"/>
      <c r="AE538" s="269"/>
      <c r="AF538" s="269"/>
      <c r="AG538" s="269"/>
      <c r="AH538" s="269"/>
      <c r="AI538" s="269"/>
      <c r="AJ538" s="269"/>
      <c r="AK538" s="269"/>
      <c r="AL538" s="269"/>
      <c r="AM538" s="269"/>
    </row>
    <row r="539" spans="1:39" ht="120.75" customHeight="1" x14ac:dyDescent="0.2">
      <c r="A539" s="277">
        <f>IF(B539="","",COUNT('Diário 5º PA'!$A$5:$A$2634)+COUNT('Diário 6º PA'!$A$5:$A$2246)+ROW()-4)</f>
        <v>3078</v>
      </c>
      <c r="B539" s="278">
        <v>44414</v>
      </c>
      <c r="C539" s="249">
        <v>44409</v>
      </c>
      <c r="D539" s="250" t="s">
        <v>99</v>
      </c>
      <c r="E539" s="250" t="s">
        <v>350</v>
      </c>
      <c r="F539" s="251">
        <v>2500</v>
      </c>
      <c r="G539" s="452" t="s">
        <v>1790</v>
      </c>
      <c r="H539" s="250" t="s">
        <v>132</v>
      </c>
      <c r="I539" s="250" t="s">
        <v>1791</v>
      </c>
      <c r="J539" s="250" t="s">
        <v>1792</v>
      </c>
      <c r="K539" s="255" t="s">
        <v>991</v>
      </c>
      <c r="L539" s="250" t="s">
        <v>1136</v>
      </c>
      <c r="M539" s="278" t="s">
        <v>114</v>
      </c>
      <c r="N539" s="278">
        <v>44414</v>
      </c>
      <c r="O539" s="329" t="s">
        <v>67</v>
      </c>
      <c r="P539" s="330">
        <f t="shared" si="28"/>
        <v>8</v>
      </c>
      <c r="Q539" s="330">
        <f t="shared" si="29"/>
        <v>8</v>
      </c>
      <c r="R539" s="331" t="str">
        <f t="shared" si="30"/>
        <v>Gastos_Gerais</v>
      </c>
      <c r="S539" s="331" t="str">
        <f>IF(D539="","",IF(OR(D539=Plano!$A$1,D539=Plano!$B$1),"entrada","saída"))</f>
        <v>saída</v>
      </c>
      <c r="T539" s="334" t="s">
        <v>994</v>
      </c>
      <c r="U539" s="334">
        <v>1841</v>
      </c>
      <c r="V539" s="269"/>
      <c r="W539" s="269"/>
      <c r="X539" s="269"/>
      <c r="Y539" s="269"/>
      <c r="Z539" s="269"/>
      <c r="AA539" s="269"/>
      <c r="AB539" s="269"/>
      <c r="AC539" s="269"/>
      <c r="AD539" s="269"/>
      <c r="AE539" s="269"/>
      <c r="AF539" s="269"/>
      <c r="AG539" s="269"/>
      <c r="AH539" s="269"/>
      <c r="AI539" s="269"/>
      <c r="AJ539" s="269"/>
      <c r="AK539" s="269"/>
      <c r="AL539" s="269"/>
      <c r="AM539" s="269"/>
    </row>
    <row r="540" spans="1:39" ht="51.75" customHeight="1" x14ac:dyDescent="0.2">
      <c r="A540" s="277">
        <f>IF(B540="","",COUNT('Diário 5º PA'!$A$5:$A$2634)+COUNT('Diário 6º PA'!$A$5:$A$2246)+ROW()-4)</f>
        <v>3079</v>
      </c>
      <c r="B540" s="278">
        <v>44414</v>
      </c>
      <c r="C540" s="259">
        <v>44378</v>
      </c>
      <c r="D540" s="255" t="s">
        <v>88</v>
      </c>
      <c r="E540" s="255" t="s">
        <v>90</v>
      </c>
      <c r="F540" s="257">
        <v>958.78</v>
      </c>
      <c r="G540" s="450" t="s">
        <v>1793</v>
      </c>
      <c r="H540" s="255" t="s">
        <v>114</v>
      </c>
      <c r="I540" s="250" t="s">
        <v>1221</v>
      </c>
      <c r="J540" s="255" t="s">
        <v>1222</v>
      </c>
      <c r="K540" s="255" t="s">
        <v>1015</v>
      </c>
      <c r="L540" s="250" t="s">
        <v>1183</v>
      </c>
      <c r="M540" s="277" t="s">
        <v>114</v>
      </c>
      <c r="N540" s="278">
        <v>44414</v>
      </c>
      <c r="O540" s="329" t="s">
        <v>67</v>
      </c>
      <c r="P540" s="330">
        <f t="shared" si="28"/>
        <v>8</v>
      </c>
      <c r="Q540" s="330">
        <f t="shared" si="29"/>
        <v>7</v>
      </c>
      <c r="R540" s="331" t="str">
        <f t="shared" si="30"/>
        <v>Gastos_com_Pessoal</v>
      </c>
      <c r="S540" s="331" t="str">
        <f>IF(D540="","",IF(OR(D540=Plano!$A$1,D540=Plano!$B$1),"entrada","saída"))</f>
        <v>saída</v>
      </c>
      <c r="T540" s="332" t="s">
        <v>114</v>
      </c>
      <c r="U540" s="332" t="s">
        <v>114</v>
      </c>
      <c r="V540" s="269"/>
      <c r="W540" s="269"/>
      <c r="X540" s="269"/>
      <c r="Y540" s="269"/>
      <c r="Z540" s="269"/>
      <c r="AA540" s="269"/>
      <c r="AB540" s="269"/>
      <c r="AC540" s="269"/>
      <c r="AD540" s="269"/>
      <c r="AE540" s="269"/>
      <c r="AF540" s="269"/>
      <c r="AG540" s="269"/>
      <c r="AH540" s="269"/>
      <c r="AI540" s="269"/>
      <c r="AJ540" s="269"/>
      <c r="AK540" s="269"/>
      <c r="AL540" s="269"/>
      <c r="AM540" s="269"/>
    </row>
    <row r="541" spans="1:39" ht="53.25" customHeight="1" x14ac:dyDescent="0.2">
      <c r="A541" s="277">
        <f>IF(B541="","",COUNT('Diário 5º PA'!$A$5:$A$2634)+COUNT('Diário 6º PA'!$A$5:$A$2246)+ROW()-4)</f>
        <v>3080</v>
      </c>
      <c r="B541" s="278">
        <v>44414</v>
      </c>
      <c r="C541" s="249">
        <v>44378</v>
      </c>
      <c r="D541" s="255" t="s">
        <v>88</v>
      </c>
      <c r="E541" s="255" t="s">
        <v>90</v>
      </c>
      <c r="F541" s="258">
        <v>1704.41</v>
      </c>
      <c r="G541" s="450" t="s">
        <v>1756</v>
      </c>
      <c r="H541" s="255" t="s">
        <v>114</v>
      </c>
      <c r="I541" s="250" t="s">
        <v>1794</v>
      </c>
      <c r="J541" s="250" t="s">
        <v>1795</v>
      </c>
      <c r="K541" s="255" t="s">
        <v>1015</v>
      </c>
      <c r="L541" s="250" t="s">
        <v>1183</v>
      </c>
      <c r="M541" s="277" t="s">
        <v>114</v>
      </c>
      <c r="N541" s="278">
        <v>44414</v>
      </c>
      <c r="O541" s="329" t="s">
        <v>67</v>
      </c>
      <c r="P541" s="330">
        <f t="shared" si="28"/>
        <v>8</v>
      </c>
      <c r="Q541" s="330">
        <f t="shared" si="29"/>
        <v>7</v>
      </c>
      <c r="R541" s="331" t="str">
        <f t="shared" si="30"/>
        <v>Gastos_com_Pessoal</v>
      </c>
      <c r="S541" s="331" t="str">
        <f>IF(D541="","",IF(OR(D541=Plano!$A$1,D541=Plano!$B$1),"entrada","saída"))</f>
        <v>saída</v>
      </c>
      <c r="T541" s="332" t="s">
        <v>114</v>
      </c>
      <c r="U541" s="332" t="s">
        <v>114</v>
      </c>
      <c r="V541" s="269"/>
      <c r="W541" s="269"/>
      <c r="X541" s="269"/>
      <c r="Y541" s="269"/>
      <c r="Z541" s="269"/>
      <c r="AA541" s="269"/>
      <c r="AB541" s="269"/>
      <c r="AC541" s="269"/>
      <c r="AD541" s="269"/>
      <c r="AE541" s="269"/>
      <c r="AF541" s="269"/>
      <c r="AG541" s="269"/>
      <c r="AH541" s="269"/>
      <c r="AI541" s="269"/>
      <c r="AJ541" s="269"/>
      <c r="AK541" s="269"/>
      <c r="AL541" s="269"/>
      <c r="AM541" s="269"/>
    </row>
    <row r="542" spans="1:39" ht="56.25" customHeight="1" x14ac:dyDescent="0.2">
      <c r="A542" s="277">
        <f>IF(B542="","",COUNT('Diário 5º PA'!$A$5:$A$2634)+COUNT('Diário 6º PA'!$A$5:$A$2246)+ROW()-4)</f>
        <v>3081</v>
      </c>
      <c r="B542" s="278">
        <v>44414</v>
      </c>
      <c r="C542" s="249">
        <v>44378</v>
      </c>
      <c r="D542" s="255" t="s">
        <v>88</v>
      </c>
      <c r="E542" s="255" t="s">
        <v>90</v>
      </c>
      <c r="F542" s="258">
        <v>1410.86</v>
      </c>
      <c r="G542" s="450" t="s">
        <v>1796</v>
      </c>
      <c r="H542" s="255" t="s">
        <v>114</v>
      </c>
      <c r="I542" s="250" t="s">
        <v>1797</v>
      </c>
      <c r="J542" s="250" t="s">
        <v>1798</v>
      </c>
      <c r="K542" s="255" t="s">
        <v>1015</v>
      </c>
      <c r="L542" s="250" t="s">
        <v>1183</v>
      </c>
      <c r="M542" s="277" t="s">
        <v>114</v>
      </c>
      <c r="N542" s="278">
        <v>44414</v>
      </c>
      <c r="O542" s="329" t="s">
        <v>67</v>
      </c>
      <c r="P542" s="330">
        <f t="shared" si="28"/>
        <v>8</v>
      </c>
      <c r="Q542" s="330">
        <f t="shared" si="29"/>
        <v>7</v>
      </c>
      <c r="R542" s="331" t="str">
        <f t="shared" si="30"/>
        <v>Gastos_com_Pessoal</v>
      </c>
      <c r="S542" s="331" t="str">
        <f>IF(D542="","",IF(OR(D542=Plano!$A$1,D542=Plano!$B$1),"entrada","saída"))</f>
        <v>saída</v>
      </c>
      <c r="T542" s="332" t="s">
        <v>114</v>
      </c>
      <c r="U542" s="332" t="s">
        <v>114</v>
      </c>
      <c r="V542" s="269"/>
      <c r="W542" s="269"/>
      <c r="X542" s="269"/>
      <c r="Y542" s="269"/>
      <c r="Z542" s="269"/>
      <c r="AA542" s="269"/>
      <c r="AB542" s="269"/>
      <c r="AC542" s="269"/>
      <c r="AD542" s="269"/>
      <c r="AE542" s="269"/>
      <c r="AF542" s="269"/>
      <c r="AG542" s="269"/>
      <c r="AH542" s="269"/>
      <c r="AI542" s="269"/>
      <c r="AJ542" s="269"/>
      <c r="AK542" s="269"/>
      <c r="AL542" s="269"/>
      <c r="AM542" s="269"/>
    </row>
    <row r="543" spans="1:39" ht="48.75" customHeight="1" x14ac:dyDescent="0.2">
      <c r="A543" s="277">
        <f>IF(B543="","",COUNT('Diário 5º PA'!$A$5:$A$2634)+COUNT('Diário 6º PA'!$A$5:$A$2246)+ROW()-4)</f>
        <v>3082</v>
      </c>
      <c r="B543" s="278">
        <v>44414</v>
      </c>
      <c r="C543" s="249">
        <v>44378</v>
      </c>
      <c r="D543" s="255" t="s">
        <v>88</v>
      </c>
      <c r="E543" s="255" t="s">
        <v>90</v>
      </c>
      <c r="F543" s="258">
        <v>1704.41</v>
      </c>
      <c r="G543" s="450" t="s">
        <v>1756</v>
      </c>
      <c r="H543" s="255" t="s">
        <v>114</v>
      </c>
      <c r="I543" s="250" t="s">
        <v>1799</v>
      </c>
      <c r="J543" s="250" t="s">
        <v>1800</v>
      </c>
      <c r="K543" s="255" t="s">
        <v>1015</v>
      </c>
      <c r="L543" s="250" t="s">
        <v>1183</v>
      </c>
      <c r="M543" s="277" t="s">
        <v>114</v>
      </c>
      <c r="N543" s="278">
        <v>44414</v>
      </c>
      <c r="O543" s="329" t="s">
        <v>67</v>
      </c>
      <c r="P543" s="330">
        <f t="shared" si="28"/>
        <v>8</v>
      </c>
      <c r="Q543" s="330">
        <f t="shared" si="29"/>
        <v>7</v>
      </c>
      <c r="R543" s="331" t="str">
        <f t="shared" si="30"/>
        <v>Gastos_com_Pessoal</v>
      </c>
      <c r="S543" s="331" t="str">
        <f>IF(D543="","",IF(OR(D543=Plano!$A$1,D543=Plano!$B$1),"entrada","saída"))</f>
        <v>saída</v>
      </c>
      <c r="T543" s="332" t="s">
        <v>114</v>
      </c>
      <c r="U543" s="332" t="s">
        <v>114</v>
      </c>
      <c r="V543" s="269"/>
      <c r="W543" s="269"/>
      <c r="X543" s="269"/>
      <c r="Y543" s="269"/>
      <c r="Z543" s="269"/>
      <c r="AA543" s="269"/>
      <c r="AB543" s="269"/>
      <c r="AC543" s="269"/>
      <c r="AD543" s="269"/>
      <c r="AE543" s="269"/>
      <c r="AF543" s="269"/>
      <c r="AG543" s="269"/>
      <c r="AH543" s="269"/>
      <c r="AI543" s="269"/>
      <c r="AJ543" s="269"/>
      <c r="AK543" s="269"/>
      <c r="AL543" s="269"/>
      <c r="AM543" s="269"/>
    </row>
    <row r="544" spans="1:39" ht="49.5" customHeight="1" x14ac:dyDescent="0.2">
      <c r="A544" s="277">
        <f>IF(B544="","",COUNT('Diário 5º PA'!$A$5:$A$2634)+COUNT('Diário 6º PA'!$A$5:$A$2246)+ROW()-4)</f>
        <v>3083</v>
      </c>
      <c r="B544" s="278">
        <v>44414</v>
      </c>
      <c r="C544" s="249">
        <v>44378</v>
      </c>
      <c r="D544" s="255" t="s">
        <v>88</v>
      </c>
      <c r="E544" s="255" t="s">
        <v>90</v>
      </c>
      <c r="F544" s="258">
        <v>1704.41</v>
      </c>
      <c r="G544" s="450" t="s">
        <v>1756</v>
      </c>
      <c r="H544" s="255" t="s">
        <v>114</v>
      </c>
      <c r="I544" s="250" t="s">
        <v>1801</v>
      </c>
      <c r="J544" s="250" t="s">
        <v>1802</v>
      </c>
      <c r="K544" s="255" t="s">
        <v>1015</v>
      </c>
      <c r="L544" s="250" t="s">
        <v>1183</v>
      </c>
      <c r="M544" s="277" t="s">
        <v>114</v>
      </c>
      <c r="N544" s="278">
        <v>44414</v>
      </c>
      <c r="O544" s="329" t="s">
        <v>67</v>
      </c>
      <c r="P544" s="330">
        <f t="shared" si="28"/>
        <v>8</v>
      </c>
      <c r="Q544" s="330">
        <f t="shared" si="29"/>
        <v>7</v>
      </c>
      <c r="R544" s="331" t="str">
        <f t="shared" si="30"/>
        <v>Gastos_com_Pessoal</v>
      </c>
      <c r="S544" s="331" t="str">
        <f>IF(D544="","",IF(OR(D544=Plano!$A$1,D544=Plano!$B$1),"entrada","saída"))</f>
        <v>saída</v>
      </c>
      <c r="T544" s="332" t="s">
        <v>114</v>
      </c>
      <c r="U544" s="332" t="s">
        <v>114</v>
      </c>
      <c r="V544" s="269"/>
      <c r="W544" s="269"/>
      <c r="X544" s="269"/>
      <c r="Y544" s="269"/>
      <c r="Z544" s="269"/>
      <c r="AA544" s="269"/>
      <c r="AB544" s="269"/>
      <c r="AC544" s="269"/>
      <c r="AD544" s="269"/>
      <c r="AE544" s="269"/>
      <c r="AF544" s="269"/>
      <c r="AG544" s="269"/>
      <c r="AH544" s="269"/>
      <c r="AI544" s="269"/>
      <c r="AJ544" s="269"/>
      <c r="AK544" s="269"/>
      <c r="AL544" s="269"/>
      <c r="AM544" s="269"/>
    </row>
    <row r="545" spans="1:39" ht="45.75" customHeight="1" x14ac:dyDescent="0.2">
      <c r="A545" s="277">
        <f>IF(B545="","",COUNT('Diário 5º PA'!$A$5:$A$2634)+COUNT('Diário 6º PA'!$A$5:$A$2246)+ROW()-4)</f>
        <v>3084</v>
      </c>
      <c r="B545" s="278">
        <v>44414</v>
      </c>
      <c r="C545" s="249">
        <v>44378</v>
      </c>
      <c r="D545" s="255" t="s">
        <v>88</v>
      </c>
      <c r="E545" s="255" t="s">
        <v>90</v>
      </c>
      <c r="F545" s="258">
        <v>1704.41</v>
      </c>
      <c r="G545" s="450" t="s">
        <v>1756</v>
      </c>
      <c r="H545" s="255" t="s">
        <v>114</v>
      </c>
      <c r="I545" s="250" t="s">
        <v>1803</v>
      </c>
      <c r="J545" s="250" t="s">
        <v>1804</v>
      </c>
      <c r="K545" s="255" t="s">
        <v>1015</v>
      </c>
      <c r="L545" s="250" t="s">
        <v>1183</v>
      </c>
      <c r="M545" s="277" t="s">
        <v>114</v>
      </c>
      <c r="N545" s="278">
        <v>44414</v>
      </c>
      <c r="O545" s="329" t="s">
        <v>67</v>
      </c>
      <c r="P545" s="330">
        <f t="shared" si="28"/>
        <v>8</v>
      </c>
      <c r="Q545" s="330">
        <f t="shared" si="29"/>
        <v>7</v>
      </c>
      <c r="R545" s="331" t="str">
        <f t="shared" si="30"/>
        <v>Gastos_com_Pessoal</v>
      </c>
      <c r="S545" s="331" t="str">
        <f>IF(D545="","",IF(OR(D545=Plano!$A$1,D545=Plano!$B$1),"entrada","saída"))</f>
        <v>saída</v>
      </c>
      <c r="T545" s="332" t="s">
        <v>114</v>
      </c>
      <c r="U545" s="332" t="s">
        <v>114</v>
      </c>
      <c r="V545" s="269"/>
      <c r="W545" s="269"/>
      <c r="X545" s="269"/>
      <c r="Y545" s="269"/>
      <c r="Z545" s="269"/>
      <c r="AA545" s="269"/>
      <c r="AB545" s="269"/>
      <c r="AC545" s="269"/>
      <c r="AD545" s="269"/>
      <c r="AE545" s="269"/>
      <c r="AF545" s="269"/>
      <c r="AG545" s="269"/>
      <c r="AH545" s="269"/>
      <c r="AI545" s="269"/>
      <c r="AJ545" s="269"/>
      <c r="AK545" s="269"/>
      <c r="AL545" s="269"/>
      <c r="AM545" s="269"/>
    </row>
    <row r="546" spans="1:39" ht="64.5" customHeight="1" x14ac:dyDescent="0.2">
      <c r="A546" s="277">
        <f>IF(B546="","",COUNT('Diário 5º PA'!$A$5:$A$2634)+COUNT('Diário 6º PA'!$A$5:$A$2246)+ROW()-4)</f>
        <v>3085</v>
      </c>
      <c r="B546" s="278">
        <v>44414</v>
      </c>
      <c r="C546" s="249">
        <v>44378</v>
      </c>
      <c r="D546" s="255" t="s">
        <v>88</v>
      </c>
      <c r="E546" s="255" t="s">
        <v>90</v>
      </c>
      <c r="F546" s="257">
        <v>4365.88</v>
      </c>
      <c r="G546" s="450" t="s">
        <v>1805</v>
      </c>
      <c r="H546" s="255" t="s">
        <v>114</v>
      </c>
      <c r="I546" s="250" t="s">
        <v>1224</v>
      </c>
      <c r="J546" s="255" t="s">
        <v>1225</v>
      </c>
      <c r="K546" s="255" t="s">
        <v>1015</v>
      </c>
      <c r="L546" s="250" t="s">
        <v>1183</v>
      </c>
      <c r="M546" s="277" t="s">
        <v>114</v>
      </c>
      <c r="N546" s="278">
        <v>44414</v>
      </c>
      <c r="O546" s="329" t="s">
        <v>67</v>
      </c>
      <c r="P546" s="330">
        <f t="shared" si="28"/>
        <v>8</v>
      </c>
      <c r="Q546" s="330">
        <f t="shared" si="29"/>
        <v>7</v>
      </c>
      <c r="R546" s="331" t="str">
        <f t="shared" si="30"/>
        <v>Gastos_com_Pessoal</v>
      </c>
      <c r="S546" s="331" t="str">
        <f>IF(D546="","",IF(OR(D546=Plano!$A$1,D546=Plano!$B$1),"entrada","saída"))</f>
        <v>saída</v>
      </c>
      <c r="T546" s="332" t="s">
        <v>114</v>
      </c>
      <c r="U546" s="332" t="s">
        <v>114</v>
      </c>
      <c r="V546" s="269"/>
      <c r="W546" s="269"/>
      <c r="X546" s="269"/>
      <c r="Y546" s="269"/>
      <c r="Z546" s="269"/>
      <c r="AA546" s="269"/>
      <c r="AB546" s="269"/>
      <c r="AC546" s="269"/>
      <c r="AD546" s="269"/>
      <c r="AE546" s="269"/>
      <c r="AF546" s="269"/>
      <c r="AG546" s="269"/>
      <c r="AH546" s="269"/>
      <c r="AI546" s="269"/>
      <c r="AJ546" s="269"/>
      <c r="AK546" s="269"/>
      <c r="AL546" s="269"/>
      <c r="AM546" s="269"/>
    </row>
    <row r="547" spans="1:39" ht="46.5" customHeight="1" x14ac:dyDescent="0.2">
      <c r="A547" s="277">
        <f>IF(B547="","",COUNT('Diário 5º PA'!$A$5:$A$2634)+COUNT('Diário 6º PA'!$A$5:$A$2246)+ROW()-4)</f>
        <v>3086</v>
      </c>
      <c r="B547" s="278">
        <v>44414</v>
      </c>
      <c r="C547" s="249">
        <v>44378</v>
      </c>
      <c r="D547" s="255" t="s">
        <v>88</v>
      </c>
      <c r="E547" s="255" t="s">
        <v>90</v>
      </c>
      <c r="F547" s="258">
        <v>1704.41</v>
      </c>
      <c r="G547" s="450" t="s">
        <v>1756</v>
      </c>
      <c r="H547" s="255" t="s">
        <v>114</v>
      </c>
      <c r="I547" s="250" t="s">
        <v>1806</v>
      </c>
      <c r="J547" s="250" t="s">
        <v>1807</v>
      </c>
      <c r="K547" s="255" t="s">
        <v>1015</v>
      </c>
      <c r="L547" s="250" t="s">
        <v>1183</v>
      </c>
      <c r="M547" s="277" t="s">
        <v>114</v>
      </c>
      <c r="N547" s="278">
        <v>44414</v>
      </c>
      <c r="O547" s="329" t="s">
        <v>67</v>
      </c>
      <c r="P547" s="330">
        <f t="shared" si="28"/>
        <v>8</v>
      </c>
      <c r="Q547" s="330">
        <f t="shared" si="29"/>
        <v>7</v>
      </c>
      <c r="R547" s="331" t="str">
        <f t="shared" si="30"/>
        <v>Gastos_com_Pessoal</v>
      </c>
      <c r="S547" s="331" t="str">
        <f>IF(D547="","",IF(OR(D547=Plano!$A$1,D547=Plano!$B$1),"entrada","saída"))</f>
        <v>saída</v>
      </c>
      <c r="T547" s="332" t="s">
        <v>114</v>
      </c>
      <c r="U547" s="332" t="s">
        <v>114</v>
      </c>
      <c r="V547" s="269"/>
      <c r="W547" s="269"/>
      <c r="X547" s="269"/>
      <c r="Y547" s="269"/>
      <c r="Z547" s="269"/>
      <c r="AA547" s="269"/>
      <c r="AB547" s="269"/>
      <c r="AC547" s="269"/>
      <c r="AD547" s="269"/>
      <c r="AE547" s="269"/>
      <c r="AF547" s="269"/>
      <c r="AG547" s="269"/>
      <c r="AH547" s="269"/>
      <c r="AI547" s="269"/>
      <c r="AJ547" s="269"/>
      <c r="AK547" s="269"/>
      <c r="AL547" s="269"/>
      <c r="AM547" s="269"/>
    </row>
    <row r="548" spans="1:39" ht="45.75" customHeight="1" x14ac:dyDescent="0.2">
      <c r="A548" s="277">
        <f>IF(B548="","",COUNT('Diário 5º PA'!$A$5:$A$2634)+COUNT('Diário 6º PA'!$A$5:$A$2246)+ROW()-4)</f>
        <v>3087</v>
      </c>
      <c r="B548" s="278">
        <v>44414</v>
      </c>
      <c r="C548" s="249">
        <v>44378</v>
      </c>
      <c r="D548" s="255" t="s">
        <v>88</v>
      </c>
      <c r="E548" s="255" t="s">
        <v>90</v>
      </c>
      <c r="F548" s="257">
        <v>1515.25</v>
      </c>
      <c r="G548" s="450" t="s">
        <v>1750</v>
      </c>
      <c r="H548" s="255" t="s">
        <v>114</v>
      </c>
      <c r="I548" s="250" t="s">
        <v>1226</v>
      </c>
      <c r="J548" s="255" t="s">
        <v>1227</v>
      </c>
      <c r="K548" s="255" t="s">
        <v>1015</v>
      </c>
      <c r="L548" s="250" t="s">
        <v>1183</v>
      </c>
      <c r="M548" s="277" t="s">
        <v>114</v>
      </c>
      <c r="N548" s="278">
        <v>44414</v>
      </c>
      <c r="O548" s="329" t="s">
        <v>67</v>
      </c>
      <c r="P548" s="330">
        <f t="shared" si="28"/>
        <v>8</v>
      </c>
      <c r="Q548" s="330">
        <f t="shared" si="29"/>
        <v>7</v>
      </c>
      <c r="R548" s="331" t="str">
        <f t="shared" si="30"/>
        <v>Gastos_com_Pessoal</v>
      </c>
      <c r="S548" s="331" t="str">
        <f>IF(D548="","",IF(OR(D548=Plano!$A$1,D548=Plano!$B$1),"entrada","saída"))</f>
        <v>saída</v>
      </c>
      <c r="T548" s="332" t="s">
        <v>114</v>
      </c>
      <c r="U548" s="332" t="s">
        <v>114</v>
      </c>
      <c r="V548" s="269"/>
      <c r="W548" s="269"/>
      <c r="X548" s="269"/>
      <c r="Y548" s="269"/>
      <c r="Z548" s="269"/>
      <c r="AA548" s="269"/>
      <c r="AB548" s="269"/>
      <c r="AC548" s="269"/>
      <c r="AD548" s="269"/>
      <c r="AE548" s="269"/>
      <c r="AF548" s="269"/>
      <c r="AG548" s="269"/>
      <c r="AH548" s="269"/>
      <c r="AI548" s="269"/>
      <c r="AJ548" s="269"/>
      <c r="AK548" s="269"/>
      <c r="AL548" s="269"/>
      <c r="AM548" s="269"/>
    </row>
    <row r="549" spans="1:39" ht="45.75" customHeight="1" x14ac:dyDescent="0.2">
      <c r="A549" s="277">
        <f>IF(B549="","",COUNT('Diário 5º PA'!$A$5:$A$2634)+COUNT('Diário 6º PA'!$A$5:$A$2246)+ROW()-4)</f>
        <v>3088</v>
      </c>
      <c r="B549" s="278">
        <v>44414</v>
      </c>
      <c r="C549" s="249">
        <v>44378</v>
      </c>
      <c r="D549" s="255" t="s">
        <v>88</v>
      </c>
      <c r="E549" s="255" t="s">
        <v>90</v>
      </c>
      <c r="F549" s="258">
        <v>1704.41</v>
      </c>
      <c r="G549" s="450" t="s">
        <v>1756</v>
      </c>
      <c r="H549" s="255" t="s">
        <v>114</v>
      </c>
      <c r="I549" s="250" t="s">
        <v>1808</v>
      </c>
      <c r="J549" s="250" t="s">
        <v>1028</v>
      </c>
      <c r="K549" s="255" t="s">
        <v>1015</v>
      </c>
      <c r="L549" s="250" t="s">
        <v>1183</v>
      </c>
      <c r="M549" s="277" t="s">
        <v>114</v>
      </c>
      <c r="N549" s="278">
        <v>44414</v>
      </c>
      <c r="O549" s="329" t="s">
        <v>67</v>
      </c>
      <c r="P549" s="330">
        <f t="shared" si="28"/>
        <v>8</v>
      </c>
      <c r="Q549" s="330">
        <f t="shared" si="29"/>
        <v>7</v>
      </c>
      <c r="R549" s="331" t="str">
        <f t="shared" si="30"/>
        <v>Gastos_com_Pessoal</v>
      </c>
      <c r="S549" s="331" t="str">
        <f>IF(D549="","",IF(OR(D549=Plano!$A$1,D549=Plano!$B$1),"entrada","saída"))</f>
        <v>saída</v>
      </c>
      <c r="T549" s="332" t="s">
        <v>114</v>
      </c>
      <c r="U549" s="332" t="s">
        <v>114</v>
      </c>
      <c r="V549" s="269"/>
      <c r="W549" s="269"/>
      <c r="X549" s="269"/>
      <c r="Y549" s="269"/>
      <c r="Z549" s="269"/>
      <c r="AA549" s="269"/>
      <c r="AB549" s="269"/>
      <c r="AC549" s="269"/>
      <c r="AD549" s="269"/>
      <c r="AE549" s="269"/>
      <c r="AF549" s="269"/>
      <c r="AG549" s="269"/>
      <c r="AH549" s="269"/>
      <c r="AI549" s="269"/>
      <c r="AJ549" s="269"/>
      <c r="AK549" s="269"/>
      <c r="AL549" s="269"/>
      <c r="AM549" s="269"/>
    </row>
    <row r="550" spans="1:39" ht="43.5" customHeight="1" x14ac:dyDescent="0.2">
      <c r="A550" s="277">
        <f>IF(B550="","",COUNT('Diário 5º PA'!$A$5:$A$2634)+COUNT('Diário 6º PA'!$A$5:$A$2246)+ROW()-4)</f>
        <v>3089</v>
      </c>
      <c r="B550" s="278">
        <v>44414</v>
      </c>
      <c r="C550" s="249">
        <v>44378</v>
      </c>
      <c r="D550" s="255" t="s">
        <v>88</v>
      </c>
      <c r="E550" s="255" t="s">
        <v>90</v>
      </c>
      <c r="F550" s="257">
        <v>12046.98</v>
      </c>
      <c r="G550" s="450" t="s">
        <v>1809</v>
      </c>
      <c r="H550" s="255" t="s">
        <v>114</v>
      </c>
      <c r="I550" s="250" t="s">
        <v>1229</v>
      </c>
      <c r="J550" s="255" t="s">
        <v>1230</v>
      </c>
      <c r="K550" s="255" t="s">
        <v>1015</v>
      </c>
      <c r="L550" s="250" t="s">
        <v>1183</v>
      </c>
      <c r="M550" s="277" t="s">
        <v>114</v>
      </c>
      <c r="N550" s="278">
        <v>44414</v>
      </c>
      <c r="O550" s="329" t="s">
        <v>67</v>
      </c>
      <c r="P550" s="330">
        <f t="shared" si="28"/>
        <v>8</v>
      </c>
      <c r="Q550" s="330">
        <f t="shared" si="29"/>
        <v>7</v>
      </c>
      <c r="R550" s="331" t="str">
        <f t="shared" si="30"/>
        <v>Gastos_com_Pessoal</v>
      </c>
      <c r="S550" s="331" t="str">
        <f>IF(D550="","",IF(OR(D550=Plano!$A$1,D550=Plano!$B$1),"entrada","saída"))</f>
        <v>saída</v>
      </c>
      <c r="T550" s="332" t="s">
        <v>114</v>
      </c>
      <c r="U550" s="332" t="s">
        <v>114</v>
      </c>
      <c r="V550" s="269"/>
      <c r="W550" s="269"/>
      <c r="X550" s="269"/>
      <c r="Y550" s="269"/>
      <c r="Z550" s="269"/>
      <c r="AA550" s="269"/>
      <c r="AB550" s="269"/>
      <c r="AC550" s="269"/>
      <c r="AD550" s="269"/>
      <c r="AE550" s="269"/>
      <c r="AF550" s="269"/>
      <c r="AG550" s="269"/>
      <c r="AH550" s="269"/>
      <c r="AI550" s="269"/>
      <c r="AJ550" s="269"/>
      <c r="AK550" s="269"/>
      <c r="AL550" s="269"/>
      <c r="AM550" s="269"/>
    </row>
    <row r="551" spans="1:39" ht="46.5" customHeight="1" x14ac:dyDescent="0.2">
      <c r="A551" s="277">
        <f>IF(B551="","",COUNT('Diário 5º PA'!$A$5:$A$2634)+COUNT('Diário 6º PA'!$A$5:$A$2246)+ROW()-4)</f>
        <v>3090</v>
      </c>
      <c r="B551" s="278">
        <v>44414</v>
      </c>
      <c r="C551" s="249">
        <v>44378</v>
      </c>
      <c r="D551" s="255" t="s">
        <v>88</v>
      </c>
      <c r="E551" s="255" t="s">
        <v>90</v>
      </c>
      <c r="F551" s="258">
        <v>1704.41</v>
      </c>
      <c r="G551" s="450" t="s">
        <v>1756</v>
      </c>
      <c r="H551" s="255" t="s">
        <v>114</v>
      </c>
      <c r="I551" s="250" t="s">
        <v>1810</v>
      </c>
      <c r="J551" s="250" t="s">
        <v>1811</v>
      </c>
      <c r="K551" s="255" t="s">
        <v>1015</v>
      </c>
      <c r="L551" s="250" t="s">
        <v>1183</v>
      </c>
      <c r="M551" s="277" t="s">
        <v>114</v>
      </c>
      <c r="N551" s="278">
        <v>44414</v>
      </c>
      <c r="O551" s="329" t="s">
        <v>67</v>
      </c>
      <c r="P551" s="330">
        <f t="shared" si="28"/>
        <v>8</v>
      </c>
      <c r="Q551" s="330">
        <f t="shared" si="29"/>
        <v>7</v>
      </c>
      <c r="R551" s="331" t="str">
        <f t="shared" si="30"/>
        <v>Gastos_com_Pessoal</v>
      </c>
      <c r="S551" s="331" t="str">
        <f>IF(D551="","",IF(OR(D551=Plano!$A$1,D551=Plano!$B$1),"entrada","saída"))</f>
        <v>saída</v>
      </c>
      <c r="T551" s="332" t="s">
        <v>114</v>
      </c>
      <c r="U551" s="332" t="s">
        <v>114</v>
      </c>
      <c r="V551" s="269"/>
      <c r="W551" s="269"/>
      <c r="X551" s="269"/>
      <c r="Y551" s="269"/>
      <c r="Z551" s="269"/>
      <c r="AA551" s="269"/>
      <c r="AB551" s="269"/>
      <c r="AC551" s="269"/>
      <c r="AD551" s="269"/>
      <c r="AE551" s="269"/>
      <c r="AF551" s="269"/>
      <c r="AG551" s="269"/>
      <c r="AH551" s="269"/>
      <c r="AI551" s="269"/>
      <c r="AJ551" s="269"/>
      <c r="AK551" s="269"/>
      <c r="AL551" s="269"/>
      <c r="AM551" s="269"/>
    </row>
    <row r="552" spans="1:39" ht="57" customHeight="1" x14ac:dyDescent="0.2">
      <c r="A552" s="277">
        <f>IF(B552="","",COUNT('Diário 5º PA'!$A$5:$A$2634)+COUNT('Diário 6º PA'!$A$5:$A$2246)+ROW()-4)</f>
        <v>3091</v>
      </c>
      <c r="B552" s="278">
        <v>44414</v>
      </c>
      <c r="C552" s="249">
        <v>44378</v>
      </c>
      <c r="D552" s="255" t="s">
        <v>88</v>
      </c>
      <c r="E552" s="255" t="s">
        <v>90</v>
      </c>
      <c r="F552" s="257">
        <v>2799.57</v>
      </c>
      <c r="G552" s="450" t="s">
        <v>1812</v>
      </c>
      <c r="H552" s="255" t="s">
        <v>114</v>
      </c>
      <c r="I552" s="250" t="s">
        <v>1232</v>
      </c>
      <c r="J552" s="255" t="s">
        <v>1233</v>
      </c>
      <c r="K552" s="255" t="s">
        <v>1015</v>
      </c>
      <c r="L552" s="250" t="s">
        <v>1183</v>
      </c>
      <c r="M552" s="277" t="s">
        <v>114</v>
      </c>
      <c r="N552" s="278">
        <v>44414</v>
      </c>
      <c r="O552" s="329" t="s">
        <v>67</v>
      </c>
      <c r="P552" s="330">
        <f t="shared" si="28"/>
        <v>8</v>
      </c>
      <c r="Q552" s="330">
        <f t="shared" si="29"/>
        <v>7</v>
      </c>
      <c r="R552" s="331" t="str">
        <f t="shared" si="30"/>
        <v>Gastos_com_Pessoal</v>
      </c>
      <c r="S552" s="331" t="str">
        <f>IF(D552="","",IF(OR(D552=Plano!$A$1,D552=Plano!$B$1),"entrada","saída"))</f>
        <v>saída</v>
      </c>
      <c r="T552" s="332" t="s">
        <v>114</v>
      </c>
      <c r="U552" s="332" t="s">
        <v>114</v>
      </c>
      <c r="V552" s="269"/>
      <c r="W552" s="269"/>
      <c r="X552" s="269"/>
      <c r="Y552" s="269"/>
      <c r="Z552" s="269"/>
      <c r="AA552" s="269"/>
      <c r="AB552" s="269"/>
      <c r="AC552" s="269"/>
      <c r="AD552" s="269"/>
      <c r="AE552" s="269"/>
      <c r="AF552" s="269"/>
      <c r="AG552" s="269"/>
      <c r="AH552" s="269"/>
      <c r="AI552" s="269"/>
      <c r="AJ552" s="269"/>
      <c r="AK552" s="269"/>
      <c r="AL552" s="269"/>
      <c r="AM552" s="269"/>
    </row>
    <row r="553" spans="1:39" ht="59.25" customHeight="1" x14ac:dyDescent="0.2">
      <c r="A553" s="277">
        <f>IF(B553="","",COUNT('Diário 5º PA'!$A$5:$A$2634)+COUNT('Diário 6º PA'!$A$5:$A$2246)+ROW()-4)</f>
        <v>3092</v>
      </c>
      <c r="B553" s="278">
        <v>44414</v>
      </c>
      <c r="C553" s="249">
        <v>44378</v>
      </c>
      <c r="D553" s="255" t="s">
        <v>88</v>
      </c>
      <c r="E553" s="255" t="s">
        <v>90</v>
      </c>
      <c r="F553" s="257">
        <v>4383.43</v>
      </c>
      <c r="G553" s="452" t="s">
        <v>1813</v>
      </c>
      <c r="H553" s="255" t="s">
        <v>114</v>
      </c>
      <c r="I553" s="250" t="s">
        <v>1235</v>
      </c>
      <c r="J553" s="255" t="s">
        <v>1236</v>
      </c>
      <c r="K553" s="255" t="s">
        <v>1015</v>
      </c>
      <c r="L553" s="250" t="s">
        <v>1183</v>
      </c>
      <c r="M553" s="277" t="s">
        <v>114</v>
      </c>
      <c r="N553" s="278">
        <v>44414</v>
      </c>
      <c r="O553" s="329" t="s">
        <v>67</v>
      </c>
      <c r="P553" s="330">
        <f t="shared" si="28"/>
        <v>8</v>
      </c>
      <c r="Q553" s="330">
        <f t="shared" si="29"/>
        <v>7</v>
      </c>
      <c r="R553" s="331" t="str">
        <f t="shared" si="30"/>
        <v>Gastos_com_Pessoal</v>
      </c>
      <c r="S553" s="331" t="str">
        <f>IF(D553="","",IF(OR(D553=Plano!$A$1,D553=Plano!$B$1),"entrada","saída"))</f>
        <v>saída</v>
      </c>
      <c r="T553" s="332" t="s">
        <v>114</v>
      </c>
      <c r="U553" s="332" t="s">
        <v>114</v>
      </c>
      <c r="V553" s="269"/>
      <c r="W553" s="269"/>
      <c r="X553" s="269"/>
      <c r="Y553" s="269"/>
      <c r="Z553" s="269"/>
      <c r="AA553" s="269"/>
      <c r="AB553" s="269"/>
      <c r="AC553" s="269"/>
      <c r="AD553" s="269"/>
      <c r="AE553" s="269"/>
      <c r="AF553" s="269"/>
      <c r="AG553" s="269"/>
      <c r="AH553" s="269"/>
      <c r="AI553" s="269"/>
      <c r="AJ553" s="269"/>
      <c r="AK553" s="269"/>
      <c r="AL553" s="269"/>
      <c r="AM553" s="269"/>
    </row>
    <row r="554" spans="1:39" ht="45" customHeight="1" x14ac:dyDescent="0.2">
      <c r="A554" s="277">
        <f>IF(B554="","",COUNT('Diário 5º PA'!$A$5:$A$2634)+COUNT('Diário 6º PA'!$A$5:$A$2246)+ROW()-4)</f>
        <v>3093</v>
      </c>
      <c r="B554" s="278">
        <v>44414</v>
      </c>
      <c r="C554" s="249">
        <v>44409</v>
      </c>
      <c r="D554" s="255" t="s">
        <v>99</v>
      </c>
      <c r="E554" s="255" t="s">
        <v>272</v>
      </c>
      <c r="F554" s="258">
        <v>10.45</v>
      </c>
      <c r="G554" s="450" t="s">
        <v>1237</v>
      </c>
      <c r="H554" s="255" t="s">
        <v>114</v>
      </c>
      <c r="I554" s="250" t="s">
        <v>949</v>
      </c>
      <c r="J554" s="255" t="s">
        <v>950</v>
      </c>
      <c r="K554" s="255" t="s">
        <v>951</v>
      </c>
      <c r="L554" s="250" t="s">
        <v>947</v>
      </c>
      <c r="M554" s="336" t="s">
        <v>114</v>
      </c>
      <c r="N554" s="278">
        <v>44414</v>
      </c>
      <c r="O554" s="329" t="s">
        <v>67</v>
      </c>
      <c r="P554" s="330">
        <f t="shared" si="28"/>
        <v>8</v>
      </c>
      <c r="Q554" s="330">
        <f t="shared" si="29"/>
        <v>8</v>
      </c>
      <c r="R554" s="331" t="str">
        <f t="shared" si="30"/>
        <v>Gastos_Gerais</v>
      </c>
      <c r="S554" s="331" t="str">
        <f>IF(D554="","",IF(OR(D554=Plano!$A$1,D554=Plano!$B$1),"entrada","saída"))</f>
        <v>saída</v>
      </c>
      <c r="T554" s="332" t="s">
        <v>114</v>
      </c>
      <c r="U554" s="332" t="s">
        <v>114</v>
      </c>
      <c r="V554" s="269"/>
      <c r="W554" s="269"/>
      <c r="X554" s="269"/>
      <c r="Y554" s="269"/>
      <c r="Z554" s="269"/>
      <c r="AA554" s="269"/>
      <c r="AB554" s="269"/>
      <c r="AC554" s="269"/>
      <c r="AD554" s="269"/>
      <c r="AE554" s="269"/>
      <c r="AF554" s="269"/>
      <c r="AG554" s="269"/>
      <c r="AH554" s="269"/>
      <c r="AI554" s="269"/>
      <c r="AJ554" s="269"/>
      <c r="AK554" s="269"/>
      <c r="AL554" s="269"/>
      <c r="AM554" s="269"/>
    </row>
    <row r="555" spans="1:39" ht="45" customHeight="1" x14ac:dyDescent="0.2">
      <c r="A555" s="277">
        <f>IF(B555="","",COUNT('Diário 5º PA'!$A$5:$A$2634)+COUNT('Diário 6º PA'!$A$5:$A$2246)+ROW()-4)</f>
        <v>3094</v>
      </c>
      <c r="B555" s="278">
        <v>44414</v>
      </c>
      <c r="C555" s="249">
        <v>44409</v>
      </c>
      <c r="D555" s="255" t="s">
        <v>99</v>
      </c>
      <c r="E555" s="255" t="s">
        <v>272</v>
      </c>
      <c r="F555" s="258">
        <v>10.45</v>
      </c>
      <c r="G555" s="450" t="s">
        <v>1238</v>
      </c>
      <c r="H555" s="255" t="s">
        <v>114</v>
      </c>
      <c r="I555" s="250" t="s">
        <v>949</v>
      </c>
      <c r="J555" s="255" t="s">
        <v>950</v>
      </c>
      <c r="K555" s="255" t="s">
        <v>951</v>
      </c>
      <c r="L555" s="250" t="s">
        <v>947</v>
      </c>
      <c r="M555" s="336" t="s">
        <v>114</v>
      </c>
      <c r="N555" s="278">
        <v>44414</v>
      </c>
      <c r="O555" s="329" t="s">
        <v>67</v>
      </c>
      <c r="P555" s="330">
        <f t="shared" si="28"/>
        <v>8</v>
      </c>
      <c r="Q555" s="330">
        <f t="shared" si="29"/>
        <v>8</v>
      </c>
      <c r="R555" s="331" t="str">
        <f t="shared" si="30"/>
        <v>Gastos_Gerais</v>
      </c>
      <c r="S555" s="331" t="str">
        <f>IF(D555="","",IF(OR(D555=Plano!$A$1,D555=Plano!$B$1),"entrada","saída"))</f>
        <v>saída</v>
      </c>
      <c r="T555" s="332" t="s">
        <v>114</v>
      </c>
      <c r="U555" s="332" t="s">
        <v>114</v>
      </c>
      <c r="V555" s="269"/>
      <c r="W555" s="269"/>
      <c r="X555" s="269"/>
      <c r="Y555" s="269"/>
      <c r="Z555" s="269"/>
      <c r="AA555" s="269"/>
      <c r="AB555" s="269"/>
      <c r="AC555" s="269"/>
      <c r="AD555" s="269"/>
      <c r="AE555" s="269"/>
      <c r="AF555" s="269"/>
      <c r="AG555" s="269"/>
      <c r="AH555" s="269"/>
      <c r="AI555" s="269"/>
      <c r="AJ555" s="269"/>
      <c r="AK555" s="269"/>
      <c r="AL555" s="269"/>
      <c r="AM555" s="269"/>
    </row>
    <row r="556" spans="1:39" ht="45" customHeight="1" x14ac:dyDescent="0.2">
      <c r="A556" s="277">
        <f>IF(B556="","",COUNT('Diário 5º PA'!$A$5:$A$2634)+COUNT('Diário 6º PA'!$A$5:$A$2246)+ROW()-4)</f>
        <v>3095</v>
      </c>
      <c r="B556" s="278">
        <v>44414</v>
      </c>
      <c r="C556" s="249">
        <v>44409</v>
      </c>
      <c r="D556" s="255" t="s">
        <v>99</v>
      </c>
      <c r="E556" s="255" t="s">
        <v>272</v>
      </c>
      <c r="F556" s="258">
        <v>10.45</v>
      </c>
      <c r="G556" s="450" t="s">
        <v>1239</v>
      </c>
      <c r="H556" s="255" t="s">
        <v>114</v>
      </c>
      <c r="I556" s="250" t="s">
        <v>949</v>
      </c>
      <c r="J556" s="255" t="s">
        <v>950</v>
      </c>
      <c r="K556" s="255" t="s">
        <v>951</v>
      </c>
      <c r="L556" s="250" t="s">
        <v>947</v>
      </c>
      <c r="M556" s="336" t="s">
        <v>114</v>
      </c>
      <c r="N556" s="278">
        <v>44414</v>
      </c>
      <c r="O556" s="329" t="s">
        <v>67</v>
      </c>
      <c r="P556" s="330">
        <f t="shared" si="28"/>
        <v>8</v>
      </c>
      <c r="Q556" s="330">
        <f t="shared" si="29"/>
        <v>8</v>
      </c>
      <c r="R556" s="331" t="str">
        <f t="shared" si="30"/>
        <v>Gastos_Gerais</v>
      </c>
      <c r="S556" s="331" t="str">
        <f>IF(D556="","",IF(OR(D556=Plano!$A$1,D556=Plano!$B$1),"entrada","saída"))</f>
        <v>saída</v>
      </c>
      <c r="T556" s="332" t="s">
        <v>114</v>
      </c>
      <c r="U556" s="332" t="s">
        <v>114</v>
      </c>
      <c r="V556" s="269"/>
      <c r="W556" s="269"/>
      <c r="X556" s="269"/>
      <c r="Y556" s="269"/>
      <c r="Z556" s="269"/>
      <c r="AA556" s="269"/>
      <c r="AB556" s="269"/>
      <c r="AC556" s="269"/>
      <c r="AD556" s="269"/>
      <c r="AE556" s="269"/>
      <c r="AF556" s="269"/>
      <c r="AG556" s="269"/>
      <c r="AH556" s="269"/>
      <c r="AI556" s="269"/>
      <c r="AJ556" s="269"/>
      <c r="AK556" s="269"/>
      <c r="AL556" s="269"/>
      <c r="AM556" s="269"/>
    </row>
    <row r="557" spans="1:39" ht="45" customHeight="1" x14ac:dyDescent="0.2">
      <c r="A557" s="277">
        <f>IF(B557="","",COUNT('Diário 5º PA'!$A$5:$A$2634)+COUNT('Diário 6º PA'!$A$5:$A$2246)+ROW()-4)</f>
        <v>3096</v>
      </c>
      <c r="B557" s="278">
        <v>44414</v>
      </c>
      <c r="C557" s="249">
        <v>44409</v>
      </c>
      <c r="D557" s="255" t="s">
        <v>99</v>
      </c>
      <c r="E557" s="255" t="s">
        <v>272</v>
      </c>
      <c r="F557" s="258">
        <v>10.45</v>
      </c>
      <c r="G557" s="450" t="s">
        <v>1240</v>
      </c>
      <c r="H557" s="255" t="s">
        <v>114</v>
      </c>
      <c r="I557" s="250" t="s">
        <v>949</v>
      </c>
      <c r="J557" s="255" t="s">
        <v>950</v>
      </c>
      <c r="K557" s="255" t="s">
        <v>951</v>
      </c>
      <c r="L557" s="250" t="s">
        <v>947</v>
      </c>
      <c r="M557" s="336" t="s">
        <v>114</v>
      </c>
      <c r="N557" s="278">
        <v>44414</v>
      </c>
      <c r="O557" s="329" t="s">
        <v>67</v>
      </c>
      <c r="P557" s="330">
        <f t="shared" si="28"/>
        <v>8</v>
      </c>
      <c r="Q557" s="330">
        <f t="shared" si="29"/>
        <v>8</v>
      </c>
      <c r="R557" s="331" t="str">
        <f t="shared" si="30"/>
        <v>Gastos_Gerais</v>
      </c>
      <c r="S557" s="331" t="str">
        <f>IF(D557="","",IF(OR(D557=Plano!$A$1,D557=Plano!$B$1),"entrada","saída"))</f>
        <v>saída</v>
      </c>
      <c r="T557" s="332" t="s">
        <v>114</v>
      </c>
      <c r="U557" s="332" t="s">
        <v>114</v>
      </c>
      <c r="V557" s="269"/>
      <c r="W557" s="269"/>
      <c r="X557" s="269"/>
      <c r="Y557" s="269"/>
      <c r="Z557" s="269"/>
      <c r="AA557" s="269"/>
      <c r="AB557" s="269"/>
      <c r="AC557" s="269"/>
      <c r="AD557" s="269"/>
      <c r="AE557" s="269"/>
      <c r="AF557" s="269"/>
      <c r="AG557" s="269"/>
      <c r="AH557" s="269"/>
      <c r="AI557" s="269"/>
      <c r="AJ557" s="269"/>
      <c r="AK557" s="269"/>
      <c r="AL557" s="269"/>
      <c r="AM557" s="269"/>
    </row>
    <row r="558" spans="1:39" ht="45" customHeight="1" x14ac:dyDescent="0.2">
      <c r="A558" s="277">
        <f>IF(B558="","",COUNT('Diário 5º PA'!$A$5:$A$2634)+COUNT('Diário 6º PA'!$A$5:$A$2246)+ROW()-4)</f>
        <v>3097</v>
      </c>
      <c r="B558" s="278">
        <v>44414</v>
      </c>
      <c r="C558" s="249">
        <v>44409</v>
      </c>
      <c r="D558" s="255" t="s">
        <v>99</v>
      </c>
      <c r="E558" s="255" t="s">
        <v>272</v>
      </c>
      <c r="F558" s="258">
        <v>10.45</v>
      </c>
      <c r="G558" s="450" t="s">
        <v>1244</v>
      </c>
      <c r="H558" s="255" t="s">
        <v>114</v>
      </c>
      <c r="I558" s="250" t="s">
        <v>949</v>
      </c>
      <c r="J558" s="255" t="s">
        <v>950</v>
      </c>
      <c r="K558" s="255" t="s">
        <v>951</v>
      </c>
      <c r="L558" s="250" t="s">
        <v>947</v>
      </c>
      <c r="M558" s="336" t="s">
        <v>114</v>
      </c>
      <c r="N558" s="278">
        <v>44414</v>
      </c>
      <c r="O558" s="329" t="s">
        <v>67</v>
      </c>
      <c r="P558" s="330">
        <f t="shared" si="28"/>
        <v>8</v>
      </c>
      <c r="Q558" s="330">
        <f t="shared" si="29"/>
        <v>8</v>
      </c>
      <c r="R558" s="331" t="str">
        <f t="shared" si="30"/>
        <v>Gastos_Gerais</v>
      </c>
      <c r="S558" s="331" t="str">
        <f>IF(D558="","",IF(OR(D558=Plano!$A$1,D558=Plano!$B$1),"entrada","saída"))</f>
        <v>saída</v>
      </c>
      <c r="T558" s="332" t="s">
        <v>114</v>
      </c>
      <c r="U558" s="332" t="s">
        <v>114</v>
      </c>
      <c r="V558" s="269"/>
      <c r="W558" s="269"/>
      <c r="X558" s="269"/>
      <c r="Y558" s="269"/>
      <c r="Z558" s="269"/>
      <c r="AA558" s="269"/>
      <c r="AB558" s="269"/>
      <c r="AC558" s="269"/>
      <c r="AD558" s="269"/>
      <c r="AE558" s="269"/>
      <c r="AF558" s="269"/>
      <c r="AG558" s="269"/>
      <c r="AH558" s="269"/>
      <c r="AI558" s="269"/>
      <c r="AJ558" s="269"/>
      <c r="AK558" s="269"/>
      <c r="AL558" s="269"/>
      <c r="AM558" s="269"/>
    </row>
    <row r="559" spans="1:39" ht="45" customHeight="1" x14ac:dyDescent="0.2">
      <c r="A559" s="277">
        <f>IF(B559="","",COUNT('Diário 5º PA'!$A$5:$A$2634)+COUNT('Diário 6º PA'!$A$5:$A$2246)+ROW()-4)</f>
        <v>3098</v>
      </c>
      <c r="B559" s="278">
        <v>44414</v>
      </c>
      <c r="C559" s="249">
        <v>44409</v>
      </c>
      <c r="D559" s="255" t="s">
        <v>99</v>
      </c>
      <c r="E559" s="255" t="s">
        <v>272</v>
      </c>
      <c r="F559" s="258">
        <v>10.45</v>
      </c>
      <c r="G559" s="450" t="s">
        <v>1814</v>
      </c>
      <c r="H559" s="255" t="s">
        <v>114</v>
      </c>
      <c r="I559" s="250" t="s">
        <v>949</v>
      </c>
      <c r="J559" s="255" t="s">
        <v>950</v>
      </c>
      <c r="K559" s="255" t="s">
        <v>951</v>
      </c>
      <c r="L559" s="250" t="s">
        <v>947</v>
      </c>
      <c r="M559" s="336" t="s">
        <v>114</v>
      </c>
      <c r="N559" s="278">
        <v>44414</v>
      </c>
      <c r="O559" s="329" t="s">
        <v>67</v>
      </c>
      <c r="P559" s="330">
        <f t="shared" si="28"/>
        <v>8</v>
      </c>
      <c r="Q559" s="330">
        <f t="shared" si="29"/>
        <v>8</v>
      </c>
      <c r="R559" s="331" t="str">
        <f t="shared" si="30"/>
        <v>Gastos_Gerais</v>
      </c>
      <c r="S559" s="331" t="str">
        <f>IF(D559="","",IF(OR(D559=Plano!$A$1,D559=Plano!$B$1),"entrada","saída"))</f>
        <v>saída</v>
      </c>
      <c r="T559" s="332" t="s">
        <v>114</v>
      </c>
      <c r="U559" s="332" t="s">
        <v>114</v>
      </c>
      <c r="V559" s="269"/>
      <c r="W559" s="269"/>
      <c r="X559" s="269"/>
      <c r="Y559" s="269"/>
      <c r="Z559" s="269"/>
      <c r="AA559" s="269"/>
      <c r="AB559" s="269"/>
      <c r="AC559" s="269"/>
      <c r="AD559" s="269"/>
      <c r="AE559" s="269"/>
      <c r="AF559" s="269"/>
      <c r="AG559" s="269"/>
      <c r="AH559" s="269"/>
      <c r="AI559" s="269"/>
      <c r="AJ559" s="269"/>
      <c r="AK559" s="269"/>
      <c r="AL559" s="269"/>
      <c r="AM559" s="269"/>
    </row>
    <row r="560" spans="1:39" ht="45" customHeight="1" x14ac:dyDescent="0.2">
      <c r="A560" s="277">
        <f>IF(B560="","",COUNT('Diário 5º PA'!$A$5:$A$2634)+COUNT('Diário 6º PA'!$A$5:$A$2246)+ROW()-4)</f>
        <v>3099</v>
      </c>
      <c r="B560" s="278">
        <v>44414</v>
      </c>
      <c r="C560" s="249">
        <v>44409</v>
      </c>
      <c r="D560" s="255" t="s">
        <v>99</v>
      </c>
      <c r="E560" s="255" t="s">
        <v>272</v>
      </c>
      <c r="F560" s="258">
        <v>10.45</v>
      </c>
      <c r="G560" s="450" t="s">
        <v>1244</v>
      </c>
      <c r="H560" s="255" t="s">
        <v>114</v>
      </c>
      <c r="I560" s="250" t="s">
        <v>949</v>
      </c>
      <c r="J560" s="255" t="s">
        <v>950</v>
      </c>
      <c r="K560" s="255" t="s">
        <v>951</v>
      </c>
      <c r="L560" s="250" t="s">
        <v>947</v>
      </c>
      <c r="M560" s="336" t="s">
        <v>114</v>
      </c>
      <c r="N560" s="278">
        <v>44414</v>
      </c>
      <c r="O560" s="329" t="s">
        <v>67</v>
      </c>
      <c r="P560" s="330">
        <f t="shared" si="28"/>
        <v>8</v>
      </c>
      <c r="Q560" s="330">
        <f t="shared" si="29"/>
        <v>8</v>
      </c>
      <c r="R560" s="331" t="str">
        <f t="shared" si="30"/>
        <v>Gastos_Gerais</v>
      </c>
      <c r="S560" s="331" t="str">
        <f>IF(D560="","",IF(OR(D560=Plano!$A$1,D560=Plano!$B$1),"entrada","saída"))</f>
        <v>saída</v>
      </c>
      <c r="T560" s="332" t="s">
        <v>114</v>
      </c>
      <c r="U560" s="332" t="s">
        <v>114</v>
      </c>
      <c r="V560" s="269"/>
      <c r="W560" s="269"/>
      <c r="X560" s="269"/>
      <c r="Y560" s="269"/>
      <c r="Z560" s="269"/>
      <c r="AA560" s="269"/>
      <c r="AB560" s="269"/>
      <c r="AC560" s="269"/>
      <c r="AD560" s="269"/>
      <c r="AE560" s="269"/>
      <c r="AF560" s="269"/>
      <c r="AG560" s="269"/>
      <c r="AH560" s="269"/>
      <c r="AI560" s="269"/>
      <c r="AJ560" s="269"/>
      <c r="AK560" s="269"/>
      <c r="AL560" s="269"/>
      <c r="AM560" s="269"/>
    </row>
    <row r="561" spans="1:39" ht="45" customHeight="1" x14ac:dyDescent="0.2">
      <c r="A561" s="277">
        <f>IF(B561="","",COUNT('Diário 5º PA'!$A$5:$A$2634)+COUNT('Diário 6º PA'!$A$5:$A$2246)+ROW()-4)</f>
        <v>3100</v>
      </c>
      <c r="B561" s="278">
        <v>44414</v>
      </c>
      <c r="C561" s="249">
        <v>44409</v>
      </c>
      <c r="D561" s="255" t="s">
        <v>99</v>
      </c>
      <c r="E561" s="255" t="s">
        <v>272</v>
      </c>
      <c r="F561" s="258">
        <v>10.45</v>
      </c>
      <c r="G561" s="450" t="s">
        <v>1245</v>
      </c>
      <c r="H561" s="255" t="s">
        <v>114</v>
      </c>
      <c r="I561" s="250" t="s">
        <v>949</v>
      </c>
      <c r="J561" s="255" t="s">
        <v>950</v>
      </c>
      <c r="K561" s="255" t="s">
        <v>951</v>
      </c>
      <c r="L561" s="250" t="s">
        <v>947</v>
      </c>
      <c r="M561" s="336" t="s">
        <v>114</v>
      </c>
      <c r="N561" s="278">
        <v>44414</v>
      </c>
      <c r="O561" s="329" t="s">
        <v>67</v>
      </c>
      <c r="P561" s="330">
        <f t="shared" si="28"/>
        <v>8</v>
      </c>
      <c r="Q561" s="330">
        <f t="shared" si="29"/>
        <v>8</v>
      </c>
      <c r="R561" s="331" t="str">
        <f t="shared" si="30"/>
        <v>Gastos_Gerais</v>
      </c>
      <c r="S561" s="331" t="str">
        <f>IF(D561="","",IF(OR(D561=Plano!$A$1,D561=Plano!$B$1),"entrada","saída"))</f>
        <v>saída</v>
      </c>
      <c r="T561" s="332" t="s">
        <v>114</v>
      </c>
      <c r="U561" s="332" t="s">
        <v>114</v>
      </c>
      <c r="V561" s="269"/>
      <c r="W561" s="269"/>
      <c r="X561" s="269"/>
      <c r="Y561" s="269"/>
      <c r="Z561" s="269"/>
      <c r="AA561" s="269"/>
      <c r="AB561" s="269"/>
      <c r="AC561" s="269"/>
      <c r="AD561" s="269"/>
      <c r="AE561" s="269"/>
      <c r="AF561" s="269"/>
      <c r="AG561" s="269"/>
      <c r="AH561" s="269"/>
      <c r="AI561" s="269"/>
      <c r="AJ561" s="269"/>
      <c r="AK561" s="269"/>
      <c r="AL561" s="269"/>
      <c r="AM561" s="269"/>
    </row>
    <row r="562" spans="1:39" ht="45" customHeight="1" x14ac:dyDescent="0.2">
      <c r="A562" s="277">
        <f>IF(B562="","",COUNT('Diário 5º PA'!$A$5:$A$2634)+COUNT('Diário 6º PA'!$A$5:$A$2246)+ROW()-4)</f>
        <v>3101</v>
      </c>
      <c r="B562" s="278">
        <v>44414</v>
      </c>
      <c r="C562" s="249">
        <v>44409</v>
      </c>
      <c r="D562" s="255" t="s">
        <v>99</v>
      </c>
      <c r="E562" s="255" t="s">
        <v>272</v>
      </c>
      <c r="F562" s="258">
        <v>10.45</v>
      </c>
      <c r="G562" s="450" t="s">
        <v>1239</v>
      </c>
      <c r="H562" s="255" t="s">
        <v>114</v>
      </c>
      <c r="I562" s="250" t="s">
        <v>949</v>
      </c>
      <c r="J562" s="255" t="s">
        <v>950</v>
      </c>
      <c r="K562" s="255" t="s">
        <v>951</v>
      </c>
      <c r="L562" s="250" t="s">
        <v>947</v>
      </c>
      <c r="M562" s="336" t="s">
        <v>114</v>
      </c>
      <c r="N562" s="278">
        <v>44414</v>
      </c>
      <c r="O562" s="329" t="s">
        <v>67</v>
      </c>
      <c r="P562" s="330">
        <f t="shared" si="28"/>
        <v>8</v>
      </c>
      <c r="Q562" s="330">
        <f t="shared" si="29"/>
        <v>8</v>
      </c>
      <c r="R562" s="331" t="str">
        <f t="shared" si="30"/>
        <v>Gastos_Gerais</v>
      </c>
      <c r="S562" s="331" t="str">
        <f>IF(D562="","",IF(OR(D562=Plano!$A$1,D562=Plano!$B$1),"entrada","saída"))</f>
        <v>saída</v>
      </c>
      <c r="T562" s="332" t="s">
        <v>114</v>
      </c>
      <c r="U562" s="332" t="s">
        <v>114</v>
      </c>
      <c r="V562" s="269"/>
      <c r="W562" s="269"/>
      <c r="X562" s="269"/>
      <c r="Y562" s="269"/>
      <c r="Z562" s="269"/>
      <c r="AA562" s="269"/>
      <c r="AB562" s="269"/>
      <c r="AC562" s="269"/>
      <c r="AD562" s="269"/>
      <c r="AE562" s="269"/>
      <c r="AF562" s="269"/>
      <c r="AG562" s="269"/>
      <c r="AH562" s="269"/>
      <c r="AI562" s="269"/>
      <c r="AJ562" s="269"/>
      <c r="AK562" s="269"/>
      <c r="AL562" s="269"/>
      <c r="AM562" s="269"/>
    </row>
    <row r="563" spans="1:39" ht="45" customHeight="1" x14ac:dyDescent="0.2">
      <c r="A563" s="277">
        <f>IF(B563="","",COUNT('Diário 5º PA'!$A$5:$A$2634)+COUNT('Diário 6º PA'!$A$5:$A$2246)+ROW()-4)</f>
        <v>3102</v>
      </c>
      <c r="B563" s="278">
        <v>44414</v>
      </c>
      <c r="C563" s="249">
        <v>44409</v>
      </c>
      <c r="D563" s="255" t="s">
        <v>99</v>
      </c>
      <c r="E563" s="255" t="s">
        <v>272</v>
      </c>
      <c r="F563" s="258">
        <v>10.45</v>
      </c>
      <c r="G563" s="450" t="s">
        <v>1815</v>
      </c>
      <c r="H563" s="255" t="s">
        <v>114</v>
      </c>
      <c r="I563" s="250" t="s">
        <v>949</v>
      </c>
      <c r="J563" s="255" t="s">
        <v>950</v>
      </c>
      <c r="K563" s="255" t="s">
        <v>951</v>
      </c>
      <c r="L563" s="250" t="s">
        <v>947</v>
      </c>
      <c r="M563" s="336" t="s">
        <v>114</v>
      </c>
      <c r="N563" s="278">
        <v>44414</v>
      </c>
      <c r="O563" s="329" t="s">
        <v>67</v>
      </c>
      <c r="P563" s="330">
        <f t="shared" si="28"/>
        <v>8</v>
      </c>
      <c r="Q563" s="330">
        <f t="shared" si="29"/>
        <v>8</v>
      </c>
      <c r="R563" s="331" t="str">
        <f t="shared" si="30"/>
        <v>Gastos_Gerais</v>
      </c>
      <c r="S563" s="331" t="str">
        <f>IF(D563="","",IF(OR(D563=Plano!$A$1,D563=Plano!$B$1),"entrada","saída"))</f>
        <v>saída</v>
      </c>
      <c r="T563" s="332" t="s">
        <v>114</v>
      </c>
      <c r="U563" s="332" t="s">
        <v>114</v>
      </c>
      <c r="V563" s="269"/>
      <c r="W563" s="269"/>
      <c r="X563" s="269"/>
      <c r="Y563" s="269"/>
      <c r="Z563" s="269"/>
      <c r="AA563" s="269"/>
      <c r="AB563" s="269"/>
      <c r="AC563" s="269"/>
      <c r="AD563" s="269"/>
      <c r="AE563" s="269"/>
      <c r="AF563" s="269"/>
      <c r="AG563" s="269"/>
      <c r="AH563" s="269"/>
      <c r="AI563" s="269"/>
      <c r="AJ563" s="269"/>
      <c r="AK563" s="269"/>
      <c r="AL563" s="269"/>
      <c r="AM563" s="269"/>
    </row>
    <row r="564" spans="1:39" ht="45" customHeight="1" x14ac:dyDescent="0.2">
      <c r="A564" s="277">
        <f>IF(B564="","",COUNT('Diário 5º PA'!$A$5:$A$2634)+COUNT('Diário 6º PA'!$A$5:$A$2246)+ROW()-4)</f>
        <v>3103</v>
      </c>
      <c r="B564" s="278">
        <v>44414</v>
      </c>
      <c r="C564" s="249">
        <v>44409</v>
      </c>
      <c r="D564" s="255" t="s">
        <v>99</v>
      </c>
      <c r="E564" s="255" t="s">
        <v>272</v>
      </c>
      <c r="F564" s="258">
        <v>10.45</v>
      </c>
      <c r="G564" s="450" t="s">
        <v>1816</v>
      </c>
      <c r="H564" s="255" t="s">
        <v>114</v>
      </c>
      <c r="I564" s="250" t="s">
        <v>949</v>
      </c>
      <c r="J564" s="255" t="s">
        <v>950</v>
      </c>
      <c r="K564" s="255" t="s">
        <v>951</v>
      </c>
      <c r="L564" s="250" t="s">
        <v>947</v>
      </c>
      <c r="M564" s="336" t="s">
        <v>114</v>
      </c>
      <c r="N564" s="278">
        <v>44414</v>
      </c>
      <c r="O564" s="329" t="s">
        <v>67</v>
      </c>
      <c r="P564" s="330">
        <f t="shared" si="28"/>
        <v>8</v>
      </c>
      <c r="Q564" s="330">
        <f t="shared" si="29"/>
        <v>8</v>
      </c>
      <c r="R564" s="331" t="str">
        <f t="shared" si="30"/>
        <v>Gastos_Gerais</v>
      </c>
      <c r="S564" s="331" t="str">
        <f>IF(D564="","",IF(OR(D564=Plano!$A$1,D564=Plano!$B$1),"entrada","saída"))</f>
        <v>saída</v>
      </c>
      <c r="T564" s="332" t="s">
        <v>114</v>
      </c>
      <c r="U564" s="332" t="s">
        <v>114</v>
      </c>
      <c r="V564" s="269"/>
      <c r="W564" s="269"/>
      <c r="X564" s="269"/>
      <c r="Y564" s="269"/>
      <c r="Z564" s="269"/>
      <c r="AA564" s="269"/>
      <c r="AB564" s="269"/>
      <c r="AC564" s="269"/>
      <c r="AD564" s="269"/>
      <c r="AE564" s="269"/>
      <c r="AF564" s="269"/>
      <c r="AG564" s="269"/>
      <c r="AH564" s="269"/>
      <c r="AI564" s="269"/>
      <c r="AJ564" s="269"/>
      <c r="AK564" s="269"/>
      <c r="AL564" s="269"/>
      <c r="AM564" s="269"/>
    </row>
    <row r="565" spans="1:39" ht="45" customHeight="1" x14ac:dyDescent="0.2">
      <c r="A565" s="277">
        <f>IF(B565="","",COUNT('Diário 5º PA'!$A$5:$A$2634)+COUNT('Diário 6º PA'!$A$5:$A$2246)+ROW()-4)</f>
        <v>3104</v>
      </c>
      <c r="B565" s="278">
        <v>44414</v>
      </c>
      <c r="C565" s="249">
        <v>44409</v>
      </c>
      <c r="D565" s="255" t="s">
        <v>99</v>
      </c>
      <c r="E565" s="255" t="s">
        <v>272</v>
      </c>
      <c r="F565" s="258">
        <v>10.45</v>
      </c>
      <c r="G565" s="450" t="s">
        <v>1815</v>
      </c>
      <c r="H565" s="255" t="s">
        <v>114</v>
      </c>
      <c r="I565" s="250" t="s">
        <v>949</v>
      </c>
      <c r="J565" s="255" t="s">
        <v>950</v>
      </c>
      <c r="K565" s="255" t="s">
        <v>951</v>
      </c>
      <c r="L565" s="250" t="s">
        <v>947</v>
      </c>
      <c r="M565" s="336" t="s">
        <v>114</v>
      </c>
      <c r="N565" s="278">
        <v>44414</v>
      </c>
      <c r="O565" s="329" t="s">
        <v>67</v>
      </c>
      <c r="P565" s="330">
        <f t="shared" si="28"/>
        <v>8</v>
      </c>
      <c r="Q565" s="330">
        <f t="shared" si="29"/>
        <v>8</v>
      </c>
      <c r="R565" s="331" t="str">
        <f t="shared" si="30"/>
        <v>Gastos_Gerais</v>
      </c>
      <c r="S565" s="331" t="str">
        <f>IF(D565="","",IF(OR(D565=Plano!$A$1,D565=Plano!$B$1),"entrada","saída"))</f>
        <v>saída</v>
      </c>
      <c r="T565" s="332" t="s">
        <v>114</v>
      </c>
      <c r="U565" s="332" t="s">
        <v>114</v>
      </c>
      <c r="V565" s="269"/>
      <c r="W565" s="269"/>
      <c r="X565" s="269"/>
      <c r="Y565" s="269"/>
      <c r="Z565" s="269"/>
      <c r="AA565" s="269"/>
      <c r="AB565" s="269"/>
      <c r="AC565" s="269"/>
      <c r="AD565" s="269"/>
      <c r="AE565" s="269"/>
      <c r="AF565" s="269"/>
      <c r="AG565" s="269"/>
      <c r="AH565" s="269"/>
      <c r="AI565" s="269"/>
      <c r="AJ565" s="269"/>
      <c r="AK565" s="269"/>
      <c r="AL565" s="269"/>
      <c r="AM565" s="269"/>
    </row>
    <row r="566" spans="1:39" ht="45" customHeight="1" x14ac:dyDescent="0.2">
      <c r="A566" s="277">
        <f>IF(B566="","",COUNT('Diário 5º PA'!$A$5:$A$2634)+COUNT('Diário 6º PA'!$A$5:$A$2246)+ROW()-4)</f>
        <v>3105</v>
      </c>
      <c r="B566" s="278">
        <v>44414</v>
      </c>
      <c r="C566" s="249">
        <v>44409</v>
      </c>
      <c r="D566" s="255" t="s">
        <v>99</v>
      </c>
      <c r="E566" s="255" t="s">
        <v>272</v>
      </c>
      <c r="F566" s="258">
        <v>10.45</v>
      </c>
      <c r="G566" s="450" t="s">
        <v>1815</v>
      </c>
      <c r="H566" s="255" t="s">
        <v>114</v>
      </c>
      <c r="I566" s="250" t="s">
        <v>949</v>
      </c>
      <c r="J566" s="255" t="s">
        <v>950</v>
      </c>
      <c r="K566" s="255" t="s">
        <v>951</v>
      </c>
      <c r="L566" s="250" t="s">
        <v>947</v>
      </c>
      <c r="M566" s="336" t="s">
        <v>114</v>
      </c>
      <c r="N566" s="278">
        <v>44414</v>
      </c>
      <c r="O566" s="329" t="s">
        <v>67</v>
      </c>
      <c r="P566" s="330">
        <f t="shared" si="28"/>
        <v>8</v>
      </c>
      <c r="Q566" s="330">
        <f t="shared" si="29"/>
        <v>8</v>
      </c>
      <c r="R566" s="331" t="str">
        <f t="shared" si="30"/>
        <v>Gastos_Gerais</v>
      </c>
      <c r="S566" s="331" t="str">
        <f>IF(D566="","",IF(OR(D566=Plano!$A$1,D566=Plano!$B$1),"entrada","saída"))</f>
        <v>saída</v>
      </c>
      <c r="T566" s="332" t="s">
        <v>114</v>
      </c>
      <c r="U566" s="332" t="s">
        <v>114</v>
      </c>
      <c r="V566" s="269"/>
      <c r="W566" s="269"/>
      <c r="X566" s="269"/>
      <c r="Y566" s="269"/>
      <c r="Z566" s="269"/>
      <c r="AA566" s="269"/>
      <c r="AB566" s="269"/>
      <c r="AC566" s="269"/>
      <c r="AD566" s="269"/>
      <c r="AE566" s="269"/>
      <c r="AF566" s="269"/>
      <c r="AG566" s="269"/>
      <c r="AH566" s="269"/>
      <c r="AI566" s="269"/>
      <c r="AJ566" s="269"/>
      <c r="AK566" s="269"/>
      <c r="AL566" s="269"/>
      <c r="AM566" s="269"/>
    </row>
    <row r="567" spans="1:39" ht="45" customHeight="1" x14ac:dyDescent="0.2">
      <c r="A567" s="277">
        <f>IF(B567="","",COUNT('Diário 5º PA'!$A$5:$A$2634)+COUNT('Diário 6º PA'!$A$5:$A$2246)+ROW()-4)</f>
        <v>3106</v>
      </c>
      <c r="B567" s="278">
        <v>44414</v>
      </c>
      <c r="C567" s="249">
        <v>44409</v>
      </c>
      <c r="D567" s="255" t="s">
        <v>99</v>
      </c>
      <c r="E567" s="255" t="s">
        <v>272</v>
      </c>
      <c r="F567" s="258">
        <v>10.45</v>
      </c>
      <c r="G567" s="450" t="s">
        <v>1815</v>
      </c>
      <c r="H567" s="255" t="s">
        <v>114</v>
      </c>
      <c r="I567" s="250" t="s">
        <v>949</v>
      </c>
      <c r="J567" s="255" t="s">
        <v>950</v>
      </c>
      <c r="K567" s="255" t="s">
        <v>951</v>
      </c>
      <c r="L567" s="250" t="s">
        <v>947</v>
      </c>
      <c r="M567" s="336" t="s">
        <v>114</v>
      </c>
      <c r="N567" s="278">
        <v>44414</v>
      </c>
      <c r="O567" s="329" t="s">
        <v>67</v>
      </c>
      <c r="P567" s="330">
        <f t="shared" si="28"/>
        <v>8</v>
      </c>
      <c r="Q567" s="330">
        <f t="shared" si="29"/>
        <v>8</v>
      </c>
      <c r="R567" s="331" t="str">
        <f t="shared" si="30"/>
        <v>Gastos_Gerais</v>
      </c>
      <c r="S567" s="331" t="str">
        <f>IF(D567="","",IF(OR(D567=Plano!$A$1,D567=Plano!$B$1),"entrada","saída"))</f>
        <v>saída</v>
      </c>
      <c r="T567" s="332" t="s">
        <v>114</v>
      </c>
      <c r="U567" s="332" t="s">
        <v>114</v>
      </c>
      <c r="V567" s="269"/>
      <c r="W567" s="269"/>
      <c r="X567" s="269"/>
      <c r="Y567" s="269"/>
      <c r="Z567" s="269"/>
      <c r="AA567" s="269"/>
      <c r="AB567" s="269"/>
      <c r="AC567" s="269"/>
      <c r="AD567" s="269"/>
      <c r="AE567" s="269"/>
      <c r="AF567" s="269"/>
      <c r="AG567" s="269"/>
      <c r="AH567" s="269"/>
      <c r="AI567" s="269"/>
      <c r="AJ567" s="269"/>
      <c r="AK567" s="269"/>
      <c r="AL567" s="269"/>
      <c r="AM567" s="269"/>
    </row>
    <row r="568" spans="1:39" ht="45" customHeight="1" x14ac:dyDescent="0.2">
      <c r="A568" s="277">
        <f>IF(B568="","",COUNT('Diário 5º PA'!$A$5:$A$2634)+COUNT('Diário 6º PA'!$A$5:$A$2246)+ROW()-4)</f>
        <v>3107</v>
      </c>
      <c r="B568" s="278">
        <v>44414</v>
      </c>
      <c r="C568" s="249">
        <v>44409</v>
      </c>
      <c r="D568" s="255" t="s">
        <v>99</v>
      </c>
      <c r="E568" s="255" t="s">
        <v>272</v>
      </c>
      <c r="F568" s="258">
        <v>10.45</v>
      </c>
      <c r="G568" s="450" t="s">
        <v>1815</v>
      </c>
      <c r="H568" s="255" t="s">
        <v>114</v>
      </c>
      <c r="I568" s="250" t="s">
        <v>949</v>
      </c>
      <c r="J568" s="255" t="s">
        <v>950</v>
      </c>
      <c r="K568" s="255" t="s">
        <v>951</v>
      </c>
      <c r="L568" s="250" t="s">
        <v>947</v>
      </c>
      <c r="M568" s="336" t="s">
        <v>114</v>
      </c>
      <c r="N568" s="278">
        <v>44414</v>
      </c>
      <c r="O568" s="329" t="s">
        <v>67</v>
      </c>
      <c r="P568" s="330">
        <f t="shared" si="28"/>
        <v>8</v>
      </c>
      <c r="Q568" s="330">
        <f t="shared" si="29"/>
        <v>8</v>
      </c>
      <c r="R568" s="331" t="str">
        <f t="shared" si="30"/>
        <v>Gastos_Gerais</v>
      </c>
      <c r="S568" s="331" t="str">
        <f>IF(D568="","",IF(OR(D568=Plano!$A$1,D568=Plano!$B$1),"entrada","saída"))</f>
        <v>saída</v>
      </c>
      <c r="T568" s="332" t="s">
        <v>114</v>
      </c>
      <c r="U568" s="332" t="s">
        <v>114</v>
      </c>
      <c r="V568" s="269"/>
      <c r="W568" s="269"/>
      <c r="X568" s="269"/>
      <c r="Y568" s="269"/>
      <c r="Z568" s="269"/>
      <c r="AA568" s="269"/>
      <c r="AB568" s="269"/>
      <c r="AC568" s="269"/>
      <c r="AD568" s="269"/>
      <c r="AE568" s="269"/>
      <c r="AF568" s="269"/>
      <c r="AG568" s="269"/>
      <c r="AH568" s="269"/>
      <c r="AI568" s="269"/>
      <c r="AJ568" s="269"/>
      <c r="AK568" s="269"/>
      <c r="AL568" s="269"/>
      <c r="AM568" s="269"/>
    </row>
    <row r="569" spans="1:39" ht="45" customHeight="1" x14ac:dyDescent="0.2">
      <c r="A569" s="277">
        <f>IF(B569="","",COUNT('Diário 5º PA'!$A$5:$A$2634)+COUNT('Diário 6º PA'!$A$5:$A$2246)+ROW()-4)</f>
        <v>3108</v>
      </c>
      <c r="B569" s="278">
        <v>44414</v>
      </c>
      <c r="C569" s="249">
        <v>44409</v>
      </c>
      <c r="D569" s="255" t="s">
        <v>99</v>
      </c>
      <c r="E569" s="255" t="s">
        <v>272</v>
      </c>
      <c r="F569" s="258">
        <v>10.45</v>
      </c>
      <c r="G569" s="450" t="s">
        <v>1815</v>
      </c>
      <c r="H569" s="255" t="s">
        <v>114</v>
      </c>
      <c r="I569" s="250" t="s">
        <v>949</v>
      </c>
      <c r="J569" s="255" t="s">
        <v>950</v>
      </c>
      <c r="K569" s="255" t="s">
        <v>951</v>
      </c>
      <c r="L569" s="250" t="s">
        <v>947</v>
      </c>
      <c r="M569" s="336" t="s">
        <v>114</v>
      </c>
      <c r="N569" s="278">
        <v>44414</v>
      </c>
      <c r="O569" s="329" t="s">
        <v>67</v>
      </c>
      <c r="P569" s="330">
        <f t="shared" si="28"/>
        <v>8</v>
      </c>
      <c r="Q569" s="330">
        <f t="shared" si="29"/>
        <v>8</v>
      </c>
      <c r="R569" s="331" t="str">
        <f t="shared" si="30"/>
        <v>Gastos_Gerais</v>
      </c>
      <c r="S569" s="331" t="str">
        <f>IF(D569="","",IF(OR(D569=Plano!$A$1,D569=Plano!$B$1),"entrada","saída"))</f>
        <v>saída</v>
      </c>
      <c r="T569" s="332" t="s">
        <v>114</v>
      </c>
      <c r="U569" s="332" t="s">
        <v>114</v>
      </c>
      <c r="V569" s="269"/>
      <c r="W569" s="269"/>
      <c r="X569" s="269"/>
      <c r="Y569" s="269"/>
      <c r="Z569" s="269"/>
      <c r="AA569" s="269"/>
      <c r="AB569" s="269"/>
      <c r="AC569" s="269"/>
      <c r="AD569" s="269"/>
      <c r="AE569" s="269"/>
      <c r="AF569" s="269"/>
      <c r="AG569" s="269"/>
      <c r="AH569" s="269"/>
      <c r="AI569" s="269"/>
      <c r="AJ569" s="269"/>
      <c r="AK569" s="269"/>
      <c r="AL569" s="269"/>
      <c r="AM569" s="269"/>
    </row>
    <row r="570" spans="1:39" ht="45" customHeight="1" x14ac:dyDescent="0.2">
      <c r="A570" s="277">
        <f>IF(B570="","",COUNT('Diário 5º PA'!$A$5:$A$2634)+COUNT('Diário 6º PA'!$A$5:$A$2246)+ROW()-4)</f>
        <v>3109</v>
      </c>
      <c r="B570" s="278">
        <v>44414</v>
      </c>
      <c r="C570" s="249">
        <v>44409</v>
      </c>
      <c r="D570" s="255" t="s">
        <v>99</v>
      </c>
      <c r="E570" s="255" t="s">
        <v>272</v>
      </c>
      <c r="F570" s="258">
        <v>10.45</v>
      </c>
      <c r="G570" s="450" t="s">
        <v>1815</v>
      </c>
      <c r="H570" s="255" t="s">
        <v>114</v>
      </c>
      <c r="I570" s="250" t="s">
        <v>949</v>
      </c>
      <c r="J570" s="255" t="s">
        <v>950</v>
      </c>
      <c r="K570" s="255" t="s">
        <v>951</v>
      </c>
      <c r="L570" s="250" t="s">
        <v>947</v>
      </c>
      <c r="M570" s="336" t="s">
        <v>114</v>
      </c>
      <c r="N570" s="278">
        <v>44414</v>
      </c>
      <c r="O570" s="329" t="s">
        <v>67</v>
      </c>
      <c r="P570" s="330">
        <f t="shared" si="28"/>
        <v>8</v>
      </c>
      <c r="Q570" s="330">
        <f t="shared" si="29"/>
        <v>8</v>
      </c>
      <c r="R570" s="331" t="str">
        <f t="shared" si="30"/>
        <v>Gastos_Gerais</v>
      </c>
      <c r="S570" s="331" t="str">
        <f>IF(D570="","",IF(OR(D570=Plano!$A$1,D570=Plano!$B$1),"entrada","saída"))</f>
        <v>saída</v>
      </c>
      <c r="T570" s="332" t="s">
        <v>114</v>
      </c>
      <c r="U570" s="332" t="s">
        <v>114</v>
      </c>
      <c r="V570" s="269"/>
      <c r="W570" s="269"/>
      <c r="X570" s="269"/>
      <c r="Y570" s="269"/>
      <c r="Z570" s="269"/>
      <c r="AA570" s="269"/>
      <c r="AB570" s="269"/>
      <c r="AC570" s="269"/>
      <c r="AD570" s="269"/>
      <c r="AE570" s="269"/>
      <c r="AF570" s="269"/>
      <c r="AG570" s="269"/>
      <c r="AH570" s="269"/>
      <c r="AI570" s="269"/>
      <c r="AJ570" s="269"/>
      <c r="AK570" s="269"/>
      <c r="AL570" s="269"/>
      <c r="AM570" s="269"/>
    </row>
    <row r="571" spans="1:39" ht="45" customHeight="1" x14ac:dyDescent="0.2">
      <c r="A571" s="277">
        <f>IF(B571="","",COUNT('Diário 5º PA'!$A$5:$A$2634)+COUNT('Diário 6º PA'!$A$5:$A$2246)+ROW()-4)</f>
        <v>3110</v>
      </c>
      <c r="B571" s="278">
        <v>44414</v>
      </c>
      <c r="C571" s="249">
        <v>44409</v>
      </c>
      <c r="D571" s="255" t="s">
        <v>99</v>
      </c>
      <c r="E571" s="255" t="s">
        <v>272</v>
      </c>
      <c r="F571" s="258">
        <v>10.45</v>
      </c>
      <c r="G571" s="450" t="s">
        <v>1817</v>
      </c>
      <c r="H571" s="255" t="s">
        <v>114</v>
      </c>
      <c r="I571" s="250" t="s">
        <v>949</v>
      </c>
      <c r="J571" s="255" t="s">
        <v>950</v>
      </c>
      <c r="K571" s="255" t="s">
        <v>951</v>
      </c>
      <c r="L571" s="250" t="s">
        <v>947</v>
      </c>
      <c r="M571" s="336" t="s">
        <v>114</v>
      </c>
      <c r="N571" s="278">
        <v>44414</v>
      </c>
      <c r="O571" s="329" t="s">
        <v>67</v>
      </c>
      <c r="P571" s="330">
        <f t="shared" si="28"/>
        <v>8</v>
      </c>
      <c r="Q571" s="330">
        <f t="shared" si="29"/>
        <v>8</v>
      </c>
      <c r="R571" s="331" t="str">
        <f t="shared" si="30"/>
        <v>Gastos_Gerais</v>
      </c>
      <c r="S571" s="331" t="str">
        <f>IF(D571="","",IF(OR(D571=Plano!$A$1,D571=Plano!$B$1),"entrada","saída"))</f>
        <v>saída</v>
      </c>
      <c r="T571" s="332" t="s">
        <v>114</v>
      </c>
      <c r="U571" s="332" t="s">
        <v>114</v>
      </c>
      <c r="V571" s="269"/>
      <c r="W571" s="269"/>
      <c r="X571" s="269"/>
      <c r="Y571" s="269"/>
      <c r="Z571" s="269"/>
      <c r="AA571" s="269"/>
      <c r="AB571" s="269"/>
      <c r="AC571" s="269"/>
      <c r="AD571" s="269"/>
      <c r="AE571" s="269"/>
      <c r="AF571" s="269"/>
      <c r="AG571" s="269"/>
      <c r="AH571" s="269"/>
      <c r="AI571" s="269"/>
      <c r="AJ571" s="269"/>
      <c r="AK571" s="269"/>
      <c r="AL571" s="269"/>
      <c r="AM571" s="269"/>
    </row>
    <row r="572" spans="1:39" ht="45" customHeight="1" x14ac:dyDescent="0.2">
      <c r="A572" s="277">
        <f>IF(B572="","",COUNT('Diário 5º PA'!$A$5:$A$2634)+COUNT('Diário 6º PA'!$A$5:$A$2246)+ROW()-4)</f>
        <v>3111</v>
      </c>
      <c r="B572" s="278">
        <v>44414</v>
      </c>
      <c r="C572" s="249">
        <v>44409</v>
      </c>
      <c r="D572" s="255" t="s">
        <v>99</v>
      </c>
      <c r="E572" s="255" t="s">
        <v>272</v>
      </c>
      <c r="F572" s="258">
        <v>10.45</v>
      </c>
      <c r="G572" s="450" t="s">
        <v>1817</v>
      </c>
      <c r="H572" s="255" t="s">
        <v>114</v>
      </c>
      <c r="I572" s="250" t="s">
        <v>949</v>
      </c>
      <c r="J572" s="255" t="s">
        <v>950</v>
      </c>
      <c r="K572" s="255" t="s">
        <v>951</v>
      </c>
      <c r="L572" s="250" t="s">
        <v>947</v>
      </c>
      <c r="M572" s="336" t="s">
        <v>114</v>
      </c>
      <c r="N572" s="278">
        <v>44414</v>
      </c>
      <c r="O572" s="329" t="s">
        <v>67</v>
      </c>
      <c r="P572" s="330">
        <f t="shared" si="28"/>
        <v>8</v>
      </c>
      <c r="Q572" s="330">
        <f t="shared" si="29"/>
        <v>8</v>
      </c>
      <c r="R572" s="331" t="str">
        <f t="shared" si="30"/>
        <v>Gastos_Gerais</v>
      </c>
      <c r="S572" s="331" t="str">
        <f>IF(D572="","",IF(OR(D572=Plano!$A$1,D572=Plano!$B$1),"entrada","saída"))</f>
        <v>saída</v>
      </c>
      <c r="T572" s="332" t="s">
        <v>114</v>
      </c>
      <c r="U572" s="332" t="s">
        <v>114</v>
      </c>
      <c r="V572" s="269"/>
      <c r="W572" s="269"/>
      <c r="X572" s="269"/>
      <c r="Y572" s="269"/>
      <c r="Z572" s="269"/>
      <c r="AA572" s="269"/>
      <c r="AB572" s="269"/>
      <c r="AC572" s="269"/>
      <c r="AD572" s="269"/>
      <c r="AE572" s="269"/>
      <c r="AF572" s="269"/>
      <c r="AG572" s="269"/>
      <c r="AH572" s="269"/>
      <c r="AI572" s="269"/>
      <c r="AJ572" s="269"/>
      <c r="AK572" s="269"/>
      <c r="AL572" s="269"/>
      <c r="AM572" s="269"/>
    </row>
    <row r="573" spans="1:39" ht="45" customHeight="1" x14ac:dyDescent="0.2">
      <c r="A573" s="277">
        <f>IF(B573="","",COUNT('Diário 5º PA'!$A$5:$A$2634)+COUNT('Diário 6º PA'!$A$5:$A$2246)+ROW()-4)</f>
        <v>3112</v>
      </c>
      <c r="B573" s="278">
        <v>44414</v>
      </c>
      <c r="C573" s="249">
        <v>44409</v>
      </c>
      <c r="D573" s="255" t="s">
        <v>99</v>
      </c>
      <c r="E573" s="255" t="s">
        <v>272</v>
      </c>
      <c r="F573" s="258">
        <v>10.45</v>
      </c>
      <c r="G573" s="450" t="s">
        <v>1817</v>
      </c>
      <c r="H573" s="255" t="s">
        <v>114</v>
      </c>
      <c r="I573" s="250" t="s">
        <v>949</v>
      </c>
      <c r="J573" s="255" t="s">
        <v>950</v>
      </c>
      <c r="K573" s="255" t="s">
        <v>951</v>
      </c>
      <c r="L573" s="250" t="s">
        <v>947</v>
      </c>
      <c r="M573" s="336" t="s">
        <v>114</v>
      </c>
      <c r="N573" s="278">
        <v>44414</v>
      </c>
      <c r="O573" s="329" t="s">
        <v>67</v>
      </c>
      <c r="P573" s="330">
        <f t="shared" si="28"/>
        <v>8</v>
      </c>
      <c r="Q573" s="330">
        <f t="shared" si="29"/>
        <v>8</v>
      </c>
      <c r="R573" s="331" t="str">
        <f t="shared" si="30"/>
        <v>Gastos_Gerais</v>
      </c>
      <c r="S573" s="331" t="str">
        <f>IF(D573="","",IF(OR(D573=Plano!$A$1,D573=Plano!$B$1),"entrada","saída"))</f>
        <v>saída</v>
      </c>
      <c r="T573" s="332" t="s">
        <v>114</v>
      </c>
      <c r="U573" s="332" t="s">
        <v>114</v>
      </c>
      <c r="V573" s="269"/>
      <c r="W573" s="269"/>
      <c r="X573" s="269"/>
      <c r="Y573" s="269"/>
      <c r="Z573" s="269"/>
      <c r="AA573" s="269"/>
      <c r="AB573" s="269"/>
      <c r="AC573" s="269"/>
      <c r="AD573" s="269"/>
      <c r="AE573" s="269"/>
      <c r="AF573" s="269"/>
      <c r="AG573" s="269"/>
      <c r="AH573" s="269"/>
      <c r="AI573" s="269"/>
      <c r="AJ573" s="269"/>
      <c r="AK573" s="269"/>
      <c r="AL573" s="269"/>
      <c r="AM573" s="269"/>
    </row>
    <row r="574" spans="1:39" ht="45" customHeight="1" x14ac:dyDescent="0.2">
      <c r="A574" s="277">
        <f>IF(B574="","",COUNT('Diário 5º PA'!$A$5:$A$2634)+COUNT('Diário 6º PA'!$A$5:$A$2246)+ROW()-4)</f>
        <v>3113</v>
      </c>
      <c r="B574" s="278">
        <v>44414</v>
      </c>
      <c r="C574" s="249">
        <v>44409</v>
      </c>
      <c r="D574" s="255" t="s">
        <v>99</v>
      </c>
      <c r="E574" s="255" t="s">
        <v>272</v>
      </c>
      <c r="F574" s="258">
        <v>10.45</v>
      </c>
      <c r="G574" s="450" t="s">
        <v>1817</v>
      </c>
      <c r="H574" s="255" t="s">
        <v>114</v>
      </c>
      <c r="I574" s="250" t="s">
        <v>949</v>
      </c>
      <c r="J574" s="255" t="s">
        <v>950</v>
      </c>
      <c r="K574" s="255" t="s">
        <v>951</v>
      </c>
      <c r="L574" s="250" t="s">
        <v>947</v>
      </c>
      <c r="M574" s="336" t="s">
        <v>114</v>
      </c>
      <c r="N574" s="278">
        <v>44414</v>
      </c>
      <c r="O574" s="329" t="s">
        <v>67</v>
      </c>
      <c r="P574" s="330">
        <f t="shared" si="28"/>
        <v>8</v>
      </c>
      <c r="Q574" s="330">
        <f t="shared" si="29"/>
        <v>8</v>
      </c>
      <c r="R574" s="331" t="str">
        <f t="shared" si="30"/>
        <v>Gastos_Gerais</v>
      </c>
      <c r="S574" s="331" t="str">
        <f>IF(D574="","",IF(OR(D574=Plano!$A$1,D574=Plano!$B$1),"entrada","saída"))</f>
        <v>saída</v>
      </c>
      <c r="T574" s="332" t="s">
        <v>114</v>
      </c>
      <c r="U574" s="332" t="s">
        <v>114</v>
      </c>
      <c r="V574" s="269"/>
      <c r="W574" s="269"/>
      <c r="X574" s="269"/>
      <c r="Y574" s="269"/>
      <c r="Z574" s="269"/>
      <c r="AA574" s="269"/>
      <c r="AB574" s="269"/>
      <c r="AC574" s="269"/>
      <c r="AD574" s="269"/>
      <c r="AE574" s="269"/>
      <c r="AF574" s="269"/>
      <c r="AG574" s="269"/>
      <c r="AH574" s="269"/>
      <c r="AI574" s="269"/>
      <c r="AJ574" s="269"/>
      <c r="AK574" s="269"/>
      <c r="AL574" s="269"/>
      <c r="AM574" s="269"/>
    </row>
    <row r="575" spans="1:39" ht="45" customHeight="1" x14ac:dyDescent="0.2">
      <c r="A575" s="277">
        <f>IF(B575="","",COUNT('Diário 5º PA'!$A$5:$A$2634)+COUNT('Diário 6º PA'!$A$5:$A$2246)+ROW()-4)</f>
        <v>3114</v>
      </c>
      <c r="B575" s="278">
        <v>44414</v>
      </c>
      <c r="C575" s="249">
        <v>44409</v>
      </c>
      <c r="D575" s="255" t="s">
        <v>99</v>
      </c>
      <c r="E575" s="255" t="s">
        <v>272</v>
      </c>
      <c r="F575" s="258">
        <v>10.45</v>
      </c>
      <c r="G575" s="450" t="s">
        <v>1817</v>
      </c>
      <c r="H575" s="255" t="s">
        <v>114</v>
      </c>
      <c r="I575" s="250" t="s">
        <v>949</v>
      </c>
      <c r="J575" s="255" t="s">
        <v>950</v>
      </c>
      <c r="K575" s="255" t="s">
        <v>951</v>
      </c>
      <c r="L575" s="250" t="s">
        <v>947</v>
      </c>
      <c r="M575" s="336" t="s">
        <v>114</v>
      </c>
      <c r="N575" s="278">
        <v>44414</v>
      </c>
      <c r="O575" s="329" t="s">
        <v>67</v>
      </c>
      <c r="P575" s="330">
        <f t="shared" si="28"/>
        <v>8</v>
      </c>
      <c r="Q575" s="330">
        <f t="shared" si="29"/>
        <v>8</v>
      </c>
      <c r="R575" s="331" t="str">
        <f t="shared" si="30"/>
        <v>Gastos_Gerais</v>
      </c>
      <c r="S575" s="331" t="str">
        <f>IF(D575="","",IF(OR(D575=Plano!$A$1,D575=Plano!$B$1),"entrada","saída"))</f>
        <v>saída</v>
      </c>
      <c r="T575" s="332" t="s">
        <v>114</v>
      </c>
      <c r="U575" s="332" t="s">
        <v>114</v>
      </c>
      <c r="V575" s="269"/>
      <c r="W575" s="269"/>
      <c r="X575" s="269"/>
      <c r="Y575" s="269"/>
      <c r="Z575" s="269"/>
      <c r="AA575" s="269"/>
      <c r="AB575" s="269"/>
      <c r="AC575" s="269"/>
      <c r="AD575" s="269"/>
      <c r="AE575" s="269"/>
      <c r="AF575" s="269"/>
      <c r="AG575" s="269"/>
      <c r="AH575" s="269"/>
      <c r="AI575" s="269"/>
      <c r="AJ575" s="269"/>
      <c r="AK575" s="269"/>
      <c r="AL575" s="269"/>
      <c r="AM575" s="269"/>
    </row>
    <row r="576" spans="1:39" ht="45" customHeight="1" x14ac:dyDescent="0.2">
      <c r="A576" s="277">
        <f>IF(B576="","",COUNT('Diário 5º PA'!$A$5:$A$2634)+COUNT('Diário 6º PA'!$A$5:$A$2246)+ROW()-4)</f>
        <v>3115</v>
      </c>
      <c r="B576" s="278">
        <v>44414</v>
      </c>
      <c r="C576" s="249">
        <v>44409</v>
      </c>
      <c r="D576" s="255" t="s">
        <v>99</v>
      </c>
      <c r="E576" s="255" t="s">
        <v>272</v>
      </c>
      <c r="F576" s="258">
        <v>10.45</v>
      </c>
      <c r="G576" s="450" t="s">
        <v>1817</v>
      </c>
      <c r="H576" s="255" t="s">
        <v>114</v>
      </c>
      <c r="I576" s="250" t="s">
        <v>949</v>
      </c>
      <c r="J576" s="255" t="s">
        <v>950</v>
      </c>
      <c r="K576" s="255" t="s">
        <v>951</v>
      </c>
      <c r="L576" s="250" t="s">
        <v>947</v>
      </c>
      <c r="M576" s="336" t="s">
        <v>114</v>
      </c>
      <c r="N576" s="278">
        <v>44414</v>
      </c>
      <c r="O576" s="329" t="s">
        <v>67</v>
      </c>
      <c r="P576" s="330">
        <f t="shared" si="28"/>
        <v>8</v>
      </c>
      <c r="Q576" s="330">
        <f t="shared" si="29"/>
        <v>8</v>
      </c>
      <c r="R576" s="331" t="str">
        <f t="shared" si="30"/>
        <v>Gastos_Gerais</v>
      </c>
      <c r="S576" s="331" t="str">
        <f>IF(D576="","",IF(OR(D576=Plano!$A$1,D576=Plano!$B$1),"entrada","saída"))</f>
        <v>saída</v>
      </c>
      <c r="T576" s="332" t="s">
        <v>114</v>
      </c>
      <c r="U576" s="332" t="s">
        <v>114</v>
      </c>
      <c r="V576" s="269"/>
      <c r="W576" s="269"/>
      <c r="X576" s="269"/>
      <c r="Y576" s="269"/>
      <c r="Z576" s="269"/>
      <c r="AA576" s="269"/>
      <c r="AB576" s="269"/>
      <c r="AC576" s="269"/>
      <c r="AD576" s="269"/>
      <c r="AE576" s="269"/>
      <c r="AF576" s="269"/>
      <c r="AG576" s="269"/>
      <c r="AH576" s="269"/>
      <c r="AI576" s="269"/>
      <c r="AJ576" s="269"/>
      <c r="AK576" s="269"/>
      <c r="AL576" s="269"/>
      <c r="AM576" s="269"/>
    </row>
    <row r="577" spans="1:39" ht="45" customHeight="1" x14ac:dyDescent="0.2">
      <c r="A577" s="277">
        <f>IF(B577="","",COUNT('Diário 5º PA'!$A$5:$A$2634)+COUNT('Diário 6º PA'!$A$5:$A$2246)+ROW()-4)</f>
        <v>3116</v>
      </c>
      <c r="B577" s="278">
        <v>44414</v>
      </c>
      <c r="C577" s="249">
        <v>44409</v>
      </c>
      <c r="D577" s="255" t="s">
        <v>99</v>
      </c>
      <c r="E577" s="255" t="s">
        <v>272</v>
      </c>
      <c r="F577" s="258">
        <v>10.45</v>
      </c>
      <c r="G577" s="450" t="s">
        <v>1817</v>
      </c>
      <c r="H577" s="255" t="s">
        <v>114</v>
      </c>
      <c r="I577" s="250" t="s">
        <v>949</v>
      </c>
      <c r="J577" s="255" t="s">
        <v>950</v>
      </c>
      <c r="K577" s="255" t="s">
        <v>951</v>
      </c>
      <c r="L577" s="250" t="s">
        <v>947</v>
      </c>
      <c r="M577" s="336" t="s">
        <v>114</v>
      </c>
      <c r="N577" s="278">
        <v>44414</v>
      </c>
      <c r="O577" s="329" t="s">
        <v>67</v>
      </c>
      <c r="P577" s="330">
        <f t="shared" si="28"/>
        <v>8</v>
      </c>
      <c r="Q577" s="330">
        <f t="shared" si="29"/>
        <v>8</v>
      </c>
      <c r="R577" s="331" t="str">
        <f t="shared" si="30"/>
        <v>Gastos_Gerais</v>
      </c>
      <c r="S577" s="331" t="str">
        <f>IF(D577="","",IF(OR(D577=Plano!$A$1,D577=Plano!$B$1),"entrada","saída"))</f>
        <v>saída</v>
      </c>
      <c r="T577" s="332" t="s">
        <v>114</v>
      </c>
      <c r="U577" s="332" t="s">
        <v>114</v>
      </c>
      <c r="V577" s="269"/>
      <c r="W577" s="269"/>
      <c r="X577" s="269"/>
      <c r="Y577" s="269"/>
      <c r="Z577" s="269"/>
      <c r="AA577" s="269"/>
      <c r="AB577" s="269"/>
      <c r="AC577" s="269"/>
      <c r="AD577" s="269"/>
      <c r="AE577" s="269"/>
      <c r="AF577" s="269"/>
      <c r="AG577" s="269"/>
      <c r="AH577" s="269"/>
      <c r="AI577" s="269"/>
      <c r="AJ577" s="269"/>
      <c r="AK577" s="269"/>
      <c r="AL577" s="269"/>
      <c r="AM577" s="269"/>
    </row>
    <row r="578" spans="1:39" ht="73.5" customHeight="1" x14ac:dyDescent="0.2">
      <c r="A578" s="277">
        <f>IF(B578="","",COUNT('Diário 5º PA'!$A$5:$A$2634)+COUNT('Diário 6º PA'!$A$5:$A$2246)+ROW()-4)</f>
        <v>3117</v>
      </c>
      <c r="B578" s="278">
        <v>44414</v>
      </c>
      <c r="C578" s="249">
        <v>44378</v>
      </c>
      <c r="D578" s="255" t="s">
        <v>104</v>
      </c>
      <c r="E578" s="255" t="s">
        <v>104</v>
      </c>
      <c r="F578" s="258">
        <v>478</v>
      </c>
      <c r="G578" s="450" t="s">
        <v>1818</v>
      </c>
      <c r="H578" s="250" t="s">
        <v>104</v>
      </c>
      <c r="I578" s="250" t="s">
        <v>1702</v>
      </c>
      <c r="J578" s="255" t="s">
        <v>1703</v>
      </c>
      <c r="K578" s="255" t="s">
        <v>1015</v>
      </c>
      <c r="L578" s="250" t="s">
        <v>992</v>
      </c>
      <c r="M578" s="336">
        <v>5246</v>
      </c>
      <c r="N578" s="278">
        <v>44386</v>
      </c>
      <c r="O578" s="329" t="s">
        <v>69</v>
      </c>
      <c r="P578" s="330">
        <f t="shared" si="28"/>
        <v>8</v>
      </c>
      <c r="Q578" s="330">
        <f t="shared" si="29"/>
        <v>7</v>
      </c>
      <c r="R578" s="331" t="str">
        <f t="shared" si="30"/>
        <v>Gastos_custeados_por_captação</v>
      </c>
      <c r="S578" s="331" t="str">
        <f>IF(D578="","",IF(OR(D578=Plano!$A$1,D578=Plano!$B$1),"entrada","saída"))</f>
        <v>saída</v>
      </c>
      <c r="T578" s="332" t="s">
        <v>114</v>
      </c>
      <c r="U578" s="332" t="s">
        <v>114</v>
      </c>
      <c r="V578" s="269"/>
      <c r="W578" s="269"/>
      <c r="X578" s="269"/>
      <c r="Y578" s="269"/>
      <c r="Z578" s="269"/>
      <c r="AA578" s="269"/>
      <c r="AB578" s="269"/>
      <c r="AC578" s="269"/>
      <c r="AD578" s="269"/>
      <c r="AE578" s="269"/>
      <c r="AF578" s="269"/>
      <c r="AG578" s="269"/>
      <c r="AH578" s="269"/>
      <c r="AI578" s="269"/>
      <c r="AJ578" s="269"/>
      <c r="AK578" s="269"/>
      <c r="AL578" s="269"/>
      <c r="AM578" s="269"/>
    </row>
    <row r="579" spans="1:39" ht="103.5" customHeight="1" x14ac:dyDescent="0.2">
      <c r="A579" s="277">
        <f>IF(B579="","",COUNT('Diário 5º PA'!$A$5:$A$2634)+COUNT('Diário 6º PA'!$A$5:$A$2246)+ROW()-4)</f>
        <v>3118</v>
      </c>
      <c r="B579" s="278">
        <v>44414</v>
      </c>
      <c r="C579" s="249">
        <v>44378</v>
      </c>
      <c r="D579" s="250" t="s">
        <v>104</v>
      </c>
      <c r="E579" s="250" t="s">
        <v>104</v>
      </c>
      <c r="F579" s="251">
        <v>3425.1</v>
      </c>
      <c r="G579" s="452" t="s">
        <v>1819</v>
      </c>
      <c r="H579" s="250" t="s">
        <v>104</v>
      </c>
      <c r="I579" s="250" t="s">
        <v>1405</v>
      </c>
      <c r="J579" s="250" t="s">
        <v>1406</v>
      </c>
      <c r="K579" s="255" t="s">
        <v>1015</v>
      </c>
      <c r="L579" s="250" t="s">
        <v>992</v>
      </c>
      <c r="M579" s="277" t="s">
        <v>1600</v>
      </c>
      <c r="N579" s="278">
        <v>44413</v>
      </c>
      <c r="O579" s="329" t="s">
        <v>70</v>
      </c>
      <c r="P579" s="330">
        <f t="shared" si="28"/>
        <v>8</v>
      </c>
      <c r="Q579" s="330">
        <f t="shared" si="29"/>
        <v>7</v>
      </c>
      <c r="R579" s="331" t="str">
        <f t="shared" si="30"/>
        <v>Gastos_custeados_por_captação</v>
      </c>
      <c r="S579" s="331" t="str">
        <f>IF(D579="","",IF(OR(D579=Plano!$A$1,D579=Plano!$B$1),"entrada","saída"))</f>
        <v>saída</v>
      </c>
      <c r="T579" s="332" t="s">
        <v>1059</v>
      </c>
      <c r="U579" s="332">
        <v>1485</v>
      </c>
      <c r="V579" s="269"/>
      <c r="W579" s="269"/>
      <c r="X579" s="269"/>
      <c r="Y579" s="269"/>
      <c r="Z579" s="269"/>
      <c r="AA579" s="269"/>
      <c r="AB579" s="269"/>
      <c r="AC579" s="269"/>
      <c r="AD579" s="269"/>
      <c r="AE579" s="269"/>
      <c r="AF579" s="269"/>
      <c r="AG579" s="269"/>
      <c r="AH579" s="269"/>
      <c r="AI579" s="269"/>
      <c r="AJ579" s="269"/>
      <c r="AK579" s="269"/>
      <c r="AL579" s="269"/>
      <c r="AM579" s="269"/>
    </row>
    <row r="580" spans="1:39" ht="156.75" customHeight="1" x14ac:dyDescent="0.2">
      <c r="A580" s="277">
        <f>IF(B580="","",COUNT('Diário 5º PA'!$A$5:$A$2634)+COUNT('Diário 6º PA'!$A$5:$A$2246)+ROW()-4)</f>
        <v>3119</v>
      </c>
      <c r="B580" s="278">
        <v>44414</v>
      </c>
      <c r="C580" s="249">
        <v>44378</v>
      </c>
      <c r="D580" s="250" t="s">
        <v>104</v>
      </c>
      <c r="E580" s="250" t="s">
        <v>104</v>
      </c>
      <c r="F580" s="251">
        <v>5869.8</v>
      </c>
      <c r="G580" s="452" t="s">
        <v>1556</v>
      </c>
      <c r="H580" s="250" t="s">
        <v>104</v>
      </c>
      <c r="I580" s="250" t="s">
        <v>1557</v>
      </c>
      <c r="J580" s="250" t="s">
        <v>1558</v>
      </c>
      <c r="K580" s="255" t="s">
        <v>1015</v>
      </c>
      <c r="L580" s="250" t="s">
        <v>992</v>
      </c>
      <c r="M580" s="277" t="s">
        <v>1532</v>
      </c>
      <c r="N580" s="278">
        <v>44414</v>
      </c>
      <c r="O580" s="329" t="s">
        <v>70</v>
      </c>
      <c r="P580" s="330">
        <f t="shared" si="28"/>
        <v>8</v>
      </c>
      <c r="Q580" s="330">
        <f t="shared" si="29"/>
        <v>7</v>
      </c>
      <c r="R580" s="331" t="str">
        <f t="shared" si="30"/>
        <v>Gastos_custeados_por_captação</v>
      </c>
      <c r="S580" s="331" t="str">
        <f>IF(D580="","",IF(OR(D580=Plano!$A$1,D580=Plano!$B$1),"entrada","saída"))</f>
        <v>saída</v>
      </c>
      <c r="T580" s="332" t="s">
        <v>1059</v>
      </c>
      <c r="U580" s="332">
        <v>1633</v>
      </c>
      <c r="V580" s="269"/>
      <c r="W580" s="269"/>
      <c r="X580" s="269"/>
      <c r="Y580" s="269"/>
      <c r="Z580" s="269"/>
      <c r="AA580" s="269"/>
      <c r="AB580" s="269"/>
      <c r="AC580" s="269"/>
      <c r="AD580" s="269"/>
      <c r="AE580" s="269"/>
      <c r="AF580" s="269"/>
      <c r="AG580" s="269"/>
      <c r="AH580" s="269"/>
      <c r="AI580" s="269"/>
      <c r="AJ580" s="269"/>
      <c r="AK580" s="269"/>
      <c r="AL580" s="269"/>
      <c r="AM580" s="269"/>
    </row>
    <row r="581" spans="1:39" ht="91.5" customHeight="1" x14ac:dyDescent="0.2">
      <c r="A581" s="277">
        <f>IF(B581="","",COUNT('Diário 5º PA'!$A$5:$A$2634)+COUNT('Diário 6º PA'!$A$5:$A$2246)+ROW()-4)</f>
        <v>3120</v>
      </c>
      <c r="B581" s="278">
        <v>44417</v>
      </c>
      <c r="C581" s="249">
        <v>44409</v>
      </c>
      <c r="D581" s="250" t="s">
        <v>99</v>
      </c>
      <c r="E581" s="250" t="s">
        <v>262</v>
      </c>
      <c r="F581" s="251">
        <v>-3920</v>
      </c>
      <c r="G581" s="452" t="s">
        <v>1820</v>
      </c>
      <c r="H581" s="250" t="s">
        <v>124</v>
      </c>
      <c r="I581" s="250" t="s">
        <v>983</v>
      </c>
      <c r="J581" s="255" t="s">
        <v>850</v>
      </c>
      <c r="K581" s="255" t="s">
        <v>946</v>
      </c>
      <c r="L581" s="250" t="s">
        <v>947</v>
      </c>
      <c r="M581" s="277" t="s">
        <v>114</v>
      </c>
      <c r="N581" s="278">
        <v>44417</v>
      </c>
      <c r="O581" s="329" t="s">
        <v>67</v>
      </c>
      <c r="P581" s="330">
        <f t="shared" si="28"/>
        <v>8</v>
      </c>
      <c r="Q581" s="330">
        <f t="shared" si="29"/>
        <v>8</v>
      </c>
      <c r="R581" s="331" t="str">
        <f t="shared" si="30"/>
        <v>Gastos_Gerais</v>
      </c>
      <c r="S581" s="331" t="str">
        <f>IF(D581="","",IF(OR(D581=Plano!$A$1,D581=Plano!$B$1),"entrada","saída"))</f>
        <v>saída</v>
      </c>
      <c r="T581" s="334" t="s">
        <v>114</v>
      </c>
      <c r="U581" s="334" t="s">
        <v>114</v>
      </c>
      <c r="V581" s="269"/>
      <c r="W581" s="269"/>
      <c r="X581" s="269"/>
      <c r="Y581" s="269"/>
      <c r="Z581" s="269"/>
      <c r="AA581" s="269"/>
      <c r="AB581" s="269"/>
      <c r="AC581" s="269"/>
      <c r="AD581" s="269"/>
      <c r="AE581" s="269"/>
      <c r="AF581" s="269"/>
      <c r="AG581" s="269"/>
      <c r="AH581" s="269"/>
      <c r="AI581" s="269"/>
      <c r="AJ581" s="269"/>
      <c r="AK581" s="269"/>
      <c r="AL581" s="269"/>
      <c r="AM581" s="269"/>
    </row>
    <row r="582" spans="1:39" ht="63.75" customHeight="1" x14ac:dyDescent="0.2">
      <c r="A582" s="277">
        <f>IF(B582="","",COUNT('Diário 5º PA'!$A$5:$A$2634)+COUNT('Diário 6º PA'!$A$5:$A$2246)+ROW()-4)</f>
        <v>3121</v>
      </c>
      <c r="B582" s="278">
        <v>44417</v>
      </c>
      <c r="C582" s="256">
        <v>44378</v>
      </c>
      <c r="D582" s="255" t="s">
        <v>99</v>
      </c>
      <c r="E582" s="255" t="s">
        <v>208</v>
      </c>
      <c r="F582" s="258">
        <v>-2643.58</v>
      </c>
      <c r="G582" s="450" t="s">
        <v>1821</v>
      </c>
      <c r="H582" s="255" t="s">
        <v>115</v>
      </c>
      <c r="I582" s="250" t="s">
        <v>983</v>
      </c>
      <c r="J582" s="255" t="s">
        <v>850</v>
      </c>
      <c r="K582" s="255" t="s">
        <v>946</v>
      </c>
      <c r="L582" s="250" t="s">
        <v>947</v>
      </c>
      <c r="M582" s="277" t="s">
        <v>114</v>
      </c>
      <c r="N582" s="278">
        <v>44417</v>
      </c>
      <c r="O582" s="329" t="s">
        <v>67</v>
      </c>
      <c r="P582" s="330">
        <f t="shared" si="28"/>
        <v>8</v>
      </c>
      <c r="Q582" s="330">
        <f t="shared" si="29"/>
        <v>7</v>
      </c>
      <c r="R582" s="331" t="str">
        <f t="shared" si="30"/>
        <v>Gastos_Gerais</v>
      </c>
      <c r="S582" s="331" t="str">
        <f>IF(D582="","",IF(OR(D582=Plano!$A$1,D582=Plano!$B$1),"entrada","saída"))</f>
        <v>saída</v>
      </c>
      <c r="T582" s="332" t="s">
        <v>114</v>
      </c>
      <c r="U582" s="332" t="s">
        <v>114</v>
      </c>
      <c r="V582" s="269"/>
      <c r="W582" s="269"/>
      <c r="X582" s="269"/>
      <c r="Y582" s="269"/>
      <c r="Z582" s="269"/>
      <c r="AA582" s="269"/>
      <c r="AB582" s="269"/>
      <c r="AC582" s="269"/>
      <c r="AD582" s="269"/>
      <c r="AE582" s="269"/>
      <c r="AF582" s="269"/>
      <c r="AG582" s="269"/>
      <c r="AH582" s="269"/>
      <c r="AI582" s="269"/>
      <c r="AJ582" s="269"/>
      <c r="AK582" s="269"/>
      <c r="AL582" s="269"/>
      <c r="AM582" s="269"/>
    </row>
    <row r="583" spans="1:39" ht="63" customHeight="1" x14ac:dyDescent="0.2">
      <c r="A583" s="277">
        <f>IF(B583="","",COUNT('Diário 5º PA'!$A$5:$A$2634)+COUNT('Diário 6º PA'!$A$5:$A$2246)+ROW()-4)</f>
        <v>3122</v>
      </c>
      <c r="B583" s="278">
        <v>44417</v>
      </c>
      <c r="C583" s="256">
        <v>44378</v>
      </c>
      <c r="D583" s="255" t="s">
        <v>99</v>
      </c>
      <c r="E583" s="255" t="s">
        <v>212</v>
      </c>
      <c r="F583" s="258">
        <v>-447.21</v>
      </c>
      <c r="G583" s="450" t="s">
        <v>1822</v>
      </c>
      <c r="H583" s="255" t="s">
        <v>115</v>
      </c>
      <c r="I583" s="250" t="s">
        <v>983</v>
      </c>
      <c r="J583" s="255" t="s">
        <v>850</v>
      </c>
      <c r="K583" s="255" t="s">
        <v>946</v>
      </c>
      <c r="L583" s="250" t="s">
        <v>947</v>
      </c>
      <c r="M583" s="277" t="s">
        <v>114</v>
      </c>
      <c r="N583" s="278">
        <v>44417</v>
      </c>
      <c r="O583" s="329" t="s">
        <v>67</v>
      </c>
      <c r="P583" s="330">
        <f t="shared" ref="P583:P646" si="31">IF(B583=0,0,IF(YEAR(B583)=$Q$1,MONTH(B583)-$P$1+1,(YEAR(B583)-$Q$1)*12-$P$1+1+MONTH(B583)))</f>
        <v>8</v>
      </c>
      <c r="Q583" s="330">
        <f t="shared" ref="Q583:Q646" si="32">IF(C583=0,0,IF(YEAR(C583)=$Q$1,MONTH(C583)-$P$1+1,(YEAR(C583)-$Q$1)*12-$P$1+1+MONTH(C583)))</f>
        <v>7</v>
      </c>
      <c r="R583" s="331" t="str">
        <f t="shared" ref="R583:R646" si="33">SUBSTITUTE(D583," ","_")</f>
        <v>Gastos_Gerais</v>
      </c>
      <c r="S583" s="331" t="str">
        <f>IF(D583="","",IF(OR(D583=Plano!$A$1,D583=Plano!$B$1),"entrada","saída"))</f>
        <v>saída</v>
      </c>
      <c r="T583" s="332" t="s">
        <v>114</v>
      </c>
      <c r="U583" s="332" t="s">
        <v>114</v>
      </c>
      <c r="V583" s="269"/>
      <c r="W583" s="269"/>
      <c r="X583" s="269"/>
      <c r="Y583" s="269"/>
      <c r="Z583" s="269"/>
      <c r="AA583" s="269"/>
      <c r="AB583" s="269"/>
      <c r="AC583" s="269"/>
      <c r="AD583" s="269"/>
      <c r="AE583" s="269"/>
      <c r="AF583" s="269"/>
      <c r="AG583" s="269"/>
      <c r="AH583" s="269"/>
      <c r="AI583" s="269"/>
      <c r="AJ583" s="269"/>
      <c r="AK583" s="269"/>
      <c r="AL583" s="269"/>
      <c r="AM583" s="269"/>
    </row>
    <row r="584" spans="1:39" ht="175.5" customHeight="1" x14ac:dyDescent="0.2">
      <c r="A584" s="277">
        <f>IF(B584="","",COUNT('Diário 5º PA'!$A$5:$A$2634)+COUNT('Diário 6º PA'!$A$5:$A$2246)+ROW()-4)</f>
        <v>3123</v>
      </c>
      <c r="B584" s="278">
        <v>44417</v>
      </c>
      <c r="C584" s="249">
        <v>44409</v>
      </c>
      <c r="D584" s="250" t="s">
        <v>99</v>
      </c>
      <c r="E584" s="250" t="s">
        <v>364</v>
      </c>
      <c r="F584" s="251">
        <v>240</v>
      </c>
      <c r="G584" s="452" t="s">
        <v>1823</v>
      </c>
      <c r="H584" s="250" t="s">
        <v>131</v>
      </c>
      <c r="I584" s="250" t="s">
        <v>1824</v>
      </c>
      <c r="J584" s="250" t="s">
        <v>1825</v>
      </c>
      <c r="K584" s="255" t="s">
        <v>1015</v>
      </c>
      <c r="L584" s="250" t="s">
        <v>992</v>
      </c>
      <c r="M584" s="277" t="s">
        <v>1826</v>
      </c>
      <c r="N584" s="278">
        <v>44417</v>
      </c>
      <c r="O584" s="329" t="s">
        <v>67</v>
      </c>
      <c r="P584" s="330">
        <f t="shared" si="31"/>
        <v>8</v>
      </c>
      <c r="Q584" s="330">
        <f t="shared" si="32"/>
        <v>8</v>
      </c>
      <c r="R584" s="331" t="str">
        <f t="shared" si="33"/>
        <v>Gastos_Gerais</v>
      </c>
      <c r="S584" s="331" t="str">
        <f>IF(D584="","",IF(OR(D584=Plano!$A$1,D584=Plano!$B$1),"entrada","saída"))</f>
        <v>saída</v>
      </c>
      <c r="T584" s="334" t="s">
        <v>1417</v>
      </c>
      <c r="U584" s="334">
        <v>1878</v>
      </c>
      <c r="V584" s="269"/>
      <c r="W584" s="269"/>
      <c r="X584" s="269"/>
      <c r="Y584" s="269"/>
      <c r="Z584" s="269"/>
      <c r="AA584" s="269"/>
      <c r="AB584" s="269"/>
      <c r="AC584" s="269"/>
      <c r="AD584" s="269"/>
      <c r="AE584" s="269"/>
      <c r="AF584" s="269"/>
      <c r="AG584" s="269"/>
      <c r="AH584" s="269"/>
      <c r="AI584" s="269"/>
      <c r="AJ584" s="269"/>
      <c r="AK584" s="269"/>
      <c r="AL584" s="269"/>
      <c r="AM584" s="269"/>
    </row>
    <row r="585" spans="1:39" ht="143.25" customHeight="1" x14ac:dyDescent="0.2">
      <c r="A585" s="277">
        <f>IF(B585="","",COUNT('Diário 5º PA'!$A$5:$A$2634)+COUNT('Diário 6º PA'!$A$5:$A$2246)+ROW()-4)</f>
        <v>3124</v>
      </c>
      <c r="B585" s="278">
        <v>44417</v>
      </c>
      <c r="C585" s="249">
        <v>44409</v>
      </c>
      <c r="D585" s="250" t="s">
        <v>99</v>
      </c>
      <c r="E585" s="250" t="s">
        <v>364</v>
      </c>
      <c r="F585" s="251">
        <v>124</v>
      </c>
      <c r="G585" s="452" t="s">
        <v>1827</v>
      </c>
      <c r="H585" s="250" t="s">
        <v>131</v>
      </c>
      <c r="I585" s="250" t="s">
        <v>1828</v>
      </c>
      <c r="J585" s="250" t="s">
        <v>1829</v>
      </c>
      <c r="K585" s="255" t="s">
        <v>991</v>
      </c>
      <c r="L585" s="250" t="s">
        <v>992</v>
      </c>
      <c r="M585" s="277">
        <v>10360</v>
      </c>
      <c r="N585" s="278">
        <v>44417</v>
      </c>
      <c r="O585" s="329" t="s">
        <v>67</v>
      </c>
      <c r="P585" s="330">
        <f t="shared" si="31"/>
        <v>8</v>
      </c>
      <c r="Q585" s="330">
        <f t="shared" si="32"/>
        <v>8</v>
      </c>
      <c r="R585" s="331" t="str">
        <f t="shared" si="33"/>
        <v>Gastos_Gerais</v>
      </c>
      <c r="S585" s="331" t="str">
        <f>IF(D585="","",IF(OR(D585=Plano!$A$1,D585=Plano!$B$1),"entrada","saída"))</f>
        <v>saída</v>
      </c>
      <c r="T585" s="334" t="s">
        <v>1417</v>
      </c>
      <c r="U585" s="334">
        <v>1879</v>
      </c>
      <c r="V585" s="269"/>
      <c r="W585" s="269"/>
      <c r="X585" s="269"/>
      <c r="Y585" s="269"/>
      <c r="Z585" s="269"/>
      <c r="AA585" s="269"/>
      <c r="AB585" s="269"/>
      <c r="AC585" s="269"/>
      <c r="AD585" s="269"/>
      <c r="AE585" s="269"/>
      <c r="AF585" s="269"/>
      <c r="AG585" s="269"/>
      <c r="AH585" s="269"/>
      <c r="AI585" s="269"/>
      <c r="AJ585" s="269"/>
      <c r="AK585" s="269"/>
      <c r="AL585" s="269"/>
      <c r="AM585" s="269"/>
    </row>
    <row r="586" spans="1:39" ht="30" customHeight="1" x14ac:dyDescent="0.2">
      <c r="A586" s="277">
        <f>IF(B586="","",COUNT('Diário 5º PA'!$A$5:$A$2634)+COUNT('Diário 6º PA'!$A$5:$A$2246)+ROW()-4)</f>
        <v>3125</v>
      </c>
      <c r="B586" s="278">
        <v>44417</v>
      </c>
      <c r="C586" s="256">
        <v>44378</v>
      </c>
      <c r="D586" s="255" t="s">
        <v>99</v>
      </c>
      <c r="E586" s="255" t="s">
        <v>208</v>
      </c>
      <c r="F586" s="258">
        <v>8128.76</v>
      </c>
      <c r="G586" s="450" t="s">
        <v>1830</v>
      </c>
      <c r="H586" s="255" t="s">
        <v>115</v>
      </c>
      <c r="I586" s="252" t="s">
        <v>518</v>
      </c>
      <c r="J586" s="252" t="s">
        <v>519</v>
      </c>
      <c r="K586" s="255" t="s">
        <v>560</v>
      </c>
      <c r="L586" s="250" t="s">
        <v>114</v>
      </c>
      <c r="M586" s="277">
        <v>8</v>
      </c>
      <c r="N586" s="278">
        <v>44405</v>
      </c>
      <c r="O586" s="329" t="s">
        <v>67</v>
      </c>
      <c r="P586" s="330">
        <f t="shared" si="31"/>
        <v>8</v>
      </c>
      <c r="Q586" s="330">
        <f t="shared" si="32"/>
        <v>7</v>
      </c>
      <c r="R586" s="331" t="str">
        <f t="shared" si="33"/>
        <v>Gastos_Gerais</v>
      </c>
      <c r="S586" s="331" t="str">
        <f>IF(D586="","",IF(OR(D586=Plano!$A$1,D586=Plano!$B$1),"entrada","saída"))</f>
        <v>saída</v>
      </c>
      <c r="T586" s="332" t="s">
        <v>114</v>
      </c>
      <c r="U586" s="332" t="s">
        <v>114</v>
      </c>
      <c r="V586" s="269"/>
      <c r="W586" s="269"/>
      <c r="X586" s="269"/>
      <c r="Y586" s="269"/>
      <c r="Z586" s="269"/>
      <c r="AA586" s="269"/>
      <c r="AB586" s="269"/>
      <c r="AC586" s="269"/>
      <c r="AD586" s="269"/>
      <c r="AE586" s="269"/>
      <c r="AF586" s="269"/>
      <c r="AG586" s="269"/>
      <c r="AH586" s="269"/>
      <c r="AI586" s="269"/>
      <c r="AJ586" s="269"/>
      <c r="AK586" s="269"/>
      <c r="AL586" s="269"/>
      <c r="AM586" s="269"/>
    </row>
    <row r="587" spans="1:39" ht="30" customHeight="1" x14ac:dyDescent="0.2">
      <c r="A587" s="277">
        <f>IF(B587="","",COUNT('Diário 5º PA'!$A$5:$A$2634)+COUNT('Diário 6º PA'!$A$5:$A$2246)+ROW()-4)</f>
        <v>3126</v>
      </c>
      <c r="B587" s="278">
        <v>44417</v>
      </c>
      <c r="C587" s="256">
        <v>44378</v>
      </c>
      <c r="D587" s="255" t="s">
        <v>99</v>
      </c>
      <c r="E587" s="255" t="s">
        <v>212</v>
      </c>
      <c r="F587" s="258">
        <v>1693.33</v>
      </c>
      <c r="G587" s="450" t="s">
        <v>1831</v>
      </c>
      <c r="H587" s="255" t="s">
        <v>115</v>
      </c>
      <c r="I587" s="252" t="s">
        <v>518</v>
      </c>
      <c r="J587" s="252" t="s">
        <v>519</v>
      </c>
      <c r="K587" s="255" t="s">
        <v>560</v>
      </c>
      <c r="L587" s="250" t="s">
        <v>947</v>
      </c>
      <c r="M587" s="277">
        <v>8</v>
      </c>
      <c r="N587" s="278">
        <v>44405</v>
      </c>
      <c r="O587" s="329" t="s">
        <v>67</v>
      </c>
      <c r="P587" s="330">
        <f t="shared" si="31"/>
        <v>8</v>
      </c>
      <c r="Q587" s="330">
        <f t="shared" si="32"/>
        <v>7</v>
      </c>
      <c r="R587" s="331" t="str">
        <f t="shared" si="33"/>
        <v>Gastos_Gerais</v>
      </c>
      <c r="S587" s="331" t="str">
        <f>IF(D587="","",IF(OR(D587=Plano!$A$1,D587=Plano!$B$1),"entrada","saída"))</f>
        <v>saída</v>
      </c>
      <c r="T587" s="332" t="s">
        <v>114</v>
      </c>
      <c r="U587" s="332" t="s">
        <v>114</v>
      </c>
      <c r="V587" s="269"/>
      <c r="W587" s="269"/>
      <c r="X587" s="269"/>
      <c r="Y587" s="269"/>
      <c r="Z587" s="269"/>
      <c r="AA587" s="269"/>
      <c r="AB587" s="269"/>
      <c r="AC587" s="269"/>
      <c r="AD587" s="269"/>
      <c r="AE587" s="269"/>
      <c r="AF587" s="269"/>
      <c r="AG587" s="269"/>
      <c r="AH587" s="269"/>
      <c r="AI587" s="269"/>
      <c r="AJ587" s="269"/>
      <c r="AK587" s="269"/>
      <c r="AL587" s="269"/>
      <c r="AM587" s="269"/>
    </row>
    <row r="588" spans="1:39" ht="30" customHeight="1" x14ac:dyDescent="0.2">
      <c r="A588" s="277">
        <f>IF(B588="","",COUNT('Diário 5º PA'!$A$5:$A$2634)+COUNT('Diário 6º PA'!$A$5:$A$2246)+ROW()-4)</f>
        <v>3127</v>
      </c>
      <c r="B588" s="278">
        <v>44417</v>
      </c>
      <c r="C588" s="256">
        <v>44409</v>
      </c>
      <c r="D588" s="255" t="s">
        <v>88</v>
      </c>
      <c r="E588" s="255" t="s">
        <v>192</v>
      </c>
      <c r="F588" s="258">
        <v>151.41999999999999</v>
      </c>
      <c r="G588" s="451" t="s">
        <v>5362</v>
      </c>
      <c r="H588" s="255" t="s">
        <v>114</v>
      </c>
      <c r="I588" s="252" t="s">
        <v>1032</v>
      </c>
      <c r="J588" s="252" t="s">
        <v>1033</v>
      </c>
      <c r="K588" s="255" t="s">
        <v>560</v>
      </c>
      <c r="L588" s="252" t="s">
        <v>1016</v>
      </c>
      <c r="M588" s="277" t="s">
        <v>1832</v>
      </c>
      <c r="N588" s="278">
        <v>44420</v>
      </c>
      <c r="O588" s="329" t="s">
        <v>67</v>
      </c>
      <c r="P588" s="330">
        <f t="shared" si="31"/>
        <v>8</v>
      </c>
      <c r="Q588" s="330">
        <f t="shared" si="32"/>
        <v>8</v>
      </c>
      <c r="R588" s="331" t="str">
        <f t="shared" si="33"/>
        <v>Gastos_com_Pessoal</v>
      </c>
      <c r="S588" s="331" t="str">
        <f>IF(D588="","",IF(OR(D588=Plano!$A$1,D588=Plano!$B$1),"entrada","saída"))</f>
        <v>saída</v>
      </c>
      <c r="T588" s="332" t="s">
        <v>114</v>
      </c>
      <c r="U588" s="332" t="s">
        <v>114</v>
      </c>
      <c r="V588" s="269"/>
      <c r="W588" s="269"/>
      <c r="X588" s="269"/>
      <c r="Y588" s="269"/>
      <c r="Z588" s="269"/>
      <c r="AA588" s="269"/>
      <c r="AB588" s="269"/>
      <c r="AC588" s="269"/>
      <c r="AD588" s="269"/>
      <c r="AE588" s="269"/>
      <c r="AF588" s="269"/>
      <c r="AG588" s="269"/>
      <c r="AH588" s="269"/>
      <c r="AI588" s="269"/>
      <c r="AJ588" s="269"/>
      <c r="AK588" s="269"/>
      <c r="AL588" s="269"/>
      <c r="AM588" s="269"/>
    </row>
    <row r="589" spans="1:39" ht="45" customHeight="1" x14ac:dyDescent="0.2">
      <c r="A589" s="277">
        <f>IF(B589="","",COUNT('Diário 5º PA'!$A$5:$A$2634)+COUNT('Diário 6º PA'!$A$5:$A$2246)+ROW()-4)</f>
        <v>3128</v>
      </c>
      <c r="B589" s="278">
        <v>44417</v>
      </c>
      <c r="C589" s="249">
        <v>44348</v>
      </c>
      <c r="D589" s="250" t="s">
        <v>99</v>
      </c>
      <c r="E589" s="250" t="s">
        <v>336</v>
      </c>
      <c r="F589" s="251">
        <v>99</v>
      </c>
      <c r="G589" s="452" t="s">
        <v>1833</v>
      </c>
      <c r="H589" s="250" t="s">
        <v>118</v>
      </c>
      <c r="I589" s="250" t="s">
        <v>465</v>
      </c>
      <c r="J589" s="250" t="s">
        <v>114</v>
      </c>
      <c r="K589" s="250" t="s">
        <v>466</v>
      </c>
      <c r="L589" s="250" t="s">
        <v>467</v>
      </c>
      <c r="M589" s="277">
        <v>2775</v>
      </c>
      <c r="N589" s="278">
        <v>44417</v>
      </c>
      <c r="O589" s="329" t="s">
        <v>67</v>
      </c>
      <c r="P589" s="330">
        <f t="shared" si="31"/>
        <v>8</v>
      </c>
      <c r="Q589" s="330">
        <f t="shared" si="32"/>
        <v>6</v>
      </c>
      <c r="R589" s="331" t="str">
        <f t="shared" si="33"/>
        <v>Gastos_Gerais</v>
      </c>
      <c r="S589" s="331" t="str">
        <f>IF(D589="","",IF(OR(D589=Plano!$A$1,D589=Plano!$B$1),"entrada","saída"))</f>
        <v>saída</v>
      </c>
      <c r="T589" s="332" t="s">
        <v>114</v>
      </c>
      <c r="U589" s="332" t="s">
        <v>114</v>
      </c>
      <c r="V589" s="269"/>
      <c r="W589" s="269"/>
      <c r="X589" s="269"/>
      <c r="Y589" s="269"/>
      <c r="Z589" s="269"/>
      <c r="AA589" s="269"/>
      <c r="AB589" s="269"/>
      <c r="AC589" s="269"/>
      <c r="AD589" s="269"/>
      <c r="AE589" s="269"/>
      <c r="AF589" s="269"/>
      <c r="AG589" s="269"/>
      <c r="AH589" s="269"/>
      <c r="AI589" s="269"/>
      <c r="AJ589" s="269"/>
      <c r="AK589" s="269"/>
      <c r="AL589" s="269"/>
      <c r="AM589" s="269"/>
    </row>
    <row r="590" spans="1:39" ht="45" customHeight="1" x14ac:dyDescent="0.2">
      <c r="A590" s="277">
        <f>IF(B590="","",COUNT('Diário 5º PA'!$A$5:$A$2634)+COUNT('Diário 6º PA'!$A$5:$A$2246)+ROW()-4)</f>
        <v>3129</v>
      </c>
      <c r="B590" s="278">
        <v>44417</v>
      </c>
      <c r="C590" s="249">
        <v>44348</v>
      </c>
      <c r="D590" s="250" t="s">
        <v>99</v>
      </c>
      <c r="E590" s="250" t="s">
        <v>336</v>
      </c>
      <c r="F590" s="251">
        <v>99</v>
      </c>
      <c r="G590" s="452" t="s">
        <v>1834</v>
      </c>
      <c r="H590" s="250" t="s">
        <v>118</v>
      </c>
      <c r="I590" s="250" t="s">
        <v>465</v>
      </c>
      <c r="J590" s="250" t="s">
        <v>114</v>
      </c>
      <c r="K590" s="250" t="s">
        <v>466</v>
      </c>
      <c r="L590" s="250" t="s">
        <v>467</v>
      </c>
      <c r="M590" s="277">
        <v>2776</v>
      </c>
      <c r="N590" s="278">
        <v>44417</v>
      </c>
      <c r="O590" s="329" t="s">
        <v>67</v>
      </c>
      <c r="P590" s="330">
        <f t="shared" si="31"/>
        <v>8</v>
      </c>
      <c r="Q590" s="330">
        <f t="shared" si="32"/>
        <v>6</v>
      </c>
      <c r="R590" s="331" t="str">
        <f t="shared" si="33"/>
        <v>Gastos_Gerais</v>
      </c>
      <c r="S590" s="331" t="str">
        <f>IF(D590="","",IF(OR(D590=Plano!$A$1,D590=Plano!$B$1),"entrada","saída"))</f>
        <v>saída</v>
      </c>
      <c r="T590" s="332" t="s">
        <v>114</v>
      </c>
      <c r="U590" s="332" t="s">
        <v>114</v>
      </c>
      <c r="V590" s="269"/>
      <c r="W590" s="269"/>
      <c r="X590" s="269"/>
      <c r="Y590" s="269"/>
      <c r="Z590" s="269"/>
      <c r="AA590" s="269"/>
      <c r="AB590" s="269"/>
      <c r="AC590" s="269"/>
      <c r="AD590" s="269"/>
      <c r="AE590" s="269"/>
      <c r="AF590" s="269"/>
      <c r="AG590" s="269"/>
      <c r="AH590" s="269"/>
      <c r="AI590" s="269"/>
      <c r="AJ590" s="269"/>
      <c r="AK590" s="269"/>
      <c r="AL590" s="269"/>
      <c r="AM590" s="269"/>
    </row>
    <row r="591" spans="1:39" ht="45" customHeight="1" x14ac:dyDescent="0.2">
      <c r="A591" s="277">
        <f>IF(B591="","",COUNT('Diário 5º PA'!$A$5:$A$2634)+COUNT('Diário 6º PA'!$A$5:$A$2246)+ROW()-4)</f>
        <v>3130</v>
      </c>
      <c r="B591" s="278">
        <v>44417</v>
      </c>
      <c r="C591" s="249">
        <v>44348</v>
      </c>
      <c r="D591" s="250" t="s">
        <v>99</v>
      </c>
      <c r="E591" s="250" t="s">
        <v>336</v>
      </c>
      <c r="F591" s="251">
        <v>99</v>
      </c>
      <c r="G591" s="452" t="s">
        <v>1835</v>
      </c>
      <c r="H591" s="250" t="s">
        <v>118</v>
      </c>
      <c r="I591" s="250" t="s">
        <v>465</v>
      </c>
      <c r="J591" s="250" t="s">
        <v>114</v>
      </c>
      <c r="K591" s="250" t="s">
        <v>466</v>
      </c>
      <c r="L591" s="250" t="s">
        <v>467</v>
      </c>
      <c r="M591" s="277">
        <v>2777</v>
      </c>
      <c r="N591" s="278">
        <v>44417</v>
      </c>
      <c r="O591" s="329" t="s">
        <v>67</v>
      </c>
      <c r="P591" s="330">
        <f t="shared" si="31"/>
        <v>8</v>
      </c>
      <c r="Q591" s="330">
        <f t="shared" si="32"/>
        <v>6</v>
      </c>
      <c r="R591" s="331" t="str">
        <f t="shared" si="33"/>
        <v>Gastos_Gerais</v>
      </c>
      <c r="S591" s="331" t="str">
        <f>IF(D591="","",IF(OR(D591=Plano!$A$1,D591=Plano!$B$1),"entrada","saída"))</f>
        <v>saída</v>
      </c>
      <c r="T591" s="332" t="s">
        <v>114</v>
      </c>
      <c r="U591" s="332" t="s">
        <v>114</v>
      </c>
      <c r="V591" s="269"/>
      <c r="W591" s="269"/>
      <c r="X591" s="269"/>
      <c r="Y591" s="269"/>
      <c r="Z591" s="269"/>
      <c r="AA591" s="269"/>
      <c r="AB591" s="269"/>
      <c r="AC591" s="269"/>
      <c r="AD591" s="269"/>
      <c r="AE591" s="269"/>
      <c r="AF591" s="269"/>
      <c r="AG591" s="269"/>
      <c r="AH591" s="269"/>
      <c r="AI591" s="269"/>
      <c r="AJ591" s="269"/>
      <c r="AK591" s="269"/>
      <c r="AL591" s="269"/>
      <c r="AM591" s="269"/>
    </row>
    <row r="592" spans="1:39" ht="45" customHeight="1" x14ac:dyDescent="0.2">
      <c r="A592" s="277">
        <f>IF(B592="","",COUNT('Diário 5º PA'!$A$5:$A$2634)+COUNT('Diário 6º PA'!$A$5:$A$2246)+ROW()-4)</f>
        <v>3131</v>
      </c>
      <c r="B592" s="278">
        <v>44417</v>
      </c>
      <c r="C592" s="249">
        <v>44348</v>
      </c>
      <c r="D592" s="250" t="s">
        <v>99</v>
      </c>
      <c r="E592" s="250" t="s">
        <v>336</v>
      </c>
      <c r="F592" s="251">
        <v>99</v>
      </c>
      <c r="G592" s="452" t="s">
        <v>1836</v>
      </c>
      <c r="H592" s="250" t="s">
        <v>118</v>
      </c>
      <c r="I592" s="250" t="s">
        <v>465</v>
      </c>
      <c r="J592" s="250" t="s">
        <v>114</v>
      </c>
      <c r="K592" s="250" t="s">
        <v>466</v>
      </c>
      <c r="L592" s="250" t="s">
        <v>467</v>
      </c>
      <c r="M592" s="277">
        <v>2778</v>
      </c>
      <c r="N592" s="278">
        <v>44417</v>
      </c>
      <c r="O592" s="329" t="s">
        <v>67</v>
      </c>
      <c r="P592" s="330">
        <f t="shared" si="31"/>
        <v>8</v>
      </c>
      <c r="Q592" s="330">
        <f t="shared" si="32"/>
        <v>6</v>
      </c>
      <c r="R592" s="331" t="str">
        <f t="shared" si="33"/>
        <v>Gastos_Gerais</v>
      </c>
      <c r="S592" s="331" t="str">
        <f>IF(D592="","",IF(OR(D592=Plano!$A$1,D592=Plano!$B$1),"entrada","saída"))</f>
        <v>saída</v>
      </c>
      <c r="T592" s="332" t="s">
        <v>114</v>
      </c>
      <c r="U592" s="332" t="s">
        <v>114</v>
      </c>
      <c r="V592" s="269"/>
      <c r="W592" s="269"/>
      <c r="X592" s="269"/>
      <c r="Y592" s="269"/>
      <c r="Z592" s="269"/>
      <c r="AA592" s="269"/>
      <c r="AB592" s="269"/>
      <c r="AC592" s="269"/>
      <c r="AD592" s="269"/>
      <c r="AE592" s="269"/>
      <c r="AF592" s="269"/>
      <c r="AG592" s="269"/>
      <c r="AH592" s="269"/>
      <c r="AI592" s="269"/>
      <c r="AJ592" s="269"/>
      <c r="AK592" s="269"/>
      <c r="AL592" s="269"/>
      <c r="AM592" s="269"/>
    </row>
    <row r="593" spans="1:39" ht="45" customHeight="1" x14ac:dyDescent="0.2">
      <c r="A593" s="277">
        <f>IF(B593="","",COUNT('Diário 5º PA'!$A$5:$A$2634)+COUNT('Diário 6º PA'!$A$5:$A$2246)+ROW()-4)</f>
        <v>3132</v>
      </c>
      <c r="B593" s="278">
        <v>44417</v>
      </c>
      <c r="C593" s="249">
        <v>44348</v>
      </c>
      <c r="D593" s="250" t="s">
        <v>99</v>
      </c>
      <c r="E593" s="250" t="s">
        <v>336</v>
      </c>
      <c r="F593" s="251">
        <v>99</v>
      </c>
      <c r="G593" s="452" t="s">
        <v>1837</v>
      </c>
      <c r="H593" s="250" t="s">
        <v>118</v>
      </c>
      <c r="I593" s="250" t="s">
        <v>465</v>
      </c>
      <c r="J593" s="250" t="s">
        <v>114</v>
      </c>
      <c r="K593" s="250" t="s">
        <v>466</v>
      </c>
      <c r="L593" s="250" t="s">
        <v>467</v>
      </c>
      <c r="M593" s="277">
        <v>2779</v>
      </c>
      <c r="N593" s="278">
        <v>44417</v>
      </c>
      <c r="O593" s="329" t="s">
        <v>67</v>
      </c>
      <c r="P593" s="330">
        <f t="shared" si="31"/>
        <v>8</v>
      </c>
      <c r="Q593" s="330">
        <f t="shared" si="32"/>
        <v>6</v>
      </c>
      <c r="R593" s="331" t="str">
        <f t="shared" si="33"/>
        <v>Gastos_Gerais</v>
      </c>
      <c r="S593" s="331" t="str">
        <f>IF(D593="","",IF(OR(D593=Plano!$A$1,D593=Plano!$B$1),"entrada","saída"))</f>
        <v>saída</v>
      </c>
      <c r="T593" s="332" t="s">
        <v>114</v>
      </c>
      <c r="U593" s="332" t="s">
        <v>114</v>
      </c>
      <c r="V593" s="269"/>
      <c r="W593" s="269"/>
      <c r="X593" s="269"/>
      <c r="Y593" s="269"/>
      <c r="Z593" s="269"/>
      <c r="AA593" s="269"/>
      <c r="AB593" s="269"/>
      <c r="AC593" s="269"/>
      <c r="AD593" s="269"/>
      <c r="AE593" s="269"/>
      <c r="AF593" s="269"/>
      <c r="AG593" s="269"/>
      <c r="AH593" s="269"/>
      <c r="AI593" s="269"/>
      <c r="AJ593" s="269"/>
      <c r="AK593" s="269"/>
      <c r="AL593" s="269"/>
      <c r="AM593" s="269"/>
    </row>
    <row r="594" spans="1:39" ht="45" customHeight="1" x14ac:dyDescent="0.2">
      <c r="A594" s="277">
        <f>IF(B594="","",COUNT('Diário 5º PA'!$A$5:$A$2634)+COUNT('Diário 6º PA'!$A$5:$A$2246)+ROW()-4)</f>
        <v>3133</v>
      </c>
      <c r="B594" s="278">
        <v>44417</v>
      </c>
      <c r="C594" s="249">
        <v>44348</v>
      </c>
      <c r="D594" s="250" t="s">
        <v>99</v>
      </c>
      <c r="E594" s="250" t="s">
        <v>336</v>
      </c>
      <c r="F594" s="251">
        <v>99</v>
      </c>
      <c r="G594" s="452" t="s">
        <v>1838</v>
      </c>
      <c r="H594" s="250" t="s">
        <v>118</v>
      </c>
      <c r="I594" s="250" t="s">
        <v>465</v>
      </c>
      <c r="J594" s="250" t="s">
        <v>114</v>
      </c>
      <c r="K594" s="250" t="s">
        <v>466</v>
      </c>
      <c r="L594" s="250" t="s">
        <v>467</v>
      </c>
      <c r="M594" s="277">
        <v>2780</v>
      </c>
      <c r="N594" s="278">
        <v>44417</v>
      </c>
      <c r="O594" s="329" t="s">
        <v>67</v>
      </c>
      <c r="P594" s="330">
        <f t="shared" si="31"/>
        <v>8</v>
      </c>
      <c r="Q594" s="330">
        <f t="shared" si="32"/>
        <v>6</v>
      </c>
      <c r="R594" s="331" t="str">
        <f t="shared" si="33"/>
        <v>Gastos_Gerais</v>
      </c>
      <c r="S594" s="331" t="str">
        <f>IF(D594="","",IF(OR(D594=Plano!$A$1,D594=Plano!$B$1),"entrada","saída"))</f>
        <v>saída</v>
      </c>
      <c r="T594" s="332" t="s">
        <v>114</v>
      </c>
      <c r="U594" s="332" t="s">
        <v>114</v>
      </c>
      <c r="V594" s="269"/>
      <c r="W594" s="269"/>
      <c r="X594" s="269"/>
      <c r="Y594" s="269"/>
      <c r="Z594" s="269"/>
      <c r="AA594" s="269"/>
      <c r="AB594" s="269"/>
      <c r="AC594" s="269"/>
      <c r="AD594" s="269"/>
      <c r="AE594" s="269"/>
      <c r="AF594" s="269"/>
      <c r="AG594" s="269"/>
      <c r="AH594" s="269"/>
      <c r="AI594" s="269"/>
      <c r="AJ594" s="269"/>
      <c r="AK594" s="269"/>
      <c r="AL594" s="269"/>
      <c r="AM594" s="269"/>
    </row>
    <row r="595" spans="1:39" ht="45" customHeight="1" x14ac:dyDescent="0.2">
      <c r="A595" s="277">
        <f>IF(B595="","",COUNT('Diário 5º PA'!$A$5:$A$2634)+COUNT('Diário 6º PA'!$A$5:$A$2246)+ROW()-4)</f>
        <v>3134</v>
      </c>
      <c r="B595" s="278">
        <v>44417</v>
      </c>
      <c r="C595" s="249">
        <v>44348</v>
      </c>
      <c r="D595" s="250" t="s">
        <v>99</v>
      </c>
      <c r="E595" s="250" t="s">
        <v>336</v>
      </c>
      <c r="F595" s="251">
        <v>99</v>
      </c>
      <c r="G595" s="452" t="s">
        <v>1839</v>
      </c>
      <c r="H595" s="250" t="s">
        <v>118</v>
      </c>
      <c r="I595" s="250" t="s">
        <v>465</v>
      </c>
      <c r="J595" s="250" t="s">
        <v>114</v>
      </c>
      <c r="K595" s="250" t="s">
        <v>466</v>
      </c>
      <c r="L595" s="250" t="s">
        <v>467</v>
      </c>
      <c r="M595" s="277">
        <v>2781</v>
      </c>
      <c r="N595" s="278">
        <v>44417</v>
      </c>
      <c r="O595" s="329" t="s">
        <v>67</v>
      </c>
      <c r="P595" s="330">
        <f t="shared" si="31"/>
        <v>8</v>
      </c>
      <c r="Q595" s="330">
        <f t="shared" si="32"/>
        <v>6</v>
      </c>
      <c r="R595" s="331" t="str">
        <f t="shared" si="33"/>
        <v>Gastos_Gerais</v>
      </c>
      <c r="S595" s="331" t="str">
        <f>IF(D595="","",IF(OR(D595=Plano!$A$1,D595=Plano!$B$1),"entrada","saída"))</f>
        <v>saída</v>
      </c>
      <c r="T595" s="332" t="s">
        <v>114</v>
      </c>
      <c r="U595" s="332" t="s">
        <v>114</v>
      </c>
      <c r="V595" s="269"/>
      <c r="W595" s="269"/>
      <c r="X595" s="269"/>
      <c r="Y595" s="269"/>
      <c r="Z595" s="269"/>
      <c r="AA595" s="269"/>
      <c r="AB595" s="269"/>
      <c r="AC595" s="269"/>
      <c r="AD595" s="269"/>
      <c r="AE595" s="269"/>
      <c r="AF595" s="269"/>
      <c r="AG595" s="269"/>
      <c r="AH595" s="269"/>
      <c r="AI595" s="269"/>
      <c r="AJ595" s="269"/>
      <c r="AK595" s="269"/>
      <c r="AL595" s="269"/>
      <c r="AM595" s="269"/>
    </row>
    <row r="596" spans="1:39" ht="45" customHeight="1" x14ac:dyDescent="0.2">
      <c r="A596" s="277">
        <f>IF(B596="","",COUNT('Diário 5º PA'!$A$5:$A$2634)+COUNT('Diário 6º PA'!$A$5:$A$2246)+ROW()-4)</f>
        <v>3135</v>
      </c>
      <c r="B596" s="278">
        <v>44417</v>
      </c>
      <c r="C596" s="249">
        <v>44348</v>
      </c>
      <c r="D596" s="250" t="s">
        <v>99</v>
      </c>
      <c r="E596" s="250" t="s">
        <v>336</v>
      </c>
      <c r="F596" s="251">
        <v>99</v>
      </c>
      <c r="G596" s="452" t="s">
        <v>1840</v>
      </c>
      <c r="H596" s="250" t="s">
        <v>118</v>
      </c>
      <c r="I596" s="250" t="s">
        <v>465</v>
      </c>
      <c r="J596" s="250" t="s">
        <v>114</v>
      </c>
      <c r="K596" s="250" t="s">
        <v>466</v>
      </c>
      <c r="L596" s="250" t="s">
        <v>467</v>
      </c>
      <c r="M596" s="277">
        <v>2782</v>
      </c>
      <c r="N596" s="278">
        <v>44417</v>
      </c>
      <c r="O596" s="329" t="s">
        <v>67</v>
      </c>
      <c r="P596" s="330">
        <f t="shared" si="31"/>
        <v>8</v>
      </c>
      <c r="Q596" s="330">
        <f t="shared" si="32"/>
        <v>6</v>
      </c>
      <c r="R596" s="331" t="str">
        <f t="shared" si="33"/>
        <v>Gastos_Gerais</v>
      </c>
      <c r="S596" s="331" t="str">
        <f>IF(D596="","",IF(OR(D596=Plano!$A$1,D596=Plano!$B$1),"entrada","saída"))</f>
        <v>saída</v>
      </c>
      <c r="T596" s="332" t="s">
        <v>114</v>
      </c>
      <c r="U596" s="332" t="s">
        <v>114</v>
      </c>
      <c r="V596" s="269"/>
      <c r="W596" s="269"/>
      <c r="X596" s="269"/>
      <c r="Y596" s="269"/>
      <c r="Z596" s="269"/>
      <c r="AA596" s="269"/>
      <c r="AB596" s="269"/>
      <c r="AC596" s="269"/>
      <c r="AD596" s="269"/>
      <c r="AE596" s="269"/>
      <c r="AF596" s="269"/>
      <c r="AG596" s="269"/>
      <c r="AH596" s="269"/>
      <c r="AI596" s="269"/>
      <c r="AJ596" s="269"/>
      <c r="AK596" s="269"/>
      <c r="AL596" s="269"/>
      <c r="AM596" s="269"/>
    </row>
    <row r="597" spans="1:39" ht="45" customHeight="1" x14ac:dyDescent="0.2">
      <c r="A597" s="277">
        <f>IF(B597="","",COUNT('Diário 5º PA'!$A$5:$A$2634)+COUNT('Diário 6º PA'!$A$5:$A$2246)+ROW()-4)</f>
        <v>3136</v>
      </c>
      <c r="B597" s="278">
        <v>44417</v>
      </c>
      <c r="C597" s="249">
        <v>44348</v>
      </c>
      <c r="D597" s="250" t="s">
        <v>99</v>
      </c>
      <c r="E597" s="250" t="s">
        <v>336</v>
      </c>
      <c r="F597" s="251">
        <v>99</v>
      </c>
      <c r="G597" s="452" t="s">
        <v>1841</v>
      </c>
      <c r="H597" s="250" t="s">
        <v>118</v>
      </c>
      <c r="I597" s="250" t="s">
        <v>465</v>
      </c>
      <c r="J597" s="250" t="s">
        <v>114</v>
      </c>
      <c r="K597" s="250" t="s">
        <v>466</v>
      </c>
      <c r="L597" s="250" t="s">
        <v>467</v>
      </c>
      <c r="M597" s="277">
        <v>2783</v>
      </c>
      <c r="N597" s="278">
        <v>44417</v>
      </c>
      <c r="O597" s="329" t="s">
        <v>67</v>
      </c>
      <c r="P597" s="330">
        <f t="shared" si="31"/>
        <v>8</v>
      </c>
      <c r="Q597" s="330">
        <f t="shared" si="32"/>
        <v>6</v>
      </c>
      <c r="R597" s="331" t="str">
        <f t="shared" si="33"/>
        <v>Gastos_Gerais</v>
      </c>
      <c r="S597" s="331" t="str">
        <f>IF(D597="","",IF(OR(D597=Plano!$A$1,D597=Plano!$B$1),"entrada","saída"))</f>
        <v>saída</v>
      </c>
      <c r="T597" s="332" t="s">
        <v>114</v>
      </c>
      <c r="U597" s="332" t="s">
        <v>114</v>
      </c>
      <c r="V597" s="269"/>
      <c r="W597" s="269"/>
      <c r="X597" s="269"/>
      <c r="Y597" s="269"/>
      <c r="Z597" s="269"/>
      <c r="AA597" s="269"/>
      <c r="AB597" s="269"/>
      <c r="AC597" s="269"/>
      <c r="AD597" s="269"/>
      <c r="AE597" s="269"/>
      <c r="AF597" s="269"/>
      <c r="AG597" s="269"/>
      <c r="AH597" s="269"/>
      <c r="AI597" s="269"/>
      <c r="AJ597" s="269"/>
      <c r="AK597" s="269"/>
      <c r="AL597" s="269"/>
      <c r="AM597" s="269"/>
    </row>
    <row r="598" spans="1:39" ht="45" customHeight="1" x14ac:dyDescent="0.2">
      <c r="A598" s="277">
        <f>IF(B598="","",COUNT('Diário 5º PA'!$A$5:$A$2634)+COUNT('Diário 6º PA'!$A$5:$A$2246)+ROW()-4)</f>
        <v>3137</v>
      </c>
      <c r="B598" s="278">
        <v>44417</v>
      </c>
      <c r="C598" s="249">
        <v>44348</v>
      </c>
      <c r="D598" s="250" t="s">
        <v>99</v>
      </c>
      <c r="E598" s="250" t="s">
        <v>336</v>
      </c>
      <c r="F598" s="251">
        <v>99</v>
      </c>
      <c r="G598" s="452" t="s">
        <v>1842</v>
      </c>
      <c r="H598" s="250" t="s">
        <v>118</v>
      </c>
      <c r="I598" s="250" t="s">
        <v>465</v>
      </c>
      <c r="J598" s="250" t="s">
        <v>114</v>
      </c>
      <c r="K598" s="250" t="s">
        <v>466</v>
      </c>
      <c r="L598" s="250" t="s">
        <v>467</v>
      </c>
      <c r="M598" s="277">
        <v>2784</v>
      </c>
      <c r="N598" s="278">
        <v>44417</v>
      </c>
      <c r="O598" s="329" t="s">
        <v>67</v>
      </c>
      <c r="P598" s="330">
        <f t="shared" si="31"/>
        <v>8</v>
      </c>
      <c r="Q598" s="330">
        <f t="shared" si="32"/>
        <v>6</v>
      </c>
      <c r="R598" s="331" t="str">
        <f t="shared" si="33"/>
        <v>Gastos_Gerais</v>
      </c>
      <c r="S598" s="331" t="str">
        <f>IF(D598="","",IF(OR(D598=Plano!$A$1,D598=Plano!$B$1),"entrada","saída"))</f>
        <v>saída</v>
      </c>
      <c r="T598" s="332" t="s">
        <v>114</v>
      </c>
      <c r="U598" s="332" t="s">
        <v>114</v>
      </c>
      <c r="V598" s="269"/>
      <c r="W598" s="269"/>
      <c r="X598" s="269"/>
      <c r="Y598" s="269"/>
      <c r="Z598" s="269"/>
      <c r="AA598" s="269"/>
      <c r="AB598" s="269"/>
      <c r="AC598" s="269"/>
      <c r="AD598" s="269"/>
      <c r="AE598" s="269"/>
      <c r="AF598" s="269"/>
      <c r="AG598" s="269"/>
      <c r="AH598" s="269"/>
      <c r="AI598" s="269"/>
      <c r="AJ598" s="269"/>
      <c r="AK598" s="269"/>
      <c r="AL598" s="269"/>
      <c r="AM598" s="269"/>
    </row>
    <row r="599" spans="1:39" ht="44.25" customHeight="1" x14ac:dyDescent="0.2">
      <c r="A599" s="277">
        <f>IF(B599="","",COUNT('Diário 5º PA'!$A$5:$A$2634)+COUNT('Diário 6º PA'!$A$5:$A$2246)+ROW()-4)</f>
        <v>3138</v>
      </c>
      <c r="B599" s="278">
        <v>44417</v>
      </c>
      <c r="C599" s="249">
        <v>44378</v>
      </c>
      <c r="D599" s="250" t="s">
        <v>99</v>
      </c>
      <c r="E599" s="250" t="s">
        <v>330</v>
      </c>
      <c r="F599" s="251">
        <v>108.15</v>
      </c>
      <c r="G599" s="452" t="s">
        <v>1843</v>
      </c>
      <c r="H599" s="250" t="s">
        <v>125</v>
      </c>
      <c r="I599" s="250" t="s">
        <v>465</v>
      </c>
      <c r="J599" s="250" t="s">
        <v>114</v>
      </c>
      <c r="K599" s="250" t="s">
        <v>466</v>
      </c>
      <c r="L599" s="250" t="s">
        <v>467</v>
      </c>
      <c r="M599" s="277">
        <v>2785</v>
      </c>
      <c r="N599" s="278">
        <v>44417</v>
      </c>
      <c r="O599" s="329" t="s">
        <v>67</v>
      </c>
      <c r="P599" s="330">
        <f t="shared" si="31"/>
        <v>8</v>
      </c>
      <c r="Q599" s="330">
        <f t="shared" si="32"/>
        <v>7</v>
      </c>
      <c r="R599" s="331" t="str">
        <f t="shared" si="33"/>
        <v>Gastos_Gerais</v>
      </c>
      <c r="S599" s="331" t="str">
        <f>IF(D599="","",IF(OR(D599=Plano!$A$1,D599=Plano!$B$1),"entrada","saída"))</f>
        <v>saída</v>
      </c>
      <c r="T599" s="332" t="s">
        <v>114</v>
      </c>
      <c r="U599" s="332" t="s">
        <v>114</v>
      </c>
      <c r="V599" s="269"/>
      <c r="W599" s="269"/>
      <c r="X599" s="269"/>
      <c r="Y599" s="269"/>
      <c r="Z599" s="269"/>
      <c r="AA599" s="269"/>
      <c r="AB599" s="269"/>
      <c r="AC599" s="269"/>
      <c r="AD599" s="269"/>
      <c r="AE599" s="269"/>
      <c r="AF599" s="269"/>
      <c r="AG599" s="269"/>
      <c r="AH599" s="269"/>
      <c r="AI599" s="269"/>
      <c r="AJ599" s="269"/>
      <c r="AK599" s="269"/>
      <c r="AL599" s="269"/>
      <c r="AM599" s="269"/>
    </row>
    <row r="600" spans="1:39" ht="50.25" customHeight="1" x14ac:dyDescent="0.2">
      <c r="A600" s="277">
        <f>IF(B600="","",COUNT('Diário 5º PA'!$A$5:$A$2634)+COUNT('Diário 6º PA'!$A$5:$A$2246)+ROW()-4)</f>
        <v>3139</v>
      </c>
      <c r="B600" s="278">
        <v>44417</v>
      </c>
      <c r="C600" s="249">
        <v>44378</v>
      </c>
      <c r="D600" s="250" t="s">
        <v>99</v>
      </c>
      <c r="E600" s="250" t="s">
        <v>330</v>
      </c>
      <c r="F600" s="251">
        <v>9.27</v>
      </c>
      <c r="G600" s="452" t="s">
        <v>1844</v>
      </c>
      <c r="H600" s="250" t="s">
        <v>125</v>
      </c>
      <c r="I600" s="250" t="s">
        <v>465</v>
      </c>
      <c r="J600" s="250" t="s">
        <v>114</v>
      </c>
      <c r="K600" s="250" t="s">
        <v>466</v>
      </c>
      <c r="L600" s="250" t="s">
        <v>467</v>
      </c>
      <c r="M600" s="277">
        <v>2786</v>
      </c>
      <c r="N600" s="278">
        <v>44417</v>
      </c>
      <c r="O600" s="329" t="s">
        <v>67</v>
      </c>
      <c r="P600" s="330">
        <f t="shared" si="31"/>
        <v>8</v>
      </c>
      <c r="Q600" s="330">
        <f t="shared" si="32"/>
        <v>7</v>
      </c>
      <c r="R600" s="331" t="str">
        <f t="shared" si="33"/>
        <v>Gastos_Gerais</v>
      </c>
      <c r="S600" s="331" t="str">
        <f>IF(D600="","",IF(OR(D600=Plano!$A$1,D600=Plano!$B$1),"entrada","saída"))</f>
        <v>saída</v>
      </c>
      <c r="T600" s="332" t="s">
        <v>114</v>
      </c>
      <c r="U600" s="332" t="s">
        <v>114</v>
      </c>
      <c r="V600" s="269"/>
      <c r="W600" s="269"/>
      <c r="X600" s="269"/>
      <c r="Y600" s="269"/>
      <c r="Z600" s="269"/>
      <c r="AA600" s="269"/>
      <c r="AB600" s="269"/>
      <c r="AC600" s="269"/>
      <c r="AD600" s="269"/>
      <c r="AE600" s="269"/>
      <c r="AF600" s="269"/>
      <c r="AG600" s="269"/>
      <c r="AH600" s="269"/>
      <c r="AI600" s="269"/>
      <c r="AJ600" s="269"/>
      <c r="AK600" s="269"/>
      <c r="AL600" s="269"/>
      <c r="AM600" s="269"/>
    </row>
    <row r="601" spans="1:39" ht="46.5" customHeight="1" x14ac:dyDescent="0.2">
      <c r="A601" s="277">
        <f>IF(B601="","",COUNT('Diário 5º PA'!$A$5:$A$2634)+COUNT('Diário 6º PA'!$A$5:$A$2246)+ROW()-4)</f>
        <v>3140</v>
      </c>
      <c r="B601" s="278">
        <v>44417</v>
      </c>
      <c r="C601" s="249">
        <v>44348</v>
      </c>
      <c r="D601" s="250" t="s">
        <v>99</v>
      </c>
      <c r="E601" s="250" t="s">
        <v>328</v>
      </c>
      <c r="F601" s="251">
        <v>30.15</v>
      </c>
      <c r="G601" s="452" t="s">
        <v>1845</v>
      </c>
      <c r="H601" s="250" t="s">
        <v>116</v>
      </c>
      <c r="I601" s="250" t="s">
        <v>465</v>
      </c>
      <c r="J601" s="250" t="s">
        <v>114</v>
      </c>
      <c r="K601" s="250" t="s">
        <v>466</v>
      </c>
      <c r="L601" s="250" t="s">
        <v>467</v>
      </c>
      <c r="M601" s="277">
        <v>2787</v>
      </c>
      <c r="N601" s="278">
        <v>44417</v>
      </c>
      <c r="O601" s="329" t="s">
        <v>67</v>
      </c>
      <c r="P601" s="330">
        <f t="shared" si="31"/>
        <v>8</v>
      </c>
      <c r="Q601" s="330">
        <f t="shared" si="32"/>
        <v>6</v>
      </c>
      <c r="R601" s="331" t="str">
        <f t="shared" si="33"/>
        <v>Gastos_Gerais</v>
      </c>
      <c r="S601" s="331" t="str">
        <f>IF(D601="","",IF(OR(D601=Plano!$A$1,D601=Plano!$B$1),"entrada","saída"))</f>
        <v>saída</v>
      </c>
      <c r="T601" s="332" t="s">
        <v>114</v>
      </c>
      <c r="U601" s="332" t="s">
        <v>114</v>
      </c>
      <c r="V601" s="269"/>
      <c r="W601" s="269"/>
      <c r="X601" s="269"/>
      <c r="Y601" s="269"/>
      <c r="Z601" s="269"/>
      <c r="AA601" s="269"/>
      <c r="AB601" s="269"/>
      <c r="AC601" s="269"/>
      <c r="AD601" s="269"/>
      <c r="AE601" s="269"/>
      <c r="AF601" s="269"/>
      <c r="AG601" s="269"/>
      <c r="AH601" s="269"/>
      <c r="AI601" s="269"/>
      <c r="AJ601" s="269"/>
      <c r="AK601" s="269"/>
      <c r="AL601" s="269"/>
      <c r="AM601" s="269"/>
    </row>
    <row r="602" spans="1:39" ht="51" customHeight="1" x14ac:dyDescent="0.2">
      <c r="A602" s="277">
        <f>IF(B602="","",COUNT('Diário 5º PA'!$A$5:$A$2634)+COUNT('Diário 6º PA'!$A$5:$A$2246)+ROW()-4)</f>
        <v>3141</v>
      </c>
      <c r="B602" s="278">
        <v>44417</v>
      </c>
      <c r="C602" s="249">
        <v>44378</v>
      </c>
      <c r="D602" s="250" t="s">
        <v>88</v>
      </c>
      <c r="E602" s="250" t="s">
        <v>183</v>
      </c>
      <c r="F602" s="251">
        <v>5.43</v>
      </c>
      <c r="G602" s="450" t="s">
        <v>1846</v>
      </c>
      <c r="H602" s="252" t="s">
        <v>114</v>
      </c>
      <c r="I602" s="250" t="s">
        <v>465</v>
      </c>
      <c r="J602" s="250" t="s">
        <v>114</v>
      </c>
      <c r="K602" s="250" t="s">
        <v>466</v>
      </c>
      <c r="L602" s="250" t="s">
        <v>467</v>
      </c>
      <c r="M602" s="277">
        <v>2788</v>
      </c>
      <c r="N602" s="278">
        <v>44417</v>
      </c>
      <c r="O602" s="329" t="s">
        <v>67</v>
      </c>
      <c r="P602" s="330">
        <f t="shared" si="31"/>
        <v>8</v>
      </c>
      <c r="Q602" s="330">
        <f t="shared" si="32"/>
        <v>7</v>
      </c>
      <c r="R602" s="331" t="str">
        <f t="shared" si="33"/>
        <v>Gastos_com_Pessoal</v>
      </c>
      <c r="S602" s="331" t="str">
        <f>IF(D602="","",IF(OR(D602=Plano!$A$1,D602=Plano!$B$1),"entrada","saída"))</f>
        <v>saída</v>
      </c>
      <c r="T602" s="332" t="s">
        <v>114</v>
      </c>
      <c r="U602" s="332" t="s">
        <v>114</v>
      </c>
      <c r="V602" s="269"/>
      <c r="W602" s="269"/>
      <c r="X602" s="269"/>
      <c r="Y602" s="269"/>
      <c r="Z602" s="269"/>
      <c r="AA602" s="269"/>
      <c r="AB602" s="269"/>
      <c r="AC602" s="269"/>
      <c r="AD602" s="269"/>
      <c r="AE602" s="269"/>
      <c r="AF602" s="269"/>
      <c r="AG602" s="269"/>
      <c r="AH602" s="269"/>
      <c r="AI602" s="269"/>
      <c r="AJ602" s="269"/>
      <c r="AK602" s="269"/>
      <c r="AL602" s="269"/>
      <c r="AM602" s="269"/>
    </row>
    <row r="603" spans="1:39" ht="42" customHeight="1" x14ac:dyDescent="0.2">
      <c r="A603" s="277">
        <f>IF(B603="","",COUNT('Diário 5º PA'!$A$5:$A$2634)+COUNT('Diário 6º PA'!$A$5:$A$2246)+ROW()-4)</f>
        <v>3142</v>
      </c>
      <c r="B603" s="278">
        <v>44417</v>
      </c>
      <c r="C603" s="249">
        <v>44378</v>
      </c>
      <c r="D603" s="250" t="s">
        <v>88</v>
      </c>
      <c r="E603" s="250" t="s">
        <v>192</v>
      </c>
      <c r="F603" s="251">
        <v>0.01</v>
      </c>
      <c r="G603" s="452" t="s">
        <v>1847</v>
      </c>
      <c r="H603" s="250" t="s">
        <v>114</v>
      </c>
      <c r="I603" s="250" t="s">
        <v>465</v>
      </c>
      <c r="J603" s="250" t="s">
        <v>114</v>
      </c>
      <c r="K603" s="250" t="s">
        <v>466</v>
      </c>
      <c r="L603" s="250" t="s">
        <v>467</v>
      </c>
      <c r="M603" s="277">
        <v>2789</v>
      </c>
      <c r="N603" s="278">
        <v>44417</v>
      </c>
      <c r="O603" s="329" t="s">
        <v>67</v>
      </c>
      <c r="P603" s="330">
        <f t="shared" si="31"/>
        <v>8</v>
      </c>
      <c r="Q603" s="330">
        <f t="shared" si="32"/>
        <v>7</v>
      </c>
      <c r="R603" s="331" t="str">
        <f t="shared" si="33"/>
        <v>Gastos_com_Pessoal</v>
      </c>
      <c r="S603" s="331" t="str">
        <f>IF(D603="","",IF(OR(D603=Plano!$A$1,D603=Plano!$B$1),"entrada","saída"))</f>
        <v>saída</v>
      </c>
      <c r="T603" s="332" t="s">
        <v>114</v>
      </c>
      <c r="U603" s="332" t="s">
        <v>114</v>
      </c>
      <c r="V603" s="269"/>
      <c r="W603" s="269"/>
      <c r="X603" s="269"/>
      <c r="Y603" s="269"/>
      <c r="Z603" s="269"/>
      <c r="AA603" s="269"/>
      <c r="AB603" s="269"/>
      <c r="AC603" s="269"/>
      <c r="AD603" s="269"/>
      <c r="AE603" s="269"/>
      <c r="AF603" s="269"/>
      <c r="AG603" s="269"/>
      <c r="AH603" s="269"/>
      <c r="AI603" s="269"/>
      <c r="AJ603" s="269"/>
      <c r="AK603" s="269"/>
      <c r="AL603" s="269"/>
      <c r="AM603" s="269"/>
    </row>
    <row r="604" spans="1:39" ht="42" customHeight="1" x14ac:dyDescent="0.2">
      <c r="A604" s="277">
        <f>IF(B604="","",COUNT('Diário 5º PA'!$A$5:$A$2634)+COUNT('Diário 6º PA'!$A$5:$A$2246)+ROW()-4)</f>
        <v>3143</v>
      </c>
      <c r="B604" s="278">
        <v>44417</v>
      </c>
      <c r="C604" s="249">
        <v>44378</v>
      </c>
      <c r="D604" s="250" t="s">
        <v>88</v>
      </c>
      <c r="E604" s="250" t="s">
        <v>192</v>
      </c>
      <c r="F604" s="251">
        <v>0.02</v>
      </c>
      <c r="G604" s="452" t="s">
        <v>1848</v>
      </c>
      <c r="H604" s="250" t="s">
        <v>114</v>
      </c>
      <c r="I604" s="250" t="s">
        <v>465</v>
      </c>
      <c r="J604" s="250" t="s">
        <v>114</v>
      </c>
      <c r="K604" s="250" t="s">
        <v>466</v>
      </c>
      <c r="L604" s="250" t="s">
        <v>467</v>
      </c>
      <c r="M604" s="277">
        <v>2790</v>
      </c>
      <c r="N604" s="278">
        <v>44417</v>
      </c>
      <c r="O604" s="329" t="s">
        <v>67</v>
      </c>
      <c r="P604" s="330">
        <f t="shared" si="31"/>
        <v>8</v>
      </c>
      <c r="Q604" s="330">
        <f t="shared" si="32"/>
        <v>7</v>
      </c>
      <c r="R604" s="331" t="str">
        <f t="shared" si="33"/>
        <v>Gastos_com_Pessoal</v>
      </c>
      <c r="S604" s="331" t="str">
        <f>IF(D604="","",IF(OR(D604=Plano!$A$1,D604=Plano!$B$1),"entrada","saída"))</f>
        <v>saída</v>
      </c>
      <c r="T604" s="332" t="s">
        <v>114</v>
      </c>
      <c r="U604" s="332" t="s">
        <v>114</v>
      </c>
      <c r="V604" s="269"/>
      <c r="W604" s="269"/>
      <c r="X604" s="269"/>
      <c r="Y604" s="269"/>
      <c r="Z604" s="269"/>
      <c r="AA604" s="269"/>
      <c r="AB604" s="269"/>
      <c r="AC604" s="269"/>
      <c r="AD604" s="269"/>
      <c r="AE604" s="269"/>
      <c r="AF604" s="269"/>
      <c r="AG604" s="269"/>
      <c r="AH604" s="269"/>
      <c r="AI604" s="269"/>
      <c r="AJ604" s="269"/>
      <c r="AK604" s="269"/>
      <c r="AL604" s="269"/>
      <c r="AM604" s="269"/>
    </row>
    <row r="605" spans="1:39" ht="42" customHeight="1" x14ac:dyDescent="0.2">
      <c r="A605" s="277">
        <f>IF(B605="","",COUNT('Diário 5º PA'!$A$5:$A$2634)+COUNT('Diário 6º PA'!$A$5:$A$2246)+ROW()-4)</f>
        <v>3144</v>
      </c>
      <c r="B605" s="278">
        <v>44417</v>
      </c>
      <c r="C605" s="249">
        <v>44378</v>
      </c>
      <c r="D605" s="250" t="s">
        <v>88</v>
      </c>
      <c r="E605" s="250" t="s">
        <v>192</v>
      </c>
      <c r="F605" s="251">
        <v>0.02</v>
      </c>
      <c r="G605" s="452" t="s">
        <v>1849</v>
      </c>
      <c r="H605" s="250" t="s">
        <v>114</v>
      </c>
      <c r="I605" s="250" t="s">
        <v>465</v>
      </c>
      <c r="J605" s="250" t="s">
        <v>114</v>
      </c>
      <c r="K605" s="250" t="s">
        <v>466</v>
      </c>
      <c r="L605" s="250" t="s">
        <v>467</v>
      </c>
      <c r="M605" s="277">
        <v>2791</v>
      </c>
      <c r="N605" s="278">
        <v>44417</v>
      </c>
      <c r="O605" s="329" t="s">
        <v>67</v>
      </c>
      <c r="P605" s="330">
        <f t="shared" si="31"/>
        <v>8</v>
      </c>
      <c r="Q605" s="330">
        <f t="shared" si="32"/>
        <v>7</v>
      </c>
      <c r="R605" s="331" t="str">
        <f t="shared" si="33"/>
        <v>Gastos_com_Pessoal</v>
      </c>
      <c r="S605" s="331" t="str">
        <f>IF(D605="","",IF(OR(D605=Plano!$A$1,D605=Plano!$B$1),"entrada","saída"))</f>
        <v>saída</v>
      </c>
      <c r="T605" s="332" t="s">
        <v>114</v>
      </c>
      <c r="U605" s="332" t="s">
        <v>114</v>
      </c>
      <c r="V605" s="269"/>
      <c r="W605" s="269"/>
      <c r="X605" s="269"/>
      <c r="Y605" s="269"/>
      <c r="Z605" s="269"/>
      <c r="AA605" s="269"/>
      <c r="AB605" s="269"/>
      <c r="AC605" s="269"/>
      <c r="AD605" s="269"/>
      <c r="AE605" s="269"/>
      <c r="AF605" s="269"/>
      <c r="AG605" s="269"/>
      <c r="AH605" s="269"/>
      <c r="AI605" s="269"/>
      <c r="AJ605" s="269"/>
      <c r="AK605" s="269"/>
      <c r="AL605" s="269"/>
      <c r="AM605" s="269"/>
    </row>
    <row r="606" spans="1:39" ht="42" customHeight="1" x14ac:dyDescent="0.2">
      <c r="A606" s="277">
        <f>IF(B606="","",COUNT('Diário 5º PA'!$A$5:$A$2634)+COUNT('Diário 6º PA'!$A$5:$A$2246)+ROW()-4)</f>
        <v>3145</v>
      </c>
      <c r="B606" s="278">
        <v>44417</v>
      </c>
      <c r="C606" s="249">
        <v>44378</v>
      </c>
      <c r="D606" s="250" t="s">
        <v>88</v>
      </c>
      <c r="E606" s="250" t="s">
        <v>192</v>
      </c>
      <c r="F606" s="251">
        <v>0.02</v>
      </c>
      <c r="G606" s="452" t="s">
        <v>1850</v>
      </c>
      <c r="H606" s="250" t="s">
        <v>114</v>
      </c>
      <c r="I606" s="250" t="s">
        <v>465</v>
      </c>
      <c r="J606" s="250" t="s">
        <v>114</v>
      </c>
      <c r="K606" s="250" t="s">
        <v>466</v>
      </c>
      <c r="L606" s="250" t="s">
        <v>467</v>
      </c>
      <c r="M606" s="277">
        <v>2792</v>
      </c>
      <c r="N606" s="278">
        <v>44417</v>
      </c>
      <c r="O606" s="329" t="s">
        <v>67</v>
      </c>
      <c r="P606" s="330">
        <f t="shared" si="31"/>
        <v>8</v>
      </c>
      <c r="Q606" s="330">
        <f t="shared" si="32"/>
        <v>7</v>
      </c>
      <c r="R606" s="331" t="str">
        <f t="shared" si="33"/>
        <v>Gastos_com_Pessoal</v>
      </c>
      <c r="S606" s="331" t="str">
        <f>IF(D606="","",IF(OR(D606=Plano!$A$1,D606=Plano!$B$1),"entrada","saída"))</f>
        <v>saída</v>
      </c>
      <c r="T606" s="332" t="s">
        <v>114</v>
      </c>
      <c r="U606" s="332" t="s">
        <v>114</v>
      </c>
      <c r="V606" s="269"/>
      <c r="W606" s="269"/>
      <c r="X606" s="269"/>
      <c r="Y606" s="269"/>
      <c r="Z606" s="269"/>
      <c r="AA606" s="269"/>
      <c r="AB606" s="269"/>
      <c r="AC606" s="269"/>
      <c r="AD606" s="269"/>
      <c r="AE606" s="269"/>
      <c r="AF606" s="269"/>
      <c r="AG606" s="269"/>
      <c r="AH606" s="269"/>
      <c r="AI606" s="269"/>
      <c r="AJ606" s="269"/>
      <c r="AK606" s="269"/>
      <c r="AL606" s="269"/>
      <c r="AM606" s="269"/>
    </row>
    <row r="607" spans="1:39" ht="42" customHeight="1" x14ac:dyDescent="0.2">
      <c r="A607" s="277">
        <f>IF(B607="","",COUNT('Diário 5º PA'!$A$5:$A$2634)+COUNT('Diário 6º PA'!$A$5:$A$2246)+ROW()-4)</f>
        <v>3146</v>
      </c>
      <c r="B607" s="278">
        <v>44417</v>
      </c>
      <c r="C607" s="249">
        <v>44378</v>
      </c>
      <c r="D607" s="250" t="s">
        <v>88</v>
      </c>
      <c r="E607" s="250" t="s">
        <v>192</v>
      </c>
      <c r="F607" s="251">
        <v>0.02</v>
      </c>
      <c r="G607" s="452" t="s">
        <v>1851</v>
      </c>
      <c r="H607" s="250" t="s">
        <v>114</v>
      </c>
      <c r="I607" s="250" t="s">
        <v>465</v>
      </c>
      <c r="J607" s="250" t="s">
        <v>114</v>
      </c>
      <c r="K607" s="250" t="s">
        <v>466</v>
      </c>
      <c r="L607" s="250" t="s">
        <v>467</v>
      </c>
      <c r="M607" s="277">
        <v>2793</v>
      </c>
      <c r="N607" s="278">
        <v>44417</v>
      </c>
      <c r="O607" s="329" t="s">
        <v>67</v>
      </c>
      <c r="P607" s="330">
        <f t="shared" si="31"/>
        <v>8</v>
      </c>
      <c r="Q607" s="330">
        <f t="shared" si="32"/>
        <v>7</v>
      </c>
      <c r="R607" s="331" t="str">
        <f t="shared" si="33"/>
        <v>Gastos_com_Pessoal</v>
      </c>
      <c r="S607" s="331" t="str">
        <f>IF(D607="","",IF(OR(D607=Plano!$A$1,D607=Plano!$B$1),"entrada","saída"))</f>
        <v>saída</v>
      </c>
      <c r="T607" s="332" t="s">
        <v>114</v>
      </c>
      <c r="U607" s="332" t="s">
        <v>114</v>
      </c>
      <c r="V607" s="269"/>
      <c r="W607" s="269"/>
      <c r="X607" s="269"/>
      <c r="Y607" s="269"/>
      <c r="Z607" s="269"/>
      <c r="AA607" s="269"/>
      <c r="AB607" s="269"/>
      <c r="AC607" s="269"/>
      <c r="AD607" s="269"/>
      <c r="AE607" s="269"/>
      <c r="AF607" s="269"/>
      <c r="AG607" s="269"/>
      <c r="AH607" s="269"/>
      <c r="AI607" s="269"/>
      <c r="AJ607" s="269"/>
      <c r="AK607" s="269"/>
      <c r="AL607" s="269"/>
      <c r="AM607" s="269"/>
    </row>
    <row r="608" spans="1:39" ht="42" customHeight="1" x14ac:dyDescent="0.2">
      <c r="A608" s="277">
        <f>IF(B608="","",COUNT('Diário 5º PA'!$A$5:$A$2634)+COUNT('Diário 6º PA'!$A$5:$A$2246)+ROW()-4)</f>
        <v>3147</v>
      </c>
      <c r="B608" s="278">
        <v>44417</v>
      </c>
      <c r="C608" s="249">
        <v>44378</v>
      </c>
      <c r="D608" s="250" t="s">
        <v>88</v>
      </c>
      <c r="E608" s="250" t="s">
        <v>192</v>
      </c>
      <c r="F608" s="251">
        <v>0.05</v>
      </c>
      <c r="G608" s="452" t="s">
        <v>1852</v>
      </c>
      <c r="H608" s="250" t="s">
        <v>114</v>
      </c>
      <c r="I608" s="250" t="s">
        <v>465</v>
      </c>
      <c r="J608" s="250" t="s">
        <v>114</v>
      </c>
      <c r="K608" s="250" t="s">
        <v>466</v>
      </c>
      <c r="L608" s="250" t="s">
        <v>467</v>
      </c>
      <c r="M608" s="277">
        <v>2794</v>
      </c>
      <c r="N608" s="278">
        <v>44417</v>
      </c>
      <c r="O608" s="329" t="s">
        <v>67</v>
      </c>
      <c r="P608" s="330">
        <f t="shared" si="31"/>
        <v>8</v>
      </c>
      <c r="Q608" s="330">
        <f t="shared" si="32"/>
        <v>7</v>
      </c>
      <c r="R608" s="331" t="str">
        <f t="shared" si="33"/>
        <v>Gastos_com_Pessoal</v>
      </c>
      <c r="S608" s="331" t="str">
        <f>IF(D608="","",IF(OR(D608=Plano!$A$1,D608=Plano!$B$1),"entrada","saída"))</f>
        <v>saída</v>
      </c>
      <c r="T608" s="332" t="s">
        <v>114</v>
      </c>
      <c r="U608" s="332" t="s">
        <v>114</v>
      </c>
      <c r="V608" s="269"/>
      <c r="W608" s="269"/>
      <c r="X608" s="269"/>
      <c r="Y608" s="269"/>
      <c r="Z608" s="269"/>
      <c r="AA608" s="269"/>
      <c r="AB608" s="269"/>
      <c r="AC608" s="269"/>
      <c r="AD608" s="269"/>
      <c r="AE608" s="269"/>
      <c r="AF608" s="269"/>
      <c r="AG608" s="269"/>
      <c r="AH608" s="269"/>
      <c r="AI608" s="269"/>
      <c r="AJ608" s="269"/>
      <c r="AK608" s="269"/>
      <c r="AL608" s="269"/>
      <c r="AM608" s="269"/>
    </row>
    <row r="609" spans="1:39" ht="50.25" customHeight="1" x14ac:dyDescent="0.2">
      <c r="A609" s="277">
        <f>IF(B609="","",COUNT('Diário 5º PA'!$A$5:$A$2634)+COUNT('Diário 6º PA'!$A$5:$A$2246)+ROW()-4)</f>
        <v>3148</v>
      </c>
      <c r="B609" s="278">
        <v>44417</v>
      </c>
      <c r="C609" s="249">
        <v>44348</v>
      </c>
      <c r="D609" s="252" t="s">
        <v>88</v>
      </c>
      <c r="E609" s="255" t="s">
        <v>90</v>
      </c>
      <c r="F609" s="257">
        <v>6.11</v>
      </c>
      <c r="G609" s="451" t="s">
        <v>1853</v>
      </c>
      <c r="H609" s="252" t="s">
        <v>114</v>
      </c>
      <c r="I609" s="252" t="s">
        <v>465</v>
      </c>
      <c r="J609" s="250" t="s">
        <v>114</v>
      </c>
      <c r="K609" s="250" t="s">
        <v>466</v>
      </c>
      <c r="L609" s="250" t="s">
        <v>467</v>
      </c>
      <c r="M609" s="277">
        <v>2795</v>
      </c>
      <c r="N609" s="278">
        <v>44417</v>
      </c>
      <c r="O609" s="329" t="s">
        <v>67</v>
      </c>
      <c r="P609" s="330">
        <f t="shared" si="31"/>
        <v>8</v>
      </c>
      <c r="Q609" s="330">
        <f t="shared" si="32"/>
        <v>6</v>
      </c>
      <c r="R609" s="331" t="str">
        <f t="shared" si="33"/>
        <v>Gastos_com_Pessoal</v>
      </c>
      <c r="S609" s="331" t="str">
        <f>IF(D609="","",IF(OR(D609=Plano!$A$1,D609=Plano!$B$1),"entrada","saída"))</f>
        <v>saída</v>
      </c>
      <c r="T609" s="332" t="s">
        <v>114</v>
      </c>
      <c r="U609" s="332" t="s">
        <v>114</v>
      </c>
      <c r="V609" s="269"/>
      <c r="W609" s="269"/>
      <c r="X609" s="269"/>
      <c r="Y609" s="269"/>
      <c r="Z609" s="269"/>
      <c r="AA609" s="269"/>
      <c r="AB609" s="269"/>
      <c r="AC609" s="269"/>
      <c r="AD609" s="269"/>
      <c r="AE609" s="269"/>
      <c r="AF609" s="269"/>
      <c r="AG609" s="269"/>
      <c r="AH609" s="269"/>
      <c r="AI609" s="269"/>
      <c r="AJ609" s="269"/>
      <c r="AK609" s="269"/>
      <c r="AL609" s="269"/>
      <c r="AM609" s="269"/>
    </row>
    <row r="610" spans="1:39" ht="44.25" customHeight="1" x14ac:dyDescent="0.2">
      <c r="A610" s="277">
        <f>IF(B610="","",COUNT('Diário 5º PA'!$A$5:$A$2634)+COUNT('Diário 6º PA'!$A$5:$A$2246)+ROW()-4)</f>
        <v>3149</v>
      </c>
      <c r="B610" s="278">
        <v>44417</v>
      </c>
      <c r="C610" s="249">
        <v>44409</v>
      </c>
      <c r="D610" s="252" t="s">
        <v>88</v>
      </c>
      <c r="E610" s="255" t="s">
        <v>90</v>
      </c>
      <c r="F610" s="257">
        <v>71.790000000000006</v>
      </c>
      <c r="G610" s="451" t="s">
        <v>1854</v>
      </c>
      <c r="H610" s="252" t="s">
        <v>114</v>
      </c>
      <c r="I610" s="252" t="s">
        <v>465</v>
      </c>
      <c r="J610" s="250" t="s">
        <v>114</v>
      </c>
      <c r="K610" s="250" t="s">
        <v>466</v>
      </c>
      <c r="L610" s="250" t="s">
        <v>467</v>
      </c>
      <c r="M610" s="277">
        <v>2796</v>
      </c>
      <c r="N610" s="278">
        <v>44417</v>
      </c>
      <c r="O610" s="329" t="s">
        <v>67</v>
      </c>
      <c r="P610" s="330">
        <f t="shared" si="31"/>
        <v>8</v>
      </c>
      <c r="Q610" s="330">
        <f t="shared" si="32"/>
        <v>8</v>
      </c>
      <c r="R610" s="331" t="str">
        <f t="shared" si="33"/>
        <v>Gastos_com_Pessoal</v>
      </c>
      <c r="S610" s="331" t="str">
        <f>IF(D610="","",IF(OR(D610=Plano!$A$1,D610=Plano!$B$1),"entrada","saída"))</f>
        <v>saída</v>
      </c>
      <c r="T610" s="332" t="s">
        <v>114</v>
      </c>
      <c r="U610" s="332" t="s">
        <v>114</v>
      </c>
      <c r="V610" s="269"/>
      <c r="W610" s="269"/>
      <c r="X610" s="269"/>
      <c r="Y610" s="269"/>
      <c r="Z610" s="269"/>
      <c r="AA610" s="269"/>
      <c r="AB610" s="269"/>
      <c r="AC610" s="269"/>
      <c r="AD610" s="269"/>
      <c r="AE610" s="269"/>
      <c r="AF610" s="269"/>
      <c r="AG610" s="269"/>
      <c r="AH610" s="269"/>
      <c r="AI610" s="269"/>
      <c r="AJ610" s="269"/>
      <c r="AK610" s="269"/>
      <c r="AL610" s="269"/>
      <c r="AM610" s="269"/>
    </row>
    <row r="611" spans="1:39" ht="54.75" customHeight="1" x14ac:dyDescent="0.2">
      <c r="A611" s="277">
        <f>IF(B611="","",COUNT('Diário 5º PA'!$A$5:$A$2634)+COUNT('Diário 6º PA'!$A$5:$A$2246)+ROW()-4)</f>
        <v>3150</v>
      </c>
      <c r="B611" s="278">
        <v>44417</v>
      </c>
      <c r="C611" s="249">
        <v>44348</v>
      </c>
      <c r="D611" s="250" t="s">
        <v>99</v>
      </c>
      <c r="E611" s="250" t="s">
        <v>336</v>
      </c>
      <c r="F611" s="251">
        <v>89.4</v>
      </c>
      <c r="G611" s="452" t="s">
        <v>1855</v>
      </c>
      <c r="H611" s="250" t="s">
        <v>116</v>
      </c>
      <c r="I611" s="252" t="s">
        <v>465</v>
      </c>
      <c r="J611" s="250" t="s">
        <v>114</v>
      </c>
      <c r="K611" s="250" t="s">
        <v>466</v>
      </c>
      <c r="L611" s="250" t="s">
        <v>467</v>
      </c>
      <c r="M611" s="277">
        <v>2797</v>
      </c>
      <c r="N611" s="278">
        <v>44417</v>
      </c>
      <c r="O611" s="329" t="s">
        <v>67</v>
      </c>
      <c r="P611" s="330">
        <f t="shared" si="31"/>
        <v>8</v>
      </c>
      <c r="Q611" s="330">
        <f t="shared" si="32"/>
        <v>6</v>
      </c>
      <c r="R611" s="331" t="str">
        <f t="shared" si="33"/>
        <v>Gastos_Gerais</v>
      </c>
      <c r="S611" s="331" t="str">
        <f>IF(D611="","",IF(OR(D611=Plano!$A$1,D611=Plano!$B$1),"entrada","saída"))</f>
        <v>saída</v>
      </c>
      <c r="T611" s="332" t="s">
        <v>114</v>
      </c>
      <c r="U611" s="332" t="s">
        <v>114</v>
      </c>
      <c r="V611" s="269"/>
      <c r="W611" s="269"/>
      <c r="X611" s="269"/>
      <c r="Y611" s="269"/>
      <c r="Z611" s="269"/>
      <c r="AA611" s="269"/>
      <c r="AB611" s="269"/>
      <c r="AC611" s="269"/>
      <c r="AD611" s="269"/>
      <c r="AE611" s="269"/>
      <c r="AF611" s="269"/>
      <c r="AG611" s="269"/>
      <c r="AH611" s="269"/>
      <c r="AI611" s="269"/>
      <c r="AJ611" s="269"/>
      <c r="AK611" s="269"/>
      <c r="AL611" s="269"/>
      <c r="AM611" s="269"/>
    </row>
    <row r="612" spans="1:39" ht="51.75" customHeight="1" x14ac:dyDescent="0.2">
      <c r="A612" s="277">
        <f>IF(B612="","",COUNT('Diário 5º PA'!$A$5:$A$2634)+COUNT('Diário 6º PA'!$A$5:$A$2246)+ROW()-4)</f>
        <v>3151</v>
      </c>
      <c r="B612" s="278">
        <v>44417</v>
      </c>
      <c r="C612" s="249">
        <v>44348</v>
      </c>
      <c r="D612" s="250" t="s">
        <v>99</v>
      </c>
      <c r="E612" s="250" t="s">
        <v>336</v>
      </c>
      <c r="F612" s="251">
        <v>596</v>
      </c>
      <c r="G612" s="452" t="s">
        <v>1856</v>
      </c>
      <c r="H612" s="250" t="s">
        <v>116</v>
      </c>
      <c r="I612" s="252" t="s">
        <v>465</v>
      </c>
      <c r="J612" s="250" t="s">
        <v>114</v>
      </c>
      <c r="K612" s="250" t="s">
        <v>466</v>
      </c>
      <c r="L612" s="250" t="s">
        <v>467</v>
      </c>
      <c r="M612" s="277">
        <v>2798</v>
      </c>
      <c r="N612" s="278">
        <v>44417</v>
      </c>
      <c r="O612" s="329" t="s">
        <v>67</v>
      </c>
      <c r="P612" s="330">
        <f t="shared" si="31"/>
        <v>8</v>
      </c>
      <c r="Q612" s="330">
        <f t="shared" si="32"/>
        <v>6</v>
      </c>
      <c r="R612" s="331" t="str">
        <f t="shared" si="33"/>
        <v>Gastos_Gerais</v>
      </c>
      <c r="S612" s="331" t="str">
        <f>IF(D612="","",IF(OR(D612=Plano!$A$1,D612=Plano!$B$1),"entrada","saída"))</f>
        <v>saída</v>
      </c>
      <c r="T612" s="332" t="s">
        <v>114</v>
      </c>
      <c r="U612" s="332" t="s">
        <v>114</v>
      </c>
      <c r="V612" s="269"/>
      <c r="W612" s="269"/>
      <c r="X612" s="269"/>
      <c r="Y612" s="269"/>
      <c r="Z612" s="269"/>
      <c r="AA612" s="269"/>
      <c r="AB612" s="269"/>
      <c r="AC612" s="269"/>
      <c r="AD612" s="269"/>
      <c r="AE612" s="269"/>
      <c r="AF612" s="269"/>
      <c r="AG612" s="269"/>
      <c r="AH612" s="269"/>
      <c r="AI612" s="269"/>
      <c r="AJ612" s="269"/>
      <c r="AK612" s="269"/>
      <c r="AL612" s="269"/>
      <c r="AM612" s="269"/>
    </row>
    <row r="613" spans="1:39" ht="44.25" customHeight="1" x14ac:dyDescent="0.2">
      <c r="A613" s="277">
        <f>IF(B613="","",COUNT('Diário 5º PA'!$A$5:$A$2634)+COUNT('Diário 6º PA'!$A$5:$A$2246)+ROW()-4)</f>
        <v>3152</v>
      </c>
      <c r="B613" s="278">
        <v>44417</v>
      </c>
      <c r="C613" s="249">
        <v>44348</v>
      </c>
      <c r="D613" s="250" t="s">
        <v>99</v>
      </c>
      <c r="E613" s="250" t="s">
        <v>348</v>
      </c>
      <c r="F613" s="251">
        <v>149.5</v>
      </c>
      <c r="G613" s="452" t="s">
        <v>1857</v>
      </c>
      <c r="H613" s="250" t="s">
        <v>116</v>
      </c>
      <c r="I613" s="250" t="s">
        <v>465</v>
      </c>
      <c r="J613" s="250" t="s">
        <v>114</v>
      </c>
      <c r="K613" s="250" t="s">
        <v>466</v>
      </c>
      <c r="L613" s="250" t="s">
        <v>467</v>
      </c>
      <c r="M613" s="277">
        <v>2799</v>
      </c>
      <c r="N613" s="278">
        <v>44417</v>
      </c>
      <c r="O613" s="329" t="s">
        <v>67</v>
      </c>
      <c r="P613" s="330">
        <f t="shared" si="31"/>
        <v>8</v>
      </c>
      <c r="Q613" s="330">
        <f t="shared" si="32"/>
        <v>6</v>
      </c>
      <c r="R613" s="331" t="str">
        <f t="shared" si="33"/>
        <v>Gastos_Gerais</v>
      </c>
      <c r="S613" s="331" t="str">
        <f>IF(D613="","",IF(OR(D613=Plano!$A$1,D613=Plano!$B$1),"entrada","saída"))</f>
        <v>saída</v>
      </c>
      <c r="T613" s="332" t="s">
        <v>114</v>
      </c>
      <c r="U613" s="332" t="s">
        <v>114</v>
      </c>
      <c r="V613" s="269"/>
      <c r="W613" s="269"/>
      <c r="X613" s="269"/>
      <c r="Y613" s="269"/>
      <c r="Z613" s="269"/>
      <c r="AA613" s="269"/>
      <c r="AB613" s="269"/>
      <c r="AC613" s="269"/>
      <c r="AD613" s="269"/>
      <c r="AE613" s="269"/>
      <c r="AF613" s="269"/>
      <c r="AG613" s="269"/>
      <c r="AH613" s="269"/>
      <c r="AI613" s="269"/>
      <c r="AJ613" s="269"/>
      <c r="AK613" s="269"/>
      <c r="AL613" s="269"/>
      <c r="AM613" s="269"/>
    </row>
    <row r="614" spans="1:39" ht="45.75" customHeight="1" x14ac:dyDescent="0.2">
      <c r="A614" s="277">
        <f>IF(B614="","",COUNT('Diário 5º PA'!$A$5:$A$2634)+COUNT('Diário 6º PA'!$A$5:$A$2246)+ROW()-4)</f>
        <v>3153</v>
      </c>
      <c r="B614" s="278">
        <v>44417</v>
      </c>
      <c r="C614" s="249">
        <v>44317</v>
      </c>
      <c r="D614" s="250" t="s">
        <v>99</v>
      </c>
      <c r="E614" s="250" t="s">
        <v>336</v>
      </c>
      <c r="F614" s="251">
        <v>27</v>
      </c>
      <c r="G614" s="452" t="s">
        <v>1858</v>
      </c>
      <c r="H614" s="250" t="s">
        <v>116</v>
      </c>
      <c r="I614" s="250" t="s">
        <v>465</v>
      </c>
      <c r="J614" s="250" t="s">
        <v>114</v>
      </c>
      <c r="K614" s="250" t="s">
        <v>466</v>
      </c>
      <c r="L614" s="250" t="s">
        <v>467</v>
      </c>
      <c r="M614" s="277">
        <v>2800</v>
      </c>
      <c r="N614" s="278">
        <v>44417</v>
      </c>
      <c r="O614" s="329" t="s">
        <v>67</v>
      </c>
      <c r="P614" s="330">
        <f t="shared" si="31"/>
        <v>8</v>
      </c>
      <c r="Q614" s="330">
        <f t="shared" si="32"/>
        <v>5</v>
      </c>
      <c r="R614" s="331" t="str">
        <f t="shared" si="33"/>
        <v>Gastos_Gerais</v>
      </c>
      <c r="S614" s="331" t="str">
        <f>IF(D614="","",IF(OR(D614=Plano!$A$1,D614=Plano!$B$1),"entrada","saída"))</f>
        <v>saída</v>
      </c>
      <c r="T614" s="332" t="s">
        <v>114</v>
      </c>
      <c r="U614" s="332" t="s">
        <v>114</v>
      </c>
      <c r="V614" s="269"/>
      <c r="W614" s="269"/>
      <c r="X614" s="269"/>
      <c r="Y614" s="269"/>
      <c r="Z614" s="269"/>
      <c r="AA614" s="269"/>
      <c r="AB614" s="269"/>
      <c r="AC614" s="269"/>
      <c r="AD614" s="269"/>
      <c r="AE614" s="269"/>
      <c r="AF614" s="269"/>
      <c r="AG614" s="269"/>
      <c r="AH614" s="269"/>
      <c r="AI614" s="269"/>
      <c r="AJ614" s="269"/>
      <c r="AK614" s="269"/>
      <c r="AL614" s="269"/>
      <c r="AM614" s="269"/>
    </row>
    <row r="615" spans="1:39" ht="58.5" customHeight="1" x14ac:dyDescent="0.2">
      <c r="A615" s="277">
        <f>IF(B615="","",COUNT('Diário 5º PA'!$A$5:$A$2634)+COUNT('Diário 6º PA'!$A$5:$A$2246)+ROW()-4)</f>
        <v>3154</v>
      </c>
      <c r="B615" s="278">
        <v>44417</v>
      </c>
      <c r="C615" s="249">
        <v>44348</v>
      </c>
      <c r="D615" s="250" t="s">
        <v>99</v>
      </c>
      <c r="E615" s="250" t="s">
        <v>336</v>
      </c>
      <c r="F615" s="251">
        <v>7.5</v>
      </c>
      <c r="G615" s="452" t="s">
        <v>1859</v>
      </c>
      <c r="H615" s="250" t="s">
        <v>116</v>
      </c>
      <c r="I615" s="250" t="s">
        <v>465</v>
      </c>
      <c r="J615" s="250" t="s">
        <v>114</v>
      </c>
      <c r="K615" s="250" t="s">
        <v>466</v>
      </c>
      <c r="L615" s="250" t="s">
        <v>467</v>
      </c>
      <c r="M615" s="277">
        <v>2801</v>
      </c>
      <c r="N615" s="278">
        <v>44417</v>
      </c>
      <c r="O615" s="329" t="s">
        <v>67</v>
      </c>
      <c r="P615" s="330">
        <f t="shared" si="31"/>
        <v>8</v>
      </c>
      <c r="Q615" s="330">
        <f t="shared" si="32"/>
        <v>6</v>
      </c>
      <c r="R615" s="331" t="str">
        <f t="shared" si="33"/>
        <v>Gastos_Gerais</v>
      </c>
      <c r="S615" s="331" t="str">
        <f>IF(D615="","",IF(OR(D615=Plano!$A$1,D615=Plano!$B$1),"entrada","saída"))</f>
        <v>saída</v>
      </c>
      <c r="T615" s="332" t="s">
        <v>114</v>
      </c>
      <c r="U615" s="332" t="s">
        <v>114</v>
      </c>
      <c r="V615" s="269"/>
      <c r="W615" s="269"/>
      <c r="X615" s="269"/>
      <c r="Y615" s="269"/>
      <c r="Z615" s="269"/>
      <c r="AA615" s="269"/>
      <c r="AB615" s="269"/>
      <c r="AC615" s="269"/>
      <c r="AD615" s="269"/>
      <c r="AE615" s="269"/>
      <c r="AF615" s="269"/>
      <c r="AG615" s="269"/>
      <c r="AH615" s="269"/>
      <c r="AI615" s="269"/>
      <c r="AJ615" s="269"/>
      <c r="AK615" s="269"/>
      <c r="AL615" s="269"/>
      <c r="AM615" s="269"/>
    </row>
    <row r="616" spans="1:39" ht="57" customHeight="1" x14ac:dyDescent="0.2">
      <c r="A616" s="277">
        <f>IF(B616="","",COUNT('Diário 5º PA'!$A$5:$A$2634)+COUNT('Diário 6º PA'!$A$5:$A$2246)+ROW()-4)</f>
        <v>3155</v>
      </c>
      <c r="B616" s="278">
        <v>44417</v>
      </c>
      <c r="C616" s="249">
        <v>44348</v>
      </c>
      <c r="D616" s="250" t="s">
        <v>99</v>
      </c>
      <c r="E616" s="250" t="s">
        <v>358</v>
      </c>
      <c r="F616" s="251">
        <v>30</v>
      </c>
      <c r="G616" s="452" t="s">
        <v>1860</v>
      </c>
      <c r="H616" s="250" t="s">
        <v>127</v>
      </c>
      <c r="I616" s="250" t="s">
        <v>465</v>
      </c>
      <c r="J616" s="250" t="s">
        <v>114</v>
      </c>
      <c r="K616" s="250" t="s">
        <v>466</v>
      </c>
      <c r="L616" s="250" t="s">
        <v>467</v>
      </c>
      <c r="M616" s="277">
        <v>2802</v>
      </c>
      <c r="N616" s="278">
        <v>44417</v>
      </c>
      <c r="O616" s="329" t="s">
        <v>67</v>
      </c>
      <c r="P616" s="330">
        <f t="shared" si="31"/>
        <v>8</v>
      </c>
      <c r="Q616" s="330">
        <f t="shared" si="32"/>
        <v>6</v>
      </c>
      <c r="R616" s="331" t="str">
        <f t="shared" si="33"/>
        <v>Gastos_Gerais</v>
      </c>
      <c r="S616" s="331" t="str">
        <f>IF(D616="","",IF(OR(D616=Plano!$A$1,D616=Plano!$B$1),"entrada","saída"))</f>
        <v>saída</v>
      </c>
      <c r="T616" s="332" t="s">
        <v>114</v>
      </c>
      <c r="U616" s="332" t="s">
        <v>114</v>
      </c>
      <c r="V616" s="269"/>
      <c r="W616" s="269"/>
      <c r="X616" s="269"/>
      <c r="Y616" s="269"/>
      <c r="Z616" s="269"/>
      <c r="AA616" s="269"/>
      <c r="AB616" s="269"/>
      <c r="AC616" s="269"/>
      <c r="AD616" s="269"/>
      <c r="AE616" s="269"/>
      <c r="AF616" s="269"/>
      <c r="AG616" s="269"/>
      <c r="AH616" s="269"/>
      <c r="AI616" s="269"/>
      <c r="AJ616" s="269"/>
      <c r="AK616" s="269"/>
      <c r="AL616" s="269"/>
      <c r="AM616" s="269"/>
    </row>
    <row r="617" spans="1:39" ht="49.5" customHeight="1" x14ac:dyDescent="0.2">
      <c r="A617" s="277">
        <f>IF(B617="","",COUNT('Diário 5º PA'!$A$5:$A$2634)+COUNT('Diário 6º PA'!$A$5:$A$2246)+ROW()-4)</f>
        <v>3156</v>
      </c>
      <c r="B617" s="278">
        <v>44417</v>
      </c>
      <c r="C617" s="249">
        <v>44348</v>
      </c>
      <c r="D617" s="250" t="s">
        <v>99</v>
      </c>
      <c r="E617" s="250" t="s">
        <v>336</v>
      </c>
      <c r="F617" s="251">
        <v>15</v>
      </c>
      <c r="G617" s="452" t="s">
        <v>1861</v>
      </c>
      <c r="H617" s="250" t="s">
        <v>128</v>
      </c>
      <c r="I617" s="250" t="s">
        <v>465</v>
      </c>
      <c r="J617" s="250" t="s">
        <v>114</v>
      </c>
      <c r="K617" s="250" t="s">
        <v>466</v>
      </c>
      <c r="L617" s="250" t="s">
        <v>467</v>
      </c>
      <c r="M617" s="277">
        <v>2803</v>
      </c>
      <c r="N617" s="278">
        <v>44417</v>
      </c>
      <c r="O617" s="329" t="s">
        <v>67</v>
      </c>
      <c r="P617" s="330">
        <f t="shared" si="31"/>
        <v>8</v>
      </c>
      <c r="Q617" s="330">
        <f t="shared" si="32"/>
        <v>6</v>
      </c>
      <c r="R617" s="331" t="str">
        <f t="shared" si="33"/>
        <v>Gastos_Gerais</v>
      </c>
      <c r="S617" s="331" t="str">
        <f>IF(D617="","",IF(OR(D617=Plano!$A$1,D617=Plano!$B$1),"entrada","saída"))</f>
        <v>saída</v>
      </c>
      <c r="T617" s="332" t="s">
        <v>114</v>
      </c>
      <c r="U617" s="332" t="s">
        <v>114</v>
      </c>
      <c r="V617" s="269"/>
      <c r="W617" s="269"/>
      <c r="X617" s="269"/>
      <c r="Y617" s="269"/>
      <c r="Z617" s="269"/>
      <c r="AA617" s="269"/>
      <c r="AB617" s="269"/>
      <c r="AC617" s="269"/>
      <c r="AD617" s="269"/>
      <c r="AE617" s="269"/>
      <c r="AF617" s="269"/>
      <c r="AG617" s="269"/>
      <c r="AH617" s="269"/>
      <c r="AI617" s="269"/>
      <c r="AJ617" s="269"/>
      <c r="AK617" s="269"/>
      <c r="AL617" s="269"/>
      <c r="AM617" s="269"/>
    </row>
    <row r="618" spans="1:39" ht="42" customHeight="1" x14ac:dyDescent="0.2">
      <c r="A618" s="277">
        <f>IF(B618="","",COUNT('Diário 5º PA'!$A$5:$A$2634)+COUNT('Diário 6º PA'!$A$5:$A$2246)+ROW()-4)</f>
        <v>3157</v>
      </c>
      <c r="B618" s="278">
        <v>44417</v>
      </c>
      <c r="C618" s="249">
        <v>44348</v>
      </c>
      <c r="D618" s="250" t="s">
        <v>99</v>
      </c>
      <c r="E618" s="250" t="s">
        <v>330</v>
      </c>
      <c r="F618" s="251">
        <v>75</v>
      </c>
      <c r="G618" s="452" t="s">
        <v>1862</v>
      </c>
      <c r="H618" s="250" t="s">
        <v>128</v>
      </c>
      <c r="I618" s="252" t="s">
        <v>465</v>
      </c>
      <c r="J618" s="250" t="s">
        <v>114</v>
      </c>
      <c r="K618" s="250" t="s">
        <v>466</v>
      </c>
      <c r="L618" s="250" t="s">
        <v>467</v>
      </c>
      <c r="M618" s="277">
        <v>2804</v>
      </c>
      <c r="N618" s="278">
        <v>44417</v>
      </c>
      <c r="O618" s="329" t="s">
        <v>67</v>
      </c>
      <c r="P618" s="330">
        <f t="shared" si="31"/>
        <v>8</v>
      </c>
      <c r="Q618" s="330">
        <f t="shared" si="32"/>
        <v>6</v>
      </c>
      <c r="R618" s="331" t="str">
        <f t="shared" si="33"/>
        <v>Gastos_Gerais</v>
      </c>
      <c r="S618" s="331" t="str">
        <f>IF(D618="","",IF(OR(D618=Plano!$A$1,D618=Plano!$B$1),"entrada","saída"))</f>
        <v>saída</v>
      </c>
      <c r="T618" s="332" t="s">
        <v>114</v>
      </c>
      <c r="U618" s="332" t="s">
        <v>114</v>
      </c>
      <c r="V618" s="269"/>
      <c r="W618" s="269"/>
      <c r="X618" s="269"/>
      <c r="Y618" s="269"/>
      <c r="Z618" s="269"/>
      <c r="AA618" s="269"/>
      <c r="AB618" s="269"/>
      <c r="AC618" s="269"/>
      <c r="AD618" s="269"/>
      <c r="AE618" s="269"/>
      <c r="AF618" s="269"/>
      <c r="AG618" s="269"/>
      <c r="AH618" s="269"/>
      <c r="AI618" s="269"/>
      <c r="AJ618" s="269"/>
      <c r="AK618" s="269"/>
      <c r="AL618" s="269"/>
      <c r="AM618" s="269"/>
    </row>
    <row r="619" spans="1:39" ht="49.5" customHeight="1" x14ac:dyDescent="0.2">
      <c r="A619" s="277">
        <f>IF(B619="","",COUNT('Diário 5º PA'!$A$5:$A$2634)+COUNT('Diário 6º PA'!$A$5:$A$2246)+ROW()-4)</f>
        <v>3158</v>
      </c>
      <c r="B619" s="278">
        <v>44417</v>
      </c>
      <c r="C619" s="249">
        <v>44348</v>
      </c>
      <c r="D619" s="250" t="s">
        <v>99</v>
      </c>
      <c r="E619" s="250" t="s">
        <v>262</v>
      </c>
      <c r="F619" s="251">
        <v>75</v>
      </c>
      <c r="G619" s="452" t="s">
        <v>1863</v>
      </c>
      <c r="H619" s="250" t="s">
        <v>127</v>
      </c>
      <c r="I619" s="252" t="s">
        <v>465</v>
      </c>
      <c r="J619" s="250" t="s">
        <v>114</v>
      </c>
      <c r="K619" s="250" t="s">
        <v>466</v>
      </c>
      <c r="L619" s="250" t="s">
        <v>467</v>
      </c>
      <c r="M619" s="277">
        <v>2805</v>
      </c>
      <c r="N619" s="278">
        <v>44417</v>
      </c>
      <c r="O619" s="329" t="s">
        <v>67</v>
      </c>
      <c r="P619" s="330">
        <f t="shared" si="31"/>
        <v>8</v>
      </c>
      <c r="Q619" s="330">
        <f t="shared" si="32"/>
        <v>6</v>
      </c>
      <c r="R619" s="331" t="str">
        <f t="shared" si="33"/>
        <v>Gastos_Gerais</v>
      </c>
      <c r="S619" s="331" t="str">
        <f>IF(D619="","",IF(OR(D619=Plano!$A$1,D619=Plano!$B$1),"entrada","saída"))</f>
        <v>saída</v>
      </c>
      <c r="T619" s="332" t="s">
        <v>114</v>
      </c>
      <c r="U619" s="332" t="s">
        <v>114</v>
      </c>
      <c r="V619" s="269"/>
      <c r="W619" s="269"/>
      <c r="X619" s="269"/>
      <c r="Y619" s="269"/>
      <c r="Z619" s="269"/>
      <c r="AA619" s="269"/>
      <c r="AB619" s="269"/>
      <c r="AC619" s="269"/>
      <c r="AD619" s="269"/>
      <c r="AE619" s="269"/>
      <c r="AF619" s="269"/>
      <c r="AG619" s="269"/>
      <c r="AH619" s="269"/>
      <c r="AI619" s="269"/>
      <c r="AJ619" s="269"/>
      <c r="AK619" s="269"/>
      <c r="AL619" s="269"/>
      <c r="AM619" s="269"/>
    </row>
    <row r="620" spans="1:39" ht="42.75" customHeight="1" x14ac:dyDescent="0.2">
      <c r="A620" s="277">
        <f>IF(B620="","",COUNT('Diário 5º PA'!$A$5:$A$2634)+COUNT('Diário 6º PA'!$A$5:$A$2246)+ROW()-4)</f>
        <v>3159</v>
      </c>
      <c r="B620" s="278">
        <v>44417</v>
      </c>
      <c r="C620" s="249">
        <v>44317</v>
      </c>
      <c r="D620" s="250" t="s">
        <v>99</v>
      </c>
      <c r="E620" s="250" t="s">
        <v>364</v>
      </c>
      <c r="F620" s="251">
        <v>250</v>
      </c>
      <c r="G620" s="452" t="s">
        <v>1864</v>
      </c>
      <c r="H620" s="250" t="s">
        <v>131</v>
      </c>
      <c r="I620" s="250" t="s">
        <v>465</v>
      </c>
      <c r="J620" s="250" t="s">
        <v>114</v>
      </c>
      <c r="K620" s="250" t="s">
        <v>466</v>
      </c>
      <c r="L620" s="250" t="s">
        <v>467</v>
      </c>
      <c r="M620" s="277">
        <v>2806</v>
      </c>
      <c r="N620" s="278">
        <v>44417</v>
      </c>
      <c r="O620" s="329" t="s">
        <v>67</v>
      </c>
      <c r="P620" s="330">
        <f t="shared" si="31"/>
        <v>8</v>
      </c>
      <c r="Q620" s="330">
        <f t="shared" si="32"/>
        <v>5</v>
      </c>
      <c r="R620" s="331" t="str">
        <f t="shared" si="33"/>
        <v>Gastos_Gerais</v>
      </c>
      <c r="S620" s="331" t="str">
        <f>IF(D620="","",IF(OR(D620=Plano!$A$1,D620=Plano!$B$1),"entrada","saída"))</f>
        <v>saída</v>
      </c>
      <c r="T620" s="332" t="s">
        <v>114</v>
      </c>
      <c r="U620" s="332" t="s">
        <v>114</v>
      </c>
      <c r="V620" s="269"/>
      <c r="W620" s="269"/>
      <c r="X620" s="269"/>
      <c r="Y620" s="269"/>
      <c r="Z620" s="269"/>
      <c r="AA620" s="269"/>
      <c r="AB620" s="269"/>
      <c r="AC620" s="269"/>
      <c r="AD620" s="269"/>
      <c r="AE620" s="269"/>
      <c r="AF620" s="269"/>
      <c r="AG620" s="269"/>
      <c r="AH620" s="269"/>
      <c r="AI620" s="269"/>
      <c r="AJ620" s="269"/>
      <c r="AK620" s="269"/>
      <c r="AL620" s="269"/>
      <c r="AM620" s="269"/>
    </row>
    <row r="621" spans="1:39" ht="51.75" customHeight="1" x14ac:dyDescent="0.2">
      <c r="A621" s="277">
        <f>IF(B621="","",COUNT('Diário 5º PA'!$A$5:$A$2634)+COUNT('Diário 6º PA'!$A$5:$A$2246)+ROW()-4)</f>
        <v>3160</v>
      </c>
      <c r="B621" s="278">
        <v>44417</v>
      </c>
      <c r="C621" s="249">
        <v>44348</v>
      </c>
      <c r="D621" s="250" t="s">
        <v>99</v>
      </c>
      <c r="E621" s="250" t="s">
        <v>358</v>
      </c>
      <c r="F621" s="251">
        <v>72</v>
      </c>
      <c r="G621" s="452" t="s">
        <v>1865</v>
      </c>
      <c r="H621" s="250" t="s">
        <v>127</v>
      </c>
      <c r="I621" s="250" t="s">
        <v>465</v>
      </c>
      <c r="J621" s="250" t="s">
        <v>114</v>
      </c>
      <c r="K621" s="250" t="s">
        <v>466</v>
      </c>
      <c r="L621" s="250" t="s">
        <v>467</v>
      </c>
      <c r="M621" s="277">
        <v>2807</v>
      </c>
      <c r="N621" s="278">
        <v>44417</v>
      </c>
      <c r="O621" s="329" t="s">
        <v>67</v>
      </c>
      <c r="P621" s="330">
        <f t="shared" si="31"/>
        <v>8</v>
      </c>
      <c r="Q621" s="330">
        <f t="shared" si="32"/>
        <v>6</v>
      </c>
      <c r="R621" s="331" t="str">
        <f t="shared" si="33"/>
        <v>Gastos_Gerais</v>
      </c>
      <c r="S621" s="331" t="str">
        <f>IF(D621="","",IF(OR(D621=Plano!$A$1,D621=Plano!$B$1),"entrada","saída"))</f>
        <v>saída</v>
      </c>
      <c r="T621" s="332" t="s">
        <v>114</v>
      </c>
      <c r="U621" s="332" t="s">
        <v>114</v>
      </c>
      <c r="V621" s="269"/>
      <c r="W621" s="269"/>
      <c r="X621" s="269"/>
      <c r="Y621" s="269"/>
      <c r="Z621" s="269"/>
      <c r="AA621" s="269"/>
      <c r="AB621" s="269"/>
      <c r="AC621" s="269"/>
      <c r="AD621" s="269"/>
      <c r="AE621" s="269"/>
      <c r="AF621" s="269"/>
      <c r="AG621" s="269"/>
      <c r="AH621" s="269"/>
      <c r="AI621" s="269"/>
      <c r="AJ621" s="269"/>
      <c r="AK621" s="269"/>
      <c r="AL621" s="269"/>
      <c r="AM621" s="269"/>
    </row>
    <row r="622" spans="1:39" ht="47.25" customHeight="1" x14ac:dyDescent="0.2">
      <c r="A622" s="277">
        <f>IF(B622="","",COUNT('Diário 5º PA'!$A$5:$A$2634)+COUNT('Diário 6º PA'!$A$5:$A$2246)+ROW()-4)</f>
        <v>3161</v>
      </c>
      <c r="B622" s="278">
        <v>44417</v>
      </c>
      <c r="C622" s="249">
        <v>44348</v>
      </c>
      <c r="D622" s="250" t="s">
        <v>99</v>
      </c>
      <c r="E622" s="250" t="s">
        <v>262</v>
      </c>
      <c r="F622" s="251">
        <v>60</v>
      </c>
      <c r="G622" s="452" t="s">
        <v>1866</v>
      </c>
      <c r="H622" s="250" t="s">
        <v>115</v>
      </c>
      <c r="I622" s="250" t="s">
        <v>465</v>
      </c>
      <c r="J622" s="250" t="s">
        <v>114</v>
      </c>
      <c r="K622" s="250" t="s">
        <v>466</v>
      </c>
      <c r="L622" s="250" t="s">
        <v>467</v>
      </c>
      <c r="M622" s="277">
        <v>2808</v>
      </c>
      <c r="N622" s="278">
        <v>44417</v>
      </c>
      <c r="O622" s="329" t="s">
        <v>67</v>
      </c>
      <c r="P622" s="330">
        <f t="shared" si="31"/>
        <v>8</v>
      </c>
      <c r="Q622" s="330">
        <f t="shared" si="32"/>
        <v>6</v>
      </c>
      <c r="R622" s="331" t="str">
        <f t="shared" si="33"/>
        <v>Gastos_Gerais</v>
      </c>
      <c r="S622" s="331" t="str">
        <f>IF(D622="","",IF(OR(D622=Plano!$A$1,D622=Plano!$B$1),"entrada","saída"))</f>
        <v>saída</v>
      </c>
      <c r="T622" s="332" t="s">
        <v>114</v>
      </c>
      <c r="U622" s="332" t="s">
        <v>114</v>
      </c>
      <c r="V622" s="269"/>
      <c r="W622" s="269"/>
      <c r="X622" s="269"/>
      <c r="Y622" s="269"/>
      <c r="Z622" s="269"/>
      <c r="AA622" s="269"/>
      <c r="AB622" s="269"/>
      <c r="AC622" s="269"/>
      <c r="AD622" s="269"/>
      <c r="AE622" s="269"/>
      <c r="AF622" s="269"/>
      <c r="AG622" s="269"/>
      <c r="AH622" s="269"/>
      <c r="AI622" s="269"/>
      <c r="AJ622" s="269"/>
      <c r="AK622" s="269"/>
      <c r="AL622" s="269"/>
      <c r="AM622" s="269"/>
    </row>
    <row r="623" spans="1:39" ht="43.5" customHeight="1" x14ac:dyDescent="0.2">
      <c r="A623" s="277">
        <f>IF(B623="","",COUNT('Diário 5º PA'!$A$5:$A$2634)+COUNT('Diário 6º PA'!$A$5:$A$2246)+ROW()-4)</f>
        <v>3162</v>
      </c>
      <c r="B623" s="278">
        <v>44417</v>
      </c>
      <c r="C623" s="249">
        <v>44287</v>
      </c>
      <c r="D623" s="250" t="s">
        <v>99</v>
      </c>
      <c r="E623" s="250" t="s">
        <v>340</v>
      </c>
      <c r="F623" s="251">
        <v>54</v>
      </c>
      <c r="G623" s="452" t="s">
        <v>1867</v>
      </c>
      <c r="H623" s="250" t="s">
        <v>125</v>
      </c>
      <c r="I623" s="252" t="s">
        <v>465</v>
      </c>
      <c r="J623" s="250" t="s">
        <v>114</v>
      </c>
      <c r="K623" s="250" t="s">
        <v>466</v>
      </c>
      <c r="L623" s="250" t="s">
        <v>467</v>
      </c>
      <c r="M623" s="277">
        <v>2809</v>
      </c>
      <c r="N623" s="278">
        <v>44417</v>
      </c>
      <c r="O623" s="329" t="s">
        <v>67</v>
      </c>
      <c r="P623" s="330">
        <f t="shared" si="31"/>
        <v>8</v>
      </c>
      <c r="Q623" s="330">
        <f t="shared" si="32"/>
        <v>4</v>
      </c>
      <c r="R623" s="331" t="str">
        <f t="shared" si="33"/>
        <v>Gastos_Gerais</v>
      </c>
      <c r="S623" s="331" t="str">
        <f>IF(D623="","",IF(OR(D623=Plano!$A$1,D623=Plano!$B$1),"entrada","saída"))</f>
        <v>saída</v>
      </c>
      <c r="T623" s="332" t="s">
        <v>114</v>
      </c>
      <c r="U623" s="332" t="s">
        <v>114</v>
      </c>
      <c r="V623" s="269"/>
      <c r="W623" s="269"/>
      <c r="X623" s="269"/>
      <c r="Y623" s="269"/>
      <c r="Z623" s="269"/>
      <c r="AA623" s="269"/>
      <c r="AB623" s="269"/>
      <c r="AC623" s="269"/>
      <c r="AD623" s="269"/>
      <c r="AE623" s="269"/>
      <c r="AF623" s="269"/>
      <c r="AG623" s="269"/>
      <c r="AH623" s="269"/>
      <c r="AI623" s="269"/>
      <c r="AJ623" s="269"/>
      <c r="AK623" s="269"/>
      <c r="AL623" s="269"/>
      <c r="AM623" s="269"/>
    </row>
    <row r="624" spans="1:39" ht="32.25" customHeight="1" x14ac:dyDescent="0.2">
      <c r="A624" s="277">
        <f>IF(B624="","",COUNT('Diário 5º PA'!$A$5:$A$2634)+COUNT('Diário 6º PA'!$A$5:$A$2246)+ROW()-4)</f>
        <v>3163</v>
      </c>
      <c r="B624" s="278">
        <v>44417</v>
      </c>
      <c r="C624" s="249">
        <v>44348</v>
      </c>
      <c r="D624" s="250" t="s">
        <v>99</v>
      </c>
      <c r="E624" s="250" t="s">
        <v>330</v>
      </c>
      <c r="F624" s="251">
        <v>210</v>
      </c>
      <c r="G624" s="452" t="s">
        <v>1868</v>
      </c>
      <c r="H624" s="250" t="s">
        <v>123</v>
      </c>
      <c r="I624" s="252" t="s">
        <v>465</v>
      </c>
      <c r="J624" s="250" t="s">
        <v>114</v>
      </c>
      <c r="K624" s="250" t="s">
        <v>466</v>
      </c>
      <c r="L624" s="250" t="s">
        <v>467</v>
      </c>
      <c r="M624" s="277">
        <v>2810</v>
      </c>
      <c r="N624" s="278">
        <v>44417</v>
      </c>
      <c r="O624" s="329" t="s">
        <v>67</v>
      </c>
      <c r="P624" s="330">
        <f t="shared" si="31"/>
        <v>8</v>
      </c>
      <c r="Q624" s="330">
        <f t="shared" si="32"/>
        <v>6</v>
      </c>
      <c r="R624" s="331" t="str">
        <f t="shared" si="33"/>
        <v>Gastos_Gerais</v>
      </c>
      <c r="S624" s="331" t="str">
        <f>IF(D624="","",IF(OR(D624=Plano!$A$1,D624=Plano!$B$1),"entrada","saída"))</f>
        <v>saída</v>
      </c>
      <c r="T624" s="332" t="s">
        <v>114</v>
      </c>
      <c r="U624" s="332" t="s">
        <v>114</v>
      </c>
      <c r="V624" s="269"/>
      <c r="W624" s="269"/>
      <c r="X624" s="269"/>
      <c r="Y624" s="269"/>
      <c r="Z624" s="269"/>
      <c r="AA624" s="269"/>
      <c r="AB624" s="269"/>
      <c r="AC624" s="269"/>
      <c r="AD624" s="269"/>
      <c r="AE624" s="269"/>
      <c r="AF624" s="269"/>
      <c r="AG624" s="269"/>
      <c r="AH624" s="269"/>
      <c r="AI624" s="269"/>
      <c r="AJ624" s="269"/>
      <c r="AK624" s="269"/>
      <c r="AL624" s="269"/>
      <c r="AM624" s="269"/>
    </row>
    <row r="625" spans="1:39" ht="41.25" customHeight="1" x14ac:dyDescent="0.2">
      <c r="A625" s="277">
        <f>IF(B625="","",COUNT('Diário 5º PA'!$A$5:$A$2634)+COUNT('Diário 6º PA'!$A$5:$A$2246)+ROW()-4)</f>
        <v>3164</v>
      </c>
      <c r="B625" s="278">
        <v>44417</v>
      </c>
      <c r="C625" s="249">
        <v>44348</v>
      </c>
      <c r="D625" s="250" t="s">
        <v>99</v>
      </c>
      <c r="E625" s="250" t="s">
        <v>364</v>
      </c>
      <c r="F625" s="251">
        <v>108</v>
      </c>
      <c r="G625" s="452" t="s">
        <v>1869</v>
      </c>
      <c r="H625" s="250" t="s">
        <v>125</v>
      </c>
      <c r="I625" s="250" t="s">
        <v>465</v>
      </c>
      <c r="J625" s="250" t="s">
        <v>114</v>
      </c>
      <c r="K625" s="250" t="s">
        <v>466</v>
      </c>
      <c r="L625" s="250" t="s">
        <v>467</v>
      </c>
      <c r="M625" s="277">
        <v>2811</v>
      </c>
      <c r="N625" s="278">
        <v>44417</v>
      </c>
      <c r="O625" s="329" t="s">
        <v>67</v>
      </c>
      <c r="P625" s="330">
        <f t="shared" si="31"/>
        <v>8</v>
      </c>
      <c r="Q625" s="330">
        <f t="shared" si="32"/>
        <v>6</v>
      </c>
      <c r="R625" s="331" t="str">
        <f t="shared" si="33"/>
        <v>Gastos_Gerais</v>
      </c>
      <c r="S625" s="331" t="str">
        <f>IF(D625="","",IF(OR(D625=Plano!$A$1,D625=Plano!$B$1),"entrada","saída"))</f>
        <v>saída</v>
      </c>
      <c r="T625" s="332" t="s">
        <v>114</v>
      </c>
      <c r="U625" s="332" t="s">
        <v>114</v>
      </c>
      <c r="V625" s="269"/>
      <c r="W625" s="269"/>
      <c r="X625" s="269"/>
      <c r="Y625" s="269"/>
      <c r="Z625" s="269"/>
      <c r="AA625" s="269"/>
      <c r="AB625" s="269"/>
      <c r="AC625" s="269"/>
      <c r="AD625" s="269"/>
      <c r="AE625" s="269"/>
      <c r="AF625" s="269"/>
      <c r="AG625" s="269"/>
      <c r="AH625" s="269"/>
      <c r="AI625" s="269"/>
      <c r="AJ625" s="269"/>
      <c r="AK625" s="269"/>
      <c r="AL625" s="269"/>
      <c r="AM625" s="269"/>
    </row>
    <row r="626" spans="1:39" ht="48.75" customHeight="1" x14ac:dyDescent="0.2">
      <c r="A626" s="277">
        <f>IF(B626="","",COUNT('Diário 5º PA'!$A$5:$A$2634)+COUNT('Diário 6º PA'!$A$5:$A$2246)+ROW()-4)</f>
        <v>3165</v>
      </c>
      <c r="B626" s="278">
        <v>44417</v>
      </c>
      <c r="C626" s="249">
        <v>44378</v>
      </c>
      <c r="D626" s="250" t="s">
        <v>99</v>
      </c>
      <c r="E626" s="250" t="s">
        <v>370</v>
      </c>
      <c r="F626" s="251">
        <v>80</v>
      </c>
      <c r="G626" s="452" t="s">
        <v>1870</v>
      </c>
      <c r="H626" s="250" t="s">
        <v>118</v>
      </c>
      <c r="I626" s="250" t="s">
        <v>465</v>
      </c>
      <c r="J626" s="250" t="s">
        <v>114</v>
      </c>
      <c r="K626" s="250" t="s">
        <v>466</v>
      </c>
      <c r="L626" s="250" t="s">
        <v>467</v>
      </c>
      <c r="M626" s="277">
        <v>2812</v>
      </c>
      <c r="N626" s="278">
        <v>44417</v>
      </c>
      <c r="O626" s="329" t="s">
        <v>67</v>
      </c>
      <c r="P626" s="330">
        <f t="shared" si="31"/>
        <v>8</v>
      </c>
      <c r="Q626" s="330">
        <f t="shared" si="32"/>
        <v>7</v>
      </c>
      <c r="R626" s="331" t="str">
        <f t="shared" si="33"/>
        <v>Gastos_Gerais</v>
      </c>
      <c r="S626" s="331" t="str">
        <f>IF(D626="","",IF(OR(D626=Plano!$A$1,D626=Plano!$B$1),"entrada","saída"))</f>
        <v>saída</v>
      </c>
      <c r="T626" s="332" t="s">
        <v>114</v>
      </c>
      <c r="U626" s="332" t="s">
        <v>114</v>
      </c>
      <c r="V626" s="269"/>
      <c r="W626" s="269"/>
      <c r="X626" s="269"/>
      <c r="Y626" s="269"/>
      <c r="Z626" s="269"/>
      <c r="AA626" s="269"/>
      <c r="AB626" s="269"/>
      <c r="AC626" s="269"/>
      <c r="AD626" s="269"/>
      <c r="AE626" s="269"/>
      <c r="AF626" s="269"/>
      <c r="AG626" s="269"/>
      <c r="AH626" s="269"/>
      <c r="AI626" s="269"/>
      <c r="AJ626" s="269"/>
      <c r="AK626" s="269"/>
      <c r="AL626" s="269"/>
      <c r="AM626" s="269"/>
    </row>
    <row r="627" spans="1:39" ht="36" customHeight="1" x14ac:dyDescent="0.2">
      <c r="A627" s="277">
        <f>IF(B627="","",COUNT('Diário 5º PA'!$A$5:$A$2634)+COUNT('Diário 6º PA'!$A$5:$A$2246)+ROW()-4)</f>
        <v>3166</v>
      </c>
      <c r="B627" s="278">
        <v>44417</v>
      </c>
      <c r="C627" s="249">
        <v>44348</v>
      </c>
      <c r="D627" s="250" t="s">
        <v>99</v>
      </c>
      <c r="E627" s="250" t="s">
        <v>336</v>
      </c>
      <c r="F627" s="251">
        <v>9</v>
      </c>
      <c r="G627" s="452" t="s">
        <v>1871</v>
      </c>
      <c r="H627" s="250" t="s">
        <v>123</v>
      </c>
      <c r="I627" s="252" t="s">
        <v>465</v>
      </c>
      <c r="J627" s="250" t="s">
        <v>114</v>
      </c>
      <c r="K627" s="250" t="s">
        <v>466</v>
      </c>
      <c r="L627" s="250" t="s">
        <v>467</v>
      </c>
      <c r="M627" s="277">
        <v>2813</v>
      </c>
      <c r="N627" s="278">
        <v>44417</v>
      </c>
      <c r="O627" s="329" t="s">
        <v>67</v>
      </c>
      <c r="P627" s="330">
        <f t="shared" si="31"/>
        <v>8</v>
      </c>
      <c r="Q627" s="330">
        <f t="shared" si="32"/>
        <v>6</v>
      </c>
      <c r="R627" s="331" t="str">
        <f t="shared" si="33"/>
        <v>Gastos_Gerais</v>
      </c>
      <c r="S627" s="331" t="str">
        <f>IF(D627="","",IF(OR(D627=Plano!$A$1,D627=Plano!$B$1),"entrada","saída"))</f>
        <v>saída</v>
      </c>
      <c r="T627" s="332" t="s">
        <v>114</v>
      </c>
      <c r="U627" s="332" t="s">
        <v>114</v>
      </c>
      <c r="V627" s="269"/>
      <c r="W627" s="269"/>
      <c r="X627" s="269"/>
      <c r="Y627" s="269"/>
      <c r="Z627" s="269"/>
      <c r="AA627" s="269"/>
      <c r="AB627" s="269"/>
      <c r="AC627" s="269"/>
      <c r="AD627" s="269"/>
      <c r="AE627" s="269"/>
      <c r="AF627" s="269"/>
      <c r="AG627" s="269"/>
      <c r="AH627" s="269"/>
      <c r="AI627" s="269"/>
      <c r="AJ627" s="269"/>
      <c r="AK627" s="269"/>
      <c r="AL627" s="269"/>
      <c r="AM627" s="269"/>
    </row>
    <row r="628" spans="1:39" ht="36.75" customHeight="1" x14ac:dyDescent="0.2">
      <c r="A628" s="277">
        <f>IF(B628="","",COUNT('Diário 5º PA'!$A$5:$A$2634)+COUNT('Diário 6º PA'!$A$5:$A$2246)+ROW()-4)</f>
        <v>3167</v>
      </c>
      <c r="B628" s="278">
        <v>44417</v>
      </c>
      <c r="C628" s="249">
        <v>44378</v>
      </c>
      <c r="D628" s="250" t="s">
        <v>99</v>
      </c>
      <c r="E628" s="250" t="s">
        <v>336</v>
      </c>
      <c r="F628" s="251">
        <v>30</v>
      </c>
      <c r="G628" s="452" t="s">
        <v>1872</v>
      </c>
      <c r="H628" s="250" t="s">
        <v>117</v>
      </c>
      <c r="I628" s="250" t="s">
        <v>465</v>
      </c>
      <c r="J628" s="250" t="s">
        <v>114</v>
      </c>
      <c r="K628" s="250" t="s">
        <v>466</v>
      </c>
      <c r="L628" s="250" t="s">
        <v>467</v>
      </c>
      <c r="M628" s="277">
        <v>2814</v>
      </c>
      <c r="N628" s="278">
        <v>44417</v>
      </c>
      <c r="O628" s="329" t="s">
        <v>67</v>
      </c>
      <c r="P628" s="330">
        <f t="shared" si="31"/>
        <v>8</v>
      </c>
      <c r="Q628" s="330">
        <f t="shared" si="32"/>
        <v>7</v>
      </c>
      <c r="R628" s="331" t="str">
        <f t="shared" si="33"/>
        <v>Gastos_Gerais</v>
      </c>
      <c r="S628" s="331" t="str">
        <f>IF(D628="","",IF(OR(D628=Plano!$A$1,D628=Plano!$B$1),"entrada","saída"))</f>
        <v>saída</v>
      </c>
      <c r="T628" s="332" t="s">
        <v>114</v>
      </c>
      <c r="U628" s="332" t="s">
        <v>114</v>
      </c>
      <c r="V628" s="269"/>
      <c r="W628" s="269"/>
      <c r="X628" s="269"/>
      <c r="Y628" s="269"/>
      <c r="Z628" s="269"/>
      <c r="AA628" s="269"/>
      <c r="AB628" s="269"/>
      <c r="AC628" s="269"/>
      <c r="AD628" s="269"/>
      <c r="AE628" s="269"/>
      <c r="AF628" s="269"/>
      <c r="AG628" s="269"/>
      <c r="AH628" s="269"/>
      <c r="AI628" s="269"/>
      <c r="AJ628" s="269"/>
      <c r="AK628" s="269"/>
      <c r="AL628" s="269"/>
      <c r="AM628" s="269"/>
    </row>
    <row r="629" spans="1:39" ht="43.5" customHeight="1" x14ac:dyDescent="0.2">
      <c r="A629" s="277">
        <f>IF(B629="","",COUNT('Diário 5º PA'!$A$5:$A$2634)+COUNT('Diário 6º PA'!$A$5:$A$2246)+ROW()-4)</f>
        <v>3168</v>
      </c>
      <c r="B629" s="278">
        <v>44417</v>
      </c>
      <c r="C629" s="249">
        <v>44348</v>
      </c>
      <c r="D629" s="250" t="s">
        <v>99</v>
      </c>
      <c r="E629" s="250" t="s">
        <v>352</v>
      </c>
      <c r="F629" s="251">
        <v>70.349999999999994</v>
      </c>
      <c r="G629" s="452" t="s">
        <v>1873</v>
      </c>
      <c r="H629" s="250" t="s">
        <v>132</v>
      </c>
      <c r="I629" s="250" t="s">
        <v>465</v>
      </c>
      <c r="J629" s="250" t="s">
        <v>114</v>
      </c>
      <c r="K629" s="250" t="s">
        <v>466</v>
      </c>
      <c r="L629" s="250" t="s">
        <v>467</v>
      </c>
      <c r="M629" s="277">
        <v>2815</v>
      </c>
      <c r="N629" s="278">
        <v>44417</v>
      </c>
      <c r="O629" s="329" t="s">
        <v>67</v>
      </c>
      <c r="P629" s="330">
        <f t="shared" si="31"/>
        <v>8</v>
      </c>
      <c r="Q629" s="330">
        <f t="shared" si="32"/>
        <v>6</v>
      </c>
      <c r="R629" s="331" t="str">
        <f t="shared" si="33"/>
        <v>Gastos_Gerais</v>
      </c>
      <c r="S629" s="331" t="str">
        <f>IF(D629="","",IF(OR(D629=Plano!$A$1,D629=Plano!$B$1),"entrada","saída"))</f>
        <v>saída</v>
      </c>
      <c r="T629" s="332" t="s">
        <v>114</v>
      </c>
      <c r="U629" s="332" t="s">
        <v>114</v>
      </c>
      <c r="V629" s="269"/>
      <c r="W629" s="269"/>
      <c r="X629" s="269"/>
      <c r="Y629" s="269"/>
      <c r="Z629" s="269"/>
      <c r="AA629" s="269"/>
      <c r="AB629" s="269"/>
      <c r="AC629" s="269"/>
      <c r="AD629" s="269"/>
      <c r="AE629" s="269"/>
      <c r="AF629" s="269"/>
      <c r="AG629" s="269"/>
      <c r="AH629" s="269"/>
      <c r="AI629" s="269"/>
      <c r="AJ629" s="269"/>
      <c r="AK629" s="269"/>
      <c r="AL629" s="269"/>
      <c r="AM629" s="269"/>
    </row>
    <row r="630" spans="1:39" ht="45" customHeight="1" x14ac:dyDescent="0.2">
      <c r="A630" s="277">
        <f>IF(B630="","",COUNT('Diário 5º PA'!$A$5:$A$2634)+COUNT('Diário 6º PA'!$A$5:$A$2246)+ROW()-4)</f>
        <v>3169</v>
      </c>
      <c r="B630" s="278">
        <v>44417</v>
      </c>
      <c r="C630" s="249">
        <v>44348</v>
      </c>
      <c r="D630" s="250" t="s">
        <v>99</v>
      </c>
      <c r="E630" s="250" t="s">
        <v>364</v>
      </c>
      <c r="F630" s="251">
        <v>53.77</v>
      </c>
      <c r="G630" s="452" t="s">
        <v>1874</v>
      </c>
      <c r="H630" s="250" t="s">
        <v>131</v>
      </c>
      <c r="I630" s="250" t="s">
        <v>465</v>
      </c>
      <c r="J630" s="250" t="s">
        <v>114</v>
      </c>
      <c r="K630" s="250" t="s">
        <v>466</v>
      </c>
      <c r="L630" s="250" t="s">
        <v>467</v>
      </c>
      <c r="M630" s="277">
        <v>2816</v>
      </c>
      <c r="N630" s="278">
        <v>44417</v>
      </c>
      <c r="O630" s="329" t="s">
        <v>67</v>
      </c>
      <c r="P630" s="330">
        <f t="shared" si="31"/>
        <v>8</v>
      </c>
      <c r="Q630" s="330">
        <f t="shared" si="32"/>
        <v>6</v>
      </c>
      <c r="R630" s="331" t="str">
        <f t="shared" si="33"/>
        <v>Gastos_Gerais</v>
      </c>
      <c r="S630" s="331" t="str">
        <f>IF(D630="","",IF(OR(D630=Plano!$A$1,D630=Plano!$B$1),"entrada","saída"))</f>
        <v>saída</v>
      </c>
      <c r="T630" s="332" t="s">
        <v>114</v>
      </c>
      <c r="U630" s="332" t="s">
        <v>114</v>
      </c>
      <c r="V630" s="269"/>
      <c r="W630" s="269"/>
      <c r="X630" s="269"/>
      <c r="Y630" s="269"/>
      <c r="Z630" s="269"/>
      <c r="AA630" s="269"/>
      <c r="AB630" s="269"/>
      <c r="AC630" s="269"/>
      <c r="AD630" s="269"/>
      <c r="AE630" s="269"/>
      <c r="AF630" s="269"/>
      <c r="AG630" s="269"/>
      <c r="AH630" s="269"/>
      <c r="AI630" s="269"/>
      <c r="AJ630" s="269"/>
      <c r="AK630" s="269"/>
      <c r="AL630" s="269"/>
      <c r="AM630" s="269"/>
    </row>
    <row r="631" spans="1:39" ht="43.5" customHeight="1" x14ac:dyDescent="0.2">
      <c r="A631" s="277">
        <f>IF(B631="","",COUNT('Diário 5º PA'!$A$5:$A$2634)+COUNT('Diário 6º PA'!$A$5:$A$2246)+ROW()-4)</f>
        <v>3170</v>
      </c>
      <c r="B631" s="278">
        <v>44417</v>
      </c>
      <c r="C631" s="249">
        <v>44348</v>
      </c>
      <c r="D631" s="250" t="s">
        <v>99</v>
      </c>
      <c r="E631" s="250" t="s">
        <v>352</v>
      </c>
      <c r="F631" s="251">
        <v>46</v>
      </c>
      <c r="G631" s="452" t="s">
        <v>1875</v>
      </c>
      <c r="H631" s="250" t="s">
        <v>131</v>
      </c>
      <c r="I631" s="252" t="s">
        <v>465</v>
      </c>
      <c r="J631" s="250" t="s">
        <v>114</v>
      </c>
      <c r="K631" s="250" t="s">
        <v>466</v>
      </c>
      <c r="L631" s="250" t="s">
        <v>467</v>
      </c>
      <c r="M631" s="277">
        <v>2817</v>
      </c>
      <c r="N631" s="278">
        <v>44417</v>
      </c>
      <c r="O631" s="329" t="s">
        <v>67</v>
      </c>
      <c r="P631" s="330">
        <f t="shared" si="31"/>
        <v>8</v>
      </c>
      <c r="Q631" s="330">
        <f t="shared" si="32"/>
        <v>6</v>
      </c>
      <c r="R631" s="331" t="str">
        <f t="shared" si="33"/>
        <v>Gastos_Gerais</v>
      </c>
      <c r="S631" s="331" t="str">
        <f>IF(D631="","",IF(OR(D631=Plano!$A$1,D631=Plano!$B$1),"entrada","saída"))</f>
        <v>saída</v>
      </c>
      <c r="T631" s="332" t="s">
        <v>114</v>
      </c>
      <c r="U631" s="332" t="s">
        <v>114</v>
      </c>
      <c r="V631" s="269"/>
      <c r="W631" s="269"/>
      <c r="X631" s="269"/>
      <c r="Y631" s="269"/>
      <c r="Z631" s="269"/>
      <c r="AA631" s="269"/>
      <c r="AB631" s="269"/>
      <c r="AC631" s="269"/>
      <c r="AD631" s="269"/>
      <c r="AE631" s="269"/>
      <c r="AF631" s="269"/>
      <c r="AG631" s="269"/>
      <c r="AH631" s="269"/>
      <c r="AI631" s="269"/>
      <c r="AJ631" s="269"/>
      <c r="AK631" s="269"/>
      <c r="AL631" s="269"/>
      <c r="AM631" s="269"/>
    </row>
    <row r="632" spans="1:39" ht="40.5" customHeight="1" x14ac:dyDescent="0.2">
      <c r="A632" s="277">
        <f>IF(B632="","",COUNT('Diário 5º PA'!$A$5:$A$2634)+COUNT('Diário 6º PA'!$A$5:$A$2246)+ROW()-4)</f>
        <v>3171</v>
      </c>
      <c r="B632" s="278">
        <v>44417</v>
      </c>
      <c r="C632" s="249">
        <v>44317</v>
      </c>
      <c r="D632" s="250" t="s">
        <v>99</v>
      </c>
      <c r="E632" s="250" t="s">
        <v>340</v>
      </c>
      <c r="F632" s="251">
        <v>229.5</v>
      </c>
      <c r="G632" s="452" t="s">
        <v>1876</v>
      </c>
      <c r="H632" s="250" t="s">
        <v>125</v>
      </c>
      <c r="I632" s="250" t="s">
        <v>465</v>
      </c>
      <c r="J632" s="250" t="s">
        <v>114</v>
      </c>
      <c r="K632" s="250" t="s">
        <v>466</v>
      </c>
      <c r="L632" s="250" t="s">
        <v>467</v>
      </c>
      <c r="M632" s="277">
        <v>2818</v>
      </c>
      <c r="N632" s="278">
        <v>44417</v>
      </c>
      <c r="O632" s="329" t="s">
        <v>67</v>
      </c>
      <c r="P632" s="330">
        <f t="shared" si="31"/>
        <v>8</v>
      </c>
      <c r="Q632" s="330">
        <f t="shared" si="32"/>
        <v>5</v>
      </c>
      <c r="R632" s="331" t="str">
        <f t="shared" si="33"/>
        <v>Gastos_Gerais</v>
      </c>
      <c r="S632" s="331" t="str">
        <f>IF(D632="","",IF(OR(D632=Plano!$A$1,D632=Plano!$B$1),"entrada","saída"))</f>
        <v>saída</v>
      </c>
      <c r="T632" s="332" t="s">
        <v>114</v>
      </c>
      <c r="U632" s="332" t="s">
        <v>114</v>
      </c>
      <c r="V632" s="269"/>
      <c r="W632" s="269"/>
      <c r="X632" s="269"/>
      <c r="Y632" s="269"/>
      <c r="Z632" s="269"/>
      <c r="AA632" s="269"/>
      <c r="AB632" s="269"/>
      <c r="AC632" s="269"/>
      <c r="AD632" s="269"/>
      <c r="AE632" s="269"/>
      <c r="AF632" s="269"/>
      <c r="AG632" s="269"/>
      <c r="AH632" s="269"/>
      <c r="AI632" s="269"/>
      <c r="AJ632" s="269"/>
      <c r="AK632" s="269"/>
      <c r="AL632" s="269"/>
      <c r="AM632" s="269"/>
    </row>
    <row r="633" spans="1:39" ht="48" customHeight="1" x14ac:dyDescent="0.2">
      <c r="A633" s="277">
        <f>IF(B633="","",COUNT('Diário 5º PA'!$A$5:$A$2634)+COUNT('Diário 6º PA'!$A$5:$A$2246)+ROW()-4)</f>
        <v>3172</v>
      </c>
      <c r="B633" s="278">
        <v>44417</v>
      </c>
      <c r="C633" s="249">
        <v>44378</v>
      </c>
      <c r="D633" s="250" t="s">
        <v>99</v>
      </c>
      <c r="E633" s="250" t="s">
        <v>262</v>
      </c>
      <c r="F633" s="251">
        <v>80</v>
      </c>
      <c r="G633" s="452" t="s">
        <v>1877</v>
      </c>
      <c r="H633" s="250" t="s">
        <v>124</v>
      </c>
      <c r="I633" s="252" t="s">
        <v>465</v>
      </c>
      <c r="J633" s="250" t="s">
        <v>114</v>
      </c>
      <c r="K633" s="250" t="s">
        <v>466</v>
      </c>
      <c r="L633" s="250" t="s">
        <v>467</v>
      </c>
      <c r="M633" s="277">
        <v>2819</v>
      </c>
      <c r="N633" s="278">
        <v>44417</v>
      </c>
      <c r="O633" s="329" t="s">
        <v>67</v>
      </c>
      <c r="P633" s="330">
        <f t="shared" si="31"/>
        <v>8</v>
      </c>
      <c r="Q633" s="330">
        <f t="shared" si="32"/>
        <v>7</v>
      </c>
      <c r="R633" s="331" t="str">
        <f t="shared" si="33"/>
        <v>Gastos_Gerais</v>
      </c>
      <c r="S633" s="331" t="str">
        <f>IF(D633="","",IF(OR(D633=Plano!$A$1,D633=Plano!$B$1),"entrada","saída"))</f>
        <v>saída</v>
      </c>
      <c r="T633" s="332" t="s">
        <v>114</v>
      </c>
      <c r="U633" s="332" t="s">
        <v>114</v>
      </c>
      <c r="V633" s="269"/>
      <c r="W633" s="269"/>
      <c r="X633" s="269"/>
      <c r="Y633" s="269"/>
      <c r="Z633" s="269"/>
      <c r="AA633" s="269"/>
      <c r="AB633" s="269"/>
      <c r="AC633" s="269"/>
      <c r="AD633" s="269"/>
      <c r="AE633" s="269"/>
      <c r="AF633" s="269"/>
      <c r="AG633" s="269"/>
      <c r="AH633" s="269"/>
      <c r="AI633" s="269"/>
      <c r="AJ633" s="269"/>
      <c r="AK633" s="269"/>
      <c r="AL633" s="269"/>
      <c r="AM633" s="269"/>
    </row>
    <row r="634" spans="1:39" ht="41.25" customHeight="1" x14ac:dyDescent="0.2">
      <c r="A634" s="277">
        <f>IF(B634="","",COUNT('Diário 5º PA'!$A$5:$A$2634)+COUNT('Diário 6º PA'!$A$5:$A$2246)+ROW()-4)</f>
        <v>3173</v>
      </c>
      <c r="B634" s="278">
        <v>44417</v>
      </c>
      <c r="C634" s="249">
        <v>44348</v>
      </c>
      <c r="D634" s="250" t="s">
        <v>99</v>
      </c>
      <c r="E634" s="250" t="s">
        <v>352</v>
      </c>
      <c r="F634" s="251">
        <v>150</v>
      </c>
      <c r="G634" s="452" t="s">
        <v>1878</v>
      </c>
      <c r="H634" s="250" t="s">
        <v>131</v>
      </c>
      <c r="I634" s="252" t="s">
        <v>465</v>
      </c>
      <c r="J634" s="250" t="s">
        <v>114</v>
      </c>
      <c r="K634" s="250" t="s">
        <v>466</v>
      </c>
      <c r="L634" s="250" t="s">
        <v>467</v>
      </c>
      <c r="M634" s="277">
        <v>2820</v>
      </c>
      <c r="N634" s="278">
        <v>44417</v>
      </c>
      <c r="O634" s="329" t="s">
        <v>67</v>
      </c>
      <c r="P634" s="330">
        <f t="shared" si="31"/>
        <v>8</v>
      </c>
      <c r="Q634" s="330">
        <f t="shared" si="32"/>
        <v>6</v>
      </c>
      <c r="R634" s="331" t="str">
        <f t="shared" si="33"/>
        <v>Gastos_Gerais</v>
      </c>
      <c r="S634" s="331" t="str">
        <f>IF(D634="","",IF(OR(D634=Plano!$A$1,D634=Plano!$B$1),"entrada","saída"))</f>
        <v>saída</v>
      </c>
      <c r="T634" s="332" t="s">
        <v>114</v>
      </c>
      <c r="U634" s="332" t="s">
        <v>114</v>
      </c>
      <c r="V634" s="269"/>
      <c r="W634" s="269"/>
      <c r="X634" s="269"/>
      <c r="Y634" s="269"/>
      <c r="Z634" s="269"/>
      <c r="AA634" s="269"/>
      <c r="AB634" s="269"/>
      <c r="AC634" s="269"/>
      <c r="AD634" s="269"/>
      <c r="AE634" s="269"/>
      <c r="AF634" s="269"/>
      <c r="AG634" s="269"/>
      <c r="AH634" s="269"/>
      <c r="AI634" s="269"/>
      <c r="AJ634" s="269"/>
      <c r="AK634" s="269"/>
      <c r="AL634" s="269"/>
      <c r="AM634" s="269"/>
    </row>
    <row r="635" spans="1:39" ht="48" customHeight="1" x14ac:dyDescent="0.2">
      <c r="A635" s="277">
        <f>IF(B635="","",COUNT('Diário 5º PA'!$A$5:$A$2634)+COUNT('Diário 6º PA'!$A$5:$A$2246)+ROW()-4)</f>
        <v>3174</v>
      </c>
      <c r="B635" s="278">
        <v>44417</v>
      </c>
      <c r="C635" s="249">
        <v>44378</v>
      </c>
      <c r="D635" s="250" t="s">
        <v>99</v>
      </c>
      <c r="E635" s="250" t="s">
        <v>352</v>
      </c>
      <c r="F635" s="251">
        <v>175</v>
      </c>
      <c r="G635" s="452" t="s">
        <v>1879</v>
      </c>
      <c r="H635" s="250" t="s">
        <v>131</v>
      </c>
      <c r="I635" s="252" t="s">
        <v>465</v>
      </c>
      <c r="J635" s="250" t="s">
        <v>114</v>
      </c>
      <c r="K635" s="250" t="s">
        <v>466</v>
      </c>
      <c r="L635" s="250" t="s">
        <v>467</v>
      </c>
      <c r="M635" s="277">
        <v>2821</v>
      </c>
      <c r="N635" s="278">
        <v>44417</v>
      </c>
      <c r="O635" s="329" t="s">
        <v>67</v>
      </c>
      <c r="P635" s="330">
        <f t="shared" si="31"/>
        <v>8</v>
      </c>
      <c r="Q635" s="330">
        <f t="shared" si="32"/>
        <v>7</v>
      </c>
      <c r="R635" s="331" t="str">
        <f t="shared" si="33"/>
        <v>Gastos_Gerais</v>
      </c>
      <c r="S635" s="331" t="str">
        <f>IF(D635="","",IF(OR(D635=Plano!$A$1,D635=Plano!$B$1),"entrada","saída"))</f>
        <v>saída</v>
      </c>
      <c r="T635" s="332" t="s">
        <v>114</v>
      </c>
      <c r="U635" s="332" t="s">
        <v>114</v>
      </c>
      <c r="V635" s="269"/>
      <c r="W635" s="269"/>
      <c r="X635" s="269"/>
      <c r="Y635" s="269"/>
      <c r="Z635" s="269"/>
      <c r="AA635" s="269"/>
      <c r="AB635" s="269"/>
      <c r="AC635" s="269"/>
      <c r="AD635" s="269"/>
      <c r="AE635" s="269"/>
      <c r="AF635" s="269"/>
      <c r="AG635" s="269"/>
      <c r="AH635" s="269"/>
      <c r="AI635" s="269"/>
      <c r="AJ635" s="269"/>
      <c r="AK635" s="269"/>
      <c r="AL635" s="269"/>
      <c r="AM635" s="269"/>
    </row>
    <row r="636" spans="1:39" ht="42" customHeight="1" x14ac:dyDescent="0.2">
      <c r="A636" s="277">
        <f>IF(B636="","",COUNT('Diário 5º PA'!$A$5:$A$2634)+COUNT('Diário 6º PA'!$A$5:$A$2246)+ROW()-4)</f>
        <v>3175</v>
      </c>
      <c r="B636" s="278">
        <v>44417</v>
      </c>
      <c r="C636" s="249">
        <v>44348</v>
      </c>
      <c r="D636" s="250" t="s">
        <v>99</v>
      </c>
      <c r="E636" s="250" t="s">
        <v>370</v>
      </c>
      <c r="F636" s="251">
        <v>52.5</v>
      </c>
      <c r="G636" s="452" t="s">
        <v>1880</v>
      </c>
      <c r="H636" s="250" t="s">
        <v>125</v>
      </c>
      <c r="I636" s="252" t="s">
        <v>465</v>
      </c>
      <c r="J636" s="250" t="s">
        <v>114</v>
      </c>
      <c r="K636" s="250" t="s">
        <v>466</v>
      </c>
      <c r="L636" s="250" t="s">
        <v>467</v>
      </c>
      <c r="M636" s="277">
        <v>2822</v>
      </c>
      <c r="N636" s="278">
        <v>44417</v>
      </c>
      <c r="O636" s="329" t="s">
        <v>67</v>
      </c>
      <c r="P636" s="330">
        <f t="shared" si="31"/>
        <v>8</v>
      </c>
      <c r="Q636" s="330">
        <f t="shared" si="32"/>
        <v>6</v>
      </c>
      <c r="R636" s="331" t="str">
        <f t="shared" si="33"/>
        <v>Gastos_Gerais</v>
      </c>
      <c r="S636" s="331" t="str">
        <f>IF(D636="","",IF(OR(D636=Plano!$A$1,D636=Plano!$B$1),"entrada","saída"))</f>
        <v>saída</v>
      </c>
      <c r="T636" s="332" t="s">
        <v>114</v>
      </c>
      <c r="U636" s="332" t="s">
        <v>114</v>
      </c>
      <c r="V636" s="269"/>
      <c r="W636" s="269"/>
      <c r="X636" s="269"/>
      <c r="Y636" s="269"/>
      <c r="Z636" s="269"/>
      <c r="AA636" s="269"/>
      <c r="AB636" s="269"/>
      <c r="AC636" s="269"/>
      <c r="AD636" s="269"/>
      <c r="AE636" s="269"/>
      <c r="AF636" s="269"/>
      <c r="AG636" s="269"/>
      <c r="AH636" s="269"/>
      <c r="AI636" s="269"/>
      <c r="AJ636" s="269"/>
      <c r="AK636" s="269"/>
      <c r="AL636" s="269"/>
      <c r="AM636" s="269"/>
    </row>
    <row r="637" spans="1:39" ht="43.5" customHeight="1" x14ac:dyDescent="0.2">
      <c r="A637" s="277">
        <f>IF(B637="","",COUNT('Diário 5º PA'!$A$5:$A$2634)+COUNT('Diário 6º PA'!$A$5:$A$2246)+ROW()-4)</f>
        <v>3176</v>
      </c>
      <c r="B637" s="278">
        <v>44417</v>
      </c>
      <c r="C637" s="249">
        <v>44348</v>
      </c>
      <c r="D637" s="250" t="s">
        <v>99</v>
      </c>
      <c r="E637" s="250" t="s">
        <v>230</v>
      </c>
      <c r="F637" s="251">
        <v>258.52</v>
      </c>
      <c r="G637" s="452" t="s">
        <v>1881</v>
      </c>
      <c r="H637" s="250" t="s">
        <v>115</v>
      </c>
      <c r="I637" s="252" t="s">
        <v>465</v>
      </c>
      <c r="J637" s="250" t="s">
        <v>114</v>
      </c>
      <c r="K637" s="250" t="s">
        <v>466</v>
      </c>
      <c r="L637" s="250" t="s">
        <v>467</v>
      </c>
      <c r="M637" s="277">
        <v>2823</v>
      </c>
      <c r="N637" s="278">
        <v>44417</v>
      </c>
      <c r="O637" s="329" t="s">
        <v>67</v>
      </c>
      <c r="P637" s="330">
        <f t="shared" si="31"/>
        <v>8</v>
      </c>
      <c r="Q637" s="330">
        <f t="shared" si="32"/>
        <v>6</v>
      </c>
      <c r="R637" s="331" t="str">
        <f t="shared" si="33"/>
        <v>Gastos_Gerais</v>
      </c>
      <c r="S637" s="331" t="str">
        <f>IF(D637="","",IF(OR(D637=Plano!$A$1,D637=Plano!$B$1),"entrada","saída"))</f>
        <v>saída</v>
      </c>
      <c r="T637" s="332" t="s">
        <v>114</v>
      </c>
      <c r="U637" s="332" t="s">
        <v>114</v>
      </c>
      <c r="V637" s="269"/>
      <c r="W637" s="269"/>
      <c r="X637" s="269"/>
      <c r="Y637" s="269"/>
      <c r="Z637" s="269"/>
      <c r="AA637" s="269"/>
      <c r="AB637" s="269"/>
      <c r="AC637" s="269"/>
      <c r="AD637" s="269"/>
      <c r="AE637" s="269"/>
      <c r="AF637" s="269"/>
      <c r="AG637" s="269"/>
      <c r="AH637" s="269"/>
      <c r="AI637" s="269"/>
      <c r="AJ637" s="269"/>
      <c r="AK637" s="269"/>
      <c r="AL637" s="269"/>
      <c r="AM637" s="269"/>
    </row>
    <row r="638" spans="1:39" ht="51" customHeight="1" x14ac:dyDescent="0.2">
      <c r="A638" s="277">
        <f>IF(B638="","",COUNT('Diário 5º PA'!$A$5:$A$2634)+COUNT('Diário 6º PA'!$A$5:$A$2246)+ROW()-4)</f>
        <v>3177</v>
      </c>
      <c r="B638" s="278">
        <v>44417</v>
      </c>
      <c r="C638" s="249">
        <v>44348</v>
      </c>
      <c r="D638" s="250" t="s">
        <v>99</v>
      </c>
      <c r="E638" s="250" t="s">
        <v>370</v>
      </c>
      <c r="F638" s="251">
        <v>63.84</v>
      </c>
      <c r="G638" s="452" t="s">
        <v>1882</v>
      </c>
      <c r="H638" s="250" t="s">
        <v>125</v>
      </c>
      <c r="I638" s="252" t="s">
        <v>465</v>
      </c>
      <c r="J638" s="250" t="s">
        <v>114</v>
      </c>
      <c r="K638" s="250" t="s">
        <v>466</v>
      </c>
      <c r="L638" s="250" t="s">
        <v>467</v>
      </c>
      <c r="M638" s="277">
        <v>2824</v>
      </c>
      <c r="N638" s="278">
        <v>44417</v>
      </c>
      <c r="O638" s="329" t="s">
        <v>67</v>
      </c>
      <c r="P638" s="330">
        <f t="shared" si="31"/>
        <v>8</v>
      </c>
      <c r="Q638" s="330">
        <f t="shared" si="32"/>
        <v>6</v>
      </c>
      <c r="R638" s="331" t="str">
        <f t="shared" si="33"/>
        <v>Gastos_Gerais</v>
      </c>
      <c r="S638" s="331" t="str">
        <f>IF(D638="","",IF(OR(D638=Plano!$A$1,D638=Plano!$B$1),"entrada","saída"))</f>
        <v>saída</v>
      </c>
      <c r="T638" s="332" t="s">
        <v>114</v>
      </c>
      <c r="U638" s="332" t="s">
        <v>114</v>
      </c>
      <c r="V638" s="269"/>
      <c r="W638" s="269"/>
      <c r="X638" s="269"/>
      <c r="Y638" s="269"/>
      <c r="Z638" s="269"/>
      <c r="AA638" s="269"/>
      <c r="AB638" s="269"/>
      <c r="AC638" s="269"/>
      <c r="AD638" s="269"/>
      <c r="AE638" s="269"/>
      <c r="AF638" s="269"/>
      <c r="AG638" s="269"/>
      <c r="AH638" s="269"/>
      <c r="AI638" s="269"/>
      <c r="AJ638" s="269"/>
      <c r="AK638" s="269"/>
      <c r="AL638" s="269"/>
      <c r="AM638" s="269"/>
    </row>
    <row r="639" spans="1:39" ht="46.5" customHeight="1" x14ac:dyDescent="0.2">
      <c r="A639" s="277">
        <f>IF(B639="","",COUNT('Diário 5º PA'!$A$5:$A$2634)+COUNT('Diário 6º PA'!$A$5:$A$2246)+ROW()-4)</f>
        <v>3178</v>
      </c>
      <c r="B639" s="278">
        <v>44417</v>
      </c>
      <c r="C639" s="249">
        <v>44348</v>
      </c>
      <c r="D639" s="250" t="s">
        <v>99</v>
      </c>
      <c r="E639" s="250" t="s">
        <v>364</v>
      </c>
      <c r="F639" s="251">
        <v>70.349999999999994</v>
      </c>
      <c r="G639" s="452" t="s">
        <v>1883</v>
      </c>
      <c r="H639" s="250" t="s">
        <v>132</v>
      </c>
      <c r="I639" s="250" t="s">
        <v>465</v>
      </c>
      <c r="J639" s="250" t="s">
        <v>114</v>
      </c>
      <c r="K639" s="250" t="s">
        <v>466</v>
      </c>
      <c r="L639" s="250" t="s">
        <v>467</v>
      </c>
      <c r="M639" s="277">
        <v>2825</v>
      </c>
      <c r="N639" s="278">
        <v>44417</v>
      </c>
      <c r="O639" s="329" t="s">
        <v>67</v>
      </c>
      <c r="P639" s="330">
        <f t="shared" si="31"/>
        <v>8</v>
      </c>
      <c r="Q639" s="330">
        <f t="shared" si="32"/>
        <v>6</v>
      </c>
      <c r="R639" s="331" t="str">
        <f t="shared" si="33"/>
        <v>Gastos_Gerais</v>
      </c>
      <c r="S639" s="331" t="str">
        <f>IF(D639="","",IF(OR(D639=Plano!$A$1,D639=Plano!$B$1),"entrada","saída"))</f>
        <v>saída</v>
      </c>
      <c r="T639" s="332" t="s">
        <v>114</v>
      </c>
      <c r="U639" s="332" t="s">
        <v>114</v>
      </c>
      <c r="V639" s="269"/>
      <c r="W639" s="269"/>
      <c r="X639" s="269"/>
      <c r="Y639" s="269"/>
      <c r="Z639" s="269"/>
      <c r="AA639" s="269"/>
      <c r="AB639" s="269"/>
      <c r="AC639" s="269"/>
      <c r="AD639" s="269"/>
      <c r="AE639" s="269"/>
      <c r="AF639" s="269"/>
      <c r="AG639" s="269"/>
      <c r="AH639" s="269"/>
      <c r="AI639" s="269"/>
      <c r="AJ639" s="269"/>
      <c r="AK639" s="269"/>
      <c r="AL639" s="269"/>
      <c r="AM639" s="269"/>
    </row>
    <row r="640" spans="1:39" ht="44.25" customHeight="1" x14ac:dyDescent="0.2">
      <c r="A640" s="277">
        <f>IF(B640="","",COUNT('Diário 5º PA'!$A$5:$A$2634)+COUNT('Diário 6º PA'!$A$5:$A$2246)+ROW()-4)</f>
        <v>3179</v>
      </c>
      <c r="B640" s="278">
        <v>44417</v>
      </c>
      <c r="C640" s="249">
        <v>44348</v>
      </c>
      <c r="D640" s="250" t="s">
        <v>99</v>
      </c>
      <c r="E640" s="250" t="s">
        <v>352</v>
      </c>
      <c r="F640" s="251">
        <v>55.27</v>
      </c>
      <c r="G640" s="452" t="s">
        <v>1884</v>
      </c>
      <c r="H640" s="250" t="s">
        <v>132</v>
      </c>
      <c r="I640" s="250" t="s">
        <v>465</v>
      </c>
      <c r="J640" s="250" t="s">
        <v>114</v>
      </c>
      <c r="K640" s="250" t="s">
        <v>466</v>
      </c>
      <c r="L640" s="250" t="s">
        <v>467</v>
      </c>
      <c r="M640" s="277">
        <v>2826</v>
      </c>
      <c r="N640" s="278">
        <v>44417</v>
      </c>
      <c r="O640" s="329" t="s">
        <v>67</v>
      </c>
      <c r="P640" s="330">
        <f t="shared" si="31"/>
        <v>8</v>
      </c>
      <c r="Q640" s="330">
        <f t="shared" si="32"/>
        <v>6</v>
      </c>
      <c r="R640" s="331" t="str">
        <f t="shared" si="33"/>
        <v>Gastos_Gerais</v>
      </c>
      <c r="S640" s="331" t="str">
        <f>IF(D640="","",IF(OR(D640=Plano!$A$1,D640=Plano!$B$1),"entrada","saída"))</f>
        <v>saída</v>
      </c>
      <c r="T640" s="332" t="s">
        <v>114</v>
      </c>
      <c r="U640" s="332" t="s">
        <v>114</v>
      </c>
      <c r="V640" s="269"/>
      <c r="W640" s="269"/>
      <c r="X640" s="269"/>
      <c r="Y640" s="269"/>
      <c r="Z640" s="269"/>
      <c r="AA640" s="269"/>
      <c r="AB640" s="269"/>
      <c r="AC640" s="269"/>
      <c r="AD640" s="269"/>
      <c r="AE640" s="269"/>
      <c r="AF640" s="269"/>
      <c r="AG640" s="269"/>
      <c r="AH640" s="269"/>
      <c r="AI640" s="269"/>
      <c r="AJ640" s="269"/>
      <c r="AK640" s="269"/>
      <c r="AL640" s="269"/>
      <c r="AM640" s="269"/>
    </row>
    <row r="641" spans="1:39" ht="42" customHeight="1" x14ac:dyDescent="0.2">
      <c r="A641" s="277">
        <f>IF(B641="","",COUNT('Diário 5º PA'!$A$5:$A$2634)+COUNT('Diário 6º PA'!$A$5:$A$2246)+ROW()-4)</f>
        <v>3180</v>
      </c>
      <c r="B641" s="278">
        <v>44417</v>
      </c>
      <c r="C641" s="249">
        <v>44348</v>
      </c>
      <c r="D641" s="250" t="s">
        <v>99</v>
      </c>
      <c r="E641" s="250" t="s">
        <v>364</v>
      </c>
      <c r="F641" s="251">
        <v>110.55</v>
      </c>
      <c r="G641" s="452" t="s">
        <v>1885</v>
      </c>
      <c r="H641" s="250" t="s">
        <v>132</v>
      </c>
      <c r="I641" s="252" t="s">
        <v>465</v>
      </c>
      <c r="J641" s="250" t="s">
        <v>114</v>
      </c>
      <c r="K641" s="250" t="s">
        <v>466</v>
      </c>
      <c r="L641" s="250" t="s">
        <v>467</v>
      </c>
      <c r="M641" s="277">
        <v>2827</v>
      </c>
      <c r="N641" s="278">
        <v>44417</v>
      </c>
      <c r="O641" s="329" t="s">
        <v>67</v>
      </c>
      <c r="P641" s="330">
        <f t="shared" si="31"/>
        <v>8</v>
      </c>
      <c r="Q641" s="330">
        <f t="shared" si="32"/>
        <v>6</v>
      </c>
      <c r="R641" s="331" t="str">
        <f t="shared" si="33"/>
        <v>Gastos_Gerais</v>
      </c>
      <c r="S641" s="331" t="str">
        <f>IF(D641="","",IF(OR(D641=Plano!$A$1,D641=Plano!$B$1),"entrada","saída"))</f>
        <v>saída</v>
      </c>
      <c r="T641" s="332" t="s">
        <v>114</v>
      </c>
      <c r="U641" s="332" t="s">
        <v>114</v>
      </c>
      <c r="V641" s="269"/>
      <c r="W641" s="269"/>
      <c r="X641" s="269"/>
      <c r="Y641" s="269"/>
      <c r="Z641" s="269"/>
      <c r="AA641" s="269"/>
      <c r="AB641" s="269"/>
      <c r="AC641" s="269"/>
      <c r="AD641" s="269"/>
      <c r="AE641" s="269"/>
      <c r="AF641" s="269"/>
      <c r="AG641" s="269"/>
      <c r="AH641" s="269"/>
      <c r="AI641" s="269"/>
      <c r="AJ641" s="269"/>
      <c r="AK641" s="269"/>
      <c r="AL641" s="269"/>
      <c r="AM641" s="269"/>
    </row>
    <row r="642" spans="1:39" ht="32.25" customHeight="1" x14ac:dyDescent="0.2">
      <c r="A642" s="277">
        <f>IF(B642="","",COUNT('Diário 5º PA'!$A$5:$A$2634)+COUNT('Diário 6º PA'!$A$5:$A$2246)+ROW()-4)</f>
        <v>3181</v>
      </c>
      <c r="B642" s="278">
        <v>44417</v>
      </c>
      <c r="C642" s="249">
        <v>44348</v>
      </c>
      <c r="D642" s="250" t="s">
        <v>99</v>
      </c>
      <c r="E642" s="250" t="s">
        <v>364</v>
      </c>
      <c r="F642" s="251">
        <v>97.79</v>
      </c>
      <c r="G642" s="452" t="s">
        <v>1886</v>
      </c>
      <c r="H642" s="250" t="s">
        <v>123</v>
      </c>
      <c r="I642" s="250" t="s">
        <v>465</v>
      </c>
      <c r="J642" s="250" t="s">
        <v>114</v>
      </c>
      <c r="K642" s="250" t="s">
        <v>466</v>
      </c>
      <c r="L642" s="250" t="s">
        <v>467</v>
      </c>
      <c r="M642" s="277">
        <v>2828</v>
      </c>
      <c r="N642" s="278">
        <v>44417</v>
      </c>
      <c r="O642" s="329" t="s">
        <v>67</v>
      </c>
      <c r="P642" s="330">
        <f t="shared" si="31"/>
        <v>8</v>
      </c>
      <c r="Q642" s="330">
        <f t="shared" si="32"/>
        <v>6</v>
      </c>
      <c r="R642" s="331" t="str">
        <f t="shared" si="33"/>
        <v>Gastos_Gerais</v>
      </c>
      <c r="S642" s="331" t="str">
        <f>IF(D642="","",IF(OR(D642=Plano!$A$1,D642=Plano!$B$1),"entrada","saída"))</f>
        <v>saída</v>
      </c>
      <c r="T642" s="332" t="s">
        <v>114</v>
      </c>
      <c r="U642" s="332" t="s">
        <v>114</v>
      </c>
      <c r="V642" s="269"/>
      <c r="W642" s="269"/>
      <c r="X642" s="269"/>
      <c r="Y642" s="269"/>
      <c r="Z642" s="269"/>
      <c r="AA642" s="269"/>
      <c r="AB642" s="269"/>
      <c r="AC642" s="269"/>
      <c r="AD642" s="269"/>
      <c r="AE642" s="269"/>
      <c r="AF642" s="269"/>
      <c r="AG642" s="269"/>
      <c r="AH642" s="269"/>
      <c r="AI642" s="269"/>
      <c r="AJ642" s="269"/>
      <c r="AK642" s="269"/>
      <c r="AL642" s="269"/>
      <c r="AM642" s="269"/>
    </row>
    <row r="643" spans="1:39" ht="45.75" customHeight="1" x14ac:dyDescent="0.2">
      <c r="A643" s="277">
        <f>IF(B643="","",COUNT('Diário 5º PA'!$A$5:$A$2634)+COUNT('Diário 6º PA'!$A$5:$A$2246)+ROW()-4)</f>
        <v>3182</v>
      </c>
      <c r="B643" s="278">
        <v>44417</v>
      </c>
      <c r="C643" s="249">
        <v>44348</v>
      </c>
      <c r="D643" s="250" t="s">
        <v>99</v>
      </c>
      <c r="E643" s="250" t="s">
        <v>364</v>
      </c>
      <c r="F643" s="251">
        <v>94.47</v>
      </c>
      <c r="G643" s="452" t="s">
        <v>1887</v>
      </c>
      <c r="H643" s="250" t="s">
        <v>123</v>
      </c>
      <c r="I643" s="250" t="s">
        <v>465</v>
      </c>
      <c r="J643" s="250" t="s">
        <v>114</v>
      </c>
      <c r="K643" s="250" t="s">
        <v>466</v>
      </c>
      <c r="L643" s="250" t="s">
        <v>467</v>
      </c>
      <c r="M643" s="277">
        <v>2829</v>
      </c>
      <c r="N643" s="278">
        <v>44417</v>
      </c>
      <c r="O643" s="329" t="s">
        <v>67</v>
      </c>
      <c r="P643" s="330">
        <f t="shared" si="31"/>
        <v>8</v>
      </c>
      <c r="Q643" s="330">
        <f t="shared" si="32"/>
        <v>6</v>
      </c>
      <c r="R643" s="331" t="str">
        <f t="shared" si="33"/>
        <v>Gastos_Gerais</v>
      </c>
      <c r="S643" s="331" t="str">
        <f>IF(D643="","",IF(OR(D643=Plano!$A$1,D643=Plano!$B$1),"entrada","saída"))</f>
        <v>saída</v>
      </c>
      <c r="T643" s="332" t="s">
        <v>114</v>
      </c>
      <c r="U643" s="332" t="s">
        <v>114</v>
      </c>
      <c r="V643" s="269"/>
      <c r="W643" s="269"/>
      <c r="X643" s="269"/>
      <c r="Y643" s="269"/>
      <c r="Z643" s="269"/>
      <c r="AA643" s="269"/>
      <c r="AB643" s="269"/>
      <c r="AC643" s="269"/>
      <c r="AD643" s="269"/>
      <c r="AE643" s="269"/>
      <c r="AF643" s="269"/>
      <c r="AG643" s="269"/>
      <c r="AH643" s="269"/>
      <c r="AI643" s="269"/>
      <c r="AJ643" s="269"/>
      <c r="AK643" s="269"/>
      <c r="AL643" s="269"/>
      <c r="AM643" s="269"/>
    </row>
    <row r="644" spans="1:39" ht="47.25" customHeight="1" x14ac:dyDescent="0.2">
      <c r="A644" s="277">
        <f>IF(B644="","",COUNT('Diário 5º PA'!$A$5:$A$2634)+COUNT('Diário 6º PA'!$A$5:$A$2246)+ROW()-4)</f>
        <v>3183</v>
      </c>
      <c r="B644" s="278">
        <v>44417</v>
      </c>
      <c r="C644" s="249">
        <v>44348</v>
      </c>
      <c r="D644" s="250" t="s">
        <v>99</v>
      </c>
      <c r="E644" s="250" t="s">
        <v>262</v>
      </c>
      <c r="F644" s="251">
        <v>132.66</v>
      </c>
      <c r="G644" s="452" t="s">
        <v>1888</v>
      </c>
      <c r="H644" s="250" t="s">
        <v>115</v>
      </c>
      <c r="I644" s="252" t="s">
        <v>465</v>
      </c>
      <c r="J644" s="250" t="s">
        <v>114</v>
      </c>
      <c r="K644" s="250" t="s">
        <v>466</v>
      </c>
      <c r="L644" s="250" t="s">
        <v>467</v>
      </c>
      <c r="M644" s="277">
        <v>2830</v>
      </c>
      <c r="N644" s="278">
        <v>44417</v>
      </c>
      <c r="O644" s="329" t="s">
        <v>67</v>
      </c>
      <c r="P644" s="330">
        <f t="shared" si="31"/>
        <v>8</v>
      </c>
      <c r="Q644" s="330">
        <f t="shared" si="32"/>
        <v>6</v>
      </c>
      <c r="R644" s="331" t="str">
        <f t="shared" si="33"/>
        <v>Gastos_Gerais</v>
      </c>
      <c r="S644" s="331" t="str">
        <f>IF(D644="","",IF(OR(D644=Plano!$A$1,D644=Plano!$B$1),"entrada","saída"))</f>
        <v>saída</v>
      </c>
      <c r="T644" s="332" t="s">
        <v>114</v>
      </c>
      <c r="U644" s="332" t="s">
        <v>114</v>
      </c>
      <c r="V644" s="269"/>
      <c r="W644" s="269"/>
      <c r="X644" s="269"/>
      <c r="Y644" s="269"/>
      <c r="Z644" s="269"/>
      <c r="AA644" s="269"/>
      <c r="AB644" s="269"/>
      <c r="AC644" s="269"/>
      <c r="AD644" s="269"/>
      <c r="AE644" s="269"/>
      <c r="AF644" s="269"/>
      <c r="AG644" s="269"/>
      <c r="AH644" s="269"/>
      <c r="AI644" s="269"/>
      <c r="AJ644" s="269"/>
      <c r="AK644" s="269"/>
      <c r="AL644" s="269"/>
      <c r="AM644" s="269"/>
    </row>
    <row r="645" spans="1:39" ht="41.25" customHeight="1" x14ac:dyDescent="0.2">
      <c r="A645" s="277">
        <f>IF(B645="","",COUNT('Diário 5º PA'!$A$5:$A$2634)+COUNT('Diário 6º PA'!$A$5:$A$2246)+ROW()-4)</f>
        <v>3184</v>
      </c>
      <c r="B645" s="278">
        <v>44417</v>
      </c>
      <c r="C645" s="249">
        <v>44348</v>
      </c>
      <c r="D645" s="250" t="s">
        <v>99</v>
      </c>
      <c r="E645" s="250" t="s">
        <v>262</v>
      </c>
      <c r="F645" s="251">
        <v>70.349999999999994</v>
      </c>
      <c r="G645" s="452" t="s">
        <v>1889</v>
      </c>
      <c r="H645" s="250" t="s">
        <v>115</v>
      </c>
      <c r="I645" s="252" t="s">
        <v>465</v>
      </c>
      <c r="J645" s="250" t="s">
        <v>114</v>
      </c>
      <c r="K645" s="250" t="s">
        <v>466</v>
      </c>
      <c r="L645" s="250" t="s">
        <v>467</v>
      </c>
      <c r="M645" s="277">
        <v>2831</v>
      </c>
      <c r="N645" s="278">
        <v>44417</v>
      </c>
      <c r="O645" s="329" t="s">
        <v>67</v>
      </c>
      <c r="P645" s="330">
        <f t="shared" si="31"/>
        <v>8</v>
      </c>
      <c r="Q645" s="330">
        <f t="shared" si="32"/>
        <v>6</v>
      </c>
      <c r="R645" s="331" t="str">
        <f t="shared" si="33"/>
        <v>Gastos_Gerais</v>
      </c>
      <c r="S645" s="331" t="str">
        <f>IF(D645="","",IF(OR(D645=Plano!$A$1,D645=Plano!$B$1),"entrada","saída"))</f>
        <v>saída</v>
      </c>
      <c r="T645" s="332" t="s">
        <v>114</v>
      </c>
      <c r="U645" s="332" t="s">
        <v>114</v>
      </c>
      <c r="V645" s="269"/>
      <c r="W645" s="269"/>
      <c r="X645" s="269"/>
      <c r="Y645" s="269"/>
      <c r="Z645" s="269"/>
      <c r="AA645" s="269"/>
      <c r="AB645" s="269"/>
      <c r="AC645" s="269"/>
      <c r="AD645" s="269"/>
      <c r="AE645" s="269"/>
      <c r="AF645" s="269"/>
      <c r="AG645" s="269"/>
      <c r="AH645" s="269"/>
      <c r="AI645" s="269"/>
      <c r="AJ645" s="269"/>
      <c r="AK645" s="269"/>
      <c r="AL645" s="269"/>
      <c r="AM645" s="269"/>
    </row>
    <row r="646" spans="1:39" ht="41.25" customHeight="1" x14ac:dyDescent="0.2">
      <c r="A646" s="277">
        <f>IF(B646="","",COUNT('Diário 5º PA'!$A$5:$A$2634)+COUNT('Diário 6º PA'!$A$5:$A$2246)+ROW()-4)</f>
        <v>3185</v>
      </c>
      <c r="B646" s="278">
        <v>44417</v>
      </c>
      <c r="C646" s="249">
        <v>44348</v>
      </c>
      <c r="D646" s="250" t="s">
        <v>99</v>
      </c>
      <c r="E646" s="250" t="s">
        <v>266</v>
      </c>
      <c r="F646" s="251">
        <v>488.38</v>
      </c>
      <c r="G646" s="452" t="s">
        <v>1890</v>
      </c>
      <c r="H646" s="250" t="s">
        <v>131</v>
      </c>
      <c r="I646" s="252" t="s">
        <v>465</v>
      </c>
      <c r="J646" s="250" t="s">
        <v>114</v>
      </c>
      <c r="K646" s="250" t="s">
        <v>466</v>
      </c>
      <c r="L646" s="250" t="s">
        <v>467</v>
      </c>
      <c r="M646" s="277">
        <v>2832</v>
      </c>
      <c r="N646" s="278">
        <v>44417</v>
      </c>
      <c r="O646" s="329" t="s">
        <v>67</v>
      </c>
      <c r="P646" s="330">
        <f t="shared" si="31"/>
        <v>8</v>
      </c>
      <c r="Q646" s="330">
        <f t="shared" si="32"/>
        <v>6</v>
      </c>
      <c r="R646" s="331" t="str">
        <f t="shared" si="33"/>
        <v>Gastos_Gerais</v>
      </c>
      <c r="S646" s="331" t="str">
        <f>IF(D646="","",IF(OR(D646=Plano!$A$1,D646=Plano!$B$1),"entrada","saída"))</f>
        <v>saída</v>
      </c>
      <c r="T646" s="332" t="s">
        <v>114</v>
      </c>
      <c r="U646" s="332" t="s">
        <v>114</v>
      </c>
      <c r="V646" s="269"/>
      <c r="W646" s="269"/>
      <c r="X646" s="269"/>
      <c r="Y646" s="269"/>
      <c r="Z646" s="269"/>
      <c r="AA646" s="269"/>
      <c r="AB646" s="269"/>
      <c r="AC646" s="269"/>
      <c r="AD646" s="269"/>
      <c r="AE646" s="269"/>
      <c r="AF646" s="269"/>
      <c r="AG646" s="269"/>
      <c r="AH646" s="269"/>
      <c r="AI646" s="269"/>
      <c r="AJ646" s="269"/>
      <c r="AK646" s="269"/>
      <c r="AL646" s="269"/>
      <c r="AM646" s="269"/>
    </row>
    <row r="647" spans="1:39" ht="39" customHeight="1" x14ac:dyDescent="0.2">
      <c r="A647" s="277">
        <f>IF(B647="","",COUNT('Diário 5º PA'!$A$5:$A$2634)+COUNT('Diário 6º PA'!$A$5:$A$2246)+ROW()-4)</f>
        <v>3186</v>
      </c>
      <c r="B647" s="278">
        <v>44417</v>
      </c>
      <c r="C647" s="249">
        <v>44378</v>
      </c>
      <c r="D647" s="250" t="s">
        <v>99</v>
      </c>
      <c r="E647" s="250" t="s">
        <v>244</v>
      </c>
      <c r="F647" s="251">
        <v>107.62</v>
      </c>
      <c r="G647" s="452" t="s">
        <v>1891</v>
      </c>
      <c r="H647" s="250" t="s">
        <v>128</v>
      </c>
      <c r="I647" s="252" t="s">
        <v>465</v>
      </c>
      <c r="J647" s="250" t="s">
        <v>114</v>
      </c>
      <c r="K647" s="250" t="s">
        <v>466</v>
      </c>
      <c r="L647" s="250" t="s">
        <v>467</v>
      </c>
      <c r="M647" s="277">
        <v>2833</v>
      </c>
      <c r="N647" s="278">
        <v>44417</v>
      </c>
      <c r="O647" s="329" t="s">
        <v>67</v>
      </c>
      <c r="P647" s="330">
        <f t="shared" ref="P647:P712" si="34">IF(B647=0,0,IF(YEAR(B647)=$Q$1,MONTH(B647)-$P$1+1,(YEAR(B647)-$Q$1)*12-$P$1+1+MONTH(B647)))</f>
        <v>8</v>
      </c>
      <c r="Q647" s="330">
        <f t="shared" ref="Q647:Q712" si="35">IF(C647=0,0,IF(YEAR(C647)=$Q$1,MONTH(C647)-$P$1+1,(YEAR(C647)-$Q$1)*12-$P$1+1+MONTH(C647)))</f>
        <v>7</v>
      </c>
      <c r="R647" s="331" t="str">
        <f t="shared" ref="R647:R712" si="36">SUBSTITUTE(D647," ","_")</f>
        <v>Gastos_Gerais</v>
      </c>
      <c r="S647" s="331" t="str">
        <f>IF(D647="","",IF(OR(D647=Plano!$A$1,D647=Plano!$B$1),"entrada","saída"))</f>
        <v>saída</v>
      </c>
      <c r="T647" s="332" t="s">
        <v>114</v>
      </c>
      <c r="U647" s="332" t="s">
        <v>114</v>
      </c>
      <c r="V647" s="269"/>
      <c r="W647" s="269"/>
      <c r="X647" s="269"/>
      <c r="Y647" s="269"/>
      <c r="Z647" s="269"/>
      <c r="AA647" s="269"/>
      <c r="AB647" s="269"/>
      <c r="AC647" s="269"/>
      <c r="AD647" s="269"/>
      <c r="AE647" s="269"/>
      <c r="AF647" s="269"/>
      <c r="AG647" s="269"/>
      <c r="AH647" s="269"/>
      <c r="AI647" s="269"/>
      <c r="AJ647" s="269"/>
      <c r="AK647" s="269"/>
      <c r="AL647" s="269"/>
      <c r="AM647" s="269"/>
    </row>
    <row r="648" spans="1:39" ht="49.5" customHeight="1" x14ac:dyDescent="0.2">
      <c r="A648" s="277">
        <f>IF(B648="","",COUNT('Diário 5º PA'!$A$5:$A$2634)+COUNT('Diário 6º PA'!$A$5:$A$2246)+ROW()-4)</f>
        <v>3187</v>
      </c>
      <c r="B648" s="278">
        <v>44417</v>
      </c>
      <c r="C648" s="249">
        <v>44378</v>
      </c>
      <c r="D648" s="250" t="s">
        <v>99</v>
      </c>
      <c r="E648" s="250" t="s">
        <v>364</v>
      </c>
      <c r="F648" s="251">
        <v>81.900000000000006</v>
      </c>
      <c r="G648" s="452" t="s">
        <v>1892</v>
      </c>
      <c r="H648" s="250" t="s">
        <v>125</v>
      </c>
      <c r="I648" s="250" t="s">
        <v>465</v>
      </c>
      <c r="J648" s="250" t="s">
        <v>114</v>
      </c>
      <c r="K648" s="250" t="s">
        <v>466</v>
      </c>
      <c r="L648" s="250" t="s">
        <v>467</v>
      </c>
      <c r="M648" s="277">
        <v>2834</v>
      </c>
      <c r="N648" s="278">
        <v>44417</v>
      </c>
      <c r="O648" s="329" t="s">
        <v>67</v>
      </c>
      <c r="P648" s="330">
        <f t="shared" si="34"/>
        <v>8</v>
      </c>
      <c r="Q648" s="330">
        <f t="shared" si="35"/>
        <v>7</v>
      </c>
      <c r="R648" s="331" t="str">
        <f t="shared" si="36"/>
        <v>Gastos_Gerais</v>
      </c>
      <c r="S648" s="331" t="str">
        <f>IF(D648="","",IF(OR(D648=Plano!$A$1,D648=Plano!$B$1),"entrada","saída"))</f>
        <v>saída</v>
      </c>
      <c r="T648" s="332" t="s">
        <v>114</v>
      </c>
      <c r="U648" s="332" t="s">
        <v>114</v>
      </c>
      <c r="V648" s="269"/>
      <c r="W648" s="269"/>
      <c r="X648" s="269"/>
      <c r="Y648" s="269"/>
      <c r="Z648" s="269"/>
      <c r="AA648" s="269"/>
      <c r="AB648" s="269"/>
      <c r="AC648" s="269"/>
      <c r="AD648" s="269"/>
      <c r="AE648" s="269"/>
      <c r="AF648" s="269"/>
      <c r="AG648" s="269"/>
      <c r="AH648" s="269"/>
      <c r="AI648" s="269"/>
      <c r="AJ648" s="269"/>
      <c r="AK648" s="269"/>
      <c r="AL648" s="269"/>
      <c r="AM648" s="269"/>
    </row>
    <row r="649" spans="1:39" ht="36" customHeight="1" x14ac:dyDescent="0.2">
      <c r="A649" s="277">
        <f>IF(B649="","",COUNT('Diário 5º PA'!$A$5:$A$2634)+COUNT('Diário 6º PA'!$A$5:$A$2246)+ROW()-4)</f>
        <v>3188</v>
      </c>
      <c r="B649" s="278">
        <v>44417</v>
      </c>
      <c r="C649" s="249">
        <v>44378</v>
      </c>
      <c r="D649" s="252" t="s">
        <v>99</v>
      </c>
      <c r="E649" s="252" t="s">
        <v>266</v>
      </c>
      <c r="F649" s="258">
        <v>9.2799999999999994</v>
      </c>
      <c r="G649" s="451" t="s">
        <v>1893</v>
      </c>
      <c r="H649" s="252" t="s">
        <v>115</v>
      </c>
      <c r="I649" s="252" t="s">
        <v>465</v>
      </c>
      <c r="J649" s="250" t="s">
        <v>114</v>
      </c>
      <c r="K649" s="250" t="s">
        <v>466</v>
      </c>
      <c r="L649" s="250" t="s">
        <v>467</v>
      </c>
      <c r="M649" s="277">
        <v>2835</v>
      </c>
      <c r="N649" s="278">
        <v>44417</v>
      </c>
      <c r="O649" s="329" t="s">
        <v>67</v>
      </c>
      <c r="P649" s="330">
        <f t="shared" si="34"/>
        <v>8</v>
      </c>
      <c r="Q649" s="330">
        <f t="shared" si="35"/>
        <v>7</v>
      </c>
      <c r="R649" s="331" t="str">
        <f t="shared" si="36"/>
        <v>Gastos_Gerais</v>
      </c>
      <c r="S649" s="331" t="str">
        <f>IF(D649="","",IF(OR(D649=Plano!$A$1,D649=Plano!$B$1),"entrada","saída"))</f>
        <v>saída</v>
      </c>
      <c r="T649" s="332" t="s">
        <v>114</v>
      </c>
      <c r="U649" s="332" t="s">
        <v>114</v>
      </c>
      <c r="V649" s="269"/>
      <c r="W649" s="269"/>
      <c r="X649" s="269"/>
      <c r="Y649" s="269"/>
      <c r="Z649" s="269"/>
      <c r="AA649" s="269"/>
      <c r="AB649" s="269"/>
      <c r="AC649" s="269"/>
      <c r="AD649" s="269"/>
      <c r="AE649" s="269"/>
      <c r="AF649" s="269"/>
      <c r="AG649" s="269"/>
      <c r="AH649" s="269"/>
      <c r="AI649" s="269"/>
      <c r="AJ649" s="269"/>
      <c r="AK649" s="269"/>
      <c r="AL649" s="269"/>
      <c r="AM649" s="269"/>
    </row>
    <row r="650" spans="1:39" ht="41.25" customHeight="1" x14ac:dyDescent="0.2">
      <c r="A650" s="277">
        <f>IF(B650="","",COUNT('Diário 5º PA'!$A$5:$A$2634)+COUNT('Diário 6º PA'!$A$5:$A$2246)+ROW()-4)</f>
        <v>3189</v>
      </c>
      <c r="B650" s="278">
        <v>44417</v>
      </c>
      <c r="C650" s="249">
        <v>44378</v>
      </c>
      <c r="D650" s="250" t="s">
        <v>88</v>
      </c>
      <c r="E650" s="250" t="s">
        <v>183</v>
      </c>
      <c r="F650" s="251">
        <v>3.11</v>
      </c>
      <c r="G650" s="450" t="s">
        <v>1894</v>
      </c>
      <c r="H650" s="252" t="s">
        <v>114</v>
      </c>
      <c r="I650" s="250" t="s">
        <v>465</v>
      </c>
      <c r="J650" s="250" t="s">
        <v>114</v>
      </c>
      <c r="K650" s="250" t="s">
        <v>466</v>
      </c>
      <c r="L650" s="250" t="s">
        <v>467</v>
      </c>
      <c r="M650" s="277">
        <v>2836</v>
      </c>
      <c r="N650" s="278">
        <v>44417</v>
      </c>
      <c r="O650" s="329" t="s">
        <v>67</v>
      </c>
      <c r="P650" s="330">
        <f t="shared" si="34"/>
        <v>8</v>
      </c>
      <c r="Q650" s="330">
        <f t="shared" si="35"/>
        <v>7</v>
      </c>
      <c r="R650" s="331" t="str">
        <f t="shared" si="36"/>
        <v>Gastos_com_Pessoal</v>
      </c>
      <c r="S650" s="331" t="str">
        <f>IF(D650="","",IF(OR(D650=Plano!$A$1,D650=Plano!$B$1),"entrada","saída"))</f>
        <v>saída</v>
      </c>
      <c r="T650" s="332" t="s">
        <v>114</v>
      </c>
      <c r="U650" s="332" t="s">
        <v>114</v>
      </c>
      <c r="V650" s="269"/>
      <c r="W650" s="269"/>
      <c r="X650" s="269"/>
      <c r="Y650" s="269"/>
      <c r="Z650" s="269"/>
      <c r="AA650" s="269"/>
      <c r="AB650" s="269"/>
      <c r="AC650" s="269"/>
      <c r="AD650" s="269"/>
      <c r="AE650" s="269"/>
      <c r="AF650" s="269"/>
      <c r="AG650" s="269"/>
      <c r="AH650" s="269"/>
      <c r="AI650" s="269"/>
      <c r="AJ650" s="269"/>
      <c r="AK650" s="269"/>
      <c r="AL650" s="269"/>
      <c r="AM650" s="269"/>
    </row>
    <row r="651" spans="1:39" ht="42" customHeight="1" x14ac:dyDescent="0.2">
      <c r="A651" s="277">
        <f>IF(B651="","",COUNT('Diário 5º PA'!$A$5:$A$2634)+COUNT('Diário 6º PA'!$A$5:$A$2246)+ROW()-4)</f>
        <v>3190</v>
      </c>
      <c r="B651" s="278">
        <v>44417</v>
      </c>
      <c r="C651" s="256">
        <v>44409</v>
      </c>
      <c r="D651" s="255" t="s">
        <v>88</v>
      </c>
      <c r="E651" s="255" t="s">
        <v>194</v>
      </c>
      <c r="F651" s="258">
        <v>4785.51</v>
      </c>
      <c r="G651" s="450" t="s">
        <v>1895</v>
      </c>
      <c r="H651" s="255" t="s">
        <v>114</v>
      </c>
      <c r="I651" s="250" t="s">
        <v>532</v>
      </c>
      <c r="J651" s="255" t="s">
        <v>1261</v>
      </c>
      <c r="K651" s="255" t="s">
        <v>560</v>
      </c>
      <c r="L651" s="250" t="s">
        <v>1016</v>
      </c>
      <c r="M651" s="277">
        <v>326165</v>
      </c>
      <c r="N651" s="278">
        <v>44420</v>
      </c>
      <c r="O651" s="329" t="s">
        <v>67</v>
      </c>
      <c r="P651" s="330">
        <f t="shared" si="34"/>
        <v>8</v>
      </c>
      <c r="Q651" s="330">
        <f t="shared" si="35"/>
        <v>8</v>
      </c>
      <c r="R651" s="331" t="str">
        <f t="shared" si="36"/>
        <v>Gastos_com_Pessoal</v>
      </c>
      <c r="S651" s="331" t="str">
        <f>IF(D651="","",IF(OR(D651=Plano!$A$1,D651=Plano!$B$1),"entrada","saída"))</f>
        <v>saída</v>
      </c>
      <c r="T651" s="332" t="s">
        <v>114</v>
      </c>
      <c r="U651" s="332" t="s">
        <v>114</v>
      </c>
      <c r="V651" s="269"/>
      <c r="W651" s="269"/>
      <c r="X651" s="269"/>
      <c r="Y651" s="269"/>
      <c r="Z651" s="269"/>
      <c r="AA651" s="269"/>
      <c r="AB651" s="269"/>
      <c r="AC651" s="269"/>
      <c r="AD651" s="269"/>
      <c r="AE651" s="269"/>
      <c r="AF651" s="269"/>
      <c r="AG651" s="269"/>
      <c r="AH651" s="269"/>
      <c r="AI651" s="269"/>
      <c r="AJ651" s="269"/>
      <c r="AK651" s="269"/>
      <c r="AL651" s="269"/>
      <c r="AM651" s="269"/>
    </row>
    <row r="652" spans="1:39" ht="47.25" customHeight="1" x14ac:dyDescent="0.2">
      <c r="A652" s="277">
        <f>IF(B652="","",COUNT('Diário 5º PA'!$A$5:$A$2634)+COUNT('Diário 6º PA'!$A$5:$A$2246)+ROW()-4)</f>
        <v>3191</v>
      </c>
      <c r="B652" s="278">
        <v>44417</v>
      </c>
      <c r="C652" s="335">
        <v>44409</v>
      </c>
      <c r="D652" s="255" t="s">
        <v>99</v>
      </c>
      <c r="E652" s="255" t="s">
        <v>272</v>
      </c>
      <c r="F652" s="258">
        <v>10.45</v>
      </c>
      <c r="G652" s="450" t="s">
        <v>1896</v>
      </c>
      <c r="H652" s="250" t="s">
        <v>131</v>
      </c>
      <c r="I652" s="250" t="s">
        <v>949</v>
      </c>
      <c r="J652" s="255" t="s">
        <v>950</v>
      </c>
      <c r="K652" s="255" t="s">
        <v>951</v>
      </c>
      <c r="L652" s="250" t="s">
        <v>947</v>
      </c>
      <c r="M652" s="336" t="s">
        <v>114</v>
      </c>
      <c r="N652" s="278">
        <v>44417</v>
      </c>
      <c r="O652" s="329" t="s">
        <v>67</v>
      </c>
      <c r="P652" s="330">
        <f t="shared" si="34"/>
        <v>8</v>
      </c>
      <c r="Q652" s="330">
        <f t="shared" si="35"/>
        <v>8</v>
      </c>
      <c r="R652" s="331" t="str">
        <f t="shared" si="36"/>
        <v>Gastos_Gerais</v>
      </c>
      <c r="S652" s="331" t="str">
        <f>IF(D652="","",IF(OR(D652=Plano!$A$1,D652=Plano!$B$1),"entrada","saída"))</f>
        <v>saída</v>
      </c>
      <c r="T652" s="332" t="s">
        <v>114</v>
      </c>
      <c r="U652" s="332" t="s">
        <v>114</v>
      </c>
      <c r="V652" s="269"/>
      <c r="W652" s="269"/>
      <c r="X652" s="269"/>
      <c r="Y652" s="269"/>
      <c r="Z652" s="269"/>
      <c r="AA652" s="269"/>
      <c r="AB652" s="269"/>
      <c r="AC652" s="269"/>
      <c r="AD652" s="269"/>
      <c r="AE652" s="269"/>
      <c r="AF652" s="269"/>
      <c r="AG652" s="269"/>
      <c r="AH652" s="269"/>
      <c r="AI652" s="269"/>
      <c r="AJ652" s="269"/>
      <c r="AK652" s="269"/>
      <c r="AL652" s="269"/>
      <c r="AM652" s="269"/>
    </row>
    <row r="653" spans="1:39" ht="47.25" customHeight="1" x14ac:dyDescent="0.2">
      <c r="A653" s="277">
        <f>IF(B653="","",COUNT('Diário 5º PA'!$A$5:$A$2634)+COUNT('Diário 6º PA'!$A$5:$A$2246)+ROW()-4)</f>
        <v>3192</v>
      </c>
      <c r="B653" s="278">
        <v>44417</v>
      </c>
      <c r="C653" s="249">
        <v>44348</v>
      </c>
      <c r="D653" s="250" t="s">
        <v>104</v>
      </c>
      <c r="E653" s="250" t="s">
        <v>104</v>
      </c>
      <c r="F653" s="251">
        <v>125</v>
      </c>
      <c r="G653" s="452" t="s">
        <v>1897</v>
      </c>
      <c r="H653" s="250" t="s">
        <v>104</v>
      </c>
      <c r="I653" s="252" t="s">
        <v>465</v>
      </c>
      <c r="J653" s="250" t="s">
        <v>114</v>
      </c>
      <c r="K653" s="250" t="s">
        <v>466</v>
      </c>
      <c r="L653" s="250" t="s">
        <v>467</v>
      </c>
      <c r="M653" s="336">
        <v>2862</v>
      </c>
      <c r="N653" s="278">
        <v>44417</v>
      </c>
      <c r="O653" s="329" t="s">
        <v>68</v>
      </c>
      <c r="P653" s="330">
        <f t="shared" si="34"/>
        <v>8</v>
      </c>
      <c r="Q653" s="330">
        <f t="shared" si="35"/>
        <v>6</v>
      </c>
      <c r="R653" s="331" t="str">
        <f t="shared" si="36"/>
        <v>Gastos_custeados_por_captação</v>
      </c>
      <c r="S653" s="331" t="str">
        <f>IF(D653="","",IF(OR(D653=Plano!$A$1,D653=Plano!$B$1),"entrada","saída"))</f>
        <v>saída</v>
      </c>
      <c r="T653" s="332" t="s">
        <v>114</v>
      </c>
      <c r="U653" s="332" t="s">
        <v>114</v>
      </c>
      <c r="V653" s="269"/>
      <c r="W653" s="269"/>
      <c r="X653" s="269"/>
      <c r="Y653" s="269"/>
      <c r="Z653" s="269"/>
      <c r="AA653" s="269"/>
      <c r="AB653" s="269"/>
      <c r="AC653" s="269"/>
      <c r="AD653" s="269"/>
      <c r="AE653" s="269"/>
      <c r="AF653" s="269"/>
      <c r="AG653" s="269"/>
      <c r="AH653" s="269"/>
      <c r="AI653" s="269"/>
      <c r="AJ653" s="269"/>
      <c r="AK653" s="269"/>
      <c r="AL653" s="269"/>
      <c r="AM653" s="269"/>
    </row>
    <row r="654" spans="1:39" ht="47.25" customHeight="1" x14ac:dyDescent="0.2">
      <c r="A654" s="277">
        <f>IF(B654="","",COUNT('Diário 5º PA'!$A$5:$A$2634)+COUNT('Diário 6º PA'!$A$5:$A$2246)+ROW()-4)</f>
        <v>3193</v>
      </c>
      <c r="B654" s="278">
        <v>44417</v>
      </c>
      <c r="C654" s="249">
        <v>44348</v>
      </c>
      <c r="D654" s="250" t="s">
        <v>104</v>
      </c>
      <c r="E654" s="250" t="s">
        <v>104</v>
      </c>
      <c r="F654" s="251">
        <v>75</v>
      </c>
      <c r="G654" s="452" t="s">
        <v>1898</v>
      </c>
      <c r="H654" s="250" t="s">
        <v>104</v>
      </c>
      <c r="I654" s="252" t="s">
        <v>465</v>
      </c>
      <c r="J654" s="250" t="s">
        <v>114</v>
      </c>
      <c r="K654" s="250" t="s">
        <v>466</v>
      </c>
      <c r="L654" s="250" t="s">
        <v>467</v>
      </c>
      <c r="M654" s="336">
        <v>2863</v>
      </c>
      <c r="N654" s="278">
        <v>44417</v>
      </c>
      <c r="O654" s="329" t="s">
        <v>68</v>
      </c>
      <c r="P654" s="330">
        <f t="shared" si="34"/>
        <v>8</v>
      </c>
      <c r="Q654" s="330">
        <f t="shared" si="35"/>
        <v>6</v>
      </c>
      <c r="R654" s="331" t="str">
        <f t="shared" si="36"/>
        <v>Gastos_custeados_por_captação</v>
      </c>
      <c r="S654" s="331" t="str">
        <f>IF(D654="","",IF(OR(D654=Plano!$A$1,D654=Plano!$B$1),"entrada","saída"))</f>
        <v>saída</v>
      </c>
      <c r="T654" s="332" t="s">
        <v>114</v>
      </c>
      <c r="U654" s="332" t="s">
        <v>114</v>
      </c>
      <c r="V654" s="269"/>
      <c r="W654" s="269"/>
      <c r="X654" s="269"/>
      <c r="Y654" s="269"/>
      <c r="Z654" s="269"/>
      <c r="AA654" s="269"/>
      <c r="AB654" s="269"/>
      <c r="AC654" s="269"/>
      <c r="AD654" s="269"/>
      <c r="AE654" s="269"/>
      <c r="AF654" s="269"/>
      <c r="AG654" s="269"/>
      <c r="AH654" s="269"/>
      <c r="AI654" s="269"/>
      <c r="AJ654" s="269"/>
      <c r="AK654" s="269"/>
      <c r="AL654" s="269"/>
      <c r="AM654" s="269"/>
    </row>
    <row r="655" spans="1:39" ht="78.75" customHeight="1" x14ac:dyDescent="0.2">
      <c r="A655" s="277">
        <f>IF(B655="","",COUNT('Diário 5º PA'!$A$5:$A$2634)+COUNT('Diário 6º PA'!$A$5:$A$2246)+ROW()-4)</f>
        <v>3194</v>
      </c>
      <c r="B655" s="278">
        <v>44417</v>
      </c>
      <c r="C655" s="249">
        <v>44378</v>
      </c>
      <c r="D655" s="250" t="s">
        <v>104</v>
      </c>
      <c r="E655" s="250" t="s">
        <v>104</v>
      </c>
      <c r="F655" s="251">
        <v>1998.6</v>
      </c>
      <c r="G655" s="452" t="s">
        <v>1899</v>
      </c>
      <c r="H655" s="250" t="s">
        <v>104</v>
      </c>
      <c r="I655" s="252" t="s">
        <v>1900</v>
      </c>
      <c r="J655" s="250" t="s">
        <v>823</v>
      </c>
      <c r="K655" s="250" t="s">
        <v>1015</v>
      </c>
      <c r="L655" s="250" t="s">
        <v>1901</v>
      </c>
      <c r="M655" s="336">
        <v>1270</v>
      </c>
      <c r="N655" s="278">
        <v>44413</v>
      </c>
      <c r="O655" s="329" t="s">
        <v>69</v>
      </c>
      <c r="P655" s="330">
        <f t="shared" si="34"/>
        <v>8</v>
      </c>
      <c r="Q655" s="330">
        <f t="shared" si="35"/>
        <v>7</v>
      </c>
      <c r="R655" s="331" t="str">
        <f t="shared" si="36"/>
        <v>Gastos_custeados_por_captação</v>
      </c>
      <c r="S655" s="331" t="str">
        <f>IF(D655="","",IF(OR(D655=Plano!$A$1,D655=Plano!$B$1),"entrada","saída"))</f>
        <v>saída</v>
      </c>
      <c r="T655" s="332" t="s">
        <v>1059</v>
      </c>
      <c r="U655" s="332">
        <v>1769</v>
      </c>
      <c r="V655" s="269"/>
      <c r="W655" s="269"/>
      <c r="X655" s="269"/>
      <c r="Y655" s="269"/>
      <c r="Z655" s="269"/>
      <c r="AA655" s="269"/>
      <c r="AB655" s="269"/>
      <c r="AC655" s="269"/>
      <c r="AD655" s="269"/>
      <c r="AE655" s="269"/>
      <c r="AF655" s="269"/>
      <c r="AG655" s="269"/>
      <c r="AH655" s="269"/>
      <c r="AI655" s="269"/>
      <c r="AJ655" s="269"/>
      <c r="AK655" s="269"/>
      <c r="AL655" s="269"/>
      <c r="AM655" s="269"/>
    </row>
    <row r="656" spans="1:39" ht="80.25" customHeight="1" x14ac:dyDescent="0.2">
      <c r="A656" s="277">
        <f>IF(B656="","",COUNT('Diário 5º PA'!$A$5:$A$2634)+COUNT('Diário 6º PA'!$A$5:$A$2246)+ROW()-4)</f>
        <v>3195</v>
      </c>
      <c r="B656" s="278">
        <v>44417</v>
      </c>
      <c r="C656" s="249">
        <v>44378</v>
      </c>
      <c r="D656" s="250" t="s">
        <v>104</v>
      </c>
      <c r="E656" s="250" t="s">
        <v>104</v>
      </c>
      <c r="F656" s="251">
        <v>1998.6</v>
      </c>
      <c r="G656" s="452" t="s">
        <v>1899</v>
      </c>
      <c r="H656" s="250" t="s">
        <v>104</v>
      </c>
      <c r="I656" s="252" t="s">
        <v>1902</v>
      </c>
      <c r="J656" s="250" t="s">
        <v>824</v>
      </c>
      <c r="K656" s="250" t="s">
        <v>1015</v>
      </c>
      <c r="L656" s="250" t="s">
        <v>1901</v>
      </c>
      <c r="M656" s="336">
        <v>1267</v>
      </c>
      <c r="N656" s="278">
        <v>44413</v>
      </c>
      <c r="O656" s="329" t="s">
        <v>69</v>
      </c>
      <c r="P656" s="330">
        <f t="shared" si="34"/>
        <v>8</v>
      </c>
      <c r="Q656" s="330">
        <f t="shared" si="35"/>
        <v>7</v>
      </c>
      <c r="R656" s="331" t="str">
        <f t="shared" si="36"/>
        <v>Gastos_custeados_por_captação</v>
      </c>
      <c r="S656" s="331" t="str">
        <f>IF(D656="","",IF(OR(D656=Plano!$A$1,D656=Plano!$B$1),"entrada","saída"))</f>
        <v>saída</v>
      </c>
      <c r="T656" s="332" t="s">
        <v>1059</v>
      </c>
      <c r="U656" s="332">
        <v>1765</v>
      </c>
      <c r="V656" s="269"/>
      <c r="W656" s="269"/>
      <c r="X656" s="269"/>
      <c r="Y656" s="269"/>
      <c r="Z656" s="269"/>
      <c r="AA656" s="269"/>
      <c r="AB656" s="269"/>
      <c r="AC656" s="269"/>
      <c r="AD656" s="269"/>
      <c r="AE656" s="269"/>
      <c r="AF656" s="269"/>
      <c r="AG656" s="269"/>
      <c r="AH656" s="269"/>
      <c r="AI656" s="269"/>
      <c r="AJ656" s="269"/>
      <c r="AK656" s="269"/>
      <c r="AL656" s="269"/>
      <c r="AM656" s="269"/>
    </row>
    <row r="657" spans="1:39" ht="83.25" customHeight="1" x14ac:dyDescent="0.2">
      <c r="A657" s="277">
        <f>IF(B657="","",COUNT('Diário 5º PA'!$A$5:$A$2634)+COUNT('Diário 6º PA'!$A$5:$A$2246)+ROW()-4)</f>
        <v>3196</v>
      </c>
      <c r="B657" s="278">
        <v>44417</v>
      </c>
      <c r="C657" s="249">
        <v>44378</v>
      </c>
      <c r="D657" s="250" t="s">
        <v>104</v>
      </c>
      <c r="E657" s="250" t="s">
        <v>104</v>
      </c>
      <c r="F657" s="251">
        <v>1998.6</v>
      </c>
      <c r="G657" s="452" t="s">
        <v>1899</v>
      </c>
      <c r="H657" s="250" t="s">
        <v>104</v>
      </c>
      <c r="I657" s="252" t="s">
        <v>1903</v>
      </c>
      <c r="J657" s="250" t="s">
        <v>825</v>
      </c>
      <c r="K657" s="250" t="s">
        <v>1015</v>
      </c>
      <c r="L657" s="250" t="s">
        <v>1901</v>
      </c>
      <c r="M657" s="336">
        <v>1268</v>
      </c>
      <c r="N657" s="278">
        <v>44413</v>
      </c>
      <c r="O657" s="329" t="s">
        <v>69</v>
      </c>
      <c r="P657" s="330">
        <f t="shared" si="34"/>
        <v>8</v>
      </c>
      <c r="Q657" s="330">
        <f t="shared" si="35"/>
        <v>7</v>
      </c>
      <c r="R657" s="331" t="str">
        <f t="shared" si="36"/>
        <v>Gastos_custeados_por_captação</v>
      </c>
      <c r="S657" s="331" t="str">
        <f>IF(D657="","",IF(OR(D657=Plano!$A$1,D657=Plano!$B$1),"entrada","saída"))</f>
        <v>saída</v>
      </c>
      <c r="T657" s="332" t="s">
        <v>1059</v>
      </c>
      <c r="U657" s="332">
        <v>1768</v>
      </c>
      <c r="V657" s="269"/>
      <c r="W657" s="269"/>
      <c r="X657" s="269"/>
      <c r="Y657" s="269"/>
      <c r="Z657" s="269"/>
      <c r="AA657" s="269"/>
      <c r="AB657" s="269"/>
      <c r="AC657" s="269"/>
      <c r="AD657" s="269"/>
      <c r="AE657" s="269"/>
      <c r="AF657" s="269"/>
      <c r="AG657" s="269"/>
      <c r="AH657" s="269"/>
      <c r="AI657" s="269"/>
      <c r="AJ657" s="269"/>
      <c r="AK657" s="269"/>
      <c r="AL657" s="269"/>
      <c r="AM657" s="269"/>
    </row>
    <row r="658" spans="1:39" ht="83.25" customHeight="1" x14ac:dyDescent="0.2">
      <c r="A658" s="277">
        <f>IF(B658="","",COUNT('Diário 5º PA'!$A$5:$A$2634)+COUNT('Diário 6º PA'!$A$5:$A$2246)+ROW()-4)</f>
        <v>3197</v>
      </c>
      <c r="B658" s="278">
        <v>44417</v>
      </c>
      <c r="C658" s="249">
        <v>44378</v>
      </c>
      <c r="D658" s="250" t="s">
        <v>104</v>
      </c>
      <c r="E658" s="250" t="s">
        <v>104</v>
      </c>
      <c r="F658" s="251">
        <v>1998.6</v>
      </c>
      <c r="G658" s="452" t="s">
        <v>1899</v>
      </c>
      <c r="H658" s="250" t="s">
        <v>104</v>
      </c>
      <c r="I658" s="252" t="s">
        <v>1904</v>
      </c>
      <c r="J658" s="250" t="s">
        <v>826</v>
      </c>
      <c r="K658" s="250" t="s">
        <v>1015</v>
      </c>
      <c r="L658" s="250" t="s">
        <v>1901</v>
      </c>
      <c r="M658" s="336">
        <v>1269</v>
      </c>
      <c r="N658" s="278">
        <v>44413</v>
      </c>
      <c r="O658" s="329" t="s">
        <v>69</v>
      </c>
      <c r="P658" s="330">
        <f t="shared" si="34"/>
        <v>8</v>
      </c>
      <c r="Q658" s="330">
        <f t="shared" si="35"/>
        <v>7</v>
      </c>
      <c r="R658" s="331" t="str">
        <f t="shared" si="36"/>
        <v>Gastos_custeados_por_captação</v>
      </c>
      <c r="S658" s="331" t="str">
        <f>IF(D658="","",IF(OR(D658=Plano!$A$1,D658=Plano!$B$1),"entrada","saída"))</f>
        <v>saída</v>
      </c>
      <c r="T658" s="332" t="s">
        <v>1059</v>
      </c>
      <c r="U658" s="332">
        <v>1767</v>
      </c>
      <c r="V658" s="269"/>
      <c r="W658" s="269"/>
      <c r="X658" s="269"/>
      <c r="Y658" s="269"/>
      <c r="Z658" s="269"/>
      <c r="AA658" s="269"/>
      <c r="AB658" s="269"/>
      <c r="AC658" s="269"/>
      <c r="AD658" s="269"/>
      <c r="AE658" s="269"/>
      <c r="AF658" s="269"/>
      <c r="AG658" s="269"/>
      <c r="AH658" s="269"/>
      <c r="AI658" s="269"/>
      <c r="AJ658" s="269"/>
      <c r="AK658" s="269"/>
      <c r="AL658" s="269"/>
      <c r="AM658" s="269"/>
    </row>
    <row r="659" spans="1:39" ht="87.75" customHeight="1" x14ac:dyDescent="0.2">
      <c r="A659" s="277">
        <f>IF(B659="","",COUNT('Diário 5º PA'!$A$5:$A$2634)+COUNT('Diário 6º PA'!$A$5:$A$2246)+ROW()-4)</f>
        <v>3198</v>
      </c>
      <c r="B659" s="278">
        <v>44417</v>
      </c>
      <c r="C659" s="249">
        <v>44378</v>
      </c>
      <c r="D659" s="250" t="s">
        <v>104</v>
      </c>
      <c r="E659" s="250" t="s">
        <v>104</v>
      </c>
      <c r="F659" s="251">
        <v>1998.6</v>
      </c>
      <c r="G659" s="452" t="s">
        <v>1899</v>
      </c>
      <c r="H659" s="250" t="s">
        <v>104</v>
      </c>
      <c r="I659" s="252" t="s">
        <v>1905</v>
      </c>
      <c r="J659" s="250" t="s">
        <v>1906</v>
      </c>
      <c r="K659" s="250" t="s">
        <v>1015</v>
      </c>
      <c r="L659" s="250" t="s">
        <v>1901</v>
      </c>
      <c r="M659" s="336">
        <v>1271</v>
      </c>
      <c r="N659" s="278">
        <v>44413</v>
      </c>
      <c r="O659" s="329" t="s">
        <v>69</v>
      </c>
      <c r="P659" s="330">
        <f t="shared" si="34"/>
        <v>8</v>
      </c>
      <c r="Q659" s="330">
        <f t="shared" si="35"/>
        <v>7</v>
      </c>
      <c r="R659" s="331" t="str">
        <f t="shared" si="36"/>
        <v>Gastos_custeados_por_captação</v>
      </c>
      <c r="S659" s="331" t="str">
        <f>IF(D659="","",IF(OR(D659=Plano!$A$1,D659=Plano!$B$1),"entrada","saída"))</f>
        <v>saída</v>
      </c>
      <c r="T659" s="332" t="s">
        <v>1059</v>
      </c>
      <c r="U659" s="332">
        <v>1770</v>
      </c>
      <c r="V659" s="269"/>
      <c r="W659" s="269"/>
      <c r="X659" s="269"/>
      <c r="Y659" s="269"/>
      <c r="Z659" s="269"/>
      <c r="AA659" s="269"/>
      <c r="AB659" s="269"/>
      <c r="AC659" s="269"/>
      <c r="AD659" s="269"/>
      <c r="AE659" s="269"/>
      <c r="AF659" s="269"/>
      <c r="AG659" s="269"/>
      <c r="AH659" s="269"/>
      <c r="AI659" s="269"/>
      <c r="AJ659" s="269"/>
      <c r="AK659" s="269"/>
      <c r="AL659" s="269"/>
      <c r="AM659" s="269"/>
    </row>
    <row r="660" spans="1:39" ht="101.25" customHeight="1" x14ac:dyDescent="0.2">
      <c r="A660" s="277">
        <f>IF(B660="","",COUNT('Diário 5º PA'!$A$5:$A$2634)+COUNT('Diário 6º PA'!$A$5:$A$2246)+ROW()-4)</f>
        <v>3199</v>
      </c>
      <c r="B660" s="278">
        <v>44417</v>
      </c>
      <c r="C660" s="249">
        <v>44378</v>
      </c>
      <c r="D660" s="250" t="s">
        <v>104</v>
      </c>
      <c r="E660" s="250" t="s">
        <v>104</v>
      </c>
      <c r="F660" s="251">
        <v>1998.6</v>
      </c>
      <c r="G660" s="452" t="s">
        <v>1899</v>
      </c>
      <c r="H660" s="250" t="s">
        <v>104</v>
      </c>
      <c r="I660" s="252" t="s">
        <v>1907</v>
      </c>
      <c r="J660" s="250" t="s">
        <v>827</v>
      </c>
      <c r="K660" s="250" t="s">
        <v>1015</v>
      </c>
      <c r="L660" s="250" t="s">
        <v>1901</v>
      </c>
      <c r="M660" s="336">
        <v>1272</v>
      </c>
      <c r="N660" s="278">
        <v>44413</v>
      </c>
      <c r="O660" s="329" t="s">
        <v>69</v>
      </c>
      <c r="P660" s="330">
        <f t="shared" si="34"/>
        <v>8</v>
      </c>
      <c r="Q660" s="330">
        <f t="shared" si="35"/>
        <v>7</v>
      </c>
      <c r="R660" s="331" t="str">
        <f t="shared" si="36"/>
        <v>Gastos_custeados_por_captação</v>
      </c>
      <c r="S660" s="331" t="str">
        <f>IF(D660="","",IF(OR(D660=Plano!$A$1,D660=Plano!$B$1),"entrada","saída"))</f>
        <v>saída</v>
      </c>
      <c r="T660" s="332" t="s">
        <v>1059</v>
      </c>
      <c r="U660" s="332">
        <v>1771</v>
      </c>
      <c r="V660" s="269"/>
      <c r="W660" s="269"/>
      <c r="X660" s="269"/>
      <c r="Y660" s="269"/>
      <c r="Z660" s="269"/>
      <c r="AA660" s="269"/>
      <c r="AB660" s="269"/>
      <c r="AC660" s="269"/>
      <c r="AD660" s="269"/>
      <c r="AE660" s="269"/>
      <c r="AF660" s="269"/>
      <c r="AG660" s="269"/>
      <c r="AH660" s="269"/>
      <c r="AI660" s="269"/>
      <c r="AJ660" s="269"/>
      <c r="AK660" s="269"/>
      <c r="AL660" s="269"/>
      <c r="AM660" s="269"/>
    </row>
    <row r="661" spans="1:39" ht="92.25" customHeight="1" x14ac:dyDescent="0.2">
      <c r="A661" s="277">
        <f>IF(B661="","",COUNT('Diário 5º PA'!$A$5:$A$2634)+COUNT('Diário 6º PA'!$A$5:$A$2246)+ROW()-4)</f>
        <v>3200</v>
      </c>
      <c r="B661" s="278">
        <v>44417</v>
      </c>
      <c r="C661" s="249">
        <v>44378</v>
      </c>
      <c r="D661" s="250" t="s">
        <v>104</v>
      </c>
      <c r="E661" s="250" t="s">
        <v>104</v>
      </c>
      <c r="F661" s="251">
        <v>1998.6</v>
      </c>
      <c r="G661" s="452" t="s">
        <v>1899</v>
      </c>
      <c r="H661" s="250" t="s">
        <v>104</v>
      </c>
      <c r="I661" s="252" t="s">
        <v>1908</v>
      </c>
      <c r="J661" s="250" t="s">
        <v>828</v>
      </c>
      <c r="K661" s="250" t="s">
        <v>1015</v>
      </c>
      <c r="L661" s="250" t="s">
        <v>1901</v>
      </c>
      <c r="M661" s="336">
        <v>1273</v>
      </c>
      <c r="N661" s="278">
        <v>44413</v>
      </c>
      <c r="O661" s="329" t="s">
        <v>69</v>
      </c>
      <c r="P661" s="330">
        <f t="shared" si="34"/>
        <v>8</v>
      </c>
      <c r="Q661" s="330">
        <f t="shared" si="35"/>
        <v>7</v>
      </c>
      <c r="R661" s="331" t="str">
        <f t="shared" si="36"/>
        <v>Gastos_custeados_por_captação</v>
      </c>
      <c r="S661" s="331" t="str">
        <f>IF(D661="","",IF(OR(D661=Plano!$A$1,D661=Plano!$B$1),"entrada","saída"))</f>
        <v>saída</v>
      </c>
      <c r="T661" s="332" t="s">
        <v>1059</v>
      </c>
      <c r="U661" s="332">
        <v>1772</v>
      </c>
      <c r="V661" s="269"/>
      <c r="W661" s="269"/>
      <c r="X661" s="269"/>
      <c r="Y661" s="269"/>
      <c r="Z661" s="269"/>
      <c r="AA661" s="269"/>
      <c r="AB661" s="269"/>
      <c r="AC661" s="269"/>
      <c r="AD661" s="269"/>
      <c r="AE661" s="269"/>
      <c r="AF661" s="269"/>
      <c r="AG661" s="269"/>
      <c r="AH661" s="269"/>
      <c r="AI661" s="269"/>
      <c r="AJ661" s="269"/>
      <c r="AK661" s="269"/>
      <c r="AL661" s="269"/>
      <c r="AM661" s="269"/>
    </row>
    <row r="662" spans="1:39" ht="47.25" customHeight="1" x14ac:dyDescent="0.2">
      <c r="A662" s="277">
        <f>IF(B662="","",COUNT('Diário 5º PA'!$A$5:$A$2634)+COUNT('Diário 6º PA'!$A$5:$A$2246)+ROW()-4)</f>
        <v>3201</v>
      </c>
      <c r="B662" s="278">
        <v>44417</v>
      </c>
      <c r="C662" s="249">
        <v>44256</v>
      </c>
      <c r="D662" s="250" t="s">
        <v>104</v>
      </c>
      <c r="E662" s="250" t="s">
        <v>104</v>
      </c>
      <c r="F662" s="251">
        <v>151.61000000000001</v>
      </c>
      <c r="G662" s="452" t="s">
        <v>1909</v>
      </c>
      <c r="H662" s="250" t="s">
        <v>104</v>
      </c>
      <c r="I662" s="252" t="s">
        <v>465</v>
      </c>
      <c r="J662" s="250" t="s">
        <v>114</v>
      </c>
      <c r="K662" s="250" t="s">
        <v>466</v>
      </c>
      <c r="L662" s="250" t="s">
        <v>467</v>
      </c>
      <c r="M662" s="336">
        <v>2865</v>
      </c>
      <c r="N662" s="278">
        <v>44417</v>
      </c>
      <c r="O662" s="329" t="s">
        <v>69</v>
      </c>
      <c r="P662" s="330">
        <f t="shared" si="34"/>
        <v>8</v>
      </c>
      <c r="Q662" s="330">
        <f t="shared" si="35"/>
        <v>3</v>
      </c>
      <c r="R662" s="331" t="str">
        <f t="shared" si="36"/>
        <v>Gastos_custeados_por_captação</v>
      </c>
      <c r="S662" s="331" t="str">
        <f>IF(D662="","",IF(OR(D662=Plano!$A$1,D662=Plano!$B$1),"entrada","saída"))</f>
        <v>saída</v>
      </c>
      <c r="T662" s="332" t="s">
        <v>114</v>
      </c>
      <c r="U662" s="332" t="s">
        <v>114</v>
      </c>
      <c r="V662" s="269"/>
      <c r="W662" s="269"/>
      <c r="X662" s="269"/>
      <c r="Y662" s="269"/>
      <c r="Z662" s="269"/>
      <c r="AA662" s="269"/>
      <c r="AB662" s="269"/>
      <c r="AC662" s="269"/>
      <c r="AD662" s="269"/>
      <c r="AE662" s="269"/>
      <c r="AF662" s="269"/>
      <c r="AG662" s="269"/>
      <c r="AH662" s="269"/>
      <c r="AI662" s="269"/>
      <c r="AJ662" s="269"/>
      <c r="AK662" s="269"/>
      <c r="AL662" s="269"/>
      <c r="AM662" s="269"/>
    </row>
    <row r="663" spans="1:39" ht="47.25" customHeight="1" x14ac:dyDescent="0.2">
      <c r="A663" s="277">
        <f>IF(B663="","",COUNT('Diário 5º PA'!$A$5:$A$2634)+COUNT('Diário 6º PA'!$A$5:$A$2246)+ROW()-4)</f>
        <v>3202</v>
      </c>
      <c r="B663" s="278">
        <v>44417</v>
      </c>
      <c r="C663" s="249">
        <v>44348</v>
      </c>
      <c r="D663" s="250" t="s">
        <v>104</v>
      </c>
      <c r="E663" s="250" t="s">
        <v>104</v>
      </c>
      <c r="F663" s="251">
        <v>75</v>
      </c>
      <c r="G663" s="452" t="s">
        <v>1910</v>
      </c>
      <c r="H663" s="250" t="s">
        <v>104</v>
      </c>
      <c r="I663" s="252" t="s">
        <v>465</v>
      </c>
      <c r="J663" s="250" t="s">
        <v>114</v>
      </c>
      <c r="K663" s="250" t="s">
        <v>466</v>
      </c>
      <c r="L663" s="250" t="s">
        <v>467</v>
      </c>
      <c r="M663" s="336">
        <v>2866</v>
      </c>
      <c r="N663" s="278">
        <v>44417</v>
      </c>
      <c r="O663" s="329" t="s">
        <v>69</v>
      </c>
      <c r="P663" s="330">
        <f t="shared" si="34"/>
        <v>8</v>
      </c>
      <c r="Q663" s="330">
        <f t="shared" si="35"/>
        <v>6</v>
      </c>
      <c r="R663" s="331" t="str">
        <f t="shared" si="36"/>
        <v>Gastos_custeados_por_captação</v>
      </c>
      <c r="S663" s="331" t="str">
        <f>IF(D663="","",IF(OR(D663=Plano!$A$1,D663=Plano!$B$1),"entrada","saída"))</f>
        <v>saída</v>
      </c>
      <c r="T663" s="332" t="s">
        <v>114</v>
      </c>
      <c r="U663" s="332" t="s">
        <v>114</v>
      </c>
      <c r="V663" s="269"/>
      <c r="W663" s="269"/>
      <c r="X663" s="269"/>
      <c r="Y663" s="269"/>
      <c r="Z663" s="269"/>
      <c r="AA663" s="269"/>
      <c r="AB663" s="269"/>
      <c r="AC663" s="269"/>
      <c r="AD663" s="269"/>
      <c r="AE663" s="269"/>
      <c r="AF663" s="269"/>
      <c r="AG663" s="269"/>
      <c r="AH663" s="269"/>
      <c r="AI663" s="269"/>
      <c r="AJ663" s="269"/>
      <c r="AK663" s="269"/>
      <c r="AL663" s="269"/>
      <c r="AM663" s="269"/>
    </row>
    <row r="664" spans="1:39" ht="47.25" customHeight="1" x14ac:dyDescent="0.2">
      <c r="A664" s="277">
        <f>IF(B664="","",COUNT('Diário 5º PA'!$A$5:$A$2634)+COUNT('Diário 6º PA'!$A$5:$A$2246)+ROW()-4)</f>
        <v>3203</v>
      </c>
      <c r="B664" s="278">
        <v>44417</v>
      </c>
      <c r="C664" s="249">
        <v>44256</v>
      </c>
      <c r="D664" s="250" t="s">
        <v>104</v>
      </c>
      <c r="E664" s="250" t="s">
        <v>104</v>
      </c>
      <c r="F664" s="251">
        <v>89.6</v>
      </c>
      <c r="G664" s="452" t="s">
        <v>1911</v>
      </c>
      <c r="H664" s="250" t="s">
        <v>104</v>
      </c>
      <c r="I664" s="252" t="s">
        <v>465</v>
      </c>
      <c r="J664" s="250" t="s">
        <v>114</v>
      </c>
      <c r="K664" s="250" t="s">
        <v>466</v>
      </c>
      <c r="L664" s="250" t="s">
        <v>467</v>
      </c>
      <c r="M664" s="336">
        <v>2867</v>
      </c>
      <c r="N664" s="278">
        <v>44417</v>
      </c>
      <c r="O664" s="329" t="s">
        <v>69</v>
      </c>
      <c r="P664" s="330">
        <f t="shared" si="34"/>
        <v>8</v>
      </c>
      <c r="Q664" s="330">
        <f t="shared" si="35"/>
        <v>3</v>
      </c>
      <c r="R664" s="331" t="str">
        <f t="shared" si="36"/>
        <v>Gastos_custeados_por_captação</v>
      </c>
      <c r="S664" s="331" t="str">
        <f>IF(D664="","",IF(OR(D664=Plano!$A$1,D664=Plano!$B$1),"entrada","saída"))</f>
        <v>saída</v>
      </c>
      <c r="T664" s="332" t="s">
        <v>114</v>
      </c>
      <c r="U664" s="332" t="s">
        <v>114</v>
      </c>
      <c r="V664" s="269"/>
      <c r="W664" s="269"/>
      <c r="X664" s="269"/>
      <c r="Y664" s="269"/>
      <c r="Z664" s="269"/>
      <c r="AA664" s="269"/>
      <c r="AB664" s="269"/>
      <c r="AC664" s="269"/>
      <c r="AD664" s="269"/>
      <c r="AE664" s="269"/>
      <c r="AF664" s="269"/>
      <c r="AG664" s="269"/>
      <c r="AH664" s="269"/>
      <c r="AI664" s="269"/>
      <c r="AJ664" s="269"/>
      <c r="AK664" s="269"/>
      <c r="AL664" s="269"/>
      <c r="AM664" s="269"/>
    </row>
    <row r="665" spans="1:39" ht="47.25" customHeight="1" x14ac:dyDescent="0.2">
      <c r="A665" s="277">
        <f>IF(B665="","",COUNT('Diário 5º PA'!$A$5:$A$2634)+COUNT('Diário 6º PA'!$A$5:$A$2246)+ROW()-4)</f>
        <v>3204</v>
      </c>
      <c r="B665" s="278">
        <v>44417</v>
      </c>
      <c r="C665" s="249">
        <v>44256</v>
      </c>
      <c r="D665" s="250" t="s">
        <v>104</v>
      </c>
      <c r="E665" s="250" t="s">
        <v>104</v>
      </c>
      <c r="F665" s="251">
        <v>10.84</v>
      </c>
      <c r="G665" s="452" t="s">
        <v>1912</v>
      </c>
      <c r="H665" s="250" t="s">
        <v>104</v>
      </c>
      <c r="I665" s="252" t="s">
        <v>465</v>
      </c>
      <c r="J665" s="250" t="s">
        <v>114</v>
      </c>
      <c r="K665" s="250" t="s">
        <v>466</v>
      </c>
      <c r="L665" s="250" t="s">
        <v>467</v>
      </c>
      <c r="M665" s="336">
        <v>2868</v>
      </c>
      <c r="N665" s="278">
        <v>44417</v>
      </c>
      <c r="O665" s="329" t="s">
        <v>69</v>
      </c>
      <c r="P665" s="330">
        <f t="shared" si="34"/>
        <v>8</v>
      </c>
      <c r="Q665" s="330">
        <f t="shared" si="35"/>
        <v>3</v>
      </c>
      <c r="R665" s="331" t="str">
        <f t="shared" si="36"/>
        <v>Gastos_custeados_por_captação</v>
      </c>
      <c r="S665" s="331" t="str">
        <f>IF(D665="","",IF(OR(D665=Plano!$A$1,D665=Plano!$B$1),"entrada","saída"))</f>
        <v>saída</v>
      </c>
      <c r="T665" s="332" t="s">
        <v>114</v>
      </c>
      <c r="U665" s="332" t="s">
        <v>114</v>
      </c>
      <c r="V665" s="269"/>
      <c r="W665" s="269"/>
      <c r="X665" s="269"/>
      <c r="Y665" s="269"/>
      <c r="Z665" s="269"/>
      <c r="AA665" s="269"/>
      <c r="AB665" s="269"/>
      <c r="AC665" s="269"/>
      <c r="AD665" s="269"/>
      <c r="AE665" s="269"/>
      <c r="AF665" s="269"/>
      <c r="AG665" s="269"/>
      <c r="AH665" s="269"/>
      <c r="AI665" s="269"/>
      <c r="AJ665" s="269"/>
      <c r="AK665" s="269"/>
      <c r="AL665" s="269"/>
      <c r="AM665" s="269"/>
    </row>
    <row r="666" spans="1:39" ht="47.25" customHeight="1" x14ac:dyDescent="0.2">
      <c r="A666" s="277">
        <f>IF(B666="","",COUNT('Diário 5º PA'!$A$5:$A$2634)+COUNT('Diário 6º PA'!$A$5:$A$2246)+ROW()-4)</f>
        <v>3205</v>
      </c>
      <c r="B666" s="278">
        <v>44417</v>
      </c>
      <c r="C666" s="249">
        <v>44256</v>
      </c>
      <c r="D666" s="250" t="s">
        <v>104</v>
      </c>
      <c r="E666" s="250" t="s">
        <v>104</v>
      </c>
      <c r="F666" s="251">
        <v>7.58</v>
      </c>
      <c r="G666" s="452" t="s">
        <v>1913</v>
      </c>
      <c r="H666" s="250" t="s">
        <v>104</v>
      </c>
      <c r="I666" s="252" t="s">
        <v>465</v>
      </c>
      <c r="J666" s="250" t="s">
        <v>114</v>
      </c>
      <c r="K666" s="250" t="s">
        <v>466</v>
      </c>
      <c r="L666" s="250" t="s">
        <v>467</v>
      </c>
      <c r="M666" s="336">
        <v>2869</v>
      </c>
      <c r="N666" s="278">
        <v>44417</v>
      </c>
      <c r="O666" s="329" t="s">
        <v>69</v>
      </c>
      <c r="P666" s="330">
        <f t="shared" si="34"/>
        <v>8</v>
      </c>
      <c r="Q666" s="330">
        <f t="shared" si="35"/>
        <v>3</v>
      </c>
      <c r="R666" s="331" t="str">
        <f t="shared" si="36"/>
        <v>Gastos_custeados_por_captação</v>
      </c>
      <c r="S666" s="331" t="str">
        <f>IF(D666="","",IF(OR(D666=Plano!$A$1,D666=Plano!$B$1),"entrada","saída"))</f>
        <v>saída</v>
      </c>
      <c r="T666" s="332" t="s">
        <v>114</v>
      </c>
      <c r="U666" s="332" t="s">
        <v>114</v>
      </c>
      <c r="V666" s="269"/>
      <c r="W666" s="269"/>
      <c r="X666" s="269"/>
      <c r="Y666" s="269"/>
      <c r="Z666" s="269"/>
      <c r="AA666" s="269"/>
      <c r="AB666" s="269"/>
      <c r="AC666" s="269"/>
      <c r="AD666" s="269"/>
      <c r="AE666" s="269"/>
      <c r="AF666" s="269"/>
      <c r="AG666" s="269"/>
      <c r="AH666" s="269"/>
      <c r="AI666" s="269"/>
      <c r="AJ666" s="269"/>
      <c r="AK666" s="269"/>
      <c r="AL666" s="269"/>
      <c r="AM666" s="269"/>
    </row>
    <row r="667" spans="1:39" ht="138.75" customHeight="1" x14ac:dyDescent="0.2">
      <c r="A667" s="277">
        <f>IF(B667="","",COUNT('Diário 5º PA'!$A$5:$A$2634)+COUNT('Diário 6º PA'!$A$5:$A$2246)+ROW()-4)</f>
        <v>3206</v>
      </c>
      <c r="B667" s="278">
        <v>44417</v>
      </c>
      <c r="C667" s="249">
        <v>44378</v>
      </c>
      <c r="D667" s="250" t="s">
        <v>104</v>
      </c>
      <c r="E667" s="250" t="s">
        <v>104</v>
      </c>
      <c r="F667" s="251">
        <v>2694.72</v>
      </c>
      <c r="G667" s="452" t="s">
        <v>579</v>
      </c>
      <c r="H667" s="250" t="s">
        <v>104</v>
      </c>
      <c r="I667" s="252" t="s">
        <v>1328</v>
      </c>
      <c r="J667" s="250" t="s">
        <v>581</v>
      </c>
      <c r="K667" s="250" t="s">
        <v>1015</v>
      </c>
      <c r="L667" s="250" t="s">
        <v>992</v>
      </c>
      <c r="M667" s="277" t="s">
        <v>1336</v>
      </c>
      <c r="N667" s="278">
        <v>44414</v>
      </c>
      <c r="O667" s="329" t="s">
        <v>70</v>
      </c>
      <c r="P667" s="330">
        <f t="shared" si="34"/>
        <v>8</v>
      </c>
      <c r="Q667" s="330">
        <f t="shared" si="35"/>
        <v>7</v>
      </c>
      <c r="R667" s="331" t="str">
        <f t="shared" si="36"/>
        <v>Gastos_custeados_por_captação</v>
      </c>
      <c r="S667" s="331" t="str">
        <f>IF(D667="","",IF(OR(D667=Plano!$A$1,D667=Plano!$B$1),"entrada","saída"))</f>
        <v>saída</v>
      </c>
      <c r="T667" s="332" t="s">
        <v>1059</v>
      </c>
      <c r="U667" s="332">
        <v>1338</v>
      </c>
      <c r="V667" s="269"/>
      <c r="W667" s="269"/>
      <c r="X667" s="269"/>
      <c r="Y667" s="269"/>
      <c r="Z667" s="269"/>
      <c r="AA667" s="269"/>
      <c r="AB667" s="269"/>
      <c r="AC667" s="269"/>
      <c r="AD667" s="269"/>
      <c r="AE667" s="269"/>
      <c r="AF667" s="269"/>
      <c r="AG667" s="269"/>
      <c r="AH667" s="269"/>
      <c r="AI667" s="269"/>
      <c r="AJ667" s="269"/>
      <c r="AK667" s="269"/>
      <c r="AL667" s="269"/>
      <c r="AM667" s="269"/>
    </row>
    <row r="668" spans="1:39" ht="146.25" customHeight="1" x14ac:dyDescent="0.2">
      <c r="A668" s="277">
        <f>IF(B668="","",COUNT('Diário 5º PA'!$A$5:$A$2634)+COUNT('Diário 6º PA'!$A$5:$A$2246)+ROW()-4)</f>
        <v>3207</v>
      </c>
      <c r="B668" s="278">
        <v>44417</v>
      </c>
      <c r="C668" s="249">
        <v>44378</v>
      </c>
      <c r="D668" s="250" t="s">
        <v>104</v>
      </c>
      <c r="E668" s="250" t="s">
        <v>104</v>
      </c>
      <c r="F668" s="251">
        <v>2694.72</v>
      </c>
      <c r="G668" s="452" t="s">
        <v>685</v>
      </c>
      <c r="H668" s="250" t="s">
        <v>104</v>
      </c>
      <c r="I668" s="250" t="s">
        <v>1389</v>
      </c>
      <c r="J668" s="250" t="s">
        <v>686</v>
      </c>
      <c r="K668" s="250" t="s">
        <v>1015</v>
      </c>
      <c r="L668" s="250" t="s">
        <v>992</v>
      </c>
      <c r="M668" s="277" t="s">
        <v>1540</v>
      </c>
      <c r="N668" s="278">
        <v>44414</v>
      </c>
      <c r="O668" s="329" t="s">
        <v>70</v>
      </c>
      <c r="P668" s="330">
        <f t="shared" si="34"/>
        <v>8</v>
      </c>
      <c r="Q668" s="330">
        <f t="shared" si="35"/>
        <v>7</v>
      </c>
      <c r="R668" s="331" t="str">
        <f t="shared" si="36"/>
        <v>Gastos_custeados_por_captação</v>
      </c>
      <c r="S668" s="331" t="str">
        <f>IF(D668="","",IF(OR(D668=Plano!$A$1,D668=Plano!$B$1),"entrada","saída"))</f>
        <v>saída</v>
      </c>
      <c r="T668" s="332" t="s">
        <v>1059</v>
      </c>
      <c r="U668" s="332">
        <v>1649</v>
      </c>
      <c r="V668" s="269"/>
      <c r="W668" s="269"/>
      <c r="X668" s="269"/>
      <c r="Y668" s="269"/>
      <c r="Z668" s="269"/>
      <c r="AA668" s="269"/>
      <c r="AB668" s="269"/>
      <c r="AC668" s="269"/>
      <c r="AD668" s="269"/>
      <c r="AE668" s="269"/>
      <c r="AF668" s="269"/>
      <c r="AG668" s="269"/>
      <c r="AH668" s="269"/>
      <c r="AI668" s="269"/>
      <c r="AJ668" s="269"/>
      <c r="AK668" s="269"/>
      <c r="AL668" s="269"/>
      <c r="AM668" s="269"/>
    </row>
    <row r="669" spans="1:39" ht="47.25" customHeight="1" x14ac:dyDescent="0.2">
      <c r="A669" s="277">
        <f>IF(B669="","",COUNT('Diário 5º PA'!$A$5:$A$2634)+COUNT('Diário 6º PA'!$A$5:$A$2246)+ROW()-4)</f>
        <v>3208</v>
      </c>
      <c r="B669" s="278">
        <v>44417</v>
      </c>
      <c r="C669" s="249">
        <v>44348</v>
      </c>
      <c r="D669" s="250" t="s">
        <v>104</v>
      </c>
      <c r="E669" s="250" t="s">
        <v>104</v>
      </c>
      <c r="F669" s="251">
        <v>130.19999999999999</v>
      </c>
      <c r="G669" s="452" t="s">
        <v>1914</v>
      </c>
      <c r="H669" s="250" t="s">
        <v>104</v>
      </c>
      <c r="I669" s="250" t="s">
        <v>465</v>
      </c>
      <c r="J669" s="250" t="s">
        <v>114</v>
      </c>
      <c r="K669" s="250" t="s">
        <v>466</v>
      </c>
      <c r="L669" s="250" t="s">
        <v>467</v>
      </c>
      <c r="M669" s="336">
        <v>2843</v>
      </c>
      <c r="N669" s="278">
        <v>44417</v>
      </c>
      <c r="O669" s="329" t="s">
        <v>70</v>
      </c>
      <c r="P669" s="330">
        <f t="shared" si="34"/>
        <v>8</v>
      </c>
      <c r="Q669" s="330">
        <f t="shared" si="35"/>
        <v>6</v>
      </c>
      <c r="R669" s="331" t="str">
        <f t="shared" si="36"/>
        <v>Gastos_custeados_por_captação</v>
      </c>
      <c r="S669" s="331" t="str">
        <f>IF(D669="","",IF(OR(D669=Plano!$A$1,D669=Plano!$B$1),"entrada","saída"))</f>
        <v>saída</v>
      </c>
      <c r="T669" s="332" t="s">
        <v>114</v>
      </c>
      <c r="U669" s="332" t="s">
        <v>114</v>
      </c>
      <c r="V669" s="269"/>
      <c r="W669" s="269"/>
      <c r="X669" s="269"/>
      <c r="Y669" s="269"/>
      <c r="Z669" s="269"/>
      <c r="AA669" s="269"/>
      <c r="AB669" s="269"/>
      <c r="AC669" s="269"/>
      <c r="AD669" s="269"/>
      <c r="AE669" s="269"/>
      <c r="AF669" s="269"/>
      <c r="AG669" s="269"/>
      <c r="AH669" s="269"/>
      <c r="AI669" s="269"/>
      <c r="AJ669" s="269"/>
      <c r="AK669" s="269"/>
      <c r="AL669" s="269"/>
      <c r="AM669" s="269"/>
    </row>
    <row r="670" spans="1:39" ht="47.25" customHeight="1" x14ac:dyDescent="0.2">
      <c r="A670" s="277">
        <f>IF(B670="","",COUNT('Diário 5º PA'!$A$5:$A$2634)+COUNT('Diário 6º PA'!$A$5:$A$2246)+ROW()-4)</f>
        <v>3209</v>
      </c>
      <c r="B670" s="278">
        <v>44417</v>
      </c>
      <c r="C670" s="249">
        <v>44348</v>
      </c>
      <c r="D670" s="250" t="s">
        <v>104</v>
      </c>
      <c r="E670" s="250" t="s">
        <v>104</v>
      </c>
      <c r="F670" s="251">
        <v>55.27</v>
      </c>
      <c r="G670" s="452" t="s">
        <v>1915</v>
      </c>
      <c r="H670" s="250" t="s">
        <v>104</v>
      </c>
      <c r="I670" s="250" t="s">
        <v>465</v>
      </c>
      <c r="J670" s="250" t="s">
        <v>114</v>
      </c>
      <c r="K670" s="250" t="s">
        <v>466</v>
      </c>
      <c r="L670" s="250" t="s">
        <v>467</v>
      </c>
      <c r="M670" s="336">
        <v>2844</v>
      </c>
      <c r="N670" s="278">
        <v>44417</v>
      </c>
      <c r="O670" s="329" t="s">
        <v>70</v>
      </c>
      <c r="P670" s="330">
        <f t="shared" si="34"/>
        <v>8</v>
      </c>
      <c r="Q670" s="330">
        <f t="shared" si="35"/>
        <v>6</v>
      </c>
      <c r="R670" s="331" t="str">
        <f t="shared" si="36"/>
        <v>Gastos_custeados_por_captação</v>
      </c>
      <c r="S670" s="331" t="str">
        <f>IF(D670="","",IF(OR(D670=Plano!$A$1,D670=Plano!$B$1),"entrada","saída"))</f>
        <v>saída</v>
      </c>
      <c r="T670" s="332" t="s">
        <v>114</v>
      </c>
      <c r="U670" s="332" t="s">
        <v>114</v>
      </c>
      <c r="V670" s="269"/>
      <c r="W670" s="269"/>
      <c r="X670" s="269"/>
      <c r="Y670" s="269"/>
      <c r="Z670" s="269"/>
      <c r="AA670" s="269"/>
      <c r="AB670" s="269"/>
      <c r="AC670" s="269"/>
      <c r="AD670" s="269"/>
      <c r="AE670" s="269"/>
      <c r="AF670" s="269"/>
      <c r="AG670" s="269"/>
      <c r="AH670" s="269"/>
      <c r="AI670" s="269"/>
      <c r="AJ670" s="269"/>
      <c r="AK670" s="269"/>
      <c r="AL670" s="269"/>
      <c r="AM670" s="269"/>
    </row>
    <row r="671" spans="1:39" ht="47.25" customHeight="1" x14ac:dyDescent="0.2">
      <c r="A671" s="277">
        <f>IF(B671="","",COUNT('Diário 5º PA'!$A$5:$A$2634)+COUNT('Diário 6º PA'!$A$5:$A$2246)+ROW()-4)</f>
        <v>3210</v>
      </c>
      <c r="B671" s="278">
        <v>44417</v>
      </c>
      <c r="C671" s="249">
        <v>44348</v>
      </c>
      <c r="D671" s="250" t="s">
        <v>104</v>
      </c>
      <c r="E671" s="250" t="s">
        <v>104</v>
      </c>
      <c r="F671" s="251">
        <v>20</v>
      </c>
      <c r="G671" s="452" t="s">
        <v>1916</v>
      </c>
      <c r="H671" s="250" t="s">
        <v>104</v>
      </c>
      <c r="I671" s="250" t="s">
        <v>465</v>
      </c>
      <c r="J671" s="250" t="s">
        <v>114</v>
      </c>
      <c r="K671" s="250" t="s">
        <v>466</v>
      </c>
      <c r="L671" s="250" t="s">
        <v>467</v>
      </c>
      <c r="M671" s="336">
        <v>2845</v>
      </c>
      <c r="N671" s="278">
        <v>44417</v>
      </c>
      <c r="O671" s="329" t="s">
        <v>70</v>
      </c>
      <c r="P671" s="330">
        <f t="shared" si="34"/>
        <v>8</v>
      </c>
      <c r="Q671" s="330">
        <f t="shared" si="35"/>
        <v>6</v>
      </c>
      <c r="R671" s="331" t="str">
        <f t="shared" si="36"/>
        <v>Gastos_custeados_por_captação</v>
      </c>
      <c r="S671" s="331" t="str">
        <f>IF(D671="","",IF(OR(D671=Plano!$A$1,D671=Plano!$B$1),"entrada","saída"))</f>
        <v>saída</v>
      </c>
      <c r="T671" s="332" t="s">
        <v>114</v>
      </c>
      <c r="U671" s="332" t="s">
        <v>114</v>
      </c>
      <c r="V671" s="269"/>
      <c r="W671" s="269"/>
      <c r="X671" s="269"/>
      <c r="Y671" s="269"/>
      <c r="Z671" s="269"/>
      <c r="AA671" s="269"/>
      <c r="AB671" s="269"/>
      <c r="AC671" s="269"/>
      <c r="AD671" s="269"/>
      <c r="AE671" s="269"/>
      <c r="AF671" s="269"/>
      <c r="AG671" s="269"/>
      <c r="AH671" s="269"/>
      <c r="AI671" s="269"/>
      <c r="AJ671" s="269"/>
      <c r="AK671" s="269"/>
      <c r="AL671" s="269"/>
      <c r="AM671" s="269"/>
    </row>
    <row r="672" spans="1:39" ht="47.25" customHeight="1" x14ac:dyDescent="0.2">
      <c r="A672" s="277">
        <f>IF(B672="","",COUNT('Diário 5º PA'!$A$5:$A$2634)+COUNT('Diário 6º PA'!$A$5:$A$2246)+ROW()-4)</f>
        <v>3211</v>
      </c>
      <c r="B672" s="278">
        <v>44417</v>
      </c>
      <c r="C672" s="249">
        <v>44348</v>
      </c>
      <c r="D672" s="250" t="s">
        <v>104</v>
      </c>
      <c r="E672" s="250" t="s">
        <v>104</v>
      </c>
      <c r="F672" s="251">
        <v>125</v>
      </c>
      <c r="G672" s="452" t="s">
        <v>1917</v>
      </c>
      <c r="H672" s="250" t="s">
        <v>104</v>
      </c>
      <c r="I672" s="252" t="s">
        <v>465</v>
      </c>
      <c r="J672" s="250" t="s">
        <v>114</v>
      </c>
      <c r="K672" s="250" t="s">
        <v>466</v>
      </c>
      <c r="L672" s="250" t="s">
        <v>467</v>
      </c>
      <c r="M672" s="336">
        <v>2846</v>
      </c>
      <c r="N672" s="278">
        <v>44417</v>
      </c>
      <c r="O672" s="329" t="s">
        <v>70</v>
      </c>
      <c r="P672" s="330">
        <f t="shared" si="34"/>
        <v>8</v>
      </c>
      <c r="Q672" s="330">
        <f t="shared" si="35"/>
        <v>6</v>
      </c>
      <c r="R672" s="331" t="str">
        <f t="shared" si="36"/>
        <v>Gastos_custeados_por_captação</v>
      </c>
      <c r="S672" s="331" t="str">
        <f>IF(D672="","",IF(OR(D672=Plano!$A$1,D672=Plano!$B$1),"entrada","saída"))</f>
        <v>saída</v>
      </c>
      <c r="T672" s="332" t="s">
        <v>114</v>
      </c>
      <c r="U672" s="332" t="s">
        <v>114</v>
      </c>
      <c r="V672" s="269"/>
      <c r="W672" s="269"/>
      <c r="X672" s="269"/>
      <c r="Y672" s="269"/>
      <c r="Z672" s="269"/>
      <c r="AA672" s="269"/>
      <c r="AB672" s="269"/>
      <c r="AC672" s="269"/>
      <c r="AD672" s="269"/>
      <c r="AE672" s="269"/>
      <c r="AF672" s="269"/>
      <c r="AG672" s="269"/>
      <c r="AH672" s="269"/>
      <c r="AI672" s="269"/>
      <c r="AJ672" s="269"/>
      <c r="AK672" s="269"/>
      <c r="AL672" s="269"/>
      <c r="AM672" s="269"/>
    </row>
    <row r="673" spans="1:39" ht="47.25" customHeight="1" x14ac:dyDescent="0.2">
      <c r="A673" s="277">
        <f>IF(B673="","",COUNT('Diário 5º PA'!$A$5:$A$2634)+COUNT('Diário 6º PA'!$A$5:$A$2246)+ROW()-4)</f>
        <v>3212</v>
      </c>
      <c r="B673" s="278">
        <v>44417</v>
      </c>
      <c r="C673" s="249">
        <v>44378</v>
      </c>
      <c r="D673" s="250" t="s">
        <v>104</v>
      </c>
      <c r="E673" s="250" t="s">
        <v>104</v>
      </c>
      <c r="F673" s="251">
        <v>20</v>
      </c>
      <c r="G673" s="452" t="s">
        <v>1918</v>
      </c>
      <c r="H673" s="250" t="s">
        <v>104</v>
      </c>
      <c r="I673" s="252" t="s">
        <v>465</v>
      </c>
      <c r="J673" s="250" t="s">
        <v>114</v>
      </c>
      <c r="K673" s="250" t="s">
        <v>466</v>
      </c>
      <c r="L673" s="250" t="s">
        <v>467</v>
      </c>
      <c r="M673" s="336">
        <v>2847</v>
      </c>
      <c r="N673" s="278">
        <v>44417</v>
      </c>
      <c r="O673" s="329" t="s">
        <v>70</v>
      </c>
      <c r="P673" s="330">
        <f t="shared" si="34"/>
        <v>8</v>
      </c>
      <c r="Q673" s="330">
        <f t="shared" si="35"/>
        <v>7</v>
      </c>
      <c r="R673" s="331" t="str">
        <f t="shared" si="36"/>
        <v>Gastos_custeados_por_captação</v>
      </c>
      <c r="S673" s="331" t="str">
        <f>IF(D673="","",IF(OR(D673=Plano!$A$1,D673=Plano!$B$1),"entrada","saída"))</f>
        <v>saída</v>
      </c>
      <c r="T673" s="332" t="s">
        <v>114</v>
      </c>
      <c r="U673" s="332" t="s">
        <v>114</v>
      </c>
      <c r="V673" s="269"/>
      <c r="W673" s="269"/>
      <c r="X673" s="269"/>
      <c r="Y673" s="269"/>
      <c r="Z673" s="269"/>
      <c r="AA673" s="269"/>
      <c r="AB673" s="269"/>
      <c r="AC673" s="269"/>
      <c r="AD673" s="269"/>
      <c r="AE673" s="269"/>
      <c r="AF673" s="269"/>
      <c r="AG673" s="269"/>
      <c r="AH673" s="269"/>
      <c r="AI673" s="269"/>
      <c r="AJ673" s="269"/>
      <c r="AK673" s="269"/>
      <c r="AL673" s="269"/>
      <c r="AM673" s="269"/>
    </row>
    <row r="674" spans="1:39" ht="47.25" customHeight="1" x14ac:dyDescent="0.2">
      <c r="A674" s="277">
        <f>IF(B674="","",COUNT('Diário 5º PA'!$A$5:$A$2634)+COUNT('Diário 6º PA'!$A$5:$A$2246)+ROW()-4)</f>
        <v>3213</v>
      </c>
      <c r="B674" s="278">
        <v>44417</v>
      </c>
      <c r="C674" s="249">
        <v>44348</v>
      </c>
      <c r="D674" s="250" t="s">
        <v>104</v>
      </c>
      <c r="E674" s="250" t="s">
        <v>104</v>
      </c>
      <c r="F674" s="251">
        <v>40</v>
      </c>
      <c r="G674" s="452" t="s">
        <v>1919</v>
      </c>
      <c r="H674" s="250" t="s">
        <v>104</v>
      </c>
      <c r="I674" s="252" t="s">
        <v>465</v>
      </c>
      <c r="J674" s="250" t="s">
        <v>114</v>
      </c>
      <c r="K674" s="250" t="s">
        <v>466</v>
      </c>
      <c r="L674" s="250" t="s">
        <v>467</v>
      </c>
      <c r="M674" s="336">
        <v>2848</v>
      </c>
      <c r="N674" s="278">
        <v>44417</v>
      </c>
      <c r="O674" s="329" t="s">
        <v>70</v>
      </c>
      <c r="P674" s="330">
        <f t="shared" si="34"/>
        <v>8</v>
      </c>
      <c r="Q674" s="330">
        <f t="shared" si="35"/>
        <v>6</v>
      </c>
      <c r="R674" s="331" t="str">
        <f t="shared" si="36"/>
        <v>Gastos_custeados_por_captação</v>
      </c>
      <c r="S674" s="331" t="str">
        <f>IF(D674="","",IF(OR(D674=Plano!$A$1,D674=Plano!$B$1),"entrada","saída"))</f>
        <v>saída</v>
      </c>
      <c r="T674" s="332" t="s">
        <v>114</v>
      </c>
      <c r="U674" s="332" t="s">
        <v>114</v>
      </c>
      <c r="V674" s="269"/>
      <c r="W674" s="269"/>
      <c r="X674" s="269"/>
      <c r="Y674" s="269"/>
      <c r="Z674" s="269"/>
      <c r="AA674" s="269"/>
      <c r="AB674" s="269"/>
      <c r="AC674" s="269"/>
      <c r="AD674" s="269"/>
      <c r="AE674" s="269"/>
      <c r="AF674" s="269"/>
      <c r="AG674" s="269"/>
      <c r="AH674" s="269"/>
      <c r="AI674" s="269"/>
      <c r="AJ674" s="269"/>
      <c r="AK674" s="269"/>
      <c r="AL674" s="269"/>
      <c r="AM674" s="269"/>
    </row>
    <row r="675" spans="1:39" ht="47.25" customHeight="1" x14ac:dyDescent="0.2">
      <c r="A675" s="277">
        <f>IF(B675="","",COUNT('Diário 5º PA'!$A$5:$A$2634)+COUNT('Diário 6º PA'!$A$5:$A$2246)+ROW()-4)</f>
        <v>3214</v>
      </c>
      <c r="B675" s="278">
        <v>44417</v>
      </c>
      <c r="C675" s="249">
        <v>44348</v>
      </c>
      <c r="D675" s="250" t="s">
        <v>104</v>
      </c>
      <c r="E675" s="250" t="s">
        <v>104</v>
      </c>
      <c r="F675" s="251">
        <v>74.900000000000006</v>
      </c>
      <c r="G675" s="452" t="s">
        <v>1920</v>
      </c>
      <c r="H675" s="250" t="s">
        <v>104</v>
      </c>
      <c r="I675" s="250" t="s">
        <v>465</v>
      </c>
      <c r="J675" s="250" t="s">
        <v>114</v>
      </c>
      <c r="K675" s="250" t="s">
        <v>466</v>
      </c>
      <c r="L675" s="250" t="s">
        <v>467</v>
      </c>
      <c r="M675" s="336">
        <v>2849</v>
      </c>
      <c r="N675" s="278">
        <v>44417</v>
      </c>
      <c r="O675" s="329" t="s">
        <v>70</v>
      </c>
      <c r="P675" s="330">
        <f t="shared" si="34"/>
        <v>8</v>
      </c>
      <c r="Q675" s="330">
        <f t="shared" si="35"/>
        <v>6</v>
      </c>
      <c r="R675" s="331" t="str">
        <f t="shared" si="36"/>
        <v>Gastos_custeados_por_captação</v>
      </c>
      <c r="S675" s="331" t="str">
        <f>IF(D675="","",IF(OR(D675=Plano!$A$1,D675=Plano!$B$1),"entrada","saída"))</f>
        <v>saída</v>
      </c>
      <c r="T675" s="332" t="s">
        <v>114</v>
      </c>
      <c r="U675" s="332" t="s">
        <v>114</v>
      </c>
      <c r="V675" s="269"/>
      <c r="W675" s="269"/>
      <c r="X675" s="269"/>
      <c r="Y675" s="269"/>
      <c r="Z675" s="269"/>
      <c r="AA675" s="269"/>
      <c r="AB675" s="269"/>
      <c r="AC675" s="269"/>
      <c r="AD675" s="269"/>
      <c r="AE675" s="269"/>
      <c r="AF675" s="269"/>
      <c r="AG675" s="269"/>
      <c r="AH675" s="269"/>
      <c r="AI675" s="269"/>
      <c r="AJ675" s="269"/>
      <c r="AK675" s="269"/>
      <c r="AL675" s="269"/>
      <c r="AM675" s="269"/>
    </row>
    <row r="676" spans="1:39" ht="47.25" customHeight="1" x14ac:dyDescent="0.2">
      <c r="A676" s="277">
        <f>IF(B676="","",COUNT('Diário 5º PA'!$A$5:$A$2634)+COUNT('Diário 6º PA'!$A$5:$A$2246)+ROW()-4)</f>
        <v>3215</v>
      </c>
      <c r="B676" s="278">
        <v>44417</v>
      </c>
      <c r="C676" s="249">
        <v>44378</v>
      </c>
      <c r="D676" s="250" t="s">
        <v>104</v>
      </c>
      <c r="E676" s="250" t="s">
        <v>104</v>
      </c>
      <c r="F676" s="251">
        <v>8.0399999999999991</v>
      </c>
      <c r="G676" s="452" t="s">
        <v>1921</v>
      </c>
      <c r="H676" s="250" t="s">
        <v>104</v>
      </c>
      <c r="I676" s="250" t="s">
        <v>465</v>
      </c>
      <c r="J676" s="250" t="s">
        <v>114</v>
      </c>
      <c r="K676" s="250" t="s">
        <v>466</v>
      </c>
      <c r="L676" s="250" t="s">
        <v>467</v>
      </c>
      <c r="M676" s="336">
        <v>2850</v>
      </c>
      <c r="N676" s="278">
        <v>44417</v>
      </c>
      <c r="O676" s="329" t="s">
        <v>70</v>
      </c>
      <c r="P676" s="330">
        <f t="shared" si="34"/>
        <v>8</v>
      </c>
      <c r="Q676" s="330">
        <f t="shared" si="35"/>
        <v>7</v>
      </c>
      <c r="R676" s="331" t="str">
        <f t="shared" si="36"/>
        <v>Gastos_custeados_por_captação</v>
      </c>
      <c r="S676" s="331" t="str">
        <f>IF(D676="","",IF(OR(D676=Plano!$A$1,D676=Plano!$B$1),"entrada","saída"))</f>
        <v>saída</v>
      </c>
      <c r="T676" s="332" t="s">
        <v>114</v>
      </c>
      <c r="U676" s="332" t="s">
        <v>114</v>
      </c>
      <c r="V676" s="269"/>
      <c r="W676" s="269"/>
      <c r="X676" s="269"/>
      <c r="Y676" s="269"/>
      <c r="Z676" s="269"/>
      <c r="AA676" s="269"/>
      <c r="AB676" s="269"/>
      <c r="AC676" s="269"/>
      <c r="AD676" s="269"/>
      <c r="AE676" s="269"/>
      <c r="AF676" s="269"/>
      <c r="AG676" s="269"/>
      <c r="AH676" s="269"/>
      <c r="AI676" s="269"/>
      <c r="AJ676" s="269"/>
      <c r="AK676" s="269"/>
      <c r="AL676" s="269"/>
      <c r="AM676" s="269"/>
    </row>
    <row r="677" spans="1:39" s="477" customFormat="1" ht="93" customHeight="1" x14ac:dyDescent="0.2">
      <c r="A677" s="277">
        <f>IF(B677="","",COUNT('Diário 5º PA'!$A$5:$A$2634)+COUNT('Diário 6º PA'!$A$5:$A$2246)+ROW()-4)</f>
        <v>3216</v>
      </c>
      <c r="B677" s="278">
        <v>44417</v>
      </c>
      <c r="C677" s="249">
        <v>44378</v>
      </c>
      <c r="D677" s="250" t="s">
        <v>104</v>
      </c>
      <c r="E677" s="250" t="s">
        <v>104</v>
      </c>
      <c r="F677" s="251">
        <v>3634</v>
      </c>
      <c r="G677" s="452" t="s">
        <v>606</v>
      </c>
      <c r="H677" s="250" t="s">
        <v>104</v>
      </c>
      <c r="I677" s="252" t="s">
        <v>2817</v>
      </c>
      <c r="J677" s="440" t="s">
        <v>608</v>
      </c>
      <c r="K677" s="250" t="s">
        <v>991</v>
      </c>
      <c r="L677" s="250" t="s">
        <v>992</v>
      </c>
      <c r="M677" s="277" t="s">
        <v>1280</v>
      </c>
      <c r="N677" s="278">
        <v>44411</v>
      </c>
      <c r="O677" s="329" t="s">
        <v>5377</v>
      </c>
      <c r="P677" s="330">
        <f t="shared" ref="P677" si="37">IF(B677=0,0,IF(YEAR(B677)=$Q$1,MONTH(B677)-$P$1+1,(YEAR(B677)-$Q$1)*12-$P$1+1+MONTH(B677)))</f>
        <v>8</v>
      </c>
      <c r="Q677" s="330">
        <f t="shared" ref="Q677" si="38">IF(C677=0,0,IF(YEAR(C677)=$Q$1,MONTH(C677)-$P$1+1,(YEAR(C677)-$Q$1)*12-$P$1+1+MONTH(C677)))</f>
        <v>7</v>
      </c>
      <c r="R677" s="331" t="str">
        <f t="shared" ref="R677" si="39">SUBSTITUTE(D677," ","_")</f>
        <v>Gastos_custeados_por_captação</v>
      </c>
      <c r="S677" s="331" t="str">
        <f>IF(D677="","",IF(OR(D677=Plano!$A$1,D677=Plano!$B$1),"entrada","saída"))</f>
        <v>saída</v>
      </c>
      <c r="T677" s="332" t="s">
        <v>1059</v>
      </c>
      <c r="U677" s="332">
        <v>1413</v>
      </c>
      <c r="V677" s="439"/>
      <c r="W677" s="439"/>
      <c r="X677" s="439"/>
      <c r="Y677" s="439"/>
      <c r="Z677" s="439"/>
      <c r="AA677" s="439"/>
      <c r="AB677" s="439"/>
      <c r="AC677" s="439"/>
      <c r="AD677" s="439"/>
      <c r="AE677" s="439"/>
      <c r="AF677" s="439"/>
      <c r="AG677" s="439"/>
      <c r="AH677" s="439"/>
      <c r="AI677" s="439"/>
      <c r="AJ677" s="439"/>
      <c r="AK677" s="439"/>
      <c r="AL677" s="439"/>
      <c r="AM677" s="439"/>
    </row>
    <row r="678" spans="1:39" ht="73.5" customHeight="1" x14ac:dyDescent="0.2">
      <c r="A678" s="277">
        <f>IF(B678="","",COUNT('Diário 5º PA'!$A$5:$A$2634)+COUNT('Diário 6º PA'!$A$5:$A$2246)+ROW()-4)</f>
        <v>3217</v>
      </c>
      <c r="B678" s="278">
        <v>44418</v>
      </c>
      <c r="C678" s="249">
        <v>44378</v>
      </c>
      <c r="D678" s="255" t="s">
        <v>99</v>
      </c>
      <c r="E678" s="255" t="s">
        <v>246</v>
      </c>
      <c r="F678" s="258">
        <v>-158.46</v>
      </c>
      <c r="G678" s="450" t="s">
        <v>1922</v>
      </c>
      <c r="H678" s="255" t="s">
        <v>115</v>
      </c>
      <c r="I678" s="250" t="s">
        <v>983</v>
      </c>
      <c r="J678" s="255" t="s">
        <v>850</v>
      </c>
      <c r="K678" s="255" t="s">
        <v>946</v>
      </c>
      <c r="L678" s="250" t="s">
        <v>947</v>
      </c>
      <c r="M678" s="277" t="s">
        <v>114</v>
      </c>
      <c r="N678" s="278">
        <v>44418</v>
      </c>
      <c r="O678" s="329" t="s">
        <v>67</v>
      </c>
      <c r="P678" s="330">
        <f t="shared" si="34"/>
        <v>8</v>
      </c>
      <c r="Q678" s="330">
        <f t="shared" si="35"/>
        <v>7</v>
      </c>
      <c r="R678" s="331" t="str">
        <f t="shared" si="36"/>
        <v>Gastos_Gerais</v>
      </c>
      <c r="S678" s="331" t="str">
        <f>IF(D678="","",IF(OR(D678=Plano!$A$1,D678=Plano!$B$1),"entrada","saída"))</f>
        <v>saída</v>
      </c>
      <c r="T678" s="332" t="s">
        <v>114</v>
      </c>
      <c r="U678" s="332" t="s">
        <v>114</v>
      </c>
      <c r="V678" s="269"/>
      <c r="W678" s="269"/>
      <c r="X678" s="269"/>
      <c r="Y678" s="269"/>
      <c r="Z678" s="269"/>
      <c r="AA678" s="269"/>
      <c r="AB678" s="269"/>
      <c r="AC678" s="269"/>
      <c r="AD678" s="269"/>
      <c r="AE678" s="269"/>
      <c r="AF678" s="269"/>
      <c r="AG678" s="269"/>
      <c r="AH678" s="269"/>
      <c r="AI678" s="269"/>
      <c r="AJ678" s="269"/>
      <c r="AK678" s="269"/>
      <c r="AL678" s="269"/>
      <c r="AM678" s="269"/>
    </row>
    <row r="679" spans="1:39" ht="144" customHeight="1" x14ac:dyDescent="0.2">
      <c r="A679" s="277">
        <f>IF(B679="","",COUNT('Diário 5º PA'!$A$5:$A$2634)+COUNT('Diário 6º PA'!$A$5:$A$2246)+ROW()-4)</f>
        <v>3218</v>
      </c>
      <c r="B679" s="278">
        <v>44418</v>
      </c>
      <c r="C679" s="249">
        <v>44409</v>
      </c>
      <c r="D679" s="250" t="s">
        <v>99</v>
      </c>
      <c r="E679" s="250" t="s">
        <v>330</v>
      </c>
      <c r="F679" s="251">
        <v>384</v>
      </c>
      <c r="G679" s="452" t="s">
        <v>1923</v>
      </c>
      <c r="H679" s="250" t="s">
        <v>131</v>
      </c>
      <c r="I679" s="250" t="s">
        <v>1924</v>
      </c>
      <c r="J679" s="250" t="s">
        <v>1925</v>
      </c>
      <c r="K679" s="255" t="s">
        <v>991</v>
      </c>
      <c r="L679" s="250" t="s">
        <v>1016</v>
      </c>
      <c r="M679" s="277">
        <v>431399</v>
      </c>
      <c r="N679" s="278">
        <v>44418</v>
      </c>
      <c r="O679" s="329" t="s">
        <v>67</v>
      </c>
      <c r="P679" s="330">
        <f t="shared" si="34"/>
        <v>8</v>
      </c>
      <c r="Q679" s="330">
        <f t="shared" si="35"/>
        <v>8</v>
      </c>
      <c r="R679" s="331" t="str">
        <f t="shared" si="36"/>
        <v>Gastos_Gerais</v>
      </c>
      <c r="S679" s="331" t="str">
        <f>IF(D679="","",IF(OR(D679=Plano!$A$1,D679=Plano!$B$1),"entrada","saída"))</f>
        <v>saída</v>
      </c>
      <c r="T679" s="334" t="s">
        <v>1417</v>
      </c>
      <c r="U679" s="334">
        <v>1883</v>
      </c>
      <c r="V679" s="269"/>
      <c r="W679" s="269"/>
      <c r="X679" s="269"/>
      <c r="Y679" s="269"/>
      <c r="Z679" s="269"/>
      <c r="AA679" s="269"/>
      <c r="AB679" s="269"/>
      <c r="AC679" s="269"/>
      <c r="AD679" s="269"/>
      <c r="AE679" s="269"/>
      <c r="AF679" s="269"/>
      <c r="AG679" s="269"/>
      <c r="AH679" s="269"/>
      <c r="AI679" s="269"/>
      <c r="AJ679" s="269"/>
      <c r="AK679" s="269"/>
      <c r="AL679" s="269"/>
      <c r="AM679" s="269"/>
    </row>
    <row r="680" spans="1:39" ht="89.25" customHeight="1" x14ac:dyDescent="0.2">
      <c r="A680" s="277">
        <f>IF(B680="","",COUNT('Diário 5º PA'!$A$5:$A$2634)+COUNT('Diário 6º PA'!$A$5:$A$2246)+ROW()-4)</f>
        <v>3219</v>
      </c>
      <c r="B680" s="278">
        <v>44418</v>
      </c>
      <c r="C680" s="259">
        <v>44378</v>
      </c>
      <c r="D680" s="255" t="s">
        <v>99</v>
      </c>
      <c r="E680" s="255" t="s">
        <v>246</v>
      </c>
      <c r="F680" s="257">
        <v>600</v>
      </c>
      <c r="G680" s="451" t="s">
        <v>1369</v>
      </c>
      <c r="H680" s="255" t="s">
        <v>115</v>
      </c>
      <c r="I680" s="250" t="s">
        <v>1370</v>
      </c>
      <c r="J680" s="252" t="s">
        <v>1371</v>
      </c>
      <c r="K680" s="255" t="s">
        <v>560</v>
      </c>
      <c r="L680" s="250" t="s">
        <v>1016</v>
      </c>
      <c r="M680" s="277" t="s">
        <v>1452</v>
      </c>
      <c r="N680" s="278">
        <v>44413</v>
      </c>
      <c r="O680" s="329" t="s">
        <v>67</v>
      </c>
      <c r="P680" s="330">
        <f t="shared" si="34"/>
        <v>8</v>
      </c>
      <c r="Q680" s="330">
        <f t="shared" si="35"/>
        <v>7</v>
      </c>
      <c r="R680" s="331" t="str">
        <f t="shared" si="36"/>
        <v>Gastos_Gerais</v>
      </c>
      <c r="S680" s="331" t="str">
        <f>IF(D680="","",IF(OR(D680=Plano!$A$1,D680=Plano!$B$1),"entrada","saída"))</f>
        <v>saída</v>
      </c>
      <c r="T680" s="332" t="s">
        <v>1059</v>
      </c>
      <c r="U680" s="332">
        <v>1144</v>
      </c>
      <c r="V680" s="269"/>
      <c r="W680" s="269"/>
      <c r="X680" s="269"/>
      <c r="Y680" s="269"/>
      <c r="Z680" s="269"/>
      <c r="AA680" s="269"/>
      <c r="AB680" s="269"/>
      <c r="AC680" s="269"/>
      <c r="AD680" s="269"/>
      <c r="AE680" s="269"/>
      <c r="AF680" s="269"/>
      <c r="AG680" s="269"/>
      <c r="AH680" s="269"/>
      <c r="AI680" s="269"/>
      <c r="AJ680" s="269"/>
      <c r="AK680" s="269"/>
      <c r="AL680" s="269"/>
      <c r="AM680" s="269"/>
    </row>
    <row r="681" spans="1:39" ht="198" customHeight="1" x14ac:dyDescent="0.2">
      <c r="A681" s="277">
        <f>IF(B681="","",COUNT('Diário 5º PA'!$A$5:$A$2634)+COUNT('Diário 6º PA'!$A$5:$A$2246)+ROW()-4)</f>
        <v>3220</v>
      </c>
      <c r="B681" s="278">
        <v>44418</v>
      </c>
      <c r="C681" s="259">
        <v>44378</v>
      </c>
      <c r="D681" s="255" t="s">
        <v>99</v>
      </c>
      <c r="E681" s="255" t="s">
        <v>224</v>
      </c>
      <c r="F681" s="258">
        <v>49.99</v>
      </c>
      <c r="G681" s="450" t="s">
        <v>642</v>
      </c>
      <c r="H681" s="255" t="s">
        <v>130</v>
      </c>
      <c r="I681" s="252" t="s">
        <v>1374</v>
      </c>
      <c r="J681" s="252" t="s">
        <v>644</v>
      </c>
      <c r="K681" s="255" t="s">
        <v>1375</v>
      </c>
      <c r="L681" s="250" t="s">
        <v>697</v>
      </c>
      <c r="M681" s="336">
        <v>2107954713796</v>
      </c>
      <c r="N681" s="278">
        <v>44392</v>
      </c>
      <c r="O681" s="329" t="s">
        <v>67</v>
      </c>
      <c r="P681" s="330">
        <f t="shared" si="34"/>
        <v>8</v>
      </c>
      <c r="Q681" s="330">
        <f t="shared" si="35"/>
        <v>7</v>
      </c>
      <c r="R681" s="331" t="str">
        <f t="shared" si="36"/>
        <v>Gastos_Gerais</v>
      </c>
      <c r="S681" s="331" t="str">
        <f>IF(D681="","",IF(OR(D681=Plano!$A$1,D681=Plano!$B$1),"entrada","saída"))</f>
        <v>saída</v>
      </c>
      <c r="T681" s="332" t="s">
        <v>1082</v>
      </c>
      <c r="U681" s="332">
        <v>277</v>
      </c>
      <c r="V681" s="269"/>
      <c r="W681" s="269"/>
      <c r="X681" s="269"/>
      <c r="Y681" s="269"/>
      <c r="Z681" s="269"/>
      <c r="AA681" s="269"/>
      <c r="AB681" s="269"/>
      <c r="AC681" s="269"/>
      <c r="AD681" s="269"/>
      <c r="AE681" s="269"/>
      <c r="AF681" s="269"/>
      <c r="AG681" s="269"/>
      <c r="AH681" s="269"/>
      <c r="AI681" s="269"/>
      <c r="AJ681" s="269"/>
      <c r="AK681" s="269"/>
      <c r="AL681" s="269"/>
      <c r="AM681" s="269"/>
    </row>
    <row r="682" spans="1:39" ht="111" customHeight="1" x14ac:dyDescent="0.2">
      <c r="A682" s="277">
        <f>IF(B682="","",COUNT('Diário 5º PA'!$A$5:$A$2634)+COUNT('Diário 6º PA'!$A$5:$A$2246)+ROW()-4)</f>
        <v>3221</v>
      </c>
      <c r="B682" s="278">
        <v>44418</v>
      </c>
      <c r="C682" s="259">
        <v>44378</v>
      </c>
      <c r="D682" s="255" t="s">
        <v>99</v>
      </c>
      <c r="E682" s="255" t="s">
        <v>266</v>
      </c>
      <c r="F682" s="258">
        <v>255.72</v>
      </c>
      <c r="G682" s="450" t="s">
        <v>480</v>
      </c>
      <c r="H682" s="255" t="s">
        <v>115</v>
      </c>
      <c r="I682" s="252" t="s">
        <v>1372</v>
      </c>
      <c r="J682" s="252" t="s">
        <v>482</v>
      </c>
      <c r="K682" s="255" t="s">
        <v>560</v>
      </c>
      <c r="L682" s="250" t="s">
        <v>1016</v>
      </c>
      <c r="M682" s="277" t="s">
        <v>1926</v>
      </c>
      <c r="N682" s="278">
        <v>44381</v>
      </c>
      <c r="O682" s="329" t="s">
        <v>67</v>
      </c>
      <c r="P682" s="330">
        <f t="shared" si="34"/>
        <v>8</v>
      </c>
      <c r="Q682" s="330">
        <f t="shared" si="35"/>
        <v>7</v>
      </c>
      <c r="R682" s="331" t="str">
        <f t="shared" si="36"/>
        <v>Gastos_Gerais</v>
      </c>
      <c r="S682" s="331" t="str">
        <f>IF(D682="","",IF(OR(D682=Plano!$A$1,D682=Plano!$B$1),"entrada","saída"))</f>
        <v>saída</v>
      </c>
      <c r="T682" s="332" t="s">
        <v>1059</v>
      </c>
      <c r="U682" s="332">
        <v>1133</v>
      </c>
      <c r="V682" s="269"/>
      <c r="W682" s="269"/>
      <c r="X682" s="269"/>
      <c r="Y682" s="269"/>
      <c r="Z682" s="269"/>
      <c r="AA682" s="269"/>
      <c r="AB682" s="269"/>
      <c r="AC682" s="269"/>
      <c r="AD682" s="269"/>
      <c r="AE682" s="269"/>
      <c r="AF682" s="269"/>
      <c r="AG682" s="269"/>
      <c r="AH682" s="269"/>
      <c r="AI682" s="269"/>
      <c r="AJ682" s="269"/>
      <c r="AK682" s="269"/>
      <c r="AL682" s="269"/>
      <c r="AM682" s="269"/>
    </row>
    <row r="683" spans="1:39" ht="53.25" customHeight="1" x14ac:dyDescent="0.2">
      <c r="A683" s="277">
        <f>IF(B683="","",COUNT('Diário 5º PA'!$A$5:$A$2634)+COUNT('Diário 6º PA'!$A$5:$A$2246)+ROW()-4)</f>
        <v>3222</v>
      </c>
      <c r="B683" s="278">
        <v>44418</v>
      </c>
      <c r="C683" s="335">
        <v>44409</v>
      </c>
      <c r="D683" s="255" t="s">
        <v>99</v>
      </c>
      <c r="E683" s="255" t="s">
        <v>272</v>
      </c>
      <c r="F683" s="258">
        <v>10.45</v>
      </c>
      <c r="G683" s="450" t="s">
        <v>1927</v>
      </c>
      <c r="H683" s="250" t="s">
        <v>131</v>
      </c>
      <c r="I683" s="250" t="s">
        <v>949</v>
      </c>
      <c r="J683" s="255" t="s">
        <v>950</v>
      </c>
      <c r="K683" s="255" t="s">
        <v>951</v>
      </c>
      <c r="L683" s="250" t="s">
        <v>947</v>
      </c>
      <c r="M683" s="336" t="s">
        <v>114</v>
      </c>
      <c r="N683" s="278">
        <v>44418</v>
      </c>
      <c r="O683" s="329" t="s">
        <v>67</v>
      </c>
      <c r="P683" s="330">
        <f t="shared" si="34"/>
        <v>8</v>
      </c>
      <c r="Q683" s="330">
        <f t="shared" si="35"/>
        <v>8</v>
      </c>
      <c r="R683" s="331" t="str">
        <f t="shared" si="36"/>
        <v>Gastos_Gerais</v>
      </c>
      <c r="S683" s="331" t="str">
        <f>IF(D683="","",IF(OR(D683=Plano!$A$1,D683=Plano!$B$1),"entrada","saída"))</f>
        <v>saída</v>
      </c>
      <c r="T683" s="332" t="s">
        <v>114</v>
      </c>
      <c r="U683" s="332" t="s">
        <v>114</v>
      </c>
      <c r="V683" s="269"/>
      <c r="W683" s="269"/>
      <c r="X683" s="269"/>
      <c r="Y683" s="269"/>
      <c r="Z683" s="269"/>
      <c r="AA683" s="269"/>
      <c r="AB683" s="269"/>
      <c r="AC683" s="269"/>
      <c r="AD683" s="269"/>
      <c r="AE683" s="269"/>
      <c r="AF683" s="269"/>
      <c r="AG683" s="269"/>
      <c r="AH683" s="269"/>
      <c r="AI683" s="269"/>
      <c r="AJ683" s="269"/>
      <c r="AK683" s="269"/>
      <c r="AL683" s="269"/>
      <c r="AM683" s="269"/>
    </row>
    <row r="684" spans="1:39" ht="53.25" customHeight="1" x14ac:dyDescent="0.2">
      <c r="A684" s="277">
        <f>IF(B684="","",COUNT('Diário 5º PA'!$A$5:$A$2634)+COUNT('Diário 6º PA'!$A$5:$A$2246)+ROW()-4)</f>
        <v>3223</v>
      </c>
      <c r="B684" s="278">
        <v>44418</v>
      </c>
      <c r="C684" s="249">
        <v>44378</v>
      </c>
      <c r="D684" s="250" t="s">
        <v>104</v>
      </c>
      <c r="E684" s="250" t="s">
        <v>104</v>
      </c>
      <c r="F684" s="251">
        <v>269.16000000000003</v>
      </c>
      <c r="G684" s="452" t="s">
        <v>1928</v>
      </c>
      <c r="H684" s="250" t="s">
        <v>104</v>
      </c>
      <c r="I684" s="250" t="s">
        <v>1929</v>
      </c>
      <c r="J684" s="250" t="s">
        <v>444</v>
      </c>
      <c r="K684" s="255" t="s">
        <v>1015</v>
      </c>
      <c r="L684" s="250" t="s">
        <v>992</v>
      </c>
      <c r="M684" s="277" t="s">
        <v>1930</v>
      </c>
      <c r="N684" s="278">
        <v>44407</v>
      </c>
      <c r="O684" s="329" t="s">
        <v>69</v>
      </c>
      <c r="P684" s="330">
        <f t="shared" si="34"/>
        <v>8</v>
      </c>
      <c r="Q684" s="330">
        <f t="shared" si="35"/>
        <v>7</v>
      </c>
      <c r="R684" s="331" t="str">
        <f t="shared" si="36"/>
        <v>Gastos_custeados_por_captação</v>
      </c>
      <c r="S684" s="331" t="str">
        <f>IF(D684="","",IF(OR(D684=Plano!$A$1,D684=Plano!$B$1),"entrada","saída"))</f>
        <v>saída</v>
      </c>
      <c r="T684" s="332" t="s">
        <v>994</v>
      </c>
      <c r="U684" s="332">
        <v>1808</v>
      </c>
      <c r="V684" s="269"/>
      <c r="W684" s="269"/>
      <c r="X684" s="269"/>
      <c r="Y684" s="269"/>
      <c r="Z684" s="269"/>
      <c r="AA684" s="269"/>
      <c r="AB684" s="269"/>
      <c r="AC684" s="269"/>
      <c r="AD684" s="269"/>
      <c r="AE684" s="269"/>
      <c r="AF684" s="269"/>
      <c r="AG684" s="269"/>
      <c r="AH684" s="269"/>
      <c r="AI684" s="269"/>
      <c r="AJ684" s="269"/>
      <c r="AK684" s="269"/>
      <c r="AL684" s="269"/>
      <c r="AM684" s="269"/>
    </row>
    <row r="685" spans="1:39" s="478" customFormat="1" ht="53.25" customHeight="1" x14ac:dyDescent="0.2">
      <c r="A685" s="277">
        <f>IF(B685="","",COUNT('Diário 5º PA'!$A$5:$A$2634)+COUNT('Diário 6º PA'!$A$5:$A$2246)+ROW()-4)</f>
        <v>3224</v>
      </c>
      <c r="B685" s="278">
        <v>44418</v>
      </c>
      <c r="C685" s="249">
        <v>44409</v>
      </c>
      <c r="D685" s="250" t="s">
        <v>104</v>
      </c>
      <c r="E685" s="250" t="s">
        <v>104</v>
      </c>
      <c r="F685" s="258">
        <v>153</v>
      </c>
      <c r="G685" s="450" t="s">
        <v>1157</v>
      </c>
      <c r="H685" s="250" t="s">
        <v>104</v>
      </c>
      <c r="I685" s="250" t="s">
        <v>949</v>
      </c>
      <c r="J685" s="255" t="s">
        <v>950</v>
      </c>
      <c r="K685" s="255" t="s">
        <v>951</v>
      </c>
      <c r="L685" s="250" t="s">
        <v>947</v>
      </c>
      <c r="M685" s="336" t="s">
        <v>114</v>
      </c>
      <c r="N685" s="278">
        <v>44418</v>
      </c>
      <c r="O685" s="329" t="s">
        <v>5377</v>
      </c>
      <c r="P685" s="330">
        <f t="shared" ref="P685" si="40">IF(B685=0,0,IF(YEAR(B685)=$Q$1,MONTH(B685)-$P$1+1,(YEAR(B685)-$Q$1)*12-$P$1+1+MONTH(B685)))</f>
        <v>8</v>
      </c>
      <c r="Q685" s="330">
        <f t="shared" ref="Q685" si="41">IF(C685=0,0,IF(YEAR(C685)=$Q$1,MONTH(C685)-$P$1+1,(YEAR(C685)-$Q$1)*12-$P$1+1+MONTH(C685)))</f>
        <v>8</v>
      </c>
      <c r="R685" s="331" t="str">
        <f t="shared" ref="R685" si="42">SUBSTITUTE(D685," ","_")</f>
        <v>Gastos_custeados_por_captação</v>
      </c>
      <c r="S685" s="331" t="str">
        <f>IF(D685="","",IF(OR(D685=Plano!$A$1,D685=Plano!$B$1),"entrada","saída"))</f>
        <v>saída</v>
      </c>
      <c r="T685" s="332" t="s">
        <v>114</v>
      </c>
      <c r="U685" s="332" t="s">
        <v>114</v>
      </c>
      <c r="V685" s="439"/>
      <c r="W685" s="439"/>
      <c r="X685" s="439"/>
      <c r="Y685" s="439"/>
      <c r="Z685" s="439"/>
      <c r="AA685" s="439"/>
      <c r="AB685" s="439"/>
      <c r="AC685" s="439"/>
      <c r="AD685" s="439"/>
      <c r="AE685" s="439"/>
      <c r="AF685" s="439"/>
      <c r="AG685" s="439"/>
      <c r="AH685" s="439"/>
      <c r="AI685" s="439"/>
      <c r="AJ685" s="439"/>
      <c r="AK685" s="439"/>
      <c r="AL685" s="439"/>
      <c r="AM685" s="439"/>
    </row>
    <row r="686" spans="1:39" ht="163.5" customHeight="1" x14ac:dyDescent="0.2">
      <c r="A686" s="277">
        <f>IF(B686="","",COUNT('Diário 5º PA'!$A$5:$A$2634)+COUNT('Diário 6º PA'!$A$5:$A$2246)+ROW()-4)</f>
        <v>3225</v>
      </c>
      <c r="B686" s="278">
        <v>44419</v>
      </c>
      <c r="C686" s="249">
        <v>44378</v>
      </c>
      <c r="D686" s="250" t="s">
        <v>99</v>
      </c>
      <c r="E686" s="250" t="s">
        <v>330</v>
      </c>
      <c r="F686" s="251">
        <v>14505.75</v>
      </c>
      <c r="G686" s="452" t="s">
        <v>1931</v>
      </c>
      <c r="H686" s="250" t="s">
        <v>131</v>
      </c>
      <c r="I686" s="250" t="s">
        <v>1932</v>
      </c>
      <c r="J686" s="250" t="s">
        <v>1933</v>
      </c>
      <c r="K686" s="255" t="s">
        <v>991</v>
      </c>
      <c r="L686" s="250" t="s">
        <v>992</v>
      </c>
      <c r="M686" s="277">
        <v>178</v>
      </c>
      <c r="N686" s="278">
        <v>44412</v>
      </c>
      <c r="O686" s="329" t="s">
        <v>67</v>
      </c>
      <c r="P686" s="330">
        <f t="shared" si="34"/>
        <v>8</v>
      </c>
      <c r="Q686" s="330">
        <f t="shared" si="35"/>
        <v>7</v>
      </c>
      <c r="R686" s="331" t="str">
        <f t="shared" si="36"/>
        <v>Gastos_Gerais</v>
      </c>
      <c r="S686" s="331" t="str">
        <f>IF(D686="","",IF(OR(D686=Plano!$A$1,D686=Plano!$B$1),"entrada","saída"))</f>
        <v>saída</v>
      </c>
      <c r="T686" s="334" t="s">
        <v>1059</v>
      </c>
      <c r="U686" s="334">
        <v>1727</v>
      </c>
      <c r="V686" s="269"/>
      <c r="W686" s="269"/>
      <c r="X686" s="269"/>
      <c r="Y686" s="269"/>
      <c r="Z686" s="269"/>
      <c r="AA686" s="269"/>
      <c r="AB686" s="269"/>
      <c r="AC686" s="269"/>
      <c r="AD686" s="269"/>
      <c r="AE686" s="269"/>
      <c r="AF686" s="269"/>
      <c r="AG686" s="269"/>
      <c r="AH686" s="269"/>
      <c r="AI686" s="269"/>
      <c r="AJ686" s="269"/>
      <c r="AK686" s="269"/>
      <c r="AL686" s="269"/>
      <c r="AM686" s="269"/>
    </row>
    <row r="687" spans="1:39" ht="45.75" customHeight="1" x14ac:dyDescent="0.2">
      <c r="A687" s="277">
        <f>IF(B687="","",COUNT('Diário 5º PA'!$A$5:$A$2634)+COUNT('Diário 6º PA'!$A$5:$A$2246)+ROW()-4)</f>
        <v>3226</v>
      </c>
      <c r="B687" s="278">
        <v>44419</v>
      </c>
      <c r="C687" s="335">
        <v>44409</v>
      </c>
      <c r="D687" s="255" t="s">
        <v>99</v>
      </c>
      <c r="E687" s="255" t="s">
        <v>272</v>
      </c>
      <c r="F687" s="258">
        <v>10.45</v>
      </c>
      <c r="G687" s="450" t="s">
        <v>1934</v>
      </c>
      <c r="H687" s="250" t="s">
        <v>131</v>
      </c>
      <c r="I687" s="250" t="s">
        <v>949</v>
      </c>
      <c r="J687" s="255" t="s">
        <v>950</v>
      </c>
      <c r="K687" s="255" t="s">
        <v>951</v>
      </c>
      <c r="L687" s="250" t="s">
        <v>947</v>
      </c>
      <c r="M687" s="336" t="s">
        <v>114</v>
      </c>
      <c r="N687" s="278">
        <v>44419</v>
      </c>
      <c r="O687" s="329" t="s">
        <v>67</v>
      </c>
      <c r="P687" s="330">
        <f t="shared" si="34"/>
        <v>8</v>
      </c>
      <c r="Q687" s="330">
        <f t="shared" si="35"/>
        <v>8</v>
      </c>
      <c r="R687" s="331" t="str">
        <f t="shared" si="36"/>
        <v>Gastos_Gerais</v>
      </c>
      <c r="S687" s="331" t="str">
        <f>IF(D687="","",IF(OR(D687=Plano!$A$1,D687=Plano!$B$1),"entrada","saída"))</f>
        <v>saída</v>
      </c>
      <c r="T687" s="332" t="s">
        <v>114</v>
      </c>
      <c r="U687" s="332" t="s">
        <v>114</v>
      </c>
      <c r="V687" s="269"/>
      <c r="W687" s="269"/>
      <c r="X687" s="269"/>
      <c r="Y687" s="269"/>
      <c r="Z687" s="269"/>
      <c r="AA687" s="269"/>
      <c r="AB687" s="269"/>
      <c r="AC687" s="269"/>
      <c r="AD687" s="269"/>
      <c r="AE687" s="269"/>
      <c r="AF687" s="269"/>
      <c r="AG687" s="269"/>
      <c r="AH687" s="269"/>
      <c r="AI687" s="269"/>
      <c r="AJ687" s="269"/>
      <c r="AK687" s="269"/>
      <c r="AL687" s="269"/>
      <c r="AM687" s="269"/>
    </row>
    <row r="688" spans="1:39" ht="72" customHeight="1" x14ac:dyDescent="0.2">
      <c r="A688" s="277">
        <f>IF(B688="","",COUNT('Diário 5º PA'!$A$5:$A$2634)+COUNT('Diário 6º PA'!$A$5:$A$2246)+ROW()-4)</f>
        <v>3227</v>
      </c>
      <c r="B688" s="278">
        <v>44420</v>
      </c>
      <c r="C688" s="249">
        <v>44378</v>
      </c>
      <c r="D688" s="255" t="s">
        <v>99</v>
      </c>
      <c r="E688" s="255" t="s">
        <v>266</v>
      </c>
      <c r="F688" s="258">
        <v>-69.989999999999995</v>
      </c>
      <c r="G688" s="450" t="s">
        <v>1935</v>
      </c>
      <c r="H688" s="255" t="s">
        <v>115</v>
      </c>
      <c r="I688" s="250" t="s">
        <v>983</v>
      </c>
      <c r="J688" s="255" t="s">
        <v>850</v>
      </c>
      <c r="K688" s="255" t="s">
        <v>946</v>
      </c>
      <c r="L688" s="250" t="s">
        <v>947</v>
      </c>
      <c r="M688" s="277" t="s">
        <v>114</v>
      </c>
      <c r="N688" s="278">
        <v>44420</v>
      </c>
      <c r="O688" s="329" t="s">
        <v>67</v>
      </c>
      <c r="P688" s="330">
        <f t="shared" si="34"/>
        <v>8</v>
      </c>
      <c r="Q688" s="330">
        <f t="shared" si="35"/>
        <v>7</v>
      </c>
      <c r="R688" s="331" t="str">
        <f t="shared" si="36"/>
        <v>Gastos_Gerais</v>
      </c>
      <c r="S688" s="331" t="str">
        <f>IF(D688="","",IF(OR(D688=Plano!$A$1,D688=Plano!$B$1),"entrada","saída"))</f>
        <v>saída</v>
      </c>
      <c r="T688" s="332" t="s">
        <v>114</v>
      </c>
      <c r="U688" s="332" t="s">
        <v>114</v>
      </c>
      <c r="V688" s="269"/>
      <c r="W688" s="269"/>
      <c r="X688" s="269"/>
      <c r="Y688" s="269"/>
      <c r="Z688" s="269"/>
      <c r="AA688" s="269"/>
      <c r="AB688" s="269"/>
      <c r="AC688" s="269"/>
      <c r="AD688" s="269"/>
      <c r="AE688" s="269"/>
      <c r="AF688" s="269"/>
      <c r="AG688" s="269"/>
      <c r="AH688" s="269"/>
      <c r="AI688" s="269"/>
      <c r="AJ688" s="269"/>
      <c r="AK688" s="269"/>
      <c r="AL688" s="269"/>
      <c r="AM688" s="269"/>
    </row>
    <row r="689" spans="1:39" ht="80.25" customHeight="1" x14ac:dyDescent="0.2">
      <c r="A689" s="277">
        <f>IF(B689="","",COUNT('Diário 5º PA'!$A$5:$A$2634)+COUNT('Diário 6º PA'!$A$5:$A$2246)+ROW()-4)</f>
        <v>3228</v>
      </c>
      <c r="B689" s="278">
        <v>44420</v>
      </c>
      <c r="C689" s="249">
        <v>44378</v>
      </c>
      <c r="D689" s="255" t="s">
        <v>99</v>
      </c>
      <c r="E689" s="255" t="s">
        <v>220</v>
      </c>
      <c r="F689" s="258">
        <v>-70.2</v>
      </c>
      <c r="G689" s="450" t="s">
        <v>1936</v>
      </c>
      <c r="H689" s="255" t="s">
        <v>115</v>
      </c>
      <c r="I689" s="250" t="s">
        <v>983</v>
      </c>
      <c r="J689" s="252" t="s">
        <v>850</v>
      </c>
      <c r="K689" s="255" t="s">
        <v>1069</v>
      </c>
      <c r="L689" s="250" t="s">
        <v>947</v>
      </c>
      <c r="M689" s="277" t="s">
        <v>114</v>
      </c>
      <c r="N689" s="278">
        <v>44420</v>
      </c>
      <c r="O689" s="329" t="s">
        <v>67</v>
      </c>
      <c r="P689" s="330">
        <f t="shared" si="34"/>
        <v>8</v>
      </c>
      <c r="Q689" s="330">
        <f t="shared" si="35"/>
        <v>7</v>
      </c>
      <c r="R689" s="331" t="str">
        <f t="shared" si="36"/>
        <v>Gastos_Gerais</v>
      </c>
      <c r="S689" s="331" t="str">
        <f>IF(D689="","",IF(OR(D689=Plano!$A$1,D689=Plano!$B$1),"entrada","saída"))</f>
        <v>saída</v>
      </c>
      <c r="T689" s="332" t="s">
        <v>114</v>
      </c>
      <c r="U689" s="332" t="s">
        <v>114</v>
      </c>
      <c r="V689" s="269"/>
      <c r="W689" s="269"/>
      <c r="X689" s="269"/>
      <c r="Y689" s="269"/>
      <c r="Z689" s="269"/>
      <c r="AA689" s="269"/>
      <c r="AB689" s="269"/>
      <c r="AC689" s="269"/>
      <c r="AD689" s="269"/>
      <c r="AE689" s="269"/>
      <c r="AF689" s="269"/>
      <c r="AG689" s="269"/>
      <c r="AH689" s="269"/>
      <c r="AI689" s="269"/>
      <c r="AJ689" s="269"/>
      <c r="AK689" s="269"/>
      <c r="AL689" s="269"/>
      <c r="AM689" s="269"/>
    </row>
    <row r="690" spans="1:39" ht="62.25" customHeight="1" x14ac:dyDescent="0.2">
      <c r="A690" s="277">
        <f>IF(B690="","",COUNT('Diário 5º PA'!$A$5:$A$2634)+COUNT('Diário 6º PA'!$A$5:$A$2246)+ROW()-4)</f>
        <v>3229</v>
      </c>
      <c r="B690" s="278">
        <v>44420</v>
      </c>
      <c r="C690" s="249">
        <v>44378</v>
      </c>
      <c r="D690" s="255" t="s">
        <v>99</v>
      </c>
      <c r="E690" s="255" t="s">
        <v>254</v>
      </c>
      <c r="F690" s="258">
        <v>-132.05000000000001</v>
      </c>
      <c r="G690" s="451" t="s">
        <v>1937</v>
      </c>
      <c r="H690" s="255" t="s">
        <v>115</v>
      </c>
      <c r="I690" s="250" t="s">
        <v>983</v>
      </c>
      <c r="J690" s="252" t="s">
        <v>850</v>
      </c>
      <c r="K690" s="255" t="s">
        <v>946</v>
      </c>
      <c r="L690" s="250" t="s">
        <v>947</v>
      </c>
      <c r="M690" s="277" t="s">
        <v>114</v>
      </c>
      <c r="N690" s="278">
        <v>44420</v>
      </c>
      <c r="O690" s="329" t="s">
        <v>67</v>
      </c>
      <c r="P690" s="330">
        <f t="shared" si="34"/>
        <v>8</v>
      </c>
      <c r="Q690" s="330">
        <f t="shared" si="35"/>
        <v>7</v>
      </c>
      <c r="R690" s="331" t="str">
        <f t="shared" si="36"/>
        <v>Gastos_Gerais</v>
      </c>
      <c r="S690" s="331" t="str">
        <f>IF(D690="","",IF(OR(D690=Plano!$A$1,D690=Plano!$B$1),"entrada","saída"))</f>
        <v>saída</v>
      </c>
      <c r="T690" s="332" t="s">
        <v>114</v>
      </c>
      <c r="U690" s="332" t="s">
        <v>114</v>
      </c>
      <c r="V690" s="269"/>
      <c r="W690" s="269"/>
      <c r="X690" s="269"/>
      <c r="Y690" s="269"/>
      <c r="Z690" s="269"/>
      <c r="AA690" s="269"/>
      <c r="AB690" s="269"/>
      <c r="AC690" s="269"/>
      <c r="AD690" s="269"/>
      <c r="AE690" s="269"/>
      <c r="AF690" s="269"/>
      <c r="AG690" s="269"/>
      <c r="AH690" s="269"/>
      <c r="AI690" s="269"/>
      <c r="AJ690" s="269"/>
      <c r="AK690" s="269"/>
      <c r="AL690" s="269"/>
      <c r="AM690" s="269"/>
    </row>
    <row r="691" spans="1:39" ht="63.75" customHeight="1" x14ac:dyDescent="0.2">
      <c r="A691" s="277">
        <f>IF(B691="","",COUNT('Diário 5º PA'!$A$5:$A$2634)+COUNT('Diário 6º PA'!$A$5:$A$2246)+ROW()-4)</f>
        <v>3230</v>
      </c>
      <c r="B691" s="278">
        <v>44420</v>
      </c>
      <c r="C691" s="249">
        <v>44409</v>
      </c>
      <c r="D691" s="250" t="s">
        <v>99</v>
      </c>
      <c r="E691" s="250" t="s">
        <v>284</v>
      </c>
      <c r="F691" s="251">
        <v>-65.25</v>
      </c>
      <c r="G691" s="452" t="s">
        <v>1938</v>
      </c>
      <c r="H691" s="250" t="s">
        <v>130</v>
      </c>
      <c r="I691" s="250" t="s">
        <v>983</v>
      </c>
      <c r="J691" s="255" t="s">
        <v>850</v>
      </c>
      <c r="K691" s="255" t="s">
        <v>946</v>
      </c>
      <c r="L691" s="250" t="s">
        <v>947</v>
      </c>
      <c r="M691" s="277" t="s">
        <v>114</v>
      </c>
      <c r="N691" s="278">
        <v>44420</v>
      </c>
      <c r="O691" s="329" t="s">
        <v>67</v>
      </c>
      <c r="P691" s="330">
        <f t="shared" si="34"/>
        <v>8</v>
      </c>
      <c r="Q691" s="330">
        <f t="shared" si="35"/>
        <v>8</v>
      </c>
      <c r="R691" s="331" t="str">
        <f t="shared" si="36"/>
        <v>Gastos_Gerais</v>
      </c>
      <c r="S691" s="331" t="str">
        <f>IF(D691="","",IF(OR(D691=Plano!$A$1,D691=Plano!$B$1),"entrada","saída"))</f>
        <v>saída</v>
      </c>
      <c r="T691" s="332" t="s">
        <v>114</v>
      </c>
      <c r="U691" s="332" t="s">
        <v>114</v>
      </c>
      <c r="V691" s="269"/>
      <c r="W691" s="269"/>
      <c r="X691" s="269"/>
      <c r="Y691" s="269"/>
      <c r="Z691" s="269"/>
      <c r="AA691" s="269"/>
      <c r="AB691" s="269"/>
      <c r="AC691" s="269"/>
      <c r="AD691" s="269"/>
      <c r="AE691" s="269"/>
      <c r="AF691" s="269"/>
      <c r="AG691" s="269"/>
      <c r="AH691" s="269"/>
      <c r="AI691" s="269"/>
      <c r="AJ691" s="269"/>
      <c r="AK691" s="269"/>
      <c r="AL691" s="269"/>
      <c r="AM691" s="269"/>
    </row>
    <row r="692" spans="1:39" ht="169.5" customHeight="1" x14ac:dyDescent="0.2">
      <c r="A692" s="277">
        <f>IF(B692="","",COUNT('Diário 5º PA'!$A$5:$A$2634)+COUNT('Diário 6º PA'!$A$5:$A$2246)+ROW()-4)</f>
        <v>3231</v>
      </c>
      <c r="B692" s="278">
        <v>44420</v>
      </c>
      <c r="C692" s="256">
        <v>44378</v>
      </c>
      <c r="D692" s="255" t="s">
        <v>99</v>
      </c>
      <c r="E692" s="255" t="s">
        <v>254</v>
      </c>
      <c r="F692" s="258">
        <v>500</v>
      </c>
      <c r="G692" s="450" t="s">
        <v>448</v>
      </c>
      <c r="H692" s="255" t="s">
        <v>115</v>
      </c>
      <c r="I692" s="250" t="s">
        <v>1376</v>
      </c>
      <c r="J692" s="252" t="s">
        <v>1377</v>
      </c>
      <c r="K692" s="255" t="s">
        <v>560</v>
      </c>
      <c r="L692" s="250" t="s">
        <v>1378</v>
      </c>
      <c r="M692" s="277" t="s">
        <v>1939</v>
      </c>
      <c r="N692" s="278">
        <v>44410</v>
      </c>
      <c r="O692" s="329" t="s">
        <v>67</v>
      </c>
      <c r="P692" s="330">
        <f t="shared" si="34"/>
        <v>8</v>
      </c>
      <c r="Q692" s="330">
        <f t="shared" si="35"/>
        <v>7</v>
      </c>
      <c r="R692" s="331" t="str">
        <f t="shared" si="36"/>
        <v>Gastos_Gerais</v>
      </c>
      <c r="S692" s="331" t="str">
        <f>IF(D692="","",IF(OR(D692=Plano!$A$1,D692=Plano!$B$1),"entrada","saída"))</f>
        <v>saída</v>
      </c>
      <c r="T692" s="332" t="s">
        <v>1059</v>
      </c>
      <c r="U692" s="332">
        <v>1143</v>
      </c>
      <c r="V692" s="269"/>
      <c r="W692" s="269"/>
      <c r="X692" s="269"/>
      <c r="Y692" s="269"/>
      <c r="Z692" s="269"/>
      <c r="AA692" s="269"/>
      <c r="AB692" s="269"/>
      <c r="AC692" s="269"/>
      <c r="AD692" s="269"/>
      <c r="AE692" s="269"/>
      <c r="AF692" s="269"/>
      <c r="AG692" s="269"/>
      <c r="AH692" s="269"/>
      <c r="AI692" s="269"/>
      <c r="AJ692" s="269"/>
      <c r="AK692" s="269"/>
      <c r="AL692" s="269"/>
      <c r="AM692" s="269"/>
    </row>
    <row r="693" spans="1:39" ht="57.75" customHeight="1" x14ac:dyDescent="0.2">
      <c r="A693" s="277">
        <f>IF(B693="","",COUNT('Diário 5º PA'!$A$5:$A$2634)+COUNT('Diário 6º PA'!$A$5:$A$2246)+ROW()-4)</f>
        <v>3232</v>
      </c>
      <c r="B693" s="278">
        <v>44420</v>
      </c>
      <c r="C693" s="256">
        <v>44378</v>
      </c>
      <c r="D693" s="255" t="s">
        <v>99</v>
      </c>
      <c r="E693" s="255" t="s">
        <v>220</v>
      </c>
      <c r="F693" s="258">
        <v>265.8</v>
      </c>
      <c r="G693" s="450" t="s">
        <v>1940</v>
      </c>
      <c r="H693" s="255" t="s">
        <v>115</v>
      </c>
      <c r="I693" s="252" t="s">
        <v>522</v>
      </c>
      <c r="J693" s="252" t="s">
        <v>697</v>
      </c>
      <c r="K693" s="255" t="s">
        <v>1375</v>
      </c>
      <c r="L693" s="250" t="s">
        <v>1016</v>
      </c>
      <c r="M693" s="277" t="s">
        <v>1941</v>
      </c>
      <c r="N693" s="278">
        <v>44396</v>
      </c>
      <c r="O693" s="329" t="s">
        <v>67</v>
      </c>
      <c r="P693" s="330">
        <f t="shared" si="34"/>
        <v>8</v>
      </c>
      <c r="Q693" s="330">
        <f t="shared" si="35"/>
        <v>7</v>
      </c>
      <c r="R693" s="331" t="str">
        <f t="shared" si="36"/>
        <v>Gastos_Gerais</v>
      </c>
      <c r="S693" s="331" t="str">
        <f>IF(D693="","",IF(OR(D693=Plano!$A$1,D693=Plano!$B$1),"entrada","saída"))</f>
        <v>saída</v>
      </c>
      <c r="T693" s="332" t="s">
        <v>114</v>
      </c>
      <c r="U693" s="332" t="s">
        <v>114</v>
      </c>
      <c r="V693" s="269"/>
      <c r="W693" s="269"/>
      <c r="X693" s="269"/>
      <c r="Y693" s="269"/>
      <c r="Z693" s="269"/>
      <c r="AA693" s="269"/>
      <c r="AB693" s="269"/>
      <c r="AC693" s="269"/>
      <c r="AD693" s="269"/>
      <c r="AE693" s="269"/>
      <c r="AF693" s="269"/>
      <c r="AG693" s="269"/>
      <c r="AH693" s="269"/>
      <c r="AI693" s="269"/>
      <c r="AJ693" s="269"/>
      <c r="AK693" s="269"/>
      <c r="AL693" s="269"/>
      <c r="AM693" s="269"/>
    </row>
    <row r="694" spans="1:39" ht="59.25" customHeight="1" x14ac:dyDescent="0.2">
      <c r="A694" s="277">
        <f>IF(B694="","",COUNT('Diário 5º PA'!$A$5:$A$2634)+COUNT('Diário 6º PA'!$A$5:$A$2246)+ROW()-4)</f>
        <v>3233</v>
      </c>
      <c r="B694" s="278">
        <v>44420</v>
      </c>
      <c r="C694" s="256">
        <v>44409</v>
      </c>
      <c r="D694" s="255" t="s">
        <v>88</v>
      </c>
      <c r="E694" s="255" t="s">
        <v>194</v>
      </c>
      <c r="F694" s="258">
        <v>268.97000000000003</v>
      </c>
      <c r="G694" s="450" t="s">
        <v>1942</v>
      </c>
      <c r="H694" s="255" t="s">
        <v>114</v>
      </c>
      <c r="I694" s="250" t="s">
        <v>532</v>
      </c>
      <c r="J694" s="255" t="s">
        <v>1261</v>
      </c>
      <c r="K694" s="255" t="s">
        <v>560</v>
      </c>
      <c r="L694" s="250" t="s">
        <v>1016</v>
      </c>
      <c r="M694" s="277">
        <v>433953</v>
      </c>
      <c r="N694" s="278">
        <v>44425</v>
      </c>
      <c r="O694" s="329" t="s">
        <v>67</v>
      </c>
      <c r="P694" s="330">
        <f t="shared" si="34"/>
        <v>8</v>
      </c>
      <c r="Q694" s="330">
        <f t="shared" si="35"/>
        <v>8</v>
      </c>
      <c r="R694" s="331" t="str">
        <f t="shared" si="36"/>
        <v>Gastos_com_Pessoal</v>
      </c>
      <c r="S694" s="331" t="str">
        <f>IF(D694="","",IF(OR(D694=Plano!$A$1,D694=Plano!$B$1),"entrada","saída"))</f>
        <v>saída</v>
      </c>
      <c r="T694" s="332" t="s">
        <v>114</v>
      </c>
      <c r="U694" s="332" t="s">
        <v>114</v>
      </c>
      <c r="V694" s="269"/>
      <c r="W694" s="269"/>
      <c r="X694" s="269"/>
      <c r="Y694" s="269"/>
      <c r="Z694" s="269"/>
      <c r="AA694" s="269"/>
      <c r="AB694" s="269"/>
      <c r="AC694" s="269"/>
      <c r="AD694" s="269"/>
      <c r="AE694" s="269"/>
      <c r="AF694" s="269"/>
      <c r="AG694" s="269"/>
      <c r="AH694" s="269"/>
      <c r="AI694" s="269"/>
      <c r="AJ694" s="269"/>
      <c r="AK694" s="269"/>
      <c r="AL694" s="269"/>
      <c r="AM694" s="269"/>
    </row>
    <row r="695" spans="1:39" ht="212.25" customHeight="1" x14ac:dyDescent="0.2">
      <c r="A695" s="277">
        <f>IF(B695="","",COUNT('Diário 5º PA'!$A$5:$A$2634)+COUNT('Diário 6º PA'!$A$5:$A$2246)+ROW()-4)</f>
        <v>3234</v>
      </c>
      <c r="B695" s="278">
        <v>44420</v>
      </c>
      <c r="C695" s="249">
        <v>44348</v>
      </c>
      <c r="D695" s="250" t="s">
        <v>99</v>
      </c>
      <c r="E695" s="250" t="s">
        <v>364</v>
      </c>
      <c r="F695" s="251">
        <v>1200</v>
      </c>
      <c r="G695" s="452" t="s">
        <v>1943</v>
      </c>
      <c r="H695" s="250" t="s">
        <v>123</v>
      </c>
      <c r="I695" s="250" t="s">
        <v>1334</v>
      </c>
      <c r="J695" s="250" t="s">
        <v>1335</v>
      </c>
      <c r="K695" s="255" t="s">
        <v>991</v>
      </c>
      <c r="L695" s="250" t="s">
        <v>992</v>
      </c>
      <c r="M695" s="277" t="s">
        <v>1944</v>
      </c>
      <c r="N695" s="278">
        <v>44419</v>
      </c>
      <c r="O695" s="329" t="s">
        <v>67</v>
      </c>
      <c r="P695" s="330">
        <f t="shared" si="34"/>
        <v>8</v>
      </c>
      <c r="Q695" s="330">
        <f t="shared" si="35"/>
        <v>6</v>
      </c>
      <c r="R695" s="331" t="str">
        <f t="shared" si="36"/>
        <v>Gastos_Gerais</v>
      </c>
      <c r="S695" s="331" t="str">
        <f>IF(D695="","",IF(OR(D695=Plano!$A$1,D695=Plano!$B$1),"entrada","saída"))</f>
        <v>saída</v>
      </c>
      <c r="T695" s="334" t="s">
        <v>994</v>
      </c>
      <c r="U695" s="334">
        <v>1580</v>
      </c>
      <c r="V695" s="269"/>
      <c r="W695" s="269"/>
      <c r="X695" s="269"/>
      <c r="Y695" s="269"/>
      <c r="Z695" s="269"/>
      <c r="AA695" s="269"/>
      <c r="AB695" s="269"/>
      <c r="AC695" s="269"/>
      <c r="AD695" s="269"/>
      <c r="AE695" s="269"/>
      <c r="AF695" s="269"/>
      <c r="AG695" s="269"/>
      <c r="AH695" s="269"/>
      <c r="AI695" s="269"/>
      <c r="AJ695" s="269"/>
      <c r="AK695" s="269"/>
      <c r="AL695" s="269"/>
      <c r="AM695" s="269"/>
    </row>
    <row r="696" spans="1:39" ht="53.25" customHeight="1" x14ac:dyDescent="0.2">
      <c r="A696" s="277">
        <f>IF(B696="","",COUNT('Diário 5º PA'!$A$5:$A$2634)+COUNT('Diário 6º PA'!$A$5:$A$2246)+ROW()-4)</f>
        <v>3235</v>
      </c>
      <c r="B696" s="278">
        <v>44420</v>
      </c>
      <c r="C696" s="335">
        <v>44409</v>
      </c>
      <c r="D696" s="255" t="s">
        <v>99</v>
      </c>
      <c r="E696" s="255" t="s">
        <v>272</v>
      </c>
      <c r="F696" s="258">
        <v>10.45</v>
      </c>
      <c r="G696" s="450" t="s">
        <v>1945</v>
      </c>
      <c r="H696" s="250" t="s">
        <v>123</v>
      </c>
      <c r="I696" s="250" t="s">
        <v>949</v>
      </c>
      <c r="J696" s="255" t="s">
        <v>950</v>
      </c>
      <c r="K696" s="255" t="s">
        <v>951</v>
      </c>
      <c r="L696" s="250" t="s">
        <v>947</v>
      </c>
      <c r="M696" s="336" t="s">
        <v>114</v>
      </c>
      <c r="N696" s="278">
        <v>44420</v>
      </c>
      <c r="O696" s="329" t="s">
        <v>67</v>
      </c>
      <c r="P696" s="330">
        <f t="shared" si="34"/>
        <v>8</v>
      </c>
      <c r="Q696" s="330">
        <f t="shared" si="35"/>
        <v>8</v>
      </c>
      <c r="R696" s="331" t="str">
        <f t="shared" si="36"/>
        <v>Gastos_Gerais</v>
      </c>
      <c r="S696" s="331" t="str">
        <f>IF(D696="","",IF(OR(D696=Plano!$A$1,D696=Plano!$B$1),"entrada","saída"))</f>
        <v>saída</v>
      </c>
      <c r="T696" s="332" t="s">
        <v>114</v>
      </c>
      <c r="U696" s="332" t="s">
        <v>114</v>
      </c>
      <c r="V696" s="269"/>
      <c r="W696" s="269"/>
      <c r="X696" s="269"/>
      <c r="Y696" s="269"/>
      <c r="Z696" s="269"/>
      <c r="AA696" s="269"/>
      <c r="AB696" s="269"/>
      <c r="AC696" s="269"/>
      <c r="AD696" s="269"/>
      <c r="AE696" s="269"/>
      <c r="AF696" s="269"/>
      <c r="AG696" s="269"/>
      <c r="AH696" s="269"/>
      <c r="AI696" s="269"/>
      <c r="AJ696" s="269"/>
      <c r="AK696" s="269"/>
      <c r="AL696" s="269"/>
      <c r="AM696" s="269"/>
    </row>
    <row r="697" spans="1:39" ht="148.5" customHeight="1" x14ac:dyDescent="0.2">
      <c r="A697" s="277">
        <f>IF(B697="","",COUNT('Diário 5º PA'!$A$5:$A$2634)+COUNT('Diário 6º PA'!$A$5:$A$2246)+ROW()-4)</f>
        <v>3236</v>
      </c>
      <c r="B697" s="278">
        <v>44421</v>
      </c>
      <c r="C697" s="249">
        <v>44256</v>
      </c>
      <c r="D697" s="250" t="s">
        <v>99</v>
      </c>
      <c r="E697" s="250" t="s">
        <v>352</v>
      </c>
      <c r="F697" s="251">
        <v>1032</v>
      </c>
      <c r="G697" s="452" t="s">
        <v>1946</v>
      </c>
      <c r="H697" s="250" t="s">
        <v>122</v>
      </c>
      <c r="I697" s="252" t="s">
        <v>1947</v>
      </c>
      <c r="J697" s="250" t="s">
        <v>1948</v>
      </c>
      <c r="K697" s="255" t="s">
        <v>1015</v>
      </c>
      <c r="L697" s="250" t="s">
        <v>1901</v>
      </c>
      <c r="M697" s="277">
        <v>1275</v>
      </c>
      <c r="N697" s="278">
        <v>44419</v>
      </c>
      <c r="O697" s="329" t="s">
        <v>67</v>
      </c>
      <c r="P697" s="330">
        <f t="shared" si="34"/>
        <v>8</v>
      </c>
      <c r="Q697" s="330">
        <f t="shared" si="35"/>
        <v>3</v>
      </c>
      <c r="R697" s="331" t="str">
        <f t="shared" si="36"/>
        <v>Gastos_Gerais</v>
      </c>
      <c r="S697" s="331" t="str">
        <f>IF(D697="","",IF(OR(D697=Plano!$A$1,D697=Plano!$B$1),"entrada","saída"))</f>
        <v>saída</v>
      </c>
      <c r="T697" s="334" t="s">
        <v>994</v>
      </c>
      <c r="U697" s="334">
        <v>1468</v>
      </c>
      <c r="V697" s="269"/>
      <c r="W697" s="269"/>
      <c r="X697" s="269"/>
      <c r="Y697" s="269"/>
      <c r="Z697" s="269"/>
      <c r="AA697" s="269"/>
      <c r="AB697" s="269"/>
      <c r="AC697" s="269"/>
      <c r="AD697" s="269"/>
      <c r="AE697" s="269"/>
      <c r="AF697" s="269"/>
      <c r="AG697" s="269"/>
      <c r="AH697" s="269"/>
      <c r="AI697" s="269"/>
      <c r="AJ697" s="269"/>
      <c r="AK697" s="269"/>
      <c r="AL697" s="269"/>
      <c r="AM697" s="269"/>
    </row>
    <row r="698" spans="1:39" ht="226.5" customHeight="1" x14ac:dyDescent="0.2">
      <c r="A698" s="277">
        <f>IF(B698="","",COUNT('Diário 5º PA'!$A$5:$A$2634)+COUNT('Diário 6º PA'!$A$5:$A$2246)+ROW()-4)</f>
        <v>3237</v>
      </c>
      <c r="B698" s="278">
        <v>44421</v>
      </c>
      <c r="C698" s="249">
        <v>44317</v>
      </c>
      <c r="D698" s="250" t="s">
        <v>99</v>
      </c>
      <c r="E698" s="250" t="s">
        <v>336</v>
      </c>
      <c r="F698" s="251">
        <v>1600</v>
      </c>
      <c r="G698" s="452" t="s">
        <v>1949</v>
      </c>
      <c r="H698" s="250" t="s">
        <v>123</v>
      </c>
      <c r="I698" s="250" t="s">
        <v>1950</v>
      </c>
      <c r="J698" s="250" t="s">
        <v>1951</v>
      </c>
      <c r="K698" s="255" t="s">
        <v>991</v>
      </c>
      <c r="L698" s="250" t="s">
        <v>992</v>
      </c>
      <c r="M698" s="277" t="s">
        <v>1296</v>
      </c>
      <c r="N698" s="278">
        <v>44420</v>
      </c>
      <c r="O698" s="329" t="s">
        <v>67</v>
      </c>
      <c r="P698" s="330">
        <f t="shared" si="34"/>
        <v>8</v>
      </c>
      <c r="Q698" s="330">
        <f t="shared" si="35"/>
        <v>5</v>
      </c>
      <c r="R698" s="331" t="str">
        <f t="shared" si="36"/>
        <v>Gastos_Gerais</v>
      </c>
      <c r="S698" s="331" t="str">
        <f>IF(D698="","",IF(OR(D698=Plano!$A$1,D698=Plano!$B$1),"entrada","saída"))</f>
        <v>saída</v>
      </c>
      <c r="T698" s="334" t="s">
        <v>994</v>
      </c>
      <c r="U698" s="334">
        <v>1578</v>
      </c>
      <c r="V698" s="269"/>
      <c r="W698" s="269"/>
      <c r="X698" s="269"/>
      <c r="Y698" s="269"/>
      <c r="Z698" s="269"/>
      <c r="AA698" s="269"/>
      <c r="AB698" s="269"/>
      <c r="AC698" s="269"/>
      <c r="AD698" s="269"/>
      <c r="AE698" s="269"/>
      <c r="AF698" s="269"/>
      <c r="AG698" s="269"/>
      <c r="AH698" s="269"/>
      <c r="AI698" s="269"/>
      <c r="AJ698" s="269"/>
      <c r="AK698" s="269"/>
      <c r="AL698" s="269"/>
      <c r="AM698" s="269"/>
    </row>
    <row r="699" spans="1:39" ht="78" customHeight="1" x14ac:dyDescent="0.2">
      <c r="A699" s="277">
        <f>IF(B699="","",COUNT('Diário 5º PA'!$A$5:$A$2634)+COUNT('Diário 6º PA'!$A$5:$A$2246)+ROW()-4)</f>
        <v>3238</v>
      </c>
      <c r="B699" s="278">
        <v>44421</v>
      </c>
      <c r="C699" s="249">
        <v>44197</v>
      </c>
      <c r="D699" s="250" t="s">
        <v>99</v>
      </c>
      <c r="E699" s="250" t="s">
        <v>364</v>
      </c>
      <c r="F699" s="251">
        <v>1000</v>
      </c>
      <c r="G699" s="452" t="s">
        <v>1952</v>
      </c>
      <c r="H699" s="250" t="s">
        <v>125</v>
      </c>
      <c r="I699" s="252" t="s">
        <v>1953</v>
      </c>
      <c r="J699" s="250" t="s">
        <v>1954</v>
      </c>
      <c r="K699" s="255" t="s">
        <v>991</v>
      </c>
      <c r="L699" s="250" t="s">
        <v>992</v>
      </c>
      <c r="M699" s="277">
        <v>138</v>
      </c>
      <c r="N699" s="278">
        <v>44264</v>
      </c>
      <c r="O699" s="329" t="s">
        <v>67</v>
      </c>
      <c r="P699" s="330">
        <f t="shared" si="34"/>
        <v>8</v>
      </c>
      <c r="Q699" s="330">
        <f t="shared" si="35"/>
        <v>1</v>
      </c>
      <c r="R699" s="331" t="str">
        <f t="shared" si="36"/>
        <v>Gastos_Gerais</v>
      </c>
      <c r="S699" s="331" t="str">
        <f>IF(D699="","",IF(OR(D699=Plano!$A$1,D699=Plano!$B$1),"entrada","saída"))</f>
        <v>saída</v>
      </c>
      <c r="T699" s="334" t="s">
        <v>994</v>
      </c>
      <c r="U699" s="334">
        <v>1173</v>
      </c>
      <c r="V699" s="269"/>
      <c r="W699" s="269"/>
      <c r="X699" s="269"/>
      <c r="Y699" s="269"/>
      <c r="Z699" s="269"/>
      <c r="AA699" s="269"/>
      <c r="AB699" s="269"/>
      <c r="AC699" s="269"/>
      <c r="AD699" s="269"/>
      <c r="AE699" s="269"/>
      <c r="AF699" s="269"/>
      <c r="AG699" s="269"/>
      <c r="AH699" s="269"/>
      <c r="AI699" s="269"/>
      <c r="AJ699" s="269"/>
      <c r="AK699" s="269"/>
      <c r="AL699" s="269"/>
      <c r="AM699" s="269"/>
    </row>
    <row r="700" spans="1:39" ht="42" customHeight="1" x14ac:dyDescent="0.2">
      <c r="A700" s="277">
        <f>IF(B700="","",COUNT('Diário 5º PA'!$A$5:$A$2634)+COUNT('Diário 6º PA'!$A$5:$A$2246)+ROW()-4)</f>
        <v>3239</v>
      </c>
      <c r="B700" s="278">
        <v>44421</v>
      </c>
      <c r="C700" s="335">
        <v>44409</v>
      </c>
      <c r="D700" s="255" t="s">
        <v>99</v>
      </c>
      <c r="E700" s="255" t="s">
        <v>272</v>
      </c>
      <c r="F700" s="258">
        <v>10.45</v>
      </c>
      <c r="G700" s="450" t="s">
        <v>1955</v>
      </c>
      <c r="H700" s="250" t="s">
        <v>123</v>
      </c>
      <c r="I700" s="250" t="s">
        <v>949</v>
      </c>
      <c r="J700" s="255" t="s">
        <v>950</v>
      </c>
      <c r="K700" s="255" t="s">
        <v>951</v>
      </c>
      <c r="L700" s="250" t="s">
        <v>947</v>
      </c>
      <c r="M700" s="336" t="s">
        <v>114</v>
      </c>
      <c r="N700" s="278">
        <v>44421</v>
      </c>
      <c r="O700" s="329" t="s">
        <v>67</v>
      </c>
      <c r="P700" s="330">
        <f t="shared" si="34"/>
        <v>8</v>
      </c>
      <c r="Q700" s="330">
        <f t="shared" si="35"/>
        <v>8</v>
      </c>
      <c r="R700" s="331" t="str">
        <f t="shared" si="36"/>
        <v>Gastos_Gerais</v>
      </c>
      <c r="S700" s="331" t="str">
        <f>IF(D700="","",IF(OR(D700=Plano!$A$1,D700=Plano!$B$1),"entrada","saída"))</f>
        <v>saída</v>
      </c>
      <c r="T700" s="332" t="s">
        <v>114</v>
      </c>
      <c r="U700" s="332" t="s">
        <v>114</v>
      </c>
      <c r="V700" s="269"/>
      <c r="W700" s="269"/>
      <c r="X700" s="269"/>
      <c r="Y700" s="269"/>
      <c r="Z700" s="269"/>
      <c r="AA700" s="269"/>
      <c r="AB700" s="269"/>
      <c r="AC700" s="269"/>
      <c r="AD700" s="269"/>
      <c r="AE700" s="269"/>
      <c r="AF700" s="269"/>
      <c r="AG700" s="269"/>
      <c r="AH700" s="269"/>
      <c r="AI700" s="269"/>
      <c r="AJ700" s="269"/>
      <c r="AK700" s="269"/>
      <c r="AL700" s="269"/>
      <c r="AM700" s="269"/>
    </row>
    <row r="701" spans="1:39" ht="45" customHeight="1" x14ac:dyDescent="0.2">
      <c r="A701" s="277">
        <f>IF(B701="","",COUNT('Diário 5º PA'!$A$5:$A$2634)+COUNT('Diário 6º PA'!$A$5:$A$2246)+ROW()-4)</f>
        <v>3240</v>
      </c>
      <c r="B701" s="278">
        <v>44421</v>
      </c>
      <c r="C701" s="335">
        <v>44409</v>
      </c>
      <c r="D701" s="255" t="s">
        <v>99</v>
      </c>
      <c r="E701" s="255" t="s">
        <v>272</v>
      </c>
      <c r="F701" s="258">
        <v>10.45</v>
      </c>
      <c r="G701" s="450" t="s">
        <v>1956</v>
      </c>
      <c r="H701" s="250" t="s">
        <v>125</v>
      </c>
      <c r="I701" s="250" t="s">
        <v>949</v>
      </c>
      <c r="J701" s="255" t="s">
        <v>950</v>
      </c>
      <c r="K701" s="255" t="s">
        <v>951</v>
      </c>
      <c r="L701" s="250" t="s">
        <v>947</v>
      </c>
      <c r="M701" s="336" t="s">
        <v>114</v>
      </c>
      <c r="N701" s="278">
        <v>44421</v>
      </c>
      <c r="O701" s="329" t="s">
        <v>67</v>
      </c>
      <c r="P701" s="330">
        <f t="shared" si="34"/>
        <v>8</v>
      </c>
      <c r="Q701" s="330">
        <f t="shared" si="35"/>
        <v>8</v>
      </c>
      <c r="R701" s="331" t="str">
        <f t="shared" si="36"/>
        <v>Gastos_Gerais</v>
      </c>
      <c r="S701" s="331" t="str">
        <f>IF(D701="","",IF(OR(D701=Plano!$A$1,D701=Plano!$B$1),"entrada","saída"))</f>
        <v>saída</v>
      </c>
      <c r="T701" s="332" t="s">
        <v>114</v>
      </c>
      <c r="U701" s="332" t="s">
        <v>114</v>
      </c>
      <c r="V701" s="269"/>
      <c r="W701" s="269"/>
      <c r="X701" s="269"/>
      <c r="Y701" s="269"/>
      <c r="Z701" s="269"/>
      <c r="AA701" s="269"/>
      <c r="AB701" s="269"/>
      <c r="AC701" s="269"/>
      <c r="AD701" s="269"/>
      <c r="AE701" s="269"/>
      <c r="AF701" s="269"/>
      <c r="AG701" s="269"/>
      <c r="AH701" s="269"/>
      <c r="AI701" s="269"/>
      <c r="AJ701" s="269"/>
      <c r="AK701" s="269"/>
      <c r="AL701" s="269"/>
      <c r="AM701" s="269"/>
    </row>
    <row r="702" spans="1:39" ht="45" customHeight="1" x14ac:dyDescent="0.2">
      <c r="A702" s="277">
        <f>IF(B702="","",COUNT('Diário 5º PA'!$A$5:$A$2634)+COUNT('Diário 6º PA'!$A$5:$A$2246)+ROW()-4)</f>
        <v>3241</v>
      </c>
      <c r="B702" s="278">
        <v>44421</v>
      </c>
      <c r="C702" s="249">
        <v>44409</v>
      </c>
      <c r="D702" s="250" t="s">
        <v>104</v>
      </c>
      <c r="E702" s="250" t="s">
        <v>104</v>
      </c>
      <c r="F702" s="258">
        <v>141.57</v>
      </c>
      <c r="G702" s="450" t="s">
        <v>1157</v>
      </c>
      <c r="H702" s="250" t="s">
        <v>104</v>
      </c>
      <c r="I702" s="250" t="s">
        <v>949</v>
      </c>
      <c r="J702" s="255" t="s">
        <v>950</v>
      </c>
      <c r="K702" s="255" t="s">
        <v>951</v>
      </c>
      <c r="L702" s="250" t="s">
        <v>947</v>
      </c>
      <c r="M702" s="336" t="s">
        <v>114</v>
      </c>
      <c r="N702" s="278">
        <v>44421</v>
      </c>
      <c r="O702" s="329" t="s">
        <v>71</v>
      </c>
      <c r="P702" s="330">
        <f t="shared" si="34"/>
        <v>8</v>
      </c>
      <c r="Q702" s="330">
        <f t="shared" si="35"/>
        <v>8</v>
      </c>
      <c r="R702" s="331" t="str">
        <f t="shared" si="36"/>
        <v>Gastos_custeados_por_captação</v>
      </c>
      <c r="S702" s="331" t="str">
        <f>IF(D702="","",IF(OR(D702=Plano!$A$1,D702=Plano!$B$1),"entrada","saída"))</f>
        <v>saída</v>
      </c>
      <c r="T702" s="332" t="s">
        <v>114</v>
      </c>
      <c r="U702" s="332" t="s">
        <v>114</v>
      </c>
      <c r="V702" s="269"/>
      <c r="W702" s="269"/>
      <c r="X702" s="269"/>
      <c r="Y702" s="269"/>
      <c r="Z702" s="269"/>
      <c r="AA702" s="269"/>
      <c r="AB702" s="269"/>
      <c r="AC702" s="269"/>
      <c r="AD702" s="269"/>
      <c r="AE702" s="269"/>
      <c r="AF702" s="269"/>
      <c r="AG702" s="269"/>
      <c r="AH702" s="269"/>
      <c r="AI702" s="269"/>
      <c r="AJ702" s="269"/>
      <c r="AK702" s="269"/>
      <c r="AL702" s="269"/>
      <c r="AM702" s="269"/>
    </row>
    <row r="703" spans="1:39" ht="51" customHeight="1" x14ac:dyDescent="0.2">
      <c r="A703" s="277">
        <f>IF(B703="","",COUNT('Diário 5º PA'!$A$5:$A$2634)+COUNT('Diário 6º PA'!$A$5:$A$2246)+ROW()-4)</f>
        <v>3242</v>
      </c>
      <c r="B703" s="278">
        <v>44424</v>
      </c>
      <c r="C703" s="256">
        <v>44409</v>
      </c>
      <c r="D703" s="255" t="s">
        <v>88</v>
      </c>
      <c r="E703" s="255" t="s">
        <v>196</v>
      </c>
      <c r="F703" s="258">
        <v>-231.16</v>
      </c>
      <c r="G703" s="451" t="s">
        <v>1418</v>
      </c>
      <c r="H703" s="255" t="s">
        <v>114</v>
      </c>
      <c r="I703" s="250" t="s">
        <v>983</v>
      </c>
      <c r="J703" s="255" t="s">
        <v>850</v>
      </c>
      <c r="K703" s="255" t="s">
        <v>946</v>
      </c>
      <c r="L703" s="250" t="s">
        <v>947</v>
      </c>
      <c r="M703" s="349" t="s">
        <v>114</v>
      </c>
      <c r="N703" s="278">
        <v>44424</v>
      </c>
      <c r="O703" s="329" t="s">
        <v>67</v>
      </c>
      <c r="P703" s="330">
        <f t="shared" si="34"/>
        <v>8</v>
      </c>
      <c r="Q703" s="330">
        <f t="shared" si="35"/>
        <v>8</v>
      </c>
      <c r="R703" s="331" t="str">
        <f t="shared" si="36"/>
        <v>Gastos_com_Pessoal</v>
      </c>
      <c r="S703" s="331" t="str">
        <f>IF(D703="","",IF(OR(D703=Plano!$A$1,D703=Plano!$B$1),"entrada","saída"))</f>
        <v>saída</v>
      </c>
      <c r="T703" s="332" t="s">
        <v>114</v>
      </c>
      <c r="U703" s="332" t="s">
        <v>114</v>
      </c>
      <c r="V703" s="269"/>
      <c r="W703" s="269"/>
      <c r="X703" s="269"/>
      <c r="Y703" s="269"/>
      <c r="Z703" s="269"/>
      <c r="AA703" s="269"/>
      <c r="AB703" s="269"/>
      <c r="AC703" s="269"/>
      <c r="AD703" s="269"/>
      <c r="AE703" s="269"/>
      <c r="AF703" s="269"/>
      <c r="AG703" s="269"/>
      <c r="AH703" s="269"/>
      <c r="AI703" s="269"/>
      <c r="AJ703" s="269"/>
      <c r="AK703" s="269"/>
      <c r="AL703" s="269"/>
      <c r="AM703" s="269"/>
    </row>
    <row r="704" spans="1:39" ht="60.75" customHeight="1" x14ac:dyDescent="0.2">
      <c r="A704" s="277">
        <f>IF(B704="","",COUNT('Diário 5º PA'!$A$5:$A$2634)+COUNT('Diário 6º PA'!$A$5:$A$2246)+ROW()-4)</f>
        <v>3243</v>
      </c>
      <c r="B704" s="278">
        <v>44424</v>
      </c>
      <c r="C704" s="256">
        <v>44409</v>
      </c>
      <c r="D704" s="255" t="s">
        <v>88</v>
      </c>
      <c r="E704" s="255" t="s">
        <v>196</v>
      </c>
      <c r="F704" s="258">
        <v>-2911.75</v>
      </c>
      <c r="G704" s="452" t="s">
        <v>1419</v>
      </c>
      <c r="H704" s="255" t="s">
        <v>114</v>
      </c>
      <c r="I704" s="250" t="s">
        <v>983</v>
      </c>
      <c r="J704" s="255" t="s">
        <v>850</v>
      </c>
      <c r="K704" s="255" t="s">
        <v>946</v>
      </c>
      <c r="L704" s="250" t="s">
        <v>947</v>
      </c>
      <c r="M704" s="277" t="s">
        <v>114</v>
      </c>
      <c r="N704" s="278">
        <v>44424</v>
      </c>
      <c r="O704" s="329" t="s">
        <v>67</v>
      </c>
      <c r="P704" s="330">
        <f t="shared" si="34"/>
        <v>8</v>
      </c>
      <c r="Q704" s="330">
        <f t="shared" si="35"/>
        <v>8</v>
      </c>
      <c r="R704" s="331" t="str">
        <f t="shared" si="36"/>
        <v>Gastos_com_Pessoal</v>
      </c>
      <c r="S704" s="331" t="str">
        <f>IF(D704="","",IF(OR(D704=Plano!$A$1,D704=Plano!$B$1),"entrada","saída"))</f>
        <v>saída</v>
      </c>
      <c r="T704" s="332" t="s">
        <v>114</v>
      </c>
      <c r="U704" s="332" t="s">
        <v>114</v>
      </c>
      <c r="V704" s="269"/>
      <c r="W704" s="269"/>
      <c r="X704" s="269"/>
      <c r="Y704" s="269"/>
      <c r="Z704" s="269"/>
      <c r="AA704" s="269"/>
      <c r="AB704" s="269"/>
      <c r="AC704" s="269"/>
      <c r="AD704" s="269"/>
      <c r="AE704" s="269"/>
      <c r="AF704" s="269"/>
      <c r="AG704" s="269"/>
      <c r="AH704" s="269"/>
      <c r="AI704" s="269"/>
      <c r="AJ704" s="269"/>
      <c r="AK704" s="269"/>
      <c r="AL704" s="269"/>
      <c r="AM704" s="269"/>
    </row>
    <row r="705" spans="1:39" ht="59.25" customHeight="1" x14ac:dyDescent="0.2">
      <c r="A705" s="277">
        <f>IF(B705="","",COUNT('Diário 5º PA'!$A$5:$A$2634)+COUNT('Diário 6º PA'!$A$5:$A$2246)+ROW()-4)</f>
        <v>3244</v>
      </c>
      <c r="B705" s="278">
        <v>44424</v>
      </c>
      <c r="C705" s="256">
        <v>44348</v>
      </c>
      <c r="D705" s="255" t="s">
        <v>88</v>
      </c>
      <c r="E705" s="255" t="s">
        <v>90</v>
      </c>
      <c r="F705" s="258">
        <v>-364.19</v>
      </c>
      <c r="G705" s="452" t="s">
        <v>1420</v>
      </c>
      <c r="H705" s="255" t="s">
        <v>114</v>
      </c>
      <c r="I705" s="250" t="s">
        <v>983</v>
      </c>
      <c r="J705" s="255" t="s">
        <v>850</v>
      </c>
      <c r="K705" s="255" t="s">
        <v>946</v>
      </c>
      <c r="L705" s="250" t="s">
        <v>947</v>
      </c>
      <c r="M705" s="277" t="s">
        <v>114</v>
      </c>
      <c r="N705" s="278">
        <v>44424</v>
      </c>
      <c r="O705" s="329" t="s">
        <v>67</v>
      </c>
      <c r="P705" s="330">
        <f t="shared" si="34"/>
        <v>8</v>
      </c>
      <c r="Q705" s="330">
        <f t="shared" si="35"/>
        <v>6</v>
      </c>
      <c r="R705" s="331" t="str">
        <f t="shared" si="36"/>
        <v>Gastos_com_Pessoal</v>
      </c>
      <c r="S705" s="331" t="str">
        <f>IF(D705="","",IF(OR(D705=Plano!$A$1,D705=Plano!$B$1),"entrada","saída"))</f>
        <v>saída</v>
      </c>
      <c r="T705" s="332" t="s">
        <v>114</v>
      </c>
      <c r="U705" s="332" t="s">
        <v>114</v>
      </c>
      <c r="V705" s="269"/>
      <c r="W705" s="269"/>
      <c r="X705" s="269"/>
      <c r="Y705" s="269"/>
      <c r="Z705" s="269"/>
      <c r="AA705" s="269"/>
      <c r="AB705" s="269"/>
      <c r="AC705" s="269"/>
      <c r="AD705" s="269"/>
      <c r="AE705" s="269"/>
      <c r="AF705" s="269"/>
      <c r="AG705" s="269"/>
      <c r="AH705" s="269"/>
      <c r="AI705" s="269"/>
      <c r="AJ705" s="269"/>
      <c r="AK705" s="269"/>
      <c r="AL705" s="269"/>
      <c r="AM705" s="269"/>
    </row>
    <row r="706" spans="1:39" ht="54" customHeight="1" x14ac:dyDescent="0.2">
      <c r="A706" s="277">
        <f>IF(B706="","",COUNT('Diário 5º PA'!$A$5:$A$2634)+COUNT('Diário 6º PA'!$A$5:$A$2246)+ROW()-4)</f>
        <v>3245</v>
      </c>
      <c r="B706" s="278">
        <v>44424</v>
      </c>
      <c r="C706" s="256">
        <v>44378</v>
      </c>
      <c r="D706" s="255" t="s">
        <v>88</v>
      </c>
      <c r="E706" s="255" t="s">
        <v>196</v>
      </c>
      <c r="F706" s="258">
        <v>527.95000000000005</v>
      </c>
      <c r="G706" s="451" t="s">
        <v>1957</v>
      </c>
      <c r="H706" s="255" t="s">
        <v>114</v>
      </c>
      <c r="I706" s="250" t="s">
        <v>1958</v>
      </c>
      <c r="J706" s="255" t="s">
        <v>850</v>
      </c>
      <c r="K706" s="255" t="s">
        <v>946</v>
      </c>
      <c r="L706" s="250" t="s">
        <v>947</v>
      </c>
      <c r="M706" s="349" t="s">
        <v>114</v>
      </c>
      <c r="N706" s="278">
        <v>44424</v>
      </c>
      <c r="O706" s="329" t="s">
        <v>67</v>
      </c>
      <c r="P706" s="330">
        <f t="shared" si="34"/>
        <v>8</v>
      </c>
      <c r="Q706" s="330">
        <f t="shared" si="35"/>
        <v>7</v>
      </c>
      <c r="R706" s="331" t="str">
        <f t="shared" si="36"/>
        <v>Gastos_com_Pessoal</v>
      </c>
      <c r="S706" s="331" t="str">
        <f>IF(D706="","",IF(OR(D706=Plano!$A$1,D706=Plano!$B$1),"entrada","saída"))</f>
        <v>saída</v>
      </c>
      <c r="T706" s="332" t="s">
        <v>114</v>
      </c>
      <c r="U706" s="332" t="s">
        <v>114</v>
      </c>
      <c r="V706" s="269"/>
      <c r="W706" s="269"/>
      <c r="X706" s="269"/>
      <c r="Y706" s="269"/>
      <c r="Z706" s="269"/>
      <c r="AA706" s="269"/>
      <c r="AB706" s="269"/>
      <c r="AC706" s="269"/>
      <c r="AD706" s="269"/>
      <c r="AE706" s="269"/>
      <c r="AF706" s="269"/>
      <c r="AG706" s="269"/>
      <c r="AH706" s="269"/>
      <c r="AI706" s="269"/>
      <c r="AJ706" s="269"/>
      <c r="AK706" s="269"/>
      <c r="AL706" s="269"/>
      <c r="AM706" s="269"/>
    </row>
    <row r="707" spans="1:39" ht="92.25" customHeight="1" x14ac:dyDescent="0.2">
      <c r="A707" s="277">
        <f>IF(B707="","",COUNT('Diário 5º PA'!$A$5:$A$2634)+COUNT('Diário 6º PA'!$A$5:$A$2246)+ROW()-4)</f>
        <v>3246</v>
      </c>
      <c r="B707" s="278">
        <v>44424</v>
      </c>
      <c r="C707" s="249">
        <v>44378</v>
      </c>
      <c r="D707" s="250" t="s">
        <v>99</v>
      </c>
      <c r="E707" s="250" t="s">
        <v>344</v>
      </c>
      <c r="F707" s="251">
        <v>65.8</v>
      </c>
      <c r="G707" s="452" t="s">
        <v>1959</v>
      </c>
      <c r="H707" s="250" t="s">
        <v>118</v>
      </c>
      <c r="I707" s="250" t="s">
        <v>1960</v>
      </c>
      <c r="J707" s="250" t="s">
        <v>1961</v>
      </c>
      <c r="K707" s="255" t="s">
        <v>1962</v>
      </c>
      <c r="L707" s="250" t="s">
        <v>992</v>
      </c>
      <c r="M707" s="277">
        <v>2230</v>
      </c>
      <c r="N707" s="278">
        <v>44380</v>
      </c>
      <c r="O707" s="329" t="s">
        <v>67</v>
      </c>
      <c r="P707" s="330">
        <f t="shared" si="34"/>
        <v>8</v>
      </c>
      <c r="Q707" s="330">
        <f t="shared" si="35"/>
        <v>7</v>
      </c>
      <c r="R707" s="331" t="str">
        <f t="shared" si="36"/>
        <v>Gastos_Gerais</v>
      </c>
      <c r="S707" s="331" t="str">
        <f>IF(D707="","",IF(OR(D707=Plano!$A$1,D707=Plano!$B$1),"entrada","saída"))</f>
        <v>saída</v>
      </c>
      <c r="T707" s="334" t="s">
        <v>1417</v>
      </c>
      <c r="U707" s="334">
        <v>1733</v>
      </c>
      <c r="V707" s="269"/>
      <c r="W707" s="269"/>
      <c r="X707" s="269"/>
      <c r="Y707" s="269"/>
      <c r="Z707" s="269"/>
      <c r="AA707" s="269"/>
      <c r="AB707" s="269"/>
      <c r="AC707" s="269"/>
      <c r="AD707" s="269"/>
      <c r="AE707" s="269"/>
      <c r="AF707" s="269"/>
      <c r="AG707" s="269"/>
      <c r="AH707" s="269"/>
      <c r="AI707" s="269"/>
      <c r="AJ707" s="269"/>
      <c r="AK707" s="269"/>
      <c r="AL707" s="269"/>
      <c r="AM707" s="269"/>
    </row>
    <row r="708" spans="1:39" ht="170.25" customHeight="1" x14ac:dyDescent="0.2">
      <c r="A708" s="277">
        <f>IF(B708="","",COUNT('Diário 5º PA'!$A$5:$A$2634)+COUNT('Diário 6º PA'!$A$5:$A$2246)+ROW()-4)</f>
        <v>3247</v>
      </c>
      <c r="B708" s="278">
        <v>44424</v>
      </c>
      <c r="C708" s="249">
        <v>44378</v>
      </c>
      <c r="D708" s="250" t="s">
        <v>99</v>
      </c>
      <c r="E708" s="250" t="s">
        <v>330</v>
      </c>
      <c r="F708" s="251">
        <v>168.76</v>
      </c>
      <c r="G708" s="452" t="s">
        <v>554</v>
      </c>
      <c r="H708" s="250" t="s">
        <v>128</v>
      </c>
      <c r="I708" s="252" t="s">
        <v>1430</v>
      </c>
      <c r="J708" s="250" t="s">
        <v>556</v>
      </c>
      <c r="K708" s="255" t="s">
        <v>1015</v>
      </c>
      <c r="L708" s="250" t="s">
        <v>1177</v>
      </c>
      <c r="M708" s="277" t="s">
        <v>114</v>
      </c>
      <c r="N708" s="278">
        <v>44424</v>
      </c>
      <c r="O708" s="329" t="s">
        <v>67</v>
      </c>
      <c r="P708" s="330">
        <f t="shared" si="34"/>
        <v>8</v>
      </c>
      <c r="Q708" s="330">
        <f t="shared" si="35"/>
        <v>7</v>
      </c>
      <c r="R708" s="331" t="str">
        <f t="shared" si="36"/>
        <v>Gastos_Gerais</v>
      </c>
      <c r="S708" s="331" t="str">
        <f>IF(D708="","",IF(OR(D708=Plano!$A$1,D708=Plano!$B$1),"entrada","saída"))</f>
        <v>saída</v>
      </c>
      <c r="T708" s="334" t="s">
        <v>1059</v>
      </c>
      <c r="U708" s="334">
        <v>1336</v>
      </c>
      <c r="V708" s="269"/>
      <c r="W708" s="269"/>
      <c r="X708" s="269"/>
      <c r="Y708" s="269"/>
      <c r="Z708" s="269"/>
      <c r="AA708" s="269"/>
      <c r="AB708" s="269"/>
      <c r="AC708" s="269"/>
      <c r="AD708" s="269"/>
      <c r="AE708" s="269"/>
      <c r="AF708" s="269"/>
      <c r="AG708" s="269"/>
      <c r="AH708" s="269"/>
      <c r="AI708" s="269"/>
      <c r="AJ708" s="269"/>
      <c r="AK708" s="269"/>
      <c r="AL708" s="269"/>
      <c r="AM708" s="269"/>
    </row>
    <row r="709" spans="1:39" ht="122.25" customHeight="1" x14ac:dyDescent="0.2">
      <c r="A709" s="277">
        <f>IF(B709="","",COUNT('Diário 5º PA'!$A$5:$A$2634)+COUNT('Diário 6º PA'!$A$5:$A$2246)+ROW()-4)</f>
        <v>3248</v>
      </c>
      <c r="B709" s="278">
        <v>44424</v>
      </c>
      <c r="C709" s="249">
        <v>44378</v>
      </c>
      <c r="D709" s="250" t="s">
        <v>99</v>
      </c>
      <c r="E709" s="250" t="s">
        <v>364</v>
      </c>
      <c r="F709" s="251">
        <v>434.19</v>
      </c>
      <c r="G709" s="452" t="s">
        <v>1963</v>
      </c>
      <c r="H709" s="250" t="s">
        <v>127</v>
      </c>
      <c r="I709" s="250" t="s">
        <v>1432</v>
      </c>
      <c r="J709" s="250" t="s">
        <v>556</v>
      </c>
      <c r="K709" s="255" t="s">
        <v>1015</v>
      </c>
      <c r="L709" s="250" t="s">
        <v>1177</v>
      </c>
      <c r="M709" s="277" t="s">
        <v>114</v>
      </c>
      <c r="N709" s="278">
        <v>44424</v>
      </c>
      <c r="O709" s="329" t="s">
        <v>67</v>
      </c>
      <c r="P709" s="330">
        <f t="shared" si="34"/>
        <v>8</v>
      </c>
      <c r="Q709" s="330">
        <f t="shared" si="35"/>
        <v>7</v>
      </c>
      <c r="R709" s="331" t="str">
        <f t="shared" si="36"/>
        <v>Gastos_Gerais</v>
      </c>
      <c r="S709" s="331" t="str">
        <f>IF(D709="","",IF(OR(D709=Plano!$A$1,D709=Plano!$B$1),"entrada","saída"))</f>
        <v>saída</v>
      </c>
      <c r="T709" s="334" t="s">
        <v>1059</v>
      </c>
      <c r="U709" s="334">
        <v>1586</v>
      </c>
      <c r="V709" s="269"/>
      <c r="W709" s="269"/>
      <c r="X709" s="269"/>
      <c r="Y709" s="269"/>
      <c r="Z709" s="269"/>
      <c r="AA709" s="269"/>
      <c r="AB709" s="269"/>
      <c r="AC709" s="269"/>
      <c r="AD709" s="269"/>
      <c r="AE709" s="269"/>
      <c r="AF709" s="269"/>
      <c r="AG709" s="269"/>
      <c r="AH709" s="269"/>
      <c r="AI709" s="269"/>
      <c r="AJ709" s="269"/>
      <c r="AK709" s="269"/>
      <c r="AL709" s="269"/>
      <c r="AM709" s="269"/>
    </row>
    <row r="710" spans="1:39" ht="111" customHeight="1" x14ac:dyDescent="0.2">
      <c r="A710" s="277">
        <f>IF(B710="","",COUNT('Diário 5º PA'!$A$5:$A$2634)+COUNT('Diário 6º PA'!$A$5:$A$2246)+ROW()-4)</f>
        <v>3249</v>
      </c>
      <c r="B710" s="278">
        <v>44424</v>
      </c>
      <c r="C710" s="249">
        <v>44409</v>
      </c>
      <c r="D710" s="255" t="s">
        <v>88</v>
      </c>
      <c r="E710" s="255" t="s">
        <v>196</v>
      </c>
      <c r="F710" s="258">
        <v>7904.43</v>
      </c>
      <c r="G710" s="450" t="s">
        <v>541</v>
      </c>
      <c r="H710" s="255" t="s">
        <v>114</v>
      </c>
      <c r="I710" s="252" t="s">
        <v>542</v>
      </c>
      <c r="J710" s="252" t="s">
        <v>543</v>
      </c>
      <c r="K710" s="255" t="s">
        <v>560</v>
      </c>
      <c r="L710" s="250" t="s">
        <v>1016</v>
      </c>
      <c r="M710" s="277" t="s">
        <v>1964</v>
      </c>
      <c r="N710" s="278">
        <v>44383</v>
      </c>
      <c r="O710" s="329" t="s">
        <v>67</v>
      </c>
      <c r="P710" s="330">
        <f t="shared" si="34"/>
        <v>8</v>
      </c>
      <c r="Q710" s="330">
        <f t="shared" si="35"/>
        <v>8</v>
      </c>
      <c r="R710" s="331" t="str">
        <f t="shared" si="36"/>
        <v>Gastos_com_Pessoal</v>
      </c>
      <c r="S710" s="331" t="str">
        <f>IF(D710="","",IF(OR(D710=Plano!$A$1,D710=Plano!$B$1),"entrada","saída"))</f>
        <v>saída</v>
      </c>
      <c r="T710" s="332" t="s">
        <v>1059</v>
      </c>
      <c r="U710" s="332">
        <v>284</v>
      </c>
      <c r="V710" s="269"/>
      <c r="W710" s="269"/>
      <c r="X710" s="269"/>
      <c r="Y710" s="269"/>
      <c r="Z710" s="269"/>
      <c r="AA710" s="269"/>
      <c r="AB710" s="269"/>
      <c r="AC710" s="269"/>
      <c r="AD710" s="269"/>
      <c r="AE710" s="269"/>
      <c r="AF710" s="269"/>
      <c r="AG710" s="269"/>
      <c r="AH710" s="269"/>
      <c r="AI710" s="269"/>
      <c r="AJ710" s="269"/>
      <c r="AK710" s="269"/>
      <c r="AL710" s="269"/>
      <c r="AM710" s="269"/>
    </row>
    <row r="711" spans="1:39" ht="121.5" customHeight="1" x14ac:dyDescent="0.2">
      <c r="A711" s="277">
        <f>IF(B711="","",COUNT('Diário 5º PA'!$A$5:$A$2634)+COUNT('Diário 6º PA'!$A$5:$A$2246)+ROW()-4)</f>
        <v>3250</v>
      </c>
      <c r="B711" s="278">
        <v>44424</v>
      </c>
      <c r="C711" s="249">
        <v>44348</v>
      </c>
      <c r="D711" s="255" t="s">
        <v>88</v>
      </c>
      <c r="E711" s="255" t="s">
        <v>90</v>
      </c>
      <c r="F711" s="258">
        <v>659.34</v>
      </c>
      <c r="G711" s="450" t="s">
        <v>1423</v>
      </c>
      <c r="H711" s="255" t="s">
        <v>114</v>
      </c>
      <c r="I711" s="252" t="s">
        <v>542</v>
      </c>
      <c r="J711" s="252" t="s">
        <v>543</v>
      </c>
      <c r="K711" s="255" t="s">
        <v>560</v>
      </c>
      <c r="L711" s="250" t="s">
        <v>1016</v>
      </c>
      <c r="M711" s="277" t="s">
        <v>1965</v>
      </c>
      <c r="N711" s="278">
        <v>44382</v>
      </c>
      <c r="O711" s="329" t="s">
        <v>67</v>
      </c>
      <c r="P711" s="330">
        <f t="shared" si="34"/>
        <v>8</v>
      </c>
      <c r="Q711" s="330">
        <f t="shared" si="35"/>
        <v>6</v>
      </c>
      <c r="R711" s="331" t="str">
        <f t="shared" si="36"/>
        <v>Gastos_com_Pessoal</v>
      </c>
      <c r="S711" s="331" t="str">
        <f>IF(D711="","",IF(OR(D711=Plano!$A$1,D711=Plano!$B$1),"entrada","saída"))</f>
        <v>saída</v>
      </c>
      <c r="T711" s="332" t="s">
        <v>1059</v>
      </c>
      <c r="U711" s="332">
        <v>284</v>
      </c>
      <c r="V711" s="269"/>
      <c r="W711" s="269"/>
      <c r="X711" s="269"/>
      <c r="Y711" s="269"/>
      <c r="Z711" s="269"/>
      <c r="AA711" s="269"/>
      <c r="AB711" s="269"/>
      <c r="AC711" s="269"/>
      <c r="AD711" s="269"/>
      <c r="AE711" s="269"/>
      <c r="AF711" s="269"/>
      <c r="AG711" s="269"/>
      <c r="AH711" s="269"/>
      <c r="AI711" s="269"/>
      <c r="AJ711" s="269"/>
      <c r="AK711" s="269"/>
      <c r="AL711" s="269"/>
      <c r="AM711" s="269"/>
    </row>
    <row r="712" spans="1:39" ht="77.25" customHeight="1" x14ac:dyDescent="0.2">
      <c r="A712" s="277">
        <f>IF(B712="","",COUNT('Diário 5º PA'!$A$5:$A$2634)+COUNT('Diário 6º PA'!$A$5:$A$2246)+ROW()-4)</f>
        <v>3251</v>
      </c>
      <c r="B712" s="278">
        <v>44424</v>
      </c>
      <c r="C712" s="249">
        <v>44378</v>
      </c>
      <c r="D712" s="255" t="s">
        <v>99</v>
      </c>
      <c r="E712" s="255" t="s">
        <v>312</v>
      </c>
      <c r="F712" s="258">
        <v>152.21</v>
      </c>
      <c r="G712" s="450" t="s">
        <v>439</v>
      </c>
      <c r="H712" s="255" t="s">
        <v>115</v>
      </c>
      <c r="I712" s="252" t="s">
        <v>1421</v>
      </c>
      <c r="J712" s="252" t="s">
        <v>441</v>
      </c>
      <c r="K712" s="255" t="s">
        <v>560</v>
      </c>
      <c r="L712" s="250" t="s">
        <v>1016</v>
      </c>
      <c r="M712" s="277">
        <v>3416518</v>
      </c>
      <c r="N712" s="278">
        <v>44410</v>
      </c>
      <c r="O712" s="329" t="s">
        <v>67</v>
      </c>
      <c r="P712" s="330">
        <f t="shared" si="34"/>
        <v>8</v>
      </c>
      <c r="Q712" s="330">
        <f t="shared" si="35"/>
        <v>7</v>
      </c>
      <c r="R712" s="331" t="str">
        <f t="shared" si="36"/>
        <v>Gastos_Gerais</v>
      </c>
      <c r="S712" s="331" t="str">
        <f>IF(D712="","",IF(OR(D712=Plano!$A$1,D712=Plano!$B$1),"entrada","saída"))</f>
        <v>saída</v>
      </c>
      <c r="T712" s="332" t="s">
        <v>1059</v>
      </c>
      <c r="U712" s="332">
        <v>1142</v>
      </c>
      <c r="V712" s="269"/>
      <c r="W712" s="269"/>
      <c r="X712" s="269"/>
      <c r="Y712" s="269"/>
      <c r="Z712" s="269"/>
      <c r="AA712" s="269"/>
      <c r="AB712" s="269"/>
      <c r="AC712" s="269"/>
      <c r="AD712" s="269"/>
      <c r="AE712" s="269"/>
      <c r="AF712" s="269"/>
      <c r="AG712" s="269"/>
      <c r="AH712" s="269"/>
      <c r="AI712" s="269"/>
      <c r="AJ712" s="269"/>
      <c r="AK712" s="269"/>
      <c r="AL712" s="269"/>
      <c r="AM712" s="269"/>
    </row>
    <row r="713" spans="1:39" ht="113.25" customHeight="1" x14ac:dyDescent="0.2">
      <c r="A713" s="277">
        <f>IF(B713="","",COUNT('Diário 5º PA'!$A$5:$A$2634)+COUNT('Diário 6º PA'!$A$5:$A$2246)+ROW()-4)</f>
        <v>3252</v>
      </c>
      <c r="B713" s="278">
        <v>44424</v>
      </c>
      <c r="C713" s="249">
        <v>44409</v>
      </c>
      <c r="D713" s="250" t="s">
        <v>99</v>
      </c>
      <c r="E713" s="250" t="s">
        <v>350</v>
      </c>
      <c r="F713" s="251">
        <v>2000</v>
      </c>
      <c r="G713" s="452" t="s">
        <v>1966</v>
      </c>
      <c r="H713" s="250" t="s">
        <v>132</v>
      </c>
      <c r="I713" s="250" t="s">
        <v>1967</v>
      </c>
      <c r="J713" s="250" t="s">
        <v>1968</v>
      </c>
      <c r="K713" s="255" t="s">
        <v>991</v>
      </c>
      <c r="L713" s="250" t="s">
        <v>1177</v>
      </c>
      <c r="M713" s="277" t="s">
        <v>114</v>
      </c>
      <c r="N713" s="278">
        <v>44421</v>
      </c>
      <c r="O713" s="329" t="s">
        <v>67</v>
      </c>
      <c r="P713" s="330">
        <f t="shared" ref="P713:P783" si="43">IF(B713=0,0,IF(YEAR(B713)=$Q$1,MONTH(B713)-$P$1+1,(YEAR(B713)-$Q$1)*12-$P$1+1+MONTH(B713)))</f>
        <v>8</v>
      </c>
      <c r="Q713" s="330">
        <f t="shared" ref="Q713:Q783" si="44">IF(C713=0,0,IF(YEAR(C713)=$Q$1,MONTH(C713)-$P$1+1,(YEAR(C713)-$Q$1)*12-$P$1+1+MONTH(C713)))</f>
        <v>8</v>
      </c>
      <c r="R713" s="331" t="str">
        <f t="shared" ref="R713:R783" si="45">SUBSTITUTE(D713," ","_")</f>
        <v>Gastos_Gerais</v>
      </c>
      <c r="S713" s="331" t="str">
        <f>IF(D713="","",IF(OR(D713=Plano!$A$1,D713=Plano!$B$1),"entrada","saída"))</f>
        <v>saída</v>
      </c>
      <c r="T713" s="334" t="s">
        <v>994</v>
      </c>
      <c r="U713" s="334">
        <v>1842</v>
      </c>
      <c r="V713" s="269"/>
      <c r="W713" s="269"/>
      <c r="X713" s="269"/>
      <c r="Y713" s="269"/>
      <c r="Z713" s="269"/>
      <c r="AA713" s="269"/>
      <c r="AB713" s="269"/>
      <c r="AC713" s="269"/>
      <c r="AD713" s="269"/>
      <c r="AE713" s="269"/>
      <c r="AF713" s="269"/>
      <c r="AG713" s="269"/>
      <c r="AH713" s="269"/>
      <c r="AI713" s="269"/>
      <c r="AJ713" s="269"/>
      <c r="AK713" s="269"/>
      <c r="AL713" s="269"/>
      <c r="AM713" s="269"/>
    </row>
    <row r="714" spans="1:39" ht="39.75" customHeight="1" x14ac:dyDescent="0.2">
      <c r="A714" s="277">
        <f>IF(B714="","",COUNT('Diário 5º PA'!$A$5:$A$2634)+COUNT('Diário 6º PA'!$A$5:$A$2246)+ROW()-4)</f>
        <v>3253</v>
      </c>
      <c r="B714" s="278">
        <v>44424</v>
      </c>
      <c r="C714" s="335">
        <v>44409</v>
      </c>
      <c r="D714" s="255" t="s">
        <v>99</v>
      </c>
      <c r="E714" s="255" t="s">
        <v>272</v>
      </c>
      <c r="F714" s="258">
        <v>10.45</v>
      </c>
      <c r="G714" s="450" t="s">
        <v>1969</v>
      </c>
      <c r="H714" s="250" t="s">
        <v>132</v>
      </c>
      <c r="I714" s="250" t="s">
        <v>949</v>
      </c>
      <c r="J714" s="255" t="s">
        <v>950</v>
      </c>
      <c r="K714" s="255" t="s">
        <v>951</v>
      </c>
      <c r="L714" s="250" t="s">
        <v>947</v>
      </c>
      <c r="M714" s="336" t="s">
        <v>114</v>
      </c>
      <c r="N714" s="278">
        <v>44421</v>
      </c>
      <c r="O714" s="329" t="s">
        <v>67</v>
      </c>
      <c r="P714" s="330">
        <f t="shared" si="43"/>
        <v>8</v>
      </c>
      <c r="Q714" s="330">
        <f t="shared" si="44"/>
        <v>8</v>
      </c>
      <c r="R714" s="331" t="str">
        <f t="shared" si="45"/>
        <v>Gastos_Gerais</v>
      </c>
      <c r="S714" s="331" t="str">
        <f>IF(D714="","",IF(OR(D714=Plano!$A$1,D714=Plano!$B$1),"entrada","saída"))</f>
        <v>saída</v>
      </c>
      <c r="T714" s="332" t="s">
        <v>114</v>
      </c>
      <c r="U714" s="332" t="s">
        <v>114</v>
      </c>
      <c r="V714" s="269"/>
      <c r="W714" s="269"/>
      <c r="X714" s="269"/>
      <c r="Y714" s="269"/>
      <c r="Z714" s="269"/>
      <c r="AA714" s="269"/>
      <c r="AB714" s="269"/>
      <c r="AC714" s="269"/>
      <c r="AD714" s="269"/>
      <c r="AE714" s="269"/>
      <c r="AF714" s="269"/>
      <c r="AG714" s="269"/>
      <c r="AH714" s="269"/>
      <c r="AI714" s="269"/>
      <c r="AJ714" s="269"/>
      <c r="AK714" s="269"/>
      <c r="AL714" s="269"/>
      <c r="AM714" s="269"/>
    </row>
    <row r="715" spans="1:39" ht="66.75" customHeight="1" x14ac:dyDescent="0.2">
      <c r="A715" s="277">
        <f>IF(B715="","",COUNT('Diário 5º PA'!$A$5:$A$2634)+COUNT('Diário 6º PA'!$A$5:$A$2246)+ROW()-4)</f>
        <v>3254</v>
      </c>
      <c r="B715" s="278">
        <v>44425</v>
      </c>
      <c r="C715" s="256">
        <v>44378</v>
      </c>
      <c r="D715" s="255" t="s">
        <v>99</v>
      </c>
      <c r="E715" s="255" t="s">
        <v>222</v>
      </c>
      <c r="F715" s="258">
        <v>-153.16</v>
      </c>
      <c r="G715" s="450" t="s">
        <v>1970</v>
      </c>
      <c r="H715" s="255" t="s">
        <v>115</v>
      </c>
      <c r="I715" s="250" t="s">
        <v>983</v>
      </c>
      <c r="J715" s="255" t="s">
        <v>850</v>
      </c>
      <c r="K715" s="255" t="s">
        <v>946</v>
      </c>
      <c r="L715" s="250" t="s">
        <v>947</v>
      </c>
      <c r="M715" s="277" t="s">
        <v>114</v>
      </c>
      <c r="N715" s="278">
        <v>44425</v>
      </c>
      <c r="O715" s="329" t="s">
        <v>67</v>
      </c>
      <c r="P715" s="330">
        <f t="shared" si="43"/>
        <v>8</v>
      </c>
      <c r="Q715" s="330">
        <f t="shared" si="44"/>
        <v>7</v>
      </c>
      <c r="R715" s="331" t="str">
        <f t="shared" si="45"/>
        <v>Gastos_Gerais</v>
      </c>
      <c r="S715" s="331" t="str">
        <f>IF(D715="","",IF(OR(D715=Plano!$A$1,D715=Plano!$B$1),"entrada","saída"))</f>
        <v>saída</v>
      </c>
      <c r="T715" s="332" t="s">
        <v>114</v>
      </c>
      <c r="U715" s="332" t="s">
        <v>114</v>
      </c>
      <c r="V715" s="269"/>
      <c r="W715" s="269"/>
      <c r="X715" s="269"/>
      <c r="Y715" s="269"/>
      <c r="Z715" s="269"/>
      <c r="AA715" s="269"/>
      <c r="AB715" s="269"/>
      <c r="AC715" s="269"/>
      <c r="AD715" s="269"/>
      <c r="AE715" s="269"/>
      <c r="AF715" s="269"/>
      <c r="AG715" s="269"/>
      <c r="AH715" s="269"/>
      <c r="AI715" s="269"/>
      <c r="AJ715" s="269"/>
      <c r="AK715" s="269"/>
      <c r="AL715" s="269"/>
      <c r="AM715" s="269"/>
    </row>
    <row r="716" spans="1:39" ht="68.25" customHeight="1" x14ac:dyDescent="0.2">
      <c r="A716" s="277">
        <f>IF(B716="","",COUNT('Diário 5º PA'!$A$5:$A$2634)+COUNT('Diário 6º PA'!$A$5:$A$2246)+ROW()-4)</f>
        <v>3255</v>
      </c>
      <c r="B716" s="278">
        <v>44425</v>
      </c>
      <c r="C716" s="256">
        <v>44378</v>
      </c>
      <c r="D716" s="255" t="s">
        <v>99</v>
      </c>
      <c r="E716" s="255" t="s">
        <v>216</v>
      </c>
      <c r="F716" s="258">
        <v>-76.67</v>
      </c>
      <c r="G716" s="450" t="s">
        <v>1971</v>
      </c>
      <c r="H716" s="255" t="s">
        <v>115</v>
      </c>
      <c r="I716" s="250" t="s">
        <v>983</v>
      </c>
      <c r="J716" s="255" t="s">
        <v>850</v>
      </c>
      <c r="K716" s="255" t="s">
        <v>946</v>
      </c>
      <c r="L716" s="250" t="s">
        <v>947</v>
      </c>
      <c r="M716" s="277" t="s">
        <v>114</v>
      </c>
      <c r="N716" s="278">
        <v>44425</v>
      </c>
      <c r="O716" s="329" t="s">
        <v>67</v>
      </c>
      <c r="P716" s="330">
        <f t="shared" si="43"/>
        <v>8</v>
      </c>
      <c r="Q716" s="330">
        <f t="shared" si="44"/>
        <v>7</v>
      </c>
      <c r="R716" s="331" t="str">
        <f t="shared" si="45"/>
        <v>Gastos_Gerais</v>
      </c>
      <c r="S716" s="331" t="str">
        <f>IF(D716="","",IF(OR(D716=Plano!$A$1,D716=Plano!$B$1),"entrada","saída"))</f>
        <v>saída</v>
      </c>
      <c r="T716" s="332" t="s">
        <v>114</v>
      </c>
      <c r="U716" s="332" t="s">
        <v>114</v>
      </c>
      <c r="V716" s="269"/>
      <c r="W716" s="269"/>
      <c r="X716" s="269"/>
      <c r="Y716" s="269"/>
      <c r="Z716" s="269"/>
      <c r="AA716" s="269"/>
      <c r="AB716" s="269"/>
      <c r="AC716" s="269"/>
      <c r="AD716" s="269"/>
      <c r="AE716" s="269"/>
      <c r="AF716" s="269"/>
      <c r="AG716" s="269"/>
      <c r="AH716" s="269"/>
      <c r="AI716" s="269"/>
      <c r="AJ716" s="269"/>
      <c r="AK716" s="269"/>
      <c r="AL716" s="269"/>
      <c r="AM716" s="269"/>
    </row>
    <row r="717" spans="1:39" ht="65.25" customHeight="1" x14ac:dyDescent="0.2">
      <c r="A717" s="277">
        <f>IF(B717="","",COUNT('Diário 5º PA'!$A$5:$A$2634)+COUNT('Diário 6º PA'!$A$5:$A$2246)+ROW()-4)</f>
        <v>3256</v>
      </c>
      <c r="B717" s="278">
        <v>44425</v>
      </c>
      <c r="C717" s="256">
        <v>44378</v>
      </c>
      <c r="D717" s="255" t="s">
        <v>99</v>
      </c>
      <c r="E717" s="255" t="s">
        <v>218</v>
      </c>
      <c r="F717" s="258">
        <v>-69.400000000000006</v>
      </c>
      <c r="G717" s="450" t="s">
        <v>1972</v>
      </c>
      <c r="H717" s="255" t="s">
        <v>115</v>
      </c>
      <c r="I717" s="250" t="s">
        <v>983</v>
      </c>
      <c r="J717" s="255" t="s">
        <v>850</v>
      </c>
      <c r="K717" s="255" t="s">
        <v>946</v>
      </c>
      <c r="L717" s="250" t="s">
        <v>947</v>
      </c>
      <c r="M717" s="349" t="s">
        <v>114</v>
      </c>
      <c r="N717" s="278">
        <v>44425</v>
      </c>
      <c r="O717" s="329" t="s">
        <v>67</v>
      </c>
      <c r="P717" s="330">
        <f t="shared" si="43"/>
        <v>8</v>
      </c>
      <c r="Q717" s="330">
        <f t="shared" si="44"/>
        <v>7</v>
      </c>
      <c r="R717" s="331" t="str">
        <f t="shared" si="45"/>
        <v>Gastos_Gerais</v>
      </c>
      <c r="S717" s="331" t="str">
        <f>IF(D717="","",IF(OR(D717=Plano!$A$1,D717=Plano!$B$1),"entrada","saída"))</f>
        <v>saída</v>
      </c>
      <c r="T717" s="332" t="s">
        <v>114</v>
      </c>
      <c r="U717" s="332" t="s">
        <v>114</v>
      </c>
      <c r="V717" s="269"/>
      <c r="W717" s="269"/>
      <c r="X717" s="269"/>
      <c r="Y717" s="269"/>
      <c r="Z717" s="269"/>
      <c r="AA717" s="269"/>
      <c r="AB717" s="269"/>
      <c r="AC717" s="269"/>
      <c r="AD717" s="269"/>
      <c r="AE717" s="269"/>
      <c r="AF717" s="269"/>
      <c r="AG717" s="269"/>
      <c r="AH717" s="269"/>
      <c r="AI717" s="269"/>
      <c r="AJ717" s="269"/>
      <c r="AK717" s="269"/>
      <c r="AL717" s="269"/>
      <c r="AM717" s="269"/>
    </row>
    <row r="718" spans="1:39" ht="30.75" customHeight="1" x14ac:dyDescent="0.2">
      <c r="A718" s="277">
        <f>IF(B718="","",COUNT('Diário 5º PA'!$A$5:$A$2634)+COUNT('Diário 6º PA'!$A$5:$A$2246)+ROW()-4)</f>
        <v>3257</v>
      </c>
      <c r="B718" s="278">
        <v>44425</v>
      </c>
      <c r="C718" s="335">
        <v>44409</v>
      </c>
      <c r="D718" s="255" t="s">
        <v>88</v>
      </c>
      <c r="E718" s="255" t="s">
        <v>192</v>
      </c>
      <c r="F718" s="258">
        <v>109.03</v>
      </c>
      <c r="G718" s="451" t="s">
        <v>5362</v>
      </c>
      <c r="H718" s="255" t="s">
        <v>114</v>
      </c>
      <c r="I718" s="252" t="s">
        <v>1032</v>
      </c>
      <c r="J718" s="252" t="s">
        <v>1033</v>
      </c>
      <c r="K718" s="255" t="s">
        <v>560</v>
      </c>
      <c r="L718" s="252" t="s">
        <v>1016</v>
      </c>
      <c r="M718" s="277" t="s">
        <v>1973</v>
      </c>
      <c r="N718" s="278">
        <v>44427</v>
      </c>
      <c r="O718" s="329" t="s">
        <v>67</v>
      </c>
      <c r="P718" s="330">
        <f t="shared" si="43"/>
        <v>8</v>
      </c>
      <c r="Q718" s="330">
        <f t="shared" si="44"/>
        <v>8</v>
      </c>
      <c r="R718" s="331" t="str">
        <f t="shared" si="45"/>
        <v>Gastos_com_Pessoal</v>
      </c>
      <c r="S718" s="331" t="str">
        <f>IF(D718="","",IF(OR(D718=Plano!$A$1,D718=Plano!$B$1),"entrada","saída"))</f>
        <v>saída</v>
      </c>
      <c r="T718" s="332" t="s">
        <v>114</v>
      </c>
      <c r="U718" s="332" t="s">
        <v>114</v>
      </c>
      <c r="V718" s="269"/>
      <c r="W718" s="269"/>
      <c r="X718" s="269"/>
      <c r="Y718" s="269"/>
      <c r="Z718" s="269"/>
      <c r="AA718" s="269"/>
      <c r="AB718" s="269"/>
      <c r="AC718" s="269"/>
      <c r="AD718" s="269"/>
      <c r="AE718" s="269"/>
      <c r="AF718" s="269"/>
      <c r="AG718" s="269"/>
      <c r="AH718" s="269"/>
      <c r="AI718" s="269"/>
      <c r="AJ718" s="269"/>
      <c r="AK718" s="269"/>
      <c r="AL718" s="269"/>
      <c r="AM718" s="269"/>
    </row>
    <row r="719" spans="1:39" ht="42" customHeight="1" x14ac:dyDescent="0.2">
      <c r="A719" s="277">
        <f>IF(B719="","",COUNT('Diário 5º PA'!$A$5:$A$2634)+COUNT('Diário 6º PA'!$A$5:$A$2246)+ROW()-4)</f>
        <v>3258</v>
      </c>
      <c r="B719" s="278">
        <v>44425</v>
      </c>
      <c r="C719" s="256">
        <v>44378</v>
      </c>
      <c r="D719" s="255" t="s">
        <v>99</v>
      </c>
      <c r="E719" s="255" t="s">
        <v>216</v>
      </c>
      <c r="F719" s="258">
        <v>290.29000000000002</v>
      </c>
      <c r="G719" s="450" t="s">
        <v>1668</v>
      </c>
      <c r="H719" s="255" t="s">
        <v>115</v>
      </c>
      <c r="I719" s="250" t="s">
        <v>513</v>
      </c>
      <c r="J719" s="252" t="s">
        <v>514</v>
      </c>
      <c r="K719" s="255" t="s">
        <v>696</v>
      </c>
      <c r="L719" s="250" t="s">
        <v>697</v>
      </c>
      <c r="M719" s="277">
        <v>62250481</v>
      </c>
      <c r="N719" s="278">
        <v>44400</v>
      </c>
      <c r="O719" s="329" t="s">
        <v>67</v>
      </c>
      <c r="P719" s="330">
        <f t="shared" si="43"/>
        <v>8</v>
      </c>
      <c r="Q719" s="330">
        <f t="shared" si="44"/>
        <v>7</v>
      </c>
      <c r="R719" s="331" t="str">
        <f t="shared" si="45"/>
        <v>Gastos_Gerais</v>
      </c>
      <c r="S719" s="331" t="str">
        <f>IF(D719="","",IF(OR(D719=Plano!$A$1,D719=Plano!$B$1),"entrada","saída"))</f>
        <v>saída</v>
      </c>
      <c r="T719" s="332" t="s">
        <v>114</v>
      </c>
      <c r="U719" s="332" t="s">
        <v>114</v>
      </c>
      <c r="V719" s="269"/>
      <c r="W719" s="269"/>
      <c r="X719" s="269"/>
      <c r="Y719" s="269"/>
      <c r="Z719" s="269"/>
      <c r="AA719" s="269"/>
      <c r="AB719" s="269"/>
      <c r="AC719" s="269"/>
      <c r="AD719" s="269"/>
      <c r="AE719" s="269"/>
      <c r="AF719" s="269"/>
      <c r="AG719" s="269"/>
      <c r="AH719" s="269"/>
      <c r="AI719" s="269"/>
      <c r="AJ719" s="269"/>
      <c r="AK719" s="269"/>
      <c r="AL719" s="269"/>
      <c r="AM719" s="269"/>
    </row>
    <row r="720" spans="1:39" ht="32.25" customHeight="1" x14ac:dyDescent="0.2">
      <c r="A720" s="277">
        <f>IF(B720="","",COUNT('Diário 5º PA'!$A$5:$A$2634)+COUNT('Diário 6º PA'!$A$5:$A$2246)+ROW()-4)</f>
        <v>3259</v>
      </c>
      <c r="B720" s="278">
        <v>44425</v>
      </c>
      <c r="C720" s="256">
        <v>44378</v>
      </c>
      <c r="D720" s="255" t="s">
        <v>99</v>
      </c>
      <c r="E720" s="255" t="s">
        <v>218</v>
      </c>
      <c r="F720" s="258">
        <v>262.77999999999997</v>
      </c>
      <c r="G720" s="450" t="s">
        <v>1571</v>
      </c>
      <c r="H720" s="255" t="s">
        <v>115</v>
      </c>
      <c r="I720" s="252" t="s">
        <v>515</v>
      </c>
      <c r="J720" s="252" t="s">
        <v>516</v>
      </c>
      <c r="K720" s="255" t="s">
        <v>700</v>
      </c>
      <c r="L720" s="250" t="s">
        <v>697</v>
      </c>
      <c r="M720" s="336" t="s">
        <v>1974</v>
      </c>
      <c r="N720" s="278">
        <v>44411</v>
      </c>
      <c r="O720" s="329" t="s">
        <v>67</v>
      </c>
      <c r="P720" s="330">
        <f t="shared" si="43"/>
        <v>8</v>
      </c>
      <c r="Q720" s="330">
        <f t="shared" si="44"/>
        <v>7</v>
      </c>
      <c r="R720" s="331" t="str">
        <f t="shared" si="45"/>
        <v>Gastos_Gerais</v>
      </c>
      <c r="S720" s="331" t="str">
        <f>IF(D720="","",IF(OR(D720=Plano!$A$1,D720=Plano!$B$1),"entrada","saída"))</f>
        <v>saída</v>
      </c>
      <c r="T720" s="332" t="s">
        <v>114</v>
      </c>
      <c r="U720" s="332" t="s">
        <v>114</v>
      </c>
      <c r="V720" s="269"/>
      <c r="W720" s="269"/>
      <c r="X720" s="269"/>
      <c r="Y720" s="269"/>
      <c r="Z720" s="269"/>
      <c r="AA720" s="269"/>
      <c r="AB720" s="269"/>
      <c r="AC720" s="269"/>
      <c r="AD720" s="269"/>
      <c r="AE720" s="269"/>
      <c r="AF720" s="269"/>
      <c r="AG720" s="269"/>
      <c r="AH720" s="269"/>
      <c r="AI720" s="269"/>
      <c r="AJ720" s="269"/>
      <c r="AK720" s="269"/>
      <c r="AL720" s="269"/>
      <c r="AM720" s="269"/>
    </row>
    <row r="721" spans="1:39" ht="33.75" customHeight="1" x14ac:dyDescent="0.2">
      <c r="A721" s="277">
        <f>IF(B721="","",COUNT('Diário 5º PA'!$A$5:$A$2634)+COUNT('Diário 6º PA'!$A$5:$A$2246)+ROW()-4)</f>
        <v>3260</v>
      </c>
      <c r="B721" s="278">
        <v>44425</v>
      </c>
      <c r="C721" s="256">
        <v>44378</v>
      </c>
      <c r="D721" s="255" t="s">
        <v>99</v>
      </c>
      <c r="E721" s="255" t="s">
        <v>222</v>
      </c>
      <c r="F721" s="258">
        <v>579.94000000000005</v>
      </c>
      <c r="G721" s="450" t="s">
        <v>524</v>
      </c>
      <c r="H721" s="255" t="s">
        <v>115</v>
      </c>
      <c r="I721" s="252" t="s">
        <v>522</v>
      </c>
      <c r="J721" s="252" t="s">
        <v>523</v>
      </c>
      <c r="K721" s="255" t="s">
        <v>1375</v>
      </c>
      <c r="L721" s="250" t="s">
        <v>697</v>
      </c>
      <c r="M721" s="277" t="s">
        <v>114</v>
      </c>
      <c r="N721" s="278">
        <v>44409</v>
      </c>
      <c r="O721" s="329" t="s">
        <v>67</v>
      </c>
      <c r="P721" s="330">
        <f t="shared" si="43"/>
        <v>8</v>
      </c>
      <c r="Q721" s="330">
        <f t="shared" si="44"/>
        <v>7</v>
      </c>
      <c r="R721" s="331" t="str">
        <f t="shared" si="45"/>
        <v>Gastos_Gerais</v>
      </c>
      <c r="S721" s="331" t="str">
        <f>IF(D721="","",IF(OR(D721=Plano!$A$1,D721=Plano!$B$1),"entrada","saída"))</f>
        <v>saída</v>
      </c>
      <c r="T721" s="332" t="s">
        <v>114</v>
      </c>
      <c r="U721" s="332" t="s">
        <v>114</v>
      </c>
      <c r="V721" s="269"/>
      <c r="W721" s="269"/>
      <c r="X721" s="269"/>
      <c r="Y721" s="269"/>
      <c r="Z721" s="269"/>
      <c r="AA721" s="269"/>
      <c r="AB721" s="269"/>
      <c r="AC721" s="269"/>
      <c r="AD721" s="269"/>
      <c r="AE721" s="269"/>
      <c r="AF721" s="269"/>
      <c r="AG721" s="269"/>
      <c r="AH721" s="269"/>
      <c r="AI721" s="269"/>
      <c r="AJ721" s="269"/>
      <c r="AK721" s="269"/>
      <c r="AL721" s="269"/>
      <c r="AM721" s="269"/>
    </row>
    <row r="722" spans="1:39" ht="150" customHeight="1" x14ac:dyDescent="0.2">
      <c r="A722" s="277">
        <f>IF(B722="","",COUNT('Diário 5º PA'!$A$5:$A$2634)+COUNT('Diário 6º PA'!$A$5:$A$2246)+ROW()-4)</f>
        <v>3261</v>
      </c>
      <c r="B722" s="278">
        <v>44425</v>
      </c>
      <c r="C722" s="256">
        <v>44378</v>
      </c>
      <c r="D722" s="250" t="s">
        <v>99</v>
      </c>
      <c r="E722" s="250" t="s">
        <v>266</v>
      </c>
      <c r="F722" s="251">
        <v>10133.799999999999</v>
      </c>
      <c r="G722" s="452" t="s">
        <v>586</v>
      </c>
      <c r="H722" s="250" t="s">
        <v>131</v>
      </c>
      <c r="I722" s="252" t="s">
        <v>1447</v>
      </c>
      <c r="J722" s="250" t="s">
        <v>587</v>
      </c>
      <c r="K722" s="255" t="s">
        <v>991</v>
      </c>
      <c r="L722" s="250" t="s">
        <v>992</v>
      </c>
      <c r="M722" s="277" t="s">
        <v>1975</v>
      </c>
      <c r="N722" s="278">
        <v>44424</v>
      </c>
      <c r="O722" s="329" t="s">
        <v>67</v>
      </c>
      <c r="P722" s="330">
        <f t="shared" si="43"/>
        <v>8</v>
      </c>
      <c r="Q722" s="330">
        <f t="shared" si="44"/>
        <v>7</v>
      </c>
      <c r="R722" s="331" t="str">
        <f t="shared" si="45"/>
        <v>Gastos_Gerais</v>
      </c>
      <c r="S722" s="331" t="str">
        <f>IF(D722="","",IF(OR(D722=Plano!$A$1,D722=Plano!$B$1),"entrada","saída"))</f>
        <v>saída</v>
      </c>
      <c r="T722" s="334" t="s">
        <v>1082</v>
      </c>
      <c r="U722" s="334">
        <v>1441</v>
      </c>
      <c r="V722" s="269"/>
      <c r="W722" s="269"/>
      <c r="X722" s="269"/>
      <c r="Y722" s="269"/>
      <c r="Z722" s="269"/>
      <c r="AA722" s="269"/>
      <c r="AB722" s="269"/>
      <c r="AC722" s="269"/>
      <c r="AD722" s="269"/>
      <c r="AE722" s="269"/>
      <c r="AF722" s="269"/>
      <c r="AG722" s="269"/>
      <c r="AH722" s="269"/>
      <c r="AI722" s="269"/>
      <c r="AJ722" s="269"/>
      <c r="AK722" s="269"/>
      <c r="AL722" s="269"/>
      <c r="AM722" s="269"/>
    </row>
    <row r="723" spans="1:39" ht="140.25" customHeight="1" x14ac:dyDescent="0.2">
      <c r="A723" s="277">
        <f>IF(B723="","",COUNT('Diário 5º PA'!$A$5:$A$2634)+COUNT('Diário 6º PA'!$A$5:$A$2246)+ROW()-4)</f>
        <v>3262</v>
      </c>
      <c r="B723" s="278">
        <v>44425</v>
      </c>
      <c r="C723" s="249">
        <v>44378</v>
      </c>
      <c r="D723" s="250" t="s">
        <v>99</v>
      </c>
      <c r="E723" s="250" t="s">
        <v>312</v>
      </c>
      <c r="F723" s="251">
        <v>1800</v>
      </c>
      <c r="G723" s="452" t="s">
        <v>1976</v>
      </c>
      <c r="H723" s="250" t="s">
        <v>131</v>
      </c>
      <c r="I723" s="250" t="s">
        <v>1726</v>
      </c>
      <c r="J723" s="250" t="s">
        <v>601</v>
      </c>
      <c r="K723" s="255" t="s">
        <v>991</v>
      </c>
      <c r="L723" s="250" t="s">
        <v>992</v>
      </c>
      <c r="M723" s="277">
        <v>327</v>
      </c>
      <c r="N723" s="278">
        <v>44421</v>
      </c>
      <c r="O723" s="329" t="s">
        <v>67</v>
      </c>
      <c r="P723" s="330">
        <f t="shared" si="43"/>
        <v>8</v>
      </c>
      <c r="Q723" s="330">
        <f t="shared" si="44"/>
        <v>7</v>
      </c>
      <c r="R723" s="331" t="str">
        <f t="shared" si="45"/>
        <v>Gastos_Gerais</v>
      </c>
      <c r="S723" s="331" t="str">
        <f>IF(D723="","",IF(OR(D723=Plano!$A$1,D723=Plano!$B$1),"entrada","saída"))</f>
        <v>saída</v>
      </c>
      <c r="T723" s="334" t="s">
        <v>994</v>
      </c>
      <c r="U723" s="334">
        <v>1812</v>
      </c>
      <c r="V723" s="269"/>
      <c r="W723" s="269"/>
      <c r="X723" s="269"/>
      <c r="Y723" s="269"/>
      <c r="Z723" s="269"/>
      <c r="AA723" s="269"/>
      <c r="AB723" s="269"/>
      <c r="AC723" s="269"/>
      <c r="AD723" s="269"/>
      <c r="AE723" s="269"/>
      <c r="AF723" s="269"/>
      <c r="AG723" s="269"/>
      <c r="AH723" s="269"/>
      <c r="AI723" s="269"/>
      <c r="AJ723" s="269"/>
      <c r="AK723" s="269"/>
      <c r="AL723" s="269"/>
      <c r="AM723" s="269"/>
    </row>
    <row r="724" spans="1:39" ht="128.25" customHeight="1" x14ac:dyDescent="0.2">
      <c r="A724" s="277">
        <f>IF(B724="","",COUNT('Diário 5º PA'!$A$5:$A$2634)+COUNT('Diário 6º PA'!$A$5:$A$2246)+ROW()-4)</f>
        <v>3263</v>
      </c>
      <c r="B724" s="278">
        <v>44425</v>
      </c>
      <c r="C724" s="249">
        <v>44378</v>
      </c>
      <c r="D724" s="250" t="s">
        <v>99</v>
      </c>
      <c r="E724" s="250" t="s">
        <v>364</v>
      </c>
      <c r="F724" s="251">
        <v>15497.6</v>
      </c>
      <c r="G724" s="452" t="s">
        <v>1977</v>
      </c>
      <c r="H724" s="250" t="s">
        <v>116</v>
      </c>
      <c r="I724" s="250" t="s">
        <v>1978</v>
      </c>
      <c r="J724" s="250" t="s">
        <v>1979</v>
      </c>
      <c r="K724" s="255" t="s">
        <v>991</v>
      </c>
      <c r="L724" s="250" t="s">
        <v>992</v>
      </c>
      <c r="M724" s="277" t="s">
        <v>1336</v>
      </c>
      <c r="N724" s="278">
        <v>44424</v>
      </c>
      <c r="O724" s="329" t="s">
        <v>67</v>
      </c>
      <c r="P724" s="330">
        <f t="shared" si="43"/>
        <v>8</v>
      </c>
      <c r="Q724" s="330">
        <f t="shared" si="44"/>
        <v>7</v>
      </c>
      <c r="R724" s="331" t="str">
        <f t="shared" si="45"/>
        <v>Gastos_Gerais</v>
      </c>
      <c r="S724" s="331" t="str">
        <f>IF(D724="","",IF(OR(D724=Plano!$A$1,D724=Plano!$B$1),"entrada","saída"))</f>
        <v>saída</v>
      </c>
      <c r="T724" s="334" t="s">
        <v>994</v>
      </c>
      <c r="U724" s="334">
        <v>1737</v>
      </c>
      <c r="V724" s="269"/>
      <c r="W724" s="269"/>
      <c r="X724" s="269"/>
      <c r="Y724" s="269"/>
      <c r="Z724" s="269"/>
      <c r="AA724" s="269"/>
      <c r="AB724" s="269"/>
      <c r="AC724" s="269"/>
      <c r="AD724" s="269"/>
      <c r="AE724" s="269"/>
      <c r="AF724" s="269"/>
      <c r="AG724" s="269"/>
      <c r="AH724" s="269"/>
      <c r="AI724" s="269"/>
      <c r="AJ724" s="269"/>
      <c r="AK724" s="269"/>
      <c r="AL724" s="269"/>
      <c r="AM724" s="269"/>
    </row>
    <row r="725" spans="1:39" ht="39.75" customHeight="1" x14ac:dyDescent="0.2">
      <c r="A725" s="277">
        <f>IF(B725="","",COUNT('Diário 5º PA'!$A$5:$A$2634)+COUNT('Diário 6º PA'!$A$5:$A$2246)+ROW()-4)</f>
        <v>3264</v>
      </c>
      <c r="B725" s="278">
        <v>44425</v>
      </c>
      <c r="C725" s="335">
        <v>44409</v>
      </c>
      <c r="D725" s="255" t="s">
        <v>99</v>
      </c>
      <c r="E725" s="255" t="s">
        <v>272</v>
      </c>
      <c r="F725" s="258">
        <v>10.45</v>
      </c>
      <c r="G725" s="450" t="s">
        <v>1980</v>
      </c>
      <c r="H725" s="250" t="s">
        <v>131</v>
      </c>
      <c r="I725" s="250" t="s">
        <v>949</v>
      </c>
      <c r="J725" s="255" t="s">
        <v>950</v>
      </c>
      <c r="K725" s="255" t="s">
        <v>951</v>
      </c>
      <c r="L725" s="250" t="s">
        <v>947</v>
      </c>
      <c r="M725" s="336" t="s">
        <v>114</v>
      </c>
      <c r="N725" s="278">
        <v>44425</v>
      </c>
      <c r="O725" s="329" t="s">
        <v>67</v>
      </c>
      <c r="P725" s="330">
        <f t="shared" si="43"/>
        <v>8</v>
      </c>
      <c r="Q725" s="330">
        <f t="shared" si="44"/>
        <v>8</v>
      </c>
      <c r="R725" s="331" t="str">
        <f t="shared" si="45"/>
        <v>Gastos_Gerais</v>
      </c>
      <c r="S725" s="331" t="str">
        <f>IF(D725="","",IF(OR(D725=Plano!$A$1,D725=Plano!$B$1),"entrada","saída"))</f>
        <v>saída</v>
      </c>
      <c r="T725" s="332" t="s">
        <v>114</v>
      </c>
      <c r="U725" s="332" t="s">
        <v>114</v>
      </c>
      <c r="V725" s="269"/>
      <c r="W725" s="269"/>
      <c r="X725" s="269"/>
      <c r="Y725" s="269"/>
      <c r="Z725" s="269"/>
      <c r="AA725" s="269"/>
      <c r="AB725" s="269"/>
      <c r="AC725" s="269"/>
      <c r="AD725" s="269"/>
      <c r="AE725" s="269"/>
      <c r="AF725" s="269"/>
      <c r="AG725" s="269"/>
      <c r="AH725" s="269"/>
      <c r="AI725" s="269"/>
      <c r="AJ725" s="269"/>
      <c r="AK725" s="269"/>
      <c r="AL725" s="269"/>
      <c r="AM725" s="269"/>
    </row>
    <row r="726" spans="1:39" ht="57" customHeight="1" x14ac:dyDescent="0.2">
      <c r="A726" s="277">
        <f>IF(B726="","",COUNT('Diário 5º PA'!$A$5:$A$2634)+COUNT('Diário 6º PA'!$A$5:$A$2246)+ROW()-4)</f>
        <v>3265</v>
      </c>
      <c r="B726" s="278">
        <v>44425</v>
      </c>
      <c r="C726" s="335">
        <v>44409</v>
      </c>
      <c r="D726" s="255" t="s">
        <v>99</v>
      </c>
      <c r="E726" s="255" t="s">
        <v>272</v>
      </c>
      <c r="F726" s="258">
        <v>10.45</v>
      </c>
      <c r="G726" s="450" t="s">
        <v>1981</v>
      </c>
      <c r="H726" s="250" t="s">
        <v>131</v>
      </c>
      <c r="I726" s="250" t="s">
        <v>949</v>
      </c>
      <c r="J726" s="255" t="s">
        <v>950</v>
      </c>
      <c r="K726" s="255" t="s">
        <v>951</v>
      </c>
      <c r="L726" s="250" t="s">
        <v>947</v>
      </c>
      <c r="M726" s="336" t="s">
        <v>114</v>
      </c>
      <c r="N726" s="278">
        <v>44425</v>
      </c>
      <c r="O726" s="329" t="s">
        <v>67</v>
      </c>
      <c r="P726" s="330">
        <f t="shared" si="43"/>
        <v>8</v>
      </c>
      <c r="Q726" s="330">
        <f t="shared" si="44"/>
        <v>8</v>
      </c>
      <c r="R726" s="331" t="str">
        <f t="shared" si="45"/>
        <v>Gastos_Gerais</v>
      </c>
      <c r="S726" s="331" t="str">
        <f>IF(D726="","",IF(OR(D726=Plano!$A$1,D726=Plano!$B$1),"entrada","saída"))</f>
        <v>saída</v>
      </c>
      <c r="T726" s="332" t="s">
        <v>114</v>
      </c>
      <c r="U726" s="332" t="s">
        <v>114</v>
      </c>
      <c r="V726" s="269"/>
      <c r="W726" s="269"/>
      <c r="X726" s="269"/>
      <c r="Y726" s="269"/>
      <c r="Z726" s="269"/>
      <c r="AA726" s="269"/>
      <c r="AB726" s="269"/>
      <c r="AC726" s="269"/>
      <c r="AD726" s="269"/>
      <c r="AE726" s="269"/>
      <c r="AF726" s="269"/>
      <c r="AG726" s="269"/>
      <c r="AH726" s="269"/>
      <c r="AI726" s="269"/>
      <c r="AJ726" s="269"/>
      <c r="AK726" s="269"/>
      <c r="AL726" s="269"/>
      <c r="AM726" s="269"/>
    </row>
    <row r="727" spans="1:39" ht="52.5" customHeight="1" x14ac:dyDescent="0.2">
      <c r="A727" s="277">
        <f>IF(B727="","",COUNT('Diário 5º PA'!$A$5:$A$2634)+COUNT('Diário 6º PA'!$A$5:$A$2246)+ROW()-4)</f>
        <v>3266</v>
      </c>
      <c r="B727" s="278">
        <v>44425</v>
      </c>
      <c r="C727" s="335">
        <v>44409</v>
      </c>
      <c r="D727" s="255" t="s">
        <v>99</v>
      </c>
      <c r="E727" s="255" t="s">
        <v>272</v>
      </c>
      <c r="F727" s="258">
        <v>10.45</v>
      </c>
      <c r="G727" s="450" t="s">
        <v>1982</v>
      </c>
      <c r="H727" s="250" t="s">
        <v>116</v>
      </c>
      <c r="I727" s="250" t="s">
        <v>949</v>
      </c>
      <c r="J727" s="255" t="s">
        <v>950</v>
      </c>
      <c r="K727" s="255" t="s">
        <v>951</v>
      </c>
      <c r="L727" s="250" t="s">
        <v>947</v>
      </c>
      <c r="M727" s="336" t="s">
        <v>114</v>
      </c>
      <c r="N727" s="278">
        <v>44425</v>
      </c>
      <c r="O727" s="329" t="s">
        <v>67</v>
      </c>
      <c r="P727" s="330">
        <f t="shared" si="43"/>
        <v>8</v>
      </c>
      <c r="Q727" s="330">
        <f t="shared" si="44"/>
        <v>8</v>
      </c>
      <c r="R727" s="331" t="str">
        <f t="shared" si="45"/>
        <v>Gastos_Gerais</v>
      </c>
      <c r="S727" s="331" t="str">
        <f>IF(D727="","",IF(OR(D727=Plano!$A$1,D727=Plano!$B$1),"entrada","saída"))</f>
        <v>saída</v>
      </c>
      <c r="T727" s="332" t="s">
        <v>114</v>
      </c>
      <c r="U727" s="332" t="s">
        <v>114</v>
      </c>
      <c r="V727" s="269"/>
      <c r="W727" s="269"/>
      <c r="X727" s="269"/>
      <c r="Y727" s="269"/>
      <c r="Z727" s="269"/>
      <c r="AA727" s="269"/>
      <c r="AB727" s="269"/>
      <c r="AC727" s="269"/>
      <c r="AD727" s="269"/>
      <c r="AE727" s="269"/>
      <c r="AF727" s="269"/>
      <c r="AG727" s="269"/>
      <c r="AH727" s="269"/>
      <c r="AI727" s="269"/>
      <c r="AJ727" s="269"/>
      <c r="AK727" s="269"/>
      <c r="AL727" s="269"/>
      <c r="AM727" s="269"/>
    </row>
    <row r="728" spans="1:39" ht="53.25" customHeight="1" x14ac:dyDescent="0.2">
      <c r="A728" s="277">
        <f>IF(B728="","",COUNT('Diário 5º PA'!$A$5:$A$2634)+COUNT('Diário 6º PA'!$A$5:$A$2246)+ROW()-4)</f>
        <v>3267</v>
      </c>
      <c r="B728" s="278">
        <v>44426</v>
      </c>
      <c r="C728" s="256">
        <v>44378</v>
      </c>
      <c r="D728" s="255" t="s">
        <v>88</v>
      </c>
      <c r="E728" s="255" t="s">
        <v>198</v>
      </c>
      <c r="F728" s="258">
        <v>-13.87</v>
      </c>
      <c r="G728" s="450" t="s">
        <v>985</v>
      </c>
      <c r="H728" s="252" t="s">
        <v>114</v>
      </c>
      <c r="I728" s="250" t="s">
        <v>983</v>
      </c>
      <c r="J728" s="255" t="s">
        <v>850</v>
      </c>
      <c r="K728" s="255" t="s">
        <v>946</v>
      </c>
      <c r="L728" s="250" t="s">
        <v>947</v>
      </c>
      <c r="M728" s="277" t="s">
        <v>114</v>
      </c>
      <c r="N728" s="278">
        <v>44426</v>
      </c>
      <c r="O728" s="329" t="s">
        <v>67</v>
      </c>
      <c r="P728" s="330">
        <f t="shared" si="43"/>
        <v>8</v>
      </c>
      <c r="Q728" s="330">
        <f t="shared" si="44"/>
        <v>7</v>
      </c>
      <c r="R728" s="331" t="str">
        <f t="shared" si="45"/>
        <v>Gastos_com_Pessoal</v>
      </c>
      <c r="S728" s="331" t="str">
        <f>IF(D728="","",IF(OR(D728=Plano!$A$1,D728=Plano!$B$1),"entrada","saída"))</f>
        <v>saída</v>
      </c>
      <c r="T728" s="332" t="s">
        <v>114</v>
      </c>
      <c r="U728" s="332" t="s">
        <v>114</v>
      </c>
      <c r="V728" s="269"/>
      <c r="W728" s="269"/>
      <c r="X728" s="269"/>
      <c r="Y728" s="269"/>
      <c r="Z728" s="269"/>
      <c r="AA728" s="269"/>
      <c r="AB728" s="269"/>
      <c r="AC728" s="269"/>
      <c r="AD728" s="269"/>
      <c r="AE728" s="269"/>
      <c r="AF728" s="269"/>
      <c r="AG728" s="269"/>
      <c r="AH728" s="269"/>
      <c r="AI728" s="269"/>
      <c r="AJ728" s="269"/>
      <c r="AK728" s="269"/>
      <c r="AL728" s="269"/>
      <c r="AM728" s="269"/>
    </row>
    <row r="729" spans="1:39" ht="171" customHeight="1" x14ac:dyDescent="0.2">
      <c r="A729" s="277">
        <f>IF(B729="","",COUNT('Diário 5º PA'!$A$5:$A$2634)+COUNT('Diário 6º PA'!$A$5:$A$2246)+ROW()-4)</f>
        <v>3268</v>
      </c>
      <c r="B729" s="278">
        <v>44426</v>
      </c>
      <c r="C729" s="249">
        <v>44317</v>
      </c>
      <c r="D729" s="250" t="s">
        <v>99</v>
      </c>
      <c r="E729" s="250" t="s">
        <v>386</v>
      </c>
      <c r="F729" s="251">
        <v>1921.27</v>
      </c>
      <c r="G729" s="452" t="s">
        <v>1984</v>
      </c>
      <c r="H729" s="250" t="s">
        <v>131</v>
      </c>
      <c r="I729" s="250" t="s">
        <v>1985</v>
      </c>
      <c r="J729" s="250" t="s">
        <v>1986</v>
      </c>
      <c r="K729" s="255" t="s">
        <v>991</v>
      </c>
      <c r="L729" s="250" t="s">
        <v>1901</v>
      </c>
      <c r="M729" s="277">
        <v>1279</v>
      </c>
      <c r="N729" s="278">
        <v>44426</v>
      </c>
      <c r="O729" s="329" t="s">
        <v>67</v>
      </c>
      <c r="P729" s="330">
        <f t="shared" si="43"/>
        <v>8</v>
      </c>
      <c r="Q729" s="330">
        <f t="shared" si="44"/>
        <v>5</v>
      </c>
      <c r="R729" s="331" t="str">
        <f t="shared" si="45"/>
        <v>Gastos_Gerais</v>
      </c>
      <c r="S729" s="331" t="str">
        <f>IF(D729="","",IF(OR(D729=Plano!$A$1,D729=Plano!$B$1),"entrada","saída"))</f>
        <v>saída</v>
      </c>
      <c r="T729" s="334" t="s">
        <v>994</v>
      </c>
      <c r="U729" s="334">
        <v>1498</v>
      </c>
      <c r="V729" s="269"/>
      <c r="W729" s="269"/>
      <c r="X729" s="269"/>
      <c r="Y729" s="269"/>
      <c r="Z729" s="269"/>
      <c r="AA729" s="269"/>
      <c r="AB729" s="269"/>
      <c r="AC729" s="269"/>
      <c r="AD729" s="269"/>
      <c r="AE729" s="269"/>
      <c r="AF729" s="269"/>
      <c r="AG729" s="269"/>
      <c r="AH729" s="269"/>
      <c r="AI729" s="269"/>
      <c r="AJ729" s="269"/>
      <c r="AK729" s="269"/>
      <c r="AL729" s="269"/>
      <c r="AM729" s="269"/>
    </row>
    <row r="730" spans="1:39" ht="192" customHeight="1" x14ac:dyDescent="0.2">
      <c r="A730" s="277">
        <f>IF(B730="","",COUNT('Diário 5º PA'!$A$5:$A$2634)+COUNT('Diário 6º PA'!$A$5:$A$2246)+ROW()-4)</f>
        <v>3269</v>
      </c>
      <c r="B730" s="278">
        <v>44426</v>
      </c>
      <c r="C730" s="249">
        <v>44317</v>
      </c>
      <c r="D730" s="250" t="s">
        <v>99</v>
      </c>
      <c r="E730" s="250" t="s">
        <v>386</v>
      </c>
      <c r="F730" s="251">
        <v>1921.27</v>
      </c>
      <c r="G730" s="452" t="s">
        <v>1987</v>
      </c>
      <c r="H730" s="250" t="s">
        <v>131</v>
      </c>
      <c r="I730" s="250" t="s">
        <v>1988</v>
      </c>
      <c r="J730" s="250" t="s">
        <v>1989</v>
      </c>
      <c r="K730" s="255" t="s">
        <v>991</v>
      </c>
      <c r="L730" s="250" t="s">
        <v>1901</v>
      </c>
      <c r="M730" s="277">
        <v>1280</v>
      </c>
      <c r="N730" s="278">
        <v>44426</v>
      </c>
      <c r="O730" s="329" t="s">
        <v>67</v>
      </c>
      <c r="P730" s="330">
        <f t="shared" si="43"/>
        <v>8</v>
      </c>
      <c r="Q730" s="330">
        <f t="shared" si="44"/>
        <v>5</v>
      </c>
      <c r="R730" s="331" t="str">
        <f t="shared" si="45"/>
        <v>Gastos_Gerais</v>
      </c>
      <c r="S730" s="331" t="str">
        <f>IF(D730="","",IF(OR(D730=Plano!$A$1,D730=Plano!$B$1),"entrada","saída"))</f>
        <v>saída</v>
      </c>
      <c r="T730" s="334" t="s">
        <v>994</v>
      </c>
      <c r="U730" s="334">
        <v>1554</v>
      </c>
      <c r="V730" s="269"/>
      <c r="W730" s="269"/>
      <c r="X730" s="269"/>
      <c r="Y730" s="269"/>
      <c r="Z730" s="269"/>
      <c r="AA730" s="269"/>
      <c r="AB730" s="269"/>
      <c r="AC730" s="269"/>
      <c r="AD730" s="269"/>
      <c r="AE730" s="269"/>
      <c r="AF730" s="269"/>
      <c r="AG730" s="269"/>
      <c r="AH730" s="269"/>
      <c r="AI730" s="269"/>
      <c r="AJ730" s="269"/>
      <c r="AK730" s="269"/>
      <c r="AL730" s="269"/>
      <c r="AM730" s="269"/>
    </row>
    <row r="731" spans="1:39" ht="39" customHeight="1" x14ac:dyDescent="0.2">
      <c r="A731" s="277">
        <f>IF(B731="","",COUNT('Diário 5º PA'!$A$5:$A$2634)+COUNT('Diário 6º PA'!$A$5:$A$2246)+ROW()-4)</f>
        <v>3270</v>
      </c>
      <c r="B731" s="278">
        <v>44426</v>
      </c>
      <c r="C731" s="335">
        <v>44409</v>
      </c>
      <c r="D731" s="255" t="s">
        <v>99</v>
      </c>
      <c r="E731" s="255" t="s">
        <v>272</v>
      </c>
      <c r="F731" s="258">
        <v>10.45</v>
      </c>
      <c r="G731" s="450" t="s">
        <v>1990</v>
      </c>
      <c r="H731" s="250" t="s">
        <v>131</v>
      </c>
      <c r="I731" s="250" t="s">
        <v>949</v>
      </c>
      <c r="J731" s="255" t="s">
        <v>950</v>
      </c>
      <c r="K731" s="255" t="s">
        <v>951</v>
      </c>
      <c r="L731" s="250" t="s">
        <v>947</v>
      </c>
      <c r="M731" s="336" t="s">
        <v>114</v>
      </c>
      <c r="N731" s="278">
        <v>44426</v>
      </c>
      <c r="O731" s="329" t="s">
        <v>67</v>
      </c>
      <c r="P731" s="330">
        <f t="shared" si="43"/>
        <v>8</v>
      </c>
      <c r="Q731" s="330">
        <f t="shared" si="44"/>
        <v>8</v>
      </c>
      <c r="R731" s="331" t="str">
        <f t="shared" si="45"/>
        <v>Gastos_Gerais</v>
      </c>
      <c r="S731" s="331" t="str">
        <f>IF(D731="","",IF(OR(D731=Plano!$A$1,D731=Plano!$B$1),"entrada","saída"))</f>
        <v>saída</v>
      </c>
      <c r="T731" s="332" t="s">
        <v>114</v>
      </c>
      <c r="U731" s="332" t="s">
        <v>114</v>
      </c>
      <c r="V731" s="269"/>
      <c r="W731" s="269"/>
      <c r="X731" s="269"/>
      <c r="Y731" s="269"/>
      <c r="Z731" s="269"/>
      <c r="AA731" s="269"/>
      <c r="AB731" s="269"/>
      <c r="AC731" s="269"/>
      <c r="AD731" s="269"/>
      <c r="AE731" s="269"/>
      <c r="AF731" s="269"/>
      <c r="AG731" s="269"/>
      <c r="AH731" s="269"/>
      <c r="AI731" s="269"/>
      <c r="AJ731" s="269"/>
      <c r="AK731" s="269"/>
      <c r="AL731" s="269"/>
      <c r="AM731" s="269"/>
    </row>
    <row r="732" spans="1:39" ht="51" customHeight="1" x14ac:dyDescent="0.2">
      <c r="A732" s="277">
        <f>IF(B732="","",COUNT('Diário 5º PA'!$A$5:$A$2634)+COUNT('Diário 6º PA'!$A$5:$A$2246)+ROW()-4)</f>
        <v>3271</v>
      </c>
      <c r="B732" s="278">
        <v>44426</v>
      </c>
      <c r="C732" s="335">
        <v>44409</v>
      </c>
      <c r="D732" s="255" t="s">
        <v>99</v>
      </c>
      <c r="E732" s="255" t="s">
        <v>272</v>
      </c>
      <c r="F732" s="258">
        <v>10.45</v>
      </c>
      <c r="G732" s="450" t="s">
        <v>1991</v>
      </c>
      <c r="H732" s="250" t="s">
        <v>131</v>
      </c>
      <c r="I732" s="250" t="s">
        <v>949</v>
      </c>
      <c r="J732" s="255" t="s">
        <v>950</v>
      </c>
      <c r="K732" s="255" t="s">
        <v>951</v>
      </c>
      <c r="L732" s="250" t="s">
        <v>947</v>
      </c>
      <c r="M732" s="336" t="s">
        <v>114</v>
      </c>
      <c r="N732" s="278">
        <v>44426</v>
      </c>
      <c r="O732" s="329" t="s">
        <v>67</v>
      </c>
      <c r="P732" s="330">
        <f t="shared" si="43"/>
        <v>8</v>
      </c>
      <c r="Q732" s="330">
        <f t="shared" si="44"/>
        <v>8</v>
      </c>
      <c r="R732" s="331" t="str">
        <f t="shared" si="45"/>
        <v>Gastos_Gerais</v>
      </c>
      <c r="S732" s="331" t="str">
        <f>IF(D732="","",IF(OR(D732=Plano!$A$1,D732=Plano!$B$1),"entrada","saída"))</f>
        <v>saída</v>
      </c>
      <c r="T732" s="332" t="s">
        <v>114</v>
      </c>
      <c r="U732" s="332" t="s">
        <v>114</v>
      </c>
      <c r="V732" s="269"/>
      <c r="W732" s="269"/>
      <c r="X732" s="269"/>
      <c r="Y732" s="269"/>
      <c r="Z732" s="269"/>
      <c r="AA732" s="269"/>
      <c r="AB732" s="269"/>
      <c r="AC732" s="269"/>
      <c r="AD732" s="269"/>
      <c r="AE732" s="269"/>
      <c r="AF732" s="269"/>
      <c r="AG732" s="269"/>
      <c r="AH732" s="269"/>
      <c r="AI732" s="269"/>
      <c r="AJ732" s="269"/>
      <c r="AK732" s="269"/>
      <c r="AL732" s="269"/>
      <c r="AM732" s="269"/>
    </row>
    <row r="733" spans="1:39" ht="52.5" customHeight="1" x14ac:dyDescent="0.2">
      <c r="A733" s="277">
        <f>IF(B733="","",COUNT('Diário 5º PA'!$A$5:$A$2634)+COUNT('Diário 6º PA'!$A$5:$A$2246)+ROW()-4)</f>
        <v>3272</v>
      </c>
      <c r="B733" s="278">
        <v>44426</v>
      </c>
      <c r="C733" s="335">
        <v>44409</v>
      </c>
      <c r="D733" s="255" t="s">
        <v>99</v>
      </c>
      <c r="E733" s="255" t="s">
        <v>272</v>
      </c>
      <c r="F733" s="258">
        <v>10.45</v>
      </c>
      <c r="G733" s="450" t="s">
        <v>1992</v>
      </c>
      <c r="H733" s="250" t="s">
        <v>131</v>
      </c>
      <c r="I733" s="250" t="s">
        <v>949</v>
      </c>
      <c r="J733" s="255" t="s">
        <v>950</v>
      </c>
      <c r="K733" s="255" t="s">
        <v>951</v>
      </c>
      <c r="L733" s="250" t="s">
        <v>947</v>
      </c>
      <c r="M733" s="336" t="s">
        <v>114</v>
      </c>
      <c r="N733" s="278">
        <v>44426</v>
      </c>
      <c r="O733" s="329" t="s">
        <v>67</v>
      </c>
      <c r="P733" s="330">
        <f t="shared" si="43"/>
        <v>8</v>
      </c>
      <c r="Q733" s="330">
        <f t="shared" si="44"/>
        <v>8</v>
      </c>
      <c r="R733" s="331" t="str">
        <f t="shared" si="45"/>
        <v>Gastos_Gerais</v>
      </c>
      <c r="S733" s="331" t="str">
        <f>IF(D733="","",IF(OR(D733=Plano!$A$1,D733=Plano!$B$1),"entrada","saída"))</f>
        <v>saída</v>
      </c>
      <c r="T733" s="332" t="s">
        <v>114</v>
      </c>
      <c r="U733" s="332" t="s">
        <v>114</v>
      </c>
      <c r="V733" s="269"/>
      <c r="W733" s="269"/>
      <c r="X733" s="269"/>
      <c r="Y733" s="269"/>
      <c r="Z733" s="269"/>
      <c r="AA733" s="269"/>
      <c r="AB733" s="269"/>
      <c r="AC733" s="269"/>
      <c r="AD733" s="269"/>
      <c r="AE733" s="269"/>
      <c r="AF733" s="269"/>
      <c r="AG733" s="269"/>
      <c r="AH733" s="269"/>
      <c r="AI733" s="269"/>
      <c r="AJ733" s="269"/>
      <c r="AK733" s="269"/>
      <c r="AL733" s="269"/>
      <c r="AM733" s="269"/>
    </row>
    <row r="734" spans="1:39" s="478" customFormat="1" ht="192" customHeight="1" x14ac:dyDescent="0.2">
      <c r="A734" s="277">
        <f>IF(B734="","",COUNT('Diário 5º PA'!$A$5:$A$2634)+COUNT('Diário 6º PA'!$A$5:$A$2246)+ROW()-4)</f>
        <v>3273</v>
      </c>
      <c r="B734" s="278">
        <v>44426</v>
      </c>
      <c r="C734" s="335">
        <v>44348</v>
      </c>
      <c r="D734" s="255" t="s">
        <v>104</v>
      </c>
      <c r="E734" s="255" t="s">
        <v>104</v>
      </c>
      <c r="F734" s="258">
        <v>2621.23</v>
      </c>
      <c r="G734" s="450" t="s">
        <v>1564</v>
      </c>
      <c r="H734" s="250" t="s">
        <v>104</v>
      </c>
      <c r="I734" s="250" t="s">
        <v>1565</v>
      </c>
      <c r="J734" s="255" t="s">
        <v>1566</v>
      </c>
      <c r="K734" s="255" t="s">
        <v>1015</v>
      </c>
      <c r="L734" s="250" t="s">
        <v>992</v>
      </c>
      <c r="M734" s="277" t="s">
        <v>1049</v>
      </c>
      <c r="N734" s="278">
        <v>44426</v>
      </c>
      <c r="O734" s="329" t="s">
        <v>5377</v>
      </c>
      <c r="P734" s="330">
        <f t="shared" si="43"/>
        <v>8</v>
      </c>
      <c r="Q734" s="330">
        <f t="shared" si="44"/>
        <v>6</v>
      </c>
      <c r="R734" s="331" t="str">
        <f t="shared" si="45"/>
        <v>Gastos_custeados_por_captação</v>
      </c>
      <c r="S734" s="331" t="str">
        <f>IF(D734="","",IF(OR(D734=Plano!$A$1,D734=Plano!$B$1),"entrada","saída"))</f>
        <v>saída</v>
      </c>
      <c r="T734" s="334" t="s">
        <v>994</v>
      </c>
      <c r="U734" s="334">
        <v>1635</v>
      </c>
      <c r="V734" s="439"/>
      <c r="W734" s="439"/>
      <c r="X734" s="439"/>
      <c r="Y734" s="439"/>
      <c r="Z734" s="439"/>
      <c r="AA734" s="439"/>
      <c r="AB734" s="439"/>
      <c r="AC734" s="439"/>
      <c r="AD734" s="439"/>
      <c r="AE734" s="439"/>
      <c r="AF734" s="439"/>
      <c r="AG734" s="439"/>
      <c r="AH734" s="439"/>
      <c r="AI734" s="439"/>
      <c r="AJ734" s="439"/>
      <c r="AK734" s="439"/>
      <c r="AL734" s="439"/>
      <c r="AM734" s="439"/>
    </row>
    <row r="735" spans="1:39" s="478" customFormat="1" ht="105.75" customHeight="1" x14ac:dyDescent="0.2">
      <c r="A735" s="277">
        <f>IF(B735="","",COUNT('Diário 5º PA'!$A$5:$A$2634)+COUNT('Diário 6º PA'!$A$5:$A$2246)+ROW()-4)</f>
        <v>3274</v>
      </c>
      <c r="B735" s="278">
        <v>44426</v>
      </c>
      <c r="C735" s="249">
        <v>44378</v>
      </c>
      <c r="D735" s="250" t="s">
        <v>104</v>
      </c>
      <c r="E735" s="250" t="s">
        <v>104</v>
      </c>
      <c r="F735" s="251">
        <v>1444.95</v>
      </c>
      <c r="G735" s="452" t="s">
        <v>851</v>
      </c>
      <c r="H735" s="468" t="s">
        <v>104</v>
      </c>
      <c r="I735" s="250" t="s">
        <v>5433</v>
      </c>
      <c r="J735" s="440" t="s">
        <v>853</v>
      </c>
      <c r="K735" s="255" t="s">
        <v>560</v>
      </c>
      <c r="L735" s="250" t="s">
        <v>992</v>
      </c>
      <c r="M735" s="277" t="s">
        <v>5434</v>
      </c>
      <c r="N735" s="278">
        <v>44425</v>
      </c>
      <c r="O735" s="329" t="s">
        <v>5377</v>
      </c>
      <c r="P735" s="330">
        <f t="shared" ref="P735:P736" si="46">IF(B735=0,0,IF(YEAR(B735)=$Q$1,MONTH(B735)-$P$1+1,(YEAR(B735)-$Q$1)*12-$P$1+1+MONTH(B735)))</f>
        <v>8</v>
      </c>
      <c r="Q735" s="330">
        <f t="shared" ref="Q735:Q736" si="47">IF(C735=0,0,IF(YEAR(C735)=$Q$1,MONTH(C735)-$P$1+1,(YEAR(C735)-$Q$1)*12-$P$1+1+MONTH(C735)))</f>
        <v>7</v>
      </c>
      <c r="R735" s="331" t="str">
        <f t="shared" ref="R735:R736" si="48">SUBSTITUTE(D735," ","_")</f>
        <v>Gastos_custeados_por_captação</v>
      </c>
      <c r="S735" s="331" t="str">
        <f>IF(D735="","",IF(OR(D735=Plano!$A$1,D735=Plano!$B$1),"entrada","saída"))</f>
        <v>saída</v>
      </c>
      <c r="T735" s="332" t="s">
        <v>1059</v>
      </c>
      <c r="U735" s="332">
        <v>1371</v>
      </c>
      <c r="V735" s="439"/>
      <c r="W735" s="439"/>
      <c r="X735" s="439"/>
      <c r="Y735" s="439"/>
      <c r="Z735" s="439"/>
      <c r="AA735" s="439"/>
      <c r="AB735" s="439"/>
      <c r="AC735" s="439"/>
      <c r="AD735" s="439"/>
      <c r="AE735" s="439"/>
      <c r="AF735" s="439"/>
      <c r="AG735" s="439"/>
      <c r="AH735" s="439"/>
      <c r="AI735" s="439"/>
      <c r="AJ735" s="439"/>
      <c r="AK735" s="439"/>
      <c r="AL735" s="439"/>
      <c r="AM735" s="439"/>
    </row>
    <row r="736" spans="1:39" s="478" customFormat="1" ht="52.5" customHeight="1" x14ac:dyDescent="0.2">
      <c r="A736" s="277">
        <f>IF(B736="","",COUNT('Diário 5º PA'!$A$5:$A$2634)+COUNT('Diário 6º PA'!$A$5:$A$2246)+ROW()-4)</f>
        <v>3275</v>
      </c>
      <c r="B736" s="278">
        <v>44426</v>
      </c>
      <c r="C736" s="335">
        <v>44378</v>
      </c>
      <c r="D736" s="250" t="s">
        <v>104</v>
      </c>
      <c r="E736" s="250" t="s">
        <v>104</v>
      </c>
      <c r="F736" s="258">
        <v>2375</v>
      </c>
      <c r="G736" s="450" t="s">
        <v>5436</v>
      </c>
      <c r="H736" s="468" t="s">
        <v>104</v>
      </c>
      <c r="I736" s="250" t="s">
        <v>5437</v>
      </c>
      <c r="J736" s="255" t="s">
        <v>569</v>
      </c>
      <c r="K736" s="255" t="s">
        <v>991</v>
      </c>
      <c r="L736" s="250" t="s">
        <v>5438</v>
      </c>
      <c r="M736" s="277" t="s">
        <v>5439</v>
      </c>
      <c r="N736" s="278">
        <v>44425</v>
      </c>
      <c r="O736" s="329" t="s">
        <v>5377</v>
      </c>
      <c r="P736" s="330">
        <f t="shared" si="46"/>
        <v>8</v>
      </c>
      <c r="Q736" s="330">
        <f t="shared" si="47"/>
        <v>7</v>
      </c>
      <c r="R736" s="331" t="str">
        <f t="shared" si="48"/>
        <v>Gastos_custeados_por_captação</v>
      </c>
      <c r="S736" s="331" t="str">
        <f>IF(D736="","",IF(OR(D736=Plano!$A$1,D736=Plano!$B$1),"entrada","saída"))</f>
        <v>saída</v>
      </c>
      <c r="T736" s="332" t="s">
        <v>1059</v>
      </c>
      <c r="U736" s="332">
        <v>1543</v>
      </c>
      <c r="V736" s="439"/>
      <c r="W736" s="439"/>
      <c r="X736" s="439"/>
      <c r="Y736" s="439"/>
      <c r="Z736" s="439"/>
      <c r="AA736" s="439"/>
      <c r="AB736" s="439"/>
      <c r="AC736" s="439"/>
      <c r="AD736" s="439"/>
      <c r="AE736" s="439"/>
      <c r="AF736" s="439"/>
      <c r="AG736" s="439"/>
      <c r="AH736" s="439"/>
      <c r="AI736" s="439"/>
      <c r="AJ736" s="439"/>
      <c r="AK736" s="439"/>
      <c r="AL736" s="439"/>
      <c r="AM736" s="439"/>
    </row>
    <row r="737" spans="1:39" ht="115.5" customHeight="1" x14ac:dyDescent="0.2">
      <c r="A737" s="277">
        <f>IF(B737="","",COUNT('Diário 5º PA'!$A$5:$A$2634)+COUNT('Diário 6º PA'!$A$5:$A$2246)+ROW()-4)</f>
        <v>3276</v>
      </c>
      <c r="B737" s="278">
        <v>44427</v>
      </c>
      <c r="C737" s="256">
        <v>44378</v>
      </c>
      <c r="D737" s="250" t="s">
        <v>99</v>
      </c>
      <c r="E737" s="250" t="s">
        <v>262</v>
      </c>
      <c r="F737" s="258">
        <v>-760.61</v>
      </c>
      <c r="G737" s="450" t="s">
        <v>1993</v>
      </c>
      <c r="H737" s="255" t="s">
        <v>115</v>
      </c>
      <c r="I737" s="250" t="s">
        <v>983</v>
      </c>
      <c r="J737" s="255" t="s">
        <v>850</v>
      </c>
      <c r="K737" s="255" t="s">
        <v>946</v>
      </c>
      <c r="L737" s="250" t="s">
        <v>947</v>
      </c>
      <c r="M737" s="277" t="s">
        <v>114</v>
      </c>
      <c r="N737" s="278">
        <v>44427</v>
      </c>
      <c r="O737" s="329" t="s">
        <v>67</v>
      </c>
      <c r="P737" s="330">
        <f t="shared" si="43"/>
        <v>8</v>
      </c>
      <c r="Q737" s="330">
        <f t="shared" si="44"/>
        <v>7</v>
      </c>
      <c r="R737" s="331" t="str">
        <f t="shared" si="45"/>
        <v>Gastos_Gerais</v>
      </c>
      <c r="S737" s="331" t="str">
        <f>IF(D737="","",IF(OR(D737=Plano!$A$1,D737=Plano!$B$1),"entrada","saída"))</f>
        <v>saída</v>
      </c>
      <c r="T737" s="332" t="s">
        <v>114</v>
      </c>
      <c r="U737" s="332" t="s">
        <v>114</v>
      </c>
      <c r="V737" s="269"/>
      <c r="W737" s="269"/>
      <c r="X737" s="269"/>
      <c r="Y737" s="269"/>
      <c r="Z737" s="269"/>
      <c r="AA737" s="269"/>
      <c r="AB737" s="269"/>
      <c r="AC737" s="269"/>
      <c r="AD737" s="269"/>
      <c r="AE737" s="269"/>
      <c r="AF737" s="269"/>
      <c r="AG737" s="269"/>
      <c r="AH737" s="269"/>
      <c r="AI737" s="269"/>
      <c r="AJ737" s="269"/>
      <c r="AK737" s="269"/>
      <c r="AL737" s="269"/>
      <c r="AM737" s="269"/>
    </row>
    <row r="738" spans="1:39" ht="158.25" customHeight="1" x14ac:dyDescent="0.2">
      <c r="A738" s="277">
        <f>IF(B738="","",COUNT('Diário 5º PA'!$A$5:$A$2634)+COUNT('Diário 6º PA'!$A$5:$A$2246)+ROW()-4)</f>
        <v>3277</v>
      </c>
      <c r="B738" s="278">
        <v>44427</v>
      </c>
      <c r="C738" s="249">
        <v>44317</v>
      </c>
      <c r="D738" s="250" t="s">
        <v>99</v>
      </c>
      <c r="E738" s="250" t="s">
        <v>364</v>
      </c>
      <c r="F738" s="251">
        <v>5219.3599999999997</v>
      </c>
      <c r="G738" s="452" t="s">
        <v>1994</v>
      </c>
      <c r="H738" s="250" t="s">
        <v>131</v>
      </c>
      <c r="I738" s="250" t="s">
        <v>1397</v>
      </c>
      <c r="J738" s="250" t="s">
        <v>1398</v>
      </c>
      <c r="K738" s="255" t="s">
        <v>1015</v>
      </c>
      <c r="L738" s="250" t="s">
        <v>1177</v>
      </c>
      <c r="M738" s="277" t="s">
        <v>114</v>
      </c>
      <c r="N738" s="278">
        <v>44427</v>
      </c>
      <c r="O738" s="329" t="s">
        <v>67</v>
      </c>
      <c r="P738" s="330">
        <f t="shared" si="43"/>
        <v>8</v>
      </c>
      <c r="Q738" s="330">
        <f t="shared" si="44"/>
        <v>5</v>
      </c>
      <c r="R738" s="331" t="str">
        <f t="shared" si="45"/>
        <v>Gastos_Gerais</v>
      </c>
      <c r="S738" s="331" t="str">
        <f>IF(D738="","",IF(OR(D738=Plano!$A$1,D738=Plano!$B$1),"entrada","saída"))</f>
        <v>saída</v>
      </c>
      <c r="T738" s="334" t="s">
        <v>994</v>
      </c>
      <c r="U738" s="334">
        <v>1558</v>
      </c>
      <c r="V738" s="269"/>
      <c r="W738" s="269"/>
      <c r="X738" s="269"/>
      <c r="Y738" s="269"/>
      <c r="Z738" s="269"/>
      <c r="AA738" s="269"/>
      <c r="AB738" s="269"/>
      <c r="AC738" s="269"/>
      <c r="AD738" s="269"/>
      <c r="AE738" s="269"/>
      <c r="AF738" s="269"/>
      <c r="AG738" s="269"/>
      <c r="AH738" s="269"/>
      <c r="AI738" s="269"/>
      <c r="AJ738" s="269"/>
      <c r="AK738" s="269"/>
      <c r="AL738" s="269"/>
      <c r="AM738" s="269"/>
    </row>
    <row r="739" spans="1:39" ht="205.5" customHeight="1" x14ac:dyDescent="0.2">
      <c r="A739" s="277">
        <f>IF(B739="","",COUNT('Diário 5º PA'!$A$5:$A$2634)+COUNT('Diário 6º PA'!$A$5:$A$2246)+ROW()-4)</f>
        <v>3278</v>
      </c>
      <c r="B739" s="278">
        <v>44427</v>
      </c>
      <c r="C739" s="249">
        <v>44378</v>
      </c>
      <c r="D739" s="250" t="s">
        <v>99</v>
      </c>
      <c r="E739" s="250" t="s">
        <v>360</v>
      </c>
      <c r="F739" s="251">
        <v>8848.0499999999993</v>
      </c>
      <c r="G739" s="452" t="s">
        <v>1995</v>
      </c>
      <c r="H739" s="250" t="s">
        <v>131</v>
      </c>
      <c r="I739" s="250" t="s">
        <v>1996</v>
      </c>
      <c r="J739" s="250" t="s">
        <v>1997</v>
      </c>
      <c r="K739" s="255" t="s">
        <v>991</v>
      </c>
      <c r="L739" s="250" t="s">
        <v>992</v>
      </c>
      <c r="M739" s="277" t="s">
        <v>1301</v>
      </c>
      <c r="N739" s="278">
        <v>44420</v>
      </c>
      <c r="O739" s="329" t="s">
        <v>67</v>
      </c>
      <c r="P739" s="330">
        <f t="shared" si="43"/>
        <v>8</v>
      </c>
      <c r="Q739" s="330">
        <f t="shared" si="44"/>
        <v>7</v>
      </c>
      <c r="R739" s="331" t="str">
        <f t="shared" si="45"/>
        <v>Gastos_Gerais</v>
      </c>
      <c r="S739" s="331" t="str">
        <f>IF(D739="","",IF(OR(D739=Plano!$A$1,D739=Plano!$B$1),"entrada","saída"))</f>
        <v>saída</v>
      </c>
      <c r="T739" s="334" t="s">
        <v>1082</v>
      </c>
      <c r="U739" s="334">
        <v>1717</v>
      </c>
      <c r="V739" s="269"/>
      <c r="W739" s="269"/>
      <c r="X739" s="269"/>
      <c r="Y739" s="269"/>
      <c r="Z739" s="269"/>
      <c r="AA739" s="269"/>
      <c r="AB739" s="269"/>
      <c r="AC739" s="269"/>
      <c r="AD739" s="269"/>
      <c r="AE739" s="269"/>
      <c r="AF739" s="269"/>
      <c r="AG739" s="269"/>
      <c r="AH739" s="269"/>
      <c r="AI739" s="269"/>
      <c r="AJ739" s="269"/>
      <c r="AK739" s="269"/>
      <c r="AL739" s="269"/>
      <c r="AM739" s="269"/>
    </row>
    <row r="740" spans="1:39" ht="169.5" customHeight="1" x14ac:dyDescent="0.2">
      <c r="A740" s="277">
        <f>IF(B740="","",COUNT('Diário 5º PA'!$A$5:$A$2634)+COUNT('Diário 6º PA'!$A$5:$A$2246)+ROW()-4)</f>
        <v>3279</v>
      </c>
      <c r="B740" s="278">
        <v>44427</v>
      </c>
      <c r="C740" s="249">
        <v>44378</v>
      </c>
      <c r="D740" s="250" t="s">
        <v>99</v>
      </c>
      <c r="E740" s="250" t="s">
        <v>262</v>
      </c>
      <c r="F740" s="251">
        <v>2058.6</v>
      </c>
      <c r="G740" s="452" t="s">
        <v>659</v>
      </c>
      <c r="H740" s="250" t="s">
        <v>115</v>
      </c>
      <c r="I740" s="250" t="s">
        <v>1998</v>
      </c>
      <c r="J740" s="250" t="s">
        <v>660</v>
      </c>
      <c r="K740" s="255" t="s">
        <v>991</v>
      </c>
      <c r="L740" s="250" t="s">
        <v>1901</v>
      </c>
      <c r="M740" s="277">
        <v>1281</v>
      </c>
      <c r="N740" s="278">
        <v>44427</v>
      </c>
      <c r="O740" s="329" t="s">
        <v>67</v>
      </c>
      <c r="P740" s="330">
        <f t="shared" si="43"/>
        <v>8</v>
      </c>
      <c r="Q740" s="330">
        <f t="shared" si="44"/>
        <v>7</v>
      </c>
      <c r="R740" s="331" t="str">
        <f t="shared" si="45"/>
        <v>Gastos_Gerais</v>
      </c>
      <c r="S740" s="331" t="str">
        <f>IF(D740="","",IF(OR(D740=Plano!$A$1,D740=Plano!$B$1),"entrada","saída"))</f>
        <v>saída</v>
      </c>
      <c r="T740" s="334" t="s">
        <v>1082</v>
      </c>
      <c r="U740" s="334">
        <v>1559</v>
      </c>
      <c r="V740" s="269"/>
      <c r="W740" s="269"/>
      <c r="X740" s="269"/>
      <c r="Y740" s="269"/>
      <c r="Z740" s="269"/>
      <c r="AA740" s="269"/>
      <c r="AB740" s="269"/>
      <c r="AC740" s="269"/>
      <c r="AD740" s="269"/>
      <c r="AE740" s="269"/>
      <c r="AF740" s="269"/>
      <c r="AG740" s="269"/>
      <c r="AH740" s="269"/>
      <c r="AI740" s="269"/>
      <c r="AJ740" s="269"/>
      <c r="AK740" s="269"/>
      <c r="AL740" s="269"/>
      <c r="AM740" s="269"/>
    </row>
    <row r="741" spans="1:39" ht="180" customHeight="1" x14ac:dyDescent="0.2">
      <c r="A741" s="277">
        <f>IF(B741="","",COUNT('Diário 5º PA'!$A$5:$A$2634)+COUNT('Diário 6º PA'!$A$5:$A$2246)+ROW()-4)</f>
        <v>3280</v>
      </c>
      <c r="B741" s="278">
        <v>44427</v>
      </c>
      <c r="C741" s="249">
        <v>44409</v>
      </c>
      <c r="D741" s="250" t="s">
        <v>99</v>
      </c>
      <c r="E741" s="250" t="s">
        <v>312</v>
      </c>
      <c r="F741" s="251">
        <v>350</v>
      </c>
      <c r="G741" s="452" t="s">
        <v>1999</v>
      </c>
      <c r="H741" s="250" t="s">
        <v>131</v>
      </c>
      <c r="I741" s="250" t="s">
        <v>2000</v>
      </c>
      <c r="J741" s="250" t="s">
        <v>2001</v>
      </c>
      <c r="K741" s="255" t="s">
        <v>991</v>
      </c>
      <c r="L741" s="250" t="s">
        <v>992</v>
      </c>
      <c r="M741" s="277" t="s">
        <v>2002</v>
      </c>
      <c r="N741" s="278">
        <v>44425</v>
      </c>
      <c r="O741" s="329" t="s">
        <v>67</v>
      </c>
      <c r="P741" s="330">
        <f t="shared" si="43"/>
        <v>8</v>
      </c>
      <c r="Q741" s="330">
        <f t="shared" si="44"/>
        <v>8</v>
      </c>
      <c r="R741" s="331" t="str">
        <f t="shared" si="45"/>
        <v>Gastos_Gerais</v>
      </c>
      <c r="S741" s="331" t="str">
        <f>IF(D741="","",IF(OR(D741=Plano!$A$1,D741=Plano!$B$1),"entrada","saída"))</f>
        <v>saída</v>
      </c>
      <c r="T741" s="334" t="s">
        <v>994</v>
      </c>
      <c r="U741" s="334">
        <v>1884</v>
      </c>
      <c r="V741" s="269"/>
      <c r="W741" s="269"/>
      <c r="X741" s="269"/>
      <c r="Y741" s="269"/>
      <c r="Z741" s="269"/>
      <c r="AA741" s="269"/>
      <c r="AB741" s="269"/>
      <c r="AC741" s="269"/>
      <c r="AD741" s="269"/>
      <c r="AE741" s="269"/>
      <c r="AF741" s="269"/>
      <c r="AG741" s="269"/>
      <c r="AH741" s="269"/>
      <c r="AI741" s="269"/>
      <c r="AJ741" s="269"/>
      <c r="AK741" s="269"/>
      <c r="AL741" s="269"/>
      <c r="AM741" s="269"/>
    </row>
    <row r="742" spans="1:39" ht="156" customHeight="1" x14ac:dyDescent="0.2">
      <c r="A742" s="277">
        <f>IF(B742="","",COUNT('Diário 5º PA'!$A$5:$A$2634)+COUNT('Diário 6º PA'!$A$5:$A$2246)+ROW()-4)</f>
        <v>3281</v>
      </c>
      <c r="B742" s="278">
        <v>44427</v>
      </c>
      <c r="C742" s="249">
        <v>44317</v>
      </c>
      <c r="D742" s="250" t="s">
        <v>99</v>
      </c>
      <c r="E742" s="250" t="s">
        <v>364</v>
      </c>
      <c r="F742" s="251">
        <v>3834.88</v>
      </c>
      <c r="G742" s="452" t="s">
        <v>2003</v>
      </c>
      <c r="H742" s="250" t="s">
        <v>131</v>
      </c>
      <c r="I742" s="250" t="s">
        <v>2004</v>
      </c>
      <c r="J742" s="250" t="s">
        <v>1401</v>
      </c>
      <c r="K742" s="255" t="s">
        <v>991</v>
      </c>
      <c r="L742" s="250" t="s">
        <v>1901</v>
      </c>
      <c r="M742" s="277">
        <v>1278</v>
      </c>
      <c r="N742" s="278">
        <v>44426</v>
      </c>
      <c r="O742" s="329" t="s">
        <v>67</v>
      </c>
      <c r="P742" s="330">
        <f t="shared" si="43"/>
        <v>8</v>
      </c>
      <c r="Q742" s="330">
        <f t="shared" si="44"/>
        <v>5</v>
      </c>
      <c r="R742" s="331" t="str">
        <f t="shared" si="45"/>
        <v>Gastos_Gerais</v>
      </c>
      <c r="S742" s="331" t="str">
        <f>IF(D742="","",IF(OR(D742=Plano!$A$1,D742=Plano!$B$1),"entrada","saída"))</f>
        <v>saída</v>
      </c>
      <c r="T742" s="334" t="s">
        <v>994</v>
      </c>
      <c r="U742" s="334">
        <v>1496</v>
      </c>
      <c r="V742" s="269"/>
      <c r="W742" s="269"/>
      <c r="X742" s="269"/>
      <c r="Y742" s="269"/>
      <c r="Z742" s="269"/>
      <c r="AA742" s="269"/>
      <c r="AB742" s="269"/>
      <c r="AC742" s="269"/>
      <c r="AD742" s="269"/>
      <c r="AE742" s="269"/>
      <c r="AF742" s="269"/>
      <c r="AG742" s="269"/>
      <c r="AH742" s="269"/>
      <c r="AI742" s="269"/>
      <c r="AJ742" s="269"/>
      <c r="AK742" s="269"/>
      <c r="AL742" s="269"/>
      <c r="AM742" s="269"/>
    </row>
    <row r="743" spans="1:39" ht="41.25" customHeight="1" x14ac:dyDescent="0.2">
      <c r="A743" s="277">
        <f>IF(B743="","",COUNT('Diário 5º PA'!$A$5:$A$2634)+COUNT('Diário 6º PA'!$A$5:$A$2246)+ROW()-4)</f>
        <v>3282</v>
      </c>
      <c r="B743" s="278">
        <v>44427</v>
      </c>
      <c r="C743" s="335">
        <v>44409</v>
      </c>
      <c r="D743" s="255" t="s">
        <v>99</v>
      </c>
      <c r="E743" s="255" t="s">
        <v>272</v>
      </c>
      <c r="F743" s="258">
        <v>10.45</v>
      </c>
      <c r="G743" s="450" t="s">
        <v>2005</v>
      </c>
      <c r="H743" s="250" t="s">
        <v>131</v>
      </c>
      <c r="I743" s="250" t="s">
        <v>949</v>
      </c>
      <c r="J743" s="255" t="s">
        <v>950</v>
      </c>
      <c r="K743" s="255" t="s">
        <v>951</v>
      </c>
      <c r="L743" s="250" t="s">
        <v>947</v>
      </c>
      <c r="M743" s="336" t="s">
        <v>114</v>
      </c>
      <c r="N743" s="278">
        <v>44427</v>
      </c>
      <c r="O743" s="329" t="s">
        <v>67</v>
      </c>
      <c r="P743" s="330">
        <f t="shared" si="43"/>
        <v>8</v>
      </c>
      <c r="Q743" s="330">
        <f t="shared" si="44"/>
        <v>8</v>
      </c>
      <c r="R743" s="331" t="str">
        <f t="shared" si="45"/>
        <v>Gastos_Gerais</v>
      </c>
      <c r="S743" s="331" t="str">
        <f>IF(D743="","",IF(OR(D743=Plano!$A$1,D743=Plano!$B$1),"entrada","saída"))</f>
        <v>saída</v>
      </c>
      <c r="T743" s="332" t="s">
        <v>114</v>
      </c>
      <c r="U743" s="332" t="s">
        <v>114</v>
      </c>
      <c r="V743" s="269"/>
      <c r="W743" s="269"/>
      <c r="X743" s="269"/>
      <c r="Y743" s="269"/>
      <c r="Z743" s="269"/>
      <c r="AA743" s="269"/>
      <c r="AB743" s="269"/>
      <c r="AC743" s="269"/>
      <c r="AD743" s="269"/>
      <c r="AE743" s="269"/>
      <c r="AF743" s="269"/>
      <c r="AG743" s="269"/>
      <c r="AH743" s="269"/>
      <c r="AI743" s="269"/>
      <c r="AJ743" s="269"/>
      <c r="AK743" s="269"/>
      <c r="AL743" s="269"/>
      <c r="AM743" s="269"/>
    </row>
    <row r="744" spans="1:39" ht="45.75" customHeight="1" x14ac:dyDescent="0.2">
      <c r="A744" s="277">
        <f>IF(B744="","",COUNT('Diário 5º PA'!$A$5:$A$2634)+COUNT('Diário 6º PA'!$A$5:$A$2246)+ROW()-4)</f>
        <v>3283</v>
      </c>
      <c r="B744" s="278">
        <v>44427</v>
      </c>
      <c r="C744" s="335">
        <v>44409</v>
      </c>
      <c r="D744" s="255" t="s">
        <v>99</v>
      </c>
      <c r="E744" s="255" t="s">
        <v>272</v>
      </c>
      <c r="F744" s="258">
        <v>10.45</v>
      </c>
      <c r="G744" s="450" t="s">
        <v>2006</v>
      </c>
      <c r="H744" s="250" t="s">
        <v>115</v>
      </c>
      <c r="I744" s="250" t="s">
        <v>949</v>
      </c>
      <c r="J744" s="255" t="s">
        <v>950</v>
      </c>
      <c r="K744" s="255" t="s">
        <v>951</v>
      </c>
      <c r="L744" s="250" t="s">
        <v>947</v>
      </c>
      <c r="M744" s="336" t="s">
        <v>114</v>
      </c>
      <c r="N744" s="278">
        <v>44427</v>
      </c>
      <c r="O744" s="329" t="s">
        <v>67</v>
      </c>
      <c r="P744" s="330">
        <f t="shared" si="43"/>
        <v>8</v>
      </c>
      <c r="Q744" s="330">
        <f t="shared" si="44"/>
        <v>8</v>
      </c>
      <c r="R744" s="331" t="str">
        <f t="shared" si="45"/>
        <v>Gastos_Gerais</v>
      </c>
      <c r="S744" s="331" t="str">
        <f>IF(D744="","",IF(OR(D744=Plano!$A$1,D744=Plano!$B$1),"entrada","saída"))</f>
        <v>saída</v>
      </c>
      <c r="T744" s="332" t="s">
        <v>114</v>
      </c>
      <c r="U744" s="332" t="s">
        <v>114</v>
      </c>
      <c r="V744" s="269"/>
      <c r="W744" s="269"/>
      <c r="X744" s="269"/>
      <c r="Y744" s="269"/>
      <c r="Z744" s="269"/>
      <c r="AA744" s="269"/>
      <c r="AB744" s="269"/>
      <c r="AC744" s="269"/>
      <c r="AD744" s="269"/>
      <c r="AE744" s="269"/>
      <c r="AF744" s="269"/>
      <c r="AG744" s="269"/>
      <c r="AH744" s="269"/>
      <c r="AI744" s="269"/>
      <c r="AJ744" s="269"/>
      <c r="AK744" s="269"/>
      <c r="AL744" s="269"/>
      <c r="AM744" s="269"/>
    </row>
    <row r="745" spans="1:39" ht="49.5" customHeight="1" x14ac:dyDescent="0.2">
      <c r="A745" s="277">
        <f>IF(B745="","",COUNT('Diário 5º PA'!$A$5:$A$2634)+COUNT('Diário 6º PA'!$A$5:$A$2246)+ROW()-4)</f>
        <v>3284</v>
      </c>
      <c r="B745" s="278">
        <v>44427</v>
      </c>
      <c r="C745" s="335">
        <v>44409</v>
      </c>
      <c r="D745" s="255" t="s">
        <v>99</v>
      </c>
      <c r="E745" s="255" t="s">
        <v>272</v>
      </c>
      <c r="F745" s="258">
        <v>10.45</v>
      </c>
      <c r="G745" s="450" t="s">
        <v>2007</v>
      </c>
      <c r="H745" s="250" t="s">
        <v>131</v>
      </c>
      <c r="I745" s="250" t="s">
        <v>949</v>
      </c>
      <c r="J745" s="255" t="s">
        <v>950</v>
      </c>
      <c r="K745" s="255" t="s">
        <v>951</v>
      </c>
      <c r="L745" s="250" t="s">
        <v>947</v>
      </c>
      <c r="M745" s="336" t="s">
        <v>114</v>
      </c>
      <c r="N745" s="278">
        <v>44427</v>
      </c>
      <c r="O745" s="329" t="s">
        <v>67</v>
      </c>
      <c r="P745" s="330">
        <f t="shared" si="43"/>
        <v>8</v>
      </c>
      <c r="Q745" s="330">
        <f t="shared" si="44"/>
        <v>8</v>
      </c>
      <c r="R745" s="331" t="str">
        <f t="shared" si="45"/>
        <v>Gastos_Gerais</v>
      </c>
      <c r="S745" s="331" t="str">
        <f>IF(D745="","",IF(OR(D745=Plano!$A$1,D745=Plano!$B$1),"entrada","saída"))</f>
        <v>saída</v>
      </c>
      <c r="T745" s="332" t="s">
        <v>114</v>
      </c>
      <c r="U745" s="332" t="s">
        <v>114</v>
      </c>
      <c r="V745" s="269"/>
      <c r="W745" s="269"/>
      <c r="X745" s="269"/>
      <c r="Y745" s="269"/>
      <c r="Z745" s="269"/>
      <c r="AA745" s="269"/>
      <c r="AB745" s="269"/>
      <c r="AC745" s="269"/>
      <c r="AD745" s="269"/>
      <c r="AE745" s="269"/>
      <c r="AF745" s="269"/>
      <c r="AG745" s="269"/>
      <c r="AH745" s="269"/>
      <c r="AI745" s="269"/>
      <c r="AJ745" s="269"/>
      <c r="AK745" s="269"/>
      <c r="AL745" s="269"/>
      <c r="AM745" s="269"/>
    </row>
    <row r="746" spans="1:39" ht="59.25" customHeight="1" x14ac:dyDescent="0.2">
      <c r="A746" s="277">
        <f>IF(B746="","",COUNT('Diário 5º PA'!$A$5:$A$2634)+COUNT('Diário 6º PA'!$A$5:$A$2246)+ROW()-4)</f>
        <v>3285</v>
      </c>
      <c r="B746" s="278">
        <v>44427</v>
      </c>
      <c r="C746" s="335">
        <v>44409</v>
      </c>
      <c r="D746" s="255" t="s">
        <v>99</v>
      </c>
      <c r="E746" s="255" t="s">
        <v>272</v>
      </c>
      <c r="F746" s="258">
        <v>10.45</v>
      </c>
      <c r="G746" s="450" t="s">
        <v>1990</v>
      </c>
      <c r="H746" s="250" t="s">
        <v>131</v>
      </c>
      <c r="I746" s="250" t="s">
        <v>949</v>
      </c>
      <c r="J746" s="255" t="s">
        <v>950</v>
      </c>
      <c r="K746" s="255" t="s">
        <v>951</v>
      </c>
      <c r="L746" s="250" t="s">
        <v>947</v>
      </c>
      <c r="M746" s="336" t="s">
        <v>114</v>
      </c>
      <c r="N746" s="278">
        <v>44427</v>
      </c>
      <c r="O746" s="329" t="s">
        <v>67</v>
      </c>
      <c r="P746" s="330">
        <f t="shared" si="43"/>
        <v>8</v>
      </c>
      <c r="Q746" s="330">
        <f t="shared" si="44"/>
        <v>8</v>
      </c>
      <c r="R746" s="331" t="str">
        <f t="shared" si="45"/>
        <v>Gastos_Gerais</v>
      </c>
      <c r="S746" s="331" t="str">
        <f>IF(D746="","",IF(OR(D746=Plano!$A$1,D746=Plano!$B$1),"entrada","saída"))</f>
        <v>saída</v>
      </c>
      <c r="T746" s="332" t="s">
        <v>114</v>
      </c>
      <c r="U746" s="332" t="s">
        <v>114</v>
      </c>
      <c r="V746" s="269"/>
      <c r="W746" s="269"/>
      <c r="X746" s="269"/>
      <c r="Y746" s="269"/>
      <c r="Z746" s="269"/>
      <c r="AA746" s="269"/>
      <c r="AB746" s="269"/>
      <c r="AC746" s="269"/>
      <c r="AD746" s="269"/>
      <c r="AE746" s="269"/>
      <c r="AF746" s="269"/>
      <c r="AG746" s="269"/>
      <c r="AH746" s="269"/>
      <c r="AI746" s="269"/>
      <c r="AJ746" s="269"/>
      <c r="AK746" s="269"/>
      <c r="AL746" s="269"/>
      <c r="AM746" s="269"/>
    </row>
    <row r="747" spans="1:39" ht="99.75" customHeight="1" x14ac:dyDescent="0.2">
      <c r="A747" s="277">
        <f>IF(B747="","",COUNT('Diário 5º PA'!$A$5:$A$2634)+COUNT('Diário 6º PA'!$A$5:$A$2246)+ROW()-4)</f>
        <v>3286</v>
      </c>
      <c r="B747" s="278">
        <v>44427</v>
      </c>
      <c r="C747" s="335">
        <v>44378</v>
      </c>
      <c r="D747" s="255" t="s">
        <v>104</v>
      </c>
      <c r="E747" s="250" t="s">
        <v>104</v>
      </c>
      <c r="F747" s="251">
        <v>1998.6</v>
      </c>
      <c r="G747" s="452" t="s">
        <v>1899</v>
      </c>
      <c r="H747" s="250" t="s">
        <v>104</v>
      </c>
      <c r="I747" s="250" t="s">
        <v>2008</v>
      </c>
      <c r="J747" s="255" t="s">
        <v>2009</v>
      </c>
      <c r="K747" s="255" t="s">
        <v>1015</v>
      </c>
      <c r="L747" s="250" t="s">
        <v>1901</v>
      </c>
      <c r="M747" s="336">
        <v>1266</v>
      </c>
      <c r="N747" s="278">
        <v>44413</v>
      </c>
      <c r="O747" s="329" t="s">
        <v>69</v>
      </c>
      <c r="P747" s="330">
        <f t="shared" si="43"/>
        <v>8</v>
      </c>
      <c r="Q747" s="330">
        <f t="shared" si="44"/>
        <v>7</v>
      </c>
      <c r="R747" s="331" t="str">
        <f t="shared" si="45"/>
        <v>Gastos_custeados_por_captação</v>
      </c>
      <c r="S747" s="331" t="str">
        <f>IF(D747="","",IF(OR(D747=Plano!$A$1,D747=Plano!$B$1),"entrada","saída"))</f>
        <v>saída</v>
      </c>
      <c r="T747" s="332" t="s">
        <v>1059</v>
      </c>
      <c r="U747" s="332">
        <v>1763</v>
      </c>
      <c r="V747" s="269"/>
      <c r="W747" s="269"/>
      <c r="X747" s="269"/>
      <c r="Y747" s="269"/>
      <c r="Z747" s="269"/>
      <c r="AA747" s="269"/>
      <c r="AB747" s="269"/>
      <c r="AC747" s="269"/>
      <c r="AD747" s="269"/>
      <c r="AE747" s="269"/>
      <c r="AF747" s="269"/>
      <c r="AG747" s="269"/>
      <c r="AH747" s="269"/>
      <c r="AI747" s="269"/>
      <c r="AJ747" s="269"/>
      <c r="AK747" s="269"/>
      <c r="AL747" s="269"/>
      <c r="AM747" s="269"/>
    </row>
    <row r="748" spans="1:39" s="478" customFormat="1" ht="78" customHeight="1" x14ac:dyDescent="0.2">
      <c r="A748" s="277">
        <f>IF(B748="","",COUNT('Diário 5º PA'!$A$5:$A$2634)+COUNT('Diário 6º PA'!$A$5:$A$2246)+ROW()-4)</f>
        <v>3287</v>
      </c>
      <c r="B748" s="278">
        <v>44427</v>
      </c>
      <c r="C748" s="335">
        <v>44409</v>
      </c>
      <c r="D748" s="255" t="s">
        <v>104</v>
      </c>
      <c r="E748" s="250" t="s">
        <v>104</v>
      </c>
      <c r="F748" s="251">
        <v>2819.8</v>
      </c>
      <c r="G748" s="452" t="s">
        <v>5440</v>
      </c>
      <c r="H748" s="250" t="s">
        <v>104</v>
      </c>
      <c r="I748" s="250" t="s">
        <v>4629</v>
      </c>
      <c r="J748" s="255" t="s">
        <v>4630</v>
      </c>
      <c r="K748" s="255" t="s">
        <v>1015</v>
      </c>
      <c r="L748" s="250" t="s">
        <v>1177</v>
      </c>
      <c r="M748" s="336" t="s">
        <v>114</v>
      </c>
      <c r="N748" s="278">
        <v>44427</v>
      </c>
      <c r="O748" s="329" t="s">
        <v>5377</v>
      </c>
      <c r="P748" s="330">
        <f t="shared" ref="P748:P750" si="49">IF(B748=0,0,IF(YEAR(B748)=$Q$1,MONTH(B748)-$P$1+1,(YEAR(B748)-$Q$1)*12-$P$1+1+MONTH(B748)))</f>
        <v>8</v>
      </c>
      <c r="Q748" s="330">
        <f t="shared" ref="Q748:Q750" si="50">IF(C748=0,0,IF(YEAR(C748)=$Q$1,MONTH(C748)-$P$1+1,(YEAR(C748)-$Q$1)*12-$P$1+1+MONTH(C748)))</f>
        <v>8</v>
      </c>
      <c r="R748" s="331" t="str">
        <f t="shared" ref="R748:R750" si="51">SUBSTITUTE(D748," ","_")</f>
        <v>Gastos_custeados_por_captação</v>
      </c>
      <c r="S748" s="331" t="str">
        <f>IF(D748="","",IF(OR(D748=Plano!$A$1,D748=Plano!$B$1),"entrada","saída"))</f>
        <v>saída</v>
      </c>
      <c r="T748" s="332" t="s">
        <v>994</v>
      </c>
      <c r="U748" s="332">
        <v>1555</v>
      </c>
      <c r="V748" s="439"/>
      <c r="W748" s="439"/>
      <c r="X748" s="439"/>
      <c r="Y748" s="439"/>
      <c r="Z748" s="439"/>
      <c r="AA748" s="439"/>
      <c r="AB748" s="439"/>
      <c r="AC748" s="439"/>
      <c r="AD748" s="439"/>
      <c r="AE748" s="439"/>
      <c r="AF748" s="439"/>
      <c r="AG748" s="439"/>
      <c r="AH748" s="439"/>
      <c r="AI748" s="439"/>
      <c r="AJ748" s="439"/>
      <c r="AK748" s="439"/>
      <c r="AL748" s="439"/>
      <c r="AM748" s="439"/>
    </row>
    <row r="749" spans="1:39" s="478" customFormat="1" ht="144.75" customHeight="1" x14ac:dyDescent="0.2">
      <c r="A749" s="277">
        <f>IF(B749="","",COUNT('Diário 5º PA'!$A$5:$A$2634)+COUNT('Diário 6º PA'!$A$5:$A$2246)+ROW()-4)</f>
        <v>3288</v>
      </c>
      <c r="B749" s="278">
        <v>44427</v>
      </c>
      <c r="C749" s="249">
        <v>44287</v>
      </c>
      <c r="D749" s="250" t="s">
        <v>104</v>
      </c>
      <c r="E749" s="250" t="s">
        <v>104</v>
      </c>
      <c r="F749" s="251">
        <v>10048.5</v>
      </c>
      <c r="G749" s="452" t="s">
        <v>609</v>
      </c>
      <c r="H749" s="250" t="s">
        <v>104</v>
      </c>
      <c r="I749" s="252" t="s">
        <v>4354</v>
      </c>
      <c r="J749" s="440" t="s">
        <v>610</v>
      </c>
      <c r="K749" s="255" t="s">
        <v>1015</v>
      </c>
      <c r="L749" s="250" t="s">
        <v>992</v>
      </c>
      <c r="M749" s="277" t="s">
        <v>1329</v>
      </c>
      <c r="N749" s="278">
        <v>44426</v>
      </c>
      <c r="O749" s="329" t="s">
        <v>5377</v>
      </c>
      <c r="P749" s="330">
        <f t="shared" si="49"/>
        <v>8</v>
      </c>
      <c r="Q749" s="330">
        <f t="shared" si="50"/>
        <v>4</v>
      </c>
      <c r="R749" s="331" t="str">
        <f t="shared" si="51"/>
        <v>Gastos_custeados_por_captação</v>
      </c>
      <c r="S749" s="331" t="str">
        <f>IF(D749="","",IF(OR(D749=Plano!$A$1,D749=Plano!$B$1),"entrada","saída"))</f>
        <v>saída</v>
      </c>
      <c r="T749" s="332" t="s">
        <v>994</v>
      </c>
      <c r="U749" s="332">
        <v>1494</v>
      </c>
      <c r="V749" s="439"/>
      <c r="W749" s="439"/>
      <c r="X749" s="439"/>
      <c r="Y749" s="439"/>
      <c r="Z749" s="439"/>
      <c r="AA749" s="439"/>
      <c r="AB749" s="439"/>
      <c r="AC749" s="439"/>
      <c r="AD749" s="439"/>
      <c r="AE749" s="439"/>
      <c r="AF749" s="439"/>
      <c r="AG749" s="439"/>
      <c r="AH749" s="439"/>
      <c r="AI749" s="439"/>
      <c r="AJ749" s="439"/>
      <c r="AK749" s="439"/>
      <c r="AL749" s="439"/>
      <c r="AM749" s="439"/>
    </row>
    <row r="750" spans="1:39" s="478" customFormat="1" ht="173.25" customHeight="1" x14ac:dyDescent="0.2">
      <c r="A750" s="277">
        <f>IF(B750="","",COUNT('Diário 5º PA'!$A$5:$A$2634)+COUNT('Diário 6º PA'!$A$5:$A$2246)+ROW()-4)</f>
        <v>3289</v>
      </c>
      <c r="B750" s="278">
        <v>44427</v>
      </c>
      <c r="C750" s="249">
        <v>44409</v>
      </c>
      <c r="D750" s="250" t="s">
        <v>104</v>
      </c>
      <c r="E750" s="250" t="s">
        <v>104</v>
      </c>
      <c r="F750" s="251">
        <v>40185</v>
      </c>
      <c r="G750" s="452" t="s">
        <v>2254</v>
      </c>
      <c r="H750" s="250" t="s">
        <v>104</v>
      </c>
      <c r="I750" s="250" t="s">
        <v>2255</v>
      </c>
      <c r="J750" s="250" t="s">
        <v>2256</v>
      </c>
      <c r="K750" s="255" t="s">
        <v>991</v>
      </c>
      <c r="L750" s="250" t="s">
        <v>992</v>
      </c>
      <c r="M750" s="277" t="s">
        <v>1148</v>
      </c>
      <c r="N750" s="278">
        <v>44426</v>
      </c>
      <c r="O750" s="329" t="s">
        <v>5377</v>
      </c>
      <c r="P750" s="330">
        <f t="shared" si="49"/>
        <v>8</v>
      </c>
      <c r="Q750" s="330">
        <f t="shared" si="50"/>
        <v>8</v>
      </c>
      <c r="R750" s="331" t="str">
        <f t="shared" si="51"/>
        <v>Gastos_custeados_por_captação</v>
      </c>
      <c r="S750" s="331" t="str">
        <f>IF(D750="","",IF(OR(D750=Plano!$A$1,D750=Plano!$B$1),"entrada","saída"))</f>
        <v>saída</v>
      </c>
      <c r="T750" s="334" t="s">
        <v>1059</v>
      </c>
      <c r="U750" s="334">
        <v>1661</v>
      </c>
      <c r="V750" s="439"/>
      <c r="W750" s="439"/>
      <c r="X750" s="439"/>
      <c r="Y750" s="439"/>
      <c r="Z750" s="439"/>
      <c r="AA750" s="439"/>
      <c r="AB750" s="439"/>
      <c r="AC750" s="439"/>
      <c r="AD750" s="439"/>
      <c r="AE750" s="439"/>
      <c r="AF750" s="439"/>
      <c r="AG750" s="439"/>
      <c r="AH750" s="439"/>
      <c r="AI750" s="439"/>
      <c r="AJ750" s="439"/>
      <c r="AK750" s="439"/>
      <c r="AL750" s="439"/>
      <c r="AM750" s="439"/>
    </row>
    <row r="751" spans="1:39" s="478" customFormat="1" ht="166.5" customHeight="1" x14ac:dyDescent="0.2">
      <c r="A751" s="277">
        <f>IF(B751="","",COUNT('Diário 5º PA'!$A$5:$A$2634)+COUNT('Diário 6º PA'!$A$5:$A$2246)+ROW()-4)</f>
        <v>3290</v>
      </c>
      <c r="B751" s="278">
        <v>44427</v>
      </c>
      <c r="C751" s="249">
        <v>44409</v>
      </c>
      <c r="D751" s="250" t="s">
        <v>104</v>
      </c>
      <c r="E751" s="250" t="s">
        <v>104</v>
      </c>
      <c r="F751" s="251">
        <v>15219</v>
      </c>
      <c r="G751" s="452" t="s">
        <v>5507</v>
      </c>
      <c r="H751" s="250" t="s">
        <v>104</v>
      </c>
      <c r="I751" s="250" t="s">
        <v>2255</v>
      </c>
      <c r="J751" s="250" t="s">
        <v>2256</v>
      </c>
      <c r="K751" s="255" t="s">
        <v>991</v>
      </c>
      <c r="L751" s="250" t="s">
        <v>992</v>
      </c>
      <c r="M751" s="277" t="s">
        <v>1443</v>
      </c>
      <c r="N751" s="278">
        <v>44426</v>
      </c>
      <c r="O751" s="329" t="s">
        <v>5377</v>
      </c>
      <c r="P751" s="330">
        <f t="shared" ref="P751:P752" si="52">IF(B751=0,0,IF(YEAR(B751)=$Q$1,MONTH(B751)-$P$1+1,(YEAR(B751)-$Q$1)*12-$P$1+1+MONTH(B751)))</f>
        <v>8</v>
      </c>
      <c r="Q751" s="330">
        <f t="shared" ref="Q751:Q752" si="53">IF(C751=0,0,IF(YEAR(C751)=$Q$1,MONTH(C751)-$P$1+1,(YEAR(C751)-$Q$1)*12-$P$1+1+MONTH(C751)))</f>
        <v>8</v>
      </c>
      <c r="R751" s="331" t="str">
        <f t="shared" ref="R751:R752" si="54">SUBSTITUTE(D751," ","_")</f>
        <v>Gastos_custeados_por_captação</v>
      </c>
      <c r="S751" s="331" t="str">
        <f>IF(D751="","",IF(OR(D751=Plano!$A$1,D751=Plano!$B$1),"entrada","saída"))</f>
        <v>saída</v>
      </c>
      <c r="T751" s="334" t="s">
        <v>1059</v>
      </c>
      <c r="U751" s="334">
        <v>1661</v>
      </c>
      <c r="V751" s="439"/>
      <c r="W751" s="439"/>
      <c r="X751" s="439"/>
      <c r="Y751" s="439"/>
      <c r="Z751" s="439"/>
      <c r="AA751" s="439"/>
      <c r="AB751" s="439"/>
      <c r="AC751" s="439"/>
      <c r="AD751" s="439"/>
      <c r="AE751" s="439"/>
      <c r="AF751" s="439"/>
      <c r="AG751" s="439"/>
      <c r="AH751" s="439"/>
      <c r="AI751" s="439"/>
      <c r="AJ751" s="439"/>
      <c r="AK751" s="439"/>
      <c r="AL751" s="439"/>
      <c r="AM751" s="439"/>
    </row>
    <row r="752" spans="1:39" s="478" customFormat="1" ht="69" customHeight="1" x14ac:dyDescent="0.2">
      <c r="A752" s="277">
        <f>IF(B752="","",COUNT('Diário 5º PA'!$A$5:$A$2634)+COUNT('Diário 6º PA'!$A$5:$A$2246)+ROW()-4)</f>
        <v>3291</v>
      </c>
      <c r="B752" s="278">
        <v>44427</v>
      </c>
      <c r="C752" s="335">
        <v>44409</v>
      </c>
      <c r="D752" s="250" t="s">
        <v>104</v>
      </c>
      <c r="E752" s="250" t="s">
        <v>104</v>
      </c>
      <c r="F752" s="258">
        <v>10.45</v>
      </c>
      <c r="G752" s="450" t="s">
        <v>5413</v>
      </c>
      <c r="H752" s="250" t="s">
        <v>104</v>
      </c>
      <c r="I752" s="250" t="s">
        <v>949</v>
      </c>
      <c r="J752" s="255" t="s">
        <v>950</v>
      </c>
      <c r="K752" s="255" t="s">
        <v>951</v>
      </c>
      <c r="L752" s="250" t="s">
        <v>947</v>
      </c>
      <c r="M752" s="336" t="s">
        <v>114</v>
      </c>
      <c r="N752" s="278">
        <v>44427</v>
      </c>
      <c r="O752" s="329" t="s">
        <v>5377</v>
      </c>
      <c r="P752" s="330">
        <f t="shared" si="52"/>
        <v>8</v>
      </c>
      <c r="Q752" s="330">
        <f t="shared" si="53"/>
        <v>8</v>
      </c>
      <c r="R752" s="331" t="str">
        <f t="shared" si="54"/>
        <v>Gastos_custeados_por_captação</v>
      </c>
      <c r="S752" s="331" t="str">
        <f>IF(D752="","",IF(OR(D752=Plano!$A$1,D752=Plano!$B$1),"entrada","saída"))</f>
        <v>saída</v>
      </c>
      <c r="T752" s="332" t="s">
        <v>114</v>
      </c>
      <c r="U752" s="332" t="s">
        <v>114</v>
      </c>
      <c r="V752" s="439"/>
      <c r="W752" s="439"/>
      <c r="X752" s="439"/>
      <c r="Y752" s="439"/>
      <c r="Z752" s="439"/>
      <c r="AA752" s="439"/>
      <c r="AB752" s="439"/>
      <c r="AC752" s="439"/>
      <c r="AD752" s="439"/>
      <c r="AE752" s="439"/>
      <c r="AF752" s="439"/>
      <c r="AG752" s="439"/>
      <c r="AH752" s="439"/>
      <c r="AI752" s="439"/>
      <c r="AJ752" s="439"/>
      <c r="AK752" s="439"/>
      <c r="AL752" s="439"/>
      <c r="AM752" s="439"/>
    </row>
    <row r="753" spans="1:39" ht="66.75" customHeight="1" x14ac:dyDescent="0.2">
      <c r="A753" s="277">
        <f>IF(B753="","",COUNT('Diário 5º PA'!$A$5:$A$2634)+COUNT('Diário 6º PA'!$A$5:$A$2246)+ROW()-4)</f>
        <v>3292</v>
      </c>
      <c r="B753" s="278">
        <v>44428</v>
      </c>
      <c r="C753" s="335">
        <v>44409</v>
      </c>
      <c r="D753" s="255" t="s">
        <v>77</v>
      </c>
      <c r="E753" s="255" t="s">
        <v>79</v>
      </c>
      <c r="F753" s="258">
        <v>1194737.1000000001</v>
      </c>
      <c r="G753" s="450" t="s">
        <v>2010</v>
      </c>
      <c r="H753" s="255" t="s">
        <v>114</v>
      </c>
      <c r="I753" s="250" t="s">
        <v>983</v>
      </c>
      <c r="J753" s="255" t="s">
        <v>850</v>
      </c>
      <c r="K753" s="255" t="s">
        <v>946</v>
      </c>
      <c r="L753" s="250" t="s">
        <v>947</v>
      </c>
      <c r="M753" s="277" t="s">
        <v>114</v>
      </c>
      <c r="N753" s="278">
        <v>44428</v>
      </c>
      <c r="O753" s="329" t="s">
        <v>67</v>
      </c>
      <c r="P753" s="330">
        <f t="shared" si="43"/>
        <v>8</v>
      </c>
      <c r="Q753" s="330">
        <f t="shared" si="44"/>
        <v>8</v>
      </c>
      <c r="R753" s="331" t="str">
        <f t="shared" si="45"/>
        <v>Receitas</v>
      </c>
      <c r="S753" s="331" t="str">
        <f>IF(D753="","",IF(OR(D753=Plano!$A$1,D753=Plano!$B$1),"entrada","saída"))</f>
        <v>entrada</v>
      </c>
      <c r="T753" s="332" t="s">
        <v>114</v>
      </c>
      <c r="U753" s="332" t="s">
        <v>114</v>
      </c>
      <c r="V753" s="269"/>
      <c r="W753" s="269"/>
      <c r="X753" s="269"/>
      <c r="Y753" s="269"/>
      <c r="Z753" s="269"/>
      <c r="AA753" s="269"/>
      <c r="AB753" s="269"/>
      <c r="AC753" s="269"/>
      <c r="AD753" s="269"/>
      <c r="AE753" s="269"/>
      <c r="AF753" s="269"/>
      <c r="AG753" s="269"/>
      <c r="AH753" s="269"/>
      <c r="AI753" s="269"/>
      <c r="AJ753" s="269"/>
      <c r="AK753" s="269"/>
      <c r="AL753" s="269"/>
      <c r="AM753" s="269"/>
    </row>
    <row r="754" spans="1:39" ht="64.5" customHeight="1" x14ac:dyDescent="0.2">
      <c r="A754" s="277">
        <f>IF(B754="","",COUNT('Diário 5º PA'!$A$5:$A$2634)+COUNT('Diário 6º PA'!$A$5:$A$2246)+ROW()-4)</f>
        <v>3293</v>
      </c>
      <c r="B754" s="278">
        <v>44428</v>
      </c>
      <c r="C754" s="249">
        <v>44378</v>
      </c>
      <c r="D754" s="255" t="s">
        <v>99</v>
      </c>
      <c r="E754" s="255" t="s">
        <v>224</v>
      </c>
      <c r="F754" s="257">
        <v>-86.73</v>
      </c>
      <c r="G754" s="450" t="s">
        <v>2011</v>
      </c>
      <c r="H754" s="255" t="s">
        <v>115</v>
      </c>
      <c r="I754" s="250" t="s">
        <v>983</v>
      </c>
      <c r="J754" s="255" t="s">
        <v>850</v>
      </c>
      <c r="K754" s="255" t="s">
        <v>946</v>
      </c>
      <c r="L754" s="250" t="s">
        <v>947</v>
      </c>
      <c r="M754" s="277" t="s">
        <v>114</v>
      </c>
      <c r="N754" s="278">
        <v>44428</v>
      </c>
      <c r="O754" s="329" t="s">
        <v>67</v>
      </c>
      <c r="P754" s="330">
        <f t="shared" si="43"/>
        <v>8</v>
      </c>
      <c r="Q754" s="330">
        <f t="shared" si="44"/>
        <v>7</v>
      </c>
      <c r="R754" s="331" t="str">
        <f t="shared" si="45"/>
        <v>Gastos_Gerais</v>
      </c>
      <c r="S754" s="331" t="str">
        <f>IF(D754="","",IF(OR(D754=Plano!$A$1,D754=Plano!$B$1),"entrada","saída"))</f>
        <v>saída</v>
      </c>
      <c r="T754" s="332" t="s">
        <v>114</v>
      </c>
      <c r="U754" s="332" t="s">
        <v>114</v>
      </c>
      <c r="V754" s="269"/>
      <c r="W754" s="269"/>
      <c r="X754" s="269"/>
      <c r="Y754" s="269"/>
      <c r="Z754" s="269"/>
      <c r="AA754" s="269"/>
      <c r="AB754" s="269"/>
      <c r="AC754" s="269"/>
      <c r="AD754" s="269"/>
      <c r="AE754" s="269"/>
      <c r="AF754" s="269"/>
      <c r="AG754" s="269"/>
      <c r="AH754" s="269"/>
      <c r="AI754" s="269"/>
      <c r="AJ754" s="269"/>
      <c r="AK754" s="269"/>
      <c r="AL754" s="269"/>
      <c r="AM754" s="269"/>
    </row>
    <row r="755" spans="1:39" ht="64.5" customHeight="1" x14ac:dyDescent="0.2">
      <c r="A755" s="277">
        <f>IF(B755="","",COUNT('Diário 5º PA'!$A$5:$A$2634)+COUNT('Diário 6º PA'!$A$5:$A$2246)+ROW()-4)</f>
        <v>3294</v>
      </c>
      <c r="B755" s="278">
        <v>44428</v>
      </c>
      <c r="C755" s="259">
        <v>44409</v>
      </c>
      <c r="D755" s="252" t="s">
        <v>99</v>
      </c>
      <c r="E755" s="252" t="s">
        <v>276</v>
      </c>
      <c r="F755" s="258">
        <v>-120.63</v>
      </c>
      <c r="G755" s="450" t="s">
        <v>1618</v>
      </c>
      <c r="H755" s="255" t="s">
        <v>115</v>
      </c>
      <c r="I755" s="250" t="s">
        <v>983</v>
      </c>
      <c r="J755" s="255" t="s">
        <v>850</v>
      </c>
      <c r="K755" s="255" t="s">
        <v>946</v>
      </c>
      <c r="L755" s="250" t="s">
        <v>947</v>
      </c>
      <c r="M755" s="277" t="s">
        <v>114</v>
      </c>
      <c r="N755" s="278">
        <v>44428</v>
      </c>
      <c r="O755" s="329" t="s">
        <v>67</v>
      </c>
      <c r="P755" s="330">
        <f t="shared" si="43"/>
        <v>8</v>
      </c>
      <c r="Q755" s="330">
        <f t="shared" si="44"/>
        <v>8</v>
      </c>
      <c r="R755" s="331" t="str">
        <f t="shared" si="45"/>
        <v>Gastos_Gerais</v>
      </c>
      <c r="S755" s="331" t="str">
        <f>IF(D755="","",IF(OR(D755=Plano!$A$1,D755=Plano!$B$1),"entrada","saída"))</f>
        <v>saída</v>
      </c>
      <c r="T755" s="332" t="s">
        <v>114</v>
      </c>
      <c r="U755" s="332" t="s">
        <v>114</v>
      </c>
      <c r="V755" s="269"/>
      <c r="W755" s="269"/>
      <c r="X755" s="269"/>
      <c r="Y755" s="269"/>
      <c r="Z755" s="269"/>
      <c r="AA755" s="269"/>
      <c r="AB755" s="269"/>
      <c r="AC755" s="269"/>
      <c r="AD755" s="269"/>
      <c r="AE755" s="269"/>
      <c r="AF755" s="269"/>
      <c r="AG755" s="269"/>
      <c r="AH755" s="269"/>
      <c r="AI755" s="269"/>
      <c r="AJ755" s="269"/>
      <c r="AK755" s="269"/>
      <c r="AL755" s="269"/>
      <c r="AM755" s="269"/>
    </row>
    <row r="756" spans="1:39" ht="102" customHeight="1" x14ac:dyDescent="0.2">
      <c r="A756" s="277">
        <f>IF(B756="","",COUNT('Diário 5º PA'!$A$5:$A$2634)+COUNT('Diário 6º PA'!$A$5:$A$2246)+ROW()-4)</f>
        <v>3295</v>
      </c>
      <c r="B756" s="278">
        <v>44428</v>
      </c>
      <c r="C756" s="249">
        <v>44409</v>
      </c>
      <c r="D756" s="250" t="s">
        <v>99</v>
      </c>
      <c r="E756" s="250" t="s">
        <v>350</v>
      </c>
      <c r="F756" s="251">
        <v>2455.3000000000002</v>
      </c>
      <c r="G756" s="452" t="s">
        <v>2012</v>
      </c>
      <c r="H756" s="250" t="s">
        <v>132</v>
      </c>
      <c r="I756" s="250" t="s">
        <v>2013</v>
      </c>
      <c r="J756" s="250" t="s">
        <v>2014</v>
      </c>
      <c r="K756" s="255" t="s">
        <v>1015</v>
      </c>
      <c r="L756" s="250" t="s">
        <v>1177</v>
      </c>
      <c r="M756" s="277" t="s">
        <v>114</v>
      </c>
      <c r="N756" s="278">
        <v>44427</v>
      </c>
      <c r="O756" s="329" t="s">
        <v>67</v>
      </c>
      <c r="P756" s="330">
        <f t="shared" si="43"/>
        <v>8</v>
      </c>
      <c r="Q756" s="330">
        <f t="shared" si="44"/>
        <v>8</v>
      </c>
      <c r="R756" s="331" t="str">
        <f t="shared" si="45"/>
        <v>Gastos_Gerais</v>
      </c>
      <c r="S756" s="331" t="str">
        <f>IF(D756="","",IF(OR(D756=Plano!$A$1,D756=Plano!$B$1),"entrada","saída"))</f>
        <v>saída</v>
      </c>
      <c r="T756" s="334" t="s">
        <v>994</v>
      </c>
      <c r="U756" s="334">
        <v>1797</v>
      </c>
      <c r="V756" s="269"/>
      <c r="W756" s="269"/>
      <c r="X756" s="269"/>
      <c r="Y756" s="269"/>
      <c r="Z756" s="269"/>
      <c r="AA756" s="269"/>
      <c r="AB756" s="269"/>
      <c r="AC756" s="269"/>
      <c r="AD756" s="269"/>
      <c r="AE756" s="269"/>
      <c r="AF756" s="269"/>
      <c r="AG756" s="269"/>
      <c r="AH756" s="269"/>
      <c r="AI756" s="269"/>
      <c r="AJ756" s="269"/>
      <c r="AK756" s="269"/>
      <c r="AL756" s="269"/>
      <c r="AM756" s="269"/>
    </row>
    <row r="757" spans="1:39" ht="47.25" customHeight="1" x14ac:dyDescent="0.2">
      <c r="A757" s="277">
        <f>IF(B757="","",COUNT('Diário 5º PA'!$A$5:$A$2634)+COUNT('Diário 6º PA'!$A$5:$A$2246)+ROW()-4)</f>
        <v>3296</v>
      </c>
      <c r="B757" s="278">
        <v>44428</v>
      </c>
      <c r="C757" s="249">
        <v>44378</v>
      </c>
      <c r="D757" s="250" t="s">
        <v>99</v>
      </c>
      <c r="E757" s="250" t="s">
        <v>292</v>
      </c>
      <c r="F757" s="251">
        <v>560</v>
      </c>
      <c r="G757" s="452" t="s">
        <v>2015</v>
      </c>
      <c r="H757" s="250" t="s">
        <v>116</v>
      </c>
      <c r="I757" s="250" t="s">
        <v>2016</v>
      </c>
      <c r="J757" s="250" t="s">
        <v>2017</v>
      </c>
      <c r="K757" s="255" t="s">
        <v>560</v>
      </c>
      <c r="L757" s="250" t="s">
        <v>992</v>
      </c>
      <c r="M757" s="277" t="s">
        <v>2018</v>
      </c>
      <c r="N757" s="278">
        <v>44407</v>
      </c>
      <c r="O757" s="329" t="s">
        <v>67</v>
      </c>
      <c r="P757" s="330">
        <f t="shared" si="43"/>
        <v>8</v>
      </c>
      <c r="Q757" s="330">
        <f t="shared" si="44"/>
        <v>7</v>
      </c>
      <c r="R757" s="331" t="str">
        <f t="shared" si="45"/>
        <v>Gastos_Gerais</v>
      </c>
      <c r="S757" s="331" t="str">
        <f>IF(D757="","",IF(OR(D757=Plano!$A$1,D757=Plano!$B$1),"entrada","saída"))</f>
        <v>saída</v>
      </c>
      <c r="T757" s="334" t="s">
        <v>1417</v>
      </c>
      <c r="U757" s="334">
        <v>1789</v>
      </c>
      <c r="V757" s="269"/>
      <c r="W757" s="269"/>
      <c r="X757" s="269"/>
      <c r="Y757" s="269"/>
      <c r="Z757" s="269"/>
      <c r="AA757" s="269"/>
      <c r="AB757" s="269"/>
      <c r="AC757" s="269"/>
      <c r="AD757" s="269"/>
      <c r="AE757" s="269"/>
      <c r="AF757" s="269"/>
      <c r="AG757" s="269"/>
      <c r="AH757" s="269"/>
      <c r="AI757" s="269"/>
      <c r="AJ757" s="269"/>
      <c r="AK757" s="269"/>
      <c r="AL757" s="269"/>
      <c r="AM757" s="269"/>
    </row>
    <row r="758" spans="1:39" ht="84" customHeight="1" x14ac:dyDescent="0.2">
      <c r="A758" s="277">
        <f>IF(B758="","",COUNT('Diário 5º PA'!$A$5:$A$2634)+COUNT('Diário 6º PA'!$A$5:$A$2246)+ROW()-4)</f>
        <v>3297</v>
      </c>
      <c r="B758" s="278">
        <v>44428</v>
      </c>
      <c r="C758" s="249">
        <v>44378</v>
      </c>
      <c r="D758" s="250" t="s">
        <v>99</v>
      </c>
      <c r="E758" s="250" t="s">
        <v>244</v>
      </c>
      <c r="F758" s="251">
        <v>2678.59</v>
      </c>
      <c r="G758" s="452" t="s">
        <v>2019</v>
      </c>
      <c r="H758" s="250" t="s">
        <v>128</v>
      </c>
      <c r="I758" s="252" t="s">
        <v>1490</v>
      </c>
      <c r="J758" s="250" t="s">
        <v>615</v>
      </c>
      <c r="K758" s="255" t="s">
        <v>1015</v>
      </c>
      <c r="L758" s="250" t="s">
        <v>992</v>
      </c>
      <c r="M758" s="277" t="s">
        <v>2020</v>
      </c>
      <c r="N758" s="278">
        <v>44411</v>
      </c>
      <c r="O758" s="329" t="s">
        <v>67</v>
      </c>
      <c r="P758" s="330">
        <f t="shared" si="43"/>
        <v>8</v>
      </c>
      <c r="Q758" s="330">
        <f t="shared" si="44"/>
        <v>7</v>
      </c>
      <c r="R758" s="331" t="str">
        <f t="shared" si="45"/>
        <v>Gastos_Gerais</v>
      </c>
      <c r="S758" s="331" t="str">
        <f>IF(D758="","",IF(OR(D758=Plano!$A$1,D758=Plano!$B$1),"entrada","saída"))</f>
        <v>saída</v>
      </c>
      <c r="T758" s="334" t="s">
        <v>1059</v>
      </c>
      <c r="U758" s="334">
        <v>1501</v>
      </c>
      <c r="V758" s="269"/>
      <c r="W758" s="269"/>
      <c r="X758" s="269"/>
      <c r="Y758" s="269"/>
      <c r="Z758" s="269"/>
      <c r="AA758" s="269"/>
      <c r="AB758" s="269"/>
      <c r="AC758" s="269"/>
      <c r="AD758" s="269"/>
      <c r="AE758" s="269"/>
      <c r="AF758" s="269"/>
      <c r="AG758" s="269"/>
      <c r="AH758" s="269"/>
      <c r="AI758" s="269"/>
      <c r="AJ758" s="269"/>
      <c r="AK758" s="269"/>
      <c r="AL758" s="269"/>
      <c r="AM758" s="269"/>
    </row>
    <row r="759" spans="1:39" ht="28.5" customHeight="1" x14ac:dyDescent="0.2">
      <c r="A759" s="277">
        <f>IF(B759="","",COUNT('Diário 5º PA'!$A$5:$A$2634)+COUNT('Diário 6º PA'!$A$5:$A$2246)+ROW()-4)</f>
        <v>3298</v>
      </c>
      <c r="B759" s="278">
        <v>44428</v>
      </c>
      <c r="C759" s="249">
        <v>44378</v>
      </c>
      <c r="D759" s="255" t="s">
        <v>99</v>
      </c>
      <c r="E759" s="255" t="s">
        <v>224</v>
      </c>
      <c r="F759" s="258">
        <v>328.39</v>
      </c>
      <c r="G759" s="450" t="s">
        <v>2021</v>
      </c>
      <c r="H759" s="255" t="s">
        <v>115</v>
      </c>
      <c r="I759" s="250" t="s">
        <v>522</v>
      </c>
      <c r="J759" s="252" t="s">
        <v>523</v>
      </c>
      <c r="K759" s="252" t="s">
        <v>1375</v>
      </c>
      <c r="L759" s="252" t="s">
        <v>697</v>
      </c>
      <c r="M759" s="277" t="s">
        <v>2022</v>
      </c>
      <c r="N759" s="278">
        <v>44409</v>
      </c>
      <c r="O759" s="329" t="s">
        <v>67</v>
      </c>
      <c r="P759" s="330">
        <f t="shared" si="43"/>
        <v>8</v>
      </c>
      <c r="Q759" s="330">
        <f t="shared" si="44"/>
        <v>7</v>
      </c>
      <c r="R759" s="331" t="str">
        <f t="shared" si="45"/>
        <v>Gastos_Gerais</v>
      </c>
      <c r="S759" s="331" t="str">
        <f>IF(D759="","",IF(OR(D759=Plano!$A$1,D759=Plano!$B$1),"entrada","saída"))</f>
        <v>saída</v>
      </c>
      <c r="T759" s="332" t="s">
        <v>114</v>
      </c>
      <c r="U759" s="332" t="s">
        <v>114</v>
      </c>
      <c r="V759" s="269"/>
      <c r="W759" s="269"/>
      <c r="X759" s="269"/>
      <c r="Y759" s="269"/>
      <c r="Z759" s="269"/>
      <c r="AA759" s="269"/>
      <c r="AB759" s="269"/>
      <c r="AC759" s="269"/>
      <c r="AD759" s="269"/>
      <c r="AE759" s="269"/>
      <c r="AF759" s="269"/>
      <c r="AG759" s="269"/>
      <c r="AH759" s="269"/>
      <c r="AI759" s="269"/>
      <c r="AJ759" s="269"/>
      <c r="AK759" s="269"/>
      <c r="AL759" s="269"/>
      <c r="AM759" s="269"/>
    </row>
    <row r="760" spans="1:39" ht="42.75" customHeight="1" x14ac:dyDescent="0.2">
      <c r="A760" s="277">
        <f>IF(B760="","",COUNT('Diário 5º PA'!$A$5:$A$2634)+COUNT('Diário 6º PA'!$A$5:$A$2246)+ROW()-4)</f>
        <v>3299</v>
      </c>
      <c r="B760" s="278">
        <v>44428</v>
      </c>
      <c r="C760" s="249">
        <v>44348</v>
      </c>
      <c r="D760" s="250" t="s">
        <v>99</v>
      </c>
      <c r="E760" s="250" t="s">
        <v>208</v>
      </c>
      <c r="F760" s="251">
        <v>1881</v>
      </c>
      <c r="G760" s="452" t="s">
        <v>517</v>
      </c>
      <c r="H760" s="250" t="s">
        <v>115</v>
      </c>
      <c r="I760" s="252" t="s">
        <v>488</v>
      </c>
      <c r="J760" s="250" t="s">
        <v>114</v>
      </c>
      <c r="K760" s="250" t="s">
        <v>466</v>
      </c>
      <c r="L760" s="250" t="s">
        <v>489</v>
      </c>
      <c r="M760" s="277" t="s">
        <v>114</v>
      </c>
      <c r="N760" s="278">
        <v>44408</v>
      </c>
      <c r="O760" s="329" t="s">
        <v>67</v>
      </c>
      <c r="P760" s="330">
        <f t="shared" si="43"/>
        <v>8</v>
      </c>
      <c r="Q760" s="330">
        <f t="shared" si="44"/>
        <v>6</v>
      </c>
      <c r="R760" s="331" t="str">
        <f t="shared" si="45"/>
        <v>Gastos_Gerais</v>
      </c>
      <c r="S760" s="331" t="str">
        <f>IF(D760="","",IF(OR(D760=Plano!$A$1,D760=Plano!$B$1),"entrada","saída"))</f>
        <v>saída</v>
      </c>
      <c r="T760" s="332" t="s">
        <v>114</v>
      </c>
      <c r="U760" s="332" t="s">
        <v>114</v>
      </c>
      <c r="V760" s="269"/>
      <c r="W760" s="269"/>
      <c r="X760" s="269"/>
      <c r="Y760" s="269"/>
      <c r="Z760" s="269"/>
      <c r="AA760" s="269"/>
      <c r="AB760" s="269"/>
      <c r="AC760" s="269"/>
      <c r="AD760" s="269"/>
      <c r="AE760" s="269"/>
      <c r="AF760" s="269"/>
      <c r="AG760" s="269"/>
      <c r="AH760" s="269"/>
      <c r="AI760" s="269"/>
      <c r="AJ760" s="269"/>
      <c r="AK760" s="269"/>
      <c r="AL760" s="269"/>
      <c r="AM760" s="269"/>
    </row>
    <row r="761" spans="1:39" ht="42.75" customHeight="1" x14ac:dyDescent="0.2">
      <c r="A761" s="277">
        <f>IF(B761="","",COUNT('Diário 5º PA'!$A$5:$A$2634)+COUNT('Diário 6º PA'!$A$5:$A$2246)+ROW()-4)</f>
        <v>3300</v>
      </c>
      <c r="B761" s="278">
        <v>44428</v>
      </c>
      <c r="C761" s="249">
        <v>44378</v>
      </c>
      <c r="D761" s="250" t="s">
        <v>99</v>
      </c>
      <c r="E761" s="250" t="s">
        <v>330</v>
      </c>
      <c r="F761" s="251">
        <v>54.07</v>
      </c>
      <c r="G761" s="452" t="s">
        <v>2023</v>
      </c>
      <c r="H761" s="250" t="s">
        <v>125</v>
      </c>
      <c r="I761" s="250" t="s">
        <v>488</v>
      </c>
      <c r="J761" s="250" t="s">
        <v>114</v>
      </c>
      <c r="K761" s="250" t="s">
        <v>466</v>
      </c>
      <c r="L761" s="250" t="s">
        <v>489</v>
      </c>
      <c r="M761" s="277" t="s">
        <v>114</v>
      </c>
      <c r="N761" s="278">
        <v>44408</v>
      </c>
      <c r="O761" s="329" t="s">
        <v>67</v>
      </c>
      <c r="P761" s="330">
        <f t="shared" si="43"/>
        <v>8</v>
      </c>
      <c r="Q761" s="330">
        <f t="shared" si="44"/>
        <v>7</v>
      </c>
      <c r="R761" s="331" t="str">
        <f t="shared" si="45"/>
        <v>Gastos_Gerais</v>
      </c>
      <c r="S761" s="331" t="str">
        <f>IF(D761="","",IF(OR(D761=Plano!$A$1,D761=Plano!$B$1),"entrada","saída"))</f>
        <v>saída</v>
      </c>
      <c r="T761" s="332" t="s">
        <v>114</v>
      </c>
      <c r="U761" s="332" t="s">
        <v>114</v>
      </c>
      <c r="V761" s="269"/>
      <c r="W761" s="269"/>
      <c r="X761" s="269"/>
      <c r="Y761" s="269"/>
      <c r="Z761" s="269"/>
      <c r="AA761" s="269"/>
      <c r="AB761" s="269"/>
      <c r="AC761" s="269"/>
      <c r="AD761" s="269"/>
      <c r="AE761" s="269"/>
      <c r="AF761" s="269"/>
      <c r="AG761" s="269"/>
      <c r="AH761" s="269"/>
      <c r="AI761" s="269"/>
      <c r="AJ761" s="269"/>
      <c r="AK761" s="269"/>
      <c r="AL761" s="269"/>
      <c r="AM761" s="269"/>
    </row>
    <row r="762" spans="1:39" ht="47.25" customHeight="1" x14ac:dyDescent="0.2">
      <c r="A762" s="277">
        <f>IF(B762="","",COUNT('Diário 5º PA'!$A$5:$A$2634)+COUNT('Diário 6º PA'!$A$5:$A$2246)+ROW()-4)</f>
        <v>3301</v>
      </c>
      <c r="B762" s="278">
        <v>44428</v>
      </c>
      <c r="C762" s="249">
        <v>44378</v>
      </c>
      <c r="D762" s="250" t="s">
        <v>99</v>
      </c>
      <c r="E762" s="250" t="s">
        <v>330</v>
      </c>
      <c r="F762" s="251">
        <v>4.63</v>
      </c>
      <c r="G762" s="452" t="s">
        <v>2024</v>
      </c>
      <c r="H762" s="250" t="s">
        <v>125</v>
      </c>
      <c r="I762" s="250" t="s">
        <v>488</v>
      </c>
      <c r="J762" s="250" t="s">
        <v>114</v>
      </c>
      <c r="K762" s="250" t="s">
        <v>466</v>
      </c>
      <c r="L762" s="250" t="s">
        <v>489</v>
      </c>
      <c r="M762" s="277" t="s">
        <v>114</v>
      </c>
      <c r="N762" s="278">
        <v>44408</v>
      </c>
      <c r="O762" s="329" t="s">
        <v>67</v>
      </c>
      <c r="P762" s="330">
        <f t="shared" si="43"/>
        <v>8</v>
      </c>
      <c r="Q762" s="330">
        <f t="shared" si="44"/>
        <v>7</v>
      </c>
      <c r="R762" s="331" t="str">
        <f t="shared" si="45"/>
        <v>Gastos_Gerais</v>
      </c>
      <c r="S762" s="331" t="str">
        <f>IF(D762="","",IF(OR(D762=Plano!$A$1,D762=Plano!$B$1),"entrada","saída"))</f>
        <v>saída</v>
      </c>
      <c r="T762" s="332" t="s">
        <v>114</v>
      </c>
      <c r="U762" s="332" t="s">
        <v>114</v>
      </c>
      <c r="V762" s="269"/>
      <c r="W762" s="269"/>
      <c r="X762" s="269"/>
      <c r="Y762" s="269"/>
      <c r="Z762" s="269"/>
      <c r="AA762" s="269"/>
      <c r="AB762" s="269"/>
      <c r="AC762" s="269"/>
      <c r="AD762" s="269"/>
      <c r="AE762" s="269"/>
      <c r="AF762" s="269"/>
      <c r="AG762" s="269"/>
      <c r="AH762" s="269"/>
      <c r="AI762" s="269"/>
      <c r="AJ762" s="269"/>
      <c r="AK762" s="269"/>
      <c r="AL762" s="269"/>
      <c r="AM762" s="269"/>
    </row>
    <row r="763" spans="1:39" ht="40.5" customHeight="1" x14ac:dyDescent="0.2">
      <c r="A763" s="277">
        <f>IF(B763="","",COUNT('Diário 5º PA'!$A$5:$A$2634)+COUNT('Diário 6º PA'!$A$5:$A$2246)+ROW()-4)</f>
        <v>3302</v>
      </c>
      <c r="B763" s="278">
        <v>44428</v>
      </c>
      <c r="C763" s="249">
        <v>44378</v>
      </c>
      <c r="D763" s="250" t="s">
        <v>99</v>
      </c>
      <c r="E763" s="250" t="s">
        <v>364</v>
      </c>
      <c r="F763" s="251">
        <v>40.950000000000003</v>
      </c>
      <c r="G763" s="452" t="s">
        <v>2025</v>
      </c>
      <c r="H763" s="250" t="s">
        <v>125</v>
      </c>
      <c r="I763" s="250" t="s">
        <v>488</v>
      </c>
      <c r="J763" s="250" t="s">
        <v>114</v>
      </c>
      <c r="K763" s="250" t="s">
        <v>466</v>
      </c>
      <c r="L763" s="250" t="s">
        <v>489</v>
      </c>
      <c r="M763" s="277" t="s">
        <v>114</v>
      </c>
      <c r="N763" s="278">
        <v>44408</v>
      </c>
      <c r="O763" s="329" t="s">
        <v>67</v>
      </c>
      <c r="P763" s="330">
        <f t="shared" si="43"/>
        <v>8</v>
      </c>
      <c r="Q763" s="330">
        <f t="shared" si="44"/>
        <v>7</v>
      </c>
      <c r="R763" s="331" t="str">
        <f t="shared" si="45"/>
        <v>Gastos_Gerais</v>
      </c>
      <c r="S763" s="331" t="str">
        <f>IF(D763="","",IF(OR(D763=Plano!$A$1,D763=Plano!$B$1),"entrada","saída"))</f>
        <v>saída</v>
      </c>
      <c r="T763" s="332" t="s">
        <v>114</v>
      </c>
      <c r="U763" s="332" t="s">
        <v>114</v>
      </c>
      <c r="V763" s="269"/>
      <c r="W763" s="269"/>
      <c r="X763" s="269"/>
      <c r="Y763" s="269"/>
      <c r="Z763" s="269"/>
      <c r="AA763" s="269"/>
      <c r="AB763" s="269"/>
      <c r="AC763" s="269"/>
      <c r="AD763" s="269"/>
      <c r="AE763" s="269"/>
      <c r="AF763" s="269"/>
      <c r="AG763" s="269"/>
      <c r="AH763" s="269"/>
      <c r="AI763" s="269"/>
      <c r="AJ763" s="269"/>
      <c r="AK763" s="269"/>
      <c r="AL763" s="269"/>
      <c r="AM763" s="269"/>
    </row>
    <row r="764" spans="1:39" ht="46.5" customHeight="1" x14ac:dyDescent="0.2">
      <c r="A764" s="277">
        <f>IF(B764="","",COUNT('Diário 5º PA'!$A$5:$A$2634)+COUNT('Diário 6º PA'!$A$5:$A$2246)+ROW()-4)</f>
        <v>3303</v>
      </c>
      <c r="B764" s="278">
        <v>44428</v>
      </c>
      <c r="C764" s="249">
        <v>44378</v>
      </c>
      <c r="D764" s="250" t="s">
        <v>99</v>
      </c>
      <c r="E764" s="250" t="s">
        <v>228</v>
      </c>
      <c r="F764" s="251">
        <v>127.5</v>
      </c>
      <c r="G764" s="452" t="s">
        <v>2026</v>
      </c>
      <c r="H764" s="250" t="s">
        <v>115</v>
      </c>
      <c r="I764" s="252" t="s">
        <v>488</v>
      </c>
      <c r="J764" s="250" t="s">
        <v>114</v>
      </c>
      <c r="K764" s="250" t="s">
        <v>466</v>
      </c>
      <c r="L764" s="250" t="s">
        <v>489</v>
      </c>
      <c r="M764" s="277" t="s">
        <v>114</v>
      </c>
      <c r="N764" s="278">
        <v>44408</v>
      </c>
      <c r="O764" s="329" t="s">
        <v>67</v>
      </c>
      <c r="P764" s="330">
        <f t="shared" si="43"/>
        <v>8</v>
      </c>
      <c r="Q764" s="330">
        <f t="shared" si="44"/>
        <v>7</v>
      </c>
      <c r="R764" s="331" t="str">
        <f t="shared" si="45"/>
        <v>Gastos_Gerais</v>
      </c>
      <c r="S764" s="331" t="str">
        <f>IF(D764="","",IF(OR(D764=Plano!$A$1,D764=Plano!$B$1),"entrada","saída"))</f>
        <v>saída</v>
      </c>
      <c r="T764" s="332" t="s">
        <v>114</v>
      </c>
      <c r="U764" s="332" t="s">
        <v>114</v>
      </c>
      <c r="V764" s="269"/>
      <c r="W764" s="269"/>
      <c r="X764" s="269"/>
      <c r="Y764" s="269"/>
      <c r="Z764" s="269"/>
      <c r="AA764" s="269"/>
      <c r="AB764" s="269"/>
      <c r="AC764" s="269"/>
      <c r="AD764" s="269"/>
      <c r="AE764" s="269"/>
      <c r="AF764" s="269"/>
      <c r="AG764" s="269"/>
      <c r="AH764" s="269"/>
      <c r="AI764" s="269"/>
      <c r="AJ764" s="269"/>
      <c r="AK764" s="269"/>
      <c r="AL764" s="269"/>
      <c r="AM764" s="269"/>
    </row>
    <row r="765" spans="1:39" ht="35.25" customHeight="1" x14ac:dyDescent="0.2">
      <c r="A765" s="277">
        <f>IF(B765="","",COUNT('Diário 5º PA'!$A$5:$A$2634)+COUNT('Diário 6º PA'!$A$5:$A$2246)+ROW()-4)</f>
        <v>3304</v>
      </c>
      <c r="B765" s="278">
        <v>44428</v>
      </c>
      <c r="C765" s="249">
        <v>44317</v>
      </c>
      <c r="D765" s="250" t="s">
        <v>99</v>
      </c>
      <c r="E765" s="250" t="s">
        <v>364</v>
      </c>
      <c r="F765" s="251">
        <v>780.64</v>
      </c>
      <c r="G765" s="452" t="s">
        <v>2027</v>
      </c>
      <c r="H765" s="250" t="s">
        <v>131</v>
      </c>
      <c r="I765" s="250" t="s">
        <v>488</v>
      </c>
      <c r="J765" s="250" t="s">
        <v>114</v>
      </c>
      <c r="K765" s="250" t="s">
        <v>466</v>
      </c>
      <c r="L765" s="250" t="s">
        <v>489</v>
      </c>
      <c r="M765" s="277" t="s">
        <v>114</v>
      </c>
      <c r="N765" s="278">
        <v>44408</v>
      </c>
      <c r="O765" s="329" t="s">
        <v>67</v>
      </c>
      <c r="P765" s="330">
        <f t="shared" si="43"/>
        <v>8</v>
      </c>
      <c r="Q765" s="330">
        <f t="shared" si="44"/>
        <v>5</v>
      </c>
      <c r="R765" s="331" t="str">
        <f t="shared" si="45"/>
        <v>Gastos_Gerais</v>
      </c>
      <c r="S765" s="331" t="str">
        <f>IF(D765="","",IF(OR(D765=Plano!$A$1,D765=Plano!$B$1),"entrada","saída"))</f>
        <v>saída</v>
      </c>
      <c r="T765" s="332" t="s">
        <v>114</v>
      </c>
      <c r="U765" s="332" t="s">
        <v>114</v>
      </c>
      <c r="V765" s="269"/>
      <c r="W765" s="269"/>
      <c r="X765" s="269"/>
      <c r="Y765" s="269"/>
      <c r="Z765" s="269"/>
      <c r="AA765" s="269"/>
      <c r="AB765" s="269"/>
      <c r="AC765" s="269"/>
      <c r="AD765" s="269"/>
      <c r="AE765" s="269"/>
      <c r="AF765" s="269"/>
      <c r="AG765" s="269"/>
      <c r="AH765" s="269"/>
      <c r="AI765" s="269"/>
      <c r="AJ765" s="269"/>
      <c r="AK765" s="269"/>
      <c r="AL765" s="269"/>
      <c r="AM765" s="269"/>
    </row>
    <row r="766" spans="1:39" ht="36" customHeight="1" x14ac:dyDescent="0.2">
      <c r="A766" s="277">
        <f>IF(B766="","",COUNT('Diário 5º PA'!$A$5:$A$2634)+COUNT('Diário 6º PA'!$A$5:$A$2246)+ROW()-4)</f>
        <v>3305</v>
      </c>
      <c r="B766" s="278">
        <v>44428</v>
      </c>
      <c r="C766" s="249">
        <v>44378</v>
      </c>
      <c r="D766" s="250" t="s">
        <v>99</v>
      </c>
      <c r="E766" s="250" t="s">
        <v>330</v>
      </c>
      <c r="F766" s="251">
        <v>14.37</v>
      </c>
      <c r="G766" s="452" t="s">
        <v>2028</v>
      </c>
      <c r="H766" s="250" t="s">
        <v>125</v>
      </c>
      <c r="I766" s="250" t="s">
        <v>488</v>
      </c>
      <c r="J766" s="250" t="s">
        <v>114</v>
      </c>
      <c r="K766" s="250" t="s">
        <v>466</v>
      </c>
      <c r="L766" s="250" t="s">
        <v>489</v>
      </c>
      <c r="M766" s="277" t="s">
        <v>114</v>
      </c>
      <c r="N766" s="278">
        <v>44408</v>
      </c>
      <c r="O766" s="329" t="s">
        <v>67</v>
      </c>
      <c r="P766" s="330">
        <f t="shared" si="43"/>
        <v>8</v>
      </c>
      <c r="Q766" s="330">
        <f t="shared" si="44"/>
        <v>7</v>
      </c>
      <c r="R766" s="331" t="str">
        <f t="shared" si="45"/>
        <v>Gastos_Gerais</v>
      </c>
      <c r="S766" s="331" t="str">
        <f>IF(D766="","",IF(OR(D766=Plano!$A$1,D766=Plano!$B$1),"entrada","saída"))</f>
        <v>saída</v>
      </c>
      <c r="T766" s="332" t="s">
        <v>114</v>
      </c>
      <c r="U766" s="332" t="s">
        <v>114</v>
      </c>
      <c r="V766" s="269"/>
      <c r="W766" s="269"/>
      <c r="X766" s="269"/>
      <c r="Y766" s="269"/>
      <c r="Z766" s="269"/>
      <c r="AA766" s="269"/>
      <c r="AB766" s="269"/>
      <c r="AC766" s="269"/>
      <c r="AD766" s="269"/>
      <c r="AE766" s="269"/>
      <c r="AF766" s="269"/>
      <c r="AG766" s="269"/>
      <c r="AH766" s="269"/>
      <c r="AI766" s="269"/>
      <c r="AJ766" s="269"/>
      <c r="AK766" s="269"/>
      <c r="AL766" s="269"/>
      <c r="AM766" s="269"/>
    </row>
    <row r="767" spans="1:39" ht="38.25" customHeight="1" x14ac:dyDescent="0.2">
      <c r="A767" s="277">
        <f>IF(B767="","",COUNT('Diário 5º PA'!$A$5:$A$2634)+COUNT('Diário 6º PA'!$A$5:$A$2246)+ROW()-4)</f>
        <v>3306</v>
      </c>
      <c r="B767" s="278">
        <v>44428</v>
      </c>
      <c r="C767" s="249">
        <v>44378</v>
      </c>
      <c r="D767" s="250" t="s">
        <v>99</v>
      </c>
      <c r="E767" s="250" t="s">
        <v>364</v>
      </c>
      <c r="F767" s="251">
        <v>126.95</v>
      </c>
      <c r="G767" s="452" t="s">
        <v>2029</v>
      </c>
      <c r="H767" s="250" t="s">
        <v>125</v>
      </c>
      <c r="I767" s="250" t="s">
        <v>488</v>
      </c>
      <c r="J767" s="250" t="s">
        <v>114</v>
      </c>
      <c r="K767" s="250" t="s">
        <v>466</v>
      </c>
      <c r="L767" s="250" t="s">
        <v>489</v>
      </c>
      <c r="M767" s="277" t="s">
        <v>114</v>
      </c>
      <c r="N767" s="278">
        <v>44408</v>
      </c>
      <c r="O767" s="329" t="s">
        <v>67</v>
      </c>
      <c r="P767" s="330">
        <f t="shared" si="43"/>
        <v>8</v>
      </c>
      <c r="Q767" s="330">
        <f t="shared" si="44"/>
        <v>7</v>
      </c>
      <c r="R767" s="331" t="str">
        <f t="shared" si="45"/>
        <v>Gastos_Gerais</v>
      </c>
      <c r="S767" s="331" t="str">
        <f>IF(D767="","",IF(OR(D767=Plano!$A$1,D767=Plano!$B$1),"entrada","saída"))</f>
        <v>saída</v>
      </c>
      <c r="T767" s="332" t="s">
        <v>114</v>
      </c>
      <c r="U767" s="332" t="s">
        <v>114</v>
      </c>
      <c r="V767" s="269"/>
      <c r="W767" s="269"/>
      <c r="X767" s="269"/>
      <c r="Y767" s="269"/>
      <c r="Z767" s="269"/>
      <c r="AA767" s="269"/>
      <c r="AB767" s="269"/>
      <c r="AC767" s="269"/>
      <c r="AD767" s="269"/>
      <c r="AE767" s="269"/>
      <c r="AF767" s="269"/>
      <c r="AG767" s="269"/>
      <c r="AH767" s="269"/>
      <c r="AI767" s="269"/>
      <c r="AJ767" s="269"/>
      <c r="AK767" s="269"/>
      <c r="AL767" s="269"/>
      <c r="AM767" s="269"/>
    </row>
    <row r="768" spans="1:39" ht="36.75" customHeight="1" x14ac:dyDescent="0.2">
      <c r="A768" s="277">
        <f>IF(B768="","",COUNT('Diário 5º PA'!$A$5:$A$2634)+COUNT('Diário 6º PA'!$A$5:$A$2246)+ROW()-4)</f>
        <v>3307</v>
      </c>
      <c r="B768" s="278">
        <v>44428</v>
      </c>
      <c r="C768" s="249">
        <v>44378</v>
      </c>
      <c r="D768" s="250" t="s">
        <v>99</v>
      </c>
      <c r="E768" s="250" t="s">
        <v>330</v>
      </c>
      <c r="F768" s="251">
        <v>167.63</v>
      </c>
      <c r="G768" s="452" t="s">
        <v>2030</v>
      </c>
      <c r="H768" s="250" t="s">
        <v>125</v>
      </c>
      <c r="I768" s="250" t="s">
        <v>488</v>
      </c>
      <c r="J768" s="250" t="s">
        <v>114</v>
      </c>
      <c r="K768" s="250" t="s">
        <v>466</v>
      </c>
      <c r="L768" s="250" t="s">
        <v>489</v>
      </c>
      <c r="M768" s="277" t="s">
        <v>114</v>
      </c>
      <c r="N768" s="278">
        <v>44408</v>
      </c>
      <c r="O768" s="329" t="s">
        <v>67</v>
      </c>
      <c r="P768" s="330">
        <f t="shared" si="43"/>
        <v>8</v>
      </c>
      <c r="Q768" s="330">
        <f t="shared" si="44"/>
        <v>7</v>
      </c>
      <c r="R768" s="331" t="str">
        <f t="shared" si="45"/>
        <v>Gastos_Gerais</v>
      </c>
      <c r="S768" s="331" t="str">
        <f>IF(D768="","",IF(OR(D768=Plano!$A$1,D768=Plano!$B$1),"entrada","saída"))</f>
        <v>saída</v>
      </c>
      <c r="T768" s="332" t="s">
        <v>114</v>
      </c>
      <c r="U768" s="332" t="s">
        <v>114</v>
      </c>
      <c r="V768" s="269"/>
      <c r="W768" s="269"/>
      <c r="X768" s="269"/>
      <c r="Y768" s="269"/>
      <c r="Z768" s="269"/>
      <c r="AA768" s="269"/>
      <c r="AB768" s="269"/>
      <c r="AC768" s="269"/>
      <c r="AD768" s="269"/>
      <c r="AE768" s="269"/>
      <c r="AF768" s="269"/>
      <c r="AG768" s="269"/>
      <c r="AH768" s="269"/>
      <c r="AI768" s="269"/>
      <c r="AJ768" s="269"/>
      <c r="AK768" s="269"/>
      <c r="AL768" s="269"/>
      <c r="AM768" s="269"/>
    </row>
    <row r="769" spans="1:39" ht="36" customHeight="1" x14ac:dyDescent="0.2">
      <c r="A769" s="277">
        <f>IF(B769="","",COUNT('Diário 5º PA'!$A$5:$A$2634)+COUNT('Diário 6º PA'!$A$5:$A$2246)+ROW()-4)</f>
        <v>3308</v>
      </c>
      <c r="B769" s="278">
        <v>44428</v>
      </c>
      <c r="C769" s="249">
        <v>44348</v>
      </c>
      <c r="D769" s="250" t="s">
        <v>99</v>
      </c>
      <c r="E769" s="250" t="s">
        <v>228</v>
      </c>
      <c r="F769" s="251">
        <v>395.25</v>
      </c>
      <c r="G769" s="452" t="s">
        <v>2031</v>
      </c>
      <c r="H769" s="250" t="s">
        <v>115</v>
      </c>
      <c r="I769" s="250" t="s">
        <v>488</v>
      </c>
      <c r="J769" s="250" t="s">
        <v>114</v>
      </c>
      <c r="K769" s="250" t="s">
        <v>466</v>
      </c>
      <c r="L769" s="250" t="s">
        <v>489</v>
      </c>
      <c r="M769" s="277" t="s">
        <v>114</v>
      </c>
      <c r="N769" s="278">
        <v>44408</v>
      </c>
      <c r="O769" s="329" t="s">
        <v>67</v>
      </c>
      <c r="P769" s="330">
        <f t="shared" si="43"/>
        <v>8</v>
      </c>
      <c r="Q769" s="330">
        <f t="shared" si="44"/>
        <v>6</v>
      </c>
      <c r="R769" s="331" t="str">
        <f t="shared" si="45"/>
        <v>Gastos_Gerais</v>
      </c>
      <c r="S769" s="331" t="str">
        <f>IF(D769="","",IF(OR(D769=Plano!$A$1,D769=Plano!$B$1),"entrada","saída"))</f>
        <v>saída</v>
      </c>
      <c r="T769" s="332" t="s">
        <v>114</v>
      </c>
      <c r="U769" s="332" t="s">
        <v>114</v>
      </c>
      <c r="V769" s="269"/>
      <c r="W769" s="269"/>
      <c r="X769" s="269"/>
      <c r="Y769" s="269"/>
      <c r="Z769" s="269"/>
      <c r="AA769" s="269"/>
      <c r="AB769" s="269"/>
      <c r="AC769" s="269"/>
      <c r="AD769" s="269"/>
      <c r="AE769" s="269"/>
      <c r="AF769" s="269"/>
      <c r="AG769" s="269"/>
      <c r="AH769" s="269"/>
      <c r="AI769" s="269"/>
      <c r="AJ769" s="269"/>
      <c r="AK769" s="269"/>
      <c r="AL769" s="269"/>
      <c r="AM769" s="269"/>
    </row>
    <row r="770" spans="1:39" ht="50.25" customHeight="1" x14ac:dyDescent="0.2">
      <c r="A770" s="277">
        <f>IF(B770="","",COUNT('Diário 5º PA'!$A$5:$A$2634)+COUNT('Diário 6º PA'!$A$5:$A$2246)+ROW()-4)</f>
        <v>3309</v>
      </c>
      <c r="B770" s="278">
        <v>44428</v>
      </c>
      <c r="C770" s="249">
        <v>44409</v>
      </c>
      <c r="D770" s="250" t="s">
        <v>99</v>
      </c>
      <c r="E770" s="250" t="s">
        <v>276</v>
      </c>
      <c r="F770" s="251">
        <v>456.74</v>
      </c>
      <c r="G770" s="452" t="s">
        <v>2032</v>
      </c>
      <c r="H770" s="250" t="s">
        <v>115</v>
      </c>
      <c r="I770" s="252" t="s">
        <v>465</v>
      </c>
      <c r="J770" s="250" t="s">
        <v>114</v>
      </c>
      <c r="K770" s="250" t="s">
        <v>466</v>
      </c>
      <c r="L770" s="250" t="s">
        <v>629</v>
      </c>
      <c r="M770" s="277" t="s">
        <v>2033</v>
      </c>
      <c r="N770" s="278">
        <v>44427</v>
      </c>
      <c r="O770" s="329" t="s">
        <v>67</v>
      </c>
      <c r="P770" s="330">
        <f t="shared" si="43"/>
        <v>8</v>
      </c>
      <c r="Q770" s="330">
        <f t="shared" si="44"/>
        <v>8</v>
      </c>
      <c r="R770" s="331" t="str">
        <f t="shared" si="45"/>
        <v>Gastos_Gerais</v>
      </c>
      <c r="S770" s="331" t="str">
        <f>IF(D770="","",IF(OR(D770=Plano!$A$1,D770=Plano!$B$1),"entrada","saída"))</f>
        <v>saída</v>
      </c>
      <c r="T770" s="334" t="s">
        <v>114</v>
      </c>
      <c r="U770" s="334" t="s">
        <v>114</v>
      </c>
      <c r="V770" s="269"/>
      <c r="W770" s="269"/>
      <c r="X770" s="269"/>
      <c r="Y770" s="269"/>
      <c r="Z770" s="269"/>
      <c r="AA770" s="269"/>
      <c r="AB770" s="269"/>
      <c r="AC770" s="269"/>
      <c r="AD770" s="269"/>
      <c r="AE770" s="269"/>
      <c r="AF770" s="269"/>
      <c r="AG770" s="269"/>
      <c r="AH770" s="269"/>
      <c r="AI770" s="269"/>
      <c r="AJ770" s="269"/>
      <c r="AK770" s="269"/>
      <c r="AL770" s="269"/>
      <c r="AM770" s="269"/>
    </row>
    <row r="771" spans="1:39" ht="22.5" customHeight="1" x14ac:dyDescent="0.2">
      <c r="A771" s="277">
        <f>IF(B771="","",COUNT('Diário 5º PA'!$A$5:$A$2634)+COUNT('Diário 6º PA'!$A$5:$A$2246)+ROW()-4)</f>
        <v>3310</v>
      </c>
      <c r="B771" s="278">
        <v>44428</v>
      </c>
      <c r="C771" s="335">
        <v>44409</v>
      </c>
      <c r="D771" s="255" t="s">
        <v>88</v>
      </c>
      <c r="E771" s="255" t="s">
        <v>192</v>
      </c>
      <c r="F771" s="258">
        <v>109.03</v>
      </c>
      <c r="G771" s="451" t="s">
        <v>5362</v>
      </c>
      <c r="H771" s="255" t="s">
        <v>114</v>
      </c>
      <c r="I771" s="252" t="s">
        <v>1032</v>
      </c>
      <c r="J771" s="252" t="s">
        <v>1033</v>
      </c>
      <c r="K771" s="255" t="s">
        <v>560</v>
      </c>
      <c r="L771" s="252" t="s">
        <v>1016</v>
      </c>
      <c r="M771" s="277" t="s">
        <v>2034</v>
      </c>
      <c r="N771" s="278">
        <v>44433</v>
      </c>
      <c r="O771" s="329" t="s">
        <v>67</v>
      </c>
      <c r="P771" s="330">
        <f t="shared" si="43"/>
        <v>8</v>
      </c>
      <c r="Q771" s="330">
        <f t="shared" si="44"/>
        <v>8</v>
      </c>
      <c r="R771" s="331" t="str">
        <f t="shared" si="45"/>
        <v>Gastos_com_Pessoal</v>
      </c>
      <c r="S771" s="331" t="str">
        <f>IF(D771="","",IF(OR(D771=Plano!$A$1,D771=Plano!$B$1),"entrada","saída"))</f>
        <v>saída</v>
      </c>
      <c r="T771" s="332" t="s">
        <v>114</v>
      </c>
      <c r="U771" s="332" t="s">
        <v>114</v>
      </c>
      <c r="V771" s="269"/>
      <c r="W771" s="269"/>
      <c r="X771" s="269"/>
      <c r="Y771" s="269"/>
      <c r="Z771" s="269"/>
      <c r="AA771" s="269"/>
      <c r="AB771" s="269"/>
      <c r="AC771" s="269"/>
      <c r="AD771" s="269"/>
      <c r="AE771" s="269"/>
      <c r="AF771" s="269"/>
      <c r="AG771" s="269"/>
      <c r="AH771" s="269"/>
      <c r="AI771" s="269"/>
      <c r="AJ771" s="269"/>
      <c r="AK771" s="269"/>
      <c r="AL771" s="269"/>
      <c r="AM771" s="269"/>
    </row>
    <row r="772" spans="1:39" ht="42" customHeight="1" x14ac:dyDescent="0.2">
      <c r="A772" s="277">
        <f>IF(B772="","",COUNT('Diário 5º PA'!$A$5:$A$2634)+COUNT('Diário 6º PA'!$A$5:$A$2246)+ROW()-4)</f>
        <v>3311</v>
      </c>
      <c r="B772" s="278">
        <v>44428</v>
      </c>
      <c r="C772" s="249">
        <v>44317</v>
      </c>
      <c r="D772" s="250" t="s">
        <v>99</v>
      </c>
      <c r="E772" s="250" t="s">
        <v>336</v>
      </c>
      <c r="F772" s="251">
        <v>279</v>
      </c>
      <c r="G772" s="452" t="s">
        <v>2035</v>
      </c>
      <c r="H772" s="250" t="s">
        <v>116</v>
      </c>
      <c r="I772" s="250" t="s">
        <v>530</v>
      </c>
      <c r="J772" s="250" t="s">
        <v>114</v>
      </c>
      <c r="K772" s="250" t="s">
        <v>466</v>
      </c>
      <c r="L772" s="250" t="s">
        <v>547</v>
      </c>
      <c r="M772" s="277" t="s">
        <v>114</v>
      </c>
      <c r="N772" s="278">
        <v>44408</v>
      </c>
      <c r="O772" s="329" t="s">
        <v>67</v>
      </c>
      <c r="P772" s="330">
        <f t="shared" si="43"/>
        <v>8</v>
      </c>
      <c r="Q772" s="330">
        <f t="shared" si="44"/>
        <v>5</v>
      </c>
      <c r="R772" s="331" t="str">
        <f t="shared" si="45"/>
        <v>Gastos_Gerais</v>
      </c>
      <c r="S772" s="331" t="str">
        <f>IF(D772="","",IF(OR(D772=Plano!$A$1,D772=Plano!$B$1),"entrada","saída"))</f>
        <v>saída</v>
      </c>
      <c r="T772" s="334" t="s">
        <v>114</v>
      </c>
      <c r="U772" s="334" t="s">
        <v>114</v>
      </c>
      <c r="V772" s="269"/>
      <c r="W772" s="269"/>
      <c r="X772" s="269"/>
      <c r="Y772" s="269"/>
      <c r="Z772" s="269"/>
      <c r="AA772" s="269"/>
      <c r="AB772" s="269"/>
      <c r="AC772" s="269"/>
      <c r="AD772" s="269"/>
      <c r="AE772" s="269"/>
      <c r="AF772" s="269"/>
      <c r="AG772" s="269"/>
      <c r="AH772" s="269"/>
      <c r="AI772" s="269"/>
      <c r="AJ772" s="269"/>
      <c r="AK772" s="269"/>
      <c r="AL772" s="269"/>
      <c r="AM772" s="269"/>
    </row>
    <row r="773" spans="1:39" ht="36.75" customHeight="1" x14ac:dyDescent="0.2">
      <c r="A773" s="277">
        <f>IF(B773="","",COUNT('Diário 5º PA'!$A$5:$A$2634)+COUNT('Diário 6º PA'!$A$5:$A$2246)+ROW()-4)</f>
        <v>3312</v>
      </c>
      <c r="B773" s="278">
        <v>44428</v>
      </c>
      <c r="C773" s="249">
        <v>44287</v>
      </c>
      <c r="D773" s="250" t="s">
        <v>99</v>
      </c>
      <c r="E773" s="250" t="s">
        <v>358</v>
      </c>
      <c r="F773" s="251">
        <v>520.79999999999995</v>
      </c>
      <c r="G773" s="452" t="s">
        <v>2036</v>
      </c>
      <c r="H773" s="250" t="s">
        <v>123</v>
      </c>
      <c r="I773" s="252" t="s">
        <v>530</v>
      </c>
      <c r="J773" s="250" t="s">
        <v>114</v>
      </c>
      <c r="K773" s="250" t="s">
        <v>466</v>
      </c>
      <c r="L773" s="250" t="s">
        <v>547</v>
      </c>
      <c r="M773" s="277" t="s">
        <v>114</v>
      </c>
      <c r="N773" s="278">
        <v>44408</v>
      </c>
      <c r="O773" s="329" t="s">
        <v>67</v>
      </c>
      <c r="P773" s="330">
        <f t="shared" si="43"/>
        <v>8</v>
      </c>
      <c r="Q773" s="330">
        <f t="shared" si="44"/>
        <v>4</v>
      </c>
      <c r="R773" s="331" t="str">
        <f t="shared" si="45"/>
        <v>Gastos_Gerais</v>
      </c>
      <c r="S773" s="331" t="str">
        <f>IF(D773="","",IF(OR(D773=Plano!$A$1,D773=Plano!$B$1),"entrada","saída"))</f>
        <v>saída</v>
      </c>
      <c r="T773" s="334" t="s">
        <v>114</v>
      </c>
      <c r="U773" s="334" t="s">
        <v>114</v>
      </c>
      <c r="V773" s="269"/>
      <c r="W773" s="269"/>
      <c r="X773" s="269"/>
      <c r="Y773" s="269"/>
      <c r="Z773" s="269"/>
      <c r="AA773" s="269"/>
      <c r="AB773" s="269"/>
      <c r="AC773" s="269"/>
      <c r="AD773" s="269"/>
      <c r="AE773" s="269"/>
      <c r="AF773" s="269"/>
      <c r="AG773" s="269"/>
      <c r="AH773" s="269"/>
      <c r="AI773" s="269"/>
      <c r="AJ773" s="269"/>
      <c r="AK773" s="269"/>
      <c r="AL773" s="269"/>
      <c r="AM773" s="269"/>
    </row>
    <row r="774" spans="1:39" ht="48.75" customHeight="1" x14ac:dyDescent="0.2">
      <c r="A774" s="277">
        <f>IF(B774="","",COUNT('Diário 5º PA'!$A$5:$A$2634)+COUNT('Diário 6º PA'!$A$5:$A$2246)+ROW()-4)</f>
        <v>3313</v>
      </c>
      <c r="B774" s="278">
        <v>44428</v>
      </c>
      <c r="C774" s="249">
        <v>44317</v>
      </c>
      <c r="D774" s="250" t="s">
        <v>99</v>
      </c>
      <c r="E774" s="250" t="s">
        <v>358</v>
      </c>
      <c r="F774" s="251">
        <v>372</v>
      </c>
      <c r="G774" s="452" t="s">
        <v>2037</v>
      </c>
      <c r="H774" s="250" t="s">
        <v>125</v>
      </c>
      <c r="I774" s="250" t="s">
        <v>530</v>
      </c>
      <c r="J774" s="250" t="s">
        <v>114</v>
      </c>
      <c r="K774" s="250" t="s">
        <v>466</v>
      </c>
      <c r="L774" s="250" t="s">
        <v>547</v>
      </c>
      <c r="M774" s="277" t="s">
        <v>114</v>
      </c>
      <c r="N774" s="278">
        <v>44408</v>
      </c>
      <c r="O774" s="329" t="s">
        <v>67</v>
      </c>
      <c r="P774" s="330">
        <f t="shared" si="43"/>
        <v>8</v>
      </c>
      <c r="Q774" s="330">
        <f t="shared" si="44"/>
        <v>5</v>
      </c>
      <c r="R774" s="331" t="str">
        <f t="shared" si="45"/>
        <v>Gastos_Gerais</v>
      </c>
      <c r="S774" s="331" t="str">
        <f>IF(D774="","",IF(OR(D774=Plano!$A$1,D774=Plano!$B$1),"entrada","saída"))</f>
        <v>saída</v>
      </c>
      <c r="T774" s="334" t="s">
        <v>114</v>
      </c>
      <c r="U774" s="334" t="s">
        <v>114</v>
      </c>
      <c r="V774" s="269"/>
      <c r="W774" s="269"/>
      <c r="X774" s="269"/>
      <c r="Y774" s="269"/>
      <c r="Z774" s="269"/>
      <c r="AA774" s="269"/>
      <c r="AB774" s="269"/>
      <c r="AC774" s="269"/>
      <c r="AD774" s="269"/>
      <c r="AE774" s="269"/>
      <c r="AF774" s="269"/>
      <c r="AG774" s="269"/>
      <c r="AH774" s="269"/>
      <c r="AI774" s="269"/>
      <c r="AJ774" s="269"/>
      <c r="AK774" s="269"/>
      <c r="AL774" s="269"/>
      <c r="AM774" s="269"/>
    </row>
    <row r="775" spans="1:39" ht="38.25" customHeight="1" x14ac:dyDescent="0.2">
      <c r="A775" s="277">
        <f>IF(B775="","",COUNT('Diário 5º PA'!$A$5:$A$2634)+COUNT('Diário 6º PA'!$A$5:$A$2246)+ROW()-4)</f>
        <v>3314</v>
      </c>
      <c r="B775" s="278">
        <v>44428</v>
      </c>
      <c r="C775" s="249">
        <v>44348</v>
      </c>
      <c r="D775" s="250" t="s">
        <v>99</v>
      </c>
      <c r="E775" s="250" t="s">
        <v>262</v>
      </c>
      <c r="F775" s="251">
        <v>744</v>
      </c>
      <c r="G775" s="452" t="s">
        <v>2038</v>
      </c>
      <c r="H775" s="250" t="s">
        <v>115</v>
      </c>
      <c r="I775" s="250" t="s">
        <v>530</v>
      </c>
      <c r="J775" s="250" t="s">
        <v>114</v>
      </c>
      <c r="K775" s="250" t="s">
        <v>466</v>
      </c>
      <c r="L775" s="250" t="s">
        <v>547</v>
      </c>
      <c r="M775" s="277" t="s">
        <v>114</v>
      </c>
      <c r="N775" s="278">
        <v>44408</v>
      </c>
      <c r="O775" s="329" t="s">
        <v>67</v>
      </c>
      <c r="P775" s="330">
        <f t="shared" si="43"/>
        <v>8</v>
      </c>
      <c r="Q775" s="330">
        <f t="shared" si="44"/>
        <v>6</v>
      </c>
      <c r="R775" s="331" t="str">
        <f t="shared" si="45"/>
        <v>Gastos_Gerais</v>
      </c>
      <c r="S775" s="331" t="str">
        <f>IF(D775="","",IF(OR(D775=Plano!$A$1,D775=Plano!$B$1),"entrada","saída"))</f>
        <v>saída</v>
      </c>
      <c r="T775" s="334" t="s">
        <v>114</v>
      </c>
      <c r="U775" s="334" t="s">
        <v>114</v>
      </c>
      <c r="V775" s="269"/>
      <c r="W775" s="269"/>
      <c r="X775" s="269"/>
      <c r="Y775" s="269"/>
      <c r="Z775" s="269"/>
      <c r="AA775" s="269"/>
      <c r="AB775" s="269"/>
      <c r="AC775" s="269"/>
      <c r="AD775" s="269"/>
      <c r="AE775" s="269"/>
      <c r="AF775" s="269"/>
      <c r="AG775" s="269"/>
      <c r="AH775" s="269"/>
      <c r="AI775" s="269"/>
      <c r="AJ775" s="269"/>
      <c r="AK775" s="269"/>
      <c r="AL775" s="269"/>
      <c r="AM775" s="269"/>
    </row>
    <row r="776" spans="1:39" ht="62.25" customHeight="1" x14ac:dyDescent="0.2">
      <c r="A776" s="277">
        <f>IF(B776="","",COUNT('Diário 5º PA'!$A$5:$A$2634)+COUNT('Diário 6º PA'!$A$5:$A$2246)+ROW()-4)</f>
        <v>3315</v>
      </c>
      <c r="B776" s="278">
        <v>44428</v>
      </c>
      <c r="C776" s="249">
        <v>44348</v>
      </c>
      <c r="D776" s="250" t="s">
        <v>99</v>
      </c>
      <c r="E776" s="250" t="s">
        <v>262</v>
      </c>
      <c r="F776" s="251">
        <v>930</v>
      </c>
      <c r="G776" s="452" t="s">
        <v>2039</v>
      </c>
      <c r="H776" s="250" t="s">
        <v>127</v>
      </c>
      <c r="I776" s="252" t="s">
        <v>530</v>
      </c>
      <c r="J776" s="250" t="s">
        <v>114</v>
      </c>
      <c r="K776" s="250" t="s">
        <v>466</v>
      </c>
      <c r="L776" s="250" t="s">
        <v>547</v>
      </c>
      <c r="M776" s="277" t="s">
        <v>114</v>
      </c>
      <c r="N776" s="278">
        <v>44408</v>
      </c>
      <c r="O776" s="329" t="s">
        <v>67</v>
      </c>
      <c r="P776" s="330">
        <f t="shared" si="43"/>
        <v>8</v>
      </c>
      <c r="Q776" s="330">
        <f t="shared" si="44"/>
        <v>6</v>
      </c>
      <c r="R776" s="331" t="str">
        <f t="shared" si="45"/>
        <v>Gastos_Gerais</v>
      </c>
      <c r="S776" s="331" t="str">
        <f>IF(D776="","",IF(OR(D776=Plano!$A$1,D776=Plano!$B$1),"entrada","saída"))</f>
        <v>saída</v>
      </c>
      <c r="T776" s="334" t="s">
        <v>114</v>
      </c>
      <c r="U776" s="334" t="s">
        <v>114</v>
      </c>
      <c r="V776" s="269"/>
      <c r="W776" s="269"/>
      <c r="X776" s="269"/>
      <c r="Y776" s="269"/>
      <c r="Z776" s="269"/>
      <c r="AA776" s="269"/>
      <c r="AB776" s="269"/>
      <c r="AC776" s="269"/>
      <c r="AD776" s="269"/>
      <c r="AE776" s="269"/>
      <c r="AF776" s="269"/>
      <c r="AG776" s="269"/>
      <c r="AH776" s="269"/>
      <c r="AI776" s="269"/>
      <c r="AJ776" s="269"/>
      <c r="AK776" s="269"/>
      <c r="AL776" s="269"/>
      <c r="AM776" s="269"/>
    </row>
    <row r="777" spans="1:39" ht="32.25" customHeight="1" x14ac:dyDescent="0.2">
      <c r="A777" s="277">
        <f>IF(B777="","",COUNT('Diário 5º PA'!$A$5:$A$2634)+COUNT('Diário 6º PA'!$A$5:$A$2246)+ROW()-4)</f>
        <v>3316</v>
      </c>
      <c r="B777" s="278">
        <v>44428</v>
      </c>
      <c r="C777" s="249">
        <v>44348</v>
      </c>
      <c r="D777" s="250" t="s">
        <v>99</v>
      </c>
      <c r="E777" s="250" t="s">
        <v>330</v>
      </c>
      <c r="F777" s="251">
        <v>1302</v>
      </c>
      <c r="G777" s="452" t="s">
        <v>2040</v>
      </c>
      <c r="H777" s="250" t="s">
        <v>123</v>
      </c>
      <c r="I777" s="252" t="s">
        <v>530</v>
      </c>
      <c r="J777" s="250" t="s">
        <v>114</v>
      </c>
      <c r="K777" s="250" t="s">
        <v>466</v>
      </c>
      <c r="L777" s="250" t="s">
        <v>547</v>
      </c>
      <c r="M777" s="277" t="s">
        <v>114</v>
      </c>
      <c r="N777" s="278">
        <v>44408</v>
      </c>
      <c r="O777" s="329" t="s">
        <v>67</v>
      </c>
      <c r="P777" s="330">
        <f t="shared" si="43"/>
        <v>8</v>
      </c>
      <c r="Q777" s="330">
        <f t="shared" si="44"/>
        <v>6</v>
      </c>
      <c r="R777" s="331" t="str">
        <f t="shared" si="45"/>
        <v>Gastos_Gerais</v>
      </c>
      <c r="S777" s="331" t="str">
        <f>IF(D777="","",IF(OR(D777=Plano!$A$1,D777=Plano!$B$1),"entrada","saída"))</f>
        <v>saída</v>
      </c>
      <c r="T777" s="334" t="s">
        <v>114</v>
      </c>
      <c r="U777" s="334" t="s">
        <v>114</v>
      </c>
      <c r="V777" s="269"/>
      <c r="W777" s="269"/>
      <c r="X777" s="269"/>
      <c r="Y777" s="269"/>
      <c r="Z777" s="269"/>
      <c r="AA777" s="269"/>
      <c r="AB777" s="269"/>
      <c r="AC777" s="269"/>
      <c r="AD777" s="269"/>
      <c r="AE777" s="269"/>
      <c r="AF777" s="269"/>
      <c r="AG777" s="269"/>
      <c r="AH777" s="269"/>
      <c r="AI777" s="269"/>
      <c r="AJ777" s="269"/>
      <c r="AK777" s="269"/>
      <c r="AL777" s="269"/>
      <c r="AM777" s="269"/>
    </row>
    <row r="778" spans="1:39" ht="41.25" customHeight="1" x14ac:dyDescent="0.2">
      <c r="A778" s="277">
        <f>IF(B778="","",COUNT('Diário 5º PA'!$A$5:$A$2634)+COUNT('Diário 6º PA'!$A$5:$A$2246)+ROW()-4)</f>
        <v>3317</v>
      </c>
      <c r="B778" s="278">
        <v>44428</v>
      </c>
      <c r="C778" s="249">
        <v>44317</v>
      </c>
      <c r="D778" s="250" t="s">
        <v>99</v>
      </c>
      <c r="E778" s="250" t="s">
        <v>364</v>
      </c>
      <c r="F778" s="251">
        <v>1550</v>
      </c>
      <c r="G778" s="452" t="s">
        <v>2041</v>
      </c>
      <c r="H778" s="250" t="s">
        <v>131</v>
      </c>
      <c r="I778" s="250" t="s">
        <v>530</v>
      </c>
      <c r="J778" s="250" t="s">
        <v>114</v>
      </c>
      <c r="K778" s="250" t="s">
        <v>466</v>
      </c>
      <c r="L778" s="250" t="s">
        <v>547</v>
      </c>
      <c r="M778" s="277" t="s">
        <v>114</v>
      </c>
      <c r="N778" s="278">
        <v>44408</v>
      </c>
      <c r="O778" s="329" t="s">
        <v>67</v>
      </c>
      <c r="P778" s="330">
        <f t="shared" si="43"/>
        <v>8</v>
      </c>
      <c r="Q778" s="330">
        <f t="shared" si="44"/>
        <v>5</v>
      </c>
      <c r="R778" s="331" t="str">
        <f t="shared" si="45"/>
        <v>Gastos_Gerais</v>
      </c>
      <c r="S778" s="331" t="str">
        <f>IF(D778="","",IF(OR(D778=Plano!$A$1,D778=Plano!$B$1),"entrada","saída"))</f>
        <v>saída</v>
      </c>
      <c r="T778" s="334" t="s">
        <v>114</v>
      </c>
      <c r="U778" s="334" t="s">
        <v>114</v>
      </c>
      <c r="V778" s="269"/>
      <c r="W778" s="269"/>
      <c r="X778" s="269"/>
      <c r="Y778" s="269"/>
      <c r="Z778" s="269"/>
      <c r="AA778" s="269"/>
      <c r="AB778" s="269"/>
      <c r="AC778" s="269"/>
      <c r="AD778" s="269"/>
      <c r="AE778" s="269"/>
      <c r="AF778" s="269"/>
      <c r="AG778" s="269"/>
      <c r="AH778" s="269"/>
      <c r="AI778" s="269"/>
      <c r="AJ778" s="269"/>
      <c r="AK778" s="269"/>
      <c r="AL778" s="269"/>
      <c r="AM778" s="269"/>
    </row>
    <row r="779" spans="1:39" ht="51.75" customHeight="1" x14ac:dyDescent="0.2">
      <c r="A779" s="277">
        <f>IF(B779="","",COUNT('Diário 5º PA'!$A$5:$A$2634)+COUNT('Diário 6º PA'!$A$5:$A$2246)+ROW()-4)</f>
        <v>3318</v>
      </c>
      <c r="B779" s="278">
        <v>44428</v>
      </c>
      <c r="C779" s="249">
        <v>44348</v>
      </c>
      <c r="D779" s="250" t="s">
        <v>99</v>
      </c>
      <c r="E779" s="250" t="s">
        <v>336</v>
      </c>
      <c r="F779" s="251">
        <v>93</v>
      </c>
      <c r="G779" s="452" t="s">
        <v>2042</v>
      </c>
      <c r="H779" s="250" t="s">
        <v>123</v>
      </c>
      <c r="I779" s="252" t="s">
        <v>530</v>
      </c>
      <c r="J779" s="250" t="s">
        <v>114</v>
      </c>
      <c r="K779" s="250" t="s">
        <v>466</v>
      </c>
      <c r="L779" s="250" t="s">
        <v>547</v>
      </c>
      <c r="M779" s="277" t="s">
        <v>114</v>
      </c>
      <c r="N779" s="278">
        <v>44408</v>
      </c>
      <c r="O779" s="329" t="s">
        <v>67</v>
      </c>
      <c r="P779" s="330">
        <f t="shared" si="43"/>
        <v>8</v>
      </c>
      <c r="Q779" s="330">
        <f t="shared" si="44"/>
        <v>6</v>
      </c>
      <c r="R779" s="331" t="str">
        <f t="shared" si="45"/>
        <v>Gastos_Gerais</v>
      </c>
      <c r="S779" s="331" t="str">
        <f>IF(D779="","",IF(OR(D779=Plano!$A$1,D779=Plano!$B$1),"entrada","saída"))</f>
        <v>saída</v>
      </c>
      <c r="T779" s="334" t="s">
        <v>114</v>
      </c>
      <c r="U779" s="334" t="s">
        <v>114</v>
      </c>
      <c r="V779" s="269"/>
      <c r="W779" s="269"/>
      <c r="X779" s="269"/>
      <c r="Y779" s="269"/>
      <c r="Z779" s="269"/>
      <c r="AA779" s="269"/>
      <c r="AB779" s="269"/>
      <c r="AC779" s="269"/>
      <c r="AD779" s="269"/>
      <c r="AE779" s="269"/>
      <c r="AF779" s="269"/>
      <c r="AG779" s="269"/>
      <c r="AH779" s="269"/>
      <c r="AI779" s="269"/>
      <c r="AJ779" s="269"/>
      <c r="AK779" s="269"/>
      <c r="AL779" s="269"/>
      <c r="AM779" s="269"/>
    </row>
    <row r="780" spans="1:39" ht="58.5" customHeight="1" x14ac:dyDescent="0.2">
      <c r="A780" s="277">
        <f>IF(B780="","",COUNT('Diário 5º PA'!$A$5:$A$2634)+COUNT('Diário 6º PA'!$A$5:$A$2246)+ROW()-4)</f>
        <v>3319</v>
      </c>
      <c r="B780" s="278">
        <v>44428</v>
      </c>
      <c r="C780" s="249">
        <v>44378</v>
      </c>
      <c r="D780" s="250" t="s">
        <v>99</v>
      </c>
      <c r="E780" s="250" t="s">
        <v>370</v>
      </c>
      <c r="F780" s="251">
        <v>496</v>
      </c>
      <c r="G780" s="452" t="s">
        <v>2043</v>
      </c>
      <c r="H780" s="250" t="s">
        <v>118</v>
      </c>
      <c r="I780" s="250" t="s">
        <v>530</v>
      </c>
      <c r="J780" s="250" t="s">
        <v>114</v>
      </c>
      <c r="K780" s="250" t="s">
        <v>466</v>
      </c>
      <c r="L780" s="250" t="s">
        <v>547</v>
      </c>
      <c r="M780" s="277" t="s">
        <v>114</v>
      </c>
      <c r="N780" s="278">
        <v>44408</v>
      </c>
      <c r="O780" s="329" t="s">
        <v>67</v>
      </c>
      <c r="P780" s="330">
        <f t="shared" si="43"/>
        <v>8</v>
      </c>
      <c r="Q780" s="330">
        <f t="shared" si="44"/>
        <v>7</v>
      </c>
      <c r="R780" s="331" t="str">
        <f t="shared" si="45"/>
        <v>Gastos_Gerais</v>
      </c>
      <c r="S780" s="331" t="str">
        <f>IF(D780="","",IF(OR(D780=Plano!$A$1,D780=Plano!$B$1),"entrada","saída"))</f>
        <v>saída</v>
      </c>
      <c r="T780" s="334" t="s">
        <v>114</v>
      </c>
      <c r="U780" s="334" t="s">
        <v>114</v>
      </c>
      <c r="V780" s="269"/>
      <c r="W780" s="269"/>
      <c r="X780" s="269"/>
      <c r="Y780" s="269"/>
      <c r="Z780" s="269"/>
      <c r="AA780" s="269"/>
      <c r="AB780" s="269"/>
      <c r="AC780" s="269"/>
      <c r="AD780" s="269"/>
      <c r="AE780" s="269"/>
      <c r="AF780" s="269"/>
      <c r="AG780" s="269"/>
      <c r="AH780" s="269"/>
      <c r="AI780" s="269"/>
      <c r="AJ780" s="269"/>
      <c r="AK780" s="269"/>
      <c r="AL780" s="269"/>
      <c r="AM780" s="269"/>
    </row>
    <row r="781" spans="1:39" ht="46.5" customHeight="1" x14ac:dyDescent="0.2">
      <c r="A781" s="277">
        <f>IF(B781="","",COUNT('Diário 5º PA'!$A$5:$A$2634)+COUNT('Diário 6º PA'!$A$5:$A$2246)+ROW()-4)</f>
        <v>3320</v>
      </c>
      <c r="B781" s="278">
        <v>44428</v>
      </c>
      <c r="C781" s="249">
        <v>44287</v>
      </c>
      <c r="D781" s="250" t="s">
        <v>99</v>
      </c>
      <c r="E781" s="250" t="s">
        <v>358</v>
      </c>
      <c r="F781" s="251">
        <v>372</v>
      </c>
      <c r="G781" s="452" t="s">
        <v>2044</v>
      </c>
      <c r="H781" s="250" t="s">
        <v>125</v>
      </c>
      <c r="I781" s="252" t="s">
        <v>530</v>
      </c>
      <c r="J781" s="250" t="s">
        <v>114</v>
      </c>
      <c r="K781" s="250" t="s">
        <v>466</v>
      </c>
      <c r="L781" s="250" t="s">
        <v>547</v>
      </c>
      <c r="M781" s="277" t="s">
        <v>114</v>
      </c>
      <c r="N781" s="278">
        <v>44408</v>
      </c>
      <c r="O781" s="329" t="s">
        <v>67</v>
      </c>
      <c r="P781" s="330">
        <f t="shared" si="43"/>
        <v>8</v>
      </c>
      <c r="Q781" s="330">
        <f t="shared" si="44"/>
        <v>4</v>
      </c>
      <c r="R781" s="331" t="str">
        <f t="shared" si="45"/>
        <v>Gastos_Gerais</v>
      </c>
      <c r="S781" s="331" t="str">
        <f>IF(D781="","",IF(OR(D781=Plano!$A$1,D781=Plano!$B$1),"entrada","saída"))</f>
        <v>saída</v>
      </c>
      <c r="T781" s="334" t="s">
        <v>114</v>
      </c>
      <c r="U781" s="334" t="s">
        <v>114</v>
      </c>
      <c r="V781" s="269"/>
      <c r="W781" s="269"/>
      <c r="X781" s="269"/>
      <c r="Y781" s="269"/>
      <c r="Z781" s="269"/>
      <c r="AA781" s="269"/>
      <c r="AB781" s="269"/>
      <c r="AC781" s="269"/>
      <c r="AD781" s="269"/>
      <c r="AE781" s="269"/>
      <c r="AF781" s="269"/>
      <c r="AG781" s="269"/>
      <c r="AH781" s="269"/>
      <c r="AI781" s="269"/>
      <c r="AJ781" s="269"/>
      <c r="AK781" s="269"/>
      <c r="AL781" s="269"/>
      <c r="AM781" s="269"/>
    </row>
    <row r="782" spans="1:39" ht="57" customHeight="1" x14ac:dyDescent="0.2">
      <c r="A782" s="277">
        <f>IF(B782="","",COUNT('Diário 5º PA'!$A$5:$A$2634)+COUNT('Diário 6º PA'!$A$5:$A$2246)+ROW()-4)</f>
        <v>3321</v>
      </c>
      <c r="B782" s="278">
        <v>44428</v>
      </c>
      <c r="C782" s="249">
        <v>44348</v>
      </c>
      <c r="D782" s="250" t="s">
        <v>99</v>
      </c>
      <c r="E782" s="250" t="s">
        <v>358</v>
      </c>
      <c r="F782" s="251">
        <v>310</v>
      </c>
      <c r="G782" s="452" t="s">
        <v>2045</v>
      </c>
      <c r="H782" s="250" t="s">
        <v>127</v>
      </c>
      <c r="I782" s="250" t="s">
        <v>530</v>
      </c>
      <c r="J782" s="250" t="s">
        <v>114</v>
      </c>
      <c r="K782" s="250" t="s">
        <v>466</v>
      </c>
      <c r="L782" s="250" t="s">
        <v>547</v>
      </c>
      <c r="M782" s="277" t="s">
        <v>114</v>
      </c>
      <c r="N782" s="278">
        <v>44408</v>
      </c>
      <c r="O782" s="329" t="s">
        <v>67</v>
      </c>
      <c r="P782" s="330">
        <f t="shared" si="43"/>
        <v>8</v>
      </c>
      <c r="Q782" s="330">
        <f t="shared" si="44"/>
        <v>6</v>
      </c>
      <c r="R782" s="331" t="str">
        <f t="shared" si="45"/>
        <v>Gastos_Gerais</v>
      </c>
      <c r="S782" s="331" t="str">
        <f>IF(D782="","",IF(OR(D782=Plano!$A$1,D782=Plano!$B$1),"entrada","saída"))</f>
        <v>saída</v>
      </c>
      <c r="T782" s="334" t="s">
        <v>114</v>
      </c>
      <c r="U782" s="334" t="s">
        <v>114</v>
      </c>
      <c r="V782" s="269"/>
      <c r="W782" s="269"/>
      <c r="X782" s="269"/>
      <c r="Y782" s="269"/>
      <c r="Z782" s="269"/>
      <c r="AA782" s="269"/>
      <c r="AB782" s="269"/>
      <c r="AC782" s="269"/>
      <c r="AD782" s="269"/>
      <c r="AE782" s="269"/>
      <c r="AF782" s="269"/>
      <c r="AG782" s="269"/>
      <c r="AH782" s="269"/>
      <c r="AI782" s="269"/>
      <c r="AJ782" s="269"/>
      <c r="AK782" s="269"/>
      <c r="AL782" s="269"/>
      <c r="AM782" s="269"/>
    </row>
    <row r="783" spans="1:39" ht="35.25" customHeight="1" x14ac:dyDescent="0.2">
      <c r="A783" s="277">
        <f>IF(B783="","",COUNT('Diário 5º PA'!$A$5:$A$2634)+COUNT('Diário 6º PA'!$A$5:$A$2246)+ROW()-4)</f>
        <v>3322</v>
      </c>
      <c r="B783" s="278">
        <v>44428</v>
      </c>
      <c r="C783" s="249">
        <v>44348</v>
      </c>
      <c r="D783" s="250" t="s">
        <v>99</v>
      </c>
      <c r="E783" s="250" t="s">
        <v>330</v>
      </c>
      <c r="F783" s="251">
        <v>465</v>
      </c>
      <c r="G783" s="452" t="s">
        <v>2046</v>
      </c>
      <c r="H783" s="250" t="s">
        <v>128</v>
      </c>
      <c r="I783" s="252" t="s">
        <v>530</v>
      </c>
      <c r="J783" s="250" t="s">
        <v>114</v>
      </c>
      <c r="K783" s="250" t="s">
        <v>466</v>
      </c>
      <c r="L783" s="250" t="s">
        <v>547</v>
      </c>
      <c r="M783" s="277" t="s">
        <v>114</v>
      </c>
      <c r="N783" s="278">
        <v>44408</v>
      </c>
      <c r="O783" s="329" t="s">
        <v>67</v>
      </c>
      <c r="P783" s="330">
        <f t="shared" si="43"/>
        <v>8</v>
      </c>
      <c r="Q783" s="330">
        <f t="shared" si="44"/>
        <v>6</v>
      </c>
      <c r="R783" s="331" t="str">
        <f t="shared" si="45"/>
        <v>Gastos_Gerais</v>
      </c>
      <c r="S783" s="331" t="str">
        <f>IF(D783="","",IF(OR(D783=Plano!$A$1,D783=Plano!$B$1),"entrada","saída"))</f>
        <v>saída</v>
      </c>
      <c r="T783" s="334" t="s">
        <v>114</v>
      </c>
      <c r="U783" s="334" t="s">
        <v>114</v>
      </c>
      <c r="V783" s="269"/>
      <c r="W783" s="269"/>
      <c r="X783" s="269"/>
      <c r="Y783" s="269"/>
      <c r="Z783" s="269"/>
      <c r="AA783" s="269"/>
      <c r="AB783" s="269"/>
      <c r="AC783" s="269"/>
      <c r="AD783" s="269"/>
      <c r="AE783" s="269"/>
      <c r="AF783" s="269"/>
      <c r="AG783" s="269"/>
      <c r="AH783" s="269"/>
      <c r="AI783" s="269"/>
      <c r="AJ783" s="269"/>
      <c r="AK783" s="269"/>
      <c r="AL783" s="269"/>
      <c r="AM783" s="269"/>
    </row>
    <row r="784" spans="1:39" ht="38.25" customHeight="1" x14ac:dyDescent="0.2">
      <c r="A784" s="277">
        <f>IF(B784="","",COUNT('Diário 5º PA'!$A$5:$A$2634)+COUNT('Diário 6º PA'!$A$5:$A$2246)+ROW()-4)</f>
        <v>3323</v>
      </c>
      <c r="B784" s="278">
        <v>44428</v>
      </c>
      <c r="C784" s="249">
        <v>44287</v>
      </c>
      <c r="D784" s="250" t="s">
        <v>99</v>
      </c>
      <c r="E784" s="250" t="s">
        <v>340</v>
      </c>
      <c r="F784" s="251">
        <v>334.8</v>
      </c>
      <c r="G784" s="452" t="s">
        <v>2047</v>
      </c>
      <c r="H784" s="250" t="s">
        <v>125</v>
      </c>
      <c r="I784" s="252" t="s">
        <v>530</v>
      </c>
      <c r="J784" s="250" t="s">
        <v>114</v>
      </c>
      <c r="K784" s="250" t="s">
        <v>466</v>
      </c>
      <c r="L784" s="250" t="s">
        <v>547</v>
      </c>
      <c r="M784" s="277" t="s">
        <v>114</v>
      </c>
      <c r="N784" s="278">
        <v>44408</v>
      </c>
      <c r="O784" s="329" t="s">
        <v>67</v>
      </c>
      <c r="P784" s="330">
        <f t="shared" ref="P784:P852" si="55">IF(B784=0,0,IF(YEAR(B784)=$Q$1,MONTH(B784)-$P$1+1,(YEAR(B784)-$Q$1)*12-$P$1+1+MONTH(B784)))</f>
        <v>8</v>
      </c>
      <c r="Q784" s="330">
        <f t="shared" ref="Q784:Q852" si="56">IF(C784=0,0,IF(YEAR(C784)=$Q$1,MONTH(C784)-$P$1+1,(YEAR(C784)-$Q$1)*12-$P$1+1+MONTH(C784)))</f>
        <v>4</v>
      </c>
      <c r="R784" s="331" t="str">
        <f t="shared" ref="R784:R852" si="57">SUBSTITUTE(D784," ","_")</f>
        <v>Gastos_Gerais</v>
      </c>
      <c r="S784" s="331" t="str">
        <f>IF(D784="","",IF(OR(D784=Plano!$A$1,D784=Plano!$B$1),"entrada","saída"))</f>
        <v>saída</v>
      </c>
      <c r="T784" s="334" t="s">
        <v>114</v>
      </c>
      <c r="U784" s="334" t="s">
        <v>114</v>
      </c>
      <c r="V784" s="269"/>
      <c r="W784" s="269"/>
      <c r="X784" s="269"/>
      <c r="Y784" s="269"/>
      <c r="Z784" s="269"/>
      <c r="AA784" s="269"/>
      <c r="AB784" s="269"/>
      <c r="AC784" s="269"/>
      <c r="AD784" s="269"/>
      <c r="AE784" s="269"/>
      <c r="AF784" s="269"/>
      <c r="AG784" s="269"/>
      <c r="AH784" s="269"/>
      <c r="AI784" s="269"/>
      <c r="AJ784" s="269"/>
      <c r="AK784" s="269"/>
      <c r="AL784" s="269"/>
      <c r="AM784" s="269"/>
    </row>
    <row r="785" spans="1:39" ht="41.25" customHeight="1" x14ac:dyDescent="0.2">
      <c r="A785" s="277">
        <f>IF(B785="","",COUNT('Diário 5º PA'!$A$5:$A$2634)+COUNT('Diário 6º PA'!$A$5:$A$2246)+ROW()-4)</f>
        <v>3324</v>
      </c>
      <c r="B785" s="278">
        <v>44428</v>
      </c>
      <c r="C785" s="249">
        <v>44348</v>
      </c>
      <c r="D785" s="250" t="s">
        <v>99</v>
      </c>
      <c r="E785" s="250" t="s">
        <v>364</v>
      </c>
      <c r="F785" s="251">
        <v>669.6</v>
      </c>
      <c r="G785" s="452" t="s">
        <v>2048</v>
      </c>
      <c r="H785" s="250" t="s">
        <v>125</v>
      </c>
      <c r="I785" s="250" t="s">
        <v>530</v>
      </c>
      <c r="J785" s="250" t="s">
        <v>114</v>
      </c>
      <c r="K785" s="250" t="s">
        <v>466</v>
      </c>
      <c r="L785" s="250" t="s">
        <v>547</v>
      </c>
      <c r="M785" s="277" t="s">
        <v>114</v>
      </c>
      <c r="N785" s="278">
        <v>44408</v>
      </c>
      <c r="O785" s="329" t="s">
        <v>67</v>
      </c>
      <c r="P785" s="330">
        <f t="shared" si="55"/>
        <v>8</v>
      </c>
      <c r="Q785" s="330">
        <f t="shared" si="56"/>
        <v>6</v>
      </c>
      <c r="R785" s="331" t="str">
        <f t="shared" si="57"/>
        <v>Gastos_Gerais</v>
      </c>
      <c r="S785" s="331" t="str">
        <f>IF(D785="","",IF(OR(D785=Plano!$A$1,D785=Plano!$B$1),"entrada","saída"))</f>
        <v>saída</v>
      </c>
      <c r="T785" s="334" t="s">
        <v>114</v>
      </c>
      <c r="U785" s="334" t="s">
        <v>114</v>
      </c>
      <c r="V785" s="269"/>
      <c r="W785" s="269"/>
      <c r="X785" s="269"/>
      <c r="Y785" s="269"/>
      <c r="Z785" s="269"/>
      <c r="AA785" s="269"/>
      <c r="AB785" s="269"/>
      <c r="AC785" s="269"/>
      <c r="AD785" s="269"/>
      <c r="AE785" s="269"/>
      <c r="AF785" s="269"/>
      <c r="AG785" s="269"/>
      <c r="AH785" s="269"/>
      <c r="AI785" s="269"/>
      <c r="AJ785" s="269"/>
      <c r="AK785" s="269"/>
      <c r="AL785" s="269"/>
      <c r="AM785" s="269"/>
    </row>
    <row r="786" spans="1:39" ht="37.5" customHeight="1" x14ac:dyDescent="0.2">
      <c r="A786" s="277">
        <f>IF(B786="","",COUNT('Diário 5º PA'!$A$5:$A$2634)+COUNT('Diário 6º PA'!$A$5:$A$2246)+ROW()-4)</f>
        <v>3325</v>
      </c>
      <c r="B786" s="278">
        <v>44428</v>
      </c>
      <c r="C786" s="249">
        <v>44348</v>
      </c>
      <c r="D786" s="250" t="s">
        <v>99</v>
      </c>
      <c r="E786" s="250" t="s">
        <v>336</v>
      </c>
      <c r="F786" s="251">
        <v>77.5</v>
      </c>
      <c r="G786" s="452" t="s">
        <v>2049</v>
      </c>
      <c r="H786" s="250" t="s">
        <v>116</v>
      </c>
      <c r="I786" s="250" t="s">
        <v>530</v>
      </c>
      <c r="J786" s="250" t="s">
        <v>114</v>
      </c>
      <c r="K786" s="250" t="s">
        <v>466</v>
      </c>
      <c r="L786" s="250" t="s">
        <v>547</v>
      </c>
      <c r="M786" s="277" t="s">
        <v>114</v>
      </c>
      <c r="N786" s="278">
        <v>44408</v>
      </c>
      <c r="O786" s="329" t="s">
        <v>67</v>
      </c>
      <c r="P786" s="330">
        <f t="shared" si="55"/>
        <v>8</v>
      </c>
      <c r="Q786" s="330">
        <f t="shared" si="56"/>
        <v>6</v>
      </c>
      <c r="R786" s="331" t="str">
        <f t="shared" si="57"/>
        <v>Gastos_Gerais</v>
      </c>
      <c r="S786" s="331" t="str">
        <f>IF(D786="","",IF(OR(D786=Plano!$A$1,D786=Plano!$B$1),"entrada","saída"))</f>
        <v>saída</v>
      </c>
      <c r="T786" s="334" t="s">
        <v>114</v>
      </c>
      <c r="U786" s="334" t="s">
        <v>114</v>
      </c>
      <c r="V786" s="269"/>
      <c r="W786" s="269"/>
      <c r="X786" s="269"/>
      <c r="Y786" s="269"/>
      <c r="Z786" s="269"/>
      <c r="AA786" s="269"/>
      <c r="AB786" s="269"/>
      <c r="AC786" s="269"/>
      <c r="AD786" s="269"/>
      <c r="AE786" s="269"/>
      <c r="AF786" s="269"/>
      <c r="AG786" s="269"/>
      <c r="AH786" s="269"/>
      <c r="AI786" s="269"/>
      <c r="AJ786" s="269"/>
      <c r="AK786" s="269"/>
      <c r="AL786" s="269"/>
      <c r="AM786" s="269"/>
    </row>
    <row r="787" spans="1:39" ht="48" customHeight="1" x14ac:dyDescent="0.2">
      <c r="A787" s="277">
        <f>IF(B787="","",COUNT('Diário 5º PA'!$A$5:$A$2634)+COUNT('Diário 6º PA'!$A$5:$A$2246)+ROW()-4)</f>
        <v>3326</v>
      </c>
      <c r="B787" s="278">
        <v>44428</v>
      </c>
      <c r="C787" s="249">
        <v>44348</v>
      </c>
      <c r="D787" s="250" t="s">
        <v>99</v>
      </c>
      <c r="E787" s="250" t="s">
        <v>336</v>
      </c>
      <c r="F787" s="251">
        <v>155</v>
      </c>
      <c r="G787" s="452" t="s">
        <v>2050</v>
      </c>
      <c r="H787" s="250" t="s">
        <v>128</v>
      </c>
      <c r="I787" s="250" t="s">
        <v>530</v>
      </c>
      <c r="J787" s="250" t="s">
        <v>114</v>
      </c>
      <c r="K787" s="250" t="s">
        <v>466</v>
      </c>
      <c r="L787" s="250" t="s">
        <v>547</v>
      </c>
      <c r="M787" s="277" t="s">
        <v>114</v>
      </c>
      <c r="N787" s="278">
        <v>44408</v>
      </c>
      <c r="O787" s="329" t="s">
        <v>67</v>
      </c>
      <c r="P787" s="330">
        <f t="shared" si="55"/>
        <v>8</v>
      </c>
      <c r="Q787" s="330">
        <f t="shared" si="56"/>
        <v>6</v>
      </c>
      <c r="R787" s="331" t="str">
        <f t="shared" si="57"/>
        <v>Gastos_Gerais</v>
      </c>
      <c r="S787" s="331" t="str">
        <f>IF(D787="","",IF(OR(D787=Plano!$A$1,D787=Plano!$B$1),"entrada","saída"))</f>
        <v>saída</v>
      </c>
      <c r="T787" s="334" t="s">
        <v>114</v>
      </c>
      <c r="U787" s="334" t="s">
        <v>114</v>
      </c>
      <c r="V787" s="269"/>
      <c r="W787" s="269"/>
      <c r="X787" s="269"/>
      <c r="Y787" s="269"/>
      <c r="Z787" s="269"/>
      <c r="AA787" s="269"/>
      <c r="AB787" s="269"/>
      <c r="AC787" s="269"/>
      <c r="AD787" s="269"/>
      <c r="AE787" s="269"/>
      <c r="AF787" s="269"/>
      <c r="AG787" s="269"/>
      <c r="AH787" s="269"/>
      <c r="AI787" s="269"/>
      <c r="AJ787" s="269"/>
      <c r="AK787" s="269"/>
      <c r="AL787" s="269"/>
      <c r="AM787" s="269"/>
    </row>
    <row r="788" spans="1:39" ht="51.75" customHeight="1" x14ac:dyDescent="0.2">
      <c r="A788" s="277">
        <f>IF(B788="","",COUNT('Diário 5º PA'!$A$5:$A$2634)+COUNT('Diário 6º PA'!$A$5:$A$2246)+ROW()-4)</f>
        <v>3327</v>
      </c>
      <c r="B788" s="278">
        <v>44428</v>
      </c>
      <c r="C788" s="249">
        <v>44287</v>
      </c>
      <c r="D788" s="250" t="s">
        <v>99</v>
      </c>
      <c r="E788" s="250" t="s">
        <v>358</v>
      </c>
      <c r="F788" s="251">
        <v>372</v>
      </c>
      <c r="G788" s="452" t="s">
        <v>2051</v>
      </c>
      <c r="H788" s="250" t="s">
        <v>122</v>
      </c>
      <c r="I788" s="252" t="s">
        <v>530</v>
      </c>
      <c r="J788" s="250" t="s">
        <v>114</v>
      </c>
      <c r="K788" s="250" t="s">
        <v>466</v>
      </c>
      <c r="L788" s="250" t="s">
        <v>547</v>
      </c>
      <c r="M788" s="277" t="s">
        <v>114</v>
      </c>
      <c r="N788" s="278">
        <v>44408</v>
      </c>
      <c r="O788" s="329" t="s">
        <v>67</v>
      </c>
      <c r="P788" s="330">
        <f t="shared" si="55"/>
        <v>8</v>
      </c>
      <c r="Q788" s="330">
        <f t="shared" si="56"/>
        <v>4</v>
      </c>
      <c r="R788" s="331" t="str">
        <f t="shared" si="57"/>
        <v>Gastos_Gerais</v>
      </c>
      <c r="S788" s="331" t="str">
        <f>IF(D788="","",IF(OR(D788=Plano!$A$1,D788=Plano!$B$1),"entrada","saída"))</f>
        <v>saída</v>
      </c>
      <c r="T788" s="334" t="s">
        <v>114</v>
      </c>
      <c r="U788" s="334" t="s">
        <v>114</v>
      </c>
      <c r="V788" s="269"/>
      <c r="W788" s="269"/>
      <c r="X788" s="269"/>
      <c r="Y788" s="269"/>
      <c r="Z788" s="269"/>
      <c r="AA788" s="269"/>
      <c r="AB788" s="269"/>
      <c r="AC788" s="269"/>
      <c r="AD788" s="269"/>
      <c r="AE788" s="269"/>
      <c r="AF788" s="269"/>
      <c r="AG788" s="269"/>
      <c r="AH788" s="269"/>
      <c r="AI788" s="269"/>
      <c r="AJ788" s="269"/>
      <c r="AK788" s="269"/>
      <c r="AL788" s="269"/>
      <c r="AM788" s="269"/>
    </row>
    <row r="789" spans="1:39" ht="48.75" customHeight="1" x14ac:dyDescent="0.2">
      <c r="A789" s="277">
        <f>IF(B789="","",COUNT('Diário 5º PA'!$A$5:$A$2634)+COUNT('Diário 6º PA'!$A$5:$A$2246)+ROW()-4)</f>
        <v>3328</v>
      </c>
      <c r="B789" s="278">
        <v>44428</v>
      </c>
      <c r="C789" s="249">
        <v>44348</v>
      </c>
      <c r="D789" s="250" t="s">
        <v>99</v>
      </c>
      <c r="E789" s="250" t="s">
        <v>358</v>
      </c>
      <c r="F789" s="251">
        <v>744</v>
      </c>
      <c r="G789" s="452" t="s">
        <v>2052</v>
      </c>
      <c r="H789" s="250" t="s">
        <v>127</v>
      </c>
      <c r="I789" s="250" t="s">
        <v>530</v>
      </c>
      <c r="J789" s="250" t="s">
        <v>114</v>
      </c>
      <c r="K789" s="250" t="s">
        <v>466</v>
      </c>
      <c r="L789" s="250" t="s">
        <v>547</v>
      </c>
      <c r="M789" s="277" t="s">
        <v>114</v>
      </c>
      <c r="N789" s="278">
        <v>44408</v>
      </c>
      <c r="O789" s="329" t="s">
        <v>67</v>
      </c>
      <c r="P789" s="330">
        <f t="shared" si="55"/>
        <v>8</v>
      </c>
      <c r="Q789" s="330">
        <f t="shared" si="56"/>
        <v>6</v>
      </c>
      <c r="R789" s="331" t="str">
        <f t="shared" si="57"/>
        <v>Gastos_Gerais</v>
      </c>
      <c r="S789" s="331" t="str">
        <f>IF(D789="","",IF(OR(D789=Plano!$A$1,D789=Plano!$B$1),"entrada","saída"))</f>
        <v>saída</v>
      </c>
      <c r="T789" s="334" t="s">
        <v>114</v>
      </c>
      <c r="U789" s="334" t="s">
        <v>114</v>
      </c>
      <c r="V789" s="269"/>
      <c r="W789" s="269"/>
      <c r="X789" s="269"/>
      <c r="Y789" s="269"/>
      <c r="Z789" s="269"/>
      <c r="AA789" s="269"/>
      <c r="AB789" s="269"/>
      <c r="AC789" s="269"/>
      <c r="AD789" s="269"/>
      <c r="AE789" s="269"/>
      <c r="AF789" s="269"/>
      <c r="AG789" s="269"/>
      <c r="AH789" s="269"/>
      <c r="AI789" s="269"/>
      <c r="AJ789" s="269"/>
      <c r="AK789" s="269"/>
      <c r="AL789" s="269"/>
      <c r="AM789" s="269"/>
    </row>
    <row r="790" spans="1:39" ht="45" customHeight="1" x14ac:dyDescent="0.2">
      <c r="A790" s="277">
        <f>IF(B790="","",COUNT('Diário 5º PA'!$A$5:$A$2634)+COUNT('Diário 6º PA'!$A$5:$A$2246)+ROW()-4)</f>
        <v>3329</v>
      </c>
      <c r="B790" s="278">
        <v>44428</v>
      </c>
      <c r="C790" s="249">
        <v>44378</v>
      </c>
      <c r="D790" s="250" t="s">
        <v>99</v>
      </c>
      <c r="E790" s="250" t="s">
        <v>336</v>
      </c>
      <c r="F790" s="251">
        <v>310</v>
      </c>
      <c r="G790" s="452" t="s">
        <v>2053</v>
      </c>
      <c r="H790" s="250" t="s">
        <v>117</v>
      </c>
      <c r="I790" s="250" t="s">
        <v>530</v>
      </c>
      <c r="J790" s="250" t="s">
        <v>114</v>
      </c>
      <c r="K790" s="250" t="s">
        <v>466</v>
      </c>
      <c r="L790" s="250" t="s">
        <v>547</v>
      </c>
      <c r="M790" s="277" t="s">
        <v>114</v>
      </c>
      <c r="N790" s="278">
        <v>44408</v>
      </c>
      <c r="O790" s="329" t="s">
        <v>67</v>
      </c>
      <c r="P790" s="330">
        <f t="shared" si="55"/>
        <v>8</v>
      </c>
      <c r="Q790" s="330">
        <f t="shared" si="56"/>
        <v>7</v>
      </c>
      <c r="R790" s="331" t="str">
        <f t="shared" si="57"/>
        <v>Gastos_Gerais</v>
      </c>
      <c r="S790" s="331" t="str">
        <f>IF(D790="","",IF(OR(D790=Plano!$A$1,D790=Plano!$B$1),"entrada","saída"))</f>
        <v>saída</v>
      </c>
      <c r="T790" s="334" t="s">
        <v>114</v>
      </c>
      <c r="U790" s="334" t="s">
        <v>114</v>
      </c>
      <c r="V790" s="269"/>
      <c r="W790" s="269"/>
      <c r="X790" s="269"/>
      <c r="Y790" s="269"/>
      <c r="Z790" s="269"/>
      <c r="AA790" s="269"/>
      <c r="AB790" s="269"/>
      <c r="AC790" s="269"/>
      <c r="AD790" s="269"/>
      <c r="AE790" s="269"/>
      <c r="AF790" s="269"/>
      <c r="AG790" s="269"/>
      <c r="AH790" s="269"/>
      <c r="AI790" s="269"/>
      <c r="AJ790" s="269"/>
      <c r="AK790" s="269"/>
      <c r="AL790" s="269"/>
      <c r="AM790" s="269"/>
    </row>
    <row r="791" spans="1:39" ht="46.5" customHeight="1" x14ac:dyDescent="0.2">
      <c r="A791" s="277">
        <f>IF(B791="","",COUNT('Diário 5º PA'!$A$5:$A$2634)+COUNT('Diário 6º PA'!$A$5:$A$2246)+ROW()-4)</f>
        <v>3330</v>
      </c>
      <c r="B791" s="278">
        <v>44428</v>
      </c>
      <c r="C791" s="249">
        <v>44348</v>
      </c>
      <c r="D791" s="250" t="s">
        <v>99</v>
      </c>
      <c r="E791" s="250" t="s">
        <v>262</v>
      </c>
      <c r="F791" s="251">
        <v>33.42</v>
      </c>
      <c r="G791" s="452" t="s">
        <v>2054</v>
      </c>
      <c r="H791" s="250" t="s">
        <v>115</v>
      </c>
      <c r="I791" s="250" t="s">
        <v>488</v>
      </c>
      <c r="J791" s="250" t="s">
        <v>114</v>
      </c>
      <c r="K791" s="250" t="s">
        <v>466</v>
      </c>
      <c r="L791" s="250" t="s">
        <v>489</v>
      </c>
      <c r="M791" s="277" t="s">
        <v>114</v>
      </c>
      <c r="N791" s="278">
        <v>44408</v>
      </c>
      <c r="O791" s="329" t="s">
        <v>67</v>
      </c>
      <c r="P791" s="330">
        <f t="shared" si="55"/>
        <v>8</v>
      </c>
      <c r="Q791" s="330">
        <f t="shared" si="56"/>
        <v>6</v>
      </c>
      <c r="R791" s="331" t="str">
        <f t="shared" si="57"/>
        <v>Gastos_Gerais</v>
      </c>
      <c r="S791" s="331" t="str">
        <f>IF(D791="","",IF(OR(D791=Plano!$A$1,D791=Plano!$B$1),"entrada","saída"))</f>
        <v>saída</v>
      </c>
      <c r="T791" s="334" t="s">
        <v>114</v>
      </c>
      <c r="U791" s="334" t="s">
        <v>114</v>
      </c>
      <c r="V791" s="269"/>
      <c r="W791" s="269"/>
      <c r="X791" s="269"/>
      <c r="Y791" s="269"/>
      <c r="Z791" s="269"/>
      <c r="AA791" s="269"/>
      <c r="AB791" s="269"/>
      <c r="AC791" s="269"/>
      <c r="AD791" s="269"/>
      <c r="AE791" s="269"/>
      <c r="AF791" s="269"/>
      <c r="AG791" s="269"/>
      <c r="AH791" s="269"/>
      <c r="AI791" s="269"/>
      <c r="AJ791" s="269"/>
      <c r="AK791" s="269"/>
      <c r="AL791" s="269"/>
      <c r="AM791" s="269"/>
    </row>
    <row r="792" spans="1:39" ht="53.25" customHeight="1" x14ac:dyDescent="0.2">
      <c r="A792" s="277">
        <f>IF(B792="","",COUNT('Diário 5º PA'!$A$5:$A$2634)+COUNT('Diário 6º PA'!$A$5:$A$2246)+ROW()-4)</f>
        <v>3331</v>
      </c>
      <c r="B792" s="278">
        <v>44428</v>
      </c>
      <c r="C792" s="249">
        <v>44348</v>
      </c>
      <c r="D792" s="250" t="s">
        <v>99</v>
      </c>
      <c r="E792" s="250" t="s">
        <v>262</v>
      </c>
      <c r="F792" s="251">
        <v>57.45</v>
      </c>
      <c r="G792" s="452" t="s">
        <v>2055</v>
      </c>
      <c r="H792" s="250" t="s">
        <v>127</v>
      </c>
      <c r="I792" s="250" t="s">
        <v>488</v>
      </c>
      <c r="J792" s="250" t="s">
        <v>114</v>
      </c>
      <c r="K792" s="250" t="s">
        <v>466</v>
      </c>
      <c r="L792" s="250" t="s">
        <v>489</v>
      </c>
      <c r="M792" s="277" t="s">
        <v>114</v>
      </c>
      <c r="N792" s="278">
        <v>44408</v>
      </c>
      <c r="O792" s="329" t="s">
        <v>67</v>
      </c>
      <c r="P792" s="330">
        <f t="shared" si="55"/>
        <v>8</v>
      </c>
      <c r="Q792" s="330">
        <f t="shared" si="56"/>
        <v>6</v>
      </c>
      <c r="R792" s="331" t="str">
        <f t="shared" si="57"/>
        <v>Gastos_Gerais</v>
      </c>
      <c r="S792" s="331" t="str">
        <f>IF(D792="","",IF(OR(D792=Plano!$A$1,D792=Plano!$B$1),"entrada","saída"))</f>
        <v>saída</v>
      </c>
      <c r="T792" s="334" t="s">
        <v>114</v>
      </c>
      <c r="U792" s="334" t="s">
        <v>114</v>
      </c>
      <c r="V792" s="269"/>
      <c r="W792" s="269"/>
      <c r="X792" s="269"/>
      <c r="Y792" s="269"/>
      <c r="Z792" s="269"/>
      <c r="AA792" s="269"/>
      <c r="AB792" s="269"/>
      <c r="AC792" s="269"/>
      <c r="AD792" s="269"/>
      <c r="AE792" s="269"/>
      <c r="AF792" s="269"/>
      <c r="AG792" s="269"/>
      <c r="AH792" s="269"/>
      <c r="AI792" s="269"/>
      <c r="AJ792" s="269"/>
      <c r="AK792" s="269"/>
      <c r="AL792" s="269"/>
      <c r="AM792" s="269"/>
    </row>
    <row r="793" spans="1:39" ht="46.5" customHeight="1" x14ac:dyDescent="0.2">
      <c r="A793" s="277">
        <f>IF(B793="","",COUNT('Diário 5º PA'!$A$5:$A$2634)+COUNT('Diário 6º PA'!$A$5:$A$2246)+ROW()-4)</f>
        <v>3332</v>
      </c>
      <c r="B793" s="278">
        <v>44428</v>
      </c>
      <c r="C793" s="249">
        <v>44348</v>
      </c>
      <c r="D793" s="250" t="s">
        <v>99</v>
      </c>
      <c r="E793" s="250" t="s">
        <v>330</v>
      </c>
      <c r="F793" s="251">
        <v>205.9</v>
      </c>
      <c r="G793" s="452" t="s">
        <v>2056</v>
      </c>
      <c r="H793" s="250" t="s">
        <v>123</v>
      </c>
      <c r="I793" s="252" t="s">
        <v>488</v>
      </c>
      <c r="J793" s="250" t="s">
        <v>114</v>
      </c>
      <c r="K793" s="250" t="s">
        <v>466</v>
      </c>
      <c r="L793" s="250" t="s">
        <v>489</v>
      </c>
      <c r="M793" s="277" t="s">
        <v>114</v>
      </c>
      <c r="N793" s="278">
        <v>44408</v>
      </c>
      <c r="O793" s="329" t="s">
        <v>67</v>
      </c>
      <c r="P793" s="330">
        <f t="shared" si="55"/>
        <v>8</v>
      </c>
      <c r="Q793" s="330">
        <f t="shared" si="56"/>
        <v>6</v>
      </c>
      <c r="R793" s="331" t="str">
        <f t="shared" si="57"/>
        <v>Gastos_Gerais</v>
      </c>
      <c r="S793" s="331" t="str">
        <f>IF(D793="","",IF(OR(D793=Plano!$A$1,D793=Plano!$B$1),"entrada","saída"))</f>
        <v>saída</v>
      </c>
      <c r="T793" s="334" t="s">
        <v>114</v>
      </c>
      <c r="U793" s="334" t="s">
        <v>114</v>
      </c>
      <c r="V793" s="269"/>
      <c r="W793" s="269"/>
      <c r="X793" s="269"/>
      <c r="Y793" s="269"/>
      <c r="Z793" s="269"/>
      <c r="AA793" s="269"/>
      <c r="AB793" s="269"/>
      <c r="AC793" s="269"/>
      <c r="AD793" s="269"/>
      <c r="AE793" s="269"/>
      <c r="AF793" s="269"/>
      <c r="AG793" s="269"/>
      <c r="AH793" s="269"/>
      <c r="AI793" s="269"/>
      <c r="AJ793" s="269"/>
      <c r="AK793" s="269"/>
      <c r="AL793" s="269"/>
      <c r="AM793" s="269"/>
    </row>
    <row r="794" spans="1:39" ht="42.75" customHeight="1" x14ac:dyDescent="0.2">
      <c r="A794" s="277">
        <f>IF(B794="","",COUNT('Diário 5º PA'!$A$5:$A$2634)+COUNT('Diário 6º PA'!$A$5:$A$2246)+ROW()-4)</f>
        <v>3333</v>
      </c>
      <c r="B794" s="278">
        <v>44428</v>
      </c>
      <c r="C794" s="249">
        <v>44317</v>
      </c>
      <c r="D794" s="250" t="s">
        <v>99</v>
      </c>
      <c r="E794" s="250" t="s">
        <v>364</v>
      </c>
      <c r="F794" s="251">
        <v>365.12</v>
      </c>
      <c r="G794" s="452" t="s">
        <v>2057</v>
      </c>
      <c r="H794" s="250" t="s">
        <v>131</v>
      </c>
      <c r="I794" s="250" t="s">
        <v>488</v>
      </c>
      <c r="J794" s="250" t="s">
        <v>114</v>
      </c>
      <c r="K794" s="250" t="s">
        <v>466</v>
      </c>
      <c r="L794" s="250" t="s">
        <v>489</v>
      </c>
      <c r="M794" s="277" t="s">
        <v>114</v>
      </c>
      <c r="N794" s="278">
        <v>44408</v>
      </c>
      <c r="O794" s="329" t="s">
        <v>67</v>
      </c>
      <c r="P794" s="330">
        <f t="shared" si="55"/>
        <v>8</v>
      </c>
      <c r="Q794" s="330">
        <f t="shared" si="56"/>
        <v>5</v>
      </c>
      <c r="R794" s="331" t="str">
        <f t="shared" si="57"/>
        <v>Gastos_Gerais</v>
      </c>
      <c r="S794" s="331" t="str">
        <f>IF(D794="","",IF(OR(D794=Plano!$A$1,D794=Plano!$B$1),"entrada","saída"))</f>
        <v>saída</v>
      </c>
      <c r="T794" s="334" t="s">
        <v>114</v>
      </c>
      <c r="U794" s="334" t="s">
        <v>114</v>
      </c>
      <c r="V794" s="269"/>
      <c r="W794" s="269"/>
      <c r="X794" s="269"/>
      <c r="Y794" s="269"/>
      <c r="Z794" s="269"/>
      <c r="AA794" s="269"/>
      <c r="AB794" s="269"/>
      <c r="AC794" s="269"/>
      <c r="AD794" s="269"/>
      <c r="AE794" s="269"/>
      <c r="AF794" s="269"/>
      <c r="AG794" s="269"/>
      <c r="AH794" s="269"/>
      <c r="AI794" s="269"/>
      <c r="AJ794" s="269"/>
      <c r="AK794" s="269"/>
      <c r="AL794" s="269"/>
      <c r="AM794" s="269"/>
    </row>
    <row r="795" spans="1:39" ht="55.5" customHeight="1" x14ac:dyDescent="0.2">
      <c r="A795" s="277">
        <f>IF(B795="","",COUNT('Diário 5º PA'!$A$5:$A$2634)+COUNT('Diário 6º PA'!$A$5:$A$2246)+ROW()-4)</f>
        <v>3334</v>
      </c>
      <c r="B795" s="278">
        <v>44428</v>
      </c>
      <c r="C795" s="249">
        <v>44348</v>
      </c>
      <c r="D795" s="250" t="s">
        <v>99</v>
      </c>
      <c r="E795" s="250" t="s">
        <v>358</v>
      </c>
      <c r="F795" s="251">
        <v>17.399999999999999</v>
      </c>
      <c r="G795" s="452" t="s">
        <v>2058</v>
      </c>
      <c r="H795" s="250" t="s">
        <v>127</v>
      </c>
      <c r="I795" s="250" t="s">
        <v>488</v>
      </c>
      <c r="J795" s="250" t="s">
        <v>114</v>
      </c>
      <c r="K795" s="250" t="s">
        <v>466</v>
      </c>
      <c r="L795" s="250" t="s">
        <v>489</v>
      </c>
      <c r="M795" s="277" t="s">
        <v>114</v>
      </c>
      <c r="N795" s="278">
        <v>44408</v>
      </c>
      <c r="O795" s="329" t="s">
        <v>67</v>
      </c>
      <c r="P795" s="330">
        <f t="shared" si="55"/>
        <v>8</v>
      </c>
      <c r="Q795" s="330">
        <f t="shared" si="56"/>
        <v>6</v>
      </c>
      <c r="R795" s="331" t="str">
        <f t="shared" si="57"/>
        <v>Gastos_Gerais</v>
      </c>
      <c r="S795" s="331" t="str">
        <f>IF(D795="","",IF(OR(D795=Plano!$A$1,D795=Plano!$B$1),"entrada","saída"))</f>
        <v>saída</v>
      </c>
      <c r="T795" s="334" t="s">
        <v>114</v>
      </c>
      <c r="U795" s="334" t="s">
        <v>114</v>
      </c>
      <c r="V795" s="269"/>
      <c r="W795" s="269"/>
      <c r="X795" s="269"/>
      <c r="Y795" s="269"/>
      <c r="Z795" s="269"/>
      <c r="AA795" s="269"/>
      <c r="AB795" s="269"/>
      <c r="AC795" s="269"/>
      <c r="AD795" s="269"/>
      <c r="AE795" s="269"/>
      <c r="AF795" s="269"/>
      <c r="AG795" s="269"/>
      <c r="AH795" s="269"/>
      <c r="AI795" s="269"/>
      <c r="AJ795" s="269"/>
      <c r="AK795" s="269"/>
      <c r="AL795" s="269"/>
      <c r="AM795" s="269"/>
    </row>
    <row r="796" spans="1:39" ht="138.75" customHeight="1" x14ac:dyDescent="0.2">
      <c r="A796" s="277">
        <f>IF(B796="","",COUNT('Diário 5º PA'!$A$5:$A$2634)+COUNT('Diário 6º PA'!$A$5:$A$2246)+ROW()-4)</f>
        <v>3335</v>
      </c>
      <c r="B796" s="278">
        <v>44428</v>
      </c>
      <c r="C796" s="249">
        <v>44378</v>
      </c>
      <c r="D796" s="250" t="s">
        <v>99</v>
      </c>
      <c r="E796" s="250" t="s">
        <v>364</v>
      </c>
      <c r="F796" s="251">
        <v>1459.05</v>
      </c>
      <c r="G796" s="452" t="s">
        <v>2059</v>
      </c>
      <c r="H796" s="250" t="s">
        <v>116</v>
      </c>
      <c r="I796" s="250" t="s">
        <v>2060</v>
      </c>
      <c r="J796" s="250" t="s">
        <v>2061</v>
      </c>
      <c r="K796" s="255" t="s">
        <v>991</v>
      </c>
      <c r="L796" s="250" t="s">
        <v>992</v>
      </c>
      <c r="M796" s="277" t="s">
        <v>2062</v>
      </c>
      <c r="N796" s="278">
        <v>44427</v>
      </c>
      <c r="O796" s="329" t="s">
        <v>67</v>
      </c>
      <c r="P796" s="330">
        <f t="shared" si="55"/>
        <v>8</v>
      </c>
      <c r="Q796" s="330">
        <f t="shared" si="56"/>
        <v>7</v>
      </c>
      <c r="R796" s="331" t="str">
        <f t="shared" si="57"/>
        <v>Gastos_Gerais</v>
      </c>
      <c r="S796" s="331" t="str">
        <f>IF(D796="","",IF(OR(D796=Plano!$A$1,D796=Plano!$B$1),"entrada","saída"))</f>
        <v>saída</v>
      </c>
      <c r="T796" s="334" t="s">
        <v>994</v>
      </c>
      <c r="U796" s="334">
        <v>1738</v>
      </c>
      <c r="V796" s="269"/>
      <c r="W796" s="269"/>
      <c r="X796" s="269"/>
      <c r="Y796" s="269"/>
      <c r="Z796" s="269"/>
      <c r="AA796" s="269"/>
      <c r="AB796" s="269"/>
      <c r="AC796" s="269"/>
      <c r="AD796" s="269"/>
      <c r="AE796" s="269"/>
      <c r="AF796" s="269"/>
      <c r="AG796" s="269"/>
      <c r="AH796" s="269"/>
      <c r="AI796" s="269"/>
      <c r="AJ796" s="269"/>
      <c r="AK796" s="269"/>
      <c r="AL796" s="269"/>
      <c r="AM796" s="269"/>
    </row>
    <row r="797" spans="1:39" ht="27.75" customHeight="1" x14ac:dyDescent="0.2">
      <c r="A797" s="277">
        <f>IF(B797="","",COUNT('Diário 5º PA'!$A$5:$A$2634)+COUNT('Diário 6º PA'!$A$5:$A$2246)+ROW()-4)</f>
        <v>3336</v>
      </c>
      <c r="B797" s="278">
        <v>44428</v>
      </c>
      <c r="C797" s="259">
        <v>44378</v>
      </c>
      <c r="D797" s="252" t="s">
        <v>88</v>
      </c>
      <c r="E797" s="252" t="s">
        <v>90</v>
      </c>
      <c r="F797" s="257">
        <v>9401.08</v>
      </c>
      <c r="G797" s="451" t="s">
        <v>2063</v>
      </c>
      <c r="H797" s="252" t="s">
        <v>114</v>
      </c>
      <c r="I797" s="252" t="s">
        <v>530</v>
      </c>
      <c r="J797" s="250" t="s">
        <v>114</v>
      </c>
      <c r="K797" s="250" t="s">
        <v>466</v>
      </c>
      <c r="L797" s="250" t="s">
        <v>547</v>
      </c>
      <c r="M797" s="277" t="s">
        <v>114</v>
      </c>
      <c r="N797" s="278">
        <v>44408</v>
      </c>
      <c r="O797" s="329" t="s">
        <v>67</v>
      </c>
      <c r="P797" s="330">
        <f t="shared" si="55"/>
        <v>8</v>
      </c>
      <c r="Q797" s="330">
        <f t="shared" si="56"/>
        <v>7</v>
      </c>
      <c r="R797" s="331" t="str">
        <f t="shared" si="57"/>
        <v>Gastos_com_Pessoal</v>
      </c>
      <c r="S797" s="331" t="str">
        <f>IF(D797="","",IF(OR(D797=Plano!$A$1,D797=Plano!$B$1),"entrada","saída"))</f>
        <v>saída</v>
      </c>
      <c r="T797" s="332" t="s">
        <v>114</v>
      </c>
      <c r="U797" s="332" t="s">
        <v>114</v>
      </c>
      <c r="V797" s="269"/>
      <c r="W797" s="269"/>
      <c r="X797" s="269"/>
      <c r="Y797" s="269"/>
      <c r="Z797" s="269"/>
      <c r="AA797" s="269"/>
      <c r="AB797" s="269"/>
      <c r="AC797" s="269"/>
      <c r="AD797" s="269"/>
      <c r="AE797" s="269"/>
      <c r="AF797" s="269"/>
      <c r="AG797" s="269"/>
      <c r="AH797" s="269"/>
      <c r="AI797" s="269"/>
      <c r="AJ797" s="269"/>
      <c r="AK797" s="269"/>
      <c r="AL797" s="269"/>
      <c r="AM797" s="269"/>
    </row>
    <row r="798" spans="1:39" ht="33" customHeight="1" x14ac:dyDescent="0.2">
      <c r="A798" s="277">
        <f>IF(B798="","",COUNT('Diário 5º PA'!$A$5:$A$2634)+COUNT('Diário 6º PA'!$A$5:$A$2246)+ROW()-4)</f>
        <v>3337</v>
      </c>
      <c r="B798" s="278">
        <v>44428</v>
      </c>
      <c r="C798" s="249">
        <v>44378</v>
      </c>
      <c r="D798" s="255" t="s">
        <v>88</v>
      </c>
      <c r="E798" s="255" t="s">
        <v>167</v>
      </c>
      <c r="F798" s="258">
        <v>31633.4</v>
      </c>
      <c r="G798" s="452" t="s">
        <v>2064</v>
      </c>
      <c r="H798" s="255" t="s">
        <v>114</v>
      </c>
      <c r="I798" s="250" t="s">
        <v>530</v>
      </c>
      <c r="J798" s="250" t="s">
        <v>114</v>
      </c>
      <c r="K798" s="255" t="s">
        <v>466</v>
      </c>
      <c r="L798" s="250" t="s">
        <v>547</v>
      </c>
      <c r="M798" s="277" t="s">
        <v>114</v>
      </c>
      <c r="N798" s="278">
        <v>44408</v>
      </c>
      <c r="O798" s="329" t="s">
        <v>67</v>
      </c>
      <c r="P798" s="330">
        <f t="shared" si="55"/>
        <v>8</v>
      </c>
      <c r="Q798" s="330">
        <f t="shared" si="56"/>
        <v>7</v>
      </c>
      <c r="R798" s="331" t="str">
        <f t="shared" si="57"/>
        <v>Gastos_com_Pessoal</v>
      </c>
      <c r="S798" s="331" t="str">
        <f>IF(D798="","",IF(OR(D798=Plano!$A$1,D798=Plano!$B$1),"entrada","saída"))</f>
        <v>saída</v>
      </c>
      <c r="T798" s="332" t="s">
        <v>114</v>
      </c>
      <c r="U798" s="332" t="s">
        <v>114</v>
      </c>
      <c r="V798" s="269"/>
      <c r="W798" s="269"/>
      <c r="X798" s="269"/>
      <c r="Y798" s="269"/>
      <c r="Z798" s="269"/>
      <c r="AA798" s="269"/>
      <c r="AB798" s="269"/>
      <c r="AC798" s="269"/>
      <c r="AD798" s="269"/>
      <c r="AE798" s="269"/>
      <c r="AF798" s="269"/>
      <c r="AG798" s="269"/>
      <c r="AH798" s="269"/>
      <c r="AI798" s="269"/>
      <c r="AJ798" s="269"/>
      <c r="AK798" s="269"/>
      <c r="AL798" s="269"/>
      <c r="AM798" s="269"/>
    </row>
    <row r="799" spans="1:39" ht="43.5" customHeight="1" x14ac:dyDescent="0.2">
      <c r="A799" s="277">
        <f>IF(B799="","",COUNT('Diário 5º PA'!$A$5:$A$2634)+COUNT('Diário 6º PA'!$A$5:$A$2246)+ROW()-4)</f>
        <v>3338</v>
      </c>
      <c r="B799" s="278">
        <v>44428</v>
      </c>
      <c r="C799" s="259">
        <v>44348</v>
      </c>
      <c r="D799" s="252" t="s">
        <v>88</v>
      </c>
      <c r="E799" s="252" t="s">
        <v>90</v>
      </c>
      <c r="F799" s="257">
        <v>10654.75</v>
      </c>
      <c r="G799" s="451" t="s">
        <v>2065</v>
      </c>
      <c r="H799" s="252" t="s">
        <v>114</v>
      </c>
      <c r="I799" s="252" t="s">
        <v>488</v>
      </c>
      <c r="J799" s="250" t="s">
        <v>114</v>
      </c>
      <c r="K799" s="250" t="s">
        <v>466</v>
      </c>
      <c r="L799" s="250" t="s">
        <v>489</v>
      </c>
      <c r="M799" s="277" t="s">
        <v>114</v>
      </c>
      <c r="N799" s="278">
        <v>44408</v>
      </c>
      <c r="O799" s="329" t="s">
        <v>67</v>
      </c>
      <c r="P799" s="330">
        <f t="shared" si="55"/>
        <v>8</v>
      </c>
      <c r="Q799" s="330">
        <f t="shared" si="56"/>
        <v>6</v>
      </c>
      <c r="R799" s="331" t="str">
        <f t="shared" si="57"/>
        <v>Gastos_com_Pessoal</v>
      </c>
      <c r="S799" s="331" t="str">
        <f>IF(D799="","",IF(OR(D799=Plano!$A$1,D799=Plano!$B$1),"entrada","saída"))</f>
        <v>saída</v>
      </c>
      <c r="T799" s="332" t="s">
        <v>114</v>
      </c>
      <c r="U799" s="332" t="s">
        <v>114</v>
      </c>
      <c r="V799" s="269"/>
      <c r="W799" s="269"/>
      <c r="X799" s="269"/>
      <c r="Y799" s="269"/>
      <c r="Z799" s="269"/>
      <c r="AA799" s="269"/>
      <c r="AB799" s="269"/>
      <c r="AC799" s="269"/>
      <c r="AD799" s="269"/>
      <c r="AE799" s="269"/>
      <c r="AF799" s="269"/>
      <c r="AG799" s="269"/>
      <c r="AH799" s="269"/>
      <c r="AI799" s="269"/>
      <c r="AJ799" s="269"/>
      <c r="AK799" s="269"/>
      <c r="AL799" s="269"/>
      <c r="AM799" s="269"/>
    </row>
    <row r="800" spans="1:39" ht="41.25" customHeight="1" x14ac:dyDescent="0.2">
      <c r="A800" s="277">
        <f>IF(B800="","",COUNT('Diário 5º PA'!$A$5:$A$2634)+COUNT('Diário 6º PA'!$A$5:$A$2246)+ROW()-4)</f>
        <v>3339</v>
      </c>
      <c r="B800" s="278">
        <v>44428</v>
      </c>
      <c r="C800" s="249">
        <v>44378</v>
      </c>
      <c r="D800" s="250" t="s">
        <v>88</v>
      </c>
      <c r="E800" s="250" t="s">
        <v>181</v>
      </c>
      <c r="F800" s="251">
        <v>135.74</v>
      </c>
      <c r="G800" s="452" t="s">
        <v>2066</v>
      </c>
      <c r="H800" s="250" t="s">
        <v>114</v>
      </c>
      <c r="I800" s="250" t="s">
        <v>488</v>
      </c>
      <c r="J800" s="250" t="s">
        <v>114</v>
      </c>
      <c r="K800" s="250" t="s">
        <v>466</v>
      </c>
      <c r="L800" s="250" t="s">
        <v>489</v>
      </c>
      <c r="M800" s="277" t="s">
        <v>114</v>
      </c>
      <c r="N800" s="278">
        <v>44408</v>
      </c>
      <c r="O800" s="329" t="s">
        <v>67</v>
      </c>
      <c r="P800" s="330">
        <f t="shared" si="55"/>
        <v>8</v>
      </c>
      <c r="Q800" s="330">
        <f t="shared" si="56"/>
        <v>7</v>
      </c>
      <c r="R800" s="331" t="str">
        <f t="shared" si="57"/>
        <v>Gastos_com_Pessoal</v>
      </c>
      <c r="S800" s="331" t="str">
        <f>IF(D800="","",IF(OR(D800=Plano!$A$1,D800=Plano!$B$1),"entrada","saída"))</f>
        <v>saída</v>
      </c>
      <c r="T800" s="332" t="s">
        <v>114</v>
      </c>
      <c r="U800" s="332" t="s">
        <v>114</v>
      </c>
      <c r="V800" s="269"/>
      <c r="W800" s="269"/>
      <c r="X800" s="269"/>
      <c r="Y800" s="269"/>
      <c r="Z800" s="269"/>
      <c r="AA800" s="269"/>
      <c r="AB800" s="269"/>
      <c r="AC800" s="269"/>
      <c r="AD800" s="269"/>
      <c r="AE800" s="269"/>
      <c r="AF800" s="269"/>
      <c r="AG800" s="269"/>
      <c r="AH800" s="269"/>
      <c r="AI800" s="269"/>
      <c r="AJ800" s="269"/>
      <c r="AK800" s="269"/>
      <c r="AL800" s="269"/>
      <c r="AM800" s="269"/>
    </row>
    <row r="801" spans="1:39" ht="41.25" customHeight="1" x14ac:dyDescent="0.2">
      <c r="A801" s="277">
        <f>IF(B801="","",COUNT('Diário 5º PA'!$A$5:$A$2634)+COUNT('Diário 6º PA'!$A$5:$A$2246)+ROW()-4)</f>
        <v>3340</v>
      </c>
      <c r="B801" s="278">
        <v>44428</v>
      </c>
      <c r="C801" s="249">
        <v>44378</v>
      </c>
      <c r="D801" s="250" t="s">
        <v>88</v>
      </c>
      <c r="E801" s="250" t="s">
        <v>177</v>
      </c>
      <c r="F801" s="251">
        <v>580.62</v>
      </c>
      <c r="G801" s="452" t="s">
        <v>2067</v>
      </c>
      <c r="H801" s="250" t="s">
        <v>114</v>
      </c>
      <c r="I801" s="250" t="s">
        <v>488</v>
      </c>
      <c r="J801" s="250" t="s">
        <v>114</v>
      </c>
      <c r="K801" s="250" t="s">
        <v>466</v>
      </c>
      <c r="L801" s="250" t="s">
        <v>489</v>
      </c>
      <c r="M801" s="277" t="s">
        <v>114</v>
      </c>
      <c r="N801" s="278">
        <v>44408</v>
      </c>
      <c r="O801" s="329" t="s">
        <v>67</v>
      </c>
      <c r="P801" s="330">
        <f t="shared" si="55"/>
        <v>8</v>
      </c>
      <c r="Q801" s="330">
        <f t="shared" si="56"/>
        <v>7</v>
      </c>
      <c r="R801" s="331" t="str">
        <f t="shared" si="57"/>
        <v>Gastos_com_Pessoal</v>
      </c>
      <c r="S801" s="331" t="str">
        <f>IF(D801="","",IF(OR(D801=Plano!$A$1,D801=Plano!$B$1),"entrada","saída"))</f>
        <v>saída</v>
      </c>
      <c r="T801" s="332" t="s">
        <v>114</v>
      </c>
      <c r="U801" s="332" t="s">
        <v>114</v>
      </c>
      <c r="V801" s="269"/>
      <c r="W801" s="269"/>
      <c r="X801" s="269"/>
      <c r="Y801" s="269"/>
      <c r="Z801" s="269"/>
      <c r="AA801" s="269"/>
      <c r="AB801" s="269"/>
      <c r="AC801" s="269"/>
      <c r="AD801" s="269"/>
      <c r="AE801" s="269"/>
      <c r="AF801" s="269"/>
      <c r="AG801" s="269"/>
      <c r="AH801" s="269"/>
      <c r="AI801" s="269"/>
      <c r="AJ801" s="269"/>
      <c r="AK801" s="269"/>
      <c r="AL801" s="269"/>
      <c r="AM801" s="269"/>
    </row>
    <row r="802" spans="1:39" ht="44.25" customHeight="1" x14ac:dyDescent="0.2">
      <c r="A802" s="277">
        <f>IF(B802="","",COUNT('Diário 5º PA'!$A$5:$A$2634)+COUNT('Diário 6º PA'!$A$5:$A$2246)+ROW()-4)</f>
        <v>3341</v>
      </c>
      <c r="B802" s="278">
        <v>44428</v>
      </c>
      <c r="C802" s="249">
        <v>44378</v>
      </c>
      <c r="D802" s="250" t="s">
        <v>88</v>
      </c>
      <c r="E802" s="250" t="s">
        <v>177</v>
      </c>
      <c r="F802" s="251">
        <v>39.4</v>
      </c>
      <c r="G802" s="452" t="s">
        <v>2068</v>
      </c>
      <c r="H802" s="250" t="s">
        <v>114</v>
      </c>
      <c r="I802" s="250" t="s">
        <v>488</v>
      </c>
      <c r="J802" s="250" t="s">
        <v>114</v>
      </c>
      <c r="K802" s="250" t="s">
        <v>466</v>
      </c>
      <c r="L802" s="250" t="s">
        <v>489</v>
      </c>
      <c r="M802" s="277" t="s">
        <v>114</v>
      </c>
      <c r="N802" s="278">
        <v>44408</v>
      </c>
      <c r="O802" s="329" t="s">
        <v>67</v>
      </c>
      <c r="P802" s="330">
        <f t="shared" si="55"/>
        <v>8</v>
      </c>
      <c r="Q802" s="330">
        <f t="shared" si="56"/>
        <v>7</v>
      </c>
      <c r="R802" s="331" t="str">
        <f t="shared" si="57"/>
        <v>Gastos_com_Pessoal</v>
      </c>
      <c r="S802" s="331" t="str">
        <f>IF(D802="","",IF(OR(D802=Plano!$A$1,D802=Plano!$B$1),"entrada","saída"))</f>
        <v>saída</v>
      </c>
      <c r="T802" s="332" t="s">
        <v>114</v>
      </c>
      <c r="U802" s="332" t="s">
        <v>114</v>
      </c>
      <c r="V802" s="269"/>
      <c r="W802" s="269"/>
      <c r="X802" s="269"/>
      <c r="Y802" s="269"/>
      <c r="Z802" s="269"/>
      <c r="AA802" s="269"/>
      <c r="AB802" s="269"/>
      <c r="AC802" s="269"/>
      <c r="AD802" s="269"/>
      <c r="AE802" s="269"/>
      <c r="AF802" s="269"/>
      <c r="AG802" s="269"/>
      <c r="AH802" s="269"/>
      <c r="AI802" s="269"/>
      <c r="AJ802" s="269"/>
      <c r="AK802" s="269"/>
      <c r="AL802" s="269"/>
      <c r="AM802" s="269"/>
    </row>
    <row r="803" spans="1:39" ht="33.75" customHeight="1" x14ac:dyDescent="0.2">
      <c r="A803" s="277">
        <f>IF(B803="","",COUNT('Diário 5º PA'!$A$5:$A$2634)+COUNT('Diário 6º PA'!$A$5:$A$2246)+ROW()-4)</f>
        <v>3342</v>
      </c>
      <c r="B803" s="278">
        <v>44428</v>
      </c>
      <c r="C803" s="249">
        <v>44348</v>
      </c>
      <c r="D803" s="250" t="s">
        <v>99</v>
      </c>
      <c r="E803" s="250" t="s">
        <v>266</v>
      </c>
      <c r="F803" s="251">
        <v>1316.7</v>
      </c>
      <c r="G803" s="452" t="s">
        <v>2069</v>
      </c>
      <c r="H803" s="250" t="s">
        <v>131</v>
      </c>
      <c r="I803" s="252" t="s">
        <v>530</v>
      </c>
      <c r="J803" s="250" t="s">
        <v>114</v>
      </c>
      <c r="K803" s="250" t="s">
        <v>466</v>
      </c>
      <c r="L803" s="250" t="s">
        <v>547</v>
      </c>
      <c r="M803" s="277" t="s">
        <v>114</v>
      </c>
      <c r="N803" s="278">
        <v>44408</v>
      </c>
      <c r="O803" s="329" t="s">
        <v>67</v>
      </c>
      <c r="P803" s="330">
        <f t="shared" si="55"/>
        <v>8</v>
      </c>
      <c r="Q803" s="330">
        <f t="shared" si="56"/>
        <v>6</v>
      </c>
      <c r="R803" s="331" t="str">
        <f t="shared" si="57"/>
        <v>Gastos_Gerais</v>
      </c>
      <c r="S803" s="331" t="str">
        <f>IF(D803="","",IF(OR(D803=Plano!$A$1,D803=Plano!$B$1),"entrada","saída"))</f>
        <v>saída</v>
      </c>
      <c r="T803" s="332" t="s">
        <v>114</v>
      </c>
      <c r="U803" s="332" t="s">
        <v>114</v>
      </c>
      <c r="V803" s="269"/>
      <c r="W803" s="269"/>
      <c r="X803" s="269"/>
      <c r="Y803" s="269"/>
      <c r="Z803" s="269"/>
      <c r="AA803" s="269"/>
      <c r="AB803" s="269"/>
      <c r="AC803" s="269"/>
      <c r="AD803" s="269"/>
      <c r="AE803" s="269"/>
      <c r="AF803" s="269"/>
      <c r="AG803" s="269"/>
      <c r="AH803" s="269"/>
      <c r="AI803" s="269"/>
      <c r="AJ803" s="269"/>
      <c r="AK803" s="269"/>
      <c r="AL803" s="269"/>
      <c r="AM803" s="269"/>
    </row>
    <row r="804" spans="1:39" ht="40.5" customHeight="1" x14ac:dyDescent="0.2">
      <c r="A804" s="277">
        <f>IF(B804="","",COUNT('Diário 5º PA'!$A$5:$A$2634)+COUNT('Diário 6º PA'!$A$5:$A$2246)+ROW()-4)</f>
        <v>3343</v>
      </c>
      <c r="B804" s="278">
        <v>44428</v>
      </c>
      <c r="C804" s="335">
        <v>44409</v>
      </c>
      <c r="D804" s="255" t="s">
        <v>99</v>
      </c>
      <c r="E804" s="255" t="s">
        <v>272</v>
      </c>
      <c r="F804" s="258">
        <v>10.45</v>
      </c>
      <c r="G804" s="450" t="s">
        <v>2070</v>
      </c>
      <c r="H804" s="250" t="s">
        <v>116</v>
      </c>
      <c r="I804" s="250" t="s">
        <v>949</v>
      </c>
      <c r="J804" s="255" t="s">
        <v>950</v>
      </c>
      <c r="K804" s="255" t="s">
        <v>951</v>
      </c>
      <c r="L804" s="250" t="s">
        <v>947</v>
      </c>
      <c r="M804" s="336" t="s">
        <v>114</v>
      </c>
      <c r="N804" s="278">
        <v>44428</v>
      </c>
      <c r="O804" s="329" t="s">
        <v>67</v>
      </c>
      <c r="P804" s="330">
        <f t="shared" si="55"/>
        <v>8</v>
      </c>
      <c r="Q804" s="330">
        <f t="shared" si="56"/>
        <v>8</v>
      </c>
      <c r="R804" s="331" t="str">
        <f t="shared" si="57"/>
        <v>Gastos_Gerais</v>
      </c>
      <c r="S804" s="331" t="str">
        <f>IF(D804="","",IF(OR(D804=Plano!$A$1,D804=Plano!$B$1),"entrada","saída"))</f>
        <v>saída</v>
      </c>
      <c r="T804" s="332" t="s">
        <v>114</v>
      </c>
      <c r="U804" s="332" t="s">
        <v>114</v>
      </c>
      <c r="V804" s="269"/>
      <c r="W804" s="269"/>
      <c r="X804" s="269"/>
      <c r="Y804" s="269"/>
      <c r="Z804" s="269"/>
      <c r="AA804" s="269"/>
      <c r="AB804" s="269"/>
      <c r="AC804" s="269"/>
      <c r="AD804" s="269"/>
      <c r="AE804" s="269"/>
      <c r="AF804" s="269"/>
      <c r="AG804" s="269"/>
      <c r="AH804" s="269"/>
      <c r="AI804" s="269"/>
      <c r="AJ804" s="269"/>
      <c r="AK804" s="269"/>
      <c r="AL804" s="269"/>
      <c r="AM804" s="269"/>
    </row>
    <row r="805" spans="1:39" ht="40.5" customHeight="1" x14ac:dyDescent="0.2">
      <c r="A805" s="277">
        <f>IF(B805="","",COUNT('Diário 5º PA'!$A$5:$A$2634)+COUNT('Diário 6º PA'!$A$5:$A$2246)+ROW()-4)</f>
        <v>3344</v>
      </c>
      <c r="B805" s="278">
        <v>44428</v>
      </c>
      <c r="C805" s="249">
        <v>44348</v>
      </c>
      <c r="D805" s="250" t="s">
        <v>104</v>
      </c>
      <c r="E805" s="250" t="s">
        <v>104</v>
      </c>
      <c r="F805" s="251">
        <v>775</v>
      </c>
      <c r="G805" s="452" t="s">
        <v>2071</v>
      </c>
      <c r="H805" s="250" t="s">
        <v>104</v>
      </c>
      <c r="I805" s="252" t="s">
        <v>530</v>
      </c>
      <c r="J805" s="250" t="s">
        <v>114</v>
      </c>
      <c r="K805" s="250" t="s">
        <v>466</v>
      </c>
      <c r="L805" s="250" t="s">
        <v>547</v>
      </c>
      <c r="M805" s="336" t="s">
        <v>114</v>
      </c>
      <c r="N805" s="278">
        <v>44408</v>
      </c>
      <c r="O805" s="329" t="s">
        <v>68</v>
      </c>
      <c r="P805" s="330">
        <f t="shared" si="55"/>
        <v>8</v>
      </c>
      <c r="Q805" s="330">
        <f t="shared" si="56"/>
        <v>6</v>
      </c>
      <c r="R805" s="331" t="str">
        <f t="shared" si="57"/>
        <v>Gastos_custeados_por_captação</v>
      </c>
      <c r="S805" s="331" t="str">
        <f>IF(D805="","",IF(OR(D805=Plano!$A$1,D805=Plano!$B$1),"entrada","saída"))</f>
        <v>saída</v>
      </c>
      <c r="T805" s="332" t="s">
        <v>114</v>
      </c>
      <c r="U805" s="332" t="s">
        <v>114</v>
      </c>
      <c r="V805" s="269"/>
      <c r="W805" s="269"/>
      <c r="X805" s="269"/>
      <c r="Y805" s="269"/>
      <c r="Z805" s="269"/>
      <c r="AA805" s="269"/>
      <c r="AB805" s="269"/>
      <c r="AC805" s="269"/>
      <c r="AD805" s="269"/>
      <c r="AE805" s="269"/>
      <c r="AF805" s="269"/>
      <c r="AG805" s="269"/>
      <c r="AH805" s="269"/>
      <c r="AI805" s="269"/>
      <c r="AJ805" s="269"/>
      <c r="AK805" s="269"/>
      <c r="AL805" s="269"/>
      <c r="AM805" s="269"/>
    </row>
    <row r="806" spans="1:39" ht="40.5" customHeight="1" x14ac:dyDescent="0.2">
      <c r="A806" s="277">
        <f>IF(B806="","",COUNT('Diário 5º PA'!$A$5:$A$2634)+COUNT('Diário 6º PA'!$A$5:$A$2246)+ROW()-4)</f>
        <v>3345</v>
      </c>
      <c r="B806" s="278">
        <v>44428</v>
      </c>
      <c r="C806" s="249">
        <v>44348</v>
      </c>
      <c r="D806" s="250" t="s">
        <v>104</v>
      </c>
      <c r="E806" s="250" t="s">
        <v>104</v>
      </c>
      <c r="F806" s="251">
        <v>775</v>
      </c>
      <c r="G806" s="452" t="s">
        <v>2072</v>
      </c>
      <c r="H806" s="250" t="s">
        <v>104</v>
      </c>
      <c r="I806" s="252" t="s">
        <v>530</v>
      </c>
      <c r="J806" s="250" t="s">
        <v>114</v>
      </c>
      <c r="K806" s="250" t="s">
        <v>466</v>
      </c>
      <c r="L806" s="250" t="s">
        <v>547</v>
      </c>
      <c r="M806" s="336" t="s">
        <v>114</v>
      </c>
      <c r="N806" s="278">
        <v>44408</v>
      </c>
      <c r="O806" s="329" t="s">
        <v>68</v>
      </c>
      <c r="P806" s="330">
        <f t="shared" si="55"/>
        <v>8</v>
      </c>
      <c r="Q806" s="330">
        <f t="shared" si="56"/>
        <v>6</v>
      </c>
      <c r="R806" s="331" t="str">
        <f t="shared" si="57"/>
        <v>Gastos_custeados_por_captação</v>
      </c>
      <c r="S806" s="331" t="str">
        <f>IF(D806="","",IF(OR(D806=Plano!$A$1,D806=Plano!$B$1),"entrada","saída"))</f>
        <v>saída</v>
      </c>
      <c r="T806" s="332" t="s">
        <v>114</v>
      </c>
      <c r="U806" s="332" t="s">
        <v>114</v>
      </c>
      <c r="V806" s="269"/>
      <c r="W806" s="269"/>
      <c r="X806" s="269"/>
      <c r="Y806" s="269"/>
      <c r="Z806" s="269"/>
      <c r="AA806" s="269"/>
      <c r="AB806" s="269"/>
      <c r="AC806" s="269"/>
      <c r="AD806" s="269"/>
      <c r="AE806" s="269"/>
      <c r="AF806" s="269"/>
      <c r="AG806" s="269"/>
      <c r="AH806" s="269"/>
      <c r="AI806" s="269"/>
      <c r="AJ806" s="269"/>
      <c r="AK806" s="269"/>
      <c r="AL806" s="269"/>
      <c r="AM806" s="269"/>
    </row>
    <row r="807" spans="1:39" ht="40.5" customHeight="1" x14ac:dyDescent="0.2">
      <c r="A807" s="277">
        <f>IF(B807="","",COUNT('Diário 5º PA'!$A$5:$A$2634)+COUNT('Diário 6º PA'!$A$5:$A$2246)+ROW()-4)</f>
        <v>3346</v>
      </c>
      <c r="B807" s="278">
        <v>44428</v>
      </c>
      <c r="C807" s="249">
        <v>44348</v>
      </c>
      <c r="D807" s="250" t="s">
        <v>104</v>
      </c>
      <c r="E807" s="250" t="s">
        <v>104</v>
      </c>
      <c r="F807" s="251">
        <v>24.08</v>
      </c>
      <c r="G807" s="452" t="s">
        <v>2073</v>
      </c>
      <c r="H807" s="250" t="s">
        <v>104</v>
      </c>
      <c r="I807" s="252" t="s">
        <v>488</v>
      </c>
      <c r="J807" s="250" t="s">
        <v>114</v>
      </c>
      <c r="K807" s="250" t="s">
        <v>466</v>
      </c>
      <c r="L807" s="250" t="s">
        <v>489</v>
      </c>
      <c r="M807" s="336" t="s">
        <v>114</v>
      </c>
      <c r="N807" s="278">
        <v>44408</v>
      </c>
      <c r="O807" s="329" t="s">
        <v>68</v>
      </c>
      <c r="P807" s="330">
        <f t="shared" si="55"/>
        <v>8</v>
      </c>
      <c r="Q807" s="330">
        <f t="shared" si="56"/>
        <v>6</v>
      </c>
      <c r="R807" s="331" t="str">
        <f t="shared" si="57"/>
        <v>Gastos_custeados_por_captação</v>
      </c>
      <c r="S807" s="331" t="str">
        <f>IF(D807="","",IF(OR(D807=Plano!$A$1,D807=Plano!$B$1),"entrada","saída"))</f>
        <v>saída</v>
      </c>
      <c r="T807" s="332" t="s">
        <v>114</v>
      </c>
      <c r="U807" s="332" t="s">
        <v>114</v>
      </c>
      <c r="V807" s="269"/>
      <c r="W807" s="269"/>
      <c r="X807" s="269"/>
      <c r="Y807" s="269"/>
      <c r="Z807" s="269"/>
      <c r="AA807" s="269"/>
      <c r="AB807" s="269"/>
      <c r="AC807" s="269"/>
      <c r="AD807" s="269"/>
      <c r="AE807" s="269"/>
      <c r="AF807" s="269"/>
      <c r="AG807" s="269"/>
      <c r="AH807" s="269"/>
      <c r="AI807" s="269"/>
      <c r="AJ807" s="269"/>
      <c r="AK807" s="269"/>
      <c r="AL807" s="269"/>
      <c r="AM807" s="269"/>
    </row>
    <row r="808" spans="1:39" ht="40.5" customHeight="1" x14ac:dyDescent="0.2">
      <c r="A808" s="277">
        <f>IF(B808="","",COUNT('Diário 5º PA'!$A$5:$A$2634)+COUNT('Diário 6º PA'!$A$5:$A$2246)+ROW()-4)</f>
        <v>3347</v>
      </c>
      <c r="B808" s="278">
        <v>44428</v>
      </c>
      <c r="C808" s="249">
        <v>44348</v>
      </c>
      <c r="D808" s="250" t="s">
        <v>104</v>
      </c>
      <c r="E808" s="250" t="s">
        <v>104</v>
      </c>
      <c r="F808" s="251">
        <v>24.08</v>
      </c>
      <c r="G808" s="452" t="s">
        <v>2074</v>
      </c>
      <c r="H808" s="250" t="s">
        <v>104</v>
      </c>
      <c r="I808" s="252" t="s">
        <v>488</v>
      </c>
      <c r="J808" s="250" t="s">
        <v>114</v>
      </c>
      <c r="K808" s="250" t="s">
        <v>466</v>
      </c>
      <c r="L808" s="250" t="s">
        <v>489</v>
      </c>
      <c r="M808" s="336" t="s">
        <v>114</v>
      </c>
      <c r="N808" s="278">
        <v>44408</v>
      </c>
      <c r="O808" s="329" t="s">
        <v>68</v>
      </c>
      <c r="P808" s="330">
        <f t="shared" si="55"/>
        <v>8</v>
      </c>
      <c r="Q808" s="330">
        <f t="shared" si="56"/>
        <v>6</v>
      </c>
      <c r="R808" s="331" t="str">
        <f t="shared" si="57"/>
        <v>Gastos_custeados_por_captação</v>
      </c>
      <c r="S808" s="331" t="str">
        <f>IF(D808="","",IF(OR(D808=Plano!$A$1,D808=Plano!$B$1),"entrada","saída"))</f>
        <v>saída</v>
      </c>
      <c r="T808" s="332" t="s">
        <v>114</v>
      </c>
      <c r="U808" s="332" t="s">
        <v>114</v>
      </c>
      <c r="V808" s="269"/>
      <c r="W808" s="269"/>
      <c r="X808" s="269"/>
      <c r="Y808" s="269"/>
      <c r="Z808" s="269"/>
      <c r="AA808" s="269"/>
      <c r="AB808" s="269"/>
      <c r="AC808" s="269"/>
      <c r="AD808" s="269"/>
      <c r="AE808" s="269"/>
      <c r="AF808" s="269"/>
      <c r="AG808" s="269"/>
      <c r="AH808" s="269"/>
      <c r="AI808" s="269"/>
      <c r="AJ808" s="269"/>
      <c r="AK808" s="269"/>
      <c r="AL808" s="269"/>
      <c r="AM808" s="269"/>
    </row>
    <row r="809" spans="1:39" ht="87" customHeight="1" x14ac:dyDescent="0.2">
      <c r="A809" s="277">
        <f>IF(B809="","",COUNT('Diário 5º PA'!$A$5:$A$2634)+COUNT('Diário 6º PA'!$A$5:$A$2246)+ROW()-4)</f>
        <v>3348</v>
      </c>
      <c r="B809" s="278">
        <v>44428</v>
      </c>
      <c r="C809" s="249">
        <v>44378</v>
      </c>
      <c r="D809" s="250" t="s">
        <v>104</v>
      </c>
      <c r="E809" s="250" t="s">
        <v>104</v>
      </c>
      <c r="F809" s="251">
        <v>1998.6</v>
      </c>
      <c r="G809" s="452" t="s">
        <v>1899</v>
      </c>
      <c r="H809" s="250" t="s">
        <v>104</v>
      </c>
      <c r="I809" s="252" t="s">
        <v>2075</v>
      </c>
      <c r="J809" s="250" t="s">
        <v>830</v>
      </c>
      <c r="K809" s="250" t="s">
        <v>1015</v>
      </c>
      <c r="L809" s="250" t="s">
        <v>1029</v>
      </c>
      <c r="M809" s="336">
        <v>1283</v>
      </c>
      <c r="N809" s="278">
        <v>44427</v>
      </c>
      <c r="O809" s="329" t="s">
        <v>69</v>
      </c>
      <c r="P809" s="330">
        <f t="shared" si="55"/>
        <v>8</v>
      </c>
      <c r="Q809" s="330">
        <f t="shared" si="56"/>
        <v>7</v>
      </c>
      <c r="R809" s="331" t="str">
        <f t="shared" si="57"/>
        <v>Gastos_custeados_por_captação</v>
      </c>
      <c r="S809" s="331" t="str">
        <f>IF(D809="","",IF(OR(D809=Plano!$A$1,D809=Plano!$B$1),"entrada","saída"))</f>
        <v>saída</v>
      </c>
      <c r="T809" s="332" t="s">
        <v>1082</v>
      </c>
      <c r="U809" s="332">
        <v>1784</v>
      </c>
      <c r="V809" s="269"/>
      <c r="W809" s="269"/>
      <c r="X809" s="269"/>
      <c r="Y809" s="269"/>
      <c r="Z809" s="269"/>
      <c r="AA809" s="269"/>
      <c r="AB809" s="269"/>
      <c r="AC809" s="269"/>
      <c r="AD809" s="269"/>
      <c r="AE809" s="269"/>
      <c r="AF809" s="269"/>
      <c r="AG809" s="269"/>
      <c r="AH809" s="269"/>
      <c r="AI809" s="269"/>
      <c r="AJ809" s="269"/>
      <c r="AK809" s="269"/>
      <c r="AL809" s="269"/>
      <c r="AM809" s="269"/>
    </row>
    <row r="810" spans="1:39" ht="62.25" customHeight="1" x14ac:dyDescent="0.2">
      <c r="A810" s="277">
        <f>IF(B810="","",COUNT('Diário 5º PA'!$A$5:$A$2634)+COUNT('Diário 6º PA'!$A$5:$A$2246)+ROW()-4)</f>
        <v>3349</v>
      </c>
      <c r="B810" s="278">
        <v>44428</v>
      </c>
      <c r="C810" s="249">
        <v>44348</v>
      </c>
      <c r="D810" s="250" t="s">
        <v>104</v>
      </c>
      <c r="E810" s="250" t="s">
        <v>104</v>
      </c>
      <c r="F810" s="251">
        <v>775</v>
      </c>
      <c r="G810" s="452" t="s">
        <v>2076</v>
      </c>
      <c r="H810" s="250" t="s">
        <v>104</v>
      </c>
      <c r="I810" s="252" t="s">
        <v>530</v>
      </c>
      <c r="J810" s="250" t="s">
        <v>114</v>
      </c>
      <c r="K810" s="250" t="s">
        <v>466</v>
      </c>
      <c r="L810" s="250" t="s">
        <v>547</v>
      </c>
      <c r="M810" s="336" t="s">
        <v>114</v>
      </c>
      <c r="N810" s="278">
        <v>44408</v>
      </c>
      <c r="O810" s="329" t="s">
        <v>69</v>
      </c>
      <c r="P810" s="330">
        <f t="shared" si="55"/>
        <v>8</v>
      </c>
      <c r="Q810" s="330">
        <f t="shared" si="56"/>
        <v>6</v>
      </c>
      <c r="R810" s="331" t="str">
        <f t="shared" si="57"/>
        <v>Gastos_custeados_por_captação</v>
      </c>
      <c r="S810" s="331" t="str">
        <f>IF(D810="","",IF(OR(D810=Plano!$A$1,D810=Plano!$B$1),"entrada","saída"))</f>
        <v>saída</v>
      </c>
      <c r="T810" s="332" t="s">
        <v>114</v>
      </c>
      <c r="U810" s="332" t="s">
        <v>114</v>
      </c>
      <c r="V810" s="269"/>
      <c r="W810" s="269"/>
      <c r="X810" s="269"/>
      <c r="Y810" s="269"/>
      <c r="Z810" s="269"/>
      <c r="AA810" s="269"/>
      <c r="AB810" s="269"/>
      <c r="AC810" s="269"/>
      <c r="AD810" s="269"/>
      <c r="AE810" s="269"/>
      <c r="AF810" s="269"/>
      <c r="AG810" s="269"/>
      <c r="AH810" s="269"/>
      <c r="AI810" s="269"/>
      <c r="AJ810" s="269"/>
      <c r="AK810" s="269"/>
      <c r="AL810" s="269"/>
      <c r="AM810" s="269"/>
    </row>
    <row r="811" spans="1:39" ht="55.5" customHeight="1" x14ac:dyDescent="0.2">
      <c r="A811" s="277">
        <f>IF(B811="","",COUNT('Diário 5º PA'!$A$5:$A$2634)+COUNT('Diário 6º PA'!$A$5:$A$2246)+ROW()-4)</f>
        <v>3350</v>
      </c>
      <c r="B811" s="278">
        <v>44428</v>
      </c>
      <c r="C811" s="249">
        <v>44348</v>
      </c>
      <c r="D811" s="250" t="s">
        <v>104</v>
      </c>
      <c r="E811" s="250" t="s">
        <v>104</v>
      </c>
      <c r="F811" s="251">
        <v>24.08</v>
      </c>
      <c r="G811" s="452" t="s">
        <v>2077</v>
      </c>
      <c r="H811" s="250" t="s">
        <v>104</v>
      </c>
      <c r="I811" s="250" t="s">
        <v>488</v>
      </c>
      <c r="J811" s="250" t="s">
        <v>114</v>
      </c>
      <c r="K811" s="250" t="s">
        <v>466</v>
      </c>
      <c r="L811" s="250" t="s">
        <v>489</v>
      </c>
      <c r="M811" s="336" t="s">
        <v>114</v>
      </c>
      <c r="N811" s="278">
        <v>44408</v>
      </c>
      <c r="O811" s="329" t="s">
        <v>69</v>
      </c>
      <c r="P811" s="330">
        <f t="shared" si="55"/>
        <v>8</v>
      </c>
      <c r="Q811" s="330">
        <f t="shared" si="56"/>
        <v>6</v>
      </c>
      <c r="R811" s="331" t="str">
        <f t="shared" si="57"/>
        <v>Gastos_custeados_por_captação</v>
      </c>
      <c r="S811" s="331" t="str">
        <f>IF(D811="","",IF(OR(D811=Plano!$A$1,D811=Plano!$B$1),"entrada","saída"))</f>
        <v>saída</v>
      </c>
      <c r="T811" s="332" t="s">
        <v>114</v>
      </c>
      <c r="U811" s="332" t="s">
        <v>114</v>
      </c>
      <c r="V811" s="269"/>
      <c r="W811" s="269"/>
      <c r="X811" s="269"/>
      <c r="Y811" s="269"/>
      <c r="Z811" s="269"/>
      <c r="AA811" s="269"/>
      <c r="AB811" s="269"/>
      <c r="AC811" s="269"/>
      <c r="AD811" s="269"/>
      <c r="AE811" s="269"/>
      <c r="AF811" s="269"/>
      <c r="AG811" s="269"/>
      <c r="AH811" s="269"/>
      <c r="AI811" s="269"/>
      <c r="AJ811" s="269"/>
      <c r="AK811" s="269"/>
      <c r="AL811" s="269"/>
      <c r="AM811" s="269"/>
    </row>
    <row r="812" spans="1:39" ht="55.5" customHeight="1" x14ac:dyDescent="0.2">
      <c r="A812" s="277">
        <f>IF(B812="","",COUNT('Diário 5º PA'!$A$5:$A$2634)+COUNT('Diário 6º PA'!$A$5:$A$2246)+ROW()-4)</f>
        <v>3351</v>
      </c>
      <c r="B812" s="278">
        <v>44428</v>
      </c>
      <c r="C812" s="249">
        <v>44348</v>
      </c>
      <c r="D812" s="250" t="s">
        <v>104</v>
      </c>
      <c r="E812" s="250" t="s">
        <v>104</v>
      </c>
      <c r="F812" s="251">
        <v>775</v>
      </c>
      <c r="G812" s="452" t="s">
        <v>2078</v>
      </c>
      <c r="H812" s="250" t="s">
        <v>104</v>
      </c>
      <c r="I812" s="252" t="s">
        <v>488</v>
      </c>
      <c r="J812" s="250" t="s">
        <v>114</v>
      </c>
      <c r="K812" s="250" t="s">
        <v>466</v>
      </c>
      <c r="L812" s="250" t="s">
        <v>547</v>
      </c>
      <c r="M812" s="336" t="s">
        <v>114</v>
      </c>
      <c r="N812" s="278">
        <v>44408</v>
      </c>
      <c r="O812" s="329" t="s">
        <v>70</v>
      </c>
      <c r="P812" s="330">
        <f t="shared" si="55"/>
        <v>8</v>
      </c>
      <c r="Q812" s="330">
        <f t="shared" si="56"/>
        <v>6</v>
      </c>
      <c r="R812" s="331" t="str">
        <f t="shared" si="57"/>
        <v>Gastos_custeados_por_captação</v>
      </c>
      <c r="S812" s="331" t="str">
        <f>IF(D812="","",IF(OR(D812=Plano!$A$1,D812=Plano!$B$1),"entrada","saída"))</f>
        <v>saída</v>
      </c>
      <c r="T812" s="332" t="s">
        <v>114</v>
      </c>
      <c r="U812" s="332" t="s">
        <v>114</v>
      </c>
      <c r="V812" s="269"/>
      <c r="W812" s="269"/>
      <c r="X812" s="269"/>
      <c r="Y812" s="269"/>
      <c r="Z812" s="269"/>
      <c r="AA812" s="269"/>
      <c r="AB812" s="269"/>
      <c r="AC812" s="269"/>
      <c r="AD812" s="269"/>
      <c r="AE812" s="269"/>
      <c r="AF812" s="269"/>
      <c r="AG812" s="269"/>
      <c r="AH812" s="269"/>
      <c r="AI812" s="269"/>
      <c r="AJ812" s="269"/>
      <c r="AK812" s="269"/>
      <c r="AL812" s="269"/>
      <c r="AM812" s="269"/>
    </row>
    <row r="813" spans="1:39" ht="55.5" customHeight="1" x14ac:dyDescent="0.2">
      <c r="A813" s="277">
        <f>IF(B813="","",COUNT('Diário 5º PA'!$A$5:$A$2634)+COUNT('Diário 6º PA'!$A$5:$A$2246)+ROW()-4)</f>
        <v>3352</v>
      </c>
      <c r="B813" s="278">
        <v>44428</v>
      </c>
      <c r="C813" s="249">
        <v>44348</v>
      </c>
      <c r="D813" s="250" t="s">
        <v>104</v>
      </c>
      <c r="E813" s="250" t="s">
        <v>104</v>
      </c>
      <c r="F813" s="251">
        <v>124</v>
      </c>
      <c r="G813" s="452" t="s">
        <v>2079</v>
      </c>
      <c r="H813" s="250" t="s">
        <v>104</v>
      </c>
      <c r="I813" s="250" t="s">
        <v>530</v>
      </c>
      <c r="J813" s="250" t="s">
        <v>114</v>
      </c>
      <c r="K813" s="250" t="s">
        <v>466</v>
      </c>
      <c r="L813" s="250" t="s">
        <v>547</v>
      </c>
      <c r="M813" s="336" t="s">
        <v>114</v>
      </c>
      <c r="N813" s="278">
        <v>44408</v>
      </c>
      <c r="O813" s="329" t="s">
        <v>70</v>
      </c>
      <c r="P813" s="330">
        <f t="shared" si="55"/>
        <v>8</v>
      </c>
      <c r="Q813" s="330">
        <f t="shared" si="56"/>
        <v>6</v>
      </c>
      <c r="R813" s="331" t="str">
        <f t="shared" si="57"/>
        <v>Gastos_custeados_por_captação</v>
      </c>
      <c r="S813" s="331" t="str">
        <f>IF(D813="","",IF(OR(D813=Plano!$A$1,D813=Plano!$B$1),"entrada","saída"))</f>
        <v>saída</v>
      </c>
      <c r="T813" s="332" t="s">
        <v>114</v>
      </c>
      <c r="U813" s="332" t="s">
        <v>114</v>
      </c>
      <c r="V813" s="269"/>
      <c r="W813" s="269"/>
      <c r="X813" s="269"/>
      <c r="Y813" s="269"/>
      <c r="Z813" s="269"/>
      <c r="AA813" s="269"/>
      <c r="AB813" s="269"/>
      <c r="AC813" s="269"/>
      <c r="AD813" s="269"/>
      <c r="AE813" s="269"/>
      <c r="AF813" s="269"/>
      <c r="AG813" s="269"/>
      <c r="AH813" s="269"/>
      <c r="AI813" s="269"/>
      <c r="AJ813" s="269"/>
      <c r="AK813" s="269"/>
      <c r="AL813" s="269"/>
      <c r="AM813" s="269"/>
    </row>
    <row r="814" spans="1:39" ht="55.5" customHeight="1" x14ac:dyDescent="0.2">
      <c r="A814" s="277">
        <f>IF(B814="","",COUNT('Diário 5º PA'!$A$5:$A$2634)+COUNT('Diário 6º PA'!$A$5:$A$2246)+ROW()-4)</f>
        <v>3353</v>
      </c>
      <c r="B814" s="278">
        <v>44428</v>
      </c>
      <c r="C814" s="249">
        <v>44378</v>
      </c>
      <c r="D814" s="250" t="s">
        <v>104</v>
      </c>
      <c r="E814" s="250" t="s">
        <v>104</v>
      </c>
      <c r="F814" s="251">
        <v>124</v>
      </c>
      <c r="G814" s="452" t="s">
        <v>2080</v>
      </c>
      <c r="H814" s="250" t="s">
        <v>104</v>
      </c>
      <c r="I814" s="250" t="s">
        <v>530</v>
      </c>
      <c r="J814" s="250" t="s">
        <v>114</v>
      </c>
      <c r="K814" s="250" t="s">
        <v>466</v>
      </c>
      <c r="L814" s="250" t="s">
        <v>547</v>
      </c>
      <c r="M814" s="336" t="s">
        <v>114</v>
      </c>
      <c r="N814" s="278">
        <v>44408</v>
      </c>
      <c r="O814" s="329" t="s">
        <v>70</v>
      </c>
      <c r="P814" s="330">
        <f t="shared" si="55"/>
        <v>8</v>
      </c>
      <c r="Q814" s="330">
        <f t="shared" si="56"/>
        <v>7</v>
      </c>
      <c r="R814" s="331" t="str">
        <f t="shared" si="57"/>
        <v>Gastos_custeados_por_captação</v>
      </c>
      <c r="S814" s="331" t="str">
        <f>IF(D814="","",IF(OR(D814=Plano!$A$1,D814=Plano!$B$1),"entrada","saída"))</f>
        <v>saída</v>
      </c>
      <c r="T814" s="332" t="s">
        <v>114</v>
      </c>
      <c r="U814" s="332" t="s">
        <v>114</v>
      </c>
      <c r="V814" s="269"/>
      <c r="W814" s="269"/>
      <c r="X814" s="269"/>
      <c r="Y814" s="269"/>
      <c r="Z814" s="269"/>
      <c r="AA814" s="269"/>
      <c r="AB814" s="269"/>
      <c r="AC814" s="269"/>
      <c r="AD814" s="269"/>
      <c r="AE814" s="269"/>
      <c r="AF814" s="269"/>
      <c r="AG814" s="269"/>
      <c r="AH814" s="269"/>
      <c r="AI814" s="269"/>
      <c r="AJ814" s="269"/>
      <c r="AK814" s="269"/>
      <c r="AL814" s="269"/>
      <c r="AM814" s="269"/>
    </row>
    <row r="815" spans="1:39" ht="55.5" customHeight="1" x14ac:dyDescent="0.2">
      <c r="A815" s="277">
        <f>IF(B815="","",COUNT('Diário 5º PA'!$A$5:$A$2634)+COUNT('Diário 6º PA'!$A$5:$A$2246)+ROW()-4)</f>
        <v>3354</v>
      </c>
      <c r="B815" s="278">
        <v>44428</v>
      </c>
      <c r="C815" s="249">
        <v>44348</v>
      </c>
      <c r="D815" s="250" t="s">
        <v>104</v>
      </c>
      <c r="E815" s="250" t="s">
        <v>104</v>
      </c>
      <c r="F815" s="251">
        <v>24.08</v>
      </c>
      <c r="G815" s="452" t="s">
        <v>2081</v>
      </c>
      <c r="H815" s="250" t="s">
        <v>104</v>
      </c>
      <c r="I815" s="252" t="s">
        <v>488</v>
      </c>
      <c r="J815" s="250" t="s">
        <v>114</v>
      </c>
      <c r="K815" s="250" t="s">
        <v>466</v>
      </c>
      <c r="L815" s="250" t="s">
        <v>547</v>
      </c>
      <c r="M815" s="336" t="s">
        <v>114</v>
      </c>
      <c r="N815" s="278">
        <v>44408</v>
      </c>
      <c r="O815" s="329" t="s">
        <v>70</v>
      </c>
      <c r="P815" s="330">
        <f t="shared" si="55"/>
        <v>8</v>
      </c>
      <c r="Q815" s="330">
        <f t="shared" si="56"/>
        <v>6</v>
      </c>
      <c r="R815" s="331" t="str">
        <f t="shared" si="57"/>
        <v>Gastos_custeados_por_captação</v>
      </c>
      <c r="S815" s="331" t="str">
        <f>IF(D815="","",IF(OR(D815=Plano!$A$1,D815=Plano!$B$1),"entrada","saída"))</f>
        <v>saída</v>
      </c>
      <c r="T815" s="332" t="s">
        <v>114</v>
      </c>
      <c r="U815" s="332" t="s">
        <v>114</v>
      </c>
      <c r="V815" s="269"/>
      <c r="W815" s="269"/>
      <c r="X815" s="269"/>
      <c r="Y815" s="269"/>
      <c r="Z815" s="269"/>
      <c r="AA815" s="269"/>
      <c r="AB815" s="269"/>
      <c r="AC815" s="269"/>
      <c r="AD815" s="269"/>
      <c r="AE815" s="269"/>
      <c r="AF815" s="269"/>
      <c r="AG815" s="269"/>
      <c r="AH815" s="269"/>
      <c r="AI815" s="269"/>
      <c r="AJ815" s="269"/>
      <c r="AK815" s="269"/>
      <c r="AL815" s="269"/>
      <c r="AM815" s="269"/>
    </row>
    <row r="816" spans="1:39" ht="125.25" customHeight="1" x14ac:dyDescent="0.2">
      <c r="A816" s="277">
        <f>IF(B816="","",COUNT('Diário 5º PA'!$A$5:$A$2634)+COUNT('Diário 6º PA'!$A$5:$A$2246)+ROW()-4)</f>
        <v>3355</v>
      </c>
      <c r="B816" s="278">
        <v>44428</v>
      </c>
      <c r="C816" s="249">
        <v>44378</v>
      </c>
      <c r="D816" s="250" t="s">
        <v>104</v>
      </c>
      <c r="E816" s="250" t="s">
        <v>104</v>
      </c>
      <c r="F816" s="251">
        <v>400</v>
      </c>
      <c r="G816" s="452" t="s">
        <v>2082</v>
      </c>
      <c r="H816" s="250" t="s">
        <v>104</v>
      </c>
      <c r="I816" s="252" t="s">
        <v>2083</v>
      </c>
      <c r="J816" s="250" t="s">
        <v>2084</v>
      </c>
      <c r="K816" s="250" t="s">
        <v>1015</v>
      </c>
      <c r="L816" s="250" t="s">
        <v>992</v>
      </c>
      <c r="M816" s="277" t="s">
        <v>1294</v>
      </c>
      <c r="N816" s="278">
        <v>44427</v>
      </c>
      <c r="O816" s="329" t="s">
        <v>70</v>
      </c>
      <c r="P816" s="330">
        <f t="shared" si="55"/>
        <v>8</v>
      </c>
      <c r="Q816" s="330">
        <f t="shared" si="56"/>
        <v>7</v>
      </c>
      <c r="R816" s="331" t="str">
        <f t="shared" si="57"/>
        <v>Gastos_custeados_por_captação</v>
      </c>
      <c r="S816" s="331" t="str">
        <f>IF(D816="","",IF(OR(D816=Plano!$A$1,D816=Plano!$B$1),"entrada","saída"))</f>
        <v>saída</v>
      </c>
      <c r="T816" s="332" t="s">
        <v>114</v>
      </c>
      <c r="U816" s="332" t="s">
        <v>114</v>
      </c>
      <c r="V816" s="269"/>
      <c r="W816" s="269"/>
      <c r="X816" s="269"/>
      <c r="Y816" s="269"/>
      <c r="Z816" s="269"/>
      <c r="AA816" s="269"/>
      <c r="AB816" s="269"/>
      <c r="AC816" s="269"/>
      <c r="AD816" s="269"/>
      <c r="AE816" s="269"/>
      <c r="AF816" s="269"/>
      <c r="AG816" s="269"/>
      <c r="AH816" s="269"/>
      <c r="AI816" s="269"/>
      <c r="AJ816" s="269"/>
      <c r="AK816" s="269"/>
      <c r="AL816" s="269"/>
      <c r="AM816" s="269"/>
    </row>
    <row r="817" spans="1:39" s="478" customFormat="1" ht="67.5" customHeight="1" x14ac:dyDescent="0.2">
      <c r="A817" s="277">
        <f>IF(B817="","",COUNT('Diário 5º PA'!$A$5:$A$2634)+COUNT('Diário 6º PA'!$A$5:$A$2246)+ROW()-4)</f>
        <v>3356</v>
      </c>
      <c r="B817" s="278">
        <v>44428</v>
      </c>
      <c r="C817" s="249">
        <v>44409</v>
      </c>
      <c r="D817" s="250" t="s">
        <v>104</v>
      </c>
      <c r="E817" s="250" t="s">
        <v>104</v>
      </c>
      <c r="F817" s="251">
        <v>2819.8</v>
      </c>
      <c r="G817" s="452" t="s">
        <v>5440</v>
      </c>
      <c r="H817" s="250" t="s">
        <v>104</v>
      </c>
      <c r="I817" s="252" t="s">
        <v>4626</v>
      </c>
      <c r="J817" s="250" t="s">
        <v>4627</v>
      </c>
      <c r="K817" s="250" t="s">
        <v>1015</v>
      </c>
      <c r="L817" s="250" t="s">
        <v>1177</v>
      </c>
      <c r="M817" s="277" t="s">
        <v>114</v>
      </c>
      <c r="N817" s="278">
        <v>44428</v>
      </c>
      <c r="O817" s="329" t="s">
        <v>5377</v>
      </c>
      <c r="P817" s="330">
        <f t="shared" ref="P817:P818" si="58">IF(B817=0,0,IF(YEAR(B817)=$Q$1,MONTH(B817)-$P$1+1,(YEAR(B817)-$Q$1)*12-$P$1+1+MONTH(B817)))</f>
        <v>8</v>
      </c>
      <c r="Q817" s="330">
        <f t="shared" ref="Q817:Q818" si="59">IF(C817=0,0,IF(YEAR(C817)=$Q$1,MONTH(C817)-$P$1+1,(YEAR(C817)-$Q$1)*12-$P$1+1+MONTH(C817)))</f>
        <v>8</v>
      </c>
      <c r="R817" s="331" t="str">
        <f t="shared" ref="R817:R818" si="60">SUBSTITUTE(D817," ","_")</f>
        <v>Gastos_custeados_por_captação</v>
      </c>
      <c r="S817" s="331" t="str">
        <f>IF(D817="","",IF(OR(D817=Plano!$A$1,D817=Plano!$B$1),"entrada","saída"))</f>
        <v>saída</v>
      </c>
      <c r="T817" s="332" t="s">
        <v>994</v>
      </c>
      <c r="U817" s="332">
        <v>1556</v>
      </c>
      <c r="V817" s="439"/>
      <c r="W817" s="439"/>
      <c r="X817" s="439"/>
      <c r="Y817" s="439"/>
      <c r="Z817" s="439"/>
      <c r="AA817" s="439"/>
      <c r="AB817" s="439"/>
      <c r="AC817" s="439"/>
      <c r="AD817" s="439"/>
      <c r="AE817" s="439"/>
      <c r="AF817" s="439"/>
      <c r="AG817" s="439"/>
      <c r="AH817" s="439"/>
      <c r="AI817" s="439"/>
      <c r="AJ817" s="439"/>
      <c r="AK817" s="439"/>
      <c r="AL817" s="439"/>
      <c r="AM817" s="439"/>
    </row>
    <row r="818" spans="1:39" s="478" customFormat="1" ht="50.25" customHeight="1" x14ac:dyDescent="0.2">
      <c r="A818" s="277">
        <f>IF(B818="","",COUNT('Diário 5º PA'!$A$5:$A$2634)+COUNT('Diário 6º PA'!$A$5:$A$2246)+ROW()-4)</f>
        <v>3357</v>
      </c>
      <c r="B818" s="278">
        <v>44428</v>
      </c>
      <c r="C818" s="249">
        <v>44409</v>
      </c>
      <c r="D818" s="250" t="s">
        <v>104</v>
      </c>
      <c r="E818" s="250" t="s">
        <v>104</v>
      </c>
      <c r="F818" s="251">
        <v>10.45</v>
      </c>
      <c r="G818" s="450" t="s">
        <v>5413</v>
      </c>
      <c r="H818" s="250" t="s">
        <v>104</v>
      </c>
      <c r="I818" s="250" t="s">
        <v>949</v>
      </c>
      <c r="J818" s="255" t="s">
        <v>950</v>
      </c>
      <c r="K818" s="255" t="s">
        <v>951</v>
      </c>
      <c r="L818" s="250" t="s">
        <v>947</v>
      </c>
      <c r="M818" s="336" t="s">
        <v>114</v>
      </c>
      <c r="N818" s="278">
        <v>44428</v>
      </c>
      <c r="O818" s="329" t="s">
        <v>5377</v>
      </c>
      <c r="P818" s="330">
        <f t="shared" si="58"/>
        <v>8</v>
      </c>
      <c r="Q818" s="330">
        <f t="shared" si="59"/>
        <v>8</v>
      </c>
      <c r="R818" s="331" t="str">
        <f t="shared" si="60"/>
        <v>Gastos_custeados_por_captação</v>
      </c>
      <c r="S818" s="331" t="str">
        <f>IF(D818="","",IF(OR(D818=Plano!$A$1,D818=Plano!$B$1),"entrada","saída"))</f>
        <v>saída</v>
      </c>
      <c r="T818" s="332" t="s">
        <v>114</v>
      </c>
      <c r="U818" s="332" t="s">
        <v>114</v>
      </c>
      <c r="V818" s="439"/>
      <c r="W818" s="439"/>
      <c r="X818" s="439"/>
      <c r="Y818" s="439"/>
      <c r="Z818" s="439"/>
      <c r="AA818" s="439"/>
      <c r="AB818" s="439"/>
      <c r="AC818" s="439"/>
      <c r="AD818" s="439"/>
      <c r="AE818" s="439"/>
      <c r="AF818" s="439"/>
      <c r="AG818" s="439"/>
      <c r="AH818" s="439"/>
      <c r="AI818" s="439"/>
      <c r="AJ818" s="439"/>
      <c r="AK818" s="439"/>
      <c r="AL818" s="439"/>
      <c r="AM818" s="439"/>
    </row>
    <row r="819" spans="1:39" ht="132.75" customHeight="1" x14ac:dyDescent="0.2">
      <c r="A819" s="277">
        <f>IF(B819="","",COUNT('Diário 5º PA'!$A$5:$A$2634)+COUNT('Diário 6º PA'!$A$5:$A$2246)+ROW()-4)</f>
        <v>3358</v>
      </c>
      <c r="B819" s="278">
        <v>44431</v>
      </c>
      <c r="C819" s="249">
        <v>44348</v>
      </c>
      <c r="D819" s="250" t="s">
        <v>99</v>
      </c>
      <c r="E819" s="250" t="s">
        <v>358</v>
      </c>
      <c r="F819" s="251">
        <v>860</v>
      </c>
      <c r="G819" s="452" t="s">
        <v>2085</v>
      </c>
      <c r="H819" s="250" t="s">
        <v>127</v>
      </c>
      <c r="I819" s="250" t="s">
        <v>2086</v>
      </c>
      <c r="J819" s="250" t="s">
        <v>2087</v>
      </c>
      <c r="K819" s="255" t="s">
        <v>1015</v>
      </c>
      <c r="L819" s="250" t="s">
        <v>992</v>
      </c>
      <c r="M819" s="277">
        <v>1274</v>
      </c>
      <c r="N819" s="278">
        <v>44414</v>
      </c>
      <c r="O819" s="329" t="s">
        <v>67</v>
      </c>
      <c r="P819" s="330">
        <f t="shared" si="55"/>
        <v>8</v>
      </c>
      <c r="Q819" s="330">
        <f t="shared" si="56"/>
        <v>6</v>
      </c>
      <c r="R819" s="331" t="str">
        <f t="shared" si="57"/>
        <v>Gastos_Gerais</v>
      </c>
      <c r="S819" s="331" t="str">
        <f>IF(D819="","",IF(OR(D819=Plano!$A$1,D819=Plano!$B$1),"entrada","saída"))</f>
        <v>saída</v>
      </c>
      <c r="T819" s="334" t="s">
        <v>994</v>
      </c>
      <c r="U819" s="334">
        <v>1677</v>
      </c>
      <c r="V819" s="269"/>
      <c r="W819" s="269"/>
      <c r="X819" s="269"/>
      <c r="Y819" s="269"/>
      <c r="Z819" s="269"/>
      <c r="AA819" s="269"/>
      <c r="AB819" s="269"/>
      <c r="AC819" s="269"/>
      <c r="AD819" s="269"/>
      <c r="AE819" s="269"/>
      <c r="AF819" s="269"/>
      <c r="AG819" s="269"/>
      <c r="AH819" s="269"/>
      <c r="AI819" s="269"/>
      <c r="AJ819" s="269"/>
      <c r="AK819" s="269"/>
      <c r="AL819" s="269"/>
      <c r="AM819" s="269"/>
    </row>
    <row r="820" spans="1:39" ht="207" customHeight="1" x14ac:dyDescent="0.2">
      <c r="A820" s="277">
        <f>IF(B820="","",COUNT('Diário 5º PA'!$A$5:$A$2634)+COUNT('Diário 6º PA'!$A$5:$A$2246)+ROW()-4)</f>
        <v>3359</v>
      </c>
      <c r="B820" s="278">
        <v>44431</v>
      </c>
      <c r="C820" s="249">
        <v>44409</v>
      </c>
      <c r="D820" s="250" t="s">
        <v>99</v>
      </c>
      <c r="E820" s="250" t="s">
        <v>226</v>
      </c>
      <c r="F820" s="251">
        <v>200</v>
      </c>
      <c r="G820" s="452" t="s">
        <v>2088</v>
      </c>
      <c r="H820" s="250" t="s">
        <v>126</v>
      </c>
      <c r="I820" s="250" t="s">
        <v>2089</v>
      </c>
      <c r="J820" s="250" t="s">
        <v>2090</v>
      </c>
      <c r="K820" s="255" t="s">
        <v>560</v>
      </c>
      <c r="L820" s="250" t="s">
        <v>114</v>
      </c>
      <c r="M820" s="277" t="s">
        <v>114</v>
      </c>
      <c r="N820" s="278">
        <v>44431</v>
      </c>
      <c r="O820" s="329" t="s">
        <v>67</v>
      </c>
      <c r="P820" s="330">
        <f t="shared" si="55"/>
        <v>8</v>
      </c>
      <c r="Q820" s="330">
        <f t="shared" si="56"/>
        <v>8</v>
      </c>
      <c r="R820" s="331" t="str">
        <f t="shared" si="57"/>
        <v>Gastos_Gerais</v>
      </c>
      <c r="S820" s="331" t="str">
        <f>IF(D820="","",IF(OR(D820=Plano!$A$1,D820=Plano!$B$1),"entrada","saída"))</f>
        <v>saída</v>
      </c>
      <c r="T820" s="334" t="s">
        <v>994</v>
      </c>
      <c r="U820" s="334">
        <v>1946</v>
      </c>
      <c r="V820" s="269"/>
      <c r="W820" s="269"/>
      <c r="X820" s="269"/>
      <c r="Y820" s="269"/>
      <c r="Z820" s="269"/>
      <c r="AA820" s="269"/>
      <c r="AB820" s="269"/>
      <c r="AC820" s="269"/>
      <c r="AD820" s="269"/>
      <c r="AE820" s="269"/>
      <c r="AF820" s="269"/>
      <c r="AG820" s="269"/>
      <c r="AH820" s="269"/>
      <c r="AI820" s="269"/>
      <c r="AJ820" s="269"/>
      <c r="AK820" s="269"/>
      <c r="AL820" s="269"/>
      <c r="AM820" s="269"/>
    </row>
    <row r="821" spans="1:39" ht="112.5" customHeight="1" x14ac:dyDescent="0.2">
      <c r="A821" s="277">
        <f>IF(B821="","",COUNT('Diário 5º PA'!$A$5:$A$2634)+COUNT('Diário 6º PA'!$A$5:$A$2246)+ROW()-4)</f>
        <v>3360</v>
      </c>
      <c r="B821" s="278">
        <v>44431</v>
      </c>
      <c r="C821" s="249">
        <v>44378</v>
      </c>
      <c r="D821" s="250" t="s">
        <v>99</v>
      </c>
      <c r="E821" s="250" t="s">
        <v>254</v>
      </c>
      <c r="F821" s="251">
        <v>500</v>
      </c>
      <c r="G821" s="452" t="s">
        <v>651</v>
      </c>
      <c r="H821" s="250" t="s">
        <v>115</v>
      </c>
      <c r="I821" s="250" t="s">
        <v>2091</v>
      </c>
      <c r="J821" s="250" t="s">
        <v>652</v>
      </c>
      <c r="K821" s="250" t="s">
        <v>991</v>
      </c>
      <c r="L821" s="250" t="s">
        <v>1177</v>
      </c>
      <c r="M821" s="278" t="s">
        <v>114</v>
      </c>
      <c r="N821" s="278">
        <v>44411</v>
      </c>
      <c r="O821" s="329" t="s">
        <v>67</v>
      </c>
      <c r="P821" s="330">
        <f t="shared" si="55"/>
        <v>8</v>
      </c>
      <c r="Q821" s="330">
        <f t="shared" si="56"/>
        <v>7</v>
      </c>
      <c r="R821" s="331" t="str">
        <f t="shared" si="57"/>
        <v>Gastos_Gerais</v>
      </c>
      <c r="S821" s="331" t="str">
        <f>IF(D821="","",IF(OR(D821=Plano!$A$1,D821=Plano!$B$1),"entrada","saída"))</f>
        <v>saída</v>
      </c>
      <c r="T821" s="334" t="s">
        <v>1082</v>
      </c>
      <c r="U821" s="334">
        <v>1139</v>
      </c>
      <c r="V821" s="269"/>
      <c r="W821" s="269"/>
      <c r="X821" s="269"/>
      <c r="Y821" s="269"/>
      <c r="Z821" s="269"/>
      <c r="AA821" s="269"/>
      <c r="AB821" s="269"/>
      <c r="AC821" s="269"/>
      <c r="AD821" s="269"/>
      <c r="AE821" s="269"/>
      <c r="AF821" s="269"/>
      <c r="AG821" s="269"/>
      <c r="AH821" s="269"/>
      <c r="AI821" s="269"/>
      <c r="AJ821" s="269"/>
      <c r="AK821" s="269"/>
      <c r="AL821" s="269"/>
      <c r="AM821" s="269"/>
    </row>
    <row r="822" spans="1:39" ht="120.75" customHeight="1" x14ac:dyDescent="0.2">
      <c r="A822" s="277">
        <f>IF(B822="","",COUNT('Diário 5º PA'!$A$5:$A$2634)+COUNT('Diário 6º PA'!$A$5:$A$2246)+ROW()-4)</f>
        <v>3361</v>
      </c>
      <c r="B822" s="278">
        <v>44431</v>
      </c>
      <c r="C822" s="249">
        <v>44378</v>
      </c>
      <c r="D822" s="250" t="s">
        <v>99</v>
      </c>
      <c r="E822" s="250" t="s">
        <v>352</v>
      </c>
      <c r="F822" s="251">
        <v>1960</v>
      </c>
      <c r="G822" s="452" t="s">
        <v>2092</v>
      </c>
      <c r="H822" s="250" t="s">
        <v>132</v>
      </c>
      <c r="I822" s="252" t="s">
        <v>1555</v>
      </c>
      <c r="J822" s="250" t="s">
        <v>674</v>
      </c>
      <c r="K822" s="250" t="s">
        <v>991</v>
      </c>
      <c r="L822" s="250" t="s">
        <v>992</v>
      </c>
      <c r="M822" s="277" t="s">
        <v>1443</v>
      </c>
      <c r="N822" s="278">
        <v>44431</v>
      </c>
      <c r="O822" s="329" t="s">
        <v>67</v>
      </c>
      <c r="P822" s="330">
        <f t="shared" si="55"/>
        <v>8</v>
      </c>
      <c r="Q822" s="330">
        <f t="shared" si="56"/>
        <v>7</v>
      </c>
      <c r="R822" s="331" t="str">
        <f t="shared" si="57"/>
        <v>Gastos_Gerais</v>
      </c>
      <c r="S822" s="331" t="str">
        <f>IF(D822="","",IF(OR(D822=Plano!$A$1,D822=Plano!$B$1),"entrada","saída"))</f>
        <v>saída</v>
      </c>
      <c r="T822" s="334" t="s">
        <v>1059</v>
      </c>
      <c r="U822" s="334">
        <v>1659</v>
      </c>
      <c r="V822" s="269"/>
      <c r="W822" s="269"/>
      <c r="X822" s="269"/>
      <c r="Y822" s="269"/>
      <c r="Z822" s="269"/>
      <c r="AA822" s="269"/>
      <c r="AB822" s="269"/>
      <c r="AC822" s="269"/>
      <c r="AD822" s="269"/>
      <c r="AE822" s="269"/>
      <c r="AF822" s="269"/>
      <c r="AG822" s="269"/>
      <c r="AH822" s="269"/>
      <c r="AI822" s="269"/>
      <c r="AJ822" s="269"/>
      <c r="AK822" s="269"/>
      <c r="AL822" s="269"/>
      <c r="AM822" s="269"/>
    </row>
    <row r="823" spans="1:39" ht="50.25" customHeight="1" x14ac:dyDescent="0.2">
      <c r="A823" s="277">
        <f>IF(B823="","",COUNT('Diário 5º PA'!$A$5:$A$2634)+COUNT('Diário 6º PA'!$A$5:$A$2246)+ROW()-4)</f>
        <v>3362</v>
      </c>
      <c r="B823" s="278">
        <v>44431</v>
      </c>
      <c r="C823" s="335">
        <v>44378</v>
      </c>
      <c r="D823" s="255" t="s">
        <v>99</v>
      </c>
      <c r="E823" s="255" t="s">
        <v>272</v>
      </c>
      <c r="F823" s="258">
        <v>10.45</v>
      </c>
      <c r="G823" s="450" t="s">
        <v>1359</v>
      </c>
      <c r="H823" s="252" t="s">
        <v>128</v>
      </c>
      <c r="I823" s="250" t="s">
        <v>949</v>
      </c>
      <c r="J823" s="255" t="s">
        <v>950</v>
      </c>
      <c r="K823" s="255" t="s">
        <v>951</v>
      </c>
      <c r="L823" s="250" t="s">
        <v>947</v>
      </c>
      <c r="M823" s="336" t="s">
        <v>114</v>
      </c>
      <c r="N823" s="278">
        <v>44431</v>
      </c>
      <c r="O823" s="329" t="s">
        <v>67</v>
      </c>
      <c r="P823" s="330">
        <f t="shared" si="55"/>
        <v>8</v>
      </c>
      <c r="Q823" s="330">
        <f t="shared" si="56"/>
        <v>7</v>
      </c>
      <c r="R823" s="331" t="str">
        <f t="shared" si="57"/>
        <v>Gastos_Gerais</v>
      </c>
      <c r="S823" s="331" t="str">
        <f>IF(D823="","",IF(OR(D823=Plano!$A$1,D823=Plano!$B$1),"entrada","saída"))</f>
        <v>saída</v>
      </c>
      <c r="T823" s="332" t="s">
        <v>114</v>
      </c>
      <c r="U823" s="332" t="s">
        <v>114</v>
      </c>
      <c r="V823" s="269"/>
      <c r="W823" s="269"/>
      <c r="X823" s="269"/>
      <c r="Y823" s="269"/>
      <c r="Z823" s="269"/>
      <c r="AA823" s="269"/>
      <c r="AB823" s="269"/>
      <c r="AC823" s="269"/>
      <c r="AD823" s="269"/>
      <c r="AE823" s="269"/>
      <c r="AF823" s="269"/>
      <c r="AG823" s="269"/>
      <c r="AH823" s="269"/>
      <c r="AI823" s="269"/>
      <c r="AJ823" s="269"/>
      <c r="AK823" s="269"/>
      <c r="AL823" s="269"/>
      <c r="AM823" s="269"/>
    </row>
    <row r="824" spans="1:39" ht="41.25" customHeight="1" x14ac:dyDescent="0.2">
      <c r="A824" s="277">
        <f>IF(B824="","",COUNT('Diário 5º PA'!$A$5:$A$2634)+COUNT('Diário 6º PA'!$A$5:$A$2246)+ROW()-4)</f>
        <v>3363</v>
      </c>
      <c r="B824" s="278">
        <v>44431</v>
      </c>
      <c r="C824" s="335">
        <v>44409</v>
      </c>
      <c r="D824" s="255" t="s">
        <v>99</v>
      </c>
      <c r="E824" s="255" t="s">
        <v>272</v>
      </c>
      <c r="F824" s="258">
        <v>10.45</v>
      </c>
      <c r="G824" s="450" t="s">
        <v>2093</v>
      </c>
      <c r="H824" s="250" t="s">
        <v>115</v>
      </c>
      <c r="I824" s="250" t="s">
        <v>949</v>
      </c>
      <c r="J824" s="255" t="s">
        <v>950</v>
      </c>
      <c r="K824" s="255" t="s">
        <v>951</v>
      </c>
      <c r="L824" s="250" t="s">
        <v>947</v>
      </c>
      <c r="M824" s="336" t="s">
        <v>114</v>
      </c>
      <c r="N824" s="278">
        <v>44431</v>
      </c>
      <c r="O824" s="329" t="s">
        <v>67</v>
      </c>
      <c r="P824" s="330">
        <f t="shared" si="55"/>
        <v>8</v>
      </c>
      <c r="Q824" s="330">
        <f t="shared" si="56"/>
        <v>8</v>
      </c>
      <c r="R824" s="331" t="str">
        <f t="shared" si="57"/>
        <v>Gastos_Gerais</v>
      </c>
      <c r="S824" s="331" t="str">
        <f>IF(D824="","",IF(OR(D824=Plano!$A$1,D824=Plano!$B$1),"entrada","saída"))</f>
        <v>saída</v>
      </c>
      <c r="T824" s="332" t="s">
        <v>114</v>
      </c>
      <c r="U824" s="332" t="s">
        <v>114</v>
      </c>
      <c r="V824" s="269"/>
      <c r="W824" s="269"/>
      <c r="X824" s="269"/>
      <c r="Y824" s="269"/>
      <c r="Z824" s="269"/>
      <c r="AA824" s="269"/>
      <c r="AB824" s="269"/>
      <c r="AC824" s="269"/>
      <c r="AD824" s="269"/>
      <c r="AE824" s="269"/>
      <c r="AF824" s="269"/>
      <c r="AG824" s="269"/>
      <c r="AH824" s="269"/>
      <c r="AI824" s="269"/>
      <c r="AJ824" s="269"/>
      <c r="AK824" s="269"/>
      <c r="AL824" s="269"/>
      <c r="AM824" s="269"/>
    </row>
    <row r="825" spans="1:39" ht="54" customHeight="1" x14ac:dyDescent="0.2">
      <c r="A825" s="277">
        <f>IF(B825="","",COUNT('Diário 5º PA'!$A$5:$A$2634)+COUNT('Diário 6º PA'!$A$5:$A$2246)+ROW()-4)</f>
        <v>3364</v>
      </c>
      <c r="B825" s="278">
        <v>44431</v>
      </c>
      <c r="C825" s="335">
        <v>44409</v>
      </c>
      <c r="D825" s="255" t="s">
        <v>99</v>
      </c>
      <c r="E825" s="255" t="s">
        <v>272</v>
      </c>
      <c r="F825" s="258">
        <v>10.45</v>
      </c>
      <c r="G825" s="450" t="s">
        <v>2094</v>
      </c>
      <c r="H825" s="250" t="s">
        <v>132</v>
      </c>
      <c r="I825" s="250" t="s">
        <v>949</v>
      </c>
      <c r="J825" s="255" t="s">
        <v>950</v>
      </c>
      <c r="K825" s="255" t="s">
        <v>951</v>
      </c>
      <c r="L825" s="250" t="s">
        <v>947</v>
      </c>
      <c r="M825" s="336" t="s">
        <v>114</v>
      </c>
      <c r="N825" s="278">
        <v>44431</v>
      </c>
      <c r="O825" s="329" t="s">
        <v>67</v>
      </c>
      <c r="P825" s="330">
        <f t="shared" si="55"/>
        <v>8</v>
      </c>
      <c r="Q825" s="330">
        <f t="shared" si="56"/>
        <v>8</v>
      </c>
      <c r="R825" s="331" t="str">
        <f t="shared" si="57"/>
        <v>Gastos_Gerais</v>
      </c>
      <c r="S825" s="331" t="str">
        <f>IF(D825="","",IF(OR(D825=Plano!$A$1,D825=Plano!$B$1),"entrada","saída"))</f>
        <v>saída</v>
      </c>
      <c r="T825" s="332" t="s">
        <v>114</v>
      </c>
      <c r="U825" s="332" t="s">
        <v>114</v>
      </c>
      <c r="V825" s="269"/>
      <c r="W825" s="269"/>
      <c r="X825" s="269"/>
      <c r="Y825" s="269"/>
      <c r="Z825" s="269"/>
      <c r="AA825" s="269"/>
      <c r="AB825" s="269"/>
      <c r="AC825" s="269"/>
      <c r="AD825" s="269"/>
      <c r="AE825" s="269"/>
      <c r="AF825" s="269"/>
      <c r="AG825" s="269"/>
      <c r="AH825" s="269"/>
      <c r="AI825" s="269"/>
      <c r="AJ825" s="269"/>
      <c r="AK825" s="269"/>
      <c r="AL825" s="269"/>
      <c r="AM825" s="269"/>
    </row>
    <row r="826" spans="1:39" ht="83.25" customHeight="1" x14ac:dyDescent="0.2">
      <c r="A826" s="277">
        <f>IF(B826="","",COUNT('Diário 5º PA'!$A$5:$A$2634)+COUNT('Diário 6º PA'!$A$5:$A$2246)+ROW()-4)</f>
        <v>3365</v>
      </c>
      <c r="B826" s="278">
        <v>44431</v>
      </c>
      <c r="C826" s="249">
        <v>44378</v>
      </c>
      <c r="D826" s="250" t="s">
        <v>104</v>
      </c>
      <c r="E826" s="250" t="s">
        <v>104</v>
      </c>
      <c r="F826" s="251">
        <v>1998.6</v>
      </c>
      <c r="G826" s="452" t="s">
        <v>1899</v>
      </c>
      <c r="H826" s="250" t="s">
        <v>104</v>
      </c>
      <c r="I826" s="250" t="s">
        <v>2095</v>
      </c>
      <c r="J826" s="255" t="s">
        <v>829</v>
      </c>
      <c r="K826" s="255" t="s">
        <v>1015</v>
      </c>
      <c r="L826" s="250" t="s">
        <v>1029</v>
      </c>
      <c r="M826" s="336">
        <v>1282</v>
      </c>
      <c r="N826" s="278">
        <v>44427</v>
      </c>
      <c r="O826" s="329" t="s">
        <v>69</v>
      </c>
      <c r="P826" s="330">
        <f t="shared" si="55"/>
        <v>8</v>
      </c>
      <c r="Q826" s="330">
        <f t="shared" si="56"/>
        <v>7</v>
      </c>
      <c r="R826" s="331" t="str">
        <f t="shared" si="57"/>
        <v>Gastos_custeados_por_captação</v>
      </c>
      <c r="S826" s="331" t="str">
        <f>IF(D826="","",IF(OR(D826=Plano!$A$1,D826=Plano!$B$1),"entrada","saída"))</f>
        <v>saída</v>
      </c>
      <c r="T826" s="332" t="s">
        <v>1059</v>
      </c>
      <c r="U826" s="332">
        <v>1781</v>
      </c>
      <c r="V826" s="269"/>
      <c r="W826" s="269"/>
      <c r="X826" s="269"/>
      <c r="Y826" s="269"/>
      <c r="Z826" s="269"/>
      <c r="AA826" s="269"/>
      <c r="AB826" s="269"/>
      <c r="AC826" s="269"/>
      <c r="AD826" s="269"/>
      <c r="AE826" s="269"/>
      <c r="AF826" s="269"/>
      <c r="AG826" s="269"/>
      <c r="AH826" s="269"/>
      <c r="AI826" s="269"/>
      <c r="AJ826" s="269"/>
      <c r="AK826" s="269"/>
      <c r="AL826" s="269"/>
      <c r="AM826" s="269"/>
    </row>
    <row r="827" spans="1:39" ht="119.25" customHeight="1" x14ac:dyDescent="0.2">
      <c r="A827" s="277">
        <f>IF(B827="","",COUNT('Diário 5º PA'!$A$5:$A$2634)+COUNT('Diário 6º PA'!$A$5:$A$2246)+ROW()-4)</f>
        <v>3366</v>
      </c>
      <c r="B827" s="278">
        <v>44431</v>
      </c>
      <c r="C827" s="249">
        <v>44256</v>
      </c>
      <c r="D827" s="250" t="s">
        <v>104</v>
      </c>
      <c r="E827" s="250" t="s">
        <v>104</v>
      </c>
      <c r="F827" s="251">
        <v>3530</v>
      </c>
      <c r="G827" s="452" t="s">
        <v>602</v>
      </c>
      <c r="H827" s="250" t="s">
        <v>104</v>
      </c>
      <c r="I827" s="252" t="s">
        <v>2096</v>
      </c>
      <c r="J827" s="250" t="s">
        <v>603</v>
      </c>
      <c r="K827" s="255" t="s">
        <v>1015</v>
      </c>
      <c r="L827" s="250" t="s">
        <v>992</v>
      </c>
      <c r="M827" s="277" t="s">
        <v>2097</v>
      </c>
      <c r="N827" s="278">
        <v>44400</v>
      </c>
      <c r="O827" s="329" t="s">
        <v>69</v>
      </c>
      <c r="P827" s="330">
        <f t="shared" si="55"/>
        <v>8</v>
      </c>
      <c r="Q827" s="330">
        <f t="shared" si="56"/>
        <v>3</v>
      </c>
      <c r="R827" s="331" t="str">
        <f t="shared" si="57"/>
        <v>Gastos_custeados_por_captação</v>
      </c>
      <c r="S827" s="331" t="str">
        <f>IF(D827="","",IF(OR(D827=Plano!$A$1,D827=Plano!$B$1),"entrada","saída"))</f>
        <v>saída</v>
      </c>
      <c r="T827" s="332" t="s">
        <v>1059</v>
      </c>
      <c r="U827" s="332">
        <v>1442</v>
      </c>
      <c r="V827" s="269"/>
      <c r="W827" s="269"/>
      <c r="X827" s="269"/>
      <c r="Y827" s="269"/>
      <c r="Z827" s="269"/>
      <c r="AA827" s="269"/>
      <c r="AB827" s="269"/>
      <c r="AC827" s="269"/>
      <c r="AD827" s="269"/>
      <c r="AE827" s="269"/>
      <c r="AF827" s="269"/>
      <c r="AG827" s="269"/>
      <c r="AH827" s="269"/>
      <c r="AI827" s="269"/>
      <c r="AJ827" s="269"/>
      <c r="AK827" s="269"/>
      <c r="AL827" s="269"/>
      <c r="AM827" s="269"/>
    </row>
    <row r="828" spans="1:39" s="478" customFormat="1" ht="233.25" customHeight="1" x14ac:dyDescent="0.2">
      <c r="A828" s="277">
        <f>IF(B828="","",COUNT('Diário 5º PA'!$A$5:$A$2634)+COUNT('Diário 6º PA'!$A$5:$A$2246)+ROW()-4)</f>
        <v>3367</v>
      </c>
      <c r="B828" s="278">
        <v>44431</v>
      </c>
      <c r="C828" s="249">
        <v>44348</v>
      </c>
      <c r="D828" s="250" t="s">
        <v>104</v>
      </c>
      <c r="E828" s="250" t="s">
        <v>104</v>
      </c>
      <c r="F828" s="251">
        <v>7500</v>
      </c>
      <c r="G828" s="452" t="s">
        <v>666</v>
      </c>
      <c r="H828" s="250" t="s">
        <v>104</v>
      </c>
      <c r="I828" s="250" t="s">
        <v>4960</v>
      </c>
      <c r="J828" s="440" t="s">
        <v>667</v>
      </c>
      <c r="K828" s="255" t="s">
        <v>1015</v>
      </c>
      <c r="L828" s="250" t="s">
        <v>992</v>
      </c>
      <c r="M828" s="277" t="s">
        <v>1017</v>
      </c>
      <c r="N828" s="278">
        <v>44428</v>
      </c>
      <c r="O828" s="329" t="s">
        <v>5377</v>
      </c>
      <c r="P828" s="330">
        <f t="shared" ref="P828" si="61">IF(B828=0,0,IF(YEAR(B828)=$Q$1,MONTH(B828)-$P$1+1,(YEAR(B828)-$Q$1)*12-$P$1+1+MONTH(B828)))</f>
        <v>8</v>
      </c>
      <c r="Q828" s="330">
        <f t="shared" ref="Q828" si="62">IF(C828=0,0,IF(YEAR(C828)=$Q$1,MONTH(C828)-$P$1+1,(YEAR(C828)-$Q$1)*12-$P$1+1+MONTH(C828)))</f>
        <v>6</v>
      </c>
      <c r="R828" s="331" t="str">
        <f t="shared" ref="R828" si="63">SUBSTITUTE(D828," ","_")</f>
        <v>Gastos_custeados_por_captação</v>
      </c>
      <c r="S828" s="331" t="str">
        <f>IF(D828="","",IF(OR(D828=Plano!$A$1,D828=Plano!$B$1),"entrada","saída"))</f>
        <v>saída</v>
      </c>
      <c r="T828" s="332" t="s">
        <v>994</v>
      </c>
      <c r="U828" s="332">
        <v>1601</v>
      </c>
      <c r="V828" s="439"/>
      <c r="W828" s="439"/>
      <c r="X828" s="439"/>
      <c r="Y828" s="439"/>
      <c r="Z828" s="439"/>
      <c r="AA828" s="439"/>
      <c r="AB828" s="439"/>
      <c r="AC828" s="439"/>
      <c r="AD828" s="439"/>
      <c r="AE828" s="439"/>
      <c r="AF828" s="439"/>
      <c r="AG828" s="439"/>
      <c r="AH828" s="439"/>
      <c r="AI828" s="439"/>
      <c r="AJ828" s="439"/>
      <c r="AK828" s="439"/>
      <c r="AL828" s="439"/>
      <c r="AM828" s="439"/>
    </row>
    <row r="829" spans="1:39" s="478" customFormat="1" ht="72" customHeight="1" x14ac:dyDescent="0.2">
      <c r="A829" s="277">
        <f>IF(B829="","",COUNT('Diário 5º PA'!$A$5:$A$2634)+COUNT('Diário 6º PA'!$A$5:$A$2246)+ROW()-4)</f>
        <v>3368</v>
      </c>
      <c r="B829" s="278">
        <v>44431</v>
      </c>
      <c r="C829" s="249">
        <v>44317</v>
      </c>
      <c r="D829" s="250" t="s">
        <v>104</v>
      </c>
      <c r="E829" s="250" t="s">
        <v>104</v>
      </c>
      <c r="F829" s="251">
        <v>16026.45</v>
      </c>
      <c r="G829" s="452" t="s">
        <v>5448</v>
      </c>
      <c r="H829" s="250" t="s">
        <v>104</v>
      </c>
      <c r="I829" s="252" t="s">
        <v>5449</v>
      </c>
      <c r="J829" s="250" t="s">
        <v>702</v>
      </c>
      <c r="K829" s="255" t="s">
        <v>991</v>
      </c>
      <c r="L829" s="250" t="s">
        <v>992</v>
      </c>
      <c r="M829" s="277" t="s">
        <v>1280</v>
      </c>
      <c r="N829" s="278">
        <v>44428</v>
      </c>
      <c r="O829" s="329" t="s">
        <v>5377</v>
      </c>
      <c r="P829" s="330">
        <f t="shared" ref="P829:P830" si="64">IF(B829=0,0,IF(YEAR(B829)=$Q$1,MONTH(B829)-$P$1+1,(YEAR(B829)-$Q$1)*12-$P$1+1+MONTH(B829)))</f>
        <v>8</v>
      </c>
      <c r="Q829" s="330">
        <f t="shared" ref="Q829:Q830" si="65">IF(C829=0,0,IF(YEAR(C829)=$Q$1,MONTH(C829)-$P$1+1,(YEAR(C829)-$Q$1)*12-$P$1+1+MONTH(C829)))</f>
        <v>5</v>
      </c>
      <c r="R829" s="331" t="str">
        <f t="shared" ref="R829:R830" si="66">SUBSTITUTE(D829," ","_")</f>
        <v>Gastos_custeados_por_captação</v>
      </c>
      <c r="S829" s="331" t="str">
        <f>IF(D829="","",IF(OR(D829=Plano!$A$1,D829=Plano!$B$1),"entrada","saída"))</f>
        <v>saída</v>
      </c>
      <c r="T829" s="332" t="s">
        <v>994</v>
      </c>
      <c r="U829" s="332">
        <v>1527</v>
      </c>
      <c r="V829" s="439"/>
      <c r="W829" s="439"/>
      <c r="X829" s="439"/>
      <c r="Y829" s="439"/>
      <c r="Z829" s="439"/>
      <c r="AA829" s="439"/>
      <c r="AB829" s="439"/>
      <c r="AC829" s="439"/>
      <c r="AD829" s="439"/>
      <c r="AE829" s="439"/>
      <c r="AF829" s="439"/>
      <c r="AG829" s="439"/>
      <c r="AH829" s="439"/>
      <c r="AI829" s="439"/>
      <c r="AJ829" s="439"/>
      <c r="AK829" s="439"/>
      <c r="AL829" s="439"/>
      <c r="AM829" s="439"/>
    </row>
    <row r="830" spans="1:39" s="478" customFormat="1" ht="51.75" customHeight="1" x14ac:dyDescent="0.2">
      <c r="A830" s="277">
        <f>IF(B830="","",COUNT('Diário 5º PA'!$A$5:$A$2634)+COUNT('Diário 6º PA'!$A$5:$A$2246)+ROW()-4)</f>
        <v>3369</v>
      </c>
      <c r="B830" s="278">
        <v>44431</v>
      </c>
      <c r="C830" s="335">
        <v>44409</v>
      </c>
      <c r="D830" s="250" t="s">
        <v>104</v>
      </c>
      <c r="E830" s="250" t="s">
        <v>104</v>
      </c>
      <c r="F830" s="258">
        <v>10.45</v>
      </c>
      <c r="G830" s="450" t="s">
        <v>5451</v>
      </c>
      <c r="H830" s="250" t="s">
        <v>104</v>
      </c>
      <c r="I830" s="250" t="s">
        <v>949</v>
      </c>
      <c r="J830" s="255" t="s">
        <v>950</v>
      </c>
      <c r="K830" s="255" t="s">
        <v>951</v>
      </c>
      <c r="L830" s="250" t="s">
        <v>947</v>
      </c>
      <c r="M830" s="336" t="s">
        <v>114</v>
      </c>
      <c r="N830" s="278">
        <v>44431</v>
      </c>
      <c r="O830" s="329" t="s">
        <v>5377</v>
      </c>
      <c r="P830" s="330">
        <f t="shared" si="64"/>
        <v>8</v>
      </c>
      <c r="Q830" s="330">
        <f t="shared" si="65"/>
        <v>8</v>
      </c>
      <c r="R830" s="331" t="str">
        <f t="shared" si="66"/>
        <v>Gastos_custeados_por_captação</v>
      </c>
      <c r="S830" s="331" t="str">
        <f>IF(D830="","",IF(OR(D830=Plano!$A$1,D830=Plano!$B$1),"entrada","saída"))</f>
        <v>saída</v>
      </c>
      <c r="T830" s="332" t="s">
        <v>114</v>
      </c>
      <c r="U830" s="332" t="s">
        <v>114</v>
      </c>
      <c r="V830" s="439"/>
      <c r="W830" s="439"/>
      <c r="X830" s="439"/>
      <c r="Y830" s="439"/>
      <c r="Z830" s="439"/>
      <c r="AA830" s="439"/>
      <c r="AB830" s="439"/>
      <c r="AC830" s="439"/>
      <c r="AD830" s="439"/>
      <c r="AE830" s="439"/>
      <c r="AF830" s="439"/>
      <c r="AG830" s="439"/>
      <c r="AH830" s="439"/>
      <c r="AI830" s="439"/>
      <c r="AJ830" s="439"/>
      <c r="AK830" s="439"/>
      <c r="AL830" s="439"/>
      <c r="AM830" s="439"/>
    </row>
    <row r="831" spans="1:39" ht="63.75" customHeight="1" x14ac:dyDescent="0.2">
      <c r="A831" s="277">
        <f>IF(B831="","",COUNT('Diário 5º PA'!$A$5:$A$2634)+COUNT('Diário 6º PA'!$A$5:$A$2246)+ROW()-4)</f>
        <v>3370</v>
      </c>
      <c r="B831" s="278">
        <v>44432</v>
      </c>
      <c r="C831" s="249">
        <v>44409</v>
      </c>
      <c r="D831" s="250" t="s">
        <v>99</v>
      </c>
      <c r="E831" s="250" t="s">
        <v>284</v>
      </c>
      <c r="F831" s="251">
        <v>-88.94</v>
      </c>
      <c r="G831" s="452" t="s">
        <v>2098</v>
      </c>
      <c r="H831" s="250" t="s">
        <v>130</v>
      </c>
      <c r="I831" s="250" t="s">
        <v>983</v>
      </c>
      <c r="J831" s="255" t="s">
        <v>850</v>
      </c>
      <c r="K831" s="255" t="s">
        <v>946</v>
      </c>
      <c r="L831" s="250" t="s">
        <v>947</v>
      </c>
      <c r="M831" s="277" t="s">
        <v>114</v>
      </c>
      <c r="N831" s="278">
        <v>44432</v>
      </c>
      <c r="O831" s="329" t="s">
        <v>67</v>
      </c>
      <c r="P831" s="330">
        <f t="shared" si="55"/>
        <v>8</v>
      </c>
      <c r="Q831" s="330">
        <f t="shared" si="56"/>
        <v>8</v>
      </c>
      <c r="R831" s="331" t="str">
        <f t="shared" si="57"/>
        <v>Gastos_Gerais</v>
      </c>
      <c r="S831" s="331" t="str">
        <f>IF(D831="","",IF(OR(D831=Plano!$A$1,D831=Plano!$B$1),"entrada","saída"))</f>
        <v>saída</v>
      </c>
      <c r="T831" s="332" t="s">
        <v>114</v>
      </c>
      <c r="U831" s="332" t="s">
        <v>114</v>
      </c>
      <c r="V831" s="269"/>
      <c r="W831" s="269"/>
      <c r="X831" s="269"/>
      <c r="Y831" s="269"/>
      <c r="Z831" s="269"/>
      <c r="AA831" s="269"/>
      <c r="AB831" s="269"/>
      <c r="AC831" s="269"/>
      <c r="AD831" s="269"/>
      <c r="AE831" s="269"/>
      <c r="AF831" s="269"/>
      <c r="AG831" s="269"/>
      <c r="AH831" s="269"/>
      <c r="AI831" s="269"/>
      <c r="AJ831" s="269"/>
      <c r="AK831" s="269"/>
      <c r="AL831" s="269"/>
      <c r="AM831" s="269"/>
    </row>
    <row r="832" spans="1:39" ht="162.75" customHeight="1" x14ac:dyDescent="0.2">
      <c r="A832" s="277">
        <f>IF(B832="","",COUNT('Diário 5º PA'!$A$5:$A$2634)+COUNT('Diário 6º PA'!$A$5:$A$2246)+ROW()-4)</f>
        <v>3371</v>
      </c>
      <c r="B832" s="278">
        <v>44432</v>
      </c>
      <c r="C832" s="249">
        <v>44256</v>
      </c>
      <c r="D832" s="250" t="s">
        <v>99</v>
      </c>
      <c r="E832" s="250" t="s">
        <v>358</v>
      </c>
      <c r="F832" s="251">
        <v>2544.8000000000002</v>
      </c>
      <c r="G832" s="452" t="s">
        <v>2099</v>
      </c>
      <c r="H832" s="250" t="s">
        <v>126</v>
      </c>
      <c r="I832" s="252" t="s">
        <v>2100</v>
      </c>
      <c r="J832" s="250" t="s">
        <v>2101</v>
      </c>
      <c r="K832" s="255" t="s">
        <v>560</v>
      </c>
      <c r="L832" s="250" t="s">
        <v>1016</v>
      </c>
      <c r="M832" s="277" t="s">
        <v>2102</v>
      </c>
      <c r="N832" s="278">
        <v>44404</v>
      </c>
      <c r="O832" s="329" t="s">
        <v>67</v>
      </c>
      <c r="P832" s="330">
        <f t="shared" si="55"/>
        <v>8</v>
      </c>
      <c r="Q832" s="330">
        <f t="shared" si="56"/>
        <v>3</v>
      </c>
      <c r="R832" s="331" t="str">
        <f t="shared" si="57"/>
        <v>Gastos_Gerais</v>
      </c>
      <c r="S832" s="331" t="str">
        <f>IF(D832="","",IF(OR(D832=Plano!$A$1,D832=Plano!$B$1),"entrada","saída"))</f>
        <v>saída</v>
      </c>
      <c r="T832" s="334" t="s">
        <v>994</v>
      </c>
      <c r="U832" s="334">
        <v>1373</v>
      </c>
      <c r="V832" s="269"/>
      <c r="W832" s="269"/>
      <c r="X832" s="269"/>
      <c r="Y832" s="269"/>
      <c r="Z832" s="269"/>
      <c r="AA832" s="269"/>
      <c r="AB832" s="269"/>
      <c r="AC832" s="269"/>
      <c r="AD832" s="269"/>
      <c r="AE832" s="269"/>
      <c r="AF832" s="269"/>
      <c r="AG832" s="269"/>
      <c r="AH832" s="269"/>
      <c r="AI832" s="269"/>
      <c r="AJ832" s="269"/>
      <c r="AK832" s="269"/>
      <c r="AL832" s="269"/>
      <c r="AM832" s="269"/>
    </row>
    <row r="833" spans="1:39" ht="134.25" customHeight="1" x14ac:dyDescent="0.2">
      <c r="A833" s="277">
        <f>IF(B833="","",COUNT('Diário 5º PA'!$A$5:$A$2634)+COUNT('Diário 6º PA'!$A$5:$A$2246)+ROW()-4)</f>
        <v>3372</v>
      </c>
      <c r="B833" s="278">
        <v>44432</v>
      </c>
      <c r="C833" s="249">
        <v>44378</v>
      </c>
      <c r="D833" s="250" t="s">
        <v>99</v>
      </c>
      <c r="E833" s="250" t="s">
        <v>356</v>
      </c>
      <c r="F833" s="251">
        <v>8513</v>
      </c>
      <c r="G833" s="452" t="s">
        <v>2103</v>
      </c>
      <c r="H833" s="250" t="s">
        <v>125</v>
      </c>
      <c r="I833" s="250" t="s">
        <v>1702</v>
      </c>
      <c r="J833" s="250" t="s">
        <v>1703</v>
      </c>
      <c r="K833" s="255" t="s">
        <v>560</v>
      </c>
      <c r="L833" s="250" t="s">
        <v>1016</v>
      </c>
      <c r="M833" s="277">
        <v>5299</v>
      </c>
      <c r="N833" s="278">
        <v>44404</v>
      </c>
      <c r="O833" s="329" t="s">
        <v>67</v>
      </c>
      <c r="P833" s="330">
        <f t="shared" si="55"/>
        <v>8</v>
      </c>
      <c r="Q833" s="330">
        <f t="shared" si="56"/>
        <v>7</v>
      </c>
      <c r="R833" s="331" t="str">
        <f t="shared" si="57"/>
        <v>Gastos_Gerais</v>
      </c>
      <c r="S833" s="331" t="str">
        <f>IF(D833="","",IF(OR(D833=Plano!$A$1,D833=Plano!$B$1),"entrada","saída"))</f>
        <v>saída</v>
      </c>
      <c r="T833" s="334" t="s">
        <v>1059</v>
      </c>
      <c r="U833" s="334">
        <v>1774</v>
      </c>
      <c r="V833" s="269"/>
      <c r="W833" s="269"/>
      <c r="X833" s="269"/>
      <c r="Y833" s="269"/>
      <c r="Z833" s="269"/>
      <c r="AA833" s="269"/>
      <c r="AB833" s="269"/>
      <c r="AC833" s="269"/>
      <c r="AD833" s="269"/>
      <c r="AE833" s="269"/>
      <c r="AF833" s="269"/>
      <c r="AG833" s="269"/>
      <c r="AH833" s="269"/>
      <c r="AI833" s="269"/>
      <c r="AJ833" s="269"/>
      <c r="AK833" s="269"/>
      <c r="AL833" s="269"/>
      <c r="AM833" s="269"/>
    </row>
    <row r="834" spans="1:39" ht="127.5" customHeight="1" x14ac:dyDescent="0.2">
      <c r="A834" s="277">
        <f>IF(B834="","",COUNT('Diário 5º PA'!$A$5:$A$2634)+COUNT('Diário 6º PA'!$A$5:$A$2246)+ROW()-4)</f>
        <v>3373</v>
      </c>
      <c r="B834" s="278">
        <v>44432</v>
      </c>
      <c r="C834" s="249">
        <v>44348</v>
      </c>
      <c r="D834" s="250" t="s">
        <v>99</v>
      </c>
      <c r="E834" s="250" t="s">
        <v>370</v>
      </c>
      <c r="F834" s="251">
        <v>4704</v>
      </c>
      <c r="G834" s="452" t="s">
        <v>2104</v>
      </c>
      <c r="H834" s="250" t="s">
        <v>125</v>
      </c>
      <c r="I834" s="252" t="s">
        <v>2105</v>
      </c>
      <c r="J834" s="250" t="s">
        <v>2106</v>
      </c>
      <c r="K834" s="255" t="s">
        <v>991</v>
      </c>
      <c r="L834" s="250" t="s">
        <v>992</v>
      </c>
      <c r="M834" s="277">
        <v>238</v>
      </c>
      <c r="N834" s="278">
        <v>44432</v>
      </c>
      <c r="O834" s="329" t="s">
        <v>67</v>
      </c>
      <c r="P834" s="330">
        <f t="shared" si="55"/>
        <v>8</v>
      </c>
      <c r="Q834" s="330">
        <f t="shared" si="56"/>
        <v>6</v>
      </c>
      <c r="R834" s="331" t="str">
        <f t="shared" si="57"/>
        <v>Gastos_Gerais</v>
      </c>
      <c r="S834" s="331" t="str">
        <f>IF(D834="","",IF(OR(D834=Plano!$A$1,D834=Plano!$B$1),"entrada","saída"))</f>
        <v>saída</v>
      </c>
      <c r="T834" s="334" t="s">
        <v>994</v>
      </c>
      <c r="U834" s="334">
        <v>1508</v>
      </c>
      <c r="V834" s="269"/>
      <c r="W834" s="269"/>
      <c r="X834" s="269"/>
      <c r="Y834" s="269"/>
      <c r="Z834" s="269"/>
      <c r="AA834" s="269"/>
      <c r="AB834" s="269"/>
      <c r="AC834" s="269"/>
      <c r="AD834" s="269"/>
      <c r="AE834" s="269"/>
      <c r="AF834" s="269"/>
      <c r="AG834" s="269"/>
      <c r="AH834" s="269"/>
      <c r="AI834" s="269"/>
      <c r="AJ834" s="269"/>
      <c r="AK834" s="269"/>
      <c r="AL834" s="269"/>
      <c r="AM834" s="269"/>
    </row>
    <row r="835" spans="1:39" ht="135.75" customHeight="1" x14ac:dyDescent="0.2">
      <c r="A835" s="277">
        <f>IF(B835="","",COUNT('Diário 5º PA'!$A$5:$A$2634)+COUNT('Diário 6º PA'!$A$5:$A$2246)+ROW()-4)</f>
        <v>3374</v>
      </c>
      <c r="B835" s="278">
        <v>44432</v>
      </c>
      <c r="C835" s="249">
        <v>44348</v>
      </c>
      <c r="D835" s="250" t="s">
        <v>99</v>
      </c>
      <c r="E835" s="250" t="s">
        <v>384</v>
      </c>
      <c r="F835" s="251">
        <v>4948.49</v>
      </c>
      <c r="G835" s="452" t="s">
        <v>2107</v>
      </c>
      <c r="H835" s="250" t="s">
        <v>125</v>
      </c>
      <c r="I835" s="252" t="s">
        <v>2108</v>
      </c>
      <c r="J835" s="250" t="s">
        <v>2109</v>
      </c>
      <c r="K835" s="255" t="s">
        <v>991</v>
      </c>
      <c r="L835" s="250" t="s">
        <v>1016</v>
      </c>
      <c r="M835" s="277" t="s">
        <v>1294</v>
      </c>
      <c r="N835" s="278">
        <v>44432</v>
      </c>
      <c r="O835" s="329" t="s">
        <v>67</v>
      </c>
      <c r="P835" s="330">
        <f t="shared" si="55"/>
        <v>8</v>
      </c>
      <c r="Q835" s="330">
        <f t="shared" si="56"/>
        <v>6</v>
      </c>
      <c r="R835" s="331" t="str">
        <f t="shared" si="57"/>
        <v>Gastos_Gerais</v>
      </c>
      <c r="S835" s="331" t="str">
        <f>IF(D835="","",IF(OR(D835=Plano!$A$1,D835=Plano!$B$1),"entrada","saída"))</f>
        <v>saída</v>
      </c>
      <c r="T835" s="334" t="s">
        <v>994</v>
      </c>
      <c r="U835" s="334">
        <v>1507</v>
      </c>
      <c r="V835" s="269"/>
      <c r="W835" s="269"/>
      <c r="X835" s="269"/>
      <c r="Y835" s="269"/>
      <c r="Z835" s="269"/>
      <c r="AA835" s="269"/>
      <c r="AB835" s="269"/>
      <c r="AC835" s="269"/>
      <c r="AD835" s="269"/>
      <c r="AE835" s="269"/>
      <c r="AF835" s="269"/>
      <c r="AG835" s="269"/>
      <c r="AH835" s="269"/>
      <c r="AI835" s="269"/>
      <c r="AJ835" s="269"/>
      <c r="AK835" s="269"/>
      <c r="AL835" s="269"/>
      <c r="AM835" s="269"/>
    </row>
    <row r="836" spans="1:39" ht="117" customHeight="1" x14ac:dyDescent="0.2">
      <c r="A836" s="277">
        <f>IF(B836="","",COUNT('Diário 5º PA'!$A$5:$A$2634)+COUNT('Diário 6º PA'!$A$5:$A$2246)+ROW()-4)</f>
        <v>3375</v>
      </c>
      <c r="B836" s="278">
        <v>44432</v>
      </c>
      <c r="C836" s="249">
        <v>44197</v>
      </c>
      <c r="D836" s="250" t="s">
        <v>99</v>
      </c>
      <c r="E836" s="250" t="s">
        <v>364</v>
      </c>
      <c r="F836" s="251">
        <v>2000</v>
      </c>
      <c r="G836" s="452" t="s">
        <v>2110</v>
      </c>
      <c r="H836" s="250" t="s">
        <v>124</v>
      </c>
      <c r="I836" s="252" t="s">
        <v>1334</v>
      </c>
      <c r="J836" s="250" t="s">
        <v>755</v>
      </c>
      <c r="K836" s="255" t="s">
        <v>991</v>
      </c>
      <c r="L836" s="250" t="s">
        <v>1016</v>
      </c>
      <c r="M836" s="277" t="s">
        <v>2111</v>
      </c>
      <c r="N836" s="278">
        <v>44432</v>
      </c>
      <c r="O836" s="329" t="s">
        <v>67</v>
      </c>
      <c r="P836" s="330">
        <f t="shared" si="55"/>
        <v>8</v>
      </c>
      <c r="Q836" s="330">
        <f t="shared" si="56"/>
        <v>1</v>
      </c>
      <c r="R836" s="331" t="str">
        <f t="shared" si="57"/>
        <v>Gastos_Gerais</v>
      </c>
      <c r="S836" s="331" t="str">
        <f>IF(D836="","",IF(OR(D836=Plano!$A$1,D836=Plano!$B$1),"entrada","saída"))</f>
        <v>saída</v>
      </c>
      <c r="T836" s="334" t="s">
        <v>994</v>
      </c>
      <c r="U836" s="334">
        <v>1252</v>
      </c>
      <c r="V836" s="269"/>
      <c r="W836" s="269"/>
      <c r="X836" s="269"/>
      <c r="Y836" s="269"/>
      <c r="Z836" s="269"/>
      <c r="AA836" s="269"/>
      <c r="AB836" s="269"/>
      <c r="AC836" s="269"/>
      <c r="AD836" s="269"/>
      <c r="AE836" s="269"/>
      <c r="AF836" s="269"/>
      <c r="AG836" s="269"/>
      <c r="AH836" s="269"/>
      <c r="AI836" s="269"/>
      <c r="AJ836" s="269"/>
      <c r="AK836" s="269"/>
      <c r="AL836" s="269"/>
      <c r="AM836" s="269"/>
    </row>
    <row r="837" spans="1:39" ht="179.25" customHeight="1" x14ac:dyDescent="0.2">
      <c r="A837" s="277">
        <f>IF(B837="","",COUNT('Diário 5º PA'!$A$5:$A$2634)+COUNT('Diário 6º PA'!$A$5:$A$2246)+ROW()-4)</f>
        <v>3376</v>
      </c>
      <c r="B837" s="278">
        <v>44432</v>
      </c>
      <c r="C837" s="249">
        <v>44287</v>
      </c>
      <c r="D837" s="250" t="s">
        <v>99</v>
      </c>
      <c r="E837" s="250" t="s">
        <v>364</v>
      </c>
      <c r="F837" s="251">
        <v>4600</v>
      </c>
      <c r="G837" s="452" t="s">
        <v>2112</v>
      </c>
      <c r="H837" s="250" t="s">
        <v>125</v>
      </c>
      <c r="I837" s="252" t="s">
        <v>1051</v>
      </c>
      <c r="J837" s="250" t="s">
        <v>711</v>
      </c>
      <c r="K837" s="255" t="s">
        <v>991</v>
      </c>
      <c r="L837" s="250" t="s">
        <v>1016</v>
      </c>
      <c r="M837" s="277" t="s">
        <v>2002</v>
      </c>
      <c r="N837" s="278">
        <v>44432</v>
      </c>
      <c r="O837" s="329" t="s">
        <v>67</v>
      </c>
      <c r="P837" s="330">
        <f t="shared" si="55"/>
        <v>8</v>
      </c>
      <c r="Q837" s="330">
        <f t="shared" si="56"/>
        <v>4</v>
      </c>
      <c r="R837" s="331" t="str">
        <f t="shared" si="57"/>
        <v>Gastos_Gerais</v>
      </c>
      <c r="S837" s="331" t="str">
        <f>IF(D837="","",IF(OR(D837=Plano!$A$1,D837=Plano!$B$1),"entrada","saída"))</f>
        <v>saída</v>
      </c>
      <c r="T837" s="334" t="s">
        <v>994</v>
      </c>
      <c r="U837" s="334">
        <v>1517</v>
      </c>
      <c r="V837" s="269"/>
      <c r="W837" s="269"/>
      <c r="X837" s="269"/>
      <c r="Y837" s="269"/>
      <c r="Z837" s="269"/>
      <c r="AA837" s="269"/>
      <c r="AB837" s="269"/>
      <c r="AC837" s="269"/>
      <c r="AD837" s="269"/>
      <c r="AE837" s="269"/>
      <c r="AF837" s="269"/>
      <c r="AG837" s="269"/>
      <c r="AH837" s="269"/>
      <c r="AI837" s="269"/>
      <c r="AJ837" s="269"/>
      <c r="AK837" s="269"/>
      <c r="AL837" s="269"/>
      <c r="AM837" s="269"/>
    </row>
    <row r="838" spans="1:39" ht="37.5" customHeight="1" x14ac:dyDescent="0.2">
      <c r="A838" s="277">
        <f>IF(B838="","",COUNT('Diário 5º PA'!$A$5:$A$2634)+COUNT('Diário 6º PA'!$A$5:$A$2246)+ROW()-4)</f>
        <v>3377</v>
      </c>
      <c r="B838" s="278">
        <v>44432</v>
      </c>
      <c r="C838" s="335">
        <v>44409</v>
      </c>
      <c r="D838" s="255" t="s">
        <v>99</v>
      </c>
      <c r="E838" s="255" t="s">
        <v>272</v>
      </c>
      <c r="F838" s="258">
        <v>10.45</v>
      </c>
      <c r="G838" s="450" t="s">
        <v>2113</v>
      </c>
      <c r="H838" s="250" t="s">
        <v>125</v>
      </c>
      <c r="I838" s="250" t="s">
        <v>949</v>
      </c>
      <c r="J838" s="255" t="s">
        <v>950</v>
      </c>
      <c r="K838" s="255" t="s">
        <v>951</v>
      </c>
      <c r="L838" s="250" t="s">
        <v>947</v>
      </c>
      <c r="M838" s="336" t="s">
        <v>114</v>
      </c>
      <c r="N838" s="278">
        <v>44432</v>
      </c>
      <c r="O838" s="329" t="s">
        <v>67</v>
      </c>
      <c r="P838" s="330">
        <f t="shared" si="55"/>
        <v>8</v>
      </c>
      <c r="Q838" s="330">
        <f t="shared" si="56"/>
        <v>8</v>
      </c>
      <c r="R838" s="331" t="str">
        <f t="shared" si="57"/>
        <v>Gastos_Gerais</v>
      </c>
      <c r="S838" s="331" t="str">
        <f>IF(D838="","",IF(OR(D838=Plano!$A$1,D838=Plano!$B$1),"entrada","saída"))</f>
        <v>saída</v>
      </c>
      <c r="T838" s="332" t="s">
        <v>114</v>
      </c>
      <c r="U838" s="332" t="s">
        <v>114</v>
      </c>
      <c r="V838" s="269"/>
      <c r="W838" s="269"/>
      <c r="X838" s="269"/>
      <c r="Y838" s="269"/>
      <c r="Z838" s="269"/>
      <c r="AA838" s="269"/>
      <c r="AB838" s="269"/>
      <c r="AC838" s="269"/>
      <c r="AD838" s="269"/>
      <c r="AE838" s="269"/>
      <c r="AF838" s="269"/>
      <c r="AG838" s="269"/>
      <c r="AH838" s="269"/>
      <c r="AI838" s="269"/>
      <c r="AJ838" s="269"/>
      <c r="AK838" s="269"/>
      <c r="AL838" s="269"/>
      <c r="AM838" s="269"/>
    </row>
    <row r="839" spans="1:39" ht="43.5" customHeight="1" x14ac:dyDescent="0.2">
      <c r="A839" s="277">
        <f>IF(B839="","",COUNT('Diário 5º PA'!$A$5:$A$2634)+COUNT('Diário 6º PA'!$A$5:$A$2246)+ROW()-4)</f>
        <v>3378</v>
      </c>
      <c r="B839" s="278">
        <v>44432</v>
      </c>
      <c r="C839" s="335">
        <v>44409</v>
      </c>
      <c r="D839" s="255" t="s">
        <v>99</v>
      </c>
      <c r="E839" s="255" t="s">
        <v>272</v>
      </c>
      <c r="F839" s="258">
        <v>10.45</v>
      </c>
      <c r="G839" s="450" t="s">
        <v>2114</v>
      </c>
      <c r="H839" s="250" t="s">
        <v>125</v>
      </c>
      <c r="I839" s="250" t="s">
        <v>949</v>
      </c>
      <c r="J839" s="255" t="s">
        <v>950</v>
      </c>
      <c r="K839" s="255" t="s">
        <v>951</v>
      </c>
      <c r="L839" s="250" t="s">
        <v>947</v>
      </c>
      <c r="M839" s="336" t="s">
        <v>114</v>
      </c>
      <c r="N839" s="278">
        <v>44432</v>
      </c>
      <c r="O839" s="329" t="s">
        <v>67</v>
      </c>
      <c r="P839" s="330">
        <f t="shared" si="55"/>
        <v>8</v>
      </c>
      <c r="Q839" s="330">
        <f t="shared" si="56"/>
        <v>8</v>
      </c>
      <c r="R839" s="331" t="str">
        <f t="shared" si="57"/>
        <v>Gastos_Gerais</v>
      </c>
      <c r="S839" s="331" t="str">
        <f>IF(D839="","",IF(OR(D839=Plano!$A$1,D839=Plano!$B$1),"entrada","saída"))</f>
        <v>saída</v>
      </c>
      <c r="T839" s="332" t="s">
        <v>114</v>
      </c>
      <c r="U839" s="332" t="s">
        <v>114</v>
      </c>
      <c r="V839" s="269"/>
      <c r="W839" s="269"/>
      <c r="X839" s="269"/>
      <c r="Y839" s="269"/>
      <c r="Z839" s="269"/>
      <c r="AA839" s="269"/>
      <c r="AB839" s="269"/>
      <c r="AC839" s="269"/>
      <c r="AD839" s="269"/>
      <c r="AE839" s="269"/>
      <c r="AF839" s="269"/>
      <c r="AG839" s="269"/>
      <c r="AH839" s="269"/>
      <c r="AI839" s="269"/>
      <c r="AJ839" s="269"/>
      <c r="AK839" s="269"/>
      <c r="AL839" s="269"/>
      <c r="AM839" s="269"/>
    </row>
    <row r="840" spans="1:39" ht="37.5" customHeight="1" x14ac:dyDescent="0.2">
      <c r="A840" s="277">
        <f>IF(B840="","",COUNT('Diário 5º PA'!$A$5:$A$2634)+COUNT('Diário 6º PA'!$A$5:$A$2246)+ROW()-4)</f>
        <v>3379</v>
      </c>
      <c r="B840" s="278">
        <v>44432</v>
      </c>
      <c r="C840" s="335">
        <v>44409</v>
      </c>
      <c r="D840" s="255" t="s">
        <v>99</v>
      </c>
      <c r="E840" s="255" t="s">
        <v>272</v>
      </c>
      <c r="F840" s="258">
        <v>10.45</v>
      </c>
      <c r="G840" s="450" t="s">
        <v>2115</v>
      </c>
      <c r="H840" s="250" t="s">
        <v>124</v>
      </c>
      <c r="I840" s="250" t="s">
        <v>949</v>
      </c>
      <c r="J840" s="255" t="s">
        <v>950</v>
      </c>
      <c r="K840" s="255" t="s">
        <v>951</v>
      </c>
      <c r="L840" s="250" t="s">
        <v>947</v>
      </c>
      <c r="M840" s="336" t="s">
        <v>114</v>
      </c>
      <c r="N840" s="278">
        <v>44432</v>
      </c>
      <c r="O840" s="329" t="s">
        <v>67</v>
      </c>
      <c r="P840" s="330">
        <f t="shared" si="55"/>
        <v>8</v>
      </c>
      <c r="Q840" s="330">
        <f t="shared" si="56"/>
        <v>8</v>
      </c>
      <c r="R840" s="331" t="str">
        <f t="shared" si="57"/>
        <v>Gastos_Gerais</v>
      </c>
      <c r="S840" s="331" t="str">
        <f>IF(D840="","",IF(OR(D840=Plano!$A$1,D840=Plano!$B$1),"entrada","saída"))</f>
        <v>saída</v>
      </c>
      <c r="T840" s="332" t="s">
        <v>114</v>
      </c>
      <c r="U840" s="332" t="s">
        <v>114</v>
      </c>
      <c r="V840" s="269"/>
      <c r="W840" s="269"/>
      <c r="X840" s="269"/>
      <c r="Y840" s="269"/>
      <c r="Z840" s="269"/>
      <c r="AA840" s="269"/>
      <c r="AB840" s="269"/>
      <c r="AC840" s="269"/>
      <c r="AD840" s="269"/>
      <c r="AE840" s="269"/>
      <c r="AF840" s="269"/>
      <c r="AG840" s="269"/>
      <c r="AH840" s="269"/>
      <c r="AI840" s="269"/>
      <c r="AJ840" s="269"/>
      <c r="AK840" s="269"/>
      <c r="AL840" s="269"/>
      <c r="AM840" s="269"/>
    </row>
    <row r="841" spans="1:39" ht="42" customHeight="1" x14ac:dyDescent="0.2">
      <c r="A841" s="277">
        <f>IF(B841="","",COUNT('Diário 5º PA'!$A$5:$A$2634)+COUNT('Diário 6º PA'!$A$5:$A$2246)+ROW()-4)</f>
        <v>3380</v>
      </c>
      <c r="B841" s="278">
        <v>44432</v>
      </c>
      <c r="C841" s="335">
        <v>44409</v>
      </c>
      <c r="D841" s="255" t="s">
        <v>99</v>
      </c>
      <c r="E841" s="255" t="s">
        <v>272</v>
      </c>
      <c r="F841" s="258">
        <v>10.45</v>
      </c>
      <c r="G841" s="450" t="s">
        <v>2116</v>
      </c>
      <c r="H841" s="250" t="s">
        <v>125</v>
      </c>
      <c r="I841" s="250" t="s">
        <v>949</v>
      </c>
      <c r="J841" s="255" t="s">
        <v>950</v>
      </c>
      <c r="K841" s="255" t="s">
        <v>951</v>
      </c>
      <c r="L841" s="250" t="s">
        <v>947</v>
      </c>
      <c r="M841" s="336" t="s">
        <v>114</v>
      </c>
      <c r="N841" s="278">
        <v>44432</v>
      </c>
      <c r="O841" s="329" t="s">
        <v>67</v>
      </c>
      <c r="P841" s="330">
        <f t="shared" si="55"/>
        <v>8</v>
      </c>
      <c r="Q841" s="330">
        <f t="shared" si="56"/>
        <v>8</v>
      </c>
      <c r="R841" s="331" t="str">
        <f t="shared" si="57"/>
        <v>Gastos_Gerais</v>
      </c>
      <c r="S841" s="331" t="str">
        <f>IF(D841="","",IF(OR(D841=Plano!$A$1,D841=Plano!$B$1),"entrada","saída"))</f>
        <v>saída</v>
      </c>
      <c r="T841" s="332" t="s">
        <v>114</v>
      </c>
      <c r="U841" s="332" t="s">
        <v>114</v>
      </c>
      <c r="V841" s="269"/>
      <c r="W841" s="269"/>
      <c r="X841" s="269"/>
      <c r="Y841" s="269"/>
      <c r="Z841" s="269"/>
      <c r="AA841" s="269"/>
      <c r="AB841" s="269"/>
      <c r="AC841" s="269"/>
      <c r="AD841" s="269"/>
      <c r="AE841" s="269"/>
      <c r="AF841" s="269"/>
      <c r="AG841" s="269"/>
      <c r="AH841" s="269"/>
      <c r="AI841" s="269"/>
      <c r="AJ841" s="269"/>
      <c r="AK841" s="269"/>
      <c r="AL841" s="269"/>
      <c r="AM841" s="269"/>
    </row>
    <row r="842" spans="1:39" ht="67.5" customHeight="1" x14ac:dyDescent="0.2">
      <c r="A842" s="277">
        <f>IF(B842="","",COUNT('Diário 5º PA'!$A$5:$A$2634)+COUNT('Diário 6º PA'!$A$5:$A$2246)+ROW()-4)</f>
        <v>3381</v>
      </c>
      <c r="B842" s="278">
        <v>44433</v>
      </c>
      <c r="C842" s="256">
        <v>44378</v>
      </c>
      <c r="D842" s="255" t="s">
        <v>99</v>
      </c>
      <c r="E842" s="255" t="s">
        <v>254</v>
      </c>
      <c r="F842" s="258">
        <v>-114.88</v>
      </c>
      <c r="G842" s="450" t="s">
        <v>2117</v>
      </c>
      <c r="H842" s="255" t="s">
        <v>115</v>
      </c>
      <c r="I842" s="250" t="s">
        <v>983</v>
      </c>
      <c r="J842" s="255" t="s">
        <v>850</v>
      </c>
      <c r="K842" s="255" t="s">
        <v>1069</v>
      </c>
      <c r="L842" s="250" t="s">
        <v>947</v>
      </c>
      <c r="M842" s="277" t="s">
        <v>114</v>
      </c>
      <c r="N842" s="278">
        <v>44433</v>
      </c>
      <c r="O842" s="329" t="s">
        <v>67</v>
      </c>
      <c r="P842" s="330">
        <f t="shared" si="55"/>
        <v>8</v>
      </c>
      <c r="Q842" s="330">
        <f t="shared" si="56"/>
        <v>7</v>
      </c>
      <c r="R842" s="331" t="str">
        <f t="shared" si="57"/>
        <v>Gastos_Gerais</v>
      </c>
      <c r="S842" s="331" t="str">
        <f>IF(D842="","",IF(OR(D842=Plano!$A$1,D842=Plano!$B$1),"entrada","saída"))</f>
        <v>saída</v>
      </c>
      <c r="T842" s="332" t="s">
        <v>114</v>
      </c>
      <c r="U842" s="332" t="s">
        <v>114</v>
      </c>
      <c r="V842" s="269"/>
      <c r="W842" s="269"/>
      <c r="X842" s="269"/>
      <c r="Y842" s="269"/>
      <c r="Z842" s="269"/>
      <c r="AA842" s="269"/>
      <c r="AB842" s="269"/>
      <c r="AC842" s="269"/>
      <c r="AD842" s="269"/>
      <c r="AE842" s="269"/>
      <c r="AF842" s="269"/>
      <c r="AG842" s="269"/>
      <c r="AH842" s="269"/>
      <c r="AI842" s="269"/>
      <c r="AJ842" s="269"/>
      <c r="AK842" s="269"/>
      <c r="AL842" s="269"/>
      <c r="AM842" s="269"/>
    </row>
    <row r="843" spans="1:39" ht="72.75" customHeight="1" x14ac:dyDescent="0.2">
      <c r="A843" s="277">
        <f>IF(B843="","",COUNT('Diário 5º PA'!$A$5:$A$2634)+COUNT('Diário 6º PA'!$A$5:$A$2246)+ROW()-4)</f>
        <v>3382</v>
      </c>
      <c r="B843" s="278">
        <v>44433</v>
      </c>
      <c r="C843" s="256">
        <v>44378</v>
      </c>
      <c r="D843" s="255" t="s">
        <v>99</v>
      </c>
      <c r="E843" s="255" t="s">
        <v>222</v>
      </c>
      <c r="F843" s="258">
        <v>-204.23</v>
      </c>
      <c r="G843" s="450" t="s">
        <v>2118</v>
      </c>
      <c r="H843" s="255" t="s">
        <v>115</v>
      </c>
      <c r="I843" s="250" t="s">
        <v>983</v>
      </c>
      <c r="J843" s="255" t="s">
        <v>850</v>
      </c>
      <c r="K843" s="255" t="s">
        <v>1069</v>
      </c>
      <c r="L843" s="250" t="s">
        <v>947</v>
      </c>
      <c r="M843" s="277" t="s">
        <v>114</v>
      </c>
      <c r="N843" s="278">
        <v>44433</v>
      </c>
      <c r="O843" s="329" t="s">
        <v>67</v>
      </c>
      <c r="P843" s="330">
        <f t="shared" si="55"/>
        <v>8</v>
      </c>
      <c r="Q843" s="330">
        <f t="shared" si="56"/>
        <v>7</v>
      </c>
      <c r="R843" s="331" t="str">
        <f t="shared" si="57"/>
        <v>Gastos_Gerais</v>
      </c>
      <c r="S843" s="331" t="str">
        <f>IF(D843="","",IF(OR(D843=Plano!$A$1,D843=Plano!$B$1),"entrada","saída"))</f>
        <v>saída</v>
      </c>
      <c r="T843" s="332" t="s">
        <v>114</v>
      </c>
      <c r="U843" s="332" t="s">
        <v>114</v>
      </c>
      <c r="V843" s="269"/>
      <c r="W843" s="269"/>
      <c r="X843" s="269"/>
      <c r="Y843" s="269"/>
      <c r="Z843" s="269"/>
      <c r="AA843" s="269"/>
      <c r="AB843" s="269"/>
      <c r="AC843" s="269"/>
      <c r="AD843" s="269"/>
      <c r="AE843" s="269"/>
      <c r="AF843" s="269"/>
      <c r="AG843" s="269"/>
      <c r="AH843" s="269"/>
      <c r="AI843" s="269"/>
      <c r="AJ843" s="269"/>
      <c r="AK843" s="269"/>
      <c r="AL843" s="269"/>
      <c r="AM843" s="269"/>
    </row>
    <row r="844" spans="1:39" ht="111.75" customHeight="1" x14ac:dyDescent="0.2">
      <c r="A844" s="277">
        <f>IF(B844="","",COUNT('Diário 5º PA'!$A$5:$A$2634)+COUNT('Diário 6º PA'!$A$5:$A$2246)+ROW()-4)</f>
        <v>3383</v>
      </c>
      <c r="B844" s="278">
        <v>44433</v>
      </c>
      <c r="C844" s="249">
        <v>44409</v>
      </c>
      <c r="D844" s="250" t="s">
        <v>99</v>
      </c>
      <c r="E844" s="250" t="s">
        <v>350</v>
      </c>
      <c r="F844" s="251">
        <v>5000</v>
      </c>
      <c r="G844" s="452" t="s">
        <v>2119</v>
      </c>
      <c r="H844" s="250" t="s">
        <v>132</v>
      </c>
      <c r="I844" s="250" t="s">
        <v>2120</v>
      </c>
      <c r="J844" s="250" t="s">
        <v>879</v>
      </c>
      <c r="K844" s="255" t="s">
        <v>1015</v>
      </c>
      <c r="L844" s="250" t="s">
        <v>1177</v>
      </c>
      <c r="M844" s="277" t="s">
        <v>114</v>
      </c>
      <c r="N844" s="278">
        <v>44432</v>
      </c>
      <c r="O844" s="329" t="s">
        <v>67</v>
      </c>
      <c r="P844" s="330">
        <f t="shared" si="55"/>
        <v>8</v>
      </c>
      <c r="Q844" s="330">
        <f t="shared" si="56"/>
        <v>8</v>
      </c>
      <c r="R844" s="331" t="str">
        <f t="shared" si="57"/>
        <v>Gastos_Gerais</v>
      </c>
      <c r="S844" s="331" t="str">
        <f>IF(D844="","",IF(OR(D844=Plano!$A$1,D844=Plano!$B$1),"entrada","saída"))</f>
        <v>saída</v>
      </c>
      <c r="T844" s="334" t="s">
        <v>994</v>
      </c>
      <c r="U844" s="334">
        <v>1870</v>
      </c>
      <c r="V844" s="269"/>
      <c r="W844" s="269"/>
      <c r="X844" s="269"/>
      <c r="Y844" s="269"/>
      <c r="Z844" s="269"/>
      <c r="AA844" s="269"/>
      <c r="AB844" s="269"/>
      <c r="AC844" s="269"/>
      <c r="AD844" s="269"/>
      <c r="AE844" s="269"/>
      <c r="AF844" s="269"/>
      <c r="AG844" s="269"/>
      <c r="AH844" s="269"/>
      <c r="AI844" s="269"/>
      <c r="AJ844" s="269"/>
      <c r="AK844" s="269"/>
      <c r="AL844" s="269"/>
      <c r="AM844" s="269"/>
    </row>
    <row r="845" spans="1:39" ht="58.5" customHeight="1" x14ac:dyDescent="0.2">
      <c r="A845" s="277">
        <f>IF(B845="","",COUNT('Diário 5º PA'!$A$5:$A$2634)+COUNT('Diário 6º PA'!$A$5:$A$2246)+ROW()-4)</f>
        <v>3384</v>
      </c>
      <c r="B845" s="278">
        <v>44433</v>
      </c>
      <c r="C845" s="256">
        <v>44378</v>
      </c>
      <c r="D845" s="255" t="s">
        <v>57</v>
      </c>
      <c r="E845" s="255" t="s">
        <v>57</v>
      </c>
      <c r="F845" s="258">
        <v>5188.67</v>
      </c>
      <c r="G845" s="450" t="s">
        <v>2121</v>
      </c>
      <c r="H845" s="255" t="s">
        <v>114</v>
      </c>
      <c r="I845" s="250" t="s">
        <v>945</v>
      </c>
      <c r="J845" s="255" t="s">
        <v>850</v>
      </c>
      <c r="K845" s="255" t="s">
        <v>946</v>
      </c>
      <c r="L845" s="250" t="s">
        <v>947</v>
      </c>
      <c r="M845" s="277" t="s">
        <v>114</v>
      </c>
      <c r="N845" s="278">
        <v>44433</v>
      </c>
      <c r="O845" s="329" t="s">
        <v>67</v>
      </c>
      <c r="P845" s="330">
        <f t="shared" si="55"/>
        <v>8</v>
      </c>
      <c r="Q845" s="330">
        <f t="shared" si="56"/>
        <v>7</v>
      </c>
      <c r="R845" s="331" t="str">
        <f t="shared" si="57"/>
        <v>Transferência_para_Reserva_de_Recursos</v>
      </c>
      <c r="S845" s="331" t="str">
        <f>IF(D845="","",IF(OR(D845=Plano!$A$1,D845=Plano!$B$1),"entrada","saída"))</f>
        <v>saída</v>
      </c>
      <c r="T845" s="332" t="s">
        <v>114</v>
      </c>
      <c r="U845" s="332" t="s">
        <v>114</v>
      </c>
      <c r="V845" s="269"/>
      <c r="W845" s="269"/>
      <c r="X845" s="269"/>
      <c r="Y845" s="269"/>
      <c r="Z845" s="269"/>
      <c r="AA845" s="269"/>
      <c r="AB845" s="269"/>
      <c r="AC845" s="269"/>
      <c r="AD845" s="269"/>
      <c r="AE845" s="269"/>
      <c r="AF845" s="269"/>
      <c r="AG845" s="269"/>
      <c r="AH845" s="269"/>
      <c r="AI845" s="269"/>
      <c r="AJ845" s="269"/>
      <c r="AK845" s="269"/>
      <c r="AL845" s="269"/>
      <c r="AM845" s="269"/>
    </row>
    <row r="846" spans="1:39" ht="38.25" customHeight="1" x14ac:dyDescent="0.2">
      <c r="A846" s="277">
        <f>IF(B846="","",COUNT('Diário 5º PA'!$A$5:$A$2634)+COUNT('Diário 6º PA'!$A$5:$A$2246)+ROW()-4)</f>
        <v>3385</v>
      </c>
      <c r="B846" s="278">
        <v>44433</v>
      </c>
      <c r="C846" s="256">
        <v>44378</v>
      </c>
      <c r="D846" s="255" t="s">
        <v>88</v>
      </c>
      <c r="E846" s="255" t="s">
        <v>169</v>
      </c>
      <c r="F846" s="258">
        <v>1242.54</v>
      </c>
      <c r="G846" s="450" t="s">
        <v>2122</v>
      </c>
      <c r="H846" s="255" t="s">
        <v>114</v>
      </c>
      <c r="I846" s="250" t="s">
        <v>488</v>
      </c>
      <c r="J846" s="255" t="s">
        <v>114</v>
      </c>
      <c r="K846" s="255" t="s">
        <v>466</v>
      </c>
      <c r="L846" s="250" t="s">
        <v>489</v>
      </c>
      <c r="M846" s="277" t="s">
        <v>114</v>
      </c>
      <c r="N846" s="278">
        <v>44407</v>
      </c>
      <c r="O846" s="329" t="s">
        <v>67</v>
      </c>
      <c r="P846" s="330">
        <f t="shared" si="55"/>
        <v>8</v>
      </c>
      <c r="Q846" s="330">
        <f t="shared" si="56"/>
        <v>7</v>
      </c>
      <c r="R846" s="331" t="str">
        <f t="shared" si="57"/>
        <v>Gastos_com_Pessoal</v>
      </c>
      <c r="S846" s="331" t="str">
        <f>IF(D846="","",IF(OR(D846=Plano!$A$1,D846=Plano!$B$1),"entrada","saída"))</f>
        <v>saída</v>
      </c>
      <c r="T846" s="332" t="s">
        <v>114</v>
      </c>
      <c r="U846" s="332" t="s">
        <v>114</v>
      </c>
      <c r="V846" s="269"/>
      <c r="W846" s="269"/>
      <c r="X846" s="269"/>
      <c r="Y846" s="269"/>
      <c r="Z846" s="269"/>
      <c r="AA846" s="269"/>
      <c r="AB846" s="269"/>
      <c r="AC846" s="269"/>
      <c r="AD846" s="269"/>
      <c r="AE846" s="269"/>
      <c r="AF846" s="269"/>
      <c r="AG846" s="269"/>
      <c r="AH846" s="269"/>
      <c r="AI846" s="269"/>
      <c r="AJ846" s="269"/>
      <c r="AK846" s="269"/>
      <c r="AL846" s="269"/>
      <c r="AM846" s="269"/>
    </row>
    <row r="847" spans="1:39" ht="145.5" customHeight="1" x14ac:dyDescent="0.2">
      <c r="A847" s="277">
        <f>IF(B847="","",COUNT('Diário 5º PA'!$A$5:$A$2634)+COUNT('Diário 6º PA'!$A$5:$A$2246)+ROW()-4)</f>
        <v>3386</v>
      </c>
      <c r="B847" s="278">
        <v>44433</v>
      </c>
      <c r="C847" s="256">
        <v>44378</v>
      </c>
      <c r="D847" s="255" t="s">
        <v>99</v>
      </c>
      <c r="E847" s="255" t="s">
        <v>254</v>
      </c>
      <c r="F847" s="258">
        <v>435</v>
      </c>
      <c r="G847" s="450" t="s">
        <v>445</v>
      </c>
      <c r="H847" s="255" t="s">
        <v>115</v>
      </c>
      <c r="I847" s="252" t="s">
        <v>1573</v>
      </c>
      <c r="J847" s="255" t="s">
        <v>1574</v>
      </c>
      <c r="K847" s="255" t="s">
        <v>991</v>
      </c>
      <c r="L847" s="250" t="s">
        <v>1378</v>
      </c>
      <c r="M847" s="277">
        <v>21381</v>
      </c>
      <c r="N847" s="278">
        <v>44419</v>
      </c>
      <c r="O847" s="329" t="s">
        <v>67</v>
      </c>
      <c r="P847" s="330">
        <f t="shared" si="55"/>
        <v>8</v>
      </c>
      <c r="Q847" s="330">
        <f t="shared" si="56"/>
        <v>7</v>
      </c>
      <c r="R847" s="331" t="str">
        <f t="shared" si="57"/>
        <v>Gastos_Gerais</v>
      </c>
      <c r="S847" s="331" t="str">
        <f>IF(D847="","",IF(OR(D847=Plano!$A$1,D847=Plano!$B$1),"entrada","saída"))</f>
        <v>saída</v>
      </c>
      <c r="T847" s="332" t="s">
        <v>1059</v>
      </c>
      <c r="U847" s="332">
        <v>1117</v>
      </c>
      <c r="V847" s="269"/>
      <c r="W847" s="269"/>
      <c r="X847" s="269"/>
      <c r="Y847" s="269"/>
      <c r="Z847" s="269"/>
      <c r="AA847" s="269"/>
      <c r="AB847" s="269"/>
      <c r="AC847" s="269"/>
      <c r="AD847" s="269"/>
      <c r="AE847" s="269"/>
      <c r="AF847" s="269"/>
      <c r="AG847" s="269"/>
      <c r="AH847" s="269"/>
      <c r="AI847" s="269"/>
      <c r="AJ847" s="269"/>
      <c r="AK847" s="269"/>
      <c r="AL847" s="269"/>
      <c r="AM847" s="269"/>
    </row>
    <row r="848" spans="1:39" ht="33.75" customHeight="1" x14ac:dyDescent="0.2">
      <c r="A848" s="277">
        <f>IF(B848="","",COUNT('Diário 5º PA'!$A$5:$A$2634)+COUNT('Diário 6º PA'!$A$5:$A$2246)+ROW()-4)</f>
        <v>3387</v>
      </c>
      <c r="B848" s="278">
        <v>44433</v>
      </c>
      <c r="C848" s="335">
        <v>44409</v>
      </c>
      <c r="D848" s="255" t="s">
        <v>99</v>
      </c>
      <c r="E848" s="255" t="s">
        <v>218</v>
      </c>
      <c r="F848" s="258">
        <v>33.909999999999997</v>
      </c>
      <c r="G848" s="450" t="s">
        <v>2123</v>
      </c>
      <c r="H848" s="255" t="s">
        <v>129</v>
      </c>
      <c r="I848" s="250" t="s">
        <v>515</v>
      </c>
      <c r="J848" s="255" t="s">
        <v>699</v>
      </c>
      <c r="K848" s="255" t="s">
        <v>700</v>
      </c>
      <c r="L848" s="250" t="s">
        <v>697</v>
      </c>
      <c r="M848" s="277" t="s">
        <v>2124</v>
      </c>
      <c r="N848" s="278">
        <v>44419</v>
      </c>
      <c r="O848" s="329" t="s">
        <v>67</v>
      </c>
      <c r="P848" s="330">
        <f t="shared" si="55"/>
        <v>8</v>
      </c>
      <c r="Q848" s="330">
        <f t="shared" si="56"/>
        <v>8</v>
      </c>
      <c r="R848" s="331" t="str">
        <f t="shared" si="57"/>
        <v>Gastos_Gerais</v>
      </c>
      <c r="S848" s="331" t="str">
        <f>IF(D848="","",IF(OR(D848=Plano!$A$1,D848=Plano!$B$1),"entrada","saída"))</f>
        <v>saída</v>
      </c>
      <c r="T848" s="332" t="s">
        <v>114</v>
      </c>
      <c r="U848" s="332" t="s">
        <v>114</v>
      </c>
      <c r="V848" s="269"/>
      <c r="W848" s="269"/>
      <c r="X848" s="269"/>
      <c r="Y848" s="269"/>
      <c r="Z848" s="269"/>
      <c r="AA848" s="269"/>
      <c r="AB848" s="269"/>
      <c r="AC848" s="269"/>
      <c r="AD848" s="269"/>
      <c r="AE848" s="269"/>
      <c r="AF848" s="269"/>
      <c r="AG848" s="269"/>
      <c r="AH848" s="269"/>
      <c r="AI848" s="269"/>
      <c r="AJ848" s="269"/>
      <c r="AK848" s="269"/>
      <c r="AL848" s="269"/>
      <c r="AM848" s="269"/>
    </row>
    <row r="849" spans="1:39" ht="49.5" customHeight="1" x14ac:dyDescent="0.2">
      <c r="A849" s="277">
        <f>IF(B849="","",COUNT('Diário 5º PA'!$A$5:$A$2634)+COUNT('Diário 6º PA'!$A$5:$A$2246)+ROW()-4)</f>
        <v>3388</v>
      </c>
      <c r="B849" s="278">
        <v>44433</v>
      </c>
      <c r="C849" s="249">
        <v>44409</v>
      </c>
      <c r="D849" s="250" t="s">
        <v>99</v>
      </c>
      <c r="E849" s="250" t="s">
        <v>330</v>
      </c>
      <c r="F849" s="251">
        <v>300</v>
      </c>
      <c r="G849" s="452" t="s">
        <v>2125</v>
      </c>
      <c r="H849" s="250" t="s">
        <v>115</v>
      </c>
      <c r="I849" s="252" t="s">
        <v>1570</v>
      </c>
      <c r="J849" s="250" t="s">
        <v>646</v>
      </c>
      <c r="K849" s="255" t="s">
        <v>560</v>
      </c>
      <c r="L849" s="250" t="s">
        <v>992</v>
      </c>
      <c r="M849" s="277">
        <v>4976747</v>
      </c>
      <c r="N849" s="278">
        <v>44435</v>
      </c>
      <c r="O849" s="329" t="s">
        <v>67</v>
      </c>
      <c r="P849" s="330">
        <f t="shared" si="55"/>
        <v>8</v>
      </c>
      <c r="Q849" s="330">
        <f t="shared" si="56"/>
        <v>8</v>
      </c>
      <c r="R849" s="331" t="str">
        <f t="shared" si="57"/>
        <v>Gastos_Gerais</v>
      </c>
      <c r="S849" s="331" t="str">
        <f>IF(D849="","",IF(OR(D849=Plano!$A$1,D849=Plano!$B$1),"entrada","saída"))</f>
        <v>saída</v>
      </c>
      <c r="T849" s="334" t="s">
        <v>1059</v>
      </c>
      <c r="U849" s="334">
        <v>1551</v>
      </c>
      <c r="V849" s="269"/>
      <c r="W849" s="269"/>
      <c r="X849" s="269"/>
      <c r="Y849" s="269"/>
      <c r="Z849" s="269"/>
      <c r="AA849" s="269"/>
      <c r="AB849" s="269"/>
      <c r="AC849" s="269"/>
      <c r="AD849" s="269"/>
      <c r="AE849" s="269"/>
      <c r="AF849" s="269"/>
      <c r="AG849" s="269"/>
      <c r="AH849" s="269"/>
      <c r="AI849" s="269"/>
      <c r="AJ849" s="269"/>
      <c r="AK849" s="269"/>
      <c r="AL849" s="269"/>
      <c r="AM849" s="269"/>
    </row>
    <row r="850" spans="1:39" ht="60.75" customHeight="1" x14ac:dyDescent="0.2">
      <c r="A850" s="277">
        <f>IF(B850="","",COUNT('Diário 5º PA'!$A$5:$A$2634)+COUNT('Diário 6º PA'!$A$5:$A$2246)+ROW()-4)</f>
        <v>3389</v>
      </c>
      <c r="B850" s="278">
        <v>44433</v>
      </c>
      <c r="C850" s="256">
        <v>44378</v>
      </c>
      <c r="D850" s="255" t="s">
        <v>99</v>
      </c>
      <c r="E850" s="255" t="s">
        <v>222</v>
      </c>
      <c r="F850" s="258">
        <v>773.3</v>
      </c>
      <c r="G850" s="450" t="s">
        <v>2126</v>
      </c>
      <c r="H850" s="255" t="s">
        <v>115</v>
      </c>
      <c r="I850" s="250" t="s">
        <v>525</v>
      </c>
      <c r="J850" s="255" t="s">
        <v>1568</v>
      </c>
      <c r="K850" s="255" t="s">
        <v>1375</v>
      </c>
      <c r="L850" s="250" t="s">
        <v>697</v>
      </c>
      <c r="M850" s="277" t="s">
        <v>114</v>
      </c>
      <c r="N850" s="278">
        <v>44415</v>
      </c>
      <c r="O850" s="329" t="s">
        <v>67</v>
      </c>
      <c r="P850" s="330">
        <f t="shared" si="55"/>
        <v>8</v>
      </c>
      <c r="Q850" s="330">
        <f t="shared" si="56"/>
        <v>7</v>
      </c>
      <c r="R850" s="331" t="str">
        <f t="shared" si="57"/>
        <v>Gastos_Gerais</v>
      </c>
      <c r="S850" s="331" t="str">
        <f>IF(D850="","",IF(OR(D850=Plano!$A$1,D850=Plano!$B$1),"entrada","saída"))</f>
        <v>saída</v>
      </c>
      <c r="T850" s="332" t="s">
        <v>114</v>
      </c>
      <c r="U850" s="332" t="s">
        <v>114</v>
      </c>
      <c r="V850" s="269"/>
      <c r="W850" s="269"/>
      <c r="X850" s="269"/>
      <c r="Y850" s="269"/>
      <c r="Z850" s="269"/>
      <c r="AA850" s="269"/>
      <c r="AB850" s="269"/>
      <c r="AC850" s="269"/>
      <c r="AD850" s="269"/>
      <c r="AE850" s="269"/>
      <c r="AF850" s="269"/>
      <c r="AG850" s="269"/>
      <c r="AH850" s="269"/>
      <c r="AI850" s="269"/>
      <c r="AJ850" s="269"/>
      <c r="AK850" s="269"/>
      <c r="AL850" s="269"/>
      <c r="AM850" s="269"/>
    </row>
    <row r="851" spans="1:39" ht="42.75" customHeight="1" x14ac:dyDescent="0.2">
      <c r="A851" s="277">
        <f>IF(B851="","",COUNT('Diário 5º PA'!$A$5:$A$2634)+COUNT('Diário 6º PA'!$A$5:$A$2246)+ROW()-4)</f>
        <v>3390</v>
      </c>
      <c r="B851" s="278">
        <v>44433</v>
      </c>
      <c r="C851" s="256">
        <v>44378</v>
      </c>
      <c r="D851" s="255" t="s">
        <v>99</v>
      </c>
      <c r="E851" s="255" t="s">
        <v>276</v>
      </c>
      <c r="F851" s="258">
        <v>236.31</v>
      </c>
      <c r="G851" s="450" t="s">
        <v>2127</v>
      </c>
      <c r="H851" s="255" t="s">
        <v>114</v>
      </c>
      <c r="I851" s="252" t="s">
        <v>488</v>
      </c>
      <c r="J851" s="252" t="s">
        <v>114</v>
      </c>
      <c r="K851" s="252" t="s">
        <v>466</v>
      </c>
      <c r="L851" s="252" t="s">
        <v>489</v>
      </c>
      <c r="M851" s="277" t="s">
        <v>114</v>
      </c>
      <c r="N851" s="278">
        <v>44408</v>
      </c>
      <c r="O851" s="329" t="s">
        <v>67</v>
      </c>
      <c r="P851" s="330">
        <f t="shared" si="55"/>
        <v>8</v>
      </c>
      <c r="Q851" s="330">
        <f t="shared" si="56"/>
        <v>7</v>
      </c>
      <c r="R851" s="331" t="str">
        <f t="shared" si="57"/>
        <v>Gastos_Gerais</v>
      </c>
      <c r="S851" s="331" t="str">
        <f>IF(D851="","",IF(OR(D851=Plano!$A$1,D851=Plano!$B$1),"entrada","saída"))</f>
        <v>saída</v>
      </c>
      <c r="T851" s="332" t="s">
        <v>114</v>
      </c>
      <c r="U851" s="332" t="s">
        <v>114</v>
      </c>
      <c r="V851" s="269"/>
      <c r="W851" s="269"/>
      <c r="X851" s="269"/>
      <c r="Y851" s="269"/>
      <c r="Z851" s="269"/>
      <c r="AA851" s="269"/>
      <c r="AB851" s="269"/>
      <c r="AC851" s="269"/>
      <c r="AD851" s="269"/>
      <c r="AE851" s="269"/>
      <c r="AF851" s="269"/>
      <c r="AG851" s="269"/>
      <c r="AH851" s="269"/>
      <c r="AI851" s="269"/>
      <c r="AJ851" s="269"/>
      <c r="AK851" s="269"/>
      <c r="AL851" s="269"/>
      <c r="AM851" s="269"/>
    </row>
    <row r="852" spans="1:39" ht="42.75" customHeight="1" x14ac:dyDescent="0.2">
      <c r="A852" s="277">
        <f>IF(B852="","",COUNT('Diário 5º PA'!$A$5:$A$2634)+COUNT('Diário 6º PA'!$A$5:$A$2246)+ROW()-4)</f>
        <v>3391</v>
      </c>
      <c r="B852" s="278">
        <v>44433</v>
      </c>
      <c r="C852" s="256">
        <v>44378</v>
      </c>
      <c r="D852" s="255" t="s">
        <v>104</v>
      </c>
      <c r="E852" s="255" t="s">
        <v>104</v>
      </c>
      <c r="F852" s="258">
        <v>16.920000000000002</v>
      </c>
      <c r="G852" s="450" t="s">
        <v>2128</v>
      </c>
      <c r="H852" s="250" t="s">
        <v>104</v>
      </c>
      <c r="I852" s="252" t="s">
        <v>488</v>
      </c>
      <c r="J852" s="252" t="s">
        <v>114</v>
      </c>
      <c r="K852" s="252" t="s">
        <v>466</v>
      </c>
      <c r="L852" s="252" t="s">
        <v>489</v>
      </c>
      <c r="M852" s="277" t="s">
        <v>114</v>
      </c>
      <c r="N852" s="278">
        <v>44408</v>
      </c>
      <c r="O852" s="329" t="s">
        <v>70</v>
      </c>
      <c r="P852" s="330">
        <f t="shared" si="55"/>
        <v>8</v>
      </c>
      <c r="Q852" s="330">
        <f t="shared" si="56"/>
        <v>7</v>
      </c>
      <c r="R852" s="331" t="str">
        <f t="shared" si="57"/>
        <v>Gastos_custeados_por_captação</v>
      </c>
      <c r="S852" s="331" t="str">
        <f>IF(D852="","",IF(OR(D852=Plano!$A$1,D852=Plano!$B$1),"entrada","saída"))</f>
        <v>saída</v>
      </c>
      <c r="T852" s="332" t="s">
        <v>114</v>
      </c>
      <c r="U852" s="332" t="s">
        <v>114</v>
      </c>
      <c r="V852" s="269"/>
      <c r="W852" s="269"/>
      <c r="X852" s="269"/>
      <c r="Y852" s="269"/>
      <c r="Z852" s="269"/>
      <c r="AA852" s="269"/>
      <c r="AB852" s="269"/>
      <c r="AC852" s="269"/>
      <c r="AD852" s="269"/>
      <c r="AE852" s="269"/>
      <c r="AF852" s="269"/>
      <c r="AG852" s="269"/>
      <c r="AH852" s="269"/>
      <c r="AI852" s="269"/>
      <c r="AJ852" s="269"/>
      <c r="AK852" s="269"/>
      <c r="AL852" s="269"/>
      <c r="AM852" s="269"/>
    </row>
    <row r="853" spans="1:39" ht="171.75" customHeight="1" x14ac:dyDescent="0.2">
      <c r="A853" s="277">
        <f>IF(B853="","",COUNT('Diário 5º PA'!$A$5:$A$2634)+COUNT('Diário 6º PA'!$A$5:$A$2246)+ROW()-4)</f>
        <v>3392</v>
      </c>
      <c r="B853" s="278">
        <v>44433</v>
      </c>
      <c r="C853" s="249">
        <v>44378</v>
      </c>
      <c r="D853" s="250" t="s">
        <v>99</v>
      </c>
      <c r="E853" s="250" t="s">
        <v>364</v>
      </c>
      <c r="F853" s="251">
        <v>7350</v>
      </c>
      <c r="G853" s="452" t="s">
        <v>2129</v>
      </c>
      <c r="H853" s="250" t="s">
        <v>131</v>
      </c>
      <c r="I853" s="250" t="s">
        <v>1728</v>
      </c>
      <c r="J853" s="250" t="s">
        <v>1729</v>
      </c>
      <c r="K853" s="255" t="s">
        <v>991</v>
      </c>
      <c r="L853" s="250" t="s">
        <v>992</v>
      </c>
      <c r="M853" s="277" t="s">
        <v>1081</v>
      </c>
      <c r="N853" s="278">
        <v>44433</v>
      </c>
      <c r="O853" s="329" t="s">
        <v>67</v>
      </c>
      <c r="P853" s="330">
        <f t="shared" ref="P853:P939" si="67">IF(B853=0,0,IF(YEAR(B853)=$Q$1,MONTH(B853)-$P$1+1,(YEAR(B853)-$Q$1)*12-$P$1+1+MONTH(B853)))</f>
        <v>8</v>
      </c>
      <c r="Q853" s="330">
        <f t="shared" ref="Q853:Q939" si="68">IF(C853=0,0,IF(YEAR(C853)=$Q$1,MONTH(C853)-$P$1+1,(YEAR(C853)-$Q$1)*12-$P$1+1+MONTH(C853)))</f>
        <v>7</v>
      </c>
      <c r="R853" s="331" t="str">
        <f t="shared" ref="R853:R939" si="69">SUBSTITUTE(D853," ","_")</f>
        <v>Gastos_Gerais</v>
      </c>
      <c r="S853" s="331" t="str">
        <f>IF(D853="","",IF(OR(D853=Plano!$A$1,D853=Plano!$B$1),"entrada","saída"))</f>
        <v>saída</v>
      </c>
      <c r="T853" s="334" t="s">
        <v>994</v>
      </c>
      <c r="U853" s="334">
        <v>1815</v>
      </c>
      <c r="V853" s="269"/>
      <c r="W853" s="269"/>
      <c r="X853" s="269"/>
      <c r="Y853" s="269"/>
      <c r="Z853" s="269"/>
      <c r="AA853" s="269"/>
      <c r="AB853" s="269"/>
      <c r="AC853" s="269"/>
      <c r="AD853" s="269"/>
      <c r="AE853" s="269"/>
      <c r="AF853" s="269"/>
      <c r="AG853" s="269"/>
      <c r="AH853" s="269"/>
      <c r="AI853" s="269"/>
      <c r="AJ853" s="269"/>
      <c r="AK853" s="269"/>
      <c r="AL853" s="269"/>
      <c r="AM853" s="269"/>
    </row>
    <row r="854" spans="1:39" ht="40.5" customHeight="1" x14ac:dyDescent="0.2">
      <c r="A854" s="277">
        <f>IF(B854="","",COUNT('Diário 5º PA'!$A$5:$A$2634)+COUNT('Diário 6º PA'!$A$5:$A$2246)+ROW()-4)</f>
        <v>3393</v>
      </c>
      <c r="B854" s="278">
        <v>44433</v>
      </c>
      <c r="C854" s="249">
        <v>44409</v>
      </c>
      <c r="D854" s="255" t="s">
        <v>99</v>
      </c>
      <c r="E854" s="255" t="s">
        <v>272</v>
      </c>
      <c r="F854" s="258">
        <v>10.45</v>
      </c>
      <c r="G854" s="450" t="s">
        <v>1585</v>
      </c>
      <c r="H854" s="255" t="s">
        <v>115</v>
      </c>
      <c r="I854" s="250" t="s">
        <v>949</v>
      </c>
      <c r="J854" s="255" t="s">
        <v>950</v>
      </c>
      <c r="K854" s="255" t="s">
        <v>951</v>
      </c>
      <c r="L854" s="250" t="s">
        <v>947</v>
      </c>
      <c r="M854" s="336" t="s">
        <v>114</v>
      </c>
      <c r="N854" s="278">
        <v>44433</v>
      </c>
      <c r="O854" s="329" t="s">
        <v>67</v>
      </c>
      <c r="P854" s="330">
        <f t="shared" si="67"/>
        <v>8</v>
      </c>
      <c r="Q854" s="330">
        <f t="shared" si="68"/>
        <v>8</v>
      </c>
      <c r="R854" s="331" t="str">
        <f t="shared" si="69"/>
        <v>Gastos_Gerais</v>
      </c>
      <c r="S854" s="331" t="str">
        <f>IF(D854="","",IF(OR(D854=Plano!$A$1,D854=Plano!$B$1),"entrada","saída"))</f>
        <v>saída</v>
      </c>
      <c r="T854" s="332" t="s">
        <v>114</v>
      </c>
      <c r="U854" s="332" t="s">
        <v>114</v>
      </c>
      <c r="V854" s="269"/>
      <c r="W854" s="269"/>
      <c r="X854" s="269"/>
      <c r="Y854" s="269"/>
      <c r="Z854" s="269"/>
      <c r="AA854" s="269"/>
      <c r="AB854" s="269"/>
      <c r="AC854" s="269"/>
      <c r="AD854" s="269"/>
      <c r="AE854" s="269"/>
      <c r="AF854" s="269"/>
      <c r="AG854" s="269"/>
      <c r="AH854" s="269"/>
      <c r="AI854" s="269"/>
      <c r="AJ854" s="269"/>
      <c r="AK854" s="269"/>
      <c r="AL854" s="269"/>
      <c r="AM854" s="269"/>
    </row>
    <row r="855" spans="1:39" ht="48" customHeight="1" x14ac:dyDescent="0.2">
      <c r="A855" s="277">
        <f>IF(B855="","",COUNT('Diário 5º PA'!$A$5:$A$2634)+COUNT('Diário 6º PA'!$A$5:$A$2246)+ROW()-4)</f>
        <v>3394</v>
      </c>
      <c r="B855" s="278">
        <v>44433</v>
      </c>
      <c r="C855" s="335">
        <v>44409</v>
      </c>
      <c r="D855" s="255" t="s">
        <v>99</v>
      </c>
      <c r="E855" s="255" t="s">
        <v>272</v>
      </c>
      <c r="F855" s="258">
        <v>10.45</v>
      </c>
      <c r="G855" s="450" t="s">
        <v>1736</v>
      </c>
      <c r="H855" s="252" t="s">
        <v>131</v>
      </c>
      <c r="I855" s="250" t="s">
        <v>949</v>
      </c>
      <c r="J855" s="255" t="s">
        <v>950</v>
      </c>
      <c r="K855" s="255" t="s">
        <v>951</v>
      </c>
      <c r="L855" s="250" t="s">
        <v>947</v>
      </c>
      <c r="M855" s="336" t="s">
        <v>114</v>
      </c>
      <c r="N855" s="278">
        <v>44433</v>
      </c>
      <c r="O855" s="329" t="s">
        <v>67</v>
      </c>
      <c r="P855" s="330">
        <f t="shared" si="67"/>
        <v>8</v>
      </c>
      <c r="Q855" s="330">
        <f t="shared" si="68"/>
        <v>8</v>
      </c>
      <c r="R855" s="331" t="str">
        <f t="shared" si="69"/>
        <v>Gastos_Gerais</v>
      </c>
      <c r="S855" s="331" t="str">
        <f>IF(D855="","",IF(OR(D855=Plano!$A$1,D855=Plano!$B$1),"entrada","saída"))</f>
        <v>saída</v>
      </c>
      <c r="T855" s="332" t="s">
        <v>114</v>
      </c>
      <c r="U855" s="332" t="s">
        <v>114</v>
      </c>
      <c r="V855" s="269"/>
      <c r="W855" s="269"/>
      <c r="X855" s="269"/>
      <c r="Y855" s="269"/>
      <c r="Z855" s="269"/>
      <c r="AA855" s="269"/>
      <c r="AB855" s="269"/>
      <c r="AC855" s="269"/>
      <c r="AD855" s="269"/>
      <c r="AE855" s="269"/>
      <c r="AF855" s="269"/>
      <c r="AG855" s="269"/>
      <c r="AH855" s="269"/>
      <c r="AI855" s="269"/>
      <c r="AJ855" s="269"/>
      <c r="AK855" s="269"/>
      <c r="AL855" s="269"/>
      <c r="AM855" s="269"/>
    </row>
    <row r="856" spans="1:39" s="478" customFormat="1" ht="48" customHeight="1" x14ac:dyDescent="0.2">
      <c r="A856" s="277">
        <f>IF(B856="","",COUNT('Diário 5º PA'!$A$5:$A$2634)+COUNT('Diário 6º PA'!$A$5:$A$2246)+ROW()-4)</f>
        <v>3395</v>
      </c>
      <c r="B856" s="278">
        <v>44433</v>
      </c>
      <c r="C856" s="249">
        <v>44409</v>
      </c>
      <c r="D856" s="250" t="s">
        <v>104</v>
      </c>
      <c r="E856" s="250" t="s">
        <v>104</v>
      </c>
      <c r="F856" s="251">
        <v>2561.9699999999998</v>
      </c>
      <c r="G856" s="452" t="s">
        <v>5421</v>
      </c>
      <c r="H856" s="250" t="s">
        <v>104</v>
      </c>
      <c r="I856" s="250" t="s">
        <v>5452</v>
      </c>
      <c r="J856" s="440" t="s">
        <v>1218</v>
      </c>
      <c r="K856" s="479" t="s">
        <v>991</v>
      </c>
      <c r="L856" s="250" t="s">
        <v>992</v>
      </c>
      <c r="M856" s="277" t="s">
        <v>5453</v>
      </c>
      <c r="N856" s="278">
        <v>44432</v>
      </c>
      <c r="O856" s="329" t="s">
        <v>5377</v>
      </c>
      <c r="P856" s="330">
        <f t="shared" ref="P856:P857" si="70">IF(B856=0,0,IF(YEAR(B856)=$Q$1,MONTH(B856)-$P$1+1,(YEAR(B856)-$Q$1)*12-$P$1+1+MONTH(B856)))</f>
        <v>8</v>
      </c>
      <c r="Q856" s="330">
        <f t="shared" ref="Q856:Q857" si="71">IF(C856=0,0,IF(YEAR(C856)=$Q$1,MONTH(C856)-$P$1+1,(YEAR(C856)-$Q$1)*12-$P$1+1+MONTH(C856)))</f>
        <v>8</v>
      </c>
      <c r="R856" s="331" t="str">
        <f t="shared" ref="R856:R857" si="72">SUBSTITUTE(D856," ","_")</f>
        <v>Gastos_custeados_por_captação</v>
      </c>
      <c r="S856" s="331" t="str">
        <f>IF(D856="","",IF(OR(D856=Plano!$A$1,D856=Plano!$B$1),"entrada","saída"))</f>
        <v>saída</v>
      </c>
      <c r="T856" s="332" t="s">
        <v>994</v>
      </c>
      <c r="U856" s="332">
        <v>1929</v>
      </c>
      <c r="V856" s="439"/>
      <c r="W856" s="439"/>
      <c r="X856" s="439"/>
      <c r="Y856" s="439"/>
      <c r="Z856" s="439"/>
      <c r="AA856" s="439"/>
      <c r="AB856" s="439"/>
      <c r="AC856" s="439"/>
      <c r="AD856" s="439"/>
      <c r="AE856" s="439"/>
      <c r="AF856" s="439"/>
      <c r="AG856" s="439"/>
      <c r="AH856" s="439"/>
      <c r="AI856" s="439"/>
      <c r="AJ856" s="439"/>
      <c r="AK856" s="439"/>
      <c r="AL856" s="439"/>
      <c r="AM856" s="439"/>
    </row>
    <row r="857" spans="1:39" s="478" customFormat="1" ht="48" customHeight="1" x14ac:dyDescent="0.2">
      <c r="A857" s="277">
        <f>IF(B857="","",COUNT('Diário 5º PA'!$A$5:$A$2634)+COUNT('Diário 6º PA'!$A$5:$A$2246)+ROW()-4)</f>
        <v>3396</v>
      </c>
      <c r="B857" s="278">
        <v>44433</v>
      </c>
      <c r="C857" s="335">
        <v>44409</v>
      </c>
      <c r="D857" s="250" t="s">
        <v>104</v>
      </c>
      <c r="E857" s="250" t="s">
        <v>104</v>
      </c>
      <c r="F857" s="258">
        <v>10.45</v>
      </c>
      <c r="G857" s="450" t="s">
        <v>5451</v>
      </c>
      <c r="H857" s="250" t="s">
        <v>104</v>
      </c>
      <c r="I857" s="250" t="s">
        <v>949</v>
      </c>
      <c r="J857" s="255" t="s">
        <v>950</v>
      </c>
      <c r="K857" s="255" t="s">
        <v>951</v>
      </c>
      <c r="L857" s="250" t="s">
        <v>947</v>
      </c>
      <c r="M857" s="336" t="s">
        <v>114</v>
      </c>
      <c r="N857" s="278">
        <v>44433</v>
      </c>
      <c r="O857" s="329" t="s">
        <v>5377</v>
      </c>
      <c r="P857" s="330">
        <f t="shared" si="70"/>
        <v>8</v>
      </c>
      <c r="Q857" s="330">
        <f t="shared" si="71"/>
        <v>8</v>
      </c>
      <c r="R857" s="331" t="str">
        <f t="shared" si="72"/>
        <v>Gastos_custeados_por_captação</v>
      </c>
      <c r="S857" s="331" t="str">
        <f>IF(D857="","",IF(OR(D857=Plano!$A$1,D857=Plano!$B$1),"entrada","saída"))</f>
        <v>saída</v>
      </c>
      <c r="T857" s="332" t="s">
        <v>114</v>
      </c>
      <c r="U857" s="332" t="s">
        <v>114</v>
      </c>
      <c r="V857" s="439"/>
      <c r="W857" s="439"/>
      <c r="X857" s="439"/>
      <c r="Y857" s="439"/>
      <c r="Z857" s="439"/>
      <c r="AA857" s="439"/>
      <c r="AB857" s="439"/>
      <c r="AC857" s="439"/>
      <c r="AD857" s="439"/>
      <c r="AE857" s="439"/>
      <c r="AF857" s="439"/>
      <c r="AG857" s="439"/>
      <c r="AH857" s="439"/>
      <c r="AI857" s="439"/>
      <c r="AJ857" s="439"/>
      <c r="AK857" s="439"/>
      <c r="AL857" s="439"/>
      <c r="AM857" s="439"/>
    </row>
    <row r="858" spans="1:39" ht="110.25" customHeight="1" x14ac:dyDescent="0.2">
      <c r="A858" s="277">
        <f>IF(B858="","",COUNT('Diário 5º PA'!$A$5:$A$2634)+COUNT('Diário 6º PA'!$A$5:$A$2246)+ROW()-4)</f>
        <v>3397</v>
      </c>
      <c r="B858" s="278">
        <v>44434</v>
      </c>
      <c r="C858" s="249">
        <v>44409</v>
      </c>
      <c r="D858" s="250" t="s">
        <v>99</v>
      </c>
      <c r="E858" s="250" t="s">
        <v>350</v>
      </c>
      <c r="F858" s="251">
        <v>2500</v>
      </c>
      <c r="G858" s="452" t="s">
        <v>2130</v>
      </c>
      <c r="H858" s="250" t="s">
        <v>132</v>
      </c>
      <c r="I858" s="250" t="s">
        <v>2131</v>
      </c>
      <c r="J858" s="250" t="s">
        <v>2132</v>
      </c>
      <c r="K858" s="255" t="s">
        <v>991</v>
      </c>
      <c r="L858" s="250" t="s">
        <v>1177</v>
      </c>
      <c r="M858" s="277" t="s">
        <v>114</v>
      </c>
      <c r="N858" s="278">
        <v>44434</v>
      </c>
      <c r="O858" s="329" t="s">
        <v>67</v>
      </c>
      <c r="P858" s="330">
        <f t="shared" si="67"/>
        <v>8</v>
      </c>
      <c r="Q858" s="330">
        <f t="shared" si="68"/>
        <v>8</v>
      </c>
      <c r="R858" s="331" t="str">
        <f t="shared" si="69"/>
        <v>Gastos_Gerais</v>
      </c>
      <c r="S858" s="331" t="str">
        <f>IF(D858="","",IF(OR(D858=Plano!$A$1,D858=Plano!$B$1),"entrada","saída"))</f>
        <v>saída</v>
      </c>
      <c r="T858" s="334" t="s">
        <v>994</v>
      </c>
      <c r="U858" s="334">
        <v>1869</v>
      </c>
      <c r="V858" s="269"/>
      <c r="W858" s="269"/>
      <c r="X858" s="269"/>
      <c r="Y858" s="269"/>
      <c r="Z858" s="269"/>
      <c r="AA858" s="269"/>
      <c r="AB858" s="269"/>
      <c r="AC858" s="269"/>
      <c r="AD858" s="269"/>
      <c r="AE858" s="269"/>
      <c r="AF858" s="269"/>
      <c r="AG858" s="269"/>
      <c r="AH858" s="269"/>
      <c r="AI858" s="269"/>
      <c r="AJ858" s="269"/>
      <c r="AK858" s="269"/>
      <c r="AL858" s="269"/>
      <c r="AM858" s="269"/>
    </row>
    <row r="859" spans="1:39" ht="188.25" customHeight="1" x14ac:dyDescent="0.2">
      <c r="A859" s="277">
        <f>IF(B859="","",COUNT('Diário 5º PA'!$A$5:$A$2634)+COUNT('Diário 6º PA'!$A$5:$A$2246)+ROW()-4)</f>
        <v>3398</v>
      </c>
      <c r="B859" s="278">
        <v>44434</v>
      </c>
      <c r="C859" s="249">
        <v>44409</v>
      </c>
      <c r="D859" s="250" t="s">
        <v>99</v>
      </c>
      <c r="E859" s="250" t="s">
        <v>352</v>
      </c>
      <c r="F859" s="251">
        <v>3337.54</v>
      </c>
      <c r="G859" s="452" t="s">
        <v>2133</v>
      </c>
      <c r="H859" s="250" t="s">
        <v>131</v>
      </c>
      <c r="I859" s="250" t="s">
        <v>2134</v>
      </c>
      <c r="J859" s="250" t="s">
        <v>750</v>
      </c>
      <c r="K859" s="255" t="s">
        <v>991</v>
      </c>
      <c r="L859" s="250" t="s">
        <v>992</v>
      </c>
      <c r="M859" s="277" t="s">
        <v>1061</v>
      </c>
      <c r="N859" s="278">
        <v>44434</v>
      </c>
      <c r="O859" s="329" t="s">
        <v>67</v>
      </c>
      <c r="P859" s="330">
        <f t="shared" si="67"/>
        <v>8</v>
      </c>
      <c r="Q859" s="330">
        <f t="shared" si="68"/>
        <v>8</v>
      </c>
      <c r="R859" s="331" t="str">
        <f t="shared" si="69"/>
        <v>Gastos_Gerais</v>
      </c>
      <c r="S859" s="331" t="str">
        <f>IF(D859="","",IF(OR(D859=Plano!$A$1,D859=Plano!$B$1),"entrada","saída"))</f>
        <v>saída</v>
      </c>
      <c r="T859" s="334" t="s">
        <v>1082</v>
      </c>
      <c r="U859" s="334">
        <v>1851</v>
      </c>
      <c r="V859" s="269"/>
      <c r="W859" s="269"/>
      <c r="X859" s="269"/>
      <c r="Y859" s="269"/>
      <c r="Z859" s="269"/>
      <c r="AA859" s="269"/>
      <c r="AB859" s="269"/>
      <c r="AC859" s="269"/>
      <c r="AD859" s="269"/>
      <c r="AE859" s="269"/>
      <c r="AF859" s="269"/>
      <c r="AG859" s="269"/>
      <c r="AH859" s="269"/>
      <c r="AI859" s="269"/>
      <c r="AJ859" s="269"/>
      <c r="AK859" s="269"/>
      <c r="AL859" s="269"/>
      <c r="AM859" s="269"/>
    </row>
    <row r="860" spans="1:39" ht="44.25" customHeight="1" x14ac:dyDescent="0.2">
      <c r="A860" s="277">
        <f>IF(B860="","",COUNT('Diário 5º PA'!$A$5:$A$2634)+COUNT('Diário 6º PA'!$A$5:$A$2246)+ROW()-4)</f>
        <v>3399</v>
      </c>
      <c r="B860" s="278">
        <v>44434</v>
      </c>
      <c r="C860" s="335">
        <v>44409</v>
      </c>
      <c r="D860" s="255" t="s">
        <v>99</v>
      </c>
      <c r="E860" s="255" t="s">
        <v>272</v>
      </c>
      <c r="F860" s="258">
        <v>10.45</v>
      </c>
      <c r="G860" s="450" t="s">
        <v>2135</v>
      </c>
      <c r="H860" s="250" t="s">
        <v>132</v>
      </c>
      <c r="I860" s="250" t="s">
        <v>949</v>
      </c>
      <c r="J860" s="255" t="s">
        <v>950</v>
      </c>
      <c r="K860" s="255" t="s">
        <v>951</v>
      </c>
      <c r="L860" s="250" t="s">
        <v>947</v>
      </c>
      <c r="M860" s="336" t="s">
        <v>114</v>
      </c>
      <c r="N860" s="278">
        <v>44434</v>
      </c>
      <c r="O860" s="329" t="s">
        <v>67</v>
      </c>
      <c r="P860" s="330">
        <f t="shared" si="67"/>
        <v>8</v>
      </c>
      <c r="Q860" s="330">
        <f t="shared" si="68"/>
        <v>8</v>
      </c>
      <c r="R860" s="331" t="str">
        <f t="shared" si="69"/>
        <v>Gastos_Gerais</v>
      </c>
      <c r="S860" s="331" t="str">
        <f>IF(D860="","",IF(OR(D860=Plano!$A$1,D860=Plano!$B$1),"entrada","saída"))</f>
        <v>saída</v>
      </c>
      <c r="T860" s="332" t="s">
        <v>114</v>
      </c>
      <c r="U860" s="332" t="s">
        <v>114</v>
      </c>
      <c r="V860" s="269"/>
      <c r="W860" s="269"/>
      <c r="X860" s="269"/>
      <c r="Y860" s="269"/>
      <c r="Z860" s="269"/>
      <c r="AA860" s="269"/>
      <c r="AB860" s="269"/>
      <c r="AC860" s="269"/>
      <c r="AD860" s="269"/>
      <c r="AE860" s="269"/>
      <c r="AF860" s="269"/>
      <c r="AG860" s="269"/>
      <c r="AH860" s="269"/>
      <c r="AI860" s="269"/>
      <c r="AJ860" s="269"/>
      <c r="AK860" s="269"/>
      <c r="AL860" s="269"/>
      <c r="AM860" s="269"/>
    </row>
    <row r="861" spans="1:39" ht="67.5" customHeight="1" x14ac:dyDescent="0.2">
      <c r="A861" s="277">
        <f>IF(B861="","",COUNT('Diário 5º PA'!$A$5:$A$2634)+COUNT('Diário 6º PA'!$A$5:$A$2246)+ROW()-4)</f>
        <v>3400</v>
      </c>
      <c r="B861" s="278">
        <v>44434</v>
      </c>
      <c r="C861" s="335">
        <v>44409</v>
      </c>
      <c r="D861" s="255" t="s">
        <v>99</v>
      </c>
      <c r="E861" s="255" t="s">
        <v>272</v>
      </c>
      <c r="F861" s="258">
        <v>10.45</v>
      </c>
      <c r="G861" s="450" t="s">
        <v>2136</v>
      </c>
      <c r="H861" s="250" t="s">
        <v>131</v>
      </c>
      <c r="I861" s="250" t="s">
        <v>949</v>
      </c>
      <c r="J861" s="255" t="s">
        <v>950</v>
      </c>
      <c r="K861" s="255" t="s">
        <v>951</v>
      </c>
      <c r="L861" s="250" t="s">
        <v>947</v>
      </c>
      <c r="M861" s="336" t="s">
        <v>114</v>
      </c>
      <c r="N861" s="278">
        <v>44434</v>
      </c>
      <c r="O861" s="329" t="s">
        <v>67</v>
      </c>
      <c r="P861" s="330">
        <f t="shared" si="67"/>
        <v>8</v>
      </c>
      <c r="Q861" s="330">
        <f t="shared" si="68"/>
        <v>8</v>
      </c>
      <c r="R861" s="331" t="str">
        <f t="shared" si="69"/>
        <v>Gastos_Gerais</v>
      </c>
      <c r="S861" s="331" t="str">
        <f>IF(D861="","",IF(OR(D861=Plano!$A$1,D861=Plano!$B$1),"entrada","saída"))</f>
        <v>saída</v>
      </c>
      <c r="T861" s="332" t="s">
        <v>114</v>
      </c>
      <c r="U861" s="332" t="s">
        <v>114</v>
      </c>
      <c r="V861" s="269"/>
      <c r="W861" s="269"/>
      <c r="X861" s="269"/>
      <c r="Y861" s="269"/>
      <c r="Z861" s="269"/>
      <c r="AA861" s="269"/>
      <c r="AB861" s="269"/>
      <c r="AC861" s="269"/>
      <c r="AD861" s="269"/>
      <c r="AE861" s="269"/>
      <c r="AF861" s="269"/>
      <c r="AG861" s="269"/>
      <c r="AH861" s="269"/>
      <c r="AI861" s="269"/>
      <c r="AJ861" s="269"/>
      <c r="AK861" s="269"/>
      <c r="AL861" s="269"/>
      <c r="AM861" s="269"/>
    </row>
    <row r="862" spans="1:39" ht="67.5" customHeight="1" x14ac:dyDescent="0.2">
      <c r="A862" s="277">
        <f>IF(B862="","",COUNT('Diário 5º PA'!$A$5:$A$2634)+COUNT('Diário 6º PA'!$A$5:$A$2246)+ROW()-4)</f>
        <v>3401</v>
      </c>
      <c r="B862" s="278">
        <v>44434</v>
      </c>
      <c r="C862" s="249">
        <v>44378</v>
      </c>
      <c r="D862" s="250" t="s">
        <v>104</v>
      </c>
      <c r="E862" s="250" t="s">
        <v>104</v>
      </c>
      <c r="F862" s="251">
        <v>244.92</v>
      </c>
      <c r="G862" s="452" t="s">
        <v>2137</v>
      </c>
      <c r="H862" s="250" t="s">
        <v>104</v>
      </c>
      <c r="I862" s="250" t="s">
        <v>2138</v>
      </c>
      <c r="J862" s="250" t="s">
        <v>2139</v>
      </c>
      <c r="K862" s="255" t="s">
        <v>991</v>
      </c>
      <c r="L862" s="250" t="s">
        <v>992</v>
      </c>
      <c r="M862" s="277" t="s">
        <v>2140</v>
      </c>
      <c r="N862" s="278">
        <v>44406</v>
      </c>
      <c r="O862" s="329" t="s">
        <v>69</v>
      </c>
      <c r="P862" s="330">
        <f t="shared" si="67"/>
        <v>8</v>
      </c>
      <c r="Q862" s="330">
        <f t="shared" si="68"/>
        <v>7</v>
      </c>
      <c r="R862" s="331" t="str">
        <f t="shared" si="69"/>
        <v>Gastos_custeados_por_captação</v>
      </c>
      <c r="S862" s="331" t="str">
        <f>IF(D862="","",IF(OR(D862=Plano!$A$1,D862=Plano!$B$1),"entrada","saída"))</f>
        <v>saída</v>
      </c>
      <c r="T862" s="332" t="s">
        <v>994</v>
      </c>
      <c r="U862" s="332">
        <v>1811</v>
      </c>
      <c r="V862" s="269"/>
      <c r="W862" s="269"/>
      <c r="X862" s="269"/>
      <c r="Y862" s="269"/>
      <c r="Z862" s="269"/>
      <c r="AA862" s="269"/>
      <c r="AB862" s="269"/>
      <c r="AC862" s="269"/>
      <c r="AD862" s="269"/>
      <c r="AE862" s="269"/>
      <c r="AF862" s="269"/>
      <c r="AG862" s="269"/>
      <c r="AH862" s="269"/>
      <c r="AI862" s="269"/>
      <c r="AJ862" s="269"/>
      <c r="AK862" s="269"/>
      <c r="AL862" s="269"/>
      <c r="AM862" s="269"/>
    </row>
    <row r="863" spans="1:39" s="478" customFormat="1" ht="152.25" customHeight="1" x14ac:dyDescent="0.2">
      <c r="A863" s="277">
        <f>IF(B863="","",COUNT('Diário 5º PA'!$A$5:$A$2634)+COUNT('Diário 6º PA'!$A$5:$A$2246)+ROW()-4)</f>
        <v>3402</v>
      </c>
      <c r="B863" s="278">
        <v>44434</v>
      </c>
      <c r="C863" s="249">
        <v>44409</v>
      </c>
      <c r="D863" s="250" t="s">
        <v>104</v>
      </c>
      <c r="E863" s="250" t="s">
        <v>104</v>
      </c>
      <c r="F863" s="251">
        <v>7839.2</v>
      </c>
      <c r="G863" s="452" t="s">
        <v>5424</v>
      </c>
      <c r="H863" s="250" t="s">
        <v>104</v>
      </c>
      <c r="I863" s="250" t="s">
        <v>4721</v>
      </c>
      <c r="J863" s="440" t="s">
        <v>4722</v>
      </c>
      <c r="K863" s="255" t="s">
        <v>991</v>
      </c>
      <c r="L863" s="250" t="s">
        <v>992</v>
      </c>
      <c r="M863" s="277" t="s">
        <v>1600</v>
      </c>
      <c r="N863" s="278">
        <v>44434</v>
      </c>
      <c r="O863" s="329" t="s">
        <v>5377</v>
      </c>
      <c r="P863" s="330">
        <f t="shared" ref="P863:P864" si="73">IF(B863=0,0,IF(YEAR(B863)=$Q$1,MONTH(B863)-$P$1+1,(YEAR(B863)-$Q$1)*12-$P$1+1+MONTH(B863)))</f>
        <v>8</v>
      </c>
      <c r="Q863" s="330">
        <f t="shared" ref="Q863:Q864" si="74">IF(C863=0,0,IF(YEAR(C863)=$Q$1,MONTH(C863)-$P$1+1,(YEAR(C863)-$Q$1)*12-$P$1+1+MONTH(C863)))</f>
        <v>8</v>
      </c>
      <c r="R863" s="331" t="str">
        <f t="shared" ref="R863:R864" si="75">SUBSTITUTE(D863," ","_")</f>
        <v>Gastos_custeados_por_captação</v>
      </c>
      <c r="S863" s="331" t="str">
        <f>IF(D863="","",IF(OR(D863=Plano!$A$1,D863=Plano!$B$1),"entrada","saída"))</f>
        <v>saída</v>
      </c>
      <c r="T863" s="332" t="s">
        <v>994</v>
      </c>
      <c r="U863" s="332">
        <v>1579</v>
      </c>
      <c r="V863" s="439"/>
      <c r="W863" s="439"/>
      <c r="X863" s="439"/>
      <c r="Y863" s="439"/>
      <c r="Z863" s="439"/>
      <c r="AA863" s="439"/>
      <c r="AB863" s="439"/>
      <c r="AC863" s="439"/>
      <c r="AD863" s="439"/>
      <c r="AE863" s="439"/>
      <c r="AF863" s="439"/>
      <c r="AG863" s="439"/>
      <c r="AH863" s="439"/>
      <c r="AI863" s="439"/>
      <c r="AJ863" s="439"/>
      <c r="AK863" s="439"/>
      <c r="AL863" s="439"/>
      <c r="AM863" s="439"/>
    </row>
    <row r="864" spans="1:39" s="478" customFormat="1" ht="52.5" customHeight="1" x14ac:dyDescent="0.2">
      <c r="A864" s="277">
        <f>IF(B864="","",COUNT('Diário 5º PA'!$A$5:$A$2634)+COUNT('Diário 6º PA'!$A$5:$A$2246)+ROW()-4)</f>
        <v>3403</v>
      </c>
      <c r="B864" s="278">
        <v>44434</v>
      </c>
      <c r="C864" s="335">
        <v>44409</v>
      </c>
      <c r="D864" s="250" t="s">
        <v>104</v>
      </c>
      <c r="E864" s="250" t="s">
        <v>104</v>
      </c>
      <c r="F864" s="258">
        <v>10.45</v>
      </c>
      <c r="G864" s="450" t="s">
        <v>5451</v>
      </c>
      <c r="H864" s="250" t="s">
        <v>104</v>
      </c>
      <c r="I864" s="250" t="s">
        <v>949</v>
      </c>
      <c r="J864" s="255" t="s">
        <v>950</v>
      </c>
      <c r="K864" s="255" t="s">
        <v>951</v>
      </c>
      <c r="L864" s="250" t="s">
        <v>947</v>
      </c>
      <c r="M864" s="336" t="s">
        <v>114</v>
      </c>
      <c r="N864" s="278">
        <v>44434</v>
      </c>
      <c r="O864" s="329" t="s">
        <v>5377</v>
      </c>
      <c r="P864" s="330">
        <f t="shared" si="73"/>
        <v>8</v>
      </c>
      <c r="Q864" s="330">
        <f t="shared" si="74"/>
        <v>8</v>
      </c>
      <c r="R864" s="331" t="str">
        <f t="shared" si="75"/>
        <v>Gastos_custeados_por_captação</v>
      </c>
      <c r="S864" s="331" t="str">
        <f>IF(D864="","",IF(OR(D864=Plano!$A$1,D864=Plano!$B$1),"entrada","saída"))</f>
        <v>saída</v>
      </c>
      <c r="T864" s="332" t="s">
        <v>114</v>
      </c>
      <c r="U864" s="332" t="s">
        <v>114</v>
      </c>
      <c r="V864" s="439"/>
      <c r="W864" s="439"/>
      <c r="X864" s="439"/>
      <c r="Y864" s="439"/>
      <c r="Z864" s="439"/>
      <c r="AA864" s="439"/>
      <c r="AB864" s="439"/>
      <c r="AC864" s="439"/>
      <c r="AD864" s="439"/>
      <c r="AE864" s="439"/>
      <c r="AF864" s="439"/>
      <c r="AG864" s="439"/>
      <c r="AH864" s="439"/>
      <c r="AI864" s="439"/>
      <c r="AJ864" s="439"/>
      <c r="AK864" s="439"/>
      <c r="AL864" s="439"/>
      <c r="AM864" s="439"/>
    </row>
    <row r="865" spans="1:39" ht="31.5" customHeight="1" x14ac:dyDescent="0.2">
      <c r="A865" s="277">
        <f>IF(B865="","",COUNT('Diário 5º PA'!$A$5:$A$2634)+COUNT('Diário 6º PA'!$A$5:$A$2246)+ROW()-4)</f>
        <v>3404</v>
      </c>
      <c r="B865" s="278">
        <v>44435</v>
      </c>
      <c r="C865" s="256">
        <v>44409</v>
      </c>
      <c r="D865" s="255" t="s">
        <v>88</v>
      </c>
      <c r="E865" s="255" t="s">
        <v>194</v>
      </c>
      <c r="F865" s="258">
        <v>3625.6</v>
      </c>
      <c r="G865" s="450" t="s">
        <v>1609</v>
      </c>
      <c r="H865" s="255" t="s">
        <v>114</v>
      </c>
      <c r="I865" s="252" t="s">
        <v>532</v>
      </c>
      <c r="J865" s="255" t="s">
        <v>1261</v>
      </c>
      <c r="K865" s="255" t="s">
        <v>560</v>
      </c>
      <c r="L865" s="250" t="s">
        <v>1016</v>
      </c>
      <c r="M865" s="277">
        <v>766353</v>
      </c>
      <c r="N865" s="278">
        <v>44440</v>
      </c>
      <c r="O865" s="329" t="s">
        <v>67</v>
      </c>
      <c r="P865" s="330">
        <f t="shared" si="67"/>
        <v>8</v>
      </c>
      <c r="Q865" s="330">
        <f t="shared" si="68"/>
        <v>8</v>
      </c>
      <c r="R865" s="331" t="str">
        <f t="shared" si="69"/>
        <v>Gastos_com_Pessoal</v>
      </c>
      <c r="S865" s="331" t="str">
        <f>IF(D865="","",IF(OR(D865=Plano!$A$1,D865=Plano!$B$1),"entrada","saída"))</f>
        <v>saída</v>
      </c>
      <c r="T865" s="332" t="s">
        <v>114</v>
      </c>
      <c r="U865" s="332" t="s">
        <v>114</v>
      </c>
      <c r="V865" s="269"/>
      <c r="W865" s="269"/>
      <c r="X865" s="269"/>
      <c r="Y865" s="269"/>
      <c r="Z865" s="269"/>
      <c r="AA865" s="269"/>
      <c r="AB865" s="269"/>
      <c r="AC865" s="269"/>
      <c r="AD865" s="269"/>
      <c r="AE865" s="269"/>
      <c r="AF865" s="269"/>
      <c r="AG865" s="269"/>
      <c r="AH865" s="269"/>
      <c r="AI865" s="269"/>
      <c r="AJ865" s="269"/>
      <c r="AK865" s="269"/>
      <c r="AL865" s="269"/>
      <c r="AM865" s="269"/>
    </row>
    <row r="866" spans="1:39" ht="32.25" customHeight="1" x14ac:dyDescent="0.2">
      <c r="A866" s="277">
        <f>IF(B866="","",COUNT('Diário 5º PA'!$A$5:$A$2634)+COUNT('Diário 6º PA'!$A$5:$A$2246)+ROW()-4)</f>
        <v>3405</v>
      </c>
      <c r="B866" s="278">
        <v>44435</v>
      </c>
      <c r="C866" s="256">
        <v>44409</v>
      </c>
      <c r="D866" s="255" t="s">
        <v>88</v>
      </c>
      <c r="E866" s="255" t="s">
        <v>194</v>
      </c>
      <c r="F866" s="258">
        <v>18403.740000000002</v>
      </c>
      <c r="G866" s="450" t="s">
        <v>1260</v>
      </c>
      <c r="H866" s="255" t="s">
        <v>114</v>
      </c>
      <c r="I866" s="250" t="s">
        <v>532</v>
      </c>
      <c r="J866" s="255" t="s">
        <v>1261</v>
      </c>
      <c r="K866" s="255" t="s">
        <v>560</v>
      </c>
      <c r="L866" s="250" t="s">
        <v>1016</v>
      </c>
      <c r="M866" s="277">
        <v>750361</v>
      </c>
      <c r="N866" s="278">
        <v>44440</v>
      </c>
      <c r="O866" s="329" t="s">
        <v>67</v>
      </c>
      <c r="P866" s="330">
        <f t="shared" si="67"/>
        <v>8</v>
      </c>
      <c r="Q866" s="330">
        <f t="shared" si="68"/>
        <v>8</v>
      </c>
      <c r="R866" s="331" t="str">
        <f t="shared" si="69"/>
        <v>Gastos_com_Pessoal</v>
      </c>
      <c r="S866" s="331" t="str">
        <f>IF(D866="","",IF(OR(D866=Plano!$A$1,D866=Plano!$B$1),"entrada","saída"))</f>
        <v>saída</v>
      </c>
      <c r="T866" s="332" t="s">
        <v>114</v>
      </c>
      <c r="U866" s="332" t="s">
        <v>114</v>
      </c>
      <c r="V866" s="269"/>
      <c r="W866" s="269"/>
      <c r="X866" s="269"/>
      <c r="Y866" s="269"/>
      <c r="Z866" s="269"/>
      <c r="AA866" s="269"/>
      <c r="AB866" s="269"/>
      <c r="AC866" s="269"/>
      <c r="AD866" s="269"/>
      <c r="AE866" s="269"/>
      <c r="AF866" s="269"/>
      <c r="AG866" s="269"/>
      <c r="AH866" s="269"/>
      <c r="AI866" s="269"/>
      <c r="AJ866" s="269"/>
      <c r="AK866" s="269"/>
      <c r="AL866" s="269"/>
      <c r="AM866" s="269"/>
    </row>
    <row r="867" spans="1:39" ht="88.5" customHeight="1" x14ac:dyDescent="0.2">
      <c r="A867" s="277">
        <f>IF(B867="","",COUNT('Diário 5º PA'!$A$5:$A$2634)+COUNT('Diário 6º PA'!$A$5:$A$2246)+ROW()-4)</f>
        <v>3406</v>
      </c>
      <c r="B867" s="278">
        <v>44435</v>
      </c>
      <c r="C867" s="249">
        <v>44409</v>
      </c>
      <c r="D867" s="250" t="s">
        <v>99</v>
      </c>
      <c r="E867" s="250" t="s">
        <v>364</v>
      </c>
      <c r="F867" s="251">
        <v>3425.1</v>
      </c>
      <c r="G867" s="452" t="s">
        <v>2141</v>
      </c>
      <c r="H867" s="250" t="s">
        <v>116</v>
      </c>
      <c r="I867" s="250" t="s">
        <v>2142</v>
      </c>
      <c r="J867" s="250" t="s">
        <v>2143</v>
      </c>
      <c r="K867" s="255" t="s">
        <v>991</v>
      </c>
      <c r="L867" s="250" t="s">
        <v>992</v>
      </c>
      <c r="M867" s="277" t="s">
        <v>2144</v>
      </c>
      <c r="N867" s="278">
        <v>44433</v>
      </c>
      <c r="O867" s="329" t="s">
        <v>67</v>
      </c>
      <c r="P867" s="330">
        <f t="shared" si="67"/>
        <v>8</v>
      </c>
      <c r="Q867" s="330">
        <f t="shared" si="68"/>
        <v>8</v>
      </c>
      <c r="R867" s="331" t="str">
        <f t="shared" si="69"/>
        <v>Gastos_Gerais</v>
      </c>
      <c r="S867" s="331" t="str">
        <f>IF(D867="","",IF(OR(D867=Plano!$A$1,D867=Plano!$B$1),"entrada","saída"))</f>
        <v>saída</v>
      </c>
      <c r="T867" s="334" t="s">
        <v>994</v>
      </c>
      <c r="U867" s="334">
        <v>1911</v>
      </c>
      <c r="V867" s="269"/>
      <c r="W867" s="269"/>
      <c r="X867" s="269"/>
      <c r="Y867" s="269"/>
      <c r="Z867" s="269"/>
      <c r="AA867" s="269"/>
      <c r="AB867" s="269"/>
      <c r="AC867" s="269"/>
      <c r="AD867" s="269"/>
      <c r="AE867" s="269"/>
      <c r="AF867" s="269"/>
      <c r="AG867" s="269"/>
      <c r="AH867" s="269"/>
      <c r="AI867" s="269"/>
      <c r="AJ867" s="269"/>
      <c r="AK867" s="269"/>
      <c r="AL867" s="269"/>
      <c r="AM867" s="269"/>
    </row>
    <row r="868" spans="1:39" ht="57" customHeight="1" x14ac:dyDescent="0.2">
      <c r="A868" s="277">
        <f>IF(B868="","",COUNT('Diário 5º PA'!$A$5:$A$2634)+COUNT('Diário 6º PA'!$A$5:$A$2246)+ROW()-4)</f>
        <v>3407</v>
      </c>
      <c r="B868" s="278">
        <v>44435</v>
      </c>
      <c r="C868" s="249">
        <v>44409</v>
      </c>
      <c r="D868" s="255" t="s">
        <v>99</v>
      </c>
      <c r="E868" s="255" t="s">
        <v>272</v>
      </c>
      <c r="F868" s="258">
        <v>10.45</v>
      </c>
      <c r="G868" s="450" t="s">
        <v>2145</v>
      </c>
      <c r="H868" s="250" t="s">
        <v>116</v>
      </c>
      <c r="I868" s="250" t="s">
        <v>949</v>
      </c>
      <c r="J868" s="255" t="s">
        <v>950</v>
      </c>
      <c r="K868" s="255" t="s">
        <v>951</v>
      </c>
      <c r="L868" s="250" t="s">
        <v>947</v>
      </c>
      <c r="M868" s="336" t="s">
        <v>114</v>
      </c>
      <c r="N868" s="278">
        <v>44435</v>
      </c>
      <c r="O868" s="329" t="s">
        <v>67</v>
      </c>
      <c r="P868" s="330">
        <f t="shared" si="67"/>
        <v>8</v>
      </c>
      <c r="Q868" s="330">
        <f t="shared" si="68"/>
        <v>8</v>
      </c>
      <c r="R868" s="331" t="str">
        <f t="shared" si="69"/>
        <v>Gastos_Gerais</v>
      </c>
      <c r="S868" s="331" t="str">
        <f>IF(D868="","",IF(OR(D868=Plano!$A$1,D868=Plano!$B$1),"entrada","saída"))</f>
        <v>saída</v>
      </c>
      <c r="T868" s="332" t="s">
        <v>114</v>
      </c>
      <c r="U868" s="332" t="s">
        <v>114</v>
      </c>
      <c r="V868" s="269"/>
      <c r="W868" s="269"/>
      <c r="X868" s="269"/>
      <c r="Y868" s="269"/>
      <c r="Z868" s="269"/>
      <c r="AA868" s="269"/>
      <c r="AB868" s="269"/>
      <c r="AC868" s="269"/>
      <c r="AD868" s="269"/>
      <c r="AE868" s="269"/>
      <c r="AF868" s="269"/>
      <c r="AG868" s="269"/>
      <c r="AH868" s="269"/>
      <c r="AI868" s="269"/>
      <c r="AJ868" s="269"/>
      <c r="AK868" s="269"/>
      <c r="AL868" s="269"/>
      <c r="AM868" s="269"/>
    </row>
    <row r="869" spans="1:39" ht="176.25" customHeight="1" x14ac:dyDescent="0.2">
      <c r="A869" s="277">
        <f>IF(B869="","",COUNT('Diário 5º PA'!$A$5:$A$2634)+COUNT('Diário 6º PA'!$A$5:$A$2246)+ROW()-4)</f>
        <v>3408</v>
      </c>
      <c r="B869" s="278">
        <v>44438</v>
      </c>
      <c r="C869" s="249">
        <v>44409</v>
      </c>
      <c r="D869" s="250" t="s">
        <v>99</v>
      </c>
      <c r="E869" s="250" t="s">
        <v>382</v>
      </c>
      <c r="F869" s="251">
        <v>230.6</v>
      </c>
      <c r="G869" s="452" t="s">
        <v>2146</v>
      </c>
      <c r="H869" s="250" t="s">
        <v>131</v>
      </c>
      <c r="I869" s="250" t="s">
        <v>2147</v>
      </c>
      <c r="J869" s="250" t="s">
        <v>2148</v>
      </c>
      <c r="K869" s="255" t="s">
        <v>1015</v>
      </c>
      <c r="L869" s="250" t="s">
        <v>1016</v>
      </c>
      <c r="M869" s="277" t="s">
        <v>2149</v>
      </c>
      <c r="N869" s="278">
        <v>44438</v>
      </c>
      <c r="O869" s="329" t="s">
        <v>67</v>
      </c>
      <c r="P869" s="330">
        <f t="shared" si="67"/>
        <v>8</v>
      </c>
      <c r="Q869" s="330">
        <f t="shared" si="68"/>
        <v>8</v>
      </c>
      <c r="R869" s="331" t="str">
        <f t="shared" si="69"/>
        <v>Gastos_Gerais</v>
      </c>
      <c r="S869" s="331" t="str">
        <f>IF(D869="","",IF(OR(D869=Plano!$A$1,D869=Plano!$B$1),"entrada","saída"))</f>
        <v>saída</v>
      </c>
      <c r="T869" s="334" t="s">
        <v>994</v>
      </c>
      <c r="U869" s="334">
        <v>1880</v>
      </c>
      <c r="V869" s="269"/>
      <c r="W869" s="269"/>
      <c r="X869" s="269"/>
      <c r="Y869" s="269"/>
      <c r="Z869" s="269"/>
      <c r="AA869" s="269"/>
      <c r="AB869" s="269"/>
      <c r="AC869" s="269"/>
      <c r="AD869" s="269"/>
      <c r="AE869" s="269"/>
      <c r="AF869" s="269"/>
      <c r="AG869" s="269"/>
      <c r="AH869" s="269"/>
      <c r="AI869" s="269"/>
      <c r="AJ869" s="269"/>
      <c r="AK869" s="269"/>
      <c r="AL869" s="269"/>
      <c r="AM869" s="269"/>
    </row>
    <row r="870" spans="1:39" ht="95.25" customHeight="1" x14ac:dyDescent="0.2">
      <c r="A870" s="277">
        <f>IF(B870="","",COUNT('Diário 5º PA'!$A$5:$A$2634)+COUNT('Diário 6º PA'!$A$5:$A$2246)+ROW()-4)</f>
        <v>3409</v>
      </c>
      <c r="B870" s="278">
        <v>44438</v>
      </c>
      <c r="C870" s="249">
        <v>44348</v>
      </c>
      <c r="D870" s="250" t="s">
        <v>99</v>
      </c>
      <c r="E870" s="250" t="s">
        <v>356</v>
      </c>
      <c r="F870" s="251">
        <v>1500</v>
      </c>
      <c r="G870" s="452" t="s">
        <v>2150</v>
      </c>
      <c r="H870" s="250" t="s">
        <v>125</v>
      </c>
      <c r="I870" s="252" t="s">
        <v>1598</v>
      </c>
      <c r="J870" s="250" t="s">
        <v>2151</v>
      </c>
      <c r="K870" s="255" t="s">
        <v>991</v>
      </c>
      <c r="L870" s="250" t="s">
        <v>992</v>
      </c>
      <c r="M870" s="277" t="s">
        <v>2152</v>
      </c>
      <c r="N870" s="278">
        <v>44434</v>
      </c>
      <c r="O870" s="329" t="s">
        <v>67</v>
      </c>
      <c r="P870" s="330">
        <f t="shared" si="67"/>
        <v>8</v>
      </c>
      <c r="Q870" s="330">
        <f t="shared" si="68"/>
        <v>6</v>
      </c>
      <c r="R870" s="331" t="str">
        <f t="shared" si="69"/>
        <v>Gastos_Gerais</v>
      </c>
      <c r="S870" s="331" t="str">
        <f>IF(D870="","",IF(OR(D870=Plano!$A$1,D870=Plano!$B$1),"entrada","saída"))</f>
        <v>saída</v>
      </c>
      <c r="T870" s="334" t="s">
        <v>994</v>
      </c>
      <c r="U870" s="334">
        <v>1516</v>
      </c>
      <c r="V870" s="269"/>
      <c r="W870" s="269"/>
      <c r="X870" s="269"/>
      <c r="Y870" s="269"/>
      <c r="Z870" s="269"/>
      <c r="AA870" s="269"/>
      <c r="AB870" s="269"/>
      <c r="AC870" s="269"/>
      <c r="AD870" s="269"/>
      <c r="AE870" s="269"/>
      <c r="AF870" s="269"/>
      <c r="AG870" s="269"/>
      <c r="AH870" s="269"/>
      <c r="AI870" s="269"/>
      <c r="AJ870" s="269"/>
      <c r="AK870" s="269"/>
      <c r="AL870" s="269"/>
      <c r="AM870" s="269"/>
    </row>
    <row r="871" spans="1:39" ht="90" customHeight="1" x14ac:dyDescent="0.2">
      <c r="A871" s="277">
        <f>IF(B871="","",COUNT('Diário 5º PA'!$A$5:$A$2634)+COUNT('Diário 6º PA'!$A$5:$A$2246)+ROW()-4)</f>
        <v>3410</v>
      </c>
      <c r="B871" s="278">
        <v>44438</v>
      </c>
      <c r="C871" s="249">
        <v>44409</v>
      </c>
      <c r="D871" s="250" t="s">
        <v>99</v>
      </c>
      <c r="E871" s="250" t="s">
        <v>352</v>
      </c>
      <c r="F871" s="251">
        <v>13781.31</v>
      </c>
      <c r="G871" s="452" t="s">
        <v>2153</v>
      </c>
      <c r="H871" s="250" t="s">
        <v>131</v>
      </c>
      <c r="I871" s="250" t="s">
        <v>2154</v>
      </c>
      <c r="J871" s="250" t="s">
        <v>750</v>
      </c>
      <c r="K871" s="255" t="s">
        <v>991</v>
      </c>
      <c r="L871" s="250" t="s">
        <v>992</v>
      </c>
      <c r="M871" s="277" t="s">
        <v>1049</v>
      </c>
      <c r="N871" s="278">
        <v>44435</v>
      </c>
      <c r="O871" s="329" t="s">
        <v>67</v>
      </c>
      <c r="P871" s="330">
        <f t="shared" si="67"/>
        <v>8</v>
      </c>
      <c r="Q871" s="330">
        <f t="shared" si="68"/>
        <v>8</v>
      </c>
      <c r="R871" s="331" t="str">
        <f t="shared" si="69"/>
        <v>Gastos_Gerais</v>
      </c>
      <c r="S871" s="331" t="str">
        <f>IF(D871="","",IF(OR(D871=Plano!$A$1,D871=Plano!$B$1),"entrada","saída"))</f>
        <v>saída</v>
      </c>
      <c r="T871" s="334" t="s">
        <v>1059</v>
      </c>
      <c r="U871" s="334">
        <v>1850</v>
      </c>
      <c r="V871" s="269"/>
      <c r="W871" s="269"/>
      <c r="X871" s="269"/>
      <c r="Y871" s="269"/>
      <c r="Z871" s="269"/>
      <c r="AA871" s="269"/>
      <c r="AB871" s="269"/>
      <c r="AC871" s="269"/>
      <c r="AD871" s="269"/>
      <c r="AE871" s="269"/>
      <c r="AF871" s="269"/>
      <c r="AG871" s="269"/>
      <c r="AH871" s="269"/>
      <c r="AI871" s="269"/>
      <c r="AJ871" s="269"/>
      <c r="AK871" s="269"/>
      <c r="AL871" s="269"/>
      <c r="AM871" s="269"/>
    </row>
    <row r="872" spans="1:39" ht="58.5" customHeight="1" x14ac:dyDescent="0.2">
      <c r="A872" s="277">
        <f>IF(B872="","",COUNT('Diário 5º PA'!$A$5:$A$2634)+COUNT('Diário 6º PA'!$A$5:$A$2246)+ROW()-4)</f>
        <v>3411</v>
      </c>
      <c r="B872" s="278">
        <v>44438</v>
      </c>
      <c r="C872" s="249">
        <v>44409</v>
      </c>
      <c r="D872" s="255" t="s">
        <v>99</v>
      </c>
      <c r="E872" s="255" t="s">
        <v>272</v>
      </c>
      <c r="F872" s="258">
        <v>10.45</v>
      </c>
      <c r="G872" s="450" t="s">
        <v>2155</v>
      </c>
      <c r="H872" s="250" t="s">
        <v>125</v>
      </c>
      <c r="I872" s="250" t="s">
        <v>949</v>
      </c>
      <c r="J872" s="255" t="s">
        <v>950</v>
      </c>
      <c r="K872" s="255" t="s">
        <v>951</v>
      </c>
      <c r="L872" s="250" t="s">
        <v>947</v>
      </c>
      <c r="M872" s="336" t="s">
        <v>114</v>
      </c>
      <c r="N872" s="278">
        <v>44438</v>
      </c>
      <c r="O872" s="329" t="s">
        <v>67</v>
      </c>
      <c r="P872" s="330">
        <f t="shared" si="67"/>
        <v>8</v>
      </c>
      <c r="Q872" s="330">
        <f t="shared" si="68"/>
        <v>8</v>
      </c>
      <c r="R872" s="331" t="str">
        <f t="shared" si="69"/>
        <v>Gastos_Gerais</v>
      </c>
      <c r="S872" s="331" t="str">
        <f>IF(D872="","",IF(OR(D872=Plano!$A$1,D872=Plano!$B$1),"entrada","saída"))</f>
        <v>saída</v>
      </c>
      <c r="T872" s="332" t="s">
        <v>114</v>
      </c>
      <c r="U872" s="332" t="s">
        <v>114</v>
      </c>
      <c r="V872" s="269"/>
      <c r="W872" s="269"/>
      <c r="X872" s="269"/>
      <c r="Y872" s="269"/>
      <c r="Z872" s="269"/>
      <c r="AA872" s="269"/>
      <c r="AB872" s="269"/>
      <c r="AC872" s="269"/>
      <c r="AD872" s="269"/>
      <c r="AE872" s="269"/>
      <c r="AF872" s="269"/>
      <c r="AG872" s="269"/>
      <c r="AH872" s="269"/>
      <c r="AI872" s="269"/>
      <c r="AJ872" s="269"/>
      <c r="AK872" s="269"/>
      <c r="AL872" s="269"/>
      <c r="AM872" s="269"/>
    </row>
    <row r="873" spans="1:39" ht="60.75" customHeight="1" x14ac:dyDescent="0.2">
      <c r="A873" s="277">
        <f>IF(B873="","",COUNT('Diário 5º PA'!$A$5:$A$2634)+COUNT('Diário 6º PA'!$A$5:$A$2246)+ROW()-4)</f>
        <v>3412</v>
      </c>
      <c r="B873" s="278">
        <v>44438</v>
      </c>
      <c r="C873" s="249">
        <v>44409</v>
      </c>
      <c r="D873" s="255" t="s">
        <v>99</v>
      </c>
      <c r="E873" s="255" t="s">
        <v>272</v>
      </c>
      <c r="F873" s="258">
        <v>10.45</v>
      </c>
      <c r="G873" s="450" t="s">
        <v>2156</v>
      </c>
      <c r="H873" s="250" t="s">
        <v>131</v>
      </c>
      <c r="I873" s="250" t="s">
        <v>949</v>
      </c>
      <c r="J873" s="255" t="s">
        <v>950</v>
      </c>
      <c r="K873" s="255" t="s">
        <v>951</v>
      </c>
      <c r="L873" s="250" t="s">
        <v>947</v>
      </c>
      <c r="M873" s="336" t="s">
        <v>114</v>
      </c>
      <c r="N873" s="278">
        <v>44438</v>
      </c>
      <c r="O873" s="329" t="s">
        <v>67</v>
      </c>
      <c r="P873" s="330">
        <f t="shared" si="67"/>
        <v>8</v>
      </c>
      <c r="Q873" s="330">
        <f t="shared" si="68"/>
        <v>8</v>
      </c>
      <c r="R873" s="331" t="str">
        <f t="shared" si="69"/>
        <v>Gastos_Gerais</v>
      </c>
      <c r="S873" s="331" t="str">
        <f>IF(D873="","",IF(OR(D873=Plano!$A$1,D873=Plano!$B$1),"entrada","saída"))</f>
        <v>saída</v>
      </c>
      <c r="T873" s="332" t="s">
        <v>114</v>
      </c>
      <c r="U873" s="332" t="s">
        <v>114</v>
      </c>
      <c r="V873" s="269"/>
      <c r="W873" s="269"/>
      <c r="X873" s="269"/>
      <c r="Y873" s="269"/>
      <c r="Z873" s="269"/>
      <c r="AA873" s="269"/>
      <c r="AB873" s="269"/>
      <c r="AC873" s="269"/>
      <c r="AD873" s="269"/>
      <c r="AE873" s="269"/>
      <c r="AF873" s="269"/>
      <c r="AG873" s="269"/>
      <c r="AH873" s="269"/>
      <c r="AI873" s="269"/>
      <c r="AJ873" s="269"/>
      <c r="AK873" s="269"/>
      <c r="AL873" s="269"/>
      <c r="AM873" s="269"/>
    </row>
    <row r="874" spans="1:39" ht="111.75" customHeight="1" x14ac:dyDescent="0.2">
      <c r="A874" s="277">
        <f>IF(B874="","",COUNT('Diário 5º PA'!$A$5:$A$2634)+COUNT('Diário 6º PA'!$A$5:$A$2246)+ROW()-4)</f>
        <v>3413</v>
      </c>
      <c r="B874" s="278">
        <v>44439</v>
      </c>
      <c r="C874" s="249">
        <v>44409</v>
      </c>
      <c r="D874" s="250" t="s">
        <v>99</v>
      </c>
      <c r="E874" s="250" t="s">
        <v>350</v>
      </c>
      <c r="F874" s="251">
        <v>2500</v>
      </c>
      <c r="G874" s="452" t="s">
        <v>2157</v>
      </c>
      <c r="H874" s="250" t="s">
        <v>132</v>
      </c>
      <c r="I874" s="250" t="s">
        <v>2158</v>
      </c>
      <c r="J874" s="250" t="s">
        <v>2159</v>
      </c>
      <c r="K874" s="255" t="s">
        <v>1015</v>
      </c>
      <c r="L874" s="250" t="s">
        <v>1177</v>
      </c>
      <c r="M874" s="277" t="s">
        <v>114</v>
      </c>
      <c r="N874" s="278">
        <v>44438</v>
      </c>
      <c r="O874" s="329" t="s">
        <v>67</v>
      </c>
      <c r="P874" s="330">
        <f t="shared" si="67"/>
        <v>8</v>
      </c>
      <c r="Q874" s="330">
        <f t="shared" si="68"/>
        <v>8</v>
      </c>
      <c r="R874" s="331" t="str">
        <f t="shared" si="69"/>
        <v>Gastos_Gerais</v>
      </c>
      <c r="S874" s="331" t="str">
        <f>IF(D874="","",IF(OR(D874=Plano!$A$1,D874=Plano!$B$1),"entrada","saída"))</f>
        <v>saída</v>
      </c>
      <c r="T874" s="334" t="s">
        <v>994</v>
      </c>
      <c r="U874" s="334">
        <v>1838</v>
      </c>
      <c r="V874" s="269"/>
      <c r="W874" s="269"/>
      <c r="X874" s="269"/>
      <c r="Y874" s="269"/>
      <c r="Z874" s="269"/>
      <c r="AA874" s="269"/>
      <c r="AB874" s="269"/>
      <c r="AC874" s="269"/>
      <c r="AD874" s="269"/>
      <c r="AE874" s="269"/>
      <c r="AF874" s="269"/>
      <c r="AG874" s="269"/>
      <c r="AH874" s="269"/>
      <c r="AI874" s="269"/>
      <c r="AJ874" s="269"/>
      <c r="AK874" s="269"/>
      <c r="AL874" s="269"/>
      <c r="AM874" s="269"/>
    </row>
    <row r="875" spans="1:39" ht="120" customHeight="1" x14ac:dyDescent="0.2">
      <c r="A875" s="277">
        <f>IF(B875="","",COUNT('Diário 5º PA'!$A$5:$A$2634)+COUNT('Diário 6º PA'!$A$5:$A$2246)+ROW()-4)</f>
        <v>3414</v>
      </c>
      <c r="B875" s="278">
        <v>44439</v>
      </c>
      <c r="C875" s="249">
        <v>44378</v>
      </c>
      <c r="D875" s="250" t="s">
        <v>99</v>
      </c>
      <c r="E875" s="250" t="s">
        <v>330</v>
      </c>
      <c r="F875" s="251">
        <v>1950.65</v>
      </c>
      <c r="G875" s="452" t="s">
        <v>2160</v>
      </c>
      <c r="H875" s="250" t="s">
        <v>128</v>
      </c>
      <c r="I875" s="250" t="s">
        <v>2161</v>
      </c>
      <c r="J875" s="250" t="s">
        <v>2162</v>
      </c>
      <c r="K875" s="255" t="s">
        <v>560</v>
      </c>
      <c r="L875" s="250" t="s">
        <v>992</v>
      </c>
      <c r="M875" s="277" t="s">
        <v>2163</v>
      </c>
      <c r="N875" s="278">
        <v>44411</v>
      </c>
      <c r="O875" s="329" t="s">
        <v>67</v>
      </c>
      <c r="P875" s="330">
        <f t="shared" si="67"/>
        <v>8</v>
      </c>
      <c r="Q875" s="330">
        <f t="shared" si="68"/>
        <v>7</v>
      </c>
      <c r="R875" s="331" t="str">
        <f t="shared" si="69"/>
        <v>Gastos_Gerais</v>
      </c>
      <c r="S875" s="331" t="str">
        <f>IF(D875="","",IF(OR(D875=Plano!$A$1,D875=Plano!$B$1),"entrada","saída"))</f>
        <v>saída</v>
      </c>
      <c r="T875" s="334" t="s">
        <v>1011</v>
      </c>
      <c r="U875" s="334">
        <v>1823</v>
      </c>
      <c r="V875" s="269"/>
      <c r="W875" s="269"/>
      <c r="X875" s="269"/>
      <c r="Y875" s="269"/>
      <c r="Z875" s="269"/>
      <c r="AA875" s="269"/>
      <c r="AB875" s="269"/>
      <c r="AC875" s="269"/>
      <c r="AD875" s="269"/>
      <c r="AE875" s="269"/>
      <c r="AF875" s="269"/>
      <c r="AG875" s="269"/>
      <c r="AH875" s="269"/>
      <c r="AI875" s="269"/>
      <c r="AJ875" s="269"/>
      <c r="AK875" s="269"/>
      <c r="AL875" s="269"/>
      <c r="AM875" s="269"/>
    </row>
    <row r="876" spans="1:39" ht="135" customHeight="1" x14ac:dyDescent="0.2">
      <c r="A876" s="277">
        <f>IF(B876="","",COUNT('Diário 5º PA'!$A$5:$A$2634)+COUNT('Diário 6º PA'!$A$5:$A$2246)+ROW()-4)</f>
        <v>3415</v>
      </c>
      <c r="B876" s="278">
        <v>44439</v>
      </c>
      <c r="C876" s="249">
        <v>44348</v>
      </c>
      <c r="D876" s="250" t="s">
        <v>99</v>
      </c>
      <c r="E876" s="250" t="s">
        <v>312</v>
      </c>
      <c r="F876" s="251">
        <v>500</v>
      </c>
      <c r="G876" s="452" t="s">
        <v>2164</v>
      </c>
      <c r="H876" s="250" t="s">
        <v>131</v>
      </c>
      <c r="I876" s="250" t="s">
        <v>1726</v>
      </c>
      <c r="J876" s="250" t="s">
        <v>601</v>
      </c>
      <c r="K876" s="255" t="s">
        <v>991</v>
      </c>
      <c r="L876" s="250" t="s">
        <v>992</v>
      </c>
      <c r="M876" s="277">
        <v>328</v>
      </c>
      <c r="N876" s="278">
        <v>44433</v>
      </c>
      <c r="O876" s="329" t="s">
        <v>67</v>
      </c>
      <c r="P876" s="330">
        <f t="shared" si="67"/>
        <v>8</v>
      </c>
      <c r="Q876" s="330">
        <f t="shared" si="68"/>
        <v>6</v>
      </c>
      <c r="R876" s="331" t="str">
        <f t="shared" si="69"/>
        <v>Gastos_Gerais</v>
      </c>
      <c r="S876" s="331" t="str">
        <f>IF(D876="","",IF(OR(D876=Plano!$A$1,D876=Plano!$B$1),"entrada","saída"))</f>
        <v>saída</v>
      </c>
      <c r="T876" s="334" t="s">
        <v>994</v>
      </c>
      <c r="U876" s="334">
        <v>1721</v>
      </c>
      <c r="V876" s="269"/>
      <c r="W876" s="269"/>
      <c r="X876" s="269"/>
      <c r="Y876" s="269"/>
      <c r="Z876" s="269"/>
      <c r="AA876" s="269"/>
      <c r="AB876" s="269"/>
      <c r="AC876" s="269"/>
      <c r="AD876" s="269"/>
      <c r="AE876" s="269"/>
      <c r="AF876" s="269"/>
      <c r="AG876" s="269"/>
      <c r="AH876" s="269"/>
      <c r="AI876" s="269"/>
      <c r="AJ876" s="269"/>
      <c r="AK876" s="269"/>
      <c r="AL876" s="269"/>
      <c r="AM876" s="269"/>
    </row>
    <row r="877" spans="1:39" ht="75" customHeight="1" x14ac:dyDescent="0.2">
      <c r="A877" s="277">
        <f>IF(B877="","",COUNT('Diário 5º PA'!$A$5:$A$2634)+COUNT('Diário 6º PA'!$A$5:$A$2246)+ROW()-4)</f>
        <v>3416</v>
      </c>
      <c r="B877" s="278">
        <v>44439</v>
      </c>
      <c r="C877" s="249">
        <v>44378</v>
      </c>
      <c r="D877" s="250" t="s">
        <v>99</v>
      </c>
      <c r="E877" s="250" t="s">
        <v>356</v>
      </c>
      <c r="F877" s="251">
        <v>899.4</v>
      </c>
      <c r="G877" s="452" t="s">
        <v>2165</v>
      </c>
      <c r="H877" s="250" t="s">
        <v>125</v>
      </c>
      <c r="I877" s="250" t="s">
        <v>1702</v>
      </c>
      <c r="J877" s="250" t="s">
        <v>1703</v>
      </c>
      <c r="K877" s="255" t="s">
        <v>560</v>
      </c>
      <c r="L877" s="250" t="s">
        <v>992</v>
      </c>
      <c r="M877" s="277">
        <v>5310</v>
      </c>
      <c r="N877" s="278">
        <v>44407</v>
      </c>
      <c r="O877" s="329" t="s">
        <v>67</v>
      </c>
      <c r="P877" s="330">
        <f t="shared" si="67"/>
        <v>8</v>
      </c>
      <c r="Q877" s="330">
        <f t="shared" si="68"/>
        <v>7</v>
      </c>
      <c r="R877" s="331" t="str">
        <f t="shared" si="69"/>
        <v>Gastos_Gerais</v>
      </c>
      <c r="S877" s="331" t="str">
        <f>IF(D877="","",IF(OR(D877=Plano!$A$1,D877=Plano!$B$1),"entrada","saída"))</f>
        <v>saída</v>
      </c>
      <c r="T877" s="334" t="s">
        <v>1011</v>
      </c>
      <c r="U877" s="334">
        <v>1800</v>
      </c>
      <c r="V877" s="269"/>
      <c r="W877" s="269"/>
      <c r="X877" s="269"/>
      <c r="Y877" s="269"/>
      <c r="Z877" s="269"/>
      <c r="AA877" s="269"/>
      <c r="AB877" s="269"/>
      <c r="AC877" s="269"/>
      <c r="AD877" s="269"/>
      <c r="AE877" s="269"/>
      <c r="AF877" s="269"/>
      <c r="AG877" s="269"/>
      <c r="AH877" s="269"/>
      <c r="AI877" s="269"/>
      <c r="AJ877" s="269"/>
      <c r="AK877" s="269"/>
      <c r="AL877" s="269"/>
      <c r="AM877" s="269"/>
    </row>
    <row r="878" spans="1:39" ht="66.75" customHeight="1" x14ac:dyDescent="0.2">
      <c r="A878" s="277">
        <f>IF(B878="","",COUNT('Diário 5º PA'!$A$5:$A$2634)+COUNT('Diário 6º PA'!$A$5:$A$2246)+ROW()-4)</f>
        <v>3417</v>
      </c>
      <c r="B878" s="278">
        <v>44439</v>
      </c>
      <c r="C878" s="249">
        <v>44409</v>
      </c>
      <c r="D878" s="255" t="s">
        <v>99</v>
      </c>
      <c r="E878" s="255" t="s">
        <v>272</v>
      </c>
      <c r="F878" s="258">
        <v>10.45</v>
      </c>
      <c r="G878" s="450" t="s">
        <v>2166</v>
      </c>
      <c r="H878" s="250" t="s">
        <v>131</v>
      </c>
      <c r="I878" s="250" t="s">
        <v>949</v>
      </c>
      <c r="J878" s="255" t="s">
        <v>950</v>
      </c>
      <c r="K878" s="255" t="s">
        <v>951</v>
      </c>
      <c r="L878" s="250" t="s">
        <v>947</v>
      </c>
      <c r="M878" s="336" t="s">
        <v>114</v>
      </c>
      <c r="N878" s="278">
        <v>44439</v>
      </c>
      <c r="O878" s="329" t="s">
        <v>67</v>
      </c>
      <c r="P878" s="330">
        <f t="shared" si="67"/>
        <v>8</v>
      </c>
      <c r="Q878" s="330">
        <f t="shared" si="68"/>
        <v>8</v>
      </c>
      <c r="R878" s="331" t="str">
        <f t="shared" si="69"/>
        <v>Gastos_Gerais</v>
      </c>
      <c r="S878" s="331" t="str">
        <f>IF(D878="","",IF(OR(D878=Plano!$A$1,D878=Plano!$B$1),"entrada","saída"))</f>
        <v>saída</v>
      </c>
      <c r="T878" s="332" t="s">
        <v>114</v>
      </c>
      <c r="U878" s="332" t="s">
        <v>114</v>
      </c>
      <c r="V878" s="269"/>
      <c r="W878" s="269"/>
      <c r="X878" s="269"/>
      <c r="Y878" s="269"/>
      <c r="Z878" s="269"/>
      <c r="AA878" s="269"/>
      <c r="AB878" s="269"/>
      <c r="AC878" s="269"/>
      <c r="AD878" s="269"/>
      <c r="AE878" s="269"/>
      <c r="AF878" s="269"/>
      <c r="AG878" s="269"/>
      <c r="AH878" s="269"/>
      <c r="AI878" s="269"/>
      <c r="AJ878" s="269"/>
      <c r="AK878" s="269"/>
      <c r="AL878" s="269"/>
      <c r="AM878" s="269"/>
    </row>
    <row r="879" spans="1:39" s="478" customFormat="1" ht="66.75" customHeight="1" x14ac:dyDescent="0.2">
      <c r="A879" s="277">
        <f>IF(B879="","",COUNT('Diário 5º PA'!$A$5:$A$2634)+COUNT('Diário 6º PA'!$A$5:$A$2246)+ROW()-4)</f>
        <v>3418</v>
      </c>
      <c r="B879" s="278">
        <v>44439</v>
      </c>
      <c r="C879" s="249">
        <v>44409</v>
      </c>
      <c r="D879" s="250" t="s">
        <v>104</v>
      </c>
      <c r="E879" s="250" t="s">
        <v>104</v>
      </c>
      <c r="F879" s="251">
        <v>20422.5</v>
      </c>
      <c r="G879" s="452" t="s">
        <v>5420</v>
      </c>
      <c r="H879" s="250" t="s">
        <v>104</v>
      </c>
      <c r="I879" s="250" t="s">
        <v>4551</v>
      </c>
      <c r="J879" s="440" t="s">
        <v>4552</v>
      </c>
      <c r="K879" s="255" t="s">
        <v>991</v>
      </c>
      <c r="L879" s="250" t="s">
        <v>992</v>
      </c>
      <c r="M879" s="277" t="s">
        <v>1546</v>
      </c>
      <c r="N879" s="278">
        <v>44439</v>
      </c>
      <c r="O879" s="329" t="s">
        <v>5377</v>
      </c>
      <c r="P879" s="330">
        <f t="shared" ref="P879:P882" si="76">IF(B879=0,0,IF(YEAR(B879)=$Q$1,MONTH(B879)-$P$1+1,(YEAR(B879)-$Q$1)*12-$P$1+1+MONTH(B879)))</f>
        <v>8</v>
      </c>
      <c r="Q879" s="330">
        <f t="shared" ref="Q879:Q882" si="77">IF(C879=0,0,IF(YEAR(C879)=$Q$1,MONTH(C879)-$P$1+1,(YEAR(C879)-$Q$1)*12-$P$1+1+MONTH(C879)))</f>
        <v>8</v>
      </c>
      <c r="R879" s="331" t="str">
        <f t="shared" ref="R879:R882" si="78">SUBSTITUTE(D879," ","_")</f>
        <v>Gastos_custeados_por_captação</v>
      </c>
      <c r="S879" s="331" t="str">
        <f>IF(D879="","",IF(OR(D879=Plano!$A$1,D879=Plano!$B$1),"entrada","saída"))</f>
        <v>saída</v>
      </c>
      <c r="T879" s="332" t="s">
        <v>994</v>
      </c>
      <c r="U879" s="332">
        <v>1495</v>
      </c>
      <c r="V879" s="439"/>
      <c r="W879" s="439"/>
      <c r="X879" s="439"/>
      <c r="Y879" s="439"/>
      <c r="Z879" s="439"/>
      <c r="AA879" s="439"/>
      <c r="AB879" s="439"/>
      <c r="AC879" s="439"/>
      <c r="AD879" s="439"/>
      <c r="AE879" s="439"/>
      <c r="AF879" s="439"/>
      <c r="AG879" s="439"/>
      <c r="AH879" s="439"/>
      <c r="AI879" s="439"/>
      <c r="AJ879" s="439"/>
      <c r="AK879" s="439"/>
      <c r="AL879" s="439"/>
      <c r="AM879" s="439"/>
    </row>
    <row r="880" spans="1:39" s="478" customFormat="1" ht="108" customHeight="1" x14ac:dyDescent="0.2">
      <c r="A880" s="277">
        <f>IF(B880="","",COUNT('Diário 5º PA'!$A$5:$A$2634)+COUNT('Diário 6º PA'!$A$5:$A$2246)+ROW()-4)</f>
        <v>3419</v>
      </c>
      <c r="B880" s="278">
        <v>44439</v>
      </c>
      <c r="C880" s="249">
        <v>44409</v>
      </c>
      <c r="D880" s="250" t="s">
        <v>104</v>
      </c>
      <c r="E880" s="250" t="s">
        <v>104</v>
      </c>
      <c r="F880" s="251">
        <v>10922.24</v>
      </c>
      <c r="G880" s="452" t="s">
        <v>5422</v>
      </c>
      <c r="H880" s="250" t="s">
        <v>104</v>
      </c>
      <c r="I880" s="250" t="s">
        <v>5456</v>
      </c>
      <c r="J880" s="440" t="s">
        <v>5423</v>
      </c>
      <c r="K880" s="255" t="s">
        <v>991</v>
      </c>
      <c r="L880" s="250" t="s">
        <v>992</v>
      </c>
      <c r="M880" s="277" t="s">
        <v>4182</v>
      </c>
      <c r="N880" s="278">
        <v>44427</v>
      </c>
      <c r="O880" s="329" t="s">
        <v>5377</v>
      </c>
      <c r="P880" s="330">
        <f t="shared" si="76"/>
        <v>8</v>
      </c>
      <c r="Q880" s="330">
        <f t="shared" si="77"/>
        <v>8</v>
      </c>
      <c r="R880" s="331" t="str">
        <f t="shared" si="78"/>
        <v>Gastos_custeados_por_captação</v>
      </c>
      <c r="S880" s="331" t="str">
        <f>IF(D880="","",IF(OR(D880=Plano!$A$1,D880=Plano!$B$1),"entrada","saída"))</f>
        <v>saída</v>
      </c>
      <c r="T880" s="332" t="s">
        <v>994</v>
      </c>
      <c r="U880" s="332">
        <v>1623</v>
      </c>
      <c r="V880" s="439"/>
      <c r="W880" s="439"/>
      <c r="X880" s="439"/>
      <c r="Y880" s="439"/>
      <c r="Z880" s="439"/>
      <c r="AA880" s="439"/>
      <c r="AB880" s="439"/>
      <c r="AC880" s="439"/>
      <c r="AD880" s="439"/>
      <c r="AE880" s="439"/>
      <c r="AF880" s="439"/>
      <c r="AG880" s="439"/>
      <c r="AH880" s="439"/>
      <c r="AI880" s="439"/>
      <c r="AJ880" s="439"/>
      <c r="AK880" s="439"/>
      <c r="AL880" s="439"/>
      <c r="AM880" s="439"/>
    </row>
    <row r="881" spans="1:39" s="478" customFormat="1" ht="66.75" customHeight="1" x14ac:dyDescent="0.2">
      <c r="A881" s="277">
        <f>IF(B881="","",COUNT('Diário 5º PA'!$A$5:$A$2634)+COUNT('Diário 6º PA'!$A$5:$A$2246)+ROW()-4)</f>
        <v>3420</v>
      </c>
      <c r="B881" s="278">
        <v>44439</v>
      </c>
      <c r="C881" s="335">
        <v>44409</v>
      </c>
      <c r="D881" s="250" t="s">
        <v>104</v>
      </c>
      <c r="E881" s="250" t="s">
        <v>104</v>
      </c>
      <c r="F881" s="258">
        <v>10.45</v>
      </c>
      <c r="G881" s="450" t="s">
        <v>5451</v>
      </c>
      <c r="H881" s="250" t="s">
        <v>104</v>
      </c>
      <c r="I881" s="250" t="s">
        <v>949</v>
      </c>
      <c r="J881" s="255" t="s">
        <v>950</v>
      </c>
      <c r="K881" s="255" t="s">
        <v>951</v>
      </c>
      <c r="L881" s="250" t="s">
        <v>947</v>
      </c>
      <c r="M881" s="336" t="s">
        <v>114</v>
      </c>
      <c r="N881" s="278">
        <v>44439</v>
      </c>
      <c r="O881" s="329" t="s">
        <v>5377</v>
      </c>
      <c r="P881" s="330">
        <f t="shared" si="76"/>
        <v>8</v>
      </c>
      <c r="Q881" s="330">
        <f t="shared" si="77"/>
        <v>8</v>
      </c>
      <c r="R881" s="331" t="str">
        <f t="shared" si="78"/>
        <v>Gastos_custeados_por_captação</v>
      </c>
      <c r="S881" s="331" t="str">
        <f>IF(D881="","",IF(OR(D881=Plano!$A$1,D881=Plano!$B$1),"entrada","saída"))</f>
        <v>saída</v>
      </c>
      <c r="T881" s="332" t="s">
        <v>114</v>
      </c>
      <c r="U881" s="332" t="s">
        <v>114</v>
      </c>
      <c r="V881" s="439"/>
      <c r="W881" s="439"/>
      <c r="X881" s="439"/>
      <c r="Y881" s="439"/>
      <c r="Z881" s="439"/>
      <c r="AA881" s="439"/>
      <c r="AB881" s="439"/>
      <c r="AC881" s="439"/>
      <c r="AD881" s="439"/>
      <c r="AE881" s="439"/>
      <c r="AF881" s="439"/>
      <c r="AG881" s="439"/>
      <c r="AH881" s="439"/>
      <c r="AI881" s="439"/>
      <c r="AJ881" s="439"/>
      <c r="AK881" s="439"/>
      <c r="AL881" s="439"/>
      <c r="AM881" s="439"/>
    </row>
    <row r="882" spans="1:39" s="478" customFormat="1" ht="66.75" customHeight="1" x14ac:dyDescent="0.2">
      <c r="A882" s="277">
        <f>IF(B882="","",COUNT('Diário 5º PA'!$A$5:$A$2634)+COUNT('Diário 6º PA'!$A$5:$A$2246)+ROW()-4)</f>
        <v>3421</v>
      </c>
      <c r="B882" s="278">
        <v>44439</v>
      </c>
      <c r="C882" s="335">
        <v>44409</v>
      </c>
      <c r="D882" s="250" t="s">
        <v>104</v>
      </c>
      <c r="E882" s="250" t="s">
        <v>104</v>
      </c>
      <c r="F882" s="258">
        <v>10.45</v>
      </c>
      <c r="G882" s="450" t="s">
        <v>5451</v>
      </c>
      <c r="H882" s="250" t="s">
        <v>104</v>
      </c>
      <c r="I882" s="250" t="s">
        <v>949</v>
      </c>
      <c r="J882" s="255" t="s">
        <v>950</v>
      </c>
      <c r="K882" s="255" t="s">
        <v>951</v>
      </c>
      <c r="L882" s="250" t="s">
        <v>947</v>
      </c>
      <c r="M882" s="336" t="s">
        <v>114</v>
      </c>
      <c r="N882" s="278">
        <v>44439</v>
      </c>
      <c r="O882" s="329" t="s">
        <v>5377</v>
      </c>
      <c r="P882" s="330">
        <f t="shared" si="76"/>
        <v>8</v>
      </c>
      <c r="Q882" s="330">
        <f t="shared" si="77"/>
        <v>8</v>
      </c>
      <c r="R882" s="331" t="str">
        <f t="shared" si="78"/>
        <v>Gastos_custeados_por_captação</v>
      </c>
      <c r="S882" s="331" t="str">
        <f>IF(D882="","",IF(OR(D882=Plano!$A$1,D882=Plano!$B$1),"entrada","saída"))</f>
        <v>saída</v>
      </c>
      <c r="T882" s="332" t="s">
        <v>114</v>
      </c>
      <c r="U882" s="332" t="s">
        <v>114</v>
      </c>
      <c r="V882" s="439"/>
      <c r="W882" s="439"/>
      <c r="X882" s="439"/>
      <c r="Y882" s="439"/>
      <c r="Z882" s="439"/>
      <c r="AA882" s="439"/>
      <c r="AB882" s="439"/>
      <c r="AC882" s="439"/>
      <c r="AD882" s="439"/>
      <c r="AE882" s="439"/>
      <c r="AF882" s="439"/>
      <c r="AG882" s="439"/>
      <c r="AH882" s="439"/>
      <c r="AI882" s="439"/>
      <c r="AJ882" s="439"/>
      <c r="AK882" s="439"/>
      <c r="AL882" s="439"/>
      <c r="AM882" s="439"/>
    </row>
    <row r="883" spans="1:39" ht="58.5" customHeight="1" x14ac:dyDescent="0.2">
      <c r="A883" s="277">
        <f>IF(B883="","",COUNT('Diário 5º PA'!$A$5:$A$2634)+COUNT('Diário 6º PA'!$A$5:$A$2246)+ROW()-4)</f>
        <v>3422</v>
      </c>
      <c r="B883" s="278">
        <v>44439</v>
      </c>
      <c r="C883" s="249">
        <v>44409</v>
      </c>
      <c r="D883" s="255" t="s">
        <v>85</v>
      </c>
      <c r="E883" s="255" t="s">
        <v>85</v>
      </c>
      <c r="F883" s="258">
        <v>6808.64</v>
      </c>
      <c r="G883" s="450" t="s">
        <v>2167</v>
      </c>
      <c r="H883" s="255" t="s">
        <v>114</v>
      </c>
      <c r="I883" s="250" t="s">
        <v>945</v>
      </c>
      <c r="J883" s="255" t="s">
        <v>850</v>
      </c>
      <c r="K883" s="255" t="s">
        <v>946</v>
      </c>
      <c r="L883" s="250" t="s">
        <v>947</v>
      </c>
      <c r="M883" s="336" t="s">
        <v>114</v>
      </c>
      <c r="N883" s="278">
        <v>44439</v>
      </c>
      <c r="O883" s="329" t="s">
        <v>67</v>
      </c>
      <c r="P883" s="330">
        <f t="shared" si="67"/>
        <v>8</v>
      </c>
      <c r="Q883" s="330">
        <f t="shared" si="68"/>
        <v>8</v>
      </c>
      <c r="R883" s="331" t="str">
        <f t="shared" si="69"/>
        <v>Rendimentos_de_Aplicações_Fin.</v>
      </c>
      <c r="S883" s="331" t="str">
        <f>IF(D883="","",IF(OR(D883=Plano!$A$1,D883=Plano!$B$1),"entrada","saída"))</f>
        <v>entrada</v>
      </c>
      <c r="T883" s="334" t="s">
        <v>114</v>
      </c>
      <c r="U883" s="334" t="s">
        <v>114</v>
      </c>
      <c r="V883" s="269"/>
      <c r="W883" s="269"/>
      <c r="X883" s="269"/>
      <c r="Y883" s="269"/>
      <c r="Z883" s="269"/>
      <c r="AA883" s="269"/>
      <c r="AB883" s="269"/>
      <c r="AC883" s="269"/>
      <c r="AD883" s="269"/>
      <c r="AE883" s="269"/>
      <c r="AF883" s="269"/>
      <c r="AG883" s="269"/>
      <c r="AH883" s="269"/>
      <c r="AI883" s="269"/>
      <c r="AJ883" s="269"/>
      <c r="AK883" s="269"/>
      <c r="AL883" s="269"/>
      <c r="AM883" s="269"/>
    </row>
    <row r="884" spans="1:39" ht="30.75" customHeight="1" x14ac:dyDescent="0.2">
      <c r="A884" s="277">
        <f>IF(B884="","",COUNT('Diário 5º PA'!$A$5:$A$2634)+COUNT('Diário 6º PA'!$A$5:$A$2246)+ROW()-4)</f>
        <v>3423</v>
      </c>
      <c r="B884" s="278">
        <v>44439</v>
      </c>
      <c r="C884" s="249">
        <v>44409</v>
      </c>
      <c r="D884" s="255" t="s">
        <v>99</v>
      </c>
      <c r="E884" s="255" t="s">
        <v>280</v>
      </c>
      <c r="F884" s="258">
        <v>756.88</v>
      </c>
      <c r="G884" s="450" t="s">
        <v>2168</v>
      </c>
      <c r="H884" s="255" t="s">
        <v>114</v>
      </c>
      <c r="I884" s="250" t="s">
        <v>488</v>
      </c>
      <c r="J884" s="255" t="s">
        <v>114</v>
      </c>
      <c r="K884" s="255" t="s">
        <v>466</v>
      </c>
      <c r="L884" s="250" t="s">
        <v>489</v>
      </c>
      <c r="M884" s="277" t="s">
        <v>114</v>
      </c>
      <c r="N884" s="278">
        <v>44439</v>
      </c>
      <c r="O884" s="329" t="s">
        <v>67</v>
      </c>
      <c r="P884" s="330">
        <f t="shared" si="67"/>
        <v>8</v>
      </c>
      <c r="Q884" s="330">
        <f t="shared" si="68"/>
        <v>8</v>
      </c>
      <c r="R884" s="331" t="str">
        <f t="shared" si="69"/>
        <v>Gastos_Gerais</v>
      </c>
      <c r="S884" s="331" t="str">
        <f>IF(D884="","",IF(OR(D884=Plano!$A$1,D884=Plano!$B$1),"entrada","saída"))</f>
        <v>saída</v>
      </c>
      <c r="T884" s="334" t="s">
        <v>114</v>
      </c>
      <c r="U884" s="334" t="s">
        <v>114</v>
      </c>
      <c r="V884" s="269"/>
      <c r="W884" s="269"/>
      <c r="X884" s="269"/>
      <c r="Y884" s="269"/>
      <c r="Z884" s="269"/>
      <c r="AA884" s="269"/>
      <c r="AB884" s="269"/>
      <c r="AC884" s="269"/>
      <c r="AD884" s="269"/>
      <c r="AE884" s="269"/>
      <c r="AF884" s="269"/>
      <c r="AG884" s="269"/>
      <c r="AH884" s="269"/>
      <c r="AI884" s="269"/>
      <c r="AJ884" s="269"/>
      <c r="AK884" s="269"/>
      <c r="AL884" s="269"/>
      <c r="AM884" s="269"/>
    </row>
    <row r="885" spans="1:39" ht="61.5" customHeight="1" x14ac:dyDescent="0.2">
      <c r="A885" s="277">
        <f>IF(B885="","",COUNT('Diário 5º PA'!$A$5:$A$2634)+COUNT('Diário 6º PA'!$A$5:$A$2246)+ROW()-4)</f>
        <v>3424</v>
      </c>
      <c r="B885" s="278">
        <v>44440</v>
      </c>
      <c r="C885" s="256">
        <v>44409</v>
      </c>
      <c r="D885" s="255" t="s">
        <v>88</v>
      </c>
      <c r="E885" s="255" t="s">
        <v>198</v>
      </c>
      <c r="F885" s="258">
        <v>-23.2</v>
      </c>
      <c r="G885" s="450" t="s">
        <v>982</v>
      </c>
      <c r="H885" s="252" t="s">
        <v>114</v>
      </c>
      <c r="I885" s="250" t="s">
        <v>983</v>
      </c>
      <c r="J885" s="255" t="s">
        <v>850</v>
      </c>
      <c r="K885" s="255" t="s">
        <v>946</v>
      </c>
      <c r="L885" s="250" t="s">
        <v>947</v>
      </c>
      <c r="M885" s="277" t="s">
        <v>114</v>
      </c>
      <c r="N885" s="278">
        <v>44440</v>
      </c>
      <c r="O885" s="329" t="s">
        <v>67</v>
      </c>
      <c r="P885" s="330">
        <f t="shared" si="67"/>
        <v>9</v>
      </c>
      <c r="Q885" s="330">
        <f t="shared" si="68"/>
        <v>8</v>
      </c>
      <c r="R885" s="331" t="str">
        <f t="shared" si="69"/>
        <v>Gastos_com_Pessoal</v>
      </c>
      <c r="S885" s="331" t="str">
        <f>IF(D885="","",IF(OR(D885=Plano!$A$1,D885=Plano!$B$1),"entrada","saída"))</f>
        <v>saída</v>
      </c>
      <c r="T885" s="332" t="s">
        <v>114</v>
      </c>
      <c r="U885" s="332" t="s">
        <v>114</v>
      </c>
      <c r="V885" s="269"/>
      <c r="W885" s="269"/>
      <c r="X885" s="269"/>
      <c r="Y885" s="269"/>
      <c r="Z885" s="269"/>
      <c r="AA885" s="269"/>
      <c r="AB885" s="269"/>
      <c r="AC885" s="269"/>
      <c r="AD885" s="269"/>
      <c r="AE885" s="269"/>
      <c r="AF885" s="269"/>
      <c r="AG885" s="269"/>
      <c r="AH885" s="269"/>
      <c r="AI885" s="269"/>
      <c r="AJ885" s="269"/>
      <c r="AK885" s="269"/>
      <c r="AL885" s="269"/>
      <c r="AM885" s="269"/>
    </row>
    <row r="886" spans="1:39" ht="47.25" customHeight="1" x14ac:dyDescent="0.2">
      <c r="A886" s="277">
        <f>IF(B886="","",COUNT('Diário 5º PA'!$A$5:$A$2634)+COUNT('Diário 6º PA'!$A$5:$A$2246)+ROW()-4)</f>
        <v>3425</v>
      </c>
      <c r="B886" s="278">
        <v>44440</v>
      </c>
      <c r="C886" s="256">
        <v>44409</v>
      </c>
      <c r="D886" s="255" t="s">
        <v>88</v>
      </c>
      <c r="E886" s="255" t="s">
        <v>198</v>
      </c>
      <c r="F886" s="258">
        <v>-23.2</v>
      </c>
      <c r="G886" s="450" t="s">
        <v>2169</v>
      </c>
      <c r="H886" s="252" t="s">
        <v>114</v>
      </c>
      <c r="I886" s="250" t="s">
        <v>983</v>
      </c>
      <c r="J886" s="255" t="s">
        <v>850</v>
      </c>
      <c r="K886" s="255" t="s">
        <v>946</v>
      </c>
      <c r="L886" s="250" t="s">
        <v>947</v>
      </c>
      <c r="M886" s="277" t="s">
        <v>114</v>
      </c>
      <c r="N886" s="278">
        <v>44440</v>
      </c>
      <c r="O886" s="329" t="s">
        <v>67</v>
      </c>
      <c r="P886" s="330">
        <f t="shared" si="67"/>
        <v>9</v>
      </c>
      <c r="Q886" s="330">
        <f t="shared" si="68"/>
        <v>8</v>
      </c>
      <c r="R886" s="331" t="str">
        <f t="shared" si="69"/>
        <v>Gastos_com_Pessoal</v>
      </c>
      <c r="S886" s="331" t="str">
        <f>IF(D886="","",IF(OR(D886=Plano!$A$1,D886=Plano!$B$1),"entrada","saída"))</f>
        <v>saída</v>
      </c>
      <c r="T886" s="332" t="s">
        <v>114</v>
      </c>
      <c r="U886" s="332" t="s">
        <v>114</v>
      </c>
      <c r="V886" s="269"/>
      <c r="W886" s="269"/>
      <c r="X886" s="269"/>
      <c r="Y886" s="269"/>
      <c r="Z886" s="269"/>
      <c r="AA886" s="269"/>
      <c r="AB886" s="269"/>
      <c r="AC886" s="269"/>
      <c r="AD886" s="269"/>
      <c r="AE886" s="269"/>
      <c r="AF886" s="269"/>
      <c r="AG886" s="269"/>
      <c r="AH886" s="269"/>
      <c r="AI886" s="269"/>
      <c r="AJ886" s="269"/>
      <c r="AK886" s="269"/>
      <c r="AL886" s="269"/>
      <c r="AM886" s="269"/>
    </row>
    <row r="887" spans="1:39" ht="48" customHeight="1" x14ac:dyDescent="0.2">
      <c r="A887" s="277">
        <f>IF(B887="","",COUNT('Diário 5º PA'!$A$5:$A$2634)+COUNT('Diário 6º PA'!$A$5:$A$2246)+ROW()-4)</f>
        <v>3426</v>
      </c>
      <c r="B887" s="278">
        <v>44440</v>
      </c>
      <c r="C887" s="256">
        <v>44409</v>
      </c>
      <c r="D887" s="255" t="s">
        <v>88</v>
      </c>
      <c r="E887" s="255" t="s">
        <v>183</v>
      </c>
      <c r="F887" s="258">
        <v>-13.87</v>
      </c>
      <c r="G887" s="450" t="s">
        <v>984</v>
      </c>
      <c r="H887" s="252" t="s">
        <v>114</v>
      </c>
      <c r="I887" s="250" t="s">
        <v>983</v>
      </c>
      <c r="J887" s="255" t="s">
        <v>850</v>
      </c>
      <c r="K887" s="255" t="s">
        <v>946</v>
      </c>
      <c r="L887" s="250" t="s">
        <v>947</v>
      </c>
      <c r="M887" s="277" t="s">
        <v>114</v>
      </c>
      <c r="N887" s="278">
        <v>44440</v>
      </c>
      <c r="O887" s="329" t="s">
        <v>67</v>
      </c>
      <c r="P887" s="330">
        <f t="shared" si="67"/>
        <v>9</v>
      </c>
      <c r="Q887" s="330">
        <f t="shared" si="68"/>
        <v>8</v>
      </c>
      <c r="R887" s="331" t="str">
        <f t="shared" si="69"/>
        <v>Gastos_com_Pessoal</v>
      </c>
      <c r="S887" s="331" t="str">
        <f>IF(D887="","",IF(OR(D887=Plano!$A$1,D887=Plano!$B$1),"entrada","saída"))</f>
        <v>saída</v>
      </c>
      <c r="T887" s="332" t="s">
        <v>114</v>
      </c>
      <c r="U887" s="332" t="s">
        <v>114</v>
      </c>
      <c r="V887" s="269"/>
      <c r="W887" s="269"/>
      <c r="X887" s="269"/>
      <c r="Y887" s="269"/>
      <c r="Z887" s="269"/>
      <c r="AA887" s="269"/>
      <c r="AB887" s="269"/>
      <c r="AC887" s="269"/>
      <c r="AD887" s="269"/>
      <c r="AE887" s="269"/>
      <c r="AF887" s="269"/>
      <c r="AG887" s="269"/>
      <c r="AH887" s="269"/>
      <c r="AI887" s="269"/>
      <c r="AJ887" s="269"/>
      <c r="AK887" s="269"/>
      <c r="AL887" s="269"/>
      <c r="AM887" s="269"/>
    </row>
    <row r="888" spans="1:39" ht="63.75" customHeight="1" x14ac:dyDescent="0.2">
      <c r="A888" s="277">
        <f>IF(B888="","",COUNT('Diário 5º PA'!$A$5:$A$2634)+COUNT('Diário 6º PA'!$A$5:$A$2246)+ROW()-4)</f>
        <v>3427</v>
      </c>
      <c r="B888" s="278">
        <v>44440</v>
      </c>
      <c r="C888" s="256">
        <v>44409</v>
      </c>
      <c r="D888" s="255" t="s">
        <v>88</v>
      </c>
      <c r="E888" s="255" t="s">
        <v>183</v>
      </c>
      <c r="F888" s="258">
        <v>-97.09</v>
      </c>
      <c r="G888" s="450" t="s">
        <v>986</v>
      </c>
      <c r="H888" s="252" t="s">
        <v>114</v>
      </c>
      <c r="I888" s="250" t="s">
        <v>983</v>
      </c>
      <c r="J888" s="255" t="s">
        <v>850</v>
      </c>
      <c r="K888" s="255" t="s">
        <v>946</v>
      </c>
      <c r="L888" s="250" t="s">
        <v>947</v>
      </c>
      <c r="M888" s="277" t="s">
        <v>114</v>
      </c>
      <c r="N888" s="278">
        <v>44440</v>
      </c>
      <c r="O888" s="329" t="s">
        <v>67</v>
      </c>
      <c r="P888" s="330">
        <f t="shared" si="67"/>
        <v>9</v>
      </c>
      <c r="Q888" s="330">
        <f t="shared" si="68"/>
        <v>8</v>
      </c>
      <c r="R888" s="331" t="str">
        <f t="shared" si="69"/>
        <v>Gastos_com_Pessoal</v>
      </c>
      <c r="S888" s="331" t="str">
        <f>IF(D888="","",IF(OR(D888=Plano!$A$1,D888=Plano!$B$1),"entrada","saída"))</f>
        <v>saída</v>
      </c>
      <c r="T888" s="332" t="s">
        <v>114</v>
      </c>
      <c r="U888" s="332" t="s">
        <v>114</v>
      </c>
      <c r="V888" s="269"/>
      <c r="W888" s="269"/>
      <c r="X888" s="269"/>
      <c r="Y888" s="269"/>
      <c r="Z888" s="269"/>
      <c r="AA888" s="269"/>
      <c r="AB888" s="269"/>
      <c r="AC888" s="269"/>
      <c r="AD888" s="269"/>
      <c r="AE888" s="269"/>
      <c r="AF888" s="269"/>
      <c r="AG888" s="269"/>
      <c r="AH888" s="269"/>
      <c r="AI888" s="269"/>
      <c r="AJ888" s="269"/>
      <c r="AK888" s="269"/>
      <c r="AL888" s="269"/>
      <c r="AM888" s="269"/>
    </row>
    <row r="889" spans="1:39" ht="56.25" customHeight="1" x14ac:dyDescent="0.2">
      <c r="A889" s="277">
        <f>IF(B889="","",COUNT('Diário 5º PA'!$A$5:$A$2634)+COUNT('Diário 6º PA'!$A$5:$A$2246)+ROW()-4)</f>
        <v>3428</v>
      </c>
      <c r="B889" s="278">
        <v>44440</v>
      </c>
      <c r="C889" s="256">
        <v>44409</v>
      </c>
      <c r="D889" s="255" t="s">
        <v>88</v>
      </c>
      <c r="E889" s="255" t="s">
        <v>198</v>
      </c>
      <c r="F889" s="258">
        <v>-92.79</v>
      </c>
      <c r="G889" s="450" t="s">
        <v>987</v>
      </c>
      <c r="H889" s="252" t="s">
        <v>114</v>
      </c>
      <c r="I889" s="250" t="s">
        <v>983</v>
      </c>
      <c r="J889" s="255" t="s">
        <v>850</v>
      </c>
      <c r="K889" s="255" t="s">
        <v>946</v>
      </c>
      <c r="L889" s="250" t="s">
        <v>947</v>
      </c>
      <c r="M889" s="277" t="s">
        <v>114</v>
      </c>
      <c r="N889" s="278">
        <v>44440</v>
      </c>
      <c r="O889" s="329" t="s">
        <v>67</v>
      </c>
      <c r="P889" s="330">
        <f t="shared" si="67"/>
        <v>9</v>
      </c>
      <c r="Q889" s="330">
        <f t="shared" si="68"/>
        <v>8</v>
      </c>
      <c r="R889" s="331" t="str">
        <f t="shared" si="69"/>
        <v>Gastos_com_Pessoal</v>
      </c>
      <c r="S889" s="331" t="str">
        <f>IF(D889="","",IF(OR(D889=Plano!$A$1,D889=Plano!$B$1),"entrada","saída"))</f>
        <v>saída</v>
      </c>
      <c r="T889" s="332" t="s">
        <v>114</v>
      </c>
      <c r="U889" s="332" t="s">
        <v>114</v>
      </c>
      <c r="V889" s="269"/>
      <c r="W889" s="269"/>
      <c r="X889" s="269"/>
      <c r="Y889" s="269"/>
      <c r="Z889" s="269"/>
      <c r="AA889" s="269"/>
      <c r="AB889" s="269"/>
      <c r="AC889" s="269"/>
      <c r="AD889" s="269"/>
      <c r="AE889" s="269"/>
      <c r="AF889" s="269"/>
      <c r="AG889" s="269"/>
      <c r="AH889" s="269"/>
      <c r="AI889" s="269"/>
      <c r="AJ889" s="269"/>
      <c r="AK889" s="269"/>
      <c r="AL889" s="269"/>
      <c r="AM889" s="269"/>
    </row>
    <row r="890" spans="1:39" ht="41.25" customHeight="1" x14ac:dyDescent="0.2">
      <c r="A890" s="277">
        <f>IF(B890="","",COUNT('Diário 5º PA'!$A$5:$A$2634)+COUNT('Diário 6º PA'!$A$5:$A$2246)+ROW()-4)</f>
        <v>3429</v>
      </c>
      <c r="B890" s="278">
        <v>44440</v>
      </c>
      <c r="C890" s="256">
        <v>44409</v>
      </c>
      <c r="D890" s="255" t="s">
        <v>88</v>
      </c>
      <c r="E890" s="255" t="s">
        <v>198</v>
      </c>
      <c r="F890" s="258">
        <v>1275.99</v>
      </c>
      <c r="G890" s="450" t="s">
        <v>533</v>
      </c>
      <c r="H890" s="252" t="s">
        <v>114</v>
      </c>
      <c r="I890" s="250" t="s">
        <v>534</v>
      </c>
      <c r="J890" s="252" t="s">
        <v>535</v>
      </c>
      <c r="K890" s="255" t="s">
        <v>560</v>
      </c>
      <c r="L890" s="255" t="s">
        <v>697</v>
      </c>
      <c r="M890" s="277" t="s">
        <v>1001</v>
      </c>
      <c r="N890" s="278">
        <v>44426</v>
      </c>
      <c r="O890" s="329" t="s">
        <v>67</v>
      </c>
      <c r="P890" s="330">
        <f t="shared" si="67"/>
        <v>9</v>
      </c>
      <c r="Q890" s="330">
        <f t="shared" si="68"/>
        <v>8</v>
      </c>
      <c r="R890" s="331" t="str">
        <f t="shared" si="69"/>
        <v>Gastos_com_Pessoal</v>
      </c>
      <c r="S890" s="331" t="str">
        <f>IF(D890="","",IF(OR(D890=Plano!$A$1,D890=Plano!$B$1),"entrada","saída"))</f>
        <v>saída</v>
      </c>
      <c r="T890" s="332" t="s">
        <v>114</v>
      </c>
      <c r="U890" s="332" t="s">
        <v>114</v>
      </c>
      <c r="V890" s="269"/>
      <c r="W890" s="269"/>
      <c r="X890" s="269"/>
      <c r="Y890" s="269"/>
      <c r="Z890" s="269"/>
      <c r="AA890" s="269"/>
      <c r="AB890" s="269"/>
      <c r="AC890" s="269"/>
      <c r="AD890" s="269"/>
      <c r="AE890" s="269"/>
      <c r="AF890" s="269"/>
      <c r="AG890" s="269"/>
      <c r="AH890" s="269"/>
      <c r="AI890" s="269"/>
      <c r="AJ890" s="269"/>
      <c r="AK890" s="269"/>
      <c r="AL890" s="269"/>
      <c r="AM890" s="269"/>
    </row>
    <row r="891" spans="1:39" ht="48.75" customHeight="1" x14ac:dyDescent="0.2">
      <c r="A891" s="277">
        <f>IF(B891="","",COUNT('Diário 5º PA'!$A$5:$A$2634)+COUNT('Diário 6º PA'!$A$5:$A$2246)+ROW()-4)</f>
        <v>3430</v>
      </c>
      <c r="B891" s="278">
        <v>44440</v>
      </c>
      <c r="C891" s="256">
        <v>44409</v>
      </c>
      <c r="D891" s="255" t="s">
        <v>88</v>
      </c>
      <c r="E891" s="255" t="s">
        <v>183</v>
      </c>
      <c r="F891" s="258">
        <v>341.6</v>
      </c>
      <c r="G891" s="450" t="s">
        <v>2170</v>
      </c>
      <c r="H891" s="252" t="s">
        <v>114</v>
      </c>
      <c r="I891" s="250" t="s">
        <v>537</v>
      </c>
      <c r="J891" s="252" t="s">
        <v>538</v>
      </c>
      <c r="K891" s="255" t="s">
        <v>560</v>
      </c>
      <c r="L891" s="250" t="s">
        <v>992</v>
      </c>
      <c r="M891" s="277" t="s">
        <v>2171</v>
      </c>
      <c r="N891" s="278">
        <v>44426</v>
      </c>
      <c r="O891" s="329" t="s">
        <v>67</v>
      </c>
      <c r="P891" s="330">
        <f t="shared" si="67"/>
        <v>9</v>
      </c>
      <c r="Q891" s="330">
        <f t="shared" si="68"/>
        <v>8</v>
      </c>
      <c r="R891" s="331" t="str">
        <f t="shared" si="69"/>
        <v>Gastos_com_Pessoal</v>
      </c>
      <c r="S891" s="331" t="str">
        <f>IF(D891="","",IF(OR(D891=Plano!$A$1,D891=Plano!$B$1),"entrada","saída"))</f>
        <v>saída</v>
      </c>
      <c r="T891" s="332" t="s">
        <v>114</v>
      </c>
      <c r="U891" s="332" t="s">
        <v>114</v>
      </c>
      <c r="V891" s="269"/>
      <c r="W891" s="269"/>
      <c r="X891" s="269"/>
      <c r="Y891" s="269"/>
      <c r="Z891" s="269"/>
      <c r="AA891" s="269"/>
      <c r="AB891" s="269"/>
      <c r="AC891" s="269"/>
      <c r="AD891" s="269"/>
      <c r="AE891" s="269"/>
      <c r="AF891" s="269"/>
      <c r="AG891" s="269"/>
      <c r="AH891" s="269"/>
      <c r="AI891" s="269"/>
      <c r="AJ891" s="269"/>
      <c r="AK891" s="269"/>
      <c r="AL891" s="269"/>
      <c r="AM891" s="269"/>
    </row>
    <row r="892" spans="1:39" ht="43.5" customHeight="1" x14ac:dyDescent="0.2">
      <c r="A892" s="277">
        <f>IF(B892="","",COUNT('Diário 5º PA'!$A$5:$A$2634)+COUNT('Diário 6º PA'!$A$5:$A$2246)+ROW()-4)</f>
        <v>3431</v>
      </c>
      <c r="B892" s="278">
        <v>44440</v>
      </c>
      <c r="C892" s="256">
        <v>44409</v>
      </c>
      <c r="D892" s="255" t="s">
        <v>88</v>
      </c>
      <c r="E892" s="255" t="s">
        <v>183</v>
      </c>
      <c r="F892" s="258">
        <v>236.07</v>
      </c>
      <c r="G892" s="450" t="s">
        <v>2172</v>
      </c>
      <c r="H892" s="252" t="s">
        <v>114</v>
      </c>
      <c r="I892" s="250" t="s">
        <v>998</v>
      </c>
      <c r="J892" s="252" t="s">
        <v>999</v>
      </c>
      <c r="K892" s="255" t="s">
        <v>560</v>
      </c>
      <c r="L892" s="250" t="s">
        <v>992</v>
      </c>
      <c r="M892" s="277" t="s">
        <v>2173</v>
      </c>
      <c r="N892" s="278">
        <v>44426</v>
      </c>
      <c r="O892" s="329" t="s">
        <v>67</v>
      </c>
      <c r="P892" s="330">
        <f t="shared" si="67"/>
        <v>9</v>
      </c>
      <c r="Q892" s="330">
        <f t="shared" si="68"/>
        <v>8</v>
      </c>
      <c r="R892" s="331" t="str">
        <f t="shared" si="69"/>
        <v>Gastos_com_Pessoal</v>
      </c>
      <c r="S892" s="331" t="str">
        <f>IF(D892="","",IF(OR(D892=Plano!$A$1,D892=Plano!$B$1),"entrada","saída"))</f>
        <v>saída</v>
      </c>
      <c r="T892" s="332" t="s">
        <v>114</v>
      </c>
      <c r="U892" s="332" t="s">
        <v>114</v>
      </c>
      <c r="V892" s="269"/>
      <c r="W892" s="269"/>
      <c r="X892" s="269"/>
      <c r="Y892" s="269"/>
      <c r="Z892" s="269"/>
      <c r="AA892" s="269"/>
      <c r="AB892" s="269"/>
      <c r="AC892" s="269"/>
      <c r="AD892" s="269"/>
      <c r="AE892" s="269"/>
      <c r="AF892" s="269"/>
      <c r="AG892" s="269"/>
      <c r="AH892" s="269"/>
      <c r="AI892" s="269"/>
      <c r="AJ892" s="269"/>
      <c r="AK892" s="269"/>
      <c r="AL892" s="269"/>
      <c r="AM892" s="269"/>
    </row>
    <row r="893" spans="1:39" ht="99.75" customHeight="1" x14ac:dyDescent="0.2">
      <c r="A893" s="277">
        <f>IF(B893="","",COUNT('Diário 5º PA'!$A$5:$A$2634)+COUNT('Diário 6º PA'!$A$5:$A$2246)+ROW()-4)</f>
        <v>3432</v>
      </c>
      <c r="B893" s="278">
        <v>44441</v>
      </c>
      <c r="C893" s="249">
        <v>44409</v>
      </c>
      <c r="D893" s="250" t="s">
        <v>99</v>
      </c>
      <c r="E893" s="250" t="s">
        <v>350</v>
      </c>
      <c r="F893" s="251">
        <v>500</v>
      </c>
      <c r="G893" s="452" t="s">
        <v>2174</v>
      </c>
      <c r="H893" s="250" t="s">
        <v>131</v>
      </c>
      <c r="I893" s="250" t="s">
        <v>1063</v>
      </c>
      <c r="J893" s="250" t="s">
        <v>1064</v>
      </c>
      <c r="K893" s="255" t="s">
        <v>991</v>
      </c>
      <c r="L893" s="250" t="s">
        <v>1177</v>
      </c>
      <c r="M893" s="277" t="s">
        <v>114</v>
      </c>
      <c r="N893" s="278">
        <v>44441</v>
      </c>
      <c r="O893" s="329" t="s">
        <v>67</v>
      </c>
      <c r="P893" s="330">
        <f t="shared" si="67"/>
        <v>9</v>
      </c>
      <c r="Q893" s="330">
        <f t="shared" si="68"/>
        <v>8</v>
      </c>
      <c r="R893" s="331" t="str">
        <f t="shared" si="69"/>
        <v>Gastos_Gerais</v>
      </c>
      <c r="S893" s="331" t="str">
        <f>IF(D893="","",IF(OR(D893=Plano!$A$1,D893=Plano!$B$1),"entrada","saída"))</f>
        <v>saída</v>
      </c>
      <c r="T893" s="334" t="s">
        <v>994</v>
      </c>
      <c r="U893" s="334">
        <v>1960</v>
      </c>
      <c r="V893" s="269"/>
      <c r="W893" s="269"/>
      <c r="X893" s="269"/>
      <c r="Y893" s="269"/>
      <c r="Z893" s="269"/>
      <c r="AA893" s="269"/>
      <c r="AB893" s="269"/>
      <c r="AC893" s="269"/>
      <c r="AD893" s="269"/>
      <c r="AE893" s="269"/>
      <c r="AF893" s="269"/>
      <c r="AG893" s="269"/>
      <c r="AH893" s="269"/>
      <c r="AI893" s="269"/>
      <c r="AJ893" s="269"/>
      <c r="AK893" s="269"/>
      <c r="AL893" s="269"/>
      <c r="AM893" s="269"/>
    </row>
    <row r="894" spans="1:39" ht="105.75" customHeight="1" x14ac:dyDescent="0.2">
      <c r="A894" s="277">
        <f>IF(B894="","",COUNT('Diário 5º PA'!$A$5:$A$2634)+COUNT('Diário 6º PA'!$A$5:$A$2246)+ROW()-4)</f>
        <v>3433</v>
      </c>
      <c r="B894" s="278">
        <v>44441</v>
      </c>
      <c r="C894" s="249">
        <v>44409</v>
      </c>
      <c r="D894" s="250" t="s">
        <v>99</v>
      </c>
      <c r="E894" s="250" t="s">
        <v>350</v>
      </c>
      <c r="F894" s="251">
        <v>2500</v>
      </c>
      <c r="G894" s="452" t="s">
        <v>2175</v>
      </c>
      <c r="H894" s="250" t="s">
        <v>132</v>
      </c>
      <c r="I894" s="250" t="s">
        <v>2176</v>
      </c>
      <c r="J894" s="250" t="s">
        <v>2177</v>
      </c>
      <c r="K894" s="255" t="s">
        <v>991</v>
      </c>
      <c r="L894" s="250" t="s">
        <v>1177</v>
      </c>
      <c r="M894" s="277" t="s">
        <v>114</v>
      </c>
      <c r="N894" s="278">
        <v>44441</v>
      </c>
      <c r="O894" s="329" t="s">
        <v>67</v>
      </c>
      <c r="P894" s="330">
        <f t="shared" si="67"/>
        <v>9</v>
      </c>
      <c r="Q894" s="330">
        <f t="shared" si="68"/>
        <v>8</v>
      </c>
      <c r="R894" s="331" t="str">
        <f t="shared" si="69"/>
        <v>Gastos_Gerais</v>
      </c>
      <c r="S894" s="331" t="str">
        <f>IF(D894="","",IF(OR(D894=Plano!$A$1,D894=Plano!$B$1),"entrada","saída"))</f>
        <v>saída</v>
      </c>
      <c r="T894" s="334" t="s">
        <v>994</v>
      </c>
      <c r="U894" s="334">
        <v>1801</v>
      </c>
      <c r="V894" s="269"/>
      <c r="W894" s="269"/>
      <c r="X894" s="269"/>
      <c r="Y894" s="269"/>
      <c r="Z894" s="269"/>
      <c r="AA894" s="269"/>
      <c r="AB894" s="269"/>
      <c r="AC894" s="269"/>
      <c r="AD894" s="269"/>
      <c r="AE894" s="269"/>
      <c r="AF894" s="269"/>
      <c r="AG894" s="269"/>
      <c r="AH894" s="269"/>
      <c r="AI894" s="269"/>
      <c r="AJ894" s="269"/>
      <c r="AK894" s="269"/>
      <c r="AL894" s="269"/>
      <c r="AM894" s="269"/>
    </row>
    <row r="895" spans="1:39" ht="106.5" customHeight="1" x14ac:dyDescent="0.2">
      <c r="A895" s="277">
        <f>IF(B895="","",COUNT('Diário 5º PA'!$A$5:$A$2634)+COUNT('Diário 6º PA'!$A$5:$A$2246)+ROW()-4)</f>
        <v>3434</v>
      </c>
      <c r="B895" s="278">
        <v>44441</v>
      </c>
      <c r="C895" s="249">
        <v>44409</v>
      </c>
      <c r="D895" s="250" t="s">
        <v>99</v>
      </c>
      <c r="E895" s="250" t="s">
        <v>350</v>
      </c>
      <c r="F895" s="251">
        <v>500</v>
      </c>
      <c r="G895" s="452" t="s">
        <v>2178</v>
      </c>
      <c r="H895" s="250" t="s">
        <v>132</v>
      </c>
      <c r="I895" s="250" t="s">
        <v>2179</v>
      </c>
      <c r="J895" s="250" t="s">
        <v>2180</v>
      </c>
      <c r="K895" s="255" t="s">
        <v>991</v>
      </c>
      <c r="L895" s="250" t="s">
        <v>1177</v>
      </c>
      <c r="M895" s="277" t="s">
        <v>114</v>
      </c>
      <c r="N895" s="278">
        <v>44441</v>
      </c>
      <c r="O895" s="329" t="s">
        <v>67</v>
      </c>
      <c r="P895" s="330">
        <f t="shared" si="67"/>
        <v>9</v>
      </c>
      <c r="Q895" s="330">
        <f t="shared" si="68"/>
        <v>8</v>
      </c>
      <c r="R895" s="331" t="str">
        <f t="shared" si="69"/>
        <v>Gastos_Gerais</v>
      </c>
      <c r="S895" s="331" t="str">
        <f>IF(D895="","",IF(OR(D895=Plano!$A$1,D895=Plano!$B$1),"entrada","saída"))</f>
        <v>saída</v>
      </c>
      <c r="T895" s="334" t="s">
        <v>994</v>
      </c>
      <c r="U895" s="334">
        <v>1967</v>
      </c>
      <c r="V895" s="269"/>
      <c r="W895" s="269"/>
      <c r="X895" s="269"/>
      <c r="Y895" s="269"/>
      <c r="Z895" s="269"/>
      <c r="AA895" s="269"/>
      <c r="AB895" s="269"/>
      <c r="AC895" s="269"/>
      <c r="AD895" s="269"/>
      <c r="AE895" s="269"/>
      <c r="AF895" s="269"/>
      <c r="AG895" s="269"/>
      <c r="AH895" s="269"/>
      <c r="AI895" s="269"/>
      <c r="AJ895" s="269"/>
      <c r="AK895" s="269"/>
      <c r="AL895" s="269"/>
      <c r="AM895" s="269"/>
    </row>
    <row r="896" spans="1:39" s="478" customFormat="1" ht="161.25" customHeight="1" x14ac:dyDescent="0.2">
      <c r="A896" s="277">
        <f>IF(B896="","",COUNT('Diário 5º PA'!$A$5:$A$2634)+COUNT('Diário 6º PA'!$A$5:$A$2246)+ROW()-4)</f>
        <v>3435</v>
      </c>
      <c r="B896" s="278">
        <v>44441</v>
      </c>
      <c r="C896" s="249">
        <v>44409</v>
      </c>
      <c r="D896" s="250" t="s">
        <v>104</v>
      </c>
      <c r="E896" s="250" t="s">
        <v>104</v>
      </c>
      <c r="F896" s="251">
        <v>19404</v>
      </c>
      <c r="G896" s="452" t="s">
        <v>1724</v>
      </c>
      <c r="H896" s="250" t="s">
        <v>104</v>
      </c>
      <c r="I896" s="250" t="s">
        <v>1140</v>
      </c>
      <c r="J896" s="250" t="s">
        <v>929</v>
      </c>
      <c r="K896" s="255" t="s">
        <v>991</v>
      </c>
      <c r="L896" s="250" t="s">
        <v>992</v>
      </c>
      <c r="M896" s="277">
        <v>186</v>
      </c>
      <c r="N896" s="278">
        <v>44440</v>
      </c>
      <c r="O896" s="329" t="s">
        <v>5377</v>
      </c>
      <c r="P896" s="330">
        <f t="shared" si="67"/>
        <v>9</v>
      </c>
      <c r="Q896" s="330">
        <f t="shared" si="68"/>
        <v>8</v>
      </c>
      <c r="R896" s="331" t="str">
        <f t="shared" si="69"/>
        <v>Gastos_custeados_por_captação</v>
      </c>
      <c r="S896" s="331" t="str">
        <f>IF(D896="","",IF(OR(D896=Plano!$A$1,D896=Plano!$B$1),"entrada","saída"))</f>
        <v>saída</v>
      </c>
      <c r="T896" s="334" t="s">
        <v>1059</v>
      </c>
      <c r="U896" s="334">
        <v>1843</v>
      </c>
      <c r="V896" s="439"/>
      <c r="W896" s="439"/>
      <c r="X896" s="439"/>
      <c r="Y896" s="439"/>
      <c r="Z896" s="439"/>
      <c r="AA896" s="439"/>
      <c r="AB896" s="439"/>
      <c r="AC896" s="439"/>
      <c r="AD896" s="439"/>
      <c r="AE896" s="439"/>
      <c r="AF896" s="439"/>
      <c r="AG896" s="439"/>
      <c r="AH896" s="439"/>
      <c r="AI896" s="439"/>
      <c r="AJ896" s="439"/>
      <c r="AK896" s="439"/>
      <c r="AL896" s="439"/>
      <c r="AM896" s="439"/>
    </row>
    <row r="897" spans="1:39" ht="59.25" customHeight="1" x14ac:dyDescent="0.2">
      <c r="A897" s="277">
        <f>IF(B897="","",COUNT('Diário 5º PA'!$A$5:$A$2634)+COUNT('Diário 6º PA'!$A$5:$A$2246)+ROW()-4)</f>
        <v>3436</v>
      </c>
      <c r="B897" s="278">
        <v>44442</v>
      </c>
      <c r="C897" s="249">
        <v>44409</v>
      </c>
      <c r="D897" s="250" t="s">
        <v>99</v>
      </c>
      <c r="E897" s="250" t="s">
        <v>330</v>
      </c>
      <c r="F897" s="258">
        <v>-5.15</v>
      </c>
      <c r="G897" s="450" t="s">
        <v>2181</v>
      </c>
      <c r="H897" s="250" t="s">
        <v>132</v>
      </c>
      <c r="I897" s="250" t="s">
        <v>983</v>
      </c>
      <c r="J897" s="255" t="s">
        <v>850</v>
      </c>
      <c r="K897" s="255" t="s">
        <v>1069</v>
      </c>
      <c r="L897" s="250" t="s">
        <v>947</v>
      </c>
      <c r="M897" s="277" t="s">
        <v>114</v>
      </c>
      <c r="N897" s="278">
        <v>44442</v>
      </c>
      <c r="O897" s="329" t="s">
        <v>67</v>
      </c>
      <c r="P897" s="330">
        <f t="shared" si="67"/>
        <v>9</v>
      </c>
      <c r="Q897" s="330">
        <f t="shared" si="68"/>
        <v>8</v>
      </c>
      <c r="R897" s="331" t="str">
        <f t="shared" si="69"/>
        <v>Gastos_Gerais</v>
      </c>
      <c r="S897" s="331" t="str">
        <f>IF(D897="","",IF(OR(D897=Plano!$A$1,D897=Plano!$B$1),"entrada","saída"))</f>
        <v>saída</v>
      </c>
      <c r="T897" s="332" t="s">
        <v>114</v>
      </c>
      <c r="U897" s="332" t="s">
        <v>114</v>
      </c>
      <c r="V897" s="269"/>
      <c r="W897" s="269"/>
      <c r="X897" s="269"/>
      <c r="Y897" s="269"/>
      <c r="Z897" s="269"/>
      <c r="AA897" s="269"/>
      <c r="AB897" s="269"/>
      <c r="AC897" s="269"/>
      <c r="AD897" s="269"/>
      <c r="AE897" s="269"/>
      <c r="AF897" s="269"/>
      <c r="AG897" s="269"/>
      <c r="AH897" s="269"/>
      <c r="AI897" s="269"/>
      <c r="AJ897" s="269"/>
      <c r="AK897" s="269"/>
      <c r="AL897" s="269"/>
      <c r="AM897" s="269"/>
    </row>
    <row r="898" spans="1:39" ht="73.5" customHeight="1" x14ac:dyDescent="0.2">
      <c r="A898" s="277">
        <f>IF(B898="","",COUNT('Diário 5º PA'!$A$5:$A$2634)+COUNT('Diário 6º PA'!$A$5:$A$2246)+ROW()-4)</f>
        <v>3437</v>
      </c>
      <c r="B898" s="278">
        <v>44442</v>
      </c>
      <c r="C898" s="249">
        <v>44409</v>
      </c>
      <c r="D898" s="255" t="s">
        <v>99</v>
      </c>
      <c r="E898" s="255" t="s">
        <v>230</v>
      </c>
      <c r="F898" s="257">
        <v>-757.94</v>
      </c>
      <c r="G898" s="451" t="s">
        <v>2182</v>
      </c>
      <c r="H898" s="255" t="s">
        <v>115</v>
      </c>
      <c r="I898" s="250" t="s">
        <v>983</v>
      </c>
      <c r="J898" s="255" t="s">
        <v>850</v>
      </c>
      <c r="K898" s="255" t="s">
        <v>1069</v>
      </c>
      <c r="L898" s="250" t="s">
        <v>947</v>
      </c>
      <c r="M898" s="277" t="s">
        <v>114</v>
      </c>
      <c r="N898" s="278">
        <v>44442</v>
      </c>
      <c r="O898" s="329" t="s">
        <v>67</v>
      </c>
      <c r="P898" s="330">
        <f t="shared" si="67"/>
        <v>9</v>
      </c>
      <c r="Q898" s="330">
        <f t="shared" si="68"/>
        <v>8</v>
      </c>
      <c r="R898" s="331" t="str">
        <f t="shared" si="69"/>
        <v>Gastos_Gerais</v>
      </c>
      <c r="S898" s="331" t="str">
        <f>IF(D898="","",IF(OR(D898=Plano!$A$1,D898=Plano!$B$1),"entrada","saída"))</f>
        <v>saída</v>
      </c>
      <c r="T898" s="332" t="s">
        <v>114</v>
      </c>
      <c r="U898" s="332" t="s">
        <v>114</v>
      </c>
      <c r="V898" s="269"/>
      <c r="W898" s="269"/>
      <c r="X898" s="269"/>
      <c r="Y898" s="269"/>
      <c r="Z898" s="269"/>
      <c r="AA898" s="269"/>
      <c r="AB898" s="269"/>
      <c r="AC898" s="269"/>
      <c r="AD898" s="269"/>
      <c r="AE898" s="269"/>
      <c r="AF898" s="269"/>
      <c r="AG898" s="269"/>
      <c r="AH898" s="269"/>
      <c r="AI898" s="269"/>
      <c r="AJ898" s="269"/>
      <c r="AK898" s="269"/>
      <c r="AL898" s="269"/>
      <c r="AM898" s="269"/>
    </row>
    <row r="899" spans="1:39" ht="157.5" customHeight="1" x14ac:dyDescent="0.2">
      <c r="A899" s="277">
        <f>IF(B899="","",COUNT('Diário 5º PA'!$A$5:$A$2634)+COUNT('Diário 6º PA'!$A$5:$A$2246)+ROW()-4)</f>
        <v>3438</v>
      </c>
      <c r="B899" s="278">
        <v>44442</v>
      </c>
      <c r="C899" s="249">
        <v>44409</v>
      </c>
      <c r="D899" s="255" t="s">
        <v>99</v>
      </c>
      <c r="E899" s="255" t="s">
        <v>262</v>
      </c>
      <c r="F899" s="257">
        <v>-924.35</v>
      </c>
      <c r="G899" s="451" t="s">
        <v>2183</v>
      </c>
      <c r="H899" s="255" t="s">
        <v>115</v>
      </c>
      <c r="I899" s="250" t="s">
        <v>983</v>
      </c>
      <c r="J899" s="255" t="s">
        <v>850</v>
      </c>
      <c r="K899" s="255" t="s">
        <v>1069</v>
      </c>
      <c r="L899" s="250" t="s">
        <v>947</v>
      </c>
      <c r="M899" s="277" t="s">
        <v>114</v>
      </c>
      <c r="N899" s="278">
        <v>44442</v>
      </c>
      <c r="O899" s="329" t="s">
        <v>67</v>
      </c>
      <c r="P899" s="330">
        <f t="shared" si="67"/>
        <v>9</v>
      </c>
      <c r="Q899" s="330">
        <f t="shared" si="68"/>
        <v>8</v>
      </c>
      <c r="R899" s="331" t="str">
        <f t="shared" si="69"/>
        <v>Gastos_Gerais</v>
      </c>
      <c r="S899" s="331" t="str">
        <f>IF(D899="","",IF(OR(D899=Plano!$A$1,D899=Plano!$B$1),"entrada","saída"))</f>
        <v>saída</v>
      </c>
      <c r="T899" s="332" t="s">
        <v>114</v>
      </c>
      <c r="U899" s="332" t="s">
        <v>114</v>
      </c>
      <c r="V899" s="269"/>
      <c r="W899" s="269"/>
      <c r="X899" s="269"/>
      <c r="Y899" s="269"/>
      <c r="Z899" s="269"/>
      <c r="AA899" s="269"/>
      <c r="AB899" s="269"/>
      <c r="AC899" s="269"/>
      <c r="AD899" s="269"/>
      <c r="AE899" s="269"/>
      <c r="AF899" s="269"/>
      <c r="AG899" s="269"/>
      <c r="AH899" s="269"/>
      <c r="AI899" s="269"/>
      <c r="AJ899" s="269"/>
      <c r="AK899" s="269"/>
      <c r="AL899" s="269"/>
      <c r="AM899" s="269"/>
    </row>
    <row r="900" spans="1:39" ht="93.75" customHeight="1" x14ac:dyDescent="0.2">
      <c r="A900" s="277">
        <f>IF(B900="","",COUNT('Diário 5º PA'!$A$5:$A$2634)+COUNT('Diário 6º PA'!$A$5:$A$2246)+ROW()-4)</f>
        <v>3439</v>
      </c>
      <c r="B900" s="278">
        <v>44442</v>
      </c>
      <c r="C900" s="249">
        <v>44409</v>
      </c>
      <c r="D900" s="255" t="s">
        <v>99</v>
      </c>
      <c r="E900" s="255" t="s">
        <v>262</v>
      </c>
      <c r="F900" s="257">
        <v>-1980.75</v>
      </c>
      <c r="G900" s="451" t="s">
        <v>2184</v>
      </c>
      <c r="H900" s="255" t="s">
        <v>115</v>
      </c>
      <c r="I900" s="250" t="s">
        <v>983</v>
      </c>
      <c r="J900" s="255" t="s">
        <v>850</v>
      </c>
      <c r="K900" s="255" t="s">
        <v>1069</v>
      </c>
      <c r="L900" s="250" t="s">
        <v>947</v>
      </c>
      <c r="M900" s="277" t="s">
        <v>114</v>
      </c>
      <c r="N900" s="278">
        <v>44442</v>
      </c>
      <c r="O900" s="329" t="s">
        <v>67</v>
      </c>
      <c r="P900" s="330">
        <f t="shared" si="67"/>
        <v>9</v>
      </c>
      <c r="Q900" s="330">
        <f t="shared" si="68"/>
        <v>8</v>
      </c>
      <c r="R900" s="331" t="str">
        <f t="shared" si="69"/>
        <v>Gastos_Gerais</v>
      </c>
      <c r="S900" s="331" t="str">
        <f>IF(D900="","",IF(OR(D900=Plano!$A$1,D900=Plano!$B$1),"entrada","saída"))</f>
        <v>saída</v>
      </c>
      <c r="T900" s="332" t="s">
        <v>114</v>
      </c>
      <c r="U900" s="332" t="s">
        <v>114</v>
      </c>
      <c r="V900" s="269"/>
      <c r="W900" s="269"/>
      <c r="X900" s="269"/>
      <c r="Y900" s="269"/>
      <c r="Z900" s="269"/>
      <c r="AA900" s="269"/>
      <c r="AB900" s="269"/>
      <c r="AC900" s="269"/>
      <c r="AD900" s="269"/>
      <c r="AE900" s="269"/>
      <c r="AF900" s="269"/>
      <c r="AG900" s="269"/>
      <c r="AH900" s="269"/>
      <c r="AI900" s="269"/>
      <c r="AJ900" s="269"/>
      <c r="AK900" s="269"/>
      <c r="AL900" s="269"/>
      <c r="AM900" s="269"/>
    </row>
    <row r="901" spans="1:39" ht="132.75" customHeight="1" x14ac:dyDescent="0.2">
      <c r="A901" s="277">
        <f>IF(B901="","",COUNT('Diário 5º PA'!$A$5:$A$2634)+COUNT('Diário 6º PA'!$A$5:$A$2246)+ROW()-4)</f>
        <v>3440</v>
      </c>
      <c r="B901" s="278">
        <v>44442</v>
      </c>
      <c r="C901" s="249">
        <v>44409</v>
      </c>
      <c r="D901" s="250" t="s">
        <v>99</v>
      </c>
      <c r="E901" s="250" t="s">
        <v>230</v>
      </c>
      <c r="F901" s="251">
        <v>2750.21</v>
      </c>
      <c r="G901" s="452" t="s">
        <v>484</v>
      </c>
      <c r="H901" s="250" t="s">
        <v>115</v>
      </c>
      <c r="I901" s="252" t="s">
        <v>485</v>
      </c>
      <c r="J901" s="250" t="s">
        <v>486</v>
      </c>
      <c r="K901" s="255" t="s">
        <v>1015</v>
      </c>
      <c r="L901" s="250" t="s">
        <v>992</v>
      </c>
      <c r="M901" s="277" t="s">
        <v>1684</v>
      </c>
      <c r="N901" s="278">
        <v>44442</v>
      </c>
      <c r="O901" s="329" t="s">
        <v>67</v>
      </c>
      <c r="P901" s="330">
        <f t="shared" si="67"/>
        <v>9</v>
      </c>
      <c r="Q901" s="330">
        <f t="shared" si="68"/>
        <v>8</v>
      </c>
      <c r="R901" s="331" t="str">
        <f t="shared" si="69"/>
        <v>Gastos_Gerais</v>
      </c>
      <c r="S901" s="331" t="str">
        <f>IF(D901="","",IF(OR(D901=Plano!$A$1,D901=Plano!$B$1),"entrada","saída"))</f>
        <v>saída</v>
      </c>
      <c r="T901" s="332" t="s">
        <v>1059</v>
      </c>
      <c r="U901" s="332">
        <v>1115</v>
      </c>
      <c r="V901" s="269"/>
      <c r="W901" s="269"/>
      <c r="X901" s="269"/>
      <c r="Y901" s="269"/>
      <c r="Z901" s="269"/>
      <c r="AA901" s="269"/>
      <c r="AB901" s="269"/>
      <c r="AC901" s="269"/>
      <c r="AD901" s="269"/>
      <c r="AE901" s="269"/>
      <c r="AF901" s="269"/>
      <c r="AG901" s="269"/>
      <c r="AH901" s="269"/>
      <c r="AI901" s="269"/>
      <c r="AJ901" s="269"/>
      <c r="AK901" s="269"/>
      <c r="AL901" s="269"/>
      <c r="AM901" s="269"/>
    </row>
    <row r="902" spans="1:39" ht="199.5" customHeight="1" x14ac:dyDescent="0.2">
      <c r="A902" s="277">
        <f>IF(B902="","",COUNT('Diário 5º PA'!$A$5:$A$2634)+COUNT('Diário 6º PA'!$A$5:$A$2246)+ROW()-4)</f>
        <v>3441</v>
      </c>
      <c r="B902" s="278">
        <v>44442</v>
      </c>
      <c r="C902" s="249">
        <v>44440</v>
      </c>
      <c r="D902" s="250" t="s">
        <v>99</v>
      </c>
      <c r="E902" s="250" t="s">
        <v>262</v>
      </c>
      <c r="F902" s="251">
        <v>3000</v>
      </c>
      <c r="G902" s="452" t="s">
        <v>474</v>
      </c>
      <c r="H902" s="250" t="s">
        <v>129</v>
      </c>
      <c r="I902" s="252" t="s">
        <v>2185</v>
      </c>
      <c r="J902" s="250" t="s">
        <v>476</v>
      </c>
      <c r="K902" s="255" t="s">
        <v>1015</v>
      </c>
      <c r="L902" s="250" t="s">
        <v>992</v>
      </c>
      <c r="M902" s="277" t="s">
        <v>1211</v>
      </c>
      <c r="N902" s="278">
        <v>44441</v>
      </c>
      <c r="O902" s="329" t="s">
        <v>67</v>
      </c>
      <c r="P902" s="330">
        <f t="shared" si="67"/>
        <v>9</v>
      </c>
      <c r="Q902" s="330">
        <f t="shared" si="68"/>
        <v>9</v>
      </c>
      <c r="R902" s="331" t="str">
        <f t="shared" si="69"/>
        <v>Gastos_Gerais</v>
      </c>
      <c r="S902" s="331" t="str">
        <f>IF(D902="","",IF(OR(D902=Plano!$A$1,D902=Plano!$B$1),"entrada","saída"))</f>
        <v>saída</v>
      </c>
      <c r="T902" s="334" t="s">
        <v>1059</v>
      </c>
      <c r="U902" s="334">
        <v>1273</v>
      </c>
      <c r="V902" s="269"/>
      <c r="W902" s="269"/>
      <c r="X902" s="269"/>
      <c r="Y902" s="269"/>
      <c r="Z902" s="269"/>
      <c r="AA902" s="269"/>
      <c r="AB902" s="269"/>
      <c r="AC902" s="269"/>
      <c r="AD902" s="269"/>
      <c r="AE902" s="269"/>
      <c r="AF902" s="269"/>
      <c r="AG902" s="269"/>
      <c r="AH902" s="269"/>
      <c r="AI902" s="269"/>
      <c r="AJ902" s="269"/>
      <c r="AK902" s="269"/>
      <c r="AL902" s="269"/>
      <c r="AM902" s="269"/>
    </row>
    <row r="903" spans="1:39" ht="120.75" customHeight="1" x14ac:dyDescent="0.2">
      <c r="A903" s="277">
        <f>IF(B903="","",COUNT('Diário 5º PA'!$A$5:$A$2634)+COUNT('Diário 6º PA'!$A$5:$A$2246)+ROW()-4)</f>
        <v>3442</v>
      </c>
      <c r="B903" s="278">
        <v>44442</v>
      </c>
      <c r="C903" s="249">
        <v>44409</v>
      </c>
      <c r="D903" s="250" t="s">
        <v>99</v>
      </c>
      <c r="E903" s="250" t="s">
        <v>262</v>
      </c>
      <c r="F903" s="251">
        <v>7349.25</v>
      </c>
      <c r="G903" s="451" t="s">
        <v>621</v>
      </c>
      <c r="H903" s="252" t="s">
        <v>115</v>
      </c>
      <c r="I903" s="252" t="s">
        <v>1078</v>
      </c>
      <c r="J903" s="250" t="s">
        <v>623</v>
      </c>
      <c r="K903" s="255" t="s">
        <v>991</v>
      </c>
      <c r="L903" s="250" t="s">
        <v>992</v>
      </c>
      <c r="M903" s="277" t="s">
        <v>2062</v>
      </c>
      <c r="N903" s="278">
        <v>44440</v>
      </c>
      <c r="O903" s="329" t="s">
        <v>67</v>
      </c>
      <c r="P903" s="330">
        <f t="shared" si="67"/>
        <v>9</v>
      </c>
      <c r="Q903" s="330">
        <f t="shared" si="68"/>
        <v>8</v>
      </c>
      <c r="R903" s="331" t="str">
        <f t="shared" si="69"/>
        <v>Gastos_Gerais</v>
      </c>
      <c r="S903" s="331" t="str">
        <f>IF(D903="","",IF(OR(D903=Plano!$A$1,D903=Plano!$B$1),"entrada","saída"))</f>
        <v>saída</v>
      </c>
      <c r="T903" s="334" t="s">
        <v>1059</v>
      </c>
      <c r="U903" s="334">
        <v>1134</v>
      </c>
      <c r="V903" s="269"/>
      <c r="W903" s="269"/>
      <c r="X903" s="269"/>
      <c r="Y903" s="269"/>
      <c r="Z903" s="269"/>
      <c r="AA903" s="269"/>
      <c r="AB903" s="269"/>
      <c r="AC903" s="269"/>
      <c r="AD903" s="269"/>
      <c r="AE903" s="269"/>
      <c r="AF903" s="269"/>
      <c r="AG903" s="269"/>
      <c r="AH903" s="269"/>
      <c r="AI903" s="269"/>
      <c r="AJ903" s="269"/>
      <c r="AK903" s="269"/>
      <c r="AL903" s="269"/>
      <c r="AM903" s="269"/>
    </row>
    <row r="904" spans="1:39" ht="119.25" customHeight="1" x14ac:dyDescent="0.2">
      <c r="A904" s="277">
        <f>IF(B904="","",COUNT('Diário 5º PA'!$A$5:$A$2634)+COUNT('Diário 6º PA'!$A$5:$A$2246)+ROW()-4)</f>
        <v>3443</v>
      </c>
      <c r="B904" s="278">
        <v>44442</v>
      </c>
      <c r="C904" s="249">
        <v>44409</v>
      </c>
      <c r="D904" s="250" t="s">
        <v>99</v>
      </c>
      <c r="E904" s="250" t="s">
        <v>262</v>
      </c>
      <c r="F904" s="251">
        <v>3429.65</v>
      </c>
      <c r="G904" s="452" t="s">
        <v>2186</v>
      </c>
      <c r="H904" s="250" t="s">
        <v>115</v>
      </c>
      <c r="I904" s="252" t="s">
        <v>1717</v>
      </c>
      <c r="J904" s="250" t="s">
        <v>627</v>
      </c>
      <c r="K904" s="255" t="s">
        <v>991</v>
      </c>
      <c r="L904" s="250" t="s">
        <v>992</v>
      </c>
      <c r="M904" s="277" t="s">
        <v>2187</v>
      </c>
      <c r="N904" s="278">
        <v>44440</v>
      </c>
      <c r="O904" s="329" t="s">
        <v>67</v>
      </c>
      <c r="P904" s="330">
        <f t="shared" si="67"/>
        <v>9</v>
      </c>
      <c r="Q904" s="330">
        <f t="shared" si="68"/>
        <v>8</v>
      </c>
      <c r="R904" s="331" t="str">
        <f t="shared" si="69"/>
        <v>Gastos_Gerais</v>
      </c>
      <c r="S904" s="331" t="str">
        <f>IF(D904="","",IF(OR(D904=Plano!$A$1,D904=Plano!$B$1),"entrada","saída"))</f>
        <v>saída</v>
      </c>
      <c r="T904" s="334" t="s">
        <v>1059</v>
      </c>
      <c r="U904" s="334">
        <v>1458</v>
      </c>
      <c r="V904" s="269"/>
      <c r="W904" s="269"/>
      <c r="X904" s="269"/>
      <c r="Y904" s="269"/>
      <c r="Z904" s="269"/>
      <c r="AA904" s="269"/>
      <c r="AB904" s="269"/>
      <c r="AC904" s="269"/>
      <c r="AD904" s="269"/>
      <c r="AE904" s="269"/>
      <c r="AF904" s="269"/>
      <c r="AG904" s="269"/>
      <c r="AH904" s="269"/>
      <c r="AI904" s="269"/>
      <c r="AJ904" s="269"/>
      <c r="AK904" s="269"/>
      <c r="AL904" s="269"/>
      <c r="AM904" s="269"/>
    </row>
    <row r="905" spans="1:39" ht="114" customHeight="1" x14ac:dyDescent="0.2">
      <c r="A905" s="277">
        <f>IF(B905="","",COUNT('Diário 5º PA'!$A$5:$A$2634)+COUNT('Diário 6º PA'!$A$5:$A$2246)+ROW()-4)</f>
        <v>3444</v>
      </c>
      <c r="B905" s="278">
        <v>44442</v>
      </c>
      <c r="C905" s="249">
        <v>44409</v>
      </c>
      <c r="D905" s="250" t="s">
        <v>99</v>
      </c>
      <c r="E905" s="250" t="s">
        <v>330</v>
      </c>
      <c r="F905" s="251">
        <v>247.07</v>
      </c>
      <c r="G905" s="452" t="s">
        <v>451</v>
      </c>
      <c r="H905" s="250" t="s">
        <v>115</v>
      </c>
      <c r="I905" s="252" t="s">
        <v>1640</v>
      </c>
      <c r="J905" s="250" t="s">
        <v>452</v>
      </c>
      <c r="K905" s="255" t="s">
        <v>560</v>
      </c>
      <c r="L905" s="250" t="s">
        <v>992</v>
      </c>
      <c r="M905" s="277" t="s">
        <v>2188</v>
      </c>
      <c r="N905" s="278">
        <v>44411</v>
      </c>
      <c r="O905" s="329" t="s">
        <v>67</v>
      </c>
      <c r="P905" s="330">
        <f t="shared" si="67"/>
        <v>9</v>
      </c>
      <c r="Q905" s="330">
        <f t="shared" si="68"/>
        <v>8</v>
      </c>
      <c r="R905" s="331" t="str">
        <f t="shared" si="69"/>
        <v>Gastos_Gerais</v>
      </c>
      <c r="S905" s="331" t="str">
        <f>IF(D905="","",IF(OR(D905=Plano!$A$1,D905=Plano!$B$1),"entrada","saída"))</f>
        <v>saída</v>
      </c>
      <c r="T905" s="334" t="s">
        <v>1059</v>
      </c>
      <c r="U905" s="334">
        <v>1672</v>
      </c>
      <c r="V905" s="269"/>
      <c r="W905" s="269"/>
      <c r="X905" s="269"/>
      <c r="Y905" s="269"/>
      <c r="Z905" s="269"/>
      <c r="AA905" s="269"/>
      <c r="AB905" s="269"/>
      <c r="AC905" s="269"/>
      <c r="AD905" s="269"/>
      <c r="AE905" s="269"/>
      <c r="AF905" s="269"/>
      <c r="AG905" s="269"/>
      <c r="AH905" s="269"/>
      <c r="AI905" s="269"/>
      <c r="AJ905" s="269"/>
      <c r="AK905" s="269"/>
      <c r="AL905" s="269"/>
      <c r="AM905" s="269"/>
    </row>
    <row r="906" spans="1:39" ht="102" customHeight="1" x14ac:dyDescent="0.2">
      <c r="A906" s="277">
        <f>IF(B906="","",COUNT('Diário 5º PA'!$A$5:$A$2634)+COUNT('Diário 6º PA'!$A$5:$A$2246)+ROW()-4)</f>
        <v>3445</v>
      </c>
      <c r="B906" s="278">
        <v>44442</v>
      </c>
      <c r="C906" s="249">
        <v>44409</v>
      </c>
      <c r="D906" s="250" t="s">
        <v>99</v>
      </c>
      <c r="E906" s="250" t="s">
        <v>350</v>
      </c>
      <c r="F906" s="251">
        <v>500</v>
      </c>
      <c r="G906" s="452" t="s">
        <v>2189</v>
      </c>
      <c r="H906" s="250" t="s">
        <v>132</v>
      </c>
      <c r="I906" s="250" t="s">
        <v>2190</v>
      </c>
      <c r="J906" s="250" t="s">
        <v>2191</v>
      </c>
      <c r="K906" s="255" t="s">
        <v>991</v>
      </c>
      <c r="L906" s="250" t="s">
        <v>1177</v>
      </c>
      <c r="M906" s="277" t="s">
        <v>114</v>
      </c>
      <c r="N906" s="278">
        <v>44441</v>
      </c>
      <c r="O906" s="329" t="s">
        <v>67</v>
      </c>
      <c r="P906" s="330">
        <f t="shared" si="67"/>
        <v>9</v>
      </c>
      <c r="Q906" s="330">
        <f t="shared" si="68"/>
        <v>8</v>
      </c>
      <c r="R906" s="331" t="str">
        <f t="shared" si="69"/>
        <v>Gastos_Gerais</v>
      </c>
      <c r="S906" s="331" t="str">
        <f>IF(D906="","",IF(OR(D906=Plano!$A$1,D906=Plano!$B$1),"entrada","saída"))</f>
        <v>saída</v>
      </c>
      <c r="T906" s="334" t="s">
        <v>994</v>
      </c>
      <c r="U906" s="334">
        <v>1977</v>
      </c>
      <c r="V906" s="269"/>
      <c r="W906" s="269"/>
      <c r="X906" s="269"/>
      <c r="Y906" s="269"/>
      <c r="Z906" s="269"/>
      <c r="AA906" s="269"/>
      <c r="AB906" s="269"/>
      <c r="AC906" s="269"/>
      <c r="AD906" s="269"/>
      <c r="AE906" s="269"/>
      <c r="AF906" s="269"/>
      <c r="AG906" s="269"/>
      <c r="AH906" s="269"/>
      <c r="AI906" s="269"/>
      <c r="AJ906" s="269"/>
      <c r="AK906" s="269"/>
      <c r="AL906" s="269"/>
      <c r="AM906" s="269"/>
    </row>
    <row r="907" spans="1:39" ht="57" customHeight="1" x14ac:dyDescent="0.2">
      <c r="A907" s="277">
        <f>IF(B907="","",COUNT('Diário 5º PA'!$A$5:$A$2634)+COUNT('Diário 6º PA'!$A$5:$A$2246)+ROW()-4)</f>
        <v>3446</v>
      </c>
      <c r="B907" s="278">
        <v>44442</v>
      </c>
      <c r="C907" s="249">
        <v>44409</v>
      </c>
      <c r="D907" s="250" t="s">
        <v>99</v>
      </c>
      <c r="E907" s="250" t="s">
        <v>336</v>
      </c>
      <c r="F907" s="251">
        <v>5530.14</v>
      </c>
      <c r="G907" s="452" t="s">
        <v>2192</v>
      </c>
      <c r="H907" s="250" t="s">
        <v>116</v>
      </c>
      <c r="I907" s="250" t="s">
        <v>1140</v>
      </c>
      <c r="J907" s="250" t="s">
        <v>929</v>
      </c>
      <c r="K907" s="255" t="s">
        <v>991</v>
      </c>
      <c r="L907" s="250" t="s">
        <v>992</v>
      </c>
      <c r="M907" s="277">
        <v>187</v>
      </c>
      <c r="N907" s="278">
        <v>44441</v>
      </c>
      <c r="O907" s="329" t="s">
        <v>67</v>
      </c>
      <c r="P907" s="330">
        <f t="shared" si="67"/>
        <v>9</v>
      </c>
      <c r="Q907" s="330">
        <f t="shared" si="68"/>
        <v>8</v>
      </c>
      <c r="R907" s="331" t="str">
        <f t="shared" si="69"/>
        <v>Gastos_Gerais</v>
      </c>
      <c r="S907" s="331" t="str">
        <f>IF(D907="","",IF(OR(D907=Plano!$A$1,D907=Plano!$B$1),"entrada","saída"))</f>
        <v>saída</v>
      </c>
      <c r="T907" s="334" t="s">
        <v>994</v>
      </c>
      <c r="U907" s="334">
        <v>1890</v>
      </c>
      <c r="V907" s="269"/>
      <c r="W907" s="269"/>
      <c r="X907" s="269"/>
      <c r="Y907" s="269"/>
      <c r="Z907" s="269"/>
      <c r="AA907" s="269"/>
      <c r="AB907" s="269"/>
      <c r="AC907" s="269"/>
      <c r="AD907" s="269"/>
      <c r="AE907" s="269"/>
      <c r="AF907" s="269"/>
      <c r="AG907" s="269"/>
      <c r="AH907" s="269"/>
      <c r="AI907" s="269"/>
      <c r="AJ907" s="269"/>
      <c r="AK907" s="269"/>
      <c r="AL907" s="269"/>
      <c r="AM907" s="269"/>
    </row>
    <row r="908" spans="1:39" ht="96.75" customHeight="1" x14ac:dyDescent="0.2">
      <c r="A908" s="277">
        <f>IF(B908="","",COUNT('Diário 5º PA'!$A$5:$A$2634)+COUNT('Diário 6º PA'!$A$5:$A$2246)+ROW()-4)</f>
        <v>3447</v>
      </c>
      <c r="B908" s="278">
        <v>44442</v>
      </c>
      <c r="C908" s="249">
        <v>44409</v>
      </c>
      <c r="D908" s="250" t="s">
        <v>99</v>
      </c>
      <c r="E908" s="250" t="s">
        <v>364</v>
      </c>
      <c r="F908" s="251">
        <v>250</v>
      </c>
      <c r="G908" s="452" t="s">
        <v>2193</v>
      </c>
      <c r="H908" s="250" t="s">
        <v>125</v>
      </c>
      <c r="I908" s="250" t="s">
        <v>2194</v>
      </c>
      <c r="J908" s="250" t="s">
        <v>2195</v>
      </c>
      <c r="K908" s="255" t="s">
        <v>991</v>
      </c>
      <c r="L908" s="250" t="s">
        <v>992</v>
      </c>
      <c r="M908" s="277" t="s">
        <v>1061</v>
      </c>
      <c r="N908" s="278">
        <v>44441</v>
      </c>
      <c r="O908" s="329" t="s">
        <v>67</v>
      </c>
      <c r="P908" s="330">
        <f t="shared" si="67"/>
        <v>9</v>
      </c>
      <c r="Q908" s="330">
        <f t="shared" si="68"/>
        <v>8</v>
      </c>
      <c r="R908" s="331" t="str">
        <f t="shared" si="69"/>
        <v>Gastos_Gerais</v>
      </c>
      <c r="S908" s="331" t="str">
        <f>IF(D908="","",IF(OR(D908=Plano!$A$1,D908=Plano!$B$1),"entrada","saída"))</f>
        <v>saída</v>
      </c>
      <c r="T908" s="334" t="s">
        <v>994</v>
      </c>
      <c r="U908" s="334">
        <v>1829</v>
      </c>
      <c r="V908" s="269"/>
      <c r="W908" s="269"/>
      <c r="X908" s="269"/>
      <c r="Y908" s="269"/>
      <c r="Z908" s="269"/>
      <c r="AA908" s="269"/>
      <c r="AB908" s="269"/>
      <c r="AC908" s="269"/>
      <c r="AD908" s="269"/>
      <c r="AE908" s="269"/>
      <c r="AF908" s="269"/>
      <c r="AG908" s="269"/>
      <c r="AH908" s="269"/>
      <c r="AI908" s="269"/>
      <c r="AJ908" s="269"/>
      <c r="AK908" s="269"/>
      <c r="AL908" s="269"/>
      <c r="AM908" s="269"/>
    </row>
    <row r="909" spans="1:39" ht="69" customHeight="1" x14ac:dyDescent="0.2">
      <c r="A909" s="277">
        <f>IF(B909="","",COUNT('Diário 5º PA'!$A$5:$A$2634)+COUNT('Diário 6º PA'!$A$5:$A$2246)+ROW()-4)</f>
        <v>3448</v>
      </c>
      <c r="B909" s="278">
        <v>44442</v>
      </c>
      <c r="C909" s="249">
        <v>44409</v>
      </c>
      <c r="D909" s="250" t="s">
        <v>99</v>
      </c>
      <c r="E909" s="250" t="s">
        <v>382</v>
      </c>
      <c r="F909" s="251">
        <v>153.81</v>
      </c>
      <c r="G909" s="452" t="s">
        <v>2196</v>
      </c>
      <c r="H909" s="250" t="s">
        <v>116</v>
      </c>
      <c r="I909" s="250" t="s">
        <v>1929</v>
      </c>
      <c r="J909" s="250" t="s">
        <v>2198</v>
      </c>
      <c r="K909" s="255" t="s">
        <v>991</v>
      </c>
      <c r="L909" s="250" t="s">
        <v>992</v>
      </c>
      <c r="M909" s="277" t="s">
        <v>2199</v>
      </c>
      <c r="N909" s="278">
        <v>44442</v>
      </c>
      <c r="O909" s="329" t="s">
        <v>67</v>
      </c>
      <c r="P909" s="330">
        <f t="shared" si="67"/>
        <v>9</v>
      </c>
      <c r="Q909" s="330">
        <f t="shared" si="68"/>
        <v>8</v>
      </c>
      <c r="R909" s="331" t="str">
        <f t="shared" si="69"/>
        <v>Gastos_Gerais</v>
      </c>
      <c r="S909" s="331" t="str">
        <f>IF(D909="","",IF(OR(D909=Plano!$A$1,D909=Plano!$B$1),"entrada","saída"))</f>
        <v>saída</v>
      </c>
      <c r="T909" s="334" t="s">
        <v>994</v>
      </c>
      <c r="U909" s="334">
        <v>1979</v>
      </c>
      <c r="V909" s="269"/>
      <c r="W909" s="269"/>
      <c r="X909" s="269"/>
      <c r="Y909" s="269"/>
      <c r="Z909" s="269"/>
      <c r="AA909" s="269"/>
      <c r="AB909" s="269"/>
      <c r="AC909" s="269"/>
      <c r="AD909" s="269"/>
      <c r="AE909" s="269"/>
      <c r="AF909" s="269"/>
      <c r="AG909" s="269"/>
      <c r="AH909" s="269"/>
      <c r="AI909" s="269"/>
      <c r="AJ909" s="269"/>
      <c r="AK909" s="269"/>
      <c r="AL909" s="269"/>
      <c r="AM909" s="269"/>
    </row>
    <row r="910" spans="1:39" ht="57.75" customHeight="1" x14ac:dyDescent="0.2">
      <c r="A910" s="277">
        <f>IF(B910="","",COUNT('Diário 5º PA'!$A$5:$A$2634)+COUNT('Diário 6º PA'!$A$5:$A$2246)+ROW()-4)</f>
        <v>3449</v>
      </c>
      <c r="B910" s="278">
        <v>44442</v>
      </c>
      <c r="C910" s="249">
        <v>44409</v>
      </c>
      <c r="D910" s="250" t="s">
        <v>99</v>
      </c>
      <c r="E910" s="250" t="s">
        <v>336</v>
      </c>
      <c r="F910" s="251">
        <v>1469.85</v>
      </c>
      <c r="G910" s="452" t="s">
        <v>2200</v>
      </c>
      <c r="H910" s="250" t="s">
        <v>116</v>
      </c>
      <c r="I910" s="250" t="s">
        <v>2201</v>
      </c>
      <c r="J910" s="250" t="s">
        <v>2202</v>
      </c>
      <c r="K910" s="255" t="s">
        <v>991</v>
      </c>
      <c r="L910" s="250" t="s">
        <v>992</v>
      </c>
      <c r="M910" s="277" t="s">
        <v>1329</v>
      </c>
      <c r="N910" s="278">
        <v>44442</v>
      </c>
      <c r="O910" s="329" t="s">
        <v>67</v>
      </c>
      <c r="P910" s="330">
        <f t="shared" si="67"/>
        <v>9</v>
      </c>
      <c r="Q910" s="330">
        <f t="shared" si="68"/>
        <v>8</v>
      </c>
      <c r="R910" s="331" t="str">
        <f t="shared" si="69"/>
        <v>Gastos_Gerais</v>
      </c>
      <c r="S910" s="331" t="str">
        <f>IF(D910="","",IF(OR(D910=Plano!$A$1,D910=Plano!$B$1),"entrada","saída"))</f>
        <v>saída</v>
      </c>
      <c r="T910" s="334" t="s">
        <v>994</v>
      </c>
      <c r="U910" s="334">
        <v>1891</v>
      </c>
      <c r="V910" s="269"/>
      <c r="W910" s="269"/>
      <c r="X910" s="269"/>
      <c r="Y910" s="269"/>
      <c r="Z910" s="269"/>
      <c r="AA910" s="269"/>
      <c r="AB910" s="269"/>
      <c r="AC910" s="269"/>
      <c r="AD910" s="269"/>
      <c r="AE910" s="269"/>
      <c r="AF910" s="269"/>
      <c r="AG910" s="269"/>
      <c r="AH910" s="269"/>
      <c r="AI910" s="269"/>
      <c r="AJ910" s="269"/>
      <c r="AK910" s="269"/>
      <c r="AL910" s="269"/>
      <c r="AM910" s="269"/>
    </row>
    <row r="911" spans="1:39" ht="191.25" customHeight="1" x14ac:dyDescent="0.2">
      <c r="A911" s="277">
        <f>IF(B911="","",COUNT('Diário 5º PA'!$A$5:$A$2634)+COUNT('Diário 6º PA'!$A$5:$A$2246)+ROW()-4)</f>
        <v>3450</v>
      </c>
      <c r="B911" s="278">
        <v>44442</v>
      </c>
      <c r="C911" s="249">
        <v>44287</v>
      </c>
      <c r="D911" s="250" t="s">
        <v>99</v>
      </c>
      <c r="E911" s="250" t="s">
        <v>364</v>
      </c>
      <c r="F911" s="251">
        <v>1512</v>
      </c>
      <c r="G911" s="452" t="s">
        <v>2203</v>
      </c>
      <c r="H911" s="250" t="s">
        <v>125</v>
      </c>
      <c r="I911" s="252" t="s">
        <v>2204</v>
      </c>
      <c r="J911" s="250" t="s">
        <v>2205</v>
      </c>
      <c r="K911" s="255" t="s">
        <v>991</v>
      </c>
      <c r="L911" s="250" t="s">
        <v>1029</v>
      </c>
      <c r="M911" s="277">
        <v>1298</v>
      </c>
      <c r="N911" s="278">
        <v>44441</v>
      </c>
      <c r="O911" s="329" t="s">
        <v>67</v>
      </c>
      <c r="P911" s="330">
        <f t="shared" si="67"/>
        <v>9</v>
      </c>
      <c r="Q911" s="330">
        <f t="shared" si="68"/>
        <v>4</v>
      </c>
      <c r="R911" s="331" t="str">
        <f t="shared" si="69"/>
        <v>Gastos_Gerais</v>
      </c>
      <c r="S911" s="331" t="str">
        <f>IF(D911="","",IF(OR(D911=Plano!$A$1,D911=Plano!$B$1),"entrada","saída"))</f>
        <v>saída</v>
      </c>
      <c r="T911" s="334" t="s">
        <v>994</v>
      </c>
      <c r="U911" s="334">
        <v>1518</v>
      </c>
      <c r="V911" s="269"/>
      <c r="W911" s="269"/>
      <c r="X911" s="269"/>
      <c r="Y911" s="269"/>
      <c r="Z911" s="269"/>
      <c r="AA911" s="269"/>
      <c r="AB911" s="269"/>
      <c r="AC911" s="269"/>
      <c r="AD911" s="269"/>
      <c r="AE911" s="269"/>
      <c r="AF911" s="269"/>
      <c r="AG911" s="269"/>
      <c r="AH911" s="269"/>
      <c r="AI911" s="269"/>
      <c r="AJ911" s="269"/>
      <c r="AK911" s="269"/>
      <c r="AL911" s="269"/>
      <c r="AM911" s="269"/>
    </row>
    <row r="912" spans="1:39" ht="54" customHeight="1" x14ac:dyDescent="0.2">
      <c r="A912" s="277">
        <f>IF(B912="","",COUNT('Diário 5º PA'!$A$5:$A$2634)+COUNT('Diário 6º PA'!$A$5:$A$2246)+ROW()-4)</f>
        <v>3451</v>
      </c>
      <c r="B912" s="278">
        <v>44442</v>
      </c>
      <c r="C912" s="249">
        <v>44409</v>
      </c>
      <c r="D912" s="255" t="s">
        <v>99</v>
      </c>
      <c r="E912" s="255" t="s">
        <v>272</v>
      </c>
      <c r="F912" s="258">
        <v>10.45</v>
      </c>
      <c r="G912" s="450" t="s">
        <v>2206</v>
      </c>
      <c r="H912" s="252" t="s">
        <v>115</v>
      </c>
      <c r="I912" s="250" t="s">
        <v>949</v>
      </c>
      <c r="J912" s="255" t="s">
        <v>950</v>
      </c>
      <c r="K912" s="255" t="s">
        <v>951</v>
      </c>
      <c r="L912" s="250" t="s">
        <v>947</v>
      </c>
      <c r="M912" s="336" t="s">
        <v>114</v>
      </c>
      <c r="N912" s="278">
        <v>44442</v>
      </c>
      <c r="O912" s="329" t="s">
        <v>67</v>
      </c>
      <c r="P912" s="330">
        <f t="shared" si="67"/>
        <v>9</v>
      </c>
      <c r="Q912" s="330">
        <f t="shared" si="68"/>
        <v>8</v>
      </c>
      <c r="R912" s="331" t="str">
        <f t="shared" si="69"/>
        <v>Gastos_Gerais</v>
      </c>
      <c r="S912" s="331" t="str">
        <f>IF(D912="","",IF(OR(D912=Plano!$A$1,D912=Plano!$B$1),"entrada","saída"))</f>
        <v>saída</v>
      </c>
      <c r="T912" s="332" t="s">
        <v>114</v>
      </c>
      <c r="U912" s="332" t="s">
        <v>114</v>
      </c>
      <c r="V912" s="269"/>
      <c r="W912" s="269"/>
      <c r="X912" s="269"/>
      <c r="Y912" s="269"/>
      <c r="Z912" s="269"/>
      <c r="AA912" s="269"/>
      <c r="AB912" s="269"/>
      <c r="AC912" s="269"/>
      <c r="AD912" s="269"/>
      <c r="AE912" s="269"/>
      <c r="AF912" s="269"/>
      <c r="AG912" s="269"/>
      <c r="AH912" s="269"/>
      <c r="AI912" s="269"/>
      <c r="AJ912" s="269"/>
      <c r="AK912" s="269"/>
      <c r="AL912" s="269"/>
      <c r="AM912" s="269"/>
    </row>
    <row r="913" spans="1:39" ht="57.75" customHeight="1" x14ac:dyDescent="0.2">
      <c r="A913" s="277">
        <f>IF(B913="","",COUNT('Diário 5º PA'!$A$5:$A$2634)+COUNT('Diário 6º PA'!$A$5:$A$2246)+ROW()-4)</f>
        <v>3452</v>
      </c>
      <c r="B913" s="278">
        <v>44442</v>
      </c>
      <c r="C913" s="249">
        <v>44409</v>
      </c>
      <c r="D913" s="255" t="s">
        <v>99</v>
      </c>
      <c r="E913" s="255" t="s">
        <v>272</v>
      </c>
      <c r="F913" s="258">
        <v>10.45</v>
      </c>
      <c r="G913" s="450" t="s">
        <v>2207</v>
      </c>
      <c r="H913" s="250" t="s">
        <v>115</v>
      </c>
      <c r="I913" s="250" t="s">
        <v>949</v>
      </c>
      <c r="J913" s="255" t="s">
        <v>950</v>
      </c>
      <c r="K913" s="255" t="s">
        <v>951</v>
      </c>
      <c r="L913" s="250" t="s">
        <v>947</v>
      </c>
      <c r="M913" s="336" t="s">
        <v>114</v>
      </c>
      <c r="N913" s="278">
        <v>44442</v>
      </c>
      <c r="O913" s="329" t="s">
        <v>67</v>
      </c>
      <c r="P913" s="330">
        <f t="shared" si="67"/>
        <v>9</v>
      </c>
      <c r="Q913" s="330">
        <f t="shared" si="68"/>
        <v>8</v>
      </c>
      <c r="R913" s="331" t="str">
        <f t="shared" si="69"/>
        <v>Gastos_Gerais</v>
      </c>
      <c r="S913" s="331" t="str">
        <f>IF(D913="","",IF(OR(D913=Plano!$A$1,D913=Plano!$B$1),"entrada","saída"))</f>
        <v>saída</v>
      </c>
      <c r="T913" s="332" t="s">
        <v>114</v>
      </c>
      <c r="U913" s="332" t="s">
        <v>114</v>
      </c>
      <c r="V913" s="269"/>
      <c r="W913" s="269"/>
      <c r="X913" s="269"/>
      <c r="Y913" s="269"/>
      <c r="Z913" s="269"/>
      <c r="AA913" s="269"/>
      <c r="AB913" s="269"/>
      <c r="AC913" s="269"/>
      <c r="AD913" s="269"/>
      <c r="AE913" s="269"/>
      <c r="AF913" s="269"/>
      <c r="AG913" s="269"/>
      <c r="AH913" s="269"/>
      <c r="AI913" s="269"/>
      <c r="AJ913" s="269"/>
      <c r="AK913" s="269"/>
      <c r="AL913" s="269"/>
      <c r="AM913" s="269"/>
    </row>
    <row r="914" spans="1:39" ht="48.75" customHeight="1" x14ac:dyDescent="0.2">
      <c r="A914" s="277">
        <f>IF(B914="","",COUNT('Diário 5º PA'!$A$5:$A$2634)+COUNT('Diário 6º PA'!$A$5:$A$2246)+ROW()-4)</f>
        <v>3453</v>
      </c>
      <c r="B914" s="278">
        <v>44442</v>
      </c>
      <c r="C914" s="249">
        <v>44409</v>
      </c>
      <c r="D914" s="255" t="s">
        <v>99</v>
      </c>
      <c r="E914" s="255" t="s">
        <v>272</v>
      </c>
      <c r="F914" s="258">
        <v>10.45</v>
      </c>
      <c r="G914" s="450" t="s">
        <v>2208</v>
      </c>
      <c r="H914" s="250" t="s">
        <v>132</v>
      </c>
      <c r="I914" s="250" t="s">
        <v>949</v>
      </c>
      <c r="J914" s="255" t="s">
        <v>950</v>
      </c>
      <c r="K914" s="255" t="s">
        <v>951</v>
      </c>
      <c r="L914" s="250" t="s">
        <v>947</v>
      </c>
      <c r="M914" s="336" t="s">
        <v>114</v>
      </c>
      <c r="N914" s="278">
        <v>44442</v>
      </c>
      <c r="O914" s="329" t="s">
        <v>67</v>
      </c>
      <c r="P914" s="330">
        <f t="shared" si="67"/>
        <v>9</v>
      </c>
      <c r="Q914" s="330">
        <f t="shared" si="68"/>
        <v>8</v>
      </c>
      <c r="R914" s="331" t="str">
        <f t="shared" si="69"/>
        <v>Gastos_Gerais</v>
      </c>
      <c r="S914" s="331" t="str">
        <f>IF(D914="","",IF(OR(D914=Plano!$A$1,D914=Plano!$B$1),"entrada","saída"))</f>
        <v>saída</v>
      </c>
      <c r="T914" s="332" t="s">
        <v>114</v>
      </c>
      <c r="U914" s="332" t="s">
        <v>114</v>
      </c>
      <c r="V914" s="269"/>
      <c r="W914" s="269"/>
      <c r="X914" s="269"/>
      <c r="Y914" s="269"/>
      <c r="Z914" s="269"/>
      <c r="AA914" s="269"/>
      <c r="AB914" s="269"/>
      <c r="AC914" s="269"/>
      <c r="AD914" s="269"/>
      <c r="AE914" s="269"/>
      <c r="AF914" s="269"/>
      <c r="AG914" s="269"/>
      <c r="AH914" s="269"/>
      <c r="AI914" s="269"/>
      <c r="AJ914" s="269"/>
      <c r="AK914" s="269"/>
      <c r="AL914" s="269"/>
      <c r="AM914" s="269"/>
    </row>
    <row r="915" spans="1:39" ht="51.75" customHeight="1" x14ac:dyDescent="0.2">
      <c r="A915" s="277">
        <f>IF(B915="","",COUNT('Diário 5º PA'!$A$5:$A$2634)+COUNT('Diário 6º PA'!$A$5:$A$2246)+ROW()-4)</f>
        <v>3454</v>
      </c>
      <c r="B915" s="278">
        <v>44442</v>
      </c>
      <c r="C915" s="249">
        <v>44409</v>
      </c>
      <c r="D915" s="255" t="s">
        <v>99</v>
      </c>
      <c r="E915" s="255" t="s">
        <v>272</v>
      </c>
      <c r="F915" s="258">
        <v>10.45</v>
      </c>
      <c r="G915" s="450" t="s">
        <v>2209</v>
      </c>
      <c r="H915" s="250" t="s">
        <v>116</v>
      </c>
      <c r="I915" s="250" t="s">
        <v>949</v>
      </c>
      <c r="J915" s="255" t="s">
        <v>950</v>
      </c>
      <c r="K915" s="255" t="s">
        <v>951</v>
      </c>
      <c r="L915" s="250" t="s">
        <v>947</v>
      </c>
      <c r="M915" s="336" t="s">
        <v>114</v>
      </c>
      <c r="N915" s="278">
        <v>44442</v>
      </c>
      <c r="O915" s="329" t="s">
        <v>67</v>
      </c>
      <c r="P915" s="330">
        <f t="shared" si="67"/>
        <v>9</v>
      </c>
      <c r="Q915" s="330">
        <f t="shared" si="68"/>
        <v>8</v>
      </c>
      <c r="R915" s="331" t="str">
        <f t="shared" si="69"/>
        <v>Gastos_Gerais</v>
      </c>
      <c r="S915" s="331" t="str">
        <f>IF(D915="","",IF(OR(D915=Plano!$A$1,D915=Plano!$B$1),"entrada","saída"))</f>
        <v>saída</v>
      </c>
      <c r="T915" s="332" t="s">
        <v>114</v>
      </c>
      <c r="U915" s="332" t="s">
        <v>114</v>
      </c>
      <c r="V915" s="269"/>
      <c r="W915" s="269"/>
      <c r="X915" s="269"/>
      <c r="Y915" s="269"/>
      <c r="Z915" s="269"/>
      <c r="AA915" s="269"/>
      <c r="AB915" s="269"/>
      <c r="AC915" s="269"/>
      <c r="AD915" s="269"/>
      <c r="AE915" s="269"/>
      <c r="AF915" s="269"/>
      <c r="AG915" s="269"/>
      <c r="AH915" s="269"/>
      <c r="AI915" s="269"/>
      <c r="AJ915" s="269"/>
      <c r="AK915" s="269"/>
      <c r="AL915" s="269"/>
      <c r="AM915" s="269"/>
    </row>
    <row r="916" spans="1:39" ht="57.75" customHeight="1" x14ac:dyDescent="0.2">
      <c r="A916" s="277">
        <f>IF(B916="","",COUNT('Diário 5º PA'!$A$5:$A$2634)+COUNT('Diário 6º PA'!$A$5:$A$2246)+ROW()-4)</f>
        <v>3455</v>
      </c>
      <c r="B916" s="278">
        <v>44442</v>
      </c>
      <c r="C916" s="249">
        <v>44409</v>
      </c>
      <c r="D916" s="255" t="s">
        <v>99</v>
      </c>
      <c r="E916" s="255" t="s">
        <v>272</v>
      </c>
      <c r="F916" s="258">
        <v>10.45</v>
      </c>
      <c r="G916" s="450" t="s">
        <v>2210</v>
      </c>
      <c r="H916" s="250" t="s">
        <v>125</v>
      </c>
      <c r="I916" s="250" t="s">
        <v>949</v>
      </c>
      <c r="J916" s="255" t="s">
        <v>950</v>
      </c>
      <c r="K916" s="255" t="s">
        <v>951</v>
      </c>
      <c r="L916" s="250" t="s">
        <v>947</v>
      </c>
      <c r="M916" s="336" t="s">
        <v>114</v>
      </c>
      <c r="N916" s="278">
        <v>44442</v>
      </c>
      <c r="O916" s="329" t="s">
        <v>67</v>
      </c>
      <c r="P916" s="330">
        <f t="shared" si="67"/>
        <v>9</v>
      </c>
      <c r="Q916" s="330">
        <f t="shared" si="68"/>
        <v>8</v>
      </c>
      <c r="R916" s="331" t="str">
        <f t="shared" si="69"/>
        <v>Gastos_Gerais</v>
      </c>
      <c r="S916" s="331" t="str">
        <f>IF(D916="","",IF(OR(D916=Plano!$A$1,D916=Plano!$B$1),"entrada","saída"))</f>
        <v>saída</v>
      </c>
      <c r="T916" s="332" t="s">
        <v>114</v>
      </c>
      <c r="U916" s="332" t="s">
        <v>114</v>
      </c>
      <c r="V916" s="269"/>
      <c r="W916" s="269"/>
      <c r="X916" s="269"/>
      <c r="Y916" s="269"/>
      <c r="Z916" s="269"/>
      <c r="AA916" s="269"/>
      <c r="AB916" s="269"/>
      <c r="AC916" s="269"/>
      <c r="AD916" s="269"/>
      <c r="AE916" s="269"/>
      <c r="AF916" s="269"/>
      <c r="AG916" s="269"/>
      <c r="AH916" s="269"/>
      <c r="AI916" s="269"/>
      <c r="AJ916" s="269"/>
      <c r="AK916" s="269"/>
      <c r="AL916" s="269"/>
      <c r="AM916" s="269"/>
    </row>
    <row r="917" spans="1:39" s="446" customFormat="1" ht="144.75" customHeight="1" x14ac:dyDescent="0.2">
      <c r="A917" s="277">
        <f>IF(B917="","",COUNT('Diário 5º PA'!$A$5:$A$2634)+COUNT('Diário 6º PA'!$A$5:$A$2246)+ROW()-4)</f>
        <v>3456</v>
      </c>
      <c r="B917" s="278">
        <v>44442</v>
      </c>
      <c r="C917" s="249">
        <v>44409</v>
      </c>
      <c r="D917" s="250" t="s">
        <v>104</v>
      </c>
      <c r="E917" s="250" t="s">
        <v>104</v>
      </c>
      <c r="F917" s="251">
        <v>2125.92</v>
      </c>
      <c r="G917" s="452" t="s">
        <v>548</v>
      </c>
      <c r="H917" s="250" t="s">
        <v>104</v>
      </c>
      <c r="I917" s="463" t="s">
        <v>1739</v>
      </c>
      <c r="J917" s="440" t="s">
        <v>550</v>
      </c>
      <c r="K917" s="458" t="s">
        <v>1015</v>
      </c>
      <c r="L917" s="442" t="s">
        <v>1029</v>
      </c>
      <c r="M917" s="336">
        <v>1303</v>
      </c>
      <c r="N917" s="278">
        <v>44442</v>
      </c>
      <c r="O917" s="329" t="s">
        <v>68</v>
      </c>
      <c r="P917" s="330">
        <f t="shared" ref="P917" si="79">IF(B917=0,0,IF(YEAR(B917)=$Q$1,MONTH(B917)-$P$1+1,(YEAR(B917)-$Q$1)*12-$P$1+1+MONTH(B917)))</f>
        <v>9</v>
      </c>
      <c r="Q917" s="330">
        <f t="shared" ref="Q917" si="80">IF(C917=0,0,IF(YEAR(C917)=$Q$1,MONTH(C917)-$P$1+1,(YEAR(C917)-$Q$1)*12-$P$1+1+MONTH(C917)))</f>
        <v>8</v>
      </c>
      <c r="R917" s="331" t="str">
        <f t="shared" ref="R917" si="81">SUBSTITUTE(D917," ","_")</f>
        <v>Gastos_custeados_por_captação</v>
      </c>
      <c r="S917" s="331" t="str">
        <f>IF(D917="","",IF(OR(D917=Plano!$A$1,D917=Plano!$B$1),"entrada","saída"))</f>
        <v>saída</v>
      </c>
      <c r="T917" s="462" t="s">
        <v>1059</v>
      </c>
      <c r="U917" s="332">
        <v>1301</v>
      </c>
      <c r="V917" s="439"/>
      <c r="W917" s="439"/>
      <c r="X917" s="439"/>
      <c r="Y917" s="439"/>
      <c r="Z917" s="439"/>
      <c r="AA917" s="439"/>
      <c r="AB917" s="439"/>
      <c r="AC917" s="439"/>
      <c r="AD917" s="439"/>
      <c r="AE917" s="439"/>
      <c r="AF917" s="439"/>
      <c r="AG917" s="439"/>
      <c r="AH917" s="439"/>
      <c r="AI917" s="439"/>
      <c r="AJ917" s="439"/>
      <c r="AK917" s="439"/>
      <c r="AL917" s="439"/>
      <c r="AM917" s="439"/>
    </row>
    <row r="918" spans="1:39" s="446" customFormat="1" ht="73.5" customHeight="1" x14ac:dyDescent="0.2">
      <c r="A918" s="277">
        <f>IF(B918="","",COUNT('Diário 5º PA'!$A$5:$A$2634)+COUNT('Diário 6º PA'!$A$5:$A$2246)+ROW()-4)</f>
        <v>3457</v>
      </c>
      <c r="B918" s="278">
        <v>44442</v>
      </c>
      <c r="C918" s="249">
        <v>44348</v>
      </c>
      <c r="D918" s="250" t="s">
        <v>104</v>
      </c>
      <c r="E918" s="250" t="s">
        <v>104</v>
      </c>
      <c r="F918" s="251">
        <v>3578.98</v>
      </c>
      <c r="G918" s="452" t="s">
        <v>690</v>
      </c>
      <c r="H918" s="250" t="s">
        <v>104</v>
      </c>
      <c r="I918" s="442" t="s">
        <v>5252</v>
      </c>
      <c r="J918" s="440" t="s">
        <v>691</v>
      </c>
      <c r="K918" s="458" t="s">
        <v>1015</v>
      </c>
      <c r="L918" s="442" t="s">
        <v>1029</v>
      </c>
      <c r="M918" s="336">
        <v>1297</v>
      </c>
      <c r="N918" s="278">
        <v>44441</v>
      </c>
      <c r="O918" s="329" t="s">
        <v>69</v>
      </c>
      <c r="P918" s="330">
        <f t="shared" ref="P918" si="82">IF(B918=0,0,IF(YEAR(B918)=$Q$1,MONTH(B918)-$P$1+1,(YEAR(B918)-$Q$1)*12-$P$1+1+MONTH(B918)))</f>
        <v>9</v>
      </c>
      <c r="Q918" s="330">
        <f t="shared" ref="Q918" si="83">IF(C918=0,0,IF(YEAR(C918)=$Q$1,MONTH(C918)-$P$1+1,(YEAR(C918)-$Q$1)*12-$P$1+1+MONTH(C918)))</f>
        <v>6</v>
      </c>
      <c r="R918" s="331" t="str">
        <f t="shared" ref="R918" si="84">SUBSTITUTE(D918," ","_")</f>
        <v>Gastos_custeados_por_captação</v>
      </c>
      <c r="S918" s="331" t="str">
        <f>IF(D918="","",IF(OR(D918=Plano!$A$1,D918=Plano!$B$1),"entrada","saída"))</f>
        <v>saída</v>
      </c>
      <c r="T918" s="462" t="s">
        <v>994</v>
      </c>
      <c r="U918" s="332">
        <v>1671</v>
      </c>
      <c r="V918" s="439"/>
      <c r="W918" s="439"/>
      <c r="X918" s="439"/>
      <c r="Y918" s="439"/>
      <c r="Z918" s="439"/>
      <c r="AA918" s="439"/>
      <c r="AB918" s="439"/>
      <c r="AC918" s="439"/>
      <c r="AD918" s="439"/>
      <c r="AE918" s="439"/>
      <c r="AF918" s="439"/>
      <c r="AG918" s="439"/>
      <c r="AH918" s="439"/>
      <c r="AI918" s="439"/>
      <c r="AJ918" s="439"/>
      <c r="AK918" s="439"/>
      <c r="AL918" s="439"/>
      <c r="AM918" s="439"/>
    </row>
    <row r="919" spans="1:39" s="478" customFormat="1" ht="111.75" customHeight="1" x14ac:dyDescent="0.2">
      <c r="A919" s="277">
        <f>IF(B919="","",COUNT('Diário 5º PA'!$A$5:$A$2634)+COUNT('Diário 6º PA'!$A$5:$A$2246)+ROW()-4)</f>
        <v>3458</v>
      </c>
      <c r="B919" s="278">
        <v>44442</v>
      </c>
      <c r="C919" s="249">
        <v>44440</v>
      </c>
      <c r="D919" s="250" t="s">
        <v>104</v>
      </c>
      <c r="E919" s="250" t="s">
        <v>104</v>
      </c>
      <c r="F919" s="251">
        <v>2000</v>
      </c>
      <c r="G919" s="452" t="s">
        <v>477</v>
      </c>
      <c r="H919" s="250" t="s">
        <v>104</v>
      </c>
      <c r="I919" s="252" t="s">
        <v>1293</v>
      </c>
      <c r="J919" s="440" t="s">
        <v>479</v>
      </c>
      <c r="K919" s="255" t="s">
        <v>991</v>
      </c>
      <c r="L919" s="250" t="s">
        <v>992</v>
      </c>
      <c r="M919" s="277" t="s">
        <v>1296</v>
      </c>
      <c r="N919" s="278">
        <v>44440</v>
      </c>
      <c r="O919" s="329" t="s">
        <v>5377</v>
      </c>
      <c r="P919" s="330">
        <f t="shared" ref="P919:P929" si="85">IF(B919=0,0,IF(YEAR(B919)=$Q$1,MONTH(B919)-$P$1+1,(YEAR(B919)-$Q$1)*12-$P$1+1+MONTH(B919)))</f>
        <v>9</v>
      </c>
      <c r="Q919" s="330">
        <f t="shared" ref="Q919:Q929" si="86">IF(C919=0,0,IF(YEAR(C919)=$Q$1,MONTH(C919)-$P$1+1,(YEAR(C919)-$Q$1)*12-$P$1+1+MONTH(C919)))</f>
        <v>9</v>
      </c>
      <c r="R919" s="331" t="str">
        <f t="shared" ref="R919:R929" si="87">SUBSTITUTE(D919," ","_")</f>
        <v>Gastos_custeados_por_captação</v>
      </c>
      <c r="S919" s="331" t="str">
        <f>IF(D919="","",IF(OR(D919=Plano!$A$1,D919=Plano!$B$1),"entrada","saída"))</f>
        <v>saída</v>
      </c>
      <c r="T919" s="332" t="s">
        <v>1059</v>
      </c>
      <c r="U919" s="332">
        <v>1268</v>
      </c>
      <c r="V919" s="439"/>
      <c r="W919" s="439"/>
      <c r="X919" s="439"/>
      <c r="Y919" s="439"/>
      <c r="Z919" s="439"/>
      <c r="AA919" s="439"/>
      <c r="AB919" s="439"/>
      <c r="AC919" s="439"/>
      <c r="AD919" s="439"/>
      <c r="AE919" s="439"/>
      <c r="AF919" s="439"/>
      <c r="AG919" s="439"/>
      <c r="AH919" s="439"/>
      <c r="AI919" s="439"/>
      <c r="AJ919" s="439"/>
      <c r="AK919" s="439"/>
      <c r="AL919" s="439"/>
      <c r="AM919" s="439"/>
    </row>
    <row r="920" spans="1:39" s="478" customFormat="1" ht="225" customHeight="1" x14ac:dyDescent="0.2">
      <c r="A920" s="277">
        <f>IF(B920="","",COUNT('Diário 5º PA'!$A$5:$A$2634)+COUNT('Diário 6º PA'!$A$5:$A$2246)+ROW()-4)</f>
        <v>3459</v>
      </c>
      <c r="B920" s="278">
        <v>44442</v>
      </c>
      <c r="C920" s="249">
        <v>44440</v>
      </c>
      <c r="D920" s="250" t="s">
        <v>104</v>
      </c>
      <c r="E920" s="250" t="s">
        <v>104</v>
      </c>
      <c r="F920" s="251">
        <v>2000</v>
      </c>
      <c r="G920" s="452" t="s">
        <v>462</v>
      </c>
      <c r="H920" s="250" t="s">
        <v>104</v>
      </c>
      <c r="I920" s="252" t="s">
        <v>1331</v>
      </c>
      <c r="J920" s="440" t="s">
        <v>464</v>
      </c>
      <c r="K920" s="255" t="s">
        <v>991</v>
      </c>
      <c r="L920" s="250" t="s">
        <v>992</v>
      </c>
      <c r="M920" s="277" t="s">
        <v>1049</v>
      </c>
      <c r="N920" s="278">
        <v>44441</v>
      </c>
      <c r="O920" s="329" t="s">
        <v>5377</v>
      </c>
      <c r="P920" s="330">
        <f t="shared" si="85"/>
        <v>9</v>
      </c>
      <c r="Q920" s="330">
        <f t="shared" si="86"/>
        <v>9</v>
      </c>
      <c r="R920" s="331" t="str">
        <f t="shared" si="87"/>
        <v>Gastos_custeados_por_captação</v>
      </c>
      <c r="S920" s="331" t="str">
        <f>IF(D920="","",IF(OR(D920=Plano!$A$1,D920=Plano!$B$1),"entrada","saída"))</f>
        <v>saída</v>
      </c>
      <c r="T920" s="332" t="s">
        <v>1059</v>
      </c>
      <c r="U920" s="332">
        <v>1267</v>
      </c>
      <c r="V920" s="439"/>
      <c r="W920" s="439"/>
      <c r="X920" s="439"/>
      <c r="Y920" s="439"/>
      <c r="Z920" s="439"/>
      <c r="AA920" s="439"/>
      <c r="AB920" s="439"/>
      <c r="AC920" s="439"/>
      <c r="AD920" s="439"/>
      <c r="AE920" s="439"/>
      <c r="AF920" s="439"/>
      <c r="AG920" s="439"/>
      <c r="AH920" s="439"/>
      <c r="AI920" s="439"/>
      <c r="AJ920" s="439"/>
      <c r="AK920" s="439"/>
      <c r="AL920" s="439"/>
      <c r="AM920" s="439"/>
    </row>
    <row r="921" spans="1:39" s="478" customFormat="1" ht="189" customHeight="1" x14ac:dyDescent="0.2">
      <c r="A921" s="277">
        <f>IF(B921="","",COUNT('Diário 5º PA'!$A$5:$A$2634)+COUNT('Diário 6º PA'!$A$5:$A$2246)+ROW()-4)</f>
        <v>3460</v>
      </c>
      <c r="B921" s="278">
        <v>44442</v>
      </c>
      <c r="C921" s="249">
        <v>44440</v>
      </c>
      <c r="D921" s="250" t="s">
        <v>104</v>
      </c>
      <c r="E921" s="250" t="s">
        <v>104</v>
      </c>
      <c r="F921" s="251">
        <v>3920</v>
      </c>
      <c r="G921" s="452" t="s">
        <v>468</v>
      </c>
      <c r="H921" s="250" t="s">
        <v>104</v>
      </c>
      <c r="I921" s="252" t="s">
        <v>1295</v>
      </c>
      <c r="J921" s="440" t="s">
        <v>470</v>
      </c>
      <c r="K921" s="255" t="s">
        <v>991</v>
      </c>
      <c r="L921" s="250" t="s">
        <v>992</v>
      </c>
      <c r="M921" s="277" t="s">
        <v>1600</v>
      </c>
      <c r="N921" s="278">
        <v>44441</v>
      </c>
      <c r="O921" s="329" t="s">
        <v>5377</v>
      </c>
      <c r="P921" s="330">
        <f t="shared" si="85"/>
        <v>9</v>
      </c>
      <c r="Q921" s="330">
        <f t="shared" si="86"/>
        <v>9</v>
      </c>
      <c r="R921" s="331" t="str">
        <f t="shared" si="87"/>
        <v>Gastos_custeados_por_captação</v>
      </c>
      <c r="S921" s="331" t="str">
        <f>IF(D921="","",IF(OR(D921=Plano!$A$1,D921=Plano!$B$1),"entrada","saída"))</f>
        <v>saída</v>
      </c>
      <c r="T921" s="332" t="s">
        <v>1059</v>
      </c>
      <c r="U921" s="332">
        <v>1269</v>
      </c>
      <c r="V921" s="439"/>
      <c r="W921" s="439"/>
      <c r="X921" s="439"/>
      <c r="Y921" s="439"/>
      <c r="Z921" s="439"/>
      <c r="AA921" s="439"/>
      <c r="AB921" s="439"/>
      <c r="AC921" s="439"/>
      <c r="AD921" s="439"/>
      <c r="AE921" s="439"/>
      <c r="AF921" s="439"/>
      <c r="AG921" s="439"/>
      <c r="AH921" s="439"/>
      <c r="AI921" s="439"/>
      <c r="AJ921" s="439"/>
      <c r="AK921" s="439"/>
      <c r="AL921" s="439"/>
      <c r="AM921" s="439"/>
    </row>
    <row r="922" spans="1:39" s="478" customFormat="1" ht="73.5" customHeight="1" x14ac:dyDescent="0.2">
      <c r="A922" s="277">
        <f>IF(B922="","",COUNT('Diário 5º PA'!$A$5:$A$2634)+COUNT('Diário 6º PA'!$A$5:$A$2246)+ROW()-4)</f>
        <v>3461</v>
      </c>
      <c r="B922" s="278">
        <v>44442</v>
      </c>
      <c r="C922" s="249">
        <v>44409</v>
      </c>
      <c r="D922" s="250" t="s">
        <v>104</v>
      </c>
      <c r="E922" s="250" t="s">
        <v>104</v>
      </c>
      <c r="F922" s="251">
        <v>3325</v>
      </c>
      <c r="G922" s="452" t="s">
        <v>564</v>
      </c>
      <c r="H922" s="250" t="s">
        <v>104</v>
      </c>
      <c r="I922" s="252" t="s">
        <v>1740</v>
      </c>
      <c r="J922" s="440" t="s">
        <v>567</v>
      </c>
      <c r="K922" s="255" t="s">
        <v>991</v>
      </c>
      <c r="L922" s="250" t="s">
        <v>1016</v>
      </c>
      <c r="M922" s="277" t="s">
        <v>2429</v>
      </c>
      <c r="N922" s="278">
        <v>44441</v>
      </c>
      <c r="O922" s="329" t="s">
        <v>5377</v>
      </c>
      <c r="P922" s="330">
        <f t="shared" si="85"/>
        <v>9</v>
      </c>
      <c r="Q922" s="330">
        <f t="shared" si="86"/>
        <v>8</v>
      </c>
      <c r="R922" s="331" t="str">
        <f t="shared" si="87"/>
        <v>Gastos_custeados_por_captação</v>
      </c>
      <c r="S922" s="331" t="str">
        <f>IF(D922="","",IF(OR(D922=Plano!$A$1,D922=Plano!$B$1),"entrada","saída"))</f>
        <v>saída</v>
      </c>
      <c r="T922" s="332" t="s">
        <v>1059</v>
      </c>
      <c r="U922" s="332">
        <v>1279</v>
      </c>
      <c r="V922" s="439"/>
      <c r="W922" s="439"/>
      <c r="X922" s="439"/>
      <c r="Y922" s="439"/>
      <c r="Z922" s="439"/>
      <c r="AA922" s="439"/>
      <c r="AB922" s="439"/>
      <c r="AC922" s="439"/>
      <c r="AD922" s="439"/>
      <c r="AE922" s="439"/>
      <c r="AF922" s="439"/>
      <c r="AG922" s="439"/>
      <c r="AH922" s="439"/>
      <c r="AI922" s="439"/>
      <c r="AJ922" s="439"/>
      <c r="AK922" s="439"/>
      <c r="AL922" s="439"/>
      <c r="AM922" s="439"/>
    </row>
    <row r="923" spans="1:39" s="478" customFormat="1" ht="73.5" customHeight="1" x14ac:dyDescent="0.2">
      <c r="A923" s="277">
        <f>IF(B923="","",COUNT('Diário 5º PA'!$A$5:$A$2634)+COUNT('Diário 6º PA'!$A$5:$A$2246)+ROW()-4)</f>
        <v>3462</v>
      </c>
      <c r="B923" s="278">
        <v>44442</v>
      </c>
      <c r="C923" s="249">
        <v>44409</v>
      </c>
      <c r="D923" s="250" t="s">
        <v>104</v>
      </c>
      <c r="E923" s="250" t="s">
        <v>104</v>
      </c>
      <c r="F923" s="251">
        <v>2850</v>
      </c>
      <c r="G923" s="452" t="s">
        <v>564</v>
      </c>
      <c r="H923" s="250" t="s">
        <v>104</v>
      </c>
      <c r="I923" s="252" t="s">
        <v>1332</v>
      </c>
      <c r="J923" s="440" t="s">
        <v>565</v>
      </c>
      <c r="K923" s="255" t="s">
        <v>991</v>
      </c>
      <c r="L923" s="250" t="s">
        <v>1016</v>
      </c>
      <c r="M923" s="277" t="s">
        <v>1407</v>
      </c>
      <c r="N923" s="278">
        <v>44441</v>
      </c>
      <c r="O923" s="329" t="s">
        <v>5377</v>
      </c>
      <c r="P923" s="330">
        <f t="shared" si="85"/>
        <v>9</v>
      </c>
      <c r="Q923" s="330">
        <f t="shared" si="86"/>
        <v>8</v>
      </c>
      <c r="R923" s="331" t="str">
        <f t="shared" si="87"/>
        <v>Gastos_custeados_por_captação</v>
      </c>
      <c r="S923" s="331" t="str">
        <f>IF(D923="","",IF(OR(D923=Plano!$A$1,D923=Plano!$B$1),"entrada","saída"))</f>
        <v>saída</v>
      </c>
      <c r="T923" s="332" t="s">
        <v>1059</v>
      </c>
      <c r="U923" s="332">
        <v>1280</v>
      </c>
      <c r="V923" s="439"/>
      <c r="W923" s="439"/>
      <c r="X923" s="439"/>
      <c r="Y923" s="439"/>
      <c r="Z923" s="439"/>
      <c r="AA923" s="439"/>
      <c r="AB923" s="439"/>
      <c r="AC923" s="439"/>
      <c r="AD923" s="439"/>
      <c r="AE923" s="439"/>
      <c r="AF923" s="439"/>
      <c r="AG923" s="439"/>
      <c r="AH923" s="439"/>
      <c r="AI923" s="439"/>
      <c r="AJ923" s="439"/>
      <c r="AK923" s="439"/>
      <c r="AL923" s="439"/>
      <c r="AM923" s="439"/>
    </row>
    <row r="924" spans="1:39" s="478" customFormat="1" ht="73.5" customHeight="1" x14ac:dyDescent="0.2">
      <c r="A924" s="277">
        <f>IF(B924="","",COUNT('Diário 5º PA'!$A$5:$A$2634)+COUNT('Diário 6º PA'!$A$5:$A$2246)+ROW()-4)</f>
        <v>3463</v>
      </c>
      <c r="B924" s="278">
        <v>44442</v>
      </c>
      <c r="C924" s="249">
        <v>44409</v>
      </c>
      <c r="D924" s="250" t="s">
        <v>104</v>
      </c>
      <c r="E924" s="250" t="s">
        <v>104</v>
      </c>
      <c r="F924" s="251">
        <v>2075.92</v>
      </c>
      <c r="G924" s="452" t="s">
        <v>605</v>
      </c>
      <c r="H924" s="250" t="s">
        <v>104</v>
      </c>
      <c r="I924" s="252" t="s">
        <v>4407</v>
      </c>
      <c r="J924" s="440" t="s">
        <v>604</v>
      </c>
      <c r="K924" s="255" t="s">
        <v>991</v>
      </c>
      <c r="L924" s="250" t="s">
        <v>1029</v>
      </c>
      <c r="M924" s="336">
        <v>1302</v>
      </c>
      <c r="N924" s="278">
        <v>44442</v>
      </c>
      <c r="O924" s="329" t="s">
        <v>5377</v>
      </c>
      <c r="P924" s="330">
        <f t="shared" si="85"/>
        <v>9</v>
      </c>
      <c r="Q924" s="330">
        <f t="shared" si="86"/>
        <v>8</v>
      </c>
      <c r="R924" s="331" t="str">
        <f t="shared" si="87"/>
        <v>Gastos_custeados_por_captação</v>
      </c>
      <c r="S924" s="331" t="str">
        <f>IF(D924="","",IF(OR(D924=Plano!$A$1,D924=Plano!$B$1),"entrada","saída"))</f>
        <v>saída</v>
      </c>
      <c r="T924" s="482" t="s">
        <v>994</v>
      </c>
      <c r="U924" s="332">
        <v>1362</v>
      </c>
      <c r="V924" s="439"/>
      <c r="W924" s="439"/>
      <c r="X924" s="439"/>
      <c r="Y924" s="439"/>
      <c r="Z924" s="439"/>
      <c r="AA924" s="439"/>
      <c r="AB924" s="439"/>
      <c r="AC924" s="439"/>
      <c r="AD924" s="439"/>
      <c r="AE924" s="439"/>
      <c r="AF924" s="439"/>
      <c r="AG924" s="439"/>
      <c r="AH924" s="439"/>
      <c r="AI924" s="439"/>
      <c r="AJ924" s="439"/>
      <c r="AK924" s="439"/>
      <c r="AL924" s="439"/>
      <c r="AM924" s="439"/>
    </row>
    <row r="925" spans="1:39" s="478" customFormat="1" ht="233.25" customHeight="1" x14ac:dyDescent="0.2">
      <c r="A925" s="277">
        <f>IF(B925="","",COUNT('Diário 5º PA'!$A$5:$A$2634)+COUNT('Diário 6º PA'!$A$5:$A$2246)+ROW()-4)</f>
        <v>3464</v>
      </c>
      <c r="B925" s="278">
        <v>44442</v>
      </c>
      <c r="C925" s="249">
        <v>44409</v>
      </c>
      <c r="D925" s="250" t="s">
        <v>104</v>
      </c>
      <c r="E925" s="250" t="s">
        <v>104</v>
      </c>
      <c r="F925" s="251">
        <v>2254</v>
      </c>
      <c r="G925" s="452" t="s">
        <v>591</v>
      </c>
      <c r="H925" s="250" t="s">
        <v>104</v>
      </c>
      <c r="I925" s="252" t="s">
        <v>1298</v>
      </c>
      <c r="J925" s="440" t="s">
        <v>590</v>
      </c>
      <c r="K925" s="255" t="s">
        <v>991</v>
      </c>
      <c r="L925" s="250" t="s">
        <v>992</v>
      </c>
      <c r="M925" s="277" t="s">
        <v>1058</v>
      </c>
      <c r="N925" s="278">
        <v>44441</v>
      </c>
      <c r="O925" s="329" t="s">
        <v>5377</v>
      </c>
      <c r="P925" s="330">
        <f t="shared" si="85"/>
        <v>9</v>
      </c>
      <c r="Q925" s="330">
        <f t="shared" si="86"/>
        <v>8</v>
      </c>
      <c r="R925" s="331" t="str">
        <f t="shared" si="87"/>
        <v>Gastos_custeados_por_captação</v>
      </c>
      <c r="S925" s="331" t="str">
        <f>IF(D925="","",IF(OR(D925=Plano!$A$1,D925=Plano!$B$1),"entrada","saída"))</f>
        <v>saída</v>
      </c>
      <c r="T925" s="332" t="s">
        <v>1082</v>
      </c>
      <c r="U925" s="332">
        <v>1434</v>
      </c>
      <c r="V925" s="439"/>
      <c r="W925" s="439"/>
      <c r="X925" s="439"/>
      <c r="Y925" s="439"/>
      <c r="Z925" s="439"/>
      <c r="AA925" s="439"/>
      <c r="AB925" s="439"/>
      <c r="AC925" s="439"/>
      <c r="AD925" s="439"/>
      <c r="AE925" s="439"/>
      <c r="AF925" s="439"/>
      <c r="AG925" s="439"/>
      <c r="AH925" s="439"/>
      <c r="AI925" s="439"/>
      <c r="AJ925" s="439"/>
      <c r="AK925" s="439"/>
      <c r="AL925" s="439"/>
      <c r="AM925" s="439"/>
    </row>
    <row r="926" spans="1:39" s="478" customFormat="1" ht="176.25" customHeight="1" x14ac:dyDescent="0.2">
      <c r="A926" s="277">
        <f>IF(B926="","",COUNT('Diário 5º PA'!$A$5:$A$2634)+COUNT('Diário 6º PA'!$A$5:$A$2246)+ROW()-4)</f>
        <v>3465</v>
      </c>
      <c r="B926" s="278">
        <v>44442</v>
      </c>
      <c r="C926" s="249">
        <v>44440</v>
      </c>
      <c r="D926" s="250" t="s">
        <v>104</v>
      </c>
      <c r="E926" s="250" t="s">
        <v>104</v>
      </c>
      <c r="F926" s="251">
        <v>2537.5500000000002</v>
      </c>
      <c r="G926" s="452" t="s">
        <v>596</v>
      </c>
      <c r="H926" s="250" t="s">
        <v>104</v>
      </c>
      <c r="I926" s="252" t="s">
        <v>1348</v>
      </c>
      <c r="J926" s="440" t="s">
        <v>598</v>
      </c>
      <c r="K926" s="255" t="s">
        <v>991</v>
      </c>
      <c r="L926" s="250" t="s">
        <v>1029</v>
      </c>
      <c r="M926" s="336">
        <v>1300</v>
      </c>
      <c r="N926" s="278">
        <v>44441</v>
      </c>
      <c r="O926" s="329" t="s">
        <v>5377</v>
      </c>
      <c r="P926" s="330">
        <f t="shared" si="85"/>
        <v>9</v>
      </c>
      <c r="Q926" s="330">
        <f t="shared" si="86"/>
        <v>9</v>
      </c>
      <c r="R926" s="331" t="str">
        <f t="shared" si="87"/>
        <v>Gastos_custeados_por_captação</v>
      </c>
      <c r="S926" s="331" t="str">
        <f>IF(D926="","",IF(OR(D926=Plano!$A$1,D926=Plano!$B$1),"entrada","saída"))</f>
        <v>saída</v>
      </c>
      <c r="T926" s="332" t="s">
        <v>1059</v>
      </c>
      <c r="U926" s="332">
        <v>1466</v>
      </c>
      <c r="V926" s="439"/>
      <c r="W926" s="439"/>
      <c r="X926" s="439"/>
      <c r="Y926" s="439"/>
      <c r="Z926" s="439"/>
      <c r="AA926" s="439"/>
      <c r="AB926" s="439"/>
      <c r="AC926" s="439"/>
      <c r="AD926" s="439"/>
      <c r="AE926" s="439"/>
      <c r="AF926" s="439"/>
      <c r="AG926" s="439"/>
      <c r="AH926" s="439"/>
      <c r="AI926" s="439"/>
      <c r="AJ926" s="439"/>
      <c r="AK926" s="439"/>
      <c r="AL926" s="439"/>
      <c r="AM926" s="439"/>
    </row>
    <row r="927" spans="1:39" s="478" customFormat="1" ht="73.5" customHeight="1" x14ac:dyDescent="0.2">
      <c r="A927" s="277">
        <f>IF(B927="","",COUNT('Diário 5º PA'!$A$5:$A$2634)+COUNT('Diário 6º PA'!$A$5:$A$2246)+ROW()-4)</f>
        <v>3466</v>
      </c>
      <c r="B927" s="278">
        <v>44442</v>
      </c>
      <c r="C927" s="249">
        <v>44440</v>
      </c>
      <c r="D927" s="250" t="s">
        <v>104</v>
      </c>
      <c r="E927" s="250" t="s">
        <v>104</v>
      </c>
      <c r="F927" s="258">
        <v>10.45</v>
      </c>
      <c r="G927" s="450" t="s">
        <v>5451</v>
      </c>
      <c r="H927" s="250" t="s">
        <v>104</v>
      </c>
      <c r="I927" s="250" t="s">
        <v>949</v>
      </c>
      <c r="J927" s="255" t="s">
        <v>950</v>
      </c>
      <c r="K927" s="255" t="s">
        <v>951</v>
      </c>
      <c r="L927" s="250" t="s">
        <v>947</v>
      </c>
      <c r="M927" s="336" t="s">
        <v>114</v>
      </c>
      <c r="N927" s="278">
        <v>44442</v>
      </c>
      <c r="O927" s="329" t="s">
        <v>5377</v>
      </c>
      <c r="P927" s="330">
        <f t="shared" si="85"/>
        <v>9</v>
      </c>
      <c r="Q927" s="330">
        <f t="shared" si="86"/>
        <v>9</v>
      </c>
      <c r="R927" s="331" t="str">
        <f t="shared" si="87"/>
        <v>Gastos_custeados_por_captação</v>
      </c>
      <c r="S927" s="331" t="str">
        <f>IF(D927="","",IF(OR(D927=Plano!$A$1,D927=Plano!$B$1),"entrada","saída"))</f>
        <v>saída</v>
      </c>
      <c r="T927" s="332" t="s">
        <v>114</v>
      </c>
      <c r="U927" s="332" t="s">
        <v>114</v>
      </c>
      <c r="V927" s="439"/>
      <c r="W927" s="439"/>
      <c r="X927" s="439"/>
      <c r="Y927" s="439"/>
      <c r="Z927" s="439"/>
      <c r="AA927" s="439"/>
      <c r="AB927" s="439"/>
      <c r="AC927" s="439"/>
      <c r="AD927" s="439"/>
      <c r="AE927" s="439"/>
      <c r="AF927" s="439"/>
      <c r="AG927" s="439"/>
      <c r="AH927" s="439"/>
      <c r="AI927" s="439"/>
      <c r="AJ927" s="439"/>
      <c r="AK927" s="439"/>
      <c r="AL927" s="439"/>
      <c r="AM927" s="439"/>
    </row>
    <row r="928" spans="1:39" s="478" customFormat="1" ht="73.5" customHeight="1" x14ac:dyDescent="0.2">
      <c r="A928" s="277">
        <f>IF(B928="","",COUNT('Diário 5º PA'!$A$5:$A$2634)+COUNT('Diário 6º PA'!$A$5:$A$2246)+ROW()-4)</f>
        <v>3467</v>
      </c>
      <c r="B928" s="278">
        <v>44442</v>
      </c>
      <c r="C928" s="249">
        <v>44440</v>
      </c>
      <c r="D928" s="250" t="s">
        <v>104</v>
      </c>
      <c r="E928" s="250" t="s">
        <v>104</v>
      </c>
      <c r="F928" s="258">
        <v>10.45</v>
      </c>
      <c r="G928" s="450" t="s">
        <v>5451</v>
      </c>
      <c r="H928" s="250" t="s">
        <v>104</v>
      </c>
      <c r="I928" s="250" t="s">
        <v>949</v>
      </c>
      <c r="J928" s="255" t="s">
        <v>950</v>
      </c>
      <c r="K928" s="255" t="s">
        <v>951</v>
      </c>
      <c r="L928" s="250" t="s">
        <v>947</v>
      </c>
      <c r="M928" s="336" t="s">
        <v>114</v>
      </c>
      <c r="N928" s="278">
        <v>44442</v>
      </c>
      <c r="O928" s="329" t="s">
        <v>5377</v>
      </c>
      <c r="P928" s="330">
        <f t="shared" si="85"/>
        <v>9</v>
      </c>
      <c r="Q928" s="330">
        <f t="shared" si="86"/>
        <v>9</v>
      </c>
      <c r="R928" s="331" t="str">
        <f t="shared" si="87"/>
        <v>Gastos_custeados_por_captação</v>
      </c>
      <c r="S928" s="331" t="str">
        <f>IF(D928="","",IF(OR(D928=Plano!$A$1,D928=Plano!$B$1),"entrada","saída"))</f>
        <v>saída</v>
      </c>
      <c r="T928" s="332" t="s">
        <v>114</v>
      </c>
      <c r="U928" s="332" t="s">
        <v>114</v>
      </c>
      <c r="V928" s="439"/>
      <c r="W928" s="439"/>
      <c r="X928" s="439"/>
      <c r="Y928" s="439"/>
      <c r="Z928" s="439"/>
      <c r="AA928" s="439"/>
      <c r="AB928" s="439"/>
      <c r="AC928" s="439"/>
      <c r="AD928" s="439"/>
      <c r="AE928" s="439"/>
      <c r="AF928" s="439"/>
      <c r="AG928" s="439"/>
      <c r="AH928" s="439"/>
      <c r="AI928" s="439"/>
      <c r="AJ928" s="439"/>
      <c r="AK928" s="439"/>
      <c r="AL928" s="439"/>
      <c r="AM928" s="439"/>
    </row>
    <row r="929" spans="1:39" s="478" customFormat="1" ht="73.5" customHeight="1" x14ac:dyDescent="0.2">
      <c r="A929" s="277">
        <f>IF(B929="","",COUNT('Diário 5º PA'!$A$5:$A$2634)+COUNT('Diário 6º PA'!$A$5:$A$2246)+ROW()-4)</f>
        <v>3468</v>
      </c>
      <c r="B929" s="278">
        <v>44442</v>
      </c>
      <c r="C929" s="249">
        <v>44440</v>
      </c>
      <c r="D929" s="250" t="s">
        <v>104</v>
      </c>
      <c r="E929" s="250" t="s">
        <v>104</v>
      </c>
      <c r="F929" s="258">
        <v>10.45</v>
      </c>
      <c r="G929" s="450" t="s">
        <v>5451</v>
      </c>
      <c r="H929" s="250" t="s">
        <v>104</v>
      </c>
      <c r="I929" s="250" t="s">
        <v>949</v>
      </c>
      <c r="J929" s="255" t="s">
        <v>950</v>
      </c>
      <c r="K929" s="255" t="s">
        <v>951</v>
      </c>
      <c r="L929" s="250" t="s">
        <v>947</v>
      </c>
      <c r="M929" s="336" t="s">
        <v>114</v>
      </c>
      <c r="N929" s="278">
        <v>44442</v>
      </c>
      <c r="O929" s="329" t="s">
        <v>5377</v>
      </c>
      <c r="P929" s="330">
        <f t="shared" si="85"/>
        <v>9</v>
      </c>
      <c r="Q929" s="330">
        <f t="shared" si="86"/>
        <v>9</v>
      </c>
      <c r="R929" s="331" t="str">
        <f t="shared" si="87"/>
        <v>Gastos_custeados_por_captação</v>
      </c>
      <c r="S929" s="331" t="str">
        <f>IF(D929="","",IF(OR(D929=Plano!$A$1,D929=Plano!$B$1),"entrada","saída"))</f>
        <v>saída</v>
      </c>
      <c r="T929" s="332" t="s">
        <v>114</v>
      </c>
      <c r="U929" s="332" t="s">
        <v>114</v>
      </c>
      <c r="V929" s="439"/>
      <c r="W929" s="439"/>
      <c r="X929" s="439"/>
      <c r="Y929" s="439"/>
      <c r="Z929" s="439"/>
      <c r="AA929" s="439"/>
      <c r="AB929" s="439"/>
      <c r="AC929" s="439"/>
      <c r="AD929" s="439"/>
      <c r="AE929" s="439"/>
      <c r="AF929" s="439"/>
      <c r="AG929" s="439"/>
      <c r="AH929" s="439"/>
      <c r="AI929" s="439"/>
      <c r="AJ929" s="439"/>
      <c r="AK929" s="439"/>
      <c r="AL929" s="439"/>
      <c r="AM929" s="439"/>
    </row>
    <row r="930" spans="1:39" s="478" customFormat="1" ht="73.5" customHeight="1" x14ac:dyDescent="0.2">
      <c r="A930" s="277">
        <f>IF(B930="","",COUNT('Diário 5º PA'!$A$5:$A$2634)+COUNT('Diário 6º PA'!$A$5:$A$2246)+ROW()-4)</f>
        <v>3469</v>
      </c>
      <c r="B930" s="278">
        <v>44442</v>
      </c>
      <c r="C930" s="249">
        <v>44440</v>
      </c>
      <c r="D930" s="250" t="s">
        <v>104</v>
      </c>
      <c r="E930" s="250" t="s">
        <v>104</v>
      </c>
      <c r="F930" s="258">
        <v>10.45</v>
      </c>
      <c r="G930" s="450" t="s">
        <v>5451</v>
      </c>
      <c r="H930" s="250" t="s">
        <v>104</v>
      </c>
      <c r="I930" s="250" t="s">
        <v>949</v>
      </c>
      <c r="J930" s="255" t="s">
        <v>950</v>
      </c>
      <c r="K930" s="255" t="s">
        <v>951</v>
      </c>
      <c r="L930" s="250" t="s">
        <v>947</v>
      </c>
      <c r="M930" s="336" t="s">
        <v>114</v>
      </c>
      <c r="N930" s="278">
        <v>44442</v>
      </c>
      <c r="O930" s="329" t="s">
        <v>5377</v>
      </c>
      <c r="P930" s="330">
        <f t="shared" ref="P930" si="88">IF(B930=0,0,IF(YEAR(B930)=$Q$1,MONTH(B930)-$P$1+1,(YEAR(B930)-$Q$1)*12-$P$1+1+MONTH(B930)))</f>
        <v>9</v>
      </c>
      <c r="Q930" s="330">
        <f t="shared" ref="Q930" si="89">IF(C930=0,0,IF(YEAR(C930)=$Q$1,MONTH(C930)-$P$1+1,(YEAR(C930)-$Q$1)*12-$P$1+1+MONTH(C930)))</f>
        <v>9</v>
      </c>
      <c r="R930" s="331" t="str">
        <f t="shared" ref="R930" si="90">SUBSTITUTE(D930," ","_")</f>
        <v>Gastos_custeados_por_captação</v>
      </c>
      <c r="S930" s="331" t="str">
        <f>IF(D930="","",IF(OR(D930=Plano!$A$1,D930=Plano!$B$1),"entrada","saída"))</f>
        <v>saída</v>
      </c>
      <c r="T930" s="332" t="s">
        <v>114</v>
      </c>
      <c r="U930" s="332" t="s">
        <v>114</v>
      </c>
      <c r="V930" s="439"/>
      <c r="W930" s="439"/>
      <c r="X930" s="439"/>
      <c r="Y930" s="439"/>
      <c r="Z930" s="439"/>
      <c r="AA930" s="439"/>
      <c r="AB930" s="439"/>
      <c r="AC930" s="439"/>
      <c r="AD930" s="439"/>
      <c r="AE930" s="439"/>
      <c r="AF930" s="439"/>
      <c r="AG930" s="439"/>
      <c r="AH930" s="439"/>
      <c r="AI930" s="439"/>
      <c r="AJ930" s="439"/>
      <c r="AK930" s="439"/>
      <c r="AL930" s="439"/>
      <c r="AM930" s="439"/>
    </row>
    <row r="931" spans="1:39" ht="75" customHeight="1" x14ac:dyDescent="0.2">
      <c r="A931" s="277">
        <f>IF(B931="","",COUNT('Diário 5º PA'!$A$5:$A$2634)+COUNT('Diário 6º PA'!$A$5:$A$2246)+ROW()-4)</f>
        <v>3470</v>
      </c>
      <c r="B931" s="278">
        <v>44445</v>
      </c>
      <c r="C931" s="335">
        <v>44409</v>
      </c>
      <c r="D931" s="255" t="s">
        <v>88</v>
      </c>
      <c r="E931" s="255" t="s">
        <v>171</v>
      </c>
      <c r="F931" s="258">
        <v>-2203.06</v>
      </c>
      <c r="G931" s="450" t="s">
        <v>2211</v>
      </c>
      <c r="H931" s="255" t="s">
        <v>114</v>
      </c>
      <c r="I931" s="250" t="s">
        <v>983</v>
      </c>
      <c r="J931" s="255" t="s">
        <v>850</v>
      </c>
      <c r="K931" s="255" t="s">
        <v>946</v>
      </c>
      <c r="L931" s="250" t="s">
        <v>947</v>
      </c>
      <c r="M931" s="277" t="s">
        <v>114</v>
      </c>
      <c r="N931" s="278">
        <v>44445</v>
      </c>
      <c r="O931" s="329" t="s">
        <v>67</v>
      </c>
      <c r="P931" s="330">
        <f t="shared" si="67"/>
        <v>9</v>
      </c>
      <c r="Q931" s="330">
        <f t="shared" si="68"/>
        <v>8</v>
      </c>
      <c r="R931" s="331" t="str">
        <f t="shared" si="69"/>
        <v>Gastos_com_Pessoal</v>
      </c>
      <c r="S931" s="331" t="str">
        <f>IF(D931="","",IF(OR(D931=Plano!$A$1,D931=Plano!$B$1),"entrada","saída"))</f>
        <v>saída</v>
      </c>
      <c r="T931" s="332" t="s">
        <v>114</v>
      </c>
      <c r="U931" s="332" t="s">
        <v>114</v>
      </c>
      <c r="V931" s="269"/>
      <c r="W931" s="269"/>
      <c r="X931" s="269"/>
      <c r="Y931" s="269"/>
      <c r="Z931" s="269"/>
      <c r="AA931" s="269"/>
      <c r="AB931" s="269"/>
      <c r="AC931" s="269"/>
      <c r="AD931" s="269"/>
      <c r="AE931" s="269"/>
      <c r="AF931" s="269"/>
      <c r="AG931" s="269"/>
      <c r="AH931" s="269"/>
      <c r="AI931" s="269"/>
      <c r="AJ931" s="269"/>
      <c r="AK931" s="269"/>
      <c r="AL931" s="269"/>
      <c r="AM931" s="269"/>
    </row>
    <row r="932" spans="1:39" ht="86.25" customHeight="1" x14ac:dyDescent="0.2">
      <c r="A932" s="277">
        <f>IF(B932="","",COUNT('Diário 5º PA'!$A$5:$A$2634)+COUNT('Diário 6º PA'!$A$5:$A$2246)+ROW()-4)</f>
        <v>3471</v>
      </c>
      <c r="B932" s="278">
        <v>44445</v>
      </c>
      <c r="C932" s="335">
        <v>44409</v>
      </c>
      <c r="D932" s="255" t="s">
        <v>99</v>
      </c>
      <c r="E932" s="255" t="s">
        <v>228</v>
      </c>
      <c r="F932" s="257">
        <v>-1261.08</v>
      </c>
      <c r="G932" s="451" t="s">
        <v>2212</v>
      </c>
      <c r="H932" s="255" t="s">
        <v>115</v>
      </c>
      <c r="I932" s="250" t="s">
        <v>983</v>
      </c>
      <c r="J932" s="255" t="s">
        <v>850</v>
      </c>
      <c r="K932" s="255" t="s">
        <v>1069</v>
      </c>
      <c r="L932" s="250" t="s">
        <v>947</v>
      </c>
      <c r="M932" s="277" t="s">
        <v>114</v>
      </c>
      <c r="N932" s="278">
        <v>44445</v>
      </c>
      <c r="O932" s="329" t="s">
        <v>67</v>
      </c>
      <c r="P932" s="330">
        <f t="shared" si="67"/>
        <v>9</v>
      </c>
      <c r="Q932" s="330">
        <f t="shared" si="68"/>
        <v>8</v>
      </c>
      <c r="R932" s="331" t="str">
        <f t="shared" si="69"/>
        <v>Gastos_Gerais</v>
      </c>
      <c r="S932" s="331" t="str">
        <f>IF(D932="","",IF(OR(D932=Plano!$A$1,D932=Plano!$B$1),"entrada","saída"))</f>
        <v>saída</v>
      </c>
      <c r="T932" s="332" t="s">
        <v>114</v>
      </c>
      <c r="U932" s="332" t="s">
        <v>114</v>
      </c>
      <c r="V932" s="269"/>
      <c r="W932" s="269"/>
      <c r="X932" s="269"/>
      <c r="Y932" s="269"/>
      <c r="Z932" s="269"/>
      <c r="AA932" s="269"/>
      <c r="AB932" s="269"/>
      <c r="AC932" s="269"/>
      <c r="AD932" s="269"/>
      <c r="AE932" s="269"/>
      <c r="AF932" s="269"/>
      <c r="AG932" s="269"/>
      <c r="AH932" s="269"/>
      <c r="AI932" s="269"/>
      <c r="AJ932" s="269"/>
      <c r="AK932" s="269"/>
      <c r="AL932" s="269"/>
      <c r="AM932" s="269"/>
    </row>
    <row r="933" spans="1:39" ht="62.25" customHeight="1" x14ac:dyDescent="0.2">
      <c r="A933" s="277">
        <f>IF(B933="","",COUNT('Diário 5º PA'!$A$5:$A$2634)+COUNT('Diário 6º PA'!$A$5:$A$2246)+ROW()-4)</f>
        <v>3472</v>
      </c>
      <c r="B933" s="278">
        <v>44445</v>
      </c>
      <c r="C933" s="335">
        <v>44409</v>
      </c>
      <c r="D933" s="255" t="s">
        <v>88</v>
      </c>
      <c r="E933" s="255" t="s">
        <v>171</v>
      </c>
      <c r="F933" s="258">
        <v>-89.84</v>
      </c>
      <c r="G933" s="450" t="s">
        <v>1251</v>
      </c>
      <c r="H933" s="255" t="s">
        <v>114</v>
      </c>
      <c r="I933" s="250" t="s">
        <v>983</v>
      </c>
      <c r="J933" s="255" t="s">
        <v>850</v>
      </c>
      <c r="K933" s="255" t="s">
        <v>946</v>
      </c>
      <c r="L933" s="250" t="s">
        <v>947</v>
      </c>
      <c r="M933" s="277" t="s">
        <v>114</v>
      </c>
      <c r="N933" s="278">
        <v>44445</v>
      </c>
      <c r="O933" s="329" t="s">
        <v>67</v>
      </c>
      <c r="P933" s="330">
        <f t="shared" si="67"/>
        <v>9</v>
      </c>
      <c r="Q933" s="330">
        <f t="shared" si="68"/>
        <v>8</v>
      </c>
      <c r="R933" s="331" t="str">
        <f t="shared" si="69"/>
        <v>Gastos_com_Pessoal</v>
      </c>
      <c r="S933" s="331" t="str">
        <f>IF(D933="","",IF(OR(D933=Plano!$A$1,D933=Plano!$B$1),"entrada","saída"))</f>
        <v>saída</v>
      </c>
      <c r="T933" s="332" t="s">
        <v>114</v>
      </c>
      <c r="U933" s="332" t="s">
        <v>114</v>
      </c>
      <c r="V933" s="269"/>
      <c r="W933" s="269"/>
      <c r="X933" s="269"/>
      <c r="Y933" s="269"/>
      <c r="Z933" s="269"/>
      <c r="AA933" s="269"/>
      <c r="AB933" s="269"/>
      <c r="AC933" s="269"/>
      <c r="AD933" s="269"/>
      <c r="AE933" s="269"/>
      <c r="AF933" s="269"/>
      <c r="AG933" s="269"/>
      <c r="AH933" s="269"/>
      <c r="AI933" s="269"/>
      <c r="AJ933" s="269"/>
      <c r="AK933" s="269"/>
      <c r="AL933" s="269"/>
      <c r="AM933" s="269"/>
    </row>
    <row r="934" spans="1:39" ht="42" customHeight="1" x14ac:dyDescent="0.2">
      <c r="A934" s="277">
        <f>IF(B934="","",COUNT('Diário 5º PA'!$A$5:$A$2634)+COUNT('Diário 6º PA'!$A$5:$A$2246)+ROW()-4)</f>
        <v>3473</v>
      </c>
      <c r="B934" s="278">
        <v>44445</v>
      </c>
      <c r="C934" s="335">
        <v>44409</v>
      </c>
      <c r="D934" s="255" t="s">
        <v>88</v>
      </c>
      <c r="E934" s="255" t="s">
        <v>171</v>
      </c>
      <c r="F934" s="258">
        <v>15212.22</v>
      </c>
      <c r="G934" s="450" t="s">
        <v>2213</v>
      </c>
      <c r="H934" s="255" t="s">
        <v>114</v>
      </c>
      <c r="I934" s="250" t="s">
        <v>1259</v>
      </c>
      <c r="J934" s="255" t="s">
        <v>114</v>
      </c>
      <c r="K934" s="255" t="s">
        <v>466</v>
      </c>
      <c r="L934" s="250" t="s">
        <v>171</v>
      </c>
      <c r="M934" s="278" t="s">
        <v>114</v>
      </c>
      <c r="N934" s="278">
        <v>44445</v>
      </c>
      <c r="O934" s="329" t="s">
        <v>67</v>
      </c>
      <c r="P934" s="330">
        <f t="shared" si="67"/>
        <v>9</v>
      </c>
      <c r="Q934" s="330">
        <f t="shared" si="68"/>
        <v>8</v>
      </c>
      <c r="R934" s="331" t="str">
        <f t="shared" si="69"/>
        <v>Gastos_com_Pessoal</v>
      </c>
      <c r="S934" s="331" t="str">
        <f>IF(D934="","",IF(OR(D934=Plano!$A$1,D934=Plano!$B$1),"entrada","saída"))</f>
        <v>saída</v>
      </c>
      <c r="T934" s="332" t="s">
        <v>114</v>
      </c>
      <c r="U934" s="332" t="s">
        <v>114</v>
      </c>
      <c r="V934" s="269"/>
      <c r="W934" s="269"/>
      <c r="X934" s="269"/>
      <c r="Y934" s="269"/>
      <c r="Z934" s="269"/>
      <c r="AA934" s="269"/>
      <c r="AB934" s="269"/>
      <c r="AC934" s="269"/>
      <c r="AD934" s="269"/>
      <c r="AE934" s="269"/>
      <c r="AF934" s="269"/>
      <c r="AG934" s="269"/>
      <c r="AH934" s="269"/>
      <c r="AI934" s="269"/>
      <c r="AJ934" s="269"/>
      <c r="AK934" s="269"/>
      <c r="AL934" s="269"/>
      <c r="AM934" s="269"/>
    </row>
    <row r="935" spans="1:39" ht="38.25" customHeight="1" x14ac:dyDescent="0.2">
      <c r="A935" s="277">
        <f>IF(B935="","",COUNT('Diário 5º PA'!$A$5:$A$2634)+COUNT('Diário 6º PA'!$A$5:$A$2246)+ROW()-4)</f>
        <v>3474</v>
      </c>
      <c r="B935" s="278">
        <v>44445</v>
      </c>
      <c r="C935" s="335">
        <v>44409</v>
      </c>
      <c r="D935" s="255" t="s">
        <v>99</v>
      </c>
      <c r="E935" s="255" t="s">
        <v>216</v>
      </c>
      <c r="F935" s="258">
        <v>103.61</v>
      </c>
      <c r="G935" s="450" t="s">
        <v>2214</v>
      </c>
      <c r="H935" s="255" t="s">
        <v>129</v>
      </c>
      <c r="I935" s="250" t="s">
        <v>513</v>
      </c>
      <c r="J935" s="252" t="s">
        <v>514</v>
      </c>
      <c r="K935" s="255" t="s">
        <v>696</v>
      </c>
      <c r="L935" s="250" t="s">
        <v>697</v>
      </c>
      <c r="M935" s="277">
        <v>63291863</v>
      </c>
      <c r="N935" s="278">
        <v>44425</v>
      </c>
      <c r="O935" s="329" t="s">
        <v>67</v>
      </c>
      <c r="P935" s="330">
        <f t="shared" si="67"/>
        <v>9</v>
      </c>
      <c r="Q935" s="330">
        <f t="shared" si="68"/>
        <v>8</v>
      </c>
      <c r="R935" s="331" t="str">
        <f t="shared" si="69"/>
        <v>Gastos_Gerais</v>
      </c>
      <c r="S935" s="331" t="str">
        <f>IF(D935="","",IF(OR(D935=Plano!$A$1,D935=Plano!$B$1),"entrada","saída"))</f>
        <v>saída</v>
      </c>
      <c r="T935" s="332" t="s">
        <v>114</v>
      </c>
      <c r="U935" s="332" t="s">
        <v>114</v>
      </c>
      <c r="V935" s="269"/>
      <c r="W935" s="269"/>
      <c r="X935" s="269"/>
      <c r="Y935" s="269"/>
      <c r="Z935" s="269"/>
      <c r="AA935" s="269"/>
      <c r="AB935" s="269"/>
      <c r="AC935" s="269"/>
      <c r="AD935" s="269"/>
      <c r="AE935" s="269"/>
      <c r="AF935" s="269"/>
      <c r="AG935" s="269"/>
      <c r="AH935" s="269"/>
      <c r="AI935" s="269"/>
      <c r="AJ935" s="269"/>
      <c r="AK935" s="269"/>
      <c r="AL935" s="269"/>
      <c r="AM935" s="269"/>
    </row>
    <row r="936" spans="1:39" ht="46.5" customHeight="1" x14ac:dyDescent="0.2">
      <c r="A936" s="277">
        <f>IF(B936="","",COUNT('Diário 5º PA'!$A$5:$A$2634)+COUNT('Diário 6º PA'!$A$5:$A$2246)+ROW()-4)</f>
        <v>3475</v>
      </c>
      <c r="B936" s="278">
        <v>44445</v>
      </c>
      <c r="C936" s="249">
        <v>44409</v>
      </c>
      <c r="D936" s="250" t="s">
        <v>99</v>
      </c>
      <c r="E936" s="250" t="s">
        <v>330</v>
      </c>
      <c r="F936" s="251">
        <v>19905.97</v>
      </c>
      <c r="G936" s="452" t="s">
        <v>2215</v>
      </c>
      <c r="H936" s="250" t="s">
        <v>129</v>
      </c>
      <c r="I936" s="252" t="s">
        <v>558</v>
      </c>
      <c r="J936" s="250" t="s">
        <v>559</v>
      </c>
      <c r="K936" s="250" t="s">
        <v>560</v>
      </c>
      <c r="L936" s="250" t="s">
        <v>114</v>
      </c>
      <c r="M936" s="277" t="s">
        <v>114</v>
      </c>
      <c r="N936" s="278">
        <v>44222</v>
      </c>
      <c r="O936" s="329" t="s">
        <v>67</v>
      </c>
      <c r="P936" s="330">
        <f t="shared" si="67"/>
        <v>9</v>
      </c>
      <c r="Q936" s="330">
        <f t="shared" si="68"/>
        <v>8</v>
      </c>
      <c r="R936" s="331" t="str">
        <f t="shared" si="69"/>
        <v>Gastos_Gerais</v>
      </c>
      <c r="S936" s="331" t="str">
        <f>IF(D936="","",IF(OR(D936=Plano!$A$1,D936=Plano!$B$1),"entrada","saída"))</f>
        <v>saída</v>
      </c>
      <c r="T936" s="332" t="s">
        <v>114</v>
      </c>
      <c r="U936" s="332" t="s">
        <v>114</v>
      </c>
      <c r="V936" s="269"/>
      <c r="W936" s="269"/>
      <c r="X936" s="269"/>
      <c r="Y936" s="269"/>
      <c r="Z936" s="269"/>
      <c r="AA936" s="269"/>
      <c r="AB936" s="269"/>
      <c r="AC936" s="269"/>
      <c r="AD936" s="269"/>
      <c r="AE936" s="269"/>
      <c r="AF936" s="269"/>
      <c r="AG936" s="269"/>
      <c r="AH936" s="269"/>
      <c r="AI936" s="269"/>
      <c r="AJ936" s="269"/>
      <c r="AK936" s="269"/>
      <c r="AL936" s="269"/>
      <c r="AM936" s="269"/>
    </row>
    <row r="937" spans="1:39" ht="107.25" customHeight="1" x14ac:dyDescent="0.2">
      <c r="A937" s="277">
        <f>IF(B937="","",COUNT('Diário 5º PA'!$A$5:$A$2634)+COUNT('Diário 6º PA'!$A$5:$A$2246)+ROW()-4)</f>
        <v>3476</v>
      </c>
      <c r="B937" s="278">
        <v>44445</v>
      </c>
      <c r="C937" s="249">
        <v>44409</v>
      </c>
      <c r="D937" s="250" t="s">
        <v>99</v>
      </c>
      <c r="E937" s="250" t="s">
        <v>228</v>
      </c>
      <c r="F937" s="251">
        <v>4481.33</v>
      </c>
      <c r="G937" s="452" t="s">
        <v>492</v>
      </c>
      <c r="H937" s="250" t="s">
        <v>115</v>
      </c>
      <c r="I937" s="252" t="s">
        <v>493</v>
      </c>
      <c r="J937" s="250" t="s">
        <v>494</v>
      </c>
      <c r="K937" s="255" t="s">
        <v>991</v>
      </c>
      <c r="L937" s="250" t="s">
        <v>1016</v>
      </c>
      <c r="M937" s="277" t="s">
        <v>2216</v>
      </c>
      <c r="N937" s="278">
        <v>44433</v>
      </c>
      <c r="O937" s="329" t="s">
        <v>67</v>
      </c>
      <c r="P937" s="330">
        <f t="shared" si="67"/>
        <v>9</v>
      </c>
      <c r="Q937" s="330">
        <f t="shared" si="68"/>
        <v>8</v>
      </c>
      <c r="R937" s="331" t="str">
        <f t="shared" si="69"/>
        <v>Gastos_Gerais</v>
      </c>
      <c r="S937" s="331" t="str">
        <f>IF(D937="","",IF(OR(D937=Plano!$A$1,D937=Plano!$B$1),"entrada","saída"))</f>
        <v>saída</v>
      </c>
      <c r="T937" s="334" t="s">
        <v>1059</v>
      </c>
      <c r="U937" s="334">
        <v>1114</v>
      </c>
      <c r="V937" s="269"/>
      <c r="W937" s="269"/>
      <c r="X937" s="269"/>
      <c r="Y937" s="269"/>
      <c r="Z937" s="269"/>
      <c r="AA937" s="269"/>
      <c r="AB937" s="269"/>
      <c r="AC937" s="269"/>
      <c r="AD937" s="269"/>
      <c r="AE937" s="269"/>
      <c r="AF937" s="269"/>
      <c r="AG937" s="269"/>
      <c r="AH937" s="269"/>
      <c r="AI937" s="269"/>
      <c r="AJ937" s="269"/>
      <c r="AK937" s="269"/>
      <c r="AL937" s="269"/>
      <c r="AM937" s="269"/>
    </row>
    <row r="938" spans="1:39" ht="36" customHeight="1" x14ac:dyDescent="0.2">
      <c r="A938" s="277">
        <f>IF(B938="","",COUNT('Diário 5º PA'!$A$5:$A$2634)+COUNT('Diário 6º PA'!$A$5:$A$2246)+ROW()-4)</f>
        <v>3477</v>
      </c>
      <c r="B938" s="278">
        <v>44445</v>
      </c>
      <c r="C938" s="249">
        <v>44440</v>
      </c>
      <c r="D938" s="255" t="s">
        <v>88</v>
      </c>
      <c r="E938" s="255" t="s">
        <v>177</v>
      </c>
      <c r="F938" s="258">
        <v>692.52</v>
      </c>
      <c r="G938" s="450" t="s">
        <v>2217</v>
      </c>
      <c r="H938" s="255" t="s">
        <v>114</v>
      </c>
      <c r="I938" s="250" t="s">
        <v>1203</v>
      </c>
      <c r="J938" s="250" t="s">
        <v>1204</v>
      </c>
      <c r="K938" s="255" t="s">
        <v>991</v>
      </c>
      <c r="L938" s="250" t="s">
        <v>1347</v>
      </c>
      <c r="M938" s="277" t="s">
        <v>114</v>
      </c>
      <c r="N938" s="278">
        <v>44445</v>
      </c>
      <c r="O938" s="329" t="s">
        <v>67</v>
      </c>
      <c r="P938" s="330">
        <f t="shared" si="67"/>
        <v>9</v>
      </c>
      <c r="Q938" s="330">
        <f t="shared" si="68"/>
        <v>9</v>
      </c>
      <c r="R938" s="331" t="str">
        <f t="shared" si="69"/>
        <v>Gastos_com_Pessoal</v>
      </c>
      <c r="S938" s="331" t="str">
        <f>IF(D938="","",IF(OR(D938=Plano!$A$1,D938=Plano!$B$1),"entrada","saída"))</f>
        <v>saída</v>
      </c>
      <c r="T938" s="332" t="s">
        <v>114</v>
      </c>
      <c r="U938" s="332" t="s">
        <v>114</v>
      </c>
      <c r="V938" s="269"/>
      <c r="W938" s="269"/>
      <c r="X938" s="269"/>
      <c r="Y938" s="269"/>
      <c r="Z938" s="269"/>
      <c r="AA938" s="269"/>
      <c r="AB938" s="269"/>
      <c r="AC938" s="269"/>
      <c r="AD938" s="269"/>
      <c r="AE938" s="269"/>
      <c r="AF938" s="269"/>
      <c r="AG938" s="269"/>
      <c r="AH938" s="269"/>
      <c r="AI938" s="269"/>
      <c r="AJ938" s="269"/>
      <c r="AK938" s="269"/>
      <c r="AL938" s="269"/>
      <c r="AM938" s="269"/>
    </row>
    <row r="939" spans="1:39" ht="46.5" customHeight="1" x14ac:dyDescent="0.2">
      <c r="A939" s="277">
        <f>IF(B939="","",COUNT('Diário 5º PA'!$A$5:$A$2634)+COUNT('Diário 6º PA'!$A$5:$A$2246)+ROW()-4)</f>
        <v>3478</v>
      </c>
      <c r="B939" s="278">
        <v>44445</v>
      </c>
      <c r="C939" s="249">
        <v>44409</v>
      </c>
      <c r="D939" s="255" t="s">
        <v>88</v>
      </c>
      <c r="E939" s="255" t="s">
        <v>90</v>
      </c>
      <c r="F939" s="258">
        <v>8691.23</v>
      </c>
      <c r="G939" s="450" t="s">
        <v>2218</v>
      </c>
      <c r="H939" s="255" t="s">
        <v>114</v>
      </c>
      <c r="I939" s="250" t="s">
        <v>1181</v>
      </c>
      <c r="J939" s="255" t="s">
        <v>1182</v>
      </c>
      <c r="K939" s="255" t="s">
        <v>991</v>
      </c>
      <c r="L939" s="250" t="s">
        <v>1183</v>
      </c>
      <c r="M939" s="277" t="s">
        <v>114</v>
      </c>
      <c r="N939" s="278">
        <v>44445</v>
      </c>
      <c r="O939" s="329" t="s">
        <v>67</v>
      </c>
      <c r="P939" s="330">
        <f t="shared" si="67"/>
        <v>9</v>
      </c>
      <c r="Q939" s="330">
        <f t="shared" si="68"/>
        <v>8</v>
      </c>
      <c r="R939" s="331" t="str">
        <f t="shared" si="69"/>
        <v>Gastos_com_Pessoal</v>
      </c>
      <c r="S939" s="331" t="str">
        <f>IF(D939="","",IF(OR(D939=Plano!$A$1,D939=Plano!$B$1),"entrada","saída"))</f>
        <v>saída</v>
      </c>
      <c r="T939" s="332" t="s">
        <v>114</v>
      </c>
      <c r="U939" s="332" t="s">
        <v>114</v>
      </c>
      <c r="V939" s="269"/>
      <c r="W939" s="269"/>
      <c r="X939" s="269"/>
      <c r="Y939" s="269"/>
      <c r="Z939" s="269"/>
      <c r="AA939" s="269"/>
      <c r="AB939" s="269"/>
      <c r="AC939" s="269"/>
      <c r="AD939" s="269"/>
      <c r="AE939" s="269"/>
      <c r="AF939" s="269"/>
      <c r="AG939" s="269"/>
      <c r="AH939" s="269"/>
      <c r="AI939" s="269"/>
      <c r="AJ939" s="269"/>
      <c r="AK939" s="269"/>
      <c r="AL939" s="269"/>
      <c r="AM939" s="269"/>
    </row>
    <row r="940" spans="1:39" ht="36" customHeight="1" x14ac:dyDescent="0.2">
      <c r="A940" s="277">
        <f>IF(B940="","",COUNT('Diário 5º PA'!$A$5:$A$2634)+COUNT('Diário 6º PA'!$A$5:$A$2246)+ROW()-4)</f>
        <v>3479</v>
      </c>
      <c r="B940" s="278">
        <v>44445</v>
      </c>
      <c r="C940" s="249">
        <v>44409</v>
      </c>
      <c r="D940" s="255" t="s">
        <v>88</v>
      </c>
      <c r="E940" s="255" t="s">
        <v>90</v>
      </c>
      <c r="F940" s="258">
        <v>2073.86</v>
      </c>
      <c r="G940" s="450" t="s">
        <v>2219</v>
      </c>
      <c r="H940" s="255" t="s">
        <v>114</v>
      </c>
      <c r="I940" s="250" t="s">
        <v>1757</v>
      </c>
      <c r="J940" s="250" t="s">
        <v>1758</v>
      </c>
      <c r="K940" s="255" t="s">
        <v>991</v>
      </c>
      <c r="L940" s="250" t="s">
        <v>1183</v>
      </c>
      <c r="M940" s="277" t="s">
        <v>114</v>
      </c>
      <c r="N940" s="278">
        <v>44445</v>
      </c>
      <c r="O940" s="329" t="s">
        <v>67</v>
      </c>
      <c r="P940" s="330">
        <f t="shared" ref="P940:P1003" si="91">IF(B940=0,0,IF(YEAR(B940)=$Q$1,MONTH(B940)-$P$1+1,(YEAR(B940)-$Q$1)*12-$P$1+1+MONTH(B940)))</f>
        <v>9</v>
      </c>
      <c r="Q940" s="330">
        <f t="shared" ref="Q940:Q1003" si="92">IF(C940=0,0,IF(YEAR(C940)=$Q$1,MONTH(C940)-$P$1+1,(YEAR(C940)-$Q$1)*12-$P$1+1+MONTH(C940)))</f>
        <v>8</v>
      </c>
      <c r="R940" s="331" t="str">
        <f t="shared" ref="R940:R1003" si="93">SUBSTITUTE(D940," ","_")</f>
        <v>Gastos_com_Pessoal</v>
      </c>
      <c r="S940" s="331" t="str">
        <f>IF(D940="","",IF(OR(D940=Plano!$A$1,D940=Plano!$B$1),"entrada","saída"))</f>
        <v>saída</v>
      </c>
      <c r="T940" s="332" t="s">
        <v>114</v>
      </c>
      <c r="U940" s="332" t="s">
        <v>114</v>
      </c>
      <c r="V940" s="269"/>
      <c r="W940" s="269"/>
      <c r="X940" s="269"/>
      <c r="Y940" s="269"/>
      <c r="Z940" s="269"/>
      <c r="AA940" s="269"/>
      <c r="AB940" s="269"/>
      <c r="AC940" s="269"/>
      <c r="AD940" s="269"/>
      <c r="AE940" s="269"/>
      <c r="AF940" s="269"/>
      <c r="AG940" s="269"/>
      <c r="AH940" s="269"/>
      <c r="AI940" s="269"/>
      <c r="AJ940" s="269"/>
      <c r="AK940" s="269"/>
      <c r="AL940" s="269"/>
      <c r="AM940" s="269"/>
    </row>
    <row r="941" spans="1:39" ht="43.5" customHeight="1" x14ac:dyDescent="0.2">
      <c r="A941" s="277">
        <f>IF(B941="","",COUNT('Diário 5º PA'!$A$5:$A$2634)+COUNT('Diário 6º PA'!$A$5:$A$2246)+ROW()-4)</f>
        <v>3480</v>
      </c>
      <c r="B941" s="278">
        <v>44445</v>
      </c>
      <c r="C941" s="249">
        <v>44409</v>
      </c>
      <c r="D941" s="255" t="s">
        <v>88</v>
      </c>
      <c r="E941" s="255" t="s">
        <v>90</v>
      </c>
      <c r="F941" s="258">
        <v>3105.06</v>
      </c>
      <c r="G941" s="450" t="s">
        <v>2220</v>
      </c>
      <c r="H941" s="255" t="s">
        <v>114</v>
      </c>
      <c r="I941" s="250" t="s">
        <v>1185</v>
      </c>
      <c r="J941" s="250" t="s">
        <v>1186</v>
      </c>
      <c r="K941" s="255" t="s">
        <v>991</v>
      </c>
      <c r="L941" s="250" t="s">
        <v>1183</v>
      </c>
      <c r="M941" s="277" t="s">
        <v>114</v>
      </c>
      <c r="N941" s="278">
        <v>44445</v>
      </c>
      <c r="O941" s="329" t="s">
        <v>67</v>
      </c>
      <c r="P941" s="330">
        <f t="shared" si="91"/>
        <v>9</v>
      </c>
      <c r="Q941" s="330">
        <f t="shared" si="92"/>
        <v>8</v>
      </c>
      <c r="R941" s="331" t="str">
        <f t="shared" si="93"/>
        <v>Gastos_com_Pessoal</v>
      </c>
      <c r="S941" s="331" t="str">
        <f>IF(D941="","",IF(OR(D941=Plano!$A$1,D941=Plano!$B$1),"entrada","saída"))</f>
        <v>saída</v>
      </c>
      <c r="T941" s="332" t="s">
        <v>114</v>
      </c>
      <c r="U941" s="332" t="s">
        <v>114</v>
      </c>
      <c r="V941" s="269"/>
      <c r="W941" s="269"/>
      <c r="X941" s="269"/>
      <c r="Y941" s="269"/>
      <c r="Z941" s="269"/>
      <c r="AA941" s="269"/>
      <c r="AB941" s="269"/>
      <c r="AC941" s="269"/>
      <c r="AD941" s="269"/>
      <c r="AE941" s="269"/>
      <c r="AF941" s="269"/>
      <c r="AG941" s="269"/>
      <c r="AH941" s="269"/>
      <c r="AI941" s="269"/>
      <c r="AJ941" s="269"/>
      <c r="AK941" s="269"/>
      <c r="AL941" s="269"/>
      <c r="AM941" s="269"/>
    </row>
    <row r="942" spans="1:39" ht="36.75" customHeight="1" x14ac:dyDescent="0.2">
      <c r="A942" s="277">
        <f>IF(B942="","",COUNT('Diário 5º PA'!$A$5:$A$2634)+COUNT('Diário 6º PA'!$A$5:$A$2246)+ROW()-4)</f>
        <v>3481</v>
      </c>
      <c r="B942" s="278">
        <v>44445</v>
      </c>
      <c r="C942" s="249">
        <v>44409</v>
      </c>
      <c r="D942" s="255" t="s">
        <v>88</v>
      </c>
      <c r="E942" s="255" t="s">
        <v>90</v>
      </c>
      <c r="F942" s="258">
        <v>1974.47</v>
      </c>
      <c r="G942" s="450" t="s">
        <v>2221</v>
      </c>
      <c r="H942" s="255" t="s">
        <v>114</v>
      </c>
      <c r="I942" s="250" t="s">
        <v>2222</v>
      </c>
      <c r="J942" s="250" t="s">
        <v>2223</v>
      </c>
      <c r="K942" s="255" t="s">
        <v>991</v>
      </c>
      <c r="L942" s="250" t="s">
        <v>1183</v>
      </c>
      <c r="M942" s="277" t="s">
        <v>114</v>
      </c>
      <c r="N942" s="278">
        <v>44445</v>
      </c>
      <c r="O942" s="329" t="s">
        <v>67</v>
      </c>
      <c r="P942" s="330">
        <f t="shared" si="91"/>
        <v>9</v>
      </c>
      <c r="Q942" s="330">
        <f t="shared" si="92"/>
        <v>8</v>
      </c>
      <c r="R942" s="331" t="str">
        <f t="shared" si="93"/>
        <v>Gastos_com_Pessoal</v>
      </c>
      <c r="S942" s="331" t="str">
        <f>IF(D942="","",IF(OR(D942=Plano!$A$1,D942=Plano!$B$1),"entrada","saída"))</f>
        <v>saída</v>
      </c>
      <c r="T942" s="332" t="s">
        <v>114</v>
      </c>
      <c r="U942" s="332" t="s">
        <v>114</v>
      </c>
      <c r="V942" s="269"/>
      <c r="W942" s="269"/>
      <c r="X942" s="269"/>
      <c r="Y942" s="269"/>
      <c r="Z942" s="269"/>
      <c r="AA942" s="269"/>
      <c r="AB942" s="269"/>
      <c r="AC942" s="269"/>
      <c r="AD942" s="269"/>
      <c r="AE942" s="269"/>
      <c r="AF942" s="269"/>
      <c r="AG942" s="269"/>
      <c r="AH942" s="269"/>
      <c r="AI942" s="269"/>
      <c r="AJ942" s="269"/>
      <c r="AK942" s="269"/>
      <c r="AL942" s="269"/>
      <c r="AM942" s="269"/>
    </row>
    <row r="943" spans="1:39" ht="44.25" customHeight="1" x14ac:dyDescent="0.2">
      <c r="A943" s="277">
        <f>IF(B943="","",COUNT('Diário 5º PA'!$A$5:$A$2634)+COUNT('Diário 6º PA'!$A$5:$A$2246)+ROW()-4)</f>
        <v>3482</v>
      </c>
      <c r="B943" s="278">
        <v>44445</v>
      </c>
      <c r="C943" s="249">
        <v>44409</v>
      </c>
      <c r="D943" s="255" t="s">
        <v>88</v>
      </c>
      <c r="E943" s="255" t="s">
        <v>90</v>
      </c>
      <c r="F943" s="258">
        <v>2012.64</v>
      </c>
      <c r="G943" s="450" t="s">
        <v>2224</v>
      </c>
      <c r="H943" s="255" t="s">
        <v>114</v>
      </c>
      <c r="I943" s="250" t="s">
        <v>2225</v>
      </c>
      <c r="J943" s="250" t="s">
        <v>2226</v>
      </c>
      <c r="K943" s="255" t="s">
        <v>991</v>
      </c>
      <c r="L943" s="250" t="s">
        <v>1183</v>
      </c>
      <c r="M943" s="277" t="s">
        <v>114</v>
      </c>
      <c r="N943" s="278">
        <v>44445</v>
      </c>
      <c r="O943" s="329" t="s">
        <v>67</v>
      </c>
      <c r="P943" s="330">
        <f t="shared" si="91"/>
        <v>9</v>
      </c>
      <c r="Q943" s="330">
        <f t="shared" si="92"/>
        <v>8</v>
      </c>
      <c r="R943" s="331" t="str">
        <f t="shared" si="93"/>
        <v>Gastos_com_Pessoal</v>
      </c>
      <c r="S943" s="331" t="str">
        <f>IF(D943="","",IF(OR(D943=Plano!$A$1,D943=Plano!$B$1),"entrada","saída"))</f>
        <v>saída</v>
      </c>
      <c r="T943" s="332" t="s">
        <v>114</v>
      </c>
      <c r="U943" s="332" t="s">
        <v>114</v>
      </c>
      <c r="V943" s="269"/>
      <c r="W943" s="269"/>
      <c r="X943" s="269"/>
      <c r="Y943" s="269"/>
      <c r="Z943" s="269"/>
      <c r="AA943" s="269"/>
      <c r="AB943" s="269"/>
      <c r="AC943" s="269"/>
      <c r="AD943" s="269"/>
      <c r="AE943" s="269"/>
      <c r="AF943" s="269"/>
      <c r="AG943" s="269"/>
      <c r="AH943" s="269"/>
      <c r="AI943" s="269"/>
      <c r="AJ943" s="269"/>
      <c r="AK943" s="269"/>
      <c r="AL943" s="269"/>
      <c r="AM943" s="269"/>
    </row>
    <row r="944" spans="1:39" ht="35.25" customHeight="1" x14ac:dyDescent="0.2">
      <c r="A944" s="277">
        <f>IF(B944="","",COUNT('Diário 5º PA'!$A$5:$A$2634)+COUNT('Diário 6º PA'!$A$5:$A$2246)+ROW()-4)</f>
        <v>3483</v>
      </c>
      <c r="B944" s="278">
        <v>44445</v>
      </c>
      <c r="C944" s="249">
        <v>44409</v>
      </c>
      <c r="D944" s="255" t="s">
        <v>88</v>
      </c>
      <c r="E944" s="255" t="s">
        <v>90</v>
      </c>
      <c r="F944" s="258">
        <v>1974.47</v>
      </c>
      <c r="G944" s="450" t="s">
        <v>2227</v>
      </c>
      <c r="H944" s="255" t="s">
        <v>114</v>
      </c>
      <c r="I944" s="250" t="s">
        <v>2228</v>
      </c>
      <c r="J944" s="250" t="s">
        <v>2229</v>
      </c>
      <c r="K944" s="255" t="s">
        <v>991</v>
      </c>
      <c r="L944" s="250" t="s">
        <v>1183</v>
      </c>
      <c r="M944" s="277" t="s">
        <v>114</v>
      </c>
      <c r="N944" s="278">
        <v>44445</v>
      </c>
      <c r="O944" s="329" t="s">
        <v>67</v>
      </c>
      <c r="P944" s="330">
        <f t="shared" si="91"/>
        <v>9</v>
      </c>
      <c r="Q944" s="330">
        <f t="shared" si="92"/>
        <v>8</v>
      </c>
      <c r="R944" s="331" t="str">
        <f t="shared" si="93"/>
        <v>Gastos_com_Pessoal</v>
      </c>
      <c r="S944" s="331" t="str">
        <f>IF(D944="","",IF(OR(D944=Plano!$A$1,D944=Plano!$B$1),"entrada","saída"))</f>
        <v>saída</v>
      </c>
      <c r="T944" s="332" t="s">
        <v>114</v>
      </c>
      <c r="U944" s="332" t="s">
        <v>114</v>
      </c>
      <c r="V944" s="269"/>
      <c r="W944" s="269"/>
      <c r="X944" s="269"/>
      <c r="Y944" s="269"/>
      <c r="Z944" s="269"/>
      <c r="AA944" s="269"/>
      <c r="AB944" s="269"/>
      <c r="AC944" s="269"/>
      <c r="AD944" s="269"/>
      <c r="AE944" s="269"/>
      <c r="AF944" s="269"/>
      <c r="AG944" s="269"/>
      <c r="AH944" s="269"/>
      <c r="AI944" s="269"/>
      <c r="AJ944" s="269"/>
      <c r="AK944" s="269"/>
      <c r="AL944" s="269"/>
      <c r="AM944" s="269"/>
    </row>
    <row r="945" spans="1:39" ht="37.5" customHeight="1" x14ac:dyDescent="0.2">
      <c r="A945" s="277">
        <f>IF(B945="","",COUNT('Diário 5º PA'!$A$5:$A$2634)+COUNT('Diário 6º PA'!$A$5:$A$2246)+ROW()-4)</f>
        <v>3484</v>
      </c>
      <c r="B945" s="278">
        <v>44445</v>
      </c>
      <c r="C945" s="249">
        <v>44409</v>
      </c>
      <c r="D945" s="255" t="s">
        <v>88</v>
      </c>
      <c r="E945" s="255" t="s">
        <v>90</v>
      </c>
      <c r="F945" s="258">
        <v>2254.21</v>
      </c>
      <c r="G945" s="450" t="s">
        <v>2230</v>
      </c>
      <c r="H945" s="255" t="s">
        <v>114</v>
      </c>
      <c r="I945" s="250" t="s">
        <v>1760</v>
      </c>
      <c r="J945" s="250" t="s">
        <v>1761</v>
      </c>
      <c r="K945" s="255" t="s">
        <v>991</v>
      </c>
      <c r="L945" s="250" t="s">
        <v>1183</v>
      </c>
      <c r="M945" s="277" t="s">
        <v>114</v>
      </c>
      <c r="N945" s="278">
        <v>44445</v>
      </c>
      <c r="O945" s="329" t="s">
        <v>67</v>
      </c>
      <c r="P945" s="330">
        <f t="shared" si="91"/>
        <v>9</v>
      </c>
      <c r="Q945" s="330">
        <f t="shared" si="92"/>
        <v>8</v>
      </c>
      <c r="R945" s="331" t="str">
        <f t="shared" si="93"/>
        <v>Gastos_com_Pessoal</v>
      </c>
      <c r="S945" s="331" t="str">
        <f>IF(D945="","",IF(OR(D945=Plano!$A$1,D945=Plano!$B$1),"entrada","saída"))</f>
        <v>saída</v>
      </c>
      <c r="T945" s="332" t="s">
        <v>114</v>
      </c>
      <c r="U945" s="332" t="s">
        <v>114</v>
      </c>
      <c r="V945" s="269"/>
      <c r="W945" s="269"/>
      <c r="X945" s="269"/>
      <c r="Y945" s="269"/>
      <c r="Z945" s="269"/>
      <c r="AA945" s="269"/>
      <c r="AB945" s="269"/>
      <c r="AC945" s="269"/>
      <c r="AD945" s="269"/>
      <c r="AE945" s="269"/>
      <c r="AF945" s="269"/>
      <c r="AG945" s="269"/>
      <c r="AH945" s="269"/>
      <c r="AI945" s="269"/>
      <c r="AJ945" s="269"/>
      <c r="AK945" s="269"/>
      <c r="AL945" s="269"/>
      <c r="AM945" s="269"/>
    </row>
    <row r="946" spans="1:39" ht="44.25" customHeight="1" x14ac:dyDescent="0.2">
      <c r="A946" s="277">
        <f>IF(B946="","",COUNT('Diário 5º PA'!$A$5:$A$2634)+COUNT('Diário 6º PA'!$A$5:$A$2246)+ROW()-4)</f>
        <v>3485</v>
      </c>
      <c r="B946" s="278">
        <v>44445</v>
      </c>
      <c r="C946" s="249">
        <v>44409</v>
      </c>
      <c r="D946" s="255" t="s">
        <v>88</v>
      </c>
      <c r="E946" s="255" t="s">
        <v>90</v>
      </c>
      <c r="F946" s="258">
        <v>1974.47</v>
      </c>
      <c r="G946" s="450" t="s">
        <v>2231</v>
      </c>
      <c r="H946" s="255" t="s">
        <v>114</v>
      </c>
      <c r="I946" s="250" t="s">
        <v>2232</v>
      </c>
      <c r="J946" s="250" t="s">
        <v>2229</v>
      </c>
      <c r="K946" s="255" t="s">
        <v>991</v>
      </c>
      <c r="L946" s="250" t="s">
        <v>1183</v>
      </c>
      <c r="M946" s="277" t="s">
        <v>114</v>
      </c>
      <c r="N946" s="278">
        <v>44445</v>
      </c>
      <c r="O946" s="329" t="s">
        <v>67</v>
      </c>
      <c r="P946" s="330">
        <f t="shared" si="91"/>
        <v>9</v>
      </c>
      <c r="Q946" s="330">
        <f t="shared" si="92"/>
        <v>8</v>
      </c>
      <c r="R946" s="331" t="str">
        <f t="shared" si="93"/>
        <v>Gastos_com_Pessoal</v>
      </c>
      <c r="S946" s="331" t="str">
        <f>IF(D946="","",IF(OR(D946=Plano!$A$1,D946=Plano!$B$1),"entrada","saída"))</f>
        <v>saída</v>
      </c>
      <c r="T946" s="332" t="s">
        <v>114</v>
      </c>
      <c r="U946" s="332" t="s">
        <v>114</v>
      </c>
      <c r="V946" s="269"/>
      <c r="W946" s="269"/>
      <c r="X946" s="269"/>
      <c r="Y946" s="269"/>
      <c r="Z946" s="269"/>
      <c r="AA946" s="269"/>
      <c r="AB946" s="269"/>
      <c r="AC946" s="269"/>
      <c r="AD946" s="269"/>
      <c r="AE946" s="269"/>
      <c r="AF946" s="269"/>
      <c r="AG946" s="269"/>
      <c r="AH946" s="269"/>
      <c r="AI946" s="269"/>
      <c r="AJ946" s="269"/>
      <c r="AK946" s="269"/>
      <c r="AL946" s="269"/>
      <c r="AM946" s="269"/>
    </row>
    <row r="947" spans="1:39" ht="38.25" customHeight="1" x14ac:dyDescent="0.2">
      <c r="A947" s="277">
        <f>IF(B947="","",COUNT('Diário 5º PA'!$A$5:$A$2634)+COUNT('Diário 6º PA'!$A$5:$A$2246)+ROW()-4)</f>
        <v>3486</v>
      </c>
      <c r="B947" s="278">
        <v>44445</v>
      </c>
      <c r="C947" s="249">
        <v>44409</v>
      </c>
      <c r="D947" s="255" t="s">
        <v>88</v>
      </c>
      <c r="E947" s="255" t="s">
        <v>90</v>
      </c>
      <c r="F947" s="258">
        <v>1368.09</v>
      </c>
      <c r="G947" s="450" t="s">
        <v>2233</v>
      </c>
      <c r="H947" s="255" t="s">
        <v>114</v>
      </c>
      <c r="I947" s="250" t="s">
        <v>1188</v>
      </c>
      <c r="J947" s="250" t="s">
        <v>1189</v>
      </c>
      <c r="K947" s="255" t="s">
        <v>991</v>
      </c>
      <c r="L947" s="250" t="s">
        <v>1183</v>
      </c>
      <c r="M947" s="277" t="s">
        <v>114</v>
      </c>
      <c r="N947" s="278">
        <v>44445</v>
      </c>
      <c r="O947" s="329" t="s">
        <v>67</v>
      </c>
      <c r="P947" s="330">
        <f t="shared" si="91"/>
        <v>9</v>
      </c>
      <c r="Q947" s="330">
        <f t="shared" si="92"/>
        <v>8</v>
      </c>
      <c r="R947" s="331" t="str">
        <f t="shared" si="93"/>
        <v>Gastos_com_Pessoal</v>
      </c>
      <c r="S947" s="331" t="str">
        <f>IF(D947="","",IF(OR(D947=Plano!$A$1,D947=Plano!$B$1),"entrada","saída"))</f>
        <v>saída</v>
      </c>
      <c r="T947" s="332" t="s">
        <v>114</v>
      </c>
      <c r="U947" s="332" t="s">
        <v>114</v>
      </c>
      <c r="V947" s="269"/>
      <c r="W947" s="269"/>
      <c r="X947" s="269"/>
      <c r="Y947" s="269"/>
      <c r="Z947" s="269"/>
      <c r="AA947" s="269"/>
      <c r="AB947" s="269"/>
      <c r="AC947" s="269"/>
      <c r="AD947" s="269"/>
      <c r="AE947" s="269"/>
      <c r="AF947" s="269"/>
      <c r="AG947" s="269"/>
      <c r="AH947" s="269"/>
      <c r="AI947" s="269"/>
      <c r="AJ947" s="269"/>
      <c r="AK947" s="269"/>
      <c r="AL947" s="269"/>
      <c r="AM947" s="269"/>
    </row>
    <row r="948" spans="1:39" ht="43.5" customHeight="1" x14ac:dyDescent="0.2">
      <c r="A948" s="277">
        <f>IF(B948="","",COUNT('Diário 5º PA'!$A$5:$A$2634)+COUNT('Diário 6º PA'!$A$5:$A$2246)+ROW()-4)</f>
        <v>3487</v>
      </c>
      <c r="B948" s="278">
        <v>44445</v>
      </c>
      <c r="C948" s="249">
        <v>44409</v>
      </c>
      <c r="D948" s="255" t="s">
        <v>88</v>
      </c>
      <c r="E948" s="255" t="s">
        <v>90</v>
      </c>
      <c r="F948" s="258">
        <v>1974.47</v>
      </c>
      <c r="G948" s="450" t="s">
        <v>2234</v>
      </c>
      <c r="H948" s="255" t="s">
        <v>114</v>
      </c>
      <c r="I948" s="250" t="s">
        <v>2235</v>
      </c>
      <c r="J948" s="250" t="s">
        <v>2236</v>
      </c>
      <c r="K948" s="255" t="s">
        <v>991</v>
      </c>
      <c r="L948" s="250" t="s">
        <v>1183</v>
      </c>
      <c r="M948" s="277" t="s">
        <v>114</v>
      </c>
      <c r="N948" s="278">
        <v>44445</v>
      </c>
      <c r="O948" s="329" t="s">
        <v>67</v>
      </c>
      <c r="P948" s="330">
        <f t="shared" si="91"/>
        <v>9</v>
      </c>
      <c r="Q948" s="330">
        <f t="shared" si="92"/>
        <v>8</v>
      </c>
      <c r="R948" s="331" t="str">
        <f t="shared" si="93"/>
        <v>Gastos_com_Pessoal</v>
      </c>
      <c r="S948" s="331" t="str">
        <f>IF(D948="","",IF(OR(D948=Plano!$A$1,D948=Plano!$B$1),"entrada","saída"))</f>
        <v>saída</v>
      </c>
      <c r="T948" s="332" t="s">
        <v>114</v>
      </c>
      <c r="U948" s="332" t="s">
        <v>114</v>
      </c>
      <c r="V948" s="269"/>
      <c r="W948" s="269"/>
      <c r="X948" s="269"/>
      <c r="Y948" s="269"/>
      <c r="Z948" s="269"/>
      <c r="AA948" s="269"/>
      <c r="AB948" s="269"/>
      <c r="AC948" s="269"/>
      <c r="AD948" s="269"/>
      <c r="AE948" s="269"/>
      <c r="AF948" s="269"/>
      <c r="AG948" s="269"/>
      <c r="AH948" s="269"/>
      <c r="AI948" s="269"/>
      <c r="AJ948" s="269"/>
      <c r="AK948" s="269"/>
      <c r="AL948" s="269"/>
      <c r="AM948" s="269"/>
    </row>
    <row r="949" spans="1:39" ht="56.25" customHeight="1" x14ac:dyDescent="0.2">
      <c r="A949" s="277">
        <f>IF(B949="","",COUNT('Diário 5º PA'!$A$5:$A$2634)+COUNT('Diário 6º PA'!$A$5:$A$2246)+ROW()-4)</f>
        <v>3488</v>
      </c>
      <c r="B949" s="278">
        <v>44445</v>
      </c>
      <c r="C949" s="249">
        <v>44409</v>
      </c>
      <c r="D949" s="255" t="s">
        <v>88</v>
      </c>
      <c r="E949" s="255" t="s">
        <v>90</v>
      </c>
      <c r="F949" s="258">
        <v>3549.36</v>
      </c>
      <c r="G949" s="450" t="s">
        <v>2237</v>
      </c>
      <c r="H949" s="255" t="s">
        <v>114</v>
      </c>
      <c r="I949" s="250" t="s">
        <v>1191</v>
      </c>
      <c r="J949" s="255" t="s">
        <v>1192</v>
      </c>
      <c r="K949" s="255" t="s">
        <v>991</v>
      </c>
      <c r="L949" s="250" t="s">
        <v>1183</v>
      </c>
      <c r="M949" s="277" t="s">
        <v>114</v>
      </c>
      <c r="N949" s="278">
        <v>44445</v>
      </c>
      <c r="O949" s="329" t="s">
        <v>67</v>
      </c>
      <c r="P949" s="330">
        <f t="shared" si="91"/>
        <v>9</v>
      </c>
      <c r="Q949" s="330">
        <f t="shared" si="92"/>
        <v>8</v>
      </c>
      <c r="R949" s="331" t="str">
        <f t="shared" si="93"/>
        <v>Gastos_com_Pessoal</v>
      </c>
      <c r="S949" s="331" t="str">
        <f>IF(D949="","",IF(OR(D949=Plano!$A$1,D949=Plano!$B$1),"entrada","saída"))</f>
        <v>saída</v>
      </c>
      <c r="T949" s="332" t="s">
        <v>114</v>
      </c>
      <c r="U949" s="332" t="s">
        <v>114</v>
      </c>
      <c r="V949" s="269"/>
      <c r="W949" s="269"/>
      <c r="X949" s="269"/>
      <c r="Y949" s="269"/>
      <c r="Z949" s="269"/>
      <c r="AA949" s="269"/>
      <c r="AB949" s="269"/>
      <c r="AC949" s="269"/>
      <c r="AD949" s="269"/>
      <c r="AE949" s="269"/>
      <c r="AF949" s="269"/>
      <c r="AG949" s="269"/>
      <c r="AH949" s="269"/>
      <c r="AI949" s="269"/>
      <c r="AJ949" s="269"/>
      <c r="AK949" s="269"/>
      <c r="AL949" s="269"/>
      <c r="AM949" s="269"/>
    </row>
    <row r="950" spans="1:39" ht="43.5" customHeight="1" x14ac:dyDescent="0.2">
      <c r="A950" s="277">
        <f>IF(B950="","",COUNT('Diário 5º PA'!$A$5:$A$2634)+COUNT('Diário 6º PA'!$A$5:$A$2246)+ROW()-4)</f>
        <v>3489</v>
      </c>
      <c r="B950" s="278">
        <v>44445</v>
      </c>
      <c r="C950" s="249">
        <v>44409</v>
      </c>
      <c r="D950" s="255" t="s">
        <v>88</v>
      </c>
      <c r="E950" s="255" t="s">
        <v>90</v>
      </c>
      <c r="F950" s="258">
        <v>1974.47</v>
      </c>
      <c r="G950" s="450" t="s">
        <v>2234</v>
      </c>
      <c r="H950" s="255" t="s">
        <v>114</v>
      </c>
      <c r="I950" s="250" t="s">
        <v>2238</v>
      </c>
      <c r="J950" s="250" t="s">
        <v>2239</v>
      </c>
      <c r="K950" s="255" t="s">
        <v>991</v>
      </c>
      <c r="L950" s="250" t="s">
        <v>1183</v>
      </c>
      <c r="M950" s="277" t="s">
        <v>114</v>
      </c>
      <c r="N950" s="278">
        <v>44445</v>
      </c>
      <c r="O950" s="329" t="s">
        <v>67</v>
      </c>
      <c r="P950" s="330">
        <f t="shared" si="91"/>
        <v>9</v>
      </c>
      <c r="Q950" s="330">
        <f t="shared" si="92"/>
        <v>8</v>
      </c>
      <c r="R950" s="331" t="str">
        <f t="shared" si="93"/>
        <v>Gastos_com_Pessoal</v>
      </c>
      <c r="S950" s="331" t="str">
        <f>IF(D950="","",IF(OR(D950=Plano!$A$1,D950=Plano!$B$1),"entrada","saída"))</f>
        <v>saída</v>
      </c>
      <c r="T950" s="332" t="s">
        <v>114</v>
      </c>
      <c r="U950" s="332" t="s">
        <v>114</v>
      </c>
      <c r="V950" s="269"/>
      <c r="W950" s="269"/>
      <c r="X950" s="269"/>
      <c r="Y950" s="269"/>
      <c r="Z950" s="269"/>
      <c r="AA950" s="269"/>
      <c r="AB950" s="269"/>
      <c r="AC950" s="269"/>
      <c r="AD950" s="269"/>
      <c r="AE950" s="269"/>
      <c r="AF950" s="269"/>
      <c r="AG950" s="269"/>
      <c r="AH950" s="269"/>
      <c r="AI950" s="269"/>
      <c r="AJ950" s="269"/>
      <c r="AK950" s="269"/>
      <c r="AL950" s="269"/>
      <c r="AM950" s="269"/>
    </row>
    <row r="951" spans="1:39" ht="48.75" customHeight="1" x14ac:dyDescent="0.2">
      <c r="A951" s="277">
        <f>IF(B951="","",COUNT('Diário 5º PA'!$A$5:$A$2634)+COUNT('Diário 6º PA'!$A$5:$A$2246)+ROW()-4)</f>
        <v>3490</v>
      </c>
      <c r="B951" s="278">
        <v>44445</v>
      </c>
      <c r="C951" s="249">
        <v>44409</v>
      </c>
      <c r="D951" s="255" t="s">
        <v>88</v>
      </c>
      <c r="E951" s="255" t="s">
        <v>90</v>
      </c>
      <c r="F951" s="258">
        <v>2073.86</v>
      </c>
      <c r="G951" s="450" t="s">
        <v>2219</v>
      </c>
      <c r="H951" s="255" t="s">
        <v>114</v>
      </c>
      <c r="I951" s="250" t="s">
        <v>1763</v>
      </c>
      <c r="J951" s="250" t="s">
        <v>1764</v>
      </c>
      <c r="K951" s="255" t="s">
        <v>991</v>
      </c>
      <c r="L951" s="250" t="s">
        <v>1183</v>
      </c>
      <c r="M951" s="277" t="s">
        <v>114</v>
      </c>
      <c r="N951" s="278">
        <v>44445</v>
      </c>
      <c r="O951" s="329" t="s">
        <v>67</v>
      </c>
      <c r="P951" s="330">
        <f t="shared" si="91"/>
        <v>9</v>
      </c>
      <c r="Q951" s="330">
        <f t="shared" si="92"/>
        <v>8</v>
      </c>
      <c r="R951" s="331" t="str">
        <f t="shared" si="93"/>
        <v>Gastos_com_Pessoal</v>
      </c>
      <c r="S951" s="331" t="str">
        <f>IF(D951="","",IF(OR(D951=Plano!$A$1,D951=Plano!$B$1),"entrada","saída"))</f>
        <v>saída</v>
      </c>
      <c r="T951" s="332" t="s">
        <v>114</v>
      </c>
      <c r="U951" s="332" t="s">
        <v>114</v>
      </c>
      <c r="V951" s="269"/>
      <c r="W951" s="269"/>
      <c r="X951" s="269"/>
      <c r="Y951" s="269"/>
      <c r="Z951" s="269"/>
      <c r="AA951" s="269"/>
      <c r="AB951" s="269"/>
      <c r="AC951" s="269"/>
      <c r="AD951" s="269"/>
      <c r="AE951" s="269"/>
      <c r="AF951" s="269"/>
      <c r="AG951" s="269"/>
      <c r="AH951" s="269"/>
      <c r="AI951" s="269"/>
      <c r="AJ951" s="269"/>
      <c r="AK951" s="269"/>
      <c r="AL951" s="269"/>
      <c r="AM951" s="269"/>
    </row>
    <row r="952" spans="1:39" ht="36" customHeight="1" x14ac:dyDescent="0.2">
      <c r="A952" s="277">
        <f>IF(B952="","",COUNT('Diário 5º PA'!$A$5:$A$2634)+COUNT('Diário 6º PA'!$A$5:$A$2246)+ROW()-4)</f>
        <v>3491</v>
      </c>
      <c r="B952" s="278">
        <v>44445</v>
      </c>
      <c r="C952" s="249">
        <v>44409</v>
      </c>
      <c r="D952" s="255" t="s">
        <v>88</v>
      </c>
      <c r="E952" s="255" t="s">
        <v>90</v>
      </c>
      <c r="F952" s="258">
        <v>2644.44</v>
      </c>
      <c r="G952" s="450" t="s">
        <v>2240</v>
      </c>
      <c r="H952" s="255" t="s">
        <v>114</v>
      </c>
      <c r="I952" s="250" t="s">
        <v>1208</v>
      </c>
      <c r="J952" s="250" t="s">
        <v>1209</v>
      </c>
      <c r="K952" s="255" t="s">
        <v>991</v>
      </c>
      <c r="L952" s="250" t="s">
        <v>1183</v>
      </c>
      <c r="M952" s="277" t="s">
        <v>114</v>
      </c>
      <c r="N952" s="278">
        <v>44445</v>
      </c>
      <c r="O952" s="329" t="s">
        <v>67</v>
      </c>
      <c r="P952" s="330">
        <f t="shared" si="91"/>
        <v>9</v>
      </c>
      <c r="Q952" s="330">
        <f t="shared" si="92"/>
        <v>8</v>
      </c>
      <c r="R952" s="331" t="str">
        <f t="shared" si="93"/>
        <v>Gastos_com_Pessoal</v>
      </c>
      <c r="S952" s="331" t="str">
        <f>IF(D952="","",IF(OR(D952=Plano!$A$1,D952=Plano!$B$1),"entrada","saída"))</f>
        <v>saída</v>
      </c>
      <c r="T952" s="332" t="s">
        <v>114</v>
      </c>
      <c r="U952" s="332" t="s">
        <v>114</v>
      </c>
      <c r="V952" s="269"/>
      <c r="W952" s="269"/>
      <c r="X952" s="269"/>
      <c r="Y952" s="269"/>
      <c r="Z952" s="269"/>
      <c r="AA952" s="269"/>
      <c r="AB952" s="269"/>
      <c r="AC952" s="269"/>
      <c r="AD952" s="269"/>
      <c r="AE952" s="269"/>
      <c r="AF952" s="269"/>
      <c r="AG952" s="269"/>
      <c r="AH952" s="269"/>
      <c r="AI952" s="269"/>
      <c r="AJ952" s="269"/>
      <c r="AK952" s="269"/>
      <c r="AL952" s="269"/>
      <c r="AM952" s="269"/>
    </row>
    <row r="953" spans="1:39" ht="47.25" customHeight="1" x14ac:dyDescent="0.2">
      <c r="A953" s="277">
        <f>IF(B953="","",COUNT('Diário 5º PA'!$A$5:$A$2634)+COUNT('Diário 6º PA'!$A$5:$A$2246)+ROW()-4)</f>
        <v>3492</v>
      </c>
      <c r="B953" s="278">
        <v>44445</v>
      </c>
      <c r="C953" s="249">
        <v>44409</v>
      </c>
      <c r="D953" s="255" t="s">
        <v>88</v>
      </c>
      <c r="E953" s="255" t="s">
        <v>90</v>
      </c>
      <c r="F953" s="258">
        <v>10378.9</v>
      </c>
      <c r="G953" s="450" t="s">
        <v>2241</v>
      </c>
      <c r="H953" s="255" t="s">
        <v>114</v>
      </c>
      <c r="I953" s="250" t="s">
        <v>1197</v>
      </c>
      <c r="J953" s="255" t="s">
        <v>1198</v>
      </c>
      <c r="K953" s="255" t="s">
        <v>991</v>
      </c>
      <c r="L953" s="250" t="s">
        <v>1183</v>
      </c>
      <c r="M953" s="277" t="s">
        <v>114</v>
      </c>
      <c r="N953" s="278">
        <v>44445</v>
      </c>
      <c r="O953" s="329" t="s">
        <v>67</v>
      </c>
      <c r="P953" s="330">
        <f t="shared" si="91"/>
        <v>9</v>
      </c>
      <c r="Q953" s="330">
        <f t="shared" si="92"/>
        <v>8</v>
      </c>
      <c r="R953" s="331" t="str">
        <f t="shared" si="93"/>
        <v>Gastos_com_Pessoal</v>
      </c>
      <c r="S953" s="331" t="str">
        <f>IF(D953="","",IF(OR(D953=Plano!$A$1,D953=Plano!$B$1),"entrada","saída"))</f>
        <v>saída</v>
      </c>
      <c r="T953" s="332" t="s">
        <v>114</v>
      </c>
      <c r="U953" s="332" t="s">
        <v>114</v>
      </c>
      <c r="V953" s="269"/>
      <c r="W953" s="269"/>
      <c r="X953" s="269"/>
      <c r="Y953" s="269"/>
      <c r="Z953" s="269"/>
      <c r="AA953" s="269"/>
      <c r="AB953" s="269"/>
      <c r="AC953" s="269"/>
      <c r="AD953" s="269"/>
      <c r="AE953" s="269"/>
      <c r="AF953" s="269"/>
      <c r="AG953" s="269"/>
      <c r="AH953" s="269"/>
      <c r="AI953" s="269"/>
      <c r="AJ953" s="269"/>
      <c r="AK953" s="269"/>
      <c r="AL953" s="269"/>
      <c r="AM953" s="269"/>
    </row>
    <row r="954" spans="1:39" ht="39" customHeight="1" x14ac:dyDescent="0.2">
      <c r="A954" s="277">
        <f>IF(B954="","",COUNT('Diário 5º PA'!$A$5:$A$2634)+COUNT('Diário 6º PA'!$A$5:$A$2246)+ROW()-4)</f>
        <v>3493</v>
      </c>
      <c r="B954" s="278">
        <v>44445</v>
      </c>
      <c r="C954" s="249">
        <v>44409</v>
      </c>
      <c r="D954" s="255" t="s">
        <v>88</v>
      </c>
      <c r="E954" s="255" t="s">
        <v>90</v>
      </c>
      <c r="F954" s="258">
        <v>2073.86</v>
      </c>
      <c r="G954" s="450" t="s">
        <v>2219</v>
      </c>
      <c r="H954" s="255" t="s">
        <v>114</v>
      </c>
      <c r="I954" s="250" t="s">
        <v>1765</v>
      </c>
      <c r="J954" s="250" t="s">
        <v>1766</v>
      </c>
      <c r="K954" s="255" t="s">
        <v>991</v>
      </c>
      <c r="L954" s="250" t="s">
        <v>1183</v>
      </c>
      <c r="M954" s="277" t="s">
        <v>114</v>
      </c>
      <c r="N954" s="278">
        <v>44445</v>
      </c>
      <c r="O954" s="329" t="s">
        <v>67</v>
      </c>
      <c r="P954" s="330">
        <f t="shared" si="91"/>
        <v>9</v>
      </c>
      <c r="Q954" s="330">
        <f t="shared" si="92"/>
        <v>8</v>
      </c>
      <c r="R954" s="331" t="str">
        <f t="shared" si="93"/>
        <v>Gastos_com_Pessoal</v>
      </c>
      <c r="S954" s="331" t="str">
        <f>IF(D954="","",IF(OR(D954=Plano!$A$1,D954=Plano!$B$1),"entrada","saída"))</f>
        <v>saída</v>
      </c>
      <c r="T954" s="332" t="s">
        <v>114</v>
      </c>
      <c r="U954" s="332" t="s">
        <v>114</v>
      </c>
      <c r="V954" s="269"/>
      <c r="W954" s="269"/>
      <c r="X954" s="269"/>
      <c r="Y954" s="269"/>
      <c r="Z954" s="269"/>
      <c r="AA954" s="269"/>
      <c r="AB954" s="269"/>
      <c r="AC954" s="269"/>
      <c r="AD954" s="269"/>
      <c r="AE954" s="269"/>
      <c r="AF954" s="269"/>
      <c r="AG954" s="269"/>
      <c r="AH954" s="269"/>
      <c r="AI954" s="269"/>
      <c r="AJ954" s="269"/>
      <c r="AK954" s="269"/>
      <c r="AL954" s="269"/>
      <c r="AM954" s="269"/>
    </row>
    <row r="955" spans="1:39" ht="42" customHeight="1" x14ac:dyDescent="0.2">
      <c r="A955" s="277">
        <f>IF(B955="","",COUNT('Diário 5º PA'!$A$5:$A$2634)+COUNT('Diário 6º PA'!$A$5:$A$2246)+ROW()-4)</f>
        <v>3494</v>
      </c>
      <c r="B955" s="278">
        <v>44445</v>
      </c>
      <c r="C955" s="249">
        <v>44409</v>
      </c>
      <c r="D955" s="255" t="s">
        <v>88</v>
      </c>
      <c r="E955" s="255" t="s">
        <v>90</v>
      </c>
      <c r="F955" s="258">
        <v>1974.47</v>
      </c>
      <c r="G955" s="450" t="s">
        <v>2221</v>
      </c>
      <c r="H955" s="255" t="s">
        <v>114</v>
      </c>
      <c r="I955" s="250" t="s">
        <v>2242</v>
      </c>
      <c r="J955" s="250" t="s">
        <v>2243</v>
      </c>
      <c r="K955" s="255" t="s">
        <v>991</v>
      </c>
      <c r="L955" s="250" t="s">
        <v>1183</v>
      </c>
      <c r="M955" s="277" t="s">
        <v>114</v>
      </c>
      <c r="N955" s="278">
        <v>44445</v>
      </c>
      <c r="O955" s="329" t="s">
        <v>67</v>
      </c>
      <c r="P955" s="330">
        <f t="shared" si="91"/>
        <v>9</v>
      </c>
      <c r="Q955" s="330">
        <f t="shared" si="92"/>
        <v>8</v>
      </c>
      <c r="R955" s="331" t="str">
        <f t="shared" si="93"/>
        <v>Gastos_com_Pessoal</v>
      </c>
      <c r="S955" s="331" t="str">
        <f>IF(D955="","",IF(OR(D955=Plano!$A$1,D955=Plano!$B$1),"entrada","saída"))</f>
        <v>saída</v>
      </c>
      <c r="T955" s="332" t="s">
        <v>114</v>
      </c>
      <c r="U955" s="332" t="s">
        <v>114</v>
      </c>
      <c r="V955" s="269"/>
      <c r="W955" s="269"/>
      <c r="X955" s="269"/>
      <c r="Y955" s="269"/>
      <c r="Z955" s="269"/>
      <c r="AA955" s="269"/>
      <c r="AB955" s="269"/>
      <c r="AC955" s="269"/>
      <c r="AD955" s="269"/>
      <c r="AE955" s="269"/>
      <c r="AF955" s="269"/>
      <c r="AG955" s="269"/>
      <c r="AH955" s="269"/>
      <c r="AI955" s="269"/>
      <c r="AJ955" s="269"/>
      <c r="AK955" s="269"/>
      <c r="AL955" s="269"/>
      <c r="AM955" s="269"/>
    </row>
    <row r="956" spans="1:39" ht="41.25" customHeight="1" x14ac:dyDescent="0.2">
      <c r="A956" s="277">
        <f>IF(B956="","",COUNT('Diário 5º PA'!$A$5:$A$2634)+COUNT('Diário 6º PA'!$A$5:$A$2246)+ROW()-4)</f>
        <v>3495</v>
      </c>
      <c r="B956" s="278">
        <v>44445</v>
      </c>
      <c r="C956" s="249">
        <v>44409</v>
      </c>
      <c r="D956" s="255" t="s">
        <v>88</v>
      </c>
      <c r="E956" s="255" t="s">
        <v>90</v>
      </c>
      <c r="F956" s="258">
        <v>2712.3</v>
      </c>
      <c r="G956" s="450" t="s">
        <v>2240</v>
      </c>
      <c r="H956" s="255" t="s">
        <v>114</v>
      </c>
      <c r="I956" s="250" t="s">
        <v>1200</v>
      </c>
      <c r="J956" s="250" t="s">
        <v>1201</v>
      </c>
      <c r="K956" s="255" t="s">
        <v>991</v>
      </c>
      <c r="L956" s="250" t="s">
        <v>1183</v>
      </c>
      <c r="M956" s="277" t="s">
        <v>114</v>
      </c>
      <c r="N956" s="278">
        <v>44445</v>
      </c>
      <c r="O956" s="329" t="s">
        <v>67</v>
      </c>
      <c r="P956" s="330">
        <f t="shared" si="91"/>
        <v>9</v>
      </c>
      <c r="Q956" s="330">
        <f t="shared" si="92"/>
        <v>8</v>
      </c>
      <c r="R956" s="331" t="str">
        <f t="shared" si="93"/>
        <v>Gastos_com_Pessoal</v>
      </c>
      <c r="S956" s="331" t="str">
        <f>IF(D956="","",IF(OR(D956=Plano!$A$1,D956=Plano!$B$1),"entrada","saída"))</f>
        <v>saída</v>
      </c>
      <c r="T956" s="332" t="s">
        <v>114</v>
      </c>
      <c r="U956" s="332" t="s">
        <v>114</v>
      </c>
      <c r="V956" s="269"/>
      <c r="W956" s="269"/>
      <c r="X956" s="269"/>
      <c r="Y956" s="269"/>
      <c r="Z956" s="269"/>
      <c r="AA956" s="269"/>
      <c r="AB956" s="269"/>
      <c r="AC956" s="269"/>
      <c r="AD956" s="269"/>
      <c r="AE956" s="269"/>
      <c r="AF956" s="269"/>
      <c r="AG956" s="269"/>
      <c r="AH956" s="269"/>
      <c r="AI956" s="269"/>
      <c r="AJ956" s="269"/>
      <c r="AK956" s="269"/>
      <c r="AL956" s="269"/>
      <c r="AM956" s="269"/>
    </row>
    <row r="957" spans="1:39" ht="46.5" customHeight="1" x14ac:dyDescent="0.2">
      <c r="A957" s="277">
        <f>IF(B957="","",COUNT('Diário 5º PA'!$A$5:$A$2634)+COUNT('Diário 6º PA'!$A$5:$A$2246)+ROW()-4)</f>
        <v>3496</v>
      </c>
      <c r="B957" s="278">
        <v>44445</v>
      </c>
      <c r="C957" s="249">
        <v>44409</v>
      </c>
      <c r="D957" s="255" t="s">
        <v>88</v>
      </c>
      <c r="E957" s="255" t="s">
        <v>90</v>
      </c>
      <c r="F957" s="258">
        <v>2073.86</v>
      </c>
      <c r="G957" s="450" t="s">
        <v>2219</v>
      </c>
      <c r="H957" s="255" t="s">
        <v>114</v>
      </c>
      <c r="I957" s="250" t="s">
        <v>1767</v>
      </c>
      <c r="J957" s="250" t="s">
        <v>1768</v>
      </c>
      <c r="K957" s="255" t="s">
        <v>991</v>
      </c>
      <c r="L957" s="250" t="s">
        <v>1183</v>
      </c>
      <c r="M957" s="277" t="s">
        <v>114</v>
      </c>
      <c r="N957" s="278">
        <v>44445</v>
      </c>
      <c r="O957" s="329" t="s">
        <v>67</v>
      </c>
      <c r="P957" s="330">
        <f t="shared" si="91"/>
        <v>9</v>
      </c>
      <c r="Q957" s="330">
        <f t="shared" si="92"/>
        <v>8</v>
      </c>
      <c r="R957" s="331" t="str">
        <f t="shared" si="93"/>
        <v>Gastos_com_Pessoal</v>
      </c>
      <c r="S957" s="331" t="str">
        <f>IF(D957="","",IF(OR(D957=Plano!$A$1,D957=Plano!$B$1),"entrada","saída"))</f>
        <v>saída</v>
      </c>
      <c r="T957" s="332" t="s">
        <v>114</v>
      </c>
      <c r="U957" s="332" t="s">
        <v>114</v>
      </c>
      <c r="V957" s="269"/>
      <c r="W957" s="269"/>
      <c r="X957" s="269"/>
      <c r="Y957" s="269"/>
      <c r="Z957" s="269"/>
      <c r="AA957" s="269"/>
      <c r="AB957" s="269"/>
      <c r="AC957" s="269"/>
      <c r="AD957" s="269"/>
      <c r="AE957" s="269"/>
      <c r="AF957" s="269"/>
      <c r="AG957" s="269"/>
      <c r="AH957" s="269"/>
      <c r="AI957" s="269"/>
      <c r="AJ957" s="269"/>
      <c r="AK957" s="269"/>
      <c r="AL957" s="269"/>
      <c r="AM957" s="269"/>
    </row>
    <row r="958" spans="1:39" ht="41.25" customHeight="1" x14ac:dyDescent="0.2">
      <c r="A958" s="277">
        <f>IF(B958="","",COUNT('Diário 5º PA'!$A$5:$A$2634)+COUNT('Diário 6º PA'!$A$5:$A$2246)+ROW()-4)</f>
        <v>3497</v>
      </c>
      <c r="B958" s="278">
        <v>44445</v>
      </c>
      <c r="C958" s="249">
        <v>44409</v>
      </c>
      <c r="D958" s="255" t="s">
        <v>88</v>
      </c>
      <c r="E958" s="255" t="s">
        <v>90</v>
      </c>
      <c r="F958" s="258">
        <v>1709.82</v>
      </c>
      <c r="G958" s="450" t="s">
        <v>2219</v>
      </c>
      <c r="H958" s="255" t="s">
        <v>114</v>
      </c>
      <c r="I958" s="250" t="s">
        <v>1769</v>
      </c>
      <c r="J958" s="250" t="s">
        <v>1770</v>
      </c>
      <c r="K958" s="255" t="s">
        <v>991</v>
      </c>
      <c r="L958" s="250" t="s">
        <v>1183</v>
      </c>
      <c r="M958" s="277" t="s">
        <v>114</v>
      </c>
      <c r="N958" s="278">
        <v>44445</v>
      </c>
      <c r="O958" s="329" t="s">
        <v>67</v>
      </c>
      <c r="P958" s="330">
        <f t="shared" si="91"/>
        <v>9</v>
      </c>
      <c r="Q958" s="330">
        <f t="shared" si="92"/>
        <v>8</v>
      </c>
      <c r="R958" s="331" t="str">
        <f t="shared" si="93"/>
        <v>Gastos_com_Pessoal</v>
      </c>
      <c r="S958" s="331" t="str">
        <f>IF(D958="","",IF(OR(D958=Plano!$A$1,D958=Plano!$B$1),"entrada","saída"))</f>
        <v>saída</v>
      </c>
      <c r="T958" s="332" t="s">
        <v>114</v>
      </c>
      <c r="U958" s="332" t="s">
        <v>114</v>
      </c>
      <c r="V958" s="269"/>
      <c r="W958" s="269"/>
      <c r="X958" s="269"/>
      <c r="Y958" s="269"/>
      <c r="Z958" s="269"/>
      <c r="AA958" s="269"/>
      <c r="AB958" s="269"/>
      <c r="AC958" s="269"/>
      <c r="AD958" s="269"/>
      <c r="AE958" s="269"/>
      <c r="AF958" s="269"/>
      <c r="AG958" s="269"/>
      <c r="AH958" s="269"/>
      <c r="AI958" s="269"/>
      <c r="AJ958" s="269"/>
      <c r="AK958" s="269"/>
      <c r="AL958" s="269"/>
      <c r="AM958" s="269"/>
    </row>
    <row r="959" spans="1:39" ht="50.25" customHeight="1" x14ac:dyDescent="0.2">
      <c r="A959" s="277">
        <f>IF(B959="","",COUNT('Diário 5º PA'!$A$5:$A$2634)+COUNT('Diário 6º PA'!$A$5:$A$2246)+ROW()-4)</f>
        <v>3498</v>
      </c>
      <c r="B959" s="278">
        <v>44445</v>
      </c>
      <c r="C959" s="249">
        <v>44409</v>
      </c>
      <c r="D959" s="255" t="s">
        <v>88</v>
      </c>
      <c r="E959" s="255" t="s">
        <v>90</v>
      </c>
      <c r="F959" s="258">
        <v>2073.86</v>
      </c>
      <c r="G959" s="450" t="s">
        <v>2219</v>
      </c>
      <c r="H959" s="255" t="s">
        <v>114</v>
      </c>
      <c r="I959" s="250" t="s">
        <v>1771</v>
      </c>
      <c r="J959" s="250" t="s">
        <v>1772</v>
      </c>
      <c r="K959" s="255" t="s">
        <v>991</v>
      </c>
      <c r="L959" s="250" t="s">
        <v>1183</v>
      </c>
      <c r="M959" s="277" t="s">
        <v>114</v>
      </c>
      <c r="N959" s="278">
        <v>44445</v>
      </c>
      <c r="O959" s="329" t="s">
        <v>67</v>
      </c>
      <c r="P959" s="330">
        <f t="shared" si="91"/>
        <v>9</v>
      </c>
      <c r="Q959" s="330">
        <f t="shared" si="92"/>
        <v>8</v>
      </c>
      <c r="R959" s="331" t="str">
        <f t="shared" si="93"/>
        <v>Gastos_com_Pessoal</v>
      </c>
      <c r="S959" s="331" t="str">
        <f>IF(D959="","",IF(OR(D959=Plano!$A$1,D959=Plano!$B$1),"entrada","saída"))</f>
        <v>saída</v>
      </c>
      <c r="T959" s="332" t="s">
        <v>114</v>
      </c>
      <c r="U959" s="332" t="s">
        <v>114</v>
      </c>
      <c r="V959" s="269"/>
      <c r="W959" s="269"/>
      <c r="X959" s="269"/>
      <c r="Y959" s="269"/>
      <c r="Z959" s="269"/>
      <c r="AA959" s="269"/>
      <c r="AB959" s="269"/>
      <c r="AC959" s="269"/>
      <c r="AD959" s="269"/>
      <c r="AE959" s="269"/>
      <c r="AF959" s="269"/>
      <c r="AG959" s="269"/>
      <c r="AH959" s="269"/>
      <c r="AI959" s="269"/>
      <c r="AJ959" s="269"/>
      <c r="AK959" s="269"/>
      <c r="AL959" s="269"/>
      <c r="AM959" s="269"/>
    </row>
    <row r="960" spans="1:39" ht="52.5" customHeight="1" x14ac:dyDescent="0.2">
      <c r="A960" s="277">
        <f>IF(B960="","",COUNT('Diário 5º PA'!$A$5:$A$2634)+COUNT('Diário 6º PA'!$A$5:$A$2246)+ROW()-4)</f>
        <v>3499</v>
      </c>
      <c r="B960" s="278">
        <v>44445</v>
      </c>
      <c r="C960" s="249">
        <v>44409</v>
      </c>
      <c r="D960" s="255" t="s">
        <v>88</v>
      </c>
      <c r="E960" s="255" t="s">
        <v>90</v>
      </c>
      <c r="F960" s="258">
        <v>2091.41</v>
      </c>
      <c r="G960" s="450" t="s">
        <v>2219</v>
      </c>
      <c r="H960" s="255" t="s">
        <v>114</v>
      </c>
      <c r="I960" s="250" t="s">
        <v>1784</v>
      </c>
      <c r="J960" s="250" t="s">
        <v>1785</v>
      </c>
      <c r="K960" s="255" t="s">
        <v>991</v>
      </c>
      <c r="L960" s="250" t="s">
        <v>1183</v>
      </c>
      <c r="M960" s="277" t="s">
        <v>114</v>
      </c>
      <c r="N960" s="278">
        <v>44445</v>
      </c>
      <c r="O960" s="329" t="s">
        <v>67</v>
      </c>
      <c r="P960" s="330">
        <f t="shared" si="91"/>
        <v>9</v>
      </c>
      <c r="Q960" s="330">
        <f t="shared" si="92"/>
        <v>8</v>
      </c>
      <c r="R960" s="331" t="str">
        <f t="shared" si="93"/>
        <v>Gastos_com_Pessoal</v>
      </c>
      <c r="S960" s="331" t="str">
        <f>IF(D960="","",IF(OR(D960=Plano!$A$1,D960=Plano!$B$1),"entrada","saída"))</f>
        <v>saída</v>
      </c>
      <c r="T960" s="332" t="s">
        <v>114</v>
      </c>
      <c r="U960" s="332" t="s">
        <v>114</v>
      </c>
      <c r="V960" s="269"/>
      <c r="W960" s="269"/>
      <c r="X960" s="269"/>
      <c r="Y960" s="269"/>
      <c r="Z960" s="269"/>
      <c r="AA960" s="269"/>
      <c r="AB960" s="269"/>
      <c r="AC960" s="269"/>
      <c r="AD960" s="269"/>
      <c r="AE960" s="269"/>
      <c r="AF960" s="269"/>
      <c r="AG960" s="269"/>
      <c r="AH960" s="269"/>
      <c r="AI960" s="269"/>
      <c r="AJ960" s="269"/>
      <c r="AK960" s="269"/>
      <c r="AL960" s="269"/>
      <c r="AM960" s="269"/>
    </row>
    <row r="961" spans="1:39" ht="41.25" customHeight="1" x14ac:dyDescent="0.2">
      <c r="A961" s="277">
        <f>IF(B961="","",COUNT('Diário 5º PA'!$A$5:$A$2634)+COUNT('Diário 6º PA'!$A$5:$A$2246)+ROW()-4)</f>
        <v>3500</v>
      </c>
      <c r="B961" s="278">
        <v>44445</v>
      </c>
      <c r="C961" s="249">
        <v>44409</v>
      </c>
      <c r="D961" s="255" t="s">
        <v>88</v>
      </c>
      <c r="E961" s="255" t="s">
        <v>90</v>
      </c>
      <c r="F961" s="258">
        <v>1974.47</v>
      </c>
      <c r="G961" s="450" t="s">
        <v>2227</v>
      </c>
      <c r="H961" s="255" t="s">
        <v>114</v>
      </c>
      <c r="I961" s="250" t="s">
        <v>2244</v>
      </c>
      <c r="J961" s="250" t="s">
        <v>2245</v>
      </c>
      <c r="K961" s="255" t="s">
        <v>991</v>
      </c>
      <c r="L961" s="250" t="s">
        <v>1183</v>
      </c>
      <c r="M961" s="277" t="s">
        <v>114</v>
      </c>
      <c r="N961" s="278">
        <v>44445</v>
      </c>
      <c r="O961" s="329" t="s">
        <v>67</v>
      </c>
      <c r="P961" s="330">
        <f t="shared" si="91"/>
        <v>9</v>
      </c>
      <c r="Q961" s="330">
        <f t="shared" si="92"/>
        <v>8</v>
      </c>
      <c r="R961" s="331" t="str">
        <f t="shared" si="93"/>
        <v>Gastos_com_Pessoal</v>
      </c>
      <c r="S961" s="331" t="str">
        <f>IF(D961="","",IF(OR(D961=Plano!$A$1,D961=Plano!$B$1),"entrada","saída"))</f>
        <v>saída</v>
      </c>
      <c r="T961" s="332" t="s">
        <v>114</v>
      </c>
      <c r="U961" s="332" t="s">
        <v>114</v>
      </c>
      <c r="V961" s="269"/>
      <c r="W961" s="269"/>
      <c r="X961" s="269"/>
      <c r="Y961" s="269"/>
      <c r="Z961" s="269"/>
      <c r="AA961" s="269"/>
      <c r="AB961" s="269"/>
      <c r="AC961" s="269"/>
      <c r="AD961" s="269"/>
      <c r="AE961" s="269"/>
      <c r="AF961" s="269"/>
      <c r="AG961" s="269"/>
      <c r="AH961" s="269"/>
      <c r="AI961" s="269"/>
      <c r="AJ961" s="269"/>
      <c r="AK961" s="269"/>
      <c r="AL961" s="269"/>
      <c r="AM961" s="269"/>
    </row>
    <row r="962" spans="1:39" ht="39" customHeight="1" x14ac:dyDescent="0.2">
      <c r="A962" s="277">
        <f>IF(B962="","",COUNT('Diário 5º PA'!$A$5:$A$2634)+COUNT('Diário 6º PA'!$A$5:$A$2246)+ROW()-4)</f>
        <v>3501</v>
      </c>
      <c r="B962" s="278">
        <v>44445</v>
      </c>
      <c r="C962" s="249">
        <v>44409</v>
      </c>
      <c r="D962" s="255" t="s">
        <v>88</v>
      </c>
      <c r="E962" s="255" t="s">
        <v>90</v>
      </c>
      <c r="F962" s="258">
        <v>2073.86</v>
      </c>
      <c r="G962" s="450" t="s">
        <v>2219</v>
      </c>
      <c r="H962" s="255" t="s">
        <v>114</v>
      </c>
      <c r="I962" s="250" t="s">
        <v>1773</v>
      </c>
      <c r="J962" s="250" t="s">
        <v>1774</v>
      </c>
      <c r="K962" s="255" t="s">
        <v>991</v>
      </c>
      <c r="L962" s="250" t="s">
        <v>1183</v>
      </c>
      <c r="M962" s="277" t="s">
        <v>114</v>
      </c>
      <c r="N962" s="278">
        <v>44445</v>
      </c>
      <c r="O962" s="329" t="s">
        <v>67</v>
      </c>
      <c r="P962" s="330">
        <f t="shared" si="91"/>
        <v>9</v>
      </c>
      <c r="Q962" s="330">
        <f t="shared" si="92"/>
        <v>8</v>
      </c>
      <c r="R962" s="331" t="str">
        <f t="shared" si="93"/>
        <v>Gastos_com_Pessoal</v>
      </c>
      <c r="S962" s="331" t="str">
        <f>IF(D962="","",IF(OR(D962=Plano!$A$1,D962=Plano!$B$1),"entrada","saída"))</f>
        <v>saída</v>
      </c>
      <c r="T962" s="332" t="s">
        <v>114</v>
      </c>
      <c r="U962" s="332" t="s">
        <v>114</v>
      </c>
      <c r="V962" s="269"/>
      <c r="W962" s="269"/>
      <c r="X962" s="269"/>
      <c r="Y962" s="269"/>
      <c r="Z962" s="269"/>
      <c r="AA962" s="269"/>
      <c r="AB962" s="269"/>
      <c r="AC962" s="269"/>
      <c r="AD962" s="269"/>
      <c r="AE962" s="269"/>
      <c r="AF962" s="269"/>
      <c r="AG962" s="269"/>
      <c r="AH962" s="269"/>
      <c r="AI962" s="269"/>
      <c r="AJ962" s="269"/>
      <c r="AK962" s="269"/>
      <c r="AL962" s="269"/>
      <c r="AM962" s="269"/>
    </row>
    <row r="963" spans="1:39" ht="47.25" customHeight="1" x14ac:dyDescent="0.2">
      <c r="A963" s="277">
        <f>IF(B963="","",COUNT('Diário 5º PA'!$A$5:$A$2634)+COUNT('Diário 6º PA'!$A$5:$A$2246)+ROW()-4)</f>
        <v>3502</v>
      </c>
      <c r="B963" s="278">
        <v>44445</v>
      </c>
      <c r="C963" s="249">
        <v>44409</v>
      </c>
      <c r="D963" s="255" t="s">
        <v>88</v>
      </c>
      <c r="E963" s="255" t="s">
        <v>90</v>
      </c>
      <c r="F963" s="258">
        <v>1004.77</v>
      </c>
      <c r="G963" s="450" t="s">
        <v>2246</v>
      </c>
      <c r="H963" s="255" t="s">
        <v>114</v>
      </c>
      <c r="I963" s="250" t="s">
        <v>1203</v>
      </c>
      <c r="J963" s="250" t="s">
        <v>1204</v>
      </c>
      <c r="K963" s="255" t="s">
        <v>991</v>
      </c>
      <c r="L963" s="250" t="s">
        <v>1183</v>
      </c>
      <c r="M963" s="277" t="s">
        <v>114</v>
      </c>
      <c r="N963" s="278">
        <v>44445</v>
      </c>
      <c r="O963" s="329" t="s">
        <v>67</v>
      </c>
      <c r="P963" s="330">
        <f t="shared" si="91"/>
        <v>9</v>
      </c>
      <c r="Q963" s="330">
        <f t="shared" si="92"/>
        <v>8</v>
      </c>
      <c r="R963" s="331" t="str">
        <f t="shared" si="93"/>
        <v>Gastos_com_Pessoal</v>
      </c>
      <c r="S963" s="331" t="str">
        <f>IF(D963="","",IF(OR(D963=Plano!$A$1,D963=Plano!$B$1),"entrada","saída"))</f>
        <v>saída</v>
      </c>
      <c r="T963" s="332" t="s">
        <v>114</v>
      </c>
      <c r="U963" s="332" t="s">
        <v>114</v>
      </c>
      <c r="V963" s="269"/>
      <c r="W963" s="269"/>
      <c r="X963" s="269"/>
      <c r="Y963" s="269"/>
      <c r="Z963" s="269"/>
      <c r="AA963" s="269"/>
      <c r="AB963" s="269"/>
      <c r="AC963" s="269"/>
      <c r="AD963" s="269"/>
      <c r="AE963" s="269"/>
      <c r="AF963" s="269"/>
      <c r="AG963" s="269"/>
      <c r="AH963" s="269"/>
      <c r="AI963" s="269"/>
      <c r="AJ963" s="269"/>
      <c r="AK963" s="269"/>
      <c r="AL963" s="269"/>
      <c r="AM963" s="269"/>
    </row>
    <row r="964" spans="1:39" ht="40.5" customHeight="1" x14ac:dyDescent="0.2">
      <c r="A964" s="277">
        <f>IF(B964="","",COUNT('Diário 5º PA'!$A$5:$A$2634)+COUNT('Diário 6º PA'!$A$5:$A$2246)+ROW()-4)</f>
        <v>3503</v>
      </c>
      <c r="B964" s="278">
        <v>44445</v>
      </c>
      <c r="C964" s="249">
        <v>44409</v>
      </c>
      <c r="D964" s="255" t="s">
        <v>88</v>
      </c>
      <c r="E964" s="255" t="s">
        <v>90</v>
      </c>
      <c r="F964" s="258">
        <v>1636.95</v>
      </c>
      <c r="G964" s="450" t="s">
        <v>2247</v>
      </c>
      <c r="H964" s="255" t="s">
        <v>114</v>
      </c>
      <c r="I964" s="250" t="s">
        <v>1776</v>
      </c>
      <c r="J964" s="250" t="s">
        <v>1777</v>
      </c>
      <c r="K964" s="255" t="s">
        <v>991</v>
      </c>
      <c r="L964" s="250" t="s">
        <v>1183</v>
      </c>
      <c r="M964" s="277" t="s">
        <v>114</v>
      </c>
      <c r="N964" s="278">
        <v>44445</v>
      </c>
      <c r="O964" s="329" t="s">
        <v>67</v>
      </c>
      <c r="P964" s="330">
        <f t="shared" si="91"/>
        <v>9</v>
      </c>
      <c r="Q964" s="330">
        <f t="shared" si="92"/>
        <v>8</v>
      </c>
      <c r="R964" s="331" t="str">
        <f t="shared" si="93"/>
        <v>Gastos_com_Pessoal</v>
      </c>
      <c r="S964" s="331" t="str">
        <f>IF(D964="","",IF(OR(D964=Plano!$A$1,D964=Plano!$B$1),"entrada","saída"))</f>
        <v>saída</v>
      </c>
      <c r="T964" s="332" t="s">
        <v>114</v>
      </c>
      <c r="U964" s="332" t="s">
        <v>114</v>
      </c>
      <c r="V964" s="269"/>
      <c r="W964" s="269"/>
      <c r="X964" s="269"/>
      <c r="Y964" s="269"/>
      <c r="Z964" s="269"/>
      <c r="AA964" s="269"/>
      <c r="AB964" s="269"/>
      <c r="AC964" s="269"/>
      <c r="AD964" s="269"/>
      <c r="AE964" s="269"/>
      <c r="AF964" s="269"/>
      <c r="AG964" s="269"/>
      <c r="AH964" s="269"/>
      <c r="AI964" s="269"/>
      <c r="AJ964" s="269"/>
      <c r="AK964" s="269"/>
      <c r="AL964" s="269"/>
      <c r="AM964" s="269"/>
    </row>
    <row r="965" spans="1:39" ht="49.5" customHeight="1" x14ac:dyDescent="0.2">
      <c r="A965" s="277">
        <f>IF(B965="","",COUNT('Diário 5º PA'!$A$5:$A$2634)+COUNT('Diário 6º PA'!$A$5:$A$2246)+ROW()-4)</f>
        <v>3504</v>
      </c>
      <c r="B965" s="278">
        <v>44445</v>
      </c>
      <c r="C965" s="249">
        <v>44409</v>
      </c>
      <c r="D965" s="255" t="s">
        <v>88</v>
      </c>
      <c r="E965" s="255" t="s">
        <v>90</v>
      </c>
      <c r="F965" s="258">
        <v>2073.86</v>
      </c>
      <c r="G965" s="450" t="s">
        <v>2219</v>
      </c>
      <c r="H965" s="255" t="s">
        <v>114</v>
      </c>
      <c r="I965" s="250" t="s">
        <v>1778</v>
      </c>
      <c r="J965" s="250" t="s">
        <v>1779</v>
      </c>
      <c r="K965" s="255" t="s">
        <v>991</v>
      </c>
      <c r="L965" s="250" t="s">
        <v>1183</v>
      </c>
      <c r="M965" s="277" t="s">
        <v>114</v>
      </c>
      <c r="N965" s="278">
        <v>44445</v>
      </c>
      <c r="O965" s="329" t="s">
        <v>67</v>
      </c>
      <c r="P965" s="330">
        <f t="shared" si="91"/>
        <v>9</v>
      </c>
      <c r="Q965" s="330">
        <f t="shared" si="92"/>
        <v>8</v>
      </c>
      <c r="R965" s="331" t="str">
        <f t="shared" si="93"/>
        <v>Gastos_com_Pessoal</v>
      </c>
      <c r="S965" s="331" t="str">
        <f>IF(D965="","",IF(OR(D965=Plano!$A$1,D965=Plano!$B$1),"entrada","saída"))</f>
        <v>saída</v>
      </c>
      <c r="T965" s="332" t="s">
        <v>114</v>
      </c>
      <c r="U965" s="332" t="s">
        <v>114</v>
      </c>
      <c r="V965" s="269"/>
      <c r="W965" s="269"/>
      <c r="X965" s="269"/>
      <c r="Y965" s="269"/>
      <c r="Z965" s="269"/>
      <c r="AA965" s="269"/>
      <c r="AB965" s="269"/>
      <c r="AC965" s="269"/>
      <c r="AD965" s="269"/>
      <c r="AE965" s="269"/>
      <c r="AF965" s="269"/>
      <c r="AG965" s="269"/>
      <c r="AH965" s="269"/>
      <c r="AI965" s="269"/>
      <c r="AJ965" s="269"/>
      <c r="AK965" s="269"/>
      <c r="AL965" s="269"/>
      <c r="AM965" s="269"/>
    </row>
    <row r="966" spans="1:39" ht="49.5" customHeight="1" x14ac:dyDescent="0.2">
      <c r="A966" s="277">
        <f>IF(B966="","",COUNT('Diário 5º PA'!$A$5:$A$2634)+COUNT('Diário 6º PA'!$A$5:$A$2246)+ROW()-4)</f>
        <v>3505</v>
      </c>
      <c r="B966" s="278">
        <v>44445</v>
      </c>
      <c r="C966" s="249">
        <v>44409</v>
      </c>
      <c r="D966" s="255" t="s">
        <v>88</v>
      </c>
      <c r="E966" s="255" t="s">
        <v>90</v>
      </c>
      <c r="F966" s="258">
        <v>1974.47</v>
      </c>
      <c r="G966" s="450" t="s">
        <v>2221</v>
      </c>
      <c r="H966" s="255" t="s">
        <v>114</v>
      </c>
      <c r="I966" s="250" t="s">
        <v>2248</v>
      </c>
      <c r="J966" s="250" t="s">
        <v>1781</v>
      </c>
      <c r="K966" s="255" t="s">
        <v>991</v>
      </c>
      <c r="L966" s="250" t="s">
        <v>1183</v>
      </c>
      <c r="M966" s="277" t="s">
        <v>114</v>
      </c>
      <c r="N966" s="278">
        <v>44445</v>
      </c>
      <c r="O966" s="329" t="s">
        <v>67</v>
      </c>
      <c r="P966" s="330">
        <f t="shared" si="91"/>
        <v>9</v>
      </c>
      <c r="Q966" s="330">
        <f t="shared" si="92"/>
        <v>8</v>
      </c>
      <c r="R966" s="331" t="str">
        <f t="shared" si="93"/>
        <v>Gastos_com_Pessoal</v>
      </c>
      <c r="S966" s="331" t="str">
        <f>IF(D966="","",IF(OR(D966=Plano!$A$1,D966=Plano!$B$1),"entrada","saída"))</f>
        <v>saída</v>
      </c>
      <c r="T966" s="332" t="s">
        <v>114</v>
      </c>
      <c r="U966" s="332" t="s">
        <v>114</v>
      </c>
      <c r="V966" s="269"/>
      <c r="W966" s="269"/>
      <c r="X966" s="269"/>
      <c r="Y966" s="269"/>
      <c r="Z966" s="269"/>
      <c r="AA966" s="269"/>
      <c r="AB966" s="269"/>
      <c r="AC966" s="269"/>
      <c r="AD966" s="269"/>
      <c r="AE966" s="269"/>
      <c r="AF966" s="269"/>
      <c r="AG966" s="269"/>
      <c r="AH966" s="269"/>
      <c r="AI966" s="269"/>
      <c r="AJ966" s="269"/>
      <c r="AK966" s="269"/>
      <c r="AL966" s="269"/>
      <c r="AM966" s="269"/>
    </row>
    <row r="967" spans="1:39" ht="35.25" customHeight="1" x14ac:dyDescent="0.2">
      <c r="A967" s="277">
        <f>IF(B967="","",COUNT('Diário 5º PA'!$A$5:$A$2634)+COUNT('Diário 6º PA'!$A$5:$A$2246)+ROW()-4)</f>
        <v>3506</v>
      </c>
      <c r="B967" s="278">
        <v>44445</v>
      </c>
      <c r="C967" s="249">
        <v>44409</v>
      </c>
      <c r="D967" s="255" t="s">
        <v>88</v>
      </c>
      <c r="E967" s="255" t="s">
        <v>90</v>
      </c>
      <c r="F967" s="258">
        <v>2073.86</v>
      </c>
      <c r="G967" s="450" t="s">
        <v>2219</v>
      </c>
      <c r="H967" s="255" t="s">
        <v>114</v>
      </c>
      <c r="I967" s="250" t="s">
        <v>1780</v>
      </c>
      <c r="J967" s="250" t="s">
        <v>1781</v>
      </c>
      <c r="K967" s="255" t="s">
        <v>991</v>
      </c>
      <c r="L967" s="250" t="s">
        <v>1183</v>
      </c>
      <c r="M967" s="277" t="s">
        <v>114</v>
      </c>
      <c r="N967" s="278">
        <v>44445</v>
      </c>
      <c r="O967" s="329" t="s">
        <v>67</v>
      </c>
      <c r="P967" s="330">
        <f t="shared" si="91"/>
        <v>9</v>
      </c>
      <c r="Q967" s="330">
        <f t="shared" si="92"/>
        <v>8</v>
      </c>
      <c r="R967" s="331" t="str">
        <f t="shared" si="93"/>
        <v>Gastos_com_Pessoal</v>
      </c>
      <c r="S967" s="331" t="str">
        <f>IF(D967="","",IF(OR(D967=Plano!$A$1,D967=Plano!$B$1),"entrada","saída"))</f>
        <v>saída</v>
      </c>
      <c r="T967" s="332" t="s">
        <v>114</v>
      </c>
      <c r="U967" s="332" t="s">
        <v>114</v>
      </c>
      <c r="V967" s="269"/>
      <c r="W967" s="269"/>
      <c r="X967" s="269"/>
      <c r="Y967" s="269"/>
      <c r="Z967" s="269"/>
      <c r="AA967" s="269"/>
      <c r="AB967" s="269"/>
      <c r="AC967" s="269"/>
      <c r="AD967" s="269"/>
      <c r="AE967" s="269"/>
      <c r="AF967" s="269"/>
      <c r="AG967" s="269"/>
      <c r="AH967" s="269"/>
      <c r="AI967" s="269"/>
      <c r="AJ967" s="269"/>
      <c r="AK967" s="269"/>
      <c r="AL967" s="269"/>
      <c r="AM967" s="269"/>
    </row>
    <row r="968" spans="1:39" ht="48" customHeight="1" x14ac:dyDescent="0.2">
      <c r="A968" s="277">
        <f>IF(B968="","",COUNT('Diário 5º PA'!$A$5:$A$2634)+COUNT('Diário 6º PA'!$A$5:$A$2246)+ROW()-4)</f>
        <v>3507</v>
      </c>
      <c r="B968" s="278">
        <v>44445</v>
      </c>
      <c r="C968" s="249">
        <v>44409</v>
      </c>
      <c r="D968" s="255" t="s">
        <v>88</v>
      </c>
      <c r="E968" s="255" t="s">
        <v>90</v>
      </c>
      <c r="F968" s="258">
        <v>1974.47</v>
      </c>
      <c r="G968" s="450" t="s">
        <v>2249</v>
      </c>
      <c r="H968" s="255" t="s">
        <v>114</v>
      </c>
      <c r="I968" s="250" t="s">
        <v>2250</v>
      </c>
      <c r="J968" s="250" t="s">
        <v>2251</v>
      </c>
      <c r="K968" s="255" t="s">
        <v>2252</v>
      </c>
      <c r="L968" s="250" t="s">
        <v>1183</v>
      </c>
      <c r="M968" s="277" t="s">
        <v>114</v>
      </c>
      <c r="N968" s="278">
        <v>44445</v>
      </c>
      <c r="O968" s="329" t="s">
        <v>67</v>
      </c>
      <c r="P968" s="330">
        <f t="shared" si="91"/>
        <v>9</v>
      </c>
      <c r="Q968" s="330">
        <f t="shared" si="92"/>
        <v>8</v>
      </c>
      <c r="R968" s="331" t="str">
        <f t="shared" si="93"/>
        <v>Gastos_com_Pessoal</v>
      </c>
      <c r="S968" s="331" t="str">
        <f>IF(D968="","",IF(OR(D968=Plano!$A$1,D968=Plano!$B$1),"entrada","saída"))</f>
        <v>saída</v>
      </c>
      <c r="T968" s="332" t="s">
        <v>114</v>
      </c>
      <c r="U968" s="332" t="s">
        <v>114</v>
      </c>
      <c r="V968" s="269"/>
      <c r="W968" s="269"/>
      <c r="X968" s="269"/>
      <c r="Y968" s="269"/>
      <c r="Z968" s="269"/>
      <c r="AA968" s="269"/>
      <c r="AB968" s="269"/>
      <c r="AC968" s="269"/>
      <c r="AD968" s="269"/>
      <c r="AE968" s="269"/>
      <c r="AF968" s="269"/>
      <c r="AG968" s="269"/>
      <c r="AH968" s="269"/>
      <c r="AI968" s="269"/>
      <c r="AJ968" s="269"/>
      <c r="AK968" s="269"/>
      <c r="AL968" s="269"/>
      <c r="AM968" s="269"/>
    </row>
    <row r="969" spans="1:39" ht="50.25" customHeight="1" x14ac:dyDescent="0.2">
      <c r="A969" s="277">
        <f>IF(B969="","",COUNT('Diário 5º PA'!$A$5:$A$2634)+COUNT('Diário 6º PA'!$A$5:$A$2246)+ROW()-4)</f>
        <v>3508</v>
      </c>
      <c r="B969" s="278">
        <v>44445</v>
      </c>
      <c r="C969" s="249">
        <v>44409</v>
      </c>
      <c r="D969" s="255" t="s">
        <v>88</v>
      </c>
      <c r="E969" s="255" t="s">
        <v>90</v>
      </c>
      <c r="F969" s="258">
        <v>2091.41</v>
      </c>
      <c r="G969" s="450" t="s">
        <v>2219</v>
      </c>
      <c r="H969" s="255" t="s">
        <v>114</v>
      </c>
      <c r="I969" s="250" t="s">
        <v>1782</v>
      </c>
      <c r="J969" s="250" t="s">
        <v>1783</v>
      </c>
      <c r="K969" s="255" t="s">
        <v>991</v>
      </c>
      <c r="L969" s="250" t="s">
        <v>1183</v>
      </c>
      <c r="M969" s="277" t="s">
        <v>114</v>
      </c>
      <c r="N969" s="278">
        <v>44445</v>
      </c>
      <c r="O969" s="329" t="s">
        <v>67</v>
      </c>
      <c r="P969" s="330">
        <f t="shared" si="91"/>
        <v>9</v>
      </c>
      <c r="Q969" s="330">
        <f t="shared" si="92"/>
        <v>8</v>
      </c>
      <c r="R969" s="331" t="str">
        <f t="shared" si="93"/>
        <v>Gastos_com_Pessoal</v>
      </c>
      <c r="S969" s="331" t="str">
        <f>IF(D969="","",IF(OR(D969=Plano!$A$1,D969=Plano!$B$1),"entrada","saída"))</f>
        <v>saída</v>
      </c>
      <c r="T969" s="332" t="s">
        <v>114</v>
      </c>
      <c r="U969" s="332" t="s">
        <v>114</v>
      </c>
      <c r="V969" s="269"/>
      <c r="W969" s="269"/>
      <c r="X969" s="269"/>
      <c r="Y969" s="269"/>
      <c r="Z969" s="269"/>
      <c r="AA969" s="269"/>
      <c r="AB969" s="269"/>
      <c r="AC969" s="269"/>
      <c r="AD969" s="269"/>
      <c r="AE969" s="269"/>
      <c r="AF969" s="269"/>
      <c r="AG969" s="269"/>
      <c r="AH969" s="269"/>
      <c r="AI969" s="269"/>
      <c r="AJ969" s="269"/>
      <c r="AK969" s="269"/>
      <c r="AL969" s="269"/>
      <c r="AM969" s="269"/>
    </row>
    <row r="970" spans="1:39" ht="43.5" customHeight="1" x14ac:dyDescent="0.2">
      <c r="A970" s="277">
        <f>IF(B970="","",COUNT('Diário 5º PA'!$A$5:$A$2634)+COUNT('Diário 6º PA'!$A$5:$A$2246)+ROW()-4)</f>
        <v>3509</v>
      </c>
      <c r="B970" s="278">
        <v>44445</v>
      </c>
      <c r="C970" s="249">
        <v>44409</v>
      </c>
      <c r="D970" s="255" t="s">
        <v>88</v>
      </c>
      <c r="E970" s="255" t="s">
        <v>90</v>
      </c>
      <c r="F970" s="258">
        <v>1497.7</v>
      </c>
      <c r="G970" s="450" t="s">
        <v>2253</v>
      </c>
      <c r="H970" s="255" t="s">
        <v>114</v>
      </c>
      <c r="I970" s="250" t="s">
        <v>1206</v>
      </c>
      <c r="J970" s="250" t="s">
        <v>1207</v>
      </c>
      <c r="K970" s="255" t="s">
        <v>991</v>
      </c>
      <c r="L970" s="250" t="s">
        <v>1183</v>
      </c>
      <c r="M970" s="277" t="s">
        <v>114</v>
      </c>
      <c r="N970" s="278">
        <v>44445</v>
      </c>
      <c r="O970" s="329" t="s">
        <v>67</v>
      </c>
      <c r="P970" s="330">
        <f t="shared" si="91"/>
        <v>9</v>
      </c>
      <c r="Q970" s="330">
        <f t="shared" si="92"/>
        <v>8</v>
      </c>
      <c r="R970" s="331" t="str">
        <f t="shared" si="93"/>
        <v>Gastos_com_Pessoal</v>
      </c>
      <c r="S970" s="331" t="str">
        <f>IF(D970="","",IF(OR(D970=Plano!$A$1,D970=Plano!$B$1),"entrada","saída"))</f>
        <v>saída</v>
      </c>
      <c r="T970" s="332" t="s">
        <v>114</v>
      </c>
      <c r="U970" s="332" t="s">
        <v>114</v>
      </c>
      <c r="V970" s="269"/>
      <c r="W970" s="269"/>
      <c r="X970" s="269"/>
      <c r="Y970" s="269"/>
      <c r="Z970" s="269"/>
      <c r="AA970" s="269"/>
      <c r="AB970" s="269"/>
      <c r="AC970" s="269"/>
      <c r="AD970" s="269"/>
      <c r="AE970" s="269"/>
      <c r="AF970" s="269"/>
      <c r="AG970" s="269"/>
      <c r="AH970" s="269"/>
      <c r="AI970" s="269"/>
      <c r="AJ970" s="269"/>
      <c r="AK970" s="269"/>
      <c r="AL970" s="269"/>
      <c r="AM970" s="269"/>
    </row>
    <row r="971" spans="1:39" ht="171.75" customHeight="1" x14ac:dyDescent="0.2">
      <c r="A971" s="277">
        <f>IF(B971="","",COUNT('Diário 5º PA'!$A$5:$A$2634)+COUNT('Diário 6º PA'!$A$5:$A$2246)+ROW()-4)</f>
        <v>3510</v>
      </c>
      <c r="B971" s="278">
        <v>44445</v>
      </c>
      <c r="C971" s="249">
        <v>44409</v>
      </c>
      <c r="D971" s="250" t="s">
        <v>99</v>
      </c>
      <c r="E971" s="250" t="s">
        <v>364</v>
      </c>
      <c r="F971" s="251">
        <v>8360</v>
      </c>
      <c r="G971" s="452" t="s">
        <v>2254</v>
      </c>
      <c r="H971" s="250" t="s">
        <v>131</v>
      </c>
      <c r="I971" s="250" t="s">
        <v>2255</v>
      </c>
      <c r="J971" s="250" t="s">
        <v>2256</v>
      </c>
      <c r="K971" s="255" t="s">
        <v>991</v>
      </c>
      <c r="L971" s="250" t="s">
        <v>992</v>
      </c>
      <c r="M971" s="277" t="s">
        <v>1299</v>
      </c>
      <c r="N971" s="278">
        <v>44447</v>
      </c>
      <c r="O971" s="329" t="s">
        <v>67</v>
      </c>
      <c r="P971" s="330">
        <f t="shared" si="91"/>
        <v>9</v>
      </c>
      <c r="Q971" s="330">
        <f t="shared" si="92"/>
        <v>8</v>
      </c>
      <c r="R971" s="331" t="str">
        <f t="shared" si="93"/>
        <v>Gastos_Gerais</v>
      </c>
      <c r="S971" s="331" t="str">
        <f>IF(D971="","",IF(OR(D971=Plano!$A$1,D971=Plano!$B$1),"entrada","saída"))</f>
        <v>saída</v>
      </c>
      <c r="T971" s="334" t="s">
        <v>1059</v>
      </c>
      <c r="U971" s="334">
        <v>1661</v>
      </c>
      <c r="V971" s="269"/>
      <c r="W971" s="269"/>
      <c r="X971" s="269"/>
      <c r="Y971" s="269"/>
      <c r="Z971" s="269"/>
      <c r="AA971" s="269"/>
      <c r="AB971" s="269"/>
      <c r="AC971" s="269"/>
      <c r="AD971" s="269"/>
      <c r="AE971" s="269"/>
      <c r="AF971" s="269"/>
      <c r="AG971" s="269"/>
      <c r="AH971" s="269"/>
      <c r="AI971" s="269"/>
      <c r="AJ971" s="269"/>
      <c r="AK971" s="269"/>
      <c r="AL971" s="269"/>
      <c r="AM971" s="269"/>
    </row>
    <row r="972" spans="1:39" ht="45.75" customHeight="1" x14ac:dyDescent="0.2">
      <c r="A972" s="277">
        <f>IF(B972="","",COUNT('Diário 5º PA'!$A$5:$A$2634)+COUNT('Diário 6º PA'!$A$5:$A$2246)+ROW()-4)</f>
        <v>3511</v>
      </c>
      <c r="B972" s="278">
        <v>44445</v>
      </c>
      <c r="C972" s="249">
        <v>44409</v>
      </c>
      <c r="D972" s="255" t="s">
        <v>88</v>
      </c>
      <c r="E972" s="255" t="s">
        <v>90</v>
      </c>
      <c r="F972" s="258">
        <v>2661.21</v>
      </c>
      <c r="G972" s="450" t="s">
        <v>2257</v>
      </c>
      <c r="H972" s="255" t="s">
        <v>114</v>
      </c>
      <c r="I972" s="250" t="s">
        <v>2258</v>
      </c>
      <c r="J972" s="250" t="s">
        <v>2259</v>
      </c>
      <c r="K972" s="255" t="s">
        <v>991</v>
      </c>
      <c r="L972" s="250" t="s">
        <v>1183</v>
      </c>
      <c r="M972" s="277" t="s">
        <v>114</v>
      </c>
      <c r="N972" s="278">
        <v>44445</v>
      </c>
      <c r="O972" s="329" t="s">
        <v>67</v>
      </c>
      <c r="P972" s="330">
        <f t="shared" si="91"/>
        <v>9</v>
      </c>
      <c r="Q972" s="330">
        <f t="shared" si="92"/>
        <v>8</v>
      </c>
      <c r="R972" s="331" t="str">
        <f t="shared" si="93"/>
        <v>Gastos_com_Pessoal</v>
      </c>
      <c r="S972" s="331" t="str">
        <f>IF(D972="","",IF(OR(D972=Plano!$A$1,D972=Plano!$B$1),"entrada","saída"))</f>
        <v>saída</v>
      </c>
      <c r="T972" s="332" t="s">
        <v>114</v>
      </c>
      <c r="U972" s="332" t="s">
        <v>114</v>
      </c>
      <c r="V972" s="269"/>
      <c r="W972" s="269"/>
      <c r="X972" s="269"/>
      <c r="Y972" s="269"/>
      <c r="Z972" s="269"/>
      <c r="AA972" s="269"/>
      <c r="AB972" s="269"/>
      <c r="AC972" s="269"/>
      <c r="AD972" s="269"/>
      <c r="AE972" s="269"/>
      <c r="AF972" s="269"/>
      <c r="AG972" s="269"/>
      <c r="AH972" s="269"/>
      <c r="AI972" s="269"/>
      <c r="AJ972" s="269"/>
      <c r="AK972" s="269"/>
      <c r="AL972" s="269"/>
      <c r="AM972" s="269"/>
    </row>
    <row r="973" spans="1:39" ht="53.25" customHeight="1" x14ac:dyDescent="0.2">
      <c r="A973" s="277">
        <f>IF(B973="","",COUNT('Diário 5º PA'!$A$5:$A$2634)+COUNT('Diário 6º PA'!$A$5:$A$2246)+ROW()-4)</f>
        <v>3512</v>
      </c>
      <c r="B973" s="278">
        <v>44445</v>
      </c>
      <c r="C973" s="249">
        <v>44409</v>
      </c>
      <c r="D973" s="255" t="s">
        <v>88</v>
      </c>
      <c r="E973" s="255" t="s">
        <v>90</v>
      </c>
      <c r="F973" s="258">
        <v>1974.47</v>
      </c>
      <c r="G973" s="450" t="s">
        <v>2221</v>
      </c>
      <c r="H973" s="255" t="s">
        <v>114</v>
      </c>
      <c r="I973" s="250" t="s">
        <v>2260</v>
      </c>
      <c r="J973" s="250" t="s">
        <v>2261</v>
      </c>
      <c r="K973" s="255" t="s">
        <v>991</v>
      </c>
      <c r="L973" s="250" t="s">
        <v>1183</v>
      </c>
      <c r="M973" s="277" t="s">
        <v>114</v>
      </c>
      <c r="N973" s="278">
        <v>44445</v>
      </c>
      <c r="O973" s="329" t="s">
        <v>67</v>
      </c>
      <c r="P973" s="330">
        <f t="shared" si="91"/>
        <v>9</v>
      </c>
      <c r="Q973" s="330">
        <f t="shared" si="92"/>
        <v>8</v>
      </c>
      <c r="R973" s="331" t="str">
        <f t="shared" si="93"/>
        <v>Gastos_com_Pessoal</v>
      </c>
      <c r="S973" s="331" t="str">
        <f>IF(D973="","",IF(OR(D973=Plano!$A$1,D973=Plano!$B$1),"entrada","saída"))</f>
        <v>saída</v>
      </c>
      <c r="T973" s="332" t="s">
        <v>114</v>
      </c>
      <c r="U973" s="332" t="s">
        <v>114</v>
      </c>
      <c r="V973" s="269"/>
      <c r="W973" s="269"/>
      <c r="X973" s="269"/>
      <c r="Y973" s="269"/>
      <c r="Z973" s="269"/>
      <c r="AA973" s="269"/>
      <c r="AB973" s="269"/>
      <c r="AC973" s="269"/>
      <c r="AD973" s="269"/>
      <c r="AE973" s="269"/>
      <c r="AF973" s="269"/>
      <c r="AG973" s="269"/>
      <c r="AH973" s="269"/>
      <c r="AI973" s="269"/>
      <c r="AJ973" s="269"/>
      <c r="AK973" s="269"/>
      <c r="AL973" s="269"/>
      <c r="AM973" s="269"/>
    </row>
    <row r="974" spans="1:39" ht="39.75" customHeight="1" x14ac:dyDescent="0.2">
      <c r="A974" s="277">
        <f>IF(B974="","",COUNT('Diário 5º PA'!$A$5:$A$2634)+COUNT('Diário 6º PA'!$A$5:$A$2246)+ROW()-4)</f>
        <v>3513</v>
      </c>
      <c r="B974" s="278">
        <v>44445</v>
      </c>
      <c r="C974" s="249">
        <v>44409</v>
      </c>
      <c r="D974" s="255" t="s">
        <v>88</v>
      </c>
      <c r="E974" s="255" t="s">
        <v>90</v>
      </c>
      <c r="F974" s="257">
        <v>4413.74</v>
      </c>
      <c r="G974" s="450" t="s">
        <v>2262</v>
      </c>
      <c r="H974" s="255" t="s">
        <v>114</v>
      </c>
      <c r="I974" s="250" t="s">
        <v>1221</v>
      </c>
      <c r="J974" s="255" t="s">
        <v>1222</v>
      </c>
      <c r="K974" s="255" t="s">
        <v>1015</v>
      </c>
      <c r="L974" s="250" t="s">
        <v>1183</v>
      </c>
      <c r="M974" s="277" t="s">
        <v>114</v>
      </c>
      <c r="N974" s="278">
        <v>44445</v>
      </c>
      <c r="O974" s="329" t="s">
        <v>67</v>
      </c>
      <c r="P974" s="330">
        <f t="shared" si="91"/>
        <v>9</v>
      </c>
      <c r="Q974" s="330">
        <f t="shared" si="92"/>
        <v>8</v>
      </c>
      <c r="R974" s="331" t="str">
        <f t="shared" si="93"/>
        <v>Gastos_com_Pessoal</v>
      </c>
      <c r="S974" s="331" t="str">
        <f>IF(D974="","",IF(OR(D974=Plano!$A$1,D974=Plano!$B$1),"entrada","saída"))</f>
        <v>saída</v>
      </c>
      <c r="T974" s="332" t="s">
        <v>114</v>
      </c>
      <c r="U974" s="332" t="s">
        <v>114</v>
      </c>
      <c r="V974" s="269"/>
      <c r="W974" s="269"/>
      <c r="X974" s="269"/>
      <c r="Y974" s="269"/>
      <c r="Z974" s="269"/>
      <c r="AA974" s="269"/>
      <c r="AB974" s="269"/>
      <c r="AC974" s="269"/>
      <c r="AD974" s="269"/>
      <c r="AE974" s="269"/>
      <c r="AF974" s="269"/>
      <c r="AG974" s="269"/>
      <c r="AH974" s="269"/>
      <c r="AI974" s="269"/>
      <c r="AJ974" s="269"/>
      <c r="AK974" s="269"/>
      <c r="AL974" s="269"/>
      <c r="AM974" s="269"/>
    </row>
    <row r="975" spans="1:39" ht="56.25" customHeight="1" x14ac:dyDescent="0.2">
      <c r="A975" s="277">
        <f>IF(B975="","",COUNT('Diário 5º PA'!$A$5:$A$2634)+COUNT('Diário 6º PA'!$A$5:$A$2246)+ROW()-4)</f>
        <v>3514</v>
      </c>
      <c r="B975" s="278">
        <v>44445</v>
      </c>
      <c r="C975" s="249">
        <v>44409</v>
      </c>
      <c r="D975" s="255" t="s">
        <v>88</v>
      </c>
      <c r="E975" s="255" t="s">
        <v>90</v>
      </c>
      <c r="F975" s="258">
        <v>2073.86</v>
      </c>
      <c r="G975" s="450" t="s">
        <v>2219</v>
      </c>
      <c r="H975" s="255" t="s">
        <v>114</v>
      </c>
      <c r="I975" s="250" t="s">
        <v>1794</v>
      </c>
      <c r="J975" s="250" t="s">
        <v>1795</v>
      </c>
      <c r="K975" s="255" t="s">
        <v>1015</v>
      </c>
      <c r="L975" s="250" t="s">
        <v>1183</v>
      </c>
      <c r="M975" s="277" t="s">
        <v>114</v>
      </c>
      <c r="N975" s="278">
        <v>44445</v>
      </c>
      <c r="O975" s="329" t="s">
        <v>67</v>
      </c>
      <c r="P975" s="330">
        <f t="shared" si="91"/>
        <v>9</v>
      </c>
      <c r="Q975" s="330">
        <f t="shared" si="92"/>
        <v>8</v>
      </c>
      <c r="R975" s="331" t="str">
        <f t="shared" si="93"/>
        <v>Gastos_com_Pessoal</v>
      </c>
      <c r="S975" s="331" t="str">
        <f>IF(D975="","",IF(OR(D975=Plano!$A$1,D975=Plano!$B$1),"entrada","saída"))</f>
        <v>saída</v>
      </c>
      <c r="T975" s="332" t="s">
        <v>114</v>
      </c>
      <c r="U975" s="332" t="s">
        <v>114</v>
      </c>
      <c r="V975" s="269"/>
      <c r="W975" s="269"/>
      <c r="X975" s="269"/>
      <c r="Y975" s="269"/>
      <c r="Z975" s="269"/>
      <c r="AA975" s="269"/>
      <c r="AB975" s="269"/>
      <c r="AC975" s="269"/>
      <c r="AD975" s="269"/>
      <c r="AE975" s="269"/>
      <c r="AF975" s="269"/>
      <c r="AG975" s="269"/>
      <c r="AH975" s="269"/>
      <c r="AI975" s="269"/>
      <c r="AJ975" s="269"/>
      <c r="AK975" s="269"/>
      <c r="AL975" s="269"/>
      <c r="AM975" s="269"/>
    </row>
    <row r="976" spans="1:39" ht="45" customHeight="1" x14ac:dyDescent="0.2">
      <c r="A976" s="277">
        <f>IF(B976="","",COUNT('Diário 5º PA'!$A$5:$A$2634)+COUNT('Diário 6º PA'!$A$5:$A$2246)+ROW()-4)</f>
        <v>3515</v>
      </c>
      <c r="B976" s="278">
        <v>44445</v>
      </c>
      <c r="C976" s="249">
        <v>44409</v>
      </c>
      <c r="D976" s="255" t="s">
        <v>88</v>
      </c>
      <c r="E976" s="255" t="s">
        <v>90</v>
      </c>
      <c r="F976" s="258">
        <v>2254.21</v>
      </c>
      <c r="G976" s="450" t="s">
        <v>2263</v>
      </c>
      <c r="H976" s="255" t="s">
        <v>114</v>
      </c>
      <c r="I976" s="250" t="s">
        <v>1797</v>
      </c>
      <c r="J976" s="250" t="s">
        <v>1798</v>
      </c>
      <c r="K976" s="255" t="s">
        <v>1015</v>
      </c>
      <c r="L976" s="250" t="s">
        <v>1183</v>
      </c>
      <c r="M976" s="277" t="s">
        <v>114</v>
      </c>
      <c r="N976" s="278">
        <v>44445</v>
      </c>
      <c r="O976" s="329" t="s">
        <v>67</v>
      </c>
      <c r="P976" s="330">
        <f t="shared" si="91"/>
        <v>9</v>
      </c>
      <c r="Q976" s="330">
        <f t="shared" si="92"/>
        <v>8</v>
      </c>
      <c r="R976" s="331" t="str">
        <f t="shared" si="93"/>
        <v>Gastos_com_Pessoal</v>
      </c>
      <c r="S976" s="331" t="str">
        <f>IF(D976="","",IF(OR(D976=Plano!$A$1,D976=Plano!$B$1),"entrada","saída"))</f>
        <v>saída</v>
      </c>
      <c r="T976" s="332" t="s">
        <v>114</v>
      </c>
      <c r="U976" s="332" t="s">
        <v>114</v>
      </c>
      <c r="V976" s="269"/>
      <c r="W976" s="269"/>
      <c r="X976" s="269"/>
      <c r="Y976" s="269"/>
      <c r="Z976" s="269"/>
      <c r="AA976" s="269"/>
      <c r="AB976" s="269"/>
      <c r="AC976" s="269"/>
      <c r="AD976" s="269"/>
      <c r="AE976" s="269"/>
      <c r="AF976" s="269"/>
      <c r="AG976" s="269"/>
      <c r="AH976" s="269"/>
      <c r="AI976" s="269"/>
      <c r="AJ976" s="269"/>
      <c r="AK976" s="269"/>
      <c r="AL976" s="269"/>
      <c r="AM976" s="269"/>
    </row>
    <row r="977" spans="1:39" ht="49.5" customHeight="1" x14ac:dyDescent="0.2">
      <c r="A977" s="277">
        <f>IF(B977="","",COUNT('Diário 5º PA'!$A$5:$A$2634)+COUNT('Diário 6º PA'!$A$5:$A$2246)+ROW()-4)</f>
        <v>3516</v>
      </c>
      <c r="B977" s="278">
        <v>44445</v>
      </c>
      <c r="C977" s="249">
        <v>44409</v>
      </c>
      <c r="D977" s="255" t="s">
        <v>88</v>
      </c>
      <c r="E977" s="255" t="s">
        <v>90</v>
      </c>
      <c r="F977" s="258">
        <v>2073.86</v>
      </c>
      <c r="G977" s="450" t="s">
        <v>2219</v>
      </c>
      <c r="H977" s="255" t="s">
        <v>114</v>
      </c>
      <c r="I977" s="250" t="s">
        <v>1799</v>
      </c>
      <c r="J977" s="250" t="s">
        <v>1800</v>
      </c>
      <c r="K977" s="255" t="s">
        <v>1015</v>
      </c>
      <c r="L977" s="250" t="s">
        <v>1183</v>
      </c>
      <c r="M977" s="277" t="s">
        <v>114</v>
      </c>
      <c r="N977" s="278">
        <v>44445</v>
      </c>
      <c r="O977" s="329" t="s">
        <v>67</v>
      </c>
      <c r="P977" s="330">
        <f t="shared" si="91"/>
        <v>9</v>
      </c>
      <c r="Q977" s="330">
        <f t="shared" si="92"/>
        <v>8</v>
      </c>
      <c r="R977" s="331" t="str">
        <f t="shared" si="93"/>
        <v>Gastos_com_Pessoal</v>
      </c>
      <c r="S977" s="331" t="str">
        <f>IF(D977="","",IF(OR(D977=Plano!$A$1,D977=Plano!$B$1),"entrada","saída"))</f>
        <v>saída</v>
      </c>
      <c r="T977" s="332" t="s">
        <v>114</v>
      </c>
      <c r="U977" s="332" t="s">
        <v>114</v>
      </c>
      <c r="V977" s="269"/>
      <c r="W977" s="269"/>
      <c r="X977" s="269"/>
      <c r="Y977" s="269"/>
      <c r="Z977" s="269"/>
      <c r="AA977" s="269"/>
      <c r="AB977" s="269"/>
      <c r="AC977" s="269"/>
      <c r="AD977" s="269"/>
      <c r="AE977" s="269"/>
      <c r="AF977" s="269"/>
      <c r="AG977" s="269"/>
      <c r="AH977" s="269"/>
      <c r="AI977" s="269"/>
      <c r="AJ977" s="269"/>
      <c r="AK977" s="269"/>
      <c r="AL977" s="269"/>
      <c r="AM977" s="269"/>
    </row>
    <row r="978" spans="1:39" ht="54" customHeight="1" x14ac:dyDescent="0.2">
      <c r="A978" s="277">
        <f>IF(B978="","",COUNT('Diário 5º PA'!$A$5:$A$2634)+COUNT('Diário 6º PA'!$A$5:$A$2246)+ROW()-4)</f>
        <v>3517</v>
      </c>
      <c r="B978" s="278">
        <v>44445</v>
      </c>
      <c r="C978" s="249">
        <v>44409</v>
      </c>
      <c r="D978" s="255" t="s">
        <v>88</v>
      </c>
      <c r="E978" s="255" t="s">
        <v>90</v>
      </c>
      <c r="F978" s="258">
        <v>2091.41</v>
      </c>
      <c r="G978" s="450" t="s">
        <v>2219</v>
      </c>
      <c r="H978" s="255" t="s">
        <v>114</v>
      </c>
      <c r="I978" s="250" t="s">
        <v>1801</v>
      </c>
      <c r="J978" s="250" t="s">
        <v>1802</v>
      </c>
      <c r="K978" s="255" t="s">
        <v>1015</v>
      </c>
      <c r="L978" s="250" t="s">
        <v>1183</v>
      </c>
      <c r="M978" s="277" t="s">
        <v>114</v>
      </c>
      <c r="N978" s="278">
        <v>44445</v>
      </c>
      <c r="O978" s="329" t="s">
        <v>67</v>
      </c>
      <c r="P978" s="330">
        <f t="shared" si="91"/>
        <v>9</v>
      </c>
      <c r="Q978" s="330">
        <f t="shared" si="92"/>
        <v>8</v>
      </c>
      <c r="R978" s="331" t="str">
        <f t="shared" si="93"/>
        <v>Gastos_com_Pessoal</v>
      </c>
      <c r="S978" s="331" t="str">
        <f>IF(D978="","",IF(OR(D978=Plano!$A$1,D978=Plano!$B$1),"entrada","saída"))</f>
        <v>saída</v>
      </c>
      <c r="T978" s="332" t="s">
        <v>114</v>
      </c>
      <c r="U978" s="332" t="s">
        <v>114</v>
      </c>
      <c r="V978" s="269"/>
      <c r="W978" s="269"/>
      <c r="X978" s="269"/>
      <c r="Y978" s="269"/>
      <c r="Z978" s="269"/>
      <c r="AA978" s="269"/>
      <c r="AB978" s="269"/>
      <c r="AC978" s="269"/>
      <c r="AD978" s="269"/>
      <c r="AE978" s="269"/>
      <c r="AF978" s="269"/>
      <c r="AG978" s="269"/>
      <c r="AH978" s="269"/>
      <c r="AI978" s="269"/>
      <c r="AJ978" s="269"/>
      <c r="AK978" s="269"/>
      <c r="AL978" s="269"/>
      <c r="AM978" s="269"/>
    </row>
    <row r="979" spans="1:39" ht="51" customHeight="1" x14ac:dyDescent="0.2">
      <c r="A979" s="277">
        <f>IF(B979="","",COUNT('Diário 5º PA'!$A$5:$A$2634)+COUNT('Diário 6º PA'!$A$5:$A$2246)+ROW()-4)</f>
        <v>3518</v>
      </c>
      <c r="B979" s="278">
        <v>44445</v>
      </c>
      <c r="C979" s="249">
        <v>44409</v>
      </c>
      <c r="D979" s="255" t="s">
        <v>88</v>
      </c>
      <c r="E979" s="255" t="s">
        <v>90</v>
      </c>
      <c r="F979" s="258">
        <v>2073.86</v>
      </c>
      <c r="G979" s="450" t="s">
        <v>2219</v>
      </c>
      <c r="H979" s="255" t="s">
        <v>114</v>
      </c>
      <c r="I979" s="250" t="s">
        <v>1803</v>
      </c>
      <c r="J979" s="250" t="s">
        <v>1804</v>
      </c>
      <c r="K979" s="255" t="s">
        <v>1015</v>
      </c>
      <c r="L979" s="250" t="s">
        <v>1183</v>
      </c>
      <c r="M979" s="277" t="s">
        <v>114</v>
      </c>
      <c r="N979" s="278">
        <v>44445</v>
      </c>
      <c r="O979" s="329" t="s">
        <v>67</v>
      </c>
      <c r="P979" s="330">
        <f t="shared" si="91"/>
        <v>9</v>
      </c>
      <c r="Q979" s="330">
        <f t="shared" si="92"/>
        <v>8</v>
      </c>
      <c r="R979" s="331" t="str">
        <f t="shared" si="93"/>
        <v>Gastos_com_Pessoal</v>
      </c>
      <c r="S979" s="331" t="str">
        <f>IF(D979="","",IF(OR(D979=Plano!$A$1,D979=Plano!$B$1),"entrada","saída"))</f>
        <v>saída</v>
      </c>
      <c r="T979" s="332" t="s">
        <v>114</v>
      </c>
      <c r="U979" s="332" t="s">
        <v>114</v>
      </c>
      <c r="V979" s="269"/>
      <c r="W979" s="269"/>
      <c r="X979" s="269"/>
      <c r="Y979" s="269"/>
      <c r="Z979" s="269"/>
      <c r="AA979" s="269"/>
      <c r="AB979" s="269"/>
      <c r="AC979" s="269"/>
      <c r="AD979" s="269"/>
      <c r="AE979" s="269"/>
      <c r="AF979" s="269"/>
      <c r="AG979" s="269"/>
      <c r="AH979" s="269"/>
      <c r="AI979" s="269"/>
      <c r="AJ979" s="269"/>
      <c r="AK979" s="269"/>
      <c r="AL979" s="269"/>
      <c r="AM979" s="269"/>
    </row>
    <row r="980" spans="1:39" ht="39" customHeight="1" x14ac:dyDescent="0.2">
      <c r="A980" s="277">
        <f>IF(B980="","",COUNT('Diário 5º PA'!$A$5:$A$2634)+COUNT('Diário 6º PA'!$A$5:$A$2246)+ROW()-4)</f>
        <v>3519</v>
      </c>
      <c r="B980" s="278">
        <v>44445</v>
      </c>
      <c r="C980" s="249">
        <v>44440</v>
      </c>
      <c r="D980" s="255" t="s">
        <v>88</v>
      </c>
      <c r="E980" s="255" t="s">
        <v>177</v>
      </c>
      <c r="F980" s="257">
        <v>3167.26</v>
      </c>
      <c r="G980" s="450" t="s">
        <v>2264</v>
      </c>
      <c r="H980" s="255" t="s">
        <v>114</v>
      </c>
      <c r="I980" s="250" t="s">
        <v>1224</v>
      </c>
      <c r="J980" s="255" t="s">
        <v>1225</v>
      </c>
      <c r="K980" s="255" t="s">
        <v>1015</v>
      </c>
      <c r="L980" s="250" t="s">
        <v>1347</v>
      </c>
      <c r="M980" s="277" t="s">
        <v>114</v>
      </c>
      <c r="N980" s="278">
        <v>44445</v>
      </c>
      <c r="O980" s="329" t="s">
        <v>67</v>
      </c>
      <c r="P980" s="330">
        <f t="shared" si="91"/>
        <v>9</v>
      </c>
      <c r="Q980" s="330">
        <f t="shared" si="92"/>
        <v>9</v>
      </c>
      <c r="R980" s="331" t="str">
        <f t="shared" si="93"/>
        <v>Gastos_com_Pessoal</v>
      </c>
      <c r="S980" s="331" t="str">
        <f>IF(D980="","",IF(OR(D980=Plano!$A$1,D980=Plano!$B$1),"entrada","saída"))</f>
        <v>saída</v>
      </c>
      <c r="T980" s="332" t="s">
        <v>114</v>
      </c>
      <c r="U980" s="332" t="s">
        <v>114</v>
      </c>
      <c r="V980" s="269"/>
      <c r="W980" s="269"/>
      <c r="X980" s="269"/>
      <c r="Y980" s="269"/>
      <c r="Z980" s="269"/>
      <c r="AA980" s="269"/>
      <c r="AB980" s="269"/>
      <c r="AC980" s="269"/>
      <c r="AD980" s="269"/>
      <c r="AE980" s="269"/>
      <c r="AF980" s="269"/>
      <c r="AG980" s="269"/>
      <c r="AH980" s="269"/>
      <c r="AI980" s="269"/>
      <c r="AJ980" s="269"/>
      <c r="AK980" s="269"/>
      <c r="AL980" s="269"/>
      <c r="AM980" s="269"/>
    </row>
    <row r="981" spans="1:39" ht="39" customHeight="1" x14ac:dyDescent="0.2">
      <c r="A981" s="277">
        <f>IF(B981="","",COUNT('Diário 5º PA'!$A$5:$A$2634)+COUNT('Diário 6º PA'!$A$5:$A$2246)+ROW()-4)</f>
        <v>3520</v>
      </c>
      <c r="B981" s="278">
        <v>44445</v>
      </c>
      <c r="C981" s="249">
        <v>44409</v>
      </c>
      <c r="D981" s="255" t="s">
        <v>88</v>
      </c>
      <c r="E981" s="255" t="s">
        <v>90</v>
      </c>
      <c r="F981" s="257">
        <v>4396.1899999999996</v>
      </c>
      <c r="G981" s="450" t="s">
        <v>2265</v>
      </c>
      <c r="H981" s="255" t="s">
        <v>114</v>
      </c>
      <c r="I981" s="250" t="s">
        <v>1224</v>
      </c>
      <c r="J981" s="255" t="s">
        <v>1225</v>
      </c>
      <c r="K981" s="255" t="s">
        <v>1015</v>
      </c>
      <c r="L981" s="250" t="s">
        <v>1347</v>
      </c>
      <c r="M981" s="277" t="s">
        <v>114</v>
      </c>
      <c r="N981" s="278">
        <v>44445</v>
      </c>
      <c r="O981" s="329" t="s">
        <v>67</v>
      </c>
      <c r="P981" s="330">
        <f t="shared" si="91"/>
        <v>9</v>
      </c>
      <c r="Q981" s="330">
        <f t="shared" si="92"/>
        <v>8</v>
      </c>
      <c r="R981" s="331" t="str">
        <f t="shared" si="93"/>
        <v>Gastos_com_Pessoal</v>
      </c>
      <c r="S981" s="331" t="str">
        <f>IF(D981="","",IF(OR(D981=Plano!$A$1,D981=Plano!$B$1),"entrada","saída"))</f>
        <v>saída</v>
      </c>
      <c r="T981" s="332" t="s">
        <v>114</v>
      </c>
      <c r="U981" s="332" t="s">
        <v>114</v>
      </c>
      <c r="V981" s="269"/>
      <c r="W981" s="269"/>
      <c r="X981" s="269"/>
      <c r="Y981" s="269"/>
      <c r="Z981" s="269"/>
      <c r="AA981" s="269"/>
      <c r="AB981" s="269"/>
      <c r="AC981" s="269"/>
      <c r="AD981" s="269"/>
      <c r="AE981" s="269"/>
      <c r="AF981" s="269"/>
      <c r="AG981" s="269"/>
      <c r="AH981" s="269"/>
      <c r="AI981" s="269"/>
      <c r="AJ981" s="269"/>
      <c r="AK981" s="269"/>
      <c r="AL981" s="269"/>
      <c r="AM981" s="269"/>
    </row>
    <row r="982" spans="1:39" ht="34.5" customHeight="1" x14ac:dyDescent="0.2">
      <c r="A982" s="277">
        <f>IF(B982="","",COUNT('Diário 5º PA'!$A$5:$A$2634)+COUNT('Diário 6º PA'!$A$5:$A$2246)+ROW()-4)</f>
        <v>3521</v>
      </c>
      <c r="B982" s="278">
        <v>44445</v>
      </c>
      <c r="C982" s="249">
        <v>44409</v>
      </c>
      <c r="D982" s="255" t="s">
        <v>88</v>
      </c>
      <c r="E982" s="255" t="s">
        <v>90</v>
      </c>
      <c r="F982" s="258">
        <v>2073.86</v>
      </c>
      <c r="G982" s="450" t="s">
        <v>2219</v>
      </c>
      <c r="H982" s="255" t="s">
        <v>114</v>
      </c>
      <c r="I982" s="250" t="s">
        <v>1806</v>
      </c>
      <c r="J982" s="250" t="s">
        <v>1807</v>
      </c>
      <c r="K982" s="255" t="s">
        <v>1015</v>
      </c>
      <c r="L982" s="250" t="s">
        <v>1183</v>
      </c>
      <c r="M982" s="277" t="s">
        <v>114</v>
      </c>
      <c r="N982" s="278">
        <v>44445</v>
      </c>
      <c r="O982" s="329" t="s">
        <v>67</v>
      </c>
      <c r="P982" s="330">
        <f t="shared" si="91"/>
        <v>9</v>
      </c>
      <c r="Q982" s="330">
        <f t="shared" si="92"/>
        <v>8</v>
      </c>
      <c r="R982" s="331" t="str">
        <f t="shared" si="93"/>
        <v>Gastos_com_Pessoal</v>
      </c>
      <c r="S982" s="331" t="str">
        <f>IF(D982="","",IF(OR(D982=Plano!$A$1,D982=Plano!$B$1),"entrada","saída"))</f>
        <v>saída</v>
      </c>
      <c r="T982" s="332" t="s">
        <v>114</v>
      </c>
      <c r="U982" s="332" t="s">
        <v>114</v>
      </c>
      <c r="V982" s="269"/>
      <c r="W982" s="269"/>
      <c r="X982" s="269"/>
      <c r="Y982" s="269"/>
      <c r="Z982" s="269"/>
      <c r="AA982" s="269"/>
      <c r="AB982" s="269"/>
      <c r="AC982" s="269"/>
      <c r="AD982" s="269"/>
      <c r="AE982" s="269"/>
      <c r="AF982" s="269"/>
      <c r="AG982" s="269"/>
      <c r="AH982" s="269"/>
      <c r="AI982" s="269"/>
      <c r="AJ982" s="269"/>
      <c r="AK982" s="269"/>
      <c r="AL982" s="269"/>
      <c r="AM982" s="269"/>
    </row>
    <row r="983" spans="1:39" ht="45" customHeight="1" x14ac:dyDescent="0.2">
      <c r="A983" s="277">
        <f>IF(B983="","",COUNT('Diário 5º PA'!$A$5:$A$2634)+COUNT('Diário 6º PA'!$A$5:$A$2246)+ROW()-4)</f>
        <v>3522</v>
      </c>
      <c r="B983" s="278">
        <v>44445</v>
      </c>
      <c r="C983" s="249">
        <v>44409</v>
      </c>
      <c r="D983" s="255" t="s">
        <v>88</v>
      </c>
      <c r="E983" s="255" t="s">
        <v>90</v>
      </c>
      <c r="F983" s="257">
        <v>1300.43</v>
      </c>
      <c r="G983" s="450" t="s">
        <v>2233</v>
      </c>
      <c r="H983" s="255" t="s">
        <v>114</v>
      </c>
      <c r="I983" s="250" t="s">
        <v>1226</v>
      </c>
      <c r="J983" s="255" t="s">
        <v>1227</v>
      </c>
      <c r="K983" s="255" t="s">
        <v>1015</v>
      </c>
      <c r="L983" s="250" t="s">
        <v>1183</v>
      </c>
      <c r="M983" s="277" t="s">
        <v>114</v>
      </c>
      <c r="N983" s="278">
        <v>44445</v>
      </c>
      <c r="O983" s="329" t="s">
        <v>67</v>
      </c>
      <c r="P983" s="330">
        <f t="shared" si="91"/>
        <v>9</v>
      </c>
      <c r="Q983" s="330">
        <f t="shared" si="92"/>
        <v>8</v>
      </c>
      <c r="R983" s="331" t="str">
        <f t="shared" si="93"/>
        <v>Gastos_com_Pessoal</v>
      </c>
      <c r="S983" s="331" t="str">
        <f>IF(D983="","",IF(OR(D983=Plano!$A$1,D983=Plano!$B$1),"entrada","saída"))</f>
        <v>saída</v>
      </c>
      <c r="T983" s="332" t="s">
        <v>114</v>
      </c>
      <c r="U983" s="332" t="s">
        <v>114</v>
      </c>
      <c r="V983" s="269"/>
      <c r="W983" s="269"/>
      <c r="X983" s="269"/>
      <c r="Y983" s="269"/>
      <c r="Z983" s="269"/>
      <c r="AA983" s="269"/>
      <c r="AB983" s="269"/>
      <c r="AC983" s="269"/>
      <c r="AD983" s="269"/>
      <c r="AE983" s="269"/>
      <c r="AF983" s="269"/>
      <c r="AG983" s="269"/>
      <c r="AH983" s="269"/>
      <c r="AI983" s="269"/>
      <c r="AJ983" s="269"/>
      <c r="AK983" s="269"/>
      <c r="AL983" s="269"/>
      <c r="AM983" s="269"/>
    </row>
    <row r="984" spans="1:39" ht="51" customHeight="1" x14ac:dyDescent="0.2">
      <c r="A984" s="277">
        <f>IF(B984="","",COUNT('Diário 5º PA'!$A$5:$A$2634)+COUNT('Diário 6º PA'!$A$5:$A$2246)+ROW()-4)</f>
        <v>3523</v>
      </c>
      <c r="B984" s="278">
        <v>44445</v>
      </c>
      <c r="C984" s="249">
        <v>44409</v>
      </c>
      <c r="D984" s="255" t="s">
        <v>88</v>
      </c>
      <c r="E984" s="255" t="s">
        <v>90</v>
      </c>
      <c r="F984" s="258">
        <v>1974.47</v>
      </c>
      <c r="G984" s="450" t="s">
        <v>2221</v>
      </c>
      <c r="H984" s="255" t="s">
        <v>114</v>
      </c>
      <c r="I984" s="250" t="s">
        <v>2266</v>
      </c>
      <c r="J984" s="250" t="s">
        <v>2267</v>
      </c>
      <c r="K984" s="255" t="s">
        <v>991</v>
      </c>
      <c r="L984" s="250" t="s">
        <v>1183</v>
      </c>
      <c r="M984" s="277" t="s">
        <v>114</v>
      </c>
      <c r="N984" s="278">
        <v>44445</v>
      </c>
      <c r="O984" s="329" t="s">
        <v>67</v>
      </c>
      <c r="P984" s="330">
        <f t="shared" si="91"/>
        <v>9</v>
      </c>
      <c r="Q984" s="330">
        <f t="shared" si="92"/>
        <v>8</v>
      </c>
      <c r="R984" s="331" t="str">
        <f t="shared" si="93"/>
        <v>Gastos_com_Pessoal</v>
      </c>
      <c r="S984" s="331" t="str">
        <f>IF(D984="","",IF(OR(D984=Plano!$A$1,D984=Plano!$B$1),"entrada","saída"))</f>
        <v>saída</v>
      </c>
      <c r="T984" s="332" t="s">
        <v>114</v>
      </c>
      <c r="U984" s="332" t="s">
        <v>114</v>
      </c>
      <c r="V984" s="269"/>
      <c r="W984" s="269"/>
      <c r="X984" s="269"/>
      <c r="Y984" s="269"/>
      <c r="Z984" s="269"/>
      <c r="AA984" s="269"/>
      <c r="AB984" s="269"/>
      <c r="AC984" s="269"/>
      <c r="AD984" s="269"/>
      <c r="AE984" s="269"/>
      <c r="AF984" s="269"/>
      <c r="AG984" s="269"/>
      <c r="AH984" s="269"/>
      <c r="AI984" s="269"/>
      <c r="AJ984" s="269"/>
      <c r="AK984" s="269"/>
      <c r="AL984" s="269"/>
      <c r="AM984" s="269"/>
    </row>
    <row r="985" spans="1:39" ht="42" customHeight="1" x14ac:dyDescent="0.2">
      <c r="A985" s="277">
        <f>IF(B985="","",COUNT('Diário 5º PA'!$A$5:$A$2634)+COUNT('Diário 6º PA'!$A$5:$A$2246)+ROW()-4)</f>
        <v>3524</v>
      </c>
      <c r="B985" s="278">
        <v>44445</v>
      </c>
      <c r="C985" s="249">
        <v>44409</v>
      </c>
      <c r="D985" s="255" t="s">
        <v>88</v>
      </c>
      <c r="E985" s="255" t="s">
        <v>90</v>
      </c>
      <c r="F985" s="258">
        <v>2091.41</v>
      </c>
      <c r="G985" s="450" t="s">
        <v>2219</v>
      </c>
      <c r="H985" s="255" t="s">
        <v>114</v>
      </c>
      <c r="I985" s="250" t="s">
        <v>1808</v>
      </c>
      <c r="J985" s="250" t="s">
        <v>1028</v>
      </c>
      <c r="K985" s="255" t="s">
        <v>1015</v>
      </c>
      <c r="L985" s="250" t="s">
        <v>1183</v>
      </c>
      <c r="M985" s="277" t="s">
        <v>114</v>
      </c>
      <c r="N985" s="278">
        <v>44445</v>
      </c>
      <c r="O985" s="329" t="s">
        <v>67</v>
      </c>
      <c r="P985" s="330">
        <f t="shared" si="91"/>
        <v>9</v>
      </c>
      <c r="Q985" s="330">
        <f t="shared" si="92"/>
        <v>8</v>
      </c>
      <c r="R985" s="331" t="str">
        <f t="shared" si="93"/>
        <v>Gastos_com_Pessoal</v>
      </c>
      <c r="S985" s="331" t="str">
        <f>IF(D985="","",IF(OR(D985=Plano!$A$1,D985=Plano!$B$1),"entrada","saída"))</f>
        <v>saída</v>
      </c>
      <c r="T985" s="332" t="s">
        <v>114</v>
      </c>
      <c r="U985" s="332" t="s">
        <v>114</v>
      </c>
      <c r="V985" s="269"/>
      <c r="W985" s="269"/>
      <c r="X985" s="269"/>
      <c r="Y985" s="269"/>
      <c r="Z985" s="269"/>
      <c r="AA985" s="269"/>
      <c r="AB985" s="269"/>
      <c r="AC985" s="269"/>
      <c r="AD985" s="269"/>
      <c r="AE985" s="269"/>
      <c r="AF985" s="269"/>
      <c r="AG985" s="269"/>
      <c r="AH985" s="269"/>
      <c r="AI985" s="269"/>
      <c r="AJ985" s="269"/>
      <c r="AK985" s="269"/>
      <c r="AL985" s="269"/>
      <c r="AM985" s="269"/>
    </row>
    <row r="986" spans="1:39" ht="53.25" customHeight="1" x14ac:dyDescent="0.2">
      <c r="A986" s="277">
        <f>IF(B986="","",COUNT('Diário 5º PA'!$A$5:$A$2634)+COUNT('Diário 6º PA'!$A$5:$A$2246)+ROW()-4)</f>
        <v>3525</v>
      </c>
      <c r="B986" s="278">
        <v>44445</v>
      </c>
      <c r="C986" s="249">
        <v>44409</v>
      </c>
      <c r="D986" s="255" t="s">
        <v>88</v>
      </c>
      <c r="E986" s="255" t="s">
        <v>90</v>
      </c>
      <c r="F986" s="257">
        <v>12077.29</v>
      </c>
      <c r="G986" s="450" t="s">
        <v>2268</v>
      </c>
      <c r="H986" s="255" t="s">
        <v>114</v>
      </c>
      <c r="I986" s="250" t="s">
        <v>1229</v>
      </c>
      <c r="J986" s="255" t="s">
        <v>1230</v>
      </c>
      <c r="K986" s="255" t="s">
        <v>1015</v>
      </c>
      <c r="L986" s="250" t="s">
        <v>1183</v>
      </c>
      <c r="M986" s="277" t="s">
        <v>114</v>
      </c>
      <c r="N986" s="278">
        <v>44445</v>
      </c>
      <c r="O986" s="329" t="s">
        <v>67</v>
      </c>
      <c r="P986" s="330">
        <f t="shared" si="91"/>
        <v>9</v>
      </c>
      <c r="Q986" s="330">
        <f t="shared" si="92"/>
        <v>8</v>
      </c>
      <c r="R986" s="331" t="str">
        <f t="shared" si="93"/>
        <v>Gastos_com_Pessoal</v>
      </c>
      <c r="S986" s="331" t="str">
        <f>IF(D986="","",IF(OR(D986=Plano!$A$1,D986=Plano!$B$1),"entrada","saída"))</f>
        <v>saída</v>
      </c>
      <c r="T986" s="332" t="s">
        <v>114</v>
      </c>
      <c r="U986" s="332" t="s">
        <v>114</v>
      </c>
      <c r="V986" s="269"/>
      <c r="W986" s="269"/>
      <c r="X986" s="269"/>
      <c r="Y986" s="269"/>
      <c r="Z986" s="269"/>
      <c r="AA986" s="269"/>
      <c r="AB986" s="269"/>
      <c r="AC986" s="269"/>
      <c r="AD986" s="269"/>
      <c r="AE986" s="269"/>
      <c r="AF986" s="269"/>
      <c r="AG986" s="269"/>
      <c r="AH986" s="269"/>
      <c r="AI986" s="269"/>
      <c r="AJ986" s="269"/>
      <c r="AK986" s="269"/>
      <c r="AL986" s="269"/>
      <c r="AM986" s="269"/>
    </row>
    <row r="987" spans="1:39" ht="53.25" customHeight="1" x14ac:dyDescent="0.2">
      <c r="A987" s="277">
        <f>IF(B987="","",COUNT('Diário 5º PA'!$A$5:$A$2634)+COUNT('Diário 6º PA'!$A$5:$A$2246)+ROW()-4)</f>
        <v>3526</v>
      </c>
      <c r="B987" s="278">
        <v>44445</v>
      </c>
      <c r="C987" s="249">
        <v>44409</v>
      </c>
      <c r="D987" s="255" t="s">
        <v>88</v>
      </c>
      <c r="E987" s="255" t="s">
        <v>90</v>
      </c>
      <c r="F987" s="258">
        <v>2091.41</v>
      </c>
      <c r="G987" s="450" t="s">
        <v>2219</v>
      </c>
      <c r="H987" s="255" t="s">
        <v>114</v>
      </c>
      <c r="I987" s="250" t="s">
        <v>1810</v>
      </c>
      <c r="J987" s="250" t="s">
        <v>1811</v>
      </c>
      <c r="K987" s="255" t="s">
        <v>1015</v>
      </c>
      <c r="L987" s="250" t="s">
        <v>1183</v>
      </c>
      <c r="M987" s="277" t="s">
        <v>114</v>
      </c>
      <c r="N987" s="278">
        <v>44445</v>
      </c>
      <c r="O987" s="329" t="s">
        <v>67</v>
      </c>
      <c r="P987" s="330">
        <f t="shared" si="91"/>
        <v>9</v>
      </c>
      <c r="Q987" s="330">
        <f t="shared" si="92"/>
        <v>8</v>
      </c>
      <c r="R987" s="331" t="str">
        <f t="shared" si="93"/>
        <v>Gastos_com_Pessoal</v>
      </c>
      <c r="S987" s="331" t="str">
        <f>IF(D987="","",IF(OR(D987=Plano!$A$1,D987=Plano!$B$1),"entrada","saída"))</f>
        <v>saída</v>
      </c>
      <c r="T987" s="332" t="s">
        <v>114</v>
      </c>
      <c r="U987" s="332" t="s">
        <v>114</v>
      </c>
      <c r="V987" s="269"/>
      <c r="W987" s="269"/>
      <c r="X987" s="269"/>
      <c r="Y987" s="269"/>
      <c r="Z987" s="269"/>
      <c r="AA987" s="269"/>
      <c r="AB987" s="269"/>
      <c r="AC987" s="269"/>
      <c r="AD987" s="269"/>
      <c r="AE987" s="269"/>
      <c r="AF987" s="269"/>
      <c r="AG987" s="269"/>
      <c r="AH987" s="269"/>
      <c r="AI987" s="269"/>
      <c r="AJ987" s="269"/>
      <c r="AK987" s="269"/>
      <c r="AL987" s="269"/>
      <c r="AM987" s="269"/>
    </row>
    <row r="988" spans="1:39" ht="58.5" customHeight="1" x14ac:dyDescent="0.2">
      <c r="A988" s="277">
        <f>IF(B988="","",COUNT('Diário 5º PA'!$A$5:$A$2634)+COUNT('Diário 6º PA'!$A$5:$A$2246)+ROW()-4)</f>
        <v>3527</v>
      </c>
      <c r="B988" s="278">
        <v>44445</v>
      </c>
      <c r="C988" s="249">
        <v>44409</v>
      </c>
      <c r="D988" s="255" t="s">
        <v>88</v>
      </c>
      <c r="E988" s="255" t="s">
        <v>90</v>
      </c>
      <c r="F988" s="257">
        <v>2799.57</v>
      </c>
      <c r="G988" s="450" t="s">
        <v>2269</v>
      </c>
      <c r="H988" s="255" t="s">
        <v>114</v>
      </c>
      <c r="I988" s="250" t="s">
        <v>1232</v>
      </c>
      <c r="J988" s="255" t="s">
        <v>1233</v>
      </c>
      <c r="K988" s="255" t="s">
        <v>1015</v>
      </c>
      <c r="L988" s="250" t="s">
        <v>1183</v>
      </c>
      <c r="M988" s="277" t="s">
        <v>114</v>
      </c>
      <c r="N988" s="278">
        <v>44445</v>
      </c>
      <c r="O988" s="329" t="s">
        <v>67</v>
      </c>
      <c r="P988" s="330">
        <f t="shared" si="91"/>
        <v>9</v>
      </c>
      <c r="Q988" s="330">
        <f t="shared" si="92"/>
        <v>8</v>
      </c>
      <c r="R988" s="331" t="str">
        <f t="shared" si="93"/>
        <v>Gastos_com_Pessoal</v>
      </c>
      <c r="S988" s="331" t="str">
        <f>IF(D988="","",IF(OR(D988=Plano!$A$1,D988=Plano!$B$1),"entrada","saída"))</f>
        <v>saída</v>
      </c>
      <c r="T988" s="332" t="s">
        <v>114</v>
      </c>
      <c r="U988" s="332" t="s">
        <v>114</v>
      </c>
      <c r="V988" s="269"/>
      <c r="W988" s="269"/>
      <c r="X988" s="269"/>
      <c r="Y988" s="269"/>
      <c r="Z988" s="269"/>
      <c r="AA988" s="269"/>
      <c r="AB988" s="269"/>
      <c r="AC988" s="269"/>
      <c r="AD988" s="269"/>
      <c r="AE988" s="269"/>
      <c r="AF988" s="269"/>
      <c r="AG988" s="269"/>
      <c r="AH988" s="269"/>
      <c r="AI988" s="269"/>
      <c r="AJ988" s="269"/>
      <c r="AK988" s="269"/>
      <c r="AL988" s="269"/>
      <c r="AM988" s="269"/>
    </row>
    <row r="989" spans="1:39" ht="48" customHeight="1" x14ac:dyDescent="0.2">
      <c r="A989" s="277">
        <f>IF(B989="","",COUNT('Diário 5º PA'!$A$5:$A$2634)+COUNT('Diário 6º PA'!$A$5:$A$2246)+ROW()-4)</f>
        <v>3528</v>
      </c>
      <c r="B989" s="278">
        <v>44445</v>
      </c>
      <c r="C989" s="249">
        <v>44409</v>
      </c>
      <c r="D989" s="255" t="s">
        <v>88</v>
      </c>
      <c r="E989" s="255" t="s">
        <v>90</v>
      </c>
      <c r="F989" s="257">
        <v>4413.74</v>
      </c>
      <c r="G989" s="452" t="s">
        <v>2270</v>
      </c>
      <c r="H989" s="255" t="s">
        <v>114</v>
      </c>
      <c r="I989" s="250" t="s">
        <v>1235</v>
      </c>
      <c r="J989" s="255" t="s">
        <v>1236</v>
      </c>
      <c r="K989" s="255" t="s">
        <v>1015</v>
      </c>
      <c r="L989" s="250" t="s">
        <v>1183</v>
      </c>
      <c r="M989" s="277" t="s">
        <v>114</v>
      </c>
      <c r="N989" s="278">
        <v>44445</v>
      </c>
      <c r="O989" s="329" t="s">
        <v>67</v>
      </c>
      <c r="P989" s="330">
        <f t="shared" si="91"/>
        <v>9</v>
      </c>
      <c r="Q989" s="330">
        <f t="shared" si="92"/>
        <v>8</v>
      </c>
      <c r="R989" s="331" t="str">
        <f t="shared" si="93"/>
        <v>Gastos_com_Pessoal</v>
      </c>
      <c r="S989" s="331" t="str">
        <f>IF(D989="","",IF(OR(D989=Plano!$A$1,D989=Plano!$B$1),"entrada","saída"))</f>
        <v>saída</v>
      </c>
      <c r="T989" s="332" t="s">
        <v>114</v>
      </c>
      <c r="U989" s="332" t="s">
        <v>114</v>
      </c>
      <c r="V989" s="269"/>
      <c r="W989" s="269"/>
      <c r="X989" s="269"/>
      <c r="Y989" s="269"/>
      <c r="Z989" s="269"/>
      <c r="AA989" s="269"/>
      <c r="AB989" s="269"/>
      <c r="AC989" s="269"/>
      <c r="AD989" s="269"/>
      <c r="AE989" s="269"/>
      <c r="AF989" s="269"/>
      <c r="AG989" s="269"/>
      <c r="AH989" s="269"/>
      <c r="AI989" s="269"/>
      <c r="AJ989" s="269"/>
      <c r="AK989" s="269"/>
      <c r="AL989" s="269"/>
      <c r="AM989" s="269"/>
    </row>
    <row r="990" spans="1:39" ht="45" customHeight="1" x14ac:dyDescent="0.2">
      <c r="A990" s="277">
        <f>IF(B990="","",COUNT('Diário 5º PA'!$A$5:$A$2634)+COUNT('Diário 6º PA'!$A$5:$A$2246)+ROW()-4)</f>
        <v>3529</v>
      </c>
      <c r="B990" s="278">
        <v>44445</v>
      </c>
      <c r="C990" s="335">
        <v>44440</v>
      </c>
      <c r="D990" s="255" t="s">
        <v>99</v>
      </c>
      <c r="E990" s="255" t="s">
        <v>272</v>
      </c>
      <c r="F990" s="258">
        <v>10.45</v>
      </c>
      <c r="G990" s="450" t="s">
        <v>1150</v>
      </c>
      <c r="H990" s="252" t="s">
        <v>115</v>
      </c>
      <c r="I990" s="250" t="s">
        <v>949</v>
      </c>
      <c r="J990" s="255" t="s">
        <v>950</v>
      </c>
      <c r="K990" s="255" t="s">
        <v>951</v>
      </c>
      <c r="L990" s="250" t="s">
        <v>947</v>
      </c>
      <c r="M990" s="336" t="s">
        <v>114</v>
      </c>
      <c r="N990" s="278">
        <v>44445</v>
      </c>
      <c r="O990" s="329" t="s">
        <v>67</v>
      </c>
      <c r="P990" s="330">
        <f t="shared" si="91"/>
        <v>9</v>
      </c>
      <c r="Q990" s="330">
        <f t="shared" si="92"/>
        <v>9</v>
      </c>
      <c r="R990" s="331" t="str">
        <f t="shared" si="93"/>
        <v>Gastos_Gerais</v>
      </c>
      <c r="S990" s="331" t="str">
        <f>IF(D990="","",IF(OR(D990=Plano!$A$1,D990=Plano!$B$1),"entrada","saída"))</f>
        <v>saída</v>
      </c>
      <c r="T990" s="332" t="s">
        <v>114</v>
      </c>
      <c r="U990" s="332" t="s">
        <v>114</v>
      </c>
      <c r="V990" s="269"/>
      <c r="W990" s="269"/>
      <c r="X990" s="269"/>
      <c r="Y990" s="269"/>
      <c r="Z990" s="269"/>
      <c r="AA990" s="269"/>
      <c r="AB990" s="269"/>
      <c r="AC990" s="269"/>
      <c r="AD990" s="269"/>
      <c r="AE990" s="269"/>
      <c r="AF990" s="269"/>
      <c r="AG990" s="269"/>
      <c r="AH990" s="269"/>
      <c r="AI990" s="269"/>
      <c r="AJ990" s="269"/>
      <c r="AK990" s="269"/>
      <c r="AL990" s="269"/>
      <c r="AM990" s="269"/>
    </row>
    <row r="991" spans="1:39" ht="50.25" customHeight="1" x14ac:dyDescent="0.2">
      <c r="A991" s="277">
        <f>IF(B991="","",COUNT('Diário 5º PA'!$A$5:$A$2634)+COUNT('Diário 6º PA'!$A$5:$A$2246)+ROW()-4)</f>
        <v>3530</v>
      </c>
      <c r="B991" s="278">
        <v>44445</v>
      </c>
      <c r="C991" s="335">
        <v>44440</v>
      </c>
      <c r="D991" s="255" t="s">
        <v>99</v>
      </c>
      <c r="E991" s="255" t="s">
        <v>272</v>
      </c>
      <c r="F991" s="258">
        <v>10.45</v>
      </c>
      <c r="G991" s="450" t="s">
        <v>2271</v>
      </c>
      <c r="H991" s="255" t="s">
        <v>114</v>
      </c>
      <c r="I991" s="250" t="s">
        <v>949</v>
      </c>
      <c r="J991" s="255" t="s">
        <v>950</v>
      </c>
      <c r="K991" s="255" t="s">
        <v>951</v>
      </c>
      <c r="L991" s="250" t="s">
        <v>947</v>
      </c>
      <c r="M991" s="336" t="s">
        <v>114</v>
      </c>
      <c r="N991" s="278">
        <v>44445</v>
      </c>
      <c r="O991" s="329" t="s">
        <v>67</v>
      </c>
      <c r="P991" s="330">
        <f t="shared" si="91"/>
        <v>9</v>
      </c>
      <c r="Q991" s="330">
        <f t="shared" si="92"/>
        <v>9</v>
      </c>
      <c r="R991" s="331" t="str">
        <f t="shared" si="93"/>
        <v>Gastos_Gerais</v>
      </c>
      <c r="S991" s="331" t="str">
        <f>IF(D991="","",IF(OR(D991=Plano!$A$1,D991=Plano!$B$1),"entrada","saída"))</f>
        <v>saída</v>
      </c>
      <c r="T991" s="332" t="s">
        <v>114</v>
      </c>
      <c r="U991" s="332" t="s">
        <v>114</v>
      </c>
      <c r="V991" s="269"/>
      <c r="W991" s="269"/>
      <c r="X991" s="269"/>
      <c r="Y991" s="269"/>
      <c r="Z991" s="269"/>
      <c r="AA991" s="269"/>
      <c r="AB991" s="269"/>
      <c r="AC991" s="269"/>
      <c r="AD991" s="269"/>
      <c r="AE991" s="269"/>
      <c r="AF991" s="269"/>
      <c r="AG991" s="269"/>
      <c r="AH991" s="269"/>
      <c r="AI991" s="269"/>
      <c r="AJ991" s="269"/>
      <c r="AK991" s="269"/>
      <c r="AL991" s="269"/>
      <c r="AM991" s="269"/>
    </row>
    <row r="992" spans="1:39" ht="48.75" customHeight="1" x14ac:dyDescent="0.2">
      <c r="A992" s="277">
        <f>IF(B992="","",COUNT('Diário 5º PA'!$A$5:$A$2634)+COUNT('Diário 6º PA'!$A$5:$A$2246)+ROW()-4)</f>
        <v>3531</v>
      </c>
      <c r="B992" s="278">
        <v>44445</v>
      </c>
      <c r="C992" s="335">
        <v>44440</v>
      </c>
      <c r="D992" s="255" t="s">
        <v>99</v>
      </c>
      <c r="E992" s="255" t="s">
        <v>272</v>
      </c>
      <c r="F992" s="258">
        <v>10.45</v>
      </c>
      <c r="G992" s="450" t="s">
        <v>2272</v>
      </c>
      <c r="H992" s="255" t="s">
        <v>114</v>
      </c>
      <c r="I992" s="250" t="s">
        <v>949</v>
      </c>
      <c r="J992" s="255" t="s">
        <v>950</v>
      </c>
      <c r="K992" s="255" t="s">
        <v>951</v>
      </c>
      <c r="L992" s="250" t="s">
        <v>947</v>
      </c>
      <c r="M992" s="336" t="s">
        <v>114</v>
      </c>
      <c r="N992" s="278">
        <v>44445</v>
      </c>
      <c r="O992" s="329" t="s">
        <v>67</v>
      </c>
      <c r="P992" s="330">
        <f t="shared" si="91"/>
        <v>9</v>
      </c>
      <c r="Q992" s="330">
        <f t="shared" si="92"/>
        <v>9</v>
      </c>
      <c r="R992" s="331" t="str">
        <f t="shared" si="93"/>
        <v>Gastos_Gerais</v>
      </c>
      <c r="S992" s="331" t="str">
        <f>IF(D992="","",IF(OR(D992=Plano!$A$1,D992=Plano!$B$1),"entrada","saída"))</f>
        <v>saída</v>
      </c>
      <c r="T992" s="332" t="s">
        <v>114</v>
      </c>
      <c r="U992" s="332" t="s">
        <v>114</v>
      </c>
      <c r="V992" s="269"/>
      <c r="W992" s="269"/>
      <c r="X992" s="269"/>
      <c r="Y992" s="269"/>
      <c r="Z992" s="269"/>
      <c r="AA992" s="269"/>
      <c r="AB992" s="269"/>
      <c r="AC992" s="269"/>
      <c r="AD992" s="269"/>
      <c r="AE992" s="269"/>
      <c r="AF992" s="269"/>
      <c r="AG992" s="269"/>
      <c r="AH992" s="269"/>
      <c r="AI992" s="269"/>
      <c r="AJ992" s="269"/>
      <c r="AK992" s="269"/>
      <c r="AL992" s="269"/>
      <c r="AM992" s="269"/>
    </row>
    <row r="993" spans="1:39" ht="40.5" customHeight="1" x14ac:dyDescent="0.2">
      <c r="A993" s="277">
        <f>IF(B993="","",COUNT('Diário 5º PA'!$A$5:$A$2634)+COUNT('Diário 6º PA'!$A$5:$A$2246)+ROW()-4)</f>
        <v>3532</v>
      </c>
      <c r="B993" s="278">
        <v>44445</v>
      </c>
      <c r="C993" s="335">
        <v>44440</v>
      </c>
      <c r="D993" s="255" t="s">
        <v>99</v>
      </c>
      <c r="E993" s="255" t="s">
        <v>272</v>
      </c>
      <c r="F993" s="258">
        <v>10.45</v>
      </c>
      <c r="G993" s="450" t="s">
        <v>2273</v>
      </c>
      <c r="H993" s="255" t="s">
        <v>114</v>
      </c>
      <c r="I993" s="250" t="s">
        <v>949</v>
      </c>
      <c r="J993" s="255" t="s">
        <v>950</v>
      </c>
      <c r="K993" s="255" t="s">
        <v>951</v>
      </c>
      <c r="L993" s="250" t="s">
        <v>947</v>
      </c>
      <c r="M993" s="336" t="s">
        <v>114</v>
      </c>
      <c r="N993" s="278">
        <v>44445</v>
      </c>
      <c r="O993" s="329" t="s">
        <v>67</v>
      </c>
      <c r="P993" s="330">
        <f t="shared" si="91"/>
        <v>9</v>
      </c>
      <c r="Q993" s="330">
        <f t="shared" si="92"/>
        <v>9</v>
      </c>
      <c r="R993" s="331" t="str">
        <f t="shared" si="93"/>
        <v>Gastos_Gerais</v>
      </c>
      <c r="S993" s="331" t="str">
        <f>IF(D993="","",IF(OR(D993=Plano!$A$1,D993=Plano!$B$1),"entrada","saída"))</f>
        <v>saída</v>
      </c>
      <c r="T993" s="332" t="s">
        <v>114</v>
      </c>
      <c r="U993" s="332" t="s">
        <v>114</v>
      </c>
      <c r="V993" s="269"/>
      <c r="W993" s="269"/>
      <c r="X993" s="269"/>
      <c r="Y993" s="269"/>
      <c r="Z993" s="269"/>
      <c r="AA993" s="269"/>
      <c r="AB993" s="269"/>
      <c r="AC993" s="269"/>
      <c r="AD993" s="269"/>
      <c r="AE993" s="269"/>
      <c r="AF993" s="269"/>
      <c r="AG993" s="269"/>
      <c r="AH993" s="269"/>
      <c r="AI993" s="269"/>
      <c r="AJ993" s="269"/>
      <c r="AK993" s="269"/>
      <c r="AL993" s="269"/>
      <c r="AM993" s="269"/>
    </row>
    <row r="994" spans="1:39" ht="48.75" customHeight="1" x14ac:dyDescent="0.2">
      <c r="A994" s="277">
        <f>IF(B994="","",COUNT('Diário 5º PA'!$A$5:$A$2634)+COUNT('Diário 6º PA'!$A$5:$A$2246)+ROW()-4)</f>
        <v>3533</v>
      </c>
      <c r="B994" s="278">
        <v>44445</v>
      </c>
      <c r="C994" s="335">
        <v>44440</v>
      </c>
      <c r="D994" s="255" t="s">
        <v>99</v>
      </c>
      <c r="E994" s="255" t="s">
        <v>272</v>
      </c>
      <c r="F994" s="258">
        <v>10.45</v>
      </c>
      <c r="G994" s="450" t="s">
        <v>2274</v>
      </c>
      <c r="H994" s="255" t="s">
        <v>114</v>
      </c>
      <c r="I994" s="250" t="s">
        <v>949</v>
      </c>
      <c r="J994" s="255" t="s">
        <v>950</v>
      </c>
      <c r="K994" s="255" t="s">
        <v>951</v>
      </c>
      <c r="L994" s="250" t="s">
        <v>947</v>
      </c>
      <c r="M994" s="336" t="s">
        <v>114</v>
      </c>
      <c r="N994" s="278">
        <v>44445</v>
      </c>
      <c r="O994" s="329" t="s">
        <v>67</v>
      </c>
      <c r="P994" s="330">
        <f t="shared" si="91"/>
        <v>9</v>
      </c>
      <c r="Q994" s="330">
        <f t="shared" si="92"/>
        <v>9</v>
      </c>
      <c r="R994" s="331" t="str">
        <f t="shared" si="93"/>
        <v>Gastos_Gerais</v>
      </c>
      <c r="S994" s="331" t="str">
        <f>IF(D994="","",IF(OR(D994=Plano!$A$1,D994=Plano!$B$1),"entrada","saída"))</f>
        <v>saída</v>
      </c>
      <c r="T994" s="332" t="s">
        <v>114</v>
      </c>
      <c r="U994" s="332" t="s">
        <v>114</v>
      </c>
      <c r="V994" s="269"/>
      <c r="W994" s="269"/>
      <c r="X994" s="269"/>
      <c r="Y994" s="269"/>
      <c r="Z994" s="269"/>
      <c r="AA994" s="269"/>
      <c r="AB994" s="269"/>
      <c r="AC994" s="269"/>
      <c r="AD994" s="269"/>
      <c r="AE994" s="269"/>
      <c r="AF994" s="269"/>
      <c r="AG994" s="269"/>
      <c r="AH994" s="269"/>
      <c r="AI994" s="269"/>
      <c r="AJ994" s="269"/>
      <c r="AK994" s="269"/>
      <c r="AL994" s="269"/>
      <c r="AM994" s="269"/>
    </row>
    <row r="995" spans="1:39" ht="34.5" customHeight="1" x14ac:dyDescent="0.2">
      <c r="A995" s="277">
        <f>IF(B995="","",COUNT('Diário 5º PA'!$A$5:$A$2634)+COUNT('Diário 6º PA'!$A$5:$A$2246)+ROW()-4)</f>
        <v>3534</v>
      </c>
      <c r="B995" s="278">
        <v>44445</v>
      </c>
      <c r="C995" s="335">
        <v>44440</v>
      </c>
      <c r="D995" s="255" t="s">
        <v>99</v>
      </c>
      <c r="E995" s="255" t="s">
        <v>272</v>
      </c>
      <c r="F995" s="258">
        <v>10.45</v>
      </c>
      <c r="G995" s="450" t="s">
        <v>2273</v>
      </c>
      <c r="H995" s="255" t="s">
        <v>114</v>
      </c>
      <c r="I995" s="250" t="s">
        <v>949</v>
      </c>
      <c r="J995" s="255" t="s">
        <v>950</v>
      </c>
      <c r="K995" s="255" t="s">
        <v>951</v>
      </c>
      <c r="L995" s="250" t="s">
        <v>947</v>
      </c>
      <c r="M995" s="336" t="s">
        <v>114</v>
      </c>
      <c r="N995" s="278">
        <v>44445</v>
      </c>
      <c r="O995" s="329" t="s">
        <v>67</v>
      </c>
      <c r="P995" s="330">
        <f t="shared" si="91"/>
        <v>9</v>
      </c>
      <c r="Q995" s="330">
        <f t="shared" si="92"/>
        <v>9</v>
      </c>
      <c r="R995" s="331" t="str">
        <f t="shared" si="93"/>
        <v>Gastos_Gerais</v>
      </c>
      <c r="S995" s="331" t="str">
        <f>IF(D995="","",IF(OR(D995=Plano!$A$1,D995=Plano!$B$1),"entrada","saída"))</f>
        <v>saída</v>
      </c>
      <c r="T995" s="332" t="s">
        <v>114</v>
      </c>
      <c r="U995" s="332" t="s">
        <v>114</v>
      </c>
      <c r="V995" s="269"/>
      <c r="W995" s="269"/>
      <c r="X995" s="269"/>
      <c r="Y995" s="269"/>
      <c r="Z995" s="269"/>
      <c r="AA995" s="269"/>
      <c r="AB995" s="269"/>
      <c r="AC995" s="269"/>
      <c r="AD995" s="269"/>
      <c r="AE995" s="269"/>
      <c r="AF995" s="269"/>
      <c r="AG995" s="269"/>
      <c r="AH995" s="269"/>
      <c r="AI995" s="269"/>
      <c r="AJ995" s="269"/>
      <c r="AK995" s="269"/>
      <c r="AL995" s="269"/>
      <c r="AM995" s="269"/>
    </row>
    <row r="996" spans="1:39" ht="39.75" customHeight="1" x14ac:dyDescent="0.2">
      <c r="A996" s="277">
        <f>IF(B996="","",COUNT('Diário 5º PA'!$A$5:$A$2634)+COUNT('Diário 6º PA'!$A$5:$A$2246)+ROW()-4)</f>
        <v>3535</v>
      </c>
      <c r="B996" s="278">
        <v>44445</v>
      </c>
      <c r="C996" s="335">
        <v>44440</v>
      </c>
      <c r="D996" s="255" t="s">
        <v>99</v>
      </c>
      <c r="E996" s="255" t="s">
        <v>272</v>
      </c>
      <c r="F996" s="258">
        <v>10.45</v>
      </c>
      <c r="G996" s="450" t="s">
        <v>2275</v>
      </c>
      <c r="H996" s="255" t="s">
        <v>114</v>
      </c>
      <c r="I996" s="250" t="s">
        <v>949</v>
      </c>
      <c r="J996" s="255" t="s">
        <v>950</v>
      </c>
      <c r="K996" s="255" t="s">
        <v>951</v>
      </c>
      <c r="L996" s="250" t="s">
        <v>947</v>
      </c>
      <c r="M996" s="336" t="s">
        <v>114</v>
      </c>
      <c r="N996" s="278">
        <v>44445</v>
      </c>
      <c r="O996" s="329" t="s">
        <v>67</v>
      </c>
      <c r="P996" s="330">
        <f t="shared" si="91"/>
        <v>9</v>
      </c>
      <c r="Q996" s="330">
        <f t="shared" si="92"/>
        <v>9</v>
      </c>
      <c r="R996" s="331" t="str">
        <f t="shared" si="93"/>
        <v>Gastos_Gerais</v>
      </c>
      <c r="S996" s="331" t="str">
        <f>IF(D996="","",IF(OR(D996=Plano!$A$1,D996=Plano!$B$1),"entrada","saída"))</f>
        <v>saída</v>
      </c>
      <c r="T996" s="332" t="s">
        <v>114</v>
      </c>
      <c r="U996" s="332" t="s">
        <v>114</v>
      </c>
      <c r="V996" s="269"/>
      <c r="W996" s="269"/>
      <c r="X996" s="269"/>
      <c r="Y996" s="269"/>
      <c r="Z996" s="269"/>
      <c r="AA996" s="269"/>
      <c r="AB996" s="269"/>
      <c r="AC996" s="269"/>
      <c r="AD996" s="269"/>
      <c r="AE996" s="269"/>
      <c r="AF996" s="269"/>
      <c r="AG996" s="269"/>
      <c r="AH996" s="269"/>
      <c r="AI996" s="269"/>
      <c r="AJ996" s="269"/>
      <c r="AK996" s="269"/>
      <c r="AL996" s="269"/>
      <c r="AM996" s="269"/>
    </row>
    <row r="997" spans="1:39" ht="45" customHeight="1" x14ac:dyDescent="0.2">
      <c r="A997" s="277">
        <f>IF(B997="","",COUNT('Diário 5º PA'!$A$5:$A$2634)+COUNT('Diário 6º PA'!$A$5:$A$2246)+ROW()-4)</f>
        <v>3536</v>
      </c>
      <c r="B997" s="278">
        <v>44445</v>
      </c>
      <c r="C997" s="335">
        <v>44440</v>
      </c>
      <c r="D997" s="255" t="s">
        <v>99</v>
      </c>
      <c r="E997" s="255" t="s">
        <v>272</v>
      </c>
      <c r="F997" s="258">
        <v>10.45</v>
      </c>
      <c r="G997" s="450" t="s">
        <v>2273</v>
      </c>
      <c r="H997" s="255" t="s">
        <v>114</v>
      </c>
      <c r="I997" s="250" t="s">
        <v>949</v>
      </c>
      <c r="J997" s="255" t="s">
        <v>950</v>
      </c>
      <c r="K997" s="255" t="s">
        <v>951</v>
      </c>
      <c r="L997" s="250" t="s">
        <v>947</v>
      </c>
      <c r="M997" s="336" t="s">
        <v>114</v>
      </c>
      <c r="N997" s="278">
        <v>44445</v>
      </c>
      <c r="O997" s="329" t="s">
        <v>67</v>
      </c>
      <c r="P997" s="330">
        <f t="shared" si="91"/>
        <v>9</v>
      </c>
      <c r="Q997" s="330">
        <f t="shared" si="92"/>
        <v>9</v>
      </c>
      <c r="R997" s="331" t="str">
        <f t="shared" si="93"/>
        <v>Gastos_Gerais</v>
      </c>
      <c r="S997" s="331" t="str">
        <f>IF(D997="","",IF(OR(D997=Plano!$A$1,D997=Plano!$B$1),"entrada","saída"))</f>
        <v>saída</v>
      </c>
      <c r="T997" s="332" t="s">
        <v>114</v>
      </c>
      <c r="U997" s="332" t="s">
        <v>114</v>
      </c>
      <c r="V997" s="269"/>
      <c r="W997" s="269"/>
      <c r="X997" s="269"/>
      <c r="Y997" s="269"/>
      <c r="Z997" s="269"/>
      <c r="AA997" s="269"/>
      <c r="AB997" s="269"/>
      <c r="AC997" s="269"/>
      <c r="AD997" s="269"/>
      <c r="AE997" s="269"/>
      <c r="AF997" s="269"/>
      <c r="AG997" s="269"/>
      <c r="AH997" s="269"/>
      <c r="AI997" s="269"/>
      <c r="AJ997" s="269"/>
      <c r="AK997" s="269"/>
      <c r="AL997" s="269"/>
      <c r="AM997" s="269"/>
    </row>
    <row r="998" spans="1:39" ht="33.75" customHeight="1" x14ac:dyDescent="0.2">
      <c r="A998" s="277">
        <f>IF(B998="","",COUNT('Diário 5º PA'!$A$5:$A$2634)+COUNT('Diário 6º PA'!$A$5:$A$2246)+ROW()-4)</f>
        <v>3537</v>
      </c>
      <c r="B998" s="278">
        <v>44445</v>
      </c>
      <c r="C998" s="335">
        <v>44440</v>
      </c>
      <c r="D998" s="255" t="s">
        <v>99</v>
      </c>
      <c r="E998" s="255" t="s">
        <v>272</v>
      </c>
      <c r="F998" s="258">
        <v>10.45</v>
      </c>
      <c r="G998" s="450" t="s">
        <v>2276</v>
      </c>
      <c r="H998" s="255" t="s">
        <v>114</v>
      </c>
      <c r="I998" s="250" t="s">
        <v>949</v>
      </c>
      <c r="J998" s="255" t="s">
        <v>950</v>
      </c>
      <c r="K998" s="255" t="s">
        <v>951</v>
      </c>
      <c r="L998" s="250" t="s">
        <v>947</v>
      </c>
      <c r="M998" s="336" t="s">
        <v>114</v>
      </c>
      <c r="N998" s="278">
        <v>44445</v>
      </c>
      <c r="O998" s="329" t="s">
        <v>67</v>
      </c>
      <c r="P998" s="330">
        <f t="shared" si="91"/>
        <v>9</v>
      </c>
      <c r="Q998" s="330">
        <f t="shared" si="92"/>
        <v>9</v>
      </c>
      <c r="R998" s="331" t="str">
        <f t="shared" si="93"/>
        <v>Gastos_Gerais</v>
      </c>
      <c r="S998" s="331" t="str">
        <f>IF(D998="","",IF(OR(D998=Plano!$A$1,D998=Plano!$B$1),"entrada","saída"))</f>
        <v>saída</v>
      </c>
      <c r="T998" s="332" t="s">
        <v>114</v>
      </c>
      <c r="U998" s="332" t="s">
        <v>114</v>
      </c>
      <c r="V998" s="269"/>
      <c r="W998" s="269"/>
      <c r="X998" s="269"/>
      <c r="Y998" s="269"/>
      <c r="Z998" s="269"/>
      <c r="AA998" s="269"/>
      <c r="AB998" s="269"/>
      <c r="AC998" s="269"/>
      <c r="AD998" s="269"/>
      <c r="AE998" s="269"/>
      <c r="AF998" s="269"/>
      <c r="AG998" s="269"/>
      <c r="AH998" s="269"/>
      <c r="AI998" s="269"/>
      <c r="AJ998" s="269"/>
      <c r="AK998" s="269"/>
      <c r="AL998" s="269"/>
      <c r="AM998" s="269"/>
    </row>
    <row r="999" spans="1:39" ht="47.25" customHeight="1" x14ac:dyDescent="0.2">
      <c r="A999" s="277">
        <f>IF(B999="","",COUNT('Diário 5º PA'!$A$5:$A$2634)+COUNT('Diário 6º PA'!$A$5:$A$2246)+ROW()-4)</f>
        <v>3538</v>
      </c>
      <c r="B999" s="278">
        <v>44445</v>
      </c>
      <c r="C999" s="335">
        <v>44440</v>
      </c>
      <c r="D999" s="255" t="s">
        <v>99</v>
      </c>
      <c r="E999" s="255" t="s">
        <v>272</v>
      </c>
      <c r="F999" s="258">
        <v>10.45</v>
      </c>
      <c r="G999" s="450" t="s">
        <v>2273</v>
      </c>
      <c r="H999" s="255" t="s">
        <v>114</v>
      </c>
      <c r="I999" s="250" t="s">
        <v>949</v>
      </c>
      <c r="J999" s="255" t="s">
        <v>950</v>
      </c>
      <c r="K999" s="255" t="s">
        <v>951</v>
      </c>
      <c r="L999" s="250" t="s">
        <v>947</v>
      </c>
      <c r="M999" s="336" t="s">
        <v>114</v>
      </c>
      <c r="N999" s="278">
        <v>44445</v>
      </c>
      <c r="O999" s="329" t="s">
        <v>67</v>
      </c>
      <c r="P999" s="330">
        <f t="shared" si="91"/>
        <v>9</v>
      </c>
      <c r="Q999" s="330">
        <f t="shared" si="92"/>
        <v>9</v>
      </c>
      <c r="R999" s="331" t="str">
        <f t="shared" si="93"/>
        <v>Gastos_Gerais</v>
      </c>
      <c r="S999" s="331" t="str">
        <f>IF(D999="","",IF(OR(D999=Plano!$A$1,D999=Plano!$B$1),"entrada","saída"))</f>
        <v>saída</v>
      </c>
      <c r="T999" s="332" t="s">
        <v>114</v>
      </c>
      <c r="U999" s="332" t="s">
        <v>114</v>
      </c>
      <c r="V999" s="269"/>
      <c r="W999" s="269"/>
      <c r="X999" s="269"/>
      <c r="Y999" s="269"/>
      <c r="Z999" s="269"/>
      <c r="AA999" s="269"/>
      <c r="AB999" s="269"/>
      <c r="AC999" s="269"/>
      <c r="AD999" s="269"/>
      <c r="AE999" s="269"/>
      <c r="AF999" s="269"/>
      <c r="AG999" s="269"/>
      <c r="AH999" s="269"/>
      <c r="AI999" s="269"/>
      <c r="AJ999" s="269"/>
      <c r="AK999" s="269"/>
      <c r="AL999" s="269"/>
      <c r="AM999" s="269"/>
    </row>
    <row r="1000" spans="1:39" ht="38.25" customHeight="1" x14ac:dyDescent="0.2">
      <c r="A1000" s="277">
        <f>IF(B1000="","",COUNT('Diário 5º PA'!$A$5:$A$2634)+COUNT('Diário 6º PA'!$A$5:$A$2246)+ROW()-4)</f>
        <v>3539</v>
      </c>
      <c r="B1000" s="278">
        <v>44445</v>
      </c>
      <c r="C1000" s="335">
        <v>44440</v>
      </c>
      <c r="D1000" s="255" t="s">
        <v>99</v>
      </c>
      <c r="E1000" s="255" t="s">
        <v>272</v>
      </c>
      <c r="F1000" s="258">
        <v>10.45</v>
      </c>
      <c r="G1000" s="450" t="s">
        <v>2277</v>
      </c>
      <c r="H1000" s="255" t="s">
        <v>114</v>
      </c>
      <c r="I1000" s="250" t="s">
        <v>949</v>
      </c>
      <c r="J1000" s="255" t="s">
        <v>950</v>
      </c>
      <c r="K1000" s="255" t="s">
        <v>951</v>
      </c>
      <c r="L1000" s="250" t="s">
        <v>947</v>
      </c>
      <c r="M1000" s="336" t="s">
        <v>114</v>
      </c>
      <c r="N1000" s="278">
        <v>44445</v>
      </c>
      <c r="O1000" s="329" t="s">
        <v>67</v>
      </c>
      <c r="P1000" s="330">
        <f t="shared" si="91"/>
        <v>9</v>
      </c>
      <c r="Q1000" s="330">
        <f t="shared" si="92"/>
        <v>9</v>
      </c>
      <c r="R1000" s="331" t="str">
        <f t="shared" si="93"/>
        <v>Gastos_Gerais</v>
      </c>
      <c r="S1000" s="331" t="str">
        <f>IF(D1000="","",IF(OR(D1000=Plano!$A$1,D1000=Plano!$B$1),"entrada","saída"))</f>
        <v>saída</v>
      </c>
      <c r="T1000" s="332" t="s">
        <v>114</v>
      </c>
      <c r="U1000" s="332" t="s">
        <v>114</v>
      </c>
      <c r="V1000" s="269"/>
      <c r="W1000" s="269"/>
      <c r="X1000" s="269"/>
      <c r="Y1000" s="269"/>
      <c r="Z1000" s="269"/>
      <c r="AA1000" s="269"/>
      <c r="AB1000" s="269"/>
      <c r="AC1000" s="269"/>
      <c r="AD1000" s="269"/>
      <c r="AE1000" s="269"/>
      <c r="AF1000" s="269"/>
      <c r="AG1000" s="269"/>
      <c r="AH1000" s="269"/>
      <c r="AI1000" s="269"/>
      <c r="AJ1000" s="269"/>
      <c r="AK1000" s="269"/>
      <c r="AL1000" s="269"/>
      <c r="AM1000" s="269"/>
    </row>
    <row r="1001" spans="1:39" ht="48" customHeight="1" x14ac:dyDescent="0.2">
      <c r="A1001" s="277">
        <f>IF(B1001="","",COUNT('Diário 5º PA'!$A$5:$A$2634)+COUNT('Diário 6º PA'!$A$5:$A$2246)+ROW()-4)</f>
        <v>3540</v>
      </c>
      <c r="B1001" s="278">
        <v>44445</v>
      </c>
      <c r="C1001" s="335">
        <v>44440</v>
      </c>
      <c r="D1001" s="255" t="s">
        <v>99</v>
      </c>
      <c r="E1001" s="255" t="s">
        <v>272</v>
      </c>
      <c r="F1001" s="258">
        <v>10.45</v>
      </c>
      <c r="G1001" s="450" t="s">
        <v>2273</v>
      </c>
      <c r="H1001" s="255" t="s">
        <v>114</v>
      </c>
      <c r="I1001" s="250" t="s">
        <v>949</v>
      </c>
      <c r="J1001" s="255" t="s">
        <v>950</v>
      </c>
      <c r="K1001" s="255" t="s">
        <v>951</v>
      </c>
      <c r="L1001" s="250" t="s">
        <v>947</v>
      </c>
      <c r="M1001" s="336" t="s">
        <v>114</v>
      </c>
      <c r="N1001" s="278">
        <v>44445</v>
      </c>
      <c r="O1001" s="329" t="s">
        <v>67</v>
      </c>
      <c r="P1001" s="330">
        <f t="shared" si="91"/>
        <v>9</v>
      </c>
      <c r="Q1001" s="330">
        <f t="shared" si="92"/>
        <v>9</v>
      </c>
      <c r="R1001" s="331" t="str">
        <f t="shared" si="93"/>
        <v>Gastos_Gerais</v>
      </c>
      <c r="S1001" s="331" t="str">
        <f>IF(D1001="","",IF(OR(D1001=Plano!$A$1,D1001=Plano!$B$1),"entrada","saída"))</f>
        <v>saída</v>
      </c>
      <c r="T1001" s="332" t="s">
        <v>114</v>
      </c>
      <c r="U1001" s="332" t="s">
        <v>114</v>
      </c>
      <c r="V1001" s="269"/>
      <c r="W1001" s="269"/>
      <c r="X1001" s="269"/>
      <c r="Y1001" s="269"/>
      <c r="Z1001" s="269"/>
      <c r="AA1001" s="269"/>
      <c r="AB1001" s="269"/>
      <c r="AC1001" s="269"/>
      <c r="AD1001" s="269"/>
      <c r="AE1001" s="269"/>
      <c r="AF1001" s="269"/>
      <c r="AG1001" s="269"/>
      <c r="AH1001" s="269"/>
      <c r="AI1001" s="269"/>
      <c r="AJ1001" s="269"/>
      <c r="AK1001" s="269"/>
      <c r="AL1001" s="269"/>
      <c r="AM1001" s="269"/>
    </row>
    <row r="1002" spans="1:39" ht="46.5" customHeight="1" x14ac:dyDescent="0.2">
      <c r="A1002" s="277">
        <f>IF(B1002="","",COUNT('Diário 5º PA'!$A$5:$A$2634)+COUNT('Diário 6º PA'!$A$5:$A$2246)+ROW()-4)</f>
        <v>3541</v>
      </c>
      <c r="B1002" s="278">
        <v>44445</v>
      </c>
      <c r="C1002" s="335">
        <v>44440</v>
      </c>
      <c r="D1002" s="255" t="s">
        <v>99</v>
      </c>
      <c r="E1002" s="255" t="s">
        <v>272</v>
      </c>
      <c r="F1002" s="258">
        <v>10.45</v>
      </c>
      <c r="G1002" s="450" t="s">
        <v>2278</v>
      </c>
      <c r="H1002" s="255" t="s">
        <v>114</v>
      </c>
      <c r="I1002" s="250" t="s">
        <v>949</v>
      </c>
      <c r="J1002" s="255" t="s">
        <v>950</v>
      </c>
      <c r="K1002" s="255" t="s">
        <v>951</v>
      </c>
      <c r="L1002" s="250" t="s">
        <v>947</v>
      </c>
      <c r="M1002" s="336" t="s">
        <v>114</v>
      </c>
      <c r="N1002" s="278">
        <v>44445</v>
      </c>
      <c r="O1002" s="329" t="s">
        <v>67</v>
      </c>
      <c r="P1002" s="330">
        <f t="shared" si="91"/>
        <v>9</v>
      </c>
      <c r="Q1002" s="330">
        <f t="shared" si="92"/>
        <v>9</v>
      </c>
      <c r="R1002" s="331" t="str">
        <f t="shared" si="93"/>
        <v>Gastos_Gerais</v>
      </c>
      <c r="S1002" s="331" t="str">
        <f>IF(D1002="","",IF(OR(D1002=Plano!$A$1,D1002=Plano!$B$1),"entrada","saída"))</f>
        <v>saída</v>
      </c>
      <c r="T1002" s="332" t="s">
        <v>114</v>
      </c>
      <c r="U1002" s="332" t="s">
        <v>114</v>
      </c>
      <c r="V1002" s="269"/>
      <c r="W1002" s="269"/>
      <c r="X1002" s="269"/>
      <c r="Y1002" s="269"/>
      <c r="Z1002" s="269"/>
      <c r="AA1002" s="269"/>
      <c r="AB1002" s="269"/>
      <c r="AC1002" s="269"/>
      <c r="AD1002" s="269"/>
      <c r="AE1002" s="269"/>
      <c r="AF1002" s="269"/>
      <c r="AG1002" s="269"/>
      <c r="AH1002" s="269"/>
      <c r="AI1002" s="269"/>
      <c r="AJ1002" s="269"/>
      <c r="AK1002" s="269"/>
      <c r="AL1002" s="269"/>
      <c r="AM1002" s="269"/>
    </row>
    <row r="1003" spans="1:39" ht="41.25" customHeight="1" x14ac:dyDescent="0.2">
      <c r="A1003" s="277">
        <f>IF(B1003="","",COUNT('Diário 5º PA'!$A$5:$A$2634)+COUNT('Diário 6º PA'!$A$5:$A$2246)+ROW()-4)</f>
        <v>3542</v>
      </c>
      <c r="B1003" s="278">
        <v>44445</v>
      </c>
      <c r="C1003" s="335">
        <v>44440</v>
      </c>
      <c r="D1003" s="255" t="s">
        <v>99</v>
      </c>
      <c r="E1003" s="255" t="s">
        <v>272</v>
      </c>
      <c r="F1003" s="258">
        <v>10.45</v>
      </c>
      <c r="G1003" s="450" t="s">
        <v>2273</v>
      </c>
      <c r="H1003" s="255" t="s">
        <v>114</v>
      </c>
      <c r="I1003" s="250" t="s">
        <v>949</v>
      </c>
      <c r="J1003" s="255" t="s">
        <v>950</v>
      </c>
      <c r="K1003" s="255" t="s">
        <v>951</v>
      </c>
      <c r="L1003" s="250" t="s">
        <v>947</v>
      </c>
      <c r="M1003" s="336" t="s">
        <v>114</v>
      </c>
      <c r="N1003" s="278">
        <v>44445</v>
      </c>
      <c r="O1003" s="329" t="s">
        <v>67</v>
      </c>
      <c r="P1003" s="330">
        <f t="shared" si="91"/>
        <v>9</v>
      </c>
      <c r="Q1003" s="330">
        <f t="shared" si="92"/>
        <v>9</v>
      </c>
      <c r="R1003" s="331" t="str">
        <f t="shared" si="93"/>
        <v>Gastos_Gerais</v>
      </c>
      <c r="S1003" s="331" t="str">
        <f>IF(D1003="","",IF(OR(D1003=Plano!$A$1,D1003=Plano!$B$1),"entrada","saída"))</f>
        <v>saída</v>
      </c>
      <c r="T1003" s="332" t="s">
        <v>114</v>
      </c>
      <c r="U1003" s="332" t="s">
        <v>114</v>
      </c>
      <c r="V1003" s="269"/>
      <c r="W1003" s="269"/>
      <c r="X1003" s="269"/>
      <c r="Y1003" s="269"/>
      <c r="Z1003" s="269"/>
      <c r="AA1003" s="269"/>
      <c r="AB1003" s="269"/>
      <c r="AC1003" s="269"/>
      <c r="AD1003" s="269"/>
      <c r="AE1003" s="269"/>
      <c r="AF1003" s="269"/>
      <c r="AG1003" s="269"/>
      <c r="AH1003" s="269"/>
      <c r="AI1003" s="269"/>
      <c r="AJ1003" s="269"/>
      <c r="AK1003" s="269"/>
      <c r="AL1003" s="269"/>
      <c r="AM1003" s="269"/>
    </row>
    <row r="1004" spans="1:39" ht="44.25" customHeight="1" x14ac:dyDescent="0.2">
      <c r="A1004" s="277">
        <f>IF(B1004="","",COUNT('Diário 5º PA'!$A$5:$A$2634)+COUNT('Diário 6º PA'!$A$5:$A$2246)+ROW()-4)</f>
        <v>3543</v>
      </c>
      <c r="B1004" s="278">
        <v>44445</v>
      </c>
      <c r="C1004" s="335">
        <v>44440</v>
      </c>
      <c r="D1004" s="255" t="s">
        <v>99</v>
      </c>
      <c r="E1004" s="255" t="s">
        <v>272</v>
      </c>
      <c r="F1004" s="258">
        <v>10.45</v>
      </c>
      <c r="G1004" s="450" t="s">
        <v>2273</v>
      </c>
      <c r="H1004" s="255" t="s">
        <v>114</v>
      </c>
      <c r="I1004" s="250" t="s">
        <v>949</v>
      </c>
      <c r="J1004" s="255" t="s">
        <v>950</v>
      </c>
      <c r="K1004" s="255" t="s">
        <v>951</v>
      </c>
      <c r="L1004" s="250" t="s">
        <v>947</v>
      </c>
      <c r="M1004" s="336" t="s">
        <v>114</v>
      </c>
      <c r="N1004" s="278">
        <v>44445</v>
      </c>
      <c r="O1004" s="329" t="s">
        <v>67</v>
      </c>
      <c r="P1004" s="330">
        <f t="shared" ref="P1004:P1070" si="94">IF(B1004=0,0,IF(YEAR(B1004)=$Q$1,MONTH(B1004)-$P$1+1,(YEAR(B1004)-$Q$1)*12-$P$1+1+MONTH(B1004)))</f>
        <v>9</v>
      </c>
      <c r="Q1004" s="330">
        <f t="shared" ref="Q1004:Q1070" si="95">IF(C1004=0,0,IF(YEAR(C1004)=$Q$1,MONTH(C1004)-$P$1+1,(YEAR(C1004)-$Q$1)*12-$P$1+1+MONTH(C1004)))</f>
        <v>9</v>
      </c>
      <c r="R1004" s="331" t="str">
        <f t="shared" ref="R1004:R1070" si="96">SUBSTITUTE(D1004," ","_")</f>
        <v>Gastos_Gerais</v>
      </c>
      <c r="S1004" s="331" t="str">
        <f>IF(D1004="","",IF(OR(D1004=Plano!$A$1,D1004=Plano!$B$1),"entrada","saída"))</f>
        <v>saída</v>
      </c>
      <c r="T1004" s="332" t="s">
        <v>114</v>
      </c>
      <c r="U1004" s="332" t="s">
        <v>114</v>
      </c>
      <c r="V1004" s="269"/>
      <c r="W1004" s="269"/>
      <c r="X1004" s="269"/>
      <c r="Y1004" s="269"/>
      <c r="Z1004" s="269"/>
      <c r="AA1004" s="269"/>
      <c r="AB1004" s="269"/>
      <c r="AC1004" s="269"/>
      <c r="AD1004" s="269"/>
      <c r="AE1004" s="269"/>
      <c r="AF1004" s="269"/>
      <c r="AG1004" s="269"/>
      <c r="AH1004" s="269"/>
      <c r="AI1004" s="269"/>
      <c r="AJ1004" s="269"/>
      <c r="AK1004" s="269"/>
      <c r="AL1004" s="269"/>
      <c r="AM1004" s="269"/>
    </row>
    <row r="1005" spans="1:39" ht="48.75" customHeight="1" x14ac:dyDescent="0.2">
      <c r="A1005" s="277">
        <f>IF(B1005="","",COUNT('Diário 5º PA'!$A$5:$A$2634)+COUNT('Diário 6º PA'!$A$5:$A$2246)+ROW()-4)</f>
        <v>3544</v>
      </c>
      <c r="B1005" s="278">
        <v>44445</v>
      </c>
      <c r="C1005" s="335">
        <v>44440</v>
      </c>
      <c r="D1005" s="255" t="s">
        <v>99</v>
      </c>
      <c r="E1005" s="255" t="s">
        <v>272</v>
      </c>
      <c r="F1005" s="258">
        <v>10.45</v>
      </c>
      <c r="G1005" s="450" t="s">
        <v>2279</v>
      </c>
      <c r="H1005" s="255" t="s">
        <v>114</v>
      </c>
      <c r="I1005" s="250" t="s">
        <v>949</v>
      </c>
      <c r="J1005" s="255" t="s">
        <v>950</v>
      </c>
      <c r="K1005" s="255" t="s">
        <v>951</v>
      </c>
      <c r="L1005" s="250" t="s">
        <v>947</v>
      </c>
      <c r="M1005" s="336" t="s">
        <v>114</v>
      </c>
      <c r="N1005" s="278">
        <v>44445</v>
      </c>
      <c r="O1005" s="329" t="s">
        <v>67</v>
      </c>
      <c r="P1005" s="330">
        <f t="shared" si="94"/>
        <v>9</v>
      </c>
      <c r="Q1005" s="330">
        <f t="shared" si="95"/>
        <v>9</v>
      </c>
      <c r="R1005" s="331" t="str">
        <f t="shared" si="96"/>
        <v>Gastos_Gerais</v>
      </c>
      <c r="S1005" s="331" t="str">
        <f>IF(D1005="","",IF(OR(D1005=Plano!$A$1,D1005=Plano!$B$1),"entrada","saída"))</f>
        <v>saída</v>
      </c>
      <c r="T1005" s="332" t="s">
        <v>114</v>
      </c>
      <c r="U1005" s="332" t="s">
        <v>114</v>
      </c>
      <c r="V1005" s="269"/>
      <c r="W1005" s="269"/>
      <c r="X1005" s="269"/>
      <c r="Y1005" s="269"/>
      <c r="Z1005" s="269"/>
      <c r="AA1005" s="269"/>
      <c r="AB1005" s="269"/>
      <c r="AC1005" s="269"/>
      <c r="AD1005" s="269"/>
      <c r="AE1005" s="269"/>
      <c r="AF1005" s="269"/>
      <c r="AG1005" s="269"/>
      <c r="AH1005" s="269"/>
      <c r="AI1005" s="269"/>
      <c r="AJ1005" s="269"/>
      <c r="AK1005" s="269"/>
      <c r="AL1005" s="269"/>
      <c r="AM1005" s="269"/>
    </row>
    <row r="1006" spans="1:39" ht="47.25" customHeight="1" x14ac:dyDescent="0.2">
      <c r="A1006" s="277">
        <f>IF(B1006="","",COUNT('Diário 5º PA'!$A$5:$A$2634)+COUNT('Diário 6º PA'!$A$5:$A$2246)+ROW()-4)</f>
        <v>3545</v>
      </c>
      <c r="B1006" s="278">
        <v>44445</v>
      </c>
      <c r="C1006" s="335">
        <v>44440</v>
      </c>
      <c r="D1006" s="255" t="s">
        <v>99</v>
      </c>
      <c r="E1006" s="255" t="s">
        <v>272</v>
      </c>
      <c r="F1006" s="258">
        <v>10.45</v>
      </c>
      <c r="G1006" s="450" t="s">
        <v>2280</v>
      </c>
      <c r="H1006" s="255" t="s">
        <v>114</v>
      </c>
      <c r="I1006" s="250" t="s">
        <v>949</v>
      </c>
      <c r="J1006" s="255" t="s">
        <v>950</v>
      </c>
      <c r="K1006" s="255" t="s">
        <v>951</v>
      </c>
      <c r="L1006" s="250" t="s">
        <v>947</v>
      </c>
      <c r="M1006" s="336" t="s">
        <v>114</v>
      </c>
      <c r="N1006" s="278">
        <v>44445</v>
      </c>
      <c r="O1006" s="329" t="s">
        <v>67</v>
      </c>
      <c r="P1006" s="330">
        <f t="shared" si="94"/>
        <v>9</v>
      </c>
      <c r="Q1006" s="330">
        <f t="shared" si="95"/>
        <v>9</v>
      </c>
      <c r="R1006" s="331" t="str">
        <f t="shared" si="96"/>
        <v>Gastos_Gerais</v>
      </c>
      <c r="S1006" s="331" t="str">
        <f>IF(D1006="","",IF(OR(D1006=Plano!$A$1,D1006=Plano!$B$1),"entrada","saída"))</f>
        <v>saída</v>
      </c>
      <c r="T1006" s="332" t="s">
        <v>114</v>
      </c>
      <c r="U1006" s="332" t="s">
        <v>114</v>
      </c>
      <c r="V1006" s="269"/>
      <c r="W1006" s="269"/>
      <c r="X1006" s="269"/>
      <c r="Y1006" s="269"/>
      <c r="Z1006" s="269"/>
      <c r="AA1006" s="269"/>
      <c r="AB1006" s="269"/>
      <c r="AC1006" s="269"/>
      <c r="AD1006" s="269"/>
      <c r="AE1006" s="269"/>
      <c r="AF1006" s="269"/>
      <c r="AG1006" s="269"/>
      <c r="AH1006" s="269"/>
      <c r="AI1006" s="269"/>
      <c r="AJ1006" s="269"/>
      <c r="AK1006" s="269"/>
      <c r="AL1006" s="269"/>
      <c r="AM1006" s="269"/>
    </row>
    <row r="1007" spans="1:39" ht="42.75" customHeight="1" x14ac:dyDescent="0.2">
      <c r="A1007" s="277">
        <f>IF(B1007="","",COUNT('Diário 5º PA'!$A$5:$A$2634)+COUNT('Diário 6º PA'!$A$5:$A$2246)+ROW()-4)</f>
        <v>3546</v>
      </c>
      <c r="B1007" s="278">
        <v>44445</v>
      </c>
      <c r="C1007" s="335">
        <v>44440</v>
      </c>
      <c r="D1007" s="255" t="s">
        <v>99</v>
      </c>
      <c r="E1007" s="255" t="s">
        <v>272</v>
      </c>
      <c r="F1007" s="258">
        <v>10.45</v>
      </c>
      <c r="G1007" s="450" t="s">
        <v>2273</v>
      </c>
      <c r="H1007" s="255" t="s">
        <v>114</v>
      </c>
      <c r="I1007" s="250" t="s">
        <v>949</v>
      </c>
      <c r="J1007" s="255" t="s">
        <v>950</v>
      </c>
      <c r="K1007" s="255" t="s">
        <v>951</v>
      </c>
      <c r="L1007" s="250" t="s">
        <v>947</v>
      </c>
      <c r="M1007" s="336" t="s">
        <v>114</v>
      </c>
      <c r="N1007" s="278">
        <v>44445</v>
      </c>
      <c r="O1007" s="329" t="s">
        <v>67</v>
      </c>
      <c r="P1007" s="330">
        <f t="shared" si="94"/>
        <v>9</v>
      </c>
      <c r="Q1007" s="330">
        <f t="shared" si="95"/>
        <v>9</v>
      </c>
      <c r="R1007" s="331" t="str">
        <f t="shared" si="96"/>
        <v>Gastos_Gerais</v>
      </c>
      <c r="S1007" s="331" t="str">
        <f>IF(D1007="","",IF(OR(D1007=Plano!$A$1,D1007=Plano!$B$1),"entrada","saída"))</f>
        <v>saída</v>
      </c>
      <c r="T1007" s="332" t="s">
        <v>114</v>
      </c>
      <c r="U1007" s="332" t="s">
        <v>114</v>
      </c>
      <c r="V1007" s="269"/>
      <c r="W1007" s="269"/>
      <c r="X1007" s="269"/>
      <c r="Y1007" s="269"/>
      <c r="Z1007" s="269"/>
      <c r="AA1007" s="269"/>
      <c r="AB1007" s="269"/>
      <c r="AC1007" s="269"/>
      <c r="AD1007" s="269"/>
      <c r="AE1007" s="269"/>
      <c r="AF1007" s="269"/>
      <c r="AG1007" s="269"/>
      <c r="AH1007" s="269"/>
      <c r="AI1007" s="269"/>
      <c r="AJ1007" s="269"/>
      <c r="AK1007" s="269"/>
      <c r="AL1007" s="269"/>
      <c r="AM1007" s="269"/>
    </row>
    <row r="1008" spans="1:39" ht="48.75" customHeight="1" x14ac:dyDescent="0.2">
      <c r="A1008" s="277">
        <f>IF(B1008="","",COUNT('Diário 5º PA'!$A$5:$A$2634)+COUNT('Diário 6º PA'!$A$5:$A$2246)+ROW()-4)</f>
        <v>3547</v>
      </c>
      <c r="B1008" s="278">
        <v>44445</v>
      </c>
      <c r="C1008" s="335">
        <v>44440</v>
      </c>
      <c r="D1008" s="255" t="s">
        <v>99</v>
      </c>
      <c r="E1008" s="255" t="s">
        <v>272</v>
      </c>
      <c r="F1008" s="258">
        <v>10.45</v>
      </c>
      <c r="G1008" s="450" t="s">
        <v>2273</v>
      </c>
      <c r="H1008" s="255" t="s">
        <v>114</v>
      </c>
      <c r="I1008" s="250" t="s">
        <v>949</v>
      </c>
      <c r="J1008" s="255" t="s">
        <v>950</v>
      </c>
      <c r="K1008" s="255" t="s">
        <v>951</v>
      </c>
      <c r="L1008" s="250" t="s">
        <v>947</v>
      </c>
      <c r="M1008" s="336" t="s">
        <v>114</v>
      </c>
      <c r="N1008" s="278">
        <v>44445</v>
      </c>
      <c r="O1008" s="329" t="s">
        <v>67</v>
      </c>
      <c r="P1008" s="330">
        <f t="shared" si="94"/>
        <v>9</v>
      </c>
      <c r="Q1008" s="330">
        <f t="shared" si="95"/>
        <v>9</v>
      </c>
      <c r="R1008" s="331" t="str">
        <f t="shared" si="96"/>
        <v>Gastos_Gerais</v>
      </c>
      <c r="S1008" s="331" t="str">
        <f>IF(D1008="","",IF(OR(D1008=Plano!$A$1,D1008=Plano!$B$1),"entrada","saída"))</f>
        <v>saída</v>
      </c>
      <c r="T1008" s="332" t="s">
        <v>114</v>
      </c>
      <c r="U1008" s="332" t="s">
        <v>114</v>
      </c>
      <c r="V1008" s="269"/>
      <c r="W1008" s="269"/>
      <c r="X1008" s="269"/>
      <c r="Y1008" s="269"/>
      <c r="Z1008" s="269"/>
      <c r="AA1008" s="269"/>
      <c r="AB1008" s="269"/>
      <c r="AC1008" s="269"/>
      <c r="AD1008" s="269"/>
      <c r="AE1008" s="269"/>
      <c r="AF1008" s="269"/>
      <c r="AG1008" s="269"/>
      <c r="AH1008" s="269"/>
      <c r="AI1008" s="269"/>
      <c r="AJ1008" s="269"/>
      <c r="AK1008" s="269"/>
      <c r="AL1008" s="269"/>
      <c r="AM1008" s="269"/>
    </row>
    <row r="1009" spans="1:39" ht="45.75" customHeight="1" x14ac:dyDescent="0.2">
      <c r="A1009" s="277">
        <f>IF(B1009="","",COUNT('Diário 5º PA'!$A$5:$A$2634)+COUNT('Diário 6º PA'!$A$5:$A$2246)+ROW()-4)</f>
        <v>3548</v>
      </c>
      <c r="B1009" s="278">
        <v>44445</v>
      </c>
      <c r="C1009" s="335">
        <v>44440</v>
      </c>
      <c r="D1009" s="255" t="s">
        <v>99</v>
      </c>
      <c r="E1009" s="255" t="s">
        <v>272</v>
      </c>
      <c r="F1009" s="258">
        <v>10.45</v>
      </c>
      <c r="G1009" s="450" t="s">
        <v>2281</v>
      </c>
      <c r="H1009" s="255" t="s">
        <v>114</v>
      </c>
      <c r="I1009" s="250" t="s">
        <v>949</v>
      </c>
      <c r="J1009" s="255" t="s">
        <v>950</v>
      </c>
      <c r="K1009" s="255" t="s">
        <v>951</v>
      </c>
      <c r="L1009" s="250" t="s">
        <v>947</v>
      </c>
      <c r="M1009" s="336" t="s">
        <v>114</v>
      </c>
      <c r="N1009" s="278">
        <v>44445</v>
      </c>
      <c r="O1009" s="329" t="s">
        <v>67</v>
      </c>
      <c r="P1009" s="330">
        <f t="shared" si="94"/>
        <v>9</v>
      </c>
      <c r="Q1009" s="330">
        <f t="shared" si="95"/>
        <v>9</v>
      </c>
      <c r="R1009" s="331" t="str">
        <f t="shared" si="96"/>
        <v>Gastos_Gerais</v>
      </c>
      <c r="S1009" s="331" t="str">
        <f>IF(D1009="","",IF(OR(D1009=Plano!$A$1,D1009=Plano!$B$1),"entrada","saída"))</f>
        <v>saída</v>
      </c>
      <c r="T1009" s="332" t="s">
        <v>114</v>
      </c>
      <c r="U1009" s="332" t="s">
        <v>114</v>
      </c>
      <c r="V1009" s="269"/>
      <c r="W1009" s="269"/>
      <c r="X1009" s="269"/>
      <c r="Y1009" s="269"/>
      <c r="Z1009" s="269"/>
      <c r="AA1009" s="269"/>
      <c r="AB1009" s="269"/>
      <c r="AC1009" s="269"/>
      <c r="AD1009" s="269"/>
      <c r="AE1009" s="269"/>
      <c r="AF1009" s="269"/>
      <c r="AG1009" s="269"/>
      <c r="AH1009" s="269"/>
      <c r="AI1009" s="269"/>
      <c r="AJ1009" s="269"/>
      <c r="AK1009" s="269"/>
      <c r="AL1009" s="269"/>
      <c r="AM1009" s="269"/>
    </row>
    <row r="1010" spans="1:39" ht="57" customHeight="1" x14ac:dyDescent="0.2">
      <c r="A1010" s="277">
        <f>IF(B1010="","",COUNT('Diário 5º PA'!$A$5:$A$2634)+COUNT('Diário 6º PA'!$A$5:$A$2246)+ROW()-4)</f>
        <v>3549</v>
      </c>
      <c r="B1010" s="278">
        <v>44445</v>
      </c>
      <c r="C1010" s="335">
        <v>44440</v>
      </c>
      <c r="D1010" s="255" t="s">
        <v>99</v>
      </c>
      <c r="E1010" s="255" t="s">
        <v>272</v>
      </c>
      <c r="F1010" s="258">
        <v>10.45</v>
      </c>
      <c r="G1010" s="450" t="s">
        <v>2273</v>
      </c>
      <c r="H1010" s="255" t="s">
        <v>114</v>
      </c>
      <c r="I1010" s="250" t="s">
        <v>949</v>
      </c>
      <c r="J1010" s="255" t="s">
        <v>950</v>
      </c>
      <c r="K1010" s="255" t="s">
        <v>951</v>
      </c>
      <c r="L1010" s="250" t="s">
        <v>947</v>
      </c>
      <c r="M1010" s="336" t="s">
        <v>114</v>
      </c>
      <c r="N1010" s="278">
        <v>44445</v>
      </c>
      <c r="O1010" s="329" t="s">
        <v>67</v>
      </c>
      <c r="P1010" s="330">
        <f t="shared" si="94"/>
        <v>9</v>
      </c>
      <c r="Q1010" s="330">
        <f t="shared" si="95"/>
        <v>9</v>
      </c>
      <c r="R1010" s="331" t="str">
        <f t="shared" si="96"/>
        <v>Gastos_Gerais</v>
      </c>
      <c r="S1010" s="331" t="str">
        <f>IF(D1010="","",IF(OR(D1010=Plano!$A$1,D1010=Plano!$B$1),"entrada","saída"))</f>
        <v>saída</v>
      </c>
      <c r="T1010" s="332" t="s">
        <v>114</v>
      </c>
      <c r="U1010" s="332" t="s">
        <v>114</v>
      </c>
      <c r="V1010" s="269"/>
      <c r="W1010" s="269"/>
      <c r="X1010" s="269"/>
      <c r="Y1010" s="269"/>
      <c r="Z1010" s="269"/>
      <c r="AA1010" s="269"/>
      <c r="AB1010" s="269"/>
      <c r="AC1010" s="269"/>
      <c r="AD1010" s="269"/>
      <c r="AE1010" s="269"/>
      <c r="AF1010" s="269"/>
      <c r="AG1010" s="269"/>
      <c r="AH1010" s="269"/>
      <c r="AI1010" s="269"/>
      <c r="AJ1010" s="269"/>
      <c r="AK1010" s="269"/>
      <c r="AL1010" s="269"/>
      <c r="AM1010" s="269"/>
    </row>
    <row r="1011" spans="1:39" ht="48.75" customHeight="1" x14ac:dyDescent="0.2">
      <c r="A1011" s="277">
        <f>IF(B1011="","",COUNT('Diário 5º PA'!$A$5:$A$2634)+COUNT('Diário 6º PA'!$A$5:$A$2246)+ROW()-4)</f>
        <v>3550</v>
      </c>
      <c r="B1011" s="278">
        <v>44445</v>
      </c>
      <c r="C1011" s="335">
        <v>44440</v>
      </c>
      <c r="D1011" s="255" t="s">
        <v>99</v>
      </c>
      <c r="E1011" s="255" t="s">
        <v>272</v>
      </c>
      <c r="F1011" s="258">
        <v>10.45</v>
      </c>
      <c r="G1011" s="450" t="s">
        <v>2273</v>
      </c>
      <c r="H1011" s="255" t="s">
        <v>114</v>
      </c>
      <c r="I1011" s="250" t="s">
        <v>949</v>
      </c>
      <c r="J1011" s="255" t="s">
        <v>950</v>
      </c>
      <c r="K1011" s="255" t="s">
        <v>951</v>
      </c>
      <c r="L1011" s="250" t="s">
        <v>947</v>
      </c>
      <c r="M1011" s="336" t="s">
        <v>114</v>
      </c>
      <c r="N1011" s="278">
        <v>44445</v>
      </c>
      <c r="O1011" s="329" t="s">
        <v>67</v>
      </c>
      <c r="P1011" s="330">
        <f t="shared" si="94"/>
        <v>9</v>
      </c>
      <c r="Q1011" s="330">
        <f t="shared" si="95"/>
        <v>9</v>
      </c>
      <c r="R1011" s="331" t="str">
        <f t="shared" si="96"/>
        <v>Gastos_Gerais</v>
      </c>
      <c r="S1011" s="331" t="str">
        <f>IF(D1011="","",IF(OR(D1011=Plano!$A$1,D1011=Plano!$B$1),"entrada","saída"))</f>
        <v>saída</v>
      </c>
      <c r="T1011" s="332" t="s">
        <v>114</v>
      </c>
      <c r="U1011" s="332" t="s">
        <v>114</v>
      </c>
      <c r="V1011" s="269"/>
      <c r="W1011" s="269"/>
      <c r="X1011" s="269"/>
      <c r="Y1011" s="269"/>
      <c r="Z1011" s="269"/>
      <c r="AA1011" s="269"/>
      <c r="AB1011" s="269"/>
      <c r="AC1011" s="269"/>
      <c r="AD1011" s="269"/>
      <c r="AE1011" s="269"/>
      <c r="AF1011" s="269"/>
      <c r="AG1011" s="269"/>
      <c r="AH1011" s="269"/>
      <c r="AI1011" s="269"/>
      <c r="AJ1011" s="269"/>
      <c r="AK1011" s="269"/>
      <c r="AL1011" s="269"/>
      <c r="AM1011" s="269"/>
    </row>
    <row r="1012" spans="1:39" ht="42" customHeight="1" x14ac:dyDescent="0.2">
      <c r="A1012" s="277">
        <f>IF(B1012="","",COUNT('Diário 5º PA'!$A$5:$A$2634)+COUNT('Diário 6º PA'!$A$5:$A$2246)+ROW()-4)</f>
        <v>3551</v>
      </c>
      <c r="B1012" s="278">
        <v>44445</v>
      </c>
      <c r="C1012" s="335">
        <v>44440</v>
      </c>
      <c r="D1012" s="255" t="s">
        <v>99</v>
      </c>
      <c r="E1012" s="255" t="s">
        <v>272</v>
      </c>
      <c r="F1012" s="258">
        <v>10.45</v>
      </c>
      <c r="G1012" s="450" t="s">
        <v>2273</v>
      </c>
      <c r="H1012" s="255" t="s">
        <v>114</v>
      </c>
      <c r="I1012" s="250" t="s">
        <v>949</v>
      </c>
      <c r="J1012" s="255" t="s">
        <v>950</v>
      </c>
      <c r="K1012" s="255" t="s">
        <v>951</v>
      </c>
      <c r="L1012" s="250" t="s">
        <v>947</v>
      </c>
      <c r="M1012" s="336" t="s">
        <v>114</v>
      </c>
      <c r="N1012" s="278">
        <v>44445</v>
      </c>
      <c r="O1012" s="329" t="s">
        <v>67</v>
      </c>
      <c r="P1012" s="330">
        <f t="shared" si="94"/>
        <v>9</v>
      </c>
      <c r="Q1012" s="330">
        <f t="shared" si="95"/>
        <v>9</v>
      </c>
      <c r="R1012" s="331" t="str">
        <f t="shared" si="96"/>
        <v>Gastos_Gerais</v>
      </c>
      <c r="S1012" s="331" t="str">
        <f>IF(D1012="","",IF(OR(D1012=Plano!$A$1,D1012=Plano!$B$1),"entrada","saída"))</f>
        <v>saída</v>
      </c>
      <c r="T1012" s="332" t="s">
        <v>114</v>
      </c>
      <c r="U1012" s="332" t="s">
        <v>114</v>
      </c>
      <c r="V1012" s="269"/>
      <c r="W1012" s="269"/>
      <c r="X1012" s="269"/>
      <c r="Y1012" s="269"/>
      <c r="Z1012" s="269"/>
      <c r="AA1012" s="269"/>
      <c r="AB1012" s="269"/>
      <c r="AC1012" s="269"/>
      <c r="AD1012" s="269"/>
      <c r="AE1012" s="269"/>
      <c r="AF1012" s="269"/>
      <c r="AG1012" s="269"/>
      <c r="AH1012" s="269"/>
      <c r="AI1012" s="269"/>
      <c r="AJ1012" s="269"/>
      <c r="AK1012" s="269"/>
      <c r="AL1012" s="269"/>
      <c r="AM1012" s="269"/>
    </row>
    <row r="1013" spans="1:39" ht="43.5" customHeight="1" x14ac:dyDescent="0.2">
      <c r="A1013" s="277">
        <f>IF(B1013="","",COUNT('Diário 5º PA'!$A$5:$A$2634)+COUNT('Diário 6º PA'!$A$5:$A$2246)+ROW()-4)</f>
        <v>3552</v>
      </c>
      <c r="B1013" s="278">
        <v>44445</v>
      </c>
      <c r="C1013" s="335">
        <v>44440</v>
      </c>
      <c r="D1013" s="255" t="s">
        <v>99</v>
      </c>
      <c r="E1013" s="255" t="s">
        <v>272</v>
      </c>
      <c r="F1013" s="258">
        <v>10.45</v>
      </c>
      <c r="G1013" s="450" t="s">
        <v>2273</v>
      </c>
      <c r="H1013" s="255" t="s">
        <v>114</v>
      </c>
      <c r="I1013" s="250" t="s">
        <v>949</v>
      </c>
      <c r="J1013" s="255" t="s">
        <v>950</v>
      </c>
      <c r="K1013" s="255" t="s">
        <v>951</v>
      </c>
      <c r="L1013" s="250" t="s">
        <v>947</v>
      </c>
      <c r="M1013" s="336" t="s">
        <v>114</v>
      </c>
      <c r="N1013" s="278">
        <v>44445</v>
      </c>
      <c r="O1013" s="329" t="s">
        <v>67</v>
      </c>
      <c r="P1013" s="330">
        <f t="shared" si="94"/>
        <v>9</v>
      </c>
      <c r="Q1013" s="330">
        <f t="shared" si="95"/>
        <v>9</v>
      </c>
      <c r="R1013" s="331" t="str">
        <f t="shared" si="96"/>
        <v>Gastos_Gerais</v>
      </c>
      <c r="S1013" s="331" t="str">
        <f>IF(D1013="","",IF(OR(D1013=Plano!$A$1,D1013=Plano!$B$1),"entrada","saída"))</f>
        <v>saída</v>
      </c>
      <c r="T1013" s="332" t="s">
        <v>114</v>
      </c>
      <c r="U1013" s="332" t="s">
        <v>114</v>
      </c>
      <c r="V1013" s="269"/>
      <c r="W1013" s="269"/>
      <c r="X1013" s="269"/>
      <c r="Y1013" s="269"/>
      <c r="Z1013" s="269"/>
      <c r="AA1013" s="269"/>
      <c r="AB1013" s="269"/>
      <c r="AC1013" s="269"/>
      <c r="AD1013" s="269"/>
      <c r="AE1013" s="269"/>
      <c r="AF1013" s="269"/>
      <c r="AG1013" s="269"/>
      <c r="AH1013" s="269"/>
      <c r="AI1013" s="269"/>
      <c r="AJ1013" s="269"/>
      <c r="AK1013" s="269"/>
      <c r="AL1013" s="269"/>
      <c r="AM1013" s="269"/>
    </row>
    <row r="1014" spans="1:39" ht="50.25" customHeight="1" x14ac:dyDescent="0.2">
      <c r="A1014" s="277">
        <f>IF(B1014="","",COUNT('Diário 5º PA'!$A$5:$A$2634)+COUNT('Diário 6º PA'!$A$5:$A$2246)+ROW()-4)</f>
        <v>3553</v>
      </c>
      <c r="B1014" s="278">
        <v>44445</v>
      </c>
      <c r="C1014" s="335">
        <v>44440</v>
      </c>
      <c r="D1014" s="255" t="s">
        <v>99</v>
      </c>
      <c r="E1014" s="255" t="s">
        <v>272</v>
      </c>
      <c r="F1014" s="258">
        <v>10.45</v>
      </c>
      <c r="G1014" s="450" t="s">
        <v>2273</v>
      </c>
      <c r="H1014" s="255" t="s">
        <v>114</v>
      </c>
      <c r="I1014" s="250" t="s">
        <v>949</v>
      </c>
      <c r="J1014" s="255" t="s">
        <v>950</v>
      </c>
      <c r="K1014" s="255" t="s">
        <v>951</v>
      </c>
      <c r="L1014" s="250" t="s">
        <v>947</v>
      </c>
      <c r="M1014" s="336" t="s">
        <v>114</v>
      </c>
      <c r="N1014" s="278">
        <v>44445</v>
      </c>
      <c r="O1014" s="329" t="s">
        <v>67</v>
      </c>
      <c r="P1014" s="330">
        <f t="shared" si="94"/>
        <v>9</v>
      </c>
      <c r="Q1014" s="330">
        <f t="shared" si="95"/>
        <v>9</v>
      </c>
      <c r="R1014" s="331" t="str">
        <f t="shared" si="96"/>
        <v>Gastos_Gerais</v>
      </c>
      <c r="S1014" s="331" t="str">
        <f>IF(D1014="","",IF(OR(D1014=Plano!$A$1,D1014=Plano!$B$1),"entrada","saída"))</f>
        <v>saída</v>
      </c>
      <c r="T1014" s="332" t="s">
        <v>114</v>
      </c>
      <c r="U1014" s="332" t="s">
        <v>114</v>
      </c>
      <c r="V1014" s="269"/>
      <c r="W1014" s="269"/>
      <c r="X1014" s="269"/>
      <c r="Y1014" s="269"/>
      <c r="Z1014" s="269"/>
      <c r="AA1014" s="269"/>
      <c r="AB1014" s="269"/>
      <c r="AC1014" s="269"/>
      <c r="AD1014" s="269"/>
      <c r="AE1014" s="269"/>
      <c r="AF1014" s="269"/>
      <c r="AG1014" s="269"/>
      <c r="AH1014" s="269"/>
      <c r="AI1014" s="269"/>
      <c r="AJ1014" s="269"/>
      <c r="AK1014" s="269"/>
      <c r="AL1014" s="269"/>
      <c r="AM1014" s="269"/>
    </row>
    <row r="1015" spans="1:39" ht="46.5" customHeight="1" x14ac:dyDescent="0.2">
      <c r="A1015" s="277">
        <f>IF(B1015="","",COUNT('Diário 5º PA'!$A$5:$A$2634)+COUNT('Diário 6º PA'!$A$5:$A$2246)+ROW()-4)</f>
        <v>3554</v>
      </c>
      <c r="B1015" s="278">
        <v>44445</v>
      </c>
      <c r="C1015" s="335">
        <v>44440</v>
      </c>
      <c r="D1015" s="255" t="s">
        <v>99</v>
      </c>
      <c r="E1015" s="255" t="s">
        <v>272</v>
      </c>
      <c r="F1015" s="258">
        <v>10.45</v>
      </c>
      <c r="G1015" s="450" t="s">
        <v>2273</v>
      </c>
      <c r="H1015" s="255" t="s">
        <v>114</v>
      </c>
      <c r="I1015" s="250" t="s">
        <v>949</v>
      </c>
      <c r="J1015" s="255" t="s">
        <v>950</v>
      </c>
      <c r="K1015" s="255" t="s">
        <v>951</v>
      </c>
      <c r="L1015" s="250" t="s">
        <v>947</v>
      </c>
      <c r="M1015" s="336" t="s">
        <v>114</v>
      </c>
      <c r="N1015" s="278">
        <v>44445</v>
      </c>
      <c r="O1015" s="329" t="s">
        <v>67</v>
      </c>
      <c r="P1015" s="330">
        <f t="shared" si="94"/>
        <v>9</v>
      </c>
      <c r="Q1015" s="330">
        <f t="shared" si="95"/>
        <v>9</v>
      </c>
      <c r="R1015" s="331" t="str">
        <f t="shared" si="96"/>
        <v>Gastos_Gerais</v>
      </c>
      <c r="S1015" s="331" t="str">
        <f>IF(D1015="","",IF(OR(D1015=Plano!$A$1,D1015=Plano!$B$1),"entrada","saída"))</f>
        <v>saída</v>
      </c>
      <c r="T1015" s="332" t="s">
        <v>114</v>
      </c>
      <c r="U1015" s="332" t="s">
        <v>114</v>
      </c>
      <c r="V1015" s="269"/>
      <c r="W1015" s="269"/>
      <c r="X1015" s="269"/>
      <c r="Y1015" s="269"/>
      <c r="Z1015" s="269"/>
      <c r="AA1015" s="269"/>
      <c r="AB1015" s="269"/>
      <c r="AC1015" s="269"/>
      <c r="AD1015" s="269"/>
      <c r="AE1015" s="269"/>
      <c r="AF1015" s="269"/>
      <c r="AG1015" s="269"/>
      <c r="AH1015" s="269"/>
      <c r="AI1015" s="269"/>
      <c r="AJ1015" s="269"/>
      <c r="AK1015" s="269"/>
      <c r="AL1015" s="269"/>
      <c r="AM1015" s="269"/>
    </row>
    <row r="1016" spans="1:39" ht="36.75" customHeight="1" x14ac:dyDescent="0.2">
      <c r="A1016" s="277">
        <f>IF(B1016="","",COUNT('Diário 5º PA'!$A$5:$A$2634)+COUNT('Diário 6º PA'!$A$5:$A$2246)+ROW()-4)</f>
        <v>3555</v>
      </c>
      <c r="B1016" s="278">
        <v>44445</v>
      </c>
      <c r="C1016" s="335">
        <v>44440</v>
      </c>
      <c r="D1016" s="255" t="s">
        <v>99</v>
      </c>
      <c r="E1016" s="255" t="s">
        <v>272</v>
      </c>
      <c r="F1016" s="258">
        <v>10.45</v>
      </c>
      <c r="G1016" s="450" t="s">
        <v>2282</v>
      </c>
      <c r="H1016" s="255" t="s">
        <v>114</v>
      </c>
      <c r="I1016" s="250" t="s">
        <v>949</v>
      </c>
      <c r="J1016" s="255" t="s">
        <v>950</v>
      </c>
      <c r="K1016" s="255" t="s">
        <v>951</v>
      </c>
      <c r="L1016" s="250" t="s">
        <v>947</v>
      </c>
      <c r="M1016" s="336" t="s">
        <v>114</v>
      </c>
      <c r="N1016" s="278">
        <v>44445</v>
      </c>
      <c r="O1016" s="329" t="s">
        <v>67</v>
      </c>
      <c r="P1016" s="330">
        <f t="shared" si="94"/>
        <v>9</v>
      </c>
      <c r="Q1016" s="330">
        <f t="shared" si="95"/>
        <v>9</v>
      </c>
      <c r="R1016" s="331" t="str">
        <f t="shared" si="96"/>
        <v>Gastos_Gerais</v>
      </c>
      <c r="S1016" s="331" t="str">
        <f>IF(D1016="","",IF(OR(D1016=Plano!$A$1,D1016=Plano!$B$1),"entrada","saída"))</f>
        <v>saída</v>
      </c>
      <c r="T1016" s="332" t="s">
        <v>114</v>
      </c>
      <c r="U1016" s="332" t="s">
        <v>114</v>
      </c>
      <c r="V1016" s="269"/>
      <c r="W1016" s="269"/>
      <c r="X1016" s="269"/>
      <c r="Y1016" s="269"/>
      <c r="Z1016" s="269"/>
      <c r="AA1016" s="269"/>
      <c r="AB1016" s="269"/>
      <c r="AC1016" s="269"/>
      <c r="AD1016" s="269"/>
      <c r="AE1016" s="269"/>
      <c r="AF1016" s="269"/>
      <c r="AG1016" s="269"/>
      <c r="AH1016" s="269"/>
      <c r="AI1016" s="269"/>
      <c r="AJ1016" s="269"/>
      <c r="AK1016" s="269"/>
      <c r="AL1016" s="269"/>
      <c r="AM1016" s="269"/>
    </row>
    <row r="1017" spans="1:39" ht="45" customHeight="1" x14ac:dyDescent="0.2">
      <c r="A1017" s="277">
        <f>IF(B1017="","",COUNT('Diário 5º PA'!$A$5:$A$2634)+COUNT('Diário 6º PA'!$A$5:$A$2246)+ROW()-4)</f>
        <v>3556</v>
      </c>
      <c r="B1017" s="278">
        <v>44445</v>
      </c>
      <c r="C1017" s="335">
        <v>44440</v>
      </c>
      <c r="D1017" s="255" t="s">
        <v>99</v>
      </c>
      <c r="E1017" s="255" t="s">
        <v>272</v>
      </c>
      <c r="F1017" s="258">
        <v>10.45</v>
      </c>
      <c r="G1017" s="450" t="s">
        <v>2283</v>
      </c>
      <c r="H1017" s="255" t="s">
        <v>114</v>
      </c>
      <c r="I1017" s="250" t="s">
        <v>949</v>
      </c>
      <c r="J1017" s="255" t="s">
        <v>950</v>
      </c>
      <c r="K1017" s="255" t="s">
        <v>951</v>
      </c>
      <c r="L1017" s="250" t="s">
        <v>947</v>
      </c>
      <c r="M1017" s="336" t="s">
        <v>114</v>
      </c>
      <c r="N1017" s="278">
        <v>44445</v>
      </c>
      <c r="O1017" s="329" t="s">
        <v>67</v>
      </c>
      <c r="P1017" s="330">
        <f t="shared" si="94"/>
        <v>9</v>
      </c>
      <c r="Q1017" s="330">
        <f t="shared" si="95"/>
        <v>9</v>
      </c>
      <c r="R1017" s="331" t="str">
        <f t="shared" si="96"/>
        <v>Gastos_Gerais</v>
      </c>
      <c r="S1017" s="331" t="str">
        <f>IF(D1017="","",IF(OR(D1017=Plano!$A$1,D1017=Plano!$B$1),"entrada","saída"))</f>
        <v>saída</v>
      </c>
      <c r="T1017" s="332" t="s">
        <v>114</v>
      </c>
      <c r="U1017" s="332" t="s">
        <v>114</v>
      </c>
      <c r="V1017" s="269"/>
      <c r="W1017" s="269"/>
      <c r="X1017" s="269"/>
      <c r="Y1017" s="269"/>
      <c r="Z1017" s="269"/>
      <c r="AA1017" s="269"/>
      <c r="AB1017" s="269"/>
      <c r="AC1017" s="269"/>
      <c r="AD1017" s="269"/>
      <c r="AE1017" s="269"/>
      <c r="AF1017" s="269"/>
      <c r="AG1017" s="269"/>
      <c r="AH1017" s="269"/>
      <c r="AI1017" s="269"/>
      <c r="AJ1017" s="269"/>
      <c r="AK1017" s="269"/>
      <c r="AL1017" s="269"/>
      <c r="AM1017" s="269"/>
    </row>
    <row r="1018" spans="1:39" ht="44.25" customHeight="1" x14ac:dyDescent="0.2">
      <c r="A1018" s="277">
        <f>IF(B1018="","",COUNT('Diário 5º PA'!$A$5:$A$2634)+COUNT('Diário 6º PA'!$A$5:$A$2246)+ROW()-4)</f>
        <v>3557</v>
      </c>
      <c r="B1018" s="278">
        <v>44445</v>
      </c>
      <c r="C1018" s="335">
        <v>44440</v>
      </c>
      <c r="D1018" s="255" t="s">
        <v>99</v>
      </c>
      <c r="E1018" s="255" t="s">
        <v>272</v>
      </c>
      <c r="F1018" s="258">
        <v>10.45</v>
      </c>
      <c r="G1018" s="450" t="s">
        <v>2273</v>
      </c>
      <c r="H1018" s="255" t="s">
        <v>114</v>
      </c>
      <c r="I1018" s="250" t="s">
        <v>949</v>
      </c>
      <c r="J1018" s="255" t="s">
        <v>950</v>
      </c>
      <c r="K1018" s="255" t="s">
        <v>951</v>
      </c>
      <c r="L1018" s="250" t="s">
        <v>947</v>
      </c>
      <c r="M1018" s="336" t="s">
        <v>114</v>
      </c>
      <c r="N1018" s="278">
        <v>44445</v>
      </c>
      <c r="O1018" s="329" t="s">
        <v>67</v>
      </c>
      <c r="P1018" s="330">
        <f t="shared" si="94"/>
        <v>9</v>
      </c>
      <c r="Q1018" s="330">
        <f t="shared" si="95"/>
        <v>9</v>
      </c>
      <c r="R1018" s="331" t="str">
        <f t="shared" si="96"/>
        <v>Gastos_Gerais</v>
      </c>
      <c r="S1018" s="331" t="str">
        <f>IF(D1018="","",IF(OR(D1018=Plano!$A$1,D1018=Plano!$B$1),"entrada","saída"))</f>
        <v>saída</v>
      </c>
      <c r="T1018" s="332" t="s">
        <v>114</v>
      </c>
      <c r="U1018" s="332" t="s">
        <v>114</v>
      </c>
      <c r="V1018" s="269"/>
      <c r="W1018" s="269"/>
      <c r="X1018" s="269"/>
      <c r="Y1018" s="269"/>
      <c r="Z1018" s="269"/>
      <c r="AA1018" s="269"/>
      <c r="AB1018" s="269"/>
      <c r="AC1018" s="269"/>
      <c r="AD1018" s="269"/>
      <c r="AE1018" s="269"/>
      <c r="AF1018" s="269"/>
      <c r="AG1018" s="269"/>
      <c r="AH1018" s="269"/>
      <c r="AI1018" s="269"/>
      <c r="AJ1018" s="269"/>
      <c r="AK1018" s="269"/>
      <c r="AL1018" s="269"/>
      <c r="AM1018" s="269"/>
    </row>
    <row r="1019" spans="1:39" ht="42" customHeight="1" x14ac:dyDescent="0.2">
      <c r="A1019" s="277">
        <f>IF(B1019="","",COUNT('Diário 5º PA'!$A$5:$A$2634)+COUNT('Diário 6º PA'!$A$5:$A$2246)+ROW()-4)</f>
        <v>3558</v>
      </c>
      <c r="B1019" s="278">
        <v>44445</v>
      </c>
      <c r="C1019" s="335">
        <v>44440</v>
      </c>
      <c r="D1019" s="255" t="s">
        <v>99</v>
      </c>
      <c r="E1019" s="255" t="s">
        <v>272</v>
      </c>
      <c r="F1019" s="258">
        <v>10.45</v>
      </c>
      <c r="G1019" s="450" t="s">
        <v>2273</v>
      </c>
      <c r="H1019" s="255" t="s">
        <v>114</v>
      </c>
      <c r="I1019" s="250" t="s">
        <v>949</v>
      </c>
      <c r="J1019" s="255" t="s">
        <v>950</v>
      </c>
      <c r="K1019" s="255" t="s">
        <v>951</v>
      </c>
      <c r="L1019" s="250" t="s">
        <v>947</v>
      </c>
      <c r="M1019" s="336" t="s">
        <v>114</v>
      </c>
      <c r="N1019" s="278">
        <v>44445</v>
      </c>
      <c r="O1019" s="329" t="s">
        <v>67</v>
      </c>
      <c r="P1019" s="330">
        <f t="shared" si="94"/>
        <v>9</v>
      </c>
      <c r="Q1019" s="330">
        <f t="shared" si="95"/>
        <v>9</v>
      </c>
      <c r="R1019" s="331" t="str">
        <f t="shared" si="96"/>
        <v>Gastos_Gerais</v>
      </c>
      <c r="S1019" s="331" t="str">
        <f>IF(D1019="","",IF(OR(D1019=Plano!$A$1,D1019=Plano!$B$1),"entrada","saída"))</f>
        <v>saída</v>
      </c>
      <c r="T1019" s="332" t="s">
        <v>114</v>
      </c>
      <c r="U1019" s="332" t="s">
        <v>114</v>
      </c>
      <c r="V1019" s="269"/>
      <c r="W1019" s="269"/>
      <c r="X1019" s="269"/>
      <c r="Y1019" s="269"/>
      <c r="Z1019" s="269"/>
      <c r="AA1019" s="269"/>
      <c r="AB1019" s="269"/>
      <c r="AC1019" s="269"/>
      <c r="AD1019" s="269"/>
      <c r="AE1019" s="269"/>
      <c r="AF1019" s="269"/>
      <c r="AG1019" s="269"/>
      <c r="AH1019" s="269"/>
      <c r="AI1019" s="269"/>
      <c r="AJ1019" s="269"/>
      <c r="AK1019" s="269"/>
      <c r="AL1019" s="269"/>
      <c r="AM1019" s="269"/>
    </row>
    <row r="1020" spans="1:39" ht="47.25" customHeight="1" x14ac:dyDescent="0.2">
      <c r="A1020" s="277">
        <f>IF(B1020="","",COUNT('Diário 5º PA'!$A$5:$A$2634)+COUNT('Diário 6º PA'!$A$5:$A$2246)+ROW()-4)</f>
        <v>3559</v>
      </c>
      <c r="B1020" s="278">
        <v>44445</v>
      </c>
      <c r="C1020" s="335">
        <v>44440</v>
      </c>
      <c r="D1020" s="255" t="s">
        <v>99</v>
      </c>
      <c r="E1020" s="255" t="s">
        <v>272</v>
      </c>
      <c r="F1020" s="258">
        <v>10.45</v>
      </c>
      <c r="G1020" s="450" t="s">
        <v>2273</v>
      </c>
      <c r="H1020" s="255" t="s">
        <v>114</v>
      </c>
      <c r="I1020" s="250" t="s">
        <v>949</v>
      </c>
      <c r="J1020" s="255" t="s">
        <v>950</v>
      </c>
      <c r="K1020" s="255" t="s">
        <v>951</v>
      </c>
      <c r="L1020" s="250" t="s">
        <v>947</v>
      </c>
      <c r="M1020" s="336" t="s">
        <v>114</v>
      </c>
      <c r="N1020" s="278">
        <v>44445</v>
      </c>
      <c r="O1020" s="329" t="s">
        <v>67</v>
      </c>
      <c r="P1020" s="330">
        <f t="shared" si="94"/>
        <v>9</v>
      </c>
      <c r="Q1020" s="330">
        <f t="shared" si="95"/>
        <v>9</v>
      </c>
      <c r="R1020" s="331" t="str">
        <f t="shared" si="96"/>
        <v>Gastos_Gerais</v>
      </c>
      <c r="S1020" s="331" t="str">
        <f>IF(D1020="","",IF(OR(D1020=Plano!$A$1,D1020=Plano!$B$1),"entrada","saída"))</f>
        <v>saída</v>
      </c>
      <c r="T1020" s="332" t="s">
        <v>114</v>
      </c>
      <c r="U1020" s="332" t="s">
        <v>114</v>
      </c>
      <c r="V1020" s="269"/>
      <c r="W1020" s="269"/>
      <c r="X1020" s="269"/>
      <c r="Y1020" s="269"/>
      <c r="Z1020" s="269"/>
      <c r="AA1020" s="269"/>
      <c r="AB1020" s="269"/>
      <c r="AC1020" s="269"/>
      <c r="AD1020" s="269"/>
      <c r="AE1020" s="269"/>
      <c r="AF1020" s="269"/>
      <c r="AG1020" s="269"/>
      <c r="AH1020" s="269"/>
      <c r="AI1020" s="269"/>
      <c r="AJ1020" s="269"/>
      <c r="AK1020" s="269"/>
      <c r="AL1020" s="269"/>
      <c r="AM1020" s="269"/>
    </row>
    <row r="1021" spans="1:39" ht="45" customHeight="1" x14ac:dyDescent="0.2">
      <c r="A1021" s="277">
        <f>IF(B1021="","",COUNT('Diário 5º PA'!$A$5:$A$2634)+COUNT('Diário 6º PA'!$A$5:$A$2246)+ROW()-4)</f>
        <v>3560</v>
      </c>
      <c r="B1021" s="278">
        <v>44445</v>
      </c>
      <c r="C1021" s="335">
        <v>44440</v>
      </c>
      <c r="D1021" s="255" t="s">
        <v>99</v>
      </c>
      <c r="E1021" s="255" t="s">
        <v>272</v>
      </c>
      <c r="F1021" s="258">
        <v>10.45</v>
      </c>
      <c r="G1021" s="450" t="s">
        <v>2273</v>
      </c>
      <c r="H1021" s="255" t="s">
        <v>114</v>
      </c>
      <c r="I1021" s="250" t="s">
        <v>949</v>
      </c>
      <c r="J1021" s="255" t="s">
        <v>950</v>
      </c>
      <c r="K1021" s="255" t="s">
        <v>951</v>
      </c>
      <c r="L1021" s="250" t="s">
        <v>947</v>
      </c>
      <c r="M1021" s="336" t="s">
        <v>114</v>
      </c>
      <c r="N1021" s="278">
        <v>44445</v>
      </c>
      <c r="O1021" s="329" t="s">
        <v>67</v>
      </c>
      <c r="P1021" s="330">
        <f t="shared" si="94"/>
        <v>9</v>
      </c>
      <c r="Q1021" s="330">
        <f t="shared" si="95"/>
        <v>9</v>
      </c>
      <c r="R1021" s="331" t="str">
        <f t="shared" si="96"/>
        <v>Gastos_Gerais</v>
      </c>
      <c r="S1021" s="331" t="str">
        <f>IF(D1021="","",IF(OR(D1021=Plano!$A$1,D1021=Plano!$B$1),"entrada","saída"))</f>
        <v>saída</v>
      </c>
      <c r="T1021" s="332" t="s">
        <v>114</v>
      </c>
      <c r="U1021" s="332" t="s">
        <v>114</v>
      </c>
      <c r="V1021" s="269"/>
      <c r="W1021" s="269"/>
      <c r="X1021" s="269"/>
      <c r="Y1021" s="269"/>
      <c r="Z1021" s="269"/>
      <c r="AA1021" s="269"/>
      <c r="AB1021" s="269"/>
      <c r="AC1021" s="269"/>
      <c r="AD1021" s="269"/>
      <c r="AE1021" s="269"/>
      <c r="AF1021" s="269"/>
      <c r="AG1021" s="269"/>
      <c r="AH1021" s="269"/>
      <c r="AI1021" s="269"/>
      <c r="AJ1021" s="269"/>
      <c r="AK1021" s="269"/>
      <c r="AL1021" s="269"/>
      <c r="AM1021" s="269"/>
    </row>
    <row r="1022" spans="1:39" ht="51.75" customHeight="1" x14ac:dyDescent="0.2">
      <c r="A1022" s="277">
        <f>IF(B1022="","",COUNT('Diário 5º PA'!$A$5:$A$2634)+COUNT('Diário 6º PA'!$A$5:$A$2246)+ROW()-4)</f>
        <v>3561</v>
      </c>
      <c r="B1022" s="278">
        <v>44445</v>
      </c>
      <c r="C1022" s="335">
        <v>44440</v>
      </c>
      <c r="D1022" s="255" t="s">
        <v>99</v>
      </c>
      <c r="E1022" s="255" t="s">
        <v>272</v>
      </c>
      <c r="F1022" s="258">
        <v>10.45</v>
      </c>
      <c r="G1022" s="450" t="s">
        <v>2273</v>
      </c>
      <c r="H1022" s="255" t="s">
        <v>114</v>
      </c>
      <c r="I1022" s="250" t="s">
        <v>949</v>
      </c>
      <c r="J1022" s="255" t="s">
        <v>950</v>
      </c>
      <c r="K1022" s="255" t="s">
        <v>951</v>
      </c>
      <c r="L1022" s="250" t="s">
        <v>947</v>
      </c>
      <c r="M1022" s="336" t="s">
        <v>114</v>
      </c>
      <c r="N1022" s="278">
        <v>44445</v>
      </c>
      <c r="O1022" s="329" t="s">
        <v>67</v>
      </c>
      <c r="P1022" s="330">
        <f t="shared" si="94"/>
        <v>9</v>
      </c>
      <c r="Q1022" s="330">
        <f t="shared" si="95"/>
        <v>9</v>
      </c>
      <c r="R1022" s="331" t="str">
        <f t="shared" si="96"/>
        <v>Gastos_Gerais</v>
      </c>
      <c r="S1022" s="331" t="str">
        <f>IF(D1022="","",IF(OR(D1022=Plano!$A$1,D1022=Plano!$B$1),"entrada","saída"))</f>
        <v>saída</v>
      </c>
      <c r="T1022" s="332" t="s">
        <v>114</v>
      </c>
      <c r="U1022" s="332" t="s">
        <v>114</v>
      </c>
      <c r="V1022" s="269"/>
      <c r="W1022" s="269"/>
      <c r="X1022" s="269"/>
      <c r="Y1022" s="269"/>
      <c r="Z1022" s="269"/>
      <c r="AA1022" s="269"/>
      <c r="AB1022" s="269"/>
      <c r="AC1022" s="269"/>
      <c r="AD1022" s="269"/>
      <c r="AE1022" s="269"/>
      <c r="AF1022" s="269"/>
      <c r="AG1022" s="269"/>
      <c r="AH1022" s="269"/>
      <c r="AI1022" s="269"/>
      <c r="AJ1022" s="269"/>
      <c r="AK1022" s="269"/>
      <c r="AL1022" s="269"/>
      <c r="AM1022" s="269"/>
    </row>
    <row r="1023" spans="1:39" ht="33.75" customHeight="1" x14ac:dyDescent="0.2">
      <c r="A1023" s="277">
        <f>IF(B1023="","",COUNT('Diário 5º PA'!$A$5:$A$2634)+COUNT('Diário 6º PA'!$A$5:$A$2246)+ROW()-4)</f>
        <v>3562</v>
      </c>
      <c r="B1023" s="278">
        <v>44445</v>
      </c>
      <c r="C1023" s="335">
        <v>44440</v>
      </c>
      <c r="D1023" s="255" t="s">
        <v>99</v>
      </c>
      <c r="E1023" s="255" t="s">
        <v>272</v>
      </c>
      <c r="F1023" s="258">
        <v>10.45</v>
      </c>
      <c r="G1023" s="450" t="s">
        <v>2284</v>
      </c>
      <c r="H1023" s="255" t="s">
        <v>114</v>
      </c>
      <c r="I1023" s="250" t="s">
        <v>949</v>
      </c>
      <c r="J1023" s="255" t="s">
        <v>950</v>
      </c>
      <c r="K1023" s="255" t="s">
        <v>951</v>
      </c>
      <c r="L1023" s="250" t="s">
        <v>947</v>
      </c>
      <c r="M1023" s="336" t="s">
        <v>114</v>
      </c>
      <c r="N1023" s="278">
        <v>44445</v>
      </c>
      <c r="O1023" s="329" t="s">
        <v>67</v>
      </c>
      <c r="P1023" s="330">
        <f t="shared" si="94"/>
        <v>9</v>
      </c>
      <c r="Q1023" s="330">
        <f t="shared" si="95"/>
        <v>9</v>
      </c>
      <c r="R1023" s="331" t="str">
        <f t="shared" si="96"/>
        <v>Gastos_Gerais</v>
      </c>
      <c r="S1023" s="331" t="str">
        <f>IF(D1023="","",IF(OR(D1023=Plano!$A$1,D1023=Plano!$B$1),"entrada","saída"))</f>
        <v>saída</v>
      </c>
      <c r="T1023" s="332" t="s">
        <v>114</v>
      </c>
      <c r="U1023" s="332" t="s">
        <v>114</v>
      </c>
      <c r="V1023" s="269"/>
      <c r="W1023" s="269"/>
      <c r="X1023" s="269"/>
      <c r="Y1023" s="269"/>
      <c r="Z1023" s="269"/>
      <c r="AA1023" s="269"/>
      <c r="AB1023" s="269"/>
      <c r="AC1023" s="269"/>
      <c r="AD1023" s="269"/>
      <c r="AE1023" s="269"/>
      <c r="AF1023" s="269"/>
      <c r="AG1023" s="269"/>
      <c r="AH1023" s="269"/>
      <c r="AI1023" s="269"/>
      <c r="AJ1023" s="269"/>
      <c r="AK1023" s="269"/>
      <c r="AL1023" s="269"/>
      <c r="AM1023" s="269"/>
    </row>
    <row r="1024" spans="1:39" ht="48.75" customHeight="1" x14ac:dyDescent="0.2">
      <c r="A1024" s="277">
        <f>IF(B1024="","",COUNT('Diário 5º PA'!$A$5:$A$2634)+COUNT('Diário 6º PA'!$A$5:$A$2246)+ROW()-4)</f>
        <v>3563</v>
      </c>
      <c r="B1024" s="278">
        <v>44445</v>
      </c>
      <c r="C1024" s="335">
        <v>44440</v>
      </c>
      <c r="D1024" s="255" t="s">
        <v>99</v>
      </c>
      <c r="E1024" s="255" t="s">
        <v>272</v>
      </c>
      <c r="F1024" s="258">
        <v>10.45</v>
      </c>
      <c r="G1024" s="450" t="s">
        <v>2285</v>
      </c>
      <c r="H1024" s="250" t="s">
        <v>131</v>
      </c>
      <c r="I1024" s="250" t="s">
        <v>949</v>
      </c>
      <c r="J1024" s="255" t="s">
        <v>950</v>
      </c>
      <c r="K1024" s="255" t="s">
        <v>951</v>
      </c>
      <c r="L1024" s="250" t="s">
        <v>947</v>
      </c>
      <c r="M1024" s="336" t="s">
        <v>114</v>
      </c>
      <c r="N1024" s="278">
        <v>44445</v>
      </c>
      <c r="O1024" s="329" t="s">
        <v>67</v>
      </c>
      <c r="P1024" s="330">
        <f t="shared" si="94"/>
        <v>9</v>
      </c>
      <c r="Q1024" s="330">
        <f t="shared" si="95"/>
        <v>9</v>
      </c>
      <c r="R1024" s="331" t="str">
        <f t="shared" si="96"/>
        <v>Gastos_Gerais</v>
      </c>
      <c r="S1024" s="331" t="str">
        <f>IF(D1024="","",IF(OR(D1024=Plano!$A$1,D1024=Plano!$B$1),"entrada","saída"))</f>
        <v>saída</v>
      </c>
      <c r="T1024" s="332" t="s">
        <v>114</v>
      </c>
      <c r="U1024" s="332" t="s">
        <v>114</v>
      </c>
      <c r="V1024" s="269"/>
      <c r="W1024" s="269"/>
      <c r="X1024" s="269"/>
      <c r="Y1024" s="269"/>
      <c r="Z1024" s="269"/>
      <c r="AA1024" s="269"/>
      <c r="AB1024" s="269"/>
      <c r="AC1024" s="269"/>
      <c r="AD1024" s="269"/>
      <c r="AE1024" s="269"/>
      <c r="AF1024" s="269"/>
      <c r="AG1024" s="269"/>
      <c r="AH1024" s="269"/>
      <c r="AI1024" s="269"/>
      <c r="AJ1024" s="269"/>
      <c r="AK1024" s="269"/>
      <c r="AL1024" s="269"/>
      <c r="AM1024" s="269"/>
    </row>
    <row r="1025" spans="1:39" ht="39.75" customHeight="1" x14ac:dyDescent="0.2">
      <c r="A1025" s="277">
        <f>IF(B1025="","",COUNT('Diário 5º PA'!$A$5:$A$2634)+COUNT('Diário 6º PA'!$A$5:$A$2246)+ROW()-4)</f>
        <v>3564</v>
      </c>
      <c r="B1025" s="278">
        <v>44445</v>
      </c>
      <c r="C1025" s="335">
        <v>44440</v>
      </c>
      <c r="D1025" s="255" t="s">
        <v>99</v>
      </c>
      <c r="E1025" s="255" t="s">
        <v>272</v>
      </c>
      <c r="F1025" s="258">
        <v>10.45</v>
      </c>
      <c r="G1025" s="450" t="s">
        <v>2286</v>
      </c>
      <c r="H1025" s="255" t="s">
        <v>114</v>
      </c>
      <c r="I1025" s="250" t="s">
        <v>949</v>
      </c>
      <c r="J1025" s="255" t="s">
        <v>950</v>
      </c>
      <c r="K1025" s="255" t="s">
        <v>951</v>
      </c>
      <c r="L1025" s="250" t="s">
        <v>947</v>
      </c>
      <c r="M1025" s="336" t="s">
        <v>114</v>
      </c>
      <c r="N1025" s="278">
        <v>44445</v>
      </c>
      <c r="O1025" s="329" t="s">
        <v>67</v>
      </c>
      <c r="P1025" s="330">
        <f t="shared" si="94"/>
        <v>9</v>
      </c>
      <c r="Q1025" s="330">
        <f t="shared" si="95"/>
        <v>9</v>
      </c>
      <c r="R1025" s="331" t="str">
        <f t="shared" si="96"/>
        <v>Gastos_Gerais</v>
      </c>
      <c r="S1025" s="331" t="str">
        <f>IF(D1025="","",IF(OR(D1025=Plano!$A$1,D1025=Plano!$B$1),"entrada","saída"))</f>
        <v>saída</v>
      </c>
      <c r="T1025" s="332" t="s">
        <v>114</v>
      </c>
      <c r="U1025" s="332" t="s">
        <v>114</v>
      </c>
      <c r="V1025" s="269"/>
      <c r="W1025" s="269"/>
      <c r="X1025" s="269"/>
      <c r="Y1025" s="269"/>
      <c r="Z1025" s="269"/>
      <c r="AA1025" s="269"/>
      <c r="AB1025" s="269"/>
      <c r="AC1025" s="269"/>
      <c r="AD1025" s="269"/>
      <c r="AE1025" s="269"/>
      <c r="AF1025" s="269"/>
      <c r="AG1025" s="269"/>
      <c r="AH1025" s="269"/>
      <c r="AI1025" s="269"/>
      <c r="AJ1025" s="269"/>
      <c r="AK1025" s="269"/>
      <c r="AL1025" s="269"/>
      <c r="AM1025" s="269"/>
    </row>
    <row r="1026" spans="1:39" ht="45.75" customHeight="1" x14ac:dyDescent="0.2">
      <c r="A1026" s="277">
        <f>IF(B1026="","",COUNT('Diário 5º PA'!$A$5:$A$2634)+COUNT('Diário 6º PA'!$A$5:$A$2246)+ROW()-4)</f>
        <v>3565</v>
      </c>
      <c r="B1026" s="278">
        <v>44445</v>
      </c>
      <c r="C1026" s="335">
        <v>44440</v>
      </c>
      <c r="D1026" s="255" t="s">
        <v>99</v>
      </c>
      <c r="E1026" s="255" t="s">
        <v>272</v>
      </c>
      <c r="F1026" s="258">
        <v>10.45</v>
      </c>
      <c r="G1026" s="450" t="s">
        <v>2273</v>
      </c>
      <c r="H1026" s="255" t="s">
        <v>114</v>
      </c>
      <c r="I1026" s="250" t="s">
        <v>949</v>
      </c>
      <c r="J1026" s="255" t="s">
        <v>950</v>
      </c>
      <c r="K1026" s="255" t="s">
        <v>951</v>
      </c>
      <c r="L1026" s="250" t="s">
        <v>947</v>
      </c>
      <c r="M1026" s="336" t="s">
        <v>114</v>
      </c>
      <c r="N1026" s="278">
        <v>44445</v>
      </c>
      <c r="O1026" s="329" t="s">
        <v>67</v>
      </c>
      <c r="P1026" s="330">
        <f t="shared" si="94"/>
        <v>9</v>
      </c>
      <c r="Q1026" s="330">
        <f t="shared" si="95"/>
        <v>9</v>
      </c>
      <c r="R1026" s="331" t="str">
        <f t="shared" si="96"/>
        <v>Gastos_Gerais</v>
      </c>
      <c r="S1026" s="331" t="str">
        <f>IF(D1026="","",IF(OR(D1026=Plano!$A$1,D1026=Plano!$B$1),"entrada","saída"))</f>
        <v>saída</v>
      </c>
      <c r="T1026" s="332" t="s">
        <v>114</v>
      </c>
      <c r="U1026" s="332" t="s">
        <v>114</v>
      </c>
      <c r="V1026" s="269"/>
      <c r="W1026" s="269"/>
      <c r="X1026" s="269"/>
      <c r="Y1026" s="269"/>
      <c r="Z1026" s="269"/>
      <c r="AA1026" s="269"/>
      <c r="AB1026" s="269"/>
      <c r="AC1026" s="269"/>
      <c r="AD1026" s="269"/>
      <c r="AE1026" s="269"/>
      <c r="AF1026" s="269"/>
      <c r="AG1026" s="269"/>
      <c r="AH1026" s="269"/>
      <c r="AI1026" s="269"/>
      <c r="AJ1026" s="269"/>
      <c r="AK1026" s="269"/>
      <c r="AL1026" s="269"/>
      <c r="AM1026" s="269"/>
    </row>
    <row r="1027" spans="1:39" ht="37.5" customHeight="1" x14ac:dyDescent="0.2">
      <c r="A1027" s="277">
        <f>IF(B1027="","",COUNT('Diário 5º PA'!$A$5:$A$2634)+COUNT('Diário 6º PA'!$A$5:$A$2246)+ROW()-4)</f>
        <v>3566</v>
      </c>
      <c r="B1027" s="278">
        <v>44445</v>
      </c>
      <c r="C1027" s="335">
        <v>44440</v>
      </c>
      <c r="D1027" s="255" t="s">
        <v>99</v>
      </c>
      <c r="E1027" s="255" t="s">
        <v>272</v>
      </c>
      <c r="F1027" s="258">
        <v>10.45</v>
      </c>
      <c r="G1027" s="450" t="s">
        <v>2286</v>
      </c>
      <c r="H1027" s="255" t="s">
        <v>114</v>
      </c>
      <c r="I1027" s="250" t="s">
        <v>949</v>
      </c>
      <c r="J1027" s="255" t="s">
        <v>950</v>
      </c>
      <c r="K1027" s="255" t="s">
        <v>951</v>
      </c>
      <c r="L1027" s="250" t="s">
        <v>947</v>
      </c>
      <c r="M1027" s="336" t="s">
        <v>114</v>
      </c>
      <c r="N1027" s="278">
        <v>44445</v>
      </c>
      <c r="O1027" s="329" t="s">
        <v>67</v>
      </c>
      <c r="P1027" s="330">
        <f t="shared" si="94"/>
        <v>9</v>
      </c>
      <c r="Q1027" s="330">
        <f t="shared" si="95"/>
        <v>9</v>
      </c>
      <c r="R1027" s="331" t="str">
        <f t="shared" si="96"/>
        <v>Gastos_Gerais</v>
      </c>
      <c r="S1027" s="331" t="str">
        <f>IF(D1027="","",IF(OR(D1027=Plano!$A$1,D1027=Plano!$B$1),"entrada","saída"))</f>
        <v>saída</v>
      </c>
      <c r="T1027" s="332" t="s">
        <v>114</v>
      </c>
      <c r="U1027" s="332" t="s">
        <v>114</v>
      </c>
      <c r="V1027" s="269"/>
      <c r="W1027" s="269"/>
      <c r="X1027" s="269"/>
      <c r="Y1027" s="269"/>
      <c r="Z1027" s="269"/>
      <c r="AA1027" s="269"/>
      <c r="AB1027" s="269"/>
      <c r="AC1027" s="269"/>
      <c r="AD1027" s="269"/>
      <c r="AE1027" s="269"/>
      <c r="AF1027" s="269"/>
      <c r="AG1027" s="269"/>
      <c r="AH1027" s="269"/>
      <c r="AI1027" s="269"/>
      <c r="AJ1027" s="269"/>
      <c r="AK1027" s="269"/>
      <c r="AL1027" s="269"/>
      <c r="AM1027" s="269"/>
    </row>
    <row r="1028" spans="1:39" ht="47.25" customHeight="1" x14ac:dyDescent="0.2">
      <c r="A1028" s="277">
        <f>IF(B1028="","",COUNT('Diário 5º PA'!$A$5:$A$2634)+COUNT('Diário 6º PA'!$A$5:$A$2246)+ROW()-4)</f>
        <v>3567</v>
      </c>
      <c r="B1028" s="278">
        <v>44445</v>
      </c>
      <c r="C1028" s="335">
        <v>44440</v>
      </c>
      <c r="D1028" s="255" t="s">
        <v>99</v>
      </c>
      <c r="E1028" s="255" t="s">
        <v>272</v>
      </c>
      <c r="F1028" s="258">
        <v>10.45</v>
      </c>
      <c r="G1028" s="450" t="s">
        <v>2273</v>
      </c>
      <c r="H1028" s="255" t="s">
        <v>114</v>
      </c>
      <c r="I1028" s="250" t="s">
        <v>949</v>
      </c>
      <c r="J1028" s="255" t="s">
        <v>950</v>
      </c>
      <c r="K1028" s="255" t="s">
        <v>951</v>
      </c>
      <c r="L1028" s="250" t="s">
        <v>947</v>
      </c>
      <c r="M1028" s="336" t="s">
        <v>114</v>
      </c>
      <c r="N1028" s="278">
        <v>44445</v>
      </c>
      <c r="O1028" s="329" t="s">
        <v>67</v>
      </c>
      <c r="P1028" s="330">
        <f t="shared" si="94"/>
        <v>9</v>
      </c>
      <c r="Q1028" s="330">
        <f t="shared" si="95"/>
        <v>9</v>
      </c>
      <c r="R1028" s="331" t="str">
        <f t="shared" si="96"/>
        <v>Gastos_Gerais</v>
      </c>
      <c r="S1028" s="331" t="str">
        <f>IF(D1028="","",IF(OR(D1028=Plano!$A$1,D1028=Plano!$B$1),"entrada","saída"))</f>
        <v>saída</v>
      </c>
      <c r="T1028" s="332" t="s">
        <v>114</v>
      </c>
      <c r="U1028" s="332" t="s">
        <v>114</v>
      </c>
      <c r="V1028" s="269"/>
      <c r="W1028" s="269"/>
      <c r="X1028" s="269"/>
      <c r="Y1028" s="269"/>
      <c r="Z1028" s="269"/>
      <c r="AA1028" s="269"/>
      <c r="AB1028" s="269"/>
      <c r="AC1028" s="269"/>
      <c r="AD1028" s="269"/>
      <c r="AE1028" s="269"/>
      <c r="AF1028" s="269"/>
      <c r="AG1028" s="269"/>
      <c r="AH1028" s="269"/>
      <c r="AI1028" s="269"/>
      <c r="AJ1028" s="269"/>
      <c r="AK1028" s="269"/>
      <c r="AL1028" s="269"/>
      <c r="AM1028" s="269"/>
    </row>
    <row r="1029" spans="1:39" ht="45" customHeight="1" x14ac:dyDescent="0.2">
      <c r="A1029" s="277">
        <f>IF(B1029="","",COUNT('Diário 5º PA'!$A$5:$A$2634)+COUNT('Diário 6º PA'!$A$5:$A$2246)+ROW()-4)</f>
        <v>3568</v>
      </c>
      <c r="B1029" s="278">
        <v>44445</v>
      </c>
      <c r="C1029" s="335">
        <v>44440</v>
      </c>
      <c r="D1029" s="255" t="s">
        <v>99</v>
      </c>
      <c r="E1029" s="255" t="s">
        <v>272</v>
      </c>
      <c r="F1029" s="258">
        <v>153</v>
      </c>
      <c r="G1029" s="450" t="s">
        <v>1157</v>
      </c>
      <c r="H1029" s="255" t="s">
        <v>115</v>
      </c>
      <c r="I1029" s="250" t="s">
        <v>949</v>
      </c>
      <c r="J1029" s="255" t="s">
        <v>950</v>
      </c>
      <c r="K1029" s="255" t="s">
        <v>951</v>
      </c>
      <c r="L1029" s="250" t="s">
        <v>947</v>
      </c>
      <c r="M1029" s="336" t="s">
        <v>114</v>
      </c>
      <c r="N1029" s="278">
        <v>44445</v>
      </c>
      <c r="O1029" s="329" t="s">
        <v>67</v>
      </c>
      <c r="P1029" s="330">
        <f t="shared" si="94"/>
        <v>9</v>
      </c>
      <c r="Q1029" s="330">
        <f t="shared" si="95"/>
        <v>9</v>
      </c>
      <c r="R1029" s="331" t="str">
        <f t="shared" si="96"/>
        <v>Gastos_Gerais</v>
      </c>
      <c r="S1029" s="331" t="str">
        <f>IF(D1029="","",IF(OR(D1029=Plano!$A$1,D1029=Plano!$B$1),"entrada","saída"))</f>
        <v>saída</v>
      </c>
      <c r="T1029" s="332" t="s">
        <v>114</v>
      </c>
      <c r="U1029" s="332" t="s">
        <v>114</v>
      </c>
      <c r="V1029" s="269"/>
      <c r="W1029" s="269"/>
      <c r="X1029" s="269"/>
      <c r="Y1029" s="269"/>
      <c r="Z1029" s="269"/>
      <c r="AA1029" s="269"/>
      <c r="AB1029" s="269"/>
      <c r="AC1029" s="269"/>
      <c r="AD1029" s="269"/>
      <c r="AE1029" s="269"/>
      <c r="AF1029" s="269"/>
      <c r="AG1029" s="269"/>
      <c r="AH1029" s="269"/>
      <c r="AI1029" s="269"/>
      <c r="AJ1029" s="269"/>
      <c r="AK1029" s="269"/>
      <c r="AL1029" s="269"/>
      <c r="AM1029" s="269"/>
    </row>
    <row r="1030" spans="1:39" s="478" customFormat="1" ht="56.25" customHeight="1" x14ac:dyDescent="0.2">
      <c r="A1030" s="277">
        <f>IF(B1030="","",COUNT('Diário 5º PA'!$A$5:$A$2634)+COUNT('Diário 6º PA'!$A$5:$A$2246)+ROW()-4)</f>
        <v>3569</v>
      </c>
      <c r="B1030" s="278">
        <v>44445</v>
      </c>
      <c r="C1030" s="335">
        <v>44440</v>
      </c>
      <c r="D1030" s="255" t="s">
        <v>104</v>
      </c>
      <c r="E1030" s="255" t="s">
        <v>104</v>
      </c>
      <c r="F1030" s="258">
        <v>160</v>
      </c>
      <c r="G1030" s="450" t="s">
        <v>5468</v>
      </c>
      <c r="H1030" s="250" t="s">
        <v>104</v>
      </c>
      <c r="I1030" s="250" t="s">
        <v>5469</v>
      </c>
      <c r="J1030" s="255" t="s">
        <v>5470</v>
      </c>
      <c r="K1030" s="255" t="s">
        <v>991</v>
      </c>
      <c r="L1030" s="250" t="s">
        <v>992</v>
      </c>
      <c r="M1030" s="336">
        <v>40219</v>
      </c>
      <c r="N1030" s="278">
        <v>44440</v>
      </c>
      <c r="O1030" s="329" t="s">
        <v>5377</v>
      </c>
      <c r="P1030" s="330">
        <f t="shared" ref="P1030:P1032" si="97">IF(B1030=0,0,IF(YEAR(B1030)=$Q$1,MONTH(B1030)-$P$1+1,(YEAR(B1030)-$Q$1)*12-$P$1+1+MONTH(B1030)))</f>
        <v>9</v>
      </c>
      <c r="Q1030" s="330">
        <f t="shared" ref="Q1030:Q1032" si="98">IF(C1030=0,0,IF(YEAR(C1030)=$Q$1,MONTH(C1030)-$P$1+1,(YEAR(C1030)-$Q$1)*12-$P$1+1+MONTH(C1030)))</f>
        <v>9</v>
      </c>
      <c r="R1030" s="331" t="str">
        <f t="shared" ref="R1030:R1032" si="99">SUBSTITUTE(D1030," ","_")</f>
        <v>Gastos_custeados_por_captação</v>
      </c>
      <c r="S1030" s="331" t="str">
        <f>IF(D1030="","",IF(OR(D1030=Plano!$A$1,D1030=Plano!$B$1),"entrada","saída"))</f>
        <v>saída</v>
      </c>
      <c r="T1030" s="332" t="s">
        <v>1011</v>
      </c>
      <c r="U1030" s="332">
        <v>2014</v>
      </c>
      <c r="V1030" s="439"/>
      <c r="W1030" s="439"/>
      <c r="X1030" s="439"/>
      <c r="Y1030" s="439"/>
      <c r="Z1030" s="439"/>
      <c r="AA1030" s="439"/>
      <c r="AB1030" s="439"/>
      <c r="AC1030" s="439"/>
      <c r="AD1030" s="439"/>
      <c r="AE1030" s="439"/>
      <c r="AF1030" s="439"/>
      <c r="AG1030" s="439"/>
      <c r="AH1030" s="439"/>
      <c r="AI1030" s="439"/>
      <c r="AJ1030" s="439"/>
      <c r="AK1030" s="439"/>
      <c r="AL1030" s="439"/>
      <c r="AM1030" s="439"/>
    </row>
    <row r="1031" spans="1:39" s="478" customFormat="1" ht="126.75" customHeight="1" x14ac:dyDescent="0.2">
      <c r="A1031" s="277">
        <f>IF(B1031="","",COUNT('Diário 5º PA'!$A$5:$A$2634)+COUNT('Diário 6º PA'!$A$5:$A$2246)+ROW()-4)</f>
        <v>3570</v>
      </c>
      <c r="B1031" s="278">
        <v>44445</v>
      </c>
      <c r="C1031" s="249">
        <v>44409</v>
      </c>
      <c r="D1031" s="250" t="s">
        <v>104</v>
      </c>
      <c r="E1031" s="250" t="s">
        <v>104</v>
      </c>
      <c r="F1031" s="251">
        <v>5389.45</v>
      </c>
      <c r="G1031" s="452" t="s">
        <v>570</v>
      </c>
      <c r="H1031" s="250" t="s">
        <v>104</v>
      </c>
      <c r="I1031" s="252" t="s">
        <v>1300</v>
      </c>
      <c r="J1031" s="440" t="s">
        <v>572</v>
      </c>
      <c r="K1031" s="255" t="s">
        <v>991</v>
      </c>
      <c r="L1031" s="250" t="s">
        <v>992</v>
      </c>
      <c r="M1031" s="277" t="s">
        <v>1336</v>
      </c>
      <c r="N1031" s="278">
        <v>44442</v>
      </c>
      <c r="O1031" s="329" t="s">
        <v>5377</v>
      </c>
      <c r="P1031" s="330">
        <f t="shared" si="97"/>
        <v>9</v>
      </c>
      <c r="Q1031" s="330">
        <f t="shared" si="98"/>
        <v>8</v>
      </c>
      <c r="R1031" s="331" t="str">
        <f t="shared" si="99"/>
        <v>Gastos_custeados_por_captação</v>
      </c>
      <c r="S1031" s="331" t="str">
        <f>IF(D1031="","",IF(OR(D1031=Plano!$A$1,D1031=Plano!$B$1),"entrada","saída"))</f>
        <v>saída</v>
      </c>
      <c r="T1031" s="332" t="s">
        <v>1059</v>
      </c>
      <c r="U1031" s="332">
        <v>1339</v>
      </c>
      <c r="V1031" s="439"/>
      <c r="W1031" s="439"/>
      <c r="X1031" s="439"/>
      <c r="Y1031" s="439"/>
      <c r="Z1031" s="439"/>
      <c r="AA1031" s="439"/>
      <c r="AB1031" s="439"/>
      <c r="AC1031" s="439"/>
      <c r="AD1031" s="439"/>
      <c r="AE1031" s="439"/>
      <c r="AF1031" s="439"/>
      <c r="AG1031" s="439"/>
      <c r="AH1031" s="439"/>
      <c r="AI1031" s="439"/>
      <c r="AJ1031" s="439"/>
      <c r="AK1031" s="439"/>
      <c r="AL1031" s="439"/>
      <c r="AM1031" s="439"/>
    </row>
    <row r="1032" spans="1:39" s="478" customFormat="1" ht="65.25" customHeight="1" x14ac:dyDescent="0.2">
      <c r="A1032" s="277">
        <f>IF(B1032="","",COUNT('Diário 5º PA'!$A$5:$A$2634)+COUNT('Diário 6º PA'!$A$5:$A$2246)+ROW()-4)</f>
        <v>3571</v>
      </c>
      <c r="B1032" s="278">
        <v>44445</v>
      </c>
      <c r="C1032" s="249">
        <v>44440</v>
      </c>
      <c r="D1032" s="250" t="s">
        <v>104</v>
      </c>
      <c r="E1032" s="250" t="s">
        <v>104</v>
      </c>
      <c r="F1032" s="258">
        <v>10.45</v>
      </c>
      <c r="G1032" s="450" t="s">
        <v>5451</v>
      </c>
      <c r="H1032" s="250" t="s">
        <v>104</v>
      </c>
      <c r="I1032" s="250" t="s">
        <v>949</v>
      </c>
      <c r="J1032" s="255" t="s">
        <v>950</v>
      </c>
      <c r="K1032" s="255" t="s">
        <v>951</v>
      </c>
      <c r="L1032" s="250" t="s">
        <v>947</v>
      </c>
      <c r="M1032" s="336" t="s">
        <v>114</v>
      </c>
      <c r="N1032" s="278">
        <v>44445</v>
      </c>
      <c r="O1032" s="329" t="s">
        <v>5377</v>
      </c>
      <c r="P1032" s="330">
        <f t="shared" si="97"/>
        <v>9</v>
      </c>
      <c r="Q1032" s="330">
        <f t="shared" si="98"/>
        <v>9</v>
      </c>
      <c r="R1032" s="331" t="str">
        <f t="shared" si="99"/>
        <v>Gastos_custeados_por_captação</v>
      </c>
      <c r="S1032" s="331" t="str">
        <f>IF(D1032="","",IF(OR(D1032=Plano!$A$1,D1032=Plano!$B$1),"entrada","saída"))</f>
        <v>saída</v>
      </c>
      <c r="T1032" s="332" t="s">
        <v>114</v>
      </c>
      <c r="U1032" s="332" t="s">
        <v>114</v>
      </c>
      <c r="V1032" s="439"/>
      <c r="W1032" s="439"/>
      <c r="X1032" s="439"/>
      <c r="Y1032" s="439"/>
      <c r="Z1032" s="439"/>
      <c r="AA1032" s="439"/>
      <c r="AB1032" s="439"/>
      <c r="AC1032" s="439"/>
      <c r="AD1032" s="439"/>
      <c r="AE1032" s="439"/>
      <c r="AF1032" s="439"/>
      <c r="AG1032" s="439"/>
      <c r="AH1032" s="439"/>
      <c r="AI1032" s="439"/>
      <c r="AJ1032" s="439"/>
      <c r="AK1032" s="439"/>
      <c r="AL1032" s="439"/>
      <c r="AM1032" s="439"/>
    </row>
    <row r="1033" spans="1:39" ht="64.5" customHeight="1" x14ac:dyDescent="0.2">
      <c r="A1033" s="277">
        <f>IF(B1033="","",COUNT('Diário 5º PA'!$A$5:$A$2634)+COUNT('Diário 6º PA'!$A$5:$A$2246)+ROW()-4)</f>
        <v>3572</v>
      </c>
      <c r="B1033" s="278">
        <v>44447</v>
      </c>
      <c r="C1033" s="335">
        <v>44409</v>
      </c>
      <c r="D1033" s="255" t="s">
        <v>99</v>
      </c>
      <c r="E1033" s="255" t="s">
        <v>330</v>
      </c>
      <c r="F1033" s="257">
        <v>-24.9</v>
      </c>
      <c r="G1033" s="453" t="s">
        <v>2287</v>
      </c>
      <c r="H1033" s="255" t="s">
        <v>115</v>
      </c>
      <c r="I1033" s="250" t="s">
        <v>983</v>
      </c>
      <c r="J1033" s="255" t="s">
        <v>850</v>
      </c>
      <c r="K1033" s="255" t="s">
        <v>946</v>
      </c>
      <c r="L1033" s="250" t="s">
        <v>947</v>
      </c>
      <c r="M1033" s="277" t="s">
        <v>114</v>
      </c>
      <c r="N1033" s="278">
        <v>44447</v>
      </c>
      <c r="O1033" s="329" t="s">
        <v>67</v>
      </c>
      <c r="P1033" s="330">
        <f t="shared" si="94"/>
        <v>9</v>
      </c>
      <c r="Q1033" s="330">
        <f t="shared" si="95"/>
        <v>8</v>
      </c>
      <c r="R1033" s="331" t="str">
        <f t="shared" si="96"/>
        <v>Gastos_Gerais</v>
      </c>
      <c r="S1033" s="331" t="str">
        <f>IF(D1033="","",IF(OR(D1033=Plano!$A$1,D1033=Plano!$B$1),"entrada","saída"))</f>
        <v>saída</v>
      </c>
      <c r="T1033" s="332" t="s">
        <v>114</v>
      </c>
      <c r="U1033" s="332" t="s">
        <v>114</v>
      </c>
      <c r="V1033" s="269"/>
      <c r="W1033" s="269"/>
      <c r="X1033" s="269"/>
      <c r="Y1033" s="269"/>
      <c r="Z1033" s="269"/>
      <c r="AA1033" s="269"/>
      <c r="AB1033" s="269"/>
      <c r="AC1033" s="269"/>
      <c r="AD1033" s="269"/>
      <c r="AE1033" s="269"/>
      <c r="AF1033" s="269"/>
      <c r="AG1033" s="269"/>
      <c r="AH1033" s="269"/>
      <c r="AI1033" s="269"/>
      <c r="AJ1033" s="269"/>
      <c r="AK1033" s="269"/>
      <c r="AL1033" s="269"/>
      <c r="AM1033" s="269"/>
    </row>
    <row r="1034" spans="1:39" ht="56.25" customHeight="1" x14ac:dyDescent="0.2">
      <c r="A1034" s="277">
        <f>IF(B1034="","",COUNT('Diário 5º PA'!$A$5:$A$2634)+COUNT('Diário 6º PA'!$A$5:$A$2246)+ROW()-4)</f>
        <v>3573</v>
      </c>
      <c r="B1034" s="278">
        <v>44447</v>
      </c>
      <c r="C1034" s="335">
        <v>44409</v>
      </c>
      <c r="D1034" s="255" t="s">
        <v>99</v>
      </c>
      <c r="E1034" s="255" t="s">
        <v>330</v>
      </c>
      <c r="F1034" s="257">
        <v>-24.9</v>
      </c>
      <c r="G1034" s="453" t="s">
        <v>2288</v>
      </c>
      <c r="H1034" s="255" t="s">
        <v>115</v>
      </c>
      <c r="I1034" s="250" t="s">
        <v>983</v>
      </c>
      <c r="J1034" s="255" t="s">
        <v>850</v>
      </c>
      <c r="K1034" s="255" t="s">
        <v>946</v>
      </c>
      <c r="L1034" s="250" t="s">
        <v>947</v>
      </c>
      <c r="M1034" s="277" t="s">
        <v>114</v>
      </c>
      <c r="N1034" s="278">
        <v>44447</v>
      </c>
      <c r="O1034" s="329" t="s">
        <v>67</v>
      </c>
      <c r="P1034" s="330">
        <f t="shared" si="94"/>
        <v>9</v>
      </c>
      <c r="Q1034" s="330">
        <f t="shared" si="95"/>
        <v>8</v>
      </c>
      <c r="R1034" s="331" t="str">
        <f t="shared" si="96"/>
        <v>Gastos_Gerais</v>
      </c>
      <c r="S1034" s="331" t="str">
        <f>IF(D1034="","",IF(OR(D1034=Plano!$A$1,D1034=Plano!$B$1),"entrada","saída"))</f>
        <v>saída</v>
      </c>
      <c r="T1034" s="332" t="s">
        <v>114</v>
      </c>
      <c r="U1034" s="332" t="s">
        <v>114</v>
      </c>
      <c r="V1034" s="269"/>
      <c r="W1034" s="269"/>
      <c r="X1034" s="269"/>
      <c r="Y1034" s="269"/>
      <c r="Z1034" s="269"/>
      <c r="AA1034" s="269"/>
      <c r="AB1034" s="269"/>
      <c r="AC1034" s="269"/>
      <c r="AD1034" s="269"/>
      <c r="AE1034" s="269"/>
      <c r="AF1034" s="269"/>
      <c r="AG1034" s="269"/>
      <c r="AH1034" s="269"/>
      <c r="AI1034" s="269"/>
      <c r="AJ1034" s="269"/>
      <c r="AK1034" s="269"/>
      <c r="AL1034" s="269"/>
      <c r="AM1034" s="269"/>
    </row>
    <row r="1035" spans="1:39" ht="51" customHeight="1" x14ac:dyDescent="0.2">
      <c r="A1035" s="277">
        <f>IF(B1035="","",COUNT('Diário 5º PA'!$A$5:$A$2634)+COUNT('Diário 6º PA'!$A$5:$A$2246)+ROW()-4)</f>
        <v>3574</v>
      </c>
      <c r="B1035" s="278">
        <v>44447</v>
      </c>
      <c r="C1035" s="335">
        <v>44409</v>
      </c>
      <c r="D1035" s="255" t="s">
        <v>99</v>
      </c>
      <c r="E1035" s="255" t="s">
        <v>330</v>
      </c>
      <c r="F1035" s="257">
        <v>-186.75</v>
      </c>
      <c r="G1035" s="453" t="s">
        <v>2289</v>
      </c>
      <c r="H1035" s="255" t="s">
        <v>115</v>
      </c>
      <c r="I1035" s="250" t="s">
        <v>983</v>
      </c>
      <c r="J1035" s="255" t="s">
        <v>850</v>
      </c>
      <c r="K1035" s="255" t="s">
        <v>946</v>
      </c>
      <c r="L1035" s="250" t="s">
        <v>947</v>
      </c>
      <c r="M1035" s="277" t="s">
        <v>114</v>
      </c>
      <c r="N1035" s="278">
        <v>44447</v>
      </c>
      <c r="O1035" s="329" t="s">
        <v>67</v>
      </c>
      <c r="P1035" s="330">
        <f t="shared" si="94"/>
        <v>9</v>
      </c>
      <c r="Q1035" s="330">
        <f t="shared" si="95"/>
        <v>8</v>
      </c>
      <c r="R1035" s="331" t="str">
        <f t="shared" si="96"/>
        <v>Gastos_Gerais</v>
      </c>
      <c r="S1035" s="331" t="str">
        <f>IF(D1035="","",IF(OR(D1035=Plano!$A$1,D1035=Plano!$B$1),"entrada","saída"))</f>
        <v>saída</v>
      </c>
      <c r="T1035" s="332" t="s">
        <v>114</v>
      </c>
      <c r="U1035" s="332" t="s">
        <v>114</v>
      </c>
      <c r="V1035" s="269"/>
      <c r="W1035" s="269"/>
      <c r="X1035" s="269"/>
      <c r="Y1035" s="269"/>
      <c r="Z1035" s="269"/>
      <c r="AA1035" s="269"/>
      <c r="AB1035" s="269"/>
      <c r="AC1035" s="269"/>
      <c r="AD1035" s="269"/>
      <c r="AE1035" s="269"/>
      <c r="AF1035" s="269"/>
      <c r="AG1035" s="269"/>
      <c r="AH1035" s="269"/>
      <c r="AI1035" s="269"/>
      <c r="AJ1035" s="269"/>
      <c r="AK1035" s="269"/>
      <c r="AL1035" s="269"/>
      <c r="AM1035" s="269"/>
    </row>
    <row r="1036" spans="1:39" ht="57" customHeight="1" x14ac:dyDescent="0.2">
      <c r="A1036" s="277">
        <f>IF(B1036="","",COUNT('Diário 5º PA'!$A$5:$A$2634)+COUNT('Diário 6º PA'!$A$5:$A$2246)+ROW()-4)</f>
        <v>3575</v>
      </c>
      <c r="B1036" s="278">
        <v>44447</v>
      </c>
      <c r="C1036" s="335">
        <v>44378</v>
      </c>
      <c r="D1036" s="255" t="s">
        <v>99</v>
      </c>
      <c r="E1036" s="255" t="s">
        <v>306</v>
      </c>
      <c r="F1036" s="257">
        <v>-84.49</v>
      </c>
      <c r="G1036" s="453" t="s">
        <v>2290</v>
      </c>
      <c r="H1036" s="255" t="s">
        <v>115</v>
      </c>
      <c r="I1036" s="250" t="s">
        <v>983</v>
      </c>
      <c r="J1036" s="255" t="s">
        <v>850</v>
      </c>
      <c r="K1036" s="255" t="s">
        <v>946</v>
      </c>
      <c r="L1036" s="250" t="s">
        <v>947</v>
      </c>
      <c r="M1036" s="277" t="s">
        <v>114</v>
      </c>
      <c r="N1036" s="278">
        <v>44447</v>
      </c>
      <c r="O1036" s="329" t="s">
        <v>67</v>
      </c>
      <c r="P1036" s="330">
        <f t="shared" si="94"/>
        <v>9</v>
      </c>
      <c r="Q1036" s="330">
        <f t="shared" si="95"/>
        <v>7</v>
      </c>
      <c r="R1036" s="331" t="str">
        <f t="shared" si="96"/>
        <v>Gastos_Gerais</v>
      </c>
      <c r="S1036" s="331" t="str">
        <f>IF(D1036="","",IF(OR(D1036=Plano!$A$1,D1036=Plano!$B$1),"entrada","saída"))</f>
        <v>saída</v>
      </c>
      <c r="T1036" s="332" t="s">
        <v>114</v>
      </c>
      <c r="U1036" s="332" t="s">
        <v>114</v>
      </c>
      <c r="V1036" s="269"/>
      <c r="W1036" s="269"/>
      <c r="X1036" s="269"/>
      <c r="Y1036" s="269"/>
      <c r="Z1036" s="269"/>
      <c r="AA1036" s="269"/>
      <c r="AB1036" s="269"/>
      <c r="AC1036" s="269"/>
      <c r="AD1036" s="269"/>
      <c r="AE1036" s="269"/>
      <c r="AF1036" s="269"/>
      <c r="AG1036" s="269"/>
      <c r="AH1036" s="269"/>
      <c r="AI1036" s="269"/>
      <c r="AJ1036" s="269"/>
      <c r="AK1036" s="269"/>
      <c r="AL1036" s="269"/>
      <c r="AM1036" s="269"/>
    </row>
    <row r="1037" spans="1:39" ht="69" customHeight="1" x14ac:dyDescent="0.2">
      <c r="A1037" s="277">
        <f>IF(B1037="","",COUNT('Diário 5º PA'!$A$5:$A$2634)+COUNT('Diário 6º PA'!$A$5:$A$2246)+ROW()-4)</f>
        <v>3576</v>
      </c>
      <c r="B1037" s="278">
        <v>44447</v>
      </c>
      <c r="C1037" s="335">
        <v>44409</v>
      </c>
      <c r="D1037" s="255" t="s">
        <v>99</v>
      </c>
      <c r="E1037" s="255" t="s">
        <v>306</v>
      </c>
      <c r="F1037" s="257">
        <v>-204.48</v>
      </c>
      <c r="G1037" s="453" t="s">
        <v>2291</v>
      </c>
      <c r="H1037" s="255" t="s">
        <v>115</v>
      </c>
      <c r="I1037" s="250" t="s">
        <v>983</v>
      </c>
      <c r="J1037" s="255" t="s">
        <v>850</v>
      </c>
      <c r="K1037" s="255" t="s">
        <v>946</v>
      </c>
      <c r="L1037" s="250" t="s">
        <v>947</v>
      </c>
      <c r="M1037" s="277" t="s">
        <v>114</v>
      </c>
      <c r="N1037" s="278">
        <v>44447</v>
      </c>
      <c r="O1037" s="329" t="s">
        <v>67</v>
      </c>
      <c r="P1037" s="330">
        <f t="shared" si="94"/>
        <v>9</v>
      </c>
      <c r="Q1037" s="330">
        <f t="shared" si="95"/>
        <v>8</v>
      </c>
      <c r="R1037" s="331" t="str">
        <f t="shared" si="96"/>
        <v>Gastos_Gerais</v>
      </c>
      <c r="S1037" s="331" t="str">
        <f>IF(D1037="","",IF(OR(D1037=Plano!$A$1,D1037=Plano!$B$1),"entrada","saída"))</f>
        <v>saída</v>
      </c>
      <c r="T1037" s="332" t="s">
        <v>114</v>
      </c>
      <c r="U1037" s="332" t="s">
        <v>114</v>
      </c>
      <c r="V1037" s="269"/>
      <c r="W1037" s="269"/>
      <c r="X1037" s="269"/>
      <c r="Y1037" s="269"/>
      <c r="Z1037" s="269"/>
      <c r="AA1037" s="269"/>
      <c r="AB1037" s="269"/>
      <c r="AC1037" s="269"/>
      <c r="AD1037" s="269"/>
      <c r="AE1037" s="269"/>
      <c r="AF1037" s="269"/>
      <c r="AG1037" s="269"/>
      <c r="AH1037" s="269"/>
      <c r="AI1037" s="269"/>
      <c r="AJ1037" s="269"/>
      <c r="AK1037" s="269"/>
      <c r="AL1037" s="269"/>
      <c r="AM1037" s="269"/>
    </row>
    <row r="1038" spans="1:39" ht="164.25" customHeight="1" x14ac:dyDescent="0.2">
      <c r="A1038" s="277">
        <f>IF(B1038="","",COUNT('Diário 5º PA'!$A$5:$A$2634)+COUNT('Diário 6º PA'!$A$5:$A$2246)+ROW()-4)</f>
        <v>3577</v>
      </c>
      <c r="B1038" s="278">
        <v>44447</v>
      </c>
      <c r="C1038" s="249">
        <v>44409</v>
      </c>
      <c r="D1038" s="250" t="s">
        <v>99</v>
      </c>
      <c r="E1038" s="250" t="s">
        <v>342</v>
      </c>
      <c r="F1038" s="251">
        <v>2827.55</v>
      </c>
      <c r="G1038" s="452" t="s">
        <v>2292</v>
      </c>
      <c r="H1038" s="250" t="s">
        <v>131</v>
      </c>
      <c r="I1038" s="250" t="s">
        <v>2293</v>
      </c>
      <c r="J1038" s="250" t="s">
        <v>2294</v>
      </c>
      <c r="K1038" s="255" t="s">
        <v>1015</v>
      </c>
      <c r="L1038" s="250" t="s">
        <v>1029</v>
      </c>
      <c r="M1038" s="277">
        <v>1317</v>
      </c>
      <c r="N1038" s="278">
        <v>44447</v>
      </c>
      <c r="O1038" s="329" t="s">
        <v>67</v>
      </c>
      <c r="P1038" s="330">
        <f t="shared" si="94"/>
        <v>9</v>
      </c>
      <c r="Q1038" s="330">
        <f t="shared" si="95"/>
        <v>8</v>
      </c>
      <c r="R1038" s="331" t="str">
        <f t="shared" si="96"/>
        <v>Gastos_Gerais</v>
      </c>
      <c r="S1038" s="331" t="str">
        <f>IF(D1038="","",IF(OR(D1038=Plano!$A$1,D1038=Plano!$B$1),"entrada","saída"))</f>
        <v>saída</v>
      </c>
      <c r="T1038" s="334" t="s">
        <v>994</v>
      </c>
      <c r="U1038" s="334">
        <v>1959</v>
      </c>
      <c r="V1038" s="269"/>
      <c r="W1038" s="269"/>
      <c r="X1038" s="269"/>
      <c r="Y1038" s="269"/>
      <c r="Z1038" s="269"/>
      <c r="AA1038" s="269"/>
      <c r="AB1038" s="269"/>
      <c r="AC1038" s="269"/>
      <c r="AD1038" s="269"/>
      <c r="AE1038" s="269"/>
      <c r="AF1038" s="269"/>
      <c r="AG1038" s="269"/>
      <c r="AH1038" s="269"/>
      <c r="AI1038" s="269"/>
      <c r="AJ1038" s="269"/>
      <c r="AK1038" s="269"/>
      <c r="AL1038" s="269"/>
      <c r="AM1038" s="269"/>
    </row>
    <row r="1039" spans="1:39" ht="92.25" customHeight="1" x14ac:dyDescent="0.2">
      <c r="A1039" s="277">
        <f>IF(B1039="","",COUNT('Diário 5º PA'!$A$5:$A$2634)+COUNT('Diário 6º PA'!$A$5:$A$2246)+ROW()-4)</f>
        <v>3578</v>
      </c>
      <c r="B1039" s="278">
        <v>44447</v>
      </c>
      <c r="C1039" s="249">
        <v>44409</v>
      </c>
      <c r="D1039" s="250" t="s">
        <v>99</v>
      </c>
      <c r="E1039" s="250" t="s">
        <v>330</v>
      </c>
      <c r="F1039" s="251">
        <v>75</v>
      </c>
      <c r="G1039" s="452" t="s">
        <v>2295</v>
      </c>
      <c r="H1039" s="250" t="s">
        <v>130</v>
      </c>
      <c r="I1039" s="250" t="s">
        <v>1415</v>
      </c>
      <c r="J1039" s="250" t="s">
        <v>1416</v>
      </c>
      <c r="K1039" s="255" t="s">
        <v>560</v>
      </c>
      <c r="L1039" s="250" t="s">
        <v>1016</v>
      </c>
      <c r="M1039" s="277">
        <v>61833</v>
      </c>
      <c r="N1039" s="278">
        <v>44425</v>
      </c>
      <c r="O1039" s="329" t="s">
        <v>67</v>
      </c>
      <c r="P1039" s="330">
        <f t="shared" si="94"/>
        <v>9</v>
      </c>
      <c r="Q1039" s="330">
        <f t="shared" si="95"/>
        <v>8</v>
      </c>
      <c r="R1039" s="331" t="str">
        <f t="shared" si="96"/>
        <v>Gastos_Gerais</v>
      </c>
      <c r="S1039" s="331" t="str">
        <f>IF(D1039="","",IF(OR(D1039=Plano!$A$1,D1039=Plano!$B$1),"entrada","saída"))</f>
        <v>saída</v>
      </c>
      <c r="T1039" s="334" t="s">
        <v>1011</v>
      </c>
      <c r="U1039" s="334">
        <v>1903</v>
      </c>
      <c r="V1039" s="269"/>
      <c r="W1039" s="269"/>
      <c r="X1039" s="269"/>
      <c r="Y1039" s="269"/>
      <c r="Z1039" s="269"/>
      <c r="AA1039" s="269"/>
      <c r="AB1039" s="269"/>
      <c r="AC1039" s="269"/>
      <c r="AD1039" s="269"/>
      <c r="AE1039" s="269"/>
      <c r="AF1039" s="269"/>
      <c r="AG1039" s="269"/>
      <c r="AH1039" s="269"/>
      <c r="AI1039" s="269"/>
      <c r="AJ1039" s="269"/>
      <c r="AK1039" s="269"/>
      <c r="AL1039" s="269"/>
      <c r="AM1039" s="269"/>
    </row>
    <row r="1040" spans="1:39" ht="119.25" customHeight="1" x14ac:dyDescent="0.2">
      <c r="A1040" s="277">
        <f>IF(B1040="","",COUNT('Diário 5º PA'!$A$5:$A$2634)+COUNT('Diário 6º PA'!$A$5:$A$2246)+ROW()-4)</f>
        <v>3579</v>
      </c>
      <c r="B1040" s="278">
        <v>44447</v>
      </c>
      <c r="C1040" s="249">
        <v>44378</v>
      </c>
      <c r="D1040" s="250" t="s">
        <v>99</v>
      </c>
      <c r="E1040" s="250" t="s">
        <v>356</v>
      </c>
      <c r="F1040" s="251">
        <v>8513</v>
      </c>
      <c r="G1040" s="452" t="s">
        <v>2296</v>
      </c>
      <c r="H1040" s="250" t="s">
        <v>125</v>
      </c>
      <c r="I1040" s="250" t="s">
        <v>1702</v>
      </c>
      <c r="J1040" s="250" t="s">
        <v>1703</v>
      </c>
      <c r="K1040" s="255" t="s">
        <v>560</v>
      </c>
      <c r="L1040" s="250" t="s">
        <v>1016</v>
      </c>
      <c r="M1040" s="277">
        <v>5299</v>
      </c>
      <c r="N1040" s="278">
        <v>44404</v>
      </c>
      <c r="O1040" s="329" t="s">
        <v>67</v>
      </c>
      <c r="P1040" s="330">
        <f t="shared" si="94"/>
        <v>9</v>
      </c>
      <c r="Q1040" s="330">
        <f t="shared" si="95"/>
        <v>7</v>
      </c>
      <c r="R1040" s="331" t="str">
        <f t="shared" si="96"/>
        <v>Gastos_Gerais</v>
      </c>
      <c r="S1040" s="331" t="str">
        <f>IF(D1040="","",IF(OR(D1040=Plano!$A$1,D1040=Plano!$B$1),"entrada","saída"))</f>
        <v>saída</v>
      </c>
      <c r="T1040" s="334" t="s">
        <v>1011</v>
      </c>
      <c r="U1040" s="334">
        <v>1774</v>
      </c>
      <c r="V1040" s="269"/>
      <c r="W1040" s="269"/>
      <c r="X1040" s="269"/>
      <c r="Y1040" s="269"/>
      <c r="Z1040" s="269"/>
      <c r="AA1040" s="269"/>
      <c r="AB1040" s="269"/>
      <c r="AC1040" s="269"/>
      <c r="AD1040" s="269"/>
      <c r="AE1040" s="269"/>
      <c r="AF1040" s="269"/>
      <c r="AG1040" s="269"/>
      <c r="AH1040" s="269"/>
      <c r="AI1040" s="269"/>
      <c r="AJ1040" s="269"/>
      <c r="AK1040" s="269"/>
      <c r="AL1040" s="269"/>
      <c r="AM1040" s="269"/>
    </row>
    <row r="1041" spans="1:39" ht="60" customHeight="1" x14ac:dyDescent="0.2">
      <c r="A1041" s="277">
        <f>IF(B1041="","",COUNT('Diário 5º PA'!$A$5:$A$2634)+COUNT('Diário 6º PA'!$A$5:$A$2246)+ROW()-4)</f>
        <v>3580</v>
      </c>
      <c r="B1041" s="278">
        <v>44447</v>
      </c>
      <c r="C1041" s="249">
        <v>44378</v>
      </c>
      <c r="D1041" s="250" t="s">
        <v>99</v>
      </c>
      <c r="E1041" s="250" t="s">
        <v>336</v>
      </c>
      <c r="F1041" s="251">
        <v>596</v>
      </c>
      <c r="G1041" s="452" t="s">
        <v>2297</v>
      </c>
      <c r="H1041" s="250" t="s">
        <v>116</v>
      </c>
      <c r="I1041" s="250" t="s">
        <v>465</v>
      </c>
      <c r="J1041" s="250" t="s">
        <v>114</v>
      </c>
      <c r="K1041" s="250" t="s">
        <v>466</v>
      </c>
      <c r="L1041" s="250" t="s">
        <v>467</v>
      </c>
      <c r="M1041" s="277">
        <v>2882</v>
      </c>
      <c r="N1041" s="278">
        <v>44447</v>
      </c>
      <c r="O1041" s="329" t="s">
        <v>67</v>
      </c>
      <c r="P1041" s="330">
        <f t="shared" si="94"/>
        <v>9</v>
      </c>
      <c r="Q1041" s="330">
        <f t="shared" si="95"/>
        <v>7</v>
      </c>
      <c r="R1041" s="331" t="str">
        <f t="shared" si="96"/>
        <v>Gastos_Gerais</v>
      </c>
      <c r="S1041" s="331" t="str">
        <f>IF(D1041="","",IF(OR(D1041=Plano!$A$1,D1041=Plano!$B$1),"entrada","saída"))</f>
        <v>saída</v>
      </c>
      <c r="T1041" s="334" t="s">
        <v>114</v>
      </c>
      <c r="U1041" s="334" t="s">
        <v>114</v>
      </c>
      <c r="V1041" s="269"/>
      <c r="W1041" s="269"/>
      <c r="X1041" s="269"/>
      <c r="Y1041" s="269"/>
      <c r="Z1041" s="269"/>
      <c r="AA1041" s="269"/>
      <c r="AB1041" s="269"/>
      <c r="AC1041" s="269"/>
      <c r="AD1041" s="269"/>
      <c r="AE1041" s="269"/>
      <c r="AF1041" s="269"/>
      <c r="AG1041" s="269"/>
      <c r="AH1041" s="269"/>
      <c r="AI1041" s="269"/>
      <c r="AJ1041" s="269"/>
      <c r="AK1041" s="269"/>
      <c r="AL1041" s="269"/>
      <c r="AM1041" s="269"/>
    </row>
    <row r="1042" spans="1:39" ht="36" customHeight="1" x14ac:dyDescent="0.2">
      <c r="A1042" s="277">
        <f>IF(B1042="","",COUNT('Diário 5º PA'!$A$5:$A$2634)+COUNT('Diário 6º PA'!$A$5:$A$2246)+ROW()-4)</f>
        <v>3581</v>
      </c>
      <c r="B1042" s="278">
        <v>44447</v>
      </c>
      <c r="C1042" s="249">
        <v>44348</v>
      </c>
      <c r="D1042" s="250" t="s">
        <v>99</v>
      </c>
      <c r="E1042" s="250" t="s">
        <v>370</v>
      </c>
      <c r="F1042" s="251">
        <v>96</v>
      </c>
      <c r="G1042" s="452" t="s">
        <v>2298</v>
      </c>
      <c r="H1042" s="250" t="s">
        <v>125</v>
      </c>
      <c r="I1042" s="252" t="s">
        <v>465</v>
      </c>
      <c r="J1042" s="250" t="s">
        <v>114</v>
      </c>
      <c r="K1042" s="250" t="s">
        <v>466</v>
      </c>
      <c r="L1042" s="250" t="s">
        <v>467</v>
      </c>
      <c r="M1042" s="277">
        <v>2883</v>
      </c>
      <c r="N1042" s="278">
        <v>44447</v>
      </c>
      <c r="O1042" s="329" t="s">
        <v>67</v>
      </c>
      <c r="P1042" s="330">
        <f t="shared" si="94"/>
        <v>9</v>
      </c>
      <c r="Q1042" s="330">
        <f t="shared" si="95"/>
        <v>6</v>
      </c>
      <c r="R1042" s="331" t="str">
        <f t="shared" si="96"/>
        <v>Gastos_Gerais</v>
      </c>
      <c r="S1042" s="331" t="str">
        <f>IF(D1042="","",IF(OR(D1042=Plano!$A$1,D1042=Plano!$B$1),"entrada","saída"))</f>
        <v>saída</v>
      </c>
      <c r="T1042" s="334" t="s">
        <v>114</v>
      </c>
      <c r="U1042" s="334" t="s">
        <v>114</v>
      </c>
      <c r="V1042" s="269"/>
      <c r="W1042" s="269"/>
      <c r="X1042" s="269"/>
      <c r="Y1042" s="269"/>
      <c r="Z1042" s="269"/>
      <c r="AA1042" s="269"/>
      <c r="AB1042" s="269"/>
      <c r="AC1042" s="269"/>
      <c r="AD1042" s="269"/>
      <c r="AE1042" s="269"/>
      <c r="AF1042" s="269"/>
      <c r="AG1042" s="269"/>
      <c r="AH1042" s="269"/>
      <c r="AI1042" s="269"/>
      <c r="AJ1042" s="269"/>
      <c r="AK1042" s="269"/>
      <c r="AL1042" s="269"/>
      <c r="AM1042" s="269"/>
    </row>
    <row r="1043" spans="1:39" ht="48" customHeight="1" x14ac:dyDescent="0.2">
      <c r="A1043" s="277">
        <f>IF(B1043="","",COUNT('Diário 5º PA'!$A$5:$A$2634)+COUNT('Diário 6º PA'!$A$5:$A$2246)+ROW()-4)</f>
        <v>3582</v>
      </c>
      <c r="B1043" s="278">
        <v>44447</v>
      </c>
      <c r="C1043" s="249">
        <v>44348</v>
      </c>
      <c r="D1043" s="250" t="s">
        <v>99</v>
      </c>
      <c r="E1043" s="250" t="s">
        <v>358</v>
      </c>
      <c r="F1043" s="251">
        <v>15</v>
      </c>
      <c r="G1043" s="452" t="s">
        <v>2299</v>
      </c>
      <c r="H1043" s="250" t="s">
        <v>127</v>
      </c>
      <c r="I1043" s="250" t="s">
        <v>465</v>
      </c>
      <c r="J1043" s="250" t="s">
        <v>114</v>
      </c>
      <c r="K1043" s="250" t="s">
        <v>466</v>
      </c>
      <c r="L1043" s="250" t="s">
        <v>467</v>
      </c>
      <c r="M1043" s="277">
        <v>2884</v>
      </c>
      <c r="N1043" s="278">
        <v>44447</v>
      </c>
      <c r="O1043" s="329" t="s">
        <v>67</v>
      </c>
      <c r="P1043" s="330">
        <f t="shared" si="94"/>
        <v>9</v>
      </c>
      <c r="Q1043" s="330">
        <f t="shared" si="95"/>
        <v>6</v>
      </c>
      <c r="R1043" s="331" t="str">
        <f t="shared" si="96"/>
        <v>Gastos_Gerais</v>
      </c>
      <c r="S1043" s="331" t="str">
        <f>IF(D1043="","",IF(OR(D1043=Plano!$A$1,D1043=Plano!$B$1),"entrada","saída"))</f>
        <v>saída</v>
      </c>
      <c r="T1043" s="334" t="s">
        <v>114</v>
      </c>
      <c r="U1043" s="334" t="s">
        <v>114</v>
      </c>
      <c r="V1043" s="269"/>
      <c r="W1043" s="269"/>
      <c r="X1043" s="269"/>
      <c r="Y1043" s="269"/>
      <c r="Z1043" s="269"/>
      <c r="AA1043" s="269"/>
      <c r="AB1043" s="269"/>
      <c r="AC1043" s="269"/>
      <c r="AD1043" s="269"/>
      <c r="AE1043" s="269"/>
      <c r="AF1043" s="269"/>
      <c r="AG1043" s="269"/>
      <c r="AH1043" s="269"/>
      <c r="AI1043" s="269"/>
      <c r="AJ1043" s="269"/>
      <c r="AK1043" s="269"/>
      <c r="AL1043" s="269"/>
      <c r="AM1043" s="269"/>
    </row>
    <row r="1044" spans="1:39" ht="36.75" customHeight="1" x14ac:dyDescent="0.2">
      <c r="A1044" s="277">
        <f>IF(B1044="","",COUNT('Diário 5º PA'!$A$5:$A$2634)+COUNT('Diário 6º PA'!$A$5:$A$2246)+ROW()-4)</f>
        <v>3583</v>
      </c>
      <c r="B1044" s="278">
        <v>44447</v>
      </c>
      <c r="C1044" s="249">
        <v>44378</v>
      </c>
      <c r="D1044" s="250" t="s">
        <v>99</v>
      </c>
      <c r="E1044" s="250" t="s">
        <v>330</v>
      </c>
      <c r="F1044" s="251">
        <v>75</v>
      </c>
      <c r="G1044" s="452" t="s">
        <v>2300</v>
      </c>
      <c r="H1044" s="250" t="s">
        <v>128</v>
      </c>
      <c r="I1044" s="250" t="s">
        <v>465</v>
      </c>
      <c r="J1044" s="250" t="s">
        <v>114</v>
      </c>
      <c r="K1044" s="250" t="s">
        <v>466</v>
      </c>
      <c r="L1044" s="250" t="s">
        <v>467</v>
      </c>
      <c r="M1044" s="277">
        <v>2885</v>
      </c>
      <c r="N1044" s="278">
        <v>44447</v>
      </c>
      <c r="O1044" s="329" t="s">
        <v>67</v>
      </c>
      <c r="P1044" s="330">
        <f t="shared" si="94"/>
        <v>9</v>
      </c>
      <c r="Q1044" s="330">
        <f t="shared" si="95"/>
        <v>7</v>
      </c>
      <c r="R1044" s="331" t="str">
        <f t="shared" si="96"/>
        <v>Gastos_Gerais</v>
      </c>
      <c r="S1044" s="331" t="str">
        <f>IF(D1044="","",IF(OR(D1044=Plano!$A$1,D1044=Plano!$B$1),"entrada","saída"))</f>
        <v>saída</v>
      </c>
      <c r="T1044" s="334" t="s">
        <v>114</v>
      </c>
      <c r="U1044" s="334" t="s">
        <v>114</v>
      </c>
      <c r="V1044" s="269"/>
      <c r="W1044" s="269"/>
      <c r="X1044" s="269"/>
      <c r="Y1044" s="269"/>
      <c r="Z1044" s="269"/>
      <c r="AA1044" s="269"/>
      <c r="AB1044" s="269"/>
      <c r="AC1044" s="269"/>
      <c r="AD1044" s="269"/>
      <c r="AE1044" s="269"/>
      <c r="AF1044" s="269"/>
      <c r="AG1044" s="269"/>
      <c r="AH1044" s="269"/>
      <c r="AI1044" s="269"/>
      <c r="AJ1044" s="269"/>
      <c r="AK1044" s="269"/>
      <c r="AL1044" s="269"/>
      <c r="AM1044" s="269"/>
    </row>
    <row r="1045" spans="1:39" ht="51.75" customHeight="1" x14ac:dyDescent="0.2">
      <c r="A1045" s="277">
        <f>IF(B1045="","",COUNT('Diário 5º PA'!$A$5:$A$2634)+COUNT('Diário 6º PA'!$A$5:$A$2246)+ROW()-4)</f>
        <v>3584</v>
      </c>
      <c r="B1045" s="278">
        <v>44447</v>
      </c>
      <c r="C1045" s="249">
        <v>44378</v>
      </c>
      <c r="D1045" s="250" t="s">
        <v>99</v>
      </c>
      <c r="E1045" s="250" t="s">
        <v>262</v>
      </c>
      <c r="F1045" s="251">
        <v>75</v>
      </c>
      <c r="G1045" s="452" t="s">
        <v>2301</v>
      </c>
      <c r="H1045" s="250" t="s">
        <v>127</v>
      </c>
      <c r="I1045" s="252" t="s">
        <v>465</v>
      </c>
      <c r="J1045" s="250" t="s">
        <v>114</v>
      </c>
      <c r="K1045" s="250" t="s">
        <v>466</v>
      </c>
      <c r="L1045" s="250" t="s">
        <v>467</v>
      </c>
      <c r="M1045" s="277">
        <v>2886</v>
      </c>
      <c r="N1045" s="278">
        <v>44447</v>
      </c>
      <c r="O1045" s="329" t="s">
        <v>67</v>
      </c>
      <c r="P1045" s="330">
        <f t="shared" si="94"/>
        <v>9</v>
      </c>
      <c r="Q1045" s="330">
        <f t="shared" si="95"/>
        <v>7</v>
      </c>
      <c r="R1045" s="331" t="str">
        <f t="shared" si="96"/>
        <v>Gastos_Gerais</v>
      </c>
      <c r="S1045" s="331" t="str">
        <f>IF(D1045="","",IF(OR(D1045=Plano!$A$1,D1045=Plano!$B$1),"entrada","saída"))</f>
        <v>saída</v>
      </c>
      <c r="T1045" s="334" t="s">
        <v>114</v>
      </c>
      <c r="U1045" s="334" t="s">
        <v>114</v>
      </c>
      <c r="V1045" s="269"/>
      <c r="W1045" s="269"/>
      <c r="X1045" s="269"/>
      <c r="Y1045" s="269"/>
      <c r="Z1045" s="269"/>
      <c r="AA1045" s="269"/>
      <c r="AB1045" s="269"/>
      <c r="AC1045" s="269"/>
      <c r="AD1045" s="269"/>
      <c r="AE1045" s="269"/>
      <c r="AF1045" s="269"/>
      <c r="AG1045" s="269"/>
      <c r="AH1045" s="269"/>
      <c r="AI1045" s="269"/>
      <c r="AJ1045" s="269"/>
      <c r="AK1045" s="269"/>
      <c r="AL1045" s="269"/>
      <c r="AM1045" s="269"/>
    </row>
    <row r="1046" spans="1:39" ht="47.25" customHeight="1" x14ac:dyDescent="0.2">
      <c r="A1046" s="277">
        <f>IF(B1046="","",COUNT('Diário 5º PA'!$A$5:$A$2634)+COUNT('Diário 6º PA'!$A$5:$A$2246)+ROW()-4)</f>
        <v>3585</v>
      </c>
      <c r="B1046" s="278">
        <v>44447</v>
      </c>
      <c r="C1046" s="249">
        <v>44348</v>
      </c>
      <c r="D1046" s="250" t="s">
        <v>99</v>
      </c>
      <c r="E1046" s="250" t="s">
        <v>358</v>
      </c>
      <c r="F1046" s="251">
        <v>15</v>
      </c>
      <c r="G1046" s="452" t="s">
        <v>2302</v>
      </c>
      <c r="H1046" s="250" t="s">
        <v>128</v>
      </c>
      <c r="I1046" s="250" t="s">
        <v>465</v>
      </c>
      <c r="J1046" s="250" t="s">
        <v>114</v>
      </c>
      <c r="K1046" s="250" t="s">
        <v>466</v>
      </c>
      <c r="L1046" s="250" t="s">
        <v>467</v>
      </c>
      <c r="M1046" s="277">
        <v>2887</v>
      </c>
      <c r="N1046" s="278">
        <v>44447</v>
      </c>
      <c r="O1046" s="329" t="s">
        <v>67</v>
      </c>
      <c r="P1046" s="330">
        <f t="shared" si="94"/>
        <v>9</v>
      </c>
      <c r="Q1046" s="330">
        <f t="shared" si="95"/>
        <v>6</v>
      </c>
      <c r="R1046" s="331" t="str">
        <f t="shared" si="96"/>
        <v>Gastos_Gerais</v>
      </c>
      <c r="S1046" s="331" t="str">
        <f>IF(D1046="","",IF(OR(D1046=Plano!$A$1,D1046=Plano!$B$1),"entrada","saída"))</f>
        <v>saída</v>
      </c>
      <c r="T1046" s="334" t="s">
        <v>114</v>
      </c>
      <c r="U1046" s="334" t="s">
        <v>114</v>
      </c>
      <c r="V1046" s="269"/>
      <c r="W1046" s="269"/>
      <c r="X1046" s="269"/>
      <c r="Y1046" s="269"/>
      <c r="Z1046" s="269"/>
      <c r="AA1046" s="269"/>
      <c r="AB1046" s="269"/>
      <c r="AC1046" s="269"/>
      <c r="AD1046" s="269"/>
      <c r="AE1046" s="269"/>
      <c r="AF1046" s="269"/>
      <c r="AG1046" s="269"/>
      <c r="AH1046" s="269"/>
      <c r="AI1046" s="269"/>
      <c r="AJ1046" s="269"/>
      <c r="AK1046" s="269"/>
      <c r="AL1046" s="269"/>
      <c r="AM1046" s="269"/>
    </row>
    <row r="1047" spans="1:39" ht="61.5" customHeight="1" x14ac:dyDescent="0.2">
      <c r="A1047" s="277">
        <f>IF(B1047="","",COUNT('Diário 5º PA'!$A$5:$A$2634)+COUNT('Diário 6º PA'!$A$5:$A$2246)+ROW()-4)</f>
        <v>3586</v>
      </c>
      <c r="B1047" s="278">
        <v>44447</v>
      </c>
      <c r="C1047" s="249">
        <v>44348</v>
      </c>
      <c r="D1047" s="250" t="s">
        <v>99</v>
      </c>
      <c r="E1047" s="250" t="s">
        <v>358</v>
      </c>
      <c r="F1047" s="251">
        <v>30</v>
      </c>
      <c r="G1047" s="452" t="s">
        <v>2303</v>
      </c>
      <c r="H1047" s="250" t="s">
        <v>127</v>
      </c>
      <c r="I1047" s="250" t="s">
        <v>465</v>
      </c>
      <c r="J1047" s="250" t="s">
        <v>114</v>
      </c>
      <c r="K1047" s="250" t="s">
        <v>466</v>
      </c>
      <c r="L1047" s="250" t="s">
        <v>467</v>
      </c>
      <c r="M1047" s="277">
        <v>2888</v>
      </c>
      <c r="N1047" s="278">
        <v>44447</v>
      </c>
      <c r="O1047" s="329" t="s">
        <v>67</v>
      </c>
      <c r="P1047" s="330">
        <f t="shared" si="94"/>
        <v>9</v>
      </c>
      <c r="Q1047" s="330">
        <f t="shared" si="95"/>
        <v>6</v>
      </c>
      <c r="R1047" s="331" t="str">
        <f t="shared" si="96"/>
        <v>Gastos_Gerais</v>
      </c>
      <c r="S1047" s="331" t="str">
        <f>IF(D1047="","",IF(OR(D1047=Plano!$A$1,D1047=Plano!$B$1),"entrada","saída"))</f>
        <v>saída</v>
      </c>
      <c r="T1047" s="334" t="s">
        <v>114</v>
      </c>
      <c r="U1047" s="334" t="s">
        <v>114</v>
      </c>
      <c r="V1047" s="269"/>
      <c r="W1047" s="269"/>
      <c r="X1047" s="269"/>
      <c r="Y1047" s="269"/>
      <c r="Z1047" s="269"/>
      <c r="AA1047" s="269"/>
      <c r="AB1047" s="269"/>
      <c r="AC1047" s="269"/>
      <c r="AD1047" s="269"/>
      <c r="AE1047" s="269"/>
      <c r="AF1047" s="269"/>
      <c r="AG1047" s="269"/>
      <c r="AH1047" s="269"/>
      <c r="AI1047" s="269"/>
      <c r="AJ1047" s="269"/>
      <c r="AK1047" s="269"/>
      <c r="AL1047" s="269"/>
      <c r="AM1047" s="269"/>
    </row>
    <row r="1048" spans="1:39" ht="60.75" customHeight="1" x14ac:dyDescent="0.2">
      <c r="A1048" s="277">
        <f>IF(B1048="","",COUNT('Diário 5º PA'!$A$5:$A$2634)+COUNT('Diário 6º PA'!$A$5:$A$2246)+ROW()-4)</f>
        <v>3587</v>
      </c>
      <c r="B1048" s="278">
        <v>44447</v>
      </c>
      <c r="C1048" s="249">
        <v>44256</v>
      </c>
      <c r="D1048" s="250" t="s">
        <v>99</v>
      </c>
      <c r="E1048" s="250" t="s">
        <v>352</v>
      </c>
      <c r="F1048" s="251">
        <v>36</v>
      </c>
      <c r="G1048" s="452" t="s">
        <v>2304</v>
      </c>
      <c r="H1048" s="250" t="s">
        <v>122</v>
      </c>
      <c r="I1048" s="252" t="s">
        <v>465</v>
      </c>
      <c r="J1048" s="250" t="s">
        <v>114</v>
      </c>
      <c r="K1048" s="250" t="s">
        <v>466</v>
      </c>
      <c r="L1048" s="250" t="s">
        <v>467</v>
      </c>
      <c r="M1048" s="277">
        <v>2889</v>
      </c>
      <c r="N1048" s="278">
        <v>44447</v>
      </c>
      <c r="O1048" s="329" t="s">
        <v>67</v>
      </c>
      <c r="P1048" s="330">
        <f t="shared" si="94"/>
        <v>9</v>
      </c>
      <c r="Q1048" s="330">
        <f t="shared" si="95"/>
        <v>3</v>
      </c>
      <c r="R1048" s="331" t="str">
        <f t="shared" si="96"/>
        <v>Gastos_Gerais</v>
      </c>
      <c r="S1048" s="331" t="str">
        <f>IF(D1048="","",IF(OR(D1048=Plano!$A$1,D1048=Plano!$B$1),"entrada","saída"))</f>
        <v>saída</v>
      </c>
      <c r="T1048" s="334" t="s">
        <v>114</v>
      </c>
      <c r="U1048" s="334" t="s">
        <v>114</v>
      </c>
      <c r="V1048" s="269"/>
      <c r="W1048" s="269"/>
      <c r="X1048" s="269"/>
      <c r="Y1048" s="269"/>
      <c r="Z1048" s="269"/>
      <c r="AA1048" s="269"/>
      <c r="AB1048" s="269"/>
      <c r="AC1048" s="269"/>
      <c r="AD1048" s="269"/>
      <c r="AE1048" s="269"/>
      <c r="AF1048" s="269"/>
      <c r="AG1048" s="269"/>
      <c r="AH1048" s="269"/>
      <c r="AI1048" s="269"/>
      <c r="AJ1048" s="269"/>
      <c r="AK1048" s="269"/>
      <c r="AL1048" s="269"/>
      <c r="AM1048" s="269"/>
    </row>
    <row r="1049" spans="1:39" ht="64.5" customHeight="1" x14ac:dyDescent="0.2">
      <c r="A1049" s="277">
        <f>IF(B1049="","",COUNT('Diário 5º PA'!$A$5:$A$2634)+COUNT('Diário 6º PA'!$A$5:$A$2246)+ROW()-4)</f>
        <v>3588</v>
      </c>
      <c r="B1049" s="278">
        <v>44447</v>
      </c>
      <c r="C1049" s="249">
        <v>44287</v>
      </c>
      <c r="D1049" s="250" t="s">
        <v>99</v>
      </c>
      <c r="E1049" s="250" t="s">
        <v>364</v>
      </c>
      <c r="F1049" s="251">
        <v>125</v>
      </c>
      <c r="G1049" s="452" t="s">
        <v>2305</v>
      </c>
      <c r="H1049" s="250" t="s">
        <v>122</v>
      </c>
      <c r="I1049" s="252" t="s">
        <v>465</v>
      </c>
      <c r="J1049" s="250" t="s">
        <v>114</v>
      </c>
      <c r="K1049" s="250" t="s">
        <v>466</v>
      </c>
      <c r="L1049" s="250" t="s">
        <v>467</v>
      </c>
      <c r="M1049" s="277">
        <v>2890</v>
      </c>
      <c r="N1049" s="278">
        <v>44447</v>
      </c>
      <c r="O1049" s="329" t="s">
        <v>67</v>
      </c>
      <c r="P1049" s="330">
        <f t="shared" si="94"/>
        <v>9</v>
      </c>
      <c r="Q1049" s="330">
        <f t="shared" si="95"/>
        <v>4</v>
      </c>
      <c r="R1049" s="331" t="str">
        <f t="shared" si="96"/>
        <v>Gastos_Gerais</v>
      </c>
      <c r="S1049" s="331" t="str">
        <f>IF(D1049="","",IF(OR(D1049=Plano!$A$1,D1049=Plano!$B$1),"entrada","saída"))</f>
        <v>saída</v>
      </c>
      <c r="T1049" s="334" t="s">
        <v>114</v>
      </c>
      <c r="U1049" s="334" t="s">
        <v>114</v>
      </c>
      <c r="V1049" s="269"/>
      <c r="W1049" s="269"/>
      <c r="X1049" s="269"/>
      <c r="Y1049" s="269"/>
      <c r="Z1049" s="269"/>
      <c r="AA1049" s="269"/>
      <c r="AB1049" s="269"/>
      <c r="AC1049" s="269"/>
      <c r="AD1049" s="269"/>
      <c r="AE1049" s="269"/>
      <c r="AF1049" s="269"/>
      <c r="AG1049" s="269"/>
      <c r="AH1049" s="269"/>
      <c r="AI1049" s="269"/>
      <c r="AJ1049" s="269"/>
      <c r="AK1049" s="269"/>
      <c r="AL1049" s="269"/>
      <c r="AM1049" s="269"/>
    </row>
    <row r="1050" spans="1:39" ht="39.75" customHeight="1" x14ac:dyDescent="0.2">
      <c r="A1050" s="277">
        <f>IF(B1050="","",COUNT('Diário 5º PA'!$A$5:$A$2634)+COUNT('Diário 6º PA'!$A$5:$A$2246)+ROW()-4)</f>
        <v>3589</v>
      </c>
      <c r="B1050" s="278">
        <v>44447</v>
      </c>
      <c r="C1050" s="249">
        <v>44317</v>
      </c>
      <c r="D1050" s="250" t="s">
        <v>99</v>
      </c>
      <c r="E1050" s="250" t="s">
        <v>364</v>
      </c>
      <c r="F1050" s="251">
        <v>250</v>
      </c>
      <c r="G1050" s="452" t="s">
        <v>2306</v>
      </c>
      <c r="H1050" s="250" t="s">
        <v>131</v>
      </c>
      <c r="I1050" s="250" t="s">
        <v>465</v>
      </c>
      <c r="J1050" s="250" t="s">
        <v>114</v>
      </c>
      <c r="K1050" s="250" t="s">
        <v>466</v>
      </c>
      <c r="L1050" s="250" t="s">
        <v>467</v>
      </c>
      <c r="M1050" s="277">
        <v>2891</v>
      </c>
      <c r="N1050" s="278">
        <v>44447</v>
      </c>
      <c r="O1050" s="329" t="s">
        <v>67</v>
      </c>
      <c r="P1050" s="330">
        <f t="shared" si="94"/>
        <v>9</v>
      </c>
      <c r="Q1050" s="330">
        <f t="shared" si="95"/>
        <v>5</v>
      </c>
      <c r="R1050" s="331" t="str">
        <f t="shared" si="96"/>
        <v>Gastos_Gerais</v>
      </c>
      <c r="S1050" s="331" t="str">
        <f>IF(D1050="","",IF(OR(D1050=Plano!$A$1,D1050=Plano!$B$1),"entrada","saída"))</f>
        <v>saída</v>
      </c>
      <c r="T1050" s="334" t="s">
        <v>114</v>
      </c>
      <c r="U1050" s="334" t="s">
        <v>114</v>
      </c>
      <c r="V1050" s="269"/>
      <c r="W1050" s="269"/>
      <c r="X1050" s="269"/>
      <c r="Y1050" s="269"/>
      <c r="Z1050" s="269"/>
      <c r="AA1050" s="269"/>
      <c r="AB1050" s="269"/>
      <c r="AC1050" s="269"/>
      <c r="AD1050" s="269"/>
      <c r="AE1050" s="269"/>
      <c r="AF1050" s="269"/>
      <c r="AG1050" s="269"/>
      <c r="AH1050" s="269"/>
      <c r="AI1050" s="269"/>
      <c r="AJ1050" s="269"/>
      <c r="AK1050" s="269"/>
      <c r="AL1050" s="269"/>
      <c r="AM1050" s="269"/>
    </row>
    <row r="1051" spans="1:39" ht="37.5" customHeight="1" x14ac:dyDescent="0.2">
      <c r="A1051" s="277">
        <f>IF(B1051="","",COUNT('Diário 5º PA'!$A$5:$A$2634)+COUNT('Diário 6º PA'!$A$5:$A$2246)+ROW()-4)</f>
        <v>3590</v>
      </c>
      <c r="B1051" s="278">
        <v>44447</v>
      </c>
      <c r="C1051" s="249">
        <v>44317</v>
      </c>
      <c r="D1051" s="250" t="s">
        <v>99</v>
      </c>
      <c r="E1051" s="250" t="s">
        <v>386</v>
      </c>
      <c r="F1051" s="251">
        <v>115</v>
      </c>
      <c r="G1051" s="452" t="s">
        <v>2307</v>
      </c>
      <c r="H1051" s="250" t="s">
        <v>131</v>
      </c>
      <c r="I1051" s="250" t="s">
        <v>465</v>
      </c>
      <c r="J1051" s="250" t="s">
        <v>114</v>
      </c>
      <c r="K1051" s="250" t="s">
        <v>466</v>
      </c>
      <c r="L1051" s="250" t="s">
        <v>467</v>
      </c>
      <c r="M1051" s="277">
        <v>2892</v>
      </c>
      <c r="N1051" s="278">
        <v>44447</v>
      </c>
      <c r="O1051" s="329" t="s">
        <v>67</v>
      </c>
      <c r="P1051" s="330">
        <f t="shared" si="94"/>
        <v>9</v>
      </c>
      <c r="Q1051" s="330">
        <f t="shared" si="95"/>
        <v>5</v>
      </c>
      <c r="R1051" s="331" t="str">
        <f t="shared" si="96"/>
        <v>Gastos_Gerais</v>
      </c>
      <c r="S1051" s="331" t="str">
        <f>IF(D1051="","",IF(OR(D1051=Plano!$A$1,D1051=Plano!$B$1),"entrada","saída"))</f>
        <v>saída</v>
      </c>
      <c r="T1051" s="334" t="s">
        <v>114</v>
      </c>
      <c r="U1051" s="334" t="s">
        <v>114</v>
      </c>
      <c r="V1051" s="269"/>
      <c r="W1051" s="269"/>
      <c r="X1051" s="269"/>
      <c r="Y1051" s="269"/>
      <c r="Z1051" s="269"/>
      <c r="AA1051" s="269"/>
      <c r="AB1051" s="269"/>
      <c r="AC1051" s="269"/>
      <c r="AD1051" s="269"/>
      <c r="AE1051" s="269"/>
      <c r="AF1051" s="269"/>
      <c r="AG1051" s="269"/>
      <c r="AH1051" s="269"/>
      <c r="AI1051" s="269"/>
      <c r="AJ1051" s="269"/>
      <c r="AK1051" s="269"/>
      <c r="AL1051" s="269"/>
      <c r="AM1051" s="269"/>
    </row>
    <row r="1052" spans="1:39" ht="37.5" customHeight="1" x14ac:dyDescent="0.2">
      <c r="A1052" s="277">
        <f>IF(B1052="","",COUNT('Diário 5º PA'!$A$5:$A$2634)+COUNT('Diário 6º PA'!$A$5:$A$2246)+ROW()-4)</f>
        <v>3591</v>
      </c>
      <c r="B1052" s="278">
        <v>44447</v>
      </c>
      <c r="C1052" s="249">
        <v>44317</v>
      </c>
      <c r="D1052" s="250" t="s">
        <v>99</v>
      </c>
      <c r="E1052" s="250" t="s">
        <v>386</v>
      </c>
      <c r="F1052" s="251">
        <v>115</v>
      </c>
      <c r="G1052" s="452" t="s">
        <v>2308</v>
      </c>
      <c r="H1052" s="250" t="s">
        <v>131</v>
      </c>
      <c r="I1052" s="250" t="s">
        <v>465</v>
      </c>
      <c r="J1052" s="250" t="s">
        <v>114</v>
      </c>
      <c r="K1052" s="250" t="s">
        <v>466</v>
      </c>
      <c r="L1052" s="250" t="s">
        <v>467</v>
      </c>
      <c r="M1052" s="277">
        <v>2893</v>
      </c>
      <c r="N1052" s="278">
        <v>44447</v>
      </c>
      <c r="O1052" s="329" t="s">
        <v>67</v>
      </c>
      <c r="P1052" s="330">
        <f t="shared" si="94"/>
        <v>9</v>
      </c>
      <c r="Q1052" s="330">
        <f t="shared" si="95"/>
        <v>5</v>
      </c>
      <c r="R1052" s="331" t="str">
        <f t="shared" si="96"/>
        <v>Gastos_Gerais</v>
      </c>
      <c r="S1052" s="331" t="str">
        <f>IF(D1052="","",IF(OR(D1052=Plano!$A$1,D1052=Plano!$B$1),"entrada","saída"))</f>
        <v>saída</v>
      </c>
      <c r="T1052" s="334" t="s">
        <v>114</v>
      </c>
      <c r="U1052" s="334" t="s">
        <v>114</v>
      </c>
      <c r="V1052" s="269"/>
      <c r="W1052" s="269"/>
      <c r="X1052" s="269"/>
      <c r="Y1052" s="269"/>
      <c r="Z1052" s="269"/>
      <c r="AA1052" s="269"/>
      <c r="AB1052" s="269"/>
      <c r="AC1052" s="269"/>
      <c r="AD1052" s="269"/>
      <c r="AE1052" s="269"/>
      <c r="AF1052" s="269"/>
      <c r="AG1052" s="269"/>
      <c r="AH1052" s="269"/>
      <c r="AI1052" s="269"/>
      <c r="AJ1052" s="269"/>
      <c r="AK1052" s="269"/>
      <c r="AL1052" s="269"/>
      <c r="AM1052" s="269"/>
    </row>
    <row r="1053" spans="1:39" ht="36" customHeight="1" x14ac:dyDescent="0.2">
      <c r="A1053" s="277">
        <f>IF(B1053="","",COUNT('Diário 5º PA'!$A$5:$A$2634)+COUNT('Diário 6º PA'!$A$5:$A$2246)+ROW()-4)</f>
        <v>3592</v>
      </c>
      <c r="B1053" s="278">
        <v>44447</v>
      </c>
      <c r="C1053" s="249">
        <v>44378</v>
      </c>
      <c r="D1053" s="250" t="s">
        <v>99</v>
      </c>
      <c r="E1053" s="250" t="s">
        <v>262</v>
      </c>
      <c r="F1053" s="251">
        <v>60</v>
      </c>
      <c r="G1053" s="250" t="s">
        <v>262</v>
      </c>
      <c r="H1053" s="250" t="s">
        <v>115</v>
      </c>
      <c r="I1053" s="250" t="s">
        <v>465</v>
      </c>
      <c r="J1053" s="250" t="s">
        <v>114</v>
      </c>
      <c r="K1053" s="250" t="s">
        <v>466</v>
      </c>
      <c r="L1053" s="250" t="s">
        <v>467</v>
      </c>
      <c r="M1053" s="277">
        <v>2894</v>
      </c>
      <c r="N1053" s="278">
        <v>44447</v>
      </c>
      <c r="O1053" s="329" t="s">
        <v>67</v>
      </c>
      <c r="P1053" s="330">
        <f t="shared" si="94"/>
        <v>9</v>
      </c>
      <c r="Q1053" s="330">
        <f t="shared" si="95"/>
        <v>7</v>
      </c>
      <c r="R1053" s="331" t="str">
        <f t="shared" si="96"/>
        <v>Gastos_Gerais</v>
      </c>
      <c r="S1053" s="331" t="str">
        <f>IF(D1053="","",IF(OR(D1053=Plano!$A$1,D1053=Plano!$B$1),"entrada","saída"))</f>
        <v>saída</v>
      </c>
      <c r="T1053" s="334" t="s">
        <v>114</v>
      </c>
      <c r="U1053" s="334" t="s">
        <v>114</v>
      </c>
      <c r="V1053" s="269"/>
      <c r="W1053" s="269"/>
      <c r="X1053" s="269"/>
      <c r="Y1053" s="269"/>
      <c r="Z1053" s="269"/>
      <c r="AA1053" s="269"/>
      <c r="AB1053" s="269"/>
      <c r="AC1053" s="269"/>
      <c r="AD1053" s="269"/>
      <c r="AE1053" s="269"/>
      <c r="AF1053" s="269"/>
      <c r="AG1053" s="269"/>
      <c r="AH1053" s="269"/>
      <c r="AI1053" s="269"/>
      <c r="AJ1053" s="269"/>
      <c r="AK1053" s="269"/>
      <c r="AL1053" s="269"/>
      <c r="AM1053" s="269"/>
    </row>
    <row r="1054" spans="1:39" ht="39.75" customHeight="1" x14ac:dyDescent="0.2">
      <c r="A1054" s="277">
        <f>IF(B1054="","",COUNT('Diário 5º PA'!$A$5:$A$2634)+COUNT('Diário 6º PA'!$A$5:$A$2246)+ROW()-4)</f>
        <v>3593</v>
      </c>
      <c r="B1054" s="278">
        <v>44447</v>
      </c>
      <c r="C1054" s="249">
        <v>44378</v>
      </c>
      <c r="D1054" s="250" t="s">
        <v>99</v>
      </c>
      <c r="E1054" s="250" t="s">
        <v>352</v>
      </c>
      <c r="F1054" s="251">
        <v>40</v>
      </c>
      <c r="G1054" s="452" t="s">
        <v>2309</v>
      </c>
      <c r="H1054" s="250" t="s">
        <v>132</v>
      </c>
      <c r="I1054" s="252" t="s">
        <v>465</v>
      </c>
      <c r="J1054" s="250" t="s">
        <v>114</v>
      </c>
      <c r="K1054" s="250" t="s">
        <v>466</v>
      </c>
      <c r="L1054" s="250" t="s">
        <v>467</v>
      </c>
      <c r="M1054" s="277">
        <v>2895</v>
      </c>
      <c r="N1054" s="278">
        <v>44447</v>
      </c>
      <c r="O1054" s="329" t="s">
        <v>67</v>
      </c>
      <c r="P1054" s="330">
        <f t="shared" si="94"/>
        <v>9</v>
      </c>
      <c r="Q1054" s="330">
        <f t="shared" si="95"/>
        <v>7</v>
      </c>
      <c r="R1054" s="331" t="str">
        <f t="shared" si="96"/>
        <v>Gastos_Gerais</v>
      </c>
      <c r="S1054" s="331" t="str">
        <f>IF(D1054="","",IF(OR(D1054=Plano!$A$1,D1054=Plano!$B$1),"entrada","saída"))</f>
        <v>saída</v>
      </c>
      <c r="T1054" s="334" t="s">
        <v>114</v>
      </c>
      <c r="U1054" s="334" t="s">
        <v>114</v>
      </c>
      <c r="V1054" s="269"/>
      <c r="W1054" s="269"/>
      <c r="X1054" s="269"/>
      <c r="Y1054" s="269"/>
      <c r="Z1054" s="269"/>
      <c r="AA1054" s="269"/>
      <c r="AB1054" s="269"/>
      <c r="AC1054" s="269"/>
      <c r="AD1054" s="269"/>
      <c r="AE1054" s="269"/>
      <c r="AF1054" s="269"/>
      <c r="AG1054" s="269"/>
      <c r="AH1054" s="269"/>
      <c r="AI1054" s="269"/>
      <c r="AJ1054" s="269"/>
      <c r="AK1054" s="269"/>
      <c r="AL1054" s="269"/>
      <c r="AM1054" s="269"/>
    </row>
    <row r="1055" spans="1:39" ht="47.25" customHeight="1" x14ac:dyDescent="0.2">
      <c r="A1055" s="277">
        <f>IF(B1055="","",COUNT('Diário 5º PA'!$A$5:$A$2634)+COUNT('Diário 6º PA'!$A$5:$A$2246)+ROW()-4)</f>
        <v>3594</v>
      </c>
      <c r="B1055" s="278">
        <v>44447</v>
      </c>
      <c r="C1055" s="249">
        <v>44378</v>
      </c>
      <c r="D1055" s="250" t="s">
        <v>99</v>
      </c>
      <c r="E1055" s="250" t="s">
        <v>330</v>
      </c>
      <c r="F1055" s="251">
        <v>34.17</v>
      </c>
      <c r="G1055" s="452" t="s">
        <v>2310</v>
      </c>
      <c r="H1055" s="250" t="s">
        <v>116</v>
      </c>
      <c r="I1055" s="250" t="s">
        <v>465</v>
      </c>
      <c r="J1055" s="250" t="s">
        <v>114</v>
      </c>
      <c r="K1055" s="250" t="s">
        <v>466</v>
      </c>
      <c r="L1055" s="250" t="s">
        <v>467</v>
      </c>
      <c r="M1055" s="277">
        <v>2896</v>
      </c>
      <c r="N1055" s="278">
        <v>44447</v>
      </c>
      <c r="O1055" s="329" t="s">
        <v>67</v>
      </c>
      <c r="P1055" s="330">
        <f t="shared" si="94"/>
        <v>9</v>
      </c>
      <c r="Q1055" s="330">
        <f t="shared" si="95"/>
        <v>7</v>
      </c>
      <c r="R1055" s="331" t="str">
        <f t="shared" si="96"/>
        <v>Gastos_Gerais</v>
      </c>
      <c r="S1055" s="331" t="str">
        <f>IF(D1055="","",IF(OR(D1055=Plano!$A$1,D1055=Plano!$B$1),"entrada","saída"))</f>
        <v>saída</v>
      </c>
      <c r="T1055" s="334" t="s">
        <v>114</v>
      </c>
      <c r="U1055" s="334" t="s">
        <v>114</v>
      </c>
      <c r="V1055" s="269"/>
      <c r="W1055" s="269"/>
      <c r="X1055" s="269"/>
      <c r="Y1055" s="269"/>
      <c r="Z1055" s="269"/>
      <c r="AA1055" s="269"/>
      <c r="AB1055" s="269"/>
      <c r="AC1055" s="269"/>
      <c r="AD1055" s="269"/>
      <c r="AE1055" s="269"/>
      <c r="AF1055" s="269"/>
      <c r="AG1055" s="269"/>
      <c r="AH1055" s="269"/>
      <c r="AI1055" s="269"/>
      <c r="AJ1055" s="269"/>
      <c r="AK1055" s="269"/>
      <c r="AL1055" s="269"/>
      <c r="AM1055" s="269"/>
    </row>
    <row r="1056" spans="1:39" ht="36" customHeight="1" x14ac:dyDescent="0.2">
      <c r="A1056" s="277">
        <f>IF(B1056="","",COUNT('Diário 5º PA'!$A$5:$A$2634)+COUNT('Diário 6º PA'!$A$5:$A$2246)+ROW()-4)</f>
        <v>3595</v>
      </c>
      <c r="B1056" s="278">
        <v>44447</v>
      </c>
      <c r="C1056" s="249">
        <v>44348</v>
      </c>
      <c r="D1056" s="250" t="s">
        <v>99</v>
      </c>
      <c r="E1056" s="250" t="s">
        <v>384</v>
      </c>
      <c r="F1056" s="251">
        <v>101.51</v>
      </c>
      <c r="G1056" s="452" t="s">
        <v>2311</v>
      </c>
      <c r="H1056" s="250" t="s">
        <v>125</v>
      </c>
      <c r="I1056" s="252" t="s">
        <v>465</v>
      </c>
      <c r="J1056" s="250" t="s">
        <v>114</v>
      </c>
      <c r="K1056" s="250" t="s">
        <v>466</v>
      </c>
      <c r="L1056" s="250" t="s">
        <v>467</v>
      </c>
      <c r="M1056" s="277">
        <v>2897</v>
      </c>
      <c r="N1056" s="278">
        <v>44447</v>
      </c>
      <c r="O1056" s="329" t="s">
        <v>67</v>
      </c>
      <c r="P1056" s="330">
        <f t="shared" si="94"/>
        <v>9</v>
      </c>
      <c r="Q1056" s="330">
        <f t="shared" si="95"/>
        <v>6</v>
      </c>
      <c r="R1056" s="331" t="str">
        <f t="shared" si="96"/>
        <v>Gastos_Gerais</v>
      </c>
      <c r="S1056" s="331" t="str">
        <f>IF(D1056="","",IF(OR(D1056=Plano!$A$1,D1056=Plano!$B$1),"entrada","saída"))</f>
        <v>saída</v>
      </c>
      <c r="T1056" s="334" t="s">
        <v>114</v>
      </c>
      <c r="U1056" s="334" t="s">
        <v>114</v>
      </c>
      <c r="V1056" s="269"/>
      <c r="W1056" s="269"/>
      <c r="X1056" s="269"/>
      <c r="Y1056" s="269"/>
      <c r="Z1056" s="269"/>
      <c r="AA1056" s="269"/>
      <c r="AB1056" s="269"/>
      <c r="AC1056" s="269"/>
      <c r="AD1056" s="269"/>
      <c r="AE1056" s="269"/>
      <c r="AF1056" s="269"/>
      <c r="AG1056" s="269"/>
      <c r="AH1056" s="269"/>
      <c r="AI1056" s="269"/>
      <c r="AJ1056" s="269"/>
      <c r="AK1056" s="269"/>
      <c r="AL1056" s="269"/>
      <c r="AM1056" s="269"/>
    </row>
    <row r="1057" spans="1:39" ht="41.25" customHeight="1" x14ac:dyDescent="0.2">
      <c r="A1057" s="277">
        <f>IF(B1057="","",COUNT('Diário 5º PA'!$A$5:$A$2634)+COUNT('Diário 6º PA'!$A$5:$A$2246)+ROW()-4)</f>
        <v>3596</v>
      </c>
      <c r="B1057" s="278">
        <v>44447</v>
      </c>
      <c r="C1057" s="249">
        <v>44409</v>
      </c>
      <c r="D1057" s="250" t="s">
        <v>99</v>
      </c>
      <c r="E1057" s="250" t="s">
        <v>352</v>
      </c>
      <c r="F1057" s="251">
        <v>68.459999999999994</v>
      </c>
      <c r="G1057" s="452" t="s">
        <v>2312</v>
      </c>
      <c r="H1057" s="250" t="s">
        <v>131</v>
      </c>
      <c r="I1057" s="250" t="s">
        <v>465</v>
      </c>
      <c r="J1057" s="250" t="s">
        <v>114</v>
      </c>
      <c r="K1057" s="250" t="s">
        <v>466</v>
      </c>
      <c r="L1057" s="250" t="s">
        <v>467</v>
      </c>
      <c r="M1057" s="277">
        <v>2898</v>
      </c>
      <c r="N1057" s="278">
        <v>44447</v>
      </c>
      <c r="O1057" s="329" t="s">
        <v>67</v>
      </c>
      <c r="P1057" s="330">
        <f t="shared" si="94"/>
        <v>9</v>
      </c>
      <c r="Q1057" s="330">
        <f t="shared" si="95"/>
        <v>8</v>
      </c>
      <c r="R1057" s="331" t="str">
        <f t="shared" si="96"/>
        <v>Gastos_Gerais</v>
      </c>
      <c r="S1057" s="331" t="str">
        <f>IF(D1057="","",IF(OR(D1057=Plano!$A$1,D1057=Plano!$B$1),"entrada","saída"))</f>
        <v>saída</v>
      </c>
      <c r="T1057" s="334" t="s">
        <v>114</v>
      </c>
      <c r="U1057" s="334" t="s">
        <v>114</v>
      </c>
      <c r="V1057" s="269"/>
      <c r="W1057" s="269"/>
      <c r="X1057" s="269"/>
      <c r="Y1057" s="269"/>
      <c r="Z1057" s="269"/>
      <c r="AA1057" s="269"/>
      <c r="AB1057" s="269"/>
      <c r="AC1057" s="269"/>
      <c r="AD1057" s="269"/>
      <c r="AE1057" s="269"/>
      <c r="AF1057" s="269"/>
      <c r="AG1057" s="269"/>
      <c r="AH1057" s="269"/>
      <c r="AI1057" s="269"/>
      <c r="AJ1057" s="269"/>
      <c r="AK1057" s="269"/>
      <c r="AL1057" s="269"/>
      <c r="AM1057" s="269"/>
    </row>
    <row r="1058" spans="1:39" ht="48" customHeight="1" x14ac:dyDescent="0.2">
      <c r="A1058" s="277">
        <f>IF(B1058="","",COUNT('Diário 5º PA'!$A$5:$A$2634)+COUNT('Diário 6º PA'!$A$5:$A$2246)+ROW()-4)</f>
        <v>3597</v>
      </c>
      <c r="B1058" s="278">
        <v>44447</v>
      </c>
      <c r="C1058" s="249">
        <v>44409</v>
      </c>
      <c r="D1058" s="250" t="s">
        <v>99</v>
      </c>
      <c r="E1058" s="250" t="s">
        <v>352</v>
      </c>
      <c r="F1058" s="251">
        <v>282.69</v>
      </c>
      <c r="G1058" s="452" t="s">
        <v>2313</v>
      </c>
      <c r="H1058" s="250" t="s">
        <v>131</v>
      </c>
      <c r="I1058" s="250" t="s">
        <v>465</v>
      </c>
      <c r="J1058" s="250" t="s">
        <v>114</v>
      </c>
      <c r="K1058" s="250" t="s">
        <v>466</v>
      </c>
      <c r="L1058" s="250" t="s">
        <v>467</v>
      </c>
      <c r="M1058" s="277">
        <v>2899</v>
      </c>
      <c r="N1058" s="278">
        <v>44447</v>
      </c>
      <c r="O1058" s="329" t="s">
        <v>67</v>
      </c>
      <c r="P1058" s="330">
        <f t="shared" si="94"/>
        <v>9</v>
      </c>
      <c r="Q1058" s="330">
        <f t="shared" si="95"/>
        <v>8</v>
      </c>
      <c r="R1058" s="331" t="str">
        <f t="shared" si="96"/>
        <v>Gastos_Gerais</v>
      </c>
      <c r="S1058" s="331" t="str">
        <f>IF(D1058="","",IF(OR(D1058=Plano!$A$1,D1058=Plano!$B$1),"entrada","saída"))</f>
        <v>saída</v>
      </c>
      <c r="T1058" s="334" t="s">
        <v>114</v>
      </c>
      <c r="U1058" s="334" t="s">
        <v>114</v>
      </c>
      <c r="V1058" s="269"/>
      <c r="W1058" s="269"/>
      <c r="X1058" s="269"/>
      <c r="Y1058" s="269"/>
      <c r="Z1058" s="269"/>
      <c r="AA1058" s="269"/>
      <c r="AB1058" s="269"/>
      <c r="AC1058" s="269"/>
      <c r="AD1058" s="269"/>
      <c r="AE1058" s="269"/>
      <c r="AF1058" s="269"/>
      <c r="AG1058" s="269"/>
      <c r="AH1058" s="269"/>
      <c r="AI1058" s="269"/>
      <c r="AJ1058" s="269"/>
      <c r="AK1058" s="269"/>
      <c r="AL1058" s="269"/>
      <c r="AM1058" s="269"/>
    </row>
    <row r="1059" spans="1:39" ht="37.5" customHeight="1" x14ac:dyDescent="0.2">
      <c r="A1059" s="277">
        <f>IF(B1059="","",COUNT('Diário 5º PA'!$A$5:$A$2634)+COUNT('Diário 6º PA'!$A$5:$A$2246)+ROW()-4)</f>
        <v>3598</v>
      </c>
      <c r="B1059" s="278">
        <v>44447</v>
      </c>
      <c r="C1059" s="249">
        <v>44378</v>
      </c>
      <c r="D1059" s="250" t="s">
        <v>99</v>
      </c>
      <c r="E1059" s="250" t="s">
        <v>360</v>
      </c>
      <c r="F1059" s="251">
        <v>301.95</v>
      </c>
      <c r="G1059" s="452" t="s">
        <v>2314</v>
      </c>
      <c r="H1059" s="250" t="s">
        <v>131</v>
      </c>
      <c r="I1059" s="250" t="s">
        <v>465</v>
      </c>
      <c r="J1059" s="250" t="s">
        <v>114</v>
      </c>
      <c r="K1059" s="250" t="s">
        <v>466</v>
      </c>
      <c r="L1059" s="250" t="s">
        <v>467</v>
      </c>
      <c r="M1059" s="277">
        <v>2900</v>
      </c>
      <c r="N1059" s="278">
        <v>44447</v>
      </c>
      <c r="O1059" s="329" t="s">
        <v>67</v>
      </c>
      <c r="P1059" s="330">
        <f t="shared" si="94"/>
        <v>9</v>
      </c>
      <c r="Q1059" s="330">
        <f t="shared" si="95"/>
        <v>7</v>
      </c>
      <c r="R1059" s="331" t="str">
        <f t="shared" si="96"/>
        <v>Gastos_Gerais</v>
      </c>
      <c r="S1059" s="331" t="str">
        <f>IF(D1059="","",IF(OR(D1059=Plano!$A$1,D1059=Plano!$B$1),"entrada","saída"))</f>
        <v>saída</v>
      </c>
      <c r="T1059" s="334" t="s">
        <v>114</v>
      </c>
      <c r="U1059" s="334" t="s">
        <v>114</v>
      </c>
      <c r="V1059" s="269"/>
      <c r="W1059" s="269"/>
      <c r="X1059" s="269"/>
      <c r="Y1059" s="269"/>
      <c r="Z1059" s="269"/>
      <c r="AA1059" s="269"/>
      <c r="AB1059" s="269"/>
      <c r="AC1059" s="269"/>
      <c r="AD1059" s="269"/>
      <c r="AE1059" s="269"/>
      <c r="AF1059" s="269"/>
      <c r="AG1059" s="269"/>
      <c r="AH1059" s="269"/>
      <c r="AI1059" s="269"/>
      <c r="AJ1059" s="269"/>
      <c r="AK1059" s="269"/>
      <c r="AL1059" s="269"/>
      <c r="AM1059" s="269"/>
    </row>
    <row r="1060" spans="1:39" ht="44.25" customHeight="1" x14ac:dyDescent="0.2">
      <c r="A1060" s="277">
        <f>IF(B1060="","",COUNT('Diário 5º PA'!$A$5:$A$2634)+COUNT('Diário 6º PA'!$A$5:$A$2246)+ROW()-4)</f>
        <v>3599</v>
      </c>
      <c r="B1060" s="278">
        <v>44447</v>
      </c>
      <c r="C1060" s="249">
        <v>44378</v>
      </c>
      <c r="D1060" s="250" t="s">
        <v>99</v>
      </c>
      <c r="E1060" s="250" t="s">
        <v>364</v>
      </c>
      <c r="F1060" s="251">
        <v>502.4</v>
      </c>
      <c r="G1060" s="452" t="s">
        <v>2315</v>
      </c>
      <c r="H1060" s="250" t="s">
        <v>116</v>
      </c>
      <c r="I1060" s="250" t="s">
        <v>465</v>
      </c>
      <c r="J1060" s="250" t="s">
        <v>114</v>
      </c>
      <c r="K1060" s="250" t="s">
        <v>466</v>
      </c>
      <c r="L1060" s="250" t="s">
        <v>467</v>
      </c>
      <c r="M1060" s="277">
        <v>2901</v>
      </c>
      <c r="N1060" s="278">
        <v>44447</v>
      </c>
      <c r="O1060" s="329" t="s">
        <v>67</v>
      </c>
      <c r="P1060" s="330">
        <f t="shared" si="94"/>
        <v>9</v>
      </c>
      <c r="Q1060" s="330">
        <f t="shared" si="95"/>
        <v>7</v>
      </c>
      <c r="R1060" s="331" t="str">
        <f t="shared" si="96"/>
        <v>Gastos_Gerais</v>
      </c>
      <c r="S1060" s="331" t="str">
        <f>IF(D1060="","",IF(OR(D1060=Plano!$A$1,D1060=Plano!$B$1),"entrada","saída"))</f>
        <v>saída</v>
      </c>
      <c r="T1060" s="334" t="s">
        <v>114</v>
      </c>
      <c r="U1060" s="334" t="s">
        <v>114</v>
      </c>
      <c r="V1060" s="269"/>
      <c r="W1060" s="269"/>
      <c r="X1060" s="269"/>
      <c r="Y1060" s="269"/>
      <c r="Z1060" s="269"/>
      <c r="AA1060" s="269"/>
      <c r="AB1060" s="269"/>
      <c r="AC1060" s="269"/>
      <c r="AD1060" s="269"/>
      <c r="AE1060" s="269"/>
      <c r="AF1060" s="269"/>
      <c r="AG1060" s="269"/>
      <c r="AH1060" s="269"/>
      <c r="AI1060" s="269"/>
      <c r="AJ1060" s="269"/>
      <c r="AK1060" s="269"/>
      <c r="AL1060" s="269"/>
      <c r="AM1060" s="269"/>
    </row>
    <row r="1061" spans="1:39" ht="40.5" customHeight="1" x14ac:dyDescent="0.2">
      <c r="A1061" s="277">
        <f>IF(B1061="","",COUNT('Diário 5º PA'!$A$5:$A$2634)+COUNT('Diário 6º PA'!$A$5:$A$2246)+ROW()-4)</f>
        <v>3600</v>
      </c>
      <c r="B1061" s="278">
        <v>44447</v>
      </c>
      <c r="C1061" s="249">
        <v>44378</v>
      </c>
      <c r="D1061" s="250" t="s">
        <v>99</v>
      </c>
      <c r="E1061" s="250" t="s">
        <v>364</v>
      </c>
      <c r="F1061" s="251">
        <v>150</v>
      </c>
      <c r="G1061" s="452" t="s">
        <v>2316</v>
      </c>
      <c r="H1061" s="250" t="s">
        <v>131</v>
      </c>
      <c r="I1061" s="250" t="s">
        <v>465</v>
      </c>
      <c r="J1061" s="250" t="s">
        <v>114</v>
      </c>
      <c r="K1061" s="250" t="s">
        <v>466</v>
      </c>
      <c r="L1061" s="250" t="s">
        <v>467</v>
      </c>
      <c r="M1061" s="277">
        <v>2902</v>
      </c>
      <c r="N1061" s="278">
        <v>44447</v>
      </c>
      <c r="O1061" s="329" t="s">
        <v>67</v>
      </c>
      <c r="P1061" s="330">
        <f t="shared" si="94"/>
        <v>9</v>
      </c>
      <c r="Q1061" s="330">
        <f t="shared" si="95"/>
        <v>7</v>
      </c>
      <c r="R1061" s="331" t="str">
        <f t="shared" si="96"/>
        <v>Gastos_Gerais</v>
      </c>
      <c r="S1061" s="331" t="str">
        <f>IF(D1061="","",IF(OR(D1061=Plano!$A$1,D1061=Plano!$B$1),"entrada","saída"))</f>
        <v>saída</v>
      </c>
      <c r="T1061" s="334" t="s">
        <v>114</v>
      </c>
      <c r="U1061" s="334" t="s">
        <v>114</v>
      </c>
      <c r="V1061" s="269"/>
      <c r="W1061" s="269"/>
      <c r="X1061" s="269"/>
      <c r="Y1061" s="269"/>
      <c r="Z1061" s="269"/>
      <c r="AA1061" s="269"/>
      <c r="AB1061" s="269"/>
      <c r="AC1061" s="269"/>
      <c r="AD1061" s="269"/>
      <c r="AE1061" s="269"/>
      <c r="AF1061" s="269"/>
      <c r="AG1061" s="269"/>
      <c r="AH1061" s="269"/>
      <c r="AI1061" s="269"/>
      <c r="AJ1061" s="269"/>
      <c r="AK1061" s="269"/>
      <c r="AL1061" s="269"/>
      <c r="AM1061" s="269"/>
    </row>
    <row r="1062" spans="1:39" ht="48.75" customHeight="1" x14ac:dyDescent="0.2">
      <c r="A1062" s="277">
        <f>IF(B1062="","",COUNT('Diário 5º PA'!$A$5:$A$2634)+COUNT('Diário 6º PA'!$A$5:$A$2246)+ROW()-4)</f>
        <v>3601</v>
      </c>
      <c r="B1062" s="278">
        <v>44447</v>
      </c>
      <c r="C1062" s="249">
        <v>44378</v>
      </c>
      <c r="D1062" s="250" t="s">
        <v>99</v>
      </c>
      <c r="E1062" s="250" t="s">
        <v>364</v>
      </c>
      <c r="F1062" s="251">
        <v>28.14</v>
      </c>
      <c r="G1062" s="452" t="s">
        <v>2317</v>
      </c>
      <c r="H1062" s="250" t="s">
        <v>125</v>
      </c>
      <c r="I1062" s="250" t="s">
        <v>465</v>
      </c>
      <c r="J1062" s="250" t="s">
        <v>114</v>
      </c>
      <c r="K1062" s="250" t="s">
        <v>466</v>
      </c>
      <c r="L1062" s="250" t="s">
        <v>467</v>
      </c>
      <c r="M1062" s="277">
        <v>2903</v>
      </c>
      <c r="N1062" s="278">
        <v>44447</v>
      </c>
      <c r="O1062" s="329" t="s">
        <v>67</v>
      </c>
      <c r="P1062" s="330">
        <f t="shared" si="94"/>
        <v>9</v>
      </c>
      <c r="Q1062" s="330">
        <f t="shared" si="95"/>
        <v>7</v>
      </c>
      <c r="R1062" s="331" t="str">
        <f t="shared" si="96"/>
        <v>Gastos_Gerais</v>
      </c>
      <c r="S1062" s="331" t="str">
        <f>IF(D1062="","",IF(OR(D1062=Plano!$A$1,D1062=Plano!$B$1),"entrada","saída"))</f>
        <v>saída</v>
      </c>
      <c r="T1062" s="334" t="s">
        <v>114</v>
      </c>
      <c r="U1062" s="334" t="s">
        <v>114</v>
      </c>
      <c r="V1062" s="269"/>
      <c r="W1062" s="269"/>
      <c r="X1062" s="269"/>
      <c r="Y1062" s="269"/>
      <c r="Z1062" s="269"/>
      <c r="AA1062" s="269"/>
      <c r="AB1062" s="269"/>
      <c r="AC1062" s="269"/>
      <c r="AD1062" s="269"/>
      <c r="AE1062" s="269"/>
      <c r="AF1062" s="269"/>
      <c r="AG1062" s="269"/>
      <c r="AH1062" s="269"/>
      <c r="AI1062" s="269"/>
      <c r="AJ1062" s="269"/>
      <c r="AK1062" s="269"/>
      <c r="AL1062" s="269"/>
      <c r="AM1062" s="269"/>
    </row>
    <row r="1063" spans="1:39" ht="46.5" customHeight="1" x14ac:dyDescent="0.2">
      <c r="A1063" s="277">
        <f>IF(B1063="","",COUNT('Diário 5º PA'!$A$5:$A$2634)+COUNT('Diário 6º PA'!$A$5:$A$2246)+ROW()-4)</f>
        <v>3602</v>
      </c>
      <c r="B1063" s="278">
        <v>44447</v>
      </c>
      <c r="C1063" s="249">
        <v>44378</v>
      </c>
      <c r="D1063" s="250" t="s">
        <v>99</v>
      </c>
      <c r="E1063" s="250" t="s">
        <v>364</v>
      </c>
      <c r="F1063" s="251">
        <v>150</v>
      </c>
      <c r="G1063" s="452" t="s">
        <v>2318</v>
      </c>
      <c r="H1063" s="250" t="s">
        <v>131</v>
      </c>
      <c r="I1063" s="250" t="s">
        <v>465</v>
      </c>
      <c r="J1063" s="250" t="s">
        <v>114</v>
      </c>
      <c r="K1063" s="250" t="s">
        <v>466</v>
      </c>
      <c r="L1063" s="250" t="s">
        <v>467</v>
      </c>
      <c r="M1063" s="277">
        <v>2904</v>
      </c>
      <c r="N1063" s="278">
        <v>44447</v>
      </c>
      <c r="O1063" s="329" t="s">
        <v>67</v>
      </c>
      <c r="P1063" s="330">
        <f t="shared" si="94"/>
        <v>9</v>
      </c>
      <c r="Q1063" s="330">
        <f t="shared" si="95"/>
        <v>7</v>
      </c>
      <c r="R1063" s="331" t="str">
        <f t="shared" si="96"/>
        <v>Gastos_Gerais</v>
      </c>
      <c r="S1063" s="331" t="str">
        <f>IF(D1063="","",IF(OR(D1063=Plano!$A$1,D1063=Plano!$B$1),"entrada","saída"))</f>
        <v>saída</v>
      </c>
      <c r="T1063" s="334" t="s">
        <v>114</v>
      </c>
      <c r="U1063" s="334" t="s">
        <v>114</v>
      </c>
      <c r="V1063" s="269"/>
      <c r="W1063" s="269"/>
      <c r="X1063" s="269"/>
      <c r="Y1063" s="269"/>
      <c r="Z1063" s="269"/>
      <c r="AA1063" s="269"/>
      <c r="AB1063" s="269"/>
      <c r="AC1063" s="269"/>
      <c r="AD1063" s="269"/>
      <c r="AE1063" s="269"/>
      <c r="AF1063" s="269"/>
      <c r="AG1063" s="269"/>
      <c r="AH1063" s="269"/>
      <c r="AI1063" s="269"/>
      <c r="AJ1063" s="269"/>
      <c r="AK1063" s="269"/>
      <c r="AL1063" s="269"/>
      <c r="AM1063" s="269"/>
    </row>
    <row r="1064" spans="1:39" ht="49.5" customHeight="1" x14ac:dyDescent="0.2">
      <c r="A1064" s="277">
        <f>IF(B1064="","",COUNT('Diário 5º PA'!$A$5:$A$2634)+COUNT('Diário 6º PA'!$A$5:$A$2246)+ROW()-4)</f>
        <v>3603</v>
      </c>
      <c r="B1064" s="278">
        <v>44447</v>
      </c>
      <c r="C1064" s="249">
        <v>44378</v>
      </c>
      <c r="D1064" s="250" t="s">
        <v>99</v>
      </c>
      <c r="E1064" s="250" t="s">
        <v>262</v>
      </c>
      <c r="F1064" s="251">
        <v>70.349999999999994</v>
      </c>
      <c r="G1064" s="452" t="s">
        <v>2319</v>
      </c>
      <c r="H1064" s="250" t="s">
        <v>115</v>
      </c>
      <c r="I1064" s="252" t="s">
        <v>465</v>
      </c>
      <c r="J1064" s="250" t="s">
        <v>114</v>
      </c>
      <c r="K1064" s="250" t="s">
        <v>466</v>
      </c>
      <c r="L1064" s="250" t="s">
        <v>467</v>
      </c>
      <c r="M1064" s="277">
        <v>2905</v>
      </c>
      <c r="N1064" s="278">
        <v>44447</v>
      </c>
      <c r="O1064" s="329" t="s">
        <v>67</v>
      </c>
      <c r="P1064" s="330">
        <f t="shared" si="94"/>
        <v>9</v>
      </c>
      <c r="Q1064" s="330">
        <f t="shared" si="95"/>
        <v>7</v>
      </c>
      <c r="R1064" s="331" t="str">
        <f t="shared" si="96"/>
        <v>Gastos_Gerais</v>
      </c>
      <c r="S1064" s="331" t="str">
        <f>IF(D1064="","",IF(OR(D1064=Plano!$A$1,D1064=Plano!$B$1),"entrada","saída"))</f>
        <v>saída</v>
      </c>
      <c r="T1064" s="334" t="s">
        <v>114</v>
      </c>
      <c r="U1064" s="334" t="s">
        <v>114</v>
      </c>
      <c r="V1064" s="269"/>
      <c r="W1064" s="269"/>
      <c r="X1064" s="269"/>
      <c r="Y1064" s="269"/>
      <c r="Z1064" s="269"/>
      <c r="AA1064" s="269"/>
      <c r="AB1064" s="269"/>
      <c r="AC1064" s="269"/>
      <c r="AD1064" s="269"/>
      <c r="AE1064" s="269"/>
      <c r="AF1064" s="269"/>
      <c r="AG1064" s="269"/>
      <c r="AH1064" s="269"/>
      <c r="AI1064" s="269"/>
      <c r="AJ1064" s="269"/>
      <c r="AK1064" s="269"/>
      <c r="AL1064" s="269"/>
      <c r="AM1064" s="269"/>
    </row>
    <row r="1065" spans="1:39" ht="38.25" customHeight="1" x14ac:dyDescent="0.2">
      <c r="A1065" s="277">
        <f>IF(B1065="","",COUNT('Diário 5º PA'!$A$5:$A$2634)+COUNT('Diário 6º PA'!$A$5:$A$2246)+ROW()-4)</f>
        <v>3604</v>
      </c>
      <c r="B1065" s="278">
        <v>44447</v>
      </c>
      <c r="C1065" s="249">
        <v>44378</v>
      </c>
      <c r="D1065" s="250" t="s">
        <v>99</v>
      </c>
      <c r="E1065" s="250" t="s">
        <v>262</v>
      </c>
      <c r="F1065" s="251">
        <v>168.84</v>
      </c>
      <c r="G1065" s="451" t="s">
        <v>2320</v>
      </c>
      <c r="H1065" s="252" t="s">
        <v>115</v>
      </c>
      <c r="I1065" s="252" t="s">
        <v>465</v>
      </c>
      <c r="J1065" s="250" t="s">
        <v>114</v>
      </c>
      <c r="K1065" s="250" t="s">
        <v>466</v>
      </c>
      <c r="L1065" s="250" t="s">
        <v>467</v>
      </c>
      <c r="M1065" s="277">
        <v>2906</v>
      </c>
      <c r="N1065" s="278">
        <v>44447</v>
      </c>
      <c r="O1065" s="329" t="s">
        <v>67</v>
      </c>
      <c r="P1065" s="330">
        <f t="shared" si="94"/>
        <v>9</v>
      </c>
      <c r="Q1065" s="330">
        <f t="shared" si="95"/>
        <v>7</v>
      </c>
      <c r="R1065" s="331" t="str">
        <f t="shared" si="96"/>
        <v>Gastos_Gerais</v>
      </c>
      <c r="S1065" s="331" t="str">
        <f>IF(D1065="","",IF(OR(D1065=Plano!$A$1,D1065=Plano!$B$1),"entrada","saída"))</f>
        <v>saída</v>
      </c>
      <c r="T1065" s="334" t="s">
        <v>114</v>
      </c>
      <c r="U1065" s="334" t="s">
        <v>114</v>
      </c>
      <c r="V1065" s="269"/>
      <c r="W1065" s="269"/>
      <c r="X1065" s="269"/>
      <c r="Y1065" s="269"/>
      <c r="Z1065" s="269"/>
      <c r="AA1065" s="269"/>
      <c r="AB1065" s="269"/>
      <c r="AC1065" s="269"/>
      <c r="AD1065" s="269"/>
      <c r="AE1065" s="269"/>
      <c r="AF1065" s="269"/>
      <c r="AG1065" s="269"/>
      <c r="AH1065" s="269"/>
      <c r="AI1065" s="269"/>
      <c r="AJ1065" s="269"/>
      <c r="AK1065" s="269"/>
      <c r="AL1065" s="269"/>
      <c r="AM1065" s="269"/>
    </row>
    <row r="1066" spans="1:39" ht="47.25" customHeight="1" x14ac:dyDescent="0.2">
      <c r="A1066" s="277">
        <f>IF(B1066="","",COUNT('Diário 5º PA'!$A$5:$A$2634)+COUNT('Diário 6º PA'!$A$5:$A$2246)+ROW()-4)</f>
        <v>3605</v>
      </c>
      <c r="B1066" s="278">
        <v>44447</v>
      </c>
      <c r="C1066" s="249">
        <v>44378</v>
      </c>
      <c r="D1066" s="250" t="s">
        <v>99</v>
      </c>
      <c r="E1066" s="250" t="s">
        <v>364</v>
      </c>
      <c r="F1066" s="251">
        <v>40.950000000000003</v>
      </c>
      <c r="G1066" s="452" t="s">
        <v>2321</v>
      </c>
      <c r="H1066" s="250" t="s">
        <v>116</v>
      </c>
      <c r="I1066" s="250" t="s">
        <v>465</v>
      </c>
      <c r="J1066" s="250" t="s">
        <v>114</v>
      </c>
      <c r="K1066" s="250" t="s">
        <v>466</v>
      </c>
      <c r="L1066" s="250" t="s">
        <v>467</v>
      </c>
      <c r="M1066" s="277">
        <v>2907</v>
      </c>
      <c r="N1066" s="278">
        <v>44447</v>
      </c>
      <c r="O1066" s="329" t="s">
        <v>67</v>
      </c>
      <c r="P1066" s="330">
        <f t="shared" si="94"/>
        <v>9</v>
      </c>
      <c r="Q1066" s="330">
        <f t="shared" si="95"/>
        <v>7</v>
      </c>
      <c r="R1066" s="331" t="str">
        <f t="shared" si="96"/>
        <v>Gastos_Gerais</v>
      </c>
      <c r="S1066" s="331" t="str">
        <f>IF(D1066="","",IF(OR(D1066=Plano!$A$1,D1066=Plano!$B$1),"entrada","saída"))</f>
        <v>saída</v>
      </c>
      <c r="T1066" s="334" t="s">
        <v>114</v>
      </c>
      <c r="U1066" s="334" t="s">
        <v>114</v>
      </c>
      <c r="V1066" s="269"/>
      <c r="W1066" s="269"/>
      <c r="X1066" s="269"/>
      <c r="Y1066" s="269"/>
      <c r="Z1066" s="269"/>
      <c r="AA1066" s="269"/>
      <c r="AB1066" s="269"/>
      <c r="AC1066" s="269"/>
      <c r="AD1066" s="269"/>
      <c r="AE1066" s="269"/>
      <c r="AF1066" s="269"/>
      <c r="AG1066" s="269"/>
      <c r="AH1066" s="269"/>
      <c r="AI1066" s="269"/>
      <c r="AJ1066" s="269"/>
      <c r="AK1066" s="269"/>
      <c r="AL1066" s="269"/>
      <c r="AM1066" s="269"/>
    </row>
    <row r="1067" spans="1:39" ht="36" customHeight="1" x14ac:dyDescent="0.2">
      <c r="A1067" s="277">
        <f>IF(B1067="","",COUNT('Diário 5º PA'!$A$5:$A$2634)+COUNT('Diário 6º PA'!$A$5:$A$2246)+ROW()-4)</f>
        <v>3606</v>
      </c>
      <c r="B1067" s="278">
        <v>44447</v>
      </c>
      <c r="C1067" s="249">
        <v>44378</v>
      </c>
      <c r="D1067" s="250" t="s">
        <v>99</v>
      </c>
      <c r="E1067" s="250" t="s">
        <v>230</v>
      </c>
      <c r="F1067" s="251">
        <v>268.41000000000003</v>
      </c>
      <c r="G1067" s="452" t="s">
        <v>2322</v>
      </c>
      <c r="H1067" s="250" t="s">
        <v>115</v>
      </c>
      <c r="I1067" s="252" t="s">
        <v>465</v>
      </c>
      <c r="J1067" s="250" t="s">
        <v>114</v>
      </c>
      <c r="K1067" s="250" t="s">
        <v>466</v>
      </c>
      <c r="L1067" s="250" t="s">
        <v>467</v>
      </c>
      <c r="M1067" s="277">
        <v>2908</v>
      </c>
      <c r="N1067" s="278">
        <v>44447</v>
      </c>
      <c r="O1067" s="329" t="s">
        <v>67</v>
      </c>
      <c r="P1067" s="330">
        <f t="shared" si="94"/>
        <v>9</v>
      </c>
      <c r="Q1067" s="330">
        <f t="shared" si="95"/>
        <v>7</v>
      </c>
      <c r="R1067" s="331" t="str">
        <f t="shared" si="96"/>
        <v>Gastos_Gerais</v>
      </c>
      <c r="S1067" s="331" t="str">
        <f>IF(D1067="","",IF(OR(D1067=Plano!$A$1,D1067=Plano!$B$1),"entrada","saída"))</f>
        <v>saída</v>
      </c>
      <c r="T1067" s="334" t="s">
        <v>114</v>
      </c>
      <c r="U1067" s="334" t="s">
        <v>114</v>
      </c>
      <c r="V1067" s="269"/>
      <c r="W1067" s="269"/>
      <c r="X1067" s="269"/>
      <c r="Y1067" s="269"/>
      <c r="Z1067" s="269"/>
      <c r="AA1067" s="269"/>
      <c r="AB1067" s="269"/>
      <c r="AC1067" s="269"/>
      <c r="AD1067" s="269"/>
      <c r="AE1067" s="269"/>
      <c r="AF1067" s="269"/>
      <c r="AG1067" s="269"/>
      <c r="AH1067" s="269"/>
      <c r="AI1067" s="269"/>
      <c r="AJ1067" s="269"/>
      <c r="AK1067" s="269"/>
      <c r="AL1067" s="269"/>
      <c r="AM1067" s="269"/>
    </row>
    <row r="1068" spans="1:39" ht="38.25" customHeight="1" x14ac:dyDescent="0.2">
      <c r="A1068" s="277">
        <f>IF(B1068="","",COUNT('Diário 5º PA'!$A$5:$A$2634)+COUNT('Diário 6º PA'!$A$5:$A$2246)+ROW()-4)</f>
        <v>3607</v>
      </c>
      <c r="B1068" s="278">
        <v>44447</v>
      </c>
      <c r="C1068" s="249">
        <v>44378</v>
      </c>
      <c r="D1068" s="250" t="s">
        <v>99</v>
      </c>
      <c r="E1068" s="250" t="s">
        <v>266</v>
      </c>
      <c r="F1068" s="251">
        <v>519.5</v>
      </c>
      <c r="G1068" s="452" t="s">
        <v>2323</v>
      </c>
      <c r="H1068" s="250" t="s">
        <v>131</v>
      </c>
      <c r="I1068" s="252" t="s">
        <v>465</v>
      </c>
      <c r="J1068" s="250" t="s">
        <v>114</v>
      </c>
      <c r="K1068" s="250" t="s">
        <v>466</v>
      </c>
      <c r="L1068" s="250" t="s">
        <v>467</v>
      </c>
      <c r="M1068" s="277">
        <v>2909</v>
      </c>
      <c r="N1068" s="278">
        <v>44447</v>
      </c>
      <c r="O1068" s="329" t="s">
        <v>67</v>
      </c>
      <c r="P1068" s="330">
        <f t="shared" si="94"/>
        <v>9</v>
      </c>
      <c r="Q1068" s="330">
        <f t="shared" si="95"/>
        <v>7</v>
      </c>
      <c r="R1068" s="331" t="str">
        <f t="shared" si="96"/>
        <v>Gastos_Gerais</v>
      </c>
      <c r="S1068" s="331" t="str">
        <f>IF(D1068="","",IF(OR(D1068=Plano!$A$1,D1068=Plano!$B$1),"entrada","saída"))</f>
        <v>saída</v>
      </c>
      <c r="T1068" s="334" t="s">
        <v>114</v>
      </c>
      <c r="U1068" s="334" t="s">
        <v>114</v>
      </c>
      <c r="V1068" s="269"/>
      <c r="W1068" s="269"/>
      <c r="X1068" s="269"/>
      <c r="Y1068" s="269"/>
      <c r="Z1068" s="269"/>
      <c r="AA1068" s="269"/>
      <c r="AB1068" s="269"/>
      <c r="AC1068" s="269"/>
      <c r="AD1068" s="269"/>
      <c r="AE1068" s="269"/>
      <c r="AF1068" s="269"/>
      <c r="AG1068" s="269"/>
      <c r="AH1068" s="269"/>
      <c r="AI1068" s="269"/>
      <c r="AJ1068" s="269"/>
      <c r="AK1068" s="269"/>
      <c r="AL1068" s="269"/>
      <c r="AM1068" s="269"/>
    </row>
    <row r="1069" spans="1:39" ht="45" customHeight="1" x14ac:dyDescent="0.2">
      <c r="A1069" s="277">
        <f>IF(B1069="","",COUNT('Diário 5º PA'!$A$5:$A$2634)+COUNT('Diário 6º PA'!$A$5:$A$2246)+ROW()-4)</f>
        <v>3608</v>
      </c>
      <c r="B1069" s="278">
        <v>44447</v>
      </c>
      <c r="C1069" s="259">
        <v>44378</v>
      </c>
      <c r="D1069" s="252" t="s">
        <v>99</v>
      </c>
      <c r="E1069" s="252" t="s">
        <v>336</v>
      </c>
      <c r="F1069" s="257">
        <v>99</v>
      </c>
      <c r="G1069" s="451" t="s">
        <v>2324</v>
      </c>
      <c r="H1069" s="252" t="s">
        <v>118</v>
      </c>
      <c r="I1069" s="250" t="s">
        <v>465</v>
      </c>
      <c r="J1069" s="250" t="s">
        <v>114</v>
      </c>
      <c r="K1069" s="250" t="s">
        <v>466</v>
      </c>
      <c r="L1069" s="250" t="s">
        <v>467</v>
      </c>
      <c r="M1069" s="277">
        <v>2910</v>
      </c>
      <c r="N1069" s="278">
        <v>44447</v>
      </c>
      <c r="O1069" s="329" t="s">
        <v>67</v>
      </c>
      <c r="P1069" s="330">
        <f t="shared" si="94"/>
        <v>9</v>
      </c>
      <c r="Q1069" s="330">
        <f t="shared" si="95"/>
        <v>7</v>
      </c>
      <c r="R1069" s="331" t="str">
        <f t="shared" si="96"/>
        <v>Gastos_Gerais</v>
      </c>
      <c r="S1069" s="331" t="str">
        <f>IF(D1069="","",IF(OR(D1069=Plano!$A$1,D1069=Plano!$B$1),"entrada","saída"))</f>
        <v>saída</v>
      </c>
      <c r="T1069" s="334" t="s">
        <v>114</v>
      </c>
      <c r="U1069" s="334" t="s">
        <v>114</v>
      </c>
      <c r="V1069" s="269"/>
      <c r="W1069" s="269"/>
      <c r="X1069" s="269"/>
      <c r="Y1069" s="269"/>
      <c r="Z1069" s="269"/>
      <c r="AA1069" s="269"/>
      <c r="AB1069" s="269"/>
      <c r="AC1069" s="269"/>
      <c r="AD1069" s="269"/>
      <c r="AE1069" s="269"/>
      <c r="AF1069" s="269"/>
      <c r="AG1069" s="269"/>
      <c r="AH1069" s="269"/>
      <c r="AI1069" s="269"/>
      <c r="AJ1069" s="269"/>
      <c r="AK1069" s="269"/>
      <c r="AL1069" s="269"/>
      <c r="AM1069" s="269"/>
    </row>
    <row r="1070" spans="1:39" ht="45" customHeight="1" x14ac:dyDescent="0.2">
      <c r="A1070" s="277">
        <f>IF(B1070="","",COUNT('Diário 5º PA'!$A$5:$A$2634)+COUNT('Diário 6º PA'!$A$5:$A$2246)+ROW()-4)</f>
        <v>3609</v>
      </c>
      <c r="B1070" s="278">
        <v>44447</v>
      </c>
      <c r="C1070" s="259">
        <v>44378</v>
      </c>
      <c r="D1070" s="252" t="s">
        <v>99</v>
      </c>
      <c r="E1070" s="252" t="s">
        <v>336</v>
      </c>
      <c r="F1070" s="257">
        <v>99</v>
      </c>
      <c r="G1070" s="451" t="s">
        <v>2325</v>
      </c>
      <c r="H1070" s="252" t="s">
        <v>118</v>
      </c>
      <c r="I1070" s="250" t="s">
        <v>465</v>
      </c>
      <c r="J1070" s="250" t="s">
        <v>114</v>
      </c>
      <c r="K1070" s="250" t="s">
        <v>466</v>
      </c>
      <c r="L1070" s="250" t="s">
        <v>467</v>
      </c>
      <c r="M1070" s="277">
        <v>2911</v>
      </c>
      <c r="N1070" s="278">
        <v>44447</v>
      </c>
      <c r="O1070" s="329" t="s">
        <v>67</v>
      </c>
      <c r="P1070" s="330">
        <f t="shared" si="94"/>
        <v>9</v>
      </c>
      <c r="Q1070" s="330">
        <f t="shared" si="95"/>
        <v>7</v>
      </c>
      <c r="R1070" s="331" t="str">
        <f t="shared" si="96"/>
        <v>Gastos_Gerais</v>
      </c>
      <c r="S1070" s="331" t="str">
        <f>IF(D1070="","",IF(OR(D1070=Plano!$A$1,D1070=Plano!$B$1),"entrada","saída"))</f>
        <v>saída</v>
      </c>
      <c r="T1070" s="334" t="s">
        <v>114</v>
      </c>
      <c r="U1070" s="334" t="s">
        <v>114</v>
      </c>
      <c r="V1070" s="269"/>
      <c r="W1070" s="269"/>
      <c r="X1070" s="269"/>
      <c r="Y1070" s="269"/>
      <c r="Z1070" s="269"/>
      <c r="AA1070" s="269"/>
      <c r="AB1070" s="269"/>
      <c r="AC1070" s="269"/>
      <c r="AD1070" s="269"/>
      <c r="AE1070" s="269"/>
      <c r="AF1070" s="269"/>
      <c r="AG1070" s="269"/>
      <c r="AH1070" s="269"/>
      <c r="AI1070" s="269"/>
      <c r="AJ1070" s="269"/>
      <c r="AK1070" s="269"/>
      <c r="AL1070" s="269"/>
      <c r="AM1070" s="269"/>
    </row>
    <row r="1071" spans="1:39" ht="45" customHeight="1" x14ac:dyDescent="0.2">
      <c r="A1071" s="277">
        <f>IF(B1071="","",COUNT('Diário 5º PA'!$A$5:$A$2634)+COUNT('Diário 6º PA'!$A$5:$A$2246)+ROW()-4)</f>
        <v>3610</v>
      </c>
      <c r="B1071" s="278">
        <v>44447</v>
      </c>
      <c r="C1071" s="259">
        <v>44378</v>
      </c>
      <c r="D1071" s="252" t="s">
        <v>99</v>
      </c>
      <c r="E1071" s="252" t="s">
        <v>336</v>
      </c>
      <c r="F1071" s="257">
        <v>99</v>
      </c>
      <c r="G1071" s="451" t="s">
        <v>2326</v>
      </c>
      <c r="H1071" s="252" t="s">
        <v>118</v>
      </c>
      <c r="I1071" s="250" t="s">
        <v>465</v>
      </c>
      <c r="J1071" s="250" t="s">
        <v>114</v>
      </c>
      <c r="K1071" s="250" t="s">
        <v>466</v>
      </c>
      <c r="L1071" s="250" t="s">
        <v>467</v>
      </c>
      <c r="M1071" s="277">
        <v>2912</v>
      </c>
      <c r="N1071" s="278">
        <v>44447</v>
      </c>
      <c r="O1071" s="329" t="s">
        <v>67</v>
      </c>
      <c r="P1071" s="330">
        <f t="shared" ref="P1071:P1166" si="100">IF(B1071=0,0,IF(YEAR(B1071)=$Q$1,MONTH(B1071)-$P$1+1,(YEAR(B1071)-$Q$1)*12-$P$1+1+MONTH(B1071)))</f>
        <v>9</v>
      </c>
      <c r="Q1071" s="330">
        <f t="shared" ref="Q1071:Q1166" si="101">IF(C1071=0,0,IF(YEAR(C1071)=$Q$1,MONTH(C1071)-$P$1+1,(YEAR(C1071)-$Q$1)*12-$P$1+1+MONTH(C1071)))</f>
        <v>7</v>
      </c>
      <c r="R1071" s="331" t="str">
        <f t="shared" ref="R1071:R1166" si="102">SUBSTITUTE(D1071," ","_")</f>
        <v>Gastos_Gerais</v>
      </c>
      <c r="S1071" s="331" t="str">
        <f>IF(D1071="","",IF(OR(D1071=Plano!$A$1,D1071=Plano!$B$1),"entrada","saída"))</f>
        <v>saída</v>
      </c>
      <c r="T1071" s="334" t="s">
        <v>114</v>
      </c>
      <c r="U1071" s="334" t="s">
        <v>114</v>
      </c>
      <c r="V1071" s="269"/>
      <c r="W1071" s="269"/>
      <c r="X1071" s="269"/>
      <c r="Y1071" s="269"/>
      <c r="Z1071" s="269"/>
      <c r="AA1071" s="269"/>
      <c r="AB1071" s="269"/>
      <c r="AC1071" s="269"/>
      <c r="AD1071" s="269"/>
      <c r="AE1071" s="269"/>
      <c r="AF1071" s="269"/>
      <c r="AG1071" s="269"/>
      <c r="AH1071" s="269"/>
      <c r="AI1071" s="269"/>
      <c r="AJ1071" s="269"/>
      <c r="AK1071" s="269"/>
      <c r="AL1071" s="269"/>
      <c r="AM1071" s="269"/>
    </row>
    <row r="1072" spans="1:39" ht="45" customHeight="1" x14ac:dyDescent="0.2">
      <c r="A1072" s="277">
        <f>IF(B1072="","",COUNT('Diário 5º PA'!$A$5:$A$2634)+COUNT('Diário 6º PA'!$A$5:$A$2246)+ROW()-4)</f>
        <v>3611</v>
      </c>
      <c r="B1072" s="278">
        <v>44447</v>
      </c>
      <c r="C1072" s="259">
        <v>44378</v>
      </c>
      <c r="D1072" s="252" t="s">
        <v>99</v>
      </c>
      <c r="E1072" s="252" t="s">
        <v>336</v>
      </c>
      <c r="F1072" s="257">
        <v>99</v>
      </c>
      <c r="G1072" s="451" t="s">
        <v>2327</v>
      </c>
      <c r="H1072" s="252" t="s">
        <v>118</v>
      </c>
      <c r="I1072" s="250" t="s">
        <v>465</v>
      </c>
      <c r="J1072" s="250" t="s">
        <v>114</v>
      </c>
      <c r="K1072" s="250" t="s">
        <v>466</v>
      </c>
      <c r="L1072" s="250" t="s">
        <v>467</v>
      </c>
      <c r="M1072" s="277">
        <v>2913</v>
      </c>
      <c r="N1072" s="278">
        <v>44447</v>
      </c>
      <c r="O1072" s="329" t="s">
        <v>67</v>
      </c>
      <c r="P1072" s="330">
        <f t="shared" si="100"/>
        <v>9</v>
      </c>
      <c r="Q1072" s="330">
        <f t="shared" si="101"/>
        <v>7</v>
      </c>
      <c r="R1072" s="331" t="str">
        <f t="shared" si="102"/>
        <v>Gastos_Gerais</v>
      </c>
      <c r="S1072" s="331" t="str">
        <f>IF(D1072="","",IF(OR(D1072=Plano!$A$1,D1072=Plano!$B$1),"entrada","saída"))</f>
        <v>saída</v>
      </c>
      <c r="T1072" s="334" t="s">
        <v>114</v>
      </c>
      <c r="U1072" s="334" t="s">
        <v>114</v>
      </c>
      <c r="V1072" s="269"/>
      <c r="W1072" s="269"/>
      <c r="X1072" s="269"/>
      <c r="Y1072" s="269"/>
      <c r="Z1072" s="269"/>
      <c r="AA1072" s="269"/>
      <c r="AB1072" s="269"/>
      <c r="AC1072" s="269"/>
      <c r="AD1072" s="269"/>
      <c r="AE1072" s="269"/>
      <c r="AF1072" s="269"/>
      <c r="AG1072" s="269"/>
      <c r="AH1072" s="269"/>
      <c r="AI1072" s="269"/>
      <c r="AJ1072" s="269"/>
      <c r="AK1072" s="269"/>
      <c r="AL1072" s="269"/>
      <c r="AM1072" s="269"/>
    </row>
    <row r="1073" spans="1:39" ht="45" customHeight="1" x14ac:dyDescent="0.2">
      <c r="A1073" s="277">
        <f>IF(B1073="","",COUNT('Diário 5º PA'!$A$5:$A$2634)+COUNT('Diário 6º PA'!$A$5:$A$2246)+ROW()-4)</f>
        <v>3612</v>
      </c>
      <c r="B1073" s="278">
        <v>44447</v>
      </c>
      <c r="C1073" s="259">
        <v>44378</v>
      </c>
      <c r="D1073" s="252" t="s">
        <v>99</v>
      </c>
      <c r="E1073" s="252" t="s">
        <v>336</v>
      </c>
      <c r="F1073" s="257">
        <v>99</v>
      </c>
      <c r="G1073" s="451" t="s">
        <v>2328</v>
      </c>
      <c r="H1073" s="252" t="s">
        <v>118</v>
      </c>
      <c r="I1073" s="250" t="s">
        <v>465</v>
      </c>
      <c r="J1073" s="250" t="s">
        <v>114</v>
      </c>
      <c r="K1073" s="250" t="s">
        <v>466</v>
      </c>
      <c r="L1073" s="250" t="s">
        <v>467</v>
      </c>
      <c r="M1073" s="277">
        <v>2914</v>
      </c>
      <c r="N1073" s="278">
        <v>44447</v>
      </c>
      <c r="O1073" s="329" t="s">
        <v>67</v>
      </c>
      <c r="P1073" s="330">
        <f t="shared" si="100"/>
        <v>9</v>
      </c>
      <c r="Q1073" s="330">
        <f t="shared" si="101"/>
        <v>7</v>
      </c>
      <c r="R1073" s="331" t="str">
        <f t="shared" si="102"/>
        <v>Gastos_Gerais</v>
      </c>
      <c r="S1073" s="331" t="str">
        <f>IF(D1073="","",IF(OR(D1073=Plano!$A$1,D1073=Plano!$B$1),"entrada","saída"))</f>
        <v>saída</v>
      </c>
      <c r="T1073" s="334" t="s">
        <v>114</v>
      </c>
      <c r="U1073" s="334" t="s">
        <v>114</v>
      </c>
      <c r="V1073" s="269"/>
      <c r="W1073" s="269"/>
      <c r="X1073" s="269"/>
      <c r="Y1073" s="269"/>
      <c r="Z1073" s="269"/>
      <c r="AA1073" s="269"/>
      <c r="AB1073" s="269"/>
      <c r="AC1073" s="269"/>
      <c r="AD1073" s="269"/>
      <c r="AE1073" s="269"/>
      <c r="AF1073" s="269"/>
      <c r="AG1073" s="269"/>
      <c r="AH1073" s="269"/>
      <c r="AI1073" s="269"/>
      <c r="AJ1073" s="269"/>
      <c r="AK1073" s="269"/>
      <c r="AL1073" s="269"/>
      <c r="AM1073" s="269"/>
    </row>
    <row r="1074" spans="1:39" ht="45" customHeight="1" x14ac:dyDescent="0.2">
      <c r="A1074" s="277">
        <f>IF(B1074="","",COUNT('Diário 5º PA'!$A$5:$A$2634)+COUNT('Diário 6º PA'!$A$5:$A$2246)+ROW()-4)</f>
        <v>3613</v>
      </c>
      <c r="B1074" s="278">
        <v>44447</v>
      </c>
      <c r="C1074" s="259">
        <v>44378</v>
      </c>
      <c r="D1074" s="252" t="s">
        <v>99</v>
      </c>
      <c r="E1074" s="252" t="s">
        <v>336</v>
      </c>
      <c r="F1074" s="257">
        <v>99</v>
      </c>
      <c r="G1074" s="451" t="s">
        <v>2329</v>
      </c>
      <c r="H1074" s="252" t="s">
        <v>118</v>
      </c>
      <c r="I1074" s="250" t="s">
        <v>465</v>
      </c>
      <c r="J1074" s="250" t="s">
        <v>114</v>
      </c>
      <c r="K1074" s="250" t="s">
        <v>466</v>
      </c>
      <c r="L1074" s="250" t="s">
        <v>467</v>
      </c>
      <c r="M1074" s="277">
        <v>2915</v>
      </c>
      <c r="N1074" s="278">
        <v>44447</v>
      </c>
      <c r="O1074" s="329" t="s">
        <v>67</v>
      </c>
      <c r="P1074" s="330">
        <f t="shared" si="100"/>
        <v>9</v>
      </c>
      <c r="Q1074" s="330">
        <f t="shared" si="101"/>
        <v>7</v>
      </c>
      <c r="R1074" s="331" t="str">
        <f t="shared" si="102"/>
        <v>Gastos_Gerais</v>
      </c>
      <c r="S1074" s="331" t="str">
        <f>IF(D1074="","",IF(OR(D1074=Plano!$A$1,D1074=Plano!$B$1),"entrada","saída"))</f>
        <v>saída</v>
      </c>
      <c r="T1074" s="334" t="s">
        <v>114</v>
      </c>
      <c r="U1074" s="334" t="s">
        <v>114</v>
      </c>
      <c r="V1074" s="269"/>
      <c r="W1074" s="269"/>
      <c r="X1074" s="269"/>
      <c r="Y1074" s="269"/>
      <c r="Z1074" s="269"/>
      <c r="AA1074" s="269"/>
      <c r="AB1074" s="269"/>
      <c r="AC1074" s="269"/>
      <c r="AD1074" s="269"/>
      <c r="AE1074" s="269"/>
      <c r="AF1074" s="269"/>
      <c r="AG1074" s="269"/>
      <c r="AH1074" s="269"/>
      <c r="AI1074" s="269"/>
      <c r="AJ1074" s="269"/>
      <c r="AK1074" s="269"/>
      <c r="AL1074" s="269"/>
      <c r="AM1074" s="269"/>
    </row>
    <row r="1075" spans="1:39" ht="45" customHeight="1" x14ac:dyDescent="0.2">
      <c r="A1075" s="277">
        <f>IF(B1075="","",COUNT('Diário 5º PA'!$A$5:$A$2634)+COUNT('Diário 6º PA'!$A$5:$A$2246)+ROW()-4)</f>
        <v>3614</v>
      </c>
      <c r="B1075" s="278">
        <v>44447</v>
      </c>
      <c r="C1075" s="259">
        <v>44378</v>
      </c>
      <c r="D1075" s="252" t="s">
        <v>99</v>
      </c>
      <c r="E1075" s="252" t="s">
        <v>336</v>
      </c>
      <c r="F1075" s="257">
        <v>99</v>
      </c>
      <c r="G1075" s="451" t="s">
        <v>2330</v>
      </c>
      <c r="H1075" s="252" t="s">
        <v>118</v>
      </c>
      <c r="I1075" s="250" t="s">
        <v>465</v>
      </c>
      <c r="J1075" s="250" t="s">
        <v>114</v>
      </c>
      <c r="K1075" s="250" t="s">
        <v>466</v>
      </c>
      <c r="L1075" s="250" t="s">
        <v>467</v>
      </c>
      <c r="M1075" s="277">
        <v>2916</v>
      </c>
      <c r="N1075" s="278">
        <v>44447</v>
      </c>
      <c r="O1075" s="329" t="s">
        <v>67</v>
      </c>
      <c r="P1075" s="330">
        <f t="shared" si="100"/>
        <v>9</v>
      </c>
      <c r="Q1075" s="330">
        <f t="shared" si="101"/>
        <v>7</v>
      </c>
      <c r="R1075" s="331" t="str">
        <f t="shared" si="102"/>
        <v>Gastos_Gerais</v>
      </c>
      <c r="S1075" s="331" t="str">
        <f>IF(D1075="","",IF(OR(D1075=Plano!$A$1,D1075=Plano!$B$1),"entrada","saída"))</f>
        <v>saída</v>
      </c>
      <c r="T1075" s="334" t="s">
        <v>114</v>
      </c>
      <c r="U1075" s="334" t="s">
        <v>114</v>
      </c>
      <c r="V1075" s="269"/>
      <c r="W1075" s="269"/>
      <c r="X1075" s="269"/>
      <c r="Y1075" s="269"/>
      <c r="Z1075" s="269"/>
      <c r="AA1075" s="269"/>
      <c r="AB1075" s="269"/>
      <c r="AC1075" s="269"/>
      <c r="AD1075" s="269"/>
      <c r="AE1075" s="269"/>
      <c r="AF1075" s="269"/>
      <c r="AG1075" s="269"/>
      <c r="AH1075" s="269"/>
      <c r="AI1075" s="269"/>
      <c r="AJ1075" s="269"/>
      <c r="AK1075" s="269"/>
      <c r="AL1075" s="269"/>
      <c r="AM1075" s="269"/>
    </row>
    <row r="1076" spans="1:39" ht="45" customHeight="1" x14ac:dyDescent="0.2">
      <c r="A1076" s="277">
        <f>IF(B1076="","",COUNT('Diário 5º PA'!$A$5:$A$2634)+COUNT('Diário 6º PA'!$A$5:$A$2246)+ROW()-4)</f>
        <v>3615</v>
      </c>
      <c r="B1076" s="278">
        <v>44447</v>
      </c>
      <c r="C1076" s="259">
        <v>44378</v>
      </c>
      <c r="D1076" s="252" t="s">
        <v>99</v>
      </c>
      <c r="E1076" s="252" t="s">
        <v>336</v>
      </c>
      <c r="F1076" s="257">
        <v>99</v>
      </c>
      <c r="G1076" s="451" t="s">
        <v>2331</v>
      </c>
      <c r="H1076" s="252" t="s">
        <v>118</v>
      </c>
      <c r="I1076" s="250" t="s">
        <v>465</v>
      </c>
      <c r="J1076" s="250" t="s">
        <v>114</v>
      </c>
      <c r="K1076" s="250" t="s">
        <v>466</v>
      </c>
      <c r="L1076" s="250" t="s">
        <v>467</v>
      </c>
      <c r="M1076" s="277">
        <v>2917</v>
      </c>
      <c r="N1076" s="278">
        <v>44447</v>
      </c>
      <c r="O1076" s="329" t="s">
        <v>67</v>
      </c>
      <c r="P1076" s="330">
        <f t="shared" si="100"/>
        <v>9</v>
      </c>
      <c r="Q1076" s="330">
        <f t="shared" si="101"/>
        <v>7</v>
      </c>
      <c r="R1076" s="331" t="str">
        <f t="shared" si="102"/>
        <v>Gastos_Gerais</v>
      </c>
      <c r="S1076" s="331" t="str">
        <f>IF(D1076="","",IF(OR(D1076=Plano!$A$1,D1076=Plano!$B$1),"entrada","saída"))</f>
        <v>saída</v>
      </c>
      <c r="T1076" s="334" t="s">
        <v>114</v>
      </c>
      <c r="U1076" s="334" t="s">
        <v>114</v>
      </c>
      <c r="V1076" s="269"/>
      <c r="W1076" s="269"/>
      <c r="X1076" s="269"/>
      <c r="Y1076" s="269"/>
      <c r="Z1076" s="269"/>
      <c r="AA1076" s="269"/>
      <c r="AB1076" s="269"/>
      <c r="AC1076" s="269"/>
      <c r="AD1076" s="269"/>
      <c r="AE1076" s="269"/>
      <c r="AF1076" s="269"/>
      <c r="AG1076" s="269"/>
      <c r="AH1076" s="269"/>
      <c r="AI1076" s="269"/>
      <c r="AJ1076" s="269"/>
      <c r="AK1076" s="269"/>
      <c r="AL1076" s="269"/>
      <c r="AM1076" s="269"/>
    </row>
    <row r="1077" spans="1:39" ht="45" customHeight="1" x14ac:dyDescent="0.2">
      <c r="A1077" s="277">
        <f>IF(B1077="","",COUNT('Diário 5º PA'!$A$5:$A$2634)+COUNT('Diário 6º PA'!$A$5:$A$2246)+ROW()-4)</f>
        <v>3616</v>
      </c>
      <c r="B1077" s="278">
        <v>44447</v>
      </c>
      <c r="C1077" s="259">
        <v>44378</v>
      </c>
      <c r="D1077" s="252" t="s">
        <v>99</v>
      </c>
      <c r="E1077" s="252" t="s">
        <v>336</v>
      </c>
      <c r="F1077" s="257">
        <v>99</v>
      </c>
      <c r="G1077" s="451" t="s">
        <v>2332</v>
      </c>
      <c r="H1077" s="252" t="s">
        <v>118</v>
      </c>
      <c r="I1077" s="250" t="s">
        <v>465</v>
      </c>
      <c r="J1077" s="250" t="s">
        <v>114</v>
      </c>
      <c r="K1077" s="250" t="s">
        <v>466</v>
      </c>
      <c r="L1077" s="250" t="s">
        <v>467</v>
      </c>
      <c r="M1077" s="277">
        <v>2918</v>
      </c>
      <c r="N1077" s="278">
        <v>44447</v>
      </c>
      <c r="O1077" s="329" t="s">
        <v>67</v>
      </c>
      <c r="P1077" s="330">
        <f t="shared" si="100"/>
        <v>9</v>
      </c>
      <c r="Q1077" s="330">
        <f t="shared" si="101"/>
        <v>7</v>
      </c>
      <c r="R1077" s="331" t="str">
        <f t="shared" si="102"/>
        <v>Gastos_Gerais</v>
      </c>
      <c r="S1077" s="331" t="str">
        <f>IF(D1077="","",IF(OR(D1077=Plano!$A$1,D1077=Plano!$B$1),"entrada","saída"))</f>
        <v>saída</v>
      </c>
      <c r="T1077" s="334" t="s">
        <v>114</v>
      </c>
      <c r="U1077" s="334" t="s">
        <v>114</v>
      </c>
      <c r="V1077" s="269"/>
      <c r="W1077" s="269"/>
      <c r="X1077" s="269"/>
      <c r="Y1077" s="269"/>
      <c r="Z1077" s="269"/>
      <c r="AA1077" s="269"/>
      <c r="AB1077" s="269"/>
      <c r="AC1077" s="269"/>
      <c r="AD1077" s="269"/>
      <c r="AE1077" s="269"/>
      <c r="AF1077" s="269"/>
      <c r="AG1077" s="269"/>
      <c r="AH1077" s="269"/>
      <c r="AI1077" s="269"/>
      <c r="AJ1077" s="269"/>
      <c r="AK1077" s="269"/>
      <c r="AL1077" s="269"/>
      <c r="AM1077" s="269"/>
    </row>
    <row r="1078" spans="1:39" ht="45" customHeight="1" x14ac:dyDescent="0.2">
      <c r="A1078" s="277">
        <f>IF(B1078="","",COUNT('Diário 5º PA'!$A$5:$A$2634)+COUNT('Diário 6º PA'!$A$5:$A$2246)+ROW()-4)</f>
        <v>3617</v>
      </c>
      <c r="B1078" s="278">
        <v>44447</v>
      </c>
      <c r="C1078" s="259">
        <v>44378</v>
      </c>
      <c r="D1078" s="252" t="s">
        <v>99</v>
      </c>
      <c r="E1078" s="252" t="s">
        <v>336</v>
      </c>
      <c r="F1078" s="257">
        <v>99</v>
      </c>
      <c r="G1078" s="451" t="s">
        <v>2333</v>
      </c>
      <c r="H1078" s="252" t="s">
        <v>118</v>
      </c>
      <c r="I1078" s="250" t="s">
        <v>465</v>
      </c>
      <c r="J1078" s="250" t="s">
        <v>114</v>
      </c>
      <c r="K1078" s="250" t="s">
        <v>466</v>
      </c>
      <c r="L1078" s="250" t="s">
        <v>467</v>
      </c>
      <c r="M1078" s="277">
        <v>2919</v>
      </c>
      <c r="N1078" s="278">
        <v>44447</v>
      </c>
      <c r="O1078" s="329" t="s">
        <v>67</v>
      </c>
      <c r="P1078" s="330">
        <f t="shared" si="100"/>
        <v>9</v>
      </c>
      <c r="Q1078" s="330">
        <f t="shared" si="101"/>
        <v>7</v>
      </c>
      <c r="R1078" s="331" t="str">
        <f t="shared" si="102"/>
        <v>Gastos_Gerais</v>
      </c>
      <c r="S1078" s="331" t="str">
        <f>IF(D1078="","",IF(OR(D1078=Plano!$A$1,D1078=Plano!$B$1),"entrada","saída"))</f>
        <v>saída</v>
      </c>
      <c r="T1078" s="334" t="s">
        <v>114</v>
      </c>
      <c r="U1078" s="334" t="s">
        <v>114</v>
      </c>
      <c r="V1078" s="269"/>
      <c r="W1078" s="269"/>
      <c r="X1078" s="269"/>
      <c r="Y1078" s="269"/>
      <c r="Z1078" s="269"/>
      <c r="AA1078" s="269"/>
      <c r="AB1078" s="269"/>
      <c r="AC1078" s="269"/>
      <c r="AD1078" s="269"/>
      <c r="AE1078" s="269"/>
      <c r="AF1078" s="269"/>
      <c r="AG1078" s="269"/>
      <c r="AH1078" s="269"/>
      <c r="AI1078" s="269"/>
      <c r="AJ1078" s="269"/>
      <c r="AK1078" s="269"/>
      <c r="AL1078" s="269"/>
      <c r="AM1078" s="269"/>
    </row>
    <row r="1079" spans="1:39" ht="48.75" customHeight="1" x14ac:dyDescent="0.2">
      <c r="A1079" s="277">
        <f>IF(B1079="","",COUNT('Diário 5º PA'!$A$5:$A$2634)+COUNT('Diário 6º PA'!$A$5:$A$2246)+ROW()-4)</f>
        <v>3618</v>
      </c>
      <c r="B1079" s="278">
        <v>44447</v>
      </c>
      <c r="C1079" s="249">
        <v>44378</v>
      </c>
      <c r="D1079" s="250" t="s">
        <v>99</v>
      </c>
      <c r="E1079" s="250" t="s">
        <v>336</v>
      </c>
      <c r="F1079" s="251">
        <v>69</v>
      </c>
      <c r="G1079" s="452" t="s">
        <v>2334</v>
      </c>
      <c r="H1079" s="250" t="s">
        <v>116</v>
      </c>
      <c r="I1079" s="250" t="s">
        <v>465</v>
      </c>
      <c r="J1079" s="250" t="s">
        <v>114</v>
      </c>
      <c r="K1079" s="250" t="s">
        <v>466</v>
      </c>
      <c r="L1079" s="250" t="s">
        <v>467</v>
      </c>
      <c r="M1079" s="277">
        <v>2920</v>
      </c>
      <c r="N1079" s="278">
        <v>44447</v>
      </c>
      <c r="O1079" s="329" t="s">
        <v>67</v>
      </c>
      <c r="P1079" s="330">
        <f t="shared" si="100"/>
        <v>9</v>
      </c>
      <c r="Q1079" s="330">
        <f t="shared" si="101"/>
        <v>7</v>
      </c>
      <c r="R1079" s="331" t="str">
        <f t="shared" si="102"/>
        <v>Gastos_Gerais</v>
      </c>
      <c r="S1079" s="331" t="str">
        <f>IF(D1079="","",IF(OR(D1079=Plano!$A$1,D1079=Plano!$B$1),"entrada","saída"))</f>
        <v>saída</v>
      </c>
      <c r="T1079" s="334" t="s">
        <v>114</v>
      </c>
      <c r="U1079" s="334" t="s">
        <v>114</v>
      </c>
      <c r="V1079" s="269"/>
      <c r="W1079" s="269"/>
      <c r="X1079" s="269"/>
      <c r="Y1079" s="269"/>
      <c r="Z1079" s="269"/>
      <c r="AA1079" s="269"/>
      <c r="AB1079" s="269"/>
      <c r="AC1079" s="269"/>
      <c r="AD1079" s="269"/>
      <c r="AE1079" s="269"/>
      <c r="AF1079" s="269"/>
      <c r="AG1079" s="269"/>
      <c r="AH1079" s="269"/>
      <c r="AI1079" s="269"/>
      <c r="AJ1079" s="269"/>
      <c r="AK1079" s="269"/>
      <c r="AL1079" s="269"/>
      <c r="AM1079" s="269"/>
    </row>
    <row r="1080" spans="1:39" ht="37.5" customHeight="1" x14ac:dyDescent="0.2">
      <c r="A1080" s="277">
        <f>IF(B1080="","",COUNT('Diário 5º PA'!$A$5:$A$2634)+COUNT('Diário 6º PA'!$A$5:$A$2246)+ROW()-4)</f>
        <v>3619</v>
      </c>
      <c r="B1080" s="278">
        <v>44447</v>
      </c>
      <c r="C1080" s="249">
        <v>44378</v>
      </c>
      <c r="D1080" s="250" t="s">
        <v>99</v>
      </c>
      <c r="E1080" s="250" t="s">
        <v>244</v>
      </c>
      <c r="F1080" s="251">
        <v>109.58</v>
      </c>
      <c r="G1080" s="452" t="s">
        <v>2335</v>
      </c>
      <c r="H1080" s="250" t="s">
        <v>128</v>
      </c>
      <c r="I1080" s="252" t="s">
        <v>465</v>
      </c>
      <c r="J1080" s="250" t="s">
        <v>114</v>
      </c>
      <c r="K1080" s="250" t="s">
        <v>466</v>
      </c>
      <c r="L1080" s="250" t="s">
        <v>467</v>
      </c>
      <c r="M1080" s="277">
        <v>2921</v>
      </c>
      <c r="N1080" s="278">
        <v>44447</v>
      </c>
      <c r="O1080" s="329" t="s">
        <v>67</v>
      </c>
      <c r="P1080" s="330">
        <f t="shared" si="100"/>
        <v>9</v>
      </c>
      <c r="Q1080" s="330">
        <f t="shared" si="101"/>
        <v>7</v>
      </c>
      <c r="R1080" s="331" t="str">
        <f t="shared" si="102"/>
        <v>Gastos_Gerais</v>
      </c>
      <c r="S1080" s="331" t="str">
        <f>IF(D1080="","",IF(OR(D1080=Plano!$A$1,D1080=Plano!$B$1),"entrada","saída"))</f>
        <v>saída</v>
      </c>
      <c r="T1080" s="334" t="s">
        <v>114</v>
      </c>
      <c r="U1080" s="334" t="s">
        <v>114</v>
      </c>
      <c r="V1080" s="269"/>
      <c r="W1080" s="269"/>
      <c r="X1080" s="269"/>
      <c r="Y1080" s="269"/>
      <c r="Z1080" s="269"/>
      <c r="AA1080" s="269"/>
      <c r="AB1080" s="269"/>
      <c r="AC1080" s="269"/>
      <c r="AD1080" s="269"/>
      <c r="AE1080" s="269"/>
      <c r="AF1080" s="269"/>
      <c r="AG1080" s="269"/>
      <c r="AH1080" s="269"/>
      <c r="AI1080" s="269"/>
      <c r="AJ1080" s="269"/>
      <c r="AK1080" s="269"/>
      <c r="AL1080" s="269"/>
      <c r="AM1080" s="269"/>
    </row>
    <row r="1081" spans="1:39" ht="45.75" customHeight="1" x14ac:dyDescent="0.2">
      <c r="A1081" s="277">
        <f>IF(B1081="","",COUNT('Diário 5º PA'!$A$5:$A$2634)+COUNT('Diário 6º PA'!$A$5:$A$2246)+ROW()-4)</f>
        <v>3620</v>
      </c>
      <c r="B1081" s="278">
        <v>44447</v>
      </c>
      <c r="C1081" s="249">
        <v>44409</v>
      </c>
      <c r="D1081" s="250" t="s">
        <v>99</v>
      </c>
      <c r="E1081" s="250" t="s">
        <v>364</v>
      </c>
      <c r="F1081" s="251">
        <v>74.900000000000006</v>
      </c>
      <c r="G1081" s="452" t="s">
        <v>2336</v>
      </c>
      <c r="H1081" s="250" t="s">
        <v>116</v>
      </c>
      <c r="I1081" s="250" t="s">
        <v>465</v>
      </c>
      <c r="J1081" s="250" t="s">
        <v>114</v>
      </c>
      <c r="K1081" s="250" t="s">
        <v>466</v>
      </c>
      <c r="L1081" s="250" t="s">
        <v>467</v>
      </c>
      <c r="M1081" s="277">
        <v>2922</v>
      </c>
      <c r="N1081" s="278">
        <v>44447</v>
      </c>
      <c r="O1081" s="329" t="s">
        <v>67</v>
      </c>
      <c r="P1081" s="330">
        <f t="shared" si="100"/>
        <v>9</v>
      </c>
      <c r="Q1081" s="330">
        <f t="shared" si="101"/>
        <v>8</v>
      </c>
      <c r="R1081" s="331" t="str">
        <f t="shared" si="102"/>
        <v>Gastos_Gerais</v>
      </c>
      <c r="S1081" s="331" t="str">
        <f>IF(D1081="","",IF(OR(D1081=Plano!$A$1,D1081=Plano!$B$1),"entrada","saída"))</f>
        <v>saída</v>
      </c>
      <c r="T1081" s="334" t="s">
        <v>114</v>
      </c>
      <c r="U1081" s="334" t="s">
        <v>114</v>
      </c>
      <c r="V1081" s="269"/>
      <c r="W1081" s="269"/>
      <c r="X1081" s="269"/>
      <c r="Y1081" s="269"/>
      <c r="Z1081" s="269"/>
      <c r="AA1081" s="269"/>
      <c r="AB1081" s="269"/>
      <c r="AC1081" s="269"/>
      <c r="AD1081" s="269"/>
      <c r="AE1081" s="269"/>
      <c r="AF1081" s="269"/>
      <c r="AG1081" s="269"/>
      <c r="AH1081" s="269"/>
      <c r="AI1081" s="269"/>
      <c r="AJ1081" s="269"/>
      <c r="AK1081" s="269"/>
      <c r="AL1081" s="269"/>
      <c r="AM1081" s="269"/>
    </row>
    <row r="1082" spans="1:39" ht="40.5" customHeight="1" x14ac:dyDescent="0.2">
      <c r="A1082" s="277">
        <f>IF(B1082="","",COUNT('Diário 5º PA'!$A$5:$A$2634)+COUNT('Diário 6º PA'!$A$5:$A$2246)+ROW()-4)</f>
        <v>3621</v>
      </c>
      <c r="B1082" s="278">
        <v>44447</v>
      </c>
      <c r="C1082" s="249">
        <v>44409</v>
      </c>
      <c r="D1082" s="250" t="s">
        <v>99</v>
      </c>
      <c r="E1082" s="250" t="s">
        <v>382</v>
      </c>
      <c r="F1082" s="251">
        <v>10.87</v>
      </c>
      <c r="G1082" s="452" t="s">
        <v>2337</v>
      </c>
      <c r="H1082" s="250" t="s">
        <v>131</v>
      </c>
      <c r="I1082" s="250" t="s">
        <v>465</v>
      </c>
      <c r="J1082" s="250" t="s">
        <v>114</v>
      </c>
      <c r="K1082" s="250" t="s">
        <v>466</v>
      </c>
      <c r="L1082" s="250" t="s">
        <v>467</v>
      </c>
      <c r="M1082" s="277">
        <v>2923</v>
      </c>
      <c r="N1082" s="278">
        <v>44447</v>
      </c>
      <c r="O1082" s="329" t="s">
        <v>67</v>
      </c>
      <c r="P1082" s="330">
        <f t="shared" si="100"/>
        <v>9</v>
      </c>
      <c r="Q1082" s="330">
        <f t="shared" si="101"/>
        <v>8</v>
      </c>
      <c r="R1082" s="331" t="str">
        <f t="shared" si="102"/>
        <v>Gastos_Gerais</v>
      </c>
      <c r="S1082" s="331" t="str">
        <f>IF(D1082="","",IF(OR(D1082=Plano!$A$1,D1082=Plano!$B$1),"entrada","saída"))</f>
        <v>saída</v>
      </c>
      <c r="T1082" s="334" t="s">
        <v>114</v>
      </c>
      <c r="U1082" s="334" t="s">
        <v>114</v>
      </c>
      <c r="V1082" s="269"/>
      <c r="W1082" s="269"/>
      <c r="X1082" s="269"/>
      <c r="Y1082" s="269"/>
      <c r="Z1082" s="269"/>
      <c r="AA1082" s="269"/>
      <c r="AB1082" s="269"/>
      <c r="AC1082" s="269"/>
      <c r="AD1082" s="269"/>
      <c r="AE1082" s="269"/>
      <c r="AF1082" s="269"/>
      <c r="AG1082" s="269"/>
      <c r="AH1082" s="269"/>
      <c r="AI1082" s="269"/>
      <c r="AJ1082" s="269"/>
      <c r="AK1082" s="269"/>
      <c r="AL1082" s="269"/>
      <c r="AM1082" s="269"/>
    </row>
    <row r="1083" spans="1:39" ht="42" customHeight="1" x14ac:dyDescent="0.2">
      <c r="A1083" s="277">
        <f>IF(B1083="","",COUNT('Diário 5º PA'!$A$5:$A$2634)+COUNT('Diário 6º PA'!$A$5:$A$2246)+ROW()-4)</f>
        <v>3622</v>
      </c>
      <c r="B1083" s="278">
        <v>44447</v>
      </c>
      <c r="C1083" s="249">
        <v>44409</v>
      </c>
      <c r="D1083" s="252" t="s">
        <v>99</v>
      </c>
      <c r="E1083" s="252" t="s">
        <v>266</v>
      </c>
      <c r="F1083" s="258">
        <v>9.2799999999999994</v>
      </c>
      <c r="G1083" s="451" t="s">
        <v>2338</v>
      </c>
      <c r="H1083" s="252" t="s">
        <v>115</v>
      </c>
      <c r="I1083" s="252" t="s">
        <v>465</v>
      </c>
      <c r="J1083" s="250" t="s">
        <v>114</v>
      </c>
      <c r="K1083" s="250" t="s">
        <v>466</v>
      </c>
      <c r="L1083" s="250" t="s">
        <v>467</v>
      </c>
      <c r="M1083" s="277">
        <v>2924</v>
      </c>
      <c r="N1083" s="278">
        <v>44447</v>
      </c>
      <c r="O1083" s="329" t="s">
        <v>67</v>
      </c>
      <c r="P1083" s="330">
        <f t="shared" si="100"/>
        <v>9</v>
      </c>
      <c r="Q1083" s="330">
        <f t="shared" si="101"/>
        <v>8</v>
      </c>
      <c r="R1083" s="331" t="str">
        <f t="shared" si="102"/>
        <v>Gastos_Gerais</v>
      </c>
      <c r="S1083" s="331" t="str">
        <f>IF(D1083="","",IF(OR(D1083=Plano!$A$1,D1083=Plano!$B$1),"entrada","saída"))</f>
        <v>saída</v>
      </c>
      <c r="T1083" s="332" t="s">
        <v>114</v>
      </c>
      <c r="U1083" s="332" t="s">
        <v>114</v>
      </c>
      <c r="V1083" s="269"/>
      <c r="W1083" s="269"/>
      <c r="X1083" s="269"/>
      <c r="Y1083" s="269"/>
      <c r="Z1083" s="269"/>
      <c r="AA1083" s="269"/>
      <c r="AB1083" s="269"/>
      <c r="AC1083" s="269"/>
      <c r="AD1083" s="269"/>
      <c r="AE1083" s="269"/>
      <c r="AF1083" s="269"/>
      <c r="AG1083" s="269"/>
      <c r="AH1083" s="269"/>
      <c r="AI1083" s="269"/>
      <c r="AJ1083" s="269"/>
      <c r="AK1083" s="269"/>
      <c r="AL1083" s="269"/>
      <c r="AM1083" s="269"/>
    </row>
    <row r="1084" spans="1:39" ht="42.75" customHeight="1" x14ac:dyDescent="0.2">
      <c r="A1084" s="277">
        <f>IF(B1084="","",COUNT('Diário 5º PA'!$A$5:$A$2634)+COUNT('Diário 6º PA'!$A$5:$A$2246)+ROW()-4)</f>
        <v>3623</v>
      </c>
      <c r="B1084" s="278">
        <v>44447</v>
      </c>
      <c r="C1084" s="249">
        <v>44409</v>
      </c>
      <c r="D1084" s="250" t="s">
        <v>99</v>
      </c>
      <c r="E1084" s="250" t="s">
        <v>382</v>
      </c>
      <c r="F1084" s="258">
        <v>47.87</v>
      </c>
      <c r="G1084" s="450" t="s">
        <v>2339</v>
      </c>
      <c r="H1084" s="250" t="s">
        <v>125</v>
      </c>
      <c r="I1084" s="252" t="s">
        <v>465</v>
      </c>
      <c r="J1084" s="250" t="s">
        <v>114</v>
      </c>
      <c r="K1084" s="250" t="s">
        <v>466</v>
      </c>
      <c r="L1084" s="250" t="s">
        <v>467</v>
      </c>
      <c r="M1084" s="277">
        <v>2925</v>
      </c>
      <c r="N1084" s="278">
        <v>44447</v>
      </c>
      <c r="O1084" s="329" t="s">
        <v>67</v>
      </c>
      <c r="P1084" s="330">
        <f t="shared" si="100"/>
        <v>9</v>
      </c>
      <c r="Q1084" s="330">
        <f t="shared" si="101"/>
        <v>8</v>
      </c>
      <c r="R1084" s="331" t="str">
        <f t="shared" si="102"/>
        <v>Gastos_Gerais</v>
      </c>
      <c r="S1084" s="331" t="str">
        <f>IF(D1084="","",IF(OR(D1084=Plano!$A$1,D1084=Plano!$B$1),"entrada","saída"))</f>
        <v>saída</v>
      </c>
      <c r="T1084" s="332" t="s">
        <v>114</v>
      </c>
      <c r="U1084" s="332" t="s">
        <v>114</v>
      </c>
      <c r="V1084" s="269"/>
      <c r="W1084" s="269"/>
      <c r="X1084" s="269"/>
      <c r="Y1084" s="269"/>
      <c r="Z1084" s="269"/>
      <c r="AA1084" s="269"/>
      <c r="AB1084" s="269"/>
      <c r="AC1084" s="269"/>
      <c r="AD1084" s="269"/>
      <c r="AE1084" s="269"/>
      <c r="AF1084" s="269"/>
      <c r="AG1084" s="269"/>
      <c r="AH1084" s="269"/>
      <c r="AI1084" s="269"/>
      <c r="AJ1084" s="269"/>
      <c r="AK1084" s="269"/>
      <c r="AL1084" s="269"/>
      <c r="AM1084" s="269"/>
    </row>
    <row r="1085" spans="1:39" ht="51.75" customHeight="1" x14ac:dyDescent="0.2">
      <c r="A1085" s="277">
        <f>IF(B1085="","",COUNT('Diário 5º PA'!$A$5:$A$2634)+COUNT('Diário 6º PA'!$A$5:$A$2246)+ROW()-4)</f>
        <v>3624</v>
      </c>
      <c r="B1085" s="278">
        <v>44447</v>
      </c>
      <c r="C1085" s="249">
        <v>44409</v>
      </c>
      <c r="D1085" s="250" t="s">
        <v>88</v>
      </c>
      <c r="E1085" s="250" t="s">
        <v>183</v>
      </c>
      <c r="F1085" s="251">
        <v>6.36</v>
      </c>
      <c r="G1085" s="450" t="s">
        <v>2340</v>
      </c>
      <c r="H1085" s="252" t="s">
        <v>114</v>
      </c>
      <c r="I1085" s="250" t="s">
        <v>465</v>
      </c>
      <c r="J1085" s="250" t="s">
        <v>114</v>
      </c>
      <c r="K1085" s="250" t="s">
        <v>466</v>
      </c>
      <c r="L1085" s="250" t="s">
        <v>467</v>
      </c>
      <c r="M1085" s="277">
        <v>2926</v>
      </c>
      <c r="N1085" s="278">
        <v>44447</v>
      </c>
      <c r="O1085" s="329" t="s">
        <v>67</v>
      </c>
      <c r="P1085" s="330">
        <f t="shared" si="100"/>
        <v>9</v>
      </c>
      <c r="Q1085" s="330">
        <f t="shared" si="101"/>
        <v>8</v>
      </c>
      <c r="R1085" s="331" t="str">
        <f t="shared" si="102"/>
        <v>Gastos_com_Pessoal</v>
      </c>
      <c r="S1085" s="331" t="str">
        <f>IF(D1085="","",IF(OR(D1085=Plano!$A$1,D1085=Plano!$B$1),"entrada","saída"))</f>
        <v>saída</v>
      </c>
      <c r="T1085" s="332" t="s">
        <v>114</v>
      </c>
      <c r="U1085" s="332" t="s">
        <v>114</v>
      </c>
      <c r="V1085" s="269"/>
      <c r="W1085" s="269"/>
      <c r="X1085" s="269"/>
      <c r="Y1085" s="269"/>
      <c r="Z1085" s="269"/>
      <c r="AA1085" s="269"/>
      <c r="AB1085" s="269"/>
      <c r="AC1085" s="269"/>
      <c r="AD1085" s="269"/>
      <c r="AE1085" s="269"/>
      <c r="AF1085" s="269"/>
      <c r="AG1085" s="269"/>
      <c r="AH1085" s="269"/>
      <c r="AI1085" s="269"/>
      <c r="AJ1085" s="269"/>
      <c r="AK1085" s="269"/>
      <c r="AL1085" s="269"/>
      <c r="AM1085" s="269"/>
    </row>
    <row r="1086" spans="1:39" ht="41.25" customHeight="1" x14ac:dyDescent="0.2">
      <c r="A1086" s="277">
        <f>IF(B1086="","",COUNT('Diário 5º PA'!$A$5:$A$2634)+COUNT('Diário 6º PA'!$A$5:$A$2246)+ROW()-4)</f>
        <v>3625</v>
      </c>
      <c r="B1086" s="278">
        <v>44447</v>
      </c>
      <c r="C1086" s="249">
        <v>44409</v>
      </c>
      <c r="D1086" s="250" t="s">
        <v>88</v>
      </c>
      <c r="E1086" s="250" t="s">
        <v>183</v>
      </c>
      <c r="F1086" s="251">
        <v>11.1</v>
      </c>
      <c r="G1086" s="450" t="s">
        <v>2341</v>
      </c>
      <c r="H1086" s="252" t="s">
        <v>114</v>
      </c>
      <c r="I1086" s="250" t="s">
        <v>465</v>
      </c>
      <c r="J1086" s="250" t="s">
        <v>114</v>
      </c>
      <c r="K1086" s="250" t="s">
        <v>466</v>
      </c>
      <c r="L1086" s="250" t="s">
        <v>467</v>
      </c>
      <c r="M1086" s="277">
        <v>2927</v>
      </c>
      <c r="N1086" s="278">
        <v>44447</v>
      </c>
      <c r="O1086" s="329" t="s">
        <v>67</v>
      </c>
      <c r="P1086" s="330">
        <f t="shared" si="100"/>
        <v>9</v>
      </c>
      <c r="Q1086" s="330">
        <f t="shared" si="101"/>
        <v>8</v>
      </c>
      <c r="R1086" s="331" t="str">
        <f t="shared" si="102"/>
        <v>Gastos_com_Pessoal</v>
      </c>
      <c r="S1086" s="331" t="str">
        <f>IF(D1086="","",IF(OR(D1086=Plano!$A$1,D1086=Plano!$B$1),"entrada","saída"))</f>
        <v>saída</v>
      </c>
      <c r="T1086" s="332" t="s">
        <v>114</v>
      </c>
      <c r="U1086" s="332" t="s">
        <v>114</v>
      </c>
      <c r="V1086" s="269"/>
      <c r="W1086" s="269"/>
      <c r="X1086" s="269"/>
      <c r="Y1086" s="269"/>
      <c r="Z1086" s="269"/>
      <c r="AA1086" s="269"/>
      <c r="AB1086" s="269"/>
      <c r="AC1086" s="269"/>
      <c r="AD1086" s="269"/>
      <c r="AE1086" s="269"/>
      <c r="AF1086" s="269"/>
      <c r="AG1086" s="269"/>
      <c r="AH1086" s="269"/>
      <c r="AI1086" s="269"/>
      <c r="AJ1086" s="269"/>
      <c r="AK1086" s="269"/>
      <c r="AL1086" s="269"/>
      <c r="AM1086" s="269"/>
    </row>
    <row r="1087" spans="1:39" ht="48" customHeight="1" x14ac:dyDescent="0.2">
      <c r="A1087" s="277">
        <f>IF(B1087="","",COUNT('Diário 5º PA'!$A$5:$A$2634)+COUNT('Diário 6º PA'!$A$5:$A$2246)+ROW()-4)</f>
        <v>3626</v>
      </c>
      <c r="B1087" s="278">
        <v>44447</v>
      </c>
      <c r="C1087" s="249">
        <v>44409</v>
      </c>
      <c r="D1087" s="250" t="s">
        <v>88</v>
      </c>
      <c r="E1087" s="255" t="s">
        <v>192</v>
      </c>
      <c r="F1087" s="251">
        <v>7.0000000000000007E-2</v>
      </c>
      <c r="G1087" s="450" t="s">
        <v>2342</v>
      </c>
      <c r="H1087" s="252" t="s">
        <v>114</v>
      </c>
      <c r="I1087" s="250" t="s">
        <v>465</v>
      </c>
      <c r="J1087" s="250" t="s">
        <v>114</v>
      </c>
      <c r="K1087" s="250" t="s">
        <v>466</v>
      </c>
      <c r="L1087" s="250" t="s">
        <v>467</v>
      </c>
      <c r="M1087" s="277">
        <v>2928</v>
      </c>
      <c r="N1087" s="278">
        <v>44447</v>
      </c>
      <c r="O1087" s="329" t="s">
        <v>67</v>
      </c>
      <c r="P1087" s="330">
        <f t="shared" si="100"/>
        <v>9</v>
      </c>
      <c r="Q1087" s="330">
        <f t="shared" si="101"/>
        <v>8</v>
      </c>
      <c r="R1087" s="331" t="str">
        <f t="shared" si="102"/>
        <v>Gastos_com_Pessoal</v>
      </c>
      <c r="S1087" s="331" t="str">
        <f>IF(D1087="","",IF(OR(D1087=Plano!$A$1,D1087=Plano!$B$1),"entrada","saída"))</f>
        <v>saída</v>
      </c>
      <c r="T1087" s="332" t="s">
        <v>114</v>
      </c>
      <c r="U1087" s="332" t="s">
        <v>114</v>
      </c>
      <c r="V1087" s="269"/>
      <c r="W1087" s="269"/>
      <c r="X1087" s="269"/>
      <c r="Y1087" s="269"/>
      <c r="Z1087" s="269"/>
      <c r="AA1087" s="269"/>
      <c r="AB1087" s="269"/>
      <c r="AC1087" s="269"/>
      <c r="AD1087" s="269"/>
      <c r="AE1087" s="269"/>
      <c r="AF1087" s="269"/>
      <c r="AG1087" s="269"/>
      <c r="AH1087" s="269"/>
      <c r="AI1087" s="269"/>
      <c r="AJ1087" s="269"/>
      <c r="AK1087" s="269"/>
      <c r="AL1087" s="269"/>
      <c r="AM1087" s="269"/>
    </row>
    <row r="1088" spans="1:39" ht="51.75" customHeight="1" x14ac:dyDescent="0.2">
      <c r="A1088" s="277">
        <f>IF(B1088="","",COUNT('Diário 5º PA'!$A$5:$A$2634)+COUNT('Diário 6º PA'!$A$5:$A$2246)+ROW()-4)</f>
        <v>3627</v>
      </c>
      <c r="B1088" s="278">
        <v>44447</v>
      </c>
      <c r="C1088" s="249">
        <v>44409</v>
      </c>
      <c r="D1088" s="250" t="s">
        <v>88</v>
      </c>
      <c r="E1088" s="255" t="s">
        <v>192</v>
      </c>
      <c r="F1088" s="251">
        <v>0.05</v>
      </c>
      <c r="G1088" s="450" t="s">
        <v>2343</v>
      </c>
      <c r="H1088" s="252" t="s">
        <v>114</v>
      </c>
      <c r="I1088" s="250" t="s">
        <v>465</v>
      </c>
      <c r="J1088" s="250" t="s">
        <v>114</v>
      </c>
      <c r="K1088" s="250" t="s">
        <v>466</v>
      </c>
      <c r="L1088" s="250" t="s">
        <v>467</v>
      </c>
      <c r="M1088" s="277">
        <v>2929</v>
      </c>
      <c r="N1088" s="278">
        <v>44447</v>
      </c>
      <c r="O1088" s="329" t="s">
        <v>67</v>
      </c>
      <c r="P1088" s="330">
        <f t="shared" si="100"/>
        <v>9</v>
      </c>
      <c r="Q1088" s="330">
        <f t="shared" si="101"/>
        <v>8</v>
      </c>
      <c r="R1088" s="331" t="str">
        <f t="shared" si="102"/>
        <v>Gastos_com_Pessoal</v>
      </c>
      <c r="S1088" s="331" t="str">
        <f>IF(D1088="","",IF(OR(D1088=Plano!$A$1,D1088=Plano!$B$1),"entrada","saída"))</f>
        <v>saída</v>
      </c>
      <c r="T1088" s="332" t="s">
        <v>114</v>
      </c>
      <c r="U1088" s="332" t="s">
        <v>114</v>
      </c>
      <c r="V1088" s="269"/>
      <c r="W1088" s="269"/>
      <c r="X1088" s="269"/>
      <c r="Y1088" s="269"/>
      <c r="Z1088" s="269"/>
      <c r="AA1088" s="269"/>
      <c r="AB1088" s="269"/>
      <c r="AC1088" s="269"/>
      <c r="AD1088" s="269"/>
      <c r="AE1088" s="269"/>
      <c r="AF1088" s="269"/>
      <c r="AG1088" s="269"/>
      <c r="AH1088" s="269"/>
      <c r="AI1088" s="269"/>
      <c r="AJ1088" s="269"/>
      <c r="AK1088" s="269"/>
      <c r="AL1088" s="269"/>
      <c r="AM1088" s="269"/>
    </row>
    <row r="1089" spans="1:39" ht="48.75" customHeight="1" x14ac:dyDescent="0.2">
      <c r="A1089" s="277">
        <f>IF(B1089="","",COUNT('Diário 5º PA'!$A$5:$A$2634)+COUNT('Diário 6º PA'!$A$5:$A$2246)+ROW()-4)</f>
        <v>3628</v>
      </c>
      <c r="B1089" s="278">
        <v>44447</v>
      </c>
      <c r="C1089" s="249">
        <v>44409</v>
      </c>
      <c r="D1089" s="250" t="s">
        <v>88</v>
      </c>
      <c r="E1089" s="255" t="s">
        <v>192</v>
      </c>
      <c r="F1089" s="251">
        <v>0.05</v>
      </c>
      <c r="G1089" s="450" t="s">
        <v>2344</v>
      </c>
      <c r="H1089" s="252" t="s">
        <v>114</v>
      </c>
      <c r="I1089" s="250" t="s">
        <v>465</v>
      </c>
      <c r="J1089" s="250" t="s">
        <v>114</v>
      </c>
      <c r="K1089" s="250" t="s">
        <v>466</v>
      </c>
      <c r="L1089" s="250" t="s">
        <v>467</v>
      </c>
      <c r="M1089" s="277">
        <v>2930</v>
      </c>
      <c r="N1089" s="278">
        <v>44447</v>
      </c>
      <c r="O1089" s="329" t="s">
        <v>67</v>
      </c>
      <c r="P1089" s="330">
        <f t="shared" si="100"/>
        <v>9</v>
      </c>
      <c r="Q1089" s="330">
        <f t="shared" si="101"/>
        <v>8</v>
      </c>
      <c r="R1089" s="331" t="str">
        <f t="shared" si="102"/>
        <v>Gastos_com_Pessoal</v>
      </c>
      <c r="S1089" s="331" t="str">
        <f>IF(D1089="","",IF(OR(D1089=Plano!$A$1,D1089=Plano!$B$1),"entrada","saída"))</f>
        <v>saída</v>
      </c>
      <c r="T1089" s="332" t="s">
        <v>114</v>
      </c>
      <c r="U1089" s="332" t="s">
        <v>114</v>
      </c>
      <c r="V1089" s="269"/>
      <c r="W1089" s="269"/>
      <c r="X1089" s="269"/>
      <c r="Y1089" s="269"/>
      <c r="Z1089" s="269"/>
      <c r="AA1089" s="269"/>
      <c r="AB1089" s="269"/>
      <c r="AC1089" s="269"/>
      <c r="AD1089" s="269"/>
      <c r="AE1089" s="269"/>
      <c r="AF1089" s="269"/>
      <c r="AG1089" s="269"/>
      <c r="AH1089" s="269"/>
      <c r="AI1089" s="269"/>
      <c r="AJ1089" s="269"/>
      <c r="AK1089" s="269"/>
      <c r="AL1089" s="269"/>
      <c r="AM1089" s="269"/>
    </row>
    <row r="1090" spans="1:39" ht="35.25" customHeight="1" x14ac:dyDescent="0.2">
      <c r="A1090" s="277">
        <f>IF(B1090="","",COUNT('Diário 5º PA'!$A$5:$A$2634)+COUNT('Diário 6º PA'!$A$5:$A$2246)+ROW()-4)</f>
        <v>3629</v>
      </c>
      <c r="B1090" s="278">
        <v>44447</v>
      </c>
      <c r="C1090" s="249">
        <v>44378</v>
      </c>
      <c r="D1090" s="250" t="s">
        <v>88</v>
      </c>
      <c r="E1090" s="255" t="s">
        <v>90</v>
      </c>
      <c r="F1090" s="251">
        <v>3.93</v>
      </c>
      <c r="G1090" s="450" t="s">
        <v>2345</v>
      </c>
      <c r="H1090" s="252" t="s">
        <v>114</v>
      </c>
      <c r="I1090" s="250" t="s">
        <v>465</v>
      </c>
      <c r="J1090" s="250" t="s">
        <v>114</v>
      </c>
      <c r="K1090" s="250" t="s">
        <v>466</v>
      </c>
      <c r="L1090" s="250" t="s">
        <v>467</v>
      </c>
      <c r="M1090" s="277">
        <v>2931</v>
      </c>
      <c r="N1090" s="278">
        <v>44447</v>
      </c>
      <c r="O1090" s="329" t="s">
        <v>67</v>
      </c>
      <c r="P1090" s="330">
        <f t="shared" si="100"/>
        <v>9</v>
      </c>
      <c r="Q1090" s="330">
        <f t="shared" si="101"/>
        <v>7</v>
      </c>
      <c r="R1090" s="331" t="str">
        <f t="shared" si="102"/>
        <v>Gastos_com_Pessoal</v>
      </c>
      <c r="S1090" s="331" t="str">
        <f>IF(D1090="","",IF(OR(D1090=Plano!$A$1,D1090=Plano!$B$1),"entrada","saída"))</f>
        <v>saída</v>
      </c>
      <c r="T1090" s="332" t="s">
        <v>114</v>
      </c>
      <c r="U1090" s="332" t="s">
        <v>114</v>
      </c>
      <c r="V1090" s="269"/>
      <c r="W1090" s="269"/>
      <c r="X1090" s="269"/>
      <c r="Y1090" s="269"/>
      <c r="Z1090" s="269"/>
      <c r="AA1090" s="269"/>
      <c r="AB1090" s="269"/>
      <c r="AC1090" s="269"/>
      <c r="AD1090" s="269"/>
      <c r="AE1090" s="269"/>
      <c r="AF1090" s="269"/>
      <c r="AG1090" s="269"/>
      <c r="AH1090" s="269"/>
      <c r="AI1090" s="269"/>
      <c r="AJ1090" s="269"/>
      <c r="AK1090" s="269"/>
      <c r="AL1090" s="269"/>
      <c r="AM1090" s="269"/>
    </row>
    <row r="1091" spans="1:39" ht="42" customHeight="1" x14ac:dyDescent="0.2">
      <c r="A1091" s="277">
        <f>IF(B1091="","",COUNT('Diário 5º PA'!$A$5:$A$2634)+COUNT('Diário 6º PA'!$A$5:$A$2246)+ROW()-4)</f>
        <v>3630</v>
      </c>
      <c r="B1091" s="278">
        <v>44447</v>
      </c>
      <c r="C1091" s="249">
        <v>44440</v>
      </c>
      <c r="D1091" s="250" t="s">
        <v>88</v>
      </c>
      <c r="E1091" s="255" t="s">
        <v>196</v>
      </c>
      <c r="F1091" s="251">
        <v>186.65</v>
      </c>
      <c r="G1091" s="450" t="s">
        <v>2346</v>
      </c>
      <c r="H1091" s="252" t="s">
        <v>114</v>
      </c>
      <c r="I1091" s="250" t="s">
        <v>465</v>
      </c>
      <c r="J1091" s="250" t="s">
        <v>114</v>
      </c>
      <c r="K1091" s="250" t="s">
        <v>466</v>
      </c>
      <c r="L1091" s="250" t="s">
        <v>467</v>
      </c>
      <c r="M1091" s="277">
        <v>2932</v>
      </c>
      <c r="N1091" s="278">
        <v>44447</v>
      </c>
      <c r="O1091" s="329" t="s">
        <v>67</v>
      </c>
      <c r="P1091" s="330">
        <f t="shared" si="100"/>
        <v>9</v>
      </c>
      <c r="Q1091" s="330">
        <f t="shared" si="101"/>
        <v>9</v>
      </c>
      <c r="R1091" s="331" t="str">
        <f t="shared" si="102"/>
        <v>Gastos_com_Pessoal</v>
      </c>
      <c r="S1091" s="331" t="str">
        <f>IF(D1091="","",IF(OR(D1091=Plano!$A$1,D1091=Plano!$B$1),"entrada","saída"))</f>
        <v>saída</v>
      </c>
      <c r="T1091" s="332" t="s">
        <v>114</v>
      </c>
      <c r="U1091" s="332" t="s">
        <v>114</v>
      </c>
      <c r="V1091" s="269"/>
      <c r="W1091" s="269"/>
      <c r="X1091" s="269"/>
      <c r="Y1091" s="269"/>
      <c r="Z1091" s="269"/>
      <c r="AA1091" s="269"/>
      <c r="AB1091" s="269"/>
      <c r="AC1091" s="269"/>
      <c r="AD1091" s="269"/>
      <c r="AE1091" s="269"/>
      <c r="AF1091" s="269"/>
      <c r="AG1091" s="269"/>
      <c r="AH1091" s="269"/>
      <c r="AI1091" s="269"/>
      <c r="AJ1091" s="269"/>
      <c r="AK1091" s="269"/>
      <c r="AL1091" s="269"/>
      <c r="AM1091" s="269"/>
    </row>
    <row r="1092" spans="1:39" ht="93.75" customHeight="1" x14ac:dyDescent="0.2">
      <c r="A1092" s="277">
        <f>IF(B1092="","",COUNT('Diário 5º PA'!$A$5:$A$2634)+COUNT('Diário 6º PA'!$A$5:$A$2246)+ROW()-4)</f>
        <v>3631</v>
      </c>
      <c r="B1092" s="278">
        <v>44447</v>
      </c>
      <c r="C1092" s="249">
        <v>44409</v>
      </c>
      <c r="D1092" s="250" t="s">
        <v>99</v>
      </c>
      <c r="E1092" s="250" t="s">
        <v>336</v>
      </c>
      <c r="F1092" s="251">
        <v>2231</v>
      </c>
      <c r="G1092" s="452" t="s">
        <v>2347</v>
      </c>
      <c r="H1092" s="250" t="s">
        <v>116</v>
      </c>
      <c r="I1092" s="250" t="s">
        <v>1263</v>
      </c>
      <c r="J1092" s="250" t="s">
        <v>1264</v>
      </c>
      <c r="K1092" s="255" t="s">
        <v>991</v>
      </c>
      <c r="L1092" s="250" t="s">
        <v>1016</v>
      </c>
      <c r="M1092" s="277" t="s">
        <v>2348</v>
      </c>
      <c r="N1092" s="278">
        <v>44445</v>
      </c>
      <c r="O1092" s="329" t="s">
        <v>67</v>
      </c>
      <c r="P1092" s="330">
        <f t="shared" si="100"/>
        <v>9</v>
      </c>
      <c r="Q1092" s="330">
        <f t="shared" si="101"/>
        <v>8</v>
      </c>
      <c r="R1092" s="331" t="str">
        <f t="shared" si="102"/>
        <v>Gastos_Gerais</v>
      </c>
      <c r="S1092" s="331" t="str">
        <f>IF(D1092="","",IF(OR(D1092=Plano!$A$1,D1092=Plano!$B$1),"entrada","saída"))</f>
        <v>saída</v>
      </c>
      <c r="T1092" s="334" t="s">
        <v>994</v>
      </c>
      <c r="U1092" s="334">
        <v>1892</v>
      </c>
      <c r="V1092" s="269"/>
      <c r="W1092" s="269"/>
      <c r="X1092" s="269"/>
      <c r="Y1092" s="269"/>
      <c r="Z1092" s="269"/>
      <c r="AA1092" s="269"/>
      <c r="AB1092" s="269"/>
      <c r="AC1092" s="269"/>
      <c r="AD1092" s="269"/>
      <c r="AE1092" s="269"/>
      <c r="AF1092" s="269"/>
      <c r="AG1092" s="269"/>
      <c r="AH1092" s="269"/>
      <c r="AI1092" s="269"/>
      <c r="AJ1092" s="269"/>
      <c r="AK1092" s="269"/>
      <c r="AL1092" s="269"/>
      <c r="AM1092" s="269"/>
    </row>
    <row r="1093" spans="1:39" ht="109.5" customHeight="1" x14ac:dyDescent="0.2">
      <c r="A1093" s="277">
        <f>IF(B1093="","",COUNT('Diário 5º PA'!$A$5:$A$2634)+COUNT('Diário 6º PA'!$A$5:$A$2246)+ROW()-4)</f>
        <v>3632</v>
      </c>
      <c r="B1093" s="278">
        <v>44447</v>
      </c>
      <c r="C1093" s="259">
        <v>44409</v>
      </c>
      <c r="D1093" s="252" t="s">
        <v>99</v>
      </c>
      <c r="E1093" s="252" t="s">
        <v>336</v>
      </c>
      <c r="F1093" s="257">
        <v>3201</v>
      </c>
      <c r="G1093" s="451" t="s">
        <v>1262</v>
      </c>
      <c r="H1093" s="252" t="s">
        <v>118</v>
      </c>
      <c r="I1093" s="250" t="s">
        <v>1263</v>
      </c>
      <c r="J1093" s="250" t="s">
        <v>1264</v>
      </c>
      <c r="K1093" s="255" t="s">
        <v>991</v>
      </c>
      <c r="L1093" s="250" t="s">
        <v>1016</v>
      </c>
      <c r="M1093" s="277" t="s">
        <v>2349</v>
      </c>
      <c r="N1093" s="278">
        <v>44445</v>
      </c>
      <c r="O1093" s="329" t="s">
        <v>67</v>
      </c>
      <c r="P1093" s="330">
        <f t="shared" si="100"/>
        <v>9</v>
      </c>
      <c r="Q1093" s="330">
        <f t="shared" si="101"/>
        <v>8</v>
      </c>
      <c r="R1093" s="331" t="str">
        <f t="shared" si="102"/>
        <v>Gastos_Gerais</v>
      </c>
      <c r="S1093" s="331" t="str">
        <f>IF(D1093="","",IF(OR(D1093=Plano!$A$1,D1093=Plano!$B$1),"entrada","saída"))</f>
        <v>saída</v>
      </c>
      <c r="T1093" s="334" t="s">
        <v>1059</v>
      </c>
      <c r="U1093" s="334">
        <v>1613</v>
      </c>
      <c r="V1093" s="269"/>
      <c r="W1093" s="269"/>
      <c r="X1093" s="269"/>
      <c r="Y1093" s="269"/>
      <c r="Z1093" s="269"/>
      <c r="AA1093" s="269"/>
      <c r="AB1093" s="269"/>
      <c r="AC1093" s="269"/>
      <c r="AD1093" s="269"/>
      <c r="AE1093" s="269"/>
      <c r="AF1093" s="269"/>
      <c r="AG1093" s="269"/>
      <c r="AH1093" s="269"/>
      <c r="AI1093" s="269"/>
      <c r="AJ1093" s="269"/>
      <c r="AK1093" s="269"/>
      <c r="AL1093" s="269"/>
      <c r="AM1093" s="269"/>
    </row>
    <row r="1094" spans="1:39" ht="109.5" customHeight="1" x14ac:dyDescent="0.2">
      <c r="A1094" s="277">
        <f>IF(B1094="","",COUNT('Diário 5º PA'!$A$5:$A$2634)+COUNT('Diário 6º PA'!$A$5:$A$2246)+ROW()-4)</f>
        <v>3633</v>
      </c>
      <c r="B1094" s="278">
        <v>44447</v>
      </c>
      <c r="C1094" s="259">
        <v>44409</v>
      </c>
      <c r="D1094" s="252" t="s">
        <v>99</v>
      </c>
      <c r="E1094" s="252" t="s">
        <v>336</v>
      </c>
      <c r="F1094" s="257">
        <v>3201</v>
      </c>
      <c r="G1094" s="451" t="s">
        <v>1266</v>
      </c>
      <c r="H1094" s="252" t="s">
        <v>118</v>
      </c>
      <c r="I1094" s="250" t="s">
        <v>1267</v>
      </c>
      <c r="J1094" s="250" t="s">
        <v>1264</v>
      </c>
      <c r="K1094" s="255" t="s">
        <v>991</v>
      </c>
      <c r="L1094" s="250" t="s">
        <v>1016</v>
      </c>
      <c r="M1094" s="277" t="s">
        <v>2350</v>
      </c>
      <c r="N1094" s="278">
        <v>44445</v>
      </c>
      <c r="O1094" s="329" t="s">
        <v>67</v>
      </c>
      <c r="P1094" s="330">
        <f t="shared" si="100"/>
        <v>9</v>
      </c>
      <c r="Q1094" s="330">
        <f t="shared" si="101"/>
        <v>8</v>
      </c>
      <c r="R1094" s="331" t="str">
        <f t="shared" si="102"/>
        <v>Gastos_Gerais</v>
      </c>
      <c r="S1094" s="331" t="str">
        <f>IF(D1094="","",IF(OR(D1094=Plano!$A$1,D1094=Plano!$B$1),"entrada","saída"))</f>
        <v>saída</v>
      </c>
      <c r="T1094" s="334" t="s">
        <v>1059</v>
      </c>
      <c r="U1094" s="334">
        <v>1614</v>
      </c>
      <c r="V1094" s="269"/>
      <c r="W1094" s="269"/>
      <c r="X1094" s="269"/>
      <c r="Y1094" s="269"/>
      <c r="Z1094" s="269"/>
      <c r="AA1094" s="269"/>
      <c r="AB1094" s="269"/>
      <c r="AC1094" s="269"/>
      <c r="AD1094" s="269"/>
      <c r="AE1094" s="269"/>
      <c r="AF1094" s="269"/>
      <c r="AG1094" s="269"/>
      <c r="AH1094" s="269"/>
      <c r="AI1094" s="269"/>
      <c r="AJ1094" s="269"/>
      <c r="AK1094" s="269"/>
      <c r="AL1094" s="269"/>
      <c r="AM1094" s="269"/>
    </row>
    <row r="1095" spans="1:39" ht="109.5" customHeight="1" x14ac:dyDescent="0.2">
      <c r="A1095" s="277">
        <f>IF(B1095="","",COUNT('Diário 5º PA'!$A$5:$A$2634)+COUNT('Diário 6º PA'!$A$5:$A$2246)+ROW()-4)</f>
        <v>3634</v>
      </c>
      <c r="B1095" s="278">
        <v>44447</v>
      </c>
      <c r="C1095" s="259">
        <v>44409</v>
      </c>
      <c r="D1095" s="252" t="s">
        <v>99</v>
      </c>
      <c r="E1095" s="252" t="s">
        <v>336</v>
      </c>
      <c r="F1095" s="257">
        <v>3201</v>
      </c>
      <c r="G1095" s="451" t="s">
        <v>1269</v>
      </c>
      <c r="H1095" s="252" t="s">
        <v>118</v>
      </c>
      <c r="I1095" s="250" t="s">
        <v>1263</v>
      </c>
      <c r="J1095" s="250" t="s">
        <v>1264</v>
      </c>
      <c r="K1095" s="255" t="s">
        <v>991</v>
      </c>
      <c r="L1095" s="250" t="s">
        <v>1016</v>
      </c>
      <c r="M1095" s="277" t="s">
        <v>2351</v>
      </c>
      <c r="N1095" s="278">
        <v>44445</v>
      </c>
      <c r="O1095" s="329" t="s">
        <v>67</v>
      </c>
      <c r="P1095" s="330">
        <f t="shared" si="100"/>
        <v>9</v>
      </c>
      <c r="Q1095" s="330">
        <f t="shared" si="101"/>
        <v>8</v>
      </c>
      <c r="R1095" s="331" t="str">
        <f t="shared" si="102"/>
        <v>Gastos_Gerais</v>
      </c>
      <c r="S1095" s="331" t="str">
        <f>IF(D1095="","",IF(OR(D1095=Plano!$A$1,D1095=Plano!$B$1),"entrada","saída"))</f>
        <v>saída</v>
      </c>
      <c r="T1095" s="334" t="s">
        <v>1059</v>
      </c>
      <c r="U1095" s="334">
        <v>1615</v>
      </c>
      <c r="V1095" s="269"/>
      <c r="W1095" s="269"/>
      <c r="X1095" s="269"/>
      <c r="Y1095" s="269"/>
      <c r="Z1095" s="269"/>
      <c r="AA1095" s="269"/>
      <c r="AB1095" s="269"/>
      <c r="AC1095" s="269"/>
      <c r="AD1095" s="269"/>
      <c r="AE1095" s="269"/>
      <c r="AF1095" s="269"/>
      <c r="AG1095" s="269"/>
      <c r="AH1095" s="269"/>
      <c r="AI1095" s="269"/>
      <c r="AJ1095" s="269"/>
      <c r="AK1095" s="269"/>
      <c r="AL1095" s="269"/>
      <c r="AM1095" s="269"/>
    </row>
    <row r="1096" spans="1:39" ht="109.5" customHeight="1" x14ac:dyDescent="0.2">
      <c r="A1096" s="277">
        <f>IF(B1096="","",COUNT('Diário 5º PA'!$A$5:$A$2634)+COUNT('Diário 6º PA'!$A$5:$A$2246)+ROW()-4)</f>
        <v>3635</v>
      </c>
      <c r="B1096" s="278">
        <v>44447</v>
      </c>
      <c r="C1096" s="259">
        <v>44409</v>
      </c>
      <c r="D1096" s="252" t="s">
        <v>99</v>
      </c>
      <c r="E1096" s="252" t="s">
        <v>336</v>
      </c>
      <c r="F1096" s="257">
        <v>3201</v>
      </c>
      <c r="G1096" s="451" t="s">
        <v>1271</v>
      </c>
      <c r="H1096" s="252" t="s">
        <v>118</v>
      </c>
      <c r="I1096" s="250" t="s">
        <v>1263</v>
      </c>
      <c r="J1096" s="250" t="s">
        <v>1264</v>
      </c>
      <c r="K1096" s="255" t="s">
        <v>991</v>
      </c>
      <c r="L1096" s="250" t="s">
        <v>1016</v>
      </c>
      <c r="M1096" s="277" t="s">
        <v>2352</v>
      </c>
      <c r="N1096" s="278">
        <v>44445</v>
      </c>
      <c r="O1096" s="329" t="s">
        <v>67</v>
      </c>
      <c r="P1096" s="330">
        <f t="shared" si="100"/>
        <v>9</v>
      </c>
      <c r="Q1096" s="330">
        <f t="shared" si="101"/>
        <v>8</v>
      </c>
      <c r="R1096" s="331" t="str">
        <f t="shared" si="102"/>
        <v>Gastos_Gerais</v>
      </c>
      <c r="S1096" s="331" t="str">
        <f>IF(D1096="","",IF(OR(D1096=Plano!$A$1,D1096=Plano!$B$1),"entrada","saída"))</f>
        <v>saída</v>
      </c>
      <c r="T1096" s="334" t="s">
        <v>1059</v>
      </c>
      <c r="U1096" s="334">
        <v>1616</v>
      </c>
      <c r="V1096" s="269"/>
      <c r="W1096" s="269"/>
      <c r="X1096" s="269"/>
      <c r="Y1096" s="269"/>
      <c r="Z1096" s="269"/>
      <c r="AA1096" s="269"/>
      <c r="AB1096" s="269"/>
      <c r="AC1096" s="269"/>
      <c r="AD1096" s="269"/>
      <c r="AE1096" s="269"/>
      <c r="AF1096" s="269"/>
      <c r="AG1096" s="269"/>
      <c r="AH1096" s="269"/>
      <c r="AI1096" s="269"/>
      <c r="AJ1096" s="269"/>
      <c r="AK1096" s="269"/>
      <c r="AL1096" s="269"/>
      <c r="AM1096" s="269"/>
    </row>
    <row r="1097" spans="1:39" ht="109.5" customHeight="1" x14ac:dyDescent="0.2">
      <c r="A1097" s="277">
        <f>IF(B1097="","",COUNT('Diário 5º PA'!$A$5:$A$2634)+COUNT('Diário 6º PA'!$A$5:$A$2246)+ROW()-4)</f>
        <v>3636</v>
      </c>
      <c r="B1097" s="278">
        <v>44447</v>
      </c>
      <c r="C1097" s="259">
        <v>44409</v>
      </c>
      <c r="D1097" s="252" t="s">
        <v>99</v>
      </c>
      <c r="E1097" s="252" t="s">
        <v>336</v>
      </c>
      <c r="F1097" s="257">
        <v>3201</v>
      </c>
      <c r="G1097" s="451" t="s">
        <v>1273</v>
      </c>
      <c r="H1097" s="252" t="s">
        <v>118</v>
      </c>
      <c r="I1097" s="250" t="s">
        <v>1263</v>
      </c>
      <c r="J1097" s="250" t="s">
        <v>1264</v>
      </c>
      <c r="K1097" s="255" t="s">
        <v>991</v>
      </c>
      <c r="L1097" s="250" t="s">
        <v>1016</v>
      </c>
      <c r="M1097" s="277" t="s">
        <v>2353</v>
      </c>
      <c r="N1097" s="278">
        <v>44445</v>
      </c>
      <c r="O1097" s="329" t="s">
        <v>67</v>
      </c>
      <c r="P1097" s="330">
        <f t="shared" si="100"/>
        <v>9</v>
      </c>
      <c r="Q1097" s="330">
        <f t="shared" si="101"/>
        <v>8</v>
      </c>
      <c r="R1097" s="331" t="str">
        <f t="shared" si="102"/>
        <v>Gastos_Gerais</v>
      </c>
      <c r="S1097" s="331" t="str">
        <f>IF(D1097="","",IF(OR(D1097=Plano!$A$1,D1097=Plano!$B$1),"entrada","saída"))</f>
        <v>saída</v>
      </c>
      <c r="T1097" s="334" t="s">
        <v>1059</v>
      </c>
      <c r="U1097" s="334">
        <v>1617</v>
      </c>
      <c r="V1097" s="269"/>
      <c r="W1097" s="269"/>
      <c r="X1097" s="269"/>
      <c r="Y1097" s="269"/>
      <c r="Z1097" s="269"/>
      <c r="AA1097" s="269"/>
      <c r="AB1097" s="269"/>
      <c r="AC1097" s="269"/>
      <c r="AD1097" s="269"/>
      <c r="AE1097" s="269"/>
      <c r="AF1097" s="269"/>
      <c r="AG1097" s="269"/>
      <c r="AH1097" s="269"/>
      <c r="AI1097" s="269"/>
      <c r="AJ1097" s="269"/>
      <c r="AK1097" s="269"/>
      <c r="AL1097" s="269"/>
      <c r="AM1097" s="269"/>
    </row>
    <row r="1098" spans="1:39" ht="109.5" customHeight="1" x14ac:dyDescent="0.2">
      <c r="A1098" s="277">
        <f>IF(B1098="","",COUNT('Diário 5º PA'!$A$5:$A$2634)+COUNT('Diário 6º PA'!$A$5:$A$2246)+ROW()-4)</f>
        <v>3637</v>
      </c>
      <c r="B1098" s="278">
        <v>44447</v>
      </c>
      <c r="C1098" s="259">
        <v>44409</v>
      </c>
      <c r="D1098" s="252" t="s">
        <v>99</v>
      </c>
      <c r="E1098" s="252" t="s">
        <v>336</v>
      </c>
      <c r="F1098" s="257">
        <v>3201</v>
      </c>
      <c r="G1098" s="451" t="s">
        <v>1275</v>
      </c>
      <c r="H1098" s="252" t="s">
        <v>118</v>
      </c>
      <c r="I1098" s="250" t="s">
        <v>1267</v>
      </c>
      <c r="J1098" s="250" t="s">
        <v>1264</v>
      </c>
      <c r="K1098" s="255" t="s">
        <v>991</v>
      </c>
      <c r="L1098" s="250" t="s">
        <v>1016</v>
      </c>
      <c r="M1098" s="277" t="s">
        <v>2354</v>
      </c>
      <c r="N1098" s="278">
        <v>44445</v>
      </c>
      <c r="O1098" s="329" t="s">
        <v>67</v>
      </c>
      <c r="P1098" s="330">
        <f t="shared" si="100"/>
        <v>9</v>
      </c>
      <c r="Q1098" s="330">
        <f t="shared" si="101"/>
        <v>8</v>
      </c>
      <c r="R1098" s="331" t="str">
        <f t="shared" si="102"/>
        <v>Gastos_Gerais</v>
      </c>
      <c r="S1098" s="331" t="str">
        <f>IF(D1098="","",IF(OR(D1098=Plano!$A$1,D1098=Plano!$B$1),"entrada","saída"))</f>
        <v>saída</v>
      </c>
      <c r="T1098" s="334" t="s">
        <v>1059</v>
      </c>
      <c r="U1098" s="334">
        <v>1618</v>
      </c>
      <c r="V1098" s="269"/>
      <c r="W1098" s="269"/>
      <c r="X1098" s="269"/>
      <c r="Y1098" s="269"/>
      <c r="Z1098" s="269"/>
      <c r="AA1098" s="269"/>
      <c r="AB1098" s="269"/>
      <c r="AC1098" s="269"/>
      <c r="AD1098" s="269"/>
      <c r="AE1098" s="269"/>
      <c r="AF1098" s="269"/>
      <c r="AG1098" s="269"/>
      <c r="AH1098" s="269"/>
      <c r="AI1098" s="269"/>
      <c r="AJ1098" s="269"/>
      <c r="AK1098" s="269"/>
      <c r="AL1098" s="269"/>
      <c r="AM1098" s="269"/>
    </row>
    <row r="1099" spans="1:39" ht="109.5" customHeight="1" x14ac:dyDescent="0.2">
      <c r="A1099" s="277">
        <f>IF(B1099="","",COUNT('Diário 5º PA'!$A$5:$A$2634)+COUNT('Diário 6º PA'!$A$5:$A$2246)+ROW()-4)</f>
        <v>3638</v>
      </c>
      <c r="B1099" s="278">
        <v>44447</v>
      </c>
      <c r="C1099" s="259">
        <v>44409</v>
      </c>
      <c r="D1099" s="252" t="s">
        <v>99</v>
      </c>
      <c r="E1099" s="252" t="s">
        <v>336</v>
      </c>
      <c r="F1099" s="257">
        <v>3201</v>
      </c>
      <c r="G1099" s="451" t="s">
        <v>1277</v>
      </c>
      <c r="H1099" s="252" t="s">
        <v>118</v>
      </c>
      <c r="I1099" s="250" t="s">
        <v>1267</v>
      </c>
      <c r="J1099" s="250" t="s">
        <v>1264</v>
      </c>
      <c r="K1099" s="255" t="s">
        <v>991</v>
      </c>
      <c r="L1099" s="250" t="s">
        <v>1016</v>
      </c>
      <c r="M1099" s="277" t="s">
        <v>2355</v>
      </c>
      <c r="N1099" s="278">
        <v>44445</v>
      </c>
      <c r="O1099" s="329" t="s">
        <v>67</v>
      </c>
      <c r="P1099" s="330">
        <f t="shared" si="100"/>
        <v>9</v>
      </c>
      <c r="Q1099" s="330">
        <f t="shared" si="101"/>
        <v>8</v>
      </c>
      <c r="R1099" s="331" t="str">
        <f t="shared" si="102"/>
        <v>Gastos_Gerais</v>
      </c>
      <c r="S1099" s="331" t="str">
        <f>IF(D1099="","",IF(OR(D1099=Plano!$A$1,D1099=Plano!$B$1),"entrada","saída"))</f>
        <v>saída</v>
      </c>
      <c r="T1099" s="334" t="s">
        <v>1059</v>
      </c>
      <c r="U1099" s="334">
        <v>1619</v>
      </c>
      <c r="V1099" s="269"/>
      <c r="W1099" s="269"/>
      <c r="X1099" s="269"/>
      <c r="Y1099" s="269"/>
      <c r="Z1099" s="269"/>
      <c r="AA1099" s="269"/>
      <c r="AB1099" s="269"/>
      <c r="AC1099" s="269"/>
      <c r="AD1099" s="269"/>
      <c r="AE1099" s="269"/>
      <c r="AF1099" s="269"/>
      <c r="AG1099" s="269"/>
      <c r="AH1099" s="269"/>
      <c r="AI1099" s="269"/>
      <c r="AJ1099" s="269"/>
      <c r="AK1099" s="269"/>
      <c r="AL1099" s="269"/>
      <c r="AM1099" s="269"/>
    </row>
    <row r="1100" spans="1:39" ht="109.5" customHeight="1" x14ac:dyDescent="0.2">
      <c r="A1100" s="277">
        <f>IF(B1100="","",COUNT('Diário 5º PA'!$A$5:$A$2634)+COUNT('Diário 6º PA'!$A$5:$A$2246)+ROW()-4)</f>
        <v>3639</v>
      </c>
      <c r="B1100" s="278">
        <v>44447</v>
      </c>
      <c r="C1100" s="259">
        <v>44409</v>
      </c>
      <c r="D1100" s="252" t="s">
        <v>99</v>
      </c>
      <c r="E1100" s="252" t="s">
        <v>336</v>
      </c>
      <c r="F1100" s="257">
        <v>3201</v>
      </c>
      <c r="G1100" s="451" t="s">
        <v>1279</v>
      </c>
      <c r="H1100" s="252" t="s">
        <v>118</v>
      </c>
      <c r="I1100" s="250" t="s">
        <v>1263</v>
      </c>
      <c r="J1100" s="250" t="s">
        <v>1264</v>
      </c>
      <c r="K1100" s="255" t="s">
        <v>991</v>
      </c>
      <c r="L1100" s="250" t="s">
        <v>1016</v>
      </c>
      <c r="M1100" s="277" t="s">
        <v>2356</v>
      </c>
      <c r="N1100" s="278">
        <v>44445</v>
      </c>
      <c r="O1100" s="329" t="s">
        <v>67</v>
      </c>
      <c r="P1100" s="330">
        <f t="shared" si="100"/>
        <v>9</v>
      </c>
      <c r="Q1100" s="330">
        <f t="shared" si="101"/>
        <v>8</v>
      </c>
      <c r="R1100" s="331" t="str">
        <f t="shared" si="102"/>
        <v>Gastos_Gerais</v>
      </c>
      <c r="S1100" s="331" t="str">
        <f>IF(D1100="","",IF(OR(D1100=Plano!$A$1,D1100=Plano!$B$1),"entrada","saída"))</f>
        <v>saída</v>
      </c>
      <c r="T1100" s="334" t="s">
        <v>994</v>
      </c>
      <c r="U1100" s="334">
        <v>1620</v>
      </c>
      <c r="V1100" s="269"/>
      <c r="W1100" s="269"/>
      <c r="X1100" s="269"/>
      <c r="Y1100" s="269"/>
      <c r="Z1100" s="269"/>
      <c r="AA1100" s="269"/>
      <c r="AB1100" s="269"/>
      <c r="AC1100" s="269"/>
      <c r="AD1100" s="269"/>
      <c r="AE1100" s="269"/>
      <c r="AF1100" s="269"/>
      <c r="AG1100" s="269"/>
      <c r="AH1100" s="269"/>
      <c r="AI1100" s="269"/>
      <c r="AJ1100" s="269"/>
      <c r="AK1100" s="269"/>
      <c r="AL1100" s="269"/>
      <c r="AM1100" s="269"/>
    </row>
    <row r="1101" spans="1:39" ht="125.25" customHeight="1" x14ac:dyDescent="0.2">
      <c r="A1101" s="277">
        <f>IF(B1101="","",COUNT('Diário 5º PA'!$A$5:$A$2634)+COUNT('Diário 6º PA'!$A$5:$A$2246)+ROW()-4)</f>
        <v>3640</v>
      </c>
      <c r="B1101" s="278">
        <v>44447</v>
      </c>
      <c r="C1101" s="249">
        <v>44409</v>
      </c>
      <c r="D1101" s="255" t="s">
        <v>99</v>
      </c>
      <c r="E1101" s="255" t="s">
        <v>330</v>
      </c>
      <c r="F1101" s="257">
        <v>821.7</v>
      </c>
      <c r="G1101" s="450" t="s">
        <v>692</v>
      </c>
      <c r="H1101" s="255" t="s">
        <v>115</v>
      </c>
      <c r="I1101" s="250" t="s">
        <v>693</v>
      </c>
      <c r="J1101" s="250" t="s">
        <v>694</v>
      </c>
      <c r="K1101" s="255" t="s">
        <v>560</v>
      </c>
      <c r="L1101" s="250" t="s">
        <v>1016</v>
      </c>
      <c r="M1101" s="277">
        <v>3481</v>
      </c>
      <c r="N1101" s="278">
        <v>44440</v>
      </c>
      <c r="O1101" s="329" t="s">
        <v>67</v>
      </c>
      <c r="P1101" s="330">
        <f t="shared" si="100"/>
        <v>9</v>
      </c>
      <c r="Q1101" s="330">
        <f t="shared" si="101"/>
        <v>8</v>
      </c>
      <c r="R1101" s="331" t="str">
        <f t="shared" si="102"/>
        <v>Gastos_Gerais</v>
      </c>
      <c r="S1101" s="331" t="str">
        <f>IF(D1101="","",IF(OR(D1101=Plano!$A$1,D1101=Plano!$B$1),"entrada","saída"))</f>
        <v>saída</v>
      </c>
      <c r="T1101" s="332" t="s">
        <v>1059</v>
      </c>
      <c r="U1101" s="332">
        <v>1141</v>
      </c>
      <c r="V1101" s="269"/>
      <c r="W1101" s="269"/>
      <c r="X1101" s="269"/>
      <c r="Y1101" s="269"/>
      <c r="Z1101" s="269"/>
      <c r="AA1101" s="269"/>
      <c r="AB1101" s="269"/>
      <c r="AC1101" s="269"/>
      <c r="AD1101" s="269"/>
      <c r="AE1101" s="269"/>
      <c r="AF1101" s="269"/>
      <c r="AG1101" s="269"/>
      <c r="AH1101" s="269"/>
      <c r="AI1101" s="269"/>
      <c r="AJ1101" s="269"/>
      <c r="AK1101" s="269"/>
      <c r="AL1101" s="269"/>
      <c r="AM1101" s="269"/>
    </row>
    <row r="1102" spans="1:39" ht="49.5" customHeight="1" x14ac:dyDescent="0.2">
      <c r="A1102" s="277">
        <f>IF(B1102="","",COUNT('Diário 5º PA'!$A$5:$A$2634)+COUNT('Diário 6º PA'!$A$5:$A$2246)+ROW()-4)</f>
        <v>3641</v>
      </c>
      <c r="B1102" s="278">
        <v>44447</v>
      </c>
      <c r="C1102" s="259">
        <v>44378</v>
      </c>
      <c r="D1102" s="250" t="s">
        <v>99</v>
      </c>
      <c r="E1102" s="250" t="s">
        <v>306</v>
      </c>
      <c r="F1102" s="257">
        <v>134.55000000000001</v>
      </c>
      <c r="G1102" s="451" t="s">
        <v>2357</v>
      </c>
      <c r="H1102" s="252" t="s">
        <v>115</v>
      </c>
      <c r="I1102" s="250" t="s">
        <v>2358</v>
      </c>
      <c r="J1102" s="250" t="s">
        <v>2359</v>
      </c>
      <c r="K1102" s="255" t="s">
        <v>560</v>
      </c>
      <c r="L1102" s="250" t="s">
        <v>992</v>
      </c>
      <c r="M1102" s="277" t="s">
        <v>2360</v>
      </c>
      <c r="N1102" s="278">
        <v>44442</v>
      </c>
      <c r="O1102" s="329" t="s">
        <v>67</v>
      </c>
      <c r="P1102" s="330">
        <f t="shared" si="100"/>
        <v>9</v>
      </c>
      <c r="Q1102" s="330">
        <f t="shared" si="101"/>
        <v>7</v>
      </c>
      <c r="R1102" s="331" t="str">
        <f t="shared" si="102"/>
        <v>Gastos_Gerais</v>
      </c>
      <c r="S1102" s="331" t="str">
        <f>IF(D1102="","",IF(OR(D1102=Plano!$A$1,D1102=Plano!$B$1),"entrada","saída"))</f>
        <v>saída</v>
      </c>
      <c r="T1102" s="334" t="s">
        <v>114</v>
      </c>
      <c r="U1102" s="334" t="s">
        <v>114</v>
      </c>
      <c r="V1102" s="269"/>
      <c r="W1102" s="269"/>
      <c r="X1102" s="269"/>
      <c r="Y1102" s="269"/>
      <c r="Z1102" s="269"/>
      <c r="AA1102" s="269"/>
      <c r="AB1102" s="269"/>
      <c r="AC1102" s="269"/>
      <c r="AD1102" s="269"/>
      <c r="AE1102" s="269"/>
      <c r="AF1102" s="269"/>
      <c r="AG1102" s="269"/>
      <c r="AH1102" s="269"/>
      <c r="AI1102" s="269"/>
      <c r="AJ1102" s="269"/>
      <c r="AK1102" s="269"/>
      <c r="AL1102" s="269"/>
      <c r="AM1102" s="269"/>
    </row>
    <row r="1103" spans="1:39" ht="47.25" customHeight="1" x14ac:dyDescent="0.2">
      <c r="A1103" s="277">
        <f>IF(B1103="","",COUNT('Diário 5º PA'!$A$5:$A$2634)+COUNT('Diário 6º PA'!$A$5:$A$2246)+ROW()-4)</f>
        <v>3642</v>
      </c>
      <c r="B1103" s="278">
        <v>44447</v>
      </c>
      <c r="C1103" s="259">
        <v>44409</v>
      </c>
      <c r="D1103" s="250" t="s">
        <v>99</v>
      </c>
      <c r="E1103" s="250" t="s">
        <v>306</v>
      </c>
      <c r="F1103" s="257">
        <v>246.98</v>
      </c>
      <c r="G1103" s="451" t="s">
        <v>2357</v>
      </c>
      <c r="H1103" s="252" t="s">
        <v>115</v>
      </c>
      <c r="I1103" s="250" t="s">
        <v>2358</v>
      </c>
      <c r="J1103" s="250" t="s">
        <v>2359</v>
      </c>
      <c r="K1103" s="255" t="s">
        <v>560</v>
      </c>
      <c r="L1103" s="250" t="s">
        <v>992</v>
      </c>
      <c r="M1103" s="277" t="s">
        <v>2361</v>
      </c>
      <c r="N1103" s="278">
        <v>44442</v>
      </c>
      <c r="O1103" s="329" t="s">
        <v>67</v>
      </c>
      <c r="P1103" s="330">
        <f t="shared" si="100"/>
        <v>9</v>
      </c>
      <c r="Q1103" s="330">
        <f t="shared" si="101"/>
        <v>8</v>
      </c>
      <c r="R1103" s="331" t="str">
        <f t="shared" si="102"/>
        <v>Gastos_Gerais</v>
      </c>
      <c r="S1103" s="331" t="str">
        <f>IF(D1103="","",IF(OR(D1103=Plano!$A$1,D1103=Plano!$B$1),"entrada","saída"))</f>
        <v>saída</v>
      </c>
      <c r="T1103" s="334" t="s">
        <v>114</v>
      </c>
      <c r="U1103" s="334" t="s">
        <v>114</v>
      </c>
      <c r="V1103" s="269"/>
      <c r="W1103" s="269"/>
      <c r="X1103" s="269"/>
      <c r="Y1103" s="269"/>
      <c r="Z1103" s="269"/>
      <c r="AA1103" s="269"/>
      <c r="AB1103" s="269"/>
      <c r="AC1103" s="269"/>
      <c r="AD1103" s="269"/>
      <c r="AE1103" s="269"/>
      <c r="AF1103" s="269"/>
      <c r="AG1103" s="269"/>
      <c r="AH1103" s="269"/>
      <c r="AI1103" s="269"/>
      <c r="AJ1103" s="269"/>
      <c r="AK1103" s="269"/>
      <c r="AL1103" s="269"/>
      <c r="AM1103" s="269"/>
    </row>
    <row r="1104" spans="1:39" ht="135.75" customHeight="1" x14ac:dyDescent="0.2">
      <c r="A1104" s="277">
        <f>IF(B1104="","",COUNT('Diário 5º PA'!$A$5:$A$2634)+COUNT('Diário 6º PA'!$A$5:$A$2246)+ROW()-4)</f>
        <v>3643</v>
      </c>
      <c r="B1104" s="278">
        <v>44447</v>
      </c>
      <c r="C1104" s="249">
        <v>44409</v>
      </c>
      <c r="D1104" s="250" t="s">
        <v>99</v>
      </c>
      <c r="E1104" s="250" t="s">
        <v>226</v>
      </c>
      <c r="F1104" s="251">
        <v>3496.28</v>
      </c>
      <c r="G1104" s="452" t="s">
        <v>2362</v>
      </c>
      <c r="H1104" s="250" t="s">
        <v>131</v>
      </c>
      <c r="I1104" s="250" t="s">
        <v>2134</v>
      </c>
      <c r="J1104" s="250" t="s">
        <v>750</v>
      </c>
      <c r="K1104" s="255" t="s">
        <v>991</v>
      </c>
      <c r="L1104" s="250" t="s">
        <v>992</v>
      </c>
      <c r="M1104" s="277" t="s">
        <v>1211</v>
      </c>
      <c r="N1104" s="278">
        <v>44445</v>
      </c>
      <c r="O1104" s="329" t="s">
        <v>67</v>
      </c>
      <c r="P1104" s="330">
        <f t="shared" si="100"/>
        <v>9</v>
      </c>
      <c r="Q1104" s="330">
        <f t="shared" si="101"/>
        <v>8</v>
      </c>
      <c r="R1104" s="331" t="str">
        <f t="shared" si="102"/>
        <v>Gastos_Gerais</v>
      </c>
      <c r="S1104" s="331" t="str">
        <f>IF(D1104="","",IF(OR(D1104=Plano!$A$1,D1104=Plano!$B$1),"entrada","saída"))</f>
        <v>saída</v>
      </c>
      <c r="T1104" s="334" t="s">
        <v>1059</v>
      </c>
      <c r="U1104" s="334">
        <v>1852</v>
      </c>
      <c r="V1104" s="269"/>
      <c r="W1104" s="269"/>
      <c r="X1104" s="269"/>
      <c r="Y1104" s="269"/>
      <c r="Z1104" s="269"/>
      <c r="AA1104" s="269"/>
      <c r="AB1104" s="269"/>
      <c r="AC1104" s="269"/>
      <c r="AD1104" s="269"/>
      <c r="AE1104" s="269"/>
      <c r="AF1104" s="269"/>
      <c r="AG1104" s="269"/>
      <c r="AH1104" s="269"/>
      <c r="AI1104" s="269"/>
      <c r="AJ1104" s="269"/>
      <c r="AK1104" s="269"/>
      <c r="AL1104" s="269"/>
      <c r="AM1104" s="269"/>
    </row>
    <row r="1105" spans="1:39" ht="108.75" customHeight="1" x14ac:dyDescent="0.2">
      <c r="A1105" s="277">
        <f>IF(B1105="","",COUNT('Diário 5º PA'!$A$5:$A$2634)+COUNT('Diário 6º PA'!$A$5:$A$2246)+ROW()-4)</f>
        <v>3644</v>
      </c>
      <c r="B1105" s="278">
        <v>44447</v>
      </c>
      <c r="C1105" s="259">
        <v>44409</v>
      </c>
      <c r="D1105" s="252" t="s">
        <v>99</v>
      </c>
      <c r="E1105" s="252" t="s">
        <v>336</v>
      </c>
      <c r="F1105" s="257">
        <v>3201</v>
      </c>
      <c r="G1105" s="451" t="s">
        <v>1281</v>
      </c>
      <c r="H1105" s="252" t="s">
        <v>118</v>
      </c>
      <c r="I1105" s="250" t="s">
        <v>1263</v>
      </c>
      <c r="J1105" s="250" t="s">
        <v>1264</v>
      </c>
      <c r="K1105" s="255" t="s">
        <v>991</v>
      </c>
      <c r="L1105" s="250" t="s">
        <v>1016</v>
      </c>
      <c r="M1105" s="277" t="s">
        <v>2363</v>
      </c>
      <c r="N1105" s="278">
        <v>44445</v>
      </c>
      <c r="O1105" s="329" t="s">
        <v>67</v>
      </c>
      <c r="P1105" s="330">
        <f t="shared" si="100"/>
        <v>9</v>
      </c>
      <c r="Q1105" s="330">
        <f t="shared" si="101"/>
        <v>8</v>
      </c>
      <c r="R1105" s="331" t="str">
        <f t="shared" si="102"/>
        <v>Gastos_Gerais</v>
      </c>
      <c r="S1105" s="331" t="str">
        <f>IF(D1105="","",IF(OR(D1105=Plano!$A$1,D1105=Plano!$B$1),"entrada","saída"))</f>
        <v>saída</v>
      </c>
      <c r="T1105" s="334" t="s">
        <v>1059</v>
      </c>
      <c r="U1105" s="334">
        <v>1621</v>
      </c>
      <c r="V1105" s="269"/>
      <c r="W1105" s="269"/>
      <c r="X1105" s="269"/>
      <c r="Y1105" s="269"/>
      <c r="Z1105" s="269"/>
      <c r="AA1105" s="269"/>
      <c r="AB1105" s="269"/>
      <c r="AC1105" s="269"/>
      <c r="AD1105" s="269"/>
      <c r="AE1105" s="269"/>
      <c r="AF1105" s="269"/>
      <c r="AG1105" s="269"/>
      <c r="AH1105" s="269"/>
      <c r="AI1105" s="269"/>
      <c r="AJ1105" s="269"/>
      <c r="AK1105" s="269"/>
      <c r="AL1105" s="269"/>
      <c r="AM1105" s="269"/>
    </row>
    <row r="1106" spans="1:39" ht="105" customHeight="1" x14ac:dyDescent="0.2">
      <c r="A1106" s="277">
        <f>IF(B1106="","",COUNT('Diário 5º PA'!$A$5:$A$2634)+COUNT('Diário 6º PA'!$A$5:$A$2246)+ROW()-4)</f>
        <v>3645</v>
      </c>
      <c r="B1106" s="278">
        <v>44447</v>
      </c>
      <c r="C1106" s="259">
        <v>44409</v>
      </c>
      <c r="D1106" s="252" t="s">
        <v>99</v>
      </c>
      <c r="E1106" s="252" t="s">
        <v>336</v>
      </c>
      <c r="F1106" s="257">
        <v>3201</v>
      </c>
      <c r="G1106" s="451" t="s">
        <v>1283</v>
      </c>
      <c r="H1106" s="252" t="s">
        <v>118</v>
      </c>
      <c r="I1106" s="250" t="s">
        <v>1263</v>
      </c>
      <c r="J1106" s="250" t="s">
        <v>1264</v>
      </c>
      <c r="K1106" s="255" t="s">
        <v>991</v>
      </c>
      <c r="L1106" s="250" t="s">
        <v>1016</v>
      </c>
      <c r="M1106" s="277" t="s">
        <v>2364</v>
      </c>
      <c r="N1106" s="278">
        <v>44445</v>
      </c>
      <c r="O1106" s="329" t="s">
        <v>67</v>
      </c>
      <c r="P1106" s="330">
        <f t="shared" si="100"/>
        <v>9</v>
      </c>
      <c r="Q1106" s="330">
        <f t="shared" si="101"/>
        <v>8</v>
      </c>
      <c r="R1106" s="331" t="str">
        <f t="shared" si="102"/>
        <v>Gastos_Gerais</v>
      </c>
      <c r="S1106" s="331" t="str">
        <f>IF(D1106="","",IF(OR(D1106=Plano!$A$1,D1106=Plano!$B$1),"entrada","saída"))</f>
        <v>saída</v>
      </c>
      <c r="T1106" s="334" t="s">
        <v>1059</v>
      </c>
      <c r="U1106" s="334">
        <v>1622</v>
      </c>
      <c r="V1106" s="269"/>
      <c r="W1106" s="269"/>
      <c r="X1106" s="269"/>
      <c r="Y1106" s="269"/>
      <c r="Z1106" s="269"/>
      <c r="AA1106" s="269"/>
      <c r="AB1106" s="269"/>
      <c r="AC1106" s="269"/>
      <c r="AD1106" s="269"/>
      <c r="AE1106" s="269"/>
      <c r="AF1106" s="269"/>
      <c r="AG1106" s="269"/>
      <c r="AH1106" s="269"/>
      <c r="AI1106" s="269"/>
      <c r="AJ1106" s="269"/>
      <c r="AK1106" s="269"/>
      <c r="AL1106" s="269"/>
      <c r="AM1106" s="269"/>
    </row>
    <row r="1107" spans="1:39" ht="49.5" customHeight="1" x14ac:dyDescent="0.2">
      <c r="A1107" s="277">
        <f>IF(B1107="","",COUNT('Diário 5º PA'!$A$5:$A$2634)+COUNT('Diário 6º PA'!$A$5:$A$2246)+ROW()-4)</f>
        <v>3646</v>
      </c>
      <c r="B1107" s="278">
        <v>44447</v>
      </c>
      <c r="C1107" s="335">
        <v>44440</v>
      </c>
      <c r="D1107" s="255" t="s">
        <v>99</v>
      </c>
      <c r="E1107" s="255" t="s">
        <v>272</v>
      </c>
      <c r="F1107" s="258">
        <v>10.45</v>
      </c>
      <c r="G1107" s="450" t="s">
        <v>1310</v>
      </c>
      <c r="H1107" s="252" t="s">
        <v>118</v>
      </c>
      <c r="I1107" s="250" t="s">
        <v>949</v>
      </c>
      <c r="J1107" s="255" t="s">
        <v>950</v>
      </c>
      <c r="K1107" s="255" t="s">
        <v>951</v>
      </c>
      <c r="L1107" s="250" t="s">
        <v>947</v>
      </c>
      <c r="M1107" s="336" t="s">
        <v>114</v>
      </c>
      <c r="N1107" s="278">
        <v>44447</v>
      </c>
      <c r="O1107" s="329" t="s">
        <v>67</v>
      </c>
      <c r="P1107" s="330">
        <f t="shared" si="100"/>
        <v>9</v>
      </c>
      <c r="Q1107" s="330">
        <f t="shared" si="101"/>
        <v>9</v>
      </c>
      <c r="R1107" s="331" t="str">
        <f t="shared" si="102"/>
        <v>Gastos_Gerais</v>
      </c>
      <c r="S1107" s="331" t="str">
        <f>IF(D1107="","",IF(OR(D1107=Plano!$A$1,D1107=Plano!$B$1),"entrada","saída"))</f>
        <v>saída</v>
      </c>
      <c r="T1107" s="332" t="s">
        <v>114</v>
      </c>
      <c r="U1107" s="332" t="s">
        <v>114</v>
      </c>
      <c r="V1107" s="269"/>
      <c r="W1107" s="269"/>
      <c r="X1107" s="269"/>
      <c r="Y1107" s="269"/>
      <c r="Z1107" s="269"/>
      <c r="AA1107" s="269"/>
      <c r="AB1107" s="269"/>
      <c r="AC1107" s="269"/>
      <c r="AD1107" s="269"/>
      <c r="AE1107" s="269"/>
      <c r="AF1107" s="269"/>
      <c r="AG1107" s="269"/>
      <c r="AH1107" s="269"/>
      <c r="AI1107" s="269"/>
      <c r="AJ1107" s="269"/>
      <c r="AK1107" s="269"/>
      <c r="AL1107" s="269"/>
      <c r="AM1107" s="269"/>
    </row>
    <row r="1108" spans="1:39" ht="49.5" customHeight="1" x14ac:dyDescent="0.2">
      <c r="A1108" s="277">
        <f>IF(B1108="","",COUNT('Diário 5º PA'!$A$5:$A$2634)+COUNT('Diário 6º PA'!$A$5:$A$2246)+ROW()-4)</f>
        <v>3647</v>
      </c>
      <c r="B1108" s="278">
        <v>44447</v>
      </c>
      <c r="C1108" s="335">
        <v>44440</v>
      </c>
      <c r="D1108" s="255" t="s">
        <v>99</v>
      </c>
      <c r="E1108" s="255" t="s">
        <v>272</v>
      </c>
      <c r="F1108" s="258">
        <v>10.45</v>
      </c>
      <c r="G1108" s="450" t="s">
        <v>1311</v>
      </c>
      <c r="H1108" s="252" t="s">
        <v>118</v>
      </c>
      <c r="I1108" s="250" t="s">
        <v>949</v>
      </c>
      <c r="J1108" s="255" t="s">
        <v>950</v>
      </c>
      <c r="K1108" s="255" t="s">
        <v>951</v>
      </c>
      <c r="L1108" s="250" t="s">
        <v>947</v>
      </c>
      <c r="M1108" s="336" t="s">
        <v>114</v>
      </c>
      <c r="N1108" s="278">
        <v>44447</v>
      </c>
      <c r="O1108" s="329" t="s">
        <v>67</v>
      </c>
      <c r="P1108" s="330">
        <f t="shared" si="100"/>
        <v>9</v>
      </c>
      <c r="Q1108" s="330">
        <f t="shared" si="101"/>
        <v>9</v>
      </c>
      <c r="R1108" s="331" t="str">
        <f t="shared" si="102"/>
        <v>Gastos_Gerais</v>
      </c>
      <c r="S1108" s="331" t="str">
        <f>IF(D1108="","",IF(OR(D1108=Plano!$A$1,D1108=Plano!$B$1),"entrada","saída"))</f>
        <v>saída</v>
      </c>
      <c r="T1108" s="332" t="s">
        <v>114</v>
      </c>
      <c r="U1108" s="332" t="s">
        <v>114</v>
      </c>
      <c r="V1108" s="269"/>
      <c r="W1108" s="269"/>
      <c r="X1108" s="269"/>
      <c r="Y1108" s="269"/>
      <c r="Z1108" s="269"/>
      <c r="AA1108" s="269"/>
      <c r="AB1108" s="269"/>
      <c r="AC1108" s="269"/>
      <c r="AD1108" s="269"/>
      <c r="AE1108" s="269"/>
      <c r="AF1108" s="269"/>
      <c r="AG1108" s="269"/>
      <c r="AH1108" s="269"/>
      <c r="AI1108" s="269"/>
      <c r="AJ1108" s="269"/>
      <c r="AK1108" s="269"/>
      <c r="AL1108" s="269"/>
      <c r="AM1108" s="269"/>
    </row>
    <row r="1109" spans="1:39" ht="49.5" customHeight="1" x14ac:dyDescent="0.2">
      <c r="A1109" s="277">
        <f>IF(B1109="","",COUNT('Diário 5º PA'!$A$5:$A$2634)+COUNT('Diário 6º PA'!$A$5:$A$2246)+ROW()-4)</f>
        <v>3648</v>
      </c>
      <c r="B1109" s="278">
        <v>44447</v>
      </c>
      <c r="C1109" s="335">
        <v>44440</v>
      </c>
      <c r="D1109" s="255" t="s">
        <v>99</v>
      </c>
      <c r="E1109" s="255" t="s">
        <v>272</v>
      </c>
      <c r="F1109" s="258">
        <v>10.45</v>
      </c>
      <c r="G1109" s="450" t="s">
        <v>1312</v>
      </c>
      <c r="H1109" s="252" t="s">
        <v>118</v>
      </c>
      <c r="I1109" s="250" t="s">
        <v>949</v>
      </c>
      <c r="J1109" s="255" t="s">
        <v>950</v>
      </c>
      <c r="K1109" s="255" t="s">
        <v>951</v>
      </c>
      <c r="L1109" s="250" t="s">
        <v>947</v>
      </c>
      <c r="M1109" s="336" t="s">
        <v>114</v>
      </c>
      <c r="N1109" s="278">
        <v>44447</v>
      </c>
      <c r="O1109" s="329" t="s">
        <v>67</v>
      </c>
      <c r="P1109" s="330">
        <f t="shared" si="100"/>
        <v>9</v>
      </c>
      <c r="Q1109" s="330">
        <f t="shared" si="101"/>
        <v>9</v>
      </c>
      <c r="R1109" s="331" t="str">
        <f t="shared" si="102"/>
        <v>Gastos_Gerais</v>
      </c>
      <c r="S1109" s="331" t="str">
        <f>IF(D1109="","",IF(OR(D1109=Plano!$A$1,D1109=Plano!$B$1),"entrada","saída"))</f>
        <v>saída</v>
      </c>
      <c r="T1109" s="332" t="s">
        <v>114</v>
      </c>
      <c r="U1109" s="332" t="s">
        <v>114</v>
      </c>
      <c r="V1109" s="269"/>
      <c r="W1109" s="269"/>
      <c r="X1109" s="269"/>
      <c r="Y1109" s="269"/>
      <c r="Z1109" s="269"/>
      <c r="AA1109" s="269"/>
      <c r="AB1109" s="269"/>
      <c r="AC1109" s="269"/>
      <c r="AD1109" s="269"/>
      <c r="AE1109" s="269"/>
      <c r="AF1109" s="269"/>
      <c r="AG1109" s="269"/>
      <c r="AH1109" s="269"/>
      <c r="AI1109" s="269"/>
      <c r="AJ1109" s="269"/>
      <c r="AK1109" s="269"/>
      <c r="AL1109" s="269"/>
      <c r="AM1109" s="269"/>
    </row>
    <row r="1110" spans="1:39" ht="49.5" customHeight="1" x14ac:dyDescent="0.2">
      <c r="A1110" s="277">
        <f>IF(B1110="","",COUNT('Diário 5º PA'!$A$5:$A$2634)+COUNT('Diário 6º PA'!$A$5:$A$2246)+ROW()-4)</f>
        <v>3649</v>
      </c>
      <c r="B1110" s="278">
        <v>44447</v>
      </c>
      <c r="C1110" s="335">
        <v>44440</v>
      </c>
      <c r="D1110" s="255" t="s">
        <v>99</v>
      </c>
      <c r="E1110" s="255" t="s">
        <v>272</v>
      </c>
      <c r="F1110" s="258">
        <v>10.45</v>
      </c>
      <c r="G1110" s="450" t="s">
        <v>1313</v>
      </c>
      <c r="H1110" s="252" t="s">
        <v>118</v>
      </c>
      <c r="I1110" s="250" t="s">
        <v>949</v>
      </c>
      <c r="J1110" s="255" t="s">
        <v>950</v>
      </c>
      <c r="K1110" s="255" t="s">
        <v>951</v>
      </c>
      <c r="L1110" s="250" t="s">
        <v>947</v>
      </c>
      <c r="M1110" s="336" t="s">
        <v>114</v>
      </c>
      <c r="N1110" s="278">
        <v>44447</v>
      </c>
      <c r="O1110" s="329" t="s">
        <v>67</v>
      </c>
      <c r="P1110" s="330">
        <f t="shared" si="100"/>
        <v>9</v>
      </c>
      <c r="Q1110" s="330">
        <f t="shared" si="101"/>
        <v>9</v>
      </c>
      <c r="R1110" s="331" t="str">
        <f t="shared" si="102"/>
        <v>Gastos_Gerais</v>
      </c>
      <c r="S1110" s="331" t="str">
        <f>IF(D1110="","",IF(OR(D1110=Plano!$A$1,D1110=Plano!$B$1),"entrada","saída"))</f>
        <v>saída</v>
      </c>
      <c r="T1110" s="332" t="s">
        <v>114</v>
      </c>
      <c r="U1110" s="332" t="s">
        <v>114</v>
      </c>
      <c r="V1110" s="269"/>
      <c r="W1110" s="269"/>
      <c r="X1110" s="269"/>
      <c r="Y1110" s="269"/>
      <c r="Z1110" s="269"/>
      <c r="AA1110" s="269"/>
      <c r="AB1110" s="269"/>
      <c r="AC1110" s="269"/>
      <c r="AD1110" s="269"/>
      <c r="AE1110" s="269"/>
      <c r="AF1110" s="269"/>
      <c r="AG1110" s="269"/>
      <c r="AH1110" s="269"/>
      <c r="AI1110" s="269"/>
      <c r="AJ1110" s="269"/>
      <c r="AK1110" s="269"/>
      <c r="AL1110" s="269"/>
      <c r="AM1110" s="269"/>
    </row>
    <row r="1111" spans="1:39" ht="49.5" customHeight="1" x14ac:dyDescent="0.2">
      <c r="A1111" s="277">
        <f>IF(B1111="","",COUNT('Diário 5º PA'!$A$5:$A$2634)+COUNT('Diário 6º PA'!$A$5:$A$2246)+ROW()-4)</f>
        <v>3650</v>
      </c>
      <c r="B1111" s="278">
        <v>44447</v>
      </c>
      <c r="C1111" s="335">
        <v>44440</v>
      </c>
      <c r="D1111" s="255" t="s">
        <v>99</v>
      </c>
      <c r="E1111" s="255" t="s">
        <v>272</v>
      </c>
      <c r="F1111" s="258">
        <v>10.45</v>
      </c>
      <c r="G1111" s="450" t="s">
        <v>1314</v>
      </c>
      <c r="H1111" s="252" t="s">
        <v>118</v>
      </c>
      <c r="I1111" s="250" t="s">
        <v>949</v>
      </c>
      <c r="J1111" s="255" t="s">
        <v>950</v>
      </c>
      <c r="K1111" s="255" t="s">
        <v>951</v>
      </c>
      <c r="L1111" s="250" t="s">
        <v>947</v>
      </c>
      <c r="M1111" s="336" t="s">
        <v>114</v>
      </c>
      <c r="N1111" s="278">
        <v>44447</v>
      </c>
      <c r="O1111" s="329" t="s">
        <v>67</v>
      </c>
      <c r="P1111" s="330">
        <f t="shared" si="100"/>
        <v>9</v>
      </c>
      <c r="Q1111" s="330">
        <f t="shared" si="101"/>
        <v>9</v>
      </c>
      <c r="R1111" s="331" t="str">
        <f t="shared" si="102"/>
        <v>Gastos_Gerais</v>
      </c>
      <c r="S1111" s="331" t="str">
        <f>IF(D1111="","",IF(OR(D1111=Plano!$A$1,D1111=Plano!$B$1),"entrada","saída"))</f>
        <v>saída</v>
      </c>
      <c r="T1111" s="332" t="s">
        <v>114</v>
      </c>
      <c r="U1111" s="332" t="s">
        <v>114</v>
      </c>
      <c r="V1111" s="269"/>
      <c r="W1111" s="269"/>
      <c r="X1111" s="269"/>
      <c r="Y1111" s="269"/>
      <c r="Z1111" s="269"/>
      <c r="AA1111" s="269"/>
      <c r="AB1111" s="269"/>
      <c r="AC1111" s="269"/>
      <c r="AD1111" s="269"/>
      <c r="AE1111" s="269"/>
      <c r="AF1111" s="269"/>
      <c r="AG1111" s="269"/>
      <c r="AH1111" s="269"/>
      <c r="AI1111" s="269"/>
      <c r="AJ1111" s="269"/>
      <c r="AK1111" s="269"/>
      <c r="AL1111" s="269"/>
      <c r="AM1111" s="269"/>
    </row>
    <row r="1112" spans="1:39" ht="49.5" customHeight="1" x14ac:dyDescent="0.2">
      <c r="A1112" s="277">
        <f>IF(B1112="","",COUNT('Diário 5º PA'!$A$5:$A$2634)+COUNT('Diário 6º PA'!$A$5:$A$2246)+ROW()-4)</f>
        <v>3651</v>
      </c>
      <c r="B1112" s="278">
        <v>44447</v>
      </c>
      <c r="C1112" s="335">
        <v>44440</v>
      </c>
      <c r="D1112" s="255" t="s">
        <v>99</v>
      </c>
      <c r="E1112" s="255" t="s">
        <v>272</v>
      </c>
      <c r="F1112" s="258">
        <v>10.45</v>
      </c>
      <c r="G1112" s="450" t="s">
        <v>1315</v>
      </c>
      <c r="H1112" s="252" t="s">
        <v>118</v>
      </c>
      <c r="I1112" s="250" t="s">
        <v>949</v>
      </c>
      <c r="J1112" s="255" t="s">
        <v>950</v>
      </c>
      <c r="K1112" s="255" t="s">
        <v>951</v>
      </c>
      <c r="L1112" s="250" t="s">
        <v>947</v>
      </c>
      <c r="M1112" s="336" t="s">
        <v>114</v>
      </c>
      <c r="N1112" s="278">
        <v>44447</v>
      </c>
      <c r="O1112" s="329" t="s">
        <v>67</v>
      </c>
      <c r="P1112" s="330">
        <f t="shared" si="100"/>
        <v>9</v>
      </c>
      <c r="Q1112" s="330">
        <f t="shared" si="101"/>
        <v>9</v>
      </c>
      <c r="R1112" s="331" t="str">
        <f t="shared" si="102"/>
        <v>Gastos_Gerais</v>
      </c>
      <c r="S1112" s="331" t="str">
        <f>IF(D1112="","",IF(OR(D1112=Plano!$A$1,D1112=Plano!$B$1),"entrada","saída"))</f>
        <v>saída</v>
      </c>
      <c r="T1112" s="332" t="s">
        <v>114</v>
      </c>
      <c r="U1112" s="332" t="s">
        <v>114</v>
      </c>
      <c r="V1112" s="269"/>
      <c r="W1112" s="269"/>
      <c r="X1112" s="269"/>
      <c r="Y1112" s="269"/>
      <c r="Z1112" s="269"/>
      <c r="AA1112" s="269"/>
      <c r="AB1112" s="269"/>
      <c r="AC1112" s="269"/>
      <c r="AD1112" s="269"/>
      <c r="AE1112" s="269"/>
      <c r="AF1112" s="269"/>
      <c r="AG1112" s="269"/>
      <c r="AH1112" s="269"/>
      <c r="AI1112" s="269"/>
      <c r="AJ1112" s="269"/>
      <c r="AK1112" s="269"/>
      <c r="AL1112" s="269"/>
      <c r="AM1112" s="269"/>
    </row>
    <row r="1113" spans="1:39" ht="49.5" customHeight="1" x14ac:dyDescent="0.2">
      <c r="A1113" s="277">
        <f>IF(B1113="","",COUNT('Diário 5º PA'!$A$5:$A$2634)+COUNT('Diário 6º PA'!$A$5:$A$2246)+ROW()-4)</f>
        <v>3652</v>
      </c>
      <c r="B1113" s="278">
        <v>44447</v>
      </c>
      <c r="C1113" s="335">
        <v>44440</v>
      </c>
      <c r="D1113" s="255" t="s">
        <v>99</v>
      </c>
      <c r="E1113" s="255" t="s">
        <v>272</v>
      </c>
      <c r="F1113" s="258">
        <v>10.45</v>
      </c>
      <c r="G1113" s="450" t="s">
        <v>1316</v>
      </c>
      <c r="H1113" s="252" t="s">
        <v>118</v>
      </c>
      <c r="I1113" s="250" t="s">
        <v>949</v>
      </c>
      <c r="J1113" s="255" t="s">
        <v>950</v>
      </c>
      <c r="K1113" s="255" t="s">
        <v>951</v>
      </c>
      <c r="L1113" s="250" t="s">
        <v>947</v>
      </c>
      <c r="M1113" s="336" t="s">
        <v>114</v>
      </c>
      <c r="N1113" s="278">
        <v>44447</v>
      </c>
      <c r="O1113" s="329" t="s">
        <v>67</v>
      </c>
      <c r="P1113" s="330">
        <f t="shared" si="100"/>
        <v>9</v>
      </c>
      <c r="Q1113" s="330">
        <f t="shared" si="101"/>
        <v>9</v>
      </c>
      <c r="R1113" s="331" t="str">
        <f t="shared" si="102"/>
        <v>Gastos_Gerais</v>
      </c>
      <c r="S1113" s="331" t="str">
        <f>IF(D1113="","",IF(OR(D1113=Plano!$A$1,D1113=Plano!$B$1),"entrada","saída"))</f>
        <v>saída</v>
      </c>
      <c r="T1113" s="332" t="s">
        <v>114</v>
      </c>
      <c r="U1113" s="332" t="s">
        <v>114</v>
      </c>
      <c r="V1113" s="269"/>
      <c r="W1113" s="269"/>
      <c r="X1113" s="269"/>
      <c r="Y1113" s="269"/>
      <c r="Z1113" s="269"/>
      <c r="AA1113" s="269"/>
      <c r="AB1113" s="269"/>
      <c r="AC1113" s="269"/>
      <c r="AD1113" s="269"/>
      <c r="AE1113" s="269"/>
      <c r="AF1113" s="269"/>
      <c r="AG1113" s="269"/>
      <c r="AH1113" s="269"/>
      <c r="AI1113" s="269"/>
      <c r="AJ1113" s="269"/>
      <c r="AK1113" s="269"/>
      <c r="AL1113" s="269"/>
      <c r="AM1113" s="269"/>
    </row>
    <row r="1114" spans="1:39" ht="49.5" customHeight="1" x14ac:dyDescent="0.2">
      <c r="A1114" s="277">
        <f>IF(B1114="","",COUNT('Diário 5º PA'!$A$5:$A$2634)+COUNT('Diário 6º PA'!$A$5:$A$2246)+ROW()-4)</f>
        <v>3653</v>
      </c>
      <c r="B1114" s="278">
        <v>44447</v>
      </c>
      <c r="C1114" s="335">
        <v>44440</v>
      </c>
      <c r="D1114" s="255" t="s">
        <v>99</v>
      </c>
      <c r="E1114" s="255" t="s">
        <v>272</v>
      </c>
      <c r="F1114" s="258">
        <v>10.45</v>
      </c>
      <c r="G1114" s="450" t="s">
        <v>1317</v>
      </c>
      <c r="H1114" s="252" t="s">
        <v>118</v>
      </c>
      <c r="I1114" s="250" t="s">
        <v>949</v>
      </c>
      <c r="J1114" s="255" t="s">
        <v>950</v>
      </c>
      <c r="K1114" s="255" t="s">
        <v>951</v>
      </c>
      <c r="L1114" s="250" t="s">
        <v>947</v>
      </c>
      <c r="M1114" s="336" t="s">
        <v>114</v>
      </c>
      <c r="N1114" s="278">
        <v>44447</v>
      </c>
      <c r="O1114" s="329" t="s">
        <v>67</v>
      </c>
      <c r="P1114" s="330">
        <f t="shared" si="100"/>
        <v>9</v>
      </c>
      <c r="Q1114" s="330">
        <f t="shared" si="101"/>
        <v>9</v>
      </c>
      <c r="R1114" s="331" t="str">
        <f t="shared" si="102"/>
        <v>Gastos_Gerais</v>
      </c>
      <c r="S1114" s="331" t="str">
        <f>IF(D1114="","",IF(OR(D1114=Plano!$A$1,D1114=Plano!$B$1),"entrada","saída"))</f>
        <v>saída</v>
      </c>
      <c r="T1114" s="332" t="s">
        <v>114</v>
      </c>
      <c r="U1114" s="332" t="s">
        <v>114</v>
      </c>
      <c r="V1114" s="269"/>
      <c r="W1114" s="269"/>
      <c r="X1114" s="269"/>
      <c r="Y1114" s="269"/>
      <c r="Z1114" s="269"/>
      <c r="AA1114" s="269"/>
      <c r="AB1114" s="269"/>
      <c r="AC1114" s="269"/>
      <c r="AD1114" s="269"/>
      <c r="AE1114" s="269"/>
      <c r="AF1114" s="269"/>
      <c r="AG1114" s="269"/>
      <c r="AH1114" s="269"/>
      <c r="AI1114" s="269"/>
      <c r="AJ1114" s="269"/>
      <c r="AK1114" s="269"/>
      <c r="AL1114" s="269"/>
      <c r="AM1114" s="269"/>
    </row>
    <row r="1115" spans="1:39" ht="49.5" customHeight="1" x14ac:dyDescent="0.2">
      <c r="A1115" s="277">
        <f>IF(B1115="","",COUNT('Diário 5º PA'!$A$5:$A$2634)+COUNT('Diário 6º PA'!$A$5:$A$2246)+ROW()-4)</f>
        <v>3654</v>
      </c>
      <c r="B1115" s="278">
        <v>44447</v>
      </c>
      <c r="C1115" s="335">
        <v>44440</v>
      </c>
      <c r="D1115" s="255" t="s">
        <v>99</v>
      </c>
      <c r="E1115" s="255" t="s">
        <v>272</v>
      </c>
      <c r="F1115" s="258">
        <v>10.45</v>
      </c>
      <c r="G1115" s="450" t="s">
        <v>1318</v>
      </c>
      <c r="H1115" s="252" t="s">
        <v>118</v>
      </c>
      <c r="I1115" s="250" t="s">
        <v>949</v>
      </c>
      <c r="J1115" s="255" t="s">
        <v>950</v>
      </c>
      <c r="K1115" s="255" t="s">
        <v>951</v>
      </c>
      <c r="L1115" s="250" t="s">
        <v>947</v>
      </c>
      <c r="M1115" s="336" t="s">
        <v>114</v>
      </c>
      <c r="N1115" s="278">
        <v>44447</v>
      </c>
      <c r="O1115" s="329" t="s">
        <v>67</v>
      </c>
      <c r="P1115" s="330">
        <f t="shared" si="100"/>
        <v>9</v>
      </c>
      <c r="Q1115" s="330">
        <f t="shared" si="101"/>
        <v>9</v>
      </c>
      <c r="R1115" s="331" t="str">
        <f t="shared" si="102"/>
        <v>Gastos_Gerais</v>
      </c>
      <c r="S1115" s="331" t="str">
        <f>IF(D1115="","",IF(OR(D1115=Plano!$A$1,D1115=Plano!$B$1),"entrada","saída"))</f>
        <v>saída</v>
      </c>
      <c r="T1115" s="332" t="s">
        <v>114</v>
      </c>
      <c r="U1115" s="332" t="s">
        <v>114</v>
      </c>
      <c r="V1115" s="269"/>
      <c r="W1115" s="269"/>
      <c r="X1115" s="269"/>
      <c r="Y1115" s="269"/>
      <c r="Z1115" s="269"/>
      <c r="AA1115" s="269"/>
      <c r="AB1115" s="269"/>
      <c r="AC1115" s="269"/>
      <c r="AD1115" s="269"/>
      <c r="AE1115" s="269"/>
      <c r="AF1115" s="269"/>
      <c r="AG1115" s="269"/>
      <c r="AH1115" s="269"/>
      <c r="AI1115" s="269"/>
      <c r="AJ1115" s="269"/>
      <c r="AK1115" s="269"/>
      <c r="AL1115" s="269"/>
      <c r="AM1115" s="269"/>
    </row>
    <row r="1116" spans="1:39" ht="49.5" customHeight="1" x14ac:dyDescent="0.2">
      <c r="A1116" s="277">
        <f>IF(B1116="","",COUNT('Diário 5º PA'!$A$5:$A$2634)+COUNT('Diário 6º PA'!$A$5:$A$2246)+ROW()-4)</f>
        <v>3655</v>
      </c>
      <c r="B1116" s="278">
        <v>44447</v>
      </c>
      <c r="C1116" s="335">
        <v>44440</v>
      </c>
      <c r="D1116" s="255" t="s">
        <v>99</v>
      </c>
      <c r="E1116" s="255" t="s">
        <v>272</v>
      </c>
      <c r="F1116" s="258">
        <v>10.45</v>
      </c>
      <c r="G1116" s="450" t="s">
        <v>2365</v>
      </c>
      <c r="H1116" s="250" t="s">
        <v>131</v>
      </c>
      <c r="I1116" s="250" t="s">
        <v>949</v>
      </c>
      <c r="J1116" s="255" t="s">
        <v>950</v>
      </c>
      <c r="K1116" s="255" t="s">
        <v>951</v>
      </c>
      <c r="L1116" s="250" t="s">
        <v>947</v>
      </c>
      <c r="M1116" s="336" t="s">
        <v>114</v>
      </c>
      <c r="N1116" s="278">
        <v>44447</v>
      </c>
      <c r="O1116" s="329" t="s">
        <v>67</v>
      </c>
      <c r="P1116" s="330">
        <f t="shared" si="100"/>
        <v>9</v>
      </c>
      <c r="Q1116" s="330">
        <f t="shared" si="101"/>
        <v>9</v>
      </c>
      <c r="R1116" s="331" t="str">
        <f t="shared" si="102"/>
        <v>Gastos_Gerais</v>
      </c>
      <c r="S1116" s="331" t="str">
        <f>IF(D1116="","",IF(OR(D1116=Plano!$A$1,D1116=Plano!$B$1),"entrada","saída"))</f>
        <v>saída</v>
      </c>
      <c r="T1116" s="332" t="s">
        <v>114</v>
      </c>
      <c r="U1116" s="332" t="s">
        <v>114</v>
      </c>
      <c r="V1116" s="269"/>
      <c r="W1116" s="269"/>
      <c r="X1116" s="269"/>
      <c r="Y1116" s="269"/>
      <c r="Z1116" s="269"/>
      <c r="AA1116" s="269"/>
      <c r="AB1116" s="269"/>
      <c r="AC1116" s="269"/>
      <c r="AD1116" s="269"/>
      <c r="AE1116" s="269"/>
      <c r="AF1116" s="269"/>
      <c r="AG1116" s="269"/>
      <c r="AH1116" s="269"/>
      <c r="AI1116" s="269"/>
      <c r="AJ1116" s="269"/>
      <c r="AK1116" s="269"/>
      <c r="AL1116" s="269"/>
      <c r="AM1116" s="269"/>
    </row>
    <row r="1117" spans="1:39" ht="49.5" customHeight="1" x14ac:dyDescent="0.2">
      <c r="A1117" s="277">
        <f>IF(B1117="","",COUNT('Diário 5º PA'!$A$5:$A$2634)+COUNT('Diário 6º PA'!$A$5:$A$2246)+ROW()-4)</f>
        <v>3656</v>
      </c>
      <c r="B1117" s="278">
        <v>44447</v>
      </c>
      <c r="C1117" s="335">
        <v>44440</v>
      </c>
      <c r="D1117" s="255" t="s">
        <v>99</v>
      </c>
      <c r="E1117" s="255" t="s">
        <v>272</v>
      </c>
      <c r="F1117" s="258">
        <v>10.45</v>
      </c>
      <c r="G1117" s="450" t="s">
        <v>1318</v>
      </c>
      <c r="H1117" s="252" t="s">
        <v>118</v>
      </c>
      <c r="I1117" s="250" t="s">
        <v>949</v>
      </c>
      <c r="J1117" s="255" t="s">
        <v>950</v>
      </c>
      <c r="K1117" s="255" t="s">
        <v>951</v>
      </c>
      <c r="L1117" s="250" t="s">
        <v>947</v>
      </c>
      <c r="M1117" s="336" t="s">
        <v>114</v>
      </c>
      <c r="N1117" s="278">
        <v>44447</v>
      </c>
      <c r="O1117" s="329" t="s">
        <v>67</v>
      </c>
      <c r="P1117" s="330">
        <f t="shared" si="100"/>
        <v>9</v>
      </c>
      <c r="Q1117" s="330">
        <f t="shared" si="101"/>
        <v>9</v>
      </c>
      <c r="R1117" s="331" t="str">
        <f t="shared" si="102"/>
        <v>Gastos_Gerais</v>
      </c>
      <c r="S1117" s="331" t="str">
        <f>IF(D1117="","",IF(OR(D1117=Plano!$A$1,D1117=Plano!$B$1),"entrada","saída"))</f>
        <v>saída</v>
      </c>
      <c r="T1117" s="332" t="s">
        <v>114</v>
      </c>
      <c r="U1117" s="332" t="s">
        <v>114</v>
      </c>
      <c r="V1117" s="269"/>
      <c r="W1117" s="269"/>
      <c r="X1117" s="269"/>
      <c r="Y1117" s="269"/>
      <c r="Z1117" s="269"/>
      <c r="AA1117" s="269"/>
      <c r="AB1117" s="269"/>
      <c r="AC1117" s="269"/>
      <c r="AD1117" s="269"/>
      <c r="AE1117" s="269"/>
      <c r="AF1117" s="269"/>
      <c r="AG1117" s="269"/>
      <c r="AH1117" s="269"/>
      <c r="AI1117" s="269"/>
      <c r="AJ1117" s="269"/>
      <c r="AK1117" s="269"/>
      <c r="AL1117" s="269"/>
      <c r="AM1117" s="269"/>
    </row>
    <row r="1118" spans="1:39" ht="49.5" customHeight="1" x14ac:dyDescent="0.2">
      <c r="A1118" s="277">
        <f>IF(B1118="","",COUNT('Diário 5º PA'!$A$5:$A$2634)+COUNT('Diário 6º PA'!$A$5:$A$2246)+ROW()-4)</f>
        <v>3657</v>
      </c>
      <c r="B1118" s="278">
        <v>44447</v>
      </c>
      <c r="C1118" s="335">
        <v>44440</v>
      </c>
      <c r="D1118" s="255" t="s">
        <v>99</v>
      </c>
      <c r="E1118" s="255" t="s">
        <v>272</v>
      </c>
      <c r="F1118" s="258">
        <v>10.45</v>
      </c>
      <c r="G1118" s="450" t="s">
        <v>1319</v>
      </c>
      <c r="H1118" s="252" t="s">
        <v>118</v>
      </c>
      <c r="I1118" s="250" t="s">
        <v>949</v>
      </c>
      <c r="J1118" s="255" t="s">
        <v>950</v>
      </c>
      <c r="K1118" s="255" t="s">
        <v>951</v>
      </c>
      <c r="L1118" s="250" t="s">
        <v>947</v>
      </c>
      <c r="M1118" s="336" t="s">
        <v>114</v>
      </c>
      <c r="N1118" s="278">
        <v>44447</v>
      </c>
      <c r="O1118" s="329" t="s">
        <v>67</v>
      </c>
      <c r="P1118" s="330">
        <f t="shared" si="100"/>
        <v>9</v>
      </c>
      <c r="Q1118" s="330">
        <f t="shared" si="101"/>
        <v>9</v>
      </c>
      <c r="R1118" s="331" t="str">
        <f t="shared" si="102"/>
        <v>Gastos_Gerais</v>
      </c>
      <c r="S1118" s="331" t="str">
        <f>IF(D1118="","",IF(OR(D1118=Plano!$A$1,D1118=Plano!$B$1),"entrada","saída"))</f>
        <v>saída</v>
      </c>
      <c r="T1118" s="332" t="s">
        <v>114</v>
      </c>
      <c r="U1118" s="332" t="s">
        <v>114</v>
      </c>
      <c r="V1118" s="269"/>
      <c r="W1118" s="269"/>
      <c r="X1118" s="269"/>
      <c r="Y1118" s="269"/>
      <c r="Z1118" s="269"/>
      <c r="AA1118" s="269"/>
      <c r="AB1118" s="269"/>
      <c r="AC1118" s="269"/>
      <c r="AD1118" s="269"/>
      <c r="AE1118" s="269"/>
      <c r="AF1118" s="269"/>
      <c r="AG1118" s="269"/>
      <c r="AH1118" s="269"/>
      <c r="AI1118" s="269"/>
      <c r="AJ1118" s="269"/>
      <c r="AK1118" s="269"/>
      <c r="AL1118" s="269"/>
      <c r="AM1118" s="269"/>
    </row>
    <row r="1119" spans="1:39" s="446" customFormat="1" ht="49.5" customHeight="1" x14ac:dyDescent="0.2">
      <c r="A1119" s="277">
        <f>IF(B1119="","",COUNT('Diário 5º PA'!$A$5:$A$2634)+COUNT('Diário 6º PA'!$A$5:$A$2246)+ROW()-4)</f>
        <v>3658</v>
      </c>
      <c r="B1119" s="278">
        <v>44447</v>
      </c>
      <c r="C1119" s="249">
        <v>44378</v>
      </c>
      <c r="D1119" s="250" t="s">
        <v>104</v>
      </c>
      <c r="E1119" s="250" t="s">
        <v>104</v>
      </c>
      <c r="F1119" s="251">
        <v>125</v>
      </c>
      <c r="G1119" s="452" t="s">
        <v>551</v>
      </c>
      <c r="H1119" s="250" t="s">
        <v>104</v>
      </c>
      <c r="I1119" s="252" t="s">
        <v>465</v>
      </c>
      <c r="J1119" s="440" t="s">
        <v>114</v>
      </c>
      <c r="K1119" s="440" t="s">
        <v>466</v>
      </c>
      <c r="L1119" s="440" t="s">
        <v>467</v>
      </c>
      <c r="M1119" s="336">
        <v>2981</v>
      </c>
      <c r="N1119" s="278">
        <v>44447</v>
      </c>
      <c r="O1119" s="329" t="s">
        <v>68</v>
      </c>
      <c r="P1119" s="330">
        <f t="shared" ref="P1119" si="103">IF(B1119=0,0,IF(YEAR(B1119)=$Q$1,MONTH(B1119)-$P$1+1,(YEAR(B1119)-$Q$1)*12-$P$1+1+MONTH(B1119)))</f>
        <v>9</v>
      </c>
      <c r="Q1119" s="330">
        <f t="shared" ref="Q1119:Q1120" si="104">IF(C1119=0,0,IF(YEAR(C1119)=$Q$1,MONTH(C1119)-$P$1+1,(YEAR(C1119)-$Q$1)*12-$P$1+1+MONTH(C1119)))</f>
        <v>7</v>
      </c>
      <c r="R1119" s="331" t="str">
        <f t="shared" ref="R1119:R1120" si="105">SUBSTITUTE(D1119," ","_")</f>
        <v>Gastos_custeados_por_captação</v>
      </c>
      <c r="S1119" s="331" t="str">
        <f>IF(D1119="","",IF(OR(D1119=Plano!$A$1,D1119=Plano!$B$1),"entrada","saída"))</f>
        <v>saída</v>
      </c>
      <c r="T1119" s="332" t="s">
        <v>114</v>
      </c>
      <c r="U1119" s="332" t="s">
        <v>114</v>
      </c>
      <c r="V1119" s="439"/>
      <c r="W1119" s="439"/>
      <c r="X1119" s="439"/>
      <c r="Y1119" s="439"/>
      <c r="Z1119" s="439"/>
      <c r="AA1119" s="439"/>
      <c r="AB1119" s="439"/>
      <c r="AC1119" s="439"/>
      <c r="AD1119" s="439"/>
      <c r="AE1119" s="439"/>
      <c r="AF1119" s="439"/>
      <c r="AG1119" s="439"/>
      <c r="AH1119" s="439"/>
      <c r="AI1119" s="439"/>
      <c r="AJ1119" s="439"/>
      <c r="AK1119" s="439"/>
      <c r="AL1119" s="439"/>
      <c r="AM1119" s="439"/>
    </row>
    <row r="1120" spans="1:39" s="446" customFormat="1" ht="49.5" customHeight="1" x14ac:dyDescent="0.2">
      <c r="A1120" s="277">
        <f>IF(B1120="","",COUNT('Diário 5º PA'!$A$5:$A$2634)+COUNT('Diário 6º PA'!$A$5:$A$2246)+ROW()-4)</f>
        <v>3659</v>
      </c>
      <c r="B1120" s="278">
        <v>44447</v>
      </c>
      <c r="C1120" s="249">
        <v>44378</v>
      </c>
      <c r="D1120" s="250" t="s">
        <v>104</v>
      </c>
      <c r="E1120" s="250" t="s">
        <v>104</v>
      </c>
      <c r="F1120" s="251">
        <v>75</v>
      </c>
      <c r="G1120" s="452" t="s">
        <v>544</v>
      </c>
      <c r="H1120" s="250" t="s">
        <v>104</v>
      </c>
      <c r="I1120" s="252" t="s">
        <v>465</v>
      </c>
      <c r="J1120" s="440" t="s">
        <v>114</v>
      </c>
      <c r="K1120" s="440" t="s">
        <v>466</v>
      </c>
      <c r="L1120" s="440" t="s">
        <v>467</v>
      </c>
      <c r="M1120" s="336">
        <v>2982</v>
      </c>
      <c r="N1120" s="278">
        <v>44447</v>
      </c>
      <c r="O1120" s="329" t="s">
        <v>68</v>
      </c>
      <c r="P1120" s="330">
        <f t="shared" ref="P1120:P1132" si="106">IF(B1120=0,0,IF(YEAR(B1120)=$Q$1,MONTH(B1120)-$P$1+1,(YEAR(B1120)-$Q$1)*12-$P$1+1+MONTH(B1120)))</f>
        <v>9</v>
      </c>
      <c r="Q1120" s="330">
        <f t="shared" si="104"/>
        <v>7</v>
      </c>
      <c r="R1120" s="331" t="str">
        <f t="shared" si="105"/>
        <v>Gastos_custeados_por_captação</v>
      </c>
      <c r="S1120" s="331" t="str">
        <f>IF(D1120="","",IF(OR(D1120=Plano!$A$1,D1120=Plano!$B$1),"entrada","saída"))</f>
        <v>saída</v>
      </c>
      <c r="T1120" s="332" t="s">
        <v>114</v>
      </c>
      <c r="U1120" s="332" t="s">
        <v>114</v>
      </c>
      <c r="V1120" s="439"/>
      <c r="W1120" s="439"/>
      <c r="X1120" s="439"/>
      <c r="Y1120" s="439"/>
      <c r="Z1120" s="439"/>
      <c r="AA1120" s="439"/>
      <c r="AB1120" s="439"/>
      <c r="AC1120" s="439"/>
      <c r="AD1120" s="439"/>
      <c r="AE1120" s="439"/>
      <c r="AF1120" s="439"/>
      <c r="AG1120" s="439"/>
      <c r="AH1120" s="439"/>
      <c r="AI1120" s="439"/>
      <c r="AJ1120" s="439"/>
      <c r="AK1120" s="439"/>
      <c r="AL1120" s="439"/>
      <c r="AM1120" s="439"/>
    </row>
    <row r="1121" spans="1:39" s="446" customFormat="1" ht="49.5" customHeight="1" x14ac:dyDescent="0.2">
      <c r="A1121" s="277">
        <f>IF(B1121="","",COUNT('Diário 5º PA'!$A$5:$A$2634)+COUNT('Diário 6º PA'!$A$5:$A$2246)+ROW()-4)</f>
        <v>3660</v>
      </c>
      <c r="B1121" s="278">
        <v>44447</v>
      </c>
      <c r="C1121" s="249">
        <v>44378</v>
      </c>
      <c r="D1121" s="250" t="s">
        <v>104</v>
      </c>
      <c r="E1121" s="250" t="s">
        <v>104</v>
      </c>
      <c r="F1121" s="251">
        <v>120</v>
      </c>
      <c r="G1121" s="452" t="s">
        <v>893</v>
      </c>
      <c r="H1121" s="250" t="s">
        <v>104</v>
      </c>
      <c r="I1121" s="250" t="s">
        <v>465</v>
      </c>
      <c r="J1121" s="440" t="s">
        <v>114</v>
      </c>
      <c r="K1121" s="440" t="s">
        <v>466</v>
      </c>
      <c r="L1121" s="440" t="s">
        <v>467</v>
      </c>
      <c r="M1121" s="336">
        <v>3005</v>
      </c>
      <c r="N1121" s="278">
        <v>44447</v>
      </c>
      <c r="O1121" s="329" t="s">
        <v>69</v>
      </c>
      <c r="P1121" s="330">
        <f t="shared" si="106"/>
        <v>9</v>
      </c>
      <c r="Q1121" s="330">
        <f t="shared" ref="Q1121:Q1132" si="107">IF(C1121=0,0,IF(YEAR(C1121)=$Q$1,MONTH(C1121)-$P$1+1,(YEAR(C1121)-$Q$1)*12-$P$1+1+MONTH(C1121)))</f>
        <v>7</v>
      </c>
      <c r="R1121" s="331" t="str">
        <f t="shared" ref="R1121:R1132" si="108">SUBSTITUTE(D1121," ","_")</f>
        <v>Gastos_custeados_por_captação</v>
      </c>
      <c r="S1121" s="331" t="str">
        <f>IF(D1121="","",IF(OR(D1121=Plano!$A$1,D1121=Plano!$B$1),"entrada","saída"))</f>
        <v>saída</v>
      </c>
      <c r="T1121" s="462" t="s">
        <v>114</v>
      </c>
      <c r="U1121" s="462" t="s">
        <v>114</v>
      </c>
      <c r="V1121" s="439"/>
      <c r="W1121" s="439"/>
      <c r="X1121" s="439"/>
      <c r="Y1121" s="439"/>
      <c r="Z1121" s="439"/>
      <c r="AA1121" s="439"/>
      <c r="AB1121" s="439"/>
      <c r="AC1121" s="439"/>
      <c r="AD1121" s="439"/>
      <c r="AE1121" s="439"/>
      <c r="AF1121" s="439"/>
      <c r="AG1121" s="439"/>
      <c r="AH1121" s="439"/>
      <c r="AI1121" s="439"/>
      <c r="AJ1121" s="439"/>
      <c r="AK1121" s="439"/>
      <c r="AL1121" s="439"/>
      <c r="AM1121" s="439"/>
    </row>
    <row r="1122" spans="1:39" s="446" customFormat="1" ht="49.5" customHeight="1" x14ac:dyDescent="0.2">
      <c r="A1122" s="277">
        <f>IF(B1122="","",COUNT('Diário 5º PA'!$A$5:$A$2634)+COUNT('Diário 6º PA'!$A$5:$A$2246)+ROW()-4)</f>
        <v>3661</v>
      </c>
      <c r="B1122" s="278">
        <v>44447</v>
      </c>
      <c r="C1122" s="249">
        <v>44378</v>
      </c>
      <c r="D1122" s="250" t="s">
        <v>104</v>
      </c>
      <c r="E1122" s="250" t="s">
        <v>104</v>
      </c>
      <c r="F1122" s="251">
        <v>120</v>
      </c>
      <c r="G1122" s="452" t="s">
        <v>787</v>
      </c>
      <c r="H1122" s="250" t="s">
        <v>104</v>
      </c>
      <c r="I1122" s="250" t="s">
        <v>465</v>
      </c>
      <c r="J1122" s="440" t="s">
        <v>114</v>
      </c>
      <c r="K1122" s="440" t="s">
        <v>466</v>
      </c>
      <c r="L1122" s="440" t="s">
        <v>467</v>
      </c>
      <c r="M1122" s="336">
        <v>3006</v>
      </c>
      <c r="N1122" s="278">
        <v>44447</v>
      </c>
      <c r="O1122" s="329" t="s">
        <v>69</v>
      </c>
      <c r="P1122" s="330">
        <f t="shared" si="106"/>
        <v>9</v>
      </c>
      <c r="Q1122" s="330">
        <f t="shared" si="107"/>
        <v>7</v>
      </c>
      <c r="R1122" s="331" t="str">
        <f t="shared" si="108"/>
        <v>Gastos_custeados_por_captação</v>
      </c>
      <c r="S1122" s="331" t="str">
        <f>IF(D1122="","",IF(OR(D1122=Plano!$A$1,D1122=Plano!$B$1),"entrada","saída"))</f>
        <v>saída</v>
      </c>
      <c r="T1122" s="462" t="s">
        <v>114</v>
      </c>
      <c r="U1122" s="462" t="s">
        <v>114</v>
      </c>
      <c r="V1122" s="439"/>
      <c r="W1122" s="439"/>
      <c r="X1122" s="439"/>
      <c r="Y1122" s="439"/>
      <c r="Z1122" s="439"/>
      <c r="AA1122" s="439"/>
      <c r="AB1122" s="439"/>
      <c r="AC1122" s="439"/>
      <c r="AD1122" s="439"/>
      <c r="AE1122" s="439"/>
      <c r="AF1122" s="439"/>
      <c r="AG1122" s="439"/>
      <c r="AH1122" s="439"/>
      <c r="AI1122" s="439"/>
      <c r="AJ1122" s="439"/>
      <c r="AK1122" s="439"/>
      <c r="AL1122" s="439"/>
      <c r="AM1122" s="439"/>
    </row>
    <row r="1123" spans="1:39" s="446" customFormat="1" ht="49.5" customHeight="1" x14ac:dyDescent="0.2">
      <c r="A1123" s="277">
        <f>IF(B1123="","",COUNT('Diário 5º PA'!$A$5:$A$2634)+COUNT('Diário 6º PA'!$A$5:$A$2246)+ROW()-4)</f>
        <v>3662</v>
      </c>
      <c r="B1123" s="278">
        <v>44447</v>
      </c>
      <c r="C1123" s="249">
        <v>44378</v>
      </c>
      <c r="D1123" s="250" t="s">
        <v>104</v>
      </c>
      <c r="E1123" s="250" t="s">
        <v>104</v>
      </c>
      <c r="F1123" s="251">
        <v>120</v>
      </c>
      <c r="G1123" s="452" t="s">
        <v>789</v>
      </c>
      <c r="H1123" s="250" t="s">
        <v>104</v>
      </c>
      <c r="I1123" s="250" t="s">
        <v>465</v>
      </c>
      <c r="J1123" s="440" t="s">
        <v>114</v>
      </c>
      <c r="K1123" s="440" t="s">
        <v>466</v>
      </c>
      <c r="L1123" s="440" t="s">
        <v>467</v>
      </c>
      <c r="M1123" s="336">
        <v>3007</v>
      </c>
      <c r="N1123" s="278">
        <v>44447</v>
      </c>
      <c r="O1123" s="329" t="s">
        <v>69</v>
      </c>
      <c r="P1123" s="330">
        <f t="shared" si="106"/>
        <v>9</v>
      </c>
      <c r="Q1123" s="330">
        <f t="shared" si="107"/>
        <v>7</v>
      </c>
      <c r="R1123" s="331" t="str">
        <f t="shared" si="108"/>
        <v>Gastos_custeados_por_captação</v>
      </c>
      <c r="S1123" s="331" t="str">
        <f>IF(D1123="","",IF(OR(D1123=Plano!$A$1,D1123=Plano!$B$1),"entrada","saída"))</f>
        <v>saída</v>
      </c>
      <c r="T1123" s="462" t="s">
        <v>114</v>
      </c>
      <c r="U1123" s="462" t="s">
        <v>114</v>
      </c>
      <c r="V1123" s="439"/>
      <c r="W1123" s="439"/>
      <c r="X1123" s="439"/>
      <c r="Y1123" s="439"/>
      <c r="Z1123" s="439"/>
      <c r="AA1123" s="439"/>
      <c r="AB1123" s="439"/>
      <c r="AC1123" s="439"/>
      <c r="AD1123" s="439"/>
      <c r="AE1123" s="439"/>
      <c r="AF1123" s="439"/>
      <c r="AG1123" s="439"/>
      <c r="AH1123" s="439"/>
      <c r="AI1123" s="439"/>
      <c r="AJ1123" s="439"/>
      <c r="AK1123" s="439"/>
      <c r="AL1123" s="439"/>
      <c r="AM1123" s="439"/>
    </row>
    <row r="1124" spans="1:39" s="446" customFormat="1" ht="49.5" customHeight="1" x14ac:dyDescent="0.2">
      <c r="A1124" s="277">
        <f>IF(B1124="","",COUNT('Diário 5º PA'!$A$5:$A$2634)+COUNT('Diário 6º PA'!$A$5:$A$2246)+ROW()-4)</f>
        <v>3663</v>
      </c>
      <c r="B1124" s="278">
        <v>44447</v>
      </c>
      <c r="C1124" s="249">
        <v>44378</v>
      </c>
      <c r="D1124" s="250" t="s">
        <v>104</v>
      </c>
      <c r="E1124" s="250" t="s">
        <v>104</v>
      </c>
      <c r="F1124" s="251">
        <v>120</v>
      </c>
      <c r="G1124" s="452" t="s">
        <v>791</v>
      </c>
      <c r="H1124" s="250" t="s">
        <v>104</v>
      </c>
      <c r="I1124" s="250" t="s">
        <v>465</v>
      </c>
      <c r="J1124" s="440" t="s">
        <v>114</v>
      </c>
      <c r="K1124" s="440" t="s">
        <v>466</v>
      </c>
      <c r="L1124" s="440" t="s">
        <v>467</v>
      </c>
      <c r="M1124" s="336">
        <v>3008</v>
      </c>
      <c r="N1124" s="278">
        <v>44447</v>
      </c>
      <c r="O1124" s="329" t="s">
        <v>69</v>
      </c>
      <c r="P1124" s="330">
        <f t="shared" si="106"/>
        <v>9</v>
      </c>
      <c r="Q1124" s="330">
        <f t="shared" si="107"/>
        <v>7</v>
      </c>
      <c r="R1124" s="331" t="str">
        <f t="shared" si="108"/>
        <v>Gastos_custeados_por_captação</v>
      </c>
      <c r="S1124" s="331" t="str">
        <f>IF(D1124="","",IF(OR(D1124=Plano!$A$1,D1124=Plano!$B$1),"entrada","saída"))</f>
        <v>saída</v>
      </c>
      <c r="T1124" s="462" t="s">
        <v>114</v>
      </c>
      <c r="U1124" s="462" t="s">
        <v>114</v>
      </c>
      <c r="V1124" s="439"/>
      <c r="W1124" s="439"/>
      <c r="X1124" s="439"/>
      <c r="Y1124" s="439"/>
      <c r="Z1124" s="439"/>
      <c r="AA1124" s="439"/>
      <c r="AB1124" s="439"/>
      <c r="AC1124" s="439"/>
      <c r="AD1124" s="439"/>
      <c r="AE1124" s="439"/>
      <c r="AF1124" s="439"/>
      <c r="AG1124" s="439"/>
      <c r="AH1124" s="439"/>
      <c r="AI1124" s="439"/>
      <c r="AJ1124" s="439"/>
      <c r="AK1124" s="439"/>
      <c r="AL1124" s="439"/>
      <c r="AM1124" s="439"/>
    </row>
    <row r="1125" spans="1:39" s="446" customFormat="1" ht="49.5" customHeight="1" x14ac:dyDescent="0.2">
      <c r="A1125" s="277">
        <f>IF(B1125="","",COUNT('Diário 5º PA'!$A$5:$A$2634)+COUNT('Diário 6º PA'!$A$5:$A$2246)+ROW()-4)</f>
        <v>3664</v>
      </c>
      <c r="B1125" s="278">
        <v>44447</v>
      </c>
      <c r="C1125" s="249">
        <v>44378</v>
      </c>
      <c r="D1125" s="250" t="s">
        <v>104</v>
      </c>
      <c r="E1125" s="250" t="s">
        <v>104</v>
      </c>
      <c r="F1125" s="251">
        <v>120</v>
      </c>
      <c r="G1125" s="452" t="s">
        <v>780</v>
      </c>
      <c r="H1125" s="250" t="s">
        <v>104</v>
      </c>
      <c r="I1125" s="250" t="s">
        <v>465</v>
      </c>
      <c r="J1125" s="440" t="s">
        <v>114</v>
      </c>
      <c r="K1125" s="440" t="s">
        <v>466</v>
      </c>
      <c r="L1125" s="440" t="s">
        <v>467</v>
      </c>
      <c r="M1125" s="336">
        <v>3009</v>
      </c>
      <c r="N1125" s="278">
        <v>44447</v>
      </c>
      <c r="O1125" s="329" t="s">
        <v>69</v>
      </c>
      <c r="P1125" s="330">
        <f t="shared" si="106"/>
        <v>9</v>
      </c>
      <c r="Q1125" s="330">
        <f t="shared" si="107"/>
        <v>7</v>
      </c>
      <c r="R1125" s="331" t="str">
        <f t="shared" si="108"/>
        <v>Gastos_custeados_por_captação</v>
      </c>
      <c r="S1125" s="331" t="str">
        <f>IF(D1125="","",IF(OR(D1125=Plano!$A$1,D1125=Plano!$B$1),"entrada","saída"))</f>
        <v>saída</v>
      </c>
      <c r="T1125" s="462" t="s">
        <v>114</v>
      </c>
      <c r="U1125" s="462" t="s">
        <v>114</v>
      </c>
      <c r="V1125" s="439"/>
      <c r="W1125" s="439"/>
      <c r="X1125" s="439"/>
      <c r="Y1125" s="439"/>
      <c r="Z1125" s="439"/>
      <c r="AA1125" s="439"/>
      <c r="AB1125" s="439"/>
      <c r="AC1125" s="439"/>
      <c r="AD1125" s="439"/>
      <c r="AE1125" s="439"/>
      <c r="AF1125" s="439"/>
      <c r="AG1125" s="439"/>
      <c r="AH1125" s="439"/>
      <c r="AI1125" s="439"/>
      <c r="AJ1125" s="439"/>
      <c r="AK1125" s="439"/>
      <c r="AL1125" s="439"/>
      <c r="AM1125" s="439"/>
    </row>
    <row r="1126" spans="1:39" s="446" customFormat="1" ht="49.5" customHeight="1" x14ac:dyDescent="0.2">
      <c r="A1126" s="277">
        <f>IF(B1126="","",COUNT('Diário 5º PA'!$A$5:$A$2634)+COUNT('Diário 6º PA'!$A$5:$A$2246)+ROW()-4)</f>
        <v>3665</v>
      </c>
      <c r="B1126" s="278">
        <v>44447</v>
      </c>
      <c r="C1126" s="249">
        <v>44378</v>
      </c>
      <c r="D1126" s="250" t="s">
        <v>104</v>
      </c>
      <c r="E1126" s="250" t="s">
        <v>104</v>
      </c>
      <c r="F1126" s="251">
        <v>120</v>
      </c>
      <c r="G1126" s="452" t="s">
        <v>793</v>
      </c>
      <c r="H1126" s="250" t="s">
        <v>104</v>
      </c>
      <c r="I1126" s="250" t="s">
        <v>465</v>
      </c>
      <c r="J1126" s="440" t="s">
        <v>114</v>
      </c>
      <c r="K1126" s="440" t="s">
        <v>466</v>
      </c>
      <c r="L1126" s="440" t="s">
        <v>467</v>
      </c>
      <c r="M1126" s="336">
        <v>3010</v>
      </c>
      <c r="N1126" s="278">
        <v>44447</v>
      </c>
      <c r="O1126" s="329" t="s">
        <v>69</v>
      </c>
      <c r="P1126" s="330">
        <f t="shared" si="106"/>
        <v>9</v>
      </c>
      <c r="Q1126" s="330">
        <f t="shared" si="107"/>
        <v>7</v>
      </c>
      <c r="R1126" s="331" t="str">
        <f t="shared" si="108"/>
        <v>Gastos_custeados_por_captação</v>
      </c>
      <c r="S1126" s="331" t="str">
        <f>IF(D1126="","",IF(OR(D1126=Plano!$A$1,D1126=Plano!$B$1),"entrada","saída"))</f>
        <v>saída</v>
      </c>
      <c r="T1126" s="462" t="s">
        <v>114</v>
      </c>
      <c r="U1126" s="462" t="s">
        <v>114</v>
      </c>
      <c r="V1126" s="439"/>
      <c r="W1126" s="439"/>
      <c r="X1126" s="439"/>
      <c r="Y1126" s="439"/>
      <c r="Z1126" s="439"/>
      <c r="AA1126" s="439"/>
      <c r="AB1126" s="439"/>
      <c r="AC1126" s="439"/>
      <c r="AD1126" s="439"/>
      <c r="AE1126" s="439"/>
      <c r="AF1126" s="439"/>
      <c r="AG1126" s="439"/>
      <c r="AH1126" s="439"/>
      <c r="AI1126" s="439"/>
      <c r="AJ1126" s="439"/>
      <c r="AK1126" s="439"/>
      <c r="AL1126" s="439"/>
      <c r="AM1126" s="439"/>
    </row>
    <row r="1127" spans="1:39" s="446" customFormat="1" ht="49.5" customHeight="1" x14ac:dyDescent="0.2">
      <c r="A1127" s="277">
        <f>IF(B1127="","",COUNT('Diário 5º PA'!$A$5:$A$2634)+COUNT('Diário 6º PA'!$A$5:$A$2246)+ROW()-4)</f>
        <v>3666</v>
      </c>
      <c r="B1127" s="278">
        <v>44447</v>
      </c>
      <c r="C1127" s="249">
        <v>44378</v>
      </c>
      <c r="D1127" s="250" t="s">
        <v>104</v>
      </c>
      <c r="E1127" s="250" t="s">
        <v>104</v>
      </c>
      <c r="F1127" s="251">
        <v>120</v>
      </c>
      <c r="G1127" s="452" t="s">
        <v>795</v>
      </c>
      <c r="H1127" s="250" t="s">
        <v>104</v>
      </c>
      <c r="I1127" s="250" t="s">
        <v>465</v>
      </c>
      <c r="J1127" s="440" t="s">
        <v>114</v>
      </c>
      <c r="K1127" s="440" t="s">
        <v>466</v>
      </c>
      <c r="L1127" s="440" t="s">
        <v>467</v>
      </c>
      <c r="M1127" s="336">
        <v>3011</v>
      </c>
      <c r="N1127" s="278">
        <v>44447</v>
      </c>
      <c r="O1127" s="329" t="s">
        <v>69</v>
      </c>
      <c r="P1127" s="330">
        <f t="shared" si="106"/>
        <v>9</v>
      </c>
      <c r="Q1127" s="330">
        <f t="shared" si="107"/>
        <v>7</v>
      </c>
      <c r="R1127" s="331" t="str">
        <f t="shared" si="108"/>
        <v>Gastos_custeados_por_captação</v>
      </c>
      <c r="S1127" s="331" t="str">
        <f>IF(D1127="","",IF(OR(D1127=Plano!$A$1,D1127=Plano!$B$1),"entrada","saída"))</f>
        <v>saída</v>
      </c>
      <c r="T1127" s="462" t="s">
        <v>114</v>
      </c>
      <c r="U1127" s="462" t="s">
        <v>114</v>
      </c>
      <c r="V1127" s="439"/>
      <c r="W1127" s="439"/>
      <c r="X1127" s="439"/>
      <c r="Y1127" s="439"/>
      <c r="Z1127" s="439"/>
      <c r="AA1127" s="439"/>
      <c r="AB1127" s="439"/>
      <c r="AC1127" s="439"/>
      <c r="AD1127" s="439"/>
      <c r="AE1127" s="439"/>
      <c r="AF1127" s="439"/>
      <c r="AG1127" s="439"/>
      <c r="AH1127" s="439"/>
      <c r="AI1127" s="439"/>
      <c r="AJ1127" s="439"/>
      <c r="AK1127" s="439"/>
      <c r="AL1127" s="439"/>
      <c r="AM1127" s="439"/>
    </row>
    <row r="1128" spans="1:39" s="446" customFormat="1" ht="49.5" customHeight="1" x14ac:dyDescent="0.2">
      <c r="A1128" s="277">
        <f>IF(B1128="","",COUNT('Diário 5º PA'!$A$5:$A$2634)+COUNT('Diário 6º PA'!$A$5:$A$2246)+ROW()-4)</f>
        <v>3667</v>
      </c>
      <c r="B1128" s="278">
        <v>44447</v>
      </c>
      <c r="C1128" s="249">
        <v>44378</v>
      </c>
      <c r="D1128" s="250" t="s">
        <v>104</v>
      </c>
      <c r="E1128" s="250" t="s">
        <v>104</v>
      </c>
      <c r="F1128" s="251">
        <v>120</v>
      </c>
      <c r="G1128" s="452" t="s">
        <v>797</v>
      </c>
      <c r="H1128" s="250" t="s">
        <v>104</v>
      </c>
      <c r="I1128" s="250" t="s">
        <v>465</v>
      </c>
      <c r="J1128" s="440" t="s">
        <v>114</v>
      </c>
      <c r="K1128" s="440" t="s">
        <v>466</v>
      </c>
      <c r="L1128" s="440" t="s">
        <v>467</v>
      </c>
      <c r="M1128" s="336">
        <v>3012</v>
      </c>
      <c r="N1128" s="278">
        <v>44447</v>
      </c>
      <c r="O1128" s="329" t="s">
        <v>69</v>
      </c>
      <c r="P1128" s="330">
        <f t="shared" si="106"/>
        <v>9</v>
      </c>
      <c r="Q1128" s="330">
        <f t="shared" si="107"/>
        <v>7</v>
      </c>
      <c r="R1128" s="331" t="str">
        <f t="shared" si="108"/>
        <v>Gastos_custeados_por_captação</v>
      </c>
      <c r="S1128" s="331" t="str">
        <f>IF(D1128="","",IF(OR(D1128=Plano!$A$1,D1128=Plano!$B$1),"entrada","saída"))</f>
        <v>saída</v>
      </c>
      <c r="T1128" s="462" t="s">
        <v>114</v>
      </c>
      <c r="U1128" s="462" t="s">
        <v>114</v>
      </c>
      <c r="V1128" s="439"/>
      <c r="W1128" s="439"/>
      <c r="X1128" s="439"/>
      <c r="Y1128" s="439"/>
      <c r="Z1128" s="439"/>
      <c r="AA1128" s="439"/>
      <c r="AB1128" s="439"/>
      <c r="AC1128" s="439"/>
      <c r="AD1128" s="439"/>
      <c r="AE1128" s="439"/>
      <c r="AF1128" s="439"/>
      <c r="AG1128" s="439"/>
      <c r="AH1128" s="439"/>
      <c r="AI1128" s="439"/>
      <c r="AJ1128" s="439"/>
      <c r="AK1128" s="439"/>
      <c r="AL1128" s="439"/>
      <c r="AM1128" s="439"/>
    </row>
    <row r="1129" spans="1:39" s="446" customFormat="1" ht="49.5" customHeight="1" x14ac:dyDescent="0.2">
      <c r="A1129" s="277">
        <f>IF(B1129="","",COUNT('Diário 5º PA'!$A$5:$A$2634)+COUNT('Diário 6º PA'!$A$5:$A$2246)+ROW()-4)</f>
        <v>3668</v>
      </c>
      <c r="B1129" s="278">
        <v>44447</v>
      </c>
      <c r="C1129" s="249">
        <v>44378</v>
      </c>
      <c r="D1129" s="250" t="s">
        <v>104</v>
      </c>
      <c r="E1129" s="250" t="s">
        <v>104</v>
      </c>
      <c r="F1129" s="251">
        <v>120</v>
      </c>
      <c r="G1129" s="452" t="s">
        <v>896</v>
      </c>
      <c r="H1129" s="250" t="s">
        <v>104</v>
      </c>
      <c r="I1129" s="250" t="s">
        <v>465</v>
      </c>
      <c r="J1129" s="440" t="s">
        <v>114</v>
      </c>
      <c r="K1129" s="440" t="s">
        <v>466</v>
      </c>
      <c r="L1129" s="440" t="s">
        <v>467</v>
      </c>
      <c r="M1129" s="336">
        <v>3013</v>
      </c>
      <c r="N1129" s="278">
        <v>44447</v>
      </c>
      <c r="O1129" s="329" t="s">
        <v>69</v>
      </c>
      <c r="P1129" s="330">
        <f t="shared" si="106"/>
        <v>9</v>
      </c>
      <c r="Q1129" s="330">
        <f t="shared" si="107"/>
        <v>7</v>
      </c>
      <c r="R1129" s="331" t="str">
        <f t="shared" si="108"/>
        <v>Gastos_custeados_por_captação</v>
      </c>
      <c r="S1129" s="331" t="str">
        <f>IF(D1129="","",IF(OR(D1129=Plano!$A$1,D1129=Plano!$B$1),"entrada","saída"))</f>
        <v>saída</v>
      </c>
      <c r="T1129" s="462" t="s">
        <v>114</v>
      </c>
      <c r="U1129" s="462" t="s">
        <v>114</v>
      </c>
      <c r="V1129" s="439"/>
      <c r="W1129" s="439"/>
      <c r="X1129" s="439"/>
      <c r="Y1129" s="439"/>
      <c r="Z1129" s="439"/>
      <c r="AA1129" s="439"/>
      <c r="AB1129" s="439"/>
      <c r="AC1129" s="439"/>
      <c r="AD1129" s="439"/>
      <c r="AE1129" s="439"/>
      <c r="AF1129" s="439"/>
      <c r="AG1129" s="439"/>
      <c r="AH1129" s="439"/>
      <c r="AI1129" s="439"/>
      <c r="AJ1129" s="439"/>
      <c r="AK1129" s="439"/>
      <c r="AL1129" s="439"/>
      <c r="AM1129" s="439"/>
    </row>
    <row r="1130" spans="1:39" s="446" customFormat="1" ht="49.5" customHeight="1" x14ac:dyDescent="0.2">
      <c r="A1130" s="277">
        <f>IF(B1130="","",COUNT('Diário 5º PA'!$A$5:$A$2634)+COUNT('Diário 6º PA'!$A$5:$A$2246)+ROW()-4)</f>
        <v>3669</v>
      </c>
      <c r="B1130" s="278">
        <v>44447</v>
      </c>
      <c r="C1130" s="249">
        <v>44378</v>
      </c>
      <c r="D1130" s="250" t="s">
        <v>104</v>
      </c>
      <c r="E1130" s="250" t="s">
        <v>104</v>
      </c>
      <c r="F1130" s="251">
        <v>120</v>
      </c>
      <c r="G1130" s="455" t="s">
        <v>5255</v>
      </c>
      <c r="H1130" s="250" t="s">
        <v>104</v>
      </c>
      <c r="I1130" s="250" t="s">
        <v>465</v>
      </c>
      <c r="J1130" s="440" t="s">
        <v>114</v>
      </c>
      <c r="K1130" s="440" t="s">
        <v>466</v>
      </c>
      <c r="L1130" s="440" t="s">
        <v>467</v>
      </c>
      <c r="M1130" s="336">
        <v>3014</v>
      </c>
      <c r="N1130" s="278">
        <v>44447</v>
      </c>
      <c r="O1130" s="329" t="s">
        <v>69</v>
      </c>
      <c r="P1130" s="330">
        <f t="shared" si="106"/>
        <v>9</v>
      </c>
      <c r="Q1130" s="330">
        <f t="shared" si="107"/>
        <v>7</v>
      </c>
      <c r="R1130" s="331" t="str">
        <f t="shared" si="108"/>
        <v>Gastos_custeados_por_captação</v>
      </c>
      <c r="S1130" s="331" t="str">
        <f>IF(D1130="","",IF(OR(D1130=Plano!$A$1,D1130=Plano!$B$1),"entrada","saída"))</f>
        <v>saída</v>
      </c>
      <c r="T1130" s="462" t="s">
        <v>114</v>
      </c>
      <c r="U1130" s="462" t="s">
        <v>114</v>
      </c>
      <c r="V1130" s="439"/>
      <c r="W1130" s="439"/>
      <c r="X1130" s="439"/>
      <c r="Y1130" s="439"/>
      <c r="Z1130" s="439"/>
      <c r="AA1130" s="439"/>
      <c r="AB1130" s="439"/>
      <c r="AC1130" s="439"/>
      <c r="AD1130" s="439"/>
      <c r="AE1130" s="439"/>
      <c r="AF1130" s="439"/>
      <c r="AG1130" s="439"/>
      <c r="AH1130" s="439"/>
      <c r="AI1130" s="439"/>
      <c r="AJ1130" s="439"/>
      <c r="AK1130" s="439"/>
      <c r="AL1130" s="439"/>
      <c r="AM1130" s="439"/>
    </row>
    <row r="1131" spans="1:39" s="446" customFormat="1" ht="49.5" customHeight="1" x14ac:dyDescent="0.2">
      <c r="A1131" s="277">
        <f>IF(B1131="","",COUNT('Diário 5º PA'!$A$5:$A$2634)+COUNT('Diário 6º PA'!$A$5:$A$2246)+ROW()-4)</f>
        <v>3670</v>
      </c>
      <c r="B1131" s="278">
        <v>44447</v>
      </c>
      <c r="C1131" s="249">
        <v>44409</v>
      </c>
      <c r="D1131" s="250" t="s">
        <v>104</v>
      </c>
      <c r="E1131" s="250" t="s">
        <v>104</v>
      </c>
      <c r="F1131" s="251">
        <v>175</v>
      </c>
      <c r="G1131" s="452" t="s">
        <v>566</v>
      </c>
      <c r="H1131" s="250" t="s">
        <v>104</v>
      </c>
      <c r="I1131" s="252" t="s">
        <v>465</v>
      </c>
      <c r="J1131" s="440" t="s">
        <v>114</v>
      </c>
      <c r="K1131" s="440" t="s">
        <v>466</v>
      </c>
      <c r="L1131" s="440" t="s">
        <v>467</v>
      </c>
      <c r="M1131" s="336">
        <v>3015</v>
      </c>
      <c r="N1131" s="278">
        <v>44447</v>
      </c>
      <c r="O1131" s="329" t="s">
        <v>69</v>
      </c>
      <c r="P1131" s="330">
        <f t="shared" si="106"/>
        <v>9</v>
      </c>
      <c r="Q1131" s="330">
        <f t="shared" si="107"/>
        <v>8</v>
      </c>
      <c r="R1131" s="331" t="str">
        <f t="shared" si="108"/>
        <v>Gastos_custeados_por_captação</v>
      </c>
      <c r="S1131" s="331" t="str">
        <f>IF(D1131="","",IF(OR(D1131=Plano!$A$1,D1131=Plano!$B$1),"entrada","saída"))</f>
        <v>saída</v>
      </c>
      <c r="T1131" s="462" t="s">
        <v>114</v>
      </c>
      <c r="U1131" s="462" t="s">
        <v>114</v>
      </c>
      <c r="V1131" s="439"/>
      <c r="W1131" s="439"/>
      <c r="X1131" s="439"/>
      <c r="Y1131" s="439"/>
      <c r="Z1131" s="439"/>
      <c r="AA1131" s="439"/>
      <c r="AB1131" s="439"/>
      <c r="AC1131" s="439"/>
      <c r="AD1131" s="439"/>
      <c r="AE1131" s="439"/>
      <c r="AF1131" s="439"/>
      <c r="AG1131" s="439"/>
      <c r="AH1131" s="439"/>
      <c r="AI1131" s="439"/>
      <c r="AJ1131" s="439"/>
      <c r="AK1131" s="439"/>
      <c r="AL1131" s="439"/>
      <c r="AM1131" s="439"/>
    </row>
    <row r="1132" spans="1:39" s="446" customFormat="1" ht="49.5" customHeight="1" x14ac:dyDescent="0.2">
      <c r="A1132" s="277">
        <f>IF(B1132="","",COUNT('Diário 5º PA'!$A$5:$A$2634)+COUNT('Diário 6º PA'!$A$5:$A$2246)+ROW()-4)</f>
        <v>3671</v>
      </c>
      <c r="B1132" s="278">
        <v>44447</v>
      </c>
      <c r="C1132" s="249">
        <v>44378</v>
      </c>
      <c r="D1132" s="250" t="s">
        <v>104</v>
      </c>
      <c r="E1132" s="250" t="s">
        <v>104</v>
      </c>
      <c r="F1132" s="251">
        <v>150</v>
      </c>
      <c r="G1132" s="455" t="s">
        <v>5258</v>
      </c>
      <c r="H1132" s="250" t="s">
        <v>104</v>
      </c>
      <c r="I1132" s="252" t="s">
        <v>465</v>
      </c>
      <c r="J1132" s="440" t="s">
        <v>114</v>
      </c>
      <c r="K1132" s="440" t="s">
        <v>466</v>
      </c>
      <c r="L1132" s="440" t="s">
        <v>467</v>
      </c>
      <c r="M1132" s="336">
        <v>3016</v>
      </c>
      <c r="N1132" s="278">
        <v>44447</v>
      </c>
      <c r="O1132" s="329" t="s">
        <v>69</v>
      </c>
      <c r="P1132" s="330">
        <f t="shared" si="106"/>
        <v>9</v>
      </c>
      <c r="Q1132" s="330">
        <f t="shared" si="107"/>
        <v>7</v>
      </c>
      <c r="R1132" s="331" t="str">
        <f t="shared" si="108"/>
        <v>Gastos_custeados_por_captação</v>
      </c>
      <c r="S1132" s="331" t="str">
        <f>IF(D1132="","",IF(OR(D1132=Plano!$A$1,D1132=Plano!$B$1),"entrada","saída"))</f>
        <v>saída</v>
      </c>
      <c r="T1132" s="462" t="s">
        <v>114</v>
      </c>
      <c r="U1132" s="462" t="s">
        <v>114</v>
      </c>
      <c r="V1132" s="439"/>
      <c r="W1132" s="439"/>
      <c r="X1132" s="439"/>
      <c r="Y1132" s="439"/>
      <c r="Z1132" s="439"/>
      <c r="AA1132" s="439"/>
      <c r="AB1132" s="439"/>
      <c r="AC1132" s="439"/>
      <c r="AD1132" s="439"/>
      <c r="AE1132" s="439"/>
      <c r="AF1132" s="439"/>
      <c r="AG1132" s="439"/>
      <c r="AH1132" s="439"/>
      <c r="AI1132" s="439"/>
      <c r="AJ1132" s="439"/>
      <c r="AK1132" s="439"/>
      <c r="AL1132" s="439"/>
      <c r="AM1132" s="439"/>
    </row>
    <row r="1133" spans="1:39" s="448" customFormat="1" ht="56.25" customHeight="1" x14ac:dyDescent="0.2">
      <c r="A1133" s="277">
        <f>IF(B1133="","",COUNT('Diário 5º PA'!$A$5:$A$2634)+COUNT('Diário 6º PA'!$A$5:$A$2246)+ROW()-4)</f>
        <v>3672</v>
      </c>
      <c r="B1133" s="278">
        <v>44447</v>
      </c>
      <c r="C1133" s="249">
        <v>44378</v>
      </c>
      <c r="D1133" s="250" t="s">
        <v>104</v>
      </c>
      <c r="E1133" s="250" t="s">
        <v>104</v>
      </c>
      <c r="F1133" s="251">
        <v>55.27</v>
      </c>
      <c r="G1133" s="452" t="s">
        <v>687</v>
      </c>
      <c r="H1133" s="250" t="s">
        <v>104</v>
      </c>
      <c r="I1133" s="250" t="s">
        <v>465</v>
      </c>
      <c r="J1133" s="440" t="s">
        <v>114</v>
      </c>
      <c r="K1133" s="440" t="s">
        <v>466</v>
      </c>
      <c r="L1133" s="440" t="s">
        <v>467</v>
      </c>
      <c r="M1133" s="336">
        <v>2940</v>
      </c>
      <c r="N1133" s="278">
        <v>44447</v>
      </c>
      <c r="O1133" s="329" t="s">
        <v>70</v>
      </c>
      <c r="P1133" s="330">
        <f t="shared" ref="P1133:P1138" si="109">IF(B1133=0,0,IF(YEAR(B1133)=$Q$1,MONTH(B1133)-$P$1+1,(YEAR(B1133)-$Q$1)*12-$P$1+1+MONTH(B1133)))</f>
        <v>9</v>
      </c>
      <c r="Q1133" s="330">
        <f t="shared" ref="Q1133:Q1138" si="110">IF(C1133=0,0,IF(YEAR(C1133)=$Q$1,MONTH(C1133)-$P$1+1,(YEAR(C1133)-$Q$1)*12-$P$1+1+MONTH(C1133)))</f>
        <v>7</v>
      </c>
      <c r="R1133" s="331" t="str">
        <f t="shared" ref="R1133:R1138" si="111">SUBSTITUTE(D1133," ","_")</f>
        <v>Gastos_custeados_por_captação</v>
      </c>
      <c r="S1133" s="331" t="str">
        <f>IF(D1133="","",IF(OR(D1133=Plano!$A$1,D1133=Plano!$B$1),"entrada","saída"))</f>
        <v>saída</v>
      </c>
      <c r="T1133" s="462" t="s">
        <v>114</v>
      </c>
      <c r="U1133" s="332" t="s">
        <v>114</v>
      </c>
      <c r="V1133" s="439"/>
      <c r="W1133" s="439"/>
      <c r="X1133" s="439"/>
      <c r="Y1133" s="439"/>
      <c r="Z1133" s="439"/>
      <c r="AA1133" s="439"/>
      <c r="AB1133" s="439"/>
      <c r="AC1133" s="439"/>
      <c r="AD1133" s="439"/>
      <c r="AE1133" s="439"/>
      <c r="AF1133" s="439"/>
      <c r="AG1133" s="439"/>
      <c r="AH1133" s="439"/>
      <c r="AI1133" s="439"/>
      <c r="AJ1133" s="439"/>
      <c r="AK1133" s="439"/>
      <c r="AL1133" s="439"/>
      <c r="AM1133" s="439"/>
    </row>
    <row r="1134" spans="1:39" s="448" customFormat="1" ht="63" customHeight="1" x14ac:dyDescent="0.2">
      <c r="A1134" s="277">
        <f>IF(B1134="","",COUNT('Diário 5º PA'!$A$5:$A$2634)+COUNT('Diário 6º PA'!$A$5:$A$2246)+ROW()-4)</f>
        <v>3673</v>
      </c>
      <c r="B1134" s="278">
        <v>44447</v>
      </c>
      <c r="C1134" s="249">
        <v>44378</v>
      </c>
      <c r="D1134" s="250" t="s">
        <v>104</v>
      </c>
      <c r="E1134" s="250" t="s">
        <v>104</v>
      </c>
      <c r="F1134" s="251">
        <v>130.19999999999999</v>
      </c>
      <c r="G1134" s="452" t="s">
        <v>688</v>
      </c>
      <c r="H1134" s="250" t="s">
        <v>104</v>
      </c>
      <c r="I1134" s="250" t="s">
        <v>465</v>
      </c>
      <c r="J1134" s="440" t="s">
        <v>114</v>
      </c>
      <c r="K1134" s="440" t="s">
        <v>466</v>
      </c>
      <c r="L1134" s="440" t="s">
        <v>467</v>
      </c>
      <c r="M1134" s="336">
        <v>2941</v>
      </c>
      <c r="N1134" s="278">
        <v>44447</v>
      </c>
      <c r="O1134" s="329" t="s">
        <v>70</v>
      </c>
      <c r="P1134" s="330">
        <f t="shared" si="109"/>
        <v>9</v>
      </c>
      <c r="Q1134" s="330">
        <f t="shared" si="110"/>
        <v>7</v>
      </c>
      <c r="R1134" s="331" t="str">
        <f t="shared" si="111"/>
        <v>Gastos_custeados_por_captação</v>
      </c>
      <c r="S1134" s="331" t="str">
        <f>IF(D1134="","",IF(OR(D1134=Plano!$A$1,D1134=Plano!$B$1),"entrada","saída"))</f>
        <v>saída</v>
      </c>
      <c r="T1134" s="462" t="s">
        <v>114</v>
      </c>
      <c r="U1134" s="332" t="s">
        <v>114</v>
      </c>
      <c r="V1134" s="439"/>
      <c r="W1134" s="439"/>
      <c r="X1134" s="439"/>
      <c r="Y1134" s="439"/>
      <c r="Z1134" s="439"/>
      <c r="AA1134" s="439"/>
      <c r="AB1134" s="439"/>
      <c r="AC1134" s="439"/>
      <c r="AD1134" s="439"/>
      <c r="AE1134" s="439"/>
      <c r="AF1134" s="439"/>
      <c r="AG1134" s="439"/>
      <c r="AH1134" s="439"/>
      <c r="AI1134" s="439"/>
      <c r="AJ1134" s="439"/>
      <c r="AK1134" s="439"/>
      <c r="AL1134" s="439"/>
      <c r="AM1134" s="439"/>
    </row>
    <row r="1135" spans="1:39" s="448" customFormat="1" ht="54" customHeight="1" x14ac:dyDescent="0.2">
      <c r="A1135" s="277">
        <f>IF(B1135="","",COUNT('Diário 5º PA'!$A$5:$A$2634)+COUNT('Diário 6º PA'!$A$5:$A$2246)+ROW()-4)</f>
        <v>3674</v>
      </c>
      <c r="B1135" s="278">
        <v>44447</v>
      </c>
      <c r="C1135" s="249">
        <v>44378</v>
      </c>
      <c r="D1135" s="250" t="s">
        <v>104</v>
      </c>
      <c r="E1135" s="250" t="s">
        <v>104</v>
      </c>
      <c r="F1135" s="251">
        <v>74.900000000000006</v>
      </c>
      <c r="G1135" s="452" t="s">
        <v>684</v>
      </c>
      <c r="H1135" s="250" t="s">
        <v>104</v>
      </c>
      <c r="I1135" s="250" t="s">
        <v>465</v>
      </c>
      <c r="J1135" s="440" t="s">
        <v>114</v>
      </c>
      <c r="K1135" s="440" t="s">
        <v>466</v>
      </c>
      <c r="L1135" s="440" t="s">
        <v>467</v>
      </c>
      <c r="M1135" s="336">
        <v>2942</v>
      </c>
      <c r="N1135" s="278">
        <v>44447</v>
      </c>
      <c r="O1135" s="329" t="s">
        <v>70</v>
      </c>
      <c r="P1135" s="330">
        <f t="shared" si="109"/>
        <v>9</v>
      </c>
      <c r="Q1135" s="330">
        <f t="shared" si="110"/>
        <v>7</v>
      </c>
      <c r="R1135" s="331" t="str">
        <f t="shared" si="111"/>
        <v>Gastos_custeados_por_captação</v>
      </c>
      <c r="S1135" s="331" t="str">
        <f>IF(D1135="","",IF(OR(D1135=Plano!$A$1,D1135=Plano!$B$1),"entrada","saída"))</f>
        <v>saída</v>
      </c>
      <c r="T1135" s="462" t="s">
        <v>114</v>
      </c>
      <c r="U1135" s="332" t="s">
        <v>114</v>
      </c>
      <c r="V1135" s="439"/>
      <c r="W1135" s="439"/>
      <c r="X1135" s="439"/>
      <c r="Y1135" s="439"/>
      <c r="Z1135" s="439"/>
      <c r="AA1135" s="439"/>
      <c r="AB1135" s="439"/>
      <c r="AC1135" s="439"/>
      <c r="AD1135" s="439"/>
      <c r="AE1135" s="439"/>
      <c r="AF1135" s="439"/>
      <c r="AG1135" s="439"/>
      <c r="AH1135" s="439"/>
      <c r="AI1135" s="439"/>
      <c r="AJ1135" s="439"/>
      <c r="AK1135" s="439"/>
      <c r="AL1135" s="439"/>
      <c r="AM1135" s="439"/>
    </row>
    <row r="1136" spans="1:39" s="448" customFormat="1" ht="45.75" customHeight="1" x14ac:dyDescent="0.2">
      <c r="A1136" s="277">
        <f>IF(B1136="","",COUNT('Diário 5º PA'!$A$5:$A$2634)+COUNT('Diário 6º PA'!$A$5:$A$2246)+ROW()-4)</f>
        <v>3675</v>
      </c>
      <c r="B1136" s="278">
        <v>44447</v>
      </c>
      <c r="C1136" s="249">
        <v>44378</v>
      </c>
      <c r="D1136" s="250" t="s">
        <v>104</v>
      </c>
      <c r="E1136" s="250" t="s">
        <v>104</v>
      </c>
      <c r="F1136" s="251">
        <v>55.27</v>
      </c>
      <c r="G1136" s="452" t="s">
        <v>683</v>
      </c>
      <c r="H1136" s="250" t="s">
        <v>104</v>
      </c>
      <c r="I1136" s="250" t="s">
        <v>465</v>
      </c>
      <c r="J1136" s="440" t="s">
        <v>114</v>
      </c>
      <c r="K1136" s="440" t="s">
        <v>466</v>
      </c>
      <c r="L1136" s="440" t="s">
        <v>467</v>
      </c>
      <c r="M1136" s="336">
        <v>2943</v>
      </c>
      <c r="N1136" s="278">
        <v>44447</v>
      </c>
      <c r="O1136" s="329" t="s">
        <v>70</v>
      </c>
      <c r="P1136" s="330">
        <f t="shared" si="109"/>
        <v>9</v>
      </c>
      <c r="Q1136" s="330">
        <f t="shared" si="110"/>
        <v>7</v>
      </c>
      <c r="R1136" s="331" t="str">
        <f t="shared" si="111"/>
        <v>Gastos_custeados_por_captação</v>
      </c>
      <c r="S1136" s="331" t="str">
        <f>IF(D1136="","",IF(OR(D1136=Plano!$A$1,D1136=Plano!$B$1),"entrada","saída"))</f>
        <v>saída</v>
      </c>
      <c r="T1136" s="462" t="s">
        <v>114</v>
      </c>
      <c r="U1136" s="332" t="s">
        <v>114</v>
      </c>
      <c r="V1136" s="439"/>
      <c r="W1136" s="439"/>
      <c r="X1136" s="439"/>
      <c r="Y1136" s="439"/>
      <c r="Z1136" s="439"/>
      <c r="AA1136" s="439"/>
      <c r="AB1136" s="439"/>
      <c r="AC1136" s="439"/>
      <c r="AD1136" s="439"/>
      <c r="AE1136" s="439"/>
      <c r="AF1136" s="439"/>
      <c r="AG1136" s="439"/>
      <c r="AH1136" s="439"/>
      <c r="AI1136" s="439"/>
      <c r="AJ1136" s="439"/>
      <c r="AK1136" s="439"/>
      <c r="AL1136" s="439"/>
      <c r="AM1136" s="439"/>
    </row>
    <row r="1137" spans="1:39" s="448" customFormat="1" ht="42.75" customHeight="1" x14ac:dyDescent="0.2">
      <c r="A1137" s="277">
        <f>IF(B1137="","",COUNT('Diário 5º PA'!$A$5:$A$2634)+COUNT('Diário 6º PA'!$A$5:$A$2246)+ROW()-4)</f>
        <v>3676</v>
      </c>
      <c r="B1137" s="278">
        <v>44447</v>
      </c>
      <c r="C1137" s="249">
        <v>44378</v>
      </c>
      <c r="D1137" s="250" t="s">
        <v>104</v>
      </c>
      <c r="E1137" s="250" t="s">
        <v>104</v>
      </c>
      <c r="F1137" s="251">
        <v>55.27</v>
      </c>
      <c r="G1137" s="452" t="s">
        <v>578</v>
      </c>
      <c r="H1137" s="250" t="s">
        <v>104</v>
      </c>
      <c r="I1137" s="252" t="s">
        <v>465</v>
      </c>
      <c r="J1137" s="440" t="s">
        <v>114</v>
      </c>
      <c r="K1137" s="440" t="s">
        <v>466</v>
      </c>
      <c r="L1137" s="440" t="s">
        <v>467</v>
      </c>
      <c r="M1137" s="336">
        <v>2944</v>
      </c>
      <c r="N1137" s="278">
        <v>44447</v>
      </c>
      <c r="O1137" s="329" t="s">
        <v>70</v>
      </c>
      <c r="P1137" s="330">
        <f t="shared" si="109"/>
        <v>9</v>
      </c>
      <c r="Q1137" s="330">
        <f t="shared" si="110"/>
        <v>7</v>
      </c>
      <c r="R1137" s="331" t="str">
        <f t="shared" si="111"/>
        <v>Gastos_custeados_por_captação</v>
      </c>
      <c r="S1137" s="331" t="str">
        <f>IF(D1137="","",IF(OR(D1137=Plano!$A$1,D1137=Plano!$B$1),"entrada","saída"))</f>
        <v>saída</v>
      </c>
      <c r="T1137" s="462" t="s">
        <v>114</v>
      </c>
      <c r="U1137" s="332" t="s">
        <v>114</v>
      </c>
      <c r="V1137" s="439"/>
      <c r="W1137" s="439"/>
      <c r="X1137" s="439"/>
      <c r="Y1137" s="439"/>
      <c r="Z1137" s="439"/>
      <c r="AA1137" s="439"/>
      <c r="AB1137" s="439"/>
      <c r="AC1137" s="439"/>
      <c r="AD1137" s="439"/>
      <c r="AE1137" s="439"/>
      <c r="AF1137" s="439"/>
      <c r="AG1137" s="439"/>
      <c r="AH1137" s="439"/>
      <c r="AI1137" s="439"/>
      <c r="AJ1137" s="439"/>
      <c r="AK1137" s="439"/>
      <c r="AL1137" s="439"/>
      <c r="AM1137" s="439"/>
    </row>
    <row r="1138" spans="1:39" s="448" customFormat="1" ht="42" customHeight="1" x14ac:dyDescent="0.2">
      <c r="A1138" s="277">
        <f>IF(B1138="","",COUNT('Diário 5º PA'!$A$5:$A$2634)+COUNT('Diário 6º PA'!$A$5:$A$2246)+ROW()-4)</f>
        <v>3677</v>
      </c>
      <c r="B1138" s="278">
        <v>44447</v>
      </c>
      <c r="C1138" s="249">
        <v>44348</v>
      </c>
      <c r="D1138" s="250" t="s">
        <v>104</v>
      </c>
      <c r="E1138" s="250" t="s">
        <v>104</v>
      </c>
      <c r="F1138" s="251">
        <v>8.3000000000000007</v>
      </c>
      <c r="G1138" s="452" t="s">
        <v>689</v>
      </c>
      <c r="H1138" s="250" t="s">
        <v>104</v>
      </c>
      <c r="I1138" s="250" t="s">
        <v>465</v>
      </c>
      <c r="J1138" s="440" t="s">
        <v>114</v>
      </c>
      <c r="K1138" s="440" t="s">
        <v>466</v>
      </c>
      <c r="L1138" s="440" t="s">
        <v>467</v>
      </c>
      <c r="M1138" s="336">
        <v>2945</v>
      </c>
      <c r="N1138" s="278">
        <v>44447</v>
      </c>
      <c r="O1138" s="329" t="s">
        <v>70</v>
      </c>
      <c r="P1138" s="330">
        <f t="shared" si="109"/>
        <v>9</v>
      </c>
      <c r="Q1138" s="330">
        <f t="shared" si="110"/>
        <v>6</v>
      </c>
      <c r="R1138" s="331" t="str">
        <f t="shared" si="111"/>
        <v>Gastos_custeados_por_captação</v>
      </c>
      <c r="S1138" s="331" t="str">
        <f>IF(D1138="","",IF(OR(D1138=Plano!$A$1,D1138=Plano!$B$1),"entrada","saída"))</f>
        <v>saída</v>
      </c>
      <c r="T1138" s="462" t="s">
        <v>114</v>
      </c>
      <c r="U1138" s="332" t="s">
        <v>114</v>
      </c>
      <c r="V1138" s="439"/>
      <c r="W1138" s="439"/>
      <c r="X1138" s="439"/>
      <c r="Y1138" s="439"/>
      <c r="Z1138" s="439"/>
      <c r="AA1138" s="439"/>
      <c r="AB1138" s="439"/>
      <c r="AC1138" s="439"/>
      <c r="AD1138" s="439"/>
      <c r="AE1138" s="439"/>
      <c r="AF1138" s="439"/>
      <c r="AG1138" s="439"/>
      <c r="AH1138" s="439"/>
      <c r="AI1138" s="439"/>
      <c r="AJ1138" s="439"/>
      <c r="AK1138" s="439"/>
      <c r="AL1138" s="439"/>
      <c r="AM1138" s="439"/>
    </row>
    <row r="1139" spans="1:39" s="478" customFormat="1" ht="54.75" customHeight="1" x14ac:dyDescent="0.2">
      <c r="A1139" s="277">
        <f>IF(B1139="","",COUNT('Diário 5º PA'!$A$5:$A$2634)+COUNT('Diário 6º PA'!$A$5:$A$2246)+ROW()-4)</f>
        <v>3678</v>
      </c>
      <c r="B1139" s="278">
        <v>44447</v>
      </c>
      <c r="C1139" s="249">
        <v>44409</v>
      </c>
      <c r="D1139" s="250" t="s">
        <v>104</v>
      </c>
      <c r="E1139" s="250" t="s">
        <v>104</v>
      </c>
      <c r="F1139" s="251">
        <v>2115</v>
      </c>
      <c r="G1139" s="452" t="s">
        <v>5445</v>
      </c>
      <c r="H1139" s="250" t="s">
        <v>104</v>
      </c>
      <c r="I1139" s="250" t="s">
        <v>465</v>
      </c>
      <c r="J1139" s="440" t="s">
        <v>114</v>
      </c>
      <c r="K1139" s="440" t="s">
        <v>466</v>
      </c>
      <c r="L1139" s="440" t="s">
        <v>467</v>
      </c>
      <c r="M1139" s="336">
        <v>2955</v>
      </c>
      <c r="N1139" s="278">
        <v>44447</v>
      </c>
      <c r="O1139" s="329" t="s">
        <v>5377</v>
      </c>
      <c r="P1139" s="330">
        <f t="shared" ref="P1139:P1150" si="112">IF(B1139=0,0,IF(YEAR(B1139)=$Q$1,MONTH(B1139)-$P$1+1,(YEAR(B1139)-$Q$1)*12-$P$1+1+MONTH(B1139)))</f>
        <v>9</v>
      </c>
      <c r="Q1139" s="330">
        <f t="shared" ref="Q1139:Q1150" si="113">IF(C1139=0,0,IF(YEAR(C1139)=$Q$1,MONTH(C1139)-$P$1+1,(YEAR(C1139)-$Q$1)*12-$P$1+1+MONTH(C1139)))</f>
        <v>8</v>
      </c>
      <c r="R1139" s="331" t="str">
        <f t="shared" ref="R1139:R1150" si="114">SUBSTITUTE(D1139," ","_")</f>
        <v>Gastos_custeados_por_captação</v>
      </c>
      <c r="S1139" s="331" t="str">
        <f>IF(D1139="","",IF(OR(D1139=Plano!$A$1,D1139=Plano!$B$1),"entrada","saída"))</f>
        <v>saída</v>
      </c>
      <c r="T1139" s="332" t="s">
        <v>114</v>
      </c>
      <c r="U1139" s="332" t="s">
        <v>114</v>
      </c>
      <c r="V1139" s="439"/>
      <c r="W1139" s="439"/>
      <c r="X1139" s="439"/>
      <c r="Y1139" s="439"/>
      <c r="Z1139" s="439"/>
      <c r="AA1139" s="439"/>
      <c r="AB1139" s="439"/>
      <c r="AC1139" s="439"/>
      <c r="AD1139" s="439"/>
      <c r="AE1139" s="439"/>
      <c r="AF1139" s="439"/>
      <c r="AG1139" s="439"/>
      <c r="AH1139" s="439"/>
      <c r="AI1139" s="439"/>
      <c r="AJ1139" s="439"/>
      <c r="AK1139" s="439"/>
      <c r="AL1139" s="439"/>
      <c r="AM1139" s="439"/>
    </row>
    <row r="1140" spans="1:39" s="478" customFormat="1" ht="57" customHeight="1" x14ac:dyDescent="0.2">
      <c r="A1140" s="277">
        <f>IF(B1140="","",COUNT('Diário 5º PA'!$A$5:$A$2634)+COUNT('Diário 6º PA'!$A$5:$A$2246)+ROW()-4)</f>
        <v>3679</v>
      </c>
      <c r="B1140" s="278">
        <v>44447</v>
      </c>
      <c r="C1140" s="249">
        <v>44409</v>
      </c>
      <c r="D1140" s="250" t="s">
        <v>104</v>
      </c>
      <c r="E1140" s="250" t="s">
        <v>104</v>
      </c>
      <c r="F1140" s="251">
        <v>801</v>
      </c>
      <c r="G1140" s="452" t="s">
        <v>5446</v>
      </c>
      <c r="H1140" s="250" t="s">
        <v>104</v>
      </c>
      <c r="I1140" s="250" t="s">
        <v>465</v>
      </c>
      <c r="J1140" s="440" t="s">
        <v>114</v>
      </c>
      <c r="K1140" s="440" t="s">
        <v>466</v>
      </c>
      <c r="L1140" s="440" t="s">
        <v>467</v>
      </c>
      <c r="M1140" s="336">
        <v>2956</v>
      </c>
      <c r="N1140" s="278">
        <v>44447</v>
      </c>
      <c r="O1140" s="329" t="s">
        <v>5377</v>
      </c>
      <c r="P1140" s="330">
        <f t="shared" si="112"/>
        <v>9</v>
      </c>
      <c r="Q1140" s="330">
        <f t="shared" si="113"/>
        <v>8</v>
      </c>
      <c r="R1140" s="331" t="str">
        <f t="shared" si="114"/>
        <v>Gastos_custeados_por_captação</v>
      </c>
      <c r="S1140" s="331" t="str">
        <f>IF(D1140="","",IF(OR(D1140=Plano!$A$1,D1140=Plano!$B$1),"entrada","saída"))</f>
        <v>saída</v>
      </c>
      <c r="T1140" s="332" t="s">
        <v>114</v>
      </c>
      <c r="U1140" s="332" t="s">
        <v>114</v>
      </c>
      <c r="V1140" s="439"/>
      <c r="W1140" s="439"/>
      <c r="X1140" s="439"/>
      <c r="Y1140" s="439"/>
      <c r="Z1140" s="439"/>
      <c r="AA1140" s="439"/>
      <c r="AB1140" s="439"/>
      <c r="AC1140" s="439"/>
      <c r="AD1140" s="439"/>
      <c r="AE1140" s="439"/>
      <c r="AF1140" s="439"/>
      <c r="AG1140" s="439"/>
      <c r="AH1140" s="439"/>
      <c r="AI1140" s="439"/>
      <c r="AJ1140" s="439"/>
      <c r="AK1140" s="439"/>
      <c r="AL1140" s="439"/>
      <c r="AM1140" s="439"/>
    </row>
    <row r="1141" spans="1:39" s="478" customFormat="1" ht="51.75" customHeight="1" x14ac:dyDescent="0.2">
      <c r="A1141" s="277">
        <f>IF(B1141="","",COUNT('Diário 5º PA'!$A$5:$A$2634)+COUNT('Diário 6º PA'!$A$5:$A$2246)+ROW()-4)</f>
        <v>3680</v>
      </c>
      <c r="B1141" s="278">
        <v>44447</v>
      </c>
      <c r="C1141" s="335">
        <v>44348</v>
      </c>
      <c r="D1141" s="255" t="s">
        <v>104</v>
      </c>
      <c r="E1141" s="255" t="s">
        <v>104</v>
      </c>
      <c r="F1141" s="251">
        <v>53.77</v>
      </c>
      <c r="G1141" s="452" t="s">
        <v>5472</v>
      </c>
      <c r="H1141" s="250" t="s">
        <v>104</v>
      </c>
      <c r="I1141" s="250" t="s">
        <v>465</v>
      </c>
      <c r="J1141" s="440" t="s">
        <v>114</v>
      </c>
      <c r="K1141" s="440" t="s">
        <v>466</v>
      </c>
      <c r="L1141" s="440" t="s">
        <v>467</v>
      </c>
      <c r="M1141" s="336">
        <v>2957</v>
      </c>
      <c r="N1141" s="278">
        <v>44447</v>
      </c>
      <c r="O1141" s="329" t="s">
        <v>5377</v>
      </c>
      <c r="P1141" s="330">
        <f t="shared" si="112"/>
        <v>9</v>
      </c>
      <c r="Q1141" s="330">
        <f t="shared" si="113"/>
        <v>6</v>
      </c>
      <c r="R1141" s="331" t="str">
        <f t="shared" si="114"/>
        <v>Gastos_custeados_por_captação</v>
      </c>
      <c r="S1141" s="331" t="str">
        <f>IF(D1141="","",IF(OR(D1141=Plano!$A$1,D1141=Plano!$B$1),"entrada","saída"))</f>
        <v>saída</v>
      </c>
      <c r="T1141" s="332" t="s">
        <v>114</v>
      </c>
      <c r="U1141" s="332" t="s">
        <v>114</v>
      </c>
      <c r="V1141" s="439"/>
      <c r="W1141" s="439"/>
      <c r="X1141" s="439"/>
      <c r="Y1141" s="439"/>
      <c r="Z1141" s="439"/>
      <c r="AA1141" s="439"/>
      <c r="AB1141" s="439"/>
      <c r="AC1141" s="439"/>
      <c r="AD1141" s="439"/>
      <c r="AE1141" s="439"/>
      <c r="AF1141" s="439"/>
      <c r="AG1141" s="439"/>
      <c r="AH1141" s="439"/>
      <c r="AI1141" s="439"/>
      <c r="AJ1141" s="439"/>
      <c r="AK1141" s="439"/>
      <c r="AL1141" s="439"/>
      <c r="AM1141" s="439"/>
    </row>
    <row r="1142" spans="1:39" s="478" customFormat="1" ht="54.75" customHeight="1" x14ac:dyDescent="0.2">
      <c r="A1142" s="277">
        <f>IF(B1142="","",COUNT('Diário 5º PA'!$A$5:$A$2634)+COUNT('Diário 6º PA'!$A$5:$A$2246)+ROW()-4)</f>
        <v>3681</v>
      </c>
      <c r="B1142" s="278">
        <v>44447</v>
      </c>
      <c r="C1142" s="249">
        <v>44409</v>
      </c>
      <c r="D1142" s="250" t="s">
        <v>104</v>
      </c>
      <c r="E1142" s="250" t="s">
        <v>104</v>
      </c>
      <c r="F1142" s="251">
        <v>160.80000000000001</v>
      </c>
      <c r="G1142" s="452" t="s">
        <v>5432</v>
      </c>
      <c r="H1142" s="250" t="s">
        <v>104</v>
      </c>
      <c r="I1142" s="250" t="s">
        <v>465</v>
      </c>
      <c r="J1142" s="440" t="s">
        <v>114</v>
      </c>
      <c r="K1142" s="440" t="s">
        <v>466</v>
      </c>
      <c r="L1142" s="440" t="s">
        <v>467</v>
      </c>
      <c r="M1142" s="336">
        <v>2958</v>
      </c>
      <c r="N1142" s="278">
        <v>44447</v>
      </c>
      <c r="O1142" s="329" t="s">
        <v>5377</v>
      </c>
      <c r="P1142" s="330">
        <f t="shared" si="112"/>
        <v>9</v>
      </c>
      <c r="Q1142" s="330">
        <f t="shared" si="113"/>
        <v>8</v>
      </c>
      <c r="R1142" s="331" t="str">
        <f t="shared" si="114"/>
        <v>Gastos_custeados_por_captação</v>
      </c>
      <c r="S1142" s="331" t="str">
        <f>IF(D1142="","",IF(OR(D1142=Plano!$A$1,D1142=Plano!$B$1),"entrada","saída"))</f>
        <v>saída</v>
      </c>
      <c r="T1142" s="332" t="s">
        <v>114</v>
      </c>
      <c r="U1142" s="332" t="s">
        <v>114</v>
      </c>
      <c r="V1142" s="439"/>
      <c r="W1142" s="439"/>
      <c r="X1142" s="439"/>
      <c r="Y1142" s="439"/>
      <c r="Z1142" s="439"/>
      <c r="AA1142" s="439"/>
      <c r="AB1142" s="439"/>
      <c r="AC1142" s="439"/>
      <c r="AD1142" s="439"/>
      <c r="AE1142" s="439"/>
      <c r="AF1142" s="439"/>
      <c r="AG1142" s="439"/>
      <c r="AH1142" s="439"/>
      <c r="AI1142" s="439"/>
      <c r="AJ1142" s="439"/>
      <c r="AK1142" s="439"/>
      <c r="AL1142" s="439"/>
      <c r="AM1142" s="439"/>
    </row>
    <row r="1143" spans="1:39" s="478" customFormat="1" ht="57" customHeight="1" x14ac:dyDescent="0.2">
      <c r="A1143" s="277">
        <f>IF(B1143="","",COUNT('Diário 5º PA'!$A$5:$A$2634)+COUNT('Diário 6º PA'!$A$5:$A$2246)+ROW()-4)</f>
        <v>3682</v>
      </c>
      <c r="B1143" s="278">
        <v>44447</v>
      </c>
      <c r="C1143" s="249">
        <v>44287</v>
      </c>
      <c r="D1143" s="250" t="s">
        <v>104</v>
      </c>
      <c r="E1143" s="250" t="s">
        <v>104</v>
      </c>
      <c r="F1143" s="251">
        <v>275</v>
      </c>
      <c r="G1143" s="452" t="s">
        <v>5442</v>
      </c>
      <c r="H1143" s="250" t="s">
        <v>104</v>
      </c>
      <c r="I1143" s="252" t="s">
        <v>465</v>
      </c>
      <c r="J1143" s="440" t="s">
        <v>114</v>
      </c>
      <c r="K1143" s="440" t="s">
        <v>466</v>
      </c>
      <c r="L1143" s="440" t="s">
        <v>467</v>
      </c>
      <c r="M1143" s="336">
        <v>2959</v>
      </c>
      <c r="N1143" s="278">
        <v>44447</v>
      </c>
      <c r="O1143" s="329" t="s">
        <v>5377</v>
      </c>
      <c r="P1143" s="330">
        <f t="shared" si="112"/>
        <v>9</v>
      </c>
      <c r="Q1143" s="330">
        <f t="shared" si="113"/>
        <v>4</v>
      </c>
      <c r="R1143" s="331" t="str">
        <f t="shared" si="114"/>
        <v>Gastos_custeados_por_captação</v>
      </c>
      <c r="S1143" s="331" t="str">
        <f>IF(D1143="","",IF(OR(D1143=Plano!$A$1,D1143=Plano!$B$1),"entrada","saída"))</f>
        <v>saída</v>
      </c>
      <c r="T1143" s="332" t="s">
        <v>114</v>
      </c>
      <c r="U1143" s="332" t="s">
        <v>114</v>
      </c>
      <c r="V1143" s="439"/>
      <c r="W1143" s="439"/>
      <c r="X1143" s="439"/>
      <c r="Y1143" s="439"/>
      <c r="Z1143" s="439"/>
      <c r="AA1143" s="439"/>
      <c r="AB1143" s="439"/>
      <c r="AC1143" s="439"/>
      <c r="AD1143" s="439"/>
      <c r="AE1143" s="439"/>
      <c r="AF1143" s="439"/>
      <c r="AG1143" s="439"/>
      <c r="AH1143" s="439"/>
      <c r="AI1143" s="439"/>
      <c r="AJ1143" s="439"/>
      <c r="AK1143" s="439"/>
      <c r="AL1143" s="439"/>
      <c r="AM1143" s="439"/>
    </row>
    <row r="1144" spans="1:39" s="478" customFormat="1" ht="63" customHeight="1" x14ac:dyDescent="0.2">
      <c r="A1144" s="277">
        <f>IF(B1144="","",COUNT('Diário 5º PA'!$A$5:$A$2634)+COUNT('Diário 6º PA'!$A$5:$A$2246)+ROW()-4)</f>
        <v>3683</v>
      </c>
      <c r="B1144" s="278">
        <v>44447</v>
      </c>
      <c r="C1144" s="249">
        <v>44409</v>
      </c>
      <c r="D1144" s="250" t="s">
        <v>104</v>
      </c>
      <c r="E1144" s="250" t="s">
        <v>104</v>
      </c>
      <c r="F1144" s="251">
        <v>577.5</v>
      </c>
      <c r="G1144" s="452" t="s">
        <v>5455</v>
      </c>
      <c r="H1144" s="250" t="s">
        <v>104</v>
      </c>
      <c r="I1144" s="250" t="s">
        <v>465</v>
      </c>
      <c r="J1144" s="440" t="s">
        <v>114</v>
      </c>
      <c r="K1144" s="440" t="s">
        <v>466</v>
      </c>
      <c r="L1144" s="440" t="s">
        <v>467</v>
      </c>
      <c r="M1144" s="336">
        <v>2960</v>
      </c>
      <c r="N1144" s="278">
        <v>44447</v>
      </c>
      <c r="O1144" s="329" t="s">
        <v>5377</v>
      </c>
      <c r="P1144" s="330">
        <f t="shared" si="112"/>
        <v>9</v>
      </c>
      <c r="Q1144" s="330">
        <f t="shared" si="113"/>
        <v>8</v>
      </c>
      <c r="R1144" s="331" t="str">
        <f t="shared" si="114"/>
        <v>Gastos_custeados_por_captação</v>
      </c>
      <c r="S1144" s="331" t="str">
        <f>IF(D1144="","",IF(OR(D1144=Plano!$A$1,D1144=Plano!$B$1),"entrada","saída"))</f>
        <v>saída</v>
      </c>
      <c r="T1144" s="332" t="s">
        <v>114</v>
      </c>
      <c r="U1144" s="332" t="s">
        <v>114</v>
      </c>
      <c r="V1144" s="439"/>
      <c r="W1144" s="439"/>
      <c r="X1144" s="439"/>
      <c r="Y1144" s="439"/>
      <c r="Z1144" s="439"/>
      <c r="AA1144" s="439"/>
      <c r="AB1144" s="439"/>
      <c r="AC1144" s="439"/>
      <c r="AD1144" s="439"/>
      <c r="AE1144" s="439"/>
      <c r="AF1144" s="439"/>
      <c r="AG1144" s="439"/>
      <c r="AH1144" s="439"/>
      <c r="AI1144" s="439"/>
      <c r="AJ1144" s="439"/>
      <c r="AK1144" s="439"/>
      <c r="AL1144" s="439"/>
      <c r="AM1144" s="439"/>
    </row>
    <row r="1145" spans="1:39" s="478" customFormat="1" ht="64.5" customHeight="1" x14ac:dyDescent="0.2">
      <c r="A1145" s="277">
        <f>IF(B1145="","",COUNT('Diário 5º PA'!$A$5:$A$2634)+COUNT('Diário 6º PA'!$A$5:$A$2246)+ROW()-4)</f>
        <v>3684</v>
      </c>
      <c r="B1145" s="278">
        <v>44447</v>
      </c>
      <c r="C1145" s="249">
        <v>44409</v>
      </c>
      <c r="D1145" s="250" t="s">
        <v>104</v>
      </c>
      <c r="E1145" s="250" t="s">
        <v>104</v>
      </c>
      <c r="F1145" s="251">
        <v>277.76</v>
      </c>
      <c r="G1145" s="452" t="s">
        <v>5457</v>
      </c>
      <c r="H1145" s="250" t="s">
        <v>104</v>
      </c>
      <c r="I1145" s="250" t="s">
        <v>465</v>
      </c>
      <c r="J1145" s="440" t="s">
        <v>114</v>
      </c>
      <c r="K1145" s="440" t="s">
        <v>466</v>
      </c>
      <c r="L1145" s="440" t="s">
        <v>467</v>
      </c>
      <c r="M1145" s="336">
        <v>2961</v>
      </c>
      <c r="N1145" s="278">
        <v>44447</v>
      </c>
      <c r="O1145" s="329" t="s">
        <v>5377</v>
      </c>
      <c r="P1145" s="330">
        <f t="shared" si="112"/>
        <v>9</v>
      </c>
      <c r="Q1145" s="330">
        <f t="shared" si="113"/>
        <v>8</v>
      </c>
      <c r="R1145" s="331" t="str">
        <f t="shared" si="114"/>
        <v>Gastos_custeados_por_captação</v>
      </c>
      <c r="S1145" s="331" t="str">
        <f>IF(D1145="","",IF(OR(D1145=Plano!$A$1,D1145=Plano!$B$1),"entrada","saída"))</f>
        <v>saída</v>
      </c>
      <c r="T1145" s="332" t="s">
        <v>114</v>
      </c>
      <c r="U1145" s="332" t="s">
        <v>114</v>
      </c>
      <c r="V1145" s="439"/>
      <c r="W1145" s="439"/>
      <c r="X1145" s="439"/>
      <c r="Y1145" s="439"/>
      <c r="Z1145" s="439"/>
      <c r="AA1145" s="439"/>
      <c r="AB1145" s="439"/>
      <c r="AC1145" s="439"/>
      <c r="AD1145" s="439"/>
      <c r="AE1145" s="439"/>
      <c r="AF1145" s="439"/>
      <c r="AG1145" s="439"/>
      <c r="AH1145" s="439"/>
      <c r="AI1145" s="439"/>
      <c r="AJ1145" s="439"/>
      <c r="AK1145" s="439"/>
      <c r="AL1145" s="439"/>
      <c r="AM1145" s="439"/>
    </row>
    <row r="1146" spans="1:39" s="478" customFormat="1" ht="57" customHeight="1" x14ac:dyDescent="0.2">
      <c r="A1146" s="277">
        <f>IF(B1146="","",COUNT('Diário 5º PA'!$A$5:$A$2634)+COUNT('Diário 6º PA'!$A$5:$A$2246)+ROW()-4)</f>
        <v>3685</v>
      </c>
      <c r="B1146" s="278">
        <v>44447</v>
      </c>
      <c r="C1146" s="249">
        <v>44378</v>
      </c>
      <c r="D1146" s="250" t="s">
        <v>104</v>
      </c>
      <c r="E1146" s="250" t="s">
        <v>104</v>
      </c>
      <c r="F1146" s="251">
        <v>120</v>
      </c>
      <c r="G1146" s="452" t="s">
        <v>5425</v>
      </c>
      <c r="H1146" s="250" t="s">
        <v>104</v>
      </c>
      <c r="I1146" s="252" t="s">
        <v>465</v>
      </c>
      <c r="J1146" s="440" t="s">
        <v>114</v>
      </c>
      <c r="K1146" s="440" t="s">
        <v>466</v>
      </c>
      <c r="L1146" s="440" t="s">
        <v>467</v>
      </c>
      <c r="M1146" s="336">
        <v>2962</v>
      </c>
      <c r="N1146" s="278">
        <v>44447</v>
      </c>
      <c r="O1146" s="329" t="s">
        <v>5377</v>
      </c>
      <c r="P1146" s="330">
        <f t="shared" si="112"/>
        <v>9</v>
      </c>
      <c r="Q1146" s="330">
        <f t="shared" si="113"/>
        <v>7</v>
      </c>
      <c r="R1146" s="331" t="str">
        <f t="shared" si="114"/>
        <v>Gastos_custeados_por_captação</v>
      </c>
      <c r="S1146" s="331" t="str">
        <f>IF(D1146="","",IF(OR(D1146=Plano!$A$1,D1146=Plano!$B$1),"entrada","saída"))</f>
        <v>saída</v>
      </c>
      <c r="T1146" s="332" t="s">
        <v>114</v>
      </c>
      <c r="U1146" s="332" t="s">
        <v>114</v>
      </c>
      <c r="V1146" s="439"/>
      <c r="W1146" s="439"/>
      <c r="X1146" s="439"/>
      <c r="Y1146" s="439"/>
      <c r="Z1146" s="439"/>
      <c r="AA1146" s="439"/>
      <c r="AB1146" s="439"/>
      <c r="AC1146" s="439"/>
      <c r="AD1146" s="439"/>
      <c r="AE1146" s="439"/>
      <c r="AF1146" s="439"/>
      <c r="AG1146" s="439"/>
      <c r="AH1146" s="439"/>
      <c r="AI1146" s="439"/>
      <c r="AJ1146" s="439"/>
      <c r="AK1146" s="439"/>
      <c r="AL1146" s="439"/>
      <c r="AM1146" s="439"/>
    </row>
    <row r="1147" spans="1:39" s="478" customFormat="1" ht="58.5" customHeight="1" x14ac:dyDescent="0.2">
      <c r="A1147" s="277">
        <f>IF(B1147="","",COUNT('Diário 5º PA'!$A$5:$A$2634)+COUNT('Diário 6º PA'!$A$5:$A$2246)+ROW()-4)</f>
        <v>3686</v>
      </c>
      <c r="B1147" s="278">
        <v>44447</v>
      </c>
      <c r="C1147" s="249">
        <v>44317</v>
      </c>
      <c r="D1147" s="250" t="s">
        <v>104</v>
      </c>
      <c r="E1147" s="250" t="s">
        <v>104</v>
      </c>
      <c r="F1147" s="251">
        <v>473.55</v>
      </c>
      <c r="G1147" s="452" t="s">
        <v>5450</v>
      </c>
      <c r="H1147" s="250" t="s">
        <v>104</v>
      </c>
      <c r="I1147" s="250" t="s">
        <v>465</v>
      </c>
      <c r="J1147" s="440" t="s">
        <v>114</v>
      </c>
      <c r="K1147" s="440" t="s">
        <v>466</v>
      </c>
      <c r="L1147" s="440" t="s">
        <v>467</v>
      </c>
      <c r="M1147" s="336">
        <v>2963</v>
      </c>
      <c r="N1147" s="278">
        <v>44447</v>
      </c>
      <c r="O1147" s="329" t="s">
        <v>5377</v>
      </c>
      <c r="P1147" s="330">
        <f t="shared" si="112"/>
        <v>9</v>
      </c>
      <c r="Q1147" s="330">
        <f t="shared" si="113"/>
        <v>5</v>
      </c>
      <c r="R1147" s="331" t="str">
        <f t="shared" si="114"/>
        <v>Gastos_custeados_por_captação</v>
      </c>
      <c r="S1147" s="331" t="str">
        <f>IF(D1147="","",IF(OR(D1147=Plano!$A$1,D1147=Plano!$B$1),"entrada","saída"))</f>
        <v>saída</v>
      </c>
      <c r="T1147" s="332" t="s">
        <v>114</v>
      </c>
      <c r="U1147" s="332" t="s">
        <v>114</v>
      </c>
      <c r="V1147" s="439"/>
      <c r="W1147" s="439"/>
      <c r="X1147" s="439"/>
      <c r="Y1147" s="439"/>
      <c r="Z1147" s="439"/>
      <c r="AA1147" s="439"/>
      <c r="AB1147" s="439"/>
      <c r="AC1147" s="439"/>
      <c r="AD1147" s="439"/>
      <c r="AE1147" s="439"/>
      <c r="AF1147" s="439"/>
      <c r="AG1147" s="439"/>
      <c r="AH1147" s="439"/>
      <c r="AI1147" s="439"/>
      <c r="AJ1147" s="439"/>
      <c r="AK1147" s="439"/>
      <c r="AL1147" s="439"/>
      <c r="AM1147" s="439"/>
    </row>
    <row r="1148" spans="1:39" s="478" customFormat="1" ht="57.75" customHeight="1" x14ac:dyDescent="0.2">
      <c r="A1148" s="277">
        <f>IF(B1148="","",COUNT('Diário 5º PA'!$A$5:$A$2634)+COUNT('Diário 6º PA'!$A$5:$A$2246)+ROW()-4)</f>
        <v>3687</v>
      </c>
      <c r="B1148" s="278">
        <v>44447</v>
      </c>
      <c r="C1148" s="249">
        <v>44409</v>
      </c>
      <c r="D1148" s="250" t="s">
        <v>104</v>
      </c>
      <c r="E1148" s="250" t="s">
        <v>104</v>
      </c>
      <c r="F1148" s="251">
        <v>125</v>
      </c>
      <c r="G1148" s="452" t="s">
        <v>5454</v>
      </c>
      <c r="H1148" s="250" t="s">
        <v>104</v>
      </c>
      <c r="I1148" s="250" t="s">
        <v>465</v>
      </c>
      <c r="J1148" s="440" t="s">
        <v>114</v>
      </c>
      <c r="K1148" s="440" t="s">
        <v>466</v>
      </c>
      <c r="L1148" s="440" t="s">
        <v>467</v>
      </c>
      <c r="M1148" s="336">
        <v>2964</v>
      </c>
      <c r="N1148" s="278">
        <v>44447</v>
      </c>
      <c r="O1148" s="329" t="s">
        <v>5377</v>
      </c>
      <c r="P1148" s="330">
        <f t="shared" si="112"/>
        <v>9</v>
      </c>
      <c r="Q1148" s="330">
        <f t="shared" si="113"/>
        <v>8</v>
      </c>
      <c r="R1148" s="331" t="str">
        <f t="shared" si="114"/>
        <v>Gastos_custeados_por_captação</v>
      </c>
      <c r="S1148" s="331" t="str">
        <f>IF(D1148="","",IF(OR(D1148=Plano!$A$1,D1148=Plano!$B$1),"entrada","saída"))</f>
        <v>saída</v>
      </c>
      <c r="T1148" s="332" t="s">
        <v>114</v>
      </c>
      <c r="U1148" s="332" t="s">
        <v>114</v>
      </c>
      <c r="V1148" s="439"/>
      <c r="W1148" s="439"/>
      <c r="X1148" s="439"/>
      <c r="Y1148" s="439"/>
      <c r="Z1148" s="439"/>
      <c r="AA1148" s="439"/>
      <c r="AB1148" s="439"/>
      <c r="AC1148" s="439"/>
      <c r="AD1148" s="439"/>
      <c r="AE1148" s="439"/>
      <c r="AF1148" s="439"/>
      <c r="AG1148" s="439"/>
      <c r="AH1148" s="439"/>
      <c r="AI1148" s="439"/>
      <c r="AJ1148" s="439"/>
      <c r="AK1148" s="439"/>
      <c r="AL1148" s="439"/>
      <c r="AM1148" s="439"/>
    </row>
    <row r="1149" spans="1:39" s="478" customFormat="1" ht="60" customHeight="1" x14ac:dyDescent="0.2">
      <c r="A1149" s="277">
        <f>IF(B1149="","",COUNT('Diário 5º PA'!$A$5:$A$2634)+COUNT('Diário 6º PA'!$A$5:$A$2246)+ROW()-4)</f>
        <v>3688</v>
      </c>
      <c r="B1149" s="278">
        <v>44447</v>
      </c>
      <c r="C1149" s="249">
        <v>44409</v>
      </c>
      <c r="D1149" s="250" t="s">
        <v>104</v>
      </c>
      <c r="E1149" s="250" t="s">
        <v>104</v>
      </c>
      <c r="F1149" s="251">
        <v>84.6</v>
      </c>
      <c r="G1149" s="452" t="s">
        <v>5473</v>
      </c>
      <c r="H1149" s="250" t="s">
        <v>104</v>
      </c>
      <c r="I1149" s="250" t="s">
        <v>465</v>
      </c>
      <c r="J1149" s="440" t="s">
        <v>114</v>
      </c>
      <c r="K1149" s="440" t="s">
        <v>466</v>
      </c>
      <c r="L1149" s="440" t="s">
        <v>467</v>
      </c>
      <c r="M1149" s="336">
        <v>2965</v>
      </c>
      <c r="N1149" s="278">
        <v>44447</v>
      </c>
      <c r="O1149" s="329" t="s">
        <v>5377</v>
      </c>
      <c r="P1149" s="330">
        <f t="shared" ref="P1149" si="115">IF(B1149=0,0,IF(YEAR(B1149)=$Q$1,MONTH(B1149)-$P$1+1,(YEAR(B1149)-$Q$1)*12-$P$1+1+MONTH(B1149)))</f>
        <v>9</v>
      </c>
      <c r="Q1149" s="330">
        <f t="shared" ref="Q1149" si="116">IF(C1149=0,0,IF(YEAR(C1149)=$Q$1,MONTH(C1149)-$P$1+1,(YEAR(C1149)-$Q$1)*12-$P$1+1+MONTH(C1149)))</f>
        <v>8</v>
      </c>
      <c r="R1149" s="331" t="str">
        <f t="shared" ref="R1149" si="117">SUBSTITUTE(D1149," ","_")</f>
        <v>Gastos_custeados_por_captação</v>
      </c>
      <c r="S1149" s="331" t="str">
        <f>IF(D1149="","",IF(OR(D1149=Plano!$A$1,D1149=Plano!$B$1),"entrada","saída"))</f>
        <v>saída</v>
      </c>
      <c r="T1149" s="332" t="s">
        <v>114</v>
      </c>
      <c r="U1149" s="332" t="s">
        <v>114</v>
      </c>
      <c r="V1149" s="439"/>
      <c r="W1149" s="439"/>
      <c r="X1149" s="439"/>
      <c r="Y1149" s="439"/>
      <c r="Z1149" s="439"/>
      <c r="AA1149" s="439"/>
      <c r="AB1149" s="439"/>
      <c r="AC1149" s="439"/>
      <c r="AD1149" s="439"/>
      <c r="AE1149" s="439"/>
      <c r="AF1149" s="439"/>
      <c r="AG1149" s="439"/>
      <c r="AH1149" s="439"/>
      <c r="AI1149" s="439"/>
      <c r="AJ1149" s="439"/>
      <c r="AK1149" s="439"/>
      <c r="AL1149" s="439"/>
      <c r="AM1149" s="439"/>
    </row>
    <row r="1150" spans="1:39" s="478" customFormat="1" ht="54" customHeight="1" x14ac:dyDescent="0.2">
      <c r="A1150" s="277">
        <f>IF(B1150="","",COUNT('Diário 5º PA'!$A$5:$A$2634)+COUNT('Diário 6º PA'!$A$5:$A$2246)+ROW()-4)</f>
        <v>3689</v>
      </c>
      <c r="B1150" s="278">
        <v>44447</v>
      </c>
      <c r="C1150" s="249">
        <v>44378</v>
      </c>
      <c r="D1150" s="250" t="s">
        <v>104</v>
      </c>
      <c r="E1150" s="250" t="s">
        <v>104</v>
      </c>
      <c r="F1150" s="251">
        <v>76.05</v>
      </c>
      <c r="G1150" s="452" t="s">
        <v>5435</v>
      </c>
      <c r="H1150" s="468" t="s">
        <v>104</v>
      </c>
      <c r="I1150" s="250" t="s">
        <v>465</v>
      </c>
      <c r="J1150" s="440" t="s">
        <v>114</v>
      </c>
      <c r="K1150" s="440" t="s">
        <v>466</v>
      </c>
      <c r="L1150" s="440" t="s">
        <v>467</v>
      </c>
      <c r="M1150" s="336">
        <v>2966</v>
      </c>
      <c r="N1150" s="278">
        <v>44447</v>
      </c>
      <c r="O1150" s="329" t="s">
        <v>5377</v>
      </c>
      <c r="P1150" s="330">
        <f t="shared" si="112"/>
        <v>9</v>
      </c>
      <c r="Q1150" s="330">
        <f t="shared" si="113"/>
        <v>7</v>
      </c>
      <c r="R1150" s="331" t="str">
        <f t="shared" si="114"/>
        <v>Gastos_custeados_por_captação</v>
      </c>
      <c r="S1150" s="331" t="str">
        <f>IF(D1150="","",IF(OR(D1150=Plano!$A$1,D1150=Plano!$B$1),"entrada","saída"))</f>
        <v>saída</v>
      </c>
      <c r="T1150" s="332" t="s">
        <v>114</v>
      </c>
      <c r="U1150" s="332" t="s">
        <v>114</v>
      </c>
      <c r="V1150" s="439"/>
      <c r="W1150" s="439"/>
      <c r="X1150" s="439"/>
      <c r="Y1150" s="439"/>
      <c r="Z1150" s="439"/>
      <c r="AA1150" s="439"/>
      <c r="AB1150" s="439"/>
      <c r="AC1150" s="439"/>
      <c r="AD1150" s="439"/>
      <c r="AE1150" s="439"/>
      <c r="AF1150" s="439"/>
      <c r="AG1150" s="439"/>
      <c r="AH1150" s="439"/>
      <c r="AI1150" s="439"/>
      <c r="AJ1150" s="439"/>
      <c r="AK1150" s="439"/>
      <c r="AL1150" s="439"/>
      <c r="AM1150" s="439"/>
    </row>
    <row r="1151" spans="1:39" ht="49.5" customHeight="1" x14ac:dyDescent="0.2">
      <c r="A1151" s="277">
        <f>IF(B1151="","",COUNT('Diário 5º PA'!$A$5:$A$2634)+COUNT('Diário 6º PA'!$A$5:$A$2246)+ROW()-4)</f>
        <v>3690</v>
      </c>
      <c r="B1151" s="278">
        <v>44448</v>
      </c>
      <c r="C1151" s="335">
        <v>44409</v>
      </c>
      <c r="D1151" s="255" t="s">
        <v>99</v>
      </c>
      <c r="E1151" s="255" t="s">
        <v>208</v>
      </c>
      <c r="F1151" s="258">
        <v>-2643.58</v>
      </c>
      <c r="G1151" s="450" t="s">
        <v>2366</v>
      </c>
      <c r="H1151" s="252" t="s">
        <v>115</v>
      </c>
      <c r="I1151" s="250" t="s">
        <v>983</v>
      </c>
      <c r="J1151" s="255" t="s">
        <v>850</v>
      </c>
      <c r="K1151" s="255" t="s">
        <v>946</v>
      </c>
      <c r="L1151" s="250" t="s">
        <v>947</v>
      </c>
      <c r="M1151" s="277" t="s">
        <v>114</v>
      </c>
      <c r="N1151" s="278">
        <v>44448</v>
      </c>
      <c r="O1151" s="329" t="s">
        <v>67</v>
      </c>
      <c r="P1151" s="330">
        <f t="shared" si="100"/>
        <v>9</v>
      </c>
      <c r="Q1151" s="330">
        <f t="shared" si="101"/>
        <v>8</v>
      </c>
      <c r="R1151" s="331" t="str">
        <f t="shared" si="102"/>
        <v>Gastos_Gerais</v>
      </c>
      <c r="S1151" s="331" t="str">
        <f>IF(D1151="","",IF(OR(D1151=Plano!$A$1,D1151=Plano!$B$1),"entrada","saída"))</f>
        <v>saída</v>
      </c>
      <c r="T1151" s="332" t="s">
        <v>114</v>
      </c>
      <c r="U1151" s="332" t="s">
        <v>114</v>
      </c>
      <c r="V1151" s="269"/>
      <c r="W1151" s="269"/>
      <c r="X1151" s="269"/>
      <c r="Y1151" s="269"/>
      <c r="Z1151" s="269"/>
      <c r="AA1151" s="269"/>
      <c r="AB1151" s="269"/>
      <c r="AC1151" s="269"/>
      <c r="AD1151" s="269"/>
      <c r="AE1151" s="269"/>
      <c r="AF1151" s="269"/>
      <c r="AG1151" s="269"/>
      <c r="AH1151" s="269"/>
      <c r="AI1151" s="269"/>
      <c r="AJ1151" s="269"/>
      <c r="AK1151" s="269"/>
      <c r="AL1151" s="269"/>
      <c r="AM1151" s="269"/>
    </row>
    <row r="1152" spans="1:39" ht="49.5" customHeight="1" x14ac:dyDescent="0.2">
      <c r="A1152" s="277">
        <f>IF(B1152="","",COUNT('Diário 5º PA'!$A$5:$A$2634)+COUNT('Diário 6º PA'!$A$5:$A$2246)+ROW()-4)</f>
        <v>3691</v>
      </c>
      <c r="B1152" s="278">
        <v>44448</v>
      </c>
      <c r="C1152" s="335">
        <v>44409</v>
      </c>
      <c r="D1152" s="255" t="s">
        <v>99</v>
      </c>
      <c r="E1152" s="255" t="s">
        <v>212</v>
      </c>
      <c r="F1152" s="258">
        <v>-447.21</v>
      </c>
      <c r="G1152" s="450" t="s">
        <v>2367</v>
      </c>
      <c r="H1152" s="252" t="s">
        <v>115</v>
      </c>
      <c r="I1152" s="250" t="s">
        <v>983</v>
      </c>
      <c r="J1152" s="255" t="s">
        <v>850</v>
      </c>
      <c r="K1152" s="255" t="s">
        <v>946</v>
      </c>
      <c r="L1152" s="250" t="s">
        <v>947</v>
      </c>
      <c r="M1152" s="277" t="s">
        <v>114</v>
      </c>
      <c r="N1152" s="278">
        <v>44448</v>
      </c>
      <c r="O1152" s="329" t="s">
        <v>67</v>
      </c>
      <c r="P1152" s="330">
        <f t="shared" si="100"/>
        <v>9</v>
      </c>
      <c r="Q1152" s="330">
        <f t="shared" si="101"/>
        <v>8</v>
      </c>
      <c r="R1152" s="331" t="str">
        <f t="shared" si="102"/>
        <v>Gastos_Gerais</v>
      </c>
      <c r="S1152" s="331" t="str">
        <f>IF(D1152="","",IF(OR(D1152=Plano!$A$1,D1152=Plano!$B$1),"entrada","saída"))</f>
        <v>saída</v>
      </c>
      <c r="T1152" s="332" t="s">
        <v>114</v>
      </c>
      <c r="U1152" s="332" t="s">
        <v>114</v>
      </c>
      <c r="V1152" s="269"/>
      <c r="W1152" s="269"/>
      <c r="X1152" s="269"/>
      <c r="Y1152" s="269"/>
      <c r="Z1152" s="269"/>
      <c r="AA1152" s="269"/>
      <c r="AB1152" s="269"/>
      <c r="AC1152" s="269"/>
      <c r="AD1152" s="269"/>
      <c r="AE1152" s="269"/>
      <c r="AF1152" s="269"/>
      <c r="AG1152" s="269"/>
      <c r="AH1152" s="269"/>
      <c r="AI1152" s="269"/>
      <c r="AJ1152" s="269"/>
      <c r="AK1152" s="269"/>
      <c r="AL1152" s="269"/>
      <c r="AM1152" s="269"/>
    </row>
    <row r="1153" spans="1:39" ht="175.5" customHeight="1" x14ac:dyDescent="0.2">
      <c r="A1153" s="277">
        <f>IF(B1153="","",COUNT('Diário 5º PA'!$A$5:$A$2634)+COUNT('Diário 6º PA'!$A$5:$A$2246)+ROW()-4)</f>
        <v>3692</v>
      </c>
      <c r="B1153" s="278">
        <v>44448</v>
      </c>
      <c r="C1153" s="249">
        <v>44409</v>
      </c>
      <c r="D1153" s="255" t="s">
        <v>99</v>
      </c>
      <c r="E1153" s="255" t="s">
        <v>342</v>
      </c>
      <c r="F1153" s="258">
        <v>2827.55</v>
      </c>
      <c r="G1153" s="452" t="s">
        <v>2368</v>
      </c>
      <c r="H1153" s="250" t="s">
        <v>131</v>
      </c>
      <c r="I1153" s="250" t="s">
        <v>2369</v>
      </c>
      <c r="J1153" s="250" t="s">
        <v>2370</v>
      </c>
      <c r="K1153" s="255" t="s">
        <v>991</v>
      </c>
      <c r="L1153" s="250" t="s">
        <v>1029</v>
      </c>
      <c r="M1153" s="277">
        <v>1316</v>
      </c>
      <c r="N1153" s="278">
        <v>44447</v>
      </c>
      <c r="O1153" s="329" t="s">
        <v>67</v>
      </c>
      <c r="P1153" s="330">
        <f t="shared" si="100"/>
        <v>9</v>
      </c>
      <c r="Q1153" s="330">
        <f t="shared" si="101"/>
        <v>8</v>
      </c>
      <c r="R1153" s="331" t="str">
        <f t="shared" si="102"/>
        <v>Gastos_Gerais</v>
      </c>
      <c r="S1153" s="331" t="str">
        <f>IF(D1153="","",IF(OR(D1153=Plano!$A$1,D1153=Plano!$B$1),"entrada","saída"))</f>
        <v>saída</v>
      </c>
      <c r="T1153" s="334" t="s">
        <v>994</v>
      </c>
      <c r="U1153" s="334">
        <v>1962</v>
      </c>
      <c r="V1153" s="269"/>
      <c r="W1153" s="269"/>
      <c r="X1153" s="269"/>
      <c r="Y1153" s="269"/>
      <c r="Z1153" s="269"/>
      <c r="AA1153" s="269"/>
      <c r="AB1153" s="269"/>
      <c r="AC1153" s="269"/>
      <c r="AD1153" s="269"/>
      <c r="AE1153" s="269"/>
      <c r="AF1153" s="269"/>
      <c r="AG1153" s="269"/>
      <c r="AH1153" s="269"/>
      <c r="AI1153" s="269"/>
      <c r="AJ1153" s="269"/>
      <c r="AK1153" s="269"/>
      <c r="AL1153" s="269"/>
      <c r="AM1153" s="269"/>
    </row>
    <row r="1154" spans="1:39" ht="166.5" customHeight="1" x14ac:dyDescent="0.2">
      <c r="A1154" s="277">
        <f>IF(B1154="","",COUNT('Diário 5º PA'!$A$5:$A$2634)+COUNT('Diário 6º PA'!$A$5:$A$2246)+ROW()-4)</f>
        <v>3693</v>
      </c>
      <c r="B1154" s="278">
        <v>44448</v>
      </c>
      <c r="C1154" s="249">
        <v>44409</v>
      </c>
      <c r="D1154" s="255" t="s">
        <v>99</v>
      </c>
      <c r="E1154" s="255" t="s">
        <v>358</v>
      </c>
      <c r="F1154" s="258">
        <v>600</v>
      </c>
      <c r="G1154" s="452" t="s">
        <v>2371</v>
      </c>
      <c r="H1154" s="250" t="s">
        <v>126</v>
      </c>
      <c r="I1154" s="250" t="s">
        <v>2372</v>
      </c>
      <c r="J1154" s="250" t="s">
        <v>2373</v>
      </c>
      <c r="K1154" s="255" t="s">
        <v>991</v>
      </c>
      <c r="L1154" s="250" t="s">
        <v>1016</v>
      </c>
      <c r="M1154" s="277">
        <v>55</v>
      </c>
      <c r="N1154" s="278">
        <v>44447</v>
      </c>
      <c r="O1154" s="329" t="s">
        <v>67</v>
      </c>
      <c r="P1154" s="330">
        <f t="shared" si="100"/>
        <v>9</v>
      </c>
      <c r="Q1154" s="330">
        <f t="shared" si="101"/>
        <v>8</v>
      </c>
      <c r="R1154" s="331" t="str">
        <f t="shared" si="102"/>
        <v>Gastos_Gerais</v>
      </c>
      <c r="S1154" s="331" t="str">
        <f>IF(D1154="","",IF(OR(D1154=Plano!$A$1,D1154=Plano!$B$1),"entrada","saída"))</f>
        <v>saída</v>
      </c>
      <c r="T1154" s="334" t="s">
        <v>994</v>
      </c>
      <c r="U1154" s="334">
        <v>1948</v>
      </c>
      <c r="V1154" s="269"/>
      <c r="W1154" s="269"/>
      <c r="X1154" s="269"/>
      <c r="Y1154" s="269"/>
      <c r="Z1154" s="269"/>
      <c r="AA1154" s="269"/>
      <c r="AB1154" s="269"/>
      <c r="AC1154" s="269"/>
      <c r="AD1154" s="269"/>
      <c r="AE1154" s="269"/>
      <c r="AF1154" s="269"/>
      <c r="AG1154" s="269"/>
      <c r="AH1154" s="269"/>
      <c r="AI1154" s="269"/>
      <c r="AJ1154" s="269"/>
      <c r="AK1154" s="269"/>
      <c r="AL1154" s="269"/>
      <c r="AM1154" s="269"/>
    </row>
    <row r="1155" spans="1:39" ht="154.5" customHeight="1" x14ac:dyDescent="0.2">
      <c r="A1155" s="277">
        <f>IF(B1155="","",COUNT('Diário 5º PA'!$A$5:$A$2634)+COUNT('Diário 6º PA'!$A$5:$A$2246)+ROW()-4)</f>
        <v>3694</v>
      </c>
      <c r="B1155" s="278">
        <v>44448</v>
      </c>
      <c r="C1155" s="249">
        <v>44409</v>
      </c>
      <c r="D1155" s="255" t="s">
        <v>99</v>
      </c>
      <c r="E1155" s="255" t="s">
        <v>342</v>
      </c>
      <c r="F1155" s="258">
        <v>3500</v>
      </c>
      <c r="G1155" s="452" t="s">
        <v>2374</v>
      </c>
      <c r="H1155" s="250" t="s">
        <v>131</v>
      </c>
      <c r="I1155" s="250" t="s">
        <v>2375</v>
      </c>
      <c r="J1155" s="250" t="s">
        <v>2376</v>
      </c>
      <c r="K1155" s="255" t="s">
        <v>991</v>
      </c>
      <c r="L1155" s="250" t="s">
        <v>1016</v>
      </c>
      <c r="M1155" s="277" t="s">
        <v>1211</v>
      </c>
      <c r="N1155" s="278">
        <v>44447</v>
      </c>
      <c r="O1155" s="329" t="s">
        <v>67</v>
      </c>
      <c r="P1155" s="330">
        <f t="shared" si="100"/>
        <v>9</v>
      </c>
      <c r="Q1155" s="330">
        <f t="shared" si="101"/>
        <v>8</v>
      </c>
      <c r="R1155" s="331" t="str">
        <f t="shared" si="102"/>
        <v>Gastos_Gerais</v>
      </c>
      <c r="S1155" s="331" t="str">
        <f>IF(D1155="","",IF(OR(D1155=Plano!$A$1,D1155=Plano!$B$1),"entrada","saída"))</f>
        <v>saída</v>
      </c>
      <c r="T1155" s="334" t="s">
        <v>994</v>
      </c>
      <c r="U1155" s="334">
        <v>1958</v>
      </c>
      <c r="V1155" s="269"/>
      <c r="W1155" s="269"/>
      <c r="X1155" s="269"/>
      <c r="Y1155" s="269"/>
      <c r="Z1155" s="269"/>
      <c r="AA1155" s="269"/>
      <c r="AB1155" s="269"/>
      <c r="AC1155" s="269"/>
      <c r="AD1155" s="269"/>
      <c r="AE1155" s="269"/>
      <c r="AF1155" s="269"/>
      <c r="AG1155" s="269"/>
      <c r="AH1155" s="269"/>
      <c r="AI1155" s="269"/>
      <c r="AJ1155" s="269"/>
      <c r="AK1155" s="269"/>
      <c r="AL1155" s="269"/>
      <c r="AM1155" s="269"/>
    </row>
    <row r="1156" spans="1:39" ht="189.75" customHeight="1" x14ac:dyDescent="0.2">
      <c r="A1156" s="277">
        <f>IF(B1156="","",COUNT('Diário 5º PA'!$A$5:$A$2634)+COUNT('Diário 6º PA'!$A$5:$A$2246)+ROW()-4)</f>
        <v>3695</v>
      </c>
      <c r="B1156" s="278">
        <v>44448</v>
      </c>
      <c r="C1156" s="249">
        <v>44378</v>
      </c>
      <c r="D1156" s="255" t="s">
        <v>99</v>
      </c>
      <c r="E1156" s="255" t="s">
        <v>364</v>
      </c>
      <c r="F1156" s="258">
        <v>1371.86</v>
      </c>
      <c r="G1156" s="452" t="s">
        <v>2377</v>
      </c>
      <c r="H1156" s="250" t="s">
        <v>125</v>
      </c>
      <c r="I1156" s="252" t="s">
        <v>1673</v>
      </c>
      <c r="J1156" s="252" t="s">
        <v>1674</v>
      </c>
      <c r="K1156" s="255" t="s">
        <v>991</v>
      </c>
      <c r="L1156" s="250" t="s">
        <v>1016</v>
      </c>
      <c r="M1156" s="277" t="s">
        <v>2187</v>
      </c>
      <c r="N1156" s="278">
        <v>44448</v>
      </c>
      <c r="O1156" s="329" t="s">
        <v>67</v>
      </c>
      <c r="P1156" s="330">
        <f t="shared" si="100"/>
        <v>9</v>
      </c>
      <c r="Q1156" s="330">
        <f t="shared" si="101"/>
        <v>7</v>
      </c>
      <c r="R1156" s="331" t="str">
        <f t="shared" si="102"/>
        <v>Gastos_Gerais</v>
      </c>
      <c r="S1156" s="331" t="str">
        <f>IF(D1156="","",IF(OR(D1156=Plano!$A$1,D1156=Plano!$B$1),"entrada","saída"))</f>
        <v>saída</v>
      </c>
      <c r="T1156" s="334" t="s">
        <v>994</v>
      </c>
      <c r="U1156" s="334">
        <v>1828</v>
      </c>
      <c r="V1156" s="269"/>
      <c r="W1156" s="269"/>
      <c r="X1156" s="269"/>
      <c r="Y1156" s="269"/>
      <c r="Z1156" s="269"/>
      <c r="AA1156" s="269"/>
      <c r="AB1156" s="269"/>
      <c r="AC1156" s="269"/>
      <c r="AD1156" s="269"/>
      <c r="AE1156" s="269"/>
      <c r="AF1156" s="269"/>
      <c r="AG1156" s="269"/>
      <c r="AH1156" s="269"/>
      <c r="AI1156" s="269"/>
      <c r="AJ1156" s="269"/>
      <c r="AK1156" s="269"/>
      <c r="AL1156" s="269"/>
      <c r="AM1156" s="269"/>
    </row>
    <row r="1157" spans="1:39" ht="60.75" customHeight="1" x14ac:dyDescent="0.2">
      <c r="A1157" s="277">
        <f>IF(B1157="","",COUNT('Diário 5º PA'!$A$5:$A$2634)+COUNT('Diário 6º PA'!$A$5:$A$2246)+ROW()-4)</f>
        <v>3696</v>
      </c>
      <c r="B1157" s="278">
        <v>44448</v>
      </c>
      <c r="C1157" s="249">
        <v>44440</v>
      </c>
      <c r="D1157" s="255" t="s">
        <v>99</v>
      </c>
      <c r="E1157" s="255" t="s">
        <v>364</v>
      </c>
      <c r="F1157" s="258">
        <v>1000</v>
      </c>
      <c r="G1157" s="452" t="s">
        <v>2378</v>
      </c>
      <c r="H1157" s="250" t="s">
        <v>132</v>
      </c>
      <c r="I1157" s="252" t="s">
        <v>2089</v>
      </c>
      <c r="J1157" s="252" t="s">
        <v>2090</v>
      </c>
      <c r="K1157" s="255" t="s">
        <v>560</v>
      </c>
      <c r="L1157" s="250" t="s">
        <v>114</v>
      </c>
      <c r="M1157" s="277" t="s">
        <v>114</v>
      </c>
      <c r="N1157" s="464">
        <v>44448</v>
      </c>
      <c r="O1157" s="329" t="s">
        <v>67</v>
      </c>
      <c r="P1157" s="330">
        <f t="shared" si="100"/>
        <v>9</v>
      </c>
      <c r="Q1157" s="330">
        <f t="shared" si="101"/>
        <v>9</v>
      </c>
      <c r="R1157" s="331" t="str">
        <f t="shared" si="102"/>
        <v>Gastos_Gerais</v>
      </c>
      <c r="S1157" s="331" t="str">
        <f>IF(D1157="","",IF(OR(D1157=Plano!$A$1,D1157=Plano!$B$1),"entrada","saída"))</f>
        <v>saída</v>
      </c>
      <c r="T1157" s="334" t="s">
        <v>994</v>
      </c>
      <c r="U1157" s="334">
        <v>2026</v>
      </c>
      <c r="V1157" s="269"/>
      <c r="W1157" s="269"/>
      <c r="X1157" s="269"/>
      <c r="Y1157" s="269"/>
      <c r="Z1157" s="269"/>
      <c r="AA1157" s="269"/>
      <c r="AB1157" s="269"/>
      <c r="AC1157" s="269"/>
      <c r="AD1157" s="269"/>
      <c r="AE1157" s="269"/>
      <c r="AF1157" s="269"/>
      <c r="AG1157" s="269"/>
      <c r="AH1157" s="269"/>
      <c r="AI1157" s="269"/>
      <c r="AJ1157" s="269"/>
      <c r="AK1157" s="269"/>
      <c r="AL1157" s="269"/>
      <c r="AM1157" s="269"/>
    </row>
    <row r="1158" spans="1:39" ht="88.5" customHeight="1" x14ac:dyDescent="0.2">
      <c r="A1158" s="277">
        <f>IF(B1158="","",COUNT('Diário 5º PA'!$A$5:$A$2634)+COUNT('Diário 6º PA'!$A$5:$A$2246)+ROW()-4)</f>
        <v>3697</v>
      </c>
      <c r="B1158" s="278">
        <v>44448</v>
      </c>
      <c r="C1158" s="249">
        <v>44409</v>
      </c>
      <c r="D1158" s="255" t="s">
        <v>99</v>
      </c>
      <c r="E1158" s="255" t="s">
        <v>350</v>
      </c>
      <c r="F1158" s="258">
        <v>1700</v>
      </c>
      <c r="G1158" s="452" t="s">
        <v>2379</v>
      </c>
      <c r="H1158" s="250" t="s">
        <v>116</v>
      </c>
      <c r="I1158" s="252" t="s">
        <v>1043</v>
      </c>
      <c r="J1158" s="252" t="s">
        <v>1044</v>
      </c>
      <c r="K1158" s="255" t="s">
        <v>991</v>
      </c>
      <c r="L1158" s="250" t="s">
        <v>1136</v>
      </c>
      <c r="M1158" s="277" t="s">
        <v>114</v>
      </c>
      <c r="N1158" s="278">
        <v>44448</v>
      </c>
      <c r="O1158" s="329" t="s">
        <v>67</v>
      </c>
      <c r="P1158" s="330">
        <f t="shared" si="100"/>
        <v>9</v>
      </c>
      <c r="Q1158" s="330">
        <f t="shared" si="101"/>
        <v>8</v>
      </c>
      <c r="R1158" s="331" t="str">
        <f t="shared" si="102"/>
        <v>Gastos_Gerais</v>
      </c>
      <c r="S1158" s="331" t="str">
        <f>IF(D1158="","",IF(OR(D1158=Plano!$A$1,D1158=Plano!$B$1),"entrada","saída"))</f>
        <v>saída</v>
      </c>
      <c r="T1158" s="334" t="s">
        <v>994</v>
      </c>
      <c r="U1158" s="334">
        <v>1953</v>
      </c>
      <c r="V1158" s="269"/>
      <c r="W1158" s="269"/>
      <c r="X1158" s="269"/>
      <c r="Y1158" s="269"/>
      <c r="Z1158" s="269"/>
      <c r="AA1158" s="269"/>
      <c r="AB1158" s="269"/>
      <c r="AC1158" s="269"/>
      <c r="AD1158" s="269"/>
      <c r="AE1158" s="269"/>
      <c r="AF1158" s="269"/>
      <c r="AG1158" s="269"/>
      <c r="AH1158" s="269"/>
      <c r="AI1158" s="269"/>
      <c r="AJ1158" s="269"/>
      <c r="AK1158" s="269"/>
      <c r="AL1158" s="269"/>
      <c r="AM1158" s="269"/>
    </row>
    <row r="1159" spans="1:39" ht="52.5" customHeight="1" x14ac:dyDescent="0.2">
      <c r="A1159" s="277">
        <f>IF(B1159="","",COUNT('Diário 5º PA'!$A$5:$A$2634)+COUNT('Diário 6º PA'!$A$5:$A$2246)+ROW()-4)</f>
        <v>3698</v>
      </c>
      <c r="B1159" s="278">
        <v>44448</v>
      </c>
      <c r="C1159" s="249">
        <v>44409</v>
      </c>
      <c r="D1159" s="255" t="s">
        <v>99</v>
      </c>
      <c r="E1159" s="255" t="s">
        <v>360</v>
      </c>
      <c r="F1159" s="258">
        <v>450</v>
      </c>
      <c r="G1159" s="452" t="s">
        <v>2380</v>
      </c>
      <c r="H1159" s="250" t="s">
        <v>131</v>
      </c>
      <c r="I1159" s="252" t="s">
        <v>1135</v>
      </c>
      <c r="J1159" s="252" t="s">
        <v>652</v>
      </c>
      <c r="K1159" s="255" t="s">
        <v>991</v>
      </c>
      <c r="L1159" s="250" t="s">
        <v>1177</v>
      </c>
      <c r="M1159" s="278" t="s">
        <v>114</v>
      </c>
      <c r="N1159" s="278">
        <v>44447</v>
      </c>
      <c r="O1159" s="329" t="s">
        <v>67</v>
      </c>
      <c r="P1159" s="330">
        <f t="shared" si="100"/>
        <v>9</v>
      </c>
      <c r="Q1159" s="330">
        <f t="shared" si="101"/>
        <v>8</v>
      </c>
      <c r="R1159" s="331" t="str">
        <f t="shared" si="102"/>
        <v>Gastos_Gerais</v>
      </c>
      <c r="S1159" s="331" t="str">
        <f>IF(D1159="","",IF(OR(D1159=Plano!$A$1,D1159=Plano!$B$1),"entrada","saída"))</f>
        <v>saída</v>
      </c>
      <c r="T1159" s="334" t="s">
        <v>994</v>
      </c>
      <c r="U1159" s="334">
        <v>1993</v>
      </c>
      <c r="V1159" s="269"/>
      <c r="W1159" s="269"/>
      <c r="X1159" s="269"/>
      <c r="Y1159" s="269"/>
      <c r="Z1159" s="269"/>
      <c r="AA1159" s="269"/>
      <c r="AB1159" s="269"/>
      <c r="AC1159" s="269"/>
      <c r="AD1159" s="269"/>
      <c r="AE1159" s="269"/>
      <c r="AF1159" s="269"/>
      <c r="AG1159" s="269"/>
      <c r="AH1159" s="269"/>
      <c r="AI1159" s="269"/>
      <c r="AJ1159" s="269"/>
      <c r="AK1159" s="269"/>
      <c r="AL1159" s="269"/>
      <c r="AM1159" s="269"/>
    </row>
    <row r="1160" spans="1:39" ht="28.5" customHeight="1" x14ac:dyDescent="0.2">
      <c r="A1160" s="277">
        <f>IF(B1160="","",COUNT('Diário 5º PA'!$A$5:$A$2634)+COUNT('Diário 6º PA'!$A$5:$A$2246)+ROW()-4)</f>
        <v>3699</v>
      </c>
      <c r="B1160" s="278">
        <v>44448</v>
      </c>
      <c r="C1160" s="249">
        <v>44409</v>
      </c>
      <c r="D1160" s="255" t="s">
        <v>99</v>
      </c>
      <c r="E1160" s="255" t="s">
        <v>208</v>
      </c>
      <c r="F1160" s="258">
        <v>8128.76</v>
      </c>
      <c r="G1160" s="450" t="s">
        <v>2381</v>
      </c>
      <c r="H1160" s="255" t="s">
        <v>115</v>
      </c>
      <c r="I1160" s="252" t="s">
        <v>518</v>
      </c>
      <c r="J1160" s="252" t="s">
        <v>519</v>
      </c>
      <c r="K1160" s="255" t="s">
        <v>560</v>
      </c>
      <c r="L1160" s="250" t="s">
        <v>947</v>
      </c>
      <c r="M1160" s="277">
        <v>9</v>
      </c>
      <c r="N1160" s="278">
        <v>44428</v>
      </c>
      <c r="O1160" s="329" t="s">
        <v>67</v>
      </c>
      <c r="P1160" s="330">
        <f t="shared" si="100"/>
        <v>9</v>
      </c>
      <c r="Q1160" s="330">
        <f t="shared" si="101"/>
        <v>8</v>
      </c>
      <c r="R1160" s="331" t="str">
        <f t="shared" si="102"/>
        <v>Gastos_Gerais</v>
      </c>
      <c r="S1160" s="331" t="str">
        <f>IF(D1160="","",IF(OR(D1160=Plano!$A$1,D1160=Plano!$B$1),"entrada","saída"))</f>
        <v>saída</v>
      </c>
      <c r="T1160" s="332" t="s">
        <v>114</v>
      </c>
      <c r="U1160" s="332" t="s">
        <v>114</v>
      </c>
      <c r="V1160" s="269"/>
      <c r="W1160" s="269"/>
      <c r="X1160" s="269"/>
      <c r="Y1160" s="269"/>
      <c r="Z1160" s="269"/>
      <c r="AA1160" s="269"/>
      <c r="AB1160" s="269"/>
      <c r="AC1160" s="269"/>
      <c r="AD1160" s="269"/>
      <c r="AE1160" s="269"/>
      <c r="AF1160" s="269"/>
      <c r="AG1160" s="269"/>
      <c r="AH1160" s="269"/>
      <c r="AI1160" s="269"/>
      <c r="AJ1160" s="269"/>
      <c r="AK1160" s="269"/>
      <c r="AL1160" s="269"/>
      <c r="AM1160" s="269"/>
    </row>
    <row r="1161" spans="1:39" ht="27.75" customHeight="1" x14ac:dyDescent="0.2">
      <c r="A1161" s="277">
        <f>IF(B1161="","",COUNT('Diário 5º PA'!$A$5:$A$2634)+COUNT('Diário 6º PA'!$A$5:$A$2246)+ROW()-4)</f>
        <v>3700</v>
      </c>
      <c r="B1161" s="278">
        <v>44448</v>
      </c>
      <c r="C1161" s="249">
        <v>44409</v>
      </c>
      <c r="D1161" s="255" t="s">
        <v>99</v>
      </c>
      <c r="E1161" s="255" t="s">
        <v>212</v>
      </c>
      <c r="F1161" s="258">
        <v>1693.33</v>
      </c>
      <c r="G1161" s="450" t="s">
        <v>2382</v>
      </c>
      <c r="H1161" s="255" t="s">
        <v>115</v>
      </c>
      <c r="I1161" s="252" t="s">
        <v>518</v>
      </c>
      <c r="J1161" s="252" t="s">
        <v>519</v>
      </c>
      <c r="K1161" s="255" t="s">
        <v>560</v>
      </c>
      <c r="L1161" s="250" t="s">
        <v>947</v>
      </c>
      <c r="M1161" s="277">
        <v>9</v>
      </c>
      <c r="N1161" s="278">
        <v>44428</v>
      </c>
      <c r="O1161" s="329" t="s">
        <v>67</v>
      </c>
      <c r="P1161" s="330">
        <f t="shared" si="100"/>
        <v>9</v>
      </c>
      <c r="Q1161" s="330">
        <f t="shared" si="101"/>
        <v>8</v>
      </c>
      <c r="R1161" s="331" t="str">
        <f t="shared" si="102"/>
        <v>Gastos_Gerais</v>
      </c>
      <c r="S1161" s="331" t="str">
        <f>IF(D1161="","",IF(OR(D1161=Plano!$A$1,D1161=Plano!$B$1),"entrada","saída"))</f>
        <v>saída</v>
      </c>
      <c r="T1161" s="332" t="s">
        <v>114</v>
      </c>
      <c r="U1161" s="332" t="s">
        <v>114</v>
      </c>
      <c r="V1161" s="269"/>
      <c r="W1161" s="269"/>
      <c r="X1161" s="269"/>
      <c r="Y1161" s="269"/>
      <c r="Z1161" s="269"/>
      <c r="AA1161" s="269"/>
      <c r="AB1161" s="269"/>
      <c r="AC1161" s="269"/>
      <c r="AD1161" s="269"/>
      <c r="AE1161" s="269"/>
      <c r="AF1161" s="269"/>
      <c r="AG1161" s="269"/>
      <c r="AH1161" s="269"/>
      <c r="AI1161" s="269"/>
      <c r="AJ1161" s="269"/>
      <c r="AK1161" s="269"/>
      <c r="AL1161" s="269"/>
      <c r="AM1161" s="269"/>
    </row>
    <row r="1162" spans="1:39" ht="45" customHeight="1" x14ac:dyDescent="0.2">
      <c r="A1162" s="277">
        <f>IF(B1162="","",COUNT('Diário 5º PA'!$A$5:$A$2634)+COUNT('Diário 6º PA'!$A$5:$A$2246)+ROW()-4)</f>
        <v>3701</v>
      </c>
      <c r="B1162" s="278">
        <v>44448</v>
      </c>
      <c r="C1162" s="335">
        <v>44440</v>
      </c>
      <c r="D1162" s="255" t="s">
        <v>99</v>
      </c>
      <c r="E1162" s="255" t="s">
        <v>272</v>
      </c>
      <c r="F1162" s="258">
        <v>10.45</v>
      </c>
      <c r="G1162" s="450" t="s">
        <v>2365</v>
      </c>
      <c r="H1162" s="250" t="s">
        <v>131</v>
      </c>
      <c r="I1162" s="250" t="s">
        <v>949</v>
      </c>
      <c r="J1162" s="255" t="s">
        <v>950</v>
      </c>
      <c r="K1162" s="255" t="s">
        <v>951</v>
      </c>
      <c r="L1162" s="250" t="s">
        <v>947</v>
      </c>
      <c r="M1162" s="336" t="s">
        <v>114</v>
      </c>
      <c r="N1162" s="278">
        <v>44448</v>
      </c>
      <c r="O1162" s="329" t="s">
        <v>67</v>
      </c>
      <c r="P1162" s="330">
        <f t="shared" si="100"/>
        <v>9</v>
      </c>
      <c r="Q1162" s="330">
        <f t="shared" si="101"/>
        <v>9</v>
      </c>
      <c r="R1162" s="331" t="str">
        <f t="shared" si="102"/>
        <v>Gastos_Gerais</v>
      </c>
      <c r="S1162" s="331" t="str">
        <f>IF(D1162="","",IF(OR(D1162=Plano!$A$1,D1162=Plano!$B$1),"entrada","saída"))</f>
        <v>saída</v>
      </c>
      <c r="T1162" s="332" t="s">
        <v>114</v>
      </c>
      <c r="U1162" s="332" t="s">
        <v>114</v>
      </c>
      <c r="V1162" s="269"/>
      <c r="W1162" s="269"/>
      <c r="X1162" s="269"/>
      <c r="Y1162" s="269"/>
      <c r="Z1162" s="269"/>
      <c r="AA1162" s="269"/>
      <c r="AB1162" s="269"/>
      <c r="AC1162" s="269"/>
      <c r="AD1162" s="269"/>
      <c r="AE1162" s="269"/>
      <c r="AF1162" s="269"/>
      <c r="AG1162" s="269"/>
      <c r="AH1162" s="269"/>
      <c r="AI1162" s="269"/>
      <c r="AJ1162" s="269"/>
      <c r="AK1162" s="269"/>
      <c r="AL1162" s="269"/>
      <c r="AM1162" s="269"/>
    </row>
    <row r="1163" spans="1:39" ht="45" customHeight="1" x14ac:dyDescent="0.2">
      <c r="A1163" s="277">
        <f>IF(B1163="","",COUNT('Diário 5º PA'!$A$5:$A$2634)+COUNT('Diário 6º PA'!$A$5:$A$2246)+ROW()-4)</f>
        <v>3702</v>
      </c>
      <c r="B1163" s="278">
        <v>44448</v>
      </c>
      <c r="C1163" s="335">
        <v>44440</v>
      </c>
      <c r="D1163" s="255" t="s">
        <v>99</v>
      </c>
      <c r="E1163" s="255" t="s">
        <v>272</v>
      </c>
      <c r="F1163" s="258">
        <v>10.45</v>
      </c>
      <c r="G1163" s="450" t="s">
        <v>2383</v>
      </c>
      <c r="H1163" s="250" t="s">
        <v>126</v>
      </c>
      <c r="I1163" s="250" t="s">
        <v>949</v>
      </c>
      <c r="J1163" s="255" t="s">
        <v>950</v>
      </c>
      <c r="K1163" s="255" t="s">
        <v>951</v>
      </c>
      <c r="L1163" s="250" t="s">
        <v>947</v>
      </c>
      <c r="M1163" s="336" t="s">
        <v>114</v>
      </c>
      <c r="N1163" s="278">
        <v>44448</v>
      </c>
      <c r="O1163" s="329" t="s">
        <v>67</v>
      </c>
      <c r="P1163" s="330">
        <f t="shared" si="100"/>
        <v>9</v>
      </c>
      <c r="Q1163" s="330">
        <f t="shared" si="101"/>
        <v>9</v>
      </c>
      <c r="R1163" s="331" t="str">
        <f t="shared" si="102"/>
        <v>Gastos_Gerais</v>
      </c>
      <c r="S1163" s="331" t="str">
        <f>IF(D1163="","",IF(OR(D1163=Plano!$A$1,D1163=Plano!$B$1),"entrada","saída"))</f>
        <v>saída</v>
      </c>
      <c r="T1163" s="332" t="s">
        <v>114</v>
      </c>
      <c r="U1163" s="332" t="s">
        <v>114</v>
      </c>
      <c r="V1163" s="269"/>
      <c r="W1163" s="269"/>
      <c r="X1163" s="269"/>
      <c r="Y1163" s="269"/>
      <c r="Z1163" s="269"/>
      <c r="AA1163" s="269"/>
      <c r="AB1163" s="269"/>
      <c r="AC1163" s="269"/>
      <c r="AD1163" s="269"/>
      <c r="AE1163" s="269"/>
      <c r="AF1163" s="269"/>
      <c r="AG1163" s="269"/>
      <c r="AH1163" s="269"/>
      <c r="AI1163" s="269"/>
      <c r="AJ1163" s="269"/>
      <c r="AK1163" s="269"/>
      <c r="AL1163" s="269"/>
      <c r="AM1163" s="269"/>
    </row>
    <row r="1164" spans="1:39" ht="45" customHeight="1" x14ac:dyDescent="0.2">
      <c r="A1164" s="277">
        <f>IF(B1164="","",COUNT('Diário 5º PA'!$A$5:$A$2634)+COUNT('Diário 6º PA'!$A$5:$A$2246)+ROW()-4)</f>
        <v>3703</v>
      </c>
      <c r="B1164" s="278">
        <v>44448</v>
      </c>
      <c r="C1164" s="335">
        <v>44440</v>
      </c>
      <c r="D1164" s="255" t="s">
        <v>99</v>
      </c>
      <c r="E1164" s="255" t="s">
        <v>272</v>
      </c>
      <c r="F1164" s="258">
        <v>10.45</v>
      </c>
      <c r="G1164" s="450" t="s">
        <v>2384</v>
      </c>
      <c r="H1164" s="250" t="s">
        <v>131</v>
      </c>
      <c r="I1164" s="250" t="s">
        <v>949</v>
      </c>
      <c r="J1164" s="255" t="s">
        <v>950</v>
      </c>
      <c r="K1164" s="255" t="s">
        <v>951</v>
      </c>
      <c r="L1164" s="250" t="s">
        <v>947</v>
      </c>
      <c r="M1164" s="336" t="s">
        <v>114</v>
      </c>
      <c r="N1164" s="278">
        <v>44448</v>
      </c>
      <c r="O1164" s="329" t="s">
        <v>67</v>
      </c>
      <c r="P1164" s="330">
        <f t="shared" si="100"/>
        <v>9</v>
      </c>
      <c r="Q1164" s="330">
        <f t="shared" si="101"/>
        <v>9</v>
      </c>
      <c r="R1164" s="331" t="str">
        <f t="shared" si="102"/>
        <v>Gastos_Gerais</v>
      </c>
      <c r="S1164" s="331" t="str">
        <f>IF(D1164="","",IF(OR(D1164=Plano!$A$1,D1164=Plano!$B$1),"entrada","saída"))</f>
        <v>saída</v>
      </c>
      <c r="T1164" s="332" t="s">
        <v>114</v>
      </c>
      <c r="U1164" s="332" t="s">
        <v>114</v>
      </c>
      <c r="V1164" s="269"/>
      <c r="W1164" s="269"/>
      <c r="X1164" s="269"/>
      <c r="Y1164" s="269"/>
      <c r="Z1164" s="269"/>
      <c r="AA1164" s="269"/>
      <c r="AB1164" s="269"/>
      <c r="AC1164" s="269"/>
      <c r="AD1164" s="269"/>
      <c r="AE1164" s="269"/>
      <c r="AF1164" s="269"/>
      <c r="AG1164" s="269"/>
      <c r="AH1164" s="269"/>
      <c r="AI1164" s="269"/>
      <c r="AJ1164" s="269"/>
      <c r="AK1164" s="269"/>
      <c r="AL1164" s="269"/>
      <c r="AM1164" s="269"/>
    </row>
    <row r="1165" spans="1:39" ht="45" customHeight="1" x14ac:dyDescent="0.2">
      <c r="A1165" s="277">
        <f>IF(B1165="","",COUNT('Diário 5º PA'!$A$5:$A$2634)+COUNT('Diário 6º PA'!$A$5:$A$2246)+ROW()-4)</f>
        <v>3704</v>
      </c>
      <c r="B1165" s="278">
        <v>44448</v>
      </c>
      <c r="C1165" s="335">
        <v>44440</v>
      </c>
      <c r="D1165" s="255" t="s">
        <v>99</v>
      </c>
      <c r="E1165" s="255" t="s">
        <v>272</v>
      </c>
      <c r="F1165" s="258">
        <v>10.45</v>
      </c>
      <c r="G1165" s="450" t="s">
        <v>2385</v>
      </c>
      <c r="H1165" s="250" t="s">
        <v>125</v>
      </c>
      <c r="I1165" s="250" t="s">
        <v>949</v>
      </c>
      <c r="J1165" s="255" t="s">
        <v>950</v>
      </c>
      <c r="K1165" s="255" t="s">
        <v>951</v>
      </c>
      <c r="L1165" s="250" t="s">
        <v>947</v>
      </c>
      <c r="M1165" s="336" t="s">
        <v>114</v>
      </c>
      <c r="N1165" s="278">
        <v>44448</v>
      </c>
      <c r="O1165" s="329" t="s">
        <v>67</v>
      </c>
      <c r="P1165" s="330">
        <f t="shared" si="100"/>
        <v>9</v>
      </c>
      <c r="Q1165" s="330">
        <f t="shared" si="101"/>
        <v>9</v>
      </c>
      <c r="R1165" s="331" t="str">
        <f t="shared" si="102"/>
        <v>Gastos_Gerais</v>
      </c>
      <c r="S1165" s="331" t="str">
        <f>IF(D1165="","",IF(OR(D1165=Plano!$A$1,D1165=Plano!$B$1),"entrada","saída"))</f>
        <v>saída</v>
      </c>
      <c r="T1165" s="332" t="s">
        <v>114</v>
      </c>
      <c r="U1165" s="332" t="s">
        <v>114</v>
      </c>
      <c r="V1165" s="269"/>
      <c r="W1165" s="269"/>
      <c r="X1165" s="269"/>
      <c r="Y1165" s="269"/>
      <c r="Z1165" s="269"/>
      <c r="AA1165" s="269"/>
      <c r="AB1165" s="269"/>
      <c r="AC1165" s="269"/>
      <c r="AD1165" s="269"/>
      <c r="AE1165" s="269"/>
      <c r="AF1165" s="269"/>
      <c r="AG1165" s="269"/>
      <c r="AH1165" s="269"/>
      <c r="AI1165" s="269"/>
      <c r="AJ1165" s="269"/>
      <c r="AK1165" s="269"/>
      <c r="AL1165" s="269"/>
      <c r="AM1165" s="269"/>
    </row>
    <row r="1166" spans="1:39" ht="45" customHeight="1" x14ac:dyDescent="0.2">
      <c r="A1166" s="277">
        <f>IF(B1166="","",COUNT('Diário 5º PA'!$A$5:$A$2634)+COUNT('Diário 6º PA'!$A$5:$A$2246)+ROW()-4)</f>
        <v>3705</v>
      </c>
      <c r="B1166" s="278">
        <v>44448</v>
      </c>
      <c r="C1166" s="335">
        <v>44440</v>
      </c>
      <c r="D1166" s="255" t="s">
        <v>99</v>
      </c>
      <c r="E1166" s="255" t="s">
        <v>272</v>
      </c>
      <c r="F1166" s="258">
        <v>10.45</v>
      </c>
      <c r="G1166" s="450" t="s">
        <v>2386</v>
      </c>
      <c r="H1166" s="250" t="s">
        <v>116</v>
      </c>
      <c r="I1166" s="250" t="s">
        <v>949</v>
      </c>
      <c r="J1166" s="255" t="s">
        <v>950</v>
      </c>
      <c r="K1166" s="255" t="s">
        <v>951</v>
      </c>
      <c r="L1166" s="250" t="s">
        <v>947</v>
      </c>
      <c r="M1166" s="336" t="s">
        <v>114</v>
      </c>
      <c r="N1166" s="278">
        <v>44448</v>
      </c>
      <c r="O1166" s="329" t="s">
        <v>67</v>
      </c>
      <c r="P1166" s="330">
        <f t="shared" si="100"/>
        <v>9</v>
      </c>
      <c r="Q1166" s="330">
        <f t="shared" si="101"/>
        <v>9</v>
      </c>
      <c r="R1166" s="331" t="str">
        <f t="shared" si="102"/>
        <v>Gastos_Gerais</v>
      </c>
      <c r="S1166" s="331" t="str">
        <f>IF(D1166="","",IF(OR(D1166=Plano!$A$1,D1166=Plano!$B$1),"entrada","saída"))</f>
        <v>saída</v>
      </c>
      <c r="T1166" s="332" t="s">
        <v>114</v>
      </c>
      <c r="U1166" s="332" t="s">
        <v>114</v>
      </c>
      <c r="V1166" s="269"/>
      <c r="W1166" s="269"/>
      <c r="X1166" s="269"/>
      <c r="Y1166" s="269"/>
      <c r="Z1166" s="269"/>
      <c r="AA1166" s="269"/>
      <c r="AB1166" s="269"/>
      <c r="AC1166" s="269"/>
      <c r="AD1166" s="269"/>
      <c r="AE1166" s="269"/>
      <c r="AF1166" s="269"/>
      <c r="AG1166" s="269"/>
      <c r="AH1166" s="269"/>
      <c r="AI1166" s="269"/>
      <c r="AJ1166" s="269"/>
      <c r="AK1166" s="269"/>
      <c r="AL1166" s="269"/>
      <c r="AM1166" s="269"/>
    </row>
    <row r="1167" spans="1:39" s="478" customFormat="1" ht="143.25" customHeight="1" x14ac:dyDescent="0.2">
      <c r="A1167" s="277">
        <f>IF(B1167="","",COUNT('Diário 5º PA'!$A$5:$A$2634)+COUNT('Diário 6º PA'!$A$5:$A$2246)+ROW()-4)</f>
        <v>3706</v>
      </c>
      <c r="B1167" s="278">
        <v>44448</v>
      </c>
      <c r="C1167" s="249">
        <v>44409</v>
      </c>
      <c r="D1167" s="250" t="s">
        <v>104</v>
      </c>
      <c r="E1167" s="250" t="s">
        <v>104</v>
      </c>
      <c r="F1167" s="251">
        <v>2694.72</v>
      </c>
      <c r="G1167" s="452" t="s">
        <v>579</v>
      </c>
      <c r="H1167" s="250" t="s">
        <v>104</v>
      </c>
      <c r="I1167" s="252" t="s">
        <v>1328</v>
      </c>
      <c r="J1167" s="440" t="s">
        <v>581</v>
      </c>
      <c r="K1167" s="255" t="s">
        <v>991</v>
      </c>
      <c r="L1167" s="250" t="s">
        <v>992</v>
      </c>
      <c r="M1167" s="277" t="s">
        <v>1944</v>
      </c>
      <c r="N1167" s="278">
        <v>44447</v>
      </c>
      <c r="O1167" s="329" t="s">
        <v>5377</v>
      </c>
      <c r="P1167" s="330">
        <f t="shared" ref="P1167:P1169" si="118">IF(B1167=0,0,IF(YEAR(B1167)=$Q$1,MONTH(B1167)-$P$1+1,(YEAR(B1167)-$Q$1)*12-$P$1+1+MONTH(B1167)))</f>
        <v>9</v>
      </c>
      <c r="Q1167" s="330">
        <f t="shared" ref="Q1167:Q1169" si="119">IF(C1167=0,0,IF(YEAR(C1167)=$Q$1,MONTH(C1167)-$P$1+1,(YEAR(C1167)-$Q$1)*12-$P$1+1+MONTH(C1167)))</f>
        <v>8</v>
      </c>
      <c r="R1167" s="331" t="str">
        <f t="shared" ref="R1167:R1168" si="120">SUBSTITUTE(D1167," ","_")</f>
        <v>Gastos_custeados_por_captação</v>
      </c>
      <c r="S1167" s="331" t="str">
        <f>IF(D1167="","",IF(OR(D1167=Plano!$A$1,D1167=Plano!$B$1),"entrada","saída"))</f>
        <v>saída</v>
      </c>
      <c r="T1167" s="332" t="s">
        <v>1059</v>
      </c>
      <c r="U1167" s="332">
        <v>1338</v>
      </c>
      <c r="V1167" s="439"/>
      <c r="W1167" s="439"/>
      <c r="X1167" s="439"/>
      <c r="Y1167" s="439"/>
      <c r="Z1167" s="439"/>
      <c r="AA1167" s="439"/>
      <c r="AB1167" s="439"/>
      <c r="AC1167" s="439"/>
      <c r="AD1167" s="439"/>
      <c r="AE1167" s="439"/>
      <c r="AF1167" s="439"/>
      <c r="AG1167" s="439"/>
      <c r="AH1167" s="439"/>
      <c r="AI1167" s="439"/>
      <c r="AJ1167" s="439"/>
      <c r="AK1167" s="439"/>
      <c r="AL1167" s="439"/>
      <c r="AM1167" s="439"/>
    </row>
    <row r="1168" spans="1:39" s="478" customFormat="1" ht="80.25" customHeight="1" x14ac:dyDescent="0.2">
      <c r="A1168" s="277">
        <f>IF(B1168="","",COUNT('Diário 5º PA'!$A$5:$A$2634)+COUNT('Diário 6º PA'!$A$5:$A$2246)+ROW()-4)</f>
        <v>3707</v>
      </c>
      <c r="B1168" s="278">
        <v>44448</v>
      </c>
      <c r="C1168" s="249">
        <v>44409</v>
      </c>
      <c r="D1168" s="250" t="s">
        <v>104</v>
      </c>
      <c r="E1168" s="250" t="s">
        <v>104</v>
      </c>
      <c r="F1168" s="251">
        <v>3634</v>
      </c>
      <c r="G1168" s="452" t="s">
        <v>606</v>
      </c>
      <c r="H1168" s="250" t="s">
        <v>104</v>
      </c>
      <c r="I1168" s="252" t="s">
        <v>2817</v>
      </c>
      <c r="J1168" s="440" t="s">
        <v>608</v>
      </c>
      <c r="K1168" s="255" t="s">
        <v>991</v>
      </c>
      <c r="L1168" s="250" t="s">
        <v>1016</v>
      </c>
      <c r="M1168" s="277" t="s">
        <v>1686</v>
      </c>
      <c r="N1168" s="278">
        <v>44442</v>
      </c>
      <c r="O1168" s="329" t="s">
        <v>5377</v>
      </c>
      <c r="P1168" s="330">
        <f t="shared" si="118"/>
        <v>9</v>
      </c>
      <c r="Q1168" s="330">
        <f t="shared" si="119"/>
        <v>8</v>
      </c>
      <c r="R1168" s="331" t="str">
        <f t="shared" si="120"/>
        <v>Gastos_custeados_por_captação</v>
      </c>
      <c r="S1168" s="331" t="str">
        <f>IF(D1168="","",IF(OR(D1168=Plano!$A$1,D1168=Plano!$B$1),"entrada","saída"))</f>
        <v>saída</v>
      </c>
      <c r="T1168" s="332" t="s">
        <v>1059</v>
      </c>
      <c r="U1168" s="332">
        <v>1413</v>
      </c>
      <c r="V1168" s="439"/>
      <c r="W1168" s="439"/>
      <c r="X1168" s="439"/>
      <c r="Y1168" s="439"/>
      <c r="Z1168" s="439"/>
      <c r="AA1168" s="439"/>
      <c r="AB1168" s="439"/>
      <c r="AC1168" s="439"/>
      <c r="AD1168" s="439"/>
      <c r="AE1168" s="439"/>
      <c r="AF1168" s="439"/>
      <c r="AG1168" s="439"/>
      <c r="AH1168" s="439"/>
      <c r="AI1168" s="439"/>
      <c r="AJ1168" s="439"/>
      <c r="AK1168" s="439"/>
      <c r="AL1168" s="439"/>
      <c r="AM1168" s="439"/>
    </row>
    <row r="1169" spans="1:39" s="478" customFormat="1" ht="45" customHeight="1" x14ac:dyDescent="0.2">
      <c r="A1169" s="277">
        <f>IF(B1169="","",COUNT('Diário 5º PA'!$A$5:$A$2634)+COUNT('Diário 6º PA'!$A$5:$A$2246)+ROW()-4)</f>
        <v>3708</v>
      </c>
      <c r="B1169" s="278">
        <v>44448</v>
      </c>
      <c r="C1169" s="335">
        <v>44440</v>
      </c>
      <c r="D1169" s="250" t="s">
        <v>104</v>
      </c>
      <c r="E1169" s="250" t="s">
        <v>104</v>
      </c>
      <c r="F1169" s="258">
        <v>10.45</v>
      </c>
      <c r="G1169" s="450" t="s">
        <v>5451</v>
      </c>
      <c r="H1169" s="250" t="s">
        <v>104</v>
      </c>
      <c r="I1169" s="250" t="s">
        <v>949</v>
      </c>
      <c r="J1169" s="255" t="s">
        <v>950</v>
      </c>
      <c r="K1169" s="255" t="s">
        <v>951</v>
      </c>
      <c r="L1169" s="250" t="s">
        <v>947</v>
      </c>
      <c r="M1169" s="336" t="s">
        <v>114</v>
      </c>
      <c r="N1169" s="278">
        <v>44448</v>
      </c>
      <c r="O1169" s="329" t="s">
        <v>5377</v>
      </c>
      <c r="P1169" s="330">
        <f t="shared" si="118"/>
        <v>9</v>
      </c>
      <c r="Q1169" s="330">
        <f t="shared" si="119"/>
        <v>9</v>
      </c>
      <c r="R1169" s="331" t="str">
        <f>SUBSTITUTE(D1169," ","_")</f>
        <v>Gastos_custeados_por_captação</v>
      </c>
      <c r="S1169" s="331" t="str">
        <f>IF(D1169="","",IF(OR(D1169=Plano!$A$1,D1169=Plano!$B$1),"entrada","saída"))</f>
        <v>saída</v>
      </c>
      <c r="T1169" s="332" t="s">
        <v>114</v>
      </c>
      <c r="U1169" s="332" t="s">
        <v>114</v>
      </c>
      <c r="V1169" s="439"/>
      <c r="W1169" s="439"/>
      <c r="X1169" s="439"/>
      <c r="Y1169" s="439"/>
      <c r="Z1169" s="439"/>
      <c r="AA1169" s="439"/>
      <c r="AB1169" s="439"/>
      <c r="AC1169" s="439"/>
      <c r="AD1169" s="439"/>
      <c r="AE1169" s="439"/>
      <c r="AF1169" s="439"/>
      <c r="AG1169" s="439"/>
      <c r="AH1169" s="439"/>
      <c r="AI1169" s="439"/>
      <c r="AJ1169" s="439"/>
      <c r="AK1169" s="439"/>
      <c r="AL1169" s="439"/>
      <c r="AM1169" s="439"/>
    </row>
    <row r="1170" spans="1:39" s="487" customFormat="1" ht="45" customHeight="1" x14ac:dyDescent="0.2">
      <c r="A1170" s="277">
        <f>IF(B1170="","",COUNT('Diário 5º PA'!$A$5:$A$2634)+COUNT('Diário 6º PA'!$A$5:$A$2246)+ROW()-4)</f>
        <v>3709</v>
      </c>
      <c r="B1170" s="278">
        <v>44448</v>
      </c>
      <c r="C1170" s="335">
        <v>44440</v>
      </c>
      <c r="D1170" s="250" t="s">
        <v>104</v>
      </c>
      <c r="E1170" s="250" t="s">
        <v>104</v>
      </c>
      <c r="F1170" s="258">
        <v>1493000</v>
      </c>
      <c r="G1170" s="450" t="s">
        <v>5554</v>
      </c>
      <c r="H1170" s="250" t="s">
        <v>104</v>
      </c>
      <c r="I1170" s="252" t="s">
        <v>2418</v>
      </c>
      <c r="J1170" s="252" t="s">
        <v>850</v>
      </c>
      <c r="K1170" s="255" t="s">
        <v>1015</v>
      </c>
      <c r="L1170" s="250" t="s">
        <v>1177</v>
      </c>
      <c r="M1170" s="277" t="s">
        <v>114</v>
      </c>
      <c r="N1170" s="491">
        <v>44449</v>
      </c>
      <c r="O1170" s="329" t="s">
        <v>5552</v>
      </c>
      <c r="P1170" s="330">
        <f t="shared" ref="P1170:P1171" si="121">IF(B1170=0,0,IF(YEAR(B1170)=$Q$1,MONTH(B1170)-$P$1+1,(YEAR(B1170)-$Q$1)*12-$P$1+1+MONTH(B1170)))</f>
        <v>9</v>
      </c>
      <c r="Q1170" s="330">
        <f t="shared" ref="Q1170:Q1171" si="122">IF(C1170=0,0,IF(YEAR(C1170)=$Q$1,MONTH(C1170)-$P$1+1,(YEAR(C1170)-$Q$1)*12-$P$1+1+MONTH(C1170)))</f>
        <v>9</v>
      </c>
      <c r="R1170" s="331" t="str">
        <f t="shared" ref="R1170:R1171" si="123">SUBSTITUTE(D1170," ","_")</f>
        <v>Gastos_custeados_por_captação</v>
      </c>
      <c r="S1170" s="331" t="str">
        <f>IF(D1170="","",IF(OR(D1170=Plano!$A$1,D1170=Plano!$B$1),"entrada","saída"))</f>
        <v>saída</v>
      </c>
      <c r="T1170" s="332" t="s">
        <v>114</v>
      </c>
      <c r="U1170" s="332" t="s">
        <v>114</v>
      </c>
      <c r="V1170" s="439"/>
      <c r="W1170" s="439"/>
      <c r="X1170" s="439"/>
      <c r="Y1170" s="439"/>
      <c r="Z1170" s="439"/>
      <c r="AA1170" s="439"/>
      <c r="AB1170" s="439"/>
      <c r="AC1170" s="439"/>
      <c r="AD1170" s="439"/>
      <c r="AE1170" s="439"/>
      <c r="AF1170" s="439"/>
      <c r="AG1170" s="439"/>
      <c r="AH1170" s="439"/>
      <c r="AI1170" s="439"/>
      <c r="AJ1170" s="439"/>
      <c r="AK1170" s="439"/>
      <c r="AL1170" s="439"/>
      <c r="AM1170" s="439"/>
    </row>
    <row r="1171" spans="1:39" s="487" customFormat="1" ht="45" customHeight="1" x14ac:dyDescent="0.2">
      <c r="A1171" s="277">
        <f>IF(B1171="","",COUNT('Diário 5º PA'!$A$5:$A$2634)+COUNT('Diário 6º PA'!$A$5:$A$2246)+ROW()-4)</f>
        <v>3710</v>
      </c>
      <c r="B1171" s="278">
        <v>44448</v>
      </c>
      <c r="C1171" s="335">
        <v>44440</v>
      </c>
      <c r="D1171" s="250" t="s">
        <v>77</v>
      </c>
      <c r="E1171" s="479" t="s">
        <v>147</v>
      </c>
      <c r="F1171" s="258">
        <v>1493000</v>
      </c>
      <c r="G1171" s="450" t="s">
        <v>5555</v>
      </c>
      <c r="H1171" s="250" t="s">
        <v>114</v>
      </c>
      <c r="I1171" s="252" t="s">
        <v>983</v>
      </c>
      <c r="J1171" s="252" t="s">
        <v>850</v>
      </c>
      <c r="K1171" s="255" t="s">
        <v>1015</v>
      </c>
      <c r="L1171" s="250" t="s">
        <v>1177</v>
      </c>
      <c r="M1171" s="277" t="s">
        <v>114</v>
      </c>
      <c r="N1171" s="491">
        <v>44449</v>
      </c>
      <c r="O1171" s="329" t="s">
        <v>5505</v>
      </c>
      <c r="P1171" s="330">
        <f t="shared" si="121"/>
        <v>9</v>
      </c>
      <c r="Q1171" s="330">
        <f t="shared" si="122"/>
        <v>9</v>
      </c>
      <c r="R1171" s="331" t="str">
        <f t="shared" si="123"/>
        <v>Receitas</v>
      </c>
      <c r="S1171" s="331" t="str">
        <f>IF(D1171="","",IF(OR(D1171=Plano!$A$1,D1171=Plano!$B$1),"entrada","saída"))</f>
        <v>entrada</v>
      </c>
      <c r="T1171" s="332" t="s">
        <v>114</v>
      </c>
      <c r="U1171" s="332" t="s">
        <v>114</v>
      </c>
      <c r="V1171" s="439"/>
      <c r="W1171" s="439"/>
      <c r="X1171" s="439"/>
      <c r="Y1171" s="439"/>
      <c r="Z1171" s="439"/>
      <c r="AA1171" s="439"/>
      <c r="AB1171" s="439"/>
      <c r="AC1171" s="439"/>
      <c r="AD1171" s="439"/>
      <c r="AE1171" s="439"/>
      <c r="AF1171" s="439"/>
      <c r="AG1171" s="439"/>
      <c r="AH1171" s="439"/>
      <c r="AI1171" s="439"/>
      <c r="AJ1171" s="439"/>
      <c r="AK1171" s="439"/>
      <c r="AL1171" s="439"/>
      <c r="AM1171" s="439"/>
    </row>
    <row r="1172" spans="1:39" ht="54" customHeight="1" x14ac:dyDescent="0.2">
      <c r="A1172" s="277">
        <f>IF(B1172="","",COUNT('Diário 5º PA'!$A$5:$A$2634)+COUNT('Diário 6º PA'!$A$5:$A$2246)+ROW()-4)</f>
        <v>3711</v>
      </c>
      <c r="B1172" s="278">
        <v>44449</v>
      </c>
      <c r="C1172" s="335">
        <v>44409</v>
      </c>
      <c r="D1172" s="255" t="s">
        <v>99</v>
      </c>
      <c r="E1172" s="255" t="s">
        <v>246</v>
      </c>
      <c r="F1172" s="258">
        <v>-158.46</v>
      </c>
      <c r="G1172" s="450" t="s">
        <v>2387</v>
      </c>
      <c r="H1172" s="255" t="s">
        <v>115</v>
      </c>
      <c r="I1172" s="250" t="s">
        <v>983</v>
      </c>
      <c r="J1172" s="255" t="s">
        <v>850</v>
      </c>
      <c r="K1172" s="255" t="s">
        <v>946</v>
      </c>
      <c r="L1172" s="250" t="s">
        <v>947</v>
      </c>
      <c r="M1172" s="277" t="s">
        <v>114</v>
      </c>
      <c r="N1172" s="278">
        <v>44449</v>
      </c>
      <c r="O1172" s="329" t="s">
        <v>67</v>
      </c>
      <c r="P1172" s="330">
        <f t="shared" ref="P1172:P1250" si="124">IF(B1172=0,0,IF(YEAR(B1172)=$Q$1,MONTH(B1172)-$P$1+1,(YEAR(B1172)-$Q$1)*12-$P$1+1+MONTH(B1172)))</f>
        <v>9</v>
      </c>
      <c r="Q1172" s="330">
        <f t="shared" ref="Q1172:Q1250" si="125">IF(C1172=0,0,IF(YEAR(C1172)=$Q$1,MONTH(C1172)-$P$1+1,(YEAR(C1172)-$Q$1)*12-$P$1+1+MONTH(C1172)))</f>
        <v>8</v>
      </c>
      <c r="R1172" s="331" t="str">
        <f t="shared" ref="R1172:R1250" si="126">SUBSTITUTE(D1172," ","_")</f>
        <v>Gastos_Gerais</v>
      </c>
      <c r="S1172" s="331" t="str">
        <f>IF(D1172="","",IF(OR(D1172=Plano!$A$1,D1172=Plano!$B$1),"entrada","saída"))</f>
        <v>saída</v>
      </c>
      <c r="T1172" s="332" t="s">
        <v>114</v>
      </c>
      <c r="U1172" s="332" t="s">
        <v>114</v>
      </c>
      <c r="V1172" s="269"/>
      <c r="W1172" s="269"/>
      <c r="X1172" s="269"/>
      <c r="Y1172" s="269"/>
      <c r="Z1172" s="269"/>
      <c r="AA1172" s="269"/>
      <c r="AB1172" s="269"/>
      <c r="AC1172" s="269"/>
      <c r="AD1172" s="269"/>
      <c r="AE1172" s="269"/>
      <c r="AF1172" s="269"/>
      <c r="AG1172" s="269"/>
      <c r="AH1172" s="269"/>
      <c r="AI1172" s="269"/>
      <c r="AJ1172" s="269"/>
      <c r="AK1172" s="269"/>
      <c r="AL1172" s="269"/>
      <c r="AM1172" s="269"/>
    </row>
    <row r="1173" spans="1:39" ht="49.5" customHeight="1" x14ac:dyDescent="0.2">
      <c r="A1173" s="277">
        <f>IF(B1173="","",COUNT('Diário 5º PA'!$A$5:$A$2634)+COUNT('Diário 6º PA'!$A$5:$A$2246)+ROW()-4)</f>
        <v>3712</v>
      </c>
      <c r="B1173" s="278">
        <v>44449</v>
      </c>
      <c r="C1173" s="335">
        <v>44409</v>
      </c>
      <c r="D1173" s="255" t="s">
        <v>99</v>
      </c>
      <c r="E1173" s="255" t="s">
        <v>266</v>
      </c>
      <c r="F1173" s="258">
        <v>-69.989999999999995</v>
      </c>
      <c r="G1173" s="450" t="s">
        <v>2388</v>
      </c>
      <c r="H1173" s="255" t="s">
        <v>115</v>
      </c>
      <c r="I1173" s="250" t="s">
        <v>983</v>
      </c>
      <c r="J1173" s="255" t="s">
        <v>850</v>
      </c>
      <c r="K1173" s="255" t="s">
        <v>946</v>
      </c>
      <c r="L1173" s="250" t="s">
        <v>947</v>
      </c>
      <c r="M1173" s="277" t="s">
        <v>114</v>
      </c>
      <c r="N1173" s="278">
        <v>44449</v>
      </c>
      <c r="O1173" s="329" t="s">
        <v>67</v>
      </c>
      <c r="P1173" s="330">
        <f t="shared" si="124"/>
        <v>9</v>
      </c>
      <c r="Q1173" s="330">
        <f t="shared" si="125"/>
        <v>8</v>
      </c>
      <c r="R1173" s="331" t="str">
        <f t="shared" si="126"/>
        <v>Gastos_Gerais</v>
      </c>
      <c r="S1173" s="331" t="str">
        <f>IF(D1173="","",IF(OR(D1173=Plano!$A$1,D1173=Plano!$B$1),"entrada","saída"))</f>
        <v>saída</v>
      </c>
      <c r="T1173" s="332" t="s">
        <v>114</v>
      </c>
      <c r="U1173" s="332" t="s">
        <v>114</v>
      </c>
      <c r="V1173" s="269"/>
      <c r="W1173" s="269"/>
      <c r="X1173" s="269"/>
      <c r="Y1173" s="269"/>
      <c r="Z1173" s="269"/>
      <c r="AA1173" s="269"/>
      <c r="AB1173" s="269"/>
      <c r="AC1173" s="269"/>
      <c r="AD1173" s="269"/>
      <c r="AE1173" s="269"/>
      <c r="AF1173" s="269"/>
      <c r="AG1173" s="269"/>
      <c r="AH1173" s="269"/>
      <c r="AI1173" s="269"/>
      <c r="AJ1173" s="269"/>
      <c r="AK1173" s="269"/>
      <c r="AL1173" s="269"/>
      <c r="AM1173" s="269"/>
    </row>
    <row r="1174" spans="1:39" ht="93" customHeight="1" x14ac:dyDescent="0.2">
      <c r="A1174" s="277">
        <f>IF(B1174="","",COUNT('Diário 5º PA'!$A$5:$A$2634)+COUNT('Diário 6º PA'!$A$5:$A$2246)+ROW()-4)</f>
        <v>3713</v>
      </c>
      <c r="B1174" s="278">
        <v>44449</v>
      </c>
      <c r="C1174" s="249">
        <v>44409</v>
      </c>
      <c r="D1174" s="255" t="s">
        <v>99</v>
      </c>
      <c r="E1174" s="255" t="s">
        <v>330</v>
      </c>
      <c r="F1174" s="258">
        <v>54.5</v>
      </c>
      <c r="G1174" s="451" t="s">
        <v>2389</v>
      </c>
      <c r="H1174" s="255" t="s">
        <v>129</v>
      </c>
      <c r="I1174" s="252" t="s">
        <v>1415</v>
      </c>
      <c r="J1174" s="252" t="s">
        <v>1416</v>
      </c>
      <c r="K1174" s="255" t="s">
        <v>560</v>
      </c>
      <c r="L1174" s="250" t="s">
        <v>1016</v>
      </c>
      <c r="M1174" s="277">
        <v>61933</v>
      </c>
      <c r="N1174" s="278">
        <v>44428</v>
      </c>
      <c r="O1174" s="329" t="s">
        <v>67</v>
      </c>
      <c r="P1174" s="330">
        <f t="shared" si="124"/>
        <v>9</v>
      </c>
      <c r="Q1174" s="330">
        <f t="shared" si="125"/>
        <v>8</v>
      </c>
      <c r="R1174" s="331" t="str">
        <f t="shared" si="126"/>
        <v>Gastos_Gerais</v>
      </c>
      <c r="S1174" s="331" t="str">
        <f>IF(D1174="","",IF(OR(D1174=Plano!$A$1,D1174=Plano!$B$1),"entrada","saída"))</f>
        <v>saída</v>
      </c>
      <c r="T1174" s="334" t="s">
        <v>1011</v>
      </c>
      <c r="U1174" s="334">
        <v>1941</v>
      </c>
      <c r="V1174" s="269"/>
      <c r="W1174" s="269"/>
      <c r="X1174" s="269"/>
      <c r="Y1174" s="269"/>
      <c r="Z1174" s="269"/>
      <c r="AA1174" s="269"/>
      <c r="AB1174" s="269"/>
      <c r="AC1174" s="269"/>
      <c r="AD1174" s="269"/>
      <c r="AE1174" s="269"/>
      <c r="AF1174" s="269"/>
      <c r="AG1174" s="269"/>
      <c r="AH1174" s="269"/>
      <c r="AI1174" s="269"/>
      <c r="AJ1174" s="269"/>
      <c r="AK1174" s="269"/>
      <c r="AL1174" s="269"/>
      <c r="AM1174" s="269"/>
    </row>
    <row r="1175" spans="1:39" ht="99.75" customHeight="1" x14ac:dyDescent="0.2">
      <c r="A1175" s="277">
        <f>IF(B1175="","",COUNT('Diário 5º PA'!$A$5:$A$2634)+COUNT('Diário 6º PA'!$A$5:$A$2246)+ROW()-4)</f>
        <v>3714</v>
      </c>
      <c r="B1175" s="278">
        <v>44449</v>
      </c>
      <c r="C1175" s="249">
        <v>44409</v>
      </c>
      <c r="D1175" s="255" t="s">
        <v>99</v>
      </c>
      <c r="E1175" s="255" t="s">
        <v>266</v>
      </c>
      <c r="F1175" s="258">
        <v>255.72</v>
      </c>
      <c r="G1175" s="452" t="s">
        <v>480</v>
      </c>
      <c r="H1175" s="255" t="s">
        <v>115</v>
      </c>
      <c r="I1175" s="252" t="s">
        <v>1372</v>
      </c>
      <c r="J1175" s="252" t="s">
        <v>482</v>
      </c>
      <c r="K1175" s="255" t="s">
        <v>560</v>
      </c>
      <c r="L1175" s="250" t="s">
        <v>1016</v>
      </c>
      <c r="M1175" s="277" t="s">
        <v>2390</v>
      </c>
      <c r="N1175" s="278">
        <v>44411</v>
      </c>
      <c r="O1175" s="329" t="s">
        <v>67</v>
      </c>
      <c r="P1175" s="330">
        <f t="shared" si="124"/>
        <v>9</v>
      </c>
      <c r="Q1175" s="330">
        <f t="shared" si="125"/>
        <v>8</v>
      </c>
      <c r="R1175" s="331" t="str">
        <f t="shared" si="126"/>
        <v>Gastos_Gerais</v>
      </c>
      <c r="S1175" s="331" t="str">
        <f>IF(D1175="","",IF(OR(D1175=Plano!$A$1,D1175=Plano!$B$1),"entrada","saída"))</f>
        <v>saída</v>
      </c>
      <c r="T1175" s="334" t="s">
        <v>1059</v>
      </c>
      <c r="U1175" s="334">
        <v>1133</v>
      </c>
      <c r="V1175" s="269"/>
      <c r="W1175" s="269"/>
      <c r="X1175" s="269"/>
      <c r="Y1175" s="269"/>
      <c r="Z1175" s="269"/>
      <c r="AA1175" s="269"/>
      <c r="AB1175" s="269"/>
      <c r="AC1175" s="269"/>
      <c r="AD1175" s="269"/>
      <c r="AE1175" s="269"/>
      <c r="AF1175" s="269"/>
      <c r="AG1175" s="269"/>
      <c r="AH1175" s="269"/>
      <c r="AI1175" s="269"/>
      <c r="AJ1175" s="269"/>
      <c r="AK1175" s="269"/>
      <c r="AL1175" s="269"/>
      <c r="AM1175" s="269"/>
    </row>
    <row r="1176" spans="1:39" ht="174.75" customHeight="1" x14ac:dyDescent="0.2">
      <c r="A1176" s="277">
        <f>IF(B1176="","",COUNT('Diário 5º PA'!$A$5:$A$2634)+COUNT('Diário 6º PA'!$A$5:$A$2246)+ROW()-4)</f>
        <v>3715</v>
      </c>
      <c r="B1176" s="278">
        <v>44449</v>
      </c>
      <c r="C1176" s="249">
        <v>44409</v>
      </c>
      <c r="D1176" s="255" t="s">
        <v>99</v>
      </c>
      <c r="E1176" s="255" t="s">
        <v>224</v>
      </c>
      <c r="F1176" s="258">
        <v>49.99</v>
      </c>
      <c r="G1176" s="452" t="s">
        <v>642</v>
      </c>
      <c r="H1176" s="250" t="s">
        <v>130</v>
      </c>
      <c r="I1176" s="252" t="s">
        <v>1374</v>
      </c>
      <c r="J1176" s="252" t="s">
        <v>644</v>
      </c>
      <c r="K1176" s="255" t="s">
        <v>1375</v>
      </c>
      <c r="L1176" s="250" t="s">
        <v>697</v>
      </c>
      <c r="M1176" s="354">
        <v>2108954712683</v>
      </c>
      <c r="N1176" s="278">
        <v>44426</v>
      </c>
      <c r="O1176" s="329" t="s">
        <v>67</v>
      </c>
      <c r="P1176" s="330">
        <f t="shared" si="124"/>
        <v>9</v>
      </c>
      <c r="Q1176" s="330">
        <f t="shared" si="125"/>
        <v>8</v>
      </c>
      <c r="R1176" s="331" t="str">
        <f t="shared" si="126"/>
        <v>Gastos_Gerais</v>
      </c>
      <c r="S1176" s="331" t="str">
        <f>IF(D1176="","",IF(OR(D1176=Plano!$A$1,D1176=Plano!$B$1),"entrada","saída"))</f>
        <v>saída</v>
      </c>
      <c r="T1176" s="334" t="s">
        <v>1059</v>
      </c>
      <c r="U1176" s="334">
        <v>277</v>
      </c>
      <c r="V1176" s="269"/>
      <c r="W1176" s="269"/>
      <c r="X1176" s="269"/>
      <c r="Y1176" s="269"/>
      <c r="Z1176" s="269"/>
      <c r="AA1176" s="269"/>
      <c r="AB1176" s="269"/>
      <c r="AC1176" s="269"/>
      <c r="AD1176" s="269"/>
      <c r="AE1176" s="269"/>
      <c r="AF1176" s="269"/>
      <c r="AG1176" s="269"/>
      <c r="AH1176" s="269"/>
      <c r="AI1176" s="269"/>
      <c r="AJ1176" s="269"/>
      <c r="AK1176" s="269"/>
      <c r="AL1176" s="269"/>
      <c r="AM1176" s="269"/>
    </row>
    <row r="1177" spans="1:39" ht="100.5" customHeight="1" x14ac:dyDescent="0.2">
      <c r="A1177" s="277">
        <f>IF(B1177="","",COUNT('Diário 5º PA'!$A$5:$A$2634)+COUNT('Diário 6º PA'!$A$5:$A$2246)+ROW()-4)</f>
        <v>3716</v>
      </c>
      <c r="B1177" s="278">
        <v>44449</v>
      </c>
      <c r="C1177" s="249">
        <v>44409</v>
      </c>
      <c r="D1177" s="255" t="s">
        <v>99</v>
      </c>
      <c r="E1177" s="255" t="s">
        <v>246</v>
      </c>
      <c r="F1177" s="258">
        <v>600</v>
      </c>
      <c r="G1177" s="452" t="s">
        <v>453</v>
      </c>
      <c r="H1177" s="255" t="s">
        <v>115</v>
      </c>
      <c r="I1177" s="250" t="s">
        <v>1370</v>
      </c>
      <c r="J1177" s="252" t="s">
        <v>1371</v>
      </c>
      <c r="K1177" s="255" t="s">
        <v>560</v>
      </c>
      <c r="L1177" s="250" t="s">
        <v>1016</v>
      </c>
      <c r="M1177" s="277" t="s">
        <v>1546</v>
      </c>
      <c r="N1177" s="278">
        <v>44444</v>
      </c>
      <c r="O1177" s="329" t="s">
        <v>67</v>
      </c>
      <c r="P1177" s="330">
        <f t="shared" si="124"/>
        <v>9</v>
      </c>
      <c r="Q1177" s="330">
        <f t="shared" si="125"/>
        <v>8</v>
      </c>
      <c r="R1177" s="331" t="str">
        <f t="shared" si="126"/>
        <v>Gastos_Gerais</v>
      </c>
      <c r="S1177" s="331" t="str">
        <f>IF(D1177="","",IF(OR(D1177=Plano!$A$1,D1177=Plano!$B$1),"entrada","saída"))</f>
        <v>saída</v>
      </c>
      <c r="T1177" s="334" t="s">
        <v>1059</v>
      </c>
      <c r="U1177" s="334">
        <v>1144</v>
      </c>
      <c r="V1177" s="269"/>
      <c r="W1177" s="269"/>
      <c r="X1177" s="269"/>
      <c r="Y1177" s="269"/>
      <c r="Z1177" s="269"/>
      <c r="AA1177" s="269"/>
      <c r="AB1177" s="269"/>
      <c r="AC1177" s="269"/>
      <c r="AD1177" s="269"/>
      <c r="AE1177" s="269"/>
      <c r="AF1177" s="269"/>
      <c r="AG1177" s="269"/>
      <c r="AH1177" s="269"/>
      <c r="AI1177" s="269"/>
      <c r="AJ1177" s="269"/>
      <c r="AK1177" s="269"/>
      <c r="AL1177" s="269"/>
      <c r="AM1177" s="269"/>
    </row>
    <row r="1178" spans="1:39" ht="55.5" customHeight="1" x14ac:dyDescent="0.2">
      <c r="A1178" s="277">
        <f>IF(B1178="","",COUNT('Diário 5º PA'!$A$5:$A$2634)+COUNT('Diário 6º PA'!$A$5:$A$2246)+ROW()-4)</f>
        <v>3717</v>
      </c>
      <c r="B1178" s="278">
        <v>44449</v>
      </c>
      <c r="C1178" s="335">
        <v>44440</v>
      </c>
      <c r="D1178" s="255" t="s">
        <v>88</v>
      </c>
      <c r="E1178" s="255" t="s">
        <v>177</v>
      </c>
      <c r="F1178" s="258">
        <v>698.9</v>
      </c>
      <c r="G1178" s="450" t="s">
        <v>2391</v>
      </c>
      <c r="H1178" s="255" t="s">
        <v>114</v>
      </c>
      <c r="I1178" s="250" t="s">
        <v>1185</v>
      </c>
      <c r="J1178" s="255" t="s">
        <v>1186</v>
      </c>
      <c r="K1178" s="255" t="s">
        <v>991</v>
      </c>
      <c r="L1178" s="250" t="s">
        <v>1347</v>
      </c>
      <c r="M1178" s="277" t="s">
        <v>114</v>
      </c>
      <c r="N1178" s="278">
        <v>44449</v>
      </c>
      <c r="O1178" s="329" t="s">
        <v>67</v>
      </c>
      <c r="P1178" s="330">
        <f t="shared" si="124"/>
        <v>9</v>
      </c>
      <c r="Q1178" s="330">
        <f t="shared" si="125"/>
        <v>9</v>
      </c>
      <c r="R1178" s="331" t="str">
        <f t="shared" si="126"/>
        <v>Gastos_com_Pessoal</v>
      </c>
      <c r="S1178" s="331" t="str">
        <f>IF(D1178="","",IF(OR(D1178=Plano!$A$1,D1178=Plano!$B$1),"entrada","saída"))</f>
        <v>saída</v>
      </c>
      <c r="T1178" s="332" t="s">
        <v>114</v>
      </c>
      <c r="U1178" s="332" t="s">
        <v>114</v>
      </c>
      <c r="V1178" s="269"/>
      <c r="W1178" s="269"/>
      <c r="X1178" s="269"/>
      <c r="Y1178" s="269"/>
      <c r="Z1178" s="269"/>
      <c r="AA1178" s="269"/>
      <c r="AB1178" s="269"/>
      <c r="AC1178" s="269"/>
      <c r="AD1178" s="269"/>
      <c r="AE1178" s="269"/>
      <c r="AF1178" s="269"/>
      <c r="AG1178" s="269"/>
      <c r="AH1178" s="269"/>
      <c r="AI1178" s="269"/>
      <c r="AJ1178" s="269"/>
      <c r="AK1178" s="269"/>
      <c r="AL1178" s="269"/>
      <c r="AM1178" s="269"/>
    </row>
    <row r="1179" spans="1:39" ht="162.75" customHeight="1" x14ac:dyDescent="0.2">
      <c r="A1179" s="277">
        <f>IF(B1179="","",COUNT('Diário 5º PA'!$A$5:$A$2634)+COUNT('Diário 6º PA'!$A$5:$A$2246)+ROW()-4)</f>
        <v>3718</v>
      </c>
      <c r="B1179" s="278">
        <v>44449</v>
      </c>
      <c r="C1179" s="249">
        <v>44440</v>
      </c>
      <c r="D1179" s="255" t="s">
        <v>99</v>
      </c>
      <c r="E1179" s="255" t="s">
        <v>372</v>
      </c>
      <c r="F1179" s="258">
        <v>2500</v>
      </c>
      <c r="G1179" s="452" t="s">
        <v>471</v>
      </c>
      <c r="H1179" s="255" t="s">
        <v>129</v>
      </c>
      <c r="I1179" s="252" t="s">
        <v>1285</v>
      </c>
      <c r="J1179" s="252" t="s">
        <v>473</v>
      </c>
      <c r="K1179" s="255" t="s">
        <v>991</v>
      </c>
      <c r="L1179" s="250" t="s">
        <v>1016</v>
      </c>
      <c r="M1179" s="277">
        <v>127</v>
      </c>
      <c r="N1179" s="278">
        <v>44441</v>
      </c>
      <c r="O1179" s="329" t="s">
        <v>67</v>
      </c>
      <c r="P1179" s="330">
        <f t="shared" si="124"/>
        <v>9</v>
      </c>
      <c r="Q1179" s="330">
        <f t="shared" si="125"/>
        <v>9</v>
      </c>
      <c r="R1179" s="331" t="str">
        <f t="shared" si="126"/>
        <v>Gastos_Gerais</v>
      </c>
      <c r="S1179" s="331" t="str">
        <f>IF(D1179="","",IF(OR(D1179=Plano!$A$1,D1179=Plano!$B$1),"entrada","saída"))</f>
        <v>saída</v>
      </c>
      <c r="T1179" s="334" t="s">
        <v>1059</v>
      </c>
      <c r="U1179" s="334">
        <v>1275</v>
      </c>
      <c r="V1179" s="269"/>
      <c r="W1179" s="269"/>
      <c r="X1179" s="269"/>
      <c r="Y1179" s="269"/>
      <c r="Z1179" s="269"/>
      <c r="AA1179" s="269"/>
      <c r="AB1179" s="269"/>
      <c r="AC1179" s="269"/>
      <c r="AD1179" s="269"/>
      <c r="AE1179" s="269"/>
      <c r="AF1179" s="269"/>
      <c r="AG1179" s="269"/>
      <c r="AH1179" s="269"/>
      <c r="AI1179" s="269"/>
      <c r="AJ1179" s="269"/>
      <c r="AK1179" s="269"/>
      <c r="AL1179" s="269"/>
      <c r="AM1179" s="269"/>
    </row>
    <row r="1180" spans="1:39" ht="39" customHeight="1" x14ac:dyDescent="0.2">
      <c r="A1180" s="277">
        <f>IF(B1180="","",COUNT('Diário 5º PA'!$A$5:$A$2634)+COUNT('Diário 6º PA'!$A$5:$A$2246)+ROW()-4)</f>
        <v>3719</v>
      </c>
      <c r="B1180" s="278">
        <v>44449</v>
      </c>
      <c r="C1180" s="335">
        <v>44440</v>
      </c>
      <c r="D1180" s="255" t="s">
        <v>99</v>
      </c>
      <c r="E1180" s="255" t="s">
        <v>272</v>
      </c>
      <c r="F1180" s="258">
        <v>10.45</v>
      </c>
      <c r="G1180" s="450" t="s">
        <v>2392</v>
      </c>
      <c r="H1180" s="250" t="s">
        <v>114</v>
      </c>
      <c r="I1180" s="250" t="s">
        <v>949</v>
      </c>
      <c r="J1180" s="255" t="s">
        <v>950</v>
      </c>
      <c r="K1180" s="255" t="s">
        <v>951</v>
      </c>
      <c r="L1180" s="250" t="s">
        <v>947</v>
      </c>
      <c r="M1180" s="336" t="s">
        <v>114</v>
      </c>
      <c r="N1180" s="278">
        <v>44449</v>
      </c>
      <c r="O1180" s="329" t="s">
        <v>67</v>
      </c>
      <c r="P1180" s="330">
        <f t="shared" si="124"/>
        <v>9</v>
      </c>
      <c r="Q1180" s="330">
        <f t="shared" si="125"/>
        <v>9</v>
      </c>
      <c r="R1180" s="331" t="str">
        <f t="shared" si="126"/>
        <v>Gastos_Gerais</v>
      </c>
      <c r="S1180" s="331" t="str">
        <f>IF(D1180="","",IF(OR(D1180=Plano!$A$1,D1180=Plano!$B$1),"entrada","saída"))</f>
        <v>saída</v>
      </c>
      <c r="T1180" s="332" t="s">
        <v>114</v>
      </c>
      <c r="U1180" s="332" t="s">
        <v>114</v>
      </c>
      <c r="V1180" s="269"/>
      <c r="W1180" s="269"/>
      <c r="X1180" s="269"/>
      <c r="Y1180" s="269"/>
      <c r="Z1180" s="269"/>
      <c r="AA1180" s="269"/>
      <c r="AB1180" s="269"/>
      <c r="AC1180" s="269"/>
      <c r="AD1180" s="269"/>
      <c r="AE1180" s="269"/>
      <c r="AF1180" s="269"/>
      <c r="AG1180" s="269"/>
      <c r="AH1180" s="269"/>
      <c r="AI1180" s="269"/>
      <c r="AJ1180" s="269"/>
      <c r="AK1180" s="269"/>
      <c r="AL1180" s="269"/>
      <c r="AM1180" s="269"/>
    </row>
    <row r="1181" spans="1:39" ht="36.75" customHeight="1" x14ac:dyDescent="0.2">
      <c r="A1181" s="277">
        <f>IF(B1181="","",COUNT('Diário 5º PA'!$A$5:$A$2634)+COUNT('Diário 6º PA'!$A$5:$A$2246)+ROW()-4)</f>
        <v>3720</v>
      </c>
      <c r="B1181" s="278">
        <v>44449</v>
      </c>
      <c r="C1181" s="335">
        <v>44440</v>
      </c>
      <c r="D1181" s="255" t="s">
        <v>99</v>
      </c>
      <c r="E1181" s="255" t="s">
        <v>272</v>
      </c>
      <c r="F1181" s="258">
        <v>10.45</v>
      </c>
      <c r="G1181" s="450" t="s">
        <v>1320</v>
      </c>
      <c r="H1181" s="250" t="s">
        <v>129</v>
      </c>
      <c r="I1181" s="250" t="s">
        <v>949</v>
      </c>
      <c r="J1181" s="255" t="s">
        <v>950</v>
      </c>
      <c r="K1181" s="255" t="s">
        <v>951</v>
      </c>
      <c r="L1181" s="250" t="s">
        <v>947</v>
      </c>
      <c r="M1181" s="336" t="s">
        <v>114</v>
      </c>
      <c r="N1181" s="278">
        <v>44449</v>
      </c>
      <c r="O1181" s="329" t="s">
        <v>67</v>
      </c>
      <c r="P1181" s="330">
        <f t="shared" si="124"/>
        <v>9</v>
      </c>
      <c r="Q1181" s="330">
        <f t="shared" si="125"/>
        <v>9</v>
      </c>
      <c r="R1181" s="331" t="str">
        <f t="shared" si="126"/>
        <v>Gastos_Gerais</v>
      </c>
      <c r="S1181" s="331" t="str">
        <f>IF(D1181="","",IF(OR(D1181=Plano!$A$1,D1181=Plano!$B$1),"entrada","saída"))</f>
        <v>saída</v>
      </c>
      <c r="T1181" s="332" t="s">
        <v>114</v>
      </c>
      <c r="U1181" s="332" t="s">
        <v>114</v>
      </c>
      <c r="V1181" s="269"/>
      <c r="W1181" s="269"/>
      <c r="X1181" s="269"/>
      <c r="Y1181" s="269"/>
      <c r="Z1181" s="269"/>
      <c r="AA1181" s="269"/>
      <c r="AB1181" s="269"/>
      <c r="AC1181" s="269"/>
      <c r="AD1181" s="269"/>
      <c r="AE1181" s="269"/>
      <c r="AF1181" s="269"/>
      <c r="AG1181" s="269"/>
      <c r="AH1181" s="269"/>
      <c r="AI1181" s="269"/>
      <c r="AJ1181" s="269"/>
      <c r="AK1181" s="269"/>
      <c r="AL1181" s="269"/>
      <c r="AM1181" s="269"/>
    </row>
    <row r="1182" spans="1:39" s="478" customFormat="1" ht="233.25" customHeight="1" x14ac:dyDescent="0.2">
      <c r="A1182" s="277">
        <f>IF(B1182="","",COUNT('Diário 5º PA'!$A$5:$A$2634)+COUNT('Diário 6º PA'!$A$5:$A$2246)+ROW()-4)</f>
        <v>3721</v>
      </c>
      <c r="B1182" s="278">
        <v>44449</v>
      </c>
      <c r="C1182" s="249">
        <v>44409</v>
      </c>
      <c r="D1182" s="250" t="s">
        <v>104</v>
      </c>
      <c r="E1182" s="250" t="s">
        <v>104</v>
      </c>
      <c r="F1182" s="251">
        <v>1260</v>
      </c>
      <c r="G1182" s="452" t="s">
        <v>574</v>
      </c>
      <c r="H1182" s="250" t="s">
        <v>104</v>
      </c>
      <c r="I1182" s="252" t="s">
        <v>1354</v>
      </c>
      <c r="J1182" s="440" t="s">
        <v>576</v>
      </c>
      <c r="K1182" s="255" t="s">
        <v>991</v>
      </c>
      <c r="L1182" s="250" t="s">
        <v>1901</v>
      </c>
      <c r="M1182" s="336">
        <v>1299</v>
      </c>
      <c r="N1182" s="278">
        <v>44441</v>
      </c>
      <c r="O1182" s="329" t="s">
        <v>5377</v>
      </c>
      <c r="P1182" s="330">
        <f t="shared" ref="P1182:P1183" si="127">IF(B1182=0,0,IF(YEAR(B1182)=$Q$1,MONTH(B1182)-$P$1+1,(YEAR(B1182)-$Q$1)*12-$P$1+1+MONTH(B1182)))</f>
        <v>9</v>
      </c>
      <c r="Q1182" s="330">
        <f t="shared" ref="Q1182:Q1183" si="128">IF(C1182=0,0,IF(YEAR(C1182)=$Q$1,MONTH(C1182)-$P$1+1,(YEAR(C1182)-$Q$1)*12-$P$1+1+MONTH(C1182)))</f>
        <v>8</v>
      </c>
      <c r="R1182" s="331" t="str">
        <f t="shared" ref="R1182:R1183" si="129">SUBSTITUTE(D1182," ","_")</f>
        <v>Gastos_custeados_por_captação</v>
      </c>
      <c r="S1182" s="331" t="str">
        <f>IF(D1182="","",IF(OR(D1182=Plano!$A$1,D1182=Plano!$B$1),"entrada","saída"))</f>
        <v>saída</v>
      </c>
      <c r="T1182" s="332" t="s">
        <v>1059</v>
      </c>
      <c r="U1182" s="332">
        <v>1350</v>
      </c>
      <c r="V1182" s="439"/>
      <c r="W1182" s="439"/>
      <c r="X1182" s="439"/>
      <c r="Y1182" s="439"/>
      <c r="Z1182" s="439"/>
      <c r="AA1182" s="439"/>
      <c r="AB1182" s="439"/>
      <c r="AC1182" s="439"/>
      <c r="AD1182" s="439"/>
      <c r="AE1182" s="439"/>
      <c r="AF1182" s="439"/>
      <c r="AG1182" s="439"/>
      <c r="AH1182" s="439"/>
      <c r="AI1182" s="439"/>
      <c r="AJ1182" s="439"/>
      <c r="AK1182" s="439"/>
      <c r="AL1182" s="439"/>
      <c r="AM1182" s="439"/>
    </row>
    <row r="1183" spans="1:39" s="478" customFormat="1" ht="50.25" customHeight="1" x14ac:dyDescent="0.2">
      <c r="A1183" s="277">
        <f>IF(B1183="","",COUNT('Diário 5º PA'!$A$5:$A$2634)+COUNT('Diário 6º PA'!$A$5:$A$2246)+ROW()-4)</f>
        <v>3722</v>
      </c>
      <c r="B1183" s="278">
        <v>44449</v>
      </c>
      <c r="C1183" s="335">
        <v>44440</v>
      </c>
      <c r="D1183" s="250" t="s">
        <v>104</v>
      </c>
      <c r="E1183" s="250" t="s">
        <v>104</v>
      </c>
      <c r="F1183" s="258">
        <v>10.45</v>
      </c>
      <c r="G1183" s="450" t="s">
        <v>5413</v>
      </c>
      <c r="H1183" s="250" t="s">
        <v>104</v>
      </c>
      <c r="I1183" s="250" t="s">
        <v>949</v>
      </c>
      <c r="J1183" s="255" t="s">
        <v>950</v>
      </c>
      <c r="K1183" s="255" t="s">
        <v>951</v>
      </c>
      <c r="L1183" s="250" t="s">
        <v>947</v>
      </c>
      <c r="M1183" s="336" t="s">
        <v>114</v>
      </c>
      <c r="N1183" s="278">
        <v>44449</v>
      </c>
      <c r="O1183" s="329" t="s">
        <v>5377</v>
      </c>
      <c r="P1183" s="330">
        <f t="shared" si="127"/>
        <v>9</v>
      </c>
      <c r="Q1183" s="330">
        <f t="shared" si="128"/>
        <v>9</v>
      </c>
      <c r="R1183" s="331" t="str">
        <f t="shared" si="129"/>
        <v>Gastos_custeados_por_captação</v>
      </c>
      <c r="S1183" s="331" t="str">
        <f>IF(D1183="","",IF(OR(D1183=Plano!$A$1,D1183=Plano!$B$1),"entrada","saída"))</f>
        <v>saída</v>
      </c>
      <c r="T1183" s="332" t="s">
        <v>114</v>
      </c>
      <c r="U1183" s="332" t="s">
        <v>114</v>
      </c>
      <c r="V1183" s="439"/>
      <c r="W1183" s="439"/>
      <c r="X1183" s="439"/>
      <c r="Y1183" s="439"/>
      <c r="Z1183" s="439"/>
      <c r="AA1183" s="439"/>
      <c r="AB1183" s="439"/>
      <c r="AC1183" s="439"/>
      <c r="AD1183" s="439"/>
      <c r="AE1183" s="439"/>
      <c r="AF1183" s="439"/>
      <c r="AG1183" s="439"/>
      <c r="AH1183" s="439"/>
      <c r="AI1183" s="439"/>
      <c r="AJ1183" s="439"/>
      <c r="AK1183" s="439"/>
      <c r="AL1183" s="439"/>
      <c r="AM1183" s="439"/>
    </row>
    <row r="1184" spans="1:39" s="478" customFormat="1" ht="60.75" customHeight="1" x14ac:dyDescent="0.2">
      <c r="A1184" s="277">
        <f>IF(B1184="","",COUNT('Diário 5º PA'!$A$5:$A$2634)+COUNT('Diário 6º PA'!$A$5:$A$2246)+ROW()-4)</f>
        <v>3723</v>
      </c>
      <c r="B1184" s="278">
        <v>44449</v>
      </c>
      <c r="C1184" s="335">
        <v>44440</v>
      </c>
      <c r="D1184" s="250" t="s">
        <v>104</v>
      </c>
      <c r="E1184" s="250" t="s">
        <v>104</v>
      </c>
      <c r="F1184" s="258">
        <v>153</v>
      </c>
      <c r="G1184" s="450" t="s">
        <v>5413</v>
      </c>
      <c r="H1184" s="250" t="s">
        <v>104</v>
      </c>
      <c r="I1184" s="250" t="s">
        <v>949</v>
      </c>
      <c r="J1184" s="255" t="s">
        <v>950</v>
      </c>
      <c r="K1184" s="255" t="s">
        <v>951</v>
      </c>
      <c r="L1184" s="250" t="s">
        <v>947</v>
      </c>
      <c r="M1184" s="336" t="s">
        <v>114</v>
      </c>
      <c r="N1184" s="278">
        <v>44449</v>
      </c>
      <c r="O1184" s="329" t="s">
        <v>5377</v>
      </c>
      <c r="P1184" s="330">
        <f t="shared" ref="P1184" si="130">IF(B1184=0,0,IF(YEAR(B1184)=$Q$1,MONTH(B1184)-$P$1+1,(YEAR(B1184)-$Q$1)*12-$P$1+1+MONTH(B1184)))</f>
        <v>9</v>
      </c>
      <c r="Q1184" s="330">
        <f t="shared" ref="Q1184" si="131">IF(C1184=0,0,IF(YEAR(C1184)=$Q$1,MONTH(C1184)-$P$1+1,(YEAR(C1184)-$Q$1)*12-$P$1+1+MONTH(C1184)))</f>
        <v>9</v>
      </c>
      <c r="R1184" s="331" t="str">
        <f t="shared" ref="R1184" si="132">SUBSTITUTE(D1184," ","_")</f>
        <v>Gastos_custeados_por_captação</v>
      </c>
      <c r="S1184" s="331" t="str">
        <f>IF(D1184="","",IF(OR(D1184=Plano!$A$1,D1184=Plano!$B$1),"entrada","saída"))</f>
        <v>saída</v>
      </c>
      <c r="T1184" s="332" t="s">
        <v>114</v>
      </c>
      <c r="U1184" s="332" t="s">
        <v>114</v>
      </c>
      <c r="V1184" s="439"/>
      <c r="W1184" s="439"/>
      <c r="X1184" s="439"/>
      <c r="Y1184" s="439"/>
      <c r="Z1184" s="439"/>
      <c r="AA1184" s="439"/>
      <c r="AB1184" s="439"/>
      <c r="AC1184" s="439"/>
      <c r="AD1184" s="439"/>
      <c r="AE1184" s="439"/>
      <c r="AF1184" s="439"/>
      <c r="AG1184" s="439"/>
      <c r="AH1184" s="439"/>
      <c r="AI1184" s="439"/>
      <c r="AJ1184" s="439"/>
      <c r="AK1184" s="439"/>
      <c r="AL1184" s="439"/>
      <c r="AM1184" s="439"/>
    </row>
    <row r="1185" spans="1:39" ht="49.5" customHeight="1" x14ac:dyDescent="0.2">
      <c r="A1185" s="277">
        <f>IF(B1185="","",COUNT('Diário 5º PA'!$A$5:$A$2634)+COUNT('Diário 6º PA'!$A$5:$A$2246)+ROW()-4)</f>
        <v>3724</v>
      </c>
      <c r="B1185" s="278">
        <v>44452</v>
      </c>
      <c r="C1185" s="249">
        <v>44409</v>
      </c>
      <c r="D1185" s="255" t="s">
        <v>99</v>
      </c>
      <c r="E1185" s="255" t="s">
        <v>220</v>
      </c>
      <c r="F1185" s="258">
        <v>-77.34</v>
      </c>
      <c r="G1185" s="450" t="s">
        <v>2393</v>
      </c>
      <c r="H1185" s="255" t="s">
        <v>115</v>
      </c>
      <c r="I1185" s="250" t="s">
        <v>983</v>
      </c>
      <c r="J1185" s="252" t="s">
        <v>850</v>
      </c>
      <c r="K1185" s="255" t="s">
        <v>946</v>
      </c>
      <c r="L1185" s="250" t="s">
        <v>947</v>
      </c>
      <c r="M1185" s="277" t="s">
        <v>114</v>
      </c>
      <c r="N1185" s="278">
        <v>44452</v>
      </c>
      <c r="O1185" s="329" t="s">
        <v>67</v>
      </c>
      <c r="P1185" s="330">
        <f t="shared" si="124"/>
        <v>9</v>
      </c>
      <c r="Q1185" s="330">
        <f t="shared" si="125"/>
        <v>8</v>
      </c>
      <c r="R1185" s="331" t="str">
        <f t="shared" si="126"/>
        <v>Gastos_Gerais</v>
      </c>
      <c r="S1185" s="331" t="str">
        <f>IF(D1185="","",IF(OR(D1185=Plano!$A$1,D1185=Plano!$B$1),"entrada","saída"))</f>
        <v>saída</v>
      </c>
      <c r="T1185" s="332" t="s">
        <v>114</v>
      </c>
      <c r="U1185" s="332" t="s">
        <v>114</v>
      </c>
      <c r="V1185" s="269"/>
      <c r="W1185" s="269"/>
      <c r="X1185" s="269"/>
      <c r="Y1185" s="269"/>
      <c r="Z1185" s="269"/>
      <c r="AA1185" s="269"/>
      <c r="AB1185" s="269"/>
      <c r="AC1185" s="269"/>
      <c r="AD1185" s="269"/>
      <c r="AE1185" s="269"/>
      <c r="AF1185" s="269"/>
      <c r="AG1185" s="269"/>
      <c r="AH1185" s="269"/>
      <c r="AI1185" s="269"/>
      <c r="AJ1185" s="269"/>
      <c r="AK1185" s="269"/>
      <c r="AL1185" s="269"/>
      <c r="AM1185" s="269"/>
    </row>
    <row r="1186" spans="1:39" ht="30" customHeight="1" x14ac:dyDescent="0.2">
      <c r="A1186" s="277">
        <f>IF(B1186="","",COUNT('Diário 5º PA'!$A$5:$A$2634)+COUNT('Diário 6º PA'!$A$5:$A$2246)+ROW()-4)</f>
        <v>3725</v>
      </c>
      <c r="B1186" s="278">
        <v>44452</v>
      </c>
      <c r="C1186" s="249">
        <v>44409</v>
      </c>
      <c r="D1186" s="255" t="s">
        <v>99</v>
      </c>
      <c r="E1186" s="255" t="s">
        <v>220</v>
      </c>
      <c r="F1186" s="258">
        <v>292.83999999999997</v>
      </c>
      <c r="G1186" s="452" t="s">
        <v>2394</v>
      </c>
      <c r="H1186" s="255" t="s">
        <v>115</v>
      </c>
      <c r="I1186" s="252" t="s">
        <v>522</v>
      </c>
      <c r="J1186" s="252" t="s">
        <v>523</v>
      </c>
      <c r="K1186" s="252" t="s">
        <v>1375</v>
      </c>
      <c r="L1186" s="252" t="s">
        <v>697</v>
      </c>
      <c r="M1186" s="277" t="s">
        <v>2395</v>
      </c>
      <c r="N1186" s="278">
        <v>44427</v>
      </c>
      <c r="O1186" s="329" t="s">
        <v>67</v>
      </c>
      <c r="P1186" s="330">
        <f t="shared" si="124"/>
        <v>9</v>
      </c>
      <c r="Q1186" s="330">
        <f t="shared" si="125"/>
        <v>8</v>
      </c>
      <c r="R1186" s="331" t="str">
        <f t="shared" si="126"/>
        <v>Gastos_Gerais</v>
      </c>
      <c r="S1186" s="331" t="str">
        <f>IF(D1186="","",IF(OR(D1186=Plano!$A$1,D1186=Plano!$B$1),"entrada","saída"))</f>
        <v>saída</v>
      </c>
      <c r="T1186" s="332" t="s">
        <v>114</v>
      </c>
      <c r="U1186" s="332" t="s">
        <v>114</v>
      </c>
      <c r="V1186" s="269"/>
      <c r="W1186" s="269"/>
      <c r="X1186" s="269"/>
      <c r="Y1186" s="269"/>
      <c r="Z1186" s="269"/>
      <c r="AA1186" s="269"/>
      <c r="AB1186" s="269"/>
      <c r="AC1186" s="269"/>
      <c r="AD1186" s="269"/>
      <c r="AE1186" s="269"/>
      <c r="AF1186" s="269"/>
      <c r="AG1186" s="269"/>
      <c r="AH1186" s="269"/>
      <c r="AI1186" s="269"/>
      <c r="AJ1186" s="269"/>
      <c r="AK1186" s="269"/>
      <c r="AL1186" s="269"/>
      <c r="AM1186" s="269"/>
    </row>
    <row r="1187" spans="1:39" ht="49.5" customHeight="1" x14ac:dyDescent="0.2">
      <c r="A1187" s="277">
        <f>IF(B1187="","",COUNT('Diário 5º PA'!$A$5:$A$2634)+COUNT('Diário 6º PA'!$A$5:$A$2246)+ROW()-4)</f>
        <v>3726</v>
      </c>
      <c r="B1187" s="278">
        <v>44453</v>
      </c>
      <c r="C1187" s="249">
        <v>44409</v>
      </c>
      <c r="D1187" s="255" t="s">
        <v>99</v>
      </c>
      <c r="E1187" s="255" t="s">
        <v>218</v>
      </c>
      <c r="F1187" s="258">
        <v>-47.07</v>
      </c>
      <c r="G1187" s="450" t="s">
        <v>2396</v>
      </c>
      <c r="H1187" s="255" t="s">
        <v>115</v>
      </c>
      <c r="I1187" s="250" t="s">
        <v>983</v>
      </c>
      <c r="J1187" s="252" t="s">
        <v>850</v>
      </c>
      <c r="K1187" s="255" t="s">
        <v>946</v>
      </c>
      <c r="L1187" s="250" t="s">
        <v>947</v>
      </c>
      <c r="M1187" s="349" t="s">
        <v>114</v>
      </c>
      <c r="N1187" s="278">
        <v>44453</v>
      </c>
      <c r="O1187" s="329" t="s">
        <v>67</v>
      </c>
      <c r="P1187" s="330">
        <f t="shared" si="124"/>
        <v>9</v>
      </c>
      <c r="Q1187" s="330">
        <f t="shared" si="125"/>
        <v>8</v>
      </c>
      <c r="R1187" s="331" t="str">
        <f t="shared" si="126"/>
        <v>Gastos_Gerais</v>
      </c>
      <c r="S1187" s="331" t="str">
        <f>IF(D1187="","",IF(OR(D1187=Plano!$A$1,D1187=Plano!$B$1),"entrada","saída"))</f>
        <v>saída</v>
      </c>
      <c r="T1187" s="332" t="s">
        <v>114</v>
      </c>
      <c r="U1187" s="332" t="s">
        <v>114</v>
      </c>
      <c r="V1187" s="269"/>
      <c r="W1187" s="269"/>
      <c r="X1187" s="269"/>
      <c r="Y1187" s="269"/>
      <c r="Z1187" s="269"/>
      <c r="AA1187" s="269"/>
      <c r="AB1187" s="269"/>
      <c r="AC1187" s="269"/>
      <c r="AD1187" s="269"/>
      <c r="AE1187" s="269"/>
      <c r="AF1187" s="269"/>
      <c r="AG1187" s="269"/>
      <c r="AH1187" s="269"/>
      <c r="AI1187" s="269"/>
      <c r="AJ1187" s="269"/>
      <c r="AK1187" s="269"/>
      <c r="AL1187" s="269"/>
      <c r="AM1187" s="269"/>
    </row>
    <row r="1188" spans="1:39" ht="160.5" customHeight="1" x14ac:dyDescent="0.2">
      <c r="A1188" s="277">
        <f>IF(B1188="","",COUNT('Diário 5º PA'!$A$5:$A$2634)+COUNT('Diário 6º PA'!$A$5:$A$2246)+ROW()-4)</f>
        <v>3727</v>
      </c>
      <c r="B1188" s="278">
        <v>44453</v>
      </c>
      <c r="C1188" s="249">
        <v>44409</v>
      </c>
      <c r="D1188" s="255" t="s">
        <v>99</v>
      </c>
      <c r="E1188" s="255" t="s">
        <v>358</v>
      </c>
      <c r="F1188" s="258">
        <v>1998.6</v>
      </c>
      <c r="G1188" s="452" t="s">
        <v>2397</v>
      </c>
      <c r="H1188" s="250" t="s">
        <v>131</v>
      </c>
      <c r="I1188" s="252" t="s">
        <v>2398</v>
      </c>
      <c r="J1188" s="252" t="s">
        <v>723</v>
      </c>
      <c r="K1188" s="250" t="s">
        <v>1015</v>
      </c>
      <c r="L1188" s="250" t="s">
        <v>1029</v>
      </c>
      <c r="M1188" s="277">
        <v>1329</v>
      </c>
      <c r="N1188" s="278">
        <v>44453</v>
      </c>
      <c r="O1188" s="329" t="s">
        <v>67</v>
      </c>
      <c r="P1188" s="330">
        <f t="shared" si="124"/>
        <v>9</v>
      </c>
      <c r="Q1188" s="330">
        <f t="shared" si="125"/>
        <v>8</v>
      </c>
      <c r="R1188" s="331" t="str">
        <f t="shared" si="126"/>
        <v>Gastos_Gerais</v>
      </c>
      <c r="S1188" s="331" t="str">
        <f>IF(D1188="","",IF(OR(D1188=Plano!$A$1,D1188=Plano!$B$1),"entrada","saída"))</f>
        <v>saída</v>
      </c>
      <c r="T1188" s="334" t="s">
        <v>1059</v>
      </c>
      <c r="U1188" s="334">
        <v>1894</v>
      </c>
      <c r="V1188" s="269"/>
      <c r="W1188" s="269"/>
      <c r="X1188" s="269"/>
      <c r="Y1188" s="269"/>
      <c r="Z1188" s="269"/>
      <c r="AA1188" s="269"/>
      <c r="AB1188" s="269"/>
      <c r="AC1188" s="269"/>
      <c r="AD1188" s="269"/>
      <c r="AE1188" s="269"/>
      <c r="AF1188" s="269"/>
      <c r="AG1188" s="269"/>
      <c r="AH1188" s="269"/>
      <c r="AI1188" s="269"/>
      <c r="AJ1188" s="269"/>
      <c r="AK1188" s="269"/>
      <c r="AL1188" s="269"/>
      <c r="AM1188" s="269"/>
    </row>
    <row r="1189" spans="1:39" ht="38.25" customHeight="1" x14ac:dyDescent="0.2">
      <c r="A1189" s="277">
        <f>IF(B1189="","",COUNT('Diário 5º PA'!$A$5:$A$2634)+COUNT('Diário 6º PA'!$A$5:$A$2246)+ROW()-4)</f>
        <v>3728</v>
      </c>
      <c r="B1189" s="278">
        <v>44453</v>
      </c>
      <c r="C1189" s="249">
        <v>44409</v>
      </c>
      <c r="D1189" s="255" t="s">
        <v>99</v>
      </c>
      <c r="E1189" s="255" t="s">
        <v>218</v>
      </c>
      <c r="F1189" s="258">
        <v>178.21</v>
      </c>
      <c r="G1189" s="450" t="s">
        <v>2123</v>
      </c>
      <c r="H1189" s="250" t="s">
        <v>115</v>
      </c>
      <c r="I1189" s="252" t="s">
        <v>515</v>
      </c>
      <c r="J1189" s="252" t="s">
        <v>516</v>
      </c>
      <c r="K1189" s="255" t="s">
        <v>700</v>
      </c>
      <c r="L1189" s="250" t="s">
        <v>697</v>
      </c>
      <c r="M1189" s="277" t="s">
        <v>2399</v>
      </c>
      <c r="N1189" s="278">
        <v>44445</v>
      </c>
      <c r="O1189" s="329" t="s">
        <v>67</v>
      </c>
      <c r="P1189" s="330">
        <f t="shared" si="124"/>
        <v>9</v>
      </c>
      <c r="Q1189" s="330">
        <f t="shared" si="125"/>
        <v>8</v>
      </c>
      <c r="R1189" s="331" t="str">
        <f t="shared" si="126"/>
        <v>Gastos_Gerais</v>
      </c>
      <c r="S1189" s="331" t="str">
        <f>IF(D1189="","",IF(OR(D1189=Plano!$A$1,D1189=Plano!$B$1),"entrada","saída"))</f>
        <v>saída</v>
      </c>
      <c r="T1189" s="332" t="s">
        <v>114</v>
      </c>
      <c r="U1189" s="332" t="s">
        <v>114</v>
      </c>
      <c r="V1189" s="269"/>
      <c r="W1189" s="269"/>
      <c r="X1189" s="269"/>
      <c r="Y1189" s="269"/>
      <c r="Z1189" s="269"/>
      <c r="AA1189" s="269"/>
      <c r="AB1189" s="269"/>
      <c r="AC1189" s="269"/>
      <c r="AD1189" s="269"/>
      <c r="AE1189" s="269"/>
      <c r="AF1189" s="269"/>
      <c r="AG1189" s="269"/>
      <c r="AH1189" s="269"/>
      <c r="AI1189" s="269"/>
      <c r="AJ1189" s="269"/>
      <c r="AK1189" s="269"/>
      <c r="AL1189" s="269"/>
      <c r="AM1189" s="269"/>
    </row>
    <row r="1190" spans="1:39" ht="141" customHeight="1" x14ac:dyDescent="0.2">
      <c r="A1190" s="277">
        <f>IF(B1190="","",COUNT('Diário 5º PA'!$A$5:$A$2634)+COUNT('Diário 6º PA'!$A$5:$A$2246)+ROW()-4)</f>
        <v>3729</v>
      </c>
      <c r="B1190" s="278">
        <v>44453</v>
      </c>
      <c r="C1190" s="249">
        <v>44409</v>
      </c>
      <c r="D1190" s="255" t="s">
        <v>99</v>
      </c>
      <c r="E1190" s="255" t="s">
        <v>292</v>
      </c>
      <c r="F1190" s="258">
        <v>7138.6</v>
      </c>
      <c r="G1190" s="452" t="s">
        <v>2400</v>
      </c>
      <c r="H1190" s="250" t="s">
        <v>128</v>
      </c>
      <c r="I1190" s="250" t="s">
        <v>2016</v>
      </c>
      <c r="J1190" s="252" t="s">
        <v>835</v>
      </c>
      <c r="K1190" s="255" t="s">
        <v>560</v>
      </c>
      <c r="L1190" s="250" t="s">
        <v>1016</v>
      </c>
      <c r="M1190" s="277">
        <v>317</v>
      </c>
      <c r="N1190" s="278">
        <v>44425</v>
      </c>
      <c r="O1190" s="329" t="s">
        <v>67</v>
      </c>
      <c r="P1190" s="330">
        <f t="shared" si="124"/>
        <v>9</v>
      </c>
      <c r="Q1190" s="330">
        <f t="shared" si="125"/>
        <v>8</v>
      </c>
      <c r="R1190" s="331" t="str">
        <f t="shared" si="126"/>
        <v>Gastos_Gerais</v>
      </c>
      <c r="S1190" s="331" t="str">
        <f>IF(D1190="","",IF(OR(D1190=Plano!$A$1,D1190=Plano!$B$1),"entrada","saída"))</f>
        <v>saída</v>
      </c>
      <c r="T1190" s="334" t="s">
        <v>1011</v>
      </c>
      <c r="U1190" s="334">
        <v>1875</v>
      </c>
      <c r="V1190" s="269"/>
      <c r="W1190" s="269"/>
      <c r="X1190" s="269"/>
      <c r="Y1190" s="269"/>
      <c r="Z1190" s="269"/>
      <c r="AA1190" s="269"/>
      <c r="AB1190" s="269"/>
      <c r="AC1190" s="269"/>
      <c r="AD1190" s="269"/>
      <c r="AE1190" s="269"/>
      <c r="AF1190" s="269"/>
      <c r="AG1190" s="269"/>
      <c r="AH1190" s="269"/>
      <c r="AI1190" s="269"/>
      <c r="AJ1190" s="269"/>
      <c r="AK1190" s="269"/>
      <c r="AL1190" s="269"/>
      <c r="AM1190" s="269"/>
    </row>
    <row r="1191" spans="1:39" ht="49.5" customHeight="1" x14ac:dyDescent="0.2">
      <c r="A1191" s="277">
        <f>IF(B1191="","",COUNT('Diário 5º PA'!$A$5:$A$2634)+COUNT('Diário 6º PA'!$A$5:$A$2246)+ROW()-4)</f>
        <v>3730</v>
      </c>
      <c r="B1191" s="278">
        <v>44454</v>
      </c>
      <c r="C1191" s="335">
        <v>44440</v>
      </c>
      <c r="D1191" s="255" t="s">
        <v>88</v>
      </c>
      <c r="E1191" s="255" t="s">
        <v>196</v>
      </c>
      <c r="F1191" s="258">
        <v>-231.87</v>
      </c>
      <c r="G1191" s="451" t="s">
        <v>1418</v>
      </c>
      <c r="H1191" s="255" t="s">
        <v>114</v>
      </c>
      <c r="I1191" s="250" t="s">
        <v>983</v>
      </c>
      <c r="J1191" s="255" t="s">
        <v>850</v>
      </c>
      <c r="K1191" s="255" t="s">
        <v>946</v>
      </c>
      <c r="L1191" s="250" t="s">
        <v>947</v>
      </c>
      <c r="M1191" s="349" t="s">
        <v>114</v>
      </c>
      <c r="N1191" s="278">
        <v>44454</v>
      </c>
      <c r="O1191" s="329" t="s">
        <v>67</v>
      </c>
      <c r="P1191" s="330">
        <f t="shared" si="124"/>
        <v>9</v>
      </c>
      <c r="Q1191" s="330">
        <f t="shared" si="125"/>
        <v>9</v>
      </c>
      <c r="R1191" s="331" t="str">
        <f t="shared" si="126"/>
        <v>Gastos_com_Pessoal</v>
      </c>
      <c r="S1191" s="331" t="str">
        <f>IF(D1191="","",IF(OR(D1191=Plano!$A$1,D1191=Plano!$B$1),"entrada","saída"))</f>
        <v>saída</v>
      </c>
      <c r="T1191" s="332" t="s">
        <v>114</v>
      </c>
      <c r="U1191" s="332" t="s">
        <v>114</v>
      </c>
      <c r="V1191" s="269"/>
      <c r="W1191" s="269"/>
      <c r="X1191" s="269"/>
      <c r="Y1191" s="269"/>
      <c r="Z1191" s="269"/>
      <c r="AA1191" s="269"/>
      <c r="AB1191" s="269"/>
      <c r="AC1191" s="269"/>
      <c r="AD1191" s="269"/>
      <c r="AE1191" s="269"/>
      <c r="AF1191" s="269"/>
      <c r="AG1191" s="269"/>
      <c r="AH1191" s="269"/>
      <c r="AI1191" s="269"/>
      <c r="AJ1191" s="269"/>
      <c r="AK1191" s="269"/>
      <c r="AL1191" s="269"/>
      <c r="AM1191" s="269"/>
    </row>
    <row r="1192" spans="1:39" ht="49.5" customHeight="1" x14ac:dyDescent="0.2">
      <c r="A1192" s="277">
        <f>IF(B1192="","",COUNT('Diário 5º PA'!$A$5:$A$2634)+COUNT('Diário 6º PA'!$A$5:$A$2246)+ROW()-4)</f>
        <v>3731</v>
      </c>
      <c r="B1192" s="278">
        <v>44454</v>
      </c>
      <c r="C1192" s="335">
        <v>44440</v>
      </c>
      <c r="D1192" s="255" t="s">
        <v>88</v>
      </c>
      <c r="E1192" s="255" t="s">
        <v>196</v>
      </c>
      <c r="F1192" s="258">
        <v>-1936.17</v>
      </c>
      <c r="G1192" s="452" t="s">
        <v>1419</v>
      </c>
      <c r="H1192" s="255" t="s">
        <v>114</v>
      </c>
      <c r="I1192" s="250" t="s">
        <v>983</v>
      </c>
      <c r="J1192" s="255" t="s">
        <v>850</v>
      </c>
      <c r="K1192" s="255" t="s">
        <v>946</v>
      </c>
      <c r="L1192" s="250" t="s">
        <v>947</v>
      </c>
      <c r="M1192" s="349" t="s">
        <v>114</v>
      </c>
      <c r="N1192" s="278">
        <v>44454</v>
      </c>
      <c r="O1192" s="329" t="s">
        <v>67</v>
      </c>
      <c r="P1192" s="330">
        <f t="shared" si="124"/>
        <v>9</v>
      </c>
      <c r="Q1192" s="330">
        <f t="shared" si="125"/>
        <v>9</v>
      </c>
      <c r="R1192" s="331" t="str">
        <f t="shared" si="126"/>
        <v>Gastos_com_Pessoal</v>
      </c>
      <c r="S1192" s="331" t="str">
        <f>IF(D1192="","",IF(OR(D1192=Plano!$A$1,D1192=Plano!$B$1),"entrada","saída"))</f>
        <v>saída</v>
      </c>
      <c r="T1192" s="332" t="s">
        <v>114</v>
      </c>
      <c r="U1192" s="332" t="s">
        <v>114</v>
      </c>
      <c r="V1192" s="269"/>
      <c r="W1192" s="269"/>
      <c r="X1192" s="269"/>
      <c r="Y1192" s="269"/>
      <c r="Z1192" s="269"/>
      <c r="AA1192" s="269"/>
      <c r="AB1192" s="269"/>
      <c r="AC1192" s="269"/>
      <c r="AD1192" s="269"/>
      <c r="AE1192" s="269"/>
      <c r="AF1192" s="269"/>
      <c r="AG1192" s="269"/>
      <c r="AH1192" s="269"/>
      <c r="AI1192" s="269"/>
      <c r="AJ1192" s="269"/>
      <c r="AK1192" s="269"/>
      <c r="AL1192" s="269"/>
      <c r="AM1192" s="269"/>
    </row>
    <row r="1193" spans="1:39" ht="60" customHeight="1" x14ac:dyDescent="0.2">
      <c r="A1193" s="277">
        <f>IF(B1193="","",COUNT('Diário 5º PA'!$A$5:$A$2634)+COUNT('Diário 6º PA'!$A$5:$A$2246)+ROW()-4)</f>
        <v>3732</v>
      </c>
      <c r="B1193" s="278">
        <v>44454</v>
      </c>
      <c r="C1193" s="335">
        <v>44378</v>
      </c>
      <c r="D1193" s="255" t="s">
        <v>88</v>
      </c>
      <c r="E1193" s="255" t="s">
        <v>196</v>
      </c>
      <c r="F1193" s="258">
        <v>-147.47999999999999</v>
      </c>
      <c r="G1193" s="454" t="s">
        <v>2401</v>
      </c>
      <c r="H1193" s="255" t="s">
        <v>114</v>
      </c>
      <c r="I1193" s="250" t="s">
        <v>983</v>
      </c>
      <c r="J1193" s="255" t="s">
        <v>850</v>
      </c>
      <c r="K1193" s="255" t="s">
        <v>946</v>
      </c>
      <c r="L1193" s="250" t="s">
        <v>947</v>
      </c>
      <c r="M1193" s="349" t="s">
        <v>114</v>
      </c>
      <c r="N1193" s="278">
        <v>44454</v>
      </c>
      <c r="O1193" s="329" t="s">
        <v>67</v>
      </c>
      <c r="P1193" s="330">
        <f t="shared" si="124"/>
        <v>9</v>
      </c>
      <c r="Q1193" s="330">
        <f t="shared" si="125"/>
        <v>7</v>
      </c>
      <c r="R1193" s="331" t="str">
        <f t="shared" si="126"/>
        <v>Gastos_com_Pessoal</v>
      </c>
      <c r="S1193" s="331" t="str">
        <f>IF(D1193="","",IF(OR(D1193=Plano!$A$1,D1193=Plano!$B$1),"entrada","saída"))</f>
        <v>saída</v>
      </c>
      <c r="T1193" s="332" t="s">
        <v>114</v>
      </c>
      <c r="U1193" s="332" t="s">
        <v>114</v>
      </c>
      <c r="V1193" s="269"/>
      <c r="W1193" s="269"/>
      <c r="X1193" s="269"/>
      <c r="Y1193" s="269"/>
      <c r="Z1193" s="269"/>
      <c r="AA1193" s="269"/>
      <c r="AB1193" s="269"/>
      <c r="AC1193" s="269"/>
      <c r="AD1193" s="269"/>
      <c r="AE1193" s="269"/>
      <c r="AF1193" s="269"/>
      <c r="AG1193" s="269"/>
      <c r="AH1193" s="269"/>
      <c r="AI1193" s="269"/>
      <c r="AJ1193" s="269"/>
      <c r="AK1193" s="269"/>
      <c r="AL1193" s="269"/>
      <c r="AM1193" s="269"/>
    </row>
    <row r="1194" spans="1:39" ht="99.75" customHeight="1" x14ac:dyDescent="0.2">
      <c r="A1194" s="277">
        <f>IF(B1194="","",COUNT('Diário 5º PA'!$A$5:$A$2634)+COUNT('Diário 6º PA'!$A$5:$A$2246)+ROW()-4)</f>
        <v>3733</v>
      </c>
      <c r="B1194" s="278">
        <v>44454</v>
      </c>
      <c r="C1194" s="249">
        <v>44348</v>
      </c>
      <c r="D1194" s="255" t="s">
        <v>99</v>
      </c>
      <c r="E1194" s="255" t="s">
        <v>364</v>
      </c>
      <c r="F1194" s="258">
        <v>924</v>
      </c>
      <c r="G1194" s="452" t="s">
        <v>2402</v>
      </c>
      <c r="H1194" s="250" t="s">
        <v>123</v>
      </c>
      <c r="I1194" s="252" t="s">
        <v>2403</v>
      </c>
      <c r="J1194" s="252" t="s">
        <v>2404</v>
      </c>
      <c r="K1194" s="255" t="s">
        <v>1015</v>
      </c>
      <c r="L1194" s="250" t="s">
        <v>1029</v>
      </c>
      <c r="M1194" s="277">
        <v>1332</v>
      </c>
      <c r="N1194" s="278">
        <v>44453</v>
      </c>
      <c r="O1194" s="329" t="s">
        <v>67</v>
      </c>
      <c r="P1194" s="330">
        <f t="shared" si="124"/>
        <v>9</v>
      </c>
      <c r="Q1194" s="330">
        <f t="shared" si="125"/>
        <v>6</v>
      </c>
      <c r="R1194" s="331" t="str">
        <f t="shared" si="126"/>
        <v>Gastos_Gerais</v>
      </c>
      <c r="S1194" s="331" t="str">
        <f>IF(D1194="","",IF(OR(D1194=Plano!$A$1,D1194=Plano!$B$1),"entrada","saída"))</f>
        <v>saída</v>
      </c>
      <c r="T1194" s="334" t="s">
        <v>994</v>
      </c>
      <c r="U1194" s="334">
        <v>1653</v>
      </c>
      <c r="V1194" s="269"/>
      <c r="W1194" s="269"/>
      <c r="X1194" s="269"/>
      <c r="Y1194" s="269"/>
      <c r="Z1194" s="269"/>
      <c r="AA1194" s="269"/>
      <c r="AB1194" s="269"/>
      <c r="AC1194" s="269"/>
      <c r="AD1194" s="269"/>
      <c r="AE1194" s="269"/>
      <c r="AF1194" s="269"/>
      <c r="AG1194" s="269"/>
      <c r="AH1194" s="269"/>
      <c r="AI1194" s="269"/>
      <c r="AJ1194" s="269"/>
      <c r="AK1194" s="269"/>
      <c r="AL1194" s="269"/>
      <c r="AM1194" s="269"/>
    </row>
    <row r="1195" spans="1:39" ht="151.5" customHeight="1" x14ac:dyDescent="0.2">
      <c r="A1195" s="277">
        <f>IF(B1195="","",COUNT('Diário 5º PA'!$A$5:$A$2634)+COUNT('Diário 6º PA'!$A$5:$A$2246)+ROW()-4)</f>
        <v>3734</v>
      </c>
      <c r="B1195" s="278">
        <v>44454</v>
      </c>
      <c r="C1195" s="335">
        <v>44409</v>
      </c>
      <c r="D1195" s="255" t="s">
        <v>99</v>
      </c>
      <c r="E1195" s="255" t="s">
        <v>382</v>
      </c>
      <c r="F1195" s="258">
        <v>909.43</v>
      </c>
      <c r="G1195" s="452" t="s">
        <v>2405</v>
      </c>
      <c r="H1195" s="250" t="s">
        <v>125</v>
      </c>
      <c r="I1195" s="250" t="s">
        <v>2406</v>
      </c>
      <c r="J1195" s="255" t="s">
        <v>2407</v>
      </c>
      <c r="K1195" s="255" t="s">
        <v>560</v>
      </c>
      <c r="L1195" s="250" t="s">
        <v>992</v>
      </c>
      <c r="M1195" s="277" t="s">
        <v>2408</v>
      </c>
      <c r="N1195" s="278">
        <v>44424</v>
      </c>
      <c r="O1195" s="329" t="s">
        <v>67</v>
      </c>
      <c r="P1195" s="330">
        <f t="shared" si="124"/>
        <v>9</v>
      </c>
      <c r="Q1195" s="330">
        <f t="shared" si="125"/>
        <v>8</v>
      </c>
      <c r="R1195" s="331" t="str">
        <f t="shared" si="126"/>
        <v>Gastos_Gerais</v>
      </c>
      <c r="S1195" s="331" t="str">
        <f>IF(D1195="","",IF(OR(D1195=Plano!$A$1,D1195=Plano!$B$1),"entrada","saída"))</f>
        <v>saída</v>
      </c>
      <c r="T1195" s="334" t="s">
        <v>994</v>
      </c>
      <c r="U1195" s="334">
        <v>1874</v>
      </c>
      <c r="V1195" s="269"/>
      <c r="W1195" s="269"/>
      <c r="X1195" s="269"/>
      <c r="Y1195" s="269"/>
      <c r="Z1195" s="269"/>
      <c r="AA1195" s="269"/>
      <c r="AB1195" s="269"/>
      <c r="AC1195" s="269"/>
      <c r="AD1195" s="269"/>
      <c r="AE1195" s="269"/>
      <c r="AF1195" s="269"/>
      <c r="AG1195" s="269"/>
      <c r="AH1195" s="269"/>
      <c r="AI1195" s="269"/>
      <c r="AJ1195" s="269"/>
      <c r="AK1195" s="269"/>
      <c r="AL1195" s="269"/>
      <c r="AM1195" s="269"/>
    </row>
    <row r="1196" spans="1:39" ht="63.75" customHeight="1" x14ac:dyDescent="0.2">
      <c r="A1196" s="277">
        <f>IF(B1196="","",COUNT('Diário 5º PA'!$A$5:$A$2634)+COUNT('Diário 6º PA'!$A$5:$A$2246)+ROW()-4)</f>
        <v>3735</v>
      </c>
      <c r="B1196" s="278">
        <v>44454</v>
      </c>
      <c r="C1196" s="249">
        <v>44409</v>
      </c>
      <c r="D1196" s="255" t="s">
        <v>99</v>
      </c>
      <c r="E1196" s="255" t="s">
        <v>312</v>
      </c>
      <c r="F1196" s="258">
        <v>217.23</v>
      </c>
      <c r="G1196" s="452" t="s">
        <v>439</v>
      </c>
      <c r="H1196" s="250" t="s">
        <v>115</v>
      </c>
      <c r="I1196" s="252" t="s">
        <v>1421</v>
      </c>
      <c r="J1196" s="252" t="s">
        <v>441</v>
      </c>
      <c r="K1196" s="255" t="s">
        <v>560</v>
      </c>
      <c r="L1196" s="250" t="s">
        <v>1016</v>
      </c>
      <c r="M1196" s="277">
        <v>3500223</v>
      </c>
      <c r="N1196" s="278">
        <v>44440</v>
      </c>
      <c r="O1196" s="329" t="s">
        <v>67</v>
      </c>
      <c r="P1196" s="330">
        <f t="shared" si="124"/>
        <v>9</v>
      </c>
      <c r="Q1196" s="330">
        <f t="shared" si="125"/>
        <v>8</v>
      </c>
      <c r="R1196" s="331" t="str">
        <f t="shared" si="126"/>
        <v>Gastos_Gerais</v>
      </c>
      <c r="S1196" s="331" t="str">
        <f>IF(D1196="","",IF(OR(D1196=Plano!$A$1,D1196=Plano!$B$1),"entrada","saída"))</f>
        <v>saída</v>
      </c>
      <c r="T1196" s="334" t="s">
        <v>1059</v>
      </c>
      <c r="U1196" s="334">
        <v>1142</v>
      </c>
      <c r="V1196" s="269"/>
      <c r="W1196" s="269"/>
      <c r="X1196" s="269"/>
      <c r="Y1196" s="269"/>
      <c r="Z1196" s="269"/>
      <c r="AA1196" s="269"/>
      <c r="AB1196" s="269"/>
      <c r="AC1196" s="269"/>
      <c r="AD1196" s="269"/>
      <c r="AE1196" s="269"/>
      <c r="AF1196" s="269"/>
      <c r="AG1196" s="269"/>
      <c r="AH1196" s="269"/>
      <c r="AI1196" s="269"/>
      <c r="AJ1196" s="269"/>
      <c r="AK1196" s="269"/>
      <c r="AL1196" s="269"/>
      <c r="AM1196" s="269"/>
    </row>
    <row r="1197" spans="1:39" ht="112.5" customHeight="1" x14ac:dyDescent="0.2">
      <c r="A1197" s="277">
        <f>IF(B1197="","",COUNT('Diário 5º PA'!$A$5:$A$2634)+COUNT('Diário 6º PA'!$A$5:$A$2246)+ROW()-4)</f>
        <v>3736</v>
      </c>
      <c r="B1197" s="278">
        <v>44454</v>
      </c>
      <c r="C1197" s="249">
        <v>44440</v>
      </c>
      <c r="D1197" s="255" t="s">
        <v>88</v>
      </c>
      <c r="E1197" s="255" t="s">
        <v>196</v>
      </c>
      <c r="F1197" s="258">
        <v>20552.650000000001</v>
      </c>
      <c r="G1197" s="450" t="s">
        <v>541</v>
      </c>
      <c r="H1197" s="255" t="s">
        <v>114</v>
      </c>
      <c r="I1197" s="252" t="s">
        <v>542</v>
      </c>
      <c r="J1197" s="252" t="s">
        <v>543</v>
      </c>
      <c r="K1197" s="255" t="s">
        <v>560</v>
      </c>
      <c r="L1197" s="250" t="s">
        <v>1016</v>
      </c>
      <c r="M1197" s="277" t="s">
        <v>2409</v>
      </c>
      <c r="N1197" s="278">
        <v>44417</v>
      </c>
      <c r="O1197" s="329" t="s">
        <v>67</v>
      </c>
      <c r="P1197" s="330">
        <f t="shared" si="124"/>
        <v>9</v>
      </c>
      <c r="Q1197" s="330">
        <f t="shared" si="125"/>
        <v>9</v>
      </c>
      <c r="R1197" s="331" t="str">
        <f t="shared" si="126"/>
        <v>Gastos_com_Pessoal</v>
      </c>
      <c r="S1197" s="331" t="str">
        <f>IF(D1197="","",IF(OR(D1197=Plano!$A$1,D1197=Plano!$B$1),"entrada","saída"))</f>
        <v>saída</v>
      </c>
      <c r="T1197" s="332" t="s">
        <v>1059</v>
      </c>
      <c r="U1197" s="332">
        <v>284</v>
      </c>
      <c r="V1197" s="269"/>
      <c r="W1197" s="269"/>
      <c r="X1197" s="269"/>
      <c r="Y1197" s="269"/>
      <c r="Z1197" s="269"/>
      <c r="AA1197" s="269"/>
      <c r="AB1197" s="269"/>
      <c r="AC1197" s="269"/>
      <c r="AD1197" s="269"/>
      <c r="AE1197" s="269"/>
      <c r="AF1197" s="269"/>
      <c r="AG1197" s="269"/>
      <c r="AH1197" s="269"/>
      <c r="AI1197" s="269"/>
      <c r="AJ1197" s="269"/>
      <c r="AK1197" s="269"/>
      <c r="AL1197" s="269"/>
      <c r="AM1197" s="269"/>
    </row>
    <row r="1198" spans="1:39" ht="127.5" customHeight="1" x14ac:dyDescent="0.2">
      <c r="A1198" s="277">
        <f>IF(B1198="","",COUNT('Diário 5º PA'!$A$5:$A$2634)+COUNT('Diário 6º PA'!$A$5:$A$2246)+ROW()-4)</f>
        <v>3737</v>
      </c>
      <c r="B1198" s="278">
        <v>44454</v>
      </c>
      <c r="C1198" s="249">
        <v>44378</v>
      </c>
      <c r="D1198" s="255" t="s">
        <v>88</v>
      </c>
      <c r="E1198" s="255" t="s">
        <v>90</v>
      </c>
      <c r="F1198" s="258">
        <v>432.57</v>
      </c>
      <c r="G1198" s="450" t="s">
        <v>2410</v>
      </c>
      <c r="H1198" s="255" t="s">
        <v>114</v>
      </c>
      <c r="I1198" s="252" t="s">
        <v>542</v>
      </c>
      <c r="J1198" s="252" t="s">
        <v>543</v>
      </c>
      <c r="K1198" s="255" t="s">
        <v>560</v>
      </c>
      <c r="L1198" s="250" t="s">
        <v>1016</v>
      </c>
      <c r="M1198" s="277" t="s">
        <v>2411</v>
      </c>
      <c r="N1198" s="278">
        <v>44411</v>
      </c>
      <c r="O1198" s="329" t="s">
        <v>67</v>
      </c>
      <c r="P1198" s="330">
        <f t="shared" si="124"/>
        <v>9</v>
      </c>
      <c r="Q1198" s="330">
        <f t="shared" si="125"/>
        <v>7</v>
      </c>
      <c r="R1198" s="331" t="str">
        <f t="shared" si="126"/>
        <v>Gastos_com_Pessoal</v>
      </c>
      <c r="S1198" s="331" t="str">
        <f>IF(D1198="","",IF(OR(D1198=Plano!$A$1,D1198=Plano!$B$1),"entrada","saída"))</f>
        <v>saída</v>
      </c>
      <c r="T1198" s="332" t="s">
        <v>1059</v>
      </c>
      <c r="U1198" s="332">
        <v>284</v>
      </c>
      <c r="V1198" s="269"/>
      <c r="W1198" s="269"/>
      <c r="X1198" s="269"/>
      <c r="Y1198" s="269"/>
      <c r="Z1198" s="269"/>
      <c r="AA1198" s="269"/>
      <c r="AB1198" s="269"/>
      <c r="AC1198" s="269"/>
      <c r="AD1198" s="269"/>
      <c r="AE1198" s="269"/>
      <c r="AF1198" s="269"/>
      <c r="AG1198" s="269"/>
      <c r="AH1198" s="269"/>
      <c r="AI1198" s="269"/>
      <c r="AJ1198" s="269"/>
      <c r="AK1198" s="269"/>
      <c r="AL1198" s="269"/>
      <c r="AM1198" s="269"/>
    </row>
    <row r="1199" spans="1:39" ht="162" customHeight="1" x14ac:dyDescent="0.2">
      <c r="A1199" s="277">
        <f>IF(B1199="","",COUNT('Diário 5º PA'!$A$5:$A$2634)+COUNT('Diário 6º PA'!$A$5:$A$2246)+ROW()-4)</f>
        <v>3738</v>
      </c>
      <c r="B1199" s="278">
        <v>44454</v>
      </c>
      <c r="C1199" s="249">
        <v>44409</v>
      </c>
      <c r="D1199" s="255" t="s">
        <v>99</v>
      </c>
      <c r="E1199" s="255" t="s">
        <v>358</v>
      </c>
      <c r="F1199" s="258">
        <v>1998.6</v>
      </c>
      <c r="G1199" s="452" t="s">
        <v>2412</v>
      </c>
      <c r="H1199" s="250" t="s">
        <v>131</v>
      </c>
      <c r="I1199" s="250" t="s">
        <v>2413</v>
      </c>
      <c r="J1199" s="252" t="s">
        <v>734</v>
      </c>
      <c r="K1199" s="255" t="s">
        <v>991</v>
      </c>
      <c r="L1199" s="250" t="s">
        <v>1029</v>
      </c>
      <c r="M1199" s="277">
        <v>1328</v>
      </c>
      <c r="N1199" s="278">
        <v>44453</v>
      </c>
      <c r="O1199" s="329" t="s">
        <v>67</v>
      </c>
      <c r="P1199" s="330">
        <f t="shared" si="124"/>
        <v>9</v>
      </c>
      <c r="Q1199" s="330">
        <f t="shared" si="125"/>
        <v>8</v>
      </c>
      <c r="R1199" s="331" t="str">
        <f t="shared" si="126"/>
        <v>Gastos_Gerais</v>
      </c>
      <c r="S1199" s="331" t="str">
        <f>IF(D1199="","",IF(OR(D1199=Plano!$A$1,D1199=Plano!$B$1),"entrada","saída"))</f>
        <v>saída</v>
      </c>
      <c r="T1199" s="334" t="s">
        <v>1059</v>
      </c>
      <c r="U1199" s="334">
        <v>1893</v>
      </c>
      <c r="V1199" s="269"/>
      <c r="W1199" s="269"/>
      <c r="X1199" s="269"/>
      <c r="Y1199" s="269"/>
      <c r="Z1199" s="269"/>
      <c r="AA1199" s="269"/>
      <c r="AB1199" s="269"/>
      <c r="AC1199" s="269"/>
      <c r="AD1199" s="269"/>
      <c r="AE1199" s="269"/>
      <c r="AF1199" s="269"/>
      <c r="AG1199" s="269"/>
      <c r="AH1199" s="269"/>
      <c r="AI1199" s="269"/>
      <c r="AJ1199" s="269"/>
      <c r="AK1199" s="269"/>
      <c r="AL1199" s="269"/>
      <c r="AM1199" s="269"/>
    </row>
    <row r="1200" spans="1:39" ht="154.5" customHeight="1" x14ac:dyDescent="0.2">
      <c r="A1200" s="277">
        <f>IF(B1200="","",COUNT('Diário 5º PA'!$A$5:$A$2634)+COUNT('Diário 6º PA'!$A$5:$A$2246)+ROW()-4)</f>
        <v>3739</v>
      </c>
      <c r="B1200" s="278">
        <v>44454</v>
      </c>
      <c r="C1200" s="249">
        <v>44409</v>
      </c>
      <c r="D1200" s="255" t="s">
        <v>99</v>
      </c>
      <c r="E1200" s="255" t="s">
        <v>358</v>
      </c>
      <c r="F1200" s="258">
        <v>1998.6</v>
      </c>
      <c r="G1200" s="452" t="s">
        <v>2414</v>
      </c>
      <c r="H1200" s="250" t="s">
        <v>131</v>
      </c>
      <c r="I1200" s="252" t="s">
        <v>2415</v>
      </c>
      <c r="J1200" s="252" t="s">
        <v>729</v>
      </c>
      <c r="K1200" s="255" t="s">
        <v>991</v>
      </c>
      <c r="L1200" s="250" t="s">
        <v>1029</v>
      </c>
      <c r="M1200" s="277">
        <v>1330</v>
      </c>
      <c r="N1200" s="278">
        <v>44453</v>
      </c>
      <c r="O1200" s="329" t="s">
        <v>67</v>
      </c>
      <c r="P1200" s="330">
        <f t="shared" si="124"/>
        <v>9</v>
      </c>
      <c r="Q1200" s="330">
        <f t="shared" si="125"/>
        <v>8</v>
      </c>
      <c r="R1200" s="331" t="str">
        <f t="shared" si="126"/>
        <v>Gastos_Gerais</v>
      </c>
      <c r="S1200" s="331" t="str">
        <f>IF(D1200="","",IF(OR(D1200=Plano!$A$1,D1200=Plano!$B$1),"entrada","saída"))</f>
        <v>saída</v>
      </c>
      <c r="T1200" s="334" t="s">
        <v>1059</v>
      </c>
      <c r="U1200" s="334">
        <v>1895</v>
      </c>
      <c r="V1200" s="269"/>
      <c r="W1200" s="269"/>
      <c r="X1200" s="269"/>
      <c r="Y1200" s="269"/>
      <c r="Z1200" s="269"/>
      <c r="AA1200" s="269"/>
      <c r="AB1200" s="269"/>
      <c r="AC1200" s="269"/>
      <c r="AD1200" s="269"/>
      <c r="AE1200" s="269"/>
      <c r="AF1200" s="269"/>
      <c r="AG1200" s="269"/>
      <c r="AH1200" s="269"/>
      <c r="AI1200" s="269"/>
      <c r="AJ1200" s="269"/>
      <c r="AK1200" s="269"/>
      <c r="AL1200" s="269"/>
      <c r="AM1200" s="269"/>
    </row>
    <row r="1201" spans="1:39" ht="39.75" customHeight="1" x14ac:dyDescent="0.2">
      <c r="A1201" s="277">
        <f>IF(B1201="","",COUNT('Diário 5º PA'!$A$5:$A$2634)+COUNT('Diário 6º PA'!$A$5:$A$2246)+ROW()-4)</f>
        <v>3740</v>
      </c>
      <c r="B1201" s="278">
        <v>44454</v>
      </c>
      <c r="C1201" s="335">
        <v>44440</v>
      </c>
      <c r="D1201" s="255" t="s">
        <v>99</v>
      </c>
      <c r="E1201" s="255" t="s">
        <v>272</v>
      </c>
      <c r="F1201" s="258">
        <v>10.45</v>
      </c>
      <c r="G1201" s="450" t="s">
        <v>2416</v>
      </c>
      <c r="H1201" s="250" t="s">
        <v>131</v>
      </c>
      <c r="I1201" s="250" t="s">
        <v>949</v>
      </c>
      <c r="J1201" s="255" t="s">
        <v>950</v>
      </c>
      <c r="K1201" s="255" t="s">
        <v>951</v>
      </c>
      <c r="L1201" s="250" t="s">
        <v>947</v>
      </c>
      <c r="M1201" s="336" t="s">
        <v>114</v>
      </c>
      <c r="N1201" s="278">
        <v>44454</v>
      </c>
      <c r="O1201" s="329" t="s">
        <v>67</v>
      </c>
      <c r="P1201" s="330">
        <f t="shared" si="124"/>
        <v>9</v>
      </c>
      <c r="Q1201" s="330">
        <f t="shared" si="125"/>
        <v>9</v>
      </c>
      <c r="R1201" s="331" t="str">
        <f t="shared" si="126"/>
        <v>Gastos_Gerais</v>
      </c>
      <c r="S1201" s="331" t="str">
        <f>IF(D1201="","",IF(OR(D1201=Plano!$A$1,D1201=Plano!$B$1),"entrada","saída"))</f>
        <v>saída</v>
      </c>
      <c r="T1201" s="334" t="s">
        <v>114</v>
      </c>
      <c r="U1201" s="334" t="s">
        <v>114</v>
      </c>
      <c r="V1201" s="269"/>
      <c r="W1201" s="269"/>
      <c r="X1201" s="269"/>
      <c r="Y1201" s="269"/>
      <c r="Z1201" s="269"/>
      <c r="AA1201" s="269"/>
      <c r="AB1201" s="269"/>
      <c r="AC1201" s="269"/>
      <c r="AD1201" s="269"/>
      <c r="AE1201" s="269"/>
      <c r="AF1201" s="269"/>
      <c r="AG1201" s="269"/>
      <c r="AH1201" s="269"/>
      <c r="AI1201" s="269"/>
      <c r="AJ1201" s="269"/>
      <c r="AK1201" s="269"/>
      <c r="AL1201" s="269"/>
      <c r="AM1201" s="269"/>
    </row>
    <row r="1202" spans="1:39" ht="39.75" customHeight="1" x14ac:dyDescent="0.2">
      <c r="A1202" s="277">
        <f>IF(B1202="","",COUNT('Diário 5º PA'!$A$5:$A$2634)+COUNT('Diário 6º PA'!$A$5:$A$2246)+ROW()-4)</f>
        <v>3741</v>
      </c>
      <c r="B1202" s="278">
        <v>44454</v>
      </c>
      <c r="C1202" s="335">
        <v>44440</v>
      </c>
      <c r="D1202" s="255" t="s">
        <v>99</v>
      </c>
      <c r="E1202" s="255" t="s">
        <v>272</v>
      </c>
      <c r="F1202" s="258">
        <v>10.45</v>
      </c>
      <c r="G1202" s="450" t="s">
        <v>2417</v>
      </c>
      <c r="H1202" s="250" t="s">
        <v>131</v>
      </c>
      <c r="I1202" s="250" t="s">
        <v>949</v>
      </c>
      <c r="J1202" s="255" t="s">
        <v>950</v>
      </c>
      <c r="K1202" s="255" t="s">
        <v>951</v>
      </c>
      <c r="L1202" s="250" t="s">
        <v>947</v>
      </c>
      <c r="M1202" s="336" t="s">
        <v>114</v>
      </c>
      <c r="N1202" s="278">
        <v>44454</v>
      </c>
      <c r="O1202" s="329" t="s">
        <v>67</v>
      </c>
      <c r="P1202" s="330">
        <f t="shared" si="124"/>
        <v>9</v>
      </c>
      <c r="Q1202" s="330">
        <f t="shared" si="125"/>
        <v>9</v>
      </c>
      <c r="R1202" s="331" t="str">
        <f t="shared" si="126"/>
        <v>Gastos_Gerais</v>
      </c>
      <c r="S1202" s="331" t="str">
        <f>IF(D1202="","",IF(OR(D1202=Plano!$A$1,D1202=Plano!$B$1),"entrada","saída"))</f>
        <v>saída</v>
      </c>
      <c r="T1202" s="334" t="s">
        <v>114</v>
      </c>
      <c r="U1202" s="334" t="s">
        <v>114</v>
      </c>
      <c r="V1202" s="269"/>
      <c r="W1202" s="269"/>
      <c r="X1202" s="269"/>
      <c r="Y1202" s="269"/>
      <c r="Z1202" s="269"/>
      <c r="AA1202" s="269"/>
      <c r="AB1202" s="269"/>
      <c r="AC1202" s="269"/>
      <c r="AD1202" s="269"/>
      <c r="AE1202" s="269"/>
      <c r="AF1202" s="269"/>
      <c r="AG1202" s="269"/>
      <c r="AH1202" s="269"/>
      <c r="AI1202" s="269"/>
      <c r="AJ1202" s="269"/>
      <c r="AK1202" s="269"/>
      <c r="AL1202" s="269"/>
      <c r="AM1202" s="269"/>
    </row>
    <row r="1203" spans="1:39" s="448" customFormat="1" ht="81" customHeight="1" x14ac:dyDescent="0.2">
      <c r="A1203" s="277">
        <f>IF(B1203="","",COUNT('Diário 5º PA'!$A$5:$A$2634)+COUNT('Diário 6º PA'!$A$5:$A$2246)+ROW()-4)</f>
        <v>3742</v>
      </c>
      <c r="B1203" s="278">
        <v>44454</v>
      </c>
      <c r="C1203" s="335">
        <v>44378</v>
      </c>
      <c r="D1203" s="255" t="s">
        <v>104</v>
      </c>
      <c r="E1203" s="250" t="s">
        <v>104</v>
      </c>
      <c r="F1203" s="258">
        <v>2939.7</v>
      </c>
      <c r="G1203" s="450" t="s">
        <v>5262</v>
      </c>
      <c r="H1203" s="250" t="s">
        <v>104</v>
      </c>
      <c r="I1203" s="250" t="s">
        <v>5263</v>
      </c>
      <c r="J1203" s="255" t="s">
        <v>3008</v>
      </c>
      <c r="K1203" s="255" t="s">
        <v>1015</v>
      </c>
      <c r="L1203" s="250" t="s">
        <v>992</v>
      </c>
      <c r="M1203" s="277" t="s">
        <v>2152</v>
      </c>
      <c r="N1203" s="278">
        <v>44454</v>
      </c>
      <c r="O1203" s="329" t="s">
        <v>70</v>
      </c>
      <c r="P1203" s="330">
        <f t="shared" ref="P1203" si="133">IF(B1203=0,0,IF(YEAR(B1203)=$Q$1,MONTH(B1203)-$P$1+1,(YEAR(B1203)-$Q$1)*12-$P$1+1+MONTH(B1203)))</f>
        <v>9</v>
      </c>
      <c r="Q1203" s="330">
        <f t="shared" ref="Q1203" si="134">IF(C1203=0,0,IF(YEAR(C1203)=$Q$1,MONTH(C1203)-$P$1+1,(YEAR(C1203)-$Q$1)*12-$P$1+1+MONTH(C1203)))</f>
        <v>7</v>
      </c>
      <c r="R1203" s="331" t="str">
        <f t="shared" ref="R1203" si="135">SUBSTITUTE(D1203," ","_")</f>
        <v>Gastos_custeados_por_captação</v>
      </c>
      <c r="S1203" s="331" t="str">
        <f>IF(D1203="","",IF(OR(D1203=Plano!$A$1,D1203=Plano!$B$1),"entrada","saída"))</f>
        <v>saída</v>
      </c>
      <c r="T1203" s="334" t="s">
        <v>994</v>
      </c>
      <c r="U1203" s="334">
        <v>1714</v>
      </c>
      <c r="V1203" s="439"/>
      <c r="W1203" s="439"/>
      <c r="X1203" s="439"/>
      <c r="Y1203" s="439"/>
      <c r="Z1203" s="439"/>
      <c r="AA1203" s="439"/>
      <c r="AB1203" s="439"/>
      <c r="AC1203" s="439"/>
      <c r="AD1203" s="439"/>
      <c r="AE1203" s="439"/>
      <c r="AF1203" s="439"/>
      <c r="AG1203" s="439"/>
      <c r="AH1203" s="439"/>
      <c r="AI1203" s="439"/>
      <c r="AJ1203" s="439"/>
      <c r="AK1203" s="439"/>
      <c r="AL1203" s="439"/>
      <c r="AM1203" s="439"/>
    </row>
    <row r="1204" spans="1:39" s="478" customFormat="1" ht="99.75" customHeight="1" x14ac:dyDescent="0.2">
      <c r="A1204" s="277">
        <f>IF(B1204="","",COUNT('Diário 5º PA'!$A$5:$A$2634)+COUNT('Diário 6º PA'!$A$5:$A$2246)+ROW()-4)</f>
        <v>3743</v>
      </c>
      <c r="B1204" s="278">
        <v>44454</v>
      </c>
      <c r="C1204" s="249">
        <v>44409</v>
      </c>
      <c r="D1204" s="250" t="s">
        <v>104</v>
      </c>
      <c r="E1204" s="250" t="s">
        <v>104</v>
      </c>
      <c r="F1204" s="251">
        <v>1444.95</v>
      </c>
      <c r="G1204" s="452" t="s">
        <v>851</v>
      </c>
      <c r="H1204" s="468" t="s">
        <v>104</v>
      </c>
      <c r="I1204" s="250" t="s">
        <v>5433</v>
      </c>
      <c r="J1204" s="440" t="s">
        <v>853</v>
      </c>
      <c r="K1204" s="255" t="s">
        <v>560</v>
      </c>
      <c r="L1204" s="250" t="s">
        <v>992</v>
      </c>
      <c r="M1204" s="277" t="s">
        <v>5480</v>
      </c>
      <c r="N1204" s="278">
        <v>44440</v>
      </c>
      <c r="O1204" s="329" t="s">
        <v>5377</v>
      </c>
      <c r="P1204" s="330">
        <f t="shared" ref="P1204" si="136">IF(B1204=0,0,IF(YEAR(B1204)=$Q$1,MONTH(B1204)-$P$1+1,(YEAR(B1204)-$Q$1)*12-$P$1+1+MONTH(B1204)))</f>
        <v>9</v>
      </c>
      <c r="Q1204" s="330">
        <f t="shared" ref="Q1204" si="137">IF(C1204=0,0,IF(YEAR(C1204)=$Q$1,MONTH(C1204)-$P$1+1,(YEAR(C1204)-$Q$1)*12-$P$1+1+MONTH(C1204)))</f>
        <v>8</v>
      </c>
      <c r="R1204" s="331" t="str">
        <f t="shared" ref="R1204" si="138">SUBSTITUTE(D1204," ","_")</f>
        <v>Gastos_custeados_por_captação</v>
      </c>
      <c r="S1204" s="331" t="str">
        <f>IF(D1204="","",IF(OR(D1204=Plano!$A$1,D1204=Plano!$B$1),"entrada","saída"))</f>
        <v>saída</v>
      </c>
      <c r="T1204" s="334" t="s">
        <v>1082</v>
      </c>
      <c r="U1204" s="334">
        <v>1371</v>
      </c>
      <c r="V1204" s="439"/>
      <c r="W1204" s="439"/>
      <c r="X1204" s="439"/>
      <c r="Y1204" s="439"/>
      <c r="Z1204" s="439"/>
      <c r="AA1204" s="439"/>
      <c r="AB1204" s="439"/>
      <c r="AC1204" s="439"/>
      <c r="AD1204" s="439"/>
      <c r="AE1204" s="439"/>
      <c r="AF1204" s="439"/>
      <c r="AG1204" s="439"/>
      <c r="AH1204" s="439"/>
      <c r="AI1204" s="439"/>
      <c r="AJ1204" s="439"/>
      <c r="AK1204" s="439"/>
      <c r="AL1204" s="439"/>
      <c r="AM1204" s="439"/>
    </row>
    <row r="1205" spans="1:39" ht="168.75" customHeight="1" x14ac:dyDescent="0.2">
      <c r="A1205" s="277">
        <f>IF(B1205="","",COUNT('Diário 5º PA'!$A$5:$A$2634)+COUNT('Diário 6º PA'!$A$5:$A$2246)+ROW()-4)</f>
        <v>3744</v>
      </c>
      <c r="B1205" s="278">
        <v>44455</v>
      </c>
      <c r="C1205" s="249">
        <v>44409</v>
      </c>
      <c r="D1205" s="250" t="s">
        <v>99</v>
      </c>
      <c r="E1205" s="250" t="s">
        <v>330</v>
      </c>
      <c r="F1205" s="251">
        <v>174.04</v>
      </c>
      <c r="G1205" s="452" t="s">
        <v>554</v>
      </c>
      <c r="H1205" s="250" t="s">
        <v>128</v>
      </c>
      <c r="I1205" s="252" t="s">
        <v>1430</v>
      </c>
      <c r="J1205" s="250" t="s">
        <v>556</v>
      </c>
      <c r="K1205" s="255" t="s">
        <v>1015</v>
      </c>
      <c r="L1205" s="250" t="s">
        <v>1177</v>
      </c>
      <c r="M1205" s="277" t="s">
        <v>114</v>
      </c>
      <c r="N1205" s="278">
        <v>44455</v>
      </c>
      <c r="O1205" s="329" t="s">
        <v>67</v>
      </c>
      <c r="P1205" s="330">
        <f t="shared" si="124"/>
        <v>9</v>
      </c>
      <c r="Q1205" s="330">
        <f t="shared" si="125"/>
        <v>8</v>
      </c>
      <c r="R1205" s="331" t="str">
        <f t="shared" si="126"/>
        <v>Gastos_Gerais</v>
      </c>
      <c r="S1205" s="331" t="str">
        <f>IF(D1205="","",IF(OR(D1205=Plano!$A$1,D1205=Plano!$B$1),"entrada","saída"))</f>
        <v>saída</v>
      </c>
      <c r="T1205" s="334" t="s">
        <v>1059</v>
      </c>
      <c r="U1205" s="334">
        <v>1336</v>
      </c>
      <c r="V1205" s="269"/>
      <c r="W1205" s="269"/>
      <c r="X1205" s="269"/>
      <c r="Y1205" s="269"/>
      <c r="Z1205" s="269"/>
      <c r="AA1205" s="269"/>
      <c r="AB1205" s="269"/>
      <c r="AC1205" s="269"/>
      <c r="AD1205" s="269"/>
      <c r="AE1205" s="269"/>
      <c r="AF1205" s="269"/>
      <c r="AG1205" s="269"/>
      <c r="AH1205" s="269"/>
      <c r="AI1205" s="269"/>
      <c r="AJ1205" s="269"/>
      <c r="AK1205" s="269"/>
      <c r="AL1205" s="269"/>
      <c r="AM1205" s="269"/>
    </row>
    <row r="1206" spans="1:39" ht="122.25" customHeight="1" x14ac:dyDescent="0.2">
      <c r="A1206" s="277">
        <f>IF(B1206="","",COUNT('Diário 5º PA'!$A$5:$A$2634)+COUNT('Diário 6º PA'!$A$5:$A$2246)+ROW()-4)</f>
        <v>3745</v>
      </c>
      <c r="B1206" s="278">
        <v>44455</v>
      </c>
      <c r="C1206" s="249">
        <v>44409</v>
      </c>
      <c r="D1206" s="250" t="s">
        <v>99</v>
      </c>
      <c r="E1206" s="250" t="s">
        <v>364</v>
      </c>
      <c r="F1206" s="251">
        <v>450</v>
      </c>
      <c r="G1206" s="452" t="s">
        <v>662</v>
      </c>
      <c r="H1206" s="250" t="s">
        <v>127</v>
      </c>
      <c r="I1206" s="250" t="s">
        <v>1432</v>
      </c>
      <c r="J1206" s="250" t="s">
        <v>556</v>
      </c>
      <c r="K1206" s="255" t="s">
        <v>1015</v>
      </c>
      <c r="L1206" s="250" t="s">
        <v>1177</v>
      </c>
      <c r="M1206" s="277" t="s">
        <v>114</v>
      </c>
      <c r="N1206" s="278">
        <v>44424</v>
      </c>
      <c r="O1206" s="329" t="s">
        <v>67</v>
      </c>
      <c r="P1206" s="330">
        <f t="shared" si="124"/>
        <v>9</v>
      </c>
      <c r="Q1206" s="330">
        <f t="shared" si="125"/>
        <v>8</v>
      </c>
      <c r="R1206" s="331" t="str">
        <f t="shared" si="126"/>
        <v>Gastos_Gerais</v>
      </c>
      <c r="S1206" s="331" t="str">
        <f>IF(D1206="","",IF(OR(D1206=Plano!$A$1,D1206=Plano!$B$1),"entrada","saída"))</f>
        <v>saída</v>
      </c>
      <c r="T1206" s="334" t="s">
        <v>1059</v>
      </c>
      <c r="U1206" s="334">
        <v>1586</v>
      </c>
      <c r="V1206" s="439"/>
      <c r="W1206" s="439"/>
      <c r="X1206" s="439"/>
      <c r="Y1206" s="439"/>
      <c r="Z1206" s="439"/>
      <c r="AA1206" s="439"/>
      <c r="AB1206" s="439"/>
      <c r="AC1206" s="439"/>
      <c r="AD1206" s="439"/>
      <c r="AE1206" s="439"/>
      <c r="AF1206" s="439"/>
      <c r="AG1206" s="439"/>
      <c r="AH1206" s="439"/>
      <c r="AI1206" s="439"/>
      <c r="AJ1206" s="439"/>
      <c r="AK1206" s="439"/>
      <c r="AL1206" s="439"/>
      <c r="AM1206" s="439"/>
    </row>
    <row r="1207" spans="1:39" ht="61.5" customHeight="1" x14ac:dyDescent="0.2">
      <c r="A1207" s="277">
        <f>IF(B1207="","",COUNT('Diário 5º PA'!$A$5:$A$2634)+COUNT('Diário 6º PA'!$A$5:$A$2246)+ROW()-4)</f>
        <v>3746</v>
      </c>
      <c r="B1207" s="278">
        <v>44455</v>
      </c>
      <c r="C1207" s="355">
        <v>44440</v>
      </c>
      <c r="D1207" s="250" t="s">
        <v>99</v>
      </c>
      <c r="E1207" s="250" t="s">
        <v>330</v>
      </c>
      <c r="F1207" s="251">
        <v>151.41999999999999</v>
      </c>
      <c r="G1207" s="452" t="s">
        <v>2419</v>
      </c>
      <c r="H1207" s="250" t="s">
        <v>114</v>
      </c>
      <c r="I1207" s="252" t="s">
        <v>1032</v>
      </c>
      <c r="J1207" s="252" t="s">
        <v>1033</v>
      </c>
      <c r="K1207" s="255" t="s">
        <v>560</v>
      </c>
      <c r="L1207" s="252" t="s">
        <v>1016</v>
      </c>
      <c r="M1207" s="447" t="s">
        <v>5347</v>
      </c>
      <c r="N1207" s="464">
        <v>44459</v>
      </c>
      <c r="O1207" s="329" t="s">
        <v>67</v>
      </c>
      <c r="P1207" s="330">
        <f t="shared" si="124"/>
        <v>9</v>
      </c>
      <c r="Q1207" s="330">
        <f t="shared" si="125"/>
        <v>9</v>
      </c>
      <c r="R1207" s="331" t="str">
        <f t="shared" si="126"/>
        <v>Gastos_Gerais</v>
      </c>
      <c r="S1207" s="331" t="str">
        <f>IF(D1207="","",IF(OR(D1207=Plano!$A$1,D1207=Plano!$B$1),"entrada","saída"))</f>
        <v>saída</v>
      </c>
      <c r="T1207" s="334" t="s">
        <v>114</v>
      </c>
      <c r="U1207" s="334" t="s">
        <v>114</v>
      </c>
      <c r="V1207" s="269"/>
      <c r="W1207" s="269"/>
      <c r="X1207" s="269"/>
      <c r="Y1207" s="269"/>
      <c r="Z1207" s="269"/>
      <c r="AA1207" s="269"/>
      <c r="AB1207" s="269"/>
      <c r="AC1207" s="269"/>
      <c r="AD1207" s="269"/>
      <c r="AE1207" s="269"/>
      <c r="AF1207" s="269"/>
      <c r="AG1207" s="269"/>
      <c r="AH1207" s="269"/>
      <c r="AI1207" s="269"/>
      <c r="AJ1207" s="269"/>
      <c r="AK1207" s="269"/>
      <c r="AL1207" s="269"/>
      <c r="AM1207" s="269"/>
    </row>
    <row r="1208" spans="1:39" ht="199.5" customHeight="1" x14ac:dyDescent="0.2">
      <c r="A1208" s="277">
        <f>IF(B1208="","",COUNT('Diário 5º PA'!$A$5:$A$2634)+COUNT('Diário 6º PA'!$A$5:$A$2246)+ROW()-4)</f>
        <v>3747</v>
      </c>
      <c r="B1208" s="278">
        <v>44455</v>
      </c>
      <c r="C1208" s="249">
        <v>44409</v>
      </c>
      <c r="D1208" s="255" t="s">
        <v>99</v>
      </c>
      <c r="E1208" s="255" t="s">
        <v>364</v>
      </c>
      <c r="F1208" s="258">
        <v>2750</v>
      </c>
      <c r="G1208" s="452" t="s">
        <v>1721</v>
      </c>
      <c r="H1208" s="250" t="s">
        <v>132</v>
      </c>
      <c r="I1208" s="252" t="s">
        <v>1722</v>
      </c>
      <c r="J1208" s="252" t="s">
        <v>1723</v>
      </c>
      <c r="K1208" s="255" t="s">
        <v>991</v>
      </c>
      <c r="L1208" s="250" t="s">
        <v>1016</v>
      </c>
      <c r="M1208" s="277" t="s">
        <v>1061</v>
      </c>
      <c r="N1208" s="278">
        <v>44454</v>
      </c>
      <c r="O1208" s="329" t="s">
        <v>67</v>
      </c>
      <c r="P1208" s="330">
        <f t="shared" si="124"/>
        <v>9</v>
      </c>
      <c r="Q1208" s="330">
        <f t="shared" si="125"/>
        <v>8</v>
      </c>
      <c r="R1208" s="331" t="str">
        <f t="shared" si="126"/>
        <v>Gastos_Gerais</v>
      </c>
      <c r="S1208" s="331" t="str">
        <f>IF(D1208="","",IF(OR(D1208=Plano!$A$1,D1208=Plano!$B$1),"entrada","saída"))</f>
        <v>saída</v>
      </c>
      <c r="T1208" s="334" t="s">
        <v>1059</v>
      </c>
      <c r="U1208" s="334">
        <v>1627</v>
      </c>
      <c r="V1208" s="269"/>
      <c r="W1208" s="269"/>
      <c r="X1208" s="269"/>
      <c r="Y1208" s="269"/>
      <c r="Z1208" s="269"/>
      <c r="AA1208" s="269"/>
      <c r="AB1208" s="269"/>
      <c r="AC1208" s="269"/>
      <c r="AD1208" s="269"/>
      <c r="AE1208" s="269"/>
      <c r="AF1208" s="269"/>
      <c r="AG1208" s="269"/>
      <c r="AH1208" s="269"/>
      <c r="AI1208" s="269"/>
      <c r="AJ1208" s="269"/>
      <c r="AK1208" s="269"/>
      <c r="AL1208" s="269"/>
      <c r="AM1208" s="269"/>
    </row>
    <row r="1209" spans="1:39" ht="156.75" customHeight="1" x14ac:dyDescent="0.2">
      <c r="A1209" s="277">
        <f>IF(B1209="","",COUNT('Diário 5º PA'!$A$5:$A$2634)+COUNT('Diário 6º PA'!$A$5:$A$2246)+ROW()-4)</f>
        <v>3748</v>
      </c>
      <c r="B1209" s="278">
        <v>44455</v>
      </c>
      <c r="C1209" s="249">
        <v>44409</v>
      </c>
      <c r="D1209" s="255" t="s">
        <v>99</v>
      </c>
      <c r="E1209" s="255" t="s">
        <v>358</v>
      </c>
      <c r="F1209" s="258">
        <v>504</v>
      </c>
      <c r="G1209" s="452" t="s">
        <v>2420</v>
      </c>
      <c r="H1209" s="250" t="s">
        <v>126</v>
      </c>
      <c r="I1209" s="252" t="s">
        <v>2421</v>
      </c>
      <c r="J1209" s="252" t="s">
        <v>2422</v>
      </c>
      <c r="K1209" s="255" t="s">
        <v>991</v>
      </c>
      <c r="L1209" s="250" t="s">
        <v>1029</v>
      </c>
      <c r="M1209" s="277">
        <v>1333</v>
      </c>
      <c r="N1209" s="278">
        <v>44454</v>
      </c>
      <c r="O1209" s="329" t="s">
        <v>67</v>
      </c>
      <c r="P1209" s="330">
        <f t="shared" si="124"/>
        <v>9</v>
      </c>
      <c r="Q1209" s="330">
        <f t="shared" si="125"/>
        <v>8</v>
      </c>
      <c r="R1209" s="331" t="str">
        <f t="shared" si="126"/>
        <v>Gastos_Gerais</v>
      </c>
      <c r="S1209" s="331" t="str">
        <f>IF(D1209="","",IF(OR(D1209=Plano!$A$1,D1209=Plano!$B$1),"entrada","saída"))</f>
        <v>saída</v>
      </c>
      <c r="T1209" s="334" t="s">
        <v>994</v>
      </c>
      <c r="U1209" s="334">
        <v>1920</v>
      </c>
      <c r="V1209" s="269"/>
      <c r="W1209" s="269"/>
      <c r="X1209" s="269"/>
      <c r="Y1209" s="269"/>
      <c r="Z1209" s="269"/>
      <c r="AA1209" s="269"/>
      <c r="AB1209" s="269"/>
      <c r="AC1209" s="269"/>
      <c r="AD1209" s="269"/>
      <c r="AE1209" s="269"/>
      <c r="AF1209" s="269"/>
      <c r="AG1209" s="269"/>
      <c r="AH1209" s="269"/>
      <c r="AI1209" s="269"/>
      <c r="AJ1209" s="269"/>
      <c r="AK1209" s="269"/>
      <c r="AL1209" s="269"/>
      <c r="AM1209" s="269"/>
    </row>
    <row r="1210" spans="1:39" ht="94.5" customHeight="1" x14ac:dyDescent="0.2">
      <c r="A1210" s="277">
        <f>IF(B1210="","",COUNT('Diário 5º PA'!$A$5:$A$2634)+COUNT('Diário 6º PA'!$A$5:$A$2246)+ROW()-4)</f>
        <v>3749</v>
      </c>
      <c r="B1210" s="278">
        <v>44455</v>
      </c>
      <c r="C1210" s="249">
        <v>44440</v>
      </c>
      <c r="D1210" s="255" t="s">
        <v>99</v>
      </c>
      <c r="E1210" s="255" t="s">
        <v>340</v>
      </c>
      <c r="F1210" s="258">
        <v>81.760000000000005</v>
      </c>
      <c r="G1210" s="452" t="s">
        <v>2423</v>
      </c>
      <c r="H1210" s="250" t="s">
        <v>118</v>
      </c>
      <c r="I1210" s="252" t="s">
        <v>2424</v>
      </c>
      <c r="J1210" s="252" t="s">
        <v>2425</v>
      </c>
      <c r="K1210" s="255" t="s">
        <v>991</v>
      </c>
      <c r="L1210" s="250" t="s">
        <v>992</v>
      </c>
      <c r="M1210" s="447">
        <v>74676</v>
      </c>
      <c r="N1210" s="464">
        <v>44459</v>
      </c>
      <c r="O1210" s="329" t="s">
        <v>67</v>
      </c>
      <c r="P1210" s="330">
        <f t="shared" si="124"/>
        <v>9</v>
      </c>
      <c r="Q1210" s="330">
        <f t="shared" si="125"/>
        <v>9</v>
      </c>
      <c r="R1210" s="331" t="str">
        <f t="shared" si="126"/>
        <v>Gastos_Gerais</v>
      </c>
      <c r="S1210" s="331" t="str">
        <f>IF(D1210="","",IF(OR(D1210=Plano!$A$1,D1210=Plano!$B$1),"entrada","saída"))</f>
        <v>saída</v>
      </c>
      <c r="T1210" s="334" t="s">
        <v>1011</v>
      </c>
      <c r="U1210" s="334">
        <v>2073</v>
      </c>
      <c r="V1210" s="269"/>
      <c r="W1210" s="269"/>
      <c r="X1210" s="269"/>
      <c r="Y1210" s="269"/>
      <c r="Z1210" s="269"/>
      <c r="AA1210" s="269"/>
      <c r="AB1210" s="269"/>
      <c r="AC1210" s="269"/>
      <c r="AD1210" s="269"/>
      <c r="AE1210" s="269"/>
      <c r="AF1210" s="269"/>
      <c r="AG1210" s="269"/>
      <c r="AH1210" s="269"/>
      <c r="AI1210" s="269"/>
      <c r="AJ1210" s="269"/>
      <c r="AK1210" s="269"/>
      <c r="AL1210" s="269"/>
      <c r="AM1210" s="269"/>
    </row>
    <row r="1211" spans="1:39" ht="168" customHeight="1" x14ac:dyDescent="0.2">
      <c r="A1211" s="277">
        <f>IF(B1211="","",COUNT('Diário 5º PA'!$A$5:$A$2634)+COUNT('Diário 6º PA'!$A$5:$A$2246)+ROW()-4)</f>
        <v>3750</v>
      </c>
      <c r="B1211" s="278">
        <v>44455</v>
      </c>
      <c r="C1211" s="249">
        <v>44256</v>
      </c>
      <c r="D1211" s="255" t="s">
        <v>99</v>
      </c>
      <c r="E1211" s="255" t="s">
        <v>360</v>
      </c>
      <c r="F1211" s="258">
        <v>5634.42</v>
      </c>
      <c r="G1211" s="452" t="s">
        <v>2426</v>
      </c>
      <c r="H1211" s="250" t="s">
        <v>131</v>
      </c>
      <c r="I1211" s="252" t="s">
        <v>2427</v>
      </c>
      <c r="J1211" s="252" t="s">
        <v>2428</v>
      </c>
      <c r="K1211" s="255" t="s">
        <v>991</v>
      </c>
      <c r="L1211" s="250" t="s">
        <v>1016</v>
      </c>
      <c r="M1211" s="277" t="s">
        <v>2429</v>
      </c>
      <c r="N1211" s="278">
        <v>44455</v>
      </c>
      <c r="O1211" s="329" t="s">
        <v>67</v>
      </c>
      <c r="P1211" s="330">
        <f t="shared" si="124"/>
        <v>9</v>
      </c>
      <c r="Q1211" s="330">
        <f t="shared" si="125"/>
        <v>3</v>
      </c>
      <c r="R1211" s="331" t="str">
        <f t="shared" si="126"/>
        <v>Gastos_Gerais</v>
      </c>
      <c r="S1211" s="331" t="str">
        <f>IF(D1211="","",IF(OR(D1211=Plano!$A$1,D1211=Plano!$B$1),"entrada","saída"))</f>
        <v>saída</v>
      </c>
      <c r="T1211" s="334" t="s">
        <v>994</v>
      </c>
      <c r="U1211" s="334">
        <v>1331</v>
      </c>
      <c r="V1211" s="269"/>
      <c r="W1211" s="269"/>
      <c r="X1211" s="269"/>
      <c r="Y1211" s="269"/>
      <c r="Z1211" s="269"/>
      <c r="AA1211" s="269"/>
      <c r="AB1211" s="269"/>
      <c r="AC1211" s="269"/>
      <c r="AD1211" s="269"/>
      <c r="AE1211" s="269"/>
      <c r="AF1211" s="269"/>
      <c r="AG1211" s="269"/>
      <c r="AH1211" s="269"/>
      <c r="AI1211" s="269"/>
      <c r="AJ1211" s="269"/>
      <c r="AK1211" s="269"/>
      <c r="AL1211" s="269"/>
      <c r="AM1211" s="269"/>
    </row>
    <row r="1212" spans="1:39" ht="45" customHeight="1" x14ac:dyDescent="0.2">
      <c r="A1212" s="277">
        <f>IF(B1212="","",COUNT('Diário 5º PA'!$A$5:$A$2634)+COUNT('Diário 6º PA'!$A$5:$A$2246)+ROW()-4)</f>
        <v>3751</v>
      </c>
      <c r="B1212" s="278">
        <v>44455</v>
      </c>
      <c r="C1212" s="335">
        <v>44440</v>
      </c>
      <c r="D1212" s="255" t="s">
        <v>99</v>
      </c>
      <c r="E1212" s="255" t="s">
        <v>272</v>
      </c>
      <c r="F1212" s="258">
        <v>10.45</v>
      </c>
      <c r="G1212" s="450" t="s">
        <v>2430</v>
      </c>
      <c r="H1212" s="250" t="s">
        <v>132</v>
      </c>
      <c r="I1212" s="250" t="s">
        <v>949</v>
      </c>
      <c r="J1212" s="255" t="s">
        <v>950</v>
      </c>
      <c r="K1212" s="255" t="s">
        <v>951</v>
      </c>
      <c r="L1212" s="250" t="s">
        <v>947</v>
      </c>
      <c r="M1212" s="336" t="s">
        <v>114</v>
      </c>
      <c r="N1212" s="278">
        <v>44455</v>
      </c>
      <c r="O1212" s="329" t="s">
        <v>67</v>
      </c>
      <c r="P1212" s="330">
        <f t="shared" si="124"/>
        <v>9</v>
      </c>
      <c r="Q1212" s="330">
        <f t="shared" si="125"/>
        <v>9</v>
      </c>
      <c r="R1212" s="331" t="str">
        <f t="shared" si="126"/>
        <v>Gastos_Gerais</v>
      </c>
      <c r="S1212" s="331" t="str">
        <f>IF(D1212="","",IF(OR(D1212=Plano!$A$1,D1212=Plano!$B$1),"entrada","saída"))</f>
        <v>saída</v>
      </c>
      <c r="T1212" s="334" t="s">
        <v>114</v>
      </c>
      <c r="U1212" s="334" t="s">
        <v>114</v>
      </c>
      <c r="V1212" s="269"/>
      <c r="W1212" s="269"/>
      <c r="X1212" s="269"/>
      <c r="Y1212" s="269"/>
      <c r="Z1212" s="269"/>
      <c r="AA1212" s="269"/>
      <c r="AB1212" s="269"/>
      <c r="AC1212" s="269"/>
      <c r="AD1212" s="269"/>
      <c r="AE1212" s="269"/>
      <c r="AF1212" s="269"/>
      <c r="AG1212" s="269"/>
      <c r="AH1212" s="269"/>
      <c r="AI1212" s="269"/>
      <c r="AJ1212" s="269"/>
      <c r="AK1212" s="269"/>
      <c r="AL1212" s="269"/>
      <c r="AM1212" s="269"/>
    </row>
    <row r="1213" spans="1:39" ht="45" customHeight="1" x14ac:dyDescent="0.2">
      <c r="A1213" s="277">
        <f>IF(B1213="","",COUNT('Diário 5º PA'!$A$5:$A$2634)+COUNT('Diário 6º PA'!$A$5:$A$2246)+ROW()-4)</f>
        <v>3752</v>
      </c>
      <c r="B1213" s="278">
        <v>44455</v>
      </c>
      <c r="C1213" s="335">
        <v>44440</v>
      </c>
      <c r="D1213" s="255" t="s">
        <v>99</v>
      </c>
      <c r="E1213" s="255" t="s">
        <v>272</v>
      </c>
      <c r="F1213" s="258">
        <v>10.45</v>
      </c>
      <c r="G1213" s="450" t="s">
        <v>2431</v>
      </c>
      <c r="H1213" s="250" t="s">
        <v>126</v>
      </c>
      <c r="I1213" s="250" t="s">
        <v>949</v>
      </c>
      <c r="J1213" s="255" t="s">
        <v>950</v>
      </c>
      <c r="K1213" s="255" t="s">
        <v>951</v>
      </c>
      <c r="L1213" s="250" t="s">
        <v>947</v>
      </c>
      <c r="M1213" s="336" t="s">
        <v>114</v>
      </c>
      <c r="N1213" s="278">
        <v>44455</v>
      </c>
      <c r="O1213" s="329" t="s">
        <v>67</v>
      </c>
      <c r="P1213" s="330">
        <f t="shared" si="124"/>
        <v>9</v>
      </c>
      <c r="Q1213" s="330">
        <f t="shared" si="125"/>
        <v>9</v>
      </c>
      <c r="R1213" s="331" t="str">
        <f t="shared" si="126"/>
        <v>Gastos_Gerais</v>
      </c>
      <c r="S1213" s="331" t="str">
        <f>IF(D1213="","",IF(OR(D1213=Plano!$A$1,D1213=Plano!$B$1),"entrada","saída"))</f>
        <v>saída</v>
      </c>
      <c r="T1213" s="334" t="s">
        <v>114</v>
      </c>
      <c r="U1213" s="334" t="s">
        <v>114</v>
      </c>
      <c r="V1213" s="269"/>
      <c r="W1213" s="269"/>
      <c r="X1213" s="269"/>
      <c r="Y1213" s="269"/>
      <c r="Z1213" s="269"/>
      <c r="AA1213" s="269"/>
      <c r="AB1213" s="269"/>
      <c r="AC1213" s="269"/>
      <c r="AD1213" s="269"/>
      <c r="AE1213" s="269"/>
      <c r="AF1213" s="269"/>
      <c r="AG1213" s="269"/>
      <c r="AH1213" s="269"/>
      <c r="AI1213" s="269"/>
      <c r="AJ1213" s="269"/>
      <c r="AK1213" s="269"/>
      <c r="AL1213" s="269"/>
      <c r="AM1213" s="269"/>
    </row>
    <row r="1214" spans="1:39" ht="45" customHeight="1" x14ac:dyDescent="0.2">
      <c r="A1214" s="277">
        <f>IF(B1214="","",COUNT('Diário 5º PA'!$A$5:$A$2634)+COUNT('Diário 6º PA'!$A$5:$A$2246)+ROW()-4)</f>
        <v>3753</v>
      </c>
      <c r="B1214" s="278">
        <v>44455</v>
      </c>
      <c r="C1214" s="335">
        <v>44440</v>
      </c>
      <c r="D1214" s="255" t="s">
        <v>99</v>
      </c>
      <c r="E1214" s="255" t="s">
        <v>272</v>
      </c>
      <c r="F1214" s="258">
        <v>10.45</v>
      </c>
      <c r="G1214" s="450" t="s">
        <v>2432</v>
      </c>
      <c r="H1214" s="250" t="s">
        <v>118</v>
      </c>
      <c r="I1214" s="250" t="s">
        <v>949</v>
      </c>
      <c r="J1214" s="255" t="s">
        <v>950</v>
      </c>
      <c r="K1214" s="255" t="s">
        <v>951</v>
      </c>
      <c r="L1214" s="250" t="s">
        <v>947</v>
      </c>
      <c r="M1214" s="336" t="s">
        <v>114</v>
      </c>
      <c r="N1214" s="278">
        <v>44455</v>
      </c>
      <c r="O1214" s="329" t="s">
        <v>67</v>
      </c>
      <c r="P1214" s="330">
        <f t="shared" si="124"/>
        <v>9</v>
      </c>
      <c r="Q1214" s="330">
        <f t="shared" si="125"/>
        <v>9</v>
      </c>
      <c r="R1214" s="331" t="str">
        <f t="shared" si="126"/>
        <v>Gastos_Gerais</v>
      </c>
      <c r="S1214" s="331" t="str">
        <f>IF(D1214="","",IF(OR(D1214=Plano!$A$1,D1214=Plano!$B$1),"entrada","saída"))</f>
        <v>saída</v>
      </c>
      <c r="T1214" s="334" t="s">
        <v>114</v>
      </c>
      <c r="U1214" s="334" t="s">
        <v>114</v>
      </c>
      <c r="V1214" s="269"/>
      <c r="W1214" s="269"/>
      <c r="X1214" s="269"/>
      <c r="Y1214" s="269"/>
      <c r="Z1214" s="269"/>
      <c r="AA1214" s="269"/>
      <c r="AB1214" s="269"/>
      <c r="AC1214" s="269"/>
      <c r="AD1214" s="269"/>
      <c r="AE1214" s="269"/>
      <c r="AF1214" s="269"/>
      <c r="AG1214" s="269"/>
      <c r="AH1214" s="269"/>
      <c r="AI1214" s="269"/>
      <c r="AJ1214" s="269"/>
      <c r="AK1214" s="269"/>
      <c r="AL1214" s="269"/>
      <c r="AM1214" s="269"/>
    </row>
    <row r="1215" spans="1:39" ht="55.5" customHeight="1" x14ac:dyDescent="0.2">
      <c r="A1215" s="277">
        <f>IF(B1215="","",COUNT('Diário 5º PA'!$A$5:$A$2634)+COUNT('Diário 6º PA'!$A$5:$A$2246)+ROW()-4)</f>
        <v>3754</v>
      </c>
      <c r="B1215" s="278">
        <v>44455</v>
      </c>
      <c r="C1215" s="335">
        <v>44440</v>
      </c>
      <c r="D1215" s="255" t="s">
        <v>99</v>
      </c>
      <c r="E1215" s="255" t="s">
        <v>272</v>
      </c>
      <c r="F1215" s="258">
        <v>10.45</v>
      </c>
      <c r="G1215" s="450" t="s">
        <v>2433</v>
      </c>
      <c r="H1215" s="250" t="s">
        <v>131</v>
      </c>
      <c r="I1215" s="250" t="s">
        <v>949</v>
      </c>
      <c r="J1215" s="255" t="s">
        <v>950</v>
      </c>
      <c r="K1215" s="255" t="s">
        <v>951</v>
      </c>
      <c r="L1215" s="250" t="s">
        <v>947</v>
      </c>
      <c r="M1215" s="336" t="s">
        <v>114</v>
      </c>
      <c r="N1215" s="278">
        <v>44455</v>
      </c>
      <c r="O1215" s="329" t="s">
        <v>67</v>
      </c>
      <c r="P1215" s="330">
        <f t="shared" si="124"/>
        <v>9</v>
      </c>
      <c r="Q1215" s="330">
        <f t="shared" si="125"/>
        <v>9</v>
      </c>
      <c r="R1215" s="331" t="str">
        <f t="shared" si="126"/>
        <v>Gastos_Gerais</v>
      </c>
      <c r="S1215" s="331" t="str">
        <f>IF(D1215="","",IF(OR(D1215=Plano!$A$1,D1215=Plano!$B$1),"entrada","saída"))</f>
        <v>saída</v>
      </c>
      <c r="T1215" s="334" t="s">
        <v>114</v>
      </c>
      <c r="U1215" s="334" t="s">
        <v>114</v>
      </c>
      <c r="V1215" s="269"/>
      <c r="W1215" s="269"/>
      <c r="X1215" s="269"/>
      <c r="Y1215" s="269"/>
      <c r="Z1215" s="269"/>
      <c r="AA1215" s="269"/>
      <c r="AB1215" s="269"/>
      <c r="AC1215" s="269"/>
      <c r="AD1215" s="269"/>
      <c r="AE1215" s="269"/>
      <c r="AF1215" s="269"/>
      <c r="AG1215" s="269"/>
      <c r="AH1215" s="269"/>
      <c r="AI1215" s="269"/>
      <c r="AJ1215" s="269"/>
      <c r="AK1215" s="269"/>
      <c r="AL1215" s="269"/>
      <c r="AM1215" s="269"/>
    </row>
    <row r="1216" spans="1:39" s="478" customFormat="1" ht="111.75" customHeight="1" x14ac:dyDescent="0.2">
      <c r="A1216" s="277">
        <f>IF(B1216="","",COUNT('Diário 5º PA'!$A$5:$A$2634)+COUNT('Diário 6º PA'!$A$5:$A$2246)+ROW()-4)</f>
        <v>3755</v>
      </c>
      <c r="B1216" s="278">
        <v>44455</v>
      </c>
      <c r="C1216" s="335">
        <v>44378</v>
      </c>
      <c r="D1216" s="255" t="s">
        <v>104</v>
      </c>
      <c r="E1216" s="255" t="s">
        <v>104</v>
      </c>
      <c r="F1216" s="258">
        <v>56686.5</v>
      </c>
      <c r="G1216" s="450" t="s">
        <v>5482</v>
      </c>
      <c r="H1216" s="250" t="s">
        <v>104</v>
      </c>
      <c r="I1216" s="250" t="s">
        <v>5483</v>
      </c>
      <c r="J1216" s="255" t="s">
        <v>5484</v>
      </c>
      <c r="K1216" s="255" t="s">
        <v>991</v>
      </c>
      <c r="L1216" s="250" t="s">
        <v>992</v>
      </c>
      <c r="M1216" s="336">
        <v>22</v>
      </c>
      <c r="N1216" s="278">
        <v>44454</v>
      </c>
      <c r="O1216" s="329" t="s">
        <v>5377</v>
      </c>
      <c r="P1216" s="330">
        <f t="shared" ref="P1216" si="139">IF(B1216=0,0,IF(YEAR(B1216)=$Q$1,MONTH(B1216)-$P$1+1,(YEAR(B1216)-$Q$1)*12-$P$1+1+MONTH(B1216)))</f>
        <v>9</v>
      </c>
      <c r="Q1216" s="330">
        <f t="shared" ref="Q1216" si="140">IF(C1216=0,0,IF(YEAR(C1216)=$Q$1,MONTH(C1216)-$P$1+1,(YEAR(C1216)-$Q$1)*12-$P$1+1+MONTH(C1216)))</f>
        <v>7</v>
      </c>
      <c r="R1216" s="331" t="str">
        <f t="shared" ref="R1216" si="141">SUBSTITUTE(D1216," ","_")</f>
        <v>Gastos_custeados_por_captação</v>
      </c>
      <c r="S1216" s="331" t="str">
        <f>IF(D1216="","",IF(OR(D1216=Plano!$A$1,D1216=Plano!$B$1),"entrada","saída"))</f>
        <v>saída</v>
      </c>
      <c r="T1216" s="334" t="s">
        <v>1082</v>
      </c>
      <c r="U1216" s="334">
        <v>1719</v>
      </c>
      <c r="V1216" s="439"/>
      <c r="W1216" s="439"/>
      <c r="X1216" s="439"/>
      <c r="Y1216" s="439"/>
      <c r="Z1216" s="439"/>
      <c r="AA1216" s="439"/>
      <c r="AB1216" s="439"/>
      <c r="AC1216" s="439"/>
      <c r="AD1216" s="439"/>
      <c r="AE1216" s="439"/>
      <c r="AF1216" s="439"/>
      <c r="AG1216" s="439"/>
      <c r="AH1216" s="439"/>
      <c r="AI1216" s="439"/>
      <c r="AJ1216" s="439"/>
      <c r="AK1216" s="439"/>
      <c r="AL1216" s="439"/>
      <c r="AM1216" s="439"/>
    </row>
    <row r="1217" spans="1:39" ht="112.5" customHeight="1" x14ac:dyDescent="0.2">
      <c r="A1217" s="277">
        <f>IF(B1217="","",COUNT('Diário 5º PA'!$A$5:$A$2634)+COUNT('Diário 6º PA'!$A$5:$A$2246)+ROW()-4)</f>
        <v>3756</v>
      </c>
      <c r="B1217" s="278">
        <v>44456</v>
      </c>
      <c r="C1217" s="335">
        <v>44409</v>
      </c>
      <c r="D1217" s="255" t="s">
        <v>99</v>
      </c>
      <c r="E1217" s="255" t="s">
        <v>290</v>
      </c>
      <c r="F1217" s="258">
        <v>-731.56</v>
      </c>
      <c r="G1217" s="450" t="s">
        <v>5161</v>
      </c>
      <c r="H1217" s="252" t="s">
        <v>115</v>
      </c>
      <c r="I1217" s="250" t="s">
        <v>983</v>
      </c>
      <c r="J1217" s="255" t="s">
        <v>850</v>
      </c>
      <c r="K1217" s="255" t="s">
        <v>946</v>
      </c>
      <c r="L1217" s="250" t="s">
        <v>947</v>
      </c>
      <c r="M1217" s="277" t="s">
        <v>114</v>
      </c>
      <c r="N1217" s="278">
        <v>44456</v>
      </c>
      <c r="O1217" s="329" t="s">
        <v>67</v>
      </c>
      <c r="P1217" s="330">
        <f t="shared" si="124"/>
        <v>9</v>
      </c>
      <c r="Q1217" s="330">
        <f t="shared" si="125"/>
        <v>8</v>
      </c>
      <c r="R1217" s="331" t="str">
        <f t="shared" si="126"/>
        <v>Gastos_Gerais</v>
      </c>
      <c r="S1217" s="331" t="str">
        <f>IF(D1217="","",IF(OR(D1217=Plano!$A$1,D1217=Plano!$B$1),"entrada","saída"))</f>
        <v>saída</v>
      </c>
      <c r="T1217" s="332" t="s">
        <v>114</v>
      </c>
      <c r="U1217" s="332" t="s">
        <v>114</v>
      </c>
      <c r="V1217" s="269"/>
      <c r="W1217" s="269"/>
      <c r="X1217" s="269"/>
      <c r="Y1217" s="269"/>
      <c r="Z1217" s="269"/>
      <c r="AA1217" s="269"/>
      <c r="AB1217" s="269"/>
      <c r="AC1217" s="269"/>
      <c r="AD1217" s="269"/>
      <c r="AE1217" s="269"/>
      <c r="AF1217" s="269"/>
      <c r="AG1217" s="269"/>
      <c r="AH1217" s="269"/>
      <c r="AI1217" s="269"/>
      <c r="AJ1217" s="269"/>
      <c r="AK1217" s="269"/>
      <c r="AL1217" s="269"/>
      <c r="AM1217" s="269"/>
    </row>
    <row r="1218" spans="1:39" ht="65.25" customHeight="1" x14ac:dyDescent="0.2">
      <c r="A1218" s="277">
        <f>IF(B1218="","",COUNT('Diário 5º PA'!$A$5:$A$2634)+COUNT('Diário 6º PA'!$A$5:$A$2246)+ROW()-4)</f>
        <v>3757</v>
      </c>
      <c r="B1218" s="278">
        <v>44456</v>
      </c>
      <c r="C1218" s="335">
        <v>44409</v>
      </c>
      <c r="D1218" s="255" t="s">
        <v>99</v>
      </c>
      <c r="E1218" s="255" t="s">
        <v>216</v>
      </c>
      <c r="F1218" s="258">
        <v>-96.03</v>
      </c>
      <c r="G1218" s="450" t="s">
        <v>5162</v>
      </c>
      <c r="H1218" s="255" t="s">
        <v>115</v>
      </c>
      <c r="I1218" s="250" t="s">
        <v>983</v>
      </c>
      <c r="J1218" s="255" t="s">
        <v>850</v>
      </c>
      <c r="K1218" s="255" t="s">
        <v>946</v>
      </c>
      <c r="L1218" s="250" t="s">
        <v>947</v>
      </c>
      <c r="M1218" s="277" t="s">
        <v>114</v>
      </c>
      <c r="N1218" s="278">
        <v>44456</v>
      </c>
      <c r="O1218" s="329" t="s">
        <v>67</v>
      </c>
      <c r="P1218" s="330">
        <f t="shared" si="124"/>
        <v>9</v>
      </c>
      <c r="Q1218" s="330">
        <f t="shared" si="125"/>
        <v>8</v>
      </c>
      <c r="R1218" s="331" t="str">
        <f t="shared" si="126"/>
        <v>Gastos_Gerais</v>
      </c>
      <c r="S1218" s="331" t="str">
        <f>IF(D1218="","",IF(OR(D1218=Plano!$A$1,D1218=Plano!$B$1),"entrada","saída"))</f>
        <v>saída</v>
      </c>
      <c r="T1218" s="332" t="s">
        <v>114</v>
      </c>
      <c r="U1218" s="332" t="s">
        <v>114</v>
      </c>
      <c r="V1218" s="269"/>
      <c r="W1218" s="269"/>
      <c r="X1218" s="269"/>
      <c r="Y1218" s="269"/>
      <c r="Z1218" s="269"/>
      <c r="AA1218" s="269"/>
      <c r="AB1218" s="269"/>
      <c r="AC1218" s="269"/>
      <c r="AD1218" s="269"/>
      <c r="AE1218" s="269"/>
      <c r="AF1218" s="269"/>
      <c r="AG1218" s="269"/>
      <c r="AH1218" s="269"/>
      <c r="AI1218" s="269"/>
      <c r="AJ1218" s="269"/>
      <c r="AK1218" s="269"/>
      <c r="AL1218" s="269"/>
      <c r="AM1218" s="269"/>
    </row>
    <row r="1219" spans="1:39" ht="65.25" customHeight="1" x14ac:dyDescent="0.2">
      <c r="A1219" s="277">
        <f>IF(B1219="","",COUNT('Diário 5º PA'!$A$5:$A$2634)+COUNT('Diário 6º PA'!$A$5:$A$2246)+ROW()-4)</f>
        <v>3758</v>
      </c>
      <c r="B1219" s="278">
        <v>44456</v>
      </c>
      <c r="C1219" s="335">
        <v>44409</v>
      </c>
      <c r="D1219" s="255" t="s">
        <v>99</v>
      </c>
      <c r="E1219" s="255" t="s">
        <v>222</v>
      </c>
      <c r="F1219" s="258">
        <v>-171.81</v>
      </c>
      <c r="G1219" s="450" t="s">
        <v>5163</v>
      </c>
      <c r="H1219" s="255" t="s">
        <v>115</v>
      </c>
      <c r="I1219" s="250" t="s">
        <v>983</v>
      </c>
      <c r="J1219" s="255" t="s">
        <v>850</v>
      </c>
      <c r="K1219" s="255" t="s">
        <v>946</v>
      </c>
      <c r="L1219" s="250" t="s">
        <v>947</v>
      </c>
      <c r="M1219" s="277" t="s">
        <v>114</v>
      </c>
      <c r="N1219" s="278">
        <v>44456</v>
      </c>
      <c r="O1219" s="329" t="s">
        <v>67</v>
      </c>
      <c r="P1219" s="330">
        <f t="shared" si="124"/>
        <v>9</v>
      </c>
      <c r="Q1219" s="330">
        <f t="shared" si="125"/>
        <v>8</v>
      </c>
      <c r="R1219" s="331" t="str">
        <f t="shared" si="126"/>
        <v>Gastos_Gerais</v>
      </c>
      <c r="S1219" s="331" t="str">
        <f>IF(D1219="","",IF(OR(D1219=Plano!$A$1,D1219=Plano!$B$1),"entrada","saída"))</f>
        <v>saída</v>
      </c>
      <c r="T1219" s="332" t="s">
        <v>114</v>
      </c>
      <c r="U1219" s="332" t="s">
        <v>114</v>
      </c>
      <c r="V1219" s="269"/>
      <c r="W1219" s="269"/>
      <c r="X1219" s="269"/>
      <c r="Y1219" s="269"/>
      <c r="Z1219" s="269"/>
      <c r="AA1219" s="269"/>
      <c r="AB1219" s="269"/>
      <c r="AC1219" s="269"/>
      <c r="AD1219" s="269"/>
      <c r="AE1219" s="269"/>
      <c r="AF1219" s="269"/>
      <c r="AG1219" s="269"/>
      <c r="AH1219" s="269"/>
      <c r="AI1219" s="269"/>
      <c r="AJ1219" s="269"/>
      <c r="AK1219" s="269"/>
      <c r="AL1219" s="269"/>
      <c r="AM1219" s="269"/>
    </row>
    <row r="1220" spans="1:39" ht="62.25" customHeight="1" x14ac:dyDescent="0.2">
      <c r="A1220" s="277">
        <f>IF(B1220="","",COUNT('Diário 5º PA'!$A$5:$A$2634)+COUNT('Diário 6º PA'!$A$5:$A$2246)+ROW()-4)</f>
        <v>3759</v>
      </c>
      <c r="B1220" s="278">
        <v>44456</v>
      </c>
      <c r="C1220" s="249">
        <v>44440</v>
      </c>
      <c r="D1220" s="250" t="s">
        <v>99</v>
      </c>
      <c r="E1220" s="250" t="s">
        <v>340</v>
      </c>
      <c r="F1220" s="251">
        <v>39.5</v>
      </c>
      <c r="G1220" s="452" t="s">
        <v>932</v>
      </c>
      <c r="H1220" s="250" t="s">
        <v>118</v>
      </c>
      <c r="I1220" s="250" t="s">
        <v>1025</v>
      </c>
      <c r="J1220" s="440" t="s">
        <v>933</v>
      </c>
      <c r="K1220" s="255" t="s">
        <v>1015</v>
      </c>
      <c r="L1220" s="250" t="s">
        <v>992</v>
      </c>
      <c r="M1220" s="277">
        <v>9704</v>
      </c>
      <c r="N1220" s="278">
        <v>44456</v>
      </c>
      <c r="O1220" s="329" t="s">
        <v>67</v>
      </c>
      <c r="P1220" s="330">
        <f t="shared" si="124"/>
        <v>9</v>
      </c>
      <c r="Q1220" s="330">
        <f t="shared" si="125"/>
        <v>9</v>
      </c>
      <c r="R1220" s="331" t="str">
        <f t="shared" si="126"/>
        <v>Gastos_Gerais</v>
      </c>
      <c r="S1220" s="331" t="str">
        <f>IF(D1220="","",IF(OR(D1220=Plano!$A$1,D1220=Plano!$B$1),"entrada","saída"))</f>
        <v>saída</v>
      </c>
      <c r="T1220" s="334" t="s">
        <v>1011</v>
      </c>
      <c r="U1220" s="334">
        <v>2072</v>
      </c>
      <c r="V1220" s="269"/>
      <c r="W1220" s="269"/>
      <c r="X1220" s="269"/>
      <c r="Y1220" s="269"/>
      <c r="Z1220" s="269"/>
      <c r="AA1220" s="269"/>
      <c r="AB1220" s="269"/>
      <c r="AC1220" s="269"/>
      <c r="AD1220" s="269"/>
      <c r="AE1220" s="269"/>
      <c r="AF1220" s="269"/>
      <c r="AG1220" s="269"/>
      <c r="AH1220" s="269"/>
      <c r="AI1220" s="269"/>
      <c r="AJ1220" s="269"/>
      <c r="AK1220" s="269"/>
      <c r="AL1220" s="269"/>
      <c r="AM1220" s="269"/>
    </row>
    <row r="1221" spans="1:39" ht="51.75" customHeight="1" x14ac:dyDescent="0.2">
      <c r="A1221" s="277">
        <f>IF(B1221="","",COUNT('Diário 5º PA'!$A$5:$A$2634)+COUNT('Diário 6º PA'!$A$5:$A$2246)+ROW()-4)</f>
        <v>3760</v>
      </c>
      <c r="B1221" s="278">
        <v>44456</v>
      </c>
      <c r="C1221" s="256">
        <v>44409</v>
      </c>
      <c r="D1221" s="255" t="s">
        <v>99</v>
      </c>
      <c r="E1221" s="255" t="s">
        <v>216</v>
      </c>
      <c r="F1221" s="258">
        <v>363.61</v>
      </c>
      <c r="G1221" s="450" t="s">
        <v>2214</v>
      </c>
      <c r="H1221" s="255" t="s">
        <v>115</v>
      </c>
      <c r="I1221" s="250" t="s">
        <v>513</v>
      </c>
      <c r="J1221" s="252" t="s">
        <v>514</v>
      </c>
      <c r="K1221" s="255" t="s">
        <v>696</v>
      </c>
      <c r="L1221" s="250" t="s">
        <v>697</v>
      </c>
      <c r="M1221" s="277">
        <v>63786008</v>
      </c>
      <c r="N1221" s="278">
        <v>44433</v>
      </c>
      <c r="O1221" s="329" t="s">
        <v>67</v>
      </c>
      <c r="P1221" s="330">
        <f t="shared" si="124"/>
        <v>9</v>
      </c>
      <c r="Q1221" s="330">
        <f t="shared" si="125"/>
        <v>8</v>
      </c>
      <c r="R1221" s="331" t="str">
        <f t="shared" si="126"/>
        <v>Gastos_Gerais</v>
      </c>
      <c r="S1221" s="331" t="str">
        <f>IF(D1221="","",IF(OR(D1221=Plano!$A$1,D1221=Plano!$B$1),"entrada","saída"))</f>
        <v>saída</v>
      </c>
      <c r="T1221" s="332" t="s">
        <v>114</v>
      </c>
      <c r="U1221" s="332" t="s">
        <v>114</v>
      </c>
      <c r="V1221" s="269"/>
      <c r="W1221" s="269"/>
      <c r="X1221" s="269"/>
      <c r="Y1221" s="269"/>
      <c r="Z1221" s="269"/>
      <c r="AA1221" s="269"/>
      <c r="AB1221" s="269"/>
      <c r="AC1221" s="269"/>
      <c r="AD1221" s="269"/>
      <c r="AE1221" s="269"/>
      <c r="AF1221" s="269"/>
      <c r="AG1221" s="269"/>
      <c r="AH1221" s="269"/>
      <c r="AI1221" s="269"/>
      <c r="AJ1221" s="269"/>
      <c r="AK1221" s="269"/>
      <c r="AL1221" s="269"/>
      <c r="AM1221" s="269"/>
    </row>
    <row r="1222" spans="1:39" ht="26.25" customHeight="1" x14ac:dyDescent="0.2">
      <c r="A1222" s="277">
        <f>IF(B1222="","",COUNT('Diário 5º PA'!$A$5:$A$2634)+COUNT('Diário 6º PA'!$A$5:$A$2246)+ROW()-4)</f>
        <v>3761</v>
      </c>
      <c r="B1222" s="278">
        <v>44456</v>
      </c>
      <c r="C1222" s="256">
        <v>44409</v>
      </c>
      <c r="D1222" s="255" t="s">
        <v>99</v>
      </c>
      <c r="E1222" s="255" t="s">
        <v>222</v>
      </c>
      <c r="F1222" s="258">
        <v>640.54</v>
      </c>
      <c r="G1222" s="450" t="s">
        <v>524</v>
      </c>
      <c r="H1222" s="255" t="s">
        <v>115</v>
      </c>
      <c r="I1222" s="252" t="s">
        <v>522</v>
      </c>
      <c r="J1222" s="252" t="s">
        <v>523</v>
      </c>
      <c r="K1222" s="255" t="s">
        <v>1375</v>
      </c>
      <c r="L1222" s="250" t="s">
        <v>697</v>
      </c>
      <c r="M1222" s="277" t="s">
        <v>114</v>
      </c>
      <c r="N1222" s="278">
        <v>44440</v>
      </c>
      <c r="O1222" s="329" t="s">
        <v>67</v>
      </c>
      <c r="P1222" s="330">
        <f t="shared" si="124"/>
        <v>9</v>
      </c>
      <c r="Q1222" s="330">
        <f t="shared" si="125"/>
        <v>8</v>
      </c>
      <c r="R1222" s="331" t="str">
        <f t="shared" si="126"/>
        <v>Gastos_Gerais</v>
      </c>
      <c r="S1222" s="331" t="str">
        <f>IF(D1222="","",IF(OR(D1222=Plano!$A$1,D1222=Plano!$B$1),"entrada","saída"))</f>
        <v>saída</v>
      </c>
      <c r="T1222" s="332" t="s">
        <v>114</v>
      </c>
      <c r="U1222" s="332" t="s">
        <v>114</v>
      </c>
      <c r="V1222" s="269"/>
      <c r="W1222" s="269"/>
      <c r="X1222" s="269"/>
      <c r="Y1222" s="269"/>
      <c r="Z1222" s="269"/>
      <c r="AA1222" s="269"/>
      <c r="AB1222" s="269"/>
      <c r="AC1222" s="269"/>
      <c r="AD1222" s="269"/>
      <c r="AE1222" s="269"/>
      <c r="AF1222" s="269"/>
      <c r="AG1222" s="269"/>
      <c r="AH1222" s="269"/>
      <c r="AI1222" s="269"/>
      <c r="AJ1222" s="269"/>
      <c r="AK1222" s="269"/>
      <c r="AL1222" s="269"/>
      <c r="AM1222" s="269"/>
    </row>
    <row r="1223" spans="1:39" ht="123.75" customHeight="1" x14ac:dyDescent="0.2">
      <c r="A1223" s="277">
        <f>IF(B1223="","",COUNT('Diário 5º PA'!$A$5:$A$2634)+COUNT('Diário 6º PA'!$A$5:$A$2246)+ROW()-4)</f>
        <v>3762</v>
      </c>
      <c r="B1223" s="278">
        <v>44456</v>
      </c>
      <c r="C1223" s="249">
        <v>44409</v>
      </c>
      <c r="D1223" s="250" t="s">
        <v>99</v>
      </c>
      <c r="E1223" s="250" t="s">
        <v>364</v>
      </c>
      <c r="F1223" s="251">
        <v>3200</v>
      </c>
      <c r="G1223" s="452" t="s">
        <v>704</v>
      </c>
      <c r="H1223" s="250" t="s">
        <v>118</v>
      </c>
      <c r="I1223" s="250" t="s">
        <v>1051</v>
      </c>
      <c r="J1223" s="440" t="s">
        <v>705</v>
      </c>
      <c r="K1223" s="255" t="s">
        <v>991</v>
      </c>
      <c r="L1223" s="250" t="s">
        <v>992</v>
      </c>
      <c r="M1223" s="277" t="s">
        <v>1452</v>
      </c>
      <c r="N1223" s="278">
        <v>44456</v>
      </c>
      <c r="O1223" s="329" t="s">
        <v>67</v>
      </c>
      <c r="P1223" s="330">
        <f t="shared" si="124"/>
        <v>9</v>
      </c>
      <c r="Q1223" s="330">
        <f t="shared" si="125"/>
        <v>8</v>
      </c>
      <c r="R1223" s="331" t="str">
        <f t="shared" si="126"/>
        <v>Gastos_Gerais</v>
      </c>
      <c r="S1223" s="331" t="str">
        <f>IF(D1223="","",IF(OR(D1223=Plano!$A$1,D1223=Plano!$B$1),"entrada","saída"))</f>
        <v>saída</v>
      </c>
      <c r="T1223" s="334" t="s">
        <v>994</v>
      </c>
      <c r="U1223" s="334">
        <v>1807</v>
      </c>
      <c r="V1223" s="269"/>
      <c r="W1223" s="269"/>
      <c r="X1223" s="269"/>
      <c r="Y1223" s="269"/>
      <c r="Z1223" s="269"/>
      <c r="AA1223" s="269"/>
      <c r="AB1223" s="269"/>
      <c r="AC1223" s="269"/>
      <c r="AD1223" s="269"/>
      <c r="AE1223" s="269"/>
      <c r="AF1223" s="269"/>
      <c r="AG1223" s="269"/>
      <c r="AH1223" s="269"/>
      <c r="AI1223" s="269"/>
      <c r="AJ1223" s="269"/>
      <c r="AK1223" s="269"/>
      <c r="AL1223" s="269"/>
      <c r="AM1223" s="269"/>
    </row>
    <row r="1224" spans="1:39" ht="35.25" customHeight="1" x14ac:dyDescent="0.2">
      <c r="A1224" s="277">
        <f>IF(B1224="","",COUNT('Diário 5º PA'!$A$5:$A$2634)+COUNT('Diário 6º PA'!$A$5:$A$2246)+ROW()-4)</f>
        <v>3763</v>
      </c>
      <c r="B1224" s="278">
        <v>44456</v>
      </c>
      <c r="C1224" s="335">
        <v>44440</v>
      </c>
      <c r="D1224" s="255" t="s">
        <v>88</v>
      </c>
      <c r="E1224" s="255" t="s">
        <v>192</v>
      </c>
      <c r="F1224" s="258">
        <v>497.48</v>
      </c>
      <c r="G1224" s="451" t="s">
        <v>5362</v>
      </c>
      <c r="H1224" s="255" t="s">
        <v>114</v>
      </c>
      <c r="I1224" s="252" t="s">
        <v>5164</v>
      </c>
      <c r="J1224" s="252" t="s">
        <v>3591</v>
      </c>
      <c r="K1224" s="255" t="s">
        <v>560</v>
      </c>
      <c r="L1224" s="252" t="s">
        <v>1016</v>
      </c>
      <c r="M1224" s="277" t="s">
        <v>5349</v>
      </c>
      <c r="N1224" s="278">
        <v>44459</v>
      </c>
      <c r="O1224" s="329" t="s">
        <v>67</v>
      </c>
      <c r="P1224" s="330">
        <f t="shared" si="124"/>
        <v>9</v>
      </c>
      <c r="Q1224" s="330">
        <f t="shared" si="125"/>
        <v>9</v>
      </c>
      <c r="R1224" s="331" t="str">
        <f t="shared" si="126"/>
        <v>Gastos_com_Pessoal</v>
      </c>
      <c r="S1224" s="331" t="str">
        <f>IF(D1224="","",IF(OR(D1224=Plano!$A$1,D1224=Plano!$B$1),"entrada","saída"))</f>
        <v>saída</v>
      </c>
      <c r="T1224" s="332" t="s">
        <v>114</v>
      </c>
      <c r="U1224" s="332" t="s">
        <v>114</v>
      </c>
      <c r="V1224" s="269"/>
      <c r="W1224" s="269"/>
      <c r="X1224" s="269"/>
      <c r="Y1224" s="269"/>
      <c r="Z1224" s="269"/>
      <c r="AA1224" s="269"/>
      <c r="AB1224" s="269"/>
      <c r="AC1224" s="269"/>
      <c r="AD1224" s="269"/>
      <c r="AE1224" s="269"/>
      <c r="AF1224" s="269"/>
      <c r="AG1224" s="269"/>
      <c r="AH1224" s="269"/>
      <c r="AI1224" s="269"/>
      <c r="AJ1224" s="269"/>
      <c r="AK1224" s="269"/>
      <c r="AL1224" s="269"/>
      <c r="AM1224" s="269"/>
    </row>
    <row r="1225" spans="1:39" ht="62.25" customHeight="1" x14ac:dyDescent="0.2">
      <c r="A1225" s="277">
        <f>IF(B1225="","",COUNT('Diário 5º PA'!$A$5:$A$2634)+COUNT('Diário 6º PA'!$A$5:$A$2246)+ROW()-4)</f>
        <v>3764</v>
      </c>
      <c r="B1225" s="278">
        <v>44456</v>
      </c>
      <c r="C1225" s="249">
        <v>44440</v>
      </c>
      <c r="D1225" s="250" t="s">
        <v>99</v>
      </c>
      <c r="E1225" s="250" t="s">
        <v>340</v>
      </c>
      <c r="F1225" s="251">
        <v>16.899999999999999</v>
      </c>
      <c r="G1225" s="452" t="s">
        <v>926</v>
      </c>
      <c r="H1225" s="250" t="s">
        <v>118</v>
      </c>
      <c r="I1225" s="250" t="s">
        <v>1031</v>
      </c>
      <c r="J1225" s="440" t="s">
        <v>927</v>
      </c>
      <c r="K1225" s="255" t="s">
        <v>991</v>
      </c>
      <c r="L1225" s="250" t="s">
        <v>992</v>
      </c>
      <c r="M1225" s="277">
        <v>988</v>
      </c>
      <c r="N1225" s="278">
        <v>44456</v>
      </c>
      <c r="O1225" s="329" t="s">
        <v>67</v>
      </c>
      <c r="P1225" s="330">
        <f t="shared" si="124"/>
        <v>9</v>
      </c>
      <c r="Q1225" s="330">
        <f t="shared" si="125"/>
        <v>9</v>
      </c>
      <c r="R1225" s="331" t="str">
        <f t="shared" si="126"/>
        <v>Gastos_Gerais</v>
      </c>
      <c r="S1225" s="331" t="str">
        <f>IF(D1225="","",IF(OR(D1225=Plano!$A$1,D1225=Plano!$B$1),"entrada","saída"))</f>
        <v>saída</v>
      </c>
      <c r="T1225" s="334" t="s">
        <v>1011</v>
      </c>
      <c r="U1225" s="334">
        <v>2071</v>
      </c>
      <c r="V1225" s="269"/>
      <c r="W1225" s="269"/>
      <c r="X1225" s="269"/>
      <c r="Y1225" s="269"/>
      <c r="Z1225" s="269"/>
      <c r="AA1225" s="269"/>
      <c r="AB1225" s="269"/>
      <c r="AC1225" s="269"/>
      <c r="AD1225" s="269"/>
      <c r="AE1225" s="269"/>
      <c r="AF1225" s="269"/>
      <c r="AG1225" s="269"/>
      <c r="AH1225" s="269"/>
      <c r="AI1225" s="269"/>
      <c r="AJ1225" s="269"/>
      <c r="AK1225" s="269"/>
      <c r="AL1225" s="269"/>
      <c r="AM1225" s="269"/>
    </row>
    <row r="1226" spans="1:39" ht="74.25" customHeight="1" x14ac:dyDescent="0.2">
      <c r="A1226" s="277">
        <f>IF(B1226="","",COUNT('Diário 5º PA'!$A$5:$A$2634)+COUNT('Diário 6º PA'!$A$5:$A$2246)+ROW()-4)</f>
        <v>3765</v>
      </c>
      <c r="B1226" s="278">
        <v>44456</v>
      </c>
      <c r="C1226" s="249">
        <v>44409</v>
      </c>
      <c r="D1226" s="250" t="s">
        <v>99</v>
      </c>
      <c r="E1226" s="250" t="s">
        <v>290</v>
      </c>
      <c r="F1226" s="251">
        <v>2713.21</v>
      </c>
      <c r="G1226" s="452" t="s">
        <v>923</v>
      </c>
      <c r="H1226" s="250" t="s">
        <v>115</v>
      </c>
      <c r="I1226" s="250" t="s">
        <v>1705</v>
      </c>
      <c r="J1226" s="440" t="s">
        <v>924</v>
      </c>
      <c r="K1226" s="255" t="s">
        <v>991</v>
      </c>
      <c r="L1226" s="250" t="s">
        <v>1016</v>
      </c>
      <c r="M1226" s="277" t="s">
        <v>5165</v>
      </c>
      <c r="N1226" s="278">
        <v>44456</v>
      </c>
      <c r="O1226" s="329" t="s">
        <v>67</v>
      </c>
      <c r="P1226" s="330">
        <f t="shared" si="124"/>
        <v>9</v>
      </c>
      <c r="Q1226" s="330">
        <f t="shared" si="125"/>
        <v>8</v>
      </c>
      <c r="R1226" s="331" t="str">
        <f t="shared" si="126"/>
        <v>Gastos_Gerais</v>
      </c>
      <c r="S1226" s="331" t="str">
        <f>IF(D1226="","",IF(OR(D1226=Plano!$A$1,D1226=Plano!$B$1),"entrada","saída"))</f>
        <v>saída</v>
      </c>
      <c r="T1226" s="334" t="s">
        <v>994</v>
      </c>
      <c r="U1226" s="334">
        <v>2016</v>
      </c>
      <c r="V1226" s="269"/>
      <c r="W1226" s="269"/>
      <c r="X1226" s="269"/>
      <c r="Y1226" s="269"/>
      <c r="Z1226" s="269"/>
      <c r="AA1226" s="269"/>
      <c r="AB1226" s="269"/>
      <c r="AC1226" s="269"/>
      <c r="AD1226" s="269"/>
      <c r="AE1226" s="269"/>
      <c r="AF1226" s="269"/>
      <c r="AG1226" s="269"/>
      <c r="AH1226" s="269"/>
      <c r="AI1226" s="269"/>
      <c r="AJ1226" s="269"/>
      <c r="AK1226" s="269"/>
      <c r="AL1226" s="269"/>
      <c r="AM1226" s="269"/>
    </row>
    <row r="1227" spans="1:39" ht="159" customHeight="1" x14ac:dyDescent="0.2">
      <c r="A1227" s="277">
        <f>IF(B1227="","",COUNT('Diário 5º PA'!$A$5:$A$2634)+COUNT('Diário 6º PA'!$A$5:$A$2246)+ROW()-4)</f>
        <v>3766</v>
      </c>
      <c r="B1227" s="278">
        <v>44456</v>
      </c>
      <c r="C1227" s="249">
        <v>44409</v>
      </c>
      <c r="D1227" s="250" t="s">
        <v>99</v>
      </c>
      <c r="E1227" s="250" t="s">
        <v>358</v>
      </c>
      <c r="F1227" s="251">
        <v>1998.6</v>
      </c>
      <c r="G1227" s="452" t="s">
        <v>744</v>
      </c>
      <c r="H1227" s="250" t="s">
        <v>131</v>
      </c>
      <c r="I1227" s="250" t="s">
        <v>5167</v>
      </c>
      <c r="J1227" s="440" t="s">
        <v>745</v>
      </c>
      <c r="K1227" s="255" t="s">
        <v>991</v>
      </c>
      <c r="L1227" s="250" t="s">
        <v>1029</v>
      </c>
      <c r="M1227" s="277">
        <v>1335</v>
      </c>
      <c r="N1227" s="278">
        <v>44456</v>
      </c>
      <c r="O1227" s="329" t="s">
        <v>67</v>
      </c>
      <c r="P1227" s="330">
        <f t="shared" si="124"/>
        <v>9</v>
      </c>
      <c r="Q1227" s="330">
        <f t="shared" si="125"/>
        <v>8</v>
      </c>
      <c r="R1227" s="331" t="str">
        <f t="shared" si="126"/>
        <v>Gastos_Gerais</v>
      </c>
      <c r="S1227" s="331" t="str">
        <f>IF(D1227="","",IF(OR(D1227=Plano!$A$1,D1227=Plano!$B$1),"entrada","saída"))</f>
        <v>saída</v>
      </c>
      <c r="T1227" s="334" t="s">
        <v>1059</v>
      </c>
      <c r="U1227" s="334">
        <v>1916</v>
      </c>
      <c r="V1227" s="269"/>
      <c r="W1227" s="269"/>
      <c r="X1227" s="269"/>
      <c r="Y1227" s="269"/>
      <c r="Z1227" s="269"/>
      <c r="AA1227" s="269"/>
      <c r="AB1227" s="269"/>
      <c r="AC1227" s="269"/>
      <c r="AD1227" s="269"/>
      <c r="AE1227" s="269"/>
      <c r="AF1227" s="269"/>
      <c r="AG1227" s="269"/>
      <c r="AH1227" s="269"/>
      <c r="AI1227" s="269"/>
      <c r="AJ1227" s="269"/>
      <c r="AK1227" s="269"/>
      <c r="AL1227" s="269"/>
      <c r="AM1227" s="269"/>
    </row>
    <row r="1228" spans="1:39" ht="42" customHeight="1" x14ac:dyDescent="0.2">
      <c r="A1228" s="277">
        <f>IF(B1228="","",COUNT('Diário 5º PA'!$A$5:$A$2634)+COUNT('Diário 6º PA'!$A$5:$A$2246)+ROW()-4)</f>
        <v>3767</v>
      </c>
      <c r="B1228" s="278">
        <v>44456</v>
      </c>
      <c r="C1228" s="335">
        <v>44440</v>
      </c>
      <c r="D1228" s="255" t="s">
        <v>99</v>
      </c>
      <c r="E1228" s="255" t="s">
        <v>272</v>
      </c>
      <c r="F1228" s="258">
        <v>10.45</v>
      </c>
      <c r="G1228" s="450" t="s">
        <v>5171</v>
      </c>
      <c r="H1228" s="250" t="s">
        <v>118</v>
      </c>
      <c r="I1228" s="250" t="s">
        <v>949</v>
      </c>
      <c r="J1228" s="255" t="s">
        <v>950</v>
      </c>
      <c r="K1228" s="255" t="s">
        <v>951</v>
      </c>
      <c r="L1228" s="250" t="s">
        <v>947</v>
      </c>
      <c r="M1228" s="336" t="s">
        <v>114</v>
      </c>
      <c r="N1228" s="278">
        <v>44456</v>
      </c>
      <c r="O1228" s="329" t="s">
        <v>67</v>
      </c>
      <c r="P1228" s="330">
        <f t="shared" si="124"/>
        <v>9</v>
      </c>
      <c r="Q1228" s="330">
        <f t="shared" si="125"/>
        <v>9</v>
      </c>
      <c r="R1228" s="331" t="str">
        <f t="shared" si="126"/>
        <v>Gastos_Gerais</v>
      </c>
      <c r="S1228" s="331" t="str">
        <f>IF(D1228="","",IF(OR(D1228=Plano!$A$1,D1228=Plano!$B$1),"entrada","saída"))</f>
        <v>saída</v>
      </c>
      <c r="T1228" s="334" t="s">
        <v>114</v>
      </c>
      <c r="U1228" s="334" t="s">
        <v>114</v>
      </c>
      <c r="V1228" s="269"/>
      <c r="W1228" s="269"/>
      <c r="X1228" s="269"/>
      <c r="Y1228" s="269"/>
      <c r="Z1228" s="269"/>
      <c r="AA1228" s="269"/>
      <c r="AB1228" s="269"/>
      <c r="AC1228" s="269"/>
      <c r="AD1228" s="269"/>
      <c r="AE1228" s="269"/>
      <c r="AF1228" s="269"/>
      <c r="AG1228" s="269"/>
      <c r="AH1228" s="269"/>
      <c r="AI1228" s="269"/>
      <c r="AJ1228" s="269"/>
      <c r="AK1228" s="269"/>
      <c r="AL1228" s="269"/>
      <c r="AM1228" s="269"/>
    </row>
    <row r="1229" spans="1:39" ht="47.25" customHeight="1" x14ac:dyDescent="0.2">
      <c r="A1229" s="277">
        <f>IF(B1229="","",COUNT('Diário 5º PA'!$A$5:$A$2634)+COUNT('Diário 6º PA'!$A$5:$A$2246)+ROW()-4)</f>
        <v>3768</v>
      </c>
      <c r="B1229" s="278">
        <v>44456</v>
      </c>
      <c r="C1229" s="335">
        <v>44440</v>
      </c>
      <c r="D1229" s="255" t="s">
        <v>99</v>
      </c>
      <c r="E1229" s="255" t="s">
        <v>272</v>
      </c>
      <c r="F1229" s="258">
        <v>10.45</v>
      </c>
      <c r="G1229" s="450" t="s">
        <v>5172</v>
      </c>
      <c r="H1229" s="250" t="s">
        <v>118</v>
      </c>
      <c r="I1229" s="250" t="s">
        <v>949</v>
      </c>
      <c r="J1229" s="255" t="s">
        <v>950</v>
      </c>
      <c r="K1229" s="255" t="s">
        <v>951</v>
      </c>
      <c r="L1229" s="250" t="s">
        <v>947</v>
      </c>
      <c r="M1229" s="336" t="s">
        <v>114</v>
      </c>
      <c r="N1229" s="278">
        <v>44456</v>
      </c>
      <c r="O1229" s="329" t="s">
        <v>67</v>
      </c>
      <c r="P1229" s="330">
        <f t="shared" si="124"/>
        <v>9</v>
      </c>
      <c r="Q1229" s="330">
        <f t="shared" si="125"/>
        <v>9</v>
      </c>
      <c r="R1229" s="331" t="str">
        <f t="shared" si="126"/>
        <v>Gastos_Gerais</v>
      </c>
      <c r="S1229" s="331" t="str">
        <f>IF(D1229="","",IF(OR(D1229=Plano!$A$1,D1229=Plano!$B$1),"entrada","saída"))</f>
        <v>saída</v>
      </c>
      <c r="T1229" s="334" t="s">
        <v>114</v>
      </c>
      <c r="U1229" s="334" t="s">
        <v>114</v>
      </c>
      <c r="V1229" s="269"/>
      <c r="W1229" s="269"/>
      <c r="X1229" s="269"/>
      <c r="Y1229" s="269"/>
      <c r="Z1229" s="269"/>
      <c r="AA1229" s="269"/>
      <c r="AB1229" s="269"/>
      <c r="AC1229" s="269"/>
      <c r="AD1229" s="269"/>
      <c r="AE1229" s="269"/>
      <c r="AF1229" s="269"/>
      <c r="AG1229" s="269"/>
      <c r="AH1229" s="269"/>
      <c r="AI1229" s="269"/>
      <c r="AJ1229" s="269"/>
      <c r="AK1229" s="269"/>
      <c r="AL1229" s="269"/>
      <c r="AM1229" s="269"/>
    </row>
    <row r="1230" spans="1:39" ht="46.5" customHeight="1" x14ac:dyDescent="0.2">
      <c r="A1230" s="277">
        <f>IF(B1230="","",COUNT('Diário 5º PA'!$A$5:$A$2634)+COUNT('Diário 6º PA'!$A$5:$A$2246)+ROW()-4)</f>
        <v>3769</v>
      </c>
      <c r="B1230" s="278">
        <v>44456</v>
      </c>
      <c r="C1230" s="335">
        <v>44440</v>
      </c>
      <c r="D1230" s="255" t="s">
        <v>99</v>
      </c>
      <c r="E1230" s="255" t="s">
        <v>272</v>
      </c>
      <c r="F1230" s="258">
        <v>10.45</v>
      </c>
      <c r="G1230" s="450" t="s">
        <v>5173</v>
      </c>
      <c r="H1230" s="250" t="s">
        <v>115</v>
      </c>
      <c r="I1230" s="250" t="s">
        <v>949</v>
      </c>
      <c r="J1230" s="255" t="s">
        <v>950</v>
      </c>
      <c r="K1230" s="255" t="s">
        <v>951</v>
      </c>
      <c r="L1230" s="250" t="s">
        <v>947</v>
      </c>
      <c r="M1230" s="336" t="s">
        <v>114</v>
      </c>
      <c r="N1230" s="278">
        <v>44456</v>
      </c>
      <c r="O1230" s="329" t="s">
        <v>67</v>
      </c>
      <c r="P1230" s="330">
        <f t="shared" si="124"/>
        <v>9</v>
      </c>
      <c r="Q1230" s="330">
        <f t="shared" si="125"/>
        <v>9</v>
      </c>
      <c r="R1230" s="331" t="str">
        <f t="shared" si="126"/>
        <v>Gastos_Gerais</v>
      </c>
      <c r="S1230" s="331" t="str">
        <f>IF(D1230="","",IF(OR(D1230=Plano!$A$1,D1230=Plano!$B$1),"entrada","saída"))</f>
        <v>saída</v>
      </c>
      <c r="T1230" s="334" t="s">
        <v>114</v>
      </c>
      <c r="U1230" s="334" t="s">
        <v>114</v>
      </c>
      <c r="V1230" s="269"/>
      <c r="W1230" s="269"/>
      <c r="X1230" s="269"/>
      <c r="Y1230" s="269"/>
      <c r="Z1230" s="269"/>
      <c r="AA1230" s="269"/>
      <c r="AB1230" s="269"/>
      <c r="AC1230" s="269"/>
      <c r="AD1230" s="269"/>
      <c r="AE1230" s="269"/>
      <c r="AF1230" s="269"/>
      <c r="AG1230" s="269"/>
      <c r="AH1230" s="269"/>
      <c r="AI1230" s="269"/>
      <c r="AJ1230" s="269"/>
      <c r="AK1230" s="269"/>
      <c r="AL1230" s="269"/>
      <c r="AM1230" s="269"/>
    </row>
    <row r="1231" spans="1:39" ht="53.25" customHeight="1" x14ac:dyDescent="0.2">
      <c r="A1231" s="277">
        <f>IF(B1231="","",COUNT('Diário 5º PA'!$A$5:$A$2634)+COUNT('Diário 6º PA'!$A$5:$A$2246)+ROW()-4)</f>
        <v>3770</v>
      </c>
      <c r="B1231" s="278">
        <v>44456</v>
      </c>
      <c r="C1231" s="335">
        <v>44440</v>
      </c>
      <c r="D1231" s="255" t="s">
        <v>99</v>
      </c>
      <c r="E1231" s="255" t="s">
        <v>272</v>
      </c>
      <c r="F1231" s="258">
        <v>10.45</v>
      </c>
      <c r="G1231" s="450" t="s">
        <v>5174</v>
      </c>
      <c r="H1231" s="250" t="s">
        <v>131</v>
      </c>
      <c r="I1231" s="250" t="s">
        <v>949</v>
      </c>
      <c r="J1231" s="255" t="s">
        <v>950</v>
      </c>
      <c r="K1231" s="255" t="s">
        <v>951</v>
      </c>
      <c r="L1231" s="250" t="s">
        <v>947</v>
      </c>
      <c r="M1231" s="336" t="s">
        <v>114</v>
      </c>
      <c r="N1231" s="278">
        <v>44456</v>
      </c>
      <c r="O1231" s="329" t="s">
        <v>67</v>
      </c>
      <c r="P1231" s="330">
        <f t="shared" si="124"/>
        <v>9</v>
      </c>
      <c r="Q1231" s="330">
        <f t="shared" si="125"/>
        <v>9</v>
      </c>
      <c r="R1231" s="331" t="str">
        <f t="shared" si="126"/>
        <v>Gastos_Gerais</v>
      </c>
      <c r="S1231" s="331" t="str">
        <f>IF(D1231="","",IF(OR(D1231=Plano!$A$1,D1231=Plano!$B$1),"entrada","saída"))</f>
        <v>saída</v>
      </c>
      <c r="T1231" s="334" t="s">
        <v>114</v>
      </c>
      <c r="U1231" s="334" t="s">
        <v>114</v>
      </c>
      <c r="V1231" s="269"/>
      <c r="W1231" s="269"/>
      <c r="X1231" s="269"/>
      <c r="Y1231" s="269"/>
      <c r="Z1231" s="269"/>
      <c r="AA1231" s="269"/>
      <c r="AB1231" s="269"/>
      <c r="AC1231" s="269"/>
      <c r="AD1231" s="269"/>
      <c r="AE1231" s="269"/>
      <c r="AF1231" s="269"/>
      <c r="AG1231" s="269"/>
      <c r="AH1231" s="269"/>
      <c r="AI1231" s="269"/>
      <c r="AJ1231" s="269"/>
      <c r="AK1231" s="269"/>
      <c r="AL1231" s="269"/>
      <c r="AM1231" s="269"/>
    </row>
    <row r="1232" spans="1:39" s="448" customFormat="1" ht="153" customHeight="1" x14ac:dyDescent="0.2">
      <c r="A1232" s="277">
        <f>IF(B1232="","",COUNT('Diário 5º PA'!$A$5:$A$2634)+COUNT('Diário 6º PA'!$A$5:$A$2246)+ROW()-4)</f>
        <v>3771</v>
      </c>
      <c r="B1232" s="278">
        <v>44456</v>
      </c>
      <c r="C1232" s="249">
        <v>44409</v>
      </c>
      <c r="D1232" s="250" t="s">
        <v>104</v>
      </c>
      <c r="E1232" s="250" t="s">
        <v>104</v>
      </c>
      <c r="F1232" s="251">
        <v>5869.8</v>
      </c>
      <c r="G1232" s="452" t="s">
        <v>1556</v>
      </c>
      <c r="H1232" s="250" t="s">
        <v>104</v>
      </c>
      <c r="I1232" s="250" t="s">
        <v>1557</v>
      </c>
      <c r="J1232" s="250" t="s">
        <v>1558</v>
      </c>
      <c r="K1232" s="255" t="s">
        <v>991</v>
      </c>
      <c r="L1232" s="250" t="s">
        <v>1016</v>
      </c>
      <c r="M1232" s="277" t="s">
        <v>1407</v>
      </c>
      <c r="N1232" s="278">
        <v>44456</v>
      </c>
      <c r="O1232" s="329" t="s">
        <v>70</v>
      </c>
      <c r="P1232" s="330">
        <f t="shared" si="124"/>
        <v>9</v>
      </c>
      <c r="Q1232" s="330">
        <f t="shared" si="125"/>
        <v>8</v>
      </c>
      <c r="R1232" s="331" t="str">
        <f t="shared" si="126"/>
        <v>Gastos_custeados_por_captação</v>
      </c>
      <c r="S1232" s="331" t="str">
        <f>IF(D1232="","",IF(OR(D1232=Plano!$A$1,D1232=Plano!$B$1),"entrada","saída"))</f>
        <v>saída</v>
      </c>
      <c r="T1232" s="332" t="s">
        <v>1059</v>
      </c>
      <c r="U1232" s="332">
        <v>1633</v>
      </c>
      <c r="V1232" s="439"/>
      <c r="W1232" s="439"/>
      <c r="X1232" s="439"/>
      <c r="Y1232" s="439"/>
      <c r="Z1232" s="439"/>
      <c r="AA1232" s="439"/>
      <c r="AB1232" s="439"/>
      <c r="AC1232" s="439"/>
      <c r="AD1232" s="439"/>
      <c r="AE1232" s="439"/>
      <c r="AF1232" s="439"/>
      <c r="AG1232" s="439"/>
      <c r="AH1232" s="439"/>
      <c r="AI1232" s="439"/>
      <c r="AJ1232" s="439"/>
      <c r="AK1232" s="439"/>
      <c r="AL1232" s="439"/>
      <c r="AM1232" s="439"/>
    </row>
    <row r="1233" spans="1:39" s="478" customFormat="1" ht="78.75" customHeight="1" x14ac:dyDescent="0.2">
      <c r="A1233" s="277">
        <f>IF(B1233="","",COUNT('Diário 5º PA'!$A$5:$A$2634)+COUNT('Diário 6º PA'!$A$5:$A$2246)+ROW()-4)</f>
        <v>3772</v>
      </c>
      <c r="B1233" s="278">
        <v>44456</v>
      </c>
      <c r="C1233" s="249">
        <v>44409</v>
      </c>
      <c r="D1233" s="250" t="s">
        <v>104</v>
      </c>
      <c r="E1233" s="250" t="s">
        <v>104</v>
      </c>
      <c r="F1233" s="251">
        <v>96.97</v>
      </c>
      <c r="G1233" s="452" t="s">
        <v>5486</v>
      </c>
      <c r="H1233" s="250" t="s">
        <v>104</v>
      </c>
      <c r="I1233" s="250" t="s">
        <v>1705</v>
      </c>
      <c r="J1233" s="250" t="s">
        <v>924</v>
      </c>
      <c r="K1233" s="255" t="s">
        <v>991</v>
      </c>
      <c r="L1233" s="250" t="s">
        <v>992</v>
      </c>
      <c r="M1233" s="277" t="s">
        <v>5487</v>
      </c>
      <c r="N1233" s="278">
        <v>44456</v>
      </c>
      <c r="O1233" s="329" t="s">
        <v>5377</v>
      </c>
      <c r="P1233" s="330">
        <f t="shared" ref="P1233:P1240" si="142">IF(B1233=0,0,IF(YEAR(B1233)=$Q$1,MONTH(B1233)-$P$1+1,(YEAR(B1233)-$Q$1)*12-$P$1+1+MONTH(B1233)))</f>
        <v>9</v>
      </c>
      <c r="Q1233" s="330">
        <f t="shared" ref="Q1233:Q1240" si="143">IF(C1233=0,0,IF(YEAR(C1233)=$Q$1,MONTH(C1233)-$P$1+1,(YEAR(C1233)-$Q$1)*12-$P$1+1+MONTH(C1233)))</f>
        <v>8</v>
      </c>
      <c r="R1233" s="331" t="str">
        <f t="shared" ref="R1233:R1240" si="144">SUBSTITUTE(D1233," ","_")</f>
        <v>Gastos_custeados_por_captação</v>
      </c>
      <c r="S1233" s="331" t="str">
        <f>IF(D1233="","",IF(OR(D1233=Plano!$A$1,D1233=Plano!$B$1),"entrada","saída"))</f>
        <v>saída</v>
      </c>
      <c r="T1233" s="332" t="s">
        <v>994</v>
      </c>
      <c r="U1233" s="332">
        <v>1854</v>
      </c>
      <c r="V1233" s="439"/>
      <c r="W1233" s="439"/>
      <c r="X1233" s="439"/>
      <c r="Y1233" s="439"/>
      <c r="Z1233" s="439"/>
      <c r="AA1233" s="439"/>
      <c r="AB1233" s="439"/>
      <c r="AC1233" s="439"/>
      <c r="AD1233" s="439"/>
      <c r="AE1233" s="439"/>
      <c r="AF1233" s="439"/>
      <c r="AG1233" s="439"/>
      <c r="AH1233" s="439"/>
      <c r="AI1233" s="439"/>
      <c r="AJ1233" s="439"/>
      <c r="AK1233" s="439"/>
      <c r="AL1233" s="439"/>
      <c r="AM1233" s="439"/>
    </row>
    <row r="1234" spans="1:39" s="478" customFormat="1" ht="153" customHeight="1" x14ac:dyDescent="0.2">
      <c r="A1234" s="277">
        <f>IF(B1234="","",COUNT('Diário 5º PA'!$A$5:$A$2634)+COUNT('Diário 6º PA'!$A$5:$A$2246)+ROW()-4)</f>
        <v>3773</v>
      </c>
      <c r="B1234" s="278">
        <v>44456</v>
      </c>
      <c r="C1234" s="249">
        <v>44409</v>
      </c>
      <c r="D1234" s="250" t="s">
        <v>104</v>
      </c>
      <c r="E1234" s="250" t="s">
        <v>104</v>
      </c>
      <c r="F1234" s="251">
        <v>12658.5</v>
      </c>
      <c r="G1234" s="452" t="s">
        <v>767</v>
      </c>
      <c r="H1234" s="250" t="s">
        <v>104</v>
      </c>
      <c r="I1234" s="250" t="s">
        <v>5489</v>
      </c>
      <c r="J1234" s="440" t="s">
        <v>769</v>
      </c>
      <c r="K1234" s="255" t="s">
        <v>991</v>
      </c>
      <c r="L1234" s="250" t="s">
        <v>992</v>
      </c>
      <c r="M1234" s="277" t="s">
        <v>5490</v>
      </c>
      <c r="N1234" s="278">
        <v>44454</v>
      </c>
      <c r="O1234" s="329" t="s">
        <v>5377</v>
      </c>
      <c r="P1234" s="330">
        <f t="shared" si="142"/>
        <v>9</v>
      </c>
      <c r="Q1234" s="330">
        <f t="shared" si="143"/>
        <v>8</v>
      </c>
      <c r="R1234" s="331" t="str">
        <f t="shared" si="144"/>
        <v>Gastos_custeados_por_captação</v>
      </c>
      <c r="S1234" s="331" t="str">
        <f>IF(D1234="","",IF(OR(D1234=Plano!$A$1,D1234=Plano!$B$1),"entrada","saída"))</f>
        <v>saída</v>
      </c>
      <c r="T1234" s="332" t="s">
        <v>1059</v>
      </c>
      <c r="U1234" s="332">
        <v>1866</v>
      </c>
      <c r="V1234" s="439"/>
      <c r="W1234" s="439"/>
      <c r="X1234" s="439"/>
      <c r="Y1234" s="439"/>
      <c r="Z1234" s="439"/>
      <c r="AA1234" s="439"/>
      <c r="AB1234" s="439"/>
      <c r="AC1234" s="439"/>
      <c r="AD1234" s="439"/>
      <c r="AE1234" s="439"/>
      <c r="AF1234" s="439"/>
      <c r="AG1234" s="439"/>
      <c r="AH1234" s="439"/>
      <c r="AI1234" s="439"/>
      <c r="AJ1234" s="439"/>
      <c r="AK1234" s="439"/>
      <c r="AL1234" s="439"/>
      <c r="AM1234" s="439"/>
    </row>
    <row r="1235" spans="1:39" s="478" customFormat="1" ht="153" customHeight="1" x14ac:dyDescent="0.2">
      <c r="A1235" s="277">
        <f>IF(B1235="","",COUNT('Diário 5º PA'!$A$5:$A$2634)+COUNT('Diário 6º PA'!$A$5:$A$2246)+ROW()-4)</f>
        <v>3774</v>
      </c>
      <c r="B1235" s="278">
        <v>44456</v>
      </c>
      <c r="C1235" s="249">
        <v>44409</v>
      </c>
      <c r="D1235" s="250" t="s">
        <v>104</v>
      </c>
      <c r="E1235" s="250" t="s">
        <v>104</v>
      </c>
      <c r="F1235" s="251">
        <v>5264</v>
      </c>
      <c r="G1235" s="452" t="s">
        <v>767</v>
      </c>
      <c r="H1235" s="250" t="s">
        <v>104</v>
      </c>
      <c r="I1235" s="250" t="s">
        <v>5489</v>
      </c>
      <c r="J1235" s="440" t="s">
        <v>769</v>
      </c>
      <c r="K1235" s="255" t="s">
        <v>991</v>
      </c>
      <c r="L1235" s="250" t="s">
        <v>992</v>
      </c>
      <c r="M1235" s="277" t="s">
        <v>5492</v>
      </c>
      <c r="N1235" s="278">
        <v>44454</v>
      </c>
      <c r="O1235" s="329" t="s">
        <v>5377</v>
      </c>
      <c r="P1235" s="330">
        <f t="shared" ref="P1235" si="145">IF(B1235=0,0,IF(YEAR(B1235)=$Q$1,MONTH(B1235)-$P$1+1,(YEAR(B1235)-$Q$1)*12-$P$1+1+MONTH(B1235)))</f>
        <v>9</v>
      </c>
      <c r="Q1235" s="330">
        <f t="shared" ref="Q1235" si="146">IF(C1235=0,0,IF(YEAR(C1235)=$Q$1,MONTH(C1235)-$P$1+1,(YEAR(C1235)-$Q$1)*12-$P$1+1+MONTH(C1235)))</f>
        <v>8</v>
      </c>
      <c r="R1235" s="331" t="str">
        <f t="shared" ref="R1235" si="147">SUBSTITUTE(D1235," ","_")</f>
        <v>Gastos_custeados_por_captação</v>
      </c>
      <c r="S1235" s="331" t="str">
        <f>IF(D1235="","",IF(OR(D1235=Plano!$A$1,D1235=Plano!$B$1),"entrada","saída"))</f>
        <v>saída</v>
      </c>
      <c r="T1235" s="332" t="s">
        <v>1059</v>
      </c>
      <c r="U1235" s="332">
        <v>1866</v>
      </c>
      <c r="V1235" s="439"/>
      <c r="W1235" s="439"/>
      <c r="X1235" s="439"/>
      <c r="Y1235" s="439"/>
      <c r="Z1235" s="439"/>
      <c r="AA1235" s="439"/>
      <c r="AB1235" s="439"/>
      <c r="AC1235" s="439"/>
      <c r="AD1235" s="439"/>
      <c r="AE1235" s="439"/>
      <c r="AF1235" s="439"/>
      <c r="AG1235" s="439"/>
      <c r="AH1235" s="439"/>
      <c r="AI1235" s="439"/>
      <c r="AJ1235" s="439"/>
      <c r="AK1235" s="439"/>
      <c r="AL1235" s="439"/>
      <c r="AM1235" s="439"/>
    </row>
    <row r="1236" spans="1:39" s="478" customFormat="1" ht="76.5" customHeight="1" x14ac:dyDescent="0.2">
      <c r="A1236" s="277">
        <f>IF(B1236="","",COUNT('Diário 5º PA'!$A$5:$A$2634)+COUNT('Diário 6º PA'!$A$5:$A$2246)+ROW()-4)</f>
        <v>3775</v>
      </c>
      <c r="B1236" s="278">
        <v>44456</v>
      </c>
      <c r="C1236" s="249">
        <v>44440</v>
      </c>
      <c r="D1236" s="250" t="s">
        <v>104</v>
      </c>
      <c r="E1236" s="250" t="s">
        <v>104</v>
      </c>
      <c r="F1236" s="251">
        <v>250</v>
      </c>
      <c r="G1236" s="452" t="s">
        <v>5494</v>
      </c>
      <c r="H1236" s="250" t="s">
        <v>104</v>
      </c>
      <c r="I1236" s="250" t="s">
        <v>5495</v>
      </c>
      <c r="J1236" s="250" t="s">
        <v>5496</v>
      </c>
      <c r="K1236" s="255" t="s">
        <v>991</v>
      </c>
      <c r="L1236" s="250" t="s">
        <v>992</v>
      </c>
      <c r="M1236" s="277">
        <v>29852754</v>
      </c>
      <c r="N1236" s="278">
        <v>44456</v>
      </c>
      <c r="O1236" s="329" t="s">
        <v>5377</v>
      </c>
      <c r="P1236" s="330">
        <f t="shared" si="142"/>
        <v>9</v>
      </c>
      <c r="Q1236" s="330">
        <f t="shared" si="143"/>
        <v>9</v>
      </c>
      <c r="R1236" s="331" t="str">
        <f t="shared" si="144"/>
        <v>Gastos_custeados_por_captação</v>
      </c>
      <c r="S1236" s="331" t="str">
        <f>IF(D1236="","",IF(OR(D1236=Plano!$A$1,D1236=Plano!$B$1),"entrada","saída"))</f>
        <v>saída</v>
      </c>
      <c r="T1236" s="332" t="s">
        <v>1011</v>
      </c>
      <c r="U1236" s="332">
        <v>2070</v>
      </c>
      <c r="V1236" s="439"/>
      <c r="W1236" s="439"/>
      <c r="X1236" s="439"/>
      <c r="Y1236" s="439"/>
      <c r="Z1236" s="439"/>
      <c r="AA1236" s="439"/>
      <c r="AB1236" s="439"/>
      <c r="AC1236" s="439"/>
      <c r="AD1236" s="439"/>
      <c r="AE1236" s="439"/>
      <c r="AF1236" s="439"/>
      <c r="AG1236" s="439"/>
      <c r="AH1236" s="439"/>
      <c r="AI1236" s="439"/>
      <c r="AJ1236" s="439"/>
      <c r="AK1236" s="439"/>
      <c r="AL1236" s="439"/>
      <c r="AM1236" s="439"/>
    </row>
    <row r="1237" spans="1:39" s="478" customFormat="1" ht="67.5" customHeight="1" x14ac:dyDescent="0.2">
      <c r="A1237" s="277">
        <f>IF(B1237="","",COUNT('Diário 5º PA'!$A$5:$A$2634)+COUNT('Diário 6º PA'!$A$5:$A$2246)+ROW()-4)</f>
        <v>3776</v>
      </c>
      <c r="B1237" s="278">
        <v>44456</v>
      </c>
      <c r="C1237" s="335">
        <v>44440</v>
      </c>
      <c r="D1237" s="250" t="s">
        <v>104</v>
      </c>
      <c r="E1237" s="250" t="s">
        <v>104</v>
      </c>
      <c r="F1237" s="258">
        <v>10.45</v>
      </c>
      <c r="G1237" s="450" t="s">
        <v>5451</v>
      </c>
      <c r="H1237" s="250" t="s">
        <v>104</v>
      </c>
      <c r="I1237" s="250" t="s">
        <v>949</v>
      </c>
      <c r="J1237" s="255" t="s">
        <v>950</v>
      </c>
      <c r="K1237" s="255" t="s">
        <v>951</v>
      </c>
      <c r="L1237" s="250" t="s">
        <v>947</v>
      </c>
      <c r="M1237" s="336" t="s">
        <v>114</v>
      </c>
      <c r="N1237" s="278">
        <v>44456</v>
      </c>
      <c r="O1237" s="329" t="s">
        <v>5377</v>
      </c>
      <c r="P1237" s="330">
        <f t="shared" si="142"/>
        <v>9</v>
      </c>
      <c r="Q1237" s="330">
        <f t="shared" si="143"/>
        <v>9</v>
      </c>
      <c r="R1237" s="331" t="str">
        <f t="shared" si="144"/>
        <v>Gastos_custeados_por_captação</v>
      </c>
      <c r="S1237" s="331" t="str">
        <f>IF(D1237="","",IF(OR(D1237=Plano!$A$1,D1237=Plano!$B$1),"entrada","saída"))</f>
        <v>saída</v>
      </c>
      <c r="T1237" s="334" t="s">
        <v>114</v>
      </c>
      <c r="U1237" s="334" t="s">
        <v>114</v>
      </c>
      <c r="V1237" s="439"/>
      <c r="W1237" s="439"/>
      <c r="X1237" s="439"/>
      <c r="Y1237" s="439"/>
      <c r="Z1237" s="439"/>
      <c r="AA1237" s="439"/>
      <c r="AB1237" s="439"/>
      <c r="AC1237" s="439"/>
      <c r="AD1237" s="439"/>
      <c r="AE1237" s="439"/>
      <c r="AF1237" s="439"/>
      <c r="AG1237" s="439"/>
      <c r="AH1237" s="439"/>
      <c r="AI1237" s="439"/>
      <c r="AJ1237" s="439"/>
      <c r="AK1237" s="439"/>
      <c r="AL1237" s="439"/>
      <c r="AM1237" s="439"/>
    </row>
    <row r="1238" spans="1:39" s="478" customFormat="1" ht="93" customHeight="1" x14ac:dyDescent="0.2">
      <c r="A1238" s="277">
        <f>IF(B1238="","",COUNT('Diário 5º PA'!$A$5:$A$2634)+COUNT('Diário 6º PA'!$A$5:$A$2246)+ROW()-4)</f>
        <v>3777</v>
      </c>
      <c r="B1238" s="278">
        <v>44456</v>
      </c>
      <c r="C1238" s="335">
        <v>44440</v>
      </c>
      <c r="D1238" s="250" t="s">
        <v>104</v>
      </c>
      <c r="E1238" s="250" t="s">
        <v>104</v>
      </c>
      <c r="F1238" s="258">
        <v>10.45</v>
      </c>
      <c r="G1238" s="450" t="s">
        <v>5451</v>
      </c>
      <c r="H1238" s="250" t="s">
        <v>104</v>
      </c>
      <c r="I1238" s="250" t="s">
        <v>949</v>
      </c>
      <c r="J1238" s="255" t="s">
        <v>950</v>
      </c>
      <c r="K1238" s="255" t="s">
        <v>951</v>
      </c>
      <c r="L1238" s="250" t="s">
        <v>947</v>
      </c>
      <c r="M1238" s="336" t="s">
        <v>114</v>
      </c>
      <c r="N1238" s="278">
        <v>44456</v>
      </c>
      <c r="O1238" s="329" t="s">
        <v>5377</v>
      </c>
      <c r="P1238" s="330">
        <f t="shared" si="142"/>
        <v>9</v>
      </c>
      <c r="Q1238" s="330">
        <f t="shared" si="143"/>
        <v>9</v>
      </c>
      <c r="R1238" s="331" t="str">
        <f t="shared" si="144"/>
        <v>Gastos_custeados_por_captação</v>
      </c>
      <c r="S1238" s="331" t="str">
        <f>IF(D1238="","",IF(OR(D1238=Plano!$A$1,D1238=Plano!$B$1),"entrada","saída"))</f>
        <v>saída</v>
      </c>
      <c r="T1238" s="334" t="s">
        <v>114</v>
      </c>
      <c r="U1238" s="334" t="s">
        <v>114</v>
      </c>
      <c r="V1238" s="439"/>
      <c r="W1238" s="439"/>
      <c r="X1238" s="439"/>
      <c r="Y1238" s="439"/>
      <c r="Z1238" s="439"/>
      <c r="AA1238" s="439"/>
      <c r="AB1238" s="439"/>
      <c r="AC1238" s="439"/>
      <c r="AD1238" s="439"/>
      <c r="AE1238" s="439"/>
      <c r="AF1238" s="439"/>
      <c r="AG1238" s="439"/>
      <c r="AH1238" s="439"/>
      <c r="AI1238" s="439"/>
      <c r="AJ1238" s="439"/>
      <c r="AK1238" s="439"/>
      <c r="AL1238" s="439"/>
      <c r="AM1238" s="439"/>
    </row>
    <row r="1239" spans="1:39" s="478" customFormat="1" ht="95.25" customHeight="1" x14ac:dyDescent="0.2">
      <c r="A1239" s="277">
        <f>IF(B1239="","",COUNT('Diário 5º PA'!$A$5:$A$2634)+COUNT('Diário 6º PA'!$A$5:$A$2246)+ROW()-4)</f>
        <v>3778</v>
      </c>
      <c r="B1239" s="278">
        <v>44456</v>
      </c>
      <c r="C1239" s="335">
        <v>44440</v>
      </c>
      <c r="D1239" s="250" t="s">
        <v>104</v>
      </c>
      <c r="E1239" s="250" t="s">
        <v>104</v>
      </c>
      <c r="F1239" s="258">
        <v>10.45</v>
      </c>
      <c r="G1239" s="450" t="s">
        <v>5451</v>
      </c>
      <c r="H1239" s="250" t="s">
        <v>104</v>
      </c>
      <c r="I1239" s="250" t="s">
        <v>949</v>
      </c>
      <c r="J1239" s="255" t="s">
        <v>950</v>
      </c>
      <c r="K1239" s="255" t="s">
        <v>951</v>
      </c>
      <c r="L1239" s="250" t="s">
        <v>947</v>
      </c>
      <c r="M1239" s="336" t="s">
        <v>114</v>
      </c>
      <c r="N1239" s="278">
        <v>44456</v>
      </c>
      <c r="O1239" s="329" t="s">
        <v>5377</v>
      </c>
      <c r="P1239" s="330">
        <f t="shared" si="142"/>
        <v>9</v>
      </c>
      <c r="Q1239" s="330">
        <f t="shared" si="143"/>
        <v>9</v>
      </c>
      <c r="R1239" s="331" t="str">
        <f t="shared" si="144"/>
        <v>Gastos_custeados_por_captação</v>
      </c>
      <c r="S1239" s="331" t="str">
        <f>IF(D1239="","",IF(OR(D1239=Plano!$A$1,D1239=Plano!$B$1),"entrada","saída"))</f>
        <v>saída</v>
      </c>
      <c r="T1239" s="334" t="s">
        <v>114</v>
      </c>
      <c r="U1239" s="334" t="s">
        <v>114</v>
      </c>
      <c r="V1239" s="439"/>
      <c r="W1239" s="439"/>
      <c r="X1239" s="439"/>
      <c r="Y1239" s="439"/>
      <c r="Z1239" s="439"/>
      <c r="AA1239" s="439"/>
      <c r="AB1239" s="439"/>
      <c r="AC1239" s="439"/>
      <c r="AD1239" s="439"/>
      <c r="AE1239" s="439"/>
      <c r="AF1239" s="439"/>
      <c r="AG1239" s="439"/>
      <c r="AH1239" s="439"/>
      <c r="AI1239" s="439"/>
      <c r="AJ1239" s="439"/>
      <c r="AK1239" s="439"/>
      <c r="AL1239" s="439"/>
      <c r="AM1239" s="439"/>
    </row>
    <row r="1240" spans="1:39" s="478" customFormat="1" ht="70.5" customHeight="1" x14ac:dyDescent="0.2">
      <c r="A1240" s="277">
        <f>IF(B1240="","",COUNT('Diário 5º PA'!$A$5:$A$2634)+COUNT('Diário 6º PA'!$A$5:$A$2246)+ROW()-4)</f>
        <v>3779</v>
      </c>
      <c r="B1240" s="278">
        <v>44456</v>
      </c>
      <c r="C1240" s="335">
        <v>44440</v>
      </c>
      <c r="D1240" s="250" t="s">
        <v>104</v>
      </c>
      <c r="E1240" s="250" t="s">
        <v>104</v>
      </c>
      <c r="F1240" s="258">
        <v>10.45</v>
      </c>
      <c r="G1240" s="450" t="s">
        <v>5451</v>
      </c>
      <c r="H1240" s="250" t="s">
        <v>104</v>
      </c>
      <c r="I1240" s="250" t="s">
        <v>949</v>
      </c>
      <c r="J1240" s="255" t="s">
        <v>950</v>
      </c>
      <c r="K1240" s="255" t="s">
        <v>951</v>
      </c>
      <c r="L1240" s="250" t="s">
        <v>947</v>
      </c>
      <c r="M1240" s="336" t="s">
        <v>114</v>
      </c>
      <c r="N1240" s="278">
        <v>44456</v>
      </c>
      <c r="O1240" s="329" t="s">
        <v>5377</v>
      </c>
      <c r="P1240" s="330">
        <f t="shared" si="142"/>
        <v>9</v>
      </c>
      <c r="Q1240" s="330">
        <f t="shared" si="143"/>
        <v>9</v>
      </c>
      <c r="R1240" s="331" t="str">
        <f t="shared" si="144"/>
        <v>Gastos_custeados_por_captação</v>
      </c>
      <c r="S1240" s="331" t="str">
        <f>IF(D1240="","",IF(OR(D1240=Plano!$A$1,D1240=Plano!$B$1),"entrada","saída"))</f>
        <v>saída</v>
      </c>
      <c r="T1240" s="334" t="s">
        <v>114</v>
      </c>
      <c r="U1240" s="334" t="s">
        <v>114</v>
      </c>
      <c r="V1240" s="439"/>
      <c r="W1240" s="439"/>
      <c r="X1240" s="439"/>
      <c r="Y1240" s="439"/>
      <c r="Z1240" s="439"/>
      <c r="AA1240" s="439"/>
      <c r="AB1240" s="439"/>
      <c r="AC1240" s="439"/>
      <c r="AD1240" s="439"/>
      <c r="AE1240" s="439"/>
      <c r="AF1240" s="439"/>
      <c r="AG1240" s="439"/>
      <c r="AH1240" s="439"/>
      <c r="AI1240" s="439"/>
      <c r="AJ1240" s="439"/>
      <c r="AK1240" s="439"/>
      <c r="AL1240" s="439"/>
      <c r="AM1240" s="439"/>
    </row>
    <row r="1241" spans="1:39" ht="59.25" customHeight="1" x14ac:dyDescent="0.2">
      <c r="A1241" s="277">
        <f>IF(B1241="","",COUNT('Diário 5º PA'!$A$5:$A$2634)+COUNT('Diário 6º PA'!$A$5:$A$2246)+ROW()-4)</f>
        <v>3780</v>
      </c>
      <c r="B1241" s="278">
        <v>44459</v>
      </c>
      <c r="C1241" s="249">
        <v>44409</v>
      </c>
      <c r="D1241" s="255" t="s">
        <v>99</v>
      </c>
      <c r="E1241" s="255" t="s">
        <v>224</v>
      </c>
      <c r="F1241" s="257">
        <v>-86.89</v>
      </c>
      <c r="G1241" s="450" t="s">
        <v>5183</v>
      </c>
      <c r="H1241" s="255" t="s">
        <v>115</v>
      </c>
      <c r="I1241" s="250" t="s">
        <v>983</v>
      </c>
      <c r="J1241" s="255" t="s">
        <v>850</v>
      </c>
      <c r="K1241" s="255" t="s">
        <v>946</v>
      </c>
      <c r="L1241" s="250" t="s">
        <v>947</v>
      </c>
      <c r="M1241" s="277" t="s">
        <v>114</v>
      </c>
      <c r="N1241" s="278">
        <v>44459</v>
      </c>
      <c r="O1241" s="329" t="s">
        <v>67</v>
      </c>
      <c r="P1241" s="330">
        <f t="shared" si="124"/>
        <v>9</v>
      </c>
      <c r="Q1241" s="330">
        <f t="shared" si="125"/>
        <v>8</v>
      </c>
      <c r="R1241" s="331" t="str">
        <f t="shared" si="126"/>
        <v>Gastos_Gerais</v>
      </c>
      <c r="S1241" s="331" t="str">
        <f>IF(D1241="","",IF(OR(D1241=Plano!$A$1,D1241=Plano!$B$1),"entrada","saída"))</f>
        <v>saída</v>
      </c>
      <c r="T1241" s="332" t="s">
        <v>114</v>
      </c>
      <c r="U1241" s="332" t="s">
        <v>114</v>
      </c>
      <c r="V1241" s="269"/>
      <c r="W1241" s="269"/>
      <c r="X1241" s="269"/>
      <c r="Y1241" s="269"/>
      <c r="Z1241" s="269"/>
      <c r="AA1241" s="269"/>
      <c r="AB1241" s="269"/>
      <c r="AC1241" s="269"/>
      <c r="AD1241" s="269"/>
      <c r="AE1241" s="269"/>
      <c r="AF1241" s="269"/>
      <c r="AG1241" s="269"/>
      <c r="AH1241" s="269"/>
      <c r="AI1241" s="269"/>
      <c r="AJ1241" s="269"/>
      <c r="AK1241" s="269"/>
      <c r="AL1241" s="269"/>
      <c r="AM1241" s="269"/>
    </row>
    <row r="1242" spans="1:39" ht="48.75" customHeight="1" x14ac:dyDescent="0.2">
      <c r="A1242" s="277">
        <f>IF(B1242="","",COUNT('Diário 5º PA'!$A$5:$A$2634)+COUNT('Diário 6º PA'!$A$5:$A$2246)+ROW()-4)</f>
        <v>3781</v>
      </c>
      <c r="B1242" s="278">
        <v>44459</v>
      </c>
      <c r="C1242" s="249">
        <v>44409</v>
      </c>
      <c r="D1242" s="255" t="s">
        <v>99</v>
      </c>
      <c r="E1242" s="255" t="s">
        <v>254</v>
      </c>
      <c r="F1242" s="258">
        <v>-132.05000000000001</v>
      </c>
      <c r="G1242" s="451" t="s">
        <v>5184</v>
      </c>
      <c r="H1242" s="255" t="s">
        <v>115</v>
      </c>
      <c r="I1242" s="250" t="s">
        <v>983</v>
      </c>
      <c r="J1242" s="252" t="s">
        <v>850</v>
      </c>
      <c r="K1242" s="255" t="s">
        <v>946</v>
      </c>
      <c r="L1242" s="250" t="s">
        <v>947</v>
      </c>
      <c r="M1242" s="277" t="s">
        <v>114</v>
      </c>
      <c r="N1242" s="278">
        <v>44459</v>
      </c>
      <c r="O1242" s="329" t="s">
        <v>67</v>
      </c>
      <c r="P1242" s="330">
        <f t="shared" si="124"/>
        <v>9</v>
      </c>
      <c r="Q1242" s="330">
        <f t="shared" si="125"/>
        <v>8</v>
      </c>
      <c r="R1242" s="331" t="str">
        <f t="shared" si="126"/>
        <v>Gastos_Gerais</v>
      </c>
      <c r="S1242" s="331" t="str">
        <f>IF(D1242="","",IF(OR(D1242=Plano!$A$1,D1242=Plano!$B$1),"entrada","saída"))</f>
        <v>saída</v>
      </c>
      <c r="T1242" s="332" t="s">
        <v>114</v>
      </c>
      <c r="U1242" s="332" t="s">
        <v>114</v>
      </c>
      <c r="V1242" s="269"/>
      <c r="W1242" s="269"/>
      <c r="X1242" s="269"/>
      <c r="Y1242" s="269"/>
      <c r="Z1242" s="269"/>
      <c r="AA1242" s="269"/>
      <c r="AB1242" s="269"/>
      <c r="AC1242" s="269"/>
      <c r="AD1242" s="269"/>
      <c r="AE1242" s="269"/>
      <c r="AF1242" s="269"/>
      <c r="AG1242" s="269"/>
      <c r="AH1242" s="269"/>
      <c r="AI1242" s="269"/>
      <c r="AJ1242" s="269"/>
      <c r="AK1242" s="269"/>
      <c r="AL1242" s="269"/>
      <c r="AM1242" s="269"/>
    </row>
    <row r="1243" spans="1:39" ht="172.5" customHeight="1" x14ac:dyDescent="0.2">
      <c r="A1243" s="277">
        <f>IF(B1243="","",COUNT('Diário 5º PA'!$A$5:$A$2634)+COUNT('Diário 6º PA'!$A$5:$A$2246)+ROW()-4)</f>
        <v>3782</v>
      </c>
      <c r="B1243" s="278">
        <v>44459</v>
      </c>
      <c r="C1243" s="249">
        <v>44409</v>
      </c>
      <c r="D1243" s="250" t="s">
        <v>99</v>
      </c>
      <c r="E1243" s="250" t="s">
        <v>358</v>
      </c>
      <c r="F1243" s="251">
        <v>1998.6</v>
      </c>
      <c r="G1243" s="452" t="s">
        <v>739</v>
      </c>
      <c r="H1243" s="250" t="s">
        <v>131</v>
      </c>
      <c r="I1243" s="250" t="s">
        <v>5185</v>
      </c>
      <c r="J1243" s="440" t="s">
        <v>740</v>
      </c>
      <c r="K1243" s="255" t="s">
        <v>1015</v>
      </c>
      <c r="L1243" s="250" t="s">
        <v>1029</v>
      </c>
      <c r="M1243" s="277">
        <v>1336</v>
      </c>
      <c r="N1243" s="278">
        <v>44459</v>
      </c>
      <c r="O1243" s="329" t="s">
        <v>67</v>
      </c>
      <c r="P1243" s="330">
        <f t="shared" si="124"/>
        <v>9</v>
      </c>
      <c r="Q1243" s="330">
        <f t="shared" si="125"/>
        <v>8</v>
      </c>
      <c r="R1243" s="331" t="str">
        <f t="shared" si="126"/>
        <v>Gastos_Gerais</v>
      </c>
      <c r="S1243" s="331" t="str">
        <f>IF(D1243="","",IF(OR(D1243=Plano!$A$1,D1243=Plano!$B$1),"entrada","saída"))</f>
        <v>saída</v>
      </c>
      <c r="T1243" s="334" t="s">
        <v>1059</v>
      </c>
      <c r="U1243" s="334">
        <v>1914</v>
      </c>
      <c r="V1243" s="269"/>
      <c r="W1243" s="269"/>
      <c r="X1243" s="269"/>
      <c r="Y1243" s="269"/>
      <c r="Z1243" s="269"/>
      <c r="AA1243" s="269"/>
      <c r="AB1243" s="269"/>
      <c r="AC1243" s="269"/>
      <c r="AD1243" s="269"/>
      <c r="AE1243" s="269"/>
      <c r="AF1243" s="269"/>
      <c r="AG1243" s="269"/>
      <c r="AH1243" s="269"/>
      <c r="AI1243" s="269"/>
      <c r="AJ1243" s="269"/>
      <c r="AK1243" s="269"/>
      <c r="AL1243" s="269"/>
      <c r="AM1243" s="269"/>
    </row>
    <row r="1244" spans="1:39" ht="209.25" customHeight="1" x14ac:dyDescent="0.2">
      <c r="A1244" s="277">
        <f>IF(B1244="","",COUNT('Diário 5º PA'!$A$5:$A$2634)+COUNT('Diário 6º PA'!$A$5:$A$2246)+ROW()-4)</f>
        <v>3783</v>
      </c>
      <c r="B1244" s="278">
        <v>44459</v>
      </c>
      <c r="C1244" s="249">
        <v>44409</v>
      </c>
      <c r="D1244" s="250" t="s">
        <v>99</v>
      </c>
      <c r="E1244" s="250" t="s">
        <v>358</v>
      </c>
      <c r="F1244" s="251">
        <v>600</v>
      </c>
      <c r="G1244" s="452" t="s">
        <v>746</v>
      </c>
      <c r="H1244" s="250" t="s">
        <v>125</v>
      </c>
      <c r="I1244" s="250" t="s">
        <v>5189</v>
      </c>
      <c r="J1244" s="440" t="s">
        <v>747</v>
      </c>
      <c r="K1244" s="255" t="s">
        <v>1015</v>
      </c>
      <c r="L1244" s="250" t="s">
        <v>992</v>
      </c>
      <c r="M1244" s="277" t="s">
        <v>1407</v>
      </c>
      <c r="N1244" s="278">
        <v>44456</v>
      </c>
      <c r="O1244" s="329" t="s">
        <v>67</v>
      </c>
      <c r="P1244" s="330">
        <f t="shared" si="124"/>
        <v>9</v>
      </c>
      <c r="Q1244" s="330">
        <f t="shared" si="125"/>
        <v>8</v>
      </c>
      <c r="R1244" s="331" t="str">
        <f t="shared" si="126"/>
        <v>Gastos_Gerais</v>
      </c>
      <c r="S1244" s="331" t="str">
        <f>IF(D1244="","",IF(OR(D1244=Plano!$A$1,D1244=Plano!$B$1),"entrada","saída"))</f>
        <v>saída</v>
      </c>
      <c r="T1244" s="334" t="s">
        <v>994</v>
      </c>
      <c r="U1244" s="334">
        <v>1888</v>
      </c>
      <c r="V1244" s="269"/>
      <c r="W1244" s="269"/>
      <c r="X1244" s="269"/>
      <c r="Y1244" s="269"/>
      <c r="Z1244" s="269"/>
      <c r="AA1244" s="269"/>
      <c r="AB1244" s="269"/>
      <c r="AC1244" s="269"/>
      <c r="AD1244" s="269"/>
      <c r="AE1244" s="269"/>
      <c r="AF1244" s="269"/>
      <c r="AG1244" s="269"/>
      <c r="AH1244" s="269"/>
      <c r="AI1244" s="269"/>
      <c r="AJ1244" s="269"/>
      <c r="AK1244" s="269"/>
      <c r="AL1244" s="269"/>
      <c r="AM1244" s="269"/>
    </row>
    <row r="1245" spans="1:39" ht="156.75" customHeight="1" x14ac:dyDescent="0.2">
      <c r="A1245" s="277">
        <f>IF(B1245="","",COUNT('Diário 5º PA'!$A$5:$A$2634)+COUNT('Diário 6º PA'!$A$5:$A$2246)+ROW()-4)</f>
        <v>3784</v>
      </c>
      <c r="B1245" s="278">
        <v>44459</v>
      </c>
      <c r="C1245" s="249">
        <v>44409</v>
      </c>
      <c r="D1245" s="250" t="s">
        <v>99</v>
      </c>
      <c r="E1245" s="250" t="s">
        <v>358</v>
      </c>
      <c r="F1245" s="251">
        <v>1998.6</v>
      </c>
      <c r="G1245" s="452" t="s">
        <v>742</v>
      </c>
      <c r="H1245" s="250" t="s">
        <v>131</v>
      </c>
      <c r="I1245" s="250" t="s">
        <v>5190</v>
      </c>
      <c r="J1245" s="440" t="s">
        <v>743</v>
      </c>
      <c r="K1245" s="255" t="s">
        <v>1015</v>
      </c>
      <c r="L1245" s="250" t="s">
        <v>1029</v>
      </c>
      <c r="M1245" s="277">
        <v>1337</v>
      </c>
      <c r="N1245" s="278">
        <v>44459</v>
      </c>
      <c r="O1245" s="329" t="s">
        <v>67</v>
      </c>
      <c r="P1245" s="330">
        <f t="shared" si="124"/>
        <v>9</v>
      </c>
      <c r="Q1245" s="330">
        <f t="shared" si="125"/>
        <v>8</v>
      </c>
      <c r="R1245" s="331" t="str">
        <f t="shared" si="126"/>
        <v>Gastos_Gerais</v>
      </c>
      <c r="S1245" s="331" t="str">
        <f>IF(D1245="","",IF(OR(D1245=Plano!$A$1,D1245=Plano!$B$1),"entrada","saída"))</f>
        <v>saída</v>
      </c>
      <c r="T1245" s="334" t="s">
        <v>1059</v>
      </c>
      <c r="U1245" s="334">
        <v>1915</v>
      </c>
      <c r="V1245" s="269"/>
      <c r="W1245" s="269"/>
      <c r="X1245" s="269"/>
      <c r="Y1245" s="269"/>
      <c r="Z1245" s="269"/>
      <c r="AA1245" s="269"/>
      <c r="AB1245" s="269"/>
      <c r="AC1245" s="269"/>
      <c r="AD1245" s="269"/>
      <c r="AE1245" s="269"/>
      <c r="AF1245" s="269"/>
      <c r="AG1245" s="269"/>
      <c r="AH1245" s="269"/>
      <c r="AI1245" s="269"/>
      <c r="AJ1245" s="269"/>
      <c r="AK1245" s="269"/>
      <c r="AL1245" s="269"/>
      <c r="AM1245" s="269"/>
    </row>
    <row r="1246" spans="1:39" ht="165" customHeight="1" x14ac:dyDescent="0.2">
      <c r="A1246" s="277">
        <f>IF(B1246="","",COUNT('Diário 5º PA'!$A$5:$A$2634)+COUNT('Diário 6º PA'!$A$5:$A$2246)+ROW()-4)</f>
        <v>3785</v>
      </c>
      <c r="B1246" s="278">
        <v>44459</v>
      </c>
      <c r="C1246" s="256">
        <v>44409</v>
      </c>
      <c r="D1246" s="255" t="s">
        <v>99</v>
      </c>
      <c r="E1246" s="255" t="s">
        <v>254</v>
      </c>
      <c r="F1246" s="258">
        <v>500</v>
      </c>
      <c r="G1246" s="450" t="s">
        <v>448</v>
      </c>
      <c r="H1246" s="255" t="s">
        <v>115</v>
      </c>
      <c r="I1246" s="250" t="s">
        <v>1376</v>
      </c>
      <c r="J1246" s="252" t="s">
        <v>1377</v>
      </c>
      <c r="K1246" s="255" t="s">
        <v>560</v>
      </c>
      <c r="L1246" s="250" t="s">
        <v>1378</v>
      </c>
      <c r="M1246" s="277" t="s">
        <v>5194</v>
      </c>
      <c r="N1246" s="278">
        <v>44447</v>
      </c>
      <c r="O1246" s="329" t="s">
        <v>67</v>
      </c>
      <c r="P1246" s="330">
        <f t="shared" si="124"/>
        <v>9</v>
      </c>
      <c r="Q1246" s="330">
        <f t="shared" si="125"/>
        <v>8</v>
      </c>
      <c r="R1246" s="331" t="str">
        <f t="shared" si="126"/>
        <v>Gastos_Gerais</v>
      </c>
      <c r="S1246" s="331" t="str">
        <f>IF(D1246="","",IF(OR(D1246=Plano!$A$1,D1246=Plano!$B$1),"entrada","saída"))</f>
        <v>saída</v>
      </c>
      <c r="T1246" s="332" t="s">
        <v>1059</v>
      </c>
      <c r="U1246" s="332">
        <v>1143</v>
      </c>
      <c r="V1246" s="269"/>
      <c r="W1246" s="269"/>
      <c r="X1246" s="269"/>
      <c r="Y1246" s="269"/>
      <c r="Z1246" s="269"/>
      <c r="AA1246" s="269"/>
      <c r="AB1246" s="269"/>
      <c r="AC1246" s="269"/>
      <c r="AD1246" s="269"/>
      <c r="AE1246" s="269"/>
      <c r="AF1246" s="269"/>
      <c r="AG1246" s="269"/>
      <c r="AH1246" s="269"/>
      <c r="AI1246" s="269"/>
      <c r="AJ1246" s="269"/>
      <c r="AK1246" s="269"/>
      <c r="AL1246" s="269"/>
      <c r="AM1246" s="269"/>
    </row>
    <row r="1247" spans="1:39" ht="42" customHeight="1" x14ac:dyDescent="0.2">
      <c r="A1247" s="277">
        <f>IF(B1247="","",COUNT('Diário 5º PA'!$A$5:$A$2634)+COUNT('Diário 6º PA'!$A$5:$A$2246)+ROW()-4)</f>
        <v>3786</v>
      </c>
      <c r="B1247" s="278">
        <v>44459</v>
      </c>
      <c r="C1247" s="249">
        <v>44409</v>
      </c>
      <c r="D1247" s="255" t="s">
        <v>99</v>
      </c>
      <c r="E1247" s="255" t="s">
        <v>224</v>
      </c>
      <c r="F1247" s="258">
        <v>328.99</v>
      </c>
      <c r="G1247" s="450" t="s">
        <v>526</v>
      </c>
      <c r="H1247" s="255" t="s">
        <v>115</v>
      </c>
      <c r="I1247" s="250" t="s">
        <v>522</v>
      </c>
      <c r="J1247" s="252" t="s">
        <v>523</v>
      </c>
      <c r="K1247" s="252" t="s">
        <v>1375</v>
      </c>
      <c r="L1247" s="252" t="s">
        <v>697</v>
      </c>
      <c r="M1247" s="277" t="s">
        <v>5195</v>
      </c>
      <c r="N1247" s="278">
        <v>44440</v>
      </c>
      <c r="O1247" s="329" t="s">
        <v>67</v>
      </c>
      <c r="P1247" s="330">
        <f t="shared" si="124"/>
        <v>9</v>
      </c>
      <c r="Q1247" s="330">
        <f t="shared" si="125"/>
        <v>8</v>
      </c>
      <c r="R1247" s="331" t="str">
        <f t="shared" si="126"/>
        <v>Gastos_Gerais</v>
      </c>
      <c r="S1247" s="331" t="str">
        <f>IF(D1247="","",IF(OR(D1247=Plano!$A$1,D1247=Plano!$B$1),"entrada","saída"))</f>
        <v>saída</v>
      </c>
      <c r="T1247" s="332" t="s">
        <v>114</v>
      </c>
      <c r="U1247" s="332" t="s">
        <v>114</v>
      </c>
      <c r="V1247" s="269"/>
      <c r="W1247" s="269"/>
      <c r="X1247" s="269"/>
      <c r="Y1247" s="269"/>
      <c r="Z1247" s="269"/>
      <c r="AA1247" s="269"/>
      <c r="AB1247" s="269"/>
      <c r="AC1247" s="269"/>
      <c r="AD1247" s="269"/>
      <c r="AE1247" s="269"/>
      <c r="AF1247" s="269"/>
      <c r="AG1247" s="269"/>
      <c r="AH1247" s="269"/>
      <c r="AI1247" s="269"/>
      <c r="AJ1247" s="269"/>
      <c r="AK1247" s="269"/>
      <c r="AL1247" s="269"/>
      <c r="AM1247" s="269"/>
    </row>
    <row r="1248" spans="1:39" ht="50.25" customHeight="1" x14ac:dyDescent="0.2">
      <c r="A1248" s="277">
        <f>IF(B1248="","",COUNT('Diário 5º PA'!$A$5:$A$2634)+COUNT('Diário 6º PA'!$A$5:$A$2246)+ROW()-4)</f>
        <v>3787</v>
      </c>
      <c r="B1248" s="278">
        <v>44459</v>
      </c>
      <c r="C1248" s="249">
        <v>44348</v>
      </c>
      <c r="D1248" s="250" t="s">
        <v>99</v>
      </c>
      <c r="E1248" s="250" t="s">
        <v>358</v>
      </c>
      <c r="F1248" s="251">
        <v>155</v>
      </c>
      <c r="G1248" s="452" t="s">
        <v>677</v>
      </c>
      <c r="H1248" s="250" t="s">
        <v>128</v>
      </c>
      <c r="I1248" s="250" t="s">
        <v>530</v>
      </c>
      <c r="J1248" s="440" t="s">
        <v>114</v>
      </c>
      <c r="K1248" s="440" t="s">
        <v>466</v>
      </c>
      <c r="L1248" s="440" t="s">
        <v>547</v>
      </c>
      <c r="M1248" s="277" t="s">
        <v>114</v>
      </c>
      <c r="N1248" s="278">
        <v>44439</v>
      </c>
      <c r="O1248" s="329" t="s">
        <v>67</v>
      </c>
      <c r="P1248" s="330">
        <f t="shared" si="124"/>
        <v>9</v>
      </c>
      <c r="Q1248" s="330">
        <f t="shared" si="125"/>
        <v>6</v>
      </c>
      <c r="R1248" s="331" t="str">
        <f t="shared" si="126"/>
        <v>Gastos_Gerais</v>
      </c>
      <c r="S1248" s="331" t="str">
        <f>IF(D1248="","",IF(OR(D1248=Plano!$A$1,D1248=Plano!$B$1),"entrada","saída"))</f>
        <v>saída</v>
      </c>
      <c r="T1248" s="334" t="s">
        <v>114</v>
      </c>
      <c r="U1248" s="334" t="s">
        <v>114</v>
      </c>
      <c r="V1248" s="269"/>
      <c r="W1248" s="269"/>
      <c r="X1248" s="269"/>
      <c r="Y1248" s="269"/>
      <c r="Z1248" s="269"/>
      <c r="AA1248" s="269"/>
      <c r="AB1248" s="269"/>
      <c r="AC1248" s="269"/>
      <c r="AD1248" s="269"/>
      <c r="AE1248" s="269"/>
      <c r="AF1248" s="269"/>
      <c r="AG1248" s="269"/>
      <c r="AH1248" s="269"/>
      <c r="AI1248" s="269"/>
      <c r="AJ1248" s="269"/>
      <c r="AK1248" s="269"/>
      <c r="AL1248" s="269"/>
      <c r="AM1248" s="269"/>
    </row>
    <row r="1249" spans="1:39" ht="50.25" customHeight="1" x14ac:dyDescent="0.2">
      <c r="A1249" s="277">
        <f>IF(B1249="","",COUNT('Diário 5º PA'!$A$5:$A$2634)+COUNT('Diário 6º PA'!$A$5:$A$2246)+ROW()-4)</f>
        <v>3788</v>
      </c>
      <c r="B1249" s="278">
        <v>44459</v>
      </c>
      <c r="C1249" s="249">
        <v>44256</v>
      </c>
      <c r="D1249" s="250" t="s">
        <v>99</v>
      </c>
      <c r="E1249" s="250" t="s">
        <v>352</v>
      </c>
      <c r="F1249" s="251">
        <v>372</v>
      </c>
      <c r="G1249" s="452" t="s">
        <v>588</v>
      </c>
      <c r="H1249" s="250" t="s">
        <v>122</v>
      </c>
      <c r="I1249" s="250" t="s">
        <v>530</v>
      </c>
      <c r="J1249" s="440" t="s">
        <v>114</v>
      </c>
      <c r="K1249" s="440" t="s">
        <v>466</v>
      </c>
      <c r="L1249" s="440" t="s">
        <v>547</v>
      </c>
      <c r="M1249" s="277" t="s">
        <v>114</v>
      </c>
      <c r="N1249" s="278">
        <v>44439</v>
      </c>
      <c r="O1249" s="329" t="s">
        <v>67</v>
      </c>
      <c r="P1249" s="330">
        <f t="shared" si="124"/>
        <v>9</v>
      </c>
      <c r="Q1249" s="330">
        <f t="shared" si="125"/>
        <v>3</v>
      </c>
      <c r="R1249" s="331" t="str">
        <f t="shared" si="126"/>
        <v>Gastos_Gerais</v>
      </c>
      <c r="S1249" s="331" t="str">
        <f>IF(D1249="","",IF(OR(D1249=Plano!$A$1,D1249=Plano!$B$1),"entrada","saída"))</f>
        <v>saída</v>
      </c>
      <c r="T1249" s="334" t="s">
        <v>114</v>
      </c>
      <c r="U1249" s="334" t="s">
        <v>114</v>
      </c>
      <c r="V1249" s="269"/>
      <c r="W1249" s="269"/>
      <c r="X1249" s="269"/>
      <c r="Y1249" s="269"/>
      <c r="Z1249" s="269"/>
      <c r="AA1249" s="269"/>
      <c r="AB1249" s="269"/>
      <c r="AC1249" s="269"/>
      <c r="AD1249" s="269"/>
      <c r="AE1249" s="269"/>
      <c r="AF1249" s="269"/>
      <c r="AG1249" s="269"/>
      <c r="AH1249" s="269"/>
      <c r="AI1249" s="269"/>
      <c r="AJ1249" s="269"/>
      <c r="AK1249" s="269"/>
      <c r="AL1249" s="269"/>
      <c r="AM1249" s="269"/>
    </row>
    <row r="1250" spans="1:39" ht="51" customHeight="1" x14ac:dyDescent="0.2">
      <c r="A1250" s="277">
        <f>IF(B1250="","",COUNT('Diário 5º PA'!$A$5:$A$2634)+COUNT('Diário 6º PA'!$A$5:$A$2246)+ROW()-4)</f>
        <v>3789</v>
      </c>
      <c r="B1250" s="278">
        <v>44459</v>
      </c>
      <c r="C1250" s="249">
        <v>44378</v>
      </c>
      <c r="D1250" s="250" t="s">
        <v>99</v>
      </c>
      <c r="E1250" s="250" t="s">
        <v>262</v>
      </c>
      <c r="F1250" s="251">
        <v>744</v>
      </c>
      <c r="G1250" s="452" t="s">
        <v>658</v>
      </c>
      <c r="H1250" s="250" t="s">
        <v>115</v>
      </c>
      <c r="I1250" s="250" t="s">
        <v>530</v>
      </c>
      <c r="J1250" s="440" t="s">
        <v>114</v>
      </c>
      <c r="K1250" s="440" t="s">
        <v>466</v>
      </c>
      <c r="L1250" s="440" t="s">
        <v>547</v>
      </c>
      <c r="M1250" s="277" t="s">
        <v>114</v>
      </c>
      <c r="N1250" s="278">
        <v>44439</v>
      </c>
      <c r="O1250" s="329" t="s">
        <v>67</v>
      </c>
      <c r="P1250" s="330">
        <f t="shared" si="124"/>
        <v>9</v>
      </c>
      <c r="Q1250" s="330">
        <f t="shared" si="125"/>
        <v>7</v>
      </c>
      <c r="R1250" s="331" t="str">
        <f t="shared" si="126"/>
        <v>Gastos_Gerais</v>
      </c>
      <c r="S1250" s="331" t="str">
        <f>IF(D1250="","",IF(OR(D1250=Plano!$A$1,D1250=Plano!$B$1),"entrada","saída"))</f>
        <v>saída</v>
      </c>
      <c r="T1250" s="334" t="s">
        <v>114</v>
      </c>
      <c r="U1250" s="334" t="s">
        <v>114</v>
      </c>
      <c r="V1250" s="269"/>
      <c r="W1250" s="269"/>
      <c r="X1250" s="269"/>
      <c r="Y1250" s="269"/>
      <c r="Z1250" s="269"/>
      <c r="AA1250" s="269"/>
      <c r="AB1250" s="269"/>
      <c r="AC1250" s="269"/>
      <c r="AD1250" s="269"/>
      <c r="AE1250" s="269"/>
      <c r="AF1250" s="269"/>
      <c r="AG1250" s="269"/>
      <c r="AH1250" s="269"/>
      <c r="AI1250" s="269"/>
      <c r="AJ1250" s="269"/>
      <c r="AK1250" s="269"/>
      <c r="AL1250" s="269"/>
      <c r="AM1250" s="269"/>
    </row>
    <row r="1251" spans="1:39" ht="45.75" customHeight="1" x14ac:dyDescent="0.2">
      <c r="A1251" s="277">
        <f>IF(B1251="","",COUNT('Diário 5º PA'!$A$5:$A$2634)+COUNT('Diário 6º PA'!$A$5:$A$2246)+ROW()-4)</f>
        <v>3790</v>
      </c>
      <c r="B1251" s="278">
        <v>44459</v>
      </c>
      <c r="C1251" s="249">
        <v>44378</v>
      </c>
      <c r="D1251" s="250" t="s">
        <v>99</v>
      </c>
      <c r="E1251" s="250" t="s">
        <v>262</v>
      </c>
      <c r="F1251" s="251">
        <v>930</v>
      </c>
      <c r="G1251" s="452" t="s">
        <v>595</v>
      </c>
      <c r="H1251" s="250" t="s">
        <v>127</v>
      </c>
      <c r="I1251" s="252" t="s">
        <v>530</v>
      </c>
      <c r="J1251" s="440" t="s">
        <v>114</v>
      </c>
      <c r="K1251" s="440" t="s">
        <v>466</v>
      </c>
      <c r="L1251" s="440" t="s">
        <v>547</v>
      </c>
      <c r="M1251" s="277" t="s">
        <v>114</v>
      </c>
      <c r="N1251" s="278">
        <v>44439</v>
      </c>
      <c r="O1251" s="329" t="s">
        <v>67</v>
      </c>
      <c r="P1251" s="330">
        <f t="shared" ref="P1251:P1352" si="148">IF(B1251=0,0,IF(YEAR(B1251)=$Q$1,MONTH(B1251)-$P$1+1,(YEAR(B1251)-$Q$1)*12-$P$1+1+MONTH(B1251)))</f>
        <v>9</v>
      </c>
      <c r="Q1251" s="330">
        <f t="shared" ref="Q1251:Q1352" si="149">IF(C1251=0,0,IF(YEAR(C1251)=$Q$1,MONTH(C1251)-$P$1+1,(YEAR(C1251)-$Q$1)*12-$P$1+1+MONTH(C1251)))</f>
        <v>7</v>
      </c>
      <c r="R1251" s="331" t="str">
        <f t="shared" ref="R1251:R1352" si="150">SUBSTITUTE(D1251," ","_")</f>
        <v>Gastos_Gerais</v>
      </c>
      <c r="S1251" s="331" t="str">
        <f>IF(D1251="","",IF(OR(D1251=Plano!$A$1,D1251=Plano!$B$1),"entrada","saída"))</f>
        <v>saída</v>
      </c>
      <c r="T1251" s="334" t="s">
        <v>114</v>
      </c>
      <c r="U1251" s="334" t="s">
        <v>114</v>
      </c>
      <c r="V1251" s="269"/>
      <c r="W1251" s="269"/>
      <c r="X1251" s="269"/>
      <c r="Y1251" s="269"/>
      <c r="Z1251" s="269"/>
      <c r="AA1251" s="269"/>
      <c r="AB1251" s="269"/>
      <c r="AC1251" s="269"/>
      <c r="AD1251" s="269"/>
      <c r="AE1251" s="269"/>
      <c r="AF1251" s="269"/>
      <c r="AG1251" s="269"/>
      <c r="AH1251" s="269"/>
      <c r="AI1251" s="269"/>
      <c r="AJ1251" s="269"/>
      <c r="AK1251" s="269"/>
      <c r="AL1251" s="269"/>
      <c r="AM1251" s="269"/>
    </row>
    <row r="1252" spans="1:39" ht="45.75" customHeight="1" x14ac:dyDescent="0.2">
      <c r="A1252" s="277">
        <f>IF(B1252="","",COUNT('Diário 5º PA'!$A$5:$A$2634)+COUNT('Diário 6º PA'!$A$5:$A$2246)+ROW()-4)</f>
        <v>3791</v>
      </c>
      <c r="B1252" s="278">
        <v>44459</v>
      </c>
      <c r="C1252" s="249">
        <v>44317</v>
      </c>
      <c r="D1252" s="250" t="s">
        <v>99</v>
      </c>
      <c r="E1252" s="250" t="s">
        <v>386</v>
      </c>
      <c r="F1252" s="251">
        <v>713</v>
      </c>
      <c r="G1252" s="452" t="s">
        <v>650</v>
      </c>
      <c r="H1252" s="250" t="s">
        <v>131</v>
      </c>
      <c r="I1252" s="250" t="s">
        <v>530</v>
      </c>
      <c r="J1252" s="440" t="s">
        <v>114</v>
      </c>
      <c r="K1252" s="440" t="s">
        <v>466</v>
      </c>
      <c r="L1252" s="440" t="s">
        <v>547</v>
      </c>
      <c r="M1252" s="277" t="s">
        <v>114</v>
      </c>
      <c r="N1252" s="278">
        <v>44439</v>
      </c>
      <c r="O1252" s="329" t="s">
        <v>67</v>
      </c>
      <c r="P1252" s="330">
        <f t="shared" si="148"/>
        <v>9</v>
      </c>
      <c r="Q1252" s="330">
        <f t="shared" si="149"/>
        <v>5</v>
      </c>
      <c r="R1252" s="331" t="str">
        <f t="shared" si="150"/>
        <v>Gastos_Gerais</v>
      </c>
      <c r="S1252" s="331" t="str">
        <f>IF(D1252="","",IF(OR(D1252=Plano!$A$1,D1252=Plano!$B$1),"entrada","saída"))</f>
        <v>saída</v>
      </c>
      <c r="T1252" s="334" t="s">
        <v>114</v>
      </c>
      <c r="U1252" s="334" t="s">
        <v>114</v>
      </c>
      <c r="V1252" s="269"/>
      <c r="W1252" s="269"/>
      <c r="X1252" s="269"/>
      <c r="Y1252" s="269"/>
      <c r="Z1252" s="269"/>
      <c r="AA1252" s="269"/>
      <c r="AB1252" s="269"/>
      <c r="AC1252" s="269"/>
      <c r="AD1252" s="269"/>
      <c r="AE1252" s="269"/>
      <c r="AF1252" s="269"/>
      <c r="AG1252" s="269"/>
      <c r="AH1252" s="269"/>
      <c r="AI1252" s="269"/>
      <c r="AJ1252" s="269"/>
      <c r="AK1252" s="269"/>
      <c r="AL1252" s="269"/>
      <c r="AM1252" s="269"/>
    </row>
    <row r="1253" spans="1:39" ht="36.75" customHeight="1" x14ac:dyDescent="0.2">
      <c r="A1253" s="277">
        <f>IF(B1253="","",COUNT('Diário 5º PA'!$A$5:$A$2634)+COUNT('Diário 6º PA'!$A$5:$A$2246)+ROW()-4)</f>
        <v>3792</v>
      </c>
      <c r="B1253" s="278">
        <v>44459</v>
      </c>
      <c r="C1253" s="249">
        <v>44317</v>
      </c>
      <c r="D1253" s="250" t="s">
        <v>99</v>
      </c>
      <c r="E1253" s="250" t="s">
        <v>364</v>
      </c>
      <c r="F1253" s="251">
        <v>1550</v>
      </c>
      <c r="G1253" s="452" t="s">
        <v>655</v>
      </c>
      <c r="H1253" s="250" t="s">
        <v>131</v>
      </c>
      <c r="I1253" s="250" t="s">
        <v>530</v>
      </c>
      <c r="J1253" s="440" t="s">
        <v>114</v>
      </c>
      <c r="K1253" s="440" t="s">
        <v>466</v>
      </c>
      <c r="L1253" s="440" t="s">
        <v>547</v>
      </c>
      <c r="M1253" s="277" t="s">
        <v>114</v>
      </c>
      <c r="N1253" s="278">
        <v>44439</v>
      </c>
      <c r="O1253" s="329" t="s">
        <v>67</v>
      </c>
      <c r="P1253" s="330">
        <f t="shared" si="148"/>
        <v>9</v>
      </c>
      <c r="Q1253" s="330">
        <f t="shared" si="149"/>
        <v>5</v>
      </c>
      <c r="R1253" s="331" t="str">
        <f t="shared" si="150"/>
        <v>Gastos_Gerais</v>
      </c>
      <c r="S1253" s="331" t="str">
        <f>IF(D1253="","",IF(OR(D1253=Plano!$A$1,D1253=Plano!$B$1),"entrada","saída"))</f>
        <v>saída</v>
      </c>
      <c r="T1253" s="334" t="s">
        <v>114</v>
      </c>
      <c r="U1253" s="334" t="s">
        <v>114</v>
      </c>
      <c r="V1253" s="269"/>
      <c r="W1253" s="269"/>
      <c r="X1253" s="269"/>
      <c r="Y1253" s="269"/>
      <c r="Z1253" s="269"/>
      <c r="AA1253" s="269"/>
      <c r="AB1253" s="269"/>
      <c r="AC1253" s="269"/>
      <c r="AD1253" s="269"/>
      <c r="AE1253" s="269"/>
      <c r="AF1253" s="269"/>
      <c r="AG1253" s="269"/>
      <c r="AH1253" s="269"/>
      <c r="AI1253" s="269"/>
      <c r="AJ1253" s="269"/>
      <c r="AK1253" s="269"/>
      <c r="AL1253" s="269"/>
      <c r="AM1253" s="269"/>
    </row>
    <row r="1254" spans="1:39" ht="49.5" customHeight="1" x14ac:dyDescent="0.2">
      <c r="A1254" s="277">
        <f>IF(B1254="","",COUNT('Diário 5º PA'!$A$5:$A$2634)+COUNT('Diário 6º PA'!$A$5:$A$2246)+ROW()-4)</f>
        <v>3793</v>
      </c>
      <c r="B1254" s="278">
        <v>44459</v>
      </c>
      <c r="C1254" s="249">
        <v>44378</v>
      </c>
      <c r="D1254" s="250" t="s">
        <v>99</v>
      </c>
      <c r="E1254" s="250" t="s">
        <v>330</v>
      </c>
      <c r="F1254" s="251">
        <v>465</v>
      </c>
      <c r="G1254" s="452" t="s">
        <v>573</v>
      </c>
      <c r="H1254" s="250" t="s">
        <v>128</v>
      </c>
      <c r="I1254" s="252" t="s">
        <v>530</v>
      </c>
      <c r="J1254" s="440" t="s">
        <v>114</v>
      </c>
      <c r="K1254" s="440" t="s">
        <v>466</v>
      </c>
      <c r="L1254" s="440" t="s">
        <v>547</v>
      </c>
      <c r="M1254" s="277" t="s">
        <v>114</v>
      </c>
      <c r="N1254" s="278">
        <v>44439</v>
      </c>
      <c r="O1254" s="329" t="s">
        <v>67</v>
      </c>
      <c r="P1254" s="330">
        <f t="shared" si="148"/>
        <v>9</v>
      </c>
      <c r="Q1254" s="330">
        <f t="shared" si="149"/>
        <v>7</v>
      </c>
      <c r="R1254" s="331" t="str">
        <f t="shared" si="150"/>
        <v>Gastos_Gerais</v>
      </c>
      <c r="S1254" s="331" t="str">
        <f>IF(D1254="","",IF(OR(D1254=Plano!$A$1,D1254=Plano!$B$1),"entrada","saída"))</f>
        <v>saída</v>
      </c>
      <c r="T1254" s="334" t="s">
        <v>114</v>
      </c>
      <c r="U1254" s="334" t="s">
        <v>114</v>
      </c>
      <c r="V1254" s="269"/>
      <c r="W1254" s="269"/>
      <c r="X1254" s="269"/>
      <c r="Y1254" s="269"/>
      <c r="Z1254" s="269"/>
      <c r="AA1254" s="269"/>
      <c r="AB1254" s="269"/>
      <c r="AC1254" s="269"/>
      <c r="AD1254" s="269"/>
      <c r="AE1254" s="269"/>
      <c r="AF1254" s="269"/>
      <c r="AG1254" s="269"/>
      <c r="AH1254" s="269"/>
      <c r="AI1254" s="269"/>
      <c r="AJ1254" s="269"/>
      <c r="AK1254" s="269"/>
      <c r="AL1254" s="269"/>
      <c r="AM1254" s="269"/>
    </row>
    <row r="1255" spans="1:39" ht="41.25" customHeight="1" x14ac:dyDescent="0.2">
      <c r="A1255" s="277">
        <f>IF(B1255="","",COUNT('Diário 5º PA'!$A$5:$A$2634)+COUNT('Diário 6º PA'!$A$5:$A$2246)+ROW()-4)</f>
        <v>3794</v>
      </c>
      <c r="B1255" s="278">
        <v>44459</v>
      </c>
      <c r="C1255" s="249">
        <v>44287</v>
      </c>
      <c r="D1255" s="250" t="s">
        <v>99</v>
      </c>
      <c r="E1255" s="250" t="s">
        <v>364</v>
      </c>
      <c r="F1255" s="258">
        <v>775</v>
      </c>
      <c r="G1255" s="452" t="s">
        <v>5196</v>
      </c>
      <c r="H1255" s="250" t="s">
        <v>122</v>
      </c>
      <c r="I1255" s="252" t="s">
        <v>530</v>
      </c>
      <c r="J1255" s="440" t="s">
        <v>114</v>
      </c>
      <c r="K1255" s="440" t="s">
        <v>466</v>
      </c>
      <c r="L1255" s="440" t="s">
        <v>547</v>
      </c>
      <c r="M1255" s="277" t="s">
        <v>114</v>
      </c>
      <c r="N1255" s="278">
        <v>44439</v>
      </c>
      <c r="O1255" s="329" t="s">
        <v>67</v>
      </c>
      <c r="P1255" s="330">
        <f t="shared" si="148"/>
        <v>9</v>
      </c>
      <c r="Q1255" s="330">
        <f t="shared" si="149"/>
        <v>4</v>
      </c>
      <c r="R1255" s="331" t="str">
        <f t="shared" si="150"/>
        <v>Gastos_Gerais</v>
      </c>
      <c r="S1255" s="331" t="str">
        <f>IF(D1255="","",IF(OR(D1255=Plano!$A$1,D1255=Plano!$B$1),"entrada","saída"))</f>
        <v>saída</v>
      </c>
      <c r="T1255" s="334" t="s">
        <v>114</v>
      </c>
      <c r="U1255" s="334" t="s">
        <v>114</v>
      </c>
      <c r="V1255" s="269"/>
      <c r="W1255" s="269"/>
      <c r="X1255" s="269"/>
      <c r="Y1255" s="269"/>
      <c r="Z1255" s="269"/>
      <c r="AA1255" s="269"/>
      <c r="AB1255" s="269"/>
      <c r="AC1255" s="269"/>
      <c r="AD1255" s="269"/>
      <c r="AE1255" s="269"/>
      <c r="AF1255" s="269"/>
      <c r="AG1255" s="269"/>
      <c r="AH1255" s="269"/>
      <c r="AI1255" s="269"/>
      <c r="AJ1255" s="269"/>
      <c r="AK1255" s="269"/>
      <c r="AL1255" s="269"/>
      <c r="AM1255" s="269"/>
    </row>
    <row r="1256" spans="1:39" ht="46.5" customHeight="1" x14ac:dyDescent="0.2">
      <c r="A1256" s="277">
        <f>IF(B1256="","",COUNT('Diário 5º PA'!$A$5:$A$2634)+COUNT('Diário 6º PA'!$A$5:$A$2246)+ROW()-4)</f>
        <v>3795</v>
      </c>
      <c r="B1256" s="278">
        <v>44459</v>
      </c>
      <c r="C1256" s="249">
        <v>44317</v>
      </c>
      <c r="D1256" s="250" t="s">
        <v>99</v>
      </c>
      <c r="E1256" s="250" t="s">
        <v>386</v>
      </c>
      <c r="F1256" s="251">
        <v>713</v>
      </c>
      <c r="G1256" s="452" t="s">
        <v>656</v>
      </c>
      <c r="H1256" s="250" t="s">
        <v>131</v>
      </c>
      <c r="I1256" s="250" t="s">
        <v>530</v>
      </c>
      <c r="J1256" s="440" t="s">
        <v>114</v>
      </c>
      <c r="K1256" s="440" t="s">
        <v>466</v>
      </c>
      <c r="L1256" s="440" t="s">
        <v>547</v>
      </c>
      <c r="M1256" s="277" t="s">
        <v>114</v>
      </c>
      <c r="N1256" s="278">
        <v>44439</v>
      </c>
      <c r="O1256" s="329" t="s">
        <v>67</v>
      </c>
      <c r="P1256" s="330">
        <f t="shared" si="148"/>
        <v>9</v>
      </c>
      <c r="Q1256" s="330">
        <f t="shared" si="149"/>
        <v>5</v>
      </c>
      <c r="R1256" s="331" t="str">
        <f t="shared" si="150"/>
        <v>Gastos_Gerais</v>
      </c>
      <c r="S1256" s="331" t="str">
        <f>IF(D1256="","",IF(OR(D1256=Plano!$A$1,D1256=Plano!$B$1),"entrada","saída"))</f>
        <v>saída</v>
      </c>
      <c r="T1256" s="334" t="s">
        <v>114</v>
      </c>
      <c r="U1256" s="334" t="s">
        <v>114</v>
      </c>
      <c r="V1256" s="269"/>
      <c r="W1256" s="269"/>
      <c r="X1256" s="269"/>
      <c r="Y1256" s="269"/>
      <c r="Z1256" s="269"/>
      <c r="AA1256" s="269"/>
      <c r="AB1256" s="269"/>
      <c r="AC1256" s="269"/>
      <c r="AD1256" s="269"/>
      <c r="AE1256" s="269"/>
      <c r="AF1256" s="269"/>
      <c r="AG1256" s="269"/>
      <c r="AH1256" s="269"/>
      <c r="AI1256" s="269"/>
      <c r="AJ1256" s="269"/>
      <c r="AK1256" s="269"/>
      <c r="AL1256" s="269"/>
      <c r="AM1256" s="269"/>
    </row>
    <row r="1257" spans="1:39" ht="51" customHeight="1" x14ac:dyDescent="0.2">
      <c r="A1257" s="277">
        <f>IF(B1257="","",COUNT('Diário 5º PA'!$A$5:$A$2634)+COUNT('Diário 6º PA'!$A$5:$A$2246)+ROW()-4)</f>
        <v>3796</v>
      </c>
      <c r="B1257" s="278">
        <v>44459</v>
      </c>
      <c r="C1257" s="249">
        <v>44348</v>
      </c>
      <c r="D1257" s="250" t="s">
        <v>99</v>
      </c>
      <c r="E1257" s="250" t="s">
        <v>358</v>
      </c>
      <c r="F1257" s="251">
        <v>155</v>
      </c>
      <c r="G1257" s="452" t="s">
        <v>679</v>
      </c>
      <c r="H1257" s="250" t="s">
        <v>127</v>
      </c>
      <c r="I1257" s="250" t="s">
        <v>530</v>
      </c>
      <c r="J1257" s="440" t="s">
        <v>114</v>
      </c>
      <c r="K1257" s="440" t="s">
        <v>466</v>
      </c>
      <c r="L1257" s="440" t="s">
        <v>547</v>
      </c>
      <c r="M1257" s="277" t="s">
        <v>114</v>
      </c>
      <c r="N1257" s="278">
        <v>44439</v>
      </c>
      <c r="O1257" s="329" t="s">
        <v>67</v>
      </c>
      <c r="P1257" s="330">
        <f t="shared" si="148"/>
        <v>9</v>
      </c>
      <c r="Q1257" s="330">
        <f t="shared" si="149"/>
        <v>6</v>
      </c>
      <c r="R1257" s="331" t="str">
        <f t="shared" si="150"/>
        <v>Gastos_Gerais</v>
      </c>
      <c r="S1257" s="331" t="str">
        <f>IF(D1257="","",IF(OR(D1257=Plano!$A$1,D1257=Plano!$B$1),"entrada","saída"))</f>
        <v>saída</v>
      </c>
      <c r="T1257" s="334" t="s">
        <v>114</v>
      </c>
      <c r="U1257" s="334" t="s">
        <v>114</v>
      </c>
      <c r="V1257" s="269"/>
      <c r="W1257" s="269"/>
      <c r="X1257" s="269"/>
      <c r="Y1257" s="269"/>
      <c r="Z1257" s="269"/>
      <c r="AA1257" s="269"/>
      <c r="AB1257" s="269"/>
      <c r="AC1257" s="269"/>
      <c r="AD1257" s="269"/>
      <c r="AE1257" s="269"/>
      <c r="AF1257" s="269"/>
      <c r="AG1257" s="269"/>
      <c r="AH1257" s="269"/>
      <c r="AI1257" s="269"/>
      <c r="AJ1257" s="269"/>
      <c r="AK1257" s="269"/>
      <c r="AL1257" s="269"/>
      <c r="AM1257" s="269"/>
    </row>
    <row r="1258" spans="1:39" ht="57" customHeight="1" x14ac:dyDescent="0.2">
      <c r="A1258" s="277">
        <f>IF(B1258="","",COUNT('Diário 5º PA'!$A$5:$A$2634)+COUNT('Diário 6º PA'!$A$5:$A$2246)+ROW()-4)</f>
        <v>3797</v>
      </c>
      <c r="B1258" s="278">
        <v>44459</v>
      </c>
      <c r="C1258" s="249">
        <v>44348</v>
      </c>
      <c r="D1258" s="250" t="s">
        <v>99</v>
      </c>
      <c r="E1258" s="250" t="s">
        <v>358</v>
      </c>
      <c r="F1258" s="251">
        <v>310</v>
      </c>
      <c r="G1258" s="452" t="s">
        <v>678</v>
      </c>
      <c r="H1258" s="250" t="s">
        <v>127</v>
      </c>
      <c r="I1258" s="250" t="s">
        <v>530</v>
      </c>
      <c r="J1258" s="440" t="s">
        <v>114</v>
      </c>
      <c r="K1258" s="440" t="s">
        <v>466</v>
      </c>
      <c r="L1258" s="440" t="s">
        <v>547</v>
      </c>
      <c r="M1258" s="277" t="s">
        <v>114</v>
      </c>
      <c r="N1258" s="278">
        <v>44439</v>
      </c>
      <c r="O1258" s="329" t="s">
        <v>67</v>
      </c>
      <c r="P1258" s="330">
        <f t="shared" si="148"/>
        <v>9</v>
      </c>
      <c r="Q1258" s="330">
        <f t="shared" si="149"/>
        <v>6</v>
      </c>
      <c r="R1258" s="331" t="str">
        <f t="shared" si="150"/>
        <v>Gastos_Gerais</v>
      </c>
      <c r="S1258" s="331" t="str">
        <f>IF(D1258="","",IF(OR(D1258=Plano!$A$1,D1258=Plano!$B$1),"entrada","saída"))</f>
        <v>saída</v>
      </c>
      <c r="T1258" s="334" t="s">
        <v>114</v>
      </c>
      <c r="U1258" s="334" t="s">
        <v>114</v>
      </c>
      <c r="V1258" s="269"/>
      <c r="W1258" s="269"/>
      <c r="X1258" s="269"/>
      <c r="Y1258" s="269"/>
      <c r="Z1258" s="269"/>
      <c r="AA1258" s="269"/>
      <c r="AB1258" s="269"/>
      <c r="AC1258" s="269"/>
      <c r="AD1258" s="269"/>
      <c r="AE1258" s="269"/>
      <c r="AF1258" s="269"/>
      <c r="AG1258" s="269"/>
      <c r="AH1258" s="269"/>
      <c r="AI1258" s="269"/>
      <c r="AJ1258" s="269"/>
      <c r="AK1258" s="269"/>
      <c r="AL1258" s="269"/>
      <c r="AM1258" s="269"/>
    </row>
    <row r="1259" spans="1:39" ht="78.75" customHeight="1" x14ac:dyDescent="0.2">
      <c r="A1259" s="277">
        <f>IF(B1259="","",COUNT('Diário 5º PA'!$A$5:$A$2634)+COUNT('Diário 6º PA'!$A$5:$A$2246)+ROW()-4)</f>
        <v>3798</v>
      </c>
      <c r="B1259" s="278">
        <v>44459</v>
      </c>
      <c r="C1259" s="249">
        <v>44409</v>
      </c>
      <c r="D1259" s="250" t="s">
        <v>99</v>
      </c>
      <c r="E1259" s="250" t="s">
        <v>244</v>
      </c>
      <c r="F1259" s="251">
        <v>2910.07</v>
      </c>
      <c r="G1259" s="452" t="s">
        <v>613</v>
      </c>
      <c r="H1259" s="250" t="s">
        <v>128</v>
      </c>
      <c r="I1259" s="252" t="s">
        <v>1490</v>
      </c>
      <c r="J1259" s="440" t="s">
        <v>615</v>
      </c>
      <c r="K1259" s="255" t="s">
        <v>560</v>
      </c>
      <c r="L1259" s="250" t="s">
        <v>992</v>
      </c>
      <c r="M1259" s="277" t="s">
        <v>5197</v>
      </c>
      <c r="N1259" s="278">
        <v>44448</v>
      </c>
      <c r="O1259" s="329" t="s">
        <v>67</v>
      </c>
      <c r="P1259" s="330">
        <f t="shared" si="148"/>
        <v>9</v>
      </c>
      <c r="Q1259" s="330">
        <f t="shared" si="149"/>
        <v>8</v>
      </c>
      <c r="R1259" s="331" t="str">
        <f t="shared" si="150"/>
        <v>Gastos_Gerais</v>
      </c>
      <c r="S1259" s="331" t="str">
        <f>IF(D1259="","",IF(OR(D1259=Plano!$A$1,D1259=Plano!$B$1),"entrada","saída"))</f>
        <v>saída</v>
      </c>
      <c r="T1259" s="449" t="s">
        <v>1059</v>
      </c>
      <c r="U1259" s="449">
        <v>1501</v>
      </c>
      <c r="V1259" s="269"/>
      <c r="W1259" s="269"/>
      <c r="X1259" s="269"/>
      <c r="Y1259" s="269"/>
      <c r="Z1259" s="269"/>
      <c r="AA1259" s="269"/>
      <c r="AB1259" s="269"/>
      <c r="AC1259" s="269"/>
      <c r="AD1259" s="269"/>
      <c r="AE1259" s="269"/>
      <c r="AF1259" s="269"/>
      <c r="AG1259" s="269"/>
      <c r="AH1259" s="269"/>
      <c r="AI1259" s="269"/>
      <c r="AJ1259" s="269"/>
      <c r="AK1259" s="269"/>
      <c r="AL1259" s="269"/>
      <c r="AM1259" s="269"/>
    </row>
    <row r="1260" spans="1:39" ht="40.5" customHeight="1" x14ac:dyDescent="0.2">
      <c r="A1260" s="277">
        <f>IF(B1260="","",COUNT('Diário 5º PA'!$A$5:$A$2634)+COUNT('Diário 6º PA'!$A$5:$A$2246)+ROW()-4)</f>
        <v>3799</v>
      </c>
      <c r="B1260" s="278">
        <v>44459</v>
      </c>
      <c r="C1260" s="249">
        <v>44348</v>
      </c>
      <c r="D1260" s="250" t="s">
        <v>88</v>
      </c>
      <c r="E1260" s="250" t="s">
        <v>90</v>
      </c>
      <c r="F1260" s="251">
        <v>13.85</v>
      </c>
      <c r="G1260" s="452" t="s">
        <v>584</v>
      </c>
      <c r="H1260" s="250" t="s">
        <v>114</v>
      </c>
      <c r="I1260" s="443" t="s">
        <v>488</v>
      </c>
      <c r="J1260" s="440" t="s">
        <v>114</v>
      </c>
      <c r="K1260" s="440" t="s">
        <v>466</v>
      </c>
      <c r="L1260" s="440" t="s">
        <v>489</v>
      </c>
      <c r="M1260" s="277" t="s">
        <v>114</v>
      </c>
      <c r="N1260" s="278">
        <v>44439</v>
      </c>
      <c r="O1260" s="329" t="s">
        <v>67</v>
      </c>
      <c r="P1260" s="330">
        <f t="shared" si="148"/>
        <v>9</v>
      </c>
      <c r="Q1260" s="330">
        <f t="shared" si="149"/>
        <v>6</v>
      </c>
      <c r="R1260" s="331" t="str">
        <f t="shared" si="150"/>
        <v>Gastos_com_Pessoal</v>
      </c>
      <c r="S1260" s="331" t="str">
        <f>IF(D1260="","",IF(OR(D1260=Plano!$A$1,D1260=Plano!$B$1),"entrada","saída"))</f>
        <v>saída</v>
      </c>
      <c r="T1260" s="449" t="s">
        <v>114</v>
      </c>
      <c r="U1260" s="449" t="s">
        <v>114</v>
      </c>
      <c r="V1260" s="269"/>
      <c r="W1260" s="269"/>
      <c r="X1260" s="269"/>
      <c r="Y1260" s="269"/>
      <c r="Z1260" s="269"/>
      <c r="AA1260" s="269"/>
      <c r="AB1260" s="269"/>
      <c r="AC1260" s="269"/>
      <c r="AD1260" s="269"/>
      <c r="AE1260" s="269"/>
      <c r="AF1260" s="269"/>
      <c r="AG1260" s="269"/>
      <c r="AH1260" s="269"/>
      <c r="AI1260" s="269"/>
      <c r="AJ1260" s="269"/>
      <c r="AK1260" s="269"/>
      <c r="AL1260" s="269"/>
      <c r="AM1260" s="269"/>
    </row>
    <row r="1261" spans="1:39" ht="51" customHeight="1" x14ac:dyDescent="0.2">
      <c r="A1261" s="277">
        <f>IF(B1261="","",COUNT('Diário 5º PA'!$A$5:$A$2634)+COUNT('Diário 6º PA'!$A$5:$A$2246)+ROW()-4)</f>
        <v>3800</v>
      </c>
      <c r="B1261" s="278">
        <v>44459</v>
      </c>
      <c r="C1261" s="249">
        <v>44378</v>
      </c>
      <c r="D1261" s="250" t="s">
        <v>99</v>
      </c>
      <c r="E1261" s="250" t="s">
        <v>228</v>
      </c>
      <c r="F1261" s="251">
        <v>395.25</v>
      </c>
      <c r="G1261" s="452" t="s">
        <v>487</v>
      </c>
      <c r="H1261" s="250" t="s">
        <v>115</v>
      </c>
      <c r="I1261" s="252" t="s">
        <v>488</v>
      </c>
      <c r="J1261" s="440" t="s">
        <v>114</v>
      </c>
      <c r="K1261" s="440" t="s">
        <v>466</v>
      </c>
      <c r="L1261" s="440" t="s">
        <v>489</v>
      </c>
      <c r="M1261" s="277" t="s">
        <v>114</v>
      </c>
      <c r="N1261" s="278">
        <v>44439</v>
      </c>
      <c r="O1261" s="329" t="s">
        <v>67</v>
      </c>
      <c r="P1261" s="330">
        <f t="shared" si="148"/>
        <v>9</v>
      </c>
      <c r="Q1261" s="330">
        <f t="shared" si="149"/>
        <v>7</v>
      </c>
      <c r="R1261" s="331" t="str">
        <f t="shared" si="150"/>
        <v>Gastos_Gerais</v>
      </c>
      <c r="S1261" s="331" t="str">
        <f>IF(D1261="","",IF(OR(D1261=Plano!$A$1,D1261=Plano!$B$1),"entrada","saída"))</f>
        <v>saída</v>
      </c>
      <c r="T1261" s="449" t="s">
        <v>114</v>
      </c>
      <c r="U1261" s="449" t="s">
        <v>114</v>
      </c>
      <c r="V1261" s="269"/>
      <c r="W1261" s="269"/>
      <c r="X1261" s="269"/>
      <c r="Y1261" s="269"/>
      <c r="Z1261" s="269"/>
      <c r="AA1261" s="269"/>
      <c r="AB1261" s="269"/>
      <c r="AC1261" s="269"/>
      <c r="AD1261" s="269"/>
      <c r="AE1261" s="269"/>
      <c r="AF1261" s="269"/>
      <c r="AG1261" s="269"/>
      <c r="AH1261" s="269"/>
      <c r="AI1261" s="269"/>
      <c r="AJ1261" s="269"/>
      <c r="AK1261" s="269"/>
      <c r="AL1261" s="269"/>
      <c r="AM1261" s="269"/>
    </row>
    <row r="1262" spans="1:39" ht="48.75" customHeight="1" x14ac:dyDescent="0.2">
      <c r="A1262" s="277">
        <f>IF(B1262="","",COUNT('Diário 5º PA'!$A$5:$A$2634)+COUNT('Diário 6º PA'!$A$5:$A$2246)+ROW()-4)</f>
        <v>3801</v>
      </c>
      <c r="B1262" s="278">
        <v>44459</v>
      </c>
      <c r="C1262" s="249">
        <v>44317</v>
      </c>
      <c r="D1262" s="250" t="s">
        <v>99</v>
      </c>
      <c r="E1262" s="250" t="s">
        <v>364</v>
      </c>
      <c r="F1262" s="251">
        <v>780.64</v>
      </c>
      <c r="G1262" s="452" t="s">
        <v>2027</v>
      </c>
      <c r="H1262" s="250" t="s">
        <v>131</v>
      </c>
      <c r="I1262" s="250" t="s">
        <v>488</v>
      </c>
      <c r="J1262" s="250" t="s">
        <v>114</v>
      </c>
      <c r="K1262" s="250" t="s">
        <v>466</v>
      </c>
      <c r="L1262" s="250" t="s">
        <v>489</v>
      </c>
      <c r="M1262" s="277" t="s">
        <v>114</v>
      </c>
      <c r="N1262" s="278">
        <v>44439</v>
      </c>
      <c r="O1262" s="329" t="s">
        <v>67</v>
      </c>
      <c r="P1262" s="330">
        <f t="shared" si="148"/>
        <v>9</v>
      </c>
      <c r="Q1262" s="330">
        <f t="shared" si="149"/>
        <v>5</v>
      </c>
      <c r="R1262" s="331" t="str">
        <f t="shared" si="150"/>
        <v>Gastos_Gerais</v>
      </c>
      <c r="S1262" s="331" t="str">
        <f>IF(D1262="","",IF(OR(D1262=Plano!$A$1,D1262=Plano!$B$1),"entrada","saída"))</f>
        <v>saída</v>
      </c>
      <c r="T1262" s="332" t="s">
        <v>114</v>
      </c>
      <c r="U1262" s="332" t="s">
        <v>114</v>
      </c>
      <c r="V1262" s="269"/>
      <c r="W1262" s="269"/>
      <c r="X1262" s="269"/>
      <c r="Y1262" s="269"/>
      <c r="Z1262" s="269"/>
      <c r="AA1262" s="269"/>
      <c r="AB1262" s="269"/>
      <c r="AC1262" s="269"/>
      <c r="AD1262" s="269"/>
      <c r="AE1262" s="269"/>
      <c r="AF1262" s="269"/>
      <c r="AG1262" s="269"/>
      <c r="AH1262" s="269"/>
      <c r="AI1262" s="269"/>
      <c r="AJ1262" s="269"/>
      <c r="AK1262" s="269"/>
      <c r="AL1262" s="269"/>
      <c r="AM1262" s="269"/>
    </row>
    <row r="1263" spans="1:39" ht="52.5" customHeight="1" x14ac:dyDescent="0.2">
      <c r="A1263" s="277">
        <f>IF(B1263="","",COUNT('Diário 5º PA'!$A$5:$A$2634)+COUNT('Diário 6º PA'!$A$5:$A$2246)+ROW()-4)</f>
        <v>3802</v>
      </c>
      <c r="B1263" s="278">
        <v>44459</v>
      </c>
      <c r="C1263" s="249">
        <v>44409</v>
      </c>
      <c r="D1263" s="250" t="s">
        <v>99</v>
      </c>
      <c r="E1263" s="250" t="s">
        <v>350</v>
      </c>
      <c r="F1263" s="251">
        <v>44.7</v>
      </c>
      <c r="G1263" s="452" t="s">
        <v>771</v>
      </c>
      <c r="H1263" s="250" t="s">
        <v>132</v>
      </c>
      <c r="I1263" s="250" t="s">
        <v>488</v>
      </c>
      <c r="J1263" s="250" t="s">
        <v>114</v>
      </c>
      <c r="K1263" s="250" t="s">
        <v>466</v>
      </c>
      <c r="L1263" s="250" t="s">
        <v>489</v>
      </c>
      <c r="M1263" s="277" t="s">
        <v>114</v>
      </c>
      <c r="N1263" s="278">
        <v>44439</v>
      </c>
      <c r="O1263" s="329" t="s">
        <v>67</v>
      </c>
      <c r="P1263" s="330">
        <f t="shared" si="148"/>
        <v>9</v>
      </c>
      <c r="Q1263" s="330">
        <f t="shared" si="149"/>
        <v>8</v>
      </c>
      <c r="R1263" s="331" t="str">
        <f t="shared" si="150"/>
        <v>Gastos_Gerais</v>
      </c>
      <c r="S1263" s="331" t="str">
        <f>IF(D1263="","",IF(OR(D1263=Plano!$A$1,D1263=Plano!$B$1),"entrada","saída"))</f>
        <v>saída</v>
      </c>
      <c r="T1263" s="332" t="s">
        <v>114</v>
      </c>
      <c r="U1263" s="332" t="s">
        <v>114</v>
      </c>
      <c r="V1263" s="269"/>
      <c r="W1263" s="269"/>
      <c r="X1263" s="269"/>
      <c r="Y1263" s="269"/>
      <c r="Z1263" s="269"/>
      <c r="AA1263" s="269"/>
      <c r="AB1263" s="269"/>
      <c r="AC1263" s="269"/>
      <c r="AD1263" s="269"/>
      <c r="AE1263" s="269"/>
      <c r="AF1263" s="269"/>
      <c r="AG1263" s="269"/>
      <c r="AH1263" s="269"/>
      <c r="AI1263" s="269"/>
      <c r="AJ1263" s="269"/>
      <c r="AK1263" s="269"/>
      <c r="AL1263" s="269"/>
      <c r="AM1263" s="269"/>
    </row>
    <row r="1264" spans="1:39" ht="33.75" customHeight="1" x14ac:dyDescent="0.2">
      <c r="A1264" s="277">
        <f>IF(B1264="","",COUNT('Diário 5º PA'!$A$5:$A$2634)+COUNT('Diário 6º PA'!$A$5:$A$2246)+ROW()-4)</f>
        <v>3803</v>
      </c>
      <c r="B1264" s="278">
        <v>44459</v>
      </c>
      <c r="C1264" s="249">
        <v>44409</v>
      </c>
      <c r="D1264" s="250" t="s">
        <v>99</v>
      </c>
      <c r="E1264" s="250" t="s">
        <v>228</v>
      </c>
      <c r="F1264" s="251">
        <v>71.63</v>
      </c>
      <c r="G1264" s="452" t="s">
        <v>490</v>
      </c>
      <c r="H1264" s="250" t="s">
        <v>115</v>
      </c>
      <c r="I1264" s="250" t="s">
        <v>488</v>
      </c>
      <c r="J1264" s="250" t="s">
        <v>114</v>
      </c>
      <c r="K1264" s="250" t="s">
        <v>466</v>
      </c>
      <c r="L1264" s="250" t="s">
        <v>489</v>
      </c>
      <c r="M1264" s="277" t="s">
        <v>114</v>
      </c>
      <c r="N1264" s="278">
        <v>44439</v>
      </c>
      <c r="O1264" s="329" t="s">
        <v>67</v>
      </c>
      <c r="P1264" s="330">
        <f t="shared" si="148"/>
        <v>9</v>
      </c>
      <c r="Q1264" s="330">
        <f t="shared" si="149"/>
        <v>8</v>
      </c>
      <c r="R1264" s="331" t="str">
        <f t="shared" si="150"/>
        <v>Gastos_Gerais</v>
      </c>
      <c r="S1264" s="331" t="str">
        <f>IF(D1264="","",IF(OR(D1264=Plano!$A$1,D1264=Plano!$B$1),"entrada","saída"))</f>
        <v>saída</v>
      </c>
      <c r="T1264" s="332" t="s">
        <v>114</v>
      </c>
      <c r="U1264" s="332" t="s">
        <v>114</v>
      </c>
      <c r="V1264" s="269"/>
      <c r="W1264" s="269"/>
      <c r="X1264" s="269"/>
      <c r="Y1264" s="269"/>
      <c r="Z1264" s="269"/>
      <c r="AA1264" s="269"/>
      <c r="AB1264" s="269"/>
      <c r="AC1264" s="269"/>
      <c r="AD1264" s="269"/>
      <c r="AE1264" s="269"/>
      <c r="AF1264" s="269"/>
      <c r="AG1264" s="269"/>
      <c r="AH1264" s="269"/>
      <c r="AI1264" s="269"/>
      <c r="AJ1264" s="269"/>
      <c r="AK1264" s="269"/>
      <c r="AL1264" s="269"/>
      <c r="AM1264" s="269"/>
    </row>
    <row r="1265" spans="1:39" ht="44.25" customHeight="1" x14ac:dyDescent="0.2">
      <c r="A1265" s="277">
        <f>IF(B1265="","",COUNT('Diário 5º PA'!$A$5:$A$2634)+COUNT('Diário 6º PA'!$A$5:$A$2246)+ROW()-4)</f>
        <v>3804</v>
      </c>
      <c r="B1265" s="278">
        <v>44459</v>
      </c>
      <c r="C1265" s="249">
        <v>44378</v>
      </c>
      <c r="D1265" s="250" t="s">
        <v>99</v>
      </c>
      <c r="E1265" s="250" t="s">
        <v>208</v>
      </c>
      <c r="F1265" s="251">
        <v>1881</v>
      </c>
      <c r="G1265" s="452" t="s">
        <v>517</v>
      </c>
      <c r="H1265" s="255" t="s">
        <v>115</v>
      </c>
      <c r="I1265" s="252" t="s">
        <v>488</v>
      </c>
      <c r="J1265" s="250" t="s">
        <v>114</v>
      </c>
      <c r="K1265" s="250" t="s">
        <v>466</v>
      </c>
      <c r="L1265" s="250" t="s">
        <v>489</v>
      </c>
      <c r="M1265" s="277" t="s">
        <v>114</v>
      </c>
      <c r="N1265" s="278">
        <v>44439</v>
      </c>
      <c r="O1265" s="329" t="s">
        <v>67</v>
      </c>
      <c r="P1265" s="330">
        <f t="shared" si="148"/>
        <v>9</v>
      </c>
      <c r="Q1265" s="330">
        <f t="shared" si="149"/>
        <v>7</v>
      </c>
      <c r="R1265" s="331" t="str">
        <f t="shared" si="150"/>
        <v>Gastos_Gerais</v>
      </c>
      <c r="S1265" s="331" t="str">
        <f>IF(D1265="","",IF(OR(D1265=Plano!$A$1,D1265=Plano!$B$1),"entrada","saída"))</f>
        <v>saída</v>
      </c>
      <c r="T1265" s="332" t="s">
        <v>114</v>
      </c>
      <c r="U1265" s="332" t="s">
        <v>114</v>
      </c>
      <c r="V1265" s="269"/>
      <c r="W1265" s="269"/>
      <c r="X1265" s="269"/>
      <c r="Y1265" s="269"/>
      <c r="Z1265" s="269"/>
      <c r="AA1265" s="269"/>
      <c r="AB1265" s="269"/>
      <c r="AC1265" s="269"/>
      <c r="AD1265" s="269"/>
      <c r="AE1265" s="269"/>
      <c r="AF1265" s="269"/>
      <c r="AG1265" s="269"/>
      <c r="AH1265" s="269"/>
      <c r="AI1265" s="269"/>
      <c r="AJ1265" s="269"/>
      <c r="AK1265" s="269"/>
      <c r="AL1265" s="269"/>
      <c r="AM1265" s="269"/>
    </row>
    <row r="1266" spans="1:39" ht="36.75" customHeight="1" x14ac:dyDescent="0.2">
      <c r="A1266" s="277">
        <f>IF(B1266="","",COUNT('Diário 5º PA'!$A$5:$A$2634)+COUNT('Diário 6º PA'!$A$5:$A$2246)+ROW()-4)</f>
        <v>3805</v>
      </c>
      <c r="B1266" s="278">
        <v>44459</v>
      </c>
      <c r="C1266" s="249">
        <v>44378</v>
      </c>
      <c r="D1266" s="250" t="s">
        <v>88</v>
      </c>
      <c r="E1266" s="250" t="s">
        <v>90</v>
      </c>
      <c r="F1266" s="251">
        <v>9736.4599999999991</v>
      </c>
      <c r="G1266" s="452" t="s">
        <v>528</v>
      </c>
      <c r="H1266" s="250" t="s">
        <v>114</v>
      </c>
      <c r="I1266" s="252" t="s">
        <v>488</v>
      </c>
      <c r="J1266" s="440" t="s">
        <v>114</v>
      </c>
      <c r="K1266" s="440" t="s">
        <v>466</v>
      </c>
      <c r="L1266" s="250" t="s">
        <v>489</v>
      </c>
      <c r="M1266" s="277" t="s">
        <v>114</v>
      </c>
      <c r="N1266" s="278">
        <v>44439</v>
      </c>
      <c r="O1266" s="329" t="s">
        <v>67</v>
      </c>
      <c r="P1266" s="330">
        <f t="shared" si="148"/>
        <v>9</v>
      </c>
      <c r="Q1266" s="330">
        <f t="shared" si="149"/>
        <v>7</v>
      </c>
      <c r="R1266" s="331" t="str">
        <f t="shared" si="150"/>
        <v>Gastos_com_Pessoal</v>
      </c>
      <c r="S1266" s="331" t="str">
        <f>IF(D1266="","",IF(OR(D1266=Plano!$A$1,D1266=Plano!$B$1),"entrada","saída"))</f>
        <v>saída</v>
      </c>
      <c r="T1266" s="332" t="s">
        <v>114</v>
      </c>
      <c r="U1266" s="332" t="s">
        <v>114</v>
      </c>
      <c r="V1266" s="269"/>
      <c r="W1266" s="269"/>
      <c r="X1266" s="269"/>
      <c r="Y1266" s="269"/>
      <c r="Z1266" s="269"/>
      <c r="AA1266" s="269"/>
      <c r="AB1266" s="269"/>
      <c r="AC1266" s="269"/>
      <c r="AD1266" s="269"/>
      <c r="AE1266" s="269"/>
      <c r="AF1266" s="269"/>
      <c r="AG1266" s="269"/>
      <c r="AH1266" s="269"/>
      <c r="AI1266" s="269"/>
      <c r="AJ1266" s="269"/>
      <c r="AK1266" s="269"/>
      <c r="AL1266" s="269"/>
      <c r="AM1266" s="269"/>
    </row>
    <row r="1267" spans="1:39" ht="38.25" customHeight="1" x14ac:dyDescent="0.2">
      <c r="A1267" s="277">
        <f>IF(B1267="","",COUNT('Diário 5º PA'!$A$5:$A$2634)+COUNT('Diário 6º PA'!$A$5:$A$2246)+ROW()-4)</f>
        <v>3806</v>
      </c>
      <c r="B1267" s="278">
        <v>44459</v>
      </c>
      <c r="C1267" s="249">
        <v>44378</v>
      </c>
      <c r="D1267" s="250" t="s">
        <v>99</v>
      </c>
      <c r="E1267" s="250" t="s">
        <v>262</v>
      </c>
      <c r="F1267" s="251">
        <v>17.399999999999999</v>
      </c>
      <c r="G1267" s="452" t="s">
        <v>657</v>
      </c>
      <c r="H1267" s="250" t="s">
        <v>115</v>
      </c>
      <c r="I1267" s="250" t="s">
        <v>488</v>
      </c>
      <c r="J1267" s="440" t="s">
        <v>114</v>
      </c>
      <c r="K1267" s="440" t="s">
        <v>466</v>
      </c>
      <c r="L1267" s="250" t="s">
        <v>489</v>
      </c>
      <c r="M1267" s="277" t="s">
        <v>114</v>
      </c>
      <c r="N1267" s="278">
        <v>44439</v>
      </c>
      <c r="O1267" s="329" t="s">
        <v>67</v>
      </c>
      <c r="P1267" s="330">
        <f t="shared" si="148"/>
        <v>9</v>
      </c>
      <c r="Q1267" s="330">
        <f t="shared" si="149"/>
        <v>7</v>
      </c>
      <c r="R1267" s="331" t="str">
        <f t="shared" si="150"/>
        <v>Gastos_Gerais</v>
      </c>
      <c r="S1267" s="331" t="str">
        <f>IF(D1267="","",IF(OR(D1267=Plano!$A$1,D1267=Plano!$B$1),"entrada","saída"))</f>
        <v>saída</v>
      </c>
      <c r="T1267" s="332" t="s">
        <v>114</v>
      </c>
      <c r="U1267" s="332" t="s">
        <v>114</v>
      </c>
      <c r="V1267" s="269"/>
      <c r="W1267" s="269"/>
      <c r="X1267" s="269"/>
      <c r="Y1267" s="269"/>
      <c r="Z1267" s="269"/>
      <c r="AA1267" s="269"/>
      <c r="AB1267" s="269"/>
      <c r="AC1267" s="269"/>
      <c r="AD1267" s="269"/>
      <c r="AE1267" s="269"/>
      <c r="AF1267" s="269"/>
      <c r="AG1267" s="269"/>
      <c r="AH1267" s="269"/>
      <c r="AI1267" s="269"/>
      <c r="AJ1267" s="269"/>
      <c r="AK1267" s="269"/>
      <c r="AL1267" s="269"/>
      <c r="AM1267" s="269"/>
    </row>
    <row r="1268" spans="1:39" ht="54.75" customHeight="1" x14ac:dyDescent="0.2">
      <c r="A1268" s="277">
        <f>IF(B1268="","",COUNT('Diário 5º PA'!$A$5:$A$2634)+COUNT('Diário 6º PA'!$A$5:$A$2246)+ROW()-4)</f>
        <v>3807</v>
      </c>
      <c r="B1268" s="278">
        <v>44428</v>
      </c>
      <c r="C1268" s="249">
        <v>44378</v>
      </c>
      <c r="D1268" s="250" t="s">
        <v>99</v>
      </c>
      <c r="E1268" s="250" t="s">
        <v>262</v>
      </c>
      <c r="F1268" s="251">
        <v>57.45</v>
      </c>
      <c r="G1268" s="452" t="s">
        <v>5199</v>
      </c>
      <c r="H1268" s="250" t="s">
        <v>127</v>
      </c>
      <c r="I1268" s="250" t="s">
        <v>488</v>
      </c>
      <c r="J1268" s="440" t="s">
        <v>114</v>
      </c>
      <c r="K1268" s="440" t="s">
        <v>466</v>
      </c>
      <c r="L1268" s="250" t="s">
        <v>489</v>
      </c>
      <c r="M1268" s="277" t="s">
        <v>114</v>
      </c>
      <c r="N1268" s="278">
        <v>44439</v>
      </c>
      <c r="O1268" s="329" t="s">
        <v>67</v>
      </c>
      <c r="P1268" s="330">
        <f t="shared" si="148"/>
        <v>8</v>
      </c>
      <c r="Q1268" s="330">
        <f t="shared" si="149"/>
        <v>7</v>
      </c>
      <c r="R1268" s="331" t="str">
        <f t="shared" si="150"/>
        <v>Gastos_Gerais</v>
      </c>
      <c r="S1268" s="331" t="str">
        <f>IF(D1268="","",IF(OR(D1268=Plano!$A$1,D1268=Plano!$B$1),"entrada","saída"))</f>
        <v>saída</v>
      </c>
      <c r="T1268" s="332" t="s">
        <v>114</v>
      </c>
      <c r="U1268" s="332" t="s">
        <v>114</v>
      </c>
      <c r="V1268" s="269"/>
      <c r="W1268" s="269"/>
      <c r="X1268" s="269"/>
      <c r="Y1268" s="269"/>
      <c r="Z1268" s="269"/>
      <c r="AA1268" s="269"/>
      <c r="AB1268" s="269"/>
      <c r="AC1268" s="269"/>
      <c r="AD1268" s="269"/>
      <c r="AE1268" s="269"/>
      <c r="AF1268" s="269"/>
      <c r="AG1268" s="269"/>
      <c r="AH1268" s="269"/>
      <c r="AI1268" s="269"/>
      <c r="AJ1268" s="269"/>
      <c r="AK1268" s="269"/>
      <c r="AL1268" s="269"/>
      <c r="AM1268" s="269"/>
    </row>
    <row r="1269" spans="1:39" ht="53.25" customHeight="1" x14ac:dyDescent="0.2">
      <c r="A1269" s="277">
        <f>IF(B1269="","",COUNT('Diário 5º PA'!$A$5:$A$2634)+COUNT('Diário 6º PA'!$A$5:$A$2246)+ROW()-4)</f>
        <v>3808</v>
      </c>
      <c r="B1269" s="278">
        <v>44459</v>
      </c>
      <c r="C1269" s="249">
        <v>44317</v>
      </c>
      <c r="D1269" s="250" t="s">
        <v>99</v>
      </c>
      <c r="E1269" s="250" t="s">
        <v>386</v>
      </c>
      <c r="F1269" s="251">
        <v>10.73</v>
      </c>
      <c r="G1269" s="452" t="s">
        <v>5200</v>
      </c>
      <c r="H1269" s="250" t="s">
        <v>131</v>
      </c>
      <c r="I1269" s="250" t="s">
        <v>488</v>
      </c>
      <c r="J1269" s="440" t="s">
        <v>114</v>
      </c>
      <c r="K1269" s="440" t="s">
        <v>466</v>
      </c>
      <c r="L1269" s="250" t="s">
        <v>489</v>
      </c>
      <c r="M1269" s="277" t="s">
        <v>114</v>
      </c>
      <c r="N1269" s="278">
        <v>44439</v>
      </c>
      <c r="O1269" s="329" t="s">
        <v>67</v>
      </c>
      <c r="P1269" s="330">
        <f t="shared" si="148"/>
        <v>9</v>
      </c>
      <c r="Q1269" s="330">
        <f t="shared" si="149"/>
        <v>5</v>
      </c>
      <c r="R1269" s="331" t="str">
        <f t="shared" si="150"/>
        <v>Gastos_Gerais</v>
      </c>
      <c r="S1269" s="331" t="str">
        <f>IF(D1269="","",IF(OR(D1269=Plano!$A$1,D1269=Plano!$B$1),"entrada","saída"))</f>
        <v>saída</v>
      </c>
      <c r="T1269" s="332" t="s">
        <v>114</v>
      </c>
      <c r="U1269" s="332" t="s">
        <v>114</v>
      </c>
      <c r="V1269" s="269"/>
      <c r="W1269" s="269"/>
      <c r="X1269" s="269"/>
      <c r="Y1269" s="269"/>
      <c r="Z1269" s="269"/>
      <c r="AA1269" s="269"/>
      <c r="AB1269" s="269"/>
      <c r="AC1269" s="269"/>
      <c r="AD1269" s="269"/>
      <c r="AE1269" s="269"/>
      <c r="AF1269" s="269"/>
      <c r="AG1269" s="269"/>
      <c r="AH1269" s="269"/>
      <c r="AI1269" s="269"/>
      <c r="AJ1269" s="269"/>
      <c r="AK1269" s="269"/>
      <c r="AL1269" s="269"/>
      <c r="AM1269" s="269"/>
    </row>
    <row r="1270" spans="1:39" ht="58.5" customHeight="1" x14ac:dyDescent="0.2">
      <c r="A1270" s="277">
        <f>IF(B1270="","",COUNT('Diário 5º PA'!$A$5:$A$2634)+COUNT('Diário 6º PA'!$A$5:$A$2246)+ROW()-4)</f>
        <v>3809</v>
      </c>
      <c r="B1270" s="278">
        <v>44459</v>
      </c>
      <c r="C1270" s="249">
        <v>44317</v>
      </c>
      <c r="D1270" s="250" t="s">
        <v>99</v>
      </c>
      <c r="E1270" s="250" t="s">
        <v>364</v>
      </c>
      <c r="F1270" s="251">
        <v>365.12</v>
      </c>
      <c r="G1270" s="452" t="s">
        <v>654</v>
      </c>
      <c r="H1270" s="250" t="s">
        <v>131</v>
      </c>
      <c r="I1270" s="250" t="s">
        <v>488</v>
      </c>
      <c r="J1270" s="440" t="s">
        <v>114</v>
      </c>
      <c r="K1270" s="440" t="s">
        <v>466</v>
      </c>
      <c r="L1270" s="250" t="s">
        <v>489</v>
      </c>
      <c r="M1270" s="277" t="s">
        <v>114</v>
      </c>
      <c r="N1270" s="278">
        <v>44439</v>
      </c>
      <c r="O1270" s="329" t="s">
        <v>67</v>
      </c>
      <c r="P1270" s="330">
        <f t="shared" si="148"/>
        <v>9</v>
      </c>
      <c r="Q1270" s="330">
        <f t="shared" si="149"/>
        <v>5</v>
      </c>
      <c r="R1270" s="331" t="str">
        <f t="shared" si="150"/>
        <v>Gastos_Gerais</v>
      </c>
      <c r="S1270" s="331" t="str">
        <f>IF(D1270="","",IF(OR(D1270=Plano!$A$1,D1270=Plano!$B$1),"entrada","saída"))</f>
        <v>saída</v>
      </c>
      <c r="T1270" s="332" t="s">
        <v>114</v>
      </c>
      <c r="U1270" s="332" t="s">
        <v>114</v>
      </c>
      <c r="V1270" s="269"/>
      <c r="W1270" s="269"/>
      <c r="X1270" s="269"/>
      <c r="Y1270" s="269"/>
      <c r="Z1270" s="269"/>
      <c r="AA1270" s="269"/>
      <c r="AB1270" s="269"/>
      <c r="AC1270" s="269"/>
      <c r="AD1270" s="269"/>
      <c r="AE1270" s="269"/>
      <c r="AF1270" s="269"/>
      <c r="AG1270" s="269"/>
      <c r="AH1270" s="269"/>
      <c r="AI1270" s="269"/>
      <c r="AJ1270" s="269"/>
      <c r="AK1270" s="269"/>
      <c r="AL1270" s="269"/>
      <c r="AM1270" s="269"/>
    </row>
    <row r="1271" spans="1:39" ht="48" customHeight="1" x14ac:dyDescent="0.2">
      <c r="A1271" s="277">
        <f>IF(B1271="","",COUNT('Diário 5º PA'!$A$5:$A$2634)+COUNT('Diário 6º PA'!$A$5:$A$2246)+ROW()-4)</f>
        <v>3810</v>
      </c>
      <c r="B1271" s="278">
        <v>44459</v>
      </c>
      <c r="C1271" s="249">
        <v>44287</v>
      </c>
      <c r="D1271" s="250" t="s">
        <v>99</v>
      </c>
      <c r="E1271" s="250" t="s">
        <v>364</v>
      </c>
      <c r="F1271" s="258">
        <v>24.08</v>
      </c>
      <c r="G1271" s="452" t="s">
        <v>5201</v>
      </c>
      <c r="H1271" s="250" t="s">
        <v>122</v>
      </c>
      <c r="I1271" s="250" t="s">
        <v>488</v>
      </c>
      <c r="J1271" s="440" t="s">
        <v>114</v>
      </c>
      <c r="K1271" s="440" t="s">
        <v>466</v>
      </c>
      <c r="L1271" s="250" t="s">
        <v>489</v>
      </c>
      <c r="M1271" s="277" t="s">
        <v>114</v>
      </c>
      <c r="N1271" s="278">
        <v>44439</v>
      </c>
      <c r="O1271" s="329" t="s">
        <v>67</v>
      </c>
      <c r="P1271" s="330">
        <f t="shared" si="148"/>
        <v>9</v>
      </c>
      <c r="Q1271" s="330">
        <f t="shared" si="149"/>
        <v>4</v>
      </c>
      <c r="R1271" s="331" t="str">
        <f t="shared" si="150"/>
        <v>Gastos_Gerais</v>
      </c>
      <c r="S1271" s="331" t="str">
        <f>IF(D1271="","",IF(OR(D1271=Plano!$A$1,D1271=Plano!$B$1),"entrada","saída"))</f>
        <v>saída</v>
      </c>
      <c r="T1271" s="332" t="s">
        <v>114</v>
      </c>
      <c r="U1271" s="332" t="s">
        <v>114</v>
      </c>
      <c r="V1271" s="269"/>
      <c r="W1271" s="269"/>
      <c r="X1271" s="269"/>
      <c r="Y1271" s="269"/>
      <c r="Z1271" s="269"/>
      <c r="AA1271" s="269"/>
      <c r="AB1271" s="269"/>
      <c r="AC1271" s="269"/>
      <c r="AD1271" s="269"/>
      <c r="AE1271" s="269"/>
      <c r="AF1271" s="269"/>
      <c r="AG1271" s="269"/>
      <c r="AH1271" s="269"/>
      <c r="AI1271" s="269"/>
      <c r="AJ1271" s="269"/>
      <c r="AK1271" s="269"/>
      <c r="AL1271" s="269"/>
      <c r="AM1271" s="269"/>
    </row>
    <row r="1272" spans="1:39" ht="57" customHeight="1" x14ac:dyDescent="0.2">
      <c r="A1272" s="277">
        <f>IF(B1272="","",COUNT('Diário 5º PA'!$A$5:$A$2634)+COUNT('Diário 6º PA'!$A$5:$A$2246)+ROW()-4)</f>
        <v>3811</v>
      </c>
      <c r="B1272" s="278">
        <v>44459</v>
      </c>
      <c r="C1272" s="249">
        <v>44317</v>
      </c>
      <c r="D1272" s="250" t="s">
        <v>99</v>
      </c>
      <c r="E1272" s="250" t="s">
        <v>386</v>
      </c>
      <c r="F1272" s="251">
        <v>10.73</v>
      </c>
      <c r="G1272" s="452" t="s">
        <v>5202</v>
      </c>
      <c r="H1272" s="250" t="s">
        <v>131</v>
      </c>
      <c r="I1272" s="250" t="s">
        <v>488</v>
      </c>
      <c r="J1272" s="440" t="s">
        <v>114</v>
      </c>
      <c r="K1272" s="440" t="s">
        <v>466</v>
      </c>
      <c r="L1272" s="250" t="s">
        <v>489</v>
      </c>
      <c r="M1272" s="277" t="s">
        <v>114</v>
      </c>
      <c r="N1272" s="278">
        <v>44439</v>
      </c>
      <c r="O1272" s="329" t="s">
        <v>67</v>
      </c>
      <c r="P1272" s="330">
        <f t="shared" si="148"/>
        <v>9</v>
      </c>
      <c r="Q1272" s="330">
        <f t="shared" si="149"/>
        <v>5</v>
      </c>
      <c r="R1272" s="331" t="str">
        <f t="shared" si="150"/>
        <v>Gastos_Gerais</v>
      </c>
      <c r="S1272" s="331" t="str">
        <f>IF(D1272="","",IF(OR(D1272=Plano!$A$1,D1272=Plano!$B$1),"entrada","saída"))</f>
        <v>saída</v>
      </c>
      <c r="T1272" s="332" t="s">
        <v>114</v>
      </c>
      <c r="U1272" s="332" t="s">
        <v>114</v>
      </c>
      <c r="V1272" s="269"/>
      <c r="W1272" s="269"/>
      <c r="X1272" s="269"/>
      <c r="Y1272" s="269"/>
      <c r="Z1272" s="269"/>
      <c r="AA1272" s="269"/>
      <c r="AB1272" s="269"/>
      <c r="AC1272" s="269"/>
      <c r="AD1272" s="269"/>
      <c r="AE1272" s="269"/>
      <c r="AF1272" s="269"/>
      <c r="AG1272" s="269"/>
      <c r="AH1272" s="269"/>
      <c r="AI1272" s="269"/>
      <c r="AJ1272" s="269"/>
      <c r="AK1272" s="269"/>
      <c r="AL1272" s="269"/>
      <c r="AM1272" s="269"/>
    </row>
    <row r="1273" spans="1:39" ht="45.75" customHeight="1" x14ac:dyDescent="0.2">
      <c r="A1273" s="277">
        <f>IF(B1273="","",COUNT('Diário 5º PA'!$A$5:$A$2634)+COUNT('Diário 6º PA'!$A$5:$A$2246)+ROW()-4)</f>
        <v>3812</v>
      </c>
      <c r="B1273" s="278">
        <v>44459</v>
      </c>
      <c r="C1273" s="249">
        <v>44378</v>
      </c>
      <c r="D1273" s="250" t="s">
        <v>99</v>
      </c>
      <c r="E1273" s="250" t="s">
        <v>266</v>
      </c>
      <c r="F1273" s="251">
        <v>1316.7</v>
      </c>
      <c r="G1273" s="452" t="s">
        <v>585</v>
      </c>
      <c r="H1273" s="250" t="s">
        <v>131</v>
      </c>
      <c r="I1273" s="252" t="s">
        <v>530</v>
      </c>
      <c r="J1273" s="440" t="s">
        <v>114</v>
      </c>
      <c r="K1273" s="440" t="s">
        <v>466</v>
      </c>
      <c r="L1273" s="250" t="s">
        <v>489</v>
      </c>
      <c r="M1273" s="277" t="s">
        <v>114</v>
      </c>
      <c r="N1273" s="278">
        <v>44439</v>
      </c>
      <c r="O1273" s="329" t="s">
        <v>67</v>
      </c>
      <c r="P1273" s="330">
        <f t="shared" si="148"/>
        <v>9</v>
      </c>
      <c r="Q1273" s="330">
        <f t="shared" si="149"/>
        <v>7</v>
      </c>
      <c r="R1273" s="331" t="str">
        <f t="shared" si="150"/>
        <v>Gastos_Gerais</v>
      </c>
      <c r="S1273" s="331" t="str">
        <f>IF(D1273="","",IF(OR(D1273=Plano!$A$1,D1273=Plano!$B$1),"entrada","saída"))</f>
        <v>saída</v>
      </c>
      <c r="T1273" s="332" t="s">
        <v>114</v>
      </c>
      <c r="U1273" s="332" t="s">
        <v>114</v>
      </c>
      <c r="V1273" s="269"/>
      <c r="W1273" s="269"/>
      <c r="X1273" s="269"/>
      <c r="Y1273" s="269"/>
      <c r="Z1273" s="269"/>
      <c r="AA1273" s="269"/>
      <c r="AB1273" s="269"/>
      <c r="AC1273" s="269"/>
      <c r="AD1273" s="269"/>
      <c r="AE1273" s="269"/>
      <c r="AF1273" s="269"/>
      <c r="AG1273" s="269"/>
      <c r="AH1273" s="269"/>
      <c r="AI1273" s="269"/>
      <c r="AJ1273" s="269"/>
      <c r="AK1273" s="269"/>
      <c r="AL1273" s="269"/>
      <c r="AM1273" s="269"/>
    </row>
    <row r="1274" spans="1:39" ht="30" customHeight="1" x14ac:dyDescent="0.2">
      <c r="A1274" s="277">
        <f>IF(B1274="","",COUNT('Diário 5º PA'!$A$5:$A$2634)+COUNT('Diário 6º PA'!$A$5:$A$2246)+ROW()-4)</f>
        <v>3813</v>
      </c>
      <c r="B1274" s="278">
        <v>44459</v>
      </c>
      <c r="C1274" s="259">
        <v>44409</v>
      </c>
      <c r="D1274" s="252" t="s">
        <v>88</v>
      </c>
      <c r="E1274" s="252" t="s">
        <v>90</v>
      </c>
      <c r="F1274" s="257">
        <v>12713.95</v>
      </c>
      <c r="G1274" s="451" t="s">
        <v>5203</v>
      </c>
      <c r="H1274" s="252" t="s">
        <v>114</v>
      </c>
      <c r="I1274" s="252" t="s">
        <v>530</v>
      </c>
      <c r="J1274" s="250" t="s">
        <v>114</v>
      </c>
      <c r="K1274" s="250" t="s">
        <v>466</v>
      </c>
      <c r="L1274" s="250" t="s">
        <v>547</v>
      </c>
      <c r="M1274" s="277" t="s">
        <v>114</v>
      </c>
      <c r="N1274" s="278">
        <v>44439</v>
      </c>
      <c r="O1274" s="329" t="s">
        <v>67</v>
      </c>
      <c r="P1274" s="330">
        <f t="shared" si="148"/>
        <v>9</v>
      </c>
      <c r="Q1274" s="330">
        <f t="shared" si="149"/>
        <v>8</v>
      </c>
      <c r="R1274" s="331" t="str">
        <f t="shared" si="150"/>
        <v>Gastos_com_Pessoal</v>
      </c>
      <c r="S1274" s="331" t="str">
        <f>IF(D1274="","",IF(OR(D1274=Plano!$A$1,D1274=Plano!$B$1),"entrada","saída"))</f>
        <v>saída</v>
      </c>
      <c r="T1274" s="332" t="s">
        <v>114</v>
      </c>
      <c r="U1274" s="332" t="s">
        <v>114</v>
      </c>
      <c r="V1274" s="269"/>
      <c r="W1274" s="269"/>
      <c r="X1274" s="269"/>
      <c r="Y1274" s="269"/>
      <c r="Z1274" s="269"/>
      <c r="AA1274" s="269"/>
      <c r="AB1274" s="269"/>
      <c r="AC1274" s="269"/>
      <c r="AD1274" s="269"/>
      <c r="AE1274" s="269"/>
      <c r="AF1274" s="269"/>
      <c r="AG1274" s="269"/>
      <c r="AH1274" s="269"/>
      <c r="AI1274" s="269"/>
      <c r="AJ1274" s="269"/>
      <c r="AK1274" s="269"/>
      <c r="AL1274" s="269"/>
      <c r="AM1274" s="269"/>
    </row>
    <row r="1275" spans="1:39" ht="26.25" customHeight="1" x14ac:dyDescent="0.2">
      <c r="A1275" s="277">
        <f>IF(B1275="","",COUNT('Diário 5º PA'!$A$5:$A$2634)+COUNT('Diário 6º PA'!$A$5:$A$2246)+ROW()-4)</f>
        <v>3814</v>
      </c>
      <c r="B1275" s="278">
        <v>44459</v>
      </c>
      <c r="C1275" s="249">
        <v>44409</v>
      </c>
      <c r="D1275" s="255" t="s">
        <v>88</v>
      </c>
      <c r="E1275" s="255" t="s">
        <v>167</v>
      </c>
      <c r="F1275" s="258">
        <v>41129.050000000003</v>
      </c>
      <c r="G1275" s="452" t="s">
        <v>5204</v>
      </c>
      <c r="H1275" s="255" t="s">
        <v>114</v>
      </c>
      <c r="I1275" s="250" t="s">
        <v>530</v>
      </c>
      <c r="J1275" s="250" t="s">
        <v>114</v>
      </c>
      <c r="K1275" s="255" t="s">
        <v>466</v>
      </c>
      <c r="L1275" s="250" t="s">
        <v>547</v>
      </c>
      <c r="M1275" s="277" t="s">
        <v>114</v>
      </c>
      <c r="N1275" s="278">
        <v>44439</v>
      </c>
      <c r="O1275" s="329" t="s">
        <v>67</v>
      </c>
      <c r="P1275" s="330">
        <f t="shared" si="148"/>
        <v>9</v>
      </c>
      <c r="Q1275" s="330">
        <f t="shared" si="149"/>
        <v>8</v>
      </c>
      <c r="R1275" s="331" t="str">
        <f t="shared" si="150"/>
        <v>Gastos_com_Pessoal</v>
      </c>
      <c r="S1275" s="331" t="str">
        <f>IF(D1275="","",IF(OR(D1275=Plano!$A$1,D1275=Plano!$B$1),"entrada","saída"))</f>
        <v>saída</v>
      </c>
      <c r="T1275" s="332" t="s">
        <v>114</v>
      </c>
      <c r="U1275" s="332" t="s">
        <v>114</v>
      </c>
      <c r="V1275" s="269"/>
      <c r="W1275" s="269"/>
      <c r="X1275" s="269"/>
      <c r="Y1275" s="269"/>
      <c r="Z1275" s="269"/>
      <c r="AA1275" s="269"/>
      <c r="AB1275" s="269"/>
      <c r="AC1275" s="269"/>
      <c r="AD1275" s="269"/>
      <c r="AE1275" s="269"/>
      <c r="AF1275" s="269"/>
      <c r="AG1275" s="269"/>
      <c r="AH1275" s="269"/>
      <c r="AI1275" s="269"/>
      <c r="AJ1275" s="269"/>
      <c r="AK1275" s="269"/>
      <c r="AL1275" s="269"/>
      <c r="AM1275" s="269"/>
    </row>
    <row r="1276" spans="1:39" s="446" customFormat="1" ht="42.75" customHeight="1" x14ac:dyDescent="0.2">
      <c r="A1276" s="277">
        <f>IF(B1276="","",COUNT('Diário 5º PA'!$A$5:$A$2634)+COUNT('Diário 6º PA'!$A$5:$A$2246)+ROW()-4)</f>
        <v>3815</v>
      </c>
      <c r="B1276" s="278">
        <v>44459</v>
      </c>
      <c r="C1276" s="249">
        <v>44378</v>
      </c>
      <c r="D1276" s="250" t="s">
        <v>104</v>
      </c>
      <c r="E1276" s="250" t="s">
        <v>104</v>
      </c>
      <c r="F1276" s="251">
        <v>775</v>
      </c>
      <c r="G1276" s="452" t="s">
        <v>553</v>
      </c>
      <c r="H1276" s="250" t="s">
        <v>104</v>
      </c>
      <c r="I1276" s="252" t="s">
        <v>530</v>
      </c>
      <c r="J1276" s="440" t="s">
        <v>114</v>
      </c>
      <c r="K1276" s="440" t="s">
        <v>466</v>
      </c>
      <c r="L1276" s="440" t="s">
        <v>547</v>
      </c>
      <c r="M1276" s="459" t="s">
        <v>114</v>
      </c>
      <c r="N1276" s="278">
        <v>44439</v>
      </c>
      <c r="O1276" s="329" t="s">
        <v>68</v>
      </c>
      <c r="P1276" s="330">
        <f t="shared" ref="P1276:P1279" si="151">IF(B1276=0,0,IF(YEAR(B1276)=$Q$1,MONTH(B1276)-$P$1+1,(YEAR(B1276)-$Q$1)*12-$P$1+1+MONTH(B1276)))</f>
        <v>9</v>
      </c>
      <c r="Q1276" s="330">
        <f t="shared" ref="Q1276:Q1279" si="152">IF(C1276=0,0,IF(YEAR(C1276)=$Q$1,MONTH(C1276)-$P$1+1,(YEAR(C1276)-$Q$1)*12-$P$1+1+MONTH(C1276)))</f>
        <v>7</v>
      </c>
      <c r="R1276" s="331" t="str">
        <f t="shared" ref="R1276:R1279" si="153">SUBSTITUTE(D1276," ","_")</f>
        <v>Gastos_custeados_por_captação</v>
      </c>
      <c r="S1276" s="331" t="str">
        <f>IF(D1276="","",IF(OR(D1276=Plano!$A$1,D1276=Plano!$B$1),"entrada","saída"))</f>
        <v>saída</v>
      </c>
      <c r="T1276" s="462" t="s">
        <v>114</v>
      </c>
      <c r="U1276" s="462" t="s">
        <v>114</v>
      </c>
      <c r="V1276" s="439"/>
      <c r="W1276" s="439"/>
      <c r="X1276" s="439"/>
      <c r="Y1276" s="439"/>
      <c r="Z1276" s="439"/>
      <c r="AA1276" s="439"/>
      <c r="AB1276" s="439"/>
      <c r="AC1276" s="439"/>
      <c r="AD1276" s="439"/>
      <c r="AE1276" s="439"/>
      <c r="AF1276" s="439"/>
      <c r="AG1276" s="439"/>
      <c r="AH1276" s="439"/>
      <c r="AI1276" s="439"/>
      <c r="AJ1276" s="439"/>
      <c r="AK1276" s="439"/>
      <c r="AL1276" s="439"/>
      <c r="AM1276" s="439"/>
    </row>
    <row r="1277" spans="1:39" s="446" customFormat="1" ht="45.75" customHeight="1" x14ac:dyDescent="0.2">
      <c r="A1277" s="277">
        <f>IF(B1277="","",COUNT('Diário 5º PA'!$A$5:$A$2634)+COUNT('Diário 6º PA'!$A$5:$A$2246)+ROW()-4)</f>
        <v>3816</v>
      </c>
      <c r="B1277" s="278">
        <v>44459</v>
      </c>
      <c r="C1277" s="249">
        <v>44378</v>
      </c>
      <c r="D1277" s="250" t="s">
        <v>104</v>
      </c>
      <c r="E1277" s="250" t="s">
        <v>104</v>
      </c>
      <c r="F1277" s="251">
        <v>775</v>
      </c>
      <c r="G1277" s="452" t="s">
        <v>546</v>
      </c>
      <c r="H1277" s="250" t="s">
        <v>104</v>
      </c>
      <c r="I1277" s="252" t="s">
        <v>530</v>
      </c>
      <c r="J1277" s="440" t="s">
        <v>114</v>
      </c>
      <c r="K1277" s="440" t="s">
        <v>466</v>
      </c>
      <c r="L1277" s="440" t="s">
        <v>547</v>
      </c>
      <c r="M1277" s="459" t="s">
        <v>114</v>
      </c>
      <c r="N1277" s="278">
        <v>44439</v>
      </c>
      <c r="O1277" s="329" t="s">
        <v>68</v>
      </c>
      <c r="P1277" s="330">
        <f t="shared" si="151"/>
        <v>9</v>
      </c>
      <c r="Q1277" s="330">
        <f t="shared" si="152"/>
        <v>7</v>
      </c>
      <c r="R1277" s="331" t="str">
        <f t="shared" si="153"/>
        <v>Gastos_custeados_por_captação</v>
      </c>
      <c r="S1277" s="331" t="str">
        <f>IF(D1277="","",IF(OR(D1277=Plano!$A$1,D1277=Plano!$B$1),"entrada","saída"))</f>
        <v>saída</v>
      </c>
      <c r="T1277" s="462" t="s">
        <v>114</v>
      </c>
      <c r="U1277" s="462" t="s">
        <v>114</v>
      </c>
      <c r="V1277" s="439"/>
      <c r="W1277" s="439"/>
      <c r="X1277" s="439"/>
      <c r="Y1277" s="439"/>
      <c r="Z1277" s="439"/>
      <c r="AA1277" s="439"/>
      <c r="AB1277" s="439"/>
      <c r="AC1277" s="439"/>
      <c r="AD1277" s="439"/>
      <c r="AE1277" s="439"/>
      <c r="AF1277" s="439"/>
      <c r="AG1277" s="439"/>
      <c r="AH1277" s="439"/>
      <c r="AI1277" s="439"/>
      <c r="AJ1277" s="439"/>
      <c r="AK1277" s="439"/>
      <c r="AL1277" s="439"/>
      <c r="AM1277" s="439"/>
    </row>
    <row r="1278" spans="1:39" s="446" customFormat="1" ht="37.5" customHeight="1" x14ac:dyDescent="0.2">
      <c r="A1278" s="277">
        <f>IF(B1278="","",COUNT('Diário 5º PA'!$A$5:$A$2634)+COUNT('Diário 6º PA'!$A$5:$A$2246)+ROW()-4)</f>
        <v>3817</v>
      </c>
      <c r="B1278" s="278">
        <v>44459</v>
      </c>
      <c r="C1278" s="249">
        <v>44378</v>
      </c>
      <c r="D1278" s="250" t="s">
        <v>104</v>
      </c>
      <c r="E1278" s="250" t="s">
        <v>104</v>
      </c>
      <c r="F1278" s="251">
        <v>24.08</v>
      </c>
      <c r="G1278" s="452" t="s">
        <v>552</v>
      </c>
      <c r="H1278" s="250" t="s">
        <v>104</v>
      </c>
      <c r="I1278" s="252" t="s">
        <v>488</v>
      </c>
      <c r="J1278" s="440" t="s">
        <v>114</v>
      </c>
      <c r="K1278" s="440" t="s">
        <v>466</v>
      </c>
      <c r="L1278" s="440" t="s">
        <v>489</v>
      </c>
      <c r="M1278" s="459" t="s">
        <v>114</v>
      </c>
      <c r="N1278" s="278">
        <v>44439</v>
      </c>
      <c r="O1278" s="329" t="s">
        <v>68</v>
      </c>
      <c r="P1278" s="330">
        <f t="shared" si="151"/>
        <v>9</v>
      </c>
      <c r="Q1278" s="330">
        <f t="shared" si="152"/>
        <v>7</v>
      </c>
      <c r="R1278" s="331" t="str">
        <f t="shared" si="153"/>
        <v>Gastos_custeados_por_captação</v>
      </c>
      <c r="S1278" s="331" t="str">
        <f>IF(D1278="","",IF(OR(D1278=Plano!$A$1,D1278=Plano!$B$1),"entrada","saída"))</f>
        <v>saída</v>
      </c>
      <c r="T1278" s="462" t="s">
        <v>114</v>
      </c>
      <c r="U1278" s="462" t="s">
        <v>114</v>
      </c>
      <c r="V1278" s="439"/>
      <c r="W1278" s="439"/>
      <c r="X1278" s="439"/>
      <c r="Y1278" s="439"/>
      <c r="Z1278" s="439"/>
      <c r="AA1278" s="439"/>
      <c r="AB1278" s="439"/>
      <c r="AC1278" s="439"/>
      <c r="AD1278" s="439"/>
      <c r="AE1278" s="439"/>
      <c r="AF1278" s="439"/>
      <c r="AG1278" s="439"/>
      <c r="AH1278" s="439"/>
      <c r="AI1278" s="439"/>
      <c r="AJ1278" s="439"/>
      <c r="AK1278" s="439"/>
      <c r="AL1278" s="439"/>
      <c r="AM1278" s="439"/>
    </row>
    <row r="1279" spans="1:39" s="446" customFormat="1" ht="45" customHeight="1" x14ac:dyDescent="0.2">
      <c r="A1279" s="277">
        <f>IF(B1279="","",COUNT('Diário 5º PA'!$A$5:$A$2634)+COUNT('Diário 6º PA'!$A$5:$A$2246)+ROW()-4)</f>
        <v>3818</v>
      </c>
      <c r="B1279" s="278">
        <v>44459</v>
      </c>
      <c r="C1279" s="249">
        <v>44378</v>
      </c>
      <c r="D1279" s="250" t="s">
        <v>104</v>
      </c>
      <c r="E1279" s="250" t="s">
        <v>104</v>
      </c>
      <c r="F1279" s="251">
        <v>24.08</v>
      </c>
      <c r="G1279" s="452" t="s">
        <v>545</v>
      </c>
      <c r="H1279" s="250" t="s">
        <v>104</v>
      </c>
      <c r="I1279" s="252" t="s">
        <v>488</v>
      </c>
      <c r="J1279" s="440" t="s">
        <v>114</v>
      </c>
      <c r="K1279" s="440" t="s">
        <v>466</v>
      </c>
      <c r="L1279" s="440" t="s">
        <v>489</v>
      </c>
      <c r="M1279" s="459" t="s">
        <v>114</v>
      </c>
      <c r="N1279" s="278">
        <v>44439</v>
      </c>
      <c r="O1279" s="329" t="s">
        <v>68</v>
      </c>
      <c r="P1279" s="330">
        <f t="shared" si="151"/>
        <v>9</v>
      </c>
      <c r="Q1279" s="330">
        <f t="shared" si="152"/>
        <v>7</v>
      </c>
      <c r="R1279" s="331" t="str">
        <f t="shared" si="153"/>
        <v>Gastos_custeados_por_captação</v>
      </c>
      <c r="S1279" s="331" t="str">
        <f>IF(D1279="","",IF(OR(D1279=Plano!$A$1,D1279=Plano!$B$1),"entrada","saída"))</f>
        <v>saída</v>
      </c>
      <c r="T1279" s="462" t="s">
        <v>114</v>
      </c>
      <c r="U1279" s="462" t="s">
        <v>114</v>
      </c>
      <c r="V1279" s="439"/>
      <c r="W1279" s="439"/>
      <c r="X1279" s="439"/>
      <c r="Y1279" s="439"/>
      <c r="Z1279" s="439"/>
      <c r="AA1279" s="439"/>
      <c r="AB1279" s="439"/>
      <c r="AC1279" s="439"/>
      <c r="AD1279" s="439"/>
      <c r="AE1279" s="439"/>
      <c r="AF1279" s="439"/>
      <c r="AG1279" s="439"/>
      <c r="AH1279" s="439"/>
      <c r="AI1279" s="439"/>
      <c r="AJ1279" s="439"/>
      <c r="AK1279" s="439"/>
      <c r="AL1279" s="439"/>
      <c r="AM1279" s="439"/>
    </row>
    <row r="1280" spans="1:39" s="448" customFormat="1" ht="152.25" customHeight="1" x14ac:dyDescent="0.2">
      <c r="A1280" s="277">
        <f>IF(B1280="","",COUNT('Diário 5º PA'!$A$5:$A$2634)+COUNT('Diário 6º PA'!$A$5:$A$2246)+ROW()-4)</f>
        <v>3819</v>
      </c>
      <c r="B1280" s="278">
        <v>44459</v>
      </c>
      <c r="C1280" s="249">
        <v>44409</v>
      </c>
      <c r="D1280" s="250" t="s">
        <v>104</v>
      </c>
      <c r="E1280" s="250" t="s">
        <v>104</v>
      </c>
      <c r="F1280" s="251">
        <v>2694.72</v>
      </c>
      <c r="G1280" s="452" t="s">
        <v>685</v>
      </c>
      <c r="H1280" s="250" t="s">
        <v>104</v>
      </c>
      <c r="I1280" s="250" t="s">
        <v>1389</v>
      </c>
      <c r="J1280" s="440" t="s">
        <v>686</v>
      </c>
      <c r="K1280" s="440" t="s">
        <v>1015</v>
      </c>
      <c r="L1280" s="440" t="s">
        <v>992</v>
      </c>
      <c r="M1280" s="459" t="s">
        <v>1294</v>
      </c>
      <c r="N1280" s="278">
        <v>44456</v>
      </c>
      <c r="O1280" s="329" t="s">
        <v>70</v>
      </c>
      <c r="P1280" s="330">
        <f t="shared" ref="P1280:P1281" si="154">IF(B1280=0,0,IF(YEAR(B1280)=$Q$1,MONTH(B1280)-$P$1+1,(YEAR(B1280)-$Q$1)*12-$P$1+1+MONTH(B1280)))</f>
        <v>9</v>
      </c>
      <c r="Q1280" s="330">
        <f t="shared" ref="Q1280:Q1281" si="155">IF(C1280=0,0,IF(YEAR(C1280)=$Q$1,MONTH(C1280)-$P$1+1,(YEAR(C1280)-$Q$1)*12-$P$1+1+MONTH(C1280)))</f>
        <v>8</v>
      </c>
      <c r="R1280" s="331" t="str">
        <f t="shared" ref="R1280:R1281" si="156">SUBSTITUTE(D1280," ","_")</f>
        <v>Gastos_custeados_por_captação</v>
      </c>
      <c r="S1280" s="331" t="str">
        <f>IF(D1280="","",IF(OR(D1280=Plano!$A$1,D1280=Plano!$B$1),"entrada","saída"))</f>
        <v>saída</v>
      </c>
      <c r="T1280" s="462" t="s">
        <v>1059</v>
      </c>
      <c r="U1280" s="462">
        <v>1649</v>
      </c>
      <c r="V1280" s="439"/>
      <c r="W1280" s="439"/>
      <c r="X1280" s="439"/>
      <c r="Y1280" s="439"/>
      <c r="Z1280" s="439"/>
      <c r="AA1280" s="439"/>
      <c r="AB1280" s="439"/>
      <c r="AC1280" s="439"/>
      <c r="AD1280" s="439"/>
      <c r="AE1280" s="439"/>
      <c r="AF1280" s="439"/>
      <c r="AG1280" s="439"/>
      <c r="AH1280" s="439"/>
      <c r="AI1280" s="439"/>
      <c r="AJ1280" s="439"/>
      <c r="AK1280" s="439"/>
      <c r="AL1280" s="439"/>
      <c r="AM1280" s="439"/>
    </row>
    <row r="1281" spans="1:39" s="478" customFormat="1" ht="56.25" customHeight="1" x14ac:dyDescent="0.2">
      <c r="A1281" s="277">
        <f>IF(B1281="","",COUNT('Diário 5º PA'!$A$5:$A$2634)+COUNT('Diário 6º PA'!$A$5:$A$2246)+ROW()-4)</f>
        <v>3820</v>
      </c>
      <c r="B1281" s="278">
        <v>44459</v>
      </c>
      <c r="C1281" s="249">
        <v>44409</v>
      </c>
      <c r="D1281" s="250" t="s">
        <v>104</v>
      </c>
      <c r="E1281" s="250" t="s">
        <v>104</v>
      </c>
      <c r="F1281" s="251">
        <v>131.13</v>
      </c>
      <c r="G1281" s="452" t="s">
        <v>5497</v>
      </c>
      <c r="H1281" s="250" t="s">
        <v>104</v>
      </c>
      <c r="I1281" s="250" t="s">
        <v>488</v>
      </c>
      <c r="J1281" s="440" t="s">
        <v>114</v>
      </c>
      <c r="K1281" s="440" t="s">
        <v>466</v>
      </c>
      <c r="L1281" s="440" t="s">
        <v>489</v>
      </c>
      <c r="M1281" s="336" t="s">
        <v>114</v>
      </c>
      <c r="N1281" s="278">
        <v>44439</v>
      </c>
      <c r="O1281" s="329" t="s">
        <v>5377</v>
      </c>
      <c r="P1281" s="330">
        <f t="shared" si="154"/>
        <v>9</v>
      </c>
      <c r="Q1281" s="330">
        <f t="shared" si="155"/>
        <v>8</v>
      </c>
      <c r="R1281" s="331" t="str">
        <f t="shared" si="156"/>
        <v>Gastos_custeados_por_captação</v>
      </c>
      <c r="S1281" s="331" t="str">
        <f>IF(D1281="","",IF(OR(D1281=Plano!$A$1,D1281=Plano!$B$1),"entrada","saída"))</f>
        <v>saída</v>
      </c>
      <c r="T1281" s="332" t="s">
        <v>114</v>
      </c>
      <c r="U1281" s="332" t="s">
        <v>114</v>
      </c>
      <c r="V1281" s="439"/>
      <c r="W1281" s="439"/>
      <c r="X1281" s="439"/>
      <c r="Y1281" s="439"/>
      <c r="Z1281" s="439"/>
      <c r="AA1281" s="439"/>
      <c r="AB1281" s="439"/>
      <c r="AC1281" s="439"/>
      <c r="AD1281" s="439"/>
      <c r="AE1281" s="439"/>
      <c r="AF1281" s="439"/>
      <c r="AG1281" s="439"/>
      <c r="AH1281" s="439"/>
      <c r="AI1281" s="439"/>
      <c r="AJ1281" s="439"/>
      <c r="AK1281" s="439"/>
      <c r="AL1281" s="439"/>
      <c r="AM1281" s="439"/>
    </row>
    <row r="1282" spans="1:39" s="478" customFormat="1" ht="65.25" customHeight="1" x14ac:dyDescent="0.2">
      <c r="A1282" s="277">
        <f>IF(B1282="","",COUNT('Diário 5º PA'!$A$5:$A$2634)+COUNT('Diário 6º PA'!$A$5:$A$2246)+ROW()-4)</f>
        <v>3821</v>
      </c>
      <c r="B1282" s="278">
        <v>44459</v>
      </c>
      <c r="C1282" s="249">
        <v>44378</v>
      </c>
      <c r="D1282" s="250" t="s">
        <v>104</v>
      </c>
      <c r="E1282" s="250" t="s">
        <v>104</v>
      </c>
      <c r="F1282" s="251">
        <v>186</v>
      </c>
      <c r="G1282" s="452" t="s">
        <v>5427</v>
      </c>
      <c r="H1282" s="250" t="s">
        <v>104</v>
      </c>
      <c r="I1282" s="252" t="s">
        <v>488</v>
      </c>
      <c r="J1282" s="440" t="s">
        <v>114</v>
      </c>
      <c r="K1282" s="440" t="s">
        <v>466</v>
      </c>
      <c r="L1282" s="440" t="s">
        <v>489</v>
      </c>
      <c r="M1282" s="336" t="s">
        <v>114</v>
      </c>
      <c r="N1282" s="278">
        <v>44439</v>
      </c>
      <c r="O1282" s="329" t="s">
        <v>5377</v>
      </c>
      <c r="P1282" s="330">
        <f t="shared" ref="P1282:P1288" si="157">IF(B1282=0,0,IF(YEAR(B1282)=$Q$1,MONTH(B1282)-$P$1+1,(YEAR(B1282)-$Q$1)*12-$P$1+1+MONTH(B1282)))</f>
        <v>9</v>
      </c>
      <c r="Q1282" s="330">
        <f t="shared" ref="Q1282:Q1288" si="158">IF(C1282=0,0,IF(YEAR(C1282)=$Q$1,MONTH(C1282)-$P$1+1,(YEAR(C1282)-$Q$1)*12-$P$1+1+MONTH(C1282)))</f>
        <v>7</v>
      </c>
      <c r="R1282" s="331" t="str">
        <f t="shared" ref="R1282:R1288" si="159">SUBSTITUTE(D1282," ","_")</f>
        <v>Gastos_custeados_por_captação</v>
      </c>
      <c r="S1282" s="331" t="str">
        <f>IF(D1282="","",IF(OR(D1282=Plano!$A$1,D1282=Plano!$B$1),"entrada","saída"))</f>
        <v>saída</v>
      </c>
      <c r="T1282" s="332" t="s">
        <v>114</v>
      </c>
      <c r="U1282" s="332" t="s">
        <v>114</v>
      </c>
      <c r="V1282" s="439"/>
      <c r="W1282" s="439"/>
      <c r="X1282" s="439"/>
      <c r="Y1282" s="439"/>
      <c r="Z1282" s="439"/>
      <c r="AA1282" s="439"/>
      <c r="AB1282" s="439"/>
      <c r="AC1282" s="439"/>
      <c r="AD1282" s="439"/>
      <c r="AE1282" s="439"/>
      <c r="AF1282" s="439"/>
      <c r="AG1282" s="439"/>
      <c r="AH1282" s="439"/>
      <c r="AI1282" s="439"/>
      <c r="AJ1282" s="439"/>
      <c r="AK1282" s="439"/>
      <c r="AL1282" s="439"/>
      <c r="AM1282" s="439"/>
    </row>
    <row r="1283" spans="1:39" s="478" customFormat="1" ht="57.75" customHeight="1" x14ac:dyDescent="0.2">
      <c r="A1283" s="277">
        <f>IF(B1283="","",COUNT('Diário 5º PA'!$A$5:$A$2634)+COUNT('Diário 6º PA'!$A$5:$A$2246)+ROW()-4)</f>
        <v>3822</v>
      </c>
      <c r="B1283" s="278">
        <v>44459</v>
      </c>
      <c r="C1283" s="249">
        <v>44287</v>
      </c>
      <c r="D1283" s="250" t="s">
        <v>104</v>
      </c>
      <c r="E1283" s="250" t="s">
        <v>104</v>
      </c>
      <c r="F1283" s="251">
        <v>511.5</v>
      </c>
      <c r="G1283" s="452" t="s">
        <v>5444</v>
      </c>
      <c r="H1283" s="250" t="s">
        <v>104</v>
      </c>
      <c r="I1283" s="252" t="s">
        <v>488</v>
      </c>
      <c r="J1283" s="440" t="s">
        <v>114</v>
      </c>
      <c r="K1283" s="440" t="s">
        <v>466</v>
      </c>
      <c r="L1283" s="440" t="s">
        <v>489</v>
      </c>
      <c r="M1283" s="336" t="s">
        <v>114</v>
      </c>
      <c r="N1283" s="278">
        <v>44439</v>
      </c>
      <c r="O1283" s="329" t="s">
        <v>5377</v>
      </c>
      <c r="P1283" s="330">
        <f t="shared" si="157"/>
        <v>9</v>
      </c>
      <c r="Q1283" s="330">
        <f t="shared" si="158"/>
        <v>4</v>
      </c>
      <c r="R1283" s="331" t="str">
        <f t="shared" si="159"/>
        <v>Gastos_custeados_por_captação</v>
      </c>
      <c r="S1283" s="331" t="str">
        <f>IF(D1283="","",IF(OR(D1283=Plano!$A$1,D1283=Plano!$B$1),"entrada","saída"))</f>
        <v>saída</v>
      </c>
      <c r="T1283" s="332" t="s">
        <v>114</v>
      </c>
      <c r="U1283" s="332" t="s">
        <v>114</v>
      </c>
      <c r="V1283" s="439"/>
      <c r="W1283" s="439"/>
      <c r="X1283" s="439"/>
      <c r="Y1283" s="439"/>
      <c r="Z1283" s="439"/>
      <c r="AA1283" s="439"/>
      <c r="AB1283" s="439"/>
      <c r="AC1283" s="439"/>
      <c r="AD1283" s="439"/>
      <c r="AE1283" s="439"/>
      <c r="AF1283" s="439"/>
      <c r="AG1283" s="439"/>
      <c r="AH1283" s="439"/>
      <c r="AI1283" s="439"/>
      <c r="AJ1283" s="439"/>
      <c r="AK1283" s="439"/>
      <c r="AL1283" s="439"/>
      <c r="AM1283" s="439"/>
    </row>
    <row r="1284" spans="1:39" s="478" customFormat="1" ht="48" customHeight="1" x14ac:dyDescent="0.2">
      <c r="A1284" s="277">
        <f>IF(B1284="","",COUNT('Diário 5º PA'!$A$5:$A$2634)+COUNT('Diário 6º PA'!$A$5:$A$2246)+ROW()-4)</f>
        <v>3823</v>
      </c>
      <c r="B1284" s="278">
        <v>44459</v>
      </c>
      <c r="C1284" s="249">
        <v>44409</v>
      </c>
      <c r="D1284" s="250" t="s">
        <v>104</v>
      </c>
      <c r="E1284" s="250" t="s">
        <v>104</v>
      </c>
      <c r="F1284" s="251">
        <v>80.2</v>
      </c>
      <c r="G1284" s="452" t="s">
        <v>5447</v>
      </c>
      <c r="H1284" s="250" t="s">
        <v>104</v>
      </c>
      <c r="I1284" s="250" t="s">
        <v>488</v>
      </c>
      <c r="J1284" s="440" t="s">
        <v>114</v>
      </c>
      <c r="K1284" s="440" t="s">
        <v>466</v>
      </c>
      <c r="L1284" s="440" t="s">
        <v>489</v>
      </c>
      <c r="M1284" s="336" t="s">
        <v>114</v>
      </c>
      <c r="N1284" s="278">
        <v>44439</v>
      </c>
      <c r="O1284" s="329" t="s">
        <v>5377</v>
      </c>
      <c r="P1284" s="330">
        <f t="shared" si="157"/>
        <v>9</v>
      </c>
      <c r="Q1284" s="330">
        <f t="shared" si="158"/>
        <v>8</v>
      </c>
      <c r="R1284" s="331" t="str">
        <f t="shared" si="159"/>
        <v>Gastos_custeados_por_captação</v>
      </c>
      <c r="S1284" s="331" t="str">
        <f>IF(D1284="","",IF(OR(D1284=Plano!$A$1,D1284=Plano!$B$1),"entrada","saída"))</f>
        <v>saída</v>
      </c>
      <c r="T1284" s="332" t="s">
        <v>114</v>
      </c>
      <c r="U1284" s="332" t="s">
        <v>114</v>
      </c>
      <c r="V1284" s="439"/>
      <c r="W1284" s="439"/>
      <c r="X1284" s="439"/>
      <c r="Y1284" s="439"/>
      <c r="Z1284" s="439"/>
      <c r="AA1284" s="439"/>
      <c r="AB1284" s="439"/>
      <c r="AC1284" s="439"/>
      <c r="AD1284" s="439"/>
      <c r="AE1284" s="439"/>
      <c r="AF1284" s="439"/>
      <c r="AG1284" s="439"/>
      <c r="AH1284" s="439"/>
      <c r="AI1284" s="439"/>
      <c r="AJ1284" s="439"/>
      <c r="AK1284" s="439"/>
      <c r="AL1284" s="439"/>
      <c r="AM1284" s="439"/>
    </row>
    <row r="1285" spans="1:39" s="478" customFormat="1" ht="57" customHeight="1" x14ac:dyDescent="0.2">
      <c r="A1285" s="277">
        <f>IF(B1285="","",COUNT('Diário 5º PA'!$A$5:$A$2634)+COUNT('Diário 6º PA'!$A$5:$A$2246)+ROW()-4)</f>
        <v>3824</v>
      </c>
      <c r="B1285" s="278">
        <v>44459</v>
      </c>
      <c r="C1285" s="249">
        <v>44409</v>
      </c>
      <c r="D1285" s="250" t="s">
        <v>104</v>
      </c>
      <c r="E1285" s="250" t="s">
        <v>104</v>
      </c>
      <c r="F1285" s="251">
        <v>80.2</v>
      </c>
      <c r="G1285" s="452" t="s">
        <v>5441</v>
      </c>
      <c r="H1285" s="250" t="s">
        <v>104</v>
      </c>
      <c r="I1285" s="250" t="s">
        <v>488</v>
      </c>
      <c r="J1285" s="440" t="s">
        <v>114</v>
      </c>
      <c r="K1285" s="440" t="s">
        <v>466</v>
      </c>
      <c r="L1285" s="440" t="s">
        <v>489</v>
      </c>
      <c r="M1285" s="336" t="s">
        <v>114</v>
      </c>
      <c r="N1285" s="278">
        <v>44439</v>
      </c>
      <c r="O1285" s="329" t="s">
        <v>5377</v>
      </c>
      <c r="P1285" s="330">
        <f t="shared" si="157"/>
        <v>9</v>
      </c>
      <c r="Q1285" s="330">
        <f t="shared" si="158"/>
        <v>8</v>
      </c>
      <c r="R1285" s="331" t="str">
        <f t="shared" si="159"/>
        <v>Gastos_custeados_por_captação</v>
      </c>
      <c r="S1285" s="331" t="str">
        <f>IF(D1285="","",IF(OR(D1285=Plano!$A$1,D1285=Plano!$B$1),"entrada","saída"))</f>
        <v>saída</v>
      </c>
      <c r="T1285" s="332" t="s">
        <v>114</v>
      </c>
      <c r="U1285" s="332" t="s">
        <v>114</v>
      </c>
      <c r="V1285" s="439"/>
      <c r="W1285" s="439"/>
      <c r="X1285" s="439"/>
      <c r="Y1285" s="439"/>
      <c r="Z1285" s="439"/>
      <c r="AA1285" s="439"/>
      <c r="AB1285" s="439"/>
      <c r="AC1285" s="439"/>
      <c r="AD1285" s="439"/>
      <c r="AE1285" s="439"/>
      <c r="AF1285" s="439"/>
      <c r="AG1285" s="439"/>
      <c r="AH1285" s="439"/>
      <c r="AI1285" s="439"/>
      <c r="AJ1285" s="439"/>
      <c r="AK1285" s="439"/>
      <c r="AL1285" s="439"/>
      <c r="AM1285" s="439"/>
    </row>
    <row r="1286" spans="1:39" s="478" customFormat="1" ht="67.5" customHeight="1" x14ac:dyDescent="0.2">
      <c r="A1286" s="277">
        <f>IF(B1286="","",COUNT('Diário 5º PA'!$A$5:$A$2634)+COUNT('Diário 6º PA'!$A$5:$A$2246)+ROW()-4)</f>
        <v>3825</v>
      </c>
      <c r="B1286" s="278">
        <v>44459</v>
      </c>
      <c r="C1286" s="249">
        <v>44287</v>
      </c>
      <c r="D1286" s="250" t="s">
        <v>104</v>
      </c>
      <c r="E1286" s="250" t="s">
        <v>104</v>
      </c>
      <c r="F1286" s="251">
        <v>165</v>
      </c>
      <c r="G1286" s="452" t="s">
        <v>5443</v>
      </c>
      <c r="H1286" s="250" t="s">
        <v>104</v>
      </c>
      <c r="I1286" s="252" t="s">
        <v>488</v>
      </c>
      <c r="J1286" s="440" t="s">
        <v>114</v>
      </c>
      <c r="K1286" s="440" t="s">
        <v>466</v>
      </c>
      <c r="L1286" s="440" t="s">
        <v>489</v>
      </c>
      <c r="M1286" s="336" t="s">
        <v>114</v>
      </c>
      <c r="N1286" s="278">
        <v>44439</v>
      </c>
      <c r="O1286" s="329" t="s">
        <v>5377</v>
      </c>
      <c r="P1286" s="330">
        <f t="shared" si="157"/>
        <v>9</v>
      </c>
      <c r="Q1286" s="330">
        <f t="shared" si="158"/>
        <v>4</v>
      </c>
      <c r="R1286" s="331" t="str">
        <f t="shared" si="159"/>
        <v>Gastos_custeados_por_captação</v>
      </c>
      <c r="S1286" s="331" t="str">
        <f>IF(D1286="","",IF(OR(D1286=Plano!$A$1,D1286=Plano!$B$1),"entrada","saída"))</f>
        <v>saída</v>
      </c>
      <c r="T1286" s="332" t="s">
        <v>114</v>
      </c>
      <c r="U1286" s="332" t="s">
        <v>114</v>
      </c>
      <c r="V1286" s="439"/>
      <c r="W1286" s="439"/>
      <c r="X1286" s="439"/>
      <c r="Y1286" s="439"/>
      <c r="Z1286" s="439"/>
      <c r="AA1286" s="439"/>
      <c r="AB1286" s="439"/>
      <c r="AC1286" s="439"/>
      <c r="AD1286" s="439"/>
      <c r="AE1286" s="439"/>
      <c r="AF1286" s="439"/>
      <c r="AG1286" s="439"/>
      <c r="AH1286" s="439"/>
      <c r="AI1286" s="439"/>
      <c r="AJ1286" s="439"/>
      <c r="AK1286" s="439"/>
      <c r="AL1286" s="439"/>
      <c r="AM1286" s="439"/>
    </row>
    <row r="1287" spans="1:39" s="478" customFormat="1" ht="66.75" customHeight="1" x14ac:dyDescent="0.2">
      <c r="A1287" s="277">
        <f>IF(B1287="","",COUNT('Diário 5º PA'!$A$5:$A$2634)+COUNT('Diário 6º PA'!$A$5:$A$2246)+ROW()-4)</f>
        <v>3826</v>
      </c>
      <c r="B1287" s="278">
        <v>44459</v>
      </c>
      <c r="C1287" s="249">
        <v>44378</v>
      </c>
      <c r="D1287" s="250" t="s">
        <v>104</v>
      </c>
      <c r="E1287" s="250" t="s">
        <v>104</v>
      </c>
      <c r="F1287" s="251">
        <v>60</v>
      </c>
      <c r="G1287" s="452" t="s">
        <v>5426</v>
      </c>
      <c r="H1287" s="250" t="s">
        <v>104</v>
      </c>
      <c r="I1287" s="252" t="s">
        <v>488</v>
      </c>
      <c r="J1287" s="440" t="s">
        <v>114</v>
      </c>
      <c r="K1287" s="440" t="s">
        <v>466</v>
      </c>
      <c r="L1287" s="440" t="s">
        <v>489</v>
      </c>
      <c r="M1287" s="336" t="s">
        <v>114</v>
      </c>
      <c r="N1287" s="278">
        <v>44439</v>
      </c>
      <c r="O1287" s="329" t="s">
        <v>5377</v>
      </c>
      <c r="P1287" s="330">
        <f t="shared" si="157"/>
        <v>9</v>
      </c>
      <c r="Q1287" s="330">
        <f t="shared" si="158"/>
        <v>7</v>
      </c>
      <c r="R1287" s="331" t="str">
        <f t="shared" si="159"/>
        <v>Gastos_custeados_por_captação</v>
      </c>
      <c r="S1287" s="331" t="str">
        <f>IF(D1287="","",IF(OR(D1287=Plano!$A$1,D1287=Plano!$B$1),"entrada","saída"))</f>
        <v>saída</v>
      </c>
      <c r="T1287" s="332" t="s">
        <v>114</v>
      </c>
      <c r="U1287" s="332" t="s">
        <v>114</v>
      </c>
      <c r="V1287" s="439"/>
      <c r="W1287" s="439"/>
      <c r="X1287" s="439"/>
      <c r="Y1287" s="439"/>
      <c r="Z1287" s="439"/>
      <c r="AA1287" s="439"/>
      <c r="AB1287" s="439"/>
      <c r="AC1287" s="439"/>
      <c r="AD1287" s="439"/>
      <c r="AE1287" s="439"/>
      <c r="AF1287" s="439"/>
      <c r="AG1287" s="439"/>
      <c r="AH1287" s="439"/>
      <c r="AI1287" s="439"/>
      <c r="AJ1287" s="439"/>
      <c r="AK1287" s="439"/>
      <c r="AL1287" s="439"/>
      <c r="AM1287" s="439"/>
    </row>
    <row r="1288" spans="1:39" s="478" customFormat="1" ht="75.75" customHeight="1" x14ac:dyDescent="0.2">
      <c r="A1288" s="277">
        <f>IF(B1288="","",COUNT('Diário 5º PA'!$A$5:$A$2634)+COUNT('Diário 6º PA'!$A$5:$A$2246)+ROW()-4)</f>
        <v>3827</v>
      </c>
      <c r="B1288" s="278">
        <v>44459</v>
      </c>
      <c r="C1288" s="249">
        <v>44409</v>
      </c>
      <c r="D1288" s="250" t="s">
        <v>104</v>
      </c>
      <c r="E1288" s="250" t="s">
        <v>104</v>
      </c>
      <c r="F1288" s="251">
        <v>42.3</v>
      </c>
      <c r="G1288" s="452" t="s">
        <v>5498</v>
      </c>
      <c r="H1288" s="250" t="s">
        <v>104</v>
      </c>
      <c r="I1288" s="250" t="s">
        <v>488</v>
      </c>
      <c r="J1288" s="440" t="s">
        <v>114</v>
      </c>
      <c r="K1288" s="440" t="s">
        <v>466</v>
      </c>
      <c r="L1288" s="440" t="s">
        <v>489</v>
      </c>
      <c r="M1288" s="336" t="s">
        <v>114</v>
      </c>
      <c r="N1288" s="278">
        <v>44439</v>
      </c>
      <c r="O1288" s="329" t="s">
        <v>5377</v>
      </c>
      <c r="P1288" s="330">
        <f t="shared" si="157"/>
        <v>9</v>
      </c>
      <c r="Q1288" s="330">
        <f t="shared" si="158"/>
        <v>8</v>
      </c>
      <c r="R1288" s="331" t="str">
        <f t="shared" si="159"/>
        <v>Gastos_custeados_por_captação</v>
      </c>
      <c r="S1288" s="331" t="str">
        <f>IF(D1288="","",IF(OR(D1288=Plano!$A$1,D1288=Plano!$B$1),"entrada","saída"))</f>
        <v>saída</v>
      </c>
      <c r="T1288" s="332" t="s">
        <v>114</v>
      </c>
      <c r="U1288" s="332" t="s">
        <v>114</v>
      </c>
      <c r="V1288" s="439"/>
      <c r="W1288" s="439"/>
      <c r="X1288" s="439"/>
      <c r="Y1288" s="439"/>
      <c r="Z1288" s="439"/>
      <c r="AA1288" s="439"/>
      <c r="AB1288" s="439"/>
      <c r="AC1288" s="439"/>
      <c r="AD1288" s="439"/>
      <c r="AE1288" s="439"/>
      <c r="AF1288" s="439"/>
      <c r="AG1288" s="439"/>
      <c r="AH1288" s="439"/>
      <c r="AI1288" s="439"/>
      <c r="AJ1288" s="439"/>
      <c r="AK1288" s="439"/>
      <c r="AL1288" s="439"/>
      <c r="AM1288" s="439"/>
    </row>
    <row r="1289" spans="1:39" s="487" customFormat="1" ht="75.75" customHeight="1" x14ac:dyDescent="0.2">
      <c r="A1289" s="277">
        <f>IF(B1289="","",COUNT('Diário 5º PA'!$A$5:$A$2634)+COUNT('Diário 6º PA'!$A$5:$A$2246)+ROW()-4)</f>
        <v>3828</v>
      </c>
      <c r="B1289" s="278">
        <v>44459</v>
      </c>
      <c r="C1289" s="249">
        <v>44378</v>
      </c>
      <c r="D1289" s="250" t="s">
        <v>104</v>
      </c>
      <c r="E1289" s="250" t="s">
        <v>104</v>
      </c>
      <c r="F1289" s="251">
        <v>17.399999999999999</v>
      </c>
      <c r="G1289" s="452" t="s">
        <v>5562</v>
      </c>
      <c r="H1289" s="250" t="s">
        <v>104</v>
      </c>
      <c r="I1289" s="250" t="s">
        <v>488</v>
      </c>
      <c r="J1289" s="440" t="s">
        <v>114</v>
      </c>
      <c r="K1289" s="440" t="s">
        <v>466</v>
      </c>
      <c r="L1289" s="440" t="s">
        <v>489</v>
      </c>
      <c r="M1289" s="336" t="s">
        <v>114</v>
      </c>
      <c r="N1289" s="278">
        <v>44439</v>
      </c>
      <c r="O1289" s="329" t="s">
        <v>69</v>
      </c>
      <c r="P1289" s="330">
        <f t="shared" ref="P1289:P1309" si="160">IF(B1289=0,0,IF(YEAR(B1289)=$Q$1,MONTH(B1289)-$P$1+1,(YEAR(B1289)-$Q$1)*12-$P$1+1+MONTH(B1289)))</f>
        <v>9</v>
      </c>
      <c r="Q1289" s="330">
        <f t="shared" ref="Q1289:Q1309" si="161">IF(C1289=0,0,IF(YEAR(C1289)=$Q$1,MONTH(C1289)-$P$1+1,(YEAR(C1289)-$Q$1)*12-$P$1+1+MONTH(C1289)))</f>
        <v>7</v>
      </c>
      <c r="R1289" s="331" t="str">
        <f t="shared" ref="R1289:R1309" si="162">SUBSTITUTE(D1289," ","_")</f>
        <v>Gastos_custeados_por_captação</v>
      </c>
      <c r="S1289" s="331" t="str">
        <f>IF(D1289="","",IF(OR(D1289=Plano!$A$1,D1289=Plano!$B$1),"entrada","saída"))</f>
        <v>saída</v>
      </c>
      <c r="T1289" s="332" t="s">
        <v>114</v>
      </c>
      <c r="U1289" s="332" t="s">
        <v>114</v>
      </c>
      <c r="V1289" s="439"/>
      <c r="W1289" s="439"/>
      <c r="X1289" s="439"/>
      <c r="Y1289" s="439"/>
      <c r="Z1289" s="439"/>
      <c r="AA1289" s="439"/>
      <c r="AB1289" s="439"/>
      <c r="AC1289" s="439"/>
      <c r="AD1289" s="439"/>
      <c r="AE1289" s="439"/>
      <c r="AF1289" s="439"/>
      <c r="AG1289" s="439"/>
      <c r="AH1289" s="439"/>
      <c r="AI1289" s="439"/>
      <c r="AJ1289" s="439"/>
      <c r="AK1289" s="439"/>
      <c r="AL1289" s="439"/>
      <c r="AM1289" s="439"/>
    </row>
    <row r="1290" spans="1:39" s="487" customFormat="1" ht="75.75" customHeight="1" x14ac:dyDescent="0.2">
      <c r="A1290" s="277">
        <f>IF(B1290="","",COUNT('Diário 5º PA'!$A$5:$A$2634)+COUNT('Diário 6º PA'!$A$5:$A$2246)+ROW()-4)</f>
        <v>3829</v>
      </c>
      <c r="B1290" s="278">
        <v>44459</v>
      </c>
      <c r="C1290" s="249">
        <v>44378</v>
      </c>
      <c r="D1290" s="250" t="s">
        <v>104</v>
      </c>
      <c r="E1290" s="250" t="s">
        <v>104</v>
      </c>
      <c r="F1290" s="251">
        <v>17.399999999999999</v>
      </c>
      <c r="G1290" s="452" t="s">
        <v>5561</v>
      </c>
      <c r="H1290" s="250" t="s">
        <v>104</v>
      </c>
      <c r="I1290" s="250" t="s">
        <v>488</v>
      </c>
      <c r="J1290" s="440" t="s">
        <v>114</v>
      </c>
      <c r="K1290" s="440" t="s">
        <v>466</v>
      </c>
      <c r="L1290" s="440" t="s">
        <v>489</v>
      </c>
      <c r="M1290" s="336" t="s">
        <v>114</v>
      </c>
      <c r="N1290" s="278">
        <v>44439</v>
      </c>
      <c r="O1290" s="329" t="s">
        <v>69</v>
      </c>
      <c r="P1290" s="330">
        <f t="shared" si="160"/>
        <v>9</v>
      </c>
      <c r="Q1290" s="330">
        <f t="shared" si="161"/>
        <v>7</v>
      </c>
      <c r="R1290" s="331" t="str">
        <f t="shared" si="162"/>
        <v>Gastos_custeados_por_captação</v>
      </c>
      <c r="S1290" s="331" t="str">
        <f>IF(D1290="","",IF(OR(D1290=Plano!$A$1,D1290=Plano!$B$1),"entrada","saída"))</f>
        <v>saída</v>
      </c>
      <c r="T1290" s="332" t="s">
        <v>114</v>
      </c>
      <c r="U1290" s="332" t="s">
        <v>114</v>
      </c>
      <c r="V1290" s="439"/>
      <c r="W1290" s="439"/>
      <c r="X1290" s="439"/>
      <c r="Y1290" s="439"/>
      <c r="Z1290" s="439"/>
      <c r="AA1290" s="439"/>
      <c r="AB1290" s="439"/>
      <c r="AC1290" s="439"/>
      <c r="AD1290" s="439"/>
      <c r="AE1290" s="439"/>
      <c r="AF1290" s="439"/>
      <c r="AG1290" s="439"/>
      <c r="AH1290" s="439"/>
      <c r="AI1290" s="439"/>
      <c r="AJ1290" s="439"/>
      <c r="AK1290" s="439"/>
      <c r="AL1290" s="439"/>
      <c r="AM1290" s="439"/>
    </row>
    <row r="1291" spans="1:39" s="487" customFormat="1" ht="75.75" customHeight="1" x14ac:dyDescent="0.2">
      <c r="A1291" s="277">
        <f>IF(B1291="","",COUNT('Diário 5º PA'!$A$5:$A$2634)+COUNT('Diário 6º PA'!$A$5:$A$2246)+ROW()-4)</f>
        <v>3830</v>
      </c>
      <c r="B1291" s="278">
        <v>44459</v>
      </c>
      <c r="C1291" s="249">
        <v>44378</v>
      </c>
      <c r="D1291" s="250" t="s">
        <v>104</v>
      </c>
      <c r="E1291" s="250" t="s">
        <v>104</v>
      </c>
      <c r="F1291" s="251">
        <v>17.399999999999999</v>
      </c>
      <c r="G1291" s="452" t="s">
        <v>5560</v>
      </c>
      <c r="H1291" s="250" t="s">
        <v>104</v>
      </c>
      <c r="I1291" s="250" t="s">
        <v>488</v>
      </c>
      <c r="J1291" s="440" t="s">
        <v>114</v>
      </c>
      <c r="K1291" s="440" t="s">
        <v>466</v>
      </c>
      <c r="L1291" s="440" t="s">
        <v>489</v>
      </c>
      <c r="M1291" s="336" t="s">
        <v>114</v>
      </c>
      <c r="N1291" s="278">
        <v>44439</v>
      </c>
      <c r="O1291" s="329" t="s">
        <v>69</v>
      </c>
      <c r="P1291" s="330">
        <f t="shared" si="160"/>
        <v>9</v>
      </c>
      <c r="Q1291" s="330">
        <f t="shared" si="161"/>
        <v>7</v>
      </c>
      <c r="R1291" s="331" t="str">
        <f t="shared" si="162"/>
        <v>Gastos_custeados_por_captação</v>
      </c>
      <c r="S1291" s="331" t="str">
        <f>IF(D1291="","",IF(OR(D1291=Plano!$A$1,D1291=Plano!$B$1),"entrada","saída"))</f>
        <v>saída</v>
      </c>
      <c r="T1291" s="332" t="s">
        <v>114</v>
      </c>
      <c r="U1291" s="332" t="s">
        <v>114</v>
      </c>
      <c r="V1291" s="439"/>
      <c r="W1291" s="439"/>
      <c r="X1291" s="439"/>
      <c r="Y1291" s="439"/>
      <c r="Z1291" s="439"/>
      <c r="AA1291" s="439"/>
      <c r="AB1291" s="439"/>
      <c r="AC1291" s="439"/>
      <c r="AD1291" s="439"/>
      <c r="AE1291" s="439"/>
      <c r="AF1291" s="439"/>
      <c r="AG1291" s="439"/>
      <c r="AH1291" s="439"/>
      <c r="AI1291" s="439"/>
      <c r="AJ1291" s="439"/>
      <c r="AK1291" s="439"/>
      <c r="AL1291" s="439"/>
      <c r="AM1291" s="439"/>
    </row>
    <row r="1292" spans="1:39" s="487" customFormat="1" ht="75.75" customHeight="1" x14ac:dyDescent="0.2">
      <c r="A1292" s="277">
        <f>IF(B1292="","",COUNT('Diário 5º PA'!$A$5:$A$2634)+COUNT('Diário 6º PA'!$A$5:$A$2246)+ROW()-4)</f>
        <v>3831</v>
      </c>
      <c r="B1292" s="278">
        <v>44459</v>
      </c>
      <c r="C1292" s="249">
        <v>44378</v>
      </c>
      <c r="D1292" s="250" t="s">
        <v>104</v>
      </c>
      <c r="E1292" s="250" t="s">
        <v>104</v>
      </c>
      <c r="F1292" s="251">
        <v>17.399999999999999</v>
      </c>
      <c r="G1292" s="452" t="s">
        <v>5559</v>
      </c>
      <c r="H1292" s="250" t="s">
        <v>104</v>
      </c>
      <c r="I1292" s="250" t="s">
        <v>488</v>
      </c>
      <c r="J1292" s="440" t="s">
        <v>114</v>
      </c>
      <c r="K1292" s="440" t="s">
        <v>466</v>
      </c>
      <c r="L1292" s="440" t="s">
        <v>489</v>
      </c>
      <c r="M1292" s="336" t="s">
        <v>114</v>
      </c>
      <c r="N1292" s="278">
        <v>44439</v>
      </c>
      <c r="O1292" s="329" t="s">
        <v>69</v>
      </c>
      <c r="P1292" s="330">
        <f t="shared" si="160"/>
        <v>9</v>
      </c>
      <c r="Q1292" s="330">
        <f t="shared" si="161"/>
        <v>7</v>
      </c>
      <c r="R1292" s="331" t="str">
        <f t="shared" si="162"/>
        <v>Gastos_custeados_por_captação</v>
      </c>
      <c r="S1292" s="331" t="str">
        <f>IF(D1292="","",IF(OR(D1292=Plano!$A$1,D1292=Plano!$B$1),"entrada","saída"))</f>
        <v>saída</v>
      </c>
      <c r="T1292" s="332" t="s">
        <v>114</v>
      </c>
      <c r="U1292" s="332" t="s">
        <v>114</v>
      </c>
      <c r="V1292" s="439"/>
      <c r="W1292" s="439"/>
      <c r="X1292" s="439"/>
      <c r="Y1292" s="439"/>
      <c r="Z1292" s="439"/>
      <c r="AA1292" s="439"/>
      <c r="AB1292" s="439"/>
      <c r="AC1292" s="439"/>
      <c r="AD1292" s="439"/>
      <c r="AE1292" s="439"/>
      <c r="AF1292" s="439"/>
      <c r="AG1292" s="439"/>
      <c r="AH1292" s="439"/>
      <c r="AI1292" s="439"/>
      <c r="AJ1292" s="439"/>
      <c r="AK1292" s="439"/>
      <c r="AL1292" s="439"/>
      <c r="AM1292" s="439"/>
    </row>
    <row r="1293" spans="1:39" s="487" customFormat="1" ht="75.75" customHeight="1" x14ac:dyDescent="0.2">
      <c r="A1293" s="277">
        <f>IF(B1293="","",COUNT('Diário 5º PA'!$A$5:$A$2634)+COUNT('Diário 6º PA'!$A$5:$A$2246)+ROW()-4)</f>
        <v>3832</v>
      </c>
      <c r="B1293" s="278">
        <v>44459</v>
      </c>
      <c r="C1293" s="249">
        <v>44378</v>
      </c>
      <c r="D1293" s="250" t="s">
        <v>104</v>
      </c>
      <c r="E1293" s="250" t="s">
        <v>104</v>
      </c>
      <c r="F1293" s="251">
        <v>17.399999999999999</v>
      </c>
      <c r="G1293" s="452" t="s">
        <v>5558</v>
      </c>
      <c r="H1293" s="250" t="s">
        <v>104</v>
      </c>
      <c r="I1293" s="250" t="s">
        <v>488</v>
      </c>
      <c r="J1293" s="440" t="s">
        <v>114</v>
      </c>
      <c r="K1293" s="440" t="s">
        <v>466</v>
      </c>
      <c r="L1293" s="440" t="s">
        <v>489</v>
      </c>
      <c r="M1293" s="336" t="s">
        <v>114</v>
      </c>
      <c r="N1293" s="278">
        <v>44439</v>
      </c>
      <c r="O1293" s="329" t="s">
        <v>69</v>
      </c>
      <c r="P1293" s="330">
        <f t="shared" si="160"/>
        <v>9</v>
      </c>
      <c r="Q1293" s="330">
        <f t="shared" si="161"/>
        <v>7</v>
      </c>
      <c r="R1293" s="331" t="str">
        <f t="shared" si="162"/>
        <v>Gastos_custeados_por_captação</v>
      </c>
      <c r="S1293" s="331" t="str">
        <f>IF(D1293="","",IF(OR(D1293=Plano!$A$1,D1293=Plano!$B$1),"entrada","saída"))</f>
        <v>saída</v>
      </c>
      <c r="T1293" s="332" t="s">
        <v>114</v>
      </c>
      <c r="U1293" s="332" t="s">
        <v>114</v>
      </c>
      <c r="V1293" s="439"/>
      <c r="W1293" s="439"/>
      <c r="X1293" s="439"/>
      <c r="Y1293" s="439"/>
      <c r="Z1293" s="439"/>
      <c r="AA1293" s="439"/>
      <c r="AB1293" s="439"/>
      <c r="AC1293" s="439"/>
      <c r="AD1293" s="439"/>
      <c r="AE1293" s="439"/>
      <c r="AF1293" s="439"/>
      <c r="AG1293" s="439"/>
      <c r="AH1293" s="439"/>
      <c r="AI1293" s="439"/>
      <c r="AJ1293" s="439"/>
      <c r="AK1293" s="439"/>
      <c r="AL1293" s="439"/>
      <c r="AM1293" s="439"/>
    </row>
    <row r="1294" spans="1:39" s="487" customFormat="1" ht="75.75" customHeight="1" x14ac:dyDescent="0.2">
      <c r="A1294" s="277">
        <f>IF(B1294="","",COUNT('Diário 5º PA'!$A$5:$A$2634)+COUNT('Diário 6º PA'!$A$5:$A$2246)+ROW()-4)</f>
        <v>3833</v>
      </c>
      <c r="B1294" s="278">
        <v>44459</v>
      </c>
      <c r="C1294" s="249">
        <v>44378</v>
      </c>
      <c r="D1294" s="250" t="s">
        <v>104</v>
      </c>
      <c r="E1294" s="250" t="s">
        <v>104</v>
      </c>
      <c r="F1294" s="251">
        <v>17.399999999999999</v>
      </c>
      <c r="G1294" s="452" t="s">
        <v>5557</v>
      </c>
      <c r="H1294" s="250" t="s">
        <v>104</v>
      </c>
      <c r="I1294" s="250" t="s">
        <v>488</v>
      </c>
      <c r="J1294" s="440" t="s">
        <v>114</v>
      </c>
      <c r="K1294" s="440" t="s">
        <v>466</v>
      </c>
      <c r="L1294" s="440" t="s">
        <v>489</v>
      </c>
      <c r="M1294" s="336" t="s">
        <v>114</v>
      </c>
      <c r="N1294" s="278">
        <v>44439</v>
      </c>
      <c r="O1294" s="329" t="s">
        <v>69</v>
      </c>
      <c r="P1294" s="330">
        <f t="shared" si="160"/>
        <v>9</v>
      </c>
      <c r="Q1294" s="330">
        <f t="shared" si="161"/>
        <v>7</v>
      </c>
      <c r="R1294" s="331" t="str">
        <f t="shared" si="162"/>
        <v>Gastos_custeados_por_captação</v>
      </c>
      <c r="S1294" s="331" t="str">
        <f>IF(D1294="","",IF(OR(D1294=Plano!$A$1,D1294=Plano!$B$1),"entrada","saída"))</f>
        <v>saída</v>
      </c>
      <c r="T1294" s="332" t="s">
        <v>114</v>
      </c>
      <c r="U1294" s="332" t="s">
        <v>114</v>
      </c>
      <c r="V1294" s="439"/>
      <c r="W1294" s="439"/>
      <c r="X1294" s="439"/>
      <c r="Y1294" s="439"/>
      <c r="Z1294" s="439"/>
      <c r="AA1294" s="439"/>
      <c r="AB1294" s="439"/>
      <c r="AC1294" s="439"/>
      <c r="AD1294" s="439"/>
      <c r="AE1294" s="439"/>
      <c r="AF1294" s="439"/>
      <c r="AG1294" s="439"/>
      <c r="AH1294" s="439"/>
      <c r="AI1294" s="439"/>
      <c r="AJ1294" s="439"/>
      <c r="AK1294" s="439"/>
      <c r="AL1294" s="439"/>
      <c r="AM1294" s="439"/>
    </row>
    <row r="1295" spans="1:39" s="487" customFormat="1" ht="75.75" customHeight="1" x14ac:dyDescent="0.2">
      <c r="A1295" s="277">
        <f>IF(B1295="","",COUNT('Diário 5º PA'!$A$5:$A$2634)+COUNT('Diário 6º PA'!$A$5:$A$2246)+ROW()-4)</f>
        <v>3834</v>
      </c>
      <c r="B1295" s="278">
        <v>44459</v>
      </c>
      <c r="C1295" s="249">
        <v>44378</v>
      </c>
      <c r="D1295" s="250" t="s">
        <v>104</v>
      </c>
      <c r="E1295" s="250" t="s">
        <v>104</v>
      </c>
      <c r="F1295" s="251">
        <v>17.399999999999999</v>
      </c>
      <c r="G1295" s="452" t="s">
        <v>5556</v>
      </c>
      <c r="H1295" s="250" t="s">
        <v>104</v>
      </c>
      <c r="I1295" s="250" t="s">
        <v>488</v>
      </c>
      <c r="J1295" s="440" t="s">
        <v>114</v>
      </c>
      <c r="K1295" s="440" t="s">
        <v>466</v>
      </c>
      <c r="L1295" s="440" t="s">
        <v>489</v>
      </c>
      <c r="M1295" s="336" t="s">
        <v>114</v>
      </c>
      <c r="N1295" s="278">
        <v>44439</v>
      </c>
      <c r="O1295" s="329" t="s">
        <v>69</v>
      </c>
      <c r="P1295" s="330">
        <f t="shared" si="160"/>
        <v>9</v>
      </c>
      <c r="Q1295" s="330">
        <f t="shared" si="161"/>
        <v>7</v>
      </c>
      <c r="R1295" s="331" t="str">
        <f t="shared" si="162"/>
        <v>Gastos_custeados_por_captação</v>
      </c>
      <c r="S1295" s="331" t="str">
        <f>IF(D1295="","",IF(OR(D1295=Plano!$A$1,D1295=Plano!$B$1),"entrada","saída"))</f>
        <v>saída</v>
      </c>
      <c r="T1295" s="332" t="s">
        <v>114</v>
      </c>
      <c r="U1295" s="332" t="s">
        <v>114</v>
      </c>
      <c r="V1295" s="439"/>
      <c r="W1295" s="439"/>
      <c r="X1295" s="439"/>
      <c r="Y1295" s="439"/>
      <c r="Z1295" s="439"/>
      <c r="AA1295" s="439"/>
      <c r="AB1295" s="439"/>
      <c r="AC1295" s="439"/>
      <c r="AD1295" s="439"/>
      <c r="AE1295" s="439"/>
      <c r="AF1295" s="439"/>
      <c r="AG1295" s="439"/>
      <c r="AH1295" s="439"/>
      <c r="AI1295" s="439"/>
      <c r="AJ1295" s="439"/>
      <c r="AK1295" s="439"/>
      <c r="AL1295" s="439"/>
      <c r="AM1295" s="439"/>
    </row>
    <row r="1296" spans="1:39" s="487" customFormat="1" ht="75.75" customHeight="1" x14ac:dyDescent="0.2">
      <c r="A1296" s="277">
        <f>IF(B1296="","",COUNT('Diário 5º PA'!$A$5:$A$2634)+COUNT('Diário 6º PA'!$A$5:$A$2246)+ROW()-4)</f>
        <v>3835</v>
      </c>
      <c r="B1296" s="278">
        <v>44459</v>
      </c>
      <c r="C1296" s="249">
        <v>44378</v>
      </c>
      <c r="D1296" s="250" t="s">
        <v>104</v>
      </c>
      <c r="E1296" s="250" t="s">
        <v>104</v>
      </c>
      <c r="F1296" s="251">
        <v>17.399999999999999</v>
      </c>
      <c r="G1296" s="452" t="s">
        <v>894</v>
      </c>
      <c r="H1296" s="250" t="s">
        <v>104</v>
      </c>
      <c r="I1296" s="250" t="s">
        <v>488</v>
      </c>
      <c r="J1296" s="440" t="s">
        <v>114</v>
      </c>
      <c r="K1296" s="440" t="s">
        <v>466</v>
      </c>
      <c r="L1296" s="440" t="s">
        <v>489</v>
      </c>
      <c r="M1296" s="336" t="s">
        <v>114</v>
      </c>
      <c r="N1296" s="278">
        <v>44439</v>
      </c>
      <c r="O1296" s="329" t="s">
        <v>69</v>
      </c>
      <c r="P1296" s="330">
        <f t="shared" si="160"/>
        <v>9</v>
      </c>
      <c r="Q1296" s="330">
        <f t="shared" si="161"/>
        <v>7</v>
      </c>
      <c r="R1296" s="331" t="str">
        <f t="shared" si="162"/>
        <v>Gastos_custeados_por_captação</v>
      </c>
      <c r="S1296" s="331" t="str">
        <f>IF(D1296="","",IF(OR(D1296=Plano!$A$1,D1296=Plano!$B$1),"entrada","saída"))</f>
        <v>saída</v>
      </c>
      <c r="T1296" s="332" t="s">
        <v>114</v>
      </c>
      <c r="U1296" s="332" t="s">
        <v>114</v>
      </c>
      <c r="V1296" s="439"/>
      <c r="W1296" s="439"/>
      <c r="X1296" s="439"/>
      <c r="Y1296" s="439"/>
      <c r="Z1296" s="439"/>
      <c r="AA1296" s="439"/>
      <c r="AB1296" s="439"/>
      <c r="AC1296" s="439"/>
      <c r="AD1296" s="439"/>
      <c r="AE1296" s="439"/>
      <c r="AF1296" s="439"/>
      <c r="AG1296" s="439"/>
      <c r="AH1296" s="439"/>
      <c r="AI1296" s="439"/>
      <c r="AJ1296" s="439"/>
      <c r="AK1296" s="439"/>
      <c r="AL1296" s="439"/>
      <c r="AM1296" s="439"/>
    </row>
    <row r="1297" spans="1:39" s="487" customFormat="1" ht="75.75" customHeight="1" x14ac:dyDescent="0.2">
      <c r="A1297" s="277">
        <f>IF(B1297="","",COUNT('Diário 5º PA'!$A$5:$A$2634)+COUNT('Diário 6º PA'!$A$5:$A$2246)+ROW()-4)</f>
        <v>3836</v>
      </c>
      <c r="B1297" s="278">
        <v>44459</v>
      </c>
      <c r="C1297" s="249">
        <v>44378</v>
      </c>
      <c r="D1297" s="250" t="s">
        <v>104</v>
      </c>
      <c r="E1297" s="250" t="s">
        <v>104</v>
      </c>
      <c r="F1297" s="251">
        <v>17.399999999999999</v>
      </c>
      <c r="G1297" s="455" t="s">
        <v>5256</v>
      </c>
      <c r="H1297" s="250" t="s">
        <v>104</v>
      </c>
      <c r="I1297" s="250" t="s">
        <v>488</v>
      </c>
      <c r="J1297" s="440" t="s">
        <v>114</v>
      </c>
      <c r="K1297" s="440" t="s">
        <v>466</v>
      </c>
      <c r="L1297" s="440" t="s">
        <v>489</v>
      </c>
      <c r="M1297" s="336" t="s">
        <v>114</v>
      </c>
      <c r="N1297" s="278">
        <v>44439</v>
      </c>
      <c r="O1297" s="329" t="s">
        <v>69</v>
      </c>
      <c r="P1297" s="330">
        <f t="shared" si="160"/>
        <v>9</v>
      </c>
      <c r="Q1297" s="330">
        <f t="shared" si="161"/>
        <v>7</v>
      </c>
      <c r="R1297" s="331" t="str">
        <f t="shared" si="162"/>
        <v>Gastos_custeados_por_captação</v>
      </c>
      <c r="S1297" s="331" t="str">
        <f>IF(D1297="","",IF(OR(D1297=Plano!$A$1,D1297=Plano!$B$1),"entrada","saída"))</f>
        <v>saída</v>
      </c>
      <c r="T1297" s="332" t="s">
        <v>114</v>
      </c>
      <c r="U1297" s="332" t="s">
        <v>114</v>
      </c>
      <c r="V1297" s="439"/>
      <c r="W1297" s="439"/>
      <c r="X1297" s="439"/>
      <c r="Y1297" s="439"/>
      <c r="Z1297" s="439"/>
      <c r="AA1297" s="439"/>
      <c r="AB1297" s="439"/>
      <c r="AC1297" s="439"/>
      <c r="AD1297" s="439"/>
      <c r="AE1297" s="439"/>
      <c r="AF1297" s="439"/>
      <c r="AG1297" s="439"/>
      <c r="AH1297" s="439"/>
      <c r="AI1297" s="439"/>
      <c r="AJ1297" s="439"/>
      <c r="AK1297" s="439"/>
      <c r="AL1297" s="439"/>
      <c r="AM1297" s="439"/>
    </row>
    <row r="1298" spans="1:39" s="487" customFormat="1" ht="75.75" customHeight="1" x14ac:dyDescent="0.2">
      <c r="A1298" s="277">
        <f>IF(B1298="","",COUNT('Diário 5º PA'!$A$5:$A$2634)+COUNT('Diário 6º PA'!$A$5:$A$2246)+ROW()-4)</f>
        <v>3837</v>
      </c>
      <c r="B1298" s="278">
        <v>44459</v>
      </c>
      <c r="C1298" s="249">
        <v>44378</v>
      </c>
      <c r="D1298" s="250" t="s">
        <v>104</v>
      </c>
      <c r="E1298" s="250" t="s">
        <v>104</v>
      </c>
      <c r="F1298" s="251">
        <v>17.399999999999999</v>
      </c>
      <c r="G1298" s="452" t="s">
        <v>897</v>
      </c>
      <c r="H1298" s="250" t="s">
        <v>104</v>
      </c>
      <c r="I1298" s="250" t="s">
        <v>488</v>
      </c>
      <c r="J1298" s="440" t="s">
        <v>114</v>
      </c>
      <c r="K1298" s="440" t="s">
        <v>466</v>
      </c>
      <c r="L1298" s="440" t="s">
        <v>489</v>
      </c>
      <c r="M1298" s="336" t="s">
        <v>114</v>
      </c>
      <c r="N1298" s="278">
        <v>44439</v>
      </c>
      <c r="O1298" s="329" t="s">
        <v>69</v>
      </c>
      <c r="P1298" s="330">
        <f t="shared" si="160"/>
        <v>9</v>
      </c>
      <c r="Q1298" s="330">
        <f t="shared" si="161"/>
        <v>7</v>
      </c>
      <c r="R1298" s="331" t="str">
        <f t="shared" si="162"/>
        <v>Gastos_custeados_por_captação</v>
      </c>
      <c r="S1298" s="331" t="str">
        <f>IF(D1298="","",IF(OR(D1298=Plano!$A$1,D1298=Plano!$B$1),"entrada","saída"))</f>
        <v>saída</v>
      </c>
      <c r="T1298" s="332" t="s">
        <v>114</v>
      </c>
      <c r="U1298" s="332" t="s">
        <v>114</v>
      </c>
      <c r="V1298" s="439"/>
      <c r="W1298" s="439"/>
      <c r="X1298" s="439"/>
      <c r="Y1298" s="439"/>
      <c r="Z1298" s="439"/>
      <c r="AA1298" s="439"/>
      <c r="AB1298" s="439"/>
      <c r="AC1298" s="439"/>
      <c r="AD1298" s="439"/>
      <c r="AE1298" s="439"/>
      <c r="AF1298" s="439"/>
      <c r="AG1298" s="439"/>
      <c r="AH1298" s="439"/>
      <c r="AI1298" s="439"/>
      <c r="AJ1298" s="439"/>
      <c r="AK1298" s="439"/>
      <c r="AL1298" s="439"/>
      <c r="AM1298" s="439"/>
    </row>
    <row r="1299" spans="1:39" s="487" customFormat="1" ht="75.75" customHeight="1" x14ac:dyDescent="0.2">
      <c r="A1299" s="277">
        <f>IF(B1299="","",COUNT('Diário 5º PA'!$A$5:$A$2634)+COUNT('Diário 6º PA'!$A$5:$A$2246)+ROW()-4)</f>
        <v>3838</v>
      </c>
      <c r="B1299" s="278">
        <v>44459</v>
      </c>
      <c r="C1299" s="249">
        <v>44378</v>
      </c>
      <c r="D1299" s="250" t="s">
        <v>104</v>
      </c>
      <c r="E1299" s="250" t="s">
        <v>104</v>
      </c>
      <c r="F1299" s="251">
        <v>744</v>
      </c>
      <c r="G1299" s="452" t="s">
        <v>781</v>
      </c>
      <c r="H1299" s="250" t="s">
        <v>104</v>
      </c>
      <c r="I1299" s="250" t="s">
        <v>530</v>
      </c>
      <c r="J1299" s="440" t="s">
        <v>114</v>
      </c>
      <c r="K1299" s="440" t="s">
        <v>466</v>
      </c>
      <c r="L1299" s="440" t="s">
        <v>547</v>
      </c>
      <c r="M1299" s="336" t="s">
        <v>114</v>
      </c>
      <c r="N1299" s="278">
        <v>44439</v>
      </c>
      <c r="O1299" s="329" t="s">
        <v>69</v>
      </c>
      <c r="P1299" s="330">
        <f t="shared" ref="P1299:P1308" si="163">IF(B1299=0,0,IF(YEAR(B1299)=$Q$1,MONTH(B1299)-$P$1+1,(YEAR(B1299)-$Q$1)*12-$P$1+1+MONTH(B1299)))</f>
        <v>9</v>
      </c>
      <c r="Q1299" s="330">
        <f t="shared" ref="Q1299:Q1308" si="164">IF(C1299=0,0,IF(YEAR(C1299)=$Q$1,MONTH(C1299)-$P$1+1,(YEAR(C1299)-$Q$1)*12-$P$1+1+MONTH(C1299)))</f>
        <v>7</v>
      </c>
      <c r="R1299" s="331" t="str">
        <f t="shared" ref="R1299:R1308" si="165">SUBSTITUTE(D1299," ","_")</f>
        <v>Gastos_custeados_por_captação</v>
      </c>
      <c r="S1299" s="331" t="str">
        <f>IF(D1299="","",IF(OR(D1299=Plano!$A$1,D1299=Plano!$B$1),"entrada","saída"))</f>
        <v>saída</v>
      </c>
      <c r="T1299" s="332" t="s">
        <v>114</v>
      </c>
      <c r="U1299" s="332" t="s">
        <v>114</v>
      </c>
      <c r="V1299" s="439"/>
      <c r="W1299" s="439"/>
      <c r="X1299" s="439"/>
      <c r="Y1299" s="439"/>
      <c r="Z1299" s="439"/>
      <c r="AA1299" s="439"/>
      <c r="AB1299" s="439"/>
      <c r="AC1299" s="439"/>
      <c r="AD1299" s="439"/>
      <c r="AE1299" s="439"/>
      <c r="AF1299" s="439"/>
      <c r="AG1299" s="439"/>
      <c r="AH1299" s="439"/>
      <c r="AI1299" s="439"/>
      <c r="AJ1299" s="439"/>
      <c r="AK1299" s="439"/>
      <c r="AL1299" s="439"/>
      <c r="AM1299" s="439"/>
    </row>
    <row r="1300" spans="1:39" s="487" customFormat="1" ht="75.75" customHeight="1" x14ac:dyDescent="0.2">
      <c r="A1300" s="277">
        <f>IF(B1300="","",COUNT('Diário 5º PA'!$A$5:$A$2634)+COUNT('Diário 6º PA'!$A$5:$A$2246)+ROW()-4)</f>
        <v>3839</v>
      </c>
      <c r="B1300" s="278">
        <v>44459</v>
      </c>
      <c r="C1300" s="249">
        <v>44378</v>
      </c>
      <c r="D1300" s="250" t="s">
        <v>104</v>
      </c>
      <c r="E1300" s="250" t="s">
        <v>104</v>
      </c>
      <c r="F1300" s="251">
        <v>744</v>
      </c>
      <c r="G1300" s="452" t="s">
        <v>788</v>
      </c>
      <c r="H1300" s="250" t="s">
        <v>104</v>
      </c>
      <c r="I1300" s="250" t="s">
        <v>530</v>
      </c>
      <c r="J1300" s="440" t="s">
        <v>114</v>
      </c>
      <c r="K1300" s="440" t="s">
        <v>466</v>
      </c>
      <c r="L1300" s="440" t="s">
        <v>547</v>
      </c>
      <c r="M1300" s="336" t="s">
        <v>114</v>
      </c>
      <c r="N1300" s="278">
        <v>44439</v>
      </c>
      <c r="O1300" s="329" t="s">
        <v>69</v>
      </c>
      <c r="P1300" s="330">
        <f t="shared" si="163"/>
        <v>9</v>
      </c>
      <c r="Q1300" s="330">
        <f t="shared" si="164"/>
        <v>7</v>
      </c>
      <c r="R1300" s="331" t="str">
        <f t="shared" si="165"/>
        <v>Gastos_custeados_por_captação</v>
      </c>
      <c r="S1300" s="331" t="str">
        <f>IF(D1300="","",IF(OR(D1300=Plano!$A$1,D1300=Plano!$B$1),"entrada","saída"))</f>
        <v>saída</v>
      </c>
      <c r="T1300" s="332" t="s">
        <v>114</v>
      </c>
      <c r="U1300" s="332" t="s">
        <v>114</v>
      </c>
      <c r="V1300" s="439"/>
      <c r="W1300" s="439"/>
      <c r="X1300" s="439"/>
      <c r="Y1300" s="439"/>
      <c r="Z1300" s="439"/>
      <c r="AA1300" s="439"/>
      <c r="AB1300" s="439"/>
      <c r="AC1300" s="439"/>
      <c r="AD1300" s="439"/>
      <c r="AE1300" s="439"/>
      <c r="AF1300" s="439"/>
      <c r="AG1300" s="439"/>
      <c r="AH1300" s="439"/>
      <c r="AI1300" s="439"/>
      <c r="AJ1300" s="439"/>
      <c r="AK1300" s="439"/>
      <c r="AL1300" s="439"/>
      <c r="AM1300" s="439"/>
    </row>
    <row r="1301" spans="1:39" s="487" customFormat="1" ht="75.75" customHeight="1" x14ac:dyDescent="0.2">
      <c r="A1301" s="277">
        <f>IF(B1301="","",COUNT('Diário 5º PA'!$A$5:$A$2634)+COUNT('Diário 6º PA'!$A$5:$A$2246)+ROW()-4)</f>
        <v>3840</v>
      </c>
      <c r="B1301" s="278">
        <v>44459</v>
      </c>
      <c r="C1301" s="249">
        <v>44378</v>
      </c>
      <c r="D1301" s="250" t="s">
        <v>104</v>
      </c>
      <c r="E1301" s="250" t="s">
        <v>104</v>
      </c>
      <c r="F1301" s="251">
        <v>744</v>
      </c>
      <c r="G1301" s="452" t="s">
        <v>790</v>
      </c>
      <c r="H1301" s="250" t="s">
        <v>104</v>
      </c>
      <c r="I1301" s="250" t="s">
        <v>530</v>
      </c>
      <c r="J1301" s="440" t="s">
        <v>114</v>
      </c>
      <c r="K1301" s="440" t="s">
        <v>466</v>
      </c>
      <c r="L1301" s="440" t="s">
        <v>547</v>
      </c>
      <c r="M1301" s="336" t="s">
        <v>114</v>
      </c>
      <c r="N1301" s="278">
        <v>44439</v>
      </c>
      <c r="O1301" s="329" t="s">
        <v>69</v>
      </c>
      <c r="P1301" s="330">
        <f t="shared" si="163"/>
        <v>9</v>
      </c>
      <c r="Q1301" s="330">
        <f t="shared" si="164"/>
        <v>7</v>
      </c>
      <c r="R1301" s="331" t="str">
        <f t="shared" si="165"/>
        <v>Gastos_custeados_por_captação</v>
      </c>
      <c r="S1301" s="331" t="str">
        <f>IF(D1301="","",IF(OR(D1301=Plano!$A$1,D1301=Plano!$B$1),"entrada","saída"))</f>
        <v>saída</v>
      </c>
      <c r="T1301" s="332" t="s">
        <v>114</v>
      </c>
      <c r="U1301" s="332" t="s">
        <v>114</v>
      </c>
      <c r="V1301" s="439"/>
      <c r="W1301" s="439"/>
      <c r="X1301" s="439"/>
      <c r="Y1301" s="439"/>
      <c r="Z1301" s="439"/>
      <c r="AA1301" s="439"/>
      <c r="AB1301" s="439"/>
      <c r="AC1301" s="439"/>
      <c r="AD1301" s="439"/>
      <c r="AE1301" s="439"/>
      <c r="AF1301" s="439"/>
      <c r="AG1301" s="439"/>
      <c r="AH1301" s="439"/>
      <c r="AI1301" s="439"/>
      <c r="AJ1301" s="439"/>
      <c r="AK1301" s="439"/>
      <c r="AL1301" s="439"/>
      <c r="AM1301" s="439"/>
    </row>
    <row r="1302" spans="1:39" s="487" customFormat="1" ht="75.75" customHeight="1" x14ac:dyDescent="0.2">
      <c r="A1302" s="277">
        <f>IF(B1302="","",COUNT('Diário 5º PA'!$A$5:$A$2634)+COUNT('Diário 6º PA'!$A$5:$A$2246)+ROW()-4)</f>
        <v>3841</v>
      </c>
      <c r="B1302" s="278">
        <v>44459</v>
      </c>
      <c r="C1302" s="249">
        <v>44378</v>
      </c>
      <c r="D1302" s="250" t="s">
        <v>104</v>
      </c>
      <c r="E1302" s="250" t="s">
        <v>104</v>
      </c>
      <c r="F1302" s="251">
        <v>744</v>
      </c>
      <c r="G1302" s="452" t="s">
        <v>792</v>
      </c>
      <c r="H1302" s="250" t="s">
        <v>104</v>
      </c>
      <c r="I1302" s="250" t="s">
        <v>530</v>
      </c>
      <c r="J1302" s="440" t="s">
        <v>114</v>
      </c>
      <c r="K1302" s="440" t="s">
        <v>466</v>
      </c>
      <c r="L1302" s="440" t="s">
        <v>547</v>
      </c>
      <c r="M1302" s="336" t="s">
        <v>114</v>
      </c>
      <c r="N1302" s="278">
        <v>44439</v>
      </c>
      <c r="O1302" s="329" t="s">
        <v>69</v>
      </c>
      <c r="P1302" s="330">
        <f t="shared" si="163"/>
        <v>9</v>
      </c>
      <c r="Q1302" s="330">
        <f t="shared" si="164"/>
        <v>7</v>
      </c>
      <c r="R1302" s="331" t="str">
        <f t="shared" si="165"/>
        <v>Gastos_custeados_por_captação</v>
      </c>
      <c r="S1302" s="331" t="str">
        <f>IF(D1302="","",IF(OR(D1302=Plano!$A$1,D1302=Plano!$B$1),"entrada","saída"))</f>
        <v>saída</v>
      </c>
      <c r="T1302" s="332" t="s">
        <v>114</v>
      </c>
      <c r="U1302" s="332" t="s">
        <v>114</v>
      </c>
      <c r="V1302" s="439"/>
      <c r="W1302" s="439"/>
      <c r="X1302" s="439"/>
      <c r="Y1302" s="439"/>
      <c r="Z1302" s="439"/>
      <c r="AA1302" s="439"/>
      <c r="AB1302" s="439"/>
      <c r="AC1302" s="439"/>
      <c r="AD1302" s="439"/>
      <c r="AE1302" s="439"/>
      <c r="AF1302" s="439"/>
      <c r="AG1302" s="439"/>
      <c r="AH1302" s="439"/>
      <c r="AI1302" s="439"/>
      <c r="AJ1302" s="439"/>
      <c r="AK1302" s="439"/>
      <c r="AL1302" s="439"/>
      <c r="AM1302" s="439"/>
    </row>
    <row r="1303" spans="1:39" s="487" customFormat="1" ht="75.75" customHeight="1" x14ac:dyDescent="0.2">
      <c r="A1303" s="277">
        <f>IF(B1303="","",COUNT('Diário 5º PA'!$A$5:$A$2634)+COUNT('Diário 6º PA'!$A$5:$A$2246)+ROW()-4)</f>
        <v>3842</v>
      </c>
      <c r="B1303" s="278">
        <v>44459</v>
      </c>
      <c r="C1303" s="249">
        <v>44378</v>
      </c>
      <c r="D1303" s="250" t="s">
        <v>104</v>
      </c>
      <c r="E1303" s="250" t="s">
        <v>104</v>
      </c>
      <c r="F1303" s="251">
        <v>744</v>
      </c>
      <c r="G1303" s="452" t="s">
        <v>794</v>
      </c>
      <c r="H1303" s="250" t="s">
        <v>104</v>
      </c>
      <c r="I1303" s="250" t="s">
        <v>530</v>
      </c>
      <c r="J1303" s="440" t="s">
        <v>114</v>
      </c>
      <c r="K1303" s="440" t="s">
        <v>466</v>
      </c>
      <c r="L1303" s="440" t="s">
        <v>547</v>
      </c>
      <c r="M1303" s="336" t="s">
        <v>114</v>
      </c>
      <c r="N1303" s="278">
        <v>44439</v>
      </c>
      <c r="O1303" s="329" t="s">
        <v>69</v>
      </c>
      <c r="P1303" s="330">
        <f t="shared" si="163"/>
        <v>9</v>
      </c>
      <c r="Q1303" s="330">
        <f t="shared" si="164"/>
        <v>7</v>
      </c>
      <c r="R1303" s="331" t="str">
        <f t="shared" si="165"/>
        <v>Gastos_custeados_por_captação</v>
      </c>
      <c r="S1303" s="331" t="str">
        <f>IF(D1303="","",IF(OR(D1303=Plano!$A$1,D1303=Plano!$B$1),"entrada","saída"))</f>
        <v>saída</v>
      </c>
      <c r="T1303" s="332" t="s">
        <v>114</v>
      </c>
      <c r="U1303" s="332" t="s">
        <v>114</v>
      </c>
      <c r="V1303" s="439"/>
      <c r="W1303" s="439"/>
      <c r="X1303" s="439"/>
      <c r="Y1303" s="439"/>
      <c r="Z1303" s="439"/>
      <c r="AA1303" s="439"/>
      <c r="AB1303" s="439"/>
      <c r="AC1303" s="439"/>
      <c r="AD1303" s="439"/>
      <c r="AE1303" s="439"/>
      <c r="AF1303" s="439"/>
      <c r="AG1303" s="439"/>
      <c r="AH1303" s="439"/>
      <c r="AI1303" s="439"/>
      <c r="AJ1303" s="439"/>
      <c r="AK1303" s="439"/>
      <c r="AL1303" s="439"/>
      <c r="AM1303" s="439"/>
    </row>
    <row r="1304" spans="1:39" s="487" customFormat="1" ht="75.75" customHeight="1" x14ac:dyDescent="0.2">
      <c r="A1304" s="277">
        <f>IF(B1304="","",COUNT('Diário 5º PA'!$A$5:$A$2634)+COUNT('Diário 6º PA'!$A$5:$A$2246)+ROW()-4)</f>
        <v>3843</v>
      </c>
      <c r="B1304" s="278">
        <v>44459</v>
      </c>
      <c r="C1304" s="249">
        <v>44378</v>
      </c>
      <c r="D1304" s="250" t="s">
        <v>104</v>
      </c>
      <c r="E1304" s="250" t="s">
        <v>104</v>
      </c>
      <c r="F1304" s="251">
        <v>744</v>
      </c>
      <c r="G1304" s="452" t="s">
        <v>796</v>
      </c>
      <c r="H1304" s="250" t="s">
        <v>104</v>
      </c>
      <c r="I1304" s="250" t="s">
        <v>530</v>
      </c>
      <c r="J1304" s="440" t="s">
        <v>114</v>
      </c>
      <c r="K1304" s="440" t="s">
        <v>466</v>
      </c>
      <c r="L1304" s="440" t="s">
        <v>547</v>
      </c>
      <c r="M1304" s="336" t="s">
        <v>114</v>
      </c>
      <c r="N1304" s="278">
        <v>44439</v>
      </c>
      <c r="O1304" s="329" t="s">
        <v>69</v>
      </c>
      <c r="P1304" s="330">
        <f t="shared" si="163"/>
        <v>9</v>
      </c>
      <c r="Q1304" s="330">
        <f t="shared" si="164"/>
        <v>7</v>
      </c>
      <c r="R1304" s="331" t="str">
        <f t="shared" si="165"/>
        <v>Gastos_custeados_por_captação</v>
      </c>
      <c r="S1304" s="331" t="str">
        <f>IF(D1304="","",IF(OR(D1304=Plano!$A$1,D1304=Plano!$B$1),"entrada","saída"))</f>
        <v>saída</v>
      </c>
      <c r="T1304" s="332" t="s">
        <v>114</v>
      </c>
      <c r="U1304" s="332" t="s">
        <v>114</v>
      </c>
      <c r="V1304" s="439"/>
      <c r="W1304" s="439"/>
      <c r="X1304" s="439"/>
      <c r="Y1304" s="439"/>
      <c r="Z1304" s="439"/>
      <c r="AA1304" s="439"/>
      <c r="AB1304" s="439"/>
      <c r="AC1304" s="439"/>
      <c r="AD1304" s="439"/>
      <c r="AE1304" s="439"/>
      <c r="AF1304" s="439"/>
      <c r="AG1304" s="439"/>
      <c r="AH1304" s="439"/>
      <c r="AI1304" s="439"/>
      <c r="AJ1304" s="439"/>
      <c r="AK1304" s="439"/>
      <c r="AL1304" s="439"/>
      <c r="AM1304" s="439"/>
    </row>
    <row r="1305" spans="1:39" s="487" customFormat="1" ht="75.75" customHeight="1" x14ac:dyDescent="0.2">
      <c r="A1305" s="277">
        <f>IF(B1305="","",COUNT('Diário 5º PA'!$A$5:$A$2634)+COUNT('Diário 6º PA'!$A$5:$A$2246)+ROW()-4)</f>
        <v>3844</v>
      </c>
      <c r="B1305" s="278">
        <v>44459</v>
      </c>
      <c r="C1305" s="249">
        <v>44378</v>
      </c>
      <c r="D1305" s="250" t="s">
        <v>104</v>
      </c>
      <c r="E1305" s="250" t="s">
        <v>104</v>
      </c>
      <c r="F1305" s="251">
        <v>744</v>
      </c>
      <c r="G1305" s="452" t="s">
        <v>798</v>
      </c>
      <c r="H1305" s="250" t="s">
        <v>104</v>
      </c>
      <c r="I1305" s="250" t="s">
        <v>530</v>
      </c>
      <c r="J1305" s="440" t="s">
        <v>114</v>
      </c>
      <c r="K1305" s="440" t="s">
        <v>466</v>
      </c>
      <c r="L1305" s="440" t="s">
        <v>547</v>
      </c>
      <c r="M1305" s="336" t="s">
        <v>114</v>
      </c>
      <c r="N1305" s="278">
        <v>44439</v>
      </c>
      <c r="O1305" s="329" t="s">
        <v>69</v>
      </c>
      <c r="P1305" s="330">
        <f t="shared" si="163"/>
        <v>9</v>
      </c>
      <c r="Q1305" s="330">
        <f t="shared" si="164"/>
        <v>7</v>
      </c>
      <c r="R1305" s="331" t="str">
        <f t="shared" si="165"/>
        <v>Gastos_custeados_por_captação</v>
      </c>
      <c r="S1305" s="331" t="str">
        <f>IF(D1305="","",IF(OR(D1305=Plano!$A$1,D1305=Plano!$B$1),"entrada","saída"))</f>
        <v>saída</v>
      </c>
      <c r="T1305" s="332" t="s">
        <v>114</v>
      </c>
      <c r="U1305" s="332" t="s">
        <v>114</v>
      </c>
      <c r="V1305" s="439"/>
      <c r="W1305" s="439"/>
      <c r="X1305" s="439"/>
      <c r="Y1305" s="439"/>
      <c r="Z1305" s="439"/>
      <c r="AA1305" s="439"/>
      <c r="AB1305" s="439"/>
      <c r="AC1305" s="439"/>
      <c r="AD1305" s="439"/>
      <c r="AE1305" s="439"/>
      <c r="AF1305" s="439"/>
      <c r="AG1305" s="439"/>
      <c r="AH1305" s="439"/>
      <c r="AI1305" s="439"/>
      <c r="AJ1305" s="439"/>
      <c r="AK1305" s="439"/>
      <c r="AL1305" s="439"/>
      <c r="AM1305" s="439"/>
    </row>
    <row r="1306" spans="1:39" s="487" customFormat="1" ht="75.75" customHeight="1" x14ac:dyDescent="0.2">
      <c r="A1306" s="277">
        <f>IF(B1306="","",COUNT('Diário 5º PA'!$A$5:$A$2634)+COUNT('Diário 6º PA'!$A$5:$A$2246)+ROW()-4)</f>
        <v>3845</v>
      </c>
      <c r="B1306" s="278">
        <v>44459</v>
      </c>
      <c r="C1306" s="249">
        <v>44378</v>
      </c>
      <c r="D1306" s="250" t="s">
        <v>104</v>
      </c>
      <c r="E1306" s="250" t="s">
        <v>104</v>
      </c>
      <c r="F1306" s="251">
        <v>744</v>
      </c>
      <c r="G1306" s="452" t="s">
        <v>895</v>
      </c>
      <c r="H1306" s="250" t="s">
        <v>104</v>
      </c>
      <c r="I1306" s="250" t="s">
        <v>530</v>
      </c>
      <c r="J1306" s="440" t="s">
        <v>114</v>
      </c>
      <c r="K1306" s="440" t="s">
        <v>466</v>
      </c>
      <c r="L1306" s="440" t="s">
        <v>547</v>
      </c>
      <c r="M1306" s="336" t="s">
        <v>114</v>
      </c>
      <c r="N1306" s="278">
        <v>44439</v>
      </c>
      <c r="O1306" s="329" t="s">
        <v>69</v>
      </c>
      <c r="P1306" s="330">
        <f t="shared" si="163"/>
        <v>9</v>
      </c>
      <c r="Q1306" s="330">
        <f t="shared" si="164"/>
        <v>7</v>
      </c>
      <c r="R1306" s="331" t="str">
        <f t="shared" si="165"/>
        <v>Gastos_custeados_por_captação</v>
      </c>
      <c r="S1306" s="331" t="str">
        <f>IF(D1306="","",IF(OR(D1306=Plano!$A$1,D1306=Plano!$B$1),"entrada","saída"))</f>
        <v>saída</v>
      </c>
      <c r="T1306" s="332" t="s">
        <v>114</v>
      </c>
      <c r="U1306" s="332" t="s">
        <v>114</v>
      </c>
      <c r="V1306" s="439"/>
      <c r="W1306" s="439"/>
      <c r="X1306" s="439"/>
      <c r="Y1306" s="439"/>
      <c r="Z1306" s="439"/>
      <c r="AA1306" s="439"/>
      <c r="AB1306" s="439"/>
      <c r="AC1306" s="439"/>
      <c r="AD1306" s="439"/>
      <c r="AE1306" s="439"/>
      <c r="AF1306" s="439"/>
      <c r="AG1306" s="439"/>
      <c r="AH1306" s="439"/>
      <c r="AI1306" s="439"/>
      <c r="AJ1306" s="439"/>
      <c r="AK1306" s="439"/>
      <c r="AL1306" s="439"/>
      <c r="AM1306" s="439"/>
    </row>
    <row r="1307" spans="1:39" s="487" customFormat="1" ht="75.75" customHeight="1" x14ac:dyDescent="0.2">
      <c r="A1307" s="277">
        <f>IF(B1307="","",COUNT('Diário 5º PA'!$A$5:$A$2634)+COUNT('Diário 6º PA'!$A$5:$A$2246)+ROW()-4)</f>
        <v>3846</v>
      </c>
      <c r="B1307" s="278">
        <v>44459</v>
      </c>
      <c r="C1307" s="249">
        <v>44378</v>
      </c>
      <c r="D1307" s="250" t="s">
        <v>104</v>
      </c>
      <c r="E1307" s="250" t="s">
        <v>104</v>
      </c>
      <c r="F1307" s="251">
        <v>744</v>
      </c>
      <c r="G1307" s="455" t="s">
        <v>5257</v>
      </c>
      <c r="H1307" s="250" t="s">
        <v>104</v>
      </c>
      <c r="I1307" s="250" t="s">
        <v>530</v>
      </c>
      <c r="J1307" s="440" t="s">
        <v>114</v>
      </c>
      <c r="K1307" s="440" t="s">
        <v>466</v>
      </c>
      <c r="L1307" s="440" t="s">
        <v>547</v>
      </c>
      <c r="M1307" s="336" t="s">
        <v>114</v>
      </c>
      <c r="N1307" s="278">
        <v>44439</v>
      </c>
      <c r="O1307" s="329" t="s">
        <v>69</v>
      </c>
      <c r="P1307" s="330">
        <f t="shared" si="163"/>
        <v>9</v>
      </c>
      <c r="Q1307" s="330">
        <f t="shared" si="164"/>
        <v>7</v>
      </c>
      <c r="R1307" s="331" t="str">
        <f t="shared" si="165"/>
        <v>Gastos_custeados_por_captação</v>
      </c>
      <c r="S1307" s="331" t="str">
        <f>IF(D1307="","",IF(OR(D1307=Plano!$A$1,D1307=Plano!$B$1),"entrada","saída"))</f>
        <v>saída</v>
      </c>
      <c r="T1307" s="332" t="s">
        <v>114</v>
      </c>
      <c r="U1307" s="332" t="s">
        <v>114</v>
      </c>
      <c r="V1307" s="439"/>
      <c r="W1307" s="439"/>
      <c r="X1307" s="439"/>
      <c r="Y1307" s="439"/>
      <c r="Z1307" s="439"/>
      <c r="AA1307" s="439"/>
      <c r="AB1307" s="439"/>
      <c r="AC1307" s="439"/>
      <c r="AD1307" s="439"/>
      <c r="AE1307" s="439"/>
      <c r="AF1307" s="439"/>
      <c r="AG1307" s="439"/>
      <c r="AH1307" s="439"/>
      <c r="AI1307" s="439"/>
      <c r="AJ1307" s="439"/>
      <c r="AK1307" s="439"/>
      <c r="AL1307" s="439"/>
      <c r="AM1307" s="439"/>
    </row>
    <row r="1308" spans="1:39" s="487" customFormat="1" ht="75.75" customHeight="1" x14ac:dyDescent="0.2">
      <c r="A1308" s="277">
        <f>IF(B1308="","",COUNT('Diário 5º PA'!$A$5:$A$2634)+COUNT('Diário 6º PA'!$A$5:$A$2246)+ROW()-4)</f>
        <v>3847</v>
      </c>
      <c r="B1308" s="278">
        <v>44459</v>
      </c>
      <c r="C1308" s="249">
        <v>44378</v>
      </c>
      <c r="D1308" s="250" t="s">
        <v>104</v>
      </c>
      <c r="E1308" s="250" t="s">
        <v>104</v>
      </c>
      <c r="F1308" s="251">
        <v>744</v>
      </c>
      <c r="G1308" s="452" t="s">
        <v>898</v>
      </c>
      <c r="H1308" s="250" t="s">
        <v>104</v>
      </c>
      <c r="I1308" s="250" t="s">
        <v>530</v>
      </c>
      <c r="J1308" s="440" t="s">
        <v>114</v>
      </c>
      <c r="K1308" s="440" t="s">
        <v>466</v>
      </c>
      <c r="L1308" s="440" t="s">
        <v>547</v>
      </c>
      <c r="M1308" s="336" t="s">
        <v>114</v>
      </c>
      <c r="N1308" s="278">
        <v>44439</v>
      </c>
      <c r="O1308" s="329" t="s">
        <v>69</v>
      </c>
      <c r="P1308" s="330">
        <f t="shared" si="163"/>
        <v>9</v>
      </c>
      <c r="Q1308" s="330">
        <f t="shared" si="164"/>
        <v>7</v>
      </c>
      <c r="R1308" s="331" t="str">
        <f t="shared" si="165"/>
        <v>Gastos_custeados_por_captação</v>
      </c>
      <c r="S1308" s="331" t="str">
        <f>IF(D1308="","",IF(OR(D1308=Plano!$A$1,D1308=Plano!$B$1),"entrada","saída"))</f>
        <v>saída</v>
      </c>
      <c r="T1308" s="332" t="s">
        <v>114</v>
      </c>
      <c r="U1308" s="332" t="s">
        <v>114</v>
      </c>
      <c r="V1308" s="439"/>
      <c r="W1308" s="439"/>
      <c r="X1308" s="439"/>
      <c r="Y1308" s="439"/>
      <c r="Z1308" s="439"/>
      <c r="AA1308" s="439"/>
      <c r="AB1308" s="439"/>
      <c r="AC1308" s="439"/>
      <c r="AD1308" s="439"/>
      <c r="AE1308" s="439"/>
      <c r="AF1308" s="439"/>
      <c r="AG1308" s="439"/>
      <c r="AH1308" s="439"/>
      <c r="AI1308" s="439"/>
      <c r="AJ1308" s="439"/>
      <c r="AK1308" s="439"/>
      <c r="AL1308" s="439"/>
      <c r="AM1308" s="439"/>
    </row>
    <row r="1309" spans="1:39" ht="98.25" customHeight="1" x14ac:dyDescent="0.2">
      <c r="A1309" s="277">
        <f>IF(B1309="","",COUNT('Diário 5º PA'!$A$5:$A$2634)+COUNT('Diário 6º PA'!$A$5:$A$2246)+ROW()-4)</f>
        <v>3848</v>
      </c>
      <c r="B1309" s="278">
        <v>44460</v>
      </c>
      <c r="C1309" s="256">
        <v>44409</v>
      </c>
      <c r="D1309" s="250" t="s">
        <v>99</v>
      </c>
      <c r="E1309" s="250" t="s">
        <v>262</v>
      </c>
      <c r="F1309" s="258">
        <v>-760.61</v>
      </c>
      <c r="G1309" s="450" t="s">
        <v>5209</v>
      </c>
      <c r="H1309" s="255" t="s">
        <v>115</v>
      </c>
      <c r="I1309" s="250" t="s">
        <v>983</v>
      </c>
      <c r="J1309" s="255" t="s">
        <v>850</v>
      </c>
      <c r="K1309" s="479" t="s">
        <v>946</v>
      </c>
      <c r="L1309" s="250" t="s">
        <v>947</v>
      </c>
      <c r="M1309" s="277" t="s">
        <v>114</v>
      </c>
      <c r="N1309" s="278">
        <v>44460</v>
      </c>
      <c r="O1309" s="329" t="s">
        <v>67</v>
      </c>
      <c r="P1309" s="330">
        <f t="shared" si="160"/>
        <v>9</v>
      </c>
      <c r="Q1309" s="330">
        <f t="shared" si="161"/>
        <v>8</v>
      </c>
      <c r="R1309" s="331" t="str">
        <f t="shared" si="162"/>
        <v>Gastos_Gerais</v>
      </c>
      <c r="S1309" s="331" t="str">
        <f>IF(D1309="","",IF(OR(D1309=Plano!$A$1,D1309=Plano!$B$1),"entrada","saída"))</f>
        <v>saída</v>
      </c>
      <c r="T1309" s="332" t="s">
        <v>114</v>
      </c>
      <c r="U1309" s="332" t="s">
        <v>114</v>
      </c>
      <c r="V1309" s="269"/>
      <c r="W1309" s="269"/>
      <c r="X1309" s="269"/>
      <c r="Y1309" s="269"/>
      <c r="Z1309" s="269"/>
      <c r="AA1309" s="269"/>
      <c r="AB1309" s="269"/>
      <c r="AC1309" s="269"/>
      <c r="AD1309" s="269"/>
      <c r="AE1309" s="269"/>
      <c r="AF1309" s="269"/>
      <c r="AG1309" s="269"/>
      <c r="AH1309" s="269"/>
      <c r="AI1309" s="269"/>
      <c r="AJ1309" s="269"/>
      <c r="AK1309" s="269"/>
      <c r="AL1309" s="269"/>
      <c r="AM1309" s="269"/>
    </row>
    <row r="1310" spans="1:39" ht="126.75" customHeight="1" x14ac:dyDescent="0.2">
      <c r="A1310" s="277">
        <f>IF(B1310="","",COUNT('Diário 5º PA'!$A$5:$A$2634)+COUNT('Diário 6º PA'!$A$5:$A$2246)+ROW()-4)</f>
        <v>3849</v>
      </c>
      <c r="B1310" s="278">
        <v>44460</v>
      </c>
      <c r="C1310" s="249">
        <v>44409</v>
      </c>
      <c r="D1310" s="250" t="s">
        <v>99</v>
      </c>
      <c r="E1310" s="250" t="s">
        <v>376</v>
      </c>
      <c r="F1310" s="251">
        <v>2646</v>
      </c>
      <c r="G1310" s="452" t="s">
        <v>5210</v>
      </c>
      <c r="H1310" s="250" t="s">
        <v>131</v>
      </c>
      <c r="I1310" s="250" t="s">
        <v>1057</v>
      </c>
      <c r="J1310" s="440" t="s">
        <v>583</v>
      </c>
      <c r="K1310" s="479" t="s">
        <v>1015</v>
      </c>
      <c r="L1310" s="250" t="s">
        <v>992</v>
      </c>
      <c r="M1310" s="277" t="s">
        <v>1532</v>
      </c>
      <c r="N1310" s="278">
        <v>44460</v>
      </c>
      <c r="O1310" s="329" t="s">
        <v>67</v>
      </c>
      <c r="P1310" s="330">
        <f t="shared" si="148"/>
        <v>9</v>
      </c>
      <c r="Q1310" s="330">
        <f t="shared" si="149"/>
        <v>8</v>
      </c>
      <c r="R1310" s="331" t="str">
        <f t="shared" si="150"/>
        <v>Gastos_Gerais</v>
      </c>
      <c r="S1310" s="331" t="str">
        <f>IF(D1310="","",IF(OR(D1310=Plano!$A$1,D1310=Plano!$B$1),"entrada","saída"))</f>
        <v>saída</v>
      </c>
      <c r="T1310" s="449" t="s">
        <v>1059</v>
      </c>
      <c r="U1310" s="449">
        <v>1867</v>
      </c>
      <c r="V1310" s="269"/>
      <c r="W1310" s="269"/>
      <c r="X1310" s="269"/>
      <c r="Y1310" s="269"/>
      <c r="Z1310" s="269"/>
      <c r="AA1310" s="269"/>
      <c r="AB1310" s="269"/>
      <c r="AC1310" s="269"/>
      <c r="AD1310" s="269"/>
      <c r="AE1310" s="269"/>
      <c r="AF1310" s="269"/>
      <c r="AG1310" s="269"/>
      <c r="AH1310" s="269"/>
      <c r="AI1310" s="269"/>
      <c r="AJ1310" s="269"/>
      <c r="AK1310" s="269"/>
      <c r="AL1310" s="269"/>
      <c r="AM1310" s="269"/>
    </row>
    <row r="1311" spans="1:39" ht="94.5" customHeight="1" x14ac:dyDescent="0.2">
      <c r="A1311" s="277">
        <f>IF(B1311="","",COUNT('Diário 5º PA'!$A$5:$A$2634)+COUNT('Diário 6º PA'!$A$5:$A$2246)+ROW()-4)</f>
        <v>3850</v>
      </c>
      <c r="B1311" s="278">
        <v>44460</v>
      </c>
      <c r="C1311" s="249">
        <v>44440</v>
      </c>
      <c r="D1311" s="250" t="s">
        <v>99</v>
      </c>
      <c r="E1311" s="250" t="s">
        <v>364</v>
      </c>
      <c r="F1311" s="251">
        <v>207</v>
      </c>
      <c r="G1311" s="452" t="s">
        <v>5157</v>
      </c>
      <c r="H1311" s="250" t="s">
        <v>124</v>
      </c>
      <c r="I1311" s="250" t="s">
        <v>5212</v>
      </c>
      <c r="J1311" s="440" t="s">
        <v>5158</v>
      </c>
      <c r="K1311" s="479" t="s">
        <v>1015</v>
      </c>
      <c r="L1311" s="250" t="s">
        <v>992</v>
      </c>
      <c r="M1311" s="277" t="s">
        <v>5213</v>
      </c>
      <c r="N1311" s="278">
        <v>44460</v>
      </c>
      <c r="O1311" s="329" t="s">
        <v>67</v>
      </c>
      <c r="P1311" s="330">
        <f t="shared" si="148"/>
        <v>9</v>
      </c>
      <c r="Q1311" s="330">
        <f t="shared" si="149"/>
        <v>9</v>
      </c>
      <c r="R1311" s="331" t="str">
        <f t="shared" si="150"/>
        <v>Gastos_Gerais</v>
      </c>
      <c r="S1311" s="331" t="str">
        <f>IF(D1311="","",IF(OR(D1311=Plano!$A$1,D1311=Plano!$B$1),"entrada","saída"))</f>
        <v>saída</v>
      </c>
      <c r="T1311" s="449" t="s">
        <v>1011</v>
      </c>
      <c r="U1311" s="449">
        <v>2021</v>
      </c>
      <c r="V1311" s="269"/>
      <c r="W1311" s="269"/>
      <c r="X1311" s="269"/>
      <c r="Y1311" s="269"/>
      <c r="Z1311" s="269"/>
      <c r="AA1311" s="269"/>
      <c r="AB1311" s="269"/>
      <c r="AC1311" s="269"/>
      <c r="AD1311" s="269"/>
      <c r="AE1311" s="269"/>
      <c r="AF1311" s="269"/>
      <c r="AG1311" s="269"/>
      <c r="AH1311" s="269"/>
      <c r="AI1311" s="269"/>
      <c r="AJ1311" s="269"/>
      <c r="AK1311" s="269"/>
      <c r="AL1311" s="269"/>
      <c r="AM1311" s="269"/>
    </row>
    <row r="1312" spans="1:39" s="444" customFormat="1" ht="94.5" customHeight="1" x14ac:dyDescent="0.2">
      <c r="A1312" s="277">
        <f>IF(B1312="","",COUNT('Diário 5º PA'!$A$5:$A$2634)+COUNT('Diário 6º PA'!$A$5:$A$2246)+ROW()-4)</f>
        <v>3851</v>
      </c>
      <c r="B1312" s="278">
        <v>44460</v>
      </c>
      <c r="C1312" s="249">
        <v>44409</v>
      </c>
      <c r="D1312" s="250" t="s">
        <v>99</v>
      </c>
      <c r="E1312" s="250" t="s">
        <v>364</v>
      </c>
      <c r="F1312" s="251">
        <v>533</v>
      </c>
      <c r="G1312" s="452" t="s">
        <v>713</v>
      </c>
      <c r="H1312" s="250" t="s">
        <v>118</v>
      </c>
      <c r="I1312" s="250" t="s">
        <v>2959</v>
      </c>
      <c r="J1312" s="440" t="s">
        <v>714</v>
      </c>
      <c r="K1312" s="479" t="s">
        <v>991</v>
      </c>
      <c r="L1312" s="250" t="s">
        <v>992</v>
      </c>
      <c r="M1312" s="277" t="s">
        <v>1294</v>
      </c>
      <c r="N1312" s="278">
        <v>44459</v>
      </c>
      <c r="O1312" s="329" t="s">
        <v>67</v>
      </c>
      <c r="P1312" s="330">
        <f t="shared" ref="P1312" si="166">IF(B1312=0,0,IF(YEAR(B1312)=$Q$1,MONTH(B1312)-$P$1+1,(YEAR(B1312)-$Q$1)*12-$P$1+1+MONTH(B1312)))</f>
        <v>9</v>
      </c>
      <c r="Q1312" s="330">
        <f t="shared" ref="Q1312" si="167">IF(C1312=0,0,IF(YEAR(C1312)=$Q$1,MONTH(C1312)-$P$1+1,(YEAR(C1312)-$Q$1)*12-$P$1+1+MONTH(C1312)))</f>
        <v>8</v>
      </c>
      <c r="R1312" s="331" t="str">
        <f t="shared" ref="R1312" si="168">SUBSTITUTE(D1312," ","_")</f>
        <v>Gastos_Gerais</v>
      </c>
      <c r="S1312" s="331" t="str">
        <f>IF(D1312="","",IF(OR(D1312=Plano!$A$1,D1312=Plano!$B$1),"entrada","saída"))</f>
        <v>saída</v>
      </c>
      <c r="T1312" s="449" t="s">
        <v>994</v>
      </c>
      <c r="U1312" s="449">
        <v>1862</v>
      </c>
      <c r="V1312" s="439"/>
      <c r="W1312" s="439"/>
      <c r="X1312" s="439"/>
      <c r="Y1312" s="439"/>
      <c r="Z1312" s="439"/>
      <c r="AA1312" s="439"/>
      <c r="AB1312" s="439"/>
      <c r="AC1312" s="439"/>
      <c r="AD1312" s="439"/>
      <c r="AE1312" s="439"/>
      <c r="AF1312" s="439"/>
      <c r="AG1312" s="439"/>
      <c r="AH1312" s="439"/>
      <c r="AI1312" s="439"/>
      <c r="AJ1312" s="439"/>
      <c r="AK1312" s="439"/>
      <c r="AL1312" s="439"/>
      <c r="AM1312" s="439"/>
    </row>
    <row r="1313" spans="1:39" ht="106.5" customHeight="1" x14ac:dyDescent="0.2">
      <c r="A1313" s="277">
        <f>IF(B1313="","",COUNT('Diário 5º PA'!$A$5:$A$2634)+COUNT('Diário 6º PA'!$A$5:$A$2246)+ROW()-4)</f>
        <v>3852</v>
      </c>
      <c r="B1313" s="278">
        <v>44460</v>
      </c>
      <c r="C1313" s="249">
        <v>44409</v>
      </c>
      <c r="D1313" s="250" t="s">
        <v>99</v>
      </c>
      <c r="E1313" s="250" t="s">
        <v>254</v>
      </c>
      <c r="F1313" s="251">
        <v>500</v>
      </c>
      <c r="G1313" s="452" t="s">
        <v>651</v>
      </c>
      <c r="H1313" s="250" t="s">
        <v>115</v>
      </c>
      <c r="I1313" s="250" t="s">
        <v>1135</v>
      </c>
      <c r="J1313" s="440" t="s">
        <v>652</v>
      </c>
      <c r="K1313" s="255" t="s">
        <v>991</v>
      </c>
      <c r="L1313" s="250" t="s">
        <v>1177</v>
      </c>
      <c r="M1313" s="277" t="s">
        <v>114</v>
      </c>
      <c r="N1313" s="278">
        <v>44441</v>
      </c>
      <c r="O1313" s="329" t="s">
        <v>67</v>
      </c>
      <c r="P1313" s="330">
        <f t="shared" si="148"/>
        <v>9</v>
      </c>
      <c r="Q1313" s="330">
        <f t="shared" si="149"/>
        <v>8</v>
      </c>
      <c r="R1313" s="331" t="str">
        <f t="shared" si="150"/>
        <v>Gastos_Gerais</v>
      </c>
      <c r="S1313" s="331" t="str">
        <f>IF(D1313="","",IF(OR(D1313=Plano!$A$1,D1313=Plano!$B$1),"entrada","saída"))</f>
        <v>saída</v>
      </c>
      <c r="T1313" s="449" t="s">
        <v>1059</v>
      </c>
      <c r="U1313" s="449">
        <v>1139</v>
      </c>
      <c r="V1313" s="269"/>
      <c r="W1313" s="269"/>
      <c r="X1313" s="269"/>
      <c r="Y1313" s="269"/>
      <c r="Z1313" s="269"/>
      <c r="AA1313" s="269"/>
      <c r="AB1313" s="269"/>
      <c r="AC1313" s="269"/>
      <c r="AD1313" s="269"/>
      <c r="AE1313" s="269"/>
      <c r="AF1313" s="269"/>
      <c r="AG1313" s="269"/>
      <c r="AH1313" s="269"/>
      <c r="AI1313" s="269"/>
      <c r="AJ1313" s="269"/>
      <c r="AK1313" s="269"/>
      <c r="AL1313" s="269"/>
      <c r="AM1313" s="269"/>
    </row>
    <row r="1314" spans="1:39" ht="210.75" customHeight="1" x14ac:dyDescent="0.2">
      <c r="A1314" s="277">
        <f>IF(B1314="","",COUNT('Diário 5º PA'!$A$5:$A$2634)+COUNT('Diário 6º PA'!$A$5:$A$2246)+ROW()-4)</f>
        <v>3853</v>
      </c>
      <c r="B1314" s="278">
        <v>44460</v>
      </c>
      <c r="C1314" s="249">
        <v>44348</v>
      </c>
      <c r="D1314" s="250" t="s">
        <v>99</v>
      </c>
      <c r="E1314" s="250" t="s">
        <v>358</v>
      </c>
      <c r="F1314" s="251">
        <v>2400</v>
      </c>
      <c r="G1314" s="452" t="s">
        <v>671</v>
      </c>
      <c r="H1314" s="250" t="s">
        <v>124</v>
      </c>
      <c r="I1314" s="250" t="s">
        <v>2890</v>
      </c>
      <c r="J1314" s="440" t="s">
        <v>672</v>
      </c>
      <c r="K1314" s="255" t="s">
        <v>991</v>
      </c>
      <c r="L1314" s="250" t="s">
        <v>992</v>
      </c>
      <c r="M1314" s="277">
        <v>183</v>
      </c>
      <c r="N1314" s="278">
        <v>44456</v>
      </c>
      <c r="O1314" s="329" t="s">
        <v>67</v>
      </c>
      <c r="P1314" s="330">
        <f t="shared" si="148"/>
        <v>9</v>
      </c>
      <c r="Q1314" s="330">
        <f t="shared" si="149"/>
        <v>6</v>
      </c>
      <c r="R1314" s="331" t="str">
        <f t="shared" si="150"/>
        <v>Gastos_Gerais</v>
      </c>
      <c r="S1314" s="331" t="str">
        <f>IF(D1314="","",IF(OR(D1314=Plano!$A$1,D1314=Plano!$B$1),"entrada","saída"))</f>
        <v>saída</v>
      </c>
      <c r="T1314" s="449" t="s">
        <v>994</v>
      </c>
      <c r="U1314" s="449">
        <v>1675</v>
      </c>
      <c r="V1314" s="269"/>
      <c r="W1314" s="269"/>
      <c r="X1314" s="269"/>
      <c r="Y1314" s="269"/>
      <c r="Z1314" s="269"/>
      <c r="AA1314" s="269"/>
      <c r="AB1314" s="269"/>
      <c r="AC1314" s="269"/>
      <c r="AD1314" s="269"/>
      <c r="AE1314" s="269"/>
      <c r="AF1314" s="269"/>
      <c r="AG1314" s="269"/>
      <c r="AH1314" s="269"/>
      <c r="AI1314" s="269"/>
      <c r="AJ1314" s="269"/>
      <c r="AK1314" s="269"/>
      <c r="AL1314" s="269"/>
      <c r="AM1314" s="269"/>
    </row>
    <row r="1315" spans="1:39" ht="187.5" customHeight="1" x14ac:dyDescent="0.2">
      <c r="A1315" s="277">
        <f>IF(B1315="","",COUNT('Diário 5º PA'!$A$5:$A$2634)+COUNT('Diário 6º PA'!$A$5:$A$2246)+ROW()-4)</f>
        <v>3854</v>
      </c>
      <c r="B1315" s="278">
        <v>44460</v>
      </c>
      <c r="C1315" s="249">
        <v>44409</v>
      </c>
      <c r="D1315" s="250" t="s">
        <v>99</v>
      </c>
      <c r="E1315" s="250" t="s">
        <v>262</v>
      </c>
      <c r="F1315" s="251">
        <v>2058.6</v>
      </c>
      <c r="G1315" s="452" t="s">
        <v>5214</v>
      </c>
      <c r="H1315" s="250" t="s">
        <v>115</v>
      </c>
      <c r="I1315" s="250" t="s">
        <v>1446</v>
      </c>
      <c r="J1315" s="440" t="s">
        <v>660</v>
      </c>
      <c r="K1315" s="255" t="s">
        <v>991</v>
      </c>
      <c r="L1315" s="250" t="s">
        <v>1029</v>
      </c>
      <c r="M1315" s="277">
        <v>1338</v>
      </c>
      <c r="N1315" s="278">
        <v>44460</v>
      </c>
      <c r="O1315" s="329" t="s">
        <v>67</v>
      </c>
      <c r="P1315" s="330">
        <f t="shared" si="148"/>
        <v>9</v>
      </c>
      <c r="Q1315" s="330">
        <f t="shared" si="149"/>
        <v>8</v>
      </c>
      <c r="R1315" s="331" t="str">
        <f t="shared" si="150"/>
        <v>Gastos_Gerais</v>
      </c>
      <c r="S1315" s="331" t="str">
        <f>IF(D1315="","",IF(OR(D1315=Plano!$A$1,D1315=Plano!$B$1),"entrada","saída"))</f>
        <v>saída</v>
      </c>
      <c r="T1315" s="449" t="s">
        <v>1059</v>
      </c>
      <c r="U1315" s="449">
        <v>1559</v>
      </c>
      <c r="V1315" s="269"/>
      <c r="W1315" s="269"/>
      <c r="X1315" s="269"/>
      <c r="Y1315" s="269"/>
      <c r="Z1315" s="269"/>
      <c r="AA1315" s="269"/>
      <c r="AB1315" s="269"/>
      <c r="AC1315" s="269"/>
      <c r="AD1315" s="269"/>
      <c r="AE1315" s="269"/>
      <c r="AF1315" s="269"/>
      <c r="AG1315" s="269"/>
      <c r="AH1315" s="269"/>
      <c r="AI1315" s="269"/>
      <c r="AJ1315" s="269"/>
      <c r="AK1315" s="269"/>
      <c r="AL1315" s="269"/>
      <c r="AM1315" s="269"/>
    </row>
    <row r="1316" spans="1:39" ht="120.75" customHeight="1" x14ac:dyDescent="0.2">
      <c r="A1316" s="277">
        <f>IF(B1316="","",COUNT('Diário 5º PA'!$A$5:$A$2634)+COUNT('Diário 6º PA'!$A$5:$A$2246)+ROW()-4)</f>
        <v>3855</v>
      </c>
      <c r="B1316" s="278">
        <v>44460</v>
      </c>
      <c r="C1316" s="249">
        <v>44440</v>
      </c>
      <c r="D1316" s="250" t="s">
        <v>99</v>
      </c>
      <c r="E1316" s="250" t="s">
        <v>364</v>
      </c>
      <c r="F1316" s="251">
        <v>800</v>
      </c>
      <c r="G1316" s="452" t="s">
        <v>5220</v>
      </c>
      <c r="H1316" s="250" t="s">
        <v>117</v>
      </c>
      <c r="I1316" s="250" t="s">
        <v>5221</v>
      </c>
      <c r="J1316" s="440" t="s">
        <v>812</v>
      </c>
      <c r="K1316" s="255" t="s">
        <v>991</v>
      </c>
      <c r="L1316" s="250" t="s">
        <v>992</v>
      </c>
      <c r="M1316" s="277" t="s">
        <v>1017</v>
      </c>
      <c r="N1316" s="278">
        <v>44460</v>
      </c>
      <c r="O1316" s="329" t="s">
        <v>67</v>
      </c>
      <c r="P1316" s="330">
        <f t="shared" si="148"/>
        <v>9</v>
      </c>
      <c r="Q1316" s="330">
        <f t="shared" si="149"/>
        <v>9</v>
      </c>
      <c r="R1316" s="331" t="str">
        <f t="shared" si="150"/>
        <v>Gastos_Gerais</v>
      </c>
      <c r="S1316" s="331" t="str">
        <f>IF(D1316="","",IF(OR(D1316=Plano!$A$1,D1316=Plano!$B$1),"entrada","saída"))</f>
        <v>saída</v>
      </c>
      <c r="T1316" s="449" t="s">
        <v>1059</v>
      </c>
      <c r="U1316" s="449">
        <v>1935</v>
      </c>
      <c r="V1316" s="269"/>
      <c r="W1316" s="269"/>
      <c r="X1316" s="269"/>
      <c r="Y1316" s="269"/>
      <c r="Z1316" s="269"/>
      <c r="AA1316" s="269"/>
      <c r="AB1316" s="269"/>
      <c r="AC1316" s="269"/>
      <c r="AD1316" s="269"/>
      <c r="AE1316" s="269"/>
      <c r="AF1316" s="269"/>
      <c r="AG1316" s="269"/>
      <c r="AH1316" s="269"/>
      <c r="AI1316" s="269"/>
      <c r="AJ1316" s="269"/>
      <c r="AK1316" s="269"/>
      <c r="AL1316" s="269"/>
      <c r="AM1316" s="269"/>
    </row>
    <row r="1317" spans="1:39" ht="140.25" customHeight="1" x14ac:dyDescent="0.2">
      <c r="A1317" s="277">
        <f>IF(B1317="","",COUNT('Diário 5º PA'!$A$5:$A$2634)+COUNT('Diário 6º PA'!$A$5:$A$2246)+ROW()-4)</f>
        <v>3856</v>
      </c>
      <c r="B1317" s="278">
        <v>44460</v>
      </c>
      <c r="C1317" s="249">
        <v>44440</v>
      </c>
      <c r="D1317" s="250" t="s">
        <v>99</v>
      </c>
      <c r="E1317" s="250" t="s">
        <v>364</v>
      </c>
      <c r="F1317" s="251">
        <v>1105.8</v>
      </c>
      <c r="G1317" s="455" t="s">
        <v>5177</v>
      </c>
      <c r="H1317" s="250" t="s">
        <v>124</v>
      </c>
      <c r="I1317" s="442" t="s">
        <v>5222</v>
      </c>
      <c r="J1317" s="445" t="s">
        <v>5176</v>
      </c>
      <c r="K1317" s="255" t="s">
        <v>560</v>
      </c>
      <c r="L1317" s="250" t="s">
        <v>1016</v>
      </c>
      <c r="M1317" s="520">
        <v>3910</v>
      </c>
      <c r="N1317" s="278">
        <v>44496</v>
      </c>
      <c r="O1317" s="329" t="s">
        <v>67</v>
      </c>
      <c r="P1317" s="330">
        <f t="shared" si="148"/>
        <v>9</v>
      </c>
      <c r="Q1317" s="330">
        <f t="shared" si="149"/>
        <v>9</v>
      </c>
      <c r="R1317" s="331" t="str">
        <f t="shared" si="150"/>
        <v>Gastos_Gerais</v>
      </c>
      <c r="S1317" s="331" t="str">
        <f>IF(D1317="","",IF(OR(D1317=Plano!$A$1,D1317=Plano!$B$1),"entrada","saída"))</f>
        <v>saída</v>
      </c>
      <c r="T1317" s="449" t="s">
        <v>1011</v>
      </c>
      <c r="U1317" s="449">
        <v>2019</v>
      </c>
      <c r="V1317" s="269"/>
      <c r="W1317" s="269"/>
      <c r="X1317" s="269"/>
      <c r="Y1317" s="269"/>
      <c r="Z1317" s="269"/>
      <c r="AA1317" s="269"/>
      <c r="AB1317" s="269"/>
      <c r="AC1317" s="269"/>
      <c r="AD1317" s="269"/>
      <c r="AE1317" s="269"/>
      <c r="AF1317" s="269"/>
      <c r="AG1317" s="269"/>
      <c r="AH1317" s="269"/>
      <c r="AI1317" s="269"/>
      <c r="AJ1317" s="269"/>
      <c r="AK1317" s="269"/>
      <c r="AL1317" s="269"/>
      <c r="AM1317" s="269"/>
    </row>
    <row r="1318" spans="1:39" ht="152.25" customHeight="1" x14ac:dyDescent="0.2">
      <c r="A1318" s="277">
        <f>IF(B1318="","",COUNT('Diário 5º PA'!$A$5:$A$2634)+COUNT('Diário 6º PA'!$A$5:$A$2246)+ROW()-4)</f>
        <v>3857</v>
      </c>
      <c r="B1318" s="278">
        <v>44460</v>
      </c>
      <c r="C1318" s="249">
        <v>44409</v>
      </c>
      <c r="D1318" s="250" t="s">
        <v>99</v>
      </c>
      <c r="E1318" s="250" t="s">
        <v>266</v>
      </c>
      <c r="F1318" s="251">
        <v>10123.030000000001</v>
      </c>
      <c r="G1318" s="452" t="s">
        <v>586</v>
      </c>
      <c r="H1318" s="250" t="s">
        <v>131</v>
      </c>
      <c r="I1318" s="252" t="s">
        <v>1447</v>
      </c>
      <c r="J1318" s="440" t="s">
        <v>587</v>
      </c>
      <c r="K1318" s="255" t="s">
        <v>991</v>
      </c>
      <c r="L1318" s="250" t="s">
        <v>992</v>
      </c>
      <c r="M1318" s="277" t="s">
        <v>5092</v>
      </c>
      <c r="N1318" s="278">
        <v>44460</v>
      </c>
      <c r="O1318" s="329" t="s">
        <v>67</v>
      </c>
      <c r="P1318" s="330">
        <f t="shared" si="148"/>
        <v>9</v>
      </c>
      <c r="Q1318" s="330">
        <f t="shared" si="149"/>
        <v>8</v>
      </c>
      <c r="R1318" s="331" t="str">
        <f t="shared" si="150"/>
        <v>Gastos_Gerais</v>
      </c>
      <c r="S1318" s="331" t="str">
        <f>IF(D1318="","",IF(OR(D1318=Plano!$A$1,D1318=Plano!$B$1),"entrada","saída"))</f>
        <v>saída</v>
      </c>
      <c r="T1318" s="449" t="s">
        <v>994</v>
      </c>
      <c r="U1318" s="449">
        <v>1441</v>
      </c>
      <c r="V1318" s="269"/>
      <c r="W1318" s="269"/>
      <c r="X1318" s="269"/>
      <c r="Y1318" s="269"/>
      <c r="Z1318" s="269"/>
      <c r="AA1318" s="269"/>
      <c r="AB1318" s="269"/>
      <c r="AC1318" s="269"/>
      <c r="AD1318" s="269"/>
      <c r="AE1318" s="269"/>
      <c r="AF1318" s="269"/>
      <c r="AG1318" s="269"/>
      <c r="AH1318" s="269"/>
      <c r="AI1318" s="269"/>
      <c r="AJ1318" s="269"/>
      <c r="AK1318" s="269"/>
      <c r="AL1318" s="269"/>
      <c r="AM1318" s="269"/>
    </row>
    <row r="1319" spans="1:39" ht="40.5" customHeight="1" x14ac:dyDescent="0.2">
      <c r="A1319" s="277">
        <f>IF(B1319="","",COUNT('Diário 5º PA'!$A$5:$A$2634)+COUNT('Diário 6º PA'!$A$5:$A$2246)+ROW()-4)</f>
        <v>3858</v>
      </c>
      <c r="B1319" s="278">
        <v>44460</v>
      </c>
      <c r="C1319" s="335">
        <v>44440</v>
      </c>
      <c r="D1319" s="255" t="s">
        <v>99</v>
      </c>
      <c r="E1319" s="255" t="s">
        <v>272</v>
      </c>
      <c r="F1319" s="258">
        <v>10.45</v>
      </c>
      <c r="G1319" s="450" t="s">
        <v>1149</v>
      </c>
      <c r="H1319" s="255" t="s">
        <v>115</v>
      </c>
      <c r="I1319" s="250" t="s">
        <v>949</v>
      </c>
      <c r="J1319" s="255" t="s">
        <v>950</v>
      </c>
      <c r="K1319" s="255" t="s">
        <v>951</v>
      </c>
      <c r="L1319" s="250" t="s">
        <v>947</v>
      </c>
      <c r="M1319" s="336" t="s">
        <v>114</v>
      </c>
      <c r="N1319" s="278">
        <v>44460</v>
      </c>
      <c r="O1319" s="329" t="s">
        <v>67</v>
      </c>
      <c r="P1319" s="330">
        <f t="shared" si="148"/>
        <v>9</v>
      </c>
      <c r="Q1319" s="330">
        <f t="shared" si="149"/>
        <v>9</v>
      </c>
      <c r="R1319" s="331" t="str">
        <f t="shared" si="150"/>
        <v>Gastos_Gerais</v>
      </c>
      <c r="S1319" s="331" t="str">
        <f>IF(D1319="","",IF(OR(D1319=Plano!$A$1,D1319=Plano!$B$1),"entrada","saída"))</f>
        <v>saída</v>
      </c>
      <c r="T1319" s="332" t="s">
        <v>114</v>
      </c>
      <c r="U1319" s="332" t="s">
        <v>114</v>
      </c>
      <c r="V1319" s="269"/>
      <c r="W1319" s="269"/>
      <c r="X1319" s="269"/>
      <c r="Y1319" s="269"/>
      <c r="Z1319" s="269"/>
      <c r="AA1319" s="269"/>
      <c r="AB1319" s="269"/>
      <c r="AC1319" s="269"/>
      <c r="AD1319" s="269"/>
      <c r="AE1319" s="269"/>
      <c r="AF1319" s="269"/>
      <c r="AG1319" s="269"/>
      <c r="AH1319" s="269"/>
      <c r="AI1319" s="269"/>
      <c r="AJ1319" s="269"/>
      <c r="AK1319" s="269"/>
      <c r="AL1319" s="269"/>
      <c r="AM1319" s="269"/>
    </row>
    <row r="1320" spans="1:39" ht="63" customHeight="1" x14ac:dyDescent="0.2">
      <c r="A1320" s="277">
        <f>IF(B1320="","",COUNT('Diário 5º PA'!$A$5:$A$2634)+COUNT('Diário 6º PA'!$A$5:$A$2246)+ROW()-4)</f>
        <v>3859</v>
      </c>
      <c r="B1320" s="278">
        <v>44460</v>
      </c>
      <c r="C1320" s="335">
        <v>44440</v>
      </c>
      <c r="D1320" s="255" t="s">
        <v>99</v>
      </c>
      <c r="E1320" s="255" t="s">
        <v>272</v>
      </c>
      <c r="F1320" s="258">
        <v>10.45</v>
      </c>
      <c r="G1320" s="450" t="s">
        <v>5225</v>
      </c>
      <c r="H1320" s="250" t="s">
        <v>124</v>
      </c>
      <c r="I1320" s="250" t="s">
        <v>949</v>
      </c>
      <c r="J1320" s="255" t="s">
        <v>950</v>
      </c>
      <c r="K1320" s="255" t="s">
        <v>951</v>
      </c>
      <c r="L1320" s="250" t="s">
        <v>947</v>
      </c>
      <c r="M1320" s="336" t="s">
        <v>114</v>
      </c>
      <c r="N1320" s="278">
        <v>44460</v>
      </c>
      <c r="O1320" s="329" t="s">
        <v>67</v>
      </c>
      <c r="P1320" s="330">
        <f t="shared" ref="P1320:P1321" si="169">IF(B1320=0,0,IF(YEAR(B1320)=$Q$1,MONTH(B1320)-$P$1+1,(YEAR(B1320)-$Q$1)*12-$P$1+1+MONTH(B1320)))</f>
        <v>9</v>
      </c>
      <c r="Q1320" s="330">
        <f t="shared" ref="Q1320:Q1321" si="170">IF(C1320=0,0,IF(YEAR(C1320)=$Q$1,MONTH(C1320)-$P$1+1,(YEAR(C1320)-$Q$1)*12-$P$1+1+MONTH(C1320)))</f>
        <v>9</v>
      </c>
      <c r="R1320" s="331" t="str">
        <f t="shared" ref="R1320:R1321" si="171">SUBSTITUTE(D1320," ","_")</f>
        <v>Gastos_Gerais</v>
      </c>
      <c r="S1320" s="331" t="str">
        <f>IF(D1320="","",IF(OR(D1320=Plano!$A$1,D1320=Plano!$B$1),"entrada","saída"))</f>
        <v>saída</v>
      </c>
      <c r="T1320" s="332" t="s">
        <v>114</v>
      </c>
      <c r="U1320" s="332" t="s">
        <v>114</v>
      </c>
      <c r="V1320" s="269"/>
      <c r="W1320" s="269"/>
      <c r="X1320" s="269"/>
      <c r="Y1320" s="269"/>
      <c r="Z1320" s="269"/>
      <c r="AA1320" s="269"/>
      <c r="AB1320" s="269"/>
      <c r="AC1320" s="269"/>
      <c r="AD1320" s="269"/>
      <c r="AE1320" s="269"/>
      <c r="AF1320" s="269"/>
      <c r="AG1320" s="269"/>
      <c r="AH1320" s="269"/>
      <c r="AI1320" s="269"/>
      <c r="AJ1320" s="269"/>
      <c r="AK1320" s="269"/>
      <c r="AL1320" s="269"/>
      <c r="AM1320" s="269"/>
    </row>
    <row r="1321" spans="1:39" ht="55.5" customHeight="1" x14ac:dyDescent="0.2">
      <c r="A1321" s="277">
        <f>IF(B1321="","",COUNT('Diário 5º PA'!$A$5:$A$2634)+COUNT('Diário 6º PA'!$A$5:$A$2246)+ROW()-4)</f>
        <v>3860</v>
      </c>
      <c r="B1321" s="278">
        <v>44460</v>
      </c>
      <c r="C1321" s="335">
        <v>44440</v>
      </c>
      <c r="D1321" s="255" t="s">
        <v>99</v>
      </c>
      <c r="E1321" s="255" t="s">
        <v>272</v>
      </c>
      <c r="F1321" s="258">
        <v>10.45</v>
      </c>
      <c r="G1321" s="450" t="s">
        <v>2006</v>
      </c>
      <c r="H1321" s="250" t="s">
        <v>115</v>
      </c>
      <c r="I1321" s="250" t="s">
        <v>949</v>
      </c>
      <c r="J1321" s="255" t="s">
        <v>950</v>
      </c>
      <c r="K1321" s="255" t="s">
        <v>951</v>
      </c>
      <c r="L1321" s="250" t="s">
        <v>947</v>
      </c>
      <c r="M1321" s="336" t="s">
        <v>114</v>
      </c>
      <c r="N1321" s="278">
        <v>44460</v>
      </c>
      <c r="O1321" s="329" t="s">
        <v>67</v>
      </c>
      <c r="P1321" s="330">
        <f t="shared" si="169"/>
        <v>9</v>
      </c>
      <c r="Q1321" s="330">
        <f t="shared" si="170"/>
        <v>9</v>
      </c>
      <c r="R1321" s="331" t="str">
        <f t="shared" si="171"/>
        <v>Gastos_Gerais</v>
      </c>
      <c r="S1321" s="331" t="str">
        <f>IF(D1321="","",IF(OR(D1321=Plano!$A$1,D1321=Plano!$B$1),"entrada","saída"))</f>
        <v>saída</v>
      </c>
      <c r="T1321" s="332" t="s">
        <v>114</v>
      </c>
      <c r="U1321" s="332" t="s">
        <v>114</v>
      </c>
      <c r="V1321" s="269"/>
      <c r="W1321" s="269"/>
      <c r="X1321" s="269"/>
      <c r="Y1321" s="269"/>
      <c r="Z1321" s="269"/>
      <c r="AA1321" s="269"/>
      <c r="AB1321" s="269"/>
      <c r="AC1321" s="269"/>
      <c r="AD1321" s="269"/>
      <c r="AE1321" s="269"/>
      <c r="AF1321" s="269"/>
      <c r="AG1321" s="269"/>
      <c r="AH1321" s="269"/>
      <c r="AI1321" s="269"/>
      <c r="AJ1321" s="269"/>
      <c r="AK1321" s="269"/>
      <c r="AL1321" s="269"/>
      <c r="AM1321" s="269"/>
    </row>
    <row r="1322" spans="1:39" ht="66.75" customHeight="1" x14ac:dyDescent="0.2">
      <c r="A1322" s="277">
        <f>IF(B1322="","",COUNT('Diário 5º PA'!$A$5:$A$2634)+COUNT('Diário 6º PA'!$A$5:$A$2246)+ROW()-4)</f>
        <v>3861</v>
      </c>
      <c r="B1322" s="278">
        <v>44460</v>
      </c>
      <c r="C1322" s="335">
        <v>44440</v>
      </c>
      <c r="D1322" s="255" t="s">
        <v>99</v>
      </c>
      <c r="E1322" s="255" t="s">
        <v>272</v>
      </c>
      <c r="F1322" s="258">
        <v>10.45</v>
      </c>
      <c r="G1322" s="450" t="s">
        <v>5226</v>
      </c>
      <c r="H1322" s="250" t="s">
        <v>117</v>
      </c>
      <c r="I1322" s="250" t="s">
        <v>949</v>
      </c>
      <c r="J1322" s="255" t="s">
        <v>950</v>
      </c>
      <c r="K1322" s="255" t="s">
        <v>951</v>
      </c>
      <c r="L1322" s="250" t="s">
        <v>947</v>
      </c>
      <c r="M1322" s="336" t="s">
        <v>114</v>
      </c>
      <c r="N1322" s="278">
        <v>44460</v>
      </c>
      <c r="O1322" s="329" t="s">
        <v>67</v>
      </c>
      <c r="P1322" s="330">
        <f t="shared" ref="P1322" si="172">IF(B1322=0,0,IF(YEAR(B1322)=$Q$1,MONTH(B1322)-$P$1+1,(YEAR(B1322)-$Q$1)*12-$P$1+1+MONTH(B1322)))</f>
        <v>9</v>
      </c>
      <c r="Q1322" s="330">
        <f t="shared" ref="Q1322" si="173">IF(C1322=0,0,IF(YEAR(C1322)=$Q$1,MONTH(C1322)-$P$1+1,(YEAR(C1322)-$Q$1)*12-$P$1+1+MONTH(C1322)))</f>
        <v>9</v>
      </c>
      <c r="R1322" s="331" t="str">
        <f t="shared" ref="R1322" si="174">SUBSTITUTE(D1322," ","_")</f>
        <v>Gastos_Gerais</v>
      </c>
      <c r="S1322" s="331" t="str">
        <f>IF(D1322="","",IF(OR(D1322=Plano!$A$1,D1322=Plano!$B$1),"entrada","saída"))</f>
        <v>saída</v>
      </c>
      <c r="T1322" s="332" t="s">
        <v>114</v>
      </c>
      <c r="U1322" s="332" t="s">
        <v>114</v>
      </c>
      <c r="V1322" s="269"/>
      <c r="W1322" s="269"/>
      <c r="X1322" s="269"/>
      <c r="Y1322" s="269"/>
      <c r="Z1322" s="269"/>
      <c r="AA1322" s="269"/>
      <c r="AB1322" s="269"/>
      <c r="AC1322" s="269"/>
      <c r="AD1322" s="269"/>
      <c r="AE1322" s="269"/>
      <c r="AF1322" s="269"/>
      <c r="AG1322" s="269"/>
      <c r="AH1322" s="269"/>
      <c r="AI1322" s="269"/>
      <c r="AJ1322" s="269"/>
      <c r="AK1322" s="269"/>
      <c r="AL1322" s="269"/>
      <c r="AM1322" s="269"/>
    </row>
    <row r="1323" spans="1:39" ht="57" customHeight="1" x14ac:dyDescent="0.2">
      <c r="A1323" s="277">
        <f>IF(B1323="","",COUNT('Diário 5º PA'!$A$5:$A$2634)+COUNT('Diário 6º PA'!$A$5:$A$2246)+ROW()-4)</f>
        <v>3862</v>
      </c>
      <c r="B1323" s="278">
        <v>44460</v>
      </c>
      <c r="C1323" s="335">
        <v>44440</v>
      </c>
      <c r="D1323" s="255" t="s">
        <v>99</v>
      </c>
      <c r="E1323" s="255" t="s">
        <v>272</v>
      </c>
      <c r="F1323" s="258">
        <v>10.45</v>
      </c>
      <c r="G1323" s="450" t="s">
        <v>5227</v>
      </c>
      <c r="H1323" s="250" t="s">
        <v>118</v>
      </c>
      <c r="I1323" s="250" t="s">
        <v>949</v>
      </c>
      <c r="J1323" s="255" t="s">
        <v>950</v>
      </c>
      <c r="K1323" s="255" t="s">
        <v>951</v>
      </c>
      <c r="L1323" s="250" t="s">
        <v>947</v>
      </c>
      <c r="M1323" s="336" t="s">
        <v>114</v>
      </c>
      <c r="N1323" s="278">
        <v>44460</v>
      </c>
      <c r="O1323" s="329" t="s">
        <v>67</v>
      </c>
      <c r="P1323" s="330">
        <f t="shared" ref="P1323:P1324" si="175">IF(B1323=0,0,IF(YEAR(B1323)=$Q$1,MONTH(B1323)-$P$1+1,(YEAR(B1323)-$Q$1)*12-$P$1+1+MONTH(B1323)))</f>
        <v>9</v>
      </c>
      <c r="Q1323" s="330">
        <f t="shared" ref="Q1323:Q1324" si="176">IF(C1323=0,0,IF(YEAR(C1323)=$Q$1,MONTH(C1323)-$P$1+1,(YEAR(C1323)-$Q$1)*12-$P$1+1+MONTH(C1323)))</f>
        <v>9</v>
      </c>
      <c r="R1323" s="331" t="str">
        <f t="shared" ref="R1323:R1324" si="177">SUBSTITUTE(D1323," ","_")</f>
        <v>Gastos_Gerais</v>
      </c>
      <c r="S1323" s="331" t="str">
        <f>IF(D1323="","",IF(OR(D1323=Plano!$A$1,D1323=Plano!$B$1),"entrada","saída"))</f>
        <v>saída</v>
      </c>
      <c r="T1323" s="332" t="s">
        <v>114</v>
      </c>
      <c r="U1323" s="332" t="s">
        <v>114</v>
      </c>
      <c r="V1323" s="269"/>
      <c r="W1323" s="269"/>
      <c r="X1323" s="269"/>
      <c r="Y1323" s="269"/>
      <c r="Z1323" s="269"/>
      <c r="AA1323" s="269"/>
      <c r="AB1323" s="269"/>
      <c r="AC1323" s="269"/>
      <c r="AD1323" s="269"/>
      <c r="AE1323" s="269"/>
      <c r="AF1323" s="269"/>
      <c r="AG1323" s="269"/>
      <c r="AH1323" s="269"/>
      <c r="AI1323" s="269"/>
      <c r="AJ1323" s="269"/>
      <c r="AK1323" s="269"/>
      <c r="AL1323" s="269"/>
      <c r="AM1323" s="269"/>
    </row>
    <row r="1324" spans="1:39" ht="45" customHeight="1" x14ac:dyDescent="0.2">
      <c r="A1324" s="277">
        <f>IF(B1324="","",COUNT('Diário 5º PA'!$A$5:$A$2634)+COUNT('Diário 6º PA'!$A$5:$A$2246)+ROW()-4)</f>
        <v>3863</v>
      </c>
      <c r="B1324" s="278">
        <v>44460</v>
      </c>
      <c r="C1324" s="335">
        <v>44440</v>
      </c>
      <c r="D1324" s="255" t="s">
        <v>99</v>
      </c>
      <c r="E1324" s="255" t="s">
        <v>272</v>
      </c>
      <c r="F1324" s="258">
        <v>10.45</v>
      </c>
      <c r="G1324" s="450" t="s">
        <v>1500</v>
      </c>
      <c r="H1324" s="250" t="s">
        <v>131</v>
      </c>
      <c r="I1324" s="250" t="s">
        <v>949</v>
      </c>
      <c r="J1324" s="255" t="s">
        <v>950</v>
      </c>
      <c r="K1324" s="255" t="s">
        <v>951</v>
      </c>
      <c r="L1324" s="250" t="s">
        <v>947</v>
      </c>
      <c r="M1324" s="336" t="s">
        <v>114</v>
      </c>
      <c r="N1324" s="278">
        <v>44460</v>
      </c>
      <c r="O1324" s="329" t="s">
        <v>67</v>
      </c>
      <c r="P1324" s="330">
        <f t="shared" si="175"/>
        <v>9</v>
      </c>
      <c r="Q1324" s="330">
        <f t="shared" si="176"/>
        <v>9</v>
      </c>
      <c r="R1324" s="331" t="str">
        <f t="shared" si="177"/>
        <v>Gastos_Gerais</v>
      </c>
      <c r="S1324" s="331" t="str">
        <f>IF(D1324="","",IF(OR(D1324=Plano!$A$1,D1324=Plano!$B$1),"entrada","saída"))</f>
        <v>saída</v>
      </c>
      <c r="T1324" s="332" t="s">
        <v>114</v>
      </c>
      <c r="U1324" s="332" t="s">
        <v>114</v>
      </c>
      <c r="V1324" s="269"/>
      <c r="W1324" s="269"/>
      <c r="X1324" s="269"/>
      <c r="Y1324" s="269"/>
      <c r="Z1324" s="269"/>
      <c r="AA1324" s="269"/>
      <c r="AB1324" s="269"/>
      <c r="AC1324" s="269"/>
      <c r="AD1324" s="269"/>
      <c r="AE1324" s="269"/>
      <c r="AF1324" s="269"/>
      <c r="AG1324" s="269"/>
      <c r="AH1324" s="269"/>
      <c r="AI1324" s="269"/>
      <c r="AJ1324" s="269"/>
      <c r="AK1324" s="269"/>
      <c r="AL1324" s="269"/>
      <c r="AM1324" s="269"/>
    </row>
    <row r="1325" spans="1:39" s="475" customFormat="1" ht="65.25" customHeight="1" x14ac:dyDescent="0.2">
      <c r="A1325" s="277">
        <f>IF(B1325="","",COUNT('Diário 5º PA'!$A$5:$A$2634)+COUNT('Diário 6º PA'!$A$5:$A$2246)+ROW()-4)</f>
        <v>3864</v>
      </c>
      <c r="B1325" s="278">
        <v>44460</v>
      </c>
      <c r="C1325" s="335">
        <v>44440</v>
      </c>
      <c r="D1325" s="250" t="s">
        <v>77</v>
      </c>
      <c r="E1325" s="255" t="s">
        <v>147</v>
      </c>
      <c r="F1325" s="258">
        <v>302600</v>
      </c>
      <c r="G1325" s="450" t="s">
        <v>5372</v>
      </c>
      <c r="H1325" s="250" t="s">
        <v>114</v>
      </c>
      <c r="I1325" s="250" t="s">
        <v>983</v>
      </c>
      <c r="J1325" s="255" t="s">
        <v>850</v>
      </c>
      <c r="K1325" s="255" t="s">
        <v>946</v>
      </c>
      <c r="L1325" s="250" t="s">
        <v>947</v>
      </c>
      <c r="M1325" s="336" t="s">
        <v>114</v>
      </c>
      <c r="N1325" s="278">
        <v>44460</v>
      </c>
      <c r="O1325" s="329" t="s">
        <v>5370</v>
      </c>
      <c r="P1325" s="330">
        <f t="shared" ref="P1325" si="178">IF(B1325=0,0,IF(YEAR(B1325)=$Q$1,MONTH(B1325)-$P$1+1,(YEAR(B1325)-$Q$1)*12-$P$1+1+MONTH(B1325)))</f>
        <v>9</v>
      </c>
      <c r="Q1325" s="330">
        <f t="shared" ref="Q1325" si="179">IF(C1325=0,0,IF(YEAR(C1325)=$Q$1,MONTH(C1325)-$P$1+1,(YEAR(C1325)-$Q$1)*12-$P$1+1+MONTH(C1325)))</f>
        <v>9</v>
      </c>
      <c r="R1325" s="331" t="str">
        <f t="shared" ref="R1325" si="180">SUBSTITUTE(D1325," ","_")</f>
        <v>Receitas</v>
      </c>
      <c r="S1325" s="331" t="str">
        <f>IF(D1325="","",IF(OR(D1325=Plano!$A$1,D1325=Plano!$B$1),"entrada","saída"))</f>
        <v>entrada</v>
      </c>
      <c r="T1325" s="332" t="s">
        <v>114</v>
      </c>
      <c r="U1325" s="332" t="s">
        <v>114</v>
      </c>
      <c r="V1325" s="439"/>
      <c r="W1325" s="439"/>
      <c r="X1325" s="439"/>
      <c r="Y1325" s="439"/>
      <c r="Z1325" s="439"/>
      <c r="AA1325" s="439"/>
      <c r="AB1325" s="439"/>
      <c r="AC1325" s="439"/>
      <c r="AD1325" s="439"/>
      <c r="AE1325" s="439"/>
      <c r="AF1325" s="439"/>
      <c r="AG1325" s="439"/>
      <c r="AH1325" s="439"/>
      <c r="AI1325" s="439"/>
      <c r="AJ1325" s="439"/>
      <c r="AK1325" s="439"/>
      <c r="AL1325" s="439"/>
      <c r="AM1325" s="439"/>
    </row>
    <row r="1326" spans="1:39" s="485" customFormat="1" ht="65.25" customHeight="1" x14ac:dyDescent="0.2">
      <c r="A1326" s="277">
        <f>IF(B1326="","",COUNT('Diário 5º PA'!$A$5:$A$2634)+COUNT('Diário 6º PA'!$A$5:$A$2246)+ROW()-4)</f>
        <v>3865</v>
      </c>
      <c r="B1326" s="278">
        <v>44460</v>
      </c>
      <c r="C1326" s="335">
        <v>44440</v>
      </c>
      <c r="D1326" s="250" t="s">
        <v>77</v>
      </c>
      <c r="E1326" s="255" t="s">
        <v>147</v>
      </c>
      <c r="F1326" s="258">
        <v>53400</v>
      </c>
      <c r="G1326" s="450" t="s">
        <v>5372</v>
      </c>
      <c r="H1326" s="250" t="s">
        <v>114</v>
      </c>
      <c r="I1326" s="250" t="s">
        <v>983</v>
      </c>
      <c r="J1326" s="255" t="s">
        <v>850</v>
      </c>
      <c r="K1326" s="255" t="s">
        <v>946</v>
      </c>
      <c r="L1326" s="250" t="s">
        <v>947</v>
      </c>
      <c r="M1326" s="336" t="s">
        <v>114</v>
      </c>
      <c r="N1326" s="278">
        <v>44460</v>
      </c>
      <c r="O1326" s="329" t="s">
        <v>5370</v>
      </c>
      <c r="P1326" s="330">
        <f t="shared" ref="P1326" si="181">IF(B1326=0,0,IF(YEAR(B1326)=$Q$1,MONTH(B1326)-$P$1+1,(YEAR(B1326)-$Q$1)*12-$P$1+1+MONTH(B1326)))</f>
        <v>9</v>
      </c>
      <c r="Q1326" s="330">
        <f t="shared" ref="Q1326" si="182">IF(C1326=0,0,IF(YEAR(C1326)=$Q$1,MONTH(C1326)-$P$1+1,(YEAR(C1326)-$Q$1)*12-$P$1+1+MONTH(C1326)))</f>
        <v>9</v>
      </c>
      <c r="R1326" s="331" t="str">
        <f t="shared" ref="R1326" si="183">SUBSTITUTE(D1326," ","_")</f>
        <v>Receitas</v>
      </c>
      <c r="S1326" s="331" t="str">
        <f>IF(D1326="","",IF(OR(D1326=Plano!$A$1,D1326=Plano!$B$1),"entrada","saída"))</f>
        <v>entrada</v>
      </c>
      <c r="T1326" s="332" t="s">
        <v>114</v>
      </c>
      <c r="U1326" s="332" t="s">
        <v>114</v>
      </c>
      <c r="V1326" s="439"/>
      <c r="W1326" s="439"/>
      <c r="X1326" s="439"/>
      <c r="Y1326" s="439"/>
      <c r="Z1326" s="439"/>
      <c r="AA1326" s="439"/>
      <c r="AB1326" s="439"/>
      <c r="AC1326" s="439"/>
      <c r="AD1326" s="439"/>
      <c r="AE1326" s="439"/>
      <c r="AF1326" s="439"/>
      <c r="AG1326" s="439"/>
      <c r="AH1326" s="439"/>
      <c r="AI1326" s="439"/>
      <c r="AJ1326" s="439"/>
      <c r="AK1326" s="439"/>
      <c r="AL1326" s="439"/>
      <c r="AM1326" s="439"/>
    </row>
    <row r="1327" spans="1:39" s="478" customFormat="1" ht="65.25" customHeight="1" x14ac:dyDescent="0.2">
      <c r="A1327" s="277">
        <f>IF(B1327="","",COUNT('Diário 5º PA'!$A$5:$A$2634)+COUNT('Diário 6º PA'!$A$5:$A$2246)+ROW()-4)</f>
        <v>3866</v>
      </c>
      <c r="B1327" s="278">
        <v>44460</v>
      </c>
      <c r="C1327" s="335">
        <v>44378</v>
      </c>
      <c r="D1327" s="250" t="s">
        <v>104</v>
      </c>
      <c r="E1327" s="255" t="s">
        <v>104</v>
      </c>
      <c r="F1327" s="258">
        <v>1091.6600000000001</v>
      </c>
      <c r="G1327" s="450" t="s">
        <v>5499</v>
      </c>
      <c r="H1327" s="250" t="s">
        <v>104</v>
      </c>
      <c r="I1327" s="250" t="s">
        <v>5500</v>
      </c>
      <c r="J1327" s="255" t="s">
        <v>652</v>
      </c>
      <c r="K1327" s="255" t="s">
        <v>991</v>
      </c>
      <c r="L1327" s="250" t="s">
        <v>1177</v>
      </c>
      <c r="M1327" s="336" t="s">
        <v>114</v>
      </c>
      <c r="N1327" s="278">
        <v>44441</v>
      </c>
      <c r="O1327" s="329" t="s">
        <v>5377</v>
      </c>
      <c r="P1327" s="330">
        <f t="shared" ref="P1327:P1329" si="184">IF(B1327=0,0,IF(YEAR(B1327)=$Q$1,MONTH(B1327)-$P$1+1,(YEAR(B1327)-$Q$1)*12-$P$1+1+MONTH(B1327)))</f>
        <v>9</v>
      </c>
      <c r="Q1327" s="330">
        <f t="shared" ref="Q1327:Q1329" si="185">IF(C1327=0,0,IF(YEAR(C1327)=$Q$1,MONTH(C1327)-$P$1+1,(YEAR(C1327)-$Q$1)*12-$P$1+1+MONTH(C1327)))</f>
        <v>7</v>
      </c>
      <c r="R1327" s="331" t="str">
        <f t="shared" ref="R1327:R1329" si="186">SUBSTITUTE(D1327," ","_")</f>
        <v>Gastos_custeados_por_captação</v>
      </c>
      <c r="S1327" s="331"/>
      <c r="T1327" s="332" t="s">
        <v>1082</v>
      </c>
      <c r="U1327" s="332">
        <v>1703</v>
      </c>
      <c r="V1327" s="439"/>
      <c r="W1327" s="439"/>
      <c r="X1327" s="439"/>
      <c r="Y1327" s="439"/>
      <c r="Z1327" s="439"/>
      <c r="AA1327" s="439"/>
      <c r="AB1327" s="439"/>
      <c r="AC1327" s="439"/>
      <c r="AD1327" s="439"/>
      <c r="AE1327" s="439"/>
      <c r="AF1327" s="439"/>
      <c r="AG1327" s="439"/>
      <c r="AH1327" s="439"/>
      <c r="AI1327" s="439"/>
      <c r="AJ1327" s="439"/>
      <c r="AK1327" s="439"/>
      <c r="AL1327" s="439"/>
      <c r="AM1327" s="439"/>
    </row>
    <row r="1328" spans="1:39" s="478" customFormat="1" ht="65.25" customHeight="1" x14ac:dyDescent="0.2">
      <c r="A1328" s="277">
        <f>IF(B1328="","",COUNT('Diário 5º PA'!$A$5:$A$2634)+COUNT('Diário 6º PA'!$A$5:$A$2246)+ROW()-4)</f>
        <v>3867</v>
      </c>
      <c r="B1328" s="278">
        <v>44460</v>
      </c>
      <c r="C1328" s="335">
        <v>44440</v>
      </c>
      <c r="D1328" s="250" t="s">
        <v>104</v>
      </c>
      <c r="E1328" s="255" t="s">
        <v>104</v>
      </c>
      <c r="F1328" s="258">
        <v>10.45</v>
      </c>
      <c r="G1328" s="450" t="s">
        <v>5451</v>
      </c>
      <c r="H1328" s="250" t="s">
        <v>104</v>
      </c>
      <c r="I1328" s="250" t="s">
        <v>949</v>
      </c>
      <c r="J1328" s="255" t="s">
        <v>950</v>
      </c>
      <c r="K1328" s="255" t="s">
        <v>951</v>
      </c>
      <c r="L1328" s="250" t="s">
        <v>947</v>
      </c>
      <c r="M1328" s="336" t="s">
        <v>114</v>
      </c>
      <c r="N1328" s="278">
        <v>44460</v>
      </c>
      <c r="O1328" s="329" t="s">
        <v>5377</v>
      </c>
      <c r="P1328" s="330">
        <f t="shared" si="184"/>
        <v>9</v>
      </c>
      <c r="Q1328" s="330">
        <f t="shared" si="185"/>
        <v>9</v>
      </c>
      <c r="R1328" s="331" t="str">
        <f t="shared" si="186"/>
        <v>Gastos_custeados_por_captação</v>
      </c>
      <c r="S1328" s="331" t="str">
        <f>IF(D1328="","",IF(OR(D1328=Plano!$A$1,D1328=Plano!$B$1),"entrada","saída"))</f>
        <v>saída</v>
      </c>
      <c r="T1328" s="332" t="s">
        <v>114</v>
      </c>
      <c r="U1328" s="332" t="s">
        <v>114</v>
      </c>
      <c r="V1328" s="439"/>
      <c r="W1328" s="439"/>
      <c r="X1328" s="439"/>
      <c r="Y1328" s="439"/>
      <c r="Z1328" s="439"/>
      <c r="AA1328" s="439"/>
      <c r="AB1328" s="439"/>
      <c r="AC1328" s="439"/>
      <c r="AD1328" s="439"/>
      <c r="AE1328" s="439"/>
      <c r="AF1328" s="439"/>
      <c r="AG1328" s="439"/>
      <c r="AH1328" s="439"/>
      <c r="AI1328" s="439"/>
      <c r="AJ1328" s="439"/>
      <c r="AK1328" s="439"/>
      <c r="AL1328" s="439"/>
      <c r="AM1328" s="439"/>
    </row>
    <row r="1329" spans="1:39" s="478" customFormat="1" ht="60.75" customHeight="1" x14ac:dyDescent="0.2">
      <c r="A1329" s="277">
        <f>IF(B1329="","",COUNT('Diário 5º PA'!$A$5:$A$2634)+COUNT('Diário 6º PA'!$A$5:$A$2246)+ROW()-4)</f>
        <v>3868</v>
      </c>
      <c r="B1329" s="278">
        <v>44460</v>
      </c>
      <c r="C1329" s="335">
        <v>44440</v>
      </c>
      <c r="D1329" s="250" t="s">
        <v>104</v>
      </c>
      <c r="E1329" s="255" t="s">
        <v>104</v>
      </c>
      <c r="F1329" s="258">
        <v>10.45</v>
      </c>
      <c r="G1329" s="450" t="s">
        <v>5451</v>
      </c>
      <c r="H1329" s="250" t="s">
        <v>104</v>
      </c>
      <c r="I1329" s="250" t="s">
        <v>949</v>
      </c>
      <c r="J1329" s="255" t="s">
        <v>950</v>
      </c>
      <c r="K1329" s="255" t="s">
        <v>951</v>
      </c>
      <c r="L1329" s="250" t="s">
        <v>947</v>
      </c>
      <c r="M1329" s="336" t="s">
        <v>114</v>
      </c>
      <c r="N1329" s="278">
        <v>44460</v>
      </c>
      <c r="O1329" s="329" t="s">
        <v>5377</v>
      </c>
      <c r="P1329" s="330">
        <f t="shared" si="184"/>
        <v>9</v>
      </c>
      <c r="Q1329" s="330">
        <f t="shared" si="185"/>
        <v>9</v>
      </c>
      <c r="R1329" s="331" t="str">
        <f t="shared" si="186"/>
        <v>Gastos_custeados_por_captação</v>
      </c>
      <c r="S1329" s="331" t="str">
        <f>IF(D1329="","",IF(OR(D1329=Plano!$A$1,D1329=Plano!$B$1),"entrada","saída"))</f>
        <v>saída</v>
      </c>
      <c r="T1329" s="332" t="s">
        <v>114</v>
      </c>
      <c r="U1329" s="332" t="s">
        <v>114</v>
      </c>
      <c r="V1329" s="439"/>
      <c r="W1329" s="439"/>
      <c r="X1329" s="439"/>
      <c r="Y1329" s="439"/>
      <c r="Z1329" s="439"/>
      <c r="AA1329" s="439"/>
      <c r="AB1329" s="439"/>
      <c r="AC1329" s="439"/>
      <c r="AD1329" s="439"/>
      <c r="AE1329" s="439"/>
      <c r="AF1329" s="439"/>
      <c r="AG1329" s="439"/>
      <c r="AH1329" s="439"/>
      <c r="AI1329" s="439"/>
      <c r="AJ1329" s="439"/>
      <c r="AK1329" s="439"/>
      <c r="AL1329" s="439"/>
      <c r="AM1329" s="439"/>
    </row>
    <row r="1330" spans="1:39" ht="123" customHeight="1" x14ac:dyDescent="0.2">
      <c r="A1330" s="277">
        <f>IF(B1330="","",COUNT('Diário 5º PA'!$A$5:$A$2634)+COUNT('Diário 6º PA'!$A$5:$A$2246)+ROW()-4)</f>
        <v>3869</v>
      </c>
      <c r="B1330" s="278">
        <v>44461</v>
      </c>
      <c r="C1330" s="249">
        <v>44075</v>
      </c>
      <c r="D1330" s="250" t="s">
        <v>99</v>
      </c>
      <c r="E1330" s="250" t="s">
        <v>262</v>
      </c>
      <c r="F1330" s="251">
        <v>500</v>
      </c>
      <c r="G1330" s="452" t="s">
        <v>437</v>
      </c>
      <c r="H1330" s="250" t="s">
        <v>124</v>
      </c>
      <c r="I1330" s="252" t="s">
        <v>3218</v>
      </c>
      <c r="J1330" s="440" t="s">
        <v>438</v>
      </c>
      <c r="K1330" s="255" t="s">
        <v>1015</v>
      </c>
      <c r="L1330" s="250" t="s">
        <v>992</v>
      </c>
      <c r="M1330" s="277">
        <v>544</v>
      </c>
      <c r="N1330" s="278">
        <v>44456</v>
      </c>
      <c r="O1330" s="329" t="s">
        <v>67</v>
      </c>
      <c r="P1330" s="330">
        <f t="shared" si="148"/>
        <v>9</v>
      </c>
      <c r="Q1330" s="330">
        <f t="shared" si="149"/>
        <v>-3</v>
      </c>
      <c r="R1330" s="331" t="str">
        <f t="shared" si="150"/>
        <v>Gastos_Gerais</v>
      </c>
      <c r="S1330" s="331" t="str">
        <f>IF(D1330="","",IF(OR(D1330=Plano!$A$1,D1330=Plano!$B$1),"entrada","saída"))</f>
        <v>saída</v>
      </c>
      <c r="T1330" s="449" t="s">
        <v>1059</v>
      </c>
      <c r="U1330" s="449">
        <v>649</v>
      </c>
      <c r="V1330" s="269"/>
      <c r="W1330" s="269"/>
      <c r="X1330" s="269"/>
      <c r="Y1330" s="269"/>
      <c r="Z1330" s="269"/>
      <c r="AA1330" s="269"/>
      <c r="AB1330" s="269"/>
      <c r="AC1330" s="269"/>
      <c r="AD1330" s="269"/>
      <c r="AE1330" s="269"/>
      <c r="AF1330" s="269"/>
      <c r="AG1330" s="269"/>
      <c r="AH1330" s="269"/>
      <c r="AI1330" s="269"/>
      <c r="AJ1330" s="269"/>
      <c r="AK1330" s="269"/>
      <c r="AL1330" s="269"/>
      <c r="AM1330" s="269"/>
    </row>
    <row r="1331" spans="1:39" ht="96" customHeight="1" x14ac:dyDescent="0.2">
      <c r="A1331" s="277">
        <f>IF(B1331="","",COUNT('Diário 5º PA'!$A$5:$A$2634)+COUNT('Diário 6º PA'!$A$5:$A$2246)+ROW()-4)</f>
        <v>3870</v>
      </c>
      <c r="B1331" s="278">
        <v>44461</v>
      </c>
      <c r="C1331" s="249">
        <v>44409</v>
      </c>
      <c r="D1331" s="250" t="s">
        <v>99</v>
      </c>
      <c r="E1331" s="250" t="s">
        <v>360</v>
      </c>
      <c r="F1331" s="251">
        <v>4116</v>
      </c>
      <c r="G1331" s="452" t="s">
        <v>758</v>
      </c>
      <c r="H1331" s="250" t="s">
        <v>116</v>
      </c>
      <c r="I1331" s="250" t="s">
        <v>5232</v>
      </c>
      <c r="J1331" s="440" t="s">
        <v>759</v>
      </c>
      <c r="K1331" s="255" t="s">
        <v>991</v>
      </c>
      <c r="L1331" s="250" t="s">
        <v>992</v>
      </c>
      <c r="M1331" s="277" t="s">
        <v>1394</v>
      </c>
      <c r="N1331" s="278">
        <v>44460</v>
      </c>
      <c r="O1331" s="329" t="s">
        <v>67</v>
      </c>
      <c r="P1331" s="330">
        <f t="shared" si="148"/>
        <v>9</v>
      </c>
      <c r="Q1331" s="330">
        <f t="shared" si="149"/>
        <v>8</v>
      </c>
      <c r="R1331" s="331" t="str">
        <f t="shared" si="150"/>
        <v>Gastos_Gerais</v>
      </c>
      <c r="S1331" s="331" t="str">
        <f>IF(D1331="","",IF(OR(D1331=Plano!$A$1,D1331=Plano!$B$1),"entrada","saída"))</f>
        <v>saída</v>
      </c>
      <c r="T1331" s="449" t="s">
        <v>994</v>
      </c>
      <c r="U1331" s="449">
        <v>1913</v>
      </c>
      <c r="V1331" s="269"/>
      <c r="W1331" s="269"/>
      <c r="X1331" s="269"/>
      <c r="Y1331" s="269"/>
      <c r="Z1331" s="269"/>
      <c r="AA1331" s="269"/>
      <c r="AB1331" s="269"/>
      <c r="AC1331" s="269"/>
      <c r="AD1331" s="269"/>
      <c r="AE1331" s="269"/>
      <c r="AF1331" s="269"/>
      <c r="AG1331" s="269"/>
      <c r="AH1331" s="269"/>
      <c r="AI1331" s="269"/>
      <c r="AJ1331" s="269"/>
      <c r="AK1331" s="269"/>
      <c r="AL1331" s="269"/>
      <c r="AM1331" s="269"/>
    </row>
    <row r="1332" spans="1:39" ht="120" customHeight="1" x14ac:dyDescent="0.2">
      <c r="A1332" s="277">
        <f>IF(B1332="","",COUNT('Diário 5º PA'!$A$5:$A$2634)+COUNT('Diário 6º PA'!$A$5:$A$2246)+ROW()-4)</f>
        <v>3871</v>
      </c>
      <c r="B1332" s="278">
        <v>44461</v>
      </c>
      <c r="C1332" s="249">
        <v>44409</v>
      </c>
      <c r="D1332" s="250" t="s">
        <v>99</v>
      </c>
      <c r="E1332" s="250" t="s">
        <v>364</v>
      </c>
      <c r="F1332" s="251">
        <v>533</v>
      </c>
      <c r="G1332" s="452" t="s">
        <v>715</v>
      </c>
      <c r="H1332" s="250" t="s">
        <v>118</v>
      </c>
      <c r="I1332" s="250" t="s">
        <v>4577</v>
      </c>
      <c r="J1332" s="440" t="s">
        <v>716</v>
      </c>
      <c r="K1332" s="255" t="s">
        <v>991</v>
      </c>
      <c r="L1332" s="250" t="s">
        <v>992</v>
      </c>
      <c r="M1332" s="277" t="s">
        <v>1017</v>
      </c>
      <c r="N1332" s="278">
        <v>44459</v>
      </c>
      <c r="O1332" s="329" t="s">
        <v>67</v>
      </c>
      <c r="P1332" s="330">
        <f t="shared" si="148"/>
        <v>9</v>
      </c>
      <c r="Q1332" s="330">
        <f t="shared" si="149"/>
        <v>8</v>
      </c>
      <c r="R1332" s="331" t="str">
        <f t="shared" si="150"/>
        <v>Gastos_Gerais</v>
      </c>
      <c r="S1332" s="331" t="str">
        <f>IF(D1332="","",IF(OR(D1332=Plano!$A$1,D1332=Plano!$B$1),"entrada","saída"))</f>
        <v>saída</v>
      </c>
      <c r="T1332" s="449" t="s">
        <v>994</v>
      </c>
      <c r="U1332" s="449">
        <v>1861</v>
      </c>
      <c r="V1332" s="269"/>
      <c r="W1332" s="269"/>
      <c r="X1332" s="269"/>
      <c r="Y1332" s="269"/>
      <c r="Z1332" s="269"/>
      <c r="AA1332" s="269"/>
      <c r="AB1332" s="269"/>
      <c r="AC1332" s="269"/>
      <c r="AD1332" s="269"/>
      <c r="AE1332" s="269"/>
      <c r="AF1332" s="269"/>
      <c r="AG1332" s="269"/>
      <c r="AH1332" s="269"/>
      <c r="AI1332" s="269"/>
      <c r="AJ1332" s="269"/>
      <c r="AK1332" s="269"/>
      <c r="AL1332" s="269"/>
      <c r="AM1332" s="269"/>
    </row>
    <row r="1333" spans="1:39" ht="47.25" customHeight="1" x14ac:dyDescent="0.2">
      <c r="A1333" s="277">
        <f>IF(B1333="","",COUNT('Diário 5º PA'!$A$5:$A$2634)+COUNT('Diário 6º PA'!$A$5:$A$2246)+ROW()-4)</f>
        <v>3872</v>
      </c>
      <c r="B1333" s="278">
        <v>44461</v>
      </c>
      <c r="C1333" s="335">
        <v>44440</v>
      </c>
      <c r="D1333" s="255" t="s">
        <v>99</v>
      </c>
      <c r="E1333" s="255" t="s">
        <v>272</v>
      </c>
      <c r="F1333" s="258">
        <v>10.45</v>
      </c>
      <c r="G1333" s="450" t="s">
        <v>5234</v>
      </c>
      <c r="H1333" s="250" t="s">
        <v>116</v>
      </c>
      <c r="I1333" s="250" t="s">
        <v>949</v>
      </c>
      <c r="J1333" s="255" t="s">
        <v>950</v>
      </c>
      <c r="K1333" s="255" t="s">
        <v>951</v>
      </c>
      <c r="L1333" s="250" t="s">
        <v>947</v>
      </c>
      <c r="M1333" s="336" t="s">
        <v>114</v>
      </c>
      <c r="N1333" s="278">
        <v>44461</v>
      </c>
      <c r="O1333" s="329" t="s">
        <v>67</v>
      </c>
      <c r="P1333" s="330">
        <f t="shared" si="148"/>
        <v>9</v>
      </c>
      <c r="Q1333" s="330">
        <f t="shared" si="149"/>
        <v>9</v>
      </c>
      <c r="R1333" s="331" t="str">
        <f t="shared" si="150"/>
        <v>Gastos_Gerais</v>
      </c>
      <c r="S1333" s="331" t="str">
        <f>IF(D1333="","",IF(OR(D1333=Plano!$A$1,D1333=Plano!$B$1),"entrada","saída"))</f>
        <v>saída</v>
      </c>
      <c r="T1333" s="332" t="s">
        <v>114</v>
      </c>
      <c r="U1333" s="332" t="s">
        <v>114</v>
      </c>
      <c r="V1333" s="269"/>
      <c r="W1333" s="269"/>
      <c r="X1333" s="269"/>
      <c r="Y1333" s="269"/>
      <c r="Z1333" s="269"/>
      <c r="AA1333" s="269"/>
      <c r="AB1333" s="269"/>
      <c r="AC1333" s="269"/>
      <c r="AD1333" s="269"/>
      <c r="AE1333" s="269"/>
      <c r="AF1333" s="269"/>
      <c r="AG1333" s="269"/>
      <c r="AH1333" s="269"/>
      <c r="AI1333" s="269"/>
      <c r="AJ1333" s="269"/>
      <c r="AK1333" s="269"/>
      <c r="AL1333" s="269"/>
      <c r="AM1333" s="269"/>
    </row>
    <row r="1334" spans="1:39" ht="54" customHeight="1" x14ac:dyDescent="0.2">
      <c r="A1334" s="277">
        <f>IF(B1334="","",COUNT('Diário 5º PA'!$A$5:$A$2634)+COUNT('Diário 6º PA'!$A$5:$A$2246)+ROW()-4)</f>
        <v>3873</v>
      </c>
      <c r="B1334" s="278">
        <v>44461</v>
      </c>
      <c r="C1334" s="335">
        <v>44440</v>
      </c>
      <c r="D1334" s="255" t="s">
        <v>99</v>
      </c>
      <c r="E1334" s="255" t="s">
        <v>272</v>
      </c>
      <c r="F1334" s="258">
        <v>10.45</v>
      </c>
      <c r="G1334" s="450" t="s">
        <v>5235</v>
      </c>
      <c r="H1334" s="250" t="s">
        <v>118</v>
      </c>
      <c r="I1334" s="250" t="s">
        <v>949</v>
      </c>
      <c r="J1334" s="255" t="s">
        <v>950</v>
      </c>
      <c r="K1334" s="255" t="s">
        <v>951</v>
      </c>
      <c r="L1334" s="250" t="s">
        <v>947</v>
      </c>
      <c r="M1334" s="336" t="s">
        <v>114</v>
      </c>
      <c r="N1334" s="278">
        <v>44461</v>
      </c>
      <c r="O1334" s="329" t="s">
        <v>67</v>
      </c>
      <c r="P1334" s="330">
        <f t="shared" si="148"/>
        <v>9</v>
      </c>
      <c r="Q1334" s="330">
        <f t="shared" si="149"/>
        <v>9</v>
      </c>
      <c r="R1334" s="331" t="str">
        <f t="shared" si="150"/>
        <v>Gastos_Gerais</v>
      </c>
      <c r="S1334" s="331" t="str">
        <f>IF(D1334="","",IF(OR(D1334=Plano!$A$1,D1334=Plano!$B$1),"entrada","saída"))</f>
        <v>saída</v>
      </c>
      <c r="T1334" s="332" t="s">
        <v>114</v>
      </c>
      <c r="U1334" s="332" t="s">
        <v>114</v>
      </c>
      <c r="V1334" s="269"/>
      <c r="W1334" s="269"/>
      <c r="X1334" s="269"/>
      <c r="Y1334" s="269"/>
      <c r="Z1334" s="269"/>
      <c r="AA1334" s="269"/>
      <c r="AB1334" s="269"/>
      <c r="AC1334" s="269"/>
      <c r="AD1334" s="269"/>
      <c r="AE1334" s="269"/>
      <c r="AF1334" s="269"/>
      <c r="AG1334" s="269"/>
      <c r="AH1334" s="269"/>
      <c r="AI1334" s="269"/>
      <c r="AJ1334" s="269"/>
      <c r="AK1334" s="269"/>
      <c r="AL1334" s="269"/>
      <c r="AM1334" s="269"/>
    </row>
    <row r="1335" spans="1:39" ht="100.5" customHeight="1" x14ac:dyDescent="0.2">
      <c r="A1335" s="277">
        <f>IF(B1335="","",COUNT('Diário 5º PA'!$A$5:$A$2634)+COUNT('Diário 6º PA'!$A$5:$A$2246)+ROW()-4)</f>
        <v>3874</v>
      </c>
      <c r="B1335" s="278">
        <v>44462</v>
      </c>
      <c r="C1335" s="249">
        <v>44409</v>
      </c>
      <c r="D1335" s="250" t="s">
        <v>99</v>
      </c>
      <c r="E1335" s="250" t="s">
        <v>350</v>
      </c>
      <c r="F1335" s="251">
        <v>2455.3000000000002</v>
      </c>
      <c r="G1335" s="452" t="s">
        <v>763</v>
      </c>
      <c r="H1335" s="250" t="s">
        <v>132</v>
      </c>
      <c r="I1335" s="442" t="s">
        <v>5241</v>
      </c>
      <c r="J1335" s="440" t="s">
        <v>764</v>
      </c>
      <c r="K1335" s="458" t="s">
        <v>991</v>
      </c>
      <c r="L1335" s="442" t="s">
        <v>1177</v>
      </c>
      <c r="M1335" s="459" t="s">
        <v>114</v>
      </c>
      <c r="N1335" s="278">
        <v>44462</v>
      </c>
      <c r="O1335" s="329" t="s">
        <v>67</v>
      </c>
      <c r="P1335" s="330">
        <f t="shared" si="148"/>
        <v>9</v>
      </c>
      <c r="Q1335" s="330">
        <f t="shared" si="149"/>
        <v>8</v>
      </c>
      <c r="R1335" s="331" t="str">
        <f t="shared" si="150"/>
        <v>Gastos_Gerais</v>
      </c>
      <c r="S1335" s="331" t="str">
        <f>IF(D1335="","",IF(OR(D1335=Plano!$A$1,D1335=Plano!$B$1),"entrada","saída"))</f>
        <v>saída</v>
      </c>
      <c r="T1335" s="457" t="s">
        <v>994</v>
      </c>
      <c r="U1335" s="449">
        <v>1868</v>
      </c>
      <c r="V1335" s="269"/>
      <c r="W1335" s="269"/>
      <c r="X1335" s="269"/>
      <c r="Y1335" s="269"/>
      <c r="Z1335" s="269"/>
      <c r="AA1335" s="269"/>
      <c r="AB1335" s="269"/>
      <c r="AC1335" s="269"/>
      <c r="AD1335" s="269"/>
      <c r="AE1335" s="269"/>
      <c r="AF1335" s="269"/>
      <c r="AG1335" s="269"/>
      <c r="AH1335" s="269"/>
      <c r="AI1335" s="269"/>
      <c r="AJ1335" s="269"/>
      <c r="AK1335" s="269"/>
      <c r="AL1335" s="269"/>
      <c r="AM1335" s="269"/>
    </row>
    <row r="1336" spans="1:39" ht="33.75" customHeight="1" x14ac:dyDescent="0.2">
      <c r="A1336" s="277">
        <f>IF(B1336="","",COUNT('Diário 5º PA'!$A$5:$A$2634)+COUNT('Diário 6º PA'!$A$5:$A$2246)+ROW()-4)</f>
        <v>3875</v>
      </c>
      <c r="B1336" s="278">
        <v>44462</v>
      </c>
      <c r="C1336" s="335">
        <v>44440</v>
      </c>
      <c r="D1336" s="255" t="s">
        <v>88</v>
      </c>
      <c r="E1336" s="255" t="s">
        <v>192</v>
      </c>
      <c r="F1336" s="258">
        <v>327.08</v>
      </c>
      <c r="G1336" s="451" t="s">
        <v>5362</v>
      </c>
      <c r="H1336" s="255" t="s">
        <v>114</v>
      </c>
      <c r="I1336" s="252" t="s">
        <v>1032</v>
      </c>
      <c r="J1336" s="252" t="s">
        <v>1033</v>
      </c>
      <c r="K1336" s="255" t="s">
        <v>560</v>
      </c>
      <c r="L1336" s="252" t="s">
        <v>1016</v>
      </c>
      <c r="M1336" s="277" t="s">
        <v>5373</v>
      </c>
      <c r="N1336" s="460">
        <v>44466</v>
      </c>
      <c r="O1336" s="329" t="s">
        <v>67</v>
      </c>
      <c r="P1336" s="330">
        <f t="shared" si="148"/>
        <v>9</v>
      </c>
      <c r="Q1336" s="330">
        <f t="shared" si="149"/>
        <v>9</v>
      </c>
      <c r="R1336" s="331" t="str">
        <f t="shared" si="150"/>
        <v>Gastos_com_Pessoal</v>
      </c>
      <c r="S1336" s="331" t="str">
        <f>IF(D1336="","",IF(OR(D1336=Plano!$A$1,D1336=Plano!$B$1),"entrada","saída"))</f>
        <v>saída</v>
      </c>
      <c r="T1336" s="332" t="s">
        <v>114</v>
      </c>
      <c r="U1336" s="332" t="s">
        <v>114</v>
      </c>
      <c r="V1336" s="269"/>
      <c r="W1336" s="269"/>
      <c r="X1336" s="269"/>
      <c r="Y1336" s="269"/>
      <c r="Z1336" s="269"/>
      <c r="AA1336" s="269"/>
      <c r="AB1336" s="269"/>
      <c r="AC1336" s="269"/>
      <c r="AD1336" s="269"/>
      <c r="AE1336" s="269"/>
      <c r="AF1336" s="269"/>
      <c r="AG1336" s="269"/>
      <c r="AH1336" s="269"/>
      <c r="AI1336" s="269"/>
      <c r="AJ1336" s="269"/>
      <c r="AK1336" s="269"/>
      <c r="AL1336" s="269"/>
      <c r="AM1336" s="269"/>
    </row>
    <row r="1337" spans="1:39" ht="156.75" customHeight="1" x14ac:dyDescent="0.2">
      <c r="A1337" s="277">
        <f>IF(B1337="","",COUNT('Diário 5º PA'!$A$5:$A$2634)+COUNT('Diário 6º PA'!$A$5:$A$2246)+ROW()-4)</f>
        <v>3876</v>
      </c>
      <c r="B1337" s="278">
        <v>44462</v>
      </c>
      <c r="C1337" s="249">
        <v>44409</v>
      </c>
      <c r="D1337" s="250" t="s">
        <v>99</v>
      </c>
      <c r="E1337" s="250" t="s">
        <v>358</v>
      </c>
      <c r="F1337" s="251">
        <v>1998.6</v>
      </c>
      <c r="G1337" s="452" t="s">
        <v>775</v>
      </c>
      <c r="H1337" s="250" t="s">
        <v>131</v>
      </c>
      <c r="I1337" s="442" t="s">
        <v>5243</v>
      </c>
      <c r="J1337" s="440" t="s">
        <v>776</v>
      </c>
      <c r="K1337" s="458" t="s">
        <v>991</v>
      </c>
      <c r="L1337" s="442" t="s">
        <v>1029</v>
      </c>
      <c r="M1337" s="277">
        <v>1343</v>
      </c>
      <c r="N1337" s="278">
        <v>44462</v>
      </c>
      <c r="O1337" s="329" t="s">
        <v>67</v>
      </c>
      <c r="P1337" s="330">
        <f t="shared" si="148"/>
        <v>9</v>
      </c>
      <c r="Q1337" s="330">
        <f t="shared" si="149"/>
        <v>8</v>
      </c>
      <c r="R1337" s="331" t="str">
        <f t="shared" si="150"/>
        <v>Gastos_Gerais</v>
      </c>
      <c r="S1337" s="331" t="str">
        <f>IF(D1337="","",IF(OR(D1337=Plano!$A$1,D1337=Plano!$B$1),"entrada","saída"))</f>
        <v>saída</v>
      </c>
      <c r="T1337" s="457" t="s">
        <v>1059</v>
      </c>
      <c r="U1337" s="449">
        <v>1942</v>
      </c>
      <c r="V1337" s="269"/>
      <c r="W1337" s="269"/>
      <c r="X1337" s="269"/>
      <c r="Y1337" s="269"/>
      <c r="Z1337" s="269"/>
      <c r="AA1337" s="269"/>
      <c r="AB1337" s="269"/>
      <c r="AC1337" s="269"/>
      <c r="AD1337" s="269"/>
      <c r="AE1337" s="269"/>
      <c r="AF1337" s="269"/>
      <c r="AG1337" s="269"/>
      <c r="AH1337" s="269"/>
      <c r="AI1337" s="269"/>
      <c r="AJ1337" s="269"/>
      <c r="AK1337" s="269"/>
      <c r="AL1337" s="269"/>
      <c r="AM1337" s="269"/>
    </row>
    <row r="1338" spans="1:39" ht="51.75" customHeight="1" x14ac:dyDescent="0.2">
      <c r="A1338" s="277">
        <f>IF(B1338="","",COUNT('Diário 5º PA'!$A$5:$A$2634)+COUNT('Diário 6º PA'!$A$5:$A$2246)+ROW()-4)</f>
        <v>3877</v>
      </c>
      <c r="B1338" s="278">
        <v>44462</v>
      </c>
      <c r="C1338" s="335">
        <v>44440</v>
      </c>
      <c r="D1338" s="255" t="s">
        <v>99</v>
      </c>
      <c r="E1338" s="255" t="s">
        <v>272</v>
      </c>
      <c r="F1338" s="258">
        <v>10.45</v>
      </c>
      <c r="G1338" s="461" t="s">
        <v>5247</v>
      </c>
      <c r="H1338" s="250" t="s">
        <v>132</v>
      </c>
      <c r="I1338" s="250" t="s">
        <v>949</v>
      </c>
      <c r="J1338" s="255" t="s">
        <v>950</v>
      </c>
      <c r="K1338" s="255" t="s">
        <v>951</v>
      </c>
      <c r="L1338" s="250" t="s">
        <v>947</v>
      </c>
      <c r="M1338" s="336" t="s">
        <v>114</v>
      </c>
      <c r="N1338" s="278">
        <v>44462</v>
      </c>
      <c r="O1338" s="329" t="s">
        <v>67</v>
      </c>
      <c r="P1338" s="330">
        <f t="shared" ref="P1338:P1341" si="187">IF(B1338=0,0,IF(YEAR(B1338)=$Q$1,MONTH(B1338)-$P$1+1,(YEAR(B1338)-$Q$1)*12-$P$1+1+MONTH(B1338)))</f>
        <v>9</v>
      </c>
      <c r="Q1338" s="330">
        <f t="shared" ref="Q1338:Q1341" si="188">IF(C1338=0,0,IF(YEAR(C1338)=$Q$1,MONTH(C1338)-$P$1+1,(YEAR(C1338)-$Q$1)*12-$P$1+1+MONTH(C1338)))</f>
        <v>9</v>
      </c>
      <c r="R1338" s="331" t="str">
        <f t="shared" ref="R1338:R1341" si="189">SUBSTITUTE(D1338," ","_")</f>
        <v>Gastos_Gerais</v>
      </c>
      <c r="S1338" s="331" t="str">
        <f>IF(D1338="","",IF(OR(D1338=Plano!$A$1,D1338=Plano!$B$1),"entrada","saída"))</f>
        <v>saída</v>
      </c>
      <c r="T1338" s="332" t="s">
        <v>114</v>
      </c>
      <c r="U1338" s="332" t="s">
        <v>114</v>
      </c>
      <c r="V1338" s="269"/>
      <c r="W1338" s="269"/>
      <c r="X1338" s="269"/>
      <c r="Y1338" s="269"/>
      <c r="Z1338" s="269"/>
      <c r="AA1338" s="269"/>
      <c r="AB1338" s="269"/>
      <c r="AC1338" s="269"/>
      <c r="AD1338" s="269"/>
      <c r="AE1338" s="269"/>
      <c r="AF1338" s="269"/>
      <c r="AG1338" s="269"/>
      <c r="AH1338" s="269"/>
      <c r="AI1338" s="269"/>
      <c r="AJ1338" s="269"/>
      <c r="AK1338" s="269"/>
      <c r="AL1338" s="269"/>
      <c r="AM1338" s="269"/>
    </row>
    <row r="1339" spans="1:39" ht="57" customHeight="1" x14ac:dyDescent="0.2">
      <c r="A1339" s="277">
        <f>IF(B1339="","",COUNT('Diário 5º PA'!$A$5:$A$2634)+COUNT('Diário 6º PA'!$A$5:$A$2246)+ROW()-4)</f>
        <v>3878</v>
      </c>
      <c r="B1339" s="278">
        <v>44462</v>
      </c>
      <c r="C1339" s="335">
        <v>44440</v>
      </c>
      <c r="D1339" s="255" t="s">
        <v>99</v>
      </c>
      <c r="E1339" s="255" t="s">
        <v>272</v>
      </c>
      <c r="F1339" s="258">
        <v>10.45</v>
      </c>
      <c r="G1339" s="461" t="s">
        <v>5248</v>
      </c>
      <c r="H1339" s="250" t="s">
        <v>131</v>
      </c>
      <c r="I1339" s="250" t="s">
        <v>949</v>
      </c>
      <c r="J1339" s="255" t="s">
        <v>950</v>
      </c>
      <c r="K1339" s="255" t="s">
        <v>951</v>
      </c>
      <c r="L1339" s="250" t="s">
        <v>947</v>
      </c>
      <c r="M1339" s="336" t="s">
        <v>114</v>
      </c>
      <c r="N1339" s="278">
        <v>44462</v>
      </c>
      <c r="O1339" s="329" t="s">
        <v>67</v>
      </c>
      <c r="P1339" s="330">
        <f t="shared" si="187"/>
        <v>9</v>
      </c>
      <c r="Q1339" s="330">
        <f t="shared" si="188"/>
        <v>9</v>
      </c>
      <c r="R1339" s="331" t="str">
        <f t="shared" si="189"/>
        <v>Gastos_Gerais</v>
      </c>
      <c r="S1339" s="331" t="str">
        <f>IF(D1339="","",IF(OR(D1339=Plano!$A$1,D1339=Plano!$B$1),"entrada","saída"))</f>
        <v>saída</v>
      </c>
      <c r="T1339" s="332" t="s">
        <v>114</v>
      </c>
      <c r="U1339" s="332" t="s">
        <v>114</v>
      </c>
      <c r="V1339" s="269"/>
      <c r="W1339" s="269"/>
      <c r="X1339" s="269"/>
      <c r="Y1339" s="269"/>
      <c r="Z1339" s="269"/>
      <c r="AA1339" s="269"/>
      <c r="AB1339" s="269"/>
      <c r="AC1339" s="269"/>
      <c r="AD1339" s="269"/>
      <c r="AE1339" s="269"/>
      <c r="AF1339" s="269"/>
      <c r="AG1339" s="269"/>
      <c r="AH1339" s="269"/>
      <c r="AI1339" s="269"/>
      <c r="AJ1339" s="269"/>
      <c r="AK1339" s="269"/>
      <c r="AL1339" s="269"/>
      <c r="AM1339" s="269"/>
    </row>
    <row r="1340" spans="1:39" ht="64.5" customHeight="1" x14ac:dyDescent="0.2">
      <c r="A1340" s="277">
        <f>IF(B1340="","",COUNT('Diário 5º PA'!$A$5:$A$2634)+COUNT('Diário 6º PA'!$A$5:$A$2246)+ROW()-4)</f>
        <v>3879</v>
      </c>
      <c r="B1340" s="278">
        <v>44463</v>
      </c>
      <c r="C1340" s="256">
        <v>44409</v>
      </c>
      <c r="D1340" s="255" t="s">
        <v>99</v>
      </c>
      <c r="E1340" s="255" t="s">
        <v>254</v>
      </c>
      <c r="F1340" s="258">
        <v>-114.88</v>
      </c>
      <c r="G1340" s="450" t="s">
        <v>5267</v>
      </c>
      <c r="H1340" s="255" t="s">
        <v>115</v>
      </c>
      <c r="I1340" s="250" t="s">
        <v>983</v>
      </c>
      <c r="J1340" s="255" t="s">
        <v>850</v>
      </c>
      <c r="K1340" s="255" t="s">
        <v>1069</v>
      </c>
      <c r="L1340" s="250" t="s">
        <v>947</v>
      </c>
      <c r="M1340" s="277" t="s">
        <v>114</v>
      </c>
      <c r="N1340" s="278">
        <v>44463</v>
      </c>
      <c r="O1340" s="329" t="s">
        <v>67</v>
      </c>
      <c r="P1340" s="330">
        <f t="shared" si="187"/>
        <v>9</v>
      </c>
      <c r="Q1340" s="330">
        <f t="shared" si="188"/>
        <v>8</v>
      </c>
      <c r="R1340" s="331" t="str">
        <f t="shared" si="189"/>
        <v>Gastos_Gerais</v>
      </c>
      <c r="S1340" s="331" t="str">
        <f>IF(D1340="","",IF(OR(D1340=Plano!$A$1,D1340=Plano!$B$1),"entrada","saída"))</f>
        <v>saída</v>
      </c>
      <c r="T1340" s="332" t="s">
        <v>114</v>
      </c>
      <c r="U1340" s="332" t="s">
        <v>114</v>
      </c>
      <c r="V1340" s="269"/>
      <c r="W1340" s="269"/>
      <c r="X1340" s="269"/>
      <c r="Y1340" s="269"/>
      <c r="Z1340" s="269"/>
      <c r="AA1340" s="269"/>
      <c r="AB1340" s="269"/>
      <c r="AC1340" s="269"/>
      <c r="AD1340" s="269"/>
      <c r="AE1340" s="269"/>
      <c r="AF1340" s="269"/>
      <c r="AG1340" s="269"/>
      <c r="AH1340" s="269"/>
      <c r="AI1340" s="269"/>
      <c r="AJ1340" s="269"/>
      <c r="AK1340" s="269"/>
      <c r="AL1340" s="269"/>
      <c r="AM1340" s="269"/>
    </row>
    <row r="1341" spans="1:39" ht="59.25" customHeight="1" x14ac:dyDescent="0.2">
      <c r="A1341" s="277">
        <f>IF(B1341="","",COUNT('Diário 5º PA'!$A$5:$A$2634)+COUNT('Diário 6º PA'!$A$5:$A$2246)+ROW()-4)</f>
        <v>3880</v>
      </c>
      <c r="B1341" s="278">
        <v>44463</v>
      </c>
      <c r="C1341" s="256">
        <v>44409</v>
      </c>
      <c r="D1341" s="255" t="s">
        <v>57</v>
      </c>
      <c r="E1341" s="255" t="s">
        <v>57</v>
      </c>
      <c r="F1341" s="258">
        <v>6051.96</v>
      </c>
      <c r="G1341" s="450" t="s">
        <v>849</v>
      </c>
      <c r="H1341" s="255" t="s">
        <v>114</v>
      </c>
      <c r="I1341" s="250" t="s">
        <v>945</v>
      </c>
      <c r="J1341" s="255" t="s">
        <v>850</v>
      </c>
      <c r="K1341" s="255" t="s">
        <v>946</v>
      </c>
      <c r="L1341" s="250" t="s">
        <v>947</v>
      </c>
      <c r="M1341" s="277" t="s">
        <v>114</v>
      </c>
      <c r="N1341" s="278">
        <v>44463</v>
      </c>
      <c r="O1341" s="329" t="s">
        <v>67</v>
      </c>
      <c r="P1341" s="330">
        <f t="shared" si="187"/>
        <v>9</v>
      </c>
      <c r="Q1341" s="330">
        <f t="shared" si="188"/>
        <v>8</v>
      </c>
      <c r="R1341" s="331" t="str">
        <f t="shared" si="189"/>
        <v>Transferência_para_Reserva_de_Recursos</v>
      </c>
      <c r="S1341" s="331" t="str">
        <f>IF(D1341="","",IF(OR(D1341=Plano!$A$1,D1341=Plano!$B$1),"entrada","saída"))</f>
        <v>saída</v>
      </c>
      <c r="T1341" s="332" t="s">
        <v>114</v>
      </c>
      <c r="U1341" s="332" t="s">
        <v>114</v>
      </c>
      <c r="V1341" s="269"/>
      <c r="W1341" s="269"/>
      <c r="X1341" s="269"/>
      <c r="Y1341" s="269"/>
      <c r="Z1341" s="269"/>
      <c r="AA1341" s="269"/>
      <c r="AB1341" s="269"/>
      <c r="AC1341" s="269"/>
      <c r="AD1341" s="269"/>
      <c r="AE1341" s="269"/>
      <c r="AF1341" s="269"/>
      <c r="AG1341" s="269"/>
      <c r="AH1341" s="269"/>
      <c r="AI1341" s="269"/>
      <c r="AJ1341" s="269"/>
      <c r="AK1341" s="269"/>
      <c r="AL1341" s="269"/>
      <c r="AM1341" s="269"/>
    </row>
    <row r="1342" spans="1:39" ht="72.75" customHeight="1" x14ac:dyDescent="0.2">
      <c r="A1342" s="277">
        <f>IF(B1342="","",COUNT('Diário 5º PA'!$A$5:$A$2634)+COUNT('Diário 6º PA'!$A$5:$A$2246)+ROW()-4)</f>
        <v>3881</v>
      </c>
      <c r="B1342" s="278">
        <v>44463</v>
      </c>
      <c r="C1342" s="249">
        <v>44440</v>
      </c>
      <c r="D1342" s="250" t="s">
        <v>99</v>
      </c>
      <c r="E1342" s="250" t="s">
        <v>358</v>
      </c>
      <c r="F1342" s="251">
        <v>172</v>
      </c>
      <c r="G1342" s="452" t="s">
        <v>909</v>
      </c>
      <c r="H1342" s="250" t="s">
        <v>125</v>
      </c>
      <c r="I1342" s="250" t="s">
        <v>5268</v>
      </c>
      <c r="J1342" s="440" t="s">
        <v>910</v>
      </c>
      <c r="K1342" s="255" t="s">
        <v>1015</v>
      </c>
      <c r="L1342" s="250" t="s">
        <v>1029</v>
      </c>
      <c r="M1342" s="277">
        <v>1342</v>
      </c>
      <c r="N1342" s="278">
        <v>44462</v>
      </c>
      <c r="O1342" s="329" t="s">
        <v>67</v>
      </c>
      <c r="P1342" s="330">
        <f t="shared" si="148"/>
        <v>9</v>
      </c>
      <c r="Q1342" s="330">
        <f t="shared" si="149"/>
        <v>9</v>
      </c>
      <c r="R1342" s="331" t="str">
        <f t="shared" si="150"/>
        <v>Gastos_Gerais</v>
      </c>
      <c r="S1342" s="331" t="str">
        <f>IF(D1342="","",IF(OR(D1342=Plano!$A$1,D1342=Plano!$B$1),"entrada","saída"))</f>
        <v>saída</v>
      </c>
      <c r="T1342" s="449" t="s">
        <v>994</v>
      </c>
      <c r="U1342" s="449">
        <v>2047</v>
      </c>
      <c r="V1342" s="269"/>
      <c r="W1342" s="269"/>
      <c r="X1342" s="269"/>
      <c r="Y1342" s="269"/>
      <c r="Z1342" s="269"/>
      <c r="AA1342" s="269"/>
      <c r="AB1342" s="269"/>
      <c r="AC1342" s="269"/>
      <c r="AD1342" s="269"/>
      <c r="AE1342" s="269"/>
      <c r="AF1342" s="269"/>
      <c r="AG1342" s="269"/>
      <c r="AH1342" s="269"/>
      <c r="AI1342" s="269"/>
      <c r="AJ1342" s="269"/>
      <c r="AK1342" s="269"/>
      <c r="AL1342" s="269"/>
      <c r="AM1342" s="269"/>
    </row>
    <row r="1343" spans="1:39" ht="33" customHeight="1" x14ac:dyDescent="0.2">
      <c r="A1343" s="277">
        <f>IF(B1343="","",COUNT('Diário 5º PA'!$A$5:$A$2634)+COUNT('Diário 6º PA'!$A$5:$A$2246)+ROW()-4)</f>
        <v>3882</v>
      </c>
      <c r="B1343" s="278">
        <v>44463</v>
      </c>
      <c r="C1343" s="256">
        <v>44409</v>
      </c>
      <c r="D1343" s="255" t="s">
        <v>88</v>
      </c>
      <c r="E1343" s="255" t="s">
        <v>169</v>
      </c>
      <c r="F1343" s="258">
        <v>1614.92</v>
      </c>
      <c r="G1343" s="450" t="s">
        <v>5269</v>
      </c>
      <c r="H1343" s="255" t="s">
        <v>114</v>
      </c>
      <c r="I1343" s="250" t="s">
        <v>488</v>
      </c>
      <c r="J1343" s="255" t="s">
        <v>114</v>
      </c>
      <c r="K1343" s="255" t="s">
        <v>466</v>
      </c>
      <c r="L1343" s="250" t="s">
        <v>489</v>
      </c>
      <c r="M1343" s="277" t="s">
        <v>114</v>
      </c>
      <c r="N1343" s="278">
        <v>44439</v>
      </c>
      <c r="O1343" s="329" t="s">
        <v>67</v>
      </c>
      <c r="P1343" s="330">
        <f t="shared" si="148"/>
        <v>9</v>
      </c>
      <c r="Q1343" s="330">
        <f t="shared" si="149"/>
        <v>8</v>
      </c>
      <c r="R1343" s="331" t="str">
        <f t="shared" si="150"/>
        <v>Gastos_com_Pessoal</v>
      </c>
      <c r="S1343" s="331" t="str">
        <f>IF(D1343="","",IF(OR(D1343=Plano!$A$1,D1343=Plano!$B$1),"entrada","saída"))</f>
        <v>saída</v>
      </c>
      <c r="T1343" s="332" t="s">
        <v>114</v>
      </c>
      <c r="U1343" s="332" t="s">
        <v>114</v>
      </c>
      <c r="V1343" s="269"/>
      <c r="W1343" s="269"/>
      <c r="X1343" s="269"/>
      <c r="Y1343" s="269"/>
      <c r="Z1343" s="269"/>
      <c r="AA1343" s="269"/>
      <c r="AB1343" s="269"/>
      <c r="AC1343" s="269"/>
      <c r="AD1343" s="269"/>
      <c r="AE1343" s="269"/>
      <c r="AF1343" s="269"/>
      <c r="AG1343" s="269"/>
      <c r="AH1343" s="269"/>
      <c r="AI1343" s="269"/>
      <c r="AJ1343" s="269"/>
      <c r="AK1343" s="269"/>
      <c r="AL1343" s="269"/>
      <c r="AM1343" s="269"/>
    </row>
    <row r="1344" spans="1:39" ht="36" customHeight="1" x14ac:dyDescent="0.2">
      <c r="A1344" s="277">
        <f>IF(B1344="","",COUNT('Diário 5º PA'!$A$5:$A$2634)+COUNT('Diário 6º PA'!$A$5:$A$2246)+ROW()-4)</f>
        <v>3883</v>
      </c>
      <c r="B1344" s="278">
        <v>44463</v>
      </c>
      <c r="C1344" s="256">
        <v>44409</v>
      </c>
      <c r="D1344" s="255" t="s">
        <v>99</v>
      </c>
      <c r="E1344" s="255" t="s">
        <v>276</v>
      </c>
      <c r="F1344" s="258">
        <v>274.52</v>
      </c>
      <c r="G1344" s="450" t="s">
        <v>5270</v>
      </c>
      <c r="H1344" s="255" t="s">
        <v>114</v>
      </c>
      <c r="I1344" s="252" t="s">
        <v>488</v>
      </c>
      <c r="J1344" s="252" t="s">
        <v>114</v>
      </c>
      <c r="K1344" s="252" t="s">
        <v>466</v>
      </c>
      <c r="L1344" s="252" t="s">
        <v>489</v>
      </c>
      <c r="M1344" s="277" t="s">
        <v>114</v>
      </c>
      <c r="N1344" s="278">
        <v>44439</v>
      </c>
      <c r="O1344" s="329" t="s">
        <v>67</v>
      </c>
      <c r="P1344" s="330">
        <f t="shared" si="148"/>
        <v>9</v>
      </c>
      <c r="Q1344" s="330">
        <f t="shared" si="149"/>
        <v>8</v>
      </c>
      <c r="R1344" s="331" t="str">
        <f t="shared" si="150"/>
        <v>Gastos_Gerais</v>
      </c>
      <c r="S1344" s="331" t="str">
        <f>IF(D1344="","",IF(OR(D1344=Plano!$A$1,D1344=Plano!$B$1),"entrada","saída"))</f>
        <v>saída</v>
      </c>
      <c r="T1344" s="332" t="s">
        <v>114</v>
      </c>
      <c r="U1344" s="332" t="s">
        <v>114</v>
      </c>
      <c r="V1344" s="269"/>
      <c r="W1344" s="269"/>
      <c r="X1344" s="269"/>
      <c r="Y1344" s="269"/>
      <c r="Z1344" s="269"/>
      <c r="AA1344" s="269"/>
      <c r="AB1344" s="269"/>
      <c r="AC1344" s="269"/>
      <c r="AD1344" s="269"/>
      <c r="AE1344" s="269"/>
      <c r="AF1344" s="269"/>
      <c r="AG1344" s="269"/>
      <c r="AH1344" s="269"/>
      <c r="AI1344" s="269"/>
      <c r="AJ1344" s="269"/>
      <c r="AK1344" s="269"/>
      <c r="AL1344" s="269"/>
      <c r="AM1344" s="269"/>
    </row>
    <row r="1345" spans="1:39" ht="150" customHeight="1" x14ac:dyDescent="0.2">
      <c r="A1345" s="277">
        <f>IF(B1345="","",COUNT('Diário 5º PA'!$A$5:$A$2634)+COUNT('Diário 6º PA'!$A$5:$A$2246)+ROW()-4)</f>
        <v>3884</v>
      </c>
      <c r="B1345" s="278">
        <v>44463</v>
      </c>
      <c r="C1345" s="249">
        <v>44440</v>
      </c>
      <c r="D1345" s="250" t="s">
        <v>99</v>
      </c>
      <c r="E1345" s="250" t="s">
        <v>364</v>
      </c>
      <c r="F1345" s="251">
        <v>188</v>
      </c>
      <c r="G1345" s="452" t="s">
        <v>901</v>
      </c>
      <c r="H1345" s="250" t="s">
        <v>132</v>
      </c>
      <c r="I1345" s="250" t="s">
        <v>5271</v>
      </c>
      <c r="J1345" s="440" t="s">
        <v>902</v>
      </c>
      <c r="K1345" s="255" t="s">
        <v>991</v>
      </c>
      <c r="L1345" s="250" t="s">
        <v>992</v>
      </c>
      <c r="M1345" s="277" t="s">
        <v>5272</v>
      </c>
      <c r="N1345" s="278">
        <v>44448</v>
      </c>
      <c r="O1345" s="329" t="s">
        <v>67</v>
      </c>
      <c r="P1345" s="330">
        <f t="shared" si="148"/>
        <v>9</v>
      </c>
      <c r="Q1345" s="330">
        <f t="shared" si="149"/>
        <v>9</v>
      </c>
      <c r="R1345" s="331" t="str">
        <f t="shared" si="150"/>
        <v>Gastos_Gerais</v>
      </c>
      <c r="S1345" s="331" t="str">
        <f>IF(D1345="","",IF(OR(D1345=Plano!$A$1,D1345=Plano!$B$1),"entrada","saída"))</f>
        <v>saída</v>
      </c>
      <c r="T1345" s="449" t="s">
        <v>1011</v>
      </c>
      <c r="U1345" s="449">
        <v>2013</v>
      </c>
      <c r="V1345" s="269"/>
      <c r="W1345" s="269"/>
      <c r="X1345" s="269"/>
      <c r="Y1345" s="269"/>
      <c r="Z1345" s="269"/>
      <c r="AA1345" s="269"/>
      <c r="AB1345" s="269"/>
      <c r="AC1345" s="269"/>
      <c r="AD1345" s="269"/>
      <c r="AE1345" s="269"/>
      <c r="AF1345" s="269"/>
      <c r="AG1345" s="269"/>
      <c r="AH1345" s="269"/>
      <c r="AI1345" s="269"/>
      <c r="AJ1345" s="269"/>
      <c r="AK1345" s="269"/>
      <c r="AL1345" s="269"/>
      <c r="AM1345" s="269"/>
    </row>
    <row r="1346" spans="1:39" ht="160.5" customHeight="1" x14ac:dyDescent="0.2">
      <c r="A1346" s="277">
        <f>IF(B1346="","",COUNT('Diário 5º PA'!$A$5:$A$2634)+COUNT('Diário 6º PA'!$A$5:$A$2246)+ROW()-4)</f>
        <v>3885</v>
      </c>
      <c r="B1346" s="278">
        <v>44463</v>
      </c>
      <c r="C1346" s="256">
        <v>44409</v>
      </c>
      <c r="D1346" s="255" t="s">
        <v>99</v>
      </c>
      <c r="E1346" s="255" t="s">
        <v>254</v>
      </c>
      <c r="F1346" s="258">
        <v>435</v>
      </c>
      <c r="G1346" s="450" t="s">
        <v>445</v>
      </c>
      <c r="H1346" s="255" t="s">
        <v>115</v>
      </c>
      <c r="I1346" s="252" t="s">
        <v>1573</v>
      </c>
      <c r="J1346" s="255" t="s">
        <v>1574</v>
      </c>
      <c r="K1346" s="255" t="s">
        <v>991</v>
      </c>
      <c r="L1346" s="250" t="s">
        <v>1378</v>
      </c>
      <c r="M1346" s="277">
        <v>21436</v>
      </c>
      <c r="N1346" s="278">
        <v>44450</v>
      </c>
      <c r="O1346" s="329" t="s">
        <v>67</v>
      </c>
      <c r="P1346" s="330">
        <f t="shared" si="148"/>
        <v>9</v>
      </c>
      <c r="Q1346" s="330">
        <f t="shared" si="149"/>
        <v>8</v>
      </c>
      <c r="R1346" s="331" t="str">
        <f t="shared" si="150"/>
        <v>Gastos_Gerais</v>
      </c>
      <c r="S1346" s="331" t="str">
        <f>IF(D1346="","",IF(OR(D1346=Plano!$A$1,D1346=Plano!$B$1),"entrada","saída"))</f>
        <v>saída</v>
      </c>
      <c r="T1346" s="332" t="s">
        <v>1059</v>
      </c>
      <c r="U1346" s="332">
        <v>1117</v>
      </c>
      <c r="V1346" s="269"/>
      <c r="W1346" s="269"/>
      <c r="X1346" s="269"/>
      <c r="Y1346" s="269"/>
      <c r="Z1346" s="269"/>
      <c r="AA1346" s="269"/>
      <c r="AB1346" s="269"/>
      <c r="AC1346" s="269"/>
      <c r="AD1346" s="269"/>
      <c r="AE1346" s="269"/>
      <c r="AF1346" s="269"/>
      <c r="AG1346" s="269"/>
      <c r="AH1346" s="269"/>
      <c r="AI1346" s="269"/>
      <c r="AJ1346" s="269"/>
      <c r="AK1346" s="269"/>
      <c r="AL1346" s="269"/>
      <c r="AM1346" s="269"/>
    </row>
    <row r="1347" spans="1:39" ht="161.25" customHeight="1" x14ac:dyDescent="0.2">
      <c r="A1347" s="277">
        <f>IF(B1347="","",COUNT('Diário 5º PA'!$A$5:$A$2634)+COUNT('Diário 6º PA'!$A$5:$A$2246)+ROW()-4)</f>
        <v>3886</v>
      </c>
      <c r="B1347" s="278">
        <v>44463</v>
      </c>
      <c r="C1347" s="249">
        <v>44409</v>
      </c>
      <c r="D1347" s="250" t="s">
        <v>99</v>
      </c>
      <c r="E1347" s="250" t="s">
        <v>358</v>
      </c>
      <c r="F1347" s="251">
        <v>1998.6</v>
      </c>
      <c r="G1347" s="452" t="s">
        <v>5240</v>
      </c>
      <c r="H1347" s="250" t="s">
        <v>131</v>
      </c>
      <c r="I1347" s="250" t="s">
        <v>5273</v>
      </c>
      <c r="J1347" s="440" t="s">
        <v>777</v>
      </c>
      <c r="K1347" s="255" t="s">
        <v>991</v>
      </c>
      <c r="L1347" s="250" t="s">
        <v>1029</v>
      </c>
      <c r="M1347" s="277">
        <v>1344</v>
      </c>
      <c r="N1347" s="278">
        <v>44462</v>
      </c>
      <c r="O1347" s="329" t="s">
        <v>67</v>
      </c>
      <c r="P1347" s="330">
        <f t="shared" si="148"/>
        <v>9</v>
      </c>
      <c r="Q1347" s="330">
        <f t="shared" si="149"/>
        <v>8</v>
      </c>
      <c r="R1347" s="331" t="str">
        <f t="shared" si="150"/>
        <v>Gastos_Gerais</v>
      </c>
      <c r="S1347" s="331" t="str">
        <f>IF(D1347="","",IF(OR(D1347=Plano!$A$1,D1347=Plano!$B$1),"entrada","saída"))</f>
        <v>saída</v>
      </c>
      <c r="T1347" s="449" t="s">
        <v>1059</v>
      </c>
      <c r="U1347" s="449">
        <v>1943</v>
      </c>
      <c r="V1347" s="269"/>
      <c r="W1347" s="269"/>
      <c r="X1347" s="269"/>
      <c r="Y1347" s="269"/>
      <c r="Z1347" s="269"/>
      <c r="AA1347" s="269"/>
      <c r="AB1347" s="269"/>
      <c r="AC1347" s="269"/>
      <c r="AD1347" s="269"/>
      <c r="AE1347" s="269"/>
      <c r="AF1347" s="269"/>
      <c r="AG1347" s="269"/>
      <c r="AH1347" s="269"/>
      <c r="AI1347" s="269"/>
      <c r="AJ1347" s="269"/>
      <c r="AK1347" s="269"/>
      <c r="AL1347" s="269"/>
      <c r="AM1347" s="269"/>
    </row>
    <row r="1348" spans="1:39" ht="67.5" customHeight="1" x14ac:dyDescent="0.2">
      <c r="A1348" s="277">
        <f>IF(B1348="","",COUNT('Diário 5º PA'!$A$5:$A$2634)+COUNT('Diário 6º PA'!$A$5:$A$2246)+ROW()-4)</f>
        <v>3887</v>
      </c>
      <c r="B1348" s="278">
        <v>44463</v>
      </c>
      <c r="C1348" s="249">
        <v>44409</v>
      </c>
      <c r="D1348" s="250" t="s">
        <v>99</v>
      </c>
      <c r="E1348" s="250" t="s">
        <v>330</v>
      </c>
      <c r="F1348" s="251">
        <v>560</v>
      </c>
      <c r="G1348" s="452" t="s">
        <v>834</v>
      </c>
      <c r="H1348" s="250" t="s">
        <v>118</v>
      </c>
      <c r="I1348" s="250" t="s">
        <v>2016</v>
      </c>
      <c r="J1348" s="440" t="s">
        <v>835</v>
      </c>
      <c r="K1348" s="255" t="s">
        <v>991</v>
      </c>
      <c r="L1348" s="250" t="s">
        <v>1016</v>
      </c>
      <c r="M1348" s="277" t="s">
        <v>5277</v>
      </c>
      <c r="N1348" s="278">
        <v>44439</v>
      </c>
      <c r="O1348" s="329" t="s">
        <v>67</v>
      </c>
      <c r="P1348" s="330">
        <f t="shared" si="148"/>
        <v>9</v>
      </c>
      <c r="Q1348" s="330">
        <f t="shared" si="149"/>
        <v>8</v>
      </c>
      <c r="R1348" s="331" t="str">
        <f t="shared" si="150"/>
        <v>Gastos_Gerais</v>
      </c>
      <c r="S1348" s="331" t="str">
        <f>IF(D1348="","",IF(OR(D1348=Plano!$A$1,D1348=Plano!$B$1),"entrada","saída"))</f>
        <v>saída</v>
      </c>
      <c r="T1348" s="449" t="s">
        <v>1011</v>
      </c>
      <c r="U1348" s="449">
        <v>1982</v>
      </c>
      <c r="V1348" s="269"/>
      <c r="W1348" s="269"/>
      <c r="X1348" s="269"/>
      <c r="Y1348" s="269"/>
      <c r="Z1348" s="269"/>
      <c r="AA1348" s="269"/>
      <c r="AB1348" s="269"/>
      <c r="AC1348" s="269"/>
      <c r="AD1348" s="269"/>
      <c r="AE1348" s="269"/>
      <c r="AF1348" s="269"/>
      <c r="AG1348" s="269"/>
      <c r="AH1348" s="269"/>
      <c r="AI1348" s="269"/>
      <c r="AJ1348" s="269"/>
      <c r="AK1348" s="269"/>
      <c r="AL1348" s="269"/>
      <c r="AM1348" s="269"/>
    </row>
    <row r="1349" spans="1:39" ht="165.75" customHeight="1" x14ac:dyDescent="0.2">
      <c r="A1349" s="277">
        <f>IF(B1349="","",COUNT('Diário 5º PA'!$A$5:$A$2634)+COUNT('Diário 6º PA'!$A$5:$A$2246)+ROW()-4)</f>
        <v>3888</v>
      </c>
      <c r="B1349" s="278">
        <v>44463</v>
      </c>
      <c r="C1349" s="249">
        <v>44409</v>
      </c>
      <c r="D1349" s="250" t="s">
        <v>99</v>
      </c>
      <c r="E1349" s="250" t="s">
        <v>358</v>
      </c>
      <c r="F1349" s="251">
        <v>600</v>
      </c>
      <c r="G1349" s="452" t="s">
        <v>737</v>
      </c>
      <c r="H1349" s="250" t="s">
        <v>125</v>
      </c>
      <c r="I1349" s="250" t="s">
        <v>5283</v>
      </c>
      <c r="J1349" s="440" t="s">
        <v>738</v>
      </c>
      <c r="K1349" s="255" t="s">
        <v>991</v>
      </c>
      <c r="L1349" s="250" t="s">
        <v>1016</v>
      </c>
      <c r="M1349" s="277" t="s">
        <v>1148</v>
      </c>
      <c r="N1349" s="278">
        <v>44463</v>
      </c>
      <c r="O1349" s="329" t="s">
        <v>67</v>
      </c>
      <c r="P1349" s="330">
        <f t="shared" si="148"/>
        <v>9</v>
      </c>
      <c r="Q1349" s="330">
        <f t="shared" si="149"/>
        <v>8</v>
      </c>
      <c r="R1349" s="331" t="str">
        <f t="shared" si="150"/>
        <v>Gastos_Gerais</v>
      </c>
      <c r="S1349" s="331" t="str">
        <f>IF(D1349="","",IF(OR(D1349=Plano!$A$1,D1349=Plano!$B$1),"entrada","saída"))</f>
        <v>saída</v>
      </c>
      <c r="T1349" s="449" t="s">
        <v>994</v>
      </c>
      <c r="U1349" s="449">
        <v>1887</v>
      </c>
      <c r="V1349" s="269"/>
      <c r="W1349" s="269"/>
      <c r="X1349" s="269"/>
      <c r="Y1349" s="269"/>
      <c r="Z1349" s="269"/>
      <c r="AA1349" s="269"/>
      <c r="AB1349" s="269"/>
      <c r="AC1349" s="269"/>
      <c r="AD1349" s="269"/>
      <c r="AE1349" s="269"/>
      <c r="AF1349" s="269"/>
      <c r="AG1349" s="269"/>
      <c r="AH1349" s="269"/>
      <c r="AI1349" s="269"/>
      <c r="AJ1349" s="269"/>
      <c r="AK1349" s="269"/>
      <c r="AL1349" s="269"/>
      <c r="AM1349" s="269"/>
    </row>
    <row r="1350" spans="1:39" ht="134.25" customHeight="1" x14ac:dyDescent="0.2">
      <c r="A1350" s="277">
        <f>IF(B1350="","",COUNT('Diário 5º PA'!$A$5:$A$2634)+COUNT('Diário 6º PA'!$A$5:$A$2246)+ROW()-4)</f>
        <v>3889</v>
      </c>
      <c r="B1350" s="278">
        <v>44463</v>
      </c>
      <c r="C1350" s="249">
        <v>44409</v>
      </c>
      <c r="D1350" s="250" t="s">
        <v>99</v>
      </c>
      <c r="E1350" s="250" t="s">
        <v>352</v>
      </c>
      <c r="F1350" s="251">
        <v>1960</v>
      </c>
      <c r="G1350" s="452" t="s">
        <v>673</v>
      </c>
      <c r="H1350" s="250" t="s">
        <v>132</v>
      </c>
      <c r="I1350" s="252" t="s">
        <v>1555</v>
      </c>
      <c r="J1350" s="440" t="s">
        <v>674</v>
      </c>
      <c r="K1350" s="255" t="s">
        <v>991</v>
      </c>
      <c r="L1350" s="250" t="s">
        <v>992</v>
      </c>
      <c r="M1350" s="277" t="s">
        <v>1540</v>
      </c>
      <c r="N1350" s="278">
        <v>44463</v>
      </c>
      <c r="O1350" s="329" t="s">
        <v>67</v>
      </c>
      <c r="P1350" s="330">
        <f t="shared" si="148"/>
        <v>9</v>
      </c>
      <c r="Q1350" s="330">
        <f t="shared" si="149"/>
        <v>8</v>
      </c>
      <c r="R1350" s="331" t="str">
        <f t="shared" si="150"/>
        <v>Gastos_Gerais</v>
      </c>
      <c r="S1350" s="331" t="str">
        <f>IF(D1350="","",IF(OR(D1350=Plano!$A$1,D1350=Plano!$B$1),"entrada","saída"))</f>
        <v>saída</v>
      </c>
      <c r="T1350" s="449" t="s">
        <v>1059</v>
      </c>
      <c r="U1350" s="449">
        <v>1659</v>
      </c>
      <c r="V1350" s="269"/>
      <c r="W1350" s="269"/>
      <c r="X1350" s="269"/>
      <c r="Y1350" s="269"/>
      <c r="Z1350" s="269"/>
      <c r="AA1350" s="269"/>
      <c r="AB1350" s="269"/>
      <c r="AC1350" s="269"/>
      <c r="AD1350" s="269"/>
      <c r="AE1350" s="269"/>
      <c r="AF1350" s="269"/>
      <c r="AG1350" s="269"/>
      <c r="AH1350" s="269"/>
      <c r="AI1350" s="269"/>
      <c r="AJ1350" s="269"/>
      <c r="AK1350" s="269"/>
      <c r="AL1350" s="269"/>
      <c r="AM1350" s="269"/>
    </row>
    <row r="1351" spans="1:39" ht="96.75" customHeight="1" x14ac:dyDescent="0.2">
      <c r="A1351" s="277">
        <f>IF(B1351="","",COUNT('Diário 5º PA'!$A$5:$A$2634)+COUNT('Diário 6º PA'!$A$5:$A$2246)+ROW()-4)</f>
        <v>3890</v>
      </c>
      <c r="B1351" s="278">
        <v>44463</v>
      </c>
      <c r="C1351" s="249">
        <v>44440</v>
      </c>
      <c r="D1351" s="250" t="s">
        <v>99</v>
      </c>
      <c r="E1351" s="250" t="s">
        <v>358</v>
      </c>
      <c r="F1351" s="251">
        <v>489.95</v>
      </c>
      <c r="G1351" s="452" t="s">
        <v>916</v>
      </c>
      <c r="H1351" s="250" t="s">
        <v>126</v>
      </c>
      <c r="I1351" s="250" t="s">
        <v>5279</v>
      </c>
      <c r="J1351" s="440" t="s">
        <v>917</v>
      </c>
      <c r="K1351" s="255" t="s">
        <v>991</v>
      </c>
      <c r="L1351" s="250" t="s">
        <v>992</v>
      </c>
      <c r="M1351" s="277" t="s">
        <v>1608</v>
      </c>
      <c r="N1351" s="278">
        <v>44463</v>
      </c>
      <c r="O1351" s="329" t="s">
        <v>67</v>
      </c>
      <c r="P1351" s="330">
        <f t="shared" si="148"/>
        <v>9</v>
      </c>
      <c r="Q1351" s="330">
        <f t="shared" si="149"/>
        <v>9</v>
      </c>
      <c r="R1351" s="331" t="str">
        <f t="shared" si="150"/>
        <v>Gastos_Gerais</v>
      </c>
      <c r="S1351" s="331" t="str">
        <f>IF(D1351="","",IF(OR(D1351=Plano!$A$1,D1351=Plano!$B$1),"entrada","saída"))</f>
        <v>saída</v>
      </c>
      <c r="T1351" s="449" t="s">
        <v>994</v>
      </c>
      <c r="U1351" s="449">
        <v>2036</v>
      </c>
      <c r="V1351" s="269"/>
      <c r="W1351" s="269"/>
      <c r="X1351" s="269"/>
      <c r="Y1351" s="269"/>
      <c r="Z1351" s="269"/>
      <c r="AA1351" s="269"/>
      <c r="AB1351" s="269"/>
      <c r="AC1351" s="269"/>
      <c r="AD1351" s="269"/>
      <c r="AE1351" s="269"/>
      <c r="AF1351" s="269"/>
      <c r="AG1351" s="269"/>
      <c r="AH1351" s="269"/>
      <c r="AI1351" s="269"/>
      <c r="AJ1351" s="269"/>
      <c r="AK1351" s="269"/>
      <c r="AL1351" s="269"/>
      <c r="AM1351" s="269"/>
    </row>
    <row r="1352" spans="1:39" ht="52.5" customHeight="1" x14ac:dyDescent="0.2">
      <c r="A1352" s="277">
        <f>IF(B1352="","",COUNT('Diário 5º PA'!$A$5:$A$2634)+COUNT('Diário 6º PA'!$A$5:$A$2246)+ROW()-4)</f>
        <v>3891</v>
      </c>
      <c r="B1352" s="278">
        <v>44463</v>
      </c>
      <c r="C1352" s="335">
        <v>44440</v>
      </c>
      <c r="D1352" s="255" t="s">
        <v>99</v>
      </c>
      <c r="E1352" s="255" t="s">
        <v>272</v>
      </c>
      <c r="F1352" s="258">
        <v>10.45</v>
      </c>
      <c r="G1352" s="461" t="s">
        <v>5281</v>
      </c>
      <c r="H1352" s="250" t="s">
        <v>132</v>
      </c>
      <c r="I1352" s="250" t="s">
        <v>949</v>
      </c>
      <c r="J1352" s="255" t="s">
        <v>950</v>
      </c>
      <c r="K1352" s="255" t="s">
        <v>951</v>
      </c>
      <c r="L1352" s="250" t="s">
        <v>947</v>
      </c>
      <c r="M1352" s="336" t="s">
        <v>114</v>
      </c>
      <c r="N1352" s="278">
        <v>44463</v>
      </c>
      <c r="O1352" s="329" t="s">
        <v>67</v>
      </c>
      <c r="P1352" s="330">
        <f t="shared" si="148"/>
        <v>9</v>
      </c>
      <c r="Q1352" s="330">
        <f t="shared" si="149"/>
        <v>9</v>
      </c>
      <c r="R1352" s="331" t="str">
        <f t="shared" si="150"/>
        <v>Gastos_Gerais</v>
      </c>
      <c r="S1352" s="331" t="str">
        <f>IF(D1352="","",IF(OR(D1352=Plano!$A$1,D1352=Plano!$B$1),"entrada","saída"))</f>
        <v>saída</v>
      </c>
      <c r="T1352" s="332" t="s">
        <v>114</v>
      </c>
      <c r="U1352" s="332" t="s">
        <v>114</v>
      </c>
      <c r="V1352" s="269"/>
      <c r="W1352" s="269"/>
      <c r="X1352" s="269"/>
      <c r="Y1352" s="269"/>
      <c r="Z1352" s="269"/>
      <c r="AA1352" s="269"/>
      <c r="AB1352" s="269"/>
      <c r="AC1352" s="269"/>
      <c r="AD1352" s="269"/>
      <c r="AE1352" s="269"/>
      <c r="AF1352" s="269"/>
      <c r="AG1352" s="269"/>
      <c r="AH1352" s="269"/>
      <c r="AI1352" s="269"/>
      <c r="AJ1352" s="269"/>
      <c r="AK1352" s="269"/>
      <c r="AL1352" s="269"/>
      <c r="AM1352" s="269"/>
    </row>
    <row r="1353" spans="1:39" ht="42" customHeight="1" x14ac:dyDescent="0.2">
      <c r="A1353" s="277">
        <f>IF(B1353="","",COUNT('Diário 5º PA'!$A$5:$A$2634)+COUNT('Diário 6º PA'!$A$5:$A$2246)+ROW()-4)</f>
        <v>3892</v>
      </c>
      <c r="B1353" s="278">
        <v>44463</v>
      </c>
      <c r="C1353" s="335">
        <v>44440</v>
      </c>
      <c r="D1353" s="255" t="s">
        <v>99</v>
      </c>
      <c r="E1353" s="255" t="s">
        <v>272</v>
      </c>
      <c r="F1353" s="258">
        <v>10.45</v>
      </c>
      <c r="G1353" s="450" t="s">
        <v>1585</v>
      </c>
      <c r="H1353" s="255" t="s">
        <v>115</v>
      </c>
      <c r="I1353" s="250" t="s">
        <v>949</v>
      </c>
      <c r="J1353" s="255" t="s">
        <v>950</v>
      </c>
      <c r="K1353" s="255" t="s">
        <v>951</v>
      </c>
      <c r="L1353" s="250" t="s">
        <v>947</v>
      </c>
      <c r="M1353" s="336" t="s">
        <v>114</v>
      </c>
      <c r="N1353" s="278">
        <v>44463</v>
      </c>
      <c r="O1353" s="329" t="s">
        <v>67</v>
      </c>
      <c r="P1353" s="330">
        <f t="shared" ref="P1353:P1354" si="190">IF(B1353=0,0,IF(YEAR(B1353)=$Q$1,MONTH(B1353)-$P$1+1,(YEAR(B1353)-$Q$1)*12-$P$1+1+MONTH(B1353)))</f>
        <v>9</v>
      </c>
      <c r="Q1353" s="330">
        <f t="shared" ref="Q1353:Q1354" si="191">IF(C1353=0,0,IF(YEAR(C1353)=$Q$1,MONTH(C1353)-$P$1+1,(YEAR(C1353)-$Q$1)*12-$P$1+1+MONTH(C1353)))</f>
        <v>9</v>
      </c>
      <c r="R1353" s="331" t="str">
        <f t="shared" ref="R1353:R1354" si="192">SUBSTITUTE(D1353," ","_")</f>
        <v>Gastos_Gerais</v>
      </c>
      <c r="S1353" s="331" t="str">
        <f>IF(D1353="","",IF(OR(D1353=Plano!$A$1,D1353=Plano!$B$1),"entrada","saída"))</f>
        <v>saída</v>
      </c>
      <c r="T1353" s="332" t="s">
        <v>114</v>
      </c>
      <c r="U1353" s="332" t="s">
        <v>114</v>
      </c>
      <c r="V1353" s="269"/>
      <c r="W1353" s="269"/>
      <c r="X1353" s="269"/>
      <c r="Y1353" s="269"/>
      <c r="Z1353" s="269"/>
      <c r="AA1353" s="269"/>
      <c r="AB1353" s="269"/>
      <c r="AC1353" s="269"/>
      <c r="AD1353" s="269"/>
      <c r="AE1353" s="269"/>
      <c r="AF1353" s="269"/>
      <c r="AG1353" s="269"/>
      <c r="AH1353" s="269"/>
      <c r="AI1353" s="269"/>
      <c r="AJ1353" s="269"/>
      <c r="AK1353" s="269"/>
      <c r="AL1353" s="269"/>
      <c r="AM1353" s="269"/>
    </row>
    <row r="1354" spans="1:39" ht="42" customHeight="1" x14ac:dyDescent="0.2">
      <c r="A1354" s="277">
        <f>IF(B1354="","",COUNT('Diário 5º PA'!$A$5:$A$2634)+COUNT('Diário 6º PA'!$A$5:$A$2246)+ROW()-4)</f>
        <v>3893</v>
      </c>
      <c r="B1354" s="278">
        <v>44463</v>
      </c>
      <c r="C1354" s="335">
        <v>44440</v>
      </c>
      <c r="D1354" s="255" t="s">
        <v>99</v>
      </c>
      <c r="E1354" s="255" t="s">
        <v>272</v>
      </c>
      <c r="F1354" s="258">
        <v>10.45</v>
      </c>
      <c r="G1354" s="461" t="s">
        <v>5282</v>
      </c>
      <c r="H1354" s="250" t="s">
        <v>131</v>
      </c>
      <c r="I1354" s="250" t="s">
        <v>949</v>
      </c>
      <c r="J1354" s="255" t="s">
        <v>950</v>
      </c>
      <c r="K1354" s="255" t="s">
        <v>951</v>
      </c>
      <c r="L1354" s="250" t="s">
        <v>947</v>
      </c>
      <c r="M1354" s="336" t="s">
        <v>114</v>
      </c>
      <c r="N1354" s="278">
        <v>44463</v>
      </c>
      <c r="O1354" s="329" t="s">
        <v>67</v>
      </c>
      <c r="P1354" s="330">
        <f t="shared" si="190"/>
        <v>9</v>
      </c>
      <c r="Q1354" s="330">
        <f t="shared" si="191"/>
        <v>9</v>
      </c>
      <c r="R1354" s="331" t="str">
        <f t="shared" si="192"/>
        <v>Gastos_Gerais</v>
      </c>
      <c r="S1354" s="331" t="str">
        <f>IF(D1354="","",IF(OR(D1354=Plano!$A$1,D1354=Plano!$B$1),"entrada","saída"))</f>
        <v>saída</v>
      </c>
      <c r="T1354" s="332" t="s">
        <v>114</v>
      </c>
      <c r="U1354" s="332" t="s">
        <v>114</v>
      </c>
      <c r="V1354" s="269"/>
      <c r="W1354" s="269"/>
      <c r="X1354" s="269"/>
      <c r="Y1354" s="269"/>
      <c r="Z1354" s="269"/>
      <c r="AA1354" s="269"/>
      <c r="AB1354" s="269"/>
      <c r="AC1354" s="269"/>
      <c r="AD1354" s="269"/>
      <c r="AE1354" s="269"/>
      <c r="AF1354" s="269"/>
      <c r="AG1354" s="269"/>
      <c r="AH1354" s="269"/>
      <c r="AI1354" s="269"/>
      <c r="AJ1354" s="269"/>
      <c r="AK1354" s="269"/>
      <c r="AL1354" s="269"/>
      <c r="AM1354" s="269"/>
    </row>
    <row r="1355" spans="1:39" ht="50.25" customHeight="1" x14ac:dyDescent="0.2">
      <c r="A1355" s="277">
        <f>IF(B1355="","",COUNT('Diário 5º PA'!$A$5:$A$2634)+COUNT('Diário 6º PA'!$A$5:$A$2246)+ROW()-4)</f>
        <v>3894</v>
      </c>
      <c r="B1355" s="278">
        <v>44463</v>
      </c>
      <c r="C1355" s="335">
        <v>44440</v>
      </c>
      <c r="D1355" s="255" t="s">
        <v>99</v>
      </c>
      <c r="E1355" s="255" t="s">
        <v>272</v>
      </c>
      <c r="F1355" s="258">
        <v>10.45</v>
      </c>
      <c r="G1355" s="461" t="s">
        <v>5284</v>
      </c>
      <c r="H1355" s="250" t="s">
        <v>118</v>
      </c>
      <c r="I1355" s="250" t="s">
        <v>949</v>
      </c>
      <c r="J1355" s="255" t="s">
        <v>950</v>
      </c>
      <c r="K1355" s="255" t="s">
        <v>951</v>
      </c>
      <c r="L1355" s="250" t="s">
        <v>947</v>
      </c>
      <c r="M1355" s="336" t="s">
        <v>114</v>
      </c>
      <c r="N1355" s="278">
        <v>44463</v>
      </c>
      <c r="O1355" s="329" t="s">
        <v>67</v>
      </c>
      <c r="P1355" s="330">
        <f t="shared" ref="P1355" si="193">IF(B1355=0,0,IF(YEAR(B1355)=$Q$1,MONTH(B1355)-$P$1+1,(YEAR(B1355)-$Q$1)*12-$P$1+1+MONTH(B1355)))</f>
        <v>9</v>
      </c>
      <c r="Q1355" s="330">
        <f t="shared" ref="Q1355" si="194">IF(C1355=0,0,IF(YEAR(C1355)=$Q$1,MONTH(C1355)-$P$1+1,(YEAR(C1355)-$Q$1)*12-$P$1+1+MONTH(C1355)))</f>
        <v>9</v>
      </c>
      <c r="R1355" s="331" t="str">
        <f t="shared" ref="R1355" si="195">SUBSTITUTE(D1355," ","_")</f>
        <v>Gastos_Gerais</v>
      </c>
      <c r="S1355" s="331" t="str">
        <f>IF(D1355="","",IF(OR(D1355=Plano!$A$1,D1355=Plano!$B$1),"entrada","saída"))</f>
        <v>saída</v>
      </c>
      <c r="T1355" s="332" t="s">
        <v>114</v>
      </c>
      <c r="U1355" s="332" t="s">
        <v>114</v>
      </c>
      <c r="V1355" s="269"/>
      <c r="W1355" s="269"/>
      <c r="X1355" s="269"/>
      <c r="Y1355" s="269"/>
      <c r="Z1355" s="269"/>
      <c r="AA1355" s="269"/>
      <c r="AB1355" s="269"/>
      <c r="AC1355" s="269"/>
      <c r="AD1355" s="269"/>
      <c r="AE1355" s="269"/>
      <c r="AF1355" s="269"/>
      <c r="AG1355" s="269"/>
      <c r="AH1355" s="269"/>
      <c r="AI1355" s="269"/>
      <c r="AJ1355" s="269"/>
      <c r="AK1355" s="269"/>
      <c r="AL1355" s="269"/>
      <c r="AM1355" s="269"/>
    </row>
    <row r="1356" spans="1:39" ht="52.5" customHeight="1" x14ac:dyDescent="0.2">
      <c r="A1356" s="277">
        <f>IF(B1356="","",COUNT('Diário 5º PA'!$A$5:$A$2634)+COUNT('Diário 6º PA'!$A$5:$A$2246)+ROW()-4)</f>
        <v>3895</v>
      </c>
      <c r="B1356" s="278">
        <v>44463</v>
      </c>
      <c r="C1356" s="335">
        <v>44440</v>
      </c>
      <c r="D1356" s="255" t="s">
        <v>99</v>
      </c>
      <c r="E1356" s="255" t="s">
        <v>272</v>
      </c>
      <c r="F1356" s="258">
        <v>10.45</v>
      </c>
      <c r="G1356" s="461" t="s">
        <v>5285</v>
      </c>
      <c r="H1356" s="250" t="s">
        <v>125</v>
      </c>
      <c r="I1356" s="250" t="s">
        <v>949</v>
      </c>
      <c r="J1356" s="255" t="s">
        <v>950</v>
      </c>
      <c r="K1356" s="255" t="s">
        <v>951</v>
      </c>
      <c r="L1356" s="250" t="s">
        <v>947</v>
      </c>
      <c r="M1356" s="336" t="s">
        <v>114</v>
      </c>
      <c r="N1356" s="278">
        <v>44463</v>
      </c>
      <c r="O1356" s="329" t="s">
        <v>67</v>
      </c>
      <c r="P1356" s="330">
        <f t="shared" ref="P1356" si="196">IF(B1356=0,0,IF(YEAR(B1356)=$Q$1,MONTH(B1356)-$P$1+1,(YEAR(B1356)-$Q$1)*12-$P$1+1+MONTH(B1356)))</f>
        <v>9</v>
      </c>
      <c r="Q1356" s="330">
        <f t="shared" ref="Q1356" si="197">IF(C1356=0,0,IF(YEAR(C1356)=$Q$1,MONTH(C1356)-$P$1+1,(YEAR(C1356)-$Q$1)*12-$P$1+1+MONTH(C1356)))</f>
        <v>9</v>
      </c>
      <c r="R1356" s="331" t="str">
        <f t="shared" ref="R1356" si="198">SUBSTITUTE(D1356," ","_")</f>
        <v>Gastos_Gerais</v>
      </c>
      <c r="S1356" s="331" t="str">
        <f>IF(D1356="","",IF(OR(D1356=Plano!$A$1,D1356=Plano!$B$1),"entrada","saída"))</f>
        <v>saída</v>
      </c>
      <c r="T1356" s="332" t="s">
        <v>114</v>
      </c>
      <c r="U1356" s="332" t="s">
        <v>114</v>
      </c>
      <c r="V1356" s="269"/>
      <c r="W1356" s="269"/>
      <c r="X1356" s="269"/>
      <c r="Y1356" s="269"/>
      <c r="Z1356" s="269"/>
      <c r="AA1356" s="269"/>
      <c r="AB1356" s="269"/>
      <c r="AC1356" s="269"/>
      <c r="AD1356" s="269"/>
      <c r="AE1356" s="269"/>
      <c r="AF1356" s="269"/>
      <c r="AG1356" s="269"/>
      <c r="AH1356" s="269"/>
      <c r="AI1356" s="269"/>
      <c r="AJ1356" s="269"/>
      <c r="AK1356" s="269"/>
      <c r="AL1356" s="269"/>
      <c r="AM1356" s="269"/>
    </row>
    <row r="1357" spans="1:39" ht="53.25" customHeight="1" x14ac:dyDescent="0.2">
      <c r="A1357" s="277">
        <f>IF(B1357="","",COUNT('Diário 5º PA'!$A$5:$A$2634)+COUNT('Diário 6º PA'!$A$5:$A$2246)+ROW()-4)</f>
        <v>3896</v>
      </c>
      <c r="B1357" s="278">
        <v>44463</v>
      </c>
      <c r="C1357" s="335">
        <v>44440</v>
      </c>
      <c r="D1357" s="255" t="s">
        <v>99</v>
      </c>
      <c r="E1357" s="255" t="s">
        <v>272</v>
      </c>
      <c r="F1357" s="258">
        <v>10.45</v>
      </c>
      <c r="G1357" s="461" t="s">
        <v>5286</v>
      </c>
      <c r="H1357" s="250" t="s">
        <v>132</v>
      </c>
      <c r="I1357" s="250" t="s">
        <v>949</v>
      </c>
      <c r="J1357" s="255" t="s">
        <v>950</v>
      </c>
      <c r="K1357" s="255" t="s">
        <v>951</v>
      </c>
      <c r="L1357" s="250" t="s">
        <v>947</v>
      </c>
      <c r="M1357" s="336" t="s">
        <v>114</v>
      </c>
      <c r="N1357" s="278">
        <v>44463</v>
      </c>
      <c r="O1357" s="329" t="s">
        <v>67</v>
      </c>
      <c r="P1357" s="330">
        <f t="shared" ref="P1357" si="199">IF(B1357=0,0,IF(YEAR(B1357)=$Q$1,MONTH(B1357)-$P$1+1,(YEAR(B1357)-$Q$1)*12-$P$1+1+MONTH(B1357)))</f>
        <v>9</v>
      </c>
      <c r="Q1357" s="330">
        <f t="shared" ref="Q1357" si="200">IF(C1357=0,0,IF(YEAR(C1357)=$Q$1,MONTH(C1357)-$P$1+1,(YEAR(C1357)-$Q$1)*12-$P$1+1+MONTH(C1357)))</f>
        <v>9</v>
      </c>
      <c r="R1357" s="331" t="str">
        <f t="shared" ref="R1357" si="201">SUBSTITUTE(D1357," ","_")</f>
        <v>Gastos_Gerais</v>
      </c>
      <c r="S1357" s="331" t="str">
        <f>IF(D1357="","",IF(OR(D1357=Plano!$A$1,D1357=Plano!$B$1),"entrada","saída"))</f>
        <v>saída</v>
      </c>
      <c r="T1357" s="332" t="s">
        <v>114</v>
      </c>
      <c r="U1357" s="332" t="s">
        <v>114</v>
      </c>
      <c r="V1357" s="269"/>
      <c r="W1357" s="269"/>
      <c r="X1357" s="269"/>
      <c r="Y1357" s="269"/>
      <c r="Z1357" s="269"/>
      <c r="AA1357" s="269"/>
      <c r="AB1357" s="269"/>
      <c r="AC1357" s="269"/>
      <c r="AD1357" s="269"/>
      <c r="AE1357" s="269"/>
      <c r="AF1357" s="269"/>
      <c r="AG1357" s="269"/>
      <c r="AH1357" s="269"/>
      <c r="AI1357" s="269"/>
      <c r="AJ1357" s="269"/>
      <c r="AK1357" s="269"/>
      <c r="AL1357" s="269"/>
      <c r="AM1357" s="269"/>
    </row>
    <row r="1358" spans="1:39" ht="48" customHeight="1" x14ac:dyDescent="0.2">
      <c r="A1358" s="277">
        <f>IF(B1358="","",COUNT('Diário 5º PA'!$A$5:$A$2634)+COUNT('Diário 6º PA'!$A$5:$A$2246)+ROW()-4)</f>
        <v>3897</v>
      </c>
      <c r="B1358" s="278">
        <v>44463</v>
      </c>
      <c r="C1358" s="335">
        <v>44440</v>
      </c>
      <c r="D1358" s="255" t="s">
        <v>99</v>
      </c>
      <c r="E1358" s="255" t="s">
        <v>272</v>
      </c>
      <c r="F1358" s="258">
        <v>10.45</v>
      </c>
      <c r="G1358" s="461" t="s">
        <v>5287</v>
      </c>
      <c r="H1358" s="250" t="s">
        <v>126</v>
      </c>
      <c r="I1358" s="250" t="s">
        <v>949</v>
      </c>
      <c r="J1358" s="255" t="s">
        <v>950</v>
      </c>
      <c r="K1358" s="255" t="s">
        <v>951</v>
      </c>
      <c r="L1358" s="250" t="s">
        <v>947</v>
      </c>
      <c r="M1358" s="336" t="s">
        <v>114</v>
      </c>
      <c r="N1358" s="278">
        <v>44463</v>
      </c>
      <c r="O1358" s="329" t="s">
        <v>67</v>
      </c>
      <c r="P1358" s="330">
        <f t="shared" ref="P1358:P1359" si="202">IF(B1358=0,0,IF(YEAR(B1358)=$Q$1,MONTH(B1358)-$P$1+1,(YEAR(B1358)-$Q$1)*12-$P$1+1+MONTH(B1358)))</f>
        <v>9</v>
      </c>
      <c r="Q1358" s="330">
        <f t="shared" ref="Q1358:Q1359" si="203">IF(C1358=0,0,IF(YEAR(C1358)=$Q$1,MONTH(C1358)-$P$1+1,(YEAR(C1358)-$Q$1)*12-$P$1+1+MONTH(C1358)))</f>
        <v>9</v>
      </c>
      <c r="R1358" s="331" t="str">
        <f t="shared" ref="R1358:R1359" si="204">SUBSTITUTE(D1358," ","_")</f>
        <v>Gastos_Gerais</v>
      </c>
      <c r="S1358" s="331" t="str">
        <f>IF(D1358="","",IF(OR(D1358=Plano!$A$1,D1358=Plano!$B$1),"entrada","saída"))</f>
        <v>saída</v>
      </c>
      <c r="T1358" s="332" t="s">
        <v>114</v>
      </c>
      <c r="U1358" s="332" t="s">
        <v>114</v>
      </c>
      <c r="V1358" s="269"/>
      <c r="W1358" s="269"/>
      <c r="X1358" s="269"/>
      <c r="Y1358" s="269"/>
      <c r="Z1358" s="269"/>
      <c r="AA1358" s="269"/>
      <c r="AB1358" s="269"/>
      <c r="AC1358" s="269"/>
      <c r="AD1358" s="269"/>
      <c r="AE1358" s="269"/>
      <c r="AF1358" s="269"/>
      <c r="AG1358" s="269"/>
      <c r="AH1358" s="269"/>
      <c r="AI1358" s="269"/>
      <c r="AJ1358" s="269"/>
      <c r="AK1358" s="269"/>
      <c r="AL1358" s="269"/>
      <c r="AM1358" s="269"/>
    </row>
    <row r="1359" spans="1:39" ht="78.75" customHeight="1" x14ac:dyDescent="0.2">
      <c r="A1359" s="277">
        <f>IF(B1359="","",COUNT('Diário 5º PA'!$A$5:$A$2634)+COUNT('Diário 6º PA'!$A$5:$A$2246)+ROW()-4)</f>
        <v>3898</v>
      </c>
      <c r="B1359" s="278">
        <v>44466</v>
      </c>
      <c r="C1359" s="335">
        <v>44440</v>
      </c>
      <c r="D1359" s="250" t="s">
        <v>99</v>
      </c>
      <c r="E1359" s="250" t="s">
        <v>330</v>
      </c>
      <c r="F1359" s="258">
        <v>-370.8</v>
      </c>
      <c r="G1359" s="450" t="s">
        <v>5313</v>
      </c>
      <c r="H1359" s="250" t="s">
        <v>115</v>
      </c>
      <c r="I1359" s="250" t="s">
        <v>983</v>
      </c>
      <c r="J1359" s="255" t="s">
        <v>850</v>
      </c>
      <c r="K1359" s="255" t="s">
        <v>1069</v>
      </c>
      <c r="L1359" s="250" t="s">
        <v>947</v>
      </c>
      <c r="M1359" s="277" t="s">
        <v>114</v>
      </c>
      <c r="N1359" s="278">
        <v>44466</v>
      </c>
      <c r="O1359" s="329" t="s">
        <v>67</v>
      </c>
      <c r="P1359" s="330">
        <f t="shared" si="202"/>
        <v>9</v>
      </c>
      <c r="Q1359" s="330">
        <f t="shared" si="203"/>
        <v>9</v>
      </c>
      <c r="R1359" s="331" t="str">
        <f t="shared" si="204"/>
        <v>Gastos_Gerais</v>
      </c>
      <c r="S1359" s="331" t="str">
        <f>IF(D1359="","",IF(OR(D1359=Plano!$A$1,D1359=Plano!$B$1),"entrada","saída"))</f>
        <v>saída</v>
      </c>
      <c r="T1359" s="332" t="s">
        <v>114</v>
      </c>
      <c r="U1359" s="332" t="s">
        <v>114</v>
      </c>
      <c r="V1359" s="269"/>
      <c r="W1359" s="269"/>
      <c r="X1359" s="269"/>
      <c r="Y1359" s="269"/>
      <c r="Z1359" s="269"/>
      <c r="AA1359" s="269"/>
      <c r="AB1359" s="269"/>
      <c r="AC1359" s="269"/>
      <c r="AD1359" s="269"/>
      <c r="AE1359" s="269"/>
      <c r="AF1359" s="269"/>
      <c r="AG1359" s="269"/>
      <c r="AH1359" s="269"/>
      <c r="AI1359" s="269"/>
      <c r="AJ1359" s="269"/>
      <c r="AK1359" s="269"/>
      <c r="AL1359" s="269"/>
      <c r="AM1359" s="269"/>
    </row>
    <row r="1360" spans="1:39" ht="69.75" customHeight="1" x14ac:dyDescent="0.2">
      <c r="A1360" s="277">
        <f>IF(B1360="","",COUNT('Diário 5º PA'!$A$5:$A$2634)+COUNT('Diário 6º PA'!$A$5:$A$2246)+ROW()-4)</f>
        <v>3899</v>
      </c>
      <c r="B1360" s="278">
        <v>44466</v>
      </c>
      <c r="C1360" s="256">
        <v>44409</v>
      </c>
      <c r="D1360" s="255" t="s">
        <v>99</v>
      </c>
      <c r="E1360" s="255" t="s">
        <v>222</v>
      </c>
      <c r="F1360" s="258">
        <v>-204.23</v>
      </c>
      <c r="G1360" s="450" t="s">
        <v>5310</v>
      </c>
      <c r="H1360" s="255" t="s">
        <v>115</v>
      </c>
      <c r="I1360" s="250" t="s">
        <v>983</v>
      </c>
      <c r="J1360" s="255" t="s">
        <v>850</v>
      </c>
      <c r="K1360" s="255" t="s">
        <v>1069</v>
      </c>
      <c r="L1360" s="250" t="s">
        <v>947</v>
      </c>
      <c r="M1360" s="277" t="s">
        <v>114</v>
      </c>
      <c r="N1360" s="278">
        <v>44466</v>
      </c>
      <c r="O1360" s="329" t="s">
        <v>67</v>
      </c>
      <c r="P1360" s="330">
        <f t="shared" ref="P1360:P1450" si="205">IF(B1360=0,0,IF(YEAR(B1360)=$Q$1,MONTH(B1360)-$P$1+1,(YEAR(B1360)-$Q$1)*12-$P$1+1+MONTH(B1360)))</f>
        <v>9</v>
      </c>
      <c r="Q1360" s="330">
        <f t="shared" ref="Q1360:Q1450" si="206">IF(C1360=0,0,IF(YEAR(C1360)=$Q$1,MONTH(C1360)-$P$1+1,(YEAR(C1360)-$Q$1)*12-$P$1+1+MONTH(C1360)))</f>
        <v>8</v>
      </c>
      <c r="R1360" s="331" t="str">
        <f t="shared" ref="R1360:R1450" si="207">SUBSTITUTE(D1360," ","_")</f>
        <v>Gastos_Gerais</v>
      </c>
      <c r="S1360" s="331" t="str">
        <f>IF(D1360="","",IF(OR(D1360=Plano!$A$1,D1360=Plano!$B$1),"entrada","saída"))</f>
        <v>saída</v>
      </c>
      <c r="T1360" s="332" t="s">
        <v>114</v>
      </c>
      <c r="U1360" s="332" t="s">
        <v>114</v>
      </c>
      <c r="V1360" s="269"/>
      <c r="W1360" s="269"/>
      <c r="X1360" s="269"/>
      <c r="Y1360" s="269"/>
      <c r="Z1360" s="269"/>
      <c r="AA1360" s="269"/>
      <c r="AB1360" s="269"/>
      <c r="AC1360" s="269"/>
      <c r="AD1360" s="269"/>
      <c r="AE1360" s="269"/>
      <c r="AF1360" s="269"/>
      <c r="AG1360" s="269"/>
      <c r="AH1360" s="269"/>
      <c r="AI1360" s="269"/>
      <c r="AJ1360" s="269"/>
      <c r="AK1360" s="269"/>
      <c r="AL1360" s="269"/>
      <c r="AM1360" s="269"/>
    </row>
    <row r="1361" spans="1:39" ht="27.75" customHeight="1" x14ac:dyDescent="0.2">
      <c r="A1361" s="277">
        <f>IF(B1361="","",COUNT('Diário 5º PA'!$A$5:$A$2634)+COUNT('Diário 6º PA'!$A$5:$A$2246)+ROW()-4)</f>
        <v>3900</v>
      </c>
      <c r="B1361" s="278">
        <v>44466</v>
      </c>
      <c r="C1361" s="256">
        <v>44440</v>
      </c>
      <c r="D1361" s="255" t="s">
        <v>88</v>
      </c>
      <c r="E1361" s="255" t="s">
        <v>194</v>
      </c>
      <c r="F1361" s="258">
        <v>3852.2</v>
      </c>
      <c r="G1361" s="450" t="s">
        <v>1609</v>
      </c>
      <c r="H1361" s="255" t="s">
        <v>114</v>
      </c>
      <c r="I1361" s="252" t="s">
        <v>532</v>
      </c>
      <c r="J1361" s="255" t="s">
        <v>1261</v>
      </c>
      <c r="K1361" s="255" t="s">
        <v>560</v>
      </c>
      <c r="L1361" s="250" t="s">
        <v>1016</v>
      </c>
      <c r="M1361" s="277">
        <v>448136</v>
      </c>
      <c r="N1361" s="278">
        <v>44470</v>
      </c>
      <c r="O1361" s="329" t="s">
        <v>67</v>
      </c>
      <c r="P1361" s="330">
        <f t="shared" si="205"/>
        <v>9</v>
      </c>
      <c r="Q1361" s="330">
        <f t="shared" si="206"/>
        <v>9</v>
      </c>
      <c r="R1361" s="331" t="str">
        <f t="shared" si="207"/>
        <v>Gastos_com_Pessoal</v>
      </c>
      <c r="S1361" s="331" t="str">
        <f>IF(D1361="","",IF(OR(D1361=Plano!$A$1,D1361=Plano!$B$1),"entrada","saída"))</f>
        <v>saída</v>
      </c>
      <c r="T1361" s="332" t="s">
        <v>114</v>
      </c>
      <c r="U1361" s="332" t="s">
        <v>114</v>
      </c>
      <c r="V1361" s="269"/>
      <c r="W1361" s="269"/>
      <c r="X1361" s="269"/>
      <c r="Y1361" s="269"/>
      <c r="Z1361" s="269"/>
      <c r="AA1361" s="269"/>
      <c r="AB1361" s="269"/>
      <c r="AC1361" s="269"/>
      <c r="AD1361" s="269"/>
      <c r="AE1361" s="269"/>
      <c r="AF1361" s="269"/>
      <c r="AG1361" s="269"/>
      <c r="AH1361" s="269"/>
      <c r="AI1361" s="269"/>
      <c r="AJ1361" s="269"/>
      <c r="AK1361" s="269"/>
      <c r="AL1361" s="269"/>
      <c r="AM1361" s="269"/>
    </row>
    <row r="1362" spans="1:39" ht="36.75" customHeight="1" x14ac:dyDescent="0.2">
      <c r="A1362" s="277">
        <f>IF(B1362="","",COUNT('Diário 5º PA'!$A$5:$A$2634)+COUNT('Diário 6º PA'!$A$5:$A$2246)+ROW()-4)</f>
        <v>3901</v>
      </c>
      <c r="B1362" s="278">
        <v>44466</v>
      </c>
      <c r="C1362" s="256">
        <v>44440</v>
      </c>
      <c r="D1362" s="255" t="s">
        <v>88</v>
      </c>
      <c r="E1362" s="255" t="s">
        <v>194</v>
      </c>
      <c r="F1362" s="258">
        <v>17163.93</v>
      </c>
      <c r="G1362" s="450" t="s">
        <v>1260</v>
      </c>
      <c r="H1362" s="255" t="s">
        <v>114</v>
      </c>
      <c r="I1362" s="250" t="s">
        <v>532</v>
      </c>
      <c r="J1362" s="255" t="s">
        <v>1261</v>
      </c>
      <c r="K1362" s="255" t="s">
        <v>560</v>
      </c>
      <c r="L1362" s="250" t="s">
        <v>1016</v>
      </c>
      <c r="M1362" s="277">
        <v>451601</v>
      </c>
      <c r="N1362" s="278">
        <v>44470</v>
      </c>
      <c r="O1362" s="329" t="s">
        <v>67</v>
      </c>
      <c r="P1362" s="330">
        <f t="shared" si="205"/>
        <v>9</v>
      </c>
      <c r="Q1362" s="330">
        <f t="shared" si="206"/>
        <v>9</v>
      </c>
      <c r="R1362" s="331" t="str">
        <f t="shared" si="207"/>
        <v>Gastos_com_Pessoal</v>
      </c>
      <c r="S1362" s="331" t="str">
        <f>IF(D1362="","",IF(OR(D1362=Plano!$A$1,D1362=Plano!$B$1),"entrada","saída"))</f>
        <v>saída</v>
      </c>
      <c r="T1362" s="332" t="s">
        <v>114</v>
      </c>
      <c r="U1362" s="332" t="s">
        <v>114</v>
      </c>
      <c r="V1362" s="269"/>
      <c r="W1362" s="269"/>
      <c r="X1362" s="269"/>
      <c r="Y1362" s="269"/>
      <c r="Z1362" s="269"/>
      <c r="AA1362" s="269"/>
      <c r="AB1362" s="269"/>
      <c r="AC1362" s="269"/>
      <c r="AD1362" s="269"/>
      <c r="AE1362" s="269"/>
      <c r="AF1362" s="269"/>
      <c r="AG1362" s="269"/>
      <c r="AH1362" s="269"/>
      <c r="AI1362" s="269"/>
      <c r="AJ1362" s="269"/>
      <c r="AK1362" s="269"/>
      <c r="AL1362" s="269"/>
      <c r="AM1362" s="269"/>
    </row>
    <row r="1363" spans="1:39" ht="57.75" customHeight="1" x14ac:dyDescent="0.2">
      <c r="A1363" s="277">
        <f>IF(B1363="","",COUNT('Diário 5º PA'!$A$5:$A$2634)+COUNT('Diário 6º PA'!$A$5:$A$2246)+ROW()-4)</f>
        <v>3902</v>
      </c>
      <c r="B1363" s="278">
        <v>44466</v>
      </c>
      <c r="C1363" s="256">
        <v>44409</v>
      </c>
      <c r="D1363" s="255" t="s">
        <v>99</v>
      </c>
      <c r="E1363" s="255" t="s">
        <v>222</v>
      </c>
      <c r="F1363" s="258">
        <v>773.3</v>
      </c>
      <c r="G1363" s="450" t="s">
        <v>5311</v>
      </c>
      <c r="H1363" s="255" t="s">
        <v>115</v>
      </c>
      <c r="I1363" s="250" t="s">
        <v>525</v>
      </c>
      <c r="J1363" s="255" t="s">
        <v>1568</v>
      </c>
      <c r="K1363" s="255" t="s">
        <v>1375</v>
      </c>
      <c r="L1363" s="250" t="s">
        <v>697</v>
      </c>
      <c r="M1363" s="277" t="s">
        <v>114</v>
      </c>
      <c r="N1363" s="278">
        <v>44446</v>
      </c>
      <c r="O1363" s="329" t="s">
        <v>67</v>
      </c>
      <c r="P1363" s="330">
        <f t="shared" si="205"/>
        <v>9</v>
      </c>
      <c r="Q1363" s="330">
        <f t="shared" si="206"/>
        <v>8</v>
      </c>
      <c r="R1363" s="331" t="str">
        <f t="shared" si="207"/>
        <v>Gastos_Gerais</v>
      </c>
      <c r="S1363" s="331" t="str">
        <f>IF(D1363="","",IF(OR(D1363=Plano!$A$1,D1363=Plano!$B$1),"entrada","saída"))</f>
        <v>saída</v>
      </c>
      <c r="T1363" s="332" t="s">
        <v>114</v>
      </c>
      <c r="U1363" s="332" t="s">
        <v>114</v>
      </c>
      <c r="V1363" s="269"/>
      <c r="W1363" s="269"/>
      <c r="X1363" s="269"/>
      <c r="Y1363" s="269"/>
      <c r="Z1363" s="269"/>
      <c r="AA1363" s="269"/>
      <c r="AB1363" s="269"/>
      <c r="AC1363" s="269"/>
      <c r="AD1363" s="269"/>
      <c r="AE1363" s="269"/>
      <c r="AF1363" s="269"/>
      <c r="AG1363" s="269"/>
      <c r="AH1363" s="269"/>
      <c r="AI1363" s="269"/>
      <c r="AJ1363" s="269"/>
      <c r="AK1363" s="269"/>
      <c r="AL1363" s="269"/>
      <c r="AM1363" s="269"/>
    </row>
    <row r="1364" spans="1:39" ht="38.25" customHeight="1" x14ac:dyDescent="0.2">
      <c r="A1364" s="277">
        <f>IF(B1364="","",COUNT('Diário 5º PA'!$A$5:$A$2634)+COUNT('Diário 6º PA'!$A$5:$A$2246)+ROW()-4)</f>
        <v>3903</v>
      </c>
      <c r="B1364" s="278">
        <v>44466</v>
      </c>
      <c r="C1364" s="335">
        <v>44440</v>
      </c>
      <c r="D1364" s="255" t="s">
        <v>99</v>
      </c>
      <c r="E1364" s="255" t="s">
        <v>218</v>
      </c>
      <c r="F1364" s="258">
        <v>71.12</v>
      </c>
      <c r="G1364" s="450" t="s">
        <v>698</v>
      </c>
      <c r="H1364" s="255" t="s">
        <v>129</v>
      </c>
      <c r="I1364" s="250" t="s">
        <v>515</v>
      </c>
      <c r="J1364" s="255" t="s">
        <v>699</v>
      </c>
      <c r="K1364" s="255" t="s">
        <v>700</v>
      </c>
      <c r="L1364" s="250" t="s">
        <v>697</v>
      </c>
      <c r="M1364" s="277" t="s">
        <v>5312</v>
      </c>
      <c r="N1364" s="278">
        <v>44453</v>
      </c>
      <c r="O1364" s="329" t="s">
        <v>67</v>
      </c>
      <c r="P1364" s="330">
        <f t="shared" si="205"/>
        <v>9</v>
      </c>
      <c r="Q1364" s="330">
        <f t="shared" si="206"/>
        <v>9</v>
      </c>
      <c r="R1364" s="331" t="str">
        <f t="shared" si="207"/>
        <v>Gastos_Gerais</v>
      </c>
      <c r="S1364" s="331" t="str">
        <f>IF(D1364="","",IF(OR(D1364=Plano!$A$1,D1364=Plano!$B$1),"entrada","saída"))</f>
        <v>saída</v>
      </c>
      <c r="T1364" s="332" t="s">
        <v>114</v>
      </c>
      <c r="U1364" s="332" t="s">
        <v>114</v>
      </c>
      <c r="V1364" s="269"/>
      <c r="W1364" s="269"/>
      <c r="X1364" s="269"/>
      <c r="Y1364" s="269"/>
      <c r="Z1364" s="269"/>
      <c r="AA1364" s="269"/>
      <c r="AB1364" s="269"/>
      <c r="AC1364" s="269"/>
      <c r="AD1364" s="269"/>
      <c r="AE1364" s="269"/>
      <c r="AF1364" s="269"/>
      <c r="AG1364" s="269"/>
      <c r="AH1364" s="269"/>
      <c r="AI1364" s="269"/>
      <c r="AJ1364" s="269"/>
      <c r="AK1364" s="269"/>
      <c r="AL1364" s="269"/>
      <c r="AM1364" s="269"/>
    </row>
    <row r="1365" spans="1:39" ht="42" customHeight="1" x14ac:dyDescent="0.2">
      <c r="A1365" s="277">
        <f>IF(B1365="","",COUNT('Diário 5º PA'!$A$5:$A$2634)+COUNT('Diário 6º PA'!$A$5:$A$2246)+ROW()-4)</f>
        <v>3904</v>
      </c>
      <c r="B1365" s="278">
        <v>44466</v>
      </c>
      <c r="C1365" s="335">
        <v>44440</v>
      </c>
      <c r="D1365" s="250" t="s">
        <v>99</v>
      </c>
      <c r="E1365" s="250" t="s">
        <v>330</v>
      </c>
      <c r="F1365" s="251">
        <v>670.8</v>
      </c>
      <c r="G1365" s="452" t="s">
        <v>645</v>
      </c>
      <c r="H1365" s="250" t="s">
        <v>115</v>
      </c>
      <c r="I1365" s="252" t="s">
        <v>1570</v>
      </c>
      <c r="J1365" s="250" t="s">
        <v>646</v>
      </c>
      <c r="K1365" s="255" t="s">
        <v>560</v>
      </c>
      <c r="L1365" s="250" t="s">
        <v>992</v>
      </c>
      <c r="M1365" s="277">
        <v>5103392</v>
      </c>
      <c r="N1365" s="278">
        <v>44468</v>
      </c>
      <c r="O1365" s="329" t="s">
        <v>67</v>
      </c>
      <c r="P1365" s="330">
        <f t="shared" si="205"/>
        <v>9</v>
      </c>
      <c r="Q1365" s="330">
        <f t="shared" si="206"/>
        <v>9</v>
      </c>
      <c r="R1365" s="331" t="str">
        <f t="shared" si="207"/>
        <v>Gastos_Gerais</v>
      </c>
      <c r="S1365" s="331" t="str">
        <f>IF(D1365="","",IF(OR(D1365=Plano!$A$1,D1365=Plano!$B$1),"entrada","saída"))</f>
        <v>saída</v>
      </c>
      <c r="T1365" s="334" t="s">
        <v>1059</v>
      </c>
      <c r="U1365" s="334">
        <v>1551</v>
      </c>
      <c r="V1365" s="269"/>
      <c r="W1365" s="269"/>
      <c r="X1365" s="269"/>
      <c r="Y1365" s="269"/>
      <c r="Z1365" s="269"/>
      <c r="AA1365" s="269"/>
      <c r="AB1365" s="269"/>
      <c r="AC1365" s="269"/>
      <c r="AD1365" s="269"/>
      <c r="AE1365" s="269"/>
      <c r="AF1365" s="269"/>
      <c r="AG1365" s="269"/>
      <c r="AH1365" s="269"/>
      <c r="AI1365" s="269"/>
      <c r="AJ1365" s="269"/>
      <c r="AK1365" s="269"/>
      <c r="AL1365" s="269"/>
      <c r="AM1365" s="269"/>
    </row>
    <row r="1366" spans="1:39" ht="95.25" customHeight="1" x14ac:dyDescent="0.2">
      <c r="A1366" s="277">
        <f>IF(B1366="","",COUNT('Diário 5º PA'!$A$5:$A$2634)+COUNT('Diário 6º PA'!$A$5:$A$2246)+ROW()-4)</f>
        <v>3905</v>
      </c>
      <c r="B1366" s="278">
        <v>44466</v>
      </c>
      <c r="C1366" s="249">
        <v>44409</v>
      </c>
      <c r="D1366" s="250" t="s">
        <v>99</v>
      </c>
      <c r="E1366" s="250" t="s">
        <v>350</v>
      </c>
      <c r="F1366" s="251">
        <v>2455.3000000000002</v>
      </c>
      <c r="G1366" s="452" t="s">
        <v>799</v>
      </c>
      <c r="H1366" s="250" t="s">
        <v>132</v>
      </c>
      <c r="I1366" s="250" t="s">
        <v>5314</v>
      </c>
      <c r="J1366" s="440" t="s">
        <v>800</v>
      </c>
      <c r="K1366" s="255" t="s">
        <v>991</v>
      </c>
      <c r="L1366" s="250" t="s">
        <v>1177</v>
      </c>
      <c r="M1366" s="277" t="s">
        <v>114</v>
      </c>
      <c r="N1366" s="278">
        <v>44466</v>
      </c>
      <c r="O1366" s="329" t="s">
        <v>67</v>
      </c>
      <c r="P1366" s="330">
        <f t="shared" si="205"/>
        <v>9</v>
      </c>
      <c r="Q1366" s="330">
        <f t="shared" si="206"/>
        <v>8</v>
      </c>
      <c r="R1366" s="331" t="str">
        <f t="shared" si="207"/>
        <v>Gastos_Gerais</v>
      </c>
      <c r="S1366" s="331" t="str">
        <f>IF(D1366="","",IF(OR(D1366=Plano!$A$1,D1366=Plano!$B$1),"entrada","saída"))</f>
        <v>saída</v>
      </c>
      <c r="T1366" s="467" t="s">
        <v>994</v>
      </c>
      <c r="U1366" s="467">
        <v>1924</v>
      </c>
      <c r="V1366" s="269"/>
      <c r="W1366" s="269"/>
      <c r="X1366" s="269"/>
      <c r="Y1366" s="269"/>
      <c r="Z1366" s="269"/>
      <c r="AA1366" s="269"/>
      <c r="AB1366" s="269"/>
      <c r="AC1366" s="269"/>
      <c r="AD1366" s="269"/>
      <c r="AE1366" s="269"/>
      <c r="AF1366" s="269"/>
      <c r="AG1366" s="269"/>
      <c r="AH1366" s="269"/>
      <c r="AI1366" s="269"/>
      <c r="AJ1366" s="269"/>
      <c r="AK1366" s="269"/>
      <c r="AL1366" s="269"/>
      <c r="AM1366" s="269"/>
    </row>
    <row r="1367" spans="1:39" ht="57" customHeight="1" x14ac:dyDescent="0.2">
      <c r="A1367" s="277">
        <f>IF(B1367="","",COUNT('Diário 5º PA'!$A$5:$A$2634)+COUNT('Diário 6º PA'!$A$5:$A$2246)+ROW()-4)</f>
        <v>3906</v>
      </c>
      <c r="B1367" s="278">
        <v>44466</v>
      </c>
      <c r="C1367" s="335">
        <v>44440</v>
      </c>
      <c r="D1367" s="255" t="s">
        <v>99</v>
      </c>
      <c r="E1367" s="255" t="s">
        <v>272</v>
      </c>
      <c r="F1367" s="258">
        <v>10.45</v>
      </c>
      <c r="G1367" s="461" t="s">
        <v>5316</v>
      </c>
      <c r="H1367" s="250" t="s">
        <v>132</v>
      </c>
      <c r="I1367" s="250" t="s">
        <v>949</v>
      </c>
      <c r="J1367" s="255" t="s">
        <v>950</v>
      </c>
      <c r="K1367" s="255" t="s">
        <v>951</v>
      </c>
      <c r="L1367" s="250" t="s">
        <v>947</v>
      </c>
      <c r="M1367" s="336" t="s">
        <v>114</v>
      </c>
      <c r="N1367" s="278">
        <v>44463</v>
      </c>
      <c r="O1367" s="329" t="s">
        <v>67</v>
      </c>
      <c r="P1367" s="330">
        <f t="shared" si="205"/>
        <v>9</v>
      </c>
      <c r="Q1367" s="330">
        <f t="shared" si="206"/>
        <v>9</v>
      </c>
      <c r="R1367" s="331" t="str">
        <f t="shared" si="207"/>
        <v>Gastos_Gerais</v>
      </c>
      <c r="S1367" s="331" t="str">
        <f>IF(D1367="","",IF(OR(D1367=Plano!$A$1,D1367=Plano!$B$1),"entrada","saída"))</f>
        <v>saída</v>
      </c>
      <c r="T1367" s="332" t="s">
        <v>114</v>
      </c>
      <c r="U1367" s="332" t="s">
        <v>114</v>
      </c>
      <c r="V1367" s="269"/>
      <c r="W1367" s="269"/>
      <c r="X1367" s="269"/>
      <c r="Y1367" s="269"/>
      <c r="Z1367" s="269"/>
      <c r="AA1367" s="269"/>
      <c r="AB1367" s="269"/>
      <c r="AC1367" s="269"/>
      <c r="AD1367" s="269"/>
      <c r="AE1367" s="269"/>
      <c r="AF1367" s="269"/>
      <c r="AG1367" s="269"/>
      <c r="AH1367" s="269"/>
      <c r="AI1367" s="269"/>
      <c r="AJ1367" s="269"/>
      <c r="AK1367" s="269"/>
      <c r="AL1367" s="269"/>
      <c r="AM1367" s="269"/>
    </row>
    <row r="1368" spans="1:39" ht="75.75" customHeight="1" x14ac:dyDescent="0.2">
      <c r="A1368" s="277">
        <f>IF(B1368="","",COUNT('Diário 5º PA'!$A$5:$A$2634)+COUNT('Diário 6º PA'!$A$5:$A$2246)+ROW()-4)</f>
        <v>3907</v>
      </c>
      <c r="B1368" s="278">
        <v>44467</v>
      </c>
      <c r="C1368" s="259">
        <v>44440</v>
      </c>
      <c r="D1368" s="252" t="s">
        <v>99</v>
      </c>
      <c r="E1368" s="252" t="s">
        <v>276</v>
      </c>
      <c r="F1368" s="258">
        <v>-120.63</v>
      </c>
      <c r="G1368" s="450" t="s">
        <v>1618</v>
      </c>
      <c r="H1368" s="255" t="s">
        <v>115</v>
      </c>
      <c r="I1368" s="250" t="s">
        <v>983</v>
      </c>
      <c r="J1368" s="255" t="s">
        <v>850</v>
      </c>
      <c r="K1368" s="255" t="s">
        <v>946</v>
      </c>
      <c r="L1368" s="250" t="s">
        <v>947</v>
      </c>
      <c r="M1368" s="277" t="s">
        <v>114</v>
      </c>
      <c r="N1368" s="278">
        <v>44467</v>
      </c>
      <c r="O1368" s="329" t="s">
        <v>67</v>
      </c>
      <c r="P1368" s="330">
        <f t="shared" si="205"/>
        <v>9</v>
      </c>
      <c r="Q1368" s="330">
        <f t="shared" si="206"/>
        <v>9</v>
      </c>
      <c r="R1368" s="331" t="str">
        <f t="shared" si="207"/>
        <v>Gastos_Gerais</v>
      </c>
      <c r="S1368" s="331" t="str">
        <f>IF(D1368="","",IF(OR(D1368=Plano!$A$1,D1368=Plano!$B$1),"entrada","saída"))</f>
        <v>saída</v>
      </c>
      <c r="T1368" s="332" t="s">
        <v>114</v>
      </c>
      <c r="U1368" s="332" t="s">
        <v>114</v>
      </c>
      <c r="V1368" s="269"/>
      <c r="W1368" s="269"/>
      <c r="X1368" s="269"/>
      <c r="Y1368" s="269"/>
      <c r="Z1368" s="269"/>
      <c r="AA1368" s="269"/>
      <c r="AB1368" s="269"/>
      <c r="AC1368" s="269"/>
      <c r="AD1368" s="269"/>
      <c r="AE1368" s="269"/>
      <c r="AF1368" s="269"/>
      <c r="AG1368" s="269"/>
      <c r="AH1368" s="269"/>
      <c r="AI1368" s="269"/>
      <c r="AJ1368" s="269"/>
      <c r="AK1368" s="269"/>
      <c r="AL1368" s="269"/>
      <c r="AM1368" s="269"/>
    </row>
    <row r="1369" spans="1:39" ht="69.75" customHeight="1" x14ac:dyDescent="0.2">
      <c r="A1369" s="277">
        <f>IF(B1369="","",COUNT('Diário 5º PA'!$A$5:$A$2634)+COUNT('Diário 6º PA'!$A$5:$A$2246)+ROW()-4)</f>
        <v>3908</v>
      </c>
      <c r="B1369" s="278">
        <v>44467</v>
      </c>
      <c r="C1369" s="249">
        <v>44440</v>
      </c>
      <c r="D1369" s="250" t="s">
        <v>99</v>
      </c>
      <c r="E1369" s="250" t="s">
        <v>276</v>
      </c>
      <c r="F1369" s="251">
        <v>456.74</v>
      </c>
      <c r="G1369" s="452" t="s">
        <v>5335</v>
      </c>
      <c r="H1369" s="250" t="s">
        <v>115</v>
      </c>
      <c r="I1369" s="252" t="s">
        <v>465</v>
      </c>
      <c r="J1369" s="250" t="s">
        <v>114</v>
      </c>
      <c r="K1369" s="250" t="s">
        <v>466</v>
      </c>
      <c r="L1369" s="250" t="s">
        <v>629</v>
      </c>
      <c r="M1369" s="277" t="s">
        <v>5336</v>
      </c>
      <c r="N1369" s="278">
        <v>44467</v>
      </c>
      <c r="O1369" s="329" t="s">
        <v>67</v>
      </c>
      <c r="P1369" s="330">
        <f t="shared" si="205"/>
        <v>9</v>
      </c>
      <c r="Q1369" s="330">
        <f t="shared" si="206"/>
        <v>9</v>
      </c>
      <c r="R1369" s="331" t="str">
        <f t="shared" si="207"/>
        <v>Gastos_Gerais</v>
      </c>
      <c r="S1369" s="331" t="str">
        <f>IF(D1369="","",IF(OR(D1369=Plano!$A$1,D1369=Plano!$B$1),"entrada","saída"))</f>
        <v>saída</v>
      </c>
      <c r="T1369" s="334" t="s">
        <v>114</v>
      </c>
      <c r="U1369" s="334" t="s">
        <v>114</v>
      </c>
      <c r="V1369" s="269"/>
      <c r="W1369" s="269"/>
      <c r="X1369" s="269"/>
      <c r="Y1369" s="269"/>
      <c r="Z1369" s="269"/>
      <c r="AA1369" s="269"/>
      <c r="AB1369" s="269"/>
      <c r="AC1369" s="269"/>
      <c r="AD1369" s="269"/>
      <c r="AE1369" s="269"/>
      <c r="AF1369" s="269"/>
      <c r="AG1369" s="269"/>
      <c r="AH1369" s="269"/>
      <c r="AI1369" s="269"/>
      <c r="AJ1369" s="269"/>
      <c r="AK1369" s="269"/>
      <c r="AL1369" s="269"/>
      <c r="AM1369" s="269"/>
    </row>
    <row r="1370" spans="1:39" ht="26.25" customHeight="1" x14ac:dyDescent="0.2">
      <c r="A1370" s="277">
        <f>IF(B1370="","",COUNT('Diário 5º PA'!$A$5:$A$2634)+COUNT('Diário 6º PA'!$A$5:$A$2246)+ROW()-4)</f>
        <v>3909</v>
      </c>
      <c r="B1370" s="278">
        <v>44467</v>
      </c>
      <c r="C1370" s="335">
        <v>44440</v>
      </c>
      <c r="D1370" s="255" t="s">
        <v>88</v>
      </c>
      <c r="E1370" s="255" t="s">
        <v>192</v>
      </c>
      <c r="F1370" s="258">
        <v>163.54</v>
      </c>
      <c r="G1370" s="451" t="s">
        <v>5362</v>
      </c>
      <c r="H1370" s="255" t="s">
        <v>114</v>
      </c>
      <c r="I1370" s="252" t="s">
        <v>5164</v>
      </c>
      <c r="J1370" s="252" t="s">
        <v>3591</v>
      </c>
      <c r="K1370" s="255" t="s">
        <v>560</v>
      </c>
      <c r="L1370" s="252" t="s">
        <v>1016</v>
      </c>
      <c r="M1370" s="277" t="s">
        <v>5375</v>
      </c>
      <c r="N1370" s="278">
        <v>44470</v>
      </c>
      <c r="O1370" s="329" t="s">
        <v>67</v>
      </c>
      <c r="P1370" s="330">
        <f t="shared" si="205"/>
        <v>9</v>
      </c>
      <c r="Q1370" s="330">
        <f t="shared" si="206"/>
        <v>9</v>
      </c>
      <c r="R1370" s="331" t="str">
        <f t="shared" si="207"/>
        <v>Gastos_com_Pessoal</v>
      </c>
      <c r="S1370" s="331" t="str">
        <f>IF(D1370="","",IF(OR(D1370=Plano!$A$1,D1370=Plano!$B$1),"entrada","saída"))</f>
        <v>saída</v>
      </c>
      <c r="T1370" s="332" t="s">
        <v>114</v>
      </c>
      <c r="U1370" s="332" t="s">
        <v>114</v>
      </c>
      <c r="V1370" s="269"/>
      <c r="W1370" s="269"/>
      <c r="X1370" s="269"/>
      <c r="Y1370" s="269"/>
      <c r="Z1370" s="269"/>
      <c r="AA1370" s="269"/>
      <c r="AB1370" s="269"/>
      <c r="AC1370" s="269"/>
      <c r="AD1370" s="269"/>
      <c r="AE1370" s="269"/>
      <c r="AF1370" s="269"/>
      <c r="AG1370" s="269"/>
      <c r="AH1370" s="269"/>
      <c r="AI1370" s="269"/>
      <c r="AJ1370" s="269"/>
      <c r="AK1370" s="269"/>
      <c r="AL1370" s="269"/>
      <c r="AM1370" s="269"/>
    </row>
    <row r="1371" spans="1:39" ht="64.5" customHeight="1" x14ac:dyDescent="0.2">
      <c r="A1371" s="277">
        <f>IF(B1371="","",COUNT('Diário 5º PA'!$A$5:$A$2634)+COUNT('Diário 6º PA'!$A$5:$A$2246)+ROW()-4)</f>
        <v>3910</v>
      </c>
      <c r="B1371" s="278">
        <v>44468</v>
      </c>
      <c r="C1371" s="249">
        <v>44348</v>
      </c>
      <c r="D1371" s="250" t="s">
        <v>99</v>
      </c>
      <c r="E1371" s="250" t="s">
        <v>370</v>
      </c>
      <c r="F1371" s="251">
        <v>-250</v>
      </c>
      <c r="G1371" s="452" t="s">
        <v>5537</v>
      </c>
      <c r="H1371" s="250" t="s">
        <v>125</v>
      </c>
      <c r="I1371" s="250" t="s">
        <v>983</v>
      </c>
      <c r="J1371" s="255" t="s">
        <v>850</v>
      </c>
      <c r="K1371" s="255" t="s">
        <v>946</v>
      </c>
      <c r="L1371" s="250" t="s">
        <v>947</v>
      </c>
      <c r="M1371" s="277" t="s">
        <v>114</v>
      </c>
      <c r="N1371" s="278">
        <v>44468</v>
      </c>
      <c r="O1371" s="329" t="s">
        <v>67</v>
      </c>
      <c r="P1371" s="330">
        <f t="shared" ref="P1371" si="208">IF(B1371=0,0,IF(YEAR(B1371)=$Q$1,MONTH(B1371)-$P$1+1,(YEAR(B1371)-$Q$1)*12-$P$1+1+MONTH(B1371)))</f>
        <v>9</v>
      </c>
      <c r="Q1371" s="330">
        <f t="shared" ref="Q1371" si="209">IF(C1371=0,0,IF(YEAR(C1371)=$Q$1,MONTH(C1371)-$P$1+1,(YEAR(C1371)-$Q$1)*12-$P$1+1+MONTH(C1371)))</f>
        <v>6</v>
      </c>
      <c r="R1371" s="331" t="str">
        <f t="shared" ref="R1371" si="210">SUBSTITUTE(D1371," ","_")</f>
        <v>Gastos_Gerais</v>
      </c>
      <c r="S1371" s="331" t="str">
        <f>IF(D1371="","",IF(OR(D1371=Plano!$A$1,D1371=Plano!$B$1),"entrada","saída"))</f>
        <v>saída</v>
      </c>
      <c r="T1371" s="332" t="s">
        <v>114</v>
      </c>
      <c r="U1371" s="332" t="s">
        <v>114</v>
      </c>
      <c r="V1371" s="269"/>
      <c r="W1371" s="269"/>
      <c r="X1371" s="269"/>
      <c r="Y1371" s="269"/>
      <c r="Z1371" s="269"/>
      <c r="AA1371" s="269"/>
      <c r="AB1371" s="269"/>
      <c r="AC1371" s="269"/>
      <c r="AD1371" s="269"/>
      <c r="AE1371" s="269"/>
      <c r="AF1371" s="269"/>
      <c r="AG1371" s="269"/>
      <c r="AH1371" s="269"/>
      <c r="AI1371" s="269"/>
      <c r="AJ1371" s="269"/>
      <c r="AK1371" s="269"/>
      <c r="AL1371" s="269"/>
      <c r="AM1371" s="269"/>
    </row>
    <row r="1372" spans="1:39" ht="85.5" customHeight="1" x14ac:dyDescent="0.2">
      <c r="A1372" s="277">
        <f>IF(B1372="","",COUNT('Diário 5º PA'!$A$5:$A$2634)+COUNT('Diário 6º PA'!$A$5:$A$2246)+ROW()-4)</f>
        <v>3911</v>
      </c>
      <c r="B1372" s="278">
        <v>44468</v>
      </c>
      <c r="C1372" s="249">
        <v>44409</v>
      </c>
      <c r="D1372" s="250" t="s">
        <v>99</v>
      </c>
      <c r="E1372" s="250" t="s">
        <v>350</v>
      </c>
      <c r="F1372" s="251">
        <v>1250</v>
      </c>
      <c r="G1372" s="452" t="s">
        <v>878</v>
      </c>
      <c r="H1372" s="250" t="s">
        <v>132</v>
      </c>
      <c r="I1372" s="250" t="s">
        <v>2120</v>
      </c>
      <c r="J1372" s="440" t="s">
        <v>879</v>
      </c>
      <c r="K1372" s="255" t="s">
        <v>1015</v>
      </c>
      <c r="L1372" s="250" t="s">
        <v>1177</v>
      </c>
      <c r="M1372" s="278" t="s">
        <v>114</v>
      </c>
      <c r="N1372" s="278">
        <v>44468</v>
      </c>
      <c r="O1372" s="329" t="s">
        <v>67</v>
      </c>
      <c r="P1372" s="330">
        <f t="shared" si="205"/>
        <v>9</v>
      </c>
      <c r="Q1372" s="330">
        <f t="shared" si="206"/>
        <v>8</v>
      </c>
      <c r="R1372" s="331" t="str">
        <f t="shared" si="207"/>
        <v>Gastos_Gerais</v>
      </c>
      <c r="S1372" s="331" t="str">
        <f>IF(D1372="","",IF(OR(D1372=Plano!$A$1,D1372=Plano!$B$1),"entrada","saída"))</f>
        <v>saída</v>
      </c>
      <c r="T1372" s="467" t="s">
        <v>994</v>
      </c>
      <c r="U1372" s="467">
        <v>1973</v>
      </c>
      <c r="V1372" s="269"/>
      <c r="W1372" s="269"/>
      <c r="X1372" s="269"/>
      <c r="Y1372" s="269"/>
      <c r="Z1372" s="269"/>
      <c r="AA1372" s="269"/>
      <c r="AB1372" s="269"/>
      <c r="AC1372" s="269"/>
      <c r="AD1372" s="269"/>
      <c r="AE1372" s="269"/>
      <c r="AF1372" s="269"/>
      <c r="AG1372" s="269"/>
      <c r="AH1372" s="269"/>
      <c r="AI1372" s="269"/>
      <c r="AJ1372" s="269"/>
      <c r="AK1372" s="269"/>
      <c r="AL1372" s="269"/>
      <c r="AM1372" s="269"/>
    </row>
    <row r="1373" spans="1:39" ht="75.75" customHeight="1" x14ac:dyDescent="0.2">
      <c r="A1373" s="277">
        <f>IF(B1373="","",COUNT('Diário 5º PA'!$A$5:$A$2634)+COUNT('Diário 6º PA'!$A$5:$A$2246)+ROW()-4)</f>
        <v>3912</v>
      </c>
      <c r="B1373" s="278">
        <v>44469</v>
      </c>
      <c r="C1373" s="249">
        <v>44440</v>
      </c>
      <c r="D1373" s="250" t="s">
        <v>99</v>
      </c>
      <c r="E1373" s="250" t="s">
        <v>330</v>
      </c>
      <c r="F1373" s="251">
        <v>241.92</v>
      </c>
      <c r="G1373" s="452" t="s">
        <v>451</v>
      </c>
      <c r="H1373" s="250" t="s">
        <v>115</v>
      </c>
      <c r="I1373" s="252" t="s">
        <v>1640</v>
      </c>
      <c r="J1373" s="440" t="s">
        <v>452</v>
      </c>
      <c r="K1373" s="255" t="s">
        <v>560</v>
      </c>
      <c r="L1373" s="250" t="s">
        <v>992</v>
      </c>
      <c r="M1373" s="277">
        <v>30871</v>
      </c>
      <c r="N1373" s="278">
        <v>44441</v>
      </c>
      <c r="O1373" s="329" t="s">
        <v>67</v>
      </c>
      <c r="P1373" s="330">
        <f t="shared" si="205"/>
        <v>9</v>
      </c>
      <c r="Q1373" s="330">
        <f t="shared" si="206"/>
        <v>9</v>
      </c>
      <c r="R1373" s="331" t="str">
        <f t="shared" si="207"/>
        <v>Gastos_Gerais</v>
      </c>
      <c r="S1373" s="331" t="str">
        <f>IF(D1373="","",IF(OR(D1373=Plano!$A$1,D1373=Plano!$B$1),"entrada","saída"))</f>
        <v>saída</v>
      </c>
      <c r="T1373" s="467" t="s">
        <v>1059</v>
      </c>
      <c r="U1373" s="467">
        <v>1672</v>
      </c>
      <c r="V1373" s="269"/>
      <c r="W1373" s="269"/>
      <c r="X1373" s="269"/>
      <c r="Y1373" s="269"/>
      <c r="Z1373" s="269"/>
      <c r="AA1373" s="269"/>
      <c r="AB1373" s="269"/>
      <c r="AC1373" s="269"/>
      <c r="AD1373" s="269"/>
      <c r="AE1373" s="269"/>
      <c r="AF1373" s="269"/>
      <c r="AG1373" s="269"/>
      <c r="AH1373" s="269"/>
      <c r="AI1373" s="269"/>
      <c r="AJ1373" s="269"/>
      <c r="AK1373" s="269"/>
      <c r="AL1373" s="269"/>
      <c r="AM1373" s="269"/>
    </row>
    <row r="1374" spans="1:39" ht="87" customHeight="1" x14ac:dyDescent="0.2">
      <c r="A1374" s="277">
        <f>IF(B1374="","",COUNT('Diário 5º PA'!$A$5:$A$2634)+COUNT('Diário 6º PA'!$A$5:$A$2246)+ROW()-4)</f>
        <v>3913</v>
      </c>
      <c r="B1374" s="278">
        <v>44469</v>
      </c>
      <c r="C1374" s="249">
        <v>44409</v>
      </c>
      <c r="D1374" s="250" t="s">
        <v>99</v>
      </c>
      <c r="E1374" s="250" t="s">
        <v>350</v>
      </c>
      <c r="F1374" s="251">
        <v>1250</v>
      </c>
      <c r="G1374" s="452" t="s">
        <v>878</v>
      </c>
      <c r="H1374" s="250" t="s">
        <v>132</v>
      </c>
      <c r="I1374" s="250" t="s">
        <v>5356</v>
      </c>
      <c r="J1374" s="440" t="s">
        <v>5329</v>
      </c>
      <c r="K1374" s="255" t="s">
        <v>991</v>
      </c>
      <c r="L1374" s="250" t="s">
        <v>1177</v>
      </c>
      <c r="M1374" s="277" t="s">
        <v>114</v>
      </c>
      <c r="N1374" s="278">
        <v>44468</v>
      </c>
      <c r="O1374" s="329" t="s">
        <v>67</v>
      </c>
      <c r="P1374" s="330">
        <f t="shared" si="205"/>
        <v>9</v>
      </c>
      <c r="Q1374" s="330">
        <f t="shared" si="206"/>
        <v>8</v>
      </c>
      <c r="R1374" s="331" t="str">
        <f t="shared" si="207"/>
        <v>Gastos_Gerais</v>
      </c>
      <c r="S1374" s="331" t="str">
        <f>IF(D1374="","",IF(OR(D1374=Plano!$A$1,D1374=Plano!$B$1),"entrada","saída"))</f>
        <v>saída</v>
      </c>
      <c r="T1374" s="467" t="s">
        <v>994</v>
      </c>
      <c r="U1374" s="467">
        <v>1871</v>
      </c>
      <c r="V1374" s="269"/>
      <c r="W1374" s="269"/>
      <c r="X1374" s="269"/>
      <c r="Y1374" s="269"/>
      <c r="Z1374" s="269"/>
      <c r="AA1374" s="269"/>
      <c r="AB1374" s="269"/>
      <c r="AC1374" s="269"/>
      <c r="AD1374" s="269"/>
      <c r="AE1374" s="269"/>
      <c r="AF1374" s="269"/>
      <c r="AG1374" s="269"/>
      <c r="AH1374" s="269"/>
      <c r="AI1374" s="269"/>
      <c r="AJ1374" s="269"/>
      <c r="AK1374" s="269"/>
      <c r="AL1374" s="269"/>
      <c r="AM1374" s="269"/>
    </row>
    <row r="1375" spans="1:39" s="475" customFormat="1" ht="59.25" customHeight="1" x14ac:dyDescent="0.2">
      <c r="A1375" s="277">
        <f>IF(B1375="","",COUNT('Diário 5º PA'!$A$5:$A$2634)+COUNT('Diário 6º PA'!$A$5:$A$2246)+ROW()-4)</f>
        <v>3914</v>
      </c>
      <c r="B1375" s="278">
        <v>44469</v>
      </c>
      <c r="C1375" s="335">
        <v>44440</v>
      </c>
      <c r="D1375" s="255" t="s">
        <v>99</v>
      </c>
      <c r="E1375" s="255" t="s">
        <v>272</v>
      </c>
      <c r="F1375" s="258">
        <v>10.45</v>
      </c>
      <c r="G1375" s="450" t="s">
        <v>5357</v>
      </c>
      <c r="H1375" s="250" t="s">
        <v>132</v>
      </c>
      <c r="I1375" s="250" t="s">
        <v>949</v>
      </c>
      <c r="J1375" s="255" t="s">
        <v>950</v>
      </c>
      <c r="K1375" s="255" t="s">
        <v>951</v>
      </c>
      <c r="L1375" s="250" t="s">
        <v>947</v>
      </c>
      <c r="M1375" s="336" t="s">
        <v>114</v>
      </c>
      <c r="N1375" s="278">
        <v>44463</v>
      </c>
      <c r="O1375" s="329" t="s">
        <v>67</v>
      </c>
      <c r="P1375" s="330">
        <f t="shared" si="205"/>
        <v>9</v>
      </c>
      <c r="Q1375" s="330">
        <f t="shared" si="206"/>
        <v>9</v>
      </c>
      <c r="R1375" s="331" t="str">
        <f t="shared" si="207"/>
        <v>Gastos_Gerais</v>
      </c>
      <c r="S1375" s="331" t="str">
        <f>IF(D1375="","",IF(OR(D1375=Plano!$A$1,D1375=Plano!$B$1),"entrada","saída"))</f>
        <v>saída</v>
      </c>
      <c r="T1375" s="332" t="s">
        <v>114</v>
      </c>
      <c r="U1375" s="332" t="s">
        <v>114</v>
      </c>
      <c r="V1375" s="439"/>
      <c r="W1375" s="439"/>
      <c r="X1375" s="439"/>
      <c r="Y1375" s="439"/>
      <c r="Z1375" s="439"/>
      <c r="AA1375" s="439"/>
      <c r="AB1375" s="439"/>
      <c r="AC1375" s="439"/>
      <c r="AD1375" s="439"/>
      <c r="AE1375" s="439"/>
      <c r="AF1375" s="439"/>
      <c r="AG1375" s="439"/>
      <c r="AH1375" s="439"/>
      <c r="AI1375" s="439"/>
      <c r="AJ1375" s="439"/>
      <c r="AK1375" s="439"/>
      <c r="AL1375" s="439"/>
      <c r="AM1375" s="439"/>
    </row>
    <row r="1376" spans="1:39" s="470" customFormat="1" ht="58.5" customHeight="1" x14ac:dyDescent="0.2">
      <c r="A1376" s="277">
        <f>IF(B1376="","",COUNT('Diário 5º PA'!$A$5:$A$2634)+COUNT('Diário 6º PA'!$A$5:$A$2246)+ROW()-4)</f>
        <v>3915</v>
      </c>
      <c r="B1376" s="278">
        <v>44469</v>
      </c>
      <c r="C1376" s="249">
        <v>44440</v>
      </c>
      <c r="D1376" s="250" t="s">
        <v>104</v>
      </c>
      <c r="E1376" s="250" t="s">
        <v>104</v>
      </c>
      <c r="F1376" s="251">
        <v>-5000</v>
      </c>
      <c r="G1376" s="452" t="s">
        <v>5371</v>
      </c>
      <c r="H1376" s="250" t="s">
        <v>104</v>
      </c>
      <c r="I1376" s="252" t="s">
        <v>2418</v>
      </c>
      <c r="J1376" s="252" t="s">
        <v>850</v>
      </c>
      <c r="K1376" s="255" t="s">
        <v>1015</v>
      </c>
      <c r="L1376" s="250" t="s">
        <v>1177</v>
      </c>
      <c r="M1376" s="255" t="s">
        <v>114</v>
      </c>
      <c r="N1376" s="278">
        <v>44469</v>
      </c>
      <c r="O1376" s="329" t="s">
        <v>71</v>
      </c>
      <c r="P1376" s="330">
        <f t="shared" ref="P1376" si="211">IF(B1376=0,0,IF(YEAR(B1376)=$Q$1,MONTH(B1376)-$P$1+1,(YEAR(B1376)-$Q$1)*12-$P$1+1+MONTH(B1376)))</f>
        <v>9</v>
      </c>
      <c r="Q1376" s="330">
        <f t="shared" ref="Q1376" si="212">IF(C1376=0,0,IF(YEAR(C1376)=$Q$1,MONTH(C1376)-$P$1+1,(YEAR(C1376)-$Q$1)*12-$P$1+1+MONTH(C1376)))</f>
        <v>9</v>
      </c>
      <c r="R1376" s="331" t="str">
        <f t="shared" ref="R1376" si="213">SUBSTITUTE(D1376," ","_")</f>
        <v>Gastos_custeados_por_captação</v>
      </c>
      <c r="S1376" s="331" t="str">
        <f>IF(D1376="","",IF(OR(D1376=Plano!$A$1,D1376=Plano!$B$1),"entrada","saída"))</f>
        <v>saída</v>
      </c>
      <c r="T1376" s="467" t="s">
        <v>114</v>
      </c>
      <c r="U1376" s="467" t="s">
        <v>114</v>
      </c>
      <c r="V1376" s="439"/>
      <c r="W1376" s="439"/>
      <c r="X1376" s="439"/>
      <c r="Y1376" s="439"/>
      <c r="Z1376" s="439"/>
      <c r="AA1376" s="439"/>
      <c r="AB1376" s="439"/>
      <c r="AC1376" s="439"/>
      <c r="AD1376" s="439"/>
      <c r="AE1376" s="439"/>
      <c r="AF1376" s="439"/>
      <c r="AG1376" s="439"/>
      <c r="AH1376" s="439"/>
      <c r="AI1376" s="439"/>
      <c r="AJ1376" s="439"/>
      <c r="AK1376" s="439"/>
      <c r="AL1376" s="439"/>
      <c r="AM1376" s="439"/>
    </row>
    <row r="1377" spans="1:39" s="470" customFormat="1" ht="60.75" customHeight="1" x14ac:dyDescent="0.2">
      <c r="A1377" s="277">
        <f>IF(B1377="","",COUNT('Diário 5º PA'!$A$5:$A$2634)+COUNT('Diário 6º PA'!$A$5:$A$2246)+ROW()-4)</f>
        <v>3916</v>
      </c>
      <c r="B1377" s="278">
        <v>44469</v>
      </c>
      <c r="C1377" s="249">
        <v>44440</v>
      </c>
      <c r="D1377" s="250" t="s">
        <v>104</v>
      </c>
      <c r="E1377" s="250" t="s">
        <v>104</v>
      </c>
      <c r="F1377" s="251">
        <v>-4900</v>
      </c>
      <c r="G1377" s="452" t="s">
        <v>5371</v>
      </c>
      <c r="H1377" s="250" t="s">
        <v>104</v>
      </c>
      <c r="I1377" s="252" t="s">
        <v>2418</v>
      </c>
      <c r="J1377" s="252" t="s">
        <v>850</v>
      </c>
      <c r="K1377" s="255" t="s">
        <v>1015</v>
      </c>
      <c r="L1377" s="250" t="s">
        <v>1177</v>
      </c>
      <c r="M1377" s="255" t="s">
        <v>114</v>
      </c>
      <c r="N1377" s="278">
        <v>44469</v>
      </c>
      <c r="O1377" s="329" t="s">
        <v>71</v>
      </c>
      <c r="P1377" s="330">
        <f t="shared" ref="P1377:P1383" si="214">IF(B1377=0,0,IF(YEAR(B1377)=$Q$1,MONTH(B1377)-$P$1+1,(YEAR(B1377)-$Q$1)*12-$P$1+1+MONTH(B1377)))</f>
        <v>9</v>
      </c>
      <c r="Q1377" s="330">
        <f t="shared" ref="Q1377:Q1383" si="215">IF(C1377=0,0,IF(YEAR(C1377)=$Q$1,MONTH(C1377)-$P$1+1,(YEAR(C1377)-$Q$1)*12-$P$1+1+MONTH(C1377)))</f>
        <v>9</v>
      </c>
      <c r="R1377" s="331" t="str">
        <f t="shared" ref="R1377:R1383" si="216">SUBSTITUTE(D1377," ","_")</f>
        <v>Gastos_custeados_por_captação</v>
      </c>
      <c r="S1377" s="331" t="str">
        <f>IF(D1377="","",IF(OR(D1377=Plano!$A$1,D1377=Plano!$B$1),"entrada","saída"))</f>
        <v>saída</v>
      </c>
      <c r="T1377" s="467" t="s">
        <v>114</v>
      </c>
      <c r="U1377" s="467" t="s">
        <v>114</v>
      </c>
      <c r="V1377" s="439"/>
      <c r="W1377" s="439"/>
      <c r="X1377" s="439"/>
      <c r="Y1377" s="439"/>
      <c r="Z1377" s="439"/>
      <c r="AA1377" s="439"/>
      <c r="AB1377" s="439"/>
      <c r="AC1377" s="439"/>
      <c r="AD1377" s="439"/>
      <c r="AE1377" s="439"/>
      <c r="AF1377" s="439"/>
      <c r="AG1377" s="439"/>
      <c r="AH1377" s="439"/>
      <c r="AI1377" s="439"/>
      <c r="AJ1377" s="439"/>
      <c r="AK1377" s="439"/>
      <c r="AL1377" s="439"/>
      <c r="AM1377" s="439"/>
    </row>
    <row r="1378" spans="1:39" s="470" customFormat="1" ht="60" customHeight="1" x14ac:dyDescent="0.2">
      <c r="A1378" s="277">
        <f>IF(B1378="","",COUNT('Diário 5º PA'!$A$5:$A$2634)+COUNT('Diário 6º PA'!$A$5:$A$2246)+ROW()-4)</f>
        <v>3917</v>
      </c>
      <c r="B1378" s="278">
        <v>44469</v>
      </c>
      <c r="C1378" s="249">
        <v>44440</v>
      </c>
      <c r="D1378" s="250" t="s">
        <v>104</v>
      </c>
      <c r="E1378" s="250" t="s">
        <v>104</v>
      </c>
      <c r="F1378" s="251">
        <v>-5550</v>
      </c>
      <c r="G1378" s="452" t="s">
        <v>5371</v>
      </c>
      <c r="H1378" s="250" t="s">
        <v>104</v>
      </c>
      <c r="I1378" s="252" t="s">
        <v>2418</v>
      </c>
      <c r="J1378" s="252" t="s">
        <v>850</v>
      </c>
      <c r="K1378" s="255" t="s">
        <v>1015</v>
      </c>
      <c r="L1378" s="250" t="s">
        <v>1177</v>
      </c>
      <c r="M1378" s="255" t="s">
        <v>114</v>
      </c>
      <c r="N1378" s="278">
        <v>44469</v>
      </c>
      <c r="O1378" s="329" t="s">
        <v>71</v>
      </c>
      <c r="P1378" s="330">
        <f t="shared" si="214"/>
        <v>9</v>
      </c>
      <c r="Q1378" s="330">
        <f t="shared" si="215"/>
        <v>9</v>
      </c>
      <c r="R1378" s="331" t="str">
        <f t="shared" si="216"/>
        <v>Gastos_custeados_por_captação</v>
      </c>
      <c r="S1378" s="331" t="str">
        <f>IF(D1378="","",IF(OR(D1378=Plano!$A$1,D1378=Plano!$B$1),"entrada","saída"))</f>
        <v>saída</v>
      </c>
      <c r="T1378" s="467" t="s">
        <v>114</v>
      </c>
      <c r="U1378" s="467" t="s">
        <v>114</v>
      </c>
      <c r="V1378" s="439"/>
      <c r="W1378" s="439"/>
      <c r="X1378" s="439"/>
      <c r="Y1378" s="439"/>
      <c r="Z1378" s="439"/>
      <c r="AA1378" s="439"/>
      <c r="AB1378" s="439"/>
      <c r="AC1378" s="439"/>
      <c r="AD1378" s="439"/>
      <c r="AE1378" s="439"/>
      <c r="AF1378" s="439"/>
      <c r="AG1378" s="439"/>
      <c r="AH1378" s="439"/>
      <c r="AI1378" s="439"/>
      <c r="AJ1378" s="439"/>
      <c r="AK1378" s="439"/>
      <c r="AL1378" s="439"/>
      <c r="AM1378" s="439"/>
    </row>
    <row r="1379" spans="1:39" s="470" customFormat="1" ht="68.25" customHeight="1" x14ac:dyDescent="0.2">
      <c r="A1379" s="277">
        <f>IF(B1379="","",COUNT('Diário 5º PA'!$A$5:$A$2634)+COUNT('Diário 6º PA'!$A$5:$A$2246)+ROW()-4)</f>
        <v>3918</v>
      </c>
      <c r="B1379" s="278">
        <v>44469</v>
      </c>
      <c r="C1379" s="249">
        <v>44440</v>
      </c>
      <c r="D1379" s="250" t="s">
        <v>104</v>
      </c>
      <c r="E1379" s="250" t="s">
        <v>104</v>
      </c>
      <c r="F1379" s="251">
        <v>-4500</v>
      </c>
      <c r="G1379" s="452" t="s">
        <v>5371</v>
      </c>
      <c r="H1379" s="250" t="s">
        <v>104</v>
      </c>
      <c r="I1379" s="252" t="s">
        <v>2418</v>
      </c>
      <c r="J1379" s="252" t="s">
        <v>850</v>
      </c>
      <c r="K1379" s="255" t="s">
        <v>1015</v>
      </c>
      <c r="L1379" s="250" t="s">
        <v>1177</v>
      </c>
      <c r="M1379" s="255" t="s">
        <v>114</v>
      </c>
      <c r="N1379" s="278">
        <v>44469</v>
      </c>
      <c r="O1379" s="329" t="s">
        <v>71</v>
      </c>
      <c r="P1379" s="330">
        <f t="shared" si="214"/>
        <v>9</v>
      </c>
      <c r="Q1379" s="330">
        <f t="shared" si="215"/>
        <v>9</v>
      </c>
      <c r="R1379" s="331" t="str">
        <f t="shared" si="216"/>
        <v>Gastos_custeados_por_captação</v>
      </c>
      <c r="S1379" s="331" t="str">
        <f>IF(D1379="","",IF(OR(D1379=Plano!$A$1,D1379=Plano!$B$1),"entrada","saída"))</f>
        <v>saída</v>
      </c>
      <c r="T1379" s="467" t="s">
        <v>114</v>
      </c>
      <c r="U1379" s="467" t="s">
        <v>114</v>
      </c>
      <c r="V1379" s="439"/>
      <c r="W1379" s="439"/>
      <c r="X1379" s="439"/>
      <c r="Y1379" s="439"/>
      <c r="Z1379" s="439"/>
      <c r="AA1379" s="439"/>
      <c r="AB1379" s="439"/>
      <c r="AC1379" s="439"/>
      <c r="AD1379" s="439"/>
      <c r="AE1379" s="439"/>
      <c r="AF1379" s="439"/>
      <c r="AG1379" s="439"/>
      <c r="AH1379" s="439"/>
      <c r="AI1379" s="439"/>
      <c r="AJ1379" s="439"/>
      <c r="AK1379" s="439"/>
      <c r="AL1379" s="439"/>
      <c r="AM1379" s="439"/>
    </row>
    <row r="1380" spans="1:39" s="470" customFormat="1" ht="60.75" customHeight="1" x14ac:dyDescent="0.2">
      <c r="A1380" s="277">
        <f>IF(B1380="","",COUNT('Diário 5º PA'!$A$5:$A$2634)+COUNT('Diário 6º PA'!$A$5:$A$2246)+ROW()-4)</f>
        <v>3919</v>
      </c>
      <c r="B1380" s="278">
        <v>44469</v>
      </c>
      <c r="C1380" s="249">
        <v>44440</v>
      </c>
      <c r="D1380" s="250" t="s">
        <v>104</v>
      </c>
      <c r="E1380" s="250" t="s">
        <v>104</v>
      </c>
      <c r="F1380" s="251">
        <v>-4350</v>
      </c>
      <c r="G1380" s="452" t="s">
        <v>5371</v>
      </c>
      <c r="H1380" s="250" t="s">
        <v>104</v>
      </c>
      <c r="I1380" s="252" t="s">
        <v>2418</v>
      </c>
      <c r="J1380" s="252" t="s">
        <v>850</v>
      </c>
      <c r="K1380" s="255" t="s">
        <v>1015</v>
      </c>
      <c r="L1380" s="250" t="s">
        <v>1177</v>
      </c>
      <c r="M1380" s="255" t="s">
        <v>114</v>
      </c>
      <c r="N1380" s="278">
        <v>44469</v>
      </c>
      <c r="O1380" s="329" t="s">
        <v>71</v>
      </c>
      <c r="P1380" s="330">
        <f t="shared" si="214"/>
        <v>9</v>
      </c>
      <c r="Q1380" s="330">
        <f t="shared" si="215"/>
        <v>9</v>
      </c>
      <c r="R1380" s="331" t="str">
        <f t="shared" si="216"/>
        <v>Gastos_custeados_por_captação</v>
      </c>
      <c r="S1380" s="331" t="str">
        <f>IF(D1380="","",IF(OR(D1380=Plano!$A$1,D1380=Plano!$B$1),"entrada","saída"))</f>
        <v>saída</v>
      </c>
      <c r="T1380" s="467" t="s">
        <v>114</v>
      </c>
      <c r="U1380" s="467" t="s">
        <v>114</v>
      </c>
      <c r="V1380" s="439"/>
      <c r="W1380" s="439"/>
      <c r="X1380" s="439"/>
      <c r="Y1380" s="439"/>
      <c r="Z1380" s="439"/>
      <c r="AA1380" s="439"/>
      <c r="AB1380" s="439"/>
      <c r="AC1380" s="439"/>
      <c r="AD1380" s="439"/>
      <c r="AE1380" s="439"/>
      <c r="AF1380" s="439"/>
      <c r="AG1380" s="439"/>
      <c r="AH1380" s="439"/>
      <c r="AI1380" s="439"/>
      <c r="AJ1380" s="439"/>
      <c r="AK1380" s="439"/>
      <c r="AL1380" s="439"/>
      <c r="AM1380" s="439"/>
    </row>
    <row r="1381" spans="1:39" s="470" customFormat="1" ht="66" customHeight="1" x14ac:dyDescent="0.2">
      <c r="A1381" s="277">
        <f>IF(B1381="","",COUNT('Diário 5º PA'!$A$5:$A$2634)+COUNT('Diário 6º PA'!$A$5:$A$2246)+ROW()-4)</f>
        <v>3920</v>
      </c>
      <c r="B1381" s="278">
        <v>44469</v>
      </c>
      <c r="C1381" s="249">
        <v>44440</v>
      </c>
      <c r="D1381" s="250" t="s">
        <v>104</v>
      </c>
      <c r="E1381" s="250" t="s">
        <v>104</v>
      </c>
      <c r="F1381" s="251">
        <v>-5000</v>
      </c>
      <c r="G1381" s="452" t="s">
        <v>5371</v>
      </c>
      <c r="H1381" s="250" t="s">
        <v>104</v>
      </c>
      <c r="I1381" s="252" t="s">
        <v>2418</v>
      </c>
      <c r="J1381" s="252" t="s">
        <v>850</v>
      </c>
      <c r="K1381" s="255" t="s">
        <v>1015</v>
      </c>
      <c r="L1381" s="250" t="s">
        <v>1177</v>
      </c>
      <c r="M1381" s="255" t="s">
        <v>114</v>
      </c>
      <c r="N1381" s="278">
        <v>44469</v>
      </c>
      <c r="O1381" s="329" t="s">
        <v>71</v>
      </c>
      <c r="P1381" s="330">
        <f t="shared" si="214"/>
        <v>9</v>
      </c>
      <c r="Q1381" s="330">
        <f t="shared" si="215"/>
        <v>9</v>
      </c>
      <c r="R1381" s="331" t="str">
        <f t="shared" si="216"/>
        <v>Gastos_custeados_por_captação</v>
      </c>
      <c r="S1381" s="331" t="str">
        <f>IF(D1381="","",IF(OR(D1381=Plano!$A$1,D1381=Plano!$B$1),"entrada","saída"))</f>
        <v>saída</v>
      </c>
      <c r="T1381" s="467" t="s">
        <v>114</v>
      </c>
      <c r="U1381" s="467" t="s">
        <v>114</v>
      </c>
      <c r="V1381" s="439"/>
      <c r="W1381" s="439"/>
      <c r="X1381" s="439"/>
      <c r="Y1381" s="439"/>
      <c r="Z1381" s="439"/>
      <c r="AA1381" s="439"/>
      <c r="AB1381" s="439"/>
      <c r="AC1381" s="439"/>
      <c r="AD1381" s="439"/>
      <c r="AE1381" s="439"/>
      <c r="AF1381" s="439"/>
      <c r="AG1381" s="439"/>
      <c r="AH1381" s="439"/>
      <c r="AI1381" s="439"/>
      <c r="AJ1381" s="439"/>
      <c r="AK1381" s="439"/>
      <c r="AL1381" s="439"/>
      <c r="AM1381" s="439"/>
    </row>
    <row r="1382" spans="1:39" s="470" customFormat="1" ht="64.5" customHeight="1" x14ac:dyDescent="0.2">
      <c r="A1382" s="277">
        <f>IF(B1382="","",COUNT('Diário 5º PA'!$A$5:$A$2634)+COUNT('Diário 6º PA'!$A$5:$A$2246)+ROW()-4)</f>
        <v>3921</v>
      </c>
      <c r="B1382" s="278">
        <v>44469</v>
      </c>
      <c r="C1382" s="249">
        <v>44440</v>
      </c>
      <c r="D1382" s="250" t="s">
        <v>104</v>
      </c>
      <c r="E1382" s="250" t="s">
        <v>104</v>
      </c>
      <c r="F1382" s="251">
        <v>-10000</v>
      </c>
      <c r="G1382" s="452" t="s">
        <v>5371</v>
      </c>
      <c r="H1382" s="250" t="s">
        <v>104</v>
      </c>
      <c r="I1382" s="252" t="s">
        <v>2418</v>
      </c>
      <c r="J1382" s="252" t="s">
        <v>850</v>
      </c>
      <c r="K1382" s="255" t="s">
        <v>1015</v>
      </c>
      <c r="L1382" s="250" t="s">
        <v>1177</v>
      </c>
      <c r="M1382" s="255" t="s">
        <v>114</v>
      </c>
      <c r="N1382" s="278">
        <v>44469</v>
      </c>
      <c r="O1382" s="329" t="s">
        <v>71</v>
      </c>
      <c r="P1382" s="330">
        <f t="shared" si="214"/>
        <v>9</v>
      </c>
      <c r="Q1382" s="330">
        <f t="shared" si="215"/>
        <v>9</v>
      </c>
      <c r="R1382" s="331" t="str">
        <f t="shared" si="216"/>
        <v>Gastos_custeados_por_captação</v>
      </c>
      <c r="S1382" s="331" t="str">
        <f>IF(D1382="","",IF(OR(D1382=Plano!$A$1,D1382=Plano!$B$1),"entrada","saída"))</f>
        <v>saída</v>
      </c>
      <c r="T1382" s="467" t="s">
        <v>114</v>
      </c>
      <c r="U1382" s="467" t="s">
        <v>114</v>
      </c>
      <c r="V1382" s="439"/>
      <c r="W1382" s="439"/>
      <c r="X1382" s="439"/>
      <c r="Y1382" s="439"/>
      <c r="Z1382" s="439"/>
      <c r="AA1382" s="439"/>
      <c r="AB1382" s="439"/>
      <c r="AC1382" s="439"/>
      <c r="AD1382" s="439"/>
      <c r="AE1382" s="439"/>
      <c r="AF1382" s="439"/>
      <c r="AG1382" s="439"/>
      <c r="AH1382" s="439"/>
      <c r="AI1382" s="439"/>
      <c r="AJ1382" s="439"/>
      <c r="AK1382" s="439"/>
      <c r="AL1382" s="439"/>
      <c r="AM1382" s="439"/>
    </row>
    <row r="1383" spans="1:39" s="476" customFormat="1" ht="48" customHeight="1" x14ac:dyDescent="0.2">
      <c r="A1383" s="277">
        <f>IF(B1383="","",COUNT('Diário 5º PA'!$A$5:$A$2634)+COUNT('Diário 6º PA'!$A$5:$A$2246)+ROW()-4)</f>
        <v>3922</v>
      </c>
      <c r="B1383" s="278">
        <v>44469</v>
      </c>
      <c r="C1383" s="335">
        <v>44409</v>
      </c>
      <c r="D1383" s="255" t="s">
        <v>104</v>
      </c>
      <c r="E1383" s="255" t="s">
        <v>104</v>
      </c>
      <c r="F1383" s="258">
        <v>11.43</v>
      </c>
      <c r="G1383" s="450" t="s">
        <v>5385</v>
      </c>
      <c r="H1383" s="250" t="s">
        <v>104</v>
      </c>
      <c r="I1383" s="250" t="s">
        <v>949</v>
      </c>
      <c r="J1383" s="255" t="s">
        <v>950</v>
      </c>
      <c r="K1383" s="255" t="s">
        <v>951</v>
      </c>
      <c r="L1383" s="250" t="s">
        <v>947</v>
      </c>
      <c r="M1383" s="336" t="s">
        <v>114</v>
      </c>
      <c r="N1383" s="278">
        <v>44469</v>
      </c>
      <c r="O1383" s="329" t="s">
        <v>71</v>
      </c>
      <c r="P1383" s="330">
        <f t="shared" si="214"/>
        <v>9</v>
      </c>
      <c r="Q1383" s="330">
        <f t="shared" si="215"/>
        <v>8</v>
      </c>
      <c r="R1383" s="331" t="str">
        <f t="shared" si="216"/>
        <v>Gastos_custeados_por_captação</v>
      </c>
      <c r="S1383" s="331" t="str">
        <f>IF(D1383="","",IF(OR(D1383=Plano!$A$1,D1383=Plano!$B$1),"entrada","saída"))</f>
        <v>saída</v>
      </c>
      <c r="T1383" s="332" t="s">
        <v>114</v>
      </c>
      <c r="U1383" s="332" t="s">
        <v>114</v>
      </c>
      <c r="V1383" s="439"/>
      <c r="W1383" s="439"/>
      <c r="X1383" s="439"/>
      <c r="Y1383" s="439"/>
      <c r="Z1383" s="439"/>
      <c r="AA1383" s="439"/>
      <c r="AB1383" s="439"/>
      <c r="AC1383" s="439"/>
      <c r="AD1383" s="439"/>
      <c r="AE1383" s="439"/>
      <c r="AF1383" s="439"/>
      <c r="AG1383" s="439"/>
      <c r="AH1383" s="439"/>
      <c r="AI1383" s="439"/>
      <c r="AJ1383" s="439"/>
      <c r="AK1383" s="439"/>
      <c r="AL1383" s="439"/>
      <c r="AM1383" s="439"/>
    </row>
    <row r="1384" spans="1:39" s="476" customFormat="1" ht="51.75" customHeight="1" x14ac:dyDescent="0.2">
      <c r="A1384" s="277">
        <f>IF(B1384="","",COUNT('Diário 5º PA'!$A$5:$A$2634)+COUNT('Diário 6º PA'!$A$5:$A$2246)+ROW()-4)</f>
        <v>3923</v>
      </c>
      <c r="B1384" s="278">
        <v>44469</v>
      </c>
      <c r="C1384" s="335">
        <v>44440</v>
      </c>
      <c r="D1384" s="255" t="s">
        <v>104</v>
      </c>
      <c r="E1384" s="255" t="s">
        <v>104</v>
      </c>
      <c r="F1384" s="258">
        <v>153</v>
      </c>
      <c r="G1384" s="450" t="s">
        <v>5386</v>
      </c>
      <c r="H1384" s="250" t="s">
        <v>104</v>
      </c>
      <c r="I1384" s="250" t="s">
        <v>949</v>
      </c>
      <c r="J1384" s="255" t="s">
        <v>950</v>
      </c>
      <c r="K1384" s="255" t="s">
        <v>951</v>
      </c>
      <c r="L1384" s="250" t="s">
        <v>947</v>
      </c>
      <c r="M1384" s="336" t="s">
        <v>114</v>
      </c>
      <c r="N1384" s="278">
        <v>44469</v>
      </c>
      <c r="O1384" s="329" t="s">
        <v>71</v>
      </c>
      <c r="P1384" s="330">
        <f t="shared" ref="P1384" si="217">IF(B1384=0,0,IF(YEAR(B1384)=$Q$1,MONTH(B1384)-$P$1+1,(YEAR(B1384)-$Q$1)*12-$P$1+1+MONTH(B1384)))</f>
        <v>9</v>
      </c>
      <c r="Q1384" s="330">
        <f t="shared" ref="Q1384" si="218">IF(C1384=0,0,IF(YEAR(C1384)=$Q$1,MONTH(C1384)-$P$1+1,(YEAR(C1384)-$Q$1)*12-$P$1+1+MONTH(C1384)))</f>
        <v>9</v>
      </c>
      <c r="R1384" s="331" t="str">
        <f t="shared" ref="R1384" si="219">SUBSTITUTE(D1384," ","_")</f>
        <v>Gastos_custeados_por_captação</v>
      </c>
      <c r="S1384" s="331" t="str">
        <f>IF(D1384="","",IF(OR(D1384=Plano!$A$1,D1384=Plano!$B$1),"entrada","saída"))</f>
        <v>saída</v>
      </c>
      <c r="T1384" s="332" t="s">
        <v>114</v>
      </c>
      <c r="U1384" s="332" t="s">
        <v>114</v>
      </c>
      <c r="V1384" s="439"/>
      <c r="W1384" s="439"/>
      <c r="X1384" s="439"/>
      <c r="Y1384" s="439"/>
      <c r="Z1384" s="439"/>
      <c r="AA1384" s="439"/>
      <c r="AB1384" s="439"/>
      <c r="AC1384" s="439"/>
      <c r="AD1384" s="439"/>
      <c r="AE1384" s="439"/>
      <c r="AF1384" s="439"/>
      <c r="AG1384" s="439"/>
      <c r="AH1384" s="439"/>
      <c r="AI1384" s="439"/>
      <c r="AJ1384" s="439"/>
      <c r="AK1384" s="439"/>
      <c r="AL1384" s="439"/>
      <c r="AM1384" s="439"/>
    </row>
    <row r="1385" spans="1:39" s="476" customFormat="1" ht="51.75" customHeight="1" x14ac:dyDescent="0.2">
      <c r="A1385" s="277">
        <f>IF(B1385="","",COUNT('Diário 5º PA'!$A$5:$A$2634)+COUNT('Diário 6º PA'!$A$5:$A$2246)+ROW()-4)</f>
        <v>3924</v>
      </c>
      <c r="B1385" s="278">
        <v>44469</v>
      </c>
      <c r="C1385" s="335">
        <v>44440</v>
      </c>
      <c r="D1385" s="255" t="s">
        <v>104</v>
      </c>
      <c r="E1385" s="255" t="s">
        <v>104</v>
      </c>
      <c r="F1385" s="258">
        <v>5000</v>
      </c>
      <c r="G1385" s="450" t="s">
        <v>5371</v>
      </c>
      <c r="H1385" s="250" t="s">
        <v>104</v>
      </c>
      <c r="I1385" s="252" t="s">
        <v>2418</v>
      </c>
      <c r="J1385" s="252" t="s">
        <v>850</v>
      </c>
      <c r="K1385" s="255" t="s">
        <v>1015</v>
      </c>
      <c r="L1385" s="250" t="s">
        <v>1177</v>
      </c>
      <c r="M1385" s="255" t="s">
        <v>114</v>
      </c>
      <c r="N1385" s="278">
        <v>44469</v>
      </c>
      <c r="O1385" s="329" t="s">
        <v>5370</v>
      </c>
      <c r="P1385" s="330">
        <f t="shared" ref="P1385" si="220">IF(B1385=0,0,IF(YEAR(B1385)=$Q$1,MONTH(B1385)-$P$1+1,(YEAR(B1385)-$Q$1)*12-$P$1+1+MONTH(B1385)))</f>
        <v>9</v>
      </c>
      <c r="Q1385" s="330">
        <f t="shared" ref="Q1385" si="221">IF(C1385=0,0,IF(YEAR(C1385)=$Q$1,MONTH(C1385)-$P$1+1,(YEAR(C1385)-$Q$1)*12-$P$1+1+MONTH(C1385)))</f>
        <v>9</v>
      </c>
      <c r="R1385" s="331" t="str">
        <f t="shared" ref="R1385" si="222">SUBSTITUTE(D1385," ","_")</f>
        <v>Gastos_custeados_por_captação</v>
      </c>
      <c r="S1385" s="331" t="str">
        <f>IF(D1385="","",IF(OR(D1385=Plano!$A$1,D1385=Plano!$B$1),"entrada","saída"))</f>
        <v>saída</v>
      </c>
      <c r="T1385" s="332" t="s">
        <v>114</v>
      </c>
      <c r="U1385" s="332" t="s">
        <v>114</v>
      </c>
      <c r="V1385" s="439"/>
      <c r="W1385" s="439"/>
      <c r="X1385" s="439"/>
      <c r="Y1385" s="439"/>
      <c r="Z1385" s="439"/>
      <c r="AA1385" s="439"/>
      <c r="AB1385" s="439"/>
      <c r="AC1385" s="439"/>
      <c r="AD1385" s="439"/>
      <c r="AE1385" s="439"/>
      <c r="AF1385" s="439"/>
      <c r="AG1385" s="439"/>
      <c r="AH1385" s="439"/>
      <c r="AI1385" s="439"/>
      <c r="AJ1385" s="439"/>
      <c r="AK1385" s="439"/>
      <c r="AL1385" s="439"/>
      <c r="AM1385" s="439"/>
    </row>
    <row r="1386" spans="1:39" s="476" customFormat="1" ht="51.75" customHeight="1" x14ac:dyDescent="0.2">
      <c r="A1386" s="277">
        <f>IF(B1386="","",COUNT('Diário 5º PA'!$A$5:$A$2634)+COUNT('Diário 6º PA'!$A$5:$A$2246)+ROW()-4)</f>
        <v>3925</v>
      </c>
      <c r="B1386" s="278">
        <v>44469</v>
      </c>
      <c r="C1386" s="335">
        <v>44440</v>
      </c>
      <c r="D1386" s="255" t="s">
        <v>104</v>
      </c>
      <c r="E1386" s="255" t="s">
        <v>104</v>
      </c>
      <c r="F1386" s="258">
        <v>4900</v>
      </c>
      <c r="G1386" s="450" t="s">
        <v>5371</v>
      </c>
      <c r="H1386" s="250" t="s">
        <v>104</v>
      </c>
      <c r="I1386" s="252" t="s">
        <v>2418</v>
      </c>
      <c r="J1386" s="252" t="s">
        <v>850</v>
      </c>
      <c r="K1386" s="255" t="s">
        <v>1015</v>
      </c>
      <c r="L1386" s="250" t="s">
        <v>1177</v>
      </c>
      <c r="M1386" s="255" t="s">
        <v>114</v>
      </c>
      <c r="N1386" s="278">
        <v>44469</v>
      </c>
      <c r="O1386" s="329" t="s">
        <v>5370</v>
      </c>
      <c r="P1386" s="330">
        <f t="shared" ref="P1386:P1388" si="223">IF(B1386=0,0,IF(YEAR(B1386)=$Q$1,MONTH(B1386)-$P$1+1,(YEAR(B1386)-$Q$1)*12-$P$1+1+MONTH(B1386)))</f>
        <v>9</v>
      </c>
      <c r="Q1386" s="330">
        <f t="shared" ref="Q1386:Q1388" si="224">IF(C1386=0,0,IF(YEAR(C1386)=$Q$1,MONTH(C1386)-$P$1+1,(YEAR(C1386)-$Q$1)*12-$P$1+1+MONTH(C1386)))</f>
        <v>9</v>
      </c>
      <c r="R1386" s="331" t="str">
        <f t="shared" ref="R1386:R1388" si="225">SUBSTITUTE(D1386," ","_")</f>
        <v>Gastos_custeados_por_captação</v>
      </c>
      <c r="S1386" s="331" t="str">
        <f>IF(D1386="","",IF(OR(D1386=Plano!$A$1,D1386=Plano!$B$1),"entrada","saída"))</f>
        <v>saída</v>
      </c>
      <c r="T1386" s="332" t="s">
        <v>114</v>
      </c>
      <c r="U1386" s="332" t="s">
        <v>114</v>
      </c>
      <c r="V1386" s="439"/>
      <c r="W1386" s="439"/>
      <c r="X1386" s="439"/>
      <c r="Y1386" s="439"/>
      <c r="Z1386" s="439"/>
      <c r="AA1386" s="439"/>
      <c r="AB1386" s="439"/>
      <c r="AC1386" s="439"/>
      <c r="AD1386" s="439"/>
      <c r="AE1386" s="439"/>
      <c r="AF1386" s="439"/>
      <c r="AG1386" s="439"/>
      <c r="AH1386" s="439"/>
      <c r="AI1386" s="439"/>
      <c r="AJ1386" s="439"/>
      <c r="AK1386" s="439"/>
      <c r="AL1386" s="439"/>
      <c r="AM1386" s="439"/>
    </row>
    <row r="1387" spans="1:39" s="476" customFormat="1" ht="51.75" customHeight="1" x14ac:dyDescent="0.2">
      <c r="A1387" s="277">
        <f>IF(B1387="","",COUNT('Diário 5º PA'!$A$5:$A$2634)+COUNT('Diário 6º PA'!$A$5:$A$2246)+ROW()-4)</f>
        <v>3926</v>
      </c>
      <c r="B1387" s="278">
        <v>44469</v>
      </c>
      <c r="C1387" s="335">
        <v>44440</v>
      </c>
      <c r="D1387" s="255" t="s">
        <v>104</v>
      </c>
      <c r="E1387" s="255" t="s">
        <v>104</v>
      </c>
      <c r="F1387" s="258">
        <v>5550</v>
      </c>
      <c r="G1387" s="450" t="s">
        <v>5371</v>
      </c>
      <c r="H1387" s="250" t="s">
        <v>104</v>
      </c>
      <c r="I1387" s="252" t="s">
        <v>2418</v>
      </c>
      <c r="J1387" s="252" t="s">
        <v>850</v>
      </c>
      <c r="K1387" s="255" t="s">
        <v>1015</v>
      </c>
      <c r="L1387" s="250" t="s">
        <v>1177</v>
      </c>
      <c r="M1387" s="255" t="s">
        <v>114</v>
      </c>
      <c r="N1387" s="278">
        <v>44469</v>
      </c>
      <c r="O1387" s="329" t="s">
        <v>5370</v>
      </c>
      <c r="P1387" s="330">
        <f t="shared" si="223"/>
        <v>9</v>
      </c>
      <c r="Q1387" s="330">
        <f t="shared" si="224"/>
        <v>9</v>
      </c>
      <c r="R1387" s="331" t="str">
        <f t="shared" si="225"/>
        <v>Gastos_custeados_por_captação</v>
      </c>
      <c r="S1387" s="331" t="str">
        <f>IF(D1387="","",IF(OR(D1387=Plano!$A$1,D1387=Plano!$B$1),"entrada","saída"))</f>
        <v>saída</v>
      </c>
      <c r="T1387" s="332" t="s">
        <v>114</v>
      </c>
      <c r="U1387" s="332" t="s">
        <v>114</v>
      </c>
      <c r="V1387" s="439"/>
      <c r="W1387" s="439"/>
      <c r="X1387" s="439"/>
      <c r="Y1387" s="439"/>
      <c r="Z1387" s="439"/>
      <c r="AA1387" s="439"/>
      <c r="AB1387" s="439"/>
      <c r="AC1387" s="439"/>
      <c r="AD1387" s="439"/>
      <c r="AE1387" s="439"/>
      <c r="AF1387" s="439"/>
      <c r="AG1387" s="439"/>
      <c r="AH1387" s="439"/>
      <c r="AI1387" s="439"/>
      <c r="AJ1387" s="439"/>
      <c r="AK1387" s="439"/>
      <c r="AL1387" s="439"/>
      <c r="AM1387" s="439"/>
    </row>
    <row r="1388" spans="1:39" s="476" customFormat="1" ht="91.5" customHeight="1" x14ac:dyDescent="0.2">
      <c r="A1388" s="277">
        <f>IF(B1388="","",COUNT('Diário 5º PA'!$A$5:$A$2634)+COUNT('Diário 6º PA'!$A$5:$A$2246)+ROW()-4)</f>
        <v>3927</v>
      </c>
      <c r="B1388" s="278">
        <v>44469</v>
      </c>
      <c r="C1388" s="259">
        <v>44440</v>
      </c>
      <c r="D1388" s="255" t="s">
        <v>104</v>
      </c>
      <c r="E1388" s="255" t="s">
        <v>104</v>
      </c>
      <c r="F1388" s="257">
        <v>3201</v>
      </c>
      <c r="G1388" s="451" t="s">
        <v>1679</v>
      </c>
      <c r="H1388" s="250" t="s">
        <v>104</v>
      </c>
      <c r="I1388" s="250" t="s">
        <v>1263</v>
      </c>
      <c r="J1388" s="250" t="s">
        <v>1264</v>
      </c>
      <c r="K1388" s="255" t="s">
        <v>991</v>
      </c>
      <c r="L1388" s="250" t="s">
        <v>992</v>
      </c>
      <c r="M1388" s="277" t="s">
        <v>5387</v>
      </c>
      <c r="N1388" s="278">
        <v>44468</v>
      </c>
      <c r="O1388" s="329" t="s">
        <v>5370</v>
      </c>
      <c r="P1388" s="330">
        <f t="shared" si="223"/>
        <v>9</v>
      </c>
      <c r="Q1388" s="330">
        <f t="shared" si="224"/>
        <v>9</v>
      </c>
      <c r="R1388" s="331" t="str">
        <f t="shared" si="225"/>
        <v>Gastos_custeados_por_captação</v>
      </c>
      <c r="S1388" s="331" t="str">
        <f>IF(D1388="","",IF(OR(D1388=Plano!$A$1,D1388=Plano!$B$1),"entrada","saída"))</f>
        <v>saída</v>
      </c>
      <c r="T1388" s="334" t="s">
        <v>994</v>
      </c>
      <c r="U1388" s="334">
        <v>1613</v>
      </c>
      <c r="V1388" s="439"/>
      <c r="W1388" s="439"/>
      <c r="X1388" s="439"/>
      <c r="Y1388" s="439"/>
      <c r="Z1388" s="439"/>
      <c r="AA1388" s="439"/>
      <c r="AB1388" s="439"/>
      <c r="AC1388" s="439"/>
      <c r="AD1388" s="439"/>
      <c r="AE1388" s="439"/>
      <c r="AF1388" s="439"/>
      <c r="AG1388" s="439"/>
      <c r="AH1388" s="439"/>
      <c r="AI1388" s="439"/>
      <c r="AJ1388" s="439"/>
      <c r="AK1388" s="439"/>
      <c r="AL1388" s="439"/>
      <c r="AM1388" s="439"/>
    </row>
    <row r="1389" spans="1:39" s="476" customFormat="1" ht="96" customHeight="1" x14ac:dyDescent="0.2">
      <c r="A1389" s="277">
        <f>IF(B1389="","",COUNT('Diário 5º PA'!$A$5:$A$2634)+COUNT('Diário 6º PA'!$A$5:$A$2246)+ROW()-4)</f>
        <v>3928</v>
      </c>
      <c r="B1389" s="278">
        <v>44469</v>
      </c>
      <c r="C1389" s="259">
        <v>44440</v>
      </c>
      <c r="D1389" s="255" t="s">
        <v>104</v>
      </c>
      <c r="E1389" s="255" t="s">
        <v>104</v>
      </c>
      <c r="F1389" s="257">
        <v>3201</v>
      </c>
      <c r="G1389" s="451" t="s">
        <v>1266</v>
      </c>
      <c r="H1389" s="250" t="s">
        <v>104</v>
      </c>
      <c r="I1389" s="250" t="s">
        <v>1263</v>
      </c>
      <c r="J1389" s="250" t="s">
        <v>1264</v>
      </c>
      <c r="K1389" s="255" t="s">
        <v>991</v>
      </c>
      <c r="L1389" s="250" t="s">
        <v>992</v>
      </c>
      <c r="M1389" s="277" t="s">
        <v>5387</v>
      </c>
      <c r="N1389" s="278">
        <v>44468</v>
      </c>
      <c r="O1389" s="329" t="s">
        <v>5370</v>
      </c>
      <c r="P1389" s="330">
        <f t="shared" ref="P1389:P1401" si="226">IF(B1389=0,0,IF(YEAR(B1389)=$Q$1,MONTH(B1389)-$P$1+1,(YEAR(B1389)-$Q$1)*12-$P$1+1+MONTH(B1389)))</f>
        <v>9</v>
      </c>
      <c r="Q1389" s="330">
        <f t="shared" ref="Q1389:Q1401" si="227">IF(C1389=0,0,IF(YEAR(C1389)=$Q$1,MONTH(C1389)-$P$1+1,(YEAR(C1389)-$Q$1)*12-$P$1+1+MONTH(C1389)))</f>
        <v>9</v>
      </c>
      <c r="R1389" s="331" t="str">
        <f t="shared" ref="R1389:R1401" si="228">SUBSTITUTE(D1389," ","_")</f>
        <v>Gastos_custeados_por_captação</v>
      </c>
      <c r="S1389" s="331" t="str">
        <f>IF(D1389="","",IF(OR(D1389=Plano!$A$1,D1389=Plano!$B$1),"entrada","saída"))</f>
        <v>saída</v>
      </c>
      <c r="T1389" s="334" t="s">
        <v>994</v>
      </c>
      <c r="U1389" s="334">
        <v>1614</v>
      </c>
      <c r="V1389" s="439"/>
      <c r="W1389" s="439"/>
      <c r="X1389" s="439"/>
      <c r="Y1389" s="439"/>
      <c r="Z1389" s="439"/>
      <c r="AA1389" s="439"/>
      <c r="AB1389" s="439"/>
      <c r="AC1389" s="439"/>
      <c r="AD1389" s="439"/>
      <c r="AE1389" s="439"/>
      <c r="AF1389" s="439"/>
      <c r="AG1389" s="439"/>
      <c r="AH1389" s="439"/>
      <c r="AI1389" s="439"/>
      <c r="AJ1389" s="439"/>
      <c r="AK1389" s="439"/>
      <c r="AL1389" s="439"/>
      <c r="AM1389" s="439"/>
    </row>
    <row r="1390" spans="1:39" s="476" customFormat="1" ht="93" customHeight="1" x14ac:dyDescent="0.2">
      <c r="A1390" s="277">
        <f>IF(B1390="","",COUNT('Diário 5º PA'!$A$5:$A$2634)+COUNT('Diário 6º PA'!$A$5:$A$2246)+ROW()-4)</f>
        <v>3929</v>
      </c>
      <c r="B1390" s="278">
        <v>44469</v>
      </c>
      <c r="C1390" s="259">
        <v>44440</v>
      </c>
      <c r="D1390" s="255" t="s">
        <v>104</v>
      </c>
      <c r="E1390" s="255" t="s">
        <v>104</v>
      </c>
      <c r="F1390" s="257">
        <v>3201</v>
      </c>
      <c r="G1390" s="451" t="s">
        <v>1683</v>
      </c>
      <c r="H1390" s="250" t="s">
        <v>104</v>
      </c>
      <c r="I1390" s="250" t="s">
        <v>1263</v>
      </c>
      <c r="J1390" s="250" t="s">
        <v>1264</v>
      </c>
      <c r="K1390" s="255" t="s">
        <v>991</v>
      </c>
      <c r="L1390" s="250" t="s">
        <v>992</v>
      </c>
      <c r="M1390" s="277" t="s">
        <v>5388</v>
      </c>
      <c r="N1390" s="278">
        <v>44468</v>
      </c>
      <c r="O1390" s="329" t="s">
        <v>5370</v>
      </c>
      <c r="P1390" s="330">
        <f t="shared" si="226"/>
        <v>9</v>
      </c>
      <c r="Q1390" s="330">
        <f t="shared" si="227"/>
        <v>9</v>
      </c>
      <c r="R1390" s="331" t="str">
        <f t="shared" si="228"/>
        <v>Gastos_custeados_por_captação</v>
      </c>
      <c r="S1390" s="331" t="str">
        <f>IF(D1390="","",IF(OR(D1390=Plano!$A$1,D1390=Plano!$B$1),"entrada","saída"))</f>
        <v>saída</v>
      </c>
      <c r="T1390" s="334" t="s">
        <v>994</v>
      </c>
      <c r="U1390" s="334">
        <v>1615</v>
      </c>
      <c r="V1390" s="439"/>
      <c r="W1390" s="439"/>
      <c r="X1390" s="439"/>
      <c r="Y1390" s="439"/>
      <c r="Z1390" s="439"/>
      <c r="AA1390" s="439"/>
      <c r="AB1390" s="439"/>
      <c r="AC1390" s="439"/>
      <c r="AD1390" s="439"/>
      <c r="AE1390" s="439"/>
      <c r="AF1390" s="439"/>
      <c r="AG1390" s="439"/>
      <c r="AH1390" s="439"/>
      <c r="AI1390" s="439"/>
      <c r="AJ1390" s="439"/>
      <c r="AK1390" s="439"/>
      <c r="AL1390" s="439"/>
      <c r="AM1390" s="439"/>
    </row>
    <row r="1391" spans="1:39" s="476" customFormat="1" ht="100.5" customHeight="1" x14ac:dyDescent="0.2">
      <c r="A1391" s="277">
        <f>IF(B1391="","",COUNT('Diário 5º PA'!$A$5:$A$2634)+COUNT('Diário 6º PA'!$A$5:$A$2246)+ROW()-4)</f>
        <v>3930</v>
      </c>
      <c r="B1391" s="278">
        <v>44469</v>
      </c>
      <c r="C1391" s="259">
        <v>44440</v>
      </c>
      <c r="D1391" s="255" t="s">
        <v>104</v>
      </c>
      <c r="E1391" s="255" t="s">
        <v>104</v>
      </c>
      <c r="F1391" s="257">
        <v>3201</v>
      </c>
      <c r="G1391" s="451" t="s">
        <v>5389</v>
      </c>
      <c r="H1391" s="250" t="s">
        <v>104</v>
      </c>
      <c r="I1391" s="250" t="s">
        <v>1263</v>
      </c>
      <c r="J1391" s="250" t="s">
        <v>1264</v>
      </c>
      <c r="K1391" s="255" t="s">
        <v>991</v>
      </c>
      <c r="L1391" s="250" t="s">
        <v>992</v>
      </c>
      <c r="M1391" s="277" t="s">
        <v>5390</v>
      </c>
      <c r="N1391" s="278">
        <v>44468</v>
      </c>
      <c r="O1391" s="329" t="s">
        <v>5370</v>
      </c>
      <c r="P1391" s="330">
        <f t="shared" si="226"/>
        <v>9</v>
      </c>
      <c r="Q1391" s="330">
        <f t="shared" si="227"/>
        <v>9</v>
      </c>
      <c r="R1391" s="331" t="str">
        <f t="shared" si="228"/>
        <v>Gastos_custeados_por_captação</v>
      </c>
      <c r="S1391" s="331" t="str">
        <f>IF(D1391="","",IF(OR(D1391=Plano!$A$1,D1391=Plano!$B$1),"entrada","saída"))</f>
        <v>saída</v>
      </c>
      <c r="T1391" s="334" t="s">
        <v>994</v>
      </c>
      <c r="U1391" s="334">
        <v>1616</v>
      </c>
      <c r="V1391" s="439"/>
      <c r="W1391" s="439"/>
      <c r="X1391" s="439"/>
      <c r="Y1391" s="439"/>
      <c r="Z1391" s="439"/>
      <c r="AA1391" s="439"/>
      <c r="AB1391" s="439"/>
      <c r="AC1391" s="439"/>
      <c r="AD1391" s="439"/>
      <c r="AE1391" s="439"/>
      <c r="AF1391" s="439"/>
      <c r="AG1391" s="439"/>
      <c r="AH1391" s="439"/>
      <c r="AI1391" s="439"/>
      <c r="AJ1391" s="439"/>
      <c r="AK1391" s="439"/>
      <c r="AL1391" s="439"/>
      <c r="AM1391" s="439"/>
    </row>
    <row r="1392" spans="1:39" s="476" customFormat="1" ht="91.5" customHeight="1" x14ac:dyDescent="0.2">
      <c r="A1392" s="277">
        <f>IF(B1392="","",COUNT('Diário 5º PA'!$A$5:$A$2634)+COUNT('Diário 6º PA'!$A$5:$A$2246)+ROW()-4)</f>
        <v>3931</v>
      </c>
      <c r="B1392" s="278">
        <v>44469</v>
      </c>
      <c r="C1392" s="259">
        <v>44440</v>
      </c>
      <c r="D1392" s="255" t="s">
        <v>104</v>
      </c>
      <c r="E1392" s="255" t="s">
        <v>104</v>
      </c>
      <c r="F1392" s="257">
        <v>3201</v>
      </c>
      <c r="G1392" s="451" t="s">
        <v>5391</v>
      </c>
      <c r="H1392" s="250" t="s">
        <v>104</v>
      </c>
      <c r="I1392" s="250" t="s">
        <v>1263</v>
      </c>
      <c r="J1392" s="250" t="s">
        <v>1264</v>
      </c>
      <c r="K1392" s="255" t="s">
        <v>991</v>
      </c>
      <c r="L1392" s="250" t="s">
        <v>992</v>
      </c>
      <c r="M1392" s="277" t="s">
        <v>5392</v>
      </c>
      <c r="N1392" s="278">
        <v>44468</v>
      </c>
      <c r="O1392" s="329" t="s">
        <v>5370</v>
      </c>
      <c r="P1392" s="330">
        <f t="shared" si="226"/>
        <v>9</v>
      </c>
      <c r="Q1392" s="330">
        <f t="shared" si="227"/>
        <v>9</v>
      </c>
      <c r="R1392" s="331" t="str">
        <f t="shared" si="228"/>
        <v>Gastos_custeados_por_captação</v>
      </c>
      <c r="S1392" s="331" t="str">
        <f>IF(D1392="","",IF(OR(D1392=Plano!$A$1,D1392=Plano!$B$1),"entrada","saída"))</f>
        <v>saída</v>
      </c>
      <c r="T1392" s="334" t="s">
        <v>994</v>
      </c>
      <c r="U1392" s="334">
        <v>1617</v>
      </c>
      <c r="V1392" s="439"/>
      <c r="W1392" s="439"/>
      <c r="X1392" s="439"/>
      <c r="Y1392" s="439"/>
      <c r="Z1392" s="439"/>
      <c r="AA1392" s="439"/>
      <c r="AB1392" s="439"/>
      <c r="AC1392" s="439"/>
      <c r="AD1392" s="439"/>
      <c r="AE1392" s="439"/>
      <c r="AF1392" s="439"/>
      <c r="AG1392" s="439"/>
      <c r="AH1392" s="439"/>
      <c r="AI1392" s="439"/>
      <c r="AJ1392" s="439"/>
      <c r="AK1392" s="439"/>
      <c r="AL1392" s="439"/>
      <c r="AM1392" s="439"/>
    </row>
    <row r="1393" spans="1:39" s="476" customFormat="1" ht="101.25" customHeight="1" x14ac:dyDescent="0.2">
      <c r="A1393" s="277">
        <f>IF(B1393="","",COUNT('Diário 5º PA'!$A$5:$A$2634)+COUNT('Diário 6º PA'!$A$5:$A$2246)+ROW()-4)</f>
        <v>3932</v>
      </c>
      <c r="B1393" s="278">
        <v>44469</v>
      </c>
      <c r="C1393" s="259">
        <v>44440</v>
      </c>
      <c r="D1393" s="255" t="s">
        <v>104</v>
      </c>
      <c r="E1393" s="255" t="s">
        <v>104</v>
      </c>
      <c r="F1393" s="257">
        <v>3201</v>
      </c>
      <c r="G1393" s="451" t="s">
        <v>5393</v>
      </c>
      <c r="H1393" s="250" t="s">
        <v>104</v>
      </c>
      <c r="I1393" s="250" t="s">
        <v>1263</v>
      </c>
      <c r="J1393" s="250" t="s">
        <v>1264</v>
      </c>
      <c r="K1393" s="255" t="s">
        <v>991</v>
      </c>
      <c r="L1393" s="250" t="s">
        <v>992</v>
      </c>
      <c r="M1393" s="277" t="s">
        <v>5394</v>
      </c>
      <c r="N1393" s="278">
        <v>44468</v>
      </c>
      <c r="O1393" s="329" t="s">
        <v>5370</v>
      </c>
      <c r="P1393" s="330">
        <f t="shared" si="226"/>
        <v>9</v>
      </c>
      <c r="Q1393" s="330">
        <f t="shared" si="227"/>
        <v>9</v>
      </c>
      <c r="R1393" s="331" t="str">
        <f t="shared" si="228"/>
        <v>Gastos_custeados_por_captação</v>
      </c>
      <c r="S1393" s="331" t="str">
        <f>IF(D1393="","",IF(OR(D1393=Plano!$A$1,D1393=Plano!$B$1),"entrada","saída"))</f>
        <v>saída</v>
      </c>
      <c r="T1393" s="334" t="s">
        <v>994</v>
      </c>
      <c r="U1393" s="334">
        <v>1618</v>
      </c>
      <c r="V1393" s="439"/>
      <c r="W1393" s="439"/>
      <c r="X1393" s="439"/>
      <c r="Y1393" s="439"/>
      <c r="Z1393" s="439"/>
      <c r="AA1393" s="439"/>
      <c r="AB1393" s="439"/>
      <c r="AC1393" s="439"/>
      <c r="AD1393" s="439"/>
      <c r="AE1393" s="439"/>
      <c r="AF1393" s="439"/>
      <c r="AG1393" s="439"/>
      <c r="AH1393" s="439"/>
      <c r="AI1393" s="439"/>
      <c r="AJ1393" s="439"/>
      <c r="AK1393" s="439"/>
      <c r="AL1393" s="439"/>
      <c r="AM1393" s="439"/>
    </row>
    <row r="1394" spans="1:39" s="476" customFormat="1" ht="99.75" customHeight="1" x14ac:dyDescent="0.2">
      <c r="A1394" s="277">
        <f>IF(B1394="","",COUNT('Diário 5º PA'!$A$5:$A$2634)+COUNT('Diário 6º PA'!$A$5:$A$2246)+ROW()-4)</f>
        <v>3933</v>
      </c>
      <c r="B1394" s="278">
        <v>44469</v>
      </c>
      <c r="C1394" s="259">
        <v>44440</v>
      </c>
      <c r="D1394" s="255" t="s">
        <v>104</v>
      </c>
      <c r="E1394" s="255" t="s">
        <v>104</v>
      </c>
      <c r="F1394" s="257">
        <v>3201</v>
      </c>
      <c r="G1394" s="451" t="s">
        <v>5395</v>
      </c>
      <c r="H1394" s="250" t="s">
        <v>104</v>
      </c>
      <c r="I1394" s="250" t="s">
        <v>1263</v>
      </c>
      <c r="J1394" s="250" t="s">
        <v>1264</v>
      </c>
      <c r="K1394" s="255" t="s">
        <v>991</v>
      </c>
      <c r="L1394" s="250" t="s">
        <v>992</v>
      </c>
      <c r="M1394" s="277" t="s">
        <v>5396</v>
      </c>
      <c r="N1394" s="278">
        <v>44468</v>
      </c>
      <c r="O1394" s="329" t="s">
        <v>5370</v>
      </c>
      <c r="P1394" s="330">
        <f t="shared" si="226"/>
        <v>9</v>
      </c>
      <c r="Q1394" s="330">
        <f t="shared" si="227"/>
        <v>9</v>
      </c>
      <c r="R1394" s="331" t="str">
        <f t="shared" si="228"/>
        <v>Gastos_custeados_por_captação</v>
      </c>
      <c r="S1394" s="331" t="str">
        <f>IF(D1394="","",IF(OR(D1394=Plano!$A$1,D1394=Plano!$B$1),"entrada","saída"))</f>
        <v>saída</v>
      </c>
      <c r="T1394" s="334" t="s">
        <v>994</v>
      </c>
      <c r="U1394" s="334">
        <v>1619</v>
      </c>
      <c r="V1394" s="439"/>
      <c r="W1394" s="439"/>
      <c r="X1394" s="439"/>
      <c r="Y1394" s="439"/>
      <c r="Z1394" s="439"/>
      <c r="AA1394" s="439"/>
      <c r="AB1394" s="439"/>
      <c r="AC1394" s="439"/>
      <c r="AD1394" s="439"/>
      <c r="AE1394" s="439"/>
      <c r="AF1394" s="439"/>
      <c r="AG1394" s="439"/>
      <c r="AH1394" s="439"/>
      <c r="AI1394" s="439"/>
      <c r="AJ1394" s="439"/>
      <c r="AK1394" s="439"/>
      <c r="AL1394" s="439"/>
      <c r="AM1394" s="439"/>
    </row>
    <row r="1395" spans="1:39" s="476" customFormat="1" ht="90" customHeight="1" x14ac:dyDescent="0.2">
      <c r="A1395" s="277">
        <f>IF(B1395="","",COUNT('Diário 5º PA'!$A$5:$A$2634)+COUNT('Diário 6º PA'!$A$5:$A$2246)+ROW()-4)</f>
        <v>3934</v>
      </c>
      <c r="B1395" s="278">
        <v>44469</v>
      </c>
      <c r="C1395" s="259">
        <v>44440</v>
      </c>
      <c r="D1395" s="255" t="s">
        <v>104</v>
      </c>
      <c r="E1395" s="255" t="s">
        <v>104</v>
      </c>
      <c r="F1395" s="257">
        <v>3201</v>
      </c>
      <c r="G1395" s="451" t="s">
        <v>5397</v>
      </c>
      <c r="H1395" s="250" t="s">
        <v>104</v>
      </c>
      <c r="I1395" s="250" t="s">
        <v>1263</v>
      </c>
      <c r="J1395" s="250" t="s">
        <v>1264</v>
      </c>
      <c r="K1395" s="255" t="s">
        <v>991</v>
      </c>
      <c r="L1395" s="250" t="s">
        <v>992</v>
      </c>
      <c r="M1395" s="277" t="s">
        <v>5398</v>
      </c>
      <c r="N1395" s="278">
        <v>44468</v>
      </c>
      <c r="O1395" s="329" t="s">
        <v>5370</v>
      </c>
      <c r="P1395" s="330">
        <f t="shared" si="226"/>
        <v>9</v>
      </c>
      <c r="Q1395" s="330">
        <f t="shared" si="227"/>
        <v>9</v>
      </c>
      <c r="R1395" s="331" t="str">
        <f t="shared" si="228"/>
        <v>Gastos_custeados_por_captação</v>
      </c>
      <c r="S1395" s="331" t="str">
        <f>IF(D1395="","",IF(OR(D1395=Plano!$A$1,D1395=Plano!$B$1),"entrada","saída"))</f>
        <v>saída</v>
      </c>
      <c r="T1395" s="334" t="s">
        <v>994</v>
      </c>
      <c r="U1395" s="334">
        <v>1621</v>
      </c>
      <c r="V1395" s="439"/>
      <c r="W1395" s="439"/>
      <c r="X1395" s="439"/>
      <c r="Y1395" s="439"/>
      <c r="Z1395" s="439"/>
      <c r="AA1395" s="439"/>
      <c r="AB1395" s="439"/>
      <c r="AC1395" s="439"/>
      <c r="AD1395" s="439"/>
      <c r="AE1395" s="439"/>
      <c r="AF1395" s="439"/>
      <c r="AG1395" s="439"/>
      <c r="AH1395" s="439"/>
      <c r="AI1395" s="439"/>
      <c r="AJ1395" s="439"/>
      <c r="AK1395" s="439"/>
      <c r="AL1395" s="439"/>
      <c r="AM1395" s="439"/>
    </row>
    <row r="1396" spans="1:39" s="476" customFormat="1" ht="105" customHeight="1" x14ac:dyDescent="0.2">
      <c r="A1396" s="277">
        <f>IF(B1396="","",COUNT('Diário 5º PA'!$A$5:$A$2634)+COUNT('Diário 6º PA'!$A$5:$A$2246)+ROW()-4)</f>
        <v>3935</v>
      </c>
      <c r="B1396" s="278">
        <v>44469</v>
      </c>
      <c r="C1396" s="259">
        <v>44440</v>
      </c>
      <c r="D1396" s="255" t="s">
        <v>104</v>
      </c>
      <c r="E1396" s="255" t="s">
        <v>104</v>
      </c>
      <c r="F1396" s="257">
        <v>3201</v>
      </c>
      <c r="G1396" s="451" t="s">
        <v>5399</v>
      </c>
      <c r="H1396" s="250" t="s">
        <v>104</v>
      </c>
      <c r="I1396" s="250" t="s">
        <v>1263</v>
      </c>
      <c r="J1396" s="250" t="s">
        <v>1264</v>
      </c>
      <c r="K1396" s="255" t="s">
        <v>991</v>
      </c>
      <c r="L1396" s="250" t="s">
        <v>992</v>
      </c>
      <c r="M1396" s="277" t="s">
        <v>5400</v>
      </c>
      <c r="N1396" s="278">
        <v>44468</v>
      </c>
      <c r="O1396" s="329" t="s">
        <v>5370</v>
      </c>
      <c r="P1396" s="330">
        <f t="shared" si="226"/>
        <v>9</v>
      </c>
      <c r="Q1396" s="330">
        <f t="shared" si="227"/>
        <v>9</v>
      </c>
      <c r="R1396" s="331" t="str">
        <f t="shared" si="228"/>
        <v>Gastos_custeados_por_captação</v>
      </c>
      <c r="S1396" s="331" t="str">
        <f>IF(D1396="","",IF(OR(D1396=Plano!$A$1,D1396=Plano!$B$1),"entrada","saída"))</f>
        <v>saída</v>
      </c>
      <c r="T1396" s="334" t="s">
        <v>994</v>
      </c>
      <c r="U1396" s="334">
        <v>1622</v>
      </c>
      <c r="V1396" s="439"/>
      <c r="W1396" s="439"/>
      <c r="X1396" s="439"/>
      <c r="Y1396" s="439"/>
      <c r="Z1396" s="439"/>
      <c r="AA1396" s="439"/>
      <c r="AB1396" s="439"/>
      <c r="AC1396" s="439"/>
      <c r="AD1396" s="439"/>
      <c r="AE1396" s="439"/>
      <c r="AF1396" s="439"/>
      <c r="AG1396" s="439"/>
      <c r="AH1396" s="439"/>
      <c r="AI1396" s="439"/>
      <c r="AJ1396" s="439"/>
      <c r="AK1396" s="439"/>
      <c r="AL1396" s="439"/>
      <c r="AM1396" s="439"/>
    </row>
    <row r="1397" spans="1:39" s="476" customFormat="1" ht="86.25" customHeight="1" x14ac:dyDescent="0.2">
      <c r="A1397" s="277">
        <f>IF(B1397="","",COUNT('Diário 5º PA'!$A$5:$A$2634)+COUNT('Diário 6º PA'!$A$5:$A$2246)+ROW()-4)</f>
        <v>3936</v>
      </c>
      <c r="B1397" s="278">
        <v>44469</v>
      </c>
      <c r="C1397" s="259">
        <v>44440</v>
      </c>
      <c r="D1397" s="255" t="s">
        <v>104</v>
      </c>
      <c r="E1397" s="255" t="s">
        <v>104</v>
      </c>
      <c r="F1397" s="257">
        <v>3201</v>
      </c>
      <c r="G1397" s="451" t="s">
        <v>5401</v>
      </c>
      <c r="H1397" s="250" t="s">
        <v>104</v>
      </c>
      <c r="I1397" s="250" t="s">
        <v>1263</v>
      </c>
      <c r="J1397" s="250" t="s">
        <v>1264</v>
      </c>
      <c r="K1397" s="255" t="s">
        <v>991</v>
      </c>
      <c r="L1397" s="250" t="s">
        <v>992</v>
      </c>
      <c r="M1397" s="277" t="s">
        <v>5402</v>
      </c>
      <c r="N1397" s="278">
        <v>44468</v>
      </c>
      <c r="O1397" s="329" t="s">
        <v>5370</v>
      </c>
      <c r="P1397" s="330">
        <f t="shared" si="226"/>
        <v>9</v>
      </c>
      <c r="Q1397" s="330">
        <f t="shared" si="227"/>
        <v>9</v>
      </c>
      <c r="R1397" s="331" t="str">
        <f t="shared" si="228"/>
        <v>Gastos_custeados_por_captação</v>
      </c>
      <c r="S1397" s="331" t="str">
        <f>IF(D1397="","",IF(OR(D1397=Plano!$A$1,D1397=Plano!$B$1),"entrada","saída"))</f>
        <v>saída</v>
      </c>
      <c r="T1397" s="334" t="s">
        <v>994</v>
      </c>
      <c r="U1397" s="334">
        <v>1976</v>
      </c>
      <c r="V1397" s="439"/>
      <c r="W1397" s="439"/>
      <c r="X1397" s="439"/>
      <c r="Y1397" s="439"/>
      <c r="Z1397" s="439"/>
      <c r="AA1397" s="439"/>
      <c r="AB1397" s="439"/>
      <c r="AC1397" s="439"/>
      <c r="AD1397" s="439"/>
      <c r="AE1397" s="439"/>
      <c r="AF1397" s="439"/>
      <c r="AG1397" s="439"/>
      <c r="AH1397" s="439"/>
      <c r="AI1397" s="439"/>
      <c r="AJ1397" s="439"/>
      <c r="AK1397" s="439"/>
      <c r="AL1397" s="439"/>
      <c r="AM1397" s="439"/>
    </row>
    <row r="1398" spans="1:39" s="476" customFormat="1" ht="51.75" customHeight="1" x14ac:dyDescent="0.2">
      <c r="A1398" s="277">
        <f>IF(B1398="","",COUNT('Diário 5º PA'!$A$5:$A$2634)+COUNT('Diário 6º PA'!$A$5:$A$2246)+ROW()-4)</f>
        <v>3937</v>
      </c>
      <c r="B1398" s="278">
        <v>44469</v>
      </c>
      <c r="C1398" s="335">
        <v>44440</v>
      </c>
      <c r="D1398" s="255" t="s">
        <v>104</v>
      </c>
      <c r="E1398" s="255" t="s">
        <v>104</v>
      </c>
      <c r="F1398" s="258">
        <v>10.45</v>
      </c>
      <c r="G1398" s="450" t="s">
        <v>5413</v>
      </c>
      <c r="H1398" s="250" t="s">
        <v>104</v>
      </c>
      <c r="I1398" s="250" t="s">
        <v>949</v>
      </c>
      <c r="J1398" s="255" t="s">
        <v>950</v>
      </c>
      <c r="K1398" s="255" t="s">
        <v>951</v>
      </c>
      <c r="L1398" s="250" t="s">
        <v>947</v>
      </c>
      <c r="M1398" s="336" t="s">
        <v>114</v>
      </c>
      <c r="N1398" s="278">
        <v>44469</v>
      </c>
      <c r="O1398" s="329" t="s">
        <v>5370</v>
      </c>
      <c r="P1398" s="330">
        <f t="shared" si="226"/>
        <v>9</v>
      </c>
      <c r="Q1398" s="330">
        <f t="shared" si="227"/>
        <v>9</v>
      </c>
      <c r="R1398" s="331" t="str">
        <f t="shared" si="228"/>
        <v>Gastos_custeados_por_captação</v>
      </c>
      <c r="S1398" s="331" t="str">
        <f>IF(D1398="","",IF(OR(D1398=Plano!$A$1,D1398=Plano!$B$1),"entrada","saída"))</f>
        <v>saída</v>
      </c>
      <c r="T1398" s="332" t="s">
        <v>114</v>
      </c>
      <c r="U1398" s="332" t="s">
        <v>114</v>
      </c>
      <c r="V1398" s="439"/>
      <c r="W1398" s="439"/>
      <c r="X1398" s="439"/>
      <c r="Y1398" s="439"/>
      <c r="Z1398" s="439"/>
      <c r="AA1398" s="439"/>
      <c r="AB1398" s="439"/>
      <c r="AC1398" s="439"/>
      <c r="AD1398" s="439"/>
      <c r="AE1398" s="439"/>
      <c r="AF1398" s="439"/>
      <c r="AG1398" s="439"/>
      <c r="AH1398" s="439"/>
      <c r="AI1398" s="439"/>
      <c r="AJ1398" s="439"/>
      <c r="AK1398" s="439"/>
      <c r="AL1398" s="439"/>
      <c r="AM1398" s="439"/>
    </row>
    <row r="1399" spans="1:39" s="476" customFormat="1" ht="51.75" customHeight="1" x14ac:dyDescent="0.2">
      <c r="A1399" s="277">
        <f>IF(B1399="","",COUNT('Diário 5º PA'!$A$5:$A$2634)+COUNT('Diário 6º PA'!$A$5:$A$2246)+ROW()-4)</f>
        <v>3938</v>
      </c>
      <c r="B1399" s="278">
        <v>44469</v>
      </c>
      <c r="C1399" s="335">
        <v>44440</v>
      </c>
      <c r="D1399" s="255" t="s">
        <v>104</v>
      </c>
      <c r="E1399" s="255" t="s">
        <v>104</v>
      </c>
      <c r="F1399" s="258">
        <v>10.45</v>
      </c>
      <c r="G1399" s="450" t="s">
        <v>5413</v>
      </c>
      <c r="H1399" s="250" t="s">
        <v>104</v>
      </c>
      <c r="I1399" s="250" t="s">
        <v>949</v>
      </c>
      <c r="J1399" s="255" t="s">
        <v>950</v>
      </c>
      <c r="K1399" s="255" t="s">
        <v>951</v>
      </c>
      <c r="L1399" s="250" t="s">
        <v>947</v>
      </c>
      <c r="M1399" s="336" t="s">
        <v>114</v>
      </c>
      <c r="N1399" s="278">
        <v>44469</v>
      </c>
      <c r="O1399" s="329" t="s">
        <v>5370</v>
      </c>
      <c r="P1399" s="330">
        <f t="shared" si="226"/>
        <v>9</v>
      </c>
      <c r="Q1399" s="330">
        <f t="shared" si="227"/>
        <v>9</v>
      </c>
      <c r="R1399" s="331" t="str">
        <f t="shared" si="228"/>
        <v>Gastos_custeados_por_captação</v>
      </c>
      <c r="S1399" s="331" t="str">
        <f>IF(D1399="","",IF(OR(D1399=Plano!$A$1,D1399=Plano!$B$1),"entrada","saída"))</f>
        <v>saída</v>
      </c>
      <c r="T1399" s="332" t="s">
        <v>114</v>
      </c>
      <c r="U1399" s="332" t="s">
        <v>114</v>
      </c>
      <c r="V1399" s="439"/>
      <c r="W1399" s="439"/>
      <c r="X1399" s="439"/>
      <c r="Y1399" s="439"/>
      <c r="Z1399" s="439"/>
      <c r="AA1399" s="439"/>
      <c r="AB1399" s="439"/>
      <c r="AC1399" s="439"/>
      <c r="AD1399" s="439"/>
      <c r="AE1399" s="439"/>
      <c r="AF1399" s="439"/>
      <c r="AG1399" s="439"/>
      <c r="AH1399" s="439"/>
      <c r="AI1399" s="439"/>
      <c r="AJ1399" s="439"/>
      <c r="AK1399" s="439"/>
      <c r="AL1399" s="439"/>
      <c r="AM1399" s="439"/>
    </row>
    <row r="1400" spans="1:39" s="476" customFormat="1" ht="51.75" customHeight="1" x14ac:dyDescent="0.2">
      <c r="A1400" s="277">
        <f>IF(B1400="","",COUNT('Diário 5º PA'!$A$5:$A$2634)+COUNT('Diário 6º PA'!$A$5:$A$2246)+ROW()-4)</f>
        <v>3939</v>
      </c>
      <c r="B1400" s="278">
        <v>44469</v>
      </c>
      <c r="C1400" s="335">
        <v>44440</v>
      </c>
      <c r="D1400" s="255" t="s">
        <v>104</v>
      </c>
      <c r="E1400" s="255" t="s">
        <v>104</v>
      </c>
      <c r="F1400" s="258">
        <v>10.45</v>
      </c>
      <c r="G1400" s="450" t="s">
        <v>5413</v>
      </c>
      <c r="H1400" s="250" t="s">
        <v>104</v>
      </c>
      <c r="I1400" s="250" t="s">
        <v>949</v>
      </c>
      <c r="J1400" s="255" t="s">
        <v>950</v>
      </c>
      <c r="K1400" s="255" t="s">
        <v>951</v>
      </c>
      <c r="L1400" s="250" t="s">
        <v>947</v>
      </c>
      <c r="M1400" s="336" t="s">
        <v>114</v>
      </c>
      <c r="N1400" s="278">
        <v>44469</v>
      </c>
      <c r="O1400" s="329" t="s">
        <v>5370</v>
      </c>
      <c r="P1400" s="330">
        <f t="shared" si="226"/>
        <v>9</v>
      </c>
      <c r="Q1400" s="330">
        <f t="shared" si="227"/>
        <v>9</v>
      </c>
      <c r="R1400" s="331" t="str">
        <f t="shared" si="228"/>
        <v>Gastos_custeados_por_captação</v>
      </c>
      <c r="S1400" s="331" t="str">
        <f>IF(D1400="","",IF(OR(D1400=Plano!$A$1,D1400=Plano!$B$1),"entrada","saída"))</f>
        <v>saída</v>
      </c>
      <c r="T1400" s="332" t="s">
        <v>114</v>
      </c>
      <c r="U1400" s="332" t="s">
        <v>114</v>
      </c>
      <c r="V1400" s="439"/>
      <c r="W1400" s="439"/>
      <c r="X1400" s="439"/>
      <c r="Y1400" s="439"/>
      <c r="Z1400" s="439"/>
      <c r="AA1400" s="439"/>
      <c r="AB1400" s="439"/>
      <c r="AC1400" s="439"/>
      <c r="AD1400" s="439"/>
      <c r="AE1400" s="439"/>
      <c r="AF1400" s="439"/>
      <c r="AG1400" s="439"/>
      <c r="AH1400" s="439"/>
      <c r="AI1400" s="439"/>
      <c r="AJ1400" s="439"/>
      <c r="AK1400" s="439"/>
      <c r="AL1400" s="439"/>
      <c r="AM1400" s="439"/>
    </row>
    <row r="1401" spans="1:39" s="476" customFormat="1" ht="51.75" customHeight="1" x14ac:dyDescent="0.2">
      <c r="A1401" s="277">
        <f>IF(B1401="","",COUNT('Diário 5º PA'!$A$5:$A$2634)+COUNT('Diário 6º PA'!$A$5:$A$2246)+ROW()-4)</f>
        <v>3940</v>
      </c>
      <c r="B1401" s="278">
        <v>44469</v>
      </c>
      <c r="C1401" s="335">
        <v>44440</v>
      </c>
      <c r="D1401" s="255" t="s">
        <v>104</v>
      </c>
      <c r="E1401" s="255" t="s">
        <v>104</v>
      </c>
      <c r="F1401" s="258">
        <v>10.45</v>
      </c>
      <c r="G1401" s="450" t="s">
        <v>5413</v>
      </c>
      <c r="H1401" s="250" t="s">
        <v>104</v>
      </c>
      <c r="I1401" s="250" t="s">
        <v>949</v>
      </c>
      <c r="J1401" s="255" t="s">
        <v>950</v>
      </c>
      <c r="K1401" s="255" t="s">
        <v>951</v>
      </c>
      <c r="L1401" s="250" t="s">
        <v>947</v>
      </c>
      <c r="M1401" s="336" t="s">
        <v>114</v>
      </c>
      <c r="N1401" s="278">
        <v>44469</v>
      </c>
      <c r="O1401" s="329" t="s">
        <v>5370</v>
      </c>
      <c r="P1401" s="330">
        <f t="shared" si="226"/>
        <v>9</v>
      </c>
      <c r="Q1401" s="330">
        <f t="shared" si="227"/>
        <v>9</v>
      </c>
      <c r="R1401" s="331" t="str">
        <f t="shared" si="228"/>
        <v>Gastos_custeados_por_captação</v>
      </c>
      <c r="S1401" s="331" t="str">
        <f>IF(D1401="","",IF(OR(D1401=Plano!$A$1,D1401=Plano!$B$1),"entrada","saída"))</f>
        <v>saída</v>
      </c>
      <c r="T1401" s="332" t="s">
        <v>114</v>
      </c>
      <c r="U1401" s="332" t="s">
        <v>114</v>
      </c>
      <c r="V1401" s="439"/>
      <c r="W1401" s="439"/>
      <c r="X1401" s="439"/>
      <c r="Y1401" s="439"/>
      <c r="Z1401" s="439"/>
      <c r="AA1401" s="439"/>
      <c r="AB1401" s="439"/>
      <c r="AC1401" s="439"/>
      <c r="AD1401" s="439"/>
      <c r="AE1401" s="439"/>
      <c r="AF1401" s="439"/>
      <c r="AG1401" s="439"/>
      <c r="AH1401" s="439"/>
      <c r="AI1401" s="439"/>
      <c r="AJ1401" s="439"/>
      <c r="AK1401" s="439"/>
      <c r="AL1401" s="439"/>
      <c r="AM1401" s="439"/>
    </row>
    <row r="1402" spans="1:39" s="476" customFormat="1" ht="51.75" customHeight="1" x14ac:dyDescent="0.2">
      <c r="A1402" s="277">
        <f>IF(B1402="","",COUNT('Diário 5º PA'!$A$5:$A$2634)+COUNT('Diário 6º PA'!$A$5:$A$2246)+ROW()-4)</f>
        <v>3941</v>
      </c>
      <c r="B1402" s="278">
        <v>44469</v>
      </c>
      <c r="C1402" s="335">
        <v>44440</v>
      </c>
      <c r="D1402" s="255" t="s">
        <v>104</v>
      </c>
      <c r="E1402" s="255" t="s">
        <v>104</v>
      </c>
      <c r="F1402" s="258">
        <v>10.45</v>
      </c>
      <c r="G1402" s="450" t="s">
        <v>5413</v>
      </c>
      <c r="H1402" s="250" t="s">
        <v>104</v>
      </c>
      <c r="I1402" s="250" t="s">
        <v>949</v>
      </c>
      <c r="J1402" s="255" t="s">
        <v>950</v>
      </c>
      <c r="K1402" s="255" t="s">
        <v>951</v>
      </c>
      <c r="L1402" s="250" t="s">
        <v>947</v>
      </c>
      <c r="M1402" s="336" t="s">
        <v>114</v>
      </c>
      <c r="N1402" s="278">
        <v>44469</v>
      </c>
      <c r="O1402" s="329" t="s">
        <v>5370</v>
      </c>
      <c r="P1402" s="330">
        <f t="shared" ref="P1402:P1404" si="229">IF(B1402=0,0,IF(YEAR(B1402)=$Q$1,MONTH(B1402)-$P$1+1,(YEAR(B1402)-$Q$1)*12-$P$1+1+MONTH(B1402)))</f>
        <v>9</v>
      </c>
      <c r="Q1402" s="330">
        <f t="shared" ref="Q1402:Q1404" si="230">IF(C1402=0,0,IF(YEAR(C1402)=$Q$1,MONTH(C1402)-$P$1+1,(YEAR(C1402)-$Q$1)*12-$P$1+1+MONTH(C1402)))</f>
        <v>9</v>
      </c>
      <c r="R1402" s="331" t="str">
        <f t="shared" ref="R1402:R1404" si="231">SUBSTITUTE(D1402," ","_")</f>
        <v>Gastos_custeados_por_captação</v>
      </c>
      <c r="S1402" s="331" t="str">
        <f>IF(D1402="","",IF(OR(D1402=Plano!$A$1,D1402=Plano!$B$1),"entrada","saída"))</f>
        <v>saída</v>
      </c>
      <c r="T1402" s="332" t="s">
        <v>114</v>
      </c>
      <c r="U1402" s="332" t="s">
        <v>114</v>
      </c>
      <c r="V1402" s="439"/>
      <c r="W1402" s="439"/>
      <c r="X1402" s="439"/>
      <c r="Y1402" s="439"/>
      <c r="Z1402" s="439"/>
      <c r="AA1402" s="439"/>
      <c r="AB1402" s="439"/>
      <c r="AC1402" s="439"/>
      <c r="AD1402" s="439"/>
      <c r="AE1402" s="439"/>
      <c r="AF1402" s="439"/>
      <c r="AG1402" s="439"/>
      <c r="AH1402" s="439"/>
      <c r="AI1402" s="439"/>
      <c r="AJ1402" s="439"/>
      <c r="AK1402" s="439"/>
      <c r="AL1402" s="439"/>
      <c r="AM1402" s="439"/>
    </row>
    <row r="1403" spans="1:39" s="476" customFormat="1" ht="51.75" customHeight="1" x14ac:dyDescent="0.2">
      <c r="A1403" s="277">
        <f>IF(B1403="","",COUNT('Diário 5º PA'!$A$5:$A$2634)+COUNT('Diário 6º PA'!$A$5:$A$2246)+ROW()-4)</f>
        <v>3942</v>
      </c>
      <c r="B1403" s="278">
        <v>44469</v>
      </c>
      <c r="C1403" s="335">
        <v>44440</v>
      </c>
      <c r="D1403" s="255" t="s">
        <v>104</v>
      </c>
      <c r="E1403" s="255" t="s">
        <v>104</v>
      </c>
      <c r="F1403" s="258">
        <v>10.45</v>
      </c>
      <c r="G1403" s="450" t="s">
        <v>5413</v>
      </c>
      <c r="H1403" s="250" t="s">
        <v>104</v>
      </c>
      <c r="I1403" s="250" t="s">
        <v>949</v>
      </c>
      <c r="J1403" s="255" t="s">
        <v>950</v>
      </c>
      <c r="K1403" s="255" t="s">
        <v>951</v>
      </c>
      <c r="L1403" s="250" t="s">
        <v>947</v>
      </c>
      <c r="M1403" s="336" t="s">
        <v>114</v>
      </c>
      <c r="N1403" s="278">
        <v>44469</v>
      </c>
      <c r="O1403" s="329" t="s">
        <v>5370</v>
      </c>
      <c r="P1403" s="330">
        <f t="shared" si="229"/>
        <v>9</v>
      </c>
      <c r="Q1403" s="330">
        <f t="shared" si="230"/>
        <v>9</v>
      </c>
      <c r="R1403" s="331" t="str">
        <f t="shared" si="231"/>
        <v>Gastos_custeados_por_captação</v>
      </c>
      <c r="S1403" s="331" t="str">
        <f>IF(D1403="","",IF(OR(D1403=Plano!$A$1,D1403=Plano!$B$1),"entrada","saída"))</f>
        <v>saída</v>
      </c>
      <c r="T1403" s="332" t="s">
        <v>114</v>
      </c>
      <c r="U1403" s="332" t="s">
        <v>114</v>
      </c>
      <c r="V1403" s="439"/>
      <c r="W1403" s="439"/>
      <c r="X1403" s="439"/>
      <c r="Y1403" s="439"/>
      <c r="Z1403" s="439"/>
      <c r="AA1403" s="439"/>
      <c r="AB1403" s="439"/>
      <c r="AC1403" s="439"/>
      <c r="AD1403" s="439"/>
      <c r="AE1403" s="439"/>
      <c r="AF1403" s="439"/>
      <c r="AG1403" s="439"/>
      <c r="AH1403" s="439"/>
      <c r="AI1403" s="439"/>
      <c r="AJ1403" s="439"/>
      <c r="AK1403" s="439"/>
      <c r="AL1403" s="439"/>
      <c r="AM1403" s="439"/>
    </row>
    <row r="1404" spans="1:39" s="476" customFormat="1" ht="51.75" customHeight="1" x14ac:dyDescent="0.2">
      <c r="A1404" s="277">
        <f>IF(B1404="","",COUNT('Diário 5º PA'!$A$5:$A$2634)+COUNT('Diário 6º PA'!$A$5:$A$2246)+ROW()-4)</f>
        <v>3943</v>
      </c>
      <c r="B1404" s="278">
        <v>44469</v>
      </c>
      <c r="C1404" s="335">
        <v>44440</v>
      </c>
      <c r="D1404" s="255" t="s">
        <v>104</v>
      </c>
      <c r="E1404" s="255" t="s">
        <v>104</v>
      </c>
      <c r="F1404" s="258">
        <v>10.45</v>
      </c>
      <c r="G1404" s="450" t="s">
        <v>5413</v>
      </c>
      <c r="H1404" s="250" t="s">
        <v>104</v>
      </c>
      <c r="I1404" s="250" t="s">
        <v>949</v>
      </c>
      <c r="J1404" s="255" t="s">
        <v>950</v>
      </c>
      <c r="K1404" s="255" t="s">
        <v>951</v>
      </c>
      <c r="L1404" s="250" t="s">
        <v>947</v>
      </c>
      <c r="M1404" s="336" t="s">
        <v>114</v>
      </c>
      <c r="N1404" s="278">
        <v>44469</v>
      </c>
      <c r="O1404" s="329" t="s">
        <v>5370</v>
      </c>
      <c r="P1404" s="330">
        <f t="shared" si="229"/>
        <v>9</v>
      </c>
      <c r="Q1404" s="330">
        <f t="shared" si="230"/>
        <v>9</v>
      </c>
      <c r="R1404" s="331" t="str">
        <f t="shared" si="231"/>
        <v>Gastos_custeados_por_captação</v>
      </c>
      <c r="S1404" s="331" t="str">
        <f>IF(D1404="","",IF(OR(D1404=Plano!$A$1,D1404=Plano!$B$1),"entrada","saída"))</f>
        <v>saída</v>
      </c>
      <c r="T1404" s="332" t="s">
        <v>114</v>
      </c>
      <c r="U1404" s="332" t="s">
        <v>114</v>
      </c>
      <c r="V1404" s="439"/>
      <c r="W1404" s="439"/>
      <c r="X1404" s="439"/>
      <c r="Y1404" s="439"/>
      <c r="Z1404" s="439"/>
      <c r="AA1404" s="439"/>
      <c r="AB1404" s="439"/>
      <c r="AC1404" s="439"/>
      <c r="AD1404" s="439"/>
      <c r="AE1404" s="439"/>
      <c r="AF1404" s="439"/>
      <c r="AG1404" s="439"/>
      <c r="AH1404" s="439"/>
      <c r="AI1404" s="439"/>
      <c r="AJ1404" s="439"/>
      <c r="AK1404" s="439"/>
      <c r="AL1404" s="439"/>
      <c r="AM1404" s="439"/>
    </row>
    <row r="1405" spans="1:39" s="478" customFormat="1" ht="51.75" customHeight="1" x14ac:dyDescent="0.2">
      <c r="A1405" s="277">
        <f>IF(B1405="","",COUNT('Diário 5º PA'!$A$5:$A$2634)+COUNT('Diário 6º PA'!$A$5:$A$2246)+ROW()-4)</f>
        <v>3944</v>
      </c>
      <c r="B1405" s="278">
        <v>44469</v>
      </c>
      <c r="C1405" s="335">
        <v>44440</v>
      </c>
      <c r="D1405" s="255" t="s">
        <v>104</v>
      </c>
      <c r="E1405" s="255" t="s">
        <v>104</v>
      </c>
      <c r="F1405" s="258">
        <v>4500</v>
      </c>
      <c r="G1405" s="450" t="s">
        <v>5501</v>
      </c>
      <c r="H1405" s="250" t="s">
        <v>104</v>
      </c>
      <c r="I1405" s="252" t="s">
        <v>2418</v>
      </c>
      <c r="J1405" s="252" t="s">
        <v>850</v>
      </c>
      <c r="K1405" s="255" t="s">
        <v>1015</v>
      </c>
      <c r="L1405" s="250" t="s">
        <v>1177</v>
      </c>
      <c r="M1405" s="255" t="s">
        <v>114</v>
      </c>
      <c r="N1405" s="278">
        <v>44469</v>
      </c>
      <c r="O1405" s="329" t="s">
        <v>5377</v>
      </c>
      <c r="P1405" s="330">
        <f t="shared" ref="P1405:P1408" si="232">IF(B1405=0,0,IF(YEAR(B1405)=$Q$1,MONTH(B1405)-$P$1+1,(YEAR(B1405)-$Q$1)*12-$P$1+1+MONTH(B1405)))</f>
        <v>9</v>
      </c>
      <c r="Q1405" s="330">
        <f t="shared" ref="Q1405:Q1408" si="233">IF(C1405=0,0,IF(YEAR(C1405)=$Q$1,MONTH(C1405)-$P$1+1,(YEAR(C1405)-$Q$1)*12-$P$1+1+MONTH(C1405)))</f>
        <v>9</v>
      </c>
      <c r="R1405" s="331" t="str">
        <f t="shared" ref="R1405:R1408" si="234">SUBSTITUTE(D1405," ","_")</f>
        <v>Gastos_custeados_por_captação</v>
      </c>
      <c r="S1405" s="331" t="str">
        <f>IF(D1405="","",IF(OR(D1405=Plano!$A$1,D1405=Plano!$B$1),"entrada","saída"))</f>
        <v>saída</v>
      </c>
      <c r="T1405" s="332" t="s">
        <v>114</v>
      </c>
      <c r="U1405" s="332" t="s">
        <v>114</v>
      </c>
      <c r="V1405" s="439"/>
      <c r="W1405" s="439"/>
      <c r="X1405" s="439"/>
      <c r="Y1405" s="439"/>
      <c r="Z1405" s="439"/>
      <c r="AA1405" s="439"/>
      <c r="AB1405" s="439"/>
      <c r="AC1405" s="439"/>
      <c r="AD1405" s="439"/>
      <c r="AE1405" s="439"/>
      <c r="AF1405" s="439"/>
      <c r="AG1405" s="439"/>
      <c r="AH1405" s="439"/>
      <c r="AI1405" s="439"/>
      <c r="AJ1405" s="439"/>
      <c r="AK1405" s="439"/>
      <c r="AL1405" s="439"/>
      <c r="AM1405" s="439"/>
    </row>
    <row r="1406" spans="1:39" s="478" customFormat="1" ht="51.75" customHeight="1" x14ac:dyDescent="0.2">
      <c r="A1406" s="277">
        <f>IF(B1406="","",COUNT('Diário 5º PA'!$A$5:$A$2634)+COUNT('Diário 6º PA'!$A$5:$A$2246)+ROW()-4)</f>
        <v>3945</v>
      </c>
      <c r="B1406" s="278">
        <v>44469</v>
      </c>
      <c r="C1406" s="335">
        <v>44440</v>
      </c>
      <c r="D1406" s="255" t="s">
        <v>104</v>
      </c>
      <c r="E1406" s="255" t="s">
        <v>104</v>
      </c>
      <c r="F1406" s="258">
        <v>4350</v>
      </c>
      <c r="G1406" s="450" t="s">
        <v>5502</v>
      </c>
      <c r="H1406" s="250" t="s">
        <v>104</v>
      </c>
      <c r="I1406" s="252" t="s">
        <v>2418</v>
      </c>
      <c r="J1406" s="252" t="s">
        <v>850</v>
      </c>
      <c r="K1406" s="255" t="s">
        <v>1015</v>
      </c>
      <c r="L1406" s="250" t="s">
        <v>1177</v>
      </c>
      <c r="M1406" s="255" t="s">
        <v>114</v>
      </c>
      <c r="N1406" s="278">
        <v>44469</v>
      </c>
      <c r="O1406" s="329" t="s">
        <v>5377</v>
      </c>
      <c r="P1406" s="330">
        <f t="shared" si="232"/>
        <v>9</v>
      </c>
      <c r="Q1406" s="330">
        <f t="shared" si="233"/>
        <v>9</v>
      </c>
      <c r="R1406" s="331" t="str">
        <f t="shared" si="234"/>
        <v>Gastos_custeados_por_captação</v>
      </c>
      <c r="S1406" s="331" t="str">
        <f>IF(D1406="","",IF(OR(D1406=Plano!$A$1,D1406=Plano!$B$1),"entrada","saída"))</f>
        <v>saída</v>
      </c>
      <c r="T1406" s="332" t="s">
        <v>114</v>
      </c>
      <c r="U1406" s="332" t="s">
        <v>114</v>
      </c>
      <c r="V1406" s="439"/>
      <c r="W1406" s="439"/>
      <c r="X1406" s="439"/>
      <c r="Y1406" s="439"/>
      <c r="Z1406" s="439"/>
      <c r="AA1406" s="439"/>
      <c r="AB1406" s="439"/>
      <c r="AC1406" s="439"/>
      <c r="AD1406" s="439"/>
      <c r="AE1406" s="439"/>
      <c r="AF1406" s="439"/>
      <c r="AG1406" s="439"/>
      <c r="AH1406" s="439"/>
      <c r="AI1406" s="439"/>
      <c r="AJ1406" s="439"/>
      <c r="AK1406" s="439"/>
      <c r="AL1406" s="439"/>
      <c r="AM1406" s="439"/>
    </row>
    <row r="1407" spans="1:39" s="478" customFormat="1" ht="51.75" customHeight="1" x14ac:dyDescent="0.2">
      <c r="A1407" s="277">
        <f>IF(B1407="","",COUNT('Diário 5º PA'!$A$5:$A$2634)+COUNT('Diário 6º PA'!$A$5:$A$2246)+ROW()-4)</f>
        <v>3946</v>
      </c>
      <c r="B1407" s="278">
        <v>44469</v>
      </c>
      <c r="C1407" s="335">
        <v>44440</v>
      </c>
      <c r="D1407" s="255" t="s">
        <v>104</v>
      </c>
      <c r="E1407" s="255" t="s">
        <v>104</v>
      </c>
      <c r="F1407" s="258">
        <v>5000</v>
      </c>
      <c r="G1407" s="450" t="s">
        <v>5503</v>
      </c>
      <c r="H1407" s="250" t="s">
        <v>104</v>
      </c>
      <c r="I1407" s="252" t="s">
        <v>2418</v>
      </c>
      <c r="J1407" s="252" t="s">
        <v>850</v>
      </c>
      <c r="K1407" s="255" t="s">
        <v>1015</v>
      </c>
      <c r="L1407" s="250" t="s">
        <v>1177</v>
      </c>
      <c r="M1407" s="255" t="s">
        <v>114</v>
      </c>
      <c r="N1407" s="278">
        <v>44469</v>
      </c>
      <c r="O1407" s="329" t="s">
        <v>5377</v>
      </c>
      <c r="P1407" s="330">
        <f t="shared" si="232"/>
        <v>9</v>
      </c>
      <c r="Q1407" s="330">
        <f t="shared" si="233"/>
        <v>9</v>
      </c>
      <c r="R1407" s="331" t="str">
        <f t="shared" si="234"/>
        <v>Gastos_custeados_por_captação</v>
      </c>
      <c r="S1407" s="331" t="str">
        <f>IF(D1407="","",IF(OR(D1407=Plano!$A$1,D1407=Plano!$B$1),"entrada","saída"))</f>
        <v>saída</v>
      </c>
      <c r="T1407" s="332" t="s">
        <v>114</v>
      </c>
      <c r="U1407" s="332" t="s">
        <v>114</v>
      </c>
      <c r="V1407" s="439"/>
      <c r="W1407" s="439"/>
      <c r="X1407" s="439"/>
      <c r="Y1407" s="439"/>
      <c r="Z1407" s="439"/>
      <c r="AA1407" s="439"/>
      <c r="AB1407" s="439"/>
      <c r="AC1407" s="439"/>
      <c r="AD1407" s="439"/>
      <c r="AE1407" s="439"/>
      <c r="AF1407" s="439"/>
      <c r="AG1407" s="439"/>
      <c r="AH1407" s="439"/>
      <c r="AI1407" s="439"/>
      <c r="AJ1407" s="439"/>
      <c r="AK1407" s="439"/>
      <c r="AL1407" s="439"/>
      <c r="AM1407" s="439"/>
    </row>
    <row r="1408" spans="1:39" s="478" customFormat="1" ht="81" customHeight="1" x14ac:dyDescent="0.2">
      <c r="A1408" s="277">
        <f>IF(B1408="","",COUNT('Diário 5º PA'!$A$5:$A$2634)+COUNT('Diário 6º PA'!$A$5:$A$2246)+ROW()-4)</f>
        <v>3947</v>
      </c>
      <c r="B1408" s="278">
        <v>44469</v>
      </c>
      <c r="C1408" s="249">
        <v>44440</v>
      </c>
      <c r="D1408" s="250" t="s">
        <v>104</v>
      </c>
      <c r="E1408" s="250" t="s">
        <v>104</v>
      </c>
      <c r="F1408" s="251">
        <v>12775.14</v>
      </c>
      <c r="G1408" s="452" t="s">
        <v>5205</v>
      </c>
      <c r="H1408" s="250" t="s">
        <v>104</v>
      </c>
      <c r="I1408" s="250" t="s">
        <v>5504</v>
      </c>
      <c r="J1408" s="440" t="s">
        <v>5206</v>
      </c>
      <c r="K1408" s="255" t="s">
        <v>1015</v>
      </c>
      <c r="L1408" s="250" t="s">
        <v>992</v>
      </c>
      <c r="M1408" s="336">
        <v>322030</v>
      </c>
      <c r="N1408" s="278">
        <v>44468</v>
      </c>
      <c r="O1408" s="329" t="s">
        <v>5377</v>
      </c>
      <c r="P1408" s="330">
        <f t="shared" si="232"/>
        <v>9</v>
      </c>
      <c r="Q1408" s="330">
        <f t="shared" si="233"/>
        <v>9</v>
      </c>
      <c r="R1408" s="331" t="str">
        <f t="shared" si="234"/>
        <v>Gastos_custeados_por_captação</v>
      </c>
      <c r="S1408" s="331" t="str">
        <f>IF(D1408="","",IF(OR(D1408=Plano!$A$1,D1408=Plano!$B$1),"entrada","saída"))</f>
        <v>saída</v>
      </c>
      <c r="T1408" s="332" t="s">
        <v>1059</v>
      </c>
      <c r="U1408" s="332">
        <v>1998</v>
      </c>
      <c r="V1408" s="439"/>
      <c r="W1408" s="439"/>
      <c r="X1408" s="439"/>
      <c r="Y1408" s="439"/>
      <c r="Z1408" s="439"/>
      <c r="AA1408" s="439"/>
      <c r="AB1408" s="439"/>
      <c r="AC1408" s="439"/>
      <c r="AD1408" s="439"/>
      <c r="AE1408" s="439"/>
      <c r="AF1408" s="439"/>
      <c r="AG1408" s="439"/>
      <c r="AH1408" s="439"/>
      <c r="AI1408" s="439"/>
      <c r="AJ1408" s="439"/>
      <c r="AK1408" s="439"/>
      <c r="AL1408" s="439"/>
      <c r="AM1408" s="439"/>
    </row>
    <row r="1409" spans="1:39" s="487" customFormat="1" ht="64.5" customHeight="1" x14ac:dyDescent="0.2">
      <c r="A1409" s="277">
        <f>IF(B1409="","",COUNT('Diário 5º PA'!$A$5:$A$2634)+COUNT('Diário 6º PA'!$A$5:$A$2246)+ROW()-4)</f>
        <v>3948</v>
      </c>
      <c r="B1409" s="278">
        <v>44469</v>
      </c>
      <c r="C1409" s="249">
        <v>44440</v>
      </c>
      <c r="D1409" s="250" t="s">
        <v>77</v>
      </c>
      <c r="E1409" s="255" t="s">
        <v>147</v>
      </c>
      <c r="F1409" s="251">
        <v>25.04</v>
      </c>
      <c r="G1409" s="452" t="s">
        <v>5553</v>
      </c>
      <c r="H1409" s="250" t="s">
        <v>104</v>
      </c>
      <c r="I1409" s="250" t="s">
        <v>2418</v>
      </c>
      <c r="J1409" s="255" t="s">
        <v>850</v>
      </c>
      <c r="K1409" s="255" t="s">
        <v>946</v>
      </c>
      <c r="L1409" s="250" t="s">
        <v>947</v>
      </c>
      <c r="M1409" s="336" t="s">
        <v>114</v>
      </c>
      <c r="N1409" s="278">
        <v>44469</v>
      </c>
      <c r="O1409" s="329" t="s">
        <v>69</v>
      </c>
      <c r="P1409" s="330">
        <f t="shared" ref="P1409" si="235">IF(B1409=0,0,IF(YEAR(B1409)=$Q$1,MONTH(B1409)-$P$1+1,(YEAR(B1409)-$Q$1)*12-$P$1+1+MONTH(B1409)))</f>
        <v>9</v>
      </c>
      <c r="Q1409" s="330">
        <f t="shared" ref="Q1409" si="236">IF(C1409=0,0,IF(YEAR(C1409)=$Q$1,MONTH(C1409)-$P$1+1,(YEAR(C1409)-$Q$1)*12-$P$1+1+MONTH(C1409)))</f>
        <v>9</v>
      </c>
      <c r="R1409" s="331" t="str">
        <f t="shared" ref="R1409" si="237">SUBSTITUTE(D1409," ","_")</f>
        <v>Receitas</v>
      </c>
      <c r="S1409" s="331" t="str">
        <f>IF(D1409="","",IF(OR(D1409=Plano!$A$1,D1409=Plano!$B$1),"entrada","saída"))</f>
        <v>entrada</v>
      </c>
      <c r="T1409" s="332" t="s">
        <v>114</v>
      </c>
      <c r="U1409" s="332" t="s">
        <v>114</v>
      </c>
      <c r="V1409" s="439"/>
      <c r="W1409" s="439"/>
      <c r="X1409" s="439"/>
      <c r="Y1409" s="439"/>
      <c r="Z1409" s="439"/>
      <c r="AA1409" s="439"/>
      <c r="AB1409" s="439"/>
      <c r="AC1409" s="439"/>
      <c r="AD1409" s="439"/>
      <c r="AE1409" s="439"/>
      <c r="AF1409" s="439"/>
      <c r="AG1409" s="439"/>
      <c r="AH1409" s="439"/>
      <c r="AI1409" s="439"/>
      <c r="AJ1409" s="439"/>
      <c r="AK1409" s="439"/>
      <c r="AL1409" s="439"/>
      <c r="AM1409" s="439"/>
    </row>
    <row r="1410" spans="1:39" ht="54.75" customHeight="1" x14ac:dyDescent="0.2">
      <c r="A1410" s="277">
        <f>IF(B1410="","",COUNT('Diário 5º PA'!$A$5:$A$2634)+COUNT('Diário 6º PA'!$A$5:$A$2246)+ROW()-4)</f>
        <v>3949</v>
      </c>
      <c r="B1410" s="278">
        <v>44469</v>
      </c>
      <c r="C1410" s="335">
        <v>44440</v>
      </c>
      <c r="D1410" s="255" t="s">
        <v>85</v>
      </c>
      <c r="E1410" s="255" t="s">
        <v>85</v>
      </c>
      <c r="F1410" s="258">
        <v>8411.84</v>
      </c>
      <c r="G1410" s="450" t="s">
        <v>5358</v>
      </c>
      <c r="H1410" s="255" t="s">
        <v>114</v>
      </c>
      <c r="I1410" s="250" t="s">
        <v>945</v>
      </c>
      <c r="J1410" s="255" t="s">
        <v>850</v>
      </c>
      <c r="K1410" s="255" t="s">
        <v>946</v>
      </c>
      <c r="L1410" s="250" t="s">
        <v>947</v>
      </c>
      <c r="M1410" s="336" t="s">
        <v>114</v>
      </c>
      <c r="N1410" s="278">
        <v>44469</v>
      </c>
      <c r="O1410" s="329" t="s">
        <v>67</v>
      </c>
      <c r="P1410" s="330">
        <f t="shared" ref="P1410:P1411" si="238">IF(B1410=0,0,IF(YEAR(B1410)=$Q$1,MONTH(B1410)-$P$1+1,(YEAR(B1410)-$Q$1)*12-$P$1+1+MONTH(B1410)))</f>
        <v>9</v>
      </c>
      <c r="Q1410" s="330">
        <f t="shared" ref="Q1410:Q1411" si="239">IF(C1410=0,0,IF(YEAR(C1410)=$Q$1,MONTH(C1410)-$P$1+1,(YEAR(C1410)-$Q$1)*12-$P$1+1+MONTH(C1410)))</f>
        <v>9</v>
      </c>
      <c r="R1410" s="331" t="str">
        <f t="shared" ref="R1410:R1411" si="240">SUBSTITUTE(D1410," ","_")</f>
        <v>Rendimentos_de_Aplicações_Fin.</v>
      </c>
      <c r="S1410" s="331" t="str">
        <f>IF(D1410="","",IF(OR(D1410=Plano!$A$1,D1410=Plano!$B$1),"entrada","saída"))</f>
        <v>entrada</v>
      </c>
      <c r="T1410" s="334" t="s">
        <v>114</v>
      </c>
      <c r="U1410" s="334" t="s">
        <v>114</v>
      </c>
      <c r="V1410" s="269"/>
      <c r="W1410" s="269"/>
      <c r="X1410" s="269"/>
      <c r="Y1410" s="269"/>
      <c r="Z1410" s="269"/>
      <c r="AA1410" s="269"/>
      <c r="AB1410" s="269"/>
      <c r="AC1410" s="269"/>
      <c r="AD1410" s="269"/>
      <c r="AE1410" s="269"/>
      <c r="AF1410" s="269"/>
      <c r="AG1410" s="269"/>
      <c r="AH1410" s="269"/>
      <c r="AI1410" s="269"/>
      <c r="AJ1410" s="269"/>
      <c r="AK1410" s="269"/>
      <c r="AL1410" s="269"/>
      <c r="AM1410" s="269"/>
    </row>
    <row r="1411" spans="1:39" ht="42" customHeight="1" x14ac:dyDescent="0.2">
      <c r="A1411" s="277">
        <f>IF(B1411="","",COUNT('Diário 5º PA'!$A$5:$A$2634)+COUNT('Diário 6º PA'!$A$5:$A$2246)+ROW()-4)</f>
        <v>3950</v>
      </c>
      <c r="B1411" s="278">
        <v>44469</v>
      </c>
      <c r="C1411" s="335">
        <v>44440</v>
      </c>
      <c r="D1411" s="255" t="s">
        <v>99</v>
      </c>
      <c r="E1411" s="255" t="s">
        <v>280</v>
      </c>
      <c r="F1411" s="258">
        <v>1232.9100000000001</v>
      </c>
      <c r="G1411" s="450" t="s">
        <v>5359</v>
      </c>
      <c r="H1411" s="255" t="s">
        <v>114</v>
      </c>
      <c r="I1411" s="250" t="s">
        <v>488</v>
      </c>
      <c r="J1411" s="255" t="s">
        <v>114</v>
      </c>
      <c r="K1411" s="255" t="s">
        <v>466</v>
      </c>
      <c r="L1411" s="250" t="s">
        <v>489</v>
      </c>
      <c r="M1411" s="277" t="s">
        <v>114</v>
      </c>
      <c r="N1411" s="278">
        <v>44469</v>
      </c>
      <c r="O1411" s="329" t="s">
        <v>67</v>
      </c>
      <c r="P1411" s="330">
        <f t="shared" si="238"/>
        <v>9</v>
      </c>
      <c r="Q1411" s="330">
        <f t="shared" si="239"/>
        <v>9</v>
      </c>
      <c r="R1411" s="331" t="str">
        <f t="shared" si="240"/>
        <v>Gastos_Gerais</v>
      </c>
      <c r="S1411" s="331" t="str">
        <f>IF(D1411="","",IF(OR(D1411=Plano!$A$1,D1411=Plano!$B$1),"entrada","saída"))</f>
        <v>saída</v>
      </c>
      <c r="T1411" s="334" t="s">
        <v>114</v>
      </c>
      <c r="U1411" s="334" t="s">
        <v>114</v>
      </c>
      <c r="V1411" s="269"/>
      <c r="W1411" s="269"/>
      <c r="X1411" s="269"/>
      <c r="Y1411" s="269"/>
      <c r="Z1411" s="269"/>
      <c r="AA1411" s="269"/>
      <c r="AB1411" s="269"/>
      <c r="AC1411" s="269"/>
      <c r="AD1411" s="269"/>
      <c r="AE1411" s="269"/>
      <c r="AF1411" s="269"/>
      <c r="AG1411" s="269"/>
      <c r="AH1411" s="269"/>
      <c r="AI1411" s="269"/>
      <c r="AJ1411" s="269"/>
      <c r="AK1411" s="269"/>
      <c r="AL1411" s="269"/>
      <c r="AM1411" s="269"/>
    </row>
    <row r="1412" spans="1:39" ht="39.75" customHeight="1" x14ac:dyDescent="0.2">
      <c r="A1412" s="277" t="str">
        <f>IF(B1412="","",COUNT('Diário 5º PA'!$A$5:$A$2634)+COUNT('Diário 6º PA'!$A$5:$A$2246)+ROW()-4)</f>
        <v/>
      </c>
      <c r="B1412" s="278"/>
      <c r="C1412" s="335"/>
      <c r="D1412" s="255"/>
      <c r="E1412" s="255"/>
      <c r="F1412" s="258"/>
      <c r="G1412" s="450"/>
      <c r="H1412" s="250"/>
      <c r="I1412" s="250"/>
      <c r="J1412" s="255"/>
      <c r="K1412" s="255"/>
      <c r="L1412" s="250"/>
      <c r="M1412" s="277"/>
      <c r="N1412" s="277"/>
      <c r="O1412" s="329"/>
      <c r="P1412" s="330">
        <f t="shared" ref="P1412" si="241">IF(B1412=0,0,IF(YEAR(B1412)=$Q$1,MONTH(B1412)-$P$1+1,(YEAR(B1412)-$Q$1)*12-$P$1+1+MONTH(B1412)))</f>
        <v>0</v>
      </c>
      <c r="Q1412" s="330">
        <f t="shared" ref="Q1412" si="242">IF(C1412=0,0,IF(YEAR(C1412)=$Q$1,MONTH(C1412)-$P$1+1,(YEAR(C1412)-$Q$1)*12-$P$1+1+MONTH(C1412)))</f>
        <v>0</v>
      </c>
      <c r="R1412" s="331" t="str">
        <f t="shared" ref="R1412" si="243">SUBSTITUTE(D1412," ","_")</f>
        <v/>
      </c>
      <c r="S1412" s="331" t="str">
        <f>IF(D1412="","",IF(OR(D1412=Plano!$A$1,D1412=Plano!$B$1),"entrada","saída"))</f>
        <v/>
      </c>
      <c r="T1412" s="345"/>
      <c r="U1412" s="345"/>
      <c r="V1412" s="269"/>
      <c r="W1412" s="269"/>
      <c r="X1412" s="269"/>
      <c r="Y1412" s="269"/>
      <c r="Z1412" s="269"/>
      <c r="AA1412" s="269"/>
      <c r="AB1412" s="269"/>
      <c r="AC1412" s="269"/>
      <c r="AD1412" s="269"/>
      <c r="AE1412" s="269"/>
      <c r="AF1412" s="269"/>
      <c r="AG1412" s="269"/>
      <c r="AH1412" s="269"/>
      <c r="AI1412" s="269"/>
      <c r="AJ1412" s="269"/>
      <c r="AK1412" s="269"/>
      <c r="AL1412" s="269"/>
      <c r="AM1412" s="269"/>
    </row>
    <row r="1413" spans="1:39" ht="12.75" customHeight="1" x14ac:dyDescent="0.2">
      <c r="A1413" s="277" t="str">
        <f>IF(B1413="","",COUNT('Diário 5º PA'!$A$5:$A$2634)+COUNT('Diário 6º PA'!$A$5:$A$2246)+ROW()-4)</f>
        <v/>
      </c>
      <c r="B1413" s="278"/>
      <c r="C1413" s="335"/>
      <c r="D1413" s="255"/>
      <c r="E1413" s="255"/>
      <c r="F1413" s="258"/>
      <c r="G1413" s="450"/>
      <c r="H1413" s="250"/>
      <c r="I1413" s="250"/>
      <c r="J1413" s="255"/>
      <c r="K1413" s="255"/>
      <c r="L1413" s="250"/>
      <c r="M1413" s="277"/>
      <c r="N1413" s="277"/>
      <c r="O1413" s="329"/>
      <c r="P1413" s="330">
        <f t="shared" ref="P1413" si="244">IF(B1413=0,0,IF(YEAR(B1413)=$Q$1,MONTH(B1413)-$P$1+1,(YEAR(B1413)-$Q$1)*12-$P$1+1+MONTH(B1413)))</f>
        <v>0</v>
      </c>
      <c r="Q1413" s="330">
        <f t="shared" ref="Q1413" si="245">IF(C1413=0,0,IF(YEAR(C1413)=$Q$1,MONTH(C1413)-$P$1+1,(YEAR(C1413)-$Q$1)*12-$P$1+1+MONTH(C1413)))</f>
        <v>0</v>
      </c>
      <c r="R1413" s="331" t="str">
        <f t="shared" ref="R1413" si="246">SUBSTITUTE(D1413," ","_")</f>
        <v/>
      </c>
      <c r="S1413" s="331" t="str">
        <f>IF(D1413="","",IF(OR(D1413=Plano!$A$1,D1413=Plano!$B$1),"entrada","saída"))</f>
        <v/>
      </c>
      <c r="T1413" s="345"/>
      <c r="U1413" s="345"/>
      <c r="V1413" s="269"/>
      <c r="W1413" s="269"/>
      <c r="X1413" s="269"/>
      <c r="Y1413" s="269"/>
      <c r="Z1413" s="269"/>
      <c r="AA1413" s="269"/>
      <c r="AB1413" s="269"/>
      <c r="AC1413" s="269"/>
      <c r="AD1413" s="269"/>
      <c r="AE1413" s="269"/>
      <c r="AF1413" s="269"/>
      <c r="AG1413" s="269"/>
      <c r="AH1413" s="269"/>
      <c r="AI1413" s="269"/>
      <c r="AJ1413" s="269"/>
      <c r="AK1413" s="269"/>
      <c r="AL1413" s="269"/>
      <c r="AM1413" s="269"/>
    </row>
    <row r="1414" spans="1:39" ht="12.75" customHeight="1" x14ac:dyDescent="0.2">
      <c r="A1414" s="277" t="str">
        <f>IF(B1414="","",COUNT('Diário 5º PA'!$A$5:$A$2634)+COUNT('Diário 6º PA'!$A$5:$A$2246)+ROW()-4)</f>
        <v/>
      </c>
      <c r="B1414" s="278"/>
      <c r="C1414" s="335"/>
      <c r="D1414" s="255"/>
      <c r="E1414" s="255"/>
      <c r="F1414" s="258"/>
      <c r="G1414" s="450"/>
      <c r="H1414" s="255"/>
      <c r="I1414" s="250"/>
      <c r="J1414" s="255"/>
      <c r="K1414" s="255"/>
      <c r="L1414" s="250"/>
      <c r="M1414" s="277"/>
      <c r="N1414" s="277"/>
      <c r="O1414" s="329"/>
      <c r="P1414" s="330">
        <f t="shared" si="205"/>
        <v>0</v>
      </c>
      <c r="Q1414" s="330">
        <f t="shared" si="206"/>
        <v>0</v>
      </c>
      <c r="R1414" s="331" t="str">
        <f t="shared" si="207"/>
        <v/>
      </c>
      <c r="S1414" s="331" t="str">
        <f>IF(D1414="","",IF(OR(D1414=Plano!$A$1,D1414=Plano!$B$1),"entrada","saída"))</f>
        <v/>
      </c>
      <c r="T1414" s="345"/>
      <c r="U1414" s="345"/>
      <c r="V1414" s="269"/>
      <c r="W1414" s="269"/>
      <c r="X1414" s="269"/>
      <c r="Y1414" s="269"/>
      <c r="Z1414" s="269"/>
      <c r="AA1414" s="269"/>
      <c r="AB1414" s="269"/>
      <c r="AC1414" s="269"/>
      <c r="AD1414" s="269"/>
      <c r="AE1414" s="269"/>
      <c r="AF1414" s="269"/>
      <c r="AG1414" s="269"/>
      <c r="AH1414" s="269"/>
      <c r="AI1414" s="269"/>
      <c r="AJ1414" s="269"/>
      <c r="AK1414" s="269"/>
      <c r="AL1414" s="269"/>
      <c r="AM1414" s="269"/>
    </row>
    <row r="1415" spans="1:39" ht="12.75" customHeight="1" x14ac:dyDescent="0.2">
      <c r="A1415" s="277" t="str">
        <f>IF(B1415="","",COUNT('Diário 5º PA'!$A$5:$A$2634)+COUNT('Diário 6º PA'!$A$5:$A$2246)+ROW()-4)</f>
        <v/>
      </c>
      <c r="B1415" s="278"/>
      <c r="C1415" s="335"/>
      <c r="D1415" s="255"/>
      <c r="E1415" s="255"/>
      <c r="F1415" s="258"/>
      <c r="G1415" s="450"/>
      <c r="H1415" s="255"/>
      <c r="I1415" s="250"/>
      <c r="J1415" s="255"/>
      <c r="K1415" s="255"/>
      <c r="L1415" s="250"/>
      <c r="M1415" s="277"/>
      <c r="N1415" s="277"/>
      <c r="O1415" s="329"/>
      <c r="P1415" s="330">
        <f t="shared" si="205"/>
        <v>0</v>
      </c>
      <c r="Q1415" s="330">
        <f t="shared" si="206"/>
        <v>0</v>
      </c>
      <c r="R1415" s="331" t="str">
        <f t="shared" si="207"/>
        <v/>
      </c>
      <c r="S1415" s="331" t="str">
        <f>IF(D1415="","",IF(OR(D1415=Plano!$A$1,D1415=Plano!$B$1),"entrada","saída"))</f>
        <v/>
      </c>
      <c r="T1415" s="345"/>
      <c r="U1415" s="345"/>
      <c r="V1415" s="269"/>
      <c r="W1415" s="269"/>
      <c r="X1415" s="269"/>
      <c r="Y1415" s="269"/>
      <c r="Z1415" s="269"/>
      <c r="AA1415" s="269"/>
      <c r="AB1415" s="269"/>
      <c r="AC1415" s="269"/>
      <c r="AD1415" s="269"/>
      <c r="AE1415" s="269"/>
      <c r="AF1415" s="269"/>
      <c r="AG1415" s="269"/>
      <c r="AH1415" s="269"/>
      <c r="AI1415" s="269"/>
      <c r="AJ1415" s="269"/>
      <c r="AK1415" s="269"/>
      <c r="AL1415" s="269"/>
      <c r="AM1415" s="269"/>
    </row>
    <row r="1416" spans="1:39" ht="12.75" customHeight="1" x14ac:dyDescent="0.2">
      <c r="A1416" s="277" t="str">
        <f>IF(B1416="","",COUNT('Diário 5º PA'!$A$5:$A$2634)+COUNT('Diário 6º PA'!$A$5:$A$2246)+ROW()-4)</f>
        <v/>
      </c>
      <c r="B1416" s="278"/>
      <c r="C1416" s="335"/>
      <c r="D1416" s="255"/>
      <c r="E1416" s="255"/>
      <c r="F1416" s="258"/>
      <c r="G1416" s="450"/>
      <c r="H1416" s="255"/>
      <c r="I1416" s="250"/>
      <c r="J1416" s="255"/>
      <c r="K1416" s="255"/>
      <c r="L1416" s="250"/>
      <c r="M1416" s="277"/>
      <c r="N1416" s="277"/>
      <c r="O1416" s="329"/>
      <c r="P1416" s="330">
        <f t="shared" si="205"/>
        <v>0</v>
      </c>
      <c r="Q1416" s="330">
        <f t="shared" si="206"/>
        <v>0</v>
      </c>
      <c r="R1416" s="331" t="str">
        <f t="shared" si="207"/>
        <v/>
      </c>
      <c r="S1416" s="331" t="str">
        <f>IF(D1416="","",IF(OR(D1416=Plano!$A$1,D1416=Plano!$B$1),"entrada","saída"))</f>
        <v/>
      </c>
      <c r="T1416" s="345"/>
      <c r="U1416" s="345"/>
      <c r="V1416" s="269"/>
      <c r="W1416" s="269"/>
      <c r="X1416" s="269"/>
      <c r="Y1416" s="269"/>
      <c r="Z1416" s="269"/>
      <c r="AA1416" s="269"/>
      <c r="AB1416" s="269"/>
      <c r="AC1416" s="269"/>
      <c r="AD1416" s="269"/>
      <c r="AE1416" s="269"/>
      <c r="AF1416" s="269"/>
      <c r="AG1416" s="269"/>
      <c r="AH1416" s="269"/>
      <c r="AI1416" s="269"/>
      <c r="AJ1416" s="269"/>
      <c r="AK1416" s="269"/>
      <c r="AL1416" s="269"/>
      <c r="AM1416" s="269"/>
    </row>
    <row r="1417" spans="1:39" ht="12.75" customHeight="1" x14ac:dyDescent="0.2">
      <c r="A1417" s="277" t="str">
        <f>IF(B1417="","",COUNT('Diário 5º PA'!$A$5:$A$2634)+COUNT('Diário 6º PA'!$A$5:$A$2246)+ROW()-4)</f>
        <v/>
      </c>
      <c r="B1417" s="278"/>
      <c r="C1417" s="335"/>
      <c r="D1417" s="255"/>
      <c r="E1417" s="255"/>
      <c r="F1417" s="258"/>
      <c r="G1417" s="450"/>
      <c r="H1417" s="255"/>
      <c r="I1417" s="250"/>
      <c r="J1417" s="255"/>
      <c r="K1417" s="255"/>
      <c r="L1417" s="250"/>
      <c r="M1417" s="277"/>
      <c r="N1417" s="277"/>
      <c r="O1417" s="329"/>
      <c r="P1417" s="330">
        <f t="shared" si="205"/>
        <v>0</v>
      </c>
      <c r="Q1417" s="330">
        <f t="shared" si="206"/>
        <v>0</v>
      </c>
      <c r="R1417" s="331" t="str">
        <f t="shared" si="207"/>
        <v/>
      </c>
      <c r="S1417" s="331" t="str">
        <f>IF(D1417="","",IF(OR(D1417=Plano!$A$1,D1417=Plano!$B$1),"entrada","saída"))</f>
        <v/>
      </c>
      <c r="T1417" s="345"/>
      <c r="U1417" s="345"/>
      <c r="V1417" s="269"/>
      <c r="W1417" s="269"/>
      <c r="X1417" s="269"/>
      <c r="Y1417" s="269"/>
      <c r="Z1417" s="269"/>
      <c r="AA1417" s="269"/>
      <c r="AB1417" s="269"/>
      <c r="AC1417" s="269"/>
      <c r="AD1417" s="269"/>
      <c r="AE1417" s="269"/>
      <c r="AF1417" s="269"/>
      <c r="AG1417" s="269"/>
      <c r="AH1417" s="269"/>
      <c r="AI1417" s="269"/>
      <c r="AJ1417" s="269"/>
      <c r="AK1417" s="269"/>
      <c r="AL1417" s="269"/>
      <c r="AM1417" s="269"/>
    </row>
    <row r="1418" spans="1:39" ht="12.75" customHeight="1" x14ac:dyDescent="0.2">
      <c r="A1418" s="277" t="str">
        <f>IF(B1418="","",COUNT('Diário 5º PA'!$A$5:$A$2634)+COUNT('Diário 6º PA'!$A$5:$A$2246)+ROW()-4)</f>
        <v/>
      </c>
      <c r="B1418" s="278"/>
      <c r="C1418" s="335"/>
      <c r="D1418" s="255"/>
      <c r="E1418" s="255"/>
      <c r="F1418" s="258"/>
      <c r="G1418" s="450"/>
      <c r="H1418" s="255"/>
      <c r="I1418" s="250"/>
      <c r="J1418" s="255"/>
      <c r="K1418" s="255"/>
      <c r="L1418" s="250"/>
      <c r="M1418" s="277"/>
      <c r="N1418" s="277"/>
      <c r="O1418" s="329"/>
      <c r="P1418" s="330">
        <f t="shared" si="205"/>
        <v>0</v>
      </c>
      <c r="Q1418" s="330">
        <f t="shared" si="206"/>
        <v>0</v>
      </c>
      <c r="R1418" s="331" t="str">
        <f t="shared" si="207"/>
        <v/>
      </c>
      <c r="S1418" s="331" t="str">
        <f>IF(D1418="","",IF(OR(D1418=Plano!$A$1,D1418=Plano!$B$1),"entrada","saída"))</f>
        <v/>
      </c>
      <c r="T1418" s="345"/>
      <c r="U1418" s="345"/>
      <c r="V1418" s="269"/>
      <c r="W1418" s="269"/>
      <c r="X1418" s="269"/>
      <c r="Y1418" s="269"/>
      <c r="Z1418" s="269"/>
      <c r="AA1418" s="269"/>
      <c r="AB1418" s="269"/>
      <c r="AC1418" s="269"/>
      <c r="AD1418" s="269"/>
      <c r="AE1418" s="269"/>
      <c r="AF1418" s="269"/>
      <c r="AG1418" s="269"/>
      <c r="AH1418" s="269"/>
      <c r="AI1418" s="269"/>
      <c r="AJ1418" s="269"/>
      <c r="AK1418" s="269"/>
      <c r="AL1418" s="269"/>
      <c r="AM1418" s="269"/>
    </row>
    <row r="1419" spans="1:39" ht="12.75" customHeight="1" x14ac:dyDescent="0.2">
      <c r="A1419" s="277" t="str">
        <f>IF(B1419="","",COUNT('Diário 5º PA'!$A$5:$A$2634)+COUNT('Diário 6º PA'!$A$5:$A$2246)+ROW()-4)</f>
        <v/>
      </c>
      <c r="B1419" s="278"/>
      <c r="C1419" s="335"/>
      <c r="D1419" s="255"/>
      <c r="E1419" s="255"/>
      <c r="F1419" s="258"/>
      <c r="G1419" s="450"/>
      <c r="H1419" s="255"/>
      <c r="I1419" s="250"/>
      <c r="J1419" s="255"/>
      <c r="K1419" s="255"/>
      <c r="L1419" s="250"/>
      <c r="M1419" s="277"/>
      <c r="N1419" s="277"/>
      <c r="O1419" s="329"/>
      <c r="P1419" s="330">
        <f t="shared" si="205"/>
        <v>0</v>
      </c>
      <c r="Q1419" s="330">
        <f t="shared" si="206"/>
        <v>0</v>
      </c>
      <c r="R1419" s="331" t="str">
        <f t="shared" si="207"/>
        <v/>
      </c>
      <c r="S1419" s="331" t="str">
        <f>IF(D1419="","",IF(OR(D1419=Plano!$A$1,D1419=Plano!$B$1),"entrada","saída"))</f>
        <v/>
      </c>
      <c r="T1419" s="345"/>
      <c r="U1419" s="345"/>
      <c r="V1419" s="269"/>
      <c r="W1419" s="269"/>
      <c r="X1419" s="269"/>
      <c r="Y1419" s="269"/>
      <c r="Z1419" s="269"/>
      <c r="AA1419" s="269"/>
      <c r="AB1419" s="269"/>
      <c r="AC1419" s="269"/>
      <c r="AD1419" s="269"/>
      <c r="AE1419" s="269"/>
      <c r="AF1419" s="269"/>
      <c r="AG1419" s="269"/>
      <c r="AH1419" s="269"/>
      <c r="AI1419" s="269"/>
      <c r="AJ1419" s="269"/>
      <c r="AK1419" s="269"/>
      <c r="AL1419" s="269"/>
      <c r="AM1419" s="269"/>
    </row>
    <row r="1420" spans="1:39" ht="12.75" customHeight="1" x14ac:dyDescent="0.2">
      <c r="A1420" s="277" t="str">
        <f>IF(B1420="","",COUNT('Diário 5º PA'!$A$5:$A$2634)+COUNT('Diário 6º PA'!$A$5:$A$2246)+ROW()-4)</f>
        <v/>
      </c>
      <c r="B1420" s="278"/>
      <c r="C1420" s="335"/>
      <c r="D1420" s="255"/>
      <c r="E1420" s="255"/>
      <c r="F1420" s="258"/>
      <c r="G1420" s="450"/>
      <c r="H1420" s="255"/>
      <c r="I1420" s="250"/>
      <c r="J1420" s="255"/>
      <c r="K1420" s="255"/>
      <c r="L1420" s="250"/>
      <c r="M1420" s="277"/>
      <c r="N1420" s="277"/>
      <c r="O1420" s="329"/>
      <c r="P1420" s="330">
        <f t="shared" si="205"/>
        <v>0</v>
      </c>
      <c r="Q1420" s="330">
        <f t="shared" si="206"/>
        <v>0</v>
      </c>
      <c r="R1420" s="331" t="str">
        <f t="shared" si="207"/>
        <v/>
      </c>
      <c r="S1420" s="331" t="str">
        <f>IF(D1420="","",IF(OR(D1420=Plano!$A$1,D1420=Plano!$B$1),"entrada","saída"))</f>
        <v/>
      </c>
      <c r="T1420" s="345"/>
      <c r="U1420" s="345"/>
      <c r="V1420" s="269"/>
      <c r="W1420" s="269"/>
      <c r="X1420" s="269"/>
      <c r="Y1420" s="269"/>
      <c r="Z1420" s="269"/>
      <c r="AA1420" s="269"/>
      <c r="AB1420" s="269"/>
      <c r="AC1420" s="269"/>
      <c r="AD1420" s="269"/>
      <c r="AE1420" s="269"/>
      <c r="AF1420" s="269"/>
      <c r="AG1420" s="269"/>
      <c r="AH1420" s="269"/>
      <c r="AI1420" s="269"/>
      <c r="AJ1420" s="269"/>
      <c r="AK1420" s="269"/>
      <c r="AL1420" s="269"/>
      <c r="AM1420" s="269"/>
    </row>
    <row r="1421" spans="1:39" ht="12.75" customHeight="1" x14ac:dyDescent="0.2">
      <c r="A1421" s="277" t="str">
        <f>IF(B1421="","",COUNT('Diário 5º PA'!$A$5:$A$2634)+COUNT('Diário 6º PA'!$A$5:$A$2246)+ROW()-4)</f>
        <v/>
      </c>
      <c r="B1421" s="278"/>
      <c r="C1421" s="335"/>
      <c r="D1421" s="255"/>
      <c r="E1421" s="255"/>
      <c r="F1421" s="258"/>
      <c r="G1421" s="450"/>
      <c r="H1421" s="255"/>
      <c r="I1421" s="250"/>
      <c r="J1421" s="255"/>
      <c r="K1421" s="255"/>
      <c r="L1421" s="250"/>
      <c r="M1421" s="277"/>
      <c r="N1421" s="277"/>
      <c r="O1421" s="329"/>
      <c r="P1421" s="330">
        <f t="shared" si="205"/>
        <v>0</v>
      </c>
      <c r="Q1421" s="330">
        <f t="shared" si="206"/>
        <v>0</v>
      </c>
      <c r="R1421" s="331" t="str">
        <f t="shared" si="207"/>
        <v/>
      </c>
      <c r="S1421" s="331" t="str">
        <f>IF(D1421="","",IF(OR(D1421=Plano!$A$1,D1421=Plano!$B$1),"entrada","saída"))</f>
        <v/>
      </c>
      <c r="T1421" s="345"/>
      <c r="U1421" s="345"/>
      <c r="V1421" s="269"/>
      <c r="W1421" s="269"/>
      <c r="X1421" s="269"/>
      <c r="Y1421" s="269"/>
      <c r="Z1421" s="269"/>
      <c r="AA1421" s="269"/>
      <c r="AB1421" s="269"/>
      <c r="AC1421" s="269"/>
      <c r="AD1421" s="269"/>
      <c r="AE1421" s="269"/>
      <c r="AF1421" s="269"/>
      <c r="AG1421" s="269"/>
      <c r="AH1421" s="269"/>
      <c r="AI1421" s="269"/>
      <c r="AJ1421" s="269"/>
      <c r="AK1421" s="269"/>
      <c r="AL1421" s="269"/>
      <c r="AM1421" s="269"/>
    </row>
    <row r="1422" spans="1:39" ht="12.75" customHeight="1" x14ac:dyDescent="0.2">
      <c r="A1422" s="277" t="str">
        <f>IF(B1422="","",COUNT('Diário 5º PA'!$A$5:$A$2634)+COUNT('Diário 6º PA'!$A$5:$A$2246)+ROW()-4)</f>
        <v/>
      </c>
      <c r="B1422" s="278"/>
      <c r="C1422" s="335"/>
      <c r="D1422" s="255"/>
      <c r="E1422" s="255"/>
      <c r="F1422" s="258"/>
      <c r="G1422" s="450"/>
      <c r="H1422" s="255"/>
      <c r="I1422" s="250"/>
      <c r="J1422" s="255"/>
      <c r="K1422" s="255"/>
      <c r="L1422" s="250"/>
      <c r="M1422" s="277"/>
      <c r="N1422" s="277"/>
      <c r="O1422" s="329"/>
      <c r="P1422" s="330">
        <f t="shared" si="205"/>
        <v>0</v>
      </c>
      <c r="Q1422" s="330">
        <f t="shared" si="206"/>
        <v>0</v>
      </c>
      <c r="R1422" s="331" t="str">
        <f t="shared" si="207"/>
        <v/>
      </c>
      <c r="S1422" s="331" t="str">
        <f>IF(D1422="","",IF(OR(D1422=Plano!$A$1,D1422=Plano!$B$1),"entrada","saída"))</f>
        <v/>
      </c>
      <c r="T1422" s="345"/>
      <c r="U1422" s="345"/>
      <c r="V1422" s="269"/>
      <c r="W1422" s="269"/>
      <c r="X1422" s="269"/>
      <c r="Y1422" s="269"/>
      <c r="Z1422" s="269"/>
      <c r="AA1422" s="269"/>
      <c r="AB1422" s="269"/>
      <c r="AC1422" s="269"/>
      <c r="AD1422" s="269"/>
      <c r="AE1422" s="269"/>
      <c r="AF1422" s="269"/>
      <c r="AG1422" s="269"/>
      <c r="AH1422" s="269"/>
      <c r="AI1422" s="269"/>
      <c r="AJ1422" s="269"/>
      <c r="AK1422" s="269"/>
      <c r="AL1422" s="269"/>
      <c r="AM1422" s="269"/>
    </row>
    <row r="1423" spans="1:39" ht="12.75" customHeight="1" x14ac:dyDescent="0.2">
      <c r="A1423" s="277" t="str">
        <f>IF(B1423="","",COUNT('Diário 5º PA'!$A$5:$A$2634)+COUNT('Diário 6º PA'!$A$5:$A$2246)+ROW()-4)</f>
        <v/>
      </c>
      <c r="B1423" s="278"/>
      <c r="C1423" s="335"/>
      <c r="D1423" s="255"/>
      <c r="E1423" s="255"/>
      <c r="F1423" s="258"/>
      <c r="G1423" s="450"/>
      <c r="H1423" s="255"/>
      <c r="I1423" s="250"/>
      <c r="J1423" s="255"/>
      <c r="K1423" s="255"/>
      <c r="L1423" s="250"/>
      <c r="M1423" s="277"/>
      <c r="N1423" s="277"/>
      <c r="O1423" s="329"/>
      <c r="P1423" s="330">
        <f t="shared" si="205"/>
        <v>0</v>
      </c>
      <c r="Q1423" s="330">
        <f t="shared" si="206"/>
        <v>0</v>
      </c>
      <c r="R1423" s="331" t="str">
        <f t="shared" si="207"/>
        <v/>
      </c>
      <c r="S1423" s="331" t="str">
        <f>IF(D1423="","",IF(OR(D1423=Plano!$A$1,D1423=Plano!$B$1),"entrada","saída"))</f>
        <v/>
      </c>
      <c r="T1423" s="345"/>
      <c r="U1423" s="345"/>
      <c r="V1423" s="269"/>
      <c r="W1423" s="269"/>
      <c r="X1423" s="269"/>
      <c r="Y1423" s="269"/>
      <c r="Z1423" s="269"/>
      <c r="AA1423" s="269"/>
      <c r="AB1423" s="269"/>
      <c r="AC1423" s="269"/>
      <c r="AD1423" s="269"/>
      <c r="AE1423" s="269"/>
      <c r="AF1423" s="269"/>
      <c r="AG1423" s="269"/>
      <c r="AH1423" s="269"/>
      <c r="AI1423" s="269"/>
      <c r="AJ1423" s="269"/>
      <c r="AK1423" s="269"/>
      <c r="AL1423" s="269"/>
      <c r="AM1423" s="269"/>
    </row>
    <row r="1424" spans="1:39" ht="12.75" customHeight="1" x14ac:dyDescent="0.2">
      <c r="A1424" s="277" t="str">
        <f>IF(B1424="","",COUNT('Diário 5º PA'!$A$5:$A$2634)+COUNT('Diário 6º PA'!$A$5:$A$2246)+ROW()-4)</f>
        <v/>
      </c>
      <c r="B1424" s="278"/>
      <c r="C1424" s="335"/>
      <c r="D1424" s="255"/>
      <c r="E1424" s="255"/>
      <c r="F1424" s="258"/>
      <c r="G1424" s="450"/>
      <c r="H1424" s="255"/>
      <c r="I1424" s="250"/>
      <c r="J1424" s="255"/>
      <c r="K1424" s="255"/>
      <c r="L1424" s="250"/>
      <c r="M1424" s="277"/>
      <c r="N1424" s="277"/>
      <c r="O1424" s="329"/>
      <c r="P1424" s="330">
        <f t="shared" si="205"/>
        <v>0</v>
      </c>
      <c r="Q1424" s="330">
        <f t="shared" si="206"/>
        <v>0</v>
      </c>
      <c r="R1424" s="331" t="str">
        <f t="shared" si="207"/>
        <v/>
      </c>
      <c r="S1424" s="331" t="str">
        <f>IF(D1424="","",IF(OR(D1424=Plano!$A$1,D1424=Plano!$B$1),"entrada","saída"))</f>
        <v/>
      </c>
      <c r="T1424" s="345"/>
      <c r="U1424" s="345"/>
      <c r="V1424" s="269"/>
      <c r="W1424" s="269"/>
      <c r="X1424" s="269"/>
      <c r="Y1424" s="269"/>
      <c r="Z1424" s="269"/>
      <c r="AA1424" s="269"/>
      <c r="AB1424" s="269"/>
      <c r="AC1424" s="269"/>
      <c r="AD1424" s="269"/>
      <c r="AE1424" s="269"/>
      <c r="AF1424" s="269"/>
      <c r="AG1424" s="269"/>
      <c r="AH1424" s="269"/>
      <c r="AI1424" s="269"/>
      <c r="AJ1424" s="269"/>
      <c r="AK1424" s="269"/>
      <c r="AL1424" s="269"/>
      <c r="AM1424" s="269"/>
    </row>
    <row r="1425" spans="1:39" ht="12.75" customHeight="1" x14ac:dyDescent="0.2">
      <c r="A1425" s="277" t="str">
        <f>IF(B1425="","",COUNT('Diário 5º PA'!$A$5:$A$2634)+COUNT('Diário 6º PA'!$A$5:$A$2246)+ROW()-4)</f>
        <v/>
      </c>
      <c r="B1425" s="278"/>
      <c r="C1425" s="335"/>
      <c r="D1425" s="255"/>
      <c r="E1425" s="255"/>
      <c r="F1425" s="258"/>
      <c r="G1425" s="450"/>
      <c r="H1425" s="255"/>
      <c r="I1425" s="250"/>
      <c r="J1425" s="255"/>
      <c r="K1425" s="255"/>
      <c r="L1425" s="250"/>
      <c r="M1425" s="277"/>
      <c r="N1425" s="277"/>
      <c r="O1425" s="329"/>
      <c r="P1425" s="330">
        <f t="shared" si="205"/>
        <v>0</v>
      </c>
      <c r="Q1425" s="330">
        <f t="shared" si="206"/>
        <v>0</v>
      </c>
      <c r="R1425" s="331" t="str">
        <f t="shared" si="207"/>
        <v/>
      </c>
      <c r="S1425" s="331" t="str">
        <f>IF(D1425="","",IF(OR(D1425=Plano!$A$1,D1425=Plano!$B$1),"entrada","saída"))</f>
        <v/>
      </c>
      <c r="T1425" s="345"/>
      <c r="U1425" s="345"/>
      <c r="V1425" s="269"/>
      <c r="W1425" s="269"/>
      <c r="X1425" s="269"/>
      <c r="Y1425" s="269"/>
      <c r="Z1425" s="269"/>
      <c r="AA1425" s="269"/>
      <c r="AB1425" s="269"/>
      <c r="AC1425" s="269"/>
      <c r="AD1425" s="269"/>
      <c r="AE1425" s="269"/>
      <c r="AF1425" s="269"/>
      <c r="AG1425" s="269"/>
      <c r="AH1425" s="269"/>
      <c r="AI1425" s="269"/>
      <c r="AJ1425" s="269"/>
      <c r="AK1425" s="269"/>
      <c r="AL1425" s="269"/>
      <c r="AM1425" s="269"/>
    </row>
    <row r="1426" spans="1:39" ht="12.75" customHeight="1" x14ac:dyDescent="0.2">
      <c r="A1426" s="277" t="str">
        <f>IF(B1426="","",COUNT('Diário 5º PA'!$A$5:$A$2634)+COUNT('Diário 6º PA'!$A$5:$A$2246)+ROW()-4)</f>
        <v/>
      </c>
      <c r="B1426" s="278"/>
      <c r="C1426" s="335"/>
      <c r="D1426" s="255"/>
      <c r="E1426" s="255"/>
      <c r="F1426" s="258"/>
      <c r="G1426" s="450"/>
      <c r="H1426" s="255"/>
      <c r="I1426" s="250"/>
      <c r="J1426" s="255"/>
      <c r="K1426" s="255"/>
      <c r="L1426" s="250"/>
      <c r="M1426" s="277"/>
      <c r="N1426" s="277"/>
      <c r="O1426" s="329"/>
      <c r="P1426" s="330">
        <f t="shared" si="205"/>
        <v>0</v>
      </c>
      <c r="Q1426" s="330">
        <f t="shared" si="206"/>
        <v>0</v>
      </c>
      <c r="R1426" s="331" t="str">
        <f t="shared" si="207"/>
        <v/>
      </c>
      <c r="S1426" s="331" t="str">
        <f>IF(D1426="","",IF(OR(D1426=Plano!$A$1,D1426=Plano!$B$1),"entrada","saída"))</f>
        <v/>
      </c>
      <c r="T1426" s="345"/>
      <c r="U1426" s="345"/>
      <c r="V1426" s="269"/>
      <c r="W1426" s="269"/>
      <c r="X1426" s="269"/>
      <c r="Y1426" s="269"/>
      <c r="Z1426" s="269"/>
      <c r="AA1426" s="269"/>
      <c r="AB1426" s="269"/>
      <c r="AC1426" s="269"/>
      <c r="AD1426" s="269"/>
      <c r="AE1426" s="269"/>
      <c r="AF1426" s="269"/>
      <c r="AG1426" s="269"/>
      <c r="AH1426" s="269"/>
      <c r="AI1426" s="269"/>
      <c r="AJ1426" s="269"/>
      <c r="AK1426" s="269"/>
      <c r="AL1426" s="269"/>
      <c r="AM1426" s="269"/>
    </row>
    <row r="1427" spans="1:39" ht="12.75" customHeight="1" x14ac:dyDescent="0.2">
      <c r="A1427" s="277" t="str">
        <f>IF(B1427="","",COUNT('Diário 5º PA'!$A$5:$A$2634)+COUNT('Diário 6º PA'!$A$5:$A$2246)+ROW()-4)</f>
        <v/>
      </c>
      <c r="B1427" s="278"/>
      <c r="C1427" s="335"/>
      <c r="D1427" s="255"/>
      <c r="E1427" s="255"/>
      <c r="F1427" s="258"/>
      <c r="G1427" s="450"/>
      <c r="H1427" s="255"/>
      <c r="I1427" s="250"/>
      <c r="J1427" s="255"/>
      <c r="K1427" s="255"/>
      <c r="L1427" s="250"/>
      <c r="M1427" s="277"/>
      <c r="N1427" s="277"/>
      <c r="O1427" s="329"/>
      <c r="P1427" s="330">
        <f t="shared" si="205"/>
        <v>0</v>
      </c>
      <c r="Q1427" s="330">
        <f t="shared" si="206"/>
        <v>0</v>
      </c>
      <c r="R1427" s="331" t="str">
        <f t="shared" si="207"/>
        <v/>
      </c>
      <c r="S1427" s="331" t="str">
        <f>IF(D1427="","",IF(OR(D1427=Plano!$A$1,D1427=Plano!$B$1),"entrada","saída"))</f>
        <v/>
      </c>
      <c r="T1427" s="345"/>
      <c r="U1427" s="345"/>
      <c r="V1427" s="269"/>
      <c r="W1427" s="269"/>
      <c r="X1427" s="269"/>
      <c r="Y1427" s="269"/>
      <c r="Z1427" s="269"/>
      <c r="AA1427" s="269"/>
      <c r="AB1427" s="269"/>
      <c r="AC1427" s="269"/>
      <c r="AD1427" s="269"/>
      <c r="AE1427" s="269"/>
      <c r="AF1427" s="269"/>
      <c r="AG1427" s="269"/>
      <c r="AH1427" s="269"/>
      <c r="AI1427" s="269"/>
      <c r="AJ1427" s="269"/>
      <c r="AK1427" s="269"/>
      <c r="AL1427" s="269"/>
      <c r="AM1427" s="269"/>
    </row>
    <row r="1428" spans="1:39" ht="12.75" customHeight="1" x14ac:dyDescent="0.2">
      <c r="A1428" s="277" t="str">
        <f>IF(B1428="","",COUNT('Diário 5º PA'!$A$5:$A$2634)+COUNT('Diário 6º PA'!$A$5:$A$2246)+ROW()-4)</f>
        <v/>
      </c>
      <c r="B1428" s="278"/>
      <c r="C1428" s="335"/>
      <c r="D1428" s="255"/>
      <c r="E1428" s="255"/>
      <c r="F1428" s="258"/>
      <c r="G1428" s="450"/>
      <c r="H1428" s="255"/>
      <c r="I1428" s="250"/>
      <c r="J1428" s="255"/>
      <c r="K1428" s="255"/>
      <c r="L1428" s="250"/>
      <c r="M1428" s="277"/>
      <c r="N1428" s="277"/>
      <c r="O1428" s="329"/>
      <c r="P1428" s="330">
        <f t="shared" si="205"/>
        <v>0</v>
      </c>
      <c r="Q1428" s="330">
        <f t="shared" si="206"/>
        <v>0</v>
      </c>
      <c r="R1428" s="331" t="str">
        <f t="shared" si="207"/>
        <v/>
      </c>
      <c r="S1428" s="331" t="str">
        <f>IF(D1428="","",IF(OR(D1428=Plano!$A$1,D1428=Plano!$B$1),"entrada","saída"))</f>
        <v/>
      </c>
      <c r="T1428" s="345"/>
      <c r="U1428" s="345"/>
      <c r="V1428" s="269"/>
      <c r="W1428" s="269"/>
      <c r="X1428" s="269"/>
      <c r="Y1428" s="269"/>
      <c r="Z1428" s="269"/>
      <c r="AA1428" s="269"/>
      <c r="AB1428" s="269"/>
      <c r="AC1428" s="269"/>
      <c r="AD1428" s="269"/>
      <c r="AE1428" s="269"/>
      <c r="AF1428" s="269"/>
      <c r="AG1428" s="269"/>
      <c r="AH1428" s="269"/>
      <c r="AI1428" s="269"/>
      <c r="AJ1428" s="269"/>
      <c r="AK1428" s="269"/>
      <c r="AL1428" s="269"/>
      <c r="AM1428" s="269"/>
    </row>
    <row r="1429" spans="1:39" ht="12.75" customHeight="1" x14ac:dyDescent="0.2">
      <c r="A1429" s="277" t="str">
        <f>IF(B1429="","",COUNT('Diário 5º PA'!$A$5:$A$2634)+COUNT('Diário 6º PA'!$A$5:$A$2246)+ROW()-4)</f>
        <v/>
      </c>
      <c r="B1429" s="278"/>
      <c r="C1429" s="335"/>
      <c r="D1429" s="255"/>
      <c r="E1429" s="255"/>
      <c r="F1429" s="258"/>
      <c r="G1429" s="450"/>
      <c r="H1429" s="255"/>
      <c r="I1429" s="250"/>
      <c r="J1429" s="255"/>
      <c r="K1429" s="255"/>
      <c r="L1429" s="250"/>
      <c r="M1429" s="277"/>
      <c r="N1429" s="277"/>
      <c r="O1429" s="329"/>
      <c r="P1429" s="330">
        <f t="shared" si="205"/>
        <v>0</v>
      </c>
      <c r="Q1429" s="330">
        <f t="shared" si="206"/>
        <v>0</v>
      </c>
      <c r="R1429" s="331" t="str">
        <f t="shared" si="207"/>
        <v/>
      </c>
      <c r="S1429" s="331" t="str">
        <f>IF(D1429="","",IF(OR(D1429=Plano!$A$1,D1429=Plano!$B$1),"entrada","saída"))</f>
        <v/>
      </c>
      <c r="T1429" s="345"/>
      <c r="U1429" s="345"/>
      <c r="V1429" s="269"/>
      <c r="W1429" s="269"/>
      <c r="X1429" s="269"/>
      <c r="Y1429" s="269"/>
      <c r="Z1429" s="269"/>
      <c r="AA1429" s="269"/>
      <c r="AB1429" s="269"/>
      <c r="AC1429" s="269"/>
      <c r="AD1429" s="269"/>
      <c r="AE1429" s="269"/>
      <c r="AF1429" s="269"/>
      <c r="AG1429" s="269"/>
      <c r="AH1429" s="269"/>
      <c r="AI1429" s="269"/>
      <c r="AJ1429" s="269"/>
      <c r="AK1429" s="269"/>
      <c r="AL1429" s="269"/>
      <c r="AM1429" s="269"/>
    </row>
    <row r="1430" spans="1:39" ht="12.75" customHeight="1" x14ac:dyDescent="0.2">
      <c r="A1430" s="277" t="str">
        <f>IF(B1430="","",COUNT('Diário 5º PA'!$A$5:$A$2634)+COUNT('Diário 6º PA'!$A$5:$A$2246)+ROW()-4)</f>
        <v/>
      </c>
      <c r="B1430" s="278"/>
      <c r="C1430" s="335"/>
      <c r="D1430" s="255"/>
      <c r="E1430" s="255"/>
      <c r="F1430" s="258"/>
      <c r="G1430" s="450"/>
      <c r="H1430" s="255"/>
      <c r="I1430" s="250"/>
      <c r="J1430" s="255"/>
      <c r="K1430" s="255"/>
      <c r="L1430" s="250"/>
      <c r="M1430" s="277"/>
      <c r="N1430" s="277"/>
      <c r="O1430" s="329"/>
      <c r="P1430" s="330">
        <f t="shared" si="205"/>
        <v>0</v>
      </c>
      <c r="Q1430" s="330">
        <f t="shared" si="206"/>
        <v>0</v>
      </c>
      <c r="R1430" s="331" t="str">
        <f t="shared" si="207"/>
        <v/>
      </c>
      <c r="S1430" s="331" t="str">
        <f>IF(D1430="","",IF(OR(D1430=Plano!$A$1,D1430=Plano!$B$1),"entrada","saída"))</f>
        <v/>
      </c>
      <c r="T1430" s="345"/>
      <c r="U1430" s="345"/>
      <c r="V1430" s="269"/>
      <c r="W1430" s="269"/>
      <c r="X1430" s="269"/>
      <c r="Y1430" s="269"/>
      <c r="Z1430" s="269"/>
      <c r="AA1430" s="269"/>
      <c r="AB1430" s="269"/>
      <c r="AC1430" s="269"/>
      <c r="AD1430" s="269"/>
      <c r="AE1430" s="269"/>
      <c r="AF1430" s="269"/>
      <c r="AG1430" s="269"/>
      <c r="AH1430" s="269"/>
      <c r="AI1430" s="269"/>
      <c r="AJ1430" s="269"/>
      <c r="AK1430" s="269"/>
      <c r="AL1430" s="269"/>
      <c r="AM1430" s="269"/>
    </row>
    <row r="1431" spans="1:39" ht="12.75" customHeight="1" x14ac:dyDescent="0.2">
      <c r="A1431" s="277" t="str">
        <f>IF(B1431="","",COUNT('Diário 5º PA'!$A$5:$A$2634)+COUNT('Diário 6º PA'!$A$5:$A$2246)+ROW()-4)</f>
        <v/>
      </c>
      <c r="B1431" s="278"/>
      <c r="C1431" s="335"/>
      <c r="D1431" s="255"/>
      <c r="E1431" s="255"/>
      <c r="F1431" s="258"/>
      <c r="G1431" s="450"/>
      <c r="H1431" s="255"/>
      <c r="I1431" s="250"/>
      <c r="J1431" s="255"/>
      <c r="K1431" s="255"/>
      <c r="L1431" s="250"/>
      <c r="M1431" s="277"/>
      <c r="N1431" s="277"/>
      <c r="O1431" s="329"/>
      <c r="P1431" s="330">
        <f t="shared" si="205"/>
        <v>0</v>
      </c>
      <c r="Q1431" s="330">
        <f t="shared" si="206"/>
        <v>0</v>
      </c>
      <c r="R1431" s="331" t="str">
        <f t="shared" si="207"/>
        <v/>
      </c>
      <c r="S1431" s="331" t="str">
        <f>IF(D1431="","",IF(OR(D1431=Plano!$A$1,D1431=Plano!$B$1),"entrada","saída"))</f>
        <v/>
      </c>
      <c r="T1431" s="345"/>
      <c r="U1431" s="345"/>
      <c r="V1431" s="269"/>
      <c r="W1431" s="269"/>
      <c r="X1431" s="269"/>
      <c r="Y1431" s="269"/>
      <c r="Z1431" s="269"/>
      <c r="AA1431" s="269"/>
      <c r="AB1431" s="269"/>
      <c r="AC1431" s="269"/>
      <c r="AD1431" s="269"/>
      <c r="AE1431" s="269"/>
      <c r="AF1431" s="269"/>
      <c r="AG1431" s="269"/>
      <c r="AH1431" s="269"/>
      <c r="AI1431" s="269"/>
      <c r="AJ1431" s="269"/>
      <c r="AK1431" s="269"/>
      <c r="AL1431" s="269"/>
      <c r="AM1431" s="269"/>
    </row>
    <row r="1432" spans="1:39" ht="12.75" customHeight="1" x14ac:dyDescent="0.2">
      <c r="A1432" s="277" t="str">
        <f>IF(B1432="","",COUNT('Diário 5º PA'!$A$5:$A$2634)+COUNT('Diário 6º PA'!$A$5:$A$2246)+ROW()-4)</f>
        <v/>
      </c>
      <c r="B1432" s="278"/>
      <c r="C1432" s="335"/>
      <c r="D1432" s="255"/>
      <c r="E1432" s="255"/>
      <c r="F1432" s="258"/>
      <c r="G1432" s="450"/>
      <c r="H1432" s="255"/>
      <c r="I1432" s="250"/>
      <c r="J1432" s="255"/>
      <c r="K1432" s="255"/>
      <c r="L1432" s="250"/>
      <c r="M1432" s="277"/>
      <c r="N1432" s="277"/>
      <c r="O1432" s="329"/>
      <c r="P1432" s="330">
        <f t="shared" si="205"/>
        <v>0</v>
      </c>
      <c r="Q1432" s="330">
        <f t="shared" si="206"/>
        <v>0</v>
      </c>
      <c r="R1432" s="331" t="str">
        <f t="shared" si="207"/>
        <v/>
      </c>
      <c r="S1432" s="331" t="str">
        <f>IF(D1432="","",IF(OR(D1432=Plano!$A$1,D1432=Plano!$B$1),"entrada","saída"))</f>
        <v/>
      </c>
      <c r="T1432" s="345"/>
      <c r="U1432" s="345"/>
      <c r="V1432" s="269"/>
      <c r="W1432" s="269"/>
      <c r="X1432" s="269"/>
      <c r="Y1432" s="269"/>
      <c r="Z1432" s="269"/>
      <c r="AA1432" s="269"/>
      <c r="AB1432" s="269"/>
      <c r="AC1432" s="269"/>
      <c r="AD1432" s="269"/>
      <c r="AE1432" s="269"/>
      <c r="AF1432" s="269"/>
      <c r="AG1432" s="269"/>
      <c r="AH1432" s="269"/>
      <c r="AI1432" s="269"/>
      <c r="AJ1432" s="269"/>
      <c r="AK1432" s="269"/>
      <c r="AL1432" s="269"/>
      <c r="AM1432" s="269"/>
    </row>
    <row r="1433" spans="1:39" ht="12.75" customHeight="1" x14ac:dyDescent="0.2">
      <c r="A1433" s="277" t="str">
        <f>IF(B1433="","",COUNT('Diário 5º PA'!$A$5:$A$2634)+COUNT('Diário 6º PA'!$A$5:$A$2246)+ROW()-4)</f>
        <v/>
      </c>
      <c r="B1433" s="278"/>
      <c r="C1433" s="335"/>
      <c r="D1433" s="255"/>
      <c r="E1433" s="255"/>
      <c r="F1433" s="258"/>
      <c r="G1433" s="450"/>
      <c r="H1433" s="255"/>
      <c r="I1433" s="250"/>
      <c r="J1433" s="255"/>
      <c r="K1433" s="255"/>
      <c r="L1433" s="250"/>
      <c r="M1433" s="277"/>
      <c r="N1433" s="277"/>
      <c r="O1433" s="329"/>
      <c r="P1433" s="330">
        <f t="shared" si="205"/>
        <v>0</v>
      </c>
      <c r="Q1433" s="330">
        <f t="shared" si="206"/>
        <v>0</v>
      </c>
      <c r="R1433" s="331" t="str">
        <f t="shared" si="207"/>
        <v/>
      </c>
      <c r="S1433" s="331" t="str">
        <f>IF(D1433="","",IF(OR(D1433=Plano!$A$1,D1433=Plano!$B$1),"entrada","saída"))</f>
        <v/>
      </c>
      <c r="T1433" s="345"/>
      <c r="U1433" s="345"/>
      <c r="V1433" s="269"/>
      <c r="W1433" s="269"/>
      <c r="X1433" s="269"/>
      <c r="Y1433" s="269"/>
      <c r="Z1433" s="269"/>
      <c r="AA1433" s="269"/>
      <c r="AB1433" s="269"/>
      <c r="AC1433" s="269"/>
      <c r="AD1433" s="269"/>
      <c r="AE1433" s="269"/>
      <c r="AF1433" s="269"/>
      <c r="AG1433" s="269"/>
      <c r="AH1433" s="269"/>
      <c r="AI1433" s="269"/>
      <c r="AJ1433" s="269"/>
      <c r="AK1433" s="269"/>
      <c r="AL1433" s="269"/>
      <c r="AM1433" s="269"/>
    </row>
    <row r="1434" spans="1:39" ht="12.75" customHeight="1" x14ac:dyDescent="0.2">
      <c r="A1434" s="277" t="str">
        <f>IF(B1434="","",COUNT('Diário 5º PA'!$A$5:$A$2634)+COUNT('Diário 6º PA'!$A$5:$A$2246)+ROW()-4)</f>
        <v/>
      </c>
      <c r="B1434" s="278"/>
      <c r="C1434" s="335"/>
      <c r="D1434" s="255"/>
      <c r="E1434" s="255"/>
      <c r="F1434" s="258"/>
      <c r="G1434" s="450"/>
      <c r="H1434" s="255"/>
      <c r="I1434" s="250"/>
      <c r="J1434" s="255"/>
      <c r="K1434" s="255"/>
      <c r="L1434" s="250"/>
      <c r="M1434" s="277"/>
      <c r="N1434" s="277"/>
      <c r="O1434" s="329"/>
      <c r="P1434" s="330">
        <f t="shared" si="205"/>
        <v>0</v>
      </c>
      <c r="Q1434" s="330">
        <f t="shared" si="206"/>
        <v>0</v>
      </c>
      <c r="R1434" s="331" t="str">
        <f t="shared" si="207"/>
        <v/>
      </c>
      <c r="S1434" s="331" t="str">
        <f>IF(D1434="","",IF(OR(D1434=Plano!$A$1,D1434=Plano!$B$1),"entrada","saída"))</f>
        <v/>
      </c>
      <c r="T1434" s="345"/>
      <c r="U1434" s="345"/>
      <c r="V1434" s="269"/>
      <c r="W1434" s="269"/>
      <c r="X1434" s="269"/>
      <c r="Y1434" s="269"/>
      <c r="Z1434" s="269"/>
      <c r="AA1434" s="269"/>
      <c r="AB1434" s="269"/>
      <c r="AC1434" s="269"/>
      <c r="AD1434" s="269"/>
      <c r="AE1434" s="269"/>
      <c r="AF1434" s="269"/>
      <c r="AG1434" s="269"/>
      <c r="AH1434" s="269"/>
      <c r="AI1434" s="269"/>
      <c r="AJ1434" s="269"/>
      <c r="AK1434" s="269"/>
      <c r="AL1434" s="269"/>
      <c r="AM1434" s="269"/>
    </row>
    <row r="1435" spans="1:39" ht="12.75" customHeight="1" x14ac:dyDescent="0.2">
      <c r="A1435" s="277" t="str">
        <f>IF(B1435="","",COUNT('Diário 5º PA'!$A$5:$A$2634)+COUNT('Diário 6º PA'!$A$5:$A$2246)+ROW()-4)</f>
        <v/>
      </c>
      <c r="B1435" s="278"/>
      <c r="C1435" s="335"/>
      <c r="D1435" s="255"/>
      <c r="E1435" s="255"/>
      <c r="F1435" s="258"/>
      <c r="G1435" s="450"/>
      <c r="H1435" s="255"/>
      <c r="I1435" s="250"/>
      <c r="J1435" s="255"/>
      <c r="K1435" s="255"/>
      <c r="L1435" s="250"/>
      <c r="M1435" s="277"/>
      <c r="N1435" s="277"/>
      <c r="O1435" s="329"/>
      <c r="P1435" s="330">
        <f t="shared" si="205"/>
        <v>0</v>
      </c>
      <c r="Q1435" s="330">
        <f t="shared" si="206"/>
        <v>0</v>
      </c>
      <c r="R1435" s="331" t="str">
        <f t="shared" si="207"/>
        <v/>
      </c>
      <c r="S1435" s="331" t="str">
        <f>IF(D1435="","",IF(OR(D1435=Plano!$A$1,D1435=Plano!$B$1),"entrada","saída"))</f>
        <v/>
      </c>
      <c r="T1435" s="345"/>
      <c r="U1435" s="345"/>
      <c r="V1435" s="269"/>
      <c r="W1435" s="269"/>
      <c r="X1435" s="269"/>
      <c r="Y1435" s="269"/>
      <c r="Z1435" s="269"/>
      <c r="AA1435" s="269"/>
      <c r="AB1435" s="269"/>
      <c r="AC1435" s="269"/>
      <c r="AD1435" s="269"/>
      <c r="AE1435" s="269"/>
      <c r="AF1435" s="269"/>
      <c r="AG1435" s="269"/>
      <c r="AH1435" s="269"/>
      <c r="AI1435" s="269"/>
      <c r="AJ1435" s="269"/>
      <c r="AK1435" s="269"/>
      <c r="AL1435" s="269"/>
      <c r="AM1435" s="269"/>
    </row>
    <row r="1436" spans="1:39" ht="12.75" customHeight="1" x14ac:dyDescent="0.2">
      <c r="A1436" s="277" t="str">
        <f>IF(B1436="","",COUNT('Diário 5º PA'!$A$5:$A$2634)+COUNT('Diário 6º PA'!$A$5:$A$2246)+ROW()-4)</f>
        <v/>
      </c>
      <c r="B1436" s="278"/>
      <c r="C1436" s="335"/>
      <c r="D1436" s="255"/>
      <c r="E1436" s="255"/>
      <c r="F1436" s="258"/>
      <c r="G1436" s="450"/>
      <c r="H1436" s="255"/>
      <c r="I1436" s="250"/>
      <c r="J1436" s="255"/>
      <c r="K1436" s="255"/>
      <c r="L1436" s="250"/>
      <c r="M1436" s="277"/>
      <c r="N1436" s="277"/>
      <c r="O1436" s="329"/>
      <c r="P1436" s="330">
        <f t="shared" si="205"/>
        <v>0</v>
      </c>
      <c r="Q1436" s="330">
        <f t="shared" si="206"/>
        <v>0</v>
      </c>
      <c r="R1436" s="331" t="str">
        <f t="shared" si="207"/>
        <v/>
      </c>
      <c r="S1436" s="331" t="str">
        <f>IF(D1436="","",IF(OR(D1436=Plano!$A$1,D1436=Plano!$B$1),"entrada","saída"))</f>
        <v/>
      </c>
      <c r="T1436" s="345"/>
      <c r="U1436" s="345"/>
      <c r="V1436" s="269"/>
      <c r="W1436" s="269"/>
      <c r="X1436" s="269"/>
      <c r="Y1436" s="269"/>
      <c r="Z1436" s="269"/>
      <c r="AA1436" s="269"/>
      <c r="AB1436" s="269"/>
      <c r="AC1436" s="269"/>
      <c r="AD1436" s="269"/>
      <c r="AE1436" s="269"/>
      <c r="AF1436" s="269"/>
      <c r="AG1436" s="269"/>
      <c r="AH1436" s="269"/>
      <c r="AI1436" s="269"/>
      <c r="AJ1436" s="269"/>
      <c r="AK1436" s="269"/>
      <c r="AL1436" s="269"/>
      <c r="AM1436" s="269"/>
    </row>
    <row r="1437" spans="1:39" ht="12.75" customHeight="1" x14ac:dyDescent="0.2">
      <c r="A1437" s="277" t="str">
        <f>IF(B1437="","",COUNT('Diário 5º PA'!$A$5:$A$2634)+COUNT('Diário 6º PA'!$A$5:$A$2246)+ROW()-4)</f>
        <v/>
      </c>
      <c r="B1437" s="278"/>
      <c r="C1437" s="335"/>
      <c r="D1437" s="255"/>
      <c r="E1437" s="255"/>
      <c r="F1437" s="258"/>
      <c r="G1437" s="450"/>
      <c r="H1437" s="255"/>
      <c r="I1437" s="250"/>
      <c r="J1437" s="255"/>
      <c r="K1437" s="255"/>
      <c r="L1437" s="250"/>
      <c r="M1437" s="277"/>
      <c r="N1437" s="277"/>
      <c r="O1437" s="329"/>
      <c r="P1437" s="330">
        <f t="shared" si="205"/>
        <v>0</v>
      </c>
      <c r="Q1437" s="330">
        <f t="shared" si="206"/>
        <v>0</v>
      </c>
      <c r="R1437" s="331" t="str">
        <f t="shared" si="207"/>
        <v/>
      </c>
      <c r="S1437" s="331" t="str">
        <f>IF(D1437="","",IF(OR(D1437=Plano!$A$1,D1437=Plano!$B$1),"entrada","saída"))</f>
        <v/>
      </c>
      <c r="T1437" s="345"/>
      <c r="U1437" s="345"/>
      <c r="V1437" s="269"/>
      <c r="W1437" s="269"/>
      <c r="X1437" s="269"/>
      <c r="Y1437" s="269"/>
      <c r="Z1437" s="269"/>
      <c r="AA1437" s="269"/>
      <c r="AB1437" s="269"/>
      <c r="AC1437" s="269"/>
      <c r="AD1437" s="269"/>
      <c r="AE1437" s="269"/>
      <c r="AF1437" s="269"/>
      <c r="AG1437" s="269"/>
      <c r="AH1437" s="269"/>
      <c r="AI1437" s="269"/>
      <c r="AJ1437" s="269"/>
      <c r="AK1437" s="269"/>
      <c r="AL1437" s="269"/>
      <c r="AM1437" s="269"/>
    </row>
    <row r="1438" spans="1:39" ht="12.75" customHeight="1" x14ac:dyDescent="0.2">
      <c r="A1438" s="277" t="str">
        <f>IF(B1438="","",COUNT('Diário 5º PA'!$A$5:$A$2634)+COUNT('Diário 6º PA'!$A$5:$A$2246)+ROW()-4)</f>
        <v/>
      </c>
      <c r="B1438" s="278"/>
      <c r="C1438" s="335"/>
      <c r="D1438" s="255"/>
      <c r="E1438" s="255"/>
      <c r="F1438" s="258"/>
      <c r="G1438" s="450"/>
      <c r="H1438" s="255"/>
      <c r="I1438" s="250"/>
      <c r="J1438" s="255"/>
      <c r="K1438" s="255"/>
      <c r="L1438" s="250"/>
      <c r="M1438" s="277"/>
      <c r="N1438" s="277"/>
      <c r="O1438" s="329"/>
      <c r="P1438" s="330">
        <f t="shared" si="205"/>
        <v>0</v>
      </c>
      <c r="Q1438" s="330">
        <f t="shared" si="206"/>
        <v>0</v>
      </c>
      <c r="R1438" s="331" t="str">
        <f t="shared" si="207"/>
        <v/>
      </c>
      <c r="S1438" s="331" t="str">
        <f>IF(D1438="","",IF(OR(D1438=Plano!$A$1,D1438=Plano!$B$1),"entrada","saída"))</f>
        <v/>
      </c>
      <c r="T1438" s="345"/>
      <c r="U1438" s="345"/>
      <c r="V1438" s="269"/>
      <c r="W1438" s="269"/>
      <c r="X1438" s="269"/>
      <c r="Y1438" s="269"/>
      <c r="Z1438" s="269"/>
      <c r="AA1438" s="269"/>
      <c r="AB1438" s="269"/>
      <c r="AC1438" s="269"/>
      <c r="AD1438" s="269"/>
      <c r="AE1438" s="269"/>
      <c r="AF1438" s="269"/>
      <c r="AG1438" s="269"/>
      <c r="AH1438" s="269"/>
      <c r="AI1438" s="269"/>
      <c r="AJ1438" s="269"/>
      <c r="AK1438" s="269"/>
      <c r="AL1438" s="269"/>
      <c r="AM1438" s="269"/>
    </row>
    <row r="1439" spans="1:39" ht="12.75" customHeight="1" x14ac:dyDescent="0.2">
      <c r="A1439" s="277" t="str">
        <f>IF(B1439="","",COUNT('Diário 5º PA'!$A$5:$A$2634)+COUNT('Diário 6º PA'!$A$5:$A$2246)+ROW()-4)</f>
        <v/>
      </c>
      <c r="B1439" s="278"/>
      <c r="C1439" s="335"/>
      <c r="D1439" s="255"/>
      <c r="E1439" s="255"/>
      <c r="F1439" s="258"/>
      <c r="G1439" s="450"/>
      <c r="H1439" s="255"/>
      <c r="I1439" s="250"/>
      <c r="J1439" s="255"/>
      <c r="K1439" s="255"/>
      <c r="L1439" s="250"/>
      <c r="M1439" s="277"/>
      <c r="N1439" s="277"/>
      <c r="O1439" s="329"/>
      <c r="P1439" s="330">
        <f t="shared" si="205"/>
        <v>0</v>
      </c>
      <c r="Q1439" s="330">
        <f t="shared" si="206"/>
        <v>0</v>
      </c>
      <c r="R1439" s="331" t="str">
        <f t="shared" si="207"/>
        <v/>
      </c>
      <c r="S1439" s="331" t="str">
        <f>IF(D1439="","",IF(OR(D1439=Plano!$A$1,D1439=Plano!$B$1),"entrada","saída"))</f>
        <v/>
      </c>
      <c r="T1439" s="345"/>
      <c r="U1439" s="345"/>
      <c r="V1439" s="269"/>
      <c r="W1439" s="269"/>
      <c r="X1439" s="269"/>
      <c r="Y1439" s="269"/>
      <c r="Z1439" s="269"/>
      <c r="AA1439" s="269"/>
      <c r="AB1439" s="269"/>
      <c r="AC1439" s="269"/>
      <c r="AD1439" s="269"/>
      <c r="AE1439" s="269"/>
      <c r="AF1439" s="269"/>
      <c r="AG1439" s="269"/>
      <c r="AH1439" s="269"/>
      <c r="AI1439" s="269"/>
      <c r="AJ1439" s="269"/>
      <c r="AK1439" s="269"/>
      <c r="AL1439" s="269"/>
      <c r="AM1439" s="269"/>
    </row>
    <row r="1440" spans="1:39" ht="12.75" customHeight="1" x14ac:dyDescent="0.2">
      <c r="A1440" s="277" t="str">
        <f>IF(B1440="","",COUNT('Diário 5º PA'!$A$5:$A$2634)+COUNT('Diário 6º PA'!$A$5:$A$2246)+ROW()-4)</f>
        <v/>
      </c>
      <c r="B1440" s="278"/>
      <c r="C1440" s="335"/>
      <c r="D1440" s="255"/>
      <c r="E1440" s="255"/>
      <c r="F1440" s="258"/>
      <c r="G1440" s="450"/>
      <c r="H1440" s="255"/>
      <c r="I1440" s="250"/>
      <c r="J1440" s="255"/>
      <c r="K1440" s="255"/>
      <c r="L1440" s="250"/>
      <c r="M1440" s="277"/>
      <c r="N1440" s="277"/>
      <c r="O1440" s="329"/>
      <c r="P1440" s="330">
        <f t="shared" si="205"/>
        <v>0</v>
      </c>
      <c r="Q1440" s="330">
        <f t="shared" si="206"/>
        <v>0</v>
      </c>
      <c r="R1440" s="331" t="str">
        <f t="shared" si="207"/>
        <v/>
      </c>
      <c r="S1440" s="331" t="str">
        <f>IF(D1440="","",IF(OR(D1440=Plano!$A$1,D1440=Plano!$B$1),"entrada","saída"))</f>
        <v/>
      </c>
      <c r="T1440" s="345"/>
      <c r="U1440" s="345"/>
      <c r="V1440" s="269"/>
      <c r="W1440" s="269"/>
      <c r="X1440" s="269"/>
      <c r="Y1440" s="269"/>
      <c r="Z1440" s="269"/>
      <c r="AA1440" s="269"/>
      <c r="AB1440" s="269"/>
      <c r="AC1440" s="269"/>
      <c r="AD1440" s="269"/>
      <c r="AE1440" s="269"/>
      <c r="AF1440" s="269"/>
      <c r="AG1440" s="269"/>
      <c r="AH1440" s="269"/>
      <c r="AI1440" s="269"/>
      <c r="AJ1440" s="269"/>
      <c r="AK1440" s="269"/>
      <c r="AL1440" s="269"/>
      <c r="AM1440" s="269"/>
    </row>
    <row r="1441" spans="1:39" ht="12.75" customHeight="1" x14ac:dyDescent="0.2">
      <c r="A1441" s="277" t="str">
        <f>IF(B1441="","",COUNT('Diário 5º PA'!$A$5:$A$2634)+COUNT('Diário 6º PA'!$A$5:$A$2246)+ROW()-4)</f>
        <v/>
      </c>
      <c r="B1441" s="278"/>
      <c r="C1441" s="335"/>
      <c r="D1441" s="255"/>
      <c r="E1441" s="255"/>
      <c r="F1441" s="258"/>
      <c r="G1441" s="450"/>
      <c r="H1441" s="255"/>
      <c r="I1441" s="250"/>
      <c r="J1441" s="255"/>
      <c r="K1441" s="255"/>
      <c r="L1441" s="250"/>
      <c r="M1441" s="277"/>
      <c r="N1441" s="277"/>
      <c r="O1441" s="329"/>
      <c r="P1441" s="330">
        <f t="shared" si="205"/>
        <v>0</v>
      </c>
      <c r="Q1441" s="330">
        <f t="shared" si="206"/>
        <v>0</v>
      </c>
      <c r="R1441" s="331" t="str">
        <f t="shared" si="207"/>
        <v/>
      </c>
      <c r="S1441" s="331" t="str">
        <f>IF(D1441="","",IF(OR(D1441=Plano!$A$1,D1441=Plano!$B$1),"entrada","saída"))</f>
        <v/>
      </c>
      <c r="T1441" s="345"/>
      <c r="U1441" s="345"/>
      <c r="V1441" s="269"/>
      <c r="W1441" s="269"/>
      <c r="X1441" s="269"/>
      <c r="Y1441" s="269"/>
      <c r="Z1441" s="269"/>
      <c r="AA1441" s="269"/>
      <c r="AB1441" s="269"/>
      <c r="AC1441" s="269"/>
      <c r="AD1441" s="269"/>
      <c r="AE1441" s="269"/>
      <c r="AF1441" s="269"/>
      <c r="AG1441" s="269"/>
      <c r="AH1441" s="269"/>
      <c r="AI1441" s="269"/>
      <c r="AJ1441" s="269"/>
      <c r="AK1441" s="269"/>
      <c r="AL1441" s="269"/>
      <c r="AM1441" s="269"/>
    </row>
    <row r="1442" spans="1:39" ht="12.75" customHeight="1" x14ac:dyDescent="0.2">
      <c r="A1442" s="277" t="str">
        <f>IF(B1442="","",COUNT('Diário 5º PA'!$A$5:$A$2634)+COUNT('Diário 6º PA'!$A$5:$A$2246)+ROW()-4)</f>
        <v/>
      </c>
      <c r="B1442" s="278"/>
      <c r="C1442" s="335"/>
      <c r="D1442" s="255"/>
      <c r="E1442" s="255"/>
      <c r="F1442" s="258"/>
      <c r="G1442" s="450"/>
      <c r="H1442" s="255"/>
      <c r="I1442" s="250"/>
      <c r="J1442" s="255"/>
      <c r="K1442" s="255"/>
      <c r="L1442" s="250"/>
      <c r="M1442" s="277"/>
      <c r="N1442" s="277"/>
      <c r="O1442" s="329"/>
      <c r="P1442" s="330">
        <f t="shared" si="205"/>
        <v>0</v>
      </c>
      <c r="Q1442" s="330">
        <f t="shared" si="206"/>
        <v>0</v>
      </c>
      <c r="R1442" s="331" t="str">
        <f t="shared" si="207"/>
        <v/>
      </c>
      <c r="S1442" s="331" t="str">
        <f>IF(D1442="","",IF(OR(D1442=Plano!$A$1,D1442=Plano!$B$1),"entrada","saída"))</f>
        <v/>
      </c>
      <c r="T1442" s="345"/>
      <c r="U1442" s="345"/>
      <c r="V1442" s="269"/>
      <c r="W1442" s="269"/>
      <c r="X1442" s="269"/>
      <c r="Y1442" s="269"/>
      <c r="Z1442" s="269"/>
      <c r="AA1442" s="269"/>
      <c r="AB1442" s="269"/>
      <c r="AC1442" s="269"/>
      <c r="AD1442" s="269"/>
      <c r="AE1442" s="269"/>
      <c r="AF1442" s="269"/>
      <c r="AG1442" s="269"/>
      <c r="AH1442" s="269"/>
      <c r="AI1442" s="269"/>
      <c r="AJ1442" s="269"/>
      <c r="AK1442" s="269"/>
      <c r="AL1442" s="269"/>
      <c r="AM1442" s="269"/>
    </row>
    <row r="1443" spans="1:39" ht="12.75" customHeight="1" x14ac:dyDescent="0.2">
      <c r="A1443" s="277" t="str">
        <f>IF(B1443="","",COUNT('Diário 5º PA'!$A$5:$A$2634)+COUNT('Diário 6º PA'!$A$5:$A$2246)+ROW()-4)</f>
        <v/>
      </c>
      <c r="B1443" s="278"/>
      <c r="C1443" s="335"/>
      <c r="D1443" s="255"/>
      <c r="E1443" s="255"/>
      <c r="F1443" s="258"/>
      <c r="G1443" s="450"/>
      <c r="H1443" s="255"/>
      <c r="I1443" s="250"/>
      <c r="J1443" s="255"/>
      <c r="K1443" s="255"/>
      <c r="L1443" s="250"/>
      <c r="M1443" s="277"/>
      <c r="N1443" s="277"/>
      <c r="O1443" s="329"/>
      <c r="P1443" s="330">
        <f t="shared" si="205"/>
        <v>0</v>
      </c>
      <c r="Q1443" s="330">
        <f t="shared" si="206"/>
        <v>0</v>
      </c>
      <c r="R1443" s="331" t="str">
        <f t="shared" si="207"/>
        <v/>
      </c>
      <c r="S1443" s="331" t="str">
        <f>IF(D1443="","",IF(OR(D1443=Plano!$A$1,D1443=Plano!$B$1),"entrada","saída"))</f>
        <v/>
      </c>
      <c r="T1443" s="345"/>
      <c r="U1443" s="345"/>
      <c r="V1443" s="269"/>
      <c r="W1443" s="269"/>
      <c r="X1443" s="269"/>
      <c r="Y1443" s="269"/>
      <c r="Z1443" s="269"/>
      <c r="AA1443" s="269"/>
      <c r="AB1443" s="269"/>
      <c r="AC1443" s="269"/>
      <c r="AD1443" s="269"/>
      <c r="AE1443" s="269"/>
      <c r="AF1443" s="269"/>
      <c r="AG1443" s="269"/>
      <c r="AH1443" s="269"/>
      <c r="AI1443" s="269"/>
      <c r="AJ1443" s="269"/>
      <c r="AK1443" s="269"/>
      <c r="AL1443" s="269"/>
      <c r="AM1443" s="269"/>
    </row>
    <row r="1444" spans="1:39" ht="12.75" customHeight="1" x14ac:dyDescent="0.2">
      <c r="A1444" s="277" t="str">
        <f>IF(B1444="","",COUNT('Diário 5º PA'!$A$5:$A$2634)+COUNT('Diário 6º PA'!$A$5:$A$2246)+ROW()-4)</f>
        <v/>
      </c>
      <c r="B1444" s="278"/>
      <c r="C1444" s="335"/>
      <c r="D1444" s="255"/>
      <c r="E1444" s="255"/>
      <c r="F1444" s="258"/>
      <c r="G1444" s="450"/>
      <c r="H1444" s="255"/>
      <c r="I1444" s="250"/>
      <c r="J1444" s="255"/>
      <c r="K1444" s="255"/>
      <c r="L1444" s="250"/>
      <c r="M1444" s="277"/>
      <c r="N1444" s="277"/>
      <c r="O1444" s="329"/>
      <c r="P1444" s="330">
        <f t="shared" si="205"/>
        <v>0</v>
      </c>
      <c r="Q1444" s="330">
        <f t="shared" si="206"/>
        <v>0</v>
      </c>
      <c r="R1444" s="331" t="str">
        <f t="shared" si="207"/>
        <v/>
      </c>
      <c r="S1444" s="331" t="str">
        <f>IF(D1444="","",IF(OR(D1444=Plano!$A$1,D1444=Plano!$B$1),"entrada","saída"))</f>
        <v/>
      </c>
      <c r="T1444" s="345"/>
      <c r="U1444" s="345"/>
      <c r="V1444" s="269"/>
      <c r="W1444" s="269"/>
      <c r="X1444" s="269"/>
      <c r="Y1444" s="269"/>
      <c r="Z1444" s="269"/>
      <c r="AA1444" s="269"/>
      <c r="AB1444" s="269"/>
      <c r="AC1444" s="269"/>
      <c r="AD1444" s="269"/>
      <c r="AE1444" s="269"/>
      <c r="AF1444" s="269"/>
      <c r="AG1444" s="269"/>
      <c r="AH1444" s="269"/>
      <c r="AI1444" s="269"/>
      <c r="AJ1444" s="269"/>
      <c r="AK1444" s="269"/>
      <c r="AL1444" s="269"/>
      <c r="AM1444" s="269"/>
    </row>
    <row r="1445" spans="1:39" ht="12.75" customHeight="1" x14ac:dyDescent="0.2">
      <c r="A1445" s="277" t="str">
        <f>IF(B1445="","",COUNT('Diário 5º PA'!$A$5:$A$2634)+COUNT('Diário 6º PA'!$A$5:$A$2246)+ROW()-4)</f>
        <v/>
      </c>
      <c r="B1445" s="278"/>
      <c r="C1445" s="335"/>
      <c r="D1445" s="255"/>
      <c r="E1445" s="255"/>
      <c r="F1445" s="258"/>
      <c r="G1445" s="450"/>
      <c r="H1445" s="255"/>
      <c r="I1445" s="250"/>
      <c r="J1445" s="255"/>
      <c r="K1445" s="255"/>
      <c r="L1445" s="250"/>
      <c r="M1445" s="277"/>
      <c r="N1445" s="277"/>
      <c r="O1445" s="329"/>
      <c r="P1445" s="330">
        <f t="shared" si="205"/>
        <v>0</v>
      </c>
      <c r="Q1445" s="330">
        <f t="shared" si="206"/>
        <v>0</v>
      </c>
      <c r="R1445" s="331" t="str">
        <f t="shared" si="207"/>
        <v/>
      </c>
      <c r="S1445" s="331" t="str">
        <f>IF(D1445="","",IF(OR(D1445=Plano!$A$1,D1445=Plano!$B$1),"entrada","saída"))</f>
        <v/>
      </c>
      <c r="T1445" s="345"/>
      <c r="U1445" s="345"/>
      <c r="V1445" s="269"/>
      <c r="W1445" s="269"/>
      <c r="X1445" s="269"/>
      <c r="Y1445" s="269"/>
      <c r="Z1445" s="269"/>
      <c r="AA1445" s="269"/>
      <c r="AB1445" s="269"/>
      <c r="AC1445" s="269"/>
      <c r="AD1445" s="269"/>
      <c r="AE1445" s="269"/>
      <c r="AF1445" s="269"/>
      <c r="AG1445" s="269"/>
      <c r="AH1445" s="269"/>
      <c r="AI1445" s="269"/>
      <c r="AJ1445" s="269"/>
      <c r="AK1445" s="269"/>
      <c r="AL1445" s="269"/>
      <c r="AM1445" s="269"/>
    </row>
    <row r="1446" spans="1:39" ht="12.75" customHeight="1" x14ac:dyDescent="0.2">
      <c r="A1446" s="277" t="str">
        <f>IF(B1446="","",COUNT('Diário 5º PA'!$A$5:$A$2634)+COUNT('Diário 6º PA'!$A$5:$A$2246)+ROW()-4)</f>
        <v/>
      </c>
      <c r="B1446" s="278"/>
      <c r="C1446" s="335"/>
      <c r="D1446" s="255"/>
      <c r="E1446" s="255"/>
      <c r="F1446" s="258"/>
      <c r="G1446" s="450"/>
      <c r="H1446" s="255"/>
      <c r="I1446" s="250"/>
      <c r="J1446" s="255"/>
      <c r="K1446" s="255"/>
      <c r="L1446" s="250"/>
      <c r="M1446" s="277"/>
      <c r="N1446" s="277"/>
      <c r="O1446" s="329"/>
      <c r="P1446" s="330">
        <f t="shared" si="205"/>
        <v>0</v>
      </c>
      <c r="Q1446" s="330">
        <f t="shared" si="206"/>
        <v>0</v>
      </c>
      <c r="R1446" s="331" t="str">
        <f t="shared" si="207"/>
        <v/>
      </c>
      <c r="S1446" s="331" t="str">
        <f>IF(D1446="","",IF(OR(D1446=Plano!$A$1,D1446=Plano!$B$1),"entrada","saída"))</f>
        <v/>
      </c>
      <c r="T1446" s="345"/>
      <c r="U1446" s="345"/>
      <c r="V1446" s="269"/>
      <c r="W1446" s="269"/>
      <c r="X1446" s="269"/>
      <c r="Y1446" s="269"/>
      <c r="Z1446" s="269"/>
      <c r="AA1446" s="269"/>
      <c r="AB1446" s="269"/>
      <c r="AC1446" s="269"/>
      <c r="AD1446" s="269"/>
      <c r="AE1446" s="269"/>
      <c r="AF1446" s="269"/>
      <c r="AG1446" s="269"/>
      <c r="AH1446" s="269"/>
      <c r="AI1446" s="269"/>
      <c r="AJ1446" s="269"/>
      <c r="AK1446" s="269"/>
      <c r="AL1446" s="269"/>
      <c r="AM1446" s="269"/>
    </row>
    <row r="1447" spans="1:39" ht="12.75" customHeight="1" x14ac:dyDescent="0.2">
      <c r="A1447" s="277" t="str">
        <f>IF(B1447="","",COUNT('Diário 5º PA'!$A$5:$A$2634)+COUNT('Diário 6º PA'!$A$5:$A$2246)+ROW()-4)</f>
        <v/>
      </c>
      <c r="B1447" s="278"/>
      <c r="C1447" s="335"/>
      <c r="D1447" s="255"/>
      <c r="E1447" s="255"/>
      <c r="F1447" s="258"/>
      <c r="G1447" s="450"/>
      <c r="H1447" s="255"/>
      <c r="I1447" s="250"/>
      <c r="J1447" s="255"/>
      <c r="K1447" s="255"/>
      <c r="L1447" s="250"/>
      <c r="M1447" s="277"/>
      <c r="N1447" s="277"/>
      <c r="O1447" s="329"/>
      <c r="P1447" s="330">
        <f t="shared" si="205"/>
        <v>0</v>
      </c>
      <c r="Q1447" s="330">
        <f t="shared" si="206"/>
        <v>0</v>
      </c>
      <c r="R1447" s="331" t="str">
        <f t="shared" si="207"/>
        <v/>
      </c>
      <c r="S1447" s="331" t="str">
        <f>IF(D1447="","",IF(OR(D1447=Plano!$A$1,D1447=Plano!$B$1),"entrada","saída"))</f>
        <v/>
      </c>
      <c r="T1447" s="345"/>
      <c r="U1447" s="345"/>
      <c r="V1447" s="269"/>
      <c r="W1447" s="269"/>
      <c r="X1447" s="269"/>
      <c r="Y1447" s="269"/>
      <c r="Z1447" s="269"/>
      <c r="AA1447" s="269"/>
      <c r="AB1447" s="269"/>
      <c r="AC1447" s="269"/>
      <c r="AD1447" s="269"/>
      <c r="AE1447" s="269"/>
      <c r="AF1447" s="269"/>
      <c r="AG1447" s="269"/>
      <c r="AH1447" s="269"/>
      <c r="AI1447" s="269"/>
      <c r="AJ1447" s="269"/>
      <c r="AK1447" s="269"/>
      <c r="AL1447" s="269"/>
      <c r="AM1447" s="269"/>
    </row>
    <row r="1448" spans="1:39" ht="12.75" customHeight="1" x14ac:dyDescent="0.2">
      <c r="A1448" s="277" t="str">
        <f>IF(B1448="","",COUNT('Diário 5º PA'!$A$5:$A$2634)+COUNT('Diário 6º PA'!$A$5:$A$2246)+ROW()-4)</f>
        <v/>
      </c>
      <c r="B1448" s="278"/>
      <c r="C1448" s="335"/>
      <c r="D1448" s="255"/>
      <c r="E1448" s="255"/>
      <c r="F1448" s="258"/>
      <c r="G1448" s="450"/>
      <c r="H1448" s="255"/>
      <c r="I1448" s="250"/>
      <c r="J1448" s="255"/>
      <c r="K1448" s="255"/>
      <c r="L1448" s="250"/>
      <c r="M1448" s="277"/>
      <c r="N1448" s="277"/>
      <c r="O1448" s="329"/>
      <c r="P1448" s="330">
        <f t="shared" si="205"/>
        <v>0</v>
      </c>
      <c r="Q1448" s="330">
        <f t="shared" si="206"/>
        <v>0</v>
      </c>
      <c r="R1448" s="331" t="str">
        <f t="shared" si="207"/>
        <v/>
      </c>
      <c r="S1448" s="331" t="str">
        <f>IF(D1448="","",IF(OR(D1448=Plano!$A$1,D1448=Plano!$B$1),"entrada","saída"))</f>
        <v/>
      </c>
      <c r="T1448" s="345"/>
      <c r="U1448" s="345"/>
      <c r="V1448" s="269"/>
      <c r="W1448" s="269"/>
      <c r="X1448" s="269"/>
      <c r="Y1448" s="269"/>
      <c r="Z1448" s="269"/>
      <c r="AA1448" s="269"/>
      <c r="AB1448" s="269"/>
      <c r="AC1448" s="269"/>
      <c r="AD1448" s="269"/>
      <c r="AE1448" s="269"/>
      <c r="AF1448" s="269"/>
      <c r="AG1448" s="269"/>
      <c r="AH1448" s="269"/>
      <c r="AI1448" s="269"/>
      <c r="AJ1448" s="269"/>
      <c r="AK1448" s="269"/>
      <c r="AL1448" s="269"/>
      <c r="AM1448" s="269"/>
    </row>
    <row r="1449" spans="1:39" ht="12.75" customHeight="1" x14ac:dyDescent="0.2">
      <c r="A1449" s="277" t="str">
        <f>IF(B1449="","",COUNT('Diário 5º PA'!$A$5:$A$2634)+COUNT('Diário 6º PA'!$A$5:$A$2246)+ROW()-4)</f>
        <v/>
      </c>
      <c r="B1449" s="278"/>
      <c r="C1449" s="335"/>
      <c r="D1449" s="255"/>
      <c r="E1449" s="255"/>
      <c r="F1449" s="258"/>
      <c r="G1449" s="450"/>
      <c r="H1449" s="255"/>
      <c r="I1449" s="250"/>
      <c r="J1449" s="255"/>
      <c r="K1449" s="255"/>
      <c r="L1449" s="250"/>
      <c r="M1449" s="277"/>
      <c r="N1449" s="277"/>
      <c r="O1449" s="329"/>
      <c r="P1449" s="330">
        <f t="shared" si="205"/>
        <v>0</v>
      </c>
      <c r="Q1449" s="330">
        <f t="shared" si="206"/>
        <v>0</v>
      </c>
      <c r="R1449" s="331" t="str">
        <f t="shared" si="207"/>
        <v/>
      </c>
      <c r="S1449" s="331" t="str">
        <f>IF(D1449="","",IF(OR(D1449=Plano!$A$1,D1449=Plano!$B$1),"entrada","saída"))</f>
        <v/>
      </c>
      <c r="T1449" s="345"/>
      <c r="U1449" s="345"/>
      <c r="V1449" s="269"/>
      <c r="W1449" s="269"/>
      <c r="X1449" s="269"/>
      <c r="Y1449" s="269"/>
      <c r="Z1449" s="269"/>
      <c r="AA1449" s="269"/>
      <c r="AB1449" s="269"/>
      <c r="AC1449" s="269"/>
      <c r="AD1449" s="269"/>
      <c r="AE1449" s="269"/>
      <c r="AF1449" s="269"/>
      <c r="AG1449" s="269"/>
      <c r="AH1449" s="269"/>
      <c r="AI1449" s="269"/>
      <c r="AJ1449" s="269"/>
      <c r="AK1449" s="269"/>
      <c r="AL1449" s="269"/>
      <c r="AM1449" s="269"/>
    </row>
    <row r="1450" spans="1:39" ht="12.75" customHeight="1" x14ac:dyDescent="0.2">
      <c r="A1450" s="277" t="str">
        <f>IF(B1450="","",COUNT('Diário 5º PA'!$A$5:$A$2634)+COUNT('Diário 6º PA'!$A$5:$A$2246)+ROW()-4)</f>
        <v/>
      </c>
      <c r="B1450" s="278"/>
      <c r="C1450" s="335"/>
      <c r="D1450" s="255"/>
      <c r="E1450" s="255"/>
      <c r="F1450" s="258"/>
      <c r="G1450" s="450"/>
      <c r="H1450" s="255"/>
      <c r="I1450" s="250"/>
      <c r="J1450" s="255"/>
      <c r="K1450" s="255"/>
      <c r="L1450" s="250"/>
      <c r="M1450" s="277"/>
      <c r="N1450" s="277"/>
      <c r="O1450" s="329"/>
      <c r="P1450" s="330">
        <f t="shared" si="205"/>
        <v>0</v>
      </c>
      <c r="Q1450" s="330">
        <f t="shared" si="206"/>
        <v>0</v>
      </c>
      <c r="R1450" s="331" t="str">
        <f t="shared" si="207"/>
        <v/>
      </c>
      <c r="S1450" s="331" t="str">
        <f>IF(D1450="","",IF(OR(D1450=Plano!$A$1,D1450=Plano!$B$1),"entrada","saída"))</f>
        <v/>
      </c>
      <c r="T1450" s="345"/>
      <c r="U1450" s="345"/>
      <c r="V1450" s="269"/>
      <c r="W1450" s="269"/>
      <c r="X1450" s="269"/>
      <c r="Y1450" s="269"/>
      <c r="Z1450" s="269"/>
      <c r="AA1450" s="269"/>
      <c r="AB1450" s="269"/>
      <c r="AC1450" s="269"/>
      <c r="AD1450" s="269"/>
      <c r="AE1450" s="269"/>
      <c r="AF1450" s="269"/>
      <c r="AG1450" s="269"/>
      <c r="AH1450" s="269"/>
      <c r="AI1450" s="269"/>
      <c r="AJ1450" s="269"/>
      <c r="AK1450" s="269"/>
      <c r="AL1450" s="269"/>
      <c r="AM1450" s="269"/>
    </row>
    <row r="1451" spans="1:39" ht="12.75" customHeight="1" x14ac:dyDescent="0.2">
      <c r="A1451" s="277" t="str">
        <f>IF(B1451="","",COUNT('Diário 5º PA'!$A$5:$A$2634)+COUNT('Diário 6º PA'!$A$5:$A$2246)+ROW()-4)</f>
        <v/>
      </c>
      <c r="B1451" s="278"/>
      <c r="C1451" s="335"/>
      <c r="D1451" s="255"/>
      <c r="E1451" s="255"/>
      <c r="F1451" s="258"/>
      <c r="G1451" s="450"/>
      <c r="H1451" s="255"/>
      <c r="I1451" s="250"/>
      <c r="J1451" s="255"/>
      <c r="K1451" s="255"/>
      <c r="L1451" s="250"/>
      <c r="M1451" s="277"/>
      <c r="N1451" s="277"/>
      <c r="O1451" s="329"/>
      <c r="P1451" s="330">
        <f t="shared" ref="P1451:P1514" si="247">IF(B1451=0,0,IF(YEAR(B1451)=$Q$1,MONTH(B1451)-$P$1+1,(YEAR(B1451)-$Q$1)*12-$P$1+1+MONTH(B1451)))</f>
        <v>0</v>
      </c>
      <c r="Q1451" s="330">
        <f t="shared" ref="Q1451:Q1514" si="248">IF(C1451=0,0,IF(YEAR(C1451)=$Q$1,MONTH(C1451)-$P$1+1,(YEAR(C1451)-$Q$1)*12-$P$1+1+MONTH(C1451)))</f>
        <v>0</v>
      </c>
      <c r="R1451" s="331" t="str">
        <f t="shared" ref="R1451:R1514" si="249">SUBSTITUTE(D1451," ","_")</f>
        <v/>
      </c>
      <c r="S1451" s="331" t="str">
        <f>IF(D1451="","",IF(OR(D1451=Plano!$A$1,D1451=Plano!$B$1),"entrada","saída"))</f>
        <v/>
      </c>
      <c r="T1451" s="345"/>
      <c r="U1451" s="345"/>
      <c r="V1451" s="269"/>
      <c r="W1451" s="269"/>
      <c r="X1451" s="269"/>
      <c r="Y1451" s="269"/>
      <c r="Z1451" s="269"/>
      <c r="AA1451" s="269"/>
      <c r="AB1451" s="269"/>
      <c r="AC1451" s="269"/>
      <c r="AD1451" s="269"/>
      <c r="AE1451" s="269"/>
      <c r="AF1451" s="269"/>
      <c r="AG1451" s="269"/>
      <c r="AH1451" s="269"/>
      <c r="AI1451" s="269"/>
      <c r="AJ1451" s="269"/>
      <c r="AK1451" s="269"/>
      <c r="AL1451" s="269"/>
      <c r="AM1451" s="269"/>
    </row>
    <row r="1452" spans="1:39" ht="12.75" customHeight="1" x14ac:dyDescent="0.2">
      <c r="A1452" s="277" t="str">
        <f>IF(B1452="","",COUNT('Diário 5º PA'!$A$5:$A$2634)+COUNT('Diário 6º PA'!$A$5:$A$2246)+ROW()-4)</f>
        <v/>
      </c>
      <c r="B1452" s="278"/>
      <c r="C1452" s="335"/>
      <c r="D1452" s="255"/>
      <c r="E1452" s="255"/>
      <c r="F1452" s="258"/>
      <c r="G1452" s="450"/>
      <c r="H1452" s="255"/>
      <c r="I1452" s="250"/>
      <c r="J1452" s="255"/>
      <c r="K1452" s="255"/>
      <c r="L1452" s="250"/>
      <c r="M1452" s="277"/>
      <c r="N1452" s="277"/>
      <c r="O1452" s="329"/>
      <c r="P1452" s="330">
        <f t="shared" si="247"/>
        <v>0</v>
      </c>
      <c r="Q1452" s="330">
        <f t="shared" si="248"/>
        <v>0</v>
      </c>
      <c r="R1452" s="331" t="str">
        <f t="shared" si="249"/>
        <v/>
      </c>
      <c r="S1452" s="331" t="str">
        <f>IF(D1452="","",IF(OR(D1452=Plano!$A$1,D1452=Plano!$B$1),"entrada","saída"))</f>
        <v/>
      </c>
      <c r="T1452" s="345"/>
      <c r="U1452" s="345"/>
      <c r="V1452" s="269"/>
      <c r="W1452" s="269"/>
      <c r="X1452" s="269"/>
      <c r="Y1452" s="269"/>
      <c r="Z1452" s="269"/>
      <c r="AA1452" s="269"/>
      <c r="AB1452" s="269"/>
      <c r="AC1452" s="269"/>
      <c r="AD1452" s="269"/>
      <c r="AE1452" s="269"/>
      <c r="AF1452" s="269"/>
      <c r="AG1452" s="269"/>
      <c r="AH1452" s="269"/>
      <c r="AI1452" s="269"/>
      <c r="AJ1452" s="269"/>
      <c r="AK1452" s="269"/>
      <c r="AL1452" s="269"/>
      <c r="AM1452" s="269"/>
    </row>
    <row r="1453" spans="1:39" ht="12.75" customHeight="1" x14ac:dyDescent="0.2">
      <c r="A1453" s="277" t="str">
        <f>IF(B1453="","",COUNT('Diário 5º PA'!$A$5:$A$2634)+COUNT('Diário 6º PA'!$A$5:$A$2246)+ROW()-4)</f>
        <v/>
      </c>
      <c r="B1453" s="278"/>
      <c r="C1453" s="335"/>
      <c r="D1453" s="255"/>
      <c r="E1453" s="255"/>
      <c r="F1453" s="258"/>
      <c r="G1453" s="450"/>
      <c r="H1453" s="255"/>
      <c r="I1453" s="250"/>
      <c r="J1453" s="255"/>
      <c r="K1453" s="255"/>
      <c r="L1453" s="250"/>
      <c r="M1453" s="277"/>
      <c r="N1453" s="277"/>
      <c r="O1453" s="329"/>
      <c r="P1453" s="330">
        <f t="shared" si="247"/>
        <v>0</v>
      </c>
      <c r="Q1453" s="330">
        <f t="shared" si="248"/>
        <v>0</v>
      </c>
      <c r="R1453" s="331" t="str">
        <f t="shared" si="249"/>
        <v/>
      </c>
      <c r="S1453" s="331" t="str">
        <f>IF(D1453="","",IF(OR(D1453=Plano!$A$1,D1453=Plano!$B$1),"entrada","saída"))</f>
        <v/>
      </c>
      <c r="T1453" s="345"/>
      <c r="U1453" s="345"/>
      <c r="V1453" s="269"/>
      <c r="W1453" s="269"/>
      <c r="X1453" s="269"/>
      <c r="Y1453" s="269"/>
      <c r="Z1453" s="269"/>
      <c r="AA1453" s="269"/>
      <c r="AB1453" s="269"/>
      <c r="AC1453" s="269"/>
      <c r="AD1453" s="269"/>
      <c r="AE1453" s="269"/>
      <c r="AF1453" s="269"/>
      <c r="AG1453" s="269"/>
      <c r="AH1453" s="269"/>
      <c r="AI1453" s="269"/>
      <c r="AJ1453" s="269"/>
      <c r="AK1453" s="269"/>
      <c r="AL1453" s="269"/>
      <c r="AM1453" s="269"/>
    </row>
    <row r="1454" spans="1:39" ht="12.75" customHeight="1" x14ac:dyDescent="0.2">
      <c r="A1454" s="277" t="str">
        <f>IF(B1454="","",COUNT('Diário 5º PA'!$A$5:$A$2634)+COUNT('Diário 6º PA'!$A$5:$A$2246)+ROW()-4)</f>
        <v/>
      </c>
      <c r="B1454" s="278"/>
      <c r="C1454" s="335"/>
      <c r="D1454" s="255"/>
      <c r="E1454" s="255"/>
      <c r="F1454" s="258"/>
      <c r="G1454" s="450"/>
      <c r="H1454" s="255"/>
      <c r="I1454" s="250"/>
      <c r="J1454" s="255"/>
      <c r="K1454" s="255"/>
      <c r="L1454" s="250"/>
      <c r="M1454" s="277"/>
      <c r="N1454" s="277"/>
      <c r="O1454" s="329"/>
      <c r="P1454" s="330">
        <f t="shared" si="247"/>
        <v>0</v>
      </c>
      <c r="Q1454" s="330">
        <f t="shared" si="248"/>
        <v>0</v>
      </c>
      <c r="R1454" s="331" t="str">
        <f t="shared" si="249"/>
        <v/>
      </c>
      <c r="S1454" s="331" t="str">
        <f>IF(D1454="","",IF(OR(D1454=Plano!$A$1,D1454=Plano!$B$1),"entrada","saída"))</f>
        <v/>
      </c>
      <c r="T1454" s="345"/>
      <c r="U1454" s="345"/>
      <c r="V1454" s="269"/>
      <c r="W1454" s="269"/>
      <c r="X1454" s="269"/>
      <c r="Y1454" s="269"/>
      <c r="Z1454" s="269"/>
      <c r="AA1454" s="269"/>
      <c r="AB1454" s="269"/>
      <c r="AC1454" s="269"/>
      <c r="AD1454" s="269"/>
      <c r="AE1454" s="269"/>
      <c r="AF1454" s="269"/>
      <c r="AG1454" s="269"/>
      <c r="AH1454" s="269"/>
      <c r="AI1454" s="269"/>
      <c r="AJ1454" s="269"/>
      <c r="AK1454" s="269"/>
      <c r="AL1454" s="269"/>
      <c r="AM1454" s="269"/>
    </row>
    <row r="1455" spans="1:39" ht="12.75" customHeight="1" x14ac:dyDescent="0.2">
      <c r="A1455" s="277" t="str">
        <f>IF(B1455="","",COUNT('Diário 5º PA'!$A$5:$A$2634)+COUNT('Diário 6º PA'!$A$5:$A$2246)+ROW()-4)</f>
        <v/>
      </c>
      <c r="B1455" s="278"/>
      <c r="C1455" s="335"/>
      <c r="D1455" s="255"/>
      <c r="E1455" s="255"/>
      <c r="F1455" s="258"/>
      <c r="G1455" s="450"/>
      <c r="H1455" s="255"/>
      <c r="I1455" s="250"/>
      <c r="J1455" s="255"/>
      <c r="K1455" s="255"/>
      <c r="L1455" s="250"/>
      <c r="M1455" s="277"/>
      <c r="N1455" s="277"/>
      <c r="O1455" s="329"/>
      <c r="P1455" s="330">
        <f t="shared" si="247"/>
        <v>0</v>
      </c>
      <c r="Q1455" s="330">
        <f t="shared" si="248"/>
        <v>0</v>
      </c>
      <c r="R1455" s="331" t="str">
        <f t="shared" si="249"/>
        <v/>
      </c>
      <c r="S1455" s="331" t="str">
        <f>IF(D1455="","",IF(OR(D1455=Plano!$A$1,D1455=Plano!$B$1),"entrada","saída"))</f>
        <v/>
      </c>
      <c r="T1455" s="345"/>
      <c r="U1455" s="345"/>
      <c r="V1455" s="269"/>
      <c r="W1455" s="269"/>
      <c r="X1455" s="269"/>
      <c r="Y1455" s="269"/>
      <c r="Z1455" s="269"/>
      <c r="AA1455" s="269"/>
      <c r="AB1455" s="269"/>
      <c r="AC1455" s="269"/>
      <c r="AD1455" s="269"/>
      <c r="AE1455" s="269"/>
      <c r="AF1455" s="269"/>
      <c r="AG1455" s="269"/>
      <c r="AH1455" s="269"/>
      <c r="AI1455" s="269"/>
      <c r="AJ1455" s="269"/>
      <c r="AK1455" s="269"/>
      <c r="AL1455" s="269"/>
      <c r="AM1455" s="269"/>
    </row>
    <row r="1456" spans="1:39" ht="12.75" customHeight="1" x14ac:dyDescent="0.2">
      <c r="A1456" s="277" t="str">
        <f>IF(B1456="","",COUNT('Diário 5º PA'!$A$5:$A$2634)+COUNT('Diário 6º PA'!$A$5:$A$2246)+ROW()-4)</f>
        <v/>
      </c>
      <c r="B1456" s="278"/>
      <c r="C1456" s="335"/>
      <c r="D1456" s="255"/>
      <c r="E1456" s="255"/>
      <c r="F1456" s="258"/>
      <c r="G1456" s="450"/>
      <c r="H1456" s="255"/>
      <c r="I1456" s="250"/>
      <c r="J1456" s="255"/>
      <c r="K1456" s="255"/>
      <c r="L1456" s="250"/>
      <c r="M1456" s="277"/>
      <c r="N1456" s="277"/>
      <c r="O1456" s="329"/>
      <c r="P1456" s="330">
        <f t="shared" si="247"/>
        <v>0</v>
      </c>
      <c r="Q1456" s="330">
        <f t="shared" si="248"/>
        <v>0</v>
      </c>
      <c r="R1456" s="331" t="str">
        <f t="shared" si="249"/>
        <v/>
      </c>
      <c r="S1456" s="331" t="str">
        <f>IF(D1456="","",IF(OR(D1456=Plano!$A$1,D1456=Plano!$B$1),"entrada","saída"))</f>
        <v/>
      </c>
      <c r="T1456" s="345"/>
      <c r="U1456" s="345"/>
      <c r="V1456" s="269"/>
      <c r="W1456" s="269"/>
      <c r="X1456" s="269"/>
      <c r="Y1456" s="269"/>
      <c r="Z1456" s="269"/>
      <c r="AA1456" s="269"/>
      <c r="AB1456" s="269"/>
      <c r="AC1456" s="269"/>
      <c r="AD1456" s="269"/>
      <c r="AE1456" s="269"/>
      <c r="AF1456" s="269"/>
      <c r="AG1456" s="269"/>
      <c r="AH1456" s="269"/>
      <c r="AI1456" s="269"/>
      <c r="AJ1456" s="269"/>
      <c r="AK1456" s="269"/>
      <c r="AL1456" s="269"/>
      <c r="AM1456" s="269"/>
    </row>
    <row r="1457" spans="1:39" ht="12.75" customHeight="1" x14ac:dyDescent="0.2">
      <c r="A1457" s="277" t="str">
        <f>IF(B1457="","",COUNT('Diário 5º PA'!$A$5:$A$2634)+COUNT('Diário 6º PA'!$A$5:$A$2246)+ROW()-4)</f>
        <v/>
      </c>
      <c r="B1457" s="278"/>
      <c r="C1457" s="335"/>
      <c r="D1457" s="255"/>
      <c r="E1457" s="255"/>
      <c r="F1457" s="258"/>
      <c r="G1457" s="450"/>
      <c r="H1457" s="255"/>
      <c r="I1457" s="250"/>
      <c r="J1457" s="255"/>
      <c r="K1457" s="255"/>
      <c r="L1457" s="250"/>
      <c r="M1457" s="277"/>
      <c r="N1457" s="277"/>
      <c r="O1457" s="329"/>
      <c r="P1457" s="330">
        <f t="shared" si="247"/>
        <v>0</v>
      </c>
      <c r="Q1457" s="330">
        <f t="shared" si="248"/>
        <v>0</v>
      </c>
      <c r="R1457" s="331" t="str">
        <f t="shared" si="249"/>
        <v/>
      </c>
      <c r="S1457" s="331" t="str">
        <f>IF(D1457="","",IF(OR(D1457=Plano!$A$1,D1457=Plano!$B$1),"entrada","saída"))</f>
        <v/>
      </c>
      <c r="T1457" s="345"/>
      <c r="U1457" s="345"/>
      <c r="V1457" s="269"/>
      <c r="W1457" s="269"/>
      <c r="X1457" s="269"/>
      <c r="Y1457" s="269"/>
      <c r="Z1457" s="269"/>
      <c r="AA1457" s="269"/>
      <c r="AB1457" s="269"/>
      <c r="AC1457" s="269"/>
      <c r="AD1457" s="269"/>
      <c r="AE1457" s="269"/>
      <c r="AF1457" s="269"/>
      <c r="AG1457" s="269"/>
      <c r="AH1457" s="269"/>
      <c r="AI1457" s="269"/>
      <c r="AJ1457" s="269"/>
      <c r="AK1457" s="269"/>
      <c r="AL1457" s="269"/>
      <c r="AM1457" s="269"/>
    </row>
    <row r="1458" spans="1:39" ht="12.75" customHeight="1" x14ac:dyDescent="0.2">
      <c r="A1458" s="277" t="str">
        <f>IF(B1458="","",COUNT('Diário 5º PA'!$A$5:$A$2634)+COUNT('Diário 6º PA'!$A$5:$A$2246)+ROW()-4)</f>
        <v/>
      </c>
      <c r="B1458" s="278"/>
      <c r="C1458" s="335"/>
      <c r="D1458" s="255"/>
      <c r="E1458" s="255"/>
      <c r="F1458" s="258"/>
      <c r="G1458" s="450"/>
      <c r="H1458" s="255"/>
      <c r="I1458" s="250"/>
      <c r="J1458" s="255"/>
      <c r="K1458" s="255"/>
      <c r="L1458" s="250"/>
      <c r="M1458" s="277"/>
      <c r="N1458" s="277"/>
      <c r="O1458" s="329"/>
      <c r="P1458" s="330">
        <f t="shared" si="247"/>
        <v>0</v>
      </c>
      <c r="Q1458" s="330">
        <f t="shared" si="248"/>
        <v>0</v>
      </c>
      <c r="R1458" s="331" t="str">
        <f t="shared" si="249"/>
        <v/>
      </c>
      <c r="S1458" s="331" t="str">
        <f>IF(D1458="","",IF(OR(D1458=Plano!$A$1,D1458=Plano!$B$1),"entrada","saída"))</f>
        <v/>
      </c>
      <c r="T1458" s="345"/>
      <c r="U1458" s="345"/>
      <c r="V1458" s="269"/>
      <c r="W1458" s="269"/>
      <c r="X1458" s="269"/>
      <c r="Y1458" s="269"/>
      <c r="Z1458" s="269"/>
      <c r="AA1458" s="269"/>
      <c r="AB1458" s="269"/>
      <c r="AC1458" s="269"/>
      <c r="AD1458" s="269"/>
      <c r="AE1458" s="269"/>
      <c r="AF1458" s="269"/>
      <c r="AG1458" s="269"/>
      <c r="AH1458" s="269"/>
      <c r="AI1458" s="269"/>
      <c r="AJ1458" s="269"/>
      <c r="AK1458" s="269"/>
      <c r="AL1458" s="269"/>
      <c r="AM1458" s="269"/>
    </row>
    <row r="1459" spans="1:39" ht="12.75" customHeight="1" x14ac:dyDescent="0.2">
      <c r="A1459" s="277" t="str">
        <f>IF(B1459="","",COUNT('Diário 5º PA'!$A$5:$A$2634)+COUNT('Diário 6º PA'!$A$5:$A$2246)+ROW()-4)</f>
        <v/>
      </c>
      <c r="B1459" s="278"/>
      <c r="C1459" s="335"/>
      <c r="D1459" s="255"/>
      <c r="E1459" s="255"/>
      <c r="F1459" s="258"/>
      <c r="G1459" s="450"/>
      <c r="H1459" s="255"/>
      <c r="I1459" s="250"/>
      <c r="J1459" s="255"/>
      <c r="K1459" s="255"/>
      <c r="L1459" s="250"/>
      <c r="M1459" s="277"/>
      <c r="N1459" s="277"/>
      <c r="O1459" s="329"/>
      <c r="P1459" s="330">
        <f t="shared" si="247"/>
        <v>0</v>
      </c>
      <c r="Q1459" s="330">
        <f t="shared" si="248"/>
        <v>0</v>
      </c>
      <c r="R1459" s="331" t="str">
        <f t="shared" si="249"/>
        <v/>
      </c>
      <c r="S1459" s="331" t="str">
        <f>IF(D1459="","",IF(OR(D1459=Plano!$A$1,D1459=Plano!$B$1),"entrada","saída"))</f>
        <v/>
      </c>
      <c r="T1459" s="345"/>
      <c r="U1459" s="345"/>
      <c r="V1459" s="269"/>
      <c r="W1459" s="269"/>
      <c r="X1459" s="269"/>
      <c r="Y1459" s="269"/>
      <c r="Z1459" s="269"/>
      <c r="AA1459" s="269"/>
      <c r="AB1459" s="269"/>
      <c r="AC1459" s="269"/>
      <c r="AD1459" s="269"/>
      <c r="AE1459" s="269"/>
      <c r="AF1459" s="269"/>
      <c r="AG1459" s="269"/>
      <c r="AH1459" s="269"/>
      <c r="AI1459" s="269"/>
      <c r="AJ1459" s="269"/>
      <c r="AK1459" s="269"/>
      <c r="AL1459" s="269"/>
      <c r="AM1459" s="269"/>
    </row>
    <row r="1460" spans="1:39" ht="12.75" customHeight="1" x14ac:dyDescent="0.2">
      <c r="A1460" s="277" t="str">
        <f>IF(B1460="","",COUNT('Diário 5º PA'!$A$5:$A$2634)+COUNT('Diário 6º PA'!$A$5:$A$2246)+ROW()-4)</f>
        <v/>
      </c>
      <c r="B1460" s="278"/>
      <c r="C1460" s="335"/>
      <c r="D1460" s="255"/>
      <c r="E1460" s="255"/>
      <c r="F1460" s="258"/>
      <c r="G1460" s="450"/>
      <c r="H1460" s="255"/>
      <c r="I1460" s="250"/>
      <c r="J1460" s="255"/>
      <c r="K1460" s="255"/>
      <c r="L1460" s="250"/>
      <c r="M1460" s="277"/>
      <c r="N1460" s="277"/>
      <c r="O1460" s="329"/>
      <c r="P1460" s="330">
        <f t="shared" si="247"/>
        <v>0</v>
      </c>
      <c r="Q1460" s="330">
        <f t="shared" si="248"/>
        <v>0</v>
      </c>
      <c r="R1460" s="331" t="str">
        <f t="shared" si="249"/>
        <v/>
      </c>
      <c r="S1460" s="331" t="str">
        <f>IF(D1460="","",IF(OR(D1460=Plano!$A$1,D1460=Plano!$B$1),"entrada","saída"))</f>
        <v/>
      </c>
      <c r="T1460" s="345"/>
      <c r="U1460" s="345"/>
      <c r="V1460" s="269"/>
      <c r="W1460" s="269"/>
      <c r="X1460" s="269"/>
      <c r="Y1460" s="269"/>
      <c r="Z1460" s="269"/>
      <c r="AA1460" s="269"/>
      <c r="AB1460" s="269"/>
      <c r="AC1460" s="269"/>
      <c r="AD1460" s="269"/>
      <c r="AE1460" s="269"/>
      <c r="AF1460" s="269"/>
      <c r="AG1460" s="269"/>
      <c r="AH1460" s="269"/>
      <c r="AI1460" s="269"/>
      <c r="AJ1460" s="269"/>
      <c r="AK1460" s="269"/>
      <c r="AL1460" s="269"/>
      <c r="AM1460" s="269"/>
    </row>
    <row r="1461" spans="1:39" ht="12.75" customHeight="1" x14ac:dyDescent="0.2">
      <c r="A1461" s="277" t="str">
        <f>IF(B1461="","",COUNT('Diário 5º PA'!$A$5:$A$2634)+COUNT('Diário 6º PA'!$A$5:$A$2246)+ROW()-4)</f>
        <v/>
      </c>
      <c r="B1461" s="278"/>
      <c r="C1461" s="335"/>
      <c r="D1461" s="255"/>
      <c r="E1461" s="255"/>
      <c r="F1461" s="258"/>
      <c r="G1461" s="450"/>
      <c r="H1461" s="255"/>
      <c r="I1461" s="250"/>
      <c r="J1461" s="255"/>
      <c r="K1461" s="255"/>
      <c r="L1461" s="250"/>
      <c r="M1461" s="277"/>
      <c r="N1461" s="277"/>
      <c r="O1461" s="329"/>
      <c r="P1461" s="330">
        <f t="shared" si="247"/>
        <v>0</v>
      </c>
      <c r="Q1461" s="330">
        <f t="shared" si="248"/>
        <v>0</v>
      </c>
      <c r="R1461" s="331" t="str">
        <f t="shared" si="249"/>
        <v/>
      </c>
      <c r="S1461" s="331" t="str">
        <f>IF(D1461="","",IF(OR(D1461=Plano!$A$1,D1461=Plano!$B$1),"entrada","saída"))</f>
        <v/>
      </c>
      <c r="T1461" s="345"/>
      <c r="U1461" s="345"/>
      <c r="V1461" s="269"/>
      <c r="W1461" s="269"/>
      <c r="X1461" s="269"/>
      <c r="Y1461" s="269"/>
      <c r="Z1461" s="269"/>
      <c r="AA1461" s="269"/>
      <c r="AB1461" s="269"/>
      <c r="AC1461" s="269"/>
      <c r="AD1461" s="269"/>
      <c r="AE1461" s="269"/>
      <c r="AF1461" s="269"/>
      <c r="AG1461" s="269"/>
      <c r="AH1461" s="269"/>
      <c r="AI1461" s="269"/>
      <c r="AJ1461" s="269"/>
      <c r="AK1461" s="269"/>
      <c r="AL1461" s="269"/>
      <c r="AM1461" s="269"/>
    </row>
    <row r="1462" spans="1:39" ht="12.75" customHeight="1" x14ac:dyDescent="0.2">
      <c r="A1462" s="277" t="str">
        <f>IF(B1462="","",COUNT('Diário 5º PA'!$A$5:$A$2634)+COUNT('Diário 6º PA'!$A$5:$A$2246)+ROW()-4)</f>
        <v/>
      </c>
      <c r="B1462" s="278"/>
      <c r="C1462" s="335"/>
      <c r="D1462" s="255"/>
      <c r="E1462" s="255"/>
      <c r="F1462" s="258"/>
      <c r="G1462" s="450"/>
      <c r="H1462" s="255"/>
      <c r="I1462" s="250"/>
      <c r="J1462" s="255"/>
      <c r="K1462" s="255"/>
      <c r="L1462" s="250"/>
      <c r="M1462" s="277"/>
      <c r="N1462" s="277"/>
      <c r="O1462" s="329"/>
      <c r="P1462" s="330">
        <f t="shared" si="247"/>
        <v>0</v>
      </c>
      <c r="Q1462" s="330">
        <f t="shared" si="248"/>
        <v>0</v>
      </c>
      <c r="R1462" s="331" t="str">
        <f t="shared" si="249"/>
        <v/>
      </c>
      <c r="S1462" s="331" t="str">
        <f>IF(D1462="","",IF(OR(D1462=Plano!$A$1,D1462=Plano!$B$1),"entrada","saída"))</f>
        <v/>
      </c>
      <c r="T1462" s="345"/>
      <c r="U1462" s="345"/>
      <c r="V1462" s="269"/>
      <c r="W1462" s="269"/>
      <c r="X1462" s="269"/>
      <c r="Y1462" s="269"/>
      <c r="Z1462" s="269"/>
      <c r="AA1462" s="269"/>
      <c r="AB1462" s="269"/>
      <c r="AC1462" s="269"/>
      <c r="AD1462" s="269"/>
      <c r="AE1462" s="269"/>
      <c r="AF1462" s="269"/>
      <c r="AG1462" s="269"/>
      <c r="AH1462" s="269"/>
      <c r="AI1462" s="269"/>
      <c r="AJ1462" s="269"/>
      <c r="AK1462" s="269"/>
      <c r="AL1462" s="269"/>
      <c r="AM1462" s="269"/>
    </row>
    <row r="1463" spans="1:39" ht="12.75" customHeight="1" x14ac:dyDescent="0.2">
      <c r="A1463" s="277" t="str">
        <f>IF(B1463="","",COUNT('Diário 5º PA'!$A$5:$A$2634)+COUNT('Diário 6º PA'!$A$5:$A$2246)+ROW()-4)</f>
        <v/>
      </c>
      <c r="B1463" s="278"/>
      <c r="C1463" s="335"/>
      <c r="D1463" s="255"/>
      <c r="E1463" s="255"/>
      <c r="F1463" s="258"/>
      <c r="G1463" s="450"/>
      <c r="H1463" s="255"/>
      <c r="I1463" s="250"/>
      <c r="J1463" s="255"/>
      <c r="K1463" s="255"/>
      <c r="L1463" s="250"/>
      <c r="M1463" s="277"/>
      <c r="N1463" s="277"/>
      <c r="O1463" s="329"/>
      <c r="P1463" s="330">
        <f t="shared" si="247"/>
        <v>0</v>
      </c>
      <c r="Q1463" s="330">
        <f t="shared" si="248"/>
        <v>0</v>
      </c>
      <c r="R1463" s="331" t="str">
        <f t="shared" si="249"/>
        <v/>
      </c>
      <c r="S1463" s="331" t="str">
        <f>IF(D1463="","",IF(OR(D1463=Plano!$A$1,D1463=Plano!$B$1),"entrada","saída"))</f>
        <v/>
      </c>
      <c r="T1463" s="345"/>
      <c r="U1463" s="345"/>
      <c r="V1463" s="269"/>
      <c r="W1463" s="269"/>
      <c r="X1463" s="269"/>
      <c r="Y1463" s="269"/>
      <c r="Z1463" s="269"/>
      <c r="AA1463" s="269"/>
      <c r="AB1463" s="269"/>
      <c r="AC1463" s="269"/>
      <c r="AD1463" s="269"/>
      <c r="AE1463" s="269"/>
      <c r="AF1463" s="269"/>
      <c r="AG1463" s="269"/>
      <c r="AH1463" s="269"/>
      <c r="AI1463" s="269"/>
      <c r="AJ1463" s="269"/>
      <c r="AK1463" s="269"/>
      <c r="AL1463" s="269"/>
      <c r="AM1463" s="269"/>
    </row>
    <row r="1464" spans="1:39" ht="12.75" customHeight="1" x14ac:dyDescent="0.2">
      <c r="A1464" s="277" t="str">
        <f>IF(B1464="","",COUNT('Diário 5º PA'!$A$5:$A$2634)+COUNT('Diário 6º PA'!$A$5:$A$2246)+ROW()-4)</f>
        <v/>
      </c>
      <c r="B1464" s="278"/>
      <c r="C1464" s="335"/>
      <c r="D1464" s="255"/>
      <c r="E1464" s="255"/>
      <c r="F1464" s="258"/>
      <c r="G1464" s="450"/>
      <c r="H1464" s="255"/>
      <c r="I1464" s="250"/>
      <c r="J1464" s="255"/>
      <c r="K1464" s="255"/>
      <c r="L1464" s="250"/>
      <c r="M1464" s="277"/>
      <c r="N1464" s="277"/>
      <c r="O1464" s="329"/>
      <c r="P1464" s="330">
        <f t="shared" si="247"/>
        <v>0</v>
      </c>
      <c r="Q1464" s="330">
        <f t="shared" si="248"/>
        <v>0</v>
      </c>
      <c r="R1464" s="331" t="str">
        <f t="shared" si="249"/>
        <v/>
      </c>
      <c r="S1464" s="331" t="str">
        <f>IF(D1464="","",IF(OR(D1464=Plano!$A$1,D1464=Plano!$B$1),"entrada","saída"))</f>
        <v/>
      </c>
      <c r="T1464" s="345"/>
      <c r="U1464" s="345"/>
      <c r="V1464" s="269"/>
      <c r="W1464" s="269"/>
      <c r="X1464" s="269"/>
      <c r="Y1464" s="269"/>
      <c r="Z1464" s="269"/>
      <c r="AA1464" s="269"/>
      <c r="AB1464" s="269"/>
      <c r="AC1464" s="269"/>
      <c r="AD1464" s="269"/>
      <c r="AE1464" s="269"/>
      <c r="AF1464" s="269"/>
      <c r="AG1464" s="269"/>
      <c r="AH1464" s="269"/>
      <c r="AI1464" s="269"/>
      <c r="AJ1464" s="269"/>
      <c r="AK1464" s="269"/>
      <c r="AL1464" s="269"/>
      <c r="AM1464" s="269"/>
    </row>
    <row r="1465" spans="1:39" ht="12.75" customHeight="1" x14ac:dyDescent="0.2">
      <c r="A1465" s="277" t="str">
        <f>IF(B1465="","",COUNT('Diário 5º PA'!$A$5:$A$2634)+COUNT('Diário 6º PA'!$A$5:$A$2246)+ROW()-4)</f>
        <v/>
      </c>
      <c r="B1465" s="278"/>
      <c r="C1465" s="335"/>
      <c r="D1465" s="255"/>
      <c r="E1465" s="255"/>
      <c r="F1465" s="258"/>
      <c r="G1465" s="450"/>
      <c r="H1465" s="255"/>
      <c r="I1465" s="250"/>
      <c r="J1465" s="255"/>
      <c r="K1465" s="255"/>
      <c r="L1465" s="250"/>
      <c r="M1465" s="277"/>
      <c r="N1465" s="277"/>
      <c r="O1465" s="329"/>
      <c r="P1465" s="330">
        <f t="shared" si="247"/>
        <v>0</v>
      </c>
      <c r="Q1465" s="330">
        <f t="shared" si="248"/>
        <v>0</v>
      </c>
      <c r="R1465" s="331" t="str">
        <f t="shared" si="249"/>
        <v/>
      </c>
      <c r="S1465" s="331" t="str">
        <f>IF(D1465="","",IF(OR(D1465=Plano!$A$1,D1465=Plano!$B$1),"entrada","saída"))</f>
        <v/>
      </c>
      <c r="T1465" s="345"/>
      <c r="U1465" s="345"/>
      <c r="V1465" s="269"/>
      <c r="W1465" s="269"/>
      <c r="X1465" s="269"/>
      <c r="Y1465" s="269"/>
      <c r="Z1465" s="269"/>
      <c r="AA1465" s="269"/>
      <c r="AB1465" s="269"/>
      <c r="AC1465" s="269"/>
      <c r="AD1465" s="269"/>
      <c r="AE1465" s="269"/>
      <c r="AF1465" s="269"/>
      <c r="AG1465" s="269"/>
      <c r="AH1465" s="269"/>
      <c r="AI1465" s="269"/>
      <c r="AJ1465" s="269"/>
      <c r="AK1465" s="269"/>
      <c r="AL1465" s="269"/>
      <c r="AM1465" s="269"/>
    </row>
    <row r="1466" spans="1:39" ht="12.75" customHeight="1" x14ac:dyDescent="0.2">
      <c r="A1466" s="277" t="str">
        <f>IF(B1466="","",COUNT('Diário 5º PA'!$A$5:$A$2634)+COUNT('Diário 6º PA'!$A$5:$A$2246)+ROW()-4)</f>
        <v/>
      </c>
      <c r="B1466" s="278"/>
      <c r="C1466" s="335"/>
      <c r="D1466" s="255"/>
      <c r="E1466" s="255"/>
      <c r="F1466" s="258"/>
      <c r="G1466" s="450"/>
      <c r="H1466" s="255"/>
      <c r="I1466" s="250"/>
      <c r="J1466" s="255"/>
      <c r="K1466" s="255"/>
      <c r="L1466" s="250"/>
      <c r="M1466" s="277"/>
      <c r="N1466" s="277"/>
      <c r="O1466" s="329"/>
      <c r="P1466" s="330">
        <f t="shared" si="247"/>
        <v>0</v>
      </c>
      <c r="Q1466" s="330">
        <f t="shared" si="248"/>
        <v>0</v>
      </c>
      <c r="R1466" s="331" t="str">
        <f t="shared" si="249"/>
        <v/>
      </c>
      <c r="S1466" s="331" t="str">
        <f>IF(D1466="","",IF(OR(D1466=Plano!$A$1,D1466=Plano!$B$1),"entrada","saída"))</f>
        <v/>
      </c>
      <c r="T1466" s="345"/>
      <c r="U1466" s="345"/>
      <c r="V1466" s="269"/>
      <c r="W1466" s="269"/>
      <c r="X1466" s="269"/>
      <c r="Y1466" s="269"/>
      <c r="Z1466" s="269"/>
      <c r="AA1466" s="269"/>
      <c r="AB1466" s="269"/>
      <c r="AC1466" s="269"/>
      <c r="AD1466" s="269"/>
      <c r="AE1466" s="269"/>
      <c r="AF1466" s="269"/>
      <c r="AG1466" s="269"/>
      <c r="AH1466" s="269"/>
      <c r="AI1466" s="269"/>
      <c r="AJ1466" s="269"/>
      <c r="AK1466" s="269"/>
      <c r="AL1466" s="269"/>
      <c r="AM1466" s="269"/>
    </row>
    <row r="1467" spans="1:39" ht="12.75" customHeight="1" x14ac:dyDescent="0.2">
      <c r="A1467" s="277" t="str">
        <f>IF(B1467="","",COUNT('Diário 5º PA'!$A$5:$A$2634)+COUNT('Diário 6º PA'!$A$5:$A$2246)+ROW()-4)</f>
        <v/>
      </c>
      <c r="B1467" s="278"/>
      <c r="C1467" s="335"/>
      <c r="D1467" s="255"/>
      <c r="E1467" s="255"/>
      <c r="F1467" s="258"/>
      <c r="G1467" s="450"/>
      <c r="H1467" s="255"/>
      <c r="I1467" s="250"/>
      <c r="J1467" s="255"/>
      <c r="K1467" s="255"/>
      <c r="L1467" s="250"/>
      <c r="M1467" s="277"/>
      <c r="N1467" s="277"/>
      <c r="O1467" s="329"/>
      <c r="P1467" s="330">
        <f t="shared" si="247"/>
        <v>0</v>
      </c>
      <c r="Q1467" s="330">
        <f t="shared" si="248"/>
        <v>0</v>
      </c>
      <c r="R1467" s="331" t="str">
        <f t="shared" si="249"/>
        <v/>
      </c>
      <c r="S1467" s="331" t="str">
        <f>IF(D1467="","",IF(OR(D1467=Plano!$A$1,D1467=Plano!$B$1),"entrada","saída"))</f>
        <v/>
      </c>
      <c r="T1467" s="345"/>
      <c r="U1467" s="345"/>
      <c r="V1467" s="269"/>
      <c r="W1467" s="269"/>
      <c r="X1467" s="269"/>
      <c r="Y1467" s="269"/>
      <c r="Z1467" s="269"/>
      <c r="AA1467" s="269"/>
      <c r="AB1467" s="269"/>
      <c r="AC1467" s="269"/>
      <c r="AD1467" s="269"/>
      <c r="AE1467" s="269"/>
      <c r="AF1467" s="269"/>
      <c r="AG1467" s="269"/>
      <c r="AH1467" s="269"/>
      <c r="AI1467" s="269"/>
      <c r="AJ1467" s="269"/>
      <c r="AK1467" s="269"/>
      <c r="AL1467" s="269"/>
      <c r="AM1467" s="269"/>
    </row>
    <row r="1468" spans="1:39" ht="12.75" customHeight="1" x14ac:dyDescent="0.2">
      <c r="A1468" s="277" t="str">
        <f>IF(B1468="","",COUNT('Diário 5º PA'!$A$5:$A$2634)+COUNT('Diário 6º PA'!$A$5:$A$2246)+ROW()-4)</f>
        <v/>
      </c>
      <c r="B1468" s="278"/>
      <c r="C1468" s="335"/>
      <c r="D1468" s="255"/>
      <c r="E1468" s="255"/>
      <c r="F1468" s="258"/>
      <c r="G1468" s="450"/>
      <c r="H1468" s="255"/>
      <c r="I1468" s="250"/>
      <c r="J1468" s="255"/>
      <c r="K1468" s="255"/>
      <c r="L1468" s="250"/>
      <c r="M1468" s="277"/>
      <c r="N1468" s="277"/>
      <c r="O1468" s="329"/>
      <c r="P1468" s="330">
        <f t="shared" si="247"/>
        <v>0</v>
      </c>
      <c r="Q1468" s="330">
        <f t="shared" si="248"/>
        <v>0</v>
      </c>
      <c r="R1468" s="331" t="str">
        <f t="shared" si="249"/>
        <v/>
      </c>
      <c r="S1468" s="331" t="str">
        <f>IF(D1468="","",IF(OR(D1468=Plano!$A$1,D1468=Plano!$B$1),"entrada","saída"))</f>
        <v/>
      </c>
      <c r="T1468" s="345"/>
      <c r="U1468" s="345"/>
      <c r="V1468" s="269"/>
      <c r="W1468" s="269"/>
      <c r="X1468" s="269"/>
      <c r="Y1468" s="269"/>
      <c r="Z1468" s="269"/>
      <c r="AA1468" s="269"/>
      <c r="AB1468" s="269"/>
      <c r="AC1468" s="269"/>
      <c r="AD1468" s="269"/>
      <c r="AE1468" s="269"/>
      <c r="AF1468" s="269"/>
      <c r="AG1468" s="269"/>
      <c r="AH1468" s="269"/>
      <c r="AI1468" s="269"/>
      <c r="AJ1468" s="269"/>
      <c r="AK1468" s="269"/>
      <c r="AL1468" s="269"/>
      <c r="AM1468" s="269"/>
    </row>
    <row r="1469" spans="1:39" ht="12.75" customHeight="1" x14ac:dyDescent="0.2">
      <c r="A1469" s="277" t="str">
        <f>IF(B1469="","",COUNT('Diário 5º PA'!$A$5:$A$2634)+COUNT('Diário 6º PA'!$A$5:$A$2246)+ROW()-4)</f>
        <v/>
      </c>
      <c r="B1469" s="278"/>
      <c r="C1469" s="335"/>
      <c r="D1469" s="255"/>
      <c r="E1469" s="255"/>
      <c r="F1469" s="258"/>
      <c r="G1469" s="450"/>
      <c r="H1469" s="255"/>
      <c r="I1469" s="250"/>
      <c r="J1469" s="255"/>
      <c r="K1469" s="255"/>
      <c r="L1469" s="250"/>
      <c r="M1469" s="277"/>
      <c r="N1469" s="277"/>
      <c r="O1469" s="329"/>
      <c r="P1469" s="330">
        <f t="shared" si="247"/>
        <v>0</v>
      </c>
      <c r="Q1469" s="330">
        <f t="shared" si="248"/>
        <v>0</v>
      </c>
      <c r="R1469" s="331" t="str">
        <f t="shared" si="249"/>
        <v/>
      </c>
      <c r="S1469" s="331" t="str">
        <f>IF(D1469="","",IF(OR(D1469=Plano!$A$1,D1469=Plano!$B$1),"entrada","saída"))</f>
        <v/>
      </c>
      <c r="T1469" s="345"/>
      <c r="U1469" s="345"/>
      <c r="V1469" s="269"/>
      <c r="W1469" s="269"/>
      <c r="X1469" s="269"/>
      <c r="Y1469" s="269"/>
      <c r="Z1469" s="269"/>
      <c r="AA1469" s="269"/>
      <c r="AB1469" s="269"/>
      <c r="AC1469" s="269"/>
      <c r="AD1469" s="269"/>
      <c r="AE1469" s="269"/>
      <c r="AF1469" s="269"/>
      <c r="AG1469" s="269"/>
      <c r="AH1469" s="269"/>
      <c r="AI1469" s="269"/>
      <c r="AJ1469" s="269"/>
      <c r="AK1469" s="269"/>
      <c r="AL1469" s="269"/>
      <c r="AM1469" s="269"/>
    </row>
    <row r="1470" spans="1:39" ht="12.75" customHeight="1" x14ac:dyDescent="0.2">
      <c r="A1470" s="277" t="str">
        <f>IF(B1470="","",COUNT('Diário 5º PA'!$A$5:$A$2634)+COUNT('Diário 6º PA'!$A$5:$A$2246)+ROW()-4)</f>
        <v/>
      </c>
      <c r="B1470" s="278"/>
      <c r="C1470" s="335"/>
      <c r="D1470" s="255"/>
      <c r="E1470" s="255"/>
      <c r="F1470" s="258"/>
      <c r="G1470" s="450"/>
      <c r="H1470" s="255"/>
      <c r="I1470" s="250"/>
      <c r="J1470" s="255"/>
      <c r="K1470" s="255"/>
      <c r="L1470" s="250"/>
      <c r="M1470" s="277"/>
      <c r="N1470" s="277"/>
      <c r="O1470" s="329"/>
      <c r="P1470" s="330">
        <f t="shared" si="247"/>
        <v>0</v>
      </c>
      <c r="Q1470" s="330">
        <f t="shared" si="248"/>
        <v>0</v>
      </c>
      <c r="R1470" s="331" t="str">
        <f t="shared" si="249"/>
        <v/>
      </c>
      <c r="S1470" s="331" t="str">
        <f>IF(D1470="","",IF(OR(D1470=Plano!$A$1,D1470=Plano!$B$1),"entrada","saída"))</f>
        <v/>
      </c>
      <c r="T1470" s="345"/>
      <c r="U1470" s="345"/>
      <c r="V1470" s="269"/>
      <c r="W1470" s="269"/>
      <c r="X1470" s="269"/>
      <c r="Y1470" s="269"/>
      <c r="Z1470" s="269"/>
      <c r="AA1470" s="269"/>
      <c r="AB1470" s="269"/>
      <c r="AC1470" s="269"/>
      <c r="AD1470" s="269"/>
      <c r="AE1470" s="269"/>
      <c r="AF1470" s="269"/>
      <c r="AG1470" s="269"/>
      <c r="AH1470" s="269"/>
      <c r="AI1470" s="269"/>
      <c r="AJ1470" s="269"/>
      <c r="AK1470" s="269"/>
      <c r="AL1470" s="269"/>
      <c r="AM1470" s="269"/>
    </row>
    <row r="1471" spans="1:39" ht="12.75" customHeight="1" x14ac:dyDescent="0.2">
      <c r="A1471" s="277" t="str">
        <f>IF(B1471="","",COUNT('Diário 5º PA'!$A$5:$A$2634)+COUNT('Diário 6º PA'!$A$5:$A$2246)+ROW()-4)</f>
        <v/>
      </c>
      <c r="B1471" s="278"/>
      <c r="C1471" s="335"/>
      <c r="D1471" s="255"/>
      <c r="E1471" s="255"/>
      <c r="F1471" s="258"/>
      <c r="G1471" s="450"/>
      <c r="H1471" s="255"/>
      <c r="I1471" s="250"/>
      <c r="J1471" s="255"/>
      <c r="K1471" s="255"/>
      <c r="L1471" s="250"/>
      <c r="M1471" s="277"/>
      <c r="N1471" s="277"/>
      <c r="O1471" s="329"/>
      <c r="P1471" s="330">
        <f t="shared" si="247"/>
        <v>0</v>
      </c>
      <c r="Q1471" s="330">
        <f t="shared" si="248"/>
        <v>0</v>
      </c>
      <c r="R1471" s="331" t="str">
        <f t="shared" si="249"/>
        <v/>
      </c>
      <c r="S1471" s="331" t="str">
        <f>IF(D1471="","",IF(OR(D1471=Plano!$A$1,D1471=Plano!$B$1),"entrada","saída"))</f>
        <v/>
      </c>
      <c r="T1471" s="345"/>
      <c r="U1471" s="345"/>
      <c r="V1471" s="269"/>
      <c r="W1471" s="269"/>
      <c r="X1471" s="269"/>
      <c r="Y1471" s="269"/>
      <c r="Z1471" s="269"/>
      <c r="AA1471" s="269"/>
      <c r="AB1471" s="269"/>
      <c r="AC1471" s="269"/>
      <c r="AD1471" s="269"/>
      <c r="AE1471" s="269"/>
      <c r="AF1471" s="269"/>
      <c r="AG1471" s="269"/>
      <c r="AH1471" s="269"/>
      <c r="AI1471" s="269"/>
      <c r="AJ1471" s="269"/>
      <c r="AK1471" s="269"/>
      <c r="AL1471" s="269"/>
      <c r="AM1471" s="269"/>
    </row>
    <row r="1472" spans="1:39" ht="12.75" customHeight="1" x14ac:dyDescent="0.2">
      <c r="A1472" s="277" t="str">
        <f>IF(B1472="","",COUNT('Diário 5º PA'!$A$5:$A$2634)+COUNT('Diário 6º PA'!$A$5:$A$2246)+ROW()-4)</f>
        <v/>
      </c>
      <c r="B1472" s="278"/>
      <c r="C1472" s="335"/>
      <c r="D1472" s="255"/>
      <c r="E1472" s="255"/>
      <c r="F1472" s="258"/>
      <c r="G1472" s="450"/>
      <c r="H1472" s="255"/>
      <c r="I1472" s="250"/>
      <c r="J1472" s="255"/>
      <c r="K1472" s="255"/>
      <c r="L1472" s="250"/>
      <c r="M1472" s="277"/>
      <c r="N1472" s="277"/>
      <c r="O1472" s="329"/>
      <c r="P1472" s="330">
        <f t="shared" si="247"/>
        <v>0</v>
      </c>
      <c r="Q1472" s="330">
        <f t="shared" si="248"/>
        <v>0</v>
      </c>
      <c r="R1472" s="331" t="str">
        <f t="shared" si="249"/>
        <v/>
      </c>
      <c r="S1472" s="331" t="str">
        <f>IF(D1472="","",IF(OR(D1472=Plano!$A$1,D1472=Plano!$B$1),"entrada","saída"))</f>
        <v/>
      </c>
      <c r="T1472" s="345"/>
      <c r="U1472" s="345"/>
      <c r="V1472" s="269"/>
      <c r="W1472" s="269"/>
      <c r="X1472" s="269"/>
      <c r="Y1472" s="269"/>
      <c r="Z1472" s="269"/>
      <c r="AA1472" s="269"/>
      <c r="AB1472" s="269"/>
      <c r="AC1472" s="269"/>
      <c r="AD1472" s="269"/>
      <c r="AE1472" s="269"/>
      <c r="AF1472" s="269"/>
      <c r="AG1472" s="269"/>
      <c r="AH1472" s="269"/>
      <c r="AI1472" s="269"/>
      <c r="AJ1472" s="269"/>
      <c r="AK1472" s="269"/>
      <c r="AL1472" s="269"/>
      <c r="AM1472" s="269"/>
    </row>
    <row r="1473" spans="1:39" ht="12.75" customHeight="1" x14ac:dyDescent="0.2">
      <c r="A1473" s="277" t="str">
        <f>IF(B1473="","",COUNT('Diário 5º PA'!$A$5:$A$2634)+COUNT('Diário 6º PA'!$A$5:$A$2246)+ROW()-4)</f>
        <v/>
      </c>
      <c r="B1473" s="278"/>
      <c r="C1473" s="335"/>
      <c r="D1473" s="255"/>
      <c r="E1473" s="255"/>
      <c r="F1473" s="258"/>
      <c r="G1473" s="450"/>
      <c r="H1473" s="255"/>
      <c r="I1473" s="250"/>
      <c r="J1473" s="255"/>
      <c r="K1473" s="255"/>
      <c r="L1473" s="250"/>
      <c r="M1473" s="277"/>
      <c r="N1473" s="277"/>
      <c r="O1473" s="329"/>
      <c r="P1473" s="330">
        <f t="shared" si="247"/>
        <v>0</v>
      </c>
      <c r="Q1473" s="330">
        <f t="shared" si="248"/>
        <v>0</v>
      </c>
      <c r="R1473" s="331" t="str">
        <f t="shared" si="249"/>
        <v/>
      </c>
      <c r="S1473" s="331" t="str">
        <f>IF(D1473="","",IF(OR(D1473=Plano!$A$1,D1473=Plano!$B$1),"entrada","saída"))</f>
        <v/>
      </c>
      <c r="T1473" s="345"/>
      <c r="U1473" s="345"/>
      <c r="V1473" s="269"/>
      <c r="W1473" s="269"/>
      <c r="X1473" s="269"/>
      <c r="Y1473" s="269"/>
      <c r="Z1473" s="269"/>
      <c r="AA1473" s="269"/>
      <c r="AB1473" s="269"/>
      <c r="AC1473" s="269"/>
      <c r="AD1473" s="269"/>
      <c r="AE1473" s="269"/>
      <c r="AF1473" s="269"/>
      <c r="AG1473" s="269"/>
      <c r="AH1473" s="269"/>
      <c r="AI1473" s="269"/>
      <c r="AJ1473" s="269"/>
      <c r="AK1473" s="269"/>
      <c r="AL1473" s="269"/>
      <c r="AM1473" s="269"/>
    </row>
    <row r="1474" spans="1:39" ht="12.75" customHeight="1" x14ac:dyDescent="0.2">
      <c r="A1474" s="277" t="str">
        <f>IF(B1474="","",COUNT('Diário 5º PA'!$A$5:$A$2634)+COUNT('Diário 6º PA'!$A$5:$A$2246)+ROW()-4)</f>
        <v/>
      </c>
      <c r="B1474" s="278"/>
      <c r="C1474" s="335"/>
      <c r="D1474" s="255"/>
      <c r="E1474" s="255"/>
      <c r="F1474" s="258"/>
      <c r="G1474" s="450"/>
      <c r="H1474" s="255"/>
      <c r="I1474" s="250"/>
      <c r="J1474" s="255"/>
      <c r="K1474" s="255"/>
      <c r="L1474" s="250"/>
      <c r="M1474" s="277"/>
      <c r="N1474" s="277"/>
      <c r="O1474" s="329"/>
      <c r="P1474" s="330">
        <f t="shared" si="247"/>
        <v>0</v>
      </c>
      <c r="Q1474" s="330">
        <f t="shared" si="248"/>
        <v>0</v>
      </c>
      <c r="R1474" s="331" t="str">
        <f t="shared" si="249"/>
        <v/>
      </c>
      <c r="S1474" s="331" t="str">
        <f>IF(D1474="","",IF(OR(D1474=Plano!$A$1,D1474=Plano!$B$1),"entrada","saída"))</f>
        <v/>
      </c>
      <c r="T1474" s="345"/>
      <c r="U1474" s="345"/>
      <c r="V1474" s="269"/>
      <c r="W1474" s="269"/>
      <c r="X1474" s="269"/>
      <c r="Y1474" s="269"/>
      <c r="Z1474" s="269"/>
      <c r="AA1474" s="269"/>
      <c r="AB1474" s="269"/>
      <c r="AC1474" s="269"/>
      <c r="AD1474" s="269"/>
      <c r="AE1474" s="269"/>
      <c r="AF1474" s="269"/>
      <c r="AG1474" s="269"/>
      <c r="AH1474" s="269"/>
      <c r="AI1474" s="269"/>
      <c r="AJ1474" s="269"/>
      <c r="AK1474" s="269"/>
      <c r="AL1474" s="269"/>
      <c r="AM1474" s="269"/>
    </row>
    <row r="1475" spans="1:39" ht="12.75" customHeight="1" x14ac:dyDescent="0.2">
      <c r="A1475" s="277" t="str">
        <f>IF(B1475="","",COUNT('Diário 5º PA'!$A$5:$A$2634)+COUNT('Diário 6º PA'!$A$5:$A$2246)+ROW()-4)</f>
        <v/>
      </c>
      <c r="B1475" s="278"/>
      <c r="C1475" s="335"/>
      <c r="D1475" s="255"/>
      <c r="E1475" s="255"/>
      <c r="F1475" s="258"/>
      <c r="G1475" s="450"/>
      <c r="H1475" s="255"/>
      <c r="I1475" s="250"/>
      <c r="J1475" s="255"/>
      <c r="K1475" s="255"/>
      <c r="L1475" s="250"/>
      <c r="M1475" s="277"/>
      <c r="N1475" s="277"/>
      <c r="O1475" s="329"/>
      <c r="P1475" s="330">
        <f t="shared" si="247"/>
        <v>0</v>
      </c>
      <c r="Q1475" s="330">
        <f t="shared" si="248"/>
        <v>0</v>
      </c>
      <c r="R1475" s="331" t="str">
        <f t="shared" si="249"/>
        <v/>
      </c>
      <c r="S1475" s="331" t="str">
        <f>IF(D1475="","",IF(OR(D1475=Plano!$A$1,D1475=Plano!$B$1),"entrada","saída"))</f>
        <v/>
      </c>
      <c r="T1475" s="345"/>
      <c r="U1475" s="345"/>
      <c r="V1475" s="269"/>
      <c r="W1475" s="269"/>
      <c r="X1475" s="269"/>
      <c r="Y1475" s="269"/>
      <c r="Z1475" s="269"/>
      <c r="AA1475" s="269"/>
      <c r="AB1475" s="269"/>
      <c r="AC1475" s="269"/>
      <c r="AD1475" s="269"/>
      <c r="AE1475" s="269"/>
      <c r="AF1475" s="269"/>
      <c r="AG1475" s="269"/>
      <c r="AH1475" s="269"/>
      <c r="AI1475" s="269"/>
      <c r="AJ1475" s="269"/>
      <c r="AK1475" s="269"/>
      <c r="AL1475" s="269"/>
      <c r="AM1475" s="269"/>
    </row>
    <row r="1476" spans="1:39" ht="12.75" customHeight="1" x14ac:dyDescent="0.2">
      <c r="A1476" s="277" t="str">
        <f>IF(B1476="","",COUNT('Diário 5º PA'!$A$5:$A$2634)+COUNT('Diário 6º PA'!$A$5:$A$2246)+ROW()-4)</f>
        <v/>
      </c>
      <c r="B1476" s="278"/>
      <c r="C1476" s="335"/>
      <c r="D1476" s="255"/>
      <c r="E1476" s="255"/>
      <c r="F1476" s="258"/>
      <c r="G1476" s="450"/>
      <c r="H1476" s="255"/>
      <c r="I1476" s="250"/>
      <c r="J1476" s="255"/>
      <c r="K1476" s="255"/>
      <c r="L1476" s="250"/>
      <c r="M1476" s="277"/>
      <c r="N1476" s="277"/>
      <c r="O1476" s="329"/>
      <c r="P1476" s="330">
        <f t="shared" si="247"/>
        <v>0</v>
      </c>
      <c r="Q1476" s="330">
        <f t="shared" si="248"/>
        <v>0</v>
      </c>
      <c r="R1476" s="331" t="str">
        <f t="shared" si="249"/>
        <v/>
      </c>
      <c r="S1476" s="331" t="str">
        <f>IF(D1476="","",IF(OR(D1476=Plano!$A$1,D1476=Plano!$B$1),"entrada","saída"))</f>
        <v/>
      </c>
      <c r="T1476" s="345"/>
      <c r="U1476" s="345"/>
      <c r="V1476" s="269"/>
      <c r="W1476" s="269"/>
      <c r="X1476" s="269"/>
      <c r="Y1476" s="269"/>
      <c r="Z1476" s="269"/>
      <c r="AA1476" s="269"/>
      <c r="AB1476" s="269"/>
      <c r="AC1476" s="269"/>
      <c r="AD1476" s="269"/>
      <c r="AE1476" s="269"/>
      <c r="AF1476" s="269"/>
      <c r="AG1476" s="269"/>
      <c r="AH1476" s="269"/>
      <c r="AI1476" s="269"/>
      <c r="AJ1476" s="269"/>
      <c r="AK1476" s="269"/>
      <c r="AL1476" s="269"/>
      <c r="AM1476" s="269"/>
    </row>
    <row r="1477" spans="1:39" ht="12.75" customHeight="1" x14ac:dyDescent="0.2">
      <c r="A1477" s="277" t="str">
        <f>IF(B1477="","",COUNT('Diário 5º PA'!$A$5:$A$2634)+COUNT('Diário 6º PA'!$A$5:$A$2246)+ROW()-4)</f>
        <v/>
      </c>
      <c r="B1477" s="278"/>
      <c r="C1477" s="335"/>
      <c r="D1477" s="255"/>
      <c r="E1477" s="255"/>
      <c r="F1477" s="258"/>
      <c r="G1477" s="450"/>
      <c r="H1477" s="255"/>
      <c r="I1477" s="250"/>
      <c r="J1477" s="255"/>
      <c r="K1477" s="255"/>
      <c r="L1477" s="250"/>
      <c r="M1477" s="277"/>
      <c r="N1477" s="277"/>
      <c r="O1477" s="329"/>
      <c r="P1477" s="330">
        <f t="shared" si="247"/>
        <v>0</v>
      </c>
      <c r="Q1477" s="330">
        <f t="shared" si="248"/>
        <v>0</v>
      </c>
      <c r="R1477" s="331" t="str">
        <f t="shared" si="249"/>
        <v/>
      </c>
      <c r="S1477" s="331" t="str">
        <f>IF(D1477="","",IF(OR(D1477=Plano!$A$1,D1477=Plano!$B$1),"entrada","saída"))</f>
        <v/>
      </c>
      <c r="T1477" s="345"/>
      <c r="U1477" s="345"/>
      <c r="V1477" s="269"/>
      <c r="W1477" s="269"/>
      <c r="X1477" s="269"/>
      <c r="Y1477" s="269"/>
      <c r="Z1477" s="269"/>
      <c r="AA1477" s="269"/>
      <c r="AB1477" s="269"/>
      <c r="AC1477" s="269"/>
      <c r="AD1477" s="269"/>
      <c r="AE1477" s="269"/>
      <c r="AF1477" s="269"/>
      <c r="AG1477" s="269"/>
      <c r="AH1477" s="269"/>
      <c r="AI1477" s="269"/>
      <c r="AJ1477" s="269"/>
      <c r="AK1477" s="269"/>
      <c r="AL1477" s="269"/>
      <c r="AM1477" s="269"/>
    </row>
    <row r="1478" spans="1:39" ht="12.75" customHeight="1" x14ac:dyDescent="0.2">
      <c r="A1478" s="277" t="str">
        <f>IF(B1478="","",COUNT('Diário 5º PA'!$A$5:$A$2634)+COUNT('Diário 6º PA'!$A$5:$A$2246)+ROW()-4)</f>
        <v/>
      </c>
      <c r="B1478" s="278"/>
      <c r="C1478" s="335"/>
      <c r="D1478" s="255"/>
      <c r="E1478" s="255"/>
      <c r="F1478" s="258"/>
      <c r="G1478" s="450"/>
      <c r="H1478" s="255"/>
      <c r="I1478" s="250"/>
      <c r="J1478" s="255"/>
      <c r="K1478" s="255"/>
      <c r="L1478" s="250"/>
      <c r="M1478" s="277"/>
      <c r="N1478" s="277"/>
      <c r="O1478" s="329"/>
      <c r="P1478" s="330">
        <f t="shared" si="247"/>
        <v>0</v>
      </c>
      <c r="Q1478" s="330">
        <f t="shared" si="248"/>
        <v>0</v>
      </c>
      <c r="R1478" s="331" t="str">
        <f t="shared" si="249"/>
        <v/>
      </c>
      <c r="S1478" s="331" t="str">
        <f>IF(D1478="","",IF(OR(D1478=Plano!$A$1,D1478=Plano!$B$1),"entrada","saída"))</f>
        <v/>
      </c>
      <c r="T1478" s="345"/>
      <c r="U1478" s="345"/>
      <c r="V1478" s="269"/>
      <c r="W1478" s="269"/>
      <c r="X1478" s="269"/>
      <c r="Y1478" s="269"/>
      <c r="Z1478" s="269"/>
      <c r="AA1478" s="269"/>
      <c r="AB1478" s="269"/>
      <c r="AC1478" s="269"/>
      <c r="AD1478" s="269"/>
      <c r="AE1478" s="269"/>
      <c r="AF1478" s="269"/>
      <c r="AG1478" s="269"/>
      <c r="AH1478" s="269"/>
      <c r="AI1478" s="269"/>
      <c r="AJ1478" s="269"/>
      <c r="AK1478" s="269"/>
      <c r="AL1478" s="269"/>
      <c r="AM1478" s="269"/>
    </row>
    <row r="1479" spans="1:39" ht="12.75" customHeight="1" x14ac:dyDescent="0.2">
      <c r="A1479" s="277" t="str">
        <f>IF(B1479="","",COUNT('Diário 5º PA'!$A$5:$A$2634)+COUNT('Diário 6º PA'!$A$5:$A$2246)+ROW()-4)</f>
        <v/>
      </c>
      <c r="B1479" s="278"/>
      <c r="C1479" s="335"/>
      <c r="D1479" s="255"/>
      <c r="E1479" s="255"/>
      <c r="F1479" s="258"/>
      <c r="G1479" s="450"/>
      <c r="H1479" s="255"/>
      <c r="I1479" s="250"/>
      <c r="J1479" s="255"/>
      <c r="K1479" s="255"/>
      <c r="L1479" s="250"/>
      <c r="M1479" s="277"/>
      <c r="N1479" s="277"/>
      <c r="O1479" s="329"/>
      <c r="P1479" s="330">
        <f t="shared" si="247"/>
        <v>0</v>
      </c>
      <c r="Q1479" s="330">
        <f t="shared" si="248"/>
        <v>0</v>
      </c>
      <c r="R1479" s="331" t="str">
        <f t="shared" si="249"/>
        <v/>
      </c>
      <c r="S1479" s="331" t="str">
        <f>IF(D1479="","",IF(OR(D1479=Plano!$A$1,D1479=Plano!$B$1),"entrada","saída"))</f>
        <v/>
      </c>
      <c r="T1479" s="345"/>
      <c r="U1479" s="345"/>
      <c r="V1479" s="269"/>
      <c r="W1479" s="269"/>
      <c r="X1479" s="269"/>
      <c r="Y1479" s="269"/>
      <c r="Z1479" s="269"/>
      <c r="AA1479" s="269"/>
      <c r="AB1479" s="269"/>
      <c r="AC1479" s="269"/>
      <c r="AD1479" s="269"/>
      <c r="AE1479" s="269"/>
      <c r="AF1479" s="269"/>
      <c r="AG1479" s="269"/>
      <c r="AH1479" s="269"/>
      <c r="AI1479" s="269"/>
      <c r="AJ1479" s="269"/>
      <c r="AK1479" s="269"/>
      <c r="AL1479" s="269"/>
      <c r="AM1479" s="269"/>
    </row>
    <row r="1480" spans="1:39" ht="12.75" customHeight="1" x14ac:dyDescent="0.2">
      <c r="A1480" s="277" t="str">
        <f>IF(B1480="","",COUNT('Diário 5º PA'!$A$5:$A$2634)+COUNT('Diário 6º PA'!$A$5:$A$2246)+ROW()-4)</f>
        <v/>
      </c>
      <c r="B1480" s="278"/>
      <c r="C1480" s="335"/>
      <c r="D1480" s="255"/>
      <c r="E1480" s="255"/>
      <c r="F1480" s="258"/>
      <c r="G1480" s="450"/>
      <c r="H1480" s="255"/>
      <c r="I1480" s="250"/>
      <c r="J1480" s="255"/>
      <c r="K1480" s="255"/>
      <c r="L1480" s="250"/>
      <c r="M1480" s="277"/>
      <c r="N1480" s="277"/>
      <c r="O1480" s="329"/>
      <c r="P1480" s="330">
        <f t="shared" si="247"/>
        <v>0</v>
      </c>
      <c r="Q1480" s="330">
        <f t="shared" si="248"/>
        <v>0</v>
      </c>
      <c r="R1480" s="331" t="str">
        <f t="shared" si="249"/>
        <v/>
      </c>
      <c r="S1480" s="331" t="str">
        <f>IF(D1480="","",IF(OR(D1480=Plano!$A$1,D1480=Plano!$B$1),"entrada","saída"))</f>
        <v/>
      </c>
      <c r="T1480" s="345"/>
      <c r="U1480" s="345"/>
      <c r="V1480" s="269"/>
      <c r="W1480" s="269"/>
      <c r="X1480" s="269"/>
      <c r="Y1480" s="269"/>
      <c r="Z1480" s="269"/>
      <c r="AA1480" s="269"/>
      <c r="AB1480" s="269"/>
      <c r="AC1480" s="269"/>
      <c r="AD1480" s="269"/>
      <c r="AE1480" s="269"/>
      <c r="AF1480" s="269"/>
      <c r="AG1480" s="269"/>
      <c r="AH1480" s="269"/>
      <c r="AI1480" s="269"/>
      <c r="AJ1480" s="269"/>
      <c r="AK1480" s="269"/>
      <c r="AL1480" s="269"/>
      <c r="AM1480" s="269"/>
    </row>
    <row r="1481" spans="1:39" ht="12.75" customHeight="1" x14ac:dyDescent="0.2">
      <c r="A1481" s="277" t="str">
        <f>IF(B1481="","",COUNT('Diário 5º PA'!$A$5:$A$2634)+COUNT('Diário 6º PA'!$A$5:$A$2246)+ROW()-4)</f>
        <v/>
      </c>
      <c r="B1481" s="278"/>
      <c r="C1481" s="335"/>
      <c r="D1481" s="255"/>
      <c r="E1481" s="255"/>
      <c r="F1481" s="258"/>
      <c r="G1481" s="450"/>
      <c r="H1481" s="255"/>
      <c r="I1481" s="250"/>
      <c r="J1481" s="255"/>
      <c r="K1481" s="255"/>
      <c r="L1481" s="250"/>
      <c r="M1481" s="277"/>
      <c r="N1481" s="277"/>
      <c r="O1481" s="329"/>
      <c r="P1481" s="330">
        <f t="shared" si="247"/>
        <v>0</v>
      </c>
      <c r="Q1481" s="330">
        <f t="shared" si="248"/>
        <v>0</v>
      </c>
      <c r="R1481" s="331" t="str">
        <f t="shared" si="249"/>
        <v/>
      </c>
      <c r="S1481" s="331" t="str">
        <f>IF(D1481="","",IF(OR(D1481=Plano!$A$1,D1481=Plano!$B$1),"entrada","saída"))</f>
        <v/>
      </c>
      <c r="T1481" s="345"/>
      <c r="U1481" s="345"/>
      <c r="V1481" s="269"/>
      <c r="W1481" s="269"/>
      <c r="X1481" s="269"/>
      <c r="Y1481" s="269"/>
      <c r="Z1481" s="269"/>
      <c r="AA1481" s="269"/>
      <c r="AB1481" s="269"/>
      <c r="AC1481" s="269"/>
      <c r="AD1481" s="269"/>
      <c r="AE1481" s="269"/>
      <c r="AF1481" s="269"/>
      <c r="AG1481" s="269"/>
      <c r="AH1481" s="269"/>
      <c r="AI1481" s="269"/>
      <c r="AJ1481" s="269"/>
      <c r="AK1481" s="269"/>
      <c r="AL1481" s="269"/>
      <c r="AM1481" s="269"/>
    </row>
    <row r="1482" spans="1:39" ht="12.75" customHeight="1" x14ac:dyDescent="0.2">
      <c r="A1482" s="277" t="str">
        <f>IF(B1482="","",COUNT('Diário 5º PA'!$A$5:$A$2634)+COUNT('Diário 6º PA'!$A$5:$A$2246)+ROW()-4)</f>
        <v/>
      </c>
      <c r="B1482" s="278"/>
      <c r="C1482" s="335"/>
      <c r="D1482" s="255"/>
      <c r="E1482" s="255"/>
      <c r="F1482" s="258"/>
      <c r="G1482" s="450"/>
      <c r="H1482" s="255"/>
      <c r="I1482" s="250"/>
      <c r="J1482" s="255"/>
      <c r="K1482" s="255"/>
      <c r="L1482" s="250"/>
      <c r="M1482" s="277"/>
      <c r="N1482" s="277"/>
      <c r="O1482" s="329"/>
      <c r="P1482" s="330">
        <f t="shared" si="247"/>
        <v>0</v>
      </c>
      <c r="Q1482" s="330">
        <f t="shared" si="248"/>
        <v>0</v>
      </c>
      <c r="R1482" s="331" t="str">
        <f t="shared" si="249"/>
        <v/>
      </c>
      <c r="S1482" s="331" t="str">
        <f>IF(D1482="","",IF(OR(D1482=Plano!$A$1,D1482=Plano!$B$1),"entrada","saída"))</f>
        <v/>
      </c>
      <c r="T1482" s="345"/>
      <c r="U1482" s="345"/>
      <c r="V1482" s="269"/>
      <c r="W1482" s="269"/>
      <c r="X1482" s="269"/>
      <c r="Y1482" s="269"/>
      <c r="Z1482" s="269"/>
      <c r="AA1482" s="269"/>
      <c r="AB1482" s="269"/>
      <c r="AC1482" s="269"/>
      <c r="AD1482" s="269"/>
      <c r="AE1482" s="269"/>
      <c r="AF1482" s="269"/>
      <c r="AG1482" s="269"/>
      <c r="AH1482" s="269"/>
      <c r="AI1482" s="269"/>
      <c r="AJ1482" s="269"/>
      <c r="AK1482" s="269"/>
      <c r="AL1482" s="269"/>
      <c r="AM1482" s="269"/>
    </row>
    <row r="1483" spans="1:39" ht="12.75" customHeight="1" x14ac:dyDescent="0.2">
      <c r="A1483" s="277" t="str">
        <f>IF(B1483="","",COUNT('Diário 5º PA'!$A$5:$A$2634)+COUNT('Diário 6º PA'!$A$5:$A$2246)+ROW()-4)</f>
        <v/>
      </c>
      <c r="B1483" s="278"/>
      <c r="C1483" s="335"/>
      <c r="D1483" s="255"/>
      <c r="E1483" s="255"/>
      <c r="F1483" s="258"/>
      <c r="G1483" s="450"/>
      <c r="H1483" s="255"/>
      <c r="I1483" s="250"/>
      <c r="J1483" s="255"/>
      <c r="K1483" s="255"/>
      <c r="L1483" s="250"/>
      <c r="M1483" s="277"/>
      <c r="N1483" s="277"/>
      <c r="O1483" s="329"/>
      <c r="P1483" s="330">
        <f t="shared" si="247"/>
        <v>0</v>
      </c>
      <c r="Q1483" s="330">
        <f t="shared" si="248"/>
        <v>0</v>
      </c>
      <c r="R1483" s="331" t="str">
        <f t="shared" si="249"/>
        <v/>
      </c>
      <c r="S1483" s="331" t="str">
        <f>IF(D1483="","",IF(OR(D1483=Plano!$A$1,D1483=Plano!$B$1),"entrada","saída"))</f>
        <v/>
      </c>
      <c r="T1483" s="345"/>
      <c r="U1483" s="345"/>
      <c r="V1483" s="269"/>
      <c r="W1483" s="269"/>
      <c r="X1483" s="269"/>
      <c r="Y1483" s="269"/>
      <c r="Z1483" s="269"/>
      <c r="AA1483" s="269"/>
      <c r="AB1483" s="269"/>
      <c r="AC1483" s="269"/>
      <c r="AD1483" s="269"/>
      <c r="AE1483" s="269"/>
      <c r="AF1483" s="269"/>
      <c r="AG1483" s="269"/>
      <c r="AH1483" s="269"/>
      <c r="AI1483" s="269"/>
      <c r="AJ1483" s="269"/>
      <c r="AK1483" s="269"/>
      <c r="AL1483" s="269"/>
      <c r="AM1483" s="269"/>
    </row>
    <row r="1484" spans="1:39" ht="12.75" customHeight="1" x14ac:dyDescent="0.2">
      <c r="A1484" s="277" t="str">
        <f>IF(B1484="","",COUNT('Diário 5º PA'!$A$5:$A$2634)+COUNT('Diário 6º PA'!$A$5:$A$2246)+ROW()-4)</f>
        <v/>
      </c>
      <c r="B1484" s="278"/>
      <c r="C1484" s="335"/>
      <c r="D1484" s="255"/>
      <c r="E1484" s="255"/>
      <c r="F1484" s="258"/>
      <c r="G1484" s="450"/>
      <c r="H1484" s="255"/>
      <c r="I1484" s="250"/>
      <c r="J1484" s="255"/>
      <c r="K1484" s="255"/>
      <c r="L1484" s="250"/>
      <c r="M1484" s="277"/>
      <c r="N1484" s="277"/>
      <c r="O1484" s="329"/>
      <c r="P1484" s="330">
        <f t="shared" si="247"/>
        <v>0</v>
      </c>
      <c r="Q1484" s="330">
        <f t="shared" si="248"/>
        <v>0</v>
      </c>
      <c r="R1484" s="331" t="str">
        <f t="shared" si="249"/>
        <v/>
      </c>
      <c r="S1484" s="331" t="str">
        <f>IF(D1484="","",IF(OR(D1484=Plano!$A$1,D1484=Plano!$B$1),"entrada","saída"))</f>
        <v/>
      </c>
      <c r="T1484" s="345"/>
      <c r="U1484" s="345"/>
      <c r="V1484" s="269"/>
      <c r="W1484" s="269"/>
      <c r="X1484" s="269"/>
      <c r="Y1484" s="269"/>
      <c r="Z1484" s="269"/>
      <c r="AA1484" s="269"/>
      <c r="AB1484" s="269"/>
      <c r="AC1484" s="269"/>
      <c r="AD1484" s="269"/>
      <c r="AE1484" s="269"/>
      <c r="AF1484" s="269"/>
      <c r="AG1484" s="269"/>
      <c r="AH1484" s="269"/>
      <c r="AI1484" s="269"/>
      <c r="AJ1484" s="269"/>
      <c r="AK1484" s="269"/>
      <c r="AL1484" s="269"/>
      <c r="AM1484" s="269"/>
    </row>
    <row r="1485" spans="1:39" ht="12.75" customHeight="1" x14ac:dyDescent="0.2">
      <c r="A1485" s="277" t="str">
        <f>IF(B1485="","",COUNT('Diário 5º PA'!$A$5:$A$2634)+COUNT('Diário 6º PA'!$A$5:$A$2246)+ROW()-4)</f>
        <v/>
      </c>
      <c r="B1485" s="278"/>
      <c r="C1485" s="335"/>
      <c r="D1485" s="255"/>
      <c r="E1485" s="255"/>
      <c r="F1485" s="258"/>
      <c r="G1485" s="450"/>
      <c r="H1485" s="255"/>
      <c r="I1485" s="250"/>
      <c r="J1485" s="255"/>
      <c r="K1485" s="255"/>
      <c r="L1485" s="250"/>
      <c r="M1485" s="277"/>
      <c r="N1485" s="277"/>
      <c r="O1485" s="329"/>
      <c r="P1485" s="330">
        <f t="shared" si="247"/>
        <v>0</v>
      </c>
      <c r="Q1485" s="330">
        <f t="shared" si="248"/>
        <v>0</v>
      </c>
      <c r="R1485" s="331" t="str">
        <f t="shared" si="249"/>
        <v/>
      </c>
      <c r="S1485" s="331" t="str">
        <f>IF(D1485="","",IF(OR(D1485=Plano!$A$1,D1485=Plano!$B$1),"entrada","saída"))</f>
        <v/>
      </c>
      <c r="T1485" s="345"/>
      <c r="U1485" s="345"/>
      <c r="V1485" s="269"/>
      <c r="W1485" s="269"/>
      <c r="X1485" s="269"/>
      <c r="Y1485" s="269"/>
      <c r="Z1485" s="269"/>
      <c r="AA1485" s="269"/>
      <c r="AB1485" s="269"/>
      <c r="AC1485" s="269"/>
      <c r="AD1485" s="269"/>
      <c r="AE1485" s="269"/>
      <c r="AF1485" s="269"/>
      <c r="AG1485" s="269"/>
      <c r="AH1485" s="269"/>
      <c r="AI1485" s="269"/>
      <c r="AJ1485" s="269"/>
      <c r="AK1485" s="269"/>
      <c r="AL1485" s="269"/>
      <c r="AM1485" s="269"/>
    </row>
    <row r="1486" spans="1:39" ht="12.75" customHeight="1" x14ac:dyDescent="0.2">
      <c r="A1486" s="277" t="str">
        <f>IF(B1486="","",COUNT('Diário 5º PA'!$A$5:$A$2634)+COUNT('Diário 6º PA'!$A$5:$A$2246)+ROW()-4)</f>
        <v/>
      </c>
      <c r="B1486" s="278"/>
      <c r="C1486" s="335"/>
      <c r="D1486" s="255"/>
      <c r="E1486" s="255"/>
      <c r="F1486" s="258"/>
      <c r="G1486" s="450"/>
      <c r="H1486" s="255"/>
      <c r="I1486" s="250"/>
      <c r="J1486" s="255"/>
      <c r="K1486" s="255"/>
      <c r="L1486" s="250"/>
      <c r="M1486" s="277"/>
      <c r="N1486" s="277"/>
      <c r="O1486" s="329"/>
      <c r="P1486" s="330">
        <f t="shared" si="247"/>
        <v>0</v>
      </c>
      <c r="Q1486" s="330">
        <f t="shared" si="248"/>
        <v>0</v>
      </c>
      <c r="R1486" s="331" t="str">
        <f t="shared" si="249"/>
        <v/>
      </c>
      <c r="S1486" s="331" t="str">
        <f>IF(D1486="","",IF(OR(D1486=Plano!$A$1,D1486=Plano!$B$1),"entrada","saída"))</f>
        <v/>
      </c>
      <c r="T1486" s="345"/>
      <c r="U1486" s="345"/>
      <c r="V1486" s="269"/>
      <c r="W1486" s="269"/>
      <c r="X1486" s="269"/>
      <c r="Y1486" s="269"/>
      <c r="Z1486" s="269"/>
      <c r="AA1486" s="269"/>
      <c r="AB1486" s="269"/>
      <c r="AC1486" s="269"/>
      <c r="AD1486" s="269"/>
      <c r="AE1486" s="269"/>
      <c r="AF1486" s="269"/>
      <c r="AG1486" s="269"/>
      <c r="AH1486" s="269"/>
      <c r="AI1486" s="269"/>
      <c r="AJ1486" s="269"/>
      <c r="AK1486" s="269"/>
      <c r="AL1486" s="269"/>
      <c r="AM1486" s="269"/>
    </row>
    <row r="1487" spans="1:39" ht="12.75" customHeight="1" x14ac:dyDescent="0.2">
      <c r="A1487" s="277" t="str">
        <f>IF(B1487="","",COUNT('Diário 5º PA'!$A$5:$A$2634)+COUNT('Diário 6º PA'!$A$5:$A$2246)+ROW()-4)</f>
        <v/>
      </c>
      <c r="B1487" s="278"/>
      <c r="C1487" s="335"/>
      <c r="D1487" s="255"/>
      <c r="E1487" s="255"/>
      <c r="F1487" s="258"/>
      <c r="G1487" s="450"/>
      <c r="H1487" s="255"/>
      <c r="I1487" s="250"/>
      <c r="J1487" s="255"/>
      <c r="K1487" s="255"/>
      <c r="L1487" s="250"/>
      <c r="M1487" s="277"/>
      <c r="N1487" s="277"/>
      <c r="O1487" s="329"/>
      <c r="P1487" s="330">
        <f t="shared" si="247"/>
        <v>0</v>
      </c>
      <c r="Q1487" s="330">
        <f t="shared" si="248"/>
        <v>0</v>
      </c>
      <c r="R1487" s="331" t="str">
        <f t="shared" si="249"/>
        <v/>
      </c>
      <c r="S1487" s="331" t="str">
        <f>IF(D1487="","",IF(OR(D1487=Plano!$A$1,D1487=Plano!$B$1),"entrada","saída"))</f>
        <v/>
      </c>
      <c r="T1487" s="345"/>
      <c r="U1487" s="345"/>
      <c r="V1487" s="269"/>
      <c r="W1487" s="269"/>
      <c r="X1487" s="269"/>
      <c r="Y1487" s="269"/>
      <c r="Z1487" s="269"/>
      <c r="AA1487" s="269"/>
      <c r="AB1487" s="269"/>
      <c r="AC1487" s="269"/>
      <c r="AD1487" s="269"/>
      <c r="AE1487" s="269"/>
      <c r="AF1487" s="269"/>
      <c r="AG1487" s="269"/>
      <c r="AH1487" s="269"/>
      <c r="AI1487" s="269"/>
      <c r="AJ1487" s="269"/>
      <c r="AK1487" s="269"/>
      <c r="AL1487" s="269"/>
      <c r="AM1487" s="269"/>
    </row>
    <row r="1488" spans="1:39" ht="12.75" customHeight="1" x14ac:dyDescent="0.2">
      <c r="A1488" s="277" t="str">
        <f>IF(B1488="","",COUNT('Diário 5º PA'!$A$5:$A$2634)+COUNT('Diário 6º PA'!$A$5:$A$2246)+ROW()-4)</f>
        <v/>
      </c>
      <c r="B1488" s="278"/>
      <c r="C1488" s="335"/>
      <c r="D1488" s="255"/>
      <c r="E1488" s="255"/>
      <c r="F1488" s="258"/>
      <c r="G1488" s="450"/>
      <c r="H1488" s="255"/>
      <c r="I1488" s="250"/>
      <c r="J1488" s="255"/>
      <c r="K1488" s="255"/>
      <c r="L1488" s="250"/>
      <c r="M1488" s="277"/>
      <c r="N1488" s="277"/>
      <c r="O1488" s="329"/>
      <c r="P1488" s="330">
        <f t="shared" si="247"/>
        <v>0</v>
      </c>
      <c r="Q1488" s="330">
        <f t="shared" si="248"/>
        <v>0</v>
      </c>
      <c r="R1488" s="331" t="str">
        <f t="shared" si="249"/>
        <v/>
      </c>
      <c r="S1488" s="331" t="str">
        <f>IF(D1488="","",IF(OR(D1488=Plano!$A$1,D1488=Plano!$B$1),"entrada","saída"))</f>
        <v/>
      </c>
      <c r="T1488" s="345"/>
      <c r="U1488" s="345"/>
      <c r="V1488" s="269"/>
      <c r="W1488" s="269"/>
      <c r="X1488" s="269"/>
      <c r="Y1488" s="269"/>
      <c r="Z1488" s="269"/>
      <c r="AA1488" s="269"/>
      <c r="AB1488" s="269"/>
      <c r="AC1488" s="269"/>
      <c r="AD1488" s="269"/>
      <c r="AE1488" s="269"/>
      <c r="AF1488" s="269"/>
      <c r="AG1488" s="269"/>
      <c r="AH1488" s="269"/>
      <c r="AI1488" s="269"/>
      <c r="AJ1488" s="269"/>
      <c r="AK1488" s="269"/>
      <c r="AL1488" s="269"/>
      <c r="AM1488" s="269"/>
    </row>
    <row r="1489" spans="1:39" ht="12.75" customHeight="1" x14ac:dyDescent="0.2">
      <c r="A1489" s="277" t="str">
        <f>IF(B1489="","",COUNT('Diário 5º PA'!$A$5:$A$2634)+COUNT('Diário 6º PA'!$A$5:$A$2246)+ROW()-4)</f>
        <v/>
      </c>
      <c r="B1489" s="278"/>
      <c r="C1489" s="335"/>
      <c r="D1489" s="255"/>
      <c r="E1489" s="255"/>
      <c r="F1489" s="258"/>
      <c r="G1489" s="450"/>
      <c r="H1489" s="255"/>
      <c r="I1489" s="250"/>
      <c r="J1489" s="255"/>
      <c r="K1489" s="255"/>
      <c r="L1489" s="250"/>
      <c r="M1489" s="277"/>
      <c r="N1489" s="277"/>
      <c r="O1489" s="329"/>
      <c r="P1489" s="330">
        <f t="shared" si="247"/>
        <v>0</v>
      </c>
      <c r="Q1489" s="330">
        <f t="shared" si="248"/>
        <v>0</v>
      </c>
      <c r="R1489" s="331" t="str">
        <f t="shared" si="249"/>
        <v/>
      </c>
      <c r="S1489" s="331" t="str">
        <f>IF(D1489="","",IF(OR(D1489=Plano!$A$1,D1489=Plano!$B$1),"entrada","saída"))</f>
        <v/>
      </c>
      <c r="T1489" s="345"/>
      <c r="U1489" s="345"/>
      <c r="V1489" s="269"/>
      <c r="W1489" s="269"/>
      <c r="X1489" s="269"/>
      <c r="Y1489" s="269"/>
      <c r="Z1489" s="269"/>
      <c r="AA1489" s="269"/>
      <c r="AB1489" s="269"/>
      <c r="AC1489" s="269"/>
      <c r="AD1489" s="269"/>
      <c r="AE1489" s="269"/>
      <c r="AF1489" s="269"/>
      <c r="AG1489" s="269"/>
      <c r="AH1489" s="269"/>
      <c r="AI1489" s="269"/>
      <c r="AJ1489" s="269"/>
      <c r="AK1489" s="269"/>
      <c r="AL1489" s="269"/>
      <c r="AM1489" s="269"/>
    </row>
    <row r="1490" spans="1:39" ht="12.75" customHeight="1" x14ac:dyDescent="0.2">
      <c r="A1490" s="277" t="str">
        <f>IF(B1490="","",COUNT('Diário 5º PA'!$A$5:$A$2634)+COUNT('Diário 6º PA'!$A$5:$A$2246)+ROW()-4)</f>
        <v/>
      </c>
      <c r="B1490" s="278"/>
      <c r="C1490" s="335"/>
      <c r="D1490" s="255"/>
      <c r="E1490" s="255"/>
      <c r="F1490" s="258"/>
      <c r="G1490" s="450"/>
      <c r="H1490" s="255"/>
      <c r="I1490" s="250"/>
      <c r="J1490" s="255"/>
      <c r="K1490" s="255"/>
      <c r="L1490" s="250"/>
      <c r="M1490" s="277"/>
      <c r="N1490" s="277"/>
      <c r="O1490" s="329"/>
      <c r="P1490" s="330">
        <f t="shared" si="247"/>
        <v>0</v>
      </c>
      <c r="Q1490" s="330">
        <f t="shared" si="248"/>
        <v>0</v>
      </c>
      <c r="R1490" s="331" t="str">
        <f t="shared" si="249"/>
        <v/>
      </c>
      <c r="S1490" s="331" t="str">
        <f>IF(D1490="","",IF(OR(D1490=Plano!$A$1,D1490=Plano!$B$1),"entrada","saída"))</f>
        <v/>
      </c>
      <c r="T1490" s="345"/>
      <c r="U1490" s="345"/>
      <c r="V1490" s="269"/>
      <c r="W1490" s="269"/>
      <c r="X1490" s="269"/>
      <c r="Y1490" s="269"/>
      <c r="Z1490" s="269"/>
      <c r="AA1490" s="269"/>
      <c r="AB1490" s="269"/>
      <c r="AC1490" s="269"/>
      <c r="AD1490" s="269"/>
      <c r="AE1490" s="269"/>
      <c r="AF1490" s="269"/>
      <c r="AG1490" s="269"/>
      <c r="AH1490" s="269"/>
      <c r="AI1490" s="269"/>
      <c r="AJ1490" s="269"/>
      <c r="AK1490" s="269"/>
      <c r="AL1490" s="269"/>
      <c r="AM1490" s="269"/>
    </row>
    <row r="1491" spans="1:39" ht="12.75" customHeight="1" x14ac:dyDescent="0.2">
      <c r="A1491" s="277" t="str">
        <f>IF(B1491="","",COUNT('Diário 5º PA'!$A$5:$A$2634)+COUNT('Diário 6º PA'!$A$5:$A$2246)+ROW()-4)</f>
        <v/>
      </c>
      <c r="B1491" s="278"/>
      <c r="C1491" s="335"/>
      <c r="D1491" s="255"/>
      <c r="E1491" s="255"/>
      <c r="F1491" s="258"/>
      <c r="G1491" s="450"/>
      <c r="H1491" s="255"/>
      <c r="I1491" s="250"/>
      <c r="J1491" s="255"/>
      <c r="K1491" s="255"/>
      <c r="L1491" s="250"/>
      <c r="M1491" s="277"/>
      <c r="N1491" s="277"/>
      <c r="O1491" s="329"/>
      <c r="P1491" s="330">
        <f t="shared" si="247"/>
        <v>0</v>
      </c>
      <c r="Q1491" s="330">
        <f t="shared" si="248"/>
        <v>0</v>
      </c>
      <c r="R1491" s="331" t="str">
        <f t="shared" si="249"/>
        <v/>
      </c>
      <c r="S1491" s="331" t="str">
        <f>IF(D1491="","",IF(OR(D1491=Plano!$A$1,D1491=Plano!$B$1),"entrada","saída"))</f>
        <v/>
      </c>
      <c r="T1491" s="345"/>
      <c r="U1491" s="345"/>
      <c r="V1491" s="269"/>
      <c r="W1491" s="269"/>
      <c r="X1491" s="269"/>
      <c r="Y1491" s="269"/>
      <c r="Z1491" s="269"/>
      <c r="AA1491" s="269"/>
      <c r="AB1491" s="269"/>
      <c r="AC1491" s="269"/>
      <c r="AD1491" s="269"/>
      <c r="AE1491" s="269"/>
      <c r="AF1491" s="269"/>
      <c r="AG1491" s="269"/>
      <c r="AH1491" s="269"/>
      <c r="AI1491" s="269"/>
      <c r="AJ1491" s="269"/>
      <c r="AK1491" s="269"/>
      <c r="AL1491" s="269"/>
      <c r="AM1491" s="269"/>
    </row>
    <row r="1492" spans="1:39" ht="12.75" customHeight="1" x14ac:dyDescent="0.2">
      <c r="A1492" s="277" t="str">
        <f>IF(B1492="","",COUNT('Diário 5º PA'!$A$5:$A$2634)+COUNT('Diário 6º PA'!$A$5:$A$2246)+ROW()-4)</f>
        <v/>
      </c>
      <c r="B1492" s="278"/>
      <c r="C1492" s="335"/>
      <c r="D1492" s="255"/>
      <c r="E1492" s="255"/>
      <c r="F1492" s="258"/>
      <c r="G1492" s="450"/>
      <c r="H1492" s="255"/>
      <c r="I1492" s="250"/>
      <c r="J1492" s="255"/>
      <c r="K1492" s="255"/>
      <c r="L1492" s="250"/>
      <c r="M1492" s="277"/>
      <c r="N1492" s="277"/>
      <c r="O1492" s="329"/>
      <c r="P1492" s="330">
        <f t="shared" si="247"/>
        <v>0</v>
      </c>
      <c r="Q1492" s="330">
        <f t="shared" si="248"/>
        <v>0</v>
      </c>
      <c r="R1492" s="331" t="str">
        <f t="shared" si="249"/>
        <v/>
      </c>
      <c r="S1492" s="331" t="str">
        <f>IF(D1492="","",IF(OR(D1492=Plano!$A$1,D1492=Plano!$B$1),"entrada","saída"))</f>
        <v/>
      </c>
      <c r="T1492" s="345"/>
      <c r="U1492" s="345"/>
      <c r="V1492" s="269"/>
      <c r="W1492" s="269"/>
      <c r="X1492" s="269"/>
      <c r="Y1492" s="269"/>
      <c r="Z1492" s="269"/>
      <c r="AA1492" s="269"/>
      <c r="AB1492" s="269"/>
      <c r="AC1492" s="269"/>
      <c r="AD1492" s="269"/>
      <c r="AE1492" s="269"/>
      <c r="AF1492" s="269"/>
      <c r="AG1492" s="269"/>
      <c r="AH1492" s="269"/>
      <c r="AI1492" s="269"/>
      <c r="AJ1492" s="269"/>
      <c r="AK1492" s="269"/>
      <c r="AL1492" s="269"/>
      <c r="AM1492" s="269"/>
    </row>
    <row r="1493" spans="1:39" ht="12.75" customHeight="1" x14ac:dyDescent="0.2">
      <c r="A1493" s="277" t="str">
        <f>IF(B1493="","",COUNT('Diário 5º PA'!$A$5:$A$2634)+COUNT('Diário 6º PA'!$A$5:$A$2246)+ROW()-4)</f>
        <v/>
      </c>
      <c r="B1493" s="278"/>
      <c r="C1493" s="335"/>
      <c r="D1493" s="255"/>
      <c r="E1493" s="255"/>
      <c r="F1493" s="258"/>
      <c r="G1493" s="450"/>
      <c r="H1493" s="255"/>
      <c r="I1493" s="250"/>
      <c r="J1493" s="255"/>
      <c r="K1493" s="255"/>
      <c r="L1493" s="250"/>
      <c r="M1493" s="277"/>
      <c r="N1493" s="277"/>
      <c r="O1493" s="329"/>
      <c r="P1493" s="330">
        <f t="shared" si="247"/>
        <v>0</v>
      </c>
      <c r="Q1493" s="330">
        <f t="shared" si="248"/>
        <v>0</v>
      </c>
      <c r="R1493" s="331" t="str">
        <f t="shared" si="249"/>
        <v/>
      </c>
      <c r="S1493" s="331" t="str">
        <f>IF(D1493="","",IF(OR(D1493=Plano!$A$1,D1493=Plano!$B$1),"entrada","saída"))</f>
        <v/>
      </c>
      <c r="T1493" s="345"/>
      <c r="U1493" s="345"/>
      <c r="V1493" s="269"/>
      <c r="W1493" s="269"/>
      <c r="X1493" s="269"/>
      <c r="Y1493" s="269"/>
      <c r="Z1493" s="269"/>
      <c r="AA1493" s="269"/>
      <c r="AB1493" s="269"/>
      <c r="AC1493" s="269"/>
      <c r="AD1493" s="269"/>
      <c r="AE1493" s="269"/>
      <c r="AF1493" s="269"/>
      <c r="AG1493" s="269"/>
      <c r="AH1493" s="269"/>
      <c r="AI1493" s="269"/>
      <c r="AJ1493" s="269"/>
      <c r="AK1493" s="269"/>
      <c r="AL1493" s="269"/>
      <c r="AM1493" s="269"/>
    </row>
    <row r="1494" spans="1:39" ht="12.75" customHeight="1" x14ac:dyDescent="0.2">
      <c r="A1494" s="277" t="str">
        <f>IF(B1494="","",COUNT('Diário 5º PA'!$A$5:$A$2634)+COUNT('Diário 6º PA'!$A$5:$A$2246)+ROW()-4)</f>
        <v/>
      </c>
      <c r="B1494" s="278"/>
      <c r="C1494" s="335"/>
      <c r="D1494" s="255"/>
      <c r="E1494" s="255"/>
      <c r="F1494" s="258"/>
      <c r="G1494" s="450"/>
      <c r="H1494" s="255"/>
      <c r="I1494" s="250"/>
      <c r="J1494" s="255"/>
      <c r="K1494" s="255"/>
      <c r="L1494" s="250"/>
      <c r="M1494" s="277"/>
      <c r="N1494" s="277"/>
      <c r="O1494" s="329"/>
      <c r="P1494" s="330">
        <f t="shared" si="247"/>
        <v>0</v>
      </c>
      <c r="Q1494" s="330">
        <f t="shared" si="248"/>
        <v>0</v>
      </c>
      <c r="R1494" s="331" t="str">
        <f t="shared" si="249"/>
        <v/>
      </c>
      <c r="S1494" s="331" t="str">
        <f>IF(D1494="","",IF(OR(D1494=Plano!$A$1,D1494=Plano!$B$1),"entrada","saída"))</f>
        <v/>
      </c>
      <c r="T1494" s="345"/>
      <c r="U1494" s="345"/>
      <c r="V1494" s="269"/>
      <c r="W1494" s="269"/>
      <c r="X1494" s="269"/>
      <c r="Y1494" s="269"/>
      <c r="Z1494" s="269"/>
      <c r="AA1494" s="269"/>
      <c r="AB1494" s="269"/>
      <c r="AC1494" s="269"/>
      <c r="AD1494" s="269"/>
      <c r="AE1494" s="269"/>
      <c r="AF1494" s="269"/>
      <c r="AG1494" s="269"/>
      <c r="AH1494" s="269"/>
      <c r="AI1494" s="269"/>
      <c r="AJ1494" s="269"/>
      <c r="AK1494" s="269"/>
      <c r="AL1494" s="269"/>
      <c r="AM1494" s="269"/>
    </row>
    <row r="1495" spans="1:39" ht="12.75" customHeight="1" x14ac:dyDescent="0.2">
      <c r="A1495" s="277" t="str">
        <f>IF(B1495="","",COUNT('Diário 5º PA'!$A$5:$A$2634)+COUNT('Diário 6º PA'!$A$5:$A$2246)+ROW()-4)</f>
        <v/>
      </c>
      <c r="B1495" s="278"/>
      <c r="C1495" s="335"/>
      <c r="D1495" s="255"/>
      <c r="E1495" s="255"/>
      <c r="F1495" s="258"/>
      <c r="G1495" s="450"/>
      <c r="H1495" s="255"/>
      <c r="I1495" s="250"/>
      <c r="J1495" s="255"/>
      <c r="K1495" s="255"/>
      <c r="L1495" s="250"/>
      <c r="M1495" s="277"/>
      <c r="N1495" s="277"/>
      <c r="O1495" s="329"/>
      <c r="P1495" s="330">
        <f t="shared" si="247"/>
        <v>0</v>
      </c>
      <c r="Q1495" s="330">
        <f t="shared" si="248"/>
        <v>0</v>
      </c>
      <c r="R1495" s="331" t="str">
        <f t="shared" si="249"/>
        <v/>
      </c>
      <c r="S1495" s="331" t="str">
        <f>IF(D1495="","",IF(OR(D1495=Plano!$A$1,D1495=Plano!$B$1),"entrada","saída"))</f>
        <v/>
      </c>
      <c r="T1495" s="345"/>
      <c r="U1495" s="345"/>
      <c r="V1495" s="269"/>
      <c r="W1495" s="269"/>
      <c r="X1495" s="269"/>
      <c r="Y1495" s="269"/>
      <c r="Z1495" s="269"/>
      <c r="AA1495" s="269"/>
      <c r="AB1495" s="269"/>
      <c r="AC1495" s="269"/>
      <c r="AD1495" s="269"/>
      <c r="AE1495" s="269"/>
      <c r="AF1495" s="269"/>
      <c r="AG1495" s="269"/>
      <c r="AH1495" s="269"/>
      <c r="AI1495" s="269"/>
      <c r="AJ1495" s="269"/>
      <c r="AK1495" s="269"/>
      <c r="AL1495" s="269"/>
      <c r="AM1495" s="269"/>
    </row>
    <row r="1496" spans="1:39" ht="12.75" customHeight="1" x14ac:dyDescent="0.2">
      <c r="A1496" s="277" t="str">
        <f>IF(B1496="","",COUNT('Diário 5º PA'!$A$5:$A$2634)+COUNT('Diário 6º PA'!$A$5:$A$2246)+ROW()-4)</f>
        <v/>
      </c>
      <c r="B1496" s="278"/>
      <c r="C1496" s="335"/>
      <c r="D1496" s="255"/>
      <c r="E1496" s="255"/>
      <c r="F1496" s="258"/>
      <c r="G1496" s="450"/>
      <c r="H1496" s="255"/>
      <c r="I1496" s="250"/>
      <c r="J1496" s="255"/>
      <c r="K1496" s="255"/>
      <c r="L1496" s="250"/>
      <c r="M1496" s="277"/>
      <c r="N1496" s="277"/>
      <c r="O1496" s="329"/>
      <c r="P1496" s="330">
        <f t="shared" si="247"/>
        <v>0</v>
      </c>
      <c r="Q1496" s="330">
        <f t="shared" si="248"/>
        <v>0</v>
      </c>
      <c r="R1496" s="331" t="str">
        <f t="shared" si="249"/>
        <v/>
      </c>
      <c r="S1496" s="331" t="str">
        <f>IF(D1496="","",IF(OR(D1496=Plano!$A$1,D1496=Plano!$B$1),"entrada","saída"))</f>
        <v/>
      </c>
      <c r="T1496" s="345"/>
      <c r="U1496" s="345"/>
      <c r="V1496" s="269"/>
      <c r="W1496" s="269"/>
      <c r="X1496" s="269"/>
      <c r="Y1496" s="269"/>
      <c r="Z1496" s="269"/>
      <c r="AA1496" s="269"/>
      <c r="AB1496" s="269"/>
      <c r="AC1496" s="269"/>
      <c r="AD1496" s="269"/>
      <c r="AE1496" s="269"/>
      <c r="AF1496" s="269"/>
      <c r="AG1496" s="269"/>
      <c r="AH1496" s="269"/>
      <c r="AI1496" s="269"/>
      <c r="AJ1496" s="269"/>
      <c r="AK1496" s="269"/>
      <c r="AL1496" s="269"/>
      <c r="AM1496" s="269"/>
    </row>
    <row r="1497" spans="1:39" ht="12.75" customHeight="1" x14ac:dyDescent="0.2">
      <c r="A1497" s="277" t="str">
        <f>IF(B1497="","",COUNT('Diário 5º PA'!$A$5:$A$2634)+COUNT('Diário 6º PA'!$A$5:$A$2246)+ROW()-4)</f>
        <v/>
      </c>
      <c r="B1497" s="278"/>
      <c r="C1497" s="335"/>
      <c r="D1497" s="255"/>
      <c r="E1497" s="255"/>
      <c r="F1497" s="258"/>
      <c r="G1497" s="450"/>
      <c r="H1497" s="255"/>
      <c r="I1497" s="250"/>
      <c r="J1497" s="255"/>
      <c r="K1497" s="255"/>
      <c r="L1497" s="250"/>
      <c r="M1497" s="277"/>
      <c r="N1497" s="277"/>
      <c r="O1497" s="329"/>
      <c r="P1497" s="330">
        <f t="shared" si="247"/>
        <v>0</v>
      </c>
      <c r="Q1497" s="330">
        <f t="shared" si="248"/>
        <v>0</v>
      </c>
      <c r="R1497" s="331" t="str">
        <f t="shared" si="249"/>
        <v/>
      </c>
      <c r="S1497" s="331" t="str">
        <f>IF(D1497="","",IF(OR(D1497=Plano!$A$1,D1497=Plano!$B$1),"entrada","saída"))</f>
        <v/>
      </c>
      <c r="T1497" s="345"/>
      <c r="U1497" s="345"/>
      <c r="V1497" s="269"/>
      <c r="W1497" s="269"/>
      <c r="X1497" s="269"/>
      <c r="Y1497" s="269"/>
      <c r="Z1497" s="269"/>
      <c r="AA1497" s="269"/>
      <c r="AB1497" s="269"/>
      <c r="AC1497" s="269"/>
      <c r="AD1497" s="269"/>
      <c r="AE1497" s="269"/>
      <c r="AF1497" s="269"/>
      <c r="AG1497" s="269"/>
      <c r="AH1497" s="269"/>
      <c r="AI1497" s="269"/>
      <c r="AJ1497" s="269"/>
      <c r="AK1497" s="269"/>
      <c r="AL1497" s="269"/>
      <c r="AM1497" s="269"/>
    </row>
    <row r="1498" spans="1:39" ht="12.75" customHeight="1" x14ac:dyDescent="0.2">
      <c r="A1498" s="277" t="str">
        <f>IF(B1498="","",COUNT('Diário 5º PA'!$A$5:$A$2634)+COUNT('Diário 6º PA'!$A$5:$A$2246)+ROW()-4)</f>
        <v/>
      </c>
      <c r="B1498" s="278"/>
      <c r="C1498" s="335"/>
      <c r="D1498" s="255"/>
      <c r="E1498" s="255"/>
      <c r="F1498" s="258"/>
      <c r="G1498" s="450"/>
      <c r="H1498" s="255"/>
      <c r="I1498" s="250"/>
      <c r="J1498" s="255"/>
      <c r="K1498" s="255"/>
      <c r="L1498" s="250"/>
      <c r="M1498" s="277"/>
      <c r="N1498" s="277"/>
      <c r="O1498" s="329"/>
      <c r="P1498" s="330">
        <f t="shared" si="247"/>
        <v>0</v>
      </c>
      <c r="Q1498" s="330">
        <f t="shared" si="248"/>
        <v>0</v>
      </c>
      <c r="R1498" s="331" t="str">
        <f t="shared" si="249"/>
        <v/>
      </c>
      <c r="S1498" s="331" t="str">
        <f>IF(D1498="","",IF(OR(D1498=Plano!$A$1,D1498=Plano!$B$1),"entrada","saída"))</f>
        <v/>
      </c>
      <c r="T1498" s="345"/>
      <c r="U1498" s="345"/>
      <c r="V1498" s="269"/>
      <c r="W1498" s="269"/>
      <c r="X1498" s="269"/>
      <c r="Y1498" s="269"/>
      <c r="Z1498" s="269"/>
      <c r="AA1498" s="269"/>
      <c r="AB1498" s="269"/>
      <c r="AC1498" s="269"/>
      <c r="AD1498" s="269"/>
      <c r="AE1498" s="269"/>
      <c r="AF1498" s="269"/>
      <c r="AG1498" s="269"/>
      <c r="AH1498" s="269"/>
      <c r="AI1498" s="269"/>
      <c r="AJ1498" s="269"/>
      <c r="AK1498" s="269"/>
      <c r="AL1498" s="269"/>
      <c r="AM1498" s="269"/>
    </row>
    <row r="1499" spans="1:39" ht="12.75" customHeight="1" x14ac:dyDescent="0.2">
      <c r="A1499" s="277" t="str">
        <f>IF(B1499="","",COUNT('Diário 5º PA'!$A$5:$A$2634)+COUNT('Diário 6º PA'!$A$5:$A$2246)+ROW()-4)</f>
        <v/>
      </c>
      <c r="B1499" s="278"/>
      <c r="C1499" s="335"/>
      <c r="D1499" s="255"/>
      <c r="E1499" s="255"/>
      <c r="F1499" s="258"/>
      <c r="G1499" s="450"/>
      <c r="H1499" s="255"/>
      <c r="I1499" s="250"/>
      <c r="J1499" s="255"/>
      <c r="K1499" s="255"/>
      <c r="L1499" s="250"/>
      <c r="M1499" s="277"/>
      <c r="N1499" s="277"/>
      <c r="O1499" s="329"/>
      <c r="P1499" s="330">
        <f t="shared" si="247"/>
        <v>0</v>
      </c>
      <c r="Q1499" s="330">
        <f t="shared" si="248"/>
        <v>0</v>
      </c>
      <c r="R1499" s="331" t="str">
        <f t="shared" si="249"/>
        <v/>
      </c>
      <c r="S1499" s="331" t="str">
        <f>IF(D1499="","",IF(OR(D1499=Plano!$A$1,D1499=Plano!$B$1),"entrada","saída"))</f>
        <v/>
      </c>
      <c r="T1499" s="345"/>
      <c r="U1499" s="345"/>
      <c r="V1499" s="269"/>
      <c r="W1499" s="269"/>
      <c r="X1499" s="269"/>
      <c r="Y1499" s="269"/>
      <c r="Z1499" s="269"/>
      <c r="AA1499" s="269"/>
      <c r="AB1499" s="269"/>
      <c r="AC1499" s="269"/>
      <c r="AD1499" s="269"/>
      <c r="AE1499" s="269"/>
      <c r="AF1499" s="269"/>
      <c r="AG1499" s="269"/>
      <c r="AH1499" s="269"/>
      <c r="AI1499" s="269"/>
      <c r="AJ1499" s="269"/>
      <c r="AK1499" s="269"/>
      <c r="AL1499" s="269"/>
      <c r="AM1499" s="269"/>
    </row>
    <row r="1500" spans="1:39" ht="12.75" customHeight="1" x14ac:dyDescent="0.2">
      <c r="A1500" s="277" t="str">
        <f>IF(B1500="","",COUNT('Diário 5º PA'!$A$5:$A$2634)+COUNT('Diário 6º PA'!$A$5:$A$2246)+ROW()-4)</f>
        <v/>
      </c>
      <c r="B1500" s="278"/>
      <c r="C1500" s="335"/>
      <c r="D1500" s="255"/>
      <c r="E1500" s="255"/>
      <c r="F1500" s="258"/>
      <c r="G1500" s="450"/>
      <c r="H1500" s="255"/>
      <c r="I1500" s="250"/>
      <c r="J1500" s="255"/>
      <c r="K1500" s="255"/>
      <c r="L1500" s="250"/>
      <c r="M1500" s="277"/>
      <c r="N1500" s="277"/>
      <c r="O1500" s="329"/>
      <c r="P1500" s="330">
        <f t="shared" si="247"/>
        <v>0</v>
      </c>
      <c r="Q1500" s="330">
        <f t="shared" si="248"/>
        <v>0</v>
      </c>
      <c r="R1500" s="331" t="str">
        <f t="shared" si="249"/>
        <v/>
      </c>
      <c r="S1500" s="331" t="str">
        <f>IF(D1500="","",IF(OR(D1500=Plano!$A$1,D1500=Plano!$B$1),"entrada","saída"))</f>
        <v/>
      </c>
      <c r="T1500" s="345"/>
      <c r="U1500" s="345"/>
      <c r="V1500" s="269"/>
      <c r="W1500" s="269"/>
      <c r="X1500" s="269"/>
      <c r="Y1500" s="269"/>
      <c r="Z1500" s="269"/>
      <c r="AA1500" s="269"/>
      <c r="AB1500" s="269"/>
      <c r="AC1500" s="269"/>
      <c r="AD1500" s="269"/>
      <c r="AE1500" s="269"/>
      <c r="AF1500" s="269"/>
      <c r="AG1500" s="269"/>
      <c r="AH1500" s="269"/>
      <c r="AI1500" s="269"/>
      <c r="AJ1500" s="269"/>
      <c r="AK1500" s="269"/>
      <c r="AL1500" s="269"/>
      <c r="AM1500" s="269"/>
    </row>
    <row r="1501" spans="1:39" ht="12.75" customHeight="1" x14ac:dyDescent="0.2">
      <c r="A1501" s="277" t="str">
        <f>IF(B1501="","",COUNT('Diário 5º PA'!$A$5:$A$2634)+COUNT('Diário 6º PA'!$A$5:$A$2246)+ROW()-4)</f>
        <v/>
      </c>
      <c r="B1501" s="278"/>
      <c r="C1501" s="335"/>
      <c r="D1501" s="255"/>
      <c r="E1501" s="255"/>
      <c r="F1501" s="258"/>
      <c r="G1501" s="450"/>
      <c r="H1501" s="255"/>
      <c r="I1501" s="250"/>
      <c r="J1501" s="255"/>
      <c r="K1501" s="255"/>
      <c r="L1501" s="250"/>
      <c r="M1501" s="277"/>
      <c r="N1501" s="277"/>
      <c r="O1501" s="329"/>
      <c r="P1501" s="330">
        <f t="shared" si="247"/>
        <v>0</v>
      </c>
      <c r="Q1501" s="330">
        <f t="shared" si="248"/>
        <v>0</v>
      </c>
      <c r="R1501" s="331" t="str">
        <f t="shared" si="249"/>
        <v/>
      </c>
      <c r="S1501" s="331" t="str">
        <f>IF(D1501="","",IF(OR(D1501=Plano!$A$1,D1501=Plano!$B$1),"entrada","saída"))</f>
        <v/>
      </c>
      <c r="T1501" s="345"/>
      <c r="U1501" s="345"/>
      <c r="V1501" s="269"/>
      <c r="W1501" s="269"/>
      <c r="X1501" s="269"/>
      <c r="Y1501" s="269"/>
      <c r="Z1501" s="269"/>
      <c r="AA1501" s="269"/>
      <c r="AB1501" s="269"/>
      <c r="AC1501" s="269"/>
      <c r="AD1501" s="269"/>
      <c r="AE1501" s="269"/>
      <c r="AF1501" s="269"/>
      <c r="AG1501" s="269"/>
      <c r="AH1501" s="269"/>
      <c r="AI1501" s="269"/>
      <c r="AJ1501" s="269"/>
      <c r="AK1501" s="269"/>
      <c r="AL1501" s="269"/>
      <c r="AM1501" s="269"/>
    </row>
    <row r="1502" spans="1:39" ht="12.75" customHeight="1" x14ac:dyDescent="0.2">
      <c r="A1502" s="277" t="str">
        <f>IF(B1502="","",COUNT('Diário 5º PA'!$A$5:$A$2634)+COUNT('Diário 6º PA'!$A$5:$A$2246)+ROW()-4)</f>
        <v/>
      </c>
      <c r="B1502" s="278"/>
      <c r="C1502" s="335"/>
      <c r="D1502" s="255"/>
      <c r="E1502" s="255"/>
      <c r="F1502" s="258"/>
      <c r="G1502" s="450"/>
      <c r="H1502" s="255"/>
      <c r="I1502" s="250"/>
      <c r="J1502" s="255"/>
      <c r="K1502" s="255"/>
      <c r="L1502" s="250"/>
      <c r="M1502" s="277"/>
      <c r="N1502" s="277"/>
      <c r="O1502" s="329"/>
      <c r="P1502" s="330">
        <f t="shared" si="247"/>
        <v>0</v>
      </c>
      <c r="Q1502" s="330">
        <f t="shared" si="248"/>
        <v>0</v>
      </c>
      <c r="R1502" s="331" t="str">
        <f t="shared" si="249"/>
        <v/>
      </c>
      <c r="S1502" s="331" t="str">
        <f>IF(D1502="","",IF(OR(D1502=Plano!$A$1,D1502=Plano!$B$1),"entrada","saída"))</f>
        <v/>
      </c>
      <c r="T1502" s="345"/>
      <c r="U1502" s="345"/>
      <c r="V1502" s="269"/>
      <c r="W1502" s="269"/>
      <c r="X1502" s="269"/>
      <c r="Y1502" s="269"/>
      <c r="Z1502" s="269"/>
      <c r="AA1502" s="269"/>
      <c r="AB1502" s="269"/>
      <c r="AC1502" s="269"/>
      <c r="AD1502" s="269"/>
      <c r="AE1502" s="269"/>
      <c r="AF1502" s="269"/>
      <c r="AG1502" s="269"/>
      <c r="AH1502" s="269"/>
      <c r="AI1502" s="269"/>
      <c r="AJ1502" s="269"/>
      <c r="AK1502" s="269"/>
      <c r="AL1502" s="269"/>
      <c r="AM1502" s="269"/>
    </row>
    <row r="1503" spans="1:39" ht="12.75" customHeight="1" x14ac:dyDescent="0.2">
      <c r="A1503" s="277" t="str">
        <f>IF(B1503="","",COUNT('Diário 5º PA'!$A$5:$A$2634)+COUNT('Diário 6º PA'!$A$5:$A$2246)+ROW()-4)</f>
        <v/>
      </c>
      <c r="B1503" s="278"/>
      <c r="C1503" s="335"/>
      <c r="D1503" s="255"/>
      <c r="E1503" s="255"/>
      <c r="F1503" s="258"/>
      <c r="G1503" s="450"/>
      <c r="H1503" s="255"/>
      <c r="I1503" s="250"/>
      <c r="J1503" s="255"/>
      <c r="K1503" s="255"/>
      <c r="L1503" s="250"/>
      <c r="M1503" s="277"/>
      <c r="N1503" s="277"/>
      <c r="O1503" s="329"/>
      <c r="P1503" s="330">
        <f t="shared" si="247"/>
        <v>0</v>
      </c>
      <c r="Q1503" s="330">
        <f t="shared" si="248"/>
        <v>0</v>
      </c>
      <c r="R1503" s="331" t="str">
        <f t="shared" si="249"/>
        <v/>
      </c>
      <c r="S1503" s="331" t="str">
        <f>IF(D1503="","",IF(OR(D1503=Plano!$A$1,D1503=Plano!$B$1),"entrada","saída"))</f>
        <v/>
      </c>
      <c r="T1503" s="345"/>
      <c r="U1503" s="345"/>
      <c r="V1503" s="269"/>
      <c r="W1503" s="269"/>
      <c r="X1503" s="269"/>
      <c r="Y1503" s="269"/>
      <c r="Z1503" s="269"/>
      <c r="AA1503" s="269"/>
      <c r="AB1503" s="269"/>
      <c r="AC1503" s="269"/>
      <c r="AD1503" s="269"/>
      <c r="AE1503" s="269"/>
      <c r="AF1503" s="269"/>
      <c r="AG1503" s="269"/>
      <c r="AH1503" s="269"/>
      <c r="AI1503" s="269"/>
      <c r="AJ1503" s="269"/>
      <c r="AK1503" s="269"/>
      <c r="AL1503" s="269"/>
      <c r="AM1503" s="269"/>
    </row>
    <row r="1504" spans="1:39" ht="12.75" customHeight="1" x14ac:dyDescent="0.2">
      <c r="A1504" s="277" t="str">
        <f>IF(B1504="","",COUNT('Diário 5º PA'!$A$5:$A$2634)+COUNT('Diário 6º PA'!$A$5:$A$2246)+ROW()-4)</f>
        <v/>
      </c>
      <c r="B1504" s="278"/>
      <c r="C1504" s="335"/>
      <c r="D1504" s="255"/>
      <c r="E1504" s="255"/>
      <c r="F1504" s="258"/>
      <c r="G1504" s="450"/>
      <c r="H1504" s="255"/>
      <c r="I1504" s="250"/>
      <c r="J1504" s="255"/>
      <c r="K1504" s="255"/>
      <c r="L1504" s="250"/>
      <c r="M1504" s="277"/>
      <c r="N1504" s="277"/>
      <c r="O1504" s="329"/>
      <c r="P1504" s="330">
        <f t="shared" si="247"/>
        <v>0</v>
      </c>
      <c r="Q1504" s="330">
        <f t="shared" si="248"/>
        <v>0</v>
      </c>
      <c r="R1504" s="331" t="str">
        <f t="shared" si="249"/>
        <v/>
      </c>
      <c r="S1504" s="331" t="str">
        <f>IF(D1504="","",IF(OR(D1504=Plano!$A$1,D1504=Plano!$B$1),"entrada","saída"))</f>
        <v/>
      </c>
      <c r="T1504" s="345"/>
      <c r="U1504" s="345"/>
      <c r="V1504" s="269"/>
      <c r="W1504" s="269"/>
      <c r="X1504" s="269"/>
      <c r="Y1504" s="269"/>
      <c r="Z1504" s="269"/>
      <c r="AA1504" s="269"/>
      <c r="AB1504" s="269"/>
      <c r="AC1504" s="269"/>
      <c r="AD1504" s="269"/>
      <c r="AE1504" s="269"/>
      <c r="AF1504" s="269"/>
      <c r="AG1504" s="269"/>
      <c r="AH1504" s="269"/>
      <c r="AI1504" s="269"/>
      <c r="AJ1504" s="269"/>
      <c r="AK1504" s="269"/>
      <c r="AL1504" s="269"/>
      <c r="AM1504" s="269"/>
    </row>
    <row r="1505" spans="1:39" ht="12.75" customHeight="1" x14ac:dyDescent="0.2">
      <c r="A1505" s="277" t="str">
        <f>IF(B1505="","",COUNT('Diário 5º PA'!$A$5:$A$2634)+COUNT('Diário 6º PA'!$A$5:$A$2246)+ROW()-4)</f>
        <v/>
      </c>
      <c r="B1505" s="278"/>
      <c r="C1505" s="335"/>
      <c r="D1505" s="255"/>
      <c r="E1505" s="255"/>
      <c r="F1505" s="258"/>
      <c r="G1505" s="450"/>
      <c r="H1505" s="255"/>
      <c r="I1505" s="250"/>
      <c r="J1505" s="255"/>
      <c r="K1505" s="255"/>
      <c r="L1505" s="250"/>
      <c r="M1505" s="277"/>
      <c r="N1505" s="277"/>
      <c r="O1505" s="329"/>
      <c r="P1505" s="330">
        <f t="shared" si="247"/>
        <v>0</v>
      </c>
      <c r="Q1505" s="330">
        <f t="shared" si="248"/>
        <v>0</v>
      </c>
      <c r="R1505" s="331" t="str">
        <f t="shared" si="249"/>
        <v/>
      </c>
      <c r="S1505" s="331" t="str">
        <f>IF(D1505="","",IF(OR(D1505=Plano!$A$1,D1505=Plano!$B$1),"entrada","saída"))</f>
        <v/>
      </c>
      <c r="T1505" s="345"/>
      <c r="U1505" s="345"/>
      <c r="V1505" s="269"/>
      <c r="W1505" s="269"/>
      <c r="X1505" s="269"/>
      <c r="Y1505" s="269"/>
      <c r="Z1505" s="269"/>
      <c r="AA1505" s="269"/>
      <c r="AB1505" s="269"/>
      <c r="AC1505" s="269"/>
      <c r="AD1505" s="269"/>
      <c r="AE1505" s="269"/>
      <c r="AF1505" s="269"/>
      <c r="AG1505" s="269"/>
      <c r="AH1505" s="269"/>
      <c r="AI1505" s="269"/>
      <c r="AJ1505" s="269"/>
      <c r="AK1505" s="269"/>
      <c r="AL1505" s="269"/>
      <c r="AM1505" s="269"/>
    </row>
    <row r="1506" spans="1:39" ht="12.75" customHeight="1" x14ac:dyDescent="0.2">
      <c r="A1506" s="277" t="str">
        <f>IF(B1506="","",COUNT('Diário 5º PA'!$A$5:$A$2634)+COUNT('Diário 6º PA'!$A$5:$A$2246)+ROW()-4)</f>
        <v/>
      </c>
      <c r="B1506" s="278"/>
      <c r="C1506" s="335"/>
      <c r="D1506" s="255"/>
      <c r="E1506" s="255"/>
      <c r="F1506" s="258"/>
      <c r="G1506" s="450"/>
      <c r="H1506" s="255"/>
      <c r="I1506" s="250"/>
      <c r="J1506" s="255"/>
      <c r="K1506" s="255"/>
      <c r="L1506" s="250"/>
      <c r="M1506" s="277"/>
      <c r="N1506" s="277"/>
      <c r="O1506" s="329"/>
      <c r="P1506" s="330">
        <f t="shared" si="247"/>
        <v>0</v>
      </c>
      <c r="Q1506" s="330">
        <f t="shared" si="248"/>
        <v>0</v>
      </c>
      <c r="R1506" s="331" t="str">
        <f t="shared" si="249"/>
        <v/>
      </c>
      <c r="S1506" s="331" t="str">
        <f>IF(D1506="","",IF(OR(D1506=Plano!$A$1,D1506=Plano!$B$1),"entrada","saída"))</f>
        <v/>
      </c>
      <c r="T1506" s="345"/>
      <c r="U1506" s="345"/>
      <c r="V1506" s="269"/>
      <c r="W1506" s="269"/>
      <c r="X1506" s="269"/>
      <c r="Y1506" s="269"/>
      <c r="Z1506" s="269"/>
      <c r="AA1506" s="269"/>
      <c r="AB1506" s="269"/>
      <c r="AC1506" s="269"/>
      <c r="AD1506" s="269"/>
      <c r="AE1506" s="269"/>
      <c r="AF1506" s="269"/>
      <c r="AG1506" s="269"/>
      <c r="AH1506" s="269"/>
      <c r="AI1506" s="269"/>
      <c r="AJ1506" s="269"/>
      <c r="AK1506" s="269"/>
      <c r="AL1506" s="269"/>
      <c r="AM1506" s="269"/>
    </row>
    <row r="1507" spans="1:39" ht="12.75" customHeight="1" x14ac:dyDescent="0.2">
      <c r="A1507" s="277" t="str">
        <f>IF(B1507="","",COUNT('Diário 5º PA'!$A$5:$A$2634)+COUNT('Diário 6º PA'!$A$5:$A$2246)+ROW()-4)</f>
        <v/>
      </c>
      <c r="B1507" s="278"/>
      <c r="C1507" s="335"/>
      <c r="D1507" s="255"/>
      <c r="E1507" s="255"/>
      <c r="F1507" s="258"/>
      <c r="G1507" s="450"/>
      <c r="H1507" s="255"/>
      <c r="I1507" s="250"/>
      <c r="J1507" s="255"/>
      <c r="K1507" s="255"/>
      <c r="L1507" s="250"/>
      <c r="M1507" s="277"/>
      <c r="N1507" s="277"/>
      <c r="O1507" s="329"/>
      <c r="P1507" s="330">
        <f t="shared" si="247"/>
        <v>0</v>
      </c>
      <c r="Q1507" s="330">
        <f t="shared" si="248"/>
        <v>0</v>
      </c>
      <c r="R1507" s="331" t="str">
        <f t="shared" si="249"/>
        <v/>
      </c>
      <c r="S1507" s="331" t="str">
        <f>IF(D1507="","",IF(OR(D1507=Plano!$A$1,D1507=Plano!$B$1),"entrada","saída"))</f>
        <v/>
      </c>
      <c r="T1507" s="345"/>
      <c r="U1507" s="345"/>
      <c r="V1507" s="269"/>
      <c r="W1507" s="269"/>
      <c r="X1507" s="269"/>
      <c r="Y1507" s="269"/>
      <c r="Z1507" s="269"/>
      <c r="AA1507" s="269"/>
      <c r="AB1507" s="269"/>
      <c r="AC1507" s="269"/>
      <c r="AD1507" s="269"/>
      <c r="AE1507" s="269"/>
      <c r="AF1507" s="269"/>
      <c r="AG1507" s="269"/>
      <c r="AH1507" s="269"/>
      <c r="AI1507" s="269"/>
      <c r="AJ1507" s="269"/>
      <c r="AK1507" s="269"/>
      <c r="AL1507" s="269"/>
      <c r="AM1507" s="269"/>
    </row>
    <row r="1508" spans="1:39" ht="12.75" customHeight="1" x14ac:dyDescent="0.2">
      <c r="A1508" s="277" t="str">
        <f>IF(B1508="","",COUNT('Diário 5º PA'!$A$5:$A$2634)+COUNT('Diário 6º PA'!$A$5:$A$2246)+ROW()-4)</f>
        <v/>
      </c>
      <c r="B1508" s="278"/>
      <c r="C1508" s="335"/>
      <c r="D1508" s="255"/>
      <c r="E1508" s="255"/>
      <c r="F1508" s="258"/>
      <c r="G1508" s="450"/>
      <c r="H1508" s="255"/>
      <c r="I1508" s="250"/>
      <c r="J1508" s="255"/>
      <c r="K1508" s="255"/>
      <c r="L1508" s="250"/>
      <c r="M1508" s="277"/>
      <c r="N1508" s="277"/>
      <c r="O1508" s="329"/>
      <c r="P1508" s="330">
        <f t="shared" si="247"/>
        <v>0</v>
      </c>
      <c r="Q1508" s="330">
        <f t="shared" si="248"/>
        <v>0</v>
      </c>
      <c r="R1508" s="331" t="str">
        <f t="shared" si="249"/>
        <v/>
      </c>
      <c r="S1508" s="331" t="str">
        <f>IF(D1508="","",IF(OR(D1508=Plano!$A$1,D1508=Plano!$B$1),"entrada","saída"))</f>
        <v/>
      </c>
      <c r="T1508" s="345"/>
      <c r="U1508" s="345"/>
      <c r="V1508" s="269"/>
      <c r="W1508" s="269"/>
      <c r="X1508" s="269"/>
      <c r="Y1508" s="269"/>
      <c r="Z1508" s="269"/>
      <c r="AA1508" s="269"/>
      <c r="AB1508" s="269"/>
      <c r="AC1508" s="269"/>
      <c r="AD1508" s="269"/>
      <c r="AE1508" s="269"/>
      <c r="AF1508" s="269"/>
      <c r="AG1508" s="269"/>
      <c r="AH1508" s="269"/>
      <c r="AI1508" s="269"/>
      <c r="AJ1508" s="269"/>
      <c r="AK1508" s="269"/>
      <c r="AL1508" s="269"/>
      <c r="AM1508" s="269"/>
    </row>
    <row r="1509" spans="1:39" ht="12.75" customHeight="1" x14ac:dyDescent="0.2">
      <c r="A1509" s="277" t="str">
        <f>IF(B1509="","",COUNT('Diário 5º PA'!$A$5:$A$2634)+COUNT('Diário 6º PA'!$A$5:$A$2246)+ROW()-4)</f>
        <v/>
      </c>
      <c r="B1509" s="278"/>
      <c r="C1509" s="335"/>
      <c r="D1509" s="255"/>
      <c r="E1509" s="255"/>
      <c r="F1509" s="258"/>
      <c r="G1509" s="450"/>
      <c r="H1509" s="255"/>
      <c r="I1509" s="250"/>
      <c r="J1509" s="255"/>
      <c r="K1509" s="255"/>
      <c r="L1509" s="250"/>
      <c r="M1509" s="277"/>
      <c r="N1509" s="277"/>
      <c r="O1509" s="329"/>
      <c r="P1509" s="330">
        <f t="shared" si="247"/>
        <v>0</v>
      </c>
      <c r="Q1509" s="330">
        <f t="shared" si="248"/>
        <v>0</v>
      </c>
      <c r="R1509" s="331" t="str">
        <f t="shared" si="249"/>
        <v/>
      </c>
      <c r="S1509" s="331" t="str">
        <f>IF(D1509="","",IF(OR(D1509=Plano!$A$1,D1509=Plano!$B$1),"entrada","saída"))</f>
        <v/>
      </c>
      <c r="T1509" s="345"/>
      <c r="U1509" s="345"/>
      <c r="V1509" s="269"/>
      <c r="W1509" s="269"/>
      <c r="X1509" s="269"/>
      <c r="Y1509" s="269"/>
      <c r="Z1509" s="269"/>
      <c r="AA1509" s="269"/>
      <c r="AB1509" s="269"/>
      <c r="AC1509" s="269"/>
      <c r="AD1509" s="269"/>
      <c r="AE1509" s="269"/>
      <c r="AF1509" s="269"/>
      <c r="AG1509" s="269"/>
      <c r="AH1509" s="269"/>
      <c r="AI1509" s="269"/>
      <c r="AJ1509" s="269"/>
      <c r="AK1509" s="269"/>
      <c r="AL1509" s="269"/>
      <c r="AM1509" s="269"/>
    </row>
    <row r="1510" spans="1:39" ht="12.75" customHeight="1" x14ac:dyDescent="0.2">
      <c r="A1510" s="277" t="str">
        <f>IF(B1510="","",COUNT('Diário 5º PA'!$A$5:$A$2634)+COUNT('Diário 6º PA'!$A$5:$A$2246)+ROW()-4)</f>
        <v/>
      </c>
      <c r="B1510" s="278"/>
      <c r="C1510" s="335"/>
      <c r="D1510" s="255"/>
      <c r="E1510" s="255"/>
      <c r="F1510" s="258"/>
      <c r="G1510" s="450"/>
      <c r="H1510" s="255"/>
      <c r="I1510" s="250"/>
      <c r="J1510" s="255"/>
      <c r="K1510" s="255"/>
      <c r="L1510" s="250"/>
      <c r="M1510" s="277"/>
      <c r="N1510" s="277"/>
      <c r="O1510" s="329"/>
      <c r="P1510" s="330">
        <f t="shared" si="247"/>
        <v>0</v>
      </c>
      <c r="Q1510" s="330">
        <f t="shared" si="248"/>
        <v>0</v>
      </c>
      <c r="R1510" s="331" t="str">
        <f t="shared" si="249"/>
        <v/>
      </c>
      <c r="S1510" s="331" t="str">
        <f>IF(D1510="","",IF(OR(D1510=Plano!$A$1,D1510=Plano!$B$1),"entrada","saída"))</f>
        <v/>
      </c>
      <c r="T1510" s="345"/>
      <c r="U1510" s="345"/>
      <c r="V1510" s="269"/>
      <c r="W1510" s="269"/>
      <c r="X1510" s="269"/>
      <c r="Y1510" s="269"/>
      <c r="Z1510" s="269"/>
      <c r="AA1510" s="269"/>
      <c r="AB1510" s="269"/>
      <c r="AC1510" s="269"/>
      <c r="AD1510" s="269"/>
      <c r="AE1510" s="269"/>
      <c r="AF1510" s="269"/>
      <c r="AG1510" s="269"/>
      <c r="AH1510" s="269"/>
      <c r="AI1510" s="269"/>
      <c r="AJ1510" s="269"/>
      <c r="AK1510" s="269"/>
      <c r="AL1510" s="269"/>
      <c r="AM1510" s="269"/>
    </row>
    <row r="1511" spans="1:39" ht="12.75" customHeight="1" x14ac:dyDescent="0.2">
      <c r="A1511" s="277" t="str">
        <f>IF(B1511="","",COUNT('Diário 5º PA'!$A$5:$A$2634)+COUNT('Diário 6º PA'!$A$5:$A$2246)+ROW()-4)</f>
        <v/>
      </c>
      <c r="B1511" s="278"/>
      <c r="C1511" s="335"/>
      <c r="D1511" s="255"/>
      <c r="E1511" s="255"/>
      <c r="F1511" s="258"/>
      <c r="G1511" s="450"/>
      <c r="H1511" s="255"/>
      <c r="I1511" s="250"/>
      <c r="J1511" s="255"/>
      <c r="K1511" s="255"/>
      <c r="L1511" s="250"/>
      <c r="M1511" s="277"/>
      <c r="N1511" s="277"/>
      <c r="O1511" s="329"/>
      <c r="P1511" s="330">
        <f t="shared" si="247"/>
        <v>0</v>
      </c>
      <c r="Q1511" s="330">
        <f t="shared" si="248"/>
        <v>0</v>
      </c>
      <c r="R1511" s="331" t="str">
        <f t="shared" si="249"/>
        <v/>
      </c>
      <c r="S1511" s="331" t="str">
        <f>IF(D1511="","",IF(OR(D1511=Plano!$A$1,D1511=Plano!$B$1),"entrada","saída"))</f>
        <v/>
      </c>
      <c r="T1511" s="345"/>
      <c r="U1511" s="345"/>
      <c r="V1511" s="269"/>
      <c r="W1511" s="269"/>
      <c r="X1511" s="269"/>
      <c r="Y1511" s="269"/>
      <c r="Z1511" s="269"/>
      <c r="AA1511" s="269"/>
      <c r="AB1511" s="269"/>
      <c r="AC1511" s="269"/>
      <c r="AD1511" s="269"/>
      <c r="AE1511" s="269"/>
      <c r="AF1511" s="269"/>
      <c r="AG1511" s="269"/>
      <c r="AH1511" s="269"/>
      <c r="AI1511" s="269"/>
      <c r="AJ1511" s="269"/>
      <c r="AK1511" s="269"/>
      <c r="AL1511" s="269"/>
      <c r="AM1511" s="269"/>
    </row>
    <row r="1512" spans="1:39" ht="12.75" customHeight="1" x14ac:dyDescent="0.2">
      <c r="A1512" s="277" t="str">
        <f>IF(B1512="","",COUNT('Diário 5º PA'!$A$5:$A$2634)+COUNT('Diário 6º PA'!$A$5:$A$2246)+ROW()-4)</f>
        <v/>
      </c>
      <c r="B1512" s="278"/>
      <c r="C1512" s="335"/>
      <c r="D1512" s="255"/>
      <c r="E1512" s="255"/>
      <c r="F1512" s="258"/>
      <c r="G1512" s="450"/>
      <c r="H1512" s="255"/>
      <c r="I1512" s="250"/>
      <c r="J1512" s="255"/>
      <c r="K1512" s="255"/>
      <c r="L1512" s="250"/>
      <c r="M1512" s="277"/>
      <c r="N1512" s="277"/>
      <c r="O1512" s="329"/>
      <c r="P1512" s="330">
        <f t="shared" si="247"/>
        <v>0</v>
      </c>
      <c r="Q1512" s="330">
        <f t="shared" si="248"/>
        <v>0</v>
      </c>
      <c r="R1512" s="331" t="str">
        <f t="shared" si="249"/>
        <v/>
      </c>
      <c r="S1512" s="331" t="str">
        <f>IF(D1512="","",IF(OR(D1512=Plano!$A$1,D1512=Plano!$B$1),"entrada","saída"))</f>
        <v/>
      </c>
      <c r="T1512" s="345"/>
      <c r="U1512" s="345"/>
      <c r="V1512" s="269"/>
      <c r="W1512" s="269"/>
      <c r="X1512" s="269"/>
      <c r="Y1512" s="269"/>
      <c r="Z1512" s="269"/>
      <c r="AA1512" s="269"/>
      <c r="AB1512" s="269"/>
      <c r="AC1512" s="269"/>
      <c r="AD1512" s="269"/>
      <c r="AE1512" s="269"/>
      <c r="AF1512" s="269"/>
      <c r="AG1512" s="269"/>
      <c r="AH1512" s="269"/>
      <c r="AI1512" s="269"/>
      <c r="AJ1512" s="269"/>
      <c r="AK1512" s="269"/>
      <c r="AL1512" s="269"/>
      <c r="AM1512" s="269"/>
    </row>
    <row r="1513" spans="1:39" ht="12.75" customHeight="1" x14ac:dyDescent="0.2">
      <c r="A1513" s="277" t="str">
        <f>IF(B1513="","",COUNT('Diário 5º PA'!$A$5:$A$2634)+COUNT('Diário 6º PA'!$A$5:$A$2246)+ROW()-4)</f>
        <v/>
      </c>
      <c r="B1513" s="278"/>
      <c r="C1513" s="335"/>
      <c r="D1513" s="255"/>
      <c r="E1513" s="255"/>
      <c r="F1513" s="258"/>
      <c r="G1513" s="450"/>
      <c r="H1513" s="255"/>
      <c r="I1513" s="250"/>
      <c r="J1513" s="255"/>
      <c r="K1513" s="255"/>
      <c r="L1513" s="250"/>
      <c r="M1513" s="277"/>
      <c r="N1513" s="277"/>
      <c r="O1513" s="329"/>
      <c r="P1513" s="330">
        <f t="shared" si="247"/>
        <v>0</v>
      </c>
      <c r="Q1513" s="330">
        <f t="shared" si="248"/>
        <v>0</v>
      </c>
      <c r="R1513" s="331" t="str">
        <f t="shared" si="249"/>
        <v/>
      </c>
      <c r="S1513" s="331" t="str">
        <f>IF(D1513="","",IF(OR(D1513=Plano!$A$1,D1513=Plano!$B$1),"entrada","saída"))</f>
        <v/>
      </c>
      <c r="T1513" s="345"/>
      <c r="U1513" s="345"/>
      <c r="V1513" s="269"/>
      <c r="W1513" s="269"/>
      <c r="X1513" s="269"/>
      <c r="Y1513" s="269"/>
      <c r="Z1513" s="269"/>
      <c r="AA1513" s="269"/>
      <c r="AB1513" s="269"/>
      <c r="AC1513" s="269"/>
      <c r="AD1513" s="269"/>
      <c r="AE1513" s="269"/>
      <c r="AF1513" s="269"/>
      <c r="AG1513" s="269"/>
      <c r="AH1513" s="269"/>
      <c r="AI1513" s="269"/>
      <c r="AJ1513" s="269"/>
      <c r="AK1513" s="269"/>
      <c r="AL1513" s="269"/>
      <c r="AM1513" s="269"/>
    </row>
    <row r="1514" spans="1:39" ht="12.75" customHeight="1" x14ac:dyDescent="0.2">
      <c r="A1514" s="277" t="str">
        <f>IF(B1514="","",COUNT('Diário 5º PA'!$A$5:$A$2634)+COUNT('Diário 6º PA'!$A$5:$A$2246)+ROW()-4)</f>
        <v/>
      </c>
      <c r="B1514" s="278"/>
      <c r="C1514" s="335"/>
      <c r="D1514" s="255"/>
      <c r="E1514" s="255"/>
      <c r="F1514" s="258"/>
      <c r="G1514" s="450"/>
      <c r="H1514" s="255"/>
      <c r="I1514" s="250"/>
      <c r="J1514" s="255"/>
      <c r="K1514" s="255"/>
      <c r="L1514" s="250"/>
      <c r="M1514" s="277"/>
      <c r="N1514" s="277"/>
      <c r="O1514" s="329"/>
      <c r="P1514" s="330">
        <f t="shared" si="247"/>
        <v>0</v>
      </c>
      <c r="Q1514" s="330">
        <f t="shared" si="248"/>
        <v>0</v>
      </c>
      <c r="R1514" s="331" t="str">
        <f t="shared" si="249"/>
        <v/>
      </c>
      <c r="S1514" s="331" t="str">
        <f>IF(D1514="","",IF(OR(D1514=Plano!$A$1,D1514=Plano!$B$1),"entrada","saída"))</f>
        <v/>
      </c>
      <c r="T1514" s="345"/>
      <c r="U1514" s="345"/>
      <c r="V1514" s="269"/>
      <c r="W1514" s="269"/>
      <c r="X1514" s="269"/>
      <c r="Y1514" s="269"/>
      <c r="Z1514" s="269"/>
      <c r="AA1514" s="269"/>
      <c r="AB1514" s="269"/>
      <c r="AC1514" s="269"/>
      <c r="AD1514" s="269"/>
      <c r="AE1514" s="269"/>
      <c r="AF1514" s="269"/>
      <c r="AG1514" s="269"/>
      <c r="AH1514" s="269"/>
      <c r="AI1514" s="269"/>
      <c r="AJ1514" s="269"/>
      <c r="AK1514" s="269"/>
      <c r="AL1514" s="269"/>
      <c r="AM1514" s="269"/>
    </row>
    <row r="1515" spans="1:39" ht="12.75" customHeight="1" x14ac:dyDescent="0.2">
      <c r="A1515" s="277" t="str">
        <f>IF(B1515="","",COUNT('Diário 5º PA'!$A$5:$A$2634)+COUNT('Diário 6º PA'!$A$5:$A$2246)+ROW()-4)</f>
        <v/>
      </c>
      <c r="B1515" s="278"/>
      <c r="C1515" s="335"/>
      <c r="D1515" s="255"/>
      <c r="E1515" s="255"/>
      <c r="F1515" s="258"/>
      <c r="G1515" s="450"/>
      <c r="H1515" s="255"/>
      <c r="I1515" s="250"/>
      <c r="J1515" s="255"/>
      <c r="K1515" s="255"/>
      <c r="L1515" s="250"/>
      <c r="M1515" s="277"/>
      <c r="N1515" s="277"/>
      <c r="O1515" s="329"/>
      <c r="P1515" s="330">
        <f t="shared" ref="P1515:P1578" si="250">IF(B1515=0,0,IF(YEAR(B1515)=$Q$1,MONTH(B1515)-$P$1+1,(YEAR(B1515)-$Q$1)*12-$P$1+1+MONTH(B1515)))</f>
        <v>0</v>
      </c>
      <c r="Q1515" s="330">
        <f t="shared" ref="Q1515:Q1578" si="251">IF(C1515=0,0,IF(YEAR(C1515)=$Q$1,MONTH(C1515)-$P$1+1,(YEAR(C1515)-$Q$1)*12-$P$1+1+MONTH(C1515)))</f>
        <v>0</v>
      </c>
      <c r="R1515" s="331" t="str">
        <f t="shared" ref="R1515:R1578" si="252">SUBSTITUTE(D1515," ","_")</f>
        <v/>
      </c>
      <c r="S1515" s="331" t="str">
        <f>IF(D1515="","",IF(OR(D1515=Plano!$A$1,D1515=Plano!$B$1),"entrada","saída"))</f>
        <v/>
      </c>
      <c r="T1515" s="345"/>
      <c r="U1515" s="345"/>
      <c r="V1515" s="269"/>
      <c r="W1515" s="269"/>
      <c r="X1515" s="269"/>
      <c r="Y1515" s="269"/>
      <c r="Z1515" s="269"/>
      <c r="AA1515" s="269"/>
      <c r="AB1515" s="269"/>
      <c r="AC1515" s="269"/>
      <c r="AD1515" s="269"/>
      <c r="AE1515" s="269"/>
      <c r="AF1515" s="269"/>
      <c r="AG1515" s="269"/>
      <c r="AH1515" s="269"/>
      <c r="AI1515" s="269"/>
      <c r="AJ1515" s="269"/>
      <c r="AK1515" s="269"/>
      <c r="AL1515" s="269"/>
      <c r="AM1515" s="269"/>
    </row>
    <row r="1516" spans="1:39" ht="12.75" customHeight="1" x14ac:dyDescent="0.2">
      <c r="A1516" s="277" t="str">
        <f>IF(B1516="","",COUNT('Diário 5º PA'!$A$5:$A$2634)+COUNT('Diário 6º PA'!$A$5:$A$2246)+ROW()-4)</f>
        <v/>
      </c>
      <c r="B1516" s="278"/>
      <c r="C1516" s="335"/>
      <c r="D1516" s="255"/>
      <c r="E1516" s="255"/>
      <c r="F1516" s="258"/>
      <c r="G1516" s="450"/>
      <c r="H1516" s="255"/>
      <c r="I1516" s="250"/>
      <c r="J1516" s="255"/>
      <c r="K1516" s="255"/>
      <c r="L1516" s="250"/>
      <c r="M1516" s="277"/>
      <c r="N1516" s="277"/>
      <c r="O1516" s="329"/>
      <c r="P1516" s="330">
        <f t="shared" si="250"/>
        <v>0</v>
      </c>
      <c r="Q1516" s="330">
        <f t="shared" si="251"/>
        <v>0</v>
      </c>
      <c r="R1516" s="331" t="str">
        <f t="shared" si="252"/>
        <v/>
      </c>
      <c r="S1516" s="331" t="str">
        <f>IF(D1516="","",IF(OR(D1516=Plano!$A$1,D1516=Plano!$B$1),"entrada","saída"))</f>
        <v/>
      </c>
      <c r="T1516" s="345"/>
      <c r="U1516" s="345"/>
      <c r="V1516" s="269"/>
      <c r="W1516" s="269"/>
      <c r="X1516" s="269"/>
      <c r="Y1516" s="269"/>
      <c r="Z1516" s="269"/>
      <c r="AA1516" s="269"/>
      <c r="AB1516" s="269"/>
      <c r="AC1516" s="269"/>
      <c r="AD1516" s="269"/>
      <c r="AE1516" s="269"/>
      <c r="AF1516" s="269"/>
      <c r="AG1516" s="269"/>
      <c r="AH1516" s="269"/>
      <c r="AI1516" s="269"/>
      <c r="AJ1516" s="269"/>
      <c r="AK1516" s="269"/>
      <c r="AL1516" s="269"/>
      <c r="AM1516" s="269"/>
    </row>
    <row r="1517" spans="1:39" ht="12.75" customHeight="1" x14ac:dyDescent="0.2">
      <c r="A1517" s="277" t="str">
        <f>IF(B1517="","",COUNT('Diário 5º PA'!$A$5:$A$2634)+COUNT('Diário 6º PA'!$A$5:$A$2246)+ROW()-4)</f>
        <v/>
      </c>
      <c r="B1517" s="278"/>
      <c r="C1517" s="335"/>
      <c r="D1517" s="255"/>
      <c r="E1517" s="255"/>
      <c r="F1517" s="258"/>
      <c r="G1517" s="450"/>
      <c r="H1517" s="255"/>
      <c r="I1517" s="250"/>
      <c r="J1517" s="255"/>
      <c r="K1517" s="255"/>
      <c r="L1517" s="250"/>
      <c r="M1517" s="277"/>
      <c r="N1517" s="277"/>
      <c r="O1517" s="329"/>
      <c r="P1517" s="330">
        <f t="shared" si="250"/>
        <v>0</v>
      </c>
      <c r="Q1517" s="330">
        <f t="shared" si="251"/>
        <v>0</v>
      </c>
      <c r="R1517" s="331" t="str">
        <f t="shared" si="252"/>
        <v/>
      </c>
      <c r="S1517" s="331" t="str">
        <f>IF(D1517="","",IF(OR(D1517=Plano!$A$1,D1517=Plano!$B$1),"entrada","saída"))</f>
        <v/>
      </c>
      <c r="T1517" s="345"/>
      <c r="U1517" s="345"/>
      <c r="V1517" s="269"/>
      <c r="W1517" s="269"/>
      <c r="X1517" s="269"/>
      <c r="Y1517" s="269"/>
      <c r="Z1517" s="269"/>
      <c r="AA1517" s="269"/>
      <c r="AB1517" s="269"/>
      <c r="AC1517" s="269"/>
      <c r="AD1517" s="269"/>
      <c r="AE1517" s="269"/>
      <c r="AF1517" s="269"/>
      <c r="AG1517" s="269"/>
      <c r="AH1517" s="269"/>
      <c r="AI1517" s="269"/>
      <c r="AJ1517" s="269"/>
      <c r="AK1517" s="269"/>
      <c r="AL1517" s="269"/>
      <c r="AM1517" s="269"/>
    </row>
    <row r="1518" spans="1:39" ht="12.75" customHeight="1" x14ac:dyDescent="0.2">
      <c r="A1518" s="277" t="str">
        <f>IF(B1518="","",COUNT('Diário 5º PA'!$A$5:$A$2634)+COUNT('Diário 6º PA'!$A$5:$A$2246)+ROW()-4)</f>
        <v/>
      </c>
      <c r="B1518" s="278"/>
      <c r="C1518" s="335"/>
      <c r="D1518" s="255"/>
      <c r="E1518" s="255"/>
      <c r="F1518" s="258"/>
      <c r="G1518" s="450"/>
      <c r="H1518" s="255"/>
      <c r="I1518" s="250"/>
      <c r="J1518" s="255"/>
      <c r="K1518" s="255"/>
      <c r="L1518" s="250"/>
      <c r="M1518" s="277"/>
      <c r="N1518" s="277"/>
      <c r="O1518" s="329"/>
      <c r="P1518" s="330">
        <f t="shared" si="250"/>
        <v>0</v>
      </c>
      <c r="Q1518" s="330">
        <f t="shared" si="251"/>
        <v>0</v>
      </c>
      <c r="R1518" s="331" t="str">
        <f t="shared" si="252"/>
        <v/>
      </c>
      <c r="S1518" s="331" t="str">
        <f>IF(D1518="","",IF(OR(D1518=Plano!$A$1,D1518=Plano!$B$1),"entrada","saída"))</f>
        <v/>
      </c>
      <c r="T1518" s="345"/>
      <c r="U1518" s="345"/>
      <c r="V1518" s="269"/>
      <c r="W1518" s="269"/>
      <c r="X1518" s="269"/>
      <c r="Y1518" s="269"/>
      <c r="Z1518" s="269"/>
      <c r="AA1518" s="269"/>
      <c r="AB1518" s="269"/>
      <c r="AC1518" s="269"/>
      <c r="AD1518" s="269"/>
      <c r="AE1518" s="269"/>
      <c r="AF1518" s="269"/>
      <c r="AG1518" s="269"/>
      <c r="AH1518" s="269"/>
      <c r="AI1518" s="269"/>
      <c r="AJ1518" s="269"/>
      <c r="AK1518" s="269"/>
      <c r="AL1518" s="269"/>
      <c r="AM1518" s="269"/>
    </row>
    <row r="1519" spans="1:39" ht="12.75" customHeight="1" x14ac:dyDescent="0.2">
      <c r="A1519" s="277" t="str">
        <f>IF(B1519="","",COUNT('Diário 5º PA'!$A$5:$A$2634)+COUNT('Diário 6º PA'!$A$5:$A$2246)+ROW()-4)</f>
        <v/>
      </c>
      <c r="B1519" s="278"/>
      <c r="C1519" s="335"/>
      <c r="D1519" s="255"/>
      <c r="E1519" s="255"/>
      <c r="F1519" s="258"/>
      <c r="G1519" s="450"/>
      <c r="H1519" s="255"/>
      <c r="I1519" s="250"/>
      <c r="J1519" s="255"/>
      <c r="K1519" s="255"/>
      <c r="L1519" s="250"/>
      <c r="M1519" s="277"/>
      <c r="N1519" s="277"/>
      <c r="O1519" s="329"/>
      <c r="P1519" s="330">
        <f t="shared" si="250"/>
        <v>0</v>
      </c>
      <c r="Q1519" s="330">
        <f t="shared" si="251"/>
        <v>0</v>
      </c>
      <c r="R1519" s="331" t="str">
        <f t="shared" si="252"/>
        <v/>
      </c>
      <c r="S1519" s="331" t="str">
        <f>IF(D1519="","",IF(OR(D1519=Plano!$A$1,D1519=Plano!$B$1),"entrada","saída"))</f>
        <v/>
      </c>
      <c r="T1519" s="345"/>
      <c r="U1519" s="345"/>
      <c r="V1519" s="269"/>
      <c r="W1519" s="269"/>
      <c r="X1519" s="269"/>
      <c r="Y1519" s="269"/>
      <c r="Z1519" s="269"/>
      <c r="AA1519" s="269"/>
      <c r="AB1519" s="269"/>
      <c r="AC1519" s="269"/>
      <c r="AD1519" s="269"/>
      <c r="AE1519" s="269"/>
      <c r="AF1519" s="269"/>
      <c r="AG1519" s="269"/>
      <c r="AH1519" s="269"/>
      <c r="AI1519" s="269"/>
      <c r="AJ1519" s="269"/>
      <c r="AK1519" s="269"/>
      <c r="AL1519" s="269"/>
      <c r="AM1519" s="269"/>
    </row>
    <row r="1520" spans="1:39" ht="12.75" customHeight="1" x14ac:dyDescent="0.2">
      <c r="A1520" s="277" t="str">
        <f>IF(B1520="","",COUNT('Diário 5º PA'!$A$5:$A$2634)+COUNT('Diário 6º PA'!$A$5:$A$2246)+ROW()-4)</f>
        <v/>
      </c>
      <c r="B1520" s="278"/>
      <c r="C1520" s="335"/>
      <c r="D1520" s="255"/>
      <c r="E1520" s="255"/>
      <c r="F1520" s="258"/>
      <c r="G1520" s="450"/>
      <c r="H1520" s="255"/>
      <c r="I1520" s="250"/>
      <c r="J1520" s="255"/>
      <c r="K1520" s="255"/>
      <c r="L1520" s="250"/>
      <c r="M1520" s="277"/>
      <c r="N1520" s="277"/>
      <c r="O1520" s="329"/>
      <c r="P1520" s="330">
        <f t="shared" si="250"/>
        <v>0</v>
      </c>
      <c r="Q1520" s="330">
        <f t="shared" si="251"/>
        <v>0</v>
      </c>
      <c r="R1520" s="331" t="str">
        <f t="shared" si="252"/>
        <v/>
      </c>
      <c r="S1520" s="331" t="str">
        <f>IF(D1520="","",IF(OR(D1520=Plano!$A$1,D1520=Plano!$B$1),"entrada","saída"))</f>
        <v/>
      </c>
      <c r="T1520" s="345"/>
      <c r="U1520" s="345"/>
      <c r="V1520" s="269"/>
      <c r="W1520" s="269"/>
      <c r="X1520" s="269"/>
      <c r="Y1520" s="269"/>
      <c r="Z1520" s="269"/>
      <c r="AA1520" s="269"/>
      <c r="AB1520" s="269"/>
      <c r="AC1520" s="269"/>
      <c r="AD1520" s="269"/>
      <c r="AE1520" s="269"/>
      <c r="AF1520" s="269"/>
      <c r="AG1520" s="269"/>
      <c r="AH1520" s="269"/>
      <c r="AI1520" s="269"/>
      <c r="AJ1520" s="269"/>
      <c r="AK1520" s="269"/>
      <c r="AL1520" s="269"/>
      <c r="AM1520" s="269"/>
    </row>
    <row r="1521" spans="1:39" ht="12.75" customHeight="1" x14ac:dyDescent="0.2">
      <c r="A1521" s="277" t="str">
        <f>IF(B1521="","",COUNT('Diário 5º PA'!$A$5:$A$2634)+COUNT('Diário 6º PA'!$A$5:$A$2246)+ROW()-4)</f>
        <v/>
      </c>
      <c r="B1521" s="278"/>
      <c r="C1521" s="335"/>
      <c r="D1521" s="255"/>
      <c r="E1521" s="255"/>
      <c r="F1521" s="258"/>
      <c r="G1521" s="450"/>
      <c r="H1521" s="255"/>
      <c r="I1521" s="250"/>
      <c r="J1521" s="255"/>
      <c r="K1521" s="255"/>
      <c r="L1521" s="250"/>
      <c r="M1521" s="277"/>
      <c r="N1521" s="277"/>
      <c r="O1521" s="329"/>
      <c r="P1521" s="330">
        <f t="shared" si="250"/>
        <v>0</v>
      </c>
      <c r="Q1521" s="330">
        <f t="shared" si="251"/>
        <v>0</v>
      </c>
      <c r="R1521" s="331" t="str">
        <f t="shared" si="252"/>
        <v/>
      </c>
      <c r="S1521" s="331" t="str">
        <f>IF(D1521="","",IF(OR(D1521=Plano!$A$1,D1521=Plano!$B$1),"entrada","saída"))</f>
        <v/>
      </c>
      <c r="T1521" s="345"/>
      <c r="U1521" s="345"/>
      <c r="V1521" s="269"/>
      <c r="W1521" s="269"/>
      <c r="X1521" s="269"/>
      <c r="Y1521" s="269"/>
      <c r="Z1521" s="269"/>
      <c r="AA1521" s="269"/>
      <c r="AB1521" s="269"/>
      <c r="AC1521" s="269"/>
      <c r="AD1521" s="269"/>
      <c r="AE1521" s="269"/>
      <c r="AF1521" s="269"/>
      <c r="AG1521" s="269"/>
      <c r="AH1521" s="269"/>
      <c r="AI1521" s="269"/>
      <c r="AJ1521" s="269"/>
      <c r="AK1521" s="269"/>
      <c r="AL1521" s="269"/>
      <c r="AM1521" s="269"/>
    </row>
    <row r="1522" spans="1:39" ht="12.75" customHeight="1" x14ac:dyDescent="0.2">
      <c r="A1522" s="277" t="str">
        <f>IF(B1522="","",COUNT('Diário 5º PA'!$A$5:$A$2634)+COUNT('Diário 6º PA'!$A$5:$A$2246)+ROW()-4)</f>
        <v/>
      </c>
      <c r="B1522" s="278"/>
      <c r="C1522" s="335"/>
      <c r="D1522" s="255"/>
      <c r="E1522" s="255"/>
      <c r="F1522" s="258"/>
      <c r="G1522" s="450"/>
      <c r="H1522" s="255"/>
      <c r="I1522" s="250"/>
      <c r="J1522" s="255"/>
      <c r="K1522" s="255"/>
      <c r="L1522" s="250"/>
      <c r="M1522" s="277"/>
      <c r="N1522" s="277"/>
      <c r="O1522" s="329"/>
      <c r="P1522" s="330">
        <f t="shared" si="250"/>
        <v>0</v>
      </c>
      <c r="Q1522" s="330">
        <f t="shared" si="251"/>
        <v>0</v>
      </c>
      <c r="R1522" s="331" t="str">
        <f t="shared" si="252"/>
        <v/>
      </c>
      <c r="S1522" s="331" t="str">
        <f>IF(D1522="","",IF(OR(D1522=Plano!$A$1,D1522=Plano!$B$1),"entrada","saída"))</f>
        <v/>
      </c>
      <c r="T1522" s="345"/>
      <c r="U1522" s="345"/>
      <c r="V1522" s="269"/>
      <c r="W1522" s="269"/>
      <c r="X1522" s="269"/>
      <c r="Y1522" s="269"/>
      <c r="Z1522" s="269"/>
      <c r="AA1522" s="269"/>
      <c r="AB1522" s="269"/>
      <c r="AC1522" s="269"/>
      <c r="AD1522" s="269"/>
      <c r="AE1522" s="269"/>
      <c r="AF1522" s="269"/>
      <c r="AG1522" s="269"/>
      <c r="AH1522" s="269"/>
      <c r="AI1522" s="269"/>
      <c r="AJ1522" s="269"/>
      <c r="AK1522" s="269"/>
      <c r="AL1522" s="269"/>
      <c r="AM1522" s="269"/>
    </row>
    <row r="1523" spans="1:39" ht="12.75" customHeight="1" x14ac:dyDescent="0.2">
      <c r="A1523" s="277" t="str">
        <f>IF(B1523="","",COUNT('Diário 5º PA'!$A$5:$A$2634)+COUNT('Diário 6º PA'!$A$5:$A$2246)+ROW()-4)</f>
        <v/>
      </c>
      <c r="B1523" s="278"/>
      <c r="C1523" s="335"/>
      <c r="D1523" s="255"/>
      <c r="E1523" s="255"/>
      <c r="F1523" s="258"/>
      <c r="G1523" s="450"/>
      <c r="H1523" s="255"/>
      <c r="I1523" s="250"/>
      <c r="J1523" s="255"/>
      <c r="K1523" s="255"/>
      <c r="L1523" s="250"/>
      <c r="M1523" s="277"/>
      <c r="N1523" s="277"/>
      <c r="O1523" s="329"/>
      <c r="P1523" s="330">
        <f t="shared" si="250"/>
        <v>0</v>
      </c>
      <c r="Q1523" s="330">
        <f t="shared" si="251"/>
        <v>0</v>
      </c>
      <c r="R1523" s="331" t="str">
        <f t="shared" si="252"/>
        <v/>
      </c>
      <c r="S1523" s="331" t="str">
        <f>IF(D1523="","",IF(OR(D1523=Plano!$A$1,D1523=Plano!$B$1),"entrada","saída"))</f>
        <v/>
      </c>
      <c r="T1523" s="345"/>
      <c r="U1523" s="345"/>
      <c r="V1523" s="269"/>
      <c r="W1523" s="269"/>
      <c r="X1523" s="269"/>
      <c r="Y1523" s="269"/>
      <c r="Z1523" s="269"/>
      <c r="AA1523" s="269"/>
      <c r="AB1523" s="269"/>
      <c r="AC1523" s="269"/>
      <c r="AD1523" s="269"/>
      <c r="AE1523" s="269"/>
      <c r="AF1523" s="269"/>
      <c r="AG1523" s="269"/>
      <c r="AH1523" s="269"/>
      <c r="AI1523" s="269"/>
      <c r="AJ1523" s="269"/>
      <c r="AK1523" s="269"/>
      <c r="AL1523" s="269"/>
      <c r="AM1523" s="269"/>
    </row>
    <row r="1524" spans="1:39" ht="12.75" customHeight="1" x14ac:dyDescent="0.2">
      <c r="A1524" s="277" t="str">
        <f>IF(B1524="","",COUNT('Diário 5º PA'!$A$5:$A$2634)+COUNT('Diário 6º PA'!$A$5:$A$2246)+ROW()-4)</f>
        <v/>
      </c>
      <c r="B1524" s="278"/>
      <c r="C1524" s="335"/>
      <c r="D1524" s="255"/>
      <c r="E1524" s="255"/>
      <c r="F1524" s="258"/>
      <c r="G1524" s="450"/>
      <c r="H1524" s="255"/>
      <c r="I1524" s="250"/>
      <c r="J1524" s="255"/>
      <c r="K1524" s="255"/>
      <c r="L1524" s="250"/>
      <c r="M1524" s="277"/>
      <c r="N1524" s="277"/>
      <c r="O1524" s="329"/>
      <c r="P1524" s="330">
        <f t="shared" si="250"/>
        <v>0</v>
      </c>
      <c r="Q1524" s="330">
        <f t="shared" si="251"/>
        <v>0</v>
      </c>
      <c r="R1524" s="331" t="str">
        <f t="shared" si="252"/>
        <v/>
      </c>
      <c r="S1524" s="331" t="str">
        <f>IF(D1524="","",IF(OR(D1524=Plano!$A$1,D1524=Plano!$B$1),"entrada","saída"))</f>
        <v/>
      </c>
      <c r="T1524" s="345"/>
      <c r="U1524" s="345"/>
      <c r="V1524" s="269"/>
      <c r="W1524" s="269"/>
      <c r="X1524" s="269"/>
      <c r="Y1524" s="269"/>
      <c r="Z1524" s="269"/>
      <c r="AA1524" s="269"/>
      <c r="AB1524" s="269"/>
      <c r="AC1524" s="269"/>
      <c r="AD1524" s="269"/>
      <c r="AE1524" s="269"/>
      <c r="AF1524" s="269"/>
      <c r="AG1524" s="269"/>
      <c r="AH1524" s="269"/>
      <c r="AI1524" s="269"/>
      <c r="AJ1524" s="269"/>
      <c r="AK1524" s="269"/>
      <c r="AL1524" s="269"/>
      <c r="AM1524" s="269"/>
    </row>
    <row r="1525" spans="1:39" ht="12.75" customHeight="1" x14ac:dyDescent="0.2">
      <c r="A1525" s="277" t="str">
        <f>IF(B1525="","",COUNT('Diário 5º PA'!$A$5:$A$2634)+COUNT('Diário 6º PA'!$A$5:$A$2246)+ROW()-4)</f>
        <v/>
      </c>
      <c r="B1525" s="278"/>
      <c r="C1525" s="335"/>
      <c r="D1525" s="255"/>
      <c r="E1525" s="255"/>
      <c r="F1525" s="258"/>
      <c r="G1525" s="450"/>
      <c r="H1525" s="255"/>
      <c r="I1525" s="250"/>
      <c r="J1525" s="255"/>
      <c r="K1525" s="255"/>
      <c r="L1525" s="250"/>
      <c r="M1525" s="277"/>
      <c r="N1525" s="277"/>
      <c r="O1525" s="329"/>
      <c r="P1525" s="330">
        <f t="shared" si="250"/>
        <v>0</v>
      </c>
      <c r="Q1525" s="330">
        <f t="shared" si="251"/>
        <v>0</v>
      </c>
      <c r="R1525" s="331" t="str">
        <f t="shared" si="252"/>
        <v/>
      </c>
      <c r="S1525" s="331" t="str">
        <f>IF(D1525="","",IF(OR(D1525=Plano!$A$1,D1525=Plano!$B$1),"entrada","saída"))</f>
        <v/>
      </c>
      <c r="T1525" s="345"/>
      <c r="U1525" s="345"/>
      <c r="V1525" s="269"/>
      <c r="W1525" s="269"/>
      <c r="X1525" s="269"/>
      <c r="Y1525" s="269"/>
      <c r="Z1525" s="269"/>
      <c r="AA1525" s="269"/>
      <c r="AB1525" s="269"/>
      <c r="AC1525" s="269"/>
      <c r="AD1525" s="269"/>
      <c r="AE1525" s="269"/>
      <c r="AF1525" s="269"/>
      <c r="AG1525" s="269"/>
      <c r="AH1525" s="269"/>
      <c r="AI1525" s="269"/>
      <c r="AJ1525" s="269"/>
      <c r="AK1525" s="269"/>
      <c r="AL1525" s="269"/>
      <c r="AM1525" s="269"/>
    </row>
    <row r="1526" spans="1:39" ht="12.75" customHeight="1" x14ac:dyDescent="0.2">
      <c r="A1526" s="277" t="str">
        <f>IF(B1526="","",COUNT('Diário 5º PA'!$A$5:$A$2634)+COUNT('Diário 6º PA'!$A$5:$A$2246)+ROW()-4)</f>
        <v/>
      </c>
      <c r="B1526" s="278"/>
      <c r="C1526" s="335"/>
      <c r="D1526" s="255"/>
      <c r="E1526" s="255"/>
      <c r="F1526" s="258"/>
      <c r="G1526" s="450"/>
      <c r="H1526" s="255"/>
      <c r="I1526" s="250"/>
      <c r="J1526" s="255"/>
      <c r="K1526" s="255"/>
      <c r="L1526" s="250"/>
      <c r="M1526" s="277"/>
      <c r="N1526" s="277"/>
      <c r="O1526" s="329"/>
      <c r="P1526" s="330">
        <f t="shared" si="250"/>
        <v>0</v>
      </c>
      <c r="Q1526" s="330">
        <f t="shared" si="251"/>
        <v>0</v>
      </c>
      <c r="R1526" s="331" t="str">
        <f t="shared" si="252"/>
        <v/>
      </c>
      <c r="S1526" s="331" t="str">
        <f>IF(D1526="","",IF(OR(D1526=Plano!$A$1,D1526=Plano!$B$1),"entrada","saída"))</f>
        <v/>
      </c>
      <c r="T1526" s="345"/>
      <c r="U1526" s="345"/>
      <c r="V1526" s="269"/>
      <c r="W1526" s="269"/>
      <c r="X1526" s="269"/>
      <c r="Y1526" s="269"/>
      <c r="Z1526" s="269"/>
      <c r="AA1526" s="269"/>
      <c r="AB1526" s="269"/>
      <c r="AC1526" s="269"/>
      <c r="AD1526" s="269"/>
      <c r="AE1526" s="269"/>
      <c r="AF1526" s="269"/>
      <c r="AG1526" s="269"/>
      <c r="AH1526" s="269"/>
      <c r="AI1526" s="269"/>
      <c r="AJ1526" s="269"/>
      <c r="AK1526" s="269"/>
      <c r="AL1526" s="269"/>
      <c r="AM1526" s="269"/>
    </row>
    <row r="1527" spans="1:39" ht="12.75" customHeight="1" x14ac:dyDescent="0.2">
      <c r="A1527" s="277" t="str">
        <f>IF(B1527="","",COUNT('Diário 5º PA'!$A$5:$A$2634)+COUNT('Diário 6º PA'!$A$5:$A$2246)+ROW()-4)</f>
        <v/>
      </c>
      <c r="B1527" s="278"/>
      <c r="C1527" s="335"/>
      <c r="D1527" s="255"/>
      <c r="E1527" s="255"/>
      <c r="F1527" s="258"/>
      <c r="G1527" s="450"/>
      <c r="H1527" s="255"/>
      <c r="I1527" s="250"/>
      <c r="J1527" s="255"/>
      <c r="K1527" s="255"/>
      <c r="L1527" s="250"/>
      <c r="M1527" s="277"/>
      <c r="N1527" s="277"/>
      <c r="O1527" s="329"/>
      <c r="P1527" s="330">
        <f t="shared" si="250"/>
        <v>0</v>
      </c>
      <c r="Q1527" s="330">
        <f t="shared" si="251"/>
        <v>0</v>
      </c>
      <c r="R1527" s="331" t="str">
        <f t="shared" si="252"/>
        <v/>
      </c>
      <c r="S1527" s="331" t="str">
        <f>IF(D1527="","",IF(OR(D1527=Plano!$A$1,D1527=Plano!$B$1),"entrada","saída"))</f>
        <v/>
      </c>
      <c r="T1527" s="345"/>
      <c r="U1527" s="345"/>
      <c r="V1527" s="269"/>
      <c r="W1527" s="269"/>
      <c r="X1527" s="269"/>
      <c r="Y1527" s="269"/>
      <c r="Z1527" s="269"/>
      <c r="AA1527" s="269"/>
      <c r="AB1527" s="269"/>
      <c r="AC1527" s="269"/>
      <c r="AD1527" s="269"/>
      <c r="AE1527" s="269"/>
      <c r="AF1527" s="269"/>
      <c r="AG1527" s="269"/>
      <c r="AH1527" s="269"/>
      <c r="AI1527" s="269"/>
      <c r="AJ1527" s="269"/>
      <c r="AK1527" s="269"/>
      <c r="AL1527" s="269"/>
      <c r="AM1527" s="269"/>
    </row>
    <row r="1528" spans="1:39" ht="12.75" customHeight="1" x14ac:dyDescent="0.2">
      <c r="A1528" s="277" t="str">
        <f>IF(B1528="","",COUNT('Diário 5º PA'!$A$5:$A$2634)+COUNT('Diário 6º PA'!$A$5:$A$2246)+ROW()-4)</f>
        <v/>
      </c>
      <c r="B1528" s="278"/>
      <c r="C1528" s="335"/>
      <c r="D1528" s="255"/>
      <c r="E1528" s="255"/>
      <c r="F1528" s="258"/>
      <c r="G1528" s="450"/>
      <c r="H1528" s="255"/>
      <c r="I1528" s="250"/>
      <c r="J1528" s="255"/>
      <c r="K1528" s="255"/>
      <c r="L1528" s="250"/>
      <c r="M1528" s="277"/>
      <c r="N1528" s="277"/>
      <c r="O1528" s="329"/>
      <c r="P1528" s="330">
        <f t="shared" si="250"/>
        <v>0</v>
      </c>
      <c r="Q1528" s="330">
        <f t="shared" si="251"/>
        <v>0</v>
      </c>
      <c r="R1528" s="331" t="str">
        <f t="shared" si="252"/>
        <v/>
      </c>
      <c r="S1528" s="331" t="str">
        <f>IF(D1528="","",IF(OR(D1528=Plano!$A$1,D1528=Plano!$B$1),"entrada","saída"))</f>
        <v/>
      </c>
      <c r="T1528" s="345"/>
      <c r="U1528" s="345"/>
      <c r="V1528" s="269"/>
      <c r="W1528" s="269"/>
      <c r="X1528" s="269"/>
      <c r="Y1528" s="269"/>
      <c r="Z1528" s="269"/>
      <c r="AA1528" s="269"/>
      <c r="AB1528" s="269"/>
      <c r="AC1528" s="269"/>
      <c r="AD1528" s="269"/>
      <c r="AE1528" s="269"/>
      <c r="AF1528" s="269"/>
      <c r="AG1528" s="269"/>
      <c r="AH1528" s="269"/>
      <c r="AI1528" s="269"/>
      <c r="AJ1528" s="269"/>
      <c r="AK1528" s="269"/>
      <c r="AL1528" s="269"/>
      <c r="AM1528" s="269"/>
    </row>
    <row r="1529" spans="1:39" ht="12.75" customHeight="1" x14ac:dyDescent="0.2">
      <c r="A1529" s="277" t="str">
        <f>IF(B1529="","",COUNT('Diário 5º PA'!$A$5:$A$2634)+COUNT('Diário 6º PA'!$A$5:$A$2246)+ROW()-4)</f>
        <v/>
      </c>
      <c r="B1529" s="278"/>
      <c r="C1529" s="335"/>
      <c r="D1529" s="255"/>
      <c r="E1529" s="255"/>
      <c r="F1529" s="258"/>
      <c r="G1529" s="450"/>
      <c r="H1529" s="255"/>
      <c r="I1529" s="250"/>
      <c r="J1529" s="255"/>
      <c r="K1529" s="255"/>
      <c r="L1529" s="250"/>
      <c r="M1529" s="277"/>
      <c r="N1529" s="277"/>
      <c r="O1529" s="329"/>
      <c r="P1529" s="330">
        <f t="shared" si="250"/>
        <v>0</v>
      </c>
      <c r="Q1529" s="330">
        <f t="shared" si="251"/>
        <v>0</v>
      </c>
      <c r="R1529" s="331" t="str">
        <f t="shared" si="252"/>
        <v/>
      </c>
      <c r="S1529" s="331" t="str">
        <f>IF(D1529="","",IF(OR(D1529=Plano!$A$1,D1529=Plano!$B$1),"entrada","saída"))</f>
        <v/>
      </c>
      <c r="T1529" s="345"/>
      <c r="U1529" s="345"/>
      <c r="V1529" s="269"/>
      <c r="W1529" s="269"/>
      <c r="X1529" s="269"/>
      <c r="Y1529" s="269"/>
      <c r="Z1529" s="269"/>
      <c r="AA1529" s="269"/>
      <c r="AB1529" s="269"/>
      <c r="AC1529" s="269"/>
      <c r="AD1529" s="269"/>
      <c r="AE1529" s="269"/>
      <c r="AF1529" s="269"/>
      <c r="AG1529" s="269"/>
      <c r="AH1529" s="269"/>
      <c r="AI1529" s="269"/>
      <c r="AJ1529" s="269"/>
      <c r="AK1529" s="269"/>
      <c r="AL1529" s="269"/>
      <c r="AM1529" s="269"/>
    </row>
    <row r="1530" spans="1:39" ht="12.75" customHeight="1" x14ac:dyDescent="0.2">
      <c r="A1530" s="277" t="str">
        <f>IF(B1530="","",COUNT('Diário 5º PA'!$A$5:$A$2634)+COUNT('Diário 6º PA'!$A$5:$A$2246)+ROW()-4)</f>
        <v/>
      </c>
      <c r="B1530" s="278"/>
      <c r="C1530" s="335"/>
      <c r="D1530" s="255"/>
      <c r="E1530" s="255"/>
      <c r="F1530" s="258"/>
      <c r="G1530" s="450"/>
      <c r="H1530" s="255"/>
      <c r="I1530" s="250"/>
      <c r="J1530" s="255"/>
      <c r="K1530" s="255"/>
      <c r="L1530" s="250"/>
      <c r="M1530" s="277"/>
      <c r="N1530" s="277"/>
      <c r="O1530" s="329"/>
      <c r="P1530" s="330">
        <f t="shared" si="250"/>
        <v>0</v>
      </c>
      <c r="Q1530" s="330">
        <f t="shared" si="251"/>
        <v>0</v>
      </c>
      <c r="R1530" s="331" t="str">
        <f t="shared" si="252"/>
        <v/>
      </c>
      <c r="S1530" s="331" t="str">
        <f>IF(D1530="","",IF(OR(D1530=Plano!$A$1,D1530=Plano!$B$1),"entrada","saída"))</f>
        <v/>
      </c>
      <c r="T1530" s="345"/>
      <c r="U1530" s="345"/>
      <c r="V1530" s="269"/>
      <c r="W1530" s="269"/>
      <c r="X1530" s="269"/>
      <c r="Y1530" s="269"/>
      <c r="Z1530" s="269"/>
      <c r="AA1530" s="269"/>
      <c r="AB1530" s="269"/>
      <c r="AC1530" s="269"/>
      <c r="AD1530" s="269"/>
      <c r="AE1530" s="269"/>
      <c r="AF1530" s="269"/>
      <c r="AG1530" s="269"/>
      <c r="AH1530" s="269"/>
      <c r="AI1530" s="269"/>
      <c r="AJ1530" s="269"/>
      <c r="AK1530" s="269"/>
      <c r="AL1530" s="269"/>
      <c r="AM1530" s="269"/>
    </row>
    <row r="1531" spans="1:39" ht="12.75" customHeight="1" x14ac:dyDescent="0.2">
      <c r="A1531" s="277" t="str">
        <f>IF(B1531="","",COUNT('Diário 5º PA'!$A$5:$A$2634)+COUNT('Diário 6º PA'!$A$5:$A$2246)+ROW()-4)</f>
        <v/>
      </c>
      <c r="B1531" s="278"/>
      <c r="C1531" s="335"/>
      <c r="D1531" s="255"/>
      <c r="E1531" s="255"/>
      <c r="F1531" s="258"/>
      <c r="G1531" s="450"/>
      <c r="H1531" s="255"/>
      <c r="I1531" s="250"/>
      <c r="J1531" s="255"/>
      <c r="K1531" s="255"/>
      <c r="L1531" s="250"/>
      <c r="M1531" s="277"/>
      <c r="N1531" s="277"/>
      <c r="O1531" s="329"/>
      <c r="P1531" s="330">
        <f t="shared" si="250"/>
        <v>0</v>
      </c>
      <c r="Q1531" s="330">
        <f t="shared" si="251"/>
        <v>0</v>
      </c>
      <c r="R1531" s="331" t="str">
        <f t="shared" si="252"/>
        <v/>
      </c>
      <c r="S1531" s="331" t="str">
        <f>IF(D1531="","",IF(OR(D1531=Plano!$A$1,D1531=Plano!$B$1),"entrada","saída"))</f>
        <v/>
      </c>
      <c r="T1531" s="345"/>
      <c r="U1531" s="345"/>
      <c r="V1531" s="269"/>
      <c r="W1531" s="269"/>
      <c r="X1531" s="269"/>
      <c r="Y1531" s="269"/>
      <c r="Z1531" s="269"/>
      <c r="AA1531" s="269"/>
      <c r="AB1531" s="269"/>
      <c r="AC1531" s="269"/>
      <c r="AD1531" s="269"/>
      <c r="AE1531" s="269"/>
      <c r="AF1531" s="269"/>
      <c r="AG1531" s="269"/>
      <c r="AH1531" s="269"/>
      <c r="AI1531" s="269"/>
      <c r="AJ1531" s="269"/>
      <c r="AK1531" s="269"/>
      <c r="AL1531" s="269"/>
      <c r="AM1531" s="269"/>
    </row>
    <row r="1532" spans="1:39" ht="12.75" customHeight="1" x14ac:dyDescent="0.2">
      <c r="A1532" s="277" t="str">
        <f>IF(B1532="","",COUNT('Diário 5º PA'!$A$5:$A$2634)+COUNT('Diário 6º PA'!$A$5:$A$2246)+ROW()-4)</f>
        <v/>
      </c>
      <c r="B1532" s="278"/>
      <c r="C1532" s="335"/>
      <c r="D1532" s="255"/>
      <c r="E1532" s="255"/>
      <c r="F1532" s="258"/>
      <c r="G1532" s="450"/>
      <c r="H1532" s="255"/>
      <c r="I1532" s="250"/>
      <c r="J1532" s="255"/>
      <c r="K1532" s="255"/>
      <c r="L1532" s="250"/>
      <c r="M1532" s="277"/>
      <c r="N1532" s="277"/>
      <c r="O1532" s="329"/>
      <c r="P1532" s="330">
        <f t="shared" si="250"/>
        <v>0</v>
      </c>
      <c r="Q1532" s="330">
        <f t="shared" si="251"/>
        <v>0</v>
      </c>
      <c r="R1532" s="331" t="str">
        <f t="shared" si="252"/>
        <v/>
      </c>
      <c r="S1532" s="331" t="str">
        <f>IF(D1532="","",IF(OR(D1532=Plano!$A$1,D1532=Plano!$B$1),"entrada","saída"))</f>
        <v/>
      </c>
      <c r="T1532" s="345"/>
      <c r="U1532" s="345"/>
      <c r="V1532" s="269"/>
      <c r="W1532" s="269"/>
      <c r="X1532" s="269"/>
      <c r="Y1532" s="269"/>
      <c r="Z1532" s="269"/>
      <c r="AA1532" s="269"/>
      <c r="AB1532" s="269"/>
      <c r="AC1532" s="269"/>
      <c r="AD1532" s="269"/>
      <c r="AE1532" s="269"/>
      <c r="AF1532" s="269"/>
      <c r="AG1532" s="269"/>
      <c r="AH1532" s="269"/>
      <c r="AI1532" s="269"/>
      <c r="AJ1532" s="269"/>
      <c r="AK1532" s="269"/>
      <c r="AL1532" s="269"/>
      <c r="AM1532" s="269"/>
    </row>
    <row r="1533" spans="1:39" ht="12.75" customHeight="1" x14ac:dyDescent="0.2">
      <c r="A1533" s="277" t="str">
        <f>IF(B1533="","",COUNT('Diário 5º PA'!$A$5:$A$2634)+COUNT('Diário 6º PA'!$A$5:$A$2246)+ROW()-4)</f>
        <v/>
      </c>
      <c r="B1533" s="278"/>
      <c r="C1533" s="335"/>
      <c r="D1533" s="255"/>
      <c r="E1533" s="255"/>
      <c r="F1533" s="258"/>
      <c r="G1533" s="450"/>
      <c r="H1533" s="255"/>
      <c r="I1533" s="250"/>
      <c r="J1533" s="255"/>
      <c r="K1533" s="255"/>
      <c r="L1533" s="250"/>
      <c r="M1533" s="277"/>
      <c r="N1533" s="277"/>
      <c r="O1533" s="329"/>
      <c r="P1533" s="330">
        <f t="shared" si="250"/>
        <v>0</v>
      </c>
      <c r="Q1533" s="330">
        <f t="shared" si="251"/>
        <v>0</v>
      </c>
      <c r="R1533" s="331" t="str">
        <f t="shared" si="252"/>
        <v/>
      </c>
      <c r="S1533" s="331" t="str">
        <f>IF(D1533="","",IF(OR(D1533=Plano!$A$1,D1533=Plano!$B$1),"entrada","saída"))</f>
        <v/>
      </c>
      <c r="T1533" s="345"/>
      <c r="U1533" s="345"/>
      <c r="V1533" s="269"/>
      <c r="W1533" s="269"/>
      <c r="X1533" s="269"/>
      <c r="Y1533" s="269"/>
      <c r="Z1533" s="269"/>
      <c r="AA1533" s="269"/>
      <c r="AB1533" s="269"/>
      <c r="AC1533" s="269"/>
      <c r="AD1533" s="269"/>
      <c r="AE1533" s="269"/>
      <c r="AF1533" s="269"/>
      <c r="AG1533" s="269"/>
      <c r="AH1533" s="269"/>
      <c r="AI1533" s="269"/>
      <c r="AJ1533" s="269"/>
      <c r="AK1533" s="269"/>
      <c r="AL1533" s="269"/>
      <c r="AM1533" s="269"/>
    </row>
    <row r="1534" spans="1:39" ht="12.75" customHeight="1" x14ac:dyDescent="0.2">
      <c r="A1534" s="277" t="str">
        <f>IF(B1534="","",COUNT('Diário 5º PA'!$A$5:$A$2634)+COUNT('Diário 6º PA'!$A$5:$A$2246)+ROW()-4)</f>
        <v/>
      </c>
      <c r="B1534" s="278"/>
      <c r="C1534" s="335"/>
      <c r="D1534" s="255"/>
      <c r="E1534" s="255"/>
      <c r="F1534" s="258"/>
      <c r="G1534" s="450"/>
      <c r="H1534" s="255"/>
      <c r="I1534" s="250"/>
      <c r="J1534" s="255"/>
      <c r="K1534" s="255"/>
      <c r="L1534" s="250"/>
      <c r="M1534" s="277"/>
      <c r="N1534" s="277"/>
      <c r="O1534" s="329"/>
      <c r="P1534" s="330">
        <f t="shared" si="250"/>
        <v>0</v>
      </c>
      <c r="Q1534" s="330">
        <f t="shared" si="251"/>
        <v>0</v>
      </c>
      <c r="R1534" s="331" t="str">
        <f t="shared" si="252"/>
        <v/>
      </c>
      <c r="S1534" s="331" t="str">
        <f>IF(D1534="","",IF(OR(D1534=Plano!$A$1,D1534=Plano!$B$1),"entrada","saída"))</f>
        <v/>
      </c>
      <c r="T1534" s="345"/>
      <c r="U1534" s="345"/>
      <c r="V1534" s="269"/>
      <c r="W1534" s="269"/>
      <c r="X1534" s="269"/>
      <c r="Y1534" s="269"/>
      <c r="Z1534" s="269"/>
      <c r="AA1534" s="269"/>
      <c r="AB1534" s="269"/>
      <c r="AC1534" s="269"/>
      <c r="AD1534" s="269"/>
      <c r="AE1534" s="269"/>
      <c r="AF1534" s="269"/>
      <c r="AG1534" s="269"/>
      <c r="AH1534" s="269"/>
      <c r="AI1534" s="269"/>
      <c r="AJ1534" s="269"/>
      <c r="AK1534" s="269"/>
      <c r="AL1534" s="269"/>
      <c r="AM1534" s="269"/>
    </row>
    <row r="1535" spans="1:39" ht="12.75" customHeight="1" x14ac:dyDescent="0.2">
      <c r="A1535" s="277" t="str">
        <f>IF(B1535="","",COUNT('Diário 5º PA'!$A$5:$A$2634)+COUNT('Diário 6º PA'!$A$5:$A$2246)+ROW()-4)</f>
        <v/>
      </c>
      <c r="B1535" s="278"/>
      <c r="C1535" s="335"/>
      <c r="D1535" s="255"/>
      <c r="E1535" s="255"/>
      <c r="F1535" s="258"/>
      <c r="G1535" s="450"/>
      <c r="H1535" s="255"/>
      <c r="I1535" s="250"/>
      <c r="J1535" s="255"/>
      <c r="K1535" s="255"/>
      <c r="L1535" s="250"/>
      <c r="M1535" s="277"/>
      <c r="N1535" s="277"/>
      <c r="O1535" s="329"/>
      <c r="P1535" s="330">
        <f t="shared" si="250"/>
        <v>0</v>
      </c>
      <c r="Q1535" s="330">
        <f t="shared" si="251"/>
        <v>0</v>
      </c>
      <c r="R1535" s="331" t="str">
        <f t="shared" si="252"/>
        <v/>
      </c>
      <c r="S1535" s="331" t="str">
        <f>IF(D1535="","",IF(OR(D1535=Plano!$A$1,D1535=Plano!$B$1),"entrada","saída"))</f>
        <v/>
      </c>
      <c r="T1535" s="345"/>
      <c r="U1535" s="345"/>
      <c r="V1535" s="269"/>
      <c r="W1535" s="269"/>
      <c r="X1535" s="269"/>
      <c r="Y1535" s="269"/>
      <c r="Z1535" s="269"/>
      <c r="AA1535" s="269"/>
      <c r="AB1535" s="269"/>
      <c r="AC1535" s="269"/>
      <c r="AD1535" s="269"/>
      <c r="AE1535" s="269"/>
      <c r="AF1535" s="269"/>
      <c r="AG1535" s="269"/>
      <c r="AH1535" s="269"/>
      <c r="AI1535" s="269"/>
      <c r="AJ1535" s="269"/>
      <c r="AK1535" s="269"/>
      <c r="AL1535" s="269"/>
      <c r="AM1535" s="269"/>
    </row>
    <row r="1536" spans="1:39" ht="12.75" customHeight="1" x14ac:dyDescent="0.2">
      <c r="A1536" s="277" t="str">
        <f>IF(B1536="","",COUNT('Diário 5º PA'!$A$5:$A$2634)+COUNT('Diário 6º PA'!$A$5:$A$2246)+ROW()-4)</f>
        <v/>
      </c>
      <c r="B1536" s="278"/>
      <c r="C1536" s="335"/>
      <c r="D1536" s="255"/>
      <c r="E1536" s="255"/>
      <c r="F1536" s="258"/>
      <c r="G1536" s="450"/>
      <c r="H1536" s="255"/>
      <c r="I1536" s="250"/>
      <c r="J1536" s="255"/>
      <c r="K1536" s="255"/>
      <c r="L1536" s="250"/>
      <c r="M1536" s="277"/>
      <c r="N1536" s="277"/>
      <c r="O1536" s="329"/>
      <c r="P1536" s="330">
        <f t="shared" si="250"/>
        <v>0</v>
      </c>
      <c r="Q1536" s="330">
        <f t="shared" si="251"/>
        <v>0</v>
      </c>
      <c r="R1536" s="331" t="str">
        <f t="shared" si="252"/>
        <v/>
      </c>
      <c r="S1536" s="331" t="str">
        <f>IF(D1536="","",IF(OR(D1536=Plano!$A$1,D1536=Plano!$B$1),"entrada","saída"))</f>
        <v/>
      </c>
      <c r="T1536" s="345"/>
      <c r="U1536" s="345"/>
      <c r="V1536" s="269"/>
      <c r="W1536" s="269"/>
      <c r="X1536" s="269"/>
      <c r="Y1536" s="269"/>
      <c r="Z1536" s="269"/>
      <c r="AA1536" s="269"/>
      <c r="AB1536" s="269"/>
      <c r="AC1536" s="269"/>
      <c r="AD1536" s="269"/>
      <c r="AE1536" s="269"/>
      <c r="AF1536" s="269"/>
      <c r="AG1536" s="269"/>
      <c r="AH1536" s="269"/>
      <c r="AI1536" s="269"/>
      <c r="AJ1536" s="269"/>
      <c r="AK1536" s="269"/>
      <c r="AL1536" s="269"/>
      <c r="AM1536" s="269"/>
    </row>
    <row r="1537" spans="1:39" ht="12.75" customHeight="1" x14ac:dyDescent="0.2">
      <c r="A1537" s="277" t="str">
        <f>IF(B1537="","",COUNT('Diário 5º PA'!$A$5:$A$2634)+COUNT('Diário 6º PA'!$A$5:$A$2246)+ROW()-4)</f>
        <v/>
      </c>
      <c r="B1537" s="278"/>
      <c r="C1537" s="335"/>
      <c r="D1537" s="255"/>
      <c r="E1537" s="255"/>
      <c r="F1537" s="258"/>
      <c r="G1537" s="450"/>
      <c r="H1537" s="255"/>
      <c r="I1537" s="250"/>
      <c r="J1537" s="255"/>
      <c r="K1537" s="255"/>
      <c r="L1537" s="250"/>
      <c r="M1537" s="277"/>
      <c r="N1537" s="277"/>
      <c r="O1537" s="329"/>
      <c r="P1537" s="330">
        <f t="shared" si="250"/>
        <v>0</v>
      </c>
      <c r="Q1537" s="330">
        <f t="shared" si="251"/>
        <v>0</v>
      </c>
      <c r="R1537" s="331" t="str">
        <f t="shared" si="252"/>
        <v/>
      </c>
      <c r="S1537" s="331" t="str">
        <f>IF(D1537="","",IF(OR(D1537=Plano!$A$1,D1537=Plano!$B$1),"entrada","saída"))</f>
        <v/>
      </c>
      <c r="T1537" s="345"/>
      <c r="U1537" s="345"/>
      <c r="V1537" s="269"/>
      <c r="W1537" s="269"/>
      <c r="X1537" s="269"/>
      <c r="Y1537" s="269"/>
      <c r="Z1537" s="269"/>
      <c r="AA1537" s="269"/>
      <c r="AB1537" s="269"/>
      <c r="AC1537" s="269"/>
      <c r="AD1537" s="269"/>
      <c r="AE1537" s="269"/>
      <c r="AF1537" s="269"/>
      <c r="AG1537" s="269"/>
      <c r="AH1537" s="269"/>
      <c r="AI1537" s="269"/>
      <c r="AJ1537" s="269"/>
      <c r="AK1537" s="269"/>
      <c r="AL1537" s="269"/>
      <c r="AM1537" s="269"/>
    </row>
    <row r="1538" spans="1:39" ht="12.75" customHeight="1" x14ac:dyDescent="0.2">
      <c r="A1538" s="277" t="str">
        <f>IF(B1538="","",COUNT('Diário 5º PA'!$A$5:$A$2634)+COUNT('Diário 6º PA'!$A$5:$A$2246)+ROW()-4)</f>
        <v/>
      </c>
      <c r="B1538" s="278"/>
      <c r="C1538" s="335"/>
      <c r="D1538" s="255"/>
      <c r="E1538" s="255"/>
      <c r="F1538" s="258"/>
      <c r="G1538" s="450"/>
      <c r="H1538" s="255"/>
      <c r="I1538" s="250"/>
      <c r="J1538" s="255"/>
      <c r="K1538" s="255"/>
      <c r="L1538" s="250"/>
      <c r="M1538" s="277"/>
      <c r="N1538" s="277"/>
      <c r="O1538" s="329"/>
      <c r="P1538" s="330">
        <f t="shared" si="250"/>
        <v>0</v>
      </c>
      <c r="Q1538" s="330">
        <f t="shared" si="251"/>
        <v>0</v>
      </c>
      <c r="R1538" s="331" t="str">
        <f t="shared" si="252"/>
        <v/>
      </c>
      <c r="S1538" s="331" t="str">
        <f>IF(D1538="","",IF(OR(D1538=Plano!$A$1,D1538=Plano!$B$1),"entrada","saída"))</f>
        <v/>
      </c>
      <c r="T1538" s="345"/>
      <c r="U1538" s="345"/>
      <c r="V1538" s="269"/>
      <c r="W1538" s="269"/>
      <c r="X1538" s="269"/>
      <c r="Y1538" s="269"/>
      <c r="Z1538" s="269"/>
      <c r="AA1538" s="269"/>
      <c r="AB1538" s="269"/>
      <c r="AC1538" s="269"/>
      <c r="AD1538" s="269"/>
      <c r="AE1538" s="269"/>
      <c r="AF1538" s="269"/>
      <c r="AG1538" s="269"/>
      <c r="AH1538" s="269"/>
      <c r="AI1538" s="269"/>
      <c r="AJ1538" s="269"/>
      <c r="AK1538" s="269"/>
      <c r="AL1538" s="269"/>
      <c r="AM1538" s="269"/>
    </row>
    <row r="1539" spans="1:39" ht="12.75" customHeight="1" x14ac:dyDescent="0.2">
      <c r="A1539" s="277" t="str">
        <f>IF(B1539="","",COUNT('Diário 5º PA'!$A$5:$A$2634)+COUNT('Diário 6º PA'!$A$5:$A$2246)+ROW()-4)</f>
        <v/>
      </c>
      <c r="B1539" s="278"/>
      <c r="C1539" s="335"/>
      <c r="D1539" s="255"/>
      <c r="E1539" s="255"/>
      <c r="F1539" s="258"/>
      <c r="G1539" s="450"/>
      <c r="H1539" s="255"/>
      <c r="I1539" s="250"/>
      <c r="J1539" s="255"/>
      <c r="K1539" s="255"/>
      <c r="L1539" s="250"/>
      <c r="M1539" s="277"/>
      <c r="N1539" s="277"/>
      <c r="O1539" s="329"/>
      <c r="P1539" s="330">
        <f t="shared" si="250"/>
        <v>0</v>
      </c>
      <c r="Q1539" s="330">
        <f t="shared" si="251"/>
        <v>0</v>
      </c>
      <c r="R1539" s="331" t="str">
        <f t="shared" si="252"/>
        <v/>
      </c>
      <c r="S1539" s="331" t="str">
        <f>IF(D1539="","",IF(OR(D1539=Plano!$A$1,D1539=Plano!$B$1),"entrada","saída"))</f>
        <v/>
      </c>
      <c r="T1539" s="345"/>
      <c r="U1539" s="345"/>
      <c r="V1539" s="269"/>
      <c r="W1539" s="269"/>
      <c r="X1539" s="269"/>
      <c r="Y1539" s="269"/>
      <c r="Z1539" s="269"/>
      <c r="AA1539" s="269"/>
      <c r="AB1539" s="269"/>
      <c r="AC1539" s="269"/>
      <c r="AD1539" s="269"/>
      <c r="AE1539" s="269"/>
      <c r="AF1539" s="269"/>
      <c r="AG1539" s="269"/>
      <c r="AH1539" s="269"/>
      <c r="AI1539" s="269"/>
      <c r="AJ1539" s="269"/>
      <c r="AK1539" s="269"/>
      <c r="AL1539" s="269"/>
      <c r="AM1539" s="269"/>
    </row>
    <row r="1540" spans="1:39" ht="12.75" customHeight="1" x14ac:dyDescent="0.2">
      <c r="A1540" s="277" t="str">
        <f>IF(B1540="","",COUNT('Diário 5º PA'!$A$5:$A$2634)+COUNT('Diário 6º PA'!$A$5:$A$2246)+ROW()-4)</f>
        <v/>
      </c>
      <c r="B1540" s="278"/>
      <c r="C1540" s="335"/>
      <c r="D1540" s="255"/>
      <c r="E1540" s="255"/>
      <c r="F1540" s="258"/>
      <c r="G1540" s="450"/>
      <c r="H1540" s="255"/>
      <c r="I1540" s="250"/>
      <c r="J1540" s="255"/>
      <c r="K1540" s="255"/>
      <c r="L1540" s="250"/>
      <c r="M1540" s="277"/>
      <c r="N1540" s="277"/>
      <c r="O1540" s="329"/>
      <c r="P1540" s="330">
        <f t="shared" si="250"/>
        <v>0</v>
      </c>
      <c r="Q1540" s="330">
        <f t="shared" si="251"/>
        <v>0</v>
      </c>
      <c r="R1540" s="331" t="str">
        <f t="shared" si="252"/>
        <v/>
      </c>
      <c r="S1540" s="331" t="str">
        <f>IF(D1540="","",IF(OR(D1540=Plano!$A$1,D1540=Plano!$B$1),"entrada","saída"))</f>
        <v/>
      </c>
      <c r="T1540" s="345"/>
      <c r="U1540" s="345"/>
      <c r="V1540" s="269"/>
      <c r="W1540" s="269"/>
      <c r="X1540" s="269"/>
      <c r="Y1540" s="269"/>
      <c r="Z1540" s="269"/>
      <c r="AA1540" s="269"/>
      <c r="AB1540" s="269"/>
      <c r="AC1540" s="269"/>
      <c r="AD1540" s="269"/>
      <c r="AE1540" s="269"/>
      <c r="AF1540" s="269"/>
      <c r="AG1540" s="269"/>
      <c r="AH1540" s="269"/>
      <c r="AI1540" s="269"/>
      <c r="AJ1540" s="269"/>
      <c r="AK1540" s="269"/>
      <c r="AL1540" s="269"/>
      <c r="AM1540" s="269"/>
    </row>
    <row r="1541" spans="1:39" ht="12.75" customHeight="1" x14ac:dyDescent="0.2">
      <c r="A1541" s="277" t="str">
        <f>IF(B1541="","",COUNT('Diário 5º PA'!$A$5:$A$2634)+COUNT('Diário 6º PA'!$A$5:$A$2246)+ROW()-4)</f>
        <v/>
      </c>
      <c r="B1541" s="278"/>
      <c r="C1541" s="335"/>
      <c r="D1541" s="255"/>
      <c r="E1541" s="255"/>
      <c r="F1541" s="258"/>
      <c r="G1541" s="450"/>
      <c r="H1541" s="255"/>
      <c r="I1541" s="250"/>
      <c r="J1541" s="255"/>
      <c r="K1541" s="255"/>
      <c r="L1541" s="250"/>
      <c r="M1541" s="277"/>
      <c r="N1541" s="277"/>
      <c r="O1541" s="329"/>
      <c r="P1541" s="330">
        <f t="shared" si="250"/>
        <v>0</v>
      </c>
      <c r="Q1541" s="330">
        <f t="shared" si="251"/>
        <v>0</v>
      </c>
      <c r="R1541" s="331" t="str">
        <f t="shared" si="252"/>
        <v/>
      </c>
      <c r="S1541" s="331" t="str">
        <f>IF(D1541="","",IF(OR(D1541=Plano!$A$1,D1541=Plano!$B$1),"entrada","saída"))</f>
        <v/>
      </c>
      <c r="T1541" s="345"/>
      <c r="U1541" s="345"/>
      <c r="V1541" s="269"/>
      <c r="W1541" s="269"/>
      <c r="X1541" s="269"/>
      <c r="Y1541" s="269"/>
      <c r="Z1541" s="269"/>
      <c r="AA1541" s="269"/>
      <c r="AB1541" s="269"/>
      <c r="AC1541" s="269"/>
      <c r="AD1541" s="269"/>
      <c r="AE1541" s="269"/>
      <c r="AF1541" s="269"/>
      <c r="AG1541" s="269"/>
      <c r="AH1541" s="269"/>
      <c r="AI1541" s="269"/>
      <c r="AJ1541" s="269"/>
      <c r="AK1541" s="269"/>
      <c r="AL1541" s="269"/>
      <c r="AM1541" s="269"/>
    </row>
    <row r="1542" spans="1:39" ht="12.75" customHeight="1" x14ac:dyDescent="0.2">
      <c r="A1542" s="277" t="str">
        <f>IF(B1542="","",COUNT('Diário 5º PA'!$A$5:$A$2634)+COUNT('Diário 6º PA'!$A$5:$A$2246)+ROW()-4)</f>
        <v/>
      </c>
      <c r="B1542" s="278"/>
      <c r="C1542" s="335"/>
      <c r="D1542" s="255"/>
      <c r="E1542" s="255"/>
      <c r="F1542" s="258"/>
      <c r="G1542" s="450"/>
      <c r="H1542" s="255"/>
      <c r="I1542" s="250"/>
      <c r="J1542" s="255"/>
      <c r="K1542" s="255"/>
      <c r="L1542" s="250"/>
      <c r="M1542" s="277"/>
      <c r="N1542" s="277"/>
      <c r="O1542" s="329"/>
      <c r="P1542" s="330">
        <f t="shared" si="250"/>
        <v>0</v>
      </c>
      <c r="Q1542" s="330">
        <f t="shared" si="251"/>
        <v>0</v>
      </c>
      <c r="R1542" s="331" t="str">
        <f t="shared" si="252"/>
        <v/>
      </c>
      <c r="S1542" s="331" t="str">
        <f>IF(D1542="","",IF(OR(D1542=Plano!$A$1,D1542=Plano!$B$1),"entrada","saída"))</f>
        <v/>
      </c>
      <c r="T1542" s="345"/>
      <c r="U1542" s="345"/>
      <c r="V1542" s="269"/>
      <c r="W1542" s="269"/>
      <c r="X1542" s="269"/>
      <c r="Y1542" s="269"/>
      <c r="Z1542" s="269"/>
      <c r="AA1542" s="269"/>
      <c r="AB1542" s="269"/>
      <c r="AC1542" s="269"/>
      <c r="AD1542" s="269"/>
      <c r="AE1542" s="269"/>
      <c r="AF1542" s="269"/>
      <c r="AG1542" s="269"/>
      <c r="AH1542" s="269"/>
      <c r="AI1542" s="269"/>
      <c r="AJ1542" s="269"/>
      <c r="AK1542" s="269"/>
      <c r="AL1542" s="269"/>
      <c r="AM1542" s="269"/>
    </row>
    <row r="1543" spans="1:39" ht="12.75" customHeight="1" x14ac:dyDescent="0.2">
      <c r="A1543" s="277" t="str">
        <f>IF(B1543="","",COUNT('Diário 5º PA'!$A$5:$A$2634)+COUNT('Diário 6º PA'!$A$5:$A$2246)+ROW()-4)</f>
        <v/>
      </c>
      <c r="B1543" s="278"/>
      <c r="C1543" s="335"/>
      <c r="D1543" s="255"/>
      <c r="E1543" s="255"/>
      <c r="F1543" s="258"/>
      <c r="G1543" s="450"/>
      <c r="H1543" s="255"/>
      <c r="I1543" s="250"/>
      <c r="J1543" s="255"/>
      <c r="K1543" s="255"/>
      <c r="L1543" s="250"/>
      <c r="M1543" s="277"/>
      <c r="N1543" s="277"/>
      <c r="O1543" s="329"/>
      <c r="P1543" s="330">
        <f t="shared" si="250"/>
        <v>0</v>
      </c>
      <c r="Q1543" s="330">
        <f t="shared" si="251"/>
        <v>0</v>
      </c>
      <c r="R1543" s="331" t="str">
        <f t="shared" si="252"/>
        <v/>
      </c>
      <c r="S1543" s="331" t="str">
        <f>IF(D1543="","",IF(OR(D1543=Plano!$A$1,D1543=Plano!$B$1),"entrada","saída"))</f>
        <v/>
      </c>
      <c r="T1543" s="345"/>
      <c r="U1543" s="345"/>
      <c r="V1543" s="269"/>
      <c r="W1543" s="269"/>
      <c r="X1543" s="269"/>
      <c r="Y1543" s="269"/>
      <c r="Z1543" s="269"/>
      <c r="AA1543" s="269"/>
      <c r="AB1543" s="269"/>
      <c r="AC1543" s="269"/>
      <c r="AD1543" s="269"/>
      <c r="AE1543" s="269"/>
      <c r="AF1543" s="269"/>
      <c r="AG1543" s="269"/>
      <c r="AH1543" s="269"/>
      <c r="AI1543" s="269"/>
      <c r="AJ1543" s="269"/>
      <c r="AK1543" s="269"/>
      <c r="AL1543" s="269"/>
      <c r="AM1543" s="269"/>
    </row>
    <row r="1544" spans="1:39" ht="12.75" customHeight="1" x14ac:dyDescent="0.2">
      <c r="A1544" s="277" t="str">
        <f>IF(B1544="","",COUNT('Diário 5º PA'!$A$5:$A$2634)+COUNT('Diário 6º PA'!$A$5:$A$2246)+ROW()-4)</f>
        <v/>
      </c>
      <c r="B1544" s="278"/>
      <c r="C1544" s="335"/>
      <c r="D1544" s="255"/>
      <c r="E1544" s="255"/>
      <c r="F1544" s="258"/>
      <c r="G1544" s="450"/>
      <c r="H1544" s="255"/>
      <c r="I1544" s="250"/>
      <c r="J1544" s="255"/>
      <c r="K1544" s="255"/>
      <c r="L1544" s="250"/>
      <c r="M1544" s="277"/>
      <c r="N1544" s="277"/>
      <c r="O1544" s="329"/>
      <c r="P1544" s="330">
        <f t="shared" si="250"/>
        <v>0</v>
      </c>
      <c r="Q1544" s="330">
        <f t="shared" si="251"/>
        <v>0</v>
      </c>
      <c r="R1544" s="331" t="str">
        <f t="shared" si="252"/>
        <v/>
      </c>
      <c r="S1544" s="331" t="str">
        <f>IF(D1544="","",IF(OR(D1544=Plano!$A$1,D1544=Plano!$B$1),"entrada","saída"))</f>
        <v/>
      </c>
      <c r="T1544" s="345"/>
      <c r="U1544" s="345"/>
      <c r="V1544" s="269"/>
      <c r="W1544" s="269"/>
      <c r="X1544" s="269"/>
      <c r="Y1544" s="269"/>
      <c r="Z1544" s="269"/>
      <c r="AA1544" s="269"/>
      <c r="AB1544" s="269"/>
      <c r="AC1544" s="269"/>
      <c r="AD1544" s="269"/>
      <c r="AE1544" s="269"/>
      <c r="AF1544" s="269"/>
      <c r="AG1544" s="269"/>
      <c r="AH1544" s="269"/>
      <c r="AI1544" s="269"/>
      <c r="AJ1544" s="269"/>
      <c r="AK1544" s="269"/>
      <c r="AL1544" s="269"/>
      <c r="AM1544" s="269"/>
    </row>
    <row r="1545" spans="1:39" ht="12.75" customHeight="1" x14ac:dyDescent="0.2">
      <c r="A1545" s="277" t="str">
        <f>IF(B1545="","",COUNT('Diário 5º PA'!$A$5:$A$2634)+COUNT('Diário 6º PA'!$A$5:$A$2246)+ROW()-4)</f>
        <v/>
      </c>
      <c r="B1545" s="278"/>
      <c r="C1545" s="335"/>
      <c r="D1545" s="255"/>
      <c r="E1545" s="255"/>
      <c r="F1545" s="258"/>
      <c r="G1545" s="450"/>
      <c r="H1545" s="255"/>
      <c r="I1545" s="250"/>
      <c r="J1545" s="255"/>
      <c r="K1545" s="255"/>
      <c r="L1545" s="250"/>
      <c r="M1545" s="277"/>
      <c r="N1545" s="277"/>
      <c r="O1545" s="329"/>
      <c r="P1545" s="330">
        <f t="shared" si="250"/>
        <v>0</v>
      </c>
      <c r="Q1545" s="330">
        <f t="shared" si="251"/>
        <v>0</v>
      </c>
      <c r="R1545" s="331" t="str">
        <f t="shared" si="252"/>
        <v/>
      </c>
      <c r="S1545" s="331" t="str">
        <f>IF(D1545="","",IF(OR(D1545=Plano!$A$1,D1545=Plano!$B$1),"entrada","saída"))</f>
        <v/>
      </c>
      <c r="T1545" s="345"/>
      <c r="U1545" s="345"/>
      <c r="V1545" s="269"/>
      <c r="W1545" s="269"/>
      <c r="X1545" s="269"/>
      <c r="Y1545" s="269"/>
      <c r="Z1545" s="269"/>
      <c r="AA1545" s="269"/>
      <c r="AB1545" s="269"/>
      <c r="AC1545" s="269"/>
      <c r="AD1545" s="269"/>
      <c r="AE1545" s="269"/>
      <c r="AF1545" s="269"/>
      <c r="AG1545" s="269"/>
      <c r="AH1545" s="269"/>
      <c r="AI1545" s="269"/>
      <c r="AJ1545" s="269"/>
      <c r="AK1545" s="269"/>
      <c r="AL1545" s="269"/>
      <c r="AM1545" s="269"/>
    </row>
    <row r="1546" spans="1:39" ht="12.75" customHeight="1" x14ac:dyDescent="0.2">
      <c r="A1546" s="277" t="str">
        <f>IF(B1546="","",COUNT('Diário 5º PA'!$A$5:$A$2634)+COUNT('Diário 6º PA'!$A$5:$A$2246)+ROW()-4)</f>
        <v/>
      </c>
      <c r="B1546" s="278"/>
      <c r="C1546" s="335"/>
      <c r="D1546" s="255"/>
      <c r="E1546" s="255"/>
      <c r="F1546" s="258"/>
      <c r="G1546" s="450"/>
      <c r="H1546" s="255"/>
      <c r="I1546" s="250"/>
      <c r="J1546" s="255"/>
      <c r="K1546" s="255"/>
      <c r="L1546" s="250"/>
      <c r="M1546" s="277"/>
      <c r="N1546" s="277"/>
      <c r="O1546" s="329"/>
      <c r="P1546" s="330">
        <f t="shared" si="250"/>
        <v>0</v>
      </c>
      <c r="Q1546" s="330">
        <f t="shared" si="251"/>
        <v>0</v>
      </c>
      <c r="R1546" s="331" t="str">
        <f t="shared" si="252"/>
        <v/>
      </c>
      <c r="S1546" s="331" t="str">
        <f>IF(D1546="","",IF(OR(D1546=Plano!$A$1,D1546=Plano!$B$1),"entrada","saída"))</f>
        <v/>
      </c>
      <c r="T1546" s="345"/>
      <c r="U1546" s="345"/>
      <c r="V1546" s="269"/>
      <c r="W1546" s="269"/>
      <c r="X1546" s="269"/>
      <c r="Y1546" s="269"/>
      <c r="Z1546" s="269"/>
      <c r="AA1546" s="269"/>
      <c r="AB1546" s="269"/>
      <c r="AC1546" s="269"/>
      <c r="AD1546" s="269"/>
      <c r="AE1546" s="269"/>
      <c r="AF1546" s="269"/>
      <c r="AG1546" s="269"/>
      <c r="AH1546" s="269"/>
      <c r="AI1546" s="269"/>
      <c r="AJ1546" s="269"/>
      <c r="AK1546" s="269"/>
      <c r="AL1546" s="269"/>
      <c r="AM1546" s="269"/>
    </row>
    <row r="1547" spans="1:39" ht="12.75" customHeight="1" x14ac:dyDescent="0.2">
      <c r="A1547" s="277" t="str">
        <f>IF(B1547="","",COUNT('Diário 5º PA'!$A$5:$A$2634)+COUNT('Diário 6º PA'!$A$5:$A$2246)+ROW()-4)</f>
        <v/>
      </c>
      <c r="B1547" s="278"/>
      <c r="C1547" s="335"/>
      <c r="D1547" s="255"/>
      <c r="E1547" s="255"/>
      <c r="F1547" s="258"/>
      <c r="G1547" s="450"/>
      <c r="H1547" s="255"/>
      <c r="I1547" s="250"/>
      <c r="J1547" s="255"/>
      <c r="K1547" s="255"/>
      <c r="L1547" s="250"/>
      <c r="M1547" s="277"/>
      <c r="N1547" s="277"/>
      <c r="O1547" s="329"/>
      <c r="P1547" s="330">
        <f t="shared" si="250"/>
        <v>0</v>
      </c>
      <c r="Q1547" s="330">
        <f t="shared" si="251"/>
        <v>0</v>
      </c>
      <c r="R1547" s="331" t="str">
        <f t="shared" si="252"/>
        <v/>
      </c>
      <c r="S1547" s="331" t="str">
        <f>IF(D1547="","",IF(OR(D1547=Plano!$A$1,D1547=Plano!$B$1),"entrada","saída"))</f>
        <v/>
      </c>
      <c r="T1547" s="345"/>
      <c r="U1547" s="345"/>
      <c r="V1547" s="269"/>
      <c r="W1547" s="269"/>
      <c r="X1547" s="269"/>
      <c r="Y1547" s="269"/>
      <c r="Z1547" s="269"/>
      <c r="AA1547" s="269"/>
      <c r="AB1547" s="269"/>
      <c r="AC1547" s="269"/>
      <c r="AD1547" s="269"/>
      <c r="AE1547" s="269"/>
      <c r="AF1547" s="269"/>
      <c r="AG1547" s="269"/>
      <c r="AH1547" s="269"/>
      <c r="AI1547" s="269"/>
      <c r="AJ1547" s="269"/>
      <c r="AK1547" s="269"/>
      <c r="AL1547" s="269"/>
      <c r="AM1547" s="269"/>
    </row>
    <row r="1548" spans="1:39" ht="12.75" customHeight="1" x14ac:dyDescent="0.2">
      <c r="A1548" s="277" t="str">
        <f>IF(B1548="","",COUNT('Diário 5º PA'!$A$5:$A$2634)+COUNT('Diário 6º PA'!$A$5:$A$2246)+ROW()-4)</f>
        <v/>
      </c>
      <c r="B1548" s="278"/>
      <c r="C1548" s="335"/>
      <c r="D1548" s="255"/>
      <c r="E1548" s="255"/>
      <c r="F1548" s="258"/>
      <c r="G1548" s="450"/>
      <c r="H1548" s="255"/>
      <c r="I1548" s="250"/>
      <c r="J1548" s="255"/>
      <c r="K1548" s="255"/>
      <c r="L1548" s="250"/>
      <c r="M1548" s="277"/>
      <c r="N1548" s="277"/>
      <c r="O1548" s="329"/>
      <c r="P1548" s="330">
        <f t="shared" si="250"/>
        <v>0</v>
      </c>
      <c r="Q1548" s="330">
        <f t="shared" si="251"/>
        <v>0</v>
      </c>
      <c r="R1548" s="331" t="str">
        <f t="shared" si="252"/>
        <v/>
      </c>
      <c r="S1548" s="331" t="str">
        <f>IF(D1548="","",IF(OR(D1548=Plano!$A$1,D1548=Plano!$B$1),"entrada","saída"))</f>
        <v/>
      </c>
      <c r="T1548" s="345"/>
      <c r="U1548" s="345"/>
      <c r="V1548" s="269"/>
      <c r="W1548" s="269"/>
      <c r="X1548" s="269"/>
      <c r="Y1548" s="269"/>
      <c r="Z1548" s="269"/>
      <c r="AA1548" s="269"/>
      <c r="AB1548" s="269"/>
      <c r="AC1548" s="269"/>
      <c r="AD1548" s="269"/>
      <c r="AE1548" s="269"/>
      <c r="AF1548" s="269"/>
      <c r="AG1548" s="269"/>
      <c r="AH1548" s="269"/>
      <c r="AI1548" s="269"/>
      <c r="AJ1548" s="269"/>
      <c r="AK1548" s="269"/>
      <c r="AL1548" s="269"/>
      <c r="AM1548" s="269"/>
    </row>
    <row r="1549" spans="1:39" ht="12.75" customHeight="1" x14ac:dyDescent="0.2">
      <c r="A1549" s="277" t="str">
        <f>IF(B1549="","",COUNT('Diário 5º PA'!$A$5:$A$2634)+COUNT('Diário 6º PA'!$A$5:$A$2246)+ROW()-4)</f>
        <v/>
      </c>
      <c r="B1549" s="278"/>
      <c r="C1549" s="335"/>
      <c r="D1549" s="255"/>
      <c r="E1549" s="255"/>
      <c r="F1549" s="258"/>
      <c r="G1549" s="450"/>
      <c r="H1549" s="255"/>
      <c r="I1549" s="250"/>
      <c r="J1549" s="255"/>
      <c r="K1549" s="255"/>
      <c r="L1549" s="250"/>
      <c r="M1549" s="277"/>
      <c r="N1549" s="277"/>
      <c r="O1549" s="329"/>
      <c r="P1549" s="330">
        <f t="shared" si="250"/>
        <v>0</v>
      </c>
      <c r="Q1549" s="330">
        <f t="shared" si="251"/>
        <v>0</v>
      </c>
      <c r="R1549" s="331" t="str">
        <f t="shared" si="252"/>
        <v/>
      </c>
      <c r="S1549" s="331" t="str">
        <f>IF(D1549="","",IF(OR(D1549=Plano!$A$1,D1549=Plano!$B$1),"entrada","saída"))</f>
        <v/>
      </c>
      <c r="T1549" s="345"/>
      <c r="U1549" s="345"/>
      <c r="V1549" s="269"/>
      <c r="W1549" s="269"/>
      <c r="X1549" s="269"/>
      <c r="Y1549" s="269"/>
      <c r="Z1549" s="269"/>
      <c r="AA1549" s="269"/>
      <c r="AB1549" s="269"/>
      <c r="AC1549" s="269"/>
      <c r="AD1549" s="269"/>
      <c r="AE1549" s="269"/>
      <c r="AF1549" s="269"/>
      <c r="AG1549" s="269"/>
      <c r="AH1549" s="269"/>
      <c r="AI1549" s="269"/>
      <c r="AJ1549" s="269"/>
      <c r="AK1549" s="269"/>
      <c r="AL1549" s="269"/>
      <c r="AM1549" s="269"/>
    </row>
    <row r="1550" spans="1:39" ht="12.75" customHeight="1" x14ac:dyDescent="0.2">
      <c r="A1550" s="277" t="str">
        <f>IF(B1550="","",COUNT('Diário 5º PA'!$A$5:$A$2634)+COUNT('Diário 6º PA'!$A$5:$A$2246)+ROW()-4)</f>
        <v/>
      </c>
      <c r="B1550" s="278"/>
      <c r="C1550" s="335"/>
      <c r="D1550" s="255"/>
      <c r="E1550" s="255"/>
      <c r="F1550" s="258"/>
      <c r="G1550" s="450"/>
      <c r="H1550" s="255"/>
      <c r="I1550" s="250"/>
      <c r="J1550" s="255"/>
      <c r="K1550" s="255"/>
      <c r="L1550" s="250"/>
      <c r="M1550" s="277"/>
      <c r="N1550" s="277"/>
      <c r="O1550" s="329"/>
      <c r="P1550" s="330">
        <f t="shared" si="250"/>
        <v>0</v>
      </c>
      <c r="Q1550" s="330">
        <f t="shared" si="251"/>
        <v>0</v>
      </c>
      <c r="R1550" s="331" t="str">
        <f t="shared" si="252"/>
        <v/>
      </c>
      <c r="S1550" s="331" t="str">
        <f>IF(D1550="","",IF(OR(D1550=Plano!$A$1,D1550=Plano!$B$1),"entrada","saída"))</f>
        <v/>
      </c>
      <c r="T1550" s="345"/>
      <c r="U1550" s="345"/>
      <c r="V1550" s="269"/>
      <c r="W1550" s="269"/>
      <c r="X1550" s="269"/>
      <c r="Y1550" s="269"/>
      <c r="Z1550" s="269"/>
      <c r="AA1550" s="269"/>
      <c r="AB1550" s="269"/>
      <c r="AC1550" s="269"/>
      <c r="AD1550" s="269"/>
      <c r="AE1550" s="269"/>
      <c r="AF1550" s="269"/>
      <c r="AG1550" s="269"/>
      <c r="AH1550" s="269"/>
      <c r="AI1550" s="269"/>
      <c r="AJ1550" s="269"/>
      <c r="AK1550" s="269"/>
      <c r="AL1550" s="269"/>
      <c r="AM1550" s="269"/>
    </row>
    <row r="1551" spans="1:39" ht="12.75" customHeight="1" x14ac:dyDescent="0.2">
      <c r="A1551" s="277" t="str">
        <f>IF(B1551="","",COUNT('Diário 5º PA'!$A$5:$A$2634)+COUNT('Diário 6º PA'!$A$5:$A$2246)+ROW()-4)</f>
        <v/>
      </c>
      <c r="B1551" s="278"/>
      <c r="C1551" s="335"/>
      <c r="D1551" s="255"/>
      <c r="E1551" s="255"/>
      <c r="F1551" s="258"/>
      <c r="G1551" s="450"/>
      <c r="H1551" s="255"/>
      <c r="I1551" s="250"/>
      <c r="J1551" s="255"/>
      <c r="K1551" s="255"/>
      <c r="L1551" s="250"/>
      <c r="M1551" s="277"/>
      <c r="N1551" s="277"/>
      <c r="O1551" s="329"/>
      <c r="P1551" s="330">
        <f t="shared" si="250"/>
        <v>0</v>
      </c>
      <c r="Q1551" s="330">
        <f t="shared" si="251"/>
        <v>0</v>
      </c>
      <c r="R1551" s="331" t="str">
        <f t="shared" si="252"/>
        <v/>
      </c>
      <c r="S1551" s="331" t="str">
        <f>IF(D1551="","",IF(OR(D1551=Plano!$A$1,D1551=Plano!$B$1),"entrada","saída"))</f>
        <v/>
      </c>
      <c r="T1551" s="345"/>
      <c r="U1551" s="345"/>
      <c r="V1551" s="269"/>
      <c r="W1551" s="269"/>
      <c r="X1551" s="269"/>
      <c r="Y1551" s="269"/>
      <c r="Z1551" s="269"/>
      <c r="AA1551" s="269"/>
      <c r="AB1551" s="269"/>
      <c r="AC1551" s="269"/>
      <c r="AD1551" s="269"/>
      <c r="AE1551" s="269"/>
      <c r="AF1551" s="269"/>
      <c r="AG1551" s="269"/>
      <c r="AH1551" s="269"/>
      <c r="AI1551" s="269"/>
      <c r="AJ1551" s="269"/>
      <c r="AK1551" s="269"/>
      <c r="AL1551" s="269"/>
      <c r="AM1551" s="269"/>
    </row>
    <row r="1552" spans="1:39" ht="12.75" customHeight="1" x14ac:dyDescent="0.2">
      <c r="A1552" s="277" t="str">
        <f>IF(B1552="","",COUNT('Diário 5º PA'!$A$5:$A$2634)+COUNT('Diário 6º PA'!$A$5:$A$2246)+ROW()-4)</f>
        <v/>
      </c>
      <c r="B1552" s="278"/>
      <c r="C1552" s="335"/>
      <c r="D1552" s="255"/>
      <c r="E1552" s="255"/>
      <c r="F1552" s="258"/>
      <c r="G1552" s="450"/>
      <c r="H1552" s="255"/>
      <c r="I1552" s="250"/>
      <c r="J1552" s="255"/>
      <c r="K1552" s="255"/>
      <c r="L1552" s="250"/>
      <c r="M1552" s="277"/>
      <c r="N1552" s="277"/>
      <c r="O1552" s="329"/>
      <c r="P1552" s="330">
        <f t="shared" si="250"/>
        <v>0</v>
      </c>
      <c r="Q1552" s="330">
        <f t="shared" si="251"/>
        <v>0</v>
      </c>
      <c r="R1552" s="331" t="str">
        <f t="shared" si="252"/>
        <v/>
      </c>
      <c r="S1552" s="331" t="str">
        <f>IF(D1552="","",IF(OR(D1552=Plano!$A$1,D1552=Plano!$B$1),"entrada","saída"))</f>
        <v/>
      </c>
      <c r="T1552" s="345"/>
      <c r="U1552" s="345"/>
      <c r="V1552" s="269"/>
      <c r="W1552" s="269"/>
      <c r="X1552" s="269"/>
      <c r="Y1552" s="269"/>
      <c r="Z1552" s="269"/>
      <c r="AA1552" s="269"/>
      <c r="AB1552" s="269"/>
      <c r="AC1552" s="269"/>
      <c r="AD1552" s="269"/>
      <c r="AE1552" s="269"/>
      <c r="AF1552" s="269"/>
      <c r="AG1552" s="269"/>
      <c r="AH1552" s="269"/>
      <c r="AI1552" s="269"/>
      <c r="AJ1552" s="269"/>
      <c r="AK1552" s="269"/>
      <c r="AL1552" s="269"/>
      <c r="AM1552" s="269"/>
    </row>
    <row r="1553" spans="1:39" ht="12.75" customHeight="1" x14ac:dyDescent="0.2">
      <c r="A1553" s="277" t="str">
        <f>IF(B1553="","",COUNT('Diário 5º PA'!$A$5:$A$2634)+COUNT('Diário 6º PA'!$A$5:$A$2246)+ROW()-4)</f>
        <v/>
      </c>
      <c r="B1553" s="278"/>
      <c r="C1553" s="335"/>
      <c r="D1553" s="255"/>
      <c r="E1553" s="255"/>
      <c r="F1553" s="258"/>
      <c r="G1553" s="450"/>
      <c r="H1553" s="255"/>
      <c r="I1553" s="250"/>
      <c r="J1553" s="255"/>
      <c r="K1553" s="255"/>
      <c r="L1553" s="250"/>
      <c r="M1553" s="277"/>
      <c r="N1553" s="277"/>
      <c r="O1553" s="329"/>
      <c r="P1553" s="330">
        <f t="shared" si="250"/>
        <v>0</v>
      </c>
      <c r="Q1553" s="330">
        <f t="shared" si="251"/>
        <v>0</v>
      </c>
      <c r="R1553" s="331" t="str">
        <f t="shared" si="252"/>
        <v/>
      </c>
      <c r="S1553" s="331" t="str">
        <f>IF(D1553="","",IF(OR(D1553=Plano!$A$1,D1553=Plano!$B$1),"entrada","saída"))</f>
        <v/>
      </c>
      <c r="T1553" s="345"/>
      <c r="U1553" s="345"/>
      <c r="V1553" s="269"/>
      <c r="W1553" s="269"/>
      <c r="X1553" s="269"/>
      <c r="Y1553" s="269"/>
      <c r="Z1553" s="269"/>
      <c r="AA1553" s="269"/>
      <c r="AB1553" s="269"/>
      <c r="AC1553" s="269"/>
      <c r="AD1553" s="269"/>
      <c r="AE1553" s="269"/>
      <c r="AF1553" s="269"/>
      <c r="AG1553" s="269"/>
      <c r="AH1553" s="269"/>
      <c r="AI1553" s="269"/>
      <c r="AJ1553" s="269"/>
      <c r="AK1553" s="269"/>
      <c r="AL1553" s="269"/>
      <c r="AM1553" s="269"/>
    </row>
    <row r="1554" spans="1:39" ht="12.75" customHeight="1" x14ac:dyDescent="0.2">
      <c r="A1554" s="277" t="str">
        <f>IF(B1554="","",COUNT('Diário 5º PA'!$A$5:$A$2634)+COUNT('Diário 6º PA'!$A$5:$A$2246)+ROW()-4)</f>
        <v/>
      </c>
      <c r="B1554" s="278"/>
      <c r="C1554" s="335"/>
      <c r="D1554" s="255"/>
      <c r="E1554" s="255"/>
      <c r="F1554" s="258"/>
      <c r="G1554" s="450"/>
      <c r="H1554" s="255"/>
      <c r="I1554" s="250"/>
      <c r="J1554" s="255"/>
      <c r="K1554" s="255"/>
      <c r="L1554" s="250"/>
      <c r="M1554" s="277"/>
      <c r="N1554" s="277"/>
      <c r="O1554" s="329"/>
      <c r="P1554" s="330">
        <f t="shared" si="250"/>
        <v>0</v>
      </c>
      <c r="Q1554" s="330">
        <f t="shared" si="251"/>
        <v>0</v>
      </c>
      <c r="R1554" s="331" t="str">
        <f t="shared" si="252"/>
        <v/>
      </c>
      <c r="S1554" s="331" t="str">
        <f>IF(D1554="","",IF(OR(D1554=Plano!$A$1,D1554=Plano!$B$1),"entrada","saída"))</f>
        <v/>
      </c>
      <c r="T1554" s="345"/>
      <c r="U1554" s="345"/>
      <c r="V1554" s="269"/>
      <c r="W1554" s="269"/>
      <c r="X1554" s="269"/>
      <c r="Y1554" s="269"/>
      <c r="Z1554" s="269"/>
      <c r="AA1554" s="269"/>
      <c r="AB1554" s="269"/>
      <c r="AC1554" s="269"/>
      <c r="AD1554" s="269"/>
      <c r="AE1554" s="269"/>
      <c r="AF1554" s="269"/>
      <c r="AG1554" s="269"/>
      <c r="AH1554" s="269"/>
      <c r="AI1554" s="269"/>
      <c r="AJ1554" s="269"/>
      <c r="AK1554" s="269"/>
      <c r="AL1554" s="269"/>
      <c r="AM1554" s="269"/>
    </row>
    <row r="1555" spans="1:39" ht="12.75" customHeight="1" x14ac:dyDescent="0.2">
      <c r="A1555" s="277" t="str">
        <f>IF(B1555="","",COUNT('Diário 5º PA'!$A$5:$A$2634)+COUNT('Diário 6º PA'!$A$5:$A$2246)+ROW()-4)</f>
        <v/>
      </c>
      <c r="B1555" s="278"/>
      <c r="C1555" s="335"/>
      <c r="D1555" s="255"/>
      <c r="E1555" s="255"/>
      <c r="F1555" s="258"/>
      <c r="G1555" s="450"/>
      <c r="H1555" s="255"/>
      <c r="I1555" s="250"/>
      <c r="J1555" s="255"/>
      <c r="K1555" s="255"/>
      <c r="L1555" s="250"/>
      <c r="M1555" s="277"/>
      <c r="N1555" s="277"/>
      <c r="O1555" s="329"/>
      <c r="P1555" s="330">
        <f t="shared" si="250"/>
        <v>0</v>
      </c>
      <c r="Q1555" s="330">
        <f t="shared" si="251"/>
        <v>0</v>
      </c>
      <c r="R1555" s="331" t="str">
        <f t="shared" si="252"/>
        <v/>
      </c>
      <c r="S1555" s="331" t="str">
        <f>IF(D1555="","",IF(OR(D1555=Plano!$A$1,D1555=Plano!$B$1),"entrada","saída"))</f>
        <v/>
      </c>
      <c r="T1555" s="345"/>
      <c r="U1555" s="345"/>
      <c r="V1555" s="269"/>
      <c r="W1555" s="269"/>
      <c r="X1555" s="269"/>
      <c r="Y1555" s="269"/>
      <c r="Z1555" s="269"/>
      <c r="AA1555" s="269"/>
      <c r="AB1555" s="269"/>
      <c r="AC1555" s="269"/>
      <c r="AD1555" s="269"/>
      <c r="AE1555" s="269"/>
      <c r="AF1555" s="269"/>
      <c r="AG1555" s="269"/>
      <c r="AH1555" s="269"/>
      <c r="AI1555" s="269"/>
      <c r="AJ1555" s="269"/>
      <c r="AK1555" s="269"/>
      <c r="AL1555" s="269"/>
      <c r="AM1555" s="269"/>
    </row>
    <row r="1556" spans="1:39" ht="12.75" customHeight="1" x14ac:dyDescent="0.2">
      <c r="A1556" s="277" t="str">
        <f>IF(B1556="","",COUNT('Diário 5º PA'!$A$5:$A$2634)+COUNT('Diário 6º PA'!$A$5:$A$2246)+ROW()-4)</f>
        <v/>
      </c>
      <c r="B1556" s="278"/>
      <c r="C1556" s="335"/>
      <c r="D1556" s="255"/>
      <c r="E1556" s="255"/>
      <c r="F1556" s="258"/>
      <c r="G1556" s="450"/>
      <c r="H1556" s="255"/>
      <c r="I1556" s="250"/>
      <c r="J1556" s="255"/>
      <c r="K1556" s="255"/>
      <c r="L1556" s="250"/>
      <c r="M1556" s="277"/>
      <c r="N1556" s="277"/>
      <c r="O1556" s="329"/>
      <c r="P1556" s="330">
        <f t="shared" si="250"/>
        <v>0</v>
      </c>
      <c r="Q1556" s="330">
        <f t="shared" si="251"/>
        <v>0</v>
      </c>
      <c r="R1556" s="331" t="str">
        <f t="shared" si="252"/>
        <v/>
      </c>
      <c r="S1556" s="331" t="str">
        <f>IF(D1556="","",IF(OR(D1556=Plano!$A$1,D1556=Plano!$B$1),"entrada","saída"))</f>
        <v/>
      </c>
      <c r="T1556" s="345"/>
      <c r="U1556" s="345"/>
      <c r="V1556" s="269"/>
      <c r="W1556" s="269"/>
      <c r="X1556" s="269"/>
      <c r="Y1556" s="269"/>
      <c r="Z1556" s="269"/>
      <c r="AA1556" s="269"/>
      <c r="AB1556" s="269"/>
      <c r="AC1556" s="269"/>
      <c r="AD1556" s="269"/>
      <c r="AE1556" s="269"/>
      <c r="AF1556" s="269"/>
      <c r="AG1556" s="269"/>
      <c r="AH1556" s="269"/>
      <c r="AI1556" s="269"/>
      <c r="AJ1556" s="269"/>
      <c r="AK1556" s="269"/>
      <c r="AL1556" s="269"/>
      <c r="AM1556" s="269"/>
    </row>
    <row r="1557" spans="1:39" ht="12.75" customHeight="1" x14ac:dyDescent="0.2">
      <c r="A1557" s="277" t="str">
        <f>IF(B1557="","",COUNT('Diário 5º PA'!$A$5:$A$2634)+COUNT('Diário 6º PA'!$A$5:$A$2246)+ROW()-4)</f>
        <v/>
      </c>
      <c r="B1557" s="278"/>
      <c r="C1557" s="335"/>
      <c r="D1557" s="255"/>
      <c r="E1557" s="255"/>
      <c r="F1557" s="258"/>
      <c r="G1557" s="450"/>
      <c r="H1557" s="255"/>
      <c r="I1557" s="250"/>
      <c r="J1557" s="255"/>
      <c r="K1557" s="255"/>
      <c r="L1557" s="250"/>
      <c r="M1557" s="277"/>
      <c r="N1557" s="277"/>
      <c r="O1557" s="329"/>
      <c r="P1557" s="330">
        <f t="shared" si="250"/>
        <v>0</v>
      </c>
      <c r="Q1557" s="330">
        <f t="shared" si="251"/>
        <v>0</v>
      </c>
      <c r="R1557" s="331" t="str">
        <f t="shared" si="252"/>
        <v/>
      </c>
      <c r="S1557" s="331" t="str">
        <f>IF(D1557="","",IF(OR(D1557=Plano!$A$1,D1557=Plano!$B$1),"entrada","saída"))</f>
        <v/>
      </c>
      <c r="T1557" s="345"/>
      <c r="U1557" s="345"/>
      <c r="V1557" s="269"/>
      <c r="W1557" s="269"/>
      <c r="X1557" s="269"/>
      <c r="Y1557" s="269"/>
      <c r="Z1557" s="269"/>
      <c r="AA1557" s="269"/>
      <c r="AB1557" s="269"/>
      <c r="AC1557" s="269"/>
      <c r="AD1557" s="269"/>
      <c r="AE1557" s="269"/>
      <c r="AF1557" s="269"/>
      <c r="AG1557" s="269"/>
      <c r="AH1557" s="269"/>
      <c r="AI1557" s="269"/>
      <c r="AJ1557" s="269"/>
      <c r="AK1557" s="269"/>
      <c r="AL1557" s="269"/>
      <c r="AM1557" s="269"/>
    </row>
    <row r="1558" spans="1:39" ht="12.75" customHeight="1" x14ac:dyDescent="0.2">
      <c r="A1558" s="277" t="str">
        <f>IF(B1558="","",COUNT('Diário 5º PA'!$A$5:$A$2634)+COUNT('Diário 6º PA'!$A$5:$A$2246)+ROW()-4)</f>
        <v/>
      </c>
      <c r="B1558" s="278"/>
      <c r="C1558" s="335"/>
      <c r="D1558" s="255"/>
      <c r="E1558" s="255"/>
      <c r="F1558" s="258"/>
      <c r="G1558" s="450"/>
      <c r="H1558" s="255"/>
      <c r="I1558" s="250"/>
      <c r="J1558" s="255"/>
      <c r="K1558" s="255"/>
      <c r="L1558" s="250"/>
      <c r="M1558" s="277"/>
      <c r="N1558" s="277"/>
      <c r="O1558" s="329"/>
      <c r="P1558" s="330">
        <f t="shared" si="250"/>
        <v>0</v>
      </c>
      <c r="Q1558" s="330">
        <f t="shared" si="251"/>
        <v>0</v>
      </c>
      <c r="R1558" s="331" t="str">
        <f t="shared" si="252"/>
        <v/>
      </c>
      <c r="S1558" s="331" t="str">
        <f>IF(D1558="","",IF(OR(D1558=Plano!$A$1,D1558=Plano!$B$1),"entrada","saída"))</f>
        <v/>
      </c>
      <c r="T1558" s="345"/>
      <c r="U1558" s="345"/>
      <c r="V1558" s="269"/>
      <c r="W1558" s="269"/>
      <c r="X1558" s="269"/>
      <c r="Y1558" s="269"/>
      <c r="Z1558" s="269"/>
      <c r="AA1558" s="269"/>
      <c r="AB1558" s="269"/>
      <c r="AC1558" s="269"/>
      <c r="AD1558" s="269"/>
      <c r="AE1558" s="269"/>
      <c r="AF1558" s="269"/>
      <c r="AG1558" s="269"/>
      <c r="AH1558" s="269"/>
      <c r="AI1558" s="269"/>
      <c r="AJ1558" s="269"/>
      <c r="AK1558" s="269"/>
      <c r="AL1558" s="269"/>
      <c r="AM1558" s="269"/>
    </row>
    <row r="1559" spans="1:39" ht="12.75" customHeight="1" x14ac:dyDescent="0.2">
      <c r="A1559" s="277" t="str">
        <f>IF(B1559="","",COUNT('Diário 5º PA'!$A$5:$A$2634)+COUNT('Diário 6º PA'!$A$5:$A$2246)+ROW()-4)</f>
        <v/>
      </c>
      <c r="B1559" s="278"/>
      <c r="C1559" s="335"/>
      <c r="D1559" s="255"/>
      <c r="E1559" s="255"/>
      <c r="F1559" s="258"/>
      <c r="G1559" s="450"/>
      <c r="H1559" s="255"/>
      <c r="I1559" s="250"/>
      <c r="J1559" s="255"/>
      <c r="K1559" s="255"/>
      <c r="L1559" s="250"/>
      <c r="M1559" s="277"/>
      <c r="N1559" s="277"/>
      <c r="O1559" s="329"/>
      <c r="P1559" s="330">
        <f t="shared" si="250"/>
        <v>0</v>
      </c>
      <c r="Q1559" s="330">
        <f t="shared" si="251"/>
        <v>0</v>
      </c>
      <c r="R1559" s="331" t="str">
        <f t="shared" si="252"/>
        <v/>
      </c>
      <c r="S1559" s="331" t="str">
        <f>IF(D1559="","",IF(OR(D1559=Plano!$A$1,D1559=Plano!$B$1),"entrada","saída"))</f>
        <v/>
      </c>
      <c r="T1559" s="345"/>
      <c r="U1559" s="345"/>
      <c r="V1559" s="269"/>
      <c r="W1559" s="269"/>
      <c r="X1559" s="269"/>
      <c r="Y1559" s="269"/>
      <c r="Z1559" s="269"/>
      <c r="AA1559" s="269"/>
      <c r="AB1559" s="269"/>
      <c r="AC1559" s="269"/>
      <c r="AD1559" s="269"/>
      <c r="AE1559" s="269"/>
      <c r="AF1559" s="269"/>
      <c r="AG1559" s="269"/>
      <c r="AH1559" s="269"/>
      <c r="AI1559" s="269"/>
      <c r="AJ1559" s="269"/>
      <c r="AK1559" s="269"/>
      <c r="AL1559" s="269"/>
      <c r="AM1559" s="269"/>
    </row>
    <row r="1560" spans="1:39" ht="12.75" customHeight="1" x14ac:dyDescent="0.2">
      <c r="A1560" s="277" t="str">
        <f>IF(B1560="","",COUNT('Diário 5º PA'!$A$5:$A$2634)+COUNT('Diário 6º PA'!$A$5:$A$2246)+ROW()-4)</f>
        <v/>
      </c>
      <c r="B1560" s="278"/>
      <c r="C1560" s="335"/>
      <c r="D1560" s="255"/>
      <c r="E1560" s="255"/>
      <c r="F1560" s="258"/>
      <c r="G1560" s="450"/>
      <c r="H1560" s="255"/>
      <c r="I1560" s="250"/>
      <c r="J1560" s="255"/>
      <c r="K1560" s="255"/>
      <c r="L1560" s="250"/>
      <c r="M1560" s="277"/>
      <c r="N1560" s="277"/>
      <c r="O1560" s="329"/>
      <c r="P1560" s="330">
        <f t="shared" si="250"/>
        <v>0</v>
      </c>
      <c r="Q1560" s="330">
        <f t="shared" si="251"/>
        <v>0</v>
      </c>
      <c r="R1560" s="331" t="str">
        <f t="shared" si="252"/>
        <v/>
      </c>
      <c r="S1560" s="331" t="str">
        <f>IF(D1560="","",IF(OR(D1560=Plano!$A$1,D1560=Plano!$B$1),"entrada","saída"))</f>
        <v/>
      </c>
      <c r="T1560" s="345"/>
      <c r="U1560" s="345"/>
      <c r="V1560" s="269"/>
      <c r="W1560" s="269"/>
      <c r="X1560" s="269"/>
      <c r="Y1560" s="269"/>
      <c r="Z1560" s="269"/>
      <c r="AA1560" s="269"/>
      <c r="AB1560" s="269"/>
      <c r="AC1560" s="269"/>
      <c r="AD1560" s="269"/>
      <c r="AE1560" s="269"/>
      <c r="AF1560" s="269"/>
      <c r="AG1560" s="269"/>
      <c r="AH1560" s="269"/>
      <c r="AI1560" s="269"/>
      <c r="AJ1560" s="269"/>
      <c r="AK1560" s="269"/>
      <c r="AL1560" s="269"/>
      <c r="AM1560" s="269"/>
    </row>
    <row r="1561" spans="1:39" ht="12.75" customHeight="1" x14ac:dyDescent="0.2">
      <c r="A1561" s="277" t="str">
        <f>IF(B1561="","",COUNT('Diário 5º PA'!$A$5:$A$2634)+COUNT('Diário 6º PA'!$A$5:$A$2246)+ROW()-4)</f>
        <v/>
      </c>
      <c r="B1561" s="278"/>
      <c r="C1561" s="335"/>
      <c r="D1561" s="255"/>
      <c r="E1561" s="255"/>
      <c r="F1561" s="258"/>
      <c r="G1561" s="450"/>
      <c r="H1561" s="255"/>
      <c r="I1561" s="250"/>
      <c r="J1561" s="255"/>
      <c r="K1561" s="255"/>
      <c r="L1561" s="250"/>
      <c r="M1561" s="277"/>
      <c r="N1561" s="277"/>
      <c r="O1561" s="329"/>
      <c r="P1561" s="330">
        <f t="shared" si="250"/>
        <v>0</v>
      </c>
      <c r="Q1561" s="330">
        <f t="shared" si="251"/>
        <v>0</v>
      </c>
      <c r="R1561" s="331" t="str">
        <f t="shared" si="252"/>
        <v/>
      </c>
      <c r="S1561" s="331" t="str">
        <f>IF(D1561="","",IF(OR(D1561=Plano!$A$1,D1561=Plano!$B$1),"entrada","saída"))</f>
        <v/>
      </c>
      <c r="T1561" s="345"/>
      <c r="U1561" s="345"/>
      <c r="V1561" s="269"/>
      <c r="W1561" s="269"/>
      <c r="X1561" s="269"/>
      <c r="Y1561" s="269"/>
      <c r="Z1561" s="269"/>
      <c r="AA1561" s="269"/>
      <c r="AB1561" s="269"/>
      <c r="AC1561" s="269"/>
      <c r="AD1561" s="269"/>
      <c r="AE1561" s="269"/>
      <c r="AF1561" s="269"/>
      <c r="AG1561" s="269"/>
      <c r="AH1561" s="269"/>
      <c r="AI1561" s="269"/>
      <c r="AJ1561" s="269"/>
      <c r="AK1561" s="269"/>
      <c r="AL1561" s="269"/>
      <c r="AM1561" s="269"/>
    </row>
    <row r="1562" spans="1:39" ht="12.75" customHeight="1" x14ac:dyDescent="0.2">
      <c r="A1562" s="277" t="str">
        <f>IF(B1562="","",COUNT('Diário 5º PA'!$A$5:$A$2634)+COUNT('Diário 6º PA'!$A$5:$A$2246)+ROW()-4)</f>
        <v/>
      </c>
      <c r="B1562" s="278"/>
      <c r="C1562" s="335"/>
      <c r="D1562" s="255"/>
      <c r="E1562" s="255"/>
      <c r="F1562" s="258"/>
      <c r="G1562" s="450"/>
      <c r="H1562" s="255"/>
      <c r="I1562" s="250"/>
      <c r="J1562" s="255"/>
      <c r="K1562" s="255"/>
      <c r="L1562" s="250"/>
      <c r="M1562" s="277"/>
      <c r="N1562" s="277"/>
      <c r="O1562" s="329"/>
      <c r="P1562" s="330">
        <f t="shared" si="250"/>
        <v>0</v>
      </c>
      <c r="Q1562" s="330">
        <f t="shared" si="251"/>
        <v>0</v>
      </c>
      <c r="R1562" s="331" t="str">
        <f t="shared" si="252"/>
        <v/>
      </c>
      <c r="S1562" s="331" t="str">
        <f>IF(D1562="","",IF(OR(D1562=Plano!$A$1,D1562=Plano!$B$1),"entrada","saída"))</f>
        <v/>
      </c>
      <c r="T1562" s="345"/>
      <c r="U1562" s="345"/>
      <c r="V1562" s="269"/>
      <c r="W1562" s="269"/>
      <c r="X1562" s="269"/>
      <c r="Y1562" s="269"/>
      <c r="Z1562" s="269"/>
      <c r="AA1562" s="269"/>
      <c r="AB1562" s="269"/>
      <c r="AC1562" s="269"/>
      <c r="AD1562" s="269"/>
      <c r="AE1562" s="269"/>
      <c r="AF1562" s="269"/>
      <c r="AG1562" s="269"/>
      <c r="AH1562" s="269"/>
      <c r="AI1562" s="269"/>
      <c r="AJ1562" s="269"/>
      <c r="AK1562" s="269"/>
      <c r="AL1562" s="269"/>
      <c r="AM1562" s="269"/>
    </row>
    <row r="1563" spans="1:39" ht="12.75" customHeight="1" x14ac:dyDescent="0.2">
      <c r="A1563" s="277" t="str">
        <f>IF(B1563="","",COUNT('Diário 5º PA'!$A$5:$A$2634)+COUNT('Diário 6º PA'!$A$5:$A$2246)+ROW()-4)</f>
        <v/>
      </c>
      <c r="B1563" s="278"/>
      <c r="C1563" s="335"/>
      <c r="D1563" s="255"/>
      <c r="E1563" s="255"/>
      <c r="F1563" s="258"/>
      <c r="G1563" s="450"/>
      <c r="H1563" s="255"/>
      <c r="I1563" s="250"/>
      <c r="J1563" s="255"/>
      <c r="K1563" s="255"/>
      <c r="L1563" s="250"/>
      <c r="M1563" s="277"/>
      <c r="N1563" s="277"/>
      <c r="O1563" s="329"/>
      <c r="P1563" s="330">
        <f t="shared" si="250"/>
        <v>0</v>
      </c>
      <c r="Q1563" s="330">
        <f t="shared" si="251"/>
        <v>0</v>
      </c>
      <c r="R1563" s="331" t="str">
        <f t="shared" si="252"/>
        <v/>
      </c>
      <c r="S1563" s="331" t="str">
        <f>IF(D1563="","",IF(OR(D1563=Plano!$A$1,D1563=Plano!$B$1),"entrada","saída"))</f>
        <v/>
      </c>
      <c r="T1563" s="345"/>
      <c r="U1563" s="345"/>
      <c r="V1563" s="269"/>
      <c r="W1563" s="269"/>
      <c r="X1563" s="269"/>
      <c r="Y1563" s="269"/>
      <c r="Z1563" s="269"/>
      <c r="AA1563" s="269"/>
      <c r="AB1563" s="269"/>
      <c r="AC1563" s="269"/>
      <c r="AD1563" s="269"/>
      <c r="AE1563" s="269"/>
      <c r="AF1563" s="269"/>
      <c r="AG1563" s="269"/>
      <c r="AH1563" s="269"/>
      <c r="AI1563" s="269"/>
      <c r="AJ1563" s="269"/>
      <c r="AK1563" s="269"/>
      <c r="AL1563" s="269"/>
      <c r="AM1563" s="269"/>
    </row>
    <row r="1564" spans="1:39" ht="12.75" customHeight="1" x14ac:dyDescent="0.2">
      <c r="A1564" s="277" t="str">
        <f>IF(B1564="","",COUNT('Diário 5º PA'!$A$5:$A$2634)+COUNT('Diário 6º PA'!$A$5:$A$2246)+ROW()-4)</f>
        <v/>
      </c>
      <c r="B1564" s="278"/>
      <c r="C1564" s="335"/>
      <c r="D1564" s="255"/>
      <c r="E1564" s="255"/>
      <c r="F1564" s="258"/>
      <c r="G1564" s="450"/>
      <c r="H1564" s="255"/>
      <c r="I1564" s="250"/>
      <c r="J1564" s="255"/>
      <c r="K1564" s="255"/>
      <c r="L1564" s="250"/>
      <c r="M1564" s="277"/>
      <c r="N1564" s="277"/>
      <c r="O1564" s="329"/>
      <c r="P1564" s="330">
        <f t="shared" si="250"/>
        <v>0</v>
      </c>
      <c r="Q1564" s="330">
        <f t="shared" si="251"/>
        <v>0</v>
      </c>
      <c r="R1564" s="331" t="str">
        <f t="shared" si="252"/>
        <v/>
      </c>
      <c r="S1564" s="331" t="str">
        <f>IF(D1564="","",IF(OR(D1564=Plano!$A$1,D1564=Plano!$B$1),"entrada","saída"))</f>
        <v/>
      </c>
      <c r="T1564" s="345"/>
      <c r="U1564" s="345"/>
      <c r="V1564" s="269"/>
      <c r="W1564" s="269"/>
      <c r="X1564" s="269"/>
      <c r="Y1564" s="269"/>
      <c r="Z1564" s="269"/>
      <c r="AA1564" s="269"/>
      <c r="AB1564" s="269"/>
      <c r="AC1564" s="269"/>
      <c r="AD1564" s="269"/>
      <c r="AE1564" s="269"/>
      <c r="AF1564" s="269"/>
      <c r="AG1564" s="269"/>
      <c r="AH1564" s="269"/>
      <c r="AI1564" s="269"/>
      <c r="AJ1564" s="269"/>
      <c r="AK1564" s="269"/>
      <c r="AL1564" s="269"/>
      <c r="AM1564" s="269"/>
    </row>
    <row r="1565" spans="1:39" ht="12.75" customHeight="1" x14ac:dyDescent="0.2">
      <c r="A1565" s="277" t="str">
        <f>IF(B1565="","",COUNT('Diário 5º PA'!$A$5:$A$2634)+COUNT('Diário 6º PA'!$A$5:$A$2246)+ROW()-4)</f>
        <v/>
      </c>
      <c r="B1565" s="278"/>
      <c r="C1565" s="335"/>
      <c r="D1565" s="255"/>
      <c r="E1565" s="255"/>
      <c r="F1565" s="258"/>
      <c r="G1565" s="450"/>
      <c r="H1565" s="255"/>
      <c r="I1565" s="250"/>
      <c r="J1565" s="255"/>
      <c r="K1565" s="255"/>
      <c r="L1565" s="250"/>
      <c r="M1565" s="277"/>
      <c r="N1565" s="277"/>
      <c r="O1565" s="329"/>
      <c r="P1565" s="330">
        <f t="shared" si="250"/>
        <v>0</v>
      </c>
      <c r="Q1565" s="330">
        <f t="shared" si="251"/>
        <v>0</v>
      </c>
      <c r="R1565" s="331" t="str">
        <f t="shared" si="252"/>
        <v/>
      </c>
      <c r="S1565" s="331" t="str">
        <f>IF(D1565="","",IF(OR(D1565=Plano!$A$1,D1565=Plano!$B$1),"entrada","saída"))</f>
        <v/>
      </c>
      <c r="T1565" s="345"/>
      <c r="U1565" s="345"/>
      <c r="V1565" s="269"/>
      <c r="W1565" s="269"/>
      <c r="X1565" s="269"/>
      <c r="Y1565" s="269"/>
      <c r="Z1565" s="269"/>
      <c r="AA1565" s="269"/>
      <c r="AB1565" s="269"/>
      <c r="AC1565" s="269"/>
      <c r="AD1565" s="269"/>
      <c r="AE1565" s="269"/>
      <c r="AF1565" s="269"/>
      <c r="AG1565" s="269"/>
      <c r="AH1565" s="269"/>
      <c r="AI1565" s="269"/>
      <c r="AJ1565" s="269"/>
      <c r="AK1565" s="269"/>
      <c r="AL1565" s="269"/>
      <c r="AM1565" s="269"/>
    </row>
    <row r="1566" spans="1:39" ht="12.75" customHeight="1" x14ac:dyDescent="0.2">
      <c r="A1566" s="277" t="str">
        <f>IF(B1566="","",COUNT('Diário 5º PA'!$A$5:$A$2634)+COUNT('Diário 6º PA'!$A$5:$A$2246)+ROW()-4)</f>
        <v/>
      </c>
      <c r="B1566" s="278"/>
      <c r="C1566" s="335"/>
      <c r="D1566" s="255"/>
      <c r="E1566" s="255"/>
      <c r="F1566" s="258"/>
      <c r="G1566" s="450"/>
      <c r="H1566" s="255"/>
      <c r="I1566" s="250"/>
      <c r="J1566" s="255"/>
      <c r="K1566" s="255"/>
      <c r="L1566" s="250"/>
      <c r="M1566" s="277"/>
      <c r="N1566" s="277"/>
      <c r="O1566" s="329"/>
      <c r="P1566" s="330">
        <f t="shared" si="250"/>
        <v>0</v>
      </c>
      <c r="Q1566" s="330">
        <f t="shared" si="251"/>
        <v>0</v>
      </c>
      <c r="R1566" s="331" t="str">
        <f t="shared" si="252"/>
        <v/>
      </c>
      <c r="S1566" s="331" t="str">
        <f>IF(D1566="","",IF(OR(D1566=Plano!$A$1,D1566=Plano!$B$1),"entrada","saída"))</f>
        <v/>
      </c>
      <c r="T1566" s="345"/>
      <c r="U1566" s="345"/>
      <c r="V1566" s="269"/>
      <c r="W1566" s="269"/>
      <c r="X1566" s="269"/>
      <c r="Y1566" s="269"/>
      <c r="Z1566" s="269"/>
      <c r="AA1566" s="269"/>
      <c r="AB1566" s="269"/>
      <c r="AC1566" s="269"/>
      <c r="AD1566" s="269"/>
      <c r="AE1566" s="269"/>
      <c r="AF1566" s="269"/>
      <c r="AG1566" s="269"/>
      <c r="AH1566" s="269"/>
      <c r="AI1566" s="269"/>
      <c r="AJ1566" s="269"/>
      <c r="AK1566" s="269"/>
      <c r="AL1566" s="269"/>
      <c r="AM1566" s="269"/>
    </row>
    <row r="1567" spans="1:39" ht="12.75" customHeight="1" x14ac:dyDescent="0.2">
      <c r="A1567" s="277" t="str">
        <f>IF(B1567="","",COUNT('Diário 5º PA'!$A$5:$A$2634)+COUNT('Diário 6º PA'!$A$5:$A$2246)+ROW()-4)</f>
        <v/>
      </c>
      <c r="B1567" s="278"/>
      <c r="C1567" s="335"/>
      <c r="D1567" s="255"/>
      <c r="E1567" s="255"/>
      <c r="F1567" s="258"/>
      <c r="G1567" s="450"/>
      <c r="H1567" s="255"/>
      <c r="I1567" s="250"/>
      <c r="J1567" s="255"/>
      <c r="K1567" s="255"/>
      <c r="L1567" s="250"/>
      <c r="M1567" s="277"/>
      <c r="N1567" s="277"/>
      <c r="O1567" s="329"/>
      <c r="P1567" s="330">
        <f t="shared" si="250"/>
        <v>0</v>
      </c>
      <c r="Q1567" s="330">
        <f t="shared" si="251"/>
        <v>0</v>
      </c>
      <c r="R1567" s="331" t="str">
        <f t="shared" si="252"/>
        <v/>
      </c>
      <c r="S1567" s="331" t="str">
        <f>IF(D1567="","",IF(OR(D1567=Plano!$A$1,D1567=Plano!$B$1),"entrada","saída"))</f>
        <v/>
      </c>
      <c r="T1567" s="345"/>
      <c r="U1567" s="345"/>
      <c r="V1567" s="269"/>
      <c r="W1567" s="269"/>
      <c r="X1567" s="269"/>
      <c r="Y1567" s="269"/>
      <c r="Z1567" s="269"/>
      <c r="AA1567" s="269"/>
      <c r="AB1567" s="269"/>
      <c r="AC1567" s="269"/>
      <c r="AD1567" s="269"/>
      <c r="AE1567" s="269"/>
      <c r="AF1567" s="269"/>
      <c r="AG1567" s="269"/>
      <c r="AH1567" s="269"/>
      <c r="AI1567" s="269"/>
      <c r="AJ1567" s="269"/>
      <c r="AK1567" s="269"/>
      <c r="AL1567" s="269"/>
      <c r="AM1567" s="269"/>
    </row>
    <row r="1568" spans="1:39" ht="12.75" customHeight="1" x14ac:dyDescent="0.2">
      <c r="A1568" s="277" t="str">
        <f>IF(B1568="","",COUNT('Diário 5º PA'!$A$5:$A$2634)+COUNT('Diário 6º PA'!$A$5:$A$2246)+ROW()-4)</f>
        <v/>
      </c>
      <c r="B1568" s="278"/>
      <c r="C1568" s="335"/>
      <c r="D1568" s="255"/>
      <c r="E1568" s="255"/>
      <c r="F1568" s="258"/>
      <c r="G1568" s="450"/>
      <c r="H1568" s="255"/>
      <c r="I1568" s="250"/>
      <c r="J1568" s="255"/>
      <c r="K1568" s="255"/>
      <c r="L1568" s="250"/>
      <c r="M1568" s="277"/>
      <c r="N1568" s="277"/>
      <c r="O1568" s="329"/>
      <c r="P1568" s="330">
        <f t="shared" si="250"/>
        <v>0</v>
      </c>
      <c r="Q1568" s="330">
        <f t="shared" si="251"/>
        <v>0</v>
      </c>
      <c r="R1568" s="331" t="str">
        <f t="shared" si="252"/>
        <v/>
      </c>
      <c r="S1568" s="331" t="str">
        <f>IF(D1568="","",IF(OR(D1568=Plano!$A$1,D1568=Plano!$B$1),"entrada","saída"))</f>
        <v/>
      </c>
      <c r="T1568" s="345"/>
      <c r="U1568" s="345"/>
      <c r="V1568" s="269"/>
      <c r="W1568" s="269"/>
      <c r="X1568" s="269"/>
      <c r="Y1568" s="269"/>
      <c r="Z1568" s="269"/>
      <c r="AA1568" s="269"/>
      <c r="AB1568" s="269"/>
      <c r="AC1568" s="269"/>
      <c r="AD1568" s="269"/>
      <c r="AE1568" s="269"/>
      <c r="AF1568" s="269"/>
      <c r="AG1568" s="269"/>
      <c r="AH1568" s="269"/>
      <c r="AI1568" s="269"/>
      <c r="AJ1568" s="269"/>
      <c r="AK1568" s="269"/>
      <c r="AL1568" s="269"/>
      <c r="AM1568" s="269"/>
    </row>
    <row r="1569" spans="1:39" ht="12.75" customHeight="1" x14ac:dyDescent="0.2">
      <c r="A1569" s="277" t="str">
        <f>IF(B1569="","",COUNT('Diário 5º PA'!$A$5:$A$2634)+COUNT('Diário 6º PA'!$A$5:$A$2246)+ROW()-4)</f>
        <v/>
      </c>
      <c r="B1569" s="278"/>
      <c r="C1569" s="335"/>
      <c r="D1569" s="255"/>
      <c r="E1569" s="255"/>
      <c r="F1569" s="258"/>
      <c r="G1569" s="450"/>
      <c r="H1569" s="255"/>
      <c r="I1569" s="250"/>
      <c r="J1569" s="255"/>
      <c r="K1569" s="255"/>
      <c r="L1569" s="250"/>
      <c r="M1569" s="277"/>
      <c r="N1569" s="277"/>
      <c r="O1569" s="329"/>
      <c r="P1569" s="330">
        <f t="shared" si="250"/>
        <v>0</v>
      </c>
      <c r="Q1569" s="330">
        <f t="shared" si="251"/>
        <v>0</v>
      </c>
      <c r="R1569" s="331" t="str">
        <f t="shared" si="252"/>
        <v/>
      </c>
      <c r="S1569" s="331" t="str">
        <f>IF(D1569="","",IF(OR(D1569=Plano!$A$1,D1569=Plano!$B$1),"entrada","saída"))</f>
        <v/>
      </c>
      <c r="T1569" s="345"/>
      <c r="U1569" s="345"/>
      <c r="V1569" s="269"/>
      <c r="W1569" s="269"/>
      <c r="X1569" s="269"/>
      <c r="Y1569" s="269"/>
      <c r="Z1569" s="269"/>
      <c r="AA1569" s="269"/>
      <c r="AB1569" s="269"/>
      <c r="AC1569" s="269"/>
      <c r="AD1569" s="269"/>
      <c r="AE1569" s="269"/>
      <c r="AF1569" s="269"/>
      <c r="AG1569" s="269"/>
      <c r="AH1569" s="269"/>
      <c r="AI1569" s="269"/>
      <c r="AJ1569" s="269"/>
      <c r="AK1569" s="269"/>
      <c r="AL1569" s="269"/>
      <c r="AM1569" s="269"/>
    </row>
    <row r="1570" spans="1:39" ht="12.75" customHeight="1" x14ac:dyDescent="0.2">
      <c r="A1570" s="277" t="str">
        <f>IF(B1570="","",COUNT('Diário 5º PA'!$A$5:$A$2634)+COUNT('Diário 6º PA'!$A$5:$A$2246)+ROW()-4)</f>
        <v/>
      </c>
      <c r="B1570" s="278"/>
      <c r="C1570" s="335"/>
      <c r="D1570" s="255"/>
      <c r="E1570" s="255"/>
      <c r="F1570" s="258"/>
      <c r="G1570" s="450"/>
      <c r="H1570" s="255"/>
      <c r="I1570" s="250"/>
      <c r="J1570" s="255"/>
      <c r="K1570" s="255"/>
      <c r="L1570" s="250"/>
      <c r="M1570" s="277"/>
      <c r="N1570" s="277"/>
      <c r="O1570" s="329"/>
      <c r="P1570" s="330">
        <f t="shared" si="250"/>
        <v>0</v>
      </c>
      <c r="Q1570" s="330">
        <f t="shared" si="251"/>
        <v>0</v>
      </c>
      <c r="R1570" s="331" t="str">
        <f t="shared" si="252"/>
        <v/>
      </c>
      <c r="S1570" s="331" t="str">
        <f>IF(D1570="","",IF(OR(D1570=Plano!$A$1,D1570=Plano!$B$1),"entrada","saída"))</f>
        <v/>
      </c>
      <c r="T1570" s="345"/>
      <c r="U1570" s="345"/>
      <c r="V1570" s="269"/>
      <c r="W1570" s="269"/>
      <c r="X1570" s="269"/>
      <c r="Y1570" s="269"/>
      <c r="Z1570" s="269"/>
      <c r="AA1570" s="269"/>
      <c r="AB1570" s="269"/>
      <c r="AC1570" s="269"/>
      <c r="AD1570" s="269"/>
      <c r="AE1570" s="269"/>
      <c r="AF1570" s="269"/>
      <c r="AG1570" s="269"/>
      <c r="AH1570" s="269"/>
      <c r="AI1570" s="269"/>
      <c r="AJ1570" s="269"/>
      <c r="AK1570" s="269"/>
      <c r="AL1570" s="269"/>
      <c r="AM1570" s="269"/>
    </row>
    <row r="1571" spans="1:39" ht="12.75" customHeight="1" x14ac:dyDescent="0.2">
      <c r="A1571" s="277" t="str">
        <f>IF(B1571="","",COUNT('Diário 5º PA'!$A$5:$A$2634)+COUNT('Diário 6º PA'!$A$5:$A$2246)+ROW()-4)</f>
        <v/>
      </c>
      <c r="B1571" s="278"/>
      <c r="C1571" s="335"/>
      <c r="D1571" s="255"/>
      <c r="E1571" s="255"/>
      <c r="F1571" s="258"/>
      <c r="G1571" s="450"/>
      <c r="H1571" s="255"/>
      <c r="I1571" s="250"/>
      <c r="J1571" s="255"/>
      <c r="K1571" s="255"/>
      <c r="L1571" s="250"/>
      <c r="M1571" s="277"/>
      <c r="N1571" s="277"/>
      <c r="O1571" s="329"/>
      <c r="P1571" s="330">
        <f t="shared" si="250"/>
        <v>0</v>
      </c>
      <c r="Q1571" s="330">
        <f t="shared" si="251"/>
        <v>0</v>
      </c>
      <c r="R1571" s="331" t="str">
        <f t="shared" si="252"/>
        <v/>
      </c>
      <c r="S1571" s="331" t="str">
        <f>IF(D1571="","",IF(OR(D1571=Plano!$A$1,D1571=Plano!$B$1),"entrada","saída"))</f>
        <v/>
      </c>
      <c r="T1571" s="345"/>
      <c r="U1571" s="345"/>
      <c r="V1571" s="269"/>
      <c r="W1571" s="269"/>
      <c r="X1571" s="269"/>
      <c r="Y1571" s="269"/>
      <c r="Z1571" s="269"/>
      <c r="AA1571" s="269"/>
      <c r="AB1571" s="269"/>
      <c r="AC1571" s="269"/>
      <c r="AD1571" s="269"/>
      <c r="AE1571" s="269"/>
      <c r="AF1571" s="269"/>
      <c r="AG1571" s="269"/>
      <c r="AH1571" s="269"/>
      <c r="AI1571" s="269"/>
      <c r="AJ1571" s="269"/>
      <c r="AK1571" s="269"/>
      <c r="AL1571" s="269"/>
      <c r="AM1571" s="269"/>
    </row>
    <row r="1572" spans="1:39" ht="12.75" customHeight="1" x14ac:dyDescent="0.2">
      <c r="A1572" s="277" t="str">
        <f>IF(B1572="","",COUNT('Diário 5º PA'!$A$5:$A$2634)+COUNT('Diário 6º PA'!$A$5:$A$2246)+ROW()-4)</f>
        <v/>
      </c>
      <c r="B1572" s="278"/>
      <c r="C1572" s="335"/>
      <c r="D1572" s="255"/>
      <c r="E1572" s="255"/>
      <c r="F1572" s="258"/>
      <c r="G1572" s="450"/>
      <c r="H1572" s="255"/>
      <c r="I1572" s="250"/>
      <c r="J1572" s="255"/>
      <c r="K1572" s="255"/>
      <c r="L1572" s="250"/>
      <c r="M1572" s="277"/>
      <c r="N1572" s="277"/>
      <c r="O1572" s="329"/>
      <c r="P1572" s="330">
        <f t="shared" si="250"/>
        <v>0</v>
      </c>
      <c r="Q1572" s="330">
        <f t="shared" si="251"/>
        <v>0</v>
      </c>
      <c r="R1572" s="331" t="str">
        <f t="shared" si="252"/>
        <v/>
      </c>
      <c r="S1572" s="331" t="str">
        <f>IF(D1572="","",IF(OR(D1572=Plano!$A$1,D1572=Plano!$B$1),"entrada","saída"))</f>
        <v/>
      </c>
      <c r="T1572" s="345"/>
      <c r="U1572" s="345"/>
      <c r="V1572" s="269"/>
      <c r="W1572" s="269"/>
      <c r="X1572" s="269"/>
      <c r="Y1572" s="269"/>
      <c r="Z1572" s="269"/>
      <c r="AA1572" s="269"/>
      <c r="AB1572" s="269"/>
      <c r="AC1572" s="269"/>
      <c r="AD1572" s="269"/>
      <c r="AE1572" s="269"/>
      <c r="AF1572" s="269"/>
      <c r="AG1572" s="269"/>
      <c r="AH1572" s="269"/>
      <c r="AI1572" s="269"/>
      <c r="AJ1572" s="269"/>
      <c r="AK1572" s="269"/>
      <c r="AL1572" s="269"/>
      <c r="AM1572" s="269"/>
    </row>
    <row r="1573" spans="1:39" ht="12.75" customHeight="1" x14ac:dyDescent="0.2">
      <c r="A1573" s="277" t="str">
        <f>IF(B1573="","",COUNT('Diário 5º PA'!$A$5:$A$2634)+COUNT('Diário 6º PA'!$A$5:$A$2246)+ROW()-4)</f>
        <v/>
      </c>
      <c r="B1573" s="278"/>
      <c r="C1573" s="335"/>
      <c r="D1573" s="255"/>
      <c r="E1573" s="255"/>
      <c r="F1573" s="258"/>
      <c r="G1573" s="450"/>
      <c r="H1573" s="255"/>
      <c r="I1573" s="250"/>
      <c r="J1573" s="255"/>
      <c r="K1573" s="255"/>
      <c r="L1573" s="250"/>
      <c r="M1573" s="277"/>
      <c r="N1573" s="277"/>
      <c r="O1573" s="329"/>
      <c r="P1573" s="330">
        <f t="shared" si="250"/>
        <v>0</v>
      </c>
      <c r="Q1573" s="330">
        <f t="shared" si="251"/>
        <v>0</v>
      </c>
      <c r="R1573" s="331" t="str">
        <f t="shared" si="252"/>
        <v/>
      </c>
      <c r="S1573" s="331" t="str">
        <f>IF(D1573="","",IF(OR(D1573=Plano!$A$1,D1573=Plano!$B$1),"entrada","saída"))</f>
        <v/>
      </c>
      <c r="T1573" s="345"/>
      <c r="U1573" s="345"/>
      <c r="V1573" s="269"/>
      <c r="W1573" s="269"/>
      <c r="X1573" s="269"/>
      <c r="Y1573" s="269"/>
      <c r="Z1573" s="269"/>
      <c r="AA1573" s="269"/>
      <c r="AB1573" s="269"/>
      <c r="AC1573" s="269"/>
      <c r="AD1573" s="269"/>
      <c r="AE1573" s="269"/>
      <c r="AF1573" s="269"/>
      <c r="AG1573" s="269"/>
      <c r="AH1573" s="269"/>
      <c r="AI1573" s="269"/>
      <c r="AJ1573" s="269"/>
      <c r="AK1573" s="269"/>
      <c r="AL1573" s="269"/>
      <c r="AM1573" s="269"/>
    </row>
    <row r="1574" spans="1:39" ht="12.75" customHeight="1" x14ac:dyDescent="0.2">
      <c r="A1574" s="277" t="str">
        <f>IF(B1574="","",COUNT('Diário 5º PA'!$A$5:$A$2634)+COUNT('Diário 6º PA'!$A$5:$A$2246)+ROW()-4)</f>
        <v/>
      </c>
      <c r="B1574" s="278"/>
      <c r="C1574" s="335"/>
      <c r="D1574" s="255"/>
      <c r="E1574" s="255"/>
      <c r="F1574" s="258"/>
      <c r="G1574" s="450"/>
      <c r="H1574" s="255"/>
      <c r="I1574" s="250"/>
      <c r="J1574" s="255"/>
      <c r="K1574" s="255"/>
      <c r="L1574" s="250"/>
      <c r="M1574" s="277"/>
      <c r="N1574" s="277"/>
      <c r="O1574" s="329"/>
      <c r="P1574" s="330">
        <f t="shared" si="250"/>
        <v>0</v>
      </c>
      <c r="Q1574" s="330">
        <f t="shared" si="251"/>
        <v>0</v>
      </c>
      <c r="R1574" s="331" t="str">
        <f t="shared" si="252"/>
        <v/>
      </c>
      <c r="S1574" s="331" t="str">
        <f>IF(D1574="","",IF(OR(D1574=Plano!$A$1,D1574=Plano!$B$1),"entrada","saída"))</f>
        <v/>
      </c>
      <c r="T1574" s="345"/>
      <c r="U1574" s="345"/>
      <c r="V1574" s="269"/>
      <c r="W1574" s="269"/>
      <c r="X1574" s="269"/>
      <c r="Y1574" s="269"/>
      <c r="Z1574" s="269"/>
      <c r="AA1574" s="269"/>
      <c r="AB1574" s="269"/>
      <c r="AC1574" s="269"/>
      <c r="AD1574" s="269"/>
      <c r="AE1574" s="269"/>
      <c r="AF1574" s="269"/>
      <c r="AG1574" s="269"/>
      <c r="AH1574" s="269"/>
      <c r="AI1574" s="269"/>
      <c r="AJ1574" s="269"/>
      <c r="AK1574" s="269"/>
      <c r="AL1574" s="269"/>
      <c r="AM1574" s="269"/>
    </row>
    <row r="1575" spans="1:39" ht="12.75" customHeight="1" x14ac:dyDescent="0.2">
      <c r="A1575" s="277" t="str">
        <f>IF(B1575="","",COUNT('Diário 5º PA'!$A$5:$A$2634)+COUNT('Diário 6º PA'!$A$5:$A$2246)+ROW()-4)</f>
        <v/>
      </c>
      <c r="B1575" s="278"/>
      <c r="C1575" s="335"/>
      <c r="D1575" s="255"/>
      <c r="E1575" s="255"/>
      <c r="F1575" s="258"/>
      <c r="G1575" s="450"/>
      <c r="H1575" s="255"/>
      <c r="I1575" s="250"/>
      <c r="J1575" s="255"/>
      <c r="K1575" s="255"/>
      <c r="L1575" s="250"/>
      <c r="M1575" s="277"/>
      <c r="N1575" s="277"/>
      <c r="O1575" s="329"/>
      <c r="P1575" s="330">
        <f t="shared" si="250"/>
        <v>0</v>
      </c>
      <c r="Q1575" s="330">
        <f t="shared" si="251"/>
        <v>0</v>
      </c>
      <c r="R1575" s="331" t="str">
        <f t="shared" si="252"/>
        <v/>
      </c>
      <c r="S1575" s="331" t="str">
        <f>IF(D1575="","",IF(OR(D1575=Plano!$A$1,D1575=Plano!$B$1),"entrada","saída"))</f>
        <v/>
      </c>
      <c r="T1575" s="345"/>
      <c r="U1575" s="345"/>
      <c r="V1575" s="269"/>
      <c r="W1575" s="269"/>
      <c r="X1575" s="269"/>
      <c r="Y1575" s="269"/>
      <c r="Z1575" s="269"/>
      <c r="AA1575" s="269"/>
      <c r="AB1575" s="269"/>
      <c r="AC1575" s="269"/>
      <c r="AD1575" s="269"/>
      <c r="AE1575" s="269"/>
      <c r="AF1575" s="269"/>
      <c r="AG1575" s="269"/>
      <c r="AH1575" s="269"/>
      <c r="AI1575" s="269"/>
      <c r="AJ1575" s="269"/>
      <c r="AK1575" s="269"/>
      <c r="AL1575" s="269"/>
      <c r="AM1575" s="269"/>
    </row>
    <row r="1576" spans="1:39" ht="12.75" customHeight="1" x14ac:dyDescent="0.2">
      <c r="A1576" s="277" t="str">
        <f>IF(B1576="","",COUNT('Diário 5º PA'!$A$5:$A$2634)+COUNT('Diário 6º PA'!$A$5:$A$2246)+ROW()-4)</f>
        <v/>
      </c>
      <c r="B1576" s="278"/>
      <c r="C1576" s="335"/>
      <c r="D1576" s="255"/>
      <c r="E1576" s="255"/>
      <c r="F1576" s="258"/>
      <c r="G1576" s="450"/>
      <c r="H1576" s="255"/>
      <c r="I1576" s="250"/>
      <c r="J1576" s="255"/>
      <c r="K1576" s="255"/>
      <c r="L1576" s="250"/>
      <c r="M1576" s="277"/>
      <c r="N1576" s="277"/>
      <c r="O1576" s="329"/>
      <c r="P1576" s="330">
        <f t="shared" si="250"/>
        <v>0</v>
      </c>
      <c r="Q1576" s="330">
        <f t="shared" si="251"/>
        <v>0</v>
      </c>
      <c r="R1576" s="331" t="str">
        <f t="shared" si="252"/>
        <v/>
      </c>
      <c r="S1576" s="331" t="str">
        <f>IF(D1576="","",IF(OR(D1576=Plano!$A$1,D1576=Plano!$B$1),"entrada","saída"))</f>
        <v/>
      </c>
      <c r="T1576" s="345"/>
      <c r="U1576" s="345"/>
      <c r="V1576" s="269"/>
      <c r="W1576" s="269"/>
      <c r="X1576" s="269"/>
      <c r="Y1576" s="269"/>
      <c r="Z1576" s="269"/>
      <c r="AA1576" s="269"/>
      <c r="AB1576" s="269"/>
      <c r="AC1576" s="269"/>
      <c r="AD1576" s="269"/>
      <c r="AE1576" s="269"/>
      <c r="AF1576" s="269"/>
      <c r="AG1576" s="269"/>
      <c r="AH1576" s="269"/>
      <c r="AI1576" s="269"/>
      <c r="AJ1576" s="269"/>
      <c r="AK1576" s="269"/>
      <c r="AL1576" s="269"/>
      <c r="AM1576" s="269"/>
    </row>
    <row r="1577" spans="1:39" ht="12.75" customHeight="1" x14ac:dyDescent="0.2">
      <c r="A1577" s="277" t="str">
        <f>IF(B1577="","",COUNT('Diário 5º PA'!$A$5:$A$2634)+COUNT('Diário 6º PA'!$A$5:$A$2246)+ROW()-4)</f>
        <v/>
      </c>
      <c r="B1577" s="278"/>
      <c r="C1577" s="335"/>
      <c r="D1577" s="255"/>
      <c r="E1577" s="255"/>
      <c r="F1577" s="258"/>
      <c r="G1577" s="450"/>
      <c r="H1577" s="255"/>
      <c r="I1577" s="250"/>
      <c r="J1577" s="255"/>
      <c r="K1577" s="255"/>
      <c r="L1577" s="250"/>
      <c r="M1577" s="277"/>
      <c r="N1577" s="277"/>
      <c r="O1577" s="329"/>
      <c r="P1577" s="330">
        <f t="shared" si="250"/>
        <v>0</v>
      </c>
      <c r="Q1577" s="330">
        <f t="shared" si="251"/>
        <v>0</v>
      </c>
      <c r="R1577" s="331" t="str">
        <f t="shared" si="252"/>
        <v/>
      </c>
      <c r="S1577" s="331" t="str">
        <f>IF(D1577="","",IF(OR(D1577=Plano!$A$1,D1577=Plano!$B$1),"entrada","saída"))</f>
        <v/>
      </c>
      <c r="T1577" s="345"/>
      <c r="U1577" s="345"/>
      <c r="V1577" s="269"/>
      <c r="W1577" s="269"/>
      <c r="X1577" s="269"/>
      <c r="Y1577" s="269"/>
      <c r="Z1577" s="269"/>
      <c r="AA1577" s="269"/>
      <c r="AB1577" s="269"/>
      <c r="AC1577" s="269"/>
      <c r="AD1577" s="269"/>
      <c r="AE1577" s="269"/>
      <c r="AF1577" s="269"/>
      <c r="AG1577" s="269"/>
      <c r="AH1577" s="269"/>
      <c r="AI1577" s="269"/>
      <c r="AJ1577" s="269"/>
      <c r="AK1577" s="269"/>
      <c r="AL1577" s="269"/>
      <c r="AM1577" s="269"/>
    </row>
    <row r="1578" spans="1:39" ht="12.75" customHeight="1" x14ac:dyDescent="0.2">
      <c r="A1578" s="277" t="str">
        <f>IF(B1578="","",COUNT('Diário 5º PA'!$A$5:$A$2634)+COUNT('Diário 6º PA'!$A$5:$A$2246)+ROW()-4)</f>
        <v/>
      </c>
      <c r="B1578" s="278"/>
      <c r="C1578" s="335"/>
      <c r="D1578" s="255"/>
      <c r="E1578" s="255"/>
      <c r="F1578" s="258"/>
      <c r="G1578" s="450"/>
      <c r="H1578" s="255"/>
      <c r="I1578" s="250"/>
      <c r="J1578" s="255"/>
      <c r="K1578" s="255"/>
      <c r="L1578" s="250"/>
      <c r="M1578" s="277"/>
      <c r="N1578" s="277"/>
      <c r="O1578" s="329"/>
      <c r="P1578" s="330">
        <f t="shared" si="250"/>
        <v>0</v>
      </c>
      <c r="Q1578" s="330">
        <f t="shared" si="251"/>
        <v>0</v>
      </c>
      <c r="R1578" s="331" t="str">
        <f t="shared" si="252"/>
        <v/>
      </c>
      <c r="S1578" s="331" t="str">
        <f>IF(D1578="","",IF(OR(D1578=Plano!$A$1,D1578=Plano!$B$1),"entrada","saída"))</f>
        <v/>
      </c>
      <c r="T1578" s="345"/>
      <c r="U1578" s="345"/>
      <c r="V1578" s="269"/>
      <c r="W1578" s="269"/>
      <c r="X1578" s="269"/>
      <c r="Y1578" s="269"/>
      <c r="Z1578" s="269"/>
      <c r="AA1578" s="269"/>
      <c r="AB1578" s="269"/>
      <c r="AC1578" s="269"/>
      <c r="AD1578" s="269"/>
      <c r="AE1578" s="269"/>
      <c r="AF1578" s="269"/>
      <c r="AG1578" s="269"/>
      <c r="AH1578" s="269"/>
      <c r="AI1578" s="269"/>
      <c r="AJ1578" s="269"/>
      <c r="AK1578" s="269"/>
      <c r="AL1578" s="269"/>
      <c r="AM1578" s="269"/>
    </row>
    <row r="1579" spans="1:39" ht="12.75" customHeight="1" x14ac:dyDescent="0.2">
      <c r="A1579" s="277" t="str">
        <f>IF(B1579="","",COUNT('Diário 5º PA'!$A$5:$A$2634)+COUNT('Diário 6º PA'!$A$5:$A$2246)+ROW()-4)</f>
        <v/>
      </c>
      <c r="B1579" s="278"/>
      <c r="C1579" s="335"/>
      <c r="D1579" s="255"/>
      <c r="E1579" s="255"/>
      <c r="F1579" s="258"/>
      <c r="G1579" s="450"/>
      <c r="H1579" s="255"/>
      <c r="I1579" s="250"/>
      <c r="J1579" s="255"/>
      <c r="K1579" s="255"/>
      <c r="L1579" s="250"/>
      <c r="M1579" s="277"/>
      <c r="N1579" s="277"/>
      <c r="O1579" s="329"/>
      <c r="P1579" s="330">
        <f t="shared" ref="P1579:P1642" si="253">IF(B1579=0,0,IF(YEAR(B1579)=$Q$1,MONTH(B1579)-$P$1+1,(YEAR(B1579)-$Q$1)*12-$P$1+1+MONTH(B1579)))</f>
        <v>0</v>
      </c>
      <c r="Q1579" s="330">
        <f t="shared" ref="Q1579:Q1642" si="254">IF(C1579=0,0,IF(YEAR(C1579)=$Q$1,MONTH(C1579)-$P$1+1,(YEAR(C1579)-$Q$1)*12-$P$1+1+MONTH(C1579)))</f>
        <v>0</v>
      </c>
      <c r="R1579" s="331" t="str">
        <f t="shared" ref="R1579:R1642" si="255">SUBSTITUTE(D1579," ","_")</f>
        <v/>
      </c>
      <c r="S1579" s="331" t="str">
        <f>IF(D1579="","",IF(OR(D1579=Plano!$A$1,D1579=Plano!$B$1),"entrada","saída"))</f>
        <v/>
      </c>
      <c r="T1579" s="345"/>
      <c r="U1579" s="345"/>
      <c r="V1579" s="269"/>
      <c r="W1579" s="269"/>
      <c r="X1579" s="269"/>
      <c r="Y1579" s="269"/>
      <c r="Z1579" s="269"/>
      <c r="AA1579" s="269"/>
      <c r="AB1579" s="269"/>
      <c r="AC1579" s="269"/>
      <c r="AD1579" s="269"/>
      <c r="AE1579" s="269"/>
      <c r="AF1579" s="269"/>
      <c r="AG1579" s="269"/>
      <c r="AH1579" s="269"/>
      <c r="AI1579" s="269"/>
      <c r="AJ1579" s="269"/>
      <c r="AK1579" s="269"/>
      <c r="AL1579" s="269"/>
      <c r="AM1579" s="269"/>
    </row>
    <row r="1580" spans="1:39" ht="12.75" customHeight="1" x14ac:dyDescent="0.2">
      <c r="A1580" s="277" t="str">
        <f>IF(B1580="","",COUNT('Diário 5º PA'!$A$5:$A$2634)+COUNT('Diário 6º PA'!$A$5:$A$2246)+ROW()-4)</f>
        <v/>
      </c>
      <c r="B1580" s="278"/>
      <c r="C1580" s="335"/>
      <c r="D1580" s="255"/>
      <c r="E1580" s="255"/>
      <c r="F1580" s="258"/>
      <c r="G1580" s="450"/>
      <c r="H1580" s="255"/>
      <c r="I1580" s="250"/>
      <c r="J1580" s="255"/>
      <c r="K1580" s="255"/>
      <c r="L1580" s="250"/>
      <c r="M1580" s="277"/>
      <c r="N1580" s="277"/>
      <c r="O1580" s="329"/>
      <c r="P1580" s="330">
        <f t="shared" si="253"/>
        <v>0</v>
      </c>
      <c r="Q1580" s="330">
        <f t="shared" si="254"/>
        <v>0</v>
      </c>
      <c r="R1580" s="331" t="str">
        <f t="shared" si="255"/>
        <v/>
      </c>
      <c r="S1580" s="331" t="str">
        <f>IF(D1580="","",IF(OR(D1580=Plano!$A$1,D1580=Plano!$B$1),"entrada","saída"))</f>
        <v/>
      </c>
      <c r="T1580" s="345"/>
      <c r="U1580" s="345"/>
      <c r="V1580" s="269"/>
      <c r="W1580" s="269"/>
      <c r="X1580" s="269"/>
      <c r="Y1580" s="269"/>
      <c r="Z1580" s="269"/>
      <c r="AA1580" s="269"/>
      <c r="AB1580" s="269"/>
      <c r="AC1580" s="269"/>
      <c r="AD1580" s="269"/>
      <c r="AE1580" s="269"/>
      <c r="AF1580" s="269"/>
      <c r="AG1580" s="269"/>
      <c r="AH1580" s="269"/>
      <c r="AI1580" s="269"/>
      <c r="AJ1580" s="269"/>
      <c r="AK1580" s="269"/>
      <c r="AL1580" s="269"/>
      <c r="AM1580" s="269"/>
    </row>
    <row r="1581" spans="1:39" ht="12.75" customHeight="1" x14ac:dyDescent="0.2">
      <c r="A1581" s="277" t="str">
        <f>IF(B1581="","",COUNT('Diário 5º PA'!$A$5:$A$2634)+COUNT('Diário 6º PA'!$A$5:$A$2246)+ROW()-4)</f>
        <v/>
      </c>
      <c r="B1581" s="278"/>
      <c r="C1581" s="335"/>
      <c r="D1581" s="255"/>
      <c r="E1581" s="255"/>
      <c r="F1581" s="258"/>
      <c r="G1581" s="450"/>
      <c r="H1581" s="255"/>
      <c r="I1581" s="250"/>
      <c r="J1581" s="255"/>
      <c r="K1581" s="255"/>
      <c r="L1581" s="250"/>
      <c r="M1581" s="277"/>
      <c r="N1581" s="277"/>
      <c r="O1581" s="329"/>
      <c r="P1581" s="330">
        <f t="shared" si="253"/>
        <v>0</v>
      </c>
      <c r="Q1581" s="330">
        <f t="shared" si="254"/>
        <v>0</v>
      </c>
      <c r="R1581" s="331" t="str">
        <f t="shared" si="255"/>
        <v/>
      </c>
      <c r="S1581" s="331" t="str">
        <f>IF(D1581="","",IF(OR(D1581=Plano!$A$1,D1581=Plano!$B$1),"entrada","saída"))</f>
        <v/>
      </c>
      <c r="T1581" s="345"/>
      <c r="U1581" s="345"/>
      <c r="V1581" s="269"/>
      <c r="W1581" s="269"/>
      <c r="X1581" s="269"/>
      <c r="Y1581" s="269"/>
      <c r="Z1581" s="269"/>
      <c r="AA1581" s="269"/>
      <c r="AB1581" s="269"/>
      <c r="AC1581" s="269"/>
      <c r="AD1581" s="269"/>
      <c r="AE1581" s="269"/>
      <c r="AF1581" s="269"/>
      <c r="AG1581" s="269"/>
      <c r="AH1581" s="269"/>
      <c r="AI1581" s="269"/>
      <c r="AJ1581" s="269"/>
      <c r="AK1581" s="269"/>
      <c r="AL1581" s="269"/>
      <c r="AM1581" s="269"/>
    </row>
    <row r="1582" spans="1:39" ht="12.75" customHeight="1" x14ac:dyDescent="0.2">
      <c r="A1582" s="277" t="str">
        <f>IF(B1582="","",COUNT('Diário 5º PA'!$A$5:$A$2634)+COUNT('Diário 6º PA'!$A$5:$A$2246)+ROW()-4)</f>
        <v/>
      </c>
      <c r="B1582" s="278"/>
      <c r="C1582" s="335"/>
      <c r="D1582" s="255"/>
      <c r="E1582" s="255"/>
      <c r="F1582" s="258"/>
      <c r="G1582" s="450"/>
      <c r="H1582" s="255"/>
      <c r="I1582" s="250"/>
      <c r="J1582" s="255"/>
      <c r="K1582" s="255"/>
      <c r="L1582" s="250"/>
      <c r="M1582" s="277"/>
      <c r="N1582" s="277"/>
      <c r="O1582" s="329"/>
      <c r="P1582" s="330">
        <f t="shared" si="253"/>
        <v>0</v>
      </c>
      <c r="Q1582" s="330">
        <f t="shared" si="254"/>
        <v>0</v>
      </c>
      <c r="R1582" s="331" t="str">
        <f t="shared" si="255"/>
        <v/>
      </c>
      <c r="S1582" s="331" t="str">
        <f>IF(D1582="","",IF(OR(D1582=Plano!$A$1,D1582=Plano!$B$1),"entrada","saída"))</f>
        <v/>
      </c>
      <c r="T1582" s="345"/>
      <c r="U1582" s="345"/>
      <c r="V1582" s="269"/>
      <c r="W1582" s="269"/>
      <c r="X1582" s="269"/>
      <c r="Y1582" s="269"/>
      <c r="Z1582" s="269"/>
      <c r="AA1582" s="269"/>
      <c r="AB1582" s="269"/>
      <c r="AC1582" s="269"/>
      <c r="AD1582" s="269"/>
      <c r="AE1582" s="269"/>
      <c r="AF1582" s="269"/>
      <c r="AG1582" s="269"/>
      <c r="AH1582" s="269"/>
      <c r="AI1582" s="269"/>
      <c r="AJ1582" s="269"/>
      <c r="AK1582" s="269"/>
      <c r="AL1582" s="269"/>
      <c r="AM1582" s="269"/>
    </row>
    <row r="1583" spans="1:39" ht="12.75" customHeight="1" x14ac:dyDescent="0.2">
      <c r="A1583" s="277" t="str">
        <f>IF(B1583="","",COUNT('Diário 5º PA'!$A$5:$A$2634)+COUNT('Diário 6º PA'!$A$5:$A$2246)+ROW()-4)</f>
        <v/>
      </c>
      <c r="B1583" s="278"/>
      <c r="C1583" s="335"/>
      <c r="D1583" s="255"/>
      <c r="E1583" s="255"/>
      <c r="F1583" s="258"/>
      <c r="G1583" s="450"/>
      <c r="H1583" s="255"/>
      <c r="I1583" s="250"/>
      <c r="J1583" s="255"/>
      <c r="K1583" s="255"/>
      <c r="L1583" s="250"/>
      <c r="M1583" s="277"/>
      <c r="N1583" s="277"/>
      <c r="O1583" s="329"/>
      <c r="P1583" s="330">
        <f t="shared" si="253"/>
        <v>0</v>
      </c>
      <c r="Q1583" s="330">
        <f t="shared" si="254"/>
        <v>0</v>
      </c>
      <c r="R1583" s="331" t="str">
        <f t="shared" si="255"/>
        <v/>
      </c>
      <c r="S1583" s="331" t="str">
        <f>IF(D1583="","",IF(OR(D1583=Plano!$A$1,D1583=Plano!$B$1),"entrada","saída"))</f>
        <v/>
      </c>
      <c r="T1583" s="345"/>
      <c r="U1583" s="345"/>
      <c r="V1583" s="269"/>
      <c r="W1583" s="269"/>
      <c r="X1583" s="269"/>
      <c r="Y1583" s="269"/>
      <c r="Z1583" s="269"/>
      <c r="AA1583" s="269"/>
      <c r="AB1583" s="269"/>
      <c r="AC1583" s="269"/>
      <c r="AD1583" s="269"/>
      <c r="AE1583" s="269"/>
      <c r="AF1583" s="269"/>
      <c r="AG1583" s="269"/>
      <c r="AH1583" s="269"/>
      <c r="AI1583" s="269"/>
      <c r="AJ1583" s="269"/>
      <c r="AK1583" s="269"/>
      <c r="AL1583" s="269"/>
      <c r="AM1583" s="269"/>
    </row>
    <row r="1584" spans="1:39" ht="12.75" customHeight="1" x14ac:dyDescent="0.2">
      <c r="A1584" s="277" t="str">
        <f>IF(B1584="","",COUNT('Diário 5º PA'!$A$5:$A$2634)+COUNT('Diário 6º PA'!$A$5:$A$2246)+ROW()-4)</f>
        <v/>
      </c>
      <c r="B1584" s="278"/>
      <c r="C1584" s="335"/>
      <c r="D1584" s="255"/>
      <c r="E1584" s="255"/>
      <c r="F1584" s="258"/>
      <c r="G1584" s="450"/>
      <c r="H1584" s="255"/>
      <c r="I1584" s="250"/>
      <c r="J1584" s="255"/>
      <c r="K1584" s="255"/>
      <c r="L1584" s="250"/>
      <c r="M1584" s="277"/>
      <c r="N1584" s="277"/>
      <c r="O1584" s="329"/>
      <c r="P1584" s="330">
        <f t="shared" si="253"/>
        <v>0</v>
      </c>
      <c r="Q1584" s="330">
        <f t="shared" si="254"/>
        <v>0</v>
      </c>
      <c r="R1584" s="331" t="str">
        <f t="shared" si="255"/>
        <v/>
      </c>
      <c r="S1584" s="331" t="str">
        <f>IF(D1584="","",IF(OR(D1584=Plano!$A$1,D1584=Plano!$B$1),"entrada","saída"))</f>
        <v/>
      </c>
      <c r="T1584" s="345"/>
      <c r="U1584" s="345"/>
      <c r="V1584" s="269"/>
      <c r="W1584" s="269"/>
      <c r="X1584" s="269"/>
      <c r="Y1584" s="269"/>
      <c r="Z1584" s="269"/>
      <c r="AA1584" s="269"/>
      <c r="AB1584" s="269"/>
      <c r="AC1584" s="269"/>
      <c r="AD1584" s="269"/>
      <c r="AE1584" s="269"/>
      <c r="AF1584" s="269"/>
      <c r="AG1584" s="269"/>
      <c r="AH1584" s="269"/>
      <c r="AI1584" s="269"/>
      <c r="AJ1584" s="269"/>
      <c r="AK1584" s="269"/>
      <c r="AL1584" s="269"/>
      <c r="AM1584" s="269"/>
    </row>
    <row r="1585" spans="1:39" ht="12.75" customHeight="1" x14ac:dyDescent="0.2">
      <c r="A1585" s="277" t="str">
        <f>IF(B1585="","",COUNT('Diário 5º PA'!$A$5:$A$2634)+COUNT('Diário 6º PA'!$A$5:$A$2246)+ROW()-4)</f>
        <v/>
      </c>
      <c r="B1585" s="278"/>
      <c r="C1585" s="335"/>
      <c r="D1585" s="255"/>
      <c r="E1585" s="255"/>
      <c r="F1585" s="258"/>
      <c r="G1585" s="450"/>
      <c r="H1585" s="255"/>
      <c r="I1585" s="250"/>
      <c r="J1585" s="255"/>
      <c r="K1585" s="255"/>
      <c r="L1585" s="250"/>
      <c r="M1585" s="277"/>
      <c r="N1585" s="277"/>
      <c r="O1585" s="329"/>
      <c r="P1585" s="330">
        <f t="shared" si="253"/>
        <v>0</v>
      </c>
      <c r="Q1585" s="330">
        <f t="shared" si="254"/>
        <v>0</v>
      </c>
      <c r="R1585" s="331" t="str">
        <f t="shared" si="255"/>
        <v/>
      </c>
      <c r="S1585" s="331" t="str">
        <f>IF(D1585="","",IF(OR(D1585=Plano!$A$1,D1585=Plano!$B$1),"entrada","saída"))</f>
        <v/>
      </c>
      <c r="T1585" s="345"/>
      <c r="U1585" s="345"/>
      <c r="V1585" s="269"/>
      <c r="W1585" s="269"/>
      <c r="X1585" s="269"/>
      <c r="Y1585" s="269"/>
      <c r="Z1585" s="269"/>
      <c r="AA1585" s="269"/>
      <c r="AB1585" s="269"/>
      <c r="AC1585" s="269"/>
      <c r="AD1585" s="269"/>
      <c r="AE1585" s="269"/>
      <c r="AF1585" s="269"/>
      <c r="AG1585" s="269"/>
      <c r="AH1585" s="269"/>
      <c r="AI1585" s="269"/>
      <c r="AJ1585" s="269"/>
      <c r="AK1585" s="269"/>
      <c r="AL1585" s="269"/>
      <c r="AM1585" s="269"/>
    </row>
    <row r="1586" spans="1:39" ht="12.75" customHeight="1" x14ac:dyDescent="0.2">
      <c r="A1586" s="277" t="str">
        <f>IF(B1586="","",COUNT('Diário 5º PA'!$A$5:$A$2634)+COUNT('Diário 6º PA'!$A$5:$A$2246)+ROW()-4)</f>
        <v/>
      </c>
      <c r="B1586" s="278"/>
      <c r="C1586" s="335"/>
      <c r="D1586" s="255"/>
      <c r="E1586" s="255"/>
      <c r="F1586" s="258"/>
      <c r="G1586" s="450"/>
      <c r="H1586" s="255"/>
      <c r="I1586" s="250"/>
      <c r="J1586" s="255"/>
      <c r="K1586" s="255"/>
      <c r="L1586" s="250"/>
      <c r="M1586" s="277"/>
      <c r="N1586" s="277"/>
      <c r="O1586" s="329"/>
      <c r="P1586" s="330">
        <f t="shared" si="253"/>
        <v>0</v>
      </c>
      <c r="Q1586" s="330">
        <f t="shared" si="254"/>
        <v>0</v>
      </c>
      <c r="R1586" s="331" t="str">
        <f t="shared" si="255"/>
        <v/>
      </c>
      <c r="S1586" s="331" t="str">
        <f>IF(D1586="","",IF(OR(D1586=Plano!$A$1,D1586=Plano!$B$1),"entrada","saída"))</f>
        <v/>
      </c>
      <c r="T1586" s="345"/>
      <c r="U1586" s="345"/>
      <c r="V1586" s="269"/>
      <c r="W1586" s="269"/>
      <c r="X1586" s="269"/>
      <c r="Y1586" s="269"/>
      <c r="Z1586" s="269"/>
      <c r="AA1586" s="269"/>
      <c r="AB1586" s="269"/>
      <c r="AC1586" s="269"/>
      <c r="AD1586" s="269"/>
      <c r="AE1586" s="269"/>
      <c r="AF1586" s="269"/>
      <c r="AG1586" s="269"/>
      <c r="AH1586" s="269"/>
      <c r="AI1586" s="269"/>
      <c r="AJ1586" s="269"/>
      <c r="AK1586" s="269"/>
      <c r="AL1586" s="269"/>
      <c r="AM1586" s="269"/>
    </row>
    <row r="1587" spans="1:39" ht="12.75" customHeight="1" x14ac:dyDescent="0.2">
      <c r="A1587" s="277" t="str">
        <f>IF(B1587="","",COUNT('Diário 5º PA'!$A$5:$A$2634)+COUNT('Diário 6º PA'!$A$5:$A$2246)+ROW()-4)</f>
        <v/>
      </c>
      <c r="B1587" s="278"/>
      <c r="C1587" s="335"/>
      <c r="D1587" s="255"/>
      <c r="E1587" s="255"/>
      <c r="F1587" s="258"/>
      <c r="G1587" s="450"/>
      <c r="H1587" s="255"/>
      <c r="I1587" s="250"/>
      <c r="J1587" s="255"/>
      <c r="K1587" s="255"/>
      <c r="L1587" s="250"/>
      <c r="M1587" s="277"/>
      <c r="N1587" s="277"/>
      <c r="O1587" s="329"/>
      <c r="P1587" s="330">
        <f t="shared" si="253"/>
        <v>0</v>
      </c>
      <c r="Q1587" s="330">
        <f t="shared" si="254"/>
        <v>0</v>
      </c>
      <c r="R1587" s="331" t="str">
        <f t="shared" si="255"/>
        <v/>
      </c>
      <c r="S1587" s="331" t="str">
        <f>IF(D1587="","",IF(OR(D1587=Plano!$A$1,D1587=Plano!$B$1),"entrada","saída"))</f>
        <v/>
      </c>
      <c r="T1587" s="345"/>
      <c r="U1587" s="345"/>
      <c r="V1587" s="269"/>
      <c r="W1587" s="269"/>
      <c r="X1587" s="269"/>
      <c r="Y1587" s="269"/>
      <c r="Z1587" s="269"/>
      <c r="AA1587" s="269"/>
      <c r="AB1587" s="269"/>
      <c r="AC1587" s="269"/>
      <c r="AD1587" s="269"/>
      <c r="AE1587" s="269"/>
      <c r="AF1587" s="269"/>
      <c r="AG1587" s="269"/>
      <c r="AH1587" s="269"/>
      <c r="AI1587" s="269"/>
      <c r="AJ1587" s="269"/>
      <c r="AK1587" s="269"/>
      <c r="AL1587" s="269"/>
      <c r="AM1587" s="269"/>
    </row>
    <row r="1588" spans="1:39" ht="12.75" customHeight="1" x14ac:dyDescent="0.2">
      <c r="A1588" s="277" t="str">
        <f>IF(B1588="","",COUNT('Diário 5º PA'!$A$5:$A$2634)+COUNT('Diário 6º PA'!$A$5:$A$2246)+ROW()-4)</f>
        <v/>
      </c>
      <c r="B1588" s="278"/>
      <c r="C1588" s="335"/>
      <c r="D1588" s="255"/>
      <c r="E1588" s="255"/>
      <c r="F1588" s="258"/>
      <c r="G1588" s="450"/>
      <c r="H1588" s="255"/>
      <c r="I1588" s="250"/>
      <c r="J1588" s="255"/>
      <c r="K1588" s="255"/>
      <c r="L1588" s="250"/>
      <c r="M1588" s="277"/>
      <c r="N1588" s="277"/>
      <c r="O1588" s="329"/>
      <c r="P1588" s="330">
        <f t="shared" si="253"/>
        <v>0</v>
      </c>
      <c r="Q1588" s="330">
        <f t="shared" si="254"/>
        <v>0</v>
      </c>
      <c r="R1588" s="331" t="str">
        <f t="shared" si="255"/>
        <v/>
      </c>
      <c r="S1588" s="331" t="str">
        <f>IF(D1588="","",IF(OR(D1588=Plano!$A$1,D1588=Plano!$B$1),"entrada","saída"))</f>
        <v/>
      </c>
      <c r="T1588" s="345"/>
      <c r="U1588" s="345"/>
      <c r="V1588" s="269"/>
      <c r="W1588" s="269"/>
      <c r="X1588" s="269"/>
      <c r="Y1588" s="269"/>
      <c r="Z1588" s="269"/>
      <c r="AA1588" s="269"/>
      <c r="AB1588" s="269"/>
      <c r="AC1588" s="269"/>
      <c r="AD1588" s="269"/>
      <c r="AE1588" s="269"/>
      <c r="AF1588" s="269"/>
      <c r="AG1588" s="269"/>
      <c r="AH1588" s="269"/>
      <c r="AI1588" s="269"/>
      <c r="AJ1588" s="269"/>
      <c r="AK1588" s="269"/>
      <c r="AL1588" s="269"/>
      <c r="AM1588" s="269"/>
    </row>
    <row r="1589" spans="1:39" ht="12.75" customHeight="1" x14ac:dyDescent="0.2">
      <c r="A1589" s="277" t="str">
        <f>IF(B1589="","",COUNT('Diário 5º PA'!$A$5:$A$2634)+COUNT('Diário 6º PA'!$A$5:$A$2246)+ROW()-4)</f>
        <v/>
      </c>
      <c r="B1589" s="278"/>
      <c r="C1589" s="335"/>
      <c r="D1589" s="255"/>
      <c r="E1589" s="255"/>
      <c r="F1589" s="258"/>
      <c r="G1589" s="450"/>
      <c r="H1589" s="255"/>
      <c r="I1589" s="250"/>
      <c r="J1589" s="255"/>
      <c r="K1589" s="255"/>
      <c r="L1589" s="250"/>
      <c r="M1589" s="277"/>
      <c r="N1589" s="277"/>
      <c r="O1589" s="329"/>
      <c r="P1589" s="330">
        <f t="shared" si="253"/>
        <v>0</v>
      </c>
      <c r="Q1589" s="330">
        <f t="shared" si="254"/>
        <v>0</v>
      </c>
      <c r="R1589" s="331" t="str">
        <f t="shared" si="255"/>
        <v/>
      </c>
      <c r="S1589" s="331" t="str">
        <f>IF(D1589="","",IF(OR(D1589=Plano!$A$1,D1589=Plano!$B$1),"entrada","saída"))</f>
        <v/>
      </c>
      <c r="T1589" s="345"/>
      <c r="U1589" s="345"/>
      <c r="V1589" s="269"/>
      <c r="W1589" s="269"/>
      <c r="X1589" s="269"/>
      <c r="Y1589" s="269"/>
      <c r="Z1589" s="269"/>
      <c r="AA1589" s="269"/>
      <c r="AB1589" s="269"/>
      <c r="AC1589" s="269"/>
      <c r="AD1589" s="269"/>
      <c r="AE1589" s="269"/>
      <c r="AF1589" s="269"/>
      <c r="AG1589" s="269"/>
      <c r="AH1589" s="269"/>
      <c r="AI1589" s="269"/>
      <c r="AJ1589" s="269"/>
      <c r="AK1589" s="269"/>
      <c r="AL1589" s="269"/>
      <c r="AM1589" s="269"/>
    </row>
    <row r="1590" spans="1:39" ht="12.75" customHeight="1" x14ac:dyDescent="0.2">
      <c r="A1590" s="277" t="str">
        <f>IF(B1590="","",COUNT('Diário 5º PA'!$A$5:$A$2634)+COUNT('Diário 6º PA'!$A$5:$A$2246)+ROW()-4)</f>
        <v/>
      </c>
      <c r="B1590" s="278"/>
      <c r="C1590" s="335"/>
      <c r="D1590" s="255"/>
      <c r="E1590" s="255"/>
      <c r="F1590" s="258"/>
      <c r="G1590" s="450"/>
      <c r="H1590" s="255"/>
      <c r="I1590" s="250"/>
      <c r="J1590" s="255"/>
      <c r="K1590" s="255"/>
      <c r="L1590" s="250"/>
      <c r="M1590" s="277"/>
      <c r="N1590" s="277"/>
      <c r="O1590" s="329"/>
      <c r="P1590" s="330">
        <f t="shared" si="253"/>
        <v>0</v>
      </c>
      <c r="Q1590" s="330">
        <f t="shared" si="254"/>
        <v>0</v>
      </c>
      <c r="R1590" s="331" t="str">
        <f t="shared" si="255"/>
        <v/>
      </c>
      <c r="S1590" s="331" t="str">
        <f>IF(D1590="","",IF(OR(D1590=Plano!$A$1,D1590=Plano!$B$1),"entrada","saída"))</f>
        <v/>
      </c>
      <c r="T1590" s="345"/>
      <c r="U1590" s="345"/>
      <c r="V1590" s="269"/>
      <c r="W1590" s="269"/>
      <c r="X1590" s="269"/>
      <c r="Y1590" s="269"/>
      <c r="Z1590" s="269"/>
      <c r="AA1590" s="269"/>
      <c r="AB1590" s="269"/>
      <c r="AC1590" s="269"/>
      <c r="AD1590" s="269"/>
      <c r="AE1590" s="269"/>
      <c r="AF1590" s="269"/>
      <c r="AG1590" s="269"/>
      <c r="AH1590" s="269"/>
      <c r="AI1590" s="269"/>
      <c r="AJ1590" s="269"/>
      <c r="AK1590" s="269"/>
      <c r="AL1590" s="269"/>
      <c r="AM1590" s="269"/>
    </row>
    <row r="1591" spans="1:39" ht="12.75" customHeight="1" x14ac:dyDescent="0.2">
      <c r="A1591" s="277" t="str">
        <f>IF(B1591="","",COUNT('Diário 5º PA'!$A$5:$A$2634)+COUNT('Diário 6º PA'!$A$5:$A$2246)+ROW()-4)</f>
        <v/>
      </c>
      <c r="B1591" s="278"/>
      <c r="C1591" s="335"/>
      <c r="D1591" s="255"/>
      <c r="E1591" s="255"/>
      <c r="F1591" s="258"/>
      <c r="G1591" s="450"/>
      <c r="H1591" s="255"/>
      <c r="I1591" s="250"/>
      <c r="J1591" s="255"/>
      <c r="K1591" s="255"/>
      <c r="L1591" s="250"/>
      <c r="M1591" s="277"/>
      <c r="N1591" s="277"/>
      <c r="O1591" s="329"/>
      <c r="P1591" s="330">
        <f t="shared" si="253"/>
        <v>0</v>
      </c>
      <c r="Q1591" s="330">
        <f t="shared" si="254"/>
        <v>0</v>
      </c>
      <c r="R1591" s="331" t="str">
        <f t="shared" si="255"/>
        <v/>
      </c>
      <c r="S1591" s="331" t="str">
        <f>IF(D1591="","",IF(OR(D1591=Plano!$A$1,D1591=Plano!$B$1),"entrada","saída"))</f>
        <v/>
      </c>
      <c r="T1591" s="345"/>
      <c r="U1591" s="345"/>
      <c r="V1591" s="269"/>
      <c r="W1591" s="269"/>
      <c r="X1591" s="269"/>
      <c r="Y1591" s="269"/>
      <c r="Z1591" s="269"/>
      <c r="AA1591" s="269"/>
      <c r="AB1591" s="269"/>
      <c r="AC1591" s="269"/>
      <c r="AD1591" s="269"/>
      <c r="AE1591" s="269"/>
      <c r="AF1591" s="269"/>
      <c r="AG1591" s="269"/>
      <c r="AH1591" s="269"/>
      <c r="AI1591" s="269"/>
      <c r="AJ1591" s="269"/>
      <c r="AK1591" s="269"/>
      <c r="AL1591" s="269"/>
      <c r="AM1591" s="269"/>
    </row>
    <row r="1592" spans="1:39" ht="12.75" customHeight="1" x14ac:dyDescent="0.2">
      <c r="A1592" s="277" t="str">
        <f>IF(B1592="","",COUNT('Diário 5º PA'!$A$5:$A$2634)+COUNT('Diário 6º PA'!$A$5:$A$2246)+ROW()-4)</f>
        <v/>
      </c>
      <c r="B1592" s="278"/>
      <c r="C1592" s="335"/>
      <c r="D1592" s="255"/>
      <c r="E1592" s="255"/>
      <c r="F1592" s="258"/>
      <c r="G1592" s="450"/>
      <c r="H1592" s="255"/>
      <c r="I1592" s="250"/>
      <c r="J1592" s="255"/>
      <c r="K1592" s="255"/>
      <c r="L1592" s="250"/>
      <c r="M1592" s="277"/>
      <c r="N1592" s="277"/>
      <c r="O1592" s="329"/>
      <c r="P1592" s="330">
        <f t="shared" si="253"/>
        <v>0</v>
      </c>
      <c r="Q1592" s="330">
        <f t="shared" si="254"/>
        <v>0</v>
      </c>
      <c r="R1592" s="331" t="str">
        <f t="shared" si="255"/>
        <v/>
      </c>
      <c r="S1592" s="331" t="str">
        <f>IF(D1592="","",IF(OR(D1592=Plano!$A$1,D1592=Plano!$B$1),"entrada","saída"))</f>
        <v/>
      </c>
      <c r="T1592" s="345"/>
      <c r="U1592" s="345"/>
      <c r="V1592" s="269"/>
      <c r="W1592" s="269"/>
      <c r="X1592" s="269"/>
      <c r="Y1592" s="269"/>
      <c r="Z1592" s="269"/>
      <c r="AA1592" s="269"/>
      <c r="AB1592" s="269"/>
      <c r="AC1592" s="269"/>
      <c r="AD1592" s="269"/>
      <c r="AE1592" s="269"/>
      <c r="AF1592" s="269"/>
      <c r="AG1592" s="269"/>
      <c r="AH1592" s="269"/>
      <c r="AI1592" s="269"/>
      <c r="AJ1592" s="269"/>
      <c r="AK1592" s="269"/>
      <c r="AL1592" s="269"/>
      <c r="AM1592" s="269"/>
    </row>
    <row r="1593" spans="1:39" ht="12.75" customHeight="1" x14ac:dyDescent="0.2">
      <c r="A1593" s="277" t="str">
        <f>IF(B1593="","",COUNT('Diário 5º PA'!$A$5:$A$2634)+COUNT('Diário 6º PA'!$A$5:$A$2246)+ROW()-4)</f>
        <v/>
      </c>
      <c r="B1593" s="278"/>
      <c r="C1593" s="335"/>
      <c r="D1593" s="255"/>
      <c r="E1593" s="255"/>
      <c r="F1593" s="258"/>
      <c r="G1593" s="450"/>
      <c r="H1593" s="255"/>
      <c r="I1593" s="250"/>
      <c r="J1593" s="255"/>
      <c r="K1593" s="255"/>
      <c r="L1593" s="250"/>
      <c r="M1593" s="277"/>
      <c r="N1593" s="277"/>
      <c r="O1593" s="329"/>
      <c r="P1593" s="330">
        <f t="shared" si="253"/>
        <v>0</v>
      </c>
      <c r="Q1593" s="330">
        <f t="shared" si="254"/>
        <v>0</v>
      </c>
      <c r="R1593" s="331" t="str">
        <f t="shared" si="255"/>
        <v/>
      </c>
      <c r="S1593" s="331" t="str">
        <f>IF(D1593="","",IF(OR(D1593=Plano!$A$1,D1593=Plano!$B$1),"entrada","saída"))</f>
        <v/>
      </c>
      <c r="T1593" s="345"/>
      <c r="U1593" s="345"/>
      <c r="V1593" s="269"/>
      <c r="W1593" s="269"/>
      <c r="X1593" s="269"/>
      <c r="Y1593" s="269"/>
      <c r="Z1593" s="269"/>
      <c r="AA1593" s="269"/>
      <c r="AB1593" s="269"/>
      <c r="AC1593" s="269"/>
      <c r="AD1593" s="269"/>
      <c r="AE1593" s="269"/>
      <c r="AF1593" s="269"/>
      <c r="AG1593" s="269"/>
      <c r="AH1593" s="269"/>
      <c r="AI1593" s="269"/>
      <c r="AJ1593" s="269"/>
      <c r="AK1593" s="269"/>
      <c r="AL1593" s="269"/>
      <c r="AM1593" s="269"/>
    </row>
    <row r="1594" spans="1:39" ht="12.75" customHeight="1" x14ac:dyDescent="0.2">
      <c r="A1594" s="277" t="str">
        <f>IF(B1594="","",COUNT('Diário 5º PA'!$A$5:$A$2634)+COUNT('Diário 6º PA'!$A$5:$A$2246)+ROW()-4)</f>
        <v/>
      </c>
      <c r="B1594" s="278"/>
      <c r="C1594" s="335"/>
      <c r="D1594" s="255"/>
      <c r="E1594" s="255"/>
      <c r="F1594" s="258"/>
      <c r="G1594" s="450"/>
      <c r="H1594" s="255"/>
      <c r="I1594" s="250"/>
      <c r="J1594" s="255"/>
      <c r="K1594" s="255"/>
      <c r="L1594" s="250"/>
      <c r="M1594" s="277"/>
      <c r="N1594" s="277"/>
      <c r="O1594" s="329"/>
      <c r="P1594" s="330">
        <f t="shared" si="253"/>
        <v>0</v>
      </c>
      <c r="Q1594" s="330">
        <f t="shared" si="254"/>
        <v>0</v>
      </c>
      <c r="R1594" s="331" t="str">
        <f t="shared" si="255"/>
        <v/>
      </c>
      <c r="S1594" s="331" t="str">
        <f>IF(D1594="","",IF(OR(D1594=Plano!$A$1,D1594=Plano!$B$1),"entrada","saída"))</f>
        <v/>
      </c>
      <c r="T1594" s="345"/>
      <c r="U1594" s="345"/>
      <c r="V1594" s="269"/>
      <c r="W1594" s="269"/>
      <c r="X1594" s="269"/>
      <c r="Y1594" s="269"/>
      <c r="Z1594" s="269"/>
      <c r="AA1594" s="269"/>
      <c r="AB1594" s="269"/>
      <c r="AC1594" s="269"/>
      <c r="AD1594" s="269"/>
      <c r="AE1594" s="269"/>
      <c r="AF1594" s="269"/>
      <c r="AG1594" s="269"/>
      <c r="AH1594" s="269"/>
      <c r="AI1594" s="269"/>
      <c r="AJ1594" s="269"/>
      <c r="AK1594" s="269"/>
      <c r="AL1594" s="269"/>
      <c r="AM1594" s="269"/>
    </row>
    <row r="1595" spans="1:39" ht="12.75" customHeight="1" x14ac:dyDescent="0.2">
      <c r="A1595" s="277" t="str">
        <f>IF(B1595="","",COUNT('Diário 5º PA'!$A$5:$A$2634)+COUNT('Diário 6º PA'!$A$5:$A$2246)+ROW()-4)</f>
        <v/>
      </c>
      <c r="B1595" s="278"/>
      <c r="C1595" s="335"/>
      <c r="D1595" s="255"/>
      <c r="E1595" s="255"/>
      <c r="F1595" s="258"/>
      <c r="G1595" s="450"/>
      <c r="H1595" s="255"/>
      <c r="I1595" s="250"/>
      <c r="J1595" s="255"/>
      <c r="K1595" s="255"/>
      <c r="L1595" s="250"/>
      <c r="M1595" s="277"/>
      <c r="N1595" s="277"/>
      <c r="O1595" s="329"/>
      <c r="P1595" s="330">
        <f t="shared" si="253"/>
        <v>0</v>
      </c>
      <c r="Q1595" s="330">
        <f t="shared" si="254"/>
        <v>0</v>
      </c>
      <c r="R1595" s="331" t="str">
        <f t="shared" si="255"/>
        <v/>
      </c>
      <c r="S1595" s="331" t="str">
        <f>IF(D1595="","",IF(OR(D1595=Plano!$A$1,D1595=Plano!$B$1),"entrada","saída"))</f>
        <v/>
      </c>
      <c r="T1595" s="345"/>
      <c r="U1595" s="345"/>
      <c r="V1595" s="269"/>
      <c r="W1595" s="269"/>
      <c r="X1595" s="269"/>
      <c r="Y1595" s="269"/>
      <c r="Z1595" s="269"/>
      <c r="AA1595" s="269"/>
      <c r="AB1595" s="269"/>
      <c r="AC1595" s="269"/>
      <c r="AD1595" s="269"/>
      <c r="AE1595" s="269"/>
      <c r="AF1595" s="269"/>
      <c r="AG1595" s="269"/>
      <c r="AH1595" s="269"/>
      <c r="AI1595" s="269"/>
      <c r="AJ1595" s="269"/>
      <c r="AK1595" s="269"/>
      <c r="AL1595" s="269"/>
      <c r="AM1595" s="269"/>
    </row>
    <row r="1596" spans="1:39" ht="12.75" customHeight="1" x14ac:dyDescent="0.2">
      <c r="A1596" s="277" t="str">
        <f>IF(B1596="","",COUNT('Diário 5º PA'!$A$5:$A$2634)+COUNT('Diário 6º PA'!$A$5:$A$2246)+ROW()-4)</f>
        <v/>
      </c>
      <c r="B1596" s="278"/>
      <c r="C1596" s="335"/>
      <c r="D1596" s="255"/>
      <c r="E1596" s="255"/>
      <c r="F1596" s="258"/>
      <c r="G1596" s="450"/>
      <c r="H1596" s="255"/>
      <c r="I1596" s="250"/>
      <c r="J1596" s="255"/>
      <c r="K1596" s="255"/>
      <c r="L1596" s="250"/>
      <c r="M1596" s="277"/>
      <c r="N1596" s="277"/>
      <c r="O1596" s="329"/>
      <c r="P1596" s="330">
        <f t="shared" si="253"/>
        <v>0</v>
      </c>
      <c r="Q1596" s="330">
        <f t="shared" si="254"/>
        <v>0</v>
      </c>
      <c r="R1596" s="331" t="str">
        <f t="shared" si="255"/>
        <v/>
      </c>
      <c r="S1596" s="331" t="str">
        <f>IF(D1596="","",IF(OR(D1596=Plano!$A$1,D1596=Plano!$B$1),"entrada","saída"))</f>
        <v/>
      </c>
      <c r="T1596" s="345"/>
      <c r="U1596" s="345"/>
      <c r="V1596" s="269"/>
      <c r="W1596" s="269"/>
      <c r="X1596" s="269"/>
      <c r="Y1596" s="269"/>
      <c r="Z1596" s="269"/>
      <c r="AA1596" s="269"/>
      <c r="AB1596" s="269"/>
      <c r="AC1596" s="269"/>
      <c r="AD1596" s="269"/>
      <c r="AE1596" s="269"/>
      <c r="AF1596" s="269"/>
      <c r="AG1596" s="269"/>
      <c r="AH1596" s="269"/>
      <c r="AI1596" s="269"/>
      <c r="AJ1596" s="269"/>
      <c r="AK1596" s="269"/>
      <c r="AL1596" s="269"/>
      <c r="AM1596" s="269"/>
    </row>
    <row r="1597" spans="1:39" ht="12.75" customHeight="1" x14ac:dyDescent="0.2">
      <c r="A1597" s="277" t="str">
        <f>IF(B1597="","",COUNT('Diário 5º PA'!$A$5:$A$2634)+COUNT('Diário 6º PA'!$A$5:$A$2246)+ROW()-4)</f>
        <v/>
      </c>
      <c r="B1597" s="278"/>
      <c r="C1597" s="335"/>
      <c r="D1597" s="255"/>
      <c r="E1597" s="255"/>
      <c r="F1597" s="258"/>
      <c r="G1597" s="450"/>
      <c r="H1597" s="255"/>
      <c r="I1597" s="250"/>
      <c r="J1597" s="255"/>
      <c r="K1597" s="255"/>
      <c r="L1597" s="250"/>
      <c r="M1597" s="277"/>
      <c r="N1597" s="277"/>
      <c r="O1597" s="329"/>
      <c r="P1597" s="330">
        <f t="shared" si="253"/>
        <v>0</v>
      </c>
      <c r="Q1597" s="330">
        <f t="shared" si="254"/>
        <v>0</v>
      </c>
      <c r="R1597" s="331" t="str">
        <f t="shared" si="255"/>
        <v/>
      </c>
      <c r="S1597" s="331" t="str">
        <f>IF(D1597="","",IF(OR(D1597=Plano!$A$1,D1597=Plano!$B$1),"entrada","saída"))</f>
        <v/>
      </c>
      <c r="T1597" s="345"/>
      <c r="U1597" s="345"/>
      <c r="V1597" s="269"/>
      <c r="W1597" s="269"/>
      <c r="X1597" s="269"/>
      <c r="Y1597" s="269"/>
      <c r="Z1597" s="269"/>
      <c r="AA1597" s="269"/>
      <c r="AB1597" s="269"/>
      <c r="AC1597" s="269"/>
      <c r="AD1597" s="269"/>
      <c r="AE1597" s="269"/>
      <c r="AF1597" s="269"/>
      <c r="AG1597" s="269"/>
      <c r="AH1597" s="269"/>
      <c r="AI1597" s="269"/>
      <c r="AJ1597" s="269"/>
      <c r="AK1597" s="269"/>
      <c r="AL1597" s="269"/>
      <c r="AM1597" s="269"/>
    </row>
    <row r="1598" spans="1:39" ht="12.75" customHeight="1" x14ac:dyDescent="0.2">
      <c r="A1598" s="277" t="str">
        <f>IF(B1598="","",COUNT('Diário 5º PA'!$A$5:$A$2634)+COUNT('Diário 6º PA'!$A$5:$A$2246)+ROW()-4)</f>
        <v/>
      </c>
      <c r="B1598" s="278"/>
      <c r="C1598" s="335"/>
      <c r="D1598" s="255"/>
      <c r="E1598" s="255"/>
      <c r="F1598" s="258"/>
      <c r="G1598" s="450"/>
      <c r="H1598" s="255"/>
      <c r="I1598" s="250"/>
      <c r="J1598" s="255"/>
      <c r="K1598" s="255"/>
      <c r="L1598" s="250"/>
      <c r="M1598" s="277"/>
      <c r="N1598" s="277"/>
      <c r="O1598" s="329"/>
      <c r="P1598" s="330">
        <f t="shared" si="253"/>
        <v>0</v>
      </c>
      <c r="Q1598" s="330">
        <f t="shared" si="254"/>
        <v>0</v>
      </c>
      <c r="R1598" s="331" t="str">
        <f t="shared" si="255"/>
        <v/>
      </c>
      <c r="S1598" s="331" t="str">
        <f>IF(D1598="","",IF(OR(D1598=Plano!$A$1,D1598=Plano!$B$1),"entrada","saída"))</f>
        <v/>
      </c>
      <c r="T1598" s="345"/>
      <c r="U1598" s="345"/>
      <c r="V1598" s="269"/>
      <c r="W1598" s="269"/>
      <c r="X1598" s="269"/>
      <c r="Y1598" s="269"/>
      <c r="Z1598" s="269"/>
      <c r="AA1598" s="269"/>
      <c r="AB1598" s="269"/>
      <c r="AC1598" s="269"/>
      <c r="AD1598" s="269"/>
      <c r="AE1598" s="269"/>
      <c r="AF1598" s="269"/>
      <c r="AG1598" s="269"/>
      <c r="AH1598" s="269"/>
      <c r="AI1598" s="269"/>
      <c r="AJ1598" s="269"/>
      <c r="AK1598" s="269"/>
      <c r="AL1598" s="269"/>
      <c r="AM1598" s="269"/>
    </row>
    <row r="1599" spans="1:39" ht="12.75" customHeight="1" x14ac:dyDescent="0.2">
      <c r="A1599" s="277" t="str">
        <f>IF(B1599="","",COUNT('Diário 5º PA'!$A$5:$A$2634)+COUNT('Diário 6º PA'!$A$5:$A$2246)+ROW()-4)</f>
        <v/>
      </c>
      <c r="B1599" s="278"/>
      <c r="C1599" s="335"/>
      <c r="D1599" s="255"/>
      <c r="E1599" s="255"/>
      <c r="F1599" s="258"/>
      <c r="G1599" s="450"/>
      <c r="H1599" s="255"/>
      <c r="I1599" s="250"/>
      <c r="J1599" s="255"/>
      <c r="K1599" s="255"/>
      <c r="L1599" s="250"/>
      <c r="M1599" s="277"/>
      <c r="N1599" s="277"/>
      <c r="O1599" s="329"/>
      <c r="P1599" s="330">
        <f t="shared" si="253"/>
        <v>0</v>
      </c>
      <c r="Q1599" s="330">
        <f t="shared" si="254"/>
        <v>0</v>
      </c>
      <c r="R1599" s="331" t="str">
        <f t="shared" si="255"/>
        <v/>
      </c>
      <c r="S1599" s="331" t="str">
        <f>IF(D1599="","",IF(OR(D1599=Plano!$A$1,D1599=Plano!$B$1),"entrada","saída"))</f>
        <v/>
      </c>
      <c r="T1599" s="345"/>
      <c r="U1599" s="345"/>
      <c r="V1599" s="269"/>
      <c r="W1599" s="269"/>
      <c r="X1599" s="269"/>
      <c r="Y1599" s="269"/>
      <c r="Z1599" s="269"/>
      <c r="AA1599" s="269"/>
      <c r="AB1599" s="269"/>
      <c r="AC1599" s="269"/>
      <c r="AD1599" s="269"/>
      <c r="AE1599" s="269"/>
      <c r="AF1599" s="269"/>
      <c r="AG1599" s="269"/>
      <c r="AH1599" s="269"/>
      <c r="AI1599" s="269"/>
      <c r="AJ1599" s="269"/>
      <c r="AK1599" s="269"/>
      <c r="AL1599" s="269"/>
      <c r="AM1599" s="269"/>
    </row>
    <row r="1600" spans="1:39" ht="12.75" customHeight="1" x14ac:dyDescent="0.2">
      <c r="A1600" s="277" t="str">
        <f>IF(B1600="","",COUNT('Diário 5º PA'!$A$5:$A$2634)+COUNT('Diário 6º PA'!$A$5:$A$2246)+ROW()-4)</f>
        <v/>
      </c>
      <c r="B1600" s="278"/>
      <c r="C1600" s="335"/>
      <c r="D1600" s="255"/>
      <c r="E1600" s="255"/>
      <c r="F1600" s="258"/>
      <c r="G1600" s="450"/>
      <c r="H1600" s="255"/>
      <c r="I1600" s="250"/>
      <c r="J1600" s="255"/>
      <c r="K1600" s="255"/>
      <c r="L1600" s="250"/>
      <c r="M1600" s="277"/>
      <c r="N1600" s="277"/>
      <c r="O1600" s="329"/>
      <c r="P1600" s="330">
        <f t="shared" si="253"/>
        <v>0</v>
      </c>
      <c r="Q1600" s="330">
        <f t="shared" si="254"/>
        <v>0</v>
      </c>
      <c r="R1600" s="331" t="str">
        <f t="shared" si="255"/>
        <v/>
      </c>
      <c r="S1600" s="331" t="str">
        <f>IF(D1600="","",IF(OR(D1600=Plano!$A$1,D1600=Plano!$B$1),"entrada","saída"))</f>
        <v/>
      </c>
      <c r="T1600" s="345"/>
      <c r="U1600" s="345"/>
      <c r="V1600" s="269"/>
      <c r="W1600" s="269"/>
      <c r="X1600" s="269"/>
      <c r="Y1600" s="269"/>
      <c r="Z1600" s="269"/>
      <c r="AA1600" s="269"/>
      <c r="AB1600" s="269"/>
      <c r="AC1600" s="269"/>
      <c r="AD1600" s="269"/>
      <c r="AE1600" s="269"/>
      <c r="AF1600" s="269"/>
      <c r="AG1600" s="269"/>
      <c r="AH1600" s="269"/>
      <c r="AI1600" s="269"/>
      <c r="AJ1600" s="269"/>
      <c r="AK1600" s="269"/>
      <c r="AL1600" s="269"/>
      <c r="AM1600" s="269"/>
    </row>
    <row r="1601" spans="1:39" ht="12.75" customHeight="1" x14ac:dyDescent="0.2">
      <c r="A1601" s="277" t="str">
        <f>IF(B1601="","",COUNT('Diário 5º PA'!$A$5:$A$2634)+COUNT('Diário 6º PA'!$A$5:$A$2246)+ROW()-4)</f>
        <v/>
      </c>
      <c r="B1601" s="278"/>
      <c r="C1601" s="335"/>
      <c r="D1601" s="255"/>
      <c r="E1601" s="255"/>
      <c r="F1601" s="258"/>
      <c r="G1601" s="450"/>
      <c r="H1601" s="255"/>
      <c r="I1601" s="250"/>
      <c r="J1601" s="255"/>
      <c r="K1601" s="255"/>
      <c r="L1601" s="250"/>
      <c r="M1601" s="277"/>
      <c r="N1601" s="277"/>
      <c r="O1601" s="329"/>
      <c r="P1601" s="330">
        <f t="shared" si="253"/>
        <v>0</v>
      </c>
      <c r="Q1601" s="330">
        <f t="shared" si="254"/>
        <v>0</v>
      </c>
      <c r="R1601" s="331" t="str">
        <f t="shared" si="255"/>
        <v/>
      </c>
      <c r="S1601" s="331" t="str">
        <f>IF(D1601="","",IF(OR(D1601=Plano!$A$1,D1601=Plano!$B$1),"entrada","saída"))</f>
        <v/>
      </c>
      <c r="T1601" s="345"/>
      <c r="U1601" s="345"/>
      <c r="V1601" s="269"/>
      <c r="W1601" s="269"/>
      <c r="X1601" s="269"/>
      <c r="Y1601" s="269"/>
      <c r="Z1601" s="269"/>
      <c r="AA1601" s="269"/>
      <c r="AB1601" s="269"/>
      <c r="AC1601" s="269"/>
      <c r="AD1601" s="269"/>
      <c r="AE1601" s="269"/>
      <c r="AF1601" s="269"/>
      <c r="AG1601" s="269"/>
      <c r="AH1601" s="269"/>
      <c r="AI1601" s="269"/>
      <c r="AJ1601" s="269"/>
      <c r="AK1601" s="269"/>
      <c r="AL1601" s="269"/>
      <c r="AM1601" s="269"/>
    </row>
    <row r="1602" spans="1:39" ht="12.75" customHeight="1" x14ac:dyDescent="0.2">
      <c r="A1602" s="277" t="str">
        <f>IF(B1602="","",COUNT('Diário 5º PA'!$A$5:$A$2634)+COUNT('Diário 6º PA'!$A$5:$A$2246)+ROW()-4)</f>
        <v/>
      </c>
      <c r="B1602" s="278"/>
      <c r="C1602" s="335"/>
      <c r="D1602" s="255"/>
      <c r="E1602" s="255"/>
      <c r="F1602" s="258"/>
      <c r="G1602" s="450"/>
      <c r="H1602" s="255"/>
      <c r="I1602" s="250"/>
      <c r="J1602" s="255"/>
      <c r="K1602" s="255"/>
      <c r="L1602" s="250"/>
      <c r="M1602" s="277"/>
      <c r="N1602" s="277"/>
      <c r="O1602" s="329"/>
      <c r="P1602" s="330">
        <f t="shared" si="253"/>
        <v>0</v>
      </c>
      <c r="Q1602" s="330">
        <f t="shared" si="254"/>
        <v>0</v>
      </c>
      <c r="R1602" s="331" t="str">
        <f t="shared" si="255"/>
        <v/>
      </c>
      <c r="S1602" s="331" t="str">
        <f>IF(D1602="","",IF(OR(D1602=Plano!$A$1,D1602=Plano!$B$1),"entrada","saída"))</f>
        <v/>
      </c>
      <c r="T1602" s="345"/>
      <c r="U1602" s="345"/>
      <c r="V1602" s="269"/>
      <c r="W1602" s="269"/>
      <c r="X1602" s="269"/>
      <c r="Y1602" s="269"/>
      <c r="Z1602" s="269"/>
      <c r="AA1602" s="269"/>
      <c r="AB1602" s="269"/>
      <c r="AC1602" s="269"/>
      <c r="AD1602" s="269"/>
      <c r="AE1602" s="269"/>
      <c r="AF1602" s="269"/>
      <c r="AG1602" s="269"/>
      <c r="AH1602" s="269"/>
      <c r="AI1602" s="269"/>
      <c r="AJ1602" s="269"/>
      <c r="AK1602" s="269"/>
      <c r="AL1602" s="269"/>
      <c r="AM1602" s="269"/>
    </row>
    <row r="1603" spans="1:39" ht="12.75" customHeight="1" x14ac:dyDescent="0.2">
      <c r="A1603" s="277" t="str">
        <f>IF(B1603="","",COUNT('Diário 5º PA'!$A$5:$A$2634)+COUNT('Diário 6º PA'!$A$5:$A$2246)+ROW()-4)</f>
        <v/>
      </c>
      <c r="B1603" s="278"/>
      <c r="C1603" s="335"/>
      <c r="D1603" s="255"/>
      <c r="E1603" s="255"/>
      <c r="F1603" s="258"/>
      <c r="G1603" s="450"/>
      <c r="H1603" s="255"/>
      <c r="I1603" s="250"/>
      <c r="J1603" s="255"/>
      <c r="K1603" s="255"/>
      <c r="L1603" s="250"/>
      <c r="M1603" s="277"/>
      <c r="N1603" s="277"/>
      <c r="O1603" s="329"/>
      <c r="P1603" s="330">
        <f t="shared" si="253"/>
        <v>0</v>
      </c>
      <c r="Q1603" s="330">
        <f t="shared" si="254"/>
        <v>0</v>
      </c>
      <c r="R1603" s="331" t="str">
        <f t="shared" si="255"/>
        <v/>
      </c>
      <c r="S1603" s="331" t="str">
        <f>IF(D1603="","",IF(OR(D1603=Plano!$A$1,D1603=Plano!$B$1),"entrada","saída"))</f>
        <v/>
      </c>
      <c r="T1603" s="345"/>
      <c r="U1603" s="345"/>
      <c r="V1603" s="269"/>
      <c r="W1603" s="269"/>
      <c r="X1603" s="269"/>
      <c r="Y1603" s="269"/>
      <c r="Z1603" s="269"/>
      <c r="AA1603" s="269"/>
      <c r="AB1603" s="269"/>
      <c r="AC1603" s="269"/>
      <c r="AD1603" s="269"/>
      <c r="AE1603" s="269"/>
      <c r="AF1603" s="269"/>
      <c r="AG1603" s="269"/>
      <c r="AH1603" s="269"/>
      <c r="AI1603" s="269"/>
      <c r="AJ1603" s="269"/>
      <c r="AK1603" s="269"/>
      <c r="AL1603" s="269"/>
      <c r="AM1603" s="269"/>
    </row>
    <row r="1604" spans="1:39" ht="12.75" customHeight="1" x14ac:dyDescent="0.2">
      <c r="A1604" s="277" t="str">
        <f>IF(B1604="","",COUNT('Diário 5º PA'!$A$5:$A$2634)+COUNT('Diário 6º PA'!$A$5:$A$2246)+ROW()-4)</f>
        <v/>
      </c>
      <c r="B1604" s="278"/>
      <c r="C1604" s="335"/>
      <c r="D1604" s="255"/>
      <c r="E1604" s="255"/>
      <c r="F1604" s="258"/>
      <c r="G1604" s="450"/>
      <c r="H1604" s="255"/>
      <c r="I1604" s="250"/>
      <c r="J1604" s="255"/>
      <c r="K1604" s="255"/>
      <c r="L1604" s="250"/>
      <c r="M1604" s="277"/>
      <c r="N1604" s="277"/>
      <c r="O1604" s="329"/>
      <c r="P1604" s="330">
        <f t="shared" si="253"/>
        <v>0</v>
      </c>
      <c r="Q1604" s="330">
        <f t="shared" si="254"/>
        <v>0</v>
      </c>
      <c r="R1604" s="331" t="str">
        <f t="shared" si="255"/>
        <v/>
      </c>
      <c r="S1604" s="331" t="str">
        <f>IF(D1604="","",IF(OR(D1604=Plano!$A$1,D1604=Plano!$B$1),"entrada","saída"))</f>
        <v/>
      </c>
      <c r="T1604" s="345"/>
      <c r="U1604" s="345"/>
      <c r="V1604" s="269"/>
      <c r="W1604" s="269"/>
      <c r="X1604" s="269"/>
      <c r="Y1604" s="269"/>
      <c r="Z1604" s="269"/>
      <c r="AA1604" s="269"/>
      <c r="AB1604" s="269"/>
      <c r="AC1604" s="269"/>
      <c r="AD1604" s="269"/>
      <c r="AE1604" s="269"/>
      <c r="AF1604" s="269"/>
      <c r="AG1604" s="269"/>
      <c r="AH1604" s="269"/>
      <c r="AI1604" s="269"/>
      <c r="AJ1604" s="269"/>
      <c r="AK1604" s="269"/>
      <c r="AL1604" s="269"/>
      <c r="AM1604" s="269"/>
    </row>
    <row r="1605" spans="1:39" ht="12.75" customHeight="1" x14ac:dyDescent="0.2">
      <c r="A1605" s="277" t="str">
        <f>IF(B1605="","",COUNT('Diário 5º PA'!$A$5:$A$2634)+COUNT('Diário 6º PA'!$A$5:$A$2246)+ROW()-4)</f>
        <v/>
      </c>
      <c r="B1605" s="278"/>
      <c r="C1605" s="335"/>
      <c r="D1605" s="255"/>
      <c r="E1605" s="255"/>
      <c r="F1605" s="258"/>
      <c r="G1605" s="450"/>
      <c r="H1605" s="255"/>
      <c r="I1605" s="250"/>
      <c r="J1605" s="255"/>
      <c r="K1605" s="255"/>
      <c r="L1605" s="250"/>
      <c r="M1605" s="277"/>
      <c r="N1605" s="277"/>
      <c r="O1605" s="329"/>
      <c r="P1605" s="330">
        <f t="shared" si="253"/>
        <v>0</v>
      </c>
      <c r="Q1605" s="330">
        <f t="shared" si="254"/>
        <v>0</v>
      </c>
      <c r="R1605" s="331" t="str">
        <f t="shared" si="255"/>
        <v/>
      </c>
      <c r="S1605" s="331" t="str">
        <f>IF(D1605="","",IF(OR(D1605=Plano!$A$1,D1605=Plano!$B$1),"entrada","saída"))</f>
        <v/>
      </c>
      <c r="T1605" s="345"/>
      <c r="U1605" s="345"/>
      <c r="V1605" s="269"/>
      <c r="W1605" s="269"/>
      <c r="X1605" s="269"/>
      <c r="Y1605" s="269"/>
      <c r="Z1605" s="269"/>
      <c r="AA1605" s="269"/>
      <c r="AB1605" s="269"/>
      <c r="AC1605" s="269"/>
      <c r="AD1605" s="269"/>
      <c r="AE1605" s="269"/>
      <c r="AF1605" s="269"/>
      <c r="AG1605" s="269"/>
      <c r="AH1605" s="269"/>
      <c r="AI1605" s="269"/>
      <c r="AJ1605" s="269"/>
      <c r="AK1605" s="269"/>
      <c r="AL1605" s="269"/>
      <c r="AM1605" s="269"/>
    </row>
    <row r="1606" spans="1:39" ht="12.75" customHeight="1" x14ac:dyDescent="0.2">
      <c r="A1606" s="277" t="str">
        <f>IF(B1606="","",COUNT('Diário 5º PA'!$A$5:$A$2634)+COUNT('Diário 6º PA'!$A$5:$A$2246)+ROW()-4)</f>
        <v/>
      </c>
      <c r="B1606" s="278"/>
      <c r="C1606" s="335"/>
      <c r="D1606" s="255"/>
      <c r="E1606" s="255"/>
      <c r="F1606" s="258"/>
      <c r="G1606" s="450"/>
      <c r="H1606" s="255"/>
      <c r="I1606" s="250"/>
      <c r="J1606" s="255"/>
      <c r="K1606" s="255"/>
      <c r="L1606" s="250"/>
      <c r="M1606" s="277"/>
      <c r="N1606" s="277"/>
      <c r="O1606" s="329"/>
      <c r="P1606" s="330">
        <f t="shared" si="253"/>
        <v>0</v>
      </c>
      <c r="Q1606" s="330">
        <f t="shared" si="254"/>
        <v>0</v>
      </c>
      <c r="R1606" s="331" t="str">
        <f t="shared" si="255"/>
        <v/>
      </c>
      <c r="S1606" s="331" t="str">
        <f>IF(D1606="","",IF(OR(D1606=Plano!$A$1,D1606=Plano!$B$1),"entrada","saída"))</f>
        <v/>
      </c>
      <c r="T1606" s="345"/>
      <c r="U1606" s="345"/>
      <c r="V1606" s="269"/>
      <c r="W1606" s="269"/>
      <c r="X1606" s="269"/>
      <c r="Y1606" s="269"/>
      <c r="Z1606" s="269"/>
      <c r="AA1606" s="269"/>
      <c r="AB1606" s="269"/>
      <c r="AC1606" s="269"/>
      <c r="AD1606" s="269"/>
      <c r="AE1606" s="269"/>
      <c r="AF1606" s="269"/>
      <c r="AG1606" s="269"/>
      <c r="AH1606" s="269"/>
      <c r="AI1606" s="269"/>
      <c r="AJ1606" s="269"/>
      <c r="AK1606" s="269"/>
      <c r="AL1606" s="269"/>
      <c r="AM1606" s="269"/>
    </row>
    <row r="1607" spans="1:39" ht="12.75" customHeight="1" x14ac:dyDescent="0.2">
      <c r="A1607" s="277" t="str">
        <f>IF(B1607="","",COUNT('Diário 5º PA'!$A$5:$A$2634)+COUNT('Diário 6º PA'!$A$5:$A$2246)+ROW()-4)</f>
        <v/>
      </c>
      <c r="B1607" s="278"/>
      <c r="C1607" s="335"/>
      <c r="D1607" s="255"/>
      <c r="E1607" s="255"/>
      <c r="F1607" s="258"/>
      <c r="G1607" s="450"/>
      <c r="H1607" s="255"/>
      <c r="I1607" s="250"/>
      <c r="J1607" s="255"/>
      <c r="K1607" s="255"/>
      <c r="L1607" s="250"/>
      <c r="M1607" s="277"/>
      <c r="N1607" s="277"/>
      <c r="O1607" s="329"/>
      <c r="P1607" s="330">
        <f t="shared" si="253"/>
        <v>0</v>
      </c>
      <c r="Q1607" s="330">
        <f t="shared" si="254"/>
        <v>0</v>
      </c>
      <c r="R1607" s="331" t="str">
        <f t="shared" si="255"/>
        <v/>
      </c>
      <c r="S1607" s="331" t="str">
        <f>IF(D1607="","",IF(OR(D1607=Plano!$A$1,D1607=Plano!$B$1),"entrada","saída"))</f>
        <v/>
      </c>
      <c r="T1607" s="345"/>
      <c r="U1607" s="345"/>
      <c r="V1607" s="269"/>
      <c r="W1607" s="269"/>
      <c r="X1607" s="269"/>
      <c r="Y1607" s="269"/>
      <c r="Z1607" s="269"/>
      <c r="AA1607" s="269"/>
      <c r="AB1607" s="269"/>
      <c r="AC1607" s="269"/>
      <c r="AD1607" s="269"/>
      <c r="AE1607" s="269"/>
      <c r="AF1607" s="269"/>
      <c r="AG1607" s="269"/>
      <c r="AH1607" s="269"/>
      <c r="AI1607" s="269"/>
      <c r="AJ1607" s="269"/>
      <c r="AK1607" s="269"/>
      <c r="AL1607" s="269"/>
      <c r="AM1607" s="269"/>
    </row>
    <row r="1608" spans="1:39" ht="12.75" customHeight="1" x14ac:dyDescent="0.2">
      <c r="A1608" s="277" t="str">
        <f>IF(B1608="","",COUNT('Diário 5º PA'!$A$5:$A$2634)+COUNT('Diário 6º PA'!$A$5:$A$2246)+ROW()-4)</f>
        <v/>
      </c>
      <c r="B1608" s="278"/>
      <c r="C1608" s="335"/>
      <c r="D1608" s="255"/>
      <c r="E1608" s="255"/>
      <c r="F1608" s="258"/>
      <c r="G1608" s="450"/>
      <c r="H1608" s="255"/>
      <c r="I1608" s="250"/>
      <c r="J1608" s="255"/>
      <c r="K1608" s="255"/>
      <c r="L1608" s="250"/>
      <c r="M1608" s="277"/>
      <c r="N1608" s="277"/>
      <c r="O1608" s="329"/>
      <c r="P1608" s="330">
        <f t="shared" si="253"/>
        <v>0</v>
      </c>
      <c r="Q1608" s="330">
        <f t="shared" si="254"/>
        <v>0</v>
      </c>
      <c r="R1608" s="331" t="str">
        <f t="shared" si="255"/>
        <v/>
      </c>
      <c r="S1608" s="331" t="str">
        <f>IF(D1608="","",IF(OR(D1608=Plano!$A$1,D1608=Plano!$B$1),"entrada","saída"))</f>
        <v/>
      </c>
      <c r="T1608" s="345"/>
      <c r="U1608" s="345"/>
      <c r="V1608" s="269"/>
      <c r="W1608" s="269"/>
      <c r="X1608" s="269"/>
      <c r="Y1608" s="269"/>
      <c r="Z1608" s="269"/>
      <c r="AA1608" s="269"/>
      <c r="AB1608" s="269"/>
      <c r="AC1608" s="269"/>
      <c r="AD1608" s="269"/>
      <c r="AE1608" s="269"/>
      <c r="AF1608" s="269"/>
      <c r="AG1608" s="269"/>
      <c r="AH1608" s="269"/>
      <c r="AI1608" s="269"/>
      <c r="AJ1608" s="269"/>
      <c r="AK1608" s="269"/>
      <c r="AL1608" s="269"/>
      <c r="AM1608" s="269"/>
    </row>
    <row r="1609" spans="1:39" ht="12.75" customHeight="1" x14ac:dyDescent="0.2">
      <c r="A1609" s="277" t="str">
        <f>IF(B1609="","",COUNT('Diário 5º PA'!$A$5:$A$2634)+COUNT('Diário 6º PA'!$A$5:$A$2246)+ROW()-4)</f>
        <v/>
      </c>
      <c r="B1609" s="278"/>
      <c r="C1609" s="335"/>
      <c r="D1609" s="255"/>
      <c r="E1609" s="255"/>
      <c r="F1609" s="258"/>
      <c r="G1609" s="450"/>
      <c r="H1609" s="255"/>
      <c r="I1609" s="250"/>
      <c r="J1609" s="255"/>
      <c r="K1609" s="255"/>
      <c r="L1609" s="250"/>
      <c r="M1609" s="277"/>
      <c r="N1609" s="277"/>
      <c r="O1609" s="329"/>
      <c r="P1609" s="330">
        <f t="shared" si="253"/>
        <v>0</v>
      </c>
      <c r="Q1609" s="330">
        <f t="shared" si="254"/>
        <v>0</v>
      </c>
      <c r="R1609" s="331" t="str">
        <f t="shared" si="255"/>
        <v/>
      </c>
      <c r="S1609" s="331" t="str">
        <f>IF(D1609="","",IF(OR(D1609=Plano!$A$1,D1609=Plano!$B$1),"entrada","saída"))</f>
        <v/>
      </c>
      <c r="T1609" s="345"/>
      <c r="U1609" s="345"/>
      <c r="V1609" s="269"/>
      <c r="W1609" s="269"/>
      <c r="X1609" s="269"/>
      <c r="Y1609" s="269"/>
      <c r="Z1609" s="269"/>
      <c r="AA1609" s="269"/>
      <c r="AB1609" s="269"/>
      <c r="AC1609" s="269"/>
      <c r="AD1609" s="269"/>
      <c r="AE1609" s="269"/>
      <c r="AF1609" s="269"/>
      <c r="AG1609" s="269"/>
      <c r="AH1609" s="269"/>
      <c r="AI1609" s="269"/>
      <c r="AJ1609" s="269"/>
      <c r="AK1609" s="269"/>
      <c r="AL1609" s="269"/>
      <c r="AM1609" s="269"/>
    </row>
    <row r="1610" spans="1:39" ht="12.75" customHeight="1" x14ac:dyDescent="0.2">
      <c r="A1610" s="277" t="str">
        <f>IF(B1610="","",COUNT('Diário 5º PA'!$A$5:$A$2634)+COUNT('Diário 6º PA'!$A$5:$A$2246)+ROW()-4)</f>
        <v/>
      </c>
      <c r="B1610" s="278"/>
      <c r="C1610" s="335"/>
      <c r="D1610" s="255"/>
      <c r="E1610" s="255"/>
      <c r="F1610" s="258"/>
      <c r="G1610" s="450"/>
      <c r="H1610" s="255"/>
      <c r="I1610" s="250"/>
      <c r="J1610" s="255"/>
      <c r="K1610" s="255"/>
      <c r="L1610" s="250"/>
      <c r="M1610" s="277"/>
      <c r="N1610" s="277"/>
      <c r="O1610" s="329"/>
      <c r="P1610" s="330">
        <f t="shared" si="253"/>
        <v>0</v>
      </c>
      <c r="Q1610" s="330">
        <f t="shared" si="254"/>
        <v>0</v>
      </c>
      <c r="R1610" s="331" t="str">
        <f t="shared" si="255"/>
        <v/>
      </c>
      <c r="S1610" s="331" t="str">
        <f>IF(D1610="","",IF(OR(D1610=Plano!$A$1,D1610=Plano!$B$1),"entrada","saída"))</f>
        <v/>
      </c>
      <c r="T1610" s="345"/>
      <c r="U1610" s="345"/>
      <c r="V1610" s="269"/>
      <c r="W1610" s="269"/>
      <c r="X1610" s="269"/>
      <c r="Y1610" s="269"/>
      <c r="Z1610" s="269"/>
      <c r="AA1610" s="269"/>
      <c r="AB1610" s="269"/>
      <c r="AC1610" s="269"/>
      <c r="AD1610" s="269"/>
      <c r="AE1610" s="269"/>
      <c r="AF1610" s="269"/>
      <c r="AG1610" s="269"/>
      <c r="AH1610" s="269"/>
      <c r="AI1610" s="269"/>
      <c r="AJ1610" s="269"/>
      <c r="AK1610" s="269"/>
      <c r="AL1610" s="269"/>
      <c r="AM1610" s="269"/>
    </row>
    <row r="1611" spans="1:39" ht="12.75" customHeight="1" x14ac:dyDescent="0.2">
      <c r="A1611" s="277" t="str">
        <f>IF(B1611="","",COUNT('Diário 5º PA'!$A$5:$A$2634)+COUNT('Diário 6º PA'!$A$5:$A$2246)+ROW()-4)</f>
        <v/>
      </c>
      <c r="B1611" s="278"/>
      <c r="C1611" s="335"/>
      <c r="D1611" s="255"/>
      <c r="E1611" s="255"/>
      <c r="F1611" s="258"/>
      <c r="G1611" s="450"/>
      <c r="H1611" s="255"/>
      <c r="I1611" s="250"/>
      <c r="J1611" s="255"/>
      <c r="K1611" s="255"/>
      <c r="L1611" s="250"/>
      <c r="M1611" s="277"/>
      <c r="N1611" s="277"/>
      <c r="O1611" s="329"/>
      <c r="P1611" s="330">
        <f t="shared" si="253"/>
        <v>0</v>
      </c>
      <c r="Q1611" s="330">
        <f t="shared" si="254"/>
        <v>0</v>
      </c>
      <c r="R1611" s="331" t="str">
        <f t="shared" si="255"/>
        <v/>
      </c>
      <c r="S1611" s="331" t="str">
        <f>IF(D1611="","",IF(OR(D1611=Plano!$A$1,D1611=Plano!$B$1),"entrada","saída"))</f>
        <v/>
      </c>
      <c r="T1611" s="345"/>
      <c r="U1611" s="345"/>
      <c r="V1611" s="269"/>
      <c r="W1611" s="269"/>
      <c r="X1611" s="269"/>
      <c r="Y1611" s="269"/>
      <c r="Z1611" s="269"/>
      <c r="AA1611" s="269"/>
      <c r="AB1611" s="269"/>
      <c r="AC1611" s="269"/>
      <c r="AD1611" s="269"/>
      <c r="AE1611" s="269"/>
      <c r="AF1611" s="269"/>
      <c r="AG1611" s="269"/>
      <c r="AH1611" s="269"/>
      <c r="AI1611" s="269"/>
      <c r="AJ1611" s="269"/>
      <c r="AK1611" s="269"/>
      <c r="AL1611" s="269"/>
      <c r="AM1611" s="269"/>
    </row>
    <row r="1612" spans="1:39" ht="12.75" customHeight="1" x14ac:dyDescent="0.2">
      <c r="A1612" s="277" t="str">
        <f>IF(B1612="","",COUNT('Diário 5º PA'!$A$5:$A$2634)+COUNT('Diário 6º PA'!$A$5:$A$2246)+ROW()-4)</f>
        <v/>
      </c>
      <c r="B1612" s="278"/>
      <c r="C1612" s="335"/>
      <c r="D1612" s="255"/>
      <c r="E1612" s="255"/>
      <c r="F1612" s="258"/>
      <c r="G1612" s="450"/>
      <c r="H1612" s="255"/>
      <c r="I1612" s="250"/>
      <c r="J1612" s="255"/>
      <c r="K1612" s="255"/>
      <c r="L1612" s="250"/>
      <c r="M1612" s="277"/>
      <c r="N1612" s="277"/>
      <c r="O1612" s="329"/>
      <c r="P1612" s="330">
        <f t="shared" si="253"/>
        <v>0</v>
      </c>
      <c r="Q1612" s="330">
        <f t="shared" si="254"/>
        <v>0</v>
      </c>
      <c r="R1612" s="331" t="str">
        <f t="shared" si="255"/>
        <v/>
      </c>
      <c r="S1612" s="331" t="str">
        <f>IF(D1612="","",IF(OR(D1612=Plano!$A$1,D1612=Plano!$B$1),"entrada","saída"))</f>
        <v/>
      </c>
      <c r="T1612" s="345"/>
      <c r="U1612" s="345"/>
      <c r="V1612" s="269"/>
      <c r="W1612" s="269"/>
      <c r="X1612" s="269"/>
      <c r="Y1612" s="269"/>
      <c r="Z1612" s="269"/>
      <c r="AA1612" s="269"/>
      <c r="AB1612" s="269"/>
      <c r="AC1612" s="269"/>
      <c r="AD1612" s="269"/>
      <c r="AE1612" s="269"/>
      <c r="AF1612" s="269"/>
      <c r="AG1612" s="269"/>
      <c r="AH1612" s="269"/>
      <c r="AI1612" s="269"/>
      <c r="AJ1612" s="269"/>
      <c r="AK1612" s="269"/>
      <c r="AL1612" s="269"/>
      <c r="AM1612" s="269"/>
    </row>
    <row r="1613" spans="1:39" ht="12.75" customHeight="1" x14ac:dyDescent="0.2">
      <c r="A1613" s="277" t="str">
        <f>IF(B1613="","",COUNT('Diário 5º PA'!$A$5:$A$2634)+COUNT('Diário 6º PA'!$A$5:$A$2246)+ROW()-4)</f>
        <v/>
      </c>
      <c r="B1613" s="278"/>
      <c r="C1613" s="335"/>
      <c r="D1613" s="255"/>
      <c r="E1613" s="255"/>
      <c r="F1613" s="258"/>
      <c r="G1613" s="450"/>
      <c r="H1613" s="255"/>
      <c r="I1613" s="250"/>
      <c r="J1613" s="255"/>
      <c r="K1613" s="255"/>
      <c r="L1613" s="250"/>
      <c r="M1613" s="277"/>
      <c r="N1613" s="277"/>
      <c r="O1613" s="329"/>
      <c r="P1613" s="330">
        <f t="shared" si="253"/>
        <v>0</v>
      </c>
      <c r="Q1613" s="330">
        <f t="shared" si="254"/>
        <v>0</v>
      </c>
      <c r="R1613" s="331" t="str">
        <f t="shared" si="255"/>
        <v/>
      </c>
      <c r="S1613" s="331" t="str">
        <f>IF(D1613="","",IF(OR(D1613=Plano!$A$1,D1613=Plano!$B$1),"entrada","saída"))</f>
        <v/>
      </c>
      <c r="T1613" s="345"/>
      <c r="U1613" s="345"/>
      <c r="V1613" s="269"/>
      <c r="W1613" s="269"/>
      <c r="X1613" s="269"/>
      <c r="Y1613" s="269"/>
      <c r="Z1613" s="269"/>
      <c r="AA1613" s="269"/>
      <c r="AB1613" s="269"/>
      <c r="AC1613" s="269"/>
      <c r="AD1613" s="269"/>
      <c r="AE1613" s="269"/>
      <c r="AF1613" s="269"/>
      <c r="AG1613" s="269"/>
      <c r="AH1613" s="269"/>
      <c r="AI1613" s="269"/>
      <c r="AJ1613" s="269"/>
      <c r="AK1613" s="269"/>
      <c r="AL1613" s="269"/>
      <c r="AM1613" s="269"/>
    </row>
    <row r="1614" spans="1:39" ht="12.75" customHeight="1" x14ac:dyDescent="0.2">
      <c r="A1614" s="277" t="str">
        <f>IF(B1614="","",COUNT('Diário 5º PA'!$A$5:$A$2634)+COUNT('Diário 6º PA'!$A$5:$A$2246)+ROW()-4)</f>
        <v/>
      </c>
      <c r="B1614" s="278"/>
      <c r="C1614" s="335"/>
      <c r="D1614" s="255"/>
      <c r="E1614" s="255"/>
      <c r="F1614" s="258"/>
      <c r="G1614" s="450"/>
      <c r="H1614" s="255"/>
      <c r="I1614" s="250"/>
      <c r="J1614" s="255"/>
      <c r="K1614" s="255"/>
      <c r="L1614" s="250"/>
      <c r="M1614" s="277"/>
      <c r="N1614" s="277"/>
      <c r="O1614" s="329"/>
      <c r="P1614" s="330">
        <f t="shared" si="253"/>
        <v>0</v>
      </c>
      <c r="Q1614" s="330">
        <f t="shared" si="254"/>
        <v>0</v>
      </c>
      <c r="R1614" s="331" t="str">
        <f t="shared" si="255"/>
        <v/>
      </c>
      <c r="S1614" s="331" t="str">
        <f>IF(D1614="","",IF(OR(D1614=Plano!$A$1,D1614=Plano!$B$1),"entrada","saída"))</f>
        <v/>
      </c>
      <c r="T1614" s="345"/>
      <c r="U1614" s="345"/>
      <c r="V1614" s="269"/>
      <c r="W1614" s="269"/>
      <c r="X1614" s="269"/>
      <c r="Y1614" s="269"/>
      <c r="Z1614" s="269"/>
      <c r="AA1614" s="269"/>
      <c r="AB1614" s="269"/>
      <c r="AC1614" s="269"/>
      <c r="AD1614" s="269"/>
      <c r="AE1614" s="269"/>
      <c r="AF1614" s="269"/>
      <c r="AG1614" s="269"/>
      <c r="AH1614" s="269"/>
      <c r="AI1614" s="269"/>
      <c r="AJ1614" s="269"/>
      <c r="AK1614" s="269"/>
      <c r="AL1614" s="269"/>
      <c r="AM1614" s="269"/>
    </row>
    <row r="1615" spans="1:39" ht="12.75" customHeight="1" x14ac:dyDescent="0.2">
      <c r="A1615" s="277" t="str">
        <f>IF(B1615="","",COUNT('Diário 5º PA'!$A$5:$A$2634)+COUNT('Diário 6º PA'!$A$5:$A$2246)+ROW()-4)</f>
        <v/>
      </c>
      <c r="B1615" s="278"/>
      <c r="C1615" s="335"/>
      <c r="D1615" s="255"/>
      <c r="E1615" s="255"/>
      <c r="F1615" s="258"/>
      <c r="G1615" s="450"/>
      <c r="H1615" s="255"/>
      <c r="I1615" s="250"/>
      <c r="J1615" s="255"/>
      <c r="K1615" s="255"/>
      <c r="L1615" s="250"/>
      <c r="M1615" s="277"/>
      <c r="N1615" s="277"/>
      <c r="O1615" s="329"/>
      <c r="P1615" s="330">
        <f t="shared" si="253"/>
        <v>0</v>
      </c>
      <c r="Q1615" s="330">
        <f t="shared" si="254"/>
        <v>0</v>
      </c>
      <c r="R1615" s="331" t="str">
        <f t="shared" si="255"/>
        <v/>
      </c>
      <c r="S1615" s="331" t="str">
        <f>IF(D1615="","",IF(OR(D1615=Plano!$A$1,D1615=Plano!$B$1),"entrada","saída"))</f>
        <v/>
      </c>
      <c r="T1615" s="345"/>
      <c r="U1615" s="345"/>
      <c r="V1615" s="269"/>
      <c r="W1615" s="269"/>
      <c r="X1615" s="269"/>
      <c r="Y1615" s="269"/>
      <c r="Z1615" s="269"/>
      <c r="AA1615" s="269"/>
      <c r="AB1615" s="269"/>
      <c r="AC1615" s="269"/>
      <c r="AD1615" s="269"/>
      <c r="AE1615" s="269"/>
      <c r="AF1615" s="269"/>
      <c r="AG1615" s="269"/>
      <c r="AH1615" s="269"/>
      <c r="AI1615" s="269"/>
      <c r="AJ1615" s="269"/>
      <c r="AK1615" s="269"/>
      <c r="AL1615" s="269"/>
      <c r="AM1615" s="269"/>
    </row>
    <row r="1616" spans="1:39" ht="12.75" customHeight="1" x14ac:dyDescent="0.2">
      <c r="A1616" s="277" t="str">
        <f>IF(B1616="","",COUNT('Diário 5º PA'!$A$5:$A$2634)+COUNT('Diário 6º PA'!$A$5:$A$2246)+ROW()-4)</f>
        <v/>
      </c>
      <c r="B1616" s="278"/>
      <c r="C1616" s="335"/>
      <c r="D1616" s="255"/>
      <c r="E1616" s="255"/>
      <c r="F1616" s="258"/>
      <c r="G1616" s="450"/>
      <c r="H1616" s="255"/>
      <c r="I1616" s="250"/>
      <c r="J1616" s="255"/>
      <c r="K1616" s="255"/>
      <c r="L1616" s="250"/>
      <c r="M1616" s="277"/>
      <c r="N1616" s="277"/>
      <c r="O1616" s="329"/>
      <c r="P1616" s="330">
        <f t="shared" si="253"/>
        <v>0</v>
      </c>
      <c r="Q1616" s="330">
        <f t="shared" si="254"/>
        <v>0</v>
      </c>
      <c r="R1616" s="331" t="str">
        <f t="shared" si="255"/>
        <v/>
      </c>
      <c r="S1616" s="331" t="str">
        <f>IF(D1616="","",IF(OR(D1616=Plano!$A$1,D1616=Plano!$B$1),"entrada","saída"))</f>
        <v/>
      </c>
      <c r="T1616" s="345"/>
      <c r="U1616" s="345"/>
      <c r="V1616" s="269"/>
      <c r="W1616" s="269"/>
      <c r="X1616" s="269"/>
      <c r="Y1616" s="269"/>
      <c r="Z1616" s="269"/>
      <c r="AA1616" s="269"/>
      <c r="AB1616" s="269"/>
      <c r="AC1616" s="269"/>
      <c r="AD1616" s="269"/>
      <c r="AE1616" s="269"/>
      <c r="AF1616" s="269"/>
      <c r="AG1616" s="269"/>
      <c r="AH1616" s="269"/>
      <c r="AI1616" s="269"/>
      <c r="AJ1616" s="269"/>
      <c r="AK1616" s="269"/>
      <c r="AL1616" s="269"/>
      <c r="AM1616" s="269"/>
    </row>
    <row r="1617" spans="1:39" ht="12.75" customHeight="1" x14ac:dyDescent="0.2">
      <c r="A1617" s="277" t="str">
        <f>IF(B1617="","",COUNT('Diário 5º PA'!$A$5:$A$2634)+COUNT('Diário 6º PA'!$A$5:$A$2246)+ROW()-4)</f>
        <v/>
      </c>
      <c r="B1617" s="278"/>
      <c r="C1617" s="335"/>
      <c r="D1617" s="255"/>
      <c r="E1617" s="255"/>
      <c r="F1617" s="258"/>
      <c r="G1617" s="450"/>
      <c r="H1617" s="255"/>
      <c r="I1617" s="250"/>
      <c r="J1617" s="255"/>
      <c r="K1617" s="255"/>
      <c r="L1617" s="250"/>
      <c r="M1617" s="277"/>
      <c r="N1617" s="277"/>
      <c r="O1617" s="329"/>
      <c r="P1617" s="330">
        <f t="shared" si="253"/>
        <v>0</v>
      </c>
      <c r="Q1617" s="330">
        <f t="shared" si="254"/>
        <v>0</v>
      </c>
      <c r="R1617" s="331" t="str">
        <f t="shared" si="255"/>
        <v/>
      </c>
      <c r="S1617" s="331" t="str">
        <f>IF(D1617="","",IF(OR(D1617=Plano!$A$1,D1617=Plano!$B$1),"entrada","saída"))</f>
        <v/>
      </c>
      <c r="T1617" s="345"/>
      <c r="U1617" s="345"/>
      <c r="V1617" s="269"/>
      <c r="W1617" s="269"/>
      <c r="X1617" s="269"/>
      <c r="Y1617" s="269"/>
      <c r="Z1617" s="269"/>
      <c r="AA1617" s="269"/>
      <c r="AB1617" s="269"/>
      <c r="AC1617" s="269"/>
      <c r="AD1617" s="269"/>
      <c r="AE1617" s="269"/>
      <c r="AF1617" s="269"/>
      <c r="AG1617" s="269"/>
      <c r="AH1617" s="269"/>
      <c r="AI1617" s="269"/>
      <c r="AJ1617" s="269"/>
      <c r="AK1617" s="269"/>
      <c r="AL1617" s="269"/>
      <c r="AM1617" s="269"/>
    </row>
    <row r="1618" spans="1:39" ht="12.75" customHeight="1" x14ac:dyDescent="0.2">
      <c r="A1618" s="277" t="str">
        <f>IF(B1618="","",COUNT('Diário 5º PA'!$A$5:$A$2634)+COUNT('Diário 6º PA'!$A$5:$A$2246)+ROW()-4)</f>
        <v/>
      </c>
      <c r="B1618" s="278"/>
      <c r="C1618" s="335"/>
      <c r="D1618" s="255"/>
      <c r="E1618" s="255"/>
      <c r="F1618" s="258"/>
      <c r="G1618" s="450"/>
      <c r="H1618" s="255"/>
      <c r="I1618" s="250"/>
      <c r="J1618" s="255"/>
      <c r="K1618" s="255"/>
      <c r="L1618" s="250"/>
      <c r="M1618" s="277"/>
      <c r="N1618" s="277"/>
      <c r="O1618" s="329"/>
      <c r="P1618" s="330">
        <f t="shared" si="253"/>
        <v>0</v>
      </c>
      <c r="Q1618" s="330">
        <f t="shared" si="254"/>
        <v>0</v>
      </c>
      <c r="R1618" s="331" t="str">
        <f t="shared" si="255"/>
        <v/>
      </c>
      <c r="S1618" s="331" t="str">
        <f>IF(D1618="","",IF(OR(D1618=Plano!$A$1,D1618=Plano!$B$1),"entrada","saída"))</f>
        <v/>
      </c>
      <c r="T1618" s="345"/>
      <c r="U1618" s="345"/>
      <c r="V1618" s="269"/>
      <c r="W1618" s="269"/>
      <c r="X1618" s="269"/>
      <c r="Y1618" s="269"/>
      <c r="Z1618" s="269"/>
      <c r="AA1618" s="269"/>
      <c r="AB1618" s="269"/>
      <c r="AC1618" s="269"/>
      <c r="AD1618" s="269"/>
      <c r="AE1618" s="269"/>
      <c r="AF1618" s="269"/>
      <c r="AG1618" s="269"/>
      <c r="AH1618" s="269"/>
      <c r="AI1618" s="269"/>
      <c r="AJ1618" s="269"/>
      <c r="AK1618" s="269"/>
      <c r="AL1618" s="269"/>
      <c r="AM1618" s="269"/>
    </row>
    <row r="1619" spans="1:39" ht="12.75" customHeight="1" x14ac:dyDescent="0.2">
      <c r="A1619" s="277" t="str">
        <f>IF(B1619="","",COUNT('Diário 5º PA'!$A$5:$A$2634)+COUNT('Diário 6º PA'!$A$5:$A$2246)+ROW()-4)</f>
        <v/>
      </c>
      <c r="B1619" s="278"/>
      <c r="C1619" s="335"/>
      <c r="D1619" s="255"/>
      <c r="E1619" s="255"/>
      <c r="F1619" s="258"/>
      <c r="G1619" s="450"/>
      <c r="H1619" s="255"/>
      <c r="I1619" s="250"/>
      <c r="J1619" s="255"/>
      <c r="K1619" s="255"/>
      <c r="L1619" s="250"/>
      <c r="M1619" s="277"/>
      <c r="N1619" s="277"/>
      <c r="O1619" s="329"/>
      <c r="P1619" s="330">
        <f t="shared" si="253"/>
        <v>0</v>
      </c>
      <c r="Q1619" s="330">
        <f t="shared" si="254"/>
        <v>0</v>
      </c>
      <c r="R1619" s="331" t="str">
        <f t="shared" si="255"/>
        <v/>
      </c>
      <c r="S1619" s="331" t="str">
        <f>IF(D1619="","",IF(OR(D1619=Plano!$A$1,D1619=Plano!$B$1),"entrada","saída"))</f>
        <v/>
      </c>
      <c r="T1619" s="345"/>
      <c r="U1619" s="345"/>
      <c r="V1619" s="269"/>
      <c r="W1619" s="269"/>
      <c r="X1619" s="269"/>
      <c r="Y1619" s="269"/>
      <c r="Z1619" s="269"/>
      <c r="AA1619" s="269"/>
      <c r="AB1619" s="269"/>
      <c r="AC1619" s="269"/>
      <c r="AD1619" s="269"/>
      <c r="AE1619" s="269"/>
      <c r="AF1619" s="269"/>
      <c r="AG1619" s="269"/>
      <c r="AH1619" s="269"/>
      <c r="AI1619" s="269"/>
      <c r="AJ1619" s="269"/>
      <c r="AK1619" s="269"/>
      <c r="AL1619" s="269"/>
      <c r="AM1619" s="269"/>
    </row>
    <row r="1620" spans="1:39" ht="12.75" customHeight="1" x14ac:dyDescent="0.2">
      <c r="A1620" s="277" t="str">
        <f>IF(B1620="","",COUNT('Diário 5º PA'!$A$5:$A$2634)+COUNT('Diário 6º PA'!$A$5:$A$2246)+ROW()-4)</f>
        <v/>
      </c>
      <c r="B1620" s="278"/>
      <c r="C1620" s="335"/>
      <c r="D1620" s="255"/>
      <c r="E1620" s="255"/>
      <c r="F1620" s="258"/>
      <c r="G1620" s="450"/>
      <c r="H1620" s="255"/>
      <c r="I1620" s="250"/>
      <c r="J1620" s="255"/>
      <c r="K1620" s="255"/>
      <c r="L1620" s="250"/>
      <c r="M1620" s="277"/>
      <c r="N1620" s="277"/>
      <c r="O1620" s="329"/>
      <c r="P1620" s="330">
        <f t="shared" si="253"/>
        <v>0</v>
      </c>
      <c r="Q1620" s="330">
        <f t="shared" si="254"/>
        <v>0</v>
      </c>
      <c r="R1620" s="331" t="str">
        <f t="shared" si="255"/>
        <v/>
      </c>
      <c r="S1620" s="331" t="str">
        <f>IF(D1620="","",IF(OR(D1620=Plano!$A$1,D1620=Plano!$B$1),"entrada","saída"))</f>
        <v/>
      </c>
      <c r="T1620" s="345"/>
      <c r="U1620" s="345"/>
      <c r="V1620" s="269"/>
      <c r="W1620" s="269"/>
      <c r="X1620" s="269"/>
      <c r="Y1620" s="269"/>
      <c r="Z1620" s="269"/>
      <c r="AA1620" s="269"/>
      <c r="AB1620" s="269"/>
      <c r="AC1620" s="269"/>
      <c r="AD1620" s="269"/>
      <c r="AE1620" s="269"/>
      <c r="AF1620" s="269"/>
      <c r="AG1620" s="269"/>
      <c r="AH1620" s="269"/>
      <c r="AI1620" s="269"/>
      <c r="AJ1620" s="269"/>
      <c r="AK1620" s="269"/>
      <c r="AL1620" s="269"/>
      <c r="AM1620" s="269"/>
    </row>
    <row r="1621" spans="1:39" ht="12.75" customHeight="1" x14ac:dyDescent="0.2">
      <c r="A1621" s="277" t="str">
        <f>IF(B1621="","",COUNT('Diário 5º PA'!$A$5:$A$2634)+COUNT('Diário 6º PA'!$A$5:$A$2246)+ROW()-4)</f>
        <v/>
      </c>
      <c r="B1621" s="278"/>
      <c r="C1621" s="335"/>
      <c r="D1621" s="255"/>
      <c r="E1621" s="255"/>
      <c r="F1621" s="258"/>
      <c r="G1621" s="450"/>
      <c r="H1621" s="255"/>
      <c r="I1621" s="250"/>
      <c r="J1621" s="255"/>
      <c r="K1621" s="255"/>
      <c r="L1621" s="250"/>
      <c r="M1621" s="277"/>
      <c r="N1621" s="277"/>
      <c r="O1621" s="329"/>
      <c r="P1621" s="330">
        <f t="shared" si="253"/>
        <v>0</v>
      </c>
      <c r="Q1621" s="330">
        <f t="shared" si="254"/>
        <v>0</v>
      </c>
      <c r="R1621" s="331" t="str">
        <f t="shared" si="255"/>
        <v/>
      </c>
      <c r="S1621" s="331" t="str">
        <f>IF(D1621="","",IF(OR(D1621=Plano!$A$1,D1621=Plano!$B$1),"entrada","saída"))</f>
        <v/>
      </c>
      <c r="T1621" s="345"/>
      <c r="U1621" s="345"/>
      <c r="V1621" s="269"/>
      <c r="W1621" s="269"/>
      <c r="X1621" s="269"/>
      <c r="Y1621" s="269"/>
      <c r="Z1621" s="269"/>
      <c r="AA1621" s="269"/>
      <c r="AB1621" s="269"/>
      <c r="AC1621" s="269"/>
      <c r="AD1621" s="269"/>
      <c r="AE1621" s="269"/>
      <c r="AF1621" s="269"/>
      <c r="AG1621" s="269"/>
      <c r="AH1621" s="269"/>
      <c r="AI1621" s="269"/>
      <c r="AJ1621" s="269"/>
      <c r="AK1621" s="269"/>
      <c r="AL1621" s="269"/>
      <c r="AM1621" s="269"/>
    </row>
    <row r="1622" spans="1:39" ht="12.75" customHeight="1" x14ac:dyDescent="0.2">
      <c r="A1622" s="277" t="str">
        <f>IF(B1622="","",COUNT('Diário 5º PA'!$A$5:$A$2634)+COUNT('Diário 6º PA'!$A$5:$A$2246)+ROW()-4)</f>
        <v/>
      </c>
      <c r="B1622" s="278"/>
      <c r="C1622" s="335"/>
      <c r="D1622" s="255"/>
      <c r="E1622" s="255"/>
      <c r="F1622" s="258"/>
      <c r="G1622" s="450"/>
      <c r="H1622" s="255"/>
      <c r="I1622" s="250"/>
      <c r="J1622" s="255"/>
      <c r="K1622" s="255"/>
      <c r="L1622" s="250"/>
      <c r="M1622" s="277"/>
      <c r="N1622" s="277"/>
      <c r="O1622" s="329"/>
      <c r="P1622" s="330">
        <f t="shared" si="253"/>
        <v>0</v>
      </c>
      <c r="Q1622" s="330">
        <f t="shared" si="254"/>
        <v>0</v>
      </c>
      <c r="R1622" s="331" t="str">
        <f t="shared" si="255"/>
        <v/>
      </c>
      <c r="S1622" s="331" t="str">
        <f>IF(D1622="","",IF(OR(D1622=Plano!$A$1,D1622=Plano!$B$1),"entrada","saída"))</f>
        <v/>
      </c>
      <c r="T1622" s="345"/>
      <c r="U1622" s="345"/>
      <c r="V1622" s="269"/>
      <c r="W1622" s="269"/>
      <c r="X1622" s="269"/>
      <c r="Y1622" s="269"/>
      <c r="Z1622" s="269"/>
      <c r="AA1622" s="269"/>
      <c r="AB1622" s="269"/>
      <c r="AC1622" s="269"/>
      <c r="AD1622" s="269"/>
      <c r="AE1622" s="269"/>
      <c r="AF1622" s="269"/>
      <c r="AG1622" s="269"/>
      <c r="AH1622" s="269"/>
      <c r="AI1622" s="269"/>
      <c r="AJ1622" s="269"/>
      <c r="AK1622" s="269"/>
      <c r="AL1622" s="269"/>
      <c r="AM1622" s="269"/>
    </row>
    <row r="1623" spans="1:39" ht="12.75" customHeight="1" x14ac:dyDescent="0.2">
      <c r="A1623" s="277" t="str">
        <f>IF(B1623="","",COUNT('Diário 5º PA'!$A$5:$A$2634)+COUNT('Diário 6º PA'!$A$5:$A$2246)+ROW()-4)</f>
        <v/>
      </c>
      <c r="B1623" s="278"/>
      <c r="C1623" s="335"/>
      <c r="D1623" s="255"/>
      <c r="E1623" s="255"/>
      <c r="F1623" s="258"/>
      <c r="G1623" s="450"/>
      <c r="H1623" s="255"/>
      <c r="I1623" s="250"/>
      <c r="J1623" s="255"/>
      <c r="K1623" s="255"/>
      <c r="L1623" s="250"/>
      <c r="M1623" s="277"/>
      <c r="N1623" s="277"/>
      <c r="O1623" s="329"/>
      <c r="P1623" s="330">
        <f t="shared" si="253"/>
        <v>0</v>
      </c>
      <c r="Q1623" s="330">
        <f t="shared" si="254"/>
        <v>0</v>
      </c>
      <c r="R1623" s="331" t="str">
        <f t="shared" si="255"/>
        <v/>
      </c>
      <c r="S1623" s="331" t="str">
        <f>IF(D1623="","",IF(OR(D1623=Plano!$A$1,D1623=Plano!$B$1),"entrada","saída"))</f>
        <v/>
      </c>
      <c r="T1623" s="345"/>
      <c r="U1623" s="345"/>
      <c r="V1623" s="269"/>
      <c r="W1623" s="269"/>
      <c r="X1623" s="269"/>
      <c r="Y1623" s="269"/>
      <c r="Z1623" s="269"/>
      <c r="AA1623" s="269"/>
      <c r="AB1623" s="269"/>
      <c r="AC1623" s="269"/>
      <c r="AD1623" s="269"/>
      <c r="AE1623" s="269"/>
      <c r="AF1623" s="269"/>
      <c r="AG1623" s="269"/>
      <c r="AH1623" s="269"/>
      <c r="AI1623" s="269"/>
      <c r="AJ1623" s="269"/>
      <c r="AK1623" s="269"/>
      <c r="AL1623" s="269"/>
      <c r="AM1623" s="269"/>
    </row>
    <row r="1624" spans="1:39" ht="12.75" customHeight="1" x14ac:dyDescent="0.2">
      <c r="A1624" s="277" t="str">
        <f>IF(B1624="","",COUNT('Diário 5º PA'!$A$5:$A$2634)+COUNT('Diário 6º PA'!$A$5:$A$2246)+ROW()-4)</f>
        <v/>
      </c>
      <c r="B1624" s="278"/>
      <c r="C1624" s="335"/>
      <c r="D1624" s="255"/>
      <c r="E1624" s="255"/>
      <c r="F1624" s="258"/>
      <c r="G1624" s="450"/>
      <c r="H1624" s="255"/>
      <c r="I1624" s="250"/>
      <c r="J1624" s="255"/>
      <c r="K1624" s="255"/>
      <c r="L1624" s="250"/>
      <c r="M1624" s="277"/>
      <c r="N1624" s="277"/>
      <c r="O1624" s="329"/>
      <c r="P1624" s="330">
        <f t="shared" si="253"/>
        <v>0</v>
      </c>
      <c r="Q1624" s="330">
        <f t="shared" si="254"/>
        <v>0</v>
      </c>
      <c r="R1624" s="331" t="str">
        <f t="shared" si="255"/>
        <v/>
      </c>
      <c r="S1624" s="331" t="str">
        <f>IF(D1624="","",IF(OR(D1624=Plano!$A$1,D1624=Plano!$B$1),"entrada","saída"))</f>
        <v/>
      </c>
      <c r="T1624" s="345"/>
      <c r="U1624" s="345"/>
      <c r="V1624" s="269"/>
      <c r="W1624" s="269"/>
      <c r="X1624" s="269"/>
      <c r="Y1624" s="269"/>
      <c r="Z1624" s="269"/>
      <c r="AA1624" s="269"/>
      <c r="AB1624" s="269"/>
      <c r="AC1624" s="269"/>
      <c r="AD1624" s="269"/>
      <c r="AE1624" s="269"/>
      <c r="AF1624" s="269"/>
      <c r="AG1624" s="269"/>
      <c r="AH1624" s="269"/>
      <c r="AI1624" s="269"/>
      <c r="AJ1624" s="269"/>
      <c r="AK1624" s="269"/>
      <c r="AL1624" s="269"/>
      <c r="AM1624" s="269"/>
    </row>
    <row r="1625" spans="1:39" ht="12.75" customHeight="1" x14ac:dyDescent="0.2">
      <c r="A1625" s="277" t="str">
        <f>IF(B1625="","",COUNT('Diário 5º PA'!$A$5:$A$2634)+COUNT('Diário 6º PA'!$A$5:$A$2246)+ROW()-4)</f>
        <v/>
      </c>
      <c r="B1625" s="278"/>
      <c r="C1625" s="335"/>
      <c r="D1625" s="255"/>
      <c r="E1625" s="255"/>
      <c r="F1625" s="258"/>
      <c r="G1625" s="450"/>
      <c r="H1625" s="255"/>
      <c r="I1625" s="250"/>
      <c r="J1625" s="255"/>
      <c r="K1625" s="255"/>
      <c r="L1625" s="250"/>
      <c r="M1625" s="277"/>
      <c r="N1625" s="277"/>
      <c r="O1625" s="329"/>
      <c r="P1625" s="330">
        <f t="shared" si="253"/>
        <v>0</v>
      </c>
      <c r="Q1625" s="330">
        <f t="shared" si="254"/>
        <v>0</v>
      </c>
      <c r="R1625" s="331" t="str">
        <f t="shared" si="255"/>
        <v/>
      </c>
      <c r="S1625" s="331" t="str">
        <f>IF(D1625="","",IF(OR(D1625=Plano!$A$1,D1625=Plano!$B$1),"entrada","saída"))</f>
        <v/>
      </c>
      <c r="T1625" s="345"/>
      <c r="U1625" s="345"/>
      <c r="V1625" s="269"/>
      <c r="W1625" s="269"/>
      <c r="X1625" s="269"/>
      <c r="Y1625" s="269"/>
      <c r="Z1625" s="269"/>
      <c r="AA1625" s="269"/>
      <c r="AB1625" s="269"/>
      <c r="AC1625" s="269"/>
      <c r="AD1625" s="269"/>
      <c r="AE1625" s="269"/>
      <c r="AF1625" s="269"/>
      <c r="AG1625" s="269"/>
      <c r="AH1625" s="269"/>
      <c r="AI1625" s="269"/>
      <c r="AJ1625" s="269"/>
      <c r="AK1625" s="269"/>
      <c r="AL1625" s="269"/>
      <c r="AM1625" s="269"/>
    </row>
    <row r="1626" spans="1:39" ht="12.75" customHeight="1" x14ac:dyDescent="0.2">
      <c r="A1626" s="277" t="str">
        <f>IF(B1626="","",COUNT('Diário 5º PA'!$A$5:$A$2634)+COUNT('Diário 6º PA'!$A$5:$A$2246)+ROW()-4)</f>
        <v/>
      </c>
      <c r="B1626" s="278"/>
      <c r="C1626" s="335"/>
      <c r="D1626" s="255"/>
      <c r="E1626" s="255"/>
      <c r="F1626" s="258"/>
      <c r="G1626" s="450"/>
      <c r="H1626" s="255"/>
      <c r="I1626" s="250"/>
      <c r="J1626" s="255"/>
      <c r="K1626" s="255"/>
      <c r="L1626" s="250"/>
      <c r="M1626" s="277"/>
      <c r="N1626" s="277"/>
      <c r="O1626" s="329"/>
      <c r="P1626" s="330">
        <f t="shared" si="253"/>
        <v>0</v>
      </c>
      <c r="Q1626" s="330">
        <f t="shared" si="254"/>
        <v>0</v>
      </c>
      <c r="R1626" s="331" t="str">
        <f t="shared" si="255"/>
        <v/>
      </c>
      <c r="S1626" s="331" t="str">
        <f>IF(D1626="","",IF(OR(D1626=Plano!$A$1,D1626=Plano!$B$1),"entrada","saída"))</f>
        <v/>
      </c>
      <c r="T1626" s="345"/>
      <c r="U1626" s="345"/>
      <c r="V1626" s="269"/>
      <c r="W1626" s="269"/>
      <c r="X1626" s="269"/>
      <c r="Y1626" s="269"/>
      <c r="Z1626" s="269"/>
      <c r="AA1626" s="269"/>
      <c r="AB1626" s="269"/>
      <c r="AC1626" s="269"/>
      <c r="AD1626" s="269"/>
      <c r="AE1626" s="269"/>
      <c r="AF1626" s="269"/>
      <c r="AG1626" s="269"/>
      <c r="AH1626" s="269"/>
      <c r="AI1626" s="269"/>
      <c r="AJ1626" s="269"/>
      <c r="AK1626" s="269"/>
      <c r="AL1626" s="269"/>
      <c r="AM1626" s="269"/>
    </row>
    <row r="1627" spans="1:39" ht="12.75" customHeight="1" x14ac:dyDescent="0.2">
      <c r="A1627" s="277" t="str">
        <f>IF(B1627="","",COUNT('Diário 5º PA'!$A$5:$A$2634)+COUNT('Diário 6º PA'!$A$5:$A$2246)+ROW()-4)</f>
        <v/>
      </c>
      <c r="B1627" s="278"/>
      <c r="C1627" s="335"/>
      <c r="D1627" s="255"/>
      <c r="E1627" s="255"/>
      <c r="F1627" s="258"/>
      <c r="G1627" s="450"/>
      <c r="H1627" s="255"/>
      <c r="I1627" s="250"/>
      <c r="J1627" s="255"/>
      <c r="K1627" s="255"/>
      <c r="L1627" s="250"/>
      <c r="M1627" s="277"/>
      <c r="N1627" s="277"/>
      <c r="O1627" s="329"/>
      <c r="P1627" s="330">
        <f t="shared" si="253"/>
        <v>0</v>
      </c>
      <c r="Q1627" s="330">
        <f t="shared" si="254"/>
        <v>0</v>
      </c>
      <c r="R1627" s="331" t="str">
        <f t="shared" si="255"/>
        <v/>
      </c>
      <c r="S1627" s="331" t="str">
        <f>IF(D1627="","",IF(OR(D1627=Plano!$A$1,D1627=Plano!$B$1),"entrada","saída"))</f>
        <v/>
      </c>
      <c r="T1627" s="345"/>
      <c r="U1627" s="345"/>
      <c r="V1627" s="269"/>
      <c r="W1627" s="269"/>
      <c r="X1627" s="269"/>
      <c r="Y1627" s="269"/>
      <c r="Z1627" s="269"/>
      <c r="AA1627" s="269"/>
      <c r="AB1627" s="269"/>
      <c r="AC1627" s="269"/>
      <c r="AD1627" s="269"/>
      <c r="AE1627" s="269"/>
      <c r="AF1627" s="269"/>
      <c r="AG1627" s="269"/>
      <c r="AH1627" s="269"/>
      <c r="AI1627" s="269"/>
      <c r="AJ1627" s="269"/>
      <c r="AK1627" s="269"/>
      <c r="AL1627" s="269"/>
      <c r="AM1627" s="269"/>
    </row>
    <row r="1628" spans="1:39" ht="12.75" customHeight="1" x14ac:dyDescent="0.2">
      <c r="A1628" s="277" t="str">
        <f>IF(B1628="","",COUNT('Diário 5º PA'!$A$5:$A$2634)+COUNT('Diário 6º PA'!$A$5:$A$2246)+ROW()-4)</f>
        <v/>
      </c>
      <c r="B1628" s="278"/>
      <c r="C1628" s="335"/>
      <c r="D1628" s="255"/>
      <c r="E1628" s="255"/>
      <c r="F1628" s="258"/>
      <c r="G1628" s="450"/>
      <c r="H1628" s="255"/>
      <c r="I1628" s="250"/>
      <c r="J1628" s="255"/>
      <c r="K1628" s="255"/>
      <c r="L1628" s="250"/>
      <c r="M1628" s="277"/>
      <c r="N1628" s="277"/>
      <c r="O1628" s="329"/>
      <c r="P1628" s="330">
        <f t="shared" si="253"/>
        <v>0</v>
      </c>
      <c r="Q1628" s="330">
        <f t="shared" si="254"/>
        <v>0</v>
      </c>
      <c r="R1628" s="331" t="str">
        <f t="shared" si="255"/>
        <v/>
      </c>
      <c r="S1628" s="331" t="str">
        <f>IF(D1628="","",IF(OR(D1628=Plano!$A$1,D1628=Plano!$B$1),"entrada","saída"))</f>
        <v/>
      </c>
      <c r="T1628" s="345"/>
      <c r="U1628" s="345"/>
      <c r="V1628" s="269"/>
      <c r="W1628" s="269"/>
      <c r="X1628" s="269"/>
      <c r="Y1628" s="269"/>
      <c r="Z1628" s="269"/>
      <c r="AA1628" s="269"/>
      <c r="AB1628" s="269"/>
      <c r="AC1628" s="269"/>
      <c r="AD1628" s="269"/>
      <c r="AE1628" s="269"/>
      <c r="AF1628" s="269"/>
      <c r="AG1628" s="269"/>
      <c r="AH1628" s="269"/>
      <c r="AI1628" s="269"/>
      <c r="AJ1628" s="269"/>
      <c r="AK1628" s="269"/>
      <c r="AL1628" s="269"/>
      <c r="AM1628" s="269"/>
    </row>
    <row r="1629" spans="1:39" ht="12.75" customHeight="1" x14ac:dyDescent="0.2">
      <c r="A1629" s="277" t="str">
        <f>IF(B1629="","",COUNT('Diário 5º PA'!$A$5:$A$2634)+COUNT('Diário 6º PA'!$A$5:$A$2246)+ROW()-4)</f>
        <v/>
      </c>
      <c r="B1629" s="278"/>
      <c r="C1629" s="335"/>
      <c r="D1629" s="255"/>
      <c r="E1629" s="255"/>
      <c r="F1629" s="258"/>
      <c r="G1629" s="450"/>
      <c r="H1629" s="255"/>
      <c r="I1629" s="250"/>
      <c r="J1629" s="255"/>
      <c r="K1629" s="255"/>
      <c r="L1629" s="250"/>
      <c r="M1629" s="277"/>
      <c r="N1629" s="277"/>
      <c r="O1629" s="329"/>
      <c r="P1629" s="330">
        <f t="shared" si="253"/>
        <v>0</v>
      </c>
      <c r="Q1629" s="330">
        <f t="shared" si="254"/>
        <v>0</v>
      </c>
      <c r="R1629" s="331" t="str">
        <f t="shared" si="255"/>
        <v/>
      </c>
      <c r="S1629" s="331" t="str">
        <f>IF(D1629="","",IF(OR(D1629=Plano!$A$1,D1629=Plano!$B$1),"entrada","saída"))</f>
        <v/>
      </c>
      <c r="T1629" s="345"/>
      <c r="U1629" s="345"/>
      <c r="V1629" s="269"/>
      <c r="W1629" s="269"/>
      <c r="X1629" s="269"/>
      <c r="Y1629" s="269"/>
      <c r="Z1629" s="269"/>
      <c r="AA1629" s="269"/>
      <c r="AB1629" s="269"/>
      <c r="AC1629" s="269"/>
      <c r="AD1629" s="269"/>
      <c r="AE1629" s="269"/>
      <c r="AF1629" s="269"/>
      <c r="AG1629" s="269"/>
      <c r="AH1629" s="269"/>
      <c r="AI1629" s="269"/>
      <c r="AJ1629" s="269"/>
      <c r="AK1629" s="269"/>
      <c r="AL1629" s="269"/>
      <c r="AM1629" s="269"/>
    </row>
    <row r="1630" spans="1:39" ht="12.75" customHeight="1" x14ac:dyDescent="0.2">
      <c r="A1630" s="277" t="str">
        <f>IF(B1630="","",COUNT('Diário 5º PA'!$A$5:$A$2634)+COUNT('Diário 6º PA'!$A$5:$A$2246)+ROW()-4)</f>
        <v/>
      </c>
      <c r="B1630" s="278"/>
      <c r="C1630" s="335"/>
      <c r="D1630" s="255"/>
      <c r="E1630" s="255"/>
      <c r="F1630" s="258"/>
      <c r="G1630" s="450"/>
      <c r="H1630" s="255"/>
      <c r="I1630" s="250"/>
      <c r="J1630" s="255"/>
      <c r="K1630" s="255"/>
      <c r="L1630" s="250"/>
      <c r="M1630" s="277"/>
      <c r="N1630" s="277"/>
      <c r="O1630" s="329"/>
      <c r="P1630" s="330">
        <f t="shared" si="253"/>
        <v>0</v>
      </c>
      <c r="Q1630" s="330">
        <f t="shared" si="254"/>
        <v>0</v>
      </c>
      <c r="R1630" s="331" t="str">
        <f t="shared" si="255"/>
        <v/>
      </c>
      <c r="S1630" s="331" t="str">
        <f>IF(D1630="","",IF(OR(D1630=Plano!$A$1,D1630=Plano!$B$1),"entrada","saída"))</f>
        <v/>
      </c>
      <c r="T1630" s="345"/>
      <c r="U1630" s="345"/>
      <c r="V1630" s="269"/>
      <c r="W1630" s="269"/>
      <c r="X1630" s="269"/>
      <c r="Y1630" s="269"/>
      <c r="Z1630" s="269"/>
      <c r="AA1630" s="269"/>
      <c r="AB1630" s="269"/>
      <c r="AC1630" s="269"/>
      <c r="AD1630" s="269"/>
      <c r="AE1630" s="269"/>
      <c r="AF1630" s="269"/>
      <c r="AG1630" s="269"/>
      <c r="AH1630" s="269"/>
      <c r="AI1630" s="269"/>
      <c r="AJ1630" s="269"/>
      <c r="AK1630" s="269"/>
      <c r="AL1630" s="269"/>
      <c r="AM1630" s="269"/>
    </row>
    <row r="1631" spans="1:39" ht="12.75" customHeight="1" x14ac:dyDescent="0.2">
      <c r="A1631" s="277" t="str">
        <f>IF(B1631="","",COUNT('Diário 5º PA'!$A$5:$A$2634)+COUNT('Diário 6º PA'!$A$5:$A$2246)+ROW()-4)</f>
        <v/>
      </c>
      <c r="B1631" s="278"/>
      <c r="C1631" s="335"/>
      <c r="D1631" s="255"/>
      <c r="E1631" s="255"/>
      <c r="F1631" s="258"/>
      <c r="G1631" s="450"/>
      <c r="H1631" s="255"/>
      <c r="I1631" s="250"/>
      <c r="J1631" s="255"/>
      <c r="K1631" s="255"/>
      <c r="L1631" s="250"/>
      <c r="M1631" s="277"/>
      <c r="N1631" s="277"/>
      <c r="O1631" s="329"/>
      <c r="P1631" s="330">
        <f t="shared" si="253"/>
        <v>0</v>
      </c>
      <c r="Q1631" s="330">
        <f t="shared" si="254"/>
        <v>0</v>
      </c>
      <c r="R1631" s="331" t="str">
        <f t="shared" si="255"/>
        <v/>
      </c>
      <c r="S1631" s="331" t="str">
        <f>IF(D1631="","",IF(OR(D1631=Plano!$A$1,D1631=Plano!$B$1),"entrada","saída"))</f>
        <v/>
      </c>
      <c r="T1631" s="345"/>
      <c r="U1631" s="345"/>
      <c r="V1631" s="269"/>
      <c r="W1631" s="269"/>
      <c r="X1631" s="269"/>
      <c r="Y1631" s="269"/>
      <c r="Z1631" s="269"/>
      <c r="AA1631" s="269"/>
      <c r="AB1631" s="269"/>
      <c r="AC1631" s="269"/>
      <c r="AD1631" s="269"/>
      <c r="AE1631" s="269"/>
      <c r="AF1631" s="269"/>
      <c r="AG1631" s="269"/>
      <c r="AH1631" s="269"/>
      <c r="AI1631" s="269"/>
      <c r="AJ1631" s="269"/>
      <c r="AK1631" s="269"/>
      <c r="AL1631" s="269"/>
      <c r="AM1631" s="269"/>
    </row>
    <row r="1632" spans="1:39" ht="12.75" customHeight="1" x14ac:dyDescent="0.2">
      <c r="A1632" s="277" t="str">
        <f>IF(B1632="","",COUNT('Diário 5º PA'!$A$5:$A$2634)+COUNT('Diário 6º PA'!$A$5:$A$2246)+ROW()-4)</f>
        <v/>
      </c>
      <c r="B1632" s="278"/>
      <c r="C1632" s="335"/>
      <c r="D1632" s="255"/>
      <c r="E1632" s="255"/>
      <c r="F1632" s="258"/>
      <c r="G1632" s="450"/>
      <c r="H1632" s="255"/>
      <c r="I1632" s="250"/>
      <c r="J1632" s="255"/>
      <c r="K1632" s="255"/>
      <c r="L1632" s="250"/>
      <c r="M1632" s="277"/>
      <c r="N1632" s="277"/>
      <c r="O1632" s="329"/>
      <c r="P1632" s="330">
        <f t="shared" si="253"/>
        <v>0</v>
      </c>
      <c r="Q1632" s="330">
        <f t="shared" si="254"/>
        <v>0</v>
      </c>
      <c r="R1632" s="331" t="str">
        <f t="shared" si="255"/>
        <v/>
      </c>
      <c r="S1632" s="331" t="str">
        <f>IF(D1632="","",IF(OR(D1632=Plano!$A$1,D1632=Plano!$B$1),"entrada","saída"))</f>
        <v/>
      </c>
      <c r="T1632" s="345"/>
      <c r="U1632" s="345"/>
      <c r="V1632" s="269"/>
      <c r="W1632" s="269"/>
      <c r="X1632" s="269"/>
      <c r="Y1632" s="269"/>
      <c r="Z1632" s="269"/>
      <c r="AA1632" s="269"/>
      <c r="AB1632" s="269"/>
      <c r="AC1632" s="269"/>
      <c r="AD1632" s="269"/>
      <c r="AE1632" s="269"/>
      <c r="AF1632" s="269"/>
      <c r="AG1632" s="269"/>
      <c r="AH1632" s="269"/>
      <c r="AI1632" s="269"/>
      <c r="AJ1632" s="269"/>
      <c r="AK1632" s="269"/>
      <c r="AL1632" s="269"/>
      <c r="AM1632" s="269"/>
    </row>
    <row r="1633" spans="1:39" ht="12.75" customHeight="1" x14ac:dyDescent="0.2">
      <c r="A1633" s="277" t="str">
        <f>IF(B1633="","",COUNT('Diário 5º PA'!$A$5:$A$2634)+COUNT('Diário 6º PA'!$A$5:$A$2246)+ROW()-4)</f>
        <v/>
      </c>
      <c r="B1633" s="278"/>
      <c r="C1633" s="335"/>
      <c r="D1633" s="255"/>
      <c r="E1633" s="255"/>
      <c r="F1633" s="258"/>
      <c r="G1633" s="450"/>
      <c r="H1633" s="255"/>
      <c r="I1633" s="250"/>
      <c r="J1633" s="255"/>
      <c r="K1633" s="255"/>
      <c r="L1633" s="250"/>
      <c r="M1633" s="277"/>
      <c r="N1633" s="277"/>
      <c r="O1633" s="329"/>
      <c r="P1633" s="330">
        <f t="shared" si="253"/>
        <v>0</v>
      </c>
      <c r="Q1633" s="330">
        <f t="shared" si="254"/>
        <v>0</v>
      </c>
      <c r="R1633" s="331" t="str">
        <f t="shared" si="255"/>
        <v/>
      </c>
      <c r="S1633" s="331" t="str">
        <f>IF(D1633="","",IF(OR(D1633=Plano!$A$1,D1633=Plano!$B$1),"entrada","saída"))</f>
        <v/>
      </c>
      <c r="T1633" s="345"/>
      <c r="U1633" s="345"/>
      <c r="V1633" s="269"/>
      <c r="W1633" s="269"/>
      <c r="X1633" s="269"/>
      <c r="Y1633" s="269"/>
      <c r="Z1633" s="269"/>
      <c r="AA1633" s="269"/>
      <c r="AB1633" s="269"/>
      <c r="AC1633" s="269"/>
      <c r="AD1633" s="269"/>
      <c r="AE1633" s="269"/>
      <c r="AF1633" s="269"/>
      <c r="AG1633" s="269"/>
      <c r="AH1633" s="269"/>
      <c r="AI1633" s="269"/>
      <c r="AJ1633" s="269"/>
      <c r="AK1633" s="269"/>
      <c r="AL1633" s="269"/>
      <c r="AM1633" s="269"/>
    </row>
    <row r="1634" spans="1:39" ht="12.75" customHeight="1" x14ac:dyDescent="0.2">
      <c r="A1634" s="277" t="str">
        <f>IF(B1634="","",COUNT('Diário 5º PA'!$A$5:$A$2634)+COUNT('Diário 6º PA'!$A$5:$A$2246)+ROW()-4)</f>
        <v/>
      </c>
      <c r="B1634" s="278"/>
      <c r="C1634" s="335"/>
      <c r="D1634" s="255"/>
      <c r="E1634" s="255"/>
      <c r="F1634" s="258"/>
      <c r="G1634" s="450"/>
      <c r="H1634" s="255"/>
      <c r="I1634" s="250"/>
      <c r="J1634" s="255"/>
      <c r="K1634" s="255"/>
      <c r="L1634" s="250"/>
      <c r="M1634" s="277"/>
      <c r="N1634" s="277"/>
      <c r="O1634" s="329"/>
      <c r="P1634" s="330">
        <f t="shared" si="253"/>
        <v>0</v>
      </c>
      <c r="Q1634" s="330">
        <f t="shared" si="254"/>
        <v>0</v>
      </c>
      <c r="R1634" s="331" t="str">
        <f t="shared" si="255"/>
        <v/>
      </c>
      <c r="S1634" s="331" t="str">
        <f>IF(D1634="","",IF(OR(D1634=Plano!$A$1,D1634=Plano!$B$1),"entrada","saída"))</f>
        <v/>
      </c>
      <c r="T1634" s="345"/>
      <c r="U1634" s="345"/>
      <c r="V1634" s="269"/>
      <c r="W1634" s="269"/>
      <c r="X1634" s="269"/>
      <c r="Y1634" s="269"/>
      <c r="Z1634" s="269"/>
      <c r="AA1634" s="269"/>
      <c r="AB1634" s="269"/>
      <c r="AC1634" s="269"/>
      <c r="AD1634" s="269"/>
      <c r="AE1634" s="269"/>
      <c r="AF1634" s="269"/>
      <c r="AG1634" s="269"/>
      <c r="AH1634" s="269"/>
      <c r="AI1634" s="269"/>
      <c r="AJ1634" s="269"/>
      <c r="AK1634" s="269"/>
      <c r="AL1634" s="269"/>
      <c r="AM1634" s="269"/>
    </row>
    <row r="1635" spans="1:39" ht="12.75" customHeight="1" x14ac:dyDescent="0.2">
      <c r="A1635" s="277" t="str">
        <f>IF(B1635="","",COUNT('Diário 5º PA'!$A$5:$A$2634)+COUNT('Diário 6º PA'!$A$5:$A$2246)+ROW()-4)</f>
        <v/>
      </c>
      <c r="B1635" s="278"/>
      <c r="C1635" s="335"/>
      <c r="D1635" s="255"/>
      <c r="E1635" s="255"/>
      <c r="F1635" s="258"/>
      <c r="G1635" s="450"/>
      <c r="H1635" s="255"/>
      <c r="I1635" s="250"/>
      <c r="J1635" s="255"/>
      <c r="K1635" s="255"/>
      <c r="L1635" s="250"/>
      <c r="M1635" s="277"/>
      <c r="N1635" s="277"/>
      <c r="O1635" s="329"/>
      <c r="P1635" s="330">
        <f t="shared" si="253"/>
        <v>0</v>
      </c>
      <c r="Q1635" s="330">
        <f t="shared" si="254"/>
        <v>0</v>
      </c>
      <c r="R1635" s="331" t="str">
        <f t="shared" si="255"/>
        <v/>
      </c>
      <c r="S1635" s="331" t="str">
        <f>IF(D1635="","",IF(OR(D1635=Plano!$A$1,D1635=Plano!$B$1),"entrada","saída"))</f>
        <v/>
      </c>
      <c r="T1635" s="345"/>
      <c r="U1635" s="345"/>
      <c r="V1635" s="269"/>
      <c r="W1635" s="269"/>
      <c r="X1635" s="269"/>
      <c r="Y1635" s="269"/>
      <c r="Z1635" s="269"/>
      <c r="AA1635" s="269"/>
      <c r="AB1635" s="269"/>
      <c r="AC1635" s="269"/>
      <c r="AD1635" s="269"/>
      <c r="AE1635" s="269"/>
      <c r="AF1635" s="269"/>
      <c r="AG1635" s="269"/>
      <c r="AH1635" s="269"/>
      <c r="AI1635" s="269"/>
      <c r="AJ1635" s="269"/>
      <c r="AK1635" s="269"/>
      <c r="AL1635" s="269"/>
      <c r="AM1635" s="269"/>
    </row>
    <row r="1636" spans="1:39" ht="12.75" customHeight="1" x14ac:dyDescent="0.2">
      <c r="A1636" s="277" t="str">
        <f>IF(B1636="","",COUNT('Diário 5º PA'!$A$5:$A$2634)+COUNT('Diário 6º PA'!$A$5:$A$2246)+ROW()-4)</f>
        <v/>
      </c>
      <c r="B1636" s="278"/>
      <c r="C1636" s="335"/>
      <c r="D1636" s="255"/>
      <c r="E1636" s="255"/>
      <c r="F1636" s="258"/>
      <c r="G1636" s="450"/>
      <c r="H1636" s="255"/>
      <c r="I1636" s="250"/>
      <c r="J1636" s="255"/>
      <c r="K1636" s="255"/>
      <c r="L1636" s="250"/>
      <c r="M1636" s="277"/>
      <c r="N1636" s="277"/>
      <c r="O1636" s="329"/>
      <c r="P1636" s="330">
        <f t="shared" si="253"/>
        <v>0</v>
      </c>
      <c r="Q1636" s="330">
        <f t="shared" si="254"/>
        <v>0</v>
      </c>
      <c r="R1636" s="331" t="str">
        <f t="shared" si="255"/>
        <v/>
      </c>
      <c r="S1636" s="331" t="str">
        <f>IF(D1636="","",IF(OR(D1636=Plano!$A$1,D1636=Plano!$B$1),"entrada","saída"))</f>
        <v/>
      </c>
      <c r="T1636" s="345"/>
      <c r="U1636" s="345"/>
      <c r="V1636" s="269"/>
      <c r="W1636" s="269"/>
      <c r="X1636" s="269"/>
      <c r="Y1636" s="269"/>
      <c r="Z1636" s="269"/>
      <c r="AA1636" s="269"/>
      <c r="AB1636" s="269"/>
      <c r="AC1636" s="269"/>
      <c r="AD1636" s="269"/>
      <c r="AE1636" s="269"/>
      <c r="AF1636" s="269"/>
      <c r="AG1636" s="269"/>
      <c r="AH1636" s="269"/>
      <c r="AI1636" s="269"/>
      <c r="AJ1636" s="269"/>
      <c r="AK1636" s="269"/>
      <c r="AL1636" s="269"/>
      <c r="AM1636" s="269"/>
    </row>
    <row r="1637" spans="1:39" ht="12.75" customHeight="1" x14ac:dyDescent="0.2">
      <c r="A1637" s="277" t="str">
        <f>IF(B1637="","",COUNT('Diário 5º PA'!$A$5:$A$2634)+COUNT('Diário 6º PA'!$A$5:$A$2246)+ROW()-4)</f>
        <v/>
      </c>
      <c r="B1637" s="278"/>
      <c r="C1637" s="335"/>
      <c r="D1637" s="255"/>
      <c r="E1637" s="255"/>
      <c r="F1637" s="258"/>
      <c r="G1637" s="450"/>
      <c r="H1637" s="255"/>
      <c r="I1637" s="250"/>
      <c r="J1637" s="255"/>
      <c r="K1637" s="255"/>
      <c r="L1637" s="250"/>
      <c r="M1637" s="277"/>
      <c r="N1637" s="277"/>
      <c r="O1637" s="329"/>
      <c r="P1637" s="330">
        <f t="shared" si="253"/>
        <v>0</v>
      </c>
      <c r="Q1637" s="330">
        <f t="shared" si="254"/>
        <v>0</v>
      </c>
      <c r="R1637" s="331" t="str">
        <f t="shared" si="255"/>
        <v/>
      </c>
      <c r="S1637" s="331" t="str">
        <f>IF(D1637="","",IF(OR(D1637=Plano!$A$1,D1637=Plano!$B$1),"entrada","saída"))</f>
        <v/>
      </c>
      <c r="T1637" s="345"/>
      <c r="U1637" s="345"/>
      <c r="V1637" s="269"/>
      <c r="W1637" s="269"/>
      <c r="X1637" s="269"/>
      <c r="Y1637" s="269"/>
      <c r="Z1637" s="269"/>
      <c r="AA1637" s="269"/>
      <c r="AB1637" s="269"/>
      <c r="AC1637" s="269"/>
      <c r="AD1637" s="269"/>
      <c r="AE1637" s="269"/>
      <c r="AF1637" s="269"/>
      <c r="AG1637" s="269"/>
      <c r="AH1637" s="269"/>
      <c r="AI1637" s="269"/>
      <c r="AJ1637" s="269"/>
      <c r="AK1637" s="269"/>
      <c r="AL1637" s="269"/>
      <c r="AM1637" s="269"/>
    </row>
    <row r="1638" spans="1:39" ht="12.75" customHeight="1" x14ac:dyDescent="0.2">
      <c r="A1638" s="277" t="str">
        <f>IF(B1638="","",COUNT('Diário 5º PA'!$A$5:$A$2634)+COUNT('Diário 6º PA'!$A$5:$A$2246)+ROW()-4)</f>
        <v/>
      </c>
      <c r="B1638" s="278"/>
      <c r="C1638" s="335"/>
      <c r="D1638" s="255"/>
      <c r="E1638" s="255"/>
      <c r="F1638" s="258"/>
      <c r="G1638" s="450"/>
      <c r="H1638" s="255"/>
      <c r="I1638" s="250"/>
      <c r="J1638" s="255"/>
      <c r="K1638" s="255"/>
      <c r="L1638" s="250"/>
      <c r="M1638" s="277"/>
      <c r="N1638" s="277"/>
      <c r="O1638" s="329"/>
      <c r="P1638" s="330">
        <f t="shared" si="253"/>
        <v>0</v>
      </c>
      <c r="Q1638" s="330">
        <f t="shared" si="254"/>
        <v>0</v>
      </c>
      <c r="R1638" s="331" t="str">
        <f t="shared" si="255"/>
        <v/>
      </c>
      <c r="S1638" s="331" t="str">
        <f>IF(D1638="","",IF(OR(D1638=Plano!$A$1,D1638=Plano!$B$1),"entrada","saída"))</f>
        <v/>
      </c>
      <c r="T1638" s="345"/>
      <c r="U1638" s="345"/>
      <c r="V1638" s="269"/>
      <c r="W1638" s="269"/>
      <c r="X1638" s="269"/>
      <c r="Y1638" s="269"/>
      <c r="Z1638" s="269"/>
      <c r="AA1638" s="269"/>
      <c r="AB1638" s="269"/>
      <c r="AC1638" s="269"/>
      <c r="AD1638" s="269"/>
      <c r="AE1638" s="269"/>
      <c r="AF1638" s="269"/>
      <c r="AG1638" s="269"/>
      <c r="AH1638" s="269"/>
      <c r="AI1638" s="269"/>
      <c r="AJ1638" s="269"/>
      <c r="AK1638" s="269"/>
      <c r="AL1638" s="269"/>
      <c r="AM1638" s="269"/>
    </row>
    <row r="1639" spans="1:39" ht="12.75" customHeight="1" x14ac:dyDescent="0.2">
      <c r="A1639" s="277" t="str">
        <f>IF(B1639="","",COUNT('Diário 5º PA'!$A$5:$A$2634)+COUNT('Diário 6º PA'!$A$5:$A$2246)+ROW()-4)</f>
        <v/>
      </c>
      <c r="B1639" s="278"/>
      <c r="C1639" s="335"/>
      <c r="D1639" s="255"/>
      <c r="E1639" s="255"/>
      <c r="F1639" s="258"/>
      <c r="G1639" s="450"/>
      <c r="H1639" s="255"/>
      <c r="I1639" s="250"/>
      <c r="J1639" s="255"/>
      <c r="K1639" s="255"/>
      <c r="L1639" s="250"/>
      <c r="M1639" s="277"/>
      <c r="N1639" s="277"/>
      <c r="O1639" s="329"/>
      <c r="P1639" s="330">
        <f t="shared" si="253"/>
        <v>0</v>
      </c>
      <c r="Q1639" s="330">
        <f t="shared" si="254"/>
        <v>0</v>
      </c>
      <c r="R1639" s="331" t="str">
        <f t="shared" si="255"/>
        <v/>
      </c>
      <c r="S1639" s="331" t="str">
        <f>IF(D1639="","",IF(OR(D1639=Plano!$A$1,D1639=Plano!$B$1),"entrada","saída"))</f>
        <v/>
      </c>
      <c r="T1639" s="345"/>
      <c r="U1639" s="345"/>
      <c r="V1639" s="269"/>
      <c r="W1639" s="269"/>
      <c r="X1639" s="269"/>
      <c r="Y1639" s="269"/>
      <c r="Z1639" s="269"/>
      <c r="AA1639" s="269"/>
      <c r="AB1639" s="269"/>
      <c r="AC1639" s="269"/>
      <c r="AD1639" s="269"/>
      <c r="AE1639" s="269"/>
      <c r="AF1639" s="269"/>
      <c r="AG1639" s="269"/>
      <c r="AH1639" s="269"/>
      <c r="AI1639" s="269"/>
      <c r="AJ1639" s="269"/>
      <c r="AK1639" s="269"/>
      <c r="AL1639" s="269"/>
      <c r="AM1639" s="269"/>
    </row>
    <row r="1640" spans="1:39" ht="12.75" customHeight="1" x14ac:dyDescent="0.2">
      <c r="A1640" s="277" t="str">
        <f>IF(B1640="","",COUNT('Diário 5º PA'!$A$5:$A$2634)+COUNT('Diário 6º PA'!$A$5:$A$2246)+ROW()-4)</f>
        <v/>
      </c>
      <c r="B1640" s="278"/>
      <c r="C1640" s="335"/>
      <c r="D1640" s="255"/>
      <c r="E1640" s="255"/>
      <c r="F1640" s="258"/>
      <c r="G1640" s="450"/>
      <c r="H1640" s="255"/>
      <c r="I1640" s="250"/>
      <c r="J1640" s="255"/>
      <c r="K1640" s="255"/>
      <c r="L1640" s="250"/>
      <c r="M1640" s="277"/>
      <c r="N1640" s="277"/>
      <c r="O1640" s="329"/>
      <c r="P1640" s="330">
        <f t="shared" si="253"/>
        <v>0</v>
      </c>
      <c r="Q1640" s="330">
        <f t="shared" si="254"/>
        <v>0</v>
      </c>
      <c r="R1640" s="331" t="str">
        <f t="shared" si="255"/>
        <v/>
      </c>
      <c r="S1640" s="331" t="str">
        <f>IF(D1640="","",IF(OR(D1640=Plano!$A$1,D1640=Plano!$B$1),"entrada","saída"))</f>
        <v/>
      </c>
      <c r="T1640" s="345"/>
      <c r="U1640" s="345"/>
      <c r="V1640" s="269"/>
      <c r="W1640" s="269"/>
      <c r="X1640" s="269"/>
      <c r="Y1640" s="269"/>
      <c r="Z1640" s="269"/>
      <c r="AA1640" s="269"/>
      <c r="AB1640" s="269"/>
      <c r="AC1640" s="269"/>
      <c r="AD1640" s="269"/>
      <c r="AE1640" s="269"/>
      <c r="AF1640" s="269"/>
      <c r="AG1640" s="269"/>
      <c r="AH1640" s="269"/>
      <c r="AI1640" s="269"/>
      <c r="AJ1640" s="269"/>
      <c r="AK1640" s="269"/>
      <c r="AL1640" s="269"/>
      <c r="AM1640" s="269"/>
    </row>
    <row r="1641" spans="1:39" ht="12.75" customHeight="1" x14ac:dyDescent="0.2">
      <c r="A1641" s="277" t="str">
        <f>IF(B1641="","",COUNT('Diário 5º PA'!$A$5:$A$2634)+COUNT('Diário 6º PA'!$A$5:$A$2246)+ROW()-4)</f>
        <v/>
      </c>
      <c r="B1641" s="278"/>
      <c r="C1641" s="335"/>
      <c r="D1641" s="255"/>
      <c r="E1641" s="255"/>
      <c r="F1641" s="258"/>
      <c r="G1641" s="450"/>
      <c r="H1641" s="255"/>
      <c r="I1641" s="250"/>
      <c r="J1641" s="255"/>
      <c r="K1641" s="255"/>
      <c r="L1641" s="250"/>
      <c r="M1641" s="277"/>
      <c r="N1641" s="277"/>
      <c r="O1641" s="329"/>
      <c r="P1641" s="330">
        <f t="shared" si="253"/>
        <v>0</v>
      </c>
      <c r="Q1641" s="330">
        <f t="shared" si="254"/>
        <v>0</v>
      </c>
      <c r="R1641" s="331" t="str">
        <f t="shared" si="255"/>
        <v/>
      </c>
      <c r="S1641" s="331" t="str">
        <f>IF(D1641="","",IF(OR(D1641=Plano!$A$1,D1641=Plano!$B$1),"entrada","saída"))</f>
        <v/>
      </c>
      <c r="T1641" s="345"/>
      <c r="U1641" s="345"/>
      <c r="V1641" s="269"/>
      <c r="W1641" s="269"/>
      <c r="X1641" s="269"/>
      <c r="Y1641" s="269"/>
      <c r="Z1641" s="269"/>
      <c r="AA1641" s="269"/>
      <c r="AB1641" s="269"/>
      <c r="AC1641" s="269"/>
      <c r="AD1641" s="269"/>
      <c r="AE1641" s="269"/>
      <c r="AF1641" s="269"/>
      <c r="AG1641" s="269"/>
      <c r="AH1641" s="269"/>
      <c r="AI1641" s="269"/>
      <c r="AJ1641" s="269"/>
      <c r="AK1641" s="269"/>
      <c r="AL1641" s="269"/>
      <c r="AM1641" s="269"/>
    </row>
    <row r="1642" spans="1:39" ht="12.75" customHeight="1" x14ac:dyDescent="0.2">
      <c r="A1642" s="277" t="str">
        <f>IF(B1642="","",COUNT('Diário 5º PA'!$A$5:$A$2634)+COUNT('Diário 6º PA'!$A$5:$A$2246)+ROW()-4)</f>
        <v/>
      </c>
      <c r="B1642" s="278"/>
      <c r="C1642" s="335"/>
      <c r="D1642" s="255"/>
      <c r="E1642" s="255"/>
      <c r="F1642" s="258"/>
      <c r="G1642" s="450"/>
      <c r="H1642" s="255"/>
      <c r="I1642" s="250"/>
      <c r="J1642" s="255"/>
      <c r="K1642" s="255"/>
      <c r="L1642" s="250"/>
      <c r="M1642" s="277"/>
      <c r="N1642" s="277"/>
      <c r="O1642" s="329"/>
      <c r="P1642" s="330">
        <f t="shared" si="253"/>
        <v>0</v>
      </c>
      <c r="Q1642" s="330">
        <f t="shared" si="254"/>
        <v>0</v>
      </c>
      <c r="R1642" s="331" t="str">
        <f t="shared" si="255"/>
        <v/>
      </c>
      <c r="S1642" s="331" t="str">
        <f>IF(D1642="","",IF(OR(D1642=Plano!$A$1,D1642=Plano!$B$1),"entrada","saída"))</f>
        <v/>
      </c>
      <c r="T1642" s="345"/>
      <c r="U1642" s="345"/>
      <c r="V1642" s="269"/>
      <c r="W1642" s="269"/>
      <c r="X1642" s="269"/>
      <c r="Y1642" s="269"/>
      <c r="Z1642" s="269"/>
      <c r="AA1642" s="269"/>
      <c r="AB1642" s="269"/>
      <c r="AC1642" s="269"/>
      <c r="AD1642" s="269"/>
      <c r="AE1642" s="269"/>
      <c r="AF1642" s="269"/>
      <c r="AG1642" s="269"/>
      <c r="AH1642" s="269"/>
      <c r="AI1642" s="269"/>
      <c r="AJ1642" s="269"/>
      <c r="AK1642" s="269"/>
      <c r="AL1642" s="269"/>
      <c r="AM1642" s="269"/>
    </row>
    <row r="1643" spans="1:39" ht="12.75" customHeight="1" x14ac:dyDescent="0.2">
      <c r="A1643" s="277" t="str">
        <f>IF(B1643="","",COUNT('Diário 5º PA'!$A$5:$A$2634)+COUNT('Diário 6º PA'!$A$5:$A$2246)+ROW()-4)</f>
        <v/>
      </c>
      <c r="B1643" s="278"/>
      <c r="C1643" s="335"/>
      <c r="D1643" s="255"/>
      <c r="E1643" s="255"/>
      <c r="F1643" s="258"/>
      <c r="G1643" s="450"/>
      <c r="H1643" s="255"/>
      <c r="I1643" s="250"/>
      <c r="J1643" s="255"/>
      <c r="K1643" s="255"/>
      <c r="L1643" s="250"/>
      <c r="M1643" s="277"/>
      <c r="N1643" s="277"/>
      <c r="O1643" s="329"/>
      <c r="P1643" s="330">
        <f t="shared" ref="P1643:P1706" si="256">IF(B1643=0,0,IF(YEAR(B1643)=$Q$1,MONTH(B1643)-$P$1+1,(YEAR(B1643)-$Q$1)*12-$P$1+1+MONTH(B1643)))</f>
        <v>0</v>
      </c>
      <c r="Q1643" s="330">
        <f t="shared" ref="Q1643:Q1706" si="257">IF(C1643=0,0,IF(YEAR(C1643)=$Q$1,MONTH(C1643)-$P$1+1,(YEAR(C1643)-$Q$1)*12-$P$1+1+MONTH(C1643)))</f>
        <v>0</v>
      </c>
      <c r="R1643" s="331" t="str">
        <f t="shared" ref="R1643:R1706" si="258">SUBSTITUTE(D1643," ","_")</f>
        <v/>
      </c>
      <c r="S1643" s="331" t="str">
        <f>IF(D1643="","",IF(OR(D1643=Plano!$A$1,D1643=Plano!$B$1),"entrada","saída"))</f>
        <v/>
      </c>
      <c r="T1643" s="345"/>
      <c r="U1643" s="345"/>
      <c r="V1643" s="269"/>
      <c r="W1643" s="269"/>
      <c r="X1643" s="269"/>
      <c r="Y1643" s="269"/>
      <c r="Z1643" s="269"/>
      <c r="AA1643" s="269"/>
      <c r="AB1643" s="269"/>
      <c r="AC1643" s="269"/>
      <c r="AD1643" s="269"/>
      <c r="AE1643" s="269"/>
      <c r="AF1643" s="269"/>
      <c r="AG1643" s="269"/>
      <c r="AH1643" s="269"/>
      <c r="AI1643" s="269"/>
      <c r="AJ1643" s="269"/>
      <c r="AK1643" s="269"/>
      <c r="AL1643" s="269"/>
      <c r="AM1643" s="269"/>
    </row>
    <row r="1644" spans="1:39" ht="12.75" customHeight="1" x14ac:dyDescent="0.2">
      <c r="A1644" s="277" t="str">
        <f>IF(B1644="","",COUNT('Diário 5º PA'!$A$5:$A$2634)+COUNT('Diário 6º PA'!$A$5:$A$2246)+ROW()-4)</f>
        <v/>
      </c>
      <c r="B1644" s="278"/>
      <c r="C1644" s="335"/>
      <c r="D1644" s="255"/>
      <c r="E1644" s="255"/>
      <c r="F1644" s="258"/>
      <c r="G1644" s="450"/>
      <c r="H1644" s="255"/>
      <c r="I1644" s="250"/>
      <c r="J1644" s="255"/>
      <c r="K1644" s="255"/>
      <c r="L1644" s="250"/>
      <c r="M1644" s="277"/>
      <c r="N1644" s="277"/>
      <c r="O1644" s="329"/>
      <c r="P1644" s="330">
        <f t="shared" si="256"/>
        <v>0</v>
      </c>
      <c r="Q1644" s="330">
        <f t="shared" si="257"/>
        <v>0</v>
      </c>
      <c r="R1644" s="331" t="str">
        <f t="shared" si="258"/>
        <v/>
      </c>
      <c r="S1644" s="331" t="str">
        <f>IF(D1644="","",IF(OR(D1644=Plano!$A$1,D1644=Plano!$B$1),"entrada","saída"))</f>
        <v/>
      </c>
      <c r="T1644" s="345"/>
      <c r="U1644" s="345"/>
      <c r="V1644" s="269"/>
      <c r="W1644" s="269"/>
      <c r="X1644" s="269"/>
      <c r="Y1644" s="269"/>
      <c r="Z1644" s="269"/>
      <c r="AA1644" s="269"/>
      <c r="AB1644" s="269"/>
      <c r="AC1644" s="269"/>
      <c r="AD1644" s="269"/>
      <c r="AE1644" s="269"/>
      <c r="AF1644" s="269"/>
      <c r="AG1644" s="269"/>
      <c r="AH1644" s="269"/>
      <c r="AI1644" s="269"/>
      <c r="AJ1644" s="269"/>
      <c r="AK1644" s="269"/>
      <c r="AL1644" s="269"/>
      <c r="AM1644" s="269"/>
    </row>
    <row r="1645" spans="1:39" ht="12.75" customHeight="1" x14ac:dyDescent="0.2">
      <c r="A1645" s="277" t="str">
        <f>IF(B1645="","",COUNT('Diário 5º PA'!$A$5:$A$2634)+COUNT('Diário 6º PA'!$A$5:$A$2246)+ROW()-4)</f>
        <v/>
      </c>
      <c r="B1645" s="278"/>
      <c r="C1645" s="335"/>
      <c r="D1645" s="255"/>
      <c r="E1645" s="255"/>
      <c r="F1645" s="258"/>
      <c r="G1645" s="450"/>
      <c r="H1645" s="255"/>
      <c r="I1645" s="250"/>
      <c r="J1645" s="255"/>
      <c r="K1645" s="255"/>
      <c r="L1645" s="250"/>
      <c r="M1645" s="277"/>
      <c r="N1645" s="277"/>
      <c r="O1645" s="329"/>
      <c r="P1645" s="330">
        <f t="shared" si="256"/>
        <v>0</v>
      </c>
      <c r="Q1645" s="330">
        <f t="shared" si="257"/>
        <v>0</v>
      </c>
      <c r="R1645" s="331" t="str">
        <f t="shared" si="258"/>
        <v/>
      </c>
      <c r="S1645" s="331" t="str">
        <f>IF(D1645="","",IF(OR(D1645=Plano!$A$1,D1645=Plano!$B$1),"entrada","saída"))</f>
        <v/>
      </c>
      <c r="T1645" s="345"/>
      <c r="U1645" s="345"/>
      <c r="V1645" s="269"/>
      <c r="W1645" s="269"/>
      <c r="X1645" s="269"/>
      <c r="Y1645" s="269"/>
      <c r="Z1645" s="269"/>
      <c r="AA1645" s="269"/>
      <c r="AB1645" s="269"/>
      <c r="AC1645" s="269"/>
      <c r="AD1645" s="269"/>
      <c r="AE1645" s="269"/>
      <c r="AF1645" s="269"/>
      <c r="AG1645" s="269"/>
      <c r="AH1645" s="269"/>
      <c r="AI1645" s="269"/>
      <c r="AJ1645" s="269"/>
      <c r="AK1645" s="269"/>
      <c r="AL1645" s="269"/>
      <c r="AM1645" s="269"/>
    </row>
    <row r="1646" spans="1:39" ht="12.75" customHeight="1" x14ac:dyDescent="0.2">
      <c r="A1646" s="277" t="str">
        <f>IF(B1646="","",COUNT('Diário 5º PA'!$A$5:$A$2634)+COUNT('Diário 6º PA'!$A$5:$A$2246)+ROW()-4)</f>
        <v/>
      </c>
      <c r="B1646" s="278"/>
      <c r="C1646" s="335"/>
      <c r="D1646" s="255"/>
      <c r="E1646" s="255"/>
      <c r="F1646" s="258"/>
      <c r="G1646" s="450"/>
      <c r="H1646" s="255"/>
      <c r="I1646" s="250"/>
      <c r="J1646" s="255"/>
      <c r="K1646" s="255"/>
      <c r="L1646" s="250"/>
      <c r="M1646" s="277"/>
      <c r="N1646" s="277"/>
      <c r="O1646" s="329"/>
      <c r="P1646" s="330">
        <f t="shared" si="256"/>
        <v>0</v>
      </c>
      <c r="Q1646" s="330">
        <f t="shared" si="257"/>
        <v>0</v>
      </c>
      <c r="R1646" s="331" t="str">
        <f t="shared" si="258"/>
        <v/>
      </c>
      <c r="S1646" s="331" t="str">
        <f>IF(D1646="","",IF(OR(D1646=Plano!$A$1,D1646=Plano!$B$1),"entrada","saída"))</f>
        <v/>
      </c>
      <c r="T1646" s="345"/>
      <c r="U1646" s="345"/>
      <c r="V1646" s="269"/>
      <c r="W1646" s="269"/>
      <c r="X1646" s="269"/>
      <c r="Y1646" s="269"/>
      <c r="Z1646" s="269"/>
      <c r="AA1646" s="269"/>
      <c r="AB1646" s="269"/>
      <c r="AC1646" s="269"/>
      <c r="AD1646" s="269"/>
      <c r="AE1646" s="269"/>
      <c r="AF1646" s="269"/>
      <c r="AG1646" s="269"/>
      <c r="AH1646" s="269"/>
      <c r="AI1646" s="269"/>
      <c r="AJ1646" s="269"/>
      <c r="AK1646" s="269"/>
      <c r="AL1646" s="269"/>
      <c r="AM1646" s="269"/>
    </row>
    <row r="1647" spans="1:39" ht="12.75" customHeight="1" x14ac:dyDescent="0.2">
      <c r="A1647" s="277" t="str">
        <f>IF(B1647="","",COUNT('Diário 5º PA'!$A$5:$A$2634)+COUNT('Diário 6º PA'!$A$5:$A$2246)+ROW()-4)</f>
        <v/>
      </c>
      <c r="B1647" s="278"/>
      <c r="C1647" s="335"/>
      <c r="D1647" s="255"/>
      <c r="E1647" s="255"/>
      <c r="F1647" s="258"/>
      <c r="G1647" s="450"/>
      <c r="H1647" s="255"/>
      <c r="I1647" s="250"/>
      <c r="J1647" s="255"/>
      <c r="K1647" s="255"/>
      <c r="L1647" s="250"/>
      <c r="M1647" s="277"/>
      <c r="N1647" s="277"/>
      <c r="O1647" s="329"/>
      <c r="P1647" s="330">
        <f t="shared" si="256"/>
        <v>0</v>
      </c>
      <c r="Q1647" s="330">
        <f t="shared" si="257"/>
        <v>0</v>
      </c>
      <c r="R1647" s="331" t="str">
        <f t="shared" si="258"/>
        <v/>
      </c>
      <c r="S1647" s="331" t="str">
        <f>IF(D1647="","",IF(OR(D1647=Plano!$A$1,D1647=Plano!$B$1),"entrada","saída"))</f>
        <v/>
      </c>
      <c r="T1647" s="345"/>
      <c r="U1647" s="345"/>
      <c r="V1647" s="269"/>
      <c r="W1647" s="269"/>
      <c r="X1647" s="269"/>
      <c r="Y1647" s="269"/>
      <c r="Z1647" s="269"/>
      <c r="AA1647" s="269"/>
      <c r="AB1647" s="269"/>
      <c r="AC1647" s="269"/>
      <c r="AD1647" s="269"/>
      <c r="AE1647" s="269"/>
      <c r="AF1647" s="269"/>
      <c r="AG1647" s="269"/>
      <c r="AH1647" s="269"/>
      <c r="AI1647" s="269"/>
      <c r="AJ1647" s="269"/>
      <c r="AK1647" s="269"/>
      <c r="AL1647" s="269"/>
      <c r="AM1647" s="269"/>
    </row>
    <row r="1648" spans="1:39" ht="12.75" customHeight="1" x14ac:dyDescent="0.2">
      <c r="A1648" s="277" t="str">
        <f>IF(B1648="","",COUNT('Diário 5º PA'!$A$5:$A$2634)+COUNT('Diário 6º PA'!$A$5:$A$2246)+ROW()-4)</f>
        <v/>
      </c>
      <c r="B1648" s="278"/>
      <c r="C1648" s="335"/>
      <c r="D1648" s="255"/>
      <c r="E1648" s="255"/>
      <c r="F1648" s="258"/>
      <c r="G1648" s="450"/>
      <c r="H1648" s="255"/>
      <c r="I1648" s="250"/>
      <c r="J1648" s="255"/>
      <c r="K1648" s="255"/>
      <c r="L1648" s="250"/>
      <c r="M1648" s="277"/>
      <c r="N1648" s="277"/>
      <c r="O1648" s="329"/>
      <c r="P1648" s="330">
        <f t="shared" si="256"/>
        <v>0</v>
      </c>
      <c r="Q1648" s="330">
        <f t="shared" si="257"/>
        <v>0</v>
      </c>
      <c r="R1648" s="331" t="str">
        <f t="shared" si="258"/>
        <v/>
      </c>
      <c r="S1648" s="331" t="str">
        <f>IF(D1648="","",IF(OR(D1648=Plano!$A$1,D1648=Plano!$B$1),"entrada","saída"))</f>
        <v/>
      </c>
      <c r="T1648" s="345"/>
      <c r="U1648" s="345"/>
      <c r="V1648" s="269"/>
      <c r="W1648" s="269"/>
      <c r="X1648" s="269"/>
      <c r="Y1648" s="269"/>
      <c r="Z1648" s="269"/>
      <c r="AA1648" s="269"/>
      <c r="AB1648" s="269"/>
      <c r="AC1648" s="269"/>
      <c r="AD1648" s="269"/>
      <c r="AE1648" s="269"/>
      <c r="AF1648" s="269"/>
      <c r="AG1648" s="269"/>
      <c r="AH1648" s="269"/>
      <c r="AI1648" s="269"/>
      <c r="AJ1648" s="269"/>
      <c r="AK1648" s="269"/>
      <c r="AL1648" s="269"/>
      <c r="AM1648" s="269"/>
    </row>
    <row r="1649" spans="1:39" ht="12.75" customHeight="1" x14ac:dyDescent="0.2">
      <c r="A1649" s="277" t="str">
        <f>IF(B1649="","",COUNT('Diário 5º PA'!$A$5:$A$2634)+COUNT('Diário 6º PA'!$A$5:$A$2246)+ROW()-4)</f>
        <v/>
      </c>
      <c r="B1649" s="278"/>
      <c r="C1649" s="335"/>
      <c r="D1649" s="255"/>
      <c r="E1649" s="255"/>
      <c r="F1649" s="258"/>
      <c r="G1649" s="450"/>
      <c r="H1649" s="255"/>
      <c r="I1649" s="250"/>
      <c r="J1649" s="255"/>
      <c r="K1649" s="255"/>
      <c r="L1649" s="250"/>
      <c r="M1649" s="277"/>
      <c r="N1649" s="277"/>
      <c r="O1649" s="329"/>
      <c r="P1649" s="330">
        <f t="shared" si="256"/>
        <v>0</v>
      </c>
      <c r="Q1649" s="330">
        <f t="shared" si="257"/>
        <v>0</v>
      </c>
      <c r="R1649" s="331" t="str">
        <f t="shared" si="258"/>
        <v/>
      </c>
      <c r="S1649" s="331" t="str">
        <f>IF(D1649="","",IF(OR(D1649=Plano!$A$1,D1649=Plano!$B$1),"entrada","saída"))</f>
        <v/>
      </c>
      <c r="T1649" s="345"/>
      <c r="U1649" s="345"/>
      <c r="V1649" s="269"/>
      <c r="W1649" s="269"/>
      <c r="X1649" s="269"/>
      <c r="Y1649" s="269"/>
      <c r="Z1649" s="269"/>
      <c r="AA1649" s="269"/>
      <c r="AB1649" s="269"/>
      <c r="AC1649" s="269"/>
      <c r="AD1649" s="269"/>
      <c r="AE1649" s="269"/>
      <c r="AF1649" s="269"/>
      <c r="AG1649" s="269"/>
      <c r="AH1649" s="269"/>
      <c r="AI1649" s="269"/>
      <c r="AJ1649" s="269"/>
      <c r="AK1649" s="269"/>
      <c r="AL1649" s="269"/>
      <c r="AM1649" s="269"/>
    </row>
    <row r="1650" spans="1:39" ht="12.75" customHeight="1" x14ac:dyDescent="0.2">
      <c r="A1650" s="277" t="str">
        <f>IF(B1650="","",COUNT('Diário 5º PA'!$A$5:$A$2634)+COUNT('Diário 6º PA'!$A$5:$A$2246)+ROW()-4)</f>
        <v/>
      </c>
      <c r="B1650" s="278"/>
      <c r="C1650" s="335"/>
      <c r="D1650" s="255"/>
      <c r="E1650" s="255"/>
      <c r="F1650" s="258"/>
      <c r="G1650" s="450"/>
      <c r="H1650" s="255"/>
      <c r="I1650" s="250"/>
      <c r="J1650" s="255"/>
      <c r="K1650" s="255"/>
      <c r="L1650" s="250"/>
      <c r="M1650" s="277"/>
      <c r="N1650" s="277"/>
      <c r="O1650" s="329"/>
      <c r="P1650" s="330">
        <f t="shared" si="256"/>
        <v>0</v>
      </c>
      <c r="Q1650" s="330">
        <f t="shared" si="257"/>
        <v>0</v>
      </c>
      <c r="R1650" s="331" t="str">
        <f t="shared" si="258"/>
        <v/>
      </c>
      <c r="S1650" s="331" t="str">
        <f>IF(D1650="","",IF(OR(D1650=Plano!$A$1,D1650=Plano!$B$1),"entrada","saída"))</f>
        <v/>
      </c>
      <c r="T1650" s="345"/>
      <c r="U1650" s="345"/>
      <c r="V1650" s="269"/>
      <c r="W1650" s="269"/>
      <c r="X1650" s="269"/>
      <c r="Y1650" s="269"/>
      <c r="Z1650" s="269"/>
      <c r="AA1650" s="269"/>
      <c r="AB1650" s="269"/>
      <c r="AC1650" s="269"/>
      <c r="AD1650" s="269"/>
      <c r="AE1650" s="269"/>
      <c r="AF1650" s="269"/>
      <c r="AG1650" s="269"/>
      <c r="AH1650" s="269"/>
      <c r="AI1650" s="269"/>
      <c r="AJ1650" s="269"/>
      <c r="AK1650" s="269"/>
      <c r="AL1650" s="269"/>
      <c r="AM1650" s="269"/>
    </row>
    <row r="1651" spans="1:39" ht="12.75" customHeight="1" x14ac:dyDescent="0.2">
      <c r="A1651" s="277" t="str">
        <f>IF(B1651="","",COUNT('Diário 5º PA'!$A$5:$A$2634)+COUNT('Diário 6º PA'!$A$5:$A$2246)+ROW()-4)</f>
        <v/>
      </c>
      <c r="B1651" s="278"/>
      <c r="C1651" s="335"/>
      <c r="D1651" s="255"/>
      <c r="E1651" s="255"/>
      <c r="F1651" s="258"/>
      <c r="G1651" s="450"/>
      <c r="H1651" s="255"/>
      <c r="I1651" s="250"/>
      <c r="J1651" s="255"/>
      <c r="K1651" s="255"/>
      <c r="L1651" s="250"/>
      <c r="M1651" s="277"/>
      <c r="N1651" s="277"/>
      <c r="O1651" s="329"/>
      <c r="P1651" s="330">
        <f t="shared" si="256"/>
        <v>0</v>
      </c>
      <c r="Q1651" s="330">
        <f t="shared" si="257"/>
        <v>0</v>
      </c>
      <c r="R1651" s="331" t="str">
        <f t="shared" si="258"/>
        <v/>
      </c>
      <c r="S1651" s="331" t="str">
        <f>IF(D1651="","",IF(OR(D1651=Plano!$A$1,D1651=Plano!$B$1),"entrada","saída"))</f>
        <v/>
      </c>
      <c r="T1651" s="345"/>
      <c r="U1651" s="345"/>
      <c r="V1651" s="269"/>
      <c r="W1651" s="269"/>
      <c r="X1651" s="269"/>
      <c r="Y1651" s="269"/>
      <c r="Z1651" s="269"/>
      <c r="AA1651" s="269"/>
      <c r="AB1651" s="269"/>
      <c r="AC1651" s="269"/>
      <c r="AD1651" s="269"/>
      <c r="AE1651" s="269"/>
      <c r="AF1651" s="269"/>
      <c r="AG1651" s="269"/>
      <c r="AH1651" s="269"/>
      <c r="AI1651" s="269"/>
      <c r="AJ1651" s="269"/>
      <c r="AK1651" s="269"/>
      <c r="AL1651" s="269"/>
      <c r="AM1651" s="269"/>
    </row>
    <row r="1652" spans="1:39" ht="12.75" customHeight="1" x14ac:dyDescent="0.2">
      <c r="A1652" s="277" t="str">
        <f>IF(B1652="","",COUNT('Diário 5º PA'!$A$5:$A$2634)+COUNT('Diário 6º PA'!$A$5:$A$2246)+ROW()-4)</f>
        <v/>
      </c>
      <c r="B1652" s="278"/>
      <c r="C1652" s="335"/>
      <c r="D1652" s="255"/>
      <c r="E1652" s="255"/>
      <c r="F1652" s="258"/>
      <c r="G1652" s="450"/>
      <c r="H1652" s="255"/>
      <c r="I1652" s="250"/>
      <c r="J1652" s="255"/>
      <c r="K1652" s="255"/>
      <c r="L1652" s="250"/>
      <c r="M1652" s="277"/>
      <c r="N1652" s="277"/>
      <c r="O1652" s="329"/>
      <c r="P1652" s="330">
        <f t="shared" si="256"/>
        <v>0</v>
      </c>
      <c r="Q1652" s="330">
        <f t="shared" si="257"/>
        <v>0</v>
      </c>
      <c r="R1652" s="331" t="str">
        <f t="shared" si="258"/>
        <v/>
      </c>
      <c r="S1652" s="331" t="str">
        <f>IF(D1652="","",IF(OR(D1652=Plano!$A$1,D1652=Plano!$B$1),"entrada","saída"))</f>
        <v/>
      </c>
      <c r="T1652" s="345"/>
      <c r="U1652" s="345"/>
      <c r="V1652" s="269"/>
      <c r="W1652" s="269"/>
      <c r="X1652" s="269"/>
      <c r="Y1652" s="269"/>
      <c r="Z1652" s="269"/>
      <c r="AA1652" s="269"/>
      <c r="AB1652" s="269"/>
      <c r="AC1652" s="269"/>
      <c r="AD1652" s="269"/>
      <c r="AE1652" s="269"/>
      <c r="AF1652" s="269"/>
      <c r="AG1652" s="269"/>
      <c r="AH1652" s="269"/>
      <c r="AI1652" s="269"/>
      <c r="AJ1652" s="269"/>
      <c r="AK1652" s="269"/>
      <c r="AL1652" s="269"/>
      <c r="AM1652" s="269"/>
    </row>
    <row r="1653" spans="1:39" ht="12.75" customHeight="1" x14ac:dyDescent="0.2">
      <c r="A1653" s="277" t="str">
        <f>IF(B1653="","",COUNT('Diário 5º PA'!$A$5:$A$2634)+COUNT('Diário 6º PA'!$A$5:$A$2246)+ROW()-4)</f>
        <v/>
      </c>
      <c r="B1653" s="278"/>
      <c r="C1653" s="335"/>
      <c r="D1653" s="255"/>
      <c r="E1653" s="255"/>
      <c r="F1653" s="258"/>
      <c r="G1653" s="450"/>
      <c r="H1653" s="255"/>
      <c r="I1653" s="250"/>
      <c r="J1653" s="255"/>
      <c r="K1653" s="255"/>
      <c r="L1653" s="250"/>
      <c r="M1653" s="277"/>
      <c r="N1653" s="277"/>
      <c r="O1653" s="329"/>
      <c r="P1653" s="330">
        <f t="shared" si="256"/>
        <v>0</v>
      </c>
      <c r="Q1653" s="330">
        <f t="shared" si="257"/>
        <v>0</v>
      </c>
      <c r="R1653" s="331" t="str">
        <f t="shared" si="258"/>
        <v/>
      </c>
      <c r="S1653" s="331" t="str">
        <f>IF(D1653="","",IF(OR(D1653=Plano!$A$1,D1653=Plano!$B$1),"entrada","saída"))</f>
        <v/>
      </c>
      <c r="T1653" s="345"/>
      <c r="U1653" s="345"/>
      <c r="V1653" s="269"/>
      <c r="W1653" s="269"/>
      <c r="X1653" s="269"/>
      <c r="Y1653" s="269"/>
      <c r="Z1653" s="269"/>
      <c r="AA1653" s="269"/>
      <c r="AB1653" s="269"/>
      <c r="AC1653" s="269"/>
      <c r="AD1653" s="269"/>
      <c r="AE1653" s="269"/>
      <c r="AF1653" s="269"/>
      <c r="AG1653" s="269"/>
      <c r="AH1653" s="269"/>
      <c r="AI1653" s="269"/>
      <c r="AJ1653" s="269"/>
      <c r="AK1653" s="269"/>
      <c r="AL1653" s="269"/>
      <c r="AM1653" s="269"/>
    </row>
    <row r="1654" spans="1:39" ht="12.75" customHeight="1" x14ac:dyDescent="0.2">
      <c r="A1654" s="277" t="str">
        <f>IF(B1654="","",COUNT('Diário 5º PA'!$A$5:$A$2634)+COUNT('Diário 6º PA'!$A$5:$A$2246)+ROW()-4)</f>
        <v/>
      </c>
      <c r="B1654" s="278"/>
      <c r="C1654" s="335"/>
      <c r="D1654" s="255"/>
      <c r="E1654" s="255"/>
      <c r="F1654" s="258"/>
      <c r="G1654" s="450"/>
      <c r="H1654" s="255"/>
      <c r="I1654" s="250"/>
      <c r="J1654" s="255"/>
      <c r="K1654" s="255"/>
      <c r="L1654" s="250"/>
      <c r="M1654" s="277"/>
      <c r="N1654" s="277"/>
      <c r="O1654" s="329"/>
      <c r="P1654" s="330">
        <f t="shared" si="256"/>
        <v>0</v>
      </c>
      <c r="Q1654" s="330">
        <f t="shared" si="257"/>
        <v>0</v>
      </c>
      <c r="R1654" s="331" t="str">
        <f t="shared" si="258"/>
        <v/>
      </c>
      <c r="S1654" s="331" t="str">
        <f>IF(D1654="","",IF(OR(D1654=Plano!$A$1,D1654=Plano!$B$1),"entrada","saída"))</f>
        <v/>
      </c>
      <c r="T1654" s="345"/>
      <c r="U1654" s="345"/>
      <c r="V1654" s="269"/>
      <c r="W1654" s="269"/>
      <c r="X1654" s="269"/>
      <c r="Y1654" s="269"/>
      <c r="Z1654" s="269"/>
      <c r="AA1654" s="269"/>
      <c r="AB1654" s="269"/>
      <c r="AC1654" s="269"/>
      <c r="AD1654" s="269"/>
      <c r="AE1654" s="269"/>
      <c r="AF1654" s="269"/>
      <c r="AG1654" s="269"/>
      <c r="AH1654" s="269"/>
      <c r="AI1654" s="269"/>
      <c r="AJ1654" s="269"/>
      <c r="AK1654" s="269"/>
      <c r="AL1654" s="269"/>
      <c r="AM1654" s="269"/>
    </row>
    <row r="1655" spans="1:39" ht="12.75" customHeight="1" x14ac:dyDescent="0.2">
      <c r="A1655" s="277" t="str">
        <f>IF(B1655="","",COUNT('Diário 5º PA'!$A$5:$A$2634)+COUNT('Diário 6º PA'!$A$5:$A$2246)+ROW()-4)</f>
        <v/>
      </c>
      <c r="B1655" s="278"/>
      <c r="C1655" s="335"/>
      <c r="D1655" s="255"/>
      <c r="E1655" s="255"/>
      <c r="F1655" s="258"/>
      <c r="G1655" s="450"/>
      <c r="H1655" s="255"/>
      <c r="I1655" s="250"/>
      <c r="J1655" s="255"/>
      <c r="K1655" s="255"/>
      <c r="L1655" s="250"/>
      <c r="M1655" s="277"/>
      <c r="N1655" s="277"/>
      <c r="O1655" s="329"/>
      <c r="P1655" s="330">
        <f t="shared" si="256"/>
        <v>0</v>
      </c>
      <c r="Q1655" s="330">
        <f t="shared" si="257"/>
        <v>0</v>
      </c>
      <c r="R1655" s="331" t="str">
        <f t="shared" si="258"/>
        <v/>
      </c>
      <c r="S1655" s="331" t="str">
        <f>IF(D1655="","",IF(OR(D1655=Plano!$A$1,D1655=Plano!$B$1),"entrada","saída"))</f>
        <v/>
      </c>
      <c r="T1655" s="345"/>
      <c r="U1655" s="345"/>
      <c r="V1655" s="269"/>
      <c r="W1655" s="269"/>
      <c r="X1655" s="269"/>
      <c r="Y1655" s="269"/>
      <c r="Z1655" s="269"/>
      <c r="AA1655" s="269"/>
      <c r="AB1655" s="269"/>
      <c r="AC1655" s="269"/>
      <c r="AD1655" s="269"/>
      <c r="AE1655" s="269"/>
      <c r="AF1655" s="269"/>
      <c r="AG1655" s="269"/>
      <c r="AH1655" s="269"/>
      <c r="AI1655" s="269"/>
      <c r="AJ1655" s="269"/>
      <c r="AK1655" s="269"/>
      <c r="AL1655" s="269"/>
      <c r="AM1655" s="269"/>
    </row>
    <row r="1656" spans="1:39" ht="12.75" customHeight="1" x14ac:dyDescent="0.2">
      <c r="A1656" s="277" t="str">
        <f>IF(B1656="","",COUNT('Diário 5º PA'!$A$5:$A$2634)+COUNT('Diário 6º PA'!$A$5:$A$2246)+ROW()-4)</f>
        <v/>
      </c>
      <c r="B1656" s="278"/>
      <c r="C1656" s="335"/>
      <c r="D1656" s="255"/>
      <c r="E1656" s="255"/>
      <c r="F1656" s="258"/>
      <c r="G1656" s="450"/>
      <c r="H1656" s="255"/>
      <c r="I1656" s="250"/>
      <c r="J1656" s="255"/>
      <c r="K1656" s="255"/>
      <c r="L1656" s="250"/>
      <c r="M1656" s="277"/>
      <c r="N1656" s="277"/>
      <c r="O1656" s="329"/>
      <c r="P1656" s="330">
        <f t="shared" si="256"/>
        <v>0</v>
      </c>
      <c r="Q1656" s="330">
        <f t="shared" si="257"/>
        <v>0</v>
      </c>
      <c r="R1656" s="331" t="str">
        <f t="shared" si="258"/>
        <v/>
      </c>
      <c r="S1656" s="331" t="str">
        <f>IF(D1656="","",IF(OR(D1656=Plano!$A$1,D1656=Plano!$B$1),"entrada","saída"))</f>
        <v/>
      </c>
      <c r="T1656" s="345"/>
      <c r="U1656" s="345"/>
      <c r="V1656" s="269"/>
      <c r="W1656" s="269"/>
      <c r="X1656" s="269"/>
      <c r="Y1656" s="269"/>
      <c r="Z1656" s="269"/>
      <c r="AA1656" s="269"/>
      <c r="AB1656" s="269"/>
      <c r="AC1656" s="269"/>
      <c r="AD1656" s="269"/>
      <c r="AE1656" s="269"/>
      <c r="AF1656" s="269"/>
      <c r="AG1656" s="269"/>
      <c r="AH1656" s="269"/>
      <c r="AI1656" s="269"/>
      <c r="AJ1656" s="269"/>
      <c r="AK1656" s="269"/>
      <c r="AL1656" s="269"/>
      <c r="AM1656" s="269"/>
    </row>
    <row r="1657" spans="1:39" ht="12.75" customHeight="1" x14ac:dyDescent="0.2">
      <c r="A1657" s="277" t="str">
        <f>IF(B1657="","",COUNT('Diário 5º PA'!$A$5:$A$2634)+COUNT('Diário 6º PA'!$A$5:$A$2246)+ROW()-4)</f>
        <v/>
      </c>
      <c r="B1657" s="278"/>
      <c r="C1657" s="335"/>
      <c r="D1657" s="255"/>
      <c r="E1657" s="255"/>
      <c r="F1657" s="258"/>
      <c r="G1657" s="450"/>
      <c r="H1657" s="255"/>
      <c r="I1657" s="250"/>
      <c r="J1657" s="255"/>
      <c r="K1657" s="255"/>
      <c r="L1657" s="250"/>
      <c r="M1657" s="277"/>
      <c r="N1657" s="277"/>
      <c r="O1657" s="329"/>
      <c r="P1657" s="330">
        <f t="shared" si="256"/>
        <v>0</v>
      </c>
      <c r="Q1657" s="330">
        <f t="shared" si="257"/>
        <v>0</v>
      </c>
      <c r="R1657" s="331" t="str">
        <f t="shared" si="258"/>
        <v/>
      </c>
      <c r="S1657" s="331" t="str">
        <f>IF(D1657="","",IF(OR(D1657=Plano!$A$1,D1657=Plano!$B$1),"entrada","saída"))</f>
        <v/>
      </c>
      <c r="T1657" s="345"/>
      <c r="U1657" s="345"/>
      <c r="V1657" s="269"/>
      <c r="W1657" s="269"/>
      <c r="X1657" s="269"/>
      <c r="Y1657" s="269"/>
      <c r="Z1657" s="269"/>
      <c r="AA1657" s="269"/>
      <c r="AB1657" s="269"/>
      <c r="AC1657" s="269"/>
      <c r="AD1657" s="269"/>
      <c r="AE1657" s="269"/>
      <c r="AF1657" s="269"/>
      <c r="AG1657" s="269"/>
      <c r="AH1657" s="269"/>
      <c r="AI1657" s="269"/>
      <c r="AJ1657" s="269"/>
      <c r="AK1657" s="269"/>
      <c r="AL1657" s="269"/>
      <c r="AM1657" s="269"/>
    </row>
    <row r="1658" spans="1:39" ht="12.75" customHeight="1" x14ac:dyDescent="0.2">
      <c r="A1658" s="277" t="str">
        <f>IF(B1658="","",COUNT('Diário 5º PA'!$A$5:$A$2634)+COUNT('Diário 6º PA'!$A$5:$A$2246)+ROW()-4)</f>
        <v/>
      </c>
      <c r="B1658" s="278"/>
      <c r="C1658" s="335"/>
      <c r="D1658" s="255"/>
      <c r="E1658" s="255"/>
      <c r="F1658" s="258"/>
      <c r="G1658" s="450"/>
      <c r="H1658" s="255"/>
      <c r="I1658" s="250"/>
      <c r="J1658" s="255"/>
      <c r="K1658" s="255"/>
      <c r="L1658" s="250"/>
      <c r="M1658" s="277"/>
      <c r="N1658" s="277"/>
      <c r="O1658" s="329"/>
      <c r="P1658" s="330">
        <f t="shared" si="256"/>
        <v>0</v>
      </c>
      <c r="Q1658" s="330">
        <f t="shared" si="257"/>
        <v>0</v>
      </c>
      <c r="R1658" s="331" t="str">
        <f t="shared" si="258"/>
        <v/>
      </c>
      <c r="S1658" s="331" t="str">
        <f>IF(D1658="","",IF(OR(D1658=Plano!$A$1,D1658=Plano!$B$1),"entrada","saída"))</f>
        <v/>
      </c>
      <c r="T1658" s="345"/>
      <c r="U1658" s="345"/>
      <c r="V1658" s="269"/>
      <c r="W1658" s="269"/>
      <c r="X1658" s="269"/>
      <c r="Y1658" s="269"/>
      <c r="Z1658" s="269"/>
      <c r="AA1658" s="269"/>
      <c r="AB1658" s="269"/>
      <c r="AC1658" s="269"/>
      <c r="AD1658" s="269"/>
      <c r="AE1658" s="269"/>
      <c r="AF1658" s="269"/>
      <c r="AG1658" s="269"/>
      <c r="AH1658" s="269"/>
      <c r="AI1658" s="269"/>
      <c r="AJ1658" s="269"/>
      <c r="AK1658" s="269"/>
      <c r="AL1658" s="269"/>
      <c r="AM1658" s="269"/>
    </row>
    <row r="1659" spans="1:39" ht="12.75" customHeight="1" x14ac:dyDescent="0.2">
      <c r="A1659" s="277" t="str">
        <f>IF(B1659="","",COUNT('Diário 5º PA'!$A$5:$A$2634)+COUNT('Diário 6º PA'!$A$5:$A$2246)+ROW()-4)</f>
        <v/>
      </c>
      <c r="B1659" s="278"/>
      <c r="C1659" s="335"/>
      <c r="D1659" s="255"/>
      <c r="E1659" s="255"/>
      <c r="F1659" s="258"/>
      <c r="G1659" s="450"/>
      <c r="H1659" s="255"/>
      <c r="I1659" s="250"/>
      <c r="J1659" s="255"/>
      <c r="K1659" s="255"/>
      <c r="L1659" s="250"/>
      <c r="M1659" s="277"/>
      <c r="N1659" s="277"/>
      <c r="O1659" s="329"/>
      <c r="P1659" s="330">
        <f t="shared" si="256"/>
        <v>0</v>
      </c>
      <c r="Q1659" s="330">
        <f t="shared" si="257"/>
        <v>0</v>
      </c>
      <c r="R1659" s="331" t="str">
        <f t="shared" si="258"/>
        <v/>
      </c>
      <c r="S1659" s="331" t="str">
        <f>IF(D1659="","",IF(OR(D1659=Plano!$A$1,D1659=Plano!$B$1),"entrada","saída"))</f>
        <v/>
      </c>
      <c r="T1659" s="345"/>
      <c r="U1659" s="345"/>
      <c r="V1659" s="269"/>
      <c r="W1659" s="269"/>
      <c r="X1659" s="269"/>
      <c r="Y1659" s="269"/>
      <c r="Z1659" s="269"/>
      <c r="AA1659" s="269"/>
      <c r="AB1659" s="269"/>
      <c r="AC1659" s="269"/>
      <c r="AD1659" s="269"/>
      <c r="AE1659" s="269"/>
      <c r="AF1659" s="269"/>
      <c r="AG1659" s="269"/>
      <c r="AH1659" s="269"/>
      <c r="AI1659" s="269"/>
      <c r="AJ1659" s="269"/>
      <c r="AK1659" s="269"/>
      <c r="AL1659" s="269"/>
      <c r="AM1659" s="269"/>
    </row>
    <row r="1660" spans="1:39" ht="12.75" customHeight="1" x14ac:dyDescent="0.2">
      <c r="A1660" s="277" t="str">
        <f>IF(B1660="","",COUNT('Diário 5º PA'!$A$5:$A$2634)+COUNT('Diário 6º PA'!$A$5:$A$2246)+ROW()-4)</f>
        <v/>
      </c>
      <c r="B1660" s="278"/>
      <c r="C1660" s="335"/>
      <c r="D1660" s="255"/>
      <c r="E1660" s="255"/>
      <c r="F1660" s="258"/>
      <c r="G1660" s="450"/>
      <c r="H1660" s="255"/>
      <c r="I1660" s="250"/>
      <c r="J1660" s="255"/>
      <c r="K1660" s="255"/>
      <c r="L1660" s="250"/>
      <c r="M1660" s="277"/>
      <c r="N1660" s="277"/>
      <c r="O1660" s="329"/>
      <c r="P1660" s="330">
        <f t="shared" si="256"/>
        <v>0</v>
      </c>
      <c r="Q1660" s="330">
        <f t="shared" si="257"/>
        <v>0</v>
      </c>
      <c r="R1660" s="331" t="str">
        <f t="shared" si="258"/>
        <v/>
      </c>
      <c r="S1660" s="331" t="str">
        <f>IF(D1660="","",IF(OR(D1660=Plano!$A$1,D1660=Plano!$B$1),"entrada","saída"))</f>
        <v/>
      </c>
      <c r="T1660" s="345"/>
      <c r="U1660" s="345"/>
      <c r="V1660" s="269"/>
      <c r="W1660" s="269"/>
      <c r="X1660" s="269"/>
      <c r="Y1660" s="269"/>
      <c r="Z1660" s="269"/>
      <c r="AA1660" s="269"/>
      <c r="AB1660" s="269"/>
      <c r="AC1660" s="269"/>
      <c r="AD1660" s="269"/>
      <c r="AE1660" s="269"/>
      <c r="AF1660" s="269"/>
      <c r="AG1660" s="269"/>
      <c r="AH1660" s="269"/>
      <c r="AI1660" s="269"/>
      <c r="AJ1660" s="269"/>
      <c r="AK1660" s="269"/>
      <c r="AL1660" s="269"/>
      <c r="AM1660" s="269"/>
    </row>
    <row r="1661" spans="1:39" ht="12.75" customHeight="1" x14ac:dyDescent="0.2">
      <c r="A1661" s="277" t="str">
        <f>IF(B1661="","",COUNT('Diário 5º PA'!$A$5:$A$2634)+COUNT('Diário 6º PA'!$A$5:$A$2246)+ROW()-4)</f>
        <v/>
      </c>
      <c r="B1661" s="278"/>
      <c r="C1661" s="335"/>
      <c r="D1661" s="255"/>
      <c r="E1661" s="255"/>
      <c r="F1661" s="258"/>
      <c r="G1661" s="450"/>
      <c r="H1661" s="255"/>
      <c r="I1661" s="250"/>
      <c r="J1661" s="255"/>
      <c r="K1661" s="255"/>
      <c r="L1661" s="250"/>
      <c r="M1661" s="277"/>
      <c r="N1661" s="277"/>
      <c r="O1661" s="329"/>
      <c r="P1661" s="330">
        <f t="shared" si="256"/>
        <v>0</v>
      </c>
      <c r="Q1661" s="330">
        <f t="shared" si="257"/>
        <v>0</v>
      </c>
      <c r="R1661" s="331" t="str">
        <f t="shared" si="258"/>
        <v/>
      </c>
      <c r="S1661" s="331" t="str">
        <f>IF(D1661="","",IF(OR(D1661=Plano!$A$1,D1661=Plano!$B$1),"entrada","saída"))</f>
        <v/>
      </c>
      <c r="T1661" s="345"/>
      <c r="U1661" s="345"/>
      <c r="V1661" s="269"/>
      <c r="W1661" s="269"/>
      <c r="X1661" s="269"/>
      <c r="Y1661" s="269"/>
      <c r="Z1661" s="269"/>
      <c r="AA1661" s="269"/>
      <c r="AB1661" s="269"/>
      <c r="AC1661" s="269"/>
      <c r="AD1661" s="269"/>
      <c r="AE1661" s="269"/>
      <c r="AF1661" s="269"/>
      <c r="AG1661" s="269"/>
      <c r="AH1661" s="269"/>
      <c r="AI1661" s="269"/>
      <c r="AJ1661" s="269"/>
      <c r="AK1661" s="269"/>
      <c r="AL1661" s="269"/>
      <c r="AM1661" s="269"/>
    </row>
    <row r="1662" spans="1:39" ht="12.75" customHeight="1" x14ac:dyDescent="0.2">
      <c r="A1662" s="277" t="str">
        <f>IF(B1662="","",COUNT('Diário 5º PA'!$A$5:$A$2634)+COUNT('Diário 6º PA'!$A$5:$A$2246)+ROW()-4)</f>
        <v/>
      </c>
      <c r="B1662" s="278"/>
      <c r="C1662" s="335"/>
      <c r="D1662" s="255"/>
      <c r="E1662" s="255"/>
      <c r="F1662" s="258"/>
      <c r="G1662" s="450"/>
      <c r="H1662" s="255"/>
      <c r="I1662" s="250"/>
      <c r="J1662" s="255"/>
      <c r="K1662" s="255"/>
      <c r="L1662" s="250"/>
      <c r="M1662" s="277"/>
      <c r="N1662" s="277"/>
      <c r="O1662" s="329"/>
      <c r="P1662" s="330">
        <f t="shared" si="256"/>
        <v>0</v>
      </c>
      <c r="Q1662" s="330">
        <f t="shared" si="257"/>
        <v>0</v>
      </c>
      <c r="R1662" s="331" t="str">
        <f t="shared" si="258"/>
        <v/>
      </c>
      <c r="S1662" s="331" t="str">
        <f>IF(D1662="","",IF(OR(D1662=Plano!$A$1,D1662=Plano!$B$1),"entrada","saída"))</f>
        <v/>
      </c>
      <c r="T1662" s="345"/>
      <c r="U1662" s="345"/>
      <c r="V1662" s="269"/>
      <c r="W1662" s="269"/>
      <c r="X1662" s="269"/>
      <c r="Y1662" s="269"/>
      <c r="Z1662" s="269"/>
      <c r="AA1662" s="269"/>
      <c r="AB1662" s="269"/>
      <c r="AC1662" s="269"/>
      <c r="AD1662" s="269"/>
      <c r="AE1662" s="269"/>
      <c r="AF1662" s="269"/>
      <c r="AG1662" s="269"/>
      <c r="AH1662" s="269"/>
      <c r="AI1662" s="269"/>
      <c r="AJ1662" s="269"/>
      <c r="AK1662" s="269"/>
      <c r="AL1662" s="269"/>
      <c r="AM1662" s="269"/>
    </row>
    <row r="1663" spans="1:39" ht="12.75" customHeight="1" x14ac:dyDescent="0.2">
      <c r="A1663" s="277" t="str">
        <f>IF(B1663="","",COUNT('Diário 5º PA'!$A$5:$A$2634)+COUNT('Diário 6º PA'!$A$5:$A$2246)+ROW()-4)</f>
        <v/>
      </c>
      <c r="B1663" s="278"/>
      <c r="C1663" s="335"/>
      <c r="D1663" s="255"/>
      <c r="E1663" s="255"/>
      <c r="F1663" s="258"/>
      <c r="G1663" s="450"/>
      <c r="H1663" s="255"/>
      <c r="I1663" s="250"/>
      <c r="J1663" s="255"/>
      <c r="K1663" s="255"/>
      <c r="L1663" s="250"/>
      <c r="M1663" s="277"/>
      <c r="N1663" s="277"/>
      <c r="O1663" s="329"/>
      <c r="P1663" s="330">
        <f t="shared" si="256"/>
        <v>0</v>
      </c>
      <c r="Q1663" s="330">
        <f t="shared" si="257"/>
        <v>0</v>
      </c>
      <c r="R1663" s="331" t="str">
        <f t="shared" si="258"/>
        <v/>
      </c>
      <c r="S1663" s="331" t="str">
        <f>IF(D1663="","",IF(OR(D1663=Plano!$A$1,D1663=Plano!$B$1),"entrada","saída"))</f>
        <v/>
      </c>
      <c r="T1663" s="345"/>
      <c r="U1663" s="345"/>
      <c r="V1663" s="269"/>
      <c r="W1663" s="269"/>
      <c r="X1663" s="269"/>
      <c r="Y1663" s="269"/>
      <c r="Z1663" s="269"/>
      <c r="AA1663" s="269"/>
      <c r="AB1663" s="269"/>
      <c r="AC1663" s="269"/>
      <c r="AD1663" s="269"/>
      <c r="AE1663" s="269"/>
      <c r="AF1663" s="269"/>
      <c r="AG1663" s="269"/>
      <c r="AH1663" s="269"/>
      <c r="AI1663" s="269"/>
      <c r="AJ1663" s="269"/>
      <c r="AK1663" s="269"/>
      <c r="AL1663" s="269"/>
      <c r="AM1663" s="269"/>
    </row>
    <row r="1664" spans="1:39" ht="12.75" customHeight="1" x14ac:dyDescent="0.2">
      <c r="A1664" s="277" t="str">
        <f>IF(B1664="","",COUNT('Diário 5º PA'!$A$5:$A$2634)+COUNT('Diário 6º PA'!$A$5:$A$2246)+ROW()-4)</f>
        <v/>
      </c>
      <c r="B1664" s="278"/>
      <c r="C1664" s="335"/>
      <c r="D1664" s="255"/>
      <c r="E1664" s="255"/>
      <c r="F1664" s="258"/>
      <c r="G1664" s="450"/>
      <c r="H1664" s="255"/>
      <c r="I1664" s="250"/>
      <c r="J1664" s="255"/>
      <c r="K1664" s="255"/>
      <c r="L1664" s="250"/>
      <c r="M1664" s="277"/>
      <c r="N1664" s="277"/>
      <c r="O1664" s="329"/>
      <c r="P1664" s="330">
        <f t="shared" si="256"/>
        <v>0</v>
      </c>
      <c r="Q1664" s="330">
        <f t="shared" si="257"/>
        <v>0</v>
      </c>
      <c r="R1664" s="331" t="str">
        <f t="shared" si="258"/>
        <v/>
      </c>
      <c r="S1664" s="331" t="str">
        <f>IF(D1664="","",IF(OR(D1664=Plano!$A$1,D1664=Plano!$B$1),"entrada","saída"))</f>
        <v/>
      </c>
      <c r="T1664" s="345"/>
      <c r="U1664" s="345"/>
      <c r="V1664" s="269"/>
      <c r="W1664" s="269"/>
      <c r="X1664" s="269"/>
      <c r="Y1664" s="269"/>
      <c r="Z1664" s="269"/>
      <c r="AA1664" s="269"/>
      <c r="AB1664" s="269"/>
      <c r="AC1664" s="269"/>
      <c r="AD1664" s="269"/>
      <c r="AE1664" s="269"/>
      <c r="AF1664" s="269"/>
      <c r="AG1664" s="269"/>
      <c r="AH1664" s="269"/>
      <c r="AI1664" s="269"/>
      <c r="AJ1664" s="269"/>
      <c r="AK1664" s="269"/>
      <c r="AL1664" s="269"/>
      <c r="AM1664" s="269"/>
    </row>
    <row r="1665" spans="1:39" ht="12.75" customHeight="1" x14ac:dyDescent="0.2">
      <c r="A1665" s="277" t="str">
        <f>IF(B1665="","",COUNT('Diário 5º PA'!$A$5:$A$2634)+COUNT('Diário 6º PA'!$A$5:$A$2246)+ROW()-4)</f>
        <v/>
      </c>
      <c r="B1665" s="278"/>
      <c r="C1665" s="335"/>
      <c r="D1665" s="255"/>
      <c r="E1665" s="255"/>
      <c r="F1665" s="258"/>
      <c r="G1665" s="450"/>
      <c r="H1665" s="255"/>
      <c r="I1665" s="250"/>
      <c r="J1665" s="255"/>
      <c r="K1665" s="255"/>
      <c r="L1665" s="250"/>
      <c r="M1665" s="277"/>
      <c r="N1665" s="277"/>
      <c r="O1665" s="329"/>
      <c r="P1665" s="330">
        <f t="shared" si="256"/>
        <v>0</v>
      </c>
      <c r="Q1665" s="330">
        <f t="shared" si="257"/>
        <v>0</v>
      </c>
      <c r="R1665" s="331" t="str">
        <f t="shared" si="258"/>
        <v/>
      </c>
      <c r="S1665" s="331" t="str">
        <f>IF(D1665="","",IF(OR(D1665=Plano!$A$1,D1665=Plano!$B$1),"entrada","saída"))</f>
        <v/>
      </c>
      <c r="T1665" s="345"/>
      <c r="U1665" s="345"/>
      <c r="V1665" s="269"/>
      <c r="W1665" s="269"/>
      <c r="X1665" s="269"/>
      <c r="Y1665" s="269"/>
      <c r="Z1665" s="269"/>
      <c r="AA1665" s="269"/>
      <c r="AB1665" s="269"/>
      <c r="AC1665" s="269"/>
      <c r="AD1665" s="269"/>
      <c r="AE1665" s="269"/>
      <c r="AF1665" s="269"/>
      <c r="AG1665" s="269"/>
      <c r="AH1665" s="269"/>
      <c r="AI1665" s="269"/>
      <c r="AJ1665" s="269"/>
      <c r="AK1665" s="269"/>
      <c r="AL1665" s="269"/>
      <c r="AM1665" s="269"/>
    </row>
    <row r="1666" spans="1:39" ht="12.75" customHeight="1" x14ac:dyDescent="0.2">
      <c r="A1666" s="277" t="str">
        <f>IF(B1666="","",COUNT('Diário 5º PA'!$A$5:$A$2634)+COUNT('Diário 6º PA'!$A$5:$A$2246)+ROW()-4)</f>
        <v/>
      </c>
      <c r="B1666" s="278"/>
      <c r="C1666" s="335"/>
      <c r="D1666" s="255"/>
      <c r="E1666" s="255"/>
      <c r="F1666" s="258"/>
      <c r="G1666" s="450"/>
      <c r="H1666" s="255"/>
      <c r="I1666" s="250"/>
      <c r="J1666" s="255"/>
      <c r="K1666" s="255"/>
      <c r="L1666" s="250"/>
      <c r="M1666" s="277"/>
      <c r="N1666" s="277"/>
      <c r="O1666" s="329"/>
      <c r="P1666" s="330">
        <f t="shared" si="256"/>
        <v>0</v>
      </c>
      <c r="Q1666" s="330">
        <f t="shared" si="257"/>
        <v>0</v>
      </c>
      <c r="R1666" s="331" t="str">
        <f t="shared" si="258"/>
        <v/>
      </c>
      <c r="S1666" s="331" t="str">
        <f>IF(D1666="","",IF(OR(D1666=Plano!$A$1,D1666=Plano!$B$1),"entrada","saída"))</f>
        <v/>
      </c>
      <c r="T1666" s="345"/>
      <c r="U1666" s="345"/>
      <c r="V1666" s="269"/>
      <c r="W1666" s="269"/>
      <c r="X1666" s="269"/>
      <c r="Y1666" s="269"/>
      <c r="Z1666" s="269"/>
      <c r="AA1666" s="269"/>
      <c r="AB1666" s="269"/>
      <c r="AC1666" s="269"/>
      <c r="AD1666" s="269"/>
      <c r="AE1666" s="269"/>
      <c r="AF1666" s="269"/>
      <c r="AG1666" s="269"/>
      <c r="AH1666" s="269"/>
      <c r="AI1666" s="269"/>
      <c r="AJ1666" s="269"/>
      <c r="AK1666" s="269"/>
      <c r="AL1666" s="269"/>
      <c r="AM1666" s="269"/>
    </row>
    <row r="1667" spans="1:39" ht="12.75" customHeight="1" x14ac:dyDescent="0.2">
      <c r="A1667" s="277" t="str">
        <f>IF(B1667="","",COUNT('Diário 5º PA'!$A$5:$A$2634)+COUNT('Diário 6º PA'!$A$5:$A$2246)+ROW()-4)</f>
        <v/>
      </c>
      <c r="B1667" s="278"/>
      <c r="C1667" s="335"/>
      <c r="D1667" s="255"/>
      <c r="E1667" s="255"/>
      <c r="F1667" s="258"/>
      <c r="G1667" s="450"/>
      <c r="H1667" s="255"/>
      <c r="I1667" s="250"/>
      <c r="J1667" s="255"/>
      <c r="K1667" s="255"/>
      <c r="L1667" s="250"/>
      <c r="M1667" s="277"/>
      <c r="N1667" s="277"/>
      <c r="O1667" s="329"/>
      <c r="P1667" s="330">
        <f t="shared" si="256"/>
        <v>0</v>
      </c>
      <c r="Q1667" s="330">
        <f t="shared" si="257"/>
        <v>0</v>
      </c>
      <c r="R1667" s="331" t="str">
        <f t="shared" si="258"/>
        <v/>
      </c>
      <c r="S1667" s="331" t="str">
        <f>IF(D1667="","",IF(OR(D1667=Plano!$A$1,D1667=Plano!$B$1),"entrada","saída"))</f>
        <v/>
      </c>
      <c r="T1667" s="345"/>
      <c r="U1667" s="345"/>
      <c r="V1667" s="269"/>
      <c r="W1667" s="269"/>
      <c r="X1667" s="269"/>
      <c r="Y1667" s="269"/>
      <c r="Z1667" s="269"/>
      <c r="AA1667" s="269"/>
      <c r="AB1667" s="269"/>
      <c r="AC1667" s="269"/>
      <c r="AD1667" s="269"/>
      <c r="AE1667" s="269"/>
      <c r="AF1667" s="269"/>
      <c r="AG1667" s="269"/>
      <c r="AH1667" s="269"/>
      <c r="AI1667" s="269"/>
      <c r="AJ1667" s="269"/>
      <c r="AK1667" s="269"/>
      <c r="AL1667" s="269"/>
      <c r="AM1667" s="269"/>
    </row>
    <row r="1668" spans="1:39" ht="12.75" customHeight="1" x14ac:dyDescent="0.2">
      <c r="A1668" s="277" t="str">
        <f>IF(B1668="","",COUNT('Diário 5º PA'!$A$5:$A$2634)+COUNT('Diário 6º PA'!$A$5:$A$2246)+ROW()-4)</f>
        <v/>
      </c>
      <c r="B1668" s="278"/>
      <c r="C1668" s="335"/>
      <c r="D1668" s="255"/>
      <c r="E1668" s="255"/>
      <c r="F1668" s="258"/>
      <c r="G1668" s="450"/>
      <c r="H1668" s="255"/>
      <c r="I1668" s="250"/>
      <c r="J1668" s="255"/>
      <c r="K1668" s="255"/>
      <c r="L1668" s="250"/>
      <c r="M1668" s="277"/>
      <c r="N1668" s="277"/>
      <c r="O1668" s="329"/>
      <c r="P1668" s="330">
        <f t="shared" si="256"/>
        <v>0</v>
      </c>
      <c r="Q1668" s="330">
        <f t="shared" si="257"/>
        <v>0</v>
      </c>
      <c r="R1668" s="331" t="str">
        <f t="shared" si="258"/>
        <v/>
      </c>
      <c r="S1668" s="331" t="str">
        <f>IF(D1668="","",IF(OR(D1668=Plano!$A$1,D1668=Plano!$B$1),"entrada","saída"))</f>
        <v/>
      </c>
      <c r="T1668" s="345"/>
      <c r="U1668" s="345"/>
      <c r="V1668" s="269"/>
      <c r="W1668" s="269"/>
      <c r="X1668" s="269"/>
      <c r="Y1668" s="269"/>
      <c r="Z1668" s="269"/>
      <c r="AA1668" s="269"/>
      <c r="AB1668" s="269"/>
      <c r="AC1668" s="269"/>
      <c r="AD1668" s="269"/>
      <c r="AE1668" s="269"/>
      <c r="AF1668" s="269"/>
      <c r="AG1668" s="269"/>
      <c r="AH1668" s="269"/>
      <c r="AI1668" s="269"/>
      <c r="AJ1668" s="269"/>
      <c r="AK1668" s="269"/>
      <c r="AL1668" s="269"/>
      <c r="AM1668" s="269"/>
    </row>
    <row r="1669" spans="1:39" ht="12.75" customHeight="1" x14ac:dyDescent="0.2">
      <c r="A1669" s="277" t="str">
        <f>IF(B1669="","",COUNT('Diário 5º PA'!$A$5:$A$2634)+COUNT('Diário 6º PA'!$A$5:$A$2246)+ROW()-4)</f>
        <v/>
      </c>
      <c r="B1669" s="278"/>
      <c r="C1669" s="335"/>
      <c r="D1669" s="255"/>
      <c r="E1669" s="255"/>
      <c r="F1669" s="258"/>
      <c r="G1669" s="450"/>
      <c r="H1669" s="255"/>
      <c r="I1669" s="250"/>
      <c r="J1669" s="255"/>
      <c r="K1669" s="255"/>
      <c r="L1669" s="250"/>
      <c r="M1669" s="277"/>
      <c r="N1669" s="277"/>
      <c r="O1669" s="329"/>
      <c r="P1669" s="330">
        <f t="shared" si="256"/>
        <v>0</v>
      </c>
      <c r="Q1669" s="330">
        <f t="shared" si="257"/>
        <v>0</v>
      </c>
      <c r="R1669" s="331" t="str">
        <f t="shared" si="258"/>
        <v/>
      </c>
      <c r="S1669" s="331" t="str">
        <f>IF(D1669="","",IF(OR(D1669=Plano!$A$1,D1669=Plano!$B$1),"entrada","saída"))</f>
        <v/>
      </c>
      <c r="T1669" s="345"/>
      <c r="U1669" s="345"/>
      <c r="V1669" s="269"/>
      <c r="W1669" s="269"/>
      <c r="X1669" s="269"/>
      <c r="Y1669" s="269"/>
      <c r="Z1669" s="269"/>
      <c r="AA1669" s="269"/>
      <c r="AB1669" s="269"/>
      <c r="AC1669" s="269"/>
      <c r="AD1669" s="269"/>
      <c r="AE1669" s="269"/>
      <c r="AF1669" s="269"/>
      <c r="AG1669" s="269"/>
      <c r="AH1669" s="269"/>
      <c r="AI1669" s="269"/>
      <c r="AJ1669" s="269"/>
      <c r="AK1669" s="269"/>
      <c r="AL1669" s="269"/>
      <c r="AM1669" s="269"/>
    </row>
    <row r="1670" spans="1:39" ht="12.75" customHeight="1" x14ac:dyDescent="0.2">
      <c r="A1670" s="277" t="str">
        <f>IF(B1670="","",COUNT('Diário 5º PA'!$A$5:$A$2634)+COUNT('Diário 6º PA'!$A$5:$A$2246)+ROW()-4)</f>
        <v/>
      </c>
      <c r="B1670" s="278"/>
      <c r="C1670" s="335"/>
      <c r="D1670" s="255"/>
      <c r="E1670" s="255"/>
      <c r="F1670" s="258"/>
      <c r="G1670" s="450"/>
      <c r="H1670" s="255"/>
      <c r="I1670" s="250"/>
      <c r="J1670" s="255"/>
      <c r="K1670" s="255"/>
      <c r="L1670" s="250"/>
      <c r="M1670" s="277"/>
      <c r="N1670" s="277"/>
      <c r="O1670" s="329"/>
      <c r="P1670" s="330">
        <f t="shared" si="256"/>
        <v>0</v>
      </c>
      <c r="Q1670" s="330">
        <f t="shared" si="257"/>
        <v>0</v>
      </c>
      <c r="R1670" s="331" t="str">
        <f t="shared" si="258"/>
        <v/>
      </c>
      <c r="S1670" s="331" t="str">
        <f>IF(D1670="","",IF(OR(D1670=Plano!$A$1,D1670=Plano!$B$1),"entrada","saída"))</f>
        <v/>
      </c>
      <c r="T1670" s="345"/>
      <c r="U1670" s="345"/>
      <c r="V1670" s="269"/>
      <c r="W1670" s="269"/>
      <c r="X1670" s="269"/>
      <c r="Y1670" s="269"/>
      <c r="Z1670" s="269"/>
      <c r="AA1670" s="269"/>
      <c r="AB1670" s="269"/>
      <c r="AC1670" s="269"/>
      <c r="AD1670" s="269"/>
      <c r="AE1670" s="269"/>
      <c r="AF1670" s="269"/>
      <c r="AG1670" s="269"/>
      <c r="AH1670" s="269"/>
      <c r="AI1670" s="269"/>
      <c r="AJ1670" s="269"/>
      <c r="AK1670" s="269"/>
      <c r="AL1670" s="269"/>
      <c r="AM1670" s="269"/>
    </row>
    <row r="1671" spans="1:39" ht="12.75" customHeight="1" x14ac:dyDescent="0.2">
      <c r="A1671" s="277" t="str">
        <f>IF(B1671="","",COUNT('Diário 5º PA'!$A$5:$A$2634)+COUNT('Diário 6º PA'!$A$5:$A$2246)+ROW()-4)</f>
        <v/>
      </c>
      <c r="B1671" s="278"/>
      <c r="C1671" s="335"/>
      <c r="D1671" s="255"/>
      <c r="E1671" s="255"/>
      <c r="F1671" s="258"/>
      <c r="G1671" s="450"/>
      <c r="H1671" s="255"/>
      <c r="I1671" s="250"/>
      <c r="J1671" s="255"/>
      <c r="K1671" s="255"/>
      <c r="L1671" s="250"/>
      <c r="M1671" s="277"/>
      <c r="N1671" s="277"/>
      <c r="O1671" s="329"/>
      <c r="P1671" s="330">
        <f t="shared" si="256"/>
        <v>0</v>
      </c>
      <c r="Q1671" s="330">
        <f t="shared" si="257"/>
        <v>0</v>
      </c>
      <c r="R1671" s="331" t="str">
        <f t="shared" si="258"/>
        <v/>
      </c>
      <c r="S1671" s="331" t="str">
        <f>IF(D1671="","",IF(OR(D1671=Plano!$A$1,D1671=Plano!$B$1),"entrada","saída"))</f>
        <v/>
      </c>
      <c r="T1671" s="345"/>
      <c r="U1671" s="345"/>
      <c r="V1671" s="269"/>
      <c r="W1671" s="269"/>
      <c r="X1671" s="269"/>
      <c r="Y1671" s="269"/>
      <c r="Z1671" s="269"/>
      <c r="AA1671" s="269"/>
      <c r="AB1671" s="269"/>
      <c r="AC1671" s="269"/>
      <c r="AD1671" s="269"/>
      <c r="AE1671" s="269"/>
      <c r="AF1671" s="269"/>
      <c r="AG1671" s="269"/>
      <c r="AH1671" s="269"/>
      <c r="AI1671" s="269"/>
      <c r="AJ1671" s="269"/>
      <c r="AK1671" s="269"/>
      <c r="AL1671" s="269"/>
      <c r="AM1671" s="269"/>
    </row>
    <row r="1672" spans="1:39" ht="12.75" customHeight="1" x14ac:dyDescent="0.2">
      <c r="A1672" s="277" t="str">
        <f>IF(B1672="","",COUNT('Diário 5º PA'!$A$5:$A$2634)+COUNT('Diário 6º PA'!$A$5:$A$2246)+ROW()-4)</f>
        <v/>
      </c>
      <c r="B1672" s="278"/>
      <c r="C1672" s="335"/>
      <c r="D1672" s="255"/>
      <c r="E1672" s="255"/>
      <c r="F1672" s="258"/>
      <c r="G1672" s="450"/>
      <c r="H1672" s="255"/>
      <c r="I1672" s="250"/>
      <c r="J1672" s="255"/>
      <c r="K1672" s="255"/>
      <c r="L1672" s="250"/>
      <c r="M1672" s="277"/>
      <c r="N1672" s="277"/>
      <c r="O1672" s="329"/>
      <c r="P1672" s="330">
        <f t="shared" si="256"/>
        <v>0</v>
      </c>
      <c r="Q1672" s="330">
        <f t="shared" si="257"/>
        <v>0</v>
      </c>
      <c r="R1672" s="331" t="str">
        <f t="shared" si="258"/>
        <v/>
      </c>
      <c r="S1672" s="331" t="str">
        <f>IF(D1672="","",IF(OR(D1672=Plano!$A$1,D1672=Plano!$B$1),"entrada","saída"))</f>
        <v/>
      </c>
      <c r="T1672" s="345"/>
      <c r="U1672" s="345"/>
      <c r="V1672" s="269"/>
      <c r="W1672" s="269"/>
      <c r="X1672" s="269"/>
      <c r="Y1672" s="269"/>
      <c r="Z1672" s="269"/>
      <c r="AA1672" s="269"/>
      <c r="AB1672" s="269"/>
      <c r="AC1672" s="269"/>
      <c r="AD1672" s="269"/>
      <c r="AE1672" s="269"/>
      <c r="AF1672" s="269"/>
      <c r="AG1672" s="269"/>
      <c r="AH1672" s="269"/>
      <c r="AI1672" s="269"/>
      <c r="AJ1672" s="269"/>
      <c r="AK1672" s="269"/>
      <c r="AL1672" s="269"/>
      <c r="AM1672" s="269"/>
    </row>
    <row r="1673" spans="1:39" ht="12.75" customHeight="1" x14ac:dyDescent="0.2">
      <c r="A1673" s="277" t="str">
        <f>IF(B1673="","",COUNT('Diário 5º PA'!$A$5:$A$2634)+COUNT('Diário 6º PA'!$A$5:$A$2246)+ROW()-4)</f>
        <v/>
      </c>
      <c r="B1673" s="278"/>
      <c r="C1673" s="335"/>
      <c r="D1673" s="255"/>
      <c r="E1673" s="255"/>
      <c r="F1673" s="258"/>
      <c r="G1673" s="450"/>
      <c r="H1673" s="255"/>
      <c r="I1673" s="250"/>
      <c r="J1673" s="255"/>
      <c r="K1673" s="255"/>
      <c r="L1673" s="250"/>
      <c r="M1673" s="277"/>
      <c r="N1673" s="277"/>
      <c r="O1673" s="329"/>
      <c r="P1673" s="330">
        <f t="shared" si="256"/>
        <v>0</v>
      </c>
      <c r="Q1673" s="330">
        <f t="shared" si="257"/>
        <v>0</v>
      </c>
      <c r="R1673" s="331" t="str">
        <f t="shared" si="258"/>
        <v/>
      </c>
      <c r="S1673" s="331" t="str">
        <f>IF(D1673="","",IF(OR(D1673=Plano!$A$1,D1673=Plano!$B$1),"entrada","saída"))</f>
        <v/>
      </c>
      <c r="T1673" s="345"/>
      <c r="U1673" s="345"/>
      <c r="V1673" s="269"/>
      <c r="W1673" s="269"/>
      <c r="X1673" s="269"/>
      <c r="Y1673" s="269"/>
      <c r="Z1673" s="269"/>
      <c r="AA1673" s="269"/>
      <c r="AB1673" s="269"/>
      <c r="AC1673" s="269"/>
      <c r="AD1673" s="269"/>
      <c r="AE1673" s="269"/>
      <c r="AF1673" s="269"/>
      <c r="AG1673" s="269"/>
      <c r="AH1673" s="269"/>
      <c r="AI1673" s="269"/>
      <c r="AJ1673" s="269"/>
      <c r="AK1673" s="269"/>
      <c r="AL1673" s="269"/>
      <c r="AM1673" s="269"/>
    </row>
    <row r="1674" spans="1:39" ht="12.75" customHeight="1" x14ac:dyDescent="0.2">
      <c r="A1674" s="277" t="str">
        <f>IF(B1674="","",COUNT('Diário 5º PA'!$A$5:$A$2634)+COUNT('Diário 6º PA'!$A$5:$A$2246)+ROW()-4)</f>
        <v/>
      </c>
      <c r="B1674" s="278"/>
      <c r="C1674" s="335"/>
      <c r="D1674" s="255"/>
      <c r="E1674" s="255"/>
      <c r="F1674" s="258"/>
      <c r="G1674" s="450"/>
      <c r="H1674" s="255"/>
      <c r="I1674" s="250"/>
      <c r="J1674" s="255"/>
      <c r="K1674" s="255"/>
      <c r="L1674" s="250"/>
      <c r="M1674" s="277"/>
      <c r="N1674" s="277"/>
      <c r="O1674" s="329"/>
      <c r="P1674" s="330">
        <f t="shared" si="256"/>
        <v>0</v>
      </c>
      <c r="Q1674" s="330">
        <f t="shared" si="257"/>
        <v>0</v>
      </c>
      <c r="R1674" s="331" t="str">
        <f t="shared" si="258"/>
        <v/>
      </c>
      <c r="S1674" s="331" t="str">
        <f>IF(D1674="","",IF(OR(D1674=Plano!$A$1,D1674=Plano!$B$1),"entrada","saída"))</f>
        <v/>
      </c>
      <c r="T1674" s="345"/>
      <c r="U1674" s="345"/>
      <c r="V1674" s="269"/>
      <c r="W1674" s="269"/>
      <c r="X1674" s="269"/>
      <c r="Y1674" s="269"/>
      <c r="Z1674" s="269"/>
      <c r="AA1674" s="269"/>
      <c r="AB1674" s="269"/>
      <c r="AC1674" s="269"/>
      <c r="AD1674" s="269"/>
      <c r="AE1674" s="269"/>
      <c r="AF1674" s="269"/>
      <c r="AG1674" s="269"/>
      <c r="AH1674" s="269"/>
      <c r="AI1674" s="269"/>
      <c r="AJ1674" s="269"/>
      <c r="AK1674" s="269"/>
      <c r="AL1674" s="269"/>
      <c r="AM1674" s="269"/>
    </row>
    <row r="1675" spans="1:39" ht="12.75" customHeight="1" x14ac:dyDescent="0.2">
      <c r="A1675" s="277" t="str">
        <f>IF(B1675="","",COUNT('Diário 5º PA'!$A$5:$A$2634)+COUNT('Diário 6º PA'!$A$5:$A$2246)+ROW()-4)</f>
        <v/>
      </c>
      <c r="B1675" s="278"/>
      <c r="C1675" s="335"/>
      <c r="D1675" s="255"/>
      <c r="E1675" s="255"/>
      <c r="F1675" s="258"/>
      <c r="G1675" s="450"/>
      <c r="H1675" s="255"/>
      <c r="I1675" s="250"/>
      <c r="J1675" s="255"/>
      <c r="K1675" s="255"/>
      <c r="L1675" s="250"/>
      <c r="M1675" s="277"/>
      <c r="N1675" s="277"/>
      <c r="O1675" s="329"/>
      <c r="P1675" s="330">
        <f t="shared" si="256"/>
        <v>0</v>
      </c>
      <c r="Q1675" s="330">
        <f t="shared" si="257"/>
        <v>0</v>
      </c>
      <c r="R1675" s="331" t="str">
        <f t="shared" si="258"/>
        <v/>
      </c>
      <c r="S1675" s="331" t="str">
        <f>IF(D1675="","",IF(OR(D1675=Plano!$A$1,D1675=Plano!$B$1),"entrada","saída"))</f>
        <v/>
      </c>
      <c r="T1675" s="345"/>
      <c r="U1675" s="345"/>
      <c r="V1675" s="269"/>
      <c r="W1675" s="269"/>
      <c r="X1675" s="269"/>
      <c r="Y1675" s="269"/>
      <c r="Z1675" s="269"/>
      <c r="AA1675" s="269"/>
      <c r="AB1675" s="269"/>
      <c r="AC1675" s="269"/>
      <c r="AD1675" s="269"/>
      <c r="AE1675" s="269"/>
      <c r="AF1675" s="269"/>
      <c r="AG1675" s="269"/>
      <c r="AH1675" s="269"/>
      <c r="AI1675" s="269"/>
      <c r="AJ1675" s="269"/>
      <c r="AK1675" s="269"/>
      <c r="AL1675" s="269"/>
      <c r="AM1675" s="269"/>
    </row>
    <row r="1676" spans="1:39" ht="12.75" customHeight="1" x14ac:dyDescent="0.2">
      <c r="A1676" s="277" t="str">
        <f>IF(B1676="","",COUNT('Diário 5º PA'!$A$5:$A$2634)+COUNT('Diário 6º PA'!$A$5:$A$2246)+ROW()-4)</f>
        <v/>
      </c>
      <c r="B1676" s="278"/>
      <c r="C1676" s="335"/>
      <c r="D1676" s="255"/>
      <c r="E1676" s="255"/>
      <c r="F1676" s="258"/>
      <c r="G1676" s="450"/>
      <c r="H1676" s="255"/>
      <c r="I1676" s="250"/>
      <c r="J1676" s="255"/>
      <c r="K1676" s="255"/>
      <c r="L1676" s="250"/>
      <c r="M1676" s="277"/>
      <c r="N1676" s="277"/>
      <c r="O1676" s="329"/>
      <c r="P1676" s="330">
        <f t="shared" si="256"/>
        <v>0</v>
      </c>
      <c r="Q1676" s="330">
        <f t="shared" si="257"/>
        <v>0</v>
      </c>
      <c r="R1676" s="331" t="str">
        <f t="shared" si="258"/>
        <v/>
      </c>
      <c r="S1676" s="331" t="str">
        <f>IF(D1676="","",IF(OR(D1676=Plano!$A$1,D1676=Plano!$B$1),"entrada","saída"))</f>
        <v/>
      </c>
      <c r="T1676" s="345"/>
      <c r="U1676" s="345"/>
      <c r="V1676" s="269"/>
      <c r="W1676" s="269"/>
      <c r="X1676" s="269"/>
      <c r="Y1676" s="269"/>
      <c r="Z1676" s="269"/>
      <c r="AA1676" s="269"/>
      <c r="AB1676" s="269"/>
      <c r="AC1676" s="269"/>
      <c r="AD1676" s="269"/>
      <c r="AE1676" s="269"/>
      <c r="AF1676" s="269"/>
      <c r="AG1676" s="269"/>
      <c r="AH1676" s="269"/>
      <c r="AI1676" s="269"/>
      <c r="AJ1676" s="269"/>
      <c r="AK1676" s="269"/>
      <c r="AL1676" s="269"/>
      <c r="AM1676" s="269"/>
    </row>
    <row r="1677" spans="1:39" ht="12.75" customHeight="1" x14ac:dyDescent="0.2">
      <c r="A1677" s="277" t="str">
        <f>IF(B1677="","",COUNT('Diário 5º PA'!$A$5:$A$2634)+COUNT('Diário 6º PA'!$A$5:$A$2246)+ROW()-4)</f>
        <v/>
      </c>
      <c r="B1677" s="278"/>
      <c r="C1677" s="335"/>
      <c r="D1677" s="255"/>
      <c r="E1677" s="255"/>
      <c r="F1677" s="258"/>
      <c r="G1677" s="450"/>
      <c r="H1677" s="255"/>
      <c r="I1677" s="250"/>
      <c r="J1677" s="255"/>
      <c r="K1677" s="255"/>
      <c r="L1677" s="250"/>
      <c r="M1677" s="277"/>
      <c r="N1677" s="277"/>
      <c r="O1677" s="329"/>
      <c r="P1677" s="330">
        <f t="shared" si="256"/>
        <v>0</v>
      </c>
      <c r="Q1677" s="330">
        <f t="shared" si="257"/>
        <v>0</v>
      </c>
      <c r="R1677" s="331" t="str">
        <f t="shared" si="258"/>
        <v/>
      </c>
      <c r="S1677" s="331" t="str">
        <f>IF(D1677="","",IF(OR(D1677=Plano!$A$1,D1677=Plano!$B$1),"entrada","saída"))</f>
        <v/>
      </c>
      <c r="T1677" s="345"/>
      <c r="U1677" s="345"/>
      <c r="V1677" s="269"/>
      <c r="W1677" s="269"/>
      <c r="X1677" s="269"/>
      <c r="Y1677" s="269"/>
      <c r="Z1677" s="269"/>
      <c r="AA1677" s="269"/>
      <c r="AB1677" s="269"/>
      <c r="AC1677" s="269"/>
      <c r="AD1677" s="269"/>
      <c r="AE1677" s="269"/>
      <c r="AF1677" s="269"/>
      <c r="AG1677" s="269"/>
      <c r="AH1677" s="269"/>
      <c r="AI1677" s="269"/>
      <c r="AJ1677" s="269"/>
      <c r="AK1677" s="269"/>
      <c r="AL1677" s="269"/>
      <c r="AM1677" s="269"/>
    </row>
    <row r="1678" spans="1:39" ht="12.75" customHeight="1" x14ac:dyDescent="0.2">
      <c r="A1678" s="277" t="str">
        <f>IF(B1678="","",COUNT('Diário 5º PA'!$A$5:$A$2634)+COUNT('Diário 6º PA'!$A$5:$A$2246)+ROW()-4)</f>
        <v/>
      </c>
      <c r="B1678" s="278"/>
      <c r="C1678" s="335"/>
      <c r="D1678" s="255"/>
      <c r="E1678" s="255"/>
      <c r="F1678" s="258"/>
      <c r="G1678" s="450"/>
      <c r="H1678" s="255"/>
      <c r="I1678" s="250"/>
      <c r="J1678" s="255"/>
      <c r="K1678" s="255"/>
      <c r="L1678" s="250"/>
      <c r="M1678" s="277"/>
      <c r="N1678" s="277"/>
      <c r="O1678" s="329"/>
      <c r="P1678" s="330">
        <f t="shared" si="256"/>
        <v>0</v>
      </c>
      <c r="Q1678" s="330">
        <f t="shared" si="257"/>
        <v>0</v>
      </c>
      <c r="R1678" s="331" t="str">
        <f t="shared" si="258"/>
        <v/>
      </c>
      <c r="S1678" s="331" t="str">
        <f>IF(D1678="","",IF(OR(D1678=Plano!$A$1,D1678=Plano!$B$1),"entrada","saída"))</f>
        <v/>
      </c>
      <c r="T1678" s="345"/>
      <c r="U1678" s="345"/>
      <c r="V1678" s="269"/>
      <c r="W1678" s="269"/>
      <c r="X1678" s="269"/>
      <c r="Y1678" s="269"/>
      <c r="Z1678" s="269"/>
      <c r="AA1678" s="269"/>
      <c r="AB1678" s="269"/>
      <c r="AC1678" s="269"/>
      <c r="AD1678" s="269"/>
      <c r="AE1678" s="269"/>
      <c r="AF1678" s="269"/>
      <c r="AG1678" s="269"/>
      <c r="AH1678" s="269"/>
      <c r="AI1678" s="269"/>
      <c r="AJ1678" s="269"/>
      <c r="AK1678" s="269"/>
      <c r="AL1678" s="269"/>
      <c r="AM1678" s="269"/>
    </row>
    <row r="1679" spans="1:39" ht="12.75" customHeight="1" x14ac:dyDescent="0.2">
      <c r="A1679" s="277" t="str">
        <f>IF(B1679="","",COUNT('Diário 5º PA'!$A$5:$A$2634)+COUNT('Diário 6º PA'!$A$5:$A$2246)+ROW()-4)</f>
        <v/>
      </c>
      <c r="B1679" s="278"/>
      <c r="C1679" s="335"/>
      <c r="D1679" s="255"/>
      <c r="E1679" s="255"/>
      <c r="F1679" s="258"/>
      <c r="G1679" s="450"/>
      <c r="H1679" s="255"/>
      <c r="I1679" s="250"/>
      <c r="J1679" s="255"/>
      <c r="K1679" s="255"/>
      <c r="L1679" s="250"/>
      <c r="M1679" s="277"/>
      <c r="N1679" s="277"/>
      <c r="O1679" s="329"/>
      <c r="P1679" s="330">
        <f t="shared" si="256"/>
        <v>0</v>
      </c>
      <c r="Q1679" s="330">
        <f t="shared" si="257"/>
        <v>0</v>
      </c>
      <c r="R1679" s="331" t="str">
        <f t="shared" si="258"/>
        <v/>
      </c>
      <c r="S1679" s="331" t="str">
        <f>IF(D1679="","",IF(OR(D1679=Plano!$A$1,D1679=Plano!$B$1),"entrada","saída"))</f>
        <v/>
      </c>
      <c r="T1679" s="345"/>
      <c r="U1679" s="345"/>
      <c r="V1679" s="269"/>
      <c r="W1679" s="269"/>
      <c r="X1679" s="269"/>
      <c r="Y1679" s="269"/>
      <c r="Z1679" s="269"/>
      <c r="AA1679" s="269"/>
      <c r="AB1679" s="269"/>
      <c r="AC1679" s="269"/>
      <c r="AD1679" s="269"/>
      <c r="AE1679" s="269"/>
      <c r="AF1679" s="269"/>
      <c r="AG1679" s="269"/>
      <c r="AH1679" s="269"/>
      <c r="AI1679" s="269"/>
      <c r="AJ1679" s="269"/>
      <c r="AK1679" s="269"/>
      <c r="AL1679" s="269"/>
      <c r="AM1679" s="269"/>
    </row>
    <row r="1680" spans="1:39" ht="12.75" customHeight="1" x14ac:dyDescent="0.2">
      <c r="A1680" s="277" t="str">
        <f>IF(B1680="","",COUNT('Diário 5º PA'!$A$5:$A$2634)+COUNT('Diário 6º PA'!$A$5:$A$2246)+ROW()-4)</f>
        <v/>
      </c>
      <c r="B1680" s="278"/>
      <c r="C1680" s="335"/>
      <c r="D1680" s="255"/>
      <c r="E1680" s="255"/>
      <c r="F1680" s="258"/>
      <c r="G1680" s="450"/>
      <c r="H1680" s="255"/>
      <c r="I1680" s="250"/>
      <c r="J1680" s="255"/>
      <c r="K1680" s="255"/>
      <c r="L1680" s="250"/>
      <c r="M1680" s="277"/>
      <c r="N1680" s="277"/>
      <c r="O1680" s="329"/>
      <c r="P1680" s="330">
        <f t="shared" si="256"/>
        <v>0</v>
      </c>
      <c r="Q1680" s="330">
        <f t="shared" si="257"/>
        <v>0</v>
      </c>
      <c r="R1680" s="331" t="str">
        <f t="shared" si="258"/>
        <v/>
      </c>
      <c r="S1680" s="331" t="str">
        <f>IF(D1680="","",IF(OR(D1680=Plano!$A$1,D1680=Plano!$B$1),"entrada","saída"))</f>
        <v/>
      </c>
      <c r="T1680" s="345"/>
      <c r="U1680" s="345"/>
      <c r="V1680" s="269"/>
      <c r="W1680" s="269"/>
      <c r="X1680" s="269"/>
      <c r="Y1680" s="269"/>
      <c r="Z1680" s="269"/>
      <c r="AA1680" s="269"/>
      <c r="AB1680" s="269"/>
      <c r="AC1680" s="269"/>
      <c r="AD1680" s="269"/>
      <c r="AE1680" s="269"/>
      <c r="AF1680" s="269"/>
      <c r="AG1680" s="269"/>
      <c r="AH1680" s="269"/>
      <c r="AI1680" s="269"/>
      <c r="AJ1680" s="269"/>
      <c r="AK1680" s="269"/>
      <c r="AL1680" s="269"/>
      <c r="AM1680" s="269"/>
    </row>
    <row r="1681" spans="1:39" ht="12.75" customHeight="1" x14ac:dyDescent="0.2">
      <c r="A1681" s="277" t="str">
        <f>IF(B1681="","",COUNT('Diário 5º PA'!$A$5:$A$2634)+COUNT('Diário 6º PA'!$A$5:$A$2246)+ROW()-4)</f>
        <v/>
      </c>
      <c r="B1681" s="278"/>
      <c r="C1681" s="335"/>
      <c r="D1681" s="255"/>
      <c r="E1681" s="255"/>
      <c r="F1681" s="258"/>
      <c r="G1681" s="450"/>
      <c r="H1681" s="255"/>
      <c r="I1681" s="250"/>
      <c r="J1681" s="255"/>
      <c r="K1681" s="255"/>
      <c r="L1681" s="250"/>
      <c r="M1681" s="277"/>
      <c r="N1681" s="277"/>
      <c r="O1681" s="329"/>
      <c r="P1681" s="330">
        <f t="shared" si="256"/>
        <v>0</v>
      </c>
      <c r="Q1681" s="330">
        <f t="shared" si="257"/>
        <v>0</v>
      </c>
      <c r="R1681" s="331" t="str">
        <f t="shared" si="258"/>
        <v/>
      </c>
      <c r="S1681" s="331" t="str">
        <f>IF(D1681="","",IF(OR(D1681=Plano!$A$1,D1681=Plano!$B$1),"entrada","saída"))</f>
        <v/>
      </c>
      <c r="T1681" s="345"/>
      <c r="U1681" s="345"/>
      <c r="V1681" s="269"/>
      <c r="W1681" s="269"/>
      <c r="X1681" s="269"/>
      <c r="Y1681" s="269"/>
      <c r="Z1681" s="269"/>
      <c r="AA1681" s="269"/>
      <c r="AB1681" s="269"/>
      <c r="AC1681" s="269"/>
      <c r="AD1681" s="269"/>
      <c r="AE1681" s="269"/>
      <c r="AF1681" s="269"/>
      <c r="AG1681" s="269"/>
      <c r="AH1681" s="269"/>
      <c r="AI1681" s="269"/>
      <c r="AJ1681" s="269"/>
      <c r="AK1681" s="269"/>
      <c r="AL1681" s="269"/>
      <c r="AM1681" s="269"/>
    </row>
    <row r="1682" spans="1:39" ht="12.75" customHeight="1" x14ac:dyDescent="0.2">
      <c r="A1682" s="277" t="str">
        <f>IF(B1682="","",COUNT('Diário 5º PA'!$A$5:$A$2634)+COUNT('Diário 6º PA'!$A$5:$A$2246)+ROW()-4)</f>
        <v/>
      </c>
      <c r="B1682" s="278"/>
      <c r="C1682" s="335"/>
      <c r="D1682" s="255"/>
      <c r="E1682" s="255"/>
      <c r="F1682" s="258"/>
      <c r="G1682" s="450"/>
      <c r="H1682" s="255"/>
      <c r="I1682" s="250"/>
      <c r="J1682" s="255"/>
      <c r="K1682" s="255"/>
      <c r="L1682" s="250"/>
      <c r="M1682" s="277"/>
      <c r="N1682" s="277"/>
      <c r="O1682" s="329"/>
      <c r="P1682" s="330">
        <f t="shared" si="256"/>
        <v>0</v>
      </c>
      <c r="Q1682" s="330">
        <f t="shared" si="257"/>
        <v>0</v>
      </c>
      <c r="R1682" s="331" t="str">
        <f t="shared" si="258"/>
        <v/>
      </c>
      <c r="S1682" s="331" t="str">
        <f>IF(D1682="","",IF(OR(D1682=Plano!$A$1,D1682=Plano!$B$1),"entrada","saída"))</f>
        <v/>
      </c>
      <c r="T1682" s="345"/>
      <c r="U1682" s="345"/>
      <c r="V1682" s="269"/>
      <c r="W1682" s="269"/>
      <c r="X1682" s="269"/>
      <c r="Y1682" s="269"/>
      <c r="Z1682" s="269"/>
      <c r="AA1682" s="269"/>
      <c r="AB1682" s="269"/>
      <c r="AC1682" s="269"/>
      <c r="AD1682" s="269"/>
      <c r="AE1682" s="269"/>
      <c r="AF1682" s="269"/>
      <c r="AG1682" s="269"/>
      <c r="AH1682" s="269"/>
      <c r="AI1682" s="269"/>
      <c r="AJ1682" s="269"/>
      <c r="AK1682" s="269"/>
      <c r="AL1682" s="269"/>
      <c r="AM1682" s="269"/>
    </row>
    <row r="1683" spans="1:39" ht="12.75" customHeight="1" x14ac:dyDescent="0.2">
      <c r="A1683" s="277" t="str">
        <f>IF(B1683="","",COUNT('Diário 5º PA'!$A$5:$A$2634)+COUNT('Diário 6º PA'!$A$5:$A$2246)+ROW()-4)</f>
        <v/>
      </c>
      <c r="B1683" s="278"/>
      <c r="C1683" s="335"/>
      <c r="D1683" s="255"/>
      <c r="E1683" s="255"/>
      <c r="F1683" s="258"/>
      <c r="G1683" s="450"/>
      <c r="H1683" s="255"/>
      <c r="I1683" s="250"/>
      <c r="J1683" s="255"/>
      <c r="K1683" s="255"/>
      <c r="L1683" s="250"/>
      <c r="M1683" s="277"/>
      <c r="N1683" s="277"/>
      <c r="O1683" s="329"/>
      <c r="P1683" s="330">
        <f t="shared" si="256"/>
        <v>0</v>
      </c>
      <c r="Q1683" s="330">
        <f t="shared" si="257"/>
        <v>0</v>
      </c>
      <c r="R1683" s="331" t="str">
        <f t="shared" si="258"/>
        <v/>
      </c>
      <c r="S1683" s="331" t="str">
        <f>IF(D1683="","",IF(OR(D1683=Plano!$A$1,D1683=Plano!$B$1),"entrada","saída"))</f>
        <v/>
      </c>
      <c r="T1683" s="345"/>
      <c r="U1683" s="345"/>
      <c r="V1683" s="269"/>
      <c r="W1683" s="269"/>
      <c r="X1683" s="269"/>
      <c r="Y1683" s="269"/>
      <c r="Z1683" s="269"/>
      <c r="AA1683" s="269"/>
      <c r="AB1683" s="269"/>
      <c r="AC1683" s="269"/>
      <c r="AD1683" s="269"/>
      <c r="AE1683" s="269"/>
      <c r="AF1683" s="269"/>
      <c r="AG1683" s="269"/>
      <c r="AH1683" s="269"/>
      <c r="AI1683" s="269"/>
      <c r="AJ1683" s="269"/>
      <c r="AK1683" s="269"/>
      <c r="AL1683" s="269"/>
      <c r="AM1683" s="269"/>
    </row>
    <row r="1684" spans="1:39" ht="12.75" customHeight="1" x14ac:dyDescent="0.2">
      <c r="A1684" s="277" t="str">
        <f>IF(B1684="","",COUNT('Diário 5º PA'!$A$5:$A$2634)+COUNT('Diário 6º PA'!$A$5:$A$2246)+ROW()-4)</f>
        <v/>
      </c>
      <c r="B1684" s="278"/>
      <c r="C1684" s="335"/>
      <c r="D1684" s="255"/>
      <c r="E1684" s="255"/>
      <c r="F1684" s="258"/>
      <c r="G1684" s="450"/>
      <c r="H1684" s="255"/>
      <c r="I1684" s="250"/>
      <c r="J1684" s="255"/>
      <c r="K1684" s="255"/>
      <c r="L1684" s="250"/>
      <c r="M1684" s="277"/>
      <c r="N1684" s="277"/>
      <c r="O1684" s="329"/>
      <c r="P1684" s="330">
        <f t="shared" si="256"/>
        <v>0</v>
      </c>
      <c r="Q1684" s="330">
        <f t="shared" si="257"/>
        <v>0</v>
      </c>
      <c r="R1684" s="331" t="str">
        <f t="shared" si="258"/>
        <v/>
      </c>
      <c r="S1684" s="331" t="str">
        <f>IF(D1684="","",IF(OR(D1684=Plano!$A$1,D1684=Plano!$B$1),"entrada","saída"))</f>
        <v/>
      </c>
      <c r="T1684" s="345"/>
      <c r="U1684" s="345"/>
      <c r="V1684" s="269"/>
      <c r="W1684" s="269"/>
      <c r="X1684" s="269"/>
      <c r="Y1684" s="269"/>
      <c r="Z1684" s="269"/>
      <c r="AA1684" s="269"/>
      <c r="AB1684" s="269"/>
      <c r="AC1684" s="269"/>
      <c r="AD1684" s="269"/>
      <c r="AE1684" s="269"/>
      <c r="AF1684" s="269"/>
      <c r="AG1684" s="269"/>
      <c r="AH1684" s="269"/>
      <c r="AI1684" s="269"/>
      <c r="AJ1684" s="269"/>
      <c r="AK1684" s="269"/>
      <c r="AL1684" s="269"/>
      <c r="AM1684" s="269"/>
    </row>
    <row r="1685" spans="1:39" ht="12.75" customHeight="1" x14ac:dyDescent="0.2">
      <c r="A1685" s="277" t="str">
        <f>IF(B1685="","",COUNT('Diário 5º PA'!$A$5:$A$2634)+COUNT('Diário 6º PA'!$A$5:$A$2246)+ROW()-4)</f>
        <v/>
      </c>
      <c r="B1685" s="278"/>
      <c r="C1685" s="335"/>
      <c r="D1685" s="255"/>
      <c r="E1685" s="255"/>
      <c r="F1685" s="258"/>
      <c r="G1685" s="450"/>
      <c r="H1685" s="255"/>
      <c r="I1685" s="250"/>
      <c r="J1685" s="255"/>
      <c r="K1685" s="255"/>
      <c r="L1685" s="250"/>
      <c r="M1685" s="277"/>
      <c r="N1685" s="277"/>
      <c r="O1685" s="329"/>
      <c r="P1685" s="330">
        <f t="shared" si="256"/>
        <v>0</v>
      </c>
      <c r="Q1685" s="330">
        <f t="shared" si="257"/>
        <v>0</v>
      </c>
      <c r="R1685" s="331" t="str">
        <f t="shared" si="258"/>
        <v/>
      </c>
      <c r="S1685" s="331" t="str">
        <f>IF(D1685="","",IF(OR(D1685=Plano!$A$1,D1685=Plano!$B$1),"entrada","saída"))</f>
        <v/>
      </c>
      <c r="T1685" s="345"/>
      <c r="U1685" s="345"/>
      <c r="V1685" s="269"/>
      <c r="W1685" s="269"/>
      <c r="X1685" s="269"/>
      <c r="Y1685" s="269"/>
      <c r="Z1685" s="269"/>
      <c r="AA1685" s="269"/>
      <c r="AB1685" s="269"/>
      <c r="AC1685" s="269"/>
      <c r="AD1685" s="269"/>
      <c r="AE1685" s="269"/>
      <c r="AF1685" s="269"/>
      <c r="AG1685" s="269"/>
      <c r="AH1685" s="269"/>
      <c r="AI1685" s="269"/>
      <c r="AJ1685" s="269"/>
      <c r="AK1685" s="269"/>
      <c r="AL1685" s="269"/>
      <c r="AM1685" s="269"/>
    </row>
    <row r="1686" spans="1:39" ht="12.75" customHeight="1" x14ac:dyDescent="0.2">
      <c r="A1686" s="277" t="str">
        <f>IF(B1686="","",COUNT('Diário 5º PA'!$A$5:$A$2634)+COUNT('Diário 6º PA'!$A$5:$A$2246)+ROW()-4)</f>
        <v/>
      </c>
      <c r="B1686" s="278"/>
      <c r="C1686" s="335"/>
      <c r="D1686" s="255"/>
      <c r="E1686" s="255"/>
      <c r="F1686" s="258"/>
      <c r="G1686" s="450"/>
      <c r="H1686" s="255"/>
      <c r="I1686" s="250"/>
      <c r="J1686" s="255"/>
      <c r="K1686" s="255"/>
      <c r="L1686" s="250"/>
      <c r="M1686" s="277"/>
      <c r="N1686" s="277"/>
      <c r="O1686" s="329"/>
      <c r="P1686" s="330">
        <f t="shared" si="256"/>
        <v>0</v>
      </c>
      <c r="Q1686" s="330">
        <f t="shared" si="257"/>
        <v>0</v>
      </c>
      <c r="R1686" s="331" t="str">
        <f t="shared" si="258"/>
        <v/>
      </c>
      <c r="S1686" s="331" t="str">
        <f>IF(D1686="","",IF(OR(D1686=Plano!$A$1,D1686=Plano!$B$1),"entrada","saída"))</f>
        <v/>
      </c>
      <c r="T1686" s="345"/>
      <c r="U1686" s="345"/>
      <c r="V1686" s="269"/>
      <c r="W1686" s="269"/>
      <c r="X1686" s="269"/>
      <c r="Y1686" s="269"/>
      <c r="Z1686" s="269"/>
      <c r="AA1686" s="269"/>
      <c r="AB1686" s="269"/>
      <c r="AC1686" s="269"/>
      <c r="AD1686" s="269"/>
      <c r="AE1686" s="269"/>
      <c r="AF1686" s="269"/>
      <c r="AG1686" s="269"/>
      <c r="AH1686" s="269"/>
      <c r="AI1686" s="269"/>
      <c r="AJ1686" s="269"/>
      <c r="AK1686" s="269"/>
      <c r="AL1686" s="269"/>
      <c r="AM1686" s="269"/>
    </row>
    <row r="1687" spans="1:39" ht="12.75" customHeight="1" x14ac:dyDescent="0.2">
      <c r="A1687" s="277" t="str">
        <f>IF(B1687="","",COUNT('Diário 5º PA'!$A$5:$A$2634)+COUNT('Diário 6º PA'!$A$5:$A$2246)+ROW()-4)</f>
        <v/>
      </c>
      <c r="B1687" s="278"/>
      <c r="C1687" s="335"/>
      <c r="D1687" s="255"/>
      <c r="E1687" s="255"/>
      <c r="F1687" s="258"/>
      <c r="G1687" s="450"/>
      <c r="H1687" s="255"/>
      <c r="I1687" s="250"/>
      <c r="J1687" s="255"/>
      <c r="K1687" s="255"/>
      <c r="L1687" s="250"/>
      <c r="M1687" s="277"/>
      <c r="N1687" s="277"/>
      <c r="O1687" s="329"/>
      <c r="P1687" s="330">
        <f t="shared" si="256"/>
        <v>0</v>
      </c>
      <c r="Q1687" s="330">
        <f t="shared" si="257"/>
        <v>0</v>
      </c>
      <c r="R1687" s="331" t="str">
        <f t="shared" si="258"/>
        <v/>
      </c>
      <c r="S1687" s="331" t="str">
        <f>IF(D1687="","",IF(OR(D1687=Plano!$A$1,D1687=Plano!$B$1),"entrada","saída"))</f>
        <v/>
      </c>
      <c r="T1687" s="345"/>
      <c r="U1687" s="345"/>
      <c r="V1687" s="269"/>
      <c r="W1687" s="269"/>
      <c r="X1687" s="269"/>
      <c r="Y1687" s="269"/>
      <c r="Z1687" s="269"/>
      <c r="AA1687" s="269"/>
      <c r="AB1687" s="269"/>
      <c r="AC1687" s="269"/>
      <c r="AD1687" s="269"/>
      <c r="AE1687" s="269"/>
      <c r="AF1687" s="269"/>
      <c r="AG1687" s="269"/>
      <c r="AH1687" s="269"/>
      <c r="AI1687" s="269"/>
      <c r="AJ1687" s="269"/>
      <c r="AK1687" s="269"/>
      <c r="AL1687" s="269"/>
      <c r="AM1687" s="269"/>
    </row>
    <row r="1688" spans="1:39" ht="12.75" customHeight="1" x14ac:dyDescent="0.2">
      <c r="A1688" s="277" t="str">
        <f>IF(B1688="","",COUNT('Diário 5º PA'!$A$5:$A$2634)+COUNT('Diário 6º PA'!$A$5:$A$2246)+ROW()-4)</f>
        <v/>
      </c>
      <c r="B1688" s="278"/>
      <c r="C1688" s="335"/>
      <c r="D1688" s="255"/>
      <c r="E1688" s="255"/>
      <c r="F1688" s="258"/>
      <c r="G1688" s="450"/>
      <c r="H1688" s="255"/>
      <c r="I1688" s="250"/>
      <c r="J1688" s="255"/>
      <c r="K1688" s="255"/>
      <c r="L1688" s="250"/>
      <c r="M1688" s="277"/>
      <c r="N1688" s="277"/>
      <c r="O1688" s="329"/>
      <c r="P1688" s="330">
        <f t="shared" si="256"/>
        <v>0</v>
      </c>
      <c r="Q1688" s="330">
        <f t="shared" si="257"/>
        <v>0</v>
      </c>
      <c r="R1688" s="331" t="str">
        <f t="shared" si="258"/>
        <v/>
      </c>
      <c r="S1688" s="331" t="str">
        <f>IF(D1688="","",IF(OR(D1688=Plano!$A$1,D1688=Plano!$B$1),"entrada","saída"))</f>
        <v/>
      </c>
      <c r="T1688" s="345"/>
      <c r="U1688" s="345"/>
      <c r="V1688" s="269"/>
      <c r="W1688" s="269"/>
      <c r="X1688" s="269"/>
      <c r="Y1688" s="269"/>
      <c r="Z1688" s="269"/>
      <c r="AA1688" s="269"/>
      <c r="AB1688" s="269"/>
      <c r="AC1688" s="269"/>
      <c r="AD1688" s="269"/>
      <c r="AE1688" s="269"/>
      <c r="AF1688" s="269"/>
      <c r="AG1688" s="269"/>
      <c r="AH1688" s="269"/>
      <c r="AI1688" s="269"/>
      <c r="AJ1688" s="269"/>
      <c r="AK1688" s="269"/>
      <c r="AL1688" s="269"/>
      <c r="AM1688" s="269"/>
    </row>
    <row r="1689" spans="1:39" ht="12.75" customHeight="1" x14ac:dyDescent="0.2">
      <c r="A1689" s="277" t="str">
        <f>IF(B1689="","",COUNT('Diário 5º PA'!$A$5:$A$2634)+COUNT('Diário 6º PA'!$A$5:$A$2246)+ROW()-4)</f>
        <v/>
      </c>
      <c r="B1689" s="278"/>
      <c r="C1689" s="335"/>
      <c r="D1689" s="255"/>
      <c r="E1689" s="255"/>
      <c r="F1689" s="258"/>
      <c r="G1689" s="450"/>
      <c r="H1689" s="255"/>
      <c r="I1689" s="250"/>
      <c r="J1689" s="255"/>
      <c r="K1689" s="255"/>
      <c r="L1689" s="250"/>
      <c r="M1689" s="277"/>
      <c r="N1689" s="277"/>
      <c r="O1689" s="329"/>
      <c r="P1689" s="330">
        <f t="shared" si="256"/>
        <v>0</v>
      </c>
      <c r="Q1689" s="330">
        <f t="shared" si="257"/>
        <v>0</v>
      </c>
      <c r="R1689" s="331" t="str">
        <f t="shared" si="258"/>
        <v/>
      </c>
      <c r="S1689" s="331" t="str">
        <f>IF(D1689="","",IF(OR(D1689=Plano!$A$1,D1689=Plano!$B$1),"entrada","saída"))</f>
        <v/>
      </c>
      <c r="T1689" s="345"/>
      <c r="U1689" s="345"/>
      <c r="V1689" s="269"/>
      <c r="W1689" s="269"/>
      <c r="X1689" s="269"/>
      <c r="Y1689" s="269"/>
      <c r="Z1689" s="269"/>
      <c r="AA1689" s="269"/>
      <c r="AB1689" s="269"/>
      <c r="AC1689" s="269"/>
      <c r="AD1689" s="269"/>
      <c r="AE1689" s="269"/>
      <c r="AF1689" s="269"/>
      <c r="AG1689" s="269"/>
      <c r="AH1689" s="269"/>
      <c r="AI1689" s="269"/>
      <c r="AJ1689" s="269"/>
      <c r="AK1689" s="269"/>
      <c r="AL1689" s="269"/>
      <c r="AM1689" s="269"/>
    </row>
    <row r="1690" spans="1:39" ht="12.75" customHeight="1" x14ac:dyDescent="0.2">
      <c r="A1690" s="277" t="str">
        <f>IF(B1690="","",COUNT('Diário 5º PA'!$A$5:$A$2634)+COUNT('Diário 6º PA'!$A$5:$A$2246)+ROW()-4)</f>
        <v/>
      </c>
      <c r="B1690" s="278"/>
      <c r="C1690" s="335"/>
      <c r="D1690" s="255"/>
      <c r="E1690" s="255"/>
      <c r="F1690" s="258"/>
      <c r="G1690" s="450"/>
      <c r="H1690" s="255"/>
      <c r="I1690" s="250"/>
      <c r="J1690" s="255"/>
      <c r="K1690" s="255"/>
      <c r="L1690" s="250"/>
      <c r="M1690" s="277"/>
      <c r="N1690" s="277"/>
      <c r="O1690" s="329"/>
      <c r="P1690" s="330">
        <f t="shared" si="256"/>
        <v>0</v>
      </c>
      <c r="Q1690" s="330">
        <f t="shared" si="257"/>
        <v>0</v>
      </c>
      <c r="R1690" s="331" t="str">
        <f t="shared" si="258"/>
        <v/>
      </c>
      <c r="S1690" s="331" t="str">
        <f>IF(D1690="","",IF(OR(D1690=Plano!$A$1,D1690=Plano!$B$1),"entrada","saída"))</f>
        <v/>
      </c>
      <c r="T1690" s="345"/>
      <c r="U1690" s="345"/>
      <c r="V1690" s="269"/>
      <c r="W1690" s="269"/>
      <c r="X1690" s="269"/>
      <c r="Y1690" s="269"/>
      <c r="Z1690" s="269"/>
      <c r="AA1690" s="269"/>
      <c r="AB1690" s="269"/>
      <c r="AC1690" s="269"/>
      <c r="AD1690" s="269"/>
      <c r="AE1690" s="269"/>
      <c r="AF1690" s="269"/>
      <c r="AG1690" s="269"/>
      <c r="AH1690" s="269"/>
      <c r="AI1690" s="269"/>
      <c r="AJ1690" s="269"/>
      <c r="AK1690" s="269"/>
      <c r="AL1690" s="269"/>
      <c r="AM1690" s="269"/>
    </row>
    <row r="1691" spans="1:39" ht="12.75" customHeight="1" x14ac:dyDescent="0.2">
      <c r="A1691" s="277" t="str">
        <f>IF(B1691="","",COUNT('Diário 5º PA'!$A$5:$A$2634)+COUNT('Diário 6º PA'!$A$5:$A$2246)+ROW()-4)</f>
        <v/>
      </c>
      <c r="B1691" s="278"/>
      <c r="C1691" s="335"/>
      <c r="D1691" s="255"/>
      <c r="E1691" s="255"/>
      <c r="F1691" s="258"/>
      <c r="G1691" s="450"/>
      <c r="H1691" s="255"/>
      <c r="I1691" s="250"/>
      <c r="J1691" s="255"/>
      <c r="K1691" s="255"/>
      <c r="L1691" s="250"/>
      <c r="M1691" s="277"/>
      <c r="N1691" s="277"/>
      <c r="O1691" s="329"/>
      <c r="P1691" s="330">
        <f t="shared" si="256"/>
        <v>0</v>
      </c>
      <c r="Q1691" s="330">
        <f t="shared" si="257"/>
        <v>0</v>
      </c>
      <c r="R1691" s="331" t="str">
        <f t="shared" si="258"/>
        <v/>
      </c>
      <c r="S1691" s="331" t="str">
        <f>IF(D1691="","",IF(OR(D1691=Plano!$A$1,D1691=Plano!$B$1),"entrada","saída"))</f>
        <v/>
      </c>
      <c r="T1691" s="345"/>
      <c r="U1691" s="345"/>
      <c r="V1691" s="269"/>
      <c r="W1691" s="269"/>
      <c r="X1691" s="269"/>
      <c r="Y1691" s="269"/>
      <c r="Z1691" s="269"/>
      <c r="AA1691" s="269"/>
      <c r="AB1691" s="269"/>
      <c r="AC1691" s="269"/>
      <c r="AD1691" s="269"/>
      <c r="AE1691" s="269"/>
      <c r="AF1691" s="269"/>
      <c r="AG1691" s="269"/>
      <c r="AH1691" s="269"/>
      <c r="AI1691" s="269"/>
      <c r="AJ1691" s="269"/>
      <c r="AK1691" s="269"/>
      <c r="AL1691" s="269"/>
      <c r="AM1691" s="269"/>
    </row>
    <row r="1692" spans="1:39" ht="12.75" customHeight="1" x14ac:dyDescent="0.2">
      <c r="A1692" s="277" t="str">
        <f>IF(B1692="","",COUNT('Diário 5º PA'!$A$5:$A$2634)+COUNT('Diário 6º PA'!$A$5:$A$2246)+ROW()-4)</f>
        <v/>
      </c>
      <c r="B1692" s="278"/>
      <c r="C1692" s="335"/>
      <c r="D1692" s="255"/>
      <c r="E1692" s="255"/>
      <c r="F1692" s="258"/>
      <c r="G1692" s="450"/>
      <c r="H1692" s="255"/>
      <c r="I1692" s="250"/>
      <c r="J1692" s="255"/>
      <c r="K1692" s="255"/>
      <c r="L1692" s="250"/>
      <c r="M1692" s="277"/>
      <c r="N1692" s="277"/>
      <c r="O1692" s="329"/>
      <c r="P1692" s="330">
        <f t="shared" si="256"/>
        <v>0</v>
      </c>
      <c r="Q1692" s="330">
        <f t="shared" si="257"/>
        <v>0</v>
      </c>
      <c r="R1692" s="331" t="str">
        <f t="shared" si="258"/>
        <v/>
      </c>
      <c r="S1692" s="331" t="str">
        <f>IF(D1692="","",IF(OR(D1692=Plano!$A$1,D1692=Plano!$B$1),"entrada","saída"))</f>
        <v/>
      </c>
      <c r="T1692" s="345"/>
      <c r="U1692" s="345"/>
      <c r="V1692" s="269"/>
      <c r="W1692" s="269"/>
      <c r="X1692" s="269"/>
      <c r="Y1692" s="269"/>
      <c r="Z1692" s="269"/>
      <c r="AA1692" s="269"/>
      <c r="AB1692" s="269"/>
      <c r="AC1692" s="269"/>
      <c r="AD1692" s="269"/>
      <c r="AE1692" s="269"/>
      <c r="AF1692" s="269"/>
      <c r="AG1692" s="269"/>
      <c r="AH1692" s="269"/>
      <c r="AI1692" s="269"/>
      <c r="AJ1692" s="269"/>
      <c r="AK1692" s="269"/>
      <c r="AL1692" s="269"/>
      <c r="AM1692" s="269"/>
    </row>
    <row r="1693" spans="1:39" ht="12.75" customHeight="1" x14ac:dyDescent="0.2">
      <c r="A1693" s="277" t="str">
        <f>IF(B1693="","",COUNT('Diário 5º PA'!$A$5:$A$2634)+COUNT('Diário 6º PA'!$A$5:$A$2246)+ROW()-4)</f>
        <v/>
      </c>
      <c r="B1693" s="278"/>
      <c r="C1693" s="335"/>
      <c r="D1693" s="255"/>
      <c r="E1693" s="255"/>
      <c r="F1693" s="258"/>
      <c r="G1693" s="450"/>
      <c r="H1693" s="255"/>
      <c r="I1693" s="250"/>
      <c r="J1693" s="255"/>
      <c r="K1693" s="255"/>
      <c r="L1693" s="250"/>
      <c r="M1693" s="277"/>
      <c r="N1693" s="277"/>
      <c r="O1693" s="329"/>
      <c r="P1693" s="330">
        <f t="shared" si="256"/>
        <v>0</v>
      </c>
      <c r="Q1693" s="330">
        <f t="shared" si="257"/>
        <v>0</v>
      </c>
      <c r="R1693" s="331" t="str">
        <f t="shared" si="258"/>
        <v/>
      </c>
      <c r="S1693" s="331" t="str">
        <f>IF(D1693="","",IF(OR(D1693=Plano!$A$1,D1693=Plano!$B$1),"entrada","saída"))</f>
        <v/>
      </c>
      <c r="T1693" s="345"/>
      <c r="U1693" s="345"/>
      <c r="V1693" s="269"/>
      <c r="W1693" s="269"/>
      <c r="X1693" s="269"/>
      <c r="Y1693" s="269"/>
      <c r="Z1693" s="269"/>
      <c r="AA1693" s="269"/>
      <c r="AB1693" s="269"/>
      <c r="AC1693" s="269"/>
      <c r="AD1693" s="269"/>
      <c r="AE1693" s="269"/>
      <c r="AF1693" s="269"/>
      <c r="AG1693" s="269"/>
      <c r="AH1693" s="269"/>
      <c r="AI1693" s="269"/>
      <c r="AJ1693" s="269"/>
      <c r="AK1693" s="269"/>
      <c r="AL1693" s="269"/>
      <c r="AM1693" s="269"/>
    </row>
    <row r="1694" spans="1:39" ht="12.75" customHeight="1" x14ac:dyDescent="0.2">
      <c r="A1694" s="277" t="str">
        <f>IF(B1694="","",COUNT('Diário 5º PA'!$A$5:$A$2634)+COUNT('Diário 6º PA'!$A$5:$A$2246)+ROW()-4)</f>
        <v/>
      </c>
      <c r="B1694" s="278"/>
      <c r="C1694" s="335"/>
      <c r="D1694" s="255"/>
      <c r="E1694" s="255"/>
      <c r="F1694" s="258"/>
      <c r="G1694" s="450"/>
      <c r="H1694" s="255"/>
      <c r="I1694" s="250"/>
      <c r="J1694" s="255"/>
      <c r="K1694" s="255"/>
      <c r="L1694" s="250"/>
      <c r="M1694" s="277"/>
      <c r="N1694" s="277"/>
      <c r="O1694" s="329"/>
      <c r="P1694" s="330">
        <f t="shared" si="256"/>
        <v>0</v>
      </c>
      <c r="Q1694" s="330">
        <f t="shared" si="257"/>
        <v>0</v>
      </c>
      <c r="R1694" s="331" t="str">
        <f t="shared" si="258"/>
        <v/>
      </c>
      <c r="S1694" s="331" t="str">
        <f>IF(D1694="","",IF(OR(D1694=Plano!$A$1,D1694=Plano!$B$1),"entrada","saída"))</f>
        <v/>
      </c>
      <c r="T1694" s="345"/>
      <c r="U1694" s="345"/>
      <c r="V1694" s="269"/>
      <c r="W1694" s="269"/>
      <c r="X1694" s="269"/>
      <c r="Y1694" s="269"/>
      <c r="Z1694" s="269"/>
      <c r="AA1694" s="269"/>
      <c r="AB1694" s="269"/>
      <c r="AC1694" s="269"/>
      <c r="AD1694" s="269"/>
      <c r="AE1694" s="269"/>
      <c r="AF1694" s="269"/>
      <c r="AG1694" s="269"/>
      <c r="AH1694" s="269"/>
      <c r="AI1694" s="269"/>
      <c r="AJ1694" s="269"/>
      <c r="AK1694" s="269"/>
      <c r="AL1694" s="269"/>
      <c r="AM1694" s="269"/>
    </row>
    <row r="1695" spans="1:39" ht="12.75" customHeight="1" x14ac:dyDescent="0.2">
      <c r="A1695" s="277" t="str">
        <f>IF(B1695="","",COUNT('Diário 5º PA'!$A$5:$A$2634)+COUNT('Diário 6º PA'!$A$5:$A$2246)+ROW()-4)</f>
        <v/>
      </c>
      <c r="B1695" s="278"/>
      <c r="C1695" s="335"/>
      <c r="D1695" s="255"/>
      <c r="E1695" s="255"/>
      <c r="F1695" s="258"/>
      <c r="G1695" s="450"/>
      <c r="H1695" s="255"/>
      <c r="I1695" s="250"/>
      <c r="J1695" s="255"/>
      <c r="K1695" s="255"/>
      <c r="L1695" s="250"/>
      <c r="M1695" s="277"/>
      <c r="N1695" s="277"/>
      <c r="O1695" s="329"/>
      <c r="P1695" s="330">
        <f t="shared" si="256"/>
        <v>0</v>
      </c>
      <c r="Q1695" s="330">
        <f t="shared" si="257"/>
        <v>0</v>
      </c>
      <c r="R1695" s="331" t="str">
        <f t="shared" si="258"/>
        <v/>
      </c>
      <c r="S1695" s="331" t="str">
        <f>IF(D1695="","",IF(OR(D1695=Plano!$A$1,D1695=Plano!$B$1),"entrada","saída"))</f>
        <v/>
      </c>
      <c r="T1695" s="345"/>
      <c r="U1695" s="345"/>
      <c r="V1695" s="269"/>
      <c r="W1695" s="269"/>
      <c r="X1695" s="269"/>
      <c r="Y1695" s="269"/>
      <c r="Z1695" s="269"/>
      <c r="AA1695" s="269"/>
      <c r="AB1695" s="269"/>
      <c r="AC1695" s="269"/>
      <c r="AD1695" s="269"/>
      <c r="AE1695" s="269"/>
      <c r="AF1695" s="269"/>
      <c r="AG1695" s="269"/>
      <c r="AH1695" s="269"/>
      <c r="AI1695" s="269"/>
      <c r="AJ1695" s="269"/>
      <c r="AK1695" s="269"/>
      <c r="AL1695" s="269"/>
      <c r="AM1695" s="269"/>
    </row>
    <row r="1696" spans="1:39" ht="12.75" customHeight="1" x14ac:dyDescent="0.2">
      <c r="A1696" s="277" t="str">
        <f>IF(B1696="","",COUNT('Diário 5º PA'!$A$5:$A$2634)+COUNT('Diário 6º PA'!$A$5:$A$2246)+ROW()-4)</f>
        <v/>
      </c>
      <c r="B1696" s="278"/>
      <c r="C1696" s="335"/>
      <c r="D1696" s="255"/>
      <c r="E1696" s="255"/>
      <c r="F1696" s="258"/>
      <c r="G1696" s="450"/>
      <c r="H1696" s="255"/>
      <c r="I1696" s="250"/>
      <c r="J1696" s="255"/>
      <c r="K1696" s="255"/>
      <c r="L1696" s="250"/>
      <c r="M1696" s="277"/>
      <c r="N1696" s="277"/>
      <c r="O1696" s="329"/>
      <c r="P1696" s="330">
        <f t="shared" si="256"/>
        <v>0</v>
      </c>
      <c r="Q1696" s="330">
        <f t="shared" si="257"/>
        <v>0</v>
      </c>
      <c r="R1696" s="331" t="str">
        <f t="shared" si="258"/>
        <v/>
      </c>
      <c r="S1696" s="331" t="str">
        <f>IF(D1696="","",IF(OR(D1696=Plano!$A$1,D1696=Plano!$B$1),"entrada","saída"))</f>
        <v/>
      </c>
      <c r="T1696" s="345"/>
      <c r="U1696" s="345"/>
      <c r="V1696" s="269"/>
      <c r="W1696" s="269"/>
      <c r="X1696" s="269"/>
      <c r="Y1696" s="269"/>
      <c r="Z1696" s="269"/>
      <c r="AA1696" s="269"/>
      <c r="AB1696" s="269"/>
      <c r="AC1696" s="269"/>
      <c r="AD1696" s="269"/>
      <c r="AE1696" s="269"/>
      <c r="AF1696" s="269"/>
      <c r="AG1696" s="269"/>
      <c r="AH1696" s="269"/>
      <c r="AI1696" s="269"/>
      <c r="AJ1696" s="269"/>
      <c r="AK1696" s="269"/>
      <c r="AL1696" s="269"/>
      <c r="AM1696" s="269"/>
    </row>
    <row r="1697" spans="1:39" ht="12.75" customHeight="1" x14ac:dyDescent="0.2">
      <c r="A1697" s="277" t="str">
        <f>IF(B1697="","",COUNT('Diário 5º PA'!$A$5:$A$2634)+COUNT('Diário 6º PA'!$A$5:$A$2246)+ROW()-4)</f>
        <v/>
      </c>
      <c r="B1697" s="278"/>
      <c r="C1697" s="335"/>
      <c r="D1697" s="255"/>
      <c r="E1697" s="255"/>
      <c r="F1697" s="258"/>
      <c r="G1697" s="450"/>
      <c r="H1697" s="255"/>
      <c r="I1697" s="250"/>
      <c r="J1697" s="255"/>
      <c r="K1697" s="255"/>
      <c r="L1697" s="250"/>
      <c r="M1697" s="277"/>
      <c r="N1697" s="277"/>
      <c r="O1697" s="329"/>
      <c r="P1697" s="330">
        <f t="shared" si="256"/>
        <v>0</v>
      </c>
      <c r="Q1697" s="330">
        <f t="shared" si="257"/>
        <v>0</v>
      </c>
      <c r="R1697" s="331" t="str">
        <f t="shared" si="258"/>
        <v/>
      </c>
      <c r="S1697" s="331" t="str">
        <f>IF(D1697="","",IF(OR(D1697=Plano!$A$1,D1697=Plano!$B$1),"entrada","saída"))</f>
        <v/>
      </c>
      <c r="T1697" s="345"/>
      <c r="U1697" s="345"/>
      <c r="V1697" s="269"/>
      <c r="W1697" s="269"/>
      <c r="X1697" s="269"/>
      <c r="Y1697" s="269"/>
      <c r="Z1697" s="269"/>
      <c r="AA1697" s="269"/>
      <c r="AB1697" s="269"/>
      <c r="AC1697" s="269"/>
      <c r="AD1697" s="269"/>
      <c r="AE1697" s="269"/>
      <c r="AF1697" s="269"/>
      <c r="AG1697" s="269"/>
      <c r="AH1697" s="269"/>
      <c r="AI1697" s="269"/>
      <c r="AJ1697" s="269"/>
      <c r="AK1697" s="269"/>
      <c r="AL1697" s="269"/>
      <c r="AM1697" s="269"/>
    </row>
    <row r="1698" spans="1:39" ht="12.75" customHeight="1" x14ac:dyDescent="0.2">
      <c r="A1698" s="277" t="str">
        <f>IF(B1698="","",COUNT('Diário 5º PA'!$A$5:$A$2634)+COUNT('Diário 6º PA'!$A$5:$A$2246)+ROW()-4)</f>
        <v/>
      </c>
      <c r="B1698" s="278"/>
      <c r="C1698" s="335"/>
      <c r="D1698" s="255"/>
      <c r="E1698" s="255"/>
      <c r="F1698" s="258"/>
      <c r="G1698" s="450"/>
      <c r="H1698" s="255"/>
      <c r="I1698" s="250"/>
      <c r="J1698" s="255"/>
      <c r="K1698" s="255"/>
      <c r="L1698" s="250"/>
      <c r="M1698" s="277"/>
      <c r="N1698" s="277"/>
      <c r="O1698" s="329"/>
      <c r="P1698" s="330">
        <f t="shared" si="256"/>
        <v>0</v>
      </c>
      <c r="Q1698" s="330">
        <f t="shared" si="257"/>
        <v>0</v>
      </c>
      <c r="R1698" s="331" t="str">
        <f t="shared" si="258"/>
        <v/>
      </c>
      <c r="S1698" s="331" t="str">
        <f>IF(D1698="","",IF(OR(D1698=Plano!$A$1,D1698=Plano!$B$1),"entrada","saída"))</f>
        <v/>
      </c>
      <c r="T1698" s="345"/>
      <c r="U1698" s="345"/>
      <c r="V1698" s="269"/>
      <c r="W1698" s="269"/>
      <c r="X1698" s="269"/>
      <c r="Y1698" s="269"/>
      <c r="Z1698" s="269"/>
      <c r="AA1698" s="269"/>
      <c r="AB1698" s="269"/>
      <c r="AC1698" s="269"/>
      <c r="AD1698" s="269"/>
      <c r="AE1698" s="269"/>
      <c r="AF1698" s="269"/>
      <c r="AG1698" s="269"/>
      <c r="AH1698" s="269"/>
      <c r="AI1698" s="269"/>
      <c r="AJ1698" s="269"/>
      <c r="AK1698" s="269"/>
      <c r="AL1698" s="269"/>
      <c r="AM1698" s="269"/>
    </row>
    <row r="1699" spans="1:39" ht="12.75" customHeight="1" x14ac:dyDescent="0.2">
      <c r="A1699" s="277" t="str">
        <f>IF(B1699="","",COUNT('Diário 5º PA'!$A$5:$A$2634)+COUNT('Diário 6º PA'!$A$5:$A$2246)+ROW()-4)</f>
        <v/>
      </c>
      <c r="B1699" s="278"/>
      <c r="C1699" s="335"/>
      <c r="D1699" s="255"/>
      <c r="E1699" s="255"/>
      <c r="F1699" s="258"/>
      <c r="G1699" s="450"/>
      <c r="H1699" s="255"/>
      <c r="I1699" s="250"/>
      <c r="J1699" s="255"/>
      <c r="K1699" s="255"/>
      <c r="L1699" s="250"/>
      <c r="M1699" s="277"/>
      <c r="N1699" s="277"/>
      <c r="O1699" s="329"/>
      <c r="P1699" s="330">
        <f t="shared" si="256"/>
        <v>0</v>
      </c>
      <c r="Q1699" s="330">
        <f t="shared" si="257"/>
        <v>0</v>
      </c>
      <c r="R1699" s="331" t="str">
        <f t="shared" si="258"/>
        <v/>
      </c>
      <c r="S1699" s="331" t="str">
        <f>IF(D1699="","",IF(OR(D1699=Plano!$A$1,D1699=Plano!$B$1),"entrada","saída"))</f>
        <v/>
      </c>
      <c r="T1699" s="345"/>
      <c r="U1699" s="345"/>
      <c r="V1699" s="269"/>
      <c r="W1699" s="269"/>
      <c r="X1699" s="269"/>
      <c r="Y1699" s="269"/>
      <c r="Z1699" s="269"/>
      <c r="AA1699" s="269"/>
      <c r="AB1699" s="269"/>
      <c r="AC1699" s="269"/>
      <c r="AD1699" s="269"/>
      <c r="AE1699" s="269"/>
      <c r="AF1699" s="269"/>
      <c r="AG1699" s="269"/>
      <c r="AH1699" s="269"/>
      <c r="AI1699" s="269"/>
      <c r="AJ1699" s="269"/>
      <c r="AK1699" s="269"/>
      <c r="AL1699" s="269"/>
      <c r="AM1699" s="269"/>
    </row>
    <row r="1700" spans="1:39" ht="12.75" customHeight="1" x14ac:dyDescent="0.2">
      <c r="A1700" s="277" t="str">
        <f>IF(B1700="","",COUNT('Diário 5º PA'!$A$5:$A$2634)+COUNT('Diário 6º PA'!$A$5:$A$2246)+ROW()-4)</f>
        <v/>
      </c>
      <c r="B1700" s="278"/>
      <c r="C1700" s="335"/>
      <c r="D1700" s="255"/>
      <c r="E1700" s="255"/>
      <c r="F1700" s="258"/>
      <c r="G1700" s="450"/>
      <c r="H1700" s="255"/>
      <c r="I1700" s="250"/>
      <c r="J1700" s="255"/>
      <c r="K1700" s="255"/>
      <c r="L1700" s="250"/>
      <c r="M1700" s="277"/>
      <c r="N1700" s="277"/>
      <c r="O1700" s="329"/>
      <c r="P1700" s="330">
        <f t="shared" si="256"/>
        <v>0</v>
      </c>
      <c r="Q1700" s="330">
        <f t="shared" si="257"/>
        <v>0</v>
      </c>
      <c r="R1700" s="331" t="str">
        <f t="shared" si="258"/>
        <v/>
      </c>
      <c r="S1700" s="331" t="str">
        <f>IF(D1700="","",IF(OR(D1700=Plano!$A$1,D1700=Plano!$B$1),"entrada","saída"))</f>
        <v/>
      </c>
      <c r="T1700" s="345"/>
      <c r="U1700" s="345"/>
      <c r="V1700" s="269"/>
      <c r="W1700" s="269"/>
      <c r="X1700" s="269"/>
      <c r="Y1700" s="269"/>
      <c r="Z1700" s="269"/>
      <c r="AA1700" s="269"/>
      <c r="AB1700" s="269"/>
      <c r="AC1700" s="269"/>
      <c r="AD1700" s="269"/>
      <c r="AE1700" s="269"/>
      <c r="AF1700" s="269"/>
      <c r="AG1700" s="269"/>
      <c r="AH1700" s="269"/>
      <c r="AI1700" s="269"/>
      <c r="AJ1700" s="269"/>
      <c r="AK1700" s="269"/>
      <c r="AL1700" s="269"/>
      <c r="AM1700" s="269"/>
    </row>
    <row r="1701" spans="1:39" ht="12.75" customHeight="1" x14ac:dyDescent="0.2">
      <c r="A1701" s="277" t="str">
        <f>IF(B1701="","",COUNT('Diário 5º PA'!$A$5:$A$2634)+COUNT('Diário 6º PA'!$A$5:$A$2246)+ROW()-4)</f>
        <v/>
      </c>
      <c r="B1701" s="278"/>
      <c r="C1701" s="335"/>
      <c r="D1701" s="255"/>
      <c r="E1701" s="255"/>
      <c r="F1701" s="258"/>
      <c r="G1701" s="450"/>
      <c r="H1701" s="255"/>
      <c r="I1701" s="250"/>
      <c r="J1701" s="255"/>
      <c r="K1701" s="255"/>
      <c r="L1701" s="250"/>
      <c r="M1701" s="277"/>
      <c r="N1701" s="277"/>
      <c r="O1701" s="329"/>
      <c r="P1701" s="330">
        <f t="shared" si="256"/>
        <v>0</v>
      </c>
      <c r="Q1701" s="330">
        <f t="shared" si="257"/>
        <v>0</v>
      </c>
      <c r="R1701" s="331" t="str">
        <f t="shared" si="258"/>
        <v/>
      </c>
      <c r="S1701" s="331" t="str">
        <f>IF(D1701="","",IF(OR(D1701=Plano!$A$1,D1701=Plano!$B$1),"entrada","saída"))</f>
        <v/>
      </c>
      <c r="T1701" s="345"/>
      <c r="U1701" s="345"/>
      <c r="V1701" s="269"/>
      <c r="W1701" s="269"/>
      <c r="X1701" s="269"/>
      <c r="Y1701" s="269"/>
      <c r="Z1701" s="269"/>
      <c r="AA1701" s="269"/>
      <c r="AB1701" s="269"/>
      <c r="AC1701" s="269"/>
      <c r="AD1701" s="269"/>
      <c r="AE1701" s="269"/>
      <c r="AF1701" s="269"/>
      <c r="AG1701" s="269"/>
      <c r="AH1701" s="269"/>
      <c r="AI1701" s="269"/>
      <c r="AJ1701" s="269"/>
      <c r="AK1701" s="269"/>
      <c r="AL1701" s="269"/>
      <c r="AM1701" s="269"/>
    </row>
    <row r="1702" spans="1:39" ht="12.75" customHeight="1" x14ac:dyDescent="0.2">
      <c r="A1702" s="277" t="str">
        <f>IF(B1702="","",COUNT('Diário 5º PA'!$A$5:$A$2634)+COUNT('Diário 6º PA'!$A$5:$A$2246)+ROW()-4)</f>
        <v/>
      </c>
      <c r="B1702" s="278"/>
      <c r="C1702" s="335"/>
      <c r="D1702" s="255"/>
      <c r="E1702" s="255"/>
      <c r="F1702" s="258"/>
      <c r="G1702" s="450"/>
      <c r="H1702" s="255"/>
      <c r="I1702" s="250"/>
      <c r="J1702" s="255"/>
      <c r="K1702" s="255"/>
      <c r="L1702" s="250"/>
      <c r="M1702" s="277"/>
      <c r="N1702" s="277"/>
      <c r="O1702" s="329"/>
      <c r="P1702" s="330">
        <f t="shared" si="256"/>
        <v>0</v>
      </c>
      <c r="Q1702" s="330">
        <f t="shared" si="257"/>
        <v>0</v>
      </c>
      <c r="R1702" s="331" t="str">
        <f t="shared" si="258"/>
        <v/>
      </c>
      <c r="S1702" s="331" t="str">
        <f>IF(D1702="","",IF(OR(D1702=Plano!$A$1,D1702=Plano!$B$1),"entrada","saída"))</f>
        <v/>
      </c>
      <c r="T1702" s="345"/>
      <c r="U1702" s="345"/>
      <c r="V1702" s="269"/>
      <c r="W1702" s="269"/>
      <c r="X1702" s="269"/>
      <c r="Y1702" s="269"/>
      <c r="Z1702" s="269"/>
      <c r="AA1702" s="269"/>
      <c r="AB1702" s="269"/>
      <c r="AC1702" s="269"/>
      <c r="AD1702" s="269"/>
      <c r="AE1702" s="269"/>
      <c r="AF1702" s="269"/>
      <c r="AG1702" s="269"/>
      <c r="AH1702" s="269"/>
      <c r="AI1702" s="269"/>
      <c r="AJ1702" s="269"/>
      <c r="AK1702" s="269"/>
      <c r="AL1702" s="269"/>
      <c r="AM1702" s="269"/>
    </row>
    <row r="1703" spans="1:39" ht="12.75" customHeight="1" x14ac:dyDescent="0.2">
      <c r="A1703" s="277" t="str">
        <f>IF(B1703="","",COUNT('Diário 5º PA'!$A$5:$A$2634)+COUNT('Diário 6º PA'!$A$5:$A$2246)+ROW()-4)</f>
        <v/>
      </c>
      <c r="B1703" s="278"/>
      <c r="C1703" s="335"/>
      <c r="D1703" s="255"/>
      <c r="E1703" s="255"/>
      <c r="F1703" s="258"/>
      <c r="G1703" s="450"/>
      <c r="H1703" s="255"/>
      <c r="I1703" s="250"/>
      <c r="J1703" s="255"/>
      <c r="K1703" s="255"/>
      <c r="L1703" s="250"/>
      <c r="M1703" s="277"/>
      <c r="N1703" s="277"/>
      <c r="O1703" s="329"/>
      <c r="P1703" s="330">
        <f t="shared" si="256"/>
        <v>0</v>
      </c>
      <c r="Q1703" s="330">
        <f t="shared" si="257"/>
        <v>0</v>
      </c>
      <c r="R1703" s="331" t="str">
        <f t="shared" si="258"/>
        <v/>
      </c>
      <c r="S1703" s="331" t="str">
        <f>IF(D1703="","",IF(OR(D1703=Plano!$A$1,D1703=Plano!$B$1),"entrada","saída"))</f>
        <v/>
      </c>
      <c r="T1703" s="345"/>
      <c r="U1703" s="345"/>
      <c r="V1703" s="269"/>
      <c r="W1703" s="269"/>
      <c r="X1703" s="269"/>
      <c r="Y1703" s="269"/>
      <c r="Z1703" s="269"/>
      <c r="AA1703" s="269"/>
      <c r="AB1703" s="269"/>
      <c r="AC1703" s="269"/>
      <c r="AD1703" s="269"/>
      <c r="AE1703" s="269"/>
      <c r="AF1703" s="269"/>
      <c r="AG1703" s="269"/>
      <c r="AH1703" s="269"/>
      <c r="AI1703" s="269"/>
      <c r="AJ1703" s="269"/>
      <c r="AK1703" s="269"/>
      <c r="AL1703" s="269"/>
      <c r="AM1703" s="269"/>
    </row>
    <row r="1704" spans="1:39" ht="12.75" customHeight="1" x14ac:dyDescent="0.2">
      <c r="A1704" s="277" t="str">
        <f>IF(B1704="","",COUNT('Diário 5º PA'!$A$5:$A$2634)+COUNT('Diário 6º PA'!$A$5:$A$2246)+ROW()-4)</f>
        <v/>
      </c>
      <c r="B1704" s="278"/>
      <c r="C1704" s="335"/>
      <c r="D1704" s="255"/>
      <c r="E1704" s="255"/>
      <c r="F1704" s="258"/>
      <c r="G1704" s="450"/>
      <c r="H1704" s="255"/>
      <c r="I1704" s="250"/>
      <c r="J1704" s="255"/>
      <c r="K1704" s="255"/>
      <c r="L1704" s="250"/>
      <c r="M1704" s="277"/>
      <c r="N1704" s="277"/>
      <c r="O1704" s="329"/>
      <c r="P1704" s="330">
        <f t="shared" si="256"/>
        <v>0</v>
      </c>
      <c r="Q1704" s="330">
        <f t="shared" si="257"/>
        <v>0</v>
      </c>
      <c r="R1704" s="331" t="str">
        <f t="shared" si="258"/>
        <v/>
      </c>
      <c r="S1704" s="331" t="str">
        <f>IF(D1704="","",IF(OR(D1704=Plano!$A$1,D1704=Plano!$B$1),"entrada","saída"))</f>
        <v/>
      </c>
      <c r="T1704" s="345"/>
      <c r="U1704" s="345"/>
      <c r="V1704" s="269"/>
      <c r="W1704" s="269"/>
      <c r="X1704" s="269"/>
      <c r="Y1704" s="269"/>
      <c r="Z1704" s="269"/>
      <c r="AA1704" s="269"/>
      <c r="AB1704" s="269"/>
      <c r="AC1704" s="269"/>
      <c r="AD1704" s="269"/>
      <c r="AE1704" s="269"/>
      <c r="AF1704" s="269"/>
      <c r="AG1704" s="269"/>
      <c r="AH1704" s="269"/>
      <c r="AI1704" s="269"/>
      <c r="AJ1704" s="269"/>
      <c r="AK1704" s="269"/>
      <c r="AL1704" s="269"/>
      <c r="AM1704" s="269"/>
    </row>
    <row r="1705" spans="1:39" ht="12.75" customHeight="1" x14ac:dyDescent="0.2">
      <c r="A1705" s="277" t="str">
        <f>IF(B1705="","",COUNT('Diário 5º PA'!$A$5:$A$2634)+COUNT('Diário 6º PA'!$A$5:$A$2246)+ROW()-4)</f>
        <v/>
      </c>
      <c r="B1705" s="278"/>
      <c r="C1705" s="335"/>
      <c r="D1705" s="255"/>
      <c r="E1705" s="255"/>
      <c r="F1705" s="258"/>
      <c r="G1705" s="450"/>
      <c r="H1705" s="255"/>
      <c r="I1705" s="250"/>
      <c r="J1705" s="255"/>
      <c r="K1705" s="255"/>
      <c r="L1705" s="250"/>
      <c r="M1705" s="277"/>
      <c r="N1705" s="277"/>
      <c r="O1705" s="329"/>
      <c r="P1705" s="330">
        <f t="shared" si="256"/>
        <v>0</v>
      </c>
      <c r="Q1705" s="330">
        <f t="shared" si="257"/>
        <v>0</v>
      </c>
      <c r="R1705" s="331" t="str">
        <f t="shared" si="258"/>
        <v/>
      </c>
      <c r="S1705" s="331" t="str">
        <f>IF(D1705="","",IF(OR(D1705=Plano!$A$1,D1705=Plano!$B$1),"entrada","saída"))</f>
        <v/>
      </c>
      <c r="T1705" s="345"/>
      <c r="U1705" s="345"/>
      <c r="V1705" s="269"/>
      <c r="W1705" s="269"/>
      <c r="X1705" s="269"/>
      <c r="Y1705" s="269"/>
      <c r="Z1705" s="269"/>
      <c r="AA1705" s="269"/>
      <c r="AB1705" s="269"/>
      <c r="AC1705" s="269"/>
      <c r="AD1705" s="269"/>
      <c r="AE1705" s="269"/>
      <c r="AF1705" s="269"/>
      <c r="AG1705" s="269"/>
      <c r="AH1705" s="269"/>
      <c r="AI1705" s="269"/>
      <c r="AJ1705" s="269"/>
      <c r="AK1705" s="269"/>
      <c r="AL1705" s="269"/>
      <c r="AM1705" s="269"/>
    </row>
    <row r="1706" spans="1:39" ht="12.75" customHeight="1" x14ac:dyDescent="0.2">
      <c r="A1706" s="277" t="str">
        <f>IF(B1706="","",COUNT('Diário 5º PA'!$A$5:$A$2634)+COUNT('Diário 6º PA'!$A$5:$A$2246)+ROW()-4)</f>
        <v/>
      </c>
      <c r="B1706" s="278"/>
      <c r="C1706" s="335"/>
      <c r="D1706" s="255"/>
      <c r="E1706" s="255"/>
      <c r="F1706" s="258"/>
      <c r="G1706" s="450"/>
      <c r="H1706" s="255"/>
      <c r="I1706" s="250"/>
      <c r="J1706" s="255"/>
      <c r="K1706" s="255"/>
      <c r="L1706" s="250"/>
      <c r="M1706" s="277"/>
      <c r="N1706" s="277"/>
      <c r="O1706" s="329"/>
      <c r="P1706" s="330">
        <f t="shared" si="256"/>
        <v>0</v>
      </c>
      <c r="Q1706" s="330">
        <f t="shared" si="257"/>
        <v>0</v>
      </c>
      <c r="R1706" s="331" t="str">
        <f t="shared" si="258"/>
        <v/>
      </c>
      <c r="S1706" s="331" t="str">
        <f>IF(D1706="","",IF(OR(D1706=Plano!$A$1,D1706=Plano!$B$1),"entrada","saída"))</f>
        <v/>
      </c>
      <c r="T1706" s="345"/>
      <c r="U1706" s="345"/>
      <c r="V1706" s="269"/>
      <c r="W1706" s="269"/>
      <c r="X1706" s="269"/>
      <c r="Y1706" s="269"/>
      <c r="Z1706" s="269"/>
      <c r="AA1706" s="269"/>
      <c r="AB1706" s="269"/>
      <c r="AC1706" s="269"/>
      <c r="AD1706" s="269"/>
      <c r="AE1706" s="269"/>
      <c r="AF1706" s="269"/>
      <c r="AG1706" s="269"/>
      <c r="AH1706" s="269"/>
      <c r="AI1706" s="269"/>
      <c r="AJ1706" s="269"/>
      <c r="AK1706" s="269"/>
      <c r="AL1706" s="269"/>
      <c r="AM1706" s="269"/>
    </row>
    <row r="1707" spans="1:39" ht="12.75" customHeight="1" x14ac:dyDescent="0.2">
      <c r="A1707" s="277" t="str">
        <f>IF(B1707="","",COUNT('Diário 5º PA'!$A$5:$A$2634)+COUNT('Diário 6º PA'!$A$5:$A$2246)+ROW()-4)</f>
        <v/>
      </c>
      <c r="B1707" s="278"/>
      <c r="C1707" s="335"/>
      <c r="D1707" s="255"/>
      <c r="E1707" s="255"/>
      <c r="F1707" s="258"/>
      <c r="G1707" s="450"/>
      <c r="H1707" s="255"/>
      <c r="I1707" s="250"/>
      <c r="J1707" s="255"/>
      <c r="K1707" s="255"/>
      <c r="L1707" s="250"/>
      <c r="M1707" s="277"/>
      <c r="N1707" s="277"/>
      <c r="O1707" s="329"/>
      <c r="P1707" s="330">
        <f t="shared" ref="P1707:P1770" si="259">IF(B1707=0,0,IF(YEAR(B1707)=$Q$1,MONTH(B1707)-$P$1+1,(YEAR(B1707)-$Q$1)*12-$P$1+1+MONTH(B1707)))</f>
        <v>0</v>
      </c>
      <c r="Q1707" s="330">
        <f t="shared" ref="Q1707:Q1770" si="260">IF(C1707=0,0,IF(YEAR(C1707)=$Q$1,MONTH(C1707)-$P$1+1,(YEAR(C1707)-$Q$1)*12-$P$1+1+MONTH(C1707)))</f>
        <v>0</v>
      </c>
      <c r="R1707" s="331" t="str">
        <f t="shared" ref="R1707:R1770" si="261">SUBSTITUTE(D1707," ","_")</f>
        <v/>
      </c>
      <c r="S1707" s="331" t="str">
        <f>IF(D1707="","",IF(OR(D1707=Plano!$A$1,D1707=Plano!$B$1),"entrada","saída"))</f>
        <v/>
      </c>
      <c r="T1707" s="345"/>
      <c r="U1707" s="345"/>
      <c r="V1707" s="269"/>
      <c r="W1707" s="269"/>
      <c r="X1707" s="269"/>
      <c r="Y1707" s="269"/>
      <c r="Z1707" s="269"/>
      <c r="AA1707" s="269"/>
      <c r="AB1707" s="269"/>
      <c r="AC1707" s="269"/>
      <c r="AD1707" s="269"/>
      <c r="AE1707" s="269"/>
      <c r="AF1707" s="269"/>
      <c r="AG1707" s="269"/>
      <c r="AH1707" s="269"/>
      <c r="AI1707" s="269"/>
      <c r="AJ1707" s="269"/>
      <c r="AK1707" s="269"/>
      <c r="AL1707" s="269"/>
      <c r="AM1707" s="269"/>
    </row>
    <row r="1708" spans="1:39" ht="12.75" customHeight="1" x14ac:dyDescent="0.2">
      <c r="A1708" s="277" t="str">
        <f>IF(B1708="","",COUNT('Diário 5º PA'!$A$5:$A$2634)+COUNT('Diário 6º PA'!$A$5:$A$2246)+ROW()-4)</f>
        <v/>
      </c>
      <c r="B1708" s="278"/>
      <c r="C1708" s="335"/>
      <c r="D1708" s="255"/>
      <c r="E1708" s="255"/>
      <c r="F1708" s="258"/>
      <c r="G1708" s="450"/>
      <c r="H1708" s="255"/>
      <c r="I1708" s="250"/>
      <c r="J1708" s="255"/>
      <c r="K1708" s="255"/>
      <c r="L1708" s="250"/>
      <c r="M1708" s="277"/>
      <c r="N1708" s="277"/>
      <c r="O1708" s="329"/>
      <c r="P1708" s="330">
        <f t="shared" si="259"/>
        <v>0</v>
      </c>
      <c r="Q1708" s="330">
        <f t="shared" si="260"/>
        <v>0</v>
      </c>
      <c r="R1708" s="331" t="str">
        <f t="shared" si="261"/>
        <v/>
      </c>
      <c r="S1708" s="331" t="str">
        <f>IF(D1708="","",IF(OR(D1708=Plano!$A$1,D1708=Plano!$B$1),"entrada","saída"))</f>
        <v/>
      </c>
      <c r="T1708" s="345"/>
      <c r="U1708" s="345"/>
      <c r="V1708" s="269"/>
      <c r="W1708" s="269"/>
      <c r="X1708" s="269"/>
      <c r="Y1708" s="269"/>
      <c r="Z1708" s="269"/>
      <c r="AA1708" s="269"/>
      <c r="AB1708" s="269"/>
      <c r="AC1708" s="269"/>
      <c r="AD1708" s="269"/>
      <c r="AE1708" s="269"/>
      <c r="AF1708" s="269"/>
      <c r="AG1708" s="269"/>
      <c r="AH1708" s="269"/>
      <c r="AI1708" s="269"/>
      <c r="AJ1708" s="269"/>
      <c r="AK1708" s="269"/>
      <c r="AL1708" s="269"/>
      <c r="AM1708" s="269"/>
    </row>
    <row r="1709" spans="1:39" ht="12.75" customHeight="1" x14ac:dyDescent="0.2">
      <c r="A1709" s="277" t="str">
        <f>IF(B1709="","",COUNT('Diário 5º PA'!$A$5:$A$2634)+COUNT('Diário 6º PA'!$A$5:$A$2246)+ROW()-4)</f>
        <v/>
      </c>
      <c r="B1709" s="278"/>
      <c r="C1709" s="335"/>
      <c r="D1709" s="255"/>
      <c r="E1709" s="255"/>
      <c r="F1709" s="258"/>
      <c r="G1709" s="450"/>
      <c r="H1709" s="255"/>
      <c r="I1709" s="250"/>
      <c r="J1709" s="255"/>
      <c r="K1709" s="255"/>
      <c r="L1709" s="250"/>
      <c r="M1709" s="277"/>
      <c r="N1709" s="277"/>
      <c r="O1709" s="329"/>
      <c r="P1709" s="330">
        <f t="shared" si="259"/>
        <v>0</v>
      </c>
      <c r="Q1709" s="330">
        <f t="shared" si="260"/>
        <v>0</v>
      </c>
      <c r="R1709" s="331" t="str">
        <f t="shared" si="261"/>
        <v/>
      </c>
      <c r="S1709" s="331" t="str">
        <f>IF(D1709="","",IF(OR(D1709=Plano!$A$1,D1709=Plano!$B$1),"entrada","saída"))</f>
        <v/>
      </c>
      <c r="T1709" s="345"/>
      <c r="U1709" s="345"/>
      <c r="V1709" s="269"/>
      <c r="W1709" s="269"/>
      <c r="X1709" s="269"/>
      <c r="Y1709" s="269"/>
      <c r="Z1709" s="269"/>
      <c r="AA1709" s="269"/>
      <c r="AB1709" s="269"/>
      <c r="AC1709" s="269"/>
      <c r="AD1709" s="269"/>
      <c r="AE1709" s="269"/>
      <c r="AF1709" s="269"/>
      <c r="AG1709" s="269"/>
      <c r="AH1709" s="269"/>
      <c r="AI1709" s="269"/>
      <c r="AJ1709" s="269"/>
      <c r="AK1709" s="269"/>
      <c r="AL1709" s="269"/>
      <c r="AM1709" s="269"/>
    </row>
    <row r="1710" spans="1:39" ht="12.75" customHeight="1" x14ac:dyDescent="0.2">
      <c r="A1710" s="277" t="str">
        <f>IF(B1710="","",COUNT('Diário 5º PA'!$A$5:$A$2634)+COUNT('Diário 6º PA'!$A$5:$A$2246)+ROW()-4)</f>
        <v/>
      </c>
      <c r="B1710" s="278"/>
      <c r="C1710" s="335"/>
      <c r="D1710" s="255"/>
      <c r="E1710" s="255"/>
      <c r="F1710" s="258"/>
      <c r="G1710" s="450"/>
      <c r="H1710" s="255"/>
      <c r="I1710" s="250"/>
      <c r="J1710" s="255"/>
      <c r="K1710" s="255"/>
      <c r="L1710" s="250"/>
      <c r="M1710" s="277"/>
      <c r="N1710" s="277"/>
      <c r="O1710" s="329"/>
      <c r="P1710" s="330">
        <f t="shared" si="259"/>
        <v>0</v>
      </c>
      <c r="Q1710" s="330">
        <f t="shared" si="260"/>
        <v>0</v>
      </c>
      <c r="R1710" s="331" t="str">
        <f t="shared" si="261"/>
        <v/>
      </c>
      <c r="S1710" s="331" t="str">
        <f>IF(D1710="","",IF(OR(D1710=Plano!$A$1,D1710=Plano!$B$1),"entrada","saída"))</f>
        <v/>
      </c>
      <c r="T1710" s="345"/>
      <c r="U1710" s="345"/>
      <c r="V1710" s="269"/>
      <c r="W1710" s="269"/>
      <c r="X1710" s="269"/>
      <c r="Y1710" s="269"/>
      <c r="Z1710" s="269"/>
      <c r="AA1710" s="269"/>
      <c r="AB1710" s="269"/>
      <c r="AC1710" s="269"/>
      <c r="AD1710" s="269"/>
      <c r="AE1710" s="269"/>
      <c r="AF1710" s="269"/>
      <c r="AG1710" s="269"/>
      <c r="AH1710" s="269"/>
      <c r="AI1710" s="269"/>
      <c r="AJ1710" s="269"/>
      <c r="AK1710" s="269"/>
      <c r="AL1710" s="269"/>
      <c r="AM1710" s="269"/>
    </row>
    <row r="1711" spans="1:39" ht="12.75" customHeight="1" x14ac:dyDescent="0.2">
      <c r="A1711" s="277" t="str">
        <f>IF(B1711="","",COUNT('Diário 5º PA'!$A$5:$A$2634)+COUNT('Diário 6º PA'!$A$5:$A$2246)+ROW()-4)</f>
        <v/>
      </c>
      <c r="B1711" s="278"/>
      <c r="C1711" s="335"/>
      <c r="D1711" s="255"/>
      <c r="E1711" s="255"/>
      <c r="F1711" s="258"/>
      <c r="G1711" s="450"/>
      <c r="H1711" s="255"/>
      <c r="I1711" s="250"/>
      <c r="J1711" s="255"/>
      <c r="K1711" s="255"/>
      <c r="L1711" s="250"/>
      <c r="M1711" s="277"/>
      <c r="N1711" s="277"/>
      <c r="O1711" s="329"/>
      <c r="P1711" s="330">
        <f t="shared" si="259"/>
        <v>0</v>
      </c>
      <c r="Q1711" s="330">
        <f t="shared" si="260"/>
        <v>0</v>
      </c>
      <c r="R1711" s="331" t="str">
        <f t="shared" si="261"/>
        <v/>
      </c>
      <c r="S1711" s="331" t="str">
        <f>IF(D1711="","",IF(OR(D1711=Plano!$A$1,D1711=Plano!$B$1),"entrada","saída"))</f>
        <v/>
      </c>
      <c r="T1711" s="345"/>
      <c r="U1711" s="345"/>
      <c r="V1711" s="269"/>
      <c r="W1711" s="269"/>
      <c r="X1711" s="269"/>
      <c r="Y1711" s="269"/>
      <c r="Z1711" s="269"/>
      <c r="AA1711" s="269"/>
      <c r="AB1711" s="269"/>
      <c r="AC1711" s="269"/>
      <c r="AD1711" s="269"/>
      <c r="AE1711" s="269"/>
      <c r="AF1711" s="269"/>
      <c r="AG1711" s="269"/>
      <c r="AH1711" s="269"/>
      <c r="AI1711" s="269"/>
      <c r="AJ1711" s="269"/>
      <c r="AK1711" s="269"/>
      <c r="AL1711" s="269"/>
      <c r="AM1711" s="269"/>
    </row>
    <row r="1712" spans="1:39" ht="12.75" customHeight="1" x14ac:dyDescent="0.2">
      <c r="A1712" s="277" t="str">
        <f>IF(B1712="","",COUNT('Diário 5º PA'!$A$5:$A$2634)+COUNT('Diário 6º PA'!$A$5:$A$2246)+ROW()-4)</f>
        <v/>
      </c>
      <c r="B1712" s="278"/>
      <c r="C1712" s="335"/>
      <c r="D1712" s="255"/>
      <c r="E1712" s="255"/>
      <c r="F1712" s="258"/>
      <c r="G1712" s="450"/>
      <c r="H1712" s="255"/>
      <c r="I1712" s="250"/>
      <c r="J1712" s="255"/>
      <c r="K1712" s="255"/>
      <c r="L1712" s="250"/>
      <c r="M1712" s="277"/>
      <c r="N1712" s="277"/>
      <c r="O1712" s="329"/>
      <c r="P1712" s="330">
        <f t="shared" si="259"/>
        <v>0</v>
      </c>
      <c r="Q1712" s="330">
        <f t="shared" si="260"/>
        <v>0</v>
      </c>
      <c r="R1712" s="331" t="str">
        <f t="shared" si="261"/>
        <v/>
      </c>
      <c r="S1712" s="331" t="str">
        <f>IF(D1712="","",IF(OR(D1712=Plano!$A$1,D1712=Plano!$B$1),"entrada","saída"))</f>
        <v/>
      </c>
      <c r="T1712" s="345"/>
      <c r="U1712" s="345"/>
      <c r="V1712" s="269"/>
      <c r="W1712" s="269"/>
      <c r="X1712" s="269"/>
      <c r="Y1712" s="269"/>
      <c r="Z1712" s="269"/>
      <c r="AA1712" s="269"/>
      <c r="AB1712" s="269"/>
      <c r="AC1712" s="269"/>
      <c r="AD1712" s="269"/>
      <c r="AE1712" s="269"/>
      <c r="AF1712" s="269"/>
      <c r="AG1712" s="269"/>
      <c r="AH1712" s="269"/>
      <c r="AI1712" s="269"/>
      <c r="AJ1712" s="269"/>
      <c r="AK1712" s="269"/>
      <c r="AL1712" s="269"/>
      <c r="AM1712" s="269"/>
    </row>
    <row r="1713" spans="1:39" ht="12.75" customHeight="1" x14ac:dyDescent="0.2">
      <c r="A1713" s="277" t="str">
        <f>IF(B1713="","",COUNT('Diário 5º PA'!$A$5:$A$2634)+COUNT('Diário 6º PA'!$A$5:$A$2246)+ROW()-4)</f>
        <v/>
      </c>
      <c r="B1713" s="278"/>
      <c r="C1713" s="335"/>
      <c r="D1713" s="255"/>
      <c r="E1713" s="255"/>
      <c r="F1713" s="258"/>
      <c r="G1713" s="450"/>
      <c r="H1713" s="255"/>
      <c r="I1713" s="250"/>
      <c r="J1713" s="255"/>
      <c r="K1713" s="255"/>
      <c r="L1713" s="250"/>
      <c r="M1713" s="277"/>
      <c r="N1713" s="277"/>
      <c r="O1713" s="329"/>
      <c r="P1713" s="330">
        <f t="shared" si="259"/>
        <v>0</v>
      </c>
      <c r="Q1713" s="330">
        <f t="shared" si="260"/>
        <v>0</v>
      </c>
      <c r="R1713" s="331" t="str">
        <f t="shared" si="261"/>
        <v/>
      </c>
      <c r="S1713" s="331" t="str">
        <f>IF(D1713="","",IF(OR(D1713=Plano!$A$1,D1713=Plano!$B$1),"entrada","saída"))</f>
        <v/>
      </c>
      <c r="T1713" s="345"/>
      <c r="U1713" s="345"/>
      <c r="V1713" s="269"/>
      <c r="W1713" s="269"/>
      <c r="X1713" s="269"/>
      <c r="Y1713" s="269"/>
      <c r="Z1713" s="269"/>
      <c r="AA1713" s="269"/>
      <c r="AB1713" s="269"/>
      <c r="AC1713" s="269"/>
      <c r="AD1713" s="269"/>
      <c r="AE1713" s="269"/>
      <c r="AF1713" s="269"/>
      <c r="AG1713" s="269"/>
      <c r="AH1713" s="269"/>
      <c r="AI1713" s="269"/>
      <c r="AJ1713" s="269"/>
      <c r="AK1713" s="269"/>
      <c r="AL1713" s="269"/>
      <c r="AM1713" s="269"/>
    </row>
    <row r="1714" spans="1:39" ht="12.75" customHeight="1" x14ac:dyDescent="0.2">
      <c r="A1714" s="277" t="str">
        <f>IF(B1714="","",COUNT('Diário 5º PA'!$A$5:$A$2634)+COUNT('Diário 6º PA'!$A$5:$A$2246)+ROW()-4)</f>
        <v/>
      </c>
      <c r="B1714" s="278"/>
      <c r="C1714" s="335"/>
      <c r="D1714" s="255"/>
      <c r="E1714" s="255"/>
      <c r="F1714" s="258"/>
      <c r="G1714" s="450"/>
      <c r="H1714" s="255"/>
      <c r="I1714" s="250"/>
      <c r="J1714" s="255"/>
      <c r="K1714" s="255"/>
      <c r="L1714" s="250"/>
      <c r="M1714" s="277"/>
      <c r="N1714" s="277"/>
      <c r="O1714" s="329"/>
      <c r="P1714" s="330">
        <f t="shared" si="259"/>
        <v>0</v>
      </c>
      <c r="Q1714" s="330">
        <f t="shared" si="260"/>
        <v>0</v>
      </c>
      <c r="R1714" s="331" t="str">
        <f t="shared" si="261"/>
        <v/>
      </c>
      <c r="S1714" s="331" t="str">
        <f>IF(D1714="","",IF(OR(D1714=Plano!$A$1,D1714=Plano!$B$1),"entrada","saída"))</f>
        <v/>
      </c>
      <c r="T1714" s="345"/>
      <c r="U1714" s="345"/>
      <c r="V1714" s="269"/>
      <c r="W1714" s="269"/>
      <c r="X1714" s="269"/>
      <c r="Y1714" s="269"/>
      <c r="Z1714" s="269"/>
      <c r="AA1714" s="269"/>
      <c r="AB1714" s="269"/>
      <c r="AC1714" s="269"/>
      <c r="AD1714" s="269"/>
      <c r="AE1714" s="269"/>
      <c r="AF1714" s="269"/>
      <c r="AG1714" s="269"/>
      <c r="AH1714" s="269"/>
      <c r="AI1714" s="269"/>
      <c r="AJ1714" s="269"/>
      <c r="AK1714" s="269"/>
      <c r="AL1714" s="269"/>
      <c r="AM1714" s="269"/>
    </row>
    <row r="1715" spans="1:39" ht="12.75" customHeight="1" x14ac:dyDescent="0.2">
      <c r="A1715" s="277" t="str">
        <f>IF(B1715="","",COUNT('Diário 5º PA'!$A$5:$A$2634)+COUNT('Diário 6º PA'!$A$5:$A$2246)+ROW()-4)</f>
        <v/>
      </c>
      <c r="B1715" s="278"/>
      <c r="C1715" s="335"/>
      <c r="D1715" s="255"/>
      <c r="E1715" s="255"/>
      <c r="F1715" s="258"/>
      <c r="G1715" s="450"/>
      <c r="H1715" s="255"/>
      <c r="I1715" s="250"/>
      <c r="J1715" s="255"/>
      <c r="K1715" s="255"/>
      <c r="L1715" s="250"/>
      <c r="M1715" s="277"/>
      <c r="N1715" s="277"/>
      <c r="O1715" s="329"/>
      <c r="P1715" s="330">
        <f t="shared" si="259"/>
        <v>0</v>
      </c>
      <c r="Q1715" s="330">
        <f t="shared" si="260"/>
        <v>0</v>
      </c>
      <c r="R1715" s="331" t="str">
        <f t="shared" si="261"/>
        <v/>
      </c>
      <c r="S1715" s="331" t="str">
        <f>IF(D1715="","",IF(OR(D1715=Plano!$A$1,D1715=Plano!$B$1),"entrada","saída"))</f>
        <v/>
      </c>
      <c r="T1715" s="345"/>
      <c r="U1715" s="345"/>
      <c r="V1715" s="269"/>
      <c r="W1715" s="269"/>
      <c r="X1715" s="269"/>
      <c r="Y1715" s="269"/>
      <c r="Z1715" s="269"/>
      <c r="AA1715" s="269"/>
      <c r="AB1715" s="269"/>
      <c r="AC1715" s="269"/>
      <c r="AD1715" s="269"/>
      <c r="AE1715" s="269"/>
      <c r="AF1715" s="269"/>
      <c r="AG1715" s="269"/>
      <c r="AH1715" s="269"/>
      <c r="AI1715" s="269"/>
      <c r="AJ1715" s="269"/>
      <c r="AK1715" s="269"/>
      <c r="AL1715" s="269"/>
      <c r="AM1715" s="269"/>
    </row>
    <row r="1716" spans="1:39" ht="12.75" customHeight="1" x14ac:dyDescent="0.2">
      <c r="A1716" s="277" t="str">
        <f>IF(B1716="","",COUNT('Diário 5º PA'!$A$5:$A$2634)+COUNT('Diário 6º PA'!$A$5:$A$2246)+ROW()-4)</f>
        <v/>
      </c>
      <c r="B1716" s="278"/>
      <c r="C1716" s="335"/>
      <c r="D1716" s="255"/>
      <c r="E1716" s="255"/>
      <c r="F1716" s="258"/>
      <c r="G1716" s="450"/>
      <c r="H1716" s="255"/>
      <c r="I1716" s="250"/>
      <c r="J1716" s="255"/>
      <c r="K1716" s="255"/>
      <c r="L1716" s="250"/>
      <c r="M1716" s="277"/>
      <c r="N1716" s="277"/>
      <c r="O1716" s="329"/>
      <c r="P1716" s="330">
        <f t="shared" si="259"/>
        <v>0</v>
      </c>
      <c r="Q1716" s="330">
        <f t="shared" si="260"/>
        <v>0</v>
      </c>
      <c r="R1716" s="331" t="str">
        <f t="shared" si="261"/>
        <v/>
      </c>
      <c r="S1716" s="331" t="str">
        <f>IF(D1716="","",IF(OR(D1716=Plano!$A$1,D1716=Plano!$B$1),"entrada","saída"))</f>
        <v/>
      </c>
      <c r="T1716" s="345"/>
      <c r="U1716" s="345"/>
      <c r="V1716" s="269"/>
      <c r="W1716" s="269"/>
      <c r="X1716" s="269"/>
      <c r="Y1716" s="269"/>
      <c r="Z1716" s="269"/>
      <c r="AA1716" s="269"/>
      <c r="AB1716" s="269"/>
      <c r="AC1716" s="269"/>
      <c r="AD1716" s="269"/>
      <c r="AE1716" s="269"/>
      <c r="AF1716" s="269"/>
      <c r="AG1716" s="269"/>
      <c r="AH1716" s="269"/>
      <c r="AI1716" s="269"/>
      <c r="AJ1716" s="269"/>
      <c r="AK1716" s="269"/>
      <c r="AL1716" s="269"/>
      <c r="AM1716" s="269"/>
    </row>
    <row r="1717" spans="1:39" ht="12.75" customHeight="1" x14ac:dyDescent="0.2">
      <c r="A1717" s="277" t="str">
        <f>IF(B1717="","",COUNT('Diário 5º PA'!$A$5:$A$2634)+COUNT('Diário 6º PA'!$A$5:$A$2246)+ROW()-4)</f>
        <v/>
      </c>
      <c r="B1717" s="278"/>
      <c r="C1717" s="335"/>
      <c r="D1717" s="255"/>
      <c r="E1717" s="255"/>
      <c r="F1717" s="258"/>
      <c r="G1717" s="450"/>
      <c r="H1717" s="255"/>
      <c r="I1717" s="250"/>
      <c r="J1717" s="255"/>
      <c r="K1717" s="255"/>
      <c r="L1717" s="250"/>
      <c r="M1717" s="277"/>
      <c r="N1717" s="277"/>
      <c r="O1717" s="329"/>
      <c r="P1717" s="330">
        <f t="shared" si="259"/>
        <v>0</v>
      </c>
      <c r="Q1717" s="330">
        <f t="shared" si="260"/>
        <v>0</v>
      </c>
      <c r="R1717" s="331" t="str">
        <f t="shared" si="261"/>
        <v/>
      </c>
      <c r="S1717" s="331" t="str">
        <f>IF(D1717="","",IF(OR(D1717=Plano!$A$1,D1717=Plano!$B$1),"entrada","saída"))</f>
        <v/>
      </c>
      <c r="T1717" s="345"/>
      <c r="U1717" s="345"/>
      <c r="V1717" s="269"/>
      <c r="W1717" s="269"/>
      <c r="X1717" s="269"/>
      <c r="Y1717" s="269"/>
      <c r="Z1717" s="269"/>
      <c r="AA1717" s="269"/>
      <c r="AB1717" s="269"/>
      <c r="AC1717" s="269"/>
      <c r="AD1717" s="269"/>
      <c r="AE1717" s="269"/>
      <c r="AF1717" s="269"/>
      <c r="AG1717" s="269"/>
      <c r="AH1717" s="269"/>
      <c r="AI1717" s="269"/>
      <c r="AJ1717" s="269"/>
      <c r="AK1717" s="269"/>
      <c r="AL1717" s="269"/>
      <c r="AM1717" s="269"/>
    </row>
    <row r="1718" spans="1:39" ht="12.75" customHeight="1" x14ac:dyDescent="0.2">
      <c r="A1718" s="277" t="str">
        <f>IF(B1718="","",COUNT('Diário 5º PA'!$A$5:$A$2634)+COUNT('Diário 6º PA'!$A$5:$A$2246)+ROW()-4)</f>
        <v/>
      </c>
      <c r="B1718" s="278"/>
      <c r="C1718" s="335"/>
      <c r="D1718" s="255"/>
      <c r="E1718" s="255"/>
      <c r="F1718" s="258"/>
      <c r="G1718" s="450"/>
      <c r="H1718" s="255"/>
      <c r="I1718" s="250"/>
      <c r="J1718" s="255"/>
      <c r="K1718" s="255"/>
      <c r="L1718" s="250"/>
      <c r="M1718" s="277"/>
      <c r="N1718" s="277"/>
      <c r="O1718" s="329"/>
      <c r="P1718" s="330">
        <f t="shared" si="259"/>
        <v>0</v>
      </c>
      <c r="Q1718" s="330">
        <f t="shared" si="260"/>
        <v>0</v>
      </c>
      <c r="R1718" s="331" t="str">
        <f t="shared" si="261"/>
        <v/>
      </c>
      <c r="S1718" s="331" t="str">
        <f>IF(D1718="","",IF(OR(D1718=Plano!$A$1,D1718=Plano!$B$1),"entrada","saída"))</f>
        <v/>
      </c>
      <c r="T1718" s="345"/>
      <c r="U1718" s="345"/>
      <c r="V1718" s="269"/>
      <c r="W1718" s="269"/>
      <c r="X1718" s="269"/>
      <c r="Y1718" s="269"/>
      <c r="Z1718" s="269"/>
      <c r="AA1718" s="269"/>
      <c r="AB1718" s="269"/>
      <c r="AC1718" s="269"/>
      <c r="AD1718" s="269"/>
      <c r="AE1718" s="269"/>
      <c r="AF1718" s="269"/>
      <c r="AG1718" s="269"/>
      <c r="AH1718" s="269"/>
      <c r="AI1718" s="269"/>
      <c r="AJ1718" s="269"/>
      <c r="AK1718" s="269"/>
      <c r="AL1718" s="269"/>
      <c r="AM1718" s="269"/>
    </row>
    <row r="1719" spans="1:39" ht="12.75" customHeight="1" x14ac:dyDescent="0.2">
      <c r="A1719" s="277" t="str">
        <f>IF(B1719="","",COUNT('Diário 5º PA'!$A$5:$A$2634)+COUNT('Diário 6º PA'!$A$5:$A$2246)+ROW()-4)</f>
        <v/>
      </c>
      <c r="B1719" s="278"/>
      <c r="C1719" s="335"/>
      <c r="D1719" s="255"/>
      <c r="E1719" s="255"/>
      <c r="F1719" s="258"/>
      <c r="G1719" s="450"/>
      <c r="H1719" s="255"/>
      <c r="I1719" s="250"/>
      <c r="J1719" s="255"/>
      <c r="K1719" s="255"/>
      <c r="L1719" s="250"/>
      <c r="M1719" s="277"/>
      <c r="N1719" s="277"/>
      <c r="O1719" s="329"/>
      <c r="P1719" s="330">
        <f t="shared" si="259"/>
        <v>0</v>
      </c>
      <c r="Q1719" s="330">
        <f t="shared" si="260"/>
        <v>0</v>
      </c>
      <c r="R1719" s="331" t="str">
        <f t="shared" si="261"/>
        <v/>
      </c>
      <c r="S1719" s="331" t="str">
        <f>IF(D1719="","",IF(OR(D1719=Plano!$A$1,D1719=Plano!$B$1),"entrada","saída"))</f>
        <v/>
      </c>
      <c r="T1719" s="345"/>
      <c r="U1719" s="345"/>
      <c r="V1719" s="269"/>
      <c r="W1719" s="269"/>
      <c r="X1719" s="269"/>
      <c r="Y1719" s="269"/>
      <c r="Z1719" s="269"/>
      <c r="AA1719" s="269"/>
      <c r="AB1719" s="269"/>
      <c r="AC1719" s="269"/>
      <c r="AD1719" s="269"/>
      <c r="AE1719" s="269"/>
      <c r="AF1719" s="269"/>
      <c r="AG1719" s="269"/>
      <c r="AH1719" s="269"/>
      <c r="AI1719" s="269"/>
      <c r="AJ1719" s="269"/>
      <c r="AK1719" s="269"/>
      <c r="AL1719" s="269"/>
      <c r="AM1719" s="269"/>
    </row>
    <row r="1720" spans="1:39" ht="12.75" customHeight="1" x14ac:dyDescent="0.2">
      <c r="A1720" s="277" t="str">
        <f>IF(B1720="","",COUNT('Diário 5º PA'!$A$5:$A$2634)+COUNT('Diário 6º PA'!$A$5:$A$2246)+ROW()-4)</f>
        <v/>
      </c>
      <c r="B1720" s="278"/>
      <c r="C1720" s="335"/>
      <c r="D1720" s="255"/>
      <c r="E1720" s="255"/>
      <c r="F1720" s="258"/>
      <c r="G1720" s="450"/>
      <c r="H1720" s="255"/>
      <c r="I1720" s="250"/>
      <c r="J1720" s="255"/>
      <c r="K1720" s="255"/>
      <c r="L1720" s="250"/>
      <c r="M1720" s="277"/>
      <c r="N1720" s="277"/>
      <c r="O1720" s="329"/>
      <c r="P1720" s="330">
        <f t="shared" si="259"/>
        <v>0</v>
      </c>
      <c r="Q1720" s="330">
        <f t="shared" si="260"/>
        <v>0</v>
      </c>
      <c r="R1720" s="331" t="str">
        <f t="shared" si="261"/>
        <v/>
      </c>
      <c r="S1720" s="331" t="str">
        <f>IF(D1720="","",IF(OR(D1720=Plano!$A$1,D1720=Plano!$B$1),"entrada","saída"))</f>
        <v/>
      </c>
      <c r="T1720" s="345"/>
      <c r="U1720" s="345"/>
      <c r="V1720" s="269"/>
      <c r="W1720" s="269"/>
      <c r="X1720" s="269"/>
      <c r="Y1720" s="269"/>
      <c r="Z1720" s="269"/>
      <c r="AA1720" s="269"/>
      <c r="AB1720" s="269"/>
      <c r="AC1720" s="269"/>
      <c r="AD1720" s="269"/>
      <c r="AE1720" s="269"/>
      <c r="AF1720" s="269"/>
      <c r="AG1720" s="269"/>
      <c r="AH1720" s="269"/>
      <c r="AI1720" s="269"/>
      <c r="AJ1720" s="269"/>
      <c r="AK1720" s="269"/>
      <c r="AL1720" s="269"/>
      <c r="AM1720" s="269"/>
    </row>
    <row r="1721" spans="1:39" ht="12.75" customHeight="1" x14ac:dyDescent="0.2">
      <c r="A1721" s="277" t="str">
        <f>IF(B1721="","",COUNT('Diário 5º PA'!$A$5:$A$2634)+COUNT('Diário 6º PA'!$A$5:$A$2246)+ROW()-4)</f>
        <v/>
      </c>
      <c r="B1721" s="278"/>
      <c r="C1721" s="335"/>
      <c r="D1721" s="255"/>
      <c r="E1721" s="255"/>
      <c r="F1721" s="258"/>
      <c r="G1721" s="450"/>
      <c r="H1721" s="255"/>
      <c r="I1721" s="250"/>
      <c r="J1721" s="255"/>
      <c r="K1721" s="255"/>
      <c r="L1721" s="250"/>
      <c r="M1721" s="277"/>
      <c r="N1721" s="277"/>
      <c r="O1721" s="329"/>
      <c r="P1721" s="330">
        <f t="shared" si="259"/>
        <v>0</v>
      </c>
      <c r="Q1721" s="330">
        <f t="shared" si="260"/>
        <v>0</v>
      </c>
      <c r="R1721" s="331" t="str">
        <f t="shared" si="261"/>
        <v/>
      </c>
      <c r="S1721" s="331" t="str">
        <f>IF(D1721="","",IF(OR(D1721=Plano!$A$1,D1721=Plano!$B$1),"entrada","saída"))</f>
        <v/>
      </c>
      <c r="T1721" s="345"/>
      <c r="U1721" s="345"/>
      <c r="V1721" s="269"/>
      <c r="W1721" s="269"/>
      <c r="X1721" s="269"/>
      <c r="Y1721" s="269"/>
      <c r="Z1721" s="269"/>
      <c r="AA1721" s="269"/>
      <c r="AB1721" s="269"/>
      <c r="AC1721" s="269"/>
      <c r="AD1721" s="269"/>
      <c r="AE1721" s="269"/>
      <c r="AF1721" s="269"/>
      <c r="AG1721" s="269"/>
      <c r="AH1721" s="269"/>
      <c r="AI1721" s="269"/>
      <c r="AJ1721" s="269"/>
      <c r="AK1721" s="269"/>
      <c r="AL1721" s="269"/>
      <c r="AM1721" s="269"/>
    </row>
    <row r="1722" spans="1:39" ht="12.75" customHeight="1" x14ac:dyDescent="0.2">
      <c r="A1722" s="277" t="str">
        <f>IF(B1722="","",COUNT('Diário 5º PA'!$A$5:$A$2634)+COUNT('Diário 6º PA'!$A$5:$A$2246)+ROW()-4)</f>
        <v/>
      </c>
      <c r="B1722" s="278"/>
      <c r="C1722" s="335"/>
      <c r="D1722" s="255"/>
      <c r="E1722" s="255"/>
      <c r="F1722" s="258"/>
      <c r="G1722" s="450"/>
      <c r="H1722" s="255"/>
      <c r="I1722" s="250"/>
      <c r="J1722" s="255"/>
      <c r="K1722" s="255"/>
      <c r="L1722" s="250"/>
      <c r="M1722" s="277"/>
      <c r="N1722" s="277"/>
      <c r="O1722" s="329"/>
      <c r="P1722" s="330">
        <f t="shared" si="259"/>
        <v>0</v>
      </c>
      <c r="Q1722" s="330">
        <f t="shared" si="260"/>
        <v>0</v>
      </c>
      <c r="R1722" s="331" t="str">
        <f t="shared" si="261"/>
        <v/>
      </c>
      <c r="S1722" s="331" t="str">
        <f>IF(D1722="","",IF(OR(D1722=Plano!$A$1,D1722=Plano!$B$1),"entrada","saída"))</f>
        <v/>
      </c>
      <c r="T1722" s="345"/>
      <c r="U1722" s="345"/>
      <c r="V1722" s="269"/>
      <c r="W1722" s="269"/>
      <c r="X1722" s="269"/>
      <c r="Y1722" s="269"/>
      <c r="Z1722" s="269"/>
      <c r="AA1722" s="269"/>
      <c r="AB1722" s="269"/>
      <c r="AC1722" s="269"/>
      <c r="AD1722" s="269"/>
      <c r="AE1722" s="269"/>
      <c r="AF1722" s="269"/>
      <c r="AG1722" s="269"/>
      <c r="AH1722" s="269"/>
      <c r="AI1722" s="269"/>
      <c r="AJ1722" s="269"/>
      <c r="AK1722" s="269"/>
      <c r="AL1722" s="269"/>
      <c r="AM1722" s="269"/>
    </row>
    <row r="1723" spans="1:39" ht="12.75" customHeight="1" x14ac:dyDescent="0.2">
      <c r="A1723" s="277" t="str">
        <f>IF(B1723="","",COUNT('Diário 5º PA'!$A$5:$A$2634)+COUNT('Diário 6º PA'!$A$5:$A$2246)+ROW()-4)</f>
        <v/>
      </c>
      <c r="B1723" s="278"/>
      <c r="C1723" s="335"/>
      <c r="D1723" s="255"/>
      <c r="E1723" s="255"/>
      <c r="F1723" s="258"/>
      <c r="G1723" s="450"/>
      <c r="H1723" s="255"/>
      <c r="I1723" s="250"/>
      <c r="J1723" s="255"/>
      <c r="K1723" s="255"/>
      <c r="L1723" s="250"/>
      <c r="M1723" s="277"/>
      <c r="N1723" s="277"/>
      <c r="O1723" s="329"/>
      <c r="P1723" s="330">
        <f t="shared" si="259"/>
        <v>0</v>
      </c>
      <c r="Q1723" s="330">
        <f t="shared" si="260"/>
        <v>0</v>
      </c>
      <c r="R1723" s="331" t="str">
        <f t="shared" si="261"/>
        <v/>
      </c>
      <c r="S1723" s="331" t="str">
        <f>IF(D1723="","",IF(OR(D1723=Plano!$A$1,D1723=Plano!$B$1),"entrada","saída"))</f>
        <v/>
      </c>
      <c r="T1723" s="345"/>
      <c r="U1723" s="345"/>
      <c r="V1723" s="269"/>
      <c r="W1723" s="269"/>
      <c r="X1723" s="269"/>
      <c r="Y1723" s="269"/>
      <c r="Z1723" s="269"/>
      <c r="AA1723" s="269"/>
      <c r="AB1723" s="269"/>
      <c r="AC1723" s="269"/>
      <c r="AD1723" s="269"/>
      <c r="AE1723" s="269"/>
      <c r="AF1723" s="269"/>
      <c r="AG1723" s="269"/>
      <c r="AH1723" s="269"/>
      <c r="AI1723" s="269"/>
      <c r="AJ1723" s="269"/>
      <c r="AK1723" s="269"/>
      <c r="AL1723" s="269"/>
      <c r="AM1723" s="269"/>
    </row>
    <row r="1724" spans="1:39" ht="12.75" customHeight="1" x14ac:dyDescent="0.2">
      <c r="A1724" s="277" t="str">
        <f>IF(B1724="","",COUNT('Diário 5º PA'!$A$5:$A$2634)+COUNT('Diário 6º PA'!$A$5:$A$2246)+ROW()-4)</f>
        <v/>
      </c>
      <c r="B1724" s="278"/>
      <c r="C1724" s="335"/>
      <c r="D1724" s="255"/>
      <c r="E1724" s="255"/>
      <c r="F1724" s="258"/>
      <c r="G1724" s="450"/>
      <c r="H1724" s="255"/>
      <c r="I1724" s="250"/>
      <c r="J1724" s="255"/>
      <c r="K1724" s="255"/>
      <c r="L1724" s="250"/>
      <c r="M1724" s="277"/>
      <c r="N1724" s="277"/>
      <c r="O1724" s="329"/>
      <c r="P1724" s="330">
        <f t="shared" si="259"/>
        <v>0</v>
      </c>
      <c r="Q1724" s="330">
        <f t="shared" si="260"/>
        <v>0</v>
      </c>
      <c r="R1724" s="331" t="str">
        <f t="shared" si="261"/>
        <v/>
      </c>
      <c r="S1724" s="331" t="str">
        <f>IF(D1724="","",IF(OR(D1724=Plano!$A$1,D1724=Plano!$B$1),"entrada","saída"))</f>
        <v/>
      </c>
      <c r="T1724" s="345"/>
      <c r="U1724" s="345"/>
      <c r="V1724" s="269"/>
      <c r="W1724" s="269"/>
      <c r="X1724" s="269"/>
      <c r="Y1724" s="269"/>
      <c r="Z1724" s="269"/>
      <c r="AA1724" s="269"/>
      <c r="AB1724" s="269"/>
      <c r="AC1724" s="269"/>
      <c r="AD1724" s="269"/>
      <c r="AE1724" s="269"/>
      <c r="AF1724" s="269"/>
      <c r="AG1724" s="269"/>
      <c r="AH1724" s="269"/>
      <c r="AI1724" s="269"/>
      <c r="AJ1724" s="269"/>
      <c r="AK1724" s="269"/>
      <c r="AL1724" s="269"/>
      <c r="AM1724" s="269"/>
    </row>
    <row r="1725" spans="1:39" ht="12.75" customHeight="1" x14ac:dyDescent="0.2">
      <c r="A1725" s="277" t="str">
        <f>IF(B1725="","",COUNT('Diário 5º PA'!$A$5:$A$2634)+COUNT('Diário 6º PA'!$A$5:$A$2246)+ROW()-4)</f>
        <v/>
      </c>
      <c r="B1725" s="278"/>
      <c r="C1725" s="335"/>
      <c r="D1725" s="255"/>
      <c r="E1725" s="255"/>
      <c r="F1725" s="258"/>
      <c r="G1725" s="450"/>
      <c r="H1725" s="255"/>
      <c r="I1725" s="250"/>
      <c r="J1725" s="255"/>
      <c r="K1725" s="255"/>
      <c r="L1725" s="250"/>
      <c r="M1725" s="277"/>
      <c r="N1725" s="277"/>
      <c r="O1725" s="329"/>
      <c r="P1725" s="330">
        <f t="shared" si="259"/>
        <v>0</v>
      </c>
      <c r="Q1725" s="330">
        <f t="shared" si="260"/>
        <v>0</v>
      </c>
      <c r="R1725" s="331" t="str">
        <f t="shared" si="261"/>
        <v/>
      </c>
      <c r="S1725" s="331" t="str">
        <f>IF(D1725="","",IF(OR(D1725=Plano!$A$1,D1725=Plano!$B$1),"entrada","saída"))</f>
        <v/>
      </c>
      <c r="T1725" s="345"/>
      <c r="U1725" s="345"/>
      <c r="V1725" s="269"/>
      <c r="W1725" s="269"/>
      <c r="X1725" s="269"/>
      <c r="Y1725" s="269"/>
      <c r="Z1725" s="269"/>
      <c r="AA1725" s="269"/>
      <c r="AB1725" s="269"/>
      <c r="AC1725" s="269"/>
      <c r="AD1725" s="269"/>
      <c r="AE1725" s="269"/>
      <c r="AF1725" s="269"/>
      <c r="AG1725" s="269"/>
      <c r="AH1725" s="269"/>
      <c r="AI1725" s="269"/>
      <c r="AJ1725" s="269"/>
      <c r="AK1725" s="269"/>
      <c r="AL1725" s="269"/>
      <c r="AM1725" s="269"/>
    </row>
    <row r="1726" spans="1:39" ht="12.75" customHeight="1" x14ac:dyDescent="0.2">
      <c r="A1726" s="277" t="str">
        <f>IF(B1726="","",COUNT('Diário 5º PA'!$A$5:$A$2634)+COUNT('Diário 6º PA'!$A$5:$A$2246)+ROW()-4)</f>
        <v/>
      </c>
      <c r="B1726" s="278"/>
      <c r="C1726" s="335"/>
      <c r="D1726" s="255"/>
      <c r="E1726" s="255"/>
      <c r="F1726" s="258"/>
      <c r="G1726" s="450"/>
      <c r="H1726" s="255"/>
      <c r="I1726" s="250"/>
      <c r="J1726" s="255"/>
      <c r="K1726" s="255"/>
      <c r="L1726" s="250"/>
      <c r="M1726" s="277"/>
      <c r="N1726" s="277"/>
      <c r="O1726" s="329"/>
      <c r="P1726" s="330">
        <f t="shared" si="259"/>
        <v>0</v>
      </c>
      <c r="Q1726" s="330">
        <f t="shared" si="260"/>
        <v>0</v>
      </c>
      <c r="R1726" s="331" t="str">
        <f t="shared" si="261"/>
        <v/>
      </c>
      <c r="S1726" s="331" t="str">
        <f>IF(D1726="","",IF(OR(D1726=Plano!$A$1,D1726=Plano!$B$1),"entrada","saída"))</f>
        <v/>
      </c>
      <c r="T1726" s="345"/>
      <c r="U1726" s="345"/>
      <c r="V1726" s="269"/>
      <c r="W1726" s="269"/>
      <c r="X1726" s="269"/>
      <c r="Y1726" s="269"/>
      <c r="Z1726" s="269"/>
      <c r="AA1726" s="269"/>
      <c r="AB1726" s="269"/>
      <c r="AC1726" s="269"/>
      <c r="AD1726" s="269"/>
      <c r="AE1726" s="269"/>
      <c r="AF1726" s="269"/>
      <c r="AG1726" s="269"/>
      <c r="AH1726" s="269"/>
      <c r="AI1726" s="269"/>
      <c r="AJ1726" s="269"/>
      <c r="AK1726" s="269"/>
      <c r="AL1726" s="269"/>
      <c r="AM1726" s="269"/>
    </row>
    <row r="1727" spans="1:39" ht="12.75" customHeight="1" x14ac:dyDescent="0.2">
      <c r="A1727" s="277" t="str">
        <f>IF(B1727="","",COUNT('Diário 5º PA'!$A$5:$A$2634)+COUNT('Diário 6º PA'!$A$5:$A$2246)+ROW()-4)</f>
        <v/>
      </c>
      <c r="B1727" s="278"/>
      <c r="C1727" s="335"/>
      <c r="D1727" s="255"/>
      <c r="E1727" s="255"/>
      <c r="F1727" s="258"/>
      <c r="G1727" s="450"/>
      <c r="H1727" s="255"/>
      <c r="I1727" s="250"/>
      <c r="J1727" s="255"/>
      <c r="K1727" s="255"/>
      <c r="L1727" s="250"/>
      <c r="M1727" s="277"/>
      <c r="N1727" s="277"/>
      <c r="O1727" s="329"/>
      <c r="P1727" s="330">
        <f t="shared" si="259"/>
        <v>0</v>
      </c>
      <c r="Q1727" s="330">
        <f t="shared" si="260"/>
        <v>0</v>
      </c>
      <c r="R1727" s="331" t="str">
        <f t="shared" si="261"/>
        <v/>
      </c>
      <c r="S1727" s="331" t="str">
        <f>IF(D1727="","",IF(OR(D1727=Plano!$A$1,D1727=Plano!$B$1),"entrada","saída"))</f>
        <v/>
      </c>
      <c r="T1727" s="345"/>
      <c r="U1727" s="345"/>
      <c r="V1727" s="269"/>
      <c r="W1727" s="269"/>
      <c r="X1727" s="269"/>
      <c r="Y1727" s="269"/>
      <c r="Z1727" s="269"/>
      <c r="AA1727" s="269"/>
      <c r="AB1727" s="269"/>
      <c r="AC1727" s="269"/>
      <c r="AD1727" s="269"/>
      <c r="AE1727" s="269"/>
      <c r="AF1727" s="269"/>
      <c r="AG1727" s="269"/>
      <c r="AH1727" s="269"/>
      <c r="AI1727" s="269"/>
      <c r="AJ1727" s="269"/>
      <c r="AK1727" s="269"/>
      <c r="AL1727" s="269"/>
      <c r="AM1727" s="269"/>
    </row>
    <row r="1728" spans="1:39" ht="12.75" customHeight="1" x14ac:dyDescent="0.2">
      <c r="A1728" s="277" t="str">
        <f>IF(B1728="","",COUNT('Diário 5º PA'!$A$5:$A$2634)+COUNT('Diário 6º PA'!$A$5:$A$2246)+ROW()-4)</f>
        <v/>
      </c>
      <c r="B1728" s="278"/>
      <c r="C1728" s="335"/>
      <c r="D1728" s="255"/>
      <c r="E1728" s="255"/>
      <c r="F1728" s="258"/>
      <c r="G1728" s="450"/>
      <c r="H1728" s="255"/>
      <c r="I1728" s="250"/>
      <c r="J1728" s="255"/>
      <c r="K1728" s="255"/>
      <c r="L1728" s="250"/>
      <c r="M1728" s="277"/>
      <c r="N1728" s="277"/>
      <c r="O1728" s="329"/>
      <c r="P1728" s="330">
        <f t="shared" si="259"/>
        <v>0</v>
      </c>
      <c r="Q1728" s="330">
        <f t="shared" si="260"/>
        <v>0</v>
      </c>
      <c r="R1728" s="331" t="str">
        <f t="shared" si="261"/>
        <v/>
      </c>
      <c r="S1728" s="331" t="str">
        <f>IF(D1728="","",IF(OR(D1728=Plano!$A$1,D1728=Plano!$B$1),"entrada","saída"))</f>
        <v/>
      </c>
      <c r="T1728" s="345"/>
      <c r="U1728" s="345"/>
      <c r="V1728" s="269"/>
      <c r="W1728" s="269"/>
      <c r="X1728" s="269"/>
      <c r="Y1728" s="269"/>
      <c r="Z1728" s="269"/>
      <c r="AA1728" s="269"/>
      <c r="AB1728" s="269"/>
      <c r="AC1728" s="269"/>
      <c r="AD1728" s="269"/>
      <c r="AE1728" s="269"/>
      <c r="AF1728" s="269"/>
      <c r="AG1728" s="269"/>
      <c r="AH1728" s="269"/>
      <c r="AI1728" s="269"/>
      <c r="AJ1728" s="269"/>
      <c r="AK1728" s="269"/>
      <c r="AL1728" s="269"/>
      <c r="AM1728" s="269"/>
    </row>
    <row r="1729" spans="1:39" ht="12.75" customHeight="1" x14ac:dyDescent="0.2">
      <c r="A1729" s="277" t="str">
        <f>IF(B1729="","",COUNT('Diário 5º PA'!$A$5:$A$2634)+COUNT('Diário 6º PA'!$A$5:$A$2246)+ROW()-4)</f>
        <v/>
      </c>
      <c r="B1729" s="278"/>
      <c r="C1729" s="335"/>
      <c r="D1729" s="255"/>
      <c r="E1729" s="255"/>
      <c r="F1729" s="258"/>
      <c r="G1729" s="450"/>
      <c r="H1729" s="255"/>
      <c r="I1729" s="250"/>
      <c r="J1729" s="255"/>
      <c r="K1729" s="255"/>
      <c r="L1729" s="250"/>
      <c r="M1729" s="277"/>
      <c r="N1729" s="277"/>
      <c r="O1729" s="329"/>
      <c r="P1729" s="330">
        <f t="shared" si="259"/>
        <v>0</v>
      </c>
      <c r="Q1729" s="330">
        <f t="shared" si="260"/>
        <v>0</v>
      </c>
      <c r="R1729" s="331" t="str">
        <f t="shared" si="261"/>
        <v/>
      </c>
      <c r="S1729" s="331" t="str">
        <f>IF(D1729="","",IF(OR(D1729=Plano!$A$1,D1729=Plano!$B$1),"entrada","saída"))</f>
        <v/>
      </c>
      <c r="T1729" s="345"/>
      <c r="U1729" s="345"/>
      <c r="V1729" s="269"/>
      <c r="W1729" s="269"/>
      <c r="X1729" s="269"/>
      <c r="Y1729" s="269"/>
      <c r="Z1729" s="269"/>
      <c r="AA1729" s="269"/>
      <c r="AB1729" s="269"/>
      <c r="AC1729" s="269"/>
      <c r="AD1729" s="269"/>
      <c r="AE1729" s="269"/>
      <c r="AF1729" s="269"/>
      <c r="AG1729" s="269"/>
      <c r="AH1729" s="269"/>
      <c r="AI1729" s="269"/>
      <c r="AJ1729" s="269"/>
      <c r="AK1729" s="269"/>
      <c r="AL1729" s="269"/>
      <c r="AM1729" s="269"/>
    </row>
    <row r="1730" spans="1:39" ht="12.75" customHeight="1" x14ac:dyDescent="0.2">
      <c r="A1730" s="277" t="str">
        <f>IF(B1730="","",COUNT('Diário 5º PA'!$A$5:$A$2634)+COUNT('Diário 6º PA'!$A$5:$A$2246)+ROW()-4)</f>
        <v/>
      </c>
      <c r="B1730" s="278"/>
      <c r="C1730" s="335"/>
      <c r="D1730" s="255"/>
      <c r="E1730" s="255"/>
      <c r="F1730" s="258"/>
      <c r="G1730" s="450"/>
      <c r="H1730" s="255"/>
      <c r="I1730" s="250"/>
      <c r="J1730" s="255"/>
      <c r="K1730" s="255"/>
      <c r="L1730" s="250"/>
      <c r="M1730" s="277"/>
      <c r="N1730" s="277"/>
      <c r="O1730" s="329"/>
      <c r="P1730" s="330">
        <f t="shared" si="259"/>
        <v>0</v>
      </c>
      <c r="Q1730" s="330">
        <f t="shared" si="260"/>
        <v>0</v>
      </c>
      <c r="R1730" s="331" t="str">
        <f t="shared" si="261"/>
        <v/>
      </c>
      <c r="S1730" s="331" t="str">
        <f>IF(D1730="","",IF(OR(D1730=Plano!$A$1,D1730=Plano!$B$1),"entrada","saída"))</f>
        <v/>
      </c>
      <c r="T1730" s="345"/>
      <c r="U1730" s="345"/>
      <c r="V1730" s="269"/>
      <c r="W1730" s="269"/>
      <c r="X1730" s="269"/>
      <c r="Y1730" s="269"/>
      <c r="Z1730" s="269"/>
      <c r="AA1730" s="269"/>
      <c r="AB1730" s="269"/>
      <c r="AC1730" s="269"/>
      <c r="AD1730" s="269"/>
      <c r="AE1730" s="269"/>
      <c r="AF1730" s="269"/>
      <c r="AG1730" s="269"/>
      <c r="AH1730" s="269"/>
      <c r="AI1730" s="269"/>
      <c r="AJ1730" s="269"/>
      <c r="AK1730" s="269"/>
      <c r="AL1730" s="269"/>
      <c r="AM1730" s="269"/>
    </row>
    <row r="1731" spans="1:39" ht="12.75" customHeight="1" x14ac:dyDescent="0.2">
      <c r="A1731" s="277" t="str">
        <f>IF(B1731="","",COUNT('Diário 5º PA'!$A$5:$A$2634)+COUNT('Diário 6º PA'!$A$5:$A$2246)+ROW()-4)</f>
        <v/>
      </c>
      <c r="B1731" s="278"/>
      <c r="C1731" s="335"/>
      <c r="D1731" s="255"/>
      <c r="E1731" s="255"/>
      <c r="F1731" s="258"/>
      <c r="G1731" s="450"/>
      <c r="H1731" s="255"/>
      <c r="I1731" s="250"/>
      <c r="J1731" s="255"/>
      <c r="K1731" s="255"/>
      <c r="L1731" s="250"/>
      <c r="M1731" s="277"/>
      <c r="N1731" s="277"/>
      <c r="O1731" s="329"/>
      <c r="P1731" s="330">
        <f t="shared" si="259"/>
        <v>0</v>
      </c>
      <c r="Q1731" s="330">
        <f t="shared" si="260"/>
        <v>0</v>
      </c>
      <c r="R1731" s="331" t="str">
        <f t="shared" si="261"/>
        <v/>
      </c>
      <c r="S1731" s="331" t="str">
        <f>IF(D1731="","",IF(OR(D1731=Plano!$A$1,D1731=Plano!$B$1),"entrada","saída"))</f>
        <v/>
      </c>
      <c r="T1731" s="345"/>
      <c r="U1731" s="345"/>
      <c r="V1731" s="269"/>
      <c r="W1731" s="269"/>
      <c r="X1731" s="269"/>
      <c r="Y1731" s="269"/>
      <c r="Z1731" s="269"/>
      <c r="AA1731" s="269"/>
      <c r="AB1731" s="269"/>
      <c r="AC1731" s="269"/>
      <c r="AD1731" s="269"/>
      <c r="AE1731" s="269"/>
      <c r="AF1731" s="269"/>
      <c r="AG1731" s="269"/>
      <c r="AH1731" s="269"/>
      <c r="AI1731" s="269"/>
      <c r="AJ1731" s="269"/>
      <c r="AK1731" s="269"/>
      <c r="AL1731" s="269"/>
      <c r="AM1731" s="269"/>
    </row>
    <row r="1732" spans="1:39" ht="12.75" customHeight="1" x14ac:dyDescent="0.2">
      <c r="A1732" s="277" t="str">
        <f>IF(B1732="","",COUNT('Diário 5º PA'!$A$5:$A$2634)+COUNT('Diário 6º PA'!$A$5:$A$2246)+ROW()-4)</f>
        <v/>
      </c>
      <c r="B1732" s="278"/>
      <c r="C1732" s="335"/>
      <c r="D1732" s="255"/>
      <c r="E1732" s="255"/>
      <c r="F1732" s="258"/>
      <c r="G1732" s="450"/>
      <c r="H1732" s="255"/>
      <c r="I1732" s="250"/>
      <c r="J1732" s="255"/>
      <c r="K1732" s="255"/>
      <c r="L1732" s="250"/>
      <c r="M1732" s="277"/>
      <c r="N1732" s="277"/>
      <c r="O1732" s="329"/>
      <c r="P1732" s="330">
        <f t="shared" si="259"/>
        <v>0</v>
      </c>
      <c r="Q1732" s="330">
        <f t="shared" si="260"/>
        <v>0</v>
      </c>
      <c r="R1732" s="331" t="str">
        <f t="shared" si="261"/>
        <v/>
      </c>
      <c r="S1732" s="331" t="str">
        <f>IF(D1732="","",IF(OR(D1732=Plano!$A$1,D1732=Plano!$B$1),"entrada","saída"))</f>
        <v/>
      </c>
      <c r="T1732" s="345"/>
      <c r="U1732" s="345"/>
      <c r="V1732" s="269"/>
      <c r="W1732" s="269"/>
      <c r="X1732" s="269"/>
      <c r="Y1732" s="269"/>
      <c r="Z1732" s="269"/>
      <c r="AA1732" s="269"/>
      <c r="AB1732" s="269"/>
      <c r="AC1732" s="269"/>
      <c r="AD1732" s="269"/>
      <c r="AE1732" s="269"/>
      <c r="AF1732" s="269"/>
      <c r="AG1732" s="269"/>
      <c r="AH1732" s="269"/>
      <c r="AI1732" s="269"/>
      <c r="AJ1732" s="269"/>
      <c r="AK1732" s="269"/>
      <c r="AL1732" s="269"/>
      <c r="AM1732" s="269"/>
    </row>
    <row r="1733" spans="1:39" ht="12.75" customHeight="1" x14ac:dyDescent="0.2">
      <c r="A1733" s="277" t="str">
        <f>IF(B1733="","",COUNT('Diário 5º PA'!$A$5:$A$2634)+COUNT('Diário 6º PA'!$A$5:$A$2246)+ROW()-4)</f>
        <v/>
      </c>
      <c r="B1733" s="278"/>
      <c r="C1733" s="335"/>
      <c r="D1733" s="255"/>
      <c r="E1733" s="255"/>
      <c r="F1733" s="258"/>
      <c r="G1733" s="450"/>
      <c r="H1733" s="255"/>
      <c r="I1733" s="250"/>
      <c r="J1733" s="255"/>
      <c r="K1733" s="255"/>
      <c r="L1733" s="250"/>
      <c r="M1733" s="277"/>
      <c r="N1733" s="277"/>
      <c r="O1733" s="329"/>
      <c r="P1733" s="330">
        <f t="shared" si="259"/>
        <v>0</v>
      </c>
      <c r="Q1733" s="330">
        <f t="shared" si="260"/>
        <v>0</v>
      </c>
      <c r="R1733" s="331" t="str">
        <f t="shared" si="261"/>
        <v/>
      </c>
      <c r="S1733" s="331" t="str">
        <f>IF(D1733="","",IF(OR(D1733=Plano!$A$1,D1733=Plano!$B$1),"entrada","saída"))</f>
        <v/>
      </c>
      <c r="T1733" s="345"/>
      <c r="U1733" s="345"/>
      <c r="V1733" s="269"/>
      <c r="W1733" s="269"/>
      <c r="X1733" s="269"/>
      <c r="Y1733" s="269"/>
      <c r="Z1733" s="269"/>
      <c r="AA1733" s="269"/>
      <c r="AB1733" s="269"/>
      <c r="AC1733" s="269"/>
      <c r="AD1733" s="269"/>
      <c r="AE1733" s="269"/>
      <c r="AF1733" s="269"/>
      <c r="AG1733" s="269"/>
      <c r="AH1733" s="269"/>
      <c r="AI1733" s="269"/>
      <c r="AJ1733" s="269"/>
      <c r="AK1733" s="269"/>
      <c r="AL1733" s="269"/>
      <c r="AM1733" s="269"/>
    </row>
    <row r="1734" spans="1:39" ht="12.75" customHeight="1" x14ac:dyDescent="0.2">
      <c r="A1734" s="277" t="str">
        <f>IF(B1734="","",COUNT('Diário 5º PA'!$A$5:$A$2634)+COUNT('Diário 6º PA'!$A$5:$A$2246)+ROW()-4)</f>
        <v/>
      </c>
      <c r="B1734" s="278"/>
      <c r="C1734" s="335"/>
      <c r="D1734" s="255"/>
      <c r="E1734" s="255"/>
      <c r="F1734" s="258"/>
      <c r="G1734" s="450"/>
      <c r="H1734" s="255"/>
      <c r="I1734" s="250"/>
      <c r="J1734" s="255"/>
      <c r="K1734" s="255"/>
      <c r="L1734" s="250"/>
      <c r="M1734" s="277"/>
      <c r="N1734" s="277"/>
      <c r="O1734" s="329"/>
      <c r="P1734" s="330">
        <f t="shared" si="259"/>
        <v>0</v>
      </c>
      <c r="Q1734" s="330">
        <f t="shared" si="260"/>
        <v>0</v>
      </c>
      <c r="R1734" s="331" t="str">
        <f t="shared" si="261"/>
        <v/>
      </c>
      <c r="S1734" s="331" t="str">
        <f>IF(D1734="","",IF(OR(D1734=Plano!$A$1,D1734=Plano!$B$1),"entrada","saída"))</f>
        <v/>
      </c>
      <c r="T1734" s="345"/>
      <c r="U1734" s="345"/>
      <c r="V1734" s="269"/>
      <c r="W1734" s="269"/>
      <c r="X1734" s="269"/>
      <c r="Y1734" s="269"/>
      <c r="Z1734" s="269"/>
      <c r="AA1734" s="269"/>
      <c r="AB1734" s="269"/>
      <c r="AC1734" s="269"/>
      <c r="AD1734" s="269"/>
      <c r="AE1734" s="269"/>
      <c r="AF1734" s="269"/>
      <c r="AG1734" s="269"/>
      <c r="AH1734" s="269"/>
      <c r="AI1734" s="269"/>
      <c r="AJ1734" s="269"/>
      <c r="AK1734" s="269"/>
      <c r="AL1734" s="269"/>
      <c r="AM1734" s="269"/>
    </row>
    <row r="1735" spans="1:39" ht="12.75" customHeight="1" x14ac:dyDescent="0.2">
      <c r="A1735" s="277" t="str">
        <f>IF(B1735="","",COUNT('Diário 5º PA'!$A$5:$A$2634)+COUNT('Diário 6º PA'!$A$5:$A$2246)+ROW()-4)</f>
        <v/>
      </c>
      <c r="B1735" s="278"/>
      <c r="C1735" s="335"/>
      <c r="D1735" s="255"/>
      <c r="E1735" s="255"/>
      <c r="F1735" s="258"/>
      <c r="G1735" s="450"/>
      <c r="H1735" s="255"/>
      <c r="I1735" s="250"/>
      <c r="J1735" s="255"/>
      <c r="K1735" s="255"/>
      <c r="L1735" s="250"/>
      <c r="M1735" s="277"/>
      <c r="N1735" s="277"/>
      <c r="O1735" s="329"/>
      <c r="P1735" s="330">
        <f t="shared" si="259"/>
        <v>0</v>
      </c>
      <c r="Q1735" s="330">
        <f t="shared" si="260"/>
        <v>0</v>
      </c>
      <c r="R1735" s="331" t="str">
        <f t="shared" si="261"/>
        <v/>
      </c>
      <c r="S1735" s="331" t="str">
        <f>IF(D1735="","",IF(OR(D1735=Plano!$A$1,D1735=Plano!$B$1),"entrada","saída"))</f>
        <v/>
      </c>
      <c r="T1735" s="345"/>
      <c r="U1735" s="345"/>
      <c r="V1735" s="269"/>
      <c r="W1735" s="269"/>
      <c r="X1735" s="269"/>
      <c r="Y1735" s="269"/>
      <c r="Z1735" s="269"/>
      <c r="AA1735" s="269"/>
      <c r="AB1735" s="269"/>
      <c r="AC1735" s="269"/>
      <c r="AD1735" s="269"/>
      <c r="AE1735" s="269"/>
      <c r="AF1735" s="269"/>
      <c r="AG1735" s="269"/>
      <c r="AH1735" s="269"/>
      <c r="AI1735" s="269"/>
      <c r="AJ1735" s="269"/>
      <c r="AK1735" s="269"/>
      <c r="AL1735" s="269"/>
      <c r="AM1735" s="269"/>
    </row>
    <row r="1736" spans="1:39" ht="12.75" customHeight="1" x14ac:dyDescent="0.2">
      <c r="A1736" s="277" t="str">
        <f>IF(B1736="","",COUNT('Diário 5º PA'!$A$5:$A$2634)+COUNT('Diário 6º PA'!$A$5:$A$2246)+ROW()-4)</f>
        <v/>
      </c>
      <c r="B1736" s="278"/>
      <c r="C1736" s="335"/>
      <c r="D1736" s="255"/>
      <c r="E1736" s="255"/>
      <c r="F1736" s="258"/>
      <c r="G1736" s="450"/>
      <c r="H1736" s="255"/>
      <c r="I1736" s="250"/>
      <c r="J1736" s="255"/>
      <c r="K1736" s="255"/>
      <c r="L1736" s="250"/>
      <c r="M1736" s="277"/>
      <c r="N1736" s="277"/>
      <c r="O1736" s="329"/>
      <c r="P1736" s="330">
        <f t="shared" si="259"/>
        <v>0</v>
      </c>
      <c r="Q1736" s="330">
        <f t="shared" si="260"/>
        <v>0</v>
      </c>
      <c r="R1736" s="331" t="str">
        <f t="shared" si="261"/>
        <v/>
      </c>
      <c r="S1736" s="331" t="str">
        <f>IF(D1736="","",IF(OR(D1736=Plano!$A$1,D1736=Plano!$B$1),"entrada","saída"))</f>
        <v/>
      </c>
      <c r="T1736" s="345"/>
      <c r="U1736" s="345"/>
      <c r="V1736" s="269"/>
      <c r="W1736" s="269"/>
      <c r="X1736" s="269"/>
      <c r="Y1736" s="269"/>
      <c r="Z1736" s="269"/>
      <c r="AA1736" s="269"/>
      <c r="AB1736" s="269"/>
      <c r="AC1736" s="269"/>
      <c r="AD1736" s="269"/>
      <c r="AE1736" s="269"/>
      <c r="AF1736" s="269"/>
      <c r="AG1736" s="269"/>
      <c r="AH1736" s="269"/>
      <c r="AI1736" s="269"/>
      <c r="AJ1736" s="269"/>
      <c r="AK1736" s="269"/>
      <c r="AL1736" s="269"/>
      <c r="AM1736" s="269"/>
    </row>
    <row r="1737" spans="1:39" ht="12.75" customHeight="1" x14ac:dyDescent="0.2">
      <c r="A1737" s="277" t="str">
        <f>IF(B1737="","",COUNT('Diário 5º PA'!$A$5:$A$2634)+COUNT('Diário 6º PA'!$A$5:$A$2246)+ROW()-4)</f>
        <v/>
      </c>
      <c r="B1737" s="278"/>
      <c r="C1737" s="335"/>
      <c r="D1737" s="255"/>
      <c r="E1737" s="255"/>
      <c r="F1737" s="258"/>
      <c r="G1737" s="450"/>
      <c r="H1737" s="255"/>
      <c r="I1737" s="250"/>
      <c r="J1737" s="255"/>
      <c r="K1737" s="255"/>
      <c r="L1737" s="250"/>
      <c r="M1737" s="277"/>
      <c r="N1737" s="277"/>
      <c r="O1737" s="329"/>
      <c r="P1737" s="330">
        <f t="shared" si="259"/>
        <v>0</v>
      </c>
      <c r="Q1737" s="330">
        <f t="shared" si="260"/>
        <v>0</v>
      </c>
      <c r="R1737" s="331" t="str">
        <f t="shared" si="261"/>
        <v/>
      </c>
      <c r="S1737" s="331" t="str">
        <f>IF(D1737="","",IF(OR(D1737=Plano!$A$1,D1737=Plano!$B$1),"entrada","saída"))</f>
        <v/>
      </c>
      <c r="T1737" s="345"/>
      <c r="U1737" s="345"/>
      <c r="V1737" s="269"/>
      <c r="W1737" s="269"/>
      <c r="X1737" s="269"/>
      <c r="Y1737" s="269"/>
      <c r="Z1737" s="269"/>
      <c r="AA1737" s="269"/>
      <c r="AB1737" s="269"/>
      <c r="AC1737" s="269"/>
      <c r="AD1737" s="269"/>
      <c r="AE1737" s="269"/>
      <c r="AF1737" s="269"/>
      <c r="AG1737" s="269"/>
      <c r="AH1737" s="269"/>
      <c r="AI1737" s="269"/>
      <c r="AJ1737" s="269"/>
      <c r="AK1737" s="269"/>
      <c r="AL1737" s="269"/>
      <c r="AM1737" s="269"/>
    </row>
    <row r="1738" spans="1:39" ht="12.75" customHeight="1" x14ac:dyDescent="0.2">
      <c r="A1738" s="277" t="str">
        <f>IF(B1738="","",COUNT('Diário 5º PA'!$A$5:$A$2634)+COUNT('Diário 6º PA'!$A$5:$A$2246)+ROW()-4)</f>
        <v/>
      </c>
      <c r="B1738" s="278"/>
      <c r="C1738" s="335"/>
      <c r="D1738" s="255"/>
      <c r="E1738" s="255"/>
      <c r="F1738" s="258"/>
      <c r="G1738" s="450"/>
      <c r="H1738" s="255"/>
      <c r="I1738" s="250"/>
      <c r="J1738" s="255"/>
      <c r="K1738" s="255"/>
      <c r="L1738" s="250"/>
      <c r="M1738" s="277"/>
      <c r="N1738" s="277"/>
      <c r="O1738" s="329"/>
      <c r="P1738" s="330">
        <f t="shared" si="259"/>
        <v>0</v>
      </c>
      <c r="Q1738" s="330">
        <f t="shared" si="260"/>
        <v>0</v>
      </c>
      <c r="R1738" s="331" t="str">
        <f t="shared" si="261"/>
        <v/>
      </c>
      <c r="S1738" s="331" t="str">
        <f>IF(D1738="","",IF(OR(D1738=Plano!$A$1,D1738=Plano!$B$1),"entrada","saída"))</f>
        <v/>
      </c>
      <c r="T1738" s="345"/>
      <c r="U1738" s="345"/>
      <c r="V1738" s="269"/>
      <c r="W1738" s="269"/>
      <c r="X1738" s="269"/>
      <c r="Y1738" s="269"/>
      <c r="Z1738" s="269"/>
      <c r="AA1738" s="269"/>
      <c r="AB1738" s="269"/>
      <c r="AC1738" s="269"/>
      <c r="AD1738" s="269"/>
      <c r="AE1738" s="269"/>
      <c r="AF1738" s="269"/>
      <c r="AG1738" s="269"/>
      <c r="AH1738" s="269"/>
      <c r="AI1738" s="269"/>
      <c r="AJ1738" s="269"/>
      <c r="AK1738" s="269"/>
      <c r="AL1738" s="269"/>
      <c r="AM1738" s="269"/>
    </row>
    <row r="1739" spans="1:39" ht="12.75" customHeight="1" x14ac:dyDescent="0.2">
      <c r="A1739" s="277" t="str">
        <f>IF(B1739="","",COUNT('Diário 5º PA'!$A$5:$A$2634)+COUNT('Diário 6º PA'!$A$5:$A$2246)+ROW()-4)</f>
        <v/>
      </c>
      <c r="B1739" s="278"/>
      <c r="C1739" s="335"/>
      <c r="D1739" s="255"/>
      <c r="E1739" s="255"/>
      <c r="F1739" s="258"/>
      <c r="G1739" s="450"/>
      <c r="H1739" s="255"/>
      <c r="I1739" s="250"/>
      <c r="J1739" s="255"/>
      <c r="K1739" s="255"/>
      <c r="L1739" s="250"/>
      <c r="M1739" s="277"/>
      <c r="N1739" s="277"/>
      <c r="O1739" s="329"/>
      <c r="P1739" s="330">
        <f t="shared" si="259"/>
        <v>0</v>
      </c>
      <c r="Q1739" s="330">
        <f t="shared" si="260"/>
        <v>0</v>
      </c>
      <c r="R1739" s="331" t="str">
        <f t="shared" si="261"/>
        <v/>
      </c>
      <c r="S1739" s="331" t="str">
        <f>IF(D1739="","",IF(OR(D1739=Plano!$A$1,D1739=Plano!$B$1),"entrada","saída"))</f>
        <v/>
      </c>
      <c r="T1739" s="345"/>
      <c r="U1739" s="345"/>
      <c r="V1739" s="269"/>
      <c r="W1739" s="269"/>
      <c r="X1739" s="269"/>
      <c r="Y1739" s="269"/>
      <c r="Z1739" s="269"/>
      <c r="AA1739" s="269"/>
      <c r="AB1739" s="269"/>
      <c r="AC1739" s="269"/>
      <c r="AD1739" s="269"/>
      <c r="AE1739" s="269"/>
      <c r="AF1739" s="269"/>
      <c r="AG1739" s="269"/>
      <c r="AH1739" s="269"/>
      <c r="AI1739" s="269"/>
      <c r="AJ1739" s="269"/>
      <c r="AK1739" s="269"/>
      <c r="AL1739" s="269"/>
      <c r="AM1739" s="269"/>
    </row>
    <row r="1740" spans="1:39" ht="12.75" customHeight="1" x14ac:dyDescent="0.2">
      <c r="A1740" s="277" t="str">
        <f>IF(B1740="","",COUNT('Diário 5º PA'!$A$5:$A$2634)+COUNT('Diário 6º PA'!$A$5:$A$2246)+ROW()-4)</f>
        <v/>
      </c>
      <c r="B1740" s="278"/>
      <c r="C1740" s="335"/>
      <c r="D1740" s="255"/>
      <c r="E1740" s="255"/>
      <c r="F1740" s="258"/>
      <c r="G1740" s="450"/>
      <c r="H1740" s="255"/>
      <c r="I1740" s="250"/>
      <c r="J1740" s="255"/>
      <c r="K1740" s="255"/>
      <c r="L1740" s="250"/>
      <c r="M1740" s="277"/>
      <c r="N1740" s="277"/>
      <c r="O1740" s="329"/>
      <c r="P1740" s="330">
        <f t="shared" si="259"/>
        <v>0</v>
      </c>
      <c r="Q1740" s="330">
        <f t="shared" si="260"/>
        <v>0</v>
      </c>
      <c r="R1740" s="331" t="str">
        <f t="shared" si="261"/>
        <v/>
      </c>
      <c r="S1740" s="331" t="str">
        <f>IF(D1740="","",IF(OR(D1740=Plano!$A$1,D1740=Plano!$B$1),"entrada","saída"))</f>
        <v/>
      </c>
      <c r="T1740" s="345"/>
      <c r="U1740" s="345"/>
      <c r="V1740" s="269"/>
      <c r="W1740" s="269"/>
      <c r="X1740" s="269"/>
      <c r="Y1740" s="269"/>
      <c r="Z1740" s="269"/>
      <c r="AA1740" s="269"/>
      <c r="AB1740" s="269"/>
      <c r="AC1740" s="269"/>
      <c r="AD1740" s="269"/>
      <c r="AE1740" s="269"/>
      <c r="AF1740" s="269"/>
      <c r="AG1740" s="269"/>
      <c r="AH1740" s="269"/>
      <c r="AI1740" s="269"/>
      <c r="AJ1740" s="269"/>
      <c r="AK1740" s="269"/>
      <c r="AL1740" s="269"/>
      <c r="AM1740" s="269"/>
    </row>
    <row r="1741" spans="1:39" ht="12.75" customHeight="1" x14ac:dyDescent="0.2">
      <c r="A1741" s="277" t="str">
        <f>IF(B1741="","",COUNT('Diário 5º PA'!$A$5:$A$2634)+COUNT('Diário 6º PA'!$A$5:$A$2246)+ROW()-4)</f>
        <v/>
      </c>
      <c r="B1741" s="278"/>
      <c r="C1741" s="335"/>
      <c r="D1741" s="255"/>
      <c r="E1741" s="255"/>
      <c r="F1741" s="258"/>
      <c r="G1741" s="450"/>
      <c r="H1741" s="255"/>
      <c r="I1741" s="250"/>
      <c r="J1741" s="255"/>
      <c r="K1741" s="255"/>
      <c r="L1741" s="250"/>
      <c r="M1741" s="277"/>
      <c r="N1741" s="277"/>
      <c r="O1741" s="329"/>
      <c r="P1741" s="330">
        <f t="shared" si="259"/>
        <v>0</v>
      </c>
      <c r="Q1741" s="330">
        <f t="shared" si="260"/>
        <v>0</v>
      </c>
      <c r="R1741" s="331" t="str">
        <f t="shared" si="261"/>
        <v/>
      </c>
      <c r="S1741" s="331" t="str">
        <f>IF(D1741="","",IF(OR(D1741=Plano!$A$1,D1741=Plano!$B$1),"entrada","saída"))</f>
        <v/>
      </c>
      <c r="T1741" s="345"/>
      <c r="U1741" s="345"/>
      <c r="V1741" s="269"/>
      <c r="W1741" s="269"/>
      <c r="X1741" s="269"/>
      <c r="Y1741" s="269"/>
      <c r="Z1741" s="269"/>
      <c r="AA1741" s="269"/>
      <c r="AB1741" s="269"/>
      <c r="AC1741" s="269"/>
      <c r="AD1741" s="269"/>
      <c r="AE1741" s="269"/>
      <c r="AF1741" s="269"/>
      <c r="AG1741" s="269"/>
      <c r="AH1741" s="269"/>
      <c r="AI1741" s="269"/>
      <c r="AJ1741" s="269"/>
      <c r="AK1741" s="269"/>
      <c r="AL1741" s="269"/>
      <c r="AM1741" s="269"/>
    </row>
    <row r="1742" spans="1:39" ht="12.75" customHeight="1" x14ac:dyDescent="0.2">
      <c r="A1742" s="277" t="str">
        <f>IF(B1742="","",COUNT('Diário 5º PA'!$A$5:$A$2634)+COUNT('Diário 6º PA'!$A$5:$A$2246)+ROW()-4)</f>
        <v/>
      </c>
      <c r="B1742" s="278"/>
      <c r="C1742" s="335"/>
      <c r="D1742" s="255"/>
      <c r="E1742" s="255"/>
      <c r="F1742" s="258"/>
      <c r="G1742" s="450"/>
      <c r="H1742" s="255"/>
      <c r="I1742" s="250"/>
      <c r="J1742" s="255"/>
      <c r="K1742" s="255"/>
      <c r="L1742" s="250"/>
      <c r="M1742" s="277"/>
      <c r="N1742" s="277"/>
      <c r="O1742" s="329"/>
      <c r="P1742" s="330">
        <f t="shared" si="259"/>
        <v>0</v>
      </c>
      <c r="Q1742" s="330">
        <f t="shared" si="260"/>
        <v>0</v>
      </c>
      <c r="R1742" s="331" t="str">
        <f t="shared" si="261"/>
        <v/>
      </c>
      <c r="S1742" s="331" t="str">
        <f>IF(D1742="","",IF(OR(D1742=Plano!$A$1,D1742=Plano!$B$1),"entrada","saída"))</f>
        <v/>
      </c>
      <c r="T1742" s="345"/>
      <c r="U1742" s="345"/>
      <c r="V1742" s="269"/>
      <c r="W1742" s="269"/>
      <c r="X1742" s="269"/>
      <c r="Y1742" s="269"/>
      <c r="Z1742" s="269"/>
      <c r="AA1742" s="269"/>
      <c r="AB1742" s="269"/>
      <c r="AC1742" s="269"/>
      <c r="AD1742" s="269"/>
      <c r="AE1742" s="269"/>
      <c r="AF1742" s="269"/>
      <c r="AG1742" s="269"/>
      <c r="AH1742" s="269"/>
      <c r="AI1742" s="269"/>
      <c r="AJ1742" s="269"/>
      <c r="AK1742" s="269"/>
      <c r="AL1742" s="269"/>
      <c r="AM1742" s="269"/>
    </row>
    <row r="1743" spans="1:39" ht="12.75" customHeight="1" x14ac:dyDescent="0.2">
      <c r="A1743" s="277" t="str">
        <f>IF(B1743="","",COUNT('Diário 5º PA'!$A$5:$A$2634)+COUNT('Diário 6º PA'!$A$5:$A$2246)+ROW()-4)</f>
        <v/>
      </c>
      <c r="B1743" s="278"/>
      <c r="C1743" s="335"/>
      <c r="D1743" s="255"/>
      <c r="E1743" s="255"/>
      <c r="F1743" s="258"/>
      <c r="G1743" s="450"/>
      <c r="H1743" s="255"/>
      <c r="I1743" s="250"/>
      <c r="J1743" s="255"/>
      <c r="K1743" s="255"/>
      <c r="L1743" s="250"/>
      <c r="M1743" s="277"/>
      <c r="N1743" s="277"/>
      <c r="O1743" s="329"/>
      <c r="P1743" s="330">
        <f t="shared" si="259"/>
        <v>0</v>
      </c>
      <c r="Q1743" s="330">
        <f t="shared" si="260"/>
        <v>0</v>
      </c>
      <c r="R1743" s="331" t="str">
        <f t="shared" si="261"/>
        <v/>
      </c>
      <c r="S1743" s="331" t="str">
        <f>IF(D1743="","",IF(OR(D1743=Plano!$A$1,D1743=Plano!$B$1),"entrada","saída"))</f>
        <v/>
      </c>
      <c r="T1743" s="345"/>
      <c r="U1743" s="345"/>
      <c r="V1743" s="269"/>
      <c r="W1743" s="269"/>
      <c r="X1743" s="269"/>
      <c r="Y1743" s="269"/>
      <c r="Z1743" s="269"/>
      <c r="AA1743" s="269"/>
      <c r="AB1743" s="269"/>
      <c r="AC1743" s="269"/>
      <c r="AD1743" s="269"/>
      <c r="AE1743" s="269"/>
      <c r="AF1743" s="269"/>
      <c r="AG1743" s="269"/>
      <c r="AH1743" s="269"/>
      <c r="AI1743" s="269"/>
      <c r="AJ1743" s="269"/>
      <c r="AK1743" s="269"/>
      <c r="AL1743" s="269"/>
      <c r="AM1743" s="269"/>
    </row>
    <row r="1744" spans="1:39" ht="12.75" customHeight="1" x14ac:dyDescent="0.2">
      <c r="A1744" s="277" t="str">
        <f>IF(B1744="","",COUNT('Diário 5º PA'!$A$5:$A$2634)+COUNT('Diário 6º PA'!$A$5:$A$2246)+ROW()-4)</f>
        <v/>
      </c>
      <c r="B1744" s="278"/>
      <c r="C1744" s="335"/>
      <c r="D1744" s="255"/>
      <c r="E1744" s="255"/>
      <c r="F1744" s="258"/>
      <c r="G1744" s="450"/>
      <c r="H1744" s="255"/>
      <c r="I1744" s="250"/>
      <c r="J1744" s="255"/>
      <c r="K1744" s="255"/>
      <c r="L1744" s="250"/>
      <c r="M1744" s="277"/>
      <c r="N1744" s="277"/>
      <c r="O1744" s="329"/>
      <c r="P1744" s="330">
        <f t="shared" si="259"/>
        <v>0</v>
      </c>
      <c r="Q1744" s="330">
        <f t="shared" si="260"/>
        <v>0</v>
      </c>
      <c r="R1744" s="331" t="str">
        <f t="shared" si="261"/>
        <v/>
      </c>
      <c r="S1744" s="331" t="str">
        <f>IF(D1744="","",IF(OR(D1744=Plano!$A$1,D1744=Plano!$B$1),"entrada","saída"))</f>
        <v/>
      </c>
      <c r="T1744" s="345"/>
      <c r="U1744" s="345"/>
      <c r="V1744" s="269"/>
      <c r="W1744" s="269"/>
      <c r="X1744" s="269"/>
      <c r="Y1744" s="269"/>
      <c r="Z1744" s="269"/>
      <c r="AA1744" s="269"/>
      <c r="AB1744" s="269"/>
      <c r="AC1744" s="269"/>
      <c r="AD1744" s="269"/>
      <c r="AE1744" s="269"/>
      <c r="AF1744" s="269"/>
      <c r="AG1744" s="269"/>
      <c r="AH1744" s="269"/>
      <c r="AI1744" s="269"/>
      <c r="AJ1744" s="269"/>
      <c r="AK1744" s="269"/>
      <c r="AL1744" s="269"/>
      <c r="AM1744" s="269"/>
    </row>
    <row r="1745" spans="1:39" ht="12.75" customHeight="1" x14ac:dyDescent="0.2">
      <c r="A1745" s="277" t="str">
        <f>IF(B1745="","",COUNT('Diário 5º PA'!$A$5:$A$2634)+COUNT('Diário 6º PA'!$A$5:$A$2246)+ROW()-4)</f>
        <v/>
      </c>
      <c r="B1745" s="278"/>
      <c r="C1745" s="335"/>
      <c r="D1745" s="255"/>
      <c r="E1745" s="255"/>
      <c r="F1745" s="258"/>
      <c r="G1745" s="450"/>
      <c r="H1745" s="255"/>
      <c r="I1745" s="250"/>
      <c r="J1745" s="255"/>
      <c r="K1745" s="255"/>
      <c r="L1745" s="250"/>
      <c r="M1745" s="277"/>
      <c r="N1745" s="277"/>
      <c r="O1745" s="329"/>
      <c r="P1745" s="330">
        <f t="shared" si="259"/>
        <v>0</v>
      </c>
      <c r="Q1745" s="330">
        <f t="shared" si="260"/>
        <v>0</v>
      </c>
      <c r="R1745" s="331" t="str">
        <f t="shared" si="261"/>
        <v/>
      </c>
      <c r="S1745" s="331" t="str">
        <f>IF(D1745="","",IF(OR(D1745=Plano!$A$1,D1745=Plano!$B$1),"entrada","saída"))</f>
        <v/>
      </c>
      <c r="T1745" s="345"/>
      <c r="U1745" s="345"/>
      <c r="V1745" s="269"/>
      <c r="W1745" s="269"/>
      <c r="X1745" s="269"/>
      <c r="Y1745" s="269"/>
      <c r="Z1745" s="269"/>
      <c r="AA1745" s="269"/>
      <c r="AB1745" s="269"/>
      <c r="AC1745" s="269"/>
      <c r="AD1745" s="269"/>
      <c r="AE1745" s="269"/>
      <c r="AF1745" s="269"/>
      <c r="AG1745" s="269"/>
      <c r="AH1745" s="269"/>
      <c r="AI1745" s="269"/>
      <c r="AJ1745" s="269"/>
      <c r="AK1745" s="269"/>
      <c r="AL1745" s="269"/>
      <c r="AM1745" s="269"/>
    </row>
    <row r="1746" spans="1:39" ht="12.75" customHeight="1" x14ac:dyDescent="0.2">
      <c r="A1746" s="277" t="str">
        <f>IF(B1746="","",COUNT('Diário 5º PA'!$A$5:$A$2634)+COUNT('Diário 6º PA'!$A$5:$A$2246)+ROW()-4)</f>
        <v/>
      </c>
      <c r="B1746" s="278"/>
      <c r="C1746" s="335"/>
      <c r="D1746" s="255"/>
      <c r="E1746" s="255"/>
      <c r="F1746" s="258"/>
      <c r="G1746" s="450"/>
      <c r="H1746" s="255"/>
      <c r="I1746" s="250"/>
      <c r="J1746" s="255"/>
      <c r="K1746" s="255"/>
      <c r="L1746" s="250"/>
      <c r="M1746" s="277"/>
      <c r="N1746" s="277"/>
      <c r="O1746" s="329"/>
      <c r="P1746" s="330">
        <f t="shared" si="259"/>
        <v>0</v>
      </c>
      <c r="Q1746" s="330">
        <f t="shared" si="260"/>
        <v>0</v>
      </c>
      <c r="R1746" s="331" t="str">
        <f t="shared" si="261"/>
        <v/>
      </c>
      <c r="S1746" s="331" t="str">
        <f>IF(D1746="","",IF(OR(D1746=Plano!$A$1,D1746=Plano!$B$1),"entrada","saída"))</f>
        <v/>
      </c>
      <c r="T1746" s="345"/>
      <c r="U1746" s="345"/>
      <c r="V1746" s="269"/>
      <c r="W1746" s="269"/>
      <c r="X1746" s="269"/>
      <c r="Y1746" s="269"/>
      <c r="Z1746" s="269"/>
      <c r="AA1746" s="269"/>
      <c r="AB1746" s="269"/>
      <c r="AC1746" s="269"/>
      <c r="AD1746" s="269"/>
      <c r="AE1746" s="269"/>
      <c r="AF1746" s="269"/>
      <c r="AG1746" s="269"/>
      <c r="AH1746" s="269"/>
      <c r="AI1746" s="269"/>
      <c r="AJ1746" s="269"/>
      <c r="AK1746" s="269"/>
      <c r="AL1746" s="269"/>
      <c r="AM1746" s="269"/>
    </row>
    <row r="1747" spans="1:39" ht="12.75" customHeight="1" x14ac:dyDescent="0.2">
      <c r="A1747" s="277" t="str">
        <f>IF(B1747="","",COUNT('Diário 5º PA'!$A$5:$A$2634)+COUNT('Diário 6º PA'!$A$5:$A$2246)+ROW()-4)</f>
        <v/>
      </c>
      <c r="B1747" s="278"/>
      <c r="C1747" s="335"/>
      <c r="D1747" s="255"/>
      <c r="E1747" s="255"/>
      <c r="F1747" s="258"/>
      <c r="G1747" s="450"/>
      <c r="H1747" s="255"/>
      <c r="I1747" s="250"/>
      <c r="J1747" s="255"/>
      <c r="K1747" s="255"/>
      <c r="L1747" s="250"/>
      <c r="M1747" s="277"/>
      <c r="N1747" s="277"/>
      <c r="O1747" s="329"/>
      <c r="P1747" s="330">
        <f t="shared" si="259"/>
        <v>0</v>
      </c>
      <c r="Q1747" s="330">
        <f t="shared" si="260"/>
        <v>0</v>
      </c>
      <c r="R1747" s="331" t="str">
        <f t="shared" si="261"/>
        <v/>
      </c>
      <c r="S1747" s="331" t="str">
        <f>IF(D1747="","",IF(OR(D1747=Plano!$A$1,D1747=Plano!$B$1),"entrada","saída"))</f>
        <v/>
      </c>
      <c r="T1747" s="345"/>
      <c r="U1747" s="345"/>
      <c r="V1747" s="269"/>
      <c r="W1747" s="269"/>
      <c r="X1747" s="269"/>
      <c r="Y1747" s="269"/>
      <c r="Z1747" s="269"/>
      <c r="AA1747" s="269"/>
      <c r="AB1747" s="269"/>
      <c r="AC1747" s="269"/>
      <c r="AD1747" s="269"/>
      <c r="AE1747" s="269"/>
      <c r="AF1747" s="269"/>
      <c r="AG1747" s="269"/>
      <c r="AH1747" s="269"/>
      <c r="AI1747" s="269"/>
      <c r="AJ1747" s="269"/>
      <c r="AK1747" s="269"/>
      <c r="AL1747" s="269"/>
      <c r="AM1747" s="269"/>
    </row>
    <row r="1748" spans="1:39" ht="12.75" customHeight="1" x14ac:dyDescent="0.2">
      <c r="A1748" s="277" t="str">
        <f>IF(B1748="","",COUNT('Diário 5º PA'!$A$5:$A$2634)+COUNT('Diário 6º PA'!$A$5:$A$2246)+ROW()-4)</f>
        <v/>
      </c>
      <c r="B1748" s="278"/>
      <c r="C1748" s="335"/>
      <c r="D1748" s="255"/>
      <c r="E1748" s="255"/>
      <c r="F1748" s="258"/>
      <c r="G1748" s="450"/>
      <c r="H1748" s="255"/>
      <c r="I1748" s="250"/>
      <c r="J1748" s="255"/>
      <c r="K1748" s="255"/>
      <c r="L1748" s="250"/>
      <c r="M1748" s="277"/>
      <c r="N1748" s="277"/>
      <c r="O1748" s="329"/>
      <c r="P1748" s="330">
        <f t="shared" si="259"/>
        <v>0</v>
      </c>
      <c r="Q1748" s="330">
        <f t="shared" si="260"/>
        <v>0</v>
      </c>
      <c r="R1748" s="331" t="str">
        <f t="shared" si="261"/>
        <v/>
      </c>
      <c r="S1748" s="331" t="str">
        <f>IF(D1748="","",IF(OR(D1748=Plano!$A$1,D1748=Plano!$B$1),"entrada","saída"))</f>
        <v/>
      </c>
      <c r="T1748" s="345"/>
      <c r="U1748" s="345"/>
      <c r="V1748" s="269"/>
      <c r="W1748" s="269"/>
      <c r="X1748" s="269"/>
      <c r="Y1748" s="269"/>
      <c r="Z1748" s="269"/>
      <c r="AA1748" s="269"/>
      <c r="AB1748" s="269"/>
      <c r="AC1748" s="269"/>
      <c r="AD1748" s="269"/>
      <c r="AE1748" s="269"/>
      <c r="AF1748" s="269"/>
      <c r="AG1748" s="269"/>
      <c r="AH1748" s="269"/>
      <c r="AI1748" s="269"/>
      <c r="AJ1748" s="269"/>
      <c r="AK1748" s="269"/>
      <c r="AL1748" s="269"/>
      <c r="AM1748" s="269"/>
    </row>
    <row r="1749" spans="1:39" ht="12.75" customHeight="1" x14ac:dyDescent="0.2">
      <c r="A1749" s="277" t="str">
        <f>IF(B1749="","",COUNT('Diário 5º PA'!$A$5:$A$2634)+COUNT('Diário 6º PA'!$A$5:$A$2246)+ROW()-4)</f>
        <v/>
      </c>
      <c r="B1749" s="278"/>
      <c r="C1749" s="335"/>
      <c r="D1749" s="255"/>
      <c r="E1749" s="255"/>
      <c r="F1749" s="258"/>
      <c r="G1749" s="450"/>
      <c r="H1749" s="255"/>
      <c r="I1749" s="250"/>
      <c r="J1749" s="255"/>
      <c r="K1749" s="255"/>
      <c r="L1749" s="250"/>
      <c r="M1749" s="277"/>
      <c r="N1749" s="277"/>
      <c r="O1749" s="329"/>
      <c r="P1749" s="330">
        <f t="shared" si="259"/>
        <v>0</v>
      </c>
      <c r="Q1749" s="330">
        <f t="shared" si="260"/>
        <v>0</v>
      </c>
      <c r="R1749" s="331" t="str">
        <f t="shared" si="261"/>
        <v/>
      </c>
      <c r="S1749" s="331" t="str">
        <f>IF(D1749="","",IF(OR(D1749=Plano!$A$1,D1749=Plano!$B$1),"entrada","saída"))</f>
        <v/>
      </c>
      <c r="T1749" s="345"/>
      <c r="U1749" s="345"/>
      <c r="V1749" s="269"/>
      <c r="W1749" s="269"/>
      <c r="X1749" s="269"/>
      <c r="Y1749" s="269"/>
      <c r="Z1749" s="269"/>
      <c r="AA1749" s="269"/>
      <c r="AB1749" s="269"/>
      <c r="AC1749" s="269"/>
      <c r="AD1749" s="269"/>
      <c r="AE1749" s="269"/>
      <c r="AF1749" s="269"/>
      <c r="AG1749" s="269"/>
      <c r="AH1749" s="269"/>
      <c r="AI1749" s="269"/>
      <c r="AJ1749" s="269"/>
      <c r="AK1749" s="269"/>
      <c r="AL1749" s="269"/>
      <c r="AM1749" s="269"/>
    </row>
    <row r="1750" spans="1:39" ht="12.75" customHeight="1" x14ac:dyDescent="0.2">
      <c r="A1750" s="277" t="str">
        <f>IF(B1750="","",COUNT('Diário 5º PA'!$A$5:$A$2634)+COUNT('Diário 6º PA'!$A$5:$A$2246)+ROW()-4)</f>
        <v/>
      </c>
      <c r="B1750" s="278"/>
      <c r="C1750" s="335"/>
      <c r="D1750" s="255"/>
      <c r="E1750" s="255"/>
      <c r="F1750" s="258"/>
      <c r="G1750" s="450"/>
      <c r="H1750" s="255"/>
      <c r="I1750" s="250"/>
      <c r="J1750" s="255"/>
      <c r="K1750" s="255"/>
      <c r="L1750" s="250"/>
      <c r="M1750" s="277"/>
      <c r="N1750" s="277"/>
      <c r="O1750" s="329"/>
      <c r="P1750" s="330">
        <f t="shared" si="259"/>
        <v>0</v>
      </c>
      <c r="Q1750" s="330">
        <f t="shared" si="260"/>
        <v>0</v>
      </c>
      <c r="R1750" s="331" t="str">
        <f t="shared" si="261"/>
        <v/>
      </c>
      <c r="S1750" s="331" t="str">
        <f>IF(D1750="","",IF(OR(D1750=Plano!$A$1,D1750=Plano!$B$1),"entrada","saída"))</f>
        <v/>
      </c>
      <c r="T1750" s="345"/>
      <c r="U1750" s="345"/>
      <c r="V1750" s="269"/>
      <c r="W1750" s="269"/>
      <c r="X1750" s="269"/>
      <c r="Y1750" s="269"/>
      <c r="Z1750" s="269"/>
      <c r="AA1750" s="269"/>
      <c r="AB1750" s="269"/>
      <c r="AC1750" s="269"/>
      <c r="AD1750" s="269"/>
      <c r="AE1750" s="269"/>
      <c r="AF1750" s="269"/>
      <c r="AG1750" s="269"/>
      <c r="AH1750" s="269"/>
      <c r="AI1750" s="269"/>
      <c r="AJ1750" s="269"/>
      <c r="AK1750" s="269"/>
      <c r="AL1750" s="269"/>
      <c r="AM1750" s="269"/>
    </row>
    <row r="1751" spans="1:39" ht="12.75" customHeight="1" x14ac:dyDescent="0.2">
      <c r="A1751" s="277" t="str">
        <f>IF(B1751="","",COUNT('Diário 5º PA'!$A$5:$A$2634)+COUNT('Diário 6º PA'!$A$5:$A$2246)+ROW()-4)</f>
        <v/>
      </c>
      <c r="B1751" s="278"/>
      <c r="C1751" s="335"/>
      <c r="D1751" s="255"/>
      <c r="E1751" s="255"/>
      <c r="F1751" s="258"/>
      <c r="G1751" s="450"/>
      <c r="H1751" s="255"/>
      <c r="I1751" s="250"/>
      <c r="J1751" s="255"/>
      <c r="K1751" s="255"/>
      <c r="L1751" s="250"/>
      <c r="M1751" s="277"/>
      <c r="N1751" s="277"/>
      <c r="O1751" s="329"/>
      <c r="P1751" s="330">
        <f t="shared" si="259"/>
        <v>0</v>
      </c>
      <c r="Q1751" s="330">
        <f t="shared" si="260"/>
        <v>0</v>
      </c>
      <c r="R1751" s="331" t="str">
        <f t="shared" si="261"/>
        <v/>
      </c>
      <c r="S1751" s="331" t="str">
        <f>IF(D1751="","",IF(OR(D1751=Plano!$A$1,D1751=Plano!$B$1),"entrada","saída"))</f>
        <v/>
      </c>
      <c r="T1751" s="345"/>
      <c r="U1751" s="345"/>
      <c r="V1751" s="269"/>
      <c r="W1751" s="269"/>
      <c r="X1751" s="269"/>
      <c r="Y1751" s="269"/>
      <c r="Z1751" s="269"/>
      <c r="AA1751" s="269"/>
      <c r="AB1751" s="269"/>
      <c r="AC1751" s="269"/>
      <c r="AD1751" s="269"/>
      <c r="AE1751" s="269"/>
      <c r="AF1751" s="269"/>
      <c r="AG1751" s="269"/>
      <c r="AH1751" s="269"/>
      <c r="AI1751" s="269"/>
      <c r="AJ1751" s="269"/>
      <c r="AK1751" s="269"/>
      <c r="AL1751" s="269"/>
      <c r="AM1751" s="269"/>
    </row>
    <row r="1752" spans="1:39" ht="12.75" customHeight="1" x14ac:dyDescent="0.2">
      <c r="A1752" s="277" t="str">
        <f>IF(B1752="","",COUNT('Diário 5º PA'!$A$5:$A$2634)+COUNT('Diário 6º PA'!$A$5:$A$2246)+ROW()-4)</f>
        <v/>
      </c>
      <c r="B1752" s="278"/>
      <c r="C1752" s="335"/>
      <c r="D1752" s="255"/>
      <c r="E1752" s="255"/>
      <c r="F1752" s="258"/>
      <c r="G1752" s="450"/>
      <c r="H1752" s="255"/>
      <c r="I1752" s="250"/>
      <c r="J1752" s="255"/>
      <c r="K1752" s="255"/>
      <c r="L1752" s="250"/>
      <c r="M1752" s="277"/>
      <c r="N1752" s="277"/>
      <c r="O1752" s="329"/>
      <c r="P1752" s="330">
        <f t="shared" si="259"/>
        <v>0</v>
      </c>
      <c r="Q1752" s="330">
        <f t="shared" si="260"/>
        <v>0</v>
      </c>
      <c r="R1752" s="331" t="str">
        <f t="shared" si="261"/>
        <v/>
      </c>
      <c r="S1752" s="331" t="str">
        <f>IF(D1752="","",IF(OR(D1752=Plano!$A$1,D1752=Plano!$B$1),"entrada","saída"))</f>
        <v/>
      </c>
      <c r="T1752" s="345"/>
      <c r="U1752" s="345"/>
      <c r="V1752" s="269"/>
      <c r="W1752" s="269"/>
      <c r="X1752" s="269"/>
      <c r="Y1752" s="269"/>
      <c r="Z1752" s="269"/>
      <c r="AA1752" s="269"/>
      <c r="AB1752" s="269"/>
      <c r="AC1752" s="269"/>
      <c r="AD1752" s="269"/>
      <c r="AE1752" s="269"/>
      <c r="AF1752" s="269"/>
      <c r="AG1752" s="269"/>
      <c r="AH1752" s="269"/>
      <c r="AI1752" s="269"/>
      <c r="AJ1752" s="269"/>
      <c r="AK1752" s="269"/>
      <c r="AL1752" s="269"/>
      <c r="AM1752" s="269"/>
    </row>
    <row r="1753" spans="1:39" ht="12.75" customHeight="1" x14ac:dyDescent="0.2">
      <c r="A1753" s="277" t="str">
        <f>IF(B1753="","",COUNT('Diário 5º PA'!$A$5:$A$2634)+COUNT('Diário 6º PA'!$A$5:$A$2246)+ROW()-4)</f>
        <v/>
      </c>
      <c r="B1753" s="278"/>
      <c r="C1753" s="335"/>
      <c r="D1753" s="255"/>
      <c r="E1753" s="255"/>
      <c r="F1753" s="258"/>
      <c r="G1753" s="450"/>
      <c r="H1753" s="255"/>
      <c r="I1753" s="250"/>
      <c r="J1753" s="255"/>
      <c r="K1753" s="255"/>
      <c r="L1753" s="250"/>
      <c r="M1753" s="277"/>
      <c r="N1753" s="277"/>
      <c r="O1753" s="329"/>
      <c r="P1753" s="330">
        <f t="shared" si="259"/>
        <v>0</v>
      </c>
      <c r="Q1753" s="330">
        <f t="shared" si="260"/>
        <v>0</v>
      </c>
      <c r="R1753" s="331" t="str">
        <f t="shared" si="261"/>
        <v/>
      </c>
      <c r="S1753" s="331" t="str">
        <f>IF(D1753="","",IF(OR(D1753=Plano!$A$1,D1753=Plano!$B$1),"entrada","saída"))</f>
        <v/>
      </c>
      <c r="T1753" s="345"/>
      <c r="U1753" s="345"/>
      <c r="V1753" s="269"/>
      <c r="W1753" s="269"/>
      <c r="X1753" s="269"/>
      <c r="Y1753" s="269"/>
      <c r="Z1753" s="269"/>
      <c r="AA1753" s="269"/>
      <c r="AB1753" s="269"/>
      <c r="AC1753" s="269"/>
      <c r="AD1753" s="269"/>
      <c r="AE1753" s="269"/>
      <c r="AF1753" s="269"/>
      <c r="AG1753" s="269"/>
      <c r="AH1753" s="269"/>
      <c r="AI1753" s="269"/>
      <c r="AJ1753" s="269"/>
      <c r="AK1753" s="269"/>
      <c r="AL1753" s="269"/>
      <c r="AM1753" s="269"/>
    </row>
    <row r="1754" spans="1:39" ht="12.75" customHeight="1" x14ac:dyDescent="0.2">
      <c r="A1754" s="277" t="str">
        <f>IF(B1754="","",COUNT('Diário 5º PA'!$A$5:$A$2634)+COUNT('Diário 6º PA'!$A$5:$A$2246)+ROW()-4)</f>
        <v/>
      </c>
      <c r="B1754" s="278"/>
      <c r="C1754" s="335"/>
      <c r="D1754" s="255"/>
      <c r="E1754" s="255"/>
      <c r="F1754" s="258"/>
      <c r="G1754" s="450"/>
      <c r="H1754" s="255"/>
      <c r="I1754" s="250"/>
      <c r="J1754" s="255"/>
      <c r="K1754" s="255"/>
      <c r="L1754" s="250"/>
      <c r="M1754" s="277"/>
      <c r="N1754" s="277"/>
      <c r="O1754" s="329"/>
      <c r="P1754" s="330">
        <f t="shared" si="259"/>
        <v>0</v>
      </c>
      <c r="Q1754" s="330">
        <f t="shared" si="260"/>
        <v>0</v>
      </c>
      <c r="R1754" s="331" t="str">
        <f t="shared" si="261"/>
        <v/>
      </c>
      <c r="S1754" s="331" t="str">
        <f>IF(D1754="","",IF(OR(D1754=Plano!$A$1,D1754=Plano!$B$1),"entrada","saída"))</f>
        <v/>
      </c>
      <c r="T1754" s="345"/>
      <c r="U1754" s="345"/>
      <c r="V1754" s="269"/>
      <c r="W1754" s="269"/>
      <c r="X1754" s="269"/>
      <c r="Y1754" s="269"/>
      <c r="Z1754" s="269"/>
      <c r="AA1754" s="269"/>
      <c r="AB1754" s="269"/>
      <c r="AC1754" s="269"/>
      <c r="AD1754" s="269"/>
      <c r="AE1754" s="269"/>
      <c r="AF1754" s="269"/>
      <c r="AG1754" s="269"/>
      <c r="AH1754" s="269"/>
      <c r="AI1754" s="269"/>
      <c r="AJ1754" s="269"/>
      <c r="AK1754" s="269"/>
      <c r="AL1754" s="269"/>
      <c r="AM1754" s="269"/>
    </row>
    <row r="1755" spans="1:39" ht="12.75" customHeight="1" x14ac:dyDescent="0.2">
      <c r="A1755" s="277" t="str">
        <f>IF(B1755="","",COUNT('Diário 5º PA'!$A$5:$A$2634)+COUNT('Diário 6º PA'!$A$5:$A$2246)+ROW()-4)</f>
        <v/>
      </c>
      <c r="B1755" s="278"/>
      <c r="C1755" s="335"/>
      <c r="D1755" s="255"/>
      <c r="E1755" s="255"/>
      <c r="F1755" s="258"/>
      <c r="G1755" s="450"/>
      <c r="H1755" s="255"/>
      <c r="I1755" s="250"/>
      <c r="J1755" s="255"/>
      <c r="K1755" s="255"/>
      <c r="L1755" s="250"/>
      <c r="M1755" s="277"/>
      <c r="N1755" s="277"/>
      <c r="O1755" s="329"/>
      <c r="P1755" s="330">
        <f t="shared" si="259"/>
        <v>0</v>
      </c>
      <c r="Q1755" s="330">
        <f t="shared" si="260"/>
        <v>0</v>
      </c>
      <c r="R1755" s="331" t="str">
        <f t="shared" si="261"/>
        <v/>
      </c>
      <c r="S1755" s="331" t="str">
        <f>IF(D1755="","",IF(OR(D1755=Plano!$A$1,D1755=Plano!$B$1),"entrada","saída"))</f>
        <v/>
      </c>
      <c r="T1755" s="345"/>
      <c r="U1755" s="345"/>
      <c r="V1755" s="269"/>
      <c r="W1755" s="269"/>
      <c r="X1755" s="269"/>
      <c r="Y1755" s="269"/>
      <c r="Z1755" s="269"/>
      <c r="AA1755" s="269"/>
      <c r="AB1755" s="269"/>
      <c r="AC1755" s="269"/>
      <c r="AD1755" s="269"/>
      <c r="AE1755" s="269"/>
      <c r="AF1755" s="269"/>
      <c r="AG1755" s="269"/>
      <c r="AH1755" s="269"/>
      <c r="AI1755" s="269"/>
      <c r="AJ1755" s="269"/>
      <c r="AK1755" s="269"/>
      <c r="AL1755" s="269"/>
      <c r="AM1755" s="269"/>
    </row>
    <row r="1756" spans="1:39" ht="12.75" customHeight="1" x14ac:dyDescent="0.2">
      <c r="A1756" s="277" t="str">
        <f>IF(B1756="","",COUNT('Diário 5º PA'!$A$5:$A$2634)+COUNT('Diário 6º PA'!$A$5:$A$2246)+ROW()-4)</f>
        <v/>
      </c>
      <c r="B1756" s="278"/>
      <c r="C1756" s="335"/>
      <c r="D1756" s="255"/>
      <c r="E1756" s="255"/>
      <c r="F1756" s="258"/>
      <c r="G1756" s="450"/>
      <c r="H1756" s="255"/>
      <c r="I1756" s="250"/>
      <c r="J1756" s="255"/>
      <c r="K1756" s="255"/>
      <c r="L1756" s="250"/>
      <c r="M1756" s="277"/>
      <c r="N1756" s="277"/>
      <c r="O1756" s="329"/>
      <c r="P1756" s="330">
        <f t="shared" si="259"/>
        <v>0</v>
      </c>
      <c r="Q1756" s="330">
        <f t="shared" si="260"/>
        <v>0</v>
      </c>
      <c r="R1756" s="331" t="str">
        <f t="shared" si="261"/>
        <v/>
      </c>
      <c r="S1756" s="331" t="str">
        <f>IF(D1756="","",IF(OR(D1756=Plano!$A$1,D1756=Plano!$B$1),"entrada","saída"))</f>
        <v/>
      </c>
      <c r="T1756" s="345"/>
      <c r="U1756" s="345"/>
      <c r="V1756" s="269"/>
      <c r="W1756" s="269"/>
      <c r="X1756" s="269"/>
      <c r="Y1756" s="269"/>
      <c r="Z1756" s="269"/>
      <c r="AA1756" s="269"/>
      <c r="AB1756" s="269"/>
      <c r="AC1756" s="269"/>
      <c r="AD1756" s="269"/>
      <c r="AE1756" s="269"/>
      <c r="AF1756" s="269"/>
      <c r="AG1756" s="269"/>
      <c r="AH1756" s="269"/>
      <c r="AI1756" s="269"/>
      <c r="AJ1756" s="269"/>
      <c r="AK1756" s="269"/>
      <c r="AL1756" s="269"/>
      <c r="AM1756" s="269"/>
    </row>
    <row r="1757" spans="1:39" ht="12.75" customHeight="1" x14ac:dyDescent="0.2">
      <c r="A1757" s="277" t="str">
        <f>IF(B1757="","",COUNT('Diário 5º PA'!$A$5:$A$2634)+COUNT('Diário 6º PA'!$A$5:$A$2246)+ROW()-4)</f>
        <v/>
      </c>
      <c r="B1757" s="278"/>
      <c r="C1757" s="335"/>
      <c r="D1757" s="255"/>
      <c r="E1757" s="255"/>
      <c r="F1757" s="258"/>
      <c r="G1757" s="450"/>
      <c r="H1757" s="255"/>
      <c r="I1757" s="250"/>
      <c r="J1757" s="255"/>
      <c r="K1757" s="255"/>
      <c r="L1757" s="250"/>
      <c r="M1757" s="277"/>
      <c r="N1757" s="277"/>
      <c r="O1757" s="329"/>
      <c r="P1757" s="330">
        <f t="shared" si="259"/>
        <v>0</v>
      </c>
      <c r="Q1757" s="330">
        <f t="shared" si="260"/>
        <v>0</v>
      </c>
      <c r="R1757" s="331" t="str">
        <f t="shared" si="261"/>
        <v/>
      </c>
      <c r="S1757" s="331" t="str">
        <f>IF(D1757="","",IF(OR(D1757=Plano!$A$1,D1757=Plano!$B$1),"entrada","saída"))</f>
        <v/>
      </c>
      <c r="T1757" s="345"/>
      <c r="U1757" s="345"/>
      <c r="V1757" s="269"/>
      <c r="W1757" s="269"/>
      <c r="X1757" s="269"/>
      <c r="Y1757" s="269"/>
      <c r="Z1757" s="269"/>
      <c r="AA1757" s="269"/>
      <c r="AB1757" s="269"/>
      <c r="AC1757" s="269"/>
      <c r="AD1757" s="269"/>
      <c r="AE1757" s="269"/>
      <c r="AF1757" s="269"/>
      <c r="AG1757" s="269"/>
      <c r="AH1757" s="269"/>
      <c r="AI1757" s="269"/>
      <c r="AJ1757" s="269"/>
      <c r="AK1757" s="269"/>
      <c r="AL1757" s="269"/>
      <c r="AM1757" s="269"/>
    </row>
    <row r="1758" spans="1:39" ht="12.75" customHeight="1" x14ac:dyDescent="0.2">
      <c r="A1758" s="277" t="str">
        <f>IF(B1758="","",COUNT('Diário 5º PA'!$A$5:$A$2634)+COUNT('Diário 6º PA'!$A$5:$A$2246)+ROW()-4)</f>
        <v/>
      </c>
      <c r="B1758" s="278"/>
      <c r="C1758" s="335"/>
      <c r="D1758" s="255"/>
      <c r="E1758" s="255"/>
      <c r="F1758" s="258"/>
      <c r="G1758" s="450"/>
      <c r="H1758" s="255"/>
      <c r="I1758" s="250"/>
      <c r="J1758" s="255"/>
      <c r="K1758" s="255"/>
      <c r="L1758" s="250"/>
      <c r="M1758" s="277"/>
      <c r="N1758" s="277"/>
      <c r="O1758" s="329"/>
      <c r="P1758" s="330">
        <f t="shared" si="259"/>
        <v>0</v>
      </c>
      <c r="Q1758" s="330">
        <f t="shared" si="260"/>
        <v>0</v>
      </c>
      <c r="R1758" s="331" t="str">
        <f t="shared" si="261"/>
        <v/>
      </c>
      <c r="S1758" s="331" t="str">
        <f>IF(D1758="","",IF(OR(D1758=Plano!$A$1,D1758=Plano!$B$1),"entrada","saída"))</f>
        <v/>
      </c>
      <c r="T1758" s="345"/>
      <c r="U1758" s="345"/>
      <c r="V1758" s="269"/>
      <c r="W1758" s="269"/>
      <c r="X1758" s="269"/>
      <c r="Y1758" s="269"/>
      <c r="Z1758" s="269"/>
      <c r="AA1758" s="269"/>
      <c r="AB1758" s="269"/>
      <c r="AC1758" s="269"/>
      <c r="AD1758" s="269"/>
      <c r="AE1758" s="269"/>
      <c r="AF1758" s="269"/>
      <c r="AG1758" s="269"/>
      <c r="AH1758" s="269"/>
      <c r="AI1758" s="269"/>
      <c r="AJ1758" s="269"/>
      <c r="AK1758" s="269"/>
      <c r="AL1758" s="269"/>
      <c r="AM1758" s="269"/>
    </row>
    <row r="1759" spans="1:39" ht="12.75" customHeight="1" x14ac:dyDescent="0.2">
      <c r="A1759" s="277" t="str">
        <f>IF(B1759="","",COUNT('Diário 5º PA'!$A$5:$A$2634)+COUNT('Diário 6º PA'!$A$5:$A$2246)+ROW()-4)</f>
        <v/>
      </c>
      <c r="B1759" s="278"/>
      <c r="C1759" s="335"/>
      <c r="D1759" s="255"/>
      <c r="E1759" s="255"/>
      <c r="F1759" s="258"/>
      <c r="G1759" s="450"/>
      <c r="H1759" s="255"/>
      <c r="I1759" s="250"/>
      <c r="J1759" s="255"/>
      <c r="K1759" s="255"/>
      <c r="L1759" s="250"/>
      <c r="M1759" s="277"/>
      <c r="N1759" s="277"/>
      <c r="O1759" s="329"/>
      <c r="P1759" s="330">
        <f t="shared" si="259"/>
        <v>0</v>
      </c>
      <c r="Q1759" s="330">
        <f t="shared" si="260"/>
        <v>0</v>
      </c>
      <c r="R1759" s="331" t="str">
        <f t="shared" si="261"/>
        <v/>
      </c>
      <c r="S1759" s="331" t="str">
        <f>IF(D1759="","",IF(OR(D1759=Plano!$A$1,D1759=Plano!$B$1),"entrada","saída"))</f>
        <v/>
      </c>
      <c r="T1759" s="345"/>
      <c r="U1759" s="345"/>
      <c r="V1759" s="269"/>
      <c r="W1759" s="269"/>
      <c r="X1759" s="269"/>
      <c r="Y1759" s="269"/>
      <c r="Z1759" s="269"/>
      <c r="AA1759" s="269"/>
      <c r="AB1759" s="269"/>
      <c r="AC1759" s="269"/>
      <c r="AD1759" s="269"/>
      <c r="AE1759" s="269"/>
      <c r="AF1759" s="269"/>
      <c r="AG1759" s="269"/>
      <c r="AH1759" s="269"/>
      <c r="AI1759" s="269"/>
      <c r="AJ1759" s="269"/>
      <c r="AK1759" s="269"/>
      <c r="AL1759" s="269"/>
      <c r="AM1759" s="269"/>
    </row>
    <row r="1760" spans="1:39" ht="12.75" customHeight="1" x14ac:dyDescent="0.2">
      <c r="A1760" s="277" t="str">
        <f>IF(B1760="","",COUNT('Diário 5º PA'!$A$5:$A$2634)+COUNT('Diário 6º PA'!$A$5:$A$2246)+ROW()-4)</f>
        <v/>
      </c>
      <c r="B1760" s="278"/>
      <c r="C1760" s="335"/>
      <c r="D1760" s="255"/>
      <c r="E1760" s="255"/>
      <c r="F1760" s="258"/>
      <c r="G1760" s="450"/>
      <c r="H1760" s="255"/>
      <c r="I1760" s="250"/>
      <c r="J1760" s="255"/>
      <c r="K1760" s="255"/>
      <c r="L1760" s="250"/>
      <c r="M1760" s="277"/>
      <c r="N1760" s="277"/>
      <c r="O1760" s="329"/>
      <c r="P1760" s="330">
        <f t="shared" si="259"/>
        <v>0</v>
      </c>
      <c r="Q1760" s="330">
        <f t="shared" si="260"/>
        <v>0</v>
      </c>
      <c r="R1760" s="331" t="str">
        <f t="shared" si="261"/>
        <v/>
      </c>
      <c r="S1760" s="331" t="str">
        <f>IF(D1760="","",IF(OR(D1760=Plano!$A$1,D1760=Plano!$B$1),"entrada","saída"))</f>
        <v/>
      </c>
      <c r="T1760" s="345"/>
      <c r="U1760" s="345"/>
      <c r="V1760" s="269"/>
      <c r="W1760" s="269"/>
      <c r="X1760" s="269"/>
      <c r="Y1760" s="269"/>
      <c r="Z1760" s="269"/>
      <c r="AA1760" s="269"/>
      <c r="AB1760" s="269"/>
      <c r="AC1760" s="269"/>
      <c r="AD1760" s="269"/>
      <c r="AE1760" s="269"/>
      <c r="AF1760" s="269"/>
      <c r="AG1760" s="269"/>
      <c r="AH1760" s="269"/>
      <c r="AI1760" s="269"/>
      <c r="AJ1760" s="269"/>
      <c r="AK1760" s="269"/>
      <c r="AL1760" s="269"/>
      <c r="AM1760" s="269"/>
    </row>
    <row r="1761" spans="1:39" ht="12.75" customHeight="1" x14ac:dyDescent="0.2">
      <c r="A1761" s="277" t="str">
        <f>IF(B1761="","",COUNT('Diário 5º PA'!$A$5:$A$2634)+COUNT('Diário 6º PA'!$A$5:$A$2246)+ROW()-4)</f>
        <v/>
      </c>
      <c r="B1761" s="278"/>
      <c r="C1761" s="335"/>
      <c r="D1761" s="255"/>
      <c r="E1761" s="255"/>
      <c r="F1761" s="258"/>
      <c r="G1761" s="450"/>
      <c r="H1761" s="255"/>
      <c r="I1761" s="250"/>
      <c r="J1761" s="255"/>
      <c r="K1761" s="255"/>
      <c r="L1761" s="250"/>
      <c r="M1761" s="277"/>
      <c r="N1761" s="277"/>
      <c r="O1761" s="329"/>
      <c r="P1761" s="330">
        <f t="shared" si="259"/>
        <v>0</v>
      </c>
      <c r="Q1761" s="330">
        <f t="shared" si="260"/>
        <v>0</v>
      </c>
      <c r="R1761" s="331" t="str">
        <f t="shared" si="261"/>
        <v/>
      </c>
      <c r="S1761" s="331" t="str">
        <f>IF(D1761="","",IF(OR(D1761=Plano!$A$1,D1761=Plano!$B$1),"entrada","saída"))</f>
        <v/>
      </c>
      <c r="T1761" s="345"/>
      <c r="U1761" s="345"/>
      <c r="V1761" s="269"/>
      <c r="W1761" s="269"/>
      <c r="X1761" s="269"/>
      <c r="Y1761" s="269"/>
      <c r="Z1761" s="269"/>
      <c r="AA1761" s="269"/>
      <c r="AB1761" s="269"/>
      <c r="AC1761" s="269"/>
      <c r="AD1761" s="269"/>
      <c r="AE1761" s="269"/>
      <c r="AF1761" s="269"/>
      <c r="AG1761" s="269"/>
      <c r="AH1761" s="269"/>
      <c r="AI1761" s="269"/>
      <c r="AJ1761" s="269"/>
      <c r="AK1761" s="269"/>
      <c r="AL1761" s="269"/>
      <c r="AM1761" s="269"/>
    </row>
    <row r="1762" spans="1:39" ht="12.75" customHeight="1" x14ac:dyDescent="0.2">
      <c r="A1762" s="277" t="str">
        <f>IF(B1762="","",COUNT('Diário 5º PA'!$A$5:$A$2634)+COUNT('Diário 6º PA'!$A$5:$A$2246)+ROW()-4)</f>
        <v/>
      </c>
      <c r="B1762" s="278"/>
      <c r="C1762" s="335"/>
      <c r="D1762" s="255"/>
      <c r="E1762" s="255"/>
      <c r="F1762" s="258"/>
      <c r="G1762" s="450"/>
      <c r="H1762" s="255"/>
      <c r="I1762" s="250"/>
      <c r="J1762" s="255"/>
      <c r="K1762" s="255"/>
      <c r="L1762" s="250"/>
      <c r="M1762" s="277"/>
      <c r="N1762" s="277"/>
      <c r="O1762" s="329"/>
      <c r="P1762" s="330">
        <f t="shared" si="259"/>
        <v>0</v>
      </c>
      <c r="Q1762" s="330">
        <f t="shared" si="260"/>
        <v>0</v>
      </c>
      <c r="R1762" s="331" t="str">
        <f t="shared" si="261"/>
        <v/>
      </c>
      <c r="S1762" s="331" t="str">
        <f>IF(D1762="","",IF(OR(D1762=Plano!$A$1,D1762=Plano!$B$1),"entrada","saída"))</f>
        <v/>
      </c>
      <c r="T1762" s="345"/>
      <c r="U1762" s="345"/>
      <c r="V1762" s="269"/>
      <c r="W1762" s="269"/>
      <c r="X1762" s="269"/>
      <c r="Y1762" s="269"/>
      <c r="Z1762" s="269"/>
      <c r="AA1762" s="269"/>
      <c r="AB1762" s="269"/>
      <c r="AC1762" s="269"/>
      <c r="AD1762" s="269"/>
      <c r="AE1762" s="269"/>
      <c r="AF1762" s="269"/>
      <c r="AG1762" s="269"/>
      <c r="AH1762" s="269"/>
      <c r="AI1762" s="269"/>
      <c r="AJ1762" s="269"/>
      <c r="AK1762" s="269"/>
      <c r="AL1762" s="269"/>
      <c r="AM1762" s="269"/>
    </row>
    <row r="1763" spans="1:39" ht="12.75" customHeight="1" x14ac:dyDescent="0.2">
      <c r="A1763" s="277" t="str">
        <f>IF(B1763="","",COUNT('Diário 5º PA'!$A$5:$A$2634)+COUNT('Diário 6º PA'!$A$5:$A$2246)+ROW()-4)</f>
        <v/>
      </c>
      <c r="B1763" s="278"/>
      <c r="C1763" s="335"/>
      <c r="D1763" s="255"/>
      <c r="E1763" s="255"/>
      <c r="F1763" s="258"/>
      <c r="G1763" s="450"/>
      <c r="H1763" s="255"/>
      <c r="I1763" s="250"/>
      <c r="J1763" s="255"/>
      <c r="K1763" s="255"/>
      <c r="L1763" s="250"/>
      <c r="M1763" s="277"/>
      <c r="N1763" s="277"/>
      <c r="O1763" s="329"/>
      <c r="P1763" s="330">
        <f t="shared" si="259"/>
        <v>0</v>
      </c>
      <c r="Q1763" s="330">
        <f t="shared" si="260"/>
        <v>0</v>
      </c>
      <c r="R1763" s="331" t="str">
        <f t="shared" si="261"/>
        <v/>
      </c>
      <c r="S1763" s="331" t="str">
        <f>IF(D1763="","",IF(OR(D1763=Plano!$A$1,D1763=Plano!$B$1),"entrada","saída"))</f>
        <v/>
      </c>
      <c r="T1763" s="345"/>
      <c r="U1763" s="345"/>
      <c r="V1763" s="269"/>
      <c r="W1763" s="269"/>
      <c r="X1763" s="269"/>
      <c r="Y1763" s="269"/>
      <c r="Z1763" s="269"/>
      <c r="AA1763" s="269"/>
      <c r="AB1763" s="269"/>
      <c r="AC1763" s="269"/>
      <c r="AD1763" s="269"/>
      <c r="AE1763" s="269"/>
      <c r="AF1763" s="269"/>
      <c r="AG1763" s="269"/>
      <c r="AH1763" s="269"/>
      <c r="AI1763" s="269"/>
      <c r="AJ1763" s="269"/>
      <c r="AK1763" s="269"/>
      <c r="AL1763" s="269"/>
      <c r="AM1763" s="269"/>
    </row>
    <row r="1764" spans="1:39" ht="12.75" customHeight="1" x14ac:dyDescent="0.2">
      <c r="A1764" s="277" t="str">
        <f>IF(B1764="","",COUNT('Diário 5º PA'!$A$5:$A$2634)+COUNT('Diário 6º PA'!$A$5:$A$2246)+ROW()-4)</f>
        <v/>
      </c>
      <c r="B1764" s="278"/>
      <c r="C1764" s="335"/>
      <c r="D1764" s="255"/>
      <c r="E1764" s="255"/>
      <c r="F1764" s="258"/>
      <c r="G1764" s="450"/>
      <c r="H1764" s="255"/>
      <c r="I1764" s="250"/>
      <c r="J1764" s="255"/>
      <c r="K1764" s="255"/>
      <c r="L1764" s="250"/>
      <c r="M1764" s="277"/>
      <c r="N1764" s="277"/>
      <c r="O1764" s="329"/>
      <c r="P1764" s="330">
        <f t="shared" si="259"/>
        <v>0</v>
      </c>
      <c r="Q1764" s="330">
        <f t="shared" si="260"/>
        <v>0</v>
      </c>
      <c r="R1764" s="331" t="str">
        <f t="shared" si="261"/>
        <v/>
      </c>
      <c r="S1764" s="331" t="str">
        <f>IF(D1764="","",IF(OR(D1764=Plano!$A$1,D1764=Plano!$B$1),"entrada","saída"))</f>
        <v/>
      </c>
      <c r="T1764" s="345"/>
      <c r="U1764" s="345"/>
      <c r="V1764" s="269"/>
      <c r="W1764" s="269"/>
      <c r="X1764" s="269"/>
      <c r="Y1764" s="269"/>
      <c r="Z1764" s="269"/>
      <c r="AA1764" s="269"/>
      <c r="AB1764" s="269"/>
      <c r="AC1764" s="269"/>
      <c r="AD1764" s="269"/>
      <c r="AE1764" s="269"/>
      <c r="AF1764" s="269"/>
      <c r="AG1764" s="269"/>
      <c r="AH1764" s="269"/>
      <c r="AI1764" s="269"/>
      <c r="AJ1764" s="269"/>
      <c r="AK1764" s="269"/>
      <c r="AL1764" s="269"/>
      <c r="AM1764" s="269"/>
    </row>
    <row r="1765" spans="1:39" ht="12.75" customHeight="1" x14ac:dyDescent="0.2">
      <c r="A1765" s="277" t="str">
        <f>IF(B1765="","",COUNT('Diário 5º PA'!$A$5:$A$2634)+COUNT('Diário 6º PA'!$A$5:$A$2246)+ROW()-4)</f>
        <v/>
      </c>
      <c r="B1765" s="278"/>
      <c r="C1765" s="335"/>
      <c r="D1765" s="255"/>
      <c r="E1765" s="255"/>
      <c r="F1765" s="258"/>
      <c r="G1765" s="450"/>
      <c r="H1765" s="255"/>
      <c r="I1765" s="250"/>
      <c r="J1765" s="255"/>
      <c r="K1765" s="255"/>
      <c r="L1765" s="250"/>
      <c r="M1765" s="277"/>
      <c r="N1765" s="277"/>
      <c r="O1765" s="329"/>
      <c r="P1765" s="330">
        <f t="shared" si="259"/>
        <v>0</v>
      </c>
      <c r="Q1765" s="330">
        <f t="shared" si="260"/>
        <v>0</v>
      </c>
      <c r="R1765" s="331" t="str">
        <f t="shared" si="261"/>
        <v/>
      </c>
      <c r="S1765" s="331" t="str">
        <f>IF(D1765="","",IF(OR(D1765=Plano!$A$1,D1765=Plano!$B$1),"entrada","saída"))</f>
        <v/>
      </c>
      <c r="T1765" s="345"/>
      <c r="U1765" s="345"/>
      <c r="V1765" s="269"/>
      <c r="W1765" s="269"/>
      <c r="X1765" s="269"/>
      <c r="Y1765" s="269"/>
      <c r="Z1765" s="269"/>
      <c r="AA1765" s="269"/>
      <c r="AB1765" s="269"/>
      <c r="AC1765" s="269"/>
      <c r="AD1765" s="269"/>
      <c r="AE1765" s="269"/>
      <c r="AF1765" s="269"/>
      <c r="AG1765" s="269"/>
      <c r="AH1765" s="269"/>
      <c r="AI1765" s="269"/>
      <c r="AJ1765" s="269"/>
      <c r="AK1765" s="269"/>
      <c r="AL1765" s="269"/>
      <c r="AM1765" s="269"/>
    </row>
    <row r="1766" spans="1:39" ht="12.75" customHeight="1" x14ac:dyDescent="0.2">
      <c r="A1766" s="277" t="str">
        <f>IF(B1766="","",COUNT('Diário 5º PA'!$A$5:$A$2634)+COUNT('Diário 6º PA'!$A$5:$A$2246)+ROW()-4)</f>
        <v/>
      </c>
      <c r="B1766" s="278"/>
      <c r="C1766" s="335"/>
      <c r="D1766" s="255"/>
      <c r="E1766" s="255"/>
      <c r="F1766" s="258"/>
      <c r="G1766" s="450"/>
      <c r="H1766" s="255"/>
      <c r="I1766" s="250"/>
      <c r="J1766" s="255"/>
      <c r="K1766" s="255"/>
      <c r="L1766" s="250"/>
      <c r="M1766" s="277"/>
      <c r="N1766" s="277"/>
      <c r="O1766" s="329"/>
      <c r="P1766" s="330">
        <f t="shared" si="259"/>
        <v>0</v>
      </c>
      <c r="Q1766" s="330">
        <f t="shared" si="260"/>
        <v>0</v>
      </c>
      <c r="R1766" s="331" t="str">
        <f t="shared" si="261"/>
        <v/>
      </c>
      <c r="S1766" s="331" t="str">
        <f>IF(D1766="","",IF(OR(D1766=Plano!$A$1,D1766=Plano!$B$1),"entrada","saída"))</f>
        <v/>
      </c>
      <c r="T1766" s="345"/>
      <c r="U1766" s="345"/>
      <c r="V1766" s="269"/>
      <c r="W1766" s="269"/>
      <c r="X1766" s="269"/>
      <c r="Y1766" s="269"/>
      <c r="Z1766" s="269"/>
      <c r="AA1766" s="269"/>
      <c r="AB1766" s="269"/>
      <c r="AC1766" s="269"/>
      <c r="AD1766" s="269"/>
      <c r="AE1766" s="269"/>
      <c r="AF1766" s="269"/>
      <c r="AG1766" s="269"/>
      <c r="AH1766" s="269"/>
      <c r="AI1766" s="269"/>
      <c r="AJ1766" s="269"/>
      <c r="AK1766" s="269"/>
      <c r="AL1766" s="269"/>
      <c r="AM1766" s="269"/>
    </row>
    <row r="1767" spans="1:39" ht="12.75" customHeight="1" x14ac:dyDescent="0.2">
      <c r="A1767" s="277" t="str">
        <f>IF(B1767="","",COUNT('Diário 5º PA'!$A$5:$A$2634)+COUNT('Diário 6º PA'!$A$5:$A$2246)+ROW()-4)</f>
        <v/>
      </c>
      <c r="B1767" s="278"/>
      <c r="C1767" s="335"/>
      <c r="D1767" s="255"/>
      <c r="E1767" s="255"/>
      <c r="F1767" s="258"/>
      <c r="G1767" s="450"/>
      <c r="H1767" s="255"/>
      <c r="I1767" s="250"/>
      <c r="J1767" s="255"/>
      <c r="K1767" s="255"/>
      <c r="L1767" s="250"/>
      <c r="M1767" s="277"/>
      <c r="N1767" s="277"/>
      <c r="O1767" s="329"/>
      <c r="P1767" s="330">
        <f t="shared" si="259"/>
        <v>0</v>
      </c>
      <c r="Q1767" s="330">
        <f t="shared" si="260"/>
        <v>0</v>
      </c>
      <c r="R1767" s="331" t="str">
        <f t="shared" si="261"/>
        <v/>
      </c>
      <c r="S1767" s="331" t="str">
        <f>IF(D1767="","",IF(OR(D1767=Plano!$A$1,D1767=Plano!$B$1),"entrada","saída"))</f>
        <v/>
      </c>
      <c r="T1767" s="345"/>
      <c r="U1767" s="345"/>
      <c r="V1767" s="269"/>
      <c r="W1767" s="269"/>
      <c r="X1767" s="269"/>
      <c r="Y1767" s="269"/>
      <c r="Z1767" s="269"/>
      <c r="AA1767" s="269"/>
      <c r="AB1767" s="269"/>
      <c r="AC1767" s="269"/>
      <c r="AD1767" s="269"/>
      <c r="AE1767" s="269"/>
      <c r="AF1767" s="269"/>
      <c r="AG1767" s="269"/>
      <c r="AH1767" s="269"/>
      <c r="AI1767" s="269"/>
      <c r="AJ1767" s="269"/>
      <c r="AK1767" s="269"/>
      <c r="AL1767" s="269"/>
      <c r="AM1767" s="269"/>
    </row>
    <row r="1768" spans="1:39" ht="12.75" customHeight="1" x14ac:dyDescent="0.2">
      <c r="A1768" s="277" t="str">
        <f>IF(B1768="","",COUNT('Diário 5º PA'!$A$5:$A$2634)+COUNT('Diário 6º PA'!$A$5:$A$2246)+ROW()-4)</f>
        <v/>
      </c>
      <c r="B1768" s="278"/>
      <c r="C1768" s="335"/>
      <c r="D1768" s="255"/>
      <c r="E1768" s="255"/>
      <c r="F1768" s="258"/>
      <c r="G1768" s="450"/>
      <c r="H1768" s="255"/>
      <c r="I1768" s="250"/>
      <c r="J1768" s="255"/>
      <c r="K1768" s="255"/>
      <c r="L1768" s="250"/>
      <c r="M1768" s="277"/>
      <c r="N1768" s="277"/>
      <c r="O1768" s="329"/>
      <c r="P1768" s="330">
        <f t="shared" si="259"/>
        <v>0</v>
      </c>
      <c r="Q1768" s="330">
        <f t="shared" si="260"/>
        <v>0</v>
      </c>
      <c r="R1768" s="331" t="str">
        <f t="shared" si="261"/>
        <v/>
      </c>
      <c r="S1768" s="331" t="str">
        <f>IF(D1768="","",IF(OR(D1768=Plano!$A$1,D1768=Plano!$B$1),"entrada","saída"))</f>
        <v/>
      </c>
      <c r="T1768" s="345"/>
      <c r="U1768" s="345"/>
      <c r="V1768" s="269"/>
      <c r="W1768" s="269"/>
      <c r="X1768" s="269"/>
      <c r="Y1768" s="269"/>
      <c r="Z1768" s="269"/>
      <c r="AA1768" s="269"/>
      <c r="AB1768" s="269"/>
      <c r="AC1768" s="269"/>
      <c r="AD1768" s="269"/>
      <c r="AE1768" s="269"/>
      <c r="AF1768" s="269"/>
      <c r="AG1768" s="269"/>
      <c r="AH1768" s="269"/>
      <c r="AI1768" s="269"/>
      <c r="AJ1768" s="269"/>
      <c r="AK1768" s="269"/>
      <c r="AL1768" s="269"/>
      <c r="AM1768" s="269"/>
    </row>
    <row r="1769" spans="1:39" ht="12.75" customHeight="1" x14ac:dyDescent="0.2">
      <c r="A1769" s="277" t="str">
        <f>IF(B1769="","",COUNT('Diário 5º PA'!$A$5:$A$2634)+COUNT('Diário 6º PA'!$A$5:$A$2246)+ROW()-4)</f>
        <v/>
      </c>
      <c r="B1769" s="278"/>
      <c r="C1769" s="335"/>
      <c r="D1769" s="255"/>
      <c r="E1769" s="255"/>
      <c r="F1769" s="258"/>
      <c r="G1769" s="450"/>
      <c r="H1769" s="255"/>
      <c r="I1769" s="250"/>
      <c r="J1769" s="255"/>
      <c r="K1769" s="255"/>
      <c r="L1769" s="250"/>
      <c r="M1769" s="277"/>
      <c r="N1769" s="277"/>
      <c r="O1769" s="329"/>
      <c r="P1769" s="330">
        <f t="shared" si="259"/>
        <v>0</v>
      </c>
      <c r="Q1769" s="330">
        <f t="shared" si="260"/>
        <v>0</v>
      </c>
      <c r="R1769" s="331" t="str">
        <f t="shared" si="261"/>
        <v/>
      </c>
      <c r="S1769" s="331" t="str">
        <f>IF(D1769="","",IF(OR(D1769=Plano!$A$1,D1769=Plano!$B$1),"entrada","saída"))</f>
        <v/>
      </c>
      <c r="T1769" s="345"/>
      <c r="U1769" s="345"/>
      <c r="V1769" s="269"/>
      <c r="W1769" s="269"/>
      <c r="X1769" s="269"/>
      <c r="Y1769" s="269"/>
      <c r="Z1769" s="269"/>
      <c r="AA1769" s="269"/>
      <c r="AB1769" s="269"/>
      <c r="AC1769" s="269"/>
      <c r="AD1769" s="269"/>
      <c r="AE1769" s="269"/>
      <c r="AF1769" s="269"/>
      <c r="AG1769" s="269"/>
      <c r="AH1769" s="269"/>
      <c r="AI1769" s="269"/>
      <c r="AJ1769" s="269"/>
      <c r="AK1769" s="269"/>
      <c r="AL1769" s="269"/>
      <c r="AM1769" s="269"/>
    </row>
    <row r="1770" spans="1:39" ht="12.75" customHeight="1" x14ac:dyDescent="0.2">
      <c r="A1770" s="277" t="str">
        <f>IF(B1770="","",COUNT('Diário 5º PA'!$A$5:$A$2634)+COUNT('Diário 6º PA'!$A$5:$A$2246)+ROW()-4)</f>
        <v/>
      </c>
      <c r="B1770" s="278"/>
      <c r="C1770" s="335"/>
      <c r="D1770" s="255"/>
      <c r="E1770" s="255"/>
      <c r="F1770" s="258"/>
      <c r="G1770" s="450"/>
      <c r="H1770" s="255"/>
      <c r="I1770" s="250"/>
      <c r="J1770" s="255"/>
      <c r="K1770" s="255"/>
      <c r="L1770" s="250"/>
      <c r="M1770" s="277"/>
      <c r="N1770" s="277"/>
      <c r="O1770" s="329"/>
      <c r="P1770" s="330">
        <f t="shared" si="259"/>
        <v>0</v>
      </c>
      <c r="Q1770" s="330">
        <f t="shared" si="260"/>
        <v>0</v>
      </c>
      <c r="R1770" s="331" t="str">
        <f t="shared" si="261"/>
        <v/>
      </c>
      <c r="S1770" s="331" t="str">
        <f>IF(D1770="","",IF(OR(D1770=Plano!$A$1,D1770=Plano!$B$1),"entrada","saída"))</f>
        <v/>
      </c>
      <c r="T1770" s="345"/>
      <c r="U1770" s="345"/>
      <c r="V1770" s="269"/>
      <c r="W1770" s="269"/>
      <c r="X1770" s="269"/>
      <c r="Y1770" s="269"/>
      <c r="Z1770" s="269"/>
      <c r="AA1770" s="269"/>
      <c r="AB1770" s="269"/>
      <c r="AC1770" s="269"/>
      <c r="AD1770" s="269"/>
      <c r="AE1770" s="269"/>
      <c r="AF1770" s="269"/>
      <c r="AG1770" s="269"/>
      <c r="AH1770" s="269"/>
      <c r="AI1770" s="269"/>
      <c r="AJ1770" s="269"/>
      <c r="AK1770" s="269"/>
      <c r="AL1770" s="269"/>
      <c r="AM1770" s="269"/>
    </row>
    <row r="1771" spans="1:39" ht="12.75" customHeight="1" x14ac:dyDescent="0.2">
      <c r="A1771" s="277" t="str">
        <f>IF(B1771="","",COUNT('Diário 5º PA'!$A$5:$A$2634)+COUNT('Diário 6º PA'!$A$5:$A$2246)+ROW()-4)</f>
        <v/>
      </c>
      <c r="B1771" s="278"/>
      <c r="C1771" s="335"/>
      <c r="D1771" s="255"/>
      <c r="E1771" s="255"/>
      <c r="F1771" s="258"/>
      <c r="G1771" s="450"/>
      <c r="H1771" s="255"/>
      <c r="I1771" s="250"/>
      <c r="J1771" s="255"/>
      <c r="K1771" s="255"/>
      <c r="L1771" s="250"/>
      <c r="M1771" s="277"/>
      <c r="N1771" s="277"/>
      <c r="O1771" s="329"/>
      <c r="P1771" s="330">
        <f t="shared" ref="P1771:P1834" si="262">IF(B1771=0,0,IF(YEAR(B1771)=$Q$1,MONTH(B1771)-$P$1+1,(YEAR(B1771)-$Q$1)*12-$P$1+1+MONTH(B1771)))</f>
        <v>0</v>
      </c>
      <c r="Q1771" s="330">
        <f t="shared" ref="Q1771:Q1834" si="263">IF(C1771=0,0,IF(YEAR(C1771)=$Q$1,MONTH(C1771)-$P$1+1,(YEAR(C1771)-$Q$1)*12-$P$1+1+MONTH(C1771)))</f>
        <v>0</v>
      </c>
      <c r="R1771" s="331" t="str">
        <f t="shared" ref="R1771:R1834" si="264">SUBSTITUTE(D1771," ","_")</f>
        <v/>
      </c>
      <c r="S1771" s="331" t="str">
        <f>IF(D1771="","",IF(OR(D1771=Plano!$A$1,D1771=Plano!$B$1),"entrada","saída"))</f>
        <v/>
      </c>
      <c r="T1771" s="345"/>
      <c r="U1771" s="345"/>
      <c r="V1771" s="269"/>
      <c r="W1771" s="269"/>
      <c r="X1771" s="269"/>
      <c r="Y1771" s="269"/>
      <c r="Z1771" s="269"/>
      <c r="AA1771" s="269"/>
      <c r="AB1771" s="269"/>
      <c r="AC1771" s="269"/>
      <c r="AD1771" s="269"/>
      <c r="AE1771" s="269"/>
      <c r="AF1771" s="269"/>
      <c r="AG1771" s="269"/>
      <c r="AH1771" s="269"/>
      <c r="AI1771" s="269"/>
      <c r="AJ1771" s="269"/>
      <c r="AK1771" s="269"/>
      <c r="AL1771" s="269"/>
      <c r="AM1771" s="269"/>
    </row>
    <row r="1772" spans="1:39" ht="12.75" customHeight="1" x14ac:dyDescent="0.2">
      <c r="A1772" s="277" t="str">
        <f>IF(B1772="","",COUNT('Diário 5º PA'!$A$5:$A$2634)+COUNT('Diário 6º PA'!$A$5:$A$2246)+ROW()-4)</f>
        <v/>
      </c>
      <c r="B1772" s="278"/>
      <c r="C1772" s="335"/>
      <c r="D1772" s="255"/>
      <c r="E1772" s="255"/>
      <c r="F1772" s="258"/>
      <c r="G1772" s="450"/>
      <c r="H1772" s="255"/>
      <c r="I1772" s="250"/>
      <c r="J1772" s="255"/>
      <c r="K1772" s="255"/>
      <c r="L1772" s="250"/>
      <c r="M1772" s="277"/>
      <c r="N1772" s="277"/>
      <c r="O1772" s="329"/>
      <c r="P1772" s="330">
        <f t="shared" si="262"/>
        <v>0</v>
      </c>
      <c r="Q1772" s="330">
        <f t="shared" si="263"/>
        <v>0</v>
      </c>
      <c r="R1772" s="331" t="str">
        <f t="shared" si="264"/>
        <v/>
      </c>
      <c r="S1772" s="331" t="str">
        <f>IF(D1772="","",IF(OR(D1772=Plano!$A$1,D1772=Plano!$B$1),"entrada","saída"))</f>
        <v/>
      </c>
      <c r="T1772" s="345"/>
      <c r="U1772" s="345"/>
      <c r="V1772" s="269"/>
      <c r="W1772" s="269"/>
      <c r="X1772" s="269"/>
      <c r="Y1772" s="269"/>
      <c r="Z1772" s="269"/>
      <c r="AA1772" s="269"/>
      <c r="AB1772" s="269"/>
      <c r="AC1772" s="269"/>
      <c r="AD1772" s="269"/>
      <c r="AE1772" s="269"/>
      <c r="AF1772" s="269"/>
      <c r="AG1772" s="269"/>
      <c r="AH1772" s="269"/>
      <c r="AI1772" s="269"/>
      <c r="AJ1772" s="269"/>
      <c r="AK1772" s="269"/>
      <c r="AL1772" s="269"/>
      <c r="AM1772" s="269"/>
    </row>
    <row r="1773" spans="1:39" ht="12.75" customHeight="1" x14ac:dyDescent="0.2">
      <c r="A1773" s="277" t="str">
        <f>IF(B1773="","",COUNT('Diário 5º PA'!$A$5:$A$2634)+COUNT('Diário 6º PA'!$A$5:$A$2246)+ROW()-4)</f>
        <v/>
      </c>
      <c r="B1773" s="278"/>
      <c r="C1773" s="335"/>
      <c r="D1773" s="255"/>
      <c r="E1773" s="255"/>
      <c r="F1773" s="258"/>
      <c r="G1773" s="450"/>
      <c r="H1773" s="255"/>
      <c r="I1773" s="250"/>
      <c r="J1773" s="255"/>
      <c r="K1773" s="255"/>
      <c r="L1773" s="250"/>
      <c r="M1773" s="277"/>
      <c r="N1773" s="277"/>
      <c r="O1773" s="329"/>
      <c r="P1773" s="330">
        <f t="shared" si="262"/>
        <v>0</v>
      </c>
      <c r="Q1773" s="330">
        <f t="shared" si="263"/>
        <v>0</v>
      </c>
      <c r="R1773" s="331" t="str">
        <f t="shared" si="264"/>
        <v/>
      </c>
      <c r="S1773" s="331" t="str">
        <f>IF(D1773="","",IF(OR(D1773=Plano!$A$1,D1773=Plano!$B$1),"entrada","saída"))</f>
        <v/>
      </c>
      <c r="T1773" s="345"/>
      <c r="U1773" s="345"/>
      <c r="V1773" s="269"/>
      <c r="W1773" s="269"/>
      <c r="X1773" s="269"/>
      <c r="Y1773" s="269"/>
      <c r="Z1773" s="269"/>
      <c r="AA1773" s="269"/>
      <c r="AB1773" s="269"/>
      <c r="AC1773" s="269"/>
      <c r="AD1773" s="269"/>
      <c r="AE1773" s="269"/>
      <c r="AF1773" s="269"/>
      <c r="AG1773" s="269"/>
      <c r="AH1773" s="269"/>
      <c r="AI1773" s="269"/>
      <c r="AJ1773" s="269"/>
      <c r="AK1773" s="269"/>
      <c r="AL1773" s="269"/>
      <c r="AM1773" s="269"/>
    </row>
    <row r="1774" spans="1:39" ht="12.75" customHeight="1" x14ac:dyDescent="0.2">
      <c r="A1774" s="277" t="str">
        <f>IF(B1774="","",COUNT('Diário 5º PA'!$A$5:$A$2634)+COUNT('Diário 6º PA'!$A$5:$A$2246)+ROW()-4)</f>
        <v/>
      </c>
      <c r="B1774" s="278"/>
      <c r="C1774" s="335"/>
      <c r="D1774" s="255"/>
      <c r="E1774" s="255"/>
      <c r="F1774" s="258"/>
      <c r="G1774" s="450"/>
      <c r="H1774" s="255"/>
      <c r="I1774" s="250"/>
      <c r="J1774" s="255"/>
      <c r="K1774" s="255"/>
      <c r="L1774" s="250"/>
      <c r="M1774" s="277"/>
      <c r="N1774" s="277"/>
      <c r="O1774" s="329"/>
      <c r="P1774" s="330">
        <f t="shared" si="262"/>
        <v>0</v>
      </c>
      <c r="Q1774" s="330">
        <f t="shared" si="263"/>
        <v>0</v>
      </c>
      <c r="R1774" s="331" t="str">
        <f t="shared" si="264"/>
        <v/>
      </c>
      <c r="S1774" s="331" t="str">
        <f>IF(D1774="","",IF(OR(D1774=Plano!$A$1,D1774=Plano!$B$1),"entrada","saída"))</f>
        <v/>
      </c>
      <c r="T1774" s="345"/>
      <c r="U1774" s="345"/>
      <c r="V1774" s="269"/>
      <c r="W1774" s="269"/>
      <c r="X1774" s="269"/>
      <c r="Y1774" s="269"/>
      <c r="Z1774" s="269"/>
      <c r="AA1774" s="269"/>
      <c r="AB1774" s="269"/>
      <c r="AC1774" s="269"/>
      <c r="AD1774" s="269"/>
      <c r="AE1774" s="269"/>
      <c r="AF1774" s="269"/>
      <c r="AG1774" s="269"/>
      <c r="AH1774" s="269"/>
      <c r="AI1774" s="269"/>
      <c r="AJ1774" s="269"/>
      <c r="AK1774" s="269"/>
      <c r="AL1774" s="269"/>
      <c r="AM1774" s="269"/>
    </row>
    <row r="1775" spans="1:39" ht="12.75" customHeight="1" x14ac:dyDescent="0.2">
      <c r="A1775" s="277" t="str">
        <f>IF(B1775="","",COUNT('Diário 5º PA'!$A$5:$A$2634)+COUNT('Diário 6º PA'!$A$5:$A$2246)+ROW()-4)</f>
        <v/>
      </c>
      <c r="B1775" s="278"/>
      <c r="C1775" s="335"/>
      <c r="D1775" s="255"/>
      <c r="E1775" s="255"/>
      <c r="F1775" s="258"/>
      <c r="G1775" s="450"/>
      <c r="H1775" s="255"/>
      <c r="I1775" s="250"/>
      <c r="J1775" s="255"/>
      <c r="K1775" s="255"/>
      <c r="L1775" s="250"/>
      <c r="M1775" s="277"/>
      <c r="N1775" s="277"/>
      <c r="O1775" s="329"/>
      <c r="P1775" s="330">
        <f t="shared" si="262"/>
        <v>0</v>
      </c>
      <c r="Q1775" s="330">
        <f t="shared" si="263"/>
        <v>0</v>
      </c>
      <c r="R1775" s="331" t="str">
        <f t="shared" si="264"/>
        <v/>
      </c>
      <c r="S1775" s="331" t="str">
        <f>IF(D1775="","",IF(OR(D1775=Plano!$A$1,D1775=Plano!$B$1),"entrada","saída"))</f>
        <v/>
      </c>
      <c r="T1775" s="345"/>
      <c r="U1775" s="345"/>
      <c r="V1775" s="269"/>
      <c r="W1775" s="269"/>
      <c r="X1775" s="269"/>
      <c r="Y1775" s="269"/>
      <c r="Z1775" s="269"/>
      <c r="AA1775" s="269"/>
      <c r="AB1775" s="269"/>
      <c r="AC1775" s="269"/>
      <c r="AD1775" s="269"/>
      <c r="AE1775" s="269"/>
      <c r="AF1775" s="269"/>
      <c r="AG1775" s="269"/>
      <c r="AH1775" s="269"/>
      <c r="AI1775" s="269"/>
      <c r="AJ1775" s="269"/>
      <c r="AK1775" s="269"/>
      <c r="AL1775" s="269"/>
      <c r="AM1775" s="269"/>
    </row>
    <row r="1776" spans="1:39" ht="12.75" customHeight="1" x14ac:dyDescent="0.2">
      <c r="A1776" s="277" t="str">
        <f>IF(B1776="","",COUNT('Diário 5º PA'!$A$5:$A$2634)+COUNT('Diário 6º PA'!$A$5:$A$2246)+ROW()-4)</f>
        <v/>
      </c>
      <c r="B1776" s="278"/>
      <c r="C1776" s="335"/>
      <c r="D1776" s="255"/>
      <c r="E1776" s="255"/>
      <c r="F1776" s="258"/>
      <c r="G1776" s="450"/>
      <c r="H1776" s="255"/>
      <c r="I1776" s="250"/>
      <c r="J1776" s="255"/>
      <c r="K1776" s="255"/>
      <c r="L1776" s="250"/>
      <c r="M1776" s="277"/>
      <c r="N1776" s="277"/>
      <c r="O1776" s="329"/>
      <c r="P1776" s="330">
        <f t="shared" si="262"/>
        <v>0</v>
      </c>
      <c r="Q1776" s="330">
        <f t="shared" si="263"/>
        <v>0</v>
      </c>
      <c r="R1776" s="331" t="str">
        <f t="shared" si="264"/>
        <v/>
      </c>
      <c r="S1776" s="331" t="str">
        <f>IF(D1776="","",IF(OR(D1776=Plano!$A$1,D1776=Plano!$B$1),"entrada","saída"))</f>
        <v/>
      </c>
      <c r="T1776" s="345"/>
      <c r="U1776" s="345"/>
      <c r="V1776" s="269"/>
      <c r="W1776" s="269"/>
      <c r="X1776" s="269"/>
      <c r="Y1776" s="269"/>
      <c r="Z1776" s="269"/>
      <c r="AA1776" s="269"/>
      <c r="AB1776" s="269"/>
      <c r="AC1776" s="269"/>
      <c r="AD1776" s="269"/>
      <c r="AE1776" s="269"/>
      <c r="AF1776" s="269"/>
      <c r="AG1776" s="269"/>
      <c r="AH1776" s="269"/>
      <c r="AI1776" s="269"/>
      <c r="AJ1776" s="269"/>
      <c r="AK1776" s="269"/>
      <c r="AL1776" s="269"/>
      <c r="AM1776" s="269"/>
    </row>
    <row r="1777" spans="1:39" ht="12.75" customHeight="1" x14ac:dyDescent="0.2">
      <c r="A1777" s="277" t="str">
        <f>IF(B1777="","",COUNT('Diário 5º PA'!$A$5:$A$2634)+COUNT('Diário 6º PA'!$A$5:$A$2246)+ROW()-4)</f>
        <v/>
      </c>
      <c r="B1777" s="278"/>
      <c r="C1777" s="335"/>
      <c r="D1777" s="255"/>
      <c r="E1777" s="255"/>
      <c r="F1777" s="258"/>
      <c r="G1777" s="450"/>
      <c r="H1777" s="255"/>
      <c r="I1777" s="250"/>
      <c r="J1777" s="255"/>
      <c r="K1777" s="255"/>
      <c r="L1777" s="250"/>
      <c r="M1777" s="277"/>
      <c r="N1777" s="277"/>
      <c r="O1777" s="329"/>
      <c r="P1777" s="330">
        <f t="shared" si="262"/>
        <v>0</v>
      </c>
      <c r="Q1777" s="330">
        <f t="shared" si="263"/>
        <v>0</v>
      </c>
      <c r="R1777" s="331" t="str">
        <f t="shared" si="264"/>
        <v/>
      </c>
      <c r="S1777" s="331" t="str">
        <f>IF(D1777="","",IF(OR(D1777=Plano!$A$1,D1777=Plano!$B$1),"entrada","saída"))</f>
        <v/>
      </c>
      <c r="T1777" s="345"/>
      <c r="U1777" s="345"/>
      <c r="V1777" s="269"/>
      <c r="W1777" s="269"/>
      <c r="X1777" s="269"/>
      <c r="Y1777" s="269"/>
      <c r="Z1777" s="269"/>
      <c r="AA1777" s="269"/>
      <c r="AB1777" s="269"/>
      <c r="AC1777" s="269"/>
      <c r="AD1777" s="269"/>
      <c r="AE1777" s="269"/>
      <c r="AF1777" s="269"/>
      <c r="AG1777" s="269"/>
      <c r="AH1777" s="269"/>
      <c r="AI1777" s="269"/>
      <c r="AJ1777" s="269"/>
      <c r="AK1777" s="269"/>
      <c r="AL1777" s="269"/>
      <c r="AM1777" s="269"/>
    </row>
    <row r="1778" spans="1:39" ht="12.75" customHeight="1" x14ac:dyDescent="0.2">
      <c r="A1778" s="277" t="str">
        <f>IF(B1778="","",COUNT('Diário 5º PA'!$A$5:$A$2634)+COUNT('Diário 6º PA'!$A$5:$A$2246)+ROW()-4)</f>
        <v/>
      </c>
      <c r="B1778" s="278"/>
      <c r="C1778" s="335"/>
      <c r="D1778" s="255"/>
      <c r="E1778" s="255"/>
      <c r="F1778" s="258"/>
      <c r="G1778" s="450"/>
      <c r="H1778" s="255"/>
      <c r="I1778" s="250"/>
      <c r="J1778" s="255"/>
      <c r="K1778" s="255"/>
      <c r="L1778" s="250"/>
      <c r="M1778" s="277"/>
      <c r="N1778" s="277"/>
      <c r="O1778" s="329"/>
      <c r="P1778" s="330">
        <f t="shared" si="262"/>
        <v>0</v>
      </c>
      <c r="Q1778" s="330">
        <f t="shared" si="263"/>
        <v>0</v>
      </c>
      <c r="R1778" s="331" t="str">
        <f t="shared" si="264"/>
        <v/>
      </c>
      <c r="S1778" s="331" t="str">
        <f>IF(D1778="","",IF(OR(D1778=Plano!$A$1,D1778=Plano!$B$1),"entrada","saída"))</f>
        <v/>
      </c>
      <c r="T1778" s="345"/>
      <c r="U1778" s="345"/>
      <c r="V1778" s="269"/>
      <c r="W1778" s="269"/>
      <c r="X1778" s="269"/>
      <c r="Y1778" s="269"/>
      <c r="Z1778" s="269"/>
      <c r="AA1778" s="269"/>
      <c r="AB1778" s="269"/>
      <c r="AC1778" s="269"/>
      <c r="AD1778" s="269"/>
      <c r="AE1778" s="269"/>
      <c r="AF1778" s="269"/>
      <c r="AG1778" s="269"/>
      <c r="AH1778" s="269"/>
      <c r="AI1778" s="269"/>
      <c r="AJ1778" s="269"/>
      <c r="AK1778" s="269"/>
      <c r="AL1778" s="269"/>
      <c r="AM1778" s="269"/>
    </row>
    <row r="1779" spans="1:39" ht="12.75" customHeight="1" x14ac:dyDescent="0.2">
      <c r="A1779" s="277" t="str">
        <f>IF(B1779="","",COUNT('Diário 5º PA'!$A$5:$A$2634)+COUNT('Diário 6º PA'!$A$5:$A$2246)+ROW()-4)</f>
        <v/>
      </c>
      <c r="B1779" s="278"/>
      <c r="C1779" s="335"/>
      <c r="D1779" s="255"/>
      <c r="E1779" s="255"/>
      <c r="F1779" s="258"/>
      <c r="G1779" s="450"/>
      <c r="H1779" s="255"/>
      <c r="I1779" s="250"/>
      <c r="J1779" s="255"/>
      <c r="K1779" s="255"/>
      <c r="L1779" s="250"/>
      <c r="M1779" s="277"/>
      <c r="N1779" s="277"/>
      <c r="O1779" s="329"/>
      <c r="P1779" s="330">
        <f t="shared" si="262"/>
        <v>0</v>
      </c>
      <c r="Q1779" s="330">
        <f t="shared" si="263"/>
        <v>0</v>
      </c>
      <c r="R1779" s="331" t="str">
        <f t="shared" si="264"/>
        <v/>
      </c>
      <c r="S1779" s="331" t="str">
        <f>IF(D1779="","",IF(OR(D1779=Plano!$A$1,D1779=Plano!$B$1),"entrada","saída"))</f>
        <v/>
      </c>
      <c r="T1779" s="345"/>
      <c r="U1779" s="345"/>
      <c r="V1779" s="269"/>
      <c r="W1779" s="269"/>
      <c r="X1779" s="269"/>
      <c r="Y1779" s="269"/>
      <c r="Z1779" s="269"/>
      <c r="AA1779" s="269"/>
      <c r="AB1779" s="269"/>
      <c r="AC1779" s="269"/>
      <c r="AD1779" s="269"/>
      <c r="AE1779" s="269"/>
      <c r="AF1779" s="269"/>
      <c r="AG1779" s="269"/>
      <c r="AH1779" s="269"/>
      <c r="AI1779" s="269"/>
      <c r="AJ1779" s="269"/>
      <c r="AK1779" s="269"/>
      <c r="AL1779" s="269"/>
      <c r="AM1779" s="269"/>
    </row>
    <row r="1780" spans="1:39" ht="12.75" customHeight="1" x14ac:dyDescent="0.2">
      <c r="A1780" s="277" t="str">
        <f>IF(B1780="","",COUNT('Diário 5º PA'!$A$5:$A$2634)+COUNT('Diário 6º PA'!$A$5:$A$2246)+ROW()-4)</f>
        <v/>
      </c>
      <c r="B1780" s="278"/>
      <c r="C1780" s="335"/>
      <c r="D1780" s="255"/>
      <c r="E1780" s="255"/>
      <c r="F1780" s="258"/>
      <c r="G1780" s="450"/>
      <c r="H1780" s="255"/>
      <c r="I1780" s="250"/>
      <c r="J1780" s="255"/>
      <c r="K1780" s="255"/>
      <c r="L1780" s="250"/>
      <c r="M1780" s="277"/>
      <c r="N1780" s="277"/>
      <c r="O1780" s="329"/>
      <c r="P1780" s="330">
        <f t="shared" si="262"/>
        <v>0</v>
      </c>
      <c r="Q1780" s="330">
        <f t="shared" si="263"/>
        <v>0</v>
      </c>
      <c r="R1780" s="331" t="str">
        <f t="shared" si="264"/>
        <v/>
      </c>
      <c r="S1780" s="331" t="str">
        <f>IF(D1780="","",IF(OR(D1780=Plano!$A$1,D1780=Plano!$B$1),"entrada","saída"))</f>
        <v/>
      </c>
      <c r="T1780" s="345"/>
      <c r="U1780" s="345"/>
      <c r="V1780" s="269"/>
      <c r="W1780" s="269"/>
      <c r="X1780" s="269"/>
      <c r="Y1780" s="269"/>
      <c r="Z1780" s="269"/>
      <c r="AA1780" s="269"/>
      <c r="AB1780" s="269"/>
      <c r="AC1780" s="269"/>
      <c r="AD1780" s="269"/>
      <c r="AE1780" s="269"/>
      <c r="AF1780" s="269"/>
      <c r="AG1780" s="269"/>
      <c r="AH1780" s="269"/>
      <c r="AI1780" s="269"/>
      <c r="AJ1780" s="269"/>
      <c r="AK1780" s="269"/>
      <c r="AL1780" s="269"/>
      <c r="AM1780" s="269"/>
    </row>
    <row r="1781" spans="1:39" ht="12.75" customHeight="1" x14ac:dyDescent="0.2">
      <c r="A1781" s="277" t="str">
        <f>IF(B1781="","",COUNT('Diário 5º PA'!$A$5:$A$2634)+COUNT('Diário 6º PA'!$A$5:$A$2246)+ROW()-4)</f>
        <v/>
      </c>
      <c r="B1781" s="278"/>
      <c r="C1781" s="335"/>
      <c r="D1781" s="255"/>
      <c r="E1781" s="255"/>
      <c r="F1781" s="258"/>
      <c r="G1781" s="450"/>
      <c r="H1781" s="255"/>
      <c r="I1781" s="250"/>
      <c r="J1781" s="255"/>
      <c r="K1781" s="255"/>
      <c r="L1781" s="250"/>
      <c r="M1781" s="277"/>
      <c r="N1781" s="277"/>
      <c r="O1781" s="329"/>
      <c r="P1781" s="330">
        <f t="shared" si="262"/>
        <v>0</v>
      </c>
      <c r="Q1781" s="330">
        <f t="shared" si="263"/>
        <v>0</v>
      </c>
      <c r="R1781" s="331" t="str">
        <f t="shared" si="264"/>
        <v/>
      </c>
      <c r="S1781" s="331" t="str">
        <f>IF(D1781="","",IF(OR(D1781=Plano!$A$1,D1781=Plano!$B$1),"entrada","saída"))</f>
        <v/>
      </c>
      <c r="T1781" s="345"/>
      <c r="U1781" s="345"/>
      <c r="V1781" s="269"/>
      <c r="W1781" s="269"/>
      <c r="X1781" s="269"/>
      <c r="Y1781" s="269"/>
      <c r="Z1781" s="269"/>
      <c r="AA1781" s="269"/>
      <c r="AB1781" s="269"/>
      <c r="AC1781" s="269"/>
      <c r="AD1781" s="269"/>
      <c r="AE1781" s="269"/>
      <c r="AF1781" s="269"/>
      <c r="AG1781" s="269"/>
      <c r="AH1781" s="269"/>
      <c r="AI1781" s="269"/>
      <c r="AJ1781" s="269"/>
      <c r="AK1781" s="269"/>
      <c r="AL1781" s="269"/>
      <c r="AM1781" s="269"/>
    </row>
    <row r="1782" spans="1:39" ht="12.75" customHeight="1" x14ac:dyDescent="0.2">
      <c r="A1782" s="277" t="str">
        <f>IF(B1782="","",COUNT('Diário 5º PA'!$A$5:$A$2634)+COUNT('Diário 6º PA'!$A$5:$A$2246)+ROW()-4)</f>
        <v/>
      </c>
      <c r="B1782" s="278"/>
      <c r="C1782" s="335"/>
      <c r="D1782" s="255"/>
      <c r="E1782" s="255"/>
      <c r="F1782" s="258"/>
      <c r="G1782" s="450"/>
      <c r="H1782" s="255"/>
      <c r="I1782" s="250"/>
      <c r="J1782" s="255"/>
      <c r="K1782" s="255"/>
      <c r="L1782" s="250"/>
      <c r="M1782" s="277"/>
      <c r="N1782" s="277"/>
      <c r="O1782" s="329"/>
      <c r="P1782" s="330">
        <f t="shared" si="262"/>
        <v>0</v>
      </c>
      <c r="Q1782" s="330">
        <f t="shared" si="263"/>
        <v>0</v>
      </c>
      <c r="R1782" s="331" t="str">
        <f t="shared" si="264"/>
        <v/>
      </c>
      <c r="S1782" s="331" t="str">
        <f>IF(D1782="","",IF(OR(D1782=Plano!$A$1,D1782=Plano!$B$1),"entrada","saída"))</f>
        <v/>
      </c>
      <c r="T1782" s="345"/>
      <c r="U1782" s="345"/>
      <c r="V1782" s="269"/>
      <c r="W1782" s="269"/>
      <c r="X1782" s="269"/>
      <c r="Y1782" s="269"/>
      <c r="Z1782" s="269"/>
      <c r="AA1782" s="269"/>
      <c r="AB1782" s="269"/>
      <c r="AC1782" s="269"/>
      <c r="AD1782" s="269"/>
      <c r="AE1782" s="269"/>
      <c r="AF1782" s="269"/>
      <c r="AG1782" s="269"/>
      <c r="AH1782" s="269"/>
      <c r="AI1782" s="269"/>
      <c r="AJ1782" s="269"/>
      <c r="AK1782" s="269"/>
      <c r="AL1782" s="269"/>
      <c r="AM1782" s="269"/>
    </row>
    <row r="1783" spans="1:39" ht="12.75" customHeight="1" x14ac:dyDescent="0.2">
      <c r="A1783" s="277" t="str">
        <f>IF(B1783="","",COUNT('Diário 5º PA'!$A$5:$A$2634)+COUNT('Diário 6º PA'!$A$5:$A$2246)+ROW()-4)</f>
        <v/>
      </c>
      <c r="B1783" s="278"/>
      <c r="C1783" s="335"/>
      <c r="D1783" s="255"/>
      <c r="E1783" s="255"/>
      <c r="F1783" s="258"/>
      <c r="G1783" s="450"/>
      <c r="H1783" s="255"/>
      <c r="I1783" s="250"/>
      <c r="J1783" s="255"/>
      <c r="K1783" s="255"/>
      <c r="L1783" s="250"/>
      <c r="M1783" s="277"/>
      <c r="N1783" s="277"/>
      <c r="O1783" s="329"/>
      <c r="P1783" s="330">
        <f t="shared" si="262"/>
        <v>0</v>
      </c>
      <c r="Q1783" s="330">
        <f t="shared" si="263"/>
        <v>0</v>
      </c>
      <c r="R1783" s="331" t="str">
        <f t="shared" si="264"/>
        <v/>
      </c>
      <c r="S1783" s="331" t="str">
        <f>IF(D1783="","",IF(OR(D1783=Plano!$A$1,D1783=Plano!$B$1),"entrada","saída"))</f>
        <v/>
      </c>
      <c r="T1783" s="345"/>
      <c r="U1783" s="345"/>
      <c r="V1783" s="269"/>
      <c r="W1783" s="269"/>
      <c r="X1783" s="269"/>
      <c r="Y1783" s="269"/>
      <c r="Z1783" s="269"/>
      <c r="AA1783" s="269"/>
      <c r="AB1783" s="269"/>
      <c r="AC1783" s="269"/>
      <c r="AD1783" s="269"/>
      <c r="AE1783" s="269"/>
      <c r="AF1783" s="269"/>
      <c r="AG1783" s="269"/>
      <c r="AH1783" s="269"/>
      <c r="AI1783" s="269"/>
      <c r="AJ1783" s="269"/>
      <c r="AK1783" s="269"/>
      <c r="AL1783" s="269"/>
      <c r="AM1783" s="269"/>
    </row>
    <row r="1784" spans="1:39" ht="12.75" customHeight="1" x14ac:dyDescent="0.2">
      <c r="A1784" s="277" t="str">
        <f>IF(B1784="","",COUNT('Diário 5º PA'!$A$5:$A$2634)+COUNT('Diário 6º PA'!$A$5:$A$2246)+ROW()-4)</f>
        <v/>
      </c>
      <c r="B1784" s="278"/>
      <c r="C1784" s="335"/>
      <c r="D1784" s="255"/>
      <c r="E1784" s="255"/>
      <c r="F1784" s="258"/>
      <c r="G1784" s="450"/>
      <c r="H1784" s="255"/>
      <c r="I1784" s="250"/>
      <c r="J1784" s="255"/>
      <c r="K1784" s="255"/>
      <c r="L1784" s="250"/>
      <c r="M1784" s="277"/>
      <c r="N1784" s="277"/>
      <c r="O1784" s="329"/>
      <c r="P1784" s="330">
        <f t="shared" si="262"/>
        <v>0</v>
      </c>
      <c r="Q1784" s="330">
        <f t="shared" si="263"/>
        <v>0</v>
      </c>
      <c r="R1784" s="331" t="str">
        <f t="shared" si="264"/>
        <v/>
      </c>
      <c r="S1784" s="331" t="str">
        <f>IF(D1784="","",IF(OR(D1784=Plano!$A$1,D1784=Plano!$B$1),"entrada","saída"))</f>
        <v/>
      </c>
      <c r="T1784" s="345"/>
      <c r="U1784" s="345"/>
      <c r="V1784" s="269"/>
      <c r="W1784" s="269"/>
      <c r="X1784" s="269"/>
      <c r="Y1784" s="269"/>
      <c r="Z1784" s="269"/>
      <c r="AA1784" s="269"/>
      <c r="AB1784" s="269"/>
      <c r="AC1784" s="269"/>
      <c r="AD1784" s="269"/>
      <c r="AE1784" s="269"/>
      <c r="AF1784" s="269"/>
      <c r="AG1784" s="269"/>
      <c r="AH1784" s="269"/>
      <c r="AI1784" s="269"/>
      <c r="AJ1784" s="269"/>
      <c r="AK1784" s="269"/>
      <c r="AL1784" s="269"/>
      <c r="AM1784" s="269"/>
    </row>
    <row r="1785" spans="1:39" ht="12.75" customHeight="1" x14ac:dyDescent="0.2">
      <c r="A1785" s="277" t="str">
        <f>IF(B1785="","",COUNT('Diário 5º PA'!$A$5:$A$2634)+COUNT('Diário 6º PA'!$A$5:$A$2246)+ROW()-4)</f>
        <v/>
      </c>
      <c r="B1785" s="278"/>
      <c r="C1785" s="335"/>
      <c r="D1785" s="255"/>
      <c r="E1785" s="255"/>
      <c r="F1785" s="258"/>
      <c r="G1785" s="450"/>
      <c r="H1785" s="255"/>
      <c r="I1785" s="250"/>
      <c r="J1785" s="255"/>
      <c r="K1785" s="255"/>
      <c r="L1785" s="250"/>
      <c r="M1785" s="277"/>
      <c r="N1785" s="277"/>
      <c r="O1785" s="329"/>
      <c r="P1785" s="330">
        <f t="shared" si="262"/>
        <v>0</v>
      </c>
      <c r="Q1785" s="330">
        <f t="shared" si="263"/>
        <v>0</v>
      </c>
      <c r="R1785" s="331" t="str">
        <f t="shared" si="264"/>
        <v/>
      </c>
      <c r="S1785" s="331" t="str">
        <f>IF(D1785="","",IF(OR(D1785=Plano!$A$1,D1785=Plano!$B$1),"entrada","saída"))</f>
        <v/>
      </c>
      <c r="T1785" s="345"/>
      <c r="U1785" s="345"/>
      <c r="V1785" s="269"/>
      <c r="W1785" s="269"/>
      <c r="X1785" s="269"/>
      <c r="Y1785" s="269"/>
      <c r="Z1785" s="269"/>
      <c r="AA1785" s="269"/>
      <c r="AB1785" s="269"/>
      <c r="AC1785" s="269"/>
      <c r="AD1785" s="269"/>
      <c r="AE1785" s="269"/>
      <c r="AF1785" s="269"/>
      <c r="AG1785" s="269"/>
      <c r="AH1785" s="269"/>
      <c r="AI1785" s="269"/>
      <c r="AJ1785" s="269"/>
      <c r="AK1785" s="269"/>
      <c r="AL1785" s="269"/>
      <c r="AM1785" s="269"/>
    </row>
    <row r="1786" spans="1:39" ht="12.75" customHeight="1" x14ac:dyDescent="0.2">
      <c r="A1786" s="277" t="str">
        <f>IF(B1786="","",COUNT('Diário 5º PA'!$A$5:$A$2634)+COUNT('Diário 6º PA'!$A$5:$A$2246)+ROW()-4)</f>
        <v/>
      </c>
      <c r="B1786" s="278"/>
      <c r="C1786" s="335"/>
      <c r="D1786" s="255"/>
      <c r="E1786" s="255"/>
      <c r="F1786" s="258"/>
      <c r="G1786" s="450"/>
      <c r="H1786" s="255"/>
      <c r="I1786" s="250"/>
      <c r="J1786" s="255"/>
      <c r="K1786" s="255"/>
      <c r="L1786" s="250"/>
      <c r="M1786" s="277"/>
      <c r="N1786" s="277"/>
      <c r="O1786" s="329"/>
      <c r="P1786" s="330">
        <f t="shared" si="262"/>
        <v>0</v>
      </c>
      <c r="Q1786" s="330">
        <f t="shared" si="263"/>
        <v>0</v>
      </c>
      <c r="R1786" s="331" t="str">
        <f t="shared" si="264"/>
        <v/>
      </c>
      <c r="S1786" s="331" t="str">
        <f>IF(D1786="","",IF(OR(D1786=Plano!$A$1,D1786=Plano!$B$1),"entrada","saída"))</f>
        <v/>
      </c>
      <c r="T1786" s="345"/>
      <c r="U1786" s="345"/>
      <c r="V1786" s="269"/>
      <c r="W1786" s="269"/>
      <c r="X1786" s="269"/>
      <c r="Y1786" s="269"/>
      <c r="Z1786" s="269"/>
      <c r="AA1786" s="269"/>
      <c r="AB1786" s="269"/>
      <c r="AC1786" s="269"/>
      <c r="AD1786" s="269"/>
      <c r="AE1786" s="269"/>
      <c r="AF1786" s="269"/>
      <c r="AG1786" s="269"/>
      <c r="AH1786" s="269"/>
      <c r="AI1786" s="269"/>
      <c r="AJ1786" s="269"/>
      <c r="AK1786" s="269"/>
      <c r="AL1786" s="269"/>
      <c r="AM1786" s="269"/>
    </row>
    <row r="1787" spans="1:39" ht="12.75" customHeight="1" x14ac:dyDescent="0.2">
      <c r="A1787" s="277" t="str">
        <f>IF(B1787="","",COUNT('Diário 5º PA'!$A$5:$A$2634)+COUNT('Diário 6º PA'!$A$5:$A$2246)+ROW()-4)</f>
        <v/>
      </c>
      <c r="B1787" s="278"/>
      <c r="C1787" s="335"/>
      <c r="D1787" s="255"/>
      <c r="E1787" s="255"/>
      <c r="F1787" s="258"/>
      <c r="G1787" s="450"/>
      <c r="H1787" s="255"/>
      <c r="I1787" s="250"/>
      <c r="J1787" s="255"/>
      <c r="K1787" s="255"/>
      <c r="L1787" s="250"/>
      <c r="M1787" s="277"/>
      <c r="N1787" s="277"/>
      <c r="O1787" s="329"/>
      <c r="P1787" s="330">
        <f t="shared" si="262"/>
        <v>0</v>
      </c>
      <c r="Q1787" s="330">
        <f t="shared" si="263"/>
        <v>0</v>
      </c>
      <c r="R1787" s="331" t="str">
        <f t="shared" si="264"/>
        <v/>
      </c>
      <c r="S1787" s="331" t="str">
        <f>IF(D1787="","",IF(OR(D1787=Plano!$A$1,D1787=Plano!$B$1),"entrada","saída"))</f>
        <v/>
      </c>
      <c r="T1787" s="345"/>
      <c r="U1787" s="345"/>
      <c r="V1787" s="269"/>
      <c r="W1787" s="269"/>
      <c r="X1787" s="269"/>
      <c r="Y1787" s="269"/>
      <c r="Z1787" s="269"/>
      <c r="AA1787" s="269"/>
      <c r="AB1787" s="269"/>
      <c r="AC1787" s="269"/>
      <c r="AD1787" s="269"/>
      <c r="AE1787" s="269"/>
      <c r="AF1787" s="269"/>
      <c r="AG1787" s="269"/>
      <c r="AH1787" s="269"/>
      <c r="AI1787" s="269"/>
      <c r="AJ1787" s="269"/>
      <c r="AK1787" s="269"/>
      <c r="AL1787" s="269"/>
      <c r="AM1787" s="269"/>
    </row>
    <row r="1788" spans="1:39" ht="12.75" customHeight="1" x14ac:dyDescent="0.2">
      <c r="A1788" s="277" t="str">
        <f>IF(B1788="","",COUNT('Diário 5º PA'!$A$5:$A$2634)+COUNT('Diário 6º PA'!$A$5:$A$2246)+ROW()-4)</f>
        <v/>
      </c>
      <c r="B1788" s="278"/>
      <c r="C1788" s="335"/>
      <c r="D1788" s="255"/>
      <c r="E1788" s="255"/>
      <c r="F1788" s="258"/>
      <c r="G1788" s="450"/>
      <c r="H1788" s="255"/>
      <c r="I1788" s="250"/>
      <c r="J1788" s="255"/>
      <c r="K1788" s="255"/>
      <c r="L1788" s="250"/>
      <c r="M1788" s="277"/>
      <c r="N1788" s="277"/>
      <c r="O1788" s="329"/>
      <c r="P1788" s="330">
        <f t="shared" si="262"/>
        <v>0</v>
      </c>
      <c r="Q1788" s="330">
        <f t="shared" si="263"/>
        <v>0</v>
      </c>
      <c r="R1788" s="331" t="str">
        <f t="shared" si="264"/>
        <v/>
      </c>
      <c r="S1788" s="331" t="str">
        <f>IF(D1788="","",IF(OR(D1788=Plano!$A$1,D1788=Plano!$B$1),"entrada","saída"))</f>
        <v/>
      </c>
      <c r="T1788" s="345"/>
      <c r="U1788" s="345"/>
      <c r="V1788" s="269"/>
      <c r="W1788" s="269"/>
      <c r="X1788" s="269"/>
      <c r="Y1788" s="269"/>
      <c r="Z1788" s="269"/>
      <c r="AA1788" s="269"/>
      <c r="AB1788" s="269"/>
      <c r="AC1788" s="269"/>
      <c r="AD1788" s="269"/>
      <c r="AE1788" s="269"/>
      <c r="AF1788" s="269"/>
      <c r="AG1788" s="269"/>
      <c r="AH1788" s="269"/>
      <c r="AI1788" s="269"/>
      <c r="AJ1788" s="269"/>
      <c r="AK1788" s="269"/>
      <c r="AL1788" s="269"/>
      <c r="AM1788" s="269"/>
    </row>
    <row r="1789" spans="1:39" ht="12.75" customHeight="1" x14ac:dyDescent="0.2">
      <c r="A1789" s="277" t="str">
        <f>IF(B1789="","",COUNT('Diário 5º PA'!$A$5:$A$2634)+COUNT('Diário 6º PA'!$A$5:$A$2246)+ROW()-4)</f>
        <v/>
      </c>
      <c r="B1789" s="278"/>
      <c r="C1789" s="335"/>
      <c r="D1789" s="255"/>
      <c r="E1789" s="255"/>
      <c r="F1789" s="258"/>
      <c r="G1789" s="450"/>
      <c r="H1789" s="255"/>
      <c r="I1789" s="250"/>
      <c r="J1789" s="255"/>
      <c r="K1789" s="255"/>
      <c r="L1789" s="250"/>
      <c r="M1789" s="277"/>
      <c r="N1789" s="277"/>
      <c r="O1789" s="329"/>
      <c r="P1789" s="330">
        <f t="shared" si="262"/>
        <v>0</v>
      </c>
      <c r="Q1789" s="330">
        <f t="shared" si="263"/>
        <v>0</v>
      </c>
      <c r="R1789" s="331" t="str">
        <f t="shared" si="264"/>
        <v/>
      </c>
      <c r="S1789" s="331" t="str">
        <f>IF(D1789="","",IF(OR(D1789=Plano!$A$1,D1789=Plano!$B$1),"entrada","saída"))</f>
        <v/>
      </c>
      <c r="T1789" s="345"/>
      <c r="U1789" s="345"/>
      <c r="V1789" s="269"/>
      <c r="W1789" s="269"/>
      <c r="X1789" s="269"/>
      <c r="Y1789" s="269"/>
      <c r="Z1789" s="269"/>
      <c r="AA1789" s="269"/>
      <c r="AB1789" s="269"/>
      <c r="AC1789" s="269"/>
      <c r="AD1789" s="269"/>
      <c r="AE1789" s="269"/>
      <c r="AF1789" s="269"/>
      <c r="AG1789" s="269"/>
      <c r="AH1789" s="269"/>
      <c r="AI1789" s="269"/>
      <c r="AJ1789" s="269"/>
      <c r="AK1789" s="269"/>
      <c r="AL1789" s="269"/>
      <c r="AM1789" s="269"/>
    </row>
    <row r="1790" spans="1:39" ht="12.75" customHeight="1" x14ac:dyDescent="0.2">
      <c r="A1790" s="277" t="str">
        <f>IF(B1790="","",COUNT('Diário 5º PA'!$A$5:$A$2634)+COUNT('Diário 6º PA'!$A$5:$A$2246)+ROW()-4)</f>
        <v/>
      </c>
      <c r="B1790" s="278"/>
      <c r="C1790" s="335"/>
      <c r="D1790" s="255"/>
      <c r="E1790" s="255"/>
      <c r="F1790" s="258"/>
      <c r="G1790" s="450"/>
      <c r="H1790" s="255"/>
      <c r="I1790" s="250"/>
      <c r="J1790" s="255"/>
      <c r="K1790" s="255"/>
      <c r="L1790" s="250"/>
      <c r="M1790" s="277"/>
      <c r="N1790" s="277"/>
      <c r="O1790" s="329"/>
      <c r="P1790" s="330">
        <f t="shared" si="262"/>
        <v>0</v>
      </c>
      <c r="Q1790" s="330">
        <f t="shared" si="263"/>
        <v>0</v>
      </c>
      <c r="R1790" s="331" t="str">
        <f t="shared" si="264"/>
        <v/>
      </c>
      <c r="S1790" s="331" t="str">
        <f>IF(D1790="","",IF(OR(D1790=Plano!$A$1,D1790=Plano!$B$1),"entrada","saída"))</f>
        <v/>
      </c>
      <c r="T1790" s="345"/>
      <c r="U1790" s="345"/>
      <c r="V1790" s="269"/>
      <c r="W1790" s="269"/>
      <c r="X1790" s="269"/>
      <c r="Y1790" s="269"/>
      <c r="Z1790" s="269"/>
      <c r="AA1790" s="269"/>
      <c r="AB1790" s="269"/>
      <c r="AC1790" s="269"/>
      <c r="AD1790" s="269"/>
      <c r="AE1790" s="269"/>
      <c r="AF1790" s="269"/>
      <c r="AG1790" s="269"/>
      <c r="AH1790" s="269"/>
      <c r="AI1790" s="269"/>
      <c r="AJ1790" s="269"/>
      <c r="AK1790" s="269"/>
      <c r="AL1790" s="269"/>
      <c r="AM1790" s="269"/>
    </row>
    <row r="1791" spans="1:39" ht="12.75" customHeight="1" x14ac:dyDescent="0.2">
      <c r="A1791" s="277" t="str">
        <f>IF(B1791="","",COUNT('Diário 5º PA'!$A$5:$A$2634)+COUNT('Diário 6º PA'!$A$5:$A$2246)+ROW()-4)</f>
        <v/>
      </c>
      <c r="B1791" s="278"/>
      <c r="C1791" s="335"/>
      <c r="D1791" s="255"/>
      <c r="E1791" s="255"/>
      <c r="F1791" s="258"/>
      <c r="G1791" s="450"/>
      <c r="H1791" s="255"/>
      <c r="I1791" s="250"/>
      <c r="J1791" s="255"/>
      <c r="K1791" s="255"/>
      <c r="L1791" s="250"/>
      <c r="M1791" s="277"/>
      <c r="N1791" s="277"/>
      <c r="O1791" s="329"/>
      <c r="P1791" s="330">
        <f t="shared" si="262"/>
        <v>0</v>
      </c>
      <c r="Q1791" s="330">
        <f t="shared" si="263"/>
        <v>0</v>
      </c>
      <c r="R1791" s="331" t="str">
        <f t="shared" si="264"/>
        <v/>
      </c>
      <c r="S1791" s="331" t="str">
        <f>IF(D1791="","",IF(OR(D1791=Plano!$A$1,D1791=Plano!$B$1),"entrada","saída"))</f>
        <v/>
      </c>
      <c r="T1791" s="345"/>
      <c r="U1791" s="345"/>
      <c r="V1791" s="269"/>
      <c r="W1791" s="269"/>
      <c r="X1791" s="269"/>
      <c r="Y1791" s="269"/>
      <c r="Z1791" s="269"/>
      <c r="AA1791" s="269"/>
      <c r="AB1791" s="269"/>
      <c r="AC1791" s="269"/>
      <c r="AD1791" s="269"/>
      <c r="AE1791" s="269"/>
      <c r="AF1791" s="269"/>
      <c r="AG1791" s="269"/>
      <c r="AH1791" s="269"/>
      <c r="AI1791" s="269"/>
      <c r="AJ1791" s="269"/>
      <c r="AK1791" s="269"/>
      <c r="AL1791" s="269"/>
      <c r="AM1791" s="269"/>
    </row>
    <row r="1792" spans="1:39" ht="12.75" customHeight="1" x14ac:dyDescent="0.2">
      <c r="A1792" s="277" t="str">
        <f>IF(B1792="","",COUNT('Diário 5º PA'!$A$5:$A$2634)+COUNT('Diário 6º PA'!$A$5:$A$2246)+ROW()-4)</f>
        <v/>
      </c>
      <c r="B1792" s="278"/>
      <c r="C1792" s="335"/>
      <c r="D1792" s="255"/>
      <c r="E1792" s="255"/>
      <c r="F1792" s="258"/>
      <c r="G1792" s="450"/>
      <c r="H1792" s="255"/>
      <c r="I1792" s="250"/>
      <c r="J1792" s="255"/>
      <c r="K1792" s="255"/>
      <c r="L1792" s="250"/>
      <c r="M1792" s="277"/>
      <c r="N1792" s="277"/>
      <c r="O1792" s="329"/>
      <c r="P1792" s="330">
        <f t="shared" si="262"/>
        <v>0</v>
      </c>
      <c r="Q1792" s="330">
        <f t="shared" si="263"/>
        <v>0</v>
      </c>
      <c r="R1792" s="331" t="str">
        <f t="shared" si="264"/>
        <v/>
      </c>
      <c r="S1792" s="331" t="str">
        <f>IF(D1792="","",IF(OR(D1792=Plano!$A$1,D1792=Plano!$B$1),"entrada","saída"))</f>
        <v/>
      </c>
      <c r="T1792" s="345"/>
      <c r="U1792" s="345"/>
      <c r="V1792" s="269"/>
      <c r="W1792" s="269"/>
      <c r="X1792" s="269"/>
      <c r="Y1792" s="269"/>
      <c r="Z1792" s="269"/>
      <c r="AA1792" s="269"/>
      <c r="AB1792" s="269"/>
      <c r="AC1792" s="269"/>
      <c r="AD1792" s="269"/>
      <c r="AE1792" s="269"/>
      <c r="AF1792" s="269"/>
      <c r="AG1792" s="269"/>
      <c r="AH1792" s="269"/>
      <c r="AI1792" s="269"/>
      <c r="AJ1792" s="269"/>
      <c r="AK1792" s="269"/>
      <c r="AL1792" s="269"/>
      <c r="AM1792" s="269"/>
    </row>
    <row r="1793" spans="1:39" ht="12.75" customHeight="1" x14ac:dyDescent="0.2">
      <c r="A1793" s="277" t="str">
        <f>IF(B1793="","",COUNT('Diário 5º PA'!$A$5:$A$2634)+COUNT('Diário 6º PA'!$A$5:$A$2246)+ROW()-4)</f>
        <v/>
      </c>
      <c r="B1793" s="278"/>
      <c r="C1793" s="335"/>
      <c r="D1793" s="255"/>
      <c r="E1793" s="255"/>
      <c r="F1793" s="258"/>
      <c r="G1793" s="450"/>
      <c r="H1793" s="255"/>
      <c r="I1793" s="250"/>
      <c r="J1793" s="255"/>
      <c r="K1793" s="255"/>
      <c r="L1793" s="250"/>
      <c r="M1793" s="277"/>
      <c r="N1793" s="277"/>
      <c r="O1793" s="329"/>
      <c r="P1793" s="330">
        <f t="shared" si="262"/>
        <v>0</v>
      </c>
      <c r="Q1793" s="330">
        <f t="shared" si="263"/>
        <v>0</v>
      </c>
      <c r="R1793" s="331" t="str">
        <f t="shared" si="264"/>
        <v/>
      </c>
      <c r="S1793" s="331" t="str">
        <f>IF(D1793="","",IF(OR(D1793=Plano!$A$1,D1793=Plano!$B$1),"entrada","saída"))</f>
        <v/>
      </c>
      <c r="T1793" s="345"/>
      <c r="U1793" s="345"/>
      <c r="V1793" s="269"/>
      <c r="W1793" s="269"/>
      <c r="X1793" s="269"/>
      <c r="Y1793" s="269"/>
      <c r="Z1793" s="269"/>
      <c r="AA1793" s="269"/>
      <c r="AB1793" s="269"/>
      <c r="AC1793" s="269"/>
      <c r="AD1793" s="269"/>
      <c r="AE1793" s="269"/>
      <c r="AF1793" s="269"/>
      <c r="AG1793" s="269"/>
      <c r="AH1793" s="269"/>
      <c r="AI1793" s="269"/>
      <c r="AJ1793" s="269"/>
      <c r="AK1793" s="269"/>
      <c r="AL1793" s="269"/>
      <c r="AM1793" s="269"/>
    </row>
    <row r="1794" spans="1:39" ht="12.75" customHeight="1" x14ac:dyDescent="0.2">
      <c r="A1794" s="289" t="str">
        <f>IF(B1794="","",COUNT('Diário 5º PA'!$A$5:$A$2634)+COUNT('Diário 6º PA'!$A$5:$A$2246)+ROW()-4)</f>
        <v/>
      </c>
      <c r="B1794" s="290"/>
      <c r="C1794" s="357"/>
      <c r="D1794" s="291"/>
      <c r="E1794" s="291"/>
      <c r="F1794" s="292"/>
      <c r="G1794" s="456"/>
      <c r="H1794" s="291"/>
      <c r="I1794" s="293"/>
      <c r="J1794" s="291"/>
      <c r="K1794" s="291"/>
      <c r="L1794" s="293"/>
      <c r="M1794" s="289"/>
      <c r="N1794" s="289"/>
      <c r="O1794" s="358"/>
      <c r="P1794" s="330">
        <f t="shared" si="262"/>
        <v>0</v>
      </c>
      <c r="Q1794" s="330">
        <f t="shared" si="263"/>
        <v>0</v>
      </c>
      <c r="R1794" s="331" t="str">
        <f t="shared" si="264"/>
        <v/>
      </c>
      <c r="S1794" s="331" t="str">
        <f>IF(D1794="","",IF(OR(D1794=Plano!$A$1,D1794=Plano!$B$1),"entrada","saída"))</f>
        <v/>
      </c>
      <c r="T1794" s="406"/>
      <c r="U1794" s="406"/>
      <c r="V1794" s="269"/>
      <c r="W1794" s="269"/>
      <c r="X1794" s="269"/>
      <c r="Y1794" s="269"/>
      <c r="Z1794" s="269"/>
      <c r="AA1794" s="269"/>
      <c r="AB1794" s="269"/>
      <c r="AC1794" s="269"/>
      <c r="AD1794" s="269"/>
      <c r="AE1794" s="269"/>
      <c r="AF1794" s="269"/>
      <c r="AG1794" s="269"/>
      <c r="AH1794" s="269"/>
      <c r="AI1794" s="269"/>
      <c r="AJ1794" s="269"/>
      <c r="AK1794" s="269"/>
      <c r="AL1794" s="269"/>
      <c r="AM1794" s="269"/>
    </row>
    <row r="1795" spans="1:39" ht="12.75" customHeight="1" x14ac:dyDescent="0.2">
      <c r="A1795" s="289" t="str">
        <f>IF(B1795="","",COUNT('Diário 5º PA'!$A$5:$A$2634)+COUNT('Diário 6º PA'!$A$5:$A$2246)+ROW()-4)</f>
        <v/>
      </c>
      <c r="B1795" s="290"/>
      <c r="C1795" s="357"/>
      <c r="D1795" s="291"/>
      <c r="E1795" s="291"/>
      <c r="F1795" s="292"/>
      <c r="G1795" s="456"/>
      <c r="H1795" s="291"/>
      <c r="I1795" s="293"/>
      <c r="J1795" s="291"/>
      <c r="K1795" s="291"/>
      <c r="L1795" s="293"/>
      <c r="M1795" s="289"/>
      <c r="N1795" s="289"/>
      <c r="O1795" s="358"/>
      <c r="P1795" s="330">
        <f t="shared" si="262"/>
        <v>0</v>
      </c>
      <c r="Q1795" s="330">
        <f t="shared" si="263"/>
        <v>0</v>
      </c>
      <c r="R1795" s="331" t="str">
        <f t="shared" si="264"/>
        <v/>
      </c>
      <c r="S1795" s="331" t="str">
        <f>IF(D1795="","",IF(OR(D1795=Plano!$A$1,D1795=Plano!$B$1),"entrada","saída"))</f>
        <v/>
      </c>
      <c r="T1795" s="406"/>
      <c r="U1795" s="406"/>
      <c r="V1795" s="269"/>
      <c r="W1795" s="269"/>
      <c r="X1795" s="269"/>
      <c r="Y1795" s="269"/>
      <c r="Z1795" s="269"/>
      <c r="AA1795" s="269"/>
      <c r="AB1795" s="269"/>
      <c r="AC1795" s="269"/>
      <c r="AD1795" s="269"/>
      <c r="AE1795" s="269"/>
      <c r="AF1795" s="269"/>
      <c r="AG1795" s="269"/>
      <c r="AH1795" s="269"/>
      <c r="AI1795" s="269"/>
      <c r="AJ1795" s="269"/>
      <c r="AK1795" s="269"/>
      <c r="AL1795" s="269"/>
      <c r="AM1795" s="269"/>
    </row>
    <row r="1796" spans="1:39" ht="12.75" customHeight="1" x14ac:dyDescent="0.2">
      <c r="A1796" s="289" t="str">
        <f>IF(B1796="","",COUNT('Diário 5º PA'!$A$5:$A$2634)+COUNT('Diário 6º PA'!$A$5:$A$2246)+ROW()-4)</f>
        <v/>
      </c>
      <c r="B1796" s="290"/>
      <c r="C1796" s="357"/>
      <c r="D1796" s="291"/>
      <c r="E1796" s="291"/>
      <c r="F1796" s="292"/>
      <c r="G1796" s="456"/>
      <c r="H1796" s="291"/>
      <c r="I1796" s="293"/>
      <c r="J1796" s="291"/>
      <c r="K1796" s="291"/>
      <c r="L1796" s="293"/>
      <c r="M1796" s="289"/>
      <c r="N1796" s="289"/>
      <c r="O1796" s="358"/>
      <c r="P1796" s="330">
        <f t="shared" si="262"/>
        <v>0</v>
      </c>
      <c r="Q1796" s="330">
        <f t="shared" si="263"/>
        <v>0</v>
      </c>
      <c r="R1796" s="331" t="str">
        <f t="shared" si="264"/>
        <v/>
      </c>
      <c r="S1796" s="331" t="str">
        <f>IF(D1796="","",IF(OR(D1796=Plano!$A$1,D1796=Plano!$B$1),"entrada","saída"))</f>
        <v/>
      </c>
      <c r="T1796" s="406"/>
      <c r="U1796" s="406"/>
      <c r="V1796" s="269"/>
      <c r="W1796" s="269"/>
      <c r="X1796" s="269"/>
      <c r="Y1796" s="269"/>
      <c r="Z1796" s="269"/>
      <c r="AA1796" s="269"/>
      <c r="AB1796" s="269"/>
      <c r="AC1796" s="269"/>
      <c r="AD1796" s="269"/>
      <c r="AE1796" s="269"/>
      <c r="AF1796" s="269"/>
      <c r="AG1796" s="269"/>
      <c r="AH1796" s="269"/>
      <c r="AI1796" s="269"/>
      <c r="AJ1796" s="269"/>
      <c r="AK1796" s="269"/>
      <c r="AL1796" s="269"/>
      <c r="AM1796" s="269"/>
    </row>
    <row r="1797" spans="1:39" ht="12.75" customHeight="1" x14ac:dyDescent="0.2">
      <c r="A1797" s="289" t="str">
        <f>IF(B1797="","",COUNT('Diário 5º PA'!$A$5:$A$2634)+COUNT('Diário 6º PA'!$A$5:$A$2246)+ROW()-4)</f>
        <v/>
      </c>
      <c r="B1797" s="290"/>
      <c r="C1797" s="357"/>
      <c r="D1797" s="291"/>
      <c r="E1797" s="291"/>
      <c r="F1797" s="292"/>
      <c r="G1797" s="456"/>
      <c r="H1797" s="291"/>
      <c r="I1797" s="293"/>
      <c r="J1797" s="291"/>
      <c r="K1797" s="291"/>
      <c r="L1797" s="293"/>
      <c r="M1797" s="289"/>
      <c r="N1797" s="289"/>
      <c r="O1797" s="358"/>
      <c r="P1797" s="330">
        <f t="shared" si="262"/>
        <v>0</v>
      </c>
      <c r="Q1797" s="330">
        <f t="shared" si="263"/>
        <v>0</v>
      </c>
      <c r="R1797" s="331" t="str">
        <f t="shared" si="264"/>
        <v/>
      </c>
      <c r="S1797" s="331" t="str">
        <f>IF(D1797="","",IF(OR(D1797=Plano!$A$1,D1797=Plano!$B$1),"entrada","saída"))</f>
        <v/>
      </c>
      <c r="T1797" s="406"/>
      <c r="U1797" s="406"/>
      <c r="V1797" s="269"/>
      <c r="W1797" s="269"/>
      <c r="X1797" s="269"/>
      <c r="Y1797" s="269"/>
      <c r="Z1797" s="269"/>
      <c r="AA1797" s="269"/>
      <c r="AB1797" s="269"/>
      <c r="AC1797" s="269"/>
      <c r="AD1797" s="269"/>
      <c r="AE1797" s="269"/>
      <c r="AF1797" s="269"/>
      <c r="AG1797" s="269"/>
      <c r="AH1797" s="269"/>
      <c r="AI1797" s="269"/>
      <c r="AJ1797" s="269"/>
      <c r="AK1797" s="269"/>
      <c r="AL1797" s="269"/>
      <c r="AM1797" s="269"/>
    </row>
    <row r="1798" spans="1:39" ht="12.75" customHeight="1" x14ac:dyDescent="0.2">
      <c r="A1798" s="289" t="str">
        <f>IF(B1798="","",COUNT('Diário 5º PA'!$A$5:$A$2634)+COUNT('Diário 6º PA'!$A$5:$A$2246)+ROW()-4)</f>
        <v/>
      </c>
      <c r="B1798" s="290"/>
      <c r="C1798" s="357"/>
      <c r="D1798" s="291"/>
      <c r="E1798" s="291"/>
      <c r="F1798" s="292"/>
      <c r="G1798" s="456"/>
      <c r="H1798" s="291"/>
      <c r="I1798" s="293"/>
      <c r="J1798" s="291"/>
      <c r="K1798" s="291"/>
      <c r="L1798" s="293"/>
      <c r="M1798" s="289"/>
      <c r="N1798" s="289"/>
      <c r="O1798" s="358"/>
      <c r="P1798" s="330">
        <f t="shared" si="262"/>
        <v>0</v>
      </c>
      <c r="Q1798" s="330">
        <f t="shared" si="263"/>
        <v>0</v>
      </c>
      <c r="R1798" s="331" t="str">
        <f t="shared" si="264"/>
        <v/>
      </c>
      <c r="S1798" s="331" t="str">
        <f>IF(D1798="","",IF(OR(D1798=Plano!$A$1,D1798=Plano!$B$1),"entrada","saída"))</f>
        <v/>
      </c>
      <c r="T1798" s="406"/>
      <c r="U1798" s="406"/>
      <c r="V1798" s="269"/>
      <c r="W1798" s="269"/>
      <c r="X1798" s="269"/>
      <c r="Y1798" s="269"/>
      <c r="Z1798" s="269"/>
      <c r="AA1798" s="269"/>
      <c r="AB1798" s="269"/>
      <c r="AC1798" s="269"/>
      <c r="AD1798" s="269"/>
      <c r="AE1798" s="269"/>
      <c r="AF1798" s="269"/>
      <c r="AG1798" s="269"/>
      <c r="AH1798" s="269"/>
      <c r="AI1798" s="269"/>
      <c r="AJ1798" s="269"/>
      <c r="AK1798" s="269"/>
      <c r="AL1798" s="269"/>
      <c r="AM1798" s="269"/>
    </row>
    <row r="1799" spans="1:39" ht="12.75" customHeight="1" x14ac:dyDescent="0.2">
      <c r="A1799" s="289" t="str">
        <f>IF(B1799="","",COUNT('Diário 5º PA'!$A$5:$A$2634)+COUNT('Diário 6º PA'!$A$5:$A$2246)+ROW()-4)</f>
        <v/>
      </c>
      <c r="B1799" s="290"/>
      <c r="C1799" s="357"/>
      <c r="D1799" s="291"/>
      <c r="E1799" s="291"/>
      <c r="F1799" s="292"/>
      <c r="G1799" s="456"/>
      <c r="H1799" s="291"/>
      <c r="I1799" s="293"/>
      <c r="J1799" s="291"/>
      <c r="K1799" s="291"/>
      <c r="L1799" s="293"/>
      <c r="M1799" s="289"/>
      <c r="N1799" s="289"/>
      <c r="O1799" s="358"/>
      <c r="P1799" s="330">
        <f t="shared" si="262"/>
        <v>0</v>
      </c>
      <c r="Q1799" s="330">
        <f t="shared" si="263"/>
        <v>0</v>
      </c>
      <c r="R1799" s="331" t="str">
        <f t="shared" si="264"/>
        <v/>
      </c>
      <c r="S1799" s="331" t="str">
        <f>IF(D1799="","",IF(OR(D1799=Plano!$A$1,D1799=Plano!$B$1),"entrada","saída"))</f>
        <v/>
      </c>
      <c r="T1799" s="406"/>
      <c r="U1799" s="406"/>
      <c r="V1799" s="269"/>
      <c r="W1799" s="269"/>
      <c r="X1799" s="269"/>
      <c r="Y1799" s="269"/>
      <c r="Z1799" s="269"/>
      <c r="AA1799" s="269"/>
      <c r="AB1799" s="269"/>
      <c r="AC1799" s="269"/>
      <c r="AD1799" s="269"/>
      <c r="AE1799" s="269"/>
      <c r="AF1799" s="269"/>
      <c r="AG1799" s="269"/>
      <c r="AH1799" s="269"/>
      <c r="AI1799" s="269"/>
      <c r="AJ1799" s="269"/>
      <c r="AK1799" s="269"/>
      <c r="AL1799" s="269"/>
      <c r="AM1799" s="269"/>
    </row>
    <row r="1800" spans="1:39" ht="12.75" customHeight="1" x14ac:dyDescent="0.2">
      <c r="A1800" s="289" t="str">
        <f>IF(B1800="","",COUNT('Diário 5º PA'!$A$5:$A$2634)+COUNT('Diário 6º PA'!$A$5:$A$2246)+ROW()-4)</f>
        <v/>
      </c>
      <c r="B1800" s="290"/>
      <c r="C1800" s="357"/>
      <c r="D1800" s="291"/>
      <c r="E1800" s="291"/>
      <c r="F1800" s="292"/>
      <c r="G1800" s="456"/>
      <c r="H1800" s="291"/>
      <c r="I1800" s="293"/>
      <c r="J1800" s="291"/>
      <c r="K1800" s="291"/>
      <c r="L1800" s="293"/>
      <c r="M1800" s="289"/>
      <c r="N1800" s="289"/>
      <c r="O1800" s="358"/>
      <c r="P1800" s="330">
        <f t="shared" si="262"/>
        <v>0</v>
      </c>
      <c r="Q1800" s="330">
        <f t="shared" si="263"/>
        <v>0</v>
      </c>
      <c r="R1800" s="331" t="str">
        <f t="shared" si="264"/>
        <v/>
      </c>
      <c r="S1800" s="331" t="str">
        <f>IF(D1800="","",IF(OR(D1800=Plano!$A$1,D1800=Plano!$B$1),"entrada","saída"))</f>
        <v/>
      </c>
      <c r="T1800" s="406"/>
      <c r="U1800" s="406"/>
      <c r="V1800" s="269"/>
      <c r="W1800" s="269"/>
      <c r="X1800" s="269"/>
      <c r="Y1800" s="269"/>
      <c r="Z1800" s="269"/>
      <c r="AA1800" s="269"/>
      <c r="AB1800" s="269"/>
      <c r="AC1800" s="269"/>
      <c r="AD1800" s="269"/>
      <c r="AE1800" s="269"/>
      <c r="AF1800" s="269"/>
      <c r="AG1800" s="269"/>
      <c r="AH1800" s="269"/>
      <c r="AI1800" s="269"/>
      <c r="AJ1800" s="269"/>
      <c r="AK1800" s="269"/>
      <c r="AL1800" s="269"/>
      <c r="AM1800" s="269"/>
    </row>
    <row r="1801" spans="1:39" ht="12.75" customHeight="1" x14ac:dyDescent="0.2">
      <c r="A1801" s="289" t="str">
        <f>IF(B1801="","",COUNT('Diário 5º PA'!$A$5:$A$2634)+COUNT('Diário 6º PA'!$A$5:$A$2246)+ROW()-4)</f>
        <v/>
      </c>
      <c r="B1801" s="290"/>
      <c r="C1801" s="357"/>
      <c r="D1801" s="291"/>
      <c r="E1801" s="291"/>
      <c r="F1801" s="292"/>
      <c r="G1801" s="456"/>
      <c r="H1801" s="291"/>
      <c r="I1801" s="293"/>
      <c r="J1801" s="291"/>
      <c r="K1801" s="291"/>
      <c r="L1801" s="293"/>
      <c r="M1801" s="289"/>
      <c r="N1801" s="289"/>
      <c r="O1801" s="358"/>
      <c r="P1801" s="330">
        <f t="shared" si="262"/>
        <v>0</v>
      </c>
      <c r="Q1801" s="330">
        <f t="shared" si="263"/>
        <v>0</v>
      </c>
      <c r="R1801" s="331" t="str">
        <f t="shared" si="264"/>
        <v/>
      </c>
      <c r="S1801" s="331" t="str">
        <f>IF(D1801="","",IF(OR(D1801=Plano!$A$1,D1801=Plano!$B$1),"entrada","saída"))</f>
        <v/>
      </c>
      <c r="T1801" s="406"/>
      <c r="U1801" s="406"/>
      <c r="V1801" s="269"/>
      <c r="W1801" s="269"/>
      <c r="X1801" s="269"/>
      <c r="Y1801" s="269"/>
      <c r="Z1801" s="269"/>
      <c r="AA1801" s="269"/>
      <c r="AB1801" s="269"/>
      <c r="AC1801" s="269"/>
      <c r="AD1801" s="269"/>
      <c r="AE1801" s="269"/>
      <c r="AF1801" s="269"/>
      <c r="AG1801" s="269"/>
      <c r="AH1801" s="269"/>
      <c r="AI1801" s="269"/>
      <c r="AJ1801" s="269"/>
      <c r="AK1801" s="269"/>
      <c r="AL1801" s="269"/>
      <c r="AM1801" s="269"/>
    </row>
    <row r="1802" spans="1:39" ht="12.75" customHeight="1" x14ac:dyDescent="0.2">
      <c r="A1802" s="289" t="str">
        <f>IF(B1802="","",COUNT('Diário 5º PA'!$A$5:$A$2634)+COUNT('Diário 6º PA'!$A$5:$A$2246)+ROW()-4)</f>
        <v/>
      </c>
      <c r="B1802" s="290"/>
      <c r="C1802" s="357"/>
      <c r="D1802" s="291"/>
      <c r="E1802" s="291"/>
      <c r="F1802" s="292"/>
      <c r="G1802" s="456"/>
      <c r="H1802" s="291"/>
      <c r="I1802" s="293"/>
      <c r="J1802" s="291"/>
      <c r="K1802" s="291"/>
      <c r="L1802" s="293"/>
      <c r="M1802" s="289"/>
      <c r="N1802" s="289"/>
      <c r="O1802" s="358"/>
      <c r="P1802" s="330">
        <f t="shared" si="262"/>
        <v>0</v>
      </c>
      <c r="Q1802" s="330">
        <f t="shared" si="263"/>
        <v>0</v>
      </c>
      <c r="R1802" s="331" t="str">
        <f t="shared" si="264"/>
        <v/>
      </c>
      <c r="S1802" s="331" t="str">
        <f>IF(D1802="","",IF(OR(D1802=Plano!$A$1,D1802=Plano!$B$1),"entrada","saída"))</f>
        <v/>
      </c>
      <c r="T1802" s="406"/>
      <c r="U1802" s="406"/>
      <c r="V1802" s="269"/>
      <c r="W1802" s="269"/>
      <c r="X1802" s="269"/>
      <c r="Y1802" s="269"/>
      <c r="Z1802" s="269"/>
      <c r="AA1802" s="269"/>
      <c r="AB1802" s="269"/>
      <c r="AC1802" s="269"/>
      <c r="AD1802" s="269"/>
      <c r="AE1802" s="269"/>
      <c r="AF1802" s="269"/>
      <c r="AG1802" s="269"/>
      <c r="AH1802" s="269"/>
      <c r="AI1802" s="269"/>
      <c r="AJ1802" s="269"/>
      <c r="AK1802" s="269"/>
      <c r="AL1802" s="269"/>
      <c r="AM1802" s="269"/>
    </row>
    <row r="1803" spans="1:39" ht="12.75" customHeight="1" x14ac:dyDescent="0.2">
      <c r="A1803" s="289" t="str">
        <f>IF(B1803="","",COUNT('Diário 5º PA'!$A$5:$A$2634)+COUNT('Diário 6º PA'!$A$5:$A$2246)+ROW()-4)</f>
        <v/>
      </c>
      <c r="B1803" s="290"/>
      <c r="C1803" s="357"/>
      <c r="D1803" s="291"/>
      <c r="E1803" s="291"/>
      <c r="F1803" s="292"/>
      <c r="G1803" s="456"/>
      <c r="H1803" s="291"/>
      <c r="I1803" s="293"/>
      <c r="J1803" s="291"/>
      <c r="K1803" s="291"/>
      <c r="L1803" s="293"/>
      <c r="M1803" s="289"/>
      <c r="N1803" s="289"/>
      <c r="O1803" s="358"/>
      <c r="P1803" s="330">
        <f t="shared" si="262"/>
        <v>0</v>
      </c>
      <c r="Q1803" s="330">
        <f t="shared" si="263"/>
        <v>0</v>
      </c>
      <c r="R1803" s="331" t="str">
        <f t="shared" si="264"/>
        <v/>
      </c>
      <c r="S1803" s="331" t="str">
        <f>IF(D1803="","",IF(OR(D1803=Plano!$A$1,D1803=Plano!$B$1),"entrada","saída"))</f>
        <v/>
      </c>
      <c r="T1803" s="406"/>
      <c r="U1803" s="406"/>
      <c r="V1803" s="269"/>
      <c r="W1803" s="269"/>
      <c r="X1803" s="269"/>
      <c r="Y1803" s="269"/>
      <c r="Z1803" s="269"/>
      <c r="AA1803" s="269"/>
      <c r="AB1803" s="269"/>
      <c r="AC1803" s="269"/>
      <c r="AD1803" s="269"/>
      <c r="AE1803" s="269"/>
      <c r="AF1803" s="269"/>
      <c r="AG1803" s="269"/>
      <c r="AH1803" s="269"/>
      <c r="AI1803" s="269"/>
      <c r="AJ1803" s="269"/>
      <c r="AK1803" s="269"/>
      <c r="AL1803" s="269"/>
      <c r="AM1803" s="269"/>
    </row>
    <row r="1804" spans="1:39" ht="12.75" customHeight="1" x14ac:dyDescent="0.2">
      <c r="A1804" s="289" t="str">
        <f>IF(B1804="","",COUNT('Diário 5º PA'!$A$5:$A$2634)+COUNT('Diário 6º PA'!$A$5:$A$2246)+ROW()-4)</f>
        <v/>
      </c>
      <c r="B1804" s="290"/>
      <c r="C1804" s="357"/>
      <c r="D1804" s="291"/>
      <c r="E1804" s="291"/>
      <c r="F1804" s="292"/>
      <c r="G1804" s="456"/>
      <c r="H1804" s="291"/>
      <c r="I1804" s="293"/>
      <c r="J1804" s="291"/>
      <c r="K1804" s="291"/>
      <c r="L1804" s="293"/>
      <c r="M1804" s="289"/>
      <c r="N1804" s="289"/>
      <c r="O1804" s="358"/>
      <c r="P1804" s="330">
        <f t="shared" si="262"/>
        <v>0</v>
      </c>
      <c r="Q1804" s="330">
        <f t="shared" si="263"/>
        <v>0</v>
      </c>
      <c r="R1804" s="331" t="str">
        <f t="shared" si="264"/>
        <v/>
      </c>
      <c r="S1804" s="331" t="str">
        <f>IF(D1804="","",IF(OR(D1804=Plano!$A$1,D1804=Plano!$B$1),"entrada","saída"))</f>
        <v/>
      </c>
      <c r="T1804" s="406"/>
      <c r="U1804" s="406"/>
      <c r="V1804" s="269"/>
      <c r="W1804" s="269"/>
      <c r="X1804" s="269"/>
      <c r="Y1804" s="269"/>
      <c r="Z1804" s="269"/>
      <c r="AA1804" s="269"/>
      <c r="AB1804" s="269"/>
      <c r="AC1804" s="269"/>
      <c r="AD1804" s="269"/>
      <c r="AE1804" s="269"/>
      <c r="AF1804" s="269"/>
      <c r="AG1804" s="269"/>
      <c r="AH1804" s="269"/>
      <c r="AI1804" s="269"/>
      <c r="AJ1804" s="269"/>
      <c r="AK1804" s="269"/>
      <c r="AL1804" s="269"/>
      <c r="AM1804" s="269"/>
    </row>
    <row r="1805" spans="1:39" ht="12.75" customHeight="1" x14ac:dyDescent="0.2">
      <c r="A1805" s="289" t="str">
        <f>IF(B1805="","",COUNT('Diário 5º PA'!$A$5:$A$2634)+COUNT('Diário 6º PA'!$A$5:$A$2246)+ROW()-4)</f>
        <v/>
      </c>
      <c r="B1805" s="290"/>
      <c r="C1805" s="357"/>
      <c r="D1805" s="291"/>
      <c r="E1805" s="291"/>
      <c r="F1805" s="292"/>
      <c r="G1805" s="456"/>
      <c r="H1805" s="291"/>
      <c r="I1805" s="293"/>
      <c r="J1805" s="291"/>
      <c r="K1805" s="291"/>
      <c r="L1805" s="293"/>
      <c r="M1805" s="289"/>
      <c r="N1805" s="289"/>
      <c r="O1805" s="358"/>
      <c r="P1805" s="330">
        <f t="shared" si="262"/>
        <v>0</v>
      </c>
      <c r="Q1805" s="330">
        <f t="shared" si="263"/>
        <v>0</v>
      </c>
      <c r="R1805" s="331" t="str">
        <f t="shared" si="264"/>
        <v/>
      </c>
      <c r="S1805" s="331" t="str">
        <f>IF(D1805="","",IF(OR(D1805=Plano!$A$1,D1805=Plano!$B$1),"entrada","saída"))</f>
        <v/>
      </c>
      <c r="T1805" s="406"/>
      <c r="U1805" s="406"/>
      <c r="V1805" s="269"/>
      <c r="W1805" s="269"/>
      <c r="X1805" s="269"/>
      <c r="Y1805" s="269"/>
      <c r="Z1805" s="269"/>
      <c r="AA1805" s="269"/>
      <c r="AB1805" s="269"/>
      <c r="AC1805" s="269"/>
      <c r="AD1805" s="269"/>
      <c r="AE1805" s="269"/>
      <c r="AF1805" s="269"/>
      <c r="AG1805" s="269"/>
      <c r="AH1805" s="269"/>
      <c r="AI1805" s="269"/>
      <c r="AJ1805" s="269"/>
      <c r="AK1805" s="269"/>
      <c r="AL1805" s="269"/>
      <c r="AM1805" s="269"/>
    </row>
    <row r="1806" spans="1:39" ht="12.75" customHeight="1" x14ac:dyDescent="0.2">
      <c r="A1806" s="289" t="str">
        <f>IF(B1806="","",COUNT('Diário 5º PA'!$A$5:$A$2634)+COUNT('Diário 6º PA'!$A$5:$A$2246)+ROW()-4)</f>
        <v/>
      </c>
      <c r="B1806" s="290"/>
      <c r="C1806" s="357"/>
      <c r="D1806" s="291"/>
      <c r="E1806" s="291"/>
      <c r="F1806" s="292"/>
      <c r="G1806" s="456"/>
      <c r="H1806" s="291"/>
      <c r="I1806" s="293"/>
      <c r="J1806" s="291"/>
      <c r="K1806" s="291"/>
      <c r="L1806" s="293"/>
      <c r="M1806" s="289"/>
      <c r="N1806" s="289"/>
      <c r="O1806" s="358"/>
      <c r="P1806" s="330">
        <f t="shared" si="262"/>
        <v>0</v>
      </c>
      <c r="Q1806" s="330">
        <f t="shared" si="263"/>
        <v>0</v>
      </c>
      <c r="R1806" s="331" t="str">
        <f t="shared" si="264"/>
        <v/>
      </c>
      <c r="S1806" s="331" t="str">
        <f>IF(D1806="","",IF(OR(D1806=Plano!$A$1,D1806=Plano!$B$1),"entrada","saída"))</f>
        <v/>
      </c>
      <c r="T1806" s="406"/>
      <c r="U1806" s="406"/>
      <c r="V1806" s="269"/>
      <c r="W1806" s="269"/>
      <c r="X1806" s="269"/>
      <c r="Y1806" s="269"/>
      <c r="Z1806" s="269"/>
      <c r="AA1806" s="269"/>
      <c r="AB1806" s="269"/>
      <c r="AC1806" s="269"/>
      <c r="AD1806" s="269"/>
      <c r="AE1806" s="269"/>
      <c r="AF1806" s="269"/>
      <c r="AG1806" s="269"/>
      <c r="AH1806" s="269"/>
      <c r="AI1806" s="269"/>
      <c r="AJ1806" s="269"/>
      <c r="AK1806" s="269"/>
      <c r="AL1806" s="269"/>
      <c r="AM1806" s="269"/>
    </row>
    <row r="1807" spans="1:39" ht="12.75" customHeight="1" x14ac:dyDescent="0.2">
      <c r="A1807" s="289" t="str">
        <f>IF(B1807="","",COUNT('Diário 5º PA'!$A$5:$A$2634)+COUNT('Diário 6º PA'!$A$5:$A$2246)+ROW()-4)</f>
        <v/>
      </c>
      <c r="B1807" s="290"/>
      <c r="C1807" s="357"/>
      <c r="D1807" s="291"/>
      <c r="E1807" s="291"/>
      <c r="F1807" s="292"/>
      <c r="G1807" s="456"/>
      <c r="H1807" s="291"/>
      <c r="I1807" s="293"/>
      <c r="J1807" s="291"/>
      <c r="K1807" s="291"/>
      <c r="L1807" s="293"/>
      <c r="M1807" s="289"/>
      <c r="N1807" s="289"/>
      <c r="O1807" s="358"/>
      <c r="P1807" s="330">
        <f t="shared" si="262"/>
        <v>0</v>
      </c>
      <c r="Q1807" s="330">
        <f t="shared" si="263"/>
        <v>0</v>
      </c>
      <c r="R1807" s="331" t="str">
        <f t="shared" si="264"/>
        <v/>
      </c>
      <c r="S1807" s="331" t="str">
        <f>IF(D1807="","",IF(OR(D1807=Plano!$A$1,D1807=Plano!$B$1),"entrada","saída"))</f>
        <v/>
      </c>
      <c r="T1807" s="406"/>
      <c r="U1807" s="406"/>
      <c r="V1807" s="269"/>
      <c r="W1807" s="269"/>
      <c r="X1807" s="269"/>
      <c r="Y1807" s="269"/>
      <c r="Z1807" s="269"/>
      <c r="AA1807" s="269"/>
      <c r="AB1807" s="269"/>
      <c r="AC1807" s="269"/>
      <c r="AD1807" s="269"/>
      <c r="AE1807" s="269"/>
      <c r="AF1807" s="269"/>
      <c r="AG1807" s="269"/>
      <c r="AH1807" s="269"/>
      <c r="AI1807" s="269"/>
      <c r="AJ1807" s="269"/>
      <c r="AK1807" s="269"/>
      <c r="AL1807" s="269"/>
      <c r="AM1807" s="269"/>
    </row>
    <row r="1808" spans="1:39" ht="12.75" customHeight="1" x14ac:dyDescent="0.2">
      <c r="A1808" s="289" t="str">
        <f>IF(B1808="","",COUNT('Diário 5º PA'!$A$5:$A$2634)+COUNT('Diário 6º PA'!$A$5:$A$2246)+ROW()-4)</f>
        <v/>
      </c>
      <c r="B1808" s="290"/>
      <c r="C1808" s="357"/>
      <c r="D1808" s="291"/>
      <c r="E1808" s="291"/>
      <c r="F1808" s="292"/>
      <c r="G1808" s="456"/>
      <c r="H1808" s="291"/>
      <c r="I1808" s="293"/>
      <c r="J1808" s="291"/>
      <c r="K1808" s="291"/>
      <c r="L1808" s="293"/>
      <c r="M1808" s="289"/>
      <c r="N1808" s="289"/>
      <c r="O1808" s="358"/>
      <c r="P1808" s="330">
        <f t="shared" si="262"/>
        <v>0</v>
      </c>
      <c r="Q1808" s="330">
        <f t="shared" si="263"/>
        <v>0</v>
      </c>
      <c r="R1808" s="331" t="str">
        <f t="shared" si="264"/>
        <v/>
      </c>
      <c r="S1808" s="331" t="str">
        <f>IF(D1808="","",IF(OR(D1808=Plano!$A$1,D1808=Plano!$B$1),"entrada","saída"))</f>
        <v/>
      </c>
      <c r="T1808" s="406"/>
      <c r="U1808" s="406"/>
      <c r="V1808" s="269"/>
      <c r="W1808" s="269"/>
      <c r="X1808" s="269"/>
      <c r="Y1808" s="269"/>
      <c r="Z1808" s="269"/>
      <c r="AA1808" s="269"/>
      <c r="AB1808" s="269"/>
      <c r="AC1808" s="269"/>
      <c r="AD1808" s="269"/>
      <c r="AE1808" s="269"/>
      <c r="AF1808" s="269"/>
      <c r="AG1808" s="269"/>
      <c r="AH1808" s="269"/>
      <c r="AI1808" s="269"/>
      <c r="AJ1808" s="269"/>
      <c r="AK1808" s="269"/>
      <c r="AL1808" s="269"/>
      <c r="AM1808" s="269"/>
    </row>
    <row r="1809" spans="1:39" ht="12.75" customHeight="1" x14ac:dyDescent="0.2">
      <c r="A1809" s="289" t="str">
        <f>IF(B1809="","",COUNT('Diário 5º PA'!$A$5:$A$2634)+COUNT('Diário 6º PA'!$A$5:$A$2246)+ROW()-4)</f>
        <v/>
      </c>
      <c r="B1809" s="290"/>
      <c r="C1809" s="357"/>
      <c r="D1809" s="291"/>
      <c r="E1809" s="291"/>
      <c r="F1809" s="292"/>
      <c r="G1809" s="456"/>
      <c r="H1809" s="291"/>
      <c r="I1809" s="293"/>
      <c r="J1809" s="291"/>
      <c r="K1809" s="291"/>
      <c r="L1809" s="293"/>
      <c r="M1809" s="289"/>
      <c r="N1809" s="289"/>
      <c r="O1809" s="358"/>
      <c r="P1809" s="330">
        <f t="shared" si="262"/>
        <v>0</v>
      </c>
      <c r="Q1809" s="330">
        <f t="shared" si="263"/>
        <v>0</v>
      </c>
      <c r="R1809" s="331" t="str">
        <f t="shared" si="264"/>
        <v/>
      </c>
      <c r="S1809" s="331" t="str">
        <f>IF(D1809="","",IF(OR(D1809=Plano!$A$1,D1809=Plano!$B$1),"entrada","saída"))</f>
        <v/>
      </c>
      <c r="T1809" s="406"/>
      <c r="U1809" s="406"/>
      <c r="V1809" s="269"/>
      <c r="W1809" s="269"/>
      <c r="X1809" s="269"/>
      <c r="Y1809" s="269"/>
      <c r="Z1809" s="269"/>
      <c r="AA1809" s="269"/>
      <c r="AB1809" s="269"/>
      <c r="AC1809" s="269"/>
      <c r="AD1809" s="269"/>
      <c r="AE1809" s="269"/>
      <c r="AF1809" s="269"/>
      <c r="AG1809" s="269"/>
      <c r="AH1809" s="269"/>
      <c r="AI1809" s="269"/>
      <c r="AJ1809" s="269"/>
      <c r="AK1809" s="269"/>
      <c r="AL1809" s="269"/>
      <c r="AM1809" s="269"/>
    </row>
    <row r="1810" spans="1:39" ht="12.75" customHeight="1" x14ac:dyDescent="0.2">
      <c r="A1810" s="289" t="str">
        <f>IF(B1810="","",COUNT('Diário 5º PA'!$A$5:$A$2634)+COUNT('Diário 6º PA'!$A$5:$A$2246)+ROW()-4)</f>
        <v/>
      </c>
      <c r="B1810" s="290"/>
      <c r="C1810" s="357"/>
      <c r="D1810" s="291"/>
      <c r="E1810" s="291"/>
      <c r="F1810" s="292"/>
      <c r="G1810" s="456"/>
      <c r="H1810" s="291"/>
      <c r="I1810" s="293"/>
      <c r="J1810" s="291"/>
      <c r="K1810" s="291"/>
      <c r="L1810" s="293"/>
      <c r="M1810" s="289"/>
      <c r="N1810" s="289"/>
      <c r="O1810" s="358"/>
      <c r="P1810" s="330">
        <f t="shared" si="262"/>
        <v>0</v>
      </c>
      <c r="Q1810" s="330">
        <f t="shared" si="263"/>
        <v>0</v>
      </c>
      <c r="R1810" s="331" t="str">
        <f t="shared" si="264"/>
        <v/>
      </c>
      <c r="S1810" s="331" t="str">
        <f>IF(D1810="","",IF(OR(D1810=Plano!$A$1,D1810=Plano!$B$1),"entrada","saída"))</f>
        <v/>
      </c>
      <c r="T1810" s="406"/>
      <c r="U1810" s="406"/>
      <c r="V1810" s="269"/>
      <c r="W1810" s="269"/>
      <c r="X1810" s="269"/>
      <c r="Y1810" s="269"/>
      <c r="Z1810" s="269"/>
      <c r="AA1810" s="269"/>
      <c r="AB1810" s="269"/>
      <c r="AC1810" s="269"/>
      <c r="AD1810" s="269"/>
      <c r="AE1810" s="269"/>
      <c r="AF1810" s="269"/>
      <c r="AG1810" s="269"/>
      <c r="AH1810" s="269"/>
      <c r="AI1810" s="269"/>
      <c r="AJ1810" s="269"/>
      <c r="AK1810" s="269"/>
      <c r="AL1810" s="269"/>
      <c r="AM1810" s="269"/>
    </row>
    <row r="1811" spans="1:39" ht="12.75" customHeight="1" x14ac:dyDescent="0.2">
      <c r="A1811" s="289" t="str">
        <f>IF(B1811="","",COUNT('Diário 5º PA'!$A$5:$A$2634)+COUNT('Diário 6º PA'!$A$5:$A$2246)+ROW()-4)</f>
        <v/>
      </c>
      <c r="B1811" s="290"/>
      <c r="C1811" s="357"/>
      <c r="D1811" s="291"/>
      <c r="E1811" s="291"/>
      <c r="F1811" s="292"/>
      <c r="G1811" s="456"/>
      <c r="H1811" s="291"/>
      <c r="I1811" s="293"/>
      <c r="J1811" s="291"/>
      <c r="K1811" s="291"/>
      <c r="L1811" s="293"/>
      <c r="M1811" s="289"/>
      <c r="N1811" s="289"/>
      <c r="O1811" s="358"/>
      <c r="P1811" s="330">
        <f t="shared" si="262"/>
        <v>0</v>
      </c>
      <c r="Q1811" s="330">
        <f t="shared" si="263"/>
        <v>0</v>
      </c>
      <c r="R1811" s="331" t="str">
        <f t="shared" si="264"/>
        <v/>
      </c>
      <c r="S1811" s="331" t="str">
        <f>IF(D1811="","",IF(OR(D1811=Plano!$A$1,D1811=Plano!$B$1),"entrada","saída"))</f>
        <v/>
      </c>
      <c r="T1811" s="406"/>
      <c r="U1811" s="406"/>
      <c r="V1811" s="269"/>
      <c r="W1811" s="269"/>
      <c r="X1811" s="269"/>
      <c r="Y1811" s="269"/>
      <c r="Z1811" s="269"/>
      <c r="AA1811" s="269"/>
      <c r="AB1811" s="269"/>
      <c r="AC1811" s="269"/>
      <c r="AD1811" s="269"/>
      <c r="AE1811" s="269"/>
      <c r="AF1811" s="269"/>
      <c r="AG1811" s="269"/>
      <c r="AH1811" s="269"/>
      <c r="AI1811" s="269"/>
      <c r="AJ1811" s="269"/>
      <c r="AK1811" s="269"/>
      <c r="AL1811" s="269"/>
      <c r="AM1811" s="269"/>
    </row>
    <row r="1812" spans="1:39" ht="12.75" customHeight="1" x14ac:dyDescent="0.2">
      <c r="A1812" s="289" t="str">
        <f>IF(B1812="","",COUNT('Diário 5º PA'!$A$5:$A$2634)+COUNT('Diário 6º PA'!$A$5:$A$2246)+ROW()-4)</f>
        <v/>
      </c>
      <c r="B1812" s="290"/>
      <c r="C1812" s="357"/>
      <c r="D1812" s="291"/>
      <c r="E1812" s="291"/>
      <c r="F1812" s="292"/>
      <c r="G1812" s="456"/>
      <c r="H1812" s="291"/>
      <c r="I1812" s="293"/>
      <c r="J1812" s="291"/>
      <c r="K1812" s="291"/>
      <c r="L1812" s="293"/>
      <c r="M1812" s="289"/>
      <c r="N1812" s="289"/>
      <c r="O1812" s="358"/>
      <c r="P1812" s="330">
        <f t="shared" si="262"/>
        <v>0</v>
      </c>
      <c r="Q1812" s="330">
        <f t="shared" si="263"/>
        <v>0</v>
      </c>
      <c r="R1812" s="331" t="str">
        <f t="shared" si="264"/>
        <v/>
      </c>
      <c r="S1812" s="331" t="str">
        <f>IF(D1812="","",IF(OR(D1812=Plano!$A$1,D1812=Plano!$B$1),"entrada","saída"))</f>
        <v/>
      </c>
      <c r="T1812" s="406"/>
      <c r="U1812" s="406"/>
      <c r="V1812" s="269"/>
      <c r="W1812" s="269"/>
      <c r="X1812" s="269"/>
      <c r="Y1812" s="269"/>
      <c r="Z1812" s="269"/>
      <c r="AA1812" s="269"/>
      <c r="AB1812" s="269"/>
      <c r="AC1812" s="269"/>
      <c r="AD1812" s="269"/>
      <c r="AE1812" s="269"/>
      <c r="AF1812" s="269"/>
      <c r="AG1812" s="269"/>
      <c r="AH1812" s="269"/>
      <c r="AI1812" s="269"/>
      <c r="AJ1812" s="269"/>
      <c r="AK1812" s="269"/>
      <c r="AL1812" s="269"/>
      <c r="AM1812" s="269"/>
    </row>
    <row r="1813" spans="1:39" ht="12.75" customHeight="1" x14ac:dyDescent="0.2">
      <c r="A1813" s="289" t="str">
        <f>IF(B1813="","",COUNT('Diário 5º PA'!$A$5:$A$2634)+COUNT('Diário 6º PA'!$A$5:$A$2246)+ROW()-4)</f>
        <v/>
      </c>
      <c r="B1813" s="290"/>
      <c r="C1813" s="357"/>
      <c r="D1813" s="291"/>
      <c r="E1813" s="291"/>
      <c r="F1813" s="292"/>
      <c r="G1813" s="456"/>
      <c r="H1813" s="291"/>
      <c r="I1813" s="293"/>
      <c r="J1813" s="291"/>
      <c r="K1813" s="291"/>
      <c r="L1813" s="293"/>
      <c r="M1813" s="289"/>
      <c r="N1813" s="289"/>
      <c r="O1813" s="358"/>
      <c r="P1813" s="330">
        <f t="shared" si="262"/>
        <v>0</v>
      </c>
      <c r="Q1813" s="330">
        <f t="shared" si="263"/>
        <v>0</v>
      </c>
      <c r="R1813" s="331" t="str">
        <f t="shared" si="264"/>
        <v/>
      </c>
      <c r="S1813" s="331" t="str">
        <f>IF(D1813="","",IF(OR(D1813=Plano!$A$1,D1813=Plano!$B$1),"entrada","saída"))</f>
        <v/>
      </c>
      <c r="T1813" s="406"/>
      <c r="U1813" s="406"/>
      <c r="V1813" s="269"/>
      <c r="W1813" s="269"/>
      <c r="X1813" s="269"/>
      <c r="Y1813" s="269"/>
      <c r="Z1813" s="269"/>
      <c r="AA1813" s="269"/>
      <c r="AB1813" s="269"/>
      <c r="AC1813" s="269"/>
      <c r="AD1813" s="269"/>
      <c r="AE1813" s="269"/>
      <c r="AF1813" s="269"/>
      <c r="AG1813" s="269"/>
      <c r="AH1813" s="269"/>
      <c r="AI1813" s="269"/>
      <c r="AJ1813" s="269"/>
      <c r="AK1813" s="269"/>
      <c r="AL1813" s="269"/>
      <c r="AM1813" s="269"/>
    </row>
    <row r="1814" spans="1:39" ht="12.75" customHeight="1" x14ac:dyDescent="0.2">
      <c r="A1814" s="289" t="str">
        <f>IF(B1814="","",COUNT('Diário 5º PA'!$A$5:$A$2634)+COUNT('Diário 6º PA'!$A$5:$A$2246)+ROW()-4)</f>
        <v/>
      </c>
      <c r="B1814" s="290"/>
      <c r="C1814" s="357"/>
      <c r="D1814" s="291"/>
      <c r="E1814" s="291"/>
      <c r="F1814" s="292"/>
      <c r="G1814" s="456"/>
      <c r="H1814" s="291"/>
      <c r="I1814" s="293"/>
      <c r="J1814" s="291"/>
      <c r="K1814" s="291"/>
      <c r="L1814" s="293"/>
      <c r="M1814" s="289"/>
      <c r="N1814" s="289"/>
      <c r="O1814" s="358"/>
      <c r="P1814" s="330">
        <f t="shared" si="262"/>
        <v>0</v>
      </c>
      <c r="Q1814" s="330">
        <f t="shared" si="263"/>
        <v>0</v>
      </c>
      <c r="R1814" s="331" t="str">
        <f t="shared" si="264"/>
        <v/>
      </c>
      <c r="S1814" s="331" t="str">
        <f>IF(D1814="","",IF(OR(D1814=Plano!$A$1,D1814=Plano!$B$1),"entrada","saída"))</f>
        <v/>
      </c>
      <c r="T1814" s="406"/>
      <c r="U1814" s="406"/>
      <c r="V1814" s="269"/>
      <c r="W1814" s="269"/>
      <c r="X1814" s="269"/>
      <c r="Y1814" s="269"/>
      <c r="Z1814" s="269"/>
      <c r="AA1814" s="269"/>
      <c r="AB1814" s="269"/>
      <c r="AC1814" s="269"/>
      <c r="AD1814" s="269"/>
      <c r="AE1814" s="269"/>
      <c r="AF1814" s="269"/>
      <c r="AG1814" s="269"/>
      <c r="AH1814" s="269"/>
      <c r="AI1814" s="269"/>
      <c r="AJ1814" s="269"/>
      <c r="AK1814" s="269"/>
      <c r="AL1814" s="269"/>
      <c r="AM1814" s="269"/>
    </row>
    <row r="1815" spans="1:39" ht="12.75" customHeight="1" x14ac:dyDescent="0.2">
      <c r="A1815" s="289" t="str">
        <f>IF(B1815="","",COUNT('Diário 5º PA'!$A$5:$A$2634)+COUNT('Diário 6º PA'!$A$5:$A$2246)+ROW()-4)</f>
        <v/>
      </c>
      <c r="B1815" s="290"/>
      <c r="C1815" s="357"/>
      <c r="D1815" s="291"/>
      <c r="E1815" s="291"/>
      <c r="F1815" s="292"/>
      <c r="G1815" s="456"/>
      <c r="H1815" s="291"/>
      <c r="I1815" s="293"/>
      <c r="J1815" s="291"/>
      <c r="K1815" s="291"/>
      <c r="L1815" s="293"/>
      <c r="M1815" s="289"/>
      <c r="N1815" s="289"/>
      <c r="O1815" s="358"/>
      <c r="P1815" s="330">
        <f t="shared" si="262"/>
        <v>0</v>
      </c>
      <c r="Q1815" s="330">
        <f t="shared" si="263"/>
        <v>0</v>
      </c>
      <c r="R1815" s="331" t="str">
        <f t="shared" si="264"/>
        <v/>
      </c>
      <c r="S1815" s="331" t="str">
        <f>IF(D1815="","",IF(OR(D1815=Plano!$A$1,D1815=Plano!$B$1),"entrada","saída"))</f>
        <v/>
      </c>
      <c r="T1815" s="406"/>
      <c r="U1815" s="406"/>
      <c r="V1815" s="269"/>
      <c r="W1815" s="269"/>
      <c r="X1815" s="269"/>
      <c r="Y1815" s="269"/>
      <c r="Z1815" s="269"/>
      <c r="AA1815" s="269"/>
      <c r="AB1815" s="269"/>
      <c r="AC1815" s="269"/>
      <c r="AD1815" s="269"/>
      <c r="AE1815" s="269"/>
      <c r="AF1815" s="269"/>
      <c r="AG1815" s="269"/>
      <c r="AH1815" s="269"/>
      <c r="AI1815" s="269"/>
      <c r="AJ1815" s="269"/>
      <c r="AK1815" s="269"/>
      <c r="AL1815" s="269"/>
      <c r="AM1815" s="269"/>
    </row>
    <row r="1816" spans="1:39" ht="12.75" customHeight="1" x14ac:dyDescent="0.2">
      <c r="A1816" s="289" t="str">
        <f>IF(B1816="","",COUNT('Diário 5º PA'!$A$5:$A$2634)+COUNT('Diário 6º PA'!$A$5:$A$2246)+ROW()-4)</f>
        <v/>
      </c>
      <c r="B1816" s="290"/>
      <c r="C1816" s="357"/>
      <c r="D1816" s="291"/>
      <c r="E1816" s="291"/>
      <c r="F1816" s="292"/>
      <c r="G1816" s="456"/>
      <c r="H1816" s="291"/>
      <c r="I1816" s="293"/>
      <c r="J1816" s="291"/>
      <c r="K1816" s="291"/>
      <c r="L1816" s="293"/>
      <c r="M1816" s="289"/>
      <c r="N1816" s="289"/>
      <c r="O1816" s="358"/>
      <c r="P1816" s="330">
        <f t="shared" si="262"/>
        <v>0</v>
      </c>
      <c r="Q1816" s="330">
        <f t="shared" si="263"/>
        <v>0</v>
      </c>
      <c r="R1816" s="331" t="str">
        <f t="shared" si="264"/>
        <v/>
      </c>
      <c r="S1816" s="331" t="str">
        <f>IF(D1816="","",IF(OR(D1816=Plano!$A$1,D1816=Plano!$B$1),"entrada","saída"))</f>
        <v/>
      </c>
      <c r="T1816" s="406"/>
      <c r="U1816" s="406"/>
      <c r="V1816" s="269"/>
      <c r="W1816" s="269"/>
      <c r="X1816" s="269"/>
      <c r="Y1816" s="269"/>
      <c r="Z1816" s="269"/>
      <c r="AA1816" s="269"/>
      <c r="AB1816" s="269"/>
      <c r="AC1816" s="269"/>
      <c r="AD1816" s="269"/>
      <c r="AE1816" s="269"/>
      <c r="AF1816" s="269"/>
      <c r="AG1816" s="269"/>
      <c r="AH1816" s="269"/>
      <c r="AI1816" s="269"/>
      <c r="AJ1816" s="269"/>
      <c r="AK1816" s="269"/>
      <c r="AL1816" s="269"/>
      <c r="AM1816" s="269"/>
    </row>
    <row r="1817" spans="1:39" ht="12.75" customHeight="1" x14ac:dyDescent="0.2">
      <c r="A1817" s="289" t="str">
        <f>IF(B1817="","",COUNT('Diário 5º PA'!$A$5:$A$2634)+COUNT('Diário 6º PA'!$A$5:$A$2246)+ROW()-4)</f>
        <v/>
      </c>
      <c r="B1817" s="290"/>
      <c r="C1817" s="357"/>
      <c r="D1817" s="291"/>
      <c r="E1817" s="291"/>
      <c r="F1817" s="292"/>
      <c r="G1817" s="456"/>
      <c r="H1817" s="291"/>
      <c r="I1817" s="293"/>
      <c r="J1817" s="291"/>
      <c r="K1817" s="291"/>
      <c r="L1817" s="293"/>
      <c r="M1817" s="289"/>
      <c r="N1817" s="289"/>
      <c r="O1817" s="358"/>
      <c r="P1817" s="330">
        <f t="shared" si="262"/>
        <v>0</v>
      </c>
      <c r="Q1817" s="330">
        <f t="shared" si="263"/>
        <v>0</v>
      </c>
      <c r="R1817" s="331" t="str">
        <f t="shared" si="264"/>
        <v/>
      </c>
      <c r="S1817" s="331" t="str">
        <f>IF(D1817="","",IF(OR(D1817=Plano!$A$1,D1817=Plano!$B$1),"entrada","saída"))</f>
        <v/>
      </c>
      <c r="T1817" s="406"/>
      <c r="U1817" s="406"/>
      <c r="V1817" s="269"/>
      <c r="W1817" s="269"/>
      <c r="X1817" s="269"/>
      <c r="Y1817" s="269"/>
      <c r="Z1817" s="269"/>
      <c r="AA1817" s="269"/>
      <c r="AB1817" s="269"/>
      <c r="AC1817" s="269"/>
      <c r="AD1817" s="269"/>
      <c r="AE1817" s="269"/>
      <c r="AF1817" s="269"/>
      <c r="AG1817" s="269"/>
      <c r="AH1817" s="269"/>
      <c r="AI1817" s="269"/>
      <c r="AJ1817" s="269"/>
      <c r="AK1817" s="269"/>
      <c r="AL1817" s="269"/>
      <c r="AM1817" s="269"/>
    </row>
    <row r="1818" spans="1:39" ht="12.75" customHeight="1" x14ac:dyDescent="0.2">
      <c r="A1818" s="289" t="str">
        <f>IF(B1818="","",COUNT('Diário 5º PA'!$A$5:$A$2634)+COUNT('Diário 6º PA'!$A$5:$A$2246)+ROW()-4)</f>
        <v/>
      </c>
      <c r="B1818" s="290"/>
      <c r="C1818" s="357"/>
      <c r="D1818" s="291"/>
      <c r="E1818" s="291"/>
      <c r="F1818" s="292"/>
      <c r="G1818" s="456"/>
      <c r="H1818" s="291"/>
      <c r="I1818" s="293"/>
      <c r="J1818" s="291"/>
      <c r="K1818" s="291"/>
      <c r="L1818" s="293"/>
      <c r="M1818" s="289"/>
      <c r="N1818" s="289"/>
      <c r="O1818" s="358"/>
      <c r="P1818" s="330">
        <f t="shared" si="262"/>
        <v>0</v>
      </c>
      <c r="Q1818" s="330">
        <f t="shared" si="263"/>
        <v>0</v>
      </c>
      <c r="R1818" s="331" t="str">
        <f t="shared" si="264"/>
        <v/>
      </c>
      <c r="S1818" s="331" t="str">
        <f>IF(D1818="","",IF(OR(D1818=Plano!$A$1,D1818=Plano!$B$1),"entrada","saída"))</f>
        <v/>
      </c>
      <c r="T1818" s="406"/>
      <c r="U1818" s="406"/>
      <c r="V1818" s="269"/>
      <c r="W1818" s="269"/>
      <c r="X1818" s="269"/>
      <c r="Y1818" s="269"/>
      <c r="Z1818" s="269"/>
      <c r="AA1818" s="269"/>
      <c r="AB1818" s="269"/>
      <c r="AC1818" s="269"/>
      <c r="AD1818" s="269"/>
      <c r="AE1818" s="269"/>
      <c r="AF1818" s="269"/>
      <c r="AG1818" s="269"/>
      <c r="AH1818" s="269"/>
      <c r="AI1818" s="269"/>
      <c r="AJ1818" s="269"/>
      <c r="AK1818" s="269"/>
      <c r="AL1818" s="269"/>
      <c r="AM1818" s="269"/>
    </row>
    <row r="1819" spans="1:39" ht="12.75" customHeight="1" x14ac:dyDescent="0.2">
      <c r="A1819" s="289" t="str">
        <f>IF(B1819="","",COUNT('Diário 5º PA'!$A$5:$A$2634)+COUNT('Diário 6º PA'!$A$5:$A$2246)+ROW()-4)</f>
        <v/>
      </c>
      <c r="B1819" s="290"/>
      <c r="C1819" s="357"/>
      <c r="D1819" s="291"/>
      <c r="E1819" s="291"/>
      <c r="F1819" s="292"/>
      <c r="G1819" s="456"/>
      <c r="H1819" s="291"/>
      <c r="I1819" s="293"/>
      <c r="J1819" s="291"/>
      <c r="K1819" s="291"/>
      <c r="L1819" s="293"/>
      <c r="M1819" s="289"/>
      <c r="N1819" s="289"/>
      <c r="O1819" s="358"/>
      <c r="P1819" s="330">
        <f t="shared" si="262"/>
        <v>0</v>
      </c>
      <c r="Q1819" s="330">
        <f t="shared" si="263"/>
        <v>0</v>
      </c>
      <c r="R1819" s="331" t="str">
        <f t="shared" si="264"/>
        <v/>
      </c>
      <c r="S1819" s="331" t="str">
        <f>IF(D1819="","",IF(OR(D1819=Plano!$A$1,D1819=Plano!$B$1),"entrada","saída"))</f>
        <v/>
      </c>
      <c r="T1819" s="406"/>
      <c r="U1819" s="406"/>
      <c r="V1819" s="269"/>
      <c r="W1819" s="269"/>
      <c r="X1819" s="269"/>
      <c r="Y1819" s="269"/>
      <c r="Z1819" s="269"/>
      <c r="AA1819" s="269"/>
      <c r="AB1819" s="269"/>
      <c r="AC1819" s="269"/>
      <c r="AD1819" s="269"/>
      <c r="AE1819" s="269"/>
      <c r="AF1819" s="269"/>
      <c r="AG1819" s="269"/>
      <c r="AH1819" s="269"/>
      <c r="AI1819" s="269"/>
      <c r="AJ1819" s="269"/>
      <c r="AK1819" s="269"/>
      <c r="AL1819" s="269"/>
      <c r="AM1819" s="269"/>
    </row>
    <row r="1820" spans="1:39" ht="12.75" customHeight="1" x14ac:dyDescent="0.2">
      <c r="A1820" s="289" t="str">
        <f>IF(B1820="","",COUNT('Diário 5º PA'!$A$5:$A$2634)+COUNT('Diário 6º PA'!$A$5:$A$2246)+ROW()-4)</f>
        <v/>
      </c>
      <c r="B1820" s="290"/>
      <c r="C1820" s="357"/>
      <c r="D1820" s="291"/>
      <c r="E1820" s="291"/>
      <c r="F1820" s="292"/>
      <c r="G1820" s="456"/>
      <c r="H1820" s="291"/>
      <c r="I1820" s="293"/>
      <c r="J1820" s="291"/>
      <c r="K1820" s="291"/>
      <c r="L1820" s="293"/>
      <c r="M1820" s="289"/>
      <c r="N1820" s="289"/>
      <c r="O1820" s="358"/>
      <c r="P1820" s="330">
        <f t="shared" si="262"/>
        <v>0</v>
      </c>
      <c r="Q1820" s="330">
        <f t="shared" si="263"/>
        <v>0</v>
      </c>
      <c r="R1820" s="331" t="str">
        <f t="shared" si="264"/>
        <v/>
      </c>
      <c r="S1820" s="331" t="str">
        <f>IF(D1820="","",IF(OR(D1820=Plano!$A$1,D1820=Plano!$B$1),"entrada","saída"))</f>
        <v/>
      </c>
      <c r="T1820" s="406"/>
      <c r="U1820" s="406"/>
      <c r="V1820" s="269"/>
      <c r="W1820" s="269"/>
      <c r="X1820" s="269"/>
      <c r="Y1820" s="269"/>
      <c r="Z1820" s="269"/>
      <c r="AA1820" s="269"/>
      <c r="AB1820" s="269"/>
      <c r="AC1820" s="269"/>
      <c r="AD1820" s="269"/>
      <c r="AE1820" s="269"/>
      <c r="AF1820" s="269"/>
      <c r="AG1820" s="269"/>
      <c r="AH1820" s="269"/>
      <c r="AI1820" s="269"/>
      <c r="AJ1820" s="269"/>
      <c r="AK1820" s="269"/>
      <c r="AL1820" s="269"/>
      <c r="AM1820" s="269"/>
    </row>
    <row r="1821" spans="1:39" ht="12.75" customHeight="1" x14ac:dyDescent="0.2">
      <c r="A1821" s="289" t="str">
        <f>IF(B1821="","",COUNT('Diário 5º PA'!$A$5:$A$2634)+COUNT('Diário 6º PA'!$A$5:$A$2246)+ROW()-4)</f>
        <v/>
      </c>
      <c r="B1821" s="290"/>
      <c r="C1821" s="357"/>
      <c r="D1821" s="291"/>
      <c r="E1821" s="291"/>
      <c r="F1821" s="292"/>
      <c r="G1821" s="456"/>
      <c r="H1821" s="291"/>
      <c r="I1821" s="293"/>
      <c r="J1821" s="291"/>
      <c r="K1821" s="291"/>
      <c r="L1821" s="293"/>
      <c r="M1821" s="289"/>
      <c r="N1821" s="289"/>
      <c r="O1821" s="358"/>
      <c r="P1821" s="330">
        <f t="shared" si="262"/>
        <v>0</v>
      </c>
      <c r="Q1821" s="330">
        <f t="shared" si="263"/>
        <v>0</v>
      </c>
      <c r="R1821" s="331" t="str">
        <f t="shared" si="264"/>
        <v/>
      </c>
      <c r="S1821" s="331" t="str">
        <f>IF(D1821="","",IF(OR(D1821=Plano!$A$1,D1821=Plano!$B$1),"entrada","saída"))</f>
        <v/>
      </c>
      <c r="T1821" s="406"/>
      <c r="U1821" s="406"/>
      <c r="V1821" s="269"/>
      <c r="W1821" s="269"/>
      <c r="X1821" s="269"/>
      <c r="Y1821" s="269"/>
      <c r="Z1821" s="269"/>
      <c r="AA1821" s="269"/>
      <c r="AB1821" s="269"/>
      <c r="AC1821" s="269"/>
      <c r="AD1821" s="269"/>
      <c r="AE1821" s="269"/>
      <c r="AF1821" s="269"/>
      <c r="AG1821" s="269"/>
      <c r="AH1821" s="269"/>
      <c r="AI1821" s="269"/>
      <c r="AJ1821" s="269"/>
      <c r="AK1821" s="269"/>
      <c r="AL1821" s="269"/>
      <c r="AM1821" s="269"/>
    </row>
    <row r="1822" spans="1:39" ht="12.75" customHeight="1" x14ac:dyDescent="0.2">
      <c r="A1822" s="289" t="str">
        <f>IF(B1822="","",COUNT('Diário 5º PA'!$A$5:$A$2634)+COUNT('Diário 6º PA'!$A$5:$A$2246)+ROW()-4)</f>
        <v/>
      </c>
      <c r="B1822" s="290"/>
      <c r="C1822" s="357"/>
      <c r="D1822" s="291"/>
      <c r="E1822" s="291"/>
      <c r="F1822" s="292"/>
      <c r="G1822" s="456"/>
      <c r="H1822" s="291"/>
      <c r="I1822" s="293"/>
      <c r="J1822" s="291"/>
      <c r="K1822" s="291"/>
      <c r="L1822" s="293"/>
      <c r="M1822" s="289"/>
      <c r="N1822" s="289"/>
      <c r="O1822" s="358"/>
      <c r="P1822" s="330">
        <f t="shared" si="262"/>
        <v>0</v>
      </c>
      <c r="Q1822" s="330">
        <f t="shared" si="263"/>
        <v>0</v>
      </c>
      <c r="R1822" s="331" t="str">
        <f t="shared" si="264"/>
        <v/>
      </c>
      <c r="S1822" s="331" t="str">
        <f>IF(D1822="","",IF(OR(D1822=Plano!$A$1,D1822=Plano!$B$1),"entrada","saída"))</f>
        <v/>
      </c>
      <c r="T1822" s="406"/>
      <c r="U1822" s="406"/>
      <c r="V1822" s="269"/>
      <c r="W1822" s="269"/>
      <c r="X1822" s="269"/>
      <c r="Y1822" s="269"/>
      <c r="Z1822" s="269"/>
      <c r="AA1822" s="269"/>
      <c r="AB1822" s="269"/>
      <c r="AC1822" s="269"/>
      <c r="AD1822" s="269"/>
      <c r="AE1822" s="269"/>
      <c r="AF1822" s="269"/>
      <c r="AG1822" s="269"/>
      <c r="AH1822" s="269"/>
      <c r="AI1822" s="269"/>
      <c r="AJ1822" s="269"/>
      <c r="AK1822" s="269"/>
      <c r="AL1822" s="269"/>
      <c r="AM1822" s="269"/>
    </row>
    <row r="1823" spans="1:39" ht="12.75" customHeight="1" x14ac:dyDescent="0.2">
      <c r="A1823" s="289" t="str">
        <f>IF(B1823="","",COUNT('Diário 5º PA'!$A$5:$A$2634)+COUNT('Diário 6º PA'!$A$5:$A$2246)+ROW()-4)</f>
        <v/>
      </c>
      <c r="B1823" s="290"/>
      <c r="C1823" s="357"/>
      <c r="D1823" s="291"/>
      <c r="E1823" s="291"/>
      <c r="F1823" s="292"/>
      <c r="G1823" s="456"/>
      <c r="H1823" s="291"/>
      <c r="I1823" s="293"/>
      <c r="J1823" s="291"/>
      <c r="K1823" s="291"/>
      <c r="L1823" s="293"/>
      <c r="M1823" s="289"/>
      <c r="N1823" s="289"/>
      <c r="O1823" s="358"/>
      <c r="P1823" s="330">
        <f t="shared" si="262"/>
        <v>0</v>
      </c>
      <c r="Q1823" s="330">
        <f t="shared" si="263"/>
        <v>0</v>
      </c>
      <c r="R1823" s="331" t="str">
        <f t="shared" si="264"/>
        <v/>
      </c>
      <c r="S1823" s="331" t="str">
        <f>IF(D1823="","",IF(OR(D1823=Plano!$A$1,D1823=Plano!$B$1),"entrada","saída"))</f>
        <v/>
      </c>
      <c r="T1823" s="406"/>
      <c r="U1823" s="406"/>
      <c r="V1823" s="269"/>
      <c r="W1823" s="269"/>
      <c r="X1823" s="269"/>
      <c r="Y1823" s="269"/>
      <c r="Z1823" s="269"/>
      <c r="AA1823" s="269"/>
      <c r="AB1823" s="269"/>
      <c r="AC1823" s="269"/>
      <c r="AD1823" s="269"/>
      <c r="AE1823" s="269"/>
      <c r="AF1823" s="269"/>
      <c r="AG1823" s="269"/>
      <c r="AH1823" s="269"/>
      <c r="AI1823" s="269"/>
      <c r="AJ1823" s="269"/>
      <c r="AK1823" s="269"/>
      <c r="AL1823" s="269"/>
      <c r="AM1823" s="269"/>
    </row>
    <row r="1824" spans="1:39" ht="12.75" customHeight="1" x14ac:dyDescent="0.2">
      <c r="A1824" s="289" t="str">
        <f>IF(B1824="","",COUNT('Diário 5º PA'!$A$5:$A$2634)+COUNT('Diário 6º PA'!$A$5:$A$2246)+ROW()-4)</f>
        <v/>
      </c>
      <c r="B1824" s="290"/>
      <c r="C1824" s="357"/>
      <c r="D1824" s="291"/>
      <c r="E1824" s="291"/>
      <c r="F1824" s="292"/>
      <c r="G1824" s="456"/>
      <c r="H1824" s="291"/>
      <c r="I1824" s="293"/>
      <c r="J1824" s="291"/>
      <c r="K1824" s="291"/>
      <c r="L1824" s="293"/>
      <c r="M1824" s="289"/>
      <c r="N1824" s="289"/>
      <c r="O1824" s="358"/>
      <c r="P1824" s="330">
        <f t="shared" si="262"/>
        <v>0</v>
      </c>
      <c r="Q1824" s="330">
        <f t="shared" si="263"/>
        <v>0</v>
      </c>
      <c r="R1824" s="331" t="str">
        <f t="shared" si="264"/>
        <v/>
      </c>
      <c r="S1824" s="331" t="str">
        <f>IF(D1824="","",IF(OR(D1824=Plano!$A$1,D1824=Plano!$B$1),"entrada","saída"))</f>
        <v/>
      </c>
      <c r="T1824" s="406"/>
      <c r="U1824" s="406"/>
      <c r="V1824" s="269"/>
      <c r="W1824" s="269"/>
      <c r="X1824" s="269"/>
      <c r="Y1824" s="269"/>
      <c r="Z1824" s="269"/>
      <c r="AA1824" s="269"/>
      <c r="AB1824" s="269"/>
      <c r="AC1824" s="269"/>
      <c r="AD1824" s="269"/>
      <c r="AE1824" s="269"/>
      <c r="AF1824" s="269"/>
      <c r="AG1824" s="269"/>
      <c r="AH1824" s="269"/>
      <c r="AI1824" s="269"/>
      <c r="AJ1824" s="269"/>
      <c r="AK1824" s="269"/>
      <c r="AL1824" s="269"/>
      <c r="AM1824" s="269"/>
    </row>
    <row r="1825" spans="1:39" ht="12.75" customHeight="1" x14ac:dyDescent="0.2">
      <c r="A1825" s="289" t="str">
        <f>IF(B1825="","",COUNT('Diário 5º PA'!$A$5:$A$2634)+COUNT('Diário 6º PA'!$A$5:$A$2246)+ROW()-4)</f>
        <v/>
      </c>
      <c r="B1825" s="290"/>
      <c r="C1825" s="357"/>
      <c r="D1825" s="291"/>
      <c r="E1825" s="291"/>
      <c r="F1825" s="292"/>
      <c r="G1825" s="456"/>
      <c r="H1825" s="291"/>
      <c r="I1825" s="293"/>
      <c r="J1825" s="291"/>
      <c r="K1825" s="291"/>
      <c r="L1825" s="293"/>
      <c r="M1825" s="289"/>
      <c r="N1825" s="289"/>
      <c r="O1825" s="358"/>
      <c r="P1825" s="330">
        <f t="shared" si="262"/>
        <v>0</v>
      </c>
      <c r="Q1825" s="330">
        <f t="shared" si="263"/>
        <v>0</v>
      </c>
      <c r="R1825" s="331" t="str">
        <f t="shared" si="264"/>
        <v/>
      </c>
      <c r="S1825" s="331" t="str">
        <f>IF(D1825="","",IF(OR(D1825=Plano!$A$1,D1825=Plano!$B$1),"entrada","saída"))</f>
        <v/>
      </c>
      <c r="T1825" s="406"/>
      <c r="U1825" s="406"/>
      <c r="V1825" s="269"/>
      <c r="W1825" s="269"/>
      <c r="X1825" s="269"/>
      <c r="Y1825" s="269"/>
      <c r="Z1825" s="269"/>
      <c r="AA1825" s="269"/>
      <c r="AB1825" s="269"/>
      <c r="AC1825" s="269"/>
      <c r="AD1825" s="269"/>
      <c r="AE1825" s="269"/>
      <c r="AF1825" s="269"/>
      <c r="AG1825" s="269"/>
      <c r="AH1825" s="269"/>
      <c r="AI1825" s="269"/>
      <c r="AJ1825" s="269"/>
      <c r="AK1825" s="269"/>
      <c r="AL1825" s="269"/>
      <c r="AM1825" s="269"/>
    </row>
    <row r="1826" spans="1:39" ht="12.75" customHeight="1" x14ac:dyDescent="0.2">
      <c r="A1826" s="289" t="str">
        <f>IF(B1826="","",COUNT('Diário 5º PA'!$A$5:$A$2634)+COUNT('Diário 6º PA'!$A$5:$A$2246)+ROW()-4)</f>
        <v/>
      </c>
      <c r="B1826" s="290"/>
      <c r="C1826" s="357"/>
      <c r="D1826" s="291"/>
      <c r="E1826" s="291"/>
      <c r="F1826" s="292"/>
      <c r="G1826" s="456"/>
      <c r="H1826" s="291"/>
      <c r="I1826" s="293"/>
      <c r="J1826" s="291"/>
      <c r="K1826" s="291"/>
      <c r="L1826" s="293"/>
      <c r="M1826" s="289"/>
      <c r="N1826" s="289"/>
      <c r="O1826" s="358"/>
      <c r="P1826" s="330">
        <f t="shared" si="262"/>
        <v>0</v>
      </c>
      <c r="Q1826" s="330">
        <f t="shared" si="263"/>
        <v>0</v>
      </c>
      <c r="R1826" s="331" t="str">
        <f t="shared" si="264"/>
        <v/>
      </c>
      <c r="S1826" s="331" t="str">
        <f>IF(D1826="","",IF(OR(D1826=Plano!$A$1,D1826=Plano!$B$1),"entrada","saída"))</f>
        <v/>
      </c>
      <c r="T1826" s="406"/>
      <c r="U1826" s="406"/>
      <c r="V1826" s="269"/>
      <c r="W1826" s="269"/>
      <c r="X1826" s="269"/>
      <c r="Y1826" s="269"/>
      <c r="Z1826" s="269"/>
      <c r="AA1826" s="269"/>
      <c r="AB1826" s="269"/>
      <c r="AC1826" s="269"/>
      <c r="AD1826" s="269"/>
      <c r="AE1826" s="269"/>
      <c r="AF1826" s="269"/>
      <c r="AG1826" s="269"/>
      <c r="AH1826" s="269"/>
      <c r="AI1826" s="269"/>
      <c r="AJ1826" s="269"/>
      <c r="AK1826" s="269"/>
      <c r="AL1826" s="269"/>
      <c r="AM1826" s="269"/>
    </row>
    <row r="1827" spans="1:39" ht="12.75" customHeight="1" x14ac:dyDescent="0.2">
      <c r="A1827" s="289" t="str">
        <f>IF(B1827="","",COUNT('Diário 5º PA'!$A$5:$A$2634)+COUNT('Diário 6º PA'!$A$5:$A$2246)+ROW()-4)</f>
        <v/>
      </c>
      <c r="B1827" s="290"/>
      <c r="C1827" s="357"/>
      <c r="D1827" s="291"/>
      <c r="E1827" s="291"/>
      <c r="F1827" s="292"/>
      <c r="G1827" s="456"/>
      <c r="H1827" s="291"/>
      <c r="I1827" s="293"/>
      <c r="J1827" s="291"/>
      <c r="K1827" s="291"/>
      <c r="L1827" s="293"/>
      <c r="M1827" s="289"/>
      <c r="N1827" s="289"/>
      <c r="O1827" s="358"/>
      <c r="P1827" s="330">
        <f t="shared" si="262"/>
        <v>0</v>
      </c>
      <c r="Q1827" s="330">
        <f t="shared" si="263"/>
        <v>0</v>
      </c>
      <c r="R1827" s="331" t="str">
        <f t="shared" si="264"/>
        <v/>
      </c>
      <c r="S1827" s="331" t="str">
        <f>IF(D1827="","",IF(OR(D1827=Plano!$A$1,D1827=Plano!$B$1),"entrada","saída"))</f>
        <v/>
      </c>
      <c r="T1827" s="406"/>
      <c r="U1827" s="406"/>
      <c r="V1827" s="269"/>
      <c r="W1827" s="269"/>
      <c r="X1827" s="269"/>
      <c r="Y1827" s="269"/>
      <c r="Z1827" s="269"/>
      <c r="AA1827" s="269"/>
      <c r="AB1827" s="269"/>
      <c r="AC1827" s="269"/>
      <c r="AD1827" s="269"/>
      <c r="AE1827" s="269"/>
      <c r="AF1827" s="269"/>
      <c r="AG1827" s="269"/>
      <c r="AH1827" s="269"/>
      <c r="AI1827" s="269"/>
      <c r="AJ1827" s="269"/>
      <c r="AK1827" s="269"/>
      <c r="AL1827" s="269"/>
      <c r="AM1827" s="269"/>
    </row>
    <row r="1828" spans="1:39" ht="12.75" customHeight="1" x14ac:dyDescent="0.2">
      <c r="A1828" s="289" t="str">
        <f>IF(B1828="","",COUNT('Diário 5º PA'!$A$5:$A$2634)+COUNT('Diário 6º PA'!$A$5:$A$2246)+ROW()-4)</f>
        <v/>
      </c>
      <c r="B1828" s="290"/>
      <c r="C1828" s="357"/>
      <c r="D1828" s="291"/>
      <c r="E1828" s="291"/>
      <c r="F1828" s="292"/>
      <c r="G1828" s="456"/>
      <c r="H1828" s="291"/>
      <c r="I1828" s="293"/>
      <c r="J1828" s="291"/>
      <c r="K1828" s="291"/>
      <c r="L1828" s="293"/>
      <c r="M1828" s="289"/>
      <c r="N1828" s="289"/>
      <c r="O1828" s="358"/>
      <c r="P1828" s="330">
        <f t="shared" si="262"/>
        <v>0</v>
      </c>
      <c r="Q1828" s="330">
        <f t="shared" si="263"/>
        <v>0</v>
      </c>
      <c r="R1828" s="331" t="str">
        <f t="shared" si="264"/>
        <v/>
      </c>
      <c r="S1828" s="331" t="str">
        <f>IF(D1828="","",IF(OR(D1828=Plano!$A$1,D1828=Plano!$B$1),"entrada","saída"))</f>
        <v/>
      </c>
      <c r="T1828" s="406"/>
      <c r="U1828" s="406"/>
      <c r="V1828" s="269"/>
      <c r="W1828" s="269"/>
      <c r="X1828" s="269"/>
      <c r="Y1828" s="269"/>
      <c r="Z1828" s="269"/>
      <c r="AA1828" s="269"/>
      <c r="AB1828" s="269"/>
      <c r="AC1828" s="269"/>
      <c r="AD1828" s="269"/>
      <c r="AE1828" s="269"/>
      <c r="AF1828" s="269"/>
      <c r="AG1828" s="269"/>
      <c r="AH1828" s="269"/>
      <c r="AI1828" s="269"/>
      <c r="AJ1828" s="269"/>
      <c r="AK1828" s="269"/>
      <c r="AL1828" s="269"/>
      <c r="AM1828" s="269"/>
    </row>
    <row r="1829" spans="1:39" ht="12.75" customHeight="1" x14ac:dyDescent="0.2">
      <c r="A1829" s="289" t="str">
        <f>IF(B1829="","",COUNT('Diário 5º PA'!$A$5:$A$2634)+COUNT('Diário 6º PA'!$A$5:$A$2246)+ROW()-4)</f>
        <v/>
      </c>
      <c r="B1829" s="290"/>
      <c r="C1829" s="357"/>
      <c r="D1829" s="291"/>
      <c r="E1829" s="291"/>
      <c r="F1829" s="292"/>
      <c r="G1829" s="456"/>
      <c r="H1829" s="291"/>
      <c r="I1829" s="293"/>
      <c r="J1829" s="291"/>
      <c r="K1829" s="291"/>
      <c r="L1829" s="293"/>
      <c r="M1829" s="289"/>
      <c r="N1829" s="289"/>
      <c r="O1829" s="358"/>
      <c r="P1829" s="330">
        <f t="shared" si="262"/>
        <v>0</v>
      </c>
      <c r="Q1829" s="330">
        <f t="shared" si="263"/>
        <v>0</v>
      </c>
      <c r="R1829" s="331" t="str">
        <f t="shared" si="264"/>
        <v/>
      </c>
      <c r="S1829" s="331" t="str">
        <f>IF(D1829="","",IF(OR(D1829=Plano!$A$1,D1829=Plano!$B$1),"entrada","saída"))</f>
        <v/>
      </c>
      <c r="T1829" s="406"/>
      <c r="U1829" s="406"/>
      <c r="V1829" s="269"/>
      <c r="W1829" s="269"/>
      <c r="X1829" s="269"/>
      <c r="Y1829" s="269"/>
      <c r="Z1829" s="269"/>
      <c r="AA1829" s="269"/>
      <c r="AB1829" s="269"/>
      <c r="AC1829" s="269"/>
      <c r="AD1829" s="269"/>
      <c r="AE1829" s="269"/>
      <c r="AF1829" s="269"/>
      <c r="AG1829" s="269"/>
      <c r="AH1829" s="269"/>
      <c r="AI1829" s="269"/>
      <c r="AJ1829" s="269"/>
      <c r="AK1829" s="269"/>
      <c r="AL1829" s="269"/>
      <c r="AM1829" s="269"/>
    </row>
    <row r="1830" spans="1:39" ht="12.75" customHeight="1" x14ac:dyDescent="0.2">
      <c r="A1830" s="289" t="str">
        <f>IF(B1830="","",COUNT('Diário 5º PA'!$A$5:$A$2634)+COUNT('Diário 6º PA'!$A$5:$A$2246)+ROW()-4)</f>
        <v/>
      </c>
      <c r="B1830" s="290"/>
      <c r="C1830" s="357"/>
      <c r="D1830" s="291"/>
      <c r="E1830" s="291"/>
      <c r="F1830" s="292"/>
      <c r="G1830" s="456"/>
      <c r="H1830" s="291"/>
      <c r="I1830" s="293"/>
      <c r="J1830" s="291"/>
      <c r="K1830" s="291"/>
      <c r="L1830" s="293"/>
      <c r="M1830" s="289"/>
      <c r="N1830" s="289"/>
      <c r="O1830" s="358"/>
      <c r="P1830" s="330">
        <f t="shared" si="262"/>
        <v>0</v>
      </c>
      <c r="Q1830" s="330">
        <f t="shared" si="263"/>
        <v>0</v>
      </c>
      <c r="R1830" s="331" t="str">
        <f t="shared" si="264"/>
        <v/>
      </c>
      <c r="S1830" s="331" t="str">
        <f>IF(D1830="","",IF(OR(D1830=Plano!$A$1,D1830=Plano!$B$1),"entrada","saída"))</f>
        <v/>
      </c>
      <c r="T1830" s="406"/>
      <c r="U1830" s="406"/>
      <c r="V1830" s="269"/>
      <c r="W1830" s="269"/>
      <c r="X1830" s="269"/>
      <c r="Y1830" s="269"/>
      <c r="Z1830" s="269"/>
      <c r="AA1830" s="269"/>
      <c r="AB1830" s="269"/>
      <c r="AC1830" s="269"/>
      <c r="AD1830" s="269"/>
      <c r="AE1830" s="269"/>
      <c r="AF1830" s="269"/>
      <c r="AG1830" s="269"/>
      <c r="AH1830" s="269"/>
      <c r="AI1830" s="269"/>
      <c r="AJ1830" s="269"/>
      <c r="AK1830" s="269"/>
      <c r="AL1830" s="269"/>
      <c r="AM1830" s="269"/>
    </row>
    <row r="1831" spans="1:39" ht="12.75" customHeight="1" x14ac:dyDescent="0.2">
      <c r="A1831" s="289" t="str">
        <f>IF(B1831="","",COUNT('Diário 5º PA'!$A$5:$A$2634)+COUNT('Diário 6º PA'!$A$5:$A$2246)+ROW()-4)</f>
        <v/>
      </c>
      <c r="B1831" s="290"/>
      <c r="C1831" s="357"/>
      <c r="D1831" s="291"/>
      <c r="E1831" s="291"/>
      <c r="F1831" s="292"/>
      <c r="G1831" s="456"/>
      <c r="H1831" s="291"/>
      <c r="I1831" s="293"/>
      <c r="J1831" s="291"/>
      <c r="K1831" s="291"/>
      <c r="L1831" s="293"/>
      <c r="M1831" s="289"/>
      <c r="N1831" s="289"/>
      <c r="O1831" s="358"/>
      <c r="P1831" s="330">
        <f t="shared" si="262"/>
        <v>0</v>
      </c>
      <c r="Q1831" s="330">
        <f t="shared" si="263"/>
        <v>0</v>
      </c>
      <c r="R1831" s="331" t="str">
        <f t="shared" si="264"/>
        <v/>
      </c>
      <c r="S1831" s="331" t="str">
        <f>IF(D1831="","",IF(OR(D1831=Plano!$A$1,D1831=Plano!$B$1),"entrada","saída"))</f>
        <v/>
      </c>
      <c r="T1831" s="406"/>
      <c r="U1831" s="406"/>
      <c r="V1831" s="269"/>
      <c r="W1831" s="269"/>
      <c r="X1831" s="269"/>
      <c r="Y1831" s="269"/>
      <c r="Z1831" s="269"/>
      <c r="AA1831" s="269"/>
      <c r="AB1831" s="269"/>
      <c r="AC1831" s="269"/>
      <c r="AD1831" s="269"/>
      <c r="AE1831" s="269"/>
      <c r="AF1831" s="269"/>
      <c r="AG1831" s="269"/>
      <c r="AH1831" s="269"/>
      <c r="AI1831" s="269"/>
      <c r="AJ1831" s="269"/>
      <c r="AK1831" s="269"/>
      <c r="AL1831" s="269"/>
      <c r="AM1831" s="269"/>
    </row>
    <row r="1832" spans="1:39" ht="12.75" customHeight="1" x14ac:dyDescent="0.2">
      <c r="A1832" s="289" t="str">
        <f>IF(B1832="","",COUNT('Diário 5º PA'!$A$5:$A$2634)+COUNT('Diário 6º PA'!$A$5:$A$2246)+ROW()-4)</f>
        <v/>
      </c>
      <c r="B1832" s="290"/>
      <c r="C1832" s="357"/>
      <c r="D1832" s="291"/>
      <c r="E1832" s="291"/>
      <c r="F1832" s="292"/>
      <c r="G1832" s="456"/>
      <c r="H1832" s="291"/>
      <c r="I1832" s="293"/>
      <c r="J1832" s="291"/>
      <c r="K1832" s="291"/>
      <c r="L1832" s="293"/>
      <c r="M1832" s="289"/>
      <c r="N1832" s="289"/>
      <c r="O1832" s="358"/>
      <c r="P1832" s="330">
        <f t="shared" si="262"/>
        <v>0</v>
      </c>
      <c r="Q1832" s="330">
        <f t="shared" si="263"/>
        <v>0</v>
      </c>
      <c r="R1832" s="331" t="str">
        <f t="shared" si="264"/>
        <v/>
      </c>
      <c r="S1832" s="331" t="str">
        <f>IF(D1832="","",IF(OR(D1832=Plano!$A$1,D1832=Plano!$B$1),"entrada","saída"))</f>
        <v/>
      </c>
      <c r="T1832" s="406"/>
      <c r="U1832" s="406"/>
      <c r="V1832" s="269"/>
      <c r="W1832" s="269"/>
      <c r="X1832" s="269"/>
      <c r="Y1832" s="269"/>
      <c r="Z1832" s="269"/>
      <c r="AA1832" s="269"/>
      <c r="AB1832" s="269"/>
      <c r="AC1832" s="269"/>
      <c r="AD1832" s="269"/>
      <c r="AE1832" s="269"/>
      <c r="AF1832" s="269"/>
      <c r="AG1832" s="269"/>
      <c r="AH1832" s="269"/>
      <c r="AI1832" s="269"/>
      <c r="AJ1832" s="269"/>
      <c r="AK1832" s="269"/>
      <c r="AL1832" s="269"/>
      <c r="AM1832" s="269"/>
    </row>
    <row r="1833" spans="1:39" ht="12.75" customHeight="1" x14ac:dyDescent="0.2">
      <c r="A1833" s="289" t="str">
        <f>IF(B1833="","",COUNT('Diário 5º PA'!$A$5:$A$2634)+COUNT('Diário 6º PA'!$A$5:$A$2246)+ROW()-4)</f>
        <v/>
      </c>
      <c r="B1833" s="290"/>
      <c r="C1833" s="357"/>
      <c r="D1833" s="291"/>
      <c r="E1833" s="291"/>
      <c r="F1833" s="292"/>
      <c r="G1833" s="456"/>
      <c r="H1833" s="291"/>
      <c r="I1833" s="293"/>
      <c r="J1833" s="291"/>
      <c r="K1833" s="291"/>
      <c r="L1833" s="293"/>
      <c r="M1833" s="289"/>
      <c r="N1833" s="289"/>
      <c r="O1833" s="358"/>
      <c r="P1833" s="330">
        <f t="shared" si="262"/>
        <v>0</v>
      </c>
      <c r="Q1833" s="330">
        <f t="shared" si="263"/>
        <v>0</v>
      </c>
      <c r="R1833" s="331" t="str">
        <f t="shared" si="264"/>
        <v/>
      </c>
      <c r="S1833" s="331" t="str">
        <f>IF(D1833="","",IF(OR(D1833=Plano!$A$1,D1833=Plano!$B$1),"entrada","saída"))</f>
        <v/>
      </c>
      <c r="T1833" s="406"/>
      <c r="U1833" s="406"/>
      <c r="V1833" s="269"/>
      <c r="W1833" s="269"/>
      <c r="X1833" s="269"/>
      <c r="Y1833" s="269"/>
      <c r="Z1833" s="269"/>
      <c r="AA1833" s="269"/>
      <c r="AB1833" s="269"/>
      <c r="AC1833" s="269"/>
      <c r="AD1833" s="269"/>
      <c r="AE1833" s="269"/>
      <c r="AF1833" s="269"/>
      <c r="AG1833" s="269"/>
      <c r="AH1833" s="269"/>
      <c r="AI1833" s="269"/>
      <c r="AJ1833" s="269"/>
      <c r="AK1833" s="269"/>
      <c r="AL1833" s="269"/>
      <c r="AM1833" s="269"/>
    </row>
    <row r="1834" spans="1:39" ht="12.75" customHeight="1" x14ac:dyDescent="0.2">
      <c r="A1834" s="289" t="str">
        <f>IF(B1834="","",COUNT('Diário 5º PA'!$A$5:$A$2634)+COUNT('Diário 6º PA'!$A$5:$A$2246)+ROW()-4)</f>
        <v/>
      </c>
      <c r="B1834" s="290"/>
      <c r="C1834" s="357"/>
      <c r="D1834" s="291"/>
      <c r="E1834" s="291"/>
      <c r="F1834" s="292"/>
      <c r="G1834" s="456"/>
      <c r="H1834" s="291"/>
      <c r="I1834" s="293"/>
      <c r="J1834" s="291"/>
      <c r="K1834" s="291"/>
      <c r="L1834" s="293"/>
      <c r="M1834" s="289"/>
      <c r="N1834" s="289"/>
      <c r="O1834" s="358"/>
      <c r="P1834" s="330">
        <f t="shared" si="262"/>
        <v>0</v>
      </c>
      <c r="Q1834" s="330">
        <f t="shared" si="263"/>
        <v>0</v>
      </c>
      <c r="R1834" s="331" t="str">
        <f t="shared" si="264"/>
        <v/>
      </c>
      <c r="S1834" s="331" t="str">
        <f>IF(D1834="","",IF(OR(D1834=Plano!$A$1,D1834=Plano!$B$1),"entrada","saída"))</f>
        <v/>
      </c>
      <c r="T1834" s="406"/>
      <c r="U1834" s="406"/>
      <c r="V1834" s="269"/>
      <c r="W1834" s="269"/>
      <c r="X1834" s="269"/>
      <c r="Y1834" s="269"/>
      <c r="Z1834" s="269"/>
      <c r="AA1834" s="269"/>
      <c r="AB1834" s="269"/>
      <c r="AC1834" s="269"/>
      <c r="AD1834" s="269"/>
      <c r="AE1834" s="269"/>
      <c r="AF1834" s="269"/>
      <c r="AG1834" s="269"/>
      <c r="AH1834" s="269"/>
      <c r="AI1834" s="269"/>
      <c r="AJ1834" s="269"/>
      <c r="AK1834" s="269"/>
      <c r="AL1834" s="269"/>
      <c r="AM1834" s="269"/>
    </row>
    <row r="1835" spans="1:39" ht="12.75" customHeight="1" x14ac:dyDescent="0.2">
      <c r="A1835" s="289" t="str">
        <f>IF(B1835="","",COUNT('Diário 5º PA'!$A$5:$A$2634)+COUNT('Diário 6º PA'!$A$5:$A$2246)+ROW()-4)</f>
        <v/>
      </c>
      <c r="B1835" s="290"/>
      <c r="C1835" s="357"/>
      <c r="D1835" s="291"/>
      <c r="E1835" s="291"/>
      <c r="F1835" s="292"/>
      <c r="G1835" s="456"/>
      <c r="H1835" s="291"/>
      <c r="I1835" s="293"/>
      <c r="J1835" s="291"/>
      <c r="K1835" s="291"/>
      <c r="L1835" s="293"/>
      <c r="M1835" s="289"/>
      <c r="N1835" s="289"/>
      <c r="O1835" s="358"/>
      <c r="P1835" s="330">
        <f t="shared" ref="P1835:P1898" si="265">IF(B1835=0,0,IF(YEAR(B1835)=$Q$1,MONTH(B1835)-$P$1+1,(YEAR(B1835)-$Q$1)*12-$P$1+1+MONTH(B1835)))</f>
        <v>0</v>
      </c>
      <c r="Q1835" s="330">
        <f t="shared" ref="Q1835:Q1898" si="266">IF(C1835=0,0,IF(YEAR(C1835)=$Q$1,MONTH(C1835)-$P$1+1,(YEAR(C1835)-$Q$1)*12-$P$1+1+MONTH(C1835)))</f>
        <v>0</v>
      </c>
      <c r="R1835" s="331" t="str">
        <f t="shared" ref="R1835:R1898" si="267">SUBSTITUTE(D1835," ","_")</f>
        <v/>
      </c>
      <c r="S1835" s="331" t="str">
        <f>IF(D1835="","",IF(OR(D1835=Plano!$A$1,D1835=Plano!$B$1),"entrada","saída"))</f>
        <v/>
      </c>
      <c r="T1835" s="406"/>
      <c r="U1835" s="406"/>
      <c r="V1835" s="269"/>
      <c r="W1835" s="269"/>
      <c r="X1835" s="269"/>
      <c r="Y1835" s="269"/>
      <c r="Z1835" s="269"/>
      <c r="AA1835" s="269"/>
      <c r="AB1835" s="269"/>
      <c r="AC1835" s="269"/>
      <c r="AD1835" s="269"/>
      <c r="AE1835" s="269"/>
      <c r="AF1835" s="269"/>
      <c r="AG1835" s="269"/>
      <c r="AH1835" s="269"/>
      <c r="AI1835" s="269"/>
      <c r="AJ1835" s="269"/>
      <c r="AK1835" s="269"/>
      <c r="AL1835" s="269"/>
      <c r="AM1835" s="269"/>
    </row>
    <row r="1836" spans="1:39" ht="12.75" customHeight="1" x14ac:dyDescent="0.2">
      <c r="A1836" s="289" t="str">
        <f>IF(B1836="","",COUNT('Diário 5º PA'!$A$5:$A$2634)+COUNT('Diário 6º PA'!$A$5:$A$2246)+ROW()-4)</f>
        <v/>
      </c>
      <c r="B1836" s="290"/>
      <c r="C1836" s="357"/>
      <c r="D1836" s="291"/>
      <c r="E1836" s="291"/>
      <c r="F1836" s="292"/>
      <c r="G1836" s="456"/>
      <c r="H1836" s="291"/>
      <c r="I1836" s="293"/>
      <c r="J1836" s="291"/>
      <c r="K1836" s="291"/>
      <c r="L1836" s="293"/>
      <c r="M1836" s="289"/>
      <c r="N1836" s="289"/>
      <c r="O1836" s="358"/>
      <c r="P1836" s="330">
        <f t="shared" si="265"/>
        <v>0</v>
      </c>
      <c r="Q1836" s="330">
        <f t="shared" si="266"/>
        <v>0</v>
      </c>
      <c r="R1836" s="331" t="str">
        <f t="shared" si="267"/>
        <v/>
      </c>
      <c r="S1836" s="331" t="str">
        <f>IF(D1836="","",IF(OR(D1836=Plano!$A$1,D1836=Plano!$B$1),"entrada","saída"))</f>
        <v/>
      </c>
      <c r="T1836" s="406"/>
      <c r="U1836" s="406"/>
      <c r="V1836" s="269"/>
      <c r="W1836" s="269"/>
      <c r="X1836" s="269"/>
      <c r="Y1836" s="269"/>
      <c r="Z1836" s="269"/>
      <c r="AA1836" s="269"/>
      <c r="AB1836" s="269"/>
      <c r="AC1836" s="269"/>
      <c r="AD1836" s="269"/>
      <c r="AE1836" s="269"/>
      <c r="AF1836" s="269"/>
      <c r="AG1836" s="269"/>
      <c r="AH1836" s="269"/>
      <c r="AI1836" s="269"/>
      <c r="AJ1836" s="269"/>
      <c r="AK1836" s="269"/>
      <c r="AL1836" s="269"/>
      <c r="AM1836" s="269"/>
    </row>
    <row r="1837" spans="1:39" ht="12.75" customHeight="1" x14ac:dyDescent="0.2">
      <c r="A1837" s="289" t="str">
        <f>IF(B1837="","",COUNT('Diário 5º PA'!$A$5:$A$2634)+COUNT('Diário 6º PA'!$A$5:$A$2246)+ROW()-4)</f>
        <v/>
      </c>
      <c r="B1837" s="290"/>
      <c r="C1837" s="357"/>
      <c r="D1837" s="291"/>
      <c r="E1837" s="291"/>
      <c r="F1837" s="292"/>
      <c r="G1837" s="456"/>
      <c r="H1837" s="291"/>
      <c r="I1837" s="293"/>
      <c r="J1837" s="291"/>
      <c r="K1837" s="291"/>
      <c r="L1837" s="293"/>
      <c r="M1837" s="289"/>
      <c r="N1837" s="289"/>
      <c r="O1837" s="358"/>
      <c r="P1837" s="330">
        <f t="shared" si="265"/>
        <v>0</v>
      </c>
      <c r="Q1837" s="330">
        <f t="shared" si="266"/>
        <v>0</v>
      </c>
      <c r="R1837" s="331" t="str">
        <f t="shared" si="267"/>
        <v/>
      </c>
      <c r="S1837" s="331" t="str">
        <f>IF(D1837="","",IF(OR(D1837=Plano!$A$1,D1837=Plano!$B$1),"entrada","saída"))</f>
        <v/>
      </c>
      <c r="T1837" s="406"/>
      <c r="U1837" s="406"/>
      <c r="V1837" s="269"/>
      <c r="W1837" s="269"/>
      <c r="X1837" s="269"/>
      <c r="Y1837" s="269"/>
      <c r="Z1837" s="269"/>
      <c r="AA1837" s="269"/>
      <c r="AB1837" s="269"/>
      <c r="AC1837" s="269"/>
      <c r="AD1837" s="269"/>
      <c r="AE1837" s="269"/>
      <c r="AF1837" s="269"/>
      <c r="AG1837" s="269"/>
      <c r="AH1837" s="269"/>
      <c r="AI1837" s="269"/>
      <c r="AJ1837" s="269"/>
      <c r="AK1837" s="269"/>
      <c r="AL1837" s="269"/>
      <c r="AM1837" s="269"/>
    </row>
    <row r="1838" spans="1:39" ht="12.75" customHeight="1" x14ac:dyDescent="0.2">
      <c r="A1838" s="289" t="str">
        <f>IF(B1838="","",COUNT('Diário 5º PA'!$A$5:$A$2634)+COUNT('Diário 6º PA'!$A$5:$A$2246)+ROW()-4)</f>
        <v/>
      </c>
      <c r="B1838" s="290"/>
      <c r="C1838" s="357"/>
      <c r="D1838" s="291"/>
      <c r="E1838" s="291"/>
      <c r="F1838" s="292"/>
      <c r="G1838" s="456"/>
      <c r="H1838" s="291"/>
      <c r="I1838" s="293"/>
      <c r="J1838" s="291"/>
      <c r="K1838" s="291"/>
      <c r="L1838" s="293"/>
      <c r="M1838" s="289"/>
      <c r="N1838" s="289"/>
      <c r="O1838" s="358"/>
      <c r="P1838" s="330">
        <f t="shared" si="265"/>
        <v>0</v>
      </c>
      <c r="Q1838" s="330">
        <f t="shared" si="266"/>
        <v>0</v>
      </c>
      <c r="R1838" s="331" t="str">
        <f t="shared" si="267"/>
        <v/>
      </c>
      <c r="S1838" s="331" t="str">
        <f>IF(D1838="","",IF(OR(D1838=Plano!$A$1,D1838=Plano!$B$1),"entrada","saída"))</f>
        <v/>
      </c>
      <c r="T1838" s="406"/>
      <c r="U1838" s="406"/>
      <c r="V1838" s="269"/>
      <c r="W1838" s="269"/>
      <c r="X1838" s="269"/>
      <c r="Y1838" s="269"/>
      <c r="Z1838" s="269"/>
      <c r="AA1838" s="269"/>
      <c r="AB1838" s="269"/>
      <c r="AC1838" s="269"/>
      <c r="AD1838" s="269"/>
      <c r="AE1838" s="269"/>
      <c r="AF1838" s="269"/>
      <c r="AG1838" s="269"/>
      <c r="AH1838" s="269"/>
      <c r="AI1838" s="269"/>
      <c r="AJ1838" s="269"/>
      <c r="AK1838" s="269"/>
      <c r="AL1838" s="269"/>
      <c r="AM1838" s="269"/>
    </row>
    <row r="1839" spans="1:39" ht="12.75" customHeight="1" x14ac:dyDescent="0.2">
      <c r="A1839" s="289" t="str">
        <f>IF(B1839="","",COUNT('Diário 5º PA'!$A$5:$A$2634)+COUNT('Diário 6º PA'!$A$5:$A$2246)+ROW()-4)</f>
        <v/>
      </c>
      <c r="B1839" s="290"/>
      <c r="C1839" s="357"/>
      <c r="D1839" s="291"/>
      <c r="E1839" s="291"/>
      <c r="F1839" s="292"/>
      <c r="G1839" s="456"/>
      <c r="H1839" s="291"/>
      <c r="I1839" s="293"/>
      <c r="J1839" s="291"/>
      <c r="K1839" s="291"/>
      <c r="L1839" s="293"/>
      <c r="M1839" s="289"/>
      <c r="N1839" s="289"/>
      <c r="O1839" s="358"/>
      <c r="P1839" s="330">
        <f t="shared" si="265"/>
        <v>0</v>
      </c>
      <c r="Q1839" s="330">
        <f t="shared" si="266"/>
        <v>0</v>
      </c>
      <c r="R1839" s="331" t="str">
        <f t="shared" si="267"/>
        <v/>
      </c>
      <c r="S1839" s="331" t="str">
        <f>IF(D1839="","",IF(OR(D1839=Plano!$A$1,D1839=Plano!$B$1),"entrada","saída"))</f>
        <v/>
      </c>
      <c r="T1839" s="406"/>
      <c r="U1839" s="406"/>
      <c r="V1839" s="269"/>
      <c r="W1839" s="269"/>
      <c r="X1839" s="269"/>
      <c r="Y1839" s="269"/>
      <c r="Z1839" s="269"/>
      <c r="AA1839" s="269"/>
      <c r="AB1839" s="269"/>
      <c r="AC1839" s="269"/>
      <c r="AD1839" s="269"/>
      <c r="AE1839" s="269"/>
      <c r="AF1839" s="269"/>
      <c r="AG1839" s="269"/>
      <c r="AH1839" s="269"/>
      <c r="AI1839" s="269"/>
      <c r="AJ1839" s="269"/>
      <c r="AK1839" s="269"/>
      <c r="AL1839" s="269"/>
      <c r="AM1839" s="269"/>
    </row>
    <row r="1840" spans="1:39" ht="12.75" customHeight="1" x14ac:dyDescent="0.2">
      <c r="A1840" s="289" t="str">
        <f>IF(B1840="","",COUNT('Diário 5º PA'!$A$5:$A$2634)+COUNT('Diário 6º PA'!$A$5:$A$2246)+ROW()-4)</f>
        <v/>
      </c>
      <c r="B1840" s="290"/>
      <c r="C1840" s="357"/>
      <c r="D1840" s="291"/>
      <c r="E1840" s="291"/>
      <c r="F1840" s="292"/>
      <c r="G1840" s="456"/>
      <c r="H1840" s="291"/>
      <c r="I1840" s="293"/>
      <c r="J1840" s="291"/>
      <c r="K1840" s="291"/>
      <c r="L1840" s="293"/>
      <c r="M1840" s="289"/>
      <c r="N1840" s="289"/>
      <c r="O1840" s="358"/>
      <c r="P1840" s="330">
        <f t="shared" si="265"/>
        <v>0</v>
      </c>
      <c r="Q1840" s="330">
        <f t="shared" si="266"/>
        <v>0</v>
      </c>
      <c r="R1840" s="331" t="str">
        <f t="shared" si="267"/>
        <v/>
      </c>
      <c r="S1840" s="331" t="str">
        <f>IF(D1840="","",IF(OR(D1840=Plano!$A$1,D1840=Plano!$B$1),"entrada","saída"))</f>
        <v/>
      </c>
      <c r="T1840" s="406"/>
      <c r="U1840" s="406"/>
      <c r="V1840" s="269"/>
      <c r="W1840" s="269"/>
      <c r="X1840" s="269"/>
      <c r="Y1840" s="269"/>
      <c r="Z1840" s="269"/>
      <c r="AA1840" s="269"/>
      <c r="AB1840" s="269"/>
      <c r="AC1840" s="269"/>
      <c r="AD1840" s="269"/>
      <c r="AE1840" s="269"/>
      <c r="AF1840" s="269"/>
      <c r="AG1840" s="269"/>
      <c r="AH1840" s="269"/>
      <c r="AI1840" s="269"/>
      <c r="AJ1840" s="269"/>
      <c r="AK1840" s="269"/>
      <c r="AL1840" s="269"/>
      <c r="AM1840" s="269"/>
    </row>
    <row r="1841" spans="1:39" ht="12.75" customHeight="1" x14ac:dyDescent="0.2">
      <c r="A1841" s="289" t="str">
        <f>IF(B1841="","",COUNT('Diário 5º PA'!$A$5:$A$2634)+COUNT('Diário 6º PA'!$A$5:$A$2246)+ROW()-4)</f>
        <v/>
      </c>
      <c r="B1841" s="290"/>
      <c r="C1841" s="357"/>
      <c r="D1841" s="291"/>
      <c r="E1841" s="291"/>
      <c r="F1841" s="292"/>
      <c r="G1841" s="456"/>
      <c r="H1841" s="291"/>
      <c r="I1841" s="293"/>
      <c r="J1841" s="291"/>
      <c r="K1841" s="291"/>
      <c r="L1841" s="293"/>
      <c r="M1841" s="289"/>
      <c r="N1841" s="289"/>
      <c r="O1841" s="358"/>
      <c r="P1841" s="330">
        <f t="shared" si="265"/>
        <v>0</v>
      </c>
      <c r="Q1841" s="330">
        <f t="shared" si="266"/>
        <v>0</v>
      </c>
      <c r="R1841" s="331" t="str">
        <f t="shared" si="267"/>
        <v/>
      </c>
      <c r="S1841" s="331" t="str">
        <f>IF(D1841="","",IF(OR(D1841=Plano!$A$1,D1841=Plano!$B$1),"entrada","saída"))</f>
        <v/>
      </c>
      <c r="T1841" s="406"/>
      <c r="U1841" s="406"/>
      <c r="V1841" s="269"/>
      <c r="W1841" s="269"/>
      <c r="X1841" s="269"/>
      <c r="Y1841" s="269"/>
      <c r="Z1841" s="269"/>
      <c r="AA1841" s="269"/>
      <c r="AB1841" s="269"/>
      <c r="AC1841" s="269"/>
      <c r="AD1841" s="269"/>
      <c r="AE1841" s="269"/>
      <c r="AF1841" s="269"/>
      <c r="AG1841" s="269"/>
      <c r="AH1841" s="269"/>
      <c r="AI1841" s="269"/>
      <c r="AJ1841" s="269"/>
      <c r="AK1841" s="269"/>
      <c r="AL1841" s="269"/>
      <c r="AM1841" s="269"/>
    </row>
    <row r="1842" spans="1:39" ht="12.75" customHeight="1" x14ac:dyDescent="0.2">
      <c r="A1842" s="289" t="str">
        <f>IF(B1842="","",COUNT('Diário 5º PA'!$A$5:$A$2634)+COUNT('Diário 6º PA'!$A$5:$A$2246)+ROW()-4)</f>
        <v/>
      </c>
      <c r="B1842" s="290"/>
      <c r="C1842" s="357"/>
      <c r="D1842" s="291"/>
      <c r="E1842" s="291"/>
      <c r="F1842" s="292"/>
      <c r="G1842" s="456"/>
      <c r="H1842" s="291"/>
      <c r="I1842" s="293"/>
      <c r="J1842" s="291"/>
      <c r="K1842" s="291"/>
      <c r="L1842" s="293"/>
      <c r="M1842" s="289"/>
      <c r="N1842" s="289"/>
      <c r="O1842" s="358"/>
      <c r="P1842" s="330">
        <f t="shared" si="265"/>
        <v>0</v>
      </c>
      <c r="Q1842" s="330">
        <f t="shared" si="266"/>
        <v>0</v>
      </c>
      <c r="R1842" s="331" t="str">
        <f t="shared" si="267"/>
        <v/>
      </c>
      <c r="S1842" s="331" t="str">
        <f>IF(D1842="","",IF(OR(D1842=Plano!$A$1,D1842=Plano!$B$1),"entrada","saída"))</f>
        <v/>
      </c>
      <c r="T1842" s="406"/>
      <c r="U1842" s="406"/>
      <c r="V1842" s="269"/>
      <c r="W1842" s="269"/>
      <c r="X1842" s="269"/>
      <c r="Y1842" s="269"/>
      <c r="Z1842" s="269"/>
      <c r="AA1842" s="269"/>
      <c r="AB1842" s="269"/>
      <c r="AC1842" s="269"/>
      <c r="AD1842" s="269"/>
      <c r="AE1842" s="269"/>
      <c r="AF1842" s="269"/>
      <c r="AG1842" s="269"/>
      <c r="AH1842" s="269"/>
      <c r="AI1842" s="269"/>
      <c r="AJ1842" s="269"/>
      <c r="AK1842" s="269"/>
      <c r="AL1842" s="269"/>
      <c r="AM1842" s="269"/>
    </row>
    <row r="1843" spans="1:39" ht="12.75" customHeight="1" x14ac:dyDescent="0.2">
      <c r="A1843" s="289" t="str">
        <f>IF(B1843="","",COUNT('Diário 5º PA'!$A$5:$A$2634)+COUNT('Diário 6º PA'!$A$5:$A$2246)+ROW()-4)</f>
        <v/>
      </c>
      <c r="B1843" s="290"/>
      <c r="C1843" s="357"/>
      <c r="D1843" s="291"/>
      <c r="E1843" s="291"/>
      <c r="F1843" s="292"/>
      <c r="G1843" s="456"/>
      <c r="H1843" s="291"/>
      <c r="I1843" s="293"/>
      <c r="J1843" s="291"/>
      <c r="K1843" s="291"/>
      <c r="L1843" s="293"/>
      <c r="M1843" s="289"/>
      <c r="N1843" s="289"/>
      <c r="O1843" s="358"/>
      <c r="P1843" s="330">
        <f t="shared" si="265"/>
        <v>0</v>
      </c>
      <c r="Q1843" s="330">
        <f t="shared" si="266"/>
        <v>0</v>
      </c>
      <c r="R1843" s="331" t="str">
        <f t="shared" si="267"/>
        <v/>
      </c>
      <c r="S1843" s="331" t="str">
        <f>IF(D1843="","",IF(OR(D1843=Plano!$A$1,D1843=Plano!$B$1),"entrada","saída"))</f>
        <v/>
      </c>
      <c r="T1843" s="406"/>
      <c r="U1843" s="406"/>
      <c r="V1843" s="269"/>
      <c r="W1843" s="269"/>
      <c r="X1843" s="269"/>
      <c r="Y1843" s="269"/>
      <c r="Z1843" s="269"/>
      <c r="AA1843" s="269"/>
      <c r="AB1843" s="269"/>
      <c r="AC1843" s="269"/>
      <c r="AD1843" s="269"/>
      <c r="AE1843" s="269"/>
      <c r="AF1843" s="269"/>
      <c r="AG1843" s="269"/>
      <c r="AH1843" s="269"/>
      <c r="AI1843" s="269"/>
      <c r="AJ1843" s="269"/>
      <c r="AK1843" s="269"/>
      <c r="AL1843" s="269"/>
      <c r="AM1843" s="269"/>
    </row>
    <row r="1844" spans="1:39" ht="12.75" customHeight="1" x14ac:dyDescent="0.2">
      <c r="A1844" s="289" t="str">
        <f>IF(B1844="","",COUNT('Diário 5º PA'!$A$5:$A$2634)+COUNT('Diário 6º PA'!$A$5:$A$2246)+ROW()-4)</f>
        <v/>
      </c>
      <c r="B1844" s="290"/>
      <c r="C1844" s="357"/>
      <c r="D1844" s="291"/>
      <c r="E1844" s="291"/>
      <c r="F1844" s="292"/>
      <c r="G1844" s="456"/>
      <c r="H1844" s="291"/>
      <c r="I1844" s="293"/>
      <c r="J1844" s="291"/>
      <c r="K1844" s="291"/>
      <c r="L1844" s="293"/>
      <c r="M1844" s="289"/>
      <c r="N1844" s="289"/>
      <c r="O1844" s="358"/>
      <c r="P1844" s="330">
        <f t="shared" si="265"/>
        <v>0</v>
      </c>
      <c r="Q1844" s="330">
        <f t="shared" si="266"/>
        <v>0</v>
      </c>
      <c r="R1844" s="331" t="str">
        <f t="shared" si="267"/>
        <v/>
      </c>
      <c r="S1844" s="331" t="str">
        <f>IF(D1844="","",IF(OR(D1844=Plano!$A$1,D1844=Plano!$B$1),"entrada","saída"))</f>
        <v/>
      </c>
      <c r="T1844" s="406"/>
      <c r="U1844" s="406"/>
      <c r="V1844" s="269"/>
      <c r="W1844" s="269"/>
      <c r="X1844" s="269"/>
      <c r="Y1844" s="269"/>
      <c r="Z1844" s="269"/>
      <c r="AA1844" s="269"/>
      <c r="AB1844" s="269"/>
      <c r="AC1844" s="269"/>
      <c r="AD1844" s="269"/>
      <c r="AE1844" s="269"/>
      <c r="AF1844" s="269"/>
      <c r="AG1844" s="269"/>
      <c r="AH1844" s="269"/>
      <c r="AI1844" s="269"/>
      <c r="AJ1844" s="269"/>
      <c r="AK1844" s="269"/>
      <c r="AL1844" s="269"/>
      <c r="AM1844" s="269"/>
    </row>
    <row r="1845" spans="1:39" ht="12.75" customHeight="1" x14ac:dyDescent="0.2">
      <c r="A1845" s="289" t="str">
        <f>IF(B1845="","",COUNT('Diário 5º PA'!$A$5:$A$2634)+COUNT('Diário 6º PA'!$A$5:$A$2246)+ROW()-4)</f>
        <v/>
      </c>
      <c r="B1845" s="290"/>
      <c r="C1845" s="357"/>
      <c r="D1845" s="291"/>
      <c r="E1845" s="291"/>
      <c r="F1845" s="292"/>
      <c r="G1845" s="456"/>
      <c r="H1845" s="291"/>
      <c r="I1845" s="293"/>
      <c r="J1845" s="291"/>
      <c r="K1845" s="291"/>
      <c r="L1845" s="293"/>
      <c r="M1845" s="289"/>
      <c r="N1845" s="289"/>
      <c r="O1845" s="358"/>
      <c r="P1845" s="330">
        <f t="shared" si="265"/>
        <v>0</v>
      </c>
      <c r="Q1845" s="330">
        <f t="shared" si="266"/>
        <v>0</v>
      </c>
      <c r="R1845" s="331" t="str">
        <f t="shared" si="267"/>
        <v/>
      </c>
      <c r="S1845" s="331" t="str">
        <f>IF(D1845="","",IF(OR(D1845=Plano!$A$1,D1845=Plano!$B$1),"entrada","saída"))</f>
        <v/>
      </c>
      <c r="T1845" s="406"/>
      <c r="U1845" s="406"/>
      <c r="V1845" s="269"/>
      <c r="W1845" s="269"/>
      <c r="X1845" s="269"/>
      <c r="Y1845" s="269"/>
      <c r="Z1845" s="269"/>
      <c r="AA1845" s="269"/>
      <c r="AB1845" s="269"/>
      <c r="AC1845" s="269"/>
      <c r="AD1845" s="269"/>
      <c r="AE1845" s="269"/>
      <c r="AF1845" s="269"/>
      <c r="AG1845" s="269"/>
      <c r="AH1845" s="269"/>
      <c r="AI1845" s="269"/>
      <c r="AJ1845" s="269"/>
      <c r="AK1845" s="269"/>
      <c r="AL1845" s="269"/>
      <c r="AM1845" s="269"/>
    </row>
    <row r="1846" spans="1:39" ht="12.75" customHeight="1" x14ac:dyDescent="0.2">
      <c r="A1846" s="289" t="str">
        <f>IF(B1846="","",COUNT('Diário 5º PA'!$A$5:$A$2634)+COUNT('Diário 6º PA'!$A$5:$A$2246)+ROW()-4)</f>
        <v/>
      </c>
      <c r="B1846" s="290"/>
      <c r="C1846" s="357"/>
      <c r="D1846" s="291"/>
      <c r="E1846" s="291"/>
      <c r="F1846" s="292"/>
      <c r="G1846" s="456"/>
      <c r="H1846" s="291"/>
      <c r="I1846" s="293"/>
      <c r="J1846" s="291"/>
      <c r="K1846" s="291"/>
      <c r="L1846" s="293"/>
      <c r="M1846" s="289"/>
      <c r="N1846" s="289"/>
      <c r="O1846" s="358"/>
      <c r="P1846" s="330">
        <f t="shared" si="265"/>
        <v>0</v>
      </c>
      <c r="Q1846" s="330">
        <f t="shared" si="266"/>
        <v>0</v>
      </c>
      <c r="R1846" s="331" t="str">
        <f t="shared" si="267"/>
        <v/>
      </c>
      <c r="S1846" s="331" t="str">
        <f>IF(D1846="","",IF(OR(D1846=Plano!$A$1,D1846=Plano!$B$1),"entrada","saída"))</f>
        <v/>
      </c>
      <c r="T1846" s="406"/>
      <c r="U1846" s="406"/>
      <c r="V1846" s="269"/>
      <c r="W1846" s="269"/>
      <c r="X1846" s="269"/>
      <c r="Y1846" s="269"/>
      <c r="Z1846" s="269"/>
      <c r="AA1846" s="269"/>
      <c r="AB1846" s="269"/>
      <c r="AC1846" s="269"/>
      <c r="AD1846" s="269"/>
      <c r="AE1846" s="269"/>
      <c r="AF1846" s="269"/>
      <c r="AG1846" s="269"/>
      <c r="AH1846" s="269"/>
      <c r="AI1846" s="269"/>
      <c r="AJ1846" s="269"/>
      <c r="AK1846" s="269"/>
      <c r="AL1846" s="269"/>
      <c r="AM1846" s="269"/>
    </row>
    <row r="1847" spans="1:39" ht="12.75" customHeight="1" x14ac:dyDescent="0.2">
      <c r="A1847" s="289" t="str">
        <f>IF(B1847="","",COUNT('Diário 5º PA'!$A$5:$A$2634)+COUNT('Diário 6º PA'!$A$5:$A$2246)+ROW()-4)</f>
        <v/>
      </c>
      <c r="B1847" s="290"/>
      <c r="C1847" s="357"/>
      <c r="D1847" s="291"/>
      <c r="E1847" s="291"/>
      <c r="F1847" s="292"/>
      <c r="G1847" s="456"/>
      <c r="H1847" s="291"/>
      <c r="I1847" s="293"/>
      <c r="J1847" s="291"/>
      <c r="K1847" s="291"/>
      <c r="L1847" s="293"/>
      <c r="M1847" s="289"/>
      <c r="N1847" s="289"/>
      <c r="O1847" s="358"/>
      <c r="P1847" s="330">
        <f t="shared" si="265"/>
        <v>0</v>
      </c>
      <c r="Q1847" s="330">
        <f t="shared" si="266"/>
        <v>0</v>
      </c>
      <c r="R1847" s="331" t="str">
        <f t="shared" si="267"/>
        <v/>
      </c>
      <c r="S1847" s="331" t="str">
        <f>IF(D1847="","",IF(OR(D1847=Plano!$A$1,D1847=Plano!$B$1),"entrada","saída"))</f>
        <v/>
      </c>
      <c r="T1847" s="406"/>
      <c r="U1847" s="406"/>
      <c r="V1847" s="269"/>
      <c r="W1847" s="269"/>
      <c r="X1847" s="269"/>
      <c r="Y1847" s="269"/>
      <c r="Z1847" s="269"/>
      <c r="AA1847" s="269"/>
      <c r="AB1847" s="269"/>
      <c r="AC1847" s="269"/>
      <c r="AD1847" s="269"/>
      <c r="AE1847" s="269"/>
      <c r="AF1847" s="269"/>
      <c r="AG1847" s="269"/>
      <c r="AH1847" s="269"/>
      <c r="AI1847" s="269"/>
      <c r="AJ1847" s="269"/>
      <c r="AK1847" s="269"/>
      <c r="AL1847" s="269"/>
      <c r="AM1847" s="269"/>
    </row>
    <row r="1848" spans="1:39" ht="12.75" customHeight="1" x14ac:dyDescent="0.2">
      <c r="A1848" s="289" t="str">
        <f>IF(B1848="","",COUNT('Diário 5º PA'!$A$5:$A$2634)+COUNT('Diário 6º PA'!$A$5:$A$2246)+ROW()-4)</f>
        <v/>
      </c>
      <c r="B1848" s="290"/>
      <c r="C1848" s="357"/>
      <c r="D1848" s="291"/>
      <c r="E1848" s="291"/>
      <c r="F1848" s="292"/>
      <c r="G1848" s="456"/>
      <c r="H1848" s="291"/>
      <c r="I1848" s="293"/>
      <c r="J1848" s="291"/>
      <c r="K1848" s="291"/>
      <c r="L1848" s="293"/>
      <c r="M1848" s="289"/>
      <c r="N1848" s="289"/>
      <c r="O1848" s="358"/>
      <c r="P1848" s="330">
        <f t="shared" si="265"/>
        <v>0</v>
      </c>
      <c r="Q1848" s="330">
        <f t="shared" si="266"/>
        <v>0</v>
      </c>
      <c r="R1848" s="331" t="str">
        <f t="shared" si="267"/>
        <v/>
      </c>
      <c r="S1848" s="331" t="str">
        <f>IF(D1848="","",IF(OR(D1848=Plano!$A$1,D1848=Plano!$B$1),"entrada","saída"))</f>
        <v/>
      </c>
      <c r="T1848" s="406"/>
      <c r="U1848" s="406"/>
      <c r="V1848" s="269"/>
      <c r="W1848" s="269"/>
      <c r="X1848" s="269"/>
      <c r="Y1848" s="269"/>
      <c r="Z1848" s="269"/>
      <c r="AA1848" s="269"/>
      <c r="AB1848" s="269"/>
      <c r="AC1848" s="269"/>
      <c r="AD1848" s="269"/>
      <c r="AE1848" s="269"/>
      <c r="AF1848" s="269"/>
      <c r="AG1848" s="269"/>
      <c r="AH1848" s="269"/>
      <c r="AI1848" s="269"/>
      <c r="AJ1848" s="269"/>
      <c r="AK1848" s="269"/>
      <c r="AL1848" s="269"/>
      <c r="AM1848" s="269"/>
    </row>
    <row r="1849" spans="1:39" ht="12.75" customHeight="1" x14ac:dyDescent="0.2">
      <c r="A1849" s="289" t="str">
        <f>IF(B1849="","",COUNT('Diário 5º PA'!$A$5:$A$2634)+COUNT('Diário 6º PA'!$A$5:$A$2246)+ROW()-4)</f>
        <v/>
      </c>
      <c r="B1849" s="290"/>
      <c r="C1849" s="357"/>
      <c r="D1849" s="291"/>
      <c r="E1849" s="291"/>
      <c r="F1849" s="292"/>
      <c r="G1849" s="456"/>
      <c r="H1849" s="291"/>
      <c r="I1849" s="293"/>
      <c r="J1849" s="291"/>
      <c r="K1849" s="291"/>
      <c r="L1849" s="293"/>
      <c r="M1849" s="289"/>
      <c r="N1849" s="289"/>
      <c r="O1849" s="358"/>
      <c r="P1849" s="330">
        <f t="shared" si="265"/>
        <v>0</v>
      </c>
      <c r="Q1849" s="330">
        <f t="shared" si="266"/>
        <v>0</v>
      </c>
      <c r="R1849" s="331" t="str">
        <f t="shared" si="267"/>
        <v/>
      </c>
      <c r="S1849" s="331" t="str">
        <f>IF(D1849="","",IF(OR(D1849=Plano!$A$1,D1849=Plano!$B$1),"entrada","saída"))</f>
        <v/>
      </c>
      <c r="T1849" s="406"/>
      <c r="U1849" s="406"/>
      <c r="V1849" s="269"/>
      <c r="W1849" s="269"/>
      <c r="X1849" s="269"/>
      <c r="Y1849" s="269"/>
      <c r="Z1849" s="269"/>
      <c r="AA1849" s="269"/>
      <c r="AB1849" s="269"/>
      <c r="AC1849" s="269"/>
      <c r="AD1849" s="269"/>
      <c r="AE1849" s="269"/>
      <c r="AF1849" s="269"/>
      <c r="AG1849" s="269"/>
      <c r="AH1849" s="269"/>
      <c r="AI1849" s="269"/>
      <c r="AJ1849" s="269"/>
      <c r="AK1849" s="269"/>
      <c r="AL1849" s="269"/>
      <c r="AM1849" s="269"/>
    </row>
    <row r="1850" spans="1:39" ht="12.75" customHeight="1" x14ac:dyDescent="0.2">
      <c r="A1850" s="289" t="str">
        <f>IF(B1850="","",COUNT('Diário 5º PA'!$A$5:$A$2634)+COUNT('Diário 6º PA'!$A$5:$A$2246)+ROW()-4)</f>
        <v/>
      </c>
      <c r="B1850" s="290"/>
      <c r="C1850" s="357"/>
      <c r="D1850" s="291"/>
      <c r="E1850" s="291"/>
      <c r="F1850" s="292"/>
      <c r="G1850" s="456"/>
      <c r="H1850" s="291"/>
      <c r="I1850" s="293"/>
      <c r="J1850" s="291"/>
      <c r="K1850" s="291"/>
      <c r="L1850" s="293"/>
      <c r="M1850" s="289"/>
      <c r="N1850" s="289"/>
      <c r="O1850" s="358"/>
      <c r="P1850" s="330">
        <f t="shared" si="265"/>
        <v>0</v>
      </c>
      <c r="Q1850" s="330">
        <f t="shared" si="266"/>
        <v>0</v>
      </c>
      <c r="R1850" s="331" t="str">
        <f t="shared" si="267"/>
        <v/>
      </c>
      <c r="S1850" s="331" t="str">
        <f>IF(D1850="","",IF(OR(D1850=Plano!$A$1,D1850=Plano!$B$1),"entrada","saída"))</f>
        <v/>
      </c>
      <c r="T1850" s="406"/>
      <c r="U1850" s="406"/>
      <c r="V1850" s="269"/>
      <c r="W1850" s="269"/>
      <c r="X1850" s="269"/>
      <c r="Y1850" s="269"/>
      <c r="Z1850" s="269"/>
      <c r="AA1850" s="269"/>
      <c r="AB1850" s="269"/>
      <c r="AC1850" s="269"/>
      <c r="AD1850" s="269"/>
      <c r="AE1850" s="269"/>
      <c r="AF1850" s="269"/>
      <c r="AG1850" s="269"/>
      <c r="AH1850" s="269"/>
      <c r="AI1850" s="269"/>
      <c r="AJ1850" s="269"/>
      <c r="AK1850" s="269"/>
      <c r="AL1850" s="269"/>
      <c r="AM1850" s="269"/>
    </row>
    <row r="1851" spans="1:39" ht="12.75" customHeight="1" x14ac:dyDescent="0.2">
      <c r="A1851" s="289" t="str">
        <f>IF(B1851="","",COUNT('Diário 5º PA'!$A$5:$A$2634)+COUNT('Diário 6º PA'!$A$5:$A$2246)+ROW()-4)</f>
        <v/>
      </c>
      <c r="B1851" s="290"/>
      <c r="C1851" s="357"/>
      <c r="D1851" s="291"/>
      <c r="E1851" s="291"/>
      <c r="F1851" s="292"/>
      <c r="G1851" s="456"/>
      <c r="H1851" s="291"/>
      <c r="I1851" s="293"/>
      <c r="J1851" s="291"/>
      <c r="K1851" s="291"/>
      <c r="L1851" s="293"/>
      <c r="M1851" s="289"/>
      <c r="N1851" s="289"/>
      <c r="O1851" s="358"/>
      <c r="P1851" s="330">
        <f t="shared" si="265"/>
        <v>0</v>
      </c>
      <c r="Q1851" s="330">
        <f t="shared" si="266"/>
        <v>0</v>
      </c>
      <c r="R1851" s="331" t="str">
        <f t="shared" si="267"/>
        <v/>
      </c>
      <c r="S1851" s="331" t="str">
        <f>IF(D1851="","",IF(OR(D1851=Plano!$A$1,D1851=Plano!$B$1),"entrada","saída"))</f>
        <v/>
      </c>
      <c r="T1851" s="406"/>
      <c r="U1851" s="406"/>
      <c r="V1851" s="269"/>
      <c r="W1851" s="269"/>
      <c r="X1851" s="269"/>
      <c r="Y1851" s="269"/>
      <c r="Z1851" s="269"/>
      <c r="AA1851" s="269"/>
      <c r="AB1851" s="269"/>
      <c r="AC1851" s="269"/>
      <c r="AD1851" s="269"/>
      <c r="AE1851" s="269"/>
      <c r="AF1851" s="269"/>
      <c r="AG1851" s="269"/>
      <c r="AH1851" s="269"/>
      <c r="AI1851" s="269"/>
      <c r="AJ1851" s="269"/>
      <c r="AK1851" s="269"/>
      <c r="AL1851" s="269"/>
      <c r="AM1851" s="269"/>
    </row>
    <row r="1852" spans="1:39" ht="12.75" customHeight="1" x14ac:dyDescent="0.2">
      <c r="A1852" s="289" t="str">
        <f>IF(B1852="","",COUNT('Diário 5º PA'!$A$5:$A$2634)+COUNT('Diário 6º PA'!$A$5:$A$2246)+ROW()-4)</f>
        <v/>
      </c>
      <c r="B1852" s="290"/>
      <c r="C1852" s="357"/>
      <c r="D1852" s="291"/>
      <c r="E1852" s="291"/>
      <c r="F1852" s="292"/>
      <c r="G1852" s="456"/>
      <c r="H1852" s="291"/>
      <c r="I1852" s="293"/>
      <c r="J1852" s="291"/>
      <c r="K1852" s="291"/>
      <c r="L1852" s="293"/>
      <c r="M1852" s="289"/>
      <c r="N1852" s="289"/>
      <c r="O1852" s="358"/>
      <c r="P1852" s="330">
        <f t="shared" si="265"/>
        <v>0</v>
      </c>
      <c r="Q1852" s="330">
        <f t="shared" si="266"/>
        <v>0</v>
      </c>
      <c r="R1852" s="331" t="str">
        <f t="shared" si="267"/>
        <v/>
      </c>
      <c r="S1852" s="331" t="str">
        <f>IF(D1852="","",IF(OR(D1852=Plano!$A$1,D1852=Plano!$B$1),"entrada","saída"))</f>
        <v/>
      </c>
      <c r="T1852" s="406"/>
      <c r="U1852" s="406"/>
      <c r="V1852" s="269"/>
      <c r="W1852" s="269"/>
      <c r="X1852" s="269"/>
      <c r="Y1852" s="269"/>
      <c r="Z1852" s="269"/>
      <c r="AA1852" s="269"/>
      <c r="AB1852" s="269"/>
      <c r="AC1852" s="269"/>
      <c r="AD1852" s="269"/>
      <c r="AE1852" s="269"/>
      <c r="AF1852" s="269"/>
      <c r="AG1852" s="269"/>
      <c r="AH1852" s="269"/>
      <c r="AI1852" s="269"/>
      <c r="AJ1852" s="269"/>
      <c r="AK1852" s="269"/>
      <c r="AL1852" s="269"/>
      <c r="AM1852" s="269"/>
    </row>
    <row r="1853" spans="1:39" ht="12.75" customHeight="1" x14ac:dyDescent="0.2">
      <c r="A1853" s="289" t="str">
        <f>IF(B1853="","",COUNT('Diário 5º PA'!$A$5:$A$2634)+COUNT('Diário 6º PA'!$A$5:$A$2246)+ROW()-4)</f>
        <v/>
      </c>
      <c r="B1853" s="290"/>
      <c r="C1853" s="357"/>
      <c r="D1853" s="291"/>
      <c r="E1853" s="291"/>
      <c r="F1853" s="292"/>
      <c r="G1853" s="456"/>
      <c r="H1853" s="291"/>
      <c r="I1853" s="293"/>
      <c r="J1853" s="291"/>
      <c r="K1853" s="291"/>
      <c r="L1853" s="293"/>
      <c r="M1853" s="289"/>
      <c r="N1853" s="289"/>
      <c r="O1853" s="358"/>
      <c r="P1853" s="330">
        <f t="shared" si="265"/>
        <v>0</v>
      </c>
      <c r="Q1853" s="330">
        <f t="shared" si="266"/>
        <v>0</v>
      </c>
      <c r="R1853" s="331" t="str">
        <f t="shared" si="267"/>
        <v/>
      </c>
      <c r="S1853" s="331" t="str">
        <f>IF(D1853="","",IF(OR(D1853=Plano!$A$1,D1853=Plano!$B$1),"entrada","saída"))</f>
        <v/>
      </c>
      <c r="T1853" s="406"/>
      <c r="U1853" s="406"/>
      <c r="V1853" s="269"/>
      <c r="W1853" s="269"/>
      <c r="X1853" s="269"/>
      <c r="Y1853" s="269"/>
      <c r="Z1853" s="269"/>
      <c r="AA1853" s="269"/>
      <c r="AB1853" s="269"/>
      <c r="AC1853" s="269"/>
      <c r="AD1853" s="269"/>
      <c r="AE1853" s="269"/>
      <c r="AF1853" s="269"/>
      <c r="AG1853" s="269"/>
      <c r="AH1853" s="269"/>
      <c r="AI1853" s="269"/>
      <c r="AJ1853" s="269"/>
      <c r="AK1853" s="269"/>
      <c r="AL1853" s="269"/>
      <c r="AM1853" s="269"/>
    </row>
    <row r="1854" spans="1:39" ht="12.75" customHeight="1" x14ac:dyDescent="0.2">
      <c r="A1854" s="289" t="str">
        <f>IF(B1854="","",COUNT('Diário 5º PA'!$A$5:$A$2634)+COUNT('Diário 6º PA'!$A$5:$A$2246)+ROW()-4)</f>
        <v/>
      </c>
      <c r="B1854" s="290"/>
      <c r="C1854" s="357"/>
      <c r="D1854" s="291"/>
      <c r="E1854" s="291"/>
      <c r="F1854" s="292"/>
      <c r="G1854" s="456"/>
      <c r="H1854" s="291"/>
      <c r="I1854" s="293"/>
      <c r="J1854" s="291"/>
      <c r="K1854" s="291"/>
      <c r="L1854" s="293"/>
      <c r="M1854" s="289"/>
      <c r="N1854" s="289"/>
      <c r="O1854" s="358"/>
      <c r="P1854" s="330">
        <f t="shared" si="265"/>
        <v>0</v>
      </c>
      <c r="Q1854" s="330">
        <f t="shared" si="266"/>
        <v>0</v>
      </c>
      <c r="R1854" s="331" t="str">
        <f t="shared" si="267"/>
        <v/>
      </c>
      <c r="S1854" s="331" t="str">
        <f>IF(D1854="","",IF(OR(D1854=Plano!$A$1,D1854=Plano!$B$1),"entrada","saída"))</f>
        <v/>
      </c>
      <c r="T1854" s="406"/>
      <c r="U1854" s="406"/>
      <c r="V1854" s="269"/>
      <c r="W1854" s="269"/>
      <c r="X1854" s="269"/>
      <c r="Y1854" s="269"/>
      <c r="Z1854" s="269"/>
      <c r="AA1854" s="269"/>
      <c r="AB1854" s="269"/>
      <c r="AC1854" s="269"/>
      <c r="AD1854" s="269"/>
      <c r="AE1854" s="269"/>
      <c r="AF1854" s="269"/>
      <c r="AG1854" s="269"/>
      <c r="AH1854" s="269"/>
      <c r="AI1854" s="269"/>
      <c r="AJ1854" s="269"/>
      <c r="AK1854" s="269"/>
      <c r="AL1854" s="269"/>
      <c r="AM1854" s="269"/>
    </row>
    <row r="1855" spans="1:39" ht="12.75" customHeight="1" x14ac:dyDescent="0.2">
      <c r="A1855" s="289" t="str">
        <f>IF(B1855="","",COUNT('Diário 5º PA'!$A$5:$A$2634)+COUNT('Diário 6º PA'!$A$5:$A$2246)+ROW()-4)</f>
        <v/>
      </c>
      <c r="B1855" s="290"/>
      <c r="C1855" s="357"/>
      <c r="D1855" s="291"/>
      <c r="E1855" s="291"/>
      <c r="F1855" s="292"/>
      <c r="G1855" s="456"/>
      <c r="H1855" s="291"/>
      <c r="I1855" s="293"/>
      <c r="J1855" s="291"/>
      <c r="K1855" s="291"/>
      <c r="L1855" s="293"/>
      <c r="M1855" s="289"/>
      <c r="N1855" s="289"/>
      <c r="O1855" s="358"/>
      <c r="P1855" s="330">
        <f t="shared" si="265"/>
        <v>0</v>
      </c>
      <c r="Q1855" s="330">
        <f t="shared" si="266"/>
        <v>0</v>
      </c>
      <c r="R1855" s="331" t="str">
        <f t="shared" si="267"/>
        <v/>
      </c>
      <c r="S1855" s="331" t="str">
        <f>IF(D1855="","",IF(OR(D1855=Plano!$A$1,D1855=Plano!$B$1),"entrada","saída"))</f>
        <v/>
      </c>
      <c r="T1855" s="406"/>
      <c r="U1855" s="406"/>
      <c r="V1855" s="269"/>
      <c r="W1855" s="269"/>
      <c r="X1855" s="269"/>
      <c r="Y1855" s="269"/>
      <c r="Z1855" s="269"/>
      <c r="AA1855" s="269"/>
      <c r="AB1855" s="269"/>
      <c r="AC1855" s="269"/>
      <c r="AD1855" s="269"/>
      <c r="AE1855" s="269"/>
      <c r="AF1855" s="269"/>
      <c r="AG1855" s="269"/>
      <c r="AH1855" s="269"/>
      <c r="AI1855" s="269"/>
      <c r="AJ1855" s="269"/>
      <c r="AK1855" s="269"/>
      <c r="AL1855" s="269"/>
      <c r="AM1855" s="269"/>
    </row>
    <row r="1856" spans="1:39" ht="12.75" customHeight="1" x14ac:dyDescent="0.2">
      <c r="A1856" s="289" t="str">
        <f>IF(B1856="","",COUNT('Diário 5º PA'!$A$5:$A$2634)+COUNT('Diário 6º PA'!$A$5:$A$2246)+ROW()-4)</f>
        <v/>
      </c>
      <c r="B1856" s="290"/>
      <c r="C1856" s="357"/>
      <c r="D1856" s="291"/>
      <c r="E1856" s="291"/>
      <c r="F1856" s="292"/>
      <c r="G1856" s="456"/>
      <c r="H1856" s="291"/>
      <c r="I1856" s="293"/>
      <c r="J1856" s="291"/>
      <c r="K1856" s="291"/>
      <c r="L1856" s="293"/>
      <c r="M1856" s="289"/>
      <c r="N1856" s="289"/>
      <c r="O1856" s="358"/>
      <c r="P1856" s="330">
        <f t="shared" si="265"/>
        <v>0</v>
      </c>
      <c r="Q1856" s="330">
        <f t="shared" si="266"/>
        <v>0</v>
      </c>
      <c r="R1856" s="331" t="str">
        <f t="shared" si="267"/>
        <v/>
      </c>
      <c r="S1856" s="331" t="str">
        <f>IF(D1856="","",IF(OR(D1856=Plano!$A$1,D1856=Plano!$B$1),"entrada","saída"))</f>
        <v/>
      </c>
      <c r="T1856" s="406"/>
      <c r="U1856" s="406"/>
      <c r="V1856" s="269"/>
      <c r="W1856" s="269"/>
      <c r="X1856" s="269"/>
      <c r="Y1856" s="269"/>
      <c r="Z1856" s="269"/>
      <c r="AA1856" s="269"/>
      <c r="AB1856" s="269"/>
      <c r="AC1856" s="269"/>
      <c r="AD1856" s="269"/>
      <c r="AE1856" s="269"/>
      <c r="AF1856" s="269"/>
      <c r="AG1856" s="269"/>
      <c r="AH1856" s="269"/>
      <c r="AI1856" s="269"/>
      <c r="AJ1856" s="269"/>
      <c r="AK1856" s="269"/>
      <c r="AL1856" s="269"/>
      <c r="AM1856" s="269"/>
    </row>
    <row r="1857" spans="1:39" ht="12.75" customHeight="1" x14ac:dyDescent="0.2">
      <c r="A1857" s="289" t="str">
        <f>IF(B1857="","",COUNT('Diário 5º PA'!$A$5:$A$2634)+COUNT('Diário 6º PA'!$A$5:$A$2246)+ROW()-4)</f>
        <v/>
      </c>
      <c r="B1857" s="290"/>
      <c r="C1857" s="357"/>
      <c r="D1857" s="291"/>
      <c r="E1857" s="291"/>
      <c r="F1857" s="292"/>
      <c r="G1857" s="456"/>
      <c r="H1857" s="291"/>
      <c r="I1857" s="293"/>
      <c r="J1857" s="291"/>
      <c r="K1857" s="291"/>
      <c r="L1857" s="293"/>
      <c r="M1857" s="289"/>
      <c r="N1857" s="289"/>
      <c r="O1857" s="358"/>
      <c r="P1857" s="330">
        <f t="shared" si="265"/>
        <v>0</v>
      </c>
      <c r="Q1857" s="330">
        <f t="shared" si="266"/>
        <v>0</v>
      </c>
      <c r="R1857" s="331" t="str">
        <f t="shared" si="267"/>
        <v/>
      </c>
      <c r="S1857" s="331" t="str">
        <f>IF(D1857="","",IF(OR(D1857=Plano!$A$1,D1857=Plano!$B$1),"entrada","saída"))</f>
        <v/>
      </c>
      <c r="T1857" s="406"/>
      <c r="U1857" s="406"/>
      <c r="V1857" s="269"/>
      <c r="W1857" s="269"/>
      <c r="X1857" s="269"/>
      <c r="Y1857" s="269"/>
      <c r="Z1857" s="269"/>
      <c r="AA1857" s="269"/>
      <c r="AB1857" s="269"/>
      <c r="AC1857" s="269"/>
      <c r="AD1857" s="269"/>
      <c r="AE1857" s="269"/>
      <c r="AF1857" s="269"/>
      <c r="AG1857" s="269"/>
      <c r="AH1857" s="269"/>
      <c r="AI1857" s="269"/>
      <c r="AJ1857" s="269"/>
      <c r="AK1857" s="269"/>
      <c r="AL1857" s="269"/>
      <c r="AM1857" s="269"/>
    </row>
    <row r="1858" spans="1:39" ht="12.75" customHeight="1" x14ac:dyDescent="0.2">
      <c r="A1858" s="289" t="str">
        <f>IF(B1858="","",COUNT('Diário 5º PA'!$A$5:$A$2634)+COUNT('Diário 6º PA'!$A$5:$A$2246)+ROW()-4)</f>
        <v/>
      </c>
      <c r="B1858" s="290"/>
      <c r="C1858" s="357"/>
      <c r="D1858" s="291"/>
      <c r="E1858" s="291"/>
      <c r="F1858" s="292"/>
      <c r="G1858" s="456"/>
      <c r="H1858" s="291"/>
      <c r="I1858" s="293"/>
      <c r="J1858" s="291"/>
      <c r="K1858" s="291"/>
      <c r="L1858" s="293"/>
      <c r="M1858" s="289"/>
      <c r="N1858" s="289"/>
      <c r="O1858" s="358"/>
      <c r="P1858" s="330">
        <f t="shared" si="265"/>
        <v>0</v>
      </c>
      <c r="Q1858" s="330">
        <f t="shared" si="266"/>
        <v>0</v>
      </c>
      <c r="R1858" s="331" t="str">
        <f t="shared" si="267"/>
        <v/>
      </c>
      <c r="S1858" s="331" t="str">
        <f>IF(D1858="","",IF(OR(D1858=Plano!$A$1,D1858=Plano!$B$1),"entrada","saída"))</f>
        <v/>
      </c>
      <c r="T1858" s="406"/>
      <c r="U1858" s="406"/>
      <c r="V1858" s="269"/>
      <c r="W1858" s="269"/>
      <c r="X1858" s="269"/>
      <c r="Y1858" s="269"/>
      <c r="Z1858" s="269"/>
      <c r="AA1858" s="269"/>
      <c r="AB1858" s="269"/>
      <c r="AC1858" s="269"/>
      <c r="AD1858" s="269"/>
      <c r="AE1858" s="269"/>
      <c r="AF1858" s="269"/>
      <c r="AG1858" s="269"/>
      <c r="AH1858" s="269"/>
      <c r="AI1858" s="269"/>
      <c r="AJ1858" s="269"/>
      <c r="AK1858" s="269"/>
      <c r="AL1858" s="269"/>
      <c r="AM1858" s="269"/>
    </row>
    <row r="1859" spans="1:39" ht="12.75" customHeight="1" x14ac:dyDescent="0.2">
      <c r="A1859" s="289" t="str">
        <f>IF(B1859="","",COUNT('Diário 5º PA'!$A$5:$A$2634)+COUNT('Diário 6º PA'!$A$5:$A$2246)+ROW()-4)</f>
        <v/>
      </c>
      <c r="B1859" s="290"/>
      <c r="C1859" s="357"/>
      <c r="D1859" s="291"/>
      <c r="E1859" s="291"/>
      <c r="F1859" s="292"/>
      <c r="G1859" s="456"/>
      <c r="H1859" s="291"/>
      <c r="I1859" s="293"/>
      <c r="J1859" s="291"/>
      <c r="K1859" s="291"/>
      <c r="L1859" s="293"/>
      <c r="M1859" s="289"/>
      <c r="N1859" s="289"/>
      <c r="O1859" s="358"/>
      <c r="P1859" s="330">
        <f t="shared" si="265"/>
        <v>0</v>
      </c>
      <c r="Q1859" s="330">
        <f t="shared" si="266"/>
        <v>0</v>
      </c>
      <c r="R1859" s="331" t="str">
        <f t="shared" si="267"/>
        <v/>
      </c>
      <c r="S1859" s="331" t="str">
        <f>IF(D1859="","",IF(OR(D1859=Plano!$A$1,D1859=Plano!$B$1),"entrada","saída"))</f>
        <v/>
      </c>
      <c r="T1859" s="406"/>
      <c r="U1859" s="406"/>
      <c r="V1859" s="269"/>
      <c r="W1859" s="269"/>
      <c r="X1859" s="269"/>
      <c r="Y1859" s="269"/>
      <c r="Z1859" s="269"/>
      <c r="AA1859" s="269"/>
      <c r="AB1859" s="269"/>
      <c r="AC1859" s="269"/>
      <c r="AD1859" s="269"/>
      <c r="AE1859" s="269"/>
      <c r="AF1859" s="269"/>
      <c r="AG1859" s="269"/>
      <c r="AH1859" s="269"/>
      <c r="AI1859" s="269"/>
      <c r="AJ1859" s="269"/>
      <c r="AK1859" s="269"/>
      <c r="AL1859" s="269"/>
      <c r="AM1859" s="269"/>
    </row>
    <row r="1860" spans="1:39" ht="12.75" customHeight="1" x14ac:dyDescent="0.2">
      <c r="A1860" s="289" t="str">
        <f>IF(B1860="","",COUNT('Diário 5º PA'!$A$5:$A$2634)+COUNT('Diário 6º PA'!$A$5:$A$2246)+ROW()-4)</f>
        <v/>
      </c>
      <c r="B1860" s="290"/>
      <c r="C1860" s="357"/>
      <c r="D1860" s="291"/>
      <c r="E1860" s="291"/>
      <c r="F1860" s="292"/>
      <c r="G1860" s="456"/>
      <c r="H1860" s="291"/>
      <c r="I1860" s="293"/>
      <c r="J1860" s="291"/>
      <c r="K1860" s="291"/>
      <c r="L1860" s="293"/>
      <c r="M1860" s="289"/>
      <c r="N1860" s="289"/>
      <c r="O1860" s="358"/>
      <c r="P1860" s="330">
        <f t="shared" si="265"/>
        <v>0</v>
      </c>
      <c r="Q1860" s="330">
        <f t="shared" si="266"/>
        <v>0</v>
      </c>
      <c r="R1860" s="331" t="str">
        <f t="shared" si="267"/>
        <v/>
      </c>
      <c r="S1860" s="331" t="str">
        <f>IF(D1860="","",IF(OR(D1860=Plano!$A$1,D1860=Plano!$B$1),"entrada","saída"))</f>
        <v/>
      </c>
      <c r="T1860" s="406"/>
      <c r="U1860" s="406"/>
      <c r="V1860" s="269"/>
      <c r="W1860" s="269"/>
      <c r="X1860" s="269"/>
      <c r="Y1860" s="269"/>
      <c r="Z1860" s="269"/>
      <c r="AA1860" s="269"/>
      <c r="AB1860" s="269"/>
      <c r="AC1860" s="269"/>
      <c r="AD1860" s="269"/>
      <c r="AE1860" s="269"/>
      <c r="AF1860" s="269"/>
      <c r="AG1860" s="269"/>
      <c r="AH1860" s="269"/>
      <c r="AI1860" s="269"/>
      <c r="AJ1860" s="269"/>
      <c r="AK1860" s="269"/>
      <c r="AL1860" s="269"/>
      <c r="AM1860" s="269"/>
    </row>
    <row r="1861" spans="1:39" ht="12.75" customHeight="1" x14ac:dyDescent="0.2">
      <c r="A1861" s="289" t="str">
        <f>IF(B1861="","",COUNT('Diário 5º PA'!$A$5:$A$2634)+COUNT('Diário 6º PA'!$A$5:$A$2246)+ROW()-4)</f>
        <v/>
      </c>
      <c r="B1861" s="290"/>
      <c r="C1861" s="357"/>
      <c r="D1861" s="291"/>
      <c r="E1861" s="291"/>
      <c r="F1861" s="292"/>
      <c r="G1861" s="456"/>
      <c r="H1861" s="291"/>
      <c r="I1861" s="293"/>
      <c r="J1861" s="291"/>
      <c r="K1861" s="291"/>
      <c r="L1861" s="293"/>
      <c r="M1861" s="289"/>
      <c r="N1861" s="289"/>
      <c r="O1861" s="358"/>
      <c r="P1861" s="330">
        <f t="shared" si="265"/>
        <v>0</v>
      </c>
      <c r="Q1861" s="330">
        <f t="shared" si="266"/>
        <v>0</v>
      </c>
      <c r="R1861" s="331" t="str">
        <f t="shared" si="267"/>
        <v/>
      </c>
      <c r="S1861" s="331" t="str">
        <f>IF(D1861="","",IF(OR(D1861=Plano!$A$1,D1861=Plano!$B$1),"entrada","saída"))</f>
        <v/>
      </c>
      <c r="T1861" s="406"/>
      <c r="U1861" s="406"/>
      <c r="V1861" s="269"/>
      <c r="W1861" s="269"/>
      <c r="X1861" s="269"/>
      <c r="Y1861" s="269"/>
      <c r="Z1861" s="269"/>
      <c r="AA1861" s="269"/>
      <c r="AB1861" s="269"/>
      <c r="AC1861" s="269"/>
      <c r="AD1861" s="269"/>
      <c r="AE1861" s="269"/>
      <c r="AF1861" s="269"/>
      <c r="AG1861" s="269"/>
      <c r="AH1861" s="269"/>
      <c r="AI1861" s="269"/>
      <c r="AJ1861" s="269"/>
      <c r="AK1861" s="269"/>
      <c r="AL1861" s="269"/>
      <c r="AM1861" s="269"/>
    </row>
    <row r="1862" spans="1:39" ht="12.75" customHeight="1" x14ac:dyDescent="0.2">
      <c r="A1862" s="289" t="str">
        <f>IF(B1862="","",COUNT('Diário 5º PA'!$A$5:$A$2634)+COUNT('Diário 6º PA'!$A$5:$A$2246)+ROW()-4)</f>
        <v/>
      </c>
      <c r="B1862" s="290"/>
      <c r="C1862" s="357"/>
      <c r="D1862" s="291"/>
      <c r="E1862" s="291"/>
      <c r="F1862" s="292"/>
      <c r="G1862" s="456"/>
      <c r="H1862" s="291"/>
      <c r="I1862" s="293"/>
      <c r="J1862" s="291"/>
      <c r="K1862" s="291"/>
      <c r="L1862" s="293"/>
      <c r="M1862" s="289"/>
      <c r="N1862" s="289"/>
      <c r="O1862" s="358"/>
      <c r="P1862" s="330">
        <f t="shared" si="265"/>
        <v>0</v>
      </c>
      <c r="Q1862" s="330">
        <f t="shared" si="266"/>
        <v>0</v>
      </c>
      <c r="R1862" s="331" t="str">
        <f t="shared" si="267"/>
        <v/>
      </c>
      <c r="S1862" s="331" t="str">
        <f>IF(D1862="","",IF(OR(D1862=Plano!$A$1,D1862=Plano!$B$1),"entrada","saída"))</f>
        <v/>
      </c>
      <c r="T1862" s="406"/>
      <c r="U1862" s="406"/>
      <c r="V1862" s="269"/>
      <c r="W1862" s="269"/>
      <c r="X1862" s="269"/>
      <c r="Y1862" s="269"/>
      <c r="Z1862" s="269"/>
      <c r="AA1862" s="269"/>
      <c r="AB1862" s="269"/>
      <c r="AC1862" s="269"/>
      <c r="AD1862" s="269"/>
      <c r="AE1862" s="269"/>
      <c r="AF1862" s="269"/>
      <c r="AG1862" s="269"/>
      <c r="AH1862" s="269"/>
      <c r="AI1862" s="269"/>
      <c r="AJ1862" s="269"/>
      <c r="AK1862" s="269"/>
      <c r="AL1862" s="269"/>
      <c r="AM1862" s="269"/>
    </row>
    <row r="1863" spans="1:39" ht="12.75" customHeight="1" x14ac:dyDescent="0.2">
      <c r="A1863" s="289" t="str">
        <f>IF(B1863="","",COUNT('Diário 5º PA'!$A$5:$A$2634)+COUNT('Diário 6º PA'!$A$5:$A$2246)+ROW()-4)</f>
        <v/>
      </c>
      <c r="B1863" s="290"/>
      <c r="C1863" s="357"/>
      <c r="D1863" s="291"/>
      <c r="E1863" s="291"/>
      <c r="F1863" s="292"/>
      <c r="G1863" s="456"/>
      <c r="H1863" s="291"/>
      <c r="I1863" s="293"/>
      <c r="J1863" s="291"/>
      <c r="K1863" s="291"/>
      <c r="L1863" s="293"/>
      <c r="M1863" s="289"/>
      <c r="N1863" s="289"/>
      <c r="O1863" s="358"/>
      <c r="P1863" s="330">
        <f t="shared" si="265"/>
        <v>0</v>
      </c>
      <c r="Q1863" s="330">
        <f t="shared" si="266"/>
        <v>0</v>
      </c>
      <c r="R1863" s="331" t="str">
        <f t="shared" si="267"/>
        <v/>
      </c>
      <c r="S1863" s="331" t="str">
        <f>IF(D1863="","",IF(OR(D1863=Plano!$A$1,D1863=Plano!$B$1),"entrada","saída"))</f>
        <v/>
      </c>
      <c r="T1863" s="406"/>
      <c r="U1863" s="406"/>
      <c r="V1863" s="269"/>
      <c r="W1863" s="269"/>
      <c r="X1863" s="269"/>
      <c r="Y1863" s="269"/>
      <c r="Z1863" s="269"/>
      <c r="AA1863" s="269"/>
      <c r="AB1863" s="269"/>
      <c r="AC1863" s="269"/>
      <c r="AD1863" s="269"/>
      <c r="AE1863" s="269"/>
      <c r="AF1863" s="269"/>
      <c r="AG1863" s="269"/>
      <c r="AH1863" s="269"/>
      <c r="AI1863" s="269"/>
      <c r="AJ1863" s="269"/>
      <c r="AK1863" s="269"/>
      <c r="AL1863" s="269"/>
      <c r="AM1863" s="269"/>
    </row>
    <row r="1864" spans="1:39" ht="12.75" customHeight="1" x14ac:dyDescent="0.2">
      <c r="A1864" s="289" t="str">
        <f>IF(B1864="","",COUNT('Diário 5º PA'!$A$5:$A$2634)+COUNT('Diário 6º PA'!$A$5:$A$2246)+ROW()-4)</f>
        <v/>
      </c>
      <c r="B1864" s="290"/>
      <c r="C1864" s="357"/>
      <c r="D1864" s="291"/>
      <c r="E1864" s="291"/>
      <c r="F1864" s="292"/>
      <c r="G1864" s="456"/>
      <c r="H1864" s="291"/>
      <c r="I1864" s="293"/>
      <c r="J1864" s="291"/>
      <c r="K1864" s="291"/>
      <c r="L1864" s="293"/>
      <c r="M1864" s="289"/>
      <c r="N1864" s="289"/>
      <c r="O1864" s="358"/>
      <c r="P1864" s="330">
        <f t="shared" si="265"/>
        <v>0</v>
      </c>
      <c r="Q1864" s="330">
        <f t="shared" si="266"/>
        <v>0</v>
      </c>
      <c r="R1864" s="331" t="str">
        <f t="shared" si="267"/>
        <v/>
      </c>
      <c r="S1864" s="331" t="str">
        <f>IF(D1864="","",IF(OR(D1864=Plano!$A$1,D1864=Plano!$B$1),"entrada","saída"))</f>
        <v/>
      </c>
      <c r="T1864" s="406"/>
      <c r="U1864" s="406"/>
      <c r="V1864" s="269"/>
      <c r="W1864" s="269"/>
      <c r="X1864" s="269"/>
      <c r="Y1864" s="269"/>
      <c r="Z1864" s="269"/>
      <c r="AA1864" s="269"/>
      <c r="AB1864" s="269"/>
      <c r="AC1864" s="269"/>
      <c r="AD1864" s="269"/>
      <c r="AE1864" s="269"/>
      <c r="AF1864" s="269"/>
      <c r="AG1864" s="269"/>
      <c r="AH1864" s="269"/>
      <c r="AI1864" s="269"/>
      <c r="AJ1864" s="269"/>
      <c r="AK1864" s="269"/>
      <c r="AL1864" s="269"/>
      <c r="AM1864" s="269"/>
    </row>
    <row r="1865" spans="1:39" ht="12.75" customHeight="1" x14ac:dyDescent="0.2">
      <c r="A1865" s="289" t="str">
        <f>IF(B1865="","",COUNT('Diário 5º PA'!$A$5:$A$2634)+COUNT('Diário 6º PA'!$A$5:$A$2246)+ROW()-4)</f>
        <v/>
      </c>
      <c r="B1865" s="290"/>
      <c r="C1865" s="357"/>
      <c r="D1865" s="291"/>
      <c r="E1865" s="291"/>
      <c r="F1865" s="292"/>
      <c r="G1865" s="456"/>
      <c r="H1865" s="291"/>
      <c r="I1865" s="293"/>
      <c r="J1865" s="291"/>
      <c r="K1865" s="291"/>
      <c r="L1865" s="293"/>
      <c r="M1865" s="289"/>
      <c r="N1865" s="289"/>
      <c r="O1865" s="358"/>
      <c r="P1865" s="330">
        <f t="shared" si="265"/>
        <v>0</v>
      </c>
      <c r="Q1865" s="330">
        <f t="shared" si="266"/>
        <v>0</v>
      </c>
      <c r="R1865" s="331" t="str">
        <f t="shared" si="267"/>
        <v/>
      </c>
      <c r="S1865" s="331" t="str">
        <f>IF(D1865="","",IF(OR(D1865=Plano!$A$1,D1865=Plano!$B$1),"entrada","saída"))</f>
        <v/>
      </c>
      <c r="T1865" s="406"/>
      <c r="U1865" s="406"/>
      <c r="V1865" s="269"/>
      <c r="W1865" s="269"/>
      <c r="X1865" s="269"/>
      <c r="Y1865" s="269"/>
      <c r="Z1865" s="269"/>
      <c r="AA1865" s="269"/>
      <c r="AB1865" s="269"/>
      <c r="AC1865" s="269"/>
      <c r="AD1865" s="269"/>
      <c r="AE1865" s="269"/>
      <c r="AF1865" s="269"/>
      <c r="AG1865" s="269"/>
      <c r="AH1865" s="269"/>
      <c r="AI1865" s="269"/>
      <c r="AJ1865" s="269"/>
      <c r="AK1865" s="269"/>
      <c r="AL1865" s="269"/>
      <c r="AM1865" s="269"/>
    </row>
    <row r="1866" spans="1:39" ht="12.75" customHeight="1" x14ac:dyDescent="0.2">
      <c r="A1866" s="289" t="str">
        <f>IF(B1866="","",COUNT('Diário 5º PA'!$A$5:$A$2634)+COUNT('Diário 6º PA'!$A$5:$A$2246)+ROW()-4)</f>
        <v/>
      </c>
      <c r="B1866" s="290"/>
      <c r="C1866" s="357"/>
      <c r="D1866" s="291"/>
      <c r="E1866" s="291"/>
      <c r="F1866" s="292"/>
      <c r="G1866" s="456"/>
      <c r="H1866" s="291"/>
      <c r="I1866" s="293"/>
      <c r="J1866" s="291"/>
      <c r="K1866" s="291"/>
      <c r="L1866" s="293"/>
      <c r="M1866" s="289"/>
      <c r="N1866" s="289"/>
      <c r="O1866" s="358"/>
      <c r="P1866" s="330">
        <f t="shared" si="265"/>
        <v>0</v>
      </c>
      <c r="Q1866" s="330">
        <f t="shared" si="266"/>
        <v>0</v>
      </c>
      <c r="R1866" s="331" t="str">
        <f t="shared" si="267"/>
        <v/>
      </c>
      <c r="S1866" s="331" t="str">
        <f>IF(D1866="","",IF(OR(D1866=Plano!$A$1,D1866=Plano!$B$1),"entrada","saída"))</f>
        <v/>
      </c>
      <c r="T1866" s="406"/>
      <c r="U1866" s="406"/>
      <c r="V1866" s="269"/>
      <c r="W1866" s="269"/>
      <c r="X1866" s="269"/>
      <c r="Y1866" s="269"/>
      <c r="Z1866" s="269"/>
      <c r="AA1866" s="269"/>
      <c r="AB1866" s="269"/>
      <c r="AC1866" s="269"/>
      <c r="AD1866" s="269"/>
      <c r="AE1866" s="269"/>
      <c r="AF1866" s="269"/>
      <c r="AG1866" s="269"/>
      <c r="AH1866" s="269"/>
      <c r="AI1866" s="269"/>
      <c r="AJ1866" s="269"/>
      <c r="AK1866" s="269"/>
      <c r="AL1866" s="269"/>
      <c r="AM1866" s="269"/>
    </row>
    <row r="1867" spans="1:39" ht="12.75" customHeight="1" x14ac:dyDescent="0.2">
      <c r="A1867" s="289" t="str">
        <f>IF(B1867="","",COUNT('Diário 5º PA'!$A$5:$A$2634)+COUNT('Diário 6º PA'!$A$5:$A$2246)+ROW()-4)</f>
        <v/>
      </c>
      <c r="B1867" s="290"/>
      <c r="C1867" s="357"/>
      <c r="D1867" s="291"/>
      <c r="E1867" s="291"/>
      <c r="F1867" s="292"/>
      <c r="G1867" s="456"/>
      <c r="H1867" s="291"/>
      <c r="I1867" s="293"/>
      <c r="J1867" s="291"/>
      <c r="K1867" s="291"/>
      <c r="L1867" s="293"/>
      <c r="M1867" s="289"/>
      <c r="N1867" s="289"/>
      <c r="O1867" s="358"/>
      <c r="P1867" s="330">
        <f t="shared" si="265"/>
        <v>0</v>
      </c>
      <c r="Q1867" s="330">
        <f t="shared" si="266"/>
        <v>0</v>
      </c>
      <c r="R1867" s="331" t="str">
        <f t="shared" si="267"/>
        <v/>
      </c>
      <c r="S1867" s="331" t="str">
        <f>IF(D1867="","",IF(OR(D1867=Plano!$A$1,D1867=Plano!$B$1),"entrada","saída"))</f>
        <v/>
      </c>
      <c r="T1867" s="406"/>
      <c r="U1867" s="406"/>
      <c r="V1867" s="269"/>
      <c r="W1867" s="269"/>
      <c r="X1867" s="269"/>
      <c r="Y1867" s="269"/>
      <c r="Z1867" s="269"/>
      <c r="AA1867" s="269"/>
      <c r="AB1867" s="269"/>
      <c r="AC1867" s="269"/>
      <c r="AD1867" s="269"/>
      <c r="AE1867" s="269"/>
      <c r="AF1867" s="269"/>
      <c r="AG1867" s="269"/>
      <c r="AH1867" s="269"/>
      <c r="AI1867" s="269"/>
      <c r="AJ1867" s="269"/>
      <c r="AK1867" s="269"/>
      <c r="AL1867" s="269"/>
      <c r="AM1867" s="269"/>
    </row>
    <row r="1868" spans="1:39" ht="12.75" customHeight="1" x14ac:dyDescent="0.2">
      <c r="A1868" s="289" t="str">
        <f>IF(B1868="","",COUNT('Diário 5º PA'!$A$5:$A$2634)+COUNT('Diário 6º PA'!$A$5:$A$2246)+ROW()-4)</f>
        <v/>
      </c>
      <c r="B1868" s="290"/>
      <c r="C1868" s="357"/>
      <c r="D1868" s="291"/>
      <c r="E1868" s="291"/>
      <c r="F1868" s="292"/>
      <c r="G1868" s="456"/>
      <c r="H1868" s="291"/>
      <c r="I1868" s="293"/>
      <c r="J1868" s="291"/>
      <c r="K1868" s="291"/>
      <c r="L1868" s="293"/>
      <c r="M1868" s="289"/>
      <c r="N1868" s="289"/>
      <c r="O1868" s="358"/>
      <c r="P1868" s="330">
        <f t="shared" si="265"/>
        <v>0</v>
      </c>
      <c r="Q1868" s="330">
        <f t="shared" si="266"/>
        <v>0</v>
      </c>
      <c r="R1868" s="331" t="str">
        <f t="shared" si="267"/>
        <v/>
      </c>
      <c r="S1868" s="331" t="str">
        <f>IF(D1868="","",IF(OR(D1868=Plano!$A$1,D1868=Plano!$B$1),"entrada","saída"))</f>
        <v/>
      </c>
      <c r="T1868" s="406"/>
      <c r="U1868" s="406"/>
      <c r="V1868" s="269"/>
      <c r="W1868" s="269"/>
      <c r="X1868" s="269"/>
      <c r="Y1868" s="269"/>
      <c r="Z1868" s="269"/>
      <c r="AA1868" s="269"/>
      <c r="AB1868" s="269"/>
      <c r="AC1868" s="269"/>
      <c r="AD1868" s="269"/>
      <c r="AE1868" s="269"/>
      <c r="AF1868" s="269"/>
      <c r="AG1868" s="269"/>
      <c r="AH1868" s="269"/>
      <c r="AI1868" s="269"/>
      <c r="AJ1868" s="269"/>
      <c r="AK1868" s="269"/>
      <c r="AL1868" s="269"/>
      <c r="AM1868" s="269"/>
    </row>
    <row r="1869" spans="1:39" ht="12.75" customHeight="1" x14ac:dyDescent="0.2">
      <c r="A1869" s="289" t="str">
        <f>IF(B1869="","",COUNT('Diário 5º PA'!$A$5:$A$2634)+COUNT('Diário 6º PA'!$A$5:$A$2246)+ROW()-4)</f>
        <v/>
      </c>
      <c r="B1869" s="290"/>
      <c r="C1869" s="357"/>
      <c r="D1869" s="291"/>
      <c r="E1869" s="291"/>
      <c r="F1869" s="292"/>
      <c r="G1869" s="456"/>
      <c r="H1869" s="291"/>
      <c r="I1869" s="293"/>
      <c r="J1869" s="291"/>
      <c r="K1869" s="291"/>
      <c r="L1869" s="293"/>
      <c r="M1869" s="289"/>
      <c r="N1869" s="289"/>
      <c r="O1869" s="358"/>
      <c r="P1869" s="330">
        <f t="shared" si="265"/>
        <v>0</v>
      </c>
      <c r="Q1869" s="330">
        <f t="shared" si="266"/>
        <v>0</v>
      </c>
      <c r="R1869" s="331" t="str">
        <f t="shared" si="267"/>
        <v/>
      </c>
      <c r="S1869" s="331" t="str">
        <f>IF(D1869="","",IF(OR(D1869=Plano!$A$1,D1869=Plano!$B$1),"entrada","saída"))</f>
        <v/>
      </c>
      <c r="T1869" s="406"/>
      <c r="U1869" s="406"/>
      <c r="V1869" s="269"/>
      <c r="W1869" s="269"/>
      <c r="X1869" s="269"/>
      <c r="Y1869" s="269"/>
      <c r="Z1869" s="269"/>
      <c r="AA1869" s="269"/>
      <c r="AB1869" s="269"/>
      <c r="AC1869" s="269"/>
      <c r="AD1869" s="269"/>
      <c r="AE1869" s="269"/>
      <c r="AF1869" s="269"/>
      <c r="AG1869" s="269"/>
      <c r="AH1869" s="269"/>
      <c r="AI1869" s="269"/>
      <c r="AJ1869" s="269"/>
      <c r="AK1869" s="269"/>
      <c r="AL1869" s="269"/>
      <c r="AM1869" s="269"/>
    </row>
    <row r="1870" spans="1:39" ht="12.75" customHeight="1" x14ac:dyDescent="0.2">
      <c r="A1870" s="289" t="str">
        <f>IF(B1870="","",COUNT('Diário 5º PA'!$A$5:$A$2634)+COUNT('Diário 6º PA'!$A$5:$A$2246)+ROW()-4)</f>
        <v/>
      </c>
      <c r="B1870" s="290"/>
      <c r="C1870" s="357"/>
      <c r="D1870" s="291"/>
      <c r="E1870" s="291"/>
      <c r="F1870" s="292"/>
      <c r="G1870" s="456"/>
      <c r="H1870" s="291"/>
      <c r="I1870" s="293"/>
      <c r="J1870" s="291"/>
      <c r="K1870" s="291"/>
      <c r="L1870" s="293"/>
      <c r="M1870" s="289"/>
      <c r="N1870" s="289"/>
      <c r="O1870" s="358"/>
      <c r="P1870" s="330">
        <f t="shared" si="265"/>
        <v>0</v>
      </c>
      <c r="Q1870" s="330">
        <f t="shared" si="266"/>
        <v>0</v>
      </c>
      <c r="R1870" s="331" t="str">
        <f t="shared" si="267"/>
        <v/>
      </c>
      <c r="S1870" s="331" t="str">
        <f>IF(D1870="","",IF(OR(D1870=Plano!$A$1,D1870=Plano!$B$1),"entrada","saída"))</f>
        <v/>
      </c>
      <c r="T1870" s="406"/>
      <c r="U1870" s="406"/>
      <c r="V1870" s="269"/>
      <c r="W1870" s="269"/>
      <c r="X1870" s="269"/>
      <c r="Y1870" s="269"/>
      <c r="Z1870" s="269"/>
      <c r="AA1870" s="269"/>
      <c r="AB1870" s="269"/>
      <c r="AC1870" s="269"/>
      <c r="AD1870" s="269"/>
      <c r="AE1870" s="269"/>
      <c r="AF1870" s="269"/>
      <c r="AG1870" s="269"/>
      <c r="AH1870" s="269"/>
      <c r="AI1870" s="269"/>
      <c r="AJ1870" s="269"/>
      <c r="AK1870" s="269"/>
      <c r="AL1870" s="269"/>
      <c r="AM1870" s="269"/>
    </row>
    <row r="1871" spans="1:39" ht="12.75" customHeight="1" x14ac:dyDescent="0.2">
      <c r="A1871" s="289" t="str">
        <f>IF(B1871="","",COUNT('Diário 5º PA'!$A$5:$A$2634)+COUNT('Diário 6º PA'!$A$5:$A$2246)+ROW()-4)</f>
        <v/>
      </c>
      <c r="B1871" s="290"/>
      <c r="C1871" s="357"/>
      <c r="D1871" s="291"/>
      <c r="E1871" s="291"/>
      <c r="F1871" s="292"/>
      <c r="G1871" s="456"/>
      <c r="H1871" s="291"/>
      <c r="I1871" s="293"/>
      <c r="J1871" s="291"/>
      <c r="K1871" s="291"/>
      <c r="L1871" s="293"/>
      <c r="M1871" s="289"/>
      <c r="N1871" s="289"/>
      <c r="O1871" s="358"/>
      <c r="P1871" s="330">
        <f t="shared" si="265"/>
        <v>0</v>
      </c>
      <c r="Q1871" s="330">
        <f t="shared" si="266"/>
        <v>0</v>
      </c>
      <c r="R1871" s="331" t="str">
        <f t="shared" si="267"/>
        <v/>
      </c>
      <c r="S1871" s="331" t="str">
        <f>IF(D1871="","",IF(OR(D1871=Plano!$A$1,D1871=Plano!$B$1),"entrada","saída"))</f>
        <v/>
      </c>
      <c r="T1871" s="406"/>
      <c r="U1871" s="406"/>
      <c r="V1871" s="269"/>
      <c r="W1871" s="269"/>
      <c r="X1871" s="269"/>
      <c r="Y1871" s="269"/>
      <c r="Z1871" s="269"/>
      <c r="AA1871" s="269"/>
      <c r="AB1871" s="269"/>
      <c r="AC1871" s="269"/>
      <c r="AD1871" s="269"/>
      <c r="AE1871" s="269"/>
      <c r="AF1871" s="269"/>
      <c r="AG1871" s="269"/>
      <c r="AH1871" s="269"/>
      <c r="AI1871" s="269"/>
      <c r="AJ1871" s="269"/>
      <c r="AK1871" s="269"/>
      <c r="AL1871" s="269"/>
      <c r="AM1871" s="269"/>
    </row>
    <row r="1872" spans="1:39" ht="12.75" customHeight="1" x14ac:dyDescent="0.2">
      <c r="A1872" s="289" t="str">
        <f>IF(B1872="","",COUNT('Diário 5º PA'!$A$5:$A$2634)+COUNT('Diário 6º PA'!$A$5:$A$2246)+ROW()-4)</f>
        <v/>
      </c>
      <c r="B1872" s="290"/>
      <c r="C1872" s="357"/>
      <c r="D1872" s="291"/>
      <c r="E1872" s="291"/>
      <c r="F1872" s="292"/>
      <c r="G1872" s="456"/>
      <c r="H1872" s="291"/>
      <c r="I1872" s="293"/>
      <c r="J1872" s="291"/>
      <c r="K1872" s="291"/>
      <c r="L1872" s="293"/>
      <c r="M1872" s="289"/>
      <c r="N1872" s="289"/>
      <c r="O1872" s="358"/>
      <c r="P1872" s="330">
        <f t="shared" si="265"/>
        <v>0</v>
      </c>
      <c r="Q1872" s="330">
        <f t="shared" si="266"/>
        <v>0</v>
      </c>
      <c r="R1872" s="331" t="str">
        <f t="shared" si="267"/>
        <v/>
      </c>
      <c r="S1872" s="331" t="str">
        <f>IF(D1872="","",IF(OR(D1872=Plano!$A$1,D1872=Plano!$B$1),"entrada","saída"))</f>
        <v/>
      </c>
      <c r="T1872" s="406"/>
      <c r="U1872" s="406"/>
      <c r="V1872" s="269"/>
      <c r="W1872" s="269"/>
      <c r="X1872" s="269"/>
      <c r="Y1872" s="269"/>
      <c r="Z1872" s="269"/>
      <c r="AA1872" s="269"/>
      <c r="AB1872" s="269"/>
      <c r="AC1872" s="269"/>
      <c r="AD1872" s="269"/>
      <c r="AE1872" s="269"/>
      <c r="AF1872" s="269"/>
      <c r="AG1872" s="269"/>
      <c r="AH1872" s="269"/>
      <c r="AI1872" s="269"/>
      <c r="AJ1872" s="269"/>
      <c r="AK1872" s="269"/>
      <c r="AL1872" s="269"/>
      <c r="AM1872" s="269"/>
    </row>
    <row r="1873" spans="1:39" ht="12.75" customHeight="1" x14ac:dyDescent="0.2">
      <c r="A1873" s="289" t="str">
        <f>IF(B1873="","",COUNT('Diário 5º PA'!$A$5:$A$2634)+COUNT('Diário 6º PA'!$A$5:$A$2246)+ROW()-4)</f>
        <v/>
      </c>
      <c r="B1873" s="290"/>
      <c r="C1873" s="357"/>
      <c r="D1873" s="291"/>
      <c r="E1873" s="291"/>
      <c r="F1873" s="292"/>
      <c r="G1873" s="456"/>
      <c r="H1873" s="291"/>
      <c r="I1873" s="293"/>
      <c r="J1873" s="291"/>
      <c r="K1873" s="291"/>
      <c r="L1873" s="293"/>
      <c r="M1873" s="289"/>
      <c r="N1873" s="289"/>
      <c r="O1873" s="358"/>
      <c r="P1873" s="330">
        <f t="shared" si="265"/>
        <v>0</v>
      </c>
      <c r="Q1873" s="330">
        <f t="shared" si="266"/>
        <v>0</v>
      </c>
      <c r="R1873" s="331" t="str">
        <f t="shared" si="267"/>
        <v/>
      </c>
      <c r="S1873" s="331" t="str">
        <f>IF(D1873="","",IF(OR(D1873=Plano!$A$1,D1873=Plano!$B$1),"entrada","saída"))</f>
        <v/>
      </c>
      <c r="T1873" s="406"/>
      <c r="U1873" s="406"/>
      <c r="V1873" s="269"/>
      <c r="W1873" s="269"/>
      <c r="X1873" s="269"/>
      <c r="Y1873" s="269"/>
      <c r="Z1873" s="269"/>
      <c r="AA1873" s="269"/>
      <c r="AB1873" s="269"/>
      <c r="AC1873" s="269"/>
      <c r="AD1873" s="269"/>
      <c r="AE1873" s="269"/>
      <c r="AF1873" s="269"/>
      <c r="AG1873" s="269"/>
      <c r="AH1873" s="269"/>
      <c r="AI1873" s="269"/>
      <c r="AJ1873" s="269"/>
      <c r="AK1873" s="269"/>
      <c r="AL1873" s="269"/>
      <c r="AM1873" s="269"/>
    </row>
    <row r="1874" spans="1:39" ht="12.75" customHeight="1" x14ac:dyDescent="0.2">
      <c r="A1874" s="289" t="str">
        <f>IF(B1874="","",COUNT('Diário 5º PA'!$A$5:$A$2634)+COUNT('Diário 6º PA'!$A$5:$A$2246)+ROW()-4)</f>
        <v/>
      </c>
      <c r="B1874" s="290"/>
      <c r="C1874" s="357"/>
      <c r="D1874" s="291"/>
      <c r="E1874" s="291"/>
      <c r="F1874" s="292"/>
      <c r="G1874" s="456"/>
      <c r="H1874" s="291"/>
      <c r="I1874" s="293"/>
      <c r="J1874" s="291"/>
      <c r="K1874" s="291"/>
      <c r="L1874" s="293"/>
      <c r="M1874" s="289"/>
      <c r="N1874" s="289"/>
      <c r="O1874" s="358"/>
      <c r="P1874" s="330">
        <f t="shared" si="265"/>
        <v>0</v>
      </c>
      <c r="Q1874" s="330">
        <f t="shared" si="266"/>
        <v>0</v>
      </c>
      <c r="R1874" s="331" t="str">
        <f t="shared" si="267"/>
        <v/>
      </c>
      <c r="S1874" s="331" t="str">
        <f>IF(D1874="","",IF(OR(D1874=Plano!$A$1,D1874=Plano!$B$1),"entrada","saída"))</f>
        <v/>
      </c>
      <c r="T1874" s="406"/>
      <c r="U1874" s="406"/>
      <c r="V1874" s="269"/>
      <c r="W1874" s="269"/>
      <c r="X1874" s="269"/>
      <c r="Y1874" s="269"/>
      <c r="Z1874" s="269"/>
      <c r="AA1874" s="269"/>
      <c r="AB1874" s="269"/>
      <c r="AC1874" s="269"/>
      <c r="AD1874" s="269"/>
      <c r="AE1874" s="269"/>
      <c r="AF1874" s="269"/>
      <c r="AG1874" s="269"/>
      <c r="AH1874" s="269"/>
      <c r="AI1874" s="269"/>
      <c r="AJ1874" s="269"/>
      <c r="AK1874" s="269"/>
      <c r="AL1874" s="269"/>
      <c r="AM1874" s="269"/>
    </row>
    <row r="1875" spans="1:39" ht="12.75" customHeight="1" x14ac:dyDescent="0.2">
      <c r="A1875" s="289" t="str">
        <f>IF(B1875="","",COUNT('Diário 5º PA'!$A$5:$A$2634)+COUNT('Diário 6º PA'!$A$5:$A$2246)+ROW()-4)</f>
        <v/>
      </c>
      <c r="B1875" s="290"/>
      <c r="C1875" s="357"/>
      <c r="D1875" s="291"/>
      <c r="E1875" s="291"/>
      <c r="F1875" s="292"/>
      <c r="G1875" s="456"/>
      <c r="H1875" s="291"/>
      <c r="I1875" s="293"/>
      <c r="J1875" s="291"/>
      <c r="K1875" s="291"/>
      <c r="L1875" s="293"/>
      <c r="M1875" s="289"/>
      <c r="N1875" s="289"/>
      <c r="O1875" s="358"/>
      <c r="P1875" s="330">
        <f t="shared" si="265"/>
        <v>0</v>
      </c>
      <c r="Q1875" s="330">
        <f t="shared" si="266"/>
        <v>0</v>
      </c>
      <c r="R1875" s="331" t="str">
        <f t="shared" si="267"/>
        <v/>
      </c>
      <c r="S1875" s="331" t="str">
        <f>IF(D1875="","",IF(OR(D1875=Plano!$A$1,D1875=Plano!$B$1),"entrada","saída"))</f>
        <v/>
      </c>
      <c r="T1875" s="406"/>
      <c r="U1875" s="406"/>
      <c r="V1875" s="269"/>
      <c r="W1875" s="269"/>
      <c r="X1875" s="269"/>
      <c r="Y1875" s="269"/>
      <c r="Z1875" s="269"/>
      <c r="AA1875" s="269"/>
      <c r="AB1875" s="269"/>
      <c r="AC1875" s="269"/>
      <c r="AD1875" s="269"/>
      <c r="AE1875" s="269"/>
      <c r="AF1875" s="269"/>
      <c r="AG1875" s="269"/>
      <c r="AH1875" s="269"/>
      <c r="AI1875" s="269"/>
      <c r="AJ1875" s="269"/>
      <c r="AK1875" s="269"/>
      <c r="AL1875" s="269"/>
      <c r="AM1875" s="269"/>
    </row>
    <row r="1876" spans="1:39" ht="12.75" customHeight="1" x14ac:dyDescent="0.2">
      <c r="A1876" s="289" t="str">
        <f>IF(B1876="","",COUNT('Diário 5º PA'!$A$5:$A$2634)+COUNT('Diário 6º PA'!$A$5:$A$2246)+ROW()-4)</f>
        <v/>
      </c>
      <c r="B1876" s="290"/>
      <c r="C1876" s="357"/>
      <c r="D1876" s="291"/>
      <c r="E1876" s="291"/>
      <c r="F1876" s="292"/>
      <c r="G1876" s="456"/>
      <c r="H1876" s="291"/>
      <c r="I1876" s="293"/>
      <c r="J1876" s="291"/>
      <c r="K1876" s="291"/>
      <c r="L1876" s="293"/>
      <c r="M1876" s="289"/>
      <c r="N1876" s="289"/>
      <c r="O1876" s="358"/>
      <c r="P1876" s="330">
        <f t="shared" si="265"/>
        <v>0</v>
      </c>
      <c r="Q1876" s="330">
        <f t="shared" si="266"/>
        <v>0</v>
      </c>
      <c r="R1876" s="331" t="str">
        <f t="shared" si="267"/>
        <v/>
      </c>
      <c r="S1876" s="331" t="str">
        <f>IF(D1876="","",IF(OR(D1876=Plano!$A$1,D1876=Plano!$B$1),"entrada","saída"))</f>
        <v/>
      </c>
      <c r="T1876" s="406"/>
      <c r="U1876" s="406"/>
      <c r="V1876" s="269"/>
      <c r="W1876" s="269"/>
      <c r="X1876" s="269"/>
      <c r="Y1876" s="269"/>
      <c r="Z1876" s="269"/>
      <c r="AA1876" s="269"/>
      <c r="AB1876" s="269"/>
      <c r="AC1876" s="269"/>
      <c r="AD1876" s="269"/>
      <c r="AE1876" s="269"/>
      <c r="AF1876" s="269"/>
      <c r="AG1876" s="269"/>
      <c r="AH1876" s="269"/>
      <c r="AI1876" s="269"/>
      <c r="AJ1876" s="269"/>
      <c r="AK1876" s="269"/>
      <c r="AL1876" s="269"/>
      <c r="AM1876" s="269"/>
    </row>
    <row r="1877" spans="1:39" ht="12.75" customHeight="1" x14ac:dyDescent="0.2">
      <c r="A1877" s="289" t="str">
        <f>IF(B1877="","",COUNT('Diário 5º PA'!$A$5:$A$2634)+COUNT('Diário 6º PA'!$A$5:$A$2246)+ROW()-4)</f>
        <v/>
      </c>
      <c r="B1877" s="290"/>
      <c r="C1877" s="357"/>
      <c r="D1877" s="291"/>
      <c r="E1877" s="291"/>
      <c r="F1877" s="292"/>
      <c r="G1877" s="456"/>
      <c r="H1877" s="291"/>
      <c r="I1877" s="293"/>
      <c r="J1877" s="291"/>
      <c r="K1877" s="291"/>
      <c r="L1877" s="293"/>
      <c r="M1877" s="289"/>
      <c r="N1877" s="289"/>
      <c r="O1877" s="358"/>
      <c r="P1877" s="330">
        <f t="shared" si="265"/>
        <v>0</v>
      </c>
      <c r="Q1877" s="330">
        <f t="shared" si="266"/>
        <v>0</v>
      </c>
      <c r="R1877" s="331" t="str">
        <f t="shared" si="267"/>
        <v/>
      </c>
      <c r="S1877" s="331" t="str">
        <f>IF(D1877="","",IF(OR(D1877=Plano!$A$1,D1877=Plano!$B$1),"entrada","saída"))</f>
        <v/>
      </c>
      <c r="T1877" s="406"/>
      <c r="U1877" s="406"/>
      <c r="V1877" s="269"/>
      <c r="W1877" s="269"/>
      <c r="X1877" s="269"/>
      <c r="Y1877" s="269"/>
      <c r="Z1877" s="269"/>
      <c r="AA1877" s="269"/>
      <c r="AB1877" s="269"/>
      <c r="AC1877" s="269"/>
      <c r="AD1877" s="269"/>
      <c r="AE1877" s="269"/>
      <c r="AF1877" s="269"/>
      <c r="AG1877" s="269"/>
      <c r="AH1877" s="269"/>
      <c r="AI1877" s="269"/>
      <c r="AJ1877" s="269"/>
      <c r="AK1877" s="269"/>
      <c r="AL1877" s="269"/>
      <c r="AM1877" s="269"/>
    </row>
    <row r="1878" spans="1:39" ht="12.75" customHeight="1" x14ac:dyDescent="0.2">
      <c r="A1878" s="289" t="str">
        <f>IF(B1878="","",COUNT('Diário 5º PA'!$A$5:$A$2634)+COUNT('Diário 6º PA'!$A$5:$A$2246)+ROW()-4)</f>
        <v/>
      </c>
      <c r="B1878" s="290"/>
      <c r="C1878" s="357"/>
      <c r="D1878" s="291"/>
      <c r="E1878" s="291"/>
      <c r="F1878" s="292"/>
      <c r="G1878" s="456"/>
      <c r="H1878" s="291"/>
      <c r="I1878" s="293"/>
      <c r="J1878" s="291"/>
      <c r="K1878" s="291"/>
      <c r="L1878" s="293"/>
      <c r="M1878" s="289"/>
      <c r="N1878" s="289"/>
      <c r="O1878" s="358"/>
      <c r="P1878" s="330">
        <f t="shared" si="265"/>
        <v>0</v>
      </c>
      <c r="Q1878" s="330">
        <f t="shared" si="266"/>
        <v>0</v>
      </c>
      <c r="R1878" s="331" t="str">
        <f t="shared" si="267"/>
        <v/>
      </c>
      <c r="S1878" s="331" t="str">
        <f>IF(D1878="","",IF(OR(D1878=Plano!$A$1,D1878=Plano!$B$1),"entrada","saída"))</f>
        <v/>
      </c>
      <c r="T1878" s="406"/>
      <c r="U1878" s="406"/>
      <c r="V1878" s="269"/>
      <c r="W1878" s="269"/>
      <c r="X1878" s="269"/>
      <c r="Y1878" s="269"/>
      <c r="Z1878" s="269"/>
      <c r="AA1878" s="269"/>
      <c r="AB1878" s="269"/>
      <c r="AC1878" s="269"/>
      <c r="AD1878" s="269"/>
      <c r="AE1878" s="269"/>
      <c r="AF1878" s="269"/>
      <c r="AG1878" s="269"/>
      <c r="AH1878" s="269"/>
      <c r="AI1878" s="269"/>
      <c r="AJ1878" s="269"/>
      <c r="AK1878" s="269"/>
      <c r="AL1878" s="269"/>
      <c r="AM1878" s="269"/>
    </row>
    <row r="1879" spans="1:39" ht="12.75" customHeight="1" x14ac:dyDescent="0.2">
      <c r="A1879" s="289" t="str">
        <f>IF(B1879="","",COUNT('Diário 5º PA'!$A$5:$A$2634)+COUNT('Diário 6º PA'!$A$5:$A$2246)+ROW()-4)</f>
        <v/>
      </c>
      <c r="B1879" s="290"/>
      <c r="C1879" s="357"/>
      <c r="D1879" s="291"/>
      <c r="E1879" s="291"/>
      <c r="F1879" s="292"/>
      <c r="G1879" s="456"/>
      <c r="H1879" s="291"/>
      <c r="I1879" s="293"/>
      <c r="J1879" s="291"/>
      <c r="K1879" s="291"/>
      <c r="L1879" s="293"/>
      <c r="M1879" s="289"/>
      <c r="N1879" s="289"/>
      <c r="O1879" s="358"/>
      <c r="P1879" s="330">
        <f t="shared" si="265"/>
        <v>0</v>
      </c>
      <c r="Q1879" s="330">
        <f t="shared" si="266"/>
        <v>0</v>
      </c>
      <c r="R1879" s="331" t="str">
        <f t="shared" si="267"/>
        <v/>
      </c>
      <c r="S1879" s="331" t="str">
        <f>IF(D1879="","",IF(OR(D1879=Plano!$A$1,D1879=Plano!$B$1),"entrada","saída"))</f>
        <v/>
      </c>
      <c r="T1879" s="406"/>
      <c r="U1879" s="406"/>
      <c r="V1879" s="269"/>
      <c r="W1879" s="269"/>
      <c r="X1879" s="269"/>
      <c r="Y1879" s="269"/>
      <c r="Z1879" s="269"/>
      <c r="AA1879" s="269"/>
      <c r="AB1879" s="269"/>
      <c r="AC1879" s="269"/>
      <c r="AD1879" s="269"/>
      <c r="AE1879" s="269"/>
      <c r="AF1879" s="269"/>
      <c r="AG1879" s="269"/>
      <c r="AH1879" s="269"/>
      <c r="AI1879" s="269"/>
      <c r="AJ1879" s="269"/>
      <c r="AK1879" s="269"/>
      <c r="AL1879" s="269"/>
      <c r="AM1879" s="269"/>
    </row>
    <row r="1880" spans="1:39" ht="12.75" customHeight="1" x14ac:dyDescent="0.2">
      <c r="A1880" s="289" t="str">
        <f>IF(B1880="","",COUNT('Diário 5º PA'!$A$5:$A$2634)+COUNT('Diário 6º PA'!$A$5:$A$2246)+ROW()-4)</f>
        <v/>
      </c>
      <c r="B1880" s="290"/>
      <c r="C1880" s="357"/>
      <c r="D1880" s="291"/>
      <c r="E1880" s="291"/>
      <c r="F1880" s="292"/>
      <c r="G1880" s="456"/>
      <c r="H1880" s="291"/>
      <c r="I1880" s="293"/>
      <c r="J1880" s="291"/>
      <c r="K1880" s="291"/>
      <c r="L1880" s="293"/>
      <c r="M1880" s="289"/>
      <c r="N1880" s="289"/>
      <c r="O1880" s="358"/>
      <c r="P1880" s="330">
        <f t="shared" si="265"/>
        <v>0</v>
      </c>
      <c r="Q1880" s="330">
        <f t="shared" si="266"/>
        <v>0</v>
      </c>
      <c r="R1880" s="331" t="str">
        <f t="shared" si="267"/>
        <v/>
      </c>
      <c r="S1880" s="331" t="str">
        <f>IF(D1880="","",IF(OR(D1880=Plano!$A$1,D1880=Plano!$B$1),"entrada","saída"))</f>
        <v/>
      </c>
      <c r="T1880" s="406"/>
      <c r="U1880" s="406"/>
      <c r="V1880" s="269"/>
      <c r="W1880" s="269"/>
      <c r="X1880" s="269"/>
      <c r="Y1880" s="269"/>
      <c r="Z1880" s="269"/>
      <c r="AA1880" s="269"/>
      <c r="AB1880" s="269"/>
      <c r="AC1880" s="269"/>
      <c r="AD1880" s="269"/>
      <c r="AE1880" s="269"/>
      <c r="AF1880" s="269"/>
      <c r="AG1880" s="269"/>
      <c r="AH1880" s="269"/>
      <c r="AI1880" s="269"/>
      <c r="AJ1880" s="269"/>
      <c r="AK1880" s="269"/>
      <c r="AL1880" s="269"/>
      <c r="AM1880" s="269"/>
    </row>
    <row r="1881" spans="1:39" ht="12.75" customHeight="1" x14ac:dyDescent="0.2">
      <c r="A1881" s="289" t="str">
        <f>IF(B1881="","",COUNT('Diário 5º PA'!$A$5:$A$2634)+COUNT('Diário 6º PA'!$A$5:$A$2246)+ROW()-4)</f>
        <v/>
      </c>
      <c r="B1881" s="290"/>
      <c r="C1881" s="357"/>
      <c r="D1881" s="291"/>
      <c r="E1881" s="291"/>
      <c r="F1881" s="292"/>
      <c r="G1881" s="456"/>
      <c r="H1881" s="291"/>
      <c r="I1881" s="293"/>
      <c r="J1881" s="291"/>
      <c r="K1881" s="291"/>
      <c r="L1881" s="293"/>
      <c r="M1881" s="289"/>
      <c r="N1881" s="289"/>
      <c r="O1881" s="358"/>
      <c r="P1881" s="330">
        <f t="shared" si="265"/>
        <v>0</v>
      </c>
      <c r="Q1881" s="330">
        <f t="shared" si="266"/>
        <v>0</v>
      </c>
      <c r="R1881" s="331" t="str">
        <f t="shared" si="267"/>
        <v/>
      </c>
      <c r="S1881" s="331" t="str">
        <f>IF(D1881="","",IF(OR(D1881=Plano!$A$1,D1881=Plano!$B$1),"entrada","saída"))</f>
        <v/>
      </c>
      <c r="T1881" s="406"/>
      <c r="U1881" s="406"/>
      <c r="V1881" s="269"/>
      <c r="W1881" s="269"/>
      <c r="X1881" s="269"/>
      <c r="Y1881" s="269"/>
      <c r="Z1881" s="269"/>
      <c r="AA1881" s="269"/>
      <c r="AB1881" s="269"/>
      <c r="AC1881" s="269"/>
      <c r="AD1881" s="269"/>
      <c r="AE1881" s="269"/>
      <c r="AF1881" s="269"/>
      <c r="AG1881" s="269"/>
      <c r="AH1881" s="269"/>
      <c r="AI1881" s="269"/>
      <c r="AJ1881" s="269"/>
      <c r="AK1881" s="269"/>
      <c r="AL1881" s="269"/>
      <c r="AM1881" s="269"/>
    </row>
    <row r="1882" spans="1:39" ht="12.75" customHeight="1" x14ac:dyDescent="0.2">
      <c r="A1882" s="289" t="str">
        <f>IF(B1882="","",COUNT('Diário 5º PA'!$A$5:$A$2634)+COUNT('Diário 6º PA'!$A$5:$A$2246)+ROW()-4)</f>
        <v/>
      </c>
      <c r="B1882" s="290"/>
      <c r="C1882" s="357"/>
      <c r="D1882" s="291"/>
      <c r="E1882" s="291"/>
      <c r="F1882" s="292"/>
      <c r="G1882" s="456"/>
      <c r="H1882" s="291"/>
      <c r="I1882" s="293"/>
      <c r="J1882" s="291"/>
      <c r="K1882" s="291"/>
      <c r="L1882" s="293"/>
      <c r="M1882" s="289"/>
      <c r="N1882" s="289"/>
      <c r="O1882" s="358"/>
      <c r="P1882" s="330">
        <f t="shared" si="265"/>
        <v>0</v>
      </c>
      <c r="Q1882" s="330">
        <f t="shared" si="266"/>
        <v>0</v>
      </c>
      <c r="R1882" s="331" t="str">
        <f t="shared" si="267"/>
        <v/>
      </c>
      <c r="S1882" s="331" t="str">
        <f>IF(D1882="","",IF(OR(D1882=Plano!$A$1,D1882=Plano!$B$1),"entrada","saída"))</f>
        <v/>
      </c>
      <c r="T1882" s="406"/>
      <c r="U1882" s="406"/>
      <c r="V1882" s="269"/>
      <c r="W1882" s="269"/>
      <c r="X1882" s="269"/>
      <c r="Y1882" s="269"/>
      <c r="Z1882" s="269"/>
      <c r="AA1882" s="269"/>
      <c r="AB1882" s="269"/>
      <c r="AC1882" s="269"/>
      <c r="AD1882" s="269"/>
      <c r="AE1882" s="269"/>
      <c r="AF1882" s="269"/>
      <c r="AG1882" s="269"/>
      <c r="AH1882" s="269"/>
      <c r="AI1882" s="269"/>
      <c r="AJ1882" s="269"/>
      <c r="AK1882" s="269"/>
      <c r="AL1882" s="269"/>
      <c r="AM1882" s="269"/>
    </row>
    <row r="1883" spans="1:39" ht="12.75" customHeight="1" x14ac:dyDescent="0.2">
      <c r="A1883" s="289" t="str">
        <f>IF(B1883="","",COUNT('Diário 5º PA'!$A$5:$A$2634)+COUNT('Diário 6º PA'!$A$5:$A$2246)+ROW()-4)</f>
        <v/>
      </c>
      <c r="B1883" s="290"/>
      <c r="C1883" s="357"/>
      <c r="D1883" s="291"/>
      <c r="E1883" s="291"/>
      <c r="F1883" s="292"/>
      <c r="G1883" s="456"/>
      <c r="H1883" s="291"/>
      <c r="I1883" s="293"/>
      <c r="J1883" s="291"/>
      <c r="K1883" s="291"/>
      <c r="L1883" s="293"/>
      <c r="M1883" s="289"/>
      <c r="N1883" s="289"/>
      <c r="O1883" s="358"/>
      <c r="P1883" s="330">
        <f t="shared" si="265"/>
        <v>0</v>
      </c>
      <c r="Q1883" s="330">
        <f t="shared" si="266"/>
        <v>0</v>
      </c>
      <c r="R1883" s="331" t="str">
        <f t="shared" si="267"/>
        <v/>
      </c>
      <c r="S1883" s="331" t="str">
        <f>IF(D1883="","",IF(OR(D1883=Plano!$A$1,D1883=Plano!$B$1),"entrada","saída"))</f>
        <v/>
      </c>
      <c r="T1883" s="406"/>
      <c r="U1883" s="406"/>
      <c r="V1883" s="269"/>
      <c r="W1883" s="269"/>
      <c r="X1883" s="269"/>
      <c r="Y1883" s="269"/>
      <c r="Z1883" s="269"/>
      <c r="AA1883" s="269"/>
      <c r="AB1883" s="269"/>
      <c r="AC1883" s="269"/>
      <c r="AD1883" s="269"/>
      <c r="AE1883" s="269"/>
      <c r="AF1883" s="269"/>
      <c r="AG1883" s="269"/>
      <c r="AH1883" s="269"/>
      <c r="AI1883" s="269"/>
      <c r="AJ1883" s="269"/>
      <c r="AK1883" s="269"/>
      <c r="AL1883" s="269"/>
      <c r="AM1883" s="269"/>
    </row>
    <row r="1884" spans="1:39" ht="12.75" customHeight="1" x14ac:dyDescent="0.2">
      <c r="A1884" s="289" t="str">
        <f>IF(B1884="","",COUNT('Diário 5º PA'!$A$5:$A$2634)+COUNT('Diário 6º PA'!$A$5:$A$2246)+ROW()-4)</f>
        <v/>
      </c>
      <c r="B1884" s="290"/>
      <c r="C1884" s="357"/>
      <c r="D1884" s="291"/>
      <c r="E1884" s="291"/>
      <c r="F1884" s="292"/>
      <c r="G1884" s="456"/>
      <c r="H1884" s="291"/>
      <c r="I1884" s="293"/>
      <c r="J1884" s="291"/>
      <c r="K1884" s="291"/>
      <c r="L1884" s="293"/>
      <c r="M1884" s="289"/>
      <c r="N1884" s="289"/>
      <c r="O1884" s="358"/>
      <c r="P1884" s="330">
        <f t="shared" si="265"/>
        <v>0</v>
      </c>
      <c r="Q1884" s="330">
        <f t="shared" si="266"/>
        <v>0</v>
      </c>
      <c r="R1884" s="331" t="str">
        <f t="shared" si="267"/>
        <v/>
      </c>
      <c r="S1884" s="331" t="str">
        <f>IF(D1884="","",IF(OR(D1884=Plano!$A$1,D1884=Plano!$B$1),"entrada","saída"))</f>
        <v/>
      </c>
      <c r="T1884" s="406"/>
      <c r="U1884" s="406"/>
      <c r="V1884" s="269"/>
      <c r="W1884" s="269"/>
      <c r="X1884" s="269"/>
      <c r="Y1884" s="269"/>
      <c r="Z1884" s="269"/>
      <c r="AA1884" s="269"/>
      <c r="AB1884" s="269"/>
      <c r="AC1884" s="269"/>
      <c r="AD1884" s="269"/>
      <c r="AE1884" s="269"/>
      <c r="AF1884" s="269"/>
      <c r="AG1884" s="269"/>
      <c r="AH1884" s="269"/>
      <c r="AI1884" s="269"/>
      <c r="AJ1884" s="269"/>
      <c r="AK1884" s="269"/>
      <c r="AL1884" s="269"/>
      <c r="AM1884" s="269"/>
    </row>
    <row r="1885" spans="1:39" ht="12.75" customHeight="1" x14ac:dyDescent="0.2">
      <c r="A1885" s="289" t="str">
        <f>IF(B1885="","",COUNT('Diário 5º PA'!$A$5:$A$2634)+COUNT('Diário 6º PA'!$A$5:$A$2246)+ROW()-4)</f>
        <v/>
      </c>
      <c r="B1885" s="290"/>
      <c r="C1885" s="357"/>
      <c r="D1885" s="291"/>
      <c r="E1885" s="291"/>
      <c r="F1885" s="292"/>
      <c r="G1885" s="456"/>
      <c r="H1885" s="291"/>
      <c r="I1885" s="293"/>
      <c r="J1885" s="291"/>
      <c r="K1885" s="291"/>
      <c r="L1885" s="293"/>
      <c r="M1885" s="289"/>
      <c r="N1885" s="289"/>
      <c r="O1885" s="358"/>
      <c r="P1885" s="330">
        <f t="shared" si="265"/>
        <v>0</v>
      </c>
      <c r="Q1885" s="330">
        <f t="shared" si="266"/>
        <v>0</v>
      </c>
      <c r="R1885" s="331" t="str">
        <f t="shared" si="267"/>
        <v/>
      </c>
      <c r="S1885" s="331" t="str">
        <f>IF(D1885="","",IF(OR(D1885=Plano!$A$1,D1885=Plano!$B$1),"entrada","saída"))</f>
        <v/>
      </c>
      <c r="T1885" s="406"/>
      <c r="U1885" s="406"/>
      <c r="V1885" s="269"/>
      <c r="W1885" s="269"/>
      <c r="X1885" s="269"/>
      <c r="Y1885" s="269"/>
      <c r="Z1885" s="269"/>
      <c r="AA1885" s="269"/>
      <c r="AB1885" s="269"/>
      <c r="AC1885" s="269"/>
      <c r="AD1885" s="269"/>
      <c r="AE1885" s="269"/>
      <c r="AF1885" s="269"/>
      <c r="AG1885" s="269"/>
      <c r="AH1885" s="269"/>
      <c r="AI1885" s="269"/>
      <c r="AJ1885" s="269"/>
      <c r="AK1885" s="269"/>
      <c r="AL1885" s="269"/>
      <c r="AM1885" s="269"/>
    </row>
    <row r="1886" spans="1:39" ht="12.75" customHeight="1" x14ac:dyDescent="0.2">
      <c r="A1886" s="289" t="str">
        <f>IF(B1886="","",COUNT('Diário 5º PA'!$A$5:$A$2634)+COUNT('Diário 6º PA'!$A$5:$A$2246)+ROW()-4)</f>
        <v/>
      </c>
      <c r="B1886" s="290"/>
      <c r="C1886" s="357"/>
      <c r="D1886" s="291"/>
      <c r="E1886" s="291"/>
      <c r="F1886" s="292"/>
      <c r="G1886" s="456"/>
      <c r="H1886" s="291"/>
      <c r="I1886" s="293"/>
      <c r="J1886" s="291"/>
      <c r="K1886" s="291"/>
      <c r="L1886" s="293"/>
      <c r="M1886" s="289"/>
      <c r="N1886" s="289"/>
      <c r="O1886" s="358"/>
      <c r="P1886" s="330">
        <f t="shared" si="265"/>
        <v>0</v>
      </c>
      <c r="Q1886" s="330">
        <f t="shared" si="266"/>
        <v>0</v>
      </c>
      <c r="R1886" s="331" t="str">
        <f t="shared" si="267"/>
        <v/>
      </c>
      <c r="S1886" s="331" t="str">
        <f>IF(D1886="","",IF(OR(D1886=Plano!$A$1,D1886=Plano!$B$1),"entrada","saída"))</f>
        <v/>
      </c>
      <c r="T1886" s="406"/>
      <c r="U1886" s="406"/>
      <c r="V1886" s="269"/>
      <c r="W1886" s="269"/>
      <c r="X1886" s="269"/>
      <c r="Y1886" s="269"/>
      <c r="Z1886" s="269"/>
      <c r="AA1886" s="269"/>
      <c r="AB1886" s="269"/>
      <c r="AC1886" s="269"/>
      <c r="AD1886" s="269"/>
      <c r="AE1886" s="269"/>
      <c r="AF1886" s="269"/>
      <c r="AG1886" s="269"/>
      <c r="AH1886" s="269"/>
      <c r="AI1886" s="269"/>
      <c r="AJ1886" s="269"/>
      <c r="AK1886" s="269"/>
      <c r="AL1886" s="269"/>
      <c r="AM1886" s="269"/>
    </row>
    <row r="1887" spans="1:39" ht="12.75" customHeight="1" x14ac:dyDescent="0.2">
      <c r="A1887" s="289" t="str">
        <f>IF(B1887="","",COUNT('Diário 5º PA'!$A$5:$A$2634)+COUNT('Diário 6º PA'!$A$5:$A$2246)+ROW()-4)</f>
        <v/>
      </c>
      <c r="B1887" s="290"/>
      <c r="C1887" s="357"/>
      <c r="D1887" s="291"/>
      <c r="E1887" s="291"/>
      <c r="F1887" s="292"/>
      <c r="G1887" s="456"/>
      <c r="H1887" s="291"/>
      <c r="I1887" s="293"/>
      <c r="J1887" s="291"/>
      <c r="K1887" s="291"/>
      <c r="L1887" s="293"/>
      <c r="M1887" s="289"/>
      <c r="N1887" s="289"/>
      <c r="O1887" s="358"/>
      <c r="P1887" s="330">
        <f t="shared" si="265"/>
        <v>0</v>
      </c>
      <c r="Q1887" s="330">
        <f t="shared" si="266"/>
        <v>0</v>
      </c>
      <c r="R1887" s="331" t="str">
        <f t="shared" si="267"/>
        <v/>
      </c>
      <c r="S1887" s="331" t="str">
        <f>IF(D1887="","",IF(OR(D1887=Plano!$A$1,D1887=Plano!$B$1),"entrada","saída"))</f>
        <v/>
      </c>
      <c r="T1887" s="406"/>
      <c r="U1887" s="406"/>
      <c r="V1887" s="269"/>
      <c r="W1887" s="269"/>
      <c r="X1887" s="269"/>
      <c r="Y1887" s="269"/>
      <c r="Z1887" s="269"/>
      <c r="AA1887" s="269"/>
      <c r="AB1887" s="269"/>
      <c r="AC1887" s="269"/>
      <c r="AD1887" s="269"/>
      <c r="AE1887" s="269"/>
      <c r="AF1887" s="269"/>
      <c r="AG1887" s="269"/>
      <c r="AH1887" s="269"/>
      <c r="AI1887" s="269"/>
      <c r="AJ1887" s="269"/>
      <c r="AK1887" s="269"/>
      <c r="AL1887" s="269"/>
      <c r="AM1887" s="269"/>
    </row>
    <row r="1888" spans="1:39" ht="12.75" customHeight="1" x14ac:dyDescent="0.2">
      <c r="A1888" s="289" t="str">
        <f>IF(B1888="","",COUNT('Diário 5º PA'!$A$5:$A$2634)+COUNT('Diário 6º PA'!$A$5:$A$2246)+ROW()-4)</f>
        <v/>
      </c>
      <c r="B1888" s="290"/>
      <c r="C1888" s="357"/>
      <c r="D1888" s="291"/>
      <c r="E1888" s="291"/>
      <c r="F1888" s="292"/>
      <c r="G1888" s="456"/>
      <c r="H1888" s="291"/>
      <c r="I1888" s="293"/>
      <c r="J1888" s="291"/>
      <c r="K1888" s="291"/>
      <c r="L1888" s="293"/>
      <c r="M1888" s="289"/>
      <c r="N1888" s="289"/>
      <c r="O1888" s="358"/>
      <c r="P1888" s="330">
        <f t="shared" si="265"/>
        <v>0</v>
      </c>
      <c r="Q1888" s="330">
        <f t="shared" si="266"/>
        <v>0</v>
      </c>
      <c r="R1888" s="331" t="str">
        <f t="shared" si="267"/>
        <v/>
      </c>
      <c r="S1888" s="331" t="str">
        <f>IF(D1888="","",IF(OR(D1888=Plano!$A$1,D1888=Plano!$B$1),"entrada","saída"))</f>
        <v/>
      </c>
      <c r="T1888" s="406"/>
      <c r="U1888" s="406"/>
      <c r="V1888" s="269"/>
      <c r="W1888" s="269"/>
      <c r="X1888" s="269"/>
      <c r="Y1888" s="269"/>
      <c r="Z1888" s="269"/>
      <c r="AA1888" s="269"/>
      <c r="AB1888" s="269"/>
      <c r="AC1888" s="269"/>
      <c r="AD1888" s="269"/>
      <c r="AE1888" s="269"/>
      <c r="AF1888" s="269"/>
      <c r="AG1888" s="269"/>
      <c r="AH1888" s="269"/>
      <c r="AI1888" s="269"/>
      <c r="AJ1888" s="269"/>
      <c r="AK1888" s="269"/>
      <c r="AL1888" s="269"/>
      <c r="AM1888" s="269"/>
    </row>
    <row r="1889" spans="1:39" ht="12.75" customHeight="1" x14ac:dyDescent="0.2">
      <c r="A1889" s="289" t="str">
        <f>IF(B1889="","",COUNT('Diário 5º PA'!$A$5:$A$2634)+COUNT('Diário 6º PA'!$A$5:$A$2246)+ROW()-4)</f>
        <v/>
      </c>
      <c r="B1889" s="290"/>
      <c r="C1889" s="357"/>
      <c r="D1889" s="291"/>
      <c r="E1889" s="291"/>
      <c r="F1889" s="292"/>
      <c r="G1889" s="456"/>
      <c r="H1889" s="291"/>
      <c r="I1889" s="293"/>
      <c r="J1889" s="291"/>
      <c r="K1889" s="291"/>
      <c r="L1889" s="293"/>
      <c r="M1889" s="289"/>
      <c r="N1889" s="289"/>
      <c r="O1889" s="358"/>
      <c r="P1889" s="330">
        <f t="shared" si="265"/>
        <v>0</v>
      </c>
      <c r="Q1889" s="330">
        <f t="shared" si="266"/>
        <v>0</v>
      </c>
      <c r="R1889" s="331" t="str">
        <f t="shared" si="267"/>
        <v/>
      </c>
      <c r="S1889" s="331" t="str">
        <f>IF(D1889="","",IF(OR(D1889=Plano!$A$1,D1889=Plano!$B$1),"entrada","saída"))</f>
        <v/>
      </c>
      <c r="T1889" s="406"/>
      <c r="U1889" s="406"/>
      <c r="V1889" s="269"/>
      <c r="W1889" s="269"/>
      <c r="X1889" s="269"/>
      <c r="Y1889" s="269"/>
      <c r="Z1889" s="269"/>
      <c r="AA1889" s="269"/>
      <c r="AB1889" s="269"/>
      <c r="AC1889" s="269"/>
      <c r="AD1889" s="269"/>
      <c r="AE1889" s="269"/>
      <c r="AF1889" s="269"/>
      <c r="AG1889" s="269"/>
      <c r="AH1889" s="269"/>
      <c r="AI1889" s="269"/>
      <c r="AJ1889" s="269"/>
      <c r="AK1889" s="269"/>
      <c r="AL1889" s="269"/>
      <c r="AM1889" s="269"/>
    </row>
    <row r="1890" spans="1:39" ht="12.75" customHeight="1" x14ac:dyDescent="0.2">
      <c r="A1890" s="289" t="str">
        <f>IF(B1890="","",COUNT('Diário 5º PA'!$A$5:$A$2634)+COUNT('Diário 6º PA'!$A$5:$A$2246)+ROW()-4)</f>
        <v/>
      </c>
      <c r="B1890" s="290"/>
      <c r="C1890" s="357"/>
      <c r="D1890" s="291"/>
      <c r="E1890" s="291"/>
      <c r="F1890" s="292"/>
      <c r="G1890" s="456"/>
      <c r="H1890" s="291"/>
      <c r="I1890" s="293"/>
      <c r="J1890" s="291"/>
      <c r="K1890" s="291"/>
      <c r="L1890" s="293"/>
      <c r="M1890" s="289"/>
      <c r="N1890" s="289"/>
      <c r="O1890" s="358"/>
      <c r="P1890" s="330">
        <f t="shared" si="265"/>
        <v>0</v>
      </c>
      <c r="Q1890" s="330">
        <f t="shared" si="266"/>
        <v>0</v>
      </c>
      <c r="R1890" s="331" t="str">
        <f t="shared" si="267"/>
        <v/>
      </c>
      <c r="S1890" s="331" t="str">
        <f>IF(D1890="","",IF(OR(D1890=Plano!$A$1,D1890=Plano!$B$1),"entrada","saída"))</f>
        <v/>
      </c>
      <c r="T1890" s="406"/>
      <c r="U1890" s="406"/>
      <c r="V1890" s="269"/>
      <c r="W1890" s="269"/>
      <c r="X1890" s="269"/>
      <c r="Y1890" s="269"/>
      <c r="Z1890" s="269"/>
      <c r="AA1890" s="269"/>
      <c r="AB1890" s="269"/>
      <c r="AC1890" s="269"/>
      <c r="AD1890" s="269"/>
      <c r="AE1890" s="269"/>
      <c r="AF1890" s="269"/>
      <c r="AG1890" s="269"/>
      <c r="AH1890" s="269"/>
      <c r="AI1890" s="269"/>
      <c r="AJ1890" s="269"/>
      <c r="AK1890" s="269"/>
      <c r="AL1890" s="269"/>
      <c r="AM1890" s="269"/>
    </row>
    <row r="1891" spans="1:39" ht="12.75" customHeight="1" x14ac:dyDescent="0.2">
      <c r="A1891" s="289" t="str">
        <f>IF(B1891="","",COUNT('Diário 5º PA'!$A$5:$A$2634)+COUNT('Diário 6º PA'!$A$5:$A$2246)+ROW()-4)</f>
        <v/>
      </c>
      <c r="B1891" s="290"/>
      <c r="C1891" s="357"/>
      <c r="D1891" s="291"/>
      <c r="E1891" s="291"/>
      <c r="F1891" s="292"/>
      <c r="G1891" s="456"/>
      <c r="H1891" s="291"/>
      <c r="I1891" s="293"/>
      <c r="J1891" s="291"/>
      <c r="K1891" s="291"/>
      <c r="L1891" s="293"/>
      <c r="M1891" s="289"/>
      <c r="N1891" s="289"/>
      <c r="O1891" s="358"/>
      <c r="P1891" s="330">
        <f t="shared" si="265"/>
        <v>0</v>
      </c>
      <c r="Q1891" s="330">
        <f t="shared" si="266"/>
        <v>0</v>
      </c>
      <c r="R1891" s="331" t="str">
        <f t="shared" si="267"/>
        <v/>
      </c>
      <c r="S1891" s="331" t="str">
        <f>IF(D1891="","",IF(OR(D1891=Plano!$A$1,D1891=Plano!$B$1),"entrada","saída"))</f>
        <v/>
      </c>
      <c r="T1891" s="406"/>
      <c r="U1891" s="406"/>
      <c r="V1891" s="269"/>
      <c r="W1891" s="269"/>
      <c r="X1891" s="269"/>
      <c r="Y1891" s="269"/>
      <c r="Z1891" s="269"/>
      <c r="AA1891" s="269"/>
      <c r="AB1891" s="269"/>
      <c r="AC1891" s="269"/>
      <c r="AD1891" s="269"/>
      <c r="AE1891" s="269"/>
      <c r="AF1891" s="269"/>
      <c r="AG1891" s="269"/>
      <c r="AH1891" s="269"/>
      <c r="AI1891" s="269"/>
      <c r="AJ1891" s="269"/>
      <c r="AK1891" s="269"/>
      <c r="AL1891" s="269"/>
      <c r="AM1891" s="269"/>
    </row>
    <row r="1892" spans="1:39" ht="12.75" customHeight="1" x14ac:dyDescent="0.2">
      <c r="A1892" s="289" t="str">
        <f>IF(B1892="","",COUNT('Diário 5º PA'!$A$5:$A$2634)+COUNT('Diário 6º PA'!$A$5:$A$2246)+ROW()-4)</f>
        <v/>
      </c>
      <c r="B1892" s="290"/>
      <c r="C1892" s="357"/>
      <c r="D1892" s="291"/>
      <c r="E1892" s="291"/>
      <c r="F1892" s="292"/>
      <c r="G1892" s="456"/>
      <c r="H1892" s="291"/>
      <c r="I1892" s="293"/>
      <c r="J1892" s="291"/>
      <c r="K1892" s="291"/>
      <c r="L1892" s="293"/>
      <c r="M1892" s="289"/>
      <c r="N1892" s="289"/>
      <c r="O1892" s="358"/>
      <c r="P1892" s="330">
        <f t="shared" si="265"/>
        <v>0</v>
      </c>
      <c r="Q1892" s="330">
        <f t="shared" si="266"/>
        <v>0</v>
      </c>
      <c r="R1892" s="331" t="str">
        <f t="shared" si="267"/>
        <v/>
      </c>
      <c r="S1892" s="331" t="str">
        <f>IF(D1892="","",IF(OR(D1892=Plano!$A$1,D1892=Plano!$B$1),"entrada","saída"))</f>
        <v/>
      </c>
      <c r="T1892" s="406"/>
      <c r="U1892" s="406"/>
      <c r="V1892" s="269"/>
      <c r="W1892" s="269"/>
      <c r="X1892" s="269"/>
      <c r="Y1892" s="269"/>
      <c r="Z1892" s="269"/>
      <c r="AA1892" s="269"/>
      <c r="AB1892" s="269"/>
      <c r="AC1892" s="269"/>
      <c r="AD1892" s="269"/>
      <c r="AE1892" s="269"/>
      <c r="AF1892" s="269"/>
      <c r="AG1892" s="269"/>
      <c r="AH1892" s="269"/>
      <c r="AI1892" s="269"/>
      <c r="AJ1892" s="269"/>
      <c r="AK1892" s="269"/>
      <c r="AL1892" s="269"/>
      <c r="AM1892" s="269"/>
    </row>
    <row r="1893" spans="1:39" ht="12.75" customHeight="1" x14ac:dyDescent="0.2">
      <c r="A1893" s="289" t="str">
        <f>IF(B1893="","",COUNT('Diário 5º PA'!$A$5:$A$2634)+COUNT('Diário 6º PA'!$A$5:$A$2246)+ROW()-4)</f>
        <v/>
      </c>
      <c r="B1893" s="290"/>
      <c r="C1893" s="357"/>
      <c r="D1893" s="291"/>
      <c r="E1893" s="291"/>
      <c r="F1893" s="292"/>
      <c r="G1893" s="456"/>
      <c r="H1893" s="291"/>
      <c r="I1893" s="293"/>
      <c r="J1893" s="291"/>
      <c r="K1893" s="291"/>
      <c r="L1893" s="293"/>
      <c r="M1893" s="289"/>
      <c r="N1893" s="289"/>
      <c r="O1893" s="358"/>
      <c r="P1893" s="330">
        <f t="shared" si="265"/>
        <v>0</v>
      </c>
      <c r="Q1893" s="330">
        <f t="shared" si="266"/>
        <v>0</v>
      </c>
      <c r="R1893" s="331" t="str">
        <f t="shared" si="267"/>
        <v/>
      </c>
      <c r="S1893" s="331" t="str">
        <f>IF(D1893="","",IF(OR(D1893=Plano!$A$1,D1893=Plano!$B$1),"entrada","saída"))</f>
        <v/>
      </c>
      <c r="T1893" s="406"/>
      <c r="U1893" s="406"/>
      <c r="V1893" s="269"/>
      <c r="W1893" s="269"/>
      <c r="X1893" s="269"/>
      <c r="Y1893" s="269"/>
      <c r="Z1893" s="269"/>
      <c r="AA1893" s="269"/>
      <c r="AB1893" s="269"/>
      <c r="AC1893" s="269"/>
      <c r="AD1893" s="269"/>
      <c r="AE1893" s="269"/>
      <c r="AF1893" s="269"/>
      <c r="AG1893" s="269"/>
      <c r="AH1893" s="269"/>
      <c r="AI1893" s="269"/>
      <c r="AJ1893" s="269"/>
      <c r="AK1893" s="269"/>
      <c r="AL1893" s="269"/>
      <c r="AM1893" s="269"/>
    </row>
    <row r="1894" spans="1:39" ht="12.75" customHeight="1" x14ac:dyDescent="0.2">
      <c r="A1894" s="289" t="str">
        <f>IF(B1894="","",COUNT('Diário 5º PA'!$A$5:$A$2634)+COUNT('Diário 6º PA'!$A$5:$A$2246)+ROW()-4)</f>
        <v/>
      </c>
      <c r="B1894" s="290"/>
      <c r="C1894" s="357"/>
      <c r="D1894" s="291"/>
      <c r="E1894" s="291"/>
      <c r="F1894" s="292"/>
      <c r="G1894" s="456"/>
      <c r="H1894" s="291"/>
      <c r="I1894" s="293"/>
      <c r="J1894" s="291"/>
      <c r="K1894" s="291"/>
      <c r="L1894" s="293"/>
      <c r="M1894" s="289"/>
      <c r="N1894" s="289"/>
      <c r="O1894" s="358"/>
      <c r="P1894" s="330">
        <f t="shared" si="265"/>
        <v>0</v>
      </c>
      <c r="Q1894" s="330">
        <f t="shared" si="266"/>
        <v>0</v>
      </c>
      <c r="R1894" s="331" t="str">
        <f t="shared" si="267"/>
        <v/>
      </c>
      <c r="S1894" s="331" t="str">
        <f>IF(D1894="","",IF(OR(D1894=Plano!$A$1,D1894=Plano!$B$1),"entrada","saída"))</f>
        <v/>
      </c>
      <c r="T1894" s="406"/>
      <c r="U1894" s="406"/>
      <c r="V1894" s="269"/>
      <c r="W1894" s="269"/>
      <c r="X1894" s="269"/>
      <c r="Y1894" s="269"/>
      <c r="Z1894" s="269"/>
      <c r="AA1894" s="269"/>
      <c r="AB1894" s="269"/>
      <c r="AC1894" s="269"/>
      <c r="AD1894" s="269"/>
      <c r="AE1894" s="269"/>
      <c r="AF1894" s="269"/>
      <c r="AG1894" s="269"/>
      <c r="AH1894" s="269"/>
      <c r="AI1894" s="269"/>
      <c r="AJ1894" s="269"/>
      <c r="AK1894" s="269"/>
      <c r="AL1894" s="269"/>
      <c r="AM1894" s="269"/>
    </row>
    <row r="1895" spans="1:39" ht="12.75" customHeight="1" x14ac:dyDescent="0.2">
      <c r="A1895" s="289" t="str">
        <f>IF(B1895="","",COUNT('Diário 5º PA'!$A$5:$A$2634)+COUNT('Diário 6º PA'!$A$5:$A$2246)+ROW()-4)</f>
        <v/>
      </c>
      <c r="B1895" s="290"/>
      <c r="C1895" s="357"/>
      <c r="D1895" s="291"/>
      <c r="E1895" s="291"/>
      <c r="F1895" s="292"/>
      <c r="G1895" s="456"/>
      <c r="H1895" s="291"/>
      <c r="I1895" s="293"/>
      <c r="J1895" s="291"/>
      <c r="K1895" s="291"/>
      <c r="L1895" s="293"/>
      <c r="M1895" s="289"/>
      <c r="N1895" s="289"/>
      <c r="O1895" s="358"/>
      <c r="P1895" s="330">
        <f t="shared" si="265"/>
        <v>0</v>
      </c>
      <c r="Q1895" s="330">
        <f t="shared" si="266"/>
        <v>0</v>
      </c>
      <c r="R1895" s="331" t="str">
        <f t="shared" si="267"/>
        <v/>
      </c>
      <c r="S1895" s="331" t="str">
        <f>IF(D1895="","",IF(OR(D1895=Plano!$A$1,D1895=Plano!$B$1),"entrada","saída"))</f>
        <v/>
      </c>
      <c r="T1895" s="406"/>
      <c r="U1895" s="406"/>
      <c r="V1895" s="269"/>
      <c r="W1895" s="269"/>
      <c r="X1895" s="269"/>
      <c r="Y1895" s="269"/>
      <c r="Z1895" s="269"/>
      <c r="AA1895" s="269"/>
      <c r="AB1895" s="269"/>
      <c r="AC1895" s="269"/>
      <c r="AD1895" s="269"/>
      <c r="AE1895" s="269"/>
      <c r="AF1895" s="269"/>
      <c r="AG1895" s="269"/>
      <c r="AH1895" s="269"/>
      <c r="AI1895" s="269"/>
      <c r="AJ1895" s="269"/>
      <c r="AK1895" s="269"/>
      <c r="AL1895" s="269"/>
      <c r="AM1895" s="269"/>
    </row>
    <row r="1896" spans="1:39" ht="12.75" customHeight="1" x14ac:dyDescent="0.2">
      <c r="A1896" s="289" t="str">
        <f>IF(B1896="","",COUNT('Diário 5º PA'!$A$5:$A$2634)+COUNT('Diário 6º PA'!$A$5:$A$2246)+ROW()-4)</f>
        <v/>
      </c>
      <c r="B1896" s="290"/>
      <c r="C1896" s="357"/>
      <c r="D1896" s="291"/>
      <c r="E1896" s="291"/>
      <c r="F1896" s="292"/>
      <c r="G1896" s="456"/>
      <c r="H1896" s="291"/>
      <c r="I1896" s="293"/>
      <c r="J1896" s="291"/>
      <c r="K1896" s="291"/>
      <c r="L1896" s="293"/>
      <c r="M1896" s="289"/>
      <c r="N1896" s="289"/>
      <c r="O1896" s="358"/>
      <c r="P1896" s="330">
        <f t="shared" si="265"/>
        <v>0</v>
      </c>
      <c r="Q1896" s="330">
        <f t="shared" si="266"/>
        <v>0</v>
      </c>
      <c r="R1896" s="331" t="str">
        <f t="shared" si="267"/>
        <v/>
      </c>
      <c r="S1896" s="331" t="str">
        <f>IF(D1896="","",IF(OR(D1896=Plano!$A$1,D1896=Plano!$B$1),"entrada","saída"))</f>
        <v/>
      </c>
      <c r="T1896" s="406"/>
      <c r="U1896" s="406"/>
      <c r="V1896" s="269"/>
      <c r="W1896" s="269"/>
      <c r="X1896" s="269"/>
      <c r="Y1896" s="269"/>
      <c r="Z1896" s="269"/>
      <c r="AA1896" s="269"/>
      <c r="AB1896" s="269"/>
      <c r="AC1896" s="269"/>
      <c r="AD1896" s="269"/>
      <c r="AE1896" s="269"/>
      <c r="AF1896" s="269"/>
      <c r="AG1896" s="269"/>
      <c r="AH1896" s="269"/>
      <c r="AI1896" s="269"/>
      <c r="AJ1896" s="269"/>
      <c r="AK1896" s="269"/>
      <c r="AL1896" s="269"/>
      <c r="AM1896" s="269"/>
    </row>
    <row r="1897" spans="1:39" ht="12.75" customHeight="1" x14ac:dyDescent="0.2">
      <c r="A1897" s="289" t="str">
        <f>IF(B1897="","",COUNT('Diário 5º PA'!$A$5:$A$2634)+COUNT('Diário 6º PA'!$A$5:$A$2246)+ROW()-4)</f>
        <v/>
      </c>
      <c r="B1897" s="290"/>
      <c r="C1897" s="357"/>
      <c r="D1897" s="291"/>
      <c r="E1897" s="291"/>
      <c r="F1897" s="292"/>
      <c r="G1897" s="456"/>
      <c r="H1897" s="291"/>
      <c r="I1897" s="293"/>
      <c r="J1897" s="291"/>
      <c r="K1897" s="291"/>
      <c r="L1897" s="293"/>
      <c r="M1897" s="289"/>
      <c r="N1897" s="289"/>
      <c r="O1897" s="358"/>
      <c r="P1897" s="330">
        <f t="shared" si="265"/>
        <v>0</v>
      </c>
      <c r="Q1897" s="330">
        <f t="shared" si="266"/>
        <v>0</v>
      </c>
      <c r="R1897" s="331" t="str">
        <f t="shared" si="267"/>
        <v/>
      </c>
      <c r="S1897" s="331" t="str">
        <f>IF(D1897="","",IF(OR(D1897=Plano!$A$1,D1897=Plano!$B$1),"entrada","saída"))</f>
        <v/>
      </c>
      <c r="T1897" s="406"/>
      <c r="U1897" s="406"/>
      <c r="V1897" s="269"/>
      <c r="W1897" s="269"/>
      <c r="X1897" s="269"/>
      <c r="Y1897" s="269"/>
      <c r="Z1897" s="269"/>
      <c r="AA1897" s="269"/>
      <c r="AB1897" s="269"/>
      <c r="AC1897" s="269"/>
      <c r="AD1897" s="269"/>
      <c r="AE1897" s="269"/>
      <c r="AF1897" s="269"/>
      <c r="AG1897" s="269"/>
      <c r="AH1897" s="269"/>
      <c r="AI1897" s="269"/>
      <c r="AJ1897" s="269"/>
      <c r="AK1897" s="269"/>
      <c r="AL1897" s="269"/>
      <c r="AM1897" s="269"/>
    </row>
    <row r="1898" spans="1:39" ht="12.75" customHeight="1" x14ac:dyDescent="0.2">
      <c r="A1898" s="289" t="str">
        <f>IF(B1898="","",COUNT('Diário 5º PA'!$A$5:$A$2634)+COUNT('Diário 6º PA'!$A$5:$A$2246)+ROW()-4)</f>
        <v/>
      </c>
      <c r="B1898" s="290"/>
      <c r="C1898" s="357"/>
      <c r="D1898" s="291"/>
      <c r="E1898" s="291"/>
      <c r="F1898" s="292"/>
      <c r="G1898" s="456"/>
      <c r="H1898" s="291"/>
      <c r="I1898" s="293"/>
      <c r="J1898" s="291"/>
      <c r="K1898" s="291"/>
      <c r="L1898" s="293"/>
      <c r="M1898" s="289"/>
      <c r="N1898" s="289"/>
      <c r="O1898" s="358"/>
      <c r="P1898" s="330">
        <f t="shared" si="265"/>
        <v>0</v>
      </c>
      <c r="Q1898" s="330">
        <f t="shared" si="266"/>
        <v>0</v>
      </c>
      <c r="R1898" s="331" t="str">
        <f t="shared" si="267"/>
        <v/>
      </c>
      <c r="S1898" s="331" t="str">
        <f>IF(D1898="","",IF(OR(D1898=Plano!$A$1,D1898=Plano!$B$1),"entrada","saída"))</f>
        <v/>
      </c>
      <c r="T1898" s="406"/>
      <c r="U1898" s="406"/>
      <c r="V1898" s="269"/>
      <c r="W1898" s="269"/>
      <c r="X1898" s="269"/>
      <c r="Y1898" s="269"/>
      <c r="Z1898" s="269"/>
      <c r="AA1898" s="269"/>
      <c r="AB1898" s="269"/>
      <c r="AC1898" s="269"/>
      <c r="AD1898" s="269"/>
      <c r="AE1898" s="269"/>
      <c r="AF1898" s="269"/>
      <c r="AG1898" s="269"/>
      <c r="AH1898" s="269"/>
      <c r="AI1898" s="269"/>
      <c r="AJ1898" s="269"/>
      <c r="AK1898" s="269"/>
      <c r="AL1898" s="269"/>
      <c r="AM1898" s="269"/>
    </row>
    <row r="1899" spans="1:39" ht="12.75" customHeight="1" x14ac:dyDescent="0.2">
      <c r="A1899" s="289" t="str">
        <f>IF(B1899="","",COUNT('Diário 5º PA'!$A$5:$A$2634)+COUNT('Diário 6º PA'!$A$5:$A$2246)+ROW()-4)</f>
        <v/>
      </c>
      <c r="B1899" s="290"/>
      <c r="C1899" s="357"/>
      <c r="D1899" s="291"/>
      <c r="E1899" s="291"/>
      <c r="F1899" s="292"/>
      <c r="G1899" s="456"/>
      <c r="H1899" s="291"/>
      <c r="I1899" s="293"/>
      <c r="J1899" s="291"/>
      <c r="K1899" s="291"/>
      <c r="L1899" s="293"/>
      <c r="M1899" s="289"/>
      <c r="N1899" s="289"/>
      <c r="O1899" s="358"/>
      <c r="P1899" s="330">
        <f t="shared" ref="P1899:P1962" si="268">IF(B1899=0,0,IF(YEAR(B1899)=$Q$1,MONTH(B1899)-$P$1+1,(YEAR(B1899)-$Q$1)*12-$P$1+1+MONTH(B1899)))</f>
        <v>0</v>
      </c>
      <c r="Q1899" s="330">
        <f t="shared" ref="Q1899:Q1962" si="269">IF(C1899=0,0,IF(YEAR(C1899)=$Q$1,MONTH(C1899)-$P$1+1,(YEAR(C1899)-$Q$1)*12-$P$1+1+MONTH(C1899)))</f>
        <v>0</v>
      </c>
      <c r="R1899" s="331" t="str">
        <f t="shared" ref="R1899:R1962" si="270">SUBSTITUTE(D1899," ","_")</f>
        <v/>
      </c>
      <c r="S1899" s="331" t="str">
        <f>IF(D1899="","",IF(OR(D1899=Plano!$A$1,D1899=Plano!$B$1),"entrada","saída"))</f>
        <v/>
      </c>
      <c r="T1899" s="406"/>
      <c r="U1899" s="406"/>
      <c r="V1899" s="269"/>
      <c r="W1899" s="269"/>
      <c r="X1899" s="269"/>
      <c r="Y1899" s="269"/>
      <c r="Z1899" s="269"/>
      <c r="AA1899" s="269"/>
      <c r="AB1899" s="269"/>
      <c r="AC1899" s="269"/>
      <c r="AD1899" s="269"/>
      <c r="AE1899" s="269"/>
      <c r="AF1899" s="269"/>
      <c r="AG1899" s="269"/>
      <c r="AH1899" s="269"/>
      <c r="AI1899" s="269"/>
      <c r="AJ1899" s="269"/>
      <c r="AK1899" s="269"/>
      <c r="AL1899" s="269"/>
      <c r="AM1899" s="269"/>
    </row>
    <row r="1900" spans="1:39" ht="12.75" customHeight="1" x14ac:dyDescent="0.2">
      <c r="A1900" s="289" t="str">
        <f>IF(B1900="","",COUNT('Diário 5º PA'!$A$5:$A$2634)+COUNT('Diário 6º PA'!$A$5:$A$2246)+ROW()-4)</f>
        <v/>
      </c>
      <c r="B1900" s="290"/>
      <c r="C1900" s="357"/>
      <c r="D1900" s="291"/>
      <c r="E1900" s="291"/>
      <c r="F1900" s="292"/>
      <c r="G1900" s="456"/>
      <c r="H1900" s="291"/>
      <c r="I1900" s="293"/>
      <c r="J1900" s="291"/>
      <c r="K1900" s="291"/>
      <c r="L1900" s="293"/>
      <c r="M1900" s="289"/>
      <c r="N1900" s="289"/>
      <c r="O1900" s="358"/>
      <c r="P1900" s="330">
        <f t="shared" si="268"/>
        <v>0</v>
      </c>
      <c r="Q1900" s="330">
        <f t="shared" si="269"/>
        <v>0</v>
      </c>
      <c r="R1900" s="331" t="str">
        <f t="shared" si="270"/>
        <v/>
      </c>
      <c r="S1900" s="331" t="str">
        <f>IF(D1900="","",IF(OR(D1900=Plano!$A$1,D1900=Plano!$B$1),"entrada","saída"))</f>
        <v/>
      </c>
      <c r="T1900" s="406"/>
      <c r="U1900" s="406"/>
      <c r="V1900" s="269"/>
      <c r="W1900" s="269"/>
      <c r="X1900" s="269"/>
      <c r="Y1900" s="269"/>
      <c r="Z1900" s="269"/>
      <c r="AA1900" s="269"/>
      <c r="AB1900" s="269"/>
      <c r="AC1900" s="269"/>
      <c r="AD1900" s="269"/>
      <c r="AE1900" s="269"/>
      <c r="AF1900" s="269"/>
      <c r="AG1900" s="269"/>
      <c r="AH1900" s="269"/>
      <c r="AI1900" s="269"/>
      <c r="AJ1900" s="269"/>
      <c r="AK1900" s="269"/>
      <c r="AL1900" s="269"/>
      <c r="AM1900" s="269"/>
    </row>
    <row r="1901" spans="1:39" ht="12.75" customHeight="1" x14ac:dyDescent="0.2">
      <c r="A1901" s="289" t="str">
        <f>IF(B1901="","",COUNT('Diário 5º PA'!$A$5:$A$2634)+COUNT('Diário 6º PA'!$A$5:$A$2246)+ROW()-4)</f>
        <v/>
      </c>
      <c r="B1901" s="290"/>
      <c r="C1901" s="357"/>
      <c r="D1901" s="291"/>
      <c r="E1901" s="291"/>
      <c r="F1901" s="292"/>
      <c r="G1901" s="456"/>
      <c r="H1901" s="291"/>
      <c r="I1901" s="293"/>
      <c r="J1901" s="291"/>
      <c r="K1901" s="291"/>
      <c r="L1901" s="293"/>
      <c r="M1901" s="289"/>
      <c r="N1901" s="289"/>
      <c r="O1901" s="358"/>
      <c r="P1901" s="330">
        <f t="shared" si="268"/>
        <v>0</v>
      </c>
      <c r="Q1901" s="330">
        <f t="shared" si="269"/>
        <v>0</v>
      </c>
      <c r="R1901" s="331" t="str">
        <f t="shared" si="270"/>
        <v/>
      </c>
      <c r="S1901" s="331" t="str">
        <f>IF(D1901="","",IF(OR(D1901=Plano!$A$1,D1901=Plano!$B$1),"entrada","saída"))</f>
        <v/>
      </c>
      <c r="T1901" s="406"/>
      <c r="U1901" s="406"/>
      <c r="V1901" s="269"/>
      <c r="W1901" s="269"/>
      <c r="X1901" s="269"/>
      <c r="Y1901" s="269"/>
      <c r="Z1901" s="269"/>
      <c r="AA1901" s="269"/>
      <c r="AB1901" s="269"/>
      <c r="AC1901" s="269"/>
      <c r="AD1901" s="269"/>
      <c r="AE1901" s="269"/>
      <c r="AF1901" s="269"/>
      <c r="AG1901" s="269"/>
      <c r="AH1901" s="269"/>
      <c r="AI1901" s="269"/>
      <c r="AJ1901" s="269"/>
      <c r="AK1901" s="269"/>
      <c r="AL1901" s="269"/>
      <c r="AM1901" s="269"/>
    </row>
    <row r="1902" spans="1:39" ht="12.75" customHeight="1" x14ac:dyDescent="0.2">
      <c r="A1902" s="289" t="str">
        <f>IF(B1902="","",COUNT('Diário 5º PA'!$A$5:$A$2634)+COUNT('Diário 6º PA'!$A$5:$A$2246)+ROW()-4)</f>
        <v/>
      </c>
      <c r="B1902" s="290"/>
      <c r="C1902" s="357"/>
      <c r="D1902" s="291"/>
      <c r="E1902" s="291"/>
      <c r="F1902" s="292"/>
      <c r="G1902" s="456"/>
      <c r="H1902" s="291"/>
      <c r="I1902" s="293"/>
      <c r="J1902" s="291"/>
      <c r="K1902" s="291"/>
      <c r="L1902" s="293"/>
      <c r="M1902" s="289"/>
      <c r="N1902" s="289"/>
      <c r="O1902" s="358"/>
      <c r="P1902" s="330">
        <f t="shared" si="268"/>
        <v>0</v>
      </c>
      <c r="Q1902" s="330">
        <f t="shared" si="269"/>
        <v>0</v>
      </c>
      <c r="R1902" s="331" t="str">
        <f t="shared" si="270"/>
        <v/>
      </c>
      <c r="S1902" s="331" t="str">
        <f>IF(D1902="","",IF(OR(D1902=Plano!$A$1,D1902=Plano!$B$1),"entrada","saída"))</f>
        <v/>
      </c>
      <c r="T1902" s="406"/>
      <c r="U1902" s="406"/>
      <c r="V1902" s="269"/>
      <c r="W1902" s="269"/>
      <c r="X1902" s="269"/>
      <c r="Y1902" s="269"/>
      <c r="Z1902" s="269"/>
      <c r="AA1902" s="269"/>
      <c r="AB1902" s="269"/>
      <c r="AC1902" s="269"/>
      <c r="AD1902" s="269"/>
      <c r="AE1902" s="269"/>
      <c r="AF1902" s="269"/>
      <c r="AG1902" s="269"/>
      <c r="AH1902" s="269"/>
      <c r="AI1902" s="269"/>
      <c r="AJ1902" s="269"/>
      <c r="AK1902" s="269"/>
      <c r="AL1902" s="269"/>
      <c r="AM1902" s="269"/>
    </row>
    <row r="1903" spans="1:39" ht="12.75" customHeight="1" x14ac:dyDescent="0.2">
      <c r="A1903" s="289" t="str">
        <f>IF(B1903="","",COUNT('Diário 5º PA'!$A$5:$A$2634)+COUNT('Diário 6º PA'!$A$5:$A$2246)+ROW()-4)</f>
        <v/>
      </c>
      <c r="B1903" s="290"/>
      <c r="C1903" s="357"/>
      <c r="D1903" s="291"/>
      <c r="E1903" s="291"/>
      <c r="F1903" s="292"/>
      <c r="G1903" s="456"/>
      <c r="H1903" s="291"/>
      <c r="I1903" s="293"/>
      <c r="J1903" s="291"/>
      <c r="K1903" s="291"/>
      <c r="L1903" s="293"/>
      <c r="M1903" s="289"/>
      <c r="N1903" s="289"/>
      <c r="O1903" s="358"/>
      <c r="P1903" s="330">
        <f t="shared" si="268"/>
        <v>0</v>
      </c>
      <c r="Q1903" s="330">
        <f t="shared" si="269"/>
        <v>0</v>
      </c>
      <c r="R1903" s="331" t="str">
        <f t="shared" si="270"/>
        <v/>
      </c>
      <c r="S1903" s="331" t="str">
        <f>IF(D1903="","",IF(OR(D1903=Plano!$A$1,D1903=Plano!$B$1),"entrada","saída"))</f>
        <v/>
      </c>
      <c r="T1903" s="406"/>
      <c r="U1903" s="406"/>
      <c r="V1903" s="269"/>
      <c r="W1903" s="269"/>
      <c r="X1903" s="269"/>
      <c r="Y1903" s="269"/>
      <c r="Z1903" s="269"/>
      <c r="AA1903" s="269"/>
      <c r="AB1903" s="269"/>
      <c r="AC1903" s="269"/>
      <c r="AD1903" s="269"/>
      <c r="AE1903" s="269"/>
      <c r="AF1903" s="269"/>
      <c r="AG1903" s="269"/>
      <c r="AH1903" s="269"/>
      <c r="AI1903" s="269"/>
      <c r="AJ1903" s="269"/>
      <c r="AK1903" s="269"/>
      <c r="AL1903" s="269"/>
      <c r="AM1903" s="269"/>
    </row>
    <row r="1904" spans="1:39" ht="12.75" customHeight="1" x14ac:dyDescent="0.2">
      <c r="A1904" s="289" t="str">
        <f>IF(B1904="","",COUNT('Diário 5º PA'!$A$5:$A$2634)+COUNT('Diário 6º PA'!$A$5:$A$2246)+ROW()-4)</f>
        <v/>
      </c>
      <c r="B1904" s="290"/>
      <c r="C1904" s="357"/>
      <c r="D1904" s="291"/>
      <c r="E1904" s="291"/>
      <c r="F1904" s="292"/>
      <c r="G1904" s="456"/>
      <c r="H1904" s="291"/>
      <c r="I1904" s="293"/>
      <c r="J1904" s="291"/>
      <c r="K1904" s="291"/>
      <c r="L1904" s="293"/>
      <c r="M1904" s="289"/>
      <c r="N1904" s="289"/>
      <c r="O1904" s="358"/>
      <c r="P1904" s="330">
        <f t="shared" si="268"/>
        <v>0</v>
      </c>
      <c r="Q1904" s="330">
        <f t="shared" si="269"/>
        <v>0</v>
      </c>
      <c r="R1904" s="331" t="str">
        <f t="shared" si="270"/>
        <v/>
      </c>
      <c r="S1904" s="331" t="str">
        <f>IF(D1904="","",IF(OR(D1904=Plano!$A$1,D1904=Plano!$B$1),"entrada","saída"))</f>
        <v/>
      </c>
      <c r="T1904" s="406"/>
      <c r="U1904" s="406"/>
      <c r="V1904" s="269"/>
      <c r="W1904" s="269"/>
      <c r="X1904" s="269"/>
      <c r="Y1904" s="269"/>
      <c r="Z1904" s="269"/>
      <c r="AA1904" s="269"/>
      <c r="AB1904" s="269"/>
      <c r="AC1904" s="269"/>
      <c r="AD1904" s="269"/>
      <c r="AE1904" s="269"/>
      <c r="AF1904" s="269"/>
      <c r="AG1904" s="269"/>
      <c r="AH1904" s="269"/>
      <c r="AI1904" s="269"/>
      <c r="AJ1904" s="269"/>
      <c r="AK1904" s="269"/>
      <c r="AL1904" s="269"/>
      <c r="AM1904" s="269"/>
    </row>
    <row r="1905" spans="1:39" ht="12.75" customHeight="1" x14ac:dyDescent="0.2">
      <c r="A1905" s="289" t="str">
        <f>IF(B1905="","",COUNT('Diário 5º PA'!$A$5:$A$2634)+COUNT('Diário 6º PA'!$A$5:$A$2246)+ROW()-4)</f>
        <v/>
      </c>
      <c r="B1905" s="290"/>
      <c r="C1905" s="357"/>
      <c r="D1905" s="291"/>
      <c r="E1905" s="291"/>
      <c r="F1905" s="292"/>
      <c r="G1905" s="456"/>
      <c r="H1905" s="291"/>
      <c r="I1905" s="293"/>
      <c r="J1905" s="291"/>
      <c r="K1905" s="291"/>
      <c r="L1905" s="293"/>
      <c r="M1905" s="289"/>
      <c r="N1905" s="289"/>
      <c r="O1905" s="358"/>
      <c r="P1905" s="330">
        <f t="shared" si="268"/>
        <v>0</v>
      </c>
      <c r="Q1905" s="330">
        <f t="shared" si="269"/>
        <v>0</v>
      </c>
      <c r="R1905" s="331" t="str">
        <f t="shared" si="270"/>
        <v/>
      </c>
      <c r="S1905" s="331" t="str">
        <f>IF(D1905="","",IF(OR(D1905=Plano!$A$1,D1905=Plano!$B$1),"entrada","saída"))</f>
        <v/>
      </c>
      <c r="T1905" s="406"/>
      <c r="U1905" s="406"/>
      <c r="V1905" s="269"/>
      <c r="W1905" s="269"/>
      <c r="X1905" s="269"/>
      <c r="Y1905" s="269"/>
      <c r="Z1905" s="269"/>
      <c r="AA1905" s="269"/>
      <c r="AB1905" s="269"/>
      <c r="AC1905" s="269"/>
      <c r="AD1905" s="269"/>
      <c r="AE1905" s="269"/>
      <c r="AF1905" s="269"/>
      <c r="AG1905" s="269"/>
      <c r="AH1905" s="269"/>
      <c r="AI1905" s="269"/>
      <c r="AJ1905" s="269"/>
      <c r="AK1905" s="269"/>
      <c r="AL1905" s="269"/>
      <c r="AM1905" s="269"/>
    </row>
    <row r="1906" spans="1:39" ht="12.75" customHeight="1" x14ac:dyDescent="0.2">
      <c r="A1906" s="289" t="str">
        <f>IF(B1906="","",COUNT('Diário 5º PA'!$A$5:$A$2634)+COUNT('Diário 6º PA'!$A$5:$A$2246)+ROW()-4)</f>
        <v/>
      </c>
      <c r="B1906" s="290"/>
      <c r="C1906" s="357"/>
      <c r="D1906" s="291"/>
      <c r="E1906" s="291"/>
      <c r="F1906" s="292"/>
      <c r="G1906" s="456"/>
      <c r="H1906" s="291"/>
      <c r="I1906" s="293"/>
      <c r="J1906" s="291"/>
      <c r="K1906" s="291"/>
      <c r="L1906" s="293"/>
      <c r="M1906" s="289"/>
      <c r="N1906" s="289"/>
      <c r="O1906" s="358"/>
      <c r="P1906" s="330">
        <f t="shared" si="268"/>
        <v>0</v>
      </c>
      <c r="Q1906" s="330">
        <f t="shared" si="269"/>
        <v>0</v>
      </c>
      <c r="R1906" s="331" t="str">
        <f t="shared" si="270"/>
        <v/>
      </c>
      <c r="S1906" s="331" t="str">
        <f>IF(D1906="","",IF(OR(D1906=Plano!$A$1,D1906=Plano!$B$1),"entrada","saída"))</f>
        <v/>
      </c>
      <c r="T1906" s="406"/>
      <c r="U1906" s="406"/>
      <c r="V1906" s="269"/>
      <c r="W1906" s="269"/>
      <c r="X1906" s="269"/>
      <c r="Y1906" s="269"/>
      <c r="Z1906" s="269"/>
      <c r="AA1906" s="269"/>
      <c r="AB1906" s="269"/>
      <c r="AC1906" s="269"/>
      <c r="AD1906" s="269"/>
      <c r="AE1906" s="269"/>
      <c r="AF1906" s="269"/>
      <c r="AG1906" s="269"/>
      <c r="AH1906" s="269"/>
      <c r="AI1906" s="269"/>
      <c r="AJ1906" s="269"/>
      <c r="AK1906" s="269"/>
      <c r="AL1906" s="269"/>
      <c r="AM1906" s="269"/>
    </row>
    <row r="1907" spans="1:39" ht="12.75" customHeight="1" x14ac:dyDescent="0.2">
      <c r="A1907" s="289" t="str">
        <f>IF(B1907="","",COUNT('Diário 5º PA'!$A$5:$A$2634)+COUNT('Diário 6º PA'!$A$5:$A$2246)+ROW()-4)</f>
        <v/>
      </c>
      <c r="B1907" s="290"/>
      <c r="C1907" s="357"/>
      <c r="D1907" s="291"/>
      <c r="E1907" s="291"/>
      <c r="F1907" s="292"/>
      <c r="G1907" s="456"/>
      <c r="H1907" s="291"/>
      <c r="I1907" s="293"/>
      <c r="J1907" s="291"/>
      <c r="K1907" s="291"/>
      <c r="L1907" s="293"/>
      <c r="M1907" s="289"/>
      <c r="N1907" s="289"/>
      <c r="O1907" s="358"/>
      <c r="P1907" s="330">
        <f t="shared" si="268"/>
        <v>0</v>
      </c>
      <c r="Q1907" s="330">
        <f t="shared" si="269"/>
        <v>0</v>
      </c>
      <c r="R1907" s="331" t="str">
        <f t="shared" si="270"/>
        <v/>
      </c>
      <c r="S1907" s="331" t="str">
        <f>IF(D1907="","",IF(OR(D1907=Plano!$A$1,D1907=Plano!$B$1),"entrada","saída"))</f>
        <v/>
      </c>
      <c r="T1907" s="406"/>
      <c r="U1907" s="406"/>
      <c r="V1907" s="269"/>
      <c r="W1907" s="269"/>
      <c r="X1907" s="269"/>
      <c r="Y1907" s="269"/>
      <c r="Z1907" s="269"/>
      <c r="AA1907" s="269"/>
      <c r="AB1907" s="269"/>
      <c r="AC1907" s="269"/>
      <c r="AD1907" s="269"/>
      <c r="AE1907" s="269"/>
      <c r="AF1907" s="269"/>
      <c r="AG1907" s="269"/>
      <c r="AH1907" s="269"/>
      <c r="AI1907" s="269"/>
      <c r="AJ1907" s="269"/>
      <c r="AK1907" s="269"/>
      <c r="AL1907" s="269"/>
      <c r="AM1907" s="269"/>
    </row>
    <row r="1908" spans="1:39" ht="12.75" customHeight="1" x14ac:dyDescent="0.2">
      <c r="A1908" s="289" t="str">
        <f>IF(B1908="","",COUNT('Diário 5º PA'!$A$5:$A$2634)+COUNT('Diário 6º PA'!$A$5:$A$2246)+ROW()-4)</f>
        <v/>
      </c>
      <c r="B1908" s="290"/>
      <c r="C1908" s="357"/>
      <c r="D1908" s="291"/>
      <c r="E1908" s="291"/>
      <c r="F1908" s="292"/>
      <c r="G1908" s="456"/>
      <c r="H1908" s="291"/>
      <c r="I1908" s="293"/>
      <c r="J1908" s="291"/>
      <c r="K1908" s="291"/>
      <c r="L1908" s="293"/>
      <c r="M1908" s="289"/>
      <c r="N1908" s="289"/>
      <c r="O1908" s="358"/>
      <c r="P1908" s="330">
        <f t="shared" si="268"/>
        <v>0</v>
      </c>
      <c r="Q1908" s="330">
        <f t="shared" si="269"/>
        <v>0</v>
      </c>
      <c r="R1908" s="331" t="str">
        <f t="shared" si="270"/>
        <v/>
      </c>
      <c r="S1908" s="331" t="str">
        <f>IF(D1908="","",IF(OR(D1908=Plano!$A$1,D1908=Plano!$B$1),"entrada","saída"))</f>
        <v/>
      </c>
      <c r="T1908" s="406"/>
      <c r="U1908" s="406"/>
      <c r="V1908" s="269"/>
      <c r="W1908" s="269"/>
      <c r="X1908" s="269"/>
      <c r="Y1908" s="269"/>
      <c r="Z1908" s="269"/>
      <c r="AA1908" s="269"/>
      <c r="AB1908" s="269"/>
      <c r="AC1908" s="269"/>
      <c r="AD1908" s="269"/>
      <c r="AE1908" s="269"/>
      <c r="AF1908" s="269"/>
      <c r="AG1908" s="269"/>
      <c r="AH1908" s="269"/>
      <c r="AI1908" s="269"/>
      <c r="AJ1908" s="269"/>
      <c r="AK1908" s="269"/>
      <c r="AL1908" s="269"/>
      <c r="AM1908" s="269"/>
    </row>
    <row r="1909" spans="1:39" ht="12.75" customHeight="1" x14ac:dyDescent="0.2">
      <c r="A1909" s="289" t="str">
        <f>IF(B1909="","",COUNT('Diário 5º PA'!$A$5:$A$2634)+COUNT('Diário 6º PA'!$A$5:$A$2246)+ROW()-4)</f>
        <v/>
      </c>
      <c r="B1909" s="290"/>
      <c r="C1909" s="357"/>
      <c r="D1909" s="291"/>
      <c r="E1909" s="291"/>
      <c r="F1909" s="292"/>
      <c r="G1909" s="456"/>
      <c r="H1909" s="291"/>
      <c r="I1909" s="293"/>
      <c r="J1909" s="291"/>
      <c r="K1909" s="291"/>
      <c r="L1909" s="293"/>
      <c r="M1909" s="289"/>
      <c r="N1909" s="289"/>
      <c r="O1909" s="358"/>
      <c r="P1909" s="330">
        <f t="shared" si="268"/>
        <v>0</v>
      </c>
      <c r="Q1909" s="330">
        <f t="shared" si="269"/>
        <v>0</v>
      </c>
      <c r="R1909" s="331" t="str">
        <f t="shared" si="270"/>
        <v/>
      </c>
      <c r="S1909" s="331" t="str">
        <f>IF(D1909="","",IF(OR(D1909=Plano!$A$1,D1909=Plano!$B$1),"entrada","saída"))</f>
        <v/>
      </c>
      <c r="T1909" s="406"/>
      <c r="U1909" s="406"/>
      <c r="V1909" s="269"/>
      <c r="W1909" s="269"/>
      <c r="X1909" s="269"/>
      <c r="Y1909" s="269"/>
      <c r="Z1909" s="269"/>
      <c r="AA1909" s="269"/>
      <c r="AB1909" s="269"/>
      <c r="AC1909" s="269"/>
      <c r="AD1909" s="269"/>
      <c r="AE1909" s="269"/>
      <c r="AF1909" s="269"/>
      <c r="AG1909" s="269"/>
      <c r="AH1909" s="269"/>
      <c r="AI1909" s="269"/>
      <c r="AJ1909" s="269"/>
      <c r="AK1909" s="269"/>
      <c r="AL1909" s="269"/>
      <c r="AM1909" s="269"/>
    </row>
    <row r="1910" spans="1:39" ht="12.75" customHeight="1" x14ac:dyDescent="0.2">
      <c r="A1910" s="289" t="str">
        <f>IF(B1910="","",COUNT('Diário 5º PA'!$A$5:$A$2634)+COUNT('Diário 6º PA'!$A$5:$A$2246)+ROW()-4)</f>
        <v/>
      </c>
      <c r="B1910" s="290"/>
      <c r="C1910" s="357"/>
      <c r="D1910" s="291"/>
      <c r="E1910" s="291"/>
      <c r="F1910" s="292"/>
      <c r="G1910" s="456"/>
      <c r="H1910" s="291"/>
      <c r="I1910" s="293"/>
      <c r="J1910" s="291"/>
      <c r="K1910" s="291"/>
      <c r="L1910" s="293"/>
      <c r="M1910" s="289"/>
      <c r="N1910" s="289"/>
      <c r="O1910" s="358"/>
      <c r="P1910" s="330">
        <f t="shared" si="268"/>
        <v>0</v>
      </c>
      <c r="Q1910" s="330">
        <f t="shared" si="269"/>
        <v>0</v>
      </c>
      <c r="R1910" s="331" t="str">
        <f t="shared" si="270"/>
        <v/>
      </c>
      <c r="S1910" s="331" t="str">
        <f>IF(D1910="","",IF(OR(D1910=Plano!$A$1,D1910=Plano!$B$1),"entrada","saída"))</f>
        <v/>
      </c>
      <c r="T1910" s="406"/>
      <c r="U1910" s="406"/>
      <c r="V1910" s="269"/>
      <c r="W1910" s="269"/>
      <c r="X1910" s="269"/>
      <c r="Y1910" s="269"/>
      <c r="Z1910" s="269"/>
      <c r="AA1910" s="269"/>
      <c r="AB1910" s="269"/>
      <c r="AC1910" s="269"/>
      <c r="AD1910" s="269"/>
      <c r="AE1910" s="269"/>
      <c r="AF1910" s="269"/>
      <c r="AG1910" s="269"/>
      <c r="AH1910" s="269"/>
      <c r="AI1910" s="269"/>
      <c r="AJ1910" s="269"/>
      <c r="AK1910" s="269"/>
      <c r="AL1910" s="269"/>
      <c r="AM1910" s="269"/>
    </row>
    <row r="1911" spans="1:39" ht="12.75" customHeight="1" x14ac:dyDescent="0.2">
      <c r="A1911" s="289" t="str">
        <f>IF(B1911="","",COUNT('Diário 5º PA'!$A$5:$A$2634)+COUNT('Diário 6º PA'!$A$5:$A$2246)+ROW()-4)</f>
        <v/>
      </c>
      <c r="B1911" s="290"/>
      <c r="C1911" s="357"/>
      <c r="D1911" s="291"/>
      <c r="E1911" s="291"/>
      <c r="F1911" s="292"/>
      <c r="G1911" s="456"/>
      <c r="H1911" s="291"/>
      <c r="I1911" s="293"/>
      <c r="J1911" s="291"/>
      <c r="K1911" s="291"/>
      <c r="L1911" s="293"/>
      <c r="M1911" s="289"/>
      <c r="N1911" s="289"/>
      <c r="O1911" s="358"/>
      <c r="P1911" s="330">
        <f t="shared" si="268"/>
        <v>0</v>
      </c>
      <c r="Q1911" s="330">
        <f t="shared" si="269"/>
        <v>0</v>
      </c>
      <c r="R1911" s="331" t="str">
        <f t="shared" si="270"/>
        <v/>
      </c>
      <c r="S1911" s="331" t="str">
        <f>IF(D1911="","",IF(OR(D1911=Plano!$A$1,D1911=Plano!$B$1),"entrada","saída"))</f>
        <v/>
      </c>
      <c r="T1911" s="406"/>
      <c r="U1911" s="406"/>
      <c r="V1911" s="269"/>
      <c r="W1911" s="269"/>
      <c r="X1911" s="269"/>
      <c r="Y1911" s="269"/>
      <c r="Z1911" s="269"/>
      <c r="AA1911" s="269"/>
      <c r="AB1911" s="269"/>
      <c r="AC1911" s="269"/>
      <c r="AD1911" s="269"/>
      <c r="AE1911" s="269"/>
      <c r="AF1911" s="269"/>
      <c r="AG1911" s="269"/>
      <c r="AH1911" s="269"/>
      <c r="AI1911" s="269"/>
      <c r="AJ1911" s="269"/>
      <c r="AK1911" s="269"/>
      <c r="AL1911" s="269"/>
      <c r="AM1911" s="269"/>
    </row>
    <row r="1912" spans="1:39" ht="12.75" customHeight="1" x14ac:dyDescent="0.2">
      <c r="A1912" s="289" t="str">
        <f>IF(B1912="","",COUNT('Diário 5º PA'!$A$5:$A$2634)+COUNT('Diário 6º PA'!$A$5:$A$2246)+ROW()-4)</f>
        <v/>
      </c>
      <c r="B1912" s="290"/>
      <c r="C1912" s="357"/>
      <c r="D1912" s="291"/>
      <c r="E1912" s="291"/>
      <c r="F1912" s="292"/>
      <c r="G1912" s="456"/>
      <c r="H1912" s="291"/>
      <c r="I1912" s="293"/>
      <c r="J1912" s="291"/>
      <c r="K1912" s="291"/>
      <c r="L1912" s="293"/>
      <c r="M1912" s="289"/>
      <c r="N1912" s="289"/>
      <c r="O1912" s="358"/>
      <c r="P1912" s="330">
        <f t="shared" si="268"/>
        <v>0</v>
      </c>
      <c r="Q1912" s="330">
        <f t="shared" si="269"/>
        <v>0</v>
      </c>
      <c r="R1912" s="331" t="str">
        <f t="shared" si="270"/>
        <v/>
      </c>
      <c r="S1912" s="331" t="str">
        <f>IF(D1912="","",IF(OR(D1912=Plano!$A$1,D1912=Plano!$B$1),"entrada","saída"))</f>
        <v/>
      </c>
      <c r="T1912" s="406"/>
      <c r="U1912" s="406"/>
      <c r="V1912" s="269"/>
      <c r="W1912" s="269"/>
      <c r="X1912" s="269"/>
      <c r="Y1912" s="269"/>
      <c r="Z1912" s="269"/>
      <c r="AA1912" s="269"/>
      <c r="AB1912" s="269"/>
      <c r="AC1912" s="269"/>
      <c r="AD1912" s="269"/>
      <c r="AE1912" s="269"/>
      <c r="AF1912" s="269"/>
      <c r="AG1912" s="269"/>
      <c r="AH1912" s="269"/>
      <c r="AI1912" s="269"/>
      <c r="AJ1912" s="269"/>
      <c r="AK1912" s="269"/>
      <c r="AL1912" s="269"/>
      <c r="AM1912" s="269"/>
    </row>
    <row r="1913" spans="1:39" ht="12.75" customHeight="1" x14ac:dyDescent="0.2">
      <c r="A1913" s="289" t="str">
        <f>IF(B1913="","",COUNT('Diário 5º PA'!$A$5:$A$2634)+COUNT('Diário 6º PA'!$A$5:$A$2246)+ROW()-4)</f>
        <v/>
      </c>
      <c r="B1913" s="290"/>
      <c r="C1913" s="357"/>
      <c r="D1913" s="291"/>
      <c r="E1913" s="291"/>
      <c r="F1913" s="292"/>
      <c r="G1913" s="456"/>
      <c r="H1913" s="291"/>
      <c r="I1913" s="293"/>
      <c r="J1913" s="291"/>
      <c r="K1913" s="291"/>
      <c r="L1913" s="293"/>
      <c r="M1913" s="289"/>
      <c r="N1913" s="289"/>
      <c r="O1913" s="358"/>
      <c r="P1913" s="330">
        <f t="shared" si="268"/>
        <v>0</v>
      </c>
      <c r="Q1913" s="330">
        <f t="shared" si="269"/>
        <v>0</v>
      </c>
      <c r="R1913" s="331" t="str">
        <f t="shared" si="270"/>
        <v/>
      </c>
      <c r="S1913" s="331" t="str">
        <f>IF(D1913="","",IF(OR(D1913=Plano!$A$1,D1913=Plano!$B$1),"entrada","saída"))</f>
        <v/>
      </c>
      <c r="T1913" s="406"/>
      <c r="U1913" s="406"/>
      <c r="V1913" s="269"/>
      <c r="W1913" s="269"/>
      <c r="X1913" s="269"/>
      <c r="Y1913" s="269"/>
      <c r="Z1913" s="269"/>
      <c r="AA1913" s="269"/>
      <c r="AB1913" s="269"/>
      <c r="AC1913" s="269"/>
      <c r="AD1913" s="269"/>
      <c r="AE1913" s="269"/>
      <c r="AF1913" s="269"/>
      <c r="AG1913" s="269"/>
      <c r="AH1913" s="269"/>
      <c r="AI1913" s="269"/>
      <c r="AJ1913" s="269"/>
      <c r="AK1913" s="269"/>
      <c r="AL1913" s="269"/>
      <c r="AM1913" s="269"/>
    </row>
    <row r="1914" spans="1:39" ht="12.75" customHeight="1" x14ac:dyDescent="0.2">
      <c r="A1914" s="289" t="str">
        <f>IF(B1914="","",COUNT('Diário 5º PA'!$A$5:$A$2634)+COUNT('Diário 6º PA'!$A$5:$A$2246)+ROW()-4)</f>
        <v/>
      </c>
      <c r="B1914" s="290"/>
      <c r="C1914" s="357"/>
      <c r="D1914" s="291"/>
      <c r="E1914" s="291"/>
      <c r="F1914" s="292"/>
      <c r="G1914" s="456"/>
      <c r="H1914" s="291"/>
      <c r="I1914" s="293"/>
      <c r="J1914" s="291"/>
      <c r="K1914" s="291"/>
      <c r="L1914" s="293"/>
      <c r="M1914" s="289"/>
      <c r="N1914" s="289"/>
      <c r="O1914" s="358"/>
      <c r="P1914" s="330">
        <f t="shared" si="268"/>
        <v>0</v>
      </c>
      <c r="Q1914" s="330">
        <f t="shared" si="269"/>
        <v>0</v>
      </c>
      <c r="R1914" s="331" t="str">
        <f t="shared" si="270"/>
        <v/>
      </c>
      <c r="S1914" s="331" t="str">
        <f>IF(D1914="","",IF(OR(D1914=Plano!$A$1,D1914=Plano!$B$1),"entrada","saída"))</f>
        <v/>
      </c>
      <c r="T1914" s="406"/>
      <c r="U1914" s="406"/>
      <c r="V1914" s="269"/>
      <c r="W1914" s="269"/>
      <c r="X1914" s="269"/>
      <c r="Y1914" s="269"/>
      <c r="Z1914" s="269"/>
      <c r="AA1914" s="269"/>
      <c r="AB1914" s="269"/>
      <c r="AC1914" s="269"/>
      <c r="AD1914" s="269"/>
      <c r="AE1914" s="269"/>
      <c r="AF1914" s="269"/>
      <c r="AG1914" s="269"/>
      <c r="AH1914" s="269"/>
      <c r="AI1914" s="269"/>
      <c r="AJ1914" s="269"/>
      <c r="AK1914" s="269"/>
      <c r="AL1914" s="269"/>
      <c r="AM1914" s="269"/>
    </row>
    <row r="1915" spans="1:39" ht="12.75" customHeight="1" x14ac:dyDescent="0.2">
      <c r="A1915" s="289" t="str">
        <f>IF(B1915="","",COUNT('Diário 5º PA'!$A$5:$A$2634)+COUNT('Diário 6º PA'!$A$5:$A$2246)+ROW()-4)</f>
        <v/>
      </c>
      <c r="B1915" s="290"/>
      <c r="C1915" s="357"/>
      <c r="D1915" s="291"/>
      <c r="E1915" s="291"/>
      <c r="F1915" s="292"/>
      <c r="G1915" s="456"/>
      <c r="H1915" s="291"/>
      <c r="I1915" s="293"/>
      <c r="J1915" s="291"/>
      <c r="K1915" s="291"/>
      <c r="L1915" s="293"/>
      <c r="M1915" s="289"/>
      <c r="N1915" s="289"/>
      <c r="O1915" s="358"/>
      <c r="P1915" s="330">
        <f t="shared" si="268"/>
        <v>0</v>
      </c>
      <c r="Q1915" s="330">
        <f t="shared" si="269"/>
        <v>0</v>
      </c>
      <c r="R1915" s="331" t="str">
        <f t="shared" si="270"/>
        <v/>
      </c>
      <c r="S1915" s="331" t="str">
        <f>IF(D1915="","",IF(OR(D1915=Plano!$A$1,D1915=Plano!$B$1),"entrada","saída"))</f>
        <v/>
      </c>
      <c r="T1915" s="406"/>
      <c r="U1915" s="406"/>
      <c r="V1915" s="269"/>
      <c r="W1915" s="269"/>
      <c r="X1915" s="269"/>
      <c r="Y1915" s="269"/>
      <c r="Z1915" s="269"/>
      <c r="AA1915" s="269"/>
      <c r="AB1915" s="269"/>
      <c r="AC1915" s="269"/>
      <c r="AD1915" s="269"/>
      <c r="AE1915" s="269"/>
      <c r="AF1915" s="269"/>
      <c r="AG1915" s="269"/>
      <c r="AH1915" s="269"/>
      <c r="AI1915" s="269"/>
      <c r="AJ1915" s="269"/>
      <c r="AK1915" s="269"/>
      <c r="AL1915" s="269"/>
      <c r="AM1915" s="269"/>
    </row>
    <row r="1916" spans="1:39" ht="12.75" customHeight="1" x14ac:dyDescent="0.2">
      <c r="A1916" s="289" t="str">
        <f>IF(B1916="","",COUNT('Diário 5º PA'!$A$5:$A$2634)+COUNT('Diário 6º PA'!$A$5:$A$2246)+ROW()-4)</f>
        <v/>
      </c>
      <c r="B1916" s="290"/>
      <c r="C1916" s="357"/>
      <c r="D1916" s="291"/>
      <c r="E1916" s="291"/>
      <c r="F1916" s="292"/>
      <c r="G1916" s="456"/>
      <c r="H1916" s="291"/>
      <c r="I1916" s="293"/>
      <c r="J1916" s="291"/>
      <c r="K1916" s="291"/>
      <c r="L1916" s="293"/>
      <c r="M1916" s="289"/>
      <c r="N1916" s="289"/>
      <c r="O1916" s="358"/>
      <c r="P1916" s="330">
        <f t="shared" si="268"/>
        <v>0</v>
      </c>
      <c r="Q1916" s="330">
        <f t="shared" si="269"/>
        <v>0</v>
      </c>
      <c r="R1916" s="331" t="str">
        <f t="shared" si="270"/>
        <v/>
      </c>
      <c r="S1916" s="331" t="str">
        <f>IF(D1916="","",IF(OR(D1916=Plano!$A$1,D1916=Plano!$B$1),"entrada","saída"))</f>
        <v/>
      </c>
      <c r="T1916" s="406"/>
      <c r="U1916" s="406"/>
      <c r="V1916" s="269"/>
      <c r="W1916" s="269"/>
      <c r="X1916" s="269"/>
      <c r="Y1916" s="269"/>
      <c r="Z1916" s="269"/>
      <c r="AA1916" s="269"/>
      <c r="AB1916" s="269"/>
      <c r="AC1916" s="269"/>
      <c r="AD1916" s="269"/>
      <c r="AE1916" s="269"/>
      <c r="AF1916" s="269"/>
      <c r="AG1916" s="269"/>
      <c r="AH1916" s="269"/>
      <c r="AI1916" s="269"/>
      <c r="AJ1916" s="269"/>
      <c r="AK1916" s="269"/>
      <c r="AL1916" s="269"/>
      <c r="AM1916" s="269"/>
    </row>
    <row r="1917" spans="1:39" ht="12.75" customHeight="1" x14ac:dyDescent="0.2">
      <c r="A1917" s="289" t="str">
        <f>IF(B1917="","",COUNT('Diário 5º PA'!$A$5:$A$2634)+COUNT('Diário 6º PA'!$A$5:$A$2246)+ROW()-4)</f>
        <v/>
      </c>
      <c r="B1917" s="290"/>
      <c r="C1917" s="357"/>
      <c r="D1917" s="291"/>
      <c r="E1917" s="291"/>
      <c r="F1917" s="292"/>
      <c r="G1917" s="456"/>
      <c r="H1917" s="291"/>
      <c r="I1917" s="293"/>
      <c r="J1917" s="291"/>
      <c r="K1917" s="291"/>
      <c r="L1917" s="293"/>
      <c r="M1917" s="289"/>
      <c r="N1917" s="289"/>
      <c r="O1917" s="358"/>
      <c r="P1917" s="330">
        <f t="shared" si="268"/>
        <v>0</v>
      </c>
      <c r="Q1917" s="330">
        <f t="shared" si="269"/>
        <v>0</v>
      </c>
      <c r="R1917" s="331" t="str">
        <f t="shared" si="270"/>
        <v/>
      </c>
      <c r="S1917" s="331" t="str">
        <f>IF(D1917="","",IF(OR(D1917=Plano!$A$1,D1917=Plano!$B$1),"entrada","saída"))</f>
        <v/>
      </c>
      <c r="T1917" s="406"/>
      <c r="U1917" s="406"/>
      <c r="V1917" s="269"/>
      <c r="W1917" s="269"/>
      <c r="X1917" s="269"/>
      <c r="Y1917" s="269"/>
      <c r="Z1917" s="269"/>
      <c r="AA1917" s="269"/>
      <c r="AB1917" s="269"/>
      <c r="AC1917" s="269"/>
      <c r="AD1917" s="269"/>
      <c r="AE1917" s="269"/>
      <c r="AF1917" s="269"/>
      <c r="AG1917" s="269"/>
      <c r="AH1917" s="269"/>
      <c r="AI1917" s="269"/>
      <c r="AJ1917" s="269"/>
      <c r="AK1917" s="269"/>
      <c r="AL1917" s="269"/>
      <c r="AM1917" s="269"/>
    </row>
    <row r="1918" spans="1:39" ht="12.75" customHeight="1" x14ac:dyDescent="0.2">
      <c r="A1918" s="289" t="str">
        <f>IF(B1918="","",COUNT('Diário 5º PA'!$A$5:$A$2634)+COUNT('Diário 6º PA'!$A$5:$A$2246)+ROW()-4)</f>
        <v/>
      </c>
      <c r="B1918" s="290"/>
      <c r="C1918" s="357"/>
      <c r="D1918" s="291"/>
      <c r="E1918" s="291"/>
      <c r="F1918" s="292"/>
      <c r="G1918" s="456"/>
      <c r="H1918" s="291"/>
      <c r="I1918" s="293"/>
      <c r="J1918" s="291"/>
      <c r="K1918" s="291"/>
      <c r="L1918" s="293"/>
      <c r="M1918" s="289"/>
      <c r="N1918" s="289"/>
      <c r="O1918" s="358"/>
      <c r="P1918" s="330">
        <f t="shared" si="268"/>
        <v>0</v>
      </c>
      <c r="Q1918" s="330">
        <f t="shared" si="269"/>
        <v>0</v>
      </c>
      <c r="R1918" s="331" t="str">
        <f t="shared" si="270"/>
        <v/>
      </c>
      <c r="S1918" s="331" t="str">
        <f>IF(D1918="","",IF(OR(D1918=Plano!$A$1,D1918=Plano!$B$1),"entrada","saída"))</f>
        <v/>
      </c>
      <c r="T1918" s="406"/>
      <c r="U1918" s="406"/>
      <c r="V1918" s="269"/>
      <c r="W1918" s="269"/>
      <c r="X1918" s="269"/>
      <c r="Y1918" s="269"/>
      <c r="Z1918" s="269"/>
      <c r="AA1918" s="269"/>
      <c r="AB1918" s="269"/>
      <c r="AC1918" s="269"/>
      <c r="AD1918" s="269"/>
      <c r="AE1918" s="269"/>
      <c r="AF1918" s="269"/>
      <c r="AG1918" s="269"/>
      <c r="AH1918" s="269"/>
      <c r="AI1918" s="269"/>
      <c r="AJ1918" s="269"/>
      <c r="AK1918" s="269"/>
      <c r="AL1918" s="269"/>
      <c r="AM1918" s="269"/>
    </row>
    <row r="1919" spans="1:39" ht="12.75" customHeight="1" x14ac:dyDescent="0.2">
      <c r="A1919" s="289" t="str">
        <f>IF(B1919="","",COUNT('Diário 5º PA'!$A$5:$A$2634)+COUNT('Diário 6º PA'!$A$5:$A$2246)+ROW()-4)</f>
        <v/>
      </c>
      <c r="B1919" s="290"/>
      <c r="C1919" s="357"/>
      <c r="D1919" s="291"/>
      <c r="E1919" s="291"/>
      <c r="F1919" s="292"/>
      <c r="G1919" s="456"/>
      <c r="H1919" s="291"/>
      <c r="I1919" s="293"/>
      <c r="J1919" s="291"/>
      <c r="K1919" s="291"/>
      <c r="L1919" s="293"/>
      <c r="M1919" s="289"/>
      <c r="N1919" s="289"/>
      <c r="O1919" s="358"/>
      <c r="P1919" s="330">
        <f t="shared" si="268"/>
        <v>0</v>
      </c>
      <c r="Q1919" s="330">
        <f t="shared" si="269"/>
        <v>0</v>
      </c>
      <c r="R1919" s="331" t="str">
        <f t="shared" si="270"/>
        <v/>
      </c>
      <c r="S1919" s="331" t="str">
        <f>IF(D1919="","",IF(OR(D1919=Plano!$A$1,D1919=Plano!$B$1),"entrada","saída"))</f>
        <v/>
      </c>
      <c r="T1919" s="406"/>
      <c r="U1919" s="406"/>
      <c r="V1919" s="269"/>
      <c r="W1919" s="269"/>
      <c r="X1919" s="269"/>
      <c r="Y1919" s="269"/>
      <c r="Z1919" s="269"/>
      <c r="AA1919" s="269"/>
      <c r="AB1919" s="269"/>
      <c r="AC1919" s="269"/>
      <c r="AD1919" s="269"/>
      <c r="AE1919" s="269"/>
      <c r="AF1919" s="269"/>
      <c r="AG1919" s="269"/>
      <c r="AH1919" s="269"/>
      <c r="AI1919" s="269"/>
      <c r="AJ1919" s="269"/>
      <c r="AK1919" s="269"/>
      <c r="AL1919" s="269"/>
      <c r="AM1919" s="269"/>
    </row>
    <row r="1920" spans="1:39" ht="12.75" customHeight="1" x14ac:dyDescent="0.2">
      <c r="A1920" s="289" t="str">
        <f>IF(B1920="","",COUNT('Diário 5º PA'!$A$5:$A$2634)+COUNT('Diário 6º PA'!$A$5:$A$2246)+ROW()-4)</f>
        <v/>
      </c>
      <c r="B1920" s="290"/>
      <c r="C1920" s="357"/>
      <c r="D1920" s="291"/>
      <c r="E1920" s="291"/>
      <c r="F1920" s="292"/>
      <c r="G1920" s="456"/>
      <c r="H1920" s="291"/>
      <c r="I1920" s="293"/>
      <c r="J1920" s="291"/>
      <c r="K1920" s="291"/>
      <c r="L1920" s="293"/>
      <c r="M1920" s="289"/>
      <c r="N1920" s="289"/>
      <c r="O1920" s="358"/>
      <c r="P1920" s="330">
        <f t="shared" si="268"/>
        <v>0</v>
      </c>
      <c r="Q1920" s="330">
        <f t="shared" si="269"/>
        <v>0</v>
      </c>
      <c r="R1920" s="331" t="str">
        <f t="shared" si="270"/>
        <v/>
      </c>
      <c r="S1920" s="331" t="str">
        <f>IF(D1920="","",IF(OR(D1920=Plano!$A$1,D1920=Plano!$B$1),"entrada","saída"))</f>
        <v/>
      </c>
      <c r="T1920" s="406"/>
      <c r="U1920" s="406"/>
      <c r="V1920" s="269"/>
      <c r="W1920" s="269"/>
      <c r="X1920" s="269"/>
      <c r="Y1920" s="269"/>
      <c r="Z1920" s="269"/>
      <c r="AA1920" s="269"/>
      <c r="AB1920" s="269"/>
      <c r="AC1920" s="269"/>
      <c r="AD1920" s="269"/>
      <c r="AE1920" s="269"/>
      <c r="AF1920" s="269"/>
      <c r="AG1920" s="269"/>
      <c r="AH1920" s="269"/>
      <c r="AI1920" s="269"/>
      <c r="AJ1920" s="269"/>
      <c r="AK1920" s="269"/>
      <c r="AL1920" s="269"/>
      <c r="AM1920" s="269"/>
    </row>
    <row r="1921" spans="1:39" ht="12.75" customHeight="1" x14ac:dyDescent="0.2">
      <c r="A1921" s="289" t="str">
        <f>IF(B1921="","",COUNT('Diário 5º PA'!$A$5:$A$2634)+COUNT('Diário 6º PA'!$A$5:$A$2246)+ROW()-4)</f>
        <v/>
      </c>
      <c r="B1921" s="290"/>
      <c r="C1921" s="357"/>
      <c r="D1921" s="291"/>
      <c r="E1921" s="291"/>
      <c r="F1921" s="292"/>
      <c r="G1921" s="456"/>
      <c r="H1921" s="291"/>
      <c r="I1921" s="293"/>
      <c r="J1921" s="291"/>
      <c r="K1921" s="291"/>
      <c r="L1921" s="293"/>
      <c r="M1921" s="289"/>
      <c r="N1921" s="289"/>
      <c r="O1921" s="358"/>
      <c r="P1921" s="330">
        <f t="shared" si="268"/>
        <v>0</v>
      </c>
      <c r="Q1921" s="330">
        <f t="shared" si="269"/>
        <v>0</v>
      </c>
      <c r="R1921" s="331" t="str">
        <f t="shared" si="270"/>
        <v/>
      </c>
      <c r="S1921" s="331" t="str">
        <f>IF(D1921="","",IF(OR(D1921=Plano!$A$1,D1921=Plano!$B$1),"entrada","saída"))</f>
        <v/>
      </c>
      <c r="T1921" s="406"/>
      <c r="U1921" s="406"/>
      <c r="V1921" s="269"/>
      <c r="W1921" s="269"/>
      <c r="X1921" s="269"/>
      <c r="Y1921" s="269"/>
      <c r="Z1921" s="269"/>
      <c r="AA1921" s="269"/>
      <c r="AB1921" s="269"/>
      <c r="AC1921" s="269"/>
      <c r="AD1921" s="269"/>
      <c r="AE1921" s="269"/>
      <c r="AF1921" s="269"/>
      <c r="AG1921" s="269"/>
      <c r="AH1921" s="269"/>
      <c r="AI1921" s="269"/>
      <c r="AJ1921" s="269"/>
      <c r="AK1921" s="269"/>
      <c r="AL1921" s="269"/>
      <c r="AM1921" s="269"/>
    </row>
    <row r="1922" spans="1:39" ht="12.75" customHeight="1" x14ac:dyDescent="0.2">
      <c r="A1922" s="289" t="str">
        <f>IF(B1922="","",COUNT('Diário 5º PA'!$A$5:$A$2634)+COUNT('Diário 6º PA'!$A$5:$A$2246)+ROW()-4)</f>
        <v/>
      </c>
      <c r="B1922" s="290"/>
      <c r="C1922" s="357"/>
      <c r="D1922" s="291"/>
      <c r="E1922" s="291"/>
      <c r="F1922" s="292"/>
      <c r="G1922" s="456"/>
      <c r="H1922" s="291"/>
      <c r="I1922" s="293"/>
      <c r="J1922" s="291"/>
      <c r="K1922" s="291"/>
      <c r="L1922" s="293"/>
      <c r="M1922" s="289"/>
      <c r="N1922" s="289"/>
      <c r="O1922" s="358"/>
      <c r="P1922" s="330">
        <f t="shared" si="268"/>
        <v>0</v>
      </c>
      <c r="Q1922" s="330">
        <f t="shared" si="269"/>
        <v>0</v>
      </c>
      <c r="R1922" s="331" t="str">
        <f t="shared" si="270"/>
        <v/>
      </c>
      <c r="S1922" s="331" t="str">
        <f>IF(D1922="","",IF(OR(D1922=Plano!$A$1,D1922=Plano!$B$1),"entrada","saída"))</f>
        <v/>
      </c>
      <c r="T1922" s="406"/>
      <c r="U1922" s="406"/>
      <c r="V1922" s="269"/>
      <c r="W1922" s="269"/>
      <c r="X1922" s="269"/>
      <c r="Y1922" s="269"/>
      <c r="Z1922" s="269"/>
      <c r="AA1922" s="269"/>
      <c r="AB1922" s="269"/>
      <c r="AC1922" s="269"/>
      <c r="AD1922" s="269"/>
      <c r="AE1922" s="269"/>
      <c r="AF1922" s="269"/>
      <c r="AG1922" s="269"/>
      <c r="AH1922" s="269"/>
      <c r="AI1922" s="269"/>
      <c r="AJ1922" s="269"/>
      <c r="AK1922" s="269"/>
      <c r="AL1922" s="269"/>
      <c r="AM1922" s="269"/>
    </row>
    <row r="1923" spans="1:39" ht="12.75" customHeight="1" x14ac:dyDescent="0.2">
      <c r="A1923" s="289" t="str">
        <f>IF(B1923="","",COUNT('Diário 5º PA'!$A$5:$A$2634)+COUNT('Diário 6º PA'!$A$5:$A$2246)+ROW()-4)</f>
        <v/>
      </c>
      <c r="B1923" s="290"/>
      <c r="C1923" s="357"/>
      <c r="D1923" s="291"/>
      <c r="E1923" s="291"/>
      <c r="F1923" s="292"/>
      <c r="G1923" s="456"/>
      <c r="H1923" s="291"/>
      <c r="I1923" s="293"/>
      <c r="J1923" s="291"/>
      <c r="K1923" s="291"/>
      <c r="L1923" s="293"/>
      <c r="M1923" s="289"/>
      <c r="N1923" s="289"/>
      <c r="O1923" s="358"/>
      <c r="P1923" s="330">
        <f t="shared" si="268"/>
        <v>0</v>
      </c>
      <c r="Q1923" s="330">
        <f t="shared" si="269"/>
        <v>0</v>
      </c>
      <c r="R1923" s="331" t="str">
        <f t="shared" si="270"/>
        <v/>
      </c>
      <c r="S1923" s="331" t="str">
        <f>IF(D1923="","",IF(OR(D1923=Plano!$A$1,D1923=Plano!$B$1),"entrada","saída"))</f>
        <v/>
      </c>
      <c r="T1923" s="406"/>
      <c r="U1923" s="406"/>
      <c r="V1923" s="269"/>
      <c r="W1923" s="269"/>
      <c r="X1923" s="269"/>
      <c r="Y1923" s="269"/>
      <c r="Z1923" s="269"/>
      <c r="AA1923" s="269"/>
      <c r="AB1923" s="269"/>
      <c r="AC1923" s="269"/>
      <c r="AD1923" s="269"/>
      <c r="AE1923" s="269"/>
      <c r="AF1923" s="269"/>
      <c r="AG1923" s="269"/>
      <c r="AH1923" s="269"/>
      <c r="AI1923" s="269"/>
      <c r="AJ1923" s="269"/>
      <c r="AK1923" s="269"/>
      <c r="AL1923" s="269"/>
      <c r="AM1923" s="269"/>
    </row>
    <row r="1924" spans="1:39" ht="12.75" customHeight="1" x14ac:dyDescent="0.2">
      <c r="A1924" s="289" t="str">
        <f>IF(B1924="","",COUNT('Diário 5º PA'!$A$5:$A$2634)+COUNT('Diário 6º PA'!$A$5:$A$2246)+ROW()-4)</f>
        <v/>
      </c>
      <c r="B1924" s="290"/>
      <c r="C1924" s="357"/>
      <c r="D1924" s="291"/>
      <c r="E1924" s="291"/>
      <c r="F1924" s="292"/>
      <c r="G1924" s="456"/>
      <c r="H1924" s="291"/>
      <c r="I1924" s="293"/>
      <c r="J1924" s="291"/>
      <c r="K1924" s="291"/>
      <c r="L1924" s="293"/>
      <c r="M1924" s="289"/>
      <c r="N1924" s="289"/>
      <c r="O1924" s="358"/>
      <c r="P1924" s="330">
        <f t="shared" si="268"/>
        <v>0</v>
      </c>
      <c r="Q1924" s="330">
        <f t="shared" si="269"/>
        <v>0</v>
      </c>
      <c r="R1924" s="331" t="str">
        <f t="shared" si="270"/>
        <v/>
      </c>
      <c r="S1924" s="331" t="str">
        <f>IF(D1924="","",IF(OR(D1924=Plano!$A$1,D1924=Plano!$B$1),"entrada","saída"))</f>
        <v/>
      </c>
      <c r="T1924" s="406"/>
      <c r="U1924" s="406"/>
      <c r="V1924" s="269"/>
      <c r="W1924" s="269"/>
      <c r="X1924" s="269"/>
      <c r="Y1924" s="269"/>
      <c r="Z1924" s="269"/>
      <c r="AA1924" s="269"/>
      <c r="AB1924" s="269"/>
      <c r="AC1924" s="269"/>
      <c r="AD1924" s="269"/>
      <c r="AE1924" s="269"/>
      <c r="AF1924" s="269"/>
      <c r="AG1924" s="269"/>
      <c r="AH1924" s="269"/>
      <c r="AI1924" s="269"/>
      <c r="AJ1924" s="269"/>
      <c r="AK1924" s="269"/>
      <c r="AL1924" s="269"/>
      <c r="AM1924" s="269"/>
    </row>
    <row r="1925" spans="1:39" ht="12.75" customHeight="1" x14ac:dyDescent="0.2">
      <c r="A1925" s="289" t="str">
        <f>IF(B1925="","",COUNT('Diário 5º PA'!$A$5:$A$2634)+COUNT('Diário 6º PA'!$A$5:$A$2246)+ROW()-4)</f>
        <v/>
      </c>
      <c r="B1925" s="290"/>
      <c r="C1925" s="357"/>
      <c r="D1925" s="291"/>
      <c r="E1925" s="291"/>
      <c r="F1925" s="292"/>
      <c r="G1925" s="456"/>
      <c r="H1925" s="291"/>
      <c r="I1925" s="293"/>
      <c r="J1925" s="291"/>
      <c r="K1925" s="291"/>
      <c r="L1925" s="293"/>
      <c r="M1925" s="289"/>
      <c r="N1925" s="289"/>
      <c r="O1925" s="358"/>
      <c r="P1925" s="330">
        <f t="shared" si="268"/>
        <v>0</v>
      </c>
      <c r="Q1925" s="330">
        <f t="shared" si="269"/>
        <v>0</v>
      </c>
      <c r="R1925" s="331" t="str">
        <f t="shared" si="270"/>
        <v/>
      </c>
      <c r="S1925" s="331" t="str">
        <f>IF(D1925="","",IF(OR(D1925=Plano!$A$1,D1925=Plano!$B$1),"entrada","saída"))</f>
        <v/>
      </c>
      <c r="T1925" s="406"/>
      <c r="U1925" s="406"/>
      <c r="V1925" s="269"/>
      <c r="W1925" s="269"/>
      <c r="X1925" s="269"/>
      <c r="Y1925" s="269"/>
      <c r="Z1925" s="269"/>
      <c r="AA1925" s="269"/>
      <c r="AB1925" s="269"/>
      <c r="AC1925" s="269"/>
      <c r="AD1925" s="269"/>
      <c r="AE1925" s="269"/>
      <c r="AF1925" s="269"/>
      <c r="AG1925" s="269"/>
      <c r="AH1925" s="269"/>
      <c r="AI1925" s="269"/>
      <c r="AJ1925" s="269"/>
      <c r="AK1925" s="269"/>
      <c r="AL1925" s="269"/>
      <c r="AM1925" s="269"/>
    </row>
    <row r="1926" spans="1:39" ht="12.75" customHeight="1" x14ac:dyDescent="0.2">
      <c r="A1926" s="289" t="str">
        <f>IF(B1926="","",COUNT('Diário 5º PA'!$A$5:$A$2634)+COUNT('Diário 6º PA'!$A$5:$A$2246)+ROW()-4)</f>
        <v/>
      </c>
      <c r="B1926" s="290"/>
      <c r="C1926" s="357"/>
      <c r="D1926" s="291"/>
      <c r="E1926" s="291"/>
      <c r="F1926" s="292"/>
      <c r="G1926" s="456"/>
      <c r="H1926" s="291"/>
      <c r="I1926" s="293"/>
      <c r="J1926" s="291"/>
      <c r="K1926" s="291"/>
      <c r="L1926" s="293"/>
      <c r="M1926" s="289"/>
      <c r="N1926" s="289"/>
      <c r="O1926" s="358"/>
      <c r="P1926" s="330">
        <f t="shared" si="268"/>
        <v>0</v>
      </c>
      <c r="Q1926" s="330">
        <f t="shared" si="269"/>
        <v>0</v>
      </c>
      <c r="R1926" s="331" t="str">
        <f t="shared" si="270"/>
        <v/>
      </c>
      <c r="S1926" s="331" t="str">
        <f>IF(D1926="","",IF(OR(D1926=Plano!$A$1,D1926=Plano!$B$1),"entrada","saída"))</f>
        <v/>
      </c>
      <c r="T1926" s="406"/>
      <c r="U1926" s="406"/>
      <c r="V1926" s="269"/>
      <c r="W1926" s="269"/>
      <c r="X1926" s="269"/>
      <c r="Y1926" s="269"/>
      <c r="Z1926" s="269"/>
      <c r="AA1926" s="269"/>
      <c r="AB1926" s="269"/>
      <c r="AC1926" s="269"/>
      <c r="AD1926" s="269"/>
      <c r="AE1926" s="269"/>
      <c r="AF1926" s="269"/>
      <c r="AG1926" s="269"/>
      <c r="AH1926" s="269"/>
      <c r="AI1926" s="269"/>
      <c r="AJ1926" s="269"/>
      <c r="AK1926" s="269"/>
      <c r="AL1926" s="269"/>
      <c r="AM1926" s="269"/>
    </row>
    <row r="1927" spans="1:39" ht="12.75" customHeight="1" x14ac:dyDescent="0.2">
      <c r="A1927" s="289" t="str">
        <f>IF(B1927="","",COUNT('Diário 5º PA'!$A$5:$A$2634)+COUNT('Diário 6º PA'!$A$5:$A$2246)+ROW()-4)</f>
        <v/>
      </c>
      <c r="B1927" s="290"/>
      <c r="C1927" s="357"/>
      <c r="D1927" s="291"/>
      <c r="E1927" s="291"/>
      <c r="F1927" s="292"/>
      <c r="G1927" s="456"/>
      <c r="H1927" s="291"/>
      <c r="I1927" s="293"/>
      <c r="J1927" s="291"/>
      <c r="K1927" s="291"/>
      <c r="L1927" s="293"/>
      <c r="M1927" s="289"/>
      <c r="N1927" s="289"/>
      <c r="O1927" s="358"/>
      <c r="P1927" s="330">
        <f t="shared" si="268"/>
        <v>0</v>
      </c>
      <c r="Q1927" s="330">
        <f t="shared" si="269"/>
        <v>0</v>
      </c>
      <c r="R1927" s="331" t="str">
        <f t="shared" si="270"/>
        <v/>
      </c>
      <c r="S1927" s="331" t="str">
        <f>IF(D1927="","",IF(OR(D1927=Plano!$A$1,D1927=Plano!$B$1),"entrada","saída"))</f>
        <v/>
      </c>
      <c r="T1927" s="406"/>
      <c r="U1927" s="406"/>
      <c r="V1927" s="269"/>
      <c r="W1927" s="269"/>
      <c r="X1927" s="269"/>
      <c r="Y1927" s="269"/>
      <c r="Z1927" s="269"/>
      <c r="AA1927" s="269"/>
      <c r="AB1927" s="269"/>
      <c r="AC1927" s="269"/>
      <c r="AD1927" s="269"/>
      <c r="AE1927" s="269"/>
      <c r="AF1927" s="269"/>
      <c r="AG1927" s="269"/>
      <c r="AH1927" s="269"/>
      <c r="AI1927" s="269"/>
      <c r="AJ1927" s="269"/>
      <c r="AK1927" s="269"/>
      <c r="AL1927" s="269"/>
      <c r="AM1927" s="269"/>
    </row>
    <row r="1928" spans="1:39" ht="12.75" customHeight="1" x14ac:dyDescent="0.2">
      <c r="A1928" s="289" t="str">
        <f>IF(B1928="","",COUNT('Diário 5º PA'!$A$5:$A$2634)+COUNT('Diário 6º PA'!$A$5:$A$2246)+ROW()-4)</f>
        <v/>
      </c>
      <c r="B1928" s="290"/>
      <c r="C1928" s="357"/>
      <c r="D1928" s="291"/>
      <c r="E1928" s="291"/>
      <c r="F1928" s="292"/>
      <c r="G1928" s="456"/>
      <c r="H1928" s="291"/>
      <c r="I1928" s="293"/>
      <c r="J1928" s="291"/>
      <c r="K1928" s="291"/>
      <c r="L1928" s="293"/>
      <c r="M1928" s="289"/>
      <c r="N1928" s="289"/>
      <c r="O1928" s="358"/>
      <c r="P1928" s="330">
        <f t="shared" si="268"/>
        <v>0</v>
      </c>
      <c r="Q1928" s="330">
        <f t="shared" si="269"/>
        <v>0</v>
      </c>
      <c r="R1928" s="331" t="str">
        <f t="shared" si="270"/>
        <v/>
      </c>
      <c r="S1928" s="331" t="str">
        <f>IF(D1928="","",IF(OR(D1928=Plano!$A$1,D1928=Plano!$B$1),"entrada","saída"))</f>
        <v/>
      </c>
      <c r="T1928" s="406"/>
      <c r="U1928" s="406"/>
      <c r="V1928" s="269"/>
      <c r="W1928" s="269"/>
      <c r="X1928" s="269"/>
      <c r="Y1928" s="269"/>
      <c r="Z1928" s="269"/>
      <c r="AA1928" s="269"/>
      <c r="AB1928" s="269"/>
      <c r="AC1928" s="269"/>
      <c r="AD1928" s="269"/>
      <c r="AE1928" s="269"/>
      <c r="AF1928" s="269"/>
      <c r="AG1928" s="269"/>
      <c r="AH1928" s="269"/>
      <c r="AI1928" s="269"/>
      <c r="AJ1928" s="269"/>
      <c r="AK1928" s="269"/>
      <c r="AL1928" s="269"/>
      <c r="AM1928" s="269"/>
    </row>
    <row r="1929" spans="1:39" ht="12.75" customHeight="1" x14ac:dyDescent="0.2">
      <c r="A1929" s="289" t="str">
        <f>IF(B1929="","",COUNT('Diário 5º PA'!$A$5:$A$2634)+COUNT('Diário 6º PA'!$A$5:$A$2246)+ROW()-4)</f>
        <v/>
      </c>
      <c r="B1929" s="290"/>
      <c r="C1929" s="357"/>
      <c r="D1929" s="291"/>
      <c r="E1929" s="291"/>
      <c r="F1929" s="292"/>
      <c r="G1929" s="456"/>
      <c r="H1929" s="291"/>
      <c r="I1929" s="293"/>
      <c r="J1929" s="291"/>
      <c r="K1929" s="291"/>
      <c r="L1929" s="293"/>
      <c r="M1929" s="289"/>
      <c r="N1929" s="289"/>
      <c r="O1929" s="358"/>
      <c r="P1929" s="330">
        <f t="shared" si="268"/>
        <v>0</v>
      </c>
      <c r="Q1929" s="330">
        <f t="shared" si="269"/>
        <v>0</v>
      </c>
      <c r="R1929" s="331" t="str">
        <f t="shared" si="270"/>
        <v/>
      </c>
      <c r="S1929" s="331" t="str">
        <f>IF(D1929="","",IF(OR(D1929=Plano!$A$1,D1929=Plano!$B$1),"entrada","saída"))</f>
        <v/>
      </c>
      <c r="T1929" s="406"/>
      <c r="U1929" s="406"/>
      <c r="V1929" s="269"/>
      <c r="W1929" s="269"/>
      <c r="X1929" s="269"/>
      <c r="Y1929" s="269"/>
      <c r="Z1929" s="269"/>
      <c r="AA1929" s="269"/>
      <c r="AB1929" s="269"/>
      <c r="AC1929" s="269"/>
      <c r="AD1929" s="269"/>
      <c r="AE1929" s="269"/>
      <c r="AF1929" s="269"/>
      <c r="AG1929" s="269"/>
      <c r="AH1929" s="269"/>
      <c r="AI1929" s="269"/>
      <c r="AJ1929" s="269"/>
      <c r="AK1929" s="269"/>
      <c r="AL1929" s="269"/>
      <c r="AM1929" s="269"/>
    </row>
    <row r="1930" spans="1:39" ht="12.75" customHeight="1" x14ac:dyDescent="0.2">
      <c r="A1930" s="289" t="str">
        <f>IF(B1930="","",COUNT('Diário 5º PA'!$A$5:$A$2634)+COUNT('Diário 6º PA'!$A$5:$A$2246)+ROW()-4)</f>
        <v/>
      </c>
      <c r="B1930" s="290"/>
      <c r="C1930" s="357"/>
      <c r="D1930" s="291"/>
      <c r="E1930" s="291"/>
      <c r="F1930" s="292"/>
      <c r="G1930" s="456"/>
      <c r="H1930" s="291"/>
      <c r="I1930" s="293"/>
      <c r="J1930" s="291"/>
      <c r="K1930" s="291"/>
      <c r="L1930" s="293"/>
      <c r="M1930" s="289"/>
      <c r="N1930" s="289"/>
      <c r="O1930" s="358"/>
      <c r="P1930" s="330">
        <f t="shared" si="268"/>
        <v>0</v>
      </c>
      <c r="Q1930" s="330">
        <f t="shared" si="269"/>
        <v>0</v>
      </c>
      <c r="R1930" s="331" t="str">
        <f t="shared" si="270"/>
        <v/>
      </c>
      <c r="S1930" s="331" t="str">
        <f>IF(D1930="","",IF(OR(D1930=Plano!$A$1,D1930=Plano!$B$1),"entrada","saída"))</f>
        <v/>
      </c>
      <c r="T1930" s="406"/>
      <c r="U1930" s="406"/>
      <c r="V1930" s="269"/>
      <c r="W1930" s="269"/>
      <c r="X1930" s="269"/>
      <c r="Y1930" s="269"/>
      <c r="Z1930" s="269"/>
      <c r="AA1930" s="269"/>
      <c r="AB1930" s="269"/>
      <c r="AC1930" s="269"/>
      <c r="AD1930" s="269"/>
      <c r="AE1930" s="269"/>
      <c r="AF1930" s="269"/>
      <c r="AG1930" s="269"/>
      <c r="AH1930" s="269"/>
      <c r="AI1930" s="269"/>
      <c r="AJ1930" s="269"/>
      <c r="AK1930" s="269"/>
      <c r="AL1930" s="269"/>
      <c r="AM1930" s="269"/>
    </row>
    <row r="1931" spans="1:39" ht="12.75" customHeight="1" x14ac:dyDescent="0.2">
      <c r="A1931" s="289" t="str">
        <f>IF(B1931="","",COUNT('Diário 5º PA'!$A$5:$A$2634)+COUNT('Diário 6º PA'!$A$5:$A$2246)+ROW()-4)</f>
        <v/>
      </c>
      <c r="B1931" s="290"/>
      <c r="C1931" s="357"/>
      <c r="D1931" s="291"/>
      <c r="E1931" s="291"/>
      <c r="F1931" s="292"/>
      <c r="G1931" s="456"/>
      <c r="H1931" s="291"/>
      <c r="I1931" s="293"/>
      <c r="J1931" s="291"/>
      <c r="K1931" s="291"/>
      <c r="L1931" s="293"/>
      <c r="M1931" s="289"/>
      <c r="N1931" s="289"/>
      <c r="O1931" s="358"/>
      <c r="P1931" s="330">
        <f t="shared" si="268"/>
        <v>0</v>
      </c>
      <c r="Q1931" s="330">
        <f t="shared" si="269"/>
        <v>0</v>
      </c>
      <c r="R1931" s="331" t="str">
        <f t="shared" si="270"/>
        <v/>
      </c>
      <c r="S1931" s="331" t="str">
        <f>IF(D1931="","",IF(OR(D1931=Plano!$A$1,D1931=Plano!$B$1),"entrada","saída"))</f>
        <v/>
      </c>
      <c r="T1931" s="406"/>
      <c r="U1931" s="406"/>
      <c r="V1931" s="269"/>
      <c r="W1931" s="269"/>
      <c r="X1931" s="269"/>
      <c r="Y1931" s="269"/>
      <c r="Z1931" s="269"/>
      <c r="AA1931" s="269"/>
      <c r="AB1931" s="269"/>
      <c r="AC1931" s="269"/>
      <c r="AD1931" s="269"/>
      <c r="AE1931" s="269"/>
      <c r="AF1931" s="269"/>
      <c r="AG1931" s="269"/>
      <c r="AH1931" s="269"/>
      <c r="AI1931" s="269"/>
      <c r="AJ1931" s="269"/>
      <c r="AK1931" s="269"/>
      <c r="AL1931" s="269"/>
      <c r="AM1931" s="269"/>
    </row>
    <row r="1932" spans="1:39" ht="12.75" customHeight="1" x14ac:dyDescent="0.2">
      <c r="A1932" s="289" t="str">
        <f>IF(B1932="","",COUNT('Diário 5º PA'!$A$5:$A$2634)+COUNT('Diário 6º PA'!$A$5:$A$2246)+ROW()-4)</f>
        <v/>
      </c>
      <c r="B1932" s="290"/>
      <c r="C1932" s="357"/>
      <c r="D1932" s="291"/>
      <c r="E1932" s="291"/>
      <c r="F1932" s="292"/>
      <c r="G1932" s="456"/>
      <c r="H1932" s="291"/>
      <c r="I1932" s="293"/>
      <c r="J1932" s="291"/>
      <c r="K1932" s="291"/>
      <c r="L1932" s="293"/>
      <c r="M1932" s="289"/>
      <c r="N1932" s="289"/>
      <c r="O1932" s="358"/>
      <c r="P1932" s="330">
        <f t="shared" si="268"/>
        <v>0</v>
      </c>
      <c r="Q1932" s="330">
        <f t="shared" si="269"/>
        <v>0</v>
      </c>
      <c r="R1932" s="331" t="str">
        <f t="shared" si="270"/>
        <v/>
      </c>
      <c r="S1932" s="331" t="str">
        <f>IF(D1932="","",IF(OR(D1932=Plano!$A$1,D1932=Plano!$B$1),"entrada","saída"))</f>
        <v/>
      </c>
      <c r="T1932" s="406"/>
      <c r="U1932" s="406"/>
      <c r="V1932" s="269"/>
      <c r="W1932" s="269"/>
      <c r="X1932" s="269"/>
      <c r="Y1932" s="269"/>
      <c r="Z1932" s="269"/>
      <c r="AA1932" s="269"/>
      <c r="AB1932" s="269"/>
      <c r="AC1932" s="269"/>
      <c r="AD1932" s="269"/>
      <c r="AE1932" s="269"/>
      <c r="AF1932" s="269"/>
      <c r="AG1932" s="269"/>
      <c r="AH1932" s="269"/>
      <c r="AI1932" s="269"/>
      <c r="AJ1932" s="269"/>
      <c r="AK1932" s="269"/>
      <c r="AL1932" s="269"/>
      <c r="AM1932" s="269"/>
    </row>
    <row r="1933" spans="1:39" ht="12.75" customHeight="1" x14ac:dyDescent="0.2">
      <c r="A1933" s="289" t="str">
        <f>IF(B1933="","",COUNT('Diário 5º PA'!$A$5:$A$2634)+COUNT('Diário 6º PA'!$A$5:$A$2246)+ROW()-4)</f>
        <v/>
      </c>
      <c r="B1933" s="290"/>
      <c r="C1933" s="357"/>
      <c r="D1933" s="291"/>
      <c r="E1933" s="291"/>
      <c r="F1933" s="292"/>
      <c r="G1933" s="291"/>
      <c r="H1933" s="291"/>
      <c r="I1933" s="293"/>
      <c r="J1933" s="291"/>
      <c r="K1933" s="291"/>
      <c r="L1933" s="293"/>
      <c r="M1933" s="289"/>
      <c r="N1933" s="289"/>
      <c r="O1933" s="358"/>
      <c r="P1933" s="330">
        <f t="shared" si="268"/>
        <v>0</v>
      </c>
      <c r="Q1933" s="330">
        <f t="shared" si="269"/>
        <v>0</v>
      </c>
      <c r="R1933" s="331" t="str">
        <f t="shared" si="270"/>
        <v/>
      </c>
      <c r="S1933" s="331" t="str">
        <f>IF(D1933="","",IF(OR(D1933=Plano!$A$1,D1933=Plano!$B$1),"entrada","saída"))</f>
        <v/>
      </c>
      <c r="T1933" s="406"/>
      <c r="U1933" s="406"/>
      <c r="V1933" s="269"/>
      <c r="W1933" s="269"/>
      <c r="X1933" s="269"/>
      <c r="Y1933" s="269"/>
      <c r="Z1933" s="269"/>
      <c r="AA1933" s="269"/>
      <c r="AB1933" s="269"/>
      <c r="AC1933" s="269"/>
      <c r="AD1933" s="269"/>
      <c r="AE1933" s="269"/>
      <c r="AF1933" s="269"/>
      <c r="AG1933" s="269"/>
      <c r="AH1933" s="269"/>
      <c r="AI1933" s="269"/>
      <c r="AJ1933" s="269"/>
      <c r="AK1933" s="269"/>
      <c r="AL1933" s="269"/>
      <c r="AM1933" s="269"/>
    </row>
    <row r="1934" spans="1:39" ht="12.75" customHeight="1" x14ac:dyDescent="0.2">
      <c r="A1934" s="289" t="str">
        <f>IF(B1934="","",COUNT('Diário 5º PA'!$A$5:$A$2634)+COUNT('Diário 6º PA'!$A$5:$A$2246)+ROW()-4)</f>
        <v/>
      </c>
      <c r="B1934" s="290"/>
      <c r="C1934" s="357"/>
      <c r="D1934" s="291"/>
      <c r="E1934" s="291"/>
      <c r="F1934" s="292"/>
      <c r="G1934" s="291"/>
      <c r="H1934" s="291"/>
      <c r="I1934" s="293"/>
      <c r="J1934" s="291"/>
      <c r="K1934" s="291"/>
      <c r="L1934" s="293"/>
      <c r="M1934" s="289"/>
      <c r="N1934" s="289"/>
      <c r="O1934" s="358"/>
      <c r="P1934" s="330">
        <f t="shared" si="268"/>
        <v>0</v>
      </c>
      <c r="Q1934" s="330">
        <f t="shared" si="269"/>
        <v>0</v>
      </c>
      <c r="R1934" s="331" t="str">
        <f t="shared" si="270"/>
        <v/>
      </c>
      <c r="S1934" s="331" t="str">
        <f>IF(D1934="","",IF(OR(D1934=Plano!$A$1,D1934=Plano!$B$1),"entrada","saída"))</f>
        <v/>
      </c>
      <c r="T1934" s="406"/>
      <c r="U1934" s="406"/>
      <c r="V1934" s="269"/>
      <c r="W1934" s="269"/>
      <c r="X1934" s="269"/>
      <c r="Y1934" s="269"/>
      <c r="Z1934" s="269"/>
      <c r="AA1934" s="269"/>
      <c r="AB1934" s="269"/>
      <c r="AC1934" s="269"/>
      <c r="AD1934" s="269"/>
      <c r="AE1934" s="269"/>
      <c r="AF1934" s="269"/>
      <c r="AG1934" s="269"/>
      <c r="AH1934" s="269"/>
      <c r="AI1934" s="269"/>
      <c r="AJ1934" s="269"/>
      <c r="AK1934" s="269"/>
      <c r="AL1934" s="269"/>
      <c r="AM1934" s="269"/>
    </row>
    <row r="1935" spans="1:39" ht="12.75" customHeight="1" x14ac:dyDescent="0.2">
      <c r="A1935" s="289" t="str">
        <f>IF(B1935="","",COUNT('Diário 5º PA'!$A$5:$A$2634)+COUNT('Diário 6º PA'!$A$5:$A$2246)+ROW()-4)</f>
        <v/>
      </c>
      <c r="B1935" s="290"/>
      <c r="C1935" s="357"/>
      <c r="D1935" s="291"/>
      <c r="E1935" s="291"/>
      <c r="F1935" s="292"/>
      <c r="G1935" s="291"/>
      <c r="H1935" s="291"/>
      <c r="I1935" s="293"/>
      <c r="J1935" s="291"/>
      <c r="K1935" s="291"/>
      <c r="L1935" s="293"/>
      <c r="M1935" s="289"/>
      <c r="N1935" s="289"/>
      <c r="O1935" s="358"/>
      <c r="P1935" s="330">
        <f t="shared" si="268"/>
        <v>0</v>
      </c>
      <c r="Q1935" s="330">
        <f t="shared" si="269"/>
        <v>0</v>
      </c>
      <c r="R1935" s="331" t="str">
        <f t="shared" si="270"/>
        <v/>
      </c>
      <c r="S1935" s="331" t="str">
        <f>IF(D1935="","",IF(OR(D1935=Plano!$A$1,D1935=Plano!$B$1),"entrada","saída"))</f>
        <v/>
      </c>
      <c r="T1935" s="406"/>
      <c r="U1935" s="406"/>
      <c r="V1935" s="269"/>
      <c r="W1935" s="269"/>
      <c r="X1935" s="269"/>
      <c r="Y1935" s="269"/>
      <c r="Z1935" s="269"/>
      <c r="AA1935" s="269"/>
      <c r="AB1935" s="269"/>
      <c r="AC1935" s="269"/>
      <c r="AD1935" s="269"/>
      <c r="AE1935" s="269"/>
      <c r="AF1935" s="269"/>
      <c r="AG1935" s="269"/>
      <c r="AH1935" s="269"/>
      <c r="AI1935" s="269"/>
      <c r="AJ1935" s="269"/>
      <c r="AK1935" s="269"/>
      <c r="AL1935" s="269"/>
      <c r="AM1935" s="269"/>
    </row>
    <row r="1936" spans="1:39" ht="12.75" customHeight="1" x14ac:dyDescent="0.2">
      <c r="A1936" s="289" t="str">
        <f>IF(B1936="","",COUNT('Diário 5º PA'!$A$5:$A$2634)+COUNT('Diário 6º PA'!$A$5:$A$2246)+ROW()-4)</f>
        <v/>
      </c>
      <c r="B1936" s="290"/>
      <c r="C1936" s="357"/>
      <c r="D1936" s="291"/>
      <c r="E1936" s="291"/>
      <c r="F1936" s="292"/>
      <c r="G1936" s="291"/>
      <c r="H1936" s="291"/>
      <c r="I1936" s="293"/>
      <c r="J1936" s="291"/>
      <c r="K1936" s="291"/>
      <c r="L1936" s="293"/>
      <c r="M1936" s="289"/>
      <c r="N1936" s="289"/>
      <c r="O1936" s="358"/>
      <c r="P1936" s="330">
        <f t="shared" si="268"/>
        <v>0</v>
      </c>
      <c r="Q1936" s="330">
        <f t="shared" si="269"/>
        <v>0</v>
      </c>
      <c r="R1936" s="331" t="str">
        <f t="shared" si="270"/>
        <v/>
      </c>
      <c r="S1936" s="331" t="str">
        <f>IF(D1936="","",IF(OR(D1936=Plano!$A$1,D1936=Plano!$B$1),"entrada","saída"))</f>
        <v/>
      </c>
      <c r="T1936" s="406"/>
      <c r="U1936" s="406"/>
      <c r="V1936" s="269"/>
      <c r="W1936" s="269"/>
      <c r="X1936" s="269"/>
      <c r="Y1936" s="269"/>
      <c r="Z1936" s="269"/>
      <c r="AA1936" s="269"/>
      <c r="AB1936" s="269"/>
      <c r="AC1936" s="269"/>
      <c r="AD1936" s="269"/>
      <c r="AE1936" s="269"/>
      <c r="AF1936" s="269"/>
      <c r="AG1936" s="269"/>
      <c r="AH1936" s="269"/>
      <c r="AI1936" s="269"/>
      <c r="AJ1936" s="269"/>
      <c r="AK1936" s="269"/>
      <c r="AL1936" s="269"/>
      <c r="AM1936" s="269"/>
    </row>
    <row r="1937" spans="1:39" ht="12.75" customHeight="1" x14ac:dyDescent="0.2">
      <c r="A1937" s="289" t="str">
        <f>IF(B1937="","",COUNT('Diário 5º PA'!$A$5:$A$2634)+COUNT('Diário 6º PA'!$A$5:$A$2246)+ROW()-4)</f>
        <v/>
      </c>
      <c r="B1937" s="290"/>
      <c r="C1937" s="357"/>
      <c r="D1937" s="291"/>
      <c r="E1937" s="291"/>
      <c r="F1937" s="292"/>
      <c r="G1937" s="291"/>
      <c r="H1937" s="291"/>
      <c r="I1937" s="293"/>
      <c r="J1937" s="291"/>
      <c r="K1937" s="291"/>
      <c r="L1937" s="293"/>
      <c r="M1937" s="289"/>
      <c r="N1937" s="289"/>
      <c r="O1937" s="358"/>
      <c r="P1937" s="330">
        <f t="shared" si="268"/>
        <v>0</v>
      </c>
      <c r="Q1937" s="330">
        <f t="shared" si="269"/>
        <v>0</v>
      </c>
      <c r="R1937" s="331" t="str">
        <f t="shared" si="270"/>
        <v/>
      </c>
      <c r="S1937" s="331" t="str">
        <f>IF(D1937="","",IF(OR(D1937=Plano!$A$1,D1937=Plano!$B$1),"entrada","saída"))</f>
        <v/>
      </c>
      <c r="T1937" s="406"/>
      <c r="U1937" s="406"/>
      <c r="V1937" s="269"/>
      <c r="W1937" s="269"/>
      <c r="X1937" s="269"/>
      <c r="Y1937" s="269"/>
      <c r="Z1937" s="269"/>
      <c r="AA1937" s="269"/>
      <c r="AB1937" s="269"/>
      <c r="AC1937" s="269"/>
      <c r="AD1937" s="269"/>
      <c r="AE1937" s="269"/>
      <c r="AF1937" s="269"/>
      <c r="AG1937" s="269"/>
      <c r="AH1937" s="269"/>
      <c r="AI1937" s="269"/>
      <c r="AJ1937" s="269"/>
      <c r="AK1937" s="269"/>
      <c r="AL1937" s="269"/>
      <c r="AM1937" s="269"/>
    </row>
    <row r="1938" spans="1:39" ht="12.75" customHeight="1" x14ac:dyDescent="0.2">
      <c r="A1938" s="289" t="str">
        <f>IF(B1938="","",COUNT('Diário 5º PA'!$A$5:$A$2634)+COUNT('Diário 6º PA'!$A$5:$A$2246)+ROW()-4)</f>
        <v/>
      </c>
      <c r="B1938" s="290"/>
      <c r="C1938" s="357"/>
      <c r="D1938" s="291"/>
      <c r="E1938" s="291"/>
      <c r="F1938" s="292"/>
      <c r="G1938" s="291"/>
      <c r="H1938" s="291"/>
      <c r="I1938" s="293"/>
      <c r="J1938" s="291"/>
      <c r="K1938" s="291"/>
      <c r="L1938" s="293"/>
      <c r="M1938" s="289"/>
      <c r="N1938" s="289"/>
      <c r="O1938" s="358"/>
      <c r="P1938" s="330">
        <f t="shared" si="268"/>
        <v>0</v>
      </c>
      <c r="Q1938" s="330">
        <f t="shared" si="269"/>
        <v>0</v>
      </c>
      <c r="R1938" s="331" t="str">
        <f t="shared" si="270"/>
        <v/>
      </c>
      <c r="S1938" s="331" t="str">
        <f>IF(D1938="","",IF(OR(D1938=Plano!$A$1,D1938=Plano!$B$1),"entrada","saída"))</f>
        <v/>
      </c>
      <c r="T1938" s="406"/>
      <c r="U1938" s="406"/>
      <c r="V1938" s="269"/>
      <c r="W1938" s="269"/>
      <c r="X1938" s="269"/>
      <c r="Y1938" s="269"/>
      <c r="Z1938" s="269"/>
      <c r="AA1938" s="269"/>
      <c r="AB1938" s="269"/>
      <c r="AC1938" s="269"/>
      <c r="AD1938" s="269"/>
      <c r="AE1938" s="269"/>
      <c r="AF1938" s="269"/>
      <c r="AG1938" s="269"/>
      <c r="AH1938" s="269"/>
      <c r="AI1938" s="269"/>
      <c r="AJ1938" s="269"/>
      <c r="AK1938" s="269"/>
      <c r="AL1938" s="269"/>
      <c r="AM1938" s="269"/>
    </row>
    <row r="1939" spans="1:39" ht="12.75" customHeight="1" x14ac:dyDescent="0.2">
      <c r="A1939" s="289" t="str">
        <f>IF(B1939="","",COUNT('Diário 5º PA'!$A$5:$A$2634)+COUNT('Diário 6º PA'!$A$5:$A$2246)+ROW()-4)</f>
        <v/>
      </c>
      <c r="B1939" s="290"/>
      <c r="C1939" s="357"/>
      <c r="D1939" s="291"/>
      <c r="E1939" s="291"/>
      <c r="F1939" s="292"/>
      <c r="G1939" s="291"/>
      <c r="H1939" s="291"/>
      <c r="I1939" s="293"/>
      <c r="J1939" s="291"/>
      <c r="K1939" s="291"/>
      <c r="L1939" s="293"/>
      <c r="M1939" s="289"/>
      <c r="N1939" s="289"/>
      <c r="O1939" s="358"/>
      <c r="P1939" s="330">
        <f t="shared" si="268"/>
        <v>0</v>
      </c>
      <c r="Q1939" s="330">
        <f t="shared" si="269"/>
        <v>0</v>
      </c>
      <c r="R1939" s="331" t="str">
        <f t="shared" si="270"/>
        <v/>
      </c>
      <c r="S1939" s="331" t="str">
        <f>IF(D1939="","",IF(OR(D1939=Plano!$A$1,D1939=Plano!$B$1),"entrada","saída"))</f>
        <v/>
      </c>
      <c r="T1939" s="406"/>
      <c r="U1939" s="406"/>
      <c r="V1939" s="269"/>
      <c r="W1939" s="269"/>
      <c r="X1939" s="269"/>
      <c r="Y1939" s="269"/>
      <c r="Z1939" s="269"/>
      <c r="AA1939" s="269"/>
      <c r="AB1939" s="269"/>
      <c r="AC1939" s="269"/>
      <c r="AD1939" s="269"/>
      <c r="AE1939" s="269"/>
      <c r="AF1939" s="269"/>
      <c r="AG1939" s="269"/>
      <c r="AH1939" s="269"/>
      <c r="AI1939" s="269"/>
      <c r="AJ1939" s="269"/>
      <c r="AK1939" s="269"/>
      <c r="AL1939" s="269"/>
      <c r="AM1939" s="269"/>
    </row>
    <row r="1940" spans="1:39" ht="12.75" customHeight="1" x14ac:dyDescent="0.2">
      <c r="A1940" s="289" t="str">
        <f>IF(B1940="","",COUNT('Diário 5º PA'!$A$5:$A$2634)+COUNT('Diário 6º PA'!$A$5:$A$2246)+ROW()-4)</f>
        <v/>
      </c>
      <c r="B1940" s="290"/>
      <c r="C1940" s="357"/>
      <c r="D1940" s="291"/>
      <c r="E1940" s="291"/>
      <c r="F1940" s="292"/>
      <c r="G1940" s="291"/>
      <c r="H1940" s="291"/>
      <c r="I1940" s="293"/>
      <c r="J1940" s="291"/>
      <c r="K1940" s="291"/>
      <c r="L1940" s="293"/>
      <c r="M1940" s="289"/>
      <c r="N1940" s="289"/>
      <c r="O1940" s="358"/>
      <c r="P1940" s="330">
        <f t="shared" si="268"/>
        <v>0</v>
      </c>
      <c r="Q1940" s="330">
        <f t="shared" si="269"/>
        <v>0</v>
      </c>
      <c r="R1940" s="331" t="str">
        <f t="shared" si="270"/>
        <v/>
      </c>
      <c r="S1940" s="331" t="str">
        <f>IF(D1940="","",IF(OR(D1940=Plano!$A$1,D1940=Plano!$B$1),"entrada","saída"))</f>
        <v/>
      </c>
      <c r="T1940" s="406"/>
      <c r="U1940" s="406"/>
      <c r="V1940" s="269"/>
      <c r="W1940" s="269"/>
      <c r="X1940" s="269"/>
      <c r="Y1940" s="269"/>
      <c r="Z1940" s="269"/>
      <c r="AA1940" s="269"/>
      <c r="AB1940" s="269"/>
      <c r="AC1940" s="269"/>
      <c r="AD1940" s="269"/>
      <c r="AE1940" s="269"/>
      <c r="AF1940" s="269"/>
      <c r="AG1940" s="269"/>
      <c r="AH1940" s="269"/>
      <c r="AI1940" s="269"/>
      <c r="AJ1940" s="269"/>
      <c r="AK1940" s="269"/>
      <c r="AL1940" s="269"/>
      <c r="AM1940" s="269"/>
    </row>
    <row r="1941" spans="1:39" ht="12.75" customHeight="1" x14ac:dyDescent="0.2">
      <c r="A1941" s="289" t="str">
        <f>IF(B1941="","",COUNT('Diário 5º PA'!$A$5:$A$2634)+COUNT('Diário 6º PA'!$A$5:$A$2246)+ROW()-4)</f>
        <v/>
      </c>
      <c r="B1941" s="290"/>
      <c r="C1941" s="357"/>
      <c r="D1941" s="291"/>
      <c r="E1941" s="291"/>
      <c r="F1941" s="292"/>
      <c r="G1941" s="291"/>
      <c r="H1941" s="291"/>
      <c r="I1941" s="293"/>
      <c r="J1941" s="291"/>
      <c r="K1941" s="291"/>
      <c r="L1941" s="293"/>
      <c r="M1941" s="289"/>
      <c r="N1941" s="289"/>
      <c r="O1941" s="358"/>
      <c r="P1941" s="330">
        <f t="shared" si="268"/>
        <v>0</v>
      </c>
      <c r="Q1941" s="330">
        <f t="shared" si="269"/>
        <v>0</v>
      </c>
      <c r="R1941" s="331" t="str">
        <f t="shared" si="270"/>
        <v/>
      </c>
      <c r="S1941" s="331" t="str">
        <f>IF(D1941="","",IF(OR(D1941=Plano!$A$1,D1941=Plano!$B$1),"entrada","saída"))</f>
        <v/>
      </c>
      <c r="T1941" s="406"/>
      <c r="U1941" s="406"/>
      <c r="V1941" s="269"/>
      <c r="W1941" s="269"/>
      <c r="X1941" s="269"/>
      <c r="Y1941" s="269"/>
      <c r="Z1941" s="269"/>
      <c r="AA1941" s="269"/>
      <c r="AB1941" s="269"/>
      <c r="AC1941" s="269"/>
      <c r="AD1941" s="269"/>
      <c r="AE1941" s="269"/>
      <c r="AF1941" s="269"/>
      <c r="AG1941" s="269"/>
      <c r="AH1941" s="269"/>
      <c r="AI1941" s="269"/>
      <c r="AJ1941" s="269"/>
      <c r="AK1941" s="269"/>
      <c r="AL1941" s="269"/>
      <c r="AM1941" s="269"/>
    </row>
    <row r="1942" spans="1:39" ht="12.75" customHeight="1" x14ac:dyDescent="0.2">
      <c r="A1942" s="289" t="str">
        <f>IF(B1942="","",COUNT('Diário 5º PA'!$A$5:$A$2634)+COUNT('Diário 6º PA'!$A$5:$A$2246)+ROW()-4)</f>
        <v/>
      </c>
      <c r="B1942" s="290"/>
      <c r="C1942" s="357"/>
      <c r="D1942" s="291"/>
      <c r="E1942" s="291"/>
      <c r="F1942" s="292"/>
      <c r="G1942" s="291"/>
      <c r="H1942" s="291"/>
      <c r="I1942" s="293"/>
      <c r="J1942" s="291"/>
      <c r="K1942" s="291"/>
      <c r="L1942" s="293"/>
      <c r="M1942" s="289"/>
      <c r="N1942" s="289"/>
      <c r="O1942" s="358"/>
      <c r="P1942" s="330">
        <f t="shared" si="268"/>
        <v>0</v>
      </c>
      <c r="Q1942" s="330">
        <f t="shared" si="269"/>
        <v>0</v>
      </c>
      <c r="R1942" s="331" t="str">
        <f t="shared" si="270"/>
        <v/>
      </c>
      <c r="S1942" s="331" t="str">
        <f>IF(D1942="","",IF(OR(D1942=Plano!$A$1,D1942=Plano!$B$1),"entrada","saída"))</f>
        <v/>
      </c>
      <c r="T1942" s="406"/>
      <c r="U1942" s="406"/>
      <c r="V1942" s="269"/>
      <c r="W1942" s="269"/>
      <c r="X1942" s="269"/>
      <c r="Y1942" s="269"/>
      <c r="Z1942" s="269"/>
      <c r="AA1942" s="269"/>
      <c r="AB1942" s="269"/>
      <c r="AC1942" s="269"/>
      <c r="AD1942" s="269"/>
      <c r="AE1942" s="269"/>
      <c r="AF1942" s="269"/>
      <c r="AG1942" s="269"/>
      <c r="AH1942" s="269"/>
      <c r="AI1942" s="269"/>
      <c r="AJ1942" s="269"/>
      <c r="AK1942" s="269"/>
      <c r="AL1942" s="269"/>
      <c r="AM1942" s="269"/>
    </row>
    <row r="1943" spans="1:39" ht="12.75" customHeight="1" x14ac:dyDescent="0.2">
      <c r="A1943" s="289" t="str">
        <f>IF(B1943="","",COUNT('Diário 5º PA'!$A$5:$A$2634)+COUNT('Diário 6º PA'!$A$5:$A$2246)+ROW()-4)</f>
        <v/>
      </c>
      <c r="B1943" s="290"/>
      <c r="C1943" s="357"/>
      <c r="D1943" s="291"/>
      <c r="E1943" s="291"/>
      <c r="F1943" s="292"/>
      <c r="G1943" s="291"/>
      <c r="H1943" s="291"/>
      <c r="I1943" s="293"/>
      <c r="J1943" s="291"/>
      <c r="K1943" s="291"/>
      <c r="L1943" s="293"/>
      <c r="M1943" s="289"/>
      <c r="N1943" s="289"/>
      <c r="O1943" s="358"/>
      <c r="P1943" s="330">
        <f t="shared" si="268"/>
        <v>0</v>
      </c>
      <c r="Q1943" s="330">
        <f t="shared" si="269"/>
        <v>0</v>
      </c>
      <c r="R1943" s="331" t="str">
        <f t="shared" si="270"/>
        <v/>
      </c>
      <c r="S1943" s="331" t="str">
        <f>IF(D1943="","",IF(OR(D1943=Plano!$A$1,D1943=Plano!$B$1),"entrada","saída"))</f>
        <v/>
      </c>
      <c r="T1943" s="406"/>
      <c r="U1943" s="406"/>
      <c r="V1943" s="269"/>
      <c r="W1943" s="269"/>
      <c r="X1943" s="269"/>
      <c r="Y1943" s="269"/>
      <c r="Z1943" s="269"/>
      <c r="AA1943" s="269"/>
      <c r="AB1943" s="269"/>
      <c r="AC1943" s="269"/>
      <c r="AD1943" s="269"/>
      <c r="AE1943" s="269"/>
      <c r="AF1943" s="269"/>
      <c r="AG1943" s="269"/>
      <c r="AH1943" s="269"/>
      <c r="AI1943" s="269"/>
      <c r="AJ1943" s="269"/>
      <c r="AK1943" s="269"/>
      <c r="AL1943" s="269"/>
      <c r="AM1943" s="269"/>
    </row>
    <row r="1944" spans="1:39" ht="12.75" customHeight="1" x14ac:dyDescent="0.2">
      <c r="A1944" s="289" t="str">
        <f>IF(B1944="","",COUNT('Diário 5º PA'!$A$5:$A$2634)+COUNT('Diário 6º PA'!$A$5:$A$2246)+ROW()-4)</f>
        <v/>
      </c>
      <c r="B1944" s="290"/>
      <c r="C1944" s="357"/>
      <c r="D1944" s="291"/>
      <c r="E1944" s="291"/>
      <c r="F1944" s="292"/>
      <c r="G1944" s="291"/>
      <c r="H1944" s="291"/>
      <c r="I1944" s="293"/>
      <c r="J1944" s="291"/>
      <c r="K1944" s="291"/>
      <c r="L1944" s="293"/>
      <c r="M1944" s="289"/>
      <c r="N1944" s="289"/>
      <c r="O1944" s="358"/>
      <c r="P1944" s="330">
        <f t="shared" si="268"/>
        <v>0</v>
      </c>
      <c r="Q1944" s="330">
        <f t="shared" si="269"/>
        <v>0</v>
      </c>
      <c r="R1944" s="331" t="str">
        <f t="shared" si="270"/>
        <v/>
      </c>
      <c r="S1944" s="331" t="str">
        <f>IF(D1944="","",IF(OR(D1944=Plano!$A$1,D1944=Plano!$B$1),"entrada","saída"))</f>
        <v/>
      </c>
      <c r="T1944" s="406"/>
      <c r="U1944" s="406"/>
      <c r="V1944" s="269"/>
      <c r="W1944" s="269"/>
      <c r="X1944" s="269"/>
      <c r="Y1944" s="269"/>
      <c r="Z1944" s="269"/>
      <c r="AA1944" s="269"/>
      <c r="AB1944" s="269"/>
      <c r="AC1944" s="269"/>
      <c r="AD1944" s="269"/>
      <c r="AE1944" s="269"/>
      <c r="AF1944" s="269"/>
      <c r="AG1944" s="269"/>
      <c r="AH1944" s="269"/>
      <c r="AI1944" s="269"/>
      <c r="AJ1944" s="269"/>
      <c r="AK1944" s="269"/>
      <c r="AL1944" s="269"/>
      <c r="AM1944" s="269"/>
    </row>
    <row r="1945" spans="1:39" ht="12.75" customHeight="1" x14ac:dyDescent="0.2">
      <c r="A1945" s="289" t="str">
        <f>IF(B1945="","",COUNT('Diário 5º PA'!$A$5:$A$2634)+COUNT('Diário 6º PA'!$A$5:$A$2246)+ROW()-4)</f>
        <v/>
      </c>
      <c r="B1945" s="290"/>
      <c r="C1945" s="357"/>
      <c r="D1945" s="291"/>
      <c r="E1945" s="291"/>
      <c r="F1945" s="292"/>
      <c r="G1945" s="291"/>
      <c r="H1945" s="291"/>
      <c r="I1945" s="293"/>
      <c r="J1945" s="291"/>
      <c r="K1945" s="291"/>
      <c r="L1945" s="293"/>
      <c r="M1945" s="289"/>
      <c r="N1945" s="289"/>
      <c r="O1945" s="358"/>
      <c r="P1945" s="330">
        <f t="shared" si="268"/>
        <v>0</v>
      </c>
      <c r="Q1945" s="330">
        <f t="shared" si="269"/>
        <v>0</v>
      </c>
      <c r="R1945" s="331" t="str">
        <f t="shared" si="270"/>
        <v/>
      </c>
      <c r="S1945" s="331" t="str">
        <f>IF(D1945="","",IF(OR(D1945=Plano!$A$1,D1945=Plano!$B$1),"entrada","saída"))</f>
        <v/>
      </c>
      <c r="T1945" s="406"/>
      <c r="U1945" s="406"/>
      <c r="V1945" s="269"/>
      <c r="W1945" s="269"/>
      <c r="X1945" s="269"/>
      <c r="Y1945" s="269"/>
      <c r="Z1945" s="269"/>
      <c r="AA1945" s="269"/>
      <c r="AB1945" s="269"/>
      <c r="AC1945" s="269"/>
      <c r="AD1945" s="269"/>
      <c r="AE1945" s="269"/>
      <c r="AF1945" s="269"/>
      <c r="AG1945" s="269"/>
      <c r="AH1945" s="269"/>
      <c r="AI1945" s="269"/>
      <c r="AJ1945" s="269"/>
      <c r="AK1945" s="269"/>
      <c r="AL1945" s="269"/>
      <c r="AM1945" s="269"/>
    </row>
    <row r="1946" spans="1:39" ht="12.75" customHeight="1" x14ac:dyDescent="0.2">
      <c r="A1946" s="289" t="str">
        <f>IF(B1946="","",COUNT('Diário 5º PA'!$A$5:$A$2634)+COUNT('Diário 6º PA'!$A$5:$A$2246)+ROW()-4)</f>
        <v/>
      </c>
      <c r="B1946" s="290"/>
      <c r="C1946" s="357"/>
      <c r="D1946" s="291"/>
      <c r="E1946" s="291"/>
      <c r="F1946" s="292"/>
      <c r="G1946" s="291"/>
      <c r="H1946" s="291"/>
      <c r="I1946" s="293"/>
      <c r="J1946" s="291"/>
      <c r="K1946" s="291"/>
      <c r="L1946" s="293"/>
      <c r="M1946" s="289"/>
      <c r="N1946" s="289"/>
      <c r="O1946" s="358"/>
      <c r="P1946" s="330">
        <f t="shared" si="268"/>
        <v>0</v>
      </c>
      <c r="Q1946" s="330">
        <f t="shared" si="269"/>
        <v>0</v>
      </c>
      <c r="R1946" s="331" t="str">
        <f t="shared" si="270"/>
        <v/>
      </c>
      <c r="S1946" s="331" t="str">
        <f>IF(D1946="","",IF(OR(D1946=Plano!$A$1,D1946=Plano!$B$1),"entrada","saída"))</f>
        <v/>
      </c>
      <c r="T1946" s="406"/>
      <c r="U1946" s="406"/>
      <c r="V1946" s="269"/>
      <c r="W1946" s="269"/>
      <c r="X1946" s="269"/>
      <c r="Y1946" s="269"/>
      <c r="Z1946" s="269"/>
      <c r="AA1946" s="269"/>
      <c r="AB1946" s="269"/>
      <c r="AC1946" s="269"/>
      <c r="AD1946" s="269"/>
      <c r="AE1946" s="269"/>
      <c r="AF1946" s="269"/>
      <c r="AG1946" s="269"/>
      <c r="AH1946" s="269"/>
      <c r="AI1946" s="269"/>
      <c r="AJ1946" s="269"/>
      <c r="AK1946" s="269"/>
      <c r="AL1946" s="269"/>
      <c r="AM1946" s="269"/>
    </row>
    <row r="1947" spans="1:39" ht="12.75" customHeight="1" x14ac:dyDescent="0.2">
      <c r="A1947" s="289" t="str">
        <f>IF(B1947="","",COUNT('Diário 5º PA'!$A$5:$A$2634)+COUNT('Diário 6º PA'!$A$5:$A$2246)+ROW()-4)</f>
        <v/>
      </c>
      <c r="B1947" s="290"/>
      <c r="C1947" s="357"/>
      <c r="D1947" s="291"/>
      <c r="E1947" s="291"/>
      <c r="F1947" s="292"/>
      <c r="G1947" s="291"/>
      <c r="H1947" s="291"/>
      <c r="I1947" s="293"/>
      <c r="J1947" s="291"/>
      <c r="K1947" s="291"/>
      <c r="L1947" s="293"/>
      <c r="M1947" s="289"/>
      <c r="N1947" s="289"/>
      <c r="O1947" s="358"/>
      <c r="P1947" s="330">
        <f t="shared" si="268"/>
        <v>0</v>
      </c>
      <c r="Q1947" s="330">
        <f t="shared" si="269"/>
        <v>0</v>
      </c>
      <c r="R1947" s="331" t="str">
        <f t="shared" si="270"/>
        <v/>
      </c>
      <c r="S1947" s="331" t="str">
        <f>IF(D1947="","",IF(OR(D1947=Plano!$A$1,D1947=Plano!$B$1),"entrada","saída"))</f>
        <v/>
      </c>
      <c r="T1947" s="406"/>
      <c r="U1947" s="406"/>
      <c r="V1947" s="269"/>
      <c r="W1947" s="269"/>
      <c r="X1947" s="269"/>
      <c r="Y1947" s="269"/>
      <c r="Z1947" s="269"/>
      <c r="AA1947" s="269"/>
      <c r="AB1947" s="269"/>
      <c r="AC1947" s="269"/>
      <c r="AD1947" s="269"/>
      <c r="AE1947" s="269"/>
      <c r="AF1947" s="269"/>
      <c r="AG1947" s="269"/>
      <c r="AH1947" s="269"/>
      <c r="AI1947" s="269"/>
      <c r="AJ1947" s="269"/>
      <c r="AK1947" s="269"/>
      <c r="AL1947" s="269"/>
      <c r="AM1947" s="269"/>
    </row>
    <row r="1948" spans="1:39" ht="12.75" customHeight="1" x14ac:dyDescent="0.2">
      <c r="A1948" s="289" t="str">
        <f>IF(B1948="","",COUNT('Diário 5º PA'!$A$5:$A$2634)+COUNT('Diário 6º PA'!$A$5:$A$2246)+ROW()-4)</f>
        <v/>
      </c>
      <c r="B1948" s="290"/>
      <c r="C1948" s="357"/>
      <c r="D1948" s="291"/>
      <c r="E1948" s="291"/>
      <c r="F1948" s="292"/>
      <c r="G1948" s="291"/>
      <c r="H1948" s="291"/>
      <c r="I1948" s="293"/>
      <c r="J1948" s="291"/>
      <c r="K1948" s="291"/>
      <c r="L1948" s="293"/>
      <c r="M1948" s="289"/>
      <c r="N1948" s="289"/>
      <c r="O1948" s="358"/>
      <c r="P1948" s="330">
        <f t="shared" si="268"/>
        <v>0</v>
      </c>
      <c r="Q1948" s="330">
        <f t="shared" si="269"/>
        <v>0</v>
      </c>
      <c r="R1948" s="331" t="str">
        <f t="shared" si="270"/>
        <v/>
      </c>
      <c r="S1948" s="331" t="str">
        <f>IF(D1948="","",IF(OR(D1948=Plano!$A$1,D1948=Plano!$B$1),"entrada","saída"))</f>
        <v/>
      </c>
      <c r="T1948" s="406"/>
      <c r="U1948" s="406"/>
      <c r="V1948" s="269"/>
      <c r="W1948" s="269"/>
      <c r="X1948" s="269"/>
      <c r="Y1948" s="269"/>
      <c r="Z1948" s="269"/>
      <c r="AA1948" s="269"/>
      <c r="AB1948" s="269"/>
      <c r="AC1948" s="269"/>
      <c r="AD1948" s="269"/>
      <c r="AE1948" s="269"/>
      <c r="AF1948" s="269"/>
      <c r="AG1948" s="269"/>
      <c r="AH1948" s="269"/>
      <c r="AI1948" s="269"/>
      <c r="AJ1948" s="269"/>
      <c r="AK1948" s="269"/>
      <c r="AL1948" s="269"/>
      <c r="AM1948" s="269"/>
    </row>
    <row r="1949" spans="1:39" ht="12.75" customHeight="1" x14ac:dyDescent="0.2">
      <c r="A1949" s="289" t="str">
        <f>IF(B1949="","",COUNT('Diário 5º PA'!$A$5:$A$2634)+COUNT('Diário 6º PA'!$A$5:$A$2246)+ROW()-4)</f>
        <v/>
      </c>
      <c r="B1949" s="290"/>
      <c r="C1949" s="357"/>
      <c r="D1949" s="291"/>
      <c r="E1949" s="291"/>
      <c r="F1949" s="292"/>
      <c r="G1949" s="291"/>
      <c r="H1949" s="291"/>
      <c r="I1949" s="293"/>
      <c r="J1949" s="291"/>
      <c r="K1949" s="291"/>
      <c r="L1949" s="293"/>
      <c r="M1949" s="289"/>
      <c r="N1949" s="289"/>
      <c r="O1949" s="358"/>
      <c r="P1949" s="330">
        <f t="shared" si="268"/>
        <v>0</v>
      </c>
      <c r="Q1949" s="330">
        <f t="shared" si="269"/>
        <v>0</v>
      </c>
      <c r="R1949" s="331" t="str">
        <f t="shared" si="270"/>
        <v/>
      </c>
      <c r="S1949" s="331" t="str">
        <f>IF(D1949="","",IF(OR(D1949=Plano!$A$1,D1949=Plano!$B$1),"entrada","saída"))</f>
        <v/>
      </c>
      <c r="T1949" s="406"/>
      <c r="U1949" s="406"/>
      <c r="V1949" s="269"/>
      <c r="W1949" s="269"/>
      <c r="X1949" s="269"/>
      <c r="Y1949" s="269"/>
      <c r="Z1949" s="269"/>
      <c r="AA1949" s="269"/>
      <c r="AB1949" s="269"/>
      <c r="AC1949" s="269"/>
      <c r="AD1949" s="269"/>
      <c r="AE1949" s="269"/>
      <c r="AF1949" s="269"/>
      <c r="AG1949" s="269"/>
      <c r="AH1949" s="269"/>
      <c r="AI1949" s="269"/>
      <c r="AJ1949" s="269"/>
      <c r="AK1949" s="269"/>
      <c r="AL1949" s="269"/>
      <c r="AM1949" s="269"/>
    </row>
    <row r="1950" spans="1:39" ht="12.75" customHeight="1" x14ac:dyDescent="0.2">
      <c r="A1950" s="289" t="str">
        <f>IF(B1950="","",COUNT('Diário 5º PA'!$A$5:$A$2634)+COUNT('Diário 6º PA'!$A$5:$A$2246)+ROW()-4)</f>
        <v/>
      </c>
      <c r="B1950" s="290"/>
      <c r="C1950" s="357"/>
      <c r="D1950" s="291"/>
      <c r="E1950" s="291"/>
      <c r="F1950" s="292"/>
      <c r="G1950" s="291"/>
      <c r="H1950" s="291"/>
      <c r="I1950" s="293"/>
      <c r="J1950" s="291"/>
      <c r="K1950" s="291"/>
      <c r="L1950" s="293"/>
      <c r="M1950" s="289"/>
      <c r="N1950" s="289"/>
      <c r="O1950" s="358"/>
      <c r="P1950" s="330">
        <f t="shared" si="268"/>
        <v>0</v>
      </c>
      <c r="Q1950" s="330">
        <f t="shared" si="269"/>
        <v>0</v>
      </c>
      <c r="R1950" s="331" t="str">
        <f t="shared" si="270"/>
        <v/>
      </c>
      <c r="S1950" s="331" t="str">
        <f>IF(D1950="","",IF(OR(D1950=Plano!$A$1,D1950=Plano!$B$1),"entrada","saída"))</f>
        <v/>
      </c>
      <c r="T1950" s="406"/>
      <c r="U1950" s="406"/>
      <c r="V1950" s="269"/>
      <c r="W1950" s="269"/>
      <c r="X1950" s="269"/>
      <c r="Y1950" s="269"/>
      <c r="Z1950" s="269"/>
      <c r="AA1950" s="269"/>
      <c r="AB1950" s="269"/>
      <c r="AC1950" s="269"/>
      <c r="AD1950" s="269"/>
      <c r="AE1950" s="269"/>
      <c r="AF1950" s="269"/>
      <c r="AG1950" s="269"/>
      <c r="AH1950" s="269"/>
      <c r="AI1950" s="269"/>
      <c r="AJ1950" s="269"/>
      <c r="AK1950" s="269"/>
      <c r="AL1950" s="269"/>
      <c r="AM1950" s="269"/>
    </row>
    <row r="1951" spans="1:39" ht="12.75" customHeight="1" x14ac:dyDescent="0.2">
      <c r="A1951" s="289" t="str">
        <f>IF(B1951="","",COUNT('Diário 5º PA'!$A$5:$A$2634)+COUNT('Diário 6º PA'!$A$5:$A$2246)+ROW()-4)</f>
        <v/>
      </c>
      <c r="B1951" s="290"/>
      <c r="C1951" s="357"/>
      <c r="D1951" s="291"/>
      <c r="E1951" s="291"/>
      <c r="F1951" s="292"/>
      <c r="G1951" s="291"/>
      <c r="H1951" s="291"/>
      <c r="I1951" s="293"/>
      <c r="J1951" s="291"/>
      <c r="K1951" s="291"/>
      <c r="L1951" s="293"/>
      <c r="M1951" s="289"/>
      <c r="N1951" s="289"/>
      <c r="O1951" s="358"/>
      <c r="P1951" s="330">
        <f t="shared" si="268"/>
        <v>0</v>
      </c>
      <c r="Q1951" s="330">
        <f t="shared" si="269"/>
        <v>0</v>
      </c>
      <c r="R1951" s="331" t="str">
        <f t="shared" si="270"/>
        <v/>
      </c>
      <c r="S1951" s="331" t="str">
        <f>IF(D1951="","",IF(OR(D1951=Plano!$A$1,D1951=Plano!$B$1),"entrada","saída"))</f>
        <v/>
      </c>
      <c r="T1951" s="406"/>
      <c r="U1951" s="406"/>
      <c r="V1951" s="269"/>
      <c r="W1951" s="269"/>
      <c r="X1951" s="269"/>
      <c r="Y1951" s="269"/>
      <c r="Z1951" s="269"/>
      <c r="AA1951" s="269"/>
      <c r="AB1951" s="269"/>
      <c r="AC1951" s="269"/>
      <c r="AD1951" s="269"/>
      <c r="AE1951" s="269"/>
      <c r="AF1951" s="269"/>
      <c r="AG1951" s="269"/>
      <c r="AH1951" s="269"/>
      <c r="AI1951" s="269"/>
      <c r="AJ1951" s="269"/>
      <c r="AK1951" s="269"/>
      <c r="AL1951" s="269"/>
      <c r="AM1951" s="269"/>
    </row>
    <row r="1952" spans="1:39" ht="12.75" customHeight="1" x14ac:dyDescent="0.2">
      <c r="A1952" s="289" t="str">
        <f>IF(B1952="","",COUNT('Diário 5º PA'!$A$5:$A$2634)+COUNT('Diário 6º PA'!$A$5:$A$2246)+ROW()-4)</f>
        <v/>
      </c>
      <c r="B1952" s="290"/>
      <c r="C1952" s="357"/>
      <c r="D1952" s="291"/>
      <c r="E1952" s="291"/>
      <c r="F1952" s="292"/>
      <c r="G1952" s="291"/>
      <c r="H1952" s="291"/>
      <c r="I1952" s="293"/>
      <c r="J1952" s="291"/>
      <c r="K1952" s="291"/>
      <c r="L1952" s="293"/>
      <c r="M1952" s="289"/>
      <c r="N1952" s="289"/>
      <c r="O1952" s="358"/>
      <c r="P1952" s="330">
        <f t="shared" si="268"/>
        <v>0</v>
      </c>
      <c r="Q1952" s="330">
        <f t="shared" si="269"/>
        <v>0</v>
      </c>
      <c r="R1952" s="331" t="str">
        <f t="shared" si="270"/>
        <v/>
      </c>
      <c r="S1952" s="331" t="str">
        <f>IF(D1952="","",IF(OR(D1952=Plano!$A$1,D1952=Plano!$B$1),"entrada","saída"))</f>
        <v/>
      </c>
      <c r="T1952" s="406"/>
      <c r="U1952" s="406"/>
      <c r="V1952" s="269"/>
      <c r="W1952" s="269"/>
      <c r="X1952" s="269"/>
      <c r="Y1952" s="269"/>
      <c r="Z1952" s="269"/>
      <c r="AA1952" s="269"/>
      <c r="AB1952" s="269"/>
      <c r="AC1952" s="269"/>
      <c r="AD1952" s="269"/>
      <c r="AE1952" s="269"/>
      <c r="AF1952" s="269"/>
      <c r="AG1952" s="269"/>
      <c r="AH1952" s="269"/>
      <c r="AI1952" s="269"/>
      <c r="AJ1952" s="269"/>
      <c r="AK1952" s="269"/>
      <c r="AL1952" s="269"/>
      <c r="AM1952" s="269"/>
    </row>
    <row r="1953" spans="1:39" ht="12.75" customHeight="1" x14ac:dyDescent="0.2">
      <c r="A1953" s="289" t="str">
        <f>IF(B1953="","",COUNT('Diário 5º PA'!$A$5:$A$2634)+COUNT('Diário 6º PA'!$A$5:$A$2246)+ROW()-4)</f>
        <v/>
      </c>
      <c r="B1953" s="290"/>
      <c r="C1953" s="357"/>
      <c r="D1953" s="291"/>
      <c r="E1953" s="291"/>
      <c r="F1953" s="292"/>
      <c r="G1953" s="291"/>
      <c r="H1953" s="291"/>
      <c r="I1953" s="293"/>
      <c r="J1953" s="291"/>
      <c r="K1953" s="291"/>
      <c r="L1953" s="293"/>
      <c r="M1953" s="289"/>
      <c r="N1953" s="289"/>
      <c r="O1953" s="358"/>
      <c r="P1953" s="330">
        <f t="shared" si="268"/>
        <v>0</v>
      </c>
      <c r="Q1953" s="330">
        <f t="shared" si="269"/>
        <v>0</v>
      </c>
      <c r="R1953" s="331" t="str">
        <f t="shared" si="270"/>
        <v/>
      </c>
      <c r="S1953" s="331" t="str">
        <f>IF(D1953="","",IF(OR(D1953=Plano!$A$1,D1953=Plano!$B$1),"entrada","saída"))</f>
        <v/>
      </c>
      <c r="T1953" s="406"/>
      <c r="U1953" s="406"/>
      <c r="V1953" s="269"/>
      <c r="W1953" s="269"/>
      <c r="X1953" s="269"/>
      <c r="Y1953" s="269"/>
      <c r="Z1953" s="269"/>
      <c r="AA1953" s="269"/>
      <c r="AB1953" s="269"/>
      <c r="AC1953" s="269"/>
      <c r="AD1953" s="269"/>
      <c r="AE1953" s="269"/>
      <c r="AF1953" s="269"/>
      <c r="AG1953" s="269"/>
      <c r="AH1953" s="269"/>
      <c r="AI1953" s="269"/>
      <c r="AJ1953" s="269"/>
      <c r="AK1953" s="269"/>
      <c r="AL1953" s="269"/>
      <c r="AM1953" s="269"/>
    </row>
    <row r="1954" spans="1:39" ht="12.75" customHeight="1" x14ac:dyDescent="0.2">
      <c r="A1954" s="289" t="str">
        <f>IF(B1954="","",COUNT('Diário 5º PA'!$A$5:$A$2634)+COUNT('Diário 6º PA'!$A$5:$A$2246)+ROW()-4)</f>
        <v/>
      </c>
      <c r="B1954" s="290"/>
      <c r="C1954" s="357"/>
      <c r="D1954" s="291"/>
      <c r="E1954" s="291"/>
      <c r="F1954" s="292"/>
      <c r="G1954" s="291"/>
      <c r="H1954" s="291"/>
      <c r="I1954" s="293"/>
      <c r="J1954" s="291"/>
      <c r="K1954" s="291"/>
      <c r="L1954" s="293"/>
      <c r="M1954" s="289"/>
      <c r="N1954" s="289"/>
      <c r="O1954" s="358"/>
      <c r="P1954" s="330">
        <f t="shared" si="268"/>
        <v>0</v>
      </c>
      <c r="Q1954" s="330">
        <f t="shared" si="269"/>
        <v>0</v>
      </c>
      <c r="R1954" s="331" t="str">
        <f t="shared" si="270"/>
        <v/>
      </c>
      <c r="S1954" s="331" t="str">
        <f>IF(D1954="","",IF(OR(D1954=Plano!$A$1,D1954=Plano!$B$1),"entrada","saída"))</f>
        <v/>
      </c>
      <c r="T1954" s="406"/>
      <c r="U1954" s="406"/>
      <c r="V1954" s="269"/>
      <c r="W1954" s="269"/>
      <c r="X1954" s="269"/>
      <c r="Y1954" s="269"/>
      <c r="Z1954" s="269"/>
      <c r="AA1954" s="269"/>
      <c r="AB1954" s="269"/>
      <c r="AC1954" s="269"/>
      <c r="AD1954" s="269"/>
      <c r="AE1954" s="269"/>
      <c r="AF1954" s="269"/>
      <c r="AG1954" s="269"/>
      <c r="AH1954" s="269"/>
      <c r="AI1954" s="269"/>
      <c r="AJ1954" s="269"/>
      <c r="AK1954" s="269"/>
      <c r="AL1954" s="269"/>
      <c r="AM1954" s="269"/>
    </row>
    <row r="1955" spans="1:39" ht="12.75" customHeight="1" x14ac:dyDescent="0.2">
      <c r="A1955" s="289" t="str">
        <f>IF(B1955="","",COUNT('Diário 5º PA'!$A$5:$A$2634)+COUNT('Diário 6º PA'!$A$5:$A$2246)+ROW()-4)</f>
        <v/>
      </c>
      <c r="B1955" s="290"/>
      <c r="C1955" s="357"/>
      <c r="D1955" s="291"/>
      <c r="E1955" s="291"/>
      <c r="F1955" s="292"/>
      <c r="G1955" s="291"/>
      <c r="H1955" s="291"/>
      <c r="I1955" s="293"/>
      <c r="J1955" s="291"/>
      <c r="K1955" s="291"/>
      <c r="L1955" s="293"/>
      <c r="M1955" s="289"/>
      <c r="N1955" s="289"/>
      <c r="O1955" s="358"/>
      <c r="P1955" s="330">
        <f t="shared" si="268"/>
        <v>0</v>
      </c>
      <c r="Q1955" s="330">
        <f t="shared" si="269"/>
        <v>0</v>
      </c>
      <c r="R1955" s="331" t="str">
        <f t="shared" si="270"/>
        <v/>
      </c>
      <c r="S1955" s="331" t="str">
        <f>IF(D1955="","",IF(OR(D1955=Plano!$A$1,D1955=Plano!$B$1),"entrada","saída"))</f>
        <v/>
      </c>
      <c r="T1955" s="406"/>
      <c r="U1955" s="406"/>
      <c r="V1955" s="269"/>
      <c r="W1955" s="269"/>
      <c r="X1955" s="269"/>
      <c r="Y1955" s="269"/>
      <c r="Z1955" s="269"/>
      <c r="AA1955" s="269"/>
      <c r="AB1955" s="269"/>
      <c r="AC1955" s="269"/>
      <c r="AD1955" s="269"/>
      <c r="AE1955" s="269"/>
      <c r="AF1955" s="269"/>
      <c r="AG1955" s="269"/>
      <c r="AH1955" s="269"/>
      <c r="AI1955" s="269"/>
      <c r="AJ1955" s="269"/>
      <c r="AK1955" s="269"/>
      <c r="AL1955" s="269"/>
      <c r="AM1955" s="269"/>
    </row>
    <row r="1956" spans="1:39" ht="12.75" customHeight="1" x14ac:dyDescent="0.2">
      <c r="A1956" s="289" t="str">
        <f>IF(B1956="","",COUNT('Diário 5º PA'!$A$5:$A$2634)+COUNT('Diário 6º PA'!$A$5:$A$2246)+ROW()-4)</f>
        <v/>
      </c>
      <c r="B1956" s="290"/>
      <c r="C1956" s="357"/>
      <c r="D1956" s="291"/>
      <c r="E1956" s="291"/>
      <c r="F1956" s="292"/>
      <c r="G1956" s="291"/>
      <c r="H1956" s="291"/>
      <c r="I1956" s="293"/>
      <c r="J1956" s="291"/>
      <c r="K1956" s="291"/>
      <c r="L1956" s="293"/>
      <c r="M1956" s="289"/>
      <c r="N1956" s="289"/>
      <c r="O1956" s="358"/>
      <c r="P1956" s="330">
        <f t="shared" si="268"/>
        <v>0</v>
      </c>
      <c r="Q1956" s="330">
        <f t="shared" si="269"/>
        <v>0</v>
      </c>
      <c r="R1956" s="331" t="str">
        <f t="shared" si="270"/>
        <v/>
      </c>
      <c r="S1956" s="331" t="str">
        <f>IF(D1956="","",IF(OR(D1956=Plano!$A$1,D1956=Plano!$B$1),"entrada","saída"))</f>
        <v/>
      </c>
      <c r="T1956" s="406"/>
      <c r="U1956" s="406"/>
      <c r="V1956" s="269"/>
      <c r="W1956" s="269"/>
      <c r="X1956" s="269"/>
      <c r="Y1956" s="269"/>
      <c r="Z1956" s="269"/>
      <c r="AA1956" s="269"/>
      <c r="AB1956" s="269"/>
      <c r="AC1956" s="269"/>
      <c r="AD1956" s="269"/>
      <c r="AE1956" s="269"/>
      <c r="AF1956" s="269"/>
      <c r="AG1956" s="269"/>
      <c r="AH1956" s="269"/>
      <c r="AI1956" s="269"/>
      <c r="AJ1956" s="269"/>
      <c r="AK1956" s="269"/>
      <c r="AL1956" s="269"/>
      <c r="AM1956" s="269"/>
    </row>
    <row r="1957" spans="1:39" ht="12.75" customHeight="1" x14ac:dyDescent="0.2">
      <c r="A1957" s="289" t="str">
        <f>IF(B1957="","",COUNT('Diário 5º PA'!$A$5:$A$2634)+COUNT('Diário 6º PA'!$A$5:$A$2246)+ROW()-4)</f>
        <v/>
      </c>
      <c r="B1957" s="290"/>
      <c r="C1957" s="357"/>
      <c r="D1957" s="291"/>
      <c r="E1957" s="291"/>
      <c r="F1957" s="292"/>
      <c r="G1957" s="291"/>
      <c r="H1957" s="291"/>
      <c r="I1957" s="293"/>
      <c r="J1957" s="291"/>
      <c r="K1957" s="291"/>
      <c r="L1957" s="293"/>
      <c r="M1957" s="289"/>
      <c r="N1957" s="289"/>
      <c r="O1957" s="358"/>
      <c r="P1957" s="330">
        <f t="shared" si="268"/>
        <v>0</v>
      </c>
      <c r="Q1957" s="330">
        <f t="shared" si="269"/>
        <v>0</v>
      </c>
      <c r="R1957" s="331" t="str">
        <f t="shared" si="270"/>
        <v/>
      </c>
      <c r="S1957" s="331" t="str">
        <f>IF(D1957="","",IF(OR(D1957=Plano!$A$1,D1957=Plano!$B$1),"entrada","saída"))</f>
        <v/>
      </c>
      <c r="T1957" s="406"/>
      <c r="U1957" s="406"/>
      <c r="V1957" s="269"/>
      <c r="W1957" s="269"/>
      <c r="X1957" s="269"/>
      <c r="Y1957" s="269"/>
      <c r="Z1957" s="269"/>
      <c r="AA1957" s="269"/>
      <c r="AB1957" s="269"/>
      <c r="AC1957" s="269"/>
      <c r="AD1957" s="269"/>
      <c r="AE1957" s="269"/>
      <c r="AF1957" s="269"/>
      <c r="AG1957" s="269"/>
      <c r="AH1957" s="269"/>
      <c r="AI1957" s="269"/>
      <c r="AJ1957" s="269"/>
      <c r="AK1957" s="269"/>
      <c r="AL1957" s="269"/>
      <c r="AM1957" s="269"/>
    </row>
    <row r="1958" spans="1:39" ht="12.75" customHeight="1" x14ac:dyDescent="0.2">
      <c r="A1958" s="289" t="str">
        <f>IF(B1958="","",COUNT('Diário 5º PA'!$A$5:$A$2634)+COUNT('Diário 6º PA'!$A$5:$A$2246)+ROW()-4)</f>
        <v/>
      </c>
      <c r="B1958" s="290"/>
      <c r="C1958" s="357"/>
      <c r="D1958" s="291"/>
      <c r="E1958" s="291"/>
      <c r="F1958" s="292"/>
      <c r="G1958" s="291"/>
      <c r="H1958" s="291"/>
      <c r="I1958" s="293"/>
      <c r="J1958" s="291"/>
      <c r="K1958" s="291"/>
      <c r="L1958" s="293"/>
      <c r="M1958" s="289"/>
      <c r="N1958" s="289"/>
      <c r="O1958" s="358"/>
      <c r="P1958" s="330">
        <f t="shared" si="268"/>
        <v>0</v>
      </c>
      <c r="Q1958" s="330">
        <f t="shared" si="269"/>
        <v>0</v>
      </c>
      <c r="R1958" s="331" t="str">
        <f t="shared" si="270"/>
        <v/>
      </c>
      <c r="S1958" s="331" t="str">
        <f>IF(D1958="","",IF(OR(D1958=Plano!$A$1,D1958=Plano!$B$1),"entrada","saída"))</f>
        <v/>
      </c>
      <c r="T1958" s="406"/>
      <c r="U1958" s="406"/>
      <c r="V1958" s="269"/>
      <c r="W1958" s="269"/>
      <c r="X1958" s="269"/>
      <c r="Y1958" s="269"/>
      <c r="Z1958" s="269"/>
      <c r="AA1958" s="269"/>
      <c r="AB1958" s="269"/>
      <c r="AC1958" s="269"/>
      <c r="AD1958" s="269"/>
      <c r="AE1958" s="269"/>
      <c r="AF1958" s="269"/>
      <c r="AG1958" s="269"/>
      <c r="AH1958" s="269"/>
      <c r="AI1958" s="269"/>
      <c r="AJ1958" s="269"/>
      <c r="AK1958" s="269"/>
      <c r="AL1958" s="269"/>
      <c r="AM1958" s="269"/>
    </row>
    <row r="1959" spans="1:39" ht="12.75" customHeight="1" x14ac:dyDescent="0.2">
      <c r="A1959" s="289" t="str">
        <f>IF(B1959="","",COUNT('Diário 5º PA'!$A$5:$A$2634)+COUNT('Diário 6º PA'!$A$5:$A$2246)+ROW()-4)</f>
        <v/>
      </c>
      <c r="B1959" s="290"/>
      <c r="C1959" s="357"/>
      <c r="D1959" s="291"/>
      <c r="E1959" s="291"/>
      <c r="F1959" s="292"/>
      <c r="G1959" s="291"/>
      <c r="H1959" s="291"/>
      <c r="I1959" s="293"/>
      <c r="J1959" s="291"/>
      <c r="K1959" s="291"/>
      <c r="L1959" s="293"/>
      <c r="M1959" s="289"/>
      <c r="N1959" s="289"/>
      <c r="O1959" s="358"/>
      <c r="P1959" s="330">
        <f t="shared" si="268"/>
        <v>0</v>
      </c>
      <c r="Q1959" s="330">
        <f t="shared" si="269"/>
        <v>0</v>
      </c>
      <c r="R1959" s="331" t="str">
        <f t="shared" si="270"/>
        <v/>
      </c>
      <c r="S1959" s="331" t="str">
        <f>IF(D1959="","",IF(OR(D1959=Plano!$A$1,D1959=Plano!$B$1),"entrada","saída"))</f>
        <v/>
      </c>
      <c r="T1959" s="406"/>
      <c r="U1959" s="406"/>
      <c r="V1959" s="269"/>
      <c r="W1959" s="269"/>
      <c r="X1959" s="269"/>
      <c r="Y1959" s="269"/>
      <c r="Z1959" s="269"/>
      <c r="AA1959" s="269"/>
      <c r="AB1959" s="269"/>
      <c r="AC1959" s="269"/>
      <c r="AD1959" s="269"/>
      <c r="AE1959" s="269"/>
      <c r="AF1959" s="269"/>
      <c r="AG1959" s="269"/>
      <c r="AH1959" s="269"/>
      <c r="AI1959" s="269"/>
      <c r="AJ1959" s="269"/>
      <c r="AK1959" s="269"/>
      <c r="AL1959" s="269"/>
      <c r="AM1959" s="269"/>
    </row>
    <row r="1960" spans="1:39" ht="12.75" customHeight="1" x14ac:dyDescent="0.2">
      <c r="A1960" s="289" t="str">
        <f>IF(B1960="","",COUNT('Diário 5º PA'!$A$5:$A$2634)+COUNT('Diário 6º PA'!$A$5:$A$2246)+ROW()-4)</f>
        <v/>
      </c>
      <c r="B1960" s="290"/>
      <c r="C1960" s="357"/>
      <c r="D1960" s="291"/>
      <c r="E1960" s="291"/>
      <c r="F1960" s="292"/>
      <c r="G1960" s="291"/>
      <c r="H1960" s="291"/>
      <c r="I1960" s="293"/>
      <c r="J1960" s="291"/>
      <c r="K1960" s="291"/>
      <c r="L1960" s="293"/>
      <c r="M1960" s="289"/>
      <c r="N1960" s="289"/>
      <c r="O1960" s="358"/>
      <c r="P1960" s="330">
        <f t="shared" si="268"/>
        <v>0</v>
      </c>
      <c r="Q1960" s="330">
        <f t="shared" si="269"/>
        <v>0</v>
      </c>
      <c r="R1960" s="331" t="str">
        <f t="shared" si="270"/>
        <v/>
      </c>
      <c r="S1960" s="331" t="str">
        <f>IF(D1960="","",IF(OR(D1960=Plano!$A$1,D1960=Plano!$B$1),"entrada","saída"))</f>
        <v/>
      </c>
      <c r="T1960" s="406"/>
      <c r="U1960" s="406"/>
      <c r="V1960" s="269"/>
      <c r="W1960" s="269"/>
      <c r="X1960" s="269"/>
      <c r="Y1960" s="269"/>
      <c r="Z1960" s="269"/>
      <c r="AA1960" s="269"/>
      <c r="AB1960" s="269"/>
      <c r="AC1960" s="269"/>
      <c r="AD1960" s="269"/>
      <c r="AE1960" s="269"/>
      <c r="AF1960" s="269"/>
      <c r="AG1960" s="269"/>
      <c r="AH1960" s="269"/>
      <c r="AI1960" s="269"/>
      <c r="AJ1960" s="269"/>
      <c r="AK1960" s="269"/>
      <c r="AL1960" s="269"/>
      <c r="AM1960" s="269"/>
    </row>
    <row r="1961" spans="1:39" ht="12.75" customHeight="1" x14ac:dyDescent="0.2">
      <c r="A1961" s="289" t="str">
        <f>IF(B1961="","",COUNT('Diário 5º PA'!$A$5:$A$2634)+COUNT('Diário 6º PA'!$A$5:$A$2246)+ROW()-4)</f>
        <v/>
      </c>
      <c r="B1961" s="290"/>
      <c r="C1961" s="357"/>
      <c r="D1961" s="291"/>
      <c r="E1961" s="291"/>
      <c r="F1961" s="292"/>
      <c r="G1961" s="291"/>
      <c r="H1961" s="291"/>
      <c r="I1961" s="293"/>
      <c r="J1961" s="291"/>
      <c r="K1961" s="291"/>
      <c r="L1961" s="293"/>
      <c r="M1961" s="289"/>
      <c r="N1961" s="289"/>
      <c r="O1961" s="358"/>
      <c r="P1961" s="330">
        <f t="shared" si="268"/>
        <v>0</v>
      </c>
      <c r="Q1961" s="330">
        <f t="shared" si="269"/>
        <v>0</v>
      </c>
      <c r="R1961" s="331" t="str">
        <f t="shared" si="270"/>
        <v/>
      </c>
      <c r="S1961" s="331" t="str">
        <f>IF(D1961="","",IF(OR(D1961=Plano!$A$1,D1961=Plano!$B$1),"entrada","saída"))</f>
        <v/>
      </c>
      <c r="T1961" s="406"/>
      <c r="U1961" s="406"/>
      <c r="V1961" s="269"/>
      <c r="W1961" s="269"/>
      <c r="X1961" s="269"/>
      <c r="Y1961" s="269"/>
      <c r="Z1961" s="269"/>
      <c r="AA1961" s="269"/>
      <c r="AB1961" s="269"/>
      <c r="AC1961" s="269"/>
      <c r="AD1961" s="269"/>
      <c r="AE1961" s="269"/>
      <c r="AF1961" s="269"/>
      <c r="AG1961" s="269"/>
      <c r="AH1961" s="269"/>
      <c r="AI1961" s="269"/>
      <c r="AJ1961" s="269"/>
      <c r="AK1961" s="269"/>
      <c r="AL1961" s="269"/>
      <c r="AM1961" s="269"/>
    </row>
    <row r="1962" spans="1:39" ht="12.75" customHeight="1" x14ac:dyDescent="0.2">
      <c r="A1962" s="289" t="str">
        <f>IF(B1962="","",COUNT('Diário 5º PA'!$A$5:$A$2634)+COUNT('Diário 6º PA'!$A$5:$A$2246)+ROW()-4)</f>
        <v/>
      </c>
      <c r="B1962" s="290"/>
      <c r="C1962" s="357"/>
      <c r="D1962" s="291"/>
      <c r="E1962" s="291"/>
      <c r="F1962" s="292"/>
      <c r="G1962" s="291"/>
      <c r="H1962" s="291"/>
      <c r="I1962" s="293"/>
      <c r="J1962" s="291"/>
      <c r="K1962" s="291"/>
      <c r="L1962" s="293"/>
      <c r="M1962" s="289"/>
      <c r="N1962" s="289"/>
      <c r="O1962" s="358"/>
      <c r="P1962" s="330">
        <f t="shared" si="268"/>
        <v>0</v>
      </c>
      <c r="Q1962" s="330">
        <f t="shared" si="269"/>
        <v>0</v>
      </c>
      <c r="R1962" s="331" t="str">
        <f t="shared" si="270"/>
        <v/>
      </c>
      <c r="S1962" s="331" t="str">
        <f>IF(D1962="","",IF(OR(D1962=Plano!$A$1,D1962=Plano!$B$1),"entrada","saída"))</f>
        <v/>
      </c>
      <c r="T1962" s="406"/>
      <c r="U1962" s="406"/>
      <c r="V1962" s="269"/>
      <c r="W1962" s="269"/>
      <c r="X1962" s="269"/>
      <c r="Y1962" s="269"/>
      <c r="Z1962" s="269"/>
      <c r="AA1962" s="269"/>
      <c r="AB1962" s="269"/>
      <c r="AC1962" s="269"/>
      <c r="AD1962" s="269"/>
      <c r="AE1962" s="269"/>
      <c r="AF1962" s="269"/>
      <c r="AG1962" s="269"/>
      <c r="AH1962" s="269"/>
      <c r="AI1962" s="269"/>
      <c r="AJ1962" s="269"/>
      <c r="AK1962" s="269"/>
      <c r="AL1962" s="269"/>
      <c r="AM1962" s="269"/>
    </row>
    <row r="1963" spans="1:39" ht="12.75" customHeight="1" x14ac:dyDescent="0.2">
      <c r="A1963" s="289" t="str">
        <f>IF(B1963="","",COUNT('Diário 5º PA'!$A$5:$A$2634)+COUNT('Diário 6º PA'!$A$5:$A$2246)+ROW()-4)</f>
        <v/>
      </c>
      <c r="B1963" s="290"/>
      <c r="C1963" s="357"/>
      <c r="D1963" s="291"/>
      <c r="E1963" s="291"/>
      <c r="F1963" s="292"/>
      <c r="G1963" s="291"/>
      <c r="H1963" s="291"/>
      <c r="I1963" s="293"/>
      <c r="J1963" s="291"/>
      <c r="K1963" s="291"/>
      <c r="L1963" s="293"/>
      <c r="M1963" s="289"/>
      <c r="N1963" s="289"/>
      <c r="O1963" s="358"/>
      <c r="P1963" s="330">
        <f t="shared" ref="P1963:P2026" si="271">IF(B1963=0,0,IF(YEAR(B1963)=$Q$1,MONTH(B1963)-$P$1+1,(YEAR(B1963)-$Q$1)*12-$P$1+1+MONTH(B1963)))</f>
        <v>0</v>
      </c>
      <c r="Q1963" s="330">
        <f t="shared" ref="Q1963:Q2026" si="272">IF(C1963=0,0,IF(YEAR(C1963)=$Q$1,MONTH(C1963)-$P$1+1,(YEAR(C1963)-$Q$1)*12-$P$1+1+MONTH(C1963)))</f>
        <v>0</v>
      </c>
      <c r="R1963" s="331" t="str">
        <f t="shared" ref="R1963:R2026" si="273">SUBSTITUTE(D1963," ","_")</f>
        <v/>
      </c>
      <c r="S1963" s="331" t="str">
        <f>IF(D1963="","",IF(OR(D1963=Plano!$A$1,D1963=Plano!$B$1),"entrada","saída"))</f>
        <v/>
      </c>
      <c r="T1963" s="406"/>
      <c r="U1963" s="406"/>
      <c r="V1963" s="269"/>
      <c r="W1963" s="269"/>
      <c r="X1963" s="269"/>
      <c r="Y1963" s="269"/>
      <c r="Z1963" s="269"/>
      <c r="AA1963" s="269"/>
      <c r="AB1963" s="269"/>
      <c r="AC1963" s="269"/>
      <c r="AD1963" s="269"/>
      <c r="AE1963" s="269"/>
      <c r="AF1963" s="269"/>
      <c r="AG1963" s="269"/>
      <c r="AH1963" s="269"/>
      <c r="AI1963" s="269"/>
      <c r="AJ1963" s="269"/>
      <c r="AK1963" s="269"/>
      <c r="AL1963" s="269"/>
      <c r="AM1963" s="269"/>
    </row>
    <row r="1964" spans="1:39" ht="12.75" customHeight="1" x14ac:dyDescent="0.2">
      <c r="A1964" s="289" t="str">
        <f>IF(B1964="","",COUNT('Diário 5º PA'!$A$5:$A$2634)+COUNT('Diário 6º PA'!$A$5:$A$2246)+ROW()-4)</f>
        <v/>
      </c>
      <c r="B1964" s="290"/>
      <c r="C1964" s="357"/>
      <c r="D1964" s="291"/>
      <c r="E1964" s="291"/>
      <c r="F1964" s="292"/>
      <c r="G1964" s="291"/>
      <c r="H1964" s="291"/>
      <c r="I1964" s="293"/>
      <c r="J1964" s="291"/>
      <c r="K1964" s="291"/>
      <c r="L1964" s="293"/>
      <c r="M1964" s="289"/>
      <c r="N1964" s="289"/>
      <c r="O1964" s="358"/>
      <c r="P1964" s="330">
        <f t="shared" si="271"/>
        <v>0</v>
      </c>
      <c r="Q1964" s="330">
        <f t="shared" si="272"/>
        <v>0</v>
      </c>
      <c r="R1964" s="331" t="str">
        <f t="shared" si="273"/>
        <v/>
      </c>
      <c r="S1964" s="331" t="str">
        <f>IF(D1964="","",IF(OR(D1964=Plano!$A$1,D1964=Plano!$B$1),"entrada","saída"))</f>
        <v/>
      </c>
      <c r="T1964" s="406"/>
      <c r="U1964" s="406"/>
      <c r="V1964" s="269"/>
      <c r="W1964" s="269"/>
      <c r="X1964" s="269"/>
      <c r="Y1964" s="269"/>
      <c r="Z1964" s="269"/>
      <c r="AA1964" s="269"/>
      <c r="AB1964" s="269"/>
      <c r="AC1964" s="269"/>
      <c r="AD1964" s="269"/>
      <c r="AE1964" s="269"/>
      <c r="AF1964" s="269"/>
      <c r="AG1964" s="269"/>
      <c r="AH1964" s="269"/>
      <c r="AI1964" s="269"/>
      <c r="AJ1964" s="269"/>
      <c r="AK1964" s="269"/>
      <c r="AL1964" s="269"/>
      <c r="AM1964" s="269"/>
    </row>
    <row r="1965" spans="1:39" ht="12.75" customHeight="1" x14ac:dyDescent="0.2">
      <c r="A1965" s="289" t="str">
        <f>IF(B1965="","",COUNT('Diário 5º PA'!$A$5:$A$2634)+COUNT('Diário 6º PA'!$A$5:$A$2246)+ROW()-4)</f>
        <v/>
      </c>
      <c r="B1965" s="290"/>
      <c r="C1965" s="357"/>
      <c r="D1965" s="291"/>
      <c r="E1965" s="291"/>
      <c r="F1965" s="292"/>
      <c r="G1965" s="291"/>
      <c r="H1965" s="291"/>
      <c r="I1965" s="293"/>
      <c r="J1965" s="291"/>
      <c r="K1965" s="291"/>
      <c r="L1965" s="293"/>
      <c r="M1965" s="289"/>
      <c r="N1965" s="289"/>
      <c r="O1965" s="358"/>
      <c r="P1965" s="330">
        <f t="shared" si="271"/>
        <v>0</v>
      </c>
      <c r="Q1965" s="330">
        <f t="shared" si="272"/>
        <v>0</v>
      </c>
      <c r="R1965" s="331" t="str">
        <f t="shared" si="273"/>
        <v/>
      </c>
      <c r="S1965" s="331" t="str">
        <f>IF(D1965="","",IF(OR(D1965=Plano!$A$1,D1965=Plano!$B$1),"entrada","saída"))</f>
        <v/>
      </c>
      <c r="T1965" s="406"/>
      <c r="U1965" s="406"/>
      <c r="V1965" s="269"/>
      <c r="W1965" s="269"/>
      <c r="X1965" s="269"/>
      <c r="Y1965" s="269"/>
      <c r="Z1965" s="269"/>
      <c r="AA1965" s="269"/>
      <c r="AB1965" s="269"/>
      <c r="AC1965" s="269"/>
      <c r="AD1965" s="269"/>
      <c r="AE1965" s="269"/>
      <c r="AF1965" s="269"/>
      <c r="AG1965" s="269"/>
      <c r="AH1965" s="269"/>
      <c r="AI1965" s="269"/>
      <c r="AJ1965" s="269"/>
      <c r="AK1965" s="269"/>
      <c r="AL1965" s="269"/>
      <c r="AM1965" s="269"/>
    </row>
    <row r="1966" spans="1:39" ht="12.75" customHeight="1" x14ac:dyDescent="0.2">
      <c r="A1966" s="289" t="str">
        <f>IF(B1966="","",COUNT('Diário 5º PA'!$A$5:$A$2634)+COUNT('Diário 6º PA'!$A$5:$A$2246)+ROW()-4)</f>
        <v/>
      </c>
      <c r="B1966" s="290"/>
      <c r="C1966" s="357"/>
      <c r="D1966" s="291"/>
      <c r="E1966" s="291"/>
      <c r="F1966" s="292"/>
      <c r="G1966" s="291"/>
      <c r="H1966" s="291"/>
      <c r="I1966" s="293"/>
      <c r="J1966" s="291"/>
      <c r="K1966" s="291"/>
      <c r="L1966" s="293"/>
      <c r="M1966" s="289"/>
      <c r="N1966" s="289"/>
      <c r="O1966" s="358"/>
      <c r="P1966" s="330">
        <f t="shared" si="271"/>
        <v>0</v>
      </c>
      <c r="Q1966" s="330">
        <f t="shared" si="272"/>
        <v>0</v>
      </c>
      <c r="R1966" s="331" t="str">
        <f t="shared" si="273"/>
        <v/>
      </c>
      <c r="S1966" s="331" t="str">
        <f>IF(D1966="","",IF(OR(D1966=Plano!$A$1,D1966=Plano!$B$1),"entrada","saída"))</f>
        <v/>
      </c>
      <c r="T1966" s="406"/>
      <c r="U1966" s="406"/>
      <c r="V1966" s="269"/>
      <c r="W1966" s="269"/>
      <c r="X1966" s="269"/>
      <c r="Y1966" s="269"/>
      <c r="Z1966" s="269"/>
      <c r="AA1966" s="269"/>
      <c r="AB1966" s="269"/>
      <c r="AC1966" s="269"/>
      <c r="AD1966" s="269"/>
      <c r="AE1966" s="269"/>
      <c r="AF1966" s="269"/>
      <c r="AG1966" s="269"/>
      <c r="AH1966" s="269"/>
      <c r="AI1966" s="269"/>
      <c r="AJ1966" s="269"/>
      <c r="AK1966" s="269"/>
      <c r="AL1966" s="269"/>
      <c r="AM1966" s="269"/>
    </row>
    <row r="1967" spans="1:39" ht="12.75" customHeight="1" x14ac:dyDescent="0.2">
      <c r="A1967" s="289" t="str">
        <f>IF(B1967="","",COUNT('Diário 5º PA'!$A$5:$A$2634)+COUNT('Diário 6º PA'!$A$5:$A$2246)+ROW()-4)</f>
        <v/>
      </c>
      <c r="B1967" s="290"/>
      <c r="C1967" s="357"/>
      <c r="D1967" s="291"/>
      <c r="E1967" s="291"/>
      <c r="F1967" s="292"/>
      <c r="G1967" s="291"/>
      <c r="H1967" s="291"/>
      <c r="I1967" s="293"/>
      <c r="J1967" s="291"/>
      <c r="K1967" s="291"/>
      <c r="L1967" s="293"/>
      <c r="M1967" s="289"/>
      <c r="N1967" s="289"/>
      <c r="O1967" s="358"/>
      <c r="P1967" s="330">
        <f t="shared" si="271"/>
        <v>0</v>
      </c>
      <c r="Q1967" s="330">
        <f t="shared" si="272"/>
        <v>0</v>
      </c>
      <c r="R1967" s="331" t="str">
        <f t="shared" si="273"/>
        <v/>
      </c>
      <c r="S1967" s="331" t="str">
        <f>IF(D1967="","",IF(OR(D1967=Plano!$A$1,D1967=Plano!$B$1),"entrada","saída"))</f>
        <v/>
      </c>
      <c r="T1967" s="406"/>
      <c r="U1967" s="406"/>
      <c r="V1967" s="269"/>
      <c r="W1967" s="269"/>
      <c r="X1967" s="269"/>
      <c r="Y1967" s="269"/>
      <c r="Z1967" s="269"/>
      <c r="AA1967" s="269"/>
      <c r="AB1967" s="269"/>
      <c r="AC1967" s="269"/>
      <c r="AD1967" s="269"/>
      <c r="AE1967" s="269"/>
      <c r="AF1967" s="269"/>
      <c r="AG1967" s="269"/>
      <c r="AH1967" s="269"/>
      <c r="AI1967" s="269"/>
      <c r="AJ1967" s="269"/>
      <c r="AK1967" s="269"/>
      <c r="AL1967" s="269"/>
      <c r="AM1967" s="269"/>
    </row>
    <row r="1968" spans="1:39" ht="12.75" customHeight="1" x14ac:dyDescent="0.2">
      <c r="A1968" s="289" t="str">
        <f>IF(B1968="","",COUNT('Diário 5º PA'!$A$5:$A$2634)+COUNT('Diário 6º PA'!$A$5:$A$2246)+ROW()-4)</f>
        <v/>
      </c>
      <c r="B1968" s="290"/>
      <c r="C1968" s="357"/>
      <c r="D1968" s="291"/>
      <c r="E1968" s="291"/>
      <c r="F1968" s="292"/>
      <c r="G1968" s="291"/>
      <c r="H1968" s="291"/>
      <c r="I1968" s="293"/>
      <c r="J1968" s="291"/>
      <c r="K1968" s="291"/>
      <c r="L1968" s="293"/>
      <c r="M1968" s="289"/>
      <c r="N1968" s="289"/>
      <c r="O1968" s="358"/>
      <c r="P1968" s="330">
        <f t="shared" si="271"/>
        <v>0</v>
      </c>
      <c r="Q1968" s="330">
        <f t="shared" si="272"/>
        <v>0</v>
      </c>
      <c r="R1968" s="331" t="str">
        <f t="shared" si="273"/>
        <v/>
      </c>
      <c r="S1968" s="331" t="str">
        <f>IF(D1968="","",IF(OR(D1968=Plano!$A$1,D1968=Plano!$B$1),"entrada","saída"))</f>
        <v/>
      </c>
      <c r="T1968" s="406"/>
      <c r="U1968" s="406"/>
      <c r="V1968" s="269"/>
      <c r="W1968" s="269"/>
      <c r="X1968" s="269"/>
      <c r="Y1968" s="269"/>
      <c r="Z1968" s="269"/>
      <c r="AA1968" s="269"/>
      <c r="AB1968" s="269"/>
      <c r="AC1968" s="269"/>
      <c r="AD1968" s="269"/>
      <c r="AE1968" s="269"/>
      <c r="AF1968" s="269"/>
      <c r="AG1968" s="269"/>
      <c r="AH1968" s="269"/>
      <c r="AI1968" s="269"/>
      <c r="AJ1968" s="269"/>
      <c r="AK1968" s="269"/>
      <c r="AL1968" s="269"/>
      <c r="AM1968" s="269"/>
    </row>
    <row r="1969" spans="1:39" ht="12.75" customHeight="1" x14ac:dyDescent="0.2">
      <c r="A1969" s="289" t="str">
        <f>IF(B1969="","",COUNT('Diário 5º PA'!$A$5:$A$2634)+COUNT('Diário 6º PA'!$A$5:$A$2246)+ROW()-4)</f>
        <v/>
      </c>
      <c r="B1969" s="290"/>
      <c r="C1969" s="357"/>
      <c r="D1969" s="291"/>
      <c r="E1969" s="291"/>
      <c r="F1969" s="292"/>
      <c r="G1969" s="291"/>
      <c r="H1969" s="291"/>
      <c r="I1969" s="293"/>
      <c r="J1969" s="291"/>
      <c r="K1969" s="291"/>
      <c r="L1969" s="293"/>
      <c r="M1969" s="289"/>
      <c r="N1969" s="289"/>
      <c r="O1969" s="358"/>
      <c r="P1969" s="330">
        <f t="shared" si="271"/>
        <v>0</v>
      </c>
      <c r="Q1969" s="330">
        <f t="shared" si="272"/>
        <v>0</v>
      </c>
      <c r="R1969" s="331" t="str">
        <f t="shared" si="273"/>
        <v/>
      </c>
      <c r="S1969" s="331" t="str">
        <f>IF(D1969="","",IF(OR(D1969=Plano!$A$1,D1969=Plano!$B$1),"entrada","saída"))</f>
        <v/>
      </c>
      <c r="T1969" s="406"/>
      <c r="U1969" s="406"/>
      <c r="V1969" s="269"/>
      <c r="W1969" s="269"/>
      <c r="X1969" s="269"/>
      <c r="Y1969" s="269"/>
      <c r="Z1969" s="269"/>
      <c r="AA1969" s="269"/>
      <c r="AB1969" s="269"/>
      <c r="AC1969" s="269"/>
      <c r="AD1969" s="269"/>
      <c r="AE1969" s="269"/>
      <c r="AF1969" s="269"/>
      <c r="AG1969" s="269"/>
      <c r="AH1969" s="269"/>
      <c r="AI1969" s="269"/>
      <c r="AJ1969" s="269"/>
      <c r="AK1969" s="269"/>
      <c r="AL1969" s="269"/>
      <c r="AM1969" s="269"/>
    </row>
    <row r="1970" spans="1:39" ht="12.75" customHeight="1" x14ac:dyDescent="0.2">
      <c r="A1970" s="289" t="str">
        <f>IF(B1970="","",COUNT('Diário 5º PA'!$A$5:$A$2634)+COUNT('Diário 6º PA'!$A$5:$A$2246)+ROW()-4)</f>
        <v/>
      </c>
      <c r="B1970" s="290"/>
      <c r="C1970" s="357"/>
      <c r="D1970" s="291"/>
      <c r="E1970" s="291"/>
      <c r="F1970" s="292"/>
      <c r="G1970" s="291"/>
      <c r="H1970" s="291"/>
      <c r="I1970" s="293"/>
      <c r="J1970" s="291"/>
      <c r="K1970" s="291"/>
      <c r="L1970" s="293"/>
      <c r="M1970" s="289"/>
      <c r="N1970" s="289"/>
      <c r="O1970" s="358"/>
      <c r="P1970" s="330">
        <f t="shared" si="271"/>
        <v>0</v>
      </c>
      <c r="Q1970" s="330">
        <f t="shared" si="272"/>
        <v>0</v>
      </c>
      <c r="R1970" s="331" t="str">
        <f t="shared" si="273"/>
        <v/>
      </c>
      <c r="S1970" s="331" t="str">
        <f>IF(D1970="","",IF(OR(D1970=Plano!$A$1,D1970=Plano!$B$1),"entrada","saída"))</f>
        <v/>
      </c>
      <c r="T1970" s="406"/>
      <c r="U1970" s="406"/>
      <c r="V1970" s="269"/>
      <c r="W1970" s="269"/>
      <c r="X1970" s="269"/>
      <c r="Y1970" s="269"/>
      <c r="Z1970" s="269"/>
      <c r="AA1970" s="269"/>
      <c r="AB1970" s="269"/>
      <c r="AC1970" s="269"/>
      <c r="AD1970" s="269"/>
      <c r="AE1970" s="269"/>
      <c r="AF1970" s="269"/>
      <c r="AG1970" s="269"/>
      <c r="AH1970" s="269"/>
      <c r="AI1970" s="269"/>
      <c r="AJ1970" s="269"/>
      <c r="AK1970" s="269"/>
      <c r="AL1970" s="269"/>
      <c r="AM1970" s="269"/>
    </row>
    <row r="1971" spans="1:39" ht="12.75" customHeight="1" x14ac:dyDescent="0.2">
      <c r="A1971" s="289" t="str">
        <f>IF(B1971="","",COUNT('Diário 5º PA'!$A$5:$A$2634)+COUNT('Diário 6º PA'!$A$5:$A$2246)+ROW()-4)</f>
        <v/>
      </c>
      <c r="B1971" s="290"/>
      <c r="C1971" s="357"/>
      <c r="D1971" s="291"/>
      <c r="E1971" s="291"/>
      <c r="F1971" s="292"/>
      <c r="G1971" s="291"/>
      <c r="H1971" s="291"/>
      <c r="I1971" s="293"/>
      <c r="J1971" s="291"/>
      <c r="K1971" s="291"/>
      <c r="L1971" s="293"/>
      <c r="M1971" s="289"/>
      <c r="N1971" s="289"/>
      <c r="O1971" s="358"/>
      <c r="P1971" s="330">
        <f t="shared" si="271"/>
        <v>0</v>
      </c>
      <c r="Q1971" s="330">
        <f t="shared" si="272"/>
        <v>0</v>
      </c>
      <c r="R1971" s="331" t="str">
        <f t="shared" si="273"/>
        <v/>
      </c>
      <c r="S1971" s="331" t="str">
        <f>IF(D1971="","",IF(OR(D1971=Plano!$A$1,D1971=Plano!$B$1),"entrada","saída"))</f>
        <v/>
      </c>
      <c r="T1971" s="406"/>
      <c r="U1971" s="406"/>
      <c r="V1971" s="269"/>
      <c r="W1971" s="269"/>
      <c r="X1971" s="269"/>
      <c r="Y1971" s="269"/>
      <c r="Z1971" s="269"/>
      <c r="AA1971" s="269"/>
      <c r="AB1971" s="269"/>
      <c r="AC1971" s="269"/>
      <c r="AD1971" s="269"/>
      <c r="AE1971" s="269"/>
      <c r="AF1971" s="269"/>
      <c r="AG1971" s="269"/>
      <c r="AH1971" s="269"/>
      <c r="AI1971" s="269"/>
      <c r="AJ1971" s="269"/>
      <c r="AK1971" s="269"/>
      <c r="AL1971" s="269"/>
      <c r="AM1971" s="269"/>
    </row>
    <row r="1972" spans="1:39" ht="12.75" customHeight="1" x14ac:dyDescent="0.2">
      <c r="A1972" s="289" t="str">
        <f>IF(B1972="","",COUNT('Diário 5º PA'!$A$5:$A$2634)+COUNT('Diário 6º PA'!$A$5:$A$2246)+ROW()-4)</f>
        <v/>
      </c>
      <c r="B1972" s="290"/>
      <c r="C1972" s="357"/>
      <c r="D1972" s="291"/>
      <c r="E1972" s="291"/>
      <c r="F1972" s="292"/>
      <c r="G1972" s="291"/>
      <c r="H1972" s="291"/>
      <c r="I1972" s="293"/>
      <c r="J1972" s="291"/>
      <c r="K1972" s="291"/>
      <c r="L1972" s="293"/>
      <c r="M1972" s="289"/>
      <c r="N1972" s="289"/>
      <c r="O1972" s="358"/>
      <c r="P1972" s="330">
        <f t="shared" si="271"/>
        <v>0</v>
      </c>
      <c r="Q1972" s="330">
        <f t="shared" si="272"/>
        <v>0</v>
      </c>
      <c r="R1972" s="331" t="str">
        <f t="shared" si="273"/>
        <v/>
      </c>
      <c r="S1972" s="331" t="str">
        <f>IF(D1972="","",IF(OR(D1972=Plano!$A$1,D1972=Plano!$B$1),"entrada","saída"))</f>
        <v/>
      </c>
      <c r="T1972" s="406"/>
      <c r="U1972" s="406"/>
      <c r="V1972" s="269"/>
      <c r="W1972" s="269"/>
      <c r="X1972" s="269"/>
      <c r="Y1972" s="269"/>
      <c r="Z1972" s="269"/>
      <c r="AA1972" s="269"/>
      <c r="AB1972" s="269"/>
      <c r="AC1972" s="269"/>
      <c r="AD1972" s="269"/>
      <c r="AE1972" s="269"/>
      <c r="AF1972" s="269"/>
      <c r="AG1972" s="269"/>
      <c r="AH1972" s="269"/>
      <c r="AI1972" s="269"/>
      <c r="AJ1972" s="269"/>
      <c r="AK1972" s="269"/>
      <c r="AL1972" s="269"/>
      <c r="AM1972" s="269"/>
    </row>
    <row r="1973" spans="1:39" ht="12.75" customHeight="1" x14ac:dyDescent="0.2">
      <c r="A1973" s="289" t="str">
        <f>IF(B1973="","",COUNT('Diário 5º PA'!$A$5:$A$2634)+COUNT('Diário 6º PA'!$A$5:$A$2246)+ROW()-4)</f>
        <v/>
      </c>
      <c r="B1973" s="290"/>
      <c r="C1973" s="357"/>
      <c r="D1973" s="291"/>
      <c r="E1973" s="291"/>
      <c r="F1973" s="292"/>
      <c r="G1973" s="291"/>
      <c r="H1973" s="291"/>
      <c r="I1973" s="293"/>
      <c r="J1973" s="291"/>
      <c r="K1973" s="291"/>
      <c r="L1973" s="293"/>
      <c r="M1973" s="289"/>
      <c r="N1973" s="289"/>
      <c r="O1973" s="358"/>
      <c r="P1973" s="330">
        <f t="shared" si="271"/>
        <v>0</v>
      </c>
      <c r="Q1973" s="330">
        <f t="shared" si="272"/>
        <v>0</v>
      </c>
      <c r="R1973" s="331" t="str">
        <f t="shared" si="273"/>
        <v/>
      </c>
      <c r="S1973" s="331" t="str">
        <f>IF(D1973="","",IF(OR(D1973=Plano!$A$1,D1973=Plano!$B$1),"entrada","saída"))</f>
        <v/>
      </c>
      <c r="T1973" s="406"/>
      <c r="U1973" s="406"/>
      <c r="V1973" s="269"/>
      <c r="W1973" s="269"/>
      <c r="X1973" s="269"/>
      <c r="Y1973" s="269"/>
      <c r="Z1973" s="269"/>
      <c r="AA1973" s="269"/>
      <c r="AB1973" s="269"/>
      <c r="AC1973" s="269"/>
      <c r="AD1973" s="269"/>
      <c r="AE1973" s="269"/>
      <c r="AF1973" s="269"/>
      <c r="AG1973" s="269"/>
      <c r="AH1973" s="269"/>
      <c r="AI1973" s="269"/>
      <c r="AJ1973" s="269"/>
      <c r="AK1973" s="269"/>
      <c r="AL1973" s="269"/>
      <c r="AM1973" s="269"/>
    </row>
    <row r="1974" spans="1:39" ht="12.75" customHeight="1" x14ac:dyDescent="0.2">
      <c r="A1974" s="289" t="str">
        <f>IF(B1974="","",COUNT('Diário 5º PA'!$A$5:$A$2634)+COUNT('Diário 6º PA'!$A$5:$A$2246)+ROW()-4)</f>
        <v/>
      </c>
      <c r="B1974" s="290"/>
      <c r="C1974" s="357"/>
      <c r="D1974" s="291"/>
      <c r="E1974" s="291"/>
      <c r="F1974" s="292"/>
      <c r="G1974" s="291"/>
      <c r="H1974" s="291"/>
      <c r="I1974" s="293"/>
      <c r="J1974" s="291"/>
      <c r="K1974" s="291"/>
      <c r="L1974" s="293"/>
      <c r="M1974" s="289"/>
      <c r="N1974" s="289"/>
      <c r="O1974" s="358"/>
      <c r="P1974" s="330">
        <f t="shared" si="271"/>
        <v>0</v>
      </c>
      <c r="Q1974" s="330">
        <f t="shared" si="272"/>
        <v>0</v>
      </c>
      <c r="R1974" s="331" t="str">
        <f t="shared" si="273"/>
        <v/>
      </c>
      <c r="S1974" s="331" t="str">
        <f>IF(D1974="","",IF(OR(D1974=Plano!$A$1,D1974=Plano!$B$1),"entrada","saída"))</f>
        <v/>
      </c>
      <c r="T1974" s="406"/>
      <c r="U1974" s="406"/>
      <c r="V1974" s="269"/>
      <c r="W1974" s="269"/>
      <c r="X1974" s="269"/>
      <c r="Y1974" s="269"/>
      <c r="Z1974" s="269"/>
      <c r="AA1974" s="269"/>
      <c r="AB1974" s="269"/>
      <c r="AC1974" s="269"/>
      <c r="AD1974" s="269"/>
      <c r="AE1974" s="269"/>
      <c r="AF1974" s="269"/>
      <c r="AG1974" s="269"/>
      <c r="AH1974" s="269"/>
      <c r="AI1974" s="269"/>
      <c r="AJ1974" s="269"/>
      <c r="AK1974" s="269"/>
      <c r="AL1974" s="269"/>
      <c r="AM1974" s="269"/>
    </row>
    <row r="1975" spans="1:39" ht="12.75" customHeight="1" x14ac:dyDescent="0.2">
      <c r="A1975" s="289" t="str">
        <f>IF(B1975="","",COUNT('Diário 5º PA'!$A$5:$A$2634)+COUNT('Diário 6º PA'!$A$5:$A$2246)+ROW()-4)</f>
        <v/>
      </c>
      <c r="B1975" s="290"/>
      <c r="C1975" s="357"/>
      <c r="D1975" s="291"/>
      <c r="E1975" s="291"/>
      <c r="F1975" s="292"/>
      <c r="G1975" s="291"/>
      <c r="H1975" s="291"/>
      <c r="I1975" s="293"/>
      <c r="J1975" s="291"/>
      <c r="K1975" s="291"/>
      <c r="L1975" s="293"/>
      <c r="M1975" s="291"/>
      <c r="N1975" s="289"/>
      <c r="O1975" s="358"/>
      <c r="P1975" s="330">
        <f t="shared" si="271"/>
        <v>0</v>
      </c>
      <c r="Q1975" s="330">
        <f t="shared" si="272"/>
        <v>0</v>
      </c>
      <c r="R1975" s="331" t="str">
        <f t="shared" si="273"/>
        <v/>
      </c>
      <c r="S1975" s="331" t="str">
        <f>IF(D1975="","",IF(OR(D1975=Plano!$A$1,D1975=Plano!$B$1),"entrada","saída"))</f>
        <v/>
      </c>
      <c r="T1975" s="406"/>
      <c r="U1975" s="406"/>
      <c r="V1975" s="269"/>
      <c r="W1975" s="269"/>
      <c r="X1975" s="269"/>
      <c r="Y1975" s="269"/>
      <c r="Z1975" s="269"/>
      <c r="AA1975" s="269"/>
      <c r="AB1975" s="269"/>
      <c r="AC1975" s="269"/>
      <c r="AD1975" s="269"/>
      <c r="AE1975" s="269"/>
      <c r="AF1975" s="269"/>
      <c r="AG1975" s="269"/>
      <c r="AH1975" s="269"/>
      <c r="AI1975" s="269"/>
      <c r="AJ1975" s="269"/>
      <c r="AK1975" s="269"/>
      <c r="AL1975" s="269"/>
      <c r="AM1975" s="269"/>
    </row>
    <row r="1976" spans="1:39" ht="12.75" customHeight="1" x14ac:dyDescent="0.2">
      <c r="A1976" s="289" t="str">
        <f>IF(B1976="","",COUNT('Diário 5º PA'!$A$5:$A$2634)+COUNT('Diário 6º PA'!$A$5:$A$2246)+ROW()-4)</f>
        <v/>
      </c>
      <c r="B1976" s="290"/>
      <c r="C1976" s="357"/>
      <c r="D1976" s="291"/>
      <c r="E1976" s="291"/>
      <c r="F1976" s="292"/>
      <c r="G1976" s="291"/>
      <c r="H1976" s="291"/>
      <c r="I1976" s="293"/>
      <c r="J1976" s="291"/>
      <c r="K1976" s="291"/>
      <c r="L1976" s="293"/>
      <c r="M1976" s="291"/>
      <c r="N1976" s="289"/>
      <c r="O1976" s="358"/>
      <c r="P1976" s="330">
        <f t="shared" si="271"/>
        <v>0</v>
      </c>
      <c r="Q1976" s="330">
        <f t="shared" si="272"/>
        <v>0</v>
      </c>
      <c r="R1976" s="331" t="str">
        <f t="shared" si="273"/>
        <v/>
      </c>
      <c r="S1976" s="331" t="str">
        <f>IF(D1976="","",IF(OR(D1976=Plano!$A$1,D1976=Plano!$B$1),"entrada","saída"))</f>
        <v/>
      </c>
      <c r="T1976" s="406"/>
      <c r="U1976" s="406"/>
      <c r="V1976" s="269"/>
      <c r="W1976" s="269"/>
      <c r="X1976" s="269"/>
      <c r="Y1976" s="269"/>
      <c r="Z1976" s="269"/>
      <c r="AA1976" s="269"/>
      <c r="AB1976" s="269"/>
      <c r="AC1976" s="269"/>
      <c r="AD1976" s="269"/>
      <c r="AE1976" s="269"/>
      <c r="AF1976" s="269"/>
      <c r="AG1976" s="269"/>
      <c r="AH1976" s="269"/>
      <c r="AI1976" s="269"/>
      <c r="AJ1976" s="269"/>
      <c r="AK1976" s="269"/>
      <c r="AL1976" s="269"/>
      <c r="AM1976" s="269"/>
    </row>
    <row r="1977" spans="1:39" ht="12.75" customHeight="1" x14ac:dyDescent="0.2">
      <c r="A1977" s="289" t="str">
        <f>IF(B1977="","",COUNT('Diário 5º PA'!$A$5:$A$2634)+COUNT('Diário 6º PA'!$A$5:$A$2246)+ROW()-4)</f>
        <v/>
      </c>
      <c r="B1977" s="290"/>
      <c r="C1977" s="357"/>
      <c r="D1977" s="291"/>
      <c r="E1977" s="291"/>
      <c r="F1977" s="292"/>
      <c r="G1977" s="291"/>
      <c r="H1977" s="291"/>
      <c r="I1977" s="293"/>
      <c r="J1977" s="291"/>
      <c r="K1977" s="291"/>
      <c r="L1977" s="293"/>
      <c r="M1977" s="291"/>
      <c r="N1977" s="289"/>
      <c r="O1977" s="358"/>
      <c r="P1977" s="330">
        <f t="shared" si="271"/>
        <v>0</v>
      </c>
      <c r="Q1977" s="330">
        <f t="shared" si="272"/>
        <v>0</v>
      </c>
      <c r="R1977" s="331" t="str">
        <f t="shared" si="273"/>
        <v/>
      </c>
      <c r="S1977" s="331" t="str">
        <f>IF(D1977="","",IF(OR(D1977=Plano!$A$1,D1977=Plano!$B$1),"entrada","saída"))</f>
        <v/>
      </c>
      <c r="T1977" s="406"/>
      <c r="U1977" s="406"/>
      <c r="V1977" s="269"/>
      <c r="W1977" s="269"/>
      <c r="X1977" s="269"/>
      <c r="Y1977" s="269"/>
      <c r="Z1977" s="269"/>
      <c r="AA1977" s="269"/>
      <c r="AB1977" s="269"/>
      <c r="AC1977" s="269"/>
      <c r="AD1977" s="269"/>
      <c r="AE1977" s="269"/>
      <c r="AF1977" s="269"/>
      <c r="AG1977" s="269"/>
      <c r="AH1977" s="269"/>
      <c r="AI1977" s="269"/>
      <c r="AJ1977" s="269"/>
      <c r="AK1977" s="269"/>
      <c r="AL1977" s="269"/>
      <c r="AM1977" s="269"/>
    </row>
    <row r="1978" spans="1:39" ht="12.75" customHeight="1" x14ac:dyDescent="0.2">
      <c r="A1978" s="289" t="str">
        <f>IF(B1978="","",COUNT('Diário 5º PA'!$A$5:$A$2634)+COUNT('Diário 6º PA'!$A$5:$A$2246)+ROW()-4)</f>
        <v/>
      </c>
      <c r="B1978" s="290"/>
      <c r="C1978" s="357"/>
      <c r="D1978" s="291"/>
      <c r="E1978" s="291"/>
      <c r="F1978" s="292"/>
      <c r="G1978" s="291"/>
      <c r="H1978" s="291"/>
      <c r="I1978" s="293"/>
      <c r="J1978" s="291"/>
      <c r="K1978" s="291"/>
      <c r="L1978" s="293"/>
      <c r="M1978" s="291"/>
      <c r="N1978" s="289"/>
      <c r="O1978" s="358"/>
      <c r="P1978" s="330">
        <f t="shared" si="271"/>
        <v>0</v>
      </c>
      <c r="Q1978" s="330">
        <f t="shared" si="272"/>
        <v>0</v>
      </c>
      <c r="R1978" s="331" t="str">
        <f t="shared" si="273"/>
        <v/>
      </c>
      <c r="S1978" s="331" t="str">
        <f>IF(D1978="","",IF(OR(D1978=Plano!$A$1,D1978=Plano!$B$1),"entrada","saída"))</f>
        <v/>
      </c>
      <c r="T1978" s="406"/>
      <c r="U1978" s="406"/>
      <c r="V1978" s="269"/>
      <c r="W1978" s="269"/>
      <c r="X1978" s="269"/>
      <c r="Y1978" s="269"/>
      <c r="Z1978" s="269"/>
      <c r="AA1978" s="269"/>
      <c r="AB1978" s="269"/>
      <c r="AC1978" s="269"/>
      <c r="AD1978" s="269"/>
      <c r="AE1978" s="269"/>
      <c r="AF1978" s="269"/>
      <c r="AG1978" s="269"/>
      <c r="AH1978" s="269"/>
      <c r="AI1978" s="269"/>
      <c r="AJ1978" s="269"/>
      <c r="AK1978" s="269"/>
      <c r="AL1978" s="269"/>
      <c r="AM1978" s="269"/>
    </row>
    <row r="1979" spans="1:39" ht="12.75" customHeight="1" x14ac:dyDescent="0.2">
      <c r="A1979" s="289" t="str">
        <f>IF(B1979="","",COUNT('Diário 5º PA'!$A$5:$A$2634)+COUNT('Diário 6º PA'!$A$5:$A$2246)+ROW()-4)</f>
        <v/>
      </c>
      <c r="B1979" s="290"/>
      <c r="C1979" s="357"/>
      <c r="D1979" s="291"/>
      <c r="E1979" s="291"/>
      <c r="F1979" s="292"/>
      <c r="G1979" s="291"/>
      <c r="H1979" s="291"/>
      <c r="I1979" s="293"/>
      <c r="J1979" s="291"/>
      <c r="K1979" s="291"/>
      <c r="L1979" s="293"/>
      <c r="M1979" s="291"/>
      <c r="N1979" s="289"/>
      <c r="O1979" s="358"/>
      <c r="P1979" s="330">
        <f t="shared" si="271"/>
        <v>0</v>
      </c>
      <c r="Q1979" s="330">
        <f t="shared" si="272"/>
        <v>0</v>
      </c>
      <c r="R1979" s="331" t="str">
        <f t="shared" si="273"/>
        <v/>
      </c>
      <c r="S1979" s="331" t="str">
        <f>IF(D1979="","",IF(OR(D1979=Plano!$A$1,D1979=Plano!$B$1),"entrada","saída"))</f>
        <v/>
      </c>
      <c r="T1979" s="406"/>
      <c r="U1979" s="406"/>
      <c r="V1979" s="269"/>
      <c r="W1979" s="269"/>
      <c r="X1979" s="269"/>
      <c r="Y1979" s="269"/>
      <c r="Z1979" s="269"/>
      <c r="AA1979" s="269"/>
      <c r="AB1979" s="269"/>
      <c r="AC1979" s="269"/>
      <c r="AD1979" s="269"/>
      <c r="AE1979" s="269"/>
      <c r="AF1979" s="269"/>
      <c r="AG1979" s="269"/>
      <c r="AH1979" s="269"/>
      <c r="AI1979" s="269"/>
      <c r="AJ1979" s="269"/>
      <c r="AK1979" s="269"/>
      <c r="AL1979" s="269"/>
      <c r="AM1979" s="269"/>
    </row>
    <row r="1980" spans="1:39" ht="12.75" customHeight="1" x14ac:dyDescent="0.2">
      <c r="A1980" s="289" t="str">
        <f>IF(B1980="","",COUNT('Diário 5º PA'!$A$5:$A$2634)+COUNT('Diário 6º PA'!$A$5:$A$2246)+ROW()-4)</f>
        <v/>
      </c>
      <c r="B1980" s="290"/>
      <c r="C1980" s="357"/>
      <c r="D1980" s="291"/>
      <c r="E1980" s="291"/>
      <c r="F1980" s="292"/>
      <c r="G1980" s="291"/>
      <c r="H1980" s="291"/>
      <c r="I1980" s="293"/>
      <c r="J1980" s="291"/>
      <c r="K1980" s="291"/>
      <c r="L1980" s="293"/>
      <c r="M1980" s="291"/>
      <c r="N1980" s="289"/>
      <c r="O1980" s="358"/>
      <c r="P1980" s="330">
        <f t="shared" si="271"/>
        <v>0</v>
      </c>
      <c r="Q1980" s="330">
        <f t="shared" si="272"/>
        <v>0</v>
      </c>
      <c r="R1980" s="331" t="str">
        <f t="shared" si="273"/>
        <v/>
      </c>
      <c r="S1980" s="331" t="str">
        <f>IF(D1980="","",IF(OR(D1980=Plano!$A$1,D1980=Plano!$B$1),"entrada","saída"))</f>
        <v/>
      </c>
      <c r="T1980" s="406"/>
      <c r="U1980" s="406"/>
      <c r="V1980" s="269"/>
      <c r="W1980" s="269"/>
      <c r="X1980" s="269"/>
      <c r="Y1980" s="269"/>
      <c r="Z1980" s="269"/>
      <c r="AA1980" s="269"/>
      <c r="AB1980" s="269"/>
      <c r="AC1980" s="269"/>
      <c r="AD1980" s="269"/>
      <c r="AE1980" s="269"/>
      <c r="AF1980" s="269"/>
      <c r="AG1980" s="269"/>
      <c r="AH1980" s="269"/>
      <c r="AI1980" s="269"/>
      <c r="AJ1980" s="269"/>
      <c r="AK1980" s="269"/>
      <c r="AL1980" s="269"/>
      <c r="AM1980" s="269"/>
    </row>
    <row r="1981" spans="1:39" ht="12.75" customHeight="1" x14ac:dyDescent="0.2">
      <c r="A1981" s="289" t="str">
        <f>IF(B1981="","",COUNT('Diário 5º PA'!$A$5:$A$2634)+COUNT('Diário 6º PA'!$A$5:$A$2246)+ROW()-4)</f>
        <v/>
      </c>
      <c r="B1981" s="290"/>
      <c r="C1981" s="357"/>
      <c r="D1981" s="291"/>
      <c r="E1981" s="291"/>
      <c r="F1981" s="292"/>
      <c r="G1981" s="291"/>
      <c r="H1981" s="291"/>
      <c r="I1981" s="293"/>
      <c r="J1981" s="291"/>
      <c r="K1981" s="291"/>
      <c r="L1981" s="293"/>
      <c r="M1981" s="291"/>
      <c r="N1981" s="289"/>
      <c r="O1981" s="358"/>
      <c r="P1981" s="330">
        <f t="shared" si="271"/>
        <v>0</v>
      </c>
      <c r="Q1981" s="330">
        <f t="shared" si="272"/>
        <v>0</v>
      </c>
      <c r="R1981" s="331" t="str">
        <f t="shared" si="273"/>
        <v/>
      </c>
      <c r="S1981" s="331" t="str">
        <f>IF(D1981="","",IF(OR(D1981=Plano!$A$1,D1981=Plano!$B$1),"entrada","saída"))</f>
        <v/>
      </c>
      <c r="T1981" s="406"/>
      <c r="U1981" s="406"/>
      <c r="V1981" s="269"/>
      <c r="W1981" s="269"/>
      <c r="X1981" s="269"/>
      <c r="Y1981" s="269"/>
      <c r="Z1981" s="269"/>
      <c r="AA1981" s="269"/>
      <c r="AB1981" s="269"/>
      <c r="AC1981" s="269"/>
      <c r="AD1981" s="269"/>
      <c r="AE1981" s="269"/>
      <c r="AF1981" s="269"/>
      <c r="AG1981" s="269"/>
      <c r="AH1981" s="269"/>
      <c r="AI1981" s="269"/>
      <c r="AJ1981" s="269"/>
      <c r="AK1981" s="269"/>
      <c r="AL1981" s="269"/>
      <c r="AM1981" s="269"/>
    </row>
    <row r="1982" spans="1:39" ht="12.75" customHeight="1" x14ac:dyDescent="0.2">
      <c r="A1982" s="289" t="str">
        <f>IF(B1982="","",COUNT('Diário 5º PA'!$A$5:$A$2634)+COUNT('Diário 6º PA'!$A$5:$A$2246)+ROW()-4)</f>
        <v/>
      </c>
      <c r="B1982" s="290"/>
      <c r="C1982" s="357"/>
      <c r="D1982" s="291"/>
      <c r="E1982" s="291"/>
      <c r="F1982" s="292"/>
      <c r="G1982" s="291"/>
      <c r="H1982" s="291"/>
      <c r="I1982" s="293"/>
      <c r="J1982" s="291"/>
      <c r="K1982" s="291"/>
      <c r="L1982" s="293"/>
      <c r="M1982" s="291"/>
      <c r="N1982" s="289"/>
      <c r="O1982" s="358"/>
      <c r="P1982" s="330">
        <f t="shared" si="271"/>
        <v>0</v>
      </c>
      <c r="Q1982" s="330">
        <f t="shared" si="272"/>
        <v>0</v>
      </c>
      <c r="R1982" s="331" t="str">
        <f t="shared" si="273"/>
        <v/>
      </c>
      <c r="S1982" s="331" t="str">
        <f>IF(D1982="","",IF(OR(D1982=Plano!$A$1,D1982=Plano!$B$1),"entrada","saída"))</f>
        <v/>
      </c>
      <c r="T1982" s="406"/>
      <c r="U1982" s="406"/>
      <c r="V1982" s="269"/>
      <c r="W1982" s="269"/>
      <c r="X1982" s="269"/>
      <c r="Y1982" s="269"/>
      <c r="Z1982" s="269"/>
      <c r="AA1982" s="269"/>
      <c r="AB1982" s="269"/>
      <c r="AC1982" s="269"/>
      <c r="AD1982" s="269"/>
      <c r="AE1982" s="269"/>
      <c r="AF1982" s="269"/>
      <c r="AG1982" s="269"/>
      <c r="AH1982" s="269"/>
      <c r="AI1982" s="269"/>
      <c r="AJ1982" s="269"/>
      <c r="AK1982" s="269"/>
      <c r="AL1982" s="269"/>
      <c r="AM1982" s="269"/>
    </row>
    <row r="1983" spans="1:39" ht="12.75" customHeight="1" x14ac:dyDescent="0.2">
      <c r="A1983" s="289" t="str">
        <f>IF(B1983="","",COUNT('Diário 5º PA'!$A$5:$A$2634)+COUNT('Diário 6º PA'!$A$5:$A$2246)+ROW()-4)</f>
        <v/>
      </c>
      <c r="B1983" s="290"/>
      <c r="C1983" s="357"/>
      <c r="D1983" s="291"/>
      <c r="E1983" s="291"/>
      <c r="F1983" s="292"/>
      <c r="G1983" s="291"/>
      <c r="H1983" s="291"/>
      <c r="I1983" s="293"/>
      <c r="J1983" s="291"/>
      <c r="K1983" s="291"/>
      <c r="L1983" s="293"/>
      <c r="M1983" s="291"/>
      <c r="N1983" s="289"/>
      <c r="O1983" s="358"/>
      <c r="P1983" s="330">
        <f t="shared" si="271"/>
        <v>0</v>
      </c>
      <c r="Q1983" s="330">
        <f t="shared" si="272"/>
        <v>0</v>
      </c>
      <c r="R1983" s="331" t="str">
        <f t="shared" si="273"/>
        <v/>
      </c>
      <c r="S1983" s="331" t="str">
        <f>IF(D1983="","",IF(OR(D1983=Plano!$A$1,D1983=Plano!$B$1),"entrada","saída"))</f>
        <v/>
      </c>
      <c r="T1983" s="406"/>
      <c r="U1983" s="406"/>
      <c r="V1983" s="269"/>
      <c r="W1983" s="269"/>
      <c r="X1983" s="269"/>
      <c r="Y1983" s="269"/>
      <c r="Z1983" s="269"/>
      <c r="AA1983" s="269"/>
      <c r="AB1983" s="269"/>
      <c r="AC1983" s="269"/>
      <c r="AD1983" s="269"/>
      <c r="AE1983" s="269"/>
      <c r="AF1983" s="269"/>
      <c r="AG1983" s="269"/>
      <c r="AH1983" s="269"/>
      <c r="AI1983" s="269"/>
      <c r="AJ1983" s="269"/>
      <c r="AK1983" s="269"/>
      <c r="AL1983" s="269"/>
      <c r="AM1983" s="269"/>
    </row>
    <row r="1984" spans="1:39" ht="12.75" customHeight="1" x14ac:dyDescent="0.2">
      <c r="A1984" s="289" t="str">
        <f>IF(B1984="","",COUNT('Diário 5º PA'!$A$5:$A$2634)+COUNT('Diário 6º PA'!$A$5:$A$2246)+ROW()-4)</f>
        <v/>
      </c>
      <c r="B1984" s="290"/>
      <c r="C1984" s="357"/>
      <c r="D1984" s="291"/>
      <c r="E1984" s="291"/>
      <c r="F1984" s="292"/>
      <c r="G1984" s="291"/>
      <c r="H1984" s="291"/>
      <c r="I1984" s="293"/>
      <c r="J1984" s="291"/>
      <c r="K1984" s="291"/>
      <c r="L1984" s="293"/>
      <c r="M1984" s="291"/>
      <c r="N1984" s="289"/>
      <c r="O1984" s="358"/>
      <c r="P1984" s="330">
        <f t="shared" si="271"/>
        <v>0</v>
      </c>
      <c r="Q1984" s="330">
        <f t="shared" si="272"/>
        <v>0</v>
      </c>
      <c r="R1984" s="331" t="str">
        <f t="shared" si="273"/>
        <v/>
      </c>
      <c r="S1984" s="331" t="str">
        <f>IF(D1984="","",IF(OR(D1984=Plano!$A$1,D1984=Plano!$B$1),"entrada","saída"))</f>
        <v/>
      </c>
      <c r="T1984" s="406"/>
      <c r="U1984" s="406"/>
      <c r="V1984" s="269"/>
      <c r="W1984" s="269"/>
      <c r="X1984" s="269"/>
      <c r="Y1984" s="269"/>
      <c r="Z1984" s="269"/>
      <c r="AA1984" s="269"/>
      <c r="AB1984" s="269"/>
      <c r="AC1984" s="269"/>
      <c r="AD1984" s="269"/>
      <c r="AE1984" s="269"/>
      <c r="AF1984" s="269"/>
      <c r="AG1984" s="269"/>
      <c r="AH1984" s="269"/>
      <c r="AI1984" s="269"/>
      <c r="AJ1984" s="269"/>
      <c r="AK1984" s="269"/>
      <c r="AL1984" s="269"/>
      <c r="AM1984" s="269"/>
    </row>
    <row r="1985" spans="1:39" ht="12.75" customHeight="1" x14ac:dyDescent="0.2">
      <c r="A1985" s="289" t="str">
        <f>IF(B1985="","",COUNT('Diário 5º PA'!$A$5:$A$2634)+COUNT('Diário 6º PA'!$A$5:$A$2246)+ROW()-4)</f>
        <v/>
      </c>
      <c r="B1985" s="290"/>
      <c r="C1985" s="357"/>
      <c r="D1985" s="291"/>
      <c r="E1985" s="291"/>
      <c r="F1985" s="292"/>
      <c r="G1985" s="291"/>
      <c r="H1985" s="291"/>
      <c r="I1985" s="293"/>
      <c r="J1985" s="291"/>
      <c r="K1985" s="291"/>
      <c r="L1985" s="293"/>
      <c r="M1985" s="291"/>
      <c r="N1985" s="289"/>
      <c r="O1985" s="358"/>
      <c r="P1985" s="330">
        <f t="shared" si="271"/>
        <v>0</v>
      </c>
      <c r="Q1985" s="330">
        <f t="shared" si="272"/>
        <v>0</v>
      </c>
      <c r="R1985" s="331" t="str">
        <f t="shared" si="273"/>
        <v/>
      </c>
      <c r="S1985" s="331" t="str">
        <f>IF(D1985="","",IF(OR(D1985=Plano!$A$1,D1985=Plano!$B$1),"entrada","saída"))</f>
        <v/>
      </c>
      <c r="T1985" s="406"/>
      <c r="U1985" s="406"/>
      <c r="V1985" s="269"/>
      <c r="W1985" s="269"/>
      <c r="X1985" s="269"/>
      <c r="Y1985" s="269"/>
      <c r="Z1985" s="269"/>
      <c r="AA1985" s="269"/>
      <c r="AB1985" s="269"/>
      <c r="AC1985" s="269"/>
      <c r="AD1985" s="269"/>
      <c r="AE1985" s="269"/>
      <c r="AF1985" s="269"/>
      <c r="AG1985" s="269"/>
      <c r="AH1985" s="269"/>
      <c r="AI1985" s="269"/>
      <c r="AJ1985" s="269"/>
      <c r="AK1985" s="269"/>
      <c r="AL1985" s="269"/>
      <c r="AM1985" s="269"/>
    </row>
    <row r="1986" spans="1:39" ht="12.75" customHeight="1" x14ac:dyDescent="0.2">
      <c r="A1986" s="289" t="str">
        <f>IF(B1986="","",COUNT('Diário 5º PA'!$A$5:$A$2634)+COUNT('Diário 6º PA'!$A$5:$A$2246)+ROW()-4)</f>
        <v/>
      </c>
      <c r="B1986" s="290"/>
      <c r="C1986" s="357"/>
      <c r="D1986" s="291"/>
      <c r="E1986" s="291"/>
      <c r="F1986" s="292"/>
      <c r="G1986" s="291"/>
      <c r="H1986" s="291"/>
      <c r="I1986" s="293"/>
      <c r="J1986" s="291"/>
      <c r="K1986" s="291"/>
      <c r="L1986" s="293"/>
      <c r="M1986" s="291"/>
      <c r="N1986" s="289"/>
      <c r="O1986" s="358"/>
      <c r="P1986" s="330">
        <f t="shared" si="271"/>
        <v>0</v>
      </c>
      <c r="Q1986" s="330">
        <f t="shared" si="272"/>
        <v>0</v>
      </c>
      <c r="R1986" s="331" t="str">
        <f t="shared" si="273"/>
        <v/>
      </c>
      <c r="S1986" s="331" t="str">
        <f>IF(D1986="","",IF(OR(D1986=Plano!$A$1,D1986=Plano!$B$1),"entrada","saída"))</f>
        <v/>
      </c>
      <c r="T1986" s="406"/>
      <c r="U1986" s="406"/>
      <c r="V1986" s="269"/>
      <c r="W1986" s="269"/>
      <c r="X1986" s="269"/>
      <c r="Y1986" s="269"/>
      <c r="Z1986" s="269"/>
      <c r="AA1986" s="269"/>
      <c r="AB1986" s="269"/>
      <c r="AC1986" s="269"/>
      <c r="AD1986" s="269"/>
      <c r="AE1986" s="269"/>
      <c r="AF1986" s="269"/>
      <c r="AG1986" s="269"/>
      <c r="AH1986" s="269"/>
      <c r="AI1986" s="269"/>
      <c r="AJ1986" s="269"/>
      <c r="AK1986" s="269"/>
      <c r="AL1986" s="269"/>
      <c r="AM1986" s="269"/>
    </row>
    <row r="1987" spans="1:39" ht="12.75" customHeight="1" x14ac:dyDescent="0.2">
      <c r="A1987" s="289" t="str">
        <f>IF(B1987="","",COUNT('Diário 5º PA'!$A$5:$A$2634)+COUNT('Diário 6º PA'!$A$5:$A$2246)+ROW()-4)</f>
        <v/>
      </c>
      <c r="B1987" s="290"/>
      <c r="C1987" s="357"/>
      <c r="D1987" s="291"/>
      <c r="E1987" s="291"/>
      <c r="F1987" s="292"/>
      <c r="G1987" s="291"/>
      <c r="H1987" s="291"/>
      <c r="I1987" s="293"/>
      <c r="J1987" s="291"/>
      <c r="K1987" s="291"/>
      <c r="L1987" s="293"/>
      <c r="M1987" s="291"/>
      <c r="N1987" s="289"/>
      <c r="O1987" s="358"/>
      <c r="P1987" s="330">
        <f t="shared" si="271"/>
        <v>0</v>
      </c>
      <c r="Q1987" s="330">
        <f t="shared" si="272"/>
        <v>0</v>
      </c>
      <c r="R1987" s="331" t="str">
        <f t="shared" si="273"/>
        <v/>
      </c>
      <c r="S1987" s="331" t="str">
        <f>IF(D1987="","",IF(OR(D1987=Plano!$A$1,D1987=Plano!$B$1),"entrada","saída"))</f>
        <v/>
      </c>
      <c r="T1987" s="406"/>
      <c r="U1987" s="406"/>
      <c r="V1987" s="269"/>
      <c r="W1987" s="269"/>
      <c r="X1987" s="269"/>
      <c r="Y1987" s="269"/>
      <c r="Z1987" s="269"/>
      <c r="AA1987" s="269"/>
      <c r="AB1987" s="269"/>
      <c r="AC1987" s="269"/>
      <c r="AD1987" s="269"/>
      <c r="AE1987" s="269"/>
      <c r="AF1987" s="269"/>
      <c r="AG1987" s="269"/>
      <c r="AH1987" s="269"/>
      <c r="AI1987" s="269"/>
      <c r="AJ1987" s="269"/>
      <c r="AK1987" s="269"/>
      <c r="AL1987" s="269"/>
      <c r="AM1987" s="269"/>
    </row>
    <row r="1988" spans="1:39" ht="12.75" customHeight="1" x14ac:dyDescent="0.2">
      <c r="A1988" s="289" t="str">
        <f>IF(B1988="","",COUNT('Diário 5º PA'!$A$5:$A$2634)+COUNT('Diário 6º PA'!$A$5:$A$2246)+ROW()-4)</f>
        <v/>
      </c>
      <c r="B1988" s="290"/>
      <c r="C1988" s="357"/>
      <c r="D1988" s="291"/>
      <c r="E1988" s="291"/>
      <c r="F1988" s="292"/>
      <c r="G1988" s="291"/>
      <c r="H1988" s="291"/>
      <c r="I1988" s="293"/>
      <c r="J1988" s="291"/>
      <c r="K1988" s="291"/>
      <c r="L1988" s="293"/>
      <c r="M1988" s="291"/>
      <c r="N1988" s="289"/>
      <c r="O1988" s="358"/>
      <c r="P1988" s="330">
        <f t="shared" si="271"/>
        <v>0</v>
      </c>
      <c r="Q1988" s="330">
        <f t="shared" si="272"/>
        <v>0</v>
      </c>
      <c r="R1988" s="331" t="str">
        <f t="shared" si="273"/>
        <v/>
      </c>
      <c r="S1988" s="331" t="str">
        <f>IF(D1988="","",IF(OR(D1988=Plano!$A$1,D1988=Plano!$B$1),"entrada","saída"))</f>
        <v/>
      </c>
      <c r="T1988" s="406"/>
      <c r="U1988" s="406"/>
      <c r="V1988" s="269"/>
      <c r="W1988" s="269"/>
      <c r="X1988" s="269"/>
      <c r="Y1988" s="269"/>
      <c r="Z1988" s="269"/>
      <c r="AA1988" s="269"/>
      <c r="AB1988" s="269"/>
      <c r="AC1988" s="269"/>
      <c r="AD1988" s="269"/>
      <c r="AE1988" s="269"/>
      <c r="AF1988" s="269"/>
      <c r="AG1988" s="269"/>
      <c r="AH1988" s="269"/>
      <c r="AI1988" s="269"/>
      <c r="AJ1988" s="269"/>
      <c r="AK1988" s="269"/>
      <c r="AL1988" s="269"/>
      <c r="AM1988" s="269"/>
    </row>
    <row r="1989" spans="1:39" ht="12.75" customHeight="1" x14ac:dyDescent="0.2">
      <c r="A1989" s="289" t="str">
        <f>IF(B1989="","",COUNT('Diário 5º PA'!$A$5:$A$2634)+COUNT('Diário 6º PA'!$A$5:$A$2246)+ROW()-4)</f>
        <v/>
      </c>
      <c r="B1989" s="290"/>
      <c r="C1989" s="357"/>
      <c r="D1989" s="291"/>
      <c r="E1989" s="291"/>
      <c r="F1989" s="292"/>
      <c r="G1989" s="291"/>
      <c r="H1989" s="291"/>
      <c r="I1989" s="293"/>
      <c r="J1989" s="291"/>
      <c r="K1989" s="291"/>
      <c r="L1989" s="293"/>
      <c r="M1989" s="291"/>
      <c r="N1989" s="289"/>
      <c r="O1989" s="358"/>
      <c r="P1989" s="330">
        <f t="shared" si="271"/>
        <v>0</v>
      </c>
      <c r="Q1989" s="330">
        <f t="shared" si="272"/>
        <v>0</v>
      </c>
      <c r="R1989" s="331" t="str">
        <f t="shared" si="273"/>
        <v/>
      </c>
      <c r="S1989" s="331" t="str">
        <f>IF(D1989="","",IF(OR(D1989=Plano!$A$1,D1989=Plano!$B$1),"entrada","saída"))</f>
        <v/>
      </c>
      <c r="T1989" s="406"/>
      <c r="U1989" s="406"/>
      <c r="V1989" s="269"/>
      <c r="W1989" s="269"/>
      <c r="X1989" s="269"/>
      <c r="Y1989" s="269"/>
      <c r="Z1989" s="269"/>
      <c r="AA1989" s="269"/>
      <c r="AB1989" s="269"/>
      <c r="AC1989" s="269"/>
      <c r="AD1989" s="269"/>
      <c r="AE1989" s="269"/>
      <c r="AF1989" s="269"/>
      <c r="AG1989" s="269"/>
      <c r="AH1989" s="269"/>
      <c r="AI1989" s="269"/>
      <c r="AJ1989" s="269"/>
      <c r="AK1989" s="269"/>
      <c r="AL1989" s="269"/>
      <c r="AM1989" s="269"/>
    </row>
    <row r="1990" spans="1:39" ht="12.75" customHeight="1" x14ac:dyDescent="0.2">
      <c r="A1990" s="289" t="str">
        <f>IF(B1990="","",COUNT('Diário 5º PA'!$A$5:$A$2634)+COUNT('Diário 6º PA'!$A$5:$A$2246)+ROW()-4)</f>
        <v/>
      </c>
      <c r="B1990" s="290"/>
      <c r="C1990" s="357"/>
      <c r="D1990" s="291"/>
      <c r="E1990" s="291"/>
      <c r="F1990" s="292"/>
      <c r="G1990" s="291"/>
      <c r="H1990" s="291"/>
      <c r="I1990" s="293"/>
      <c r="J1990" s="291"/>
      <c r="K1990" s="291"/>
      <c r="L1990" s="293"/>
      <c r="M1990" s="291"/>
      <c r="N1990" s="289"/>
      <c r="O1990" s="358"/>
      <c r="P1990" s="330">
        <f t="shared" si="271"/>
        <v>0</v>
      </c>
      <c r="Q1990" s="330">
        <f t="shared" si="272"/>
        <v>0</v>
      </c>
      <c r="R1990" s="331" t="str">
        <f t="shared" si="273"/>
        <v/>
      </c>
      <c r="S1990" s="331" t="str">
        <f>IF(D1990="","",IF(OR(D1990=Plano!$A$1,D1990=Plano!$B$1),"entrada","saída"))</f>
        <v/>
      </c>
      <c r="T1990" s="406"/>
      <c r="U1990" s="406"/>
      <c r="V1990" s="269"/>
      <c r="W1990" s="269"/>
      <c r="X1990" s="269"/>
      <c r="Y1990" s="269"/>
      <c r="Z1990" s="269"/>
      <c r="AA1990" s="269"/>
      <c r="AB1990" s="269"/>
      <c r="AC1990" s="269"/>
      <c r="AD1990" s="269"/>
      <c r="AE1990" s="269"/>
      <c r="AF1990" s="269"/>
      <c r="AG1990" s="269"/>
      <c r="AH1990" s="269"/>
      <c r="AI1990" s="269"/>
      <c r="AJ1990" s="269"/>
      <c r="AK1990" s="269"/>
      <c r="AL1990" s="269"/>
      <c r="AM1990" s="269"/>
    </row>
    <row r="1991" spans="1:39" ht="12.75" customHeight="1" x14ac:dyDescent="0.2">
      <c r="A1991" s="289" t="str">
        <f>IF(B1991="","",COUNT('Diário 5º PA'!$A$5:$A$2634)+COUNT('Diário 6º PA'!$A$5:$A$2246)+ROW()-4)</f>
        <v/>
      </c>
      <c r="B1991" s="290"/>
      <c r="C1991" s="357"/>
      <c r="D1991" s="291"/>
      <c r="E1991" s="291"/>
      <c r="F1991" s="292"/>
      <c r="G1991" s="291"/>
      <c r="H1991" s="291"/>
      <c r="I1991" s="293"/>
      <c r="J1991" s="291"/>
      <c r="K1991" s="291"/>
      <c r="L1991" s="293"/>
      <c r="M1991" s="291"/>
      <c r="N1991" s="289"/>
      <c r="O1991" s="358"/>
      <c r="P1991" s="330">
        <f t="shared" si="271"/>
        <v>0</v>
      </c>
      <c r="Q1991" s="330">
        <f t="shared" si="272"/>
        <v>0</v>
      </c>
      <c r="R1991" s="331" t="str">
        <f t="shared" si="273"/>
        <v/>
      </c>
      <c r="S1991" s="331" t="str">
        <f>IF(D1991="","",IF(OR(D1991=Plano!$A$1,D1991=Plano!$B$1),"entrada","saída"))</f>
        <v/>
      </c>
      <c r="T1991" s="406"/>
      <c r="U1991" s="406"/>
      <c r="V1991" s="269"/>
      <c r="W1991" s="269"/>
      <c r="X1991" s="269"/>
      <c r="Y1991" s="269"/>
      <c r="Z1991" s="269"/>
      <c r="AA1991" s="269"/>
      <c r="AB1991" s="269"/>
      <c r="AC1991" s="269"/>
      <c r="AD1991" s="269"/>
      <c r="AE1991" s="269"/>
      <c r="AF1991" s="269"/>
      <c r="AG1991" s="269"/>
      <c r="AH1991" s="269"/>
      <c r="AI1991" s="269"/>
      <c r="AJ1991" s="269"/>
      <c r="AK1991" s="269"/>
      <c r="AL1991" s="269"/>
      <c r="AM1991" s="269"/>
    </row>
    <row r="1992" spans="1:39" ht="12.75" customHeight="1" x14ac:dyDescent="0.2">
      <c r="A1992" s="289" t="str">
        <f>IF(B1992="","",COUNT('Diário 5º PA'!$A$5:$A$2634)+COUNT('Diário 6º PA'!$A$5:$A$2246)+ROW()-4)</f>
        <v/>
      </c>
      <c r="B1992" s="290"/>
      <c r="C1992" s="357"/>
      <c r="D1992" s="291"/>
      <c r="E1992" s="291"/>
      <c r="F1992" s="292"/>
      <c r="G1992" s="291"/>
      <c r="H1992" s="291"/>
      <c r="I1992" s="293"/>
      <c r="J1992" s="291"/>
      <c r="K1992" s="291"/>
      <c r="L1992" s="293"/>
      <c r="M1992" s="291"/>
      <c r="N1992" s="289"/>
      <c r="O1992" s="358"/>
      <c r="P1992" s="330">
        <f t="shared" si="271"/>
        <v>0</v>
      </c>
      <c r="Q1992" s="330">
        <f t="shared" si="272"/>
        <v>0</v>
      </c>
      <c r="R1992" s="331" t="str">
        <f t="shared" si="273"/>
        <v/>
      </c>
      <c r="S1992" s="331" t="str">
        <f>IF(D1992="","",IF(OR(D1992=Plano!$A$1,D1992=Plano!$B$1),"entrada","saída"))</f>
        <v/>
      </c>
      <c r="T1992" s="406"/>
      <c r="U1992" s="406"/>
      <c r="V1992" s="269"/>
      <c r="W1992" s="269"/>
      <c r="X1992" s="269"/>
      <c r="Y1992" s="269"/>
      <c r="Z1992" s="269"/>
      <c r="AA1992" s="269"/>
      <c r="AB1992" s="269"/>
      <c r="AC1992" s="269"/>
      <c r="AD1992" s="269"/>
      <c r="AE1992" s="269"/>
      <c r="AF1992" s="269"/>
      <c r="AG1992" s="269"/>
      <c r="AH1992" s="269"/>
      <c r="AI1992" s="269"/>
      <c r="AJ1992" s="269"/>
      <c r="AK1992" s="269"/>
      <c r="AL1992" s="269"/>
      <c r="AM1992" s="269"/>
    </row>
    <row r="1993" spans="1:39" ht="12.75" customHeight="1" x14ac:dyDescent="0.2">
      <c r="A1993" s="289" t="str">
        <f>IF(B1993="","",COUNT('Diário 5º PA'!$A$5:$A$2634)+COUNT('Diário 6º PA'!$A$5:$A$2246)+ROW()-4)</f>
        <v/>
      </c>
      <c r="B1993" s="290"/>
      <c r="C1993" s="357"/>
      <c r="D1993" s="291"/>
      <c r="E1993" s="291"/>
      <c r="F1993" s="292"/>
      <c r="G1993" s="291"/>
      <c r="H1993" s="291"/>
      <c r="I1993" s="293"/>
      <c r="J1993" s="291"/>
      <c r="K1993" s="291"/>
      <c r="L1993" s="293"/>
      <c r="M1993" s="291"/>
      <c r="N1993" s="289"/>
      <c r="O1993" s="358"/>
      <c r="P1993" s="330">
        <f t="shared" si="271"/>
        <v>0</v>
      </c>
      <c r="Q1993" s="330">
        <f t="shared" si="272"/>
        <v>0</v>
      </c>
      <c r="R1993" s="331" t="str">
        <f t="shared" si="273"/>
        <v/>
      </c>
      <c r="S1993" s="331" t="str">
        <f>IF(D1993="","",IF(OR(D1993=Plano!$A$1,D1993=Plano!$B$1),"entrada","saída"))</f>
        <v/>
      </c>
      <c r="T1993" s="406"/>
      <c r="U1993" s="406"/>
      <c r="V1993" s="269"/>
      <c r="W1993" s="269"/>
      <c r="X1993" s="269"/>
      <c r="Y1993" s="269"/>
      <c r="Z1993" s="269"/>
      <c r="AA1993" s="269"/>
      <c r="AB1993" s="269"/>
      <c r="AC1993" s="269"/>
      <c r="AD1993" s="269"/>
      <c r="AE1993" s="269"/>
      <c r="AF1993" s="269"/>
      <c r="AG1993" s="269"/>
      <c r="AH1993" s="269"/>
      <c r="AI1993" s="269"/>
      <c r="AJ1993" s="269"/>
      <c r="AK1993" s="269"/>
      <c r="AL1993" s="269"/>
      <c r="AM1993" s="269"/>
    </row>
    <row r="1994" spans="1:39" ht="12.75" customHeight="1" x14ac:dyDescent="0.2">
      <c r="A1994" s="289" t="str">
        <f>IF(B1994="","",COUNT('Diário 5º PA'!$A$5:$A$2634)+COUNT('Diário 6º PA'!$A$5:$A$2246)+ROW()-4)</f>
        <v/>
      </c>
      <c r="B1994" s="290"/>
      <c r="C1994" s="357"/>
      <c r="D1994" s="291"/>
      <c r="E1994" s="291"/>
      <c r="F1994" s="292"/>
      <c r="G1994" s="291"/>
      <c r="H1994" s="291"/>
      <c r="I1994" s="293"/>
      <c r="J1994" s="291"/>
      <c r="K1994" s="291"/>
      <c r="L1994" s="293"/>
      <c r="M1994" s="291"/>
      <c r="N1994" s="289"/>
      <c r="O1994" s="358"/>
      <c r="P1994" s="330">
        <f t="shared" si="271"/>
        <v>0</v>
      </c>
      <c r="Q1994" s="330">
        <f t="shared" si="272"/>
        <v>0</v>
      </c>
      <c r="R1994" s="331" t="str">
        <f t="shared" si="273"/>
        <v/>
      </c>
      <c r="S1994" s="331" t="str">
        <f>IF(D1994="","",IF(OR(D1994=Plano!$A$1,D1994=Plano!$B$1),"entrada","saída"))</f>
        <v/>
      </c>
      <c r="T1994" s="406"/>
      <c r="U1994" s="406"/>
      <c r="V1994" s="269"/>
      <c r="W1994" s="269"/>
      <c r="X1994" s="269"/>
      <c r="Y1994" s="269"/>
      <c r="Z1994" s="269"/>
      <c r="AA1994" s="269"/>
      <c r="AB1994" s="269"/>
      <c r="AC1994" s="269"/>
      <c r="AD1994" s="269"/>
      <c r="AE1994" s="269"/>
      <c r="AF1994" s="269"/>
      <c r="AG1994" s="269"/>
      <c r="AH1994" s="269"/>
      <c r="AI1994" s="269"/>
      <c r="AJ1994" s="269"/>
      <c r="AK1994" s="269"/>
      <c r="AL1994" s="269"/>
      <c r="AM1994" s="269"/>
    </row>
    <row r="1995" spans="1:39" ht="12.75" customHeight="1" x14ac:dyDescent="0.2">
      <c r="A1995" s="289" t="str">
        <f>IF(B1995="","",COUNT('Diário 5º PA'!$A$5:$A$2634)+COUNT('Diário 6º PA'!$A$5:$A$2246)+ROW()-4)</f>
        <v/>
      </c>
      <c r="B1995" s="290"/>
      <c r="C1995" s="357"/>
      <c r="D1995" s="291"/>
      <c r="E1995" s="291"/>
      <c r="F1995" s="292"/>
      <c r="G1995" s="291"/>
      <c r="H1995" s="291"/>
      <c r="I1995" s="293"/>
      <c r="J1995" s="291"/>
      <c r="K1995" s="291"/>
      <c r="L1995" s="293"/>
      <c r="M1995" s="291"/>
      <c r="N1995" s="289"/>
      <c r="O1995" s="358"/>
      <c r="P1995" s="330">
        <f t="shared" si="271"/>
        <v>0</v>
      </c>
      <c r="Q1995" s="330">
        <f t="shared" si="272"/>
        <v>0</v>
      </c>
      <c r="R1995" s="331" t="str">
        <f t="shared" si="273"/>
        <v/>
      </c>
      <c r="S1995" s="331" t="str">
        <f>IF(D1995="","",IF(OR(D1995=Plano!$A$1,D1995=Plano!$B$1),"entrada","saída"))</f>
        <v/>
      </c>
      <c r="T1995" s="406"/>
      <c r="U1995" s="406"/>
      <c r="V1995" s="269"/>
      <c r="W1995" s="269"/>
      <c r="X1995" s="269"/>
      <c r="Y1995" s="269"/>
      <c r="Z1995" s="269"/>
      <c r="AA1995" s="269"/>
      <c r="AB1995" s="269"/>
      <c r="AC1995" s="269"/>
      <c r="AD1995" s="269"/>
      <c r="AE1995" s="269"/>
      <c r="AF1995" s="269"/>
      <c r="AG1995" s="269"/>
      <c r="AH1995" s="269"/>
      <c r="AI1995" s="269"/>
      <c r="AJ1995" s="269"/>
      <c r="AK1995" s="269"/>
      <c r="AL1995" s="269"/>
      <c r="AM1995" s="269"/>
    </row>
    <row r="1996" spans="1:39" ht="12.75" customHeight="1" x14ac:dyDescent="0.2">
      <c r="A1996" s="289" t="str">
        <f>IF(B1996="","",COUNT('Diário 5º PA'!$A$5:$A$2634)+COUNT('Diário 6º PA'!$A$5:$A$2246)+ROW()-4)</f>
        <v/>
      </c>
      <c r="B1996" s="290"/>
      <c r="C1996" s="357"/>
      <c r="D1996" s="291"/>
      <c r="E1996" s="291"/>
      <c r="F1996" s="292"/>
      <c r="G1996" s="291"/>
      <c r="H1996" s="291"/>
      <c r="I1996" s="293"/>
      <c r="J1996" s="291"/>
      <c r="K1996" s="291"/>
      <c r="L1996" s="293"/>
      <c r="M1996" s="291"/>
      <c r="N1996" s="289"/>
      <c r="O1996" s="358"/>
      <c r="P1996" s="330">
        <f t="shared" si="271"/>
        <v>0</v>
      </c>
      <c r="Q1996" s="330">
        <f t="shared" si="272"/>
        <v>0</v>
      </c>
      <c r="R1996" s="331" t="str">
        <f t="shared" si="273"/>
        <v/>
      </c>
      <c r="S1996" s="331" t="str">
        <f>IF(D1996="","",IF(OR(D1996=Plano!$A$1,D1996=Plano!$B$1),"entrada","saída"))</f>
        <v/>
      </c>
      <c r="T1996" s="406"/>
      <c r="U1996" s="406"/>
      <c r="V1996" s="269"/>
      <c r="W1996" s="269"/>
      <c r="X1996" s="269"/>
      <c r="Y1996" s="269"/>
      <c r="Z1996" s="269"/>
      <c r="AA1996" s="269"/>
      <c r="AB1996" s="269"/>
      <c r="AC1996" s="269"/>
      <c r="AD1996" s="269"/>
      <c r="AE1996" s="269"/>
      <c r="AF1996" s="269"/>
      <c r="AG1996" s="269"/>
      <c r="AH1996" s="269"/>
      <c r="AI1996" s="269"/>
      <c r="AJ1996" s="269"/>
      <c r="AK1996" s="269"/>
      <c r="AL1996" s="269"/>
      <c r="AM1996" s="269"/>
    </row>
    <row r="1997" spans="1:39" ht="12.75" customHeight="1" x14ac:dyDescent="0.2">
      <c r="A1997" s="289" t="str">
        <f>IF(B1997="","",COUNT('Diário 5º PA'!$A$5:$A$2634)+COUNT('Diário 6º PA'!$A$5:$A$2246)+ROW()-4)</f>
        <v/>
      </c>
      <c r="B1997" s="290"/>
      <c r="C1997" s="357"/>
      <c r="D1997" s="291"/>
      <c r="E1997" s="291"/>
      <c r="F1997" s="292"/>
      <c r="G1997" s="291"/>
      <c r="H1997" s="291"/>
      <c r="I1997" s="293"/>
      <c r="J1997" s="291"/>
      <c r="K1997" s="291"/>
      <c r="L1997" s="293"/>
      <c r="M1997" s="291"/>
      <c r="N1997" s="289"/>
      <c r="O1997" s="358"/>
      <c r="P1997" s="330">
        <f t="shared" si="271"/>
        <v>0</v>
      </c>
      <c r="Q1997" s="330">
        <f t="shared" si="272"/>
        <v>0</v>
      </c>
      <c r="R1997" s="331" t="str">
        <f t="shared" si="273"/>
        <v/>
      </c>
      <c r="S1997" s="331" t="str">
        <f>IF(D1997="","",IF(OR(D1997=Plano!$A$1,D1997=Plano!$B$1),"entrada","saída"))</f>
        <v/>
      </c>
      <c r="T1997" s="406"/>
      <c r="U1997" s="406"/>
      <c r="V1997" s="269"/>
      <c r="W1997" s="269"/>
      <c r="X1997" s="269"/>
      <c r="Y1997" s="269"/>
      <c r="Z1997" s="269"/>
      <c r="AA1997" s="269"/>
      <c r="AB1997" s="269"/>
      <c r="AC1997" s="269"/>
      <c r="AD1997" s="269"/>
      <c r="AE1997" s="269"/>
      <c r="AF1997" s="269"/>
      <c r="AG1997" s="269"/>
      <c r="AH1997" s="269"/>
      <c r="AI1997" s="269"/>
      <c r="AJ1997" s="269"/>
      <c r="AK1997" s="269"/>
      <c r="AL1997" s="269"/>
      <c r="AM1997" s="269"/>
    </row>
    <row r="1998" spans="1:39" ht="12.75" customHeight="1" x14ac:dyDescent="0.2">
      <c r="A1998" s="289" t="str">
        <f>IF(B1998="","",COUNT('Diário 5º PA'!$A$5:$A$2634)+COUNT('Diário 6º PA'!$A$5:$A$2246)+ROW()-4)</f>
        <v/>
      </c>
      <c r="B1998" s="290"/>
      <c r="C1998" s="357"/>
      <c r="D1998" s="291"/>
      <c r="E1998" s="291"/>
      <c r="F1998" s="292"/>
      <c r="G1998" s="291"/>
      <c r="H1998" s="291"/>
      <c r="I1998" s="293"/>
      <c r="J1998" s="291"/>
      <c r="K1998" s="291"/>
      <c r="L1998" s="293"/>
      <c r="M1998" s="291"/>
      <c r="N1998" s="289"/>
      <c r="O1998" s="358"/>
      <c r="P1998" s="330">
        <f t="shared" si="271"/>
        <v>0</v>
      </c>
      <c r="Q1998" s="330">
        <f t="shared" si="272"/>
        <v>0</v>
      </c>
      <c r="R1998" s="331" t="str">
        <f t="shared" si="273"/>
        <v/>
      </c>
      <c r="S1998" s="331" t="str">
        <f>IF(D1998="","",IF(OR(D1998=Plano!$A$1,D1998=Plano!$B$1),"entrada","saída"))</f>
        <v/>
      </c>
      <c r="T1998" s="406"/>
      <c r="U1998" s="406"/>
      <c r="V1998" s="269"/>
      <c r="W1998" s="269"/>
      <c r="X1998" s="269"/>
      <c r="Y1998" s="269"/>
      <c r="Z1998" s="269"/>
      <c r="AA1998" s="269"/>
      <c r="AB1998" s="269"/>
      <c r="AC1998" s="269"/>
      <c r="AD1998" s="269"/>
      <c r="AE1998" s="269"/>
      <c r="AF1998" s="269"/>
      <c r="AG1998" s="269"/>
      <c r="AH1998" s="269"/>
      <c r="AI1998" s="269"/>
      <c r="AJ1998" s="269"/>
      <c r="AK1998" s="269"/>
      <c r="AL1998" s="269"/>
      <c r="AM1998" s="269"/>
    </row>
    <row r="1999" spans="1:39" ht="12.75" customHeight="1" x14ac:dyDescent="0.2">
      <c r="A1999" s="289" t="str">
        <f>IF(B1999="","",COUNT('Diário 5º PA'!$A$5:$A$2634)+COUNT('Diário 6º PA'!$A$5:$A$2246)+ROW()-4)</f>
        <v/>
      </c>
      <c r="B1999" s="290"/>
      <c r="C1999" s="357"/>
      <c r="D1999" s="291"/>
      <c r="E1999" s="291"/>
      <c r="F1999" s="292"/>
      <c r="G1999" s="291"/>
      <c r="H1999" s="291"/>
      <c r="I1999" s="293"/>
      <c r="J1999" s="291"/>
      <c r="K1999" s="291"/>
      <c r="L1999" s="293"/>
      <c r="M1999" s="291"/>
      <c r="N1999" s="289"/>
      <c r="O1999" s="358"/>
      <c r="P1999" s="330">
        <f t="shared" si="271"/>
        <v>0</v>
      </c>
      <c r="Q1999" s="330">
        <f t="shared" si="272"/>
        <v>0</v>
      </c>
      <c r="R1999" s="331" t="str">
        <f t="shared" si="273"/>
        <v/>
      </c>
      <c r="S1999" s="331" t="str">
        <f>IF(D1999="","",IF(OR(D1999=Plano!$A$1,D1999=Plano!$B$1),"entrada","saída"))</f>
        <v/>
      </c>
      <c r="T1999" s="406"/>
      <c r="U1999" s="406"/>
      <c r="V1999" s="269"/>
      <c r="W1999" s="269"/>
      <c r="X1999" s="269"/>
      <c r="Y1999" s="269"/>
      <c r="Z1999" s="269"/>
      <c r="AA1999" s="269"/>
      <c r="AB1999" s="269"/>
      <c r="AC1999" s="269"/>
      <c r="AD1999" s="269"/>
      <c r="AE1999" s="269"/>
      <c r="AF1999" s="269"/>
      <c r="AG1999" s="269"/>
      <c r="AH1999" s="269"/>
      <c r="AI1999" s="269"/>
      <c r="AJ1999" s="269"/>
      <c r="AK1999" s="269"/>
      <c r="AL1999" s="269"/>
      <c r="AM1999" s="269"/>
    </row>
    <row r="2000" spans="1:39" ht="12.75" customHeight="1" x14ac:dyDescent="0.2">
      <c r="A2000" s="289" t="str">
        <f>IF(B2000="","",COUNT('Diário 5º PA'!$A$5:$A$2634)+COUNT('Diário 6º PA'!$A$5:$A$2246)+ROW()-4)</f>
        <v/>
      </c>
      <c r="B2000" s="290"/>
      <c r="C2000" s="357"/>
      <c r="D2000" s="291"/>
      <c r="E2000" s="291"/>
      <c r="F2000" s="292"/>
      <c r="G2000" s="291"/>
      <c r="H2000" s="291"/>
      <c r="I2000" s="293"/>
      <c r="J2000" s="291"/>
      <c r="K2000" s="291"/>
      <c r="L2000" s="293"/>
      <c r="M2000" s="291"/>
      <c r="N2000" s="289"/>
      <c r="O2000" s="358"/>
      <c r="P2000" s="330">
        <f t="shared" si="271"/>
        <v>0</v>
      </c>
      <c r="Q2000" s="330">
        <f t="shared" si="272"/>
        <v>0</v>
      </c>
      <c r="R2000" s="331" t="str">
        <f t="shared" si="273"/>
        <v/>
      </c>
      <c r="S2000" s="331" t="str">
        <f>IF(D2000="","",IF(OR(D2000=Plano!$A$1,D2000=Plano!$B$1),"entrada","saída"))</f>
        <v/>
      </c>
      <c r="T2000" s="406"/>
      <c r="U2000" s="406"/>
      <c r="V2000" s="269"/>
      <c r="W2000" s="269"/>
      <c r="X2000" s="269"/>
      <c r="Y2000" s="269"/>
      <c r="Z2000" s="269"/>
      <c r="AA2000" s="269"/>
      <c r="AB2000" s="269"/>
      <c r="AC2000" s="269"/>
      <c r="AD2000" s="269"/>
      <c r="AE2000" s="269"/>
      <c r="AF2000" s="269"/>
      <c r="AG2000" s="269"/>
      <c r="AH2000" s="269"/>
      <c r="AI2000" s="269"/>
      <c r="AJ2000" s="269"/>
      <c r="AK2000" s="269"/>
      <c r="AL2000" s="269"/>
      <c r="AM2000" s="269"/>
    </row>
    <row r="2001" spans="1:39" ht="12.75" customHeight="1" x14ac:dyDescent="0.2">
      <c r="A2001" s="289" t="str">
        <f>IF(B2001="","",COUNT('Diário 5º PA'!$A$5:$A$2634)+COUNT('Diário 6º PA'!$A$5:$A$2246)+ROW()-4)</f>
        <v/>
      </c>
      <c r="B2001" s="290"/>
      <c r="C2001" s="357"/>
      <c r="D2001" s="291"/>
      <c r="E2001" s="291"/>
      <c r="F2001" s="292"/>
      <c r="G2001" s="291"/>
      <c r="H2001" s="291"/>
      <c r="I2001" s="293"/>
      <c r="J2001" s="291"/>
      <c r="K2001" s="291"/>
      <c r="L2001" s="293"/>
      <c r="M2001" s="291"/>
      <c r="N2001" s="289"/>
      <c r="O2001" s="358"/>
      <c r="P2001" s="330">
        <f t="shared" si="271"/>
        <v>0</v>
      </c>
      <c r="Q2001" s="330">
        <f t="shared" si="272"/>
        <v>0</v>
      </c>
      <c r="R2001" s="331" t="str">
        <f t="shared" si="273"/>
        <v/>
      </c>
      <c r="S2001" s="331" t="str">
        <f>IF(D2001="","",IF(OR(D2001=Plano!$A$1,D2001=Plano!$B$1),"entrada","saída"))</f>
        <v/>
      </c>
      <c r="T2001" s="406"/>
      <c r="U2001" s="406"/>
      <c r="V2001" s="269"/>
      <c r="W2001" s="269"/>
      <c r="X2001" s="269"/>
      <c r="Y2001" s="269"/>
      <c r="Z2001" s="269"/>
      <c r="AA2001" s="269"/>
      <c r="AB2001" s="269"/>
      <c r="AC2001" s="269"/>
      <c r="AD2001" s="269"/>
      <c r="AE2001" s="269"/>
      <c r="AF2001" s="269"/>
      <c r="AG2001" s="269"/>
      <c r="AH2001" s="269"/>
      <c r="AI2001" s="269"/>
      <c r="AJ2001" s="269"/>
      <c r="AK2001" s="269"/>
      <c r="AL2001" s="269"/>
      <c r="AM2001" s="269"/>
    </row>
    <row r="2002" spans="1:39" ht="12.75" customHeight="1" x14ac:dyDescent="0.2">
      <c r="A2002" s="289" t="str">
        <f>IF(B2002="","",COUNT('Diário 5º PA'!$A$5:$A$2634)+COUNT('Diário 6º PA'!$A$5:$A$2246)+ROW()-4)</f>
        <v/>
      </c>
      <c r="B2002" s="290"/>
      <c r="C2002" s="357"/>
      <c r="D2002" s="291"/>
      <c r="E2002" s="291"/>
      <c r="F2002" s="292"/>
      <c r="G2002" s="291"/>
      <c r="H2002" s="291"/>
      <c r="I2002" s="293"/>
      <c r="J2002" s="291"/>
      <c r="K2002" s="291"/>
      <c r="L2002" s="293"/>
      <c r="M2002" s="291"/>
      <c r="N2002" s="289"/>
      <c r="O2002" s="358"/>
      <c r="P2002" s="330">
        <f t="shared" si="271"/>
        <v>0</v>
      </c>
      <c r="Q2002" s="330">
        <f t="shared" si="272"/>
        <v>0</v>
      </c>
      <c r="R2002" s="331" t="str">
        <f t="shared" si="273"/>
        <v/>
      </c>
      <c r="S2002" s="331" t="str">
        <f>IF(D2002="","",IF(OR(D2002=Plano!$A$1,D2002=Plano!$B$1),"entrada","saída"))</f>
        <v/>
      </c>
      <c r="T2002" s="406"/>
      <c r="U2002" s="406"/>
      <c r="V2002" s="269"/>
      <c r="W2002" s="269"/>
      <c r="X2002" s="269"/>
      <c r="Y2002" s="269"/>
      <c r="Z2002" s="269"/>
      <c r="AA2002" s="269"/>
      <c r="AB2002" s="269"/>
      <c r="AC2002" s="269"/>
      <c r="AD2002" s="269"/>
      <c r="AE2002" s="269"/>
      <c r="AF2002" s="269"/>
      <c r="AG2002" s="269"/>
      <c r="AH2002" s="269"/>
      <c r="AI2002" s="269"/>
      <c r="AJ2002" s="269"/>
      <c r="AK2002" s="269"/>
      <c r="AL2002" s="269"/>
      <c r="AM2002" s="269"/>
    </row>
    <row r="2003" spans="1:39" ht="12.75" customHeight="1" x14ac:dyDescent="0.2">
      <c r="A2003" s="289" t="str">
        <f>IF(B2003="","",COUNT('Diário 5º PA'!$A$5:$A$2634)+COUNT('Diário 6º PA'!$A$5:$A$2246)+ROW()-4)</f>
        <v/>
      </c>
      <c r="B2003" s="290"/>
      <c r="C2003" s="357"/>
      <c r="D2003" s="291"/>
      <c r="E2003" s="291"/>
      <c r="F2003" s="292"/>
      <c r="G2003" s="291"/>
      <c r="H2003" s="291"/>
      <c r="I2003" s="293"/>
      <c r="J2003" s="291"/>
      <c r="K2003" s="291"/>
      <c r="L2003" s="293"/>
      <c r="M2003" s="291"/>
      <c r="N2003" s="289"/>
      <c r="O2003" s="358"/>
      <c r="P2003" s="330">
        <f t="shared" si="271"/>
        <v>0</v>
      </c>
      <c r="Q2003" s="330">
        <f t="shared" si="272"/>
        <v>0</v>
      </c>
      <c r="R2003" s="331" t="str">
        <f t="shared" si="273"/>
        <v/>
      </c>
      <c r="S2003" s="331" t="str">
        <f>IF(D2003="","",IF(OR(D2003=Plano!$A$1,D2003=Plano!$B$1),"entrada","saída"))</f>
        <v/>
      </c>
      <c r="T2003" s="406"/>
      <c r="U2003" s="406"/>
      <c r="V2003" s="269"/>
      <c r="W2003" s="269"/>
      <c r="X2003" s="269"/>
      <c r="Y2003" s="269"/>
      <c r="Z2003" s="269"/>
      <c r="AA2003" s="269"/>
      <c r="AB2003" s="269"/>
      <c r="AC2003" s="269"/>
      <c r="AD2003" s="269"/>
      <c r="AE2003" s="269"/>
      <c r="AF2003" s="269"/>
      <c r="AG2003" s="269"/>
      <c r="AH2003" s="269"/>
      <c r="AI2003" s="269"/>
      <c r="AJ2003" s="269"/>
      <c r="AK2003" s="269"/>
      <c r="AL2003" s="269"/>
      <c r="AM2003" s="269"/>
    </row>
    <row r="2004" spans="1:39" ht="12.75" customHeight="1" x14ac:dyDescent="0.2">
      <c r="A2004" s="289" t="str">
        <f>IF(B2004="","",COUNT('Diário 5º PA'!$A$5:$A$2634)+COUNT('Diário 6º PA'!$A$5:$A$2246)+ROW()-4)</f>
        <v/>
      </c>
      <c r="B2004" s="290"/>
      <c r="C2004" s="357"/>
      <c r="D2004" s="291"/>
      <c r="E2004" s="291"/>
      <c r="F2004" s="292"/>
      <c r="G2004" s="291"/>
      <c r="H2004" s="291"/>
      <c r="I2004" s="293"/>
      <c r="J2004" s="291"/>
      <c r="K2004" s="291"/>
      <c r="L2004" s="293"/>
      <c r="M2004" s="291"/>
      <c r="N2004" s="289"/>
      <c r="O2004" s="358"/>
      <c r="P2004" s="330">
        <f t="shared" si="271"/>
        <v>0</v>
      </c>
      <c r="Q2004" s="330">
        <f t="shared" si="272"/>
        <v>0</v>
      </c>
      <c r="R2004" s="331" t="str">
        <f t="shared" si="273"/>
        <v/>
      </c>
      <c r="S2004" s="331" t="str">
        <f>IF(D2004="","",IF(OR(D2004=Plano!$A$1,D2004=Plano!$B$1),"entrada","saída"))</f>
        <v/>
      </c>
      <c r="T2004" s="406"/>
      <c r="U2004" s="406"/>
      <c r="V2004" s="269"/>
      <c r="W2004" s="269"/>
      <c r="X2004" s="269"/>
      <c r="Y2004" s="269"/>
      <c r="Z2004" s="269"/>
      <c r="AA2004" s="269"/>
      <c r="AB2004" s="269"/>
      <c r="AC2004" s="269"/>
      <c r="AD2004" s="269"/>
      <c r="AE2004" s="269"/>
      <c r="AF2004" s="269"/>
      <c r="AG2004" s="269"/>
      <c r="AH2004" s="269"/>
      <c r="AI2004" s="269"/>
      <c r="AJ2004" s="269"/>
      <c r="AK2004" s="269"/>
      <c r="AL2004" s="269"/>
      <c r="AM2004" s="269"/>
    </row>
    <row r="2005" spans="1:39" ht="12.75" customHeight="1" x14ac:dyDescent="0.2">
      <c r="A2005" s="289" t="str">
        <f>IF(B2005="","",COUNT('Diário 5º PA'!$A$5:$A$2634)+COUNT('Diário 6º PA'!$A$5:$A$2246)+ROW()-4)</f>
        <v/>
      </c>
      <c r="B2005" s="290"/>
      <c r="C2005" s="357"/>
      <c r="D2005" s="291"/>
      <c r="E2005" s="291"/>
      <c r="F2005" s="292"/>
      <c r="G2005" s="291"/>
      <c r="H2005" s="291"/>
      <c r="I2005" s="293"/>
      <c r="J2005" s="291"/>
      <c r="K2005" s="291"/>
      <c r="L2005" s="293"/>
      <c r="M2005" s="291"/>
      <c r="N2005" s="289"/>
      <c r="O2005" s="358"/>
      <c r="P2005" s="330">
        <f t="shared" si="271"/>
        <v>0</v>
      </c>
      <c r="Q2005" s="330">
        <f t="shared" si="272"/>
        <v>0</v>
      </c>
      <c r="R2005" s="331" t="str">
        <f t="shared" si="273"/>
        <v/>
      </c>
      <c r="S2005" s="331" t="str">
        <f>IF(D2005="","",IF(OR(D2005=Plano!$A$1,D2005=Plano!$B$1),"entrada","saída"))</f>
        <v/>
      </c>
      <c r="T2005" s="406"/>
      <c r="U2005" s="406"/>
      <c r="V2005" s="269"/>
      <c r="W2005" s="269"/>
      <c r="X2005" s="269"/>
      <c r="Y2005" s="269"/>
      <c r="Z2005" s="269"/>
      <c r="AA2005" s="269"/>
      <c r="AB2005" s="269"/>
      <c r="AC2005" s="269"/>
      <c r="AD2005" s="269"/>
      <c r="AE2005" s="269"/>
      <c r="AF2005" s="269"/>
      <c r="AG2005" s="269"/>
      <c r="AH2005" s="269"/>
      <c r="AI2005" s="269"/>
      <c r="AJ2005" s="269"/>
      <c r="AK2005" s="269"/>
      <c r="AL2005" s="269"/>
      <c r="AM2005" s="269"/>
    </row>
    <row r="2006" spans="1:39" ht="12.75" customHeight="1" x14ac:dyDescent="0.2">
      <c r="A2006" s="289" t="str">
        <f>IF(B2006="","",COUNT('Diário 5º PA'!$A$5:$A$2634)+COUNT('Diário 6º PA'!$A$5:$A$2246)+ROW()-4)</f>
        <v/>
      </c>
      <c r="B2006" s="290"/>
      <c r="C2006" s="357"/>
      <c r="D2006" s="291"/>
      <c r="E2006" s="291"/>
      <c r="F2006" s="292"/>
      <c r="G2006" s="291"/>
      <c r="H2006" s="291"/>
      <c r="I2006" s="293"/>
      <c r="J2006" s="291"/>
      <c r="K2006" s="291"/>
      <c r="L2006" s="293"/>
      <c r="M2006" s="291"/>
      <c r="N2006" s="289"/>
      <c r="O2006" s="358"/>
      <c r="P2006" s="330">
        <f t="shared" si="271"/>
        <v>0</v>
      </c>
      <c r="Q2006" s="330">
        <f t="shared" si="272"/>
        <v>0</v>
      </c>
      <c r="R2006" s="331" t="str">
        <f t="shared" si="273"/>
        <v/>
      </c>
      <c r="S2006" s="331" t="str">
        <f>IF(D2006="","",IF(OR(D2006=Plano!$A$1,D2006=Plano!$B$1),"entrada","saída"))</f>
        <v/>
      </c>
      <c r="T2006" s="406"/>
      <c r="U2006" s="406"/>
      <c r="V2006" s="269"/>
      <c r="W2006" s="269"/>
      <c r="X2006" s="269"/>
      <c r="Y2006" s="269"/>
      <c r="Z2006" s="269"/>
      <c r="AA2006" s="269"/>
      <c r="AB2006" s="269"/>
      <c r="AC2006" s="269"/>
      <c r="AD2006" s="269"/>
      <c r="AE2006" s="269"/>
      <c r="AF2006" s="269"/>
      <c r="AG2006" s="269"/>
      <c r="AH2006" s="269"/>
      <c r="AI2006" s="269"/>
      <c r="AJ2006" s="269"/>
      <c r="AK2006" s="269"/>
      <c r="AL2006" s="269"/>
      <c r="AM2006" s="269"/>
    </row>
    <row r="2007" spans="1:39" ht="12.75" customHeight="1" x14ac:dyDescent="0.2">
      <c r="A2007" s="289" t="str">
        <f>IF(B2007="","",COUNT('Diário 5º PA'!$A$5:$A$2634)+COUNT('Diário 6º PA'!$A$5:$A$2246)+ROW()-4)</f>
        <v/>
      </c>
      <c r="B2007" s="290"/>
      <c r="C2007" s="357"/>
      <c r="D2007" s="291"/>
      <c r="E2007" s="291"/>
      <c r="F2007" s="292"/>
      <c r="G2007" s="291"/>
      <c r="H2007" s="291"/>
      <c r="I2007" s="293"/>
      <c r="J2007" s="291"/>
      <c r="K2007" s="291"/>
      <c r="L2007" s="293"/>
      <c r="M2007" s="291"/>
      <c r="N2007" s="289"/>
      <c r="O2007" s="358"/>
      <c r="P2007" s="330">
        <f t="shared" si="271"/>
        <v>0</v>
      </c>
      <c r="Q2007" s="330">
        <f t="shared" si="272"/>
        <v>0</v>
      </c>
      <c r="R2007" s="331" t="str">
        <f t="shared" si="273"/>
        <v/>
      </c>
      <c r="S2007" s="331" t="str">
        <f>IF(D2007="","",IF(OR(D2007=Plano!$A$1,D2007=Plano!$B$1),"entrada","saída"))</f>
        <v/>
      </c>
      <c r="T2007" s="406"/>
      <c r="U2007" s="406"/>
      <c r="V2007" s="269"/>
      <c r="W2007" s="269"/>
      <c r="X2007" s="269"/>
      <c r="Y2007" s="269"/>
      <c r="Z2007" s="269"/>
      <c r="AA2007" s="269"/>
      <c r="AB2007" s="269"/>
      <c r="AC2007" s="269"/>
      <c r="AD2007" s="269"/>
      <c r="AE2007" s="269"/>
      <c r="AF2007" s="269"/>
      <c r="AG2007" s="269"/>
      <c r="AH2007" s="269"/>
      <c r="AI2007" s="269"/>
      <c r="AJ2007" s="269"/>
      <c r="AK2007" s="269"/>
      <c r="AL2007" s="269"/>
      <c r="AM2007" s="269"/>
    </row>
    <row r="2008" spans="1:39" ht="12.75" customHeight="1" x14ac:dyDescent="0.2">
      <c r="A2008" s="289" t="str">
        <f>IF(B2008="","",COUNT('Diário 5º PA'!$A$5:$A$2634)+COUNT('Diário 6º PA'!$A$5:$A$2246)+ROW()-4)</f>
        <v/>
      </c>
      <c r="B2008" s="290"/>
      <c r="C2008" s="357"/>
      <c r="D2008" s="291"/>
      <c r="E2008" s="291"/>
      <c r="F2008" s="292"/>
      <c r="G2008" s="291"/>
      <c r="H2008" s="291"/>
      <c r="I2008" s="293"/>
      <c r="J2008" s="291"/>
      <c r="K2008" s="291"/>
      <c r="L2008" s="293"/>
      <c r="M2008" s="291"/>
      <c r="N2008" s="289"/>
      <c r="O2008" s="358"/>
      <c r="P2008" s="330">
        <f t="shared" si="271"/>
        <v>0</v>
      </c>
      <c r="Q2008" s="330">
        <f t="shared" si="272"/>
        <v>0</v>
      </c>
      <c r="R2008" s="331" t="str">
        <f t="shared" si="273"/>
        <v/>
      </c>
      <c r="S2008" s="331" t="str">
        <f>IF(D2008="","",IF(OR(D2008=Plano!$A$1,D2008=Plano!$B$1),"entrada","saída"))</f>
        <v/>
      </c>
      <c r="T2008" s="406"/>
      <c r="U2008" s="406"/>
      <c r="V2008" s="269"/>
      <c r="W2008" s="269"/>
      <c r="X2008" s="269"/>
      <c r="Y2008" s="269"/>
      <c r="Z2008" s="269"/>
      <c r="AA2008" s="269"/>
      <c r="AB2008" s="269"/>
      <c r="AC2008" s="269"/>
      <c r="AD2008" s="269"/>
      <c r="AE2008" s="269"/>
      <c r="AF2008" s="269"/>
      <c r="AG2008" s="269"/>
      <c r="AH2008" s="269"/>
      <c r="AI2008" s="269"/>
      <c r="AJ2008" s="269"/>
      <c r="AK2008" s="269"/>
      <c r="AL2008" s="269"/>
      <c r="AM2008" s="269"/>
    </row>
    <row r="2009" spans="1:39" ht="12.75" customHeight="1" x14ac:dyDescent="0.2">
      <c r="A2009" s="289" t="str">
        <f>IF(B2009="","",COUNT('Diário 5º PA'!$A$5:$A$2634)+COUNT('Diário 6º PA'!$A$5:$A$2246)+ROW()-4)</f>
        <v/>
      </c>
      <c r="B2009" s="290"/>
      <c r="C2009" s="357"/>
      <c r="D2009" s="291"/>
      <c r="E2009" s="291"/>
      <c r="F2009" s="292"/>
      <c r="G2009" s="291"/>
      <c r="H2009" s="291"/>
      <c r="I2009" s="293"/>
      <c r="J2009" s="291"/>
      <c r="K2009" s="291"/>
      <c r="L2009" s="293"/>
      <c r="M2009" s="291"/>
      <c r="N2009" s="289"/>
      <c r="O2009" s="358"/>
      <c r="P2009" s="330">
        <f t="shared" si="271"/>
        <v>0</v>
      </c>
      <c r="Q2009" s="330">
        <f t="shared" si="272"/>
        <v>0</v>
      </c>
      <c r="R2009" s="331" t="str">
        <f t="shared" si="273"/>
        <v/>
      </c>
      <c r="S2009" s="331" t="str">
        <f>IF(D2009="","",IF(OR(D2009=Plano!$A$1,D2009=Plano!$B$1),"entrada","saída"))</f>
        <v/>
      </c>
      <c r="T2009" s="406"/>
      <c r="U2009" s="406"/>
      <c r="V2009" s="269"/>
      <c r="W2009" s="269"/>
      <c r="X2009" s="269"/>
      <c r="Y2009" s="269"/>
      <c r="Z2009" s="269"/>
      <c r="AA2009" s="269"/>
      <c r="AB2009" s="269"/>
      <c r="AC2009" s="269"/>
      <c r="AD2009" s="269"/>
      <c r="AE2009" s="269"/>
      <c r="AF2009" s="269"/>
      <c r="AG2009" s="269"/>
      <c r="AH2009" s="269"/>
      <c r="AI2009" s="269"/>
      <c r="AJ2009" s="269"/>
      <c r="AK2009" s="269"/>
      <c r="AL2009" s="269"/>
      <c r="AM2009" s="269"/>
    </row>
    <row r="2010" spans="1:39" ht="12.75" customHeight="1" x14ac:dyDescent="0.2">
      <c r="A2010" s="289" t="str">
        <f>IF(B2010="","",COUNT('Diário 5º PA'!$A$5:$A$2634)+COUNT('Diário 6º PA'!$A$5:$A$2246)+ROW()-4)</f>
        <v/>
      </c>
      <c r="B2010" s="290"/>
      <c r="C2010" s="357"/>
      <c r="D2010" s="291"/>
      <c r="E2010" s="291"/>
      <c r="F2010" s="292"/>
      <c r="G2010" s="291"/>
      <c r="H2010" s="291"/>
      <c r="I2010" s="293"/>
      <c r="J2010" s="291"/>
      <c r="K2010" s="291"/>
      <c r="L2010" s="293"/>
      <c r="M2010" s="291"/>
      <c r="N2010" s="289"/>
      <c r="O2010" s="358"/>
      <c r="P2010" s="330">
        <f t="shared" si="271"/>
        <v>0</v>
      </c>
      <c r="Q2010" s="330">
        <f t="shared" si="272"/>
        <v>0</v>
      </c>
      <c r="R2010" s="331" t="str">
        <f t="shared" si="273"/>
        <v/>
      </c>
      <c r="S2010" s="331" t="str">
        <f>IF(D2010="","",IF(OR(D2010=Plano!$A$1,D2010=Plano!$B$1),"entrada","saída"))</f>
        <v/>
      </c>
      <c r="T2010" s="406"/>
      <c r="U2010" s="406"/>
      <c r="V2010" s="269"/>
      <c r="W2010" s="269"/>
      <c r="X2010" s="269"/>
      <c r="Y2010" s="269"/>
      <c r="Z2010" s="269"/>
      <c r="AA2010" s="269"/>
      <c r="AB2010" s="269"/>
      <c r="AC2010" s="269"/>
      <c r="AD2010" s="269"/>
      <c r="AE2010" s="269"/>
      <c r="AF2010" s="269"/>
      <c r="AG2010" s="269"/>
      <c r="AH2010" s="269"/>
      <c r="AI2010" s="269"/>
      <c r="AJ2010" s="269"/>
      <c r="AK2010" s="269"/>
      <c r="AL2010" s="269"/>
      <c r="AM2010" s="269"/>
    </row>
    <row r="2011" spans="1:39" ht="12.75" customHeight="1" x14ac:dyDescent="0.2">
      <c r="A2011" s="289" t="str">
        <f>IF(B2011="","",COUNT('Diário 5º PA'!$A$5:$A$2634)+COUNT('Diário 6º PA'!$A$5:$A$2246)+ROW()-4)</f>
        <v/>
      </c>
      <c r="B2011" s="290"/>
      <c r="C2011" s="357"/>
      <c r="D2011" s="291"/>
      <c r="E2011" s="291"/>
      <c r="F2011" s="292"/>
      <c r="G2011" s="291"/>
      <c r="H2011" s="291"/>
      <c r="I2011" s="293"/>
      <c r="J2011" s="291"/>
      <c r="K2011" s="291"/>
      <c r="L2011" s="293"/>
      <c r="M2011" s="291"/>
      <c r="N2011" s="289"/>
      <c r="O2011" s="358"/>
      <c r="P2011" s="330">
        <f t="shared" si="271"/>
        <v>0</v>
      </c>
      <c r="Q2011" s="330">
        <f t="shared" si="272"/>
        <v>0</v>
      </c>
      <c r="R2011" s="331" t="str">
        <f t="shared" si="273"/>
        <v/>
      </c>
      <c r="S2011" s="331" t="str">
        <f>IF(D2011="","",IF(OR(D2011=Plano!$A$1,D2011=Plano!$B$1),"entrada","saída"))</f>
        <v/>
      </c>
      <c r="T2011" s="406"/>
      <c r="U2011" s="406"/>
      <c r="V2011" s="269"/>
      <c r="W2011" s="269"/>
      <c r="X2011" s="269"/>
      <c r="Y2011" s="269"/>
      <c r="Z2011" s="269"/>
      <c r="AA2011" s="269"/>
      <c r="AB2011" s="269"/>
      <c r="AC2011" s="269"/>
      <c r="AD2011" s="269"/>
      <c r="AE2011" s="269"/>
      <c r="AF2011" s="269"/>
      <c r="AG2011" s="269"/>
      <c r="AH2011" s="269"/>
      <c r="AI2011" s="269"/>
      <c r="AJ2011" s="269"/>
      <c r="AK2011" s="269"/>
      <c r="AL2011" s="269"/>
      <c r="AM2011" s="269"/>
    </row>
    <row r="2012" spans="1:39" ht="12.75" customHeight="1" x14ac:dyDescent="0.2">
      <c r="A2012" s="289" t="str">
        <f>IF(B2012="","",COUNT('Diário 5º PA'!$A$5:$A$2634)+COUNT('Diário 6º PA'!$A$5:$A$2246)+ROW()-4)</f>
        <v/>
      </c>
      <c r="B2012" s="290"/>
      <c r="C2012" s="357"/>
      <c r="D2012" s="291"/>
      <c r="E2012" s="291"/>
      <c r="F2012" s="292"/>
      <c r="G2012" s="291"/>
      <c r="H2012" s="291"/>
      <c r="I2012" s="293"/>
      <c r="J2012" s="291"/>
      <c r="K2012" s="291"/>
      <c r="L2012" s="293"/>
      <c r="M2012" s="291"/>
      <c r="N2012" s="289"/>
      <c r="O2012" s="358"/>
      <c r="P2012" s="330">
        <f t="shared" si="271"/>
        <v>0</v>
      </c>
      <c r="Q2012" s="330">
        <f t="shared" si="272"/>
        <v>0</v>
      </c>
      <c r="R2012" s="331" t="str">
        <f t="shared" si="273"/>
        <v/>
      </c>
      <c r="S2012" s="331" t="str">
        <f>IF(D2012="","",IF(OR(D2012=Plano!$A$1,D2012=Plano!$B$1),"entrada","saída"))</f>
        <v/>
      </c>
      <c r="T2012" s="406"/>
      <c r="U2012" s="406"/>
      <c r="V2012" s="269"/>
      <c r="W2012" s="269"/>
      <c r="X2012" s="269"/>
      <c r="Y2012" s="269"/>
      <c r="Z2012" s="269"/>
      <c r="AA2012" s="269"/>
      <c r="AB2012" s="269"/>
      <c r="AC2012" s="269"/>
      <c r="AD2012" s="269"/>
      <c r="AE2012" s="269"/>
      <c r="AF2012" s="269"/>
      <c r="AG2012" s="269"/>
      <c r="AH2012" s="269"/>
      <c r="AI2012" s="269"/>
      <c r="AJ2012" s="269"/>
      <c r="AK2012" s="269"/>
      <c r="AL2012" s="269"/>
      <c r="AM2012" s="269"/>
    </row>
    <row r="2013" spans="1:39" ht="12.75" customHeight="1" x14ac:dyDescent="0.2">
      <c r="A2013" s="289" t="str">
        <f>IF(B2013="","",COUNT('Diário 5º PA'!$A$5:$A$2634)+COUNT('Diário 6º PA'!$A$5:$A$2246)+ROW()-4)</f>
        <v/>
      </c>
      <c r="B2013" s="290"/>
      <c r="C2013" s="357"/>
      <c r="D2013" s="291"/>
      <c r="E2013" s="291"/>
      <c r="F2013" s="292"/>
      <c r="G2013" s="291"/>
      <c r="H2013" s="291"/>
      <c r="I2013" s="293"/>
      <c r="J2013" s="291"/>
      <c r="K2013" s="291"/>
      <c r="L2013" s="293"/>
      <c r="M2013" s="291"/>
      <c r="N2013" s="289"/>
      <c r="O2013" s="358"/>
      <c r="P2013" s="330">
        <f t="shared" si="271"/>
        <v>0</v>
      </c>
      <c r="Q2013" s="330">
        <f t="shared" si="272"/>
        <v>0</v>
      </c>
      <c r="R2013" s="331" t="str">
        <f t="shared" si="273"/>
        <v/>
      </c>
      <c r="S2013" s="331" t="str">
        <f>IF(D2013="","",IF(OR(D2013=Plano!$A$1,D2013=Plano!$B$1),"entrada","saída"))</f>
        <v/>
      </c>
      <c r="T2013" s="406"/>
      <c r="U2013" s="406"/>
      <c r="V2013" s="269"/>
      <c r="W2013" s="269"/>
      <c r="X2013" s="269"/>
      <c r="Y2013" s="269"/>
      <c r="Z2013" s="269"/>
      <c r="AA2013" s="269"/>
      <c r="AB2013" s="269"/>
      <c r="AC2013" s="269"/>
      <c r="AD2013" s="269"/>
      <c r="AE2013" s="269"/>
      <c r="AF2013" s="269"/>
      <c r="AG2013" s="269"/>
      <c r="AH2013" s="269"/>
      <c r="AI2013" s="269"/>
      <c r="AJ2013" s="269"/>
      <c r="AK2013" s="269"/>
      <c r="AL2013" s="269"/>
      <c r="AM2013" s="269"/>
    </row>
    <row r="2014" spans="1:39" ht="12.75" customHeight="1" x14ac:dyDescent="0.2">
      <c r="A2014" s="289" t="str">
        <f>IF(B2014="","",COUNT('Diário 5º PA'!$A$5:$A$2634)+COUNT('Diário 6º PA'!$A$5:$A$2246)+ROW()-4)</f>
        <v/>
      </c>
      <c r="B2014" s="290"/>
      <c r="C2014" s="357"/>
      <c r="D2014" s="291"/>
      <c r="E2014" s="291"/>
      <c r="F2014" s="292"/>
      <c r="G2014" s="291"/>
      <c r="H2014" s="291"/>
      <c r="I2014" s="293"/>
      <c r="J2014" s="291"/>
      <c r="K2014" s="291"/>
      <c r="L2014" s="293"/>
      <c r="M2014" s="291"/>
      <c r="N2014" s="289"/>
      <c r="O2014" s="358"/>
      <c r="P2014" s="330">
        <f t="shared" si="271"/>
        <v>0</v>
      </c>
      <c r="Q2014" s="330">
        <f t="shared" si="272"/>
        <v>0</v>
      </c>
      <c r="R2014" s="331" t="str">
        <f t="shared" si="273"/>
        <v/>
      </c>
      <c r="S2014" s="331" t="str">
        <f>IF(D2014="","",IF(OR(D2014=Plano!$A$1,D2014=Plano!$B$1),"entrada","saída"))</f>
        <v/>
      </c>
      <c r="T2014" s="406"/>
      <c r="U2014" s="406"/>
      <c r="V2014" s="269"/>
      <c r="W2014" s="269"/>
      <c r="X2014" s="269"/>
      <c r="Y2014" s="269"/>
      <c r="Z2014" s="269"/>
      <c r="AA2014" s="269"/>
      <c r="AB2014" s="269"/>
      <c r="AC2014" s="269"/>
      <c r="AD2014" s="269"/>
      <c r="AE2014" s="269"/>
      <c r="AF2014" s="269"/>
      <c r="AG2014" s="269"/>
      <c r="AH2014" s="269"/>
      <c r="AI2014" s="269"/>
      <c r="AJ2014" s="269"/>
      <c r="AK2014" s="269"/>
      <c r="AL2014" s="269"/>
      <c r="AM2014" s="269"/>
    </row>
    <row r="2015" spans="1:39" ht="12.75" customHeight="1" x14ac:dyDescent="0.2">
      <c r="A2015" s="289" t="str">
        <f>IF(B2015="","",COUNT('Diário 5º PA'!$A$5:$A$2634)+COUNT('Diário 6º PA'!$A$5:$A$2246)+ROW()-4)</f>
        <v/>
      </c>
      <c r="B2015" s="290"/>
      <c r="C2015" s="357"/>
      <c r="D2015" s="291"/>
      <c r="E2015" s="291"/>
      <c r="F2015" s="292"/>
      <c r="G2015" s="291"/>
      <c r="H2015" s="291"/>
      <c r="I2015" s="293"/>
      <c r="J2015" s="291"/>
      <c r="K2015" s="291"/>
      <c r="L2015" s="293"/>
      <c r="M2015" s="291"/>
      <c r="N2015" s="289"/>
      <c r="O2015" s="358"/>
      <c r="P2015" s="330">
        <f t="shared" si="271"/>
        <v>0</v>
      </c>
      <c r="Q2015" s="330">
        <f t="shared" si="272"/>
        <v>0</v>
      </c>
      <c r="R2015" s="331" t="str">
        <f t="shared" si="273"/>
        <v/>
      </c>
      <c r="S2015" s="331" t="str">
        <f>IF(D2015="","",IF(OR(D2015=Plano!$A$1,D2015=Plano!$B$1),"entrada","saída"))</f>
        <v/>
      </c>
      <c r="T2015" s="406"/>
      <c r="U2015" s="406"/>
      <c r="V2015" s="269"/>
      <c r="W2015" s="269"/>
      <c r="X2015" s="269"/>
      <c r="Y2015" s="269"/>
      <c r="Z2015" s="269"/>
      <c r="AA2015" s="269"/>
      <c r="AB2015" s="269"/>
      <c r="AC2015" s="269"/>
      <c r="AD2015" s="269"/>
      <c r="AE2015" s="269"/>
      <c r="AF2015" s="269"/>
      <c r="AG2015" s="269"/>
      <c r="AH2015" s="269"/>
      <c r="AI2015" s="269"/>
      <c r="AJ2015" s="269"/>
      <c r="AK2015" s="269"/>
      <c r="AL2015" s="269"/>
      <c r="AM2015" s="269"/>
    </row>
    <row r="2016" spans="1:39" ht="12.75" customHeight="1" x14ac:dyDescent="0.2">
      <c r="A2016" s="289" t="str">
        <f>IF(B2016="","",COUNT('Diário 5º PA'!$A$5:$A$2634)+COUNT('Diário 6º PA'!$A$5:$A$2246)+ROW()-4)</f>
        <v/>
      </c>
      <c r="B2016" s="290"/>
      <c r="C2016" s="357"/>
      <c r="D2016" s="291"/>
      <c r="E2016" s="291"/>
      <c r="F2016" s="292"/>
      <c r="G2016" s="291"/>
      <c r="H2016" s="291"/>
      <c r="I2016" s="293"/>
      <c r="J2016" s="291"/>
      <c r="K2016" s="291"/>
      <c r="L2016" s="293"/>
      <c r="M2016" s="291"/>
      <c r="N2016" s="289"/>
      <c r="O2016" s="358"/>
      <c r="P2016" s="330">
        <f t="shared" si="271"/>
        <v>0</v>
      </c>
      <c r="Q2016" s="330">
        <f t="shared" si="272"/>
        <v>0</v>
      </c>
      <c r="R2016" s="331" t="str">
        <f t="shared" si="273"/>
        <v/>
      </c>
      <c r="S2016" s="331" t="str">
        <f>IF(D2016="","",IF(OR(D2016=Plano!$A$1,D2016=Plano!$B$1),"entrada","saída"))</f>
        <v/>
      </c>
      <c r="T2016" s="406"/>
      <c r="U2016" s="406"/>
      <c r="V2016" s="269"/>
      <c r="W2016" s="269"/>
      <c r="X2016" s="269"/>
      <c r="Y2016" s="269"/>
      <c r="Z2016" s="269"/>
      <c r="AA2016" s="269"/>
      <c r="AB2016" s="269"/>
      <c r="AC2016" s="269"/>
      <c r="AD2016" s="269"/>
      <c r="AE2016" s="269"/>
      <c r="AF2016" s="269"/>
      <c r="AG2016" s="269"/>
      <c r="AH2016" s="269"/>
      <c r="AI2016" s="269"/>
      <c r="AJ2016" s="269"/>
      <c r="AK2016" s="269"/>
      <c r="AL2016" s="269"/>
      <c r="AM2016" s="269"/>
    </row>
    <row r="2017" spans="1:39" ht="12.75" customHeight="1" x14ac:dyDescent="0.2">
      <c r="A2017" s="289" t="str">
        <f>IF(B2017="","",COUNT('Diário 5º PA'!$A$5:$A$2634)+COUNT('Diário 6º PA'!$A$5:$A$2246)+ROW()-4)</f>
        <v/>
      </c>
      <c r="B2017" s="290"/>
      <c r="C2017" s="357"/>
      <c r="D2017" s="291"/>
      <c r="E2017" s="291"/>
      <c r="F2017" s="292"/>
      <c r="G2017" s="291"/>
      <c r="H2017" s="291"/>
      <c r="I2017" s="293"/>
      <c r="J2017" s="291"/>
      <c r="K2017" s="291"/>
      <c r="L2017" s="293"/>
      <c r="M2017" s="291"/>
      <c r="N2017" s="289"/>
      <c r="O2017" s="358"/>
      <c r="P2017" s="330">
        <f t="shared" si="271"/>
        <v>0</v>
      </c>
      <c r="Q2017" s="330">
        <f t="shared" si="272"/>
        <v>0</v>
      </c>
      <c r="R2017" s="331" t="str">
        <f t="shared" si="273"/>
        <v/>
      </c>
      <c r="S2017" s="331" t="str">
        <f>IF(D2017="","",IF(OR(D2017=Plano!$A$1,D2017=Plano!$B$1),"entrada","saída"))</f>
        <v/>
      </c>
      <c r="T2017" s="406"/>
      <c r="U2017" s="406"/>
      <c r="V2017" s="269"/>
      <c r="W2017" s="269"/>
      <c r="X2017" s="269"/>
      <c r="Y2017" s="269"/>
      <c r="Z2017" s="269"/>
      <c r="AA2017" s="269"/>
      <c r="AB2017" s="269"/>
      <c r="AC2017" s="269"/>
      <c r="AD2017" s="269"/>
      <c r="AE2017" s="269"/>
      <c r="AF2017" s="269"/>
      <c r="AG2017" s="269"/>
      <c r="AH2017" s="269"/>
      <c r="AI2017" s="269"/>
      <c r="AJ2017" s="269"/>
      <c r="AK2017" s="269"/>
      <c r="AL2017" s="269"/>
      <c r="AM2017" s="269"/>
    </row>
    <row r="2018" spans="1:39" ht="12.75" customHeight="1" x14ac:dyDescent="0.2">
      <c r="A2018" s="289" t="str">
        <f>IF(B2018="","",COUNT('Diário 5º PA'!$A$5:$A$2634)+COUNT('Diário 6º PA'!$A$5:$A$2246)+ROW()-4)</f>
        <v/>
      </c>
      <c r="B2018" s="290"/>
      <c r="C2018" s="357"/>
      <c r="D2018" s="291"/>
      <c r="E2018" s="291"/>
      <c r="F2018" s="292"/>
      <c r="G2018" s="291"/>
      <c r="H2018" s="291"/>
      <c r="I2018" s="293"/>
      <c r="J2018" s="291"/>
      <c r="K2018" s="291"/>
      <c r="L2018" s="293"/>
      <c r="M2018" s="291"/>
      <c r="N2018" s="289"/>
      <c r="O2018" s="358"/>
      <c r="P2018" s="330">
        <f t="shared" si="271"/>
        <v>0</v>
      </c>
      <c r="Q2018" s="330">
        <f t="shared" si="272"/>
        <v>0</v>
      </c>
      <c r="R2018" s="331" t="str">
        <f t="shared" si="273"/>
        <v/>
      </c>
      <c r="S2018" s="331" t="str">
        <f>IF(D2018="","",IF(OR(D2018=Plano!$A$1,D2018=Plano!$B$1),"entrada","saída"))</f>
        <v/>
      </c>
      <c r="T2018" s="406"/>
      <c r="U2018" s="406"/>
      <c r="V2018" s="269"/>
      <c r="W2018" s="269"/>
      <c r="X2018" s="269"/>
      <c r="Y2018" s="269"/>
      <c r="Z2018" s="269"/>
      <c r="AA2018" s="269"/>
      <c r="AB2018" s="269"/>
      <c r="AC2018" s="269"/>
      <c r="AD2018" s="269"/>
      <c r="AE2018" s="269"/>
      <c r="AF2018" s="269"/>
      <c r="AG2018" s="269"/>
      <c r="AH2018" s="269"/>
      <c r="AI2018" s="269"/>
      <c r="AJ2018" s="269"/>
      <c r="AK2018" s="269"/>
      <c r="AL2018" s="269"/>
      <c r="AM2018" s="269"/>
    </row>
    <row r="2019" spans="1:39" ht="12.75" customHeight="1" x14ac:dyDescent="0.2">
      <c r="A2019" s="289" t="str">
        <f>IF(B2019="","",COUNT('Diário 5º PA'!$A$5:$A$2634)+COUNT('Diário 6º PA'!$A$5:$A$2246)+ROW()-4)</f>
        <v/>
      </c>
      <c r="B2019" s="290"/>
      <c r="C2019" s="357"/>
      <c r="D2019" s="291"/>
      <c r="E2019" s="291"/>
      <c r="F2019" s="292"/>
      <c r="G2019" s="291"/>
      <c r="H2019" s="291"/>
      <c r="I2019" s="293"/>
      <c r="J2019" s="291"/>
      <c r="K2019" s="291"/>
      <c r="L2019" s="293"/>
      <c r="M2019" s="291"/>
      <c r="N2019" s="289"/>
      <c r="O2019" s="358"/>
      <c r="P2019" s="330">
        <f t="shared" si="271"/>
        <v>0</v>
      </c>
      <c r="Q2019" s="330">
        <f t="shared" si="272"/>
        <v>0</v>
      </c>
      <c r="R2019" s="331" t="str">
        <f t="shared" si="273"/>
        <v/>
      </c>
      <c r="S2019" s="331" t="str">
        <f>IF(D2019="","",IF(OR(D2019=Plano!$A$1,D2019=Plano!$B$1),"entrada","saída"))</f>
        <v/>
      </c>
      <c r="T2019" s="406"/>
      <c r="U2019" s="406"/>
      <c r="V2019" s="269"/>
      <c r="W2019" s="269"/>
      <c r="X2019" s="269"/>
      <c r="Y2019" s="269"/>
      <c r="Z2019" s="269"/>
      <c r="AA2019" s="269"/>
      <c r="AB2019" s="269"/>
      <c r="AC2019" s="269"/>
      <c r="AD2019" s="269"/>
      <c r="AE2019" s="269"/>
      <c r="AF2019" s="269"/>
      <c r="AG2019" s="269"/>
      <c r="AH2019" s="269"/>
      <c r="AI2019" s="269"/>
      <c r="AJ2019" s="269"/>
      <c r="AK2019" s="269"/>
      <c r="AL2019" s="269"/>
      <c r="AM2019" s="269"/>
    </row>
    <row r="2020" spans="1:39" ht="12.75" customHeight="1" x14ac:dyDescent="0.2">
      <c r="A2020" s="289" t="str">
        <f>IF(B2020="","",COUNT('Diário 5º PA'!$A$5:$A$2634)+COUNT('Diário 6º PA'!$A$5:$A$2246)+ROW()-4)</f>
        <v/>
      </c>
      <c r="B2020" s="290"/>
      <c r="C2020" s="357"/>
      <c r="D2020" s="291"/>
      <c r="E2020" s="291"/>
      <c r="F2020" s="292"/>
      <c r="G2020" s="291"/>
      <c r="H2020" s="291"/>
      <c r="I2020" s="293"/>
      <c r="J2020" s="291"/>
      <c r="K2020" s="291"/>
      <c r="L2020" s="293"/>
      <c r="M2020" s="291"/>
      <c r="N2020" s="289"/>
      <c r="O2020" s="358"/>
      <c r="P2020" s="330">
        <f t="shared" si="271"/>
        <v>0</v>
      </c>
      <c r="Q2020" s="330">
        <f t="shared" si="272"/>
        <v>0</v>
      </c>
      <c r="R2020" s="331" t="str">
        <f t="shared" si="273"/>
        <v/>
      </c>
      <c r="S2020" s="331" t="str">
        <f>IF(D2020="","",IF(OR(D2020=Plano!$A$1,D2020=Plano!$B$1),"entrada","saída"))</f>
        <v/>
      </c>
      <c r="T2020" s="406"/>
      <c r="U2020" s="406"/>
      <c r="V2020" s="269"/>
      <c r="W2020" s="269"/>
      <c r="X2020" s="269"/>
      <c r="Y2020" s="269"/>
      <c r="Z2020" s="269"/>
      <c r="AA2020" s="269"/>
      <c r="AB2020" s="269"/>
      <c r="AC2020" s="269"/>
      <c r="AD2020" s="269"/>
      <c r="AE2020" s="269"/>
      <c r="AF2020" s="269"/>
      <c r="AG2020" s="269"/>
      <c r="AH2020" s="269"/>
      <c r="AI2020" s="269"/>
      <c r="AJ2020" s="269"/>
      <c r="AK2020" s="269"/>
      <c r="AL2020" s="269"/>
      <c r="AM2020" s="269"/>
    </row>
    <row r="2021" spans="1:39" ht="12.75" customHeight="1" x14ac:dyDescent="0.2">
      <c r="A2021" s="289" t="str">
        <f>IF(B2021="","",COUNT('Diário 5º PA'!$A$5:$A$2634)+COUNT('Diário 6º PA'!$A$5:$A$2246)+ROW()-4)</f>
        <v/>
      </c>
      <c r="B2021" s="290"/>
      <c r="C2021" s="357"/>
      <c r="D2021" s="291"/>
      <c r="E2021" s="291"/>
      <c r="F2021" s="292"/>
      <c r="G2021" s="291"/>
      <c r="H2021" s="291"/>
      <c r="I2021" s="293"/>
      <c r="J2021" s="291"/>
      <c r="K2021" s="291"/>
      <c r="L2021" s="293"/>
      <c r="M2021" s="291"/>
      <c r="N2021" s="289"/>
      <c r="O2021" s="358"/>
      <c r="P2021" s="330">
        <f t="shared" si="271"/>
        <v>0</v>
      </c>
      <c r="Q2021" s="330">
        <f t="shared" si="272"/>
        <v>0</v>
      </c>
      <c r="R2021" s="331" t="str">
        <f t="shared" si="273"/>
        <v/>
      </c>
      <c r="S2021" s="331" t="str">
        <f>IF(D2021="","",IF(OR(D2021=Plano!$A$1,D2021=Plano!$B$1),"entrada","saída"))</f>
        <v/>
      </c>
      <c r="T2021" s="406"/>
      <c r="U2021" s="406"/>
      <c r="V2021" s="269"/>
      <c r="W2021" s="269"/>
      <c r="X2021" s="269"/>
      <c r="Y2021" s="269"/>
      <c r="Z2021" s="269"/>
      <c r="AA2021" s="269"/>
      <c r="AB2021" s="269"/>
      <c r="AC2021" s="269"/>
      <c r="AD2021" s="269"/>
      <c r="AE2021" s="269"/>
      <c r="AF2021" s="269"/>
      <c r="AG2021" s="269"/>
      <c r="AH2021" s="269"/>
      <c r="AI2021" s="269"/>
      <c r="AJ2021" s="269"/>
      <c r="AK2021" s="269"/>
      <c r="AL2021" s="269"/>
      <c r="AM2021" s="269"/>
    </row>
    <row r="2022" spans="1:39" ht="12.75" customHeight="1" x14ac:dyDescent="0.2">
      <c r="A2022" s="289" t="str">
        <f>IF(B2022="","",COUNT('Diário 5º PA'!$A$5:$A$2634)+COUNT('Diário 6º PA'!$A$5:$A$2246)+ROW()-4)</f>
        <v/>
      </c>
      <c r="B2022" s="290"/>
      <c r="C2022" s="357"/>
      <c r="D2022" s="291"/>
      <c r="E2022" s="291"/>
      <c r="F2022" s="292"/>
      <c r="G2022" s="291"/>
      <c r="H2022" s="291"/>
      <c r="I2022" s="293"/>
      <c r="J2022" s="291"/>
      <c r="K2022" s="291"/>
      <c r="L2022" s="293"/>
      <c r="M2022" s="291"/>
      <c r="N2022" s="289"/>
      <c r="O2022" s="358"/>
      <c r="P2022" s="330">
        <f t="shared" si="271"/>
        <v>0</v>
      </c>
      <c r="Q2022" s="330">
        <f t="shared" si="272"/>
        <v>0</v>
      </c>
      <c r="R2022" s="331" t="str">
        <f t="shared" si="273"/>
        <v/>
      </c>
      <c r="S2022" s="331" t="str">
        <f>IF(D2022="","",IF(OR(D2022=Plano!$A$1,D2022=Plano!$B$1),"entrada","saída"))</f>
        <v/>
      </c>
      <c r="T2022" s="406"/>
      <c r="U2022" s="406"/>
      <c r="V2022" s="269"/>
      <c r="W2022" s="269"/>
      <c r="X2022" s="269"/>
      <c r="Y2022" s="269"/>
      <c r="Z2022" s="269"/>
      <c r="AA2022" s="269"/>
      <c r="AB2022" s="269"/>
      <c r="AC2022" s="269"/>
      <c r="AD2022" s="269"/>
      <c r="AE2022" s="269"/>
      <c r="AF2022" s="269"/>
      <c r="AG2022" s="269"/>
      <c r="AH2022" s="269"/>
      <c r="AI2022" s="269"/>
      <c r="AJ2022" s="269"/>
      <c r="AK2022" s="269"/>
      <c r="AL2022" s="269"/>
      <c r="AM2022" s="269"/>
    </row>
    <row r="2023" spans="1:39" ht="12.75" customHeight="1" x14ac:dyDescent="0.2">
      <c r="A2023" s="289" t="str">
        <f>IF(B2023="","",COUNT('Diário 5º PA'!$A$5:$A$2634)+COUNT('Diário 6º PA'!$A$5:$A$2246)+ROW()-4)</f>
        <v/>
      </c>
      <c r="B2023" s="290"/>
      <c r="C2023" s="357"/>
      <c r="D2023" s="291"/>
      <c r="E2023" s="291"/>
      <c r="F2023" s="292"/>
      <c r="G2023" s="291"/>
      <c r="H2023" s="291"/>
      <c r="I2023" s="293"/>
      <c r="J2023" s="291"/>
      <c r="K2023" s="291"/>
      <c r="L2023" s="293"/>
      <c r="M2023" s="291"/>
      <c r="N2023" s="289"/>
      <c r="O2023" s="358"/>
      <c r="P2023" s="330">
        <f t="shared" si="271"/>
        <v>0</v>
      </c>
      <c r="Q2023" s="330">
        <f t="shared" si="272"/>
        <v>0</v>
      </c>
      <c r="R2023" s="331" t="str">
        <f t="shared" si="273"/>
        <v/>
      </c>
      <c r="S2023" s="331" t="str">
        <f>IF(D2023="","",IF(OR(D2023=Plano!$A$1,D2023=Plano!$B$1),"entrada","saída"))</f>
        <v/>
      </c>
      <c r="T2023" s="406"/>
      <c r="U2023" s="406"/>
      <c r="V2023" s="269"/>
      <c r="W2023" s="269"/>
      <c r="X2023" s="269"/>
      <c r="Y2023" s="269"/>
      <c r="Z2023" s="269"/>
      <c r="AA2023" s="269"/>
      <c r="AB2023" s="269"/>
      <c r="AC2023" s="269"/>
      <c r="AD2023" s="269"/>
      <c r="AE2023" s="269"/>
      <c r="AF2023" s="269"/>
      <c r="AG2023" s="269"/>
      <c r="AH2023" s="269"/>
      <c r="AI2023" s="269"/>
      <c r="AJ2023" s="269"/>
      <c r="AK2023" s="269"/>
      <c r="AL2023" s="269"/>
      <c r="AM2023" s="269"/>
    </row>
    <row r="2024" spans="1:39" ht="12.75" customHeight="1" x14ac:dyDescent="0.2">
      <c r="A2024" s="289" t="str">
        <f>IF(B2024="","",COUNT('Diário 5º PA'!$A$5:$A$2634)+COUNT('Diário 6º PA'!$A$5:$A$2246)+ROW()-4)</f>
        <v/>
      </c>
      <c r="B2024" s="290"/>
      <c r="C2024" s="357"/>
      <c r="D2024" s="291"/>
      <c r="E2024" s="291"/>
      <c r="F2024" s="292"/>
      <c r="G2024" s="291"/>
      <c r="H2024" s="291"/>
      <c r="I2024" s="293"/>
      <c r="J2024" s="291"/>
      <c r="K2024" s="291"/>
      <c r="L2024" s="293"/>
      <c r="M2024" s="291"/>
      <c r="N2024" s="289"/>
      <c r="O2024" s="358"/>
      <c r="P2024" s="330">
        <f t="shared" si="271"/>
        <v>0</v>
      </c>
      <c r="Q2024" s="330">
        <f t="shared" si="272"/>
        <v>0</v>
      </c>
      <c r="R2024" s="331" t="str">
        <f t="shared" si="273"/>
        <v/>
      </c>
      <c r="S2024" s="331" t="str">
        <f>IF(D2024="","",IF(OR(D2024=Plano!$A$1,D2024=Plano!$B$1),"entrada","saída"))</f>
        <v/>
      </c>
      <c r="T2024" s="406"/>
      <c r="U2024" s="406"/>
      <c r="V2024" s="269"/>
      <c r="W2024" s="269"/>
      <c r="X2024" s="269"/>
      <c r="Y2024" s="269"/>
      <c r="Z2024" s="269"/>
      <c r="AA2024" s="269"/>
      <c r="AB2024" s="269"/>
      <c r="AC2024" s="269"/>
      <c r="AD2024" s="269"/>
      <c r="AE2024" s="269"/>
      <c r="AF2024" s="269"/>
      <c r="AG2024" s="269"/>
      <c r="AH2024" s="269"/>
      <c r="AI2024" s="269"/>
      <c r="AJ2024" s="269"/>
      <c r="AK2024" s="269"/>
      <c r="AL2024" s="269"/>
      <c r="AM2024" s="269"/>
    </row>
    <row r="2025" spans="1:39" ht="12.75" customHeight="1" x14ac:dyDescent="0.2">
      <c r="A2025" s="289" t="str">
        <f>IF(B2025="","",COUNT('Diário 5º PA'!$A$5:$A$2634)+COUNT('Diário 6º PA'!$A$5:$A$2246)+ROW()-4)</f>
        <v/>
      </c>
      <c r="B2025" s="290"/>
      <c r="C2025" s="357"/>
      <c r="D2025" s="291"/>
      <c r="E2025" s="291"/>
      <c r="F2025" s="292"/>
      <c r="G2025" s="291"/>
      <c r="H2025" s="291"/>
      <c r="I2025" s="293"/>
      <c r="J2025" s="291"/>
      <c r="K2025" s="291"/>
      <c r="L2025" s="293"/>
      <c r="M2025" s="291"/>
      <c r="N2025" s="289"/>
      <c r="O2025" s="358"/>
      <c r="P2025" s="330">
        <f t="shared" si="271"/>
        <v>0</v>
      </c>
      <c r="Q2025" s="330">
        <f t="shared" si="272"/>
        <v>0</v>
      </c>
      <c r="R2025" s="331" t="str">
        <f t="shared" si="273"/>
        <v/>
      </c>
      <c r="S2025" s="331" t="str">
        <f>IF(D2025="","",IF(OR(D2025=Plano!$A$1,D2025=Plano!$B$1),"entrada","saída"))</f>
        <v/>
      </c>
      <c r="T2025" s="406"/>
      <c r="U2025" s="406"/>
      <c r="V2025" s="269"/>
      <c r="W2025" s="269"/>
      <c r="X2025" s="269"/>
      <c r="Y2025" s="269"/>
      <c r="Z2025" s="269"/>
      <c r="AA2025" s="269"/>
      <c r="AB2025" s="269"/>
      <c r="AC2025" s="269"/>
      <c r="AD2025" s="269"/>
      <c r="AE2025" s="269"/>
      <c r="AF2025" s="269"/>
      <c r="AG2025" s="269"/>
      <c r="AH2025" s="269"/>
      <c r="AI2025" s="269"/>
      <c r="AJ2025" s="269"/>
      <c r="AK2025" s="269"/>
      <c r="AL2025" s="269"/>
      <c r="AM2025" s="269"/>
    </row>
    <row r="2026" spans="1:39" ht="12.75" customHeight="1" x14ac:dyDescent="0.2">
      <c r="A2026" s="289" t="str">
        <f>IF(B2026="","",COUNT('Diário 5º PA'!$A$5:$A$2634)+COUNT('Diário 6º PA'!$A$5:$A$2246)+ROW()-4)</f>
        <v/>
      </c>
      <c r="B2026" s="290"/>
      <c r="C2026" s="357"/>
      <c r="D2026" s="291"/>
      <c r="E2026" s="291"/>
      <c r="F2026" s="292"/>
      <c r="G2026" s="291"/>
      <c r="H2026" s="291"/>
      <c r="I2026" s="293"/>
      <c r="J2026" s="291"/>
      <c r="K2026" s="291"/>
      <c r="L2026" s="293"/>
      <c r="M2026" s="291"/>
      <c r="N2026" s="289"/>
      <c r="O2026" s="358"/>
      <c r="P2026" s="330">
        <f t="shared" si="271"/>
        <v>0</v>
      </c>
      <c r="Q2026" s="330">
        <f t="shared" si="272"/>
        <v>0</v>
      </c>
      <c r="R2026" s="331" t="str">
        <f t="shared" si="273"/>
        <v/>
      </c>
      <c r="S2026" s="331" t="str">
        <f>IF(D2026="","",IF(OR(D2026=Plano!$A$1,D2026=Plano!$B$1),"entrada","saída"))</f>
        <v/>
      </c>
      <c r="T2026" s="406"/>
      <c r="U2026" s="406"/>
      <c r="V2026" s="269"/>
      <c r="W2026" s="269"/>
      <c r="X2026" s="269"/>
      <c r="Y2026" s="269"/>
      <c r="Z2026" s="269"/>
      <c r="AA2026" s="269"/>
      <c r="AB2026" s="269"/>
      <c r="AC2026" s="269"/>
      <c r="AD2026" s="269"/>
      <c r="AE2026" s="269"/>
      <c r="AF2026" s="269"/>
      <c r="AG2026" s="269"/>
      <c r="AH2026" s="269"/>
      <c r="AI2026" s="269"/>
      <c r="AJ2026" s="269"/>
      <c r="AK2026" s="269"/>
      <c r="AL2026" s="269"/>
      <c r="AM2026" s="269"/>
    </row>
    <row r="2027" spans="1:39" ht="12.75" customHeight="1" x14ac:dyDescent="0.2">
      <c r="A2027" s="289" t="str">
        <f>IF(B2027="","",COUNT('Diário 5º PA'!$A$5:$A$2634)+COUNT('Diário 6º PA'!$A$5:$A$2246)+ROW()-4)</f>
        <v/>
      </c>
      <c r="B2027" s="290"/>
      <c r="C2027" s="357"/>
      <c r="D2027" s="291"/>
      <c r="E2027" s="291"/>
      <c r="F2027" s="292"/>
      <c r="G2027" s="291"/>
      <c r="H2027" s="291"/>
      <c r="I2027" s="293"/>
      <c r="J2027" s="291"/>
      <c r="K2027" s="291"/>
      <c r="L2027" s="293"/>
      <c r="M2027" s="291"/>
      <c r="N2027" s="289"/>
      <c r="O2027" s="358"/>
      <c r="P2027" s="330">
        <f t="shared" ref="P2027:P2060" si="274">IF(B2027=0,0,IF(YEAR(B2027)=$Q$1,MONTH(B2027)-$P$1+1,(YEAR(B2027)-$Q$1)*12-$P$1+1+MONTH(B2027)))</f>
        <v>0</v>
      </c>
      <c r="Q2027" s="330">
        <f t="shared" ref="Q2027:Q2060" si="275">IF(C2027=0,0,IF(YEAR(C2027)=$Q$1,MONTH(C2027)-$P$1+1,(YEAR(C2027)-$Q$1)*12-$P$1+1+MONTH(C2027)))</f>
        <v>0</v>
      </c>
      <c r="R2027" s="331" t="str">
        <f t="shared" ref="R2027:R2060" si="276">SUBSTITUTE(D2027," ","_")</f>
        <v/>
      </c>
      <c r="S2027" s="331" t="str">
        <f>IF(D2027="","",IF(OR(D2027=Plano!$A$1,D2027=Plano!$B$1),"entrada","saída"))</f>
        <v/>
      </c>
      <c r="T2027" s="406"/>
      <c r="U2027" s="406"/>
      <c r="V2027" s="269"/>
      <c r="W2027" s="269"/>
      <c r="X2027" s="269"/>
      <c r="Y2027" s="269"/>
      <c r="Z2027" s="269"/>
      <c r="AA2027" s="269"/>
      <c r="AB2027" s="269"/>
      <c r="AC2027" s="269"/>
      <c r="AD2027" s="269"/>
      <c r="AE2027" s="269"/>
      <c r="AF2027" s="269"/>
      <c r="AG2027" s="269"/>
      <c r="AH2027" s="269"/>
      <c r="AI2027" s="269"/>
      <c r="AJ2027" s="269"/>
      <c r="AK2027" s="269"/>
      <c r="AL2027" s="269"/>
      <c r="AM2027" s="269"/>
    </row>
    <row r="2028" spans="1:39" ht="12.75" customHeight="1" x14ac:dyDescent="0.2">
      <c r="A2028" s="289" t="str">
        <f>IF(B2028="","",COUNT('Diário 5º PA'!$A$5:$A$2634)+COUNT('Diário 6º PA'!$A$5:$A$2246)+ROW()-4)</f>
        <v/>
      </c>
      <c r="B2028" s="290"/>
      <c r="C2028" s="357"/>
      <c r="D2028" s="291"/>
      <c r="E2028" s="291"/>
      <c r="F2028" s="292"/>
      <c r="G2028" s="291"/>
      <c r="H2028" s="291"/>
      <c r="I2028" s="293"/>
      <c r="J2028" s="291"/>
      <c r="K2028" s="291"/>
      <c r="L2028" s="293"/>
      <c r="M2028" s="291"/>
      <c r="N2028" s="289"/>
      <c r="O2028" s="358"/>
      <c r="P2028" s="330">
        <f t="shared" si="274"/>
        <v>0</v>
      </c>
      <c r="Q2028" s="330">
        <f t="shared" si="275"/>
        <v>0</v>
      </c>
      <c r="R2028" s="331" t="str">
        <f t="shared" si="276"/>
        <v/>
      </c>
      <c r="S2028" s="331" t="str">
        <f>IF(D2028="","",IF(OR(D2028=Plano!$A$1,D2028=Plano!$B$1),"entrada","saída"))</f>
        <v/>
      </c>
      <c r="T2028" s="406"/>
      <c r="U2028" s="406"/>
      <c r="V2028" s="269"/>
      <c r="W2028" s="269"/>
      <c r="X2028" s="269"/>
      <c r="Y2028" s="269"/>
      <c r="Z2028" s="269"/>
      <c r="AA2028" s="269"/>
      <c r="AB2028" s="269"/>
      <c r="AC2028" s="269"/>
      <c r="AD2028" s="269"/>
      <c r="AE2028" s="269"/>
      <c r="AF2028" s="269"/>
      <c r="AG2028" s="269"/>
      <c r="AH2028" s="269"/>
      <c r="AI2028" s="269"/>
      <c r="AJ2028" s="269"/>
      <c r="AK2028" s="269"/>
      <c r="AL2028" s="269"/>
      <c r="AM2028" s="269"/>
    </row>
    <row r="2029" spans="1:39" ht="12.75" customHeight="1" x14ac:dyDescent="0.2">
      <c r="A2029" s="289" t="str">
        <f>IF(B2029="","",COUNT('Diário 5º PA'!$A$5:$A$2634)+COUNT('Diário 6º PA'!$A$5:$A$2246)+ROW()-4)</f>
        <v/>
      </c>
      <c r="B2029" s="290"/>
      <c r="C2029" s="357"/>
      <c r="D2029" s="291"/>
      <c r="E2029" s="291"/>
      <c r="F2029" s="292"/>
      <c r="G2029" s="291"/>
      <c r="H2029" s="291"/>
      <c r="I2029" s="293"/>
      <c r="J2029" s="291"/>
      <c r="K2029" s="291"/>
      <c r="L2029" s="293"/>
      <c r="M2029" s="291"/>
      <c r="N2029" s="289"/>
      <c r="O2029" s="358"/>
      <c r="P2029" s="330">
        <f t="shared" si="274"/>
        <v>0</v>
      </c>
      <c r="Q2029" s="330">
        <f t="shared" si="275"/>
        <v>0</v>
      </c>
      <c r="R2029" s="331" t="str">
        <f t="shared" si="276"/>
        <v/>
      </c>
      <c r="S2029" s="331" t="str">
        <f>IF(D2029="","",IF(OR(D2029=Plano!$A$1,D2029=Plano!$B$1),"entrada","saída"))</f>
        <v/>
      </c>
      <c r="T2029" s="406"/>
      <c r="U2029" s="406"/>
      <c r="V2029" s="269"/>
      <c r="W2029" s="269"/>
      <c r="X2029" s="269"/>
      <c r="Y2029" s="269"/>
      <c r="Z2029" s="269"/>
      <c r="AA2029" s="269"/>
      <c r="AB2029" s="269"/>
      <c r="AC2029" s="269"/>
      <c r="AD2029" s="269"/>
      <c r="AE2029" s="269"/>
      <c r="AF2029" s="269"/>
      <c r="AG2029" s="269"/>
      <c r="AH2029" s="269"/>
      <c r="AI2029" s="269"/>
      <c r="AJ2029" s="269"/>
      <c r="AK2029" s="269"/>
      <c r="AL2029" s="269"/>
      <c r="AM2029" s="269"/>
    </row>
    <row r="2030" spans="1:39" ht="12.75" customHeight="1" x14ac:dyDescent="0.2">
      <c r="A2030" s="289" t="str">
        <f>IF(B2030="","",COUNT('Diário 5º PA'!$A$5:$A$2634)+COUNT('Diário 6º PA'!$A$5:$A$2246)+ROW()-4)</f>
        <v/>
      </c>
      <c r="B2030" s="290"/>
      <c r="C2030" s="357"/>
      <c r="D2030" s="291"/>
      <c r="E2030" s="291"/>
      <c r="F2030" s="292"/>
      <c r="G2030" s="291"/>
      <c r="H2030" s="291"/>
      <c r="I2030" s="293"/>
      <c r="J2030" s="291"/>
      <c r="K2030" s="291"/>
      <c r="L2030" s="293"/>
      <c r="M2030" s="291"/>
      <c r="N2030" s="289"/>
      <c r="O2030" s="358"/>
      <c r="P2030" s="330">
        <f t="shared" si="274"/>
        <v>0</v>
      </c>
      <c r="Q2030" s="330">
        <f t="shared" si="275"/>
        <v>0</v>
      </c>
      <c r="R2030" s="331" t="str">
        <f t="shared" si="276"/>
        <v/>
      </c>
      <c r="S2030" s="331" t="str">
        <f>IF(D2030="","",IF(OR(D2030=Plano!$A$1,D2030=Plano!$B$1),"entrada","saída"))</f>
        <v/>
      </c>
      <c r="T2030" s="406"/>
      <c r="U2030" s="406"/>
      <c r="V2030" s="269"/>
      <c r="W2030" s="269"/>
      <c r="X2030" s="269"/>
      <c r="Y2030" s="269"/>
      <c r="Z2030" s="269"/>
      <c r="AA2030" s="269"/>
      <c r="AB2030" s="269"/>
      <c r="AC2030" s="269"/>
      <c r="AD2030" s="269"/>
      <c r="AE2030" s="269"/>
      <c r="AF2030" s="269"/>
      <c r="AG2030" s="269"/>
      <c r="AH2030" s="269"/>
      <c r="AI2030" s="269"/>
      <c r="AJ2030" s="269"/>
      <c r="AK2030" s="269"/>
      <c r="AL2030" s="269"/>
      <c r="AM2030" s="269"/>
    </row>
    <row r="2031" spans="1:39" ht="12.75" customHeight="1" x14ac:dyDescent="0.2">
      <c r="A2031" s="289" t="str">
        <f>IF(B2031="","",COUNT('Diário 5º PA'!$A$5:$A$2634)+COUNT('Diário 6º PA'!$A$5:$A$2246)+ROW()-4)</f>
        <v/>
      </c>
      <c r="B2031" s="290"/>
      <c r="C2031" s="357"/>
      <c r="D2031" s="291"/>
      <c r="E2031" s="291"/>
      <c r="F2031" s="292"/>
      <c r="G2031" s="291"/>
      <c r="H2031" s="291"/>
      <c r="I2031" s="293"/>
      <c r="J2031" s="291"/>
      <c r="K2031" s="291"/>
      <c r="L2031" s="293"/>
      <c r="M2031" s="291"/>
      <c r="N2031" s="289"/>
      <c r="O2031" s="358"/>
      <c r="P2031" s="330">
        <f t="shared" si="274"/>
        <v>0</v>
      </c>
      <c r="Q2031" s="330">
        <f t="shared" si="275"/>
        <v>0</v>
      </c>
      <c r="R2031" s="331" t="str">
        <f t="shared" si="276"/>
        <v/>
      </c>
      <c r="S2031" s="331" t="str">
        <f>IF(D2031="","",IF(OR(D2031=Plano!$A$1,D2031=Plano!$B$1),"entrada","saída"))</f>
        <v/>
      </c>
      <c r="T2031" s="406"/>
      <c r="U2031" s="406"/>
      <c r="V2031" s="269"/>
      <c r="W2031" s="269"/>
      <c r="X2031" s="269"/>
      <c r="Y2031" s="269"/>
      <c r="Z2031" s="269"/>
      <c r="AA2031" s="269"/>
      <c r="AB2031" s="269"/>
      <c r="AC2031" s="269"/>
      <c r="AD2031" s="269"/>
      <c r="AE2031" s="269"/>
      <c r="AF2031" s="269"/>
      <c r="AG2031" s="269"/>
      <c r="AH2031" s="269"/>
      <c r="AI2031" s="269"/>
      <c r="AJ2031" s="269"/>
      <c r="AK2031" s="269"/>
      <c r="AL2031" s="269"/>
      <c r="AM2031" s="269"/>
    </row>
    <row r="2032" spans="1:39" ht="12.75" customHeight="1" x14ac:dyDescent="0.2">
      <c r="A2032" s="289" t="str">
        <f>IF(B2032="","",COUNT('Diário 5º PA'!$A$5:$A$2634)+COUNT('Diário 6º PA'!$A$5:$A$2246)+ROW()-4)</f>
        <v/>
      </c>
      <c r="B2032" s="290"/>
      <c r="C2032" s="357"/>
      <c r="D2032" s="291"/>
      <c r="E2032" s="291"/>
      <c r="F2032" s="292"/>
      <c r="G2032" s="291"/>
      <c r="H2032" s="291"/>
      <c r="I2032" s="293"/>
      <c r="J2032" s="291"/>
      <c r="K2032" s="291"/>
      <c r="L2032" s="293"/>
      <c r="M2032" s="291"/>
      <c r="N2032" s="289"/>
      <c r="O2032" s="358"/>
      <c r="P2032" s="330">
        <f t="shared" si="274"/>
        <v>0</v>
      </c>
      <c r="Q2032" s="330">
        <f t="shared" si="275"/>
        <v>0</v>
      </c>
      <c r="R2032" s="331" t="str">
        <f t="shared" si="276"/>
        <v/>
      </c>
      <c r="S2032" s="331" t="str">
        <f>IF(D2032="","",IF(OR(D2032=Plano!$A$1,D2032=Plano!$B$1),"entrada","saída"))</f>
        <v/>
      </c>
      <c r="T2032" s="269"/>
      <c r="U2032" s="269"/>
      <c r="V2032" s="269"/>
      <c r="W2032" s="269"/>
      <c r="X2032" s="269"/>
      <c r="Y2032" s="269"/>
      <c r="Z2032" s="269"/>
      <c r="AA2032" s="269"/>
      <c r="AB2032" s="269"/>
      <c r="AC2032" s="269"/>
      <c r="AD2032" s="269"/>
      <c r="AE2032" s="269"/>
      <c r="AF2032" s="269"/>
      <c r="AG2032" s="269"/>
      <c r="AH2032" s="269"/>
      <c r="AI2032" s="269"/>
      <c r="AJ2032" s="269"/>
      <c r="AK2032" s="269"/>
      <c r="AL2032" s="269"/>
      <c r="AM2032" s="269"/>
    </row>
    <row r="2033" spans="1:39" ht="12.75" customHeight="1" x14ac:dyDescent="0.2">
      <c r="A2033" s="289" t="str">
        <f>IF(B2033="","",COUNT('Diário 5º PA'!$A$5:$A$2634)+COUNT('Diário 6º PA'!$A$5:$A$2246)+ROW()-4)</f>
        <v/>
      </c>
      <c r="B2033" s="290"/>
      <c r="C2033" s="357"/>
      <c r="D2033" s="291"/>
      <c r="E2033" s="291"/>
      <c r="F2033" s="292"/>
      <c r="G2033" s="291"/>
      <c r="H2033" s="291"/>
      <c r="I2033" s="293"/>
      <c r="J2033" s="291"/>
      <c r="K2033" s="291"/>
      <c r="L2033" s="293"/>
      <c r="M2033" s="291"/>
      <c r="N2033" s="289"/>
      <c r="O2033" s="358"/>
      <c r="P2033" s="330">
        <f t="shared" si="274"/>
        <v>0</v>
      </c>
      <c r="Q2033" s="330">
        <f t="shared" si="275"/>
        <v>0</v>
      </c>
      <c r="R2033" s="331" t="str">
        <f t="shared" si="276"/>
        <v/>
      </c>
      <c r="S2033" s="331" t="str">
        <f>IF(D2033="","",IF(OR(D2033=Plano!$A$1,D2033=Plano!$B$1),"entrada","saída"))</f>
        <v/>
      </c>
      <c r="T2033" s="269"/>
      <c r="U2033" s="269"/>
      <c r="V2033" s="269"/>
      <c r="W2033" s="269"/>
      <c r="X2033" s="269"/>
      <c r="Y2033" s="269"/>
      <c r="Z2033" s="269"/>
      <c r="AA2033" s="269"/>
      <c r="AB2033" s="269"/>
      <c r="AC2033" s="269"/>
      <c r="AD2033" s="269"/>
      <c r="AE2033" s="269"/>
      <c r="AF2033" s="269"/>
      <c r="AG2033" s="269"/>
      <c r="AH2033" s="269"/>
      <c r="AI2033" s="269"/>
      <c r="AJ2033" s="269"/>
      <c r="AK2033" s="269"/>
      <c r="AL2033" s="269"/>
      <c r="AM2033" s="269"/>
    </row>
    <row r="2034" spans="1:39" ht="12.75" customHeight="1" x14ac:dyDescent="0.2">
      <c r="A2034" s="289" t="str">
        <f>IF(B2034="","",COUNT('Diário 5º PA'!$A$5:$A$2634)+COUNT('Diário 6º PA'!$A$5:$A$2246)+ROW()-4)</f>
        <v/>
      </c>
      <c r="B2034" s="290"/>
      <c r="C2034" s="357"/>
      <c r="D2034" s="291"/>
      <c r="E2034" s="291"/>
      <c r="F2034" s="292"/>
      <c r="G2034" s="291"/>
      <c r="H2034" s="291"/>
      <c r="I2034" s="293"/>
      <c r="J2034" s="291"/>
      <c r="K2034" s="291"/>
      <c r="L2034" s="293"/>
      <c r="M2034" s="291"/>
      <c r="N2034" s="289"/>
      <c r="O2034" s="358"/>
      <c r="P2034" s="330">
        <f t="shared" si="274"/>
        <v>0</v>
      </c>
      <c r="Q2034" s="330">
        <f t="shared" si="275"/>
        <v>0</v>
      </c>
      <c r="R2034" s="331" t="str">
        <f t="shared" si="276"/>
        <v/>
      </c>
      <c r="S2034" s="331" t="str">
        <f>IF(D2034="","",IF(OR(D2034=Plano!$A$1,D2034=Plano!$B$1),"entrada","saída"))</f>
        <v/>
      </c>
      <c r="T2034" s="269"/>
      <c r="U2034" s="269"/>
      <c r="V2034" s="269"/>
      <c r="W2034" s="269"/>
      <c r="X2034" s="269"/>
      <c r="Y2034" s="269"/>
      <c r="Z2034" s="269"/>
      <c r="AA2034" s="269"/>
      <c r="AB2034" s="269"/>
      <c r="AC2034" s="269"/>
      <c r="AD2034" s="269"/>
      <c r="AE2034" s="269"/>
      <c r="AF2034" s="269"/>
      <c r="AG2034" s="269"/>
      <c r="AH2034" s="269"/>
      <c r="AI2034" s="269"/>
      <c r="AJ2034" s="269"/>
      <c r="AK2034" s="269"/>
      <c r="AL2034" s="269"/>
      <c r="AM2034" s="269"/>
    </row>
    <row r="2035" spans="1:39" ht="12.75" customHeight="1" x14ac:dyDescent="0.2">
      <c r="A2035" s="289" t="str">
        <f>IF(B2035="","",COUNT('Diário 5º PA'!$A$5:$A$2634)+COUNT('Diário 6º PA'!$A$5:$A$2246)+ROW()-4)</f>
        <v/>
      </c>
      <c r="B2035" s="290"/>
      <c r="C2035" s="357"/>
      <c r="D2035" s="291"/>
      <c r="E2035" s="291"/>
      <c r="F2035" s="292"/>
      <c r="G2035" s="291"/>
      <c r="H2035" s="291"/>
      <c r="I2035" s="293"/>
      <c r="J2035" s="291"/>
      <c r="K2035" s="291"/>
      <c r="L2035" s="293"/>
      <c r="M2035" s="291"/>
      <c r="N2035" s="289"/>
      <c r="O2035" s="358"/>
      <c r="P2035" s="330">
        <f t="shared" si="274"/>
        <v>0</v>
      </c>
      <c r="Q2035" s="330">
        <f t="shared" si="275"/>
        <v>0</v>
      </c>
      <c r="R2035" s="331" t="str">
        <f t="shared" si="276"/>
        <v/>
      </c>
      <c r="S2035" s="331" t="str">
        <f>IF(D2035="","",IF(OR(D2035=Plano!$A$1,D2035=Plano!$B$1),"entrada","saída"))</f>
        <v/>
      </c>
      <c r="T2035" s="269"/>
      <c r="U2035" s="269"/>
      <c r="V2035" s="269"/>
      <c r="W2035" s="269"/>
      <c r="X2035" s="269"/>
      <c r="Y2035" s="269"/>
      <c r="Z2035" s="269"/>
      <c r="AA2035" s="269"/>
      <c r="AB2035" s="269"/>
      <c r="AC2035" s="269"/>
      <c r="AD2035" s="269"/>
      <c r="AE2035" s="269"/>
      <c r="AF2035" s="269"/>
      <c r="AG2035" s="269"/>
      <c r="AH2035" s="269"/>
      <c r="AI2035" s="269"/>
      <c r="AJ2035" s="269"/>
      <c r="AK2035" s="269"/>
      <c r="AL2035" s="269"/>
      <c r="AM2035" s="269"/>
    </row>
    <row r="2036" spans="1:39" ht="12.75" customHeight="1" x14ac:dyDescent="0.2">
      <c r="A2036" s="289" t="str">
        <f>IF(B2036="","",COUNT('Diário 5º PA'!$A$5:$A$2634)+COUNT('Diário 6º PA'!$A$5:$A$2246)+ROW()-4)</f>
        <v/>
      </c>
      <c r="B2036" s="290"/>
      <c r="C2036" s="357"/>
      <c r="D2036" s="291"/>
      <c r="E2036" s="291"/>
      <c r="F2036" s="292"/>
      <c r="G2036" s="291"/>
      <c r="H2036" s="291"/>
      <c r="I2036" s="293"/>
      <c r="J2036" s="291"/>
      <c r="K2036" s="291"/>
      <c r="L2036" s="293"/>
      <c r="M2036" s="291"/>
      <c r="N2036" s="289"/>
      <c r="O2036" s="358"/>
      <c r="P2036" s="330">
        <f t="shared" si="274"/>
        <v>0</v>
      </c>
      <c r="Q2036" s="330">
        <f t="shared" si="275"/>
        <v>0</v>
      </c>
      <c r="R2036" s="331" t="str">
        <f t="shared" si="276"/>
        <v/>
      </c>
      <c r="S2036" s="331" t="str">
        <f>IF(D2036="","",IF(OR(D2036=Plano!$A$1,D2036=Plano!$B$1),"entrada","saída"))</f>
        <v/>
      </c>
      <c r="T2036" s="269"/>
      <c r="U2036" s="269"/>
      <c r="V2036" s="269"/>
      <c r="W2036" s="269"/>
      <c r="X2036" s="269"/>
      <c r="Y2036" s="269"/>
      <c r="Z2036" s="269"/>
      <c r="AA2036" s="269"/>
      <c r="AB2036" s="269"/>
      <c r="AC2036" s="269"/>
      <c r="AD2036" s="269"/>
      <c r="AE2036" s="269"/>
      <c r="AF2036" s="269"/>
      <c r="AG2036" s="269"/>
      <c r="AH2036" s="269"/>
      <c r="AI2036" s="269"/>
      <c r="AJ2036" s="269"/>
      <c r="AK2036" s="269"/>
      <c r="AL2036" s="269"/>
      <c r="AM2036" s="269"/>
    </row>
    <row r="2037" spans="1:39" ht="12.75" customHeight="1" x14ac:dyDescent="0.2">
      <c r="A2037" s="289" t="str">
        <f>IF(B2037="","",COUNT('Diário 5º PA'!$A$5:$A$2634)+COUNT('Diário 6º PA'!$A$5:$A$2246)+ROW()-4)</f>
        <v/>
      </c>
      <c r="B2037" s="290"/>
      <c r="C2037" s="357"/>
      <c r="D2037" s="291"/>
      <c r="E2037" s="291"/>
      <c r="F2037" s="292"/>
      <c r="G2037" s="291"/>
      <c r="H2037" s="291"/>
      <c r="I2037" s="293"/>
      <c r="J2037" s="291"/>
      <c r="K2037" s="291"/>
      <c r="L2037" s="293"/>
      <c r="M2037" s="291"/>
      <c r="N2037" s="289"/>
      <c r="O2037" s="358"/>
      <c r="P2037" s="330">
        <f t="shared" si="274"/>
        <v>0</v>
      </c>
      <c r="Q2037" s="330">
        <f t="shared" si="275"/>
        <v>0</v>
      </c>
      <c r="R2037" s="331" t="str">
        <f t="shared" si="276"/>
        <v/>
      </c>
      <c r="S2037" s="331" t="str">
        <f>IF(D2037="","",IF(OR(D2037=Plano!$A$1,D2037=Plano!$B$1),"entrada","saída"))</f>
        <v/>
      </c>
      <c r="T2037" s="269"/>
      <c r="U2037" s="269"/>
      <c r="V2037" s="269"/>
      <c r="W2037" s="269"/>
      <c r="X2037" s="269"/>
      <c r="Y2037" s="269"/>
      <c r="Z2037" s="269"/>
      <c r="AA2037" s="269"/>
      <c r="AB2037" s="269"/>
      <c r="AC2037" s="269"/>
      <c r="AD2037" s="269"/>
      <c r="AE2037" s="269"/>
      <c r="AF2037" s="269"/>
      <c r="AG2037" s="269"/>
      <c r="AH2037" s="269"/>
      <c r="AI2037" s="269"/>
      <c r="AJ2037" s="269"/>
      <c r="AK2037" s="269"/>
      <c r="AL2037" s="269"/>
      <c r="AM2037" s="269"/>
    </row>
    <row r="2038" spans="1:39" ht="12.75" customHeight="1" x14ac:dyDescent="0.2">
      <c r="A2038" s="289" t="str">
        <f>IF(B2038="","",COUNT('Diário 5º PA'!$A$5:$A$2634)+COUNT('Diário 6º PA'!$A$5:$A$2246)+ROW()-4)</f>
        <v/>
      </c>
      <c r="B2038" s="290"/>
      <c r="C2038" s="357"/>
      <c r="D2038" s="291"/>
      <c r="E2038" s="291"/>
      <c r="F2038" s="292"/>
      <c r="G2038" s="291"/>
      <c r="H2038" s="291"/>
      <c r="I2038" s="293"/>
      <c r="J2038" s="291"/>
      <c r="K2038" s="291"/>
      <c r="L2038" s="293"/>
      <c r="M2038" s="291"/>
      <c r="N2038" s="289"/>
      <c r="O2038" s="358"/>
      <c r="P2038" s="330">
        <f t="shared" si="274"/>
        <v>0</v>
      </c>
      <c r="Q2038" s="330">
        <f t="shared" si="275"/>
        <v>0</v>
      </c>
      <c r="R2038" s="331" t="str">
        <f t="shared" si="276"/>
        <v/>
      </c>
      <c r="S2038" s="331" t="str">
        <f>IF(D2038="","",IF(OR(D2038=Plano!$A$1,D2038=Plano!$B$1),"entrada","saída"))</f>
        <v/>
      </c>
      <c r="T2038" s="269"/>
      <c r="U2038" s="269"/>
      <c r="V2038" s="269"/>
      <c r="W2038" s="269"/>
      <c r="X2038" s="269"/>
      <c r="Y2038" s="269"/>
      <c r="Z2038" s="269"/>
      <c r="AA2038" s="269"/>
      <c r="AB2038" s="269"/>
      <c r="AC2038" s="269"/>
      <c r="AD2038" s="269"/>
      <c r="AE2038" s="269"/>
      <c r="AF2038" s="269"/>
      <c r="AG2038" s="269"/>
      <c r="AH2038" s="269"/>
      <c r="AI2038" s="269"/>
      <c r="AJ2038" s="269"/>
      <c r="AK2038" s="269"/>
      <c r="AL2038" s="269"/>
      <c r="AM2038" s="269"/>
    </row>
    <row r="2039" spans="1:39" ht="12.75" customHeight="1" x14ac:dyDescent="0.2">
      <c r="A2039" s="289" t="str">
        <f>IF(B2039="","",COUNT('Diário 5º PA'!$A$5:$A$2634)+COUNT('Diário 6º PA'!$A$5:$A$2246)+ROW()-4)</f>
        <v/>
      </c>
      <c r="B2039" s="290"/>
      <c r="C2039" s="357"/>
      <c r="D2039" s="291"/>
      <c r="E2039" s="291"/>
      <c r="F2039" s="292"/>
      <c r="G2039" s="291"/>
      <c r="H2039" s="291"/>
      <c r="I2039" s="293"/>
      <c r="J2039" s="291"/>
      <c r="K2039" s="291"/>
      <c r="L2039" s="293"/>
      <c r="M2039" s="291"/>
      <c r="N2039" s="289"/>
      <c r="O2039" s="358"/>
      <c r="P2039" s="330">
        <f t="shared" si="274"/>
        <v>0</v>
      </c>
      <c r="Q2039" s="330">
        <f t="shared" si="275"/>
        <v>0</v>
      </c>
      <c r="R2039" s="331" t="str">
        <f t="shared" si="276"/>
        <v/>
      </c>
      <c r="S2039" s="331" t="str">
        <f>IF(D2039="","",IF(OR(D2039=Plano!$A$1,D2039=Plano!$B$1),"entrada","saída"))</f>
        <v/>
      </c>
      <c r="T2039" s="269"/>
      <c r="U2039" s="269"/>
      <c r="V2039" s="269"/>
      <c r="W2039" s="269"/>
      <c r="X2039" s="269"/>
      <c r="Y2039" s="269"/>
      <c r="Z2039" s="269"/>
      <c r="AA2039" s="269"/>
      <c r="AB2039" s="269"/>
      <c r="AC2039" s="269"/>
      <c r="AD2039" s="269"/>
      <c r="AE2039" s="269"/>
      <c r="AF2039" s="269"/>
      <c r="AG2039" s="269"/>
      <c r="AH2039" s="269"/>
      <c r="AI2039" s="269"/>
      <c r="AJ2039" s="269"/>
      <c r="AK2039" s="269"/>
      <c r="AL2039" s="269"/>
      <c r="AM2039" s="269"/>
    </row>
    <row r="2040" spans="1:39" ht="12.75" customHeight="1" x14ac:dyDescent="0.2">
      <c r="A2040" s="289" t="str">
        <f>IF(B2040="","",COUNT('Diário 5º PA'!$A$5:$A$2634)+COUNT('Diário 6º PA'!$A$5:$A$2246)+ROW()-4)</f>
        <v/>
      </c>
      <c r="B2040" s="290"/>
      <c r="C2040" s="357"/>
      <c r="D2040" s="291"/>
      <c r="E2040" s="291"/>
      <c r="F2040" s="292"/>
      <c r="G2040" s="291"/>
      <c r="H2040" s="291"/>
      <c r="I2040" s="293"/>
      <c r="J2040" s="291"/>
      <c r="K2040" s="291"/>
      <c r="L2040" s="293"/>
      <c r="M2040" s="291"/>
      <c r="N2040" s="289"/>
      <c r="O2040" s="358"/>
      <c r="P2040" s="330">
        <f t="shared" si="274"/>
        <v>0</v>
      </c>
      <c r="Q2040" s="330">
        <f t="shared" si="275"/>
        <v>0</v>
      </c>
      <c r="R2040" s="331" t="str">
        <f t="shared" si="276"/>
        <v/>
      </c>
      <c r="S2040" s="331" t="str">
        <f>IF(D2040="","",IF(OR(D2040=Plano!$A$1,D2040=Plano!$B$1),"entrada","saída"))</f>
        <v/>
      </c>
      <c r="T2040" s="269"/>
      <c r="U2040" s="269"/>
      <c r="V2040" s="269"/>
      <c r="W2040" s="269"/>
      <c r="X2040" s="269"/>
      <c r="Y2040" s="269"/>
      <c r="Z2040" s="269"/>
      <c r="AA2040" s="269"/>
      <c r="AB2040" s="269"/>
      <c r="AC2040" s="269"/>
      <c r="AD2040" s="269"/>
      <c r="AE2040" s="269"/>
      <c r="AF2040" s="269"/>
      <c r="AG2040" s="269"/>
      <c r="AH2040" s="269"/>
      <c r="AI2040" s="269"/>
      <c r="AJ2040" s="269"/>
      <c r="AK2040" s="269"/>
      <c r="AL2040" s="269"/>
      <c r="AM2040" s="269"/>
    </row>
    <row r="2041" spans="1:39" ht="12.75" customHeight="1" x14ac:dyDescent="0.2">
      <c r="A2041" s="289" t="str">
        <f>IF(B2041="","",COUNT('Diário 5º PA'!$A$5:$A$2634)+COUNT('Diário 6º PA'!$A$5:$A$2246)+ROW()-4)</f>
        <v/>
      </c>
      <c r="B2041" s="290"/>
      <c r="C2041" s="357"/>
      <c r="D2041" s="291"/>
      <c r="E2041" s="291"/>
      <c r="F2041" s="292"/>
      <c r="G2041" s="291"/>
      <c r="H2041" s="291"/>
      <c r="I2041" s="293"/>
      <c r="J2041" s="291"/>
      <c r="K2041" s="291"/>
      <c r="L2041" s="293"/>
      <c r="M2041" s="291"/>
      <c r="N2041" s="289"/>
      <c r="O2041" s="358"/>
      <c r="P2041" s="330">
        <f t="shared" si="274"/>
        <v>0</v>
      </c>
      <c r="Q2041" s="330">
        <f t="shared" si="275"/>
        <v>0</v>
      </c>
      <c r="R2041" s="331" t="str">
        <f t="shared" si="276"/>
        <v/>
      </c>
      <c r="S2041" s="331" t="str">
        <f>IF(D2041="","",IF(OR(D2041=Plano!$A$1,D2041=Plano!$B$1),"entrada","saída"))</f>
        <v/>
      </c>
      <c r="T2041" s="269"/>
      <c r="U2041" s="269"/>
      <c r="V2041" s="269"/>
      <c r="W2041" s="269"/>
      <c r="X2041" s="269"/>
      <c r="Y2041" s="269"/>
      <c r="Z2041" s="269"/>
      <c r="AA2041" s="269"/>
      <c r="AB2041" s="269"/>
      <c r="AC2041" s="269"/>
      <c r="AD2041" s="269"/>
      <c r="AE2041" s="269"/>
      <c r="AF2041" s="269"/>
      <c r="AG2041" s="269"/>
      <c r="AH2041" s="269"/>
      <c r="AI2041" s="269"/>
      <c r="AJ2041" s="269"/>
      <c r="AK2041" s="269"/>
      <c r="AL2041" s="269"/>
      <c r="AM2041" s="269"/>
    </row>
    <row r="2042" spans="1:39" ht="12.75" customHeight="1" x14ac:dyDescent="0.2">
      <c r="A2042" s="289" t="str">
        <f>IF(B2042="","",COUNT('Diário 5º PA'!$A$5:$A$2634)+COUNT('Diário 6º PA'!$A$5:$A$2246)+ROW()-4)</f>
        <v/>
      </c>
      <c r="B2042" s="290"/>
      <c r="C2042" s="357"/>
      <c r="D2042" s="291"/>
      <c r="E2042" s="291"/>
      <c r="F2042" s="292"/>
      <c r="G2042" s="291"/>
      <c r="H2042" s="291"/>
      <c r="I2042" s="293"/>
      <c r="J2042" s="291"/>
      <c r="K2042" s="291"/>
      <c r="L2042" s="293"/>
      <c r="M2042" s="291"/>
      <c r="N2042" s="289"/>
      <c r="O2042" s="358"/>
      <c r="P2042" s="330">
        <f t="shared" si="274"/>
        <v>0</v>
      </c>
      <c r="Q2042" s="330">
        <f t="shared" si="275"/>
        <v>0</v>
      </c>
      <c r="R2042" s="331" t="str">
        <f t="shared" si="276"/>
        <v/>
      </c>
      <c r="S2042" s="331" t="str">
        <f>IF(D2042="","",IF(OR(D2042=Plano!$A$1,D2042=Plano!$B$1),"entrada","saída"))</f>
        <v/>
      </c>
      <c r="T2042" s="269"/>
      <c r="U2042" s="269"/>
      <c r="V2042" s="269"/>
      <c r="W2042" s="269"/>
      <c r="X2042" s="269"/>
      <c r="Y2042" s="269"/>
      <c r="Z2042" s="269"/>
      <c r="AA2042" s="269"/>
      <c r="AB2042" s="269"/>
      <c r="AC2042" s="269"/>
      <c r="AD2042" s="269"/>
      <c r="AE2042" s="269"/>
      <c r="AF2042" s="269"/>
      <c r="AG2042" s="269"/>
      <c r="AH2042" s="269"/>
      <c r="AI2042" s="269"/>
      <c r="AJ2042" s="269"/>
      <c r="AK2042" s="269"/>
      <c r="AL2042" s="269"/>
      <c r="AM2042" s="269"/>
    </row>
    <row r="2043" spans="1:39" ht="12.75" customHeight="1" x14ac:dyDescent="0.2">
      <c r="A2043" s="289" t="str">
        <f>IF(B2043="","",COUNT('Diário 5º PA'!$A$5:$A$2634)+COUNT('Diário 6º PA'!$A$5:$A$2246)+ROW()-4)</f>
        <v/>
      </c>
      <c r="B2043" s="290"/>
      <c r="C2043" s="357"/>
      <c r="D2043" s="291"/>
      <c r="E2043" s="291"/>
      <c r="F2043" s="292"/>
      <c r="G2043" s="291"/>
      <c r="H2043" s="291"/>
      <c r="I2043" s="293"/>
      <c r="J2043" s="291"/>
      <c r="K2043" s="291"/>
      <c r="L2043" s="293"/>
      <c r="M2043" s="291"/>
      <c r="N2043" s="289"/>
      <c r="O2043" s="358"/>
      <c r="P2043" s="330">
        <f t="shared" si="274"/>
        <v>0</v>
      </c>
      <c r="Q2043" s="330">
        <f t="shared" si="275"/>
        <v>0</v>
      </c>
      <c r="R2043" s="331" t="str">
        <f t="shared" si="276"/>
        <v/>
      </c>
      <c r="S2043" s="331" t="str">
        <f>IF(D2043="","",IF(OR(D2043=Plano!$A$1,D2043=Plano!$B$1),"entrada","saída"))</f>
        <v/>
      </c>
      <c r="T2043" s="269"/>
      <c r="U2043" s="269"/>
      <c r="V2043" s="269"/>
      <c r="W2043" s="269"/>
      <c r="X2043" s="269"/>
      <c r="Y2043" s="269"/>
      <c r="Z2043" s="269"/>
      <c r="AA2043" s="269"/>
      <c r="AB2043" s="269"/>
      <c r="AC2043" s="269"/>
      <c r="AD2043" s="269"/>
      <c r="AE2043" s="269"/>
      <c r="AF2043" s="269"/>
      <c r="AG2043" s="269"/>
      <c r="AH2043" s="269"/>
      <c r="AI2043" s="269"/>
      <c r="AJ2043" s="269"/>
      <c r="AK2043" s="269"/>
      <c r="AL2043" s="269"/>
      <c r="AM2043" s="269"/>
    </row>
    <row r="2044" spans="1:39" ht="12.75" customHeight="1" x14ac:dyDescent="0.2">
      <c r="A2044" s="289" t="str">
        <f>IF(B2044="","",COUNT('Diário 5º PA'!$A$5:$A$2634)+COUNT('Diário 6º PA'!$A$5:$A$2246)+ROW()-4)</f>
        <v/>
      </c>
      <c r="B2044" s="290"/>
      <c r="C2044" s="357"/>
      <c r="D2044" s="291"/>
      <c r="E2044" s="291"/>
      <c r="F2044" s="292"/>
      <c r="G2044" s="291"/>
      <c r="H2044" s="291"/>
      <c r="I2044" s="293"/>
      <c r="J2044" s="291"/>
      <c r="K2044" s="291"/>
      <c r="L2044" s="293"/>
      <c r="M2044" s="291"/>
      <c r="N2044" s="289"/>
      <c r="O2044" s="358"/>
      <c r="P2044" s="330">
        <f t="shared" si="274"/>
        <v>0</v>
      </c>
      <c r="Q2044" s="330">
        <f t="shared" si="275"/>
        <v>0</v>
      </c>
      <c r="R2044" s="331" t="str">
        <f t="shared" si="276"/>
        <v/>
      </c>
      <c r="S2044" s="331" t="str">
        <f>IF(D2044="","",IF(OR(D2044=Plano!$A$1,D2044=Plano!$B$1),"entrada","saída"))</f>
        <v/>
      </c>
      <c r="T2044" s="269"/>
      <c r="U2044" s="269"/>
      <c r="V2044" s="269"/>
      <c r="W2044" s="269"/>
      <c r="X2044" s="269"/>
      <c r="Y2044" s="269"/>
      <c r="Z2044" s="269"/>
      <c r="AA2044" s="269"/>
      <c r="AB2044" s="269"/>
      <c r="AC2044" s="269"/>
      <c r="AD2044" s="269"/>
      <c r="AE2044" s="269"/>
      <c r="AF2044" s="269"/>
      <c r="AG2044" s="269"/>
      <c r="AH2044" s="269"/>
      <c r="AI2044" s="269"/>
      <c r="AJ2044" s="269"/>
      <c r="AK2044" s="269"/>
      <c r="AL2044" s="269"/>
      <c r="AM2044" s="269"/>
    </row>
    <row r="2045" spans="1:39" ht="12.75" customHeight="1" x14ac:dyDescent="0.2">
      <c r="A2045" s="289" t="str">
        <f>IF(B2045="","",COUNT('Diário 5º PA'!$A$5:$A$2634)+COUNT('Diário 6º PA'!$A$5:$A$2246)+ROW()-4)</f>
        <v/>
      </c>
      <c r="B2045" s="290"/>
      <c r="C2045" s="357"/>
      <c r="D2045" s="291"/>
      <c r="E2045" s="291"/>
      <c r="F2045" s="292"/>
      <c r="G2045" s="291"/>
      <c r="H2045" s="291"/>
      <c r="I2045" s="293"/>
      <c r="J2045" s="291"/>
      <c r="K2045" s="291"/>
      <c r="L2045" s="293"/>
      <c r="M2045" s="291"/>
      <c r="N2045" s="289"/>
      <c r="O2045" s="358"/>
      <c r="P2045" s="330">
        <f t="shared" si="274"/>
        <v>0</v>
      </c>
      <c r="Q2045" s="330">
        <f t="shared" si="275"/>
        <v>0</v>
      </c>
      <c r="R2045" s="331" t="str">
        <f t="shared" si="276"/>
        <v/>
      </c>
      <c r="S2045" s="331" t="str">
        <f>IF(D2045="","",IF(OR(D2045=Plano!$A$1,D2045=Plano!$B$1),"entrada","saída"))</f>
        <v/>
      </c>
      <c r="T2045" s="269"/>
      <c r="U2045" s="269"/>
      <c r="V2045" s="269"/>
      <c r="W2045" s="269"/>
      <c r="X2045" s="269"/>
      <c r="Y2045" s="269"/>
      <c r="Z2045" s="269"/>
      <c r="AA2045" s="269"/>
      <c r="AB2045" s="269"/>
      <c r="AC2045" s="269"/>
      <c r="AD2045" s="269"/>
      <c r="AE2045" s="269"/>
      <c r="AF2045" s="269"/>
      <c r="AG2045" s="269"/>
      <c r="AH2045" s="269"/>
      <c r="AI2045" s="269"/>
      <c r="AJ2045" s="269"/>
      <c r="AK2045" s="269"/>
      <c r="AL2045" s="269"/>
      <c r="AM2045" s="269"/>
    </row>
    <row r="2046" spans="1:39" ht="12.75" customHeight="1" x14ac:dyDescent="0.2">
      <c r="A2046" s="289" t="str">
        <f>IF(B2046="","",COUNT('Diário 5º PA'!$A$5:$A$2634)+COUNT('Diário 6º PA'!$A$5:$A$2246)+ROW()-4)</f>
        <v/>
      </c>
      <c r="B2046" s="290"/>
      <c r="C2046" s="357"/>
      <c r="D2046" s="291"/>
      <c r="E2046" s="291"/>
      <c r="F2046" s="292"/>
      <c r="G2046" s="291"/>
      <c r="H2046" s="291"/>
      <c r="I2046" s="293"/>
      <c r="J2046" s="291"/>
      <c r="K2046" s="291"/>
      <c r="L2046" s="293"/>
      <c r="M2046" s="291"/>
      <c r="N2046" s="289"/>
      <c r="O2046" s="358"/>
      <c r="P2046" s="330">
        <f t="shared" si="274"/>
        <v>0</v>
      </c>
      <c r="Q2046" s="330">
        <f t="shared" si="275"/>
        <v>0</v>
      </c>
      <c r="R2046" s="331" t="str">
        <f t="shared" si="276"/>
        <v/>
      </c>
      <c r="S2046" s="331" t="str">
        <f>IF(D2046="","",IF(OR(D2046=Plano!$A$1,D2046=Plano!$B$1),"entrada","saída"))</f>
        <v/>
      </c>
      <c r="T2046" s="269"/>
      <c r="U2046" s="269"/>
      <c r="V2046" s="269"/>
      <c r="W2046" s="269"/>
      <c r="X2046" s="269"/>
      <c r="Y2046" s="269"/>
      <c r="Z2046" s="269"/>
      <c r="AA2046" s="269"/>
      <c r="AB2046" s="269"/>
      <c r="AC2046" s="269"/>
      <c r="AD2046" s="269"/>
      <c r="AE2046" s="269"/>
      <c r="AF2046" s="269"/>
      <c r="AG2046" s="269"/>
      <c r="AH2046" s="269"/>
      <c r="AI2046" s="269"/>
      <c r="AJ2046" s="269"/>
      <c r="AK2046" s="269"/>
      <c r="AL2046" s="269"/>
      <c r="AM2046" s="269"/>
    </row>
    <row r="2047" spans="1:39" ht="12.75" customHeight="1" x14ac:dyDescent="0.2">
      <c r="A2047" s="289" t="str">
        <f>IF(B2047="","",COUNT('Diário 5º PA'!$A$5:$A$2634)+COUNT('Diário 6º PA'!$A$5:$A$2246)+ROW()-4)</f>
        <v/>
      </c>
      <c r="B2047" s="290"/>
      <c r="C2047" s="357"/>
      <c r="D2047" s="291"/>
      <c r="E2047" s="291"/>
      <c r="F2047" s="292"/>
      <c r="G2047" s="291"/>
      <c r="H2047" s="291"/>
      <c r="I2047" s="293"/>
      <c r="J2047" s="291"/>
      <c r="K2047" s="291"/>
      <c r="L2047" s="293"/>
      <c r="M2047" s="291"/>
      <c r="N2047" s="289"/>
      <c r="O2047" s="358"/>
      <c r="P2047" s="330">
        <f t="shared" si="274"/>
        <v>0</v>
      </c>
      <c r="Q2047" s="330">
        <f t="shared" si="275"/>
        <v>0</v>
      </c>
      <c r="R2047" s="331" t="str">
        <f t="shared" si="276"/>
        <v/>
      </c>
      <c r="S2047" s="331" t="str">
        <f>IF(D2047="","",IF(OR(D2047=Plano!$A$1,D2047=Plano!$B$1),"entrada","saída"))</f>
        <v/>
      </c>
      <c r="T2047" s="269"/>
      <c r="U2047" s="269"/>
      <c r="V2047" s="269"/>
      <c r="W2047" s="269"/>
      <c r="X2047" s="269"/>
      <c r="Y2047" s="269"/>
      <c r="Z2047" s="269"/>
      <c r="AA2047" s="269"/>
      <c r="AB2047" s="269"/>
      <c r="AC2047" s="269"/>
      <c r="AD2047" s="269"/>
      <c r="AE2047" s="269"/>
      <c r="AF2047" s="269"/>
      <c r="AG2047" s="269"/>
      <c r="AH2047" s="269"/>
      <c r="AI2047" s="269"/>
      <c r="AJ2047" s="269"/>
      <c r="AK2047" s="269"/>
      <c r="AL2047" s="269"/>
      <c r="AM2047" s="269"/>
    </row>
    <row r="2048" spans="1:39" ht="12.75" customHeight="1" x14ac:dyDescent="0.2">
      <c r="A2048" s="289" t="str">
        <f>IF(B2048="","",COUNT('Diário 5º PA'!$A$5:$A$2634)+COUNT('Diário 6º PA'!$A$5:$A$2246)+ROW()-4)</f>
        <v/>
      </c>
      <c r="B2048" s="290"/>
      <c r="C2048" s="357"/>
      <c r="D2048" s="291"/>
      <c r="E2048" s="291"/>
      <c r="F2048" s="292"/>
      <c r="G2048" s="291"/>
      <c r="H2048" s="291"/>
      <c r="I2048" s="293"/>
      <c r="J2048" s="291"/>
      <c r="K2048" s="291"/>
      <c r="L2048" s="293"/>
      <c r="M2048" s="291"/>
      <c r="N2048" s="289"/>
      <c r="O2048" s="358"/>
      <c r="P2048" s="330">
        <f t="shared" si="274"/>
        <v>0</v>
      </c>
      <c r="Q2048" s="330">
        <f t="shared" si="275"/>
        <v>0</v>
      </c>
      <c r="R2048" s="331" t="str">
        <f t="shared" si="276"/>
        <v/>
      </c>
      <c r="S2048" s="331" t="str">
        <f>IF(D2048="","",IF(OR(D2048=Plano!$A$1,D2048=Plano!$B$1),"entrada","saída"))</f>
        <v/>
      </c>
      <c r="T2048" s="269"/>
      <c r="U2048" s="269"/>
      <c r="V2048" s="269"/>
      <c r="W2048" s="269"/>
      <c r="X2048" s="269"/>
      <c r="Y2048" s="269"/>
      <c r="Z2048" s="269"/>
      <c r="AA2048" s="269"/>
      <c r="AB2048" s="269"/>
      <c r="AC2048" s="269"/>
      <c r="AD2048" s="269"/>
      <c r="AE2048" s="269"/>
      <c r="AF2048" s="269"/>
      <c r="AG2048" s="269"/>
      <c r="AH2048" s="269"/>
      <c r="AI2048" s="269"/>
      <c r="AJ2048" s="269"/>
      <c r="AK2048" s="269"/>
      <c r="AL2048" s="269"/>
      <c r="AM2048" s="269"/>
    </row>
    <row r="2049" spans="1:39" ht="12.75" customHeight="1" x14ac:dyDescent="0.2">
      <c r="A2049" s="289" t="str">
        <f>IF(B2049="","",COUNT('Diário 5º PA'!$A$5:$A$2634)+COUNT('Diário 6º PA'!$A$5:$A$2246)+ROW()-4)</f>
        <v/>
      </c>
      <c r="B2049" s="290"/>
      <c r="C2049" s="357"/>
      <c r="D2049" s="291"/>
      <c r="E2049" s="291"/>
      <c r="F2049" s="292"/>
      <c r="G2049" s="291"/>
      <c r="H2049" s="291"/>
      <c r="I2049" s="293"/>
      <c r="J2049" s="291"/>
      <c r="K2049" s="291"/>
      <c r="L2049" s="293"/>
      <c r="M2049" s="291"/>
      <c r="N2049" s="289"/>
      <c r="O2049" s="358"/>
      <c r="P2049" s="330">
        <f t="shared" si="274"/>
        <v>0</v>
      </c>
      <c r="Q2049" s="330">
        <f t="shared" si="275"/>
        <v>0</v>
      </c>
      <c r="R2049" s="331" t="str">
        <f t="shared" si="276"/>
        <v/>
      </c>
      <c r="S2049" s="331" t="str">
        <f>IF(D2049="","",IF(OR(D2049=Plano!$A$1,D2049=Plano!$B$1),"entrada","saída"))</f>
        <v/>
      </c>
      <c r="T2049" s="269"/>
      <c r="U2049" s="269"/>
      <c r="V2049" s="269"/>
      <c r="W2049" s="269"/>
      <c r="X2049" s="269"/>
      <c r="Y2049" s="269"/>
      <c r="Z2049" s="269"/>
      <c r="AA2049" s="269"/>
      <c r="AB2049" s="269"/>
      <c r="AC2049" s="269"/>
      <c r="AD2049" s="269"/>
      <c r="AE2049" s="269"/>
      <c r="AF2049" s="269"/>
      <c r="AG2049" s="269"/>
      <c r="AH2049" s="269"/>
      <c r="AI2049" s="269"/>
      <c r="AJ2049" s="269"/>
      <c r="AK2049" s="269"/>
      <c r="AL2049" s="269"/>
      <c r="AM2049" s="269"/>
    </row>
    <row r="2050" spans="1:39" ht="12.75" customHeight="1" x14ac:dyDescent="0.2">
      <c r="A2050" s="289" t="str">
        <f>IF(B2050="","",COUNT('Diário 5º PA'!$A$5:$A$2634)+COUNT('Diário 6º PA'!$A$5:$A$2246)+ROW()-4)</f>
        <v/>
      </c>
      <c r="B2050" s="290"/>
      <c r="C2050" s="357"/>
      <c r="D2050" s="291"/>
      <c r="E2050" s="291"/>
      <c r="F2050" s="292"/>
      <c r="G2050" s="291"/>
      <c r="H2050" s="291"/>
      <c r="I2050" s="293"/>
      <c r="J2050" s="291"/>
      <c r="K2050" s="291"/>
      <c r="L2050" s="293"/>
      <c r="M2050" s="291"/>
      <c r="N2050" s="289"/>
      <c r="O2050" s="358"/>
      <c r="P2050" s="330">
        <f t="shared" si="274"/>
        <v>0</v>
      </c>
      <c r="Q2050" s="330">
        <f t="shared" si="275"/>
        <v>0</v>
      </c>
      <c r="R2050" s="331" t="str">
        <f t="shared" si="276"/>
        <v/>
      </c>
      <c r="S2050" s="331" t="str">
        <f>IF(D2050="","",IF(OR(D2050=Plano!$A$1,D2050=Plano!$B$1),"entrada","saída"))</f>
        <v/>
      </c>
      <c r="T2050" s="269"/>
      <c r="U2050" s="269"/>
      <c r="V2050" s="269"/>
      <c r="W2050" s="269"/>
      <c r="X2050" s="269"/>
      <c r="Y2050" s="269"/>
      <c r="Z2050" s="269"/>
      <c r="AA2050" s="269"/>
      <c r="AB2050" s="269"/>
      <c r="AC2050" s="269"/>
      <c r="AD2050" s="269"/>
      <c r="AE2050" s="269"/>
      <c r="AF2050" s="269"/>
      <c r="AG2050" s="269"/>
      <c r="AH2050" s="269"/>
      <c r="AI2050" s="269"/>
      <c r="AJ2050" s="269"/>
      <c r="AK2050" s="269"/>
      <c r="AL2050" s="269"/>
      <c r="AM2050" s="269"/>
    </row>
    <row r="2051" spans="1:39" ht="12.75" customHeight="1" x14ac:dyDescent="0.2">
      <c r="A2051" s="289" t="str">
        <f>IF(B2051="","",COUNT('Diário 5º PA'!$A$5:$A$2634)+COUNT('Diário 6º PA'!$A$5:$A$2246)+ROW()-4)</f>
        <v/>
      </c>
      <c r="B2051" s="290"/>
      <c r="C2051" s="357"/>
      <c r="D2051" s="291"/>
      <c r="E2051" s="291"/>
      <c r="F2051" s="292"/>
      <c r="G2051" s="291"/>
      <c r="H2051" s="291"/>
      <c r="I2051" s="293"/>
      <c r="J2051" s="291"/>
      <c r="K2051" s="291"/>
      <c r="L2051" s="293"/>
      <c r="M2051" s="291"/>
      <c r="N2051" s="289"/>
      <c r="O2051" s="358"/>
      <c r="P2051" s="330">
        <f t="shared" si="274"/>
        <v>0</v>
      </c>
      <c r="Q2051" s="330">
        <f t="shared" si="275"/>
        <v>0</v>
      </c>
      <c r="R2051" s="331" t="str">
        <f t="shared" si="276"/>
        <v/>
      </c>
      <c r="S2051" s="331" t="str">
        <f>IF(D2051="","",IF(OR(D2051=Plano!$A$1,D2051=Plano!$B$1),"entrada","saída"))</f>
        <v/>
      </c>
      <c r="T2051" s="269"/>
      <c r="U2051" s="269"/>
      <c r="V2051" s="269"/>
      <c r="W2051" s="269"/>
      <c r="X2051" s="269"/>
      <c r="Y2051" s="269"/>
      <c r="Z2051" s="269"/>
      <c r="AA2051" s="269"/>
      <c r="AB2051" s="269"/>
      <c r="AC2051" s="269"/>
      <c r="AD2051" s="269"/>
      <c r="AE2051" s="269"/>
      <c r="AF2051" s="269"/>
      <c r="AG2051" s="269"/>
      <c r="AH2051" s="269"/>
      <c r="AI2051" s="269"/>
      <c r="AJ2051" s="269"/>
      <c r="AK2051" s="269"/>
      <c r="AL2051" s="269"/>
      <c r="AM2051" s="269"/>
    </row>
    <row r="2052" spans="1:39" ht="12.75" customHeight="1" x14ac:dyDescent="0.2">
      <c r="A2052" s="289" t="str">
        <f>IF(B2052="","",COUNT('Diário 5º PA'!$A$5:$A$2634)+COUNT('Diário 6º PA'!$A$5:$A$2246)+ROW()-4)</f>
        <v/>
      </c>
      <c r="B2052" s="290"/>
      <c r="C2052" s="357"/>
      <c r="D2052" s="291"/>
      <c r="E2052" s="291"/>
      <c r="F2052" s="292"/>
      <c r="G2052" s="291"/>
      <c r="H2052" s="291"/>
      <c r="I2052" s="293"/>
      <c r="J2052" s="291"/>
      <c r="K2052" s="291"/>
      <c r="L2052" s="293"/>
      <c r="M2052" s="291"/>
      <c r="N2052" s="289"/>
      <c r="O2052" s="358"/>
      <c r="P2052" s="330">
        <f t="shared" si="274"/>
        <v>0</v>
      </c>
      <c r="Q2052" s="330">
        <f t="shared" si="275"/>
        <v>0</v>
      </c>
      <c r="R2052" s="331" t="str">
        <f t="shared" si="276"/>
        <v/>
      </c>
      <c r="S2052" s="331" t="str">
        <f>IF(D2052="","",IF(OR(D2052=Plano!$A$1,D2052=Plano!$B$1),"entrada","saída"))</f>
        <v/>
      </c>
      <c r="T2052" s="269"/>
      <c r="U2052" s="269"/>
      <c r="V2052" s="269"/>
      <c r="W2052" s="269"/>
      <c r="X2052" s="269"/>
      <c r="Y2052" s="269"/>
      <c r="Z2052" s="269"/>
      <c r="AA2052" s="269"/>
      <c r="AB2052" s="269"/>
      <c r="AC2052" s="269"/>
      <c r="AD2052" s="269"/>
      <c r="AE2052" s="269"/>
      <c r="AF2052" s="269"/>
      <c r="AG2052" s="269"/>
      <c r="AH2052" s="269"/>
      <c r="AI2052" s="269"/>
      <c r="AJ2052" s="269"/>
      <c r="AK2052" s="269"/>
      <c r="AL2052" s="269"/>
      <c r="AM2052" s="269"/>
    </row>
    <row r="2053" spans="1:39" ht="12.75" customHeight="1" x14ac:dyDescent="0.2">
      <c r="A2053" s="289" t="str">
        <f>IF(B2053="","",COUNT('Diário 5º PA'!$A$5:$A$2634)+COUNT('Diário 6º PA'!$A$5:$A$2246)+ROW()-4)</f>
        <v/>
      </c>
      <c r="B2053" s="290"/>
      <c r="C2053" s="357"/>
      <c r="D2053" s="291"/>
      <c r="E2053" s="291"/>
      <c r="F2053" s="292"/>
      <c r="G2053" s="291"/>
      <c r="H2053" s="291"/>
      <c r="I2053" s="293"/>
      <c r="J2053" s="291"/>
      <c r="K2053" s="291"/>
      <c r="L2053" s="293"/>
      <c r="M2053" s="291"/>
      <c r="N2053" s="289"/>
      <c r="O2053" s="358"/>
      <c r="P2053" s="330">
        <f t="shared" si="274"/>
        <v>0</v>
      </c>
      <c r="Q2053" s="330">
        <f t="shared" si="275"/>
        <v>0</v>
      </c>
      <c r="R2053" s="331" t="str">
        <f t="shared" si="276"/>
        <v/>
      </c>
      <c r="S2053" s="331" t="str">
        <f>IF(D2053="","",IF(OR(D2053=Plano!$A$1,D2053=Plano!$B$1),"entrada","saída"))</f>
        <v/>
      </c>
      <c r="T2053" s="269"/>
      <c r="U2053" s="269"/>
      <c r="V2053" s="269"/>
      <c r="W2053" s="269"/>
      <c r="X2053" s="269"/>
      <c r="Y2053" s="269"/>
      <c r="Z2053" s="269"/>
      <c r="AA2053" s="269"/>
      <c r="AB2053" s="269"/>
      <c r="AC2053" s="269"/>
      <c r="AD2053" s="269"/>
      <c r="AE2053" s="269"/>
      <c r="AF2053" s="269"/>
      <c r="AG2053" s="269"/>
      <c r="AH2053" s="269"/>
      <c r="AI2053" s="269"/>
      <c r="AJ2053" s="269"/>
      <c r="AK2053" s="269"/>
      <c r="AL2053" s="269"/>
      <c r="AM2053" s="269"/>
    </row>
    <row r="2054" spans="1:39" ht="12.75" customHeight="1" x14ac:dyDescent="0.2">
      <c r="A2054" s="289" t="str">
        <f>IF(B2054="","",COUNT('Diário 5º PA'!$A$5:$A$2634)+COUNT('Diário 6º PA'!$A$5:$A$2246)+ROW()-4)</f>
        <v/>
      </c>
      <c r="B2054" s="290"/>
      <c r="C2054" s="357"/>
      <c r="D2054" s="291"/>
      <c r="E2054" s="291"/>
      <c r="F2054" s="292"/>
      <c r="G2054" s="291"/>
      <c r="H2054" s="291"/>
      <c r="I2054" s="293"/>
      <c r="J2054" s="291"/>
      <c r="K2054" s="291"/>
      <c r="L2054" s="293"/>
      <c r="M2054" s="291"/>
      <c r="N2054" s="289"/>
      <c r="O2054" s="358"/>
      <c r="P2054" s="330">
        <f t="shared" si="274"/>
        <v>0</v>
      </c>
      <c r="Q2054" s="330">
        <f t="shared" si="275"/>
        <v>0</v>
      </c>
      <c r="R2054" s="331" t="str">
        <f t="shared" si="276"/>
        <v/>
      </c>
      <c r="S2054" s="331" t="str">
        <f>IF(D2054="","",IF(OR(D2054=Plano!$A$1,D2054=Plano!$B$1),"entrada","saída"))</f>
        <v/>
      </c>
      <c r="T2054" s="269"/>
      <c r="U2054" s="269"/>
      <c r="V2054" s="269"/>
      <c r="W2054" s="269"/>
      <c r="X2054" s="269"/>
      <c r="Y2054" s="269"/>
      <c r="Z2054" s="269"/>
      <c r="AA2054" s="269"/>
      <c r="AB2054" s="269"/>
      <c r="AC2054" s="269"/>
      <c r="AD2054" s="269"/>
      <c r="AE2054" s="269"/>
      <c r="AF2054" s="269"/>
      <c r="AG2054" s="269"/>
      <c r="AH2054" s="269"/>
      <c r="AI2054" s="269"/>
      <c r="AJ2054" s="269"/>
      <c r="AK2054" s="269"/>
      <c r="AL2054" s="269"/>
      <c r="AM2054" s="269"/>
    </row>
    <row r="2055" spans="1:39" ht="12.75" customHeight="1" x14ac:dyDescent="0.2">
      <c r="A2055" s="289" t="str">
        <f>IF(B2055="","",COUNT('Diário 5º PA'!$A$5:$A$2634)+COUNT('Diário 6º PA'!$A$5:$A$2246)+ROW()-4)</f>
        <v/>
      </c>
      <c r="B2055" s="290"/>
      <c r="C2055" s="357"/>
      <c r="D2055" s="291"/>
      <c r="E2055" s="291"/>
      <c r="F2055" s="292"/>
      <c r="G2055" s="291"/>
      <c r="H2055" s="291"/>
      <c r="I2055" s="293"/>
      <c r="J2055" s="291"/>
      <c r="K2055" s="291"/>
      <c r="L2055" s="293"/>
      <c r="M2055" s="291"/>
      <c r="N2055" s="289"/>
      <c r="O2055" s="358"/>
      <c r="P2055" s="330">
        <f t="shared" si="274"/>
        <v>0</v>
      </c>
      <c r="Q2055" s="330">
        <f t="shared" si="275"/>
        <v>0</v>
      </c>
      <c r="R2055" s="331" t="str">
        <f t="shared" si="276"/>
        <v/>
      </c>
      <c r="S2055" s="331" t="str">
        <f>IF(D2055="","",IF(OR(D2055=Plano!$A$1,D2055=Plano!$B$1),"entrada","saída"))</f>
        <v/>
      </c>
      <c r="T2055" s="269"/>
      <c r="U2055" s="269"/>
      <c r="V2055" s="269"/>
      <c r="W2055" s="269"/>
      <c r="X2055" s="269"/>
      <c r="Y2055" s="269"/>
      <c r="Z2055" s="269"/>
      <c r="AA2055" s="269"/>
      <c r="AB2055" s="269"/>
      <c r="AC2055" s="269"/>
      <c r="AD2055" s="269"/>
      <c r="AE2055" s="269"/>
      <c r="AF2055" s="269"/>
      <c r="AG2055" s="269"/>
      <c r="AH2055" s="269"/>
      <c r="AI2055" s="269"/>
      <c r="AJ2055" s="269"/>
      <c r="AK2055" s="269"/>
      <c r="AL2055" s="269"/>
      <c r="AM2055" s="269"/>
    </row>
    <row r="2056" spans="1:39" ht="12.75" customHeight="1" x14ac:dyDescent="0.2">
      <c r="A2056" s="289" t="str">
        <f>IF(B2056="","",COUNT('Diário 5º PA'!$A$5:$A$2634)+COUNT('Diário 6º PA'!$A$5:$A$2246)+ROW()-4)</f>
        <v/>
      </c>
      <c r="B2056" s="290"/>
      <c r="C2056" s="357"/>
      <c r="D2056" s="291"/>
      <c r="E2056" s="291"/>
      <c r="F2056" s="292"/>
      <c r="G2056" s="291"/>
      <c r="H2056" s="291"/>
      <c r="I2056" s="293"/>
      <c r="J2056" s="291"/>
      <c r="K2056" s="291"/>
      <c r="L2056" s="293"/>
      <c r="M2056" s="291"/>
      <c r="N2056" s="289"/>
      <c r="O2056" s="358"/>
      <c r="P2056" s="330">
        <f t="shared" si="274"/>
        <v>0</v>
      </c>
      <c r="Q2056" s="330">
        <f t="shared" si="275"/>
        <v>0</v>
      </c>
      <c r="R2056" s="331" t="str">
        <f t="shared" si="276"/>
        <v/>
      </c>
      <c r="S2056" s="331" t="str">
        <f>IF(D2056="","",IF(OR(D2056=Plano!$A$1,D2056=Plano!$B$1),"entrada","saída"))</f>
        <v/>
      </c>
      <c r="T2056" s="269"/>
      <c r="U2056" s="269"/>
      <c r="V2056" s="269"/>
      <c r="W2056" s="269"/>
      <c r="X2056" s="269"/>
      <c r="Y2056" s="269"/>
      <c r="Z2056" s="269"/>
      <c r="AA2056" s="269"/>
      <c r="AB2056" s="269"/>
      <c r="AC2056" s="269"/>
      <c r="AD2056" s="269"/>
      <c r="AE2056" s="269"/>
      <c r="AF2056" s="269"/>
      <c r="AG2056" s="269"/>
      <c r="AH2056" s="269"/>
      <c r="AI2056" s="269"/>
      <c r="AJ2056" s="269"/>
      <c r="AK2056" s="269"/>
      <c r="AL2056" s="269"/>
      <c r="AM2056" s="269"/>
    </row>
    <row r="2057" spans="1:39" ht="12.75" customHeight="1" x14ac:dyDescent="0.2">
      <c r="A2057" s="289" t="str">
        <f>IF(B2057="","",COUNT('Diário 5º PA'!$A$5:$A$2634)+COUNT('Diário 6º PA'!$A$5:$A$2246)+ROW()-4)</f>
        <v/>
      </c>
      <c r="B2057" s="290"/>
      <c r="C2057" s="357"/>
      <c r="D2057" s="291"/>
      <c r="E2057" s="291"/>
      <c r="F2057" s="292"/>
      <c r="G2057" s="291"/>
      <c r="H2057" s="291"/>
      <c r="I2057" s="293"/>
      <c r="J2057" s="291"/>
      <c r="K2057" s="291"/>
      <c r="L2057" s="293"/>
      <c r="M2057" s="291"/>
      <c r="N2057" s="289"/>
      <c r="O2057" s="358"/>
      <c r="P2057" s="330">
        <f t="shared" si="274"/>
        <v>0</v>
      </c>
      <c r="Q2057" s="330">
        <f t="shared" si="275"/>
        <v>0</v>
      </c>
      <c r="R2057" s="331" t="str">
        <f t="shared" si="276"/>
        <v/>
      </c>
      <c r="S2057" s="331" t="str">
        <f>IF(D2057="","",IF(OR(D2057=Plano!$A$1,D2057=Plano!$B$1),"entrada","saída"))</f>
        <v/>
      </c>
      <c r="T2057" s="269"/>
      <c r="U2057" s="269"/>
      <c r="V2057" s="269"/>
      <c r="W2057" s="269"/>
      <c r="X2057" s="269"/>
      <c r="Y2057" s="269"/>
      <c r="Z2057" s="269"/>
      <c r="AA2057" s="269"/>
      <c r="AB2057" s="269"/>
      <c r="AC2057" s="269"/>
      <c r="AD2057" s="269"/>
      <c r="AE2057" s="269"/>
      <c r="AF2057" s="269"/>
      <c r="AG2057" s="269"/>
      <c r="AH2057" s="269"/>
      <c r="AI2057" s="269"/>
      <c r="AJ2057" s="269"/>
      <c r="AK2057" s="269"/>
      <c r="AL2057" s="269"/>
      <c r="AM2057" s="269"/>
    </row>
    <row r="2058" spans="1:39" ht="12.75" customHeight="1" x14ac:dyDescent="0.2">
      <c r="A2058" s="289" t="str">
        <f>IF(B2058="","",COUNT('Diário 5º PA'!$A$5:$A$2634)+COUNT('Diário 6º PA'!$A$5:$A$2246)+ROW()-4)</f>
        <v/>
      </c>
      <c r="B2058" s="290"/>
      <c r="C2058" s="357"/>
      <c r="D2058" s="291"/>
      <c r="E2058" s="291"/>
      <c r="F2058" s="292"/>
      <c r="G2058" s="291"/>
      <c r="H2058" s="291"/>
      <c r="I2058" s="293"/>
      <c r="J2058" s="291"/>
      <c r="K2058" s="291"/>
      <c r="L2058" s="293"/>
      <c r="M2058" s="291"/>
      <c r="N2058" s="289"/>
      <c r="O2058" s="358"/>
      <c r="P2058" s="330">
        <f t="shared" si="274"/>
        <v>0</v>
      </c>
      <c r="Q2058" s="330">
        <f t="shared" si="275"/>
        <v>0</v>
      </c>
      <c r="R2058" s="331" t="str">
        <f t="shared" si="276"/>
        <v/>
      </c>
      <c r="S2058" s="331" t="str">
        <f>IF(D2058="","",IF(OR(D2058=Plano!$A$1,D2058=Plano!$B$1),"entrada","saída"))</f>
        <v/>
      </c>
      <c r="T2058" s="269"/>
      <c r="U2058" s="269"/>
      <c r="V2058" s="269"/>
      <c r="W2058" s="269"/>
      <c r="X2058" s="269"/>
      <c r="Y2058" s="269"/>
      <c r="Z2058" s="269"/>
      <c r="AA2058" s="269"/>
      <c r="AB2058" s="269"/>
      <c r="AC2058" s="269"/>
      <c r="AD2058" s="269"/>
      <c r="AE2058" s="269"/>
      <c r="AF2058" s="269"/>
      <c r="AG2058" s="269"/>
      <c r="AH2058" s="269"/>
      <c r="AI2058" s="269"/>
      <c r="AJ2058" s="269"/>
      <c r="AK2058" s="269"/>
      <c r="AL2058" s="269"/>
      <c r="AM2058" s="269"/>
    </row>
    <row r="2059" spans="1:39" ht="12.75" customHeight="1" x14ac:dyDescent="0.2">
      <c r="A2059" s="289" t="str">
        <f>IF(B2059="","",COUNT('Diário 5º PA'!$A$5:$A$2634)+COUNT('Diário 6º PA'!$A$5:$A$2246)+ROW()-4)</f>
        <v/>
      </c>
      <c r="B2059" s="290"/>
      <c r="C2059" s="357"/>
      <c r="D2059" s="291"/>
      <c r="E2059" s="291"/>
      <c r="F2059" s="292"/>
      <c r="G2059" s="291"/>
      <c r="H2059" s="291"/>
      <c r="I2059" s="293"/>
      <c r="J2059" s="291"/>
      <c r="K2059" s="291"/>
      <c r="L2059" s="293"/>
      <c r="M2059" s="291"/>
      <c r="N2059" s="289"/>
      <c r="O2059" s="358"/>
      <c r="P2059" s="330">
        <f t="shared" si="274"/>
        <v>0</v>
      </c>
      <c r="Q2059" s="330">
        <f t="shared" si="275"/>
        <v>0</v>
      </c>
      <c r="R2059" s="331" t="str">
        <f t="shared" si="276"/>
        <v/>
      </c>
      <c r="S2059" s="331" t="str">
        <f>IF(D2059="","",IF(OR(D2059=Plano!$A$1,D2059=Plano!$B$1),"entrada","saída"))</f>
        <v/>
      </c>
      <c r="T2059" s="269"/>
      <c r="U2059" s="269"/>
      <c r="V2059" s="269"/>
      <c r="W2059" s="269"/>
      <c r="X2059" s="269"/>
      <c r="Y2059" s="269"/>
      <c r="Z2059" s="269"/>
      <c r="AA2059" s="269"/>
      <c r="AB2059" s="269"/>
      <c r="AC2059" s="269"/>
      <c r="AD2059" s="269"/>
      <c r="AE2059" s="269"/>
      <c r="AF2059" s="269"/>
      <c r="AG2059" s="269"/>
      <c r="AH2059" s="269"/>
      <c r="AI2059" s="269"/>
      <c r="AJ2059" s="269"/>
      <c r="AK2059" s="269"/>
      <c r="AL2059" s="269"/>
      <c r="AM2059" s="269"/>
    </row>
    <row r="2060" spans="1:39" ht="12.75" customHeight="1" x14ac:dyDescent="0.2">
      <c r="A2060" s="289" t="str">
        <f>IF(B2060="","",COUNT('Diário 5º PA'!$A$5:$A$2634)+COUNT('Diário 6º PA'!$A$5:$A$2246)+ROW()-4)</f>
        <v/>
      </c>
      <c r="B2060" s="290"/>
      <c r="C2060" s="357"/>
      <c r="D2060" s="291"/>
      <c r="E2060" s="291"/>
      <c r="F2060" s="292"/>
      <c r="G2060" s="291"/>
      <c r="H2060" s="291"/>
      <c r="I2060" s="293"/>
      <c r="J2060" s="291"/>
      <c r="K2060" s="291"/>
      <c r="L2060" s="293"/>
      <c r="M2060" s="291"/>
      <c r="N2060" s="289"/>
      <c r="O2060" s="358"/>
      <c r="P2060" s="330">
        <f t="shared" si="274"/>
        <v>0</v>
      </c>
      <c r="Q2060" s="330">
        <f t="shared" si="275"/>
        <v>0</v>
      </c>
      <c r="R2060" s="331" t="str">
        <f t="shared" si="276"/>
        <v/>
      </c>
      <c r="S2060" s="331" t="str">
        <f>IF(D2060="","",IF(OR(D2060=Plano!$A$1,D2060=Plano!$B$1),"entrada","saída"))</f>
        <v/>
      </c>
      <c r="T2060" s="269"/>
      <c r="U2060" s="269"/>
      <c r="V2060" s="269"/>
      <c r="W2060" s="269"/>
      <c r="X2060" s="269"/>
      <c r="Y2060" s="269"/>
      <c r="Z2060" s="269"/>
      <c r="AA2060" s="269"/>
      <c r="AB2060" s="269"/>
      <c r="AC2060" s="269"/>
      <c r="AD2060" s="269"/>
      <c r="AE2060" s="269"/>
      <c r="AF2060" s="269"/>
      <c r="AG2060" s="269"/>
      <c r="AH2060" s="269"/>
      <c r="AI2060" s="269"/>
      <c r="AJ2060" s="269"/>
      <c r="AK2060" s="269"/>
      <c r="AL2060" s="269"/>
      <c r="AM2060" s="269"/>
    </row>
    <row r="2061" spans="1:39" ht="12.75" customHeight="1" x14ac:dyDescent="0.2">
      <c r="A2061" s="289" t="str">
        <f>IF(B2061="","",COUNT('Diário 5º PA'!$A$5:$A$2634)+COUNT('Diário 6º PA'!$A$5:$A$2246)+ROW()-4)</f>
        <v/>
      </c>
      <c r="B2061" s="290"/>
      <c r="C2061" s="357"/>
      <c r="D2061" s="291"/>
      <c r="E2061" s="291"/>
      <c r="F2061" s="292"/>
      <c r="G2061" s="291"/>
      <c r="H2061" s="291"/>
      <c r="I2061" s="293"/>
      <c r="J2061" s="291"/>
      <c r="K2061" s="291"/>
      <c r="L2061" s="293"/>
      <c r="M2061" s="291"/>
      <c r="N2061" s="289"/>
      <c r="O2061" s="358"/>
      <c r="P2061" s="280">
        <f t="shared" ref="P2061:Q2061" si="277">IF(B2061=0,0,IF(YEAR(B2061)=$Q$1,MONTH(B2061)-$P$1+1,(YEAR(B2061)-$Q$1)*12-$P$1+1+MONTH(B2061)))</f>
        <v>0</v>
      </c>
      <c r="Q2061" s="280">
        <f t="shared" si="277"/>
        <v>0</v>
      </c>
      <c r="R2061" s="356" t="e">
        <f>#N/A</f>
        <v>#N/A</v>
      </c>
      <c r="S2061" s="269" t="str">
        <f>IF(D2061="","",IF(OR(D2061=Plano!$A$1,D2061=Plano!$B$1),"entrada","saída"))</f>
        <v/>
      </c>
      <c r="T2061" s="269"/>
      <c r="U2061" s="269"/>
      <c r="V2061" s="269"/>
      <c r="W2061" s="269"/>
      <c r="X2061" s="269"/>
      <c r="Y2061" s="269"/>
      <c r="Z2061" s="269"/>
      <c r="AA2061" s="269"/>
      <c r="AB2061" s="269"/>
      <c r="AC2061" s="269"/>
      <c r="AD2061" s="269"/>
      <c r="AE2061" s="269"/>
      <c r="AF2061" s="269"/>
      <c r="AG2061" s="269"/>
      <c r="AH2061" s="269"/>
      <c r="AI2061" s="269"/>
      <c r="AJ2061" s="269"/>
      <c r="AK2061" s="269"/>
      <c r="AL2061" s="269"/>
      <c r="AM2061" s="269"/>
    </row>
    <row r="2062" spans="1:39" ht="12.75" customHeight="1" x14ac:dyDescent="0.2">
      <c r="A2062" s="289" t="str">
        <f>IF(B2062="","",COUNT('Diário 5º PA'!$A$5:$A$2634)+COUNT('Diário 6º PA'!$A$5:$A$2246)+ROW()-4)</f>
        <v/>
      </c>
      <c r="B2062" s="290"/>
      <c r="C2062" s="357"/>
      <c r="D2062" s="291"/>
      <c r="E2062" s="291"/>
      <c r="F2062" s="292"/>
      <c r="G2062" s="291"/>
      <c r="H2062" s="291"/>
      <c r="I2062" s="293"/>
      <c r="J2062" s="291"/>
      <c r="K2062" s="291"/>
      <c r="L2062" s="293"/>
      <c r="M2062" s="291"/>
      <c r="N2062" s="289"/>
      <c r="O2062" s="358"/>
      <c r="P2062" s="280">
        <f t="shared" ref="P2062:Q2062" si="278">IF(B2062=0,0,IF(YEAR(B2062)=$Q$1,MONTH(B2062)-$P$1+1,(YEAR(B2062)-$Q$1)*12-$P$1+1+MONTH(B2062)))</f>
        <v>0</v>
      </c>
      <c r="Q2062" s="280">
        <f t="shared" si="278"/>
        <v>0</v>
      </c>
      <c r="R2062" s="356" t="e">
        <f>#N/A</f>
        <v>#N/A</v>
      </c>
      <c r="S2062" s="269" t="str">
        <f>IF(D2062="","",IF(OR(D2062=Plano!$A$1,D2062=Plano!$B$1),"entrada","saída"))</f>
        <v/>
      </c>
      <c r="T2062" s="269"/>
      <c r="U2062" s="269"/>
      <c r="V2062" s="269"/>
      <c r="W2062" s="269"/>
      <c r="X2062" s="269"/>
      <c r="Y2062" s="269"/>
      <c r="Z2062" s="269"/>
      <c r="AA2062" s="269"/>
      <c r="AB2062" s="269"/>
      <c r="AC2062" s="269"/>
      <c r="AD2062" s="269"/>
      <c r="AE2062" s="269"/>
      <c r="AF2062" s="269"/>
      <c r="AG2062" s="269"/>
      <c r="AH2062" s="269"/>
      <c r="AI2062" s="269"/>
      <c r="AJ2062" s="269"/>
      <c r="AK2062" s="269"/>
      <c r="AL2062" s="269"/>
      <c r="AM2062" s="269"/>
    </row>
    <row r="2063" spans="1:39" ht="12.75" customHeight="1" x14ac:dyDescent="0.2">
      <c r="A2063" s="289" t="str">
        <f>IF(B2063="","",COUNT('Diário 5º PA'!$A$5:$A$2634)+COUNT('Diário 6º PA'!$A$5:$A$2246)+ROW()-4)</f>
        <v/>
      </c>
      <c r="B2063" s="290"/>
      <c r="C2063" s="357"/>
      <c r="D2063" s="291"/>
      <c r="E2063" s="291"/>
      <c r="F2063" s="292"/>
      <c r="G2063" s="291"/>
      <c r="H2063" s="291"/>
      <c r="I2063" s="293"/>
      <c r="J2063" s="291"/>
      <c r="K2063" s="291"/>
      <c r="L2063" s="293"/>
      <c r="M2063" s="291"/>
      <c r="N2063" s="289"/>
      <c r="O2063" s="358"/>
      <c r="P2063" s="280">
        <f t="shared" ref="P2063:Q2063" si="279">IF(B2063=0,0,IF(YEAR(B2063)=$Q$1,MONTH(B2063)-$P$1+1,(YEAR(B2063)-$Q$1)*12-$P$1+1+MONTH(B2063)))</f>
        <v>0</v>
      </c>
      <c r="Q2063" s="280">
        <f t="shared" si="279"/>
        <v>0</v>
      </c>
      <c r="R2063" s="356" t="e">
        <f>#N/A</f>
        <v>#N/A</v>
      </c>
      <c r="S2063" s="269" t="str">
        <f>IF(D2063="","",IF(OR(D2063=Plano!$A$1,D2063=Plano!$B$1),"entrada","saída"))</f>
        <v/>
      </c>
      <c r="T2063" s="269"/>
      <c r="U2063" s="269"/>
      <c r="V2063" s="269"/>
      <c r="W2063" s="269"/>
      <c r="X2063" s="269"/>
      <c r="Y2063" s="269"/>
      <c r="Z2063" s="269"/>
      <c r="AA2063" s="269"/>
      <c r="AB2063" s="269"/>
      <c r="AC2063" s="269"/>
      <c r="AD2063" s="269"/>
      <c r="AE2063" s="269"/>
      <c r="AF2063" s="269"/>
      <c r="AG2063" s="269"/>
      <c r="AH2063" s="269"/>
      <c r="AI2063" s="269"/>
      <c r="AJ2063" s="269"/>
      <c r="AK2063" s="269"/>
      <c r="AL2063" s="269"/>
      <c r="AM2063" s="269"/>
    </row>
    <row r="2064" spans="1:39" ht="12.75" customHeight="1" x14ac:dyDescent="0.2">
      <c r="A2064" s="289" t="str">
        <f>IF(B2064="","",COUNT('Diário 5º PA'!$A$5:$A$2634)+COUNT('Diário 6º PA'!$A$5:$A$2246)+ROW()-4)</f>
        <v/>
      </c>
      <c r="B2064" s="290"/>
      <c r="C2064" s="357"/>
      <c r="D2064" s="291"/>
      <c r="E2064" s="291"/>
      <c r="F2064" s="292"/>
      <c r="G2064" s="291"/>
      <c r="H2064" s="291"/>
      <c r="I2064" s="293"/>
      <c r="J2064" s="291"/>
      <c r="K2064" s="291"/>
      <c r="L2064" s="293"/>
      <c r="M2064" s="291"/>
      <c r="N2064" s="289"/>
      <c r="O2064" s="358"/>
      <c r="P2064" s="280">
        <f t="shared" ref="P2064:Q2064" si="280">IF(B2064=0,0,IF(YEAR(B2064)=$Q$1,MONTH(B2064)-$P$1+1,(YEAR(B2064)-$Q$1)*12-$P$1+1+MONTH(B2064)))</f>
        <v>0</v>
      </c>
      <c r="Q2064" s="280">
        <f t="shared" si="280"/>
        <v>0</v>
      </c>
      <c r="R2064" s="356" t="e">
        <f>#N/A</f>
        <v>#N/A</v>
      </c>
      <c r="S2064" s="269" t="str">
        <f>IF(D2064="","",IF(OR(D2064=Plano!$A$1,D2064=Plano!$B$1),"entrada","saída"))</f>
        <v/>
      </c>
      <c r="T2064" s="269"/>
      <c r="U2064" s="269"/>
      <c r="V2064" s="269"/>
      <c r="W2064" s="269"/>
      <c r="X2064" s="269"/>
      <c r="Y2064" s="269"/>
      <c r="Z2064" s="269"/>
      <c r="AA2064" s="269"/>
      <c r="AB2064" s="269"/>
      <c r="AC2064" s="269"/>
      <c r="AD2064" s="269"/>
      <c r="AE2064" s="269"/>
      <c r="AF2064" s="269"/>
      <c r="AG2064" s="269"/>
      <c r="AH2064" s="269"/>
      <c r="AI2064" s="269"/>
      <c r="AJ2064" s="269"/>
      <c r="AK2064" s="269"/>
      <c r="AL2064" s="269"/>
      <c r="AM2064" s="269"/>
    </row>
    <row r="2065" spans="1:39" ht="12.75" customHeight="1" x14ac:dyDescent="0.2">
      <c r="A2065" s="289" t="str">
        <f>IF(B2065="","",COUNT('Diário 5º PA'!$A$5:$A$2634)+COUNT('Diário 6º PA'!$A$5:$A$2246)+ROW()-4)</f>
        <v/>
      </c>
      <c r="B2065" s="290"/>
      <c r="C2065" s="357"/>
      <c r="D2065" s="291"/>
      <c r="E2065" s="291"/>
      <c r="F2065" s="292"/>
      <c r="G2065" s="291"/>
      <c r="H2065" s="291"/>
      <c r="I2065" s="293"/>
      <c r="J2065" s="291"/>
      <c r="K2065" s="291"/>
      <c r="L2065" s="293"/>
      <c r="M2065" s="291"/>
      <c r="N2065" s="289"/>
      <c r="O2065" s="358"/>
      <c r="P2065" s="280">
        <f t="shared" ref="P2065:Q2065" si="281">IF(B2065=0,0,IF(YEAR(B2065)=$Q$1,MONTH(B2065)-$P$1+1,(YEAR(B2065)-$Q$1)*12-$P$1+1+MONTH(B2065)))</f>
        <v>0</v>
      </c>
      <c r="Q2065" s="280">
        <f t="shared" si="281"/>
        <v>0</v>
      </c>
      <c r="R2065" s="356" t="e">
        <f>#N/A</f>
        <v>#N/A</v>
      </c>
      <c r="S2065" s="269" t="str">
        <f>IF(D2065="","",IF(OR(D2065=Plano!$A$1,D2065=Plano!$B$1),"entrada","saída"))</f>
        <v/>
      </c>
      <c r="T2065" s="269"/>
      <c r="U2065" s="269"/>
      <c r="V2065" s="269"/>
      <c r="W2065" s="269"/>
      <c r="X2065" s="269"/>
      <c r="Y2065" s="269"/>
      <c r="Z2065" s="269"/>
      <c r="AA2065" s="269"/>
      <c r="AB2065" s="269"/>
      <c r="AC2065" s="269"/>
      <c r="AD2065" s="269"/>
      <c r="AE2065" s="269"/>
      <c r="AF2065" s="269"/>
      <c r="AG2065" s="269"/>
      <c r="AH2065" s="269"/>
      <c r="AI2065" s="269"/>
      <c r="AJ2065" s="269"/>
      <c r="AK2065" s="269"/>
      <c r="AL2065" s="269"/>
      <c r="AM2065" s="269"/>
    </row>
    <row r="2066" spans="1:39" ht="12.75" customHeight="1" x14ac:dyDescent="0.2">
      <c r="A2066" s="289" t="str">
        <f>IF(B2066="","",COUNT('Diário 5º PA'!$A$5:$A$2634)+COUNT('Diário 6º PA'!$A$5:$A$2246)+ROW()-4)</f>
        <v/>
      </c>
      <c r="B2066" s="290"/>
      <c r="C2066" s="357"/>
      <c r="D2066" s="291"/>
      <c r="E2066" s="291"/>
      <c r="F2066" s="292"/>
      <c r="G2066" s="291"/>
      <c r="H2066" s="291"/>
      <c r="I2066" s="293"/>
      <c r="J2066" s="291"/>
      <c r="K2066" s="291"/>
      <c r="L2066" s="293"/>
      <c r="M2066" s="291"/>
      <c r="N2066" s="289"/>
      <c r="O2066" s="358"/>
      <c r="P2066" s="280">
        <f t="shared" ref="P2066:Q2066" si="282">IF(B2066=0,0,IF(YEAR(B2066)=$Q$1,MONTH(B2066)-$P$1+1,(YEAR(B2066)-$Q$1)*12-$P$1+1+MONTH(B2066)))</f>
        <v>0</v>
      </c>
      <c r="Q2066" s="280">
        <f t="shared" si="282"/>
        <v>0</v>
      </c>
      <c r="R2066" s="356" t="e">
        <f>#N/A</f>
        <v>#N/A</v>
      </c>
      <c r="S2066" s="269" t="str">
        <f>IF(D2066="","",IF(OR(D2066=Plano!$A$1,D2066=Plano!$B$1),"entrada","saída"))</f>
        <v/>
      </c>
      <c r="T2066" s="269"/>
      <c r="U2066" s="269"/>
      <c r="V2066" s="269"/>
      <c r="W2066" s="269"/>
      <c r="X2066" s="269"/>
      <c r="Y2066" s="269"/>
      <c r="Z2066" s="269"/>
      <c r="AA2066" s="269"/>
      <c r="AB2066" s="269"/>
      <c r="AC2066" s="269"/>
      <c r="AD2066" s="269"/>
      <c r="AE2066" s="269"/>
      <c r="AF2066" s="269"/>
      <c r="AG2066" s="269"/>
      <c r="AH2066" s="269"/>
      <c r="AI2066" s="269"/>
      <c r="AJ2066" s="269"/>
      <c r="AK2066" s="269"/>
      <c r="AL2066" s="269"/>
      <c r="AM2066" s="269"/>
    </row>
    <row r="2067" spans="1:39" ht="12.75" customHeight="1" x14ac:dyDescent="0.2">
      <c r="A2067" s="289" t="str">
        <f>IF(B2067="","",COUNT('Diário 5º PA'!$A$5:$A$2634)+COUNT('Diário 6º PA'!$A$5:$A$2246)+ROW()-4)</f>
        <v/>
      </c>
      <c r="B2067" s="290"/>
      <c r="C2067" s="357"/>
      <c r="D2067" s="291"/>
      <c r="E2067" s="291"/>
      <c r="F2067" s="292"/>
      <c r="G2067" s="291"/>
      <c r="H2067" s="291"/>
      <c r="I2067" s="293"/>
      <c r="J2067" s="291"/>
      <c r="K2067" s="291"/>
      <c r="L2067" s="293"/>
      <c r="M2067" s="291"/>
      <c r="N2067" s="289"/>
      <c r="O2067" s="358"/>
      <c r="P2067" s="280">
        <f t="shared" ref="P2067:Q2067" si="283">IF(B2067=0,0,IF(YEAR(B2067)=$Q$1,MONTH(B2067)-$P$1+1,(YEAR(B2067)-$Q$1)*12-$P$1+1+MONTH(B2067)))</f>
        <v>0</v>
      </c>
      <c r="Q2067" s="280">
        <f t="shared" si="283"/>
        <v>0</v>
      </c>
      <c r="R2067" s="356" t="e">
        <f>#N/A</f>
        <v>#N/A</v>
      </c>
      <c r="S2067" s="269" t="str">
        <f>IF(D2067="","",IF(OR(D2067=Plano!$A$1,D2067=Plano!$B$1),"entrada","saída"))</f>
        <v/>
      </c>
      <c r="T2067" s="269"/>
      <c r="U2067" s="269"/>
      <c r="V2067" s="269"/>
      <c r="W2067" s="269"/>
      <c r="X2067" s="269"/>
      <c r="Y2067" s="269"/>
      <c r="Z2067" s="269"/>
      <c r="AA2067" s="269"/>
      <c r="AB2067" s="269"/>
      <c r="AC2067" s="269"/>
      <c r="AD2067" s="269"/>
      <c r="AE2067" s="269"/>
      <c r="AF2067" s="269"/>
      <c r="AG2067" s="269"/>
      <c r="AH2067" s="269"/>
      <c r="AI2067" s="269"/>
      <c r="AJ2067" s="269"/>
      <c r="AK2067" s="269"/>
      <c r="AL2067" s="269"/>
      <c r="AM2067" s="269"/>
    </row>
    <row r="2068" spans="1:39" ht="12.75" customHeight="1" x14ac:dyDescent="0.2">
      <c r="A2068" s="289" t="str">
        <f>IF(B2068="","",COUNT('Diário 5º PA'!$A$5:$A$2634)+COUNT('Diário 6º PA'!$A$5:$A$2246)+ROW()-4)</f>
        <v/>
      </c>
      <c r="B2068" s="290"/>
      <c r="C2068" s="357"/>
      <c r="D2068" s="291"/>
      <c r="E2068" s="291"/>
      <c r="F2068" s="292"/>
      <c r="G2068" s="291"/>
      <c r="H2068" s="291"/>
      <c r="I2068" s="293"/>
      <c r="J2068" s="291"/>
      <c r="K2068" s="291"/>
      <c r="L2068" s="293"/>
      <c r="M2068" s="291"/>
      <c r="N2068" s="289"/>
      <c r="O2068" s="358"/>
      <c r="P2068" s="280">
        <f t="shared" ref="P2068:Q2068" si="284">IF(B2068=0,0,IF(YEAR(B2068)=$Q$1,MONTH(B2068)-$P$1+1,(YEAR(B2068)-$Q$1)*12-$P$1+1+MONTH(B2068)))</f>
        <v>0</v>
      </c>
      <c r="Q2068" s="280">
        <f t="shared" si="284"/>
        <v>0</v>
      </c>
      <c r="R2068" s="356" t="e">
        <f>#N/A</f>
        <v>#N/A</v>
      </c>
      <c r="S2068" s="269" t="str">
        <f>IF(D2068="","",IF(OR(D2068=Plano!$A$1,D2068=Plano!$B$1),"entrada","saída"))</f>
        <v/>
      </c>
      <c r="T2068" s="269"/>
      <c r="U2068" s="269"/>
      <c r="V2068" s="269"/>
      <c r="W2068" s="269"/>
      <c r="X2068" s="269"/>
      <c r="Y2068" s="269"/>
      <c r="Z2068" s="269"/>
      <c r="AA2068" s="269"/>
      <c r="AB2068" s="269"/>
      <c r="AC2068" s="269"/>
      <c r="AD2068" s="269"/>
      <c r="AE2068" s="269"/>
      <c r="AF2068" s="269"/>
      <c r="AG2068" s="269"/>
      <c r="AH2068" s="269"/>
      <c r="AI2068" s="269"/>
      <c r="AJ2068" s="269"/>
      <c r="AK2068" s="269"/>
      <c r="AL2068" s="269"/>
      <c r="AM2068" s="269"/>
    </row>
    <row r="2069" spans="1:39" ht="12.75" customHeight="1" x14ac:dyDescent="0.2">
      <c r="A2069" s="289" t="str">
        <f>IF(B2069="","",COUNT('Diário 5º PA'!$A$5:$A$2634)+COUNT('Diário 6º PA'!$A$5:$A$2246)+ROW()-4)</f>
        <v/>
      </c>
      <c r="B2069" s="290"/>
      <c r="C2069" s="357"/>
      <c r="D2069" s="291"/>
      <c r="E2069" s="291"/>
      <c r="F2069" s="292"/>
      <c r="G2069" s="291"/>
      <c r="H2069" s="291"/>
      <c r="I2069" s="293"/>
      <c r="J2069" s="291"/>
      <c r="K2069" s="291"/>
      <c r="L2069" s="293"/>
      <c r="M2069" s="291"/>
      <c r="N2069" s="289"/>
      <c r="O2069" s="358"/>
      <c r="P2069" s="280">
        <f t="shared" ref="P2069:Q2069" si="285">IF(B2069=0,0,IF(YEAR(B2069)=$Q$1,MONTH(B2069)-$P$1+1,(YEAR(B2069)-$Q$1)*12-$P$1+1+MONTH(B2069)))</f>
        <v>0</v>
      </c>
      <c r="Q2069" s="280">
        <f t="shared" si="285"/>
        <v>0</v>
      </c>
      <c r="R2069" s="356" t="e">
        <f>#N/A</f>
        <v>#N/A</v>
      </c>
      <c r="S2069" s="269" t="str">
        <f>IF(D2069="","",IF(OR(D2069=Plano!$A$1,D2069=Plano!$B$1),"entrada","saída"))</f>
        <v/>
      </c>
      <c r="T2069" s="269"/>
      <c r="U2069" s="269"/>
      <c r="V2069" s="269"/>
      <c r="W2069" s="269"/>
      <c r="X2069" s="269"/>
      <c r="Y2069" s="269"/>
      <c r="Z2069" s="269"/>
      <c r="AA2069" s="269"/>
      <c r="AB2069" s="269"/>
      <c r="AC2069" s="269"/>
      <c r="AD2069" s="269"/>
      <c r="AE2069" s="269"/>
      <c r="AF2069" s="269"/>
      <c r="AG2069" s="269"/>
      <c r="AH2069" s="269"/>
      <c r="AI2069" s="269"/>
      <c r="AJ2069" s="269"/>
      <c r="AK2069" s="269"/>
      <c r="AL2069" s="269"/>
      <c r="AM2069" s="269"/>
    </row>
    <row r="2070" spans="1:39" ht="12.75" customHeight="1" x14ac:dyDescent="0.2">
      <c r="A2070" s="289" t="str">
        <f>IF(B2070="","",COUNT('Diário 5º PA'!$A$5:$A$2634)+COUNT('Diário 6º PA'!$A$5:$A$2246)+ROW()-4)</f>
        <v/>
      </c>
      <c r="B2070" s="290"/>
      <c r="C2070" s="357"/>
      <c r="D2070" s="291"/>
      <c r="E2070" s="291"/>
      <c r="F2070" s="292"/>
      <c r="G2070" s="291"/>
      <c r="H2070" s="291"/>
      <c r="I2070" s="293"/>
      <c r="J2070" s="291"/>
      <c r="K2070" s="291"/>
      <c r="L2070" s="293"/>
      <c r="M2070" s="291"/>
      <c r="N2070" s="289"/>
      <c r="O2070" s="358"/>
      <c r="P2070" s="280">
        <f t="shared" ref="P2070:Q2070" si="286">IF(B2070=0,0,IF(YEAR(B2070)=$Q$1,MONTH(B2070)-$P$1+1,(YEAR(B2070)-$Q$1)*12-$P$1+1+MONTH(B2070)))</f>
        <v>0</v>
      </c>
      <c r="Q2070" s="280">
        <f t="shared" si="286"/>
        <v>0</v>
      </c>
      <c r="R2070" s="356" t="e">
        <f>#N/A</f>
        <v>#N/A</v>
      </c>
      <c r="S2070" s="269" t="str">
        <f>IF(D2070="","",IF(OR(D2070=Plano!$A$1,D2070=Plano!$B$1),"entrada","saída"))</f>
        <v/>
      </c>
      <c r="T2070" s="269"/>
      <c r="U2070" s="269"/>
      <c r="V2070" s="269"/>
      <c r="W2070" s="269"/>
      <c r="X2070" s="269"/>
      <c r="Y2070" s="269"/>
      <c r="Z2070" s="269"/>
      <c r="AA2070" s="269"/>
      <c r="AB2070" s="269"/>
      <c r="AC2070" s="269"/>
      <c r="AD2070" s="269"/>
      <c r="AE2070" s="269"/>
      <c r="AF2070" s="269"/>
      <c r="AG2070" s="269"/>
      <c r="AH2070" s="269"/>
      <c r="AI2070" s="269"/>
      <c r="AJ2070" s="269"/>
      <c r="AK2070" s="269"/>
      <c r="AL2070" s="269"/>
      <c r="AM2070" s="269"/>
    </row>
    <row r="2071" spans="1:39" ht="12.75" customHeight="1" x14ac:dyDescent="0.2">
      <c r="A2071" s="289" t="str">
        <f>IF(B2071="","",COUNT('Diário 5º PA'!$A$5:$A$2634)+COUNT('Diário 6º PA'!$A$5:$A$2246)+ROW()-4)</f>
        <v/>
      </c>
      <c r="B2071" s="290"/>
      <c r="C2071" s="357"/>
      <c r="D2071" s="291"/>
      <c r="E2071" s="291"/>
      <c r="F2071" s="292"/>
      <c r="G2071" s="291"/>
      <c r="H2071" s="291"/>
      <c r="I2071" s="293"/>
      <c r="J2071" s="291"/>
      <c r="K2071" s="291"/>
      <c r="L2071" s="293"/>
      <c r="M2071" s="291"/>
      <c r="N2071" s="289"/>
      <c r="O2071" s="358"/>
      <c r="P2071" s="280">
        <f t="shared" ref="P2071:Q2071" si="287">IF(B2071=0,0,IF(YEAR(B2071)=$Q$1,MONTH(B2071)-$P$1+1,(YEAR(B2071)-$Q$1)*12-$P$1+1+MONTH(B2071)))</f>
        <v>0</v>
      </c>
      <c r="Q2071" s="280">
        <f t="shared" si="287"/>
        <v>0</v>
      </c>
      <c r="R2071" s="356" t="e">
        <f>#N/A</f>
        <v>#N/A</v>
      </c>
      <c r="S2071" s="269" t="str">
        <f>IF(D2071="","",IF(OR(D2071=Plano!$A$1,D2071=Plano!$B$1),"entrada","saída"))</f>
        <v/>
      </c>
      <c r="T2071" s="269"/>
      <c r="U2071" s="269"/>
      <c r="V2071" s="269"/>
      <c r="W2071" s="269"/>
      <c r="X2071" s="269"/>
      <c r="Y2071" s="269"/>
      <c r="Z2071" s="269"/>
      <c r="AA2071" s="269"/>
      <c r="AB2071" s="269"/>
      <c r="AC2071" s="269"/>
      <c r="AD2071" s="269"/>
      <c r="AE2071" s="269"/>
      <c r="AF2071" s="269"/>
      <c r="AG2071" s="269"/>
      <c r="AH2071" s="269"/>
      <c r="AI2071" s="269"/>
      <c r="AJ2071" s="269"/>
      <c r="AK2071" s="269"/>
      <c r="AL2071" s="269"/>
      <c r="AM2071" s="269"/>
    </row>
    <row r="2072" spans="1:39" ht="12.75" customHeight="1" x14ac:dyDescent="0.2">
      <c r="A2072" s="289" t="str">
        <f>IF(B2072="","",COUNT('Diário 5º PA'!$A$5:$A$2634)+COUNT('Diário 6º PA'!$A$5:$A$2246)+ROW()-4)</f>
        <v/>
      </c>
      <c r="B2072" s="290"/>
      <c r="C2072" s="357"/>
      <c r="D2072" s="291"/>
      <c r="E2072" s="291"/>
      <c r="F2072" s="292"/>
      <c r="G2072" s="291"/>
      <c r="H2072" s="291"/>
      <c r="I2072" s="293"/>
      <c r="J2072" s="291"/>
      <c r="K2072" s="291"/>
      <c r="L2072" s="293"/>
      <c r="M2072" s="291"/>
      <c r="N2072" s="289"/>
      <c r="O2072" s="358"/>
      <c r="P2072" s="280">
        <f t="shared" ref="P2072:Q2072" si="288">IF(B2072=0,0,IF(YEAR(B2072)=$Q$1,MONTH(B2072)-$P$1+1,(YEAR(B2072)-$Q$1)*12-$P$1+1+MONTH(B2072)))</f>
        <v>0</v>
      </c>
      <c r="Q2072" s="280">
        <f t="shared" si="288"/>
        <v>0</v>
      </c>
      <c r="R2072" s="356" t="e">
        <f>#N/A</f>
        <v>#N/A</v>
      </c>
      <c r="S2072" s="269" t="str">
        <f>IF(D2072="","",IF(OR(D2072=Plano!$A$1,D2072=Plano!$B$1),"entrada","saída"))</f>
        <v/>
      </c>
      <c r="T2072" s="269"/>
      <c r="U2072" s="269"/>
      <c r="V2072" s="269"/>
      <c r="W2072" s="269"/>
      <c r="X2072" s="269"/>
      <c r="Y2072" s="269"/>
      <c r="Z2072" s="269"/>
      <c r="AA2072" s="269"/>
      <c r="AB2072" s="269"/>
      <c r="AC2072" s="269"/>
      <c r="AD2072" s="269"/>
      <c r="AE2072" s="269"/>
      <c r="AF2072" s="269"/>
      <c r="AG2072" s="269"/>
      <c r="AH2072" s="269"/>
      <c r="AI2072" s="269"/>
      <c r="AJ2072" s="269"/>
      <c r="AK2072" s="269"/>
      <c r="AL2072" s="269"/>
      <c r="AM2072" s="269"/>
    </row>
    <row r="2073" spans="1:39" ht="12.75" customHeight="1" x14ac:dyDescent="0.2">
      <c r="A2073" s="289" t="str">
        <f>IF(B2073="","",COUNT('Diário 5º PA'!$A$5:$A$2634)+COUNT('Diário 6º PA'!$A$5:$A$2246)+ROW()-4)</f>
        <v/>
      </c>
      <c r="B2073" s="290"/>
      <c r="C2073" s="357"/>
      <c r="D2073" s="291"/>
      <c r="E2073" s="291"/>
      <c r="F2073" s="292"/>
      <c r="G2073" s="291"/>
      <c r="H2073" s="291"/>
      <c r="I2073" s="293"/>
      <c r="J2073" s="291"/>
      <c r="K2073" s="291"/>
      <c r="L2073" s="293"/>
      <c r="M2073" s="291"/>
      <c r="N2073" s="289"/>
      <c r="O2073" s="358"/>
      <c r="P2073" s="280">
        <f t="shared" ref="P2073:Q2073" si="289">IF(B2073=0,0,IF(YEAR(B2073)=$Q$1,MONTH(B2073)-$P$1+1,(YEAR(B2073)-$Q$1)*12-$P$1+1+MONTH(B2073)))</f>
        <v>0</v>
      </c>
      <c r="Q2073" s="280">
        <f t="shared" si="289"/>
        <v>0</v>
      </c>
      <c r="R2073" s="356" t="e">
        <f>#N/A</f>
        <v>#N/A</v>
      </c>
      <c r="S2073" s="269" t="str">
        <f>IF(D2073="","",IF(OR(D2073=Plano!$A$1,D2073=Plano!$B$1),"entrada","saída"))</f>
        <v/>
      </c>
      <c r="T2073" s="269"/>
      <c r="U2073" s="269"/>
      <c r="V2073" s="269"/>
      <c r="W2073" s="269"/>
      <c r="X2073" s="269"/>
      <c r="Y2073" s="269"/>
      <c r="Z2073" s="269"/>
      <c r="AA2073" s="269"/>
      <c r="AB2073" s="269"/>
      <c r="AC2073" s="269"/>
      <c r="AD2073" s="269"/>
      <c r="AE2073" s="269"/>
      <c r="AF2073" s="269"/>
      <c r="AG2073" s="269"/>
      <c r="AH2073" s="269"/>
      <c r="AI2073" s="269"/>
      <c r="AJ2073" s="269"/>
      <c r="AK2073" s="269"/>
      <c r="AL2073" s="269"/>
      <c r="AM2073" s="269"/>
    </row>
    <row r="2074" spans="1:39" ht="12.75" customHeight="1" x14ac:dyDescent="0.2">
      <c r="A2074" s="289" t="str">
        <f>IF(B2074="","",COUNT('Diário 5º PA'!$A$5:$A$2634)+COUNT('Diário 6º PA'!$A$5:$A$2246)+ROW()-4)</f>
        <v/>
      </c>
      <c r="B2074" s="290"/>
      <c r="C2074" s="357"/>
      <c r="D2074" s="291"/>
      <c r="E2074" s="291"/>
      <c r="F2074" s="292"/>
      <c r="G2074" s="291"/>
      <c r="H2074" s="291"/>
      <c r="I2074" s="293"/>
      <c r="J2074" s="291"/>
      <c r="K2074" s="291"/>
      <c r="L2074" s="293"/>
      <c r="M2074" s="291"/>
      <c r="N2074" s="289"/>
      <c r="O2074" s="358"/>
      <c r="P2074" s="280">
        <f t="shared" ref="P2074:Q2074" si="290">IF(B2074=0,0,IF(YEAR(B2074)=$Q$1,MONTH(B2074)-$P$1+1,(YEAR(B2074)-$Q$1)*12-$P$1+1+MONTH(B2074)))</f>
        <v>0</v>
      </c>
      <c r="Q2074" s="280">
        <f t="shared" si="290"/>
        <v>0</v>
      </c>
      <c r="R2074" s="356" t="e">
        <f>#N/A</f>
        <v>#N/A</v>
      </c>
      <c r="S2074" s="269" t="str">
        <f>IF(D2074="","",IF(OR(D2074=Plano!$A$1,D2074=Plano!$B$1),"entrada","saída"))</f>
        <v/>
      </c>
      <c r="T2074" s="269"/>
      <c r="U2074" s="269"/>
      <c r="V2074" s="269"/>
      <c r="W2074" s="269"/>
      <c r="X2074" s="269"/>
      <c r="Y2074" s="269"/>
      <c r="Z2074" s="269"/>
      <c r="AA2074" s="269"/>
      <c r="AB2074" s="269"/>
      <c r="AC2074" s="269"/>
      <c r="AD2074" s="269"/>
      <c r="AE2074" s="269"/>
      <c r="AF2074" s="269"/>
      <c r="AG2074" s="269"/>
      <c r="AH2074" s="269"/>
      <c r="AI2074" s="269"/>
      <c r="AJ2074" s="269"/>
      <c r="AK2074" s="269"/>
      <c r="AL2074" s="269"/>
      <c r="AM2074" s="269"/>
    </row>
    <row r="2075" spans="1:39" ht="12.75" customHeight="1" x14ac:dyDescent="0.2">
      <c r="A2075" s="289" t="str">
        <f>IF(B2075="","",COUNT('Diário 5º PA'!$A$5:$A$2634)+COUNT('Diário 6º PA'!$A$5:$A$2246)+ROW()-4)</f>
        <v/>
      </c>
      <c r="B2075" s="290"/>
      <c r="C2075" s="357"/>
      <c r="D2075" s="291"/>
      <c r="E2075" s="291"/>
      <c r="F2075" s="292"/>
      <c r="G2075" s="291"/>
      <c r="H2075" s="291"/>
      <c r="I2075" s="293"/>
      <c r="J2075" s="291"/>
      <c r="K2075" s="291"/>
      <c r="L2075" s="293"/>
      <c r="M2075" s="291"/>
      <c r="N2075" s="289"/>
      <c r="O2075" s="358"/>
      <c r="P2075" s="280">
        <f t="shared" ref="P2075:Q2075" si="291">IF(B2075=0,0,IF(YEAR(B2075)=$Q$1,MONTH(B2075)-$P$1+1,(YEAR(B2075)-$Q$1)*12-$P$1+1+MONTH(B2075)))</f>
        <v>0</v>
      </c>
      <c r="Q2075" s="280">
        <f t="shared" si="291"/>
        <v>0</v>
      </c>
      <c r="R2075" s="356" t="e">
        <f>#N/A</f>
        <v>#N/A</v>
      </c>
      <c r="S2075" s="269" t="str">
        <f>IF(D2075="","",IF(OR(D2075=Plano!$A$1,D2075=Plano!$B$1),"entrada","saída"))</f>
        <v/>
      </c>
      <c r="T2075" s="269"/>
      <c r="U2075" s="269"/>
      <c r="V2075" s="269"/>
      <c r="W2075" s="269"/>
      <c r="X2075" s="269"/>
      <c r="Y2075" s="269"/>
      <c r="Z2075" s="269"/>
      <c r="AA2075" s="269"/>
      <c r="AB2075" s="269"/>
      <c r="AC2075" s="269"/>
      <c r="AD2075" s="269"/>
      <c r="AE2075" s="269"/>
      <c r="AF2075" s="269"/>
      <c r="AG2075" s="269"/>
      <c r="AH2075" s="269"/>
      <c r="AI2075" s="269"/>
      <c r="AJ2075" s="269"/>
      <c r="AK2075" s="269"/>
      <c r="AL2075" s="269"/>
      <c r="AM2075" s="269"/>
    </row>
    <row r="2076" spans="1:39" ht="12.75" customHeight="1" x14ac:dyDescent="0.2">
      <c r="A2076" s="289" t="str">
        <f>IF(B2076="","",COUNT('Diário 5º PA'!$A$5:$A$2634)+COUNT('Diário 6º PA'!$A$5:$A$2246)+ROW()-4)</f>
        <v/>
      </c>
      <c r="B2076" s="290"/>
      <c r="C2076" s="357"/>
      <c r="D2076" s="291"/>
      <c r="E2076" s="291"/>
      <c r="F2076" s="292"/>
      <c r="G2076" s="291"/>
      <c r="H2076" s="291"/>
      <c r="I2076" s="293"/>
      <c r="J2076" s="291"/>
      <c r="K2076" s="291"/>
      <c r="L2076" s="293"/>
      <c r="M2076" s="291"/>
      <c r="N2076" s="289"/>
      <c r="O2076" s="358"/>
      <c r="P2076" s="280">
        <f t="shared" ref="P2076:Q2076" si="292">IF(B2076=0,0,IF(YEAR(B2076)=$Q$1,MONTH(B2076)-$P$1+1,(YEAR(B2076)-$Q$1)*12-$P$1+1+MONTH(B2076)))</f>
        <v>0</v>
      </c>
      <c r="Q2076" s="280">
        <f t="shared" si="292"/>
        <v>0</v>
      </c>
      <c r="R2076" s="356" t="e">
        <f>#N/A</f>
        <v>#N/A</v>
      </c>
      <c r="S2076" s="269" t="str">
        <f>IF(D2076="","",IF(OR(D2076=Plano!$A$1,D2076=Plano!$B$1),"entrada","saída"))</f>
        <v/>
      </c>
      <c r="T2076" s="269"/>
      <c r="U2076" s="269"/>
      <c r="V2076" s="269"/>
      <c r="W2076" s="269"/>
      <c r="X2076" s="269"/>
      <c r="Y2076" s="269"/>
      <c r="Z2076" s="269"/>
      <c r="AA2076" s="269"/>
      <c r="AB2076" s="269"/>
      <c r="AC2076" s="269"/>
      <c r="AD2076" s="269"/>
      <c r="AE2076" s="269"/>
      <c r="AF2076" s="269"/>
      <c r="AG2076" s="269"/>
      <c r="AH2076" s="269"/>
      <c r="AI2076" s="269"/>
      <c r="AJ2076" s="269"/>
      <c r="AK2076" s="269"/>
      <c r="AL2076" s="269"/>
      <c r="AM2076" s="269"/>
    </row>
    <row r="2077" spans="1:39" ht="12.75" customHeight="1" x14ac:dyDescent="0.2">
      <c r="A2077" s="289" t="str">
        <f>IF(B2077="","",COUNT('Diário 5º PA'!$A$5:$A$2634)+COUNT('Diário 6º PA'!$A$5:$A$2246)+ROW()-4)</f>
        <v/>
      </c>
      <c r="B2077" s="290"/>
      <c r="C2077" s="357"/>
      <c r="D2077" s="291"/>
      <c r="E2077" s="291"/>
      <c r="F2077" s="292"/>
      <c r="G2077" s="291"/>
      <c r="H2077" s="291"/>
      <c r="I2077" s="293"/>
      <c r="J2077" s="291"/>
      <c r="K2077" s="291"/>
      <c r="L2077" s="293"/>
      <c r="M2077" s="291"/>
      <c r="N2077" s="289"/>
      <c r="O2077" s="358"/>
      <c r="P2077" s="280">
        <f t="shared" ref="P2077:Q2077" si="293">IF(B2077=0,0,IF(YEAR(B2077)=$Q$1,MONTH(B2077)-$P$1+1,(YEAR(B2077)-$Q$1)*12-$P$1+1+MONTH(B2077)))</f>
        <v>0</v>
      </c>
      <c r="Q2077" s="280">
        <f t="shared" si="293"/>
        <v>0</v>
      </c>
      <c r="R2077" s="356" t="e">
        <f>#N/A</f>
        <v>#N/A</v>
      </c>
      <c r="S2077" s="269" t="str">
        <f>IF(D2077="","",IF(OR(D2077=Plano!$A$1,D2077=Plano!$B$1),"entrada","saída"))</f>
        <v/>
      </c>
      <c r="T2077" s="269"/>
      <c r="U2077" s="269"/>
      <c r="V2077" s="269"/>
      <c r="W2077" s="269"/>
      <c r="X2077" s="269"/>
      <c r="Y2077" s="269"/>
      <c r="Z2077" s="269"/>
      <c r="AA2077" s="269"/>
      <c r="AB2077" s="269"/>
      <c r="AC2077" s="269"/>
      <c r="AD2077" s="269"/>
      <c r="AE2077" s="269"/>
      <c r="AF2077" s="269"/>
      <c r="AG2077" s="269"/>
      <c r="AH2077" s="269"/>
      <c r="AI2077" s="269"/>
      <c r="AJ2077" s="269"/>
      <c r="AK2077" s="269"/>
      <c r="AL2077" s="269"/>
      <c r="AM2077" s="269"/>
    </row>
    <row r="2078" spans="1:39" ht="12.75" customHeight="1" x14ac:dyDescent="0.2">
      <c r="A2078" s="289" t="str">
        <f>IF(B2078="","",COUNT('Diário 5º PA'!$A$5:$A$2634)+COUNT('Diário 6º PA'!$A$5:$A$2246)+ROW()-4)</f>
        <v/>
      </c>
      <c r="B2078" s="290"/>
      <c r="C2078" s="357"/>
      <c r="D2078" s="291"/>
      <c r="E2078" s="291"/>
      <c r="F2078" s="292"/>
      <c r="G2078" s="291"/>
      <c r="H2078" s="291"/>
      <c r="I2078" s="293"/>
      <c r="J2078" s="291"/>
      <c r="K2078" s="291"/>
      <c r="L2078" s="293"/>
      <c r="M2078" s="291"/>
      <c r="N2078" s="289"/>
      <c r="O2078" s="358"/>
      <c r="P2078" s="280">
        <f t="shared" ref="P2078:Q2078" si="294">IF(B2078=0,0,IF(YEAR(B2078)=$Q$1,MONTH(B2078)-$P$1+1,(YEAR(B2078)-$Q$1)*12-$P$1+1+MONTH(B2078)))</f>
        <v>0</v>
      </c>
      <c r="Q2078" s="280">
        <f t="shared" si="294"/>
        <v>0</v>
      </c>
      <c r="R2078" s="356" t="e">
        <f>#N/A</f>
        <v>#N/A</v>
      </c>
      <c r="S2078" s="269" t="str">
        <f>IF(D2078="","",IF(OR(D2078=Plano!$A$1,D2078=Plano!$B$1),"entrada","saída"))</f>
        <v/>
      </c>
      <c r="T2078" s="269"/>
      <c r="U2078" s="269"/>
      <c r="V2078" s="269"/>
      <c r="W2078" s="269"/>
      <c r="X2078" s="269"/>
      <c r="Y2078" s="269"/>
      <c r="Z2078" s="269"/>
      <c r="AA2078" s="269"/>
      <c r="AB2078" s="269"/>
      <c r="AC2078" s="269"/>
      <c r="AD2078" s="269"/>
      <c r="AE2078" s="269"/>
      <c r="AF2078" s="269"/>
      <c r="AG2078" s="269"/>
      <c r="AH2078" s="269"/>
      <c r="AI2078" s="269"/>
      <c r="AJ2078" s="269"/>
      <c r="AK2078" s="269"/>
      <c r="AL2078" s="269"/>
      <c r="AM2078" s="269"/>
    </row>
    <row r="2079" spans="1:39" ht="12.75" customHeight="1" x14ac:dyDescent="0.2">
      <c r="A2079" s="289" t="str">
        <f>IF(B2079="","",COUNT('Diário 5º PA'!$A$5:$A$2634)+COUNT('Diário 6º PA'!$A$5:$A$2246)+ROW()-4)</f>
        <v/>
      </c>
      <c r="B2079" s="290"/>
      <c r="C2079" s="357"/>
      <c r="D2079" s="291"/>
      <c r="E2079" s="291"/>
      <c r="F2079" s="292"/>
      <c r="G2079" s="291"/>
      <c r="H2079" s="291"/>
      <c r="I2079" s="293"/>
      <c r="J2079" s="291"/>
      <c r="K2079" s="291"/>
      <c r="L2079" s="293"/>
      <c r="M2079" s="291"/>
      <c r="N2079" s="289"/>
      <c r="O2079" s="358"/>
      <c r="P2079" s="280">
        <f t="shared" ref="P2079:Q2079" si="295">IF(B2079=0,0,IF(YEAR(B2079)=$Q$1,MONTH(B2079)-$P$1+1,(YEAR(B2079)-$Q$1)*12-$P$1+1+MONTH(B2079)))</f>
        <v>0</v>
      </c>
      <c r="Q2079" s="280">
        <f t="shared" si="295"/>
        <v>0</v>
      </c>
      <c r="R2079" s="356" t="e">
        <f>#N/A</f>
        <v>#N/A</v>
      </c>
      <c r="S2079" s="269" t="str">
        <f>IF(D2079="","",IF(OR(D2079=Plano!$A$1,D2079=Plano!$B$1),"entrada","saída"))</f>
        <v/>
      </c>
      <c r="T2079" s="269"/>
      <c r="U2079" s="269"/>
      <c r="V2079" s="269"/>
      <c r="W2079" s="269"/>
      <c r="X2079" s="269"/>
      <c r="Y2079" s="269"/>
      <c r="Z2079" s="269"/>
      <c r="AA2079" s="269"/>
      <c r="AB2079" s="269"/>
      <c r="AC2079" s="269"/>
      <c r="AD2079" s="269"/>
      <c r="AE2079" s="269"/>
      <c r="AF2079" s="269"/>
      <c r="AG2079" s="269"/>
      <c r="AH2079" s="269"/>
      <c r="AI2079" s="269"/>
      <c r="AJ2079" s="269"/>
      <c r="AK2079" s="269"/>
      <c r="AL2079" s="269"/>
      <c r="AM2079" s="269"/>
    </row>
    <row r="2080" spans="1:39" ht="12.75" customHeight="1" x14ac:dyDescent="0.2">
      <c r="A2080" s="289" t="str">
        <f>IF(B2080="","",COUNT('Diário 5º PA'!$A$5:$A$2634)+COUNT('Diário 6º PA'!$A$5:$A$2246)+ROW()-4)</f>
        <v/>
      </c>
      <c r="B2080" s="290"/>
      <c r="C2080" s="357"/>
      <c r="D2080" s="291"/>
      <c r="E2080" s="291"/>
      <c r="F2080" s="292"/>
      <c r="G2080" s="291"/>
      <c r="H2080" s="291"/>
      <c r="I2080" s="293"/>
      <c r="J2080" s="291"/>
      <c r="K2080" s="291"/>
      <c r="L2080" s="293"/>
      <c r="M2080" s="291"/>
      <c r="N2080" s="289"/>
      <c r="O2080" s="358"/>
      <c r="P2080" s="280">
        <f t="shared" ref="P2080:Q2080" si="296">IF(B2080=0,0,IF(YEAR(B2080)=$Q$1,MONTH(B2080)-$P$1+1,(YEAR(B2080)-$Q$1)*12-$P$1+1+MONTH(B2080)))</f>
        <v>0</v>
      </c>
      <c r="Q2080" s="280">
        <f t="shared" si="296"/>
        <v>0</v>
      </c>
      <c r="R2080" s="356" t="e">
        <f>#N/A</f>
        <v>#N/A</v>
      </c>
      <c r="S2080" s="269" t="str">
        <f>IF(D2080="","",IF(OR(D2080=Plano!$A$1,D2080=Plano!$B$1),"entrada","saída"))</f>
        <v/>
      </c>
      <c r="T2080" s="269"/>
      <c r="U2080" s="269"/>
      <c r="V2080" s="269"/>
      <c r="W2080" s="269"/>
      <c r="X2080" s="269"/>
      <c r="Y2080" s="269"/>
      <c r="Z2080" s="269"/>
      <c r="AA2080" s="269"/>
      <c r="AB2080" s="269"/>
      <c r="AC2080" s="269"/>
      <c r="AD2080" s="269"/>
      <c r="AE2080" s="269"/>
      <c r="AF2080" s="269"/>
      <c r="AG2080" s="269"/>
      <c r="AH2080" s="269"/>
      <c r="AI2080" s="269"/>
      <c r="AJ2080" s="269"/>
      <c r="AK2080" s="269"/>
      <c r="AL2080" s="269"/>
      <c r="AM2080" s="269"/>
    </row>
    <row r="2081" spans="1:39" ht="12.75" customHeight="1" x14ac:dyDescent="0.2">
      <c r="A2081" s="289" t="str">
        <f>IF(B2081="","",COUNT('Diário 5º PA'!$A$5:$A$2634)+COUNT('Diário 6º PA'!$A$5:$A$2246)+ROW()-4)</f>
        <v/>
      </c>
      <c r="B2081" s="290"/>
      <c r="C2081" s="357"/>
      <c r="D2081" s="291"/>
      <c r="E2081" s="291"/>
      <c r="F2081" s="292"/>
      <c r="G2081" s="291"/>
      <c r="H2081" s="291"/>
      <c r="I2081" s="293"/>
      <c r="J2081" s="291"/>
      <c r="K2081" s="291"/>
      <c r="L2081" s="293"/>
      <c r="M2081" s="291"/>
      <c r="N2081" s="289"/>
      <c r="O2081" s="358"/>
      <c r="P2081" s="280">
        <f t="shared" ref="P2081:Q2081" si="297">IF(B2081=0,0,IF(YEAR(B2081)=$Q$1,MONTH(B2081)-$P$1+1,(YEAR(B2081)-$Q$1)*12-$P$1+1+MONTH(B2081)))</f>
        <v>0</v>
      </c>
      <c r="Q2081" s="280">
        <f t="shared" si="297"/>
        <v>0</v>
      </c>
      <c r="R2081" s="356" t="e">
        <f>#N/A</f>
        <v>#N/A</v>
      </c>
      <c r="S2081" s="269" t="str">
        <f>IF(D2081="","",IF(OR(D2081=Plano!$A$1,D2081=Plano!$B$1),"entrada","saída"))</f>
        <v/>
      </c>
      <c r="T2081" s="269"/>
      <c r="U2081" s="269"/>
      <c r="V2081" s="269"/>
      <c r="W2081" s="269"/>
      <c r="X2081" s="269"/>
      <c r="Y2081" s="269"/>
      <c r="Z2081" s="269"/>
      <c r="AA2081" s="269"/>
      <c r="AB2081" s="269"/>
      <c r="AC2081" s="269"/>
      <c r="AD2081" s="269"/>
      <c r="AE2081" s="269"/>
      <c r="AF2081" s="269"/>
      <c r="AG2081" s="269"/>
      <c r="AH2081" s="269"/>
      <c r="AI2081" s="269"/>
      <c r="AJ2081" s="269"/>
      <c r="AK2081" s="269"/>
      <c r="AL2081" s="269"/>
      <c r="AM2081" s="269"/>
    </row>
    <row r="2082" spans="1:39" ht="12.75" customHeight="1" x14ac:dyDescent="0.2">
      <c r="A2082" s="289" t="str">
        <f>IF(B2082="","",COUNT('Diário 5º PA'!$A$5:$A$2634)+COUNT('Diário 6º PA'!$A$5:$A$2246)+ROW()-4)</f>
        <v/>
      </c>
      <c r="B2082" s="290"/>
      <c r="C2082" s="357"/>
      <c r="D2082" s="291"/>
      <c r="E2082" s="291"/>
      <c r="F2082" s="292"/>
      <c r="G2082" s="291"/>
      <c r="H2082" s="291"/>
      <c r="I2082" s="293"/>
      <c r="J2082" s="291"/>
      <c r="K2082" s="291"/>
      <c r="L2082" s="293"/>
      <c r="M2082" s="291"/>
      <c r="N2082" s="289"/>
      <c r="O2082" s="358"/>
      <c r="P2082" s="280">
        <f t="shared" ref="P2082:Q2082" si="298">IF(B2082=0,0,IF(YEAR(B2082)=$Q$1,MONTH(B2082)-$P$1+1,(YEAR(B2082)-$Q$1)*12-$P$1+1+MONTH(B2082)))</f>
        <v>0</v>
      </c>
      <c r="Q2082" s="280">
        <f t="shared" si="298"/>
        <v>0</v>
      </c>
      <c r="R2082" s="356" t="e">
        <f>#N/A</f>
        <v>#N/A</v>
      </c>
      <c r="S2082" s="269" t="str">
        <f>IF(D2082="","",IF(OR(D2082=Plano!$A$1,D2082=Plano!$B$1),"entrada","saída"))</f>
        <v/>
      </c>
      <c r="T2082" s="269"/>
      <c r="U2082" s="269"/>
      <c r="V2082" s="269"/>
      <c r="W2082" s="269"/>
      <c r="X2082" s="269"/>
      <c r="Y2082" s="269"/>
      <c r="Z2082" s="269"/>
      <c r="AA2082" s="269"/>
      <c r="AB2082" s="269"/>
      <c r="AC2082" s="269"/>
      <c r="AD2082" s="269"/>
      <c r="AE2082" s="269"/>
      <c r="AF2082" s="269"/>
      <c r="AG2082" s="269"/>
      <c r="AH2082" s="269"/>
      <c r="AI2082" s="269"/>
      <c r="AJ2082" s="269"/>
      <c r="AK2082" s="269"/>
      <c r="AL2082" s="269"/>
      <c r="AM2082" s="269"/>
    </row>
    <row r="2083" spans="1:39" ht="12.75" customHeight="1" x14ac:dyDescent="0.2">
      <c r="A2083" s="289" t="str">
        <f>IF(B2083="","",COUNT('Diário 5º PA'!$A$5:$A$2634)+COUNT('Diário 6º PA'!$A$5:$A$2246)+ROW()-4)</f>
        <v/>
      </c>
      <c r="B2083" s="290"/>
      <c r="C2083" s="357"/>
      <c r="D2083" s="291"/>
      <c r="E2083" s="291"/>
      <c r="F2083" s="292"/>
      <c r="G2083" s="291"/>
      <c r="H2083" s="291"/>
      <c r="I2083" s="293"/>
      <c r="J2083" s="291"/>
      <c r="K2083" s="291"/>
      <c r="L2083" s="293"/>
      <c r="M2083" s="291"/>
      <c r="N2083" s="289"/>
      <c r="O2083" s="358"/>
      <c r="P2083" s="280">
        <f t="shared" ref="P2083:Q2083" si="299">IF(B2083=0,0,IF(YEAR(B2083)=$Q$1,MONTH(B2083)-$P$1+1,(YEAR(B2083)-$Q$1)*12-$P$1+1+MONTH(B2083)))</f>
        <v>0</v>
      </c>
      <c r="Q2083" s="280">
        <f t="shared" si="299"/>
        <v>0</v>
      </c>
      <c r="R2083" s="356" t="e">
        <f>#N/A</f>
        <v>#N/A</v>
      </c>
      <c r="S2083" s="269" t="str">
        <f>IF(D2083="","",IF(OR(D2083=Plano!$A$1,D2083=Plano!$B$1),"entrada","saída"))</f>
        <v/>
      </c>
      <c r="T2083" s="269"/>
      <c r="U2083" s="269"/>
      <c r="V2083" s="269"/>
      <c r="W2083" s="269"/>
      <c r="X2083" s="269"/>
      <c r="Y2083" s="269"/>
      <c r="Z2083" s="269"/>
      <c r="AA2083" s="269"/>
      <c r="AB2083" s="269"/>
      <c r="AC2083" s="269"/>
      <c r="AD2083" s="269"/>
      <c r="AE2083" s="269"/>
      <c r="AF2083" s="269"/>
      <c r="AG2083" s="269"/>
      <c r="AH2083" s="269"/>
      <c r="AI2083" s="269"/>
      <c r="AJ2083" s="269"/>
      <c r="AK2083" s="269"/>
      <c r="AL2083" s="269"/>
      <c r="AM2083" s="269"/>
    </row>
    <row r="2084" spans="1:39" ht="12.75" customHeight="1" x14ac:dyDescent="0.2">
      <c r="A2084" s="289" t="str">
        <f>IF(B2084="","",COUNT('Diário 5º PA'!$A$5:$A$2634)+COUNT('Diário 6º PA'!$A$5:$A$2246)+ROW()-4)</f>
        <v/>
      </c>
      <c r="B2084" s="290"/>
      <c r="C2084" s="357"/>
      <c r="D2084" s="291"/>
      <c r="E2084" s="291"/>
      <c r="F2084" s="292"/>
      <c r="G2084" s="291"/>
      <c r="H2084" s="291"/>
      <c r="I2084" s="293"/>
      <c r="J2084" s="291"/>
      <c r="K2084" s="291"/>
      <c r="L2084" s="293"/>
      <c r="M2084" s="291"/>
      <c r="N2084" s="289"/>
      <c r="O2084" s="358"/>
      <c r="P2084" s="280">
        <f t="shared" ref="P2084:Q2084" si="300">IF(B2084=0,0,IF(YEAR(B2084)=$Q$1,MONTH(B2084)-$P$1+1,(YEAR(B2084)-$Q$1)*12-$P$1+1+MONTH(B2084)))</f>
        <v>0</v>
      </c>
      <c r="Q2084" s="280">
        <f t="shared" si="300"/>
        <v>0</v>
      </c>
      <c r="R2084" s="356" t="e">
        <f>#N/A</f>
        <v>#N/A</v>
      </c>
      <c r="S2084" s="269" t="str">
        <f>IF(D2084="","",IF(OR(D2084=Plano!$A$1,D2084=Plano!$B$1),"entrada","saída"))</f>
        <v/>
      </c>
      <c r="T2084" s="269"/>
      <c r="U2084" s="269"/>
      <c r="V2084" s="269"/>
      <c r="W2084" s="269"/>
      <c r="X2084" s="269"/>
      <c r="Y2084" s="269"/>
      <c r="Z2084" s="269"/>
      <c r="AA2084" s="269"/>
      <c r="AB2084" s="269"/>
      <c r="AC2084" s="269"/>
      <c r="AD2084" s="269"/>
      <c r="AE2084" s="269"/>
      <c r="AF2084" s="269"/>
      <c r="AG2084" s="269"/>
      <c r="AH2084" s="269"/>
      <c r="AI2084" s="269"/>
      <c r="AJ2084" s="269"/>
      <c r="AK2084" s="269"/>
      <c r="AL2084" s="269"/>
      <c r="AM2084" s="269"/>
    </row>
    <row r="2085" spans="1:39" ht="12.75" customHeight="1" x14ac:dyDescent="0.2">
      <c r="A2085" s="289" t="str">
        <f>IF(B2085="","",COUNT('Diário 5º PA'!$A$5:$A$2634)+COUNT('Diário 6º PA'!$A$5:$A$2246)+ROW()-4)</f>
        <v/>
      </c>
      <c r="B2085" s="290"/>
      <c r="C2085" s="357"/>
      <c r="D2085" s="291"/>
      <c r="E2085" s="291"/>
      <c r="F2085" s="292"/>
      <c r="G2085" s="291"/>
      <c r="H2085" s="291"/>
      <c r="I2085" s="293"/>
      <c r="J2085" s="291"/>
      <c r="K2085" s="291"/>
      <c r="L2085" s="293"/>
      <c r="M2085" s="291"/>
      <c r="N2085" s="289"/>
      <c r="O2085" s="358"/>
      <c r="P2085" s="280">
        <f t="shared" ref="P2085:Q2085" si="301">IF(B2085=0,0,IF(YEAR(B2085)=$Q$1,MONTH(B2085)-$P$1+1,(YEAR(B2085)-$Q$1)*12-$P$1+1+MONTH(B2085)))</f>
        <v>0</v>
      </c>
      <c r="Q2085" s="280">
        <f t="shared" si="301"/>
        <v>0</v>
      </c>
      <c r="R2085" s="356" t="e">
        <f>#N/A</f>
        <v>#N/A</v>
      </c>
      <c r="S2085" s="269" t="str">
        <f>IF(D2085="","",IF(OR(D2085=Plano!$A$1,D2085=Plano!$B$1),"entrada","saída"))</f>
        <v/>
      </c>
      <c r="T2085" s="269"/>
      <c r="U2085" s="269"/>
      <c r="V2085" s="269"/>
      <c r="W2085" s="269"/>
      <c r="X2085" s="269"/>
      <c r="Y2085" s="269"/>
      <c r="Z2085" s="269"/>
      <c r="AA2085" s="269"/>
      <c r="AB2085" s="269"/>
      <c r="AC2085" s="269"/>
      <c r="AD2085" s="269"/>
      <c r="AE2085" s="269"/>
      <c r="AF2085" s="269"/>
      <c r="AG2085" s="269"/>
      <c r="AH2085" s="269"/>
      <c r="AI2085" s="269"/>
      <c r="AJ2085" s="269"/>
      <c r="AK2085" s="269"/>
      <c r="AL2085" s="269"/>
      <c r="AM2085" s="269"/>
    </row>
    <row r="2086" spans="1:39" ht="12.75" customHeight="1" x14ac:dyDescent="0.2">
      <c r="A2086" s="289" t="str">
        <f>IF(B2086="","",COUNT('Diário 5º PA'!$A$5:$A$2634)+COUNT('Diário 6º PA'!$A$5:$A$2246)+ROW()-4)</f>
        <v/>
      </c>
      <c r="B2086" s="290"/>
      <c r="C2086" s="357"/>
      <c r="D2086" s="291"/>
      <c r="E2086" s="291"/>
      <c r="F2086" s="292"/>
      <c r="G2086" s="291"/>
      <c r="H2086" s="291"/>
      <c r="I2086" s="293"/>
      <c r="J2086" s="291"/>
      <c r="K2086" s="291"/>
      <c r="L2086" s="293"/>
      <c r="M2086" s="291"/>
      <c r="N2086" s="289"/>
      <c r="O2086" s="358"/>
      <c r="P2086" s="280">
        <f t="shared" ref="P2086:Q2086" si="302">IF(B2086=0,0,IF(YEAR(B2086)=$Q$1,MONTH(B2086)-$P$1+1,(YEAR(B2086)-$Q$1)*12-$P$1+1+MONTH(B2086)))</f>
        <v>0</v>
      </c>
      <c r="Q2086" s="280">
        <f t="shared" si="302"/>
        <v>0</v>
      </c>
      <c r="R2086" s="356" t="e">
        <f>#N/A</f>
        <v>#N/A</v>
      </c>
      <c r="S2086" s="269" t="str">
        <f>IF(D2086="","",IF(OR(D2086=Plano!$A$1,D2086=Plano!$B$1),"entrada","saída"))</f>
        <v/>
      </c>
      <c r="T2086" s="269"/>
      <c r="U2086" s="269"/>
      <c r="V2086" s="269"/>
      <c r="W2086" s="269"/>
      <c r="X2086" s="269"/>
      <c r="Y2086" s="269"/>
      <c r="Z2086" s="269"/>
      <c r="AA2086" s="269"/>
      <c r="AB2086" s="269"/>
      <c r="AC2086" s="269"/>
      <c r="AD2086" s="269"/>
      <c r="AE2086" s="269"/>
      <c r="AF2086" s="269"/>
      <c r="AG2086" s="269"/>
      <c r="AH2086" s="269"/>
      <c r="AI2086" s="269"/>
      <c r="AJ2086" s="269"/>
      <c r="AK2086" s="269"/>
      <c r="AL2086" s="269"/>
      <c r="AM2086" s="269"/>
    </row>
    <row r="2087" spans="1:39" ht="12.75" customHeight="1" x14ac:dyDescent="0.2">
      <c r="A2087" s="289" t="str">
        <f>IF(B2087="","",COUNT('Diário 5º PA'!$A$5:$A$2634)+COUNT('Diário 6º PA'!$A$5:$A$2246)+ROW()-4)</f>
        <v/>
      </c>
      <c r="B2087" s="290"/>
      <c r="C2087" s="357"/>
      <c r="D2087" s="291"/>
      <c r="E2087" s="291"/>
      <c r="F2087" s="292"/>
      <c r="G2087" s="291"/>
      <c r="H2087" s="291"/>
      <c r="I2087" s="293"/>
      <c r="J2087" s="291"/>
      <c r="K2087" s="291"/>
      <c r="L2087" s="293"/>
      <c r="M2087" s="291"/>
      <c r="N2087" s="289"/>
      <c r="O2087" s="358"/>
      <c r="P2087" s="280">
        <f t="shared" ref="P2087:Q2087" si="303">IF(B2087=0,0,IF(YEAR(B2087)=$Q$1,MONTH(B2087)-$P$1+1,(YEAR(B2087)-$Q$1)*12-$P$1+1+MONTH(B2087)))</f>
        <v>0</v>
      </c>
      <c r="Q2087" s="280">
        <f t="shared" si="303"/>
        <v>0</v>
      </c>
      <c r="R2087" s="356" t="e">
        <f>#N/A</f>
        <v>#N/A</v>
      </c>
      <c r="S2087" s="269" t="str">
        <f>IF(D2087="","",IF(OR(D2087=Plano!$A$1,D2087=Plano!$B$1),"entrada","saída"))</f>
        <v/>
      </c>
      <c r="T2087" s="269"/>
      <c r="U2087" s="269"/>
      <c r="V2087" s="269"/>
      <c r="W2087" s="269"/>
      <c r="X2087" s="269"/>
      <c r="Y2087" s="269"/>
      <c r="Z2087" s="269"/>
      <c r="AA2087" s="269"/>
      <c r="AB2087" s="269"/>
      <c r="AC2087" s="269"/>
      <c r="AD2087" s="269"/>
      <c r="AE2087" s="269"/>
      <c r="AF2087" s="269"/>
      <c r="AG2087" s="269"/>
      <c r="AH2087" s="269"/>
      <c r="AI2087" s="269"/>
      <c r="AJ2087" s="269"/>
      <c r="AK2087" s="269"/>
      <c r="AL2087" s="269"/>
      <c r="AM2087" s="269"/>
    </row>
    <row r="2088" spans="1:39" ht="12.75" customHeight="1" x14ac:dyDescent="0.2">
      <c r="A2088" s="289" t="str">
        <f>IF(B2088="","",COUNT('Diário 5º PA'!$A$5:$A$2634)+COUNT('Diário 6º PA'!$A$5:$A$2246)+ROW()-4)</f>
        <v/>
      </c>
      <c r="B2088" s="290"/>
      <c r="C2088" s="357"/>
      <c r="D2088" s="291"/>
      <c r="E2088" s="291"/>
      <c r="F2088" s="292"/>
      <c r="G2088" s="291"/>
      <c r="H2088" s="291"/>
      <c r="I2088" s="293"/>
      <c r="J2088" s="291"/>
      <c r="K2088" s="291"/>
      <c r="L2088" s="293"/>
      <c r="M2088" s="291"/>
      <c r="N2088" s="289"/>
      <c r="O2088" s="358"/>
      <c r="P2088" s="280">
        <f t="shared" ref="P2088:Q2088" si="304">IF(B2088=0,0,IF(YEAR(B2088)=$Q$1,MONTH(B2088)-$P$1+1,(YEAR(B2088)-$Q$1)*12-$P$1+1+MONTH(B2088)))</f>
        <v>0</v>
      </c>
      <c r="Q2088" s="280">
        <f t="shared" si="304"/>
        <v>0</v>
      </c>
      <c r="R2088" s="356" t="e">
        <f>#N/A</f>
        <v>#N/A</v>
      </c>
      <c r="S2088" s="269" t="str">
        <f>IF(D2088="","",IF(OR(D2088=Plano!$A$1,D2088=Plano!$B$1),"entrada","saída"))</f>
        <v/>
      </c>
      <c r="T2088" s="269"/>
      <c r="U2088" s="269"/>
      <c r="V2088" s="269"/>
      <c r="W2088" s="269"/>
      <c r="X2088" s="269"/>
      <c r="Y2088" s="269"/>
      <c r="Z2088" s="269"/>
      <c r="AA2088" s="269"/>
      <c r="AB2088" s="269"/>
      <c r="AC2088" s="269"/>
      <c r="AD2088" s="269"/>
      <c r="AE2088" s="269"/>
      <c r="AF2088" s="269"/>
      <c r="AG2088" s="269"/>
      <c r="AH2088" s="269"/>
      <c r="AI2088" s="269"/>
      <c r="AJ2088" s="269"/>
      <c r="AK2088" s="269"/>
      <c r="AL2088" s="269"/>
      <c r="AM2088" s="269"/>
    </row>
    <row r="2089" spans="1:39" ht="12.75" customHeight="1" x14ac:dyDescent="0.2">
      <c r="A2089" s="289" t="str">
        <f>IF(B2089="","",COUNT('Diário 5º PA'!$A$5:$A$2634)+COUNT('Diário 6º PA'!$A$5:$A$2246)+ROW()-4)</f>
        <v/>
      </c>
      <c r="B2089" s="290"/>
      <c r="C2089" s="357"/>
      <c r="D2089" s="291"/>
      <c r="E2089" s="291"/>
      <c r="F2089" s="292"/>
      <c r="G2089" s="291"/>
      <c r="H2089" s="291"/>
      <c r="I2089" s="293"/>
      <c r="J2089" s="291"/>
      <c r="K2089" s="291"/>
      <c r="L2089" s="293"/>
      <c r="M2089" s="291"/>
      <c r="N2089" s="289"/>
      <c r="O2089" s="358"/>
      <c r="P2089" s="280">
        <f t="shared" ref="P2089:Q2089" si="305">IF(B2089=0,0,IF(YEAR(B2089)=$Q$1,MONTH(B2089)-$P$1+1,(YEAR(B2089)-$Q$1)*12-$P$1+1+MONTH(B2089)))</f>
        <v>0</v>
      </c>
      <c r="Q2089" s="280">
        <f t="shared" si="305"/>
        <v>0</v>
      </c>
      <c r="R2089" s="356" t="e">
        <f>#N/A</f>
        <v>#N/A</v>
      </c>
      <c r="S2089" s="269" t="str">
        <f>IF(D2089="","",IF(OR(D2089=Plano!$A$1,D2089=Plano!$B$1),"entrada","saída"))</f>
        <v/>
      </c>
      <c r="T2089" s="269"/>
      <c r="U2089" s="269"/>
      <c r="V2089" s="269"/>
      <c r="W2089" s="269"/>
      <c r="X2089" s="269"/>
      <c r="Y2089" s="269"/>
      <c r="Z2089" s="269"/>
      <c r="AA2089" s="269"/>
      <c r="AB2089" s="269"/>
      <c r="AC2089" s="269"/>
      <c r="AD2089" s="269"/>
      <c r="AE2089" s="269"/>
      <c r="AF2089" s="269"/>
      <c r="AG2089" s="269"/>
      <c r="AH2089" s="269"/>
      <c r="AI2089" s="269"/>
      <c r="AJ2089" s="269"/>
      <c r="AK2089" s="269"/>
      <c r="AL2089" s="269"/>
      <c r="AM2089" s="269"/>
    </row>
    <row r="2090" spans="1:39" ht="12.75" customHeight="1" x14ac:dyDescent="0.2">
      <c r="A2090" s="289" t="str">
        <f>IF(B2090="","",COUNT('Diário 5º PA'!$A$5:$A$2634)+COUNT('Diário 6º PA'!$A$5:$A$2246)+ROW()-4)</f>
        <v/>
      </c>
      <c r="B2090" s="290"/>
      <c r="C2090" s="357"/>
      <c r="D2090" s="291"/>
      <c r="E2090" s="291"/>
      <c r="F2090" s="292"/>
      <c r="G2090" s="291"/>
      <c r="H2090" s="291"/>
      <c r="I2090" s="293"/>
      <c r="J2090" s="291"/>
      <c r="K2090" s="291"/>
      <c r="L2090" s="293"/>
      <c r="M2090" s="291"/>
      <c r="N2090" s="289"/>
      <c r="O2090" s="358"/>
      <c r="P2090" s="280">
        <f t="shared" ref="P2090:Q2090" si="306">IF(B2090=0,0,IF(YEAR(B2090)=$Q$1,MONTH(B2090)-$P$1+1,(YEAR(B2090)-$Q$1)*12-$P$1+1+MONTH(B2090)))</f>
        <v>0</v>
      </c>
      <c r="Q2090" s="280">
        <f t="shared" si="306"/>
        <v>0</v>
      </c>
      <c r="R2090" s="356" t="e">
        <f>#N/A</f>
        <v>#N/A</v>
      </c>
      <c r="S2090" s="269" t="str">
        <f>IF(D2090="","",IF(OR(D2090=Plano!$A$1,D2090=Plano!$B$1),"entrada","saída"))</f>
        <v/>
      </c>
      <c r="T2090" s="269"/>
      <c r="U2090" s="269"/>
      <c r="V2090" s="269"/>
      <c r="W2090" s="269"/>
      <c r="X2090" s="269"/>
      <c r="Y2090" s="269"/>
      <c r="Z2090" s="269"/>
      <c r="AA2090" s="269"/>
      <c r="AB2090" s="269"/>
      <c r="AC2090" s="269"/>
      <c r="AD2090" s="269"/>
      <c r="AE2090" s="269"/>
      <c r="AF2090" s="269"/>
      <c r="AG2090" s="269"/>
      <c r="AH2090" s="269"/>
      <c r="AI2090" s="269"/>
      <c r="AJ2090" s="269"/>
      <c r="AK2090" s="269"/>
      <c r="AL2090" s="269"/>
      <c r="AM2090" s="269"/>
    </row>
    <row r="2091" spans="1:39" ht="12.75" customHeight="1" x14ac:dyDescent="0.2">
      <c r="A2091" s="289" t="str">
        <f>IF(B2091="","",COUNT('Diário 5º PA'!$A$5:$A$2634)+COUNT('Diário 6º PA'!$A$5:$A$2246)+ROW()-4)</f>
        <v/>
      </c>
      <c r="B2091" s="290"/>
      <c r="C2091" s="357"/>
      <c r="D2091" s="291"/>
      <c r="E2091" s="291"/>
      <c r="F2091" s="292"/>
      <c r="G2091" s="291"/>
      <c r="H2091" s="291"/>
      <c r="I2091" s="293"/>
      <c r="J2091" s="291"/>
      <c r="K2091" s="291"/>
      <c r="L2091" s="293"/>
      <c r="M2091" s="291"/>
      <c r="N2091" s="289"/>
      <c r="O2091" s="358"/>
      <c r="P2091" s="280">
        <f t="shared" ref="P2091:Q2091" si="307">IF(B2091=0,0,IF(YEAR(B2091)=$Q$1,MONTH(B2091)-$P$1+1,(YEAR(B2091)-$Q$1)*12-$P$1+1+MONTH(B2091)))</f>
        <v>0</v>
      </c>
      <c r="Q2091" s="280">
        <f t="shared" si="307"/>
        <v>0</v>
      </c>
      <c r="R2091" s="356" t="e">
        <f>#N/A</f>
        <v>#N/A</v>
      </c>
      <c r="S2091" s="269" t="str">
        <f>IF(D2091="","",IF(OR(D2091=Plano!$A$1,D2091=Plano!$B$1),"entrada","saída"))</f>
        <v/>
      </c>
      <c r="T2091" s="269"/>
      <c r="U2091" s="269"/>
      <c r="V2091" s="269"/>
      <c r="W2091" s="269"/>
      <c r="X2091" s="269"/>
      <c r="Y2091" s="269"/>
      <c r="Z2091" s="269"/>
      <c r="AA2091" s="269"/>
      <c r="AB2091" s="269"/>
      <c r="AC2091" s="269"/>
      <c r="AD2091" s="269"/>
      <c r="AE2091" s="269"/>
      <c r="AF2091" s="269"/>
      <c r="AG2091" s="269"/>
      <c r="AH2091" s="269"/>
      <c r="AI2091" s="269"/>
      <c r="AJ2091" s="269"/>
      <c r="AK2091" s="269"/>
      <c r="AL2091" s="269"/>
      <c r="AM2091" s="269"/>
    </row>
    <row r="2092" spans="1:39" ht="12.75" customHeight="1" x14ac:dyDescent="0.2">
      <c r="A2092" s="289" t="str">
        <f>IF(B2092="","",COUNT('Diário 5º PA'!$A$5:$A$2634)+COUNT('Diário 6º PA'!$A$5:$A$2246)+ROW()-4)</f>
        <v/>
      </c>
      <c r="B2092" s="290"/>
      <c r="C2092" s="357"/>
      <c r="D2092" s="291"/>
      <c r="E2092" s="291"/>
      <c r="F2092" s="292"/>
      <c r="G2092" s="291"/>
      <c r="H2092" s="291"/>
      <c r="I2092" s="293"/>
      <c r="J2092" s="291"/>
      <c r="K2092" s="291"/>
      <c r="L2092" s="293"/>
      <c r="M2092" s="291"/>
      <c r="N2092" s="289"/>
      <c r="O2092" s="358"/>
      <c r="P2092" s="280">
        <f t="shared" ref="P2092:Q2092" si="308">IF(B2092=0,0,IF(YEAR(B2092)=$Q$1,MONTH(B2092)-$P$1+1,(YEAR(B2092)-$Q$1)*12-$P$1+1+MONTH(B2092)))</f>
        <v>0</v>
      </c>
      <c r="Q2092" s="280">
        <f t="shared" si="308"/>
        <v>0</v>
      </c>
      <c r="R2092" s="356" t="e">
        <f>#N/A</f>
        <v>#N/A</v>
      </c>
      <c r="S2092" s="269" t="str">
        <f>IF(D2092="","",IF(OR(D2092=Plano!$A$1,D2092=Plano!$B$1),"entrada","saída"))</f>
        <v/>
      </c>
      <c r="T2092" s="269"/>
      <c r="U2092" s="269"/>
      <c r="V2092" s="269"/>
      <c r="W2092" s="269"/>
      <c r="X2092" s="269"/>
      <c r="Y2092" s="269"/>
      <c r="Z2092" s="269"/>
      <c r="AA2092" s="269"/>
      <c r="AB2092" s="269"/>
      <c r="AC2092" s="269"/>
      <c r="AD2092" s="269"/>
      <c r="AE2092" s="269"/>
      <c r="AF2092" s="269"/>
      <c r="AG2092" s="269"/>
      <c r="AH2092" s="269"/>
      <c r="AI2092" s="269"/>
      <c r="AJ2092" s="269"/>
      <c r="AK2092" s="269"/>
      <c r="AL2092" s="269"/>
      <c r="AM2092" s="269"/>
    </row>
    <row r="2093" spans="1:39" ht="12.75" customHeight="1" x14ac:dyDescent="0.2">
      <c r="A2093" s="289" t="str">
        <f>IF(B2093="","",COUNT('Diário 5º PA'!$A$5:$A$2634)+COUNT('Diário 6º PA'!$A$5:$A$2246)+ROW()-4)</f>
        <v/>
      </c>
      <c r="B2093" s="290"/>
      <c r="C2093" s="357"/>
      <c r="D2093" s="291"/>
      <c r="E2093" s="291"/>
      <c r="F2093" s="292"/>
      <c r="G2093" s="291"/>
      <c r="H2093" s="291"/>
      <c r="I2093" s="293"/>
      <c r="J2093" s="291"/>
      <c r="K2093" s="291"/>
      <c r="L2093" s="293"/>
      <c r="M2093" s="291"/>
      <c r="N2093" s="289"/>
      <c r="O2093" s="358"/>
      <c r="P2093" s="280">
        <f t="shared" ref="P2093:Q2093" si="309">IF(B2093=0,0,IF(YEAR(B2093)=$Q$1,MONTH(B2093)-$P$1+1,(YEAR(B2093)-$Q$1)*12-$P$1+1+MONTH(B2093)))</f>
        <v>0</v>
      </c>
      <c r="Q2093" s="280">
        <f t="shared" si="309"/>
        <v>0</v>
      </c>
      <c r="R2093" s="356" t="e">
        <f>#N/A</f>
        <v>#N/A</v>
      </c>
      <c r="S2093" s="269" t="str">
        <f>IF(D2093="","",IF(OR(D2093=Plano!$A$1,D2093=Plano!$B$1),"entrada","saída"))</f>
        <v/>
      </c>
      <c r="T2093" s="269"/>
      <c r="U2093" s="269"/>
      <c r="V2093" s="269"/>
      <c r="W2093" s="269"/>
      <c r="X2093" s="269"/>
      <c r="Y2093" s="269"/>
      <c r="Z2093" s="269"/>
      <c r="AA2093" s="269"/>
      <c r="AB2093" s="269"/>
      <c r="AC2093" s="269"/>
      <c r="AD2093" s="269"/>
      <c r="AE2093" s="269"/>
      <c r="AF2093" s="269"/>
      <c r="AG2093" s="269"/>
      <c r="AH2093" s="269"/>
      <c r="AI2093" s="269"/>
      <c r="AJ2093" s="269"/>
      <c r="AK2093" s="269"/>
      <c r="AL2093" s="269"/>
      <c r="AM2093" s="269"/>
    </row>
    <row r="2094" spans="1:39" ht="12.75" customHeight="1" x14ac:dyDescent="0.2">
      <c r="A2094" s="289" t="str">
        <f>IF(B2094="","",COUNT('Diário 5º PA'!$A$5:$A$2634)+COUNT('Diário 6º PA'!$A$5:$A$2246)+ROW()-4)</f>
        <v/>
      </c>
      <c r="B2094" s="290"/>
      <c r="C2094" s="357"/>
      <c r="D2094" s="291"/>
      <c r="E2094" s="291"/>
      <c r="F2094" s="292"/>
      <c r="G2094" s="291"/>
      <c r="H2094" s="291"/>
      <c r="I2094" s="293"/>
      <c r="J2094" s="291"/>
      <c r="K2094" s="291"/>
      <c r="L2094" s="293"/>
      <c r="M2094" s="291"/>
      <c r="N2094" s="289"/>
      <c r="O2094" s="358"/>
      <c r="P2094" s="280">
        <f t="shared" ref="P2094:Q2094" si="310">IF(B2094=0,0,IF(YEAR(B2094)=$Q$1,MONTH(B2094)-$P$1+1,(YEAR(B2094)-$Q$1)*12-$P$1+1+MONTH(B2094)))</f>
        <v>0</v>
      </c>
      <c r="Q2094" s="280">
        <f t="shared" si="310"/>
        <v>0</v>
      </c>
      <c r="R2094" s="356" t="e">
        <f>#N/A</f>
        <v>#N/A</v>
      </c>
      <c r="S2094" s="269" t="str">
        <f>IF(D2094="","",IF(OR(D2094=Plano!$A$1,D2094=Plano!$B$1),"entrada","saída"))</f>
        <v/>
      </c>
      <c r="T2094" s="269"/>
      <c r="U2094" s="269"/>
      <c r="V2094" s="269"/>
      <c r="W2094" s="269"/>
      <c r="X2094" s="269"/>
      <c r="Y2094" s="269"/>
      <c r="Z2094" s="269"/>
      <c r="AA2094" s="269"/>
      <c r="AB2094" s="269"/>
      <c r="AC2094" s="269"/>
      <c r="AD2094" s="269"/>
      <c r="AE2094" s="269"/>
      <c r="AF2094" s="269"/>
      <c r="AG2094" s="269"/>
      <c r="AH2094" s="269"/>
      <c r="AI2094" s="269"/>
      <c r="AJ2094" s="269"/>
      <c r="AK2094" s="269"/>
      <c r="AL2094" s="269"/>
      <c r="AM2094" s="269"/>
    </row>
    <row r="2095" spans="1:39" ht="12.75" customHeight="1" x14ac:dyDescent="0.2">
      <c r="A2095" s="289" t="str">
        <f>IF(B2095="","",COUNT('Diário 5º PA'!$A$5:$A$2634)+COUNT('Diário 6º PA'!$A$5:$A$2246)+ROW()-4)</f>
        <v/>
      </c>
      <c r="B2095" s="290"/>
      <c r="C2095" s="357"/>
      <c r="D2095" s="291"/>
      <c r="E2095" s="291"/>
      <c r="F2095" s="292"/>
      <c r="G2095" s="291"/>
      <c r="H2095" s="291"/>
      <c r="I2095" s="293"/>
      <c r="J2095" s="291"/>
      <c r="K2095" s="291"/>
      <c r="L2095" s="293"/>
      <c r="M2095" s="291"/>
      <c r="N2095" s="289"/>
      <c r="O2095" s="358"/>
      <c r="P2095" s="280">
        <f t="shared" ref="P2095:Q2095" si="311">IF(B2095=0,0,IF(YEAR(B2095)=$Q$1,MONTH(B2095)-$P$1+1,(YEAR(B2095)-$Q$1)*12-$P$1+1+MONTH(B2095)))</f>
        <v>0</v>
      </c>
      <c r="Q2095" s="280">
        <f t="shared" si="311"/>
        <v>0</v>
      </c>
      <c r="R2095" s="356" t="e">
        <f>#N/A</f>
        <v>#N/A</v>
      </c>
      <c r="S2095" s="269" t="str">
        <f>IF(D2095="","",IF(OR(D2095=Plano!$A$1,D2095=Plano!$B$1),"entrada","saída"))</f>
        <v/>
      </c>
      <c r="T2095" s="269"/>
      <c r="U2095" s="269"/>
      <c r="V2095" s="269"/>
      <c r="W2095" s="269"/>
      <c r="X2095" s="269"/>
      <c r="Y2095" s="269"/>
      <c r="Z2095" s="269"/>
      <c r="AA2095" s="269"/>
      <c r="AB2095" s="269"/>
      <c r="AC2095" s="269"/>
      <c r="AD2095" s="269"/>
      <c r="AE2095" s="269"/>
      <c r="AF2095" s="269"/>
      <c r="AG2095" s="269"/>
      <c r="AH2095" s="269"/>
      <c r="AI2095" s="269"/>
      <c r="AJ2095" s="269"/>
      <c r="AK2095" s="269"/>
      <c r="AL2095" s="269"/>
      <c r="AM2095" s="269"/>
    </row>
    <row r="2096" spans="1:39" ht="12.75" customHeight="1" x14ac:dyDescent="0.2">
      <c r="A2096" s="289" t="str">
        <f>IF(B2096="","",COUNT('Diário 5º PA'!$A$5:$A$2634)+COUNT('Diário 6º PA'!$A$5:$A$2246)+ROW()-4)</f>
        <v/>
      </c>
      <c r="B2096" s="290"/>
      <c r="C2096" s="357"/>
      <c r="D2096" s="291"/>
      <c r="E2096" s="291"/>
      <c r="F2096" s="292"/>
      <c r="G2096" s="291"/>
      <c r="H2096" s="291"/>
      <c r="I2096" s="293"/>
      <c r="J2096" s="291"/>
      <c r="K2096" s="291"/>
      <c r="L2096" s="293"/>
      <c r="M2096" s="291"/>
      <c r="N2096" s="289"/>
      <c r="O2096" s="358"/>
      <c r="P2096" s="280">
        <f t="shared" ref="P2096:Q2096" si="312">IF(B2096=0,0,IF(YEAR(B2096)=$Q$1,MONTH(B2096)-$P$1+1,(YEAR(B2096)-$Q$1)*12-$P$1+1+MONTH(B2096)))</f>
        <v>0</v>
      </c>
      <c r="Q2096" s="280">
        <f t="shared" si="312"/>
        <v>0</v>
      </c>
      <c r="R2096" s="356" t="e">
        <f>#N/A</f>
        <v>#N/A</v>
      </c>
      <c r="S2096" s="269" t="str">
        <f>IF(D2096="","",IF(OR(D2096=Plano!$A$1,D2096=Plano!$B$1),"entrada","saída"))</f>
        <v/>
      </c>
      <c r="T2096" s="269"/>
      <c r="U2096" s="269"/>
      <c r="V2096" s="269"/>
      <c r="W2096" s="269"/>
      <c r="X2096" s="269"/>
      <c r="Y2096" s="269"/>
      <c r="Z2096" s="269"/>
      <c r="AA2096" s="269"/>
      <c r="AB2096" s="269"/>
      <c r="AC2096" s="269"/>
      <c r="AD2096" s="269"/>
      <c r="AE2096" s="269"/>
      <c r="AF2096" s="269"/>
      <c r="AG2096" s="269"/>
      <c r="AH2096" s="269"/>
      <c r="AI2096" s="269"/>
      <c r="AJ2096" s="269"/>
      <c r="AK2096" s="269"/>
      <c r="AL2096" s="269"/>
      <c r="AM2096" s="269"/>
    </row>
    <row r="2097" spans="1:39" ht="12.75" customHeight="1" x14ac:dyDescent="0.2">
      <c r="A2097" s="289" t="str">
        <f>IF(B2097="","",COUNT('Diário 5º PA'!$A$5:$A$2634)+COUNT('Diário 6º PA'!$A$5:$A$2246)+ROW()-4)</f>
        <v/>
      </c>
      <c r="B2097" s="290"/>
      <c r="C2097" s="357"/>
      <c r="D2097" s="291"/>
      <c r="E2097" s="291"/>
      <c r="F2097" s="292"/>
      <c r="G2097" s="291"/>
      <c r="H2097" s="291"/>
      <c r="I2097" s="293"/>
      <c r="J2097" s="291"/>
      <c r="K2097" s="291"/>
      <c r="L2097" s="293"/>
      <c r="M2097" s="291"/>
      <c r="N2097" s="289"/>
      <c r="O2097" s="358"/>
      <c r="P2097" s="280">
        <f t="shared" ref="P2097:Q2097" si="313">IF(B2097=0,0,IF(YEAR(B2097)=$Q$1,MONTH(B2097)-$P$1+1,(YEAR(B2097)-$Q$1)*12-$P$1+1+MONTH(B2097)))</f>
        <v>0</v>
      </c>
      <c r="Q2097" s="280">
        <f t="shared" si="313"/>
        <v>0</v>
      </c>
      <c r="R2097" s="356" t="e">
        <f>#N/A</f>
        <v>#N/A</v>
      </c>
      <c r="S2097" s="269" t="str">
        <f>IF(D2097="","",IF(OR(D2097=Plano!$A$1,D2097=Plano!$B$1),"entrada","saída"))</f>
        <v/>
      </c>
      <c r="T2097" s="269"/>
      <c r="U2097" s="269"/>
      <c r="V2097" s="269"/>
      <c r="W2097" s="269"/>
      <c r="X2097" s="269"/>
      <c r="Y2097" s="269"/>
      <c r="Z2097" s="269"/>
      <c r="AA2097" s="269"/>
      <c r="AB2097" s="269"/>
      <c r="AC2097" s="269"/>
      <c r="AD2097" s="269"/>
      <c r="AE2097" s="269"/>
      <c r="AF2097" s="269"/>
      <c r="AG2097" s="269"/>
      <c r="AH2097" s="269"/>
      <c r="AI2097" s="269"/>
      <c r="AJ2097" s="269"/>
      <c r="AK2097" s="269"/>
      <c r="AL2097" s="269"/>
      <c r="AM2097" s="269"/>
    </row>
    <row r="2098" spans="1:39" ht="12.75" customHeight="1" x14ac:dyDescent="0.2">
      <c r="A2098" s="289" t="str">
        <f>IF(B2098="","",COUNT('Diário 5º PA'!$A$5:$A$2634)+COUNT('Diário 6º PA'!$A$5:$A$2246)+ROW()-4)</f>
        <v/>
      </c>
      <c r="B2098" s="290"/>
      <c r="C2098" s="357"/>
      <c r="D2098" s="291"/>
      <c r="E2098" s="291"/>
      <c r="F2098" s="292"/>
      <c r="G2098" s="291"/>
      <c r="H2098" s="291"/>
      <c r="I2098" s="293"/>
      <c r="J2098" s="291"/>
      <c r="K2098" s="291"/>
      <c r="L2098" s="293"/>
      <c r="M2098" s="291"/>
      <c r="N2098" s="289"/>
      <c r="O2098" s="358"/>
      <c r="P2098" s="280">
        <f t="shared" ref="P2098:Q2098" si="314">IF(B2098=0,0,IF(YEAR(B2098)=$Q$1,MONTH(B2098)-$P$1+1,(YEAR(B2098)-$Q$1)*12-$P$1+1+MONTH(B2098)))</f>
        <v>0</v>
      </c>
      <c r="Q2098" s="280">
        <f t="shared" si="314"/>
        <v>0</v>
      </c>
      <c r="R2098" s="356" t="e">
        <f>#N/A</f>
        <v>#N/A</v>
      </c>
      <c r="S2098" s="269" t="str">
        <f>IF(D2098="","",IF(OR(D2098=Plano!$A$1,D2098=Plano!$B$1),"entrada","saída"))</f>
        <v/>
      </c>
      <c r="T2098" s="269"/>
      <c r="U2098" s="269"/>
      <c r="V2098" s="269"/>
      <c r="W2098" s="269"/>
      <c r="X2098" s="269"/>
      <c r="Y2098" s="269"/>
      <c r="Z2098" s="269"/>
      <c r="AA2098" s="269"/>
      <c r="AB2098" s="269"/>
      <c r="AC2098" s="269"/>
      <c r="AD2098" s="269"/>
      <c r="AE2098" s="269"/>
      <c r="AF2098" s="269"/>
      <c r="AG2098" s="269"/>
      <c r="AH2098" s="269"/>
      <c r="AI2098" s="269"/>
      <c r="AJ2098" s="269"/>
      <c r="AK2098" s="269"/>
      <c r="AL2098" s="269"/>
      <c r="AM2098" s="269"/>
    </row>
    <row r="2099" spans="1:39" ht="12.75" customHeight="1" x14ac:dyDescent="0.2">
      <c r="A2099" s="289" t="str">
        <f>IF(B2099="","",COUNT('Diário 5º PA'!$A$5:$A$2634)+COUNT('Diário 6º PA'!$A$5:$A$2246)+ROW()-4)</f>
        <v/>
      </c>
      <c r="B2099" s="290"/>
      <c r="C2099" s="357"/>
      <c r="D2099" s="291"/>
      <c r="E2099" s="291"/>
      <c r="F2099" s="292"/>
      <c r="G2099" s="291"/>
      <c r="H2099" s="291"/>
      <c r="I2099" s="293"/>
      <c r="J2099" s="291"/>
      <c r="K2099" s="291"/>
      <c r="L2099" s="293"/>
      <c r="M2099" s="291"/>
      <c r="N2099" s="289"/>
      <c r="O2099" s="358"/>
      <c r="P2099" s="280">
        <f t="shared" ref="P2099:Q2099" si="315">IF(B2099=0,0,IF(YEAR(B2099)=$Q$1,MONTH(B2099)-$P$1+1,(YEAR(B2099)-$Q$1)*12-$P$1+1+MONTH(B2099)))</f>
        <v>0</v>
      </c>
      <c r="Q2099" s="280">
        <f t="shared" si="315"/>
        <v>0</v>
      </c>
      <c r="R2099" s="356" t="e">
        <f>#N/A</f>
        <v>#N/A</v>
      </c>
      <c r="S2099" s="269" t="str">
        <f>IF(D2099="","",IF(OR(D2099=Plano!$A$1,D2099=Plano!$B$1),"entrada","saída"))</f>
        <v/>
      </c>
      <c r="T2099" s="269"/>
      <c r="U2099" s="269"/>
      <c r="V2099" s="269"/>
      <c r="W2099" s="269"/>
      <c r="X2099" s="269"/>
      <c r="Y2099" s="269"/>
      <c r="Z2099" s="269"/>
      <c r="AA2099" s="269"/>
      <c r="AB2099" s="269"/>
      <c r="AC2099" s="269"/>
      <c r="AD2099" s="269"/>
      <c r="AE2099" s="269"/>
      <c r="AF2099" s="269"/>
      <c r="AG2099" s="269"/>
      <c r="AH2099" s="269"/>
      <c r="AI2099" s="269"/>
      <c r="AJ2099" s="269"/>
      <c r="AK2099" s="269"/>
      <c r="AL2099" s="269"/>
      <c r="AM2099" s="269"/>
    </row>
    <row r="2100" spans="1:39" ht="12.75" customHeight="1" x14ac:dyDescent="0.2">
      <c r="A2100" s="289" t="str">
        <f>IF(B2100="","",COUNT('Diário 5º PA'!$A$5:$A$2634)+COUNT('Diário 6º PA'!$A$5:$A$2246)+ROW()-4)</f>
        <v/>
      </c>
      <c r="B2100" s="290"/>
      <c r="C2100" s="357"/>
      <c r="D2100" s="291"/>
      <c r="E2100" s="291"/>
      <c r="F2100" s="292"/>
      <c r="G2100" s="291"/>
      <c r="H2100" s="291"/>
      <c r="I2100" s="293"/>
      <c r="J2100" s="291"/>
      <c r="K2100" s="291"/>
      <c r="L2100" s="293"/>
      <c r="M2100" s="291"/>
      <c r="N2100" s="289"/>
      <c r="O2100" s="358"/>
      <c r="P2100" s="280">
        <f t="shared" ref="P2100:Q2100" si="316">IF(B2100=0,0,IF(YEAR(B2100)=$Q$1,MONTH(B2100)-$P$1+1,(YEAR(B2100)-$Q$1)*12-$P$1+1+MONTH(B2100)))</f>
        <v>0</v>
      </c>
      <c r="Q2100" s="280">
        <f t="shared" si="316"/>
        <v>0</v>
      </c>
      <c r="R2100" s="356" t="e">
        <f>#N/A</f>
        <v>#N/A</v>
      </c>
      <c r="S2100" s="269" t="str">
        <f>IF(D2100="","",IF(OR(D2100=Plano!$A$1,D2100=Plano!$B$1),"entrada","saída"))</f>
        <v/>
      </c>
      <c r="T2100" s="269"/>
      <c r="U2100" s="269"/>
      <c r="V2100" s="269"/>
      <c r="W2100" s="269"/>
      <c r="X2100" s="269"/>
      <c r="Y2100" s="269"/>
      <c r="Z2100" s="269"/>
      <c r="AA2100" s="269"/>
      <c r="AB2100" s="269"/>
      <c r="AC2100" s="269"/>
      <c r="AD2100" s="269"/>
      <c r="AE2100" s="269"/>
      <c r="AF2100" s="269"/>
      <c r="AG2100" s="269"/>
      <c r="AH2100" s="269"/>
      <c r="AI2100" s="269"/>
      <c r="AJ2100" s="269"/>
      <c r="AK2100" s="269"/>
      <c r="AL2100" s="269"/>
      <c r="AM2100" s="269"/>
    </row>
    <row r="2101" spans="1:39" ht="12.75" customHeight="1" x14ac:dyDescent="0.2">
      <c r="A2101" s="289" t="str">
        <f>IF(B2101="","",COUNT('Diário 5º PA'!$A$5:$A$2634)+COUNT('Diário 6º PA'!$A$5:$A$2246)+ROW()-4)</f>
        <v/>
      </c>
      <c r="B2101" s="290"/>
      <c r="C2101" s="357"/>
      <c r="D2101" s="291"/>
      <c r="E2101" s="291"/>
      <c r="F2101" s="292"/>
      <c r="G2101" s="291"/>
      <c r="H2101" s="291"/>
      <c r="I2101" s="293"/>
      <c r="J2101" s="291"/>
      <c r="K2101" s="291"/>
      <c r="L2101" s="293"/>
      <c r="M2101" s="291"/>
      <c r="N2101" s="289"/>
      <c r="O2101" s="358"/>
      <c r="P2101" s="280">
        <f t="shared" ref="P2101:Q2101" si="317">IF(B2101=0,0,IF(YEAR(B2101)=$Q$1,MONTH(B2101)-$P$1+1,(YEAR(B2101)-$Q$1)*12-$P$1+1+MONTH(B2101)))</f>
        <v>0</v>
      </c>
      <c r="Q2101" s="280">
        <f t="shared" si="317"/>
        <v>0</v>
      </c>
      <c r="R2101" s="356" t="e">
        <f>#N/A</f>
        <v>#N/A</v>
      </c>
      <c r="S2101" s="269" t="str">
        <f>IF(D2101="","",IF(OR(D2101=Plano!$A$1,D2101=Plano!$B$1),"entrada","saída"))</f>
        <v/>
      </c>
      <c r="T2101" s="269"/>
      <c r="U2101" s="269"/>
      <c r="V2101" s="269"/>
      <c r="W2101" s="269"/>
      <c r="X2101" s="269"/>
      <c r="Y2101" s="269"/>
      <c r="Z2101" s="269"/>
      <c r="AA2101" s="269"/>
      <c r="AB2101" s="269"/>
      <c r="AC2101" s="269"/>
      <c r="AD2101" s="269"/>
      <c r="AE2101" s="269"/>
      <c r="AF2101" s="269"/>
      <c r="AG2101" s="269"/>
      <c r="AH2101" s="269"/>
      <c r="AI2101" s="269"/>
      <c r="AJ2101" s="269"/>
      <c r="AK2101" s="269"/>
      <c r="AL2101" s="269"/>
      <c r="AM2101" s="269"/>
    </row>
    <row r="2102" spans="1:39" ht="12.75" customHeight="1" x14ac:dyDescent="0.2">
      <c r="A2102" s="289" t="str">
        <f>IF(B2102="","",COUNT('Diário 5º PA'!$A$5:$A$2634)+COUNT('Diário 6º PA'!$A$5:$A$2246)+ROW()-4)</f>
        <v/>
      </c>
      <c r="B2102" s="290"/>
      <c r="C2102" s="357"/>
      <c r="D2102" s="291"/>
      <c r="E2102" s="291"/>
      <c r="F2102" s="292"/>
      <c r="G2102" s="291"/>
      <c r="H2102" s="291"/>
      <c r="I2102" s="293"/>
      <c r="J2102" s="291"/>
      <c r="K2102" s="291"/>
      <c r="L2102" s="293"/>
      <c r="M2102" s="291"/>
      <c r="N2102" s="289"/>
      <c r="O2102" s="358"/>
      <c r="P2102" s="280">
        <f t="shared" ref="P2102:Q2102" si="318">IF(B2102=0,0,IF(YEAR(B2102)=$Q$1,MONTH(B2102)-$P$1+1,(YEAR(B2102)-$Q$1)*12-$P$1+1+MONTH(B2102)))</f>
        <v>0</v>
      </c>
      <c r="Q2102" s="280">
        <f t="shared" si="318"/>
        <v>0</v>
      </c>
      <c r="R2102" s="356" t="e">
        <f>#N/A</f>
        <v>#N/A</v>
      </c>
      <c r="S2102" s="269" t="str">
        <f>IF(D2102="","",IF(OR(D2102=Plano!$A$1,D2102=Plano!$B$1),"entrada","saída"))</f>
        <v/>
      </c>
      <c r="T2102" s="269"/>
      <c r="U2102" s="269"/>
      <c r="V2102" s="269"/>
      <c r="W2102" s="269"/>
      <c r="X2102" s="269"/>
      <c r="Y2102" s="269"/>
      <c r="Z2102" s="269"/>
      <c r="AA2102" s="269"/>
      <c r="AB2102" s="269"/>
      <c r="AC2102" s="269"/>
      <c r="AD2102" s="269"/>
      <c r="AE2102" s="269"/>
      <c r="AF2102" s="269"/>
      <c r="AG2102" s="269"/>
      <c r="AH2102" s="269"/>
      <c r="AI2102" s="269"/>
      <c r="AJ2102" s="269"/>
      <c r="AK2102" s="269"/>
      <c r="AL2102" s="269"/>
      <c r="AM2102" s="269"/>
    </row>
    <row r="2103" spans="1:39" ht="12.75" customHeight="1" x14ac:dyDescent="0.2">
      <c r="A2103" s="289" t="str">
        <f>IF(B2103="","",COUNT('Diário 5º PA'!$A$5:$A$2634)+COUNT('Diário 6º PA'!$A$5:$A$2246)+ROW()-4)</f>
        <v/>
      </c>
      <c r="B2103" s="290"/>
      <c r="C2103" s="357"/>
      <c r="D2103" s="291"/>
      <c r="E2103" s="291"/>
      <c r="F2103" s="292"/>
      <c r="G2103" s="291"/>
      <c r="H2103" s="291"/>
      <c r="I2103" s="293"/>
      <c r="J2103" s="291"/>
      <c r="K2103" s="291"/>
      <c r="L2103" s="293"/>
      <c r="M2103" s="291"/>
      <c r="N2103" s="289"/>
      <c r="O2103" s="358"/>
      <c r="P2103" s="280">
        <f t="shared" ref="P2103:Q2103" si="319">IF(B2103=0,0,IF(YEAR(B2103)=$Q$1,MONTH(B2103)-$P$1+1,(YEAR(B2103)-$Q$1)*12-$P$1+1+MONTH(B2103)))</f>
        <v>0</v>
      </c>
      <c r="Q2103" s="280">
        <f t="shared" si="319"/>
        <v>0</v>
      </c>
      <c r="R2103" s="356" t="e">
        <f>#N/A</f>
        <v>#N/A</v>
      </c>
      <c r="S2103" s="269" t="str">
        <f>IF(D2103="","",IF(OR(D2103=Plano!$A$1,D2103=Plano!$B$1),"entrada","saída"))</f>
        <v/>
      </c>
      <c r="T2103" s="269"/>
      <c r="U2103" s="269"/>
      <c r="V2103" s="269"/>
      <c r="W2103" s="269"/>
      <c r="X2103" s="269"/>
      <c r="Y2103" s="269"/>
      <c r="Z2103" s="269"/>
      <c r="AA2103" s="269"/>
      <c r="AB2103" s="269"/>
      <c r="AC2103" s="269"/>
      <c r="AD2103" s="269"/>
      <c r="AE2103" s="269"/>
      <c r="AF2103" s="269"/>
      <c r="AG2103" s="269"/>
      <c r="AH2103" s="269"/>
      <c r="AI2103" s="269"/>
      <c r="AJ2103" s="269"/>
      <c r="AK2103" s="269"/>
      <c r="AL2103" s="269"/>
      <c r="AM2103" s="269"/>
    </row>
    <row r="2104" spans="1:39" ht="12.75" customHeight="1" x14ac:dyDescent="0.2">
      <c r="A2104" s="289" t="str">
        <f>IF(B2104="","",COUNT('Diário 5º PA'!$A$5:$A$2634)+COUNT('Diário 6º PA'!$A$5:$A$2246)+ROW()-4)</f>
        <v/>
      </c>
      <c r="B2104" s="290"/>
      <c r="C2104" s="357"/>
      <c r="D2104" s="291"/>
      <c r="E2104" s="291"/>
      <c r="F2104" s="292"/>
      <c r="G2104" s="291"/>
      <c r="H2104" s="291"/>
      <c r="I2104" s="293"/>
      <c r="J2104" s="291"/>
      <c r="K2104" s="291"/>
      <c r="L2104" s="293"/>
      <c r="M2104" s="291"/>
      <c r="N2104" s="289"/>
      <c r="O2104" s="358"/>
      <c r="P2104" s="280">
        <f t="shared" ref="P2104:Q2104" si="320">IF(B2104=0,0,IF(YEAR(B2104)=$Q$1,MONTH(B2104)-$P$1+1,(YEAR(B2104)-$Q$1)*12-$P$1+1+MONTH(B2104)))</f>
        <v>0</v>
      </c>
      <c r="Q2104" s="280">
        <f t="shared" si="320"/>
        <v>0</v>
      </c>
      <c r="R2104" s="356" t="e">
        <f>#N/A</f>
        <v>#N/A</v>
      </c>
      <c r="S2104" s="269" t="str">
        <f>IF(D2104="","",IF(OR(D2104=Plano!$A$1,D2104=Plano!$B$1),"entrada","saída"))</f>
        <v/>
      </c>
      <c r="T2104" s="269"/>
      <c r="U2104" s="269"/>
      <c r="V2104" s="269"/>
      <c r="W2104" s="269"/>
      <c r="X2104" s="269"/>
      <c r="Y2104" s="269"/>
      <c r="Z2104" s="269"/>
      <c r="AA2104" s="269"/>
      <c r="AB2104" s="269"/>
      <c r="AC2104" s="269"/>
      <c r="AD2104" s="269"/>
      <c r="AE2104" s="269"/>
      <c r="AF2104" s="269"/>
      <c r="AG2104" s="269"/>
      <c r="AH2104" s="269"/>
      <c r="AI2104" s="269"/>
      <c r="AJ2104" s="269"/>
      <c r="AK2104" s="269"/>
      <c r="AL2104" s="269"/>
      <c r="AM2104" s="269"/>
    </row>
    <row r="2105" spans="1:39" ht="12.75" customHeight="1" x14ac:dyDescent="0.2">
      <c r="A2105" s="289" t="str">
        <f>IF(B2105="","",COUNT('Diário 5º PA'!$A$5:$A$2634)+COUNT('Diário 6º PA'!$A$5:$A$2246)+ROW()-4)</f>
        <v/>
      </c>
      <c r="B2105" s="290"/>
      <c r="C2105" s="357"/>
      <c r="D2105" s="291"/>
      <c r="E2105" s="291"/>
      <c r="F2105" s="292"/>
      <c r="G2105" s="291"/>
      <c r="H2105" s="291"/>
      <c r="I2105" s="293"/>
      <c r="J2105" s="291"/>
      <c r="K2105" s="291"/>
      <c r="L2105" s="293"/>
      <c r="M2105" s="291"/>
      <c r="N2105" s="289"/>
      <c r="O2105" s="358"/>
      <c r="P2105" s="280">
        <f t="shared" ref="P2105:Q2105" si="321">IF(B2105=0,0,IF(YEAR(B2105)=$Q$1,MONTH(B2105)-$P$1+1,(YEAR(B2105)-$Q$1)*12-$P$1+1+MONTH(B2105)))</f>
        <v>0</v>
      </c>
      <c r="Q2105" s="280">
        <f t="shared" si="321"/>
        <v>0</v>
      </c>
      <c r="R2105" s="356" t="e">
        <f>#N/A</f>
        <v>#N/A</v>
      </c>
      <c r="S2105" s="269" t="str">
        <f>IF(D2105="","",IF(OR(D2105=Plano!$A$1,D2105=Plano!$B$1),"entrada","saída"))</f>
        <v/>
      </c>
      <c r="T2105" s="269"/>
      <c r="U2105" s="269"/>
      <c r="V2105" s="269"/>
      <c r="W2105" s="269"/>
      <c r="X2105" s="269"/>
      <c r="Y2105" s="269"/>
      <c r="Z2105" s="269"/>
      <c r="AA2105" s="269"/>
      <c r="AB2105" s="269"/>
      <c r="AC2105" s="269"/>
      <c r="AD2105" s="269"/>
      <c r="AE2105" s="269"/>
      <c r="AF2105" s="269"/>
      <c r="AG2105" s="269"/>
      <c r="AH2105" s="269"/>
      <c r="AI2105" s="269"/>
      <c r="AJ2105" s="269"/>
      <c r="AK2105" s="269"/>
      <c r="AL2105" s="269"/>
      <c r="AM2105" s="269"/>
    </row>
    <row r="2106" spans="1:39" ht="12.75" customHeight="1" x14ac:dyDescent="0.2">
      <c r="A2106" s="289" t="str">
        <f>IF(B2106="","",COUNT('Diário 5º PA'!$A$5:$A$2634)+COUNT('Diário 6º PA'!$A$5:$A$2246)+ROW()-4)</f>
        <v/>
      </c>
      <c r="B2106" s="290"/>
      <c r="C2106" s="357"/>
      <c r="D2106" s="291"/>
      <c r="E2106" s="291"/>
      <c r="F2106" s="292"/>
      <c r="G2106" s="291"/>
      <c r="H2106" s="291"/>
      <c r="I2106" s="293"/>
      <c r="J2106" s="291"/>
      <c r="K2106" s="291"/>
      <c r="L2106" s="293"/>
      <c r="M2106" s="291"/>
      <c r="N2106" s="289"/>
      <c r="O2106" s="358"/>
      <c r="P2106" s="280">
        <f t="shared" ref="P2106:Q2106" si="322">IF(B2106=0,0,IF(YEAR(B2106)=$Q$1,MONTH(B2106)-$P$1+1,(YEAR(B2106)-$Q$1)*12-$P$1+1+MONTH(B2106)))</f>
        <v>0</v>
      </c>
      <c r="Q2106" s="280">
        <f t="shared" si="322"/>
        <v>0</v>
      </c>
      <c r="R2106" s="356" t="e">
        <f>#N/A</f>
        <v>#N/A</v>
      </c>
      <c r="S2106" s="269" t="str">
        <f>IF(D2106="","",IF(OR(D2106=Plano!$A$1,D2106=Plano!$B$1),"entrada","saída"))</f>
        <v/>
      </c>
      <c r="T2106" s="269"/>
      <c r="U2106" s="269"/>
      <c r="V2106" s="269"/>
      <c r="W2106" s="269"/>
      <c r="X2106" s="269"/>
      <c r="Y2106" s="269"/>
      <c r="Z2106" s="269"/>
      <c r="AA2106" s="269"/>
      <c r="AB2106" s="269"/>
      <c r="AC2106" s="269"/>
      <c r="AD2106" s="269"/>
      <c r="AE2106" s="269"/>
      <c r="AF2106" s="269"/>
      <c r="AG2106" s="269"/>
      <c r="AH2106" s="269"/>
      <c r="AI2106" s="269"/>
      <c r="AJ2106" s="269"/>
      <c r="AK2106" s="269"/>
      <c r="AL2106" s="269"/>
      <c r="AM2106" s="269"/>
    </row>
    <row r="2107" spans="1:39" ht="12.75" customHeight="1" x14ac:dyDescent="0.2">
      <c r="A2107" s="289" t="str">
        <f>IF(B2107="","",COUNT('Diário 5º PA'!$A$5:$A$2634)+COUNT('Diário 6º PA'!$A$5:$A$2246)+ROW()-4)</f>
        <v/>
      </c>
      <c r="B2107" s="290"/>
      <c r="C2107" s="357"/>
      <c r="D2107" s="291"/>
      <c r="E2107" s="291"/>
      <c r="F2107" s="292"/>
      <c r="G2107" s="291"/>
      <c r="H2107" s="291"/>
      <c r="I2107" s="293"/>
      <c r="J2107" s="291"/>
      <c r="K2107" s="291"/>
      <c r="L2107" s="293"/>
      <c r="M2107" s="291"/>
      <c r="N2107" s="289"/>
      <c r="O2107" s="358"/>
      <c r="P2107" s="280">
        <f t="shared" ref="P2107:Q2107" si="323">IF(B2107=0,0,IF(YEAR(B2107)=$Q$1,MONTH(B2107)-$P$1+1,(YEAR(B2107)-$Q$1)*12-$P$1+1+MONTH(B2107)))</f>
        <v>0</v>
      </c>
      <c r="Q2107" s="280">
        <f t="shared" si="323"/>
        <v>0</v>
      </c>
      <c r="R2107" s="356" t="e">
        <f>#N/A</f>
        <v>#N/A</v>
      </c>
      <c r="S2107" s="269" t="str">
        <f>IF(D2107="","",IF(OR(D2107=Plano!$A$1,D2107=Plano!$B$1),"entrada","saída"))</f>
        <v/>
      </c>
      <c r="T2107" s="269"/>
      <c r="U2107" s="269"/>
      <c r="V2107" s="269"/>
      <c r="W2107" s="269"/>
      <c r="X2107" s="269"/>
      <c r="Y2107" s="269"/>
      <c r="Z2107" s="269"/>
      <c r="AA2107" s="269"/>
      <c r="AB2107" s="269"/>
      <c r="AC2107" s="269"/>
      <c r="AD2107" s="269"/>
      <c r="AE2107" s="269"/>
      <c r="AF2107" s="269"/>
      <c r="AG2107" s="269"/>
      <c r="AH2107" s="269"/>
      <c r="AI2107" s="269"/>
      <c r="AJ2107" s="269"/>
      <c r="AK2107" s="269"/>
      <c r="AL2107" s="269"/>
      <c r="AM2107" s="269"/>
    </row>
    <row r="2108" spans="1:39" ht="12.75" customHeight="1" x14ac:dyDescent="0.2">
      <c r="A2108" s="289" t="str">
        <f>IF(B2108="","",COUNT('Diário 5º PA'!$A$5:$A$2634)+COUNT('Diário 6º PA'!$A$5:$A$2246)+ROW()-4)</f>
        <v/>
      </c>
      <c r="B2108" s="290"/>
      <c r="C2108" s="357"/>
      <c r="D2108" s="291"/>
      <c r="E2108" s="291"/>
      <c r="F2108" s="292"/>
      <c r="G2108" s="291"/>
      <c r="H2108" s="291"/>
      <c r="I2108" s="293"/>
      <c r="J2108" s="291"/>
      <c r="K2108" s="291"/>
      <c r="L2108" s="293"/>
      <c r="M2108" s="291"/>
      <c r="N2108" s="289"/>
      <c r="O2108" s="358"/>
      <c r="P2108" s="280">
        <f t="shared" ref="P2108:Q2108" si="324">IF(B2108=0,0,IF(YEAR(B2108)=$Q$1,MONTH(B2108)-$P$1+1,(YEAR(B2108)-$Q$1)*12-$P$1+1+MONTH(B2108)))</f>
        <v>0</v>
      </c>
      <c r="Q2108" s="280">
        <f t="shared" si="324"/>
        <v>0</v>
      </c>
      <c r="R2108" s="356" t="e">
        <f>#N/A</f>
        <v>#N/A</v>
      </c>
      <c r="S2108" s="269" t="str">
        <f>IF(D2108="","",IF(OR(D2108=Plano!$A$1,D2108=Plano!$B$1),"entrada","saída"))</f>
        <v/>
      </c>
      <c r="T2108" s="269"/>
      <c r="U2108" s="269"/>
      <c r="V2108" s="269"/>
      <c r="W2108" s="269"/>
      <c r="X2108" s="269"/>
      <c r="Y2108" s="269"/>
      <c r="Z2108" s="269"/>
      <c r="AA2108" s="269"/>
      <c r="AB2108" s="269"/>
      <c r="AC2108" s="269"/>
      <c r="AD2108" s="269"/>
      <c r="AE2108" s="269"/>
      <c r="AF2108" s="269"/>
      <c r="AG2108" s="269"/>
      <c r="AH2108" s="269"/>
      <c r="AI2108" s="269"/>
      <c r="AJ2108" s="269"/>
      <c r="AK2108" s="269"/>
      <c r="AL2108" s="269"/>
      <c r="AM2108" s="269"/>
    </row>
    <row r="2109" spans="1:39" ht="12.75" customHeight="1" x14ac:dyDescent="0.2">
      <c r="A2109" s="289" t="str">
        <f>IF(B2109="","",COUNT('Diário 5º PA'!$A$5:$A$2634)+COUNT('Diário 6º PA'!$A$5:$A$2246)+ROW()-4)</f>
        <v/>
      </c>
      <c r="B2109" s="290"/>
      <c r="C2109" s="357"/>
      <c r="D2109" s="291"/>
      <c r="E2109" s="291"/>
      <c r="F2109" s="292"/>
      <c r="G2109" s="291"/>
      <c r="H2109" s="291"/>
      <c r="I2109" s="293"/>
      <c r="J2109" s="291"/>
      <c r="K2109" s="291"/>
      <c r="L2109" s="293"/>
      <c r="M2109" s="291"/>
      <c r="N2109" s="289"/>
      <c r="O2109" s="358"/>
      <c r="P2109" s="280">
        <f t="shared" ref="P2109:Q2109" si="325">IF(B2109=0,0,IF(YEAR(B2109)=$Q$1,MONTH(B2109)-$P$1+1,(YEAR(B2109)-$Q$1)*12-$P$1+1+MONTH(B2109)))</f>
        <v>0</v>
      </c>
      <c r="Q2109" s="280">
        <f t="shared" si="325"/>
        <v>0</v>
      </c>
      <c r="R2109" s="356" t="e">
        <f>#N/A</f>
        <v>#N/A</v>
      </c>
      <c r="S2109" s="269" t="str">
        <f>IF(D2109="","",IF(OR(D2109=Plano!$A$1,D2109=Plano!$B$1),"entrada","saída"))</f>
        <v/>
      </c>
      <c r="T2109" s="269"/>
      <c r="U2109" s="269"/>
      <c r="V2109" s="269"/>
      <c r="W2109" s="269"/>
      <c r="X2109" s="269"/>
      <c r="Y2109" s="269"/>
      <c r="Z2109" s="269"/>
      <c r="AA2109" s="269"/>
      <c r="AB2109" s="269"/>
      <c r="AC2109" s="269"/>
      <c r="AD2109" s="269"/>
      <c r="AE2109" s="269"/>
      <c r="AF2109" s="269"/>
      <c r="AG2109" s="269"/>
      <c r="AH2109" s="269"/>
      <c r="AI2109" s="269"/>
      <c r="AJ2109" s="269"/>
      <c r="AK2109" s="269"/>
      <c r="AL2109" s="269"/>
      <c r="AM2109" s="269"/>
    </row>
    <row r="2110" spans="1:39" ht="12.75" customHeight="1" x14ac:dyDescent="0.2">
      <c r="A2110" s="289" t="str">
        <f>IF(B2110="","",COUNT('Diário 5º PA'!$A$5:$A$2634)+COUNT('Diário 6º PA'!$A$5:$A$2246)+ROW()-4)</f>
        <v/>
      </c>
      <c r="B2110" s="290"/>
      <c r="C2110" s="357"/>
      <c r="D2110" s="291"/>
      <c r="E2110" s="291"/>
      <c r="F2110" s="292"/>
      <c r="G2110" s="291"/>
      <c r="H2110" s="291"/>
      <c r="I2110" s="293"/>
      <c r="J2110" s="291"/>
      <c r="K2110" s="291"/>
      <c r="L2110" s="293"/>
      <c r="M2110" s="291"/>
      <c r="N2110" s="289"/>
      <c r="O2110" s="358"/>
      <c r="P2110" s="280">
        <f t="shared" ref="P2110:Q2110" si="326">IF(B2110=0,0,IF(YEAR(B2110)=$Q$1,MONTH(B2110)-$P$1+1,(YEAR(B2110)-$Q$1)*12-$P$1+1+MONTH(B2110)))</f>
        <v>0</v>
      </c>
      <c r="Q2110" s="280">
        <f t="shared" si="326"/>
        <v>0</v>
      </c>
      <c r="R2110" s="356" t="e">
        <f>#N/A</f>
        <v>#N/A</v>
      </c>
      <c r="S2110" s="269" t="str">
        <f>IF(D2110="","",IF(OR(D2110=Plano!$A$1,D2110=Plano!$B$1),"entrada","saída"))</f>
        <v/>
      </c>
      <c r="T2110" s="269"/>
      <c r="U2110" s="269"/>
      <c r="V2110" s="269"/>
      <c r="W2110" s="269"/>
      <c r="X2110" s="269"/>
      <c r="Y2110" s="269"/>
      <c r="Z2110" s="269"/>
      <c r="AA2110" s="269"/>
      <c r="AB2110" s="269"/>
      <c r="AC2110" s="269"/>
      <c r="AD2110" s="269"/>
      <c r="AE2110" s="269"/>
      <c r="AF2110" s="269"/>
      <c r="AG2110" s="269"/>
      <c r="AH2110" s="269"/>
      <c r="AI2110" s="269"/>
      <c r="AJ2110" s="269"/>
      <c r="AK2110" s="269"/>
      <c r="AL2110" s="269"/>
      <c r="AM2110" s="269"/>
    </row>
    <row r="2111" spans="1:39" ht="12.75" customHeight="1" x14ac:dyDescent="0.2">
      <c r="A2111" s="289" t="str">
        <f>IF(B2111="","",COUNT('Diário 5º PA'!$A$5:$A$2634)+COUNT('Diário 6º PA'!$A$5:$A$2246)+ROW()-4)</f>
        <v/>
      </c>
      <c r="B2111" s="290"/>
      <c r="C2111" s="357"/>
      <c r="D2111" s="291"/>
      <c r="E2111" s="291"/>
      <c r="F2111" s="292"/>
      <c r="G2111" s="291"/>
      <c r="H2111" s="291"/>
      <c r="I2111" s="293"/>
      <c r="J2111" s="291"/>
      <c r="K2111" s="291"/>
      <c r="L2111" s="293"/>
      <c r="M2111" s="291"/>
      <c r="N2111" s="289"/>
      <c r="O2111" s="358"/>
      <c r="P2111" s="280">
        <f t="shared" ref="P2111:Q2111" si="327">IF(B2111=0,0,IF(YEAR(B2111)=$Q$1,MONTH(B2111)-$P$1+1,(YEAR(B2111)-$Q$1)*12-$P$1+1+MONTH(B2111)))</f>
        <v>0</v>
      </c>
      <c r="Q2111" s="280">
        <f t="shared" si="327"/>
        <v>0</v>
      </c>
      <c r="R2111" s="356" t="e">
        <f>#N/A</f>
        <v>#N/A</v>
      </c>
      <c r="S2111" s="269" t="str">
        <f>IF(D2111="","",IF(OR(D2111=Plano!$A$1,D2111=Plano!$B$1),"entrada","saída"))</f>
        <v/>
      </c>
      <c r="T2111" s="269"/>
      <c r="U2111" s="269"/>
      <c r="V2111" s="269"/>
      <c r="W2111" s="269"/>
      <c r="X2111" s="269"/>
      <c r="Y2111" s="269"/>
      <c r="Z2111" s="269"/>
      <c r="AA2111" s="269"/>
      <c r="AB2111" s="269"/>
      <c r="AC2111" s="269"/>
      <c r="AD2111" s="269"/>
      <c r="AE2111" s="269"/>
      <c r="AF2111" s="269"/>
      <c r="AG2111" s="269"/>
      <c r="AH2111" s="269"/>
      <c r="AI2111" s="269"/>
      <c r="AJ2111" s="269"/>
      <c r="AK2111" s="269"/>
      <c r="AL2111" s="269"/>
      <c r="AM2111" s="269"/>
    </row>
    <row r="2112" spans="1:39" ht="12.75" customHeight="1" x14ac:dyDescent="0.2">
      <c r="A2112" s="289" t="str">
        <f>IF(B2112="","",COUNT('Diário 5º PA'!$A$5:$A$2634)+COUNT('Diário 6º PA'!$A$5:$A$2246)+ROW()-4)</f>
        <v/>
      </c>
      <c r="B2112" s="290"/>
      <c r="C2112" s="357"/>
      <c r="D2112" s="291"/>
      <c r="E2112" s="291"/>
      <c r="F2112" s="292"/>
      <c r="G2112" s="291"/>
      <c r="H2112" s="291"/>
      <c r="I2112" s="293"/>
      <c r="J2112" s="291"/>
      <c r="K2112" s="291"/>
      <c r="L2112" s="293"/>
      <c r="M2112" s="291"/>
      <c r="N2112" s="289"/>
      <c r="O2112" s="358"/>
      <c r="P2112" s="280">
        <f t="shared" ref="P2112:Q2112" si="328">IF(B2112=0,0,IF(YEAR(B2112)=$Q$1,MONTH(B2112)-$P$1+1,(YEAR(B2112)-$Q$1)*12-$P$1+1+MONTH(B2112)))</f>
        <v>0</v>
      </c>
      <c r="Q2112" s="280">
        <f t="shared" si="328"/>
        <v>0</v>
      </c>
      <c r="R2112" s="356" t="e">
        <f>#N/A</f>
        <v>#N/A</v>
      </c>
      <c r="S2112" s="269" t="str">
        <f>IF(D2112="","",IF(OR(D2112=Plano!$A$1,D2112=Plano!$B$1),"entrada","saída"))</f>
        <v/>
      </c>
      <c r="T2112" s="269"/>
      <c r="U2112" s="269"/>
      <c r="V2112" s="269"/>
      <c r="W2112" s="269"/>
      <c r="X2112" s="269"/>
      <c r="Y2112" s="269"/>
      <c r="Z2112" s="269"/>
      <c r="AA2112" s="269"/>
      <c r="AB2112" s="269"/>
      <c r="AC2112" s="269"/>
      <c r="AD2112" s="269"/>
      <c r="AE2112" s="269"/>
      <c r="AF2112" s="269"/>
      <c r="AG2112" s="269"/>
      <c r="AH2112" s="269"/>
      <c r="AI2112" s="269"/>
      <c r="AJ2112" s="269"/>
      <c r="AK2112" s="269"/>
      <c r="AL2112" s="269"/>
      <c r="AM2112" s="269"/>
    </row>
    <row r="2113" spans="1:39" ht="12.75" customHeight="1" x14ac:dyDescent="0.2">
      <c r="A2113" s="289" t="str">
        <f>IF(B2113="","",COUNT('Diário 5º PA'!$A$5:$A$2634)+COUNT('Diário 6º PA'!$A$5:$A$2246)+ROW()-4)</f>
        <v/>
      </c>
      <c r="B2113" s="290"/>
      <c r="C2113" s="357"/>
      <c r="D2113" s="291"/>
      <c r="E2113" s="291"/>
      <c r="F2113" s="292"/>
      <c r="G2113" s="291"/>
      <c r="H2113" s="291"/>
      <c r="I2113" s="293"/>
      <c r="J2113" s="291"/>
      <c r="K2113" s="291"/>
      <c r="L2113" s="293"/>
      <c r="M2113" s="291"/>
      <c r="N2113" s="289"/>
      <c r="O2113" s="358"/>
      <c r="P2113" s="280">
        <f t="shared" ref="P2113:Q2113" si="329">IF(B2113=0,0,IF(YEAR(B2113)=$Q$1,MONTH(B2113)-$P$1+1,(YEAR(B2113)-$Q$1)*12-$P$1+1+MONTH(B2113)))</f>
        <v>0</v>
      </c>
      <c r="Q2113" s="280">
        <f t="shared" si="329"/>
        <v>0</v>
      </c>
      <c r="R2113" s="356" t="e">
        <f>#N/A</f>
        <v>#N/A</v>
      </c>
      <c r="S2113" s="269" t="str">
        <f>IF(D2113="","",IF(OR(D2113=Plano!$A$1,D2113=Plano!$B$1),"entrada","saída"))</f>
        <v/>
      </c>
      <c r="T2113" s="269"/>
      <c r="U2113" s="269"/>
      <c r="V2113" s="269"/>
      <c r="W2113" s="269"/>
      <c r="X2113" s="269"/>
      <c r="Y2113" s="269"/>
      <c r="Z2113" s="269"/>
      <c r="AA2113" s="269"/>
      <c r="AB2113" s="269"/>
      <c r="AC2113" s="269"/>
      <c r="AD2113" s="269"/>
      <c r="AE2113" s="269"/>
      <c r="AF2113" s="269"/>
      <c r="AG2113" s="269"/>
      <c r="AH2113" s="269"/>
      <c r="AI2113" s="269"/>
      <c r="AJ2113" s="269"/>
      <c r="AK2113" s="269"/>
      <c r="AL2113" s="269"/>
      <c r="AM2113" s="269"/>
    </row>
    <row r="2114" spans="1:39" ht="12.75" customHeight="1" x14ac:dyDescent="0.2">
      <c r="A2114" s="289" t="str">
        <f>IF(B2114="","",COUNT('Diário 5º PA'!$A$5:$A$2634)+COUNT('Diário 6º PA'!$A$5:$A$2246)+ROW()-4)</f>
        <v/>
      </c>
      <c r="B2114" s="290"/>
      <c r="C2114" s="357"/>
      <c r="D2114" s="291"/>
      <c r="E2114" s="291"/>
      <c r="F2114" s="292"/>
      <c r="G2114" s="291"/>
      <c r="H2114" s="291"/>
      <c r="I2114" s="293"/>
      <c r="J2114" s="291"/>
      <c r="K2114" s="291"/>
      <c r="L2114" s="293"/>
      <c r="M2114" s="291"/>
      <c r="N2114" s="289"/>
      <c r="O2114" s="358"/>
      <c r="P2114" s="280">
        <f t="shared" ref="P2114:Q2114" si="330">IF(B2114=0,0,IF(YEAR(B2114)=$Q$1,MONTH(B2114)-$P$1+1,(YEAR(B2114)-$Q$1)*12-$P$1+1+MONTH(B2114)))</f>
        <v>0</v>
      </c>
      <c r="Q2114" s="280">
        <f t="shared" si="330"/>
        <v>0</v>
      </c>
      <c r="R2114" s="356" t="e">
        <f>#N/A</f>
        <v>#N/A</v>
      </c>
      <c r="S2114" s="269" t="str">
        <f>IF(D2114="","",IF(OR(D2114=Plano!$A$1,D2114=Plano!$B$1),"entrada","saída"))</f>
        <v/>
      </c>
      <c r="T2114" s="269"/>
      <c r="U2114" s="269"/>
      <c r="V2114" s="269"/>
      <c r="W2114" s="269"/>
      <c r="X2114" s="269"/>
      <c r="Y2114" s="269"/>
      <c r="Z2114" s="269"/>
      <c r="AA2114" s="269"/>
      <c r="AB2114" s="269"/>
      <c r="AC2114" s="269"/>
      <c r="AD2114" s="269"/>
      <c r="AE2114" s="269"/>
      <c r="AF2114" s="269"/>
      <c r="AG2114" s="269"/>
      <c r="AH2114" s="269"/>
      <c r="AI2114" s="269"/>
      <c r="AJ2114" s="269"/>
      <c r="AK2114" s="269"/>
      <c r="AL2114" s="269"/>
      <c r="AM2114" s="269"/>
    </row>
    <row r="2115" spans="1:39" ht="12.75" customHeight="1" x14ac:dyDescent="0.2">
      <c r="A2115" s="289" t="str">
        <f>IF(B2115="","",COUNT('Diário 5º PA'!$A$5:$A$2634)+COUNT('Diário 6º PA'!$A$5:$A$2246)+ROW()-4)</f>
        <v/>
      </c>
      <c r="B2115" s="290"/>
      <c r="C2115" s="357"/>
      <c r="D2115" s="291"/>
      <c r="E2115" s="291"/>
      <c r="F2115" s="292"/>
      <c r="G2115" s="291"/>
      <c r="H2115" s="291"/>
      <c r="I2115" s="293"/>
      <c r="J2115" s="291"/>
      <c r="K2115" s="291"/>
      <c r="L2115" s="293"/>
      <c r="M2115" s="291"/>
      <c r="N2115" s="289"/>
      <c r="O2115" s="358"/>
      <c r="P2115" s="280">
        <f t="shared" ref="P2115:Q2115" si="331">IF(B2115=0,0,IF(YEAR(B2115)=$Q$1,MONTH(B2115)-$P$1+1,(YEAR(B2115)-$Q$1)*12-$P$1+1+MONTH(B2115)))</f>
        <v>0</v>
      </c>
      <c r="Q2115" s="280">
        <f t="shared" si="331"/>
        <v>0</v>
      </c>
      <c r="R2115" s="356" t="e">
        <f>#N/A</f>
        <v>#N/A</v>
      </c>
      <c r="S2115" s="269" t="str">
        <f>IF(D2115="","",IF(OR(D2115=Plano!$A$1,D2115=Plano!$B$1),"entrada","saída"))</f>
        <v/>
      </c>
      <c r="T2115" s="269"/>
      <c r="U2115" s="269"/>
      <c r="V2115" s="269"/>
      <c r="W2115" s="269"/>
      <c r="X2115" s="269"/>
      <c r="Y2115" s="269"/>
      <c r="Z2115" s="269"/>
      <c r="AA2115" s="269"/>
      <c r="AB2115" s="269"/>
      <c r="AC2115" s="269"/>
      <c r="AD2115" s="269"/>
      <c r="AE2115" s="269"/>
      <c r="AF2115" s="269"/>
      <c r="AG2115" s="269"/>
      <c r="AH2115" s="269"/>
      <c r="AI2115" s="269"/>
      <c r="AJ2115" s="269"/>
      <c r="AK2115" s="269"/>
      <c r="AL2115" s="269"/>
      <c r="AM2115" s="269"/>
    </row>
    <row r="2116" spans="1:39" ht="12.75" customHeight="1" x14ac:dyDescent="0.2">
      <c r="A2116" s="289" t="str">
        <f>IF(B2116="","",COUNT('Diário 5º PA'!$A$5:$A$2634)+COUNT('Diário 6º PA'!$A$5:$A$2246)+ROW()-4)</f>
        <v/>
      </c>
      <c r="B2116" s="290"/>
      <c r="C2116" s="357"/>
      <c r="D2116" s="291"/>
      <c r="E2116" s="291"/>
      <c r="F2116" s="292"/>
      <c r="G2116" s="291"/>
      <c r="H2116" s="291"/>
      <c r="I2116" s="293"/>
      <c r="J2116" s="291"/>
      <c r="K2116" s="291"/>
      <c r="L2116" s="293"/>
      <c r="M2116" s="291"/>
      <c r="N2116" s="289"/>
      <c r="O2116" s="358"/>
      <c r="P2116" s="280">
        <f t="shared" ref="P2116:Q2116" si="332">IF(B2116=0,0,IF(YEAR(B2116)=$Q$1,MONTH(B2116)-$P$1+1,(YEAR(B2116)-$Q$1)*12-$P$1+1+MONTH(B2116)))</f>
        <v>0</v>
      </c>
      <c r="Q2116" s="280">
        <f t="shared" si="332"/>
        <v>0</v>
      </c>
      <c r="R2116" s="356" t="e">
        <f>#N/A</f>
        <v>#N/A</v>
      </c>
      <c r="S2116" s="269" t="str">
        <f>IF(D2116="","",IF(OR(D2116=Plano!$A$1,D2116=Plano!$B$1),"entrada","saída"))</f>
        <v/>
      </c>
      <c r="T2116" s="269"/>
      <c r="U2116" s="269"/>
      <c r="V2116" s="269"/>
      <c r="W2116" s="269"/>
      <c r="X2116" s="269"/>
      <c r="Y2116" s="269"/>
      <c r="Z2116" s="269"/>
      <c r="AA2116" s="269"/>
      <c r="AB2116" s="269"/>
      <c r="AC2116" s="269"/>
      <c r="AD2116" s="269"/>
      <c r="AE2116" s="269"/>
      <c r="AF2116" s="269"/>
      <c r="AG2116" s="269"/>
      <c r="AH2116" s="269"/>
      <c r="AI2116" s="269"/>
      <c r="AJ2116" s="269"/>
      <c r="AK2116" s="269"/>
      <c r="AL2116" s="269"/>
      <c r="AM2116" s="269"/>
    </row>
    <row r="2117" spans="1:39" ht="12.75" customHeight="1" x14ac:dyDescent="0.2">
      <c r="A2117" s="289" t="str">
        <f>IF(B2117="","",COUNT('Diário 5º PA'!$A$5:$A$2634)+COUNT('Diário 6º PA'!$A$5:$A$2246)+ROW()-4)</f>
        <v/>
      </c>
      <c r="B2117" s="290"/>
      <c r="C2117" s="357"/>
      <c r="D2117" s="291"/>
      <c r="E2117" s="291"/>
      <c r="F2117" s="292"/>
      <c r="G2117" s="291"/>
      <c r="H2117" s="291"/>
      <c r="I2117" s="293"/>
      <c r="J2117" s="291"/>
      <c r="K2117" s="291"/>
      <c r="L2117" s="293"/>
      <c r="M2117" s="291"/>
      <c r="N2117" s="289"/>
      <c r="O2117" s="358"/>
      <c r="P2117" s="280">
        <f t="shared" ref="P2117:Q2117" si="333">IF(B2117=0,0,IF(YEAR(B2117)=$Q$1,MONTH(B2117)-$P$1+1,(YEAR(B2117)-$Q$1)*12-$P$1+1+MONTH(B2117)))</f>
        <v>0</v>
      </c>
      <c r="Q2117" s="280">
        <f t="shared" si="333"/>
        <v>0</v>
      </c>
      <c r="R2117" s="356" t="e">
        <f>#N/A</f>
        <v>#N/A</v>
      </c>
      <c r="S2117" s="269" t="str">
        <f>IF(D2117="","",IF(OR(D2117=Plano!$A$1,D2117=Plano!$B$1),"entrada","saída"))</f>
        <v/>
      </c>
      <c r="T2117" s="269"/>
      <c r="U2117" s="269"/>
      <c r="V2117" s="269"/>
      <c r="W2117" s="269"/>
      <c r="X2117" s="269"/>
      <c r="Y2117" s="269"/>
      <c r="Z2117" s="269"/>
      <c r="AA2117" s="269"/>
      <c r="AB2117" s="269"/>
      <c r="AC2117" s="269"/>
      <c r="AD2117" s="269"/>
      <c r="AE2117" s="269"/>
      <c r="AF2117" s="269"/>
      <c r="AG2117" s="269"/>
      <c r="AH2117" s="269"/>
      <c r="AI2117" s="269"/>
      <c r="AJ2117" s="269"/>
      <c r="AK2117" s="269"/>
      <c r="AL2117" s="269"/>
      <c r="AM2117" s="269"/>
    </row>
    <row r="2118" spans="1:39" ht="12.75" customHeight="1" x14ac:dyDescent="0.2">
      <c r="A2118" s="289" t="str">
        <f>IF(B2118="","",COUNT('Diário 5º PA'!$A$5:$A$2634)+COUNT('Diário 6º PA'!$A$5:$A$2246)+ROW()-4)</f>
        <v/>
      </c>
      <c r="B2118" s="290"/>
      <c r="C2118" s="357"/>
      <c r="D2118" s="291"/>
      <c r="E2118" s="291"/>
      <c r="F2118" s="292"/>
      <c r="G2118" s="291"/>
      <c r="H2118" s="291"/>
      <c r="I2118" s="293"/>
      <c r="J2118" s="291"/>
      <c r="K2118" s="291"/>
      <c r="L2118" s="293"/>
      <c r="M2118" s="291"/>
      <c r="N2118" s="289"/>
      <c r="O2118" s="358"/>
      <c r="P2118" s="280">
        <f t="shared" ref="P2118:Q2118" si="334">IF(B2118=0,0,IF(YEAR(B2118)=$Q$1,MONTH(B2118)-$P$1+1,(YEAR(B2118)-$Q$1)*12-$P$1+1+MONTH(B2118)))</f>
        <v>0</v>
      </c>
      <c r="Q2118" s="280">
        <f t="shared" si="334"/>
        <v>0</v>
      </c>
      <c r="R2118" s="356" t="e">
        <f>#N/A</f>
        <v>#N/A</v>
      </c>
      <c r="S2118" s="269" t="str">
        <f>IF(D2118="","",IF(OR(D2118=Plano!$A$1,D2118=Plano!$B$1),"entrada","saída"))</f>
        <v/>
      </c>
      <c r="T2118" s="269"/>
      <c r="U2118" s="269"/>
      <c r="V2118" s="269"/>
      <c r="W2118" s="269"/>
      <c r="X2118" s="269"/>
      <c r="Y2118" s="269"/>
      <c r="Z2118" s="269"/>
      <c r="AA2118" s="269"/>
      <c r="AB2118" s="269"/>
      <c r="AC2118" s="269"/>
      <c r="AD2118" s="269"/>
      <c r="AE2118" s="269"/>
      <c r="AF2118" s="269"/>
      <c r="AG2118" s="269"/>
      <c r="AH2118" s="269"/>
      <c r="AI2118" s="269"/>
      <c r="AJ2118" s="269"/>
      <c r="AK2118" s="269"/>
      <c r="AL2118" s="269"/>
      <c r="AM2118" s="269"/>
    </row>
    <row r="2119" spans="1:39" ht="12.75" customHeight="1" x14ac:dyDescent="0.2">
      <c r="A2119" s="289" t="str">
        <f>IF(B2119="","",COUNT('Diário 5º PA'!$A$5:$A$2634)+COUNT('Diário 6º PA'!$A$5:$A$2246)+ROW()-4)</f>
        <v/>
      </c>
      <c r="B2119" s="290"/>
      <c r="C2119" s="357"/>
      <c r="D2119" s="291"/>
      <c r="E2119" s="291"/>
      <c r="F2119" s="292"/>
      <c r="G2119" s="291"/>
      <c r="H2119" s="291"/>
      <c r="I2119" s="293"/>
      <c r="J2119" s="291"/>
      <c r="K2119" s="291"/>
      <c r="L2119" s="293"/>
      <c r="M2119" s="291"/>
      <c r="N2119" s="289"/>
      <c r="O2119" s="358"/>
      <c r="P2119" s="280">
        <f t="shared" ref="P2119:Q2119" si="335">IF(B2119=0,0,IF(YEAR(B2119)=$Q$1,MONTH(B2119)-$P$1+1,(YEAR(B2119)-$Q$1)*12-$P$1+1+MONTH(B2119)))</f>
        <v>0</v>
      </c>
      <c r="Q2119" s="280">
        <f t="shared" si="335"/>
        <v>0</v>
      </c>
      <c r="R2119" s="356" t="e">
        <f>#N/A</f>
        <v>#N/A</v>
      </c>
      <c r="S2119" s="269" t="str">
        <f>IF(D2119="","",IF(OR(D2119=Plano!$A$1,D2119=Plano!$B$1),"entrada","saída"))</f>
        <v/>
      </c>
      <c r="T2119" s="269"/>
      <c r="U2119" s="269"/>
      <c r="V2119" s="269"/>
      <c r="W2119" s="269"/>
      <c r="X2119" s="269"/>
      <c r="Y2119" s="269"/>
      <c r="Z2119" s="269"/>
      <c r="AA2119" s="269"/>
      <c r="AB2119" s="269"/>
      <c r="AC2119" s="269"/>
      <c r="AD2119" s="269"/>
      <c r="AE2119" s="269"/>
      <c r="AF2119" s="269"/>
      <c r="AG2119" s="269"/>
      <c r="AH2119" s="269"/>
      <c r="AI2119" s="269"/>
      <c r="AJ2119" s="269"/>
      <c r="AK2119" s="269"/>
      <c r="AL2119" s="269"/>
      <c r="AM2119" s="269"/>
    </row>
    <row r="2120" spans="1:39" ht="12.75" customHeight="1" x14ac:dyDescent="0.2">
      <c r="A2120" s="289" t="str">
        <f>IF(B2120="","",COUNT('Diário 5º PA'!$A$5:$A$2634)+COUNT('Diário 6º PA'!$A$5:$A$2246)+ROW()-4)</f>
        <v/>
      </c>
      <c r="B2120" s="290"/>
      <c r="C2120" s="357"/>
      <c r="D2120" s="291"/>
      <c r="E2120" s="291"/>
      <c r="F2120" s="292"/>
      <c r="G2120" s="291"/>
      <c r="H2120" s="291"/>
      <c r="I2120" s="293"/>
      <c r="J2120" s="291"/>
      <c r="K2120" s="291"/>
      <c r="L2120" s="293"/>
      <c r="M2120" s="291"/>
      <c r="N2120" s="289"/>
      <c r="O2120" s="358"/>
      <c r="P2120" s="280">
        <f t="shared" ref="P2120:Q2120" si="336">IF(B2120=0,0,IF(YEAR(B2120)=$Q$1,MONTH(B2120)-$P$1+1,(YEAR(B2120)-$Q$1)*12-$P$1+1+MONTH(B2120)))</f>
        <v>0</v>
      </c>
      <c r="Q2120" s="280">
        <f t="shared" si="336"/>
        <v>0</v>
      </c>
      <c r="R2120" s="356" t="e">
        <f>#N/A</f>
        <v>#N/A</v>
      </c>
      <c r="S2120" s="269" t="str">
        <f>IF(D2120="","",IF(OR(D2120=Plano!$A$1,D2120=Plano!$B$1),"entrada","saída"))</f>
        <v/>
      </c>
      <c r="T2120" s="269"/>
      <c r="U2120" s="269"/>
      <c r="V2120" s="269"/>
      <c r="W2120" s="269"/>
      <c r="X2120" s="269"/>
      <c r="Y2120" s="269"/>
      <c r="Z2120" s="269"/>
      <c r="AA2120" s="269"/>
      <c r="AB2120" s="269"/>
      <c r="AC2120" s="269"/>
      <c r="AD2120" s="269"/>
      <c r="AE2120" s="269"/>
      <c r="AF2120" s="269"/>
      <c r="AG2120" s="269"/>
      <c r="AH2120" s="269"/>
      <c r="AI2120" s="269"/>
      <c r="AJ2120" s="269"/>
      <c r="AK2120" s="269"/>
      <c r="AL2120" s="269"/>
      <c r="AM2120" s="269"/>
    </row>
    <row r="2121" spans="1:39" ht="12.75" customHeight="1" x14ac:dyDescent="0.2">
      <c r="A2121" s="289" t="str">
        <f>IF(B2121="","",COUNT('Diário 5º PA'!$A$5:$A$2634)+COUNT('Diário 6º PA'!$A$5:$A$2246)+ROW()-4)</f>
        <v/>
      </c>
      <c r="B2121" s="290"/>
      <c r="C2121" s="357"/>
      <c r="D2121" s="291"/>
      <c r="E2121" s="291"/>
      <c r="F2121" s="292"/>
      <c r="G2121" s="291"/>
      <c r="H2121" s="291"/>
      <c r="I2121" s="293"/>
      <c r="J2121" s="291"/>
      <c r="K2121" s="291"/>
      <c r="L2121" s="293"/>
      <c r="M2121" s="291"/>
      <c r="N2121" s="289"/>
      <c r="O2121" s="358"/>
      <c r="P2121" s="280">
        <f t="shared" ref="P2121:Q2121" si="337">IF(B2121=0,0,IF(YEAR(B2121)=$Q$1,MONTH(B2121)-$P$1+1,(YEAR(B2121)-$Q$1)*12-$P$1+1+MONTH(B2121)))</f>
        <v>0</v>
      </c>
      <c r="Q2121" s="280">
        <f t="shared" si="337"/>
        <v>0</v>
      </c>
      <c r="R2121" s="356" t="e">
        <f>#N/A</f>
        <v>#N/A</v>
      </c>
      <c r="S2121" s="269" t="str">
        <f>IF(D2121="","",IF(OR(D2121=Plano!$A$1,D2121=Plano!$B$1),"entrada","saída"))</f>
        <v/>
      </c>
      <c r="T2121" s="269"/>
      <c r="U2121" s="269"/>
      <c r="V2121" s="269"/>
      <c r="W2121" s="269"/>
      <c r="X2121" s="269"/>
      <c r="Y2121" s="269"/>
      <c r="Z2121" s="269"/>
      <c r="AA2121" s="269"/>
      <c r="AB2121" s="269"/>
      <c r="AC2121" s="269"/>
      <c r="AD2121" s="269"/>
      <c r="AE2121" s="269"/>
      <c r="AF2121" s="269"/>
      <c r="AG2121" s="269"/>
      <c r="AH2121" s="269"/>
      <c r="AI2121" s="269"/>
      <c r="AJ2121" s="269"/>
      <c r="AK2121" s="269"/>
      <c r="AL2121" s="269"/>
      <c r="AM2121" s="269"/>
    </row>
    <row r="2122" spans="1:39" ht="12.75" customHeight="1" x14ac:dyDescent="0.2">
      <c r="A2122" s="289" t="str">
        <f>IF(B2122="","",COUNT('Diário 5º PA'!$A$5:$A$2634)+COUNT('Diário 6º PA'!$A$5:$A$2246)+ROW()-4)</f>
        <v/>
      </c>
      <c r="B2122" s="290"/>
      <c r="C2122" s="357"/>
      <c r="D2122" s="291"/>
      <c r="E2122" s="291"/>
      <c r="F2122" s="292"/>
      <c r="G2122" s="291"/>
      <c r="H2122" s="291"/>
      <c r="I2122" s="293"/>
      <c r="J2122" s="291"/>
      <c r="K2122" s="291"/>
      <c r="L2122" s="293"/>
      <c r="M2122" s="291"/>
      <c r="N2122" s="289"/>
      <c r="O2122" s="358"/>
      <c r="P2122" s="280">
        <f t="shared" ref="P2122:Q2122" si="338">IF(B2122=0,0,IF(YEAR(B2122)=$Q$1,MONTH(B2122)-$P$1+1,(YEAR(B2122)-$Q$1)*12-$P$1+1+MONTH(B2122)))</f>
        <v>0</v>
      </c>
      <c r="Q2122" s="280">
        <f t="shared" si="338"/>
        <v>0</v>
      </c>
      <c r="R2122" s="356" t="e">
        <f>#N/A</f>
        <v>#N/A</v>
      </c>
      <c r="S2122" s="269" t="str">
        <f>IF(D2122="","",IF(OR(D2122=Plano!$A$1,D2122=Plano!$B$1),"entrada","saída"))</f>
        <v/>
      </c>
      <c r="T2122" s="269"/>
      <c r="U2122" s="269"/>
      <c r="V2122" s="269"/>
      <c r="W2122" s="269"/>
      <c r="X2122" s="269"/>
      <c r="Y2122" s="269"/>
      <c r="Z2122" s="269"/>
      <c r="AA2122" s="269"/>
      <c r="AB2122" s="269"/>
      <c r="AC2122" s="269"/>
      <c r="AD2122" s="269"/>
      <c r="AE2122" s="269"/>
      <c r="AF2122" s="269"/>
      <c r="AG2122" s="269"/>
      <c r="AH2122" s="269"/>
      <c r="AI2122" s="269"/>
      <c r="AJ2122" s="269"/>
      <c r="AK2122" s="269"/>
      <c r="AL2122" s="269"/>
      <c r="AM2122" s="269"/>
    </row>
    <row r="2123" spans="1:39" ht="12.75" customHeight="1" x14ac:dyDescent="0.2">
      <c r="A2123" s="289" t="str">
        <f>IF(B2123="","",COUNT('Diário 5º PA'!$A$5:$A$2634)+COUNT('Diário 6º PA'!$A$5:$A$2246)+ROW()-4)</f>
        <v/>
      </c>
      <c r="B2123" s="290"/>
      <c r="C2123" s="357"/>
      <c r="D2123" s="291"/>
      <c r="E2123" s="291"/>
      <c r="F2123" s="292"/>
      <c r="G2123" s="291"/>
      <c r="H2123" s="291"/>
      <c r="I2123" s="293"/>
      <c r="J2123" s="291"/>
      <c r="K2123" s="291"/>
      <c r="L2123" s="293"/>
      <c r="M2123" s="291"/>
      <c r="N2123" s="289"/>
      <c r="O2123" s="358"/>
      <c r="P2123" s="280">
        <f t="shared" ref="P2123:Q2123" si="339">IF(B2123=0,0,IF(YEAR(B2123)=$Q$1,MONTH(B2123)-$P$1+1,(YEAR(B2123)-$Q$1)*12-$P$1+1+MONTH(B2123)))</f>
        <v>0</v>
      </c>
      <c r="Q2123" s="280">
        <f t="shared" si="339"/>
        <v>0</v>
      </c>
      <c r="R2123" s="356" t="e">
        <f>#N/A</f>
        <v>#N/A</v>
      </c>
      <c r="S2123" s="269" t="str">
        <f>IF(D2123="","",IF(OR(D2123=Plano!$A$1,D2123=Plano!$B$1),"entrada","saída"))</f>
        <v/>
      </c>
      <c r="T2123" s="269"/>
      <c r="U2123" s="269"/>
      <c r="V2123" s="269"/>
      <c r="W2123" s="269"/>
      <c r="X2123" s="269"/>
      <c r="Y2123" s="269"/>
      <c r="Z2123" s="269"/>
      <c r="AA2123" s="269"/>
      <c r="AB2123" s="269"/>
      <c r="AC2123" s="269"/>
      <c r="AD2123" s="269"/>
      <c r="AE2123" s="269"/>
      <c r="AF2123" s="269"/>
      <c r="AG2123" s="269"/>
      <c r="AH2123" s="269"/>
      <c r="AI2123" s="269"/>
      <c r="AJ2123" s="269"/>
      <c r="AK2123" s="269"/>
      <c r="AL2123" s="269"/>
      <c r="AM2123" s="269"/>
    </row>
    <row r="2124" spans="1:39" ht="12.75" customHeight="1" x14ac:dyDescent="0.2">
      <c r="A2124" s="289" t="str">
        <f>IF(B2124="","",COUNT('Diário 5º PA'!$A$5:$A$2634)+COUNT('Diário 6º PA'!$A$5:$A$2246)+ROW()-4)</f>
        <v/>
      </c>
      <c r="B2124" s="290"/>
      <c r="C2124" s="357"/>
      <c r="D2124" s="291"/>
      <c r="E2124" s="291"/>
      <c r="F2124" s="292"/>
      <c r="G2124" s="291"/>
      <c r="H2124" s="291"/>
      <c r="I2124" s="293"/>
      <c r="J2124" s="291"/>
      <c r="K2124" s="291"/>
      <c r="L2124" s="293"/>
      <c r="M2124" s="291"/>
      <c r="N2124" s="289"/>
      <c r="O2124" s="358"/>
      <c r="P2124" s="280">
        <f t="shared" ref="P2124:Q2124" si="340">IF(B2124=0,0,IF(YEAR(B2124)=$Q$1,MONTH(B2124)-$P$1+1,(YEAR(B2124)-$Q$1)*12-$P$1+1+MONTH(B2124)))</f>
        <v>0</v>
      </c>
      <c r="Q2124" s="280">
        <f t="shared" si="340"/>
        <v>0</v>
      </c>
      <c r="R2124" s="356" t="e">
        <f>#N/A</f>
        <v>#N/A</v>
      </c>
      <c r="S2124" s="269" t="str">
        <f>IF(D2124="","",IF(OR(D2124=Plano!$A$1,D2124=Plano!$B$1),"entrada","saída"))</f>
        <v/>
      </c>
      <c r="T2124" s="269"/>
      <c r="U2124" s="269"/>
      <c r="V2124" s="269"/>
      <c r="W2124" s="269"/>
      <c r="X2124" s="269"/>
      <c r="Y2124" s="269"/>
      <c r="Z2124" s="269"/>
      <c r="AA2124" s="269"/>
      <c r="AB2124" s="269"/>
      <c r="AC2124" s="269"/>
      <c r="AD2124" s="269"/>
      <c r="AE2124" s="269"/>
      <c r="AF2124" s="269"/>
      <c r="AG2124" s="269"/>
      <c r="AH2124" s="269"/>
      <c r="AI2124" s="269"/>
      <c r="AJ2124" s="269"/>
      <c r="AK2124" s="269"/>
      <c r="AL2124" s="269"/>
      <c r="AM2124" s="269"/>
    </row>
    <row r="2125" spans="1:39" ht="12.75" customHeight="1" x14ac:dyDescent="0.2">
      <c r="A2125" s="289" t="str">
        <f>IF(B2125="","",COUNT('Diário 5º PA'!$A$5:$A$2634)+COUNT('Diário 6º PA'!$A$5:$A$2246)+ROW()-4)</f>
        <v/>
      </c>
      <c r="B2125" s="290"/>
      <c r="C2125" s="357"/>
      <c r="D2125" s="291"/>
      <c r="E2125" s="291"/>
      <c r="F2125" s="292"/>
      <c r="G2125" s="291"/>
      <c r="H2125" s="291"/>
      <c r="I2125" s="293"/>
      <c r="J2125" s="291"/>
      <c r="K2125" s="291"/>
      <c r="L2125" s="293"/>
      <c r="M2125" s="291"/>
      <c r="N2125" s="289"/>
      <c r="O2125" s="358"/>
      <c r="P2125" s="280">
        <f t="shared" ref="P2125:Q2125" si="341">IF(B2125=0,0,IF(YEAR(B2125)=$Q$1,MONTH(B2125)-$P$1+1,(YEAR(B2125)-$Q$1)*12-$P$1+1+MONTH(B2125)))</f>
        <v>0</v>
      </c>
      <c r="Q2125" s="280">
        <f t="shared" si="341"/>
        <v>0</v>
      </c>
      <c r="R2125" s="356" t="e">
        <f>#N/A</f>
        <v>#N/A</v>
      </c>
      <c r="S2125" s="269" t="str">
        <f>IF(D2125="","",IF(OR(D2125=Plano!$A$1,D2125=Plano!$B$1),"entrada","saída"))</f>
        <v/>
      </c>
      <c r="T2125" s="269"/>
      <c r="U2125" s="269"/>
      <c r="V2125" s="269"/>
      <c r="W2125" s="269"/>
      <c r="X2125" s="269"/>
      <c r="Y2125" s="269"/>
      <c r="Z2125" s="269"/>
      <c r="AA2125" s="269"/>
      <c r="AB2125" s="269"/>
      <c r="AC2125" s="269"/>
      <c r="AD2125" s="269"/>
      <c r="AE2125" s="269"/>
      <c r="AF2125" s="269"/>
      <c r="AG2125" s="269"/>
      <c r="AH2125" s="269"/>
      <c r="AI2125" s="269"/>
      <c r="AJ2125" s="269"/>
      <c r="AK2125" s="269"/>
      <c r="AL2125" s="269"/>
      <c r="AM2125" s="269"/>
    </row>
    <row r="2126" spans="1:39" ht="12.75" customHeight="1" x14ac:dyDescent="0.2">
      <c r="A2126" s="289" t="str">
        <f>IF(B2126="","",COUNT('Diário 5º PA'!$A$5:$A$2634)+COUNT('Diário 6º PA'!$A$5:$A$2246)+ROW()-4)</f>
        <v/>
      </c>
      <c r="B2126" s="290"/>
      <c r="C2126" s="357"/>
      <c r="D2126" s="291"/>
      <c r="E2126" s="291"/>
      <c r="F2126" s="292"/>
      <c r="G2126" s="291"/>
      <c r="H2126" s="291"/>
      <c r="I2126" s="293"/>
      <c r="J2126" s="291"/>
      <c r="K2126" s="291"/>
      <c r="L2126" s="293"/>
      <c r="M2126" s="291"/>
      <c r="N2126" s="289"/>
      <c r="O2126" s="358"/>
      <c r="P2126" s="280">
        <f t="shared" ref="P2126:Q2126" si="342">IF(B2126=0,0,IF(YEAR(B2126)=$Q$1,MONTH(B2126)-$P$1+1,(YEAR(B2126)-$Q$1)*12-$P$1+1+MONTH(B2126)))</f>
        <v>0</v>
      </c>
      <c r="Q2126" s="280">
        <f t="shared" si="342"/>
        <v>0</v>
      </c>
      <c r="R2126" s="356" t="e">
        <f>#N/A</f>
        <v>#N/A</v>
      </c>
      <c r="S2126" s="269" t="str">
        <f>IF(D2126="","",IF(OR(D2126=Plano!$A$1,D2126=Plano!$B$1),"entrada","saída"))</f>
        <v/>
      </c>
      <c r="T2126" s="269"/>
      <c r="U2126" s="269"/>
      <c r="V2126" s="269"/>
      <c r="W2126" s="269"/>
      <c r="X2126" s="269"/>
      <c r="Y2126" s="269"/>
      <c r="Z2126" s="269"/>
      <c r="AA2126" s="269"/>
      <c r="AB2126" s="269"/>
      <c r="AC2126" s="269"/>
      <c r="AD2126" s="269"/>
      <c r="AE2126" s="269"/>
      <c r="AF2126" s="269"/>
      <c r="AG2126" s="269"/>
      <c r="AH2126" s="269"/>
      <c r="AI2126" s="269"/>
      <c r="AJ2126" s="269"/>
      <c r="AK2126" s="269"/>
      <c r="AL2126" s="269"/>
      <c r="AM2126" s="269"/>
    </row>
    <row r="2127" spans="1:39" ht="12.75" customHeight="1" x14ac:dyDescent="0.2">
      <c r="A2127" s="289" t="str">
        <f>IF(B2127="","",COUNT('Diário 5º PA'!$A$5:$A$2634)+COUNT('Diário 6º PA'!$A$5:$A$2246)+ROW()-4)</f>
        <v/>
      </c>
      <c r="B2127" s="290"/>
      <c r="C2127" s="357"/>
      <c r="D2127" s="291"/>
      <c r="E2127" s="291"/>
      <c r="F2127" s="292"/>
      <c r="G2127" s="291"/>
      <c r="H2127" s="291"/>
      <c r="I2127" s="293"/>
      <c r="J2127" s="291"/>
      <c r="K2127" s="291"/>
      <c r="L2127" s="293"/>
      <c r="M2127" s="291"/>
      <c r="N2127" s="289"/>
      <c r="O2127" s="358"/>
      <c r="P2127" s="280">
        <f t="shared" ref="P2127:Q2127" si="343">IF(B2127=0,0,IF(YEAR(B2127)=$Q$1,MONTH(B2127)-$P$1+1,(YEAR(B2127)-$Q$1)*12-$P$1+1+MONTH(B2127)))</f>
        <v>0</v>
      </c>
      <c r="Q2127" s="280">
        <f t="shared" si="343"/>
        <v>0</v>
      </c>
      <c r="R2127" s="356" t="e">
        <f>#N/A</f>
        <v>#N/A</v>
      </c>
      <c r="S2127" s="269" t="str">
        <f>IF(D2127="","",IF(OR(D2127=Plano!$A$1,D2127=Plano!$B$1),"entrada","saída"))</f>
        <v/>
      </c>
      <c r="T2127" s="269"/>
      <c r="U2127" s="269"/>
      <c r="V2127" s="269"/>
      <c r="W2127" s="269"/>
      <c r="X2127" s="269"/>
      <c r="Y2127" s="269"/>
      <c r="Z2127" s="269"/>
      <c r="AA2127" s="269"/>
      <c r="AB2127" s="269"/>
      <c r="AC2127" s="269"/>
      <c r="AD2127" s="269"/>
      <c r="AE2127" s="269"/>
      <c r="AF2127" s="269"/>
      <c r="AG2127" s="269"/>
      <c r="AH2127" s="269"/>
      <c r="AI2127" s="269"/>
      <c r="AJ2127" s="269"/>
      <c r="AK2127" s="269"/>
      <c r="AL2127" s="269"/>
      <c r="AM2127" s="269"/>
    </row>
    <row r="2128" spans="1:39" ht="12.75" customHeight="1" x14ac:dyDescent="0.2">
      <c r="A2128" s="289" t="str">
        <f>IF(B2128="","",COUNT('Diário 5º PA'!$A$5:$A$2634)+COUNT('Diário 6º PA'!$A$5:$A$2246)+ROW()-4)</f>
        <v/>
      </c>
      <c r="B2128" s="290"/>
      <c r="C2128" s="357"/>
      <c r="D2128" s="291"/>
      <c r="E2128" s="291"/>
      <c r="F2128" s="292"/>
      <c r="G2128" s="291"/>
      <c r="H2128" s="291"/>
      <c r="I2128" s="293"/>
      <c r="J2128" s="291"/>
      <c r="K2128" s="291"/>
      <c r="L2128" s="293"/>
      <c r="M2128" s="291"/>
      <c r="N2128" s="289"/>
      <c r="O2128" s="358"/>
      <c r="P2128" s="280">
        <f t="shared" ref="P2128:Q2128" si="344">IF(B2128=0,0,IF(YEAR(B2128)=$Q$1,MONTH(B2128)-$P$1+1,(YEAR(B2128)-$Q$1)*12-$P$1+1+MONTH(B2128)))</f>
        <v>0</v>
      </c>
      <c r="Q2128" s="280">
        <f t="shared" si="344"/>
        <v>0</v>
      </c>
      <c r="R2128" s="356" t="e">
        <f>#N/A</f>
        <v>#N/A</v>
      </c>
      <c r="S2128" s="269" t="str">
        <f>IF(D2128="","",IF(OR(D2128=Plano!$A$1,D2128=Plano!$B$1),"entrada","saída"))</f>
        <v/>
      </c>
      <c r="T2128" s="269"/>
      <c r="U2128" s="269"/>
      <c r="V2128" s="269"/>
      <c r="W2128" s="269"/>
      <c r="X2128" s="269"/>
      <c r="Y2128" s="269"/>
      <c r="Z2128" s="269"/>
      <c r="AA2128" s="269"/>
      <c r="AB2128" s="269"/>
      <c r="AC2128" s="269"/>
      <c r="AD2128" s="269"/>
      <c r="AE2128" s="269"/>
      <c r="AF2128" s="269"/>
      <c r="AG2128" s="269"/>
      <c r="AH2128" s="269"/>
      <c r="AI2128" s="269"/>
      <c r="AJ2128" s="269"/>
      <c r="AK2128" s="269"/>
      <c r="AL2128" s="269"/>
      <c r="AM2128" s="269"/>
    </row>
    <row r="2129" spans="1:39" ht="12.75" customHeight="1" x14ac:dyDescent="0.2">
      <c r="A2129" s="289" t="str">
        <f>IF(B2129="","",COUNT('Diário 5º PA'!$A$5:$A$2634)+COUNT('Diário 6º PA'!$A$5:$A$2246)+ROW()-4)</f>
        <v/>
      </c>
      <c r="B2129" s="290"/>
      <c r="C2129" s="357"/>
      <c r="D2129" s="291"/>
      <c r="E2129" s="291"/>
      <c r="F2129" s="292"/>
      <c r="G2129" s="291"/>
      <c r="H2129" s="291"/>
      <c r="I2129" s="293"/>
      <c r="J2129" s="291"/>
      <c r="K2129" s="291"/>
      <c r="L2129" s="293"/>
      <c r="M2129" s="291"/>
      <c r="N2129" s="289"/>
      <c r="O2129" s="358"/>
      <c r="P2129" s="280">
        <f t="shared" ref="P2129:Q2129" si="345">IF(B2129=0,0,IF(YEAR(B2129)=$Q$1,MONTH(B2129)-$P$1+1,(YEAR(B2129)-$Q$1)*12-$P$1+1+MONTH(B2129)))</f>
        <v>0</v>
      </c>
      <c r="Q2129" s="280">
        <f t="shared" si="345"/>
        <v>0</v>
      </c>
      <c r="R2129" s="356" t="e">
        <f>#N/A</f>
        <v>#N/A</v>
      </c>
      <c r="S2129" s="269" t="str">
        <f>IF(D2129="","",IF(OR(D2129=Plano!$A$1,D2129=Plano!$B$1),"entrada","saída"))</f>
        <v/>
      </c>
      <c r="T2129" s="269"/>
      <c r="U2129" s="269"/>
      <c r="V2129" s="269"/>
      <c r="W2129" s="269"/>
      <c r="X2129" s="269"/>
      <c r="Y2129" s="269"/>
      <c r="Z2129" s="269"/>
      <c r="AA2129" s="269"/>
      <c r="AB2129" s="269"/>
      <c r="AC2129" s="269"/>
      <c r="AD2129" s="269"/>
      <c r="AE2129" s="269"/>
      <c r="AF2129" s="269"/>
      <c r="AG2129" s="269"/>
      <c r="AH2129" s="269"/>
      <c r="AI2129" s="269"/>
      <c r="AJ2129" s="269"/>
      <c r="AK2129" s="269"/>
      <c r="AL2129" s="269"/>
      <c r="AM2129" s="269"/>
    </row>
    <row r="2130" spans="1:39" ht="12.75" customHeight="1" x14ac:dyDescent="0.2">
      <c r="A2130" s="289" t="str">
        <f>IF(B2130="","",COUNT('Diário 5º PA'!$A$5:$A$2634)+COUNT('Diário 6º PA'!$A$5:$A$2246)+ROW()-4)</f>
        <v/>
      </c>
      <c r="B2130" s="290"/>
      <c r="C2130" s="357"/>
      <c r="D2130" s="291"/>
      <c r="E2130" s="291"/>
      <c r="F2130" s="292"/>
      <c r="G2130" s="291"/>
      <c r="H2130" s="291"/>
      <c r="I2130" s="293"/>
      <c r="J2130" s="291"/>
      <c r="K2130" s="291"/>
      <c r="L2130" s="293"/>
      <c r="M2130" s="291"/>
      <c r="N2130" s="289"/>
      <c r="O2130" s="358"/>
      <c r="P2130" s="280">
        <f t="shared" ref="P2130:Q2130" si="346">IF(B2130=0,0,IF(YEAR(B2130)=$Q$1,MONTH(B2130)-$P$1+1,(YEAR(B2130)-$Q$1)*12-$P$1+1+MONTH(B2130)))</f>
        <v>0</v>
      </c>
      <c r="Q2130" s="280">
        <f t="shared" si="346"/>
        <v>0</v>
      </c>
      <c r="R2130" s="356" t="e">
        <f>#N/A</f>
        <v>#N/A</v>
      </c>
      <c r="S2130" s="269" t="str">
        <f>IF(D2130="","",IF(OR(D2130=Plano!$A$1,D2130=Plano!$B$1),"entrada","saída"))</f>
        <v/>
      </c>
      <c r="T2130" s="269"/>
      <c r="U2130" s="269"/>
      <c r="V2130" s="269"/>
      <c r="W2130" s="269"/>
      <c r="X2130" s="269"/>
      <c r="Y2130" s="269"/>
      <c r="Z2130" s="269"/>
      <c r="AA2130" s="269"/>
      <c r="AB2130" s="269"/>
      <c r="AC2130" s="269"/>
      <c r="AD2130" s="269"/>
      <c r="AE2130" s="269"/>
      <c r="AF2130" s="269"/>
      <c r="AG2130" s="269"/>
      <c r="AH2130" s="269"/>
      <c r="AI2130" s="269"/>
      <c r="AJ2130" s="269"/>
      <c r="AK2130" s="269"/>
      <c r="AL2130" s="269"/>
      <c r="AM2130" s="269"/>
    </row>
    <row r="2131" spans="1:39" ht="12.75" customHeight="1" x14ac:dyDescent="0.2">
      <c r="A2131" s="289" t="str">
        <f>IF(B2131="","",COUNT('Diário 5º PA'!$A$5:$A$2634)+COUNT('Diário 6º PA'!$A$5:$A$2246)+ROW()-4)</f>
        <v/>
      </c>
      <c r="B2131" s="290"/>
      <c r="C2131" s="357"/>
      <c r="D2131" s="291"/>
      <c r="E2131" s="291"/>
      <c r="F2131" s="292"/>
      <c r="G2131" s="291"/>
      <c r="H2131" s="291"/>
      <c r="I2131" s="293"/>
      <c r="J2131" s="291"/>
      <c r="K2131" s="291"/>
      <c r="L2131" s="293"/>
      <c r="M2131" s="291"/>
      <c r="N2131" s="289"/>
      <c r="O2131" s="358"/>
      <c r="P2131" s="280">
        <f t="shared" ref="P2131:Q2131" si="347">IF(B2131=0,0,IF(YEAR(B2131)=$Q$1,MONTH(B2131)-$P$1+1,(YEAR(B2131)-$Q$1)*12-$P$1+1+MONTH(B2131)))</f>
        <v>0</v>
      </c>
      <c r="Q2131" s="280">
        <f t="shared" si="347"/>
        <v>0</v>
      </c>
      <c r="R2131" s="356" t="e">
        <f>#N/A</f>
        <v>#N/A</v>
      </c>
      <c r="S2131" s="269" t="str">
        <f>IF(D2131="","",IF(OR(D2131=Plano!$A$1,D2131=Plano!$B$1),"entrada","saída"))</f>
        <v/>
      </c>
      <c r="T2131" s="269"/>
      <c r="U2131" s="269"/>
      <c r="V2131" s="269"/>
      <c r="W2131" s="269"/>
      <c r="X2131" s="269"/>
      <c r="Y2131" s="269"/>
      <c r="Z2131" s="269"/>
      <c r="AA2131" s="269"/>
      <c r="AB2131" s="269"/>
      <c r="AC2131" s="269"/>
      <c r="AD2131" s="269"/>
      <c r="AE2131" s="269"/>
      <c r="AF2131" s="269"/>
      <c r="AG2131" s="269"/>
      <c r="AH2131" s="269"/>
      <c r="AI2131" s="269"/>
      <c r="AJ2131" s="269"/>
      <c r="AK2131" s="269"/>
      <c r="AL2131" s="269"/>
      <c r="AM2131" s="269"/>
    </row>
    <row r="2132" spans="1:39" ht="12.75" customHeight="1" x14ac:dyDescent="0.2">
      <c r="A2132" s="289" t="str">
        <f>IF(B2132="","",COUNT('Diário 5º PA'!$A$5:$A$2634)+COUNT('Diário 6º PA'!$A$5:$A$2246)+ROW()-4)</f>
        <v/>
      </c>
      <c r="B2132" s="290"/>
      <c r="C2132" s="357"/>
      <c r="D2132" s="291"/>
      <c r="E2132" s="291"/>
      <c r="F2132" s="292"/>
      <c r="G2132" s="291"/>
      <c r="H2132" s="291"/>
      <c r="I2132" s="293"/>
      <c r="J2132" s="291"/>
      <c r="K2132" s="291"/>
      <c r="L2132" s="293"/>
      <c r="M2132" s="291"/>
      <c r="N2132" s="289"/>
      <c r="O2132" s="358"/>
      <c r="P2132" s="280">
        <f t="shared" ref="P2132:Q2132" si="348">IF(B2132=0,0,IF(YEAR(B2132)=$Q$1,MONTH(B2132)-$P$1+1,(YEAR(B2132)-$Q$1)*12-$P$1+1+MONTH(B2132)))</f>
        <v>0</v>
      </c>
      <c r="Q2132" s="280">
        <f t="shared" si="348"/>
        <v>0</v>
      </c>
      <c r="R2132" s="356" t="e">
        <f>#N/A</f>
        <v>#N/A</v>
      </c>
      <c r="S2132" s="269" t="str">
        <f>IF(D2132="","",IF(OR(D2132=Plano!$A$1,D2132=Plano!$B$1),"entrada","saída"))</f>
        <v/>
      </c>
      <c r="T2132" s="269"/>
      <c r="U2132" s="269"/>
      <c r="V2132" s="269"/>
      <c r="W2132" s="269"/>
      <c r="X2132" s="269"/>
      <c r="Y2132" s="269"/>
      <c r="Z2132" s="269"/>
      <c r="AA2132" s="269"/>
      <c r="AB2132" s="269"/>
      <c r="AC2132" s="269"/>
      <c r="AD2132" s="269"/>
      <c r="AE2132" s="269"/>
      <c r="AF2132" s="269"/>
      <c r="AG2132" s="269"/>
      <c r="AH2132" s="269"/>
      <c r="AI2132" s="269"/>
      <c r="AJ2132" s="269"/>
      <c r="AK2132" s="269"/>
      <c r="AL2132" s="269"/>
      <c r="AM2132" s="269"/>
    </row>
    <row r="2133" spans="1:39" ht="12.75" customHeight="1" x14ac:dyDescent="0.2">
      <c r="A2133" s="289" t="str">
        <f>IF(B2133="","",COUNT('Diário 5º PA'!$A$5:$A$2634)+COUNT('Diário 6º PA'!$A$5:$A$2246)+ROW()-4)</f>
        <v/>
      </c>
      <c r="B2133" s="290"/>
      <c r="C2133" s="357"/>
      <c r="D2133" s="291"/>
      <c r="E2133" s="291"/>
      <c r="F2133" s="292"/>
      <c r="G2133" s="291"/>
      <c r="H2133" s="291"/>
      <c r="I2133" s="293"/>
      <c r="J2133" s="291"/>
      <c r="K2133" s="291"/>
      <c r="L2133" s="293"/>
      <c r="M2133" s="291"/>
      <c r="N2133" s="289"/>
      <c r="O2133" s="358"/>
      <c r="P2133" s="280">
        <f t="shared" ref="P2133:Q2133" si="349">IF(B2133=0,0,IF(YEAR(B2133)=$Q$1,MONTH(B2133)-$P$1+1,(YEAR(B2133)-$Q$1)*12-$P$1+1+MONTH(B2133)))</f>
        <v>0</v>
      </c>
      <c r="Q2133" s="280">
        <f t="shared" si="349"/>
        <v>0</v>
      </c>
      <c r="R2133" s="356" t="e">
        <f>#N/A</f>
        <v>#N/A</v>
      </c>
      <c r="S2133" s="269" t="str">
        <f>IF(D2133="","",IF(OR(D2133=Plano!$A$1,D2133=Plano!$B$1),"entrada","saída"))</f>
        <v/>
      </c>
      <c r="T2133" s="269"/>
      <c r="U2133" s="269"/>
      <c r="V2133" s="269"/>
      <c r="W2133" s="269"/>
      <c r="X2133" s="269"/>
      <c r="Y2133" s="269"/>
      <c r="Z2133" s="269"/>
      <c r="AA2133" s="269"/>
      <c r="AB2133" s="269"/>
      <c r="AC2133" s="269"/>
      <c r="AD2133" s="269"/>
      <c r="AE2133" s="269"/>
      <c r="AF2133" s="269"/>
      <c r="AG2133" s="269"/>
      <c r="AH2133" s="269"/>
      <c r="AI2133" s="269"/>
      <c r="AJ2133" s="269"/>
      <c r="AK2133" s="269"/>
      <c r="AL2133" s="269"/>
      <c r="AM2133" s="269"/>
    </row>
    <row r="2134" spans="1:39" ht="12.75" customHeight="1" x14ac:dyDescent="0.2">
      <c r="A2134" s="289" t="str">
        <f>IF(B2134="","",COUNT('Diário 5º PA'!$A$5:$A$2634)+COUNT('Diário 6º PA'!$A$5:$A$2246)+ROW()-4)</f>
        <v/>
      </c>
      <c r="B2134" s="290"/>
      <c r="C2134" s="357"/>
      <c r="D2134" s="291"/>
      <c r="E2134" s="291"/>
      <c r="F2134" s="292"/>
      <c r="G2134" s="291"/>
      <c r="H2134" s="291"/>
      <c r="I2134" s="293"/>
      <c r="J2134" s="291"/>
      <c r="K2134" s="291"/>
      <c r="L2134" s="293"/>
      <c r="M2134" s="291"/>
      <c r="N2134" s="289"/>
      <c r="O2134" s="358"/>
      <c r="P2134" s="280">
        <f t="shared" ref="P2134:Q2134" si="350">IF(B2134=0,0,IF(YEAR(B2134)=$Q$1,MONTH(B2134)-$P$1+1,(YEAR(B2134)-$Q$1)*12-$P$1+1+MONTH(B2134)))</f>
        <v>0</v>
      </c>
      <c r="Q2134" s="280">
        <f t="shared" si="350"/>
        <v>0</v>
      </c>
      <c r="R2134" s="356" t="e">
        <f>#N/A</f>
        <v>#N/A</v>
      </c>
      <c r="S2134" s="269" t="str">
        <f>IF(D2134="","",IF(OR(D2134=Plano!$A$1,D2134=Plano!$B$1),"entrada","saída"))</f>
        <v/>
      </c>
      <c r="T2134" s="269"/>
      <c r="U2134" s="269"/>
      <c r="V2134" s="269"/>
      <c r="W2134" s="269"/>
      <c r="X2134" s="269"/>
      <c r="Y2134" s="269"/>
      <c r="Z2134" s="269"/>
      <c r="AA2134" s="269"/>
      <c r="AB2134" s="269"/>
      <c r="AC2134" s="269"/>
      <c r="AD2134" s="269"/>
      <c r="AE2134" s="269"/>
      <c r="AF2134" s="269"/>
      <c r="AG2134" s="269"/>
      <c r="AH2134" s="269"/>
      <c r="AI2134" s="269"/>
      <c r="AJ2134" s="269"/>
      <c r="AK2134" s="269"/>
      <c r="AL2134" s="269"/>
      <c r="AM2134" s="269"/>
    </row>
    <row r="2135" spans="1:39" ht="12.75" customHeight="1" x14ac:dyDescent="0.2">
      <c r="A2135" s="289" t="str">
        <f>IF(B2135="","",COUNT('Diário 5º PA'!$A$5:$A$2634)+COUNT('Diário 6º PA'!$A$5:$A$2246)+ROW()-4)</f>
        <v/>
      </c>
      <c r="B2135" s="290"/>
      <c r="C2135" s="357"/>
      <c r="D2135" s="291"/>
      <c r="E2135" s="291"/>
      <c r="F2135" s="292"/>
      <c r="G2135" s="291"/>
      <c r="H2135" s="291"/>
      <c r="I2135" s="293"/>
      <c r="J2135" s="291"/>
      <c r="K2135" s="291"/>
      <c r="L2135" s="293"/>
      <c r="M2135" s="291"/>
      <c r="N2135" s="289"/>
      <c r="O2135" s="358"/>
      <c r="P2135" s="280">
        <f t="shared" ref="P2135:Q2135" si="351">IF(B2135=0,0,IF(YEAR(B2135)=$Q$1,MONTH(B2135)-$P$1+1,(YEAR(B2135)-$Q$1)*12-$P$1+1+MONTH(B2135)))</f>
        <v>0</v>
      </c>
      <c r="Q2135" s="280">
        <f t="shared" si="351"/>
        <v>0</v>
      </c>
      <c r="R2135" s="356" t="e">
        <f>#N/A</f>
        <v>#N/A</v>
      </c>
      <c r="S2135" s="269" t="str">
        <f>IF(D2135="","",IF(OR(D2135=Plano!$A$1,D2135=Plano!$B$1),"entrada","saída"))</f>
        <v/>
      </c>
      <c r="T2135" s="269"/>
      <c r="U2135" s="269"/>
      <c r="V2135" s="269"/>
      <c r="W2135" s="269"/>
      <c r="X2135" s="269"/>
      <c r="Y2135" s="269"/>
      <c r="Z2135" s="269"/>
      <c r="AA2135" s="269"/>
      <c r="AB2135" s="269"/>
      <c r="AC2135" s="269"/>
      <c r="AD2135" s="269"/>
      <c r="AE2135" s="269"/>
      <c r="AF2135" s="269"/>
      <c r="AG2135" s="269"/>
      <c r="AH2135" s="269"/>
      <c r="AI2135" s="269"/>
      <c r="AJ2135" s="269"/>
      <c r="AK2135" s="269"/>
      <c r="AL2135" s="269"/>
      <c r="AM2135" s="269"/>
    </row>
    <row r="2136" spans="1:39" ht="12.75" customHeight="1" x14ac:dyDescent="0.2">
      <c r="A2136" s="289" t="str">
        <f>IF(B2136="","",COUNT('Diário 5º PA'!$A$5:$A$2634)+COUNT('Diário 6º PA'!$A$5:$A$2246)+ROW()-4)</f>
        <v/>
      </c>
      <c r="B2136" s="290"/>
      <c r="C2136" s="357"/>
      <c r="D2136" s="291"/>
      <c r="E2136" s="291"/>
      <c r="F2136" s="292"/>
      <c r="G2136" s="291"/>
      <c r="H2136" s="291"/>
      <c r="I2136" s="293"/>
      <c r="J2136" s="291"/>
      <c r="K2136" s="291"/>
      <c r="L2136" s="293"/>
      <c r="M2136" s="291"/>
      <c r="N2136" s="289"/>
      <c r="O2136" s="358"/>
      <c r="P2136" s="280">
        <f t="shared" ref="P2136:Q2136" si="352">IF(B2136=0,0,IF(YEAR(B2136)=$Q$1,MONTH(B2136)-$P$1+1,(YEAR(B2136)-$Q$1)*12-$P$1+1+MONTH(B2136)))</f>
        <v>0</v>
      </c>
      <c r="Q2136" s="280">
        <f t="shared" si="352"/>
        <v>0</v>
      </c>
      <c r="R2136" s="356" t="e">
        <f>#N/A</f>
        <v>#N/A</v>
      </c>
      <c r="S2136" s="269" t="str">
        <f>IF(D2136="","",IF(OR(D2136=Plano!$A$1,D2136=Plano!$B$1),"entrada","saída"))</f>
        <v/>
      </c>
      <c r="T2136" s="269"/>
      <c r="U2136" s="269"/>
      <c r="V2136" s="269"/>
      <c r="W2136" s="269"/>
      <c r="X2136" s="269"/>
      <c r="Y2136" s="269"/>
      <c r="Z2136" s="269"/>
      <c r="AA2136" s="269"/>
      <c r="AB2136" s="269"/>
      <c r="AC2136" s="269"/>
      <c r="AD2136" s="269"/>
      <c r="AE2136" s="269"/>
      <c r="AF2136" s="269"/>
      <c r="AG2136" s="269"/>
      <c r="AH2136" s="269"/>
      <c r="AI2136" s="269"/>
      <c r="AJ2136" s="269"/>
      <c r="AK2136" s="269"/>
      <c r="AL2136" s="269"/>
      <c r="AM2136" s="269"/>
    </row>
    <row r="2137" spans="1:39" ht="12.75" customHeight="1" x14ac:dyDescent="0.2">
      <c r="A2137" s="289" t="str">
        <f>IF(B2137="","",COUNT('Diário 5º PA'!$A$5:$A$2634)+COUNT('Diário 6º PA'!$A$5:$A$2246)+ROW()-4)</f>
        <v/>
      </c>
      <c r="B2137" s="290"/>
      <c r="C2137" s="357"/>
      <c r="D2137" s="291"/>
      <c r="E2137" s="291"/>
      <c r="F2137" s="292"/>
      <c r="G2137" s="291"/>
      <c r="H2137" s="291"/>
      <c r="I2137" s="293"/>
      <c r="J2137" s="291"/>
      <c r="K2137" s="291"/>
      <c r="L2137" s="293"/>
      <c r="M2137" s="291"/>
      <c r="N2137" s="289"/>
      <c r="O2137" s="358"/>
      <c r="P2137" s="280">
        <f t="shared" ref="P2137:Q2137" si="353">IF(B2137=0,0,IF(YEAR(B2137)=$Q$1,MONTH(B2137)-$P$1+1,(YEAR(B2137)-$Q$1)*12-$P$1+1+MONTH(B2137)))</f>
        <v>0</v>
      </c>
      <c r="Q2137" s="280">
        <f t="shared" si="353"/>
        <v>0</v>
      </c>
      <c r="R2137" s="356" t="e">
        <f>#N/A</f>
        <v>#N/A</v>
      </c>
      <c r="S2137" s="269" t="str">
        <f>IF(D2137="","",IF(OR(D2137=Plano!$A$1,D2137=Plano!$B$1),"entrada","saída"))</f>
        <v/>
      </c>
      <c r="T2137" s="269"/>
      <c r="U2137" s="269"/>
      <c r="V2137" s="269"/>
      <c r="W2137" s="269"/>
      <c r="X2137" s="269"/>
      <c r="Y2137" s="269"/>
      <c r="Z2137" s="269"/>
      <c r="AA2137" s="269"/>
      <c r="AB2137" s="269"/>
      <c r="AC2137" s="269"/>
      <c r="AD2137" s="269"/>
      <c r="AE2137" s="269"/>
      <c r="AF2137" s="269"/>
      <c r="AG2137" s="269"/>
      <c r="AH2137" s="269"/>
      <c r="AI2137" s="269"/>
      <c r="AJ2137" s="269"/>
      <c r="AK2137" s="269"/>
      <c r="AL2137" s="269"/>
      <c r="AM2137" s="269"/>
    </row>
    <row r="2138" spans="1:39" ht="12.75" customHeight="1" x14ac:dyDescent="0.2">
      <c r="A2138" s="289" t="str">
        <f>IF(B2138="","",COUNT('Diário 5º PA'!$A$5:$A$2634)+COUNT('Diário 6º PA'!$A$5:$A$2246)+ROW()-4)</f>
        <v/>
      </c>
      <c r="B2138" s="290"/>
      <c r="C2138" s="357"/>
      <c r="D2138" s="291"/>
      <c r="E2138" s="291"/>
      <c r="F2138" s="292"/>
      <c r="G2138" s="291"/>
      <c r="H2138" s="291"/>
      <c r="I2138" s="293"/>
      <c r="J2138" s="291"/>
      <c r="K2138" s="291"/>
      <c r="L2138" s="293"/>
      <c r="M2138" s="291"/>
      <c r="N2138" s="289"/>
      <c r="O2138" s="358"/>
      <c r="P2138" s="280">
        <f t="shared" ref="P2138:Q2138" si="354">IF(B2138=0,0,IF(YEAR(B2138)=$Q$1,MONTH(B2138)-$P$1+1,(YEAR(B2138)-$Q$1)*12-$P$1+1+MONTH(B2138)))</f>
        <v>0</v>
      </c>
      <c r="Q2138" s="280">
        <f t="shared" si="354"/>
        <v>0</v>
      </c>
      <c r="R2138" s="356" t="e">
        <f>#N/A</f>
        <v>#N/A</v>
      </c>
      <c r="S2138" s="269" t="str">
        <f>IF(D2138="","",IF(OR(D2138=Plano!$A$1,D2138=Plano!$B$1),"entrada","saída"))</f>
        <v/>
      </c>
      <c r="T2138" s="269"/>
      <c r="U2138" s="269"/>
      <c r="V2138" s="269"/>
      <c r="W2138" s="269"/>
      <c r="X2138" s="269"/>
      <c r="Y2138" s="269"/>
      <c r="Z2138" s="269"/>
      <c r="AA2138" s="269"/>
      <c r="AB2138" s="269"/>
      <c r="AC2138" s="269"/>
      <c r="AD2138" s="269"/>
      <c r="AE2138" s="269"/>
      <c r="AF2138" s="269"/>
      <c r="AG2138" s="269"/>
      <c r="AH2138" s="269"/>
      <c r="AI2138" s="269"/>
      <c r="AJ2138" s="269"/>
      <c r="AK2138" s="269"/>
      <c r="AL2138" s="269"/>
      <c r="AM2138" s="269"/>
    </row>
    <row r="2139" spans="1:39" ht="12.75" customHeight="1" x14ac:dyDescent="0.2">
      <c r="A2139" s="289" t="str">
        <f>IF(B2139="","",COUNT('Diário 5º PA'!$A$5:$A$2634)+COUNT('Diário 6º PA'!$A$5:$A$2246)+ROW()-4)</f>
        <v/>
      </c>
      <c r="B2139" s="290"/>
      <c r="C2139" s="357"/>
      <c r="D2139" s="291"/>
      <c r="E2139" s="291"/>
      <c r="F2139" s="292"/>
      <c r="G2139" s="291"/>
      <c r="H2139" s="291"/>
      <c r="I2139" s="293"/>
      <c r="J2139" s="291"/>
      <c r="K2139" s="291"/>
      <c r="L2139" s="293"/>
      <c r="M2139" s="291"/>
      <c r="N2139" s="289"/>
      <c r="O2139" s="358"/>
      <c r="P2139" s="280">
        <f t="shared" ref="P2139:Q2139" si="355">IF(B2139=0,0,IF(YEAR(B2139)=$Q$1,MONTH(B2139)-$P$1+1,(YEAR(B2139)-$Q$1)*12-$P$1+1+MONTH(B2139)))</f>
        <v>0</v>
      </c>
      <c r="Q2139" s="280">
        <f t="shared" si="355"/>
        <v>0</v>
      </c>
      <c r="R2139" s="356" t="e">
        <f>#N/A</f>
        <v>#N/A</v>
      </c>
      <c r="S2139" s="269" t="str">
        <f>IF(D2139="","",IF(OR(D2139=Plano!$A$1,D2139=Plano!$B$1),"entrada","saída"))</f>
        <v/>
      </c>
      <c r="T2139" s="269"/>
      <c r="U2139" s="269"/>
      <c r="V2139" s="269"/>
      <c r="W2139" s="269"/>
      <c r="X2139" s="269"/>
      <c r="Y2139" s="269"/>
      <c r="Z2139" s="269"/>
      <c r="AA2139" s="269"/>
      <c r="AB2139" s="269"/>
      <c r="AC2139" s="269"/>
      <c r="AD2139" s="269"/>
      <c r="AE2139" s="269"/>
      <c r="AF2139" s="269"/>
      <c r="AG2139" s="269"/>
      <c r="AH2139" s="269"/>
      <c r="AI2139" s="269"/>
      <c r="AJ2139" s="269"/>
      <c r="AK2139" s="269"/>
      <c r="AL2139" s="269"/>
      <c r="AM2139" s="269"/>
    </row>
    <row r="2140" spans="1:39" ht="12.75" customHeight="1" x14ac:dyDescent="0.2">
      <c r="A2140" s="289" t="str">
        <f>IF(B2140="","",COUNT('Diário 5º PA'!$A$5:$A$2634)+COUNT('Diário 6º PA'!$A$5:$A$2246)+ROW()-4)</f>
        <v/>
      </c>
      <c r="B2140" s="290"/>
      <c r="C2140" s="357"/>
      <c r="D2140" s="291"/>
      <c r="E2140" s="291"/>
      <c r="F2140" s="292"/>
      <c r="G2140" s="291"/>
      <c r="H2140" s="291"/>
      <c r="I2140" s="293"/>
      <c r="J2140" s="291"/>
      <c r="K2140" s="291"/>
      <c r="L2140" s="293"/>
      <c r="M2140" s="291"/>
      <c r="N2140" s="289"/>
      <c r="O2140" s="358"/>
      <c r="P2140" s="280">
        <f t="shared" ref="P2140:Q2140" si="356">IF(B2140=0,0,IF(YEAR(B2140)=$Q$1,MONTH(B2140)-$P$1+1,(YEAR(B2140)-$Q$1)*12-$P$1+1+MONTH(B2140)))</f>
        <v>0</v>
      </c>
      <c r="Q2140" s="280">
        <f t="shared" si="356"/>
        <v>0</v>
      </c>
      <c r="R2140" s="356" t="e">
        <f>#N/A</f>
        <v>#N/A</v>
      </c>
      <c r="S2140" s="269" t="str">
        <f>IF(D2140="","",IF(OR(D2140=Plano!$A$1,D2140=Plano!$B$1),"entrada","saída"))</f>
        <v/>
      </c>
      <c r="T2140" s="269"/>
      <c r="U2140" s="269"/>
      <c r="V2140" s="269"/>
      <c r="W2140" s="269"/>
      <c r="X2140" s="269"/>
      <c r="Y2140" s="269"/>
      <c r="Z2140" s="269"/>
      <c r="AA2140" s="269"/>
      <c r="AB2140" s="269"/>
      <c r="AC2140" s="269"/>
      <c r="AD2140" s="269"/>
      <c r="AE2140" s="269"/>
      <c r="AF2140" s="269"/>
      <c r="AG2140" s="269"/>
      <c r="AH2140" s="269"/>
      <c r="AI2140" s="269"/>
      <c r="AJ2140" s="269"/>
      <c r="AK2140" s="269"/>
      <c r="AL2140" s="269"/>
      <c r="AM2140" s="269"/>
    </row>
    <row r="2141" spans="1:39" ht="12.75" customHeight="1" x14ac:dyDescent="0.2">
      <c r="A2141" s="289" t="str">
        <f>IF(B2141="","",COUNT('Diário 5º PA'!$A$5:$A$2634)+COUNT('Diário 6º PA'!$A$5:$A$2246)+ROW()-4)</f>
        <v/>
      </c>
      <c r="B2141" s="290"/>
      <c r="C2141" s="357"/>
      <c r="D2141" s="291"/>
      <c r="E2141" s="291"/>
      <c r="F2141" s="292"/>
      <c r="G2141" s="291"/>
      <c r="H2141" s="291"/>
      <c r="I2141" s="293"/>
      <c r="J2141" s="291"/>
      <c r="K2141" s="291"/>
      <c r="L2141" s="293"/>
      <c r="M2141" s="291"/>
      <c r="N2141" s="289"/>
      <c r="O2141" s="358"/>
      <c r="P2141" s="280">
        <f t="shared" ref="P2141:Q2141" si="357">IF(B2141=0,0,IF(YEAR(B2141)=$Q$1,MONTH(B2141)-$P$1+1,(YEAR(B2141)-$Q$1)*12-$P$1+1+MONTH(B2141)))</f>
        <v>0</v>
      </c>
      <c r="Q2141" s="280">
        <f t="shared" si="357"/>
        <v>0</v>
      </c>
      <c r="R2141" s="356" t="e">
        <f>#N/A</f>
        <v>#N/A</v>
      </c>
      <c r="S2141" s="269" t="str">
        <f>IF(D2141="","",IF(OR(D2141=Plano!$A$1,D2141=Plano!$B$1),"entrada","saída"))</f>
        <v/>
      </c>
      <c r="T2141" s="269"/>
      <c r="U2141" s="269"/>
      <c r="V2141" s="269"/>
      <c r="W2141" s="269"/>
      <c r="X2141" s="269"/>
      <c r="Y2141" s="269"/>
      <c r="Z2141" s="269"/>
      <c r="AA2141" s="269"/>
      <c r="AB2141" s="269"/>
      <c r="AC2141" s="269"/>
      <c r="AD2141" s="269"/>
      <c r="AE2141" s="269"/>
      <c r="AF2141" s="269"/>
      <c r="AG2141" s="269"/>
      <c r="AH2141" s="269"/>
      <c r="AI2141" s="269"/>
      <c r="AJ2141" s="269"/>
      <c r="AK2141" s="269"/>
      <c r="AL2141" s="269"/>
      <c r="AM2141" s="269"/>
    </row>
    <row r="2142" spans="1:39" ht="12.75" customHeight="1" x14ac:dyDescent="0.2">
      <c r="A2142" s="289" t="str">
        <f>IF(B2142="","",COUNT('Diário 5º PA'!$A$5:$A$2634)+COUNT('Diário 6º PA'!$A$5:$A$2246)+ROW()-4)</f>
        <v/>
      </c>
      <c r="B2142" s="290"/>
      <c r="C2142" s="357"/>
      <c r="D2142" s="291"/>
      <c r="E2142" s="291"/>
      <c r="F2142" s="292"/>
      <c r="G2142" s="291"/>
      <c r="H2142" s="291"/>
      <c r="I2142" s="293"/>
      <c r="J2142" s="291"/>
      <c r="K2142" s="291"/>
      <c r="L2142" s="293"/>
      <c r="M2142" s="291"/>
      <c r="N2142" s="289"/>
      <c r="O2142" s="358"/>
      <c r="P2142" s="280">
        <f t="shared" ref="P2142:Q2142" si="358">IF(B2142=0,0,IF(YEAR(B2142)=$Q$1,MONTH(B2142)-$P$1+1,(YEAR(B2142)-$Q$1)*12-$P$1+1+MONTH(B2142)))</f>
        <v>0</v>
      </c>
      <c r="Q2142" s="280">
        <f t="shared" si="358"/>
        <v>0</v>
      </c>
      <c r="R2142" s="356" t="e">
        <f>#N/A</f>
        <v>#N/A</v>
      </c>
      <c r="S2142" s="269" t="str">
        <f>IF(D2142="","",IF(OR(D2142=Plano!$A$1,D2142=Plano!$B$1),"entrada","saída"))</f>
        <v/>
      </c>
      <c r="T2142" s="269"/>
      <c r="U2142" s="269"/>
      <c r="V2142" s="269"/>
      <c r="W2142" s="269"/>
      <c r="X2142" s="269"/>
      <c r="Y2142" s="269"/>
      <c r="Z2142" s="269"/>
      <c r="AA2142" s="269"/>
      <c r="AB2142" s="269"/>
      <c r="AC2142" s="269"/>
      <c r="AD2142" s="269"/>
      <c r="AE2142" s="269"/>
      <c r="AF2142" s="269"/>
      <c r="AG2142" s="269"/>
      <c r="AH2142" s="269"/>
      <c r="AI2142" s="269"/>
      <c r="AJ2142" s="269"/>
      <c r="AK2142" s="269"/>
      <c r="AL2142" s="269"/>
      <c r="AM2142" s="269"/>
    </row>
    <row r="2143" spans="1:39" ht="12.75" customHeight="1" x14ac:dyDescent="0.2">
      <c r="A2143" s="289" t="str">
        <f>IF(B2143="","",COUNT('Diário 5º PA'!$A$5:$A$2634)+COUNT('Diário 6º PA'!$A$5:$A$2246)+ROW()-4)</f>
        <v/>
      </c>
      <c r="B2143" s="290"/>
      <c r="C2143" s="357"/>
      <c r="D2143" s="291"/>
      <c r="E2143" s="291"/>
      <c r="F2143" s="292"/>
      <c r="G2143" s="291"/>
      <c r="H2143" s="291"/>
      <c r="I2143" s="293"/>
      <c r="J2143" s="291"/>
      <c r="K2143" s="291"/>
      <c r="L2143" s="293"/>
      <c r="M2143" s="291"/>
      <c r="N2143" s="289"/>
      <c r="O2143" s="358"/>
      <c r="P2143" s="280">
        <f t="shared" ref="P2143:Q2143" si="359">IF(B2143=0,0,IF(YEAR(B2143)=$Q$1,MONTH(B2143)-$P$1+1,(YEAR(B2143)-$Q$1)*12-$P$1+1+MONTH(B2143)))</f>
        <v>0</v>
      </c>
      <c r="Q2143" s="280">
        <f t="shared" si="359"/>
        <v>0</v>
      </c>
      <c r="R2143" s="356" t="e">
        <f>#N/A</f>
        <v>#N/A</v>
      </c>
      <c r="S2143" s="269" t="str">
        <f>IF(D2143="","",IF(OR(D2143=Plano!$A$1,D2143=Plano!$B$1),"entrada","saída"))</f>
        <v/>
      </c>
      <c r="T2143" s="269"/>
      <c r="U2143" s="269"/>
      <c r="V2143" s="269"/>
      <c r="W2143" s="269"/>
      <c r="X2143" s="269"/>
      <c r="Y2143" s="269"/>
      <c r="Z2143" s="269"/>
      <c r="AA2143" s="269"/>
      <c r="AB2143" s="269"/>
      <c r="AC2143" s="269"/>
      <c r="AD2143" s="269"/>
      <c r="AE2143" s="269"/>
      <c r="AF2143" s="269"/>
      <c r="AG2143" s="269"/>
      <c r="AH2143" s="269"/>
      <c r="AI2143" s="269"/>
      <c r="AJ2143" s="269"/>
      <c r="AK2143" s="269"/>
      <c r="AL2143" s="269"/>
      <c r="AM2143" s="269"/>
    </row>
    <row r="2144" spans="1:39" ht="12.75" customHeight="1" x14ac:dyDescent="0.2">
      <c r="A2144" s="289" t="str">
        <f>IF(B2144="","",COUNT('Diário 5º PA'!$A$5:$A$2634)+COUNT('Diário 6º PA'!$A$5:$A$2246)+ROW()-4)</f>
        <v/>
      </c>
      <c r="B2144" s="290"/>
      <c r="C2144" s="357"/>
      <c r="D2144" s="291"/>
      <c r="E2144" s="291"/>
      <c r="F2144" s="292"/>
      <c r="G2144" s="291"/>
      <c r="H2144" s="291"/>
      <c r="I2144" s="293"/>
      <c r="J2144" s="291"/>
      <c r="K2144" s="291"/>
      <c r="L2144" s="293"/>
      <c r="M2144" s="291"/>
      <c r="N2144" s="289"/>
      <c r="O2144" s="358"/>
      <c r="P2144" s="280">
        <f t="shared" ref="P2144:Q2144" si="360">IF(B2144=0,0,IF(YEAR(B2144)=$Q$1,MONTH(B2144)-$P$1+1,(YEAR(B2144)-$Q$1)*12-$P$1+1+MONTH(B2144)))</f>
        <v>0</v>
      </c>
      <c r="Q2144" s="280">
        <f t="shared" si="360"/>
        <v>0</v>
      </c>
      <c r="R2144" s="356" t="e">
        <f>#N/A</f>
        <v>#N/A</v>
      </c>
      <c r="S2144" s="269" t="str">
        <f>IF(D2144="","",IF(OR(D2144=Plano!$A$1,D2144=Plano!$B$1),"entrada","saída"))</f>
        <v/>
      </c>
      <c r="T2144" s="269"/>
      <c r="U2144" s="269"/>
      <c r="V2144" s="269"/>
      <c r="W2144" s="269"/>
      <c r="X2144" s="269"/>
      <c r="Y2144" s="269"/>
      <c r="Z2144" s="269"/>
      <c r="AA2144" s="269"/>
      <c r="AB2144" s="269"/>
      <c r="AC2144" s="269"/>
      <c r="AD2144" s="269"/>
      <c r="AE2144" s="269"/>
      <c r="AF2144" s="269"/>
      <c r="AG2144" s="269"/>
      <c r="AH2144" s="269"/>
      <c r="AI2144" s="269"/>
      <c r="AJ2144" s="269"/>
      <c r="AK2144" s="269"/>
      <c r="AL2144" s="269"/>
      <c r="AM2144" s="269"/>
    </row>
    <row r="2145" spans="1:39" ht="12.75" customHeight="1" x14ac:dyDescent="0.2">
      <c r="A2145" s="289" t="str">
        <f>IF(B2145="","",COUNT('Diário 5º PA'!$A$5:$A$2634)+COUNT('Diário 6º PA'!$A$5:$A$2246)+ROW()-4)</f>
        <v/>
      </c>
      <c r="B2145" s="290"/>
      <c r="C2145" s="357"/>
      <c r="D2145" s="291"/>
      <c r="E2145" s="291"/>
      <c r="F2145" s="292"/>
      <c r="G2145" s="291"/>
      <c r="H2145" s="291"/>
      <c r="I2145" s="293"/>
      <c r="J2145" s="291"/>
      <c r="K2145" s="291"/>
      <c r="L2145" s="293"/>
      <c r="M2145" s="291"/>
      <c r="N2145" s="289"/>
      <c r="O2145" s="358"/>
      <c r="P2145" s="280">
        <f t="shared" ref="P2145:Q2145" si="361">IF(B2145=0,0,IF(YEAR(B2145)=$Q$1,MONTH(B2145)-$P$1+1,(YEAR(B2145)-$Q$1)*12-$P$1+1+MONTH(B2145)))</f>
        <v>0</v>
      </c>
      <c r="Q2145" s="280">
        <f t="shared" si="361"/>
        <v>0</v>
      </c>
      <c r="R2145" s="356" t="e">
        <f>#N/A</f>
        <v>#N/A</v>
      </c>
      <c r="S2145" s="269" t="str">
        <f>IF(D2145="","",IF(OR(D2145=Plano!$A$1,D2145=Plano!$B$1),"entrada","saída"))</f>
        <v/>
      </c>
      <c r="T2145" s="269"/>
      <c r="U2145" s="269"/>
      <c r="V2145" s="269"/>
      <c r="W2145" s="269"/>
      <c r="X2145" s="269"/>
      <c r="Y2145" s="269"/>
      <c r="Z2145" s="269"/>
      <c r="AA2145" s="269"/>
      <c r="AB2145" s="269"/>
      <c r="AC2145" s="269"/>
      <c r="AD2145" s="269"/>
      <c r="AE2145" s="269"/>
      <c r="AF2145" s="269"/>
      <c r="AG2145" s="269"/>
      <c r="AH2145" s="269"/>
      <c r="AI2145" s="269"/>
      <c r="AJ2145" s="269"/>
      <c r="AK2145" s="269"/>
      <c r="AL2145" s="269"/>
      <c r="AM2145" s="269"/>
    </row>
    <row r="2146" spans="1:39" ht="12.75" customHeight="1" x14ac:dyDescent="0.2">
      <c r="A2146" s="289" t="str">
        <f>IF(B2146="","",COUNT('Diário 5º PA'!$A$5:$A$2634)+COUNT('Diário 6º PA'!$A$5:$A$2246)+ROW()-4)</f>
        <v/>
      </c>
      <c r="B2146" s="290"/>
      <c r="C2146" s="357"/>
      <c r="D2146" s="291"/>
      <c r="E2146" s="291"/>
      <c r="F2146" s="292"/>
      <c r="G2146" s="291"/>
      <c r="H2146" s="291"/>
      <c r="I2146" s="293"/>
      <c r="J2146" s="291"/>
      <c r="K2146" s="291"/>
      <c r="L2146" s="293"/>
      <c r="M2146" s="291"/>
      <c r="N2146" s="289"/>
      <c r="O2146" s="358"/>
      <c r="P2146" s="280">
        <f t="shared" ref="P2146:Q2146" si="362">IF(B2146=0,0,IF(YEAR(B2146)=$Q$1,MONTH(B2146)-$P$1+1,(YEAR(B2146)-$Q$1)*12-$P$1+1+MONTH(B2146)))</f>
        <v>0</v>
      </c>
      <c r="Q2146" s="280">
        <f t="shared" si="362"/>
        <v>0</v>
      </c>
      <c r="R2146" s="356" t="e">
        <f>#N/A</f>
        <v>#N/A</v>
      </c>
      <c r="S2146" s="269" t="str">
        <f>IF(D2146="","",IF(OR(D2146=Plano!$A$1,D2146=Plano!$B$1),"entrada","saída"))</f>
        <v/>
      </c>
      <c r="T2146" s="269"/>
      <c r="U2146" s="269"/>
      <c r="V2146" s="269"/>
      <c r="W2146" s="269"/>
      <c r="X2146" s="269"/>
      <c r="Y2146" s="269"/>
      <c r="Z2146" s="269"/>
      <c r="AA2146" s="269"/>
      <c r="AB2146" s="269"/>
      <c r="AC2146" s="269"/>
      <c r="AD2146" s="269"/>
      <c r="AE2146" s="269"/>
      <c r="AF2146" s="269"/>
      <c r="AG2146" s="269"/>
      <c r="AH2146" s="269"/>
      <c r="AI2146" s="269"/>
      <c r="AJ2146" s="269"/>
      <c r="AK2146" s="269"/>
      <c r="AL2146" s="269"/>
      <c r="AM2146" s="269"/>
    </row>
    <row r="2147" spans="1:39" ht="12.75" customHeight="1" x14ac:dyDescent="0.2">
      <c r="A2147" s="289" t="str">
        <f>IF(B2147="","",COUNT('Diário 5º PA'!$A$5:$A$2634)+COUNT('Diário 6º PA'!$A$5:$A$2246)+ROW()-4)</f>
        <v/>
      </c>
      <c r="B2147" s="290"/>
      <c r="C2147" s="357"/>
      <c r="D2147" s="291"/>
      <c r="E2147" s="291"/>
      <c r="F2147" s="292"/>
      <c r="G2147" s="291"/>
      <c r="H2147" s="291"/>
      <c r="I2147" s="293"/>
      <c r="J2147" s="291"/>
      <c r="K2147" s="291"/>
      <c r="L2147" s="293"/>
      <c r="M2147" s="291"/>
      <c r="N2147" s="289"/>
      <c r="O2147" s="358"/>
      <c r="P2147" s="280">
        <f t="shared" ref="P2147:Q2147" si="363">IF(B2147=0,0,IF(YEAR(B2147)=$Q$1,MONTH(B2147)-$P$1+1,(YEAR(B2147)-$Q$1)*12-$P$1+1+MONTH(B2147)))</f>
        <v>0</v>
      </c>
      <c r="Q2147" s="280">
        <f t="shared" si="363"/>
        <v>0</v>
      </c>
      <c r="R2147" s="356" t="e">
        <f>#N/A</f>
        <v>#N/A</v>
      </c>
      <c r="S2147" s="269" t="str">
        <f>IF(D2147="","",IF(OR(D2147=Plano!$A$1,D2147=Plano!$B$1),"entrada","saída"))</f>
        <v/>
      </c>
      <c r="T2147" s="269"/>
      <c r="U2147" s="269"/>
      <c r="V2147" s="269"/>
      <c r="W2147" s="269"/>
      <c r="X2147" s="269"/>
      <c r="Y2147" s="269"/>
      <c r="Z2147" s="269"/>
      <c r="AA2147" s="269"/>
      <c r="AB2147" s="269"/>
      <c r="AC2147" s="269"/>
      <c r="AD2147" s="269"/>
      <c r="AE2147" s="269"/>
      <c r="AF2147" s="269"/>
      <c r="AG2147" s="269"/>
      <c r="AH2147" s="269"/>
      <c r="AI2147" s="269"/>
      <c r="AJ2147" s="269"/>
      <c r="AK2147" s="269"/>
      <c r="AL2147" s="269"/>
      <c r="AM2147" s="269"/>
    </row>
    <row r="2148" spans="1:39" ht="12.75" customHeight="1" x14ac:dyDescent="0.2">
      <c r="A2148" s="289" t="str">
        <f>IF(B2148="","",COUNT('Diário 5º PA'!$A$5:$A$2634)+COUNT('Diário 6º PA'!$A$5:$A$2246)+ROW()-4)</f>
        <v/>
      </c>
      <c r="B2148" s="290"/>
      <c r="C2148" s="357"/>
      <c r="D2148" s="291"/>
      <c r="E2148" s="291"/>
      <c r="F2148" s="292"/>
      <c r="G2148" s="291"/>
      <c r="H2148" s="291"/>
      <c r="I2148" s="293"/>
      <c r="J2148" s="291"/>
      <c r="K2148" s="291"/>
      <c r="L2148" s="293"/>
      <c r="M2148" s="291"/>
      <c r="N2148" s="289"/>
      <c r="O2148" s="358"/>
      <c r="P2148" s="280">
        <f t="shared" ref="P2148:Q2148" si="364">IF(B2148=0,0,IF(YEAR(B2148)=$Q$1,MONTH(B2148)-$P$1+1,(YEAR(B2148)-$Q$1)*12-$P$1+1+MONTH(B2148)))</f>
        <v>0</v>
      </c>
      <c r="Q2148" s="280">
        <f t="shared" si="364"/>
        <v>0</v>
      </c>
      <c r="R2148" s="356" t="e">
        <f>#N/A</f>
        <v>#N/A</v>
      </c>
      <c r="S2148" s="269" t="str">
        <f>IF(D2148="","",IF(OR(D2148=Plano!$A$1,D2148=Plano!$B$1),"entrada","saída"))</f>
        <v/>
      </c>
      <c r="T2148" s="269"/>
      <c r="U2148" s="269"/>
      <c r="V2148" s="269"/>
      <c r="W2148" s="269"/>
      <c r="X2148" s="269"/>
      <c r="Y2148" s="269"/>
      <c r="Z2148" s="269"/>
      <c r="AA2148" s="269"/>
      <c r="AB2148" s="269"/>
      <c r="AC2148" s="269"/>
      <c r="AD2148" s="269"/>
      <c r="AE2148" s="269"/>
      <c r="AF2148" s="269"/>
      <c r="AG2148" s="269"/>
      <c r="AH2148" s="269"/>
      <c r="AI2148" s="269"/>
      <c r="AJ2148" s="269"/>
      <c r="AK2148" s="269"/>
      <c r="AL2148" s="269"/>
      <c r="AM2148" s="269"/>
    </row>
    <row r="2149" spans="1:39" ht="12.75" customHeight="1" x14ac:dyDescent="0.2">
      <c r="A2149" s="289" t="str">
        <f>IF(B2149="","",COUNT('Diário 5º PA'!$A$5:$A$2634)+COUNT('Diário 6º PA'!$A$5:$A$2246)+ROW()-4)</f>
        <v/>
      </c>
      <c r="B2149" s="290"/>
      <c r="C2149" s="357"/>
      <c r="D2149" s="291"/>
      <c r="E2149" s="291"/>
      <c r="F2149" s="292"/>
      <c r="G2149" s="291"/>
      <c r="H2149" s="291"/>
      <c r="I2149" s="293"/>
      <c r="J2149" s="291"/>
      <c r="K2149" s="291"/>
      <c r="L2149" s="293"/>
      <c r="M2149" s="291"/>
      <c r="N2149" s="289"/>
      <c r="O2149" s="358"/>
      <c r="P2149" s="280">
        <f t="shared" ref="P2149:Q2149" si="365">IF(B2149=0,0,IF(YEAR(B2149)=$Q$1,MONTH(B2149)-$P$1+1,(YEAR(B2149)-$Q$1)*12-$P$1+1+MONTH(B2149)))</f>
        <v>0</v>
      </c>
      <c r="Q2149" s="280">
        <f t="shared" si="365"/>
        <v>0</v>
      </c>
      <c r="R2149" s="356" t="e">
        <f>#N/A</f>
        <v>#N/A</v>
      </c>
      <c r="S2149" s="269" t="str">
        <f>IF(D2149="","",IF(OR(D2149=Plano!$A$1,D2149=Plano!$B$1),"entrada","saída"))</f>
        <v/>
      </c>
      <c r="T2149" s="269"/>
      <c r="U2149" s="269"/>
      <c r="V2149" s="269"/>
      <c r="W2149" s="269"/>
      <c r="X2149" s="269"/>
      <c r="Y2149" s="269"/>
      <c r="Z2149" s="269"/>
      <c r="AA2149" s="269"/>
      <c r="AB2149" s="269"/>
      <c r="AC2149" s="269"/>
      <c r="AD2149" s="269"/>
      <c r="AE2149" s="269"/>
      <c r="AF2149" s="269"/>
      <c r="AG2149" s="269"/>
      <c r="AH2149" s="269"/>
      <c r="AI2149" s="269"/>
      <c r="AJ2149" s="269"/>
      <c r="AK2149" s="269"/>
      <c r="AL2149" s="269"/>
      <c r="AM2149" s="269"/>
    </row>
    <row r="2150" spans="1:39" ht="12.75" customHeight="1" x14ac:dyDescent="0.2">
      <c r="A2150" s="289" t="str">
        <f>IF(B2150="","",COUNT('Diário 5º PA'!$A$5:$A$2634)+COUNT('Diário 6º PA'!$A$5:$A$2246)+ROW()-4)</f>
        <v/>
      </c>
      <c r="B2150" s="290"/>
      <c r="C2150" s="357"/>
      <c r="D2150" s="291"/>
      <c r="E2150" s="291"/>
      <c r="F2150" s="292"/>
      <c r="G2150" s="291"/>
      <c r="H2150" s="291"/>
      <c r="I2150" s="293"/>
      <c r="J2150" s="291"/>
      <c r="K2150" s="291"/>
      <c r="L2150" s="293"/>
      <c r="M2150" s="291"/>
      <c r="N2150" s="289"/>
      <c r="O2150" s="358"/>
      <c r="P2150" s="280">
        <f t="shared" ref="P2150:Q2150" si="366">IF(B2150=0,0,IF(YEAR(B2150)=$Q$1,MONTH(B2150)-$P$1+1,(YEAR(B2150)-$Q$1)*12-$P$1+1+MONTH(B2150)))</f>
        <v>0</v>
      </c>
      <c r="Q2150" s="280">
        <f t="shared" si="366"/>
        <v>0</v>
      </c>
      <c r="R2150" s="356" t="e">
        <f>#N/A</f>
        <v>#N/A</v>
      </c>
      <c r="S2150" s="269" t="str">
        <f>IF(D2150="","",IF(OR(D2150=Plano!$A$1,D2150=Plano!$B$1),"entrada","saída"))</f>
        <v/>
      </c>
      <c r="T2150" s="269"/>
      <c r="U2150" s="269"/>
      <c r="V2150" s="269"/>
      <c r="W2150" s="269"/>
      <c r="X2150" s="269"/>
      <c r="Y2150" s="269"/>
      <c r="Z2150" s="269"/>
      <c r="AA2150" s="269"/>
      <c r="AB2150" s="269"/>
      <c r="AC2150" s="269"/>
      <c r="AD2150" s="269"/>
      <c r="AE2150" s="269"/>
      <c r="AF2150" s="269"/>
      <c r="AG2150" s="269"/>
      <c r="AH2150" s="269"/>
      <c r="AI2150" s="269"/>
      <c r="AJ2150" s="269"/>
      <c r="AK2150" s="269"/>
      <c r="AL2150" s="269"/>
      <c r="AM2150" s="269"/>
    </row>
    <row r="2151" spans="1:39" ht="12.75" customHeight="1" x14ac:dyDescent="0.2">
      <c r="A2151" s="289" t="str">
        <f>IF(B2151="","",COUNT('Diário 5º PA'!$A$5:$A$2634)+COUNT('Diário 6º PA'!$A$5:$A$2246)+ROW()-4)</f>
        <v/>
      </c>
      <c r="B2151" s="290"/>
      <c r="C2151" s="357"/>
      <c r="D2151" s="291"/>
      <c r="E2151" s="291"/>
      <c r="F2151" s="292"/>
      <c r="G2151" s="291"/>
      <c r="H2151" s="291"/>
      <c r="I2151" s="293"/>
      <c r="J2151" s="291"/>
      <c r="K2151" s="291"/>
      <c r="L2151" s="293"/>
      <c r="M2151" s="291"/>
      <c r="N2151" s="289"/>
      <c r="O2151" s="358"/>
      <c r="P2151" s="280">
        <f t="shared" ref="P2151:Q2151" si="367">IF(B2151=0,0,IF(YEAR(B2151)=$Q$1,MONTH(B2151)-$P$1+1,(YEAR(B2151)-$Q$1)*12-$P$1+1+MONTH(B2151)))</f>
        <v>0</v>
      </c>
      <c r="Q2151" s="280">
        <f t="shared" si="367"/>
        <v>0</v>
      </c>
      <c r="R2151" s="356" t="e">
        <f>#N/A</f>
        <v>#N/A</v>
      </c>
      <c r="S2151" s="269" t="str">
        <f>IF(D2151="","",IF(OR(D2151=Plano!$A$1,D2151=Plano!$B$1),"entrada","saída"))</f>
        <v/>
      </c>
      <c r="T2151" s="269"/>
      <c r="U2151" s="269"/>
      <c r="V2151" s="269"/>
      <c r="W2151" s="269"/>
      <c r="X2151" s="269"/>
      <c r="Y2151" s="269"/>
      <c r="Z2151" s="269"/>
      <c r="AA2151" s="269"/>
      <c r="AB2151" s="269"/>
      <c r="AC2151" s="269"/>
      <c r="AD2151" s="269"/>
      <c r="AE2151" s="269"/>
      <c r="AF2151" s="269"/>
      <c r="AG2151" s="269"/>
      <c r="AH2151" s="269"/>
      <c r="AI2151" s="269"/>
      <c r="AJ2151" s="269"/>
      <c r="AK2151" s="269"/>
      <c r="AL2151" s="269"/>
      <c r="AM2151" s="269"/>
    </row>
    <row r="2152" spans="1:39" ht="12.75" customHeight="1" x14ac:dyDescent="0.2">
      <c r="A2152" s="289" t="str">
        <f>IF(B2152="","",COUNT('Diário 5º PA'!$A$5:$A$2634)+COUNT('Diário 6º PA'!$A$5:$A$2246)+ROW()-4)</f>
        <v/>
      </c>
      <c r="B2152" s="290"/>
      <c r="C2152" s="357"/>
      <c r="D2152" s="291"/>
      <c r="E2152" s="291"/>
      <c r="F2152" s="292"/>
      <c r="G2152" s="291"/>
      <c r="H2152" s="291"/>
      <c r="I2152" s="293"/>
      <c r="J2152" s="291"/>
      <c r="K2152" s="291"/>
      <c r="L2152" s="293"/>
      <c r="M2152" s="291"/>
      <c r="N2152" s="289"/>
      <c r="O2152" s="358"/>
      <c r="P2152" s="280">
        <f t="shared" ref="P2152:Q2152" si="368">IF(B2152=0,0,IF(YEAR(B2152)=$Q$1,MONTH(B2152)-$P$1+1,(YEAR(B2152)-$Q$1)*12-$P$1+1+MONTH(B2152)))</f>
        <v>0</v>
      </c>
      <c r="Q2152" s="280">
        <f t="shared" si="368"/>
        <v>0</v>
      </c>
      <c r="R2152" s="356" t="e">
        <f>#N/A</f>
        <v>#N/A</v>
      </c>
      <c r="S2152" s="269" t="str">
        <f>IF(D2152="","",IF(OR(D2152=Plano!$A$1,D2152=Plano!$B$1),"entrada","saída"))</f>
        <v/>
      </c>
      <c r="T2152" s="269"/>
      <c r="U2152" s="269"/>
      <c r="V2152" s="269"/>
      <c r="W2152" s="269"/>
      <c r="X2152" s="269"/>
      <c r="Y2152" s="269"/>
      <c r="Z2152" s="269"/>
      <c r="AA2152" s="269"/>
      <c r="AB2152" s="269"/>
      <c r="AC2152" s="269"/>
      <c r="AD2152" s="269"/>
      <c r="AE2152" s="269"/>
      <c r="AF2152" s="269"/>
      <c r="AG2152" s="269"/>
      <c r="AH2152" s="269"/>
      <c r="AI2152" s="269"/>
      <c r="AJ2152" s="269"/>
      <c r="AK2152" s="269"/>
      <c r="AL2152" s="269"/>
      <c r="AM2152" s="269"/>
    </row>
    <row r="2153" spans="1:39" ht="12.75" customHeight="1" x14ac:dyDescent="0.2">
      <c r="A2153" s="289" t="str">
        <f>IF(B2153="","",COUNT('Diário 5º PA'!$A$5:$A$2634)+COUNT('Diário 6º PA'!$A$5:$A$2246)+ROW()-4)</f>
        <v/>
      </c>
      <c r="B2153" s="290"/>
      <c r="C2153" s="357"/>
      <c r="D2153" s="291"/>
      <c r="E2153" s="291"/>
      <c r="F2153" s="292"/>
      <c r="G2153" s="291"/>
      <c r="H2153" s="291"/>
      <c r="I2153" s="293"/>
      <c r="J2153" s="291"/>
      <c r="K2153" s="291"/>
      <c r="L2153" s="293"/>
      <c r="M2153" s="291"/>
      <c r="N2153" s="289"/>
      <c r="O2153" s="358"/>
      <c r="P2153" s="280">
        <f t="shared" ref="P2153:Q2153" si="369">IF(B2153=0,0,IF(YEAR(B2153)=$Q$1,MONTH(B2153)-$P$1+1,(YEAR(B2153)-$Q$1)*12-$P$1+1+MONTH(B2153)))</f>
        <v>0</v>
      </c>
      <c r="Q2153" s="280">
        <f t="shared" si="369"/>
        <v>0</v>
      </c>
      <c r="R2153" s="356" t="e">
        <f>#N/A</f>
        <v>#N/A</v>
      </c>
      <c r="S2153" s="269" t="str">
        <f>IF(D2153="","",IF(OR(D2153=Plano!$A$1,D2153=Plano!$B$1),"entrada","saída"))</f>
        <v/>
      </c>
      <c r="T2153" s="269"/>
      <c r="U2153" s="269"/>
      <c r="V2153" s="269"/>
      <c r="W2153" s="269"/>
      <c r="X2153" s="269"/>
      <c r="Y2153" s="269"/>
      <c r="Z2153" s="269"/>
      <c r="AA2153" s="269"/>
      <c r="AB2153" s="269"/>
      <c r="AC2153" s="269"/>
      <c r="AD2153" s="269"/>
      <c r="AE2153" s="269"/>
      <c r="AF2153" s="269"/>
      <c r="AG2153" s="269"/>
      <c r="AH2153" s="269"/>
      <c r="AI2153" s="269"/>
      <c r="AJ2153" s="269"/>
      <c r="AK2153" s="269"/>
      <c r="AL2153" s="269"/>
      <c r="AM2153" s="269"/>
    </row>
    <row r="2154" spans="1:39" ht="12.75" customHeight="1" x14ac:dyDescent="0.2">
      <c r="A2154" s="289" t="str">
        <f>IF(B2154="","",COUNT('Diário 5º PA'!$A$5:$A$2634)+COUNT('Diário 6º PA'!$A$5:$A$2246)+ROW()-4)</f>
        <v/>
      </c>
      <c r="B2154" s="290"/>
      <c r="C2154" s="357"/>
      <c r="D2154" s="291"/>
      <c r="E2154" s="291"/>
      <c r="F2154" s="292"/>
      <c r="G2154" s="291"/>
      <c r="H2154" s="291"/>
      <c r="I2154" s="293"/>
      <c r="J2154" s="291"/>
      <c r="K2154" s="291"/>
      <c r="L2154" s="293"/>
      <c r="M2154" s="291"/>
      <c r="N2154" s="289"/>
      <c r="O2154" s="358"/>
      <c r="P2154" s="280">
        <f t="shared" ref="P2154:Q2154" si="370">IF(B2154=0,0,IF(YEAR(B2154)=$Q$1,MONTH(B2154)-$P$1+1,(YEAR(B2154)-$Q$1)*12-$P$1+1+MONTH(B2154)))</f>
        <v>0</v>
      </c>
      <c r="Q2154" s="280">
        <f t="shared" si="370"/>
        <v>0</v>
      </c>
      <c r="R2154" s="356" t="e">
        <f>#N/A</f>
        <v>#N/A</v>
      </c>
      <c r="S2154" s="269" t="str">
        <f>IF(D2154="","",IF(OR(D2154=Plano!$A$1,D2154=Plano!$B$1),"entrada","saída"))</f>
        <v/>
      </c>
      <c r="T2154" s="269"/>
      <c r="U2154" s="269"/>
      <c r="V2154" s="269"/>
      <c r="W2154" s="269"/>
      <c r="X2154" s="269"/>
      <c r="Y2154" s="269"/>
      <c r="Z2154" s="269"/>
      <c r="AA2154" s="269"/>
      <c r="AB2154" s="269"/>
      <c r="AC2154" s="269"/>
      <c r="AD2154" s="269"/>
      <c r="AE2154" s="269"/>
      <c r="AF2154" s="269"/>
      <c r="AG2154" s="269"/>
      <c r="AH2154" s="269"/>
      <c r="AI2154" s="269"/>
      <c r="AJ2154" s="269"/>
      <c r="AK2154" s="269"/>
      <c r="AL2154" s="269"/>
      <c r="AM2154" s="269"/>
    </row>
    <row r="2155" spans="1:39" ht="12.75" customHeight="1" x14ac:dyDescent="0.2">
      <c r="A2155" s="289" t="str">
        <f>IF(B2155="","",COUNT('Diário 5º PA'!$A$5:$A$2634)+COUNT('Diário 6º PA'!$A$5:$A$2246)+ROW()-4)</f>
        <v/>
      </c>
      <c r="B2155" s="290"/>
      <c r="C2155" s="357"/>
      <c r="D2155" s="291"/>
      <c r="E2155" s="291"/>
      <c r="F2155" s="292"/>
      <c r="G2155" s="291"/>
      <c r="H2155" s="291"/>
      <c r="I2155" s="293"/>
      <c r="J2155" s="291"/>
      <c r="K2155" s="291"/>
      <c r="L2155" s="293"/>
      <c r="M2155" s="291"/>
      <c r="N2155" s="289"/>
      <c r="O2155" s="358"/>
      <c r="P2155" s="280">
        <f t="shared" ref="P2155:Q2155" si="371">IF(B2155=0,0,IF(YEAR(B2155)=$Q$1,MONTH(B2155)-$P$1+1,(YEAR(B2155)-$Q$1)*12-$P$1+1+MONTH(B2155)))</f>
        <v>0</v>
      </c>
      <c r="Q2155" s="280">
        <f t="shared" si="371"/>
        <v>0</v>
      </c>
      <c r="R2155" s="356" t="e">
        <f>#N/A</f>
        <v>#N/A</v>
      </c>
      <c r="S2155" s="269" t="str">
        <f>IF(D2155="","",IF(OR(D2155=Plano!$A$1,D2155=Plano!$B$1),"entrada","saída"))</f>
        <v/>
      </c>
      <c r="T2155" s="269"/>
      <c r="U2155" s="269"/>
      <c r="V2155" s="269"/>
      <c r="W2155" s="269"/>
      <c r="X2155" s="269"/>
      <c r="Y2155" s="269"/>
      <c r="Z2155" s="269"/>
      <c r="AA2155" s="269"/>
      <c r="AB2155" s="269"/>
      <c r="AC2155" s="269"/>
      <c r="AD2155" s="269"/>
      <c r="AE2155" s="269"/>
      <c r="AF2155" s="269"/>
      <c r="AG2155" s="269"/>
      <c r="AH2155" s="269"/>
      <c r="AI2155" s="269"/>
      <c r="AJ2155" s="269"/>
      <c r="AK2155" s="269"/>
      <c r="AL2155" s="269"/>
      <c r="AM2155" s="269"/>
    </row>
    <row r="2156" spans="1:39" ht="12.75" customHeight="1" x14ac:dyDescent="0.2">
      <c r="A2156" s="289" t="str">
        <f>IF(B2156="","",COUNT('Diário 5º PA'!$A$5:$A$2634)+COUNT('Diário 6º PA'!$A$5:$A$2246)+ROW()-4)</f>
        <v/>
      </c>
      <c r="B2156" s="290"/>
      <c r="C2156" s="357"/>
      <c r="D2156" s="291"/>
      <c r="E2156" s="291"/>
      <c r="F2156" s="292"/>
      <c r="G2156" s="291"/>
      <c r="H2156" s="291"/>
      <c r="I2156" s="293"/>
      <c r="J2156" s="291"/>
      <c r="K2156" s="291"/>
      <c r="L2156" s="293"/>
      <c r="M2156" s="291"/>
      <c r="N2156" s="289"/>
      <c r="O2156" s="358"/>
      <c r="P2156" s="280">
        <f t="shared" ref="P2156:Q2156" si="372">IF(B2156=0,0,IF(YEAR(B2156)=$Q$1,MONTH(B2156)-$P$1+1,(YEAR(B2156)-$Q$1)*12-$P$1+1+MONTH(B2156)))</f>
        <v>0</v>
      </c>
      <c r="Q2156" s="280">
        <f t="shared" si="372"/>
        <v>0</v>
      </c>
      <c r="R2156" s="356" t="e">
        <f>#N/A</f>
        <v>#N/A</v>
      </c>
      <c r="S2156" s="269" t="str">
        <f>IF(D2156="","",IF(OR(D2156=Plano!$A$1,D2156=Plano!$B$1),"entrada","saída"))</f>
        <v/>
      </c>
      <c r="T2156" s="269"/>
      <c r="U2156" s="269"/>
      <c r="V2156" s="269"/>
      <c r="W2156" s="269"/>
      <c r="X2156" s="269"/>
      <c r="Y2156" s="269"/>
      <c r="Z2156" s="269"/>
      <c r="AA2156" s="269"/>
      <c r="AB2156" s="269"/>
      <c r="AC2156" s="269"/>
      <c r="AD2156" s="269"/>
      <c r="AE2156" s="269"/>
      <c r="AF2156" s="269"/>
      <c r="AG2156" s="269"/>
      <c r="AH2156" s="269"/>
      <c r="AI2156" s="269"/>
      <c r="AJ2156" s="269"/>
      <c r="AK2156" s="269"/>
      <c r="AL2156" s="269"/>
      <c r="AM2156" s="269"/>
    </row>
    <row r="2157" spans="1:39" ht="12.75" customHeight="1" x14ac:dyDescent="0.2">
      <c r="A2157" s="289" t="str">
        <f>IF(B2157="","",COUNT('Diário 5º PA'!$A$5:$A$2634)+COUNT('Diário 6º PA'!$A$5:$A$2246)+ROW()-4)</f>
        <v/>
      </c>
      <c r="B2157" s="290"/>
      <c r="C2157" s="357"/>
      <c r="D2157" s="291"/>
      <c r="E2157" s="291"/>
      <c r="F2157" s="292"/>
      <c r="G2157" s="291"/>
      <c r="H2157" s="291"/>
      <c r="I2157" s="293"/>
      <c r="J2157" s="291"/>
      <c r="K2157" s="291"/>
      <c r="L2157" s="293"/>
      <c r="M2157" s="291"/>
      <c r="N2157" s="289"/>
      <c r="O2157" s="358"/>
      <c r="P2157" s="280">
        <f t="shared" ref="P2157:Q2157" si="373">IF(B2157=0,0,IF(YEAR(B2157)=$Q$1,MONTH(B2157)-$P$1+1,(YEAR(B2157)-$Q$1)*12-$P$1+1+MONTH(B2157)))</f>
        <v>0</v>
      </c>
      <c r="Q2157" s="280">
        <f t="shared" si="373"/>
        <v>0</v>
      </c>
      <c r="R2157" s="356" t="e">
        <f>#N/A</f>
        <v>#N/A</v>
      </c>
      <c r="S2157" s="269" t="str">
        <f>IF(D2157="","",IF(OR(D2157=Plano!$A$1,D2157=Plano!$B$1),"entrada","saída"))</f>
        <v/>
      </c>
      <c r="T2157" s="269"/>
      <c r="U2157" s="269"/>
      <c r="V2157" s="269"/>
      <c r="W2157" s="269"/>
      <c r="X2157" s="269"/>
      <c r="Y2157" s="269"/>
      <c r="Z2157" s="269"/>
      <c r="AA2157" s="269"/>
      <c r="AB2157" s="269"/>
      <c r="AC2157" s="269"/>
      <c r="AD2157" s="269"/>
      <c r="AE2157" s="269"/>
      <c r="AF2157" s="269"/>
      <c r="AG2157" s="269"/>
      <c r="AH2157" s="269"/>
      <c r="AI2157" s="269"/>
      <c r="AJ2157" s="269"/>
      <c r="AK2157" s="269"/>
      <c r="AL2157" s="269"/>
      <c r="AM2157" s="269"/>
    </row>
    <row r="2158" spans="1:39" ht="12.75" customHeight="1" x14ac:dyDescent="0.2">
      <c r="A2158" s="289" t="str">
        <f>IF(B2158="","",COUNT('Diário 5º PA'!$A$5:$A$2634)+COUNT('Diário 6º PA'!$A$5:$A$2246)+ROW()-4)</f>
        <v/>
      </c>
      <c r="B2158" s="290"/>
      <c r="C2158" s="357"/>
      <c r="D2158" s="291"/>
      <c r="E2158" s="291"/>
      <c r="F2158" s="292"/>
      <c r="G2158" s="291"/>
      <c r="H2158" s="291"/>
      <c r="I2158" s="293"/>
      <c r="J2158" s="291"/>
      <c r="K2158" s="291"/>
      <c r="L2158" s="293"/>
      <c r="M2158" s="291"/>
      <c r="N2158" s="289"/>
      <c r="O2158" s="358"/>
      <c r="P2158" s="280">
        <f t="shared" ref="P2158:Q2158" si="374">IF(B2158=0,0,IF(YEAR(B2158)=$Q$1,MONTH(B2158)-$P$1+1,(YEAR(B2158)-$Q$1)*12-$P$1+1+MONTH(B2158)))</f>
        <v>0</v>
      </c>
      <c r="Q2158" s="280">
        <f t="shared" si="374"/>
        <v>0</v>
      </c>
      <c r="R2158" s="356" t="e">
        <f>#N/A</f>
        <v>#N/A</v>
      </c>
      <c r="S2158" s="269" t="str">
        <f>IF(D2158="","",IF(OR(D2158=Plano!$A$1,D2158=Plano!$B$1),"entrada","saída"))</f>
        <v/>
      </c>
      <c r="T2158" s="269"/>
      <c r="U2158" s="269"/>
      <c r="V2158" s="269"/>
      <c r="W2158" s="269"/>
      <c r="X2158" s="269"/>
      <c r="Y2158" s="269"/>
      <c r="Z2158" s="269"/>
      <c r="AA2158" s="269"/>
      <c r="AB2158" s="269"/>
      <c r="AC2158" s="269"/>
      <c r="AD2158" s="269"/>
      <c r="AE2158" s="269"/>
      <c r="AF2158" s="269"/>
      <c r="AG2158" s="269"/>
      <c r="AH2158" s="269"/>
      <c r="AI2158" s="269"/>
      <c r="AJ2158" s="269"/>
      <c r="AK2158" s="269"/>
      <c r="AL2158" s="269"/>
      <c r="AM2158" s="269"/>
    </row>
    <row r="2159" spans="1:39" ht="12.75" customHeight="1" x14ac:dyDescent="0.2">
      <c r="A2159" s="289" t="str">
        <f>IF(B2159="","",COUNT('Diário 5º PA'!$A$5:$A$2634)+COUNT('Diário 6º PA'!$A$5:$A$2246)+ROW()-4)</f>
        <v/>
      </c>
      <c r="B2159" s="290"/>
      <c r="C2159" s="357"/>
      <c r="D2159" s="291"/>
      <c r="E2159" s="291"/>
      <c r="F2159" s="292"/>
      <c r="G2159" s="291"/>
      <c r="H2159" s="291"/>
      <c r="I2159" s="293"/>
      <c r="J2159" s="291"/>
      <c r="K2159" s="291"/>
      <c r="L2159" s="293"/>
      <c r="M2159" s="291"/>
      <c r="N2159" s="289"/>
      <c r="O2159" s="358"/>
      <c r="P2159" s="280">
        <f t="shared" ref="P2159:Q2159" si="375">IF(B2159=0,0,IF(YEAR(B2159)=$Q$1,MONTH(B2159)-$P$1+1,(YEAR(B2159)-$Q$1)*12-$P$1+1+MONTH(B2159)))</f>
        <v>0</v>
      </c>
      <c r="Q2159" s="280">
        <f t="shared" si="375"/>
        <v>0</v>
      </c>
      <c r="R2159" s="356" t="e">
        <f>#N/A</f>
        <v>#N/A</v>
      </c>
      <c r="S2159" s="269" t="str">
        <f>IF(D2159="","",IF(OR(D2159=Plano!$A$1,D2159=Plano!$B$1),"entrada","saída"))</f>
        <v/>
      </c>
      <c r="T2159" s="269"/>
      <c r="U2159" s="269"/>
      <c r="V2159" s="269"/>
      <c r="W2159" s="269"/>
      <c r="X2159" s="269"/>
      <c r="Y2159" s="269"/>
      <c r="Z2159" s="269"/>
      <c r="AA2159" s="269"/>
      <c r="AB2159" s="269"/>
      <c r="AC2159" s="269"/>
      <c r="AD2159" s="269"/>
      <c r="AE2159" s="269"/>
      <c r="AF2159" s="269"/>
      <c r="AG2159" s="269"/>
      <c r="AH2159" s="269"/>
      <c r="AI2159" s="269"/>
      <c r="AJ2159" s="269"/>
      <c r="AK2159" s="269"/>
      <c r="AL2159" s="269"/>
      <c r="AM2159" s="269"/>
    </row>
    <row r="2160" spans="1:39" ht="12.75" customHeight="1" x14ac:dyDescent="0.2">
      <c r="A2160" s="289" t="str">
        <f>IF(B2160="","",COUNT('Diário 5º PA'!$A$5:$A$2634)+COUNT('Diário 6º PA'!$A$5:$A$2246)+ROW()-4)</f>
        <v/>
      </c>
      <c r="B2160" s="290"/>
      <c r="C2160" s="357"/>
      <c r="D2160" s="291"/>
      <c r="E2160" s="291"/>
      <c r="F2160" s="292"/>
      <c r="G2160" s="291"/>
      <c r="H2160" s="291"/>
      <c r="I2160" s="293"/>
      <c r="J2160" s="291"/>
      <c r="K2160" s="291"/>
      <c r="L2160" s="293"/>
      <c r="M2160" s="291"/>
      <c r="N2160" s="289"/>
      <c r="O2160" s="358"/>
      <c r="P2160" s="280">
        <f t="shared" ref="P2160:Q2160" si="376">IF(B2160=0,0,IF(YEAR(B2160)=$Q$1,MONTH(B2160)-$P$1+1,(YEAR(B2160)-$Q$1)*12-$P$1+1+MONTH(B2160)))</f>
        <v>0</v>
      </c>
      <c r="Q2160" s="280">
        <f t="shared" si="376"/>
        <v>0</v>
      </c>
      <c r="R2160" s="356" t="e">
        <f>#N/A</f>
        <v>#N/A</v>
      </c>
      <c r="S2160" s="269" t="str">
        <f>IF(D2160="","",IF(OR(D2160=Plano!$A$1,D2160=Plano!$B$1),"entrada","saída"))</f>
        <v/>
      </c>
      <c r="T2160" s="269"/>
      <c r="U2160" s="269"/>
      <c r="V2160" s="269"/>
      <c r="W2160" s="269"/>
      <c r="X2160" s="269"/>
      <c r="Y2160" s="269"/>
      <c r="Z2160" s="269"/>
      <c r="AA2160" s="269"/>
      <c r="AB2160" s="269"/>
      <c r="AC2160" s="269"/>
      <c r="AD2160" s="269"/>
      <c r="AE2160" s="269"/>
      <c r="AF2160" s="269"/>
      <c r="AG2160" s="269"/>
      <c r="AH2160" s="269"/>
      <c r="AI2160" s="269"/>
      <c r="AJ2160" s="269"/>
      <c r="AK2160" s="269"/>
      <c r="AL2160" s="269"/>
      <c r="AM2160" s="269"/>
    </row>
    <row r="2161" spans="1:39" ht="12.75" customHeight="1" x14ac:dyDescent="0.2">
      <c r="A2161" s="289" t="str">
        <f>IF(B2161="","",COUNT('Diário 5º PA'!$A$5:$A$2634)+COUNT('Diário 6º PA'!$A$5:$A$2246)+ROW()-4)</f>
        <v/>
      </c>
      <c r="B2161" s="290"/>
      <c r="C2161" s="357"/>
      <c r="D2161" s="291"/>
      <c r="E2161" s="291"/>
      <c r="F2161" s="292"/>
      <c r="G2161" s="291"/>
      <c r="H2161" s="291"/>
      <c r="I2161" s="293"/>
      <c r="J2161" s="291"/>
      <c r="K2161" s="291"/>
      <c r="L2161" s="293"/>
      <c r="M2161" s="291"/>
      <c r="N2161" s="289"/>
      <c r="O2161" s="358"/>
      <c r="P2161" s="280">
        <f t="shared" ref="P2161:Q2161" si="377">IF(B2161=0,0,IF(YEAR(B2161)=$Q$1,MONTH(B2161)-$P$1+1,(YEAR(B2161)-$Q$1)*12-$P$1+1+MONTH(B2161)))</f>
        <v>0</v>
      </c>
      <c r="Q2161" s="280">
        <f t="shared" si="377"/>
        <v>0</v>
      </c>
      <c r="R2161" s="356" t="e">
        <f>#N/A</f>
        <v>#N/A</v>
      </c>
      <c r="S2161" s="269" t="str">
        <f>IF(D2161="","",IF(OR(D2161=Plano!$A$1,D2161=Plano!$B$1),"entrada","saída"))</f>
        <v/>
      </c>
      <c r="T2161" s="269"/>
      <c r="U2161" s="269"/>
      <c r="V2161" s="269"/>
      <c r="W2161" s="269"/>
      <c r="X2161" s="269"/>
      <c r="Y2161" s="269"/>
      <c r="Z2161" s="269"/>
      <c r="AA2161" s="269"/>
      <c r="AB2161" s="269"/>
      <c r="AC2161" s="269"/>
      <c r="AD2161" s="269"/>
      <c r="AE2161" s="269"/>
      <c r="AF2161" s="269"/>
      <c r="AG2161" s="269"/>
      <c r="AH2161" s="269"/>
      <c r="AI2161" s="269"/>
      <c r="AJ2161" s="269"/>
      <c r="AK2161" s="269"/>
      <c r="AL2161" s="269"/>
      <c r="AM2161" s="269"/>
    </row>
    <row r="2162" spans="1:39" ht="12.75" customHeight="1" x14ac:dyDescent="0.2">
      <c r="A2162" s="289" t="str">
        <f>IF(B2162="","",COUNT('Diário 5º PA'!$A$5:$A$2634)+COUNT('Diário 6º PA'!$A$5:$A$2246)+ROW()-4)</f>
        <v/>
      </c>
      <c r="B2162" s="290"/>
      <c r="C2162" s="357"/>
      <c r="D2162" s="291"/>
      <c r="E2162" s="291"/>
      <c r="F2162" s="292"/>
      <c r="G2162" s="291"/>
      <c r="H2162" s="291"/>
      <c r="I2162" s="293"/>
      <c r="J2162" s="291"/>
      <c r="K2162" s="291"/>
      <c r="L2162" s="293"/>
      <c r="M2162" s="291"/>
      <c r="N2162" s="289"/>
      <c r="O2162" s="358"/>
      <c r="P2162" s="280">
        <f t="shared" ref="P2162:Q2162" si="378">IF(B2162=0,0,IF(YEAR(B2162)=$Q$1,MONTH(B2162)-$P$1+1,(YEAR(B2162)-$Q$1)*12-$P$1+1+MONTH(B2162)))</f>
        <v>0</v>
      </c>
      <c r="Q2162" s="280">
        <f t="shared" si="378"/>
        <v>0</v>
      </c>
      <c r="R2162" s="356" t="e">
        <f>#N/A</f>
        <v>#N/A</v>
      </c>
      <c r="S2162" s="269" t="str">
        <f>IF(D2162="","",IF(OR(D2162=Plano!$A$1,D2162=Plano!$B$1),"entrada","saída"))</f>
        <v/>
      </c>
      <c r="T2162" s="269"/>
      <c r="U2162" s="269"/>
      <c r="V2162" s="269"/>
      <c r="W2162" s="269"/>
      <c r="X2162" s="269"/>
      <c r="Y2162" s="269"/>
      <c r="Z2162" s="269"/>
      <c r="AA2162" s="269"/>
      <c r="AB2162" s="269"/>
      <c r="AC2162" s="269"/>
      <c r="AD2162" s="269"/>
      <c r="AE2162" s="269"/>
      <c r="AF2162" s="269"/>
      <c r="AG2162" s="269"/>
      <c r="AH2162" s="269"/>
      <c r="AI2162" s="269"/>
      <c r="AJ2162" s="269"/>
      <c r="AK2162" s="269"/>
      <c r="AL2162" s="269"/>
      <c r="AM2162" s="269"/>
    </row>
    <row r="2163" spans="1:39" ht="12.75" customHeight="1" x14ac:dyDescent="0.2">
      <c r="A2163" s="289" t="str">
        <f>IF(B2163="","",COUNT('Diário 5º PA'!$A$5:$A$2634)+COUNT('Diário 6º PA'!$A$5:$A$2246)+ROW()-4)</f>
        <v/>
      </c>
      <c r="B2163" s="290"/>
      <c r="C2163" s="357"/>
      <c r="D2163" s="291"/>
      <c r="E2163" s="291"/>
      <c r="F2163" s="292"/>
      <c r="G2163" s="291"/>
      <c r="H2163" s="291"/>
      <c r="I2163" s="293"/>
      <c r="J2163" s="291"/>
      <c r="K2163" s="291"/>
      <c r="L2163" s="293"/>
      <c r="M2163" s="291"/>
      <c r="N2163" s="289"/>
      <c r="O2163" s="358"/>
      <c r="P2163" s="280">
        <f t="shared" ref="P2163:Q2163" si="379">IF(B2163=0,0,IF(YEAR(B2163)=$Q$1,MONTH(B2163)-$P$1+1,(YEAR(B2163)-$Q$1)*12-$P$1+1+MONTH(B2163)))</f>
        <v>0</v>
      </c>
      <c r="Q2163" s="280">
        <f t="shared" si="379"/>
        <v>0</v>
      </c>
      <c r="R2163" s="356" t="e">
        <f>#N/A</f>
        <v>#N/A</v>
      </c>
      <c r="S2163" s="269" t="str">
        <f>IF(D2163="","",IF(OR(D2163=Plano!$A$1,D2163=Plano!$B$1),"entrada","saída"))</f>
        <v/>
      </c>
      <c r="T2163" s="269"/>
      <c r="U2163" s="269"/>
      <c r="V2163" s="269"/>
      <c r="W2163" s="269"/>
      <c r="X2163" s="269"/>
      <c r="Y2163" s="269"/>
      <c r="Z2163" s="269"/>
      <c r="AA2163" s="269"/>
      <c r="AB2163" s="269"/>
      <c r="AC2163" s="269"/>
      <c r="AD2163" s="269"/>
      <c r="AE2163" s="269"/>
      <c r="AF2163" s="269"/>
      <c r="AG2163" s="269"/>
      <c r="AH2163" s="269"/>
      <c r="AI2163" s="269"/>
      <c r="AJ2163" s="269"/>
      <c r="AK2163" s="269"/>
      <c r="AL2163" s="269"/>
      <c r="AM2163" s="269"/>
    </row>
    <row r="2164" spans="1:39" ht="12.75" customHeight="1" x14ac:dyDescent="0.2">
      <c r="A2164" s="289" t="str">
        <f>IF(B2164="","",COUNT('Diário 5º PA'!$A$5:$A$2634)+COUNT('Diário 6º PA'!$A$5:$A$2246)+ROW()-4)</f>
        <v/>
      </c>
      <c r="B2164" s="290"/>
      <c r="C2164" s="357"/>
      <c r="D2164" s="291"/>
      <c r="E2164" s="291"/>
      <c r="F2164" s="292"/>
      <c r="G2164" s="291"/>
      <c r="H2164" s="291"/>
      <c r="I2164" s="293"/>
      <c r="J2164" s="291"/>
      <c r="K2164" s="291"/>
      <c r="L2164" s="293"/>
      <c r="M2164" s="291"/>
      <c r="N2164" s="289"/>
      <c r="O2164" s="358"/>
      <c r="P2164" s="280">
        <f t="shared" ref="P2164:Q2164" si="380">IF(B2164=0,0,IF(YEAR(B2164)=$Q$1,MONTH(B2164)-$P$1+1,(YEAR(B2164)-$Q$1)*12-$P$1+1+MONTH(B2164)))</f>
        <v>0</v>
      </c>
      <c r="Q2164" s="280">
        <f t="shared" si="380"/>
        <v>0</v>
      </c>
      <c r="R2164" s="356" t="e">
        <f>#N/A</f>
        <v>#N/A</v>
      </c>
      <c r="S2164" s="269" t="str">
        <f>IF(D2164="","",IF(OR(D2164=Plano!$A$1,D2164=Plano!$B$1),"entrada","saída"))</f>
        <v/>
      </c>
      <c r="T2164" s="269"/>
      <c r="U2164" s="269"/>
      <c r="V2164" s="269"/>
      <c r="W2164" s="269"/>
      <c r="X2164" s="269"/>
      <c r="Y2164" s="269"/>
      <c r="Z2164" s="269"/>
      <c r="AA2164" s="269"/>
      <c r="AB2164" s="269"/>
      <c r="AC2164" s="269"/>
      <c r="AD2164" s="269"/>
      <c r="AE2164" s="269"/>
      <c r="AF2164" s="269"/>
      <c r="AG2164" s="269"/>
      <c r="AH2164" s="269"/>
      <c r="AI2164" s="269"/>
      <c r="AJ2164" s="269"/>
      <c r="AK2164" s="269"/>
      <c r="AL2164" s="269"/>
      <c r="AM2164" s="269"/>
    </row>
    <row r="2165" spans="1:39" ht="12.75" customHeight="1" x14ac:dyDescent="0.2">
      <c r="A2165" s="289" t="str">
        <f>IF(B2165="","",COUNT('Diário 5º PA'!$A$5:$A$2634)+COUNT('Diário 6º PA'!$A$5:$A$2246)+ROW()-4)</f>
        <v/>
      </c>
      <c r="B2165" s="290"/>
      <c r="C2165" s="357"/>
      <c r="D2165" s="291"/>
      <c r="E2165" s="291"/>
      <c r="F2165" s="292"/>
      <c r="G2165" s="291"/>
      <c r="H2165" s="291"/>
      <c r="I2165" s="293"/>
      <c r="J2165" s="291"/>
      <c r="K2165" s="291"/>
      <c r="L2165" s="293"/>
      <c r="M2165" s="291"/>
      <c r="N2165" s="289"/>
      <c r="O2165" s="358"/>
      <c r="P2165" s="280">
        <f t="shared" ref="P2165:Q2165" si="381">IF(B2165=0,0,IF(YEAR(B2165)=$Q$1,MONTH(B2165)-$P$1+1,(YEAR(B2165)-$Q$1)*12-$P$1+1+MONTH(B2165)))</f>
        <v>0</v>
      </c>
      <c r="Q2165" s="280">
        <f t="shared" si="381"/>
        <v>0</v>
      </c>
      <c r="R2165" s="356" t="e">
        <f>#N/A</f>
        <v>#N/A</v>
      </c>
      <c r="S2165" s="269" t="str">
        <f>IF(D2165="","",IF(OR(D2165=Plano!$A$1,D2165=Plano!$B$1),"entrada","saída"))</f>
        <v/>
      </c>
      <c r="T2165" s="269"/>
      <c r="U2165" s="269"/>
      <c r="V2165" s="269"/>
      <c r="W2165" s="269"/>
      <c r="X2165" s="269"/>
      <c r="Y2165" s="269"/>
      <c r="Z2165" s="269"/>
      <c r="AA2165" s="269"/>
      <c r="AB2165" s="269"/>
      <c r="AC2165" s="269"/>
      <c r="AD2165" s="269"/>
      <c r="AE2165" s="269"/>
      <c r="AF2165" s="269"/>
      <c r="AG2165" s="269"/>
      <c r="AH2165" s="269"/>
      <c r="AI2165" s="269"/>
      <c r="AJ2165" s="269"/>
      <c r="AK2165" s="269"/>
      <c r="AL2165" s="269"/>
      <c r="AM2165" s="269"/>
    </row>
    <row r="2166" spans="1:39" ht="12.75" customHeight="1" x14ac:dyDescent="0.2">
      <c r="A2166" s="289" t="str">
        <f>IF(B2166="","",COUNT('Diário 5º PA'!$A$5:$A$2634)+COUNT('Diário 6º PA'!$A$5:$A$2246)+ROW()-4)</f>
        <v/>
      </c>
      <c r="B2166" s="290"/>
      <c r="C2166" s="357"/>
      <c r="D2166" s="291"/>
      <c r="E2166" s="291"/>
      <c r="F2166" s="292"/>
      <c r="G2166" s="291"/>
      <c r="H2166" s="291"/>
      <c r="I2166" s="293"/>
      <c r="J2166" s="291"/>
      <c r="K2166" s="291"/>
      <c r="L2166" s="293"/>
      <c r="M2166" s="291"/>
      <c r="N2166" s="289"/>
      <c r="O2166" s="358"/>
      <c r="P2166" s="280">
        <f t="shared" ref="P2166:Q2166" si="382">IF(B2166=0,0,IF(YEAR(B2166)=$Q$1,MONTH(B2166)-$P$1+1,(YEAR(B2166)-$Q$1)*12-$P$1+1+MONTH(B2166)))</f>
        <v>0</v>
      </c>
      <c r="Q2166" s="280">
        <f t="shared" si="382"/>
        <v>0</v>
      </c>
      <c r="R2166" s="356" t="e">
        <f>#N/A</f>
        <v>#N/A</v>
      </c>
      <c r="S2166" s="269" t="str">
        <f>IF(D2166="","",IF(OR(D2166=Plano!$A$1,D2166=Plano!$B$1),"entrada","saída"))</f>
        <v/>
      </c>
      <c r="T2166" s="269"/>
      <c r="U2166" s="269"/>
      <c r="V2166" s="269"/>
      <c r="W2166" s="269"/>
      <c r="X2166" s="269"/>
      <c r="Y2166" s="269"/>
      <c r="Z2166" s="269"/>
      <c r="AA2166" s="269"/>
      <c r="AB2166" s="269"/>
      <c r="AC2166" s="269"/>
      <c r="AD2166" s="269"/>
      <c r="AE2166" s="269"/>
      <c r="AF2166" s="269"/>
      <c r="AG2166" s="269"/>
      <c r="AH2166" s="269"/>
      <c r="AI2166" s="269"/>
      <c r="AJ2166" s="269"/>
      <c r="AK2166" s="269"/>
      <c r="AL2166" s="269"/>
      <c r="AM2166" s="269"/>
    </row>
    <row r="2167" spans="1:39" ht="12.75" customHeight="1" x14ac:dyDescent="0.2">
      <c r="A2167" s="289" t="str">
        <f>IF(B2167="","",COUNT('Diário 5º PA'!$A$5:$A$2634)+COUNT('Diário 6º PA'!$A$5:$A$2246)+ROW()-4)</f>
        <v/>
      </c>
      <c r="B2167" s="290"/>
      <c r="C2167" s="357"/>
      <c r="D2167" s="291"/>
      <c r="E2167" s="291"/>
      <c r="F2167" s="292"/>
      <c r="G2167" s="291"/>
      <c r="H2167" s="291"/>
      <c r="I2167" s="293"/>
      <c r="J2167" s="291"/>
      <c r="K2167" s="291"/>
      <c r="L2167" s="293"/>
      <c r="M2167" s="291"/>
      <c r="N2167" s="289"/>
      <c r="O2167" s="358"/>
      <c r="P2167" s="280">
        <f t="shared" ref="P2167:Q2167" si="383">IF(B2167=0,0,IF(YEAR(B2167)=$Q$1,MONTH(B2167)-$P$1+1,(YEAR(B2167)-$Q$1)*12-$P$1+1+MONTH(B2167)))</f>
        <v>0</v>
      </c>
      <c r="Q2167" s="280">
        <f t="shared" si="383"/>
        <v>0</v>
      </c>
      <c r="R2167" s="356" t="e">
        <f>#N/A</f>
        <v>#N/A</v>
      </c>
      <c r="S2167" s="269" t="str">
        <f>IF(D2167="","",IF(OR(D2167=Plano!$A$1,D2167=Plano!$B$1),"entrada","saída"))</f>
        <v/>
      </c>
      <c r="T2167" s="269"/>
      <c r="U2167" s="269"/>
      <c r="V2167" s="269"/>
      <c r="W2167" s="269"/>
      <c r="X2167" s="269"/>
      <c r="Y2167" s="269"/>
      <c r="Z2167" s="269"/>
      <c r="AA2167" s="269"/>
      <c r="AB2167" s="269"/>
      <c r="AC2167" s="269"/>
      <c r="AD2167" s="269"/>
      <c r="AE2167" s="269"/>
      <c r="AF2167" s="269"/>
      <c r="AG2167" s="269"/>
      <c r="AH2167" s="269"/>
      <c r="AI2167" s="269"/>
      <c r="AJ2167" s="269"/>
      <c r="AK2167" s="269"/>
      <c r="AL2167" s="269"/>
      <c r="AM2167" s="269"/>
    </row>
    <row r="2168" spans="1:39" ht="12.75" customHeight="1" x14ac:dyDescent="0.2">
      <c r="A2168" s="289" t="str">
        <f>IF(B2168="","",COUNT('Diário 5º PA'!$A$5:$A$2634)+COUNT('Diário 6º PA'!$A$5:$A$2246)+ROW()-4)</f>
        <v/>
      </c>
      <c r="B2168" s="290"/>
      <c r="C2168" s="357"/>
      <c r="D2168" s="291"/>
      <c r="E2168" s="291"/>
      <c r="F2168" s="292"/>
      <c r="G2168" s="291"/>
      <c r="H2168" s="291"/>
      <c r="I2168" s="293"/>
      <c r="J2168" s="291"/>
      <c r="K2168" s="291"/>
      <c r="L2168" s="293"/>
      <c r="M2168" s="291"/>
      <c r="N2168" s="289"/>
      <c r="O2168" s="358"/>
      <c r="P2168" s="280">
        <f t="shared" ref="P2168:Q2168" si="384">IF(B2168=0,0,IF(YEAR(B2168)=$Q$1,MONTH(B2168)-$P$1+1,(YEAR(B2168)-$Q$1)*12-$P$1+1+MONTH(B2168)))</f>
        <v>0</v>
      </c>
      <c r="Q2168" s="280">
        <f t="shared" si="384"/>
        <v>0</v>
      </c>
      <c r="R2168" s="356" t="e">
        <f>#N/A</f>
        <v>#N/A</v>
      </c>
      <c r="S2168" s="269" t="str">
        <f>IF(D2168="","",IF(OR(D2168=Plano!$A$1,D2168=Plano!$B$1),"entrada","saída"))</f>
        <v/>
      </c>
      <c r="T2168" s="269"/>
      <c r="U2168" s="269"/>
      <c r="V2168" s="269"/>
      <c r="W2168" s="269"/>
      <c r="X2168" s="269"/>
      <c r="Y2168" s="269"/>
      <c r="Z2168" s="269"/>
      <c r="AA2168" s="269"/>
      <c r="AB2168" s="269"/>
      <c r="AC2168" s="269"/>
      <c r="AD2168" s="269"/>
      <c r="AE2168" s="269"/>
      <c r="AF2168" s="269"/>
      <c r="AG2168" s="269"/>
      <c r="AH2168" s="269"/>
      <c r="AI2168" s="269"/>
      <c r="AJ2168" s="269"/>
      <c r="AK2168" s="269"/>
      <c r="AL2168" s="269"/>
      <c r="AM2168" s="269"/>
    </row>
    <row r="2169" spans="1:39" ht="12.75" customHeight="1" x14ac:dyDescent="0.2">
      <c r="A2169" s="289" t="str">
        <f>IF(B2169="","",COUNT('Diário 5º PA'!$A$5:$A$2634)+COUNT('Diário 6º PA'!$A$5:$A$2246)+ROW()-4)</f>
        <v/>
      </c>
      <c r="B2169" s="290"/>
      <c r="C2169" s="357"/>
      <c r="D2169" s="291"/>
      <c r="E2169" s="291"/>
      <c r="F2169" s="292"/>
      <c r="G2169" s="291"/>
      <c r="H2169" s="291"/>
      <c r="I2169" s="293"/>
      <c r="J2169" s="291"/>
      <c r="K2169" s="291"/>
      <c r="L2169" s="293"/>
      <c r="M2169" s="291"/>
      <c r="N2169" s="289"/>
      <c r="O2169" s="358"/>
      <c r="P2169" s="280">
        <f t="shared" ref="P2169:Q2169" si="385">IF(B2169=0,0,IF(YEAR(B2169)=$Q$1,MONTH(B2169)-$P$1+1,(YEAR(B2169)-$Q$1)*12-$P$1+1+MONTH(B2169)))</f>
        <v>0</v>
      </c>
      <c r="Q2169" s="280">
        <f t="shared" si="385"/>
        <v>0</v>
      </c>
      <c r="R2169" s="356" t="e">
        <f>#N/A</f>
        <v>#N/A</v>
      </c>
      <c r="S2169" s="269" t="str">
        <f>IF(D2169="","",IF(OR(D2169=Plano!$A$1,D2169=Plano!$B$1),"entrada","saída"))</f>
        <v/>
      </c>
      <c r="T2169" s="269"/>
      <c r="U2169" s="269"/>
      <c r="V2169" s="269"/>
      <c r="W2169" s="269"/>
      <c r="X2169" s="269"/>
      <c r="Y2169" s="269"/>
      <c r="Z2169" s="269"/>
      <c r="AA2169" s="269"/>
      <c r="AB2169" s="269"/>
      <c r="AC2169" s="269"/>
      <c r="AD2169" s="269"/>
      <c r="AE2169" s="269"/>
      <c r="AF2169" s="269"/>
      <c r="AG2169" s="269"/>
      <c r="AH2169" s="269"/>
      <c r="AI2169" s="269"/>
      <c r="AJ2169" s="269"/>
      <c r="AK2169" s="269"/>
      <c r="AL2169" s="269"/>
      <c r="AM2169" s="269"/>
    </row>
    <row r="2170" spans="1:39" ht="12.75" customHeight="1" x14ac:dyDescent="0.2">
      <c r="A2170" s="289" t="str">
        <f>IF(B2170="","",COUNT('Diário 5º PA'!$A$5:$A$2634)+COUNT('Diário 6º PA'!$A$5:$A$2246)+ROW()-4)</f>
        <v/>
      </c>
      <c r="B2170" s="290"/>
      <c r="C2170" s="357"/>
      <c r="D2170" s="291"/>
      <c r="E2170" s="291"/>
      <c r="F2170" s="292"/>
      <c r="G2170" s="291"/>
      <c r="H2170" s="291"/>
      <c r="I2170" s="293"/>
      <c r="J2170" s="291"/>
      <c r="K2170" s="291"/>
      <c r="L2170" s="293"/>
      <c r="M2170" s="291"/>
      <c r="N2170" s="289"/>
      <c r="O2170" s="358"/>
      <c r="P2170" s="280">
        <f t="shared" ref="P2170:Q2170" si="386">IF(B2170=0,0,IF(YEAR(B2170)=$Q$1,MONTH(B2170)-$P$1+1,(YEAR(B2170)-$Q$1)*12-$P$1+1+MONTH(B2170)))</f>
        <v>0</v>
      </c>
      <c r="Q2170" s="280">
        <f t="shared" si="386"/>
        <v>0</v>
      </c>
      <c r="R2170" s="356" t="e">
        <f>#N/A</f>
        <v>#N/A</v>
      </c>
      <c r="S2170" s="269" t="str">
        <f>IF(D2170="","",IF(OR(D2170=Plano!$A$1,D2170=Plano!$B$1),"entrada","saída"))</f>
        <v/>
      </c>
      <c r="T2170" s="269"/>
      <c r="U2170" s="269"/>
      <c r="V2170" s="269"/>
      <c r="W2170" s="269"/>
      <c r="X2170" s="269"/>
      <c r="Y2170" s="269"/>
      <c r="Z2170" s="269"/>
      <c r="AA2170" s="269"/>
      <c r="AB2170" s="269"/>
      <c r="AC2170" s="269"/>
      <c r="AD2170" s="269"/>
      <c r="AE2170" s="269"/>
      <c r="AF2170" s="269"/>
      <c r="AG2170" s="269"/>
      <c r="AH2170" s="269"/>
      <c r="AI2170" s="269"/>
      <c r="AJ2170" s="269"/>
      <c r="AK2170" s="269"/>
      <c r="AL2170" s="269"/>
      <c r="AM2170" s="269"/>
    </row>
    <row r="2171" spans="1:39" ht="12.75" customHeight="1" x14ac:dyDescent="0.2">
      <c r="A2171" s="289" t="str">
        <f>IF(B2171="","",COUNT('Diário 5º PA'!$A$5:$A$2634)+COUNT('Diário 6º PA'!$A$5:$A$2246)+ROW()-4)</f>
        <v/>
      </c>
      <c r="B2171" s="290"/>
      <c r="C2171" s="357"/>
      <c r="D2171" s="291"/>
      <c r="E2171" s="291"/>
      <c r="F2171" s="292"/>
      <c r="G2171" s="291"/>
      <c r="H2171" s="291"/>
      <c r="I2171" s="293"/>
      <c r="J2171" s="291"/>
      <c r="K2171" s="291"/>
      <c r="L2171" s="293"/>
      <c r="M2171" s="291"/>
      <c r="N2171" s="289"/>
      <c r="O2171" s="358"/>
      <c r="P2171" s="280">
        <f t="shared" ref="P2171:Q2171" si="387">IF(B2171=0,0,IF(YEAR(B2171)=$Q$1,MONTH(B2171)-$P$1+1,(YEAR(B2171)-$Q$1)*12-$P$1+1+MONTH(B2171)))</f>
        <v>0</v>
      </c>
      <c r="Q2171" s="280">
        <f t="shared" si="387"/>
        <v>0</v>
      </c>
      <c r="R2171" s="356" t="e">
        <f>#N/A</f>
        <v>#N/A</v>
      </c>
      <c r="S2171" s="269" t="str">
        <f>IF(D2171="","",IF(OR(D2171=Plano!$A$1,D2171=Plano!$B$1),"entrada","saída"))</f>
        <v/>
      </c>
      <c r="T2171" s="269"/>
      <c r="U2171" s="269"/>
      <c r="V2171" s="269"/>
      <c r="W2171" s="269"/>
      <c r="X2171" s="269"/>
      <c r="Y2171" s="269"/>
      <c r="Z2171" s="269"/>
      <c r="AA2171" s="269"/>
      <c r="AB2171" s="269"/>
      <c r="AC2171" s="269"/>
      <c r="AD2171" s="269"/>
      <c r="AE2171" s="269"/>
      <c r="AF2171" s="269"/>
      <c r="AG2171" s="269"/>
      <c r="AH2171" s="269"/>
      <c r="AI2171" s="269"/>
      <c r="AJ2171" s="269"/>
      <c r="AK2171" s="269"/>
      <c r="AL2171" s="269"/>
      <c r="AM2171" s="269"/>
    </row>
    <row r="2172" spans="1:39" ht="12.75" customHeight="1" x14ac:dyDescent="0.2">
      <c r="A2172" s="289" t="str">
        <f>IF(B2172="","",COUNT('Diário 5º PA'!$A$5:$A$2634)+COUNT('Diário 6º PA'!$A$5:$A$2246)+ROW()-4)</f>
        <v/>
      </c>
      <c r="B2172" s="290"/>
      <c r="C2172" s="357"/>
      <c r="D2172" s="291"/>
      <c r="E2172" s="291"/>
      <c r="F2172" s="292"/>
      <c r="G2172" s="291"/>
      <c r="H2172" s="291"/>
      <c r="I2172" s="293"/>
      <c r="J2172" s="291"/>
      <c r="K2172" s="291"/>
      <c r="L2172" s="293"/>
      <c r="M2172" s="291"/>
      <c r="N2172" s="289"/>
      <c r="O2172" s="358"/>
      <c r="P2172" s="280">
        <f t="shared" ref="P2172:Q2172" si="388">IF(B2172=0,0,IF(YEAR(B2172)=$Q$1,MONTH(B2172)-$P$1+1,(YEAR(B2172)-$Q$1)*12-$P$1+1+MONTH(B2172)))</f>
        <v>0</v>
      </c>
      <c r="Q2172" s="280">
        <f t="shared" si="388"/>
        <v>0</v>
      </c>
      <c r="R2172" s="356" t="e">
        <f>#N/A</f>
        <v>#N/A</v>
      </c>
      <c r="S2172" s="269" t="str">
        <f>IF(D2172="","",IF(OR(D2172=Plano!$A$1,D2172=Plano!$B$1),"entrada","saída"))</f>
        <v/>
      </c>
      <c r="T2172" s="269"/>
      <c r="U2172" s="269"/>
      <c r="V2172" s="269"/>
      <c r="W2172" s="269"/>
      <c r="X2172" s="269"/>
      <c r="Y2172" s="269"/>
      <c r="Z2172" s="269"/>
      <c r="AA2172" s="269"/>
      <c r="AB2172" s="269"/>
      <c r="AC2172" s="269"/>
      <c r="AD2172" s="269"/>
      <c r="AE2172" s="269"/>
      <c r="AF2172" s="269"/>
      <c r="AG2172" s="269"/>
      <c r="AH2172" s="269"/>
      <c r="AI2172" s="269"/>
      <c r="AJ2172" s="269"/>
      <c r="AK2172" s="269"/>
      <c r="AL2172" s="269"/>
      <c r="AM2172" s="269"/>
    </row>
    <row r="2173" spans="1:39" ht="12.75" customHeight="1" x14ac:dyDescent="0.2">
      <c r="A2173" s="289" t="str">
        <f>IF(B2173="","",COUNT('Diário 5º PA'!$A$5:$A$2634)+COUNT('Diário 6º PA'!$A$5:$A$2246)+ROW()-4)</f>
        <v/>
      </c>
      <c r="B2173" s="290"/>
      <c r="C2173" s="357"/>
      <c r="D2173" s="291"/>
      <c r="E2173" s="291"/>
      <c r="F2173" s="292"/>
      <c r="G2173" s="291"/>
      <c r="H2173" s="291"/>
      <c r="I2173" s="293"/>
      <c r="J2173" s="291"/>
      <c r="K2173" s="291"/>
      <c r="L2173" s="293"/>
      <c r="M2173" s="291"/>
      <c r="N2173" s="289"/>
      <c r="O2173" s="358"/>
      <c r="P2173" s="280">
        <f t="shared" ref="P2173:Q2173" si="389">IF(B2173=0,0,IF(YEAR(B2173)=$Q$1,MONTH(B2173)-$P$1+1,(YEAR(B2173)-$Q$1)*12-$P$1+1+MONTH(B2173)))</f>
        <v>0</v>
      </c>
      <c r="Q2173" s="280">
        <f t="shared" si="389"/>
        <v>0</v>
      </c>
      <c r="R2173" s="356" t="e">
        <f>#N/A</f>
        <v>#N/A</v>
      </c>
      <c r="S2173" s="269" t="str">
        <f>IF(D2173="","",IF(OR(D2173=Plano!$A$1,D2173=Plano!$B$1),"entrada","saída"))</f>
        <v/>
      </c>
      <c r="T2173" s="269"/>
      <c r="U2173" s="269"/>
      <c r="V2173" s="269"/>
      <c r="W2173" s="269"/>
      <c r="X2173" s="269"/>
      <c r="Y2173" s="269"/>
      <c r="Z2173" s="269"/>
      <c r="AA2173" s="269"/>
      <c r="AB2173" s="269"/>
      <c r="AC2173" s="269"/>
      <c r="AD2173" s="269"/>
      <c r="AE2173" s="269"/>
      <c r="AF2173" s="269"/>
      <c r="AG2173" s="269"/>
      <c r="AH2173" s="269"/>
      <c r="AI2173" s="269"/>
      <c r="AJ2173" s="269"/>
      <c r="AK2173" s="269"/>
      <c r="AL2173" s="269"/>
      <c r="AM2173" s="269"/>
    </row>
    <row r="2174" spans="1:39" ht="12.75" customHeight="1" x14ac:dyDescent="0.2">
      <c r="A2174" s="289" t="str">
        <f>IF(B2174="","",COUNT('Diário 5º PA'!$A$5:$A$2634)+COUNT('Diário 6º PA'!$A$5:$A$2246)+ROW()-4)</f>
        <v/>
      </c>
      <c r="B2174" s="290"/>
      <c r="C2174" s="357"/>
      <c r="D2174" s="291"/>
      <c r="E2174" s="291"/>
      <c r="F2174" s="292"/>
      <c r="G2174" s="291"/>
      <c r="H2174" s="291"/>
      <c r="I2174" s="293"/>
      <c r="J2174" s="291"/>
      <c r="K2174" s="291"/>
      <c r="L2174" s="293"/>
      <c r="M2174" s="291"/>
      <c r="N2174" s="289"/>
      <c r="O2174" s="358"/>
      <c r="P2174" s="280">
        <f t="shared" ref="P2174:Q2174" si="390">IF(B2174=0,0,IF(YEAR(B2174)=$Q$1,MONTH(B2174)-$P$1+1,(YEAR(B2174)-$Q$1)*12-$P$1+1+MONTH(B2174)))</f>
        <v>0</v>
      </c>
      <c r="Q2174" s="280">
        <f t="shared" si="390"/>
        <v>0</v>
      </c>
      <c r="R2174" s="356" t="e">
        <f>#N/A</f>
        <v>#N/A</v>
      </c>
      <c r="S2174" s="269" t="str">
        <f>IF(D2174="","",IF(OR(D2174=Plano!$A$1,D2174=Plano!$B$1),"entrada","saída"))</f>
        <v/>
      </c>
      <c r="T2174" s="269"/>
      <c r="U2174" s="269"/>
      <c r="V2174" s="269"/>
      <c r="W2174" s="269"/>
      <c r="X2174" s="269"/>
      <c r="Y2174" s="269"/>
      <c r="Z2174" s="269"/>
      <c r="AA2174" s="269"/>
      <c r="AB2174" s="269"/>
      <c r="AC2174" s="269"/>
      <c r="AD2174" s="269"/>
      <c r="AE2174" s="269"/>
      <c r="AF2174" s="269"/>
      <c r="AG2174" s="269"/>
      <c r="AH2174" s="269"/>
      <c r="AI2174" s="269"/>
      <c r="AJ2174" s="269"/>
      <c r="AK2174" s="269"/>
      <c r="AL2174" s="269"/>
      <c r="AM2174" s="269"/>
    </row>
    <row r="2175" spans="1:39" ht="12.75" customHeight="1" x14ac:dyDescent="0.2">
      <c r="A2175" s="289" t="str">
        <f>IF(B2175="","",COUNT('Diário 5º PA'!$A$5:$A$2634)+COUNT('Diário 6º PA'!$A$5:$A$2246)+ROW()-4)</f>
        <v/>
      </c>
      <c r="B2175" s="290"/>
      <c r="C2175" s="357"/>
      <c r="D2175" s="291"/>
      <c r="E2175" s="291"/>
      <c r="F2175" s="292"/>
      <c r="G2175" s="291"/>
      <c r="H2175" s="291"/>
      <c r="I2175" s="293"/>
      <c r="J2175" s="291"/>
      <c r="K2175" s="291"/>
      <c r="L2175" s="293"/>
      <c r="M2175" s="291"/>
      <c r="N2175" s="289"/>
      <c r="O2175" s="358"/>
      <c r="P2175" s="280">
        <f t="shared" ref="P2175:Q2175" si="391">IF(B2175=0,0,IF(YEAR(B2175)=$Q$1,MONTH(B2175)-$P$1+1,(YEAR(B2175)-$Q$1)*12-$P$1+1+MONTH(B2175)))</f>
        <v>0</v>
      </c>
      <c r="Q2175" s="280">
        <f t="shared" si="391"/>
        <v>0</v>
      </c>
      <c r="R2175" s="356" t="e">
        <f>#N/A</f>
        <v>#N/A</v>
      </c>
      <c r="S2175" s="269" t="str">
        <f>IF(D2175="","",IF(OR(D2175=Plano!$A$1,D2175=Plano!$B$1),"entrada","saída"))</f>
        <v/>
      </c>
      <c r="T2175" s="269"/>
      <c r="U2175" s="269"/>
      <c r="V2175" s="269"/>
      <c r="W2175" s="269"/>
      <c r="X2175" s="269"/>
      <c r="Y2175" s="269"/>
      <c r="Z2175" s="269"/>
      <c r="AA2175" s="269"/>
      <c r="AB2175" s="269"/>
      <c r="AC2175" s="269"/>
      <c r="AD2175" s="269"/>
      <c r="AE2175" s="269"/>
      <c r="AF2175" s="269"/>
      <c r="AG2175" s="269"/>
      <c r="AH2175" s="269"/>
      <c r="AI2175" s="269"/>
      <c r="AJ2175" s="269"/>
      <c r="AK2175" s="269"/>
      <c r="AL2175" s="269"/>
      <c r="AM2175" s="269"/>
    </row>
    <row r="2176" spans="1:39" ht="12.75" customHeight="1" x14ac:dyDescent="0.2">
      <c r="A2176" s="289" t="str">
        <f>IF(B2176="","",COUNT('Diário 5º PA'!$A$5:$A$2634)+COUNT('Diário 6º PA'!$A$5:$A$2246)+ROW()-4)</f>
        <v/>
      </c>
      <c r="B2176" s="290"/>
      <c r="C2176" s="357"/>
      <c r="D2176" s="291"/>
      <c r="E2176" s="291"/>
      <c r="F2176" s="292"/>
      <c r="G2176" s="291"/>
      <c r="H2176" s="291"/>
      <c r="I2176" s="293"/>
      <c r="J2176" s="291"/>
      <c r="K2176" s="291"/>
      <c r="L2176" s="293"/>
      <c r="M2176" s="291"/>
      <c r="N2176" s="289"/>
      <c r="O2176" s="358"/>
      <c r="P2176" s="280">
        <f t="shared" ref="P2176:Q2176" si="392">IF(B2176=0,0,IF(YEAR(B2176)=$Q$1,MONTH(B2176)-$P$1+1,(YEAR(B2176)-$Q$1)*12-$P$1+1+MONTH(B2176)))</f>
        <v>0</v>
      </c>
      <c r="Q2176" s="280">
        <f t="shared" si="392"/>
        <v>0</v>
      </c>
      <c r="R2176" s="356" t="e">
        <f>#N/A</f>
        <v>#N/A</v>
      </c>
      <c r="S2176" s="269" t="str">
        <f>IF(D2176="","",IF(OR(D2176=Plano!$A$1,D2176=Plano!$B$1),"entrada","saída"))</f>
        <v/>
      </c>
      <c r="T2176" s="269"/>
      <c r="U2176" s="269"/>
      <c r="V2176" s="269"/>
      <c r="W2176" s="269"/>
      <c r="X2176" s="269"/>
      <c r="Y2176" s="269"/>
      <c r="Z2176" s="269"/>
      <c r="AA2176" s="269"/>
      <c r="AB2176" s="269"/>
      <c r="AC2176" s="269"/>
      <c r="AD2176" s="269"/>
      <c r="AE2176" s="269"/>
      <c r="AF2176" s="269"/>
      <c r="AG2176" s="269"/>
      <c r="AH2176" s="269"/>
      <c r="AI2176" s="269"/>
      <c r="AJ2176" s="269"/>
      <c r="AK2176" s="269"/>
      <c r="AL2176" s="269"/>
      <c r="AM2176" s="269"/>
    </row>
    <row r="2177" spans="1:39" ht="12.75" customHeight="1" x14ac:dyDescent="0.2">
      <c r="A2177" s="289" t="str">
        <f>IF(B2177="","",COUNT('Diário 5º PA'!$A$5:$A$2634)+COUNT('Diário 6º PA'!$A$5:$A$2246)+ROW()-4)</f>
        <v/>
      </c>
      <c r="B2177" s="290"/>
      <c r="C2177" s="357"/>
      <c r="D2177" s="291"/>
      <c r="E2177" s="291"/>
      <c r="F2177" s="292"/>
      <c r="G2177" s="291"/>
      <c r="H2177" s="291"/>
      <c r="I2177" s="293"/>
      <c r="J2177" s="291"/>
      <c r="K2177" s="291"/>
      <c r="L2177" s="293"/>
      <c r="M2177" s="291"/>
      <c r="N2177" s="289"/>
      <c r="O2177" s="358"/>
      <c r="P2177" s="280">
        <f t="shared" ref="P2177:Q2177" si="393">IF(B2177=0,0,IF(YEAR(B2177)=$Q$1,MONTH(B2177)-$P$1+1,(YEAR(B2177)-$Q$1)*12-$P$1+1+MONTH(B2177)))</f>
        <v>0</v>
      </c>
      <c r="Q2177" s="280">
        <f t="shared" si="393"/>
        <v>0</v>
      </c>
      <c r="R2177" s="356" t="e">
        <f>#N/A</f>
        <v>#N/A</v>
      </c>
      <c r="S2177" s="269" t="str">
        <f>IF(D2177="","",IF(OR(D2177=Plano!$A$1,D2177=Plano!$B$1),"entrada","saída"))</f>
        <v/>
      </c>
      <c r="T2177" s="269"/>
      <c r="U2177" s="269"/>
      <c r="V2177" s="269"/>
      <c r="W2177" s="269"/>
      <c r="X2177" s="269"/>
      <c r="Y2177" s="269"/>
      <c r="Z2177" s="269"/>
      <c r="AA2177" s="269"/>
      <c r="AB2177" s="269"/>
      <c r="AC2177" s="269"/>
      <c r="AD2177" s="269"/>
      <c r="AE2177" s="269"/>
      <c r="AF2177" s="269"/>
      <c r="AG2177" s="269"/>
      <c r="AH2177" s="269"/>
      <c r="AI2177" s="269"/>
      <c r="AJ2177" s="269"/>
      <c r="AK2177" s="269"/>
      <c r="AL2177" s="269"/>
      <c r="AM2177" s="269"/>
    </row>
    <row r="2178" spans="1:39" ht="12.75" customHeight="1" x14ac:dyDescent="0.2">
      <c r="A2178" s="289" t="str">
        <f>IF(B2178="","",COUNT('Diário 5º PA'!$A$5:$A$2634)+COUNT('Diário 6º PA'!$A$5:$A$2246)+ROW()-4)</f>
        <v/>
      </c>
      <c r="B2178" s="290"/>
      <c r="C2178" s="357"/>
      <c r="D2178" s="291"/>
      <c r="E2178" s="291"/>
      <c r="F2178" s="292"/>
      <c r="G2178" s="291"/>
      <c r="H2178" s="291"/>
      <c r="I2178" s="293"/>
      <c r="J2178" s="291"/>
      <c r="K2178" s="291"/>
      <c r="L2178" s="293"/>
      <c r="M2178" s="291"/>
      <c r="N2178" s="289"/>
      <c r="O2178" s="358"/>
      <c r="P2178" s="280">
        <f t="shared" ref="P2178:Q2178" si="394">IF(B2178=0,0,IF(YEAR(B2178)=$Q$1,MONTH(B2178)-$P$1+1,(YEAR(B2178)-$Q$1)*12-$P$1+1+MONTH(B2178)))</f>
        <v>0</v>
      </c>
      <c r="Q2178" s="280">
        <f t="shared" si="394"/>
        <v>0</v>
      </c>
      <c r="R2178" s="356" t="e">
        <f>#N/A</f>
        <v>#N/A</v>
      </c>
      <c r="S2178" s="269" t="str">
        <f>IF(D2178="","",IF(OR(D2178=Plano!$A$1,D2178=Plano!$B$1),"entrada","saída"))</f>
        <v/>
      </c>
      <c r="T2178" s="269"/>
      <c r="U2178" s="269"/>
      <c r="V2178" s="269"/>
      <c r="W2178" s="269"/>
      <c r="X2178" s="269"/>
      <c r="Y2178" s="269"/>
      <c r="Z2178" s="269"/>
      <c r="AA2178" s="269"/>
      <c r="AB2178" s="269"/>
      <c r="AC2178" s="269"/>
      <c r="AD2178" s="269"/>
      <c r="AE2178" s="269"/>
      <c r="AF2178" s="269"/>
      <c r="AG2178" s="269"/>
      <c r="AH2178" s="269"/>
      <c r="AI2178" s="269"/>
      <c r="AJ2178" s="269"/>
      <c r="AK2178" s="269"/>
      <c r="AL2178" s="269"/>
      <c r="AM2178" s="269"/>
    </row>
    <row r="2179" spans="1:39" ht="12.75" customHeight="1" x14ac:dyDescent="0.2">
      <c r="A2179" s="289" t="str">
        <f>IF(B2179="","",COUNT('Diário 5º PA'!$A$5:$A$2634)+COUNT('Diário 6º PA'!$A$5:$A$2246)+ROW()-4)</f>
        <v/>
      </c>
      <c r="B2179" s="290"/>
      <c r="C2179" s="357"/>
      <c r="D2179" s="291"/>
      <c r="E2179" s="291"/>
      <c r="F2179" s="292"/>
      <c r="G2179" s="291"/>
      <c r="H2179" s="291"/>
      <c r="I2179" s="293"/>
      <c r="J2179" s="291"/>
      <c r="K2179" s="291"/>
      <c r="L2179" s="293"/>
      <c r="M2179" s="291"/>
      <c r="N2179" s="289"/>
      <c r="O2179" s="358"/>
      <c r="P2179" s="280">
        <f t="shared" ref="P2179:Q2179" si="395">IF(B2179=0,0,IF(YEAR(B2179)=$Q$1,MONTH(B2179)-$P$1+1,(YEAR(B2179)-$Q$1)*12-$P$1+1+MONTH(B2179)))</f>
        <v>0</v>
      </c>
      <c r="Q2179" s="280">
        <f t="shared" si="395"/>
        <v>0</v>
      </c>
      <c r="R2179" s="356" t="e">
        <f>#N/A</f>
        <v>#N/A</v>
      </c>
      <c r="S2179" s="269" t="str">
        <f>IF(D2179="","",IF(OR(D2179=Plano!$A$1,D2179=Plano!$B$1),"entrada","saída"))</f>
        <v/>
      </c>
      <c r="T2179" s="269"/>
      <c r="U2179" s="269"/>
      <c r="V2179" s="269"/>
      <c r="W2179" s="269"/>
      <c r="X2179" s="269"/>
      <c r="Y2179" s="269"/>
      <c r="Z2179" s="269"/>
      <c r="AA2179" s="269"/>
      <c r="AB2179" s="269"/>
      <c r="AC2179" s="269"/>
      <c r="AD2179" s="269"/>
      <c r="AE2179" s="269"/>
      <c r="AF2179" s="269"/>
      <c r="AG2179" s="269"/>
      <c r="AH2179" s="269"/>
      <c r="AI2179" s="269"/>
      <c r="AJ2179" s="269"/>
      <c r="AK2179" s="269"/>
      <c r="AL2179" s="269"/>
      <c r="AM2179" s="269"/>
    </row>
    <row r="2180" spans="1:39" ht="12.75" customHeight="1" x14ac:dyDescent="0.2">
      <c r="A2180" s="289" t="str">
        <f>IF(B2180="","",COUNT('Diário 5º PA'!$A$5:$A$2634)+COUNT('Diário 6º PA'!$A$5:$A$2246)+ROW()-4)</f>
        <v/>
      </c>
      <c r="B2180" s="290"/>
      <c r="C2180" s="357"/>
      <c r="D2180" s="291"/>
      <c r="E2180" s="291"/>
      <c r="F2180" s="292"/>
      <c r="G2180" s="291"/>
      <c r="H2180" s="291"/>
      <c r="I2180" s="293"/>
      <c r="J2180" s="291"/>
      <c r="K2180" s="291"/>
      <c r="L2180" s="293"/>
      <c r="M2180" s="291"/>
      <c r="N2180" s="289"/>
      <c r="O2180" s="358"/>
      <c r="P2180" s="280">
        <f t="shared" ref="P2180:Q2180" si="396">IF(B2180=0,0,IF(YEAR(B2180)=$Q$1,MONTH(B2180)-$P$1+1,(YEAR(B2180)-$Q$1)*12-$P$1+1+MONTH(B2180)))</f>
        <v>0</v>
      </c>
      <c r="Q2180" s="280">
        <f t="shared" si="396"/>
        <v>0</v>
      </c>
      <c r="R2180" s="356" t="e">
        <f>#N/A</f>
        <v>#N/A</v>
      </c>
      <c r="S2180" s="269" t="str">
        <f>IF(D2180="","",IF(OR(D2180=Plano!$A$1,D2180=Plano!$B$1),"entrada","saída"))</f>
        <v/>
      </c>
      <c r="T2180" s="269"/>
      <c r="U2180" s="269"/>
      <c r="V2180" s="269"/>
      <c r="W2180" s="269"/>
      <c r="X2180" s="269"/>
      <c r="Y2180" s="269"/>
      <c r="Z2180" s="269"/>
      <c r="AA2180" s="269"/>
      <c r="AB2180" s="269"/>
      <c r="AC2180" s="269"/>
      <c r="AD2180" s="269"/>
      <c r="AE2180" s="269"/>
      <c r="AF2180" s="269"/>
      <c r="AG2180" s="269"/>
      <c r="AH2180" s="269"/>
      <c r="AI2180" s="269"/>
      <c r="AJ2180" s="269"/>
      <c r="AK2180" s="269"/>
      <c r="AL2180" s="269"/>
      <c r="AM2180" s="269"/>
    </row>
    <row r="2181" spans="1:39" ht="12.75" customHeight="1" x14ac:dyDescent="0.2">
      <c r="A2181" s="289" t="str">
        <f>IF(B2181="","",COUNT('Diário 5º PA'!$A$5:$A$2634)+COUNT('Diário 6º PA'!$A$5:$A$2246)+ROW()-4)</f>
        <v/>
      </c>
      <c r="B2181" s="290"/>
      <c r="C2181" s="357"/>
      <c r="D2181" s="291"/>
      <c r="E2181" s="291"/>
      <c r="F2181" s="292"/>
      <c r="G2181" s="291"/>
      <c r="H2181" s="291"/>
      <c r="I2181" s="293"/>
      <c r="J2181" s="291"/>
      <c r="K2181" s="291"/>
      <c r="L2181" s="293"/>
      <c r="M2181" s="291"/>
      <c r="N2181" s="289"/>
      <c r="O2181" s="358"/>
      <c r="P2181" s="280">
        <f t="shared" ref="P2181:Q2181" si="397">IF(B2181=0,0,IF(YEAR(B2181)=$Q$1,MONTH(B2181)-$P$1+1,(YEAR(B2181)-$Q$1)*12-$P$1+1+MONTH(B2181)))</f>
        <v>0</v>
      </c>
      <c r="Q2181" s="280">
        <f t="shared" si="397"/>
        <v>0</v>
      </c>
      <c r="R2181" s="356" t="e">
        <f>#N/A</f>
        <v>#N/A</v>
      </c>
      <c r="S2181" s="269" t="str">
        <f>IF(D2181="","",IF(OR(D2181=Plano!$A$1,D2181=Plano!$B$1),"entrada","saída"))</f>
        <v/>
      </c>
      <c r="T2181" s="269"/>
      <c r="U2181" s="269"/>
      <c r="V2181" s="269"/>
      <c r="W2181" s="269"/>
      <c r="X2181" s="269"/>
      <c r="Y2181" s="269"/>
      <c r="Z2181" s="269"/>
      <c r="AA2181" s="269"/>
      <c r="AB2181" s="269"/>
      <c r="AC2181" s="269"/>
      <c r="AD2181" s="269"/>
      <c r="AE2181" s="269"/>
      <c r="AF2181" s="269"/>
      <c r="AG2181" s="269"/>
      <c r="AH2181" s="269"/>
      <c r="AI2181" s="269"/>
      <c r="AJ2181" s="269"/>
      <c r="AK2181" s="269"/>
      <c r="AL2181" s="269"/>
      <c r="AM2181" s="269"/>
    </row>
    <row r="2182" spans="1:39" ht="12.75" customHeight="1" x14ac:dyDescent="0.2">
      <c r="A2182" s="289" t="str">
        <f>IF(B2182="","",COUNT('Diário 5º PA'!$A$5:$A$2634)+COUNT('Diário 6º PA'!$A$5:$A$2246)+ROW()-4)</f>
        <v/>
      </c>
      <c r="B2182" s="290"/>
      <c r="C2182" s="357"/>
      <c r="D2182" s="291"/>
      <c r="E2182" s="291"/>
      <c r="F2182" s="292"/>
      <c r="G2182" s="291"/>
      <c r="H2182" s="291"/>
      <c r="I2182" s="293"/>
      <c r="J2182" s="291"/>
      <c r="K2182" s="291"/>
      <c r="L2182" s="293"/>
      <c r="M2182" s="291"/>
      <c r="N2182" s="289"/>
      <c r="O2182" s="358"/>
      <c r="P2182" s="280">
        <f t="shared" ref="P2182:Q2182" si="398">IF(B2182=0,0,IF(YEAR(B2182)=$Q$1,MONTH(B2182)-$P$1+1,(YEAR(B2182)-$Q$1)*12-$P$1+1+MONTH(B2182)))</f>
        <v>0</v>
      </c>
      <c r="Q2182" s="280">
        <f t="shared" si="398"/>
        <v>0</v>
      </c>
      <c r="R2182" s="356" t="e">
        <f>#N/A</f>
        <v>#N/A</v>
      </c>
      <c r="S2182" s="269" t="str">
        <f>IF(D2182="","",IF(OR(D2182=Plano!$A$1,D2182=Plano!$B$1),"entrada","saída"))</f>
        <v/>
      </c>
      <c r="T2182" s="269"/>
      <c r="U2182" s="269"/>
      <c r="V2182" s="269"/>
      <c r="W2182" s="269"/>
      <c r="X2182" s="269"/>
      <c r="Y2182" s="269"/>
      <c r="Z2182" s="269"/>
      <c r="AA2182" s="269"/>
      <c r="AB2182" s="269"/>
      <c r="AC2182" s="269"/>
      <c r="AD2182" s="269"/>
      <c r="AE2182" s="269"/>
      <c r="AF2182" s="269"/>
      <c r="AG2182" s="269"/>
      <c r="AH2182" s="269"/>
      <c r="AI2182" s="269"/>
      <c r="AJ2182" s="269"/>
      <c r="AK2182" s="269"/>
      <c r="AL2182" s="269"/>
      <c r="AM2182" s="269"/>
    </row>
    <row r="2183" spans="1:39" ht="12.75" customHeight="1" x14ac:dyDescent="0.2">
      <c r="A2183" s="289" t="str">
        <f>IF(B2183="","",COUNT('Diário 5º PA'!$A$5:$A$2634)+COUNT('Diário 6º PA'!$A$5:$A$2246)+ROW()-4)</f>
        <v/>
      </c>
      <c r="B2183" s="290"/>
      <c r="C2183" s="357"/>
      <c r="D2183" s="291"/>
      <c r="E2183" s="291"/>
      <c r="F2183" s="292"/>
      <c r="G2183" s="291"/>
      <c r="H2183" s="291"/>
      <c r="I2183" s="293"/>
      <c r="J2183" s="291"/>
      <c r="K2183" s="291"/>
      <c r="L2183" s="293"/>
      <c r="M2183" s="291"/>
      <c r="N2183" s="289"/>
      <c r="O2183" s="358"/>
      <c r="P2183" s="280">
        <f t="shared" ref="P2183:Q2183" si="399">IF(B2183=0,0,IF(YEAR(B2183)=$Q$1,MONTH(B2183)-$P$1+1,(YEAR(B2183)-$Q$1)*12-$P$1+1+MONTH(B2183)))</f>
        <v>0</v>
      </c>
      <c r="Q2183" s="280">
        <f t="shared" si="399"/>
        <v>0</v>
      </c>
      <c r="R2183" s="356" t="e">
        <f>#N/A</f>
        <v>#N/A</v>
      </c>
      <c r="S2183" s="269" t="str">
        <f>IF(D2183="","",IF(OR(D2183=Plano!$A$1,D2183=Plano!$B$1),"entrada","saída"))</f>
        <v/>
      </c>
      <c r="T2183" s="269"/>
      <c r="U2183" s="269"/>
      <c r="V2183" s="269"/>
      <c r="W2183" s="269"/>
      <c r="X2183" s="269"/>
      <c r="Y2183" s="269"/>
      <c r="Z2183" s="269"/>
      <c r="AA2183" s="269"/>
      <c r="AB2183" s="269"/>
      <c r="AC2183" s="269"/>
      <c r="AD2183" s="269"/>
      <c r="AE2183" s="269"/>
      <c r="AF2183" s="269"/>
      <c r="AG2183" s="269"/>
      <c r="AH2183" s="269"/>
      <c r="AI2183" s="269"/>
      <c r="AJ2183" s="269"/>
      <c r="AK2183" s="269"/>
      <c r="AL2183" s="269"/>
      <c r="AM2183" s="269"/>
    </row>
    <row r="2184" spans="1:39" ht="12.75" customHeight="1" x14ac:dyDescent="0.2">
      <c r="A2184" s="289" t="str">
        <f>IF(B2184="","",COUNT('Diário 5º PA'!$A$5:$A$2634)+COUNT('Diário 6º PA'!$A$5:$A$2246)+ROW()-4)</f>
        <v/>
      </c>
      <c r="B2184" s="290"/>
      <c r="C2184" s="357"/>
      <c r="D2184" s="291"/>
      <c r="E2184" s="291"/>
      <c r="F2184" s="292"/>
      <c r="G2184" s="291"/>
      <c r="H2184" s="291"/>
      <c r="I2184" s="293"/>
      <c r="J2184" s="291"/>
      <c r="K2184" s="291"/>
      <c r="L2184" s="293"/>
      <c r="M2184" s="291"/>
      <c r="N2184" s="289"/>
      <c r="O2184" s="358"/>
      <c r="P2184" s="280">
        <f t="shared" ref="P2184:Q2184" si="400">IF(B2184=0,0,IF(YEAR(B2184)=$Q$1,MONTH(B2184)-$P$1+1,(YEAR(B2184)-$Q$1)*12-$P$1+1+MONTH(B2184)))</f>
        <v>0</v>
      </c>
      <c r="Q2184" s="280">
        <f t="shared" si="400"/>
        <v>0</v>
      </c>
      <c r="R2184" s="356" t="e">
        <f>#N/A</f>
        <v>#N/A</v>
      </c>
      <c r="S2184" s="269" t="str">
        <f>IF(D2184="","",IF(OR(D2184=Plano!$A$1,D2184=Plano!$B$1),"entrada","saída"))</f>
        <v/>
      </c>
      <c r="T2184" s="269"/>
      <c r="U2184" s="269"/>
      <c r="V2184" s="269"/>
      <c r="W2184" s="269"/>
      <c r="X2184" s="269"/>
      <c r="Y2184" s="269"/>
      <c r="Z2184" s="269"/>
      <c r="AA2184" s="269"/>
      <c r="AB2184" s="269"/>
      <c r="AC2184" s="269"/>
      <c r="AD2184" s="269"/>
      <c r="AE2184" s="269"/>
      <c r="AF2184" s="269"/>
      <c r="AG2184" s="269"/>
      <c r="AH2184" s="269"/>
      <c r="AI2184" s="269"/>
      <c r="AJ2184" s="269"/>
      <c r="AK2184" s="269"/>
      <c r="AL2184" s="269"/>
      <c r="AM2184" s="269"/>
    </row>
    <row r="2185" spans="1:39" ht="12.75" customHeight="1" x14ac:dyDescent="0.2">
      <c r="A2185" s="289" t="str">
        <f>IF(B2185="","",COUNT('Diário 5º PA'!$A$5:$A$2634)+COUNT('Diário 6º PA'!$A$5:$A$2246)+ROW()-4)</f>
        <v/>
      </c>
      <c r="B2185" s="290"/>
      <c r="C2185" s="357"/>
      <c r="D2185" s="291"/>
      <c r="E2185" s="291"/>
      <c r="F2185" s="292"/>
      <c r="G2185" s="291"/>
      <c r="H2185" s="291"/>
      <c r="I2185" s="293"/>
      <c r="J2185" s="291"/>
      <c r="K2185" s="291"/>
      <c r="L2185" s="293"/>
      <c r="M2185" s="291"/>
      <c r="N2185" s="289"/>
      <c r="O2185" s="358"/>
      <c r="P2185" s="280">
        <f t="shared" ref="P2185:Q2185" si="401">IF(B2185=0,0,IF(YEAR(B2185)=$Q$1,MONTH(B2185)-$P$1+1,(YEAR(B2185)-$Q$1)*12-$P$1+1+MONTH(B2185)))</f>
        <v>0</v>
      </c>
      <c r="Q2185" s="280">
        <f t="shared" si="401"/>
        <v>0</v>
      </c>
      <c r="R2185" s="356" t="e">
        <f>#N/A</f>
        <v>#N/A</v>
      </c>
      <c r="S2185" s="269" t="str">
        <f>IF(D2185="","",IF(OR(D2185=Plano!$A$1,D2185=Plano!$B$1),"entrada","saída"))</f>
        <v/>
      </c>
      <c r="T2185" s="269"/>
      <c r="U2185" s="269"/>
      <c r="V2185" s="269"/>
      <c r="W2185" s="269"/>
      <c r="X2185" s="269"/>
      <c r="Y2185" s="269"/>
      <c r="Z2185" s="269"/>
      <c r="AA2185" s="269"/>
      <c r="AB2185" s="269"/>
      <c r="AC2185" s="269"/>
      <c r="AD2185" s="269"/>
      <c r="AE2185" s="269"/>
      <c r="AF2185" s="269"/>
      <c r="AG2185" s="269"/>
      <c r="AH2185" s="269"/>
      <c r="AI2185" s="269"/>
      <c r="AJ2185" s="269"/>
      <c r="AK2185" s="269"/>
      <c r="AL2185" s="269"/>
      <c r="AM2185" s="269"/>
    </row>
    <row r="2186" spans="1:39" ht="12.75" customHeight="1" x14ac:dyDescent="0.2">
      <c r="A2186" s="289" t="str">
        <f>IF(B2186="","",COUNT('Diário 5º PA'!$A$5:$A$2634)+COUNT('Diário 6º PA'!$A$5:$A$2246)+ROW()-4)</f>
        <v/>
      </c>
      <c r="B2186" s="290"/>
      <c r="C2186" s="357"/>
      <c r="D2186" s="291"/>
      <c r="E2186" s="291"/>
      <c r="F2186" s="292"/>
      <c r="G2186" s="291"/>
      <c r="H2186" s="291"/>
      <c r="I2186" s="293"/>
      <c r="J2186" s="291"/>
      <c r="K2186" s="291"/>
      <c r="L2186" s="293"/>
      <c r="M2186" s="291"/>
      <c r="N2186" s="289"/>
      <c r="O2186" s="358"/>
      <c r="P2186" s="280">
        <f t="shared" ref="P2186:Q2186" si="402">IF(B2186=0,0,IF(YEAR(B2186)=$Q$1,MONTH(B2186)-$P$1+1,(YEAR(B2186)-$Q$1)*12-$P$1+1+MONTH(B2186)))</f>
        <v>0</v>
      </c>
      <c r="Q2186" s="280">
        <f t="shared" si="402"/>
        <v>0</v>
      </c>
      <c r="R2186" s="356" t="e">
        <f>#N/A</f>
        <v>#N/A</v>
      </c>
      <c r="S2186" s="269" t="str">
        <f>IF(D2186="","",IF(OR(D2186=Plano!$A$1,D2186=Plano!$B$1),"entrada","saída"))</f>
        <v/>
      </c>
      <c r="T2186" s="269"/>
      <c r="U2186" s="269"/>
      <c r="V2186" s="269"/>
      <c r="W2186" s="269"/>
      <c r="X2186" s="269"/>
      <c r="Y2186" s="269"/>
      <c r="Z2186" s="269"/>
      <c r="AA2186" s="269"/>
      <c r="AB2186" s="269"/>
      <c r="AC2186" s="269"/>
      <c r="AD2186" s="269"/>
      <c r="AE2186" s="269"/>
      <c r="AF2186" s="269"/>
      <c r="AG2186" s="269"/>
      <c r="AH2186" s="269"/>
      <c r="AI2186" s="269"/>
      <c r="AJ2186" s="269"/>
      <c r="AK2186" s="269"/>
      <c r="AL2186" s="269"/>
      <c r="AM2186" s="269"/>
    </row>
    <row r="2187" spans="1:39" ht="12.75" customHeight="1" x14ac:dyDescent="0.2">
      <c r="A2187" s="289" t="str">
        <f>IF(B2187="","",COUNT('Diário 5º PA'!$A$5:$A$2634)+COUNT('Diário 6º PA'!$A$5:$A$2246)+ROW()-4)</f>
        <v/>
      </c>
      <c r="B2187" s="290"/>
      <c r="C2187" s="357"/>
      <c r="D2187" s="291"/>
      <c r="E2187" s="291"/>
      <c r="F2187" s="292"/>
      <c r="G2187" s="291"/>
      <c r="H2187" s="291"/>
      <c r="I2187" s="293"/>
      <c r="J2187" s="291"/>
      <c r="K2187" s="291"/>
      <c r="L2187" s="293"/>
      <c r="M2187" s="291"/>
      <c r="N2187" s="289"/>
      <c r="O2187" s="358"/>
      <c r="P2187" s="280">
        <f t="shared" ref="P2187:Q2187" si="403">IF(B2187=0,0,IF(YEAR(B2187)=$Q$1,MONTH(B2187)-$P$1+1,(YEAR(B2187)-$Q$1)*12-$P$1+1+MONTH(B2187)))</f>
        <v>0</v>
      </c>
      <c r="Q2187" s="280">
        <f t="shared" si="403"/>
        <v>0</v>
      </c>
      <c r="R2187" s="356" t="e">
        <f>#N/A</f>
        <v>#N/A</v>
      </c>
      <c r="S2187" s="269" t="str">
        <f>IF(D2187="","",IF(OR(D2187=Plano!$A$1,D2187=Plano!$B$1),"entrada","saída"))</f>
        <v/>
      </c>
      <c r="T2187" s="269"/>
      <c r="U2187" s="269"/>
      <c r="V2187" s="269"/>
      <c r="W2187" s="269"/>
      <c r="X2187" s="269"/>
      <c r="Y2187" s="269"/>
      <c r="Z2187" s="269"/>
      <c r="AA2187" s="269"/>
      <c r="AB2187" s="269"/>
      <c r="AC2187" s="269"/>
      <c r="AD2187" s="269"/>
      <c r="AE2187" s="269"/>
      <c r="AF2187" s="269"/>
      <c r="AG2187" s="269"/>
      <c r="AH2187" s="269"/>
      <c r="AI2187" s="269"/>
      <c r="AJ2187" s="269"/>
      <c r="AK2187" s="269"/>
      <c r="AL2187" s="269"/>
      <c r="AM2187" s="269"/>
    </row>
    <row r="2188" spans="1:39" ht="12.75" customHeight="1" x14ac:dyDescent="0.2">
      <c r="A2188" s="289" t="str">
        <f>IF(B2188="","",COUNT('Diário 5º PA'!$A$5:$A$2634)+COUNT('Diário 6º PA'!$A$5:$A$2246)+ROW()-4)</f>
        <v/>
      </c>
      <c r="B2188" s="290"/>
      <c r="C2188" s="357"/>
      <c r="D2188" s="291"/>
      <c r="E2188" s="291"/>
      <c r="F2188" s="292"/>
      <c r="G2188" s="291"/>
      <c r="H2188" s="291"/>
      <c r="I2188" s="293"/>
      <c r="J2188" s="291"/>
      <c r="K2188" s="291"/>
      <c r="L2188" s="293"/>
      <c r="M2188" s="291"/>
      <c r="N2188" s="289"/>
      <c r="O2188" s="358"/>
      <c r="P2188" s="280">
        <f t="shared" ref="P2188:Q2188" si="404">IF(B2188=0,0,IF(YEAR(B2188)=$Q$1,MONTH(B2188)-$P$1+1,(YEAR(B2188)-$Q$1)*12-$P$1+1+MONTH(B2188)))</f>
        <v>0</v>
      </c>
      <c r="Q2188" s="280">
        <f t="shared" si="404"/>
        <v>0</v>
      </c>
      <c r="R2188" s="356" t="e">
        <f>#N/A</f>
        <v>#N/A</v>
      </c>
      <c r="S2188" s="269" t="str">
        <f>IF(D2188="","",IF(OR(D2188=Plano!$A$1,D2188=Plano!$B$1),"entrada","saída"))</f>
        <v/>
      </c>
      <c r="T2188" s="269"/>
      <c r="U2188" s="269"/>
      <c r="V2188" s="269"/>
      <c r="W2188" s="269"/>
      <c r="X2188" s="269"/>
      <c r="Y2188" s="269"/>
      <c r="Z2188" s="269"/>
      <c r="AA2188" s="269"/>
      <c r="AB2188" s="269"/>
      <c r="AC2188" s="269"/>
      <c r="AD2188" s="269"/>
      <c r="AE2188" s="269"/>
      <c r="AF2188" s="269"/>
      <c r="AG2188" s="269"/>
      <c r="AH2188" s="269"/>
      <c r="AI2188" s="269"/>
      <c r="AJ2188" s="269"/>
      <c r="AK2188" s="269"/>
      <c r="AL2188" s="269"/>
      <c r="AM2188" s="269"/>
    </row>
    <row r="2189" spans="1:39" ht="12.75" customHeight="1" x14ac:dyDescent="0.2">
      <c r="A2189" s="289" t="str">
        <f>IF(B2189="","",COUNT('Diário 5º PA'!$A$5:$A$2634)+COUNT('Diário 6º PA'!$A$5:$A$2246)+ROW()-4)</f>
        <v/>
      </c>
      <c r="B2189" s="290"/>
      <c r="C2189" s="357"/>
      <c r="D2189" s="291"/>
      <c r="E2189" s="291"/>
      <c r="F2189" s="292"/>
      <c r="G2189" s="291"/>
      <c r="H2189" s="291"/>
      <c r="I2189" s="293"/>
      <c r="J2189" s="291"/>
      <c r="K2189" s="291"/>
      <c r="L2189" s="293"/>
      <c r="M2189" s="291"/>
      <c r="N2189" s="289"/>
      <c r="O2189" s="358"/>
      <c r="P2189" s="280">
        <f t="shared" ref="P2189:Q2189" si="405">IF(B2189=0,0,IF(YEAR(B2189)=$Q$1,MONTH(B2189)-$P$1+1,(YEAR(B2189)-$Q$1)*12-$P$1+1+MONTH(B2189)))</f>
        <v>0</v>
      </c>
      <c r="Q2189" s="280">
        <f t="shared" si="405"/>
        <v>0</v>
      </c>
      <c r="R2189" s="356" t="e">
        <f>#N/A</f>
        <v>#N/A</v>
      </c>
      <c r="S2189" s="269" t="str">
        <f>IF(D2189="","",IF(OR(D2189=Plano!$A$1,D2189=Plano!$B$1),"entrada","saída"))</f>
        <v/>
      </c>
      <c r="T2189" s="269"/>
      <c r="U2189" s="269"/>
      <c r="V2189" s="269"/>
      <c r="W2189" s="269"/>
      <c r="X2189" s="269"/>
      <c r="Y2189" s="269"/>
      <c r="Z2189" s="269"/>
      <c r="AA2189" s="269"/>
      <c r="AB2189" s="269"/>
      <c r="AC2189" s="269"/>
      <c r="AD2189" s="269"/>
      <c r="AE2189" s="269"/>
      <c r="AF2189" s="269"/>
      <c r="AG2189" s="269"/>
      <c r="AH2189" s="269"/>
      <c r="AI2189" s="269"/>
      <c r="AJ2189" s="269"/>
      <c r="AK2189" s="269"/>
      <c r="AL2189" s="269"/>
      <c r="AM2189" s="269"/>
    </row>
    <row r="2190" spans="1:39" ht="12.75" customHeight="1" x14ac:dyDescent="0.2">
      <c r="A2190" s="289" t="str">
        <f>IF(B2190="","",COUNT('Diário 5º PA'!$A$5:$A$2634)+COUNT('Diário 6º PA'!$A$5:$A$2246)+ROW()-4)</f>
        <v/>
      </c>
      <c r="B2190" s="290"/>
      <c r="C2190" s="357"/>
      <c r="D2190" s="291"/>
      <c r="E2190" s="291"/>
      <c r="F2190" s="292"/>
      <c r="G2190" s="291"/>
      <c r="H2190" s="291"/>
      <c r="I2190" s="293"/>
      <c r="J2190" s="291"/>
      <c r="K2190" s="291"/>
      <c r="L2190" s="293"/>
      <c r="M2190" s="291"/>
      <c r="N2190" s="289"/>
      <c r="O2190" s="358"/>
      <c r="P2190" s="280">
        <f t="shared" ref="P2190:Q2190" si="406">IF(B2190=0,0,IF(YEAR(B2190)=$Q$1,MONTH(B2190)-$P$1+1,(YEAR(B2190)-$Q$1)*12-$P$1+1+MONTH(B2190)))</f>
        <v>0</v>
      </c>
      <c r="Q2190" s="280">
        <f t="shared" si="406"/>
        <v>0</v>
      </c>
      <c r="R2190" s="356" t="e">
        <f>#N/A</f>
        <v>#N/A</v>
      </c>
      <c r="S2190" s="269" t="str">
        <f>IF(D2190="","",IF(OR(D2190=Plano!$A$1,D2190=Plano!$B$1),"entrada","saída"))</f>
        <v/>
      </c>
      <c r="T2190" s="269"/>
      <c r="U2190" s="269"/>
      <c r="V2190" s="269"/>
      <c r="W2190" s="269"/>
      <c r="X2190" s="269"/>
      <c r="Y2190" s="269"/>
      <c r="Z2190" s="269"/>
      <c r="AA2190" s="269"/>
      <c r="AB2190" s="269"/>
      <c r="AC2190" s="269"/>
      <c r="AD2190" s="269"/>
      <c r="AE2190" s="269"/>
      <c r="AF2190" s="269"/>
      <c r="AG2190" s="269"/>
      <c r="AH2190" s="269"/>
      <c r="AI2190" s="269"/>
      <c r="AJ2190" s="269"/>
      <c r="AK2190" s="269"/>
      <c r="AL2190" s="269"/>
      <c r="AM2190" s="269"/>
    </row>
    <row r="2191" spans="1:39" ht="12.75" customHeight="1" x14ac:dyDescent="0.2">
      <c r="A2191" s="289" t="str">
        <f>IF(B2191="","",COUNT('Diário 5º PA'!$A$5:$A$2634)+COUNT('Diário 6º PA'!$A$5:$A$2246)+ROW()-4)</f>
        <v/>
      </c>
      <c r="B2191" s="290"/>
      <c r="C2191" s="357"/>
      <c r="D2191" s="291"/>
      <c r="E2191" s="291"/>
      <c r="F2191" s="292"/>
      <c r="G2191" s="291"/>
      <c r="H2191" s="291"/>
      <c r="I2191" s="293"/>
      <c r="J2191" s="291"/>
      <c r="K2191" s="291"/>
      <c r="L2191" s="293"/>
      <c r="M2191" s="291"/>
      <c r="N2191" s="289"/>
      <c r="O2191" s="358"/>
      <c r="P2191" s="280">
        <f t="shared" ref="P2191:Q2191" si="407">IF(B2191=0,0,IF(YEAR(B2191)=$Q$1,MONTH(B2191)-$P$1+1,(YEAR(B2191)-$Q$1)*12-$P$1+1+MONTH(B2191)))</f>
        <v>0</v>
      </c>
      <c r="Q2191" s="280">
        <f t="shared" si="407"/>
        <v>0</v>
      </c>
      <c r="R2191" s="356" t="e">
        <f>#N/A</f>
        <v>#N/A</v>
      </c>
      <c r="S2191" s="269" t="str">
        <f>IF(D2191="","",IF(OR(D2191=Plano!$A$1,D2191=Plano!$B$1),"entrada","saída"))</f>
        <v/>
      </c>
      <c r="T2191" s="269"/>
      <c r="U2191" s="269"/>
      <c r="V2191" s="269"/>
      <c r="W2191" s="269"/>
      <c r="X2191" s="269"/>
      <c r="Y2191" s="269"/>
      <c r="Z2191" s="269"/>
      <c r="AA2191" s="269"/>
      <c r="AB2191" s="269"/>
      <c r="AC2191" s="269"/>
      <c r="AD2191" s="269"/>
      <c r="AE2191" s="269"/>
      <c r="AF2191" s="269"/>
      <c r="AG2191" s="269"/>
      <c r="AH2191" s="269"/>
      <c r="AI2191" s="269"/>
      <c r="AJ2191" s="269"/>
      <c r="AK2191" s="269"/>
      <c r="AL2191" s="269"/>
      <c r="AM2191" s="269"/>
    </row>
    <row r="2192" spans="1:39" ht="12.75" customHeight="1" x14ac:dyDescent="0.2">
      <c r="A2192" s="289" t="str">
        <f>IF(B2192="","",COUNT('Diário 5º PA'!$A$5:$A$2634)+COUNT('Diário 6º PA'!$A$5:$A$2246)+ROW()-4)</f>
        <v/>
      </c>
      <c r="B2192" s="290"/>
      <c r="C2192" s="357"/>
      <c r="D2192" s="291"/>
      <c r="E2192" s="291"/>
      <c r="F2192" s="292"/>
      <c r="G2192" s="291"/>
      <c r="H2192" s="291"/>
      <c r="I2192" s="293"/>
      <c r="J2192" s="291"/>
      <c r="K2192" s="291"/>
      <c r="L2192" s="293"/>
      <c r="M2192" s="291"/>
      <c r="N2192" s="289"/>
      <c r="O2192" s="358"/>
      <c r="P2192" s="280">
        <f t="shared" ref="P2192:Q2192" si="408">IF(B2192=0,0,IF(YEAR(B2192)=$Q$1,MONTH(B2192)-$P$1+1,(YEAR(B2192)-$Q$1)*12-$P$1+1+MONTH(B2192)))</f>
        <v>0</v>
      </c>
      <c r="Q2192" s="280">
        <f t="shared" si="408"/>
        <v>0</v>
      </c>
      <c r="R2192" s="356" t="e">
        <f>#N/A</f>
        <v>#N/A</v>
      </c>
      <c r="S2192" s="269" t="str">
        <f>IF(D2192="","",IF(OR(D2192=Plano!$A$1,D2192=Plano!$B$1),"entrada","saída"))</f>
        <v/>
      </c>
      <c r="T2192" s="269"/>
      <c r="U2192" s="269"/>
      <c r="V2192" s="269"/>
      <c r="W2192" s="269"/>
      <c r="X2192" s="269"/>
      <c r="Y2192" s="269"/>
      <c r="Z2192" s="269"/>
      <c r="AA2192" s="269"/>
      <c r="AB2192" s="269"/>
      <c r="AC2192" s="269"/>
      <c r="AD2192" s="269"/>
      <c r="AE2192" s="269"/>
      <c r="AF2192" s="269"/>
      <c r="AG2192" s="269"/>
      <c r="AH2192" s="269"/>
      <c r="AI2192" s="269"/>
      <c r="AJ2192" s="269"/>
      <c r="AK2192" s="269"/>
      <c r="AL2192" s="269"/>
      <c r="AM2192" s="269"/>
    </row>
    <row r="2193" spans="1:39" ht="12.75" customHeight="1" x14ac:dyDescent="0.2">
      <c r="A2193" s="289" t="str">
        <f>IF(B2193="","",COUNT('Diário 5º PA'!$A$5:$A$2634)+COUNT('Diário 6º PA'!$A$5:$A$2246)+ROW()-4)</f>
        <v/>
      </c>
      <c r="B2193" s="290"/>
      <c r="C2193" s="357"/>
      <c r="D2193" s="291"/>
      <c r="E2193" s="291"/>
      <c r="F2193" s="292"/>
      <c r="G2193" s="291"/>
      <c r="H2193" s="291"/>
      <c r="I2193" s="293"/>
      <c r="J2193" s="291"/>
      <c r="K2193" s="291"/>
      <c r="L2193" s="293"/>
      <c r="M2193" s="291"/>
      <c r="N2193" s="289"/>
      <c r="O2193" s="358"/>
      <c r="P2193" s="280">
        <f t="shared" ref="P2193:Q2193" si="409">IF(B2193=0,0,IF(YEAR(B2193)=$Q$1,MONTH(B2193)-$P$1+1,(YEAR(B2193)-$Q$1)*12-$P$1+1+MONTH(B2193)))</f>
        <v>0</v>
      </c>
      <c r="Q2193" s="280">
        <f t="shared" si="409"/>
        <v>0</v>
      </c>
      <c r="R2193" s="356" t="e">
        <f>#N/A</f>
        <v>#N/A</v>
      </c>
      <c r="S2193" s="269" t="str">
        <f>IF(D2193="","",IF(OR(D2193=Plano!$A$1,D2193=Plano!$B$1),"entrada","saída"))</f>
        <v/>
      </c>
      <c r="T2193" s="269"/>
      <c r="U2193" s="269"/>
      <c r="V2193" s="269"/>
      <c r="W2193" s="269"/>
      <c r="X2193" s="269"/>
      <c r="Y2193" s="269"/>
      <c r="Z2193" s="269"/>
      <c r="AA2193" s="269"/>
      <c r="AB2193" s="269"/>
      <c r="AC2193" s="269"/>
      <c r="AD2193" s="269"/>
      <c r="AE2193" s="269"/>
      <c r="AF2193" s="269"/>
      <c r="AG2193" s="269"/>
      <c r="AH2193" s="269"/>
      <c r="AI2193" s="269"/>
      <c r="AJ2193" s="269"/>
      <c r="AK2193" s="269"/>
      <c r="AL2193" s="269"/>
      <c r="AM2193" s="269"/>
    </row>
    <row r="2194" spans="1:39" ht="12.75" customHeight="1" x14ac:dyDescent="0.2">
      <c r="A2194" s="289" t="str">
        <f>IF(B2194="","",COUNT('Diário 5º PA'!$A$5:$A$2634)+COUNT('Diário 6º PA'!$A$5:$A$2246)+ROW()-4)</f>
        <v/>
      </c>
      <c r="B2194" s="290"/>
      <c r="C2194" s="357"/>
      <c r="D2194" s="291"/>
      <c r="E2194" s="291"/>
      <c r="F2194" s="292"/>
      <c r="G2194" s="291"/>
      <c r="H2194" s="291"/>
      <c r="I2194" s="293"/>
      <c r="J2194" s="291"/>
      <c r="K2194" s="291"/>
      <c r="L2194" s="293"/>
      <c r="M2194" s="291"/>
      <c r="N2194" s="289"/>
      <c r="O2194" s="358"/>
      <c r="P2194" s="280">
        <f t="shared" ref="P2194:Q2194" si="410">IF(B2194=0,0,IF(YEAR(B2194)=$Q$1,MONTH(B2194)-$P$1+1,(YEAR(B2194)-$Q$1)*12-$P$1+1+MONTH(B2194)))</f>
        <v>0</v>
      </c>
      <c r="Q2194" s="280">
        <f t="shared" si="410"/>
        <v>0</v>
      </c>
      <c r="R2194" s="356" t="e">
        <f>#N/A</f>
        <v>#N/A</v>
      </c>
      <c r="S2194" s="269" t="str">
        <f>IF(D2194="","",IF(OR(D2194=Plano!$A$1,D2194=Plano!$B$1),"entrada","saída"))</f>
        <v/>
      </c>
      <c r="T2194" s="269"/>
      <c r="U2194" s="269"/>
      <c r="V2194" s="269"/>
      <c r="W2194" s="269"/>
      <c r="X2194" s="269"/>
      <c r="Y2194" s="269"/>
      <c r="Z2194" s="269"/>
      <c r="AA2194" s="269"/>
      <c r="AB2194" s="269"/>
      <c r="AC2194" s="269"/>
      <c r="AD2194" s="269"/>
      <c r="AE2194" s="269"/>
      <c r="AF2194" s="269"/>
      <c r="AG2194" s="269"/>
      <c r="AH2194" s="269"/>
      <c r="AI2194" s="269"/>
      <c r="AJ2194" s="269"/>
      <c r="AK2194" s="269"/>
      <c r="AL2194" s="269"/>
      <c r="AM2194" s="269"/>
    </row>
    <row r="2195" spans="1:39" ht="12.75" customHeight="1" x14ac:dyDescent="0.2">
      <c r="A2195" s="289" t="str">
        <f>IF(B2195="","",COUNT('Diário 5º PA'!$A$5:$A$2634)+COUNT('Diário 6º PA'!$A$5:$A$2246)+ROW()-4)</f>
        <v/>
      </c>
      <c r="B2195" s="290"/>
      <c r="C2195" s="357"/>
      <c r="D2195" s="291"/>
      <c r="E2195" s="291"/>
      <c r="F2195" s="292"/>
      <c r="G2195" s="291"/>
      <c r="H2195" s="291"/>
      <c r="I2195" s="293"/>
      <c r="J2195" s="291"/>
      <c r="K2195" s="291"/>
      <c r="L2195" s="293"/>
      <c r="M2195" s="291"/>
      <c r="N2195" s="289"/>
      <c r="O2195" s="358"/>
      <c r="P2195" s="280">
        <f t="shared" ref="P2195:Q2195" si="411">IF(B2195=0,0,IF(YEAR(B2195)=$Q$1,MONTH(B2195)-$P$1+1,(YEAR(B2195)-$Q$1)*12-$P$1+1+MONTH(B2195)))</f>
        <v>0</v>
      </c>
      <c r="Q2195" s="280">
        <f t="shared" si="411"/>
        <v>0</v>
      </c>
      <c r="R2195" s="356" t="e">
        <f>#N/A</f>
        <v>#N/A</v>
      </c>
      <c r="S2195" s="269" t="str">
        <f>IF(D2195="","",IF(OR(D2195=Plano!$A$1,D2195=Plano!$B$1),"entrada","saída"))</f>
        <v/>
      </c>
      <c r="T2195" s="269"/>
      <c r="U2195" s="269"/>
      <c r="V2195" s="269"/>
      <c r="W2195" s="269"/>
      <c r="X2195" s="269"/>
      <c r="Y2195" s="269"/>
      <c r="Z2195" s="269"/>
      <c r="AA2195" s="269"/>
      <c r="AB2195" s="269"/>
      <c r="AC2195" s="269"/>
      <c r="AD2195" s="269"/>
      <c r="AE2195" s="269"/>
      <c r="AF2195" s="269"/>
      <c r="AG2195" s="269"/>
      <c r="AH2195" s="269"/>
      <c r="AI2195" s="269"/>
      <c r="AJ2195" s="269"/>
      <c r="AK2195" s="269"/>
      <c r="AL2195" s="269"/>
      <c r="AM2195" s="269"/>
    </row>
    <row r="2196" spans="1:39" ht="12.75" customHeight="1" x14ac:dyDescent="0.2">
      <c r="A2196" s="289" t="str">
        <f>IF(B2196="","",COUNT('Diário 5º PA'!$A$5:$A$2634)+COUNT('Diário 6º PA'!$A$5:$A$2246)+ROW()-4)</f>
        <v/>
      </c>
      <c r="B2196" s="290"/>
      <c r="C2196" s="357"/>
      <c r="D2196" s="291"/>
      <c r="E2196" s="291"/>
      <c r="F2196" s="292"/>
      <c r="G2196" s="291"/>
      <c r="H2196" s="291"/>
      <c r="I2196" s="293"/>
      <c r="J2196" s="291"/>
      <c r="K2196" s="291"/>
      <c r="L2196" s="293"/>
      <c r="M2196" s="291"/>
      <c r="N2196" s="289"/>
      <c r="O2196" s="358"/>
      <c r="P2196" s="280">
        <f t="shared" ref="P2196:Q2196" si="412">IF(B2196=0,0,IF(YEAR(B2196)=$Q$1,MONTH(B2196)-$P$1+1,(YEAR(B2196)-$Q$1)*12-$P$1+1+MONTH(B2196)))</f>
        <v>0</v>
      </c>
      <c r="Q2196" s="280">
        <f t="shared" si="412"/>
        <v>0</v>
      </c>
      <c r="R2196" s="356" t="e">
        <f>#N/A</f>
        <v>#N/A</v>
      </c>
      <c r="S2196" s="269" t="str">
        <f>IF(D2196="","",IF(OR(D2196=Plano!$A$1,D2196=Plano!$B$1),"entrada","saída"))</f>
        <v/>
      </c>
      <c r="T2196" s="269"/>
      <c r="U2196" s="269"/>
      <c r="V2196" s="269"/>
      <c r="W2196" s="269"/>
      <c r="X2196" s="269"/>
      <c r="Y2196" s="269"/>
      <c r="Z2196" s="269"/>
      <c r="AA2196" s="269"/>
      <c r="AB2196" s="269"/>
      <c r="AC2196" s="269"/>
      <c r="AD2196" s="269"/>
      <c r="AE2196" s="269"/>
      <c r="AF2196" s="269"/>
      <c r="AG2196" s="269"/>
      <c r="AH2196" s="269"/>
      <c r="AI2196" s="269"/>
      <c r="AJ2196" s="269"/>
      <c r="AK2196" s="269"/>
      <c r="AL2196" s="269"/>
      <c r="AM2196" s="269"/>
    </row>
    <row r="2197" spans="1:39" ht="12.75" customHeight="1" x14ac:dyDescent="0.2">
      <c r="A2197" s="289" t="str">
        <f>IF(B2197="","",COUNT('Diário 5º PA'!$A$5:$A$2634)+COUNT('Diário 6º PA'!$A$5:$A$2246)+ROW()-4)</f>
        <v/>
      </c>
      <c r="B2197" s="290"/>
      <c r="C2197" s="357"/>
      <c r="D2197" s="291"/>
      <c r="E2197" s="291"/>
      <c r="F2197" s="292"/>
      <c r="G2197" s="291"/>
      <c r="H2197" s="291"/>
      <c r="I2197" s="293"/>
      <c r="J2197" s="291"/>
      <c r="K2197" s="291"/>
      <c r="L2197" s="293"/>
      <c r="M2197" s="291"/>
      <c r="N2197" s="289"/>
      <c r="O2197" s="358"/>
      <c r="P2197" s="280">
        <f t="shared" ref="P2197:Q2197" si="413">IF(B2197=0,0,IF(YEAR(B2197)=$Q$1,MONTH(B2197)-$P$1+1,(YEAR(B2197)-$Q$1)*12-$P$1+1+MONTH(B2197)))</f>
        <v>0</v>
      </c>
      <c r="Q2197" s="280">
        <f t="shared" si="413"/>
        <v>0</v>
      </c>
      <c r="R2197" s="356" t="e">
        <f>#N/A</f>
        <v>#N/A</v>
      </c>
      <c r="S2197" s="269" t="str">
        <f>IF(D2197="","",IF(OR(D2197=Plano!$A$1,D2197=Plano!$B$1),"entrada","saída"))</f>
        <v/>
      </c>
      <c r="T2197" s="269"/>
      <c r="U2197" s="269"/>
      <c r="V2197" s="269"/>
      <c r="W2197" s="269"/>
      <c r="X2197" s="269"/>
      <c r="Y2197" s="269"/>
      <c r="Z2197" s="269"/>
      <c r="AA2197" s="269"/>
      <c r="AB2197" s="269"/>
      <c r="AC2197" s="269"/>
      <c r="AD2197" s="269"/>
      <c r="AE2197" s="269"/>
      <c r="AF2197" s="269"/>
      <c r="AG2197" s="269"/>
      <c r="AH2197" s="269"/>
      <c r="AI2197" s="269"/>
      <c r="AJ2197" s="269"/>
      <c r="AK2197" s="269"/>
      <c r="AL2197" s="269"/>
      <c r="AM2197" s="269"/>
    </row>
    <row r="2198" spans="1:39" ht="12.75" customHeight="1" x14ac:dyDescent="0.2">
      <c r="A2198" s="289" t="str">
        <f>IF(B2198="","",COUNT('Diário 5º PA'!$A$5:$A$2634)+COUNT('Diário 6º PA'!$A$5:$A$2246)+ROW()-4)</f>
        <v/>
      </c>
      <c r="B2198" s="290"/>
      <c r="C2198" s="357"/>
      <c r="D2198" s="291"/>
      <c r="E2198" s="291"/>
      <c r="F2198" s="292"/>
      <c r="G2198" s="291"/>
      <c r="H2198" s="291"/>
      <c r="I2198" s="293"/>
      <c r="J2198" s="291"/>
      <c r="K2198" s="291"/>
      <c r="L2198" s="293"/>
      <c r="M2198" s="291"/>
      <c r="N2198" s="289"/>
      <c r="O2198" s="358"/>
      <c r="P2198" s="280">
        <f t="shared" ref="P2198:Q2198" si="414">IF(B2198=0,0,IF(YEAR(B2198)=$Q$1,MONTH(B2198)-$P$1+1,(YEAR(B2198)-$Q$1)*12-$P$1+1+MONTH(B2198)))</f>
        <v>0</v>
      </c>
      <c r="Q2198" s="280">
        <f t="shared" si="414"/>
        <v>0</v>
      </c>
      <c r="R2198" s="356" t="e">
        <f>#N/A</f>
        <v>#N/A</v>
      </c>
      <c r="S2198" s="269" t="str">
        <f>IF(D2198="","",IF(OR(D2198=Plano!$A$1,D2198=Plano!$B$1),"entrada","saída"))</f>
        <v/>
      </c>
      <c r="T2198" s="269"/>
      <c r="U2198" s="269"/>
      <c r="V2198" s="269"/>
      <c r="W2198" s="269"/>
      <c r="X2198" s="269"/>
      <c r="Y2198" s="269"/>
      <c r="Z2198" s="269"/>
      <c r="AA2198" s="269"/>
      <c r="AB2198" s="269"/>
      <c r="AC2198" s="269"/>
      <c r="AD2198" s="269"/>
      <c r="AE2198" s="269"/>
      <c r="AF2198" s="269"/>
      <c r="AG2198" s="269"/>
      <c r="AH2198" s="269"/>
      <c r="AI2198" s="269"/>
      <c r="AJ2198" s="269"/>
      <c r="AK2198" s="269"/>
      <c r="AL2198" s="269"/>
      <c r="AM2198" s="269"/>
    </row>
    <row r="2199" spans="1:39" ht="12.75" customHeight="1" x14ac:dyDescent="0.2">
      <c r="A2199" s="289" t="str">
        <f>IF(B2199="","",COUNT('Diário 5º PA'!$A$5:$A$2634)+COUNT('Diário 6º PA'!$A$5:$A$2246)+ROW()-4)</f>
        <v/>
      </c>
      <c r="B2199" s="290"/>
      <c r="C2199" s="357"/>
      <c r="D2199" s="291"/>
      <c r="E2199" s="291"/>
      <c r="F2199" s="292"/>
      <c r="G2199" s="291"/>
      <c r="H2199" s="291"/>
      <c r="I2199" s="293"/>
      <c r="J2199" s="291"/>
      <c r="K2199" s="291"/>
      <c r="L2199" s="293"/>
      <c r="M2199" s="291"/>
      <c r="N2199" s="289"/>
      <c r="O2199" s="358"/>
      <c r="P2199" s="280">
        <f t="shared" ref="P2199:Q2199" si="415">IF(B2199=0,0,IF(YEAR(B2199)=$Q$1,MONTH(B2199)-$P$1+1,(YEAR(B2199)-$Q$1)*12-$P$1+1+MONTH(B2199)))</f>
        <v>0</v>
      </c>
      <c r="Q2199" s="280">
        <f t="shared" si="415"/>
        <v>0</v>
      </c>
      <c r="R2199" s="356" t="e">
        <f>#N/A</f>
        <v>#N/A</v>
      </c>
      <c r="S2199" s="269" t="str">
        <f>IF(D2199="","",IF(OR(D2199=Plano!$A$1,D2199=Plano!$B$1),"entrada","saída"))</f>
        <v/>
      </c>
      <c r="T2199" s="269"/>
      <c r="U2199" s="269"/>
      <c r="V2199" s="269"/>
      <c r="W2199" s="269"/>
      <c r="X2199" s="269"/>
      <c r="Y2199" s="269"/>
      <c r="Z2199" s="269"/>
      <c r="AA2199" s="269"/>
      <c r="AB2199" s="269"/>
      <c r="AC2199" s="269"/>
      <c r="AD2199" s="269"/>
      <c r="AE2199" s="269"/>
      <c r="AF2199" s="269"/>
      <c r="AG2199" s="269"/>
      <c r="AH2199" s="269"/>
      <c r="AI2199" s="269"/>
      <c r="AJ2199" s="269"/>
      <c r="AK2199" s="269"/>
      <c r="AL2199" s="269"/>
      <c r="AM2199" s="269"/>
    </row>
    <row r="2200" spans="1:39" ht="12.75" customHeight="1" x14ac:dyDescent="0.2">
      <c r="A2200" s="289" t="str">
        <f>IF(B2200="","",COUNT('Diário 5º PA'!$A$5:$A$2634)+COUNT('Diário 6º PA'!$A$5:$A$2246)+ROW()-4)</f>
        <v/>
      </c>
      <c r="B2200" s="290"/>
      <c r="C2200" s="357"/>
      <c r="D2200" s="291"/>
      <c r="E2200" s="291"/>
      <c r="F2200" s="292"/>
      <c r="G2200" s="291"/>
      <c r="H2200" s="291"/>
      <c r="I2200" s="293"/>
      <c r="J2200" s="291"/>
      <c r="K2200" s="291"/>
      <c r="L2200" s="293"/>
      <c r="M2200" s="291"/>
      <c r="N2200" s="289"/>
      <c r="O2200" s="358"/>
      <c r="P2200" s="280">
        <f t="shared" ref="P2200:Q2200" si="416">IF(B2200=0,0,IF(YEAR(B2200)=$Q$1,MONTH(B2200)-$P$1+1,(YEAR(B2200)-$Q$1)*12-$P$1+1+MONTH(B2200)))</f>
        <v>0</v>
      </c>
      <c r="Q2200" s="280">
        <f t="shared" si="416"/>
        <v>0</v>
      </c>
      <c r="R2200" s="356" t="e">
        <f>#N/A</f>
        <v>#N/A</v>
      </c>
      <c r="S2200" s="269" t="str">
        <f>IF(D2200="","",IF(OR(D2200=Plano!$A$1,D2200=Plano!$B$1),"entrada","saída"))</f>
        <v/>
      </c>
      <c r="T2200" s="269"/>
      <c r="U2200" s="269"/>
      <c r="V2200" s="269"/>
      <c r="W2200" s="269"/>
      <c r="X2200" s="269"/>
      <c r="Y2200" s="269"/>
      <c r="Z2200" s="269"/>
      <c r="AA2200" s="269"/>
      <c r="AB2200" s="269"/>
      <c r="AC2200" s="269"/>
      <c r="AD2200" s="269"/>
      <c r="AE2200" s="269"/>
      <c r="AF2200" s="269"/>
      <c r="AG2200" s="269"/>
      <c r="AH2200" s="269"/>
      <c r="AI2200" s="269"/>
      <c r="AJ2200" s="269"/>
      <c r="AK2200" s="269"/>
      <c r="AL2200" s="269"/>
      <c r="AM2200" s="269"/>
    </row>
    <row r="2201" spans="1:39" ht="12.75" customHeight="1" x14ac:dyDescent="0.2">
      <c r="A2201" s="289" t="str">
        <f>IF(B2201="","",COUNT('Diário 5º PA'!$A$5:$A$2634)+COUNT('Diário 6º PA'!$A$5:$A$2246)+ROW()-4)</f>
        <v/>
      </c>
      <c r="B2201" s="290"/>
      <c r="C2201" s="357"/>
      <c r="D2201" s="291"/>
      <c r="E2201" s="291"/>
      <c r="F2201" s="292"/>
      <c r="G2201" s="291"/>
      <c r="H2201" s="291"/>
      <c r="I2201" s="293"/>
      <c r="J2201" s="291"/>
      <c r="K2201" s="291"/>
      <c r="L2201" s="293"/>
      <c r="M2201" s="291"/>
      <c r="N2201" s="289"/>
      <c r="O2201" s="358"/>
      <c r="P2201" s="280">
        <f t="shared" ref="P2201:Q2201" si="417">IF(B2201=0,0,IF(YEAR(B2201)=$Q$1,MONTH(B2201)-$P$1+1,(YEAR(B2201)-$Q$1)*12-$P$1+1+MONTH(B2201)))</f>
        <v>0</v>
      </c>
      <c r="Q2201" s="280">
        <f t="shared" si="417"/>
        <v>0</v>
      </c>
      <c r="R2201" s="356" t="e">
        <f>#N/A</f>
        <v>#N/A</v>
      </c>
      <c r="S2201" s="269" t="str">
        <f>IF(D2201="","",IF(OR(D2201=Plano!$A$1,D2201=Plano!$B$1),"entrada","saída"))</f>
        <v/>
      </c>
      <c r="T2201" s="269"/>
      <c r="U2201" s="269"/>
      <c r="V2201" s="269"/>
      <c r="W2201" s="269"/>
      <c r="X2201" s="269"/>
      <c r="Y2201" s="269"/>
      <c r="Z2201" s="269"/>
      <c r="AA2201" s="269"/>
      <c r="AB2201" s="269"/>
      <c r="AC2201" s="269"/>
      <c r="AD2201" s="269"/>
      <c r="AE2201" s="269"/>
      <c r="AF2201" s="269"/>
      <c r="AG2201" s="269"/>
      <c r="AH2201" s="269"/>
      <c r="AI2201" s="269"/>
      <c r="AJ2201" s="269"/>
      <c r="AK2201" s="269"/>
      <c r="AL2201" s="269"/>
      <c r="AM2201" s="269"/>
    </row>
    <row r="2202" spans="1:39" ht="12.75" customHeight="1" x14ac:dyDescent="0.2">
      <c r="A2202" s="289" t="str">
        <f>IF(B2202="","",COUNT('Diário 5º PA'!$A$5:$A$2634)+COUNT('Diário 6º PA'!$A$5:$A$2246)+ROW()-4)</f>
        <v/>
      </c>
      <c r="B2202" s="290"/>
      <c r="C2202" s="357"/>
      <c r="D2202" s="291"/>
      <c r="E2202" s="291"/>
      <c r="F2202" s="292"/>
      <c r="G2202" s="291"/>
      <c r="H2202" s="291"/>
      <c r="I2202" s="293"/>
      <c r="J2202" s="291"/>
      <c r="K2202" s="291"/>
      <c r="L2202" s="293"/>
      <c r="M2202" s="291"/>
      <c r="N2202" s="289"/>
      <c r="O2202" s="358"/>
      <c r="P2202" s="280">
        <f t="shared" ref="P2202:Q2202" si="418">IF(B2202=0,0,IF(YEAR(B2202)=$Q$1,MONTH(B2202)-$P$1+1,(YEAR(B2202)-$Q$1)*12-$P$1+1+MONTH(B2202)))</f>
        <v>0</v>
      </c>
      <c r="Q2202" s="280">
        <f t="shared" si="418"/>
        <v>0</v>
      </c>
      <c r="R2202" s="356" t="e">
        <f>#N/A</f>
        <v>#N/A</v>
      </c>
      <c r="S2202" s="269" t="str">
        <f>IF(D2202="","",IF(OR(D2202=Plano!$A$1,D2202=Plano!$B$1),"entrada","saída"))</f>
        <v/>
      </c>
      <c r="T2202" s="269"/>
      <c r="U2202" s="269"/>
      <c r="V2202" s="269"/>
      <c r="W2202" s="269"/>
      <c r="X2202" s="269"/>
      <c r="Y2202" s="269"/>
      <c r="Z2202" s="269"/>
      <c r="AA2202" s="269"/>
      <c r="AB2202" s="269"/>
      <c r="AC2202" s="269"/>
      <c r="AD2202" s="269"/>
      <c r="AE2202" s="269"/>
      <c r="AF2202" s="269"/>
      <c r="AG2202" s="269"/>
      <c r="AH2202" s="269"/>
      <c r="AI2202" s="269"/>
      <c r="AJ2202" s="269"/>
      <c r="AK2202" s="269"/>
      <c r="AL2202" s="269"/>
      <c r="AM2202" s="269"/>
    </row>
    <row r="2203" spans="1:39" ht="12.75" customHeight="1" x14ac:dyDescent="0.2">
      <c r="A2203" s="289" t="str">
        <f>IF(B2203="","",COUNT('Diário 5º PA'!$A$5:$A$2634)+COUNT('Diário 6º PA'!$A$5:$A$2246)+ROW()-4)</f>
        <v/>
      </c>
      <c r="B2203" s="290"/>
      <c r="C2203" s="357"/>
      <c r="D2203" s="291"/>
      <c r="E2203" s="291"/>
      <c r="F2203" s="292"/>
      <c r="G2203" s="291"/>
      <c r="H2203" s="291"/>
      <c r="I2203" s="293"/>
      <c r="J2203" s="291"/>
      <c r="K2203" s="291"/>
      <c r="L2203" s="293"/>
      <c r="M2203" s="291"/>
      <c r="N2203" s="289"/>
      <c r="O2203" s="358"/>
      <c r="P2203" s="280">
        <f t="shared" ref="P2203:Q2203" si="419">IF(B2203=0,0,IF(YEAR(B2203)=$Q$1,MONTH(B2203)-$P$1+1,(YEAR(B2203)-$Q$1)*12-$P$1+1+MONTH(B2203)))</f>
        <v>0</v>
      </c>
      <c r="Q2203" s="280">
        <f t="shared" si="419"/>
        <v>0</v>
      </c>
      <c r="R2203" s="356" t="e">
        <f>#N/A</f>
        <v>#N/A</v>
      </c>
      <c r="S2203" s="269" t="str">
        <f>IF(D2203="","",IF(OR(D2203=Plano!$A$1,D2203=Plano!$B$1),"entrada","saída"))</f>
        <v/>
      </c>
      <c r="T2203" s="269"/>
      <c r="U2203" s="269"/>
      <c r="V2203" s="269"/>
      <c r="W2203" s="269"/>
      <c r="X2203" s="269"/>
      <c r="Y2203" s="269"/>
      <c r="Z2203" s="269"/>
      <c r="AA2203" s="269"/>
      <c r="AB2203" s="269"/>
      <c r="AC2203" s="269"/>
      <c r="AD2203" s="269"/>
      <c r="AE2203" s="269"/>
      <c r="AF2203" s="269"/>
      <c r="AG2203" s="269"/>
      <c r="AH2203" s="269"/>
      <c r="AI2203" s="269"/>
      <c r="AJ2203" s="269"/>
      <c r="AK2203" s="269"/>
      <c r="AL2203" s="269"/>
      <c r="AM2203" s="269"/>
    </row>
    <row r="2204" spans="1:39" ht="12.75" customHeight="1" x14ac:dyDescent="0.2">
      <c r="A2204" s="289" t="str">
        <f>IF(B2204="","",COUNT('Diário 5º PA'!$A$5:$A$2634)+COUNT('Diário 6º PA'!$A$5:$A$2246)+ROW()-4)</f>
        <v/>
      </c>
      <c r="B2204" s="290"/>
      <c r="C2204" s="357"/>
      <c r="D2204" s="291"/>
      <c r="E2204" s="291"/>
      <c r="F2204" s="292"/>
      <c r="G2204" s="291"/>
      <c r="H2204" s="291"/>
      <c r="I2204" s="293"/>
      <c r="J2204" s="291"/>
      <c r="K2204" s="291"/>
      <c r="L2204" s="293"/>
      <c r="M2204" s="291"/>
      <c r="N2204" s="289"/>
      <c r="O2204" s="358"/>
      <c r="P2204" s="280">
        <f t="shared" ref="P2204:Q2204" si="420">IF(B2204=0,0,IF(YEAR(B2204)=$Q$1,MONTH(B2204)-$P$1+1,(YEAR(B2204)-$Q$1)*12-$P$1+1+MONTH(B2204)))</f>
        <v>0</v>
      </c>
      <c r="Q2204" s="280">
        <f t="shared" si="420"/>
        <v>0</v>
      </c>
      <c r="R2204" s="356" t="e">
        <f>#N/A</f>
        <v>#N/A</v>
      </c>
      <c r="S2204" s="269" t="str">
        <f>IF(D2204="","",IF(OR(D2204=Plano!$A$1,D2204=Plano!$B$1),"entrada","saída"))</f>
        <v/>
      </c>
      <c r="T2204" s="269"/>
      <c r="U2204" s="269"/>
      <c r="V2204" s="269"/>
      <c r="W2204" s="269"/>
      <c r="X2204" s="269"/>
      <c r="Y2204" s="269"/>
      <c r="Z2204" s="269"/>
      <c r="AA2204" s="269"/>
      <c r="AB2204" s="269"/>
      <c r="AC2204" s="269"/>
      <c r="AD2204" s="269"/>
      <c r="AE2204" s="269"/>
      <c r="AF2204" s="269"/>
      <c r="AG2204" s="269"/>
      <c r="AH2204" s="269"/>
      <c r="AI2204" s="269"/>
      <c r="AJ2204" s="269"/>
      <c r="AK2204" s="269"/>
      <c r="AL2204" s="269"/>
      <c r="AM2204" s="269"/>
    </row>
    <row r="2205" spans="1:39" ht="12.75" customHeight="1" x14ac:dyDescent="0.2">
      <c r="A2205" s="289" t="str">
        <f>IF(B2205="","",COUNT('Diário 5º PA'!$A$5:$A$2634)+COUNT('Diário 6º PA'!$A$5:$A$2246)+ROW()-4)</f>
        <v/>
      </c>
      <c r="B2205" s="290"/>
      <c r="C2205" s="357"/>
      <c r="D2205" s="291"/>
      <c r="E2205" s="291"/>
      <c r="F2205" s="292"/>
      <c r="G2205" s="291"/>
      <c r="H2205" s="291"/>
      <c r="I2205" s="293"/>
      <c r="J2205" s="291"/>
      <c r="K2205" s="291"/>
      <c r="L2205" s="293"/>
      <c r="M2205" s="291"/>
      <c r="N2205" s="289"/>
      <c r="O2205" s="358"/>
      <c r="P2205" s="280">
        <f t="shared" ref="P2205:Q2205" si="421">IF(B2205=0,0,IF(YEAR(B2205)=$Q$1,MONTH(B2205)-$P$1+1,(YEAR(B2205)-$Q$1)*12-$P$1+1+MONTH(B2205)))</f>
        <v>0</v>
      </c>
      <c r="Q2205" s="280">
        <f t="shared" si="421"/>
        <v>0</v>
      </c>
      <c r="R2205" s="356" t="e">
        <f>#N/A</f>
        <v>#N/A</v>
      </c>
      <c r="S2205" s="269" t="str">
        <f>IF(D2205="","",IF(OR(D2205=Plano!$A$1,D2205=Plano!$B$1),"entrada","saída"))</f>
        <v/>
      </c>
      <c r="T2205" s="269"/>
      <c r="U2205" s="269"/>
      <c r="V2205" s="269"/>
      <c r="W2205" s="269"/>
      <c r="X2205" s="269"/>
      <c r="Y2205" s="269"/>
      <c r="Z2205" s="269"/>
      <c r="AA2205" s="269"/>
      <c r="AB2205" s="269"/>
      <c r="AC2205" s="269"/>
      <c r="AD2205" s="269"/>
      <c r="AE2205" s="269"/>
      <c r="AF2205" s="269"/>
      <c r="AG2205" s="269"/>
      <c r="AH2205" s="269"/>
      <c r="AI2205" s="269"/>
      <c r="AJ2205" s="269"/>
      <c r="AK2205" s="269"/>
      <c r="AL2205" s="269"/>
      <c r="AM2205" s="269"/>
    </row>
    <row r="2206" spans="1:39" ht="12.75" customHeight="1" x14ac:dyDescent="0.2">
      <c r="A2206" s="289" t="str">
        <f>IF(B2206="","",COUNT('Diário 5º PA'!$A$5:$A$2634)+COUNT('Diário 6º PA'!$A$5:$A$2246)+ROW()-4)</f>
        <v/>
      </c>
      <c r="B2206" s="290"/>
      <c r="C2206" s="357"/>
      <c r="D2206" s="291"/>
      <c r="E2206" s="291"/>
      <c r="F2206" s="292"/>
      <c r="G2206" s="291"/>
      <c r="H2206" s="291"/>
      <c r="I2206" s="293"/>
      <c r="J2206" s="291"/>
      <c r="K2206" s="291"/>
      <c r="L2206" s="293"/>
      <c r="M2206" s="291"/>
      <c r="N2206" s="289"/>
      <c r="O2206" s="358"/>
      <c r="P2206" s="280">
        <f t="shared" ref="P2206:Q2206" si="422">IF(B2206=0,0,IF(YEAR(B2206)=$Q$1,MONTH(B2206)-$P$1+1,(YEAR(B2206)-$Q$1)*12-$P$1+1+MONTH(B2206)))</f>
        <v>0</v>
      </c>
      <c r="Q2206" s="280">
        <f t="shared" si="422"/>
        <v>0</v>
      </c>
      <c r="R2206" s="356" t="e">
        <f>#N/A</f>
        <v>#N/A</v>
      </c>
      <c r="S2206" s="269" t="str">
        <f>IF(D2206="","",IF(OR(D2206=Plano!$A$1,D2206=Plano!$B$1),"entrada","saída"))</f>
        <v/>
      </c>
      <c r="T2206" s="269"/>
      <c r="U2206" s="269"/>
      <c r="V2206" s="269"/>
      <c r="W2206" s="269"/>
      <c r="X2206" s="269"/>
      <c r="Y2206" s="269"/>
      <c r="Z2206" s="269"/>
      <c r="AA2206" s="269"/>
      <c r="AB2206" s="269"/>
      <c r="AC2206" s="269"/>
      <c r="AD2206" s="269"/>
      <c r="AE2206" s="269"/>
      <c r="AF2206" s="269"/>
      <c r="AG2206" s="269"/>
      <c r="AH2206" s="269"/>
      <c r="AI2206" s="269"/>
      <c r="AJ2206" s="269"/>
      <c r="AK2206" s="269"/>
      <c r="AL2206" s="269"/>
      <c r="AM2206" s="269"/>
    </row>
    <row r="2207" spans="1:39" ht="12.75" customHeight="1" x14ac:dyDescent="0.2">
      <c r="A2207" s="289" t="str">
        <f>IF(B2207="","",COUNT('Diário 5º PA'!$A$5:$A$2634)+COUNT('Diário 6º PA'!$A$5:$A$2246)+ROW()-4)</f>
        <v/>
      </c>
      <c r="B2207" s="290"/>
      <c r="C2207" s="357"/>
      <c r="D2207" s="291"/>
      <c r="E2207" s="291"/>
      <c r="F2207" s="292"/>
      <c r="G2207" s="291"/>
      <c r="H2207" s="291"/>
      <c r="I2207" s="293"/>
      <c r="J2207" s="291"/>
      <c r="K2207" s="291"/>
      <c r="L2207" s="293"/>
      <c r="M2207" s="291"/>
      <c r="N2207" s="289"/>
      <c r="O2207" s="358"/>
      <c r="P2207" s="280">
        <f t="shared" ref="P2207:Q2207" si="423">IF(B2207=0,0,IF(YEAR(B2207)=$Q$1,MONTH(B2207)-$P$1+1,(YEAR(B2207)-$Q$1)*12-$P$1+1+MONTH(B2207)))</f>
        <v>0</v>
      </c>
      <c r="Q2207" s="280">
        <f t="shared" si="423"/>
        <v>0</v>
      </c>
      <c r="R2207" s="356" t="e">
        <f>#N/A</f>
        <v>#N/A</v>
      </c>
      <c r="S2207" s="269" t="str">
        <f>IF(D2207="","",IF(OR(D2207=Plano!$A$1,D2207=Plano!$B$1),"entrada","saída"))</f>
        <v/>
      </c>
      <c r="T2207" s="269"/>
      <c r="U2207" s="269"/>
      <c r="V2207" s="269"/>
      <c r="W2207" s="269"/>
      <c r="X2207" s="269"/>
      <c r="Y2207" s="269"/>
      <c r="Z2207" s="269"/>
      <c r="AA2207" s="269"/>
      <c r="AB2207" s="269"/>
      <c r="AC2207" s="269"/>
      <c r="AD2207" s="269"/>
      <c r="AE2207" s="269"/>
      <c r="AF2207" s="269"/>
      <c r="AG2207" s="269"/>
      <c r="AH2207" s="269"/>
      <c r="AI2207" s="269"/>
      <c r="AJ2207" s="269"/>
      <c r="AK2207" s="269"/>
      <c r="AL2207" s="269"/>
      <c r="AM2207" s="269"/>
    </row>
    <row r="2208" spans="1:39" ht="12.75" customHeight="1" x14ac:dyDescent="0.2">
      <c r="A2208" s="289" t="str">
        <f>IF(B2208="","",COUNT('Diário 5º PA'!$A$5:$A$2634)+COUNT('Diário 6º PA'!$A$5:$A$2246)+ROW()-4)</f>
        <v/>
      </c>
      <c r="B2208" s="290"/>
      <c r="C2208" s="357"/>
      <c r="D2208" s="291"/>
      <c r="E2208" s="291"/>
      <c r="F2208" s="292"/>
      <c r="G2208" s="291"/>
      <c r="H2208" s="291"/>
      <c r="I2208" s="293"/>
      <c r="J2208" s="291"/>
      <c r="K2208" s="291"/>
      <c r="L2208" s="293"/>
      <c r="M2208" s="291"/>
      <c r="N2208" s="289"/>
      <c r="O2208" s="358"/>
      <c r="P2208" s="280">
        <f t="shared" ref="P2208:Q2208" si="424">IF(B2208=0,0,IF(YEAR(B2208)=$Q$1,MONTH(B2208)-$P$1+1,(YEAR(B2208)-$Q$1)*12-$P$1+1+MONTH(B2208)))</f>
        <v>0</v>
      </c>
      <c r="Q2208" s="280">
        <f t="shared" si="424"/>
        <v>0</v>
      </c>
      <c r="R2208" s="356" t="e">
        <f>#N/A</f>
        <v>#N/A</v>
      </c>
      <c r="S2208" s="269" t="str">
        <f>IF(D2208="","",IF(OR(D2208=Plano!$A$1,D2208=Plano!$B$1),"entrada","saída"))</f>
        <v/>
      </c>
      <c r="T2208" s="269"/>
      <c r="U2208" s="269"/>
      <c r="V2208" s="269"/>
      <c r="W2208" s="269"/>
      <c r="X2208" s="269"/>
      <c r="Y2208" s="269"/>
      <c r="Z2208" s="269"/>
      <c r="AA2208" s="269"/>
      <c r="AB2208" s="269"/>
      <c r="AC2208" s="269"/>
      <c r="AD2208" s="269"/>
      <c r="AE2208" s="269"/>
      <c r="AF2208" s="269"/>
      <c r="AG2208" s="269"/>
      <c r="AH2208" s="269"/>
      <c r="AI2208" s="269"/>
      <c r="AJ2208" s="269"/>
      <c r="AK2208" s="269"/>
      <c r="AL2208" s="269"/>
      <c r="AM2208" s="269"/>
    </row>
    <row r="2209" spans="1:39" ht="12.75" customHeight="1" x14ac:dyDescent="0.2">
      <c r="A2209" s="289" t="str">
        <f>IF(B2209="","",COUNT('Diário 5º PA'!$A$5:$A$2634)+COUNT('Diário 6º PA'!$A$5:$A$2246)+ROW()-4)</f>
        <v/>
      </c>
      <c r="B2209" s="290"/>
      <c r="C2209" s="357"/>
      <c r="D2209" s="291"/>
      <c r="E2209" s="291"/>
      <c r="F2209" s="292"/>
      <c r="G2209" s="291"/>
      <c r="H2209" s="291"/>
      <c r="I2209" s="293"/>
      <c r="J2209" s="291"/>
      <c r="K2209" s="291"/>
      <c r="L2209" s="293"/>
      <c r="M2209" s="291"/>
      <c r="N2209" s="289"/>
      <c r="O2209" s="358"/>
      <c r="P2209" s="280">
        <f t="shared" ref="P2209:Q2209" si="425">IF(B2209=0,0,IF(YEAR(B2209)=$Q$1,MONTH(B2209)-$P$1+1,(YEAR(B2209)-$Q$1)*12-$P$1+1+MONTH(B2209)))</f>
        <v>0</v>
      </c>
      <c r="Q2209" s="280">
        <f t="shared" si="425"/>
        <v>0</v>
      </c>
      <c r="R2209" s="356" t="e">
        <f>#N/A</f>
        <v>#N/A</v>
      </c>
      <c r="S2209" s="269" t="str">
        <f>IF(D2209="","",IF(OR(D2209=Plano!$A$1,D2209=Plano!$B$1),"entrada","saída"))</f>
        <v/>
      </c>
      <c r="T2209" s="269"/>
      <c r="U2209" s="269"/>
      <c r="V2209" s="269"/>
      <c r="W2209" s="269"/>
      <c r="X2209" s="269"/>
      <c r="Y2209" s="269"/>
      <c r="Z2209" s="269"/>
      <c r="AA2209" s="269"/>
      <c r="AB2209" s="269"/>
      <c r="AC2209" s="269"/>
      <c r="AD2209" s="269"/>
      <c r="AE2209" s="269"/>
      <c r="AF2209" s="269"/>
      <c r="AG2209" s="269"/>
      <c r="AH2209" s="269"/>
      <c r="AI2209" s="269"/>
      <c r="AJ2209" s="269"/>
      <c r="AK2209" s="269"/>
      <c r="AL2209" s="269"/>
      <c r="AM2209" s="269"/>
    </row>
    <row r="2210" spans="1:39" ht="12.75" customHeight="1" x14ac:dyDescent="0.2">
      <c r="A2210" s="289" t="str">
        <f>IF(B2210="","",COUNT('Diário 5º PA'!$A$5:$A$2634)+COUNT('Diário 6º PA'!$A$5:$A$2246)+ROW()-4)</f>
        <v/>
      </c>
      <c r="B2210" s="290"/>
      <c r="C2210" s="357"/>
      <c r="D2210" s="291"/>
      <c r="E2210" s="291"/>
      <c r="F2210" s="292"/>
      <c r="G2210" s="291"/>
      <c r="H2210" s="291"/>
      <c r="I2210" s="293"/>
      <c r="J2210" s="291"/>
      <c r="K2210" s="291"/>
      <c r="L2210" s="293"/>
      <c r="M2210" s="291"/>
      <c r="N2210" s="289"/>
      <c r="O2210" s="358"/>
      <c r="P2210" s="280">
        <f t="shared" ref="P2210:Q2210" si="426">IF(B2210=0,0,IF(YEAR(B2210)=$Q$1,MONTH(B2210)-$P$1+1,(YEAR(B2210)-$Q$1)*12-$P$1+1+MONTH(B2210)))</f>
        <v>0</v>
      </c>
      <c r="Q2210" s="280">
        <f t="shared" si="426"/>
        <v>0</v>
      </c>
      <c r="R2210" s="356" t="e">
        <f>#N/A</f>
        <v>#N/A</v>
      </c>
      <c r="S2210" s="269" t="str">
        <f>IF(D2210="","",IF(OR(D2210=Plano!$A$1,D2210=Plano!$B$1),"entrada","saída"))</f>
        <v/>
      </c>
      <c r="T2210" s="269"/>
      <c r="U2210" s="269"/>
      <c r="V2210" s="269"/>
      <c r="W2210" s="269"/>
      <c r="X2210" s="269"/>
      <c r="Y2210" s="269"/>
      <c r="Z2210" s="269"/>
      <c r="AA2210" s="269"/>
      <c r="AB2210" s="269"/>
      <c r="AC2210" s="269"/>
      <c r="AD2210" s="269"/>
      <c r="AE2210" s="269"/>
      <c r="AF2210" s="269"/>
      <c r="AG2210" s="269"/>
      <c r="AH2210" s="269"/>
      <c r="AI2210" s="269"/>
      <c r="AJ2210" s="269"/>
      <c r="AK2210" s="269"/>
      <c r="AL2210" s="269"/>
      <c r="AM2210" s="269"/>
    </row>
    <row r="2211" spans="1:39" ht="12.75" customHeight="1" x14ac:dyDescent="0.2">
      <c r="A2211" s="289" t="str">
        <f>IF(B2211="","",COUNT('Diário 5º PA'!$A$5:$A$2634)+COUNT('Diário 6º PA'!$A$5:$A$2246)+ROW()-4)</f>
        <v/>
      </c>
      <c r="B2211" s="290"/>
      <c r="C2211" s="357"/>
      <c r="D2211" s="291"/>
      <c r="E2211" s="291"/>
      <c r="F2211" s="292"/>
      <c r="G2211" s="291"/>
      <c r="H2211" s="291"/>
      <c r="I2211" s="293"/>
      <c r="J2211" s="291"/>
      <c r="K2211" s="291"/>
      <c r="L2211" s="293"/>
      <c r="M2211" s="291"/>
      <c r="N2211" s="289"/>
      <c r="O2211" s="358"/>
      <c r="P2211" s="280">
        <f t="shared" ref="P2211:Q2211" si="427">IF(B2211=0,0,IF(YEAR(B2211)=$Q$1,MONTH(B2211)-$P$1+1,(YEAR(B2211)-$Q$1)*12-$P$1+1+MONTH(B2211)))</f>
        <v>0</v>
      </c>
      <c r="Q2211" s="280">
        <f t="shared" si="427"/>
        <v>0</v>
      </c>
      <c r="R2211" s="356" t="e">
        <f>#N/A</f>
        <v>#N/A</v>
      </c>
      <c r="S2211" s="269" t="str">
        <f>IF(D2211="","",IF(OR(D2211=Plano!$A$1,D2211=Plano!$B$1),"entrada","saída"))</f>
        <v/>
      </c>
      <c r="T2211" s="269"/>
      <c r="U2211" s="269"/>
      <c r="V2211" s="269"/>
      <c r="W2211" s="269"/>
      <c r="X2211" s="269"/>
      <c r="Y2211" s="269"/>
      <c r="Z2211" s="269"/>
      <c r="AA2211" s="269"/>
      <c r="AB2211" s="269"/>
      <c r="AC2211" s="269"/>
      <c r="AD2211" s="269"/>
      <c r="AE2211" s="269"/>
      <c r="AF2211" s="269"/>
      <c r="AG2211" s="269"/>
      <c r="AH2211" s="269"/>
      <c r="AI2211" s="269"/>
      <c r="AJ2211" s="269"/>
      <c r="AK2211" s="269"/>
      <c r="AL2211" s="269"/>
      <c r="AM2211" s="269"/>
    </row>
    <row r="2212" spans="1:39" ht="12.75" customHeight="1" x14ac:dyDescent="0.2">
      <c r="A2212" s="289" t="str">
        <f>IF(B2212="","",COUNT('Diário 5º PA'!$A$5:$A$2634)+COUNT('Diário 6º PA'!$A$5:$A$2246)+ROW()-4)</f>
        <v/>
      </c>
      <c r="B2212" s="290"/>
      <c r="C2212" s="357"/>
      <c r="D2212" s="291"/>
      <c r="E2212" s="291"/>
      <c r="F2212" s="292"/>
      <c r="G2212" s="291"/>
      <c r="H2212" s="291"/>
      <c r="I2212" s="293"/>
      <c r="J2212" s="291"/>
      <c r="K2212" s="291"/>
      <c r="L2212" s="293"/>
      <c r="M2212" s="291"/>
      <c r="N2212" s="289"/>
      <c r="O2212" s="358"/>
      <c r="P2212" s="280">
        <f t="shared" ref="P2212:Q2212" si="428">IF(B2212=0,0,IF(YEAR(B2212)=$Q$1,MONTH(B2212)-$P$1+1,(YEAR(B2212)-$Q$1)*12-$P$1+1+MONTH(B2212)))</f>
        <v>0</v>
      </c>
      <c r="Q2212" s="280">
        <f t="shared" si="428"/>
        <v>0</v>
      </c>
      <c r="R2212" s="356" t="e">
        <f>#N/A</f>
        <v>#N/A</v>
      </c>
      <c r="S2212" s="269" t="str">
        <f>IF(D2212="","",IF(OR(D2212=Plano!$A$1,D2212=Plano!$B$1),"entrada","saída"))</f>
        <v/>
      </c>
      <c r="T2212" s="269"/>
      <c r="U2212" s="269"/>
      <c r="V2212" s="269"/>
      <c r="W2212" s="269"/>
      <c r="X2212" s="269"/>
      <c r="Y2212" s="269"/>
      <c r="Z2212" s="269"/>
      <c r="AA2212" s="269"/>
      <c r="AB2212" s="269"/>
      <c r="AC2212" s="269"/>
      <c r="AD2212" s="269"/>
      <c r="AE2212" s="269"/>
      <c r="AF2212" s="269"/>
      <c r="AG2212" s="269"/>
      <c r="AH2212" s="269"/>
      <c r="AI2212" s="269"/>
      <c r="AJ2212" s="269"/>
      <c r="AK2212" s="269"/>
      <c r="AL2212" s="269"/>
      <c r="AM2212" s="269"/>
    </row>
    <row r="2213" spans="1:39" ht="12.75" customHeight="1" x14ac:dyDescent="0.2">
      <c r="A2213" s="289" t="str">
        <f>IF(B2213="","",COUNT('Diário 5º PA'!$A$5:$A$2634)+COUNT('Diário 6º PA'!$A$5:$A$2246)+ROW()-4)</f>
        <v/>
      </c>
      <c r="B2213" s="290"/>
      <c r="C2213" s="357"/>
      <c r="D2213" s="291"/>
      <c r="E2213" s="291"/>
      <c r="F2213" s="292"/>
      <c r="G2213" s="291"/>
      <c r="H2213" s="291"/>
      <c r="I2213" s="293"/>
      <c r="J2213" s="291"/>
      <c r="K2213" s="291"/>
      <c r="L2213" s="293"/>
      <c r="M2213" s="291"/>
      <c r="N2213" s="289"/>
      <c r="O2213" s="358"/>
      <c r="P2213" s="280">
        <f t="shared" ref="P2213:Q2213" si="429">IF(B2213=0,0,IF(YEAR(B2213)=$Q$1,MONTH(B2213)-$P$1+1,(YEAR(B2213)-$Q$1)*12-$P$1+1+MONTH(B2213)))</f>
        <v>0</v>
      </c>
      <c r="Q2213" s="280">
        <f t="shared" si="429"/>
        <v>0</v>
      </c>
      <c r="R2213" s="356" t="e">
        <f>#N/A</f>
        <v>#N/A</v>
      </c>
      <c r="S2213" s="269" t="str">
        <f>IF(D2213="","",IF(OR(D2213=Plano!$A$1,D2213=Plano!$B$1),"entrada","saída"))</f>
        <v/>
      </c>
      <c r="T2213" s="269"/>
      <c r="U2213" s="269"/>
      <c r="V2213" s="269"/>
      <c r="W2213" s="269"/>
      <c r="X2213" s="269"/>
      <c r="Y2213" s="269"/>
      <c r="Z2213" s="269"/>
      <c r="AA2213" s="269"/>
      <c r="AB2213" s="269"/>
      <c r="AC2213" s="269"/>
      <c r="AD2213" s="269"/>
      <c r="AE2213" s="269"/>
      <c r="AF2213" s="269"/>
      <c r="AG2213" s="269"/>
      <c r="AH2213" s="269"/>
      <c r="AI2213" s="269"/>
      <c r="AJ2213" s="269"/>
      <c r="AK2213" s="269"/>
      <c r="AL2213" s="269"/>
      <c r="AM2213" s="269"/>
    </row>
    <row r="2214" spans="1:39" ht="12.75" customHeight="1" x14ac:dyDescent="0.2">
      <c r="A2214" s="289" t="str">
        <f>IF(B2214="","",COUNT('Diário 5º PA'!$A$5:$A$2634)+COUNT('Diário 6º PA'!$A$5:$A$2246)+ROW()-4)</f>
        <v/>
      </c>
      <c r="B2214" s="290"/>
      <c r="C2214" s="357"/>
      <c r="D2214" s="291"/>
      <c r="E2214" s="291"/>
      <c r="F2214" s="292"/>
      <c r="G2214" s="291"/>
      <c r="H2214" s="291"/>
      <c r="I2214" s="293"/>
      <c r="J2214" s="291"/>
      <c r="K2214" s="291"/>
      <c r="L2214" s="293"/>
      <c r="M2214" s="291"/>
      <c r="N2214" s="289"/>
      <c r="O2214" s="358"/>
      <c r="P2214" s="280">
        <f t="shared" ref="P2214:Q2214" si="430">IF(B2214=0,0,IF(YEAR(B2214)=$Q$1,MONTH(B2214)-$P$1+1,(YEAR(B2214)-$Q$1)*12-$P$1+1+MONTH(B2214)))</f>
        <v>0</v>
      </c>
      <c r="Q2214" s="280">
        <f t="shared" si="430"/>
        <v>0</v>
      </c>
      <c r="R2214" s="356" t="e">
        <f>#N/A</f>
        <v>#N/A</v>
      </c>
      <c r="S2214" s="269" t="str">
        <f>IF(D2214="","",IF(OR(D2214=Plano!$A$1,D2214=Plano!$B$1),"entrada","saída"))</f>
        <v/>
      </c>
      <c r="T2214" s="269"/>
      <c r="U2214" s="269"/>
      <c r="V2214" s="269"/>
      <c r="W2214" s="269"/>
      <c r="X2214" s="269"/>
      <c r="Y2214" s="269"/>
      <c r="Z2214" s="269"/>
      <c r="AA2214" s="269"/>
      <c r="AB2214" s="269"/>
      <c r="AC2214" s="269"/>
      <c r="AD2214" s="269"/>
      <c r="AE2214" s="269"/>
      <c r="AF2214" s="269"/>
      <c r="AG2214" s="269"/>
      <c r="AH2214" s="269"/>
      <c r="AI2214" s="269"/>
      <c r="AJ2214" s="269"/>
      <c r="AK2214" s="269"/>
      <c r="AL2214" s="269"/>
      <c r="AM2214" s="269"/>
    </row>
    <row r="2215" spans="1:39" ht="12.75" customHeight="1" x14ac:dyDescent="0.2">
      <c r="A2215" s="289" t="str">
        <f>IF(B2215="","",COUNT('Diário 5º PA'!$A$5:$A$2634)+COUNT('Diário 6º PA'!$A$5:$A$2246)+ROW()-4)</f>
        <v/>
      </c>
      <c r="B2215" s="290"/>
      <c r="C2215" s="357"/>
      <c r="D2215" s="291"/>
      <c r="E2215" s="291"/>
      <c r="F2215" s="292"/>
      <c r="G2215" s="291"/>
      <c r="H2215" s="291"/>
      <c r="I2215" s="293"/>
      <c r="J2215" s="291"/>
      <c r="K2215" s="291"/>
      <c r="L2215" s="293"/>
      <c r="M2215" s="291"/>
      <c r="N2215" s="289"/>
      <c r="O2215" s="358"/>
      <c r="P2215" s="280">
        <f t="shared" ref="P2215:Q2215" si="431">IF(B2215=0,0,IF(YEAR(B2215)=$Q$1,MONTH(B2215)-$P$1+1,(YEAR(B2215)-$Q$1)*12-$P$1+1+MONTH(B2215)))</f>
        <v>0</v>
      </c>
      <c r="Q2215" s="280">
        <f t="shared" si="431"/>
        <v>0</v>
      </c>
      <c r="R2215" s="356" t="e">
        <f>#N/A</f>
        <v>#N/A</v>
      </c>
      <c r="S2215" s="269" t="str">
        <f>IF(D2215="","",IF(OR(D2215=Plano!$A$1,D2215=Plano!$B$1),"entrada","saída"))</f>
        <v/>
      </c>
      <c r="T2215" s="269"/>
      <c r="U2215" s="269"/>
      <c r="V2215" s="269"/>
      <c r="W2215" s="269"/>
      <c r="X2215" s="269"/>
      <c r="Y2215" s="269"/>
      <c r="Z2215" s="269"/>
      <c r="AA2215" s="269"/>
      <c r="AB2215" s="269"/>
      <c r="AC2215" s="269"/>
      <c r="AD2215" s="269"/>
      <c r="AE2215" s="269"/>
      <c r="AF2215" s="269"/>
      <c r="AG2215" s="269"/>
      <c r="AH2215" s="269"/>
      <c r="AI2215" s="269"/>
      <c r="AJ2215" s="269"/>
      <c r="AK2215" s="269"/>
      <c r="AL2215" s="269"/>
      <c r="AM2215" s="269"/>
    </row>
    <row r="2216" spans="1:39" ht="12.75" customHeight="1" x14ac:dyDescent="0.2">
      <c r="A2216" s="289" t="str">
        <f>IF(B2216="","",COUNT('Diário 5º PA'!$A$5:$A$2634)+COUNT('Diário 6º PA'!$A$5:$A$2246)+ROW()-4)</f>
        <v/>
      </c>
      <c r="B2216" s="290"/>
      <c r="C2216" s="357"/>
      <c r="D2216" s="291"/>
      <c r="E2216" s="291"/>
      <c r="F2216" s="292"/>
      <c r="G2216" s="291"/>
      <c r="H2216" s="291"/>
      <c r="I2216" s="293"/>
      <c r="J2216" s="291"/>
      <c r="K2216" s="291"/>
      <c r="L2216" s="293"/>
      <c r="M2216" s="291"/>
      <c r="N2216" s="289"/>
      <c r="O2216" s="358"/>
      <c r="P2216" s="280">
        <f t="shared" ref="P2216:Q2216" si="432">IF(B2216=0,0,IF(YEAR(B2216)=$Q$1,MONTH(B2216)-$P$1+1,(YEAR(B2216)-$Q$1)*12-$P$1+1+MONTH(B2216)))</f>
        <v>0</v>
      </c>
      <c r="Q2216" s="280">
        <f t="shared" si="432"/>
        <v>0</v>
      </c>
      <c r="R2216" s="356" t="e">
        <f>#N/A</f>
        <v>#N/A</v>
      </c>
      <c r="S2216" s="269" t="str">
        <f>IF(D2216="","",IF(OR(D2216=Plano!$A$1,D2216=Plano!$B$1),"entrada","saída"))</f>
        <v/>
      </c>
      <c r="T2216" s="269"/>
      <c r="U2216" s="269"/>
      <c r="V2216" s="269"/>
      <c r="W2216" s="269"/>
      <c r="X2216" s="269"/>
      <c r="Y2216" s="269"/>
      <c r="Z2216" s="269"/>
      <c r="AA2216" s="269"/>
      <c r="AB2216" s="269"/>
      <c r="AC2216" s="269"/>
      <c r="AD2216" s="269"/>
      <c r="AE2216" s="269"/>
      <c r="AF2216" s="269"/>
      <c r="AG2216" s="269"/>
      <c r="AH2216" s="269"/>
      <c r="AI2216" s="269"/>
      <c r="AJ2216" s="269"/>
      <c r="AK2216" s="269"/>
      <c r="AL2216" s="269"/>
      <c r="AM2216" s="269"/>
    </row>
    <row r="2217" spans="1:39" ht="12.75" customHeight="1" x14ac:dyDescent="0.2">
      <c r="A2217" s="289" t="str">
        <f>IF(B2217="","",COUNT('Diário 5º PA'!$A$5:$A$2634)+COUNT('Diário 6º PA'!$A$5:$A$2246)+ROW()-4)</f>
        <v/>
      </c>
      <c r="B2217" s="290"/>
      <c r="C2217" s="357"/>
      <c r="D2217" s="291"/>
      <c r="E2217" s="291"/>
      <c r="F2217" s="292"/>
      <c r="G2217" s="291"/>
      <c r="H2217" s="291"/>
      <c r="I2217" s="293"/>
      <c r="J2217" s="291"/>
      <c r="K2217" s="291"/>
      <c r="L2217" s="293"/>
      <c r="M2217" s="291"/>
      <c r="N2217" s="289"/>
      <c r="O2217" s="358"/>
      <c r="P2217" s="280">
        <f t="shared" ref="P2217:Q2217" si="433">IF(B2217=0,0,IF(YEAR(B2217)=$Q$1,MONTH(B2217)-$P$1+1,(YEAR(B2217)-$Q$1)*12-$P$1+1+MONTH(B2217)))</f>
        <v>0</v>
      </c>
      <c r="Q2217" s="280">
        <f t="shared" si="433"/>
        <v>0</v>
      </c>
      <c r="R2217" s="356" t="e">
        <f>#N/A</f>
        <v>#N/A</v>
      </c>
      <c r="S2217" s="269" t="str">
        <f>IF(D2217="","",IF(OR(D2217=Plano!$A$1,D2217=Plano!$B$1),"entrada","saída"))</f>
        <v/>
      </c>
      <c r="T2217" s="269"/>
      <c r="U2217" s="269"/>
      <c r="V2217" s="269"/>
      <c r="W2217" s="269"/>
      <c r="X2217" s="269"/>
      <c r="Y2217" s="269"/>
      <c r="Z2217" s="269"/>
      <c r="AA2217" s="269"/>
      <c r="AB2217" s="269"/>
      <c r="AC2217" s="269"/>
      <c r="AD2217" s="269"/>
      <c r="AE2217" s="269"/>
      <c r="AF2217" s="269"/>
      <c r="AG2217" s="269"/>
      <c r="AH2217" s="269"/>
      <c r="AI2217" s="269"/>
      <c r="AJ2217" s="269"/>
      <c r="AK2217" s="269"/>
      <c r="AL2217" s="269"/>
      <c r="AM2217" s="269"/>
    </row>
    <row r="2218" spans="1:39" ht="12.75" customHeight="1" x14ac:dyDescent="0.2">
      <c r="A2218" s="289" t="str">
        <f>IF(B2218="","",COUNT('Diário 5º PA'!$A$5:$A$2634)+COUNT('Diário 6º PA'!$A$5:$A$2246)+ROW()-4)</f>
        <v/>
      </c>
      <c r="B2218" s="290"/>
      <c r="C2218" s="357"/>
      <c r="D2218" s="291"/>
      <c r="E2218" s="291"/>
      <c r="F2218" s="292"/>
      <c r="G2218" s="291"/>
      <c r="H2218" s="291"/>
      <c r="I2218" s="293"/>
      <c r="J2218" s="291"/>
      <c r="K2218" s="291"/>
      <c r="L2218" s="293"/>
      <c r="M2218" s="291"/>
      <c r="N2218" s="289"/>
      <c r="O2218" s="358"/>
      <c r="P2218" s="280">
        <f t="shared" ref="P2218:Q2218" si="434">IF(B2218=0,0,IF(YEAR(B2218)=$Q$1,MONTH(B2218)-$P$1+1,(YEAR(B2218)-$Q$1)*12-$P$1+1+MONTH(B2218)))</f>
        <v>0</v>
      </c>
      <c r="Q2218" s="280">
        <f t="shared" si="434"/>
        <v>0</v>
      </c>
      <c r="R2218" s="356" t="e">
        <f>#N/A</f>
        <v>#N/A</v>
      </c>
      <c r="S2218" s="269" t="str">
        <f>IF(D2218="","",IF(OR(D2218=Plano!$A$1,D2218=Plano!$B$1),"entrada","saída"))</f>
        <v/>
      </c>
      <c r="T2218" s="269"/>
      <c r="U2218" s="269"/>
      <c r="V2218" s="269"/>
      <c r="W2218" s="269"/>
      <c r="X2218" s="269"/>
      <c r="Y2218" s="269"/>
      <c r="Z2218" s="269"/>
      <c r="AA2218" s="269"/>
      <c r="AB2218" s="269"/>
      <c r="AC2218" s="269"/>
      <c r="AD2218" s="269"/>
      <c r="AE2218" s="269"/>
      <c r="AF2218" s="269"/>
      <c r="AG2218" s="269"/>
      <c r="AH2218" s="269"/>
      <c r="AI2218" s="269"/>
      <c r="AJ2218" s="269"/>
      <c r="AK2218" s="269"/>
      <c r="AL2218" s="269"/>
      <c r="AM2218" s="269"/>
    </row>
    <row r="2219" spans="1:39" ht="12.75" customHeight="1" x14ac:dyDescent="0.2">
      <c r="A2219" s="289" t="str">
        <f>IF(B2219="","",COUNT('Diário 5º PA'!$A$5:$A$2634)+COUNT('Diário 6º PA'!$A$5:$A$2246)+ROW()-4)</f>
        <v/>
      </c>
      <c r="B2219" s="290"/>
      <c r="C2219" s="357"/>
      <c r="D2219" s="291"/>
      <c r="E2219" s="291"/>
      <c r="F2219" s="292"/>
      <c r="G2219" s="291"/>
      <c r="H2219" s="291"/>
      <c r="I2219" s="293"/>
      <c r="J2219" s="291"/>
      <c r="K2219" s="291"/>
      <c r="L2219" s="293"/>
      <c r="M2219" s="291"/>
      <c r="N2219" s="289"/>
      <c r="O2219" s="358"/>
      <c r="P2219" s="280">
        <f t="shared" ref="P2219:Q2219" si="435">IF(B2219=0,0,IF(YEAR(B2219)=$Q$1,MONTH(B2219)-$P$1+1,(YEAR(B2219)-$Q$1)*12-$P$1+1+MONTH(B2219)))</f>
        <v>0</v>
      </c>
      <c r="Q2219" s="280">
        <f t="shared" si="435"/>
        <v>0</v>
      </c>
      <c r="R2219" s="356" t="e">
        <f>#N/A</f>
        <v>#N/A</v>
      </c>
      <c r="S2219" s="269" t="str">
        <f>IF(D2219="","",IF(OR(D2219=Plano!$A$1,D2219=Plano!$B$1),"entrada","saída"))</f>
        <v/>
      </c>
      <c r="T2219" s="269"/>
      <c r="U2219" s="269"/>
      <c r="V2219" s="269"/>
      <c r="W2219" s="269"/>
      <c r="X2219" s="269"/>
      <c r="Y2219" s="269"/>
      <c r="Z2219" s="269"/>
      <c r="AA2219" s="269"/>
      <c r="AB2219" s="269"/>
      <c r="AC2219" s="269"/>
      <c r="AD2219" s="269"/>
      <c r="AE2219" s="269"/>
      <c r="AF2219" s="269"/>
      <c r="AG2219" s="269"/>
      <c r="AH2219" s="269"/>
      <c r="AI2219" s="269"/>
      <c r="AJ2219" s="269"/>
      <c r="AK2219" s="269"/>
      <c r="AL2219" s="269"/>
      <c r="AM2219" s="269"/>
    </row>
    <row r="2220" spans="1:39" ht="12.75" customHeight="1" x14ac:dyDescent="0.2">
      <c r="A2220" s="289" t="str">
        <f>IF(B2220="","",COUNT('Diário 5º PA'!$A$5:$A$2634)+COUNT('Diário 6º PA'!$A$5:$A$2246)+ROW()-4)</f>
        <v/>
      </c>
      <c r="B2220" s="290"/>
      <c r="C2220" s="357"/>
      <c r="D2220" s="291"/>
      <c r="E2220" s="291"/>
      <c r="F2220" s="292"/>
      <c r="G2220" s="291"/>
      <c r="H2220" s="291"/>
      <c r="I2220" s="293"/>
      <c r="J2220" s="291"/>
      <c r="K2220" s="291"/>
      <c r="L2220" s="293"/>
      <c r="M2220" s="291"/>
      <c r="N2220" s="289"/>
      <c r="O2220" s="358"/>
      <c r="P2220" s="280">
        <f t="shared" ref="P2220:Q2220" si="436">IF(B2220=0,0,IF(YEAR(B2220)=$Q$1,MONTH(B2220)-$P$1+1,(YEAR(B2220)-$Q$1)*12-$P$1+1+MONTH(B2220)))</f>
        <v>0</v>
      </c>
      <c r="Q2220" s="280">
        <f t="shared" si="436"/>
        <v>0</v>
      </c>
      <c r="R2220" s="356" t="e">
        <f>#N/A</f>
        <v>#N/A</v>
      </c>
      <c r="S2220" s="269" t="str">
        <f>IF(D2220="","",IF(OR(D2220=Plano!$A$1,D2220=Plano!$B$1),"entrada","saída"))</f>
        <v/>
      </c>
      <c r="T2220" s="269"/>
      <c r="U2220" s="269"/>
      <c r="V2220" s="269"/>
      <c r="W2220" s="269"/>
      <c r="X2220" s="269"/>
      <c r="Y2220" s="269"/>
      <c r="Z2220" s="269"/>
      <c r="AA2220" s="269"/>
      <c r="AB2220" s="269"/>
      <c r="AC2220" s="269"/>
      <c r="AD2220" s="269"/>
      <c r="AE2220" s="269"/>
      <c r="AF2220" s="269"/>
      <c r="AG2220" s="269"/>
      <c r="AH2220" s="269"/>
      <c r="AI2220" s="269"/>
      <c r="AJ2220" s="269"/>
      <c r="AK2220" s="269"/>
      <c r="AL2220" s="269"/>
      <c r="AM2220" s="269"/>
    </row>
    <row r="2221" spans="1:39" ht="12.75" customHeight="1" x14ac:dyDescent="0.2">
      <c r="A2221" s="289" t="str">
        <f>IF(B2221="","",COUNT('Diário 5º PA'!$A$5:$A$2634)+COUNT('Diário 6º PA'!$A$5:$A$2246)+ROW()-4)</f>
        <v/>
      </c>
      <c r="B2221" s="290"/>
      <c r="C2221" s="357"/>
      <c r="D2221" s="291"/>
      <c r="E2221" s="291"/>
      <c r="F2221" s="292"/>
      <c r="G2221" s="291"/>
      <c r="H2221" s="291"/>
      <c r="I2221" s="293"/>
      <c r="J2221" s="291"/>
      <c r="K2221" s="291"/>
      <c r="L2221" s="293"/>
      <c r="M2221" s="291"/>
      <c r="N2221" s="289"/>
      <c r="O2221" s="358"/>
      <c r="P2221" s="280">
        <f t="shared" ref="P2221:Q2221" si="437">IF(B2221=0,0,IF(YEAR(B2221)=$Q$1,MONTH(B2221)-$P$1+1,(YEAR(B2221)-$Q$1)*12-$P$1+1+MONTH(B2221)))</f>
        <v>0</v>
      </c>
      <c r="Q2221" s="280">
        <f t="shared" si="437"/>
        <v>0</v>
      </c>
      <c r="R2221" s="356" t="e">
        <f>#N/A</f>
        <v>#N/A</v>
      </c>
      <c r="S2221" s="269" t="str">
        <f>IF(D2221="","",IF(OR(D2221=Plano!$A$1,D2221=Plano!$B$1),"entrada","saída"))</f>
        <v/>
      </c>
      <c r="T2221" s="269"/>
      <c r="U2221" s="269"/>
      <c r="V2221" s="269"/>
      <c r="W2221" s="269"/>
      <c r="X2221" s="269"/>
      <c r="Y2221" s="269"/>
      <c r="Z2221" s="269"/>
      <c r="AA2221" s="269"/>
      <c r="AB2221" s="269"/>
      <c r="AC2221" s="269"/>
      <c r="AD2221" s="269"/>
      <c r="AE2221" s="269"/>
      <c r="AF2221" s="269"/>
      <c r="AG2221" s="269"/>
      <c r="AH2221" s="269"/>
      <c r="AI2221" s="269"/>
      <c r="AJ2221" s="269"/>
      <c r="AK2221" s="269"/>
      <c r="AL2221" s="269"/>
      <c r="AM2221" s="269"/>
    </row>
    <row r="2222" spans="1:39" ht="12.75" customHeight="1" x14ac:dyDescent="0.2">
      <c r="A2222" s="289" t="str">
        <f>IF(B2222="","",COUNT('Diário 5º PA'!$A$5:$A$2634)+COUNT('Diário 6º PA'!$A$5:$A$2246)+ROW()-4)</f>
        <v/>
      </c>
      <c r="B2222" s="290"/>
      <c r="C2222" s="357"/>
      <c r="D2222" s="291"/>
      <c r="E2222" s="291"/>
      <c r="F2222" s="292"/>
      <c r="G2222" s="291"/>
      <c r="H2222" s="291"/>
      <c r="I2222" s="293"/>
      <c r="J2222" s="291"/>
      <c r="K2222" s="291"/>
      <c r="L2222" s="293"/>
      <c r="M2222" s="291"/>
      <c r="N2222" s="289"/>
      <c r="O2222" s="358"/>
      <c r="P2222" s="280">
        <f t="shared" ref="P2222:Q2222" si="438">IF(B2222=0,0,IF(YEAR(B2222)=$Q$1,MONTH(B2222)-$P$1+1,(YEAR(B2222)-$Q$1)*12-$P$1+1+MONTH(B2222)))</f>
        <v>0</v>
      </c>
      <c r="Q2222" s="280">
        <f t="shared" si="438"/>
        <v>0</v>
      </c>
      <c r="R2222" s="356" t="e">
        <f>#N/A</f>
        <v>#N/A</v>
      </c>
      <c r="S2222" s="269" t="str">
        <f>IF(D2222="","",IF(OR(D2222=Plano!$A$1,D2222=Plano!$B$1),"entrada","saída"))</f>
        <v/>
      </c>
      <c r="T2222" s="269"/>
      <c r="U2222" s="269"/>
      <c r="V2222" s="269"/>
      <c r="W2222" s="269"/>
      <c r="X2222" s="269"/>
      <c r="Y2222" s="269"/>
      <c r="Z2222" s="269"/>
      <c r="AA2222" s="269"/>
      <c r="AB2222" s="269"/>
      <c r="AC2222" s="269"/>
      <c r="AD2222" s="269"/>
      <c r="AE2222" s="269"/>
      <c r="AF2222" s="269"/>
      <c r="AG2222" s="269"/>
      <c r="AH2222" s="269"/>
      <c r="AI2222" s="269"/>
      <c r="AJ2222" s="269"/>
      <c r="AK2222" s="269"/>
      <c r="AL2222" s="269"/>
      <c r="AM2222" s="269"/>
    </row>
    <row r="2223" spans="1:39" ht="12.75" customHeight="1" x14ac:dyDescent="0.2">
      <c r="A2223" s="289" t="str">
        <f>IF(B2223="","",COUNT('Diário 5º PA'!$A$5:$A$2634)+COUNT('Diário 6º PA'!$A$5:$A$2246)+ROW()-4)</f>
        <v/>
      </c>
      <c r="B2223" s="290"/>
      <c r="C2223" s="357"/>
      <c r="D2223" s="291"/>
      <c r="E2223" s="291"/>
      <c r="F2223" s="292"/>
      <c r="G2223" s="291"/>
      <c r="H2223" s="291"/>
      <c r="I2223" s="293"/>
      <c r="J2223" s="291"/>
      <c r="K2223" s="291"/>
      <c r="L2223" s="293"/>
      <c r="M2223" s="291"/>
      <c r="N2223" s="289"/>
      <c r="O2223" s="358"/>
      <c r="P2223" s="280">
        <f t="shared" ref="P2223:Q2223" si="439">IF(B2223=0,0,IF(YEAR(B2223)=$Q$1,MONTH(B2223)-$P$1+1,(YEAR(B2223)-$Q$1)*12-$P$1+1+MONTH(B2223)))</f>
        <v>0</v>
      </c>
      <c r="Q2223" s="280">
        <f t="shared" si="439"/>
        <v>0</v>
      </c>
      <c r="R2223" s="356" t="e">
        <f>#N/A</f>
        <v>#N/A</v>
      </c>
      <c r="S2223" s="269" t="str">
        <f>IF(D2223="","",IF(OR(D2223=Plano!$A$1,D2223=Plano!$B$1),"entrada","saída"))</f>
        <v/>
      </c>
      <c r="T2223" s="269"/>
      <c r="U2223" s="269"/>
      <c r="V2223" s="269"/>
      <c r="W2223" s="269"/>
      <c r="X2223" s="269"/>
      <c r="Y2223" s="269"/>
      <c r="Z2223" s="269"/>
      <c r="AA2223" s="269"/>
      <c r="AB2223" s="269"/>
      <c r="AC2223" s="269"/>
      <c r="AD2223" s="269"/>
      <c r="AE2223" s="269"/>
      <c r="AF2223" s="269"/>
      <c r="AG2223" s="269"/>
      <c r="AH2223" s="269"/>
      <c r="AI2223" s="269"/>
      <c r="AJ2223" s="269"/>
      <c r="AK2223" s="269"/>
      <c r="AL2223" s="269"/>
      <c r="AM2223" s="269"/>
    </row>
    <row r="2224" spans="1:39" ht="12.75" customHeight="1" x14ac:dyDescent="0.2">
      <c r="A2224" s="289" t="str">
        <f>IF(B2224="","",COUNT('Diário 5º PA'!$A$5:$A$2634)+COUNT('Diário 6º PA'!$A$5:$A$2246)+ROW()-4)</f>
        <v/>
      </c>
      <c r="B2224" s="290"/>
      <c r="C2224" s="357"/>
      <c r="D2224" s="291"/>
      <c r="E2224" s="291"/>
      <c r="F2224" s="292"/>
      <c r="G2224" s="291"/>
      <c r="H2224" s="291"/>
      <c r="I2224" s="293"/>
      <c r="J2224" s="291"/>
      <c r="K2224" s="291"/>
      <c r="L2224" s="293"/>
      <c r="M2224" s="291"/>
      <c r="N2224" s="289"/>
      <c r="O2224" s="358"/>
      <c r="P2224" s="280">
        <f t="shared" ref="P2224:Q2224" si="440">IF(B2224=0,0,IF(YEAR(B2224)=$Q$1,MONTH(B2224)-$P$1+1,(YEAR(B2224)-$Q$1)*12-$P$1+1+MONTH(B2224)))</f>
        <v>0</v>
      </c>
      <c r="Q2224" s="280">
        <f t="shared" si="440"/>
        <v>0</v>
      </c>
      <c r="R2224" s="356" t="e">
        <f>#N/A</f>
        <v>#N/A</v>
      </c>
      <c r="S2224" s="269" t="str">
        <f>IF(D2224="","",IF(OR(D2224=Plano!$A$1,D2224=Plano!$B$1),"entrada","saída"))</f>
        <v/>
      </c>
      <c r="T2224" s="269"/>
      <c r="U2224" s="269"/>
      <c r="V2224" s="269"/>
      <c r="W2224" s="269"/>
      <c r="X2224" s="269"/>
      <c r="Y2224" s="269"/>
      <c r="Z2224" s="269"/>
      <c r="AA2224" s="269"/>
      <c r="AB2224" s="269"/>
      <c r="AC2224" s="269"/>
      <c r="AD2224" s="269"/>
      <c r="AE2224" s="269"/>
      <c r="AF2224" s="269"/>
      <c r="AG2224" s="269"/>
      <c r="AH2224" s="269"/>
      <c r="AI2224" s="269"/>
      <c r="AJ2224" s="269"/>
      <c r="AK2224" s="269"/>
      <c r="AL2224" s="269"/>
      <c r="AM2224" s="269"/>
    </row>
    <row r="2225" spans="1:39" ht="12.75" customHeight="1" x14ac:dyDescent="0.2">
      <c r="A2225" s="289" t="str">
        <f>IF(B2225="","",COUNT('Diário 5º PA'!$A$5:$A$2634)+COUNT('Diário 6º PA'!$A$5:$A$2246)+ROW()-4)</f>
        <v/>
      </c>
      <c r="B2225" s="290"/>
      <c r="C2225" s="357"/>
      <c r="D2225" s="291"/>
      <c r="E2225" s="291"/>
      <c r="F2225" s="292"/>
      <c r="G2225" s="291"/>
      <c r="H2225" s="291"/>
      <c r="I2225" s="293"/>
      <c r="J2225" s="291"/>
      <c r="K2225" s="291"/>
      <c r="L2225" s="293"/>
      <c r="M2225" s="291"/>
      <c r="N2225" s="289"/>
      <c r="O2225" s="358"/>
      <c r="P2225" s="280">
        <f t="shared" ref="P2225:Q2225" si="441">IF(B2225=0,0,IF(YEAR(B2225)=$Q$1,MONTH(B2225)-$P$1+1,(YEAR(B2225)-$Q$1)*12-$P$1+1+MONTH(B2225)))</f>
        <v>0</v>
      </c>
      <c r="Q2225" s="280">
        <f t="shared" si="441"/>
        <v>0</v>
      </c>
      <c r="R2225" s="356" t="e">
        <f>#N/A</f>
        <v>#N/A</v>
      </c>
      <c r="S2225" s="269" t="str">
        <f>IF(D2225="","",IF(OR(D2225=Plano!$A$1,D2225=Plano!$B$1),"entrada","saída"))</f>
        <v/>
      </c>
      <c r="T2225" s="269"/>
      <c r="U2225" s="269"/>
      <c r="V2225" s="269"/>
      <c r="W2225" s="269"/>
      <c r="X2225" s="269"/>
      <c r="Y2225" s="269"/>
      <c r="Z2225" s="269"/>
      <c r="AA2225" s="269"/>
      <c r="AB2225" s="269"/>
      <c r="AC2225" s="269"/>
      <c r="AD2225" s="269"/>
      <c r="AE2225" s="269"/>
      <c r="AF2225" s="269"/>
      <c r="AG2225" s="269"/>
      <c r="AH2225" s="269"/>
      <c r="AI2225" s="269"/>
      <c r="AJ2225" s="269"/>
      <c r="AK2225" s="269"/>
      <c r="AL2225" s="269"/>
      <c r="AM2225" s="269"/>
    </row>
    <row r="2226" spans="1:39" ht="12.75" customHeight="1" x14ac:dyDescent="0.2">
      <c r="A2226" s="289" t="str">
        <f>IF(B2226="","",COUNT('Diário 5º PA'!$A$5:$A$2634)+COUNT('Diário 6º PA'!$A$5:$A$2246)+ROW()-4)</f>
        <v/>
      </c>
      <c r="B2226" s="290"/>
      <c r="C2226" s="357"/>
      <c r="D2226" s="291"/>
      <c r="E2226" s="291"/>
      <c r="F2226" s="292"/>
      <c r="G2226" s="291"/>
      <c r="H2226" s="291"/>
      <c r="I2226" s="293"/>
      <c r="J2226" s="291"/>
      <c r="K2226" s="291"/>
      <c r="L2226" s="293"/>
      <c r="M2226" s="291"/>
      <c r="N2226" s="289"/>
      <c r="O2226" s="358"/>
      <c r="P2226" s="280">
        <f t="shared" ref="P2226:Q2226" si="442">IF(B2226=0,0,IF(YEAR(B2226)=$Q$1,MONTH(B2226)-$P$1+1,(YEAR(B2226)-$Q$1)*12-$P$1+1+MONTH(B2226)))</f>
        <v>0</v>
      </c>
      <c r="Q2226" s="280">
        <f t="shared" si="442"/>
        <v>0</v>
      </c>
      <c r="R2226" s="356" t="e">
        <f>#N/A</f>
        <v>#N/A</v>
      </c>
      <c r="S2226" s="269" t="str">
        <f>IF(D2226="","",IF(OR(D2226=Plano!$A$1,D2226=Plano!$B$1),"entrada","saída"))</f>
        <v/>
      </c>
      <c r="T2226" s="269"/>
      <c r="U2226" s="269"/>
      <c r="V2226" s="269"/>
      <c r="W2226" s="269"/>
      <c r="X2226" s="269"/>
      <c r="Y2226" s="269"/>
      <c r="Z2226" s="269"/>
      <c r="AA2226" s="269"/>
      <c r="AB2226" s="269"/>
      <c r="AC2226" s="269"/>
      <c r="AD2226" s="269"/>
      <c r="AE2226" s="269"/>
      <c r="AF2226" s="269"/>
      <c r="AG2226" s="269"/>
      <c r="AH2226" s="269"/>
      <c r="AI2226" s="269"/>
      <c r="AJ2226" s="269"/>
      <c r="AK2226" s="269"/>
      <c r="AL2226" s="269"/>
      <c r="AM2226" s="269"/>
    </row>
    <row r="2227" spans="1:39" ht="12.75" customHeight="1" x14ac:dyDescent="0.2">
      <c r="A2227" s="289" t="str">
        <f>IF(B2227="","",COUNT('Diário 5º PA'!$A$5:$A$2634)+COUNT('Diário 6º PA'!$A$5:$A$2246)+ROW()-4)</f>
        <v/>
      </c>
      <c r="B2227" s="290"/>
      <c r="C2227" s="357"/>
      <c r="D2227" s="291"/>
      <c r="E2227" s="291"/>
      <c r="F2227" s="292"/>
      <c r="G2227" s="291"/>
      <c r="H2227" s="291"/>
      <c r="I2227" s="293"/>
      <c r="J2227" s="291"/>
      <c r="K2227" s="291"/>
      <c r="L2227" s="293"/>
      <c r="M2227" s="291"/>
      <c r="N2227" s="289"/>
      <c r="O2227" s="358"/>
      <c r="P2227" s="280">
        <f t="shared" ref="P2227:Q2227" si="443">IF(B2227=0,0,IF(YEAR(B2227)=$Q$1,MONTH(B2227)-$P$1+1,(YEAR(B2227)-$Q$1)*12-$P$1+1+MONTH(B2227)))</f>
        <v>0</v>
      </c>
      <c r="Q2227" s="280">
        <f t="shared" si="443"/>
        <v>0</v>
      </c>
      <c r="R2227" s="356" t="e">
        <f>#N/A</f>
        <v>#N/A</v>
      </c>
      <c r="S2227" s="269" t="str">
        <f>IF(D2227="","",IF(OR(D2227=Plano!$A$1,D2227=Plano!$B$1),"entrada","saída"))</f>
        <v/>
      </c>
      <c r="T2227" s="269"/>
      <c r="U2227" s="269"/>
      <c r="V2227" s="269"/>
      <c r="W2227" s="269"/>
      <c r="X2227" s="269"/>
      <c r="Y2227" s="269"/>
      <c r="Z2227" s="269"/>
      <c r="AA2227" s="269"/>
      <c r="AB2227" s="269"/>
      <c r="AC2227" s="269"/>
      <c r="AD2227" s="269"/>
      <c r="AE2227" s="269"/>
      <c r="AF2227" s="269"/>
      <c r="AG2227" s="269"/>
      <c r="AH2227" s="269"/>
      <c r="AI2227" s="269"/>
      <c r="AJ2227" s="269"/>
      <c r="AK2227" s="269"/>
      <c r="AL2227" s="269"/>
      <c r="AM2227" s="269"/>
    </row>
    <row r="2228" spans="1:39" ht="12.75" customHeight="1" x14ac:dyDescent="0.2">
      <c r="A2228" s="289" t="str">
        <f>IF(B2228="","",COUNT('Diário 5º PA'!$A$5:$A$2634)+COUNT('Diário 6º PA'!$A$5:$A$2246)+ROW()-4)</f>
        <v/>
      </c>
      <c r="B2228" s="290"/>
      <c r="C2228" s="357"/>
      <c r="D2228" s="291"/>
      <c r="E2228" s="291"/>
      <c r="F2228" s="292"/>
      <c r="G2228" s="291"/>
      <c r="H2228" s="291"/>
      <c r="I2228" s="293"/>
      <c r="J2228" s="291"/>
      <c r="K2228" s="291"/>
      <c r="L2228" s="293"/>
      <c r="M2228" s="291"/>
      <c r="N2228" s="289"/>
      <c r="O2228" s="358"/>
      <c r="P2228" s="280">
        <f t="shared" ref="P2228:Q2228" si="444">IF(B2228=0,0,IF(YEAR(B2228)=$Q$1,MONTH(B2228)-$P$1+1,(YEAR(B2228)-$Q$1)*12-$P$1+1+MONTH(B2228)))</f>
        <v>0</v>
      </c>
      <c r="Q2228" s="280">
        <f t="shared" si="444"/>
        <v>0</v>
      </c>
      <c r="R2228" s="356" t="e">
        <f>#N/A</f>
        <v>#N/A</v>
      </c>
      <c r="S2228" s="269" t="str">
        <f>IF(D2228="","",IF(OR(D2228=Plano!$A$1,D2228=Plano!$B$1),"entrada","saída"))</f>
        <v/>
      </c>
      <c r="T2228" s="269"/>
      <c r="U2228" s="269"/>
      <c r="V2228" s="269"/>
      <c r="W2228" s="269"/>
      <c r="X2228" s="269"/>
      <c r="Y2228" s="269"/>
      <c r="Z2228" s="269"/>
      <c r="AA2228" s="269"/>
      <c r="AB2228" s="269"/>
      <c r="AC2228" s="269"/>
      <c r="AD2228" s="269"/>
      <c r="AE2228" s="269"/>
      <c r="AF2228" s="269"/>
      <c r="AG2228" s="269"/>
      <c r="AH2228" s="269"/>
      <c r="AI2228" s="269"/>
      <c r="AJ2228" s="269"/>
      <c r="AK2228" s="269"/>
      <c r="AL2228" s="269"/>
      <c r="AM2228" s="269"/>
    </row>
    <row r="2229" spans="1:39" ht="12.75" customHeight="1" x14ac:dyDescent="0.2">
      <c r="A2229" s="289" t="str">
        <f>IF(B2229="","",COUNT('Diário 5º PA'!$A$5:$A$2634)+COUNT('Diário 6º PA'!$A$5:$A$2246)+ROW()-4)</f>
        <v/>
      </c>
      <c r="B2229" s="290"/>
      <c r="C2229" s="357"/>
      <c r="D2229" s="291"/>
      <c r="E2229" s="291"/>
      <c r="F2229" s="292"/>
      <c r="G2229" s="291"/>
      <c r="H2229" s="291"/>
      <c r="I2229" s="293"/>
      <c r="J2229" s="291"/>
      <c r="K2229" s="291"/>
      <c r="L2229" s="293"/>
      <c r="M2229" s="291"/>
      <c r="N2229" s="289"/>
      <c r="O2229" s="358"/>
      <c r="P2229" s="280">
        <f t="shared" ref="P2229:Q2229" si="445">IF(B2229=0,0,IF(YEAR(B2229)=$Q$1,MONTH(B2229)-$P$1+1,(YEAR(B2229)-$Q$1)*12-$P$1+1+MONTH(B2229)))</f>
        <v>0</v>
      </c>
      <c r="Q2229" s="280">
        <f t="shared" si="445"/>
        <v>0</v>
      </c>
      <c r="R2229" s="356" t="e">
        <f>#N/A</f>
        <v>#N/A</v>
      </c>
      <c r="S2229" s="269" t="str">
        <f>IF(D2229="","",IF(OR(D2229=Plano!$A$1,D2229=Plano!$B$1),"entrada","saída"))</f>
        <v/>
      </c>
      <c r="T2229" s="269"/>
      <c r="U2229" s="269"/>
      <c r="V2229" s="269"/>
      <c r="W2229" s="269"/>
      <c r="X2229" s="269"/>
      <c r="Y2229" s="269"/>
      <c r="Z2229" s="269"/>
      <c r="AA2229" s="269"/>
      <c r="AB2229" s="269"/>
      <c r="AC2229" s="269"/>
      <c r="AD2229" s="269"/>
      <c r="AE2229" s="269"/>
      <c r="AF2229" s="269"/>
      <c r="AG2229" s="269"/>
      <c r="AH2229" s="269"/>
      <c r="AI2229" s="269"/>
      <c r="AJ2229" s="269"/>
      <c r="AK2229" s="269"/>
      <c r="AL2229" s="269"/>
      <c r="AM2229" s="269"/>
    </row>
    <row r="2230" spans="1:39" ht="12.75" customHeight="1" x14ac:dyDescent="0.2">
      <c r="A2230" s="289" t="str">
        <f>IF(B2230="","",COUNT('Diário 5º PA'!$A$5:$A$2634)+COUNT('Diário 6º PA'!$A$5:$A$2246)+ROW()-4)</f>
        <v/>
      </c>
      <c r="B2230" s="290"/>
      <c r="C2230" s="357"/>
      <c r="D2230" s="291"/>
      <c r="E2230" s="291"/>
      <c r="F2230" s="292"/>
      <c r="G2230" s="291"/>
      <c r="H2230" s="291"/>
      <c r="I2230" s="293"/>
      <c r="J2230" s="291"/>
      <c r="K2230" s="291"/>
      <c r="L2230" s="293"/>
      <c r="M2230" s="291"/>
      <c r="N2230" s="289"/>
      <c r="O2230" s="358"/>
      <c r="P2230" s="280">
        <f t="shared" ref="P2230:Q2230" si="446">IF(B2230=0,0,IF(YEAR(B2230)=$Q$1,MONTH(B2230)-$P$1+1,(YEAR(B2230)-$Q$1)*12-$P$1+1+MONTH(B2230)))</f>
        <v>0</v>
      </c>
      <c r="Q2230" s="280">
        <f t="shared" si="446"/>
        <v>0</v>
      </c>
      <c r="R2230" s="356" t="e">
        <f>#N/A</f>
        <v>#N/A</v>
      </c>
      <c r="S2230" s="269" t="str">
        <f>IF(D2230="","",IF(OR(D2230=Plano!$A$1,D2230=Plano!$B$1),"entrada","saída"))</f>
        <v/>
      </c>
      <c r="T2230" s="269"/>
      <c r="U2230" s="269"/>
      <c r="V2230" s="269"/>
      <c r="W2230" s="269"/>
      <c r="X2230" s="269"/>
      <c r="Y2230" s="269"/>
      <c r="Z2230" s="269"/>
      <c r="AA2230" s="269"/>
      <c r="AB2230" s="269"/>
      <c r="AC2230" s="269"/>
      <c r="AD2230" s="269"/>
      <c r="AE2230" s="269"/>
      <c r="AF2230" s="269"/>
      <c r="AG2230" s="269"/>
      <c r="AH2230" s="269"/>
      <c r="AI2230" s="269"/>
      <c r="AJ2230" s="269"/>
      <c r="AK2230" s="269"/>
      <c r="AL2230" s="269"/>
      <c r="AM2230" s="269"/>
    </row>
    <row r="2231" spans="1:39" ht="12.75" customHeight="1" x14ac:dyDescent="0.2">
      <c r="A2231" s="289" t="str">
        <f>IF(B2231="","",COUNT('Diário 5º PA'!$A$5:$A$2634)+COUNT('Diário 6º PA'!$A$5:$A$2246)+ROW()-4)</f>
        <v/>
      </c>
      <c r="B2231" s="290"/>
      <c r="C2231" s="357"/>
      <c r="D2231" s="291"/>
      <c r="E2231" s="291"/>
      <c r="F2231" s="292"/>
      <c r="G2231" s="291"/>
      <c r="H2231" s="291"/>
      <c r="I2231" s="293"/>
      <c r="J2231" s="291"/>
      <c r="K2231" s="291"/>
      <c r="L2231" s="293"/>
      <c r="M2231" s="291"/>
      <c r="N2231" s="289"/>
      <c r="O2231" s="358"/>
      <c r="P2231" s="280">
        <f t="shared" ref="P2231:Q2231" si="447">IF(B2231=0,0,IF(YEAR(B2231)=$Q$1,MONTH(B2231)-$P$1+1,(YEAR(B2231)-$Q$1)*12-$P$1+1+MONTH(B2231)))</f>
        <v>0</v>
      </c>
      <c r="Q2231" s="280">
        <f t="shared" si="447"/>
        <v>0</v>
      </c>
      <c r="R2231" s="356" t="e">
        <f>#N/A</f>
        <v>#N/A</v>
      </c>
      <c r="S2231" s="269" t="str">
        <f>IF(D2231="","",IF(OR(D2231=Plano!$A$1,D2231=Plano!$B$1),"entrada","saída"))</f>
        <v/>
      </c>
      <c r="T2231" s="269"/>
      <c r="U2231" s="269"/>
      <c r="V2231" s="269"/>
      <c r="W2231" s="269"/>
      <c r="X2231" s="269"/>
      <c r="Y2231" s="269"/>
      <c r="Z2231" s="269"/>
      <c r="AA2231" s="269"/>
      <c r="AB2231" s="269"/>
      <c r="AC2231" s="269"/>
      <c r="AD2231" s="269"/>
      <c r="AE2231" s="269"/>
      <c r="AF2231" s="269"/>
      <c r="AG2231" s="269"/>
      <c r="AH2231" s="269"/>
      <c r="AI2231" s="269"/>
      <c r="AJ2231" s="269"/>
      <c r="AK2231" s="269"/>
      <c r="AL2231" s="269"/>
      <c r="AM2231" s="269"/>
    </row>
    <row r="2232" spans="1:39" ht="12.75" customHeight="1" x14ac:dyDescent="0.2">
      <c r="A2232" s="289" t="str">
        <f>IF(B2232="","",COUNT('Diário 5º PA'!$A$5:$A$2634)+COUNT('Diário 6º PA'!$A$5:$A$2246)+ROW()-4)</f>
        <v/>
      </c>
      <c r="B2232" s="290"/>
      <c r="C2232" s="357"/>
      <c r="D2232" s="291"/>
      <c r="E2232" s="291"/>
      <c r="F2232" s="292"/>
      <c r="G2232" s="291"/>
      <c r="H2232" s="291"/>
      <c r="I2232" s="293"/>
      <c r="J2232" s="291"/>
      <c r="K2232" s="291"/>
      <c r="L2232" s="293"/>
      <c r="M2232" s="291"/>
      <c r="N2232" s="289"/>
      <c r="O2232" s="358"/>
      <c r="P2232" s="280">
        <f t="shared" ref="P2232:Q2232" si="448">IF(B2232=0,0,IF(YEAR(B2232)=$Q$1,MONTH(B2232)-$P$1+1,(YEAR(B2232)-$Q$1)*12-$P$1+1+MONTH(B2232)))</f>
        <v>0</v>
      </c>
      <c r="Q2232" s="280">
        <f t="shared" si="448"/>
        <v>0</v>
      </c>
      <c r="R2232" s="356" t="e">
        <f>#N/A</f>
        <v>#N/A</v>
      </c>
      <c r="S2232" s="269" t="str">
        <f>IF(D2232="","",IF(OR(D2232=Plano!$A$1,D2232=Plano!$B$1),"entrada","saída"))</f>
        <v/>
      </c>
      <c r="T2232" s="269"/>
      <c r="U2232" s="269"/>
      <c r="V2232" s="269"/>
      <c r="W2232" s="269"/>
      <c r="X2232" s="269"/>
      <c r="Y2232" s="269"/>
      <c r="Z2232" s="269"/>
      <c r="AA2232" s="269"/>
      <c r="AB2232" s="269"/>
      <c r="AC2232" s="269"/>
      <c r="AD2232" s="269"/>
      <c r="AE2232" s="269"/>
      <c r="AF2232" s="269"/>
      <c r="AG2232" s="269"/>
      <c r="AH2232" s="269"/>
      <c r="AI2232" s="269"/>
      <c r="AJ2232" s="269"/>
      <c r="AK2232" s="269"/>
      <c r="AL2232" s="269"/>
      <c r="AM2232" s="269"/>
    </row>
    <row r="2233" spans="1:39" ht="12.75" customHeight="1" x14ac:dyDescent="0.2">
      <c r="A2233" s="289" t="str">
        <f>IF(B2233="","",COUNT('Diário 5º PA'!$A$5:$A$2634)+COUNT('Diário 6º PA'!$A$5:$A$2246)+ROW()-4)</f>
        <v/>
      </c>
      <c r="B2233" s="290"/>
      <c r="C2233" s="357"/>
      <c r="D2233" s="291"/>
      <c r="E2233" s="291"/>
      <c r="F2233" s="292"/>
      <c r="G2233" s="291"/>
      <c r="H2233" s="291"/>
      <c r="I2233" s="293"/>
      <c r="J2233" s="291"/>
      <c r="K2233" s="291"/>
      <c r="L2233" s="293"/>
      <c r="M2233" s="291"/>
      <c r="N2233" s="289"/>
      <c r="O2233" s="358"/>
      <c r="P2233" s="280">
        <f t="shared" ref="P2233:Q2233" si="449">IF(B2233=0,0,IF(YEAR(B2233)=$Q$1,MONTH(B2233)-$P$1+1,(YEAR(B2233)-$Q$1)*12-$P$1+1+MONTH(B2233)))</f>
        <v>0</v>
      </c>
      <c r="Q2233" s="280">
        <f t="shared" si="449"/>
        <v>0</v>
      </c>
      <c r="R2233" s="356" t="e">
        <f>#N/A</f>
        <v>#N/A</v>
      </c>
      <c r="S2233" s="269" t="str">
        <f>IF(D2233="","",IF(OR(D2233=Plano!$A$1,D2233=Plano!$B$1),"entrada","saída"))</f>
        <v/>
      </c>
      <c r="T2233" s="269"/>
      <c r="U2233" s="269"/>
      <c r="V2233" s="269"/>
      <c r="W2233" s="269"/>
      <c r="X2233" s="269"/>
      <c r="Y2233" s="269"/>
      <c r="Z2233" s="269"/>
      <c r="AA2233" s="269"/>
      <c r="AB2233" s="269"/>
      <c r="AC2233" s="269"/>
      <c r="AD2233" s="269"/>
      <c r="AE2233" s="269"/>
      <c r="AF2233" s="269"/>
      <c r="AG2233" s="269"/>
      <c r="AH2233" s="269"/>
      <c r="AI2233" s="269"/>
      <c r="AJ2233" s="269"/>
      <c r="AK2233" s="269"/>
      <c r="AL2233" s="269"/>
      <c r="AM2233" s="269"/>
    </row>
    <row r="2234" spans="1:39" ht="12.75" customHeight="1" x14ac:dyDescent="0.2">
      <c r="A2234" s="289" t="str">
        <f>IF(B2234="","",COUNT('Diário 5º PA'!$A$5:$A$2634)+COUNT('Diário 6º PA'!$A$5:$A$2246)+ROW()-4)</f>
        <v/>
      </c>
      <c r="B2234" s="290"/>
      <c r="C2234" s="357"/>
      <c r="D2234" s="291"/>
      <c r="E2234" s="291"/>
      <c r="F2234" s="292"/>
      <c r="G2234" s="291"/>
      <c r="H2234" s="291"/>
      <c r="I2234" s="293"/>
      <c r="J2234" s="291"/>
      <c r="K2234" s="291"/>
      <c r="L2234" s="293"/>
      <c r="M2234" s="291"/>
      <c r="N2234" s="289"/>
      <c r="O2234" s="358"/>
      <c r="P2234" s="280">
        <f t="shared" ref="P2234:Q2234" si="450">IF(B2234=0,0,IF(YEAR(B2234)=$Q$1,MONTH(B2234)-$P$1+1,(YEAR(B2234)-$Q$1)*12-$P$1+1+MONTH(B2234)))</f>
        <v>0</v>
      </c>
      <c r="Q2234" s="280">
        <f t="shared" si="450"/>
        <v>0</v>
      </c>
      <c r="R2234" s="356" t="e">
        <f>#N/A</f>
        <v>#N/A</v>
      </c>
      <c r="S2234" s="269" t="str">
        <f>IF(D2234="","",IF(OR(D2234=Plano!$A$1,D2234=Plano!$B$1),"entrada","saída"))</f>
        <v/>
      </c>
      <c r="T2234" s="269"/>
      <c r="U2234" s="269"/>
      <c r="V2234" s="269"/>
      <c r="W2234" s="269"/>
      <c r="X2234" s="269"/>
      <c r="Y2234" s="269"/>
      <c r="Z2234" s="269"/>
      <c r="AA2234" s="269"/>
      <c r="AB2234" s="269"/>
      <c r="AC2234" s="269"/>
      <c r="AD2234" s="269"/>
      <c r="AE2234" s="269"/>
      <c r="AF2234" s="269"/>
      <c r="AG2234" s="269"/>
      <c r="AH2234" s="269"/>
      <c r="AI2234" s="269"/>
      <c r="AJ2234" s="269"/>
      <c r="AK2234" s="269"/>
      <c r="AL2234" s="269"/>
      <c r="AM2234" s="269"/>
    </row>
    <row r="2235" spans="1:39" ht="12.75" customHeight="1" x14ac:dyDescent="0.2">
      <c r="A2235" s="289" t="str">
        <f>IF(B2235="","",COUNT('Diário 5º PA'!$A$5:$A$2634)+COUNT('Diário 6º PA'!$A$5:$A$2246)+ROW()-4)</f>
        <v/>
      </c>
      <c r="B2235" s="290"/>
      <c r="C2235" s="357"/>
      <c r="D2235" s="291"/>
      <c r="E2235" s="291"/>
      <c r="F2235" s="292"/>
      <c r="G2235" s="291"/>
      <c r="H2235" s="291"/>
      <c r="I2235" s="293"/>
      <c r="J2235" s="291"/>
      <c r="K2235" s="291"/>
      <c r="L2235" s="293"/>
      <c r="M2235" s="291"/>
      <c r="N2235" s="289"/>
      <c r="O2235" s="358"/>
      <c r="P2235" s="280">
        <f t="shared" ref="P2235:Q2235" si="451">IF(B2235=0,0,IF(YEAR(B2235)=$Q$1,MONTH(B2235)-$P$1+1,(YEAR(B2235)-$Q$1)*12-$P$1+1+MONTH(B2235)))</f>
        <v>0</v>
      </c>
      <c r="Q2235" s="280">
        <f t="shared" si="451"/>
        <v>0</v>
      </c>
      <c r="R2235" s="356" t="e">
        <f>#N/A</f>
        <v>#N/A</v>
      </c>
      <c r="S2235" s="269" t="str">
        <f>IF(D2235="","",IF(OR(D2235=Plano!$A$1,D2235=Plano!$B$1),"entrada","saída"))</f>
        <v/>
      </c>
      <c r="T2235" s="269"/>
      <c r="U2235" s="269"/>
      <c r="V2235" s="269"/>
      <c r="W2235" s="269"/>
      <c r="X2235" s="269"/>
      <c r="Y2235" s="269"/>
      <c r="Z2235" s="269"/>
      <c r="AA2235" s="269"/>
      <c r="AB2235" s="269"/>
      <c r="AC2235" s="269"/>
      <c r="AD2235" s="269"/>
      <c r="AE2235" s="269"/>
      <c r="AF2235" s="269"/>
      <c r="AG2235" s="269"/>
      <c r="AH2235" s="269"/>
      <c r="AI2235" s="269"/>
      <c r="AJ2235" s="269"/>
      <c r="AK2235" s="269"/>
      <c r="AL2235" s="269"/>
      <c r="AM2235" s="269"/>
    </row>
    <row r="2236" spans="1:39" ht="12.75" customHeight="1" x14ac:dyDescent="0.2">
      <c r="A2236" s="289" t="str">
        <f>IF(B2236="","",COUNT('Diário 5º PA'!$A$5:$A$2634)+COUNT('Diário 6º PA'!$A$5:$A$2246)+ROW()-4)</f>
        <v/>
      </c>
      <c r="B2236" s="290"/>
      <c r="C2236" s="357"/>
      <c r="D2236" s="291"/>
      <c r="E2236" s="291"/>
      <c r="F2236" s="292"/>
      <c r="G2236" s="291"/>
      <c r="H2236" s="291"/>
      <c r="I2236" s="293"/>
      <c r="J2236" s="291"/>
      <c r="K2236" s="291"/>
      <c r="L2236" s="293"/>
      <c r="M2236" s="291"/>
      <c r="N2236" s="289"/>
      <c r="O2236" s="358"/>
      <c r="P2236" s="280">
        <f t="shared" ref="P2236:Q2236" si="452">IF(B2236=0,0,IF(YEAR(B2236)=$Q$1,MONTH(B2236)-$P$1+1,(YEAR(B2236)-$Q$1)*12-$P$1+1+MONTH(B2236)))</f>
        <v>0</v>
      </c>
      <c r="Q2236" s="280">
        <f t="shared" si="452"/>
        <v>0</v>
      </c>
      <c r="R2236" s="356" t="e">
        <f>#N/A</f>
        <v>#N/A</v>
      </c>
      <c r="S2236" s="269" t="str">
        <f>IF(D2236="","",IF(OR(D2236=Plano!$A$1,D2236=Plano!$B$1),"entrada","saída"))</f>
        <v/>
      </c>
      <c r="T2236" s="269"/>
      <c r="U2236" s="269"/>
      <c r="V2236" s="269"/>
      <c r="W2236" s="269"/>
      <c r="X2236" s="269"/>
      <c r="Y2236" s="269"/>
      <c r="Z2236" s="269"/>
      <c r="AA2236" s="269"/>
      <c r="AB2236" s="269"/>
      <c r="AC2236" s="269"/>
      <c r="AD2236" s="269"/>
      <c r="AE2236" s="269"/>
      <c r="AF2236" s="269"/>
      <c r="AG2236" s="269"/>
      <c r="AH2236" s="269"/>
      <c r="AI2236" s="269"/>
      <c r="AJ2236" s="269"/>
      <c r="AK2236" s="269"/>
      <c r="AL2236" s="269"/>
      <c r="AM2236" s="269"/>
    </row>
    <row r="2237" spans="1:39" ht="12.75" customHeight="1" x14ac:dyDescent="0.2">
      <c r="A2237" s="289" t="str">
        <f>IF(B2237="","",COUNT('Diário 5º PA'!$A$5:$A$2634)+COUNT('Diário 6º PA'!$A$5:$A$2246)+ROW()-4)</f>
        <v/>
      </c>
      <c r="B2237" s="290"/>
      <c r="C2237" s="357"/>
      <c r="D2237" s="291"/>
      <c r="E2237" s="291"/>
      <c r="F2237" s="292"/>
      <c r="G2237" s="291"/>
      <c r="H2237" s="291"/>
      <c r="I2237" s="293"/>
      <c r="J2237" s="291"/>
      <c r="K2237" s="291"/>
      <c r="L2237" s="293"/>
      <c r="M2237" s="291"/>
      <c r="N2237" s="289"/>
      <c r="O2237" s="358"/>
      <c r="P2237" s="280">
        <f t="shared" ref="P2237:Q2237" si="453">IF(B2237=0,0,IF(YEAR(B2237)=$Q$1,MONTH(B2237)-$P$1+1,(YEAR(B2237)-$Q$1)*12-$P$1+1+MONTH(B2237)))</f>
        <v>0</v>
      </c>
      <c r="Q2237" s="280">
        <f t="shared" si="453"/>
        <v>0</v>
      </c>
      <c r="R2237" s="356" t="e">
        <f>#N/A</f>
        <v>#N/A</v>
      </c>
      <c r="S2237" s="269" t="str">
        <f>IF(D2237="","",IF(OR(D2237=Plano!$A$1,D2237=Plano!$B$1),"entrada","saída"))</f>
        <v/>
      </c>
      <c r="T2237" s="269"/>
      <c r="U2237" s="269"/>
      <c r="V2237" s="269"/>
      <c r="W2237" s="269"/>
      <c r="X2237" s="269"/>
      <c r="Y2237" s="269"/>
      <c r="Z2237" s="269"/>
      <c r="AA2237" s="269"/>
      <c r="AB2237" s="269"/>
      <c r="AC2237" s="269"/>
      <c r="AD2237" s="269"/>
      <c r="AE2237" s="269"/>
      <c r="AF2237" s="269"/>
      <c r="AG2237" s="269"/>
      <c r="AH2237" s="269"/>
      <c r="AI2237" s="269"/>
      <c r="AJ2237" s="269"/>
      <c r="AK2237" s="269"/>
      <c r="AL2237" s="269"/>
      <c r="AM2237" s="269"/>
    </row>
    <row r="2238" spans="1:39" ht="12.75" customHeight="1" x14ac:dyDescent="0.2">
      <c r="A2238" s="289" t="str">
        <f>IF(B2238="","",COUNT('Diário 5º PA'!$A$5:$A$2634)+COUNT('Diário 6º PA'!$A$5:$A$2246)+ROW()-4)</f>
        <v/>
      </c>
      <c r="B2238" s="290"/>
      <c r="C2238" s="357"/>
      <c r="D2238" s="291"/>
      <c r="E2238" s="291"/>
      <c r="F2238" s="292"/>
      <c r="G2238" s="291"/>
      <c r="H2238" s="291"/>
      <c r="I2238" s="293"/>
      <c r="J2238" s="291"/>
      <c r="K2238" s="291"/>
      <c r="L2238" s="293"/>
      <c r="M2238" s="291"/>
      <c r="N2238" s="289"/>
      <c r="O2238" s="358"/>
      <c r="P2238" s="280">
        <f t="shared" ref="P2238:Q2238" si="454">IF(B2238=0,0,IF(YEAR(B2238)=$Q$1,MONTH(B2238)-$P$1+1,(YEAR(B2238)-$Q$1)*12-$P$1+1+MONTH(B2238)))</f>
        <v>0</v>
      </c>
      <c r="Q2238" s="280">
        <f t="shared" si="454"/>
        <v>0</v>
      </c>
      <c r="R2238" s="356" t="e">
        <f>#N/A</f>
        <v>#N/A</v>
      </c>
      <c r="S2238" s="269" t="str">
        <f>IF(D2238="","",IF(OR(D2238=Plano!$A$1,D2238=Plano!$B$1),"entrada","saída"))</f>
        <v/>
      </c>
      <c r="T2238" s="269"/>
      <c r="U2238" s="269"/>
      <c r="V2238" s="269"/>
      <c r="W2238" s="269"/>
      <c r="X2238" s="269"/>
      <c r="Y2238" s="269"/>
      <c r="Z2238" s="269"/>
      <c r="AA2238" s="269"/>
      <c r="AB2238" s="269"/>
      <c r="AC2238" s="269"/>
      <c r="AD2238" s="269"/>
      <c r="AE2238" s="269"/>
      <c r="AF2238" s="269"/>
      <c r="AG2238" s="269"/>
      <c r="AH2238" s="269"/>
      <c r="AI2238" s="269"/>
      <c r="AJ2238" s="269"/>
      <c r="AK2238" s="269"/>
      <c r="AL2238" s="269"/>
      <c r="AM2238" s="269"/>
    </row>
    <row r="2239" spans="1:39" ht="12.75" customHeight="1" x14ac:dyDescent="0.2">
      <c r="A2239" s="289" t="str">
        <f>IF(B2239="","",COUNT('Diário 5º PA'!$A$5:$A$2634)+COUNT('Diário 6º PA'!$A$5:$A$2246)+ROW()-4)</f>
        <v/>
      </c>
      <c r="B2239" s="290"/>
      <c r="C2239" s="357"/>
      <c r="D2239" s="291"/>
      <c r="E2239" s="291"/>
      <c r="F2239" s="292"/>
      <c r="G2239" s="291"/>
      <c r="H2239" s="291"/>
      <c r="I2239" s="293"/>
      <c r="J2239" s="291"/>
      <c r="K2239" s="291"/>
      <c r="L2239" s="293"/>
      <c r="M2239" s="291"/>
      <c r="N2239" s="289"/>
      <c r="O2239" s="358"/>
      <c r="P2239" s="280">
        <f t="shared" ref="P2239:Q2239" si="455">IF(B2239=0,0,IF(YEAR(B2239)=$Q$1,MONTH(B2239)-$P$1+1,(YEAR(B2239)-$Q$1)*12-$P$1+1+MONTH(B2239)))</f>
        <v>0</v>
      </c>
      <c r="Q2239" s="280">
        <f t="shared" si="455"/>
        <v>0</v>
      </c>
      <c r="R2239" s="356" t="e">
        <f>#N/A</f>
        <v>#N/A</v>
      </c>
      <c r="S2239" s="269" t="str">
        <f>IF(D2239="","",IF(OR(D2239=Plano!$A$1,D2239=Plano!$B$1),"entrada","saída"))</f>
        <v/>
      </c>
      <c r="T2239" s="269"/>
      <c r="U2239" s="269"/>
      <c r="V2239" s="269"/>
      <c r="W2239" s="269"/>
      <c r="X2239" s="269"/>
      <c r="Y2239" s="269"/>
      <c r="Z2239" s="269"/>
      <c r="AA2239" s="269"/>
      <c r="AB2239" s="269"/>
      <c r="AC2239" s="269"/>
      <c r="AD2239" s="269"/>
      <c r="AE2239" s="269"/>
      <c r="AF2239" s="269"/>
      <c r="AG2239" s="269"/>
      <c r="AH2239" s="269"/>
      <c r="AI2239" s="269"/>
      <c r="AJ2239" s="269"/>
      <c r="AK2239" s="269"/>
      <c r="AL2239" s="269"/>
      <c r="AM2239" s="269"/>
    </row>
    <row r="2240" spans="1:39" ht="12.75" customHeight="1" x14ac:dyDescent="0.2">
      <c r="A2240" s="289" t="str">
        <f>IF(B2240="","",COUNT('Diário 5º PA'!$A$5:$A$2634)+COUNT('Diário 6º PA'!$A$5:$A$2246)+ROW()-4)</f>
        <v/>
      </c>
      <c r="B2240" s="290"/>
      <c r="C2240" s="357"/>
      <c r="D2240" s="291"/>
      <c r="E2240" s="291"/>
      <c r="F2240" s="292"/>
      <c r="G2240" s="291"/>
      <c r="H2240" s="291"/>
      <c r="I2240" s="293"/>
      <c r="J2240" s="291"/>
      <c r="K2240" s="291"/>
      <c r="L2240" s="293"/>
      <c r="M2240" s="291"/>
      <c r="N2240" s="289"/>
      <c r="O2240" s="358"/>
      <c r="P2240" s="280">
        <f t="shared" ref="P2240:Q2240" si="456">IF(B2240=0,0,IF(YEAR(B2240)=$Q$1,MONTH(B2240)-$P$1+1,(YEAR(B2240)-$Q$1)*12-$P$1+1+MONTH(B2240)))</f>
        <v>0</v>
      </c>
      <c r="Q2240" s="280">
        <f t="shared" si="456"/>
        <v>0</v>
      </c>
      <c r="R2240" s="356" t="e">
        <f>#N/A</f>
        <v>#N/A</v>
      </c>
      <c r="S2240" s="269" t="str">
        <f>IF(D2240="","",IF(OR(D2240=Plano!$A$1,D2240=Plano!$B$1),"entrada","saída"))</f>
        <v/>
      </c>
      <c r="T2240" s="269"/>
      <c r="U2240" s="269"/>
      <c r="V2240" s="269"/>
      <c r="W2240" s="269"/>
      <c r="X2240" s="269"/>
      <c r="Y2240" s="269"/>
      <c r="Z2240" s="269"/>
      <c r="AA2240" s="269"/>
      <c r="AB2240" s="269"/>
      <c r="AC2240" s="269"/>
      <c r="AD2240" s="269"/>
      <c r="AE2240" s="269"/>
      <c r="AF2240" s="269"/>
      <c r="AG2240" s="269"/>
      <c r="AH2240" s="269"/>
      <c r="AI2240" s="269"/>
      <c r="AJ2240" s="269"/>
      <c r="AK2240" s="269"/>
      <c r="AL2240" s="269"/>
      <c r="AM2240" s="269"/>
    </row>
    <row r="2241" spans="1:39" ht="12.75" customHeight="1" x14ac:dyDescent="0.2">
      <c r="A2241" s="289" t="str">
        <f>IF(B2241="","",COUNT('Diário 5º PA'!$A$5:$A$2634)+COUNT('Diário 6º PA'!$A$5:$A$2246)+ROW()-4)</f>
        <v/>
      </c>
      <c r="B2241" s="290"/>
      <c r="C2241" s="357"/>
      <c r="D2241" s="291"/>
      <c r="E2241" s="291"/>
      <c r="F2241" s="292"/>
      <c r="G2241" s="291"/>
      <c r="H2241" s="291"/>
      <c r="I2241" s="293"/>
      <c r="J2241" s="291"/>
      <c r="K2241" s="291"/>
      <c r="L2241" s="293"/>
      <c r="M2241" s="291"/>
      <c r="N2241" s="289"/>
      <c r="O2241" s="358"/>
      <c r="P2241" s="280">
        <f t="shared" ref="P2241:Q2241" si="457">IF(B2241=0,0,IF(YEAR(B2241)=$Q$1,MONTH(B2241)-$P$1+1,(YEAR(B2241)-$Q$1)*12-$P$1+1+MONTH(B2241)))</f>
        <v>0</v>
      </c>
      <c r="Q2241" s="280">
        <f t="shared" si="457"/>
        <v>0</v>
      </c>
      <c r="R2241" s="356" t="e">
        <f>#N/A</f>
        <v>#N/A</v>
      </c>
      <c r="S2241" s="269" t="str">
        <f>IF(D2241="","",IF(OR(D2241=Plano!$A$1,D2241=Plano!$B$1),"entrada","saída"))</f>
        <v/>
      </c>
      <c r="T2241" s="269"/>
      <c r="U2241" s="269"/>
      <c r="V2241" s="269"/>
      <c r="W2241" s="269"/>
      <c r="X2241" s="269"/>
      <c r="Y2241" s="269"/>
      <c r="Z2241" s="269"/>
      <c r="AA2241" s="269"/>
      <c r="AB2241" s="269"/>
      <c r="AC2241" s="269"/>
      <c r="AD2241" s="269"/>
      <c r="AE2241" s="269"/>
      <c r="AF2241" s="269"/>
      <c r="AG2241" s="269"/>
      <c r="AH2241" s="269"/>
      <c r="AI2241" s="269"/>
      <c r="AJ2241" s="269"/>
      <c r="AK2241" s="269"/>
      <c r="AL2241" s="269"/>
      <c r="AM2241" s="269"/>
    </row>
    <row r="2242" spans="1:39" ht="12.75" customHeight="1" x14ac:dyDescent="0.2">
      <c r="A2242" s="289" t="str">
        <f>IF(B2242="","",COUNT('Diário 5º PA'!$A$5:$A$2634)+COUNT('Diário 6º PA'!$A$5:$A$2246)+ROW()-4)</f>
        <v/>
      </c>
      <c r="B2242" s="290"/>
      <c r="C2242" s="357"/>
      <c r="D2242" s="291"/>
      <c r="E2242" s="291"/>
      <c r="F2242" s="292"/>
      <c r="G2242" s="291"/>
      <c r="H2242" s="291"/>
      <c r="I2242" s="293"/>
      <c r="J2242" s="291"/>
      <c r="K2242" s="291"/>
      <c r="L2242" s="293"/>
      <c r="M2242" s="291"/>
      <c r="N2242" s="289"/>
      <c r="O2242" s="358"/>
      <c r="P2242" s="280">
        <f t="shared" ref="P2242:Q2242" si="458">IF(B2242=0,0,IF(YEAR(B2242)=$Q$1,MONTH(B2242)-$P$1+1,(YEAR(B2242)-$Q$1)*12-$P$1+1+MONTH(B2242)))</f>
        <v>0</v>
      </c>
      <c r="Q2242" s="280">
        <f t="shared" si="458"/>
        <v>0</v>
      </c>
      <c r="R2242" s="356" t="e">
        <f>#N/A</f>
        <v>#N/A</v>
      </c>
      <c r="S2242" s="269" t="str">
        <f>IF(D2242="","",IF(OR(D2242=Plano!$A$1,D2242=Plano!$B$1),"entrada","saída"))</f>
        <v/>
      </c>
      <c r="T2242" s="269"/>
      <c r="U2242" s="269"/>
      <c r="V2242" s="269"/>
      <c r="W2242" s="269"/>
      <c r="X2242" s="269"/>
      <c r="Y2242" s="269"/>
      <c r="Z2242" s="269"/>
      <c r="AA2242" s="269"/>
      <c r="AB2242" s="269"/>
      <c r="AC2242" s="269"/>
      <c r="AD2242" s="269"/>
      <c r="AE2242" s="269"/>
      <c r="AF2242" s="269"/>
      <c r="AG2242" s="269"/>
      <c r="AH2242" s="269"/>
      <c r="AI2242" s="269"/>
      <c r="AJ2242" s="269"/>
      <c r="AK2242" s="269"/>
      <c r="AL2242" s="269"/>
      <c r="AM2242" s="269"/>
    </row>
    <row r="2243" spans="1:39" ht="12.75" customHeight="1" x14ac:dyDescent="0.2">
      <c r="A2243" s="289" t="str">
        <f>IF(B2243="","",COUNT('Diário 5º PA'!$A$5:$A$2634)+COUNT('Diário 6º PA'!$A$5:$A$2246)+ROW()-4)</f>
        <v/>
      </c>
      <c r="B2243" s="290"/>
      <c r="C2243" s="357"/>
      <c r="D2243" s="291"/>
      <c r="E2243" s="291"/>
      <c r="F2243" s="292"/>
      <c r="G2243" s="291"/>
      <c r="H2243" s="291"/>
      <c r="I2243" s="293"/>
      <c r="J2243" s="291"/>
      <c r="K2243" s="291"/>
      <c r="L2243" s="293"/>
      <c r="M2243" s="291"/>
      <c r="N2243" s="289"/>
      <c r="O2243" s="358"/>
      <c r="P2243" s="280">
        <f t="shared" ref="P2243:Q2243" si="459">IF(B2243=0,0,IF(YEAR(B2243)=$Q$1,MONTH(B2243)-$P$1+1,(YEAR(B2243)-$Q$1)*12-$P$1+1+MONTH(B2243)))</f>
        <v>0</v>
      </c>
      <c r="Q2243" s="280">
        <f t="shared" si="459"/>
        <v>0</v>
      </c>
      <c r="R2243" s="356" t="e">
        <f>#N/A</f>
        <v>#N/A</v>
      </c>
      <c r="S2243" s="269" t="str">
        <f>IF(D2243="","",IF(OR(D2243=Plano!$A$1,D2243=Plano!$B$1),"entrada","saída"))</f>
        <v/>
      </c>
      <c r="T2243" s="269"/>
      <c r="U2243" s="269"/>
      <c r="V2243" s="269"/>
      <c r="W2243" s="269"/>
      <c r="X2243" s="269"/>
      <c r="Y2243" s="269"/>
      <c r="Z2243" s="269"/>
      <c r="AA2243" s="269"/>
      <c r="AB2243" s="269"/>
      <c r="AC2243" s="269"/>
      <c r="AD2243" s="269"/>
      <c r="AE2243" s="269"/>
      <c r="AF2243" s="269"/>
      <c r="AG2243" s="269"/>
      <c r="AH2243" s="269"/>
      <c r="AI2243" s="269"/>
      <c r="AJ2243" s="269"/>
      <c r="AK2243" s="269"/>
      <c r="AL2243" s="269"/>
      <c r="AM2243" s="269"/>
    </row>
    <row r="2244" spans="1:39" ht="12.75" customHeight="1" x14ac:dyDescent="0.2">
      <c r="A2244" s="289" t="str">
        <f>IF(B2244="","",COUNT('Diário 5º PA'!$A$5:$A$2634)+COUNT('Diário 6º PA'!$A$5:$A$2246)+ROW()-4)</f>
        <v/>
      </c>
      <c r="B2244" s="290"/>
      <c r="C2244" s="357"/>
      <c r="D2244" s="291"/>
      <c r="E2244" s="291"/>
      <c r="F2244" s="292"/>
      <c r="G2244" s="291"/>
      <c r="H2244" s="291"/>
      <c r="I2244" s="293"/>
      <c r="J2244" s="291"/>
      <c r="K2244" s="291"/>
      <c r="L2244" s="293"/>
      <c r="M2244" s="291"/>
      <c r="N2244" s="289"/>
      <c r="O2244" s="358"/>
      <c r="P2244" s="280">
        <f t="shared" ref="P2244:Q2244" si="460">IF(B2244=0,0,IF(YEAR(B2244)=$Q$1,MONTH(B2244)-$P$1+1,(YEAR(B2244)-$Q$1)*12-$P$1+1+MONTH(B2244)))</f>
        <v>0</v>
      </c>
      <c r="Q2244" s="280">
        <f t="shared" si="460"/>
        <v>0</v>
      </c>
      <c r="R2244" s="356" t="e">
        <f>#N/A</f>
        <v>#N/A</v>
      </c>
      <c r="S2244" s="269" t="str">
        <f>IF(D2244="","",IF(OR(D2244=Plano!$A$1,D2244=Plano!$B$1),"entrada","saída"))</f>
        <v/>
      </c>
      <c r="T2244" s="269"/>
      <c r="U2244" s="269"/>
      <c r="V2244" s="269"/>
      <c r="W2244" s="269"/>
      <c r="X2244" s="269"/>
      <c r="Y2244" s="269"/>
      <c r="Z2244" s="269"/>
      <c r="AA2244" s="269"/>
      <c r="AB2244" s="269"/>
      <c r="AC2244" s="269"/>
      <c r="AD2244" s="269"/>
      <c r="AE2244" s="269"/>
      <c r="AF2244" s="269"/>
      <c r="AG2244" s="269"/>
      <c r="AH2244" s="269"/>
      <c r="AI2244" s="269"/>
      <c r="AJ2244" s="269"/>
      <c r="AK2244" s="269"/>
      <c r="AL2244" s="269"/>
      <c r="AM2244" s="269"/>
    </row>
    <row r="2245" spans="1:39" ht="12.75" customHeight="1" x14ac:dyDescent="0.2">
      <c r="A2245" s="289" t="str">
        <f>IF(B2245="","",COUNT('Diário 5º PA'!$A$5:$A$2634)+COUNT('Diário 6º PA'!$A$5:$A$2246)+ROW()-4)</f>
        <v/>
      </c>
      <c r="B2245" s="290"/>
      <c r="C2245" s="357"/>
      <c r="D2245" s="291"/>
      <c r="E2245" s="291"/>
      <c r="F2245" s="292"/>
      <c r="G2245" s="291"/>
      <c r="H2245" s="291"/>
      <c r="I2245" s="293"/>
      <c r="J2245" s="291"/>
      <c r="K2245" s="291"/>
      <c r="L2245" s="293"/>
      <c r="M2245" s="291"/>
      <c r="N2245" s="289"/>
      <c r="O2245" s="358"/>
      <c r="P2245" s="280">
        <f t="shared" ref="P2245:Q2245" si="461">IF(B2245=0,0,IF(YEAR(B2245)=$Q$1,MONTH(B2245)-$P$1+1,(YEAR(B2245)-$Q$1)*12-$P$1+1+MONTH(B2245)))</f>
        <v>0</v>
      </c>
      <c r="Q2245" s="280">
        <f t="shared" si="461"/>
        <v>0</v>
      </c>
      <c r="R2245" s="356" t="e">
        <f>#N/A</f>
        <v>#N/A</v>
      </c>
      <c r="S2245" s="269" t="str">
        <f>IF(D2245="","",IF(OR(D2245=Plano!$A$1,D2245=Plano!$B$1),"entrada","saída"))</f>
        <v/>
      </c>
      <c r="T2245" s="269"/>
      <c r="U2245" s="269"/>
      <c r="V2245" s="269"/>
      <c r="W2245" s="269"/>
      <c r="X2245" s="269"/>
      <c r="Y2245" s="269"/>
      <c r="Z2245" s="269"/>
      <c r="AA2245" s="269"/>
      <c r="AB2245" s="269"/>
      <c r="AC2245" s="269"/>
      <c r="AD2245" s="269"/>
      <c r="AE2245" s="269"/>
      <c r="AF2245" s="269"/>
      <c r="AG2245" s="269"/>
      <c r="AH2245" s="269"/>
      <c r="AI2245" s="269"/>
      <c r="AJ2245" s="269"/>
      <c r="AK2245" s="269"/>
      <c r="AL2245" s="269"/>
      <c r="AM2245" s="269"/>
    </row>
    <row r="2246" spans="1:39" ht="12.75" customHeight="1" x14ac:dyDescent="0.2">
      <c r="A2246" s="289" t="str">
        <f>IF(B2246="","",COUNT('Diário 5º PA'!$A$5:$A$2634)+COUNT('Diário 6º PA'!$A$5:$A$2246)+ROW()-4)</f>
        <v/>
      </c>
      <c r="B2246" s="290"/>
      <c r="C2246" s="357"/>
      <c r="D2246" s="291"/>
      <c r="E2246" s="291"/>
      <c r="F2246" s="292"/>
      <c r="G2246" s="291"/>
      <c r="H2246" s="291"/>
      <c r="I2246" s="293"/>
      <c r="J2246" s="291"/>
      <c r="K2246" s="291"/>
      <c r="L2246" s="293"/>
      <c r="M2246" s="291"/>
      <c r="N2246" s="289"/>
      <c r="O2246" s="358"/>
      <c r="P2246" s="280">
        <f t="shared" ref="P2246:Q2246" si="462">IF(B2246=0,0,IF(YEAR(B2246)=$Q$1,MONTH(B2246)-$P$1+1,(YEAR(B2246)-$Q$1)*12-$P$1+1+MONTH(B2246)))</f>
        <v>0</v>
      </c>
      <c r="Q2246" s="280">
        <f t="shared" si="462"/>
        <v>0</v>
      </c>
      <c r="R2246" s="356" t="e">
        <f>#N/A</f>
        <v>#N/A</v>
      </c>
      <c r="S2246" s="269" t="str">
        <f>IF(D2246="","",IF(OR(D2246=Plano!$A$1,D2246=Plano!$B$1),"entrada","saída"))</f>
        <v/>
      </c>
      <c r="T2246" s="269"/>
      <c r="U2246" s="269"/>
      <c r="V2246" s="269"/>
      <c r="W2246" s="269"/>
      <c r="X2246" s="269"/>
      <c r="Y2246" s="269"/>
      <c r="Z2246" s="269"/>
      <c r="AA2246" s="269"/>
      <c r="AB2246" s="269"/>
      <c r="AC2246" s="269"/>
      <c r="AD2246" s="269"/>
      <c r="AE2246" s="269"/>
      <c r="AF2246" s="269"/>
      <c r="AG2246" s="269"/>
      <c r="AH2246" s="269"/>
      <c r="AI2246" s="269"/>
      <c r="AJ2246" s="269"/>
      <c r="AK2246" s="269"/>
      <c r="AL2246" s="269"/>
      <c r="AM2246" s="269"/>
    </row>
    <row r="2247" spans="1:39" ht="12.75" customHeight="1" x14ac:dyDescent="0.2">
      <c r="A2247" s="289" t="str">
        <f>IF(B2247="","",COUNT('Diário 5º PA'!$A$5:$A$2634)+COUNT('Diário 6º PA'!$A$5:$A$2246)+ROW()-4)</f>
        <v/>
      </c>
      <c r="B2247" s="290"/>
      <c r="C2247" s="357"/>
      <c r="D2247" s="291"/>
      <c r="E2247" s="291"/>
      <c r="F2247" s="292"/>
      <c r="G2247" s="291"/>
      <c r="H2247" s="291"/>
      <c r="I2247" s="293"/>
      <c r="J2247" s="291"/>
      <c r="K2247" s="291"/>
      <c r="L2247" s="293"/>
      <c r="M2247" s="291"/>
      <c r="N2247" s="289"/>
      <c r="O2247" s="358"/>
      <c r="P2247" s="280">
        <f t="shared" ref="P2247:Q2247" si="463">IF(B2247=0,0,IF(YEAR(B2247)=$Q$1,MONTH(B2247)-$P$1+1,(YEAR(B2247)-$Q$1)*12-$P$1+1+MONTH(B2247)))</f>
        <v>0</v>
      </c>
      <c r="Q2247" s="280">
        <f t="shared" si="463"/>
        <v>0</v>
      </c>
      <c r="R2247" s="356" t="e">
        <f>#N/A</f>
        <v>#N/A</v>
      </c>
      <c r="S2247" s="269" t="str">
        <f>IF(D2247="","",IF(OR(D2247=Plano!$A$1,D2247=Plano!$B$1),"entrada","saída"))</f>
        <v/>
      </c>
      <c r="T2247" s="269"/>
      <c r="U2247" s="269"/>
      <c r="V2247" s="269"/>
      <c r="W2247" s="269"/>
      <c r="X2247" s="269"/>
      <c r="Y2247" s="269"/>
      <c r="Z2247" s="269"/>
      <c r="AA2247" s="269"/>
      <c r="AB2247" s="269"/>
      <c r="AC2247" s="269"/>
      <c r="AD2247" s="269"/>
      <c r="AE2247" s="269"/>
      <c r="AF2247" s="269"/>
      <c r="AG2247" s="269"/>
      <c r="AH2247" s="269"/>
      <c r="AI2247" s="269"/>
      <c r="AJ2247" s="269"/>
      <c r="AK2247" s="269"/>
      <c r="AL2247" s="269"/>
      <c r="AM2247" s="269"/>
    </row>
    <row r="2248" spans="1:39" ht="12.75" customHeight="1" x14ac:dyDescent="0.2">
      <c r="A2248" s="289" t="str">
        <f>IF(B2248="","",COUNT('Diário 5º PA'!$A$5:$A$2634)+COUNT('Diário 6º PA'!$A$5:$A$2246)+ROW()-4)</f>
        <v/>
      </c>
      <c r="B2248" s="290"/>
      <c r="C2248" s="357"/>
      <c r="D2248" s="291"/>
      <c r="E2248" s="291"/>
      <c r="F2248" s="292"/>
      <c r="G2248" s="291"/>
      <c r="H2248" s="291"/>
      <c r="I2248" s="293"/>
      <c r="J2248" s="291"/>
      <c r="K2248" s="291"/>
      <c r="L2248" s="293"/>
      <c r="M2248" s="291"/>
      <c r="N2248" s="289"/>
      <c r="O2248" s="358"/>
      <c r="P2248" s="280">
        <f t="shared" ref="P2248:Q2248" si="464">IF(B2248=0,0,IF(YEAR(B2248)=$Q$1,MONTH(B2248)-$P$1+1,(YEAR(B2248)-$Q$1)*12-$P$1+1+MONTH(B2248)))</f>
        <v>0</v>
      </c>
      <c r="Q2248" s="280">
        <f t="shared" si="464"/>
        <v>0</v>
      </c>
      <c r="R2248" s="356" t="e">
        <f>#N/A</f>
        <v>#N/A</v>
      </c>
      <c r="S2248" s="269" t="str">
        <f>IF(D2248="","",IF(OR(D2248=Plano!$A$1,D2248=Plano!$B$1),"entrada","saída"))</f>
        <v/>
      </c>
      <c r="T2248" s="269"/>
      <c r="U2248" s="269"/>
      <c r="V2248" s="269"/>
      <c r="W2248" s="269"/>
      <c r="X2248" s="269"/>
      <c r="Y2248" s="269"/>
      <c r="Z2248" s="269"/>
      <c r="AA2248" s="269"/>
      <c r="AB2248" s="269"/>
      <c r="AC2248" s="269"/>
      <c r="AD2248" s="269"/>
      <c r="AE2248" s="269"/>
      <c r="AF2248" s="269"/>
      <c r="AG2248" s="269"/>
      <c r="AH2248" s="269"/>
      <c r="AI2248" s="269"/>
      <c r="AJ2248" s="269"/>
      <c r="AK2248" s="269"/>
      <c r="AL2248" s="269"/>
      <c r="AM2248" s="269"/>
    </row>
    <row r="2249" spans="1:39" ht="12.75" customHeight="1" x14ac:dyDescent="0.2">
      <c r="A2249" s="289" t="str">
        <f>IF(B2249="","",COUNT('Diário 5º PA'!$A$5:$A$2634)+COUNT('Diário 6º PA'!$A$5:$A$2246)+ROW()-4)</f>
        <v/>
      </c>
      <c r="B2249" s="290"/>
      <c r="C2249" s="357"/>
      <c r="D2249" s="291"/>
      <c r="E2249" s="291"/>
      <c r="F2249" s="292"/>
      <c r="G2249" s="291"/>
      <c r="H2249" s="291"/>
      <c r="I2249" s="293"/>
      <c r="J2249" s="291"/>
      <c r="K2249" s="291"/>
      <c r="L2249" s="293"/>
      <c r="M2249" s="291"/>
      <c r="N2249" s="289"/>
      <c r="O2249" s="358"/>
      <c r="P2249" s="280">
        <f t="shared" ref="P2249:Q2249" si="465">IF(B2249=0,0,IF(YEAR(B2249)=$Q$1,MONTH(B2249)-$P$1+1,(YEAR(B2249)-$Q$1)*12-$P$1+1+MONTH(B2249)))</f>
        <v>0</v>
      </c>
      <c r="Q2249" s="280">
        <f t="shared" si="465"/>
        <v>0</v>
      </c>
      <c r="R2249" s="356" t="e">
        <f>#N/A</f>
        <v>#N/A</v>
      </c>
      <c r="S2249" s="269" t="str">
        <f>IF(D2249="","",IF(OR(D2249=Plano!$A$1,D2249=Plano!$B$1),"entrada","saída"))</f>
        <v/>
      </c>
      <c r="T2249" s="269"/>
      <c r="U2249" s="269"/>
      <c r="V2249" s="269"/>
      <c r="W2249" s="269"/>
      <c r="X2249" s="269"/>
      <c r="Y2249" s="269"/>
      <c r="Z2249" s="269"/>
      <c r="AA2249" s="269"/>
      <c r="AB2249" s="269"/>
      <c r="AC2249" s="269"/>
      <c r="AD2249" s="269"/>
      <c r="AE2249" s="269"/>
      <c r="AF2249" s="269"/>
      <c r="AG2249" s="269"/>
      <c r="AH2249" s="269"/>
      <c r="AI2249" s="269"/>
      <c r="AJ2249" s="269"/>
      <c r="AK2249" s="269"/>
      <c r="AL2249" s="269"/>
      <c r="AM2249" s="269"/>
    </row>
    <row r="2250" spans="1:39" ht="12.75" customHeight="1" x14ac:dyDescent="0.2">
      <c r="A2250" s="289" t="str">
        <f>IF(B2250="","",COUNT('Diário 5º PA'!$A$5:$A$2634)+COUNT('Diário 6º PA'!$A$5:$A$2246)+ROW()-4)</f>
        <v/>
      </c>
      <c r="B2250" s="290"/>
      <c r="C2250" s="357"/>
      <c r="D2250" s="291"/>
      <c r="E2250" s="291"/>
      <c r="F2250" s="292"/>
      <c r="G2250" s="291"/>
      <c r="H2250" s="291"/>
      <c r="I2250" s="293"/>
      <c r="J2250" s="291"/>
      <c r="K2250" s="291"/>
      <c r="L2250" s="293"/>
      <c r="M2250" s="291"/>
      <c r="N2250" s="289"/>
      <c r="O2250" s="358"/>
      <c r="P2250" s="280">
        <f t="shared" ref="P2250:Q2250" si="466">IF(B2250=0,0,IF(YEAR(B2250)=$Q$1,MONTH(B2250)-$P$1+1,(YEAR(B2250)-$Q$1)*12-$P$1+1+MONTH(B2250)))</f>
        <v>0</v>
      </c>
      <c r="Q2250" s="280">
        <f t="shared" si="466"/>
        <v>0</v>
      </c>
      <c r="R2250" s="356" t="e">
        <f>#N/A</f>
        <v>#N/A</v>
      </c>
      <c r="S2250" s="269" t="str">
        <f>IF(D2250="","",IF(OR(D2250=Plano!$A$1,D2250=Plano!$B$1),"entrada","saída"))</f>
        <v/>
      </c>
      <c r="T2250" s="269"/>
      <c r="U2250" s="269"/>
      <c r="V2250" s="269"/>
      <c r="W2250" s="269"/>
      <c r="X2250" s="269"/>
      <c r="Y2250" s="269"/>
      <c r="Z2250" s="269"/>
      <c r="AA2250" s="269"/>
      <c r="AB2250" s="269"/>
      <c r="AC2250" s="269"/>
      <c r="AD2250" s="269"/>
      <c r="AE2250" s="269"/>
      <c r="AF2250" s="269"/>
      <c r="AG2250" s="269"/>
      <c r="AH2250" s="269"/>
      <c r="AI2250" s="269"/>
      <c r="AJ2250" s="269"/>
      <c r="AK2250" s="269"/>
      <c r="AL2250" s="269"/>
      <c r="AM2250" s="269"/>
    </row>
    <row r="2251" spans="1:39" ht="12.75" customHeight="1" x14ac:dyDescent="0.2">
      <c r="A2251" s="289" t="str">
        <f>IF(B2251="","",COUNT('Diário 5º PA'!$A$5:$A$2634)+COUNT('Diário 6º PA'!$A$5:$A$2246)+ROW()-4)</f>
        <v/>
      </c>
      <c r="B2251" s="290"/>
      <c r="C2251" s="357"/>
      <c r="D2251" s="291"/>
      <c r="E2251" s="291"/>
      <c r="F2251" s="292"/>
      <c r="G2251" s="291"/>
      <c r="H2251" s="291"/>
      <c r="I2251" s="293"/>
      <c r="J2251" s="291"/>
      <c r="K2251" s="291"/>
      <c r="L2251" s="293"/>
      <c r="M2251" s="291"/>
      <c r="N2251" s="289"/>
      <c r="O2251" s="358"/>
      <c r="P2251" s="280">
        <f t="shared" ref="P2251:Q2251" si="467">IF(B2251=0,0,IF(YEAR(B2251)=$Q$1,MONTH(B2251)-$P$1+1,(YEAR(B2251)-$Q$1)*12-$P$1+1+MONTH(B2251)))</f>
        <v>0</v>
      </c>
      <c r="Q2251" s="280">
        <f t="shared" si="467"/>
        <v>0</v>
      </c>
      <c r="R2251" s="356" t="e">
        <f>#N/A</f>
        <v>#N/A</v>
      </c>
      <c r="S2251" s="269" t="str">
        <f>IF(D2251="","",IF(OR(D2251=Plano!$A$1,D2251=Plano!$B$1),"entrada","saída"))</f>
        <v/>
      </c>
      <c r="T2251" s="269"/>
      <c r="U2251" s="269"/>
      <c r="V2251" s="269"/>
      <c r="W2251" s="269"/>
      <c r="X2251" s="269"/>
      <c r="Y2251" s="269"/>
      <c r="Z2251" s="269"/>
      <c r="AA2251" s="269"/>
      <c r="AB2251" s="269"/>
      <c r="AC2251" s="269"/>
      <c r="AD2251" s="269"/>
      <c r="AE2251" s="269"/>
      <c r="AF2251" s="269"/>
      <c r="AG2251" s="269"/>
      <c r="AH2251" s="269"/>
      <c r="AI2251" s="269"/>
      <c r="AJ2251" s="269"/>
      <c r="AK2251" s="269"/>
      <c r="AL2251" s="269"/>
      <c r="AM2251" s="269"/>
    </row>
    <row r="2252" spans="1:39" ht="12.75" customHeight="1" x14ac:dyDescent="0.2">
      <c r="A2252" s="289" t="str">
        <f>IF(B2252="","",COUNT('Diário 5º PA'!$A$5:$A$2634)+COUNT('Diário 6º PA'!$A$5:$A$2246)+ROW()-4)</f>
        <v/>
      </c>
      <c r="B2252" s="290"/>
      <c r="C2252" s="357"/>
      <c r="D2252" s="291"/>
      <c r="E2252" s="291"/>
      <c r="F2252" s="292"/>
      <c r="G2252" s="291"/>
      <c r="H2252" s="291"/>
      <c r="I2252" s="293"/>
      <c r="J2252" s="291"/>
      <c r="K2252" s="291"/>
      <c r="L2252" s="293"/>
      <c r="M2252" s="291"/>
      <c r="N2252" s="289"/>
      <c r="O2252" s="358"/>
      <c r="P2252" s="280">
        <f t="shared" ref="P2252:Q2252" si="468">IF(B2252=0,0,IF(YEAR(B2252)=$Q$1,MONTH(B2252)-$P$1+1,(YEAR(B2252)-$Q$1)*12-$P$1+1+MONTH(B2252)))</f>
        <v>0</v>
      </c>
      <c r="Q2252" s="280">
        <f t="shared" si="468"/>
        <v>0</v>
      </c>
      <c r="R2252" s="356" t="e">
        <f>#N/A</f>
        <v>#N/A</v>
      </c>
      <c r="S2252" s="269" t="str">
        <f>IF(D2252="","",IF(OR(D2252=Plano!$A$1,D2252=Plano!$B$1),"entrada","saída"))</f>
        <v/>
      </c>
      <c r="T2252" s="269"/>
      <c r="U2252" s="269"/>
      <c r="V2252" s="269"/>
      <c r="W2252" s="269"/>
      <c r="X2252" s="269"/>
      <c r="Y2252" s="269"/>
      <c r="Z2252" s="269"/>
      <c r="AA2252" s="269"/>
      <c r="AB2252" s="269"/>
      <c r="AC2252" s="269"/>
      <c r="AD2252" s="269"/>
      <c r="AE2252" s="269"/>
      <c r="AF2252" s="269"/>
      <c r="AG2252" s="269"/>
      <c r="AH2252" s="269"/>
      <c r="AI2252" s="269"/>
      <c r="AJ2252" s="269"/>
      <c r="AK2252" s="269"/>
      <c r="AL2252" s="269"/>
      <c r="AM2252" s="269"/>
    </row>
    <row r="2253" spans="1:39" ht="12.75" customHeight="1" x14ac:dyDescent="0.2">
      <c r="A2253" s="289" t="str">
        <f>IF(B2253="","",COUNT('Diário 5º PA'!$A$5:$A$2634)+COUNT('Diário 6º PA'!$A$5:$A$2246)+ROW()-4)</f>
        <v/>
      </c>
      <c r="B2253" s="290"/>
      <c r="C2253" s="357"/>
      <c r="D2253" s="291"/>
      <c r="E2253" s="291"/>
      <c r="F2253" s="292"/>
      <c r="G2253" s="291"/>
      <c r="H2253" s="291"/>
      <c r="I2253" s="293"/>
      <c r="J2253" s="291"/>
      <c r="K2253" s="291"/>
      <c r="L2253" s="293"/>
      <c r="M2253" s="291"/>
      <c r="N2253" s="289"/>
      <c r="O2253" s="358"/>
      <c r="P2253" s="280">
        <f t="shared" ref="P2253:Q2253" si="469">IF(B2253=0,0,IF(YEAR(B2253)=$Q$1,MONTH(B2253)-$P$1+1,(YEAR(B2253)-$Q$1)*12-$P$1+1+MONTH(B2253)))</f>
        <v>0</v>
      </c>
      <c r="Q2253" s="280">
        <f t="shared" si="469"/>
        <v>0</v>
      </c>
      <c r="R2253" s="356" t="e">
        <f>#N/A</f>
        <v>#N/A</v>
      </c>
      <c r="S2253" s="269" t="str">
        <f>IF(D2253="","",IF(OR(D2253=Plano!$A$1,D2253=Plano!$B$1),"entrada","saída"))</f>
        <v/>
      </c>
      <c r="T2253" s="269"/>
      <c r="U2253" s="269"/>
      <c r="V2253" s="269"/>
      <c r="W2253" s="269"/>
      <c r="X2253" s="269"/>
      <c r="Y2253" s="269"/>
      <c r="Z2253" s="269"/>
      <c r="AA2253" s="269"/>
      <c r="AB2253" s="269"/>
      <c r="AC2253" s="269"/>
      <c r="AD2253" s="269"/>
      <c r="AE2253" s="269"/>
      <c r="AF2253" s="269"/>
      <c r="AG2253" s="269"/>
      <c r="AH2253" s="269"/>
      <c r="AI2253" s="269"/>
      <c r="AJ2253" s="269"/>
      <c r="AK2253" s="269"/>
      <c r="AL2253" s="269"/>
      <c r="AM2253" s="269"/>
    </row>
    <row r="2254" spans="1:39" ht="12.75" customHeight="1" x14ac:dyDescent="0.2">
      <c r="A2254" s="289" t="str">
        <f>IF(B2254="","",COUNT('Diário 5º PA'!$A$5:$A$2634)+COUNT('Diário 6º PA'!$A$5:$A$2246)+ROW()-4)</f>
        <v/>
      </c>
      <c r="B2254" s="290"/>
      <c r="C2254" s="357"/>
      <c r="D2254" s="291"/>
      <c r="E2254" s="291"/>
      <c r="F2254" s="292"/>
      <c r="G2254" s="291"/>
      <c r="H2254" s="291"/>
      <c r="I2254" s="293"/>
      <c r="J2254" s="291"/>
      <c r="K2254" s="291"/>
      <c r="L2254" s="293"/>
      <c r="M2254" s="291"/>
      <c r="N2254" s="289"/>
      <c r="O2254" s="358"/>
      <c r="P2254" s="280">
        <f t="shared" ref="P2254:Q2254" si="470">IF(B2254=0,0,IF(YEAR(B2254)=$Q$1,MONTH(B2254)-$P$1+1,(YEAR(B2254)-$Q$1)*12-$P$1+1+MONTH(B2254)))</f>
        <v>0</v>
      </c>
      <c r="Q2254" s="280">
        <f t="shared" si="470"/>
        <v>0</v>
      </c>
      <c r="R2254" s="356" t="e">
        <f>#N/A</f>
        <v>#N/A</v>
      </c>
      <c r="S2254" s="269" t="str">
        <f>IF(D2254="","",IF(OR(D2254=Plano!$A$1,D2254=Plano!$B$1),"entrada","saída"))</f>
        <v/>
      </c>
      <c r="T2254" s="269"/>
      <c r="U2254" s="269"/>
      <c r="V2254" s="269"/>
      <c r="W2254" s="269"/>
      <c r="X2254" s="269"/>
      <c r="Y2254" s="269"/>
      <c r="Z2254" s="269"/>
      <c r="AA2254" s="269"/>
      <c r="AB2254" s="269"/>
      <c r="AC2254" s="269"/>
      <c r="AD2254" s="269"/>
      <c r="AE2254" s="269"/>
      <c r="AF2254" s="269"/>
      <c r="AG2254" s="269"/>
      <c r="AH2254" s="269"/>
      <c r="AI2254" s="269"/>
      <c r="AJ2254" s="269"/>
      <c r="AK2254" s="269"/>
      <c r="AL2254" s="269"/>
      <c r="AM2254" s="269"/>
    </row>
    <row r="2255" spans="1:39" ht="12.75" customHeight="1" x14ac:dyDescent="0.2">
      <c r="A2255" s="289" t="str">
        <f>IF(B2255="","",COUNT('Diário 5º PA'!$A$5:$A$2634)+COUNT('Diário 6º PA'!$A$5:$A$2246)+ROW()-4)</f>
        <v/>
      </c>
      <c r="B2255" s="290"/>
      <c r="C2255" s="357"/>
      <c r="D2255" s="291"/>
      <c r="E2255" s="291"/>
      <c r="F2255" s="292"/>
      <c r="G2255" s="291"/>
      <c r="H2255" s="291"/>
      <c r="I2255" s="293"/>
      <c r="J2255" s="291"/>
      <c r="K2255" s="291"/>
      <c r="L2255" s="293"/>
      <c r="M2255" s="291"/>
      <c r="N2255" s="289"/>
      <c r="O2255" s="358"/>
      <c r="P2255" s="280">
        <f t="shared" ref="P2255:Q2255" si="471">IF(B2255=0,0,IF(YEAR(B2255)=$Q$1,MONTH(B2255)-$P$1+1,(YEAR(B2255)-$Q$1)*12-$P$1+1+MONTH(B2255)))</f>
        <v>0</v>
      </c>
      <c r="Q2255" s="280">
        <f t="shared" si="471"/>
        <v>0</v>
      </c>
      <c r="R2255" s="356" t="e">
        <f>#N/A</f>
        <v>#N/A</v>
      </c>
      <c r="S2255" s="269" t="str">
        <f>IF(D2255="","",IF(OR(D2255=Plano!$A$1,D2255=Plano!$B$1),"entrada","saída"))</f>
        <v/>
      </c>
      <c r="T2255" s="269"/>
      <c r="U2255" s="269"/>
      <c r="V2255" s="269"/>
      <c r="W2255" s="269"/>
      <c r="X2255" s="269"/>
      <c r="Y2255" s="269"/>
      <c r="Z2255" s="269"/>
      <c r="AA2255" s="269"/>
      <c r="AB2255" s="269"/>
      <c r="AC2255" s="269"/>
      <c r="AD2255" s="269"/>
      <c r="AE2255" s="269"/>
      <c r="AF2255" s="269"/>
      <c r="AG2255" s="269"/>
      <c r="AH2255" s="269"/>
      <c r="AI2255" s="269"/>
      <c r="AJ2255" s="269"/>
      <c r="AK2255" s="269"/>
      <c r="AL2255" s="269"/>
      <c r="AM2255" s="269"/>
    </row>
    <row r="2256" spans="1:39" ht="12.75" customHeight="1" x14ac:dyDescent="0.2">
      <c r="A2256" s="289" t="str">
        <f>IF(B2256="","",COUNT('Diário 5º PA'!$A$5:$A$2634)+COUNT('Diário 6º PA'!$A$5:$A$2246)+ROW()-4)</f>
        <v/>
      </c>
      <c r="B2256" s="290"/>
      <c r="C2256" s="357"/>
      <c r="D2256" s="291"/>
      <c r="E2256" s="291"/>
      <c r="F2256" s="292"/>
      <c r="G2256" s="291"/>
      <c r="H2256" s="291"/>
      <c r="I2256" s="293"/>
      <c r="J2256" s="291"/>
      <c r="K2256" s="291"/>
      <c r="L2256" s="293"/>
      <c r="M2256" s="291"/>
      <c r="N2256" s="289"/>
      <c r="O2256" s="358"/>
      <c r="P2256" s="280">
        <f t="shared" ref="P2256:Q2256" si="472">IF(B2256=0,0,IF(YEAR(B2256)=$Q$1,MONTH(B2256)-$P$1+1,(YEAR(B2256)-$Q$1)*12-$P$1+1+MONTH(B2256)))</f>
        <v>0</v>
      </c>
      <c r="Q2256" s="280">
        <f t="shared" si="472"/>
        <v>0</v>
      </c>
      <c r="R2256" s="356" t="e">
        <f>#N/A</f>
        <v>#N/A</v>
      </c>
      <c r="S2256" s="269" t="str">
        <f>IF(D2256="","",IF(OR(D2256=Plano!$A$1,D2256=Plano!$B$1),"entrada","saída"))</f>
        <v/>
      </c>
      <c r="T2256" s="269"/>
      <c r="U2256" s="269"/>
      <c r="V2256" s="269"/>
      <c r="W2256" s="269"/>
      <c r="X2256" s="269"/>
      <c r="Y2256" s="269"/>
      <c r="Z2256" s="269"/>
      <c r="AA2256" s="269"/>
      <c r="AB2256" s="269"/>
      <c r="AC2256" s="269"/>
      <c r="AD2256" s="269"/>
      <c r="AE2256" s="269"/>
      <c r="AF2256" s="269"/>
      <c r="AG2256" s="269"/>
      <c r="AH2256" s="269"/>
      <c r="AI2256" s="269"/>
      <c r="AJ2256" s="269"/>
      <c r="AK2256" s="269"/>
      <c r="AL2256" s="269"/>
      <c r="AM2256" s="269"/>
    </row>
    <row r="2257" spans="1:39" ht="12.75" customHeight="1" x14ac:dyDescent="0.2">
      <c r="A2257" s="289" t="str">
        <f>IF(B2257="","",COUNT('Diário 5º PA'!$A$5:$A$2634)+COUNT('Diário 6º PA'!$A$5:$A$2246)+ROW()-4)</f>
        <v/>
      </c>
      <c r="B2257" s="290"/>
      <c r="C2257" s="357"/>
      <c r="D2257" s="291"/>
      <c r="E2257" s="291"/>
      <c r="F2257" s="292"/>
      <c r="G2257" s="291"/>
      <c r="H2257" s="291"/>
      <c r="I2257" s="293"/>
      <c r="J2257" s="291"/>
      <c r="K2257" s="291"/>
      <c r="L2257" s="293"/>
      <c r="M2257" s="291"/>
      <c r="N2257" s="289"/>
      <c r="O2257" s="358"/>
      <c r="P2257" s="280">
        <f t="shared" ref="P2257:Q2257" si="473">IF(B2257=0,0,IF(YEAR(B2257)=$Q$1,MONTH(B2257)-$P$1+1,(YEAR(B2257)-$Q$1)*12-$P$1+1+MONTH(B2257)))</f>
        <v>0</v>
      </c>
      <c r="Q2257" s="280">
        <f t="shared" si="473"/>
        <v>0</v>
      </c>
      <c r="R2257" s="356" t="e">
        <f>#N/A</f>
        <v>#N/A</v>
      </c>
      <c r="S2257" s="269" t="str">
        <f>IF(D2257="","",IF(OR(D2257=Plano!$A$1,D2257=Plano!$B$1),"entrada","saída"))</f>
        <v/>
      </c>
      <c r="T2257" s="269"/>
      <c r="U2257" s="269"/>
      <c r="V2257" s="269"/>
      <c r="W2257" s="269"/>
      <c r="X2257" s="269"/>
      <c r="Y2257" s="269"/>
      <c r="Z2257" s="269"/>
      <c r="AA2257" s="269"/>
      <c r="AB2257" s="269"/>
      <c r="AC2257" s="269"/>
      <c r="AD2257" s="269"/>
      <c r="AE2257" s="269"/>
      <c r="AF2257" s="269"/>
      <c r="AG2257" s="269"/>
      <c r="AH2257" s="269"/>
      <c r="AI2257" s="269"/>
      <c r="AJ2257" s="269"/>
      <c r="AK2257" s="269"/>
      <c r="AL2257" s="269"/>
      <c r="AM2257" s="269"/>
    </row>
    <row r="2258" spans="1:39" ht="12.75" customHeight="1" x14ac:dyDescent="0.2">
      <c r="A2258" s="289" t="str">
        <f>IF(B2258="","",COUNT('Diário 5º PA'!$A$5:$A$2634)+COUNT('Diário 6º PA'!$A$5:$A$2246)+ROW()-4)</f>
        <v/>
      </c>
      <c r="B2258" s="290"/>
      <c r="C2258" s="357"/>
      <c r="D2258" s="291"/>
      <c r="E2258" s="291"/>
      <c r="F2258" s="292"/>
      <c r="G2258" s="291"/>
      <c r="H2258" s="291"/>
      <c r="I2258" s="293"/>
      <c r="J2258" s="291"/>
      <c r="K2258" s="291"/>
      <c r="L2258" s="293"/>
      <c r="M2258" s="291"/>
      <c r="N2258" s="289"/>
      <c r="O2258" s="358"/>
      <c r="P2258" s="280">
        <f t="shared" ref="P2258:Q2258" si="474">IF(B2258=0,0,IF(YEAR(B2258)=$Q$1,MONTH(B2258)-$P$1+1,(YEAR(B2258)-$Q$1)*12-$P$1+1+MONTH(B2258)))</f>
        <v>0</v>
      </c>
      <c r="Q2258" s="280">
        <f t="shared" si="474"/>
        <v>0</v>
      </c>
      <c r="R2258" s="356" t="e">
        <f>#N/A</f>
        <v>#N/A</v>
      </c>
      <c r="S2258" s="269" t="str">
        <f>IF(D2258="","",IF(OR(D2258=Plano!$A$1,D2258=Plano!$B$1),"entrada","saída"))</f>
        <v/>
      </c>
      <c r="T2258" s="269"/>
      <c r="U2258" s="269"/>
      <c r="V2258" s="269"/>
      <c r="W2258" s="269"/>
      <c r="X2258" s="269"/>
      <c r="Y2258" s="269"/>
      <c r="Z2258" s="269"/>
      <c r="AA2258" s="269"/>
      <c r="AB2258" s="269"/>
      <c r="AC2258" s="269"/>
      <c r="AD2258" s="269"/>
      <c r="AE2258" s="269"/>
      <c r="AF2258" s="269"/>
      <c r="AG2258" s="269"/>
      <c r="AH2258" s="269"/>
      <c r="AI2258" s="269"/>
      <c r="AJ2258" s="269"/>
      <c r="AK2258" s="269"/>
      <c r="AL2258" s="269"/>
      <c r="AM2258" s="269"/>
    </row>
    <row r="2259" spans="1:39" ht="12.75" customHeight="1" x14ac:dyDescent="0.2">
      <c r="A2259" s="289" t="str">
        <f>IF(B2259="","",COUNT('Diário 5º PA'!$A$5:$A$2634)+COUNT('Diário 6º PA'!$A$5:$A$2246)+ROW()-4)</f>
        <v/>
      </c>
      <c r="B2259" s="290"/>
      <c r="C2259" s="357"/>
      <c r="D2259" s="291"/>
      <c r="E2259" s="291"/>
      <c r="F2259" s="292"/>
      <c r="G2259" s="291"/>
      <c r="H2259" s="291"/>
      <c r="I2259" s="293"/>
      <c r="J2259" s="291"/>
      <c r="K2259" s="291"/>
      <c r="L2259" s="293"/>
      <c r="M2259" s="291"/>
      <c r="N2259" s="289"/>
      <c r="O2259" s="358"/>
      <c r="P2259" s="280">
        <f t="shared" ref="P2259:Q2259" si="475">IF(B2259=0,0,IF(YEAR(B2259)=$Q$1,MONTH(B2259)-$P$1+1,(YEAR(B2259)-$Q$1)*12-$P$1+1+MONTH(B2259)))</f>
        <v>0</v>
      </c>
      <c r="Q2259" s="280">
        <f t="shared" si="475"/>
        <v>0</v>
      </c>
      <c r="R2259" s="356" t="e">
        <f>#N/A</f>
        <v>#N/A</v>
      </c>
      <c r="S2259" s="269" t="str">
        <f>IF(D2259="","",IF(OR(D2259=Plano!$A$1,D2259=Plano!$B$1),"entrada","saída"))</f>
        <v/>
      </c>
      <c r="T2259" s="269"/>
      <c r="U2259" s="269"/>
      <c r="V2259" s="269"/>
      <c r="W2259" s="269"/>
      <c r="X2259" s="269"/>
      <c r="Y2259" s="269"/>
      <c r="Z2259" s="269"/>
      <c r="AA2259" s="269"/>
      <c r="AB2259" s="269"/>
      <c r="AC2259" s="269"/>
      <c r="AD2259" s="269"/>
      <c r="AE2259" s="269"/>
      <c r="AF2259" s="269"/>
      <c r="AG2259" s="269"/>
      <c r="AH2259" s="269"/>
      <c r="AI2259" s="269"/>
      <c r="AJ2259" s="269"/>
      <c r="AK2259" s="269"/>
      <c r="AL2259" s="269"/>
      <c r="AM2259" s="269"/>
    </row>
    <row r="2260" spans="1:39" ht="12.75" customHeight="1" x14ac:dyDescent="0.2">
      <c r="A2260" s="289" t="str">
        <f>IF(B2260="","",COUNT('Diário 5º PA'!$A$5:$A$2634)+COUNT('Diário 6º PA'!$A$5:$A$2246)+ROW()-4)</f>
        <v/>
      </c>
      <c r="B2260" s="290"/>
      <c r="C2260" s="357"/>
      <c r="D2260" s="291"/>
      <c r="E2260" s="291"/>
      <c r="F2260" s="292"/>
      <c r="G2260" s="291"/>
      <c r="H2260" s="291"/>
      <c r="I2260" s="293"/>
      <c r="J2260" s="291"/>
      <c r="K2260" s="291"/>
      <c r="L2260" s="293"/>
      <c r="M2260" s="291"/>
      <c r="N2260" s="289"/>
      <c r="O2260" s="358"/>
      <c r="P2260" s="280">
        <f t="shared" ref="P2260:Q2260" si="476">IF(B2260=0,0,IF(YEAR(B2260)=$Q$1,MONTH(B2260)-$P$1+1,(YEAR(B2260)-$Q$1)*12-$P$1+1+MONTH(B2260)))</f>
        <v>0</v>
      </c>
      <c r="Q2260" s="280">
        <f t="shared" si="476"/>
        <v>0</v>
      </c>
      <c r="R2260" s="356" t="e">
        <f>#N/A</f>
        <v>#N/A</v>
      </c>
      <c r="S2260" s="269" t="str">
        <f>IF(D2260="","",IF(OR(D2260=Plano!$A$1,D2260=Plano!$B$1),"entrada","saída"))</f>
        <v/>
      </c>
      <c r="T2260" s="269"/>
      <c r="U2260" s="269"/>
      <c r="V2260" s="269"/>
      <c r="W2260" s="269"/>
      <c r="X2260" s="269"/>
      <c r="Y2260" s="269"/>
      <c r="Z2260" s="269"/>
      <c r="AA2260" s="269"/>
      <c r="AB2260" s="269"/>
      <c r="AC2260" s="269"/>
      <c r="AD2260" s="269"/>
      <c r="AE2260" s="269"/>
      <c r="AF2260" s="269"/>
      <c r="AG2260" s="269"/>
      <c r="AH2260" s="269"/>
      <c r="AI2260" s="269"/>
      <c r="AJ2260" s="269"/>
      <c r="AK2260" s="269"/>
      <c r="AL2260" s="269"/>
      <c r="AM2260" s="269"/>
    </row>
    <row r="2261" spans="1:39" ht="12.75" customHeight="1" x14ac:dyDescent="0.2">
      <c r="A2261" s="289" t="str">
        <f>IF(B2261="","",COUNT('Diário 5º PA'!$A$5:$A$2634)+COUNT('Diário 6º PA'!$A$5:$A$2246)+ROW()-4)</f>
        <v/>
      </c>
      <c r="B2261" s="290"/>
      <c r="C2261" s="357"/>
      <c r="D2261" s="291"/>
      <c r="E2261" s="291"/>
      <c r="F2261" s="292"/>
      <c r="G2261" s="291"/>
      <c r="H2261" s="291"/>
      <c r="I2261" s="293"/>
      <c r="J2261" s="291"/>
      <c r="K2261" s="291"/>
      <c r="L2261" s="293"/>
      <c r="M2261" s="291"/>
      <c r="N2261" s="289"/>
      <c r="O2261" s="358"/>
      <c r="P2261" s="280">
        <f t="shared" ref="P2261:Q2261" si="477">IF(B2261=0,0,IF(YEAR(B2261)=$Q$1,MONTH(B2261)-$P$1+1,(YEAR(B2261)-$Q$1)*12-$P$1+1+MONTH(B2261)))</f>
        <v>0</v>
      </c>
      <c r="Q2261" s="280">
        <f t="shared" si="477"/>
        <v>0</v>
      </c>
      <c r="R2261" s="356" t="e">
        <f>#N/A</f>
        <v>#N/A</v>
      </c>
      <c r="S2261" s="269" t="str">
        <f>IF(D2261="","",IF(OR(D2261=Plano!$A$1,D2261=Plano!$B$1),"entrada","saída"))</f>
        <v/>
      </c>
      <c r="T2261" s="269"/>
      <c r="U2261" s="269"/>
      <c r="V2261" s="269"/>
      <c r="W2261" s="269"/>
      <c r="X2261" s="269"/>
      <c r="Y2261" s="269"/>
      <c r="Z2261" s="269"/>
      <c r="AA2261" s="269"/>
      <c r="AB2261" s="269"/>
      <c r="AC2261" s="269"/>
      <c r="AD2261" s="269"/>
      <c r="AE2261" s="269"/>
      <c r="AF2261" s="269"/>
      <c r="AG2261" s="269"/>
      <c r="AH2261" s="269"/>
      <c r="AI2261" s="269"/>
      <c r="AJ2261" s="269"/>
      <c r="AK2261" s="269"/>
      <c r="AL2261" s="269"/>
      <c r="AM2261" s="269"/>
    </row>
    <row r="2262" spans="1:39" ht="12.75" customHeight="1" x14ac:dyDescent="0.2">
      <c r="A2262" s="289" t="str">
        <f>IF(B2262="","",COUNT('Diário 5º PA'!$A$5:$A$2634)+COUNT('Diário 6º PA'!$A$5:$A$2246)+ROW()-4)</f>
        <v/>
      </c>
      <c r="B2262" s="290"/>
      <c r="C2262" s="357"/>
      <c r="D2262" s="291"/>
      <c r="E2262" s="291"/>
      <c r="F2262" s="292"/>
      <c r="G2262" s="291"/>
      <c r="H2262" s="291"/>
      <c r="I2262" s="293"/>
      <c r="J2262" s="291"/>
      <c r="K2262" s="291"/>
      <c r="L2262" s="293"/>
      <c r="M2262" s="291"/>
      <c r="N2262" s="289"/>
      <c r="O2262" s="358"/>
      <c r="P2262" s="280">
        <f t="shared" ref="P2262:Q2262" si="478">IF(B2262=0,0,IF(YEAR(B2262)=$Q$1,MONTH(B2262)-$P$1+1,(YEAR(B2262)-$Q$1)*12-$P$1+1+MONTH(B2262)))</f>
        <v>0</v>
      </c>
      <c r="Q2262" s="280">
        <f t="shared" si="478"/>
        <v>0</v>
      </c>
      <c r="R2262" s="356" t="e">
        <f>#N/A</f>
        <v>#N/A</v>
      </c>
      <c r="S2262" s="269" t="str">
        <f>IF(D2262="","",IF(OR(D2262=Plano!$A$1,D2262=Plano!$B$1),"entrada","saída"))</f>
        <v/>
      </c>
      <c r="T2262" s="269"/>
      <c r="U2262" s="269"/>
      <c r="V2262" s="269"/>
      <c r="W2262" s="269"/>
      <c r="X2262" s="269"/>
      <c r="Y2262" s="269"/>
      <c r="Z2262" s="269"/>
      <c r="AA2262" s="269"/>
      <c r="AB2262" s="269"/>
      <c r="AC2262" s="269"/>
      <c r="AD2262" s="269"/>
      <c r="AE2262" s="269"/>
      <c r="AF2262" s="269"/>
      <c r="AG2262" s="269"/>
      <c r="AH2262" s="269"/>
      <c r="AI2262" s="269"/>
      <c r="AJ2262" s="269"/>
      <c r="AK2262" s="269"/>
      <c r="AL2262" s="269"/>
      <c r="AM2262" s="269"/>
    </row>
    <row r="2263" spans="1:39" ht="12.75" customHeight="1" x14ac:dyDescent="0.2">
      <c r="A2263" s="289" t="str">
        <f>IF(B2263="","",COUNT('Diário 5º PA'!$A$5:$A$2634)+COUNT('Diário 6º PA'!$A$5:$A$2246)+ROW()-4)</f>
        <v/>
      </c>
      <c r="B2263" s="290"/>
      <c r="C2263" s="357"/>
      <c r="D2263" s="291"/>
      <c r="E2263" s="291"/>
      <c r="F2263" s="292"/>
      <c r="G2263" s="291"/>
      <c r="H2263" s="291"/>
      <c r="I2263" s="293"/>
      <c r="J2263" s="291"/>
      <c r="K2263" s="291"/>
      <c r="L2263" s="293"/>
      <c r="M2263" s="291"/>
      <c r="N2263" s="289"/>
      <c r="O2263" s="358"/>
      <c r="P2263" s="280">
        <f t="shared" ref="P2263:Q2263" si="479">IF(B2263=0,0,IF(YEAR(B2263)=$Q$1,MONTH(B2263)-$P$1+1,(YEAR(B2263)-$Q$1)*12-$P$1+1+MONTH(B2263)))</f>
        <v>0</v>
      </c>
      <c r="Q2263" s="280">
        <f t="shared" si="479"/>
        <v>0</v>
      </c>
      <c r="R2263" s="356" t="e">
        <f>#N/A</f>
        <v>#N/A</v>
      </c>
      <c r="S2263" s="269" t="str">
        <f>IF(D2263="","",IF(OR(D2263=Plano!$A$1,D2263=Plano!$B$1),"entrada","saída"))</f>
        <v/>
      </c>
      <c r="T2263" s="269"/>
      <c r="U2263" s="269"/>
      <c r="V2263" s="269"/>
      <c r="W2263" s="269"/>
      <c r="X2263" s="269"/>
      <c r="Y2263" s="269"/>
      <c r="Z2263" s="269"/>
      <c r="AA2263" s="269"/>
      <c r="AB2263" s="269"/>
      <c r="AC2263" s="269"/>
      <c r="AD2263" s="269"/>
      <c r="AE2263" s="269"/>
      <c r="AF2263" s="269"/>
      <c r="AG2263" s="269"/>
      <c r="AH2263" s="269"/>
      <c r="AI2263" s="269"/>
      <c r="AJ2263" s="269"/>
      <c r="AK2263" s="269"/>
      <c r="AL2263" s="269"/>
      <c r="AM2263" s="269"/>
    </row>
    <row r="2264" spans="1:39" ht="12.75" customHeight="1" x14ac:dyDescent="0.2">
      <c r="A2264" s="289" t="str">
        <f>IF(B2264="","",COUNT('Diário 5º PA'!$A$5:$A$2634)+COUNT('Diário 6º PA'!$A$5:$A$2246)+ROW()-4)</f>
        <v/>
      </c>
      <c r="B2264" s="290"/>
      <c r="C2264" s="357"/>
      <c r="D2264" s="291"/>
      <c r="E2264" s="291"/>
      <c r="F2264" s="292"/>
      <c r="G2264" s="291"/>
      <c r="H2264" s="291"/>
      <c r="I2264" s="293"/>
      <c r="J2264" s="291"/>
      <c r="K2264" s="291"/>
      <c r="L2264" s="293"/>
      <c r="M2264" s="291"/>
      <c r="N2264" s="289"/>
      <c r="O2264" s="358"/>
      <c r="P2264" s="280">
        <f t="shared" ref="P2264:Q2264" si="480">IF(B2264=0,0,IF(YEAR(B2264)=$Q$1,MONTH(B2264)-$P$1+1,(YEAR(B2264)-$Q$1)*12-$P$1+1+MONTH(B2264)))</f>
        <v>0</v>
      </c>
      <c r="Q2264" s="280">
        <f t="shared" si="480"/>
        <v>0</v>
      </c>
      <c r="R2264" s="356" t="e">
        <f>#N/A</f>
        <v>#N/A</v>
      </c>
      <c r="S2264" s="269" t="str">
        <f>IF(D2264="","",IF(OR(D2264=Plano!$A$1,D2264=Plano!$B$1),"entrada","saída"))</f>
        <v/>
      </c>
      <c r="T2264" s="269"/>
      <c r="U2264" s="269"/>
      <c r="V2264" s="269"/>
      <c r="W2264" s="269"/>
      <c r="X2264" s="269"/>
      <c r="Y2264" s="269"/>
      <c r="Z2264" s="269"/>
      <c r="AA2264" s="269"/>
      <c r="AB2264" s="269"/>
      <c r="AC2264" s="269"/>
      <c r="AD2264" s="269"/>
      <c r="AE2264" s="269"/>
      <c r="AF2264" s="269"/>
      <c r="AG2264" s="269"/>
      <c r="AH2264" s="269"/>
      <c r="AI2264" s="269"/>
      <c r="AJ2264" s="269"/>
      <c r="AK2264" s="269"/>
      <c r="AL2264" s="269"/>
      <c r="AM2264" s="269"/>
    </row>
    <row r="2265" spans="1:39" ht="12.75" customHeight="1" x14ac:dyDescent="0.2">
      <c r="A2265" s="289" t="str">
        <f>IF(B2265="","",COUNT('Diário 5º PA'!$A$5:$A$2634)+COUNT('Diário 6º PA'!$A$5:$A$2246)+ROW()-4)</f>
        <v/>
      </c>
      <c r="B2265" s="290"/>
      <c r="C2265" s="357"/>
      <c r="D2265" s="291"/>
      <c r="E2265" s="291"/>
      <c r="F2265" s="292"/>
      <c r="G2265" s="291"/>
      <c r="H2265" s="291"/>
      <c r="I2265" s="293"/>
      <c r="J2265" s="291"/>
      <c r="K2265" s="291"/>
      <c r="L2265" s="293"/>
      <c r="M2265" s="291"/>
      <c r="N2265" s="289"/>
      <c r="O2265" s="358"/>
      <c r="P2265" s="280">
        <f t="shared" ref="P2265:Q2265" si="481">IF(B2265=0,0,IF(YEAR(B2265)=$Q$1,MONTH(B2265)-$P$1+1,(YEAR(B2265)-$Q$1)*12-$P$1+1+MONTH(B2265)))</f>
        <v>0</v>
      </c>
      <c r="Q2265" s="280">
        <f t="shared" si="481"/>
        <v>0</v>
      </c>
      <c r="R2265" s="356" t="e">
        <f>#N/A</f>
        <v>#N/A</v>
      </c>
      <c r="S2265" s="269" t="str">
        <f>IF(D2265="","",IF(OR(D2265=Plano!$A$1,D2265=Plano!$B$1),"entrada","saída"))</f>
        <v/>
      </c>
      <c r="T2265" s="269"/>
      <c r="U2265" s="269"/>
      <c r="V2265" s="269"/>
      <c r="W2265" s="269"/>
      <c r="X2265" s="269"/>
      <c r="Y2265" s="269"/>
      <c r="Z2265" s="269"/>
      <c r="AA2265" s="269"/>
      <c r="AB2265" s="269"/>
      <c r="AC2265" s="269"/>
      <c r="AD2265" s="269"/>
      <c r="AE2265" s="269"/>
      <c r="AF2265" s="269"/>
      <c r="AG2265" s="269"/>
      <c r="AH2265" s="269"/>
      <c r="AI2265" s="269"/>
      <c r="AJ2265" s="269"/>
      <c r="AK2265" s="269"/>
      <c r="AL2265" s="269"/>
      <c r="AM2265" s="269"/>
    </row>
    <row r="2266" spans="1:39" ht="12.75" customHeight="1" x14ac:dyDescent="0.2">
      <c r="A2266" s="289" t="str">
        <f>IF(B2266="","",COUNT('Diário 5º PA'!$A$5:$A$2634)+COUNT('Diário 6º PA'!$A$5:$A$2246)+ROW()-4)</f>
        <v/>
      </c>
      <c r="B2266" s="290"/>
      <c r="C2266" s="357"/>
      <c r="D2266" s="291"/>
      <c r="E2266" s="291"/>
      <c r="F2266" s="292"/>
      <c r="G2266" s="291"/>
      <c r="H2266" s="291"/>
      <c r="I2266" s="293"/>
      <c r="J2266" s="291"/>
      <c r="K2266" s="291"/>
      <c r="L2266" s="293"/>
      <c r="M2266" s="291"/>
      <c r="N2266" s="289"/>
      <c r="O2266" s="358"/>
      <c r="P2266" s="280">
        <f t="shared" ref="P2266:Q2266" si="482">IF(B2266=0,0,IF(YEAR(B2266)=$Q$1,MONTH(B2266)-$P$1+1,(YEAR(B2266)-$Q$1)*12-$P$1+1+MONTH(B2266)))</f>
        <v>0</v>
      </c>
      <c r="Q2266" s="280">
        <f t="shared" si="482"/>
        <v>0</v>
      </c>
      <c r="R2266" s="356" t="e">
        <f>#N/A</f>
        <v>#N/A</v>
      </c>
      <c r="S2266" s="269" t="str">
        <f>IF(D2266="","",IF(OR(D2266=Plano!$A$1,D2266=Plano!$B$1),"entrada","saída"))</f>
        <v/>
      </c>
      <c r="T2266" s="269"/>
      <c r="U2266" s="269"/>
      <c r="V2266" s="269"/>
      <c r="W2266" s="269"/>
      <c r="X2266" s="269"/>
      <c r="Y2266" s="269"/>
      <c r="Z2266" s="269"/>
      <c r="AA2266" s="269"/>
      <c r="AB2266" s="269"/>
      <c r="AC2266" s="269"/>
      <c r="AD2266" s="269"/>
      <c r="AE2266" s="269"/>
      <c r="AF2266" s="269"/>
      <c r="AG2266" s="269"/>
      <c r="AH2266" s="269"/>
      <c r="AI2266" s="269"/>
      <c r="AJ2266" s="269"/>
      <c r="AK2266" s="269"/>
      <c r="AL2266" s="269"/>
      <c r="AM2266" s="269"/>
    </row>
    <row r="2267" spans="1:39" ht="12.75" customHeight="1" x14ac:dyDescent="0.2">
      <c r="A2267" s="289" t="str">
        <f>IF(B2267="","",COUNT('Diário 5º PA'!$A$5:$A$2634)+COUNT('Diário 6º PA'!$A$5:$A$2246)+ROW()-4)</f>
        <v/>
      </c>
      <c r="B2267" s="290"/>
      <c r="C2267" s="357"/>
      <c r="D2267" s="291"/>
      <c r="E2267" s="291"/>
      <c r="F2267" s="292"/>
      <c r="G2267" s="291"/>
      <c r="H2267" s="291"/>
      <c r="I2267" s="293"/>
      <c r="J2267" s="291"/>
      <c r="K2267" s="291"/>
      <c r="L2267" s="293"/>
      <c r="M2267" s="291"/>
      <c r="N2267" s="289"/>
      <c r="O2267" s="358"/>
      <c r="P2267" s="280">
        <f t="shared" ref="P2267:Q2267" si="483">IF(B2267=0,0,IF(YEAR(B2267)=$Q$1,MONTH(B2267)-$P$1+1,(YEAR(B2267)-$Q$1)*12-$P$1+1+MONTH(B2267)))</f>
        <v>0</v>
      </c>
      <c r="Q2267" s="280">
        <f t="shared" si="483"/>
        <v>0</v>
      </c>
      <c r="R2267" s="356" t="e">
        <f>#N/A</f>
        <v>#N/A</v>
      </c>
      <c r="S2267" s="269" t="str">
        <f>IF(D2267="","",IF(OR(D2267=Plano!$A$1,D2267=Plano!$B$1),"entrada","saída"))</f>
        <v/>
      </c>
      <c r="T2267" s="269"/>
      <c r="U2267" s="269"/>
      <c r="V2267" s="269"/>
      <c r="W2267" s="269"/>
      <c r="X2267" s="269"/>
      <c r="Y2267" s="269"/>
      <c r="Z2267" s="269"/>
      <c r="AA2267" s="269"/>
      <c r="AB2267" s="269"/>
      <c r="AC2267" s="269"/>
      <c r="AD2267" s="269"/>
      <c r="AE2267" s="269"/>
      <c r="AF2267" s="269"/>
      <c r="AG2267" s="269"/>
      <c r="AH2267" s="269"/>
      <c r="AI2267" s="269"/>
      <c r="AJ2267" s="269"/>
      <c r="AK2267" s="269"/>
      <c r="AL2267" s="269"/>
      <c r="AM2267" s="269"/>
    </row>
    <row r="2268" spans="1:39" ht="12.75" customHeight="1" x14ac:dyDescent="0.2">
      <c r="A2268" s="289" t="str">
        <f>IF(B2268="","",COUNT('Diário 5º PA'!$A$5:$A$2634)+COUNT('Diário 6º PA'!$A$5:$A$2246)+ROW()-4)</f>
        <v/>
      </c>
      <c r="B2268" s="290"/>
      <c r="C2268" s="357"/>
      <c r="D2268" s="291"/>
      <c r="E2268" s="291"/>
      <c r="F2268" s="292"/>
      <c r="G2268" s="291"/>
      <c r="H2268" s="291"/>
      <c r="I2268" s="293"/>
      <c r="J2268" s="291"/>
      <c r="K2268" s="291"/>
      <c r="L2268" s="293"/>
      <c r="M2268" s="291"/>
      <c r="N2268" s="289"/>
      <c r="O2268" s="358"/>
      <c r="P2268" s="280">
        <f t="shared" ref="P2268:Q2268" si="484">IF(B2268=0,0,IF(YEAR(B2268)=$Q$1,MONTH(B2268)-$P$1+1,(YEAR(B2268)-$Q$1)*12-$P$1+1+MONTH(B2268)))</f>
        <v>0</v>
      </c>
      <c r="Q2268" s="280">
        <f t="shared" si="484"/>
        <v>0</v>
      </c>
      <c r="R2268" s="356" t="e">
        <f>#N/A</f>
        <v>#N/A</v>
      </c>
      <c r="S2268" s="269" t="str">
        <f>IF(D2268="","",IF(OR(D2268=Plano!$A$1,D2268=Plano!$B$1),"entrada","saída"))</f>
        <v/>
      </c>
      <c r="T2268" s="269"/>
      <c r="U2268" s="269"/>
      <c r="V2268" s="269"/>
      <c r="W2268" s="269"/>
      <c r="X2268" s="269"/>
      <c r="Y2268" s="269"/>
      <c r="Z2268" s="269"/>
      <c r="AA2268" s="269"/>
      <c r="AB2268" s="269"/>
      <c r="AC2268" s="269"/>
      <c r="AD2268" s="269"/>
      <c r="AE2268" s="269"/>
      <c r="AF2268" s="269"/>
      <c r="AG2268" s="269"/>
      <c r="AH2268" s="269"/>
      <c r="AI2268" s="269"/>
      <c r="AJ2268" s="269"/>
      <c r="AK2268" s="269"/>
      <c r="AL2268" s="269"/>
      <c r="AM2268" s="269"/>
    </row>
    <row r="2269" spans="1:39" ht="12.75" customHeight="1" x14ac:dyDescent="0.2">
      <c r="A2269" s="289" t="str">
        <f>IF(B2269="","",COUNT('Diário 5º PA'!$A$5:$A$2634)+COUNT('Diário 6º PA'!$A$5:$A$2246)+ROW()-4)</f>
        <v/>
      </c>
      <c r="B2269" s="290"/>
      <c r="C2269" s="357"/>
      <c r="D2269" s="291"/>
      <c r="E2269" s="291"/>
      <c r="F2269" s="292"/>
      <c r="G2269" s="291"/>
      <c r="H2269" s="291"/>
      <c r="I2269" s="293"/>
      <c r="J2269" s="291"/>
      <c r="K2269" s="291"/>
      <c r="L2269" s="293"/>
      <c r="M2269" s="291"/>
      <c r="N2269" s="290"/>
      <c r="O2269" s="358"/>
      <c r="P2269" s="280">
        <f t="shared" ref="P2269:Q2269" si="485">IF(B2269=0,0,IF(YEAR(B2269)=$Q$1,MONTH(B2269)-$P$1+1,(YEAR(B2269)-$Q$1)*12-$P$1+1+MONTH(B2269)))</f>
        <v>0</v>
      </c>
      <c r="Q2269" s="280">
        <f t="shared" si="485"/>
        <v>0</v>
      </c>
      <c r="R2269" s="356" t="e">
        <f>#N/A</f>
        <v>#N/A</v>
      </c>
      <c r="S2269" s="269" t="str">
        <f>IF(D2269="","",IF(OR(D2269=Plano!$A$1,D2269=Plano!$B$1),"entrada","saída"))</f>
        <v/>
      </c>
      <c r="T2269" s="269"/>
      <c r="U2269" s="269"/>
      <c r="V2269" s="269"/>
      <c r="W2269" s="269"/>
      <c r="X2269" s="269"/>
      <c r="Y2269" s="269"/>
      <c r="Z2269" s="269"/>
      <c r="AA2269" s="269"/>
      <c r="AB2269" s="269"/>
      <c r="AC2269" s="269"/>
      <c r="AD2269" s="269"/>
      <c r="AE2269" s="269"/>
      <c r="AF2269" s="269"/>
      <c r="AG2269" s="269"/>
      <c r="AH2269" s="269"/>
      <c r="AI2269" s="269"/>
      <c r="AJ2269" s="269"/>
      <c r="AK2269" s="269"/>
      <c r="AL2269" s="269"/>
      <c r="AM2269" s="269"/>
    </row>
    <row r="2270" spans="1:39" ht="12.75" customHeight="1" x14ac:dyDescent="0.2">
      <c r="A2270" s="289" t="str">
        <f>IF(B2270="","",COUNT('Diário 5º PA'!$A$5:$A$2634)+COUNT('Diário 6º PA'!$A$5:$A$2246)+ROW()-4)</f>
        <v/>
      </c>
      <c r="B2270" s="290"/>
      <c r="C2270" s="357"/>
      <c r="D2270" s="291"/>
      <c r="E2270" s="291"/>
      <c r="F2270" s="292"/>
      <c r="G2270" s="291"/>
      <c r="H2270" s="291"/>
      <c r="I2270" s="293"/>
      <c r="J2270" s="291"/>
      <c r="K2270" s="291"/>
      <c r="L2270" s="293"/>
      <c r="M2270" s="291"/>
      <c r="N2270" s="290"/>
      <c r="O2270" s="358"/>
      <c r="P2270" s="280">
        <f t="shared" ref="P2270:Q2270" si="486">IF(B2270=0,0,IF(YEAR(B2270)=$Q$1,MONTH(B2270)-$P$1+1,(YEAR(B2270)-$Q$1)*12-$P$1+1+MONTH(B2270)))</f>
        <v>0</v>
      </c>
      <c r="Q2270" s="280">
        <f t="shared" si="486"/>
        <v>0</v>
      </c>
      <c r="R2270" s="356" t="e">
        <f>#N/A</f>
        <v>#N/A</v>
      </c>
      <c r="S2270" s="269" t="str">
        <f>IF(D2270="","",IF(OR(D2270=Plano!$A$1,D2270=Plano!$B$1),"entrada","saída"))</f>
        <v/>
      </c>
      <c r="T2270" s="269"/>
      <c r="U2270" s="269"/>
      <c r="V2270" s="269"/>
      <c r="W2270" s="269"/>
      <c r="X2270" s="269"/>
      <c r="Y2270" s="269"/>
      <c r="Z2270" s="269"/>
      <c r="AA2270" s="269"/>
      <c r="AB2270" s="269"/>
      <c r="AC2270" s="269"/>
      <c r="AD2270" s="269"/>
      <c r="AE2270" s="269"/>
      <c r="AF2270" s="269"/>
      <c r="AG2270" s="269"/>
      <c r="AH2270" s="269"/>
      <c r="AI2270" s="269"/>
      <c r="AJ2270" s="269"/>
      <c r="AK2270" s="269"/>
      <c r="AL2270" s="269"/>
      <c r="AM2270" s="269"/>
    </row>
    <row r="2271" spans="1:39" ht="12.75" customHeight="1" x14ac:dyDescent="0.2">
      <c r="A2271" s="289" t="str">
        <f>IF(B2271="","",COUNT('Diário 5º PA'!$A$5:$A$2634)+COUNT('Diário 6º PA'!$A$5:$A$2246)+ROW()-4)</f>
        <v/>
      </c>
      <c r="B2271" s="359"/>
      <c r="C2271" s="360"/>
      <c r="D2271" s="361"/>
      <c r="E2271" s="361"/>
      <c r="F2271" s="362"/>
      <c r="G2271" s="361"/>
      <c r="H2271" s="361"/>
      <c r="I2271" s="363"/>
      <c r="J2271" s="361"/>
      <c r="K2271" s="361"/>
      <c r="L2271" s="363"/>
      <c r="M2271" s="361"/>
      <c r="N2271" s="359"/>
      <c r="O2271" s="358"/>
      <c r="P2271" s="280">
        <f t="shared" ref="P2271:Q2271" si="487">IF(B2271=0,0,IF(YEAR(B2271)=$Q$1,MONTH(B2271)-$P$1+1,(YEAR(B2271)-$Q$1)*12-$P$1+1+MONTH(B2271)))</f>
        <v>0</v>
      </c>
      <c r="Q2271" s="280">
        <f t="shared" si="487"/>
        <v>0</v>
      </c>
      <c r="R2271" s="356" t="e">
        <f>#N/A</f>
        <v>#N/A</v>
      </c>
      <c r="S2271" s="269" t="str">
        <f>IF(D2271="","",IF(OR(D2271=Plano!$A$1,D2271=Plano!$B$1),"entrada","saída"))</f>
        <v/>
      </c>
      <c r="T2271" s="269"/>
      <c r="U2271" s="269"/>
      <c r="V2271" s="269"/>
      <c r="W2271" s="269"/>
      <c r="X2271" s="269"/>
      <c r="Y2271" s="269"/>
      <c r="Z2271" s="269"/>
      <c r="AA2271" s="269"/>
      <c r="AB2271" s="269"/>
      <c r="AC2271" s="269"/>
      <c r="AD2271" s="269"/>
      <c r="AE2271" s="269"/>
      <c r="AF2271" s="269"/>
      <c r="AG2271" s="269"/>
      <c r="AH2271" s="269"/>
      <c r="AI2271" s="269"/>
      <c r="AJ2271" s="269"/>
      <c r="AK2271" s="269"/>
      <c r="AL2271" s="269"/>
      <c r="AM2271" s="269"/>
    </row>
  </sheetData>
  <autoFilter ref="A4:V2271"/>
  <mergeCells count="3">
    <mergeCell ref="A1:N1"/>
    <mergeCell ref="A2:N2"/>
    <mergeCell ref="A3:N3"/>
  </mergeCells>
  <dataValidations count="13">
    <dataValidation type="list" allowBlank="1" showErrorMessage="1" sqref="AH67 O5:O2271">
      <formula1>Contas</formula1>
    </dataValidation>
    <dataValidation type="list" allowBlank="1" showErrorMessage="1" sqref="E237 E239">
      <formula1>INDIRECT($Q236)</formula1>
    </dataValidation>
    <dataValidation type="list" allowBlank="1" showErrorMessage="1" sqref="H5:H9 H11:H13 H24:H25 H38:H43 H46:H47 H92:H94 H97:H102 H107:H108 H113:H115 H130:H139 H142 H144:H159 H163:H165 H167 H169:H170 H200 H203:H204 H213 H222 H224:H226 H230 H233 H238 H240 H242:H247 H250 H256 H263:H268 H280 H374 H431:H439 H465:H468 H487 H489:H492 H499 H508:H512 H514:H536 H538 H540:H577 H586:H588 H609:H610 H649 H651 H678 H680:H681 H688 H692:H694 H703:H706 H710:H712 H718 H728 H771 H885:H892 H898:H900 H931:H935 H938:H970 H972:H1023 H1370 H1083 H1101 H1178 H1224 H1246 H1319 H1336 H1025:H1029 H1033:H1037">
      <formula1>$B$6:$B$30</formula1>
    </dataValidation>
    <dataValidation type="list" allowBlank="1" showErrorMessage="1" sqref="E10 E14:E23 E26:E30 E35:E37 X67 E1167:E1170 E103:E106 E116:E129 E140:E141 E143 E166 E168 E171:E189 E208:E212 E214 E223 E228:E229 E236 E248:E249 E251:E255 E257:E262 E269 E1132:E1140 E281 E44:E96 E319:E320 E322:E325 E331:E342 E345:E351 E358:E359 E364:E365 E368 E375:E377 E385:E386 E388 E396 E399:E400 E402:E416 E440:E453 E464 E469:E471 E475:E486 E500:E503 E1330:E1332 E513 E537 E539 E579:E580 E584:E585 E589:E608 E283:E317 E646:E650 E1376:E1382 E679 E653:E677 E691 E695 E697:E699 E702 E707:E709 E713 E722:E724 E729:E730 E611:E644 E755:E758 E760:E770 E271:E273 E799:E803 E747:E752 E822 E805:E820 E844 E849 E853 E856:E859 E867 E869:E871 E874:E877 E879:E882 E901:E902 E905:E911 E936:E937 E971 E772:E797 E1066:E1086 E1092:E1100 E1102:E1106 E1182:E1184 E1220 E1223 E1225:E1227 E1243:E1245 G1053 E1248:E1274 E505 E1335 E1337 E1203:E1206 E893:E897 E1031:E1032 E1232:E1240 E1342 E1345 E1347:E1351 E1365:E1366 E1359 E1368:E1369 E1371:E1374 E684:E686 E826:E837 E862:E864 E917:E921 E923:E930 E1142:E1150 E1408 E735:E742 E1038:E1063 E1314:E1318 E1119:E1130 E1276:E1312">
      <formula1>INDIRECT($Q10)</formula1>
    </dataValidation>
    <dataValidation type="list" allowBlank="1" showErrorMessage="1" sqref="W67 D504:E504 D1131:E1131 D922:E922 D923:D1130 D505:D921 D5:D503 D1132:D2271">
      <formula1>Categorias</formula1>
    </dataValidation>
    <dataValidation type="list" allowBlank="1" showErrorMessage="1" sqref="H88">
      <formula1>$B$6:$B$32</formula1>
    </dataValidation>
    <dataValidation type="date" allowBlank="1" showErrorMessage="1" sqref="B5:C9 N5:N9 N17:N18 B10:B23 B24:C25 B26:B30 B31:C34 B35:B37 B38:C43 N31:N44 B44:B71 B72:C72 B73:B98 N99 B99:C102 B103:B106 B107:C115 N109:N140 B116:B141 B142:C142 B143:B159 B160:C165 N144:N165 B166:B169 N169 B170:C170 B171:B189 B190:C207 N190:N207 B208:B212 B213:C213 B214 B215:C221 N215:N222 B222:B223 B224:C225 N226:N227 B226:B230 B231:C232 N230:N238 B233:B242 B243:C247 B248:B249 B250:C250 B251:B253 N250:N253 B254:C254 N256:N259 B255:B262 B263:C265 N263:N265 B266:B272 N270:N276 B273:C280 N282 B281:B327 B328:C330 B331:B342 B343:C344 N327:N345 B345:B351 N352:N355 B352:C357 B358:B359 N361:N362 B360:C363 B364:B365 B366:C367 N364:N367 B368 B369:C374 N374 B375:B384 B385:C385 B386:B393 N389:N393 B394:C395 B396:B397 B398:C398 N397:N398 B399:B402 N402 B403:C412 B413:B415 B416:C416 B417:B430 N417:N434 B431:C439 B440:B453 B454:C463 B464 B465:C468 N454:N468 B469:B486 B487:C499 N514:N535 N538 B513:B581 B582:C583 N540:N583 B584:B585 B586:C588 B589:B619 B620:C620 B621:B650 N589:N650 B651:C652 N652:N678 N1107:N1150 B683:C683 B684:B686 B653:B682 B687:C687 B688:B691 N687:N691 B692:C694 B695 B696:C696 N696 B697:B699 B700:C701 B702 B703:C706 N700:N706 N708:N709 B707:B713 N714:N717 B714:C722 B723:B724 B725:C729 N683:N685 C736:C737 C752:C753 B771:C771 B772:B773 B774:C774 B775:B777 B778:C778 B779:B793 B794:C794 B795:B803 B804:C804 B805:B820 N752:N755 B821:C821 B822 B823:C825 B826:B837 N804:N818 B838:C843 N838:N843 B844 N845 B845:C848 B849 B850:C852 C830 C855 B860:C861 N854:N857 B862:B864 B865:C866 N868 N872:N873 N860:N864 B885:C892 B867:B884 N897:N900 N1338:N1341 B893:B930 B931:C935 N938:N970 N912:N934 C1033:C1037 B1050:C1051 N1041:N1091 C1151:C1152 C1183:C1184 B1178:C1178 B1052:B1177 B1191:C1193 B1194 B1195:C1195 N1205:N1206 B1207:C1207 N1217:N1219 C1212:C1219 C1221:C1222 C1224 C1246 C1253 C1256 C1270 C1272 C1309 C1313 N1333:N1334 C1333:C1334 C1336 N972:N1037 N878:N892 C1107:C1118 B1196:B1206 C1228:C1231 C1237:C1240 C1338:C1341 C1343:C1344 B1346:C1346 B1410:C2271 N1352:N1360 C1352:C1365 N1367:N1368 C1367 C1370 N1371 C1375 N1170:N1171 C1201:C1203 B500:B505 N1375:N1384 C1383:C1387 B1347:B1409 N735:N737 N731:N733 C731:C734 B730:B770 C742:C748 N743:N749 N823:N831 B853:B859 C857 C864 C881:C882 B936:B1049 C990:C1030 C1141 C1162:C1166 B1179:B1190 C1180:C1181 N1183:N1184 N1228:N1242 B1208:B1345 C1398:C1407 N1398:N1404 N1325:N1327 C1319:C1329 N487:N512 B506:C512 N725:N728 N1408:N1411 C1169:C1173 N1281:N1309">
      <formula1>40544</formula1>
      <formula2>44561</formula2>
    </dataValidation>
    <dataValidation type="list" allowBlank="1" showErrorMessage="1" sqref="E5:E9 E11:E13 E24:E25 E31:E34 E38:E43 E97:E102 E107:E115 E130:E139 E142 E144:E165 E167 E169:E170 E190:E207 E213 E215:E222 E224:E227 E230:E235 E238 E240:E247 E250 E256 E263:E268 E270 E282 E318 E321 E326:E330 E343:E344 E352:E357 E360:E363 E366:E367 E369:E374 E378:E384 E387 E389:E395 E397:E398 E401 E417:E439 E454:E463 E465:E468 E472:E474 E487:E499 E1319:E1329 E514:E536 E538 E540:E578 E581:E583 E586:E588 E609:E610 E645 E651:E652 E678 E680:E683 E687:E690 E692:E694 E696 E700:E701 E703:E706 E710:E712 E714:E721 E725:E728 E1171:E1181 E743:E746 E731:E734 E759 E771 E798 E804 E821 E823:E825 E838:E843 E845:E848 E850:E852 E753:E754 E860:E861 E865:E866 E868 E872:E873 E854:E855 E898:E900 E903:E904 E938:E970 E883:E892 E1064:E1065 E1087:E1091 E1101 E931:E935 E1207:E1219 E1221:E1222 E1224 E1141 E1246:E1247 E1275 E1313 E1333:E1334 E1336 E912:E916 E1107:E1118 E1228:E1231 E1338:E1341 E1343:E1344 E1346 E1360:E1364 E1352:E1358 E1367 E1370 E1375 E1241:E1242 E878 E972:E1030 E1033:E1037 E1151:E1166 E1409:E2271 E1185:E1202 E1383:E1407 E506:E512 E274:E280">
      <formula1>INDIRECT($R5)</formula1>
    </dataValidation>
    <dataValidation type="list" allowBlank="1" showErrorMessage="1" sqref="H273:H279 H282 H318 H321 H325:H326 H356:H357 H360 H366:H367 H370:H373 H379:H380 H384 H394:H395 H402 H715:H717 H719:H721 H737 H754:H755 H759 H798:H799 H842:H843 H845:H848 H850:H851 H854 H865:H866 H1218:H1219 H1221:H1222 H1241 H1247 H1275 H1309 H1340:H1341 H1343:H1344 H1346 H1353 H1360:H1364 H1368">
      <formula1>$B$6:$B$28</formula1>
    </dataValidation>
    <dataValidation type="list" allowBlank="1" showErrorMessage="1" sqref="H473 H602 H650 H903 H912">
      <formula1>$B$6:$B$25</formula1>
    </dataValidation>
    <dataValidation type="list" allowBlank="1" showErrorMessage="1" sqref="AA67 H227 H344 H369 H378 H398 H429:H430 H753 H883:H884 H1172:H1175 H1177 H1179 H1185:H1187 H1191:H1193 H1197:H1198 H1207 H1410:H1411 H1414:H2271">
      <formula1>VinculoPT</formula1>
    </dataValidation>
    <dataValidation type="list" allowBlank="1" showErrorMessage="1" sqref="H1065 H1085:H1091 H1160:H1161">
      <formula1>$B$6:$B$20</formula1>
    </dataValidation>
    <dataValidation type="list" allowBlank="1" showErrorMessage="1" sqref="H1265">
      <formula1>$B$6:$B$18</formula1>
    </dataValidation>
  </dataValidations>
  <pageMargins left="0.59055118110236227" right="0.59055118110236227" top="0.59055118110236227" bottom="0.59055118110236227" header="0" footer="0"/>
  <pageSetup paperSize="9" fitToHeight="0"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14:formula1>
            <xm:f>'Gasto das Atividades'!$B$6:$B$28</xm:f>
          </x14:formula1>
          <xm:sqref>H10 H14:H23 H26:H37 H44:H45 H48:H87 H89:H91 H95:H96 H103:H106 H109:H112 H116:H129 H140:H141 H143 H160:H162 H166 H168 H171:H199 H201:H202 H205:H212 H214:H221 H223 H228:H229 H231:H232 H234:H237 H239 H241 H248:H249 H251:H255 H257:H262 H269:H272 H283:H317 H319:H320 H322:H324 H327:H343 H345:H355 H358:H359 H361:H365 H368 H375:H377 H381:H383 H385:H393 H396:H397 H399:H401 H403:H428 H440:H464 H469:H472 H474:H486 H488 H493:H498 H1320:H1335 H513 H537 H539 H578:H585 H589:H601 H603:H608 H611:H648 H1371:H1409 H679 H652:H677 H689:H691 H695:H702 H707:H709 H713:H714 H722:H727 H682:H687 H729:H736 H756:H758 H760:H770 H772:H797 H738:H752 H844 H849 H852:H853 H800:H841 H855:H864 H867:H882 H901:H902 H904:H911 H1337:H1339 H936:H937 H971 H1024 H1038:H1064 H1066:H1082 H1084 H1092:H1100 H1199:H1206 H1176 H281 H1188:H1190 H1194:H1196 H1180:H1184 H1208:H1217 H1220 H1223 H1030:H1032 H1242:H1245 H1248:H1264 H1266:H1274 H1310:H1318 H1162:H1171 H893:H897 H1225:H1240 H1342 H1345 H1347:H1352 H1354:H1359 H1365:H1367 H1369 H1412:H1413 H913:H930 H500:H507 H1102:H1159 H1276:H1308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488"/>
  <sheetViews>
    <sheetView tabSelected="1" zoomScale="90" zoomScaleNormal="90" workbookViewId="0">
      <pane xSplit="6" ySplit="4" topLeftCell="G1978" activePane="bottomRight" state="frozen"/>
      <selection pane="topRight" activeCell="G1" sqref="G1"/>
      <selection pane="bottomLeft" activeCell="A5" sqref="A5"/>
      <selection pane="bottomRight" activeCell="G1980" sqref="G1980"/>
    </sheetView>
  </sheetViews>
  <sheetFormatPr defaultColWidth="14.42578125" defaultRowHeight="15" customHeight="1" x14ac:dyDescent="0.2"/>
  <cols>
    <col min="1" max="1" width="5.7109375" customWidth="1"/>
    <col min="2" max="2" width="10.5703125" customWidth="1"/>
    <col min="3" max="3" width="10.5703125" style="510" customWidth="1"/>
    <col min="4" max="4" width="15.42578125" customWidth="1"/>
    <col min="5" max="5" width="23.5703125" customWidth="1"/>
    <col min="6" max="6" width="12.85546875" customWidth="1"/>
    <col min="7" max="7" width="39.140625" customWidth="1"/>
    <col min="8" max="8" width="25.28515625" customWidth="1"/>
    <col min="9" max="9" width="23.85546875" style="586" customWidth="1"/>
    <col min="10" max="10" width="17" customWidth="1"/>
    <col min="11" max="11" width="17.28515625" style="586" customWidth="1"/>
    <col min="12" max="12" width="14.7109375" style="586" customWidth="1"/>
    <col min="13" max="13" width="20" style="589" customWidth="1"/>
    <col min="14" max="14" width="12.5703125" style="589" customWidth="1"/>
    <col min="15" max="15" width="22.140625" customWidth="1"/>
    <col min="16" max="17" width="7.42578125" customWidth="1"/>
    <col min="18" max="18" width="23.7109375" customWidth="1"/>
    <col min="19" max="19" width="9.140625" customWidth="1"/>
    <col min="20" max="20" width="12.140625" style="412" customWidth="1"/>
    <col min="21" max="21" width="13.28515625" style="412" customWidth="1"/>
  </cols>
  <sheetData>
    <row r="1" spans="1:22" ht="31.5" customHeight="1" x14ac:dyDescent="0.2">
      <c r="A1" s="748" t="str">
        <f>Capa!A1</f>
        <v>Contrato de Gestão nº. 05/20 celebrado entre a Fundação Clóvis Salgado e a Associação Pró-Cultura e Promoção das Artes</v>
      </c>
      <c r="B1" s="749"/>
      <c r="C1" s="749"/>
      <c r="D1" s="749"/>
      <c r="E1" s="749"/>
      <c r="F1" s="749"/>
      <c r="G1" s="749"/>
      <c r="H1" s="749"/>
      <c r="I1" s="749"/>
      <c r="J1" s="749"/>
      <c r="K1" s="749"/>
      <c r="L1" s="749"/>
      <c r="M1" s="749"/>
      <c r="N1" s="750"/>
      <c r="O1" s="682"/>
      <c r="P1" s="268">
        <f>MONTH(Resumo!$C$5)</f>
        <v>1</v>
      </c>
      <c r="Q1" s="268">
        <f>YEAR(Resumo!$C$5)</f>
        <v>2021</v>
      </c>
      <c r="R1" s="269"/>
      <c r="S1" s="269"/>
    </row>
    <row r="2" spans="1:22" ht="19.5" customHeight="1" x14ac:dyDescent="0.2">
      <c r="A2" s="748" t="str">
        <f>Capa!A3</f>
        <v>8º Relatório Gerencial Financeiro</v>
      </c>
      <c r="B2" s="749"/>
      <c r="C2" s="749"/>
      <c r="D2" s="749"/>
      <c r="E2" s="749"/>
      <c r="F2" s="749"/>
      <c r="G2" s="749"/>
      <c r="H2" s="749"/>
      <c r="I2" s="749"/>
      <c r="J2" s="749"/>
      <c r="K2" s="749"/>
      <c r="L2" s="749"/>
      <c r="M2" s="749"/>
      <c r="N2" s="750"/>
      <c r="O2" s="682"/>
      <c r="P2" s="270"/>
      <c r="Q2" s="270"/>
      <c r="R2" s="269"/>
      <c r="S2" s="269"/>
    </row>
    <row r="3" spans="1:22" ht="19.5" customHeight="1" thickBot="1" x14ac:dyDescent="0.25">
      <c r="A3" s="751" t="s">
        <v>5146</v>
      </c>
      <c r="B3" s="752"/>
      <c r="C3" s="752"/>
      <c r="D3" s="752"/>
      <c r="E3" s="752"/>
      <c r="F3" s="752"/>
      <c r="G3" s="752"/>
      <c r="H3" s="752"/>
      <c r="I3" s="752"/>
      <c r="J3" s="752"/>
      <c r="K3" s="752"/>
      <c r="L3" s="752"/>
      <c r="M3" s="752"/>
      <c r="N3" s="753"/>
      <c r="O3" s="683"/>
      <c r="P3" s="271"/>
      <c r="Q3" s="271"/>
      <c r="R3" s="269"/>
      <c r="S3" s="269"/>
    </row>
    <row r="4" spans="1:22" ht="50.25" customHeight="1" x14ac:dyDescent="0.2">
      <c r="A4" s="616" t="s">
        <v>938</v>
      </c>
      <c r="B4" s="616" t="s">
        <v>939</v>
      </c>
      <c r="C4" s="617" t="s">
        <v>430</v>
      </c>
      <c r="D4" s="616" t="s">
        <v>419</v>
      </c>
      <c r="E4" s="618" t="s">
        <v>420</v>
      </c>
      <c r="F4" s="618" t="s">
        <v>940</v>
      </c>
      <c r="G4" s="618" t="s">
        <v>421</v>
      </c>
      <c r="H4" s="618" t="s">
        <v>422</v>
      </c>
      <c r="I4" s="618" t="s">
        <v>423</v>
      </c>
      <c r="J4" s="618" t="s">
        <v>941</v>
      </c>
      <c r="K4" s="618" t="s">
        <v>425</v>
      </c>
      <c r="L4" s="618" t="s">
        <v>942</v>
      </c>
      <c r="M4" s="618" t="s">
        <v>427</v>
      </c>
      <c r="N4" s="618" t="s">
        <v>428</v>
      </c>
      <c r="O4" s="618" t="s">
        <v>977</v>
      </c>
      <c r="P4" s="499" t="s">
        <v>943</v>
      </c>
      <c r="Q4" s="499" t="s">
        <v>978</v>
      </c>
      <c r="R4" s="499" t="s">
        <v>419</v>
      </c>
      <c r="S4" s="500"/>
      <c r="T4" s="501" t="s">
        <v>979</v>
      </c>
      <c r="U4" s="502" t="s">
        <v>980</v>
      </c>
    </row>
    <row r="5" spans="1:22" ht="58.5" customHeight="1" x14ac:dyDescent="0.2">
      <c r="A5" s="619">
        <f>IF(B5="","",COUNT('Diário 5º PA'!$A$5:$A$2634)+COUNT('Diário 6º PA'!$A$5:$A$2246)+COUNT('Diário 7º PA'!$A$5:$A$2271)+ROW()-4)</f>
        <v>3951</v>
      </c>
      <c r="B5" s="620">
        <v>44470</v>
      </c>
      <c r="C5" s="621">
        <v>44440</v>
      </c>
      <c r="D5" s="548" t="s">
        <v>88</v>
      </c>
      <c r="E5" s="548" t="s">
        <v>198</v>
      </c>
      <c r="F5" s="622">
        <v>-23.2</v>
      </c>
      <c r="G5" s="623" t="s">
        <v>982</v>
      </c>
      <c r="H5" s="548" t="s">
        <v>114</v>
      </c>
      <c r="I5" s="583" t="s">
        <v>983</v>
      </c>
      <c r="J5" s="548" t="s">
        <v>850</v>
      </c>
      <c r="K5" s="583" t="s">
        <v>946</v>
      </c>
      <c r="L5" s="583" t="s">
        <v>947</v>
      </c>
      <c r="M5" s="619" t="s">
        <v>114</v>
      </c>
      <c r="N5" s="620">
        <v>44470</v>
      </c>
      <c r="O5" s="684" t="s">
        <v>67</v>
      </c>
      <c r="P5" s="503">
        <f t="shared" ref="P5:Q5" si="0">IF(B5=0,0,IF(YEAR(B5)=$Q$1,MONTH(B5)-$P$1+1,(YEAR(B5)-$Q$1)*12-$P$1+1+MONTH(B5)))</f>
        <v>10</v>
      </c>
      <c r="Q5" s="503">
        <f t="shared" si="0"/>
        <v>9</v>
      </c>
      <c r="R5" s="504" t="str">
        <f t="shared" ref="R5" si="1">SUBSTITUTE(D5," ","_")</f>
        <v>Gastos_com_Pessoal</v>
      </c>
      <c r="S5" s="504" t="str">
        <f>IF(D5="","",IF(OR(D5=Plano!$A$1,D5=Plano!$B$1),"entrada","saída"))</f>
        <v>saída</v>
      </c>
      <c r="T5" s="505" t="s">
        <v>114</v>
      </c>
      <c r="U5" s="505" t="s">
        <v>114</v>
      </c>
      <c r="V5" s="541"/>
    </row>
    <row r="6" spans="1:22" ht="47.25" customHeight="1" x14ac:dyDescent="0.2">
      <c r="A6" s="619">
        <f>IF(B6="","",COUNT('Diário 5º PA'!$A$5:$A$2634)+COUNT('Diário 6º PA'!$A$5:$A$2246)+COUNT('Diário 7º PA'!$A$5:$A$2271)+ROW()-4)</f>
        <v>3952</v>
      </c>
      <c r="B6" s="620">
        <v>44470</v>
      </c>
      <c r="C6" s="621">
        <v>44440</v>
      </c>
      <c r="D6" s="548" t="s">
        <v>88</v>
      </c>
      <c r="E6" s="548" t="s">
        <v>198</v>
      </c>
      <c r="F6" s="622">
        <v>-23.2</v>
      </c>
      <c r="G6" s="623" t="s">
        <v>5574</v>
      </c>
      <c r="H6" s="548" t="s">
        <v>114</v>
      </c>
      <c r="I6" s="583" t="s">
        <v>983</v>
      </c>
      <c r="J6" s="548" t="s">
        <v>850</v>
      </c>
      <c r="K6" s="583" t="s">
        <v>946</v>
      </c>
      <c r="L6" s="583" t="s">
        <v>947</v>
      </c>
      <c r="M6" s="619" t="s">
        <v>114</v>
      </c>
      <c r="N6" s="620">
        <v>44470</v>
      </c>
      <c r="O6" s="684" t="s">
        <v>67</v>
      </c>
      <c r="P6" s="503">
        <f t="shared" ref="P6:P64" si="2">IF(B6=0,0,IF(YEAR(B6)=$Q$1,MONTH(B6)-$P$1+1,(YEAR(B6)-$Q$1)*12-$P$1+1+MONTH(B6)))</f>
        <v>10</v>
      </c>
      <c r="Q6" s="503">
        <f t="shared" ref="Q6:Q64" si="3">IF(C6=0,0,IF(YEAR(C6)=$Q$1,MONTH(C6)-$P$1+1,(YEAR(C6)-$Q$1)*12-$P$1+1+MONTH(C6)))</f>
        <v>9</v>
      </c>
      <c r="R6" s="504" t="str">
        <f t="shared" ref="R6:R64" si="4">SUBSTITUTE(D6," ","_")</f>
        <v>Gastos_com_Pessoal</v>
      </c>
      <c r="S6" s="504" t="str">
        <f>IF(D6="","",IF(OR(D6=Plano!$A$1,D6=Plano!$B$1),"entrada","saída"))</f>
        <v>saída</v>
      </c>
      <c r="T6" s="505" t="s">
        <v>114</v>
      </c>
      <c r="U6" s="505" t="s">
        <v>114</v>
      </c>
      <c r="V6" s="541"/>
    </row>
    <row r="7" spans="1:22" ht="54.75" customHeight="1" x14ac:dyDescent="0.2">
      <c r="A7" s="619">
        <f>IF(B7="","",COUNT('Diário 5º PA'!$A$5:$A$2634)+COUNT('Diário 6º PA'!$A$5:$A$2246)+COUNT('Diário 7º PA'!$A$5:$A$2271)+ROW()-4)</f>
        <v>3953</v>
      </c>
      <c r="B7" s="620">
        <v>44470</v>
      </c>
      <c r="C7" s="621">
        <v>44440</v>
      </c>
      <c r="D7" s="548" t="s">
        <v>88</v>
      </c>
      <c r="E7" s="548" t="s">
        <v>183</v>
      </c>
      <c r="F7" s="622">
        <v>-13.87</v>
      </c>
      <c r="G7" s="623" t="s">
        <v>984</v>
      </c>
      <c r="H7" s="548" t="s">
        <v>114</v>
      </c>
      <c r="I7" s="583" t="s">
        <v>983</v>
      </c>
      <c r="J7" s="548" t="s">
        <v>850</v>
      </c>
      <c r="K7" s="583" t="s">
        <v>946</v>
      </c>
      <c r="L7" s="583" t="s">
        <v>947</v>
      </c>
      <c r="M7" s="619" t="s">
        <v>114</v>
      </c>
      <c r="N7" s="620">
        <v>44470</v>
      </c>
      <c r="O7" s="684" t="s">
        <v>67</v>
      </c>
      <c r="P7" s="503">
        <f t="shared" si="2"/>
        <v>10</v>
      </c>
      <c r="Q7" s="503">
        <f t="shared" si="3"/>
        <v>9</v>
      </c>
      <c r="R7" s="504" t="str">
        <f t="shared" si="4"/>
        <v>Gastos_com_Pessoal</v>
      </c>
      <c r="S7" s="504" t="str">
        <f>IF(D7="","",IF(OR(D7=Plano!$A$1,D7=Plano!$B$1),"entrada","saída"))</f>
        <v>saída</v>
      </c>
      <c r="T7" s="505" t="s">
        <v>114</v>
      </c>
      <c r="U7" s="505" t="s">
        <v>114</v>
      </c>
      <c r="V7" s="541"/>
    </row>
    <row r="8" spans="1:22" ht="56.25" customHeight="1" x14ac:dyDescent="0.2">
      <c r="A8" s="619">
        <f>IF(B8="","",COUNT('Diário 5º PA'!$A$5:$A$2634)+COUNT('Diário 6º PA'!$A$5:$A$2246)+COUNT('Diário 7º PA'!$A$5:$A$2271)+ROW()-4)</f>
        <v>3954</v>
      </c>
      <c r="B8" s="620">
        <v>44470</v>
      </c>
      <c r="C8" s="621">
        <v>44440</v>
      </c>
      <c r="D8" s="548" t="s">
        <v>88</v>
      </c>
      <c r="E8" s="548" t="s">
        <v>198</v>
      </c>
      <c r="F8" s="622">
        <v>-116</v>
      </c>
      <c r="G8" s="623" t="s">
        <v>987</v>
      </c>
      <c r="H8" s="548" t="s">
        <v>114</v>
      </c>
      <c r="I8" s="583" t="s">
        <v>983</v>
      </c>
      <c r="J8" s="548" t="s">
        <v>850</v>
      </c>
      <c r="K8" s="583" t="s">
        <v>946</v>
      </c>
      <c r="L8" s="583" t="s">
        <v>947</v>
      </c>
      <c r="M8" s="619" t="s">
        <v>114</v>
      </c>
      <c r="N8" s="620">
        <v>44470</v>
      </c>
      <c r="O8" s="684" t="s">
        <v>67</v>
      </c>
      <c r="P8" s="503">
        <f t="shared" si="2"/>
        <v>10</v>
      </c>
      <c r="Q8" s="503">
        <f t="shared" si="3"/>
        <v>9</v>
      </c>
      <c r="R8" s="504" t="str">
        <f t="shared" si="4"/>
        <v>Gastos_com_Pessoal</v>
      </c>
      <c r="S8" s="504" t="str">
        <f>IF(D8="","",IF(OR(D8=Plano!$A$1,D8=Plano!$B$1),"entrada","saída"))</f>
        <v>saída</v>
      </c>
      <c r="T8" s="505" t="s">
        <v>114</v>
      </c>
      <c r="U8" s="505" t="s">
        <v>114</v>
      </c>
      <c r="V8" s="541"/>
    </row>
    <row r="9" spans="1:22" ht="57" customHeight="1" x14ac:dyDescent="0.2">
      <c r="A9" s="619">
        <f>IF(B9="","",COUNT('Diário 5º PA'!$A$5:$A$2634)+COUNT('Diário 6º PA'!$A$5:$A$2246)+COUNT('Diário 7º PA'!$A$5:$A$2271)+ROW()-4)</f>
        <v>3955</v>
      </c>
      <c r="B9" s="620">
        <v>44470</v>
      </c>
      <c r="C9" s="621">
        <v>44440</v>
      </c>
      <c r="D9" s="548" t="s">
        <v>88</v>
      </c>
      <c r="E9" s="548" t="s">
        <v>183</v>
      </c>
      <c r="F9" s="622">
        <v>-69.349999999999994</v>
      </c>
      <c r="G9" s="623" t="s">
        <v>986</v>
      </c>
      <c r="H9" s="548" t="s">
        <v>114</v>
      </c>
      <c r="I9" s="583" t="s">
        <v>983</v>
      </c>
      <c r="J9" s="548" t="s">
        <v>850</v>
      </c>
      <c r="K9" s="583" t="s">
        <v>946</v>
      </c>
      <c r="L9" s="583" t="s">
        <v>947</v>
      </c>
      <c r="M9" s="619" t="s">
        <v>114</v>
      </c>
      <c r="N9" s="620">
        <v>44470</v>
      </c>
      <c r="O9" s="684" t="s">
        <v>67</v>
      </c>
      <c r="P9" s="503">
        <f t="shared" si="2"/>
        <v>10</v>
      </c>
      <c r="Q9" s="503">
        <f t="shared" si="3"/>
        <v>9</v>
      </c>
      <c r="R9" s="504" t="str">
        <f t="shared" si="4"/>
        <v>Gastos_com_Pessoal</v>
      </c>
      <c r="S9" s="504" t="str">
        <f>IF(D9="","",IF(OR(D9=Plano!$A$1,D9=Plano!$B$1),"entrada","saída"))</f>
        <v>saída</v>
      </c>
      <c r="T9" s="505" t="s">
        <v>114</v>
      </c>
      <c r="U9" s="505" t="s">
        <v>114</v>
      </c>
      <c r="V9" s="541"/>
    </row>
    <row r="10" spans="1:22" ht="87" customHeight="1" x14ac:dyDescent="0.2">
      <c r="A10" s="619">
        <f>IF(B10="","",COUNT('Diário 5º PA'!$A$5:$A$2634)+COUNT('Diário 6º PA'!$A$5:$A$2246)+COUNT('Diário 7º PA'!$A$5:$A$2271)+ROW()-4)</f>
        <v>3956</v>
      </c>
      <c r="B10" s="620">
        <v>44470</v>
      </c>
      <c r="C10" s="624">
        <v>44470</v>
      </c>
      <c r="D10" s="548" t="s">
        <v>99</v>
      </c>
      <c r="E10" s="548" t="s">
        <v>352</v>
      </c>
      <c r="F10" s="622">
        <v>10335.99</v>
      </c>
      <c r="G10" s="623" t="s">
        <v>751</v>
      </c>
      <c r="H10" s="548" t="s">
        <v>131</v>
      </c>
      <c r="I10" s="583" t="s">
        <v>2134</v>
      </c>
      <c r="J10" s="548" t="s">
        <v>750</v>
      </c>
      <c r="K10" s="583" t="s">
        <v>991</v>
      </c>
      <c r="L10" s="583" t="s">
        <v>992</v>
      </c>
      <c r="M10" s="619" t="s">
        <v>2429</v>
      </c>
      <c r="N10" s="620">
        <v>44467</v>
      </c>
      <c r="O10" s="684" t="s">
        <v>67</v>
      </c>
      <c r="P10" s="503">
        <f t="shared" si="2"/>
        <v>10</v>
      </c>
      <c r="Q10" s="503">
        <f t="shared" si="3"/>
        <v>10</v>
      </c>
      <c r="R10" s="504" t="str">
        <f t="shared" si="4"/>
        <v>Gastos_Gerais</v>
      </c>
      <c r="S10" s="504" t="str">
        <f>IF(D10="","",IF(OR(D10=Plano!$A$1,D10=Plano!$B$1),"entrada","saída"))</f>
        <v>saída</v>
      </c>
      <c r="T10" s="511" t="s">
        <v>1059</v>
      </c>
      <c r="U10" s="505">
        <v>1850</v>
      </c>
      <c r="V10" s="541"/>
    </row>
    <row r="11" spans="1:22" ht="183.75" customHeight="1" x14ac:dyDescent="0.2">
      <c r="A11" s="619">
        <f>IF(B11="","",COUNT('Diário 5º PA'!$A$5:$A$2634)+COUNT('Diário 6º PA'!$A$5:$A$2246)+COUNT('Diário 7º PA'!$A$5:$A$2271)+ROW()-4)</f>
        <v>3957</v>
      </c>
      <c r="B11" s="620">
        <v>44470</v>
      </c>
      <c r="C11" s="624">
        <v>44470</v>
      </c>
      <c r="D11" s="548" t="s">
        <v>99</v>
      </c>
      <c r="E11" s="548" t="s">
        <v>352</v>
      </c>
      <c r="F11" s="622">
        <v>2503.15</v>
      </c>
      <c r="G11" s="623" t="s">
        <v>748</v>
      </c>
      <c r="H11" s="548" t="s">
        <v>131</v>
      </c>
      <c r="I11" s="583" t="s">
        <v>2134</v>
      </c>
      <c r="J11" s="548" t="s">
        <v>750</v>
      </c>
      <c r="K11" s="583" t="s">
        <v>991</v>
      </c>
      <c r="L11" s="583" t="s">
        <v>992</v>
      </c>
      <c r="M11" s="619" t="s">
        <v>1407</v>
      </c>
      <c r="N11" s="620">
        <v>44467</v>
      </c>
      <c r="O11" s="684" t="s">
        <v>67</v>
      </c>
      <c r="P11" s="503">
        <f t="shared" si="2"/>
        <v>10</v>
      </c>
      <c r="Q11" s="503">
        <f t="shared" si="3"/>
        <v>10</v>
      </c>
      <c r="R11" s="504" t="str">
        <f t="shared" si="4"/>
        <v>Gastos_Gerais</v>
      </c>
      <c r="S11" s="504" t="str">
        <f>IF(D11="","",IF(OR(D11=Plano!$A$1,D11=Plano!$B$1),"entrada","saída"))</f>
        <v>saída</v>
      </c>
      <c r="T11" s="511" t="s">
        <v>1082</v>
      </c>
      <c r="U11" s="505">
        <v>1851</v>
      </c>
      <c r="V11" s="541"/>
    </row>
    <row r="12" spans="1:22" ht="153" customHeight="1" x14ac:dyDescent="0.2">
      <c r="A12" s="619">
        <f>IF(B12="","",COUNT('Diário 5º PA'!$A$5:$A$2634)+COUNT('Diário 6º PA'!$A$5:$A$2246)+COUNT('Diário 7º PA'!$A$5:$A$2271)+ROW()-4)</f>
        <v>3958</v>
      </c>
      <c r="B12" s="620">
        <v>44470</v>
      </c>
      <c r="C12" s="624">
        <v>44440</v>
      </c>
      <c r="D12" s="548" t="s">
        <v>99</v>
      </c>
      <c r="E12" s="548" t="s">
        <v>226</v>
      </c>
      <c r="F12" s="622">
        <v>2622.21</v>
      </c>
      <c r="G12" s="623" t="s">
        <v>783</v>
      </c>
      <c r="H12" s="548" t="s">
        <v>131</v>
      </c>
      <c r="I12" s="583" t="s">
        <v>2134</v>
      </c>
      <c r="J12" s="548" t="s">
        <v>750</v>
      </c>
      <c r="K12" s="583" t="s">
        <v>991</v>
      </c>
      <c r="L12" s="583" t="s">
        <v>992</v>
      </c>
      <c r="M12" s="619" t="s">
        <v>1394</v>
      </c>
      <c r="N12" s="620">
        <v>44467</v>
      </c>
      <c r="O12" s="684" t="s">
        <v>67</v>
      </c>
      <c r="P12" s="503">
        <f t="shared" si="2"/>
        <v>10</v>
      </c>
      <c r="Q12" s="503">
        <f t="shared" si="3"/>
        <v>9</v>
      </c>
      <c r="R12" s="504" t="str">
        <f t="shared" si="4"/>
        <v>Gastos_Gerais</v>
      </c>
      <c r="S12" s="504" t="str">
        <f>IF(D12="","",IF(OR(D12=Plano!$A$1,D12=Plano!$B$1),"entrada","saída"))</f>
        <v>saída</v>
      </c>
      <c r="T12" s="511" t="s">
        <v>1059</v>
      </c>
      <c r="U12" s="505">
        <v>1852</v>
      </c>
      <c r="V12" s="541"/>
    </row>
    <row r="13" spans="1:22" ht="28.5" customHeight="1" x14ac:dyDescent="0.2">
      <c r="A13" s="619">
        <f>IF(B13="","",COUNT('Diário 5º PA'!$A$5:$A$2634)+COUNT('Diário 6º PA'!$A$5:$A$2246)+COUNT('Diário 7º PA'!$A$5:$A$2271)+ROW()-4)</f>
        <v>3959</v>
      </c>
      <c r="B13" s="620">
        <v>44470</v>
      </c>
      <c r="C13" s="621">
        <v>44440</v>
      </c>
      <c r="D13" s="548" t="s">
        <v>88</v>
      </c>
      <c r="E13" s="548" t="s">
        <v>198</v>
      </c>
      <c r="F13" s="622">
        <v>1322.39</v>
      </c>
      <c r="G13" s="623" t="s">
        <v>533</v>
      </c>
      <c r="H13" s="548" t="s">
        <v>114</v>
      </c>
      <c r="I13" s="583" t="s">
        <v>534</v>
      </c>
      <c r="J13" s="548" t="s">
        <v>535</v>
      </c>
      <c r="K13" s="583" t="s">
        <v>560</v>
      </c>
      <c r="L13" s="583" t="s">
        <v>697</v>
      </c>
      <c r="M13" s="619">
        <v>8134322</v>
      </c>
      <c r="N13" s="620">
        <v>44455</v>
      </c>
      <c r="O13" s="684" t="s">
        <v>67</v>
      </c>
      <c r="P13" s="503">
        <f t="shared" si="2"/>
        <v>10</v>
      </c>
      <c r="Q13" s="503">
        <f t="shared" si="3"/>
        <v>9</v>
      </c>
      <c r="R13" s="504" t="str">
        <f t="shared" si="4"/>
        <v>Gastos_com_Pessoal</v>
      </c>
      <c r="S13" s="504" t="str">
        <f>IF(D13="","",IF(OR(D13=Plano!$A$1,D13=Plano!$B$1),"entrada","saída"))</f>
        <v>saída</v>
      </c>
      <c r="T13" s="511" t="s">
        <v>114</v>
      </c>
      <c r="U13" s="511" t="s">
        <v>114</v>
      </c>
      <c r="V13" s="541"/>
    </row>
    <row r="14" spans="1:22" ht="42.75" customHeight="1" x14ac:dyDescent="0.2">
      <c r="A14" s="619">
        <f>IF(B14="","",COUNT('Diário 5º PA'!$A$5:$A$2634)+COUNT('Diário 6º PA'!$A$5:$A$2246)+COUNT('Diário 7º PA'!$A$5:$A$2271)+ROW()-4)</f>
        <v>3960</v>
      </c>
      <c r="B14" s="620">
        <v>44470</v>
      </c>
      <c r="C14" s="621">
        <v>44440</v>
      </c>
      <c r="D14" s="548" t="s">
        <v>88</v>
      </c>
      <c r="E14" s="548" t="s">
        <v>183</v>
      </c>
      <c r="F14" s="622">
        <v>293.77999999999997</v>
      </c>
      <c r="G14" s="623" t="s">
        <v>536</v>
      </c>
      <c r="H14" s="548" t="s">
        <v>114</v>
      </c>
      <c r="I14" s="583" t="s">
        <v>998</v>
      </c>
      <c r="J14" s="548" t="s">
        <v>999</v>
      </c>
      <c r="K14" s="583" t="s">
        <v>560</v>
      </c>
      <c r="L14" s="583" t="s">
        <v>992</v>
      </c>
      <c r="M14" s="619" t="s">
        <v>5578</v>
      </c>
      <c r="N14" s="620">
        <v>44455</v>
      </c>
      <c r="O14" s="684" t="s">
        <v>67</v>
      </c>
      <c r="P14" s="503">
        <f t="shared" si="2"/>
        <v>10</v>
      </c>
      <c r="Q14" s="503">
        <f t="shared" si="3"/>
        <v>9</v>
      </c>
      <c r="R14" s="504" t="str">
        <f t="shared" si="4"/>
        <v>Gastos_com_Pessoal</v>
      </c>
      <c r="S14" s="504" t="str">
        <f>IF(D14="","",IF(OR(D14=Plano!$A$1,D14=Plano!$B$1),"entrada","saída"))</f>
        <v>saída</v>
      </c>
      <c r="T14" s="511" t="s">
        <v>114</v>
      </c>
      <c r="U14" s="511" t="s">
        <v>114</v>
      </c>
      <c r="V14" s="541"/>
    </row>
    <row r="15" spans="1:22" ht="41.25" customHeight="1" x14ac:dyDescent="0.2">
      <c r="A15" s="619">
        <f>IF(B15="","",COUNT('Diário 5º PA'!$A$5:$A$2634)+COUNT('Diário 6º PA'!$A$5:$A$2246)+COUNT('Diário 7º PA'!$A$5:$A$2271)+ROW()-4)</f>
        <v>3961</v>
      </c>
      <c r="B15" s="620">
        <v>44470</v>
      </c>
      <c r="C15" s="621">
        <v>44440</v>
      </c>
      <c r="D15" s="548" t="s">
        <v>88</v>
      </c>
      <c r="E15" s="548" t="s">
        <v>183</v>
      </c>
      <c r="F15" s="622">
        <v>425.11</v>
      </c>
      <c r="G15" s="623" t="s">
        <v>5579</v>
      </c>
      <c r="H15" s="548" t="s">
        <v>114</v>
      </c>
      <c r="I15" s="583" t="s">
        <v>537</v>
      </c>
      <c r="J15" s="548" t="s">
        <v>538</v>
      </c>
      <c r="K15" s="583" t="s">
        <v>560</v>
      </c>
      <c r="L15" s="583" t="s">
        <v>992</v>
      </c>
      <c r="M15" s="619" t="s">
        <v>5580</v>
      </c>
      <c r="N15" s="620">
        <v>44455</v>
      </c>
      <c r="O15" s="684" t="s">
        <v>67</v>
      </c>
      <c r="P15" s="503">
        <f t="shared" si="2"/>
        <v>10</v>
      </c>
      <c r="Q15" s="503">
        <f t="shared" si="3"/>
        <v>9</v>
      </c>
      <c r="R15" s="504" t="str">
        <f t="shared" si="4"/>
        <v>Gastos_com_Pessoal</v>
      </c>
      <c r="S15" s="504" t="str">
        <f>IF(D15="","",IF(OR(D15=Plano!$A$1,D15=Plano!$B$1),"entrada","saída"))</f>
        <v>saída</v>
      </c>
      <c r="T15" s="511" t="s">
        <v>114</v>
      </c>
      <c r="U15" s="511" t="s">
        <v>114</v>
      </c>
      <c r="V15" s="541"/>
    </row>
    <row r="16" spans="1:22" ht="43.5" customHeight="1" x14ac:dyDescent="0.2">
      <c r="A16" s="619">
        <f>IF(B16="","",COUNT('Diário 5º PA'!$A$5:$A$2634)+COUNT('Diário 6º PA'!$A$5:$A$2246)+COUNT('Diário 7º PA'!$A$5:$A$2271)+ROW()-4)</f>
        <v>3962</v>
      </c>
      <c r="B16" s="620">
        <v>44473</v>
      </c>
      <c r="C16" s="624">
        <v>44378</v>
      </c>
      <c r="D16" s="548" t="s">
        <v>99</v>
      </c>
      <c r="E16" s="548" t="s">
        <v>364</v>
      </c>
      <c r="F16" s="622">
        <v>8.34</v>
      </c>
      <c r="G16" s="623" t="s">
        <v>5585</v>
      </c>
      <c r="H16" s="548" t="s">
        <v>131</v>
      </c>
      <c r="I16" s="583" t="s">
        <v>949</v>
      </c>
      <c r="J16" s="548" t="s">
        <v>950</v>
      </c>
      <c r="K16" s="583" t="s">
        <v>951</v>
      </c>
      <c r="L16" s="583" t="s">
        <v>947</v>
      </c>
      <c r="M16" s="625" t="s">
        <v>114</v>
      </c>
      <c r="N16" s="620">
        <v>44473</v>
      </c>
      <c r="O16" s="684" t="s">
        <v>67</v>
      </c>
      <c r="P16" s="503">
        <f t="shared" si="2"/>
        <v>10</v>
      </c>
      <c r="Q16" s="503">
        <f t="shared" si="3"/>
        <v>7</v>
      </c>
      <c r="R16" s="504" t="str">
        <f t="shared" si="4"/>
        <v>Gastos_Gerais</v>
      </c>
      <c r="S16" s="504" t="str">
        <f>IF(D16="","",IF(OR(D16=Plano!$A$1,D16=Plano!$B$1),"entrada","saída"))</f>
        <v>saída</v>
      </c>
      <c r="T16" s="511" t="s">
        <v>114</v>
      </c>
      <c r="U16" s="511" t="s">
        <v>114</v>
      </c>
      <c r="V16" s="541"/>
    </row>
    <row r="17" spans="1:22" ht="136.5" customHeight="1" x14ac:dyDescent="0.2">
      <c r="A17" s="619">
        <f>IF(B17="","",COUNT('Diário 5º PA'!$A$5:$A$2634)+COUNT('Diário 6º PA'!$A$5:$A$2246)+COUNT('Diário 7º PA'!$A$5:$A$2271)+ROW()-4)</f>
        <v>3963</v>
      </c>
      <c r="B17" s="620">
        <v>44473</v>
      </c>
      <c r="C17" s="624">
        <v>44378</v>
      </c>
      <c r="D17" s="548" t="s">
        <v>99</v>
      </c>
      <c r="E17" s="548" t="s">
        <v>364</v>
      </c>
      <c r="F17" s="622">
        <v>2195.3000000000002</v>
      </c>
      <c r="G17" s="623" t="s">
        <v>5586</v>
      </c>
      <c r="H17" s="548" t="s">
        <v>131</v>
      </c>
      <c r="I17" s="583" t="s">
        <v>5587</v>
      </c>
      <c r="J17" s="548" t="s">
        <v>114</v>
      </c>
      <c r="K17" s="583" t="s">
        <v>4366</v>
      </c>
      <c r="L17" s="583" t="s">
        <v>5588</v>
      </c>
      <c r="M17" s="619" t="s">
        <v>114</v>
      </c>
      <c r="N17" s="620">
        <v>44473</v>
      </c>
      <c r="O17" s="684" t="s">
        <v>67</v>
      </c>
      <c r="P17" s="503">
        <f t="shared" si="2"/>
        <v>10</v>
      </c>
      <c r="Q17" s="503">
        <f t="shared" si="3"/>
        <v>7</v>
      </c>
      <c r="R17" s="504" t="str">
        <f t="shared" si="4"/>
        <v>Gastos_Gerais</v>
      </c>
      <c r="S17" s="504" t="str">
        <f>IF(D17="","",IF(OR(D17=Plano!$A$1,D17=Plano!$B$1),"entrada","saída"))</f>
        <v>saída</v>
      </c>
      <c r="T17" s="511" t="s">
        <v>994</v>
      </c>
      <c r="U17" s="505">
        <v>1699</v>
      </c>
      <c r="V17" s="541"/>
    </row>
    <row r="18" spans="1:22" ht="45.75" customHeight="1" x14ac:dyDescent="0.2">
      <c r="A18" s="619">
        <f>IF(B18="","",COUNT('Diário 5º PA'!$A$5:$A$2634)+COUNT('Diário 6º PA'!$A$5:$A$2246)+COUNT('Diário 7º PA'!$A$5:$A$2271)+ROW()-4)</f>
        <v>3964</v>
      </c>
      <c r="B18" s="620">
        <v>44473</v>
      </c>
      <c r="C18" s="624">
        <v>44378</v>
      </c>
      <c r="D18" s="548" t="s">
        <v>99</v>
      </c>
      <c r="E18" s="548" t="s">
        <v>364</v>
      </c>
      <c r="F18" s="622">
        <v>440</v>
      </c>
      <c r="G18" s="623" t="s">
        <v>5589</v>
      </c>
      <c r="H18" s="548" t="s">
        <v>131</v>
      </c>
      <c r="I18" s="583" t="s">
        <v>949</v>
      </c>
      <c r="J18" s="548" t="s">
        <v>950</v>
      </c>
      <c r="K18" s="583" t="s">
        <v>951</v>
      </c>
      <c r="L18" s="583" t="s">
        <v>947</v>
      </c>
      <c r="M18" s="625" t="s">
        <v>114</v>
      </c>
      <c r="N18" s="620">
        <v>44473</v>
      </c>
      <c r="O18" s="684" t="s">
        <v>67</v>
      </c>
      <c r="P18" s="503">
        <f t="shared" si="2"/>
        <v>10</v>
      </c>
      <c r="Q18" s="503">
        <f t="shared" si="3"/>
        <v>7</v>
      </c>
      <c r="R18" s="504" t="str">
        <f t="shared" si="4"/>
        <v>Gastos_Gerais</v>
      </c>
      <c r="S18" s="504" t="str">
        <f>IF(D18="","",IF(OR(D18=Plano!$A$1,D18=Plano!$B$1),"entrada","saída"))</f>
        <v>saída</v>
      </c>
      <c r="T18" s="511" t="s">
        <v>114</v>
      </c>
      <c r="U18" s="511" t="s">
        <v>114</v>
      </c>
      <c r="V18" s="541"/>
    </row>
    <row r="19" spans="1:22" ht="36.75" customHeight="1" x14ac:dyDescent="0.2">
      <c r="A19" s="619">
        <f>IF(B19="","",COUNT('Diário 5º PA'!$A$5:$A$2634)+COUNT('Diário 6º PA'!$A$5:$A$2246)+COUNT('Diário 7º PA'!$A$5:$A$2271)+ROW()-4)</f>
        <v>3965</v>
      </c>
      <c r="B19" s="620">
        <v>44473</v>
      </c>
      <c r="C19" s="624">
        <v>44378</v>
      </c>
      <c r="D19" s="548" t="s">
        <v>99</v>
      </c>
      <c r="E19" s="548" t="s">
        <v>364</v>
      </c>
      <c r="F19" s="622">
        <v>389.01</v>
      </c>
      <c r="G19" s="623" t="s">
        <v>5590</v>
      </c>
      <c r="H19" s="548" t="s">
        <v>131</v>
      </c>
      <c r="I19" s="583" t="s">
        <v>488</v>
      </c>
      <c r="J19" s="548" t="s">
        <v>114</v>
      </c>
      <c r="K19" s="583" t="s">
        <v>466</v>
      </c>
      <c r="L19" s="583" t="s">
        <v>489</v>
      </c>
      <c r="M19" s="625" t="s">
        <v>114</v>
      </c>
      <c r="N19" s="620">
        <v>44473</v>
      </c>
      <c r="O19" s="684" t="s">
        <v>67</v>
      </c>
      <c r="P19" s="503">
        <f t="shared" si="2"/>
        <v>10</v>
      </c>
      <c r="Q19" s="503">
        <f t="shared" si="3"/>
        <v>7</v>
      </c>
      <c r="R19" s="504" t="str">
        <f t="shared" si="4"/>
        <v>Gastos_Gerais</v>
      </c>
      <c r="S19" s="504" t="str">
        <f>IF(D19="","",IF(OR(D19=Plano!$A$1,D19=Plano!$B$1),"entrada","saída"))</f>
        <v>saída</v>
      </c>
      <c r="T19" s="511" t="s">
        <v>114</v>
      </c>
      <c r="U19" s="511" t="s">
        <v>114</v>
      </c>
      <c r="V19" s="541"/>
    </row>
    <row r="20" spans="1:22" ht="102" customHeight="1" x14ac:dyDescent="0.2">
      <c r="A20" s="619">
        <f>IF(B20="","",COUNT('Diário 5º PA'!$A$5:$A$2634)+COUNT('Diário 6º PA'!$A$5:$A$2246)+COUNT('Diário 7º PA'!$A$5:$A$2271)+ROW()-4)</f>
        <v>3966</v>
      </c>
      <c r="B20" s="620">
        <v>44473</v>
      </c>
      <c r="C20" s="624">
        <v>44440</v>
      </c>
      <c r="D20" s="548" t="s">
        <v>99</v>
      </c>
      <c r="E20" s="548" t="s">
        <v>312</v>
      </c>
      <c r="F20" s="622">
        <v>1006.06</v>
      </c>
      <c r="G20" s="623" t="s">
        <v>856</v>
      </c>
      <c r="H20" s="548" t="s">
        <v>132</v>
      </c>
      <c r="I20" s="583" t="s">
        <v>5591</v>
      </c>
      <c r="J20" s="548" t="s">
        <v>858</v>
      </c>
      <c r="K20" s="583" t="s">
        <v>560</v>
      </c>
      <c r="L20" s="583" t="s">
        <v>1428</v>
      </c>
      <c r="M20" s="619">
        <v>20767</v>
      </c>
      <c r="N20" s="620">
        <v>44448</v>
      </c>
      <c r="O20" s="684" t="s">
        <v>67</v>
      </c>
      <c r="P20" s="503">
        <f t="shared" si="2"/>
        <v>10</v>
      </c>
      <c r="Q20" s="503">
        <f t="shared" si="3"/>
        <v>9</v>
      </c>
      <c r="R20" s="504" t="str">
        <f t="shared" si="4"/>
        <v>Gastos_Gerais</v>
      </c>
      <c r="S20" s="504" t="str">
        <f>IF(D20="","",IF(OR(D20=Plano!$A$1,D20=Plano!$B$1),"entrada","saída"))</f>
        <v>saída</v>
      </c>
      <c r="T20" s="511" t="s">
        <v>1059</v>
      </c>
      <c r="U20" s="505">
        <v>2003</v>
      </c>
      <c r="V20" s="541"/>
    </row>
    <row r="21" spans="1:22" ht="231" customHeight="1" x14ac:dyDescent="0.2">
      <c r="A21" s="619">
        <f>IF(B21="","",COUNT('Diário 5º PA'!$A$5:$A$2634)+COUNT('Diário 6º PA'!$A$5:$A$2246)+COUNT('Diário 7º PA'!$A$5:$A$2271)+ROW()-4)</f>
        <v>3967</v>
      </c>
      <c r="B21" s="620">
        <v>44473</v>
      </c>
      <c r="C21" s="624">
        <v>44440</v>
      </c>
      <c r="D21" s="548" t="s">
        <v>99</v>
      </c>
      <c r="E21" s="548" t="s">
        <v>364</v>
      </c>
      <c r="F21" s="622">
        <v>200</v>
      </c>
      <c r="G21" s="623" t="s">
        <v>930</v>
      </c>
      <c r="H21" s="548" t="s">
        <v>125</v>
      </c>
      <c r="I21" s="583" t="s">
        <v>5592</v>
      </c>
      <c r="J21" s="548" t="s">
        <v>931</v>
      </c>
      <c r="K21" s="583" t="s">
        <v>991</v>
      </c>
      <c r="L21" s="583" t="s">
        <v>992</v>
      </c>
      <c r="M21" s="619">
        <v>26</v>
      </c>
      <c r="N21" s="620">
        <v>44470</v>
      </c>
      <c r="O21" s="684" t="s">
        <v>67</v>
      </c>
      <c r="P21" s="503">
        <f t="shared" si="2"/>
        <v>10</v>
      </c>
      <c r="Q21" s="503">
        <f t="shared" si="3"/>
        <v>9</v>
      </c>
      <c r="R21" s="504" t="str">
        <f t="shared" si="4"/>
        <v>Gastos_Gerais</v>
      </c>
      <c r="S21" s="504" t="str">
        <f>IF(D21="","",IF(OR(D21=Plano!$A$1,D21=Plano!$B$1),"entrada","saída"))</f>
        <v>saída</v>
      </c>
      <c r="T21" s="511" t="s">
        <v>994</v>
      </c>
      <c r="U21" s="505">
        <v>2065</v>
      </c>
      <c r="V21" s="541"/>
    </row>
    <row r="22" spans="1:22" ht="159.75" customHeight="1" x14ac:dyDescent="0.2">
      <c r="A22" s="619">
        <f>IF(B22="","",COUNT('Diário 5º PA'!$A$5:$A$2634)+COUNT('Diário 6º PA'!$A$5:$A$2246)+COUNT('Diário 7º PA'!$A$5:$A$2271)+ROW()-4)</f>
        <v>3968</v>
      </c>
      <c r="B22" s="620">
        <v>44473</v>
      </c>
      <c r="C22" s="624">
        <v>44409</v>
      </c>
      <c r="D22" s="548" t="s">
        <v>99</v>
      </c>
      <c r="E22" s="548" t="s">
        <v>358</v>
      </c>
      <c r="F22" s="622">
        <v>504</v>
      </c>
      <c r="G22" s="623" t="s">
        <v>837</v>
      </c>
      <c r="H22" s="548" t="s">
        <v>126</v>
      </c>
      <c r="I22" s="583" t="s">
        <v>5593</v>
      </c>
      <c r="J22" s="548" t="s">
        <v>838</v>
      </c>
      <c r="K22" s="583" t="s">
        <v>991</v>
      </c>
      <c r="L22" s="583" t="s">
        <v>1029</v>
      </c>
      <c r="M22" s="619">
        <v>1345</v>
      </c>
      <c r="N22" s="620">
        <v>44470</v>
      </c>
      <c r="O22" s="684" t="s">
        <v>67</v>
      </c>
      <c r="P22" s="503">
        <f t="shared" si="2"/>
        <v>10</v>
      </c>
      <c r="Q22" s="503">
        <f t="shared" si="3"/>
        <v>8</v>
      </c>
      <c r="R22" s="504" t="str">
        <f t="shared" si="4"/>
        <v>Gastos_Gerais</v>
      </c>
      <c r="S22" s="504" t="str">
        <f>IF(D22="","",IF(OR(D22=Plano!$A$1,D22=Plano!$B$1),"entrada","saída"))</f>
        <v>saída</v>
      </c>
      <c r="T22" s="511" t="s">
        <v>994</v>
      </c>
      <c r="U22" s="505">
        <v>1919</v>
      </c>
      <c r="V22" s="541"/>
    </row>
    <row r="23" spans="1:22" ht="61.5" customHeight="1" x14ac:dyDescent="0.2">
      <c r="A23" s="619">
        <f>IF(B23="","",COUNT('Diário 5º PA'!$A$5:$A$2634)+COUNT('Diário 6º PA'!$A$5:$A$2246)+COUNT('Diário 7º PA'!$A$5:$A$2271)+ROW()-4)</f>
        <v>3969</v>
      </c>
      <c r="B23" s="620">
        <v>44473</v>
      </c>
      <c r="C23" s="624">
        <v>44440</v>
      </c>
      <c r="D23" s="548" t="s">
        <v>99</v>
      </c>
      <c r="E23" s="548" t="s">
        <v>358</v>
      </c>
      <c r="F23" s="622">
        <v>1200</v>
      </c>
      <c r="G23" s="623" t="s">
        <v>5363</v>
      </c>
      <c r="H23" s="548" t="s">
        <v>122</v>
      </c>
      <c r="I23" s="583" t="s">
        <v>5597</v>
      </c>
      <c r="J23" s="548" t="s">
        <v>5364</v>
      </c>
      <c r="K23" s="583" t="s">
        <v>991</v>
      </c>
      <c r="L23" s="583" t="s">
        <v>992</v>
      </c>
      <c r="M23" s="619" t="s">
        <v>1148</v>
      </c>
      <c r="N23" s="620">
        <v>44473</v>
      </c>
      <c r="O23" s="684" t="s">
        <v>67</v>
      </c>
      <c r="P23" s="503">
        <f t="shared" si="2"/>
        <v>10</v>
      </c>
      <c r="Q23" s="503">
        <f t="shared" si="3"/>
        <v>9</v>
      </c>
      <c r="R23" s="504" t="str">
        <f t="shared" si="4"/>
        <v>Gastos_Gerais</v>
      </c>
      <c r="S23" s="504" t="str">
        <f>IF(D23="","",IF(OR(D23=Plano!$A$1,D23=Plano!$B$1),"entrada","saída"))</f>
        <v>saída</v>
      </c>
      <c r="T23" s="511" t="s">
        <v>994</v>
      </c>
      <c r="U23" s="505">
        <v>1902</v>
      </c>
      <c r="V23" s="541"/>
    </row>
    <row r="24" spans="1:22" ht="66" customHeight="1" x14ac:dyDescent="0.2">
      <c r="A24" s="619">
        <f>IF(B24="","",COUNT('Diário 5º PA'!$A$5:$A$2634)+COUNT('Diário 6º PA'!$A$5:$A$2246)+COUNT('Diário 7º PA'!$A$5:$A$2271)+ROW()-4)</f>
        <v>3970</v>
      </c>
      <c r="B24" s="620">
        <v>44473</v>
      </c>
      <c r="C24" s="621">
        <v>44470</v>
      </c>
      <c r="D24" s="548" t="s">
        <v>99</v>
      </c>
      <c r="E24" s="548" t="s">
        <v>272</v>
      </c>
      <c r="F24" s="622">
        <v>10.45</v>
      </c>
      <c r="G24" s="623" t="s">
        <v>5598</v>
      </c>
      <c r="H24" s="548" t="s">
        <v>125</v>
      </c>
      <c r="I24" s="583" t="s">
        <v>949</v>
      </c>
      <c r="J24" s="548" t="s">
        <v>950</v>
      </c>
      <c r="K24" s="583" t="s">
        <v>951</v>
      </c>
      <c r="L24" s="583" t="s">
        <v>947</v>
      </c>
      <c r="M24" s="625" t="s">
        <v>114</v>
      </c>
      <c r="N24" s="620">
        <v>44473</v>
      </c>
      <c r="O24" s="684" t="s">
        <v>67</v>
      </c>
      <c r="P24" s="503">
        <f t="shared" si="2"/>
        <v>10</v>
      </c>
      <c r="Q24" s="503">
        <f t="shared" si="3"/>
        <v>10</v>
      </c>
      <c r="R24" s="504" t="str">
        <f t="shared" si="4"/>
        <v>Gastos_Gerais</v>
      </c>
      <c r="S24" s="504" t="str">
        <f>IF(D24="","",IF(OR(D24=Plano!$A$1,D24=Plano!$B$1),"entrada","saída"))</f>
        <v>saída</v>
      </c>
      <c r="T24" s="511" t="s">
        <v>114</v>
      </c>
      <c r="U24" s="511" t="s">
        <v>114</v>
      </c>
      <c r="V24" s="541"/>
    </row>
    <row r="25" spans="1:22" ht="60" customHeight="1" x14ac:dyDescent="0.2">
      <c r="A25" s="619">
        <f>IF(B25="","",COUNT('Diário 5º PA'!$A$5:$A$2634)+COUNT('Diário 6º PA'!$A$5:$A$2246)+COUNT('Diário 7º PA'!$A$5:$A$2271)+ROW()-4)</f>
        <v>3971</v>
      </c>
      <c r="B25" s="620">
        <v>44473</v>
      </c>
      <c r="C25" s="621">
        <v>44470</v>
      </c>
      <c r="D25" s="548" t="s">
        <v>99</v>
      </c>
      <c r="E25" s="548" t="s">
        <v>272</v>
      </c>
      <c r="F25" s="622">
        <v>10.45</v>
      </c>
      <c r="G25" s="623" t="s">
        <v>5599</v>
      </c>
      <c r="H25" s="548" t="s">
        <v>126</v>
      </c>
      <c r="I25" s="583" t="s">
        <v>949</v>
      </c>
      <c r="J25" s="548" t="s">
        <v>950</v>
      </c>
      <c r="K25" s="583" t="s">
        <v>951</v>
      </c>
      <c r="L25" s="583" t="s">
        <v>947</v>
      </c>
      <c r="M25" s="625" t="s">
        <v>114</v>
      </c>
      <c r="N25" s="620">
        <v>44473</v>
      </c>
      <c r="O25" s="684" t="s">
        <v>67</v>
      </c>
      <c r="P25" s="503">
        <f t="shared" si="2"/>
        <v>10</v>
      </c>
      <c r="Q25" s="503">
        <f t="shared" si="3"/>
        <v>10</v>
      </c>
      <c r="R25" s="504" t="str">
        <f t="shared" si="4"/>
        <v>Gastos_Gerais</v>
      </c>
      <c r="S25" s="504" t="str">
        <f>IF(D25="","",IF(OR(D25=Plano!$A$1,D25=Plano!$B$1),"entrada","saída"))</f>
        <v>saída</v>
      </c>
      <c r="T25" s="511" t="s">
        <v>114</v>
      </c>
      <c r="U25" s="511" t="s">
        <v>114</v>
      </c>
      <c r="V25" s="541"/>
    </row>
    <row r="26" spans="1:22" s="537" customFormat="1" ht="60" customHeight="1" x14ac:dyDescent="0.2">
      <c r="A26" s="619">
        <f>IF(B26="","",COUNT('Diário 5º PA'!$A$5:$A$2634)+COUNT('Diário 6º PA'!$A$5:$A$2246)+COUNT('Diário 7º PA'!$A$5:$A$2271)+ROW()-4)</f>
        <v>3972</v>
      </c>
      <c r="B26" s="620">
        <v>44473</v>
      </c>
      <c r="C26" s="621">
        <v>44409</v>
      </c>
      <c r="D26" s="548" t="s">
        <v>104</v>
      </c>
      <c r="E26" s="548" t="s">
        <v>104</v>
      </c>
      <c r="F26" s="622">
        <v>4.3899999999999997</v>
      </c>
      <c r="G26" s="623" t="s">
        <v>6757</v>
      </c>
      <c r="H26" s="548" t="s">
        <v>104</v>
      </c>
      <c r="I26" s="583" t="s">
        <v>949</v>
      </c>
      <c r="J26" s="548" t="s">
        <v>950</v>
      </c>
      <c r="K26" s="583" t="s">
        <v>951</v>
      </c>
      <c r="L26" s="583" t="s">
        <v>947</v>
      </c>
      <c r="M26" s="625" t="s">
        <v>114</v>
      </c>
      <c r="N26" s="620">
        <v>44473</v>
      </c>
      <c r="O26" s="684" t="s">
        <v>5370</v>
      </c>
      <c r="P26" s="503">
        <f t="shared" si="2"/>
        <v>10</v>
      </c>
      <c r="Q26" s="503">
        <f t="shared" si="3"/>
        <v>8</v>
      </c>
      <c r="R26" s="504" t="str">
        <f t="shared" si="4"/>
        <v>Gastos_custeados_por_captação</v>
      </c>
      <c r="S26" s="504" t="str">
        <f>IF(D26="","",IF(OR(D26=Plano!$A$1,D26=Plano!$B$1),"entrada","saída"))</f>
        <v>saída</v>
      </c>
      <c r="T26" s="511" t="s">
        <v>114</v>
      </c>
      <c r="U26" s="511" t="s">
        <v>114</v>
      </c>
      <c r="V26" s="541"/>
    </row>
    <row r="27" spans="1:22" s="537" customFormat="1" ht="60" customHeight="1" x14ac:dyDescent="0.2">
      <c r="A27" s="619">
        <f>IF(B27="","",COUNT('Diário 5º PA'!$A$5:$A$2634)+COUNT('Diário 6º PA'!$A$5:$A$2246)+COUNT('Diário 7º PA'!$A$5:$A$2271)+ROW()-4)</f>
        <v>3973</v>
      </c>
      <c r="B27" s="620">
        <v>44473</v>
      </c>
      <c r="C27" s="621">
        <v>44440</v>
      </c>
      <c r="D27" s="548" t="s">
        <v>104</v>
      </c>
      <c r="E27" s="548" t="s">
        <v>104</v>
      </c>
      <c r="F27" s="622">
        <v>19404</v>
      </c>
      <c r="G27" s="623" t="s">
        <v>6758</v>
      </c>
      <c r="H27" s="548" t="s">
        <v>104</v>
      </c>
      <c r="I27" s="583" t="s">
        <v>1140</v>
      </c>
      <c r="J27" s="548" t="s">
        <v>929</v>
      </c>
      <c r="K27" s="583" t="s">
        <v>1015</v>
      </c>
      <c r="L27" s="583" t="s">
        <v>992</v>
      </c>
      <c r="M27" s="625">
        <v>190</v>
      </c>
      <c r="N27" s="620">
        <v>44473</v>
      </c>
      <c r="O27" s="684" t="s">
        <v>5370</v>
      </c>
      <c r="P27" s="503">
        <f t="shared" si="2"/>
        <v>10</v>
      </c>
      <c r="Q27" s="503">
        <f t="shared" si="3"/>
        <v>9</v>
      </c>
      <c r="R27" s="504" t="str">
        <f t="shared" si="4"/>
        <v>Gastos_custeados_por_captação</v>
      </c>
      <c r="S27" s="504" t="str">
        <f>IF(D27="","",IF(OR(D27=Plano!$A$1,D27=Plano!$B$1),"entrada","saída"))</f>
        <v>saída</v>
      </c>
      <c r="T27" s="511" t="s">
        <v>994</v>
      </c>
      <c r="U27" s="511">
        <v>1843</v>
      </c>
      <c r="V27" s="541"/>
    </row>
    <row r="28" spans="1:22" s="537" customFormat="1" ht="126.75" customHeight="1" x14ac:dyDescent="0.2">
      <c r="A28" s="619">
        <f>IF(B28="","",COUNT('Diário 5º PA'!$A$5:$A$2634)+COUNT('Diário 6º PA'!$A$5:$A$2246)+COUNT('Diário 7º PA'!$A$5:$A$2271)+ROW()-4)</f>
        <v>3974</v>
      </c>
      <c r="B28" s="620">
        <v>44473</v>
      </c>
      <c r="C28" s="624">
        <v>44409</v>
      </c>
      <c r="D28" s="548" t="s">
        <v>104</v>
      </c>
      <c r="E28" s="548" t="s">
        <v>104</v>
      </c>
      <c r="F28" s="622">
        <v>3766.45</v>
      </c>
      <c r="G28" s="623" t="s">
        <v>5509</v>
      </c>
      <c r="H28" s="548" t="s">
        <v>104</v>
      </c>
      <c r="I28" s="583" t="s">
        <v>3619</v>
      </c>
      <c r="J28" s="548" t="s">
        <v>3620</v>
      </c>
      <c r="K28" s="583" t="s">
        <v>1015</v>
      </c>
      <c r="L28" s="583" t="s">
        <v>992</v>
      </c>
      <c r="M28" s="619" t="s">
        <v>1284</v>
      </c>
      <c r="N28" s="620">
        <v>44473</v>
      </c>
      <c r="O28" s="684" t="s">
        <v>5370</v>
      </c>
      <c r="P28" s="503">
        <f t="shared" si="2"/>
        <v>10</v>
      </c>
      <c r="Q28" s="503">
        <f t="shared" si="3"/>
        <v>8</v>
      </c>
      <c r="R28" s="504" t="str">
        <f t="shared" si="4"/>
        <v>Gastos_custeados_por_captação</v>
      </c>
      <c r="S28" s="504" t="str">
        <f>IF(D28="","",IF(OR(D28=Plano!$A$1,D28=Plano!$B$1),"entrada","saída"))</f>
        <v>saída</v>
      </c>
      <c r="T28" s="511" t="s">
        <v>994</v>
      </c>
      <c r="U28" s="511">
        <v>1836</v>
      </c>
      <c r="V28" s="541"/>
    </row>
    <row r="29" spans="1:22" ht="70.5" customHeight="1" x14ac:dyDescent="0.2">
      <c r="A29" s="619">
        <f>IF(B29="","",COUNT('Diário 5º PA'!$A$5:$A$2634)+COUNT('Diário 6º PA'!$A$5:$A$2246)+COUNT('Diário 7º PA'!$A$5:$A$2271)+ROW()-4)</f>
        <v>3975</v>
      </c>
      <c r="B29" s="620">
        <v>44474</v>
      </c>
      <c r="C29" s="621">
        <v>44440</v>
      </c>
      <c r="D29" s="548" t="s">
        <v>99</v>
      </c>
      <c r="E29" s="548" t="s">
        <v>230</v>
      </c>
      <c r="F29" s="622">
        <v>-1741.71</v>
      </c>
      <c r="G29" s="623" t="s">
        <v>5600</v>
      </c>
      <c r="H29" s="548" t="s">
        <v>115</v>
      </c>
      <c r="I29" s="583" t="s">
        <v>983</v>
      </c>
      <c r="J29" s="548" t="s">
        <v>850</v>
      </c>
      <c r="K29" s="583" t="s">
        <v>946</v>
      </c>
      <c r="L29" s="583" t="s">
        <v>947</v>
      </c>
      <c r="M29" s="619" t="s">
        <v>114</v>
      </c>
      <c r="N29" s="620">
        <v>44474</v>
      </c>
      <c r="O29" s="684" t="s">
        <v>67</v>
      </c>
      <c r="P29" s="503">
        <f t="shared" si="2"/>
        <v>10</v>
      </c>
      <c r="Q29" s="503">
        <f t="shared" si="3"/>
        <v>9</v>
      </c>
      <c r="R29" s="504" t="str">
        <f t="shared" si="4"/>
        <v>Gastos_Gerais</v>
      </c>
      <c r="S29" s="504" t="str">
        <f>IF(D29="","",IF(OR(D29=Plano!$A$1,D29=Plano!$B$1),"entrada","saída"))</f>
        <v>saída</v>
      </c>
      <c r="T29" s="505" t="s">
        <v>114</v>
      </c>
      <c r="U29" s="505" t="s">
        <v>114</v>
      </c>
      <c r="V29" s="541"/>
    </row>
    <row r="30" spans="1:22" ht="90.75" customHeight="1" x14ac:dyDescent="0.2">
      <c r="A30" s="619">
        <f>IF(B30="","",COUNT('Diário 5º PA'!$A$5:$A$2634)+COUNT('Diário 6º PA'!$A$5:$A$2246)+COUNT('Diário 7º PA'!$A$5:$A$2271)+ROW()-4)</f>
        <v>3976</v>
      </c>
      <c r="B30" s="620">
        <v>44474</v>
      </c>
      <c r="C30" s="621">
        <v>44440</v>
      </c>
      <c r="D30" s="548" t="s">
        <v>99</v>
      </c>
      <c r="E30" s="548" t="s">
        <v>262</v>
      </c>
      <c r="F30" s="622">
        <v>-1980.75</v>
      </c>
      <c r="G30" s="623" t="s">
        <v>5601</v>
      </c>
      <c r="H30" s="548" t="s">
        <v>115</v>
      </c>
      <c r="I30" s="583" t="s">
        <v>983</v>
      </c>
      <c r="J30" s="548" t="s">
        <v>850</v>
      </c>
      <c r="K30" s="583" t="s">
        <v>946</v>
      </c>
      <c r="L30" s="583" t="s">
        <v>947</v>
      </c>
      <c r="M30" s="619" t="s">
        <v>114</v>
      </c>
      <c r="N30" s="620">
        <v>44474</v>
      </c>
      <c r="O30" s="684" t="s">
        <v>67</v>
      </c>
      <c r="P30" s="503">
        <f t="shared" si="2"/>
        <v>10</v>
      </c>
      <c r="Q30" s="503">
        <f t="shared" si="3"/>
        <v>9</v>
      </c>
      <c r="R30" s="504" t="str">
        <f t="shared" si="4"/>
        <v>Gastos_Gerais</v>
      </c>
      <c r="S30" s="504" t="str">
        <f>IF(D30="","",IF(OR(D30=Plano!$A$1,D30=Plano!$B$1),"entrada","saída"))</f>
        <v>saída</v>
      </c>
      <c r="T30" s="505" t="s">
        <v>114</v>
      </c>
      <c r="U30" s="505" t="s">
        <v>114</v>
      </c>
      <c r="V30" s="541"/>
    </row>
    <row r="31" spans="1:22" ht="68.25" customHeight="1" x14ac:dyDescent="0.2">
      <c r="A31" s="619">
        <f>IF(B31="","",COUNT('Diário 5º PA'!$A$5:$A$2634)+COUNT('Diário 6º PA'!$A$5:$A$2246)+COUNT('Diário 7º PA'!$A$5:$A$2271)+ROW()-4)</f>
        <v>3977</v>
      </c>
      <c r="B31" s="620">
        <v>44474</v>
      </c>
      <c r="C31" s="621">
        <v>44440</v>
      </c>
      <c r="D31" s="548" t="s">
        <v>99</v>
      </c>
      <c r="E31" s="548" t="s">
        <v>228</v>
      </c>
      <c r="F31" s="622">
        <v>-2244.85</v>
      </c>
      <c r="G31" s="623" t="s">
        <v>5602</v>
      </c>
      <c r="H31" s="548" t="s">
        <v>115</v>
      </c>
      <c r="I31" s="583" t="s">
        <v>983</v>
      </c>
      <c r="J31" s="548" t="s">
        <v>850</v>
      </c>
      <c r="K31" s="583" t="s">
        <v>946</v>
      </c>
      <c r="L31" s="583" t="s">
        <v>947</v>
      </c>
      <c r="M31" s="619" t="s">
        <v>114</v>
      </c>
      <c r="N31" s="620">
        <v>44474</v>
      </c>
      <c r="O31" s="684" t="s">
        <v>67</v>
      </c>
      <c r="P31" s="503">
        <f t="shared" si="2"/>
        <v>10</v>
      </c>
      <c r="Q31" s="503">
        <f t="shared" si="3"/>
        <v>9</v>
      </c>
      <c r="R31" s="504" t="str">
        <f t="shared" si="4"/>
        <v>Gastos_Gerais</v>
      </c>
      <c r="S31" s="504" t="str">
        <f>IF(D31="","",IF(OR(D31=Plano!$A$1,D31=Plano!$B$1),"entrada","saída"))</f>
        <v>saída</v>
      </c>
      <c r="T31" s="505" t="s">
        <v>114</v>
      </c>
      <c r="U31" s="505" t="s">
        <v>114</v>
      </c>
      <c r="V31" s="541"/>
    </row>
    <row r="32" spans="1:22" ht="189" customHeight="1" x14ac:dyDescent="0.2">
      <c r="A32" s="619">
        <f>IF(B32="","",COUNT('Diário 5º PA'!$A$5:$A$2634)+COUNT('Diário 6º PA'!$A$5:$A$2246)+COUNT('Diário 7º PA'!$A$5:$A$2271)+ROW()-4)</f>
        <v>3978</v>
      </c>
      <c r="B32" s="620">
        <v>44474</v>
      </c>
      <c r="C32" s="624">
        <v>44440</v>
      </c>
      <c r="D32" s="548" t="s">
        <v>99</v>
      </c>
      <c r="E32" s="548" t="s">
        <v>358</v>
      </c>
      <c r="F32" s="622">
        <v>2400</v>
      </c>
      <c r="G32" s="623" t="s">
        <v>765</v>
      </c>
      <c r="H32" s="548" t="s">
        <v>127</v>
      </c>
      <c r="I32" s="583" t="s">
        <v>5603</v>
      </c>
      <c r="J32" s="548" t="s">
        <v>766</v>
      </c>
      <c r="K32" s="583" t="s">
        <v>1015</v>
      </c>
      <c r="L32" s="583" t="s">
        <v>992</v>
      </c>
      <c r="M32" s="619">
        <v>12</v>
      </c>
      <c r="N32" s="620">
        <v>44473</v>
      </c>
      <c r="O32" s="684" t="s">
        <v>67</v>
      </c>
      <c r="P32" s="503">
        <f t="shared" si="2"/>
        <v>10</v>
      </c>
      <c r="Q32" s="503">
        <f t="shared" si="3"/>
        <v>9</v>
      </c>
      <c r="R32" s="504" t="str">
        <f t="shared" si="4"/>
        <v>Gastos_Gerais</v>
      </c>
      <c r="S32" s="504" t="str">
        <f>IF(D32="","",IF(OR(D32=Plano!$A$1,D32=Plano!$B$1),"entrada","saída"))</f>
        <v>saída</v>
      </c>
      <c r="T32" s="511" t="s">
        <v>994</v>
      </c>
      <c r="U32" s="505">
        <v>1922</v>
      </c>
      <c r="V32" s="541"/>
    </row>
    <row r="33" spans="1:22" ht="141" customHeight="1" x14ac:dyDescent="0.2">
      <c r="A33" s="619">
        <f>IF(B33="","",COUNT('Diário 5º PA'!$A$5:$A$2634)+COUNT('Diário 6º PA'!$A$5:$A$2246)+COUNT('Diário 7º PA'!$A$5:$A$2271)+ROW()-4)</f>
        <v>3979</v>
      </c>
      <c r="B33" s="620">
        <v>44474</v>
      </c>
      <c r="C33" s="621">
        <v>44440</v>
      </c>
      <c r="D33" s="548" t="s">
        <v>99</v>
      </c>
      <c r="E33" s="548" t="s">
        <v>230</v>
      </c>
      <c r="F33" s="622">
        <v>6315.92</v>
      </c>
      <c r="G33" s="623" t="s">
        <v>484</v>
      </c>
      <c r="H33" s="548" t="s">
        <v>115</v>
      </c>
      <c r="I33" s="583" t="s">
        <v>485</v>
      </c>
      <c r="J33" s="548" t="s">
        <v>486</v>
      </c>
      <c r="K33" s="583" t="s">
        <v>1015</v>
      </c>
      <c r="L33" s="583" t="s">
        <v>992</v>
      </c>
      <c r="M33" s="619" t="s">
        <v>5604</v>
      </c>
      <c r="N33" s="620">
        <v>44473</v>
      </c>
      <c r="O33" s="684" t="s">
        <v>67</v>
      </c>
      <c r="P33" s="503">
        <f t="shared" si="2"/>
        <v>10</v>
      </c>
      <c r="Q33" s="503">
        <f t="shared" si="3"/>
        <v>9</v>
      </c>
      <c r="R33" s="504" t="str">
        <f t="shared" si="4"/>
        <v>Gastos_Gerais</v>
      </c>
      <c r="S33" s="504" t="str">
        <f>IF(D33="","",IF(OR(D33=Plano!$A$1,D33=Plano!$B$1),"entrada","saída"))</f>
        <v>saída</v>
      </c>
      <c r="T33" s="511" t="s">
        <v>1082</v>
      </c>
      <c r="U33" s="505">
        <v>1115</v>
      </c>
      <c r="V33" s="541"/>
    </row>
    <row r="34" spans="1:22" ht="129.75" customHeight="1" x14ac:dyDescent="0.2">
      <c r="A34" s="619">
        <f>IF(B34="","",COUNT('Diário 5º PA'!$A$5:$A$2634)+COUNT('Diário 6º PA'!$A$5:$A$2246)+COUNT('Diário 7º PA'!$A$5:$A$2271)+ROW()-4)</f>
        <v>3980</v>
      </c>
      <c r="B34" s="620">
        <v>44474</v>
      </c>
      <c r="C34" s="624">
        <v>44440</v>
      </c>
      <c r="D34" s="548" t="s">
        <v>99</v>
      </c>
      <c r="E34" s="548" t="s">
        <v>350</v>
      </c>
      <c r="F34" s="622">
        <v>4000</v>
      </c>
      <c r="G34" s="623" t="s">
        <v>854</v>
      </c>
      <c r="H34" s="548" t="s">
        <v>132</v>
      </c>
      <c r="I34" s="583" t="s">
        <v>5606</v>
      </c>
      <c r="J34" s="548" t="s">
        <v>855</v>
      </c>
      <c r="K34" s="583" t="s">
        <v>1015</v>
      </c>
      <c r="L34" s="583" t="s">
        <v>1136</v>
      </c>
      <c r="M34" s="619" t="s">
        <v>114</v>
      </c>
      <c r="N34" s="620">
        <v>44473</v>
      </c>
      <c r="O34" s="684" t="s">
        <v>67</v>
      </c>
      <c r="P34" s="503">
        <f t="shared" si="2"/>
        <v>10</v>
      </c>
      <c r="Q34" s="503">
        <f t="shared" si="3"/>
        <v>9</v>
      </c>
      <c r="R34" s="504" t="str">
        <f t="shared" si="4"/>
        <v>Gastos_Gerais</v>
      </c>
      <c r="S34" s="504" t="str">
        <f>IF(D34="","",IF(OR(D34=Plano!$A$1,D34=Plano!$B$1),"entrada","saída"))</f>
        <v>saída</v>
      </c>
      <c r="T34" s="505" t="s">
        <v>994</v>
      </c>
      <c r="U34" s="505">
        <v>1968</v>
      </c>
      <c r="V34" s="541"/>
    </row>
    <row r="35" spans="1:22" ht="121.5" customHeight="1" x14ac:dyDescent="0.2">
      <c r="A35" s="619">
        <f>IF(B35="","",COUNT('Diário 5º PA'!$A$5:$A$2634)+COUNT('Diário 6º PA'!$A$5:$A$2246)+COUNT('Diário 7º PA'!$A$5:$A$2271)+ROW()-4)</f>
        <v>3981</v>
      </c>
      <c r="B35" s="620">
        <v>44474</v>
      </c>
      <c r="C35" s="621">
        <v>44440</v>
      </c>
      <c r="D35" s="548" t="s">
        <v>99</v>
      </c>
      <c r="E35" s="548" t="s">
        <v>262</v>
      </c>
      <c r="F35" s="622">
        <v>7345.5</v>
      </c>
      <c r="G35" s="623" t="s">
        <v>621</v>
      </c>
      <c r="H35" s="548" t="s">
        <v>115</v>
      </c>
      <c r="I35" s="583" t="s">
        <v>1078</v>
      </c>
      <c r="J35" s="548" t="s">
        <v>623</v>
      </c>
      <c r="K35" s="583" t="s">
        <v>991</v>
      </c>
      <c r="L35" s="583" t="s">
        <v>992</v>
      </c>
      <c r="M35" s="619" t="s">
        <v>4505</v>
      </c>
      <c r="N35" s="620">
        <v>44473</v>
      </c>
      <c r="O35" s="684" t="s">
        <v>67</v>
      </c>
      <c r="P35" s="503">
        <f t="shared" si="2"/>
        <v>10</v>
      </c>
      <c r="Q35" s="503">
        <f t="shared" si="3"/>
        <v>9</v>
      </c>
      <c r="R35" s="504" t="str">
        <f t="shared" si="4"/>
        <v>Gastos_Gerais</v>
      </c>
      <c r="S35" s="504" t="str">
        <f>IF(D35="","",IF(OR(D35=Plano!$A$1,D35=Plano!$B$1),"entrada","saída"))</f>
        <v>saída</v>
      </c>
      <c r="T35" s="505" t="s">
        <v>1059</v>
      </c>
      <c r="U35" s="505">
        <v>1134</v>
      </c>
      <c r="V35" s="541"/>
    </row>
    <row r="36" spans="1:22" ht="99.75" customHeight="1" x14ac:dyDescent="0.2">
      <c r="A36" s="619">
        <f>IF(B36="","",COUNT('Diário 5º PA'!$A$5:$A$2634)+COUNT('Diário 6º PA'!$A$5:$A$2246)+COUNT('Diário 7º PA'!$A$5:$A$2271)+ROW()-4)</f>
        <v>3982</v>
      </c>
      <c r="B36" s="620">
        <v>44474</v>
      </c>
      <c r="C36" s="621">
        <v>44440</v>
      </c>
      <c r="D36" s="548" t="s">
        <v>99</v>
      </c>
      <c r="E36" s="548" t="s">
        <v>228</v>
      </c>
      <c r="F36" s="622">
        <v>7977.25</v>
      </c>
      <c r="G36" s="623" t="s">
        <v>492</v>
      </c>
      <c r="H36" s="548" t="s">
        <v>115</v>
      </c>
      <c r="I36" s="583" t="s">
        <v>493</v>
      </c>
      <c r="J36" s="548" t="s">
        <v>494</v>
      </c>
      <c r="K36" s="583" t="s">
        <v>991</v>
      </c>
      <c r="L36" s="583" t="s">
        <v>992</v>
      </c>
      <c r="M36" s="619">
        <v>1262</v>
      </c>
      <c r="N36" s="620">
        <v>44453</v>
      </c>
      <c r="O36" s="684" t="s">
        <v>67</v>
      </c>
      <c r="P36" s="503">
        <f t="shared" si="2"/>
        <v>10</v>
      </c>
      <c r="Q36" s="503">
        <f t="shared" si="3"/>
        <v>9</v>
      </c>
      <c r="R36" s="504" t="str">
        <f t="shared" si="4"/>
        <v>Gastos_Gerais</v>
      </c>
      <c r="S36" s="504" t="str">
        <f>IF(D36="","",IF(OR(D36=Plano!$A$1,D36=Plano!$B$1),"entrada","saída"))</f>
        <v>saída</v>
      </c>
      <c r="T36" s="505" t="s">
        <v>1059</v>
      </c>
      <c r="U36" s="505">
        <v>1114</v>
      </c>
      <c r="V36" s="541"/>
    </row>
    <row r="37" spans="1:22" ht="70.5" customHeight="1" x14ac:dyDescent="0.2">
      <c r="A37" s="619">
        <f>IF(B37="","",COUNT('Diário 5º PA'!$A$5:$A$2634)+COUNT('Diário 6º PA'!$A$5:$A$2246)+COUNT('Diário 7º PA'!$A$5:$A$2271)+ROW()-4)</f>
        <v>3983</v>
      </c>
      <c r="B37" s="620">
        <v>44474</v>
      </c>
      <c r="C37" s="624">
        <v>44409</v>
      </c>
      <c r="D37" s="548" t="s">
        <v>99</v>
      </c>
      <c r="E37" s="548" t="s">
        <v>364</v>
      </c>
      <c r="F37" s="622">
        <v>1400</v>
      </c>
      <c r="G37" s="623" t="s">
        <v>874</v>
      </c>
      <c r="H37" s="548" t="s">
        <v>131</v>
      </c>
      <c r="I37" s="583" t="s">
        <v>5609</v>
      </c>
      <c r="J37" s="548" t="s">
        <v>875</v>
      </c>
      <c r="K37" s="583" t="s">
        <v>560</v>
      </c>
      <c r="L37" s="583" t="s">
        <v>992</v>
      </c>
      <c r="M37" s="626">
        <v>29896861</v>
      </c>
      <c r="N37" s="620">
        <v>44460</v>
      </c>
      <c r="O37" s="684" t="s">
        <v>67</v>
      </c>
      <c r="P37" s="503">
        <f t="shared" si="2"/>
        <v>10</v>
      </c>
      <c r="Q37" s="503">
        <f t="shared" si="3"/>
        <v>8</v>
      </c>
      <c r="R37" s="504" t="str">
        <f t="shared" si="4"/>
        <v>Gastos_Gerais</v>
      </c>
      <c r="S37" s="504" t="str">
        <f>IF(D37="","",IF(OR(D37=Plano!$A$1,D37=Plano!$B$1),"entrada","saída"))</f>
        <v>saída</v>
      </c>
      <c r="T37" s="505" t="s">
        <v>994</v>
      </c>
      <c r="U37" s="505">
        <v>1881</v>
      </c>
      <c r="V37" s="541"/>
    </row>
    <row r="38" spans="1:22" ht="78.75" customHeight="1" x14ac:dyDescent="0.2">
      <c r="A38" s="619">
        <f>IF(B38="","",COUNT('Diário 5º PA'!$A$5:$A$2634)+COUNT('Diário 6º PA'!$A$5:$A$2246)+COUNT('Diário 7º PA'!$A$5:$A$2271)+ROW()-4)</f>
        <v>3984</v>
      </c>
      <c r="B38" s="620">
        <v>44474</v>
      </c>
      <c r="C38" s="624">
        <v>44440</v>
      </c>
      <c r="D38" s="548" t="s">
        <v>99</v>
      </c>
      <c r="E38" s="548" t="s">
        <v>382</v>
      </c>
      <c r="F38" s="622">
        <v>844.2</v>
      </c>
      <c r="G38" s="623" t="s">
        <v>867</v>
      </c>
      <c r="H38" s="548" t="s">
        <v>132</v>
      </c>
      <c r="I38" s="583" t="s">
        <v>2096</v>
      </c>
      <c r="J38" s="548" t="s">
        <v>868</v>
      </c>
      <c r="K38" s="583" t="s">
        <v>560</v>
      </c>
      <c r="L38" s="583" t="s">
        <v>992</v>
      </c>
      <c r="M38" s="619" t="s">
        <v>5610</v>
      </c>
      <c r="N38" s="620">
        <v>44459</v>
      </c>
      <c r="O38" s="684" t="s">
        <v>67</v>
      </c>
      <c r="P38" s="503">
        <f t="shared" si="2"/>
        <v>10</v>
      </c>
      <c r="Q38" s="503">
        <f t="shared" si="3"/>
        <v>9</v>
      </c>
      <c r="R38" s="504" t="str">
        <f t="shared" si="4"/>
        <v>Gastos_Gerais</v>
      </c>
      <c r="S38" s="504" t="str">
        <f>IF(D38="","",IF(OR(D38=Plano!$A$1,D38=Plano!$B$1),"entrada","saída"))</f>
        <v>saída</v>
      </c>
      <c r="T38" s="505" t="s">
        <v>994</v>
      </c>
      <c r="U38" s="505">
        <v>2005</v>
      </c>
      <c r="V38" s="541"/>
    </row>
    <row r="39" spans="1:22" ht="52.5" customHeight="1" x14ac:dyDescent="0.2">
      <c r="A39" s="619">
        <f>IF(B39="","",COUNT('Diário 5º PA'!$A$5:$A$2634)+COUNT('Diário 6º PA'!$A$5:$A$2246)+COUNT('Diário 7º PA'!$A$5:$A$2271)+ROW()-4)</f>
        <v>3985</v>
      </c>
      <c r="B39" s="620">
        <v>44474</v>
      </c>
      <c r="C39" s="624">
        <v>44440</v>
      </c>
      <c r="D39" s="548" t="s">
        <v>99</v>
      </c>
      <c r="E39" s="548" t="s">
        <v>330</v>
      </c>
      <c r="F39" s="622">
        <v>19905.97</v>
      </c>
      <c r="G39" s="623" t="s">
        <v>557</v>
      </c>
      <c r="H39" s="548" t="s">
        <v>129</v>
      </c>
      <c r="I39" s="583" t="s">
        <v>558</v>
      </c>
      <c r="J39" s="548" t="s">
        <v>559</v>
      </c>
      <c r="K39" s="583" t="s">
        <v>560</v>
      </c>
      <c r="L39" s="583" t="s">
        <v>114</v>
      </c>
      <c r="M39" s="619" t="s">
        <v>114</v>
      </c>
      <c r="N39" s="620">
        <v>44474</v>
      </c>
      <c r="O39" s="684" t="s">
        <v>67</v>
      </c>
      <c r="P39" s="503">
        <f t="shared" si="2"/>
        <v>10</v>
      </c>
      <c r="Q39" s="503">
        <f t="shared" si="3"/>
        <v>9</v>
      </c>
      <c r="R39" s="504" t="str">
        <f t="shared" si="4"/>
        <v>Gastos_Gerais</v>
      </c>
      <c r="S39" s="504" t="str">
        <f>IF(D39="","",IF(OR(D39=Plano!$A$1,D39=Plano!$B$1),"entrada","saída"))</f>
        <v>saída</v>
      </c>
      <c r="T39" s="505" t="s">
        <v>114</v>
      </c>
      <c r="U39" s="505" t="s">
        <v>114</v>
      </c>
      <c r="V39" s="541"/>
    </row>
    <row r="40" spans="1:22" ht="134.25" customHeight="1" x14ac:dyDescent="0.2">
      <c r="A40" s="619">
        <f>IF(B40="","",COUNT('Diário 5º PA'!$A$5:$A$2634)+COUNT('Diário 6º PA'!$A$5:$A$2246)+COUNT('Diário 7º PA'!$A$5:$A$2271)+ROW()-4)</f>
        <v>3986</v>
      </c>
      <c r="B40" s="620">
        <v>44474</v>
      </c>
      <c r="C40" s="624">
        <v>44440</v>
      </c>
      <c r="D40" s="548" t="s">
        <v>99</v>
      </c>
      <c r="E40" s="548" t="s">
        <v>330</v>
      </c>
      <c r="F40" s="622">
        <v>971.1</v>
      </c>
      <c r="G40" s="623" t="s">
        <v>692</v>
      </c>
      <c r="H40" s="548" t="s">
        <v>115</v>
      </c>
      <c r="I40" s="583" t="s">
        <v>693</v>
      </c>
      <c r="J40" s="548" t="s">
        <v>694</v>
      </c>
      <c r="K40" s="583" t="s">
        <v>560</v>
      </c>
      <c r="L40" s="583" t="s">
        <v>992</v>
      </c>
      <c r="M40" s="619">
        <v>36056</v>
      </c>
      <c r="N40" s="620">
        <v>44470</v>
      </c>
      <c r="O40" s="684" t="s">
        <v>67</v>
      </c>
      <c r="P40" s="503">
        <f t="shared" si="2"/>
        <v>10</v>
      </c>
      <c r="Q40" s="503">
        <f t="shared" si="3"/>
        <v>9</v>
      </c>
      <c r="R40" s="504" t="str">
        <f t="shared" si="4"/>
        <v>Gastos_Gerais</v>
      </c>
      <c r="S40" s="504" t="str">
        <f>IF(D40="","",IF(OR(D40=Plano!$A$1,D40=Plano!$B$1),"entrada","saída"))</f>
        <v>saída</v>
      </c>
      <c r="T40" s="505" t="s">
        <v>1059</v>
      </c>
      <c r="U40" s="505">
        <v>1141</v>
      </c>
      <c r="V40" s="541"/>
    </row>
    <row r="41" spans="1:22" s="512" customFormat="1" ht="108.75" customHeight="1" x14ac:dyDescent="0.2">
      <c r="A41" s="619">
        <f>IF(B41="","",COUNT('Diário 5º PA'!$A$5:$A$2634)+COUNT('Diário 6º PA'!$A$5:$A$2246)+COUNT('Diário 7º PA'!$A$5:$A$2271)+ROW()-4)</f>
        <v>3987</v>
      </c>
      <c r="B41" s="620">
        <v>44474</v>
      </c>
      <c r="C41" s="624">
        <v>44409</v>
      </c>
      <c r="D41" s="548" t="s">
        <v>99</v>
      </c>
      <c r="E41" s="548" t="s">
        <v>350</v>
      </c>
      <c r="F41" s="622">
        <v>1000</v>
      </c>
      <c r="G41" s="623" t="s">
        <v>845</v>
      </c>
      <c r="H41" s="548" t="s">
        <v>132</v>
      </c>
      <c r="I41" s="583" t="s">
        <v>5596</v>
      </c>
      <c r="J41" s="548" t="s">
        <v>846</v>
      </c>
      <c r="K41" s="583" t="s">
        <v>991</v>
      </c>
      <c r="L41" s="583" t="s">
        <v>1136</v>
      </c>
      <c r="M41" s="619" t="s">
        <v>114</v>
      </c>
      <c r="N41" s="620">
        <v>44470</v>
      </c>
      <c r="O41" s="684" t="s">
        <v>67</v>
      </c>
      <c r="P41" s="503">
        <f t="shared" si="2"/>
        <v>10</v>
      </c>
      <c r="Q41" s="503">
        <f t="shared" si="3"/>
        <v>8</v>
      </c>
      <c r="R41" s="504" t="str">
        <f t="shared" si="4"/>
        <v>Gastos_Gerais</v>
      </c>
      <c r="S41" s="504" t="str">
        <f>IF(D41="","",IF(OR(D41=Plano!$A$1,D41=Plano!$B$1),"entrada","saída"))</f>
        <v>saída</v>
      </c>
      <c r="T41" s="505" t="s">
        <v>994</v>
      </c>
      <c r="U41" s="505">
        <v>1996</v>
      </c>
      <c r="V41" s="541"/>
    </row>
    <row r="42" spans="1:22" ht="181.5" customHeight="1" x14ac:dyDescent="0.2">
      <c r="A42" s="619">
        <f>IF(B42="","",COUNT('Diário 5º PA'!$A$5:$A$2634)+COUNT('Diário 6º PA'!$A$5:$A$2246)+COUNT('Diário 7º PA'!$A$5:$A$2271)+ROW()-4)</f>
        <v>3988</v>
      </c>
      <c r="B42" s="620">
        <v>44474</v>
      </c>
      <c r="C42" s="624">
        <v>44470</v>
      </c>
      <c r="D42" s="548" t="s">
        <v>99</v>
      </c>
      <c r="E42" s="548" t="s">
        <v>372</v>
      </c>
      <c r="F42" s="622">
        <v>2500</v>
      </c>
      <c r="G42" s="623" t="s">
        <v>471</v>
      </c>
      <c r="H42" s="548" t="s">
        <v>129</v>
      </c>
      <c r="I42" s="583" t="s">
        <v>1285</v>
      </c>
      <c r="J42" s="548" t="s">
        <v>473</v>
      </c>
      <c r="K42" s="583" t="s">
        <v>991</v>
      </c>
      <c r="L42" s="583" t="s">
        <v>992</v>
      </c>
      <c r="M42" s="619">
        <v>128</v>
      </c>
      <c r="N42" s="620">
        <v>44474</v>
      </c>
      <c r="O42" s="684" t="s">
        <v>67</v>
      </c>
      <c r="P42" s="503">
        <f t="shared" si="2"/>
        <v>10</v>
      </c>
      <c r="Q42" s="503">
        <f t="shared" si="3"/>
        <v>10</v>
      </c>
      <c r="R42" s="504" t="str">
        <f t="shared" si="4"/>
        <v>Gastos_Gerais</v>
      </c>
      <c r="S42" s="504" t="str">
        <f>IF(D42="","",IF(OR(D42=Plano!$A$1,D42=Plano!$B$1),"entrada","saída"))</f>
        <v>saída</v>
      </c>
      <c r="T42" s="505" t="s">
        <v>1059</v>
      </c>
      <c r="U42" s="505">
        <v>1275</v>
      </c>
      <c r="V42" s="541"/>
    </row>
    <row r="43" spans="1:22" ht="47.25" customHeight="1" x14ac:dyDescent="0.2">
      <c r="A43" s="619">
        <f>IF(B43="","",COUNT('Diário 5º PA'!$A$5:$A$2634)+COUNT('Diário 6º PA'!$A$5:$A$2246)+COUNT('Diário 7º PA'!$A$5:$A$2271)+ROW()-4)</f>
        <v>3989</v>
      </c>
      <c r="B43" s="620">
        <v>44474</v>
      </c>
      <c r="C43" s="621">
        <v>44470</v>
      </c>
      <c r="D43" s="548" t="s">
        <v>99</v>
      </c>
      <c r="E43" s="548" t="s">
        <v>272</v>
      </c>
      <c r="F43" s="622">
        <v>10.45</v>
      </c>
      <c r="G43" s="623" t="s">
        <v>5614</v>
      </c>
      <c r="H43" s="548" t="s">
        <v>115</v>
      </c>
      <c r="I43" s="583" t="s">
        <v>949</v>
      </c>
      <c r="J43" s="548" t="s">
        <v>950</v>
      </c>
      <c r="K43" s="583" t="s">
        <v>951</v>
      </c>
      <c r="L43" s="583" t="s">
        <v>947</v>
      </c>
      <c r="M43" s="625" t="s">
        <v>114</v>
      </c>
      <c r="N43" s="620">
        <v>44474</v>
      </c>
      <c r="O43" s="684" t="s">
        <v>67</v>
      </c>
      <c r="P43" s="503">
        <f t="shared" si="2"/>
        <v>10</v>
      </c>
      <c r="Q43" s="503">
        <f t="shared" si="3"/>
        <v>10</v>
      </c>
      <c r="R43" s="504" t="str">
        <f t="shared" si="4"/>
        <v>Gastos_Gerais</v>
      </c>
      <c r="S43" s="504" t="str">
        <f>IF(D43="","",IF(OR(D43=Plano!$A$1,D43=Plano!$B$1),"entrada","saída"))</f>
        <v>saída</v>
      </c>
      <c r="T43" s="511" t="s">
        <v>114</v>
      </c>
      <c r="U43" s="511" t="s">
        <v>114</v>
      </c>
      <c r="V43" s="541"/>
    </row>
    <row r="44" spans="1:22" ht="54" customHeight="1" x14ac:dyDescent="0.2">
      <c r="A44" s="619">
        <f>IF(B44="","",COUNT('Diário 5º PA'!$A$5:$A$2634)+COUNT('Diário 6º PA'!$A$5:$A$2246)+COUNT('Diário 7º PA'!$A$5:$A$2271)+ROW()-4)</f>
        <v>3990</v>
      </c>
      <c r="B44" s="620">
        <v>44474</v>
      </c>
      <c r="C44" s="621">
        <v>44470</v>
      </c>
      <c r="D44" s="548" t="s">
        <v>99</v>
      </c>
      <c r="E44" s="548" t="s">
        <v>272</v>
      </c>
      <c r="F44" s="622">
        <v>10.45</v>
      </c>
      <c r="G44" s="623" t="s">
        <v>5615</v>
      </c>
      <c r="H44" s="548" t="s">
        <v>132</v>
      </c>
      <c r="I44" s="583" t="s">
        <v>949</v>
      </c>
      <c r="J44" s="548" t="s">
        <v>950</v>
      </c>
      <c r="K44" s="583" t="s">
        <v>951</v>
      </c>
      <c r="L44" s="583" t="s">
        <v>947</v>
      </c>
      <c r="M44" s="625" t="s">
        <v>114</v>
      </c>
      <c r="N44" s="620">
        <v>44474</v>
      </c>
      <c r="O44" s="684" t="s">
        <v>67</v>
      </c>
      <c r="P44" s="503">
        <f t="shared" si="2"/>
        <v>10</v>
      </c>
      <c r="Q44" s="503">
        <f t="shared" si="3"/>
        <v>10</v>
      </c>
      <c r="R44" s="504" t="str">
        <f t="shared" si="4"/>
        <v>Gastos_Gerais</v>
      </c>
      <c r="S44" s="504" t="str">
        <f>IF(D44="","",IF(OR(D44=Plano!$A$1,D44=Plano!$B$1),"entrada","saída"))</f>
        <v>saída</v>
      </c>
      <c r="T44" s="511" t="s">
        <v>114</v>
      </c>
      <c r="U44" s="511" t="s">
        <v>114</v>
      </c>
      <c r="V44" s="541"/>
    </row>
    <row r="45" spans="1:22" ht="51.75" customHeight="1" x14ac:dyDescent="0.2">
      <c r="A45" s="619">
        <f>IF(B45="","",COUNT('Diário 5º PA'!$A$5:$A$2634)+COUNT('Diário 6º PA'!$A$5:$A$2246)+COUNT('Diário 7º PA'!$A$5:$A$2271)+ROW()-4)</f>
        <v>3991</v>
      </c>
      <c r="B45" s="620">
        <v>44474</v>
      </c>
      <c r="C45" s="621">
        <v>44470</v>
      </c>
      <c r="D45" s="548" t="s">
        <v>99</v>
      </c>
      <c r="E45" s="548" t="s">
        <v>272</v>
      </c>
      <c r="F45" s="622">
        <v>10.45</v>
      </c>
      <c r="G45" s="623" t="s">
        <v>5616</v>
      </c>
      <c r="H45" s="548" t="s">
        <v>132</v>
      </c>
      <c r="I45" s="583" t="s">
        <v>949</v>
      </c>
      <c r="J45" s="548" t="s">
        <v>950</v>
      </c>
      <c r="K45" s="583" t="s">
        <v>951</v>
      </c>
      <c r="L45" s="583" t="s">
        <v>947</v>
      </c>
      <c r="M45" s="625" t="s">
        <v>114</v>
      </c>
      <c r="N45" s="620">
        <v>44474</v>
      </c>
      <c r="O45" s="684" t="s">
        <v>67</v>
      </c>
      <c r="P45" s="503">
        <f t="shared" si="2"/>
        <v>10</v>
      </c>
      <c r="Q45" s="503">
        <f t="shared" si="3"/>
        <v>10</v>
      </c>
      <c r="R45" s="504" t="str">
        <f t="shared" si="4"/>
        <v>Gastos_Gerais</v>
      </c>
      <c r="S45" s="504" t="str">
        <f>IF(D45="","",IF(OR(D45=Plano!$A$1,D45=Plano!$B$1),"entrada","saída"))</f>
        <v>saída</v>
      </c>
      <c r="T45" s="511" t="s">
        <v>114</v>
      </c>
      <c r="U45" s="511" t="s">
        <v>114</v>
      </c>
      <c r="V45" s="541"/>
    </row>
    <row r="46" spans="1:22" ht="51.75" customHeight="1" x14ac:dyDescent="0.2">
      <c r="A46" s="619">
        <f>IF(B46="","",COUNT('Diário 5º PA'!$A$5:$A$2634)+COUNT('Diário 6º PA'!$A$5:$A$2246)+COUNT('Diário 7º PA'!$A$5:$A$2271)+ROW()-4)</f>
        <v>3992</v>
      </c>
      <c r="B46" s="620">
        <v>44474</v>
      </c>
      <c r="C46" s="621">
        <v>44470</v>
      </c>
      <c r="D46" s="548" t="s">
        <v>99</v>
      </c>
      <c r="E46" s="548" t="s">
        <v>272</v>
      </c>
      <c r="F46" s="622">
        <v>10.45</v>
      </c>
      <c r="G46" s="623" t="s">
        <v>5617</v>
      </c>
      <c r="H46" s="548" t="s">
        <v>132</v>
      </c>
      <c r="I46" s="583" t="s">
        <v>949</v>
      </c>
      <c r="J46" s="548" t="s">
        <v>950</v>
      </c>
      <c r="K46" s="583" t="s">
        <v>951</v>
      </c>
      <c r="L46" s="583" t="s">
        <v>947</v>
      </c>
      <c r="M46" s="625" t="s">
        <v>114</v>
      </c>
      <c r="N46" s="620">
        <v>44474</v>
      </c>
      <c r="O46" s="684" t="s">
        <v>67</v>
      </c>
      <c r="P46" s="503">
        <f t="shared" si="2"/>
        <v>10</v>
      </c>
      <c r="Q46" s="503">
        <f t="shared" si="3"/>
        <v>10</v>
      </c>
      <c r="R46" s="504" t="str">
        <f t="shared" si="4"/>
        <v>Gastos_Gerais</v>
      </c>
      <c r="S46" s="504" t="str">
        <f>IF(D46="","",IF(OR(D46=Plano!$A$1,D46=Plano!$B$1),"entrada","saída"))</f>
        <v>saída</v>
      </c>
      <c r="T46" s="511" t="s">
        <v>114</v>
      </c>
      <c r="U46" s="511" t="s">
        <v>114</v>
      </c>
      <c r="V46" s="541"/>
    </row>
    <row r="47" spans="1:22" ht="54" customHeight="1" x14ac:dyDescent="0.2">
      <c r="A47" s="619">
        <f>IF(B47="","",COUNT('Diário 5º PA'!$A$5:$A$2634)+COUNT('Diário 6º PA'!$A$5:$A$2246)+COUNT('Diário 7º PA'!$A$5:$A$2271)+ROW()-4)</f>
        <v>3993</v>
      </c>
      <c r="B47" s="620">
        <v>44474</v>
      </c>
      <c r="C47" s="621">
        <v>44470</v>
      </c>
      <c r="D47" s="548" t="s">
        <v>99</v>
      </c>
      <c r="E47" s="548" t="s">
        <v>272</v>
      </c>
      <c r="F47" s="622">
        <v>10.45</v>
      </c>
      <c r="G47" s="623" t="s">
        <v>5618</v>
      </c>
      <c r="H47" s="548" t="s">
        <v>129</v>
      </c>
      <c r="I47" s="583" t="s">
        <v>949</v>
      </c>
      <c r="J47" s="548" t="s">
        <v>950</v>
      </c>
      <c r="K47" s="583" t="s">
        <v>951</v>
      </c>
      <c r="L47" s="583" t="s">
        <v>947</v>
      </c>
      <c r="M47" s="625" t="s">
        <v>114</v>
      </c>
      <c r="N47" s="620">
        <v>44474</v>
      </c>
      <c r="O47" s="684" t="s">
        <v>67</v>
      </c>
      <c r="P47" s="503">
        <f t="shared" si="2"/>
        <v>10</v>
      </c>
      <c r="Q47" s="503">
        <f t="shared" si="3"/>
        <v>10</v>
      </c>
      <c r="R47" s="504" t="str">
        <f t="shared" si="4"/>
        <v>Gastos_Gerais</v>
      </c>
      <c r="S47" s="504" t="str">
        <f>IF(D47="","",IF(OR(D47=Plano!$A$1,D47=Plano!$B$1),"entrada","saída"))</f>
        <v>saída</v>
      </c>
      <c r="T47" s="511" t="s">
        <v>114</v>
      </c>
      <c r="U47" s="511" t="s">
        <v>114</v>
      </c>
      <c r="V47" s="541"/>
    </row>
    <row r="48" spans="1:22" ht="42.75" customHeight="1" x14ac:dyDescent="0.2">
      <c r="A48" s="619">
        <f>IF(B48="","",COUNT('Diário 5º PA'!$A$5:$A$2634)+COUNT('Diário 6º PA'!$A$5:$A$2246)+COUNT('Diário 7º PA'!$A$5:$A$2271)+ROW()-4)</f>
        <v>3994</v>
      </c>
      <c r="B48" s="620">
        <v>44474</v>
      </c>
      <c r="C48" s="621">
        <v>44470</v>
      </c>
      <c r="D48" s="548" t="s">
        <v>99</v>
      </c>
      <c r="E48" s="548" t="s">
        <v>272</v>
      </c>
      <c r="F48" s="622">
        <v>153</v>
      </c>
      <c r="G48" s="623" t="s">
        <v>948</v>
      </c>
      <c r="H48" s="548" t="s">
        <v>115</v>
      </c>
      <c r="I48" s="583" t="s">
        <v>949</v>
      </c>
      <c r="J48" s="548" t="s">
        <v>950</v>
      </c>
      <c r="K48" s="583" t="s">
        <v>951</v>
      </c>
      <c r="L48" s="583" t="s">
        <v>947</v>
      </c>
      <c r="M48" s="625" t="s">
        <v>114</v>
      </c>
      <c r="N48" s="620">
        <v>44474</v>
      </c>
      <c r="O48" s="684" t="s">
        <v>67</v>
      </c>
      <c r="P48" s="503">
        <f t="shared" si="2"/>
        <v>10</v>
      </c>
      <c r="Q48" s="503">
        <f t="shared" si="3"/>
        <v>10</v>
      </c>
      <c r="R48" s="504" t="str">
        <f t="shared" si="4"/>
        <v>Gastos_Gerais</v>
      </c>
      <c r="S48" s="504" t="str">
        <f>IF(D48="","",IF(OR(D48=Plano!$A$1,D48=Plano!$B$1),"entrada","saída"))</f>
        <v>saída</v>
      </c>
      <c r="T48" s="511" t="s">
        <v>114</v>
      </c>
      <c r="U48" s="511" t="s">
        <v>114</v>
      </c>
      <c r="V48" s="541"/>
    </row>
    <row r="49" spans="1:22" s="518" customFormat="1" ht="147.75" customHeight="1" x14ac:dyDescent="0.2">
      <c r="A49" s="619">
        <f>IF(B49="","",COUNT('Diário 5º PA'!$A$5:$A$2634)+COUNT('Diário 6º PA'!$A$5:$A$2246)+COUNT('Diário 7º PA'!$A$5:$A$2271)+ROW()-4)</f>
        <v>3995</v>
      </c>
      <c r="B49" s="620">
        <v>44474</v>
      </c>
      <c r="C49" s="624">
        <v>44440</v>
      </c>
      <c r="D49" s="548" t="s">
        <v>104</v>
      </c>
      <c r="E49" s="548" t="s">
        <v>104</v>
      </c>
      <c r="F49" s="622">
        <v>2125.92</v>
      </c>
      <c r="G49" s="623" t="s">
        <v>548</v>
      </c>
      <c r="H49" s="548" t="s">
        <v>104</v>
      </c>
      <c r="I49" s="583" t="s">
        <v>1739</v>
      </c>
      <c r="J49" s="548" t="s">
        <v>550</v>
      </c>
      <c r="K49" s="583" t="s">
        <v>1015</v>
      </c>
      <c r="L49" s="583" t="s">
        <v>1029</v>
      </c>
      <c r="M49" s="625">
        <v>1351</v>
      </c>
      <c r="N49" s="620">
        <v>44473</v>
      </c>
      <c r="O49" s="684" t="s">
        <v>68</v>
      </c>
      <c r="P49" s="503">
        <f t="shared" si="2"/>
        <v>10</v>
      </c>
      <c r="Q49" s="503">
        <f t="shared" si="3"/>
        <v>9</v>
      </c>
      <c r="R49" s="504" t="str">
        <f t="shared" si="4"/>
        <v>Gastos_custeados_por_captação</v>
      </c>
      <c r="S49" s="504" t="str">
        <f>IF(D49="","",IF(OR(D49=Plano!$A$1,D49=Plano!$B$1),"entrada","saída"))</f>
        <v>saída</v>
      </c>
      <c r="T49" s="511" t="s">
        <v>1059</v>
      </c>
      <c r="U49" s="511">
        <v>1301</v>
      </c>
      <c r="V49" s="541"/>
    </row>
    <row r="50" spans="1:22" s="518" customFormat="1" ht="124.5" customHeight="1" x14ac:dyDescent="0.2">
      <c r="A50" s="619">
        <f>IF(B50="","",COUNT('Diário 5º PA'!$A$5:$A$2634)+COUNT('Diário 6º PA'!$A$5:$A$2246)+COUNT('Diário 7º PA'!$A$5:$A$2271)+ROW()-4)</f>
        <v>3996</v>
      </c>
      <c r="B50" s="620">
        <v>44474</v>
      </c>
      <c r="C50" s="624">
        <v>44440</v>
      </c>
      <c r="D50" s="548" t="s">
        <v>104</v>
      </c>
      <c r="E50" s="548" t="s">
        <v>104</v>
      </c>
      <c r="F50" s="622">
        <v>3840</v>
      </c>
      <c r="G50" s="623" t="s">
        <v>504</v>
      </c>
      <c r="H50" s="548" t="s">
        <v>104</v>
      </c>
      <c r="I50" s="583" t="s">
        <v>3848</v>
      </c>
      <c r="J50" s="548" t="s">
        <v>506</v>
      </c>
      <c r="K50" s="583" t="s">
        <v>991</v>
      </c>
      <c r="L50" s="583" t="s">
        <v>992</v>
      </c>
      <c r="M50" s="619" t="s">
        <v>1061</v>
      </c>
      <c r="N50" s="620">
        <v>44472</v>
      </c>
      <c r="O50" s="684" t="s">
        <v>71</v>
      </c>
      <c r="P50" s="503">
        <f t="shared" si="2"/>
        <v>10</v>
      </c>
      <c r="Q50" s="503">
        <f t="shared" si="3"/>
        <v>9</v>
      </c>
      <c r="R50" s="504" t="str">
        <f t="shared" si="4"/>
        <v>Gastos_custeados_por_captação</v>
      </c>
      <c r="S50" s="504" t="str">
        <f>IF(D50="","",IF(OR(D50=Plano!$A$1,D50=Plano!$B$1),"entrada","saída"))</f>
        <v>saída</v>
      </c>
      <c r="T50" s="511" t="s">
        <v>1059</v>
      </c>
      <c r="U50" s="511">
        <v>1135</v>
      </c>
      <c r="V50" s="541"/>
    </row>
    <row r="51" spans="1:22" s="518" customFormat="1" ht="132" customHeight="1" x14ac:dyDescent="0.2">
      <c r="A51" s="619">
        <f>IF(B51="","",COUNT('Diário 5º PA'!$A$5:$A$2634)+COUNT('Diário 6º PA'!$A$5:$A$2246)+COUNT('Diário 7º PA'!$A$5:$A$2271)+ROW()-4)</f>
        <v>3997</v>
      </c>
      <c r="B51" s="620">
        <v>44474</v>
      </c>
      <c r="C51" s="624">
        <v>44440</v>
      </c>
      <c r="D51" s="548" t="s">
        <v>104</v>
      </c>
      <c r="E51" s="548" t="s">
        <v>104</v>
      </c>
      <c r="F51" s="622">
        <v>3840</v>
      </c>
      <c r="G51" s="623" t="s">
        <v>501</v>
      </c>
      <c r="H51" s="548" t="s">
        <v>104</v>
      </c>
      <c r="I51" s="583" t="s">
        <v>4104</v>
      </c>
      <c r="J51" s="548" t="s">
        <v>503</v>
      </c>
      <c r="K51" s="583" t="s">
        <v>991</v>
      </c>
      <c r="L51" s="583" t="s">
        <v>992</v>
      </c>
      <c r="M51" s="619" t="s">
        <v>1061</v>
      </c>
      <c r="N51" s="620">
        <v>44472</v>
      </c>
      <c r="O51" s="684" t="s">
        <v>71</v>
      </c>
      <c r="P51" s="503">
        <f t="shared" si="2"/>
        <v>10</v>
      </c>
      <c r="Q51" s="503">
        <f t="shared" si="3"/>
        <v>9</v>
      </c>
      <c r="R51" s="504" t="str">
        <f t="shared" si="4"/>
        <v>Gastos_custeados_por_captação</v>
      </c>
      <c r="S51" s="504" t="str">
        <f>IF(D51="","",IF(OR(D51=Plano!$A$1,D51=Plano!$B$1),"entrada","saída"))</f>
        <v>saída</v>
      </c>
      <c r="T51" s="511" t="s">
        <v>1082</v>
      </c>
      <c r="U51" s="511">
        <v>1136</v>
      </c>
      <c r="V51" s="541"/>
    </row>
    <row r="52" spans="1:22" s="518" customFormat="1" ht="132" customHeight="1" x14ac:dyDescent="0.2">
      <c r="A52" s="619">
        <f>IF(B52="","",COUNT('Diário 5º PA'!$A$5:$A$2634)+COUNT('Diário 6º PA'!$A$5:$A$2246)+COUNT('Diário 7º PA'!$A$5:$A$2271)+ROW()-4)</f>
        <v>3998</v>
      </c>
      <c r="B52" s="620">
        <v>44474</v>
      </c>
      <c r="C52" s="624">
        <v>44440</v>
      </c>
      <c r="D52" s="548" t="s">
        <v>104</v>
      </c>
      <c r="E52" s="548" t="s">
        <v>104</v>
      </c>
      <c r="F52" s="622">
        <v>3762.82</v>
      </c>
      <c r="G52" s="623" t="s">
        <v>499</v>
      </c>
      <c r="H52" s="548" t="s">
        <v>104</v>
      </c>
      <c r="I52" s="627" t="s">
        <v>7127</v>
      </c>
      <c r="J52" s="548" t="s">
        <v>500</v>
      </c>
      <c r="K52" s="583" t="s">
        <v>991</v>
      </c>
      <c r="L52" s="583" t="s">
        <v>992</v>
      </c>
      <c r="M52" s="619" t="s">
        <v>1532</v>
      </c>
      <c r="N52" s="620">
        <v>44470</v>
      </c>
      <c r="O52" s="684" t="s">
        <v>71</v>
      </c>
      <c r="P52" s="503">
        <f t="shared" si="2"/>
        <v>10</v>
      </c>
      <c r="Q52" s="503">
        <f t="shared" si="3"/>
        <v>9</v>
      </c>
      <c r="R52" s="504" t="str">
        <f t="shared" si="4"/>
        <v>Gastos_custeados_por_captação</v>
      </c>
      <c r="S52" s="504" t="str">
        <f>IF(D52="","",IF(OR(D52=Plano!$A$1,D52=Plano!$B$1),"entrada","saída"))</f>
        <v>saída</v>
      </c>
      <c r="T52" s="511" t="s">
        <v>1082</v>
      </c>
      <c r="U52" s="511">
        <v>1137</v>
      </c>
      <c r="V52" s="541"/>
    </row>
    <row r="53" spans="1:22" s="518" customFormat="1" ht="108" customHeight="1" x14ac:dyDescent="0.2">
      <c r="A53" s="619">
        <f>IF(B53="","",COUNT('Diário 5º PA'!$A$5:$A$2634)+COUNT('Diário 6º PA'!$A$5:$A$2246)+COUNT('Diário 7º PA'!$A$5:$A$2271)+ROW()-4)</f>
        <v>3999</v>
      </c>
      <c r="B53" s="620">
        <v>44474</v>
      </c>
      <c r="C53" s="624">
        <v>44440</v>
      </c>
      <c r="D53" s="548" t="s">
        <v>104</v>
      </c>
      <c r="E53" s="548" t="s">
        <v>104</v>
      </c>
      <c r="F53" s="622">
        <v>2125.92</v>
      </c>
      <c r="G53" s="623" t="s">
        <v>456</v>
      </c>
      <c r="H53" s="548" t="s">
        <v>104</v>
      </c>
      <c r="I53" s="583" t="s">
        <v>3367</v>
      </c>
      <c r="J53" s="548" t="s">
        <v>458</v>
      </c>
      <c r="K53" s="583" t="s">
        <v>991</v>
      </c>
      <c r="L53" s="583" t="s">
        <v>1029</v>
      </c>
      <c r="M53" s="619">
        <v>1353</v>
      </c>
      <c r="N53" s="620">
        <v>44473</v>
      </c>
      <c r="O53" s="684" t="s">
        <v>71</v>
      </c>
      <c r="P53" s="503">
        <f t="shared" si="2"/>
        <v>10</v>
      </c>
      <c r="Q53" s="503">
        <f t="shared" si="3"/>
        <v>9</v>
      </c>
      <c r="R53" s="504" t="str">
        <f t="shared" si="4"/>
        <v>Gastos_custeados_por_captação</v>
      </c>
      <c r="S53" s="504" t="str">
        <f>IF(D53="","",IF(OR(D53=Plano!$A$1,D53=Plano!$B$1),"entrada","saída"))</f>
        <v>saída</v>
      </c>
      <c r="T53" s="511" t="s">
        <v>1082</v>
      </c>
      <c r="U53" s="511">
        <v>1138</v>
      </c>
      <c r="V53" s="541"/>
    </row>
    <row r="54" spans="1:22" s="540" customFormat="1" ht="172.5" customHeight="1" x14ac:dyDescent="0.2">
      <c r="A54" s="619">
        <f>IF(B54="","",COUNT('Diário 5º PA'!$A$5:$A$2634)+COUNT('Diário 6º PA'!$A$5:$A$2246)+COUNT('Diário 7º PA'!$A$5:$A$2271)+ROW()-4)</f>
        <v>4000</v>
      </c>
      <c r="B54" s="620">
        <v>44474</v>
      </c>
      <c r="C54" s="624">
        <v>44440</v>
      </c>
      <c r="D54" s="548" t="s">
        <v>104</v>
      </c>
      <c r="E54" s="548" t="s">
        <v>104</v>
      </c>
      <c r="F54" s="622">
        <v>2537.5500000000002</v>
      </c>
      <c r="G54" s="623" t="s">
        <v>596</v>
      </c>
      <c r="H54" s="548" t="s">
        <v>104</v>
      </c>
      <c r="I54" s="583" t="s">
        <v>1348</v>
      </c>
      <c r="J54" s="548" t="s">
        <v>598</v>
      </c>
      <c r="K54" s="583" t="s">
        <v>991</v>
      </c>
      <c r="L54" s="583" t="s">
        <v>1029</v>
      </c>
      <c r="M54" s="619">
        <v>1350</v>
      </c>
      <c r="N54" s="620">
        <v>44473</v>
      </c>
      <c r="O54" s="684" t="s">
        <v>5370</v>
      </c>
      <c r="P54" s="503">
        <f t="shared" si="2"/>
        <v>10</v>
      </c>
      <c r="Q54" s="503">
        <f t="shared" si="3"/>
        <v>9</v>
      </c>
      <c r="R54" s="504" t="str">
        <f t="shared" si="4"/>
        <v>Gastos_custeados_por_captação</v>
      </c>
      <c r="S54" s="504" t="str">
        <f>IF(D54="","",IF(OR(D54=Plano!$A$1,D54=Plano!$B$1),"entrada","saída"))</f>
        <v>saída</v>
      </c>
      <c r="T54" s="511" t="s">
        <v>1059</v>
      </c>
      <c r="U54" s="511">
        <v>1466</v>
      </c>
      <c r="V54" s="541"/>
    </row>
    <row r="55" spans="1:22" s="540" customFormat="1" ht="236.25" customHeight="1" x14ac:dyDescent="0.2">
      <c r="A55" s="619">
        <f>IF(B55="","",COUNT('Diário 5º PA'!$A$5:$A$2634)+COUNT('Diário 6º PA'!$A$5:$A$2246)+COUNT('Diário 7º PA'!$A$5:$A$2271)+ROW()-4)</f>
        <v>4001</v>
      </c>
      <c r="B55" s="620">
        <v>44474</v>
      </c>
      <c r="C55" s="624">
        <v>44440</v>
      </c>
      <c r="D55" s="548" t="s">
        <v>104</v>
      </c>
      <c r="E55" s="548" t="s">
        <v>104</v>
      </c>
      <c r="F55" s="622">
        <v>2000</v>
      </c>
      <c r="G55" s="623" t="s">
        <v>462</v>
      </c>
      <c r="H55" s="548" t="s">
        <v>104</v>
      </c>
      <c r="I55" s="583" t="s">
        <v>1331</v>
      </c>
      <c r="J55" s="548" t="s">
        <v>464</v>
      </c>
      <c r="K55" s="583" t="s">
        <v>991</v>
      </c>
      <c r="L55" s="583" t="s">
        <v>3273</v>
      </c>
      <c r="M55" s="619" t="s">
        <v>1211</v>
      </c>
      <c r="N55" s="620">
        <v>44473</v>
      </c>
      <c r="O55" s="684" t="s">
        <v>5370</v>
      </c>
      <c r="P55" s="503">
        <f t="shared" si="2"/>
        <v>10</v>
      </c>
      <c r="Q55" s="503">
        <f t="shared" si="3"/>
        <v>9</v>
      </c>
      <c r="R55" s="504" t="str">
        <f t="shared" si="4"/>
        <v>Gastos_custeados_por_captação</v>
      </c>
      <c r="S55" s="504" t="str">
        <f>IF(D55="","",IF(OR(D55=Plano!$A$1,D55=Plano!$B$1),"entrada","saída"))</f>
        <v>saída</v>
      </c>
      <c r="T55" s="511" t="s">
        <v>1082</v>
      </c>
      <c r="U55" s="511">
        <v>1267</v>
      </c>
      <c r="V55" s="541"/>
    </row>
    <row r="56" spans="1:22" s="540" customFormat="1" ht="108" customHeight="1" x14ac:dyDescent="0.2">
      <c r="A56" s="619">
        <f>IF(B56="","",COUNT('Diário 5º PA'!$A$5:$A$2634)+COUNT('Diário 6º PA'!$A$5:$A$2246)+COUNT('Diário 7º PA'!$A$5:$A$2271)+ROW()-4)</f>
        <v>4002</v>
      </c>
      <c r="B56" s="620">
        <v>44474</v>
      </c>
      <c r="C56" s="624">
        <v>44470</v>
      </c>
      <c r="D56" s="548" t="s">
        <v>104</v>
      </c>
      <c r="E56" s="548" t="s">
        <v>104</v>
      </c>
      <c r="F56" s="622">
        <v>2000</v>
      </c>
      <c r="G56" s="623" t="s">
        <v>477</v>
      </c>
      <c r="H56" s="548" t="s">
        <v>104</v>
      </c>
      <c r="I56" s="583" t="s">
        <v>1293</v>
      </c>
      <c r="J56" s="548" t="s">
        <v>479</v>
      </c>
      <c r="K56" s="583" t="s">
        <v>991</v>
      </c>
      <c r="L56" s="583" t="s">
        <v>992</v>
      </c>
      <c r="M56" s="619" t="s">
        <v>1061</v>
      </c>
      <c r="N56" s="620">
        <v>44473</v>
      </c>
      <c r="O56" s="684" t="s">
        <v>5370</v>
      </c>
      <c r="P56" s="503">
        <f t="shared" si="2"/>
        <v>10</v>
      </c>
      <c r="Q56" s="503">
        <f t="shared" si="3"/>
        <v>10</v>
      </c>
      <c r="R56" s="504" t="str">
        <f t="shared" si="4"/>
        <v>Gastos_custeados_por_captação</v>
      </c>
      <c r="S56" s="504" t="str">
        <f>IF(D56="","",IF(OR(D56=Plano!$A$1,D56=Plano!$B$1),"entrada","saída"))</f>
        <v>saída</v>
      </c>
      <c r="T56" s="511" t="s">
        <v>1082</v>
      </c>
      <c r="U56" s="511">
        <v>1268</v>
      </c>
      <c r="V56" s="541"/>
    </row>
    <row r="57" spans="1:22" s="540" customFormat="1" ht="255.75" customHeight="1" x14ac:dyDescent="0.2">
      <c r="A57" s="619">
        <f>IF(B57="","",COUNT('Diário 5º PA'!$A$5:$A$2634)+COUNT('Diário 6º PA'!$A$5:$A$2246)+COUNT('Diário 7º PA'!$A$5:$A$2271)+ROW()-4)</f>
        <v>4003</v>
      </c>
      <c r="B57" s="620">
        <v>44474</v>
      </c>
      <c r="C57" s="624">
        <v>44440</v>
      </c>
      <c r="D57" s="548" t="s">
        <v>104</v>
      </c>
      <c r="E57" s="548" t="s">
        <v>104</v>
      </c>
      <c r="F57" s="622">
        <v>1260</v>
      </c>
      <c r="G57" s="623" t="s">
        <v>574</v>
      </c>
      <c r="H57" s="548" t="s">
        <v>104</v>
      </c>
      <c r="I57" s="583" t="s">
        <v>6890</v>
      </c>
      <c r="J57" s="548" t="s">
        <v>576</v>
      </c>
      <c r="K57" s="583" t="s">
        <v>991</v>
      </c>
      <c r="L57" s="583" t="s">
        <v>1029</v>
      </c>
      <c r="M57" s="619">
        <v>1349</v>
      </c>
      <c r="N57" s="620">
        <v>44473</v>
      </c>
      <c r="O57" s="684" t="s">
        <v>5370</v>
      </c>
      <c r="P57" s="503">
        <f t="shared" si="2"/>
        <v>10</v>
      </c>
      <c r="Q57" s="503">
        <f t="shared" si="3"/>
        <v>9</v>
      </c>
      <c r="R57" s="504" t="str">
        <f t="shared" si="4"/>
        <v>Gastos_custeados_por_captação</v>
      </c>
      <c r="S57" s="504" t="str">
        <f>IF(D57="","",IF(OR(D57=Plano!$A$1,D57=Plano!$B$1),"entrada","saída"))</f>
        <v>saída</v>
      </c>
      <c r="T57" s="511" t="s">
        <v>1082</v>
      </c>
      <c r="U57" s="511">
        <v>1350</v>
      </c>
      <c r="V57" s="541"/>
    </row>
    <row r="58" spans="1:22" s="540" customFormat="1" ht="108" customHeight="1" x14ac:dyDescent="0.2">
      <c r="A58" s="619">
        <f>IF(B58="","",COUNT('Diário 5º PA'!$A$5:$A$2634)+COUNT('Diário 6º PA'!$A$5:$A$2246)+COUNT('Diário 7º PA'!$A$5:$A$2271)+ROW()-4)</f>
        <v>4004</v>
      </c>
      <c r="B58" s="620">
        <v>44474</v>
      </c>
      <c r="C58" s="624">
        <v>44409</v>
      </c>
      <c r="D58" s="548" t="s">
        <v>104</v>
      </c>
      <c r="E58" s="548" t="s">
        <v>104</v>
      </c>
      <c r="F58" s="622">
        <v>1780</v>
      </c>
      <c r="G58" s="623" t="s">
        <v>5508</v>
      </c>
      <c r="H58" s="548" t="s">
        <v>104</v>
      </c>
      <c r="I58" s="583" t="s">
        <v>5596</v>
      </c>
      <c r="J58" s="548" t="s">
        <v>846</v>
      </c>
      <c r="K58" s="583" t="s">
        <v>991</v>
      </c>
      <c r="L58" s="583" t="s">
        <v>1901</v>
      </c>
      <c r="M58" s="619">
        <v>1347</v>
      </c>
      <c r="N58" s="620">
        <v>44470</v>
      </c>
      <c r="O58" s="684" t="s">
        <v>5370</v>
      </c>
      <c r="P58" s="503">
        <f t="shared" si="2"/>
        <v>10</v>
      </c>
      <c r="Q58" s="503">
        <f t="shared" si="3"/>
        <v>8</v>
      </c>
      <c r="R58" s="504" t="str">
        <f t="shared" si="4"/>
        <v>Gastos_custeados_por_captação</v>
      </c>
      <c r="S58" s="504" t="str">
        <f>IF(D58="","",IF(OR(D58=Plano!$A$1,D58=Plano!$B$1),"entrada","saída"))</f>
        <v>saída</v>
      </c>
      <c r="T58" s="511" t="s">
        <v>994</v>
      </c>
      <c r="U58" s="511">
        <v>1995</v>
      </c>
      <c r="V58" s="541"/>
    </row>
    <row r="59" spans="1:22" s="540" customFormat="1" ht="159" customHeight="1" x14ac:dyDescent="0.2">
      <c r="A59" s="619">
        <f>IF(B59="","",COUNT('Diário 5º PA'!$A$5:$A$2634)+COUNT('Diário 6º PA'!$A$5:$A$2246)+COUNT('Diário 7º PA'!$A$5:$A$2271)+ROW()-4)</f>
        <v>4005</v>
      </c>
      <c r="B59" s="620">
        <v>44474</v>
      </c>
      <c r="C59" s="624">
        <v>44470</v>
      </c>
      <c r="D59" s="548" t="s">
        <v>104</v>
      </c>
      <c r="E59" s="548" t="s">
        <v>104</v>
      </c>
      <c r="F59" s="622">
        <v>3920</v>
      </c>
      <c r="G59" s="623" t="s">
        <v>468</v>
      </c>
      <c r="H59" s="548" t="s">
        <v>104</v>
      </c>
      <c r="I59" s="583" t="s">
        <v>1295</v>
      </c>
      <c r="J59" s="548" t="s">
        <v>470</v>
      </c>
      <c r="K59" s="583" t="s">
        <v>991</v>
      </c>
      <c r="L59" s="583" t="s">
        <v>992</v>
      </c>
      <c r="M59" s="619" t="s">
        <v>2152</v>
      </c>
      <c r="N59" s="620">
        <v>44473</v>
      </c>
      <c r="O59" s="684" t="s">
        <v>5370</v>
      </c>
      <c r="P59" s="503">
        <f t="shared" si="2"/>
        <v>10</v>
      </c>
      <c r="Q59" s="503">
        <f t="shared" si="3"/>
        <v>10</v>
      </c>
      <c r="R59" s="504" t="str">
        <f t="shared" si="4"/>
        <v>Gastos_custeados_por_captação</v>
      </c>
      <c r="S59" s="504" t="str">
        <f>IF(D59="","",IF(OR(D59=Plano!$A$1,D59=Plano!$B$1),"entrada","saída"))</f>
        <v>saída</v>
      </c>
      <c r="T59" s="511" t="s">
        <v>1082</v>
      </c>
      <c r="U59" s="511">
        <v>1269</v>
      </c>
      <c r="V59" s="541"/>
    </row>
    <row r="60" spans="1:22" s="540" customFormat="1" ht="108" customHeight="1" x14ac:dyDescent="0.2">
      <c r="A60" s="619">
        <f>IF(B60="","",COUNT('Diário 5º PA'!$A$5:$A$2634)+COUNT('Diário 6º PA'!$A$5:$A$2246)+COUNT('Diário 7º PA'!$A$5:$A$2271)+ROW()-4)</f>
        <v>4006</v>
      </c>
      <c r="B60" s="620">
        <v>44474</v>
      </c>
      <c r="C60" s="628">
        <v>44440</v>
      </c>
      <c r="D60" s="548" t="s">
        <v>104</v>
      </c>
      <c r="E60" s="548" t="s">
        <v>104</v>
      </c>
      <c r="F60" s="622">
        <v>5390</v>
      </c>
      <c r="G60" s="623" t="s">
        <v>5521</v>
      </c>
      <c r="H60" s="548" t="s">
        <v>104</v>
      </c>
      <c r="I60" s="583" t="s">
        <v>6893</v>
      </c>
      <c r="J60" s="548" t="s">
        <v>5522</v>
      </c>
      <c r="K60" s="583" t="s">
        <v>991</v>
      </c>
      <c r="L60" s="583" t="s">
        <v>992</v>
      </c>
      <c r="M60" s="619" t="s">
        <v>1294</v>
      </c>
      <c r="N60" s="620">
        <v>44473</v>
      </c>
      <c r="O60" s="684" t="s">
        <v>5370</v>
      </c>
      <c r="P60" s="503">
        <f t="shared" si="2"/>
        <v>10</v>
      </c>
      <c r="Q60" s="503">
        <f t="shared" si="3"/>
        <v>9</v>
      </c>
      <c r="R60" s="504" t="str">
        <f t="shared" si="4"/>
        <v>Gastos_custeados_por_captação</v>
      </c>
      <c r="S60" s="504" t="str">
        <f>IF(D60="","",IF(OR(D60=Plano!$A$1,D60=Plano!$B$1),"entrada","saída"))</f>
        <v>saída</v>
      </c>
      <c r="T60" s="511" t="s">
        <v>1082</v>
      </c>
      <c r="U60" s="511">
        <v>1511</v>
      </c>
      <c r="V60" s="541"/>
    </row>
    <row r="61" spans="1:22" s="540" customFormat="1" ht="108" customHeight="1" x14ac:dyDescent="0.2">
      <c r="A61" s="619">
        <f>IF(B61="","",COUNT('Diário 5º PA'!$A$5:$A$2634)+COUNT('Diário 6º PA'!$A$5:$A$2246)+COUNT('Diário 7º PA'!$A$5:$A$2271)+ROW()-4)</f>
        <v>4007</v>
      </c>
      <c r="B61" s="620">
        <v>44474</v>
      </c>
      <c r="C61" s="624">
        <v>44470</v>
      </c>
      <c r="D61" s="548" t="s">
        <v>104</v>
      </c>
      <c r="E61" s="548" t="s">
        <v>104</v>
      </c>
      <c r="F61" s="622">
        <v>10.45</v>
      </c>
      <c r="G61" s="623" t="s">
        <v>5451</v>
      </c>
      <c r="H61" s="548" t="s">
        <v>104</v>
      </c>
      <c r="I61" s="583" t="s">
        <v>949</v>
      </c>
      <c r="J61" s="548" t="s">
        <v>950</v>
      </c>
      <c r="K61" s="583" t="s">
        <v>951</v>
      </c>
      <c r="L61" s="583" t="s">
        <v>947</v>
      </c>
      <c r="M61" s="625" t="s">
        <v>114</v>
      </c>
      <c r="N61" s="620">
        <v>44474</v>
      </c>
      <c r="O61" s="684" t="s">
        <v>5370</v>
      </c>
      <c r="P61" s="503">
        <f t="shared" si="2"/>
        <v>10</v>
      </c>
      <c r="Q61" s="503">
        <f t="shared" si="3"/>
        <v>10</v>
      </c>
      <c r="R61" s="504" t="str">
        <f t="shared" si="4"/>
        <v>Gastos_custeados_por_captação</v>
      </c>
      <c r="S61" s="504" t="str">
        <f>IF(D61="","",IF(OR(D61=Plano!$A$1,D61=Plano!$B$1),"entrada","saída"))</f>
        <v>saída</v>
      </c>
      <c r="T61" s="505" t="s">
        <v>114</v>
      </c>
      <c r="U61" s="505" t="s">
        <v>114</v>
      </c>
      <c r="V61" s="541"/>
    </row>
    <row r="62" spans="1:22" s="540" customFormat="1" ht="108" customHeight="1" x14ac:dyDescent="0.2">
      <c r="A62" s="619">
        <f>IF(B62="","",COUNT('Diário 5º PA'!$A$5:$A$2634)+COUNT('Diário 6º PA'!$A$5:$A$2246)+COUNT('Diário 7º PA'!$A$5:$A$2271)+ROW()-4)</f>
        <v>4008</v>
      </c>
      <c r="B62" s="620">
        <v>44474</v>
      </c>
      <c r="C62" s="624">
        <v>44470</v>
      </c>
      <c r="D62" s="548" t="s">
        <v>104</v>
      </c>
      <c r="E62" s="548" t="s">
        <v>104</v>
      </c>
      <c r="F62" s="622">
        <v>10.45</v>
      </c>
      <c r="G62" s="623" t="s">
        <v>5451</v>
      </c>
      <c r="H62" s="548" t="s">
        <v>104</v>
      </c>
      <c r="I62" s="583" t="s">
        <v>949</v>
      </c>
      <c r="J62" s="548" t="s">
        <v>950</v>
      </c>
      <c r="K62" s="583" t="s">
        <v>951</v>
      </c>
      <c r="L62" s="583" t="s">
        <v>947</v>
      </c>
      <c r="M62" s="625" t="s">
        <v>114</v>
      </c>
      <c r="N62" s="620">
        <v>44474</v>
      </c>
      <c r="O62" s="684" t="s">
        <v>5370</v>
      </c>
      <c r="P62" s="503">
        <f t="shared" si="2"/>
        <v>10</v>
      </c>
      <c r="Q62" s="503">
        <f t="shared" si="3"/>
        <v>10</v>
      </c>
      <c r="R62" s="504" t="str">
        <f t="shared" si="4"/>
        <v>Gastos_custeados_por_captação</v>
      </c>
      <c r="S62" s="504" t="str">
        <f>IF(D62="","",IF(OR(D62=Plano!$A$1,D62=Plano!$B$1),"entrada","saída"))</f>
        <v>saída</v>
      </c>
      <c r="T62" s="505" t="s">
        <v>114</v>
      </c>
      <c r="U62" s="505" t="s">
        <v>114</v>
      </c>
      <c r="V62" s="541"/>
    </row>
    <row r="63" spans="1:22" s="540" customFormat="1" ht="108" customHeight="1" x14ac:dyDescent="0.2">
      <c r="A63" s="619">
        <f>IF(B63="","",COUNT('Diário 5º PA'!$A$5:$A$2634)+COUNT('Diário 6º PA'!$A$5:$A$2246)+COUNT('Diário 7º PA'!$A$5:$A$2271)+ROW()-4)</f>
        <v>4009</v>
      </c>
      <c r="B63" s="620">
        <v>44474</v>
      </c>
      <c r="C63" s="624">
        <v>44470</v>
      </c>
      <c r="D63" s="548" t="s">
        <v>104</v>
      </c>
      <c r="E63" s="548" t="s">
        <v>104</v>
      </c>
      <c r="F63" s="622">
        <v>10.45</v>
      </c>
      <c r="G63" s="623" t="s">
        <v>5451</v>
      </c>
      <c r="H63" s="548" t="s">
        <v>104</v>
      </c>
      <c r="I63" s="583" t="s">
        <v>949</v>
      </c>
      <c r="J63" s="548" t="s">
        <v>950</v>
      </c>
      <c r="K63" s="583" t="s">
        <v>951</v>
      </c>
      <c r="L63" s="583" t="s">
        <v>947</v>
      </c>
      <c r="M63" s="625" t="s">
        <v>114</v>
      </c>
      <c r="N63" s="620">
        <v>44474</v>
      </c>
      <c r="O63" s="684" t="s">
        <v>5370</v>
      </c>
      <c r="P63" s="503">
        <f t="shared" si="2"/>
        <v>10</v>
      </c>
      <c r="Q63" s="503">
        <f t="shared" si="3"/>
        <v>10</v>
      </c>
      <c r="R63" s="504" t="str">
        <f t="shared" si="4"/>
        <v>Gastos_custeados_por_captação</v>
      </c>
      <c r="S63" s="504" t="str">
        <f>IF(D63="","",IF(OR(D63=Plano!$A$1,D63=Plano!$B$1),"entrada","saída"))</f>
        <v>saída</v>
      </c>
      <c r="T63" s="505" t="s">
        <v>114</v>
      </c>
      <c r="U63" s="505" t="s">
        <v>114</v>
      </c>
      <c r="V63" s="541"/>
    </row>
    <row r="64" spans="1:22" s="540" customFormat="1" ht="108" customHeight="1" x14ac:dyDescent="0.2">
      <c r="A64" s="619">
        <f>IF(B64="","",COUNT('Diário 5º PA'!$A$5:$A$2634)+COUNT('Diário 6º PA'!$A$5:$A$2246)+COUNT('Diário 7º PA'!$A$5:$A$2271)+ROW()-4)</f>
        <v>4010</v>
      </c>
      <c r="B64" s="620">
        <v>44474</v>
      </c>
      <c r="C64" s="624">
        <v>44470</v>
      </c>
      <c r="D64" s="548" t="s">
        <v>104</v>
      </c>
      <c r="E64" s="548" t="s">
        <v>104</v>
      </c>
      <c r="F64" s="622">
        <v>10.45</v>
      </c>
      <c r="G64" s="623" t="s">
        <v>5451</v>
      </c>
      <c r="H64" s="548" t="s">
        <v>104</v>
      </c>
      <c r="I64" s="583" t="s">
        <v>949</v>
      </c>
      <c r="J64" s="548" t="s">
        <v>950</v>
      </c>
      <c r="K64" s="583" t="s">
        <v>951</v>
      </c>
      <c r="L64" s="583" t="s">
        <v>947</v>
      </c>
      <c r="M64" s="625" t="s">
        <v>114</v>
      </c>
      <c r="N64" s="620">
        <v>44474</v>
      </c>
      <c r="O64" s="684" t="s">
        <v>5370</v>
      </c>
      <c r="P64" s="503">
        <f t="shared" si="2"/>
        <v>10</v>
      </c>
      <c r="Q64" s="503">
        <f t="shared" si="3"/>
        <v>10</v>
      </c>
      <c r="R64" s="504" t="str">
        <f t="shared" si="4"/>
        <v>Gastos_custeados_por_captação</v>
      </c>
      <c r="S64" s="504" t="str">
        <f>IF(D64="","",IF(OR(D64=Plano!$A$1,D64=Plano!$B$1),"entrada","saída"))</f>
        <v>saída</v>
      </c>
      <c r="T64" s="505" t="s">
        <v>114</v>
      </c>
      <c r="U64" s="505" t="s">
        <v>114</v>
      </c>
      <c r="V64" s="541"/>
    </row>
    <row r="65" spans="1:22" s="540" customFormat="1" ht="108" customHeight="1" x14ac:dyDescent="0.2">
      <c r="A65" s="619">
        <f>IF(B65="","",COUNT('Diário 5º PA'!$A$5:$A$2634)+COUNT('Diário 6º PA'!$A$5:$A$2246)+COUNT('Diário 7º PA'!$A$5:$A$2271)+ROW()-4)</f>
        <v>4011</v>
      </c>
      <c r="B65" s="620">
        <v>44474</v>
      </c>
      <c r="C65" s="624">
        <v>44470</v>
      </c>
      <c r="D65" s="548" t="s">
        <v>104</v>
      </c>
      <c r="E65" s="548" t="s">
        <v>104</v>
      </c>
      <c r="F65" s="622">
        <v>10.45</v>
      </c>
      <c r="G65" s="623" t="s">
        <v>5451</v>
      </c>
      <c r="H65" s="548" t="s">
        <v>104</v>
      </c>
      <c r="I65" s="583" t="s">
        <v>949</v>
      </c>
      <c r="J65" s="548" t="s">
        <v>950</v>
      </c>
      <c r="K65" s="583" t="s">
        <v>951</v>
      </c>
      <c r="L65" s="583" t="s">
        <v>947</v>
      </c>
      <c r="M65" s="625" t="s">
        <v>114</v>
      </c>
      <c r="N65" s="620">
        <v>44474</v>
      </c>
      <c r="O65" s="684" t="s">
        <v>5370</v>
      </c>
      <c r="P65" s="503">
        <f t="shared" ref="P65:P128" si="5">IF(B65=0,0,IF(YEAR(B65)=$Q$1,MONTH(B65)-$P$1+1,(YEAR(B65)-$Q$1)*12-$P$1+1+MONTH(B65)))</f>
        <v>10</v>
      </c>
      <c r="Q65" s="503">
        <f t="shared" ref="Q65:Q128" si="6">IF(C65=0,0,IF(YEAR(C65)=$Q$1,MONTH(C65)-$P$1+1,(YEAR(C65)-$Q$1)*12-$P$1+1+MONTH(C65)))</f>
        <v>10</v>
      </c>
      <c r="R65" s="504" t="str">
        <f t="shared" ref="R65:R128" si="7">SUBSTITUTE(D65," ","_")</f>
        <v>Gastos_custeados_por_captação</v>
      </c>
      <c r="S65" s="504" t="str">
        <f>IF(D65="","",IF(OR(D65=Plano!$A$1,D65=Plano!$B$1),"entrada","saída"))</f>
        <v>saída</v>
      </c>
      <c r="T65" s="505" t="s">
        <v>114</v>
      </c>
      <c r="U65" s="505" t="s">
        <v>114</v>
      </c>
      <c r="V65" s="541"/>
    </row>
    <row r="66" spans="1:22" s="544" customFormat="1" ht="66" customHeight="1" x14ac:dyDescent="0.2">
      <c r="A66" s="619">
        <f>IF(B66="","",COUNT('Diário 5º PA'!$A$5:$A$2634)+COUNT('Diário 6º PA'!$A$5:$A$2246)+COUNT('Diário 7º PA'!$A$5:$A$2271)+ROW()-4)</f>
        <v>4012</v>
      </c>
      <c r="B66" s="620">
        <v>44474</v>
      </c>
      <c r="C66" s="624">
        <v>44440</v>
      </c>
      <c r="D66" s="548" t="s">
        <v>104</v>
      </c>
      <c r="E66" s="548" t="s">
        <v>104</v>
      </c>
      <c r="F66" s="622">
        <v>3000</v>
      </c>
      <c r="G66" s="623" t="s">
        <v>6921</v>
      </c>
      <c r="H66" s="548" t="s">
        <v>104</v>
      </c>
      <c r="I66" s="583" t="s">
        <v>6922</v>
      </c>
      <c r="J66" s="548" t="s">
        <v>6923</v>
      </c>
      <c r="K66" s="583" t="s">
        <v>991</v>
      </c>
      <c r="L66" s="583" t="s">
        <v>992</v>
      </c>
      <c r="M66" s="619" t="s">
        <v>1407</v>
      </c>
      <c r="N66" s="620">
        <v>44470</v>
      </c>
      <c r="O66" s="684" t="s">
        <v>5505</v>
      </c>
      <c r="P66" s="503">
        <f t="shared" si="5"/>
        <v>10</v>
      </c>
      <c r="Q66" s="503">
        <f t="shared" si="6"/>
        <v>9</v>
      </c>
      <c r="R66" s="504" t="str">
        <f t="shared" si="7"/>
        <v>Gastos_custeados_por_captação</v>
      </c>
      <c r="S66" s="504" t="str">
        <f>IF(D66="","",IF(OR(D66=Plano!$A$1,D66=Plano!$B$1),"entrada","saída"))</f>
        <v>saída</v>
      </c>
      <c r="T66" s="505" t="s">
        <v>1082</v>
      </c>
      <c r="U66" s="505">
        <v>1300</v>
      </c>
      <c r="V66" s="541"/>
    </row>
    <row r="67" spans="1:22" s="544" customFormat="1" ht="69.75" customHeight="1" x14ac:dyDescent="0.2">
      <c r="A67" s="619">
        <f>IF(B67="","",COUNT('Diário 5º PA'!$A$5:$A$2634)+COUNT('Diário 6º PA'!$A$5:$A$2246)+COUNT('Diário 7º PA'!$A$5:$A$2271)+ROW()-4)</f>
        <v>4013</v>
      </c>
      <c r="B67" s="620">
        <v>44474</v>
      </c>
      <c r="C67" s="624">
        <v>44440</v>
      </c>
      <c r="D67" s="548" t="s">
        <v>104</v>
      </c>
      <c r="E67" s="548" t="s">
        <v>104</v>
      </c>
      <c r="F67" s="622">
        <v>2125.92</v>
      </c>
      <c r="G67" s="623" t="s">
        <v>6924</v>
      </c>
      <c r="H67" s="548" t="s">
        <v>104</v>
      </c>
      <c r="I67" s="583" t="s">
        <v>6925</v>
      </c>
      <c r="J67" s="548" t="s">
        <v>1170</v>
      </c>
      <c r="K67" s="583" t="s">
        <v>991</v>
      </c>
      <c r="L67" s="583" t="s">
        <v>1029</v>
      </c>
      <c r="M67" s="625">
        <v>1352</v>
      </c>
      <c r="N67" s="620">
        <v>44473</v>
      </c>
      <c r="O67" s="684" t="s">
        <v>5505</v>
      </c>
      <c r="P67" s="503">
        <f t="shared" si="5"/>
        <v>10</v>
      </c>
      <c r="Q67" s="503">
        <f t="shared" si="6"/>
        <v>9</v>
      </c>
      <c r="R67" s="504" t="str">
        <f t="shared" si="7"/>
        <v>Gastos_custeados_por_captação</v>
      </c>
      <c r="S67" s="504" t="str">
        <f>IF(D67="","",IF(OR(D67=Plano!$A$1,D67=Plano!$B$1),"entrada","saída"))</f>
        <v>saída</v>
      </c>
      <c r="T67" s="505" t="s">
        <v>1082</v>
      </c>
      <c r="U67" s="505">
        <v>1302</v>
      </c>
      <c r="V67" s="541"/>
    </row>
    <row r="68" spans="1:22" ht="52.5" customHeight="1" x14ac:dyDescent="0.2">
      <c r="A68" s="619">
        <f>IF(B68="","",COUNT('Diário 5º PA'!$A$5:$A$2634)+COUNT('Diário 6º PA'!$A$5:$A$2246)+COUNT('Diário 7º PA'!$A$5:$A$2271)+ROW()-4)</f>
        <v>4014</v>
      </c>
      <c r="B68" s="620">
        <v>44475</v>
      </c>
      <c r="C68" s="624">
        <v>44440</v>
      </c>
      <c r="D68" s="548" t="s">
        <v>99</v>
      </c>
      <c r="E68" s="548" t="s">
        <v>330</v>
      </c>
      <c r="F68" s="622">
        <v>-24.9</v>
      </c>
      <c r="G68" s="623" t="s">
        <v>5619</v>
      </c>
      <c r="H68" s="548" t="s">
        <v>115</v>
      </c>
      <c r="I68" s="583" t="s">
        <v>983</v>
      </c>
      <c r="J68" s="548" t="s">
        <v>850</v>
      </c>
      <c r="K68" s="583" t="s">
        <v>946</v>
      </c>
      <c r="L68" s="583" t="s">
        <v>947</v>
      </c>
      <c r="M68" s="619" t="s">
        <v>114</v>
      </c>
      <c r="N68" s="620">
        <v>44475</v>
      </c>
      <c r="O68" s="684" t="s">
        <v>67</v>
      </c>
      <c r="P68" s="503">
        <f t="shared" si="5"/>
        <v>10</v>
      </c>
      <c r="Q68" s="503">
        <f t="shared" si="6"/>
        <v>9</v>
      </c>
      <c r="R68" s="504" t="str">
        <f t="shared" si="7"/>
        <v>Gastos_Gerais</v>
      </c>
      <c r="S68" s="504" t="str">
        <f>IF(D68="","",IF(OR(D68=Plano!$A$1,D68=Plano!$B$1),"entrada","saída"))</f>
        <v>saída</v>
      </c>
      <c r="T68" s="505" t="s">
        <v>114</v>
      </c>
      <c r="U68" s="505" t="s">
        <v>114</v>
      </c>
      <c r="V68" s="541"/>
    </row>
    <row r="69" spans="1:22" ht="64.5" customHeight="1" x14ac:dyDescent="0.2">
      <c r="A69" s="619">
        <f>IF(B69="","",COUNT('Diário 5º PA'!$A$5:$A$2634)+COUNT('Diário 6º PA'!$A$5:$A$2246)+COUNT('Diário 7º PA'!$A$5:$A$2271)+ROW()-4)</f>
        <v>4015</v>
      </c>
      <c r="B69" s="620">
        <v>44475</v>
      </c>
      <c r="C69" s="624">
        <v>44440</v>
      </c>
      <c r="D69" s="548" t="s">
        <v>99</v>
      </c>
      <c r="E69" s="548" t="s">
        <v>330</v>
      </c>
      <c r="F69" s="622">
        <v>-24.9</v>
      </c>
      <c r="G69" s="623" t="s">
        <v>5620</v>
      </c>
      <c r="H69" s="548" t="s">
        <v>115</v>
      </c>
      <c r="I69" s="583" t="s">
        <v>983</v>
      </c>
      <c r="J69" s="548" t="s">
        <v>850</v>
      </c>
      <c r="K69" s="583" t="s">
        <v>946</v>
      </c>
      <c r="L69" s="583" t="s">
        <v>947</v>
      </c>
      <c r="M69" s="619" t="s">
        <v>114</v>
      </c>
      <c r="N69" s="620">
        <v>44475</v>
      </c>
      <c r="O69" s="684" t="s">
        <v>67</v>
      </c>
      <c r="P69" s="503">
        <f t="shared" si="5"/>
        <v>10</v>
      </c>
      <c r="Q69" s="503">
        <f t="shared" si="6"/>
        <v>9</v>
      </c>
      <c r="R69" s="504" t="str">
        <f t="shared" si="7"/>
        <v>Gastos_Gerais</v>
      </c>
      <c r="S69" s="504" t="str">
        <f>IF(D69="","",IF(OR(D69=Plano!$A$1,D69=Plano!$B$1),"entrada","saída"))</f>
        <v>saída</v>
      </c>
      <c r="T69" s="505" t="s">
        <v>114</v>
      </c>
      <c r="U69" s="505" t="s">
        <v>114</v>
      </c>
      <c r="V69" s="541"/>
    </row>
    <row r="70" spans="1:22" ht="73.5" customHeight="1" x14ac:dyDescent="0.2">
      <c r="A70" s="619">
        <f>IF(B70="","",COUNT('Diário 5º PA'!$A$5:$A$2634)+COUNT('Diário 6º PA'!$A$5:$A$2246)+COUNT('Diário 7º PA'!$A$5:$A$2271)+ROW()-4)</f>
        <v>4016</v>
      </c>
      <c r="B70" s="620">
        <v>44475</v>
      </c>
      <c r="C70" s="624">
        <v>44440</v>
      </c>
      <c r="D70" s="548" t="s">
        <v>99</v>
      </c>
      <c r="E70" s="548" t="s">
        <v>330</v>
      </c>
      <c r="F70" s="622">
        <v>-348.6</v>
      </c>
      <c r="G70" s="623" t="s">
        <v>5621</v>
      </c>
      <c r="H70" s="548" t="s">
        <v>115</v>
      </c>
      <c r="I70" s="583" t="s">
        <v>983</v>
      </c>
      <c r="J70" s="548" t="s">
        <v>850</v>
      </c>
      <c r="K70" s="583" t="s">
        <v>946</v>
      </c>
      <c r="L70" s="583" t="s">
        <v>947</v>
      </c>
      <c r="M70" s="619" t="s">
        <v>114</v>
      </c>
      <c r="N70" s="620">
        <v>44475</v>
      </c>
      <c r="O70" s="684" t="s">
        <v>67</v>
      </c>
      <c r="P70" s="503">
        <f t="shared" si="5"/>
        <v>10</v>
      </c>
      <c r="Q70" s="503">
        <f t="shared" si="6"/>
        <v>9</v>
      </c>
      <c r="R70" s="504" t="str">
        <f t="shared" si="7"/>
        <v>Gastos_Gerais</v>
      </c>
      <c r="S70" s="504" t="str">
        <f>IF(D70="","",IF(OR(D70=Plano!$A$1,D70=Plano!$B$1),"entrada","saída"))</f>
        <v>saída</v>
      </c>
      <c r="T70" s="505" t="s">
        <v>114</v>
      </c>
      <c r="U70" s="505" t="s">
        <v>114</v>
      </c>
      <c r="V70" s="541"/>
    </row>
    <row r="71" spans="1:22" ht="159.75" customHeight="1" x14ac:dyDescent="0.2">
      <c r="A71" s="619">
        <f>IF(B71="","",COUNT('Diário 5º PA'!$A$5:$A$2634)+COUNT('Diário 6º PA'!$A$5:$A$2246)+COUNT('Diário 7º PA'!$A$5:$A$2271)+ROW()-4)</f>
        <v>4017</v>
      </c>
      <c r="B71" s="620">
        <v>44475</v>
      </c>
      <c r="C71" s="624">
        <v>44440</v>
      </c>
      <c r="D71" s="548" t="s">
        <v>99</v>
      </c>
      <c r="E71" s="548" t="s">
        <v>262</v>
      </c>
      <c r="F71" s="622">
        <v>-924.35</v>
      </c>
      <c r="G71" s="623" t="s">
        <v>5622</v>
      </c>
      <c r="H71" s="548" t="s">
        <v>115</v>
      </c>
      <c r="I71" s="583" t="s">
        <v>983</v>
      </c>
      <c r="J71" s="548" t="s">
        <v>850</v>
      </c>
      <c r="K71" s="583" t="s">
        <v>946</v>
      </c>
      <c r="L71" s="583" t="s">
        <v>947</v>
      </c>
      <c r="M71" s="619" t="s">
        <v>114</v>
      </c>
      <c r="N71" s="620">
        <v>44475</v>
      </c>
      <c r="O71" s="684" t="s">
        <v>67</v>
      </c>
      <c r="P71" s="503">
        <f t="shared" si="5"/>
        <v>10</v>
      </c>
      <c r="Q71" s="503">
        <f t="shared" si="6"/>
        <v>9</v>
      </c>
      <c r="R71" s="504" t="str">
        <f t="shared" si="7"/>
        <v>Gastos_Gerais</v>
      </c>
      <c r="S71" s="504" t="str">
        <f>IF(D71="","",IF(OR(D71=Plano!$A$1,D71=Plano!$B$1),"entrada","saída"))</f>
        <v>saída</v>
      </c>
      <c r="T71" s="505" t="s">
        <v>114</v>
      </c>
      <c r="U71" s="505" t="s">
        <v>114</v>
      </c>
      <c r="V71" s="541"/>
    </row>
    <row r="72" spans="1:22" ht="33.75" customHeight="1" x14ac:dyDescent="0.2">
      <c r="A72" s="619">
        <f>IF(B72="","",COUNT('Diário 5º PA'!$A$5:$A$2634)+COUNT('Diário 6º PA'!$A$5:$A$2246)+COUNT('Diário 7º PA'!$A$5:$A$2271)+ROW()-4)</f>
        <v>4018</v>
      </c>
      <c r="B72" s="620">
        <v>44475</v>
      </c>
      <c r="C72" s="621">
        <v>44440</v>
      </c>
      <c r="D72" s="548" t="s">
        <v>88</v>
      </c>
      <c r="E72" s="548" t="s">
        <v>90</v>
      </c>
      <c r="F72" s="622">
        <v>4413.74</v>
      </c>
      <c r="G72" s="623" t="s">
        <v>5623</v>
      </c>
      <c r="H72" s="548" t="s">
        <v>114</v>
      </c>
      <c r="I72" s="583" t="s">
        <v>1221</v>
      </c>
      <c r="J72" s="548" t="s">
        <v>1222</v>
      </c>
      <c r="K72" s="583" t="s">
        <v>1015</v>
      </c>
      <c r="L72" s="583" t="s">
        <v>1183</v>
      </c>
      <c r="M72" s="619" t="s">
        <v>114</v>
      </c>
      <c r="N72" s="620">
        <v>44475</v>
      </c>
      <c r="O72" s="684" t="s">
        <v>67</v>
      </c>
      <c r="P72" s="503">
        <f t="shared" si="5"/>
        <v>10</v>
      </c>
      <c r="Q72" s="503">
        <f t="shared" si="6"/>
        <v>9</v>
      </c>
      <c r="R72" s="504" t="str">
        <f t="shared" si="7"/>
        <v>Gastos_com_Pessoal</v>
      </c>
      <c r="S72" s="504" t="str">
        <f>IF(D72="","",IF(OR(D72=Plano!$A$1,D72=Plano!$B$1),"entrada","saída"))</f>
        <v>saída</v>
      </c>
      <c r="T72" s="505" t="s">
        <v>114</v>
      </c>
      <c r="U72" s="505" t="s">
        <v>114</v>
      </c>
      <c r="V72" s="541"/>
    </row>
    <row r="73" spans="1:22" ht="42.75" customHeight="1" x14ac:dyDescent="0.2">
      <c r="A73" s="619">
        <f>IF(B73="","",COUNT('Diário 5º PA'!$A$5:$A$2634)+COUNT('Diário 6º PA'!$A$5:$A$2246)+COUNT('Diário 7º PA'!$A$5:$A$2271)+ROW()-4)</f>
        <v>4019</v>
      </c>
      <c r="B73" s="620">
        <v>44475</v>
      </c>
      <c r="C73" s="621">
        <v>44440</v>
      </c>
      <c r="D73" s="548" t="s">
        <v>88</v>
      </c>
      <c r="E73" s="548" t="s">
        <v>90</v>
      </c>
      <c r="F73" s="622">
        <v>2073.86</v>
      </c>
      <c r="G73" s="623" t="s">
        <v>5624</v>
      </c>
      <c r="H73" s="548" t="s">
        <v>114</v>
      </c>
      <c r="I73" s="583" t="s">
        <v>1794</v>
      </c>
      <c r="J73" s="548" t="s">
        <v>1795</v>
      </c>
      <c r="K73" s="583" t="s">
        <v>1015</v>
      </c>
      <c r="L73" s="583" t="s">
        <v>1183</v>
      </c>
      <c r="M73" s="619" t="s">
        <v>114</v>
      </c>
      <c r="N73" s="620">
        <v>44475</v>
      </c>
      <c r="O73" s="684" t="s">
        <v>67</v>
      </c>
      <c r="P73" s="503">
        <f t="shared" si="5"/>
        <v>10</v>
      </c>
      <c r="Q73" s="503">
        <f t="shared" si="6"/>
        <v>9</v>
      </c>
      <c r="R73" s="504" t="str">
        <f t="shared" si="7"/>
        <v>Gastos_com_Pessoal</v>
      </c>
      <c r="S73" s="504" t="str">
        <f>IF(D73="","",IF(OR(D73=Plano!$A$1,D73=Plano!$B$1),"entrada","saída"))</f>
        <v>saída</v>
      </c>
      <c r="T73" s="505" t="s">
        <v>114</v>
      </c>
      <c r="U73" s="505" t="s">
        <v>114</v>
      </c>
      <c r="V73" s="541"/>
    </row>
    <row r="74" spans="1:22" ht="33" customHeight="1" x14ac:dyDescent="0.2">
      <c r="A74" s="619">
        <f>IF(B74="","",COUNT('Diário 5º PA'!$A$5:$A$2634)+COUNT('Diário 6º PA'!$A$5:$A$2246)+COUNT('Diário 7º PA'!$A$5:$A$2271)+ROW()-4)</f>
        <v>4020</v>
      </c>
      <c r="B74" s="620">
        <v>44475</v>
      </c>
      <c r="C74" s="621">
        <v>44440</v>
      </c>
      <c r="D74" s="548" t="s">
        <v>88</v>
      </c>
      <c r="E74" s="548" t="s">
        <v>90</v>
      </c>
      <c r="F74" s="622">
        <v>2254.21</v>
      </c>
      <c r="G74" s="623" t="s">
        <v>5625</v>
      </c>
      <c r="H74" s="548" t="s">
        <v>114</v>
      </c>
      <c r="I74" s="583" t="s">
        <v>1797</v>
      </c>
      <c r="J74" s="548" t="s">
        <v>1798</v>
      </c>
      <c r="K74" s="583" t="s">
        <v>1015</v>
      </c>
      <c r="L74" s="583" t="s">
        <v>1183</v>
      </c>
      <c r="M74" s="619" t="s">
        <v>114</v>
      </c>
      <c r="N74" s="620">
        <v>44475</v>
      </c>
      <c r="O74" s="684" t="s">
        <v>67</v>
      </c>
      <c r="P74" s="503">
        <f t="shared" si="5"/>
        <v>10</v>
      </c>
      <c r="Q74" s="503">
        <f t="shared" si="6"/>
        <v>9</v>
      </c>
      <c r="R74" s="504" t="str">
        <f t="shared" si="7"/>
        <v>Gastos_com_Pessoal</v>
      </c>
      <c r="S74" s="504" t="str">
        <f>IF(D74="","",IF(OR(D74=Plano!$A$1,D74=Plano!$B$1),"entrada","saída"))</f>
        <v>saída</v>
      </c>
      <c r="T74" s="505" t="s">
        <v>114</v>
      </c>
      <c r="U74" s="505" t="s">
        <v>114</v>
      </c>
      <c r="V74" s="541"/>
    </row>
    <row r="75" spans="1:22" ht="40.5" customHeight="1" x14ac:dyDescent="0.2">
      <c r="A75" s="619">
        <f>IF(B75="","",COUNT('Diário 5º PA'!$A$5:$A$2634)+COUNT('Diário 6º PA'!$A$5:$A$2246)+COUNT('Diário 7º PA'!$A$5:$A$2271)+ROW()-4)</f>
        <v>4021</v>
      </c>
      <c r="B75" s="620">
        <v>44475</v>
      </c>
      <c r="C75" s="621">
        <v>44440</v>
      </c>
      <c r="D75" s="548" t="s">
        <v>88</v>
      </c>
      <c r="E75" s="548" t="s">
        <v>90</v>
      </c>
      <c r="F75" s="622">
        <v>2073.86</v>
      </c>
      <c r="G75" s="623" t="s">
        <v>5624</v>
      </c>
      <c r="H75" s="548" t="s">
        <v>114</v>
      </c>
      <c r="I75" s="583" t="s">
        <v>1799</v>
      </c>
      <c r="J75" s="548" t="s">
        <v>1800</v>
      </c>
      <c r="K75" s="583" t="s">
        <v>1015</v>
      </c>
      <c r="L75" s="583" t="s">
        <v>1183</v>
      </c>
      <c r="M75" s="619" t="s">
        <v>114</v>
      </c>
      <c r="N75" s="620">
        <v>44475</v>
      </c>
      <c r="O75" s="684" t="s">
        <v>67</v>
      </c>
      <c r="P75" s="503">
        <f t="shared" si="5"/>
        <v>10</v>
      </c>
      <c r="Q75" s="503">
        <f t="shared" si="6"/>
        <v>9</v>
      </c>
      <c r="R75" s="504" t="str">
        <f t="shared" si="7"/>
        <v>Gastos_com_Pessoal</v>
      </c>
      <c r="S75" s="504" t="str">
        <f>IF(D75="","",IF(OR(D75=Plano!$A$1,D75=Plano!$B$1),"entrada","saída"))</f>
        <v>saída</v>
      </c>
      <c r="T75" s="505" t="s">
        <v>114</v>
      </c>
      <c r="U75" s="505" t="s">
        <v>114</v>
      </c>
      <c r="V75" s="541"/>
    </row>
    <row r="76" spans="1:22" ht="35.25" customHeight="1" x14ac:dyDescent="0.2">
      <c r="A76" s="619">
        <f>IF(B76="","",COUNT('Diário 5º PA'!$A$5:$A$2634)+COUNT('Diário 6º PA'!$A$5:$A$2246)+COUNT('Diário 7º PA'!$A$5:$A$2271)+ROW()-4)</f>
        <v>4022</v>
      </c>
      <c r="B76" s="620">
        <v>44475</v>
      </c>
      <c r="C76" s="621">
        <v>44440</v>
      </c>
      <c r="D76" s="548" t="s">
        <v>88</v>
      </c>
      <c r="E76" s="548" t="s">
        <v>90</v>
      </c>
      <c r="F76" s="622">
        <v>2091.41</v>
      </c>
      <c r="G76" s="623" t="s">
        <v>5624</v>
      </c>
      <c r="H76" s="548" t="s">
        <v>114</v>
      </c>
      <c r="I76" s="583" t="s">
        <v>1801</v>
      </c>
      <c r="J76" s="548" t="s">
        <v>1802</v>
      </c>
      <c r="K76" s="583" t="s">
        <v>1015</v>
      </c>
      <c r="L76" s="583" t="s">
        <v>1183</v>
      </c>
      <c r="M76" s="619" t="s">
        <v>114</v>
      </c>
      <c r="N76" s="620">
        <v>44475</v>
      </c>
      <c r="O76" s="684" t="s">
        <v>67</v>
      </c>
      <c r="P76" s="503">
        <f t="shared" si="5"/>
        <v>10</v>
      </c>
      <c r="Q76" s="503">
        <f t="shared" si="6"/>
        <v>9</v>
      </c>
      <c r="R76" s="504" t="str">
        <f t="shared" si="7"/>
        <v>Gastos_com_Pessoal</v>
      </c>
      <c r="S76" s="504" t="str">
        <f>IF(D76="","",IF(OR(D76=Plano!$A$1,D76=Plano!$B$1),"entrada","saída"))</f>
        <v>saída</v>
      </c>
      <c r="T76" s="505" t="s">
        <v>114</v>
      </c>
      <c r="U76" s="505" t="s">
        <v>114</v>
      </c>
      <c r="V76" s="541"/>
    </row>
    <row r="77" spans="1:22" ht="39.75" customHeight="1" x14ac:dyDescent="0.2">
      <c r="A77" s="619">
        <f>IF(B77="","",COUNT('Diário 5º PA'!$A$5:$A$2634)+COUNT('Diário 6º PA'!$A$5:$A$2246)+COUNT('Diário 7º PA'!$A$5:$A$2271)+ROW()-4)</f>
        <v>4023</v>
      </c>
      <c r="B77" s="620">
        <v>44475</v>
      </c>
      <c r="C77" s="621">
        <v>44440</v>
      </c>
      <c r="D77" s="548" t="s">
        <v>88</v>
      </c>
      <c r="E77" s="548" t="s">
        <v>90</v>
      </c>
      <c r="F77" s="622">
        <v>2073.86</v>
      </c>
      <c r="G77" s="623" t="s">
        <v>5624</v>
      </c>
      <c r="H77" s="548" t="s">
        <v>114</v>
      </c>
      <c r="I77" s="583" t="s">
        <v>1803</v>
      </c>
      <c r="J77" s="548" t="s">
        <v>1804</v>
      </c>
      <c r="K77" s="583" t="s">
        <v>1015</v>
      </c>
      <c r="L77" s="583" t="s">
        <v>1183</v>
      </c>
      <c r="M77" s="619" t="s">
        <v>114</v>
      </c>
      <c r="N77" s="620">
        <v>44475</v>
      </c>
      <c r="O77" s="684" t="s">
        <v>67</v>
      </c>
      <c r="P77" s="503">
        <f t="shared" si="5"/>
        <v>10</v>
      </c>
      <c r="Q77" s="503">
        <f t="shared" si="6"/>
        <v>9</v>
      </c>
      <c r="R77" s="504" t="str">
        <f t="shared" si="7"/>
        <v>Gastos_com_Pessoal</v>
      </c>
      <c r="S77" s="504" t="str">
        <f>IF(D77="","",IF(OR(D77=Plano!$A$1,D77=Plano!$B$1),"entrada","saída"))</f>
        <v>saída</v>
      </c>
      <c r="T77" s="505" t="s">
        <v>114</v>
      </c>
      <c r="U77" s="505" t="s">
        <v>114</v>
      </c>
      <c r="V77" s="541"/>
    </row>
    <row r="78" spans="1:22" ht="36.75" customHeight="1" x14ac:dyDescent="0.2">
      <c r="A78" s="619">
        <f>IF(B78="","",COUNT('Diário 5º PA'!$A$5:$A$2634)+COUNT('Diário 6º PA'!$A$5:$A$2246)+COUNT('Diário 7º PA'!$A$5:$A$2271)+ROW()-4)</f>
        <v>4024</v>
      </c>
      <c r="B78" s="620">
        <v>44475</v>
      </c>
      <c r="C78" s="621">
        <v>44440</v>
      </c>
      <c r="D78" s="548" t="s">
        <v>88</v>
      </c>
      <c r="E78" s="548" t="s">
        <v>90</v>
      </c>
      <c r="F78" s="622">
        <v>2317.54</v>
      </c>
      <c r="G78" s="623" t="s">
        <v>5626</v>
      </c>
      <c r="H78" s="548" t="s">
        <v>114</v>
      </c>
      <c r="I78" s="583" t="s">
        <v>1224</v>
      </c>
      <c r="J78" s="548" t="s">
        <v>1225</v>
      </c>
      <c r="K78" s="583" t="s">
        <v>1015</v>
      </c>
      <c r="L78" s="583" t="s">
        <v>1347</v>
      </c>
      <c r="M78" s="619" t="s">
        <v>114</v>
      </c>
      <c r="N78" s="620">
        <v>44475</v>
      </c>
      <c r="O78" s="684" t="s">
        <v>67</v>
      </c>
      <c r="P78" s="503">
        <f t="shared" si="5"/>
        <v>10</v>
      </c>
      <c r="Q78" s="503">
        <f t="shared" si="6"/>
        <v>9</v>
      </c>
      <c r="R78" s="504" t="str">
        <f t="shared" si="7"/>
        <v>Gastos_com_Pessoal</v>
      </c>
      <c r="S78" s="504" t="str">
        <f>IF(D78="","",IF(OR(D78=Plano!$A$1,D78=Plano!$B$1),"entrada","saída"))</f>
        <v>saída</v>
      </c>
      <c r="T78" s="505" t="s">
        <v>114</v>
      </c>
      <c r="U78" s="505" t="s">
        <v>114</v>
      </c>
      <c r="V78" s="541"/>
    </row>
    <row r="79" spans="1:22" ht="47.25" customHeight="1" x14ac:dyDescent="0.2">
      <c r="A79" s="619">
        <f>IF(B79="","",COUNT('Diário 5º PA'!$A$5:$A$2634)+COUNT('Diário 6º PA'!$A$5:$A$2246)+COUNT('Diário 7º PA'!$A$5:$A$2271)+ROW()-4)</f>
        <v>4025</v>
      </c>
      <c r="B79" s="620">
        <v>44475</v>
      </c>
      <c r="C79" s="624">
        <v>44440</v>
      </c>
      <c r="D79" s="548" t="s">
        <v>99</v>
      </c>
      <c r="E79" s="548" t="s">
        <v>336</v>
      </c>
      <c r="F79" s="622">
        <v>450</v>
      </c>
      <c r="G79" s="623" t="s">
        <v>5627</v>
      </c>
      <c r="H79" s="548" t="s">
        <v>118</v>
      </c>
      <c r="I79" s="583" t="s">
        <v>5628</v>
      </c>
      <c r="J79" s="548" t="s">
        <v>5339</v>
      </c>
      <c r="K79" s="583" t="s">
        <v>1015</v>
      </c>
      <c r="L79" s="583" t="s">
        <v>992</v>
      </c>
      <c r="M79" s="619">
        <v>66</v>
      </c>
      <c r="N79" s="620">
        <v>44474</v>
      </c>
      <c r="O79" s="684" t="s">
        <v>67</v>
      </c>
      <c r="P79" s="503">
        <f t="shared" si="5"/>
        <v>10</v>
      </c>
      <c r="Q79" s="503">
        <f t="shared" si="6"/>
        <v>9</v>
      </c>
      <c r="R79" s="504" t="str">
        <f t="shared" si="7"/>
        <v>Gastos_Gerais</v>
      </c>
      <c r="S79" s="504" t="str">
        <f>IF(D79="","",IF(OR(D79=Plano!$A$1,D79=Plano!$B$1),"entrada","saída"))</f>
        <v>saída</v>
      </c>
      <c r="T79" s="505" t="s">
        <v>994</v>
      </c>
      <c r="U79" s="505">
        <v>2105</v>
      </c>
      <c r="V79" s="541"/>
    </row>
    <row r="80" spans="1:22" ht="36" customHeight="1" x14ac:dyDescent="0.2">
      <c r="A80" s="619">
        <f>IF(B80="","",COUNT('Diário 5º PA'!$A$5:$A$2634)+COUNT('Diário 6º PA'!$A$5:$A$2246)+COUNT('Diário 7º PA'!$A$5:$A$2271)+ROW()-4)</f>
        <v>4026</v>
      </c>
      <c r="B80" s="620">
        <v>44475</v>
      </c>
      <c r="C80" s="621">
        <v>44440</v>
      </c>
      <c r="D80" s="548" t="s">
        <v>88</v>
      </c>
      <c r="E80" s="548" t="s">
        <v>90</v>
      </c>
      <c r="F80" s="622">
        <v>2073.86</v>
      </c>
      <c r="G80" s="623" t="s">
        <v>5624</v>
      </c>
      <c r="H80" s="548" t="s">
        <v>114</v>
      </c>
      <c r="I80" s="583" t="s">
        <v>1806</v>
      </c>
      <c r="J80" s="548" t="s">
        <v>1807</v>
      </c>
      <c r="K80" s="583" t="s">
        <v>1015</v>
      </c>
      <c r="L80" s="583" t="s">
        <v>1183</v>
      </c>
      <c r="M80" s="619" t="s">
        <v>114</v>
      </c>
      <c r="N80" s="620">
        <v>44475</v>
      </c>
      <c r="O80" s="684" t="s">
        <v>67</v>
      </c>
      <c r="P80" s="503">
        <f t="shared" si="5"/>
        <v>10</v>
      </c>
      <c r="Q80" s="503">
        <f t="shared" si="6"/>
        <v>9</v>
      </c>
      <c r="R80" s="504" t="str">
        <f t="shared" si="7"/>
        <v>Gastos_com_Pessoal</v>
      </c>
      <c r="S80" s="504" t="str">
        <f>IF(D80="","",IF(OR(D80=Plano!$A$1,D80=Plano!$B$1),"entrada","saída"))</f>
        <v>saída</v>
      </c>
      <c r="T80" s="505" t="s">
        <v>114</v>
      </c>
      <c r="U80" s="505" t="s">
        <v>114</v>
      </c>
      <c r="V80" s="541"/>
    </row>
    <row r="81" spans="1:22" ht="33.75" customHeight="1" x14ac:dyDescent="0.2">
      <c r="A81" s="619">
        <f>IF(B81="","",COUNT('Diário 5º PA'!$A$5:$A$2634)+COUNT('Diário 6º PA'!$A$5:$A$2246)+COUNT('Diário 7º PA'!$A$5:$A$2271)+ROW()-4)</f>
        <v>4027</v>
      </c>
      <c r="B81" s="620">
        <v>44475</v>
      </c>
      <c r="C81" s="621">
        <v>44440</v>
      </c>
      <c r="D81" s="548" t="s">
        <v>88</v>
      </c>
      <c r="E81" s="548" t="s">
        <v>90</v>
      </c>
      <c r="F81" s="622">
        <v>1364.11</v>
      </c>
      <c r="G81" s="623" t="s">
        <v>5629</v>
      </c>
      <c r="H81" s="548" t="s">
        <v>114</v>
      </c>
      <c r="I81" s="583" t="s">
        <v>1226</v>
      </c>
      <c r="J81" s="548" t="s">
        <v>1227</v>
      </c>
      <c r="K81" s="583" t="s">
        <v>1015</v>
      </c>
      <c r="L81" s="583" t="s">
        <v>1183</v>
      </c>
      <c r="M81" s="619" t="s">
        <v>114</v>
      </c>
      <c r="N81" s="620">
        <v>44475</v>
      </c>
      <c r="O81" s="684" t="s">
        <v>67</v>
      </c>
      <c r="P81" s="503">
        <f t="shared" si="5"/>
        <v>10</v>
      </c>
      <c r="Q81" s="503">
        <f t="shared" si="6"/>
        <v>9</v>
      </c>
      <c r="R81" s="504" t="str">
        <f t="shared" si="7"/>
        <v>Gastos_com_Pessoal</v>
      </c>
      <c r="S81" s="504" t="str">
        <f>IF(D81="","",IF(OR(D81=Plano!$A$1,D81=Plano!$B$1),"entrada","saída"))</f>
        <v>saída</v>
      </c>
      <c r="T81" s="505" t="s">
        <v>114</v>
      </c>
      <c r="U81" s="505" t="s">
        <v>114</v>
      </c>
      <c r="V81" s="541"/>
    </row>
    <row r="82" spans="1:22" ht="32.25" customHeight="1" x14ac:dyDescent="0.2">
      <c r="A82" s="619">
        <f>IF(B82="","",COUNT('Diário 5º PA'!$A$5:$A$2634)+COUNT('Diário 6º PA'!$A$5:$A$2246)+COUNT('Diário 7º PA'!$A$5:$A$2271)+ROW()-4)</f>
        <v>4028</v>
      </c>
      <c r="B82" s="620">
        <v>44475</v>
      </c>
      <c r="C82" s="621">
        <v>44440</v>
      </c>
      <c r="D82" s="548" t="s">
        <v>88</v>
      </c>
      <c r="E82" s="548" t="s">
        <v>90</v>
      </c>
      <c r="F82" s="622">
        <v>2091.41</v>
      </c>
      <c r="G82" s="623" t="s">
        <v>5630</v>
      </c>
      <c r="H82" s="548" t="s">
        <v>114</v>
      </c>
      <c r="I82" s="583" t="s">
        <v>2266</v>
      </c>
      <c r="J82" s="548" t="s">
        <v>2267</v>
      </c>
      <c r="K82" s="583" t="s">
        <v>1015</v>
      </c>
      <c r="L82" s="583" t="s">
        <v>1183</v>
      </c>
      <c r="M82" s="619" t="s">
        <v>114</v>
      </c>
      <c r="N82" s="620">
        <v>44475</v>
      </c>
      <c r="O82" s="684" t="s">
        <v>67</v>
      </c>
      <c r="P82" s="503">
        <f t="shared" si="5"/>
        <v>10</v>
      </c>
      <c r="Q82" s="503">
        <f t="shared" si="6"/>
        <v>9</v>
      </c>
      <c r="R82" s="504" t="str">
        <f t="shared" si="7"/>
        <v>Gastos_com_Pessoal</v>
      </c>
      <c r="S82" s="504" t="str">
        <f>IF(D82="","",IF(OR(D82=Plano!$A$1,D82=Plano!$B$1),"entrada","saída"))</f>
        <v>saída</v>
      </c>
      <c r="T82" s="505" t="s">
        <v>114</v>
      </c>
      <c r="U82" s="505" t="s">
        <v>114</v>
      </c>
      <c r="V82" s="541"/>
    </row>
    <row r="83" spans="1:22" ht="183" customHeight="1" x14ac:dyDescent="0.2">
      <c r="A83" s="619">
        <f>IF(B83="","",COUNT('Diário 5º PA'!$A$5:$A$2634)+COUNT('Diário 6º PA'!$A$5:$A$2246)+COUNT('Diário 7º PA'!$A$5:$A$2271)+ROW()-4)</f>
        <v>4029</v>
      </c>
      <c r="B83" s="620">
        <v>44475</v>
      </c>
      <c r="C83" s="624">
        <v>44409</v>
      </c>
      <c r="D83" s="548" t="s">
        <v>99</v>
      </c>
      <c r="E83" s="548" t="s">
        <v>358</v>
      </c>
      <c r="F83" s="622">
        <v>2400</v>
      </c>
      <c r="G83" s="623" t="s">
        <v>735</v>
      </c>
      <c r="H83" s="548" t="s">
        <v>124</v>
      </c>
      <c r="I83" s="583" t="s">
        <v>5631</v>
      </c>
      <c r="J83" s="548" t="s">
        <v>736</v>
      </c>
      <c r="K83" s="583" t="s">
        <v>1015</v>
      </c>
      <c r="L83" s="583" t="s">
        <v>992</v>
      </c>
      <c r="M83" s="619">
        <v>2</v>
      </c>
      <c r="N83" s="620">
        <v>44473</v>
      </c>
      <c r="O83" s="684" t="s">
        <v>67</v>
      </c>
      <c r="P83" s="503">
        <f t="shared" si="5"/>
        <v>10</v>
      </c>
      <c r="Q83" s="503">
        <f t="shared" si="6"/>
        <v>8</v>
      </c>
      <c r="R83" s="504" t="str">
        <f t="shared" si="7"/>
        <v>Gastos_Gerais</v>
      </c>
      <c r="S83" s="504" t="str">
        <f>IF(D83="","",IF(OR(D83=Plano!$A$1,D83=Plano!$B$1),"entrada","saída"))</f>
        <v>saída</v>
      </c>
      <c r="T83" s="505" t="s">
        <v>994</v>
      </c>
      <c r="U83" s="505">
        <v>1886</v>
      </c>
      <c r="V83" s="541"/>
    </row>
    <row r="84" spans="1:22" ht="78" customHeight="1" x14ac:dyDescent="0.2">
      <c r="A84" s="619">
        <f>IF(B84="","",COUNT('Diário 5º PA'!$A$5:$A$2634)+COUNT('Diário 6º PA'!$A$5:$A$2246)+COUNT('Diário 7º PA'!$A$5:$A$2271)+ROW()-4)</f>
        <v>4030</v>
      </c>
      <c r="B84" s="620">
        <v>44475</v>
      </c>
      <c r="C84" s="624">
        <v>44440</v>
      </c>
      <c r="D84" s="548" t="s">
        <v>99</v>
      </c>
      <c r="E84" s="548" t="s">
        <v>364</v>
      </c>
      <c r="F84" s="622">
        <v>168</v>
      </c>
      <c r="G84" s="623" t="s">
        <v>5159</v>
      </c>
      <c r="H84" s="548" t="s">
        <v>125</v>
      </c>
      <c r="I84" s="583" t="s">
        <v>5632</v>
      </c>
      <c r="J84" s="548" t="s">
        <v>5160</v>
      </c>
      <c r="K84" s="583" t="s">
        <v>1015</v>
      </c>
      <c r="L84" s="583" t="s">
        <v>1029</v>
      </c>
      <c r="M84" s="619">
        <v>1365</v>
      </c>
      <c r="N84" s="620">
        <v>44475</v>
      </c>
      <c r="O84" s="684" t="s">
        <v>67</v>
      </c>
      <c r="P84" s="503">
        <f t="shared" si="5"/>
        <v>10</v>
      </c>
      <c r="Q84" s="503">
        <f t="shared" si="6"/>
        <v>9</v>
      </c>
      <c r="R84" s="504" t="str">
        <f t="shared" si="7"/>
        <v>Gastos_Gerais</v>
      </c>
      <c r="S84" s="504" t="str">
        <f>IF(D84="","",IF(OR(D84=Plano!$A$1,D84=Plano!$B$1),"entrada","saída"))</f>
        <v>saída</v>
      </c>
      <c r="T84" s="505" t="s">
        <v>994</v>
      </c>
      <c r="U84" s="505">
        <v>2048</v>
      </c>
      <c r="V84" s="541"/>
    </row>
    <row r="85" spans="1:22" ht="35.25" customHeight="1" x14ac:dyDescent="0.2">
      <c r="A85" s="619">
        <f>IF(B85="","",COUNT('Diário 5º PA'!$A$5:$A$2634)+COUNT('Diário 6º PA'!$A$5:$A$2246)+COUNT('Diário 7º PA'!$A$5:$A$2271)+ROW()-4)</f>
        <v>4031</v>
      </c>
      <c r="B85" s="620">
        <v>44475</v>
      </c>
      <c r="C85" s="621">
        <v>44440</v>
      </c>
      <c r="D85" s="548" t="s">
        <v>88</v>
      </c>
      <c r="E85" s="548" t="s">
        <v>90</v>
      </c>
      <c r="F85" s="622">
        <v>2091.41</v>
      </c>
      <c r="G85" s="623" t="s">
        <v>5624</v>
      </c>
      <c r="H85" s="548" t="s">
        <v>114</v>
      </c>
      <c r="I85" s="583" t="s">
        <v>1808</v>
      </c>
      <c r="J85" s="548" t="s">
        <v>1028</v>
      </c>
      <c r="K85" s="583" t="s">
        <v>1015</v>
      </c>
      <c r="L85" s="583" t="s">
        <v>1183</v>
      </c>
      <c r="M85" s="619" t="s">
        <v>114</v>
      </c>
      <c r="N85" s="620">
        <v>44475</v>
      </c>
      <c r="O85" s="684" t="s">
        <v>67</v>
      </c>
      <c r="P85" s="503">
        <f t="shared" si="5"/>
        <v>10</v>
      </c>
      <c r="Q85" s="503">
        <f t="shared" si="6"/>
        <v>9</v>
      </c>
      <c r="R85" s="504" t="str">
        <f t="shared" si="7"/>
        <v>Gastos_com_Pessoal</v>
      </c>
      <c r="S85" s="504" t="str">
        <f>IF(D85="","",IF(OR(D85=Plano!$A$1,D85=Plano!$B$1),"entrada","saída"))</f>
        <v>saída</v>
      </c>
      <c r="T85" s="505" t="s">
        <v>114</v>
      </c>
      <c r="U85" s="505" t="s">
        <v>114</v>
      </c>
      <c r="V85" s="541"/>
    </row>
    <row r="86" spans="1:22" ht="189.75" customHeight="1" x14ac:dyDescent="0.2">
      <c r="A86" s="619">
        <f>IF(B86="","",COUNT('Diário 5º PA'!$A$5:$A$2634)+COUNT('Diário 6º PA'!$A$5:$A$2246)+COUNT('Diário 7º PA'!$A$5:$A$2271)+ROW()-4)</f>
        <v>4032</v>
      </c>
      <c r="B86" s="620">
        <v>44475</v>
      </c>
      <c r="C86" s="624">
        <v>44470</v>
      </c>
      <c r="D86" s="548" t="s">
        <v>99</v>
      </c>
      <c r="E86" s="548" t="s">
        <v>262</v>
      </c>
      <c r="F86" s="622">
        <v>3000</v>
      </c>
      <c r="G86" s="623" t="s">
        <v>474</v>
      </c>
      <c r="H86" s="548" t="s">
        <v>129</v>
      </c>
      <c r="I86" s="583" t="s">
        <v>1257</v>
      </c>
      <c r="J86" s="548" t="s">
        <v>476</v>
      </c>
      <c r="K86" s="583" t="s">
        <v>1015</v>
      </c>
      <c r="L86" s="583" t="s">
        <v>992</v>
      </c>
      <c r="M86" s="619" t="s">
        <v>1532</v>
      </c>
      <c r="N86" s="620">
        <v>44474</v>
      </c>
      <c r="O86" s="684" t="s">
        <v>67</v>
      </c>
      <c r="P86" s="503">
        <f t="shared" si="5"/>
        <v>10</v>
      </c>
      <c r="Q86" s="503">
        <f t="shared" si="6"/>
        <v>10</v>
      </c>
      <c r="R86" s="504" t="str">
        <f t="shared" si="7"/>
        <v>Gastos_Gerais</v>
      </c>
      <c r="S86" s="504" t="str">
        <f>IF(D86="","",IF(OR(D86=Plano!$A$1,D86=Plano!$B$1),"entrada","saída"))</f>
        <v>saída</v>
      </c>
      <c r="T86" s="505" t="s">
        <v>1059</v>
      </c>
      <c r="U86" s="505">
        <v>1273</v>
      </c>
      <c r="V86" s="541"/>
    </row>
    <row r="87" spans="1:22" ht="142.5" customHeight="1" x14ac:dyDescent="0.2">
      <c r="A87" s="619">
        <f>IF(B87="","",COUNT('Diário 5º PA'!$A$5:$A$2634)+COUNT('Diário 6º PA'!$A$5:$A$2246)+COUNT('Diário 7º PA'!$A$5:$A$2271)+ROW()-4)</f>
        <v>4033</v>
      </c>
      <c r="B87" s="620">
        <v>44475</v>
      </c>
      <c r="C87" s="624">
        <v>44409</v>
      </c>
      <c r="D87" s="548" t="s">
        <v>99</v>
      </c>
      <c r="E87" s="548" t="s">
        <v>358</v>
      </c>
      <c r="F87" s="622">
        <v>1281.5999999999999</v>
      </c>
      <c r="G87" s="623" t="s">
        <v>803</v>
      </c>
      <c r="H87" s="548" t="s">
        <v>123</v>
      </c>
      <c r="I87" s="583" t="s">
        <v>5635</v>
      </c>
      <c r="J87" s="548" t="s">
        <v>804</v>
      </c>
      <c r="K87" s="583" t="s">
        <v>1015</v>
      </c>
      <c r="L87" s="583" t="s">
        <v>1029</v>
      </c>
      <c r="M87" s="619">
        <v>1346</v>
      </c>
      <c r="N87" s="620">
        <v>44470</v>
      </c>
      <c r="O87" s="684" t="s">
        <v>67</v>
      </c>
      <c r="P87" s="503">
        <f t="shared" si="5"/>
        <v>10</v>
      </c>
      <c r="Q87" s="503">
        <f t="shared" si="6"/>
        <v>8</v>
      </c>
      <c r="R87" s="504" t="str">
        <f t="shared" si="7"/>
        <v>Gastos_Gerais</v>
      </c>
      <c r="S87" s="504" t="str">
        <f>IF(D87="","",IF(OR(D87=Plano!$A$1,D87=Plano!$B$1),"entrada","saída"))</f>
        <v>saída</v>
      </c>
      <c r="T87" s="505" t="s">
        <v>994</v>
      </c>
      <c r="U87" s="505">
        <v>1889</v>
      </c>
      <c r="V87" s="541"/>
    </row>
    <row r="88" spans="1:22" ht="39" customHeight="1" x14ac:dyDescent="0.2">
      <c r="A88" s="619">
        <f>IF(B88="","",COUNT('Diário 5º PA'!$A$5:$A$2634)+COUNT('Diário 6º PA'!$A$5:$A$2246)+COUNT('Diário 7º PA'!$A$5:$A$2271)+ROW()-4)</f>
        <v>4034</v>
      </c>
      <c r="B88" s="620">
        <v>44475</v>
      </c>
      <c r="C88" s="621">
        <v>44440</v>
      </c>
      <c r="D88" s="548" t="s">
        <v>88</v>
      </c>
      <c r="E88" s="548" t="s">
        <v>90</v>
      </c>
      <c r="F88" s="622">
        <v>12077.29</v>
      </c>
      <c r="G88" s="623" t="s">
        <v>5637</v>
      </c>
      <c r="H88" s="548" t="s">
        <v>114</v>
      </c>
      <c r="I88" s="583" t="s">
        <v>1229</v>
      </c>
      <c r="J88" s="548" t="s">
        <v>1230</v>
      </c>
      <c r="K88" s="583" t="s">
        <v>1015</v>
      </c>
      <c r="L88" s="583" t="s">
        <v>1183</v>
      </c>
      <c r="M88" s="619" t="s">
        <v>114</v>
      </c>
      <c r="N88" s="620">
        <v>44475</v>
      </c>
      <c r="O88" s="684" t="s">
        <v>67</v>
      </c>
      <c r="P88" s="503">
        <f t="shared" si="5"/>
        <v>10</v>
      </c>
      <c r="Q88" s="503">
        <f t="shared" si="6"/>
        <v>9</v>
      </c>
      <c r="R88" s="504" t="str">
        <f t="shared" si="7"/>
        <v>Gastos_com_Pessoal</v>
      </c>
      <c r="S88" s="504" t="str">
        <f>IF(D88="","",IF(OR(D88=Plano!$A$1,D88=Plano!$B$1),"entrada","saída"))</f>
        <v>saída</v>
      </c>
      <c r="T88" s="505" t="s">
        <v>114</v>
      </c>
      <c r="U88" s="505" t="s">
        <v>114</v>
      </c>
      <c r="V88" s="541"/>
    </row>
    <row r="89" spans="1:22" ht="42.75" customHeight="1" x14ac:dyDescent="0.2">
      <c r="A89" s="619">
        <f>IF(B89="","",COUNT('Diário 5º PA'!$A$5:$A$2634)+COUNT('Diário 6º PA'!$A$5:$A$2246)+COUNT('Diário 7º PA'!$A$5:$A$2271)+ROW()-4)</f>
        <v>4035</v>
      </c>
      <c r="B89" s="620">
        <v>44475</v>
      </c>
      <c r="C89" s="621">
        <v>44440</v>
      </c>
      <c r="D89" s="548" t="s">
        <v>88</v>
      </c>
      <c r="E89" s="548" t="s">
        <v>90</v>
      </c>
      <c r="F89" s="622">
        <v>2091.41</v>
      </c>
      <c r="G89" s="623" t="s">
        <v>5624</v>
      </c>
      <c r="H89" s="548" t="s">
        <v>114</v>
      </c>
      <c r="I89" s="583" t="s">
        <v>1810</v>
      </c>
      <c r="J89" s="548" t="s">
        <v>1811</v>
      </c>
      <c r="K89" s="583" t="s">
        <v>1015</v>
      </c>
      <c r="L89" s="583" t="s">
        <v>1183</v>
      </c>
      <c r="M89" s="619" t="s">
        <v>114</v>
      </c>
      <c r="N89" s="620">
        <v>44475</v>
      </c>
      <c r="O89" s="684" t="s">
        <v>67</v>
      </c>
      <c r="P89" s="503">
        <f t="shared" si="5"/>
        <v>10</v>
      </c>
      <c r="Q89" s="503">
        <f t="shared" si="6"/>
        <v>9</v>
      </c>
      <c r="R89" s="504" t="str">
        <f t="shared" si="7"/>
        <v>Gastos_com_Pessoal</v>
      </c>
      <c r="S89" s="504" t="str">
        <f>IF(D89="","",IF(OR(D89=Plano!$A$1,D89=Plano!$B$1),"entrada","saída"))</f>
        <v>saída</v>
      </c>
      <c r="T89" s="505" t="s">
        <v>114</v>
      </c>
      <c r="U89" s="505" t="s">
        <v>114</v>
      </c>
      <c r="V89" s="541"/>
    </row>
    <row r="90" spans="1:22" ht="45.75" customHeight="1" x14ac:dyDescent="0.2">
      <c r="A90" s="619">
        <f>IF(B90="","",COUNT('Diário 5º PA'!$A$5:$A$2634)+COUNT('Diário 6º PA'!$A$5:$A$2246)+COUNT('Diário 7º PA'!$A$5:$A$2271)+ROW()-4)</f>
        <v>4036</v>
      </c>
      <c r="B90" s="620">
        <v>44475</v>
      </c>
      <c r="C90" s="621">
        <v>44440</v>
      </c>
      <c r="D90" s="548" t="s">
        <v>88</v>
      </c>
      <c r="E90" s="548" t="s">
        <v>90</v>
      </c>
      <c r="F90" s="622">
        <v>2799.57</v>
      </c>
      <c r="G90" s="623" t="s">
        <v>5638</v>
      </c>
      <c r="H90" s="548" t="s">
        <v>114</v>
      </c>
      <c r="I90" s="583" t="s">
        <v>1232</v>
      </c>
      <c r="J90" s="548" t="s">
        <v>1233</v>
      </c>
      <c r="K90" s="583" t="s">
        <v>1015</v>
      </c>
      <c r="L90" s="583" t="s">
        <v>1183</v>
      </c>
      <c r="M90" s="619" t="s">
        <v>114</v>
      </c>
      <c r="N90" s="620">
        <v>44475</v>
      </c>
      <c r="O90" s="684" t="s">
        <v>67</v>
      </c>
      <c r="P90" s="503">
        <f t="shared" si="5"/>
        <v>10</v>
      </c>
      <c r="Q90" s="503">
        <f t="shared" si="6"/>
        <v>9</v>
      </c>
      <c r="R90" s="504" t="str">
        <f t="shared" si="7"/>
        <v>Gastos_com_Pessoal</v>
      </c>
      <c r="S90" s="504" t="str">
        <f>IF(D90="","",IF(OR(D90=Plano!$A$1,D90=Plano!$B$1),"entrada","saída"))</f>
        <v>saída</v>
      </c>
      <c r="T90" s="505" t="s">
        <v>114</v>
      </c>
      <c r="U90" s="505" t="s">
        <v>114</v>
      </c>
      <c r="V90" s="541"/>
    </row>
    <row r="91" spans="1:22" ht="36" customHeight="1" x14ac:dyDescent="0.2">
      <c r="A91" s="619">
        <f>IF(B91="","",COUNT('Diário 5º PA'!$A$5:$A$2634)+COUNT('Diário 6º PA'!$A$5:$A$2246)+COUNT('Diário 7º PA'!$A$5:$A$2271)+ROW()-4)</f>
        <v>4037</v>
      </c>
      <c r="B91" s="620">
        <v>44475</v>
      </c>
      <c r="C91" s="621">
        <v>44440</v>
      </c>
      <c r="D91" s="548" t="s">
        <v>88</v>
      </c>
      <c r="E91" s="548" t="s">
        <v>90</v>
      </c>
      <c r="F91" s="622">
        <v>4413.74</v>
      </c>
      <c r="G91" s="623" t="s">
        <v>5639</v>
      </c>
      <c r="H91" s="548" t="s">
        <v>114</v>
      </c>
      <c r="I91" s="583" t="s">
        <v>1235</v>
      </c>
      <c r="J91" s="548" t="s">
        <v>1236</v>
      </c>
      <c r="K91" s="583" t="s">
        <v>1015</v>
      </c>
      <c r="L91" s="583" t="s">
        <v>1183</v>
      </c>
      <c r="M91" s="619" t="s">
        <v>114</v>
      </c>
      <c r="N91" s="620">
        <v>44475</v>
      </c>
      <c r="O91" s="684" t="s">
        <v>67</v>
      </c>
      <c r="P91" s="503">
        <f t="shared" si="5"/>
        <v>10</v>
      </c>
      <c r="Q91" s="503">
        <f t="shared" si="6"/>
        <v>9</v>
      </c>
      <c r="R91" s="504" t="str">
        <f t="shared" si="7"/>
        <v>Gastos_com_Pessoal</v>
      </c>
      <c r="S91" s="504" t="str">
        <f>IF(D91="","",IF(OR(D91=Plano!$A$1,D91=Plano!$B$1),"entrada","saída"))</f>
        <v>saída</v>
      </c>
      <c r="T91" s="505" t="s">
        <v>114</v>
      </c>
      <c r="U91" s="505" t="s">
        <v>114</v>
      </c>
      <c r="V91" s="541"/>
    </row>
    <row r="92" spans="1:22" ht="36.75" customHeight="1" x14ac:dyDescent="0.2">
      <c r="A92" s="619">
        <f>IF(B92="","",COUNT('Diário 5º PA'!$A$5:$A$2634)+COUNT('Diário 6º PA'!$A$5:$A$2246)+COUNT('Diário 7º PA'!$A$5:$A$2271)+ROW()-4)</f>
        <v>4038</v>
      </c>
      <c r="B92" s="620">
        <v>44475</v>
      </c>
      <c r="C92" s="621">
        <v>44440</v>
      </c>
      <c r="D92" s="548" t="s">
        <v>88</v>
      </c>
      <c r="E92" s="548" t="s">
        <v>90</v>
      </c>
      <c r="F92" s="622">
        <v>10336.879999999999</v>
      </c>
      <c r="G92" s="623" t="s">
        <v>5640</v>
      </c>
      <c r="H92" s="548" t="s">
        <v>114</v>
      </c>
      <c r="I92" s="583" t="s">
        <v>1181</v>
      </c>
      <c r="J92" s="548" t="s">
        <v>1182</v>
      </c>
      <c r="K92" s="583" t="s">
        <v>991</v>
      </c>
      <c r="L92" s="583" t="s">
        <v>1183</v>
      </c>
      <c r="M92" s="619" t="s">
        <v>114</v>
      </c>
      <c r="N92" s="620">
        <v>44475</v>
      </c>
      <c r="O92" s="684" t="s">
        <v>67</v>
      </c>
      <c r="P92" s="503">
        <f t="shared" si="5"/>
        <v>10</v>
      </c>
      <c r="Q92" s="503">
        <f t="shared" si="6"/>
        <v>9</v>
      </c>
      <c r="R92" s="504" t="str">
        <f t="shared" si="7"/>
        <v>Gastos_com_Pessoal</v>
      </c>
      <c r="S92" s="504" t="str">
        <f>IF(D92="","",IF(OR(D92=Plano!$A$1,D92=Plano!$B$1),"entrada","saída"))</f>
        <v>saída</v>
      </c>
      <c r="T92" s="505" t="s">
        <v>114</v>
      </c>
      <c r="U92" s="505" t="s">
        <v>114</v>
      </c>
      <c r="V92" s="541"/>
    </row>
    <row r="93" spans="1:22" ht="37.5" customHeight="1" x14ac:dyDescent="0.2">
      <c r="A93" s="619">
        <f>IF(B93="","",COUNT('Diário 5º PA'!$A$5:$A$2634)+COUNT('Diário 6º PA'!$A$5:$A$2246)+COUNT('Diário 7º PA'!$A$5:$A$2271)+ROW()-4)</f>
        <v>4039</v>
      </c>
      <c r="B93" s="620">
        <v>44475</v>
      </c>
      <c r="C93" s="621">
        <v>44440</v>
      </c>
      <c r="D93" s="548" t="s">
        <v>88</v>
      </c>
      <c r="E93" s="548" t="s">
        <v>90</v>
      </c>
      <c r="F93" s="622">
        <v>2073.86</v>
      </c>
      <c r="G93" s="623" t="s">
        <v>5624</v>
      </c>
      <c r="H93" s="548" t="s">
        <v>114</v>
      </c>
      <c r="I93" s="583" t="s">
        <v>1757</v>
      </c>
      <c r="J93" s="548" t="s">
        <v>1758</v>
      </c>
      <c r="K93" s="583" t="s">
        <v>991</v>
      </c>
      <c r="L93" s="583" t="s">
        <v>1183</v>
      </c>
      <c r="M93" s="619" t="s">
        <v>114</v>
      </c>
      <c r="N93" s="620">
        <v>44475</v>
      </c>
      <c r="O93" s="684" t="s">
        <v>67</v>
      </c>
      <c r="P93" s="503">
        <f t="shared" si="5"/>
        <v>10</v>
      </c>
      <c r="Q93" s="503">
        <f t="shared" si="6"/>
        <v>9</v>
      </c>
      <c r="R93" s="504" t="str">
        <f t="shared" si="7"/>
        <v>Gastos_com_Pessoal</v>
      </c>
      <c r="S93" s="504" t="str">
        <f>IF(D93="","",IF(OR(D93=Plano!$A$1,D93=Plano!$B$1),"entrada","saída"))</f>
        <v>saída</v>
      </c>
      <c r="T93" s="505" t="s">
        <v>114</v>
      </c>
      <c r="U93" s="505" t="s">
        <v>114</v>
      </c>
      <c r="V93" s="541"/>
    </row>
    <row r="94" spans="1:22" ht="39" customHeight="1" x14ac:dyDescent="0.2">
      <c r="A94" s="619">
        <f>IF(B94="","",COUNT('Diário 5º PA'!$A$5:$A$2634)+COUNT('Diário 6º PA'!$A$5:$A$2246)+COUNT('Diário 7º PA'!$A$5:$A$2271)+ROW()-4)</f>
        <v>4040</v>
      </c>
      <c r="B94" s="620">
        <v>44475</v>
      </c>
      <c r="C94" s="621">
        <v>44440</v>
      </c>
      <c r="D94" s="548" t="s">
        <v>88</v>
      </c>
      <c r="E94" s="548" t="s">
        <v>90</v>
      </c>
      <c r="F94" s="622">
        <v>2091.41</v>
      </c>
      <c r="G94" s="623" t="s">
        <v>5630</v>
      </c>
      <c r="H94" s="548" t="s">
        <v>114</v>
      </c>
      <c r="I94" s="583" t="s">
        <v>2222</v>
      </c>
      <c r="J94" s="548" t="s">
        <v>2223</v>
      </c>
      <c r="K94" s="583" t="s">
        <v>991</v>
      </c>
      <c r="L94" s="583" t="s">
        <v>1183</v>
      </c>
      <c r="M94" s="619" t="s">
        <v>114</v>
      </c>
      <c r="N94" s="620">
        <v>44475</v>
      </c>
      <c r="O94" s="684" t="s">
        <v>67</v>
      </c>
      <c r="P94" s="503">
        <f t="shared" si="5"/>
        <v>10</v>
      </c>
      <c r="Q94" s="503">
        <f t="shared" si="6"/>
        <v>9</v>
      </c>
      <c r="R94" s="504" t="str">
        <f t="shared" si="7"/>
        <v>Gastos_com_Pessoal</v>
      </c>
      <c r="S94" s="504" t="str">
        <f>IF(D94="","",IF(OR(D94=Plano!$A$1,D94=Plano!$B$1),"entrada","saída"))</f>
        <v>saída</v>
      </c>
      <c r="T94" s="505" t="s">
        <v>114</v>
      </c>
      <c r="U94" s="505" t="s">
        <v>114</v>
      </c>
      <c r="V94" s="541"/>
    </row>
    <row r="95" spans="1:22" ht="31.5" customHeight="1" x14ac:dyDescent="0.2">
      <c r="A95" s="619">
        <f>IF(B95="","",COUNT('Diário 5º PA'!$A$5:$A$2634)+COUNT('Diário 6º PA'!$A$5:$A$2246)+COUNT('Diário 7º PA'!$A$5:$A$2271)+ROW()-4)</f>
        <v>4041</v>
      </c>
      <c r="B95" s="620">
        <v>44475</v>
      </c>
      <c r="C95" s="621">
        <v>44440</v>
      </c>
      <c r="D95" s="548" t="s">
        <v>88</v>
      </c>
      <c r="E95" s="548" t="s">
        <v>90</v>
      </c>
      <c r="F95" s="622">
        <v>2613.0700000000002</v>
      </c>
      <c r="G95" s="623" t="s">
        <v>5641</v>
      </c>
      <c r="H95" s="548" t="s">
        <v>114</v>
      </c>
      <c r="I95" s="583" t="s">
        <v>1185</v>
      </c>
      <c r="J95" s="548" t="s">
        <v>1186</v>
      </c>
      <c r="K95" s="583" t="s">
        <v>991</v>
      </c>
      <c r="L95" s="583" t="s">
        <v>1183</v>
      </c>
      <c r="M95" s="619" t="s">
        <v>114</v>
      </c>
      <c r="N95" s="620">
        <v>44475</v>
      </c>
      <c r="O95" s="684" t="s">
        <v>67</v>
      </c>
      <c r="P95" s="503">
        <f t="shared" si="5"/>
        <v>10</v>
      </c>
      <c r="Q95" s="503">
        <f t="shared" si="6"/>
        <v>9</v>
      </c>
      <c r="R95" s="504" t="str">
        <f t="shared" si="7"/>
        <v>Gastos_com_Pessoal</v>
      </c>
      <c r="S95" s="504" t="str">
        <f>IF(D95="","",IF(OR(D95=Plano!$A$1,D95=Plano!$B$1),"entrada","saída"))</f>
        <v>saída</v>
      </c>
      <c r="T95" s="505" t="s">
        <v>114</v>
      </c>
      <c r="U95" s="505" t="s">
        <v>114</v>
      </c>
      <c r="V95" s="541"/>
    </row>
    <row r="96" spans="1:22" ht="45" customHeight="1" x14ac:dyDescent="0.2">
      <c r="A96" s="619">
        <f>IF(B96="","",COUNT('Diário 5º PA'!$A$5:$A$2634)+COUNT('Diário 6º PA'!$A$5:$A$2246)+COUNT('Diário 7º PA'!$A$5:$A$2271)+ROW()-4)</f>
        <v>4042</v>
      </c>
      <c r="B96" s="620">
        <v>44475</v>
      </c>
      <c r="C96" s="621">
        <v>44440</v>
      </c>
      <c r="D96" s="548" t="s">
        <v>88</v>
      </c>
      <c r="E96" s="548" t="s">
        <v>90</v>
      </c>
      <c r="F96" s="622">
        <v>2995.06</v>
      </c>
      <c r="G96" s="623" t="s">
        <v>5642</v>
      </c>
      <c r="H96" s="548" t="s">
        <v>114</v>
      </c>
      <c r="I96" s="583" t="s">
        <v>2225</v>
      </c>
      <c r="J96" s="548" t="s">
        <v>2226</v>
      </c>
      <c r="K96" s="583" t="s">
        <v>991</v>
      </c>
      <c r="L96" s="583" t="s">
        <v>1183</v>
      </c>
      <c r="M96" s="619" t="s">
        <v>114</v>
      </c>
      <c r="N96" s="620">
        <v>44475</v>
      </c>
      <c r="O96" s="684" t="s">
        <v>67</v>
      </c>
      <c r="P96" s="503">
        <f t="shared" si="5"/>
        <v>10</v>
      </c>
      <c r="Q96" s="503">
        <f t="shared" si="6"/>
        <v>9</v>
      </c>
      <c r="R96" s="504" t="str">
        <f t="shared" si="7"/>
        <v>Gastos_com_Pessoal</v>
      </c>
      <c r="S96" s="504" t="str">
        <f>IF(D96="","",IF(OR(D96=Plano!$A$1,D96=Plano!$B$1),"entrada","saída"))</f>
        <v>saída</v>
      </c>
      <c r="T96" s="505" t="s">
        <v>114</v>
      </c>
      <c r="U96" s="505" t="s">
        <v>114</v>
      </c>
      <c r="V96" s="541"/>
    </row>
    <row r="97" spans="1:22" ht="45" customHeight="1" x14ac:dyDescent="0.2">
      <c r="A97" s="619">
        <f>IF(B97="","",COUNT('Diário 5º PA'!$A$5:$A$2634)+COUNT('Diário 6º PA'!$A$5:$A$2246)+COUNT('Diário 7º PA'!$A$5:$A$2271)+ROW()-4)</f>
        <v>4043</v>
      </c>
      <c r="B97" s="620">
        <v>44475</v>
      </c>
      <c r="C97" s="621">
        <v>44440</v>
      </c>
      <c r="D97" s="548" t="s">
        <v>88</v>
      </c>
      <c r="E97" s="548" t="s">
        <v>90</v>
      </c>
      <c r="F97" s="622">
        <v>2091.41</v>
      </c>
      <c r="G97" s="623" t="s">
        <v>5643</v>
      </c>
      <c r="H97" s="548" t="s">
        <v>114</v>
      </c>
      <c r="I97" s="583" t="s">
        <v>2228</v>
      </c>
      <c r="J97" s="548" t="s">
        <v>2229</v>
      </c>
      <c r="K97" s="583" t="s">
        <v>991</v>
      </c>
      <c r="L97" s="583" t="s">
        <v>1183</v>
      </c>
      <c r="M97" s="619" t="s">
        <v>114</v>
      </c>
      <c r="N97" s="620">
        <v>44475</v>
      </c>
      <c r="O97" s="684" t="s">
        <v>67</v>
      </c>
      <c r="P97" s="503">
        <f t="shared" si="5"/>
        <v>10</v>
      </c>
      <c r="Q97" s="503">
        <f t="shared" si="6"/>
        <v>9</v>
      </c>
      <c r="R97" s="504" t="str">
        <f t="shared" si="7"/>
        <v>Gastos_com_Pessoal</v>
      </c>
      <c r="S97" s="504" t="str">
        <f>IF(D97="","",IF(OR(D97=Plano!$A$1,D97=Plano!$B$1),"entrada","saída"))</f>
        <v>saída</v>
      </c>
      <c r="T97" s="505" t="s">
        <v>114</v>
      </c>
      <c r="U97" s="505" t="s">
        <v>114</v>
      </c>
      <c r="V97" s="541"/>
    </row>
    <row r="98" spans="1:22" ht="45" customHeight="1" x14ac:dyDescent="0.2">
      <c r="A98" s="619">
        <f>IF(B98="","",COUNT('Diário 5º PA'!$A$5:$A$2634)+COUNT('Diário 6º PA'!$A$5:$A$2246)+COUNT('Diário 7º PA'!$A$5:$A$2271)+ROW()-4)</f>
        <v>4044</v>
      </c>
      <c r="B98" s="620">
        <v>44475</v>
      </c>
      <c r="C98" s="621">
        <v>44440</v>
      </c>
      <c r="D98" s="548" t="s">
        <v>88</v>
      </c>
      <c r="E98" s="548" t="s">
        <v>90</v>
      </c>
      <c r="F98" s="622">
        <v>2254.21</v>
      </c>
      <c r="G98" s="623" t="s">
        <v>5644</v>
      </c>
      <c r="H98" s="548" t="s">
        <v>114</v>
      </c>
      <c r="I98" s="583" t="s">
        <v>1760</v>
      </c>
      <c r="J98" s="548" t="s">
        <v>1761</v>
      </c>
      <c r="K98" s="583" t="s">
        <v>991</v>
      </c>
      <c r="L98" s="583" t="s">
        <v>1183</v>
      </c>
      <c r="M98" s="619" t="s">
        <v>114</v>
      </c>
      <c r="N98" s="620">
        <v>44475</v>
      </c>
      <c r="O98" s="684" t="s">
        <v>67</v>
      </c>
      <c r="P98" s="503">
        <f t="shared" si="5"/>
        <v>10</v>
      </c>
      <c r="Q98" s="503">
        <f t="shared" si="6"/>
        <v>9</v>
      </c>
      <c r="R98" s="504" t="str">
        <f t="shared" si="7"/>
        <v>Gastos_com_Pessoal</v>
      </c>
      <c r="S98" s="504" t="str">
        <f>IF(D98="","",IF(OR(D98=Plano!$A$1,D98=Plano!$B$1),"entrada","saída"))</f>
        <v>saída</v>
      </c>
      <c r="T98" s="505" t="s">
        <v>114</v>
      </c>
      <c r="U98" s="505" t="s">
        <v>114</v>
      </c>
      <c r="V98" s="541"/>
    </row>
    <row r="99" spans="1:22" ht="45" customHeight="1" x14ac:dyDescent="0.2">
      <c r="A99" s="619">
        <f>IF(B99="","",COUNT('Diário 5º PA'!$A$5:$A$2634)+COUNT('Diário 6º PA'!$A$5:$A$2246)+COUNT('Diário 7º PA'!$A$5:$A$2271)+ROW()-4)</f>
        <v>4045</v>
      </c>
      <c r="B99" s="620">
        <v>44475</v>
      </c>
      <c r="C99" s="621">
        <v>44440</v>
      </c>
      <c r="D99" s="548" t="s">
        <v>88</v>
      </c>
      <c r="E99" s="548" t="s">
        <v>90</v>
      </c>
      <c r="F99" s="622">
        <v>2091.41</v>
      </c>
      <c r="G99" s="623" t="s">
        <v>5645</v>
      </c>
      <c r="H99" s="548" t="s">
        <v>114</v>
      </c>
      <c r="I99" s="583" t="s">
        <v>2232</v>
      </c>
      <c r="J99" s="548" t="s">
        <v>2229</v>
      </c>
      <c r="K99" s="583" t="s">
        <v>991</v>
      </c>
      <c r="L99" s="583" t="s">
        <v>1183</v>
      </c>
      <c r="M99" s="619" t="s">
        <v>114</v>
      </c>
      <c r="N99" s="620">
        <v>44475</v>
      </c>
      <c r="O99" s="684" t="s">
        <v>67</v>
      </c>
      <c r="P99" s="503">
        <f t="shared" si="5"/>
        <v>10</v>
      </c>
      <c r="Q99" s="503">
        <f t="shared" si="6"/>
        <v>9</v>
      </c>
      <c r="R99" s="504" t="str">
        <f t="shared" si="7"/>
        <v>Gastos_com_Pessoal</v>
      </c>
      <c r="S99" s="504" t="str">
        <f>IF(D99="","",IF(OR(D99=Plano!$A$1,D99=Plano!$B$1),"entrada","saída"))</f>
        <v>saída</v>
      </c>
      <c r="T99" s="505" t="s">
        <v>114</v>
      </c>
      <c r="U99" s="505" t="s">
        <v>114</v>
      </c>
      <c r="V99" s="541"/>
    </row>
    <row r="100" spans="1:22" ht="45" customHeight="1" x14ac:dyDescent="0.2">
      <c r="A100" s="619">
        <f>IF(B100="","",COUNT('Diário 5º PA'!$A$5:$A$2634)+COUNT('Diário 6º PA'!$A$5:$A$2246)+COUNT('Diário 7º PA'!$A$5:$A$2271)+ROW()-4)</f>
        <v>4046</v>
      </c>
      <c r="B100" s="620">
        <v>44475</v>
      </c>
      <c r="C100" s="621">
        <v>44440</v>
      </c>
      <c r="D100" s="548" t="s">
        <v>88</v>
      </c>
      <c r="E100" s="548" t="s">
        <v>90</v>
      </c>
      <c r="F100" s="622">
        <v>1416.44</v>
      </c>
      <c r="G100" s="623" t="s">
        <v>5629</v>
      </c>
      <c r="H100" s="548" t="s">
        <v>114</v>
      </c>
      <c r="I100" s="583" t="s">
        <v>1188</v>
      </c>
      <c r="J100" s="548" t="s">
        <v>1189</v>
      </c>
      <c r="K100" s="583" t="s">
        <v>991</v>
      </c>
      <c r="L100" s="583" t="s">
        <v>1183</v>
      </c>
      <c r="M100" s="619" t="s">
        <v>114</v>
      </c>
      <c r="N100" s="620">
        <v>44475</v>
      </c>
      <c r="O100" s="684" t="s">
        <v>67</v>
      </c>
      <c r="P100" s="503">
        <f t="shared" si="5"/>
        <v>10</v>
      </c>
      <c r="Q100" s="503">
        <f t="shared" si="6"/>
        <v>9</v>
      </c>
      <c r="R100" s="504" t="str">
        <f t="shared" si="7"/>
        <v>Gastos_com_Pessoal</v>
      </c>
      <c r="S100" s="504" t="str">
        <f>IF(D100="","",IF(OR(D100=Plano!$A$1,D100=Plano!$B$1),"entrada","saída"))</f>
        <v>saída</v>
      </c>
      <c r="T100" s="505" t="s">
        <v>114</v>
      </c>
      <c r="U100" s="505" t="s">
        <v>114</v>
      </c>
      <c r="V100" s="541"/>
    </row>
    <row r="101" spans="1:22" ht="45" customHeight="1" x14ac:dyDescent="0.2">
      <c r="A101" s="619">
        <f>IF(B101="","",COUNT('Diário 5º PA'!$A$5:$A$2634)+COUNT('Diário 6º PA'!$A$5:$A$2246)+COUNT('Diário 7º PA'!$A$5:$A$2271)+ROW()-4)</f>
        <v>4047</v>
      </c>
      <c r="B101" s="620">
        <v>44475</v>
      </c>
      <c r="C101" s="621">
        <v>44440</v>
      </c>
      <c r="D101" s="548" t="s">
        <v>88</v>
      </c>
      <c r="E101" s="548" t="s">
        <v>90</v>
      </c>
      <c r="F101" s="622">
        <v>2091.41</v>
      </c>
      <c r="G101" s="623" t="s">
        <v>5646</v>
      </c>
      <c r="H101" s="548" t="s">
        <v>114</v>
      </c>
      <c r="I101" s="583" t="s">
        <v>2235</v>
      </c>
      <c r="J101" s="548" t="s">
        <v>2236</v>
      </c>
      <c r="K101" s="583" t="s">
        <v>991</v>
      </c>
      <c r="L101" s="583" t="s">
        <v>1183</v>
      </c>
      <c r="M101" s="619" t="s">
        <v>114</v>
      </c>
      <c r="N101" s="620">
        <v>44475</v>
      </c>
      <c r="O101" s="684" t="s">
        <v>67</v>
      </c>
      <c r="P101" s="503">
        <f t="shared" si="5"/>
        <v>10</v>
      </c>
      <c r="Q101" s="503">
        <f t="shared" si="6"/>
        <v>9</v>
      </c>
      <c r="R101" s="504" t="str">
        <f t="shared" si="7"/>
        <v>Gastos_com_Pessoal</v>
      </c>
      <c r="S101" s="504" t="str">
        <f>IF(D101="","",IF(OR(D101=Plano!$A$1,D101=Plano!$B$1),"entrada","saída"))</f>
        <v>saída</v>
      </c>
      <c r="T101" s="505" t="s">
        <v>114</v>
      </c>
      <c r="U101" s="505" t="s">
        <v>114</v>
      </c>
      <c r="V101" s="541"/>
    </row>
    <row r="102" spans="1:22" ht="45" customHeight="1" x14ac:dyDescent="0.2">
      <c r="A102" s="619">
        <f>IF(B102="","",COUNT('Diário 5º PA'!$A$5:$A$2634)+COUNT('Diário 6º PA'!$A$5:$A$2246)+COUNT('Diário 7º PA'!$A$5:$A$2271)+ROW()-4)</f>
        <v>4048</v>
      </c>
      <c r="B102" s="620">
        <v>44475</v>
      </c>
      <c r="C102" s="621">
        <v>44440</v>
      </c>
      <c r="D102" s="548" t="s">
        <v>88</v>
      </c>
      <c r="E102" s="548" t="s">
        <v>90</v>
      </c>
      <c r="F102" s="622">
        <v>3549.36</v>
      </c>
      <c r="G102" s="623" t="s">
        <v>5647</v>
      </c>
      <c r="H102" s="548" t="s">
        <v>114</v>
      </c>
      <c r="I102" s="583" t="s">
        <v>1191</v>
      </c>
      <c r="J102" s="548" t="s">
        <v>1192</v>
      </c>
      <c r="K102" s="583" t="s">
        <v>991</v>
      </c>
      <c r="L102" s="583" t="s">
        <v>1183</v>
      </c>
      <c r="M102" s="619" t="s">
        <v>114</v>
      </c>
      <c r="N102" s="620">
        <v>44475</v>
      </c>
      <c r="O102" s="684" t="s">
        <v>67</v>
      </c>
      <c r="P102" s="503">
        <f t="shared" si="5"/>
        <v>10</v>
      </c>
      <c r="Q102" s="503">
        <f t="shared" si="6"/>
        <v>9</v>
      </c>
      <c r="R102" s="504" t="str">
        <f t="shared" si="7"/>
        <v>Gastos_com_Pessoal</v>
      </c>
      <c r="S102" s="504" t="str">
        <f>IF(D102="","",IF(OR(D102=Plano!$A$1,D102=Plano!$B$1),"entrada","saída"))</f>
        <v>saída</v>
      </c>
      <c r="T102" s="505" t="s">
        <v>114</v>
      </c>
      <c r="U102" s="505" t="s">
        <v>114</v>
      </c>
      <c r="V102" s="541"/>
    </row>
    <row r="103" spans="1:22" ht="45" customHeight="1" x14ac:dyDescent="0.2">
      <c r="A103" s="619">
        <f>IF(B103="","",COUNT('Diário 5º PA'!$A$5:$A$2634)+COUNT('Diário 6º PA'!$A$5:$A$2246)+COUNT('Diário 7º PA'!$A$5:$A$2271)+ROW()-4)</f>
        <v>4049</v>
      </c>
      <c r="B103" s="620">
        <v>44475</v>
      </c>
      <c r="C103" s="621">
        <v>44440</v>
      </c>
      <c r="D103" s="548" t="s">
        <v>88</v>
      </c>
      <c r="E103" s="548" t="s">
        <v>90</v>
      </c>
      <c r="F103" s="622">
        <v>2091.41</v>
      </c>
      <c r="G103" s="623" t="s">
        <v>5646</v>
      </c>
      <c r="H103" s="548" t="s">
        <v>114</v>
      </c>
      <c r="I103" s="583" t="s">
        <v>2238</v>
      </c>
      <c r="J103" s="548" t="s">
        <v>2239</v>
      </c>
      <c r="K103" s="583" t="s">
        <v>991</v>
      </c>
      <c r="L103" s="583" t="s">
        <v>1183</v>
      </c>
      <c r="M103" s="619" t="s">
        <v>114</v>
      </c>
      <c r="N103" s="620">
        <v>44475</v>
      </c>
      <c r="O103" s="684" t="s">
        <v>67</v>
      </c>
      <c r="P103" s="503">
        <f t="shared" si="5"/>
        <v>10</v>
      </c>
      <c r="Q103" s="503">
        <f t="shared" si="6"/>
        <v>9</v>
      </c>
      <c r="R103" s="504" t="str">
        <f t="shared" si="7"/>
        <v>Gastos_com_Pessoal</v>
      </c>
      <c r="S103" s="504" t="str">
        <f>IF(D103="","",IF(OR(D103=Plano!$A$1,D103=Plano!$B$1),"entrada","saída"))</f>
        <v>saída</v>
      </c>
      <c r="T103" s="505" t="s">
        <v>114</v>
      </c>
      <c r="U103" s="505" t="s">
        <v>114</v>
      </c>
      <c r="V103" s="541"/>
    </row>
    <row r="104" spans="1:22" s="492" customFormat="1" ht="45" customHeight="1" x14ac:dyDescent="0.2">
      <c r="A104" s="619">
        <f>IF(B104="","",COUNT('Diário 5º PA'!$A$5:$A$2634)+COUNT('Diário 6º PA'!$A$5:$A$2246)+COUNT('Diário 7º PA'!$A$5:$A$2271)+ROW()-4)</f>
        <v>4050</v>
      </c>
      <c r="B104" s="620">
        <v>44475</v>
      </c>
      <c r="C104" s="621">
        <v>44440</v>
      </c>
      <c r="D104" s="548" t="s">
        <v>88</v>
      </c>
      <c r="E104" s="548" t="s">
        <v>90</v>
      </c>
      <c r="F104" s="622">
        <v>2742.61</v>
      </c>
      <c r="G104" s="623" t="s">
        <v>5649</v>
      </c>
      <c r="H104" s="548" t="s">
        <v>114</v>
      </c>
      <c r="I104" s="583" t="s">
        <v>2258</v>
      </c>
      <c r="J104" s="548" t="s">
        <v>2259</v>
      </c>
      <c r="K104" s="583" t="s">
        <v>991</v>
      </c>
      <c r="L104" s="583" t="s">
        <v>1183</v>
      </c>
      <c r="M104" s="619" t="s">
        <v>114</v>
      </c>
      <c r="N104" s="620">
        <v>44475</v>
      </c>
      <c r="O104" s="684" t="s">
        <v>67</v>
      </c>
      <c r="P104" s="503">
        <f t="shared" si="5"/>
        <v>10</v>
      </c>
      <c r="Q104" s="503">
        <f t="shared" si="6"/>
        <v>9</v>
      </c>
      <c r="R104" s="504" t="str">
        <f t="shared" si="7"/>
        <v>Gastos_com_Pessoal</v>
      </c>
      <c r="S104" s="504" t="str">
        <f>IF(D104="","",IF(OR(D104=Plano!$A$1,D104=Plano!$B$1),"entrada","saída"))</f>
        <v>saída</v>
      </c>
      <c r="T104" s="505" t="s">
        <v>114</v>
      </c>
      <c r="U104" s="505" t="s">
        <v>114</v>
      </c>
      <c r="V104" s="541"/>
    </row>
    <row r="105" spans="1:22" ht="45" customHeight="1" x14ac:dyDescent="0.2">
      <c r="A105" s="619">
        <f>IF(B105="","",COUNT('Diário 5º PA'!$A$5:$A$2634)+COUNT('Diário 6º PA'!$A$5:$A$2246)+COUNT('Diário 7º PA'!$A$5:$A$2271)+ROW()-4)</f>
        <v>4051</v>
      </c>
      <c r="B105" s="620">
        <v>44475</v>
      </c>
      <c r="C105" s="621">
        <v>44440</v>
      </c>
      <c r="D105" s="548" t="s">
        <v>88</v>
      </c>
      <c r="E105" s="548" t="s">
        <v>90</v>
      </c>
      <c r="F105" s="622">
        <v>2073.86</v>
      </c>
      <c r="G105" s="623" t="s">
        <v>5624</v>
      </c>
      <c r="H105" s="548" t="s">
        <v>114</v>
      </c>
      <c r="I105" s="583" t="s">
        <v>1763</v>
      </c>
      <c r="J105" s="548" t="s">
        <v>1764</v>
      </c>
      <c r="K105" s="583" t="s">
        <v>991</v>
      </c>
      <c r="L105" s="583" t="s">
        <v>1183</v>
      </c>
      <c r="M105" s="619" t="s">
        <v>114</v>
      </c>
      <c r="N105" s="620">
        <v>44475</v>
      </c>
      <c r="O105" s="684" t="s">
        <v>67</v>
      </c>
      <c r="P105" s="503">
        <f t="shared" si="5"/>
        <v>10</v>
      </c>
      <c r="Q105" s="503">
        <f t="shared" si="6"/>
        <v>9</v>
      </c>
      <c r="R105" s="504" t="str">
        <f t="shared" si="7"/>
        <v>Gastos_com_Pessoal</v>
      </c>
      <c r="S105" s="504" t="str">
        <f>IF(D105="","",IF(OR(D105=Plano!$A$1,D105=Plano!$B$1),"entrada","saída"))</f>
        <v>saída</v>
      </c>
      <c r="T105" s="505" t="s">
        <v>114</v>
      </c>
      <c r="U105" s="505" t="s">
        <v>114</v>
      </c>
      <c r="V105" s="541"/>
    </row>
    <row r="106" spans="1:22" ht="45" customHeight="1" x14ac:dyDescent="0.2">
      <c r="A106" s="619">
        <f>IF(B106="","",COUNT('Diário 5º PA'!$A$5:$A$2634)+COUNT('Diário 6º PA'!$A$5:$A$2246)+COUNT('Diário 7º PA'!$A$5:$A$2271)+ROW()-4)</f>
        <v>4052</v>
      </c>
      <c r="B106" s="620">
        <v>44475</v>
      </c>
      <c r="C106" s="621">
        <v>44440</v>
      </c>
      <c r="D106" s="548" t="s">
        <v>88</v>
      </c>
      <c r="E106" s="548" t="s">
        <v>90</v>
      </c>
      <c r="F106" s="622">
        <v>2756.83</v>
      </c>
      <c r="G106" s="623" t="s">
        <v>5648</v>
      </c>
      <c r="H106" s="548" t="s">
        <v>114</v>
      </c>
      <c r="I106" s="583" t="s">
        <v>1208</v>
      </c>
      <c r="J106" s="548" t="s">
        <v>1209</v>
      </c>
      <c r="K106" s="583" t="s">
        <v>991</v>
      </c>
      <c r="L106" s="583" t="s">
        <v>1183</v>
      </c>
      <c r="M106" s="619" t="s">
        <v>114</v>
      </c>
      <c r="N106" s="620">
        <v>44475</v>
      </c>
      <c r="O106" s="684" t="s">
        <v>67</v>
      </c>
      <c r="P106" s="503">
        <f t="shared" si="5"/>
        <v>10</v>
      </c>
      <c r="Q106" s="503">
        <f t="shared" si="6"/>
        <v>9</v>
      </c>
      <c r="R106" s="504" t="str">
        <f t="shared" si="7"/>
        <v>Gastos_com_Pessoal</v>
      </c>
      <c r="S106" s="504" t="str">
        <f>IF(D106="","",IF(OR(D106=Plano!$A$1,D106=Plano!$B$1),"entrada","saída"))</f>
        <v>saída</v>
      </c>
      <c r="T106" s="505" t="s">
        <v>114</v>
      </c>
      <c r="U106" s="505" t="s">
        <v>114</v>
      </c>
      <c r="V106" s="541"/>
    </row>
    <row r="107" spans="1:22" ht="45" customHeight="1" x14ac:dyDescent="0.2">
      <c r="A107" s="619">
        <f>IF(B107="","",COUNT('Diário 5º PA'!$A$5:$A$2634)+COUNT('Diário 6º PA'!$A$5:$A$2246)+COUNT('Diário 7º PA'!$A$5:$A$2271)+ROW()-4)</f>
        <v>4053</v>
      </c>
      <c r="B107" s="620">
        <v>44475</v>
      </c>
      <c r="C107" s="621">
        <v>44440</v>
      </c>
      <c r="D107" s="548" t="s">
        <v>88</v>
      </c>
      <c r="E107" s="548" t="s">
        <v>90</v>
      </c>
      <c r="F107" s="622">
        <v>10378.9</v>
      </c>
      <c r="G107" s="623" t="s">
        <v>5650</v>
      </c>
      <c r="H107" s="548" t="s">
        <v>114</v>
      </c>
      <c r="I107" s="583" t="s">
        <v>1197</v>
      </c>
      <c r="J107" s="548" t="s">
        <v>1198</v>
      </c>
      <c r="K107" s="583" t="s">
        <v>991</v>
      </c>
      <c r="L107" s="583" t="s">
        <v>1183</v>
      </c>
      <c r="M107" s="619" t="s">
        <v>114</v>
      </c>
      <c r="N107" s="620">
        <v>44475</v>
      </c>
      <c r="O107" s="684" t="s">
        <v>67</v>
      </c>
      <c r="P107" s="503">
        <f t="shared" si="5"/>
        <v>10</v>
      </c>
      <c r="Q107" s="503">
        <f t="shared" si="6"/>
        <v>9</v>
      </c>
      <c r="R107" s="504" t="str">
        <f t="shared" si="7"/>
        <v>Gastos_com_Pessoal</v>
      </c>
      <c r="S107" s="504" t="str">
        <f>IF(D107="","",IF(OR(D107=Plano!$A$1,D107=Plano!$B$1),"entrada","saída"))</f>
        <v>saída</v>
      </c>
      <c r="T107" s="505" t="s">
        <v>114</v>
      </c>
      <c r="U107" s="505" t="s">
        <v>114</v>
      </c>
      <c r="V107" s="541"/>
    </row>
    <row r="108" spans="1:22" ht="45" customHeight="1" x14ac:dyDescent="0.2">
      <c r="A108" s="619">
        <f>IF(B108="","",COUNT('Diário 5º PA'!$A$5:$A$2634)+COUNT('Diário 6º PA'!$A$5:$A$2246)+COUNT('Diário 7º PA'!$A$5:$A$2271)+ROW()-4)</f>
        <v>4054</v>
      </c>
      <c r="B108" s="620">
        <v>44475</v>
      </c>
      <c r="C108" s="621">
        <v>44440</v>
      </c>
      <c r="D108" s="548" t="s">
        <v>88</v>
      </c>
      <c r="E108" s="548" t="s">
        <v>90</v>
      </c>
      <c r="F108" s="622">
        <v>2073.86</v>
      </c>
      <c r="G108" s="623" t="s">
        <v>5624</v>
      </c>
      <c r="H108" s="548" t="s">
        <v>114</v>
      </c>
      <c r="I108" s="583" t="s">
        <v>1765</v>
      </c>
      <c r="J108" s="548" t="s">
        <v>1766</v>
      </c>
      <c r="K108" s="583" t="s">
        <v>991</v>
      </c>
      <c r="L108" s="583" t="s">
        <v>1183</v>
      </c>
      <c r="M108" s="619" t="s">
        <v>114</v>
      </c>
      <c r="N108" s="620">
        <v>44475</v>
      </c>
      <c r="O108" s="684" t="s">
        <v>67</v>
      </c>
      <c r="P108" s="503">
        <f t="shared" si="5"/>
        <v>10</v>
      </c>
      <c r="Q108" s="503">
        <f t="shared" si="6"/>
        <v>9</v>
      </c>
      <c r="R108" s="504" t="str">
        <f t="shared" si="7"/>
        <v>Gastos_com_Pessoal</v>
      </c>
      <c r="S108" s="504" t="str">
        <f>IF(D108="","",IF(OR(D108=Plano!$A$1,D108=Plano!$B$1),"entrada","saída"))</f>
        <v>saída</v>
      </c>
      <c r="T108" s="505" t="s">
        <v>114</v>
      </c>
      <c r="U108" s="505" t="s">
        <v>114</v>
      </c>
      <c r="V108" s="541"/>
    </row>
    <row r="109" spans="1:22" ht="45" customHeight="1" x14ac:dyDescent="0.2">
      <c r="A109" s="619">
        <f>IF(B109="","",COUNT('Diário 5º PA'!$A$5:$A$2634)+COUNT('Diário 6º PA'!$A$5:$A$2246)+COUNT('Diário 7º PA'!$A$5:$A$2271)+ROW()-4)</f>
        <v>4055</v>
      </c>
      <c r="B109" s="620">
        <v>44475</v>
      </c>
      <c r="C109" s="621">
        <v>44440</v>
      </c>
      <c r="D109" s="548" t="s">
        <v>88</v>
      </c>
      <c r="E109" s="548" t="s">
        <v>90</v>
      </c>
      <c r="F109" s="622">
        <v>2106.61</v>
      </c>
      <c r="G109" s="623" t="s">
        <v>5630</v>
      </c>
      <c r="H109" s="548" t="s">
        <v>114</v>
      </c>
      <c r="I109" s="583" t="s">
        <v>2242</v>
      </c>
      <c r="J109" s="548" t="s">
        <v>2243</v>
      </c>
      <c r="K109" s="583" t="s">
        <v>991</v>
      </c>
      <c r="L109" s="583" t="s">
        <v>1183</v>
      </c>
      <c r="M109" s="619" t="s">
        <v>114</v>
      </c>
      <c r="N109" s="620">
        <v>44475</v>
      </c>
      <c r="O109" s="684" t="s">
        <v>67</v>
      </c>
      <c r="P109" s="503">
        <f t="shared" si="5"/>
        <v>10</v>
      </c>
      <c r="Q109" s="503">
        <f t="shared" si="6"/>
        <v>9</v>
      </c>
      <c r="R109" s="504" t="str">
        <f t="shared" si="7"/>
        <v>Gastos_com_Pessoal</v>
      </c>
      <c r="S109" s="504" t="str">
        <f>IF(D109="","",IF(OR(D109=Plano!$A$1,D109=Plano!$B$1),"entrada","saída"))</f>
        <v>saída</v>
      </c>
      <c r="T109" s="505" t="s">
        <v>114</v>
      </c>
      <c r="U109" s="505" t="s">
        <v>114</v>
      </c>
      <c r="V109" s="541"/>
    </row>
    <row r="110" spans="1:22" ht="42.75" customHeight="1" x14ac:dyDescent="0.2">
      <c r="A110" s="619">
        <f>IF(B110="","",COUNT('Diário 5º PA'!$A$5:$A$2634)+COUNT('Diário 6º PA'!$A$5:$A$2246)+COUNT('Diário 7º PA'!$A$5:$A$2271)+ROW()-4)</f>
        <v>4056</v>
      </c>
      <c r="B110" s="620">
        <v>44475</v>
      </c>
      <c r="C110" s="621">
        <v>44440</v>
      </c>
      <c r="D110" s="548" t="s">
        <v>88</v>
      </c>
      <c r="E110" s="548" t="s">
        <v>90</v>
      </c>
      <c r="F110" s="622">
        <v>2091.41</v>
      </c>
      <c r="G110" s="623" t="s">
        <v>5630</v>
      </c>
      <c r="H110" s="548" t="s">
        <v>114</v>
      </c>
      <c r="I110" s="583" t="s">
        <v>2260</v>
      </c>
      <c r="J110" s="548" t="s">
        <v>2261</v>
      </c>
      <c r="K110" s="583" t="s">
        <v>991</v>
      </c>
      <c r="L110" s="583" t="s">
        <v>1183</v>
      </c>
      <c r="M110" s="619" t="s">
        <v>114</v>
      </c>
      <c r="N110" s="620">
        <v>44475</v>
      </c>
      <c r="O110" s="684" t="s">
        <v>67</v>
      </c>
      <c r="P110" s="503">
        <f t="shared" si="5"/>
        <v>10</v>
      </c>
      <c r="Q110" s="503">
        <f t="shared" si="6"/>
        <v>9</v>
      </c>
      <c r="R110" s="504" t="str">
        <f t="shared" si="7"/>
        <v>Gastos_com_Pessoal</v>
      </c>
      <c r="S110" s="504" t="str">
        <f>IF(D110="","",IF(OR(D110=Plano!$A$1,D110=Plano!$B$1),"entrada","saída"))</f>
        <v>saída</v>
      </c>
      <c r="T110" s="505" t="s">
        <v>114</v>
      </c>
      <c r="U110" s="505" t="s">
        <v>114</v>
      </c>
      <c r="V110" s="541"/>
    </row>
    <row r="111" spans="1:22" ht="45" customHeight="1" x14ac:dyDescent="0.2">
      <c r="A111" s="619">
        <f>IF(B111="","",COUNT('Diário 5º PA'!$A$5:$A$2634)+COUNT('Diário 6º PA'!$A$5:$A$2246)+COUNT('Diário 7º PA'!$A$5:$A$2271)+ROW()-4)</f>
        <v>4057</v>
      </c>
      <c r="B111" s="620">
        <v>44475</v>
      </c>
      <c r="C111" s="621">
        <v>44440</v>
      </c>
      <c r="D111" s="548" t="s">
        <v>88</v>
      </c>
      <c r="E111" s="548" t="s">
        <v>90</v>
      </c>
      <c r="F111" s="622">
        <v>2742.61</v>
      </c>
      <c r="G111" s="623" t="s">
        <v>5648</v>
      </c>
      <c r="H111" s="548" t="s">
        <v>114</v>
      </c>
      <c r="I111" s="583" t="s">
        <v>1200</v>
      </c>
      <c r="J111" s="548" t="s">
        <v>1201</v>
      </c>
      <c r="K111" s="583" t="s">
        <v>991</v>
      </c>
      <c r="L111" s="583" t="s">
        <v>1183</v>
      </c>
      <c r="M111" s="619" t="s">
        <v>114</v>
      </c>
      <c r="N111" s="620">
        <v>44475</v>
      </c>
      <c r="O111" s="684" t="s">
        <v>67</v>
      </c>
      <c r="P111" s="503">
        <f t="shared" si="5"/>
        <v>10</v>
      </c>
      <c r="Q111" s="503">
        <f t="shared" si="6"/>
        <v>9</v>
      </c>
      <c r="R111" s="504" t="str">
        <f t="shared" si="7"/>
        <v>Gastos_com_Pessoal</v>
      </c>
      <c r="S111" s="504" t="str">
        <f>IF(D111="","",IF(OR(D111=Plano!$A$1,D111=Plano!$B$1),"entrada","saída"))</f>
        <v>saída</v>
      </c>
      <c r="T111" s="505" t="s">
        <v>114</v>
      </c>
      <c r="U111" s="505" t="s">
        <v>114</v>
      </c>
      <c r="V111" s="541"/>
    </row>
    <row r="112" spans="1:22" ht="45" customHeight="1" x14ac:dyDescent="0.2">
      <c r="A112" s="619">
        <f>IF(B112="","",COUNT('Diário 5º PA'!$A$5:$A$2634)+COUNT('Diário 6º PA'!$A$5:$A$2246)+COUNT('Diário 7º PA'!$A$5:$A$2271)+ROW()-4)</f>
        <v>4058</v>
      </c>
      <c r="B112" s="620">
        <v>44475</v>
      </c>
      <c r="C112" s="621">
        <v>44440</v>
      </c>
      <c r="D112" s="548" t="s">
        <v>88</v>
      </c>
      <c r="E112" s="548" t="s">
        <v>90</v>
      </c>
      <c r="F112" s="622">
        <v>2073.86</v>
      </c>
      <c r="G112" s="623" t="s">
        <v>5624</v>
      </c>
      <c r="H112" s="548" t="s">
        <v>114</v>
      </c>
      <c r="I112" s="583" t="s">
        <v>1767</v>
      </c>
      <c r="J112" s="548" t="s">
        <v>1768</v>
      </c>
      <c r="K112" s="583" t="s">
        <v>991</v>
      </c>
      <c r="L112" s="583" t="s">
        <v>1183</v>
      </c>
      <c r="M112" s="619" t="s">
        <v>114</v>
      </c>
      <c r="N112" s="620">
        <v>44475</v>
      </c>
      <c r="O112" s="684" t="s">
        <v>67</v>
      </c>
      <c r="P112" s="503">
        <f t="shared" si="5"/>
        <v>10</v>
      </c>
      <c r="Q112" s="503">
        <f t="shared" si="6"/>
        <v>9</v>
      </c>
      <c r="R112" s="504" t="str">
        <f t="shared" si="7"/>
        <v>Gastos_com_Pessoal</v>
      </c>
      <c r="S112" s="504" t="str">
        <f>IF(D112="","",IF(OR(D112=Plano!$A$1,D112=Plano!$B$1),"entrada","saída"))</f>
        <v>saída</v>
      </c>
      <c r="T112" s="505" t="s">
        <v>114</v>
      </c>
      <c r="U112" s="505" t="s">
        <v>114</v>
      </c>
      <c r="V112" s="541"/>
    </row>
    <row r="113" spans="1:22" ht="45" customHeight="1" x14ac:dyDescent="0.2">
      <c r="A113" s="619">
        <f>IF(B113="","",COUNT('Diário 5º PA'!$A$5:$A$2634)+COUNT('Diário 6º PA'!$A$5:$A$2246)+COUNT('Diário 7º PA'!$A$5:$A$2271)+ROW()-4)</f>
        <v>4059</v>
      </c>
      <c r="B113" s="620">
        <v>44475</v>
      </c>
      <c r="C113" s="621">
        <v>44440</v>
      </c>
      <c r="D113" s="548" t="s">
        <v>88</v>
      </c>
      <c r="E113" s="548" t="s">
        <v>90</v>
      </c>
      <c r="F113" s="622">
        <v>1904.94</v>
      </c>
      <c r="G113" s="623" t="s">
        <v>5624</v>
      </c>
      <c r="H113" s="548" t="s">
        <v>114</v>
      </c>
      <c r="I113" s="583" t="s">
        <v>1769</v>
      </c>
      <c r="J113" s="548" t="s">
        <v>1770</v>
      </c>
      <c r="K113" s="583" t="s">
        <v>991</v>
      </c>
      <c r="L113" s="583" t="s">
        <v>1183</v>
      </c>
      <c r="M113" s="619" t="s">
        <v>114</v>
      </c>
      <c r="N113" s="620">
        <v>44475</v>
      </c>
      <c r="O113" s="684" t="s">
        <v>67</v>
      </c>
      <c r="P113" s="503">
        <f t="shared" si="5"/>
        <v>10</v>
      </c>
      <c r="Q113" s="503">
        <f t="shared" si="6"/>
        <v>9</v>
      </c>
      <c r="R113" s="504" t="str">
        <f t="shared" si="7"/>
        <v>Gastos_com_Pessoal</v>
      </c>
      <c r="S113" s="504" t="str">
        <f>IF(D113="","",IF(OR(D113=Plano!$A$1,D113=Plano!$B$1),"entrada","saída"))</f>
        <v>saída</v>
      </c>
      <c r="T113" s="505" t="s">
        <v>114</v>
      </c>
      <c r="U113" s="505" t="s">
        <v>114</v>
      </c>
      <c r="V113" s="541"/>
    </row>
    <row r="114" spans="1:22" ht="45" customHeight="1" x14ac:dyDescent="0.2">
      <c r="A114" s="619">
        <f>IF(B114="","",COUNT('Diário 5º PA'!$A$5:$A$2634)+COUNT('Diário 6º PA'!$A$5:$A$2246)+COUNT('Diário 7º PA'!$A$5:$A$2271)+ROW()-4)</f>
        <v>4060</v>
      </c>
      <c r="B114" s="620">
        <v>44475</v>
      </c>
      <c r="C114" s="621">
        <v>44440</v>
      </c>
      <c r="D114" s="548" t="s">
        <v>88</v>
      </c>
      <c r="E114" s="548" t="s">
        <v>90</v>
      </c>
      <c r="F114" s="622">
        <v>2073.86</v>
      </c>
      <c r="G114" s="623" t="s">
        <v>5624</v>
      </c>
      <c r="H114" s="548" t="s">
        <v>114</v>
      </c>
      <c r="I114" s="583" t="s">
        <v>1771</v>
      </c>
      <c r="J114" s="548" t="s">
        <v>1772</v>
      </c>
      <c r="K114" s="583" t="s">
        <v>991</v>
      </c>
      <c r="L114" s="583" t="s">
        <v>1183</v>
      </c>
      <c r="M114" s="619" t="s">
        <v>114</v>
      </c>
      <c r="N114" s="620">
        <v>44475</v>
      </c>
      <c r="O114" s="684" t="s">
        <v>67</v>
      </c>
      <c r="P114" s="503">
        <f t="shared" si="5"/>
        <v>10</v>
      </c>
      <c r="Q114" s="503">
        <f t="shared" si="6"/>
        <v>9</v>
      </c>
      <c r="R114" s="504" t="str">
        <f t="shared" si="7"/>
        <v>Gastos_com_Pessoal</v>
      </c>
      <c r="S114" s="504" t="str">
        <f>IF(D114="","",IF(OR(D114=Plano!$A$1,D114=Plano!$B$1),"entrada","saída"))</f>
        <v>saída</v>
      </c>
      <c r="T114" s="505" t="s">
        <v>114</v>
      </c>
      <c r="U114" s="505" t="s">
        <v>114</v>
      </c>
      <c r="V114" s="541"/>
    </row>
    <row r="115" spans="1:22" ht="45" customHeight="1" x14ac:dyDescent="0.2">
      <c r="A115" s="619">
        <f>IF(B115="","",COUNT('Diário 5º PA'!$A$5:$A$2634)+COUNT('Diário 6º PA'!$A$5:$A$2246)+COUNT('Diário 7º PA'!$A$5:$A$2271)+ROW()-4)</f>
        <v>4061</v>
      </c>
      <c r="B115" s="620">
        <v>44475</v>
      </c>
      <c r="C115" s="621">
        <v>44440</v>
      </c>
      <c r="D115" s="548" t="s">
        <v>88</v>
      </c>
      <c r="E115" s="548" t="s">
        <v>90</v>
      </c>
      <c r="F115" s="622">
        <v>2091.41</v>
      </c>
      <c r="G115" s="623" t="s">
        <v>5624</v>
      </c>
      <c r="H115" s="548" t="s">
        <v>114</v>
      </c>
      <c r="I115" s="583" t="s">
        <v>1784</v>
      </c>
      <c r="J115" s="548" t="s">
        <v>1785</v>
      </c>
      <c r="K115" s="583" t="s">
        <v>991</v>
      </c>
      <c r="L115" s="583" t="s">
        <v>1183</v>
      </c>
      <c r="M115" s="619" t="s">
        <v>114</v>
      </c>
      <c r="N115" s="620">
        <v>44475</v>
      </c>
      <c r="O115" s="684" t="s">
        <v>67</v>
      </c>
      <c r="P115" s="503">
        <f t="shared" si="5"/>
        <v>10</v>
      </c>
      <c r="Q115" s="503">
        <f t="shared" si="6"/>
        <v>9</v>
      </c>
      <c r="R115" s="504" t="str">
        <f t="shared" si="7"/>
        <v>Gastos_com_Pessoal</v>
      </c>
      <c r="S115" s="504" t="str">
        <f>IF(D115="","",IF(OR(D115=Plano!$A$1,D115=Plano!$B$1),"entrada","saída"))</f>
        <v>saída</v>
      </c>
      <c r="T115" s="505" t="s">
        <v>114</v>
      </c>
      <c r="U115" s="505" t="s">
        <v>114</v>
      </c>
      <c r="V115" s="541"/>
    </row>
    <row r="116" spans="1:22" ht="45" customHeight="1" x14ac:dyDescent="0.2">
      <c r="A116" s="619">
        <f>IF(B116="","",COUNT('Diário 5º PA'!$A$5:$A$2634)+COUNT('Diário 6º PA'!$A$5:$A$2246)+COUNT('Diário 7º PA'!$A$5:$A$2271)+ROW()-4)</f>
        <v>4062</v>
      </c>
      <c r="B116" s="620">
        <v>44475</v>
      </c>
      <c r="C116" s="621">
        <v>44440</v>
      </c>
      <c r="D116" s="548" t="s">
        <v>88</v>
      </c>
      <c r="E116" s="548" t="s">
        <v>90</v>
      </c>
      <c r="F116" s="622">
        <v>2091.41</v>
      </c>
      <c r="G116" s="623" t="s">
        <v>5643</v>
      </c>
      <c r="H116" s="548" t="s">
        <v>114</v>
      </c>
      <c r="I116" s="583" t="s">
        <v>2244</v>
      </c>
      <c r="J116" s="548" t="s">
        <v>2245</v>
      </c>
      <c r="K116" s="583" t="s">
        <v>991</v>
      </c>
      <c r="L116" s="583" t="s">
        <v>1183</v>
      </c>
      <c r="M116" s="619" t="s">
        <v>114</v>
      </c>
      <c r="N116" s="620">
        <v>44475</v>
      </c>
      <c r="O116" s="684" t="s">
        <v>67</v>
      </c>
      <c r="P116" s="503">
        <f t="shared" si="5"/>
        <v>10</v>
      </c>
      <c r="Q116" s="503">
        <f t="shared" si="6"/>
        <v>9</v>
      </c>
      <c r="R116" s="504" t="str">
        <f t="shared" si="7"/>
        <v>Gastos_com_Pessoal</v>
      </c>
      <c r="S116" s="504" t="str">
        <f>IF(D116="","",IF(OR(D116=Plano!$A$1,D116=Plano!$B$1),"entrada","saída"))</f>
        <v>saída</v>
      </c>
      <c r="T116" s="505" t="s">
        <v>114</v>
      </c>
      <c r="U116" s="505" t="s">
        <v>114</v>
      </c>
      <c r="V116" s="541"/>
    </row>
    <row r="117" spans="1:22" ht="45" customHeight="1" x14ac:dyDescent="0.2">
      <c r="A117" s="619">
        <f>IF(B117="","",COUNT('Diário 5º PA'!$A$5:$A$2634)+COUNT('Diário 6º PA'!$A$5:$A$2246)+COUNT('Diário 7º PA'!$A$5:$A$2271)+ROW()-4)</f>
        <v>4063</v>
      </c>
      <c r="B117" s="620">
        <v>44475</v>
      </c>
      <c r="C117" s="621">
        <v>44440</v>
      </c>
      <c r="D117" s="548" t="s">
        <v>88</v>
      </c>
      <c r="E117" s="548" t="s">
        <v>90</v>
      </c>
      <c r="F117" s="622">
        <v>2073.86</v>
      </c>
      <c r="G117" s="623" t="s">
        <v>5624</v>
      </c>
      <c r="H117" s="548" t="s">
        <v>114</v>
      </c>
      <c r="I117" s="583" t="s">
        <v>1773</v>
      </c>
      <c r="J117" s="548" t="s">
        <v>1774</v>
      </c>
      <c r="K117" s="583" t="s">
        <v>991</v>
      </c>
      <c r="L117" s="583" t="s">
        <v>1183</v>
      </c>
      <c r="M117" s="619" t="s">
        <v>114</v>
      </c>
      <c r="N117" s="620">
        <v>44475</v>
      </c>
      <c r="O117" s="684" t="s">
        <v>67</v>
      </c>
      <c r="P117" s="503">
        <f t="shared" si="5"/>
        <v>10</v>
      </c>
      <c r="Q117" s="503">
        <f t="shared" si="6"/>
        <v>9</v>
      </c>
      <c r="R117" s="504" t="str">
        <f t="shared" si="7"/>
        <v>Gastos_com_Pessoal</v>
      </c>
      <c r="S117" s="504" t="str">
        <f>IF(D117="","",IF(OR(D117=Plano!$A$1,D117=Plano!$B$1),"entrada","saída"))</f>
        <v>saída</v>
      </c>
      <c r="T117" s="505" t="s">
        <v>114</v>
      </c>
      <c r="U117" s="505" t="s">
        <v>114</v>
      </c>
      <c r="V117" s="541"/>
    </row>
    <row r="118" spans="1:22" ht="45" customHeight="1" x14ac:dyDescent="0.2">
      <c r="A118" s="619">
        <f>IF(B118="","",COUNT('Diário 5º PA'!$A$5:$A$2634)+COUNT('Diário 6º PA'!$A$5:$A$2246)+COUNT('Diário 7º PA'!$A$5:$A$2271)+ROW()-4)</f>
        <v>4064</v>
      </c>
      <c r="B118" s="620">
        <v>44475</v>
      </c>
      <c r="C118" s="621">
        <v>44440</v>
      </c>
      <c r="D118" s="548" t="s">
        <v>88</v>
      </c>
      <c r="E118" s="548" t="s">
        <v>90</v>
      </c>
      <c r="F118" s="622">
        <v>516.27</v>
      </c>
      <c r="G118" s="623" t="s">
        <v>5651</v>
      </c>
      <c r="H118" s="548" t="s">
        <v>114</v>
      </c>
      <c r="I118" s="583" t="s">
        <v>1203</v>
      </c>
      <c r="J118" s="548" t="s">
        <v>1204</v>
      </c>
      <c r="K118" s="583" t="s">
        <v>991</v>
      </c>
      <c r="L118" s="583" t="s">
        <v>1183</v>
      </c>
      <c r="M118" s="619" t="s">
        <v>114</v>
      </c>
      <c r="N118" s="620">
        <v>44475</v>
      </c>
      <c r="O118" s="684" t="s">
        <v>67</v>
      </c>
      <c r="P118" s="503">
        <f t="shared" si="5"/>
        <v>10</v>
      </c>
      <c r="Q118" s="503">
        <f t="shared" si="6"/>
        <v>9</v>
      </c>
      <c r="R118" s="504" t="str">
        <f t="shared" si="7"/>
        <v>Gastos_com_Pessoal</v>
      </c>
      <c r="S118" s="504" t="str">
        <f>IF(D118="","",IF(OR(D118=Plano!$A$1,D118=Plano!$B$1),"entrada","saída"))</f>
        <v>saída</v>
      </c>
      <c r="T118" s="505" t="s">
        <v>114</v>
      </c>
      <c r="U118" s="505" t="s">
        <v>114</v>
      </c>
      <c r="V118" s="541"/>
    </row>
    <row r="119" spans="1:22" ht="45" customHeight="1" x14ac:dyDescent="0.2">
      <c r="A119" s="619">
        <f>IF(B119="","",COUNT('Diário 5º PA'!$A$5:$A$2634)+COUNT('Diário 6º PA'!$A$5:$A$2246)+COUNT('Diário 7º PA'!$A$5:$A$2271)+ROW()-4)</f>
        <v>4065</v>
      </c>
      <c r="B119" s="620">
        <v>44475</v>
      </c>
      <c r="C119" s="621">
        <v>44440</v>
      </c>
      <c r="D119" s="548" t="s">
        <v>88</v>
      </c>
      <c r="E119" s="548" t="s">
        <v>90</v>
      </c>
      <c r="F119" s="622">
        <v>1636.95</v>
      </c>
      <c r="G119" s="623" t="s">
        <v>5652</v>
      </c>
      <c r="H119" s="548" t="s">
        <v>114</v>
      </c>
      <c r="I119" s="583" t="s">
        <v>1776</v>
      </c>
      <c r="J119" s="548" t="s">
        <v>1777</v>
      </c>
      <c r="K119" s="583" t="s">
        <v>991</v>
      </c>
      <c r="L119" s="583" t="s">
        <v>1183</v>
      </c>
      <c r="M119" s="619" t="s">
        <v>114</v>
      </c>
      <c r="N119" s="620">
        <v>44475</v>
      </c>
      <c r="O119" s="684" t="s">
        <v>67</v>
      </c>
      <c r="P119" s="503">
        <f t="shared" si="5"/>
        <v>10</v>
      </c>
      <c r="Q119" s="503">
        <f t="shared" si="6"/>
        <v>9</v>
      </c>
      <c r="R119" s="504" t="str">
        <f t="shared" si="7"/>
        <v>Gastos_com_Pessoal</v>
      </c>
      <c r="S119" s="504" t="str">
        <f>IF(D119="","",IF(OR(D119=Plano!$A$1,D119=Plano!$B$1),"entrada","saída"))</f>
        <v>saída</v>
      </c>
      <c r="T119" s="505" t="s">
        <v>114</v>
      </c>
      <c r="U119" s="505" t="s">
        <v>114</v>
      </c>
      <c r="V119" s="541"/>
    </row>
    <row r="120" spans="1:22" ht="45" customHeight="1" x14ac:dyDescent="0.2">
      <c r="A120" s="619">
        <f>IF(B120="","",COUNT('Diário 5º PA'!$A$5:$A$2634)+COUNT('Diário 6º PA'!$A$5:$A$2246)+COUNT('Diário 7º PA'!$A$5:$A$2271)+ROW()-4)</f>
        <v>4066</v>
      </c>
      <c r="B120" s="620">
        <v>44475</v>
      </c>
      <c r="C120" s="621">
        <v>44440</v>
      </c>
      <c r="D120" s="548" t="s">
        <v>88</v>
      </c>
      <c r="E120" s="548" t="s">
        <v>90</v>
      </c>
      <c r="F120" s="622">
        <v>2073.86</v>
      </c>
      <c r="G120" s="623" t="s">
        <v>5624</v>
      </c>
      <c r="H120" s="548" t="s">
        <v>114</v>
      </c>
      <c r="I120" s="583" t="s">
        <v>1778</v>
      </c>
      <c r="J120" s="548" t="s">
        <v>1779</v>
      </c>
      <c r="K120" s="583" t="s">
        <v>991</v>
      </c>
      <c r="L120" s="583" t="s">
        <v>1183</v>
      </c>
      <c r="M120" s="619" t="s">
        <v>114</v>
      </c>
      <c r="N120" s="620">
        <v>44475</v>
      </c>
      <c r="O120" s="684" t="s">
        <v>67</v>
      </c>
      <c r="P120" s="503">
        <f t="shared" si="5"/>
        <v>10</v>
      </c>
      <c r="Q120" s="503">
        <f t="shared" si="6"/>
        <v>9</v>
      </c>
      <c r="R120" s="504" t="str">
        <f t="shared" si="7"/>
        <v>Gastos_com_Pessoal</v>
      </c>
      <c r="S120" s="504" t="str">
        <f>IF(D120="","",IF(OR(D120=Plano!$A$1,D120=Plano!$B$1),"entrada","saída"))</f>
        <v>saída</v>
      </c>
      <c r="T120" s="505" t="s">
        <v>114</v>
      </c>
      <c r="U120" s="505" t="s">
        <v>114</v>
      </c>
      <c r="V120" s="541"/>
    </row>
    <row r="121" spans="1:22" ht="45" customHeight="1" x14ac:dyDescent="0.2">
      <c r="A121" s="619">
        <f>IF(B121="","",COUNT('Diário 5º PA'!$A$5:$A$2634)+COUNT('Diário 6º PA'!$A$5:$A$2246)+COUNT('Diário 7º PA'!$A$5:$A$2271)+ROW()-4)</f>
        <v>4067</v>
      </c>
      <c r="B121" s="620">
        <v>44475</v>
      </c>
      <c r="C121" s="621">
        <v>44440</v>
      </c>
      <c r="D121" s="548" t="s">
        <v>88</v>
      </c>
      <c r="E121" s="548" t="s">
        <v>90</v>
      </c>
      <c r="F121" s="622">
        <v>2091.41</v>
      </c>
      <c r="G121" s="623" t="s">
        <v>5630</v>
      </c>
      <c r="H121" s="548" t="s">
        <v>114</v>
      </c>
      <c r="I121" s="583" t="s">
        <v>2248</v>
      </c>
      <c r="J121" s="548" t="s">
        <v>1781</v>
      </c>
      <c r="K121" s="583" t="s">
        <v>991</v>
      </c>
      <c r="L121" s="583" t="s">
        <v>1183</v>
      </c>
      <c r="M121" s="619" t="s">
        <v>114</v>
      </c>
      <c r="N121" s="620">
        <v>44475</v>
      </c>
      <c r="O121" s="684" t="s">
        <v>67</v>
      </c>
      <c r="P121" s="503">
        <f t="shared" si="5"/>
        <v>10</v>
      </c>
      <c r="Q121" s="503">
        <f t="shared" si="6"/>
        <v>9</v>
      </c>
      <c r="R121" s="504" t="str">
        <f t="shared" si="7"/>
        <v>Gastos_com_Pessoal</v>
      </c>
      <c r="S121" s="504" t="str">
        <f>IF(D121="","",IF(OR(D121=Plano!$A$1,D121=Plano!$B$1),"entrada","saída"))</f>
        <v>saída</v>
      </c>
      <c r="T121" s="505" t="s">
        <v>114</v>
      </c>
      <c r="U121" s="505" t="s">
        <v>114</v>
      </c>
      <c r="V121" s="541"/>
    </row>
    <row r="122" spans="1:22" ht="45" customHeight="1" x14ac:dyDescent="0.2">
      <c r="A122" s="619">
        <f>IF(B122="","",COUNT('Diário 5º PA'!$A$5:$A$2634)+COUNT('Diário 6º PA'!$A$5:$A$2246)+COUNT('Diário 7º PA'!$A$5:$A$2271)+ROW()-4)</f>
        <v>4068</v>
      </c>
      <c r="B122" s="620">
        <v>44475</v>
      </c>
      <c r="C122" s="621">
        <v>44440</v>
      </c>
      <c r="D122" s="548" t="s">
        <v>88</v>
      </c>
      <c r="E122" s="548" t="s">
        <v>90</v>
      </c>
      <c r="F122" s="622">
        <v>2073.86</v>
      </c>
      <c r="G122" s="623" t="s">
        <v>5624</v>
      </c>
      <c r="H122" s="548" t="s">
        <v>114</v>
      </c>
      <c r="I122" s="583" t="s">
        <v>1780</v>
      </c>
      <c r="J122" s="548" t="s">
        <v>1781</v>
      </c>
      <c r="K122" s="583" t="s">
        <v>991</v>
      </c>
      <c r="L122" s="583" t="s">
        <v>1183</v>
      </c>
      <c r="M122" s="619" t="s">
        <v>114</v>
      </c>
      <c r="N122" s="620">
        <v>44475</v>
      </c>
      <c r="O122" s="684" t="s">
        <v>67</v>
      </c>
      <c r="P122" s="503">
        <f t="shared" si="5"/>
        <v>10</v>
      </c>
      <c r="Q122" s="503">
        <f t="shared" si="6"/>
        <v>9</v>
      </c>
      <c r="R122" s="504" t="str">
        <f t="shared" si="7"/>
        <v>Gastos_com_Pessoal</v>
      </c>
      <c r="S122" s="504" t="str">
        <f>IF(D122="","",IF(OR(D122=Plano!$A$1,D122=Plano!$B$1),"entrada","saída"))</f>
        <v>saída</v>
      </c>
      <c r="T122" s="505" t="s">
        <v>114</v>
      </c>
      <c r="U122" s="505" t="s">
        <v>114</v>
      </c>
      <c r="V122" s="541"/>
    </row>
    <row r="123" spans="1:22" ht="45" customHeight="1" x14ac:dyDescent="0.2">
      <c r="A123" s="619">
        <f>IF(B123="","",COUNT('Diário 5º PA'!$A$5:$A$2634)+COUNT('Diário 6º PA'!$A$5:$A$2246)+COUNT('Diário 7º PA'!$A$5:$A$2271)+ROW()-4)</f>
        <v>4069</v>
      </c>
      <c r="B123" s="620">
        <v>44475</v>
      </c>
      <c r="C123" s="621">
        <v>44440</v>
      </c>
      <c r="D123" s="548" t="s">
        <v>88</v>
      </c>
      <c r="E123" s="548" t="s">
        <v>90</v>
      </c>
      <c r="F123" s="622">
        <v>2091.41</v>
      </c>
      <c r="G123" s="623" t="s">
        <v>5653</v>
      </c>
      <c r="H123" s="548" t="s">
        <v>114</v>
      </c>
      <c r="I123" s="583" t="s">
        <v>2250</v>
      </c>
      <c r="J123" s="548" t="s">
        <v>2251</v>
      </c>
      <c r="K123" s="583" t="s">
        <v>991</v>
      </c>
      <c r="L123" s="583" t="s">
        <v>1183</v>
      </c>
      <c r="M123" s="619" t="s">
        <v>114</v>
      </c>
      <c r="N123" s="620">
        <v>44475</v>
      </c>
      <c r="O123" s="684" t="s">
        <v>67</v>
      </c>
      <c r="P123" s="503">
        <f t="shared" si="5"/>
        <v>10</v>
      </c>
      <c r="Q123" s="503">
        <f t="shared" si="6"/>
        <v>9</v>
      </c>
      <c r="R123" s="504" t="str">
        <f t="shared" si="7"/>
        <v>Gastos_com_Pessoal</v>
      </c>
      <c r="S123" s="504" t="str">
        <f>IF(D123="","",IF(OR(D123=Plano!$A$1,D123=Plano!$B$1),"entrada","saída"))</f>
        <v>saída</v>
      </c>
      <c r="T123" s="505" t="s">
        <v>114</v>
      </c>
      <c r="U123" s="505" t="s">
        <v>114</v>
      </c>
      <c r="V123" s="541"/>
    </row>
    <row r="124" spans="1:22" ht="45" customHeight="1" x14ac:dyDescent="0.2">
      <c r="A124" s="619">
        <f>IF(B124="","",COUNT('Diário 5º PA'!$A$5:$A$2634)+COUNT('Diário 6º PA'!$A$5:$A$2246)+COUNT('Diário 7º PA'!$A$5:$A$2271)+ROW()-4)</f>
        <v>4070</v>
      </c>
      <c r="B124" s="620">
        <v>44475</v>
      </c>
      <c r="C124" s="621">
        <v>44440</v>
      </c>
      <c r="D124" s="548" t="s">
        <v>88</v>
      </c>
      <c r="E124" s="548" t="s">
        <v>90</v>
      </c>
      <c r="F124" s="622">
        <v>2091.41</v>
      </c>
      <c r="G124" s="623" t="s">
        <v>5624</v>
      </c>
      <c r="H124" s="548" t="s">
        <v>114</v>
      </c>
      <c r="I124" s="583" t="s">
        <v>1782</v>
      </c>
      <c r="J124" s="548" t="s">
        <v>1783</v>
      </c>
      <c r="K124" s="583" t="s">
        <v>991</v>
      </c>
      <c r="L124" s="583" t="s">
        <v>1183</v>
      </c>
      <c r="M124" s="619" t="s">
        <v>114</v>
      </c>
      <c r="N124" s="620">
        <v>44475</v>
      </c>
      <c r="O124" s="684" t="s">
        <v>67</v>
      </c>
      <c r="P124" s="503">
        <f t="shared" si="5"/>
        <v>10</v>
      </c>
      <c r="Q124" s="503">
        <f t="shared" si="6"/>
        <v>9</v>
      </c>
      <c r="R124" s="504" t="str">
        <f t="shared" si="7"/>
        <v>Gastos_com_Pessoal</v>
      </c>
      <c r="S124" s="504" t="str">
        <f>IF(D124="","",IF(OR(D124=Plano!$A$1,D124=Plano!$B$1),"entrada","saída"))</f>
        <v>saída</v>
      </c>
      <c r="T124" s="505" t="s">
        <v>114</v>
      </c>
      <c r="U124" s="505" t="s">
        <v>114</v>
      </c>
      <c r="V124" s="541"/>
    </row>
    <row r="125" spans="1:22" ht="45" customHeight="1" x14ac:dyDescent="0.2">
      <c r="A125" s="619">
        <f>IF(B125="","",COUNT('Diário 5º PA'!$A$5:$A$2634)+COUNT('Diário 6º PA'!$A$5:$A$2246)+COUNT('Diário 7º PA'!$A$5:$A$2271)+ROW()-4)</f>
        <v>4071</v>
      </c>
      <c r="B125" s="620">
        <v>44475</v>
      </c>
      <c r="C125" s="621">
        <v>44440</v>
      </c>
      <c r="D125" s="548" t="s">
        <v>88</v>
      </c>
      <c r="E125" s="548" t="s">
        <v>90</v>
      </c>
      <c r="F125" s="622">
        <v>1328.41</v>
      </c>
      <c r="G125" s="623" t="s">
        <v>5654</v>
      </c>
      <c r="H125" s="548" t="s">
        <v>114</v>
      </c>
      <c r="I125" s="583" t="s">
        <v>1206</v>
      </c>
      <c r="J125" s="548" t="s">
        <v>1207</v>
      </c>
      <c r="K125" s="583" t="s">
        <v>991</v>
      </c>
      <c r="L125" s="583" t="s">
        <v>1183</v>
      </c>
      <c r="M125" s="619" t="s">
        <v>114</v>
      </c>
      <c r="N125" s="620">
        <v>44475</v>
      </c>
      <c r="O125" s="684" t="s">
        <v>67</v>
      </c>
      <c r="P125" s="503">
        <f t="shared" si="5"/>
        <v>10</v>
      </c>
      <c r="Q125" s="503">
        <f t="shared" si="6"/>
        <v>9</v>
      </c>
      <c r="R125" s="504" t="str">
        <f t="shared" si="7"/>
        <v>Gastos_com_Pessoal</v>
      </c>
      <c r="S125" s="504" t="str">
        <f>IF(D125="","",IF(OR(D125=Plano!$A$1,D125=Plano!$B$1),"entrada","saída"))</f>
        <v>saída</v>
      </c>
      <c r="T125" s="505" t="s">
        <v>114</v>
      </c>
      <c r="U125" s="505" t="s">
        <v>114</v>
      </c>
      <c r="V125" s="541"/>
    </row>
    <row r="126" spans="1:22" ht="54" customHeight="1" x14ac:dyDescent="0.2">
      <c r="A126" s="619">
        <f>IF(B126="","",COUNT('Diário 5º PA'!$A$5:$A$2634)+COUNT('Diário 6º PA'!$A$5:$A$2246)+COUNT('Diário 7º PA'!$A$5:$A$2271)+ROW()-4)</f>
        <v>4072</v>
      </c>
      <c r="B126" s="620">
        <v>44475</v>
      </c>
      <c r="C126" s="624">
        <v>44440</v>
      </c>
      <c r="D126" s="548" t="s">
        <v>99</v>
      </c>
      <c r="E126" s="548" t="s">
        <v>364</v>
      </c>
      <c r="F126" s="622">
        <v>1008</v>
      </c>
      <c r="G126" s="623" t="s">
        <v>869</v>
      </c>
      <c r="H126" s="548" t="s">
        <v>116</v>
      </c>
      <c r="I126" s="583" t="s">
        <v>5655</v>
      </c>
      <c r="J126" s="548" t="s">
        <v>870</v>
      </c>
      <c r="K126" s="583" t="s">
        <v>991</v>
      </c>
      <c r="L126" s="583" t="s">
        <v>1029</v>
      </c>
      <c r="M126" s="619">
        <v>1359</v>
      </c>
      <c r="N126" s="620">
        <v>44474</v>
      </c>
      <c r="O126" s="684" t="s">
        <v>67</v>
      </c>
      <c r="P126" s="503">
        <f t="shared" si="5"/>
        <v>10</v>
      </c>
      <c r="Q126" s="503">
        <f t="shared" si="6"/>
        <v>9</v>
      </c>
      <c r="R126" s="504" t="str">
        <f t="shared" si="7"/>
        <v>Gastos_Gerais</v>
      </c>
      <c r="S126" s="504" t="str">
        <f>IF(D126="","",IF(OR(D126=Plano!$A$1,D126=Plano!$B$1),"entrada","saída"))</f>
        <v>saída</v>
      </c>
      <c r="T126" s="505" t="s">
        <v>994</v>
      </c>
      <c r="U126" s="505">
        <v>2004</v>
      </c>
      <c r="V126" s="541"/>
    </row>
    <row r="127" spans="1:22" ht="44.25" customHeight="1" x14ac:dyDescent="0.2">
      <c r="A127" s="619">
        <f>IF(B127="","",COUNT('Diário 5º PA'!$A$5:$A$2634)+COUNT('Diário 6º PA'!$A$5:$A$2246)+COUNT('Diário 7º PA'!$A$5:$A$2271)+ROW()-4)</f>
        <v>4073</v>
      </c>
      <c r="B127" s="620">
        <v>44475</v>
      </c>
      <c r="C127" s="624">
        <v>44440</v>
      </c>
      <c r="D127" s="548" t="s">
        <v>99</v>
      </c>
      <c r="E127" s="548" t="s">
        <v>336</v>
      </c>
      <c r="F127" s="622">
        <v>1857.6</v>
      </c>
      <c r="G127" s="623" t="s">
        <v>899</v>
      </c>
      <c r="H127" s="548" t="s">
        <v>118</v>
      </c>
      <c r="I127" s="583" t="s">
        <v>4804</v>
      </c>
      <c r="J127" s="548" t="s">
        <v>900</v>
      </c>
      <c r="K127" s="583" t="s">
        <v>991</v>
      </c>
      <c r="L127" s="583" t="s">
        <v>1029</v>
      </c>
      <c r="M127" s="619">
        <v>1360</v>
      </c>
      <c r="N127" s="620">
        <v>44474</v>
      </c>
      <c r="O127" s="684" t="s">
        <v>67</v>
      </c>
      <c r="P127" s="503">
        <f t="shared" si="5"/>
        <v>10</v>
      </c>
      <c r="Q127" s="503">
        <f t="shared" si="6"/>
        <v>9</v>
      </c>
      <c r="R127" s="504" t="str">
        <f t="shared" si="7"/>
        <v>Gastos_Gerais</v>
      </c>
      <c r="S127" s="504" t="str">
        <f>IF(D127="","",IF(OR(D127=Plano!$A$1,D127=Plano!$B$1),"entrada","saída"))</f>
        <v>saída</v>
      </c>
      <c r="T127" s="505" t="s">
        <v>994</v>
      </c>
      <c r="U127" s="505">
        <v>2009</v>
      </c>
      <c r="V127" s="541"/>
    </row>
    <row r="128" spans="1:22" ht="169.5" customHeight="1" x14ac:dyDescent="0.2">
      <c r="A128" s="619">
        <f>IF(B128="","",COUNT('Diário 5º PA'!$A$5:$A$2634)+COUNT('Diário 6º PA'!$A$5:$A$2246)+COUNT('Diário 7º PA'!$A$5:$A$2271)+ROW()-4)</f>
        <v>4074</v>
      </c>
      <c r="B128" s="620">
        <v>44475</v>
      </c>
      <c r="C128" s="624">
        <v>44409</v>
      </c>
      <c r="D128" s="548" t="s">
        <v>99</v>
      </c>
      <c r="E128" s="548" t="s">
        <v>330</v>
      </c>
      <c r="F128" s="622">
        <v>1000</v>
      </c>
      <c r="G128" s="623" t="s">
        <v>753</v>
      </c>
      <c r="H128" s="548" t="s">
        <v>128</v>
      </c>
      <c r="I128" s="583" t="s">
        <v>1334</v>
      </c>
      <c r="J128" s="548" t="s">
        <v>755</v>
      </c>
      <c r="K128" s="583" t="s">
        <v>991</v>
      </c>
      <c r="L128" s="583" t="s">
        <v>992</v>
      </c>
      <c r="M128" s="619" t="s">
        <v>1079</v>
      </c>
      <c r="N128" s="620">
        <v>44474</v>
      </c>
      <c r="O128" s="684" t="s">
        <v>67</v>
      </c>
      <c r="P128" s="503">
        <f t="shared" si="5"/>
        <v>10</v>
      </c>
      <c r="Q128" s="503">
        <f t="shared" si="6"/>
        <v>8</v>
      </c>
      <c r="R128" s="504" t="str">
        <f t="shared" si="7"/>
        <v>Gastos_Gerais</v>
      </c>
      <c r="S128" s="504" t="str">
        <f>IF(D128="","",IF(OR(D128=Plano!$A$1,D128=Plano!$B$1),"entrada","saída"))</f>
        <v>saída</v>
      </c>
      <c r="T128" s="505" t="s">
        <v>1059</v>
      </c>
      <c r="U128" s="505">
        <v>1876</v>
      </c>
      <c r="V128" s="541"/>
    </row>
    <row r="129" spans="1:22" ht="99" customHeight="1" x14ac:dyDescent="0.2">
      <c r="A129" s="619">
        <f>IF(B129="","",COUNT('Diário 5º PA'!$A$5:$A$2634)+COUNT('Diário 6º PA'!$A$5:$A$2246)+COUNT('Diário 7º PA'!$A$5:$A$2271)+ROW()-4)</f>
        <v>4075</v>
      </c>
      <c r="B129" s="620">
        <v>44475</v>
      </c>
      <c r="C129" s="621">
        <v>44440</v>
      </c>
      <c r="D129" s="548" t="s">
        <v>99</v>
      </c>
      <c r="E129" s="548" t="s">
        <v>262</v>
      </c>
      <c r="F129" s="622">
        <v>3427.9</v>
      </c>
      <c r="G129" s="623" t="s">
        <v>625</v>
      </c>
      <c r="H129" s="548" t="s">
        <v>115</v>
      </c>
      <c r="I129" s="583" t="s">
        <v>1717</v>
      </c>
      <c r="J129" s="548" t="s">
        <v>627</v>
      </c>
      <c r="K129" s="583" t="s">
        <v>991</v>
      </c>
      <c r="L129" s="583" t="s">
        <v>992</v>
      </c>
      <c r="M129" s="619" t="s">
        <v>5660</v>
      </c>
      <c r="N129" s="620">
        <v>44474</v>
      </c>
      <c r="O129" s="684" t="s">
        <v>67</v>
      </c>
      <c r="P129" s="503">
        <f t="shared" ref="P129:P192" si="8">IF(B129=0,0,IF(YEAR(B129)=$Q$1,MONTH(B129)-$P$1+1,(YEAR(B129)-$Q$1)*12-$P$1+1+MONTH(B129)))</f>
        <v>10</v>
      </c>
      <c r="Q129" s="503">
        <f t="shared" ref="Q129:Q192" si="9">IF(C129=0,0,IF(YEAR(C129)=$Q$1,MONTH(C129)-$P$1+1,(YEAR(C129)-$Q$1)*12-$P$1+1+MONTH(C129)))</f>
        <v>9</v>
      </c>
      <c r="R129" s="504" t="str">
        <f t="shared" ref="R129:R192" si="10">SUBSTITUTE(D129," ","_")</f>
        <v>Gastos_Gerais</v>
      </c>
      <c r="S129" s="504" t="str">
        <f>IF(D129="","",IF(OR(D129=Plano!$A$1,D129=Plano!$B$1),"entrada","saída"))</f>
        <v>saída</v>
      </c>
      <c r="T129" s="505" t="s">
        <v>1082</v>
      </c>
      <c r="U129" s="505">
        <v>1458</v>
      </c>
      <c r="V129" s="541"/>
    </row>
    <row r="130" spans="1:22" ht="137.25" customHeight="1" x14ac:dyDescent="0.2">
      <c r="A130" s="619">
        <f>IF(B130="","",COUNT('Diário 5º PA'!$A$5:$A$2634)+COUNT('Diário 6º PA'!$A$5:$A$2246)+COUNT('Diário 7º PA'!$A$5:$A$2271)+ROW()-4)</f>
        <v>4076</v>
      </c>
      <c r="B130" s="620">
        <v>44475</v>
      </c>
      <c r="C130" s="624">
        <v>44409</v>
      </c>
      <c r="D130" s="548" t="s">
        <v>99</v>
      </c>
      <c r="E130" s="548" t="s">
        <v>364</v>
      </c>
      <c r="F130" s="622">
        <v>1600</v>
      </c>
      <c r="G130" s="623" t="s">
        <v>710</v>
      </c>
      <c r="H130" s="548" t="s">
        <v>118</v>
      </c>
      <c r="I130" s="583" t="s">
        <v>1051</v>
      </c>
      <c r="J130" s="548" t="s">
        <v>711</v>
      </c>
      <c r="K130" s="583" t="s">
        <v>991</v>
      </c>
      <c r="L130" s="583" t="s">
        <v>992</v>
      </c>
      <c r="M130" s="619" t="s">
        <v>4182</v>
      </c>
      <c r="N130" s="620">
        <v>44475</v>
      </c>
      <c r="O130" s="684" t="s">
        <v>67</v>
      </c>
      <c r="P130" s="503">
        <f t="shared" si="8"/>
        <v>10</v>
      </c>
      <c r="Q130" s="503">
        <f t="shared" si="9"/>
        <v>8</v>
      </c>
      <c r="R130" s="504" t="str">
        <f t="shared" si="10"/>
        <v>Gastos_Gerais</v>
      </c>
      <c r="S130" s="504" t="str">
        <f>IF(D130="","",IF(OR(D130=Plano!$A$1,D130=Plano!$B$1),"entrada","saída"))</f>
        <v>saída</v>
      </c>
      <c r="T130" s="505" t="s">
        <v>994</v>
      </c>
      <c r="U130" s="505">
        <v>1857</v>
      </c>
      <c r="V130" s="541"/>
    </row>
    <row r="131" spans="1:22" ht="131.25" customHeight="1" x14ac:dyDescent="0.2">
      <c r="A131" s="619">
        <f>IF(B131="","",COUNT('Diário 5º PA'!$A$5:$A$2634)+COUNT('Diário 6º PA'!$A$5:$A$2246)+COUNT('Diário 7º PA'!$A$5:$A$2271)+ROW()-4)</f>
        <v>4077</v>
      </c>
      <c r="B131" s="620">
        <v>44475</v>
      </c>
      <c r="C131" s="624">
        <v>44409</v>
      </c>
      <c r="D131" s="548" t="s">
        <v>99</v>
      </c>
      <c r="E131" s="548" t="s">
        <v>364</v>
      </c>
      <c r="F131" s="622">
        <v>533</v>
      </c>
      <c r="G131" s="623" t="s">
        <v>712</v>
      </c>
      <c r="H131" s="548" t="s">
        <v>118</v>
      </c>
      <c r="I131" s="583" t="s">
        <v>1051</v>
      </c>
      <c r="J131" s="548" t="s">
        <v>711</v>
      </c>
      <c r="K131" s="583" t="s">
        <v>991</v>
      </c>
      <c r="L131" s="583" t="s">
        <v>992</v>
      </c>
      <c r="M131" s="619" t="s">
        <v>1336</v>
      </c>
      <c r="N131" s="620">
        <v>44475</v>
      </c>
      <c r="O131" s="684" t="s">
        <v>67</v>
      </c>
      <c r="P131" s="503">
        <f t="shared" si="8"/>
        <v>10</v>
      </c>
      <c r="Q131" s="503">
        <f t="shared" si="9"/>
        <v>8</v>
      </c>
      <c r="R131" s="504" t="str">
        <f t="shared" si="10"/>
        <v>Gastos_Gerais</v>
      </c>
      <c r="S131" s="504" t="str">
        <f>IF(D131="","",IF(OR(D131=Plano!$A$1,D131=Plano!$B$1),"entrada","saída"))</f>
        <v>saída</v>
      </c>
      <c r="T131" s="505" t="s">
        <v>994</v>
      </c>
      <c r="U131" s="505">
        <v>1858</v>
      </c>
      <c r="V131" s="541"/>
    </row>
    <row r="132" spans="1:22" ht="111" customHeight="1" x14ac:dyDescent="0.2">
      <c r="A132" s="619">
        <f>IF(B132="","",COUNT('Diário 5º PA'!$A$5:$A$2634)+COUNT('Diário 6º PA'!$A$5:$A$2246)+COUNT('Diário 7º PA'!$A$5:$A$2271)+ROW()-4)</f>
        <v>4078</v>
      </c>
      <c r="B132" s="620">
        <v>44475</v>
      </c>
      <c r="C132" s="624">
        <v>44440</v>
      </c>
      <c r="D132" s="548" t="s">
        <v>99</v>
      </c>
      <c r="E132" s="548" t="s">
        <v>254</v>
      </c>
      <c r="F132" s="622">
        <v>500</v>
      </c>
      <c r="G132" s="623" t="s">
        <v>651</v>
      </c>
      <c r="H132" s="548" t="s">
        <v>115</v>
      </c>
      <c r="I132" s="583" t="s">
        <v>1135</v>
      </c>
      <c r="J132" s="548" t="s">
        <v>652</v>
      </c>
      <c r="K132" s="583" t="s">
        <v>991</v>
      </c>
      <c r="L132" s="583" t="s">
        <v>1136</v>
      </c>
      <c r="M132" s="619" t="s">
        <v>114</v>
      </c>
      <c r="N132" s="620">
        <v>44471</v>
      </c>
      <c r="O132" s="684" t="s">
        <v>67</v>
      </c>
      <c r="P132" s="503">
        <f t="shared" si="8"/>
        <v>10</v>
      </c>
      <c r="Q132" s="503">
        <f t="shared" si="9"/>
        <v>9</v>
      </c>
      <c r="R132" s="504" t="str">
        <f t="shared" si="10"/>
        <v>Gastos_Gerais</v>
      </c>
      <c r="S132" s="504" t="str">
        <f>IF(D132="","",IF(OR(D132=Plano!$A$1,D132=Plano!$B$1),"entrada","saída"))</f>
        <v>saída</v>
      </c>
      <c r="T132" s="505" t="s">
        <v>1059</v>
      </c>
      <c r="U132" s="505">
        <v>1139</v>
      </c>
      <c r="V132" s="541"/>
    </row>
    <row r="133" spans="1:22" ht="72.75" customHeight="1" x14ac:dyDescent="0.2">
      <c r="A133" s="619">
        <f>IF(B133="","",COUNT('Diário 5º PA'!$A$5:$A$2634)+COUNT('Diário 6º PA'!$A$5:$A$2246)+COUNT('Diário 7º PA'!$A$5:$A$2271)+ROW()-4)</f>
        <v>4079</v>
      </c>
      <c r="B133" s="620">
        <v>44475</v>
      </c>
      <c r="C133" s="624">
        <v>44440</v>
      </c>
      <c r="D133" s="548" t="s">
        <v>99</v>
      </c>
      <c r="E133" s="548" t="s">
        <v>364</v>
      </c>
      <c r="F133" s="622">
        <v>900</v>
      </c>
      <c r="G133" s="623" t="s">
        <v>871</v>
      </c>
      <c r="H133" s="548" t="s">
        <v>118</v>
      </c>
      <c r="I133" s="583" t="s">
        <v>5662</v>
      </c>
      <c r="J133" s="548" t="s">
        <v>873</v>
      </c>
      <c r="K133" s="583" t="s">
        <v>991</v>
      </c>
      <c r="L133" s="583" t="s">
        <v>992</v>
      </c>
      <c r="M133" s="619" t="s">
        <v>1394</v>
      </c>
      <c r="N133" s="620">
        <v>44474</v>
      </c>
      <c r="O133" s="684" t="s">
        <v>67</v>
      </c>
      <c r="P133" s="503">
        <f t="shared" si="8"/>
        <v>10</v>
      </c>
      <c r="Q133" s="503">
        <f t="shared" si="9"/>
        <v>9</v>
      </c>
      <c r="R133" s="504" t="str">
        <f t="shared" si="10"/>
        <v>Gastos_Gerais</v>
      </c>
      <c r="S133" s="504" t="str">
        <f>IF(D133="","",IF(OR(D133=Plano!$A$1,D133=Plano!$B$1),"entrada","saída"))</f>
        <v>saída</v>
      </c>
      <c r="T133" s="505" t="s">
        <v>994</v>
      </c>
      <c r="U133" s="505">
        <v>2010</v>
      </c>
      <c r="V133" s="541"/>
    </row>
    <row r="134" spans="1:22" ht="45" customHeight="1" x14ac:dyDescent="0.2">
      <c r="A134" s="619">
        <f>IF(B134="","",COUNT('Diário 5º PA'!$A$5:$A$2634)+COUNT('Diário 6º PA'!$A$5:$A$2246)+COUNT('Diário 7º PA'!$A$5:$A$2271)+ROW()-4)</f>
        <v>4080</v>
      </c>
      <c r="B134" s="620">
        <v>44475</v>
      </c>
      <c r="C134" s="628">
        <v>44470</v>
      </c>
      <c r="D134" s="548" t="s">
        <v>99</v>
      </c>
      <c r="E134" s="548" t="s">
        <v>272</v>
      </c>
      <c r="F134" s="622">
        <v>10.45</v>
      </c>
      <c r="G134" s="623" t="s">
        <v>6076</v>
      </c>
      <c r="H134" s="548" t="s">
        <v>114</v>
      </c>
      <c r="I134" s="583" t="s">
        <v>949</v>
      </c>
      <c r="J134" s="548" t="s">
        <v>950</v>
      </c>
      <c r="K134" s="583" t="s">
        <v>951</v>
      </c>
      <c r="L134" s="583" t="s">
        <v>947</v>
      </c>
      <c r="M134" s="625" t="s">
        <v>114</v>
      </c>
      <c r="N134" s="620">
        <v>44475</v>
      </c>
      <c r="O134" s="684" t="s">
        <v>67</v>
      </c>
      <c r="P134" s="503">
        <f t="shared" si="8"/>
        <v>10</v>
      </c>
      <c r="Q134" s="503">
        <f t="shared" si="9"/>
        <v>10</v>
      </c>
      <c r="R134" s="504" t="str">
        <f t="shared" si="10"/>
        <v>Gastos_Gerais</v>
      </c>
      <c r="S134" s="504" t="str">
        <f>IF(D134="","",IF(OR(D134=Plano!$A$1,D134=Plano!$B$1),"entrada","saída"))</f>
        <v>saída</v>
      </c>
      <c r="T134" s="511" t="s">
        <v>114</v>
      </c>
      <c r="U134" s="511" t="s">
        <v>114</v>
      </c>
      <c r="V134" s="541"/>
    </row>
    <row r="135" spans="1:22" ht="45" customHeight="1" x14ac:dyDescent="0.2">
      <c r="A135" s="619">
        <f>IF(B135="","",COUNT('Diário 5º PA'!$A$5:$A$2634)+COUNT('Diário 6º PA'!$A$5:$A$2246)+COUNT('Diário 7º PA'!$A$5:$A$2271)+ROW()-4)</f>
        <v>4081</v>
      </c>
      <c r="B135" s="620">
        <v>44475</v>
      </c>
      <c r="C135" s="628">
        <v>44470</v>
      </c>
      <c r="D135" s="548" t="s">
        <v>99</v>
      </c>
      <c r="E135" s="548" t="s">
        <v>272</v>
      </c>
      <c r="F135" s="622">
        <v>10.45</v>
      </c>
      <c r="G135" s="623" t="s">
        <v>2273</v>
      </c>
      <c r="H135" s="548" t="s">
        <v>114</v>
      </c>
      <c r="I135" s="583" t="s">
        <v>949</v>
      </c>
      <c r="J135" s="548" t="s">
        <v>950</v>
      </c>
      <c r="K135" s="583" t="s">
        <v>951</v>
      </c>
      <c r="L135" s="583" t="s">
        <v>947</v>
      </c>
      <c r="M135" s="625" t="s">
        <v>114</v>
      </c>
      <c r="N135" s="620">
        <v>44475</v>
      </c>
      <c r="O135" s="684" t="s">
        <v>67</v>
      </c>
      <c r="P135" s="503">
        <f t="shared" si="8"/>
        <v>10</v>
      </c>
      <c r="Q135" s="503">
        <f t="shared" si="9"/>
        <v>10</v>
      </c>
      <c r="R135" s="504" t="str">
        <f t="shared" si="10"/>
        <v>Gastos_Gerais</v>
      </c>
      <c r="S135" s="504" t="str">
        <f>IF(D135="","",IF(OR(D135=Plano!$A$1,D135=Plano!$B$1),"entrada","saída"))</f>
        <v>saída</v>
      </c>
      <c r="T135" s="511" t="s">
        <v>114</v>
      </c>
      <c r="U135" s="511" t="s">
        <v>114</v>
      </c>
      <c r="V135" s="541"/>
    </row>
    <row r="136" spans="1:22" ht="45" customHeight="1" x14ac:dyDescent="0.2">
      <c r="A136" s="619">
        <f>IF(B136="","",COUNT('Diário 5º PA'!$A$5:$A$2634)+COUNT('Diário 6º PA'!$A$5:$A$2246)+COUNT('Diário 7º PA'!$A$5:$A$2271)+ROW()-4)</f>
        <v>4082</v>
      </c>
      <c r="B136" s="620">
        <v>44475</v>
      </c>
      <c r="C136" s="628">
        <v>44470</v>
      </c>
      <c r="D136" s="548" t="s">
        <v>99</v>
      </c>
      <c r="E136" s="548" t="s">
        <v>272</v>
      </c>
      <c r="F136" s="622">
        <v>10.45</v>
      </c>
      <c r="G136" s="623" t="s">
        <v>2274</v>
      </c>
      <c r="H136" s="548" t="s">
        <v>114</v>
      </c>
      <c r="I136" s="583" t="s">
        <v>949</v>
      </c>
      <c r="J136" s="548" t="s">
        <v>950</v>
      </c>
      <c r="K136" s="583" t="s">
        <v>951</v>
      </c>
      <c r="L136" s="583" t="s">
        <v>947</v>
      </c>
      <c r="M136" s="625" t="s">
        <v>114</v>
      </c>
      <c r="N136" s="620">
        <v>44475</v>
      </c>
      <c r="O136" s="684" t="s">
        <v>67</v>
      </c>
      <c r="P136" s="503">
        <f t="shared" si="8"/>
        <v>10</v>
      </c>
      <c r="Q136" s="503">
        <f t="shared" si="9"/>
        <v>10</v>
      </c>
      <c r="R136" s="504" t="str">
        <f t="shared" si="10"/>
        <v>Gastos_Gerais</v>
      </c>
      <c r="S136" s="504" t="str">
        <f>IF(D136="","",IF(OR(D136=Plano!$A$1,D136=Plano!$B$1),"entrada","saída"))</f>
        <v>saída</v>
      </c>
      <c r="T136" s="511" t="s">
        <v>114</v>
      </c>
      <c r="U136" s="511" t="s">
        <v>114</v>
      </c>
      <c r="V136" s="541"/>
    </row>
    <row r="137" spans="1:22" ht="45" customHeight="1" x14ac:dyDescent="0.2">
      <c r="A137" s="619">
        <f>IF(B137="","",COUNT('Diário 5º PA'!$A$5:$A$2634)+COUNT('Diário 6º PA'!$A$5:$A$2246)+COUNT('Diário 7º PA'!$A$5:$A$2271)+ROW()-4)</f>
        <v>4083</v>
      </c>
      <c r="B137" s="620">
        <v>44475</v>
      </c>
      <c r="C137" s="628">
        <v>44470</v>
      </c>
      <c r="D137" s="548" t="s">
        <v>99</v>
      </c>
      <c r="E137" s="548" t="s">
        <v>272</v>
      </c>
      <c r="F137" s="622">
        <v>10.45</v>
      </c>
      <c r="G137" s="623" t="s">
        <v>2273</v>
      </c>
      <c r="H137" s="548" t="s">
        <v>114</v>
      </c>
      <c r="I137" s="583" t="s">
        <v>949</v>
      </c>
      <c r="J137" s="548" t="s">
        <v>950</v>
      </c>
      <c r="K137" s="583" t="s">
        <v>951</v>
      </c>
      <c r="L137" s="583" t="s">
        <v>947</v>
      </c>
      <c r="M137" s="625" t="s">
        <v>114</v>
      </c>
      <c r="N137" s="620">
        <v>44475</v>
      </c>
      <c r="O137" s="684" t="s">
        <v>67</v>
      </c>
      <c r="P137" s="503">
        <f t="shared" si="8"/>
        <v>10</v>
      </c>
      <c r="Q137" s="503">
        <f t="shared" si="9"/>
        <v>10</v>
      </c>
      <c r="R137" s="504" t="str">
        <f t="shared" si="10"/>
        <v>Gastos_Gerais</v>
      </c>
      <c r="S137" s="504" t="str">
        <f>IF(D137="","",IF(OR(D137=Plano!$A$1,D137=Plano!$B$1),"entrada","saída"))</f>
        <v>saída</v>
      </c>
      <c r="T137" s="511" t="s">
        <v>114</v>
      </c>
      <c r="U137" s="511" t="s">
        <v>114</v>
      </c>
      <c r="V137" s="541"/>
    </row>
    <row r="138" spans="1:22" ht="45" customHeight="1" x14ac:dyDescent="0.2">
      <c r="A138" s="619">
        <f>IF(B138="","",COUNT('Diário 5º PA'!$A$5:$A$2634)+COUNT('Diário 6º PA'!$A$5:$A$2246)+COUNT('Diário 7º PA'!$A$5:$A$2271)+ROW()-4)</f>
        <v>4084</v>
      </c>
      <c r="B138" s="620">
        <v>44475</v>
      </c>
      <c r="C138" s="628">
        <v>44470</v>
      </c>
      <c r="D138" s="548" t="s">
        <v>99</v>
      </c>
      <c r="E138" s="548" t="s">
        <v>272</v>
      </c>
      <c r="F138" s="622">
        <v>10.45</v>
      </c>
      <c r="G138" s="623" t="s">
        <v>2275</v>
      </c>
      <c r="H138" s="548" t="s">
        <v>114</v>
      </c>
      <c r="I138" s="583" t="s">
        <v>949</v>
      </c>
      <c r="J138" s="548" t="s">
        <v>950</v>
      </c>
      <c r="K138" s="583" t="s">
        <v>951</v>
      </c>
      <c r="L138" s="583" t="s">
        <v>947</v>
      </c>
      <c r="M138" s="625" t="s">
        <v>114</v>
      </c>
      <c r="N138" s="620">
        <v>44475</v>
      </c>
      <c r="O138" s="684" t="s">
        <v>67</v>
      </c>
      <c r="P138" s="503">
        <f t="shared" si="8"/>
        <v>10</v>
      </c>
      <c r="Q138" s="503">
        <f t="shared" si="9"/>
        <v>10</v>
      </c>
      <c r="R138" s="504" t="str">
        <f t="shared" si="10"/>
        <v>Gastos_Gerais</v>
      </c>
      <c r="S138" s="504" t="str">
        <f>IF(D138="","",IF(OR(D138=Plano!$A$1,D138=Plano!$B$1),"entrada","saída"))</f>
        <v>saída</v>
      </c>
      <c r="T138" s="511" t="s">
        <v>114</v>
      </c>
      <c r="U138" s="511" t="s">
        <v>114</v>
      </c>
      <c r="V138" s="541"/>
    </row>
    <row r="139" spans="1:22" ht="45" customHeight="1" x14ac:dyDescent="0.2">
      <c r="A139" s="619">
        <f>IF(B139="","",COUNT('Diário 5º PA'!$A$5:$A$2634)+COUNT('Diário 6º PA'!$A$5:$A$2246)+COUNT('Diário 7º PA'!$A$5:$A$2271)+ROW()-4)</f>
        <v>4085</v>
      </c>
      <c r="B139" s="620">
        <v>44475</v>
      </c>
      <c r="C139" s="628">
        <v>44470</v>
      </c>
      <c r="D139" s="548" t="s">
        <v>99</v>
      </c>
      <c r="E139" s="548" t="s">
        <v>272</v>
      </c>
      <c r="F139" s="622">
        <v>10.45</v>
      </c>
      <c r="G139" s="623" t="s">
        <v>2273</v>
      </c>
      <c r="H139" s="548" t="s">
        <v>114</v>
      </c>
      <c r="I139" s="583" t="s">
        <v>949</v>
      </c>
      <c r="J139" s="548" t="s">
        <v>950</v>
      </c>
      <c r="K139" s="583" t="s">
        <v>951</v>
      </c>
      <c r="L139" s="583" t="s">
        <v>947</v>
      </c>
      <c r="M139" s="625" t="s">
        <v>114</v>
      </c>
      <c r="N139" s="620">
        <v>44475</v>
      </c>
      <c r="O139" s="684" t="s">
        <v>67</v>
      </c>
      <c r="P139" s="503">
        <f t="shared" si="8"/>
        <v>10</v>
      </c>
      <c r="Q139" s="503">
        <f t="shared" si="9"/>
        <v>10</v>
      </c>
      <c r="R139" s="504" t="str">
        <f t="shared" si="10"/>
        <v>Gastos_Gerais</v>
      </c>
      <c r="S139" s="504" t="str">
        <f>IF(D139="","",IF(OR(D139=Plano!$A$1,D139=Plano!$B$1),"entrada","saída"))</f>
        <v>saída</v>
      </c>
      <c r="T139" s="511" t="s">
        <v>114</v>
      </c>
      <c r="U139" s="511" t="s">
        <v>114</v>
      </c>
      <c r="V139" s="541"/>
    </row>
    <row r="140" spans="1:22" ht="45" customHeight="1" x14ac:dyDescent="0.2">
      <c r="A140" s="619">
        <f>IF(B140="","",COUNT('Diário 5º PA'!$A$5:$A$2634)+COUNT('Diário 6º PA'!$A$5:$A$2246)+COUNT('Diário 7º PA'!$A$5:$A$2271)+ROW()-4)</f>
        <v>4086</v>
      </c>
      <c r="B140" s="620">
        <v>44475</v>
      </c>
      <c r="C140" s="628">
        <v>44470</v>
      </c>
      <c r="D140" s="548" t="s">
        <v>99</v>
      </c>
      <c r="E140" s="548" t="s">
        <v>272</v>
      </c>
      <c r="F140" s="622">
        <v>10.45</v>
      </c>
      <c r="G140" s="623" t="s">
        <v>2276</v>
      </c>
      <c r="H140" s="548" t="s">
        <v>114</v>
      </c>
      <c r="I140" s="583" t="s">
        <v>949</v>
      </c>
      <c r="J140" s="548" t="s">
        <v>950</v>
      </c>
      <c r="K140" s="583" t="s">
        <v>951</v>
      </c>
      <c r="L140" s="583" t="s">
        <v>947</v>
      </c>
      <c r="M140" s="625" t="s">
        <v>114</v>
      </c>
      <c r="N140" s="620">
        <v>44475</v>
      </c>
      <c r="O140" s="684" t="s">
        <v>67</v>
      </c>
      <c r="P140" s="503">
        <f t="shared" si="8"/>
        <v>10</v>
      </c>
      <c r="Q140" s="503">
        <f t="shared" si="9"/>
        <v>10</v>
      </c>
      <c r="R140" s="504" t="str">
        <f t="shared" si="10"/>
        <v>Gastos_Gerais</v>
      </c>
      <c r="S140" s="504" t="str">
        <f>IF(D140="","",IF(OR(D140=Plano!$A$1,D140=Plano!$B$1),"entrada","saída"))</f>
        <v>saída</v>
      </c>
      <c r="T140" s="511" t="s">
        <v>114</v>
      </c>
      <c r="U140" s="511" t="s">
        <v>114</v>
      </c>
      <c r="V140" s="541"/>
    </row>
    <row r="141" spans="1:22" ht="45" customHeight="1" x14ac:dyDescent="0.2">
      <c r="A141" s="619">
        <f>IF(B141="","",COUNT('Diário 5º PA'!$A$5:$A$2634)+COUNT('Diário 6º PA'!$A$5:$A$2246)+COUNT('Diário 7º PA'!$A$5:$A$2271)+ROW()-4)</f>
        <v>4087</v>
      </c>
      <c r="B141" s="620">
        <v>44475</v>
      </c>
      <c r="C141" s="628">
        <v>44470</v>
      </c>
      <c r="D141" s="548" t="s">
        <v>99</v>
      </c>
      <c r="E141" s="548" t="s">
        <v>272</v>
      </c>
      <c r="F141" s="622">
        <v>10.45</v>
      </c>
      <c r="G141" s="623" t="s">
        <v>2273</v>
      </c>
      <c r="H141" s="548" t="s">
        <v>114</v>
      </c>
      <c r="I141" s="583" t="s">
        <v>949</v>
      </c>
      <c r="J141" s="548" t="s">
        <v>950</v>
      </c>
      <c r="K141" s="583" t="s">
        <v>951</v>
      </c>
      <c r="L141" s="583" t="s">
        <v>947</v>
      </c>
      <c r="M141" s="625" t="s">
        <v>114</v>
      </c>
      <c r="N141" s="620">
        <v>44475</v>
      </c>
      <c r="O141" s="684" t="s">
        <v>67</v>
      </c>
      <c r="P141" s="503">
        <f t="shared" si="8"/>
        <v>10</v>
      </c>
      <c r="Q141" s="503">
        <f t="shared" si="9"/>
        <v>10</v>
      </c>
      <c r="R141" s="504" t="str">
        <f t="shared" si="10"/>
        <v>Gastos_Gerais</v>
      </c>
      <c r="S141" s="504" t="str">
        <f>IF(D141="","",IF(OR(D141=Plano!$A$1,D141=Plano!$B$1),"entrada","saída"))</f>
        <v>saída</v>
      </c>
      <c r="T141" s="511" t="s">
        <v>114</v>
      </c>
      <c r="U141" s="511" t="s">
        <v>114</v>
      </c>
      <c r="V141" s="541"/>
    </row>
    <row r="142" spans="1:22" ht="45" customHeight="1" x14ac:dyDescent="0.2">
      <c r="A142" s="619">
        <f>IF(B142="","",COUNT('Diário 5º PA'!$A$5:$A$2634)+COUNT('Diário 6º PA'!$A$5:$A$2246)+COUNT('Diário 7º PA'!$A$5:$A$2271)+ROW()-4)</f>
        <v>4088</v>
      </c>
      <c r="B142" s="620">
        <v>44475</v>
      </c>
      <c r="C142" s="628">
        <v>44470</v>
      </c>
      <c r="D142" s="548" t="s">
        <v>99</v>
      </c>
      <c r="E142" s="548" t="s">
        <v>272</v>
      </c>
      <c r="F142" s="622">
        <v>10.45</v>
      </c>
      <c r="G142" s="623" t="s">
        <v>2277</v>
      </c>
      <c r="H142" s="548" t="s">
        <v>114</v>
      </c>
      <c r="I142" s="583" t="s">
        <v>949</v>
      </c>
      <c r="J142" s="548" t="s">
        <v>950</v>
      </c>
      <c r="K142" s="583" t="s">
        <v>951</v>
      </c>
      <c r="L142" s="583" t="s">
        <v>947</v>
      </c>
      <c r="M142" s="625" t="s">
        <v>114</v>
      </c>
      <c r="N142" s="620">
        <v>44475</v>
      </c>
      <c r="O142" s="684" t="s">
        <v>67</v>
      </c>
      <c r="P142" s="503">
        <f t="shared" si="8"/>
        <v>10</v>
      </c>
      <c r="Q142" s="503">
        <f t="shared" si="9"/>
        <v>10</v>
      </c>
      <c r="R142" s="504" t="str">
        <f t="shared" si="10"/>
        <v>Gastos_Gerais</v>
      </c>
      <c r="S142" s="504" t="str">
        <f>IF(D142="","",IF(OR(D142=Plano!$A$1,D142=Plano!$B$1),"entrada","saída"))</f>
        <v>saída</v>
      </c>
      <c r="T142" s="511" t="s">
        <v>114</v>
      </c>
      <c r="U142" s="511" t="s">
        <v>114</v>
      </c>
      <c r="V142" s="541"/>
    </row>
    <row r="143" spans="1:22" ht="45" customHeight="1" x14ac:dyDescent="0.2">
      <c r="A143" s="619">
        <f>IF(B143="","",COUNT('Diário 5º PA'!$A$5:$A$2634)+COUNT('Diário 6º PA'!$A$5:$A$2246)+COUNT('Diário 7º PA'!$A$5:$A$2271)+ROW()-4)</f>
        <v>4089</v>
      </c>
      <c r="B143" s="620">
        <v>44475</v>
      </c>
      <c r="C143" s="628">
        <v>44470</v>
      </c>
      <c r="D143" s="548" t="s">
        <v>99</v>
      </c>
      <c r="E143" s="548" t="s">
        <v>272</v>
      </c>
      <c r="F143" s="622">
        <v>10.45</v>
      </c>
      <c r="G143" s="623" t="s">
        <v>2273</v>
      </c>
      <c r="H143" s="548" t="s">
        <v>114</v>
      </c>
      <c r="I143" s="583" t="s">
        <v>949</v>
      </c>
      <c r="J143" s="548" t="s">
        <v>950</v>
      </c>
      <c r="K143" s="583" t="s">
        <v>951</v>
      </c>
      <c r="L143" s="583" t="s">
        <v>947</v>
      </c>
      <c r="M143" s="625" t="s">
        <v>114</v>
      </c>
      <c r="N143" s="620">
        <v>44475</v>
      </c>
      <c r="O143" s="684" t="s">
        <v>67</v>
      </c>
      <c r="P143" s="503">
        <f t="shared" si="8"/>
        <v>10</v>
      </c>
      <c r="Q143" s="503">
        <f t="shared" si="9"/>
        <v>10</v>
      </c>
      <c r="R143" s="504" t="str">
        <f t="shared" si="10"/>
        <v>Gastos_Gerais</v>
      </c>
      <c r="S143" s="504" t="str">
        <f>IF(D143="","",IF(OR(D143=Plano!$A$1,D143=Plano!$B$1),"entrada","saída"))</f>
        <v>saída</v>
      </c>
      <c r="T143" s="511" t="s">
        <v>114</v>
      </c>
      <c r="U143" s="511" t="s">
        <v>114</v>
      </c>
      <c r="V143" s="541"/>
    </row>
    <row r="144" spans="1:22" ht="45" customHeight="1" x14ac:dyDescent="0.2">
      <c r="A144" s="619">
        <f>IF(B144="","",COUNT('Diário 5º PA'!$A$5:$A$2634)+COUNT('Diário 6º PA'!$A$5:$A$2246)+COUNT('Diário 7º PA'!$A$5:$A$2271)+ROW()-4)</f>
        <v>4090</v>
      </c>
      <c r="B144" s="620">
        <v>44475</v>
      </c>
      <c r="C144" s="628">
        <v>44470</v>
      </c>
      <c r="D144" s="548" t="s">
        <v>99</v>
      </c>
      <c r="E144" s="548" t="s">
        <v>272</v>
      </c>
      <c r="F144" s="622">
        <v>10.45</v>
      </c>
      <c r="G144" s="623" t="s">
        <v>2278</v>
      </c>
      <c r="H144" s="548" t="s">
        <v>114</v>
      </c>
      <c r="I144" s="583" t="s">
        <v>949</v>
      </c>
      <c r="J144" s="548" t="s">
        <v>950</v>
      </c>
      <c r="K144" s="583" t="s">
        <v>951</v>
      </c>
      <c r="L144" s="583" t="s">
        <v>947</v>
      </c>
      <c r="M144" s="625" t="s">
        <v>114</v>
      </c>
      <c r="N144" s="620">
        <v>44475</v>
      </c>
      <c r="O144" s="684" t="s">
        <v>67</v>
      </c>
      <c r="P144" s="503">
        <f t="shared" si="8"/>
        <v>10</v>
      </c>
      <c r="Q144" s="503">
        <f t="shared" si="9"/>
        <v>10</v>
      </c>
      <c r="R144" s="504" t="str">
        <f t="shared" si="10"/>
        <v>Gastos_Gerais</v>
      </c>
      <c r="S144" s="504" t="str">
        <f>IF(D144="","",IF(OR(D144=Plano!$A$1,D144=Plano!$B$1),"entrada","saída"))</f>
        <v>saída</v>
      </c>
      <c r="T144" s="511" t="s">
        <v>114</v>
      </c>
      <c r="U144" s="511" t="s">
        <v>114</v>
      </c>
      <c r="V144" s="541"/>
    </row>
    <row r="145" spans="1:22" ht="45" customHeight="1" x14ac:dyDescent="0.2">
      <c r="A145" s="619">
        <f>IF(B145="","",COUNT('Diário 5º PA'!$A$5:$A$2634)+COUNT('Diário 6º PA'!$A$5:$A$2246)+COUNT('Diário 7º PA'!$A$5:$A$2271)+ROW()-4)</f>
        <v>4091</v>
      </c>
      <c r="B145" s="620">
        <v>44475</v>
      </c>
      <c r="C145" s="628">
        <v>44470</v>
      </c>
      <c r="D145" s="548" t="s">
        <v>99</v>
      </c>
      <c r="E145" s="548" t="s">
        <v>272</v>
      </c>
      <c r="F145" s="622">
        <v>10.45</v>
      </c>
      <c r="G145" s="623" t="s">
        <v>2273</v>
      </c>
      <c r="H145" s="548" t="s">
        <v>114</v>
      </c>
      <c r="I145" s="583" t="s">
        <v>949</v>
      </c>
      <c r="J145" s="548" t="s">
        <v>950</v>
      </c>
      <c r="K145" s="583" t="s">
        <v>951</v>
      </c>
      <c r="L145" s="583" t="s">
        <v>947</v>
      </c>
      <c r="M145" s="625" t="s">
        <v>114</v>
      </c>
      <c r="N145" s="620">
        <v>44475</v>
      </c>
      <c r="O145" s="684" t="s">
        <v>67</v>
      </c>
      <c r="P145" s="503">
        <f t="shared" si="8"/>
        <v>10</v>
      </c>
      <c r="Q145" s="503">
        <f t="shared" si="9"/>
        <v>10</v>
      </c>
      <c r="R145" s="504" t="str">
        <f t="shared" si="10"/>
        <v>Gastos_Gerais</v>
      </c>
      <c r="S145" s="504" t="str">
        <f>IF(D145="","",IF(OR(D145=Plano!$A$1,D145=Plano!$B$1),"entrada","saída"))</f>
        <v>saída</v>
      </c>
      <c r="T145" s="511" t="s">
        <v>114</v>
      </c>
      <c r="U145" s="511" t="s">
        <v>114</v>
      </c>
      <c r="V145" s="541"/>
    </row>
    <row r="146" spans="1:22" ht="45" customHeight="1" x14ac:dyDescent="0.2">
      <c r="A146" s="619">
        <f>IF(B146="","",COUNT('Diário 5º PA'!$A$5:$A$2634)+COUNT('Diário 6º PA'!$A$5:$A$2246)+COUNT('Diário 7º PA'!$A$5:$A$2271)+ROW()-4)</f>
        <v>4092</v>
      </c>
      <c r="B146" s="620">
        <v>44475</v>
      </c>
      <c r="C146" s="628">
        <v>44470</v>
      </c>
      <c r="D146" s="548" t="s">
        <v>99</v>
      </c>
      <c r="E146" s="548" t="s">
        <v>272</v>
      </c>
      <c r="F146" s="622">
        <v>10.45</v>
      </c>
      <c r="G146" s="623" t="s">
        <v>2273</v>
      </c>
      <c r="H146" s="548" t="s">
        <v>114</v>
      </c>
      <c r="I146" s="583" t="s">
        <v>949</v>
      </c>
      <c r="J146" s="548" t="s">
        <v>950</v>
      </c>
      <c r="K146" s="583" t="s">
        <v>951</v>
      </c>
      <c r="L146" s="583" t="s">
        <v>947</v>
      </c>
      <c r="M146" s="625" t="s">
        <v>114</v>
      </c>
      <c r="N146" s="620">
        <v>44475</v>
      </c>
      <c r="O146" s="684" t="s">
        <v>67</v>
      </c>
      <c r="P146" s="503">
        <f t="shared" si="8"/>
        <v>10</v>
      </c>
      <c r="Q146" s="503">
        <f t="shared" si="9"/>
        <v>10</v>
      </c>
      <c r="R146" s="504" t="str">
        <f t="shared" si="10"/>
        <v>Gastos_Gerais</v>
      </c>
      <c r="S146" s="504" t="str">
        <f>IF(D146="","",IF(OR(D146=Plano!$A$1,D146=Plano!$B$1),"entrada","saída"))</f>
        <v>saída</v>
      </c>
      <c r="T146" s="511" t="s">
        <v>114</v>
      </c>
      <c r="U146" s="511" t="s">
        <v>114</v>
      </c>
      <c r="V146" s="541"/>
    </row>
    <row r="147" spans="1:22" ht="45" customHeight="1" x14ac:dyDescent="0.2">
      <c r="A147" s="619">
        <f>IF(B147="","",COUNT('Diário 5º PA'!$A$5:$A$2634)+COUNT('Diário 6º PA'!$A$5:$A$2246)+COUNT('Diário 7º PA'!$A$5:$A$2271)+ROW()-4)</f>
        <v>4093</v>
      </c>
      <c r="B147" s="620">
        <v>44475</v>
      </c>
      <c r="C147" s="628">
        <v>44470</v>
      </c>
      <c r="D147" s="548" t="s">
        <v>99</v>
      </c>
      <c r="E147" s="548" t="s">
        <v>272</v>
      </c>
      <c r="F147" s="622">
        <v>10.45</v>
      </c>
      <c r="G147" s="623" t="s">
        <v>2279</v>
      </c>
      <c r="H147" s="548" t="s">
        <v>114</v>
      </c>
      <c r="I147" s="583" t="s">
        <v>949</v>
      </c>
      <c r="J147" s="548" t="s">
        <v>950</v>
      </c>
      <c r="K147" s="583" t="s">
        <v>951</v>
      </c>
      <c r="L147" s="583" t="s">
        <v>947</v>
      </c>
      <c r="M147" s="625" t="s">
        <v>114</v>
      </c>
      <c r="N147" s="620">
        <v>44475</v>
      </c>
      <c r="O147" s="684" t="s">
        <v>67</v>
      </c>
      <c r="P147" s="503">
        <f t="shared" si="8"/>
        <v>10</v>
      </c>
      <c r="Q147" s="503">
        <f t="shared" si="9"/>
        <v>10</v>
      </c>
      <c r="R147" s="504" t="str">
        <f t="shared" si="10"/>
        <v>Gastos_Gerais</v>
      </c>
      <c r="S147" s="504" t="str">
        <f>IF(D147="","",IF(OR(D147=Plano!$A$1,D147=Plano!$B$1),"entrada","saída"))</f>
        <v>saída</v>
      </c>
      <c r="T147" s="511" t="s">
        <v>114</v>
      </c>
      <c r="U147" s="511" t="s">
        <v>114</v>
      </c>
      <c r="V147" s="541"/>
    </row>
    <row r="148" spans="1:22" ht="45" customHeight="1" x14ac:dyDescent="0.2">
      <c r="A148" s="619">
        <f>IF(B148="","",COUNT('Diário 5º PA'!$A$5:$A$2634)+COUNT('Diário 6º PA'!$A$5:$A$2246)+COUNT('Diário 7º PA'!$A$5:$A$2271)+ROW()-4)</f>
        <v>4094</v>
      </c>
      <c r="B148" s="620">
        <v>44475</v>
      </c>
      <c r="C148" s="628">
        <v>44470</v>
      </c>
      <c r="D148" s="548" t="s">
        <v>99</v>
      </c>
      <c r="E148" s="548" t="s">
        <v>272</v>
      </c>
      <c r="F148" s="622">
        <v>10.45</v>
      </c>
      <c r="G148" s="623" t="s">
        <v>2280</v>
      </c>
      <c r="H148" s="548" t="s">
        <v>114</v>
      </c>
      <c r="I148" s="583" t="s">
        <v>949</v>
      </c>
      <c r="J148" s="548" t="s">
        <v>950</v>
      </c>
      <c r="K148" s="583" t="s">
        <v>951</v>
      </c>
      <c r="L148" s="583" t="s">
        <v>947</v>
      </c>
      <c r="M148" s="625" t="s">
        <v>114</v>
      </c>
      <c r="N148" s="620">
        <v>44475</v>
      </c>
      <c r="O148" s="684" t="s">
        <v>67</v>
      </c>
      <c r="P148" s="503">
        <f t="shared" si="8"/>
        <v>10</v>
      </c>
      <c r="Q148" s="503">
        <f t="shared" si="9"/>
        <v>10</v>
      </c>
      <c r="R148" s="504" t="str">
        <f t="shared" si="10"/>
        <v>Gastos_Gerais</v>
      </c>
      <c r="S148" s="504" t="str">
        <f>IF(D148="","",IF(OR(D148=Plano!$A$1,D148=Plano!$B$1),"entrada","saída"))</f>
        <v>saída</v>
      </c>
      <c r="T148" s="511" t="s">
        <v>114</v>
      </c>
      <c r="U148" s="511" t="s">
        <v>114</v>
      </c>
      <c r="V148" s="541"/>
    </row>
    <row r="149" spans="1:22" ht="45" customHeight="1" x14ac:dyDescent="0.2">
      <c r="A149" s="619">
        <f>IF(B149="","",COUNT('Diário 5º PA'!$A$5:$A$2634)+COUNT('Diário 6º PA'!$A$5:$A$2246)+COUNT('Diário 7º PA'!$A$5:$A$2271)+ROW()-4)</f>
        <v>4095</v>
      </c>
      <c r="B149" s="620">
        <v>44475</v>
      </c>
      <c r="C149" s="628">
        <v>44470</v>
      </c>
      <c r="D149" s="548" t="s">
        <v>99</v>
      </c>
      <c r="E149" s="548" t="s">
        <v>272</v>
      </c>
      <c r="F149" s="622">
        <v>10.45</v>
      </c>
      <c r="G149" s="623" t="s">
        <v>2273</v>
      </c>
      <c r="H149" s="548" t="s">
        <v>114</v>
      </c>
      <c r="I149" s="583" t="s">
        <v>949</v>
      </c>
      <c r="J149" s="548" t="s">
        <v>950</v>
      </c>
      <c r="K149" s="583" t="s">
        <v>951</v>
      </c>
      <c r="L149" s="583" t="s">
        <v>947</v>
      </c>
      <c r="M149" s="625" t="s">
        <v>114</v>
      </c>
      <c r="N149" s="620">
        <v>44475</v>
      </c>
      <c r="O149" s="684" t="s">
        <v>67</v>
      </c>
      <c r="P149" s="503">
        <f t="shared" si="8"/>
        <v>10</v>
      </c>
      <c r="Q149" s="503">
        <f t="shared" si="9"/>
        <v>10</v>
      </c>
      <c r="R149" s="504" t="str">
        <f t="shared" si="10"/>
        <v>Gastos_Gerais</v>
      </c>
      <c r="S149" s="504" t="str">
        <f>IF(D149="","",IF(OR(D149=Plano!$A$1,D149=Plano!$B$1),"entrada","saída"))</f>
        <v>saída</v>
      </c>
      <c r="T149" s="511" t="s">
        <v>114</v>
      </c>
      <c r="U149" s="511" t="s">
        <v>114</v>
      </c>
      <c r="V149" s="541"/>
    </row>
    <row r="150" spans="1:22" ht="45" customHeight="1" x14ac:dyDescent="0.2">
      <c r="A150" s="619">
        <f>IF(B150="","",COUNT('Diário 5º PA'!$A$5:$A$2634)+COUNT('Diário 6º PA'!$A$5:$A$2246)+COUNT('Diário 7º PA'!$A$5:$A$2271)+ROW()-4)</f>
        <v>4096</v>
      </c>
      <c r="B150" s="620">
        <v>44475</v>
      </c>
      <c r="C150" s="628">
        <v>44470</v>
      </c>
      <c r="D150" s="548" t="s">
        <v>99</v>
      </c>
      <c r="E150" s="548" t="s">
        <v>272</v>
      </c>
      <c r="F150" s="622">
        <v>10.45</v>
      </c>
      <c r="G150" s="623" t="s">
        <v>2273</v>
      </c>
      <c r="H150" s="548" t="s">
        <v>114</v>
      </c>
      <c r="I150" s="583" t="s">
        <v>949</v>
      </c>
      <c r="J150" s="548" t="s">
        <v>950</v>
      </c>
      <c r="K150" s="583" t="s">
        <v>951</v>
      </c>
      <c r="L150" s="583" t="s">
        <v>947</v>
      </c>
      <c r="M150" s="625" t="s">
        <v>114</v>
      </c>
      <c r="N150" s="620">
        <v>44475</v>
      </c>
      <c r="O150" s="684" t="s">
        <v>67</v>
      </c>
      <c r="P150" s="503">
        <f t="shared" si="8"/>
        <v>10</v>
      </c>
      <c r="Q150" s="503">
        <f t="shared" si="9"/>
        <v>10</v>
      </c>
      <c r="R150" s="504" t="str">
        <f t="shared" si="10"/>
        <v>Gastos_Gerais</v>
      </c>
      <c r="S150" s="504" t="str">
        <f>IF(D150="","",IF(OR(D150=Plano!$A$1,D150=Plano!$B$1),"entrada","saída"))</f>
        <v>saída</v>
      </c>
      <c r="T150" s="511" t="s">
        <v>114</v>
      </c>
      <c r="U150" s="511" t="s">
        <v>114</v>
      </c>
      <c r="V150" s="541"/>
    </row>
    <row r="151" spans="1:22" ht="45" customHeight="1" x14ac:dyDescent="0.2">
      <c r="A151" s="619">
        <f>IF(B151="","",COUNT('Diário 5º PA'!$A$5:$A$2634)+COUNT('Diário 6º PA'!$A$5:$A$2246)+COUNT('Diário 7º PA'!$A$5:$A$2271)+ROW()-4)</f>
        <v>4097</v>
      </c>
      <c r="B151" s="620">
        <v>44475</v>
      </c>
      <c r="C151" s="628">
        <v>44470</v>
      </c>
      <c r="D151" s="548" t="s">
        <v>99</v>
      </c>
      <c r="E151" s="548" t="s">
        <v>272</v>
      </c>
      <c r="F151" s="622">
        <v>10.45</v>
      </c>
      <c r="G151" s="623" t="s">
        <v>2281</v>
      </c>
      <c r="H151" s="548" t="s">
        <v>114</v>
      </c>
      <c r="I151" s="583" t="s">
        <v>949</v>
      </c>
      <c r="J151" s="548" t="s">
        <v>950</v>
      </c>
      <c r="K151" s="583" t="s">
        <v>951</v>
      </c>
      <c r="L151" s="583" t="s">
        <v>947</v>
      </c>
      <c r="M151" s="625" t="s">
        <v>114</v>
      </c>
      <c r="N151" s="620">
        <v>44475</v>
      </c>
      <c r="O151" s="684" t="s">
        <v>67</v>
      </c>
      <c r="P151" s="503">
        <f t="shared" si="8"/>
        <v>10</v>
      </c>
      <c r="Q151" s="503">
        <f t="shared" si="9"/>
        <v>10</v>
      </c>
      <c r="R151" s="504" t="str">
        <f t="shared" si="10"/>
        <v>Gastos_Gerais</v>
      </c>
      <c r="S151" s="504" t="str">
        <f>IF(D151="","",IF(OR(D151=Plano!$A$1,D151=Plano!$B$1),"entrada","saída"))</f>
        <v>saída</v>
      </c>
      <c r="T151" s="511" t="s">
        <v>114</v>
      </c>
      <c r="U151" s="511" t="s">
        <v>114</v>
      </c>
      <c r="V151" s="541"/>
    </row>
    <row r="152" spans="1:22" ht="45" customHeight="1" x14ac:dyDescent="0.2">
      <c r="A152" s="619">
        <f>IF(B152="","",COUNT('Diário 5º PA'!$A$5:$A$2634)+COUNT('Diário 6º PA'!$A$5:$A$2246)+COUNT('Diário 7º PA'!$A$5:$A$2271)+ROW()-4)</f>
        <v>4098</v>
      </c>
      <c r="B152" s="620">
        <v>44475</v>
      </c>
      <c r="C152" s="628">
        <v>44470</v>
      </c>
      <c r="D152" s="548" t="s">
        <v>99</v>
      </c>
      <c r="E152" s="548" t="s">
        <v>272</v>
      </c>
      <c r="F152" s="622">
        <v>10.45</v>
      </c>
      <c r="G152" s="623" t="s">
        <v>2273</v>
      </c>
      <c r="H152" s="548" t="s">
        <v>114</v>
      </c>
      <c r="I152" s="583" t="s">
        <v>949</v>
      </c>
      <c r="J152" s="548" t="s">
        <v>950</v>
      </c>
      <c r="K152" s="583" t="s">
        <v>951</v>
      </c>
      <c r="L152" s="583" t="s">
        <v>947</v>
      </c>
      <c r="M152" s="625" t="s">
        <v>114</v>
      </c>
      <c r="N152" s="620">
        <v>44475</v>
      </c>
      <c r="O152" s="684" t="s">
        <v>67</v>
      </c>
      <c r="P152" s="503">
        <f t="shared" si="8"/>
        <v>10</v>
      </c>
      <c r="Q152" s="503">
        <f t="shared" si="9"/>
        <v>10</v>
      </c>
      <c r="R152" s="504" t="str">
        <f t="shared" si="10"/>
        <v>Gastos_Gerais</v>
      </c>
      <c r="S152" s="504" t="str">
        <f>IF(D152="","",IF(OR(D152=Plano!$A$1,D152=Plano!$B$1),"entrada","saída"))</f>
        <v>saída</v>
      </c>
      <c r="T152" s="511" t="s">
        <v>114</v>
      </c>
      <c r="U152" s="511" t="s">
        <v>114</v>
      </c>
      <c r="V152" s="541"/>
    </row>
    <row r="153" spans="1:22" ht="45" customHeight="1" x14ac:dyDescent="0.2">
      <c r="A153" s="619">
        <f>IF(B153="","",COUNT('Diário 5º PA'!$A$5:$A$2634)+COUNT('Diário 6º PA'!$A$5:$A$2246)+COUNT('Diário 7º PA'!$A$5:$A$2271)+ROW()-4)</f>
        <v>4099</v>
      </c>
      <c r="B153" s="620">
        <v>44475</v>
      </c>
      <c r="C153" s="628">
        <v>44470</v>
      </c>
      <c r="D153" s="548" t="s">
        <v>99</v>
      </c>
      <c r="E153" s="548" t="s">
        <v>272</v>
      </c>
      <c r="F153" s="622">
        <v>10.45</v>
      </c>
      <c r="G153" s="623" t="s">
        <v>2273</v>
      </c>
      <c r="H153" s="548" t="s">
        <v>114</v>
      </c>
      <c r="I153" s="583" t="s">
        <v>949</v>
      </c>
      <c r="J153" s="548" t="s">
        <v>950</v>
      </c>
      <c r="K153" s="583" t="s">
        <v>951</v>
      </c>
      <c r="L153" s="583" t="s">
        <v>947</v>
      </c>
      <c r="M153" s="625" t="s">
        <v>114</v>
      </c>
      <c r="N153" s="620">
        <v>44475</v>
      </c>
      <c r="O153" s="684" t="s">
        <v>67</v>
      </c>
      <c r="P153" s="503">
        <f t="shared" si="8"/>
        <v>10</v>
      </c>
      <c r="Q153" s="503">
        <f t="shared" si="9"/>
        <v>10</v>
      </c>
      <c r="R153" s="504" t="str">
        <f t="shared" si="10"/>
        <v>Gastos_Gerais</v>
      </c>
      <c r="S153" s="504" t="str">
        <f>IF(D153="","",IF(OR(D153=Plano!$A$1,D153=Plano!$B$1),"entrada","saída"))</f>
        <v>saída</v>
      </c>
      <c r="T153" s="511" t="s">
        <v>114</v>
      </c>
      <c r="U153" s="511" t="s">
        <v>114</v>
      </c>
      <c r="V153" s="541"/>
    </row>
    <row r="154" spans="1:22" ht="45" customHeight="1" x14ac:dyDescent="0.2">
      <c r="A154" s="619">
        <f>IF(B154="","",COUNT('Diário 5º PA'!$A$5:$A$2634)+COUNT('Diário 6º PA'!$A$5:$A$2246)+COUNT('Diário 7º PA'!$A$5:$A$2271)+ROW()-4)</f>
        <v>4100</v>
      </c>
      <c r="B154" s="620">
        <v>44475</v>
      </c>
      <c r="C154" s="628">
        <v>44470</v>
      </c>
      <c r="D154" s="548" t="s">
        <v>99</v>
      </c>
      <c r="E154" s="548" t="s">
        <v>272</v>
      </c>
      <c r="F154" s="622">
        <v>10.45</v>
      </c>
      <c r="G154" s="623" t="s">
        <v>2273</v>
      </c>
      <c r="H154" s="548" t="s">
        <v>114</v>
      </c>
      <c r="I154" s="583" t="s">
        <v>949</v>
      </c>
      <c r="J154" s="548" t="s">
        <v>950</v>
      </c>
      <c r="K154" s="583" t="s">
        <v>951</v>
      </c>
      <c r="L154" s="583" t="s">
        <v>947</v>
      </c>
      <c r="M154" s="625" t="s">
        <v>114</v>
      </c>
      <c r="N154" s="620">
        <v>44475</v>
      </c>
      <c r="O154" s="684" t="s">
        <v>67</v>
      </c>
      <c r="P154" s="503">
        <f t="shared" si="8"/>
        <v>10</v>
      </c>
      <c r="Q154" s="503">
        <f t="shared" si="9"/>
        <v>10</v>
      </c>
      <c r="R154" s="504" t="str">
        <f t="shared" si="10"/>
        <v>Gastos_Gerais</v>
      </c>
      <c r="S154" s="504" t="str">
        <f>IF(D154="","",IF(OR(D154=Plano!$A$1,D154=Plano!$B$1),"entrada","saída"))</f>
        <v>saída</v>
      </c>
      <c r="T154" s="511" t="s">
        <v>114</v>
      </c>
      <c r="U154" s="511" t="s">
        <v>114</v>
      </c>
      <c r="V154" s="541"/>
    </row>
    <row r="155" spans="1:22" ht="45" customHeight="1" x14ac:dyDescent="0.2">
      <c r="A155" s="619">
        <f>IF(B155="","",COUNT('Diário 5º PA'!$A$5:$A$2634)+COUNT('Diário 6º PA'!$A$5:$A$2246)+COUNT('Diário 7º PA'!$A$5:$A$2271)+ROW()-4)</f>
        <v>4101</v>
      </c>
      <c r="B155" s="620">
        <v>44475</v>
      </c>
      <c r="C155" s="628">
        <v>44470</v>
      </c>
      <c r="D155" s="548" t="s">
        <v>99</v>
      </c>
      <c r="E155" s="548" t="s">
        <v>272</v>
      </c>
      <c r="F155" s="622">
        <v>10.45</v>
      </c>
      <c r="G155" s="623" t="s">
        <v>2273</v>
      </c>
      <c r="H155" s="548" t="s">
        <v>114</v>
      </c>
      <c r="I155" s="583" t="s">
        <v>949</v>
      </c>
      <c r="J155" s="548" t="s">
        <v>950</v>
      </c>
      <c r="K155" s="583" t="s">
        <v>951</v>
      </c>
      <c r="L155" s="583" t="s">
        <v>947</v>
      </c>
      <c r="M155" s="625" t="s">
        <v>114</v>
      </c>
      <c r="N155" s="620">
        <v>44475</v>
      </c>
      <c r="O155" s="684" t="s">
        <v>67</v>
      </c>
      <c r="P155" s="503">
        <f t="shared" si="8"/>
        <v>10</v>
      </c>
      <c r="Q155" s="503">
        <f t="shared" si="9"/>
        <v>10</v>
      </c>
      <c r="R155" s="504" t="str">
        <f t="shared" si="10"/>
        <v>Gastos_Gerais</v>
      </c>
      <c r="S155" s="504" t="str">
        <f>IF(D155="","",IF(OR(D155=Plano!$A$1,D155=Plano!$B$1),"entrada","saída"))</f>
        <v>saída</v>
      </c>
      <c r="T155" s="511" t="s">
        <v>114</v>
      </c>
      <c r="U155" s="511" t="s">
        <v>114</v>
      </c>
      <c r="V155" s="541"/>
    </row>
    <row r="156" spans="1:22" ht="45" customHeight="1" x14ac:dyDescent="0.2">
      <c r="A156" s="619">
        <f>IF(B156="","",COUNT('Diário 5º PA'!$A$5:$A$2634)+COUNT('Diário 6º PA'!$A$5:$A$2246)+COUNT('Diário 7º PA'!$A$5:$A$2271)+ROW()-4)</f>
        <v>4102</v>
      </c>
      <c r="B156" s="620">
        <v>44475</v>
      </c>
      <c r="C156" s="628">
        <v>44470</v>
      </c>
      <c r="D156" s="548" t="s">
        <v>99</v>
      </c>
      <c r="E156" s="548" t="s">
        <v>272</v>
      </c>
      <c r="F156" s="622">
        <v>10.45</v>
      </c>
      <c r="G156" s="623" t="s">
        <v>2273</v>
      </c>
      <c r="H156" s="548" t="s">
        <v>114</v>
      </c>
      <c r="I156" s="583" t="s">
        <v>949</v>
      </c>
      <c r="J156" s="548" t="s">
        <v>950</v>
      </c>
      <c r="K156" s="583" t="s">
        <v>951</v>
      </c>
      <c r="L156" s="583" t="s">
        <v>947</v>
      </c>
      <c r="M156" s="625" t="s">
        <v>114</v>
      </c>
      <c r="N156" s="620">
        <v>44475</v>
      </c>
      <c r="O156" s="684" t="s">
        <v>67</v>
      </c>
      <c r="P156" s="503">
        <f t="shared" si="8"/>
        <v>10</v>
      </c>
      <c r="Q156" s="503">
        <f t="shared" si="9"/>
        <v>10</v>
      </c>
      <c r="R156" s="504" t="str">
        <f t="shared" si="10"/>
        <v>Gastos_Gerais</v>
      </c>
      <c r="S156" s="504" t="str">
        <f>IF(D156="","",IF(OR(D156=Plano!$A$1,D156=Plano!$B$1),"entrada","saída"))</f>
        <v>saída</v>
      </c>
      <c r="T156" s="511" t="s">
        <v>114</v>
      </c>
      <c r="U156" s="511" t="s">
        <v>114</v>
      </c>
      <c r="V156" s="541"/>
    </row>
    <row r="157" spans="1:22" ht="45" customHeight="1" x14ac:dyDescent="0.2">
      <c r="A157" s="619">
        <f>IF(B157="","",COUNT('Diário 5º PA'!$A$5:$A$2634)+COUNT('Diário 6º PA'!$A$5:$A$2246)+COUNT('Diário 7º PA'!$A$5:$A$2271)+ROW()-4)</f>
        <v>4103</v>
      </c>
      <c r="B157" s="620">
        <v>44475</v>
      </c>
      <c r="C157" s="628">
        <v>44470</v>
      </c>
      <c r="D157" s="548" t="s">
        <v>99</v>
      </c>
      <c r="E157" s="548" t="s">
        <v>272</v>
      </c>
      <c r="F157" s="622">
        <v>10.45</v>
      </c>
      <c r="G157" s="623" t="s">
        <v>2273</v>
      </c>
      <c r="H157" s="548" t="s">
        <v>114</v>
      </c>
      <c r="I157" s="583" t="s">
        <v>949</v>
      </c>
      <c r="J157" s="548" t="s">
        <v>950</v>
      </c>
      <c r="K157" s="583" t="s">
        <v>951</v>
      </c>
      <c r="L157" s="583" t="s">
        <v>947</v>
      </c>
      <c r="M157" s="625" t="s">
        <v>114</v>
      </c>
      <c r="N157" s="620">
        <v>44475</v>
      </c>
      <c r="O157" s="684" t="s">
        <v>67</v>
      </c>
      <c r="P157" s="503">
        <f t="shared" si="8"/>
        <v>10</v>
      </c>
      <c r="Q157" s="503">
        <f t="shared" si="9"/>
        <v>10</v>
      </c>
      <c r="R157" s="504" t="str">
        <f t="shared" si="10"/>
        <v>Gastos_Gerais</v>
      </c>
      <c r="S157" s="504" t="str">
        <f>IF(D157="","",IF(OR(D157=Plano!$A$1,D157=Plano!$B$1),"entrada","saída"))</f>
        <v>saída</v>
      </c>
      <c r="T157" s="511" t="s">
        <v>114</v>
      </c>
      <c r="U157" s="511" t="s">
        <v>114</v>
      </c>
      <c r="V157" s="541"/>
    </row>
    <row r="158" spans="1:22" ht="45" customHeight="1" x14ac:dyDescent="0.2">
      <c r="A158" s="619">
        <f>IF(B158="","",COUNT('Diário 5º PA'!$A$5:$A$2634)+COUNT('Diário 6º PA'!$A$5:$A$2246)+COUNT('Diário 7º PA'!$A$5:$A$2271)+ROW()-4)</f>
        <v>4104</v>
      </c>
      <c r="B158" s="620">
        <v>44475</v>
      </c>
      <c r="C158" s="628">
        <v>44470</v>
      </c>
      <c r="D158" s="548" t="s">
        <v>99</v>
      </c>
      <c r="E158" s="548" t="s">
        <v>272</v>
      </c>
      <c r="F158" s="622">
        <v>10.45</v>
      </c>
      <c r="G158" s="623" t="s">
        <v>2282</v>
      </c>
      <c r="H158" s="548" t="s">
        <v>114</v>
      </c>
      <c r="I158" s="583" t="s">
        <v>949</v>
      </c>
      <c r="J158" s="548" t="s">
        <v>950</v>
      </c>
      <c r="K158" s="583" t="s">
        <v>951</v>
      </c>
      <c r="L158" s="583" t="s">
        <v>947</v>
      </c>
      <c r="M158" s="625" t="s">
        <v>114</v>
      </c>
      <c r="N158" s="620">
        <v>44475</v>
      </c>
      <c r="O158" s="684" t="s">
        <v>67</v>
      </c>
      <c r="P158" s="503">
        <f t="shared" si="8"/>
        <v>10</v>
      </c>
      <c r="Q158" s="503">
        <f t="shared" si="9"/>
        <v>10</v>
      </c>
      <c r="R158" s="504" t="str">
        <f t="shared" si="10"/>
        <v>Gastos_Gerais</v>
      </c>
      <c r="S158" s="504" t="str">
        <f>IF(D158="","",IF(OR(D158=Plano!$A$1,D158=Plano!$B$1),"entrada","saída"))</f>
        <v>saída</v>
      </c>
      <c r="T158" s="511" t="s">
        <v>114</v>
      </c>
      <c r="U158" s="511" t="s">
        <v>114</v>
      </c>
      <c r="V158" s="541"/>
    </row>
    <row r="159" spans="1:22" ht="45" customHeight="1" x14ac:dyDescent="0.2">
      <c r="A159" s="619">
        <f>IF(B159="","",COUNT('Diário 5º PA'!$A$5:$A$2634)+COUNT('Diário 6º PA'!$A$5:$A$2246)+COUNT('Diário 7º PA'!$A$5:$A$2271)+ROW()-4)</f>
        <v>4105</v>
      </c>
      <c r="B159" s="620">
        <v>44475</v>
      </c>
      <c r="C159" s="628">
        <v>44470</v>
      </c>
      <c r="D159" s="548" t="s">
        <v>99</v>
      </c>
      <c r="E159" s="548" t="s">
        <v>272</v>
      </c>
      <c r="F159" s="622">
        <v>10.45</v>
      </c>
      <c r="G159" s="623" t="s">
        <v>2283</v>
      </c>
      <c r="H159" s="548" t="s">
        <v>114</v>
      </c>
      <c r="I159" s="583" t="s">
        <v>949</v>
      </c>
      <c r="J159" s="548" t="s">
        <v>950</v>
      </c>
      <c r="K159" s="583" t="s">
        <v>951</v>
      </c>
      <c r="L159" s="583" t="s">
        <v>947</v>
      </c>
      <c r="M159" s="625" t="s">
        <v>114</v>
      </c>
      <c r="N159" s="620">
        <v>44475</v>
      </c>
      <c r="O159" s="684" t="s">
        <v>67</v>
      </c>
      <c r="P159" s="503">
        <f t="shared" si="8"/>
        <v>10</v>
      </c>
      <c r="Q159" s="503">
        <f t="shared" si="9"/>
        <v>10</v>
      </c>
      <c r="R159" s="504" t="str">
        <f t="shared" si="10"/>
        <v>Gastos_Gerais</v>
      </c>
      <c r="S159" s="504" t="str">
        <f>IF(D159="","",IF(OR(D159=Plano!$A$1,D159=Plano!$B$1),"entrada","saída"))</f>
        <v>saída</v>
      </c>
      <c r="T159" s="511" t="s">
        <v>114</v>
      </c>
      <c r="U159" s="511" t="s">
        <v>114</v>
      </c>
      <c r="V159" s="541"/>
    </row>
    <row r="160" spans="1:22" ht="45" customHeight="1" x14ac:dyDescent="0.2">
      <c r="A160" s="619">
        <f>IF(B160="","",COUNT('Diário 5º PA'!$A$5:$A$2634)+COUNT('Diário 6º PA'!$A$5:$A$2246)+COUNT('Diário 7º PA'!$A$5:$A$2271)+ROW()-4)</f>
        <v>4106</v>
      </c>
      <c r="B160" s="620">
        <v>44475</v>
      </c>
      <c r="C160" s="628">
        <v>44470</v>
      </c>
      <c r="D160" s="548" t="s">
        <v>99</v>
      </c>
      <c r="E160" s="548" t="s">
        <v>272</v>
      </c>
      <c r="F160" s="622">
        <v>10.45</v>
      </c>
      <c r="G160" s="623" t="s">
        <v>2273</v>
      </c>
      <c r="H160" s="548" t="s">
        <v>114</v>
      </c>
      <c r="I160" s="583" t="s">
        <v>949</v>
      </c>
      <c r="J160" s="548" t="s">
        <v>950</v>
      </c>
      <c r="K160" s="583" t="s">
        <v>951</v>
      </c>
      <c r="L160" s="583" t="s">
        <v>947</v>
      </c>
      <c r="M160" s="625" t="s">
        <v>114</v>
      </c>
      <c r="N160" s="620">
        <v>44475</v>
      </c>
      <c r="O160" s="684" t="s">
        <v>67</v>
      </c>
      <c r="P160" s="503">
        <f t="shared" si="8"/>
        <v>10</v>
      </c>
      <c r="Q160" s="503">
        <f t="shared" si="9"/>
        <v>10</v>
      </c>
      <c r="R160" s="504" t="str">
        <f t="shared" si="10"/>
        <v>Gastos_Gerais</v>
      </c>
      <c r="S160" s="504" t="str">
        <f>IF(D160="","",IF(OR(D160=Plano!$A$1,D160=Plano!$B$1),"entrada","saída"))</f>
        <v>saída</v>
      </c>
      <c r="T160" s="511" t="s">
        <v>114</v>
      </c>
      <c r="U160" s="511" t="s">
        <v>114</v>
      </c>
      <c r="V160" s="541"/>
    </row>
    <row r="161" spans="1:22" ht="45" customHeight="1" x14ac:dyDescent="0.2">
      <c r="A161" s="619">
        <f>IF(B161="","",COUNT('Diário 5º PA'!$A$5:$A$2634)+COUNT('Diário 6º PA'!$A$5:$A$2246)+COUNT('Diário 7º PA'!$A$5:$A$2271)+ROW()-4)</f>
        <v>4107</v>
      </c>
      <c r="B161" s="620">
        <v>44475</v>
      </c>
      <c r="C161" s="628">
        <v>44470</v>
      </c>
      <c r="D161" s="548" t="s">
        <v>99</v>
      </c>
      <c r="E161" s="548" t="s">
        <v>272</v>
      </c>
      <c r="F161" s="622">
        <v>10.45</v>
      </c>
      <c r="G161" s="623" t="s">
        <v>2273</v>
      </c>
      <c r="H161" s="548" t="s">
        <v>114</v>
      </c>
      <c r="I161" s="583" t="s">
        <v>949</v>
      </c>
      <c r="J161" s="548" t="s">
        <v>950</v>
      </c>
      <c r="K161" s="583" t="s">
        <v>951</v>
      </c>
      <c r="L161" s="583" t="s">
        <v>947</v>
      </c>
      <c r="M161" s="625" t="s">
        <v>114</v>
      </c>
      <c r="N161" s="620">
        <v>44475</v>
      </c>
      <c r="O161" s="684" t="s">
        <v>67</v>
      </c>
      <c r="P161" s="503">
        <f t="shared" si="8"/>
        <v>10</v>
      </c>
      <c r="Q161" s="503">
        <f t="shared" si="9"/>
        <v>10</v>
      </c>
      <c r="R161" s="504" t="str">
        <f t="shared" si="10"/>
        <v>Gastos_Gerais</v>
      </c>
      <c r="S161" s="504" t="str">
        <f>IF(D161="","",IF(OR(D161=Plano!$A$1,D161=Plano!$B$1),"entrada","saída"))</f>
        <v>saída</v>
      </c>
      <c r="T161" s="511" t="s">
        <v>114</v>
      </c>
      <c r="U161" s="511" t="s">
        <v>114</v>
      </c>
      <c r="V161" s="541"/>
    </row>
    <row r="162" spans="1:22" ht="45" customHeight="1" x14ac:dyDescent="0.2">
      <c r="A162" s="619">
        <f>IF(B162="","",COUNT('Diário 5º PA'!$A$5:$A$2634)+COUNT('Diário 6º PA'!$A$5:$A$2246)+COUNT('Diário 7º PA'!$A$5:$A$2271)+ROW()-4)</f>
        <v>4108</v>
      </c>
      <c r="B162" s="620">
        <v>44475</v>
      </c>
      <c r="C162" s="628">
        <v>44470</v>
      </c>
      <c r="D162" s="548" t="s">
        <v>99</v>
      </c>
      <c r="E162" s="548" t="s">
        <v>272</v>
      </c>
      <c r="F162" s="622">
        <v>10.45</v>
      </c>
      <c r="G162" s="623" t="s">
        <v>2273</v>
      </c>
      <c r="H162" s="548" t="s">
        <v>114</v>
      </c>
      <c r="I162" s="583" t="s">
        <v>949</v>
      </c>
      <c r="J162" s="548" t="s">
        <v>950</v>
      </c>
      <c r="K162" s="583" t="s">
        <v>951</v>
      </c>
      <c r="L162" s="583" t="s">
        <v>947</v>
      </c>
      <c r="M162" s="625" t="s">
        <v>114</v>
      </c>
      <c r="N162" s="620">
        <v>44475</v>
      </c>
      <c r="O162" s="684" t="s">
        <v>67</v>
      </c>
      <c r="P162" s="503">
        <f t="shared" si="8"/>
        <v>10</v>
      </c>
      <c r="Q162" s="503">
        <f t="shared" si="9"/>
        <v>10</v>
      </c>
      <c r="R162" s="504" t="str">
        <f t="shared" si="10"/>
        <v>Gastos_Gerais</v>
      </c>
      <c r="S162" s="504" t="str">
        <f>IF(D162="","",IF(OR(D162=Plano!$A$1,D162=Plano!$B$1),"entrada","saída"))</f>
        <v>saída</v>
      </c>
      <c r="T162" s="511" t="s">
        <v>114</v>
      </c>
      <c r="U162" s="511" t="s">
        <v>114</v>
      </c>
      <c r="V162" s="541"/>
    </row>
    <row r="163" spans="1:22" ht="45" customHeight="1" x14ac:dyDescent="0.2">
      <c r="A163" s="619">
        <f>IF(B163="","",COUNT('Diário 5º PA'!$A$5:$A$2634)+COUNT('Diário 6º PA'!$A$5:$A$2246)+COUNT('Diário 7º PA'!$A$5:$A$2271)+ROW()-4)</f>
        <v>4109</v>
      </c>
      <c r="B163" s="620">
        <v>44475</v>
      </c>
      <c r="C163" s="628">
        <v>44470</v>
      </c>
      <c r="D163" s="548" t="s">
        <v>99</v>
      </c>
      <c r="E163" s="548" t="s">
        <v>272</v>
      </c>
      <c r="F163" s="622">
        <v>10.45</v>
      </c>
      <c r="G163" s="623" t="s">
        <v>2273</v>
      </c>
      <c r="H163" s="548" t="s">
        <v>114</v>
      </c>
      <c r="I163" s="583" t="s">
        <v>949</v>
      </c>
      <c r="J163" s="548" t="s">
        <v>950</v>
      </c>
      <c r="K163" s="583" t="s">
        <v>951</v>
      </c>
      <c r="L163" s="583" t="s">
        <v>947</v>
      </c>
      <c r="M163" s="625" t="s">
        <v>114</v>
      </c>
      <c r="N163" s="620">
        <v>44475</v>
      </c>
      <c r="O163" s="684" t="s">
        <v>67</v>
      </c>
      <c r="P163" s="503">
        <f t="shared" si="8"/>
        <v>10</v>
      </c>
      <c r="Q163" s="503">
        <f t="shared" si="9"/>
        <v>10</v>
      </c>
      <c r="R163" s="504" t="str">
        <f t="shared" si="10"/>
        <v>Gastos_Gerais</v>
      </c>
      <c r="S163" s="504" t="str">
        <f>IF(D163="","",IF(OR(D163=Plano!$A$1,D163=Plano!$B$1),"entrada","saída"))</f>
        <v>saída</v>
      </c>
      <c r="T163" s="511" t="s">
        <v>114</v>
      </c>
      <c r="U163" s="511" t="s">
        <v>114</v>
      </c>
      <c r="V163" s="541"/>
    </row>
    <row r="164" spans="1:22" ht="45" customHeight="1" x14ac:dyDescent="0.2">
      <c r="A164" s="619">
        <f>IF(B164="","",COUNT('Diário 5º PA'!$A$5:$A$2634)+COUNT('Diário 6º PA'!$A$5:$A$2246)+COUNT('Diário 7º PA'!$A$5:$A$2271)+ROW()-4)</f>
        <v>4110</v>
      </c>
      <c r="B164" s="620">
        <v>44475</v>
      </c>
      <c r="C164" s="628">
        <v>44470</v>
      </c>
      <c r="D164" s="548" t="s">
        <v>99</v>
      </c>
      <c r="E164" s="548" t="s">
        <v>272</v>
      </c>
      <c r="F164" s="622">
        <v>10.45</v>
      </c>
      <c r="G164" s="623" t="s">
        <v>2273</v>
      </c>
      <c r="H164" s="548" t="s">
        <v>114</v>
      </c>
      <c r="I164" s="583" t="s">
        <v>949</v>
      </c>
      <c r="J164" s="548" t="s">
        <v>950</v>
      </c>
      <c r="K164" s="583" t="s">
        <v>951</v>
      </c>
      <c r="L164" s="583" t="s">
        <v>947</v>
      </c>
      <c r="M164" s="625" t="s">
        <v>114</v>
      </c>
      <c r="N164" s="620">
        <v>44475</v>
      </c>
      <c r="O164" s="684" t="s">
        <v>67</v>
      </c>
      <c r="P164" s="503">
        <f t="shared" si="8"/>
        <v>10</v>
      </c>
      <c r="Q164" s="503">
        <f t="shared" si="9"/>
        <v>10</v>
      </c>
      <c r="R164" s="504" t="str">
        <f t="shared" si="10"/>
        <v>Gastos_Gerais</v>
      </c>
      <c r="S164" s="504" t="str">
        <f>IF(D164="","",IF(OR(D164=Plano!$A$1,D164=Plano!$B$1),"entrada","saída"))</f>
        <v>saída</v>
      </c>
      <c r="T164" s="511" t="s">
        <v>114</v>
      </c>
      <c r="U164" s="511" t="s">
        <v>114</v>
      </c>
      <c r="V164" s="541"/>
    </row>
    <row r="165" spans="1:22" ht="45" customHeight="1" x14ac:dyDescent="0.2">
      <c r="A165" s="619">
        <f>IF(B165="","",COUNT('Diário 5º PA'!$A$5:$A$2634)+COUNT('Diário 6º PA'!$A$5:$A$2246)+COUNT('Diário 7º PA'!$A$5:$A$2271)+ROW()-4)</f>
        <v>4111</v>
      </c>
      <c r="B165" s="620">
        <v>44475</v>
      </c>
      <c r="C165" s="628">
        <v>44470</v>
      </c>
      <c r="D165" s="548" t="s">
        <v>99</v>
      </c>
      <c r="E165" s="548" t="s">
        <v>272</v>
      </c>
      <c r="F165" s="622">
        <v>10.45</v>
      </c>
      <c r="G165" s="623" t="s">
        <v>2284</v>
      </c>
      <c r="H165" s="548" t="s">
        <v>114</v>
      </c>
      <c r="I165" s="583" t="s">
        <v>949</v>
      </c>
      <c r="J165" s="548" t="s">
        <v>950</v>
      </c>
      <c r="K165" s="583" t="s">
        <v>951</v>
      </c>
      <c r="L165" s="583" t="s">
        <v>947</v>
      </c>
      <c r="M165" s="625" t="s">
        <v>114</v>
      </c>
      <c r="N165" s="620">
        <v>44475</v>
      </c>
      <c r="O165" s="684" t="s">
        <v>67</v>
      </c>
      <c r="P165" s="503">
        <f t="shared" si="8"/>
        <v>10</v>
      </c>
      <c r="Q165" s="503">
        <f t="shared" si="9"/>
        <v>10</v>
      </c>
      <c r="R165" s="504" t="str">
        <f t="shared" si="10"/>
        <v>Gastos_Gerais</v>
      </c>
      <c r="S165" s="504" t="str">
        <f>IF(D165="","",IF(OR(D165=Plano!$A$1,D165=Plano!$B$1),"entrada","saída"))</f>
        <v>saída</v>
      </c>
      <c r="T165" s="511" t="s">
        <v>114</v>
      </c>
      <c r="U165" s="511" t="s">
        <v>114</v>
      </c>
      <c r="V165" s="541"/>
    </row>
    <row r="166" spans="1:22" ht="45" customHeight="1" x14ac:dyDescent="0.2">
      <c r="A166" s="619">
        <f>IF(B166="","",COUNT('Diário 5º PA'!$A$5:$A$2634)+COUNT('Diário 6º PA'!$A$5:$A$2246)+COUNT('Diário 7º PA'!$A$5:$A$2271)+ROW()-4)</f>
        <v>4112</v>
      </c>
      <c r="B166" s="620">
        <v>44475</v>
      </c>
      <c r="C166" s="628">
        <v>44470</v>
      </c>
      <c r="D166" s="548" t="s">
        <v>99</v>
      </c>
      <c r="E166" s="548" t="s">
        <v>272</v>
      </c>
      <c r="F166" s="622">
        <v>10.45</v>
      </c>
      <c r="G166" s="623" t="s">
        <v>2286</v>
      </c>
      <c r="H166" s="548" t="s">
        <v>114</v>
      </c>
      <c r="I166" s="583" t="s">
        <v>949</v>
      </c>
      <c r="J166" s="548" t="s">
        <v>950</v>
      </c>
      <c r="K166" s="583" t="s">
        <v>951</v>
      </c>
      <c r="L166" s="583" t="s">
        <v>947</v>
      </c>
      <c r="M166" s="625" t="s">
        <v>114</v>
      </c>
      <c r="N166" s="620">
        <v>44475</v>
      </c>
      <c r="O166" s="684" t="s">
        <v>67</v>
      </c>
      <c r="P166" s="503">
        <f t="shared" si="8"/>
        <v>10</v>
      </c>
      <c r="Q166" s="503">
        <f t="shared" si="9"/>
        <v>10</v>
      </c>
      <c r="R166" s="504" t="str">
        <f t="shared" si="10"/>
        <v>Gastos_Gerais</v>
      </c>
      <c r="S166" s="504" t="str">
        <f>IF(D166="","",IF(OR(D166=Plano!$A$1,D166=Plano!$B$1),"entrada","saída"))</f>
        <v>saída</v>
      </c>
      <c r="T166" s="511" t="s">
        <v>114</v>
      </c>
      <c r="U166" s="511" t="s">
        <v>114</v>
      </c>
      <c r="V166" s="541"/>
    </row>
    <row r="167" spans="1:22" ht="45" customHeight="1" x14ac:dyDescent="0.2">
      <c r="A167" s="619">
        <f>IF(B167="","",COUNT('Diário 5º PA'!$A$5:$A$2634)+COUNT('Diário 6º PA'!$A$5:$A$2246)+COUNT('Diário 7º PA'!$A$5:$A$2271)+ROW()-4)</f>
        <v>4113</v>
      </c>
      <c r="B167" s="620">
        <v>44475</v>
      </c>
      <c r="C167" s="628">
        <v>44470</v>
      </c>
      <c r="D167" s="548" t="s">
        <v>99</v>
      </c>
      <c r="E167" s="548" t="s">
        <v>272</v>
      </c>
      <c r="F167" s="622">
        <v>10.45</v>
      </c>
      <c r="G167" s="623" t="s">
        <v>2273</v>
      </c>
      <c r="H167" s="548" t="s">
        <v>114</v>
      </c>
      <c r="I167" s="583" t="s">
        <v>949</v>
      </c>
      <c r="J167" s="548" t="s">
        <v>950</v>
      </c>
      <c r="K167" s="583" t="s">
        <v>951</v>
      </c>
      <c r="L167" s="583" t="s">
        <v>947</v>
      </c>
      <c r="M167" s="625" t="s">
        <v>114</v>
      </c>
      <c r="N167" s="620">
        <v>44475</v>
      </c>
      <c r="O167" s="684" t="s">
        <v>67</v>
      </c>
      <c r="P167" s="503">
        <f t="shared" si="8"/>
        <v>10</v>
      </c>
      <c r="Q167" s="503">
        <f t="shared" si="9"/>
        <v>10</v>
      </c>
      <c r="R167" s="504" t="str">
        <f t="shared" si="10"/>
        <v>Gastos_Gerais</v>
      </c>
      <c r="S167" s="504" t="str">
        <f>IF(D167="","",IF(OR(D167=Plano!$A$1,D167=Plano!$B$1),"entrada","saída"))</f>
        <v>saída</v>
      </c>
      <c r="T167" s="511" t="s">
        <v>114</v>
      </c>
      <c r="U167" s="511" t="s">
        <v>114</v>
      </c>
      <c r="V167" s="541"/>
    </row>
    <row r="168" spans="1:22" ht="45" customHeight="1" x14ac:dyDescent="0.2">
      <c r="A168" s="619">
        <f>IF(B168="","",COUNT('Diário 5º PA'!$A$5:$A$2634)+COUNT('Diário 6º PA'!$A$5:$A$2246)+COUNT('Diário 7º PA'!$A$5:$A$2271)+ROW()-4)</f>
        <v>4114</v>
      </c>
      <c r="B168" s="620">
        <v>44475</v>
      </c>
      <c r="C168" s="628">
        <v>44470</v>
      </c>
      <c r="D168" s="548" t="s">
        <v>99</v>
      </c>
      <c r="E168" s="548" t="s">
        <v>272</v>
      </c>
      <c r="F168" s="622">
        <v>10.45</v>
      </c>
      <c r="G168" s="623" t="s">
        <v>2286</v>
      </c>
      <c r="H168" s="548" t="s">
        <v>114</v>
      </c>
      <c r="I168" s="583" t="s">
        <v>949</v>
      </c>
      <c r="J168" s="548" t="s">
        <v>950</v>
      </c>
      <c r="K168" s="583" t="s">
        <v>951</v>
      </c>
      <c r="L168" s="583" t="s">
        <v>947</v>
      </c>
      <c r="M168" s="625" t="s">
        <v>114</v>
      </c>
      <c r="N168" s="620">
        <v>44475</v>
      </c>
      <c r="O168" s="684" t="s">
        <v>67</v>
      </c>
      <c r="P168" s="503">
        <f t="shared" si="8"/>
        <v>10</v>
      </c>
      <c r="Q168" s="503">
        <f t="shared" si="9"/>
        <v>10</v>
      </c>
      <c r="R168" s="504" t="str">
        <f t="shared" si="10"/>
        <v>Gastos_Gerais</v>
      </c>
      <c r="S168" s="504" t="str">
        <f>IF(D168="","",IF(OR(D168=Plano!$A$1,D168=Plano!$B$1),"entrada","saída"))</f>
        <v>saída</v>
      </c>
      <c r="T168" s="511" t="s">
        <v>114</v>
      </c>
      <c r="U168" s="511" t="s">
        <v>114</v>
      </c>
      <c r="V168" s="541"/>
    </row>
    <row r="169" spans="1:22" ht="45" customHeight="1" x14ac:dyDescent="0.2">
      <c r="A169" s="619">
        <f>IF(B169="","",COUNT('Diário 5º PA'!$A$5:$A$2634)+COUNT('Diário 6º PA'!$A$5:$A$2246)+COUNT('Diário 7º PA'!$A$5:$A$2271)+ROW()-4)</f>
        <v>4115</v>
      </c>
      <c r="B169" s="620">
        <v>44475</v>
      </c>
      <c r="C169" s="628">
        <v>44470</v>
      </c>
      <c r="D169" s="548" t="s">
        <v>99</v>
      </c>
      <c r="E169" s="548" t="s">
        <v>272</v>
      </c>
      <c r="F169" s="622">
        <v>10.45</v>
      </c>
      <c r="G169" s="623" t="s">
        <v>2273</v>
      </c>
      <c r="H169" s="548" t="s">
        <v>114</v>
      </c>
      <c r="I169" s="583" t="s">
        <v>949</v>
      </c>
      <c r="J169" s="548" t="s">
        <v>950</v>
      </c>
      <c r="K169" s="583" t="s">
        <v>951</v>
      </c>
      <c r="L169" s="583" t="s">
        <v>947</v>
      </c>
      <c r="M169" s="625" t="s">
        <v>114</v>
      </c>
      <c r="N169" s="620">
        <v>44475</v>
      </c>
      <c r="O169" s="684" t="s">
        <v>67</v>
      </c>
      <c r="P169" s="503">
        <f t="shared" si="8"/>
        <v>10</v>
      </c>
      <c r="Q169" s="503">
        <f t="shared" si="9"/>
        <v>10</v>
      </c>
      <c r="R169" s="504" t="str">
        <f t="shared" si="10"/>
        <v>Gastos_Gerais</v>
      </c>
      <c r="S169" s="504" t="str">
        <f>IF(D169="","",IF(OR(D169=Plano!$A$1,D169=Plano!$B$1),"entrada","saída"))</f>
        <v>saída</v>
      </c>
      <c r="T169" s="511" t="s">
        <v>114</v>
      </c>
      <c r="U169" s="511" t="s">
        <v>114</v>
      </c>
      <c r="V169" s="541"/>
    </row>
    <row r="170" spans="1:22" ht="45" customHeight="1" x14ac:dyDescent="0.2">
      <c r="A170" s="619">
        <f>IF(B170="","",COUNT('Diário 5º PA'!$A$5:$A$2634)+COUNT('Diário 6º PA'!$A$5:$A$2246)+COUNT('Diário 7º PA'!$A$5:$A$2271)+ROW()-4)</f>
        <v>4116</v>
      </c>
      <c r="B170" s="620">
        <v>44475</v>
      </c>
      <c r="C170" s="621">
        <v>44470</v>
      </c>
      <c r="D170" s="548" t="s">
        <v>99</v>
      </c>
      <c r="E170" s="548" t="s">
        <v>272</v>
      </c>
      <c r="F170" s="622">
        <v>10.45</v>
      </c>
      <c r="G170" s="623" t="s">
        <v>5664</v>
      </c>
      <c r="H170" s="548" t="s">
        <v>116</v>
      </c>
      <c r="I170" s="583" t="s">
        <v>949</v>
      </c>
      <c r="J170" s="548" t="s">
        <v>950</v>
      </c>
      <c r="K170" s="583" t="s">
        <v>951</v>
      </c>
      <c r="L170" s="583" t="s">
        <v>947</v>
      </c>
      <c r="M170" s="625" t="s">
        <v>114</v>
      </c>
      <c r="N170" s="620">
        <v>44475</v>
      </c>
      <c r="O170" s="684" t="s">
        <v>67</v>
      </c>
      <c r="P170" s="503">
        <f t="shared" si="8"/>
        <v>10</v>
      </c>
      <c r="Q170" s="503">
        <f t="shared" si="9"/>
        <v>10</v>
      </c>
      <c r="R170" s="504" t="str">
        <f t="shared" si="10"/>
        <v>Gastos_Gerais</v>
      </c>
      <c r="S170" s="504" t="str">
        <f>IF(D170="","",IF(OR(D170=Plano!$A$1,D170=Plano!$B$1),"entrada","saída"))</f>
        <v>saída</v>
      </c>
      <c r="T170" s="511" t="s">
        <v>114</v>
      </c>
      <c r="U170" s="511" t="s">
        <v>114</v>
      </c>
      <c r="V170" s="541"/>
    </row>
    <row r="171" spans="1:22" ht="45" customHeight="1" x14ac:dyDescent="0.2">
      <c r="A171" s="619">
        <f>IF(B171="","",COUNT('Diário 5º PA'!$A$5:$A$2634)+COUNT('Diário 6º PA'!$A$5:$A$2246)+COUNT('Diário 7º PA'!$A$5:$A$2271)+ROW()-4)</f>
        <v>4117</v>
      </c>
      <c r="B171" s="620">
        <v>44475</v>
      </c>
      <c r="C171" s="621">
        <v>44470</v>
      </c>
      <c r="D171" s="548" t="s">
        <v>99</v>
      </c>
      <c r="E171" s="548" t="s">
        <v>272</v>
      </c>
      <c r="F171" s="622">
        <v>10.45</v>
      </c>
      <c r="G171" s="623" t="s">
        <v>5663</v>
      </c>
      <c r="H171" s="548" t="s">
        <v>118</v>
      </c>
      <c r="I171" s="583" t="s">
        <v>949</v>
      </c>
      <c r="J171" s="548" t="s">
        <v>950</v>
      </c>
      <c r="K171" s="583" t="s">
        <v>951</v>
      </c>
      <c r="L171" s="583" t="s">
        <v>947</v>
      </c>
      <c r="M171" s="625" t="s">
        <v>114</v>
      </c>
      <c r="N171" s="620">
        <v>44475</v>
      </c>
      <c r="O171" s="684" t="s">
        <v>67</v>
      </c>
      <c r="P171" s="503">
        <f t="shared" si="8"/>
        <v>10</v>
      </c>
      <c r="Q171" s="503">
        <f t="shared" si="9"/>
        <v>10</v>
      </c>
      <c r="R171" s="504" t="str">
        <f t="shared" si="10"/>
        <v>Gastos_Gerais</v>
      </c>
      <c r="S171" s="504" t="str">
        <f>IF(D171="","",IF(OR(D171=Plano!$A$1,D171=Plano!$B$1),"entrada","saída"))</f>
        <v>saída</v>
      </c>
      <c r="T171" s="511" t="s">
        <v>114</v>
      </c>
      <c r="U171" s="511" t="s">
        <v>114</v>
      </c>
      <c r="V171" s="541"/>
    </row>
    <row r="172" spans="1:22" ht="45" customHeight="1" x14ac:dyDescent="0.2">
      <c r="A172" s="619">
        <f>IF(B172="","",COUNT('Diário 5º PA'!$A$5:$A$2634)+COUNT('Diário 6º PA'!$A$5:$A$2246)+COUNT('Diário 7º PA'!$A$5:$A$2271)+ROW()-4)</f>
        <v>4118</v>
      </c>
      <c r="B172" s="620">
        <v>44475</v>
      </c>
      <c r="C172" s="621">
        <v>44470</v>
      </c>
      <c r="D172" s="548" t="s">
        <v>99</v>
      </c>
      <c r="E172" s="548" t="s">
        <v>272</v>
      </c>
      <c r="F172" s="622">
        <v>10.45</v>
      </c>
      <c r="G172" s="623" t="s">
        <v>5665</v>
      </c>
      <c r="H172" s="548" t="s">
        <v>128</v>
      </c>
      <c r="I172" s="583" t="s">
        <v>949</v>
      </c>
      <c r="J172" s="548" t="s">
        <v>950</v>
      </c>
      <c r="K172" s="583" t="s">
        <v>951</v>
      </c>
      <c r="L172" s="583" t="s">
        <v>947</v>
      </c>
      <c r="M172" s="625" t="s">
        <v>114</v>
      </c>
      <c r="N172" s="620">
        <v>44475</v>
      </c>
      <c r="O172" s="684" t="s">
        <v>67</v>
      </c>
      <c r="P172" s="503">
        <f t="shared" si="8"/>
        <v>10</v>
      </c>
      <c r="Q172" s="503">
        <f t="shared" si="9"/>
        <v>10</v>
      </c>
      <c r="R172" s="504" t="str">
        <f t="shared" si="10"/>
        <v>Gastos_Gerais</v>
      </c>
      <c r="S172" s="504" t="str">
        <f>IF(D172="","",IF(OR(D172=Plano!$A$1,D172=Plano!$B$1),"entrada","saída"))</f>
        <v>saída</v>
      </c>
      <c r="T172" s="511" t="s">
        <v>114</v>
      </c>
      <c r="U172" s="511" t="s">
        <v>114</v>
      </c>
      <c r="V172" s="541"/>
    </row>
    <row r="173" spans="1:22" ht="45" customHeight="1" x14ac:dyDescent="0.2">
      <c r="A173" s="619">
        <f>IF(B173="","",COUNT('Diário 5º PA'!$A$5:$A$2634)+COUNT('Diário 6º PA'!$A$5:$A$2246)+COUNT('Diário 7º PA'!$A$5:$A$2271)+ROW()-4)</f>
        <v>4119</v>
      </c>
      <c r="B173" s="620">
        <v>44475</v>
      </c>
      <c r="C173" s="621">
        <v>44470</v>
      </c>
      <c r="D173" s="548" t="s">
        <v>99</v>
      </c>
      <c r="E173" s="548" t="s">
        <v>272</v>
      </c>
      <c r="F173" s="622">
        <v>10.45</v>
      </c>
      <c r="G173" s="623" t="s">
        <v>5666</v>
      </c>
      <c r="H173" s="548" t="s">
        <v>115</v>
      </c>
      <c r="I173" s="583" t="s">
        <v>949</v>
      </c>
      <c r="J173" s="548" t="s">
        <v>950</v>
      </c>
      <c r="K173" s="583" t="s">
        <v>951</v>
      </c>
      <c r="L173" s="583" t="s">
        <v>947</v>
      </c>
      <c r="M173" s="625" t="s">
        <v>114</v>
      </c>
      <c r="N173" s="620">
        <v>44475</v>
      </c>
      <c r="O173" s="684" t="s">
        <v>67</v>
      </c>
      <c r="P173" s="503">
        <f t="shared" si="8"/>
        <v>10</v>
      </c>
      <c r="Q173" s="503">
        <f t="shared" si="9"/>
        <v>10</v>
      </c>
      <c r="R173" s="504" t="str">
        <f t="shared" si="10"/>
        <v>Gastos_Gerais</v>
      </c>
      <c r="S173" s="504" t="str">
        <f>IF(D173="","",IF(OR(D173=Plano!$A$1,D173=Plano!$B$1),"entrada","saída"))</f>
        <v>saída</v>
      </c>
      <c r="T173" s="511" t="s">
        <v>114</v>
      </c>
      <c r="U173" s="511" t="s">
        <v>114</v>
      </c>
      <c r="V173" s="541"/>
    </row>
    <row r="174" spans="1:22" ht="45" customHeight="1" x14ac:dyDescent="0.2">
      <c r="A174" s="619">
        <f>IF(B174="","",COUNT('Diário 5º PA'!$A$5:$A$2634)+COUNT('Diário 6º PA'!$A$5:$A$2246)+COUNT('Diário 7º PA'!$A$5:$A$2271)+ROW()-4)</f>
        <v>4120</v>
      </c>
      <c r="B174" s="620">
        <v>44475</v>
      </c>
      <c r="C174" s="621">
        <v>44470</v>
      </c>
      <c r="D174" s="548" t="s">
        <v>99</v>
      </c>
      <c r="E174" s="548" t="s">
        <v>272</v>
      </c>
      <c r="F174" s="622">
        <v>10.45</v>
      </c>
      <c r="G174" s="623" t="s">
        <v>5667</v>
      </c>
      <c r="H174" s="548" t="s">
        <v>118</v>
      </c>
      <c r="I174" s="583" t="s">
        <v>949</v>
      </c>
      <c r="J174" s="548" t="s">
        <v>950</v>
      </c>
      <c r="K174" s="583" t="s">
        <v>951</v>
      </c>
      <c r="L174" s="583" t="s">
        <v>947</v>
      </c>
      <c r="M174" s="625" t="s">
        <v>114</v>
      </c>
      <c r="N174" s="620">
        <v>44475</v>
      </c>
      <c r="O174" s="684" t="s">
        <v>67</v>
      </c>
      <c r="P174" s="503">
        <f t="shared" si="8"/>
        <v>10</v>
      </c>
      <c r="Q174" s="503">
        <f t="shared" si="9"/>
        <v>10</v>
      </c>
      <c r="R174" s="504" t="str">
        <f t="shared" si="10"/>
        <v>Gastos_Gerais</v>
      </c>
      <c r="S174" s="504" t="str">
        <f>IF(D174="","",IF(OR(D174=Plano!$A$1,D174=Plano!$B$1),"entrada","saída"))</f>
        <v>saída</v>
      </c>
      <c r="T174" s="511" t="s">
        <v>114</v>
      </c>
      <c r="U174" s="511" t="s">
        <v>114</v>
      </c>
      <c r="V174" s="541"/>
    </row>
    <row r="175" spans="1:22" ht="45" customHeight="1" x14ac:dyDescent="0.2">
      <c r="A175" s="619">
        <f>IF(B175="","",COUNT('Diário 5º PA'!$A$5:$A$2634)+COUNT('Diário 6º PA'!$A$5:$A$2246)+COUNT('Diário 7º PA'!$A$5:$A$2271)+ROW()-4)</f>
        <v>4121</v>
      </c>
      <c r="B175" s="620">
        <v>44475</v>
      </c>
      <c r="C175" s="621">
        <v>44470</v>
      </c>
      <c r="D175" s="548" t="s">
        <v>99</v>
      </c>
      <c r="E175" s="548" t="s">
        <v>272</v>
      </c>
      <c r="F175" s="622">
        <v>10.45</v>
      </c>
      <c r="G175" s="623" t="s">
        <v>5668</v>
      </c>
      <c r="H175" s="548" t="s">
        <v>118</v>
      </c>
      <c r="I175" s="583" t="s">
        <v>949</v>
      </c>
      <c r="J175" s="548" t="s">
        <v>950</v>
      </c>
      <c r="K175" s="583" t="s">
        <v>951</v>
      </c>
      <c r="L175" s="583" t="s">
        <v>947</v>
      </c>
      <c r="M175" s="625" t="s">
        <v>114</v>
      </c>
      <c r="N175" s="620">
        <v>44475</v>
      </c>
      <c r="O175" s="684" t="s">
        <v>67</v>
      </c>
      <c r="P175" s="503">
        <f t="shared" si="8"/>
        <v>10</v>
      </c>
      <c r="Q175" s="503">
        <f t="shared" si="9"/>
        <v>10</v>
      </c>
      <c r="R175" s="504" t="str">
        <f t="shared" si="10"/>
        <v>Gastos_Gerais</v>
      </c>
      <c r="S175" s="504" t="str">
        <f>IF(D175="","",IF(OR(D175=Plano!$A$1,D175=Plano!$B$1),"entrada","saída"))</f>
        <v>saída</v>
      </c>
      <c r="T175" s="511" t="s">
        <v>114</v>
      </c>
      <c r="U175" s="511" t="s">
        <v>114</v>
      </c>
      <c r="V175" s="541"/>
    </row>
    <row r="176" spans="1:22" s="518" customFormat="1" ht="54" customHeight="1" x14ac:dyDescent="0.2">
      <c r="A176" s="619">
        <f>IF(B176="","",COUNT('Diário 5º PA'!$A$5:$A$2634)+COUNT('Diário 6º PA'!$A$5:$A$2246)+COUNT('Diário 7º PA'!$A$5:$A$2271)+ROW()-4)</f>
        <v>4122</v>
      </c>
      <c r="B176" s="620">
        <v>44475</v>
      </c>
      <c r="C176" s="621">
        <v>44409</v>
      </c>
      <c r="D176" s="548" t="s">
        <v>104</v>
      </c>
      <c r="E176" s="548" t="s">
        <v>104</v>
      </c>
      <c r="F176" s="622">
        <v>26471.3</v>
      </c>
      <c r="G176" s="623" t="s">
        <v>5961</v>
      </c>
      <c r="H176" s="548" t="s">
        <v>104</v>
      </c>
      <c r="I176" s="583" t="s">
        <v>2138</v>
      </c>
      <c r="J176" s="548" t="s">
        <v>2139</v>
      </c>
      <c r="K176" s="583" t="s">
        <v>1015</v>
      </c>
      <c r="L176" s="583" t="s">
        <v>992</v>
      </c>
      <c r="M176" s="619" t="s">
        <v>5962</v>
      </c>
      <c r="N176" s="620">
        <v>44470</v>
      </c>
      <c r="O176" s="684" t="s">
        <v>70</v>
      </c>
      <c r="P176" s="503">
        <f t="shared" si="8"/>
        <v>10</v>
      </c>
      <c r="Q176" s="503">
        <f t="shared" si="9"/>
        <v>8</v>
      </c>
      <c r="R176" s="504" t="str">
        <f t="shared" si="10"/>
        <v>Gastos_custeados_por_captação</v>
      </c>
      <c r="S176" s="504" t="str">
        <f>IF(D176="","",IF(OR(D176=Plano!$A$1,D176=Plano!$B$1),"entrada","saída"))</f>
        <v>saída</v>
      </c>
      <c r="T176" s="511" t="s">
        <v>994</v>
      </c>
      <c r="U176" s="511">
        <v>1713</v>
      </c>
      <c r="V176" s="541"/>
    </row>
    <row r="177" spans="1:22" s="540" customFormat="1" ht="138" customHeight="1" x14ac:dyDescent="0.2">
      <c r="A177" s="619">
        <f>IF(B177="","",COUNT('Diário 5º PA'!$A$5:$A$2634)+COUNT('Diário 6º PA'!$A$5:$A$2246)+COUNT('Diário 7º PA'!$A$5:$A$2271)+ROW()-4)</f>
        <v>4123</v>
      </c>
      <c r="B177" s="620">
        <v>44475</v>
      </c>
      <c r="C177" s="624">
        <v>44440</v>
      </c>
      <c r="D177" s="548" t="s">
        <v>104</v>
      </c>
      <c r="E177" s="548" t="s">
        <v>104</v>
      </c>
      <c r="F177" s="622">
        <v>2694.72</v>
      </c>
      <c r="G177" s="623" t="s">
        <v>579</v>
      </c>
      <c r="H177" s="548" t="s">
        <v>104</v>
      </c>
      <c r="I177" s="583" t="s">
        <v>1328</v>
      </c>
      <c r="J177" s="548" t="s">
        <v>581</v>
      </c>
      <c r="K177" s="583" t="s">
        <v>1015</v>
      </c>
      <c r="L177" s="583" t="s">
        <v>992</v>
      </c>
      <c r="M177" s="619" t="s">
        <v>1081</v>
      </c>
      <c r="N177" s="620">
        <v>44475</v>
      </c>
      <c r="O177" s="684" t="s">
        <v>5370</v>
      </c>
      <c r="P177" s="503">
        <f t="shared" si="8"/>
        <v>10</v>
      </c>
      <c r="Q177" s="503">
        <f t="shared" si="9"/>
        <v>9</v>
      </c>
      <c r="R177" s="504" t="str">
        <f t="shared" si="10"/>
        <v>Gastos_custeados_por_captação</v>
      </c>
      <c r="S177" s="504" t="str">
        <f>IF(D177="","",IF(OR(D177=Plano!$A$1,D177=Plano!$B$1),"entrada","saída"))</f>
        <v>saída</v>
      </c>
      <c r="T177" s="511" t="s">
        <v>1059</v>
      </c>
      <c r="U177" s="511">
        <v>1338</v>
      </c>
      <c r="V177" s="541"/>
    </row>
    <row r="178" spans="1:22" s="540" customFormat="1" ht="165.75" customHeight="1" x14ac:dyDescent="0.2">
      <c r="A178" s="619">
        <f>IF(B178="","",COUNT('Diário 5º PA'!$A$5:$A$2634)+COUNT('Diário 6º PA'!$A$5:$A$2246)+COUNT('Diário 7º PA'!$A$5:$A$2271)+ROW()-4)</f>
        <v>4124</v>
      </c>
      <c r="B178" s="620">
        <v>44475</v>
      </c>
      <c r="C178" s="624">
        <v>44440</v>
      </c>
      <c r="D178" s="548" t="s">
        <v>104</v>
      </c>
      <c r="E178" s="548" t="s">
        <v>104</v>
      </c>
      <c r="F178" s="622">
        <v>420</v>
      </c>
      <c r="G178" s="623" t="s">
        <v>5511</v>
      </c>
      <c r="H178" s="548" t="s">
        <v>104</v>
      </c>
      <c r="I178" s="583" t="s">
        <v>1063</v>
      </c>
      <c r="J178" s="548" t="s">
        <v>1064</v>
      </c>
      <c r="K178" s="583" t="s">
        <v>991</v>
      </c>
      <c r="L178" s="583" t="s">
        <v>1901</v>
      </c>
      <c r="M178" s="619">
        <v>1355</v>
      </c>
      <c r="N178" s="620">
        <v>44473</v>
      </c>
      <c r="O178" s="684" t="s">
        <v>5370</v>
      </c>
      <c r="P178" s="503">
        <f t="shared" si="8"/>
        <v>10</v>
      </c>
      <c r="Q178" s="503">
        <f t="shared" si="9"/>
        <v>9</v>
      </c>
      <c r="R178" s="504" t="str">
        <f t="shared" si="10"/>
        <v>Gastos_custeados_por_captação</v>
      </c>
      <c r="S178" s="504" t="str">
        <f>IF(D178="","",IF(OR(D178=Plano!$A$1,D178=Plano!$B$1),"entrada","saída"))</f>
        <v>saída</v>
      </c>
      <c r="T178" s="511" t="s">
        <v>994</v>
      </c>
      <c r="U178" s="511">
        <v>2029</v>
      </c>
      <c r="V178" s="541"/>
    </row>
    <row r="179" spans="1:22" s="540" customFormat="1" ht="134.25" customHeight="1" x14ac:dyDescent="0.2">
      <c r="A179" s="619">
        <f>IF(B179="","",COUNT('Diário 5º PA'!$A$5:$A$2634)+COUNT('Diário 6º PA'!$A$5:$A$2246)+COUNT('Diário 7º PA'!$A$5:$A$2271)+ROW()-4)</f>
        <v>4125</v>
      </c>
      <c r="B179" s="620">
        <v>44475</v>
      </c>
      <c r="C179" s="624">
        <v>44440</v>
      </c>
      <c r="D179" s="548" t="s">
        <v>104</v>
      </c>
      <c r="E179" s="548" t="s">
        <v>104</v>
      </c>
      <c r="F179" s="622">
        <v>420</v>
      </c>
      <c r="G179" s="623" t="s">
        <v>5510</v>
      </c>
      <c r="H179" s="548" t="s">
        <v>104</v>
      </c>
      <c r="I179" s="583" t="s">
        <v>2179</v>
      </c>
      <c r="J179" s="548" t="s">
        <v>2180</v>
      </c>
      <c r="K179" s="583" t="s">
        <v>991</v>
      </c>
      <c r="L179" s="583" t="s">
        <v>1029</v>
      </c>
      <c r="M179" s="619">
        <v>1357</v>
      </c>
      <c r="N179" s="620">
        <v>44474</v>
      </c>
      <c r="O179" s="684" t="s">
        <v>5370</v>
      </c>
      <c r="P179" s="503">
        <f t="shared" si="8"/>
        <v>10</v>
      </c>
      <c r="Q179" s="503">
        <f t="shared" si="9"/>
        <v>9</v>
      </c>
      <c r="R179" s="504" t="str">
        <f t="shared" si="10"/>
        <v>Gastos_custeados_por_captação</v>
      </c>
      <c r="S179" s="504" t="str">
        <f>IF(D179="","",IF(OR(D179=Plano!$A$1,D179=Plano!$B$1),"entrada","saída"))</f>
        <v>saída</v>
      </c>
      <c r="T179" s="511" t="s">
        <v>994</v>
      </c>
      <c r="U179" s="511">
        <v>2027</v>
      </c>
      <c r="V179" s="541"/>
    </row>
    <row r="180" spans="1:22" s="540" customFormat="1" ht="54" customHeight="1" x14ac:dyDescent="0.2">
      <c r="A180" s="619">
        <f>IF(B180="","",COUNT('Diário 5º PA'!$A$5:$A$2634)+COUNT('Diário 6º PA'!$A$5:$A$2246)+COUNT('Diário 7º PA'!$A$5:$A$2271)+ROW()-4)</f>
        <v>4126</v>
      </c>
      <c r="B180" s="620">
        <v>44475</v>
      </c>
      <c r="C180" s="624">
        <v>44470</v>
      </c>
      <c r="D180" s="548" t="s">
        <v>104</v>
      </c>
      <c r="E180" s="548" t="s">
        <v>104</v>
      </c>
      <c r="F180" s="622">
        <v>10.45</v>
      </c>
      <c r="G180" s="623" t="s">
        <v>5451</v>
      </c>
      <c r="H180" s="548" t="s">
        <v>104</v>
      </c>
      <c r="I180" s="583" t="s">
        <v>949</v>
      </c>
      <c r="J180" s="548" t="s">
        <v>950</v>
      </c>
      <c r="K180" s="583" t="s">
        <v>951</v>
      </c>
      <c r="L180" s="583" t="s">
        <v>947</v>
      </c>
      <c r="M180" s="625" t="s">
        <v>114</v>
      </c>
      <c r="N180" s="620">
        <v>44475</v>
      </c>
      <c r="O180" s="684" t="s">
        <v>5370</v>
      </c>
      <c r="P180" s="503">
        <f t="shared" si="8"/>
        <v>10</v>
      </c>
      <c r="Q180" s="503">
        <f t="shared" si="9"/>
        <v>10</v>
      </c>
      <c r="R180" s="504" t="str">
        <f t="shared" si="10"/>
        <v>Gastos_custeados_por_captação</v>
      </c>
      <c r="S180" s="504" t="str">
        <f>IF(D180="","",IF(OR(D180=Plano!$A$1,D180=Plano!$B$1),"entrada","saída"))</f>
        <v>saída</v>
      </c>
      <c r="T180" s="505" t="s">
        <v>114</v>
      </c>
      <c r="U180" s="505" t="s">
        <v>114</v>
      </c>
      <c r="V180" s="541"/>
    </row>
    <row r="181" spans="1:22" s="540" customFormat="1" ht="54" customHeight="1" x14ac:dyDescent="0.2">
      <c r="A181" s="619">
        <f>IF(B181="","",COUNT('Diário 5º PA'!$A$5:$A$2634)+COUNT('Diário 6º PA'!$A$5:$A$2246)+COUNT('Diário 7º PA'!$A$5:$A$2271)+ROW()-4)</f>
        <v>4127</v>
      </c>
      <c r="B181" s="620">
        <v>44475</v>
      </c>
      <c r="C181" s="624">
        <v>44470</v>
      </c>
      <c r="D181" s="548" t="s">
        <v>104</v>
      </c>
      <c r="E181" s="548" t="s">
        <v>104</v>
      </c>
      <c r="F181" s="622">
        <v>10.45</v>
      </c>
      <c r="G181" s="623" t="s">
        <v>5451</v>
      </c>
      <c r="H181" s="548" t="s">
        <v>104</v>
      </c>
      <c r="I181" s="583" t="s">
        <v>949</v>
      </c>
      <c r="J181" s="548" t="s">
        <v>950</v>
      </c>
      <c r="K181" s="583" t="s">
        <v>951</v>
      </c>
      <c r="L181" s="583" t="s">
        <v>947</v>
      </c>
      <c r="M181" s="625" t="s">
        <v>114</v>
      </c>
      <c r="N181" s="620">
        <v>44475</v>
      </c>
      <c r="O181" s="684" t="s">
        <v>5370</v>
      </c>
      <c r="P181" s="503">
        <f t="shared" si="8"/>
        <v>10</v>
      </c>
      <c r="Q181" s="503">
        <f t="shared" si="9"/>
        <v>10</v>
      </c>
      <c r="R181" s="504" t="str">
        <f t="shared" si="10"/>
        <v>Gastos_custeados_por_captação</v>
      </c>
      <c r="S181" s="504" t="str">
        <f>IF(D181="","",IF(OR(D181=Plano!$A$1,D181=Plano!$B$1),"entrada","saída"))</f>
        <v>saída</v>
      </c>
      <c r="T181" s="505" t="s">
        <v>114</v>
      </c>
      <c r="U181" s="505" t="s">
        <v>114</v>
      </c>
      <c r="V181" s="541"/>
    </row>
    <row r="182" spans="1:22" s="543" customFormat="1" ht="108.75" customHeight="1" x14ac:dyDescent="0.2">
      <c r="A182" s="619">
        <f>IF(B182="","",COUNT('Diário 5º PA'!$A$5:$A$2634)+COUNT('Diário 6º PA'!$A$5:$A$2246)+COUNT('Diário 7º PA'!$A$5:$A$2271)+ROW()-4)</f>
        <v>4128</v>
      </c>
      <c r="B182" s="620">
        <v>44475</v>
      </c>
      <c r="C182" s="624">
        <v>44440</v>
      </c>
      <c r="D182" s="548" t="s">
        <v>104</v>
      </c>
      <c r="E182" s="548" t="s">
        <v>104</v>
      </c>
      <c r="F182" s="622">
        <v>3634</v>
      </c>
      <c r="G182" s="623" t="s">
        <v>606</v>
      </c>
      <c r="H182" s="548" t="s">
        <v>104</v>
      </c>
      <c r="I182" s="583" t="s">
        <v>2817</v>
      </c>
      <c r="J182" s="548" t="s">
        <v>608</v>
      </c>
      <c r="K182" s="583" t="s">
        <v>991</v>
      </c>
      <c r="L182" s="583" t="s">
        <v>992</v>
      </c>
      <c r="M182" s="619" t="s">
        <v>2350</v>
      </c>
      <c r="N182" s="620">
        <v>44475</v>
      </c>
      <c r="O182" s="684" t="s">
        <v>5377</v>
      </c>
      <c r="P182" s="503">
        <f t="shared" si="8"/>
        <v>10</v>
      </c>
      <c r="Q182" s="503">
        <f t="shared" si="9"/>
        <v>9</v>
      </c>
      <c r="R182" s="504" t="str">
        <f t="shared" si="10"/>
        <v>Gastos_custeados_por_captação</v>
      </c>
      <c r="S182" s="504" t="str">
        <f>IF(D182="","",IF(OR(D182=Plano!$A$1,D182=Plano!$B$1),"entrada","saída"))</f>
        <v>saída</v>
      </c>
      <c r="T182" s="505" t="s">
        <v>1082</v>
      </c>
      <c r="U182" s="505">
        <v>1413</v>
      </c>
      <c r="V182" s="541"/>
    </row>
    <row r="183" spans="1:22" s="543" customFormat="1" ht="54" customHeight="1" x14ac:dyDescent="0.2">
      <c r="A183" s="619">
        <f>IF(B183="","",COUNT('Diário 5º PA'!$A$5:$A$2634)+COUNT('Diário 6º PA'!$A$5:$A$2246)+COUNT('Diário 7º PA'!$A$5:$A$2271)+ROW()-4)</f>
        <v>4129</v>
      </c>
      <c r="B183" s="620">
        <v>44475</v>
      </c>
      <c r="C183" s="628">
        <v>44409</v>
      </c>
      <c r="D183" s="548" t="s">
        <v>104</v>
      </c>
      <c r="E183" s="548" t="s">
        <v>104</v>
      </c>
      <c r="F183" s="622">
        <v>1364.58</v>
      </c>
      <c r="G183" s="623" t="s">
        <v>5499</v>
      </c>
      <c r="H183" s="548" t="s">
        <v>104</v>
      </c>
      <c r="I183" s="583" t="s">
        <v>1135</v>
      </c>
      <c r="J183" s="548" t="s">
        <v>652</v>
      </c>
      <c r="K183" s="583" t="s">
        <v>991</v>
      </c>
      <c r="L183" s="583" t="s">
        <v>1177</v>
      </c>
      <c r="M183" s="625" t="s">
        <v>114</v>
      </c>
      <c r="N183" s="620">
        <v>44471</v>
      </c>
      <c r="O183" s="684" t="s">
        <v>5377</v>
      </c>
      <c r="P183" s="503">
        <f t="shared" si="8"/>
        <v>10</v>
      </c>
      <c r="Q183" s="503">
        <f t="shared" si="9"/>
        <v>8</v>
      </c>
      <c r="R183" s="504" t="str">
        <f t="shared" si="10"/>
        <v>Gastos_custeados_por_captação</v>
      </c>
      <c r="S183" s="504" t="str">
        <f>IF(D183="","",IF(OR(D183=Plano!$A$1,D183=Plano!$B$1),"entrada","saída"))</f>
        <v>saída</v>
      </c>
      <c r="T183" s="505" t="s">
        <v>1082</v>
      </c>
      <c r="U183" s="505">
        <v>1703</v>
      </c>
      <c r="V183" s="541"/>
    </row>
    <row r="184" spans="1:22" ht="66.75" customHeight="1" x14ac:dyDescent="0.2">
      <c r="A184" s="619">
        <f>IF(B184="","",COUNT('Diário 5º PA'!$A$5:$A$2634)+COUNT('Diário 6º PA'!$A$5:$A$2246)+COUNT('Diário 7º PA'!$A$5:$A$2271)+ROW()-4)</f>
        <v>4130</v>
      </c>
      <c r="B184" s="620">
        <v>44476</v>
      </c>
      <c r="C184" s="621">
        <v>44440</v>
      </c>
      <c r="D184" s="548" t="s">
        <v>88</v>
      </c>
      <c r="E184" s="548" t="s">
        <v>171</v>
      </c>
      <c r="F184" s="622">
        <v>-2066.44</v>
      </c>
      <c r="G184" s="623" t="s">
        <v>5669</v>
      </c>
      <c r="H184" s="548" t="s">
        <v>114</v>
      </c>
      <c r="I184" s="583" t="s">
        <v>983</v>
      </c>
      <c r="J184" s="548" t="s">
        <v>850</v>
      </c>
      <c r="K184" s="583" t="s">
        <v>946</v>
      </c>
      <c r="L184" s="583" t="s">
        <v>947</v>
      </c>
      <c r="M184" s="619" t="s">
        <v>114</v>
      </c>
      <c r="N184" s="620">
        <v>44476</v>
      </c>
      <c r="O184" s="684" t="s">
        <v>67</v>
      </c>
      <c r="P184" s="503">
        <f t="shared" si="8"/>
        <v>10</v>
      </c>
      <c r="Q184" s="503">
        <f t="shared" si="9"/>
        <v>9</v>
      </c>
      <c r="R184" s="504" t="str">
        <f t="shared" si="10"/>
        <v>Gastos_com_Pessoal</v>
      </c>
      <c r="S184" s="504" t="str">
        <f>IF(D184="","",IF(OR(D184=Plano!$A$1,D184=Plano!$B$1),"entrada","saída"))</f>
        <v>saída</v>
      </c>
      <c r="T184" s="505" t="s">
        <v>114</v>
      </c>
      <c r="U184" s="505" t="s">
        <v>114</v>
      </c>
      <c r="V184" s="541"/>
    </row>
    <row r="185" spans="1:22" ht="62.25" customHeight="1" x14ac:dyDescent="0.2">
      <c r="A185" s="619">
        <f>IF(B185="","",COUNT('Diário 5º PA'!$A$5:$A$2634)+COUNT('Diário 6º PA'!$A$5:$A$2246)+COUNT('Diário 7º PA'!$A$5:$A$2271)+ROW()-4)</f>
        <v>4131</v>
      </c>
      <c r="B185" s="620">
        <v>44476</v>
      </c>
      <c r="C185" s="621">
        <v>44440</v>
      </c>
      <c r="D185" s="548" t="s">
        <v>88</v>
      </c>
      <c r="E185" s="548" t="s">
        <v>171</v>
      </c>
      <c r="F185" s="622">
        <v>-120</v>
      </c>
      <c r="G185" s="623" t="s">
        <v>5670</v>
      </c>
      <c r="H185" s="548" t="s">
        <v>114</v>
      </c>
      <c r="I185" s="583" t="s">
        <v>983</v>
      </c>
      <c r="J185" s="548" t="s">
        <v>850</v>
      </c>
      <c r="K185" s="583" t="s">
        <v>946</v>
      </c>
      <c r="L185" s="583" t="s">
        <v>947</v>
      </c>
      <c r="M185" s="619" t="s">
        <v>114</v>
      </c>
      <c r="N185" s="620">
        <v>44476</v>
      </c>
      <c r="O185" s="684" t="s">
        <v>67</v>
      </c>
      <c r="P185" s="503">
        <f t="shared" si="8"/>
        <v>10</v>
      </c>
      <c r="Q185" s="503">
        <f t="shared" si="9"/>
        <v>9</v>
      </c>
      <c r="R185" s="504" t="str">
        <f t="shared" si="10"/>
        <v>Gastos_com_Pessoal</v>
      </c>
      <c r="S185" s="504" t="str">
        <f>IF(D185="","",IF(OR(D185=Plano!$A$1,D185=Plano!$B$1),"entrada","saída"))</f>
        <v>saída</v>
      </c>
      <c r="T185" s="505" t="s">
        <v>114</v>
      </c>
      <c r="U185" s="505" t="s">
        <v>114</v>
      </c>
      <c r="V185" s="541"/>
    </row>
    <row r="186" spans="1:22" ht="148.5" customHeight="1" x14ac:dyDescent="0.2">
      <c r="A186" s="619">
        <f>IF(B186="","",COUNT('Diário 5º PA'!$A$5:$A$2634)+COUNT('Diário 6º PA'!$A$5:$A$2246)+COUNT('Diário 7º PA'!$A$5:$A$2271)+ROW()-4)</f>
        <v>4132</v>
      </c>
      <c r="B186" s="620">
        <v>44476</v>
      </c>
      <c r="C186" s="624">
        <v>44440</v>
      </c>
      <c r="D186" s="548" t="s">
        <v>99</v>
      </c>
      <c r="E186" s="548" t="s">
        <v>358</v>
      </c>
      <c r="F186" s="622">
        <v>430</v>
      </c>
      <c r="G186" s="623" t="s">
        <v>5304</v>
      </c>
      <c r="H186" s="548" t="s">
        <v>127</v>
      </c>
      <c r="I186" s="583" t="s">
        <v>5671</v>
      </c>
      <c r="J186" s="548" t="s">
        <v>5305</v>
      </c>
      <c r="K186" s="583" t="s">
        <v>991</v>
      </c>
      <c r="L186" s="583" t="s">
        <v>1029</v>
      </c>
      <c r="M186" s="619">
        <v>1356</v>
      </c>
      <c r="N186" s="620">
        <v>44473</v>
      </c>
      <c r="O186" s="684" t="s">
        <v>67</v>
      </c>
      <c r="P186" s="503">
        <f t="shared" si="8"/>
        <v>10</v>
      </c>
      <c r="Q186" s="503">
        <f t="shared" si="9"/>
        <v>9</v>
      </c>
      <c r="R186" s="504" t="str">
        <f t="shared" si="10"/>
        <v>Gastos_Gerais</v>
      </c>
      <c r="S186" s="504" t="str">
        <f>IF(D186="","",IF(OR(D186=Plano!$A$1,D186=Plano!$B$1),"entrada","saída"))</f>
        <v>saída</v>
      </c>
      <c r="T186" s="505" t="s">
        <v>994</v>
      </c>
      <c r="U186" s="505">
        <v>2088</v>
      </c>
      <c r="V186" s="541"/>
    </row>
    <row r="187" spans="1:22" ht="146.25" customHeight="1" x14ac:dyDescent="0.2">
      <c r="A187" s="619">
        <f>IF(B187="","",COUNT('Diário 5º PA'!$A$5:$A$2634)+COUNT('Diário 6º PA'!$A$5:$A$2246)+COUNT('Diário 7º PA'!$A$5:$A$2271)+ROW()-4)</f>
        <v>4133</v>
      </c>
      <c r="B187" s="620">
        <v>44476</v>
      </c>
      <c r="C187" s="624">
        <v>44287</v>
      </c>
      <c r="D187" s="548" t="s">
        <v>99</v>
      </c>
      <c r="E187" s="548" t="s">
        <v>364</v>
      </c>
      <c r="F187" s="622">
        <v>2075.92</v>
      </c>
      <c r="G187" s="623" t="s">
        <v>611</v>
      </c>
      <c r="H187" s="548" t="s">
        <v>122</v>
      </c>
      <c r="I187" s="583" t="s">
        <v>5672</v>
      </c>
      <c r="J187" s="548" t="s">
        <v>612</v>
      </c>
      <c r="K187" s="583" t="s">
        <v>991</v>
      </c>
      <c r="L187" s="583" t="s">
        <v>1029</v>
      </c>
      <c r="M187" s="619">
        <v>1276</v>
      </c>
      <c r="N187" s="620">
        <v>44421</v>
      </c>
      <c r="O187" s="684" t="s">
        <v>67</v>
      </c>
      <c r="P187" s="503">
        <f t="shared" si="8"/>
        <v>10</v>
      </c>
      <c r="Q187" s="503">
        <f t="shared" si="9"/>
        <v>4</v>
      </c>
      <c r="R187" s="504" t="str">
        <f t="shared" si="10"/>
        <v>Gastos_Gerais</v>
      </c>
      <c r="S187" s="504" t="str">
        <f>IF(D187="","",IF(OR(D187=Plano!$A$1,D187=Plano!$B$1),"entrada","saída"))</f>
        <v>saída</v>
      </c>
      <c r="T187" s="505" t="s">
        <v>994</v>
      </c>
      <c r="U187" s="505">
        <v>1480</v>
      </c>
      <c r="V187" s="541"/>
    </row>
    <row r="188" spans="1:22" ht="92.25" customHeight="1" x14ac:dyDescent="0.2">
      <c r="A188" s="619">
        <f>IF(B188="","",COUNT('Diário 5º PA'!$A$5:$A$2634)+COUNT('Diário 6º PA'!$A$5:$A$2246)+COUNT('Diário 7º PA'!$A$5:$A$2271)+ROW()-4)</f>
        <v>4134</v>
      </c>
      <c r="B188" s="620">
        <v>44476</v>
      </c>
      <c r="C188" s="624">
        <v>44440</v>
      </c>
      <c r="D188" s="629" t="s">
        <v>99</v>
      </c>
      <c r="E188" s="629" t="s">
        <v>358</v>
      </c>
      <c r="F188" s="622">
        <v>430</v>
      </c>
      <c r="G188" s="630" t="s">
        <v>5260</v>
      </c>
      <c r="H188" s="548" t="s">
        <v>127</v>
      </c>
      <c r="I188" s="583" t="s">
        <v>5673</v>
      </c>
      <c r="J188" s="629" t="s">
        <v>5261</v>
      </c>
      <c r="K188" s="583" t="s">
        <v>991</v>
      </c>
      <c r="L188" s="583" t="s">
        <v>1029</v>
      </c>
      <c r="M188" s="619">
        <v>1354</v>
      </c>
      <c r="N188" s="620">
        <v>44473</v>
      </c>
      <c r="O188" s="684" t="s">
        <v>67</v>
      </c>
      <c r="P188" s="503">
        <f t="shared" si="8"/>
        <v>10</v>
      </c>
      <c r="Q188" s="503">
        <f t="shared" si="9"/>
        <v>9</v>
      </c>
      <c r="R188" s="504" t="str">
        <f t="shared" si="10"/>
        <v>Gastos_Gerais</v>
      </c>
      <c r="S188" s="504" t="str">
        <f>IF(D188="","",IF(OR(D188=Plano!$A$1,D188=Plano!$B$1),"entrada","saída"))</f>
        <v>saída</v>
      </c>
      <c r="T188" s="505" t="s">
        <v>994</v>
      </c>
      <c r="U188" s="505">
        <v>2089</v>
      </c>
      <c r="V188" s="541"/>
    </row>
    <row r="189" spans="1:22" ht="164.25" customHeight="1" x14ac:dyDescent="0.2">
      <c r="A189" s="619">
        <f>IF(B189="","",COUNT('Diário 5º PA'!$A$5:$A$2634)+COUNT('Diário 6º PA'!$A$5:$A$2246)+COUNT('Diário 7º PA'!$A$5:$A$2271)+ROW()-4)</f>
        <v>4135</v>
      </c>
      <c r="B189" s="620">
        <v>44476</v>
      </c>
      <c r="C189" s="624">
        <v>44409</v>
      </c>
      <c r="D189" s="548" t="s">
        <v>99</v>
      </c>
      <c r="E189" s="548" t="s">
        <v>358</v>
      </c>
      <c r="F189" s="622">
        <v>1238.4000000000001</v>
      </c>
      <c r="G189" s="623" t="s">
        <v>772</v>
      </c>
      <c r="H189" s="548" t="s">
        <v>123</v>
      </c>
      <c r="I189" s="583" t="s">
        <v>5674</v>
      </c>
      <c r="J189" s="548" t="s">
        <v>773</v>
      </c>
      <c r="K189" s="583" t="s">
        <v>991</v>
      </c>
      <c r="L189" s="583" t="s">
        <v>1029</v>
      </c>
      <c r="M189" s="619">
        <v>1367</v>
      </c>
      <c r="N189" s="620">
        <v>44475</v>
      </c>
      <c r="O189" s="684" t="s">
        <v>67</v>
      </c>
      <c r="P189" s="503">
        <f t="shared" si="8"/>
        <v>10</v>
      </c>
      <c r="Q189" s="503">
        <f t="shared" si="9"/>
        <v>8</v>
      </c>
      <c r="R189" s="504" t="str">
        <f t="shared" si="10"/>
        <v>Gastos_Gerais</v>
      </c>
      <c r="S189" s="504" t="str">
        <f>IF(D189="","",IF(OR(D189=Plano!$A$1,D189=Plano!$B$1),"entrada","saída"))</f>
        <v>saída</v>
      </c>
      <c r="T189" s="505" t="s">
        <v>994</v>
      </c>
      <c r="U189" s="505">
        <v>1885</v>
      </c>
      <c r="V189" s="541"/>
    </row>
    <row r="190" spans="1:22" s="512" customFormat="1" ht="78.75" customHeight="1" x14ac:dyDescent="0.2">
      <c r="A190" s="619">
        <f>IF(B190="","",COUNT('Diário 5º PA'!$A$5:$A$2634)+COUNT('Diário 6º PA'!$A$5:$A$2246)+COUNT('Diário 7º PA'!$A$5:$A$2271)+ROW()-4)</f>
        <v>4136</v>
      </c>
      <c r="B190" s="620">
        <v>44476</v>
      </c>
      <c r="C190" s="624">
        <v>44440</v>
      </c>
      <c r="D190" s="548" t="s">
        <v>99</v>
      </c>
      <c r="E190" s="548" t="s">
        <v>358</v>
      </c>
      <c r="F190" s="622">
        <v>516</v>
      </c>
      <c r="G190" s="623" t="s">
        <v>5230</v>
      </c>
      <c r="H190" s="548" t="s">
        <v>118</v>
      </c>
      <c r="I190" s="583" t="s">
        <v>5679</v>
      </c>
      <c r="J190" s="548" t="s">
        <v>5231</v>
      </c>
      <c r="K190" s="583" t="s">
        <v>991</v>
      </c>
      <c r="L190" s="583" t="s">
        <v>1029</v>
      </c>
      <c r="M190" s="619">
        <v>1363</v>
      </c>
      <c r="N190" s="620">
        <v>44474</v>
      </c>
      <c r="O190" s="684" t="s">
        <v>67</v>
      </c>
      <c r="P190" s="503">
        <f t="shared" si="8"/>
        <v>10</v>
      </c>
      <c r="Q190" s="503">
        <f t="shared" si="9"/>
        <v>9</v>
      </c>
      <c r="R190" s="504" t="str">
        <f t="shared" si="10"/>
        <v>Gastos_Gerais</v>
      </c>
      <c r="S190" s="504" t="str">
        <f>IF(D190="","",IF(OR(D190=Plano!$A$1,D190=Plano!$B$1),"entrada","saída"))</f>
        <v>saída</v>
      </c>
      <c r="T190" s="505" t="s">
        <v>994</v>
      </c>
      <c r="U190" s="505">
        <v>2099</v>
      </c>
      <c r="V190" s="541"/>
    </row>
    <row r="191" spans="1:22" ht="45" customHeight="1" x14ac:dyDescent="0.2">
      <c r="A191" s="619">
        <f>IF(B191="","",COUNT('Diário 5º PA'!$A$5:$A$2634)+COUNT('Diário 6º PA'!$A$5:$A$2246)+COUNT('Diário 7º PA'!$A$5:$A$2271)+ROW()-4)</f>
        <v>4137</v>
      </c>
      <c r="B191" s="620">
        <v>44476</v>
      </c>
      <c r="C191" s="621">
        <v>44440</v>
      </c>
      <c r="D191" s="548" t="s">
        <v>88</v>
      </c>
      <c r="E191" s="548" t="s">
        <v>171</v>
      </c>
      <c r="F191" s="622">
        <v>15377.19</v>
      </c>
      <c r="G191" s="623" t="s">
        <v>5682</v>
      </c>
      <c r="H191" s="548" t="s">
        <v>114</v>
      </c>
      <c r="I191" s="583" t="s">
        <v>1259</v>
      </c>
      <c r="J191" s="548" t="s">
        <v>114</v>
      </c>
      <c r="K191" s="583" t="s">
        <v>466</v>
      </c>
      <c r="L191" s="583" t="s">
        <v>171</v>
      </c>
      <c r="M191" s="620" t="s">
        <v>114</v>
      </c>
      <c r="N191" s="620">
        <v>44476</v>
      </c>
      <c r="O191" s="684" t="s">
        <v>67</v>
      </c>
      <c r="P191" s="503">
        <f t="shared" si="8"/>
        <v>10</v>
      </c>
      <c r="Q191" s="503">
        <f t="shared" si="9"/>
        <v>9</v>
      </c>
      <c r="R191" s="504" t="str">
        <f t="shared" si="10"/>
        <v>Gastos_com_Pessoal</v>
      </c>
      <c r="S191" s="504" t="str">
        <f>IF(D191="","",IF(OR(D191=Plano!$A$1,D191=Plano!$B$1),"entrada","saída"))</f>
        <v>saída</v>
      </c>
      <c r="T191" s="505" t="s">
        <v>114</v>
      </c>
      <c r="U191" s="505" t="s">
        <v>114</v>
      </c>
      <c r="V191" s="541"/>
    </row>
    <row r="192" spans="1:22" ht="70.5" customHeight="1" x14ac:dyDescent="0.2">
      <c r="A192" s="619">
        <f>IF(B192="","",COUNT('Diário 5º PA'!$A$5:$A$2634)+COUNT('Diário 6º PA'!$A$5:$A$2246)+COUNT('Diário 7º PA'!$A$5:$A$2271)+ROW()-4)</f>
        <v>4138</v>
      </c>
      <c r="B192" s="620">
        <v>44476</v>
      </c>
      <c r="C192" s="628">
        <v>44470</v>
      </c>
      <c r="D192" s="548" t="s">
        <v>99</v>
      </c>
      <c r="E192" s="548" t="s">
        <v>382</v>
      </c>
      <c r="F192" s="622">
        <v>1359.5</v>
      </c>
      <c r="G192" s="623" t="s">
        <v>5525</v>
      </c>
      <c r="H192" s="548" t="s">
        <v>131</v>
      </c>
      <c r="I192" s="583" t="s">
        <v>5683</v>
      </c>
      <c r="J192" s="548" t="s">
        <v>5526</v>
      </c>
      <c r="K192" s="583" t="s">
        <v>991</v>
      </c>
      <c r="L192" s="583" t="s">
        <v>992</v>
      </c>
      <c r="M192" s="619" t="s">
        <v>5684</v>
      </c>
      <c r="N192" s="620">
        <v>44476</v>
      </c>
      <c r="O192" s="684" t="s">
        <v>67</v>
      </c>
      <c r="P192" s="503">
        <f t="shared" si="8"/>
        <v>10</v>
      </c>
      <c r="Q192" s="503">
        <f t="shared" si="9"/>
        <v>10</v>
      </c>
      <c r="R192" s="504" t="str">
        <f t="shared" si="10"/>
        <v>Gastos_Gerais</v>
      </c>
      <c r="S192" s="504" t="str">
        <f>IF(D192="","",IF(OR(D192=Plano!$A$1,D192=Plano!$B$1),"entrada","saída"))</f>
        <v>saída</v>
      </c>
      <c r="T192" s="505" t="s">
        <v>1059</v>
      </c>
      <c r="U192" s="505">
        <v>2159</v>
      </c>
      <c r="V192" s="541"/>
    </row>
    <row r="193" spans="1:22" ht="112.5" customHeight="1" x14ac:dyDescent="0.2">
      <c r="A193" s="619">
        <f>IF(B193="","",COUNT('Diário 5º PA'!$A$5:$A$2634)+COUNT('Diário 6º PA'!$A$5:$A$2246)+COUNT('Diário 7º PA'!$A$5:$A$2271)+ROW()-4)</f>
        <v>4139</v>
      </c>
      <c r="B193" s="620">
        <v>44476</v>
      </c>
      <c r="C193" s="624">
        <v>44409</v>
      </c>
      <c r="D193" s="548" t="s">
        <v>99</v>
      </c>
      <c r="E193" s="548" t="s">
        <v>358</v>
      </c>
      <c r="F193" s="622">
        <v>504</v>
      </c>
      <c r="G193" s="623" t="s">
        <v>774</v>
      </c>
      <c r="H193" s="548" t="s">
        <v>126</v>
      </c>
      <c r="I193" s="583" t="s">
        <v>5685</v>
      </c>
      <c r="J193" s="548" t="s">
        <v>757</v>
      </c>
      <c r="K193" s="583" t="s">
        <v>991</v>
      </c>
      <c r="L193" s="583" t="s">
        <v>1029</v>
      </c>
      <c r="M193" s="619">
        <v>1319</v>
      </c>
      <c r="N193" s="620">
        <v>44448</v>
      </c>
      <c r="O193" s="684" t="s">
        <v>67</v>
      </c>
      <c r="P193" s="503">
        <f t="shared" ref="P193:P256" si="11">IF(B193=0,0,IF(YEAR(B193)=$Q$1,MONTH(B193)-$P$1+1,(YEAR(B193)-$Q$1)*12-$P$1+1+MONTH(B193)))</f>
        <v>10</v>
      </c>
      <c r="Q193" s="503">
        <f t="shared" ref="Q193:Q256" si="12">IF(C193=0,0,IF(YEAR(C193)=$Q$1,MONTH(C193)-$P$1+1,(YEAR(C193)-$Q$1)*12-$P$1+1+MONTH(C193)))</f>
        <v>8</v>
      </c>
      <c r="R193" s="504" t="str">
        <f t="shared" ref="R193:R256" si="13">SUBSTITUTE(D193," ","_")</f>
        <v>Gastos_Gerais</v>
      </c>
      <c r="S193" s="504" t="str">
        <f>IF(D193="","",IF(OR(D193=Plano!$A$1,D193=Plano!$B$1),"entrada","saída"))</f>
        <v>saída</v>
      </c>
      <c r="T193" s="505" t="s">
        <v>994</v>
      </c>
      <c r="U193" s="505">
        <v>1923</v>
      </c>
      <c r="V193" s="541"/>
    </row>
    <row r="194" spans="1:22" ht="45" customHeight="1" x14ac:dyDescent="0.2">
      <c r="A194" s="619">
        <f>IF(B194="","",COUNT('Diário 5º PA'!$A$5:$A$2634)+COUNT('Diário 6º PA'!$A$5:$A$2246)+COUNT('Diário 7º PA'!$A$5:$A$2271)+ROW()-4)</f>
        <v>4140</v>
      </c>
      <c r="B194" s="620">
        <v>44476</v>
      </c>
      <c r="C194" s="621">
        <v>44470</v>
      </c>
      <c r="D194" s="548" t="s">
        <v>99</v>
      </c>
      <c r="E194" s="548" t="s">
        <v>272</v>
      </c>
      <c r="F194" s="622">
        <v>10.45</v>
      </c>
      <c r="G194" s="623" t="s">
        <v>5688</v>
      </c>
      <c r="H194" s="548" t="s">
        <v>122</v>
      </c>
      <c r="I194" s="583" t="s">
        <v>949</v>
      </c>
      <c r="J194" s="548" t="s">
        <v>950</v>
      </c>
      <c r="K194" s="583" t="s">
        <v>951</v>
      </c>
      <c r="L194" s="583" t="s">
        <v>947</v>
      </c>
      <c r="M194" s="625" t="s">
        <v>114</v>
      </c>
      <c r="N194" s="620">
        <v>44476</v>
      </c>
      <c r="O194" s="684" t="s">
        <v>67</v>
      </c>
      <c r="P194" s="503">
        <f t="shared" si="11"/>
        <v>10</v>
      </c>
      <c r="Q194" s="503">
        <f t="shared" si="12"/>
        <v>10</v>
      </c>
      <c r="R194" s="504" t="str">
        <f t="shared" si="13"/>
        <v>Gastos_Gerais</v>
      </c>
      <c r="S194" s="504" t="str">
        <f>IF(D194="","",IF(OR(D194=Plano!$A$1,D194=Plano!$B$1),"entrada","saída"))</f>
        <v>saída</v>
      </c>
      <c r="T194" s="511" t="s">
        <v>114</v>
      </c>
      <c r="U194" s="511" t="s">
        <v>114</v>
      </c>
      <c r="V194" s="541"/>
    </row>
    <row r="195" spans="1:22" ht="62.25" customHeight="1" x14ac:dyDescent="0.2">
      <c r="A195" s="619">
        <f>IF(B195="","",COUNT('Diário 5º PA'!$A$5:$A$2634)+COUNT('Diário 6º PA'!$A$5:$A$2246)+COUNT('Diário 7º PA'!$A$5:$A$2271)+ROW()-4)</f>
        <v>4141</v>
      </c>
      <c r="B195" s="620">
        <v>44476</v>
      </c>
      <c r="C195" s="621">
        <v>44470</v>
      </c>
      <c r="D195" s="548" t="s">
        <v>99</v>
      </c>
      <c r="E195" s="548" t="s">
        <v>272</v>
      </c>
      <c r="F195" s="622">
        <v>10.45</v>
      </c>
      <c r="G195" s="623" t="s">
        <v>5689</v>
      </c>
      <c r="H195" s="548" t="s">
        <v>127</v>
      </c>
      <c r="I195" s="583" t="s">
        <v>949</v>
      </c>
      <c r="J195" s="548" t="s">
        <v>950</v>
      </c>
      <c r="K195" s="583" t="s">
        <v>951</v>
      </c>
      <c r="L195" s="583" t="s">
        <v>947</v>
      </c>
      <c r="M195" s="625" t="s">
        <v>114</v>
      </c>
      <c r="N195" s="620">
        <v>44476</v>
      </c>
      <c r="O195" s="684" t="s">
        <v>67</v>
      </c>
      <c r="P195" s="503">
        <f t="shared" si="11"/>
        <v>10</v>
      </c>
      <c r="Q195" s="503">
        <f t="shared" si="12"/>
        <v>10</v>
      </c>
      <c r="R195" s="504" t="str">
        <f t="shared" si="13"/>
        <v>Gastos_Gerais</v>
      </c>
      <c r="S195" s="504" t="str">
        <f>IF(D195="","",IF(OR(D195=Plano!$A$1,D195=Plano!$B$1),"entrada","saída"))</f>
        <v>saída</v>
      </c>
      <c r="T195" s="511" t="s">
        <v>114</v>
      </c>
      <c r="U195" s="511" t="s">
        <v>114</v>
      </c>
      <c r="V195" s="541"/>
    </row>
    <row r="196" spans="1:22" ht="45" customHeight="1" x14ac:dyDescent="0.2">
      <c r="A196" s="619">
        <f>IF(B196="","",COUNT('Diário 5º PA'!$A$5:$A$2634)+COUNT('Diário 6º PA'!$A$5:$A$2246)+COUNT('Diário 7º PA'!$A$5:$A$2271)+ROW()-4)</f>
        <v>4142</v>
      </c>
      <c r="B196" s="620">
        <v>44476</v>
      </c>
      <c r="C196" s="621">
        <v>44470</v>
      </c>
      <c r="D196" s="548" t="s">
        <v>99</v>
      </c>
      <c r="E196" s="548" t="s">
        <v>272</v>
      </c>
      <c r="F196" s="622">
        <v>10.45</v>
      </c>
      <c r="G196" s="623" t="s">
        <v>5690</v>
      </c>
      <c r="H196" s="548" t="s">
        <v>123</v>
      </c>
      <c r="I196" s="583" t="s">
        <v>949</v>
      </c>
      <c r="J196" s="548" t="s">
        <v>950</v>
      </c>
      <c r="K196" s="583" t="s">
        <v>951</v>
      </c>
      <c r="L196" s="583" t="s">
        <v>947</v>
      </c>
      <c r="M196" s="625" t="s">
        <v>114</v>
      </c>
      <c r="N196" s="620">
        <v>44476</v>
      </c>
      <c r="O196" s="684" t="s">
        <v>67</v>
      </c>
      <c r="P196" s="503">
        <f t="shared" si="11"/>
        <v>10</v>
      </c>
      <c r="Q196" s="503">
        <f t="shared" si="12"/>
        <v>10</v>
      </c>
      <c r="R196" s="504" t="str">
        <f t="shared" si="13"/>
        <v>Gastos_Gerais</v>
      </c>
      <c r="S196" s="504" t="str">
        <f>IF(D196="","",IF(OR(D196=Plano!$A$1,D196=Plano!$B$1),"entrada","saída"))</f>
        <v>saída</v>
      </c>
      <c r="T196" s="511" t="s">
        <v>114</v>
      </c>
      <c r="U196" s="511" t="s">
        <v>114</v>
      </c>
      <c r="V196" s="541"/>
    </row>
    <row r="197" spans="1:22" ht="45" customHeight="1" x14ac:dyDescent="0.2">
      <c r="A197" s="619">
        <f>IF(B197="","",COUNT('Diário 5º PA'!$A$5:$A$2634)+COUNT('Diário 6º PA'!$A$5:$A$2246)+COUNT('Diário 7º PA'!$A$5:$A$2271)+ROW()-4)</f>
        <v>4143</v>
      </c>
      <c r="B197" s="620">
        <v>44476</v>
      </c>
      <c r="C197" s="621">
        <v>44470</v>
      </c>
      <c r="D197" s="548" t="s">
        <v>99</v>
      </c>
      <c r="E197" s="548" t="s">
        <v>272</v>
      </c>
      <c r="F197" s="622">
        <v>10.45</v>
      </c>
      <c r="G197" s="623" t="s">
        <v>5691</v>
      </c>
      <c r="H197" s="548" t="s">
        <v>118</v>
      </c>
      <c r="I197" s="583" t="s">
        <v>949</v>
      </c>
      <c r="J197" s="548" t="s">
        <v>950</v>
      </c>
      <c r="K197" s="583" t="s">
        <v>951</v>
      </c>
      <c r="L197" s="583" t="s">
        <v>947</v>
      </c>
      <c r="M197" s="625" t="s">
        <v>114</v>
      </c>
      <c r="N197" s="620">
        <v>44476</v>
      </c>
      <c r="O197" s="684" t="s">
        <v>67</v>
      </c>
      <c r="P197" s="503">
        <f t="shared" si="11"/>
        <v>10</v>
      </c>
      <c r="Q197" s="503">
        <f t="shared" si="12"/>
        <v>10</v>
      </c>
      <c r="R197" s="504" t="str">
        <f t="shared" si="13"/>
        <v>Gastos_Gerais</v>
      </c>
      <c r="S197" s="504" t="str">
        <f>IF(D197="","",IF(OR(D197=Plano!$A$1,D197=Plano!$B$1),"entrada","saída"))</f>
        <v>saída</v>
      </c>
      <c r="T197" s="511" t="s">
        <v>114</v>
      </c>
      <c r="U197" s="511" t="s">
        <v>114</v>
      </c>
      <c r="V197" s="541"/>
    </row>
    <row r="198" spans="1:22" ht="45" customHeight="1" x14ac:dyDescent="0.2">
      <c r="A198" s="619">
        <f>IF(B198="","",COUNT('Diário 5º PA'!$A$5:$A$2634)+COUNT('Diário 6º PA'!$A$5:$A$2246)+COUNT('Diário 7º PA'!$A$5:$A$2271)+ROW()-4)</f>
        <v>4144</v>
      </c>
      <c r="B198" s="620">
        <v>44476</v>
      </c>
      <c r="C198" s="621">
        <v>44470</v>
      </c>
      <c r="D198" s="548" t="s">
        <v>99</v>
      </c>
      <c r="E198" s="548" t="s">
        <v>272</v>
      </c>
      <c r="F198" s="622">
        <v>10.45</v>
      </c>
      <c r="G198" s="623" t="s">
        <v>5692</v>
      </c>
      <c r="H198" s="548" t="s">
        <v>131</v>
      </c>
      <c r="I198" s="583" t="s">
        <v>949</v>
      </c>
      <c r="J198" s="548" t="s">
        <v>950</v>
      </c>
      <c r="K198" s="583" t="s">
        <v>951</v>
      </c>
      <c r="L198" s="583" t="s">
        <v>947</v>
      </c>
      <c r="M198" s="625" t="s">
        <v>114</v>
      </c>
      <c r="N198" s="620">
        <v>44476</v>
      </c>
      <c r="O198" s="684" t="s">
        <v>67</v>
      </c>
      <c r="P198" s="503">
        <f t="shared" si="11"/>
        <v>10</v>
      </c>
      <c r="Q198" s="503">
        <f t="shared" si="12"/>
        <v>10</v>
      </c>
      <c r="R198" s="504" t="str">
        <f t="shared" si="13"/>
        <v>Gastos_Gerais</v>
      </c>
      <c r="S198" s="504" t="str">
        <f>IF(D198="","",IF(OR(D198=Plano!$A$1,D198=Plano!$B$1),"entrada","saída"))</f>
        <v>saída</v>
      </c>
      <c r="T198" s="511" t="s">
        <v>114</v>
      </c>
      <c r="U198" s="511" t="s">
        <v>114</v>
      </c>
      <c r="V198" s="541"/>
    </row>
    <row r="199" spans="1:22" ht="45" customHeight="1" x14ac:dyDescent="0.2">
      <c r="A199" s="619">
        <f>IF(B199="","",COUNT('Diário 5º PA'!$A$5:$A$2634)+COUNT('Diário 6º PA'!$A$5:$A$2246)+COUNT('Diário 7º PA'!$A$5:$A$2271)+ROW()-4)</f>
        <v>4145</v>
      </c>
      <c r="B199" s="620">
        <v>44476</v>
      </c>
      <c r="C199" s="621">
        <v>44470</v>
      </c>
      <c r="D199" s="548" t="s">
        <v>99</v>
      </c>
      <c r="E199" s="548" t="s">
        <v>272</v>
      </c>
      <c r="F199" s="622">
        <v>10.45</v>
      </c>
      <c r="G199" s="623" t="s">
        <v>5693</v>
      </c>
      <c r="H199" s="548" t="s">
        <v>126</v>
      </c>
      <c r="I199" s="583" t="s">
        <v>949</v>
      </c>
      <c r="J199" s="548" t="s">
        <v>950</v>
      </c>
      <c r="K199" s="583" t="s">
        <v>951</v>
      </c>
      <c r="L199" s="583" t="s">
        <v>947</v>
      </c>
      <c r="M199" s="625" t="s">
        <v>114</v>
      </c>
      <c r="N199" s="620">
        <v>44476</v>
      </c>
      <c r="O199" s="684" t="s">
        <v>67</v>
      </c>
      <c r="P199" s="503">
        <f t="shared" si="11"/>
        <v>10</v>
      </c>
      <c r="Q199" s="503">
        <f t="shared" si="12"/>
        <v>10</v>
      </c>
      <c r="R199" s="504" t="str">
        <f t="shared" si="13"/>
        <v>Gastos_Gerais</v>
      </c>
      <c r="S199" s="504" t="str">
        <f>IF(D199="","",IF(OR(D199=Plano!$A$1,D199=Plano!$B$1),"entrada","saída"))</f>
        <v>saída</v>
      </c>
      <c r="T199" s="511" t="s">
        <v>114</v>
      </c>
      <c r="U199" s="511" t="s">
        <v>114</v>
      </c>
      <c r="V199" s="541"/>
    </row>
    <row r="200" spans="1:22" s="518" customFormat="1" ht="56.25" customHeight="1" x14ac:dyDescent="0.2">
      <c r="A200" s="619">
        <f>IF(B200="","",COUNT('Diário 5º PA'!$A$5:$A$2634)+COUNT('Diário 6º PA'!$A$5:$A$2246)+COUNT('Diário 7º PA'!$A$5:$A$2271)+ROW()-4)</f>
        <v>4146</v>
      </c>
      <c r="B200" s="620">
        <v>44476</v>
      </c>
      <c r="C200" s="621">
        <v>44409</v>
      </c>
      <c r="D200" s="548" t="s">
        <v>104</v>
      </c>
      <c r="E200" s="548" t="s">
        <v>104</v>
      </c>
      <c r="F200" s="622">
        <v>840</v>
      </c>
      <c r="G200" s="623" t="s">
        <v>5966</v>
      </c>
      <c r="H200" s="548" t="s">
        <v>104</v>
      </c>
      <c r="I200" s="583" t="s">
        <v>5967</v>
      </c>
      <c r="J200" s="548" t="s">
        <v>5968</v>
      </c>
      <c r="K200" s="583" t="s">
        <v>1015</v>
      </c>
      <c r="L200" s="583" t="s">
        <v>1029</v>
      </c>
      <c r="M200" s="625">
        <v>1366</v>
      </c>
      <c r="N200" s="620">
        <v>44475</v>
      </c>
      <c r="O200" s="684" t="s">
        <v>71</v>
      </c>
      <c r="P200" s="503">
        <f t="shared" si="11"/>
        <v>10</v>
      </c>
      <c r="Q200" s="503">
        <f t="shared" si="12"/>
        <v>8</v>
      </c>
      <c r="R200" s="504" t="str">
        <f t="shared" si="13"/>
        <v>Gastos_custeados_por_captação</v>
      </c>
      <c r="S200" s="504" t="str">
        <f>IF(D200="","",IF(OR(D200=Plano!$A$1,D200=Plano!$B$1),"entrada","saída"))</f>
        <v>saída</v>
      </c>
      <c r="T200" s="511" t="s">
        <v>994</v>
      </c>
      <c r="U200" s="511">
        <v>1954</v>
      </c>
      <c r="V200" s="541"/>
    </row>
    <row r="201" spans="1:22" s="518" customFormat="1" ht="129.75" customHeight="1" x14ac:dyDescent="0.2">
      <c r="A201" s="619">
        <f>IF(B201="","",COUNT('Diário 5º PA'!$A$5:$A$2634)+COUNT('Diário 6º PA'!$A$5:$A$2246)+COUNT('Diário 7º PA'!$A$5:$A$2271)+ROW()-4)</f>
        <v>4147</v>
      </c>
      <c r="B201" s="620">
        <v>44476</v>
      </c>
      <c r="C201" s="624">
        <v>44440</v>
      </c>
      <c r="D201" s="548" t="s">
        <v>104</v>
      </c>
      <c r="E201" s="548" t="s">
        <v>104</v>
      </c>
      <c r="F201" s="622">
        <v>2500</v>
      </c>
      <c r="G201" s="623" t="s">
        <v>510</v>
      </c>
      <c r="H201" s="548" t="s">
        <v>104</v>
      </c>
      <c r="I201" s="583" t="s">
        <v>3260</v>
      </c>
      <c r="J201" s="548" t="s">
        <v>512</v>
      </c>
      <c r="K201" s="583" t="s">
        <v>1015</v>
      </c>
      <c r="L201" s="583" t="s">
        <v>992</v>
      </c>
      <c r="M201" s="619" t="s">
        <v>1211</v>
      </c>
      <c r="N201" s="620">
        <v>44473</v>
      </c>
      <c r="O201" s="684" t="s">
        <v>71</v>
      </c>
      <c r="P201" s="503">
        <f t="shared" si="11"/>
        <v>10</v>
      </c>
      <c r="Q201" s="503">
        <f t="shared" si="12"/>
        <v>9</v>
      </c>
      <c r="R201" s="504" t="str">
        <f t="shared" si="13"/>
        <v>Gastos_custeados_por_captação</v>
      </c>
      <c r="S201" s="504" t="str">
        <f>IF(D201="","",IF(OR(D201=Plano!$A$1,D201=Plano!$B$1),"entrada","saída"))</f>
        <v>saída</v>
      </c>
      <c r="T201" s="511" t="s">
        <v>1059</v>
      </c>
      <c r="U201" s="511">
        <v>1235</v>
      </c>
      <c r="V201" s="541"/>
    </row>
    <row r="202" spans="1:22" s="518" customFormat="1" ht="132.75" customHeight="1" x14ac:dyDescent="0.2">
      <c r="A202" s="619">
        <f>IF(B202="","",COUNT('Diário 5º PA'!$A$5:$A$2634)+COUNT('Diário 6º PA'!$A$5:$A$2246)+COUNT('Diário 7º PA'!$A$5:$A$2271)+ROW()-4)</f>
        <v>4148</v>
      </c>
      <c r="B202" s="620">
        <v>44476</v>
      </c>
      <c r="C202" s="624">
        <v>44440</v>
      </c>
      <c r="D202" s="548" t="s">
        <v>104</v>
      </c>
      <c r="E202" s="548" t="s">
        <v>104</v>
      </c>
      <c r="F202" s="622">
        <v>5500</v>
      </c>
      <c r="G202" s="623" t="s">
        <v>637</v>
      </c>
      <c r="H202" s="548" t="s">
        <v>104</v>
      </c>
      <c r="I202" s="583" t="s">
        <v>3175</v>
      </c>
      <c r="J202" s="548" t="s">
        <v>639</v>
      </c>
      <c r="K202" s="583" t="s">
        <v>1015</v>
      </c>
      <c r="L202" s="583" t="s">
        <v>992</v>
      </c>
      <c r="M202" s="625">
        <v>15</v>
      </c>
      <c r="N202" s="620">
        <v>44474</v>
      </c>
      <c r="O202" s="684" t="s">
        <v>71</v>
      </c>
      <c r="P202" s="503">
        <f t="shared" si="11"/>
        <v>10</v>
      </c>
      <c r="Q202" s="503">
        <f t="shared" si="12"/>
        <v>9</v>
      </c>
      <c r="R202" s="504" t="str">
        <f t="shared" si="13"/>
        <v>Gastos_custeados_por_captação</v>
      </c>
      <c r="S202" s="504" t="str">
        <f>IF(D202="","",IF(OR(D202=Plano!$A$1,D202=Plano!$B$1),"entrada","saída"))</f>
        <v>saída</v>
      </c>
      <c r="T202" s="511" t="s">
        <v>1082</v>
      </c>
      <c r="U202" s="511">
        <v>1473</v>
      </c>
      <c r="V202" s="541"/>
    </row>
    <row r="203" spans="1:22" s="518" customFormat="1" ht="45" customHeight="1" x14ac:dyDescent="0.2">
      <c r="A203" s="619">
        <f>IF(B203="","",COUNT('Diário 5º PA'!$A$5:$A$2634)+COUNT('Diário 6º PA'!$A$5:$A$2246)+COUNT('Diário 7º PA'!$A$5:$A$2271)+ROW()-4)</f>
        <v>4149</v>
      </c>
      <c r="B203" s="620">
        <v>44476</v>
      </c>
      <c r="C203" s="621">
        <v>44470</v>
      </c>
      <c r="D203" s="548" t="s">
        <v>104</v>
      </c>
      <c r="E203" s="548" t="s">
        <v>104</v>
      </c>
      <c r="F203" s="622">
        <v>10.45</v>
      </c>
      <c r="G203" s="623" t="s">
        <v>5451</v>
      </c>
      <c r="H203" s="548" t="s">
        <v>104</v>
      </c>
      <c r="I203" s="583" t="s">
        <v>949</v>
      </c>
      <c r="J203" s="548" t="s">
        <v>950</v>
      </c>
      <c r="K203" s="583" t="s">
        <v>951</v>
      </c>
      <c r="L203" s="583" t="s">
        <v>947</v>
      </c>
      <c r="M203" s="625" t="s">
        <v>114</v>
      </c>
      <c r="N203" s="620">
        <v>44476</v>
      </c>
      <c r="O203" s="684" t="s">
        <v>71</v>
      </c>
      <c r="P203" s="503">
        <f t="shared" si="11"/>
        <v>10</v>
      </c>
      <c r="Q203" s="503">
        <f t="shared" si="12"/>
        <v>10</v>
      </c>
      <c r="R203" s="504" t="str">
        <f t="shared" si="13"/>
        <v>Gastos_custeados_por_captação</v>
      </c>
      <c r="S203" s="504" t="str">
        <f>IF(D203="","",IF(OR(D203=Plano!$A$1,D203=Plano!$B$1),"entrada","saída"))</f>
        <v>saída</v>
      </c>
      <c r="T203" s="511" t="s">
        <v>114</v>
      </c>
      <c r="U203" s="511" t="s">
        <v>114</v>
      </c>
      <c r="V203" s="541"/>
    </row>
    <row r="204" spans="1:22" s="518" customFormat="1" ht="45" customHeight="1" x14ac:dyDescent="0.2">
      <c r="A204" s="619">
        <f>IF(B204="","",COUNT('Diário 5º PA'!$A$5:$A$2634)+COUNT('Diário 6º PA'!$A$5:$A$2246)+COUNT('Diário 7º PA'!$A$5:$A$2271)+ROW()-4)</f>
        <v>4150</v>
      </c>
      <c r="B204" s="620">
        <v>44476</v>
      </c>
      <c r="C204" s="621">
        <v>44470</v>
      </c>
      <c r="D204" s="548" t="s">
        <v>104</v>
      </c>
      <c r="E204" s="548" t="s">
        <v>104</v>
      </c>
      <c r="F204" s="622">
        <v>10.45</v>
      </c>
      <c r="G204" s="623" t="s">
        <v>5451</v>
      </c>
      <c r="H204" s="548" t="s">
        <v>104</v>
      </c>
      <c r="I204" s="583" t="s">
        <v>949</v>
      </c>
      <c r="J204" s="548" t="s">
        <v>950</v>
      </c>
      <c r="K204" s="583" t="s">
        <v>951</v>
      </c>
      <c r="L204" s="583" t="s">
        <v>947</v>
      </c>
      <c r="M204" s="625" t="s">
        <v>114</v>
      </c>
      <c r="N204" s="620">
        <v>44476</v>
      </c>
      <c r="O204" s="684" t="s">
        <v>71</v>
      </c>
      <c r="P204" s="503">
        <f t="shared" si="11"/>
        <v>10</v>
      </c>
      <c r="Q204" s="503">
        <f t="shared" si="12"/>
        <v>10</v>
      </c>
      <c r="R204" s="504" t="str">
        <f t="shared" si="13"/>
        <v>Gastos_custeados_por_captação</v>
      </c>
      <c r="S204" s="504" t="str">
        <f>IF(D204="","",IF(OR(D204=Plano!$A$1,D204=Plano!$B$1),"entrada","saída"))</f>
        <v>saída</v>
      </c>
      <c r="T204" s="511" t="s">
        <v>114</v>
      </c>
      <c r="U204" s="511" t="s">
        <v>114</v>
      </c>
      <c r="V204" s="541"/>
    </row>
    <row r="205" spans="1:22" s="540" customFormat="1" ht="91.5" customHeight="1" x14ac:dyDescent="0.2">
      <c r="A205" s="619">
        <f>IF(B205="","",COUNT('Diário 5º PA'!$A$5:$A$2634)+COUNT('Diário 6º PA'!$A$5:$A$2246)+COUNT('Diário 7º PA'!$A$5:$A$2271)+ROW()-4)</f>
        <v>4151</v>
      </c>
      <c r="B205" s="620">
        <v>44476</v>
      </c>
      <c r="C205" s="624">
        <v>44440</v>
      </c>
      <c r="D205" s="548" t="s">
        <v>104</v>
      </c>
      <c r="E205" s="548" t="s">
        <v>104</v>
      </c>
      <c r="F205" s="622">
        <v>3325</v>
      </c>
      <c r="G205" s="623" t="s">
        <v>564</v>
      </c>
      <c r="H205" s="548" t="s">
        <v>104</v>
      </c>
      <c r="I205" s="583" t="s">
        <v>1740</v>
      </c>
      <c r="J205" s="548" t="s">
        <v>567</v>
      </c>
      <c r="K205" s="583" t="s">
        <v>991</v>
      </c>
      <c r="L205" s="583" t="s">
        <v>992</v>
      </c>
      <c r="M205" s="619" t="s">
        <v>1407</v>
      </c>
      <c r="N205" s="620">
        <v>44475</v>
      </c>
      <c r="O205" s="684" t="s">
        <v>5370</v>
      </c>
      <c r="P205" s="503">
        <f t="shared" si="11"/>
        <v>10</v>
      </c>
      <c r="Q205" s="503">
        <f t="shared" si="12"/>
        <v>9</v>
      </c>
      <c r="R205" s="504" t="str">
        <f t="shared" si="13"/>
        <v>Gastos_custeados_por_captação</v>
      </c>
      <c r="S205" s="504" t="str">
        <f>IF(D205="","",IF(OR(D205=Plano!$A$1,D205=Plano!$B$1),"entrada","saída"))</f>
        <v>saída</v>
      </c>
      <c r="T205" s="511" t="s">
        <v>1059</v>
      </c>
      <c r="U205" s="511">
        <v>1279</v>
      </c>
      <c r="V205" s="541"/>
    </row>
    <row r="206" spans="1:22" s="540" customFormat="1" ht="69.75" customHeight="1" x14ac:dyDescent="0.2">
      <c r="A206" s="619">
        <f>IF(B206="","",COUNT('Diário 5º PA'!$A$5:$A$2634)+COUNT('Diário 6º PA'!$A$5:$A$2246)+COUNT('Diário 7º PA'!$A$5:$A$2271)+ROW()-4)</f>
        <v>4152</v>
      </c>
      <c r="B206" s="620">
        <v>44476</v>
      </c>
      <c r="C206" s="624">
        <v>44440</v>
      </c>
      <c r="D206" s="548" t="s">
        <v>104</v>
      </c>
      <c r="E206" s="548" t="s">
        <v>104</v>
      </c>
      <c r="F206" s="622">
        <v>2850</v>
      </c>
      <c r="G206" s="623" t="s">
        <v>564</v>
      </c>
      <c r="H206" s="548" t="s">
        <v>104</v>
      </c>
      <c r="I206" s="583" t="s">
        <v>1332</v>
      </c>
      <c r="J206" s="548" t="s">
        <v>565</v>
      </c>
      <c r="K206" s="583" t="s">
        <v>991</v>
      </c>
      <c r="L206" s="583" t="s">
        <v>992</v>
      </c>
      <c r="M206" s="619" t="s">
        <v>1600</v>
      </c>
      <c r="N206" s="620">
        <v>44475</v>
      </c>
      <c r="O206" s="684" t="s">
        <v>5370</v>
      </c>
      <c r="P206" s="503">
        <f t="shared" si="11"/>
        <v>10</v>
      </c>
      <c r="Q206" s="503">
        <f t="shared" si="12"/>
        <v>9</v>
      </c>
      <c r="R206" s="504" t="str">
        <f t="shared" si="13"/>
        <v>Gastos_custeados_por_captação</v>
      </c>
      <c r="S206" s="504" t="str">
        <f>IF(D206="","",IF(OR(D206=Plano!$A$1,D206=Plano!$B$1),"entrada","saída"))</f>
        <v>saída</v>
      </c>
      <c r="T206" s="511" t="s">
        <v>1082</v>
      </c>
      <c r="U206" s="511">
        <v>1280</v>
      </c>
      <c r="V206" s="541"/>
    </row>
    <row r="207" spans="1:22" s="540" customFormat="1" ht="264.75" customHeight="1" x14ac:dyDescent="0.2">
      <c r="A207" s="619">
        <f>IF(B207="","",COUNT('Diário 5º PA'!$A$5:$A$2634)+COUNT('Diário 6º PA'!$A$5:$A$2246)+COUNT('Diário 7º PA'!$A$5:$A$2271)+ROW()-4)</f>
        <v>4153</v>
      </c>
      <c r="B207" s="620">
        <v>44476</v>
      </c>
      <c r="C207" s="624">
        <v>44440</v>
      </c>
      <c r="D207" s="548" t="s">
        <v>104</v>
      </c>
      <c r="E207" s="548" t="s">
        <v>104</v>
      </c>
      <c r="F207" s="622">
        <v>2253.77</v>
      </c>
      <c r="G207" s="623" t="s">
        <v>592</v>
      </c>
      <c r="H207" s="548" t="s">
        <v>104</v>
      </c>
      <c r="I207" s="583" t="s">
        <v>1298</v>
      </c>
      <c r="J207" s="548" t="s">
        <v>590</v>
      </c>
      <c r="K207" s="583" t="s">
        <v>991</v>
      </c>
      <c r="L207" s="583" t="s">
        <v>992</v>
      </c>
      <c r="M207" s="619" t="s">
        <v>1296</v>
      </c>
      <c r="N207" s="620">
        <v>44475</v>
      </c>
      <c r="O207" s="684" t="s">
        <v>5370</v>
      </c>
      <c r="P207" s="503">
        <f t="shared" si="11"/>
        <v>10</v>
      </c>
      <c r="Q207" s="503">
        <f t="shared" si="12"/>
        <v>9</v>
      </c>
      <c r="R207" s="504" t="str">
        <f t="shared" si="13"/>
        <v>Gastos_custeados_por_captação</v>
      </c>
      <c r="S207" s="504" t="str">
        <f>IF(D207="","",IF(OR(D207=Plano!$A$1,D207=Plano!$B$1),"entrada","saída"))</f>
        <v>saída</v>
      </c>
      <c r="T207" s="511" t="s">
        <v>1082</v>
      </c>
      <c r="U207" s="511">
        <v>1434</v>
      </c>
      <c r="V207" s="541"/>
    </row>
    <row r="208" spans="1:22" s="540" customFormat="1" ht="45" customHeight="1" x14ac:dyDescent="0.2">
      <c r="A208" s="619">
        <f>IF(B208="","",COUNT('Diário 5º PA'!$A$5:$A$2634)+COUNT('Diário 6º PA'!$A$5:$A$2246)+COUNT('Diário 7º PA'!$A$5:$A$2271)+ROW()-4)</f>
        <v>4154</v>
      </c>
      <c r="B208" s="620">
        <v>44476</v>
      </c>
      <c r="C208" s="621">
        <v>44470</v>
      </c>
      <c r="D208" s="548" t="s">
        <v>104</v>
      </c>
      <c r="E208" s="548" t="s">
        <v>104</v>
      </c>
      <c r="F208" s="622">
        <v>10.45</v>
      </c>
      <c r="G208" s="623" t="s">
        <v>5451</v>
      </c>
      <c r="H208" s="548" t="s">
        <v>104</v>
      </c>
      <c r="I208" s="583" t="s">
        <v>949</v>
      </c>
      <c r="J208" s="548" t="s">
        <v>950</v>
      </c>
      <c r="K208" s="583" t="s">
        <v>951</v>
      </c>
      <c r="L208" s="583" t="s">
        <v>947</v>
      </c>
      <c r="M208" s="625" t="s">
        <v>114</v>
      </c>
      <c r="N208" s="620">
        <v>44476</v>
      </c>
      <c r="O208" s="684" t="s">
        <v>5370</v>
      </c>
      <c r="P208" s="503">
        <f t="shared" si="11"/>
        <v>10</v>
      </c>
      <c r="Q208" s="503">
        <f t="shared" si="12"/>
        <v>10</v>
      </c>
      <c r="R208" s="504" t="str">
        <f t="shared" si="13"/>
        <v>Gastos_custeados_por_captação</v>
      </c>
      <c r="S208" s="504" t="str">
        <f>IF(D208="","",IF(OR(D208=Plano!$A$1,D208=Plano!$B$1),"entrada","saída"))</f>
        <v>saída</v>
      </c>
      <c r="T208" s="511" t="s">
        <v>114</v>
      </c>
      <c r="U208" s="511" t="s">
        <v>114</v>
      </c>
      <c r="V208" s="541"/>
    </row>
    <row r="209" spans="1:22" s="540" customFormat="1" ht="45" customHeight="1" x14ac:dyDescent="0.2">
      <c r="A209" s="619">
        <f>IF(B209="","",COUNT('Diário 5º PA'!$A$5:$A$2634)+COUNT('Diário 6º PA'!$A$5:$A$2246)+COUNT('Diário 7º PA'!$A$5:$A$2271)+ROW()-4)</f>
        <v>4155</v>
      </c>
      <c r="B209" s="620">
        <v>44476</v>
      </c>
      <c r="C209" s="621">
        <v>44470</v>
      </c>
      <c r="D209" s="548" t="s">
        <v>104</v>
      </c>
      <c r="E209" s="548" t="s">
        <v>104</v>
      </c>
      <c r="F209" s="622">
        <v>10.45</v>
      </c>
      <c r="G209" s="623" t="s">
        <v>5451</v>
      </c>
      <c r="H209" s="548" t="s">
        <v>104</v>
      </c>
      <c r="I209" s="583" t="s">
        <v>949</v>
      </c>
      <c r="J209" s="548" t="s">
        <v>950</v>
      </c>
      <c r="K209" s="583" t="s">
        <v>951</v>
      </c>
      <c r="L209" s="583" t="s">
        <v>947</v>
      </c>
      <c r="M209" s="625" t="s">
        <v>114</v>
      </c>
      <c r="N209" s="620">
        <v>44476</v>
      </c>
      <c r="O209" s="684" t="s">
        <v>5370</v>
      </c>
      <c r="P209" s="503">
        <f t="shared" si="11"/>
        <v>10</v>
      </c>
      <c r="Q209" s="503">
        <f t="shared" si="12"/>
        <v>10</v>
      </c>
      <c r="R209" s="504" t="str">
        <f t="shared" si="13"/>
        <v>Gastos_custeados_por_captação</v>
      </c>
      <c r="S209" s="504" t="str">
        <f>IF(D209="","",IF(OR(D209=Plano!$A$1,D209=Plano!$B$1),"entrada","saída"))</f>
        <v>saída</v>
      </c>
      <c r="T209" s="511" t="s">
        <v>114</v>
      </c>
      <c r="U209" s="511" t="s">
        <v>114</v>
      </c>
      <c r="V209" s="541"/>
    </row>
    <row r="210" spans="1:22" s="540" customFormat="1" ht="45" customHeight="1" x14ac:dyDescent="0.2">
      <c r="A210" s="619">
        <f>IF(B210="","",COUNT('Diário 5º PA'!$A$5:$A$2634)+COUNT('Diário 6º PA'!$A$5:$A$2246)+COUNT('Diário 7º PA'!$A$5:$A$2271)+ROW()-4)</f>
        <v>4156</v>
      </c>
      <c r="B210" s="620">
        <v>44476</v>
      </c>
      <c r="C210" s="621">
        <v>44470</v>
      </c>
      <c r="D210" s="548" t="s">
        <v>104</v>
      </c>
      <c r="E210" s="548" t="s">
        <v>104</v>
      </c>
      <c r="F210" s="622">
        <v>10.45</v>
      </c>
      <c r="G210" s="623" t="s">
        <v>5451</v>
      </c>
      <c r="H210" s="548" t="s">
        <v>104</v>
      </c>
      <c r="I210" s="583" t="s">
        <v>949</v>
      </c>
      <c r="J210" s="548" t="s">
        <v>950</v>
      </c>
      <c r="K210" s="583" t="s">
        <v>951</v>
      </c>
      <c r="L210" s="583" t="s">
        <v>947</v>
      </c>
      <c r="M210" s="625" t="s">
        <v>114</v>
      </c>
      <c r="N210" s="620">
        <v>44476</v>
      </c>
      <c r="O210" s="684" t="s">
        <v>5370</v>
      </c>
      <c r="P210" s="503">
        <f t="shared" si="11"/>
        <v>10</v>
      </c>
      <c r="Q210" s="503">
        <f t="shared" si="12"/>
        <v>10</v>
      </c>
      <c r="R210" s="504" t="str">
        <f t="shared" si="13"/>
        <v>Gastos_custeados_por_captação</v>
      </c>
      <c r="S210" s="504" t="str">
        <f>IF(D210="","",IF(OR(D210=Plano!$A$1,D210=Plano!$B$1),"entrada","saída"))</f>
        <v>saída</v>
      </c>
      <c r="T210" s="511" t="s">
        <v>114</v>
      </c>
      <c r="U210" s="511" t="s">
        <v>114</v>
      </c>
      <c r="V210" s="541"/>
    </row>
    <row r="211" spans="1:22" s="540" customFormat="1" ht="45" customHeight="1" x14ac:dyDescent="0.2">
      <c r="A211" s="619">
        <f>IF(B211="","",COUNT('Diário 5º PA'!$A$5:$A$2634)+COUNT('Diário 6º PA'!$A$5:$A$2246)+COUNT('Diário 7º PA'!$A$5:$A$2271)+ROW()-4)</f>
        <v>4157</v>
      </c>
      <c r="B211" s="620">
        <v>44476</v>
      </c>
      <c r="C211" s="621">
        <v>44470</v>
      </c>
      <c r="D211" s="548" t="s">
        <v>104</v>
      </c>
      <c r="E211" s="548" t="s">
        <v>104</v>
      </c>
      <c r="F211" s="622">
        <v>10.45</v>
      </c>
      <c r="G211" s="623" t="s">
        <v>5451</v>
      </c>
      <c r="H211" s="548" t="s">
        <v>104</v>
      </c>
      <c r="I211" s="583" t="s">
        <v>949</v>
      </c>
      <c r="J211" s="548" t="s">
        <v>950</v>
      </c>
      <c r="K211" s="583" t="s">
        <v>951</v>
      </c>
      <c r="L211" s="583" t="s">
        <v>947</v>
      </c>
      <c r="M211" s="625" t="s">
        <v>114</v>
      </c>
      <c r="N211" s="620">
        <v>44476</v>
      </c>
      <c r="O211" s="684" t="s">
        <v>5370</v>
      </c>
      <c r="P211" s="503">
        <f t="shared" si="11"/>
        <v>10</v>
      </c>
      <c r="Q211" s="503">
        <f t="shared" si="12"/>
        <v>10</v>
      </c>
      <c r="R211" s="504" t="str">
        <f t="shared" si="13"/>
        <v>Gastos_custeados_por_captação</v>
      </c>
      <c r="S211" s="504" t="str">
        <f>IF(D211="","",IF(OR(D211=Plano!$A$1,D211=Plano!$B$1),"entrada","saída"))</f>
        <v>saída</v>
      </c>
      <c r="T211" s="511" t="s">
        <v>114</v>
      </c>
      <c r="U211" s="511" t="s">
        <v>114</v>
      </c>
      <c r="V211" s="541"/>
    </row>
    <row r="212" spans="1:22" s="543" customFormat="1" ht="45" customHeight="1" x14ac:dyDescent="0.2">
      <c r="A212" s="619">
        <f>IF(B212="","",COUNT('Diário 5º PA'!$A$5:$A$2634)+COUNT('Diário 6º PA'!$A$5:$A$2246)+COUNT('Diário 7º PA'!$A$5:$A$2271)+ROW()-4)</f>
        <v>4158</v>
      </c>
      <c r="B212" s="620">
        <v>44476</v>
      </c>
      <c r="C212" s="628">
        <v>44470</v>
      </c>
      <c r="D212" s="548" t="s">
        <v>77</v>
      </c>
      <c r="E212" s="548" t="s">
        <v>147</v>
      </c>
      <c r="F212" s="622">
        <v>134000</v>
      </c>
      <c r="G212" s="623" t="s">
        <v>6914</v>
      </c>
      <c r="H212" s="548" t="s">
        <v>114</v>
      </c>
      <c r="I212" s="583" t="s">
        <v>983</v>
      </c>
      <c r="J212" s="548" t="s">
        <v>850</v>
      </c>
      <c r="K212" s="583" t="s">
        <v>1015</v>
      </c>
      <c r="L212" s="583" t="s">
        <v>1177</v>
      </c>
      <c r="M212" s="619" t="s">
        <v>114</v>
      </c>
      <c r="N212" s="620">
        <v>44476</v>
      </c>
      <c r="O212" s="684" t="s">
        <v>5377</v>
      </c>
      <c r="P212" s="503">
        <f t="shared" si="11"/>
        <v>10</v>
      </c>
      <c r="Q212" s="503">
        <f t="shared" si="12"/>
        <v>10</v>
      </c>
      <c r="R212" s="504" t="str">
        <f t="shared" si="13"/>
        <v>Receitas</v>
      </c>
      <c r="S212" s="504" t="str">
        <f>IF(D212="","",IF(OR(D212=Plano!$A$1,D212=Plano!$B$1),"entrada","saída"))</f>
        <v>entrada</v>
      </c>
      <c r="T212" s="511" t="s">
        <v>114</v>
      </c>
      <c r="U212" s="511" t="s">
        <v>114</v>
      </c>
      <c r="V212" s="541"/>
    </row>
    <row r="213" spans="1:22" s="544" customFormat="1" ht="45" customHeight="1" x14ac:dyDescent="0.2">
      <c r="A213" s="619">
        <f>IF(B213="","",COUNT('Diário 5º PA'!$A$5:$A$2634)+COUNT('Diário 6º PA'!$A$5:$A$2246)+COUNT('Diário 7º PA'!$A$5:$A$2271)+ROW()-4)</f>
        <v>4159</v>
      </c>
      <c r="B213" s="620">
        <v>44476</v>
      </c>
      <c r="C213" s="621">
        <v>44470</v>
      </c>
      <c r="D213" s="548" t="s">
        <v>104</v>
      </c>
      <c r="E213" s="548" t="s">
        <v>104</v>
      </c>
      <c r="F213" s="622">
        <v>6500</v>
      </c>
      <c r="G213" s="623" t="s">
        <v>6926</v>
      </c>
      <c r="H213" s="548" t="s">
        <v>104</v>
      </c>
      <c r="I213" s="583" t="s">
        <v>6927</v>
      </c>
      <c r="J213" s="548" t="s">
        <v>6928</v>
      </c>
      <c r="K213" s="583" t="s">
        <v>1015</v>
      </c>
      <c r="L213" s="583" t="s">
        <v>992</v>
      </c>
      <c r="M213" s="619">
        <v>729</v>
      </c>
      <c r="N213" s="620">
        <v>44474</v>
      </c>
      <c r="O213" s="684" t="s">
        <v>5505</v>
      </c>
      <c r="P213" s="503">
        <f t="shared" si="11"/>
        <v>10</v>
      </c>
      <c r="Q213" s="503">
        <f t="shared" si="12"/>
        <v>10</v>
      </c>
      <c r="R213" s="504" t="str">
        <f t="shared" si="13"/>
        <v>Gastos_custeados_por_captação</v>
      </c>
      <c r="S213" s="504" t="str">
        <f>IF(D213="","",IF(OR(D213=Plano!$A$1,D213=Plano!$B$1),"entrada","saída"))</f>
        <v>saída</v>
      </c>
      <c r="T213" s="511" t="s">
        <v>1082</v>
      </c>
      <c r="U213" s="511">
        <v>1785</v>
      </c>
      <c r="V213" s="541"/>
    </row>
    <row r="214" spans="1:22" ht="149.25" customHeight="1" x14ac:dyDescent="0.2">
      <c r="A214" s="619">
        <f>IF(B214="","",COUNT('Diário 5º PA'!$A$5:$A$2634)+COUNT('Diário 6º PA'!$A$5:$A$2246)+COUNT('Diário 7º PA'!$A$5:$A$2271)+ROW()-4)</f>
        <v>4160</v>
      </c>
      <c r="B214" s="620">
        <v>44477</v>
      </c>
      <c r="C214" s="624">
        <v>44440</v>
      </c>
      <c r="D214" s="548" t="s">
        <v>99</v>
      </c>
      <c r="E214" s="548" t="s">
        <v>358</v>
      </c>
      <c r="F214" s="622">
        <v>1068</v>
      </c>
      <c r="G214" s="623" t="s">
        <v>808</v>
      </c>
      <c r="H214" s="548" t="s">
        <v>122</v>
      </c>
      <c r="I214" s="583" t="s">
        <v>1073</v>
      </c>
      <c r="J214" s="548" t="s">
        <v>809</v>
      </c>
      <c r="K214" s="583" t="s">
        <v>1015</v>
      </c>
      <c r="L214" s="583" t="s">
        <v>1029</v>
      </c>
      <c r="M214" s="619">
        <v>1374</v>
      </c>
      <c r="N214" s="620">
        <v>44477</v>
      </c>
      <c r="O214" s="684" t="s">
        <v>67</v>
      </c>
      <c r="P214" s="503">
        <f t="shared" si="11"/>
        <v>10</v>
      </c>
      <c r="Q214" s="503">
        <f t="shared" si="12"/>
        <v>9</v>
      </c>
      <c r="R214" s="504" t="str">
        <f t="shared" si="13"/>
        <v>Gastos_Gerais</v>
      </c>
      <c r="S214" s="504" t="str">
        <f>IF(D214="","",IF(OR(D214=Plano!$A$1,D214=Plano!$B$1),"entrada","saída"))</f>
        <v>saída</v>
      </c>
      <c r="T214" s="505" t="s">
        <v>994</v>
      </c>
      <c r="U214" s="505">
        <v>1969</v>
      </c>
      <c r="V214" s="541"/>
    </row>
    <row r="215" spans="1:22" ht="45" customHeight="1" x14ac:dyDescent="0.2">
      <c r="A215" s="619">
        <f>IF(B215="","",COUNT('Diário 5º PA'!$A$5:$A$2634)+COUNT('Diário 6º PA'!$A$5:$A$2246)+COUNT('Diário 7º PA'!$A$5:$A$2271)+ROW()-4)</f>
        <v>4161</v>
      </c>
      <c r="B215" s="620">
        <v>44477</v>
      </c>
      <c r="C215" s="624">
        <v>44409</v>
      </c>
      <c r="D215" s="548" t="s">
        <v>99</v>
      </c>
      <c r="E215" s="548" t="s">
        <v>336</v>
      </c>
      <c r="F215" s="622">
        <v>169.86</v>
      </c>
      <c r="G215" s="623" t="s">
        <v>890</v>
      </c>
      <c r="H215" s="548" t="s">
        <v>116</v>
      </c>
      <c r="I215" s="583" t="s">
        <v>465</v>
      </c>
      <c r="J215" s="548" t="s">
        <v>114</v>
      </c>
      <c r="K215" s="583" t="s">
        <v>466</v>
      </c>
      <c r="L215" s="583" t="s">
        <v>467</v>
      </c>
      <c r="M215" s="619">
        <v>3036</v>
      </c>
      <c r="N215" s="620">
        <v>44477</v>
      </c>
      <c r="O215" s="684" t="s">
        <v>67</v>
      </c>
      <c r="P215" s="503">
        <f t="shared" si="11"/>
        <v>10</v>
      </c>
      <c r="Q215" s="503">
        <f t="shared" si="12"/>
        <v>8</v>
      </c>
      <c r="R215" s="504" t="str">
        <f t="shared" si="13"/>
        <v>Gastos_Gerais</v>
      </c>
      <c r="S215" s="504" t="str">
        <f>IF(D215="","",IF(OR(D215=Plano!$A$1,D215=Plano!$B$1),"entrada","saída"))</f>
        <v>saída</v>
      </c>
      <c r="T215" s="505" t="s">
        <v>114</v>
      </c>
      <c r="U215" s="505" t="s">
        <v>114</v>
      </c>
      <c r="V215" s="541"/>
    </row>
    <row r="216" spans="1:22" ht="45" customHeight="1" x14ac:dyDescent="0.2">
      <c r="A216" s="619">
        <f>IF(B216="","",COUNT('Diário 5º PA'!$A$5:$A$2634)+COUNT('Diário 6º PA'!$A$5:$A$2246)+COUNT('Diário 7º PA'!$A$5:$A$2271)+ROW()-4)</f>
        <v>4162</v>
      </c>
      <c r="B216" s="620">
        <v>44477</v>
      </c>
      <c r="C216" s="624">
        <v>44409</v>
      </c>
      <c r="D216" s="548" t="s">
        <v>99</v>
      </c>
      <c r="E216" s="548" t="s">
        <v>364</v>
      </c>
      <c r="F216" s="622">
        <v>60</v>
      </c>
      <c r="G216" s="623" t="s">
        <v>5702</v>
      </c>
      <c r="H216" s="548" t="s">
        <v>131</v>
      </c>
      <c r="I216" s="583" t="s">
        <v>465</v>
      </c>
      <c r="J216" s="548" t="s">
        <v>114</v>
      </c>
      <c r="K216" s="583" t="s">
        <v>466</v>
      </c>
      <c r="L216" s="583" t="s">
        <v>467</v>
      </c>
      <c r="M216" s="619">
        <v>3037</v>
      </c>
      <c r="N216" s="620">
        <v>44477</v>
      </c>
      <c r="O216" s="684" t="s">
        <v>67</v>
      </c>
      <c r="P216" s="503">
        <f t="shared" si="11"/>
        <v>10</v>
      </c>
      <c r="Q216" s="503">
        <f t="shared" si="12"/>
        <v>8</v>
      </c>
      <c r="R216" s="504" t="str">
        <f t="shared" si="13"/>
        <v>Gastos_Gerais</v>
      </c>
      <c r="S216" s="504" t="str">
        <f>IF(D216="","",IF(OR(D216=Plano!$A$1,D216=Plano!$B$1),"entrada","saída"))</f>
        <v>saída</v>
      </c>
      <c r="T216" s="505" t="s">
        <v>114</v>
      </c>
      <c r="U216" s="505" t="s">
        <v>114</v>
      </c>
      <c r="V216" s="541"/>
    </row>
    <row r="217" spans="1:22" ht="45" customHeight="1" x14ac:dyDescent="0.2">
      <c r="A217" s="619">
        <f>IF(B217="","",COUNT('Diário 5º PA'!$A$5:$A$2634)+COUNT('Diário 6º PA'!$A$5:$A$2246)+COUNT('Diário 7º PA'!$A$5:$A$2271)+ROW()-4)</f>
        <v>4163</v>
      </c>
      <c r="B217" s="620">
        <v>44477</v>
      </c>
      <c r="C217" s="624">
        <v>44287</v>
      </c>
      <c r="D217" s="548" t="s">
        <v>99</v>
      </c>
      <c r="E217" s="548" t="s">
        <v>364</v>
      </c>
      <c r="F217" s="622">
        <v>90</v>
      </c>
      <c r="G217" s="623" t="s">
        <v>640</v>
      </c>
      <c r="H217" s="548" t="s">
        <v>125</v>
      </c>
      <c r="I217" s="583" t="s">
        <v>465</v>
      </c>
      <c r="J217" s="548" t="s">
        <v>114</v>
      </c>
      <c r="K217" s="583" t="s">
        <v>466</v>
      </c>
      <c r="L217" s="583" t="s">
        <v>467</v>
      </c>
      <c r="M217" s="619">
        <v>3038</v>
      </c>
      <c r="N217" s="620">
        <v>44477</v>
      </c>
      <c r="O217" s="684" t="s">
        <v>67</v>
      </c>
      <c r="P217" s="503">
        <f t="shared" si="11"/>
        <v>10</v>
      </c>
      <c r="Q217" s="503">
        <f t="shared" si="12"/>
        <v>4</v>
      </c>
      <c r="R217" s="504" t="str">
        <f t="shared" si="13"/>
        <v>Gastos_Gerais</v>
      </c>
      <c r="S217" s="504" t="str">
        <f>IF(D217="","",IF(OR(D217=Plano!$A$1,D217=Plano!$B$1),"entrada","saída"))</f>
        <v>saída</v>
      </c>
      <c r="T217" s="505" t="s">
        <v>114</v>
      </c>
      <c r="U217" s="505" t="s">
        <v>114</v>
      </c>
      <c r="V217" s="541"/>
    </row>
    <row r="218" spans="1:22" ht="45" customHeight="1" x14ac:dyDescent="0.2">
      <c r="A218" s="619">
        <f>IF(B218="","",COUNT('Diário 5º PA'!$A$5:$A$2634)+COUNT('Diário 6º PA'!$A$5:$A$2246)+COUNT('Diário 7º PA'!$A$5:$A$2271)+ROW()-4)</f>
        <v>4164</v>
      </c>
      <c r="B218" s="620">
        <v>44477</v>
      </c>
      <c r="C218" s="624">
        <v>44409</v>
      </c>
      <c r="D218" s="548" t="s">
        <v>99</v>
      </c>
      <c r="E218" s="548" t="s">
        <v>342</v>
      </c>
      <c r="F218" s="622">
        <v>175</v>
      </c>
      <c r="G218" s="623" t="s">
        <v>818</v>
      </c>
      <c r="H218" s="548" t="s">
        <v>131</v>
      </c>
      <c r="I218" s="583" t="s">
        <v>465</v>
      </c>
      <c r="J218" s="548" t="s">
        <v>114</v>
      </c>
      <c r="K218" s="583" t="s">
        <v>466</v>
      </c>
      <c r="L218" s="583" t="s">
        <v>467</v>
      </c>
      <c r="M218" s="619">
        <v>3039</v>
      </c>
      <c r="N218" s="620">
        <v>44477</v>
      </c>
      <c r="O218" s="684" t="s">
        <v>67</v>
      </c>
      <c r="P218" s="503">
        <f t="shared" si="11"/>
        <v>10</v>
      </c>
      <c r="Q218" s="503">
        <f t="shared" si="12"/>
        <v>8</v>
      </c>
      <c r="R218" s="504" t="str">
        <f t="shared" si="13"/>
        <v>Gastos_Gerais</v>
      </c>
      <c r="S218" s="504" t="str">
        <f>IF(D218="","",IF(OR(D218=Plano!$A$1,D218=Plano!$B$1),"entrada","saída"))</f>
        <v>saída</v>
      </c>
      <c r="T218" s="505" t="s">
        <v>114</v>
      </c>
      <c r="U218" s="505" t="s">
        <v>114</v>
      </c>
      <c r="V218" s="541"/>
    </row>
    <row r="219" spans="1:22" ht="45" customHeight="1" x14ac:dyDescent="0.2">
      <c r="A219" s="619">
        <f>IF(B219="","",COUNT('Diário 5º PA'!$A$5:$A$2634)+COUNT('Diário 6º PA'!$A$5:$A$2246)+COUNT('Diário 7º PA'!$A$5:$A$2271)+ROW()-4)</f>
        <v>4165</v>
      </c>
      <c r="B219" s="620">
        <v>44477</v>
      </c>
      <c r="C219" s="624">
        <v>44409</v>
      </c>
      <c r="D219" s="548" t="s">
        <v>99</v>
      </c>
      <c r="E219" s="548" t="s">
        <v>342</v>
      </c>
      <c r="F219" s="622">
        <v>175</v>
      </c>
      <c r="G219" s="623" t="s">
        <v>805</v>
      </c>
      <c r="H219" s="548" t="s">
        <v>131</v>
      </c>
      <c r="I219" s="583" t="s">
        <v>465</v>
      </c>
      <c r="J219" s="548" t="s">
        <v>114</v>
      </c>
      <c r="K219" s="583" t="s">
        <v>466</v>
      </c>
      <c r="L219" s="583" t="s">
        <v>467</v>
      </c>
      <c r="M219" s="619">
        <v>3040</v>
      </c>
      <c r="N219" s="620">
        <v>44477</v>
      </c>
      <c r="O219" s="684" t="s">
        <v>67</v>
      </c>
      <c r="P219" s="503">
        <f t="shared" si="11"/>
        <v>10</v>
      </c>
      <c r="Q219" s="503">
        <f t="shared" si="12"/>
        <v>8</v>
      </c>
      <c r="R219" s="504" t="str">
        <f t="shared" si="13"/>
        <v>Gastos_Gerais</v>
      </c>
      <c r="S219" s="504" t="str">
        <f>IF(D219="","",IF(OR(D219=Plano!$A$1,D219=Plano!$B$1),"entrada","saída"))</f>
        <v>saída</v>
      </c>
      <c r="T219" s="505" t="s">
        <v>114</v>
      </c>
      <c r="U219" s="505" t="s">
        <v>114</v>
      </c>
      <c r="V219" s="541"/>
    </row>
    <row r="220" spans="1:22" ht="45" customHeight="1" x14ac:dyDescent="0.2">
      <c r="A220" s="619">
        <f>IF(B220="","",COUNT('Diário 5º PA'!$A$5:$A$2634)+COUNT('Diário 6º PA'!$A$5:$A$2246)+COUNT('Diário 7º PA'!$A$5:$A$2271)+ROW()-4)</f>
        <v>4166</v>
      </c>
      <c r="B220" s="620">
        <v>44477</v>
      </c>
      <c r="C220" s="624">
        <v>44409</v>
      </c>
      <c r="D220" s="548" t="s">
        <v>99</v>
      </c>
      <c r="E220" s="548" t="s">
        <v>358</v>
      </c>
      <c r="F220" s="622">
        <v>30</v>
      </c>
      <c r="G220" s="623" t="s">
        <v>5686</v>
      </c>
      <c r="H220" s="548" t="s">
        <v>126</v>
      </c>
      <c r="I220" s="583" t="s">
        <v>465</v>
      </c>
      <c r="J220" s="548" t="s">
        <v>114</v>
      </c>
      <c r="K220" s="583" t="s">
        <v>466</v>
      </c>
      <c r="L220" s="583" t="s">
        <v>467</v>
      </c>
      <c r="M220" s="619">
        <v>3041</v>
      </c>
      <c r="N220" s="620">
        <v>44477</v>
      </c>
      <c r="O220" s="684" t="s">
        <v>67</v>
      </c>
      <c r="P220" s="503">
        <f t="shared" si="11"/>
        <v>10</v>
      </c>
      <c r="Q220" s="503">
        <f t="shared" si="12"/>
        <v>8</v>
      </c>
      <c r="R220" s="504" t="str">
        <f t="shared" si="13"/>
        <v>Gastos_Gerais</v>
      </c>
      <c r="S220" s="504" t="str">
        <f>IF(D220="","",IF(OR(D220=Plano!$A$1,D220=Plano!$B$1),"entrada","saída"))</f>
        <v>saída</v>
      </c>
      <c r="T220" s="505" t="s">
        <v>114</v>
      </c>
      <c r="U220" s="505" t="s">
        <v>114</v>
      </c>
      <c r="V220" s="541"/>
    </row>
    <row r="221" spans="1:22" ht="45" customHeight="1" x14ac:dyDescent="0.2">
      <c r="A221" s="619">
        <f>IF(B221="","",COUNT('Diário 5º PA'!$A$5:$A$2634)+COUNT('Diário 6º PA'!$A$5:$A$2246)+COUNT('Diário 7º PA'!$A$5:$A$2271)+ROW()-4)</f>
        <v>4167</v>
      </c>
      <c r="B221" s="620">
        <v>44477</v>
      </c>
      <c r="C221" s="624">
        <v>44409</v>
      </c>
      <c r="D221" s="548" t="s">
        <v>99</v>
      </c>
      <c r="E221" s="548" t="s">
        <v>358</v>
      </c>
      <c r="F221" s="622">
        <v>120</v>
      </c>
      <c r="G221" s="623" t="s">
        <v>731</v>
      </c>
      <c r="H221" s="548" t="s">
        <v>131</v>
      </c>
      <c r="I221" s="583" t="s">
        <v>465</v>
      </c>
      <c r="J221" s="548" t="s">
        <v>114</v>
      </c>
      <c r="K221" s="583" t="s">
        <v>466</v>
      </c>
      <c r="L221" s="583" t="s">
        <v>467</v>
      </c>
      <c r="M221" s="619">
        <v>3042</v>
      </c>
      <c r="N221" s="620">
        <v>44477</v>
      </c>
      <c r="O221" s="684" t="s">
        <v>67</v>
      </c>
      <c r="P221" s="503">
        <f t="shared" si="11"/>
        <v>10</v>
      </c>
      <c r="Q221" s="503">
        <f t="shared" si="12"/>
        <v>8</v>
      </c>
      <c r="R221" s="504" t="str">
        <f t="shared" si="13"/>
        <v>Gastos_Gerais</v>
      </c>
      <c r="S221" s="504" t="str">
        <f>IF(D221="","",IF(OR(D221=Plano!$A$1,D221=Plano!$B$1),"entrada","saída"))</f>
        <v>saída</v>
      </c>
      <c r="T221" s="505" t="s">
        <v>114</v>
      </c>
      <c r="U221" s="505" t="s">
        <v>114</v>
      </c>
      <c r="V221" s="541"/>
    </row>
    <row r="222" spans="1:22" ht="45" customHeight="1" x14ac:dyDescent="0.2">
      <c r="A222" s="619">
        <f>IF(B222="","",COUNT('Diário 5º PA'!$A$5:$A$2634)+COUNT('Diário 6º PA'!$A$5:$A$2246)+COUNT('Diário 7º PA'!$A$5:$A$2271)+ROW()-4)</f>
        <v>4168</v>
      </c>
      <c r="B222" s="620">
        <v>44477</v>
      </c>
      <c r="C222" s="624">
        <v>44409</v>
      </c>
      <c r="D222" s="548" t="s">
        <v>99</v>
      </c>
      <c r="E222" s="548" t="s">
        <v>358</v>
      </c>
      <c r="F222" s="622">
        <v>120</v>
      </c>
      <c r="G222" s="623" t="s">
        <v>720</v>
      </c>
      <c r="H222" s="548" t="s">
        <v>131</v>
      </c>
      <c r="I222" s="583" t="s">
        <v>465</v>
      </c>
      <c r="J222" s="548" t="s">
        <v>114</v>
      </c>
      <c r="K222" s="583" t="s">
        <v>466</v>
      </c>
      <c r="L222" s="583" t="s">
        <v>467</v>
      </c>
      <c r="M222" s="619">
        <v>3043</v>
      </c>
      <c r="N222" s="620">
        <v>44477</v>
      </c>
      <c r="O222" s="684" t="s">
        <v>67</v>
      </c>
      <c r="P222" s="503">
        <f t="shared" si="11"/>
        <v>10</v>
      </c>
      <c r="Q222" s="503">
        <f t="shared" si="12"/>
        <v>8</v>
      </c>
      <c r="R222" s="504" t="str">
        <f t="shared" si="13"/>
        <v>Gastos_Gerais</v>
      </c>
      <c r="S222" s="504" t="str">
        <f>IF(D222="","",IF(OR(D222=Plano!$A$1,D222=Plano!$B$1),"entrada","saída"))</f>
        <v>saída</v>
      </c>
      <c r="T222" s="505" t="s">
        <v>114</v>
      </c>
      <c r="U222" s="505" t="s">
        <v>114</v>
      </c>
      <c r="V222" s="541"/>
    </row>
    <row r="223" spans="1:22" ht="45" customHeight="1" x14ac:dyDescent="0.2">
      <c r="A223" s="619">
        <f>IF(B223="","",COUNT('Diário 5º PA'!$A$5:$A$2634)+COUNT('Diário 6º PA'!$A$5:$A$2246)+COUNT('Diário 7º PA'!$A$5:$A$2271)+ROW()-4)</f>
        <v>4169</v>
      </c>
      <c r="B223" s="620">
        <v>44477</v>
      </c>
      <c r="C223" s="624">
        <v>44409</v>
      </c>
      <c r="D223" s="548" t="s">
        <v>99</v>
      </c>
      <c r="E223" s="548" t="s">
        <v>358</v>
      </c>
      <c r="F223" s="622">
        <v>120</v>
      </c>
      <c r="G223" s="623" t="s">
        <v>726</v>
      </c>
      <c r="H223" s="548" t="s">
        <v>131</v>
      </c>
      <c r="I223" s="583" t="s">
        <v>465</v>
      </c>
      <c r="J223" s="548" t="s">
        <v>114</v>
      </c>
      <c r="K223" s="583" t="s">
        <v>466</v>
      </c>
      <c r="L223" s="583" t="s">
        <v>467</v>
      </c>
      <c r="M223" s="619">
        <v>3044</v>
      </c>
      <c r="N223" s="620">
        <v>44477</v>
      </c>
      <c r="O223" s="684" t="s">
        <v>67</v>
      </c>
      <c r="P223" s="503">
        <f t="shared" si="11"/>
        <v>10</v>
      </c>
      <c r="Q223" s="503">
        <f t="shared" si="12"/>
        <v>8</v>
      </c>
      <c r="R223" s="504" t="str">
        <f t="shared" si="13"/>
        <v>Gastos_Gerais</v>
      </c>
      <c r="S223" s="504" t="str">
        <f>IF(D223="","",IF(OR(D223=Plano!$A$1,D223=Plano!$B$1),"entrada","saída"))</f>
        <v>saída</v>
      </c>
      <c r="T223" s="505" t="s">
        <v>114</v>
      </c>
      <c r="U223" s="505" t="s">
        <v>114</v>
      </c>
      <c r="V223" s="541"/>
    </row>
    <row r="224" spans="1:22" ht="45" customHeight="1" x14ac:dyDescent="0.2">
      <c r="A224" s="619">
        <f>IF(B224="","",COUNT('Diário 5º PA'!$A$5:$A$2634)+COUNT('Diário 6º PA'!$A$5:$A$2246)+COUNT('Diário 7º PA'!$A$5:$A$2271)+ROW()-4)</f>
        <v>4170</v>
      </c>
      <c r="B224" s="620">
        <v>44477</v>
      </c>
      <c r="C224" s="624">
        <v>44348</v>
      </c>
      <c r="D224" s="548" t="s">
        <v>99</v>
      </c>
      <c r="E224" s="548" t="s">
        <v>364</v>
      </c>
      <c r="F224" s="622">
        <v>55</v>
      </c>
      <c r="G224" s="623" t="s">
        <v>676</v>
      </c>
      <c r="H224" s="548" t="s">
        <v>123</v>
      </c>
      <c r="I224" s="583" t="s">
        <v>465</v>
      </c>
      <c r="J224" s="548" t="s">
        <v>114</v>
      </c>
      <c r="K224" s="583" t="s">
        <v>466</v>
      </c>
      <c r="L224" s="583" t="s">
        <v>467</v>
      </c>
      <c r="M224" s="619">
        <v>3045</v>
      </c>
      <c r="N224" s="620">
        <v>44477</v>
      </c>
      <c r="O224" s="684" t="s">
        <v>67</v>
      </c>
      <c r="P224" s="503">
        <f t="shared" si="11"/>
        <v>10</v>
      </c>
      <c r="Q224" s="503">
        <f t="shared" si="12"/>
        <v>6</v>
      </c>
      <c r="R224" s="504" t="str">
        <f t="shared" si="13"/>
        <v>Gastos_Gerais</v>
      </c>
      <c r="S224" s="504" t="str">
        <f>IF(D224="","",IF(OR(D224=Plano!$A$1,D224=Plano!$B$1),"entrada","saída"))</f>
        <v>saída</v>
      </c>
      <c r="T224" s="505" t="s">
        <v>114</v>
      </c>
      <c r="U224" s="505" t="s">
        <v>114</v>
      </c>
      <c r="V224" s="541"/>
    </row>
    <row r="225" spans="1:22" ht="45" customHeight="1" x14ac:dyDescent="0.2">
      <c r="A225" s="619">
        <f>IF(B225="","",COUNT('Diário 5º PA'!$A$5:$A$2634)+COUNT('Diário 6º PA'!$A$5:$A$2246)+COUNT('Diário 7º PA'!$A$5:$A$2271)+ROW()-4)</f>
        <v>4171</v>
      </c>
      <c r="B225" s="620">
        <v>44477</v>
      </c>
      <c r="C225" s="624">
        <v>44409</v>
      </c>
      <c r="D225" s="548" t="s">
        <v>99</v>
      </c>
      <c r="E225" s="548" t="s">
        <v>358</v>
      </c>
      <c r="F225" s="622">
        <v>30</v>
      </c>
      <c r="G225" s="623" t="s">
        <v>814</v>
      </c>
      <c r="H225" s="548" t="s">
        <v>126</v>
      </c>
      <c r="I225" s="583" t="s">
        <v>465</v>
      </c>
      <c r="J225" s="548" t="s">
        <v>114</v>
      </c>
      <c r="K225" s="583" t="s">
        <v>466</v>
      </c>
      <c r="L225" s="583" t="s">
        <v>467</v>
      </c>
      <c r="M225" s="619">
        <v>3046</v>
      </c>
      <c r="N225" s="620">
        <v>44477</v>
      </c>
      <c r="O225" s="684" t="s">
        <v>67</v>
      </c>
      <c r="P225" s="503">
        <f t="shared" si="11"/>
        <v>10</v>
      </c>
      <c r="Q225" s="503">
        <f t="shared" si="12"/>
        <v>8</v>
      </c>
      <c r="R225" s="504" t="str">
        <f t="shared" si="13"/>
        <v>Gastos_Gerais</v>
      </c>
      <c r="S225" s="504" t="str">
        <f>IF(D225="","",IF(OR(D225=Plano!$A$1,D225=Plano!$B$1),"entrada","saída"))</f>
        <v>saída</v>
      </c>
      <c r="T225" s="505" t="s">
        <v>114</v>
      </c>
      <c r="U225" s="505" t="s">
        <v>114</v>
      </c>
      <c r="V225" s="541"/>
    </row>
    <row r="226" spans="1:22" ht="45" customHeight="1" x14ac:dyDescent="0.2">
      <c r="A226" s="619">
        <f>IF(B226="","",COUNT('Diário 5º PA'!$A$5:$A$2634)+COUNT('Diário 6º PA'!$A$5:$A$2246)+COUNT('Diário 7º PA'!$A$5:$A$2271)+ROW()-4)</f>
        <v>4172</v>
      </c>
      <c r="B226" s="620">
        <v>44477</v>
      </c>
      <c r="C226" s="624">
        <v>44409</v>
      </c>
      <c r="D226" s="548" t="s">
        <v>99</v>
      </c>
      <c r="E226" s="548" t="s">
        <v>358</v>
      </c>
      <c r="F226" s="622">
        <v>120</v>
      </c>
      <c r="G226" s="623" t="s">
        <v>5168</v>
      </c>
      <c r="H226" s="548" t="s">
        <v>131</v>
      </c>
      <c r="I226" s="583" t="s">
        <v>465</v>
      </c>
      <c r="J226" s="548" t="s">
        <v>114</v>
      </c>
      <c r="K226" s="583" t="s">
        <v>466</v>
      </c>
      <c r="L226" s="583" t="s">
        <v>467</v>
      </c>
      <c r="M226" s="619">
        <v>3047</v>
      </c>
      <c r="N226" s="620">
        <v>44477</v>
      </c>
      <c r="O226" s="684" t="s">
        <v>67</v>
      </c>
      <c r="P226" s="503">
        <f t="shared" si="11"/>
        <v>10</v>
      </c>
      <c r="Q226" s="503">
        <f t="shared" si="12"/>
        <v>8</v>
      </c>
      <c r="R226" s="504" t="str">
        <f t="shared" si="13"/>
        <v>Gastos_Gerais</v>
      </c>
      <c r="S226" s="504" t="str">
        <f>IF(D226="","",IF(OR(D226=Plano!$A$1,D226=Plano!$B$1),"entrada","saída"))</f>
        <v>saída</v>
      </c>
      <c r="T226" s="505" t="s">
        <v>114</v>
      </c>
      <c r="U226" s="505" t="s">
        <v>114</v>
      </c>
      <c r="V226" s="541"/>
    </row>
    <row r="227" spans="1:22" ht="45" customHeight="1" x14ac:dyDescent="0.2">
      <c r="A227" s="619">
        <f>IF(B227="","",COUNT('Diário 5º PA'!$A$5:$A$2634)+COUNT('Diário 6º PA'!$A$5:$A$2246)+COUNT('Diário 7º PA'!$A$5:$A$2271)+ROW()-4)</f>
        <v>4173</v>
      </c>
      <c r="B227" s="620">
        <v>44477</v>
      </c>
      <c r="C227" s="624">
        <v>44409</v>
      </c>
      <c r="D227" s="548" t="s">
        <v>99</v>
      </c>
      <c r="E227" s="548" t="s">
        <v>358</v>
      </c>
      <c r="F227" s="622">
        <v>120</v>
      </c>
      <c r="G227" s="623" t="s">
        <v>5186</v>
      </c>
      <c r="H227" s="548" t="s">
        <v>131</v>
      </c>
      <c r="I227" s="583" t="s">
        <v>465</v>
      </c>
      <c r="J227" s="548" t="s">
        <v>114</v>
      </c>
      <c r="K227" s="583" t="s">
        <v>466</v>
      </c>
      <c r="L227" s="583" t="s">
        <v>467</v>
      </c>
      <c r="M227" s="619">
        <v>3048</v>
      </c>
      <c r="N227" s="620">
        <v>44477</v>
      </c>
      <c r="O227" s="684" t="s">
        <v>67</v>
      </c>
      <c r="P227" s="503">
        <f t="shared" si="11"/>
        <v>10</v>
      </c>
      <c r="Q227" s="503">
        <f t="shared" si="12"/>
        <v>8</v>
      </c>
      <c r="R227" s="504" t="str">
        <f t="shared" si="13"/>
        <v>Gastos_Gerais</v>
      </c>
      <c r="S227" s="504" t="str">
        <f>IF(D227="","",IF(OR(D227=Plano!$A$1,D227=Plano!$B$1),"entrada","saída"))</f>
        <v>saída</v>
      </c>
      <c r="T227" s="505" t="s">
        <v>114</v>
      </c>
      <c r="U227" s="505" t="s">
        <v>114</v>
      </c>
      <c r="V227" s="541"/>
    </row>
    <row r="228" spans="1:22" ht="45" customHeight="1" x14ac:dyDescent="0.2">
      <c r="A228" s="619">
        <f>IF(B228="","",COUNT('Diário 5º PA'!$A$5:$A$2634)+COUNT('Diário 6º PA'!$A$5:$A$2246)+COUNT('Diário 7º PA'!$A$5:$A$2271)+ROW()-4)</f>
        <v>4174</v>
      </c>
      <c r="B228" s="620">
        <v>44477</v>
      </c>
      <c r="C228" s="624">
        <v>44409</v>
      </c>
      <c r="D228" s="548" t="s">
        <v>99</v>
      </c>
      <c r="E228" s="548" t="s">
        <v>358</v>
      </c>
      <c r="F228" s="622">
        <v>120</v>
      </c>
      <c r="G228" s="623" t="s">
        <v>5191</v>
      </c>
      <c r="H228" s="548" t="s">
        <v>131</v>
      </c>
      <c r="I228" s="583" t="s">
        <v>465</v>
      </c>
      <c r="J228" s="548" t="s">
        <v>114</v>
      </c>
      <c r="K228" s="583" t="s">
        <v>466</v>
      </c>
      <c r="L228" s="583" t="s">
        <v>467</v>
      </c>
      <c r="M228" s="619">
        <v>3049</v>
      </c>
      <c r="N228" s="620">
        <v>44477</v>
      </c>
      <c r="O228" s="684" t="s">
        <v>67</v>
      </c>
      <c r="P228" s="503">
        <f t="shared" si="11"/>
        <v>10</v>
      </c>
      <c r="Q228" s="503">
        <f t="shared" si="12"/>
        <v>8</v>
      </c>
      <c r="R228" s="504" t="str">
        <f t="shared" si="13"/>
        <v>Gastos_Gerais</v>
      </c>
      <c r="S228" s="504" t="str">
        <f>IF(D228="","",IF(OR(D228=Plano!$A$1,D228=Plano!$B$1),"entrada","saída"))</f>
        <v>saída</v>
      </c>
      <c r="T228" s="505" t="s">
        <v>114</v>
      </c>
      <c r="U228" s="505" t="s">
        <v>114</v>
      </c>
      <c r="V228" s="541"/>
    </row>
    <row r="229" spans="1:22" ht="45" customHeight="1" x14ac:dyDescent="0.2">
      <c r="A229" s="619">
        <f>IF(B229="","",COUNT('Diário 5º PA'!$A$5:$A$2634)+COUNT('Diário 6º PA'!$A$5:$A$2246)+COUNT('Diário 7º PA'!$A$5:$A$2271)+ROW()-4)</f>
        <v>4175</v>
      </c>
      <c r="B229" s="620">
        <v>44477</v>
      </c>
      <c r="C229" s="624">
        <v>44409</v>
      </c>
      <c r="D229" s="548" t="s">
        <v>99</v>
      </c>
      <c r="E229" s="548" t="s">
        <v>262</v>
      </c>
      <c r="F229" s="622">
        <v>60</v>
      </c>
      <c r="G229" s="623" t="s">
        <v>5217</v>
      </c>
      <c r="H229" s="548" t="s">
        <v>115</v>
      </c>
      <c r="I229" s="583" t="s">
        <v>465</v>
      </c>
      <c r="J229" s="548" t="s">
        <v>114</v>
      </c>
      <c r="K229" s="583" t="s">
        <v>466</v>
      </c>
      <c r="L229" s="583" t="s">
        <v>467</v>
      </c>
      <c r="M229" s="619">
        <v>3050</v>
      </c>
      <c r="N229" s="620">
        <v>44477</v>
      </c>
      <c r="O229" s="684" t="s">
        <v>67</v>
      </c>
      <c r="P229" s="503">
        <f t="shared" si="11"/>
        <v>10</v>
      </c>
      <c r="Q229" s="503">
        <f t="shared" si="12"/>
        <v>8</v>
      </c>
      <c r="R229" s="504" t="str">
        <f t="shared" si="13"/>
        <v>Gastos_Gerais</v>
      </c>
      <c r="S229" s="504" t="str">
        <f>IF(D229="","",IF(OR(D229=Plano!$A$1,D229=Plano!$B$1),"entrada","saída"))</f>
        <v>saída</v>
      </c>
      <c r="T229" s="505" t="s">
        <v>114</v>
      </c>
      <c r="U229" s="505" t="s">
        <v>114</v>
      </c>
      <c r="V229" s="541"/>
    </row>
    <row r="230" spans="1:22" ht="45" customHeight="1" x14ac:dyDescent="0.2">
      <c r="A230" s="619">
        <f>IF(B230="","",COUNT('Diário 5º PA'!$A$5:$A$2634)+COUNT('Diário 6º PA'!$A$5:$A$2246)+COUNT('Diário 7º PA'!$A$5:$A$2271)+ROW()-4)</f>
        <v>4176</v>
      </c>
      <c r="B230" s="620">
        <v>44477</v>
      </c>
      <c r="C230" s="624">
        <v>44440</v>
      </c>
      <c r="D230" s="548" t="s">
        <v>99</v>
      </c>
      <c r="E230" s="548" t="s">
        <v>358</v>
      </c>
      <c r="F230" s="622">
        <v>6</v>
      </c>
      <c r="G230" s="623" t="s">
        <v>5703</v>
      </c>
      <c r="H230" s="548" t="s">
        <v>125</v>
      </c>
      <c r="I230" s="583" t="s">
        <v>465</v>
      </c>
      <c r="J230" s="548" t="s">
        <v>114</v>
      </c>
      <c r="K230" s="583" t="s">
        <v>466</v>
      </c>
      <c r="L230" s="583" t="s">
        <v>467</v>
      </c>
      <c r="M230" s="619">
        <v>3051</v>
      </c>
      <c r="N230" s="620">
        <v>44477</v>
      </c>
      <c r="O230" s="684" t="s">
        <v>67</v>
      </c>
      <c r="P230" s="503">
        <f t="shared" si="11"/>
        <v>10</v>
      </c>
      <c r="Q230" s="503">
        <f t="shared" si="12"/>
        <v>9</v>
      </c>
      <c r="R230" s="504" t="str">
        <f t="shared" si="13"/>
        <v>Gastos_Gerais</v>
      </c>
      <c r="S230" s="504" t="str">
        <f>IF(D230="","",IF(OR(D230=Plano!$A$1,D230=Plano!$B$1),"entrada","saída"))</f>
        <v>saída</v>
      </c>
      <c r="T230" s="505" t="s">
        <v>114</v>
      </c>
      <c r="U230" s="505" t="s">
        <v>114</v>
      </c>
      <c r="V230" s="541"/>
    </row>
    <row r="231" spans="1:22" ht="45" customHeight="1" x14ac:dyDescent="0.2">
      <c r="A231" s="619">
        <f>IF(B231="","",COUNT('Diário 5º PA'!$A$5:$A$2634)+COUNT('Diário 6º PA'!$A$5:$A$2246)+COUNT('Diário 7º PA'!$A$5:$A$2271)+ROW()-4)</f>
        <v>4177</v>
      </c>
      <c r="B231" s="620">
        <v>44477</v>
      </c>
      <c r="C231" s="624">
        <v>44409</v>
      </c>
      <c r="D231" s="548" t="s">
        <v>99</v>
      </c>
      <c r="E231" s="548" t="s">
        <v>358</v>
      </c>
      <c r="F231" s="622">
        <v>120</v>
      </c>
      <c r="G231" s="630" t="s">
        <v>5244</v>
      </c>
      <c r="H231" s="548" t="s">
        <v>131</v>
      </c>
      <c r="I231" s="631" t="s">
        <v>465</v>
      </c>
      <c r="J231" s="548" t="s">
        <v>114</v>
      </c>
      <c r="K231" s="583" t="s">
        <v>466</v>
      </c>
      <c r="L231" s="583" t="s">
        <v>467</v>
      </c>
      <c r="M231" s="619">
        <v>3052</v>
      </c>
      <c r="N231" s="620">
        <v>44477</v>
      </c>
      <c r="O231" s="684" t="s">
        <v>67</v>
      </c>
      <c r="P231" s="503">
        <f t="shared" si="11"/>
        <v>10</v>
      </c>
      <c r="Q231" s="503">
        <f t="shared" si="12"/>
        <v>8</v>
      </c>
      <c r="R231" s="504" t="str">
        <f t="shared" si="13"/>
        <v>Gastos_Gerais</v>
      </c>
      <c r="S231" s="504" t="str">
        <f>IF(D231="","",IF(OR(D231=Plano!$A$1,D231=Plano!$B$1),"entrada","saída"))</f>
        <v>saída</v>
      </c>
      <c r="T231" s="505" t="s">
        <v>114</v>
      </c>
      <c r="U231" s="505" t="s">
        <v>114</v>
      </c>
      <c r="V231" s="541"/>
    </row>
    <row r="232" spans="1:22" ht="45" customHeight="1" x14ac:dyDescent="0.2">
      <c r="A232" s="619">
        <f>IF(B232="","",COUNT('Diário 5º PA'!$A$5:$A$2634)+COUNT('Diário 6º PA'!$A$5:$A$2246)+COUNT('Diário 7º PA'!$A$5:$A$2271)+ROW()-4)</f>
        <v>4178</v>
      </c>
      <c r="B232" s="620">
        <v>44477</v>
      </c>
      <c r="C232" s="624">
        <v>44409</v>
      </c>
      <c r="D232" s="548" t="s">
        <v>99</v>
      </c>
      <c r="E232" s="548" t="s">
        <v>358</v>
      </c>
      <c r="F232" s="622">
        <v>120</v>
      </c>
      <c r="G232" s="623" t="s">
        <v>5274</v>
      </c>
      <c r="H232" s="548" t="s">
        <v>131</v>
      </c>
      <c r="I232" s="631" t="s">
        <v>465</v>
      </c>
      <c r="J232" s="548" t="s">
        <v>114</v>
      </c>
      <c r="K232" s="583" t="s">
        <v>466</v>
      </c>
      <c r="L232" s="583" t="s">
        <v>467</v>
      </c>
      <c r="M232" s="619">
        <v>3054</v>
      </c>
      <c r="N232" s="620">
        <v>44477</v>
      </c>
      <c r="O232" s="684" t="s">
        <v>67</v>
      </c>
      <c r="P232" s="503">
        <f t="shared" si="11"/>
        <v>10</v>
      </c>
      <c r="Q232" s="503">
        <f t="shared" si="12"/>
        <v>8</v>
      </c>
      <c r="R232" s="504" t="str">
        <f t="shared" si="13"/>
        <v>Gastos_Gerais</v>
      </c>
      <c r="S232" s="504" t="str">
        <f>IF(D232="","",IF(OR(D232=Plano!$A$1,D232=Plano!$B$1),"entrada","saída"))</f>
        <v>saída</v>
      </c>
      <c r="T232" s="505" t="s">
        <v>114</v>
      </c>
      <c r="U232" s="505" t="s">
        <v>114</v>
      </c>
      <c r="V232" s="541"/>
    </row>
    <row r="233" spans="1:22" ht="45" customHeight="1" x14ac:dyDescent="0.2">
      <c r="A233" s="619">
        <f>IF(B233="","",COUNT('Diário 5º PA'!$A$5:$A$2634)+COUNT('Diário 6º PA'!$A$5:$A$2246)+COUNT('Diário 7º PA'!$A$5:$A$2271)+ROW()-4)</f>
        <v>4179</v>
      </c>
      <c r="B233" s="620">
        <v>44477</v>
      </c>
      <c r="C233" s="624">
        <v>44409</v>
      </c>
      <c r="D233" s="548" t="s">
        <v>99</v>
      </c>
      <c r="E233" s="548" t="s">
        <v>352</v>
      </c>
      <c r="F233" s="622">
        <v>40</v>
      </c>
      <c r="G233" s="623" t="s">
        <v>5278</v>
      </c>
      <c r="H233" s="548" t="s">
        <v>132</v>
      </c>
      <c r="I233" s="583" t="s">
        <v>465</v>
      </c>
      <c r="J233" s="548" t="s">
        <v>114</v>
      </c>
      <c r="K233" s="583" t="s">
        <v>466</v>
      </c>
      <c r="L233" s="583" t="s">
        <v>467</v>
      </c>
      <c r="M233" s="619">
        <v>3055</v>
      </c>
      <c r="N233" s="620">
        <v>44477</v>
      </c>
      <c r="O233" s="684" t="s">
        <v>67</v>
      </c>
      <c r="P233" s="503">
        <f t="shared" si="11"/>
        <v>10</v>
      </c>
      <c r="Q233" s="503">
        <f t="shared" si="12"/>
        <v>8</v>
      </c>
      <c r="R233" s="504" t="str">
        <f t="shared" si="13"/>
        <v>Gastos_Gerais</v>
      </c>
      <c r="S233" s="504" t="str">
        <f>IF(D233="","",IF(OR(D233=Plano!$A$1,D233=Plano!$B$1),"entrada","saída"))</f>
        <v>saída</v>
      </c>
      <c r="T233" s="505" t="s">
        <v>114</v>
      </c>
      <c r="U233" s="505" t="s">
        <v>114</v>
      </c>
      <c r="V233" s="541"/>
    </row>
    <row r="234" spans="1:22" ht="45" customHeight="1" x14ac:dyDescent="0.2">
      <c r="A234" s="619">
        <f>IF(B234="","",COUNT('Diário 5º PA'!$A$5:$A$2634)+COUNT('Diário 6º PA'!$A$5:$A$2246)+COUNT('Diário 7º PA'!$A$5:$A$2271)+ROW()-4)</f>
        <v>4180</v>
      </c>
      <c r="B234" s="620">
        <v>44477</v>
      </c>
      <c r="C234" s="624">
        <v>44409</v>
      </c>
      <c r="D234" s="548" t="s">
        <v>99</v>
      </c>
      <c r="E234" s="548" t="s">
        <v>364</v>
      </c>
      <c r="F234" s="622">
        <v>440</v>
      </c>
      <c r="G234" s="623" t="s">
        <v>5705</v>
      </c>
      <c r="H234" s="548" t="s">
        <v>131</v>
      </c>
      <c r="I234" s="583" t="s">
        <v>465</v>
      </c>
      <c r="J234" s="548" t="s">
        <v>114</v>
      </c>
      <c r="K234" s="583" t="s">
        <v>466</v>
      </c>
      <c r="L234" s="583" t="s">
        <v>467</v>
      </c>
      <c r="M234" s="619">
        <v>3056</v>
      </c>
      <c r="N234" s="620">
        <v>44477</v>
      </c>
      <c r="O234" s="684" t="s">
        <v>67</v>
      </c>
      <c r="P234" s="503">
        <f t="shared" si="11"/>
        <v>10</v>
      </c>
      <c r="Q234" s="503">
        <f t="shared" si="12"/>
        <v>8</v>
      </c>
      <c r="R234" s="504" t="str">
        <f t="shared" si="13"/>
        <v>Gastos_Gerais</v>
      </c>
      <c r="S234" s="504" t="str">
        <f>IF(D234="","",IF(OR(D234=Plano!$A$1,D234=Plano!$B$1),"entrada","saída"))</f>
        <v>saída</v>
      </c>
      <c r="T234" s="505" t="s">
        <v>114</v>
      </c>
      <c r="U234" s="505" t="s">
        <v>114</v>
      </c>
      <c r="V234" s="541"/>
    </row>
    <row r="235" spans="1:22" ht="45" customHeight="1" x14ac:dyDescent="0.2">
      <c r="A235" s="619">
        <f>IF(B235="","",COUNT('Diário 5º PA'!$A$5:$A$2634)+COUNT('Diário 6º PA'!$A$5:$A$2246)+COUNT('Diário 7º PA'!$A$5:$A$2271)+ROW()-4)</f>
        <v>4181</v>
      </c>
      <c r="B235" s="620">
        <v>44477</v>
      </c>
      <c r="C235" s="624">
        <v>44409</v>
      </c>
      <c r="D235" s="548" t="s">
        <v>99</v>
      </c>
      <c r="E235" s="548" t="s">
        <v>226</v>
      </c>
      <c r="F235" s="622">
        <v>71.72</v>
      </c>
      <c r="G235" s="623" t="s">
        <v>782</v>
      </c>
      <c r="H235" s="548" t="s">
        <v>131</v>
      </c>
      <c r="I235" s="583" t="s">
        <v>465</v>
      </c>
      <c r="J235" s="548" t="s">
        <v>114</v>
      </c>
      <c r="K235" s="583" t="s">
        <v>466</v>
      </c>
      <c r="L235" s="583" t="s">
        <v>467</v>
      </c>
      <c r="M235" s="619">
        <v>3057</v>
      </c>
      <c r="N235" s="620">
        <v>44477</v>
      </c>
      <c r="O235" s="684" t="s">
        <v>67</v>
      </c>
      <c r="P235" s="503">
        <f t="shared" si="11"/>
        <v>10</v>
      </c>
      <c r="Q235" s="503">
        <f t="shared" si="12"/>
        <v>8</v>
      </c>
      <c r="R235" s="504" t="str">
        <f t="shared" si="13"/>
        <v>Gastos_Gerais</v>
      </c>
      <c r="S235" s="504" t="str">
        <f>IF(D235="","",IF(OR(D235=Plano!$A$1,D235=Plano!$B$1),"entrada","saída"))</f>
        <v>saída</v>
      </c>
      <c r="T235" s="505" t="s">
        <v>114</v>
      </c>
      <c r="U235" s="505" t="s">
        <v>114</v>
      </c>
      <c r="V235" s="541"/>
    </row>
    <row r="236" spans="1:22" ht="45" customHeight="1" x14ac:dyDescent="0.2">
      <c r="A236" s="619">
        <f>IF(B236="","",COUNT('Diário 5º PA'!$A$5:$A$2634)+COUNT('Diário 6º PA'!$A$5:$A$2246)+COUNT('Diário 7º PA'!$A$5:$A$2271)+ROW()-4)</f>
        <v>4182</v>
      </c>
      <c r="B236" s="620">
        <v>44477</v>
      </c>
      <c r="C236" s="624">
        <v>44409</v>
      </c>
      <c r="D236" s="548" t="s">
        <v>99</v>
      </c>
      <c r="E236" s="548" t="s">
        <v>376</v>
      </c>
      <c r="F236" s="622">
        <v>54</v>
      </c>
      <c r="G236" s="623" t="s">
        <v>5211</v>
      </c>
      <c r="H236" s="548" t="s">
        <v>131</v>
      </c>
      <c r="I236" s="583" t="s">
        <v>465</v>
      </c>
      <c r="J236" s="548" t="s">
        <v>114</v>
      </c>
      <c r="K236" s="583" t="s">
        <v>466</v>
      </c>
      <c r="L236" s="583" t="s">
        <v>467</v>
      </c>
      <c r="M236" s="619">
        <v>3058</v>
      </c>
      <c r="N236" s="620">
        <v>44477</v>
      </c>
      <c r="O236" s="684" t="s">
        <v>67</v>
      </c>
      <c r="P236" s="503">
        <f t="shared" si="11"/>
        <v>10</v>
      </c>
      <c r="Q236" s="503">
        <f t="shared" si="12"/>
        <v>8</v>
      </c>
      <c r="R236" s="504" t="str">
        <f t="shared" si="13"/>
        <v>Gastos_Gerais</v>
      </c>
      <c r="S236" s="504" t="str">
        <f>IF(D236="","",IF(OR(D236=Plano!$A$1,D236=Plano!$B$1),"entrada","saída"))</f>
        <v>saída</v>
      </c>
      <c r="T236" s="505" t="s">
        <v>114</v>
      </c>
      <c r="U236" s="505" t="s">
        <v>114</v>
      </c>
      <c r="V236" s="541"/>
    </row>
    <row r="237" spans="1:22" ht="45" customHeight="1" x14ac:dyDescent="0.2">
      <c r="A237" s="619">
        <f>IF(B237="","",COUNT('Diário 5º PA'!$A$5:$A$2634)+COUNT('Diário 6º PA'!$A$5:$A$2246)+COUNT('Diário 7º PA'!$A$5:$A$2271)+ROW()-4)</f>
        <v>4183</v>
      </c>
      <c r="B237" s="620">
        <v>44477</v>
      </c>
      <c r="C237" s="624">
        <v>44470</v>
      </c>
      <c r="D237" s="548" t="s">
        <v>99</v>
      </c>
      <c r="E237" s="548" t="s">
        <v>352</v>
      </c>
      <c r="F237" s="622">
        <v>212.01</v>
      </c>
      <c r="G237" s="623" t="s">
        <v>5575</v>
      </c>
      <c r="H237" s="548" t="s">
        <v>131</v>
      </c>
      <c r="I237" s="583" t="s">
        <v>465</v>
      </c>
      <c r="J237" s="548" t="s">
        <v>114</v>
      </c>
      <c r="K237" s="583" t="s">
        <v>466</v>
      </c>
      <c r="L237" s="583" t="s">
        <v>467</v>
      </c>
      <c r="M237" s="619">
        <v>3059</v>
      </c>
      <c r="N237" s="620">
        <v>44477</v>
      </c>
      <c r="O237" s="684" t="s">
        <v>67</v>
      </c>
      <c r="P237" s="503">
        <f t="shared" si="11"/>
        <v>10</v>
      </c>
      <c r="Q237" s="503">
        <f t="shared" si="12"/>
        <v>10</v>
      </c>
      <c r="R237" s="504" t="str">
        <f t="shared" si="13"/>
        <v>Gastos_Gerais</v>
      </c>
      <c r="S237" s="504" t="str">
        <f>IF(D237="","",IF(OR(D237=Plano!$A$1,D237=Plano!$B$1),"entrada","saída"))</f>
        <v>saída</v>
      </c>
      <c r="T237" s="505" t="s">
        <v>114</v>
      </c>
      <c r="U237" s="505" t="s">
        <v>114</v>
      </c>
      <c r="V237" s="541"/>
    </row>
    <row r="238" spans="1:22" s="512" customFormat="1" ht="45" customHeight="1" x14ac:dyDescent="0.2">
      <c r="A238" s="619">
        <f>IF(B238="","",COUNT('Diário 5º PA'!$A$5:$A$2634)+COUNT('Diário 6º PA'!$A$5:$A$2246)+COUNT('Diário 7º PA'!$A$5:$A$2271)+ROW()-4)</f>
        <v>4184</v>
      </c>
      <c r="B238" s="620">
        <v>44477</v>
      </c>
      <c r="C238" s="624">
        <v>44256</v>
      </c>
      <c r="D238" s="548" t="s">
        <v>99</v>
      </c>
      <c r="E238" s="548" t="s">
        <v>360</v>
      </c>
      <c r="F238" s="622">
        <v>115.58</v>
      </c>
      <c r="G238" s="623" t="s">
        <v>577</v>
      </c>
      <c r="H238" s="548" t="s">
        <v>131</v>
      </c>
      <c r="I238" s="583" t="s">
        <v>465</v>
      </c>
      <c r="J238" s="548" t="s">
        <v>114</v>
      </c>
      <c r="K238" s="583" t="s">
        <v>466</v>
      </c>
      <c r="L238" s="583" t="s">
        <v>467</v>
      </c>
      <c r="M238" s="619">
        <v>3060</v>
      </c>
      <c r="N238" s="620">
        <v>44477</v>
      </c>
      <c r="O238" s="684" t="s">
        <v>67</v>
      </c>
      <c r="P238" s="503">
        <f t="shared" si="11"/>
        <v>10</v>
      </c>
      <c r="Q238" s="503">
        <f t="shared" si="12"/>
        <v>3</v>
      </c>
      <c r="R238" s="504" t="str">
        <f t="shared" si="13"/>
        <v>Gastos_Gerais</v>
      </c>
      <c r="S238" s="504" t="str">
        <f>IF(D238="","",IF(OR(D238=Plano!$A$1,D238=Plano!$B$1),"entrada","saída"))</f>
        <v>saída</v>
      </c>
      <c r="T238" s="505" t="s">
        <v>114</v>
      </c>
      <c r="U238" s="505" t="s">
        <v>114</v>
      </c>
      <c r="V238" s="541"/>
    </row>
    <row r="239" spans="1:22" ht="45" customHeight="1" x14ac:dyDescent="0.2">
      <c r="A239" s="619">
        <f>IF(B239="","",COUNT('Diário 5º PA'!$A$5:$A$2634)+COUNT('Diário 6º PA'!$A$5:$A$2246)+COUNT('Diário 7º PA'!$A$5:$A$2271)+ROW()-4)</f>
        <v>4185</v>
      </c>
      <c r="B239" s="620">
        <v>44477</v>
      </c>
      <c r="C239" s="624">
        <v>44501</v>
      </c>
      <c r="D239" s="548" t="s">
        <v>99</v>
      </c>
      <c r="E239" s="548" t="s">
        <v>352</v>
      </c>
      <c r="F239" s="622">
        <v>51.35</v>
      </c>
      <c r="G239" s="623" t="s">
        <v>5576</v>
      </c>
      <c r="H239" s="548" t="s">
        <v>131</v>
      </c>
      <c r="I239" s="583" t="s">
        <v>465</v>
      </c>
      <c r="J239" s="548" t="s">
        <v>114</v>
      </c>
      <c r="K239" s="583" t="s">
        <v>466</v>
      </c>
      <c r="L239" s="583" t="s">
        <v>467</v>
      </c>
      <c r="M239" s="619">
        <v>3061</v>
      </c>
      <c r="N239" s="620">
        <v>44477</v>
      </c>
      <c r="O239" s="684" t="s">
        <v>67</v>
      </c>
      <c r="P239" s="503">
        <f t="shared" si="11"/>
        <v>10</v>
      </c>
      <c r="Q239" s="503">
        <f t="shared" si="12"/>
        <v>11</v>
      </c>
      <c r="R239" s="504" t="str">
        <f t="shared" si="13"/>
        <v>Gastos_Gerais</v>
      </c>
      <c r="S239" s="504" t="str">
        <f>IF(D239="","",IF(OR(D239=Plano!$A$1,D239=Plano!$B$1),"entrada","saída"))</f>
        <v>saída</v>
      </c>
      <c r="T239" s="505" t="s">
        <v>114</v>
      </c>
      <c r="U239" s="505" t="s">
        <v>114</v>
      </c>
      <c r="V239" s="541"/>
    </row>
    <row r="240" spans="1:22" ht="45" customHeight="1" x14ac:dyDescent="0.2">
      <c r="A240" s="619">
        <f>IF(B240="","",COUNT('Diário 5º PA'!$A$5:$A$2634)+COUNT('Diário 6º PA'!$A$5:$A$2246)+COUNT('Diário 7º PA'!$A$5:$A$2271)+ROW()-4)</f>
        <v>4186</v>
      </c>
      <c r="B240" s="620">
        <v>44477</v>
      </c>
      <c r="C240" s="624">
        <v>44470</v>
      </c>
      <c r="D240" s="548" t="s">
        <v>99</v>
      </c>
      <c r="E240" s="548" t="s">
        <v>226</v>
      </c>
      <c r="F240" s="622">
        <v>53.79</v>
      </c>
      <c r="G240" s="623" t="s">
        <v>5577</v>
      </c>
      <c r="H240" s="548" t="s">
        <v>131</v>
      </c>
      <c r="I240" s="583" t="s">
        <v>465</v>
      </c>
      <c r="J240" s="548" t="s">
        <v>114</v>
      </c>
      <c r="K240" s="583" t="s">
        <v>466</v>
      </c>
      <c r="L240" s="583" t="s">
        <v>467</v>
      </c>
      <c r="M240" s="619">
        <v>3062</v>
      </c>
      <c r="N240" s="620">
        <v>44477</v>
      </c>
      <c r="O240" s="684" t="s">
        <v>67</v>
      </c>
      <c r="P240" s="503">
        <f t="shared" si="11"/>
        <v>10</v>
      </c>
      <c r="Q240" s="503">
        <f t="shared" si="12"/>
        <v>10</v>
      </c>
      <c r="R240" s="504" t="str">
        <f t="shared" si="13"/>
        <v>Gastos_Gerais</v>
      </c>
      <c r="S240" s="504" t="str">
        <f>IF(D240="","",IF(OR(D240=Plano!$A$1,D240=Plano!$B$1),"entrada","saída"))</f>
        <v>saída</v>
      </c>
      <c r="T240" s="505" t="s">
        <v>114</v>
      </c>
      <c r="U240" s="505" t="s">
        <v>114</v>
      </c>
      <c r="V240" s="541"/>
    </row>
    <row r="241" spans="1:22" ht="45" customHeight="1" x14ac:dyDescent="0.2">
      <c r="A241" s="619">
        <f>IF(B241="","",COUNT('Diário 5º PA'!$A$5:$A$2634)+COUNT('Diário 6º PA'!$A$5:$A$2246)+COUNT('Diário 7º PA'!$A$5:$A$2271)+ROW()-4)</f>
        <v>4187</v>
      </c>
      <c r="B241" s="620">
        <v>44477</v>
      </c>
      <c r="C241" s="624">
        <v>44409</v>
      </c>
      <c r="D241" s="548" t="s">
        <v>99</v>
      </c>
      <c r="E241" s="548" t="s">
        <v>360</v>
      </c>
      <c r="F241" s="622">
        <v>84</v>
      </c>
      <c r="G241" s="623" t="s">
        <v>5233</v>
      </c>
      <c r="H241" s="548" t="s">
        <v>116</v>
      </c>
      <c r="I241" s="583" t="s">
        <v>465</v>
      </c>
      <c r="J241" s="548" t="s">
        <v>114</v>
      </c>
      <c r="K241" s="583" t="s">
        <v>466</v>
      </c>
      <c r="L241" s="583" t="s">
        <v>467</v>
      </c>
      <c r="M241" s="619">
        <v>3063</v>
      </c>
      <c r="N241" s="620">
        <v>44477</v>
      </c>
      <c r="O241" s="684" t="s">
        <v>67</v>
      </c>
      <c r="P241" s="503">
        <f t="shared" si="11"/>
        <v>10</v>
      </c>
      <c r="Q241" s="503">
        <f t="shared" si="12"/>
        <v>8</v>
      </c>
      <c r="R241" s="504" t="str">
        <f t="shared" si="13"/>
        <v>Gastos_Gerais</v>
      </c>
      <c r="S241" s="504" t="str">
        <f>IF(D241="","",IF(OR(D241=Plano!$A$1,D241=Plano!$B$1),"entrada","saída"))</f>
        <v>saída</v>
      </c>
      <c r="T241" s="505" t="s">
        <v>114</v>
      </c>
      <c r="U241" s="505" t="s">
        <v>114</v>
      </c>
      <c r="V241" s="541"/>
    </row>
    <row r="242" spans="1:22" ht="52.5" customHeight="1" x14ac:dyDescent="0.2">
      <c r="A242" s="619">
        <f>IF(B242="","",COUNT('Diário 5º PA'!$A$5:$A$2634)+COUNT('Diário 6º PA'!$A$5:$A$2246)+COUNT('Diário 7º PA'!$A$5:$A$2271)+ROW()-4)</f>
        <v>4188</v>
      </c>
      <c r="B242" s="620">
        <v>44477</v>
      </c>
      <c r="C242" s="624">
        <v>44440</v>
      </c>
      <c r="D242" s="548" t="s">
        <v>99</v>
      </c>
      <c r="E242" s="548" t="s">
        <v>358</v>
      </c>
      <c r="F242" s="622">
        <v>10.050000000000001</v>
      </c>
      <c r="G242" s="623" t="s">
        <v>5280</v>
      </c>
      <c r="H242" s="548" t="s">
        <v>126</v>
      </c>
      <c r="I242" s="583" t="s">
        <v>465</v>
      </c>
      <c r="J242" s="548" t="s">
        <v>114</v>
      </c>
      <c r="K242" s="583" t="s">
        <v>466</v>
      </c>
      <c r="L242" s="583" t="s">
        <v>467</v>
      </c>
      <c r="M242" s="619">
        <v>3064</v>
      </c>
      <c r="N242" s="620">
        <v>44477</v>
      </c>
      <c r="O242" s="684" t="s">
        <v>67</v>
      </c>
      <c r="P242" s="503">
        <f t="shared" si="11"/>
        <v>10</v>
      </c>
      <c r="Q242" s="503">
        <f t="shared" si="12"/>
        <v>9</v>
      </c>
      <c r="R242" s="504" t="str">
        <f t="shared" si="13"/>
        <v>Gastos_Gerais</v>
      </c>
      <c r="S242" s="504" t="str">
        <f>IF(D242="","",IF(OR(D242=Plano!$A$1,D242=Plano!$B$1),"entrada","saída"))</f>
        <v>saída</v>
      </c>
      <c r="T242" s="505" t="s">
        <v>114</v>
      </c>
      <c r="U242" s="505" t="s">
        <v>114</v>
      </c>
      <c r="V242" s="541"/>
    </row>
    <row r="243" spans="1:22" ht="46.5" customHeight="1" x14ac:dyDescent="0.2">
      <c r="A243" s="619">
        <f>IF(B243="","",COUNT('Diário 5º PA'!$A$5:$A$2634)+COUNT('Diário 6º PA'!$A$5:$A$2246)+COUNT('Diário 7º PA'!$A$5:$A$2271)+ROW()-4)</f>
        <v>4189</v>
      </c>
      <c r="B243" s="620">
        <v>44477</v>
      </c>
      <c r="C243" s="624">
        <v>44409</v>
      </c>
      <c r="D243" s="548" t="s">
        <v>99</v>
      </c>
      <c r="E243" s="548" t="s">
        <v>336</v>
      </c>
      <c r="F243" s="622">
        <v>30.15</v>
      </c>
      <c r="G243" s="623" t="s">
        <v>891</v>
      </c>
      <c r="H243" s="548" t="s">
        <v>116</v>
      </c>
      <c r="I243" s="583" t="s">
        <v>465</v>
      </c>
      <c r="J243" s="548" t="s">
        <v>114</v>
      </c>
      <c r="K243" s="583" t="s">
        <v>466</v>
      </c>
      <c r="L243" s="583" t="s">
        <v>467</v>
      </c>
      <c r="M243" s="619">
        <v>3065</v>
      </c>
      <c r="N243" s="620">
        <v>44477</v>
      </c>
      <c r="O243" s="684" t="s">
        <v>67</v>
      </c>
      <c r="P243" s="503">
        <f t="shared" si="11"/>
        <v>10</v>
      </c>
      <c r="Q243" s="503">
        <f t="shared" si="12"/>
        <v>8</v>
      </c>
      <c r="R243" s="504" t="str">
        <f t="shared" si="13"/>
        <v>Gastos_Gerais</v>
      </c>
      <c r="S243" s="504" t="str">
        <f>IF(D243="","",IF(OR(D243=Plano!$A$1,D243=Plano!$B$1),"entrada","saída"))</f>
        <v>saída</v>
      </c>
      <c r="T243" s="505" t="s">
        <v>114</v>
      </c>
      <c r="U243" s="505" t="s">
        <v>114</v>
      </c>
      <c r="V243" s="541"/>
    </row>
    <row r="244" spans="1:22" ht="52.5" customHeight="1" x14ac:dyDescent="0.2">
      <c r="A244" s="619">
        <f>IF(B244="","",COUNT('Diário 5º PA'!$A$5:$A$2634)+COUNT('Diário 6º PA'!$A$5:$A$2246)+COUNT('Diário 7º PA'!$A$5:$A$2271)+ROW()-4)</f>
        <v>4190</v>
      </c>
      <c r="B244" s="620">
        <v>44477</v>
      </c>
      <c r="C244" s="624">
        <v>44409</v>
      </c>
      <c r="D244" s="548" t="s">
        <v>99</v>
      </c>
      <c r="E244" s="548" t="s">
        <v>262</v>
      </c>
      <c r="F244" s="622">
        <v>150.75</v>
      </c>
      <c r="G244" s="623" t="s">
        <v>624</v>
      </c>
      <c r="H244" s="548" t="s">
        <v>115</v>
      </c>
      <c r="I244" s="583" t="s">
        <v>465</v>
      </c>
      <c r="J244" s="548" t="s">
        <v>114</v>
      </c>
      <c r="K244" s="583" t="s">
        <v>466</v>
      </c>
      <c r="L244" s="583" t="s">
        <v>467</v>
      </c>
      <c r="M244" s="619">
        <v>3066</v>
      </c>
      <c r="N244" s="620">
        <v>44477</v>
      </c>
      <c r="O244" s="684" t="s">
        <v>67</v>
      </c>
      <c r="P244" s="503">
        <f t="shared" si="11"/>
        <v>10</v>
      </c>
      <c r="Q244" s="503">
        <f t="shared" si="12"/>
        <v>8</v>
      </c>
      <c r="R244" s="504" t="str">
        <f t="shared" si="13"/>
        <v>Gastos_Gerais</v>
      </c>
      <c r="S244" s="504" t="str">
        <f>IF(D244="","",IF(OR(D244=Plano!$A$1,D244=Plano!$B$1),"entrada","saída"))</f>
        <v>saída</v>
      </c>
      <c r="T244" s="505" t="s">
        <v>114</v>
      </c>
      <c r="U244" s="505" t="s">
        <v>114</v>
      </c>
      <c r="V244" s="541"/>
    </row>
    <row r="245" spans="1:22" ht="41.25" customHeight="1" x14ac:dyDescent="0.2">
      <c r="A245" s="619">
        <f>IF(B245="","",COUNT('Diário 5º PA'!$A$5:$A$2634)+COUNT('Diário 6º PA'!$A$5:$A$2246)+COUNT('Diário 7º PA'!$A$5:$A$2271)+ROW()-4)</f>
        <v>4191</v>
      </c>
      <c r="B245" s="620">
        <v>44477</v>
      </c>
      <c r="C245" s="624">
        <v>44409</v>
      </c>
      <c r="D245" s="548" t="s">
        <v>99</v>
      </c>
      <c r="E245" s="548" t="s">
        <v>262</v>
      </c>
      <c r="F245" s="622">
        <v>70.349999999999994</v>
      </c>
      <c r="G245" s="623" t="s">
        <v>620</v>
      </c>
      <c r="H245" s="548" t="s">
        <v>115</v>
      </c>
      <c r="I245" s="583" t="s">
        <v>465</v>
      </c>
      <c r="J245" s="548" t="s">
        <v>114</v>
      </c>
      <c r="K245" s="583" t="s">
        <v>466</v>
      </c>
      <c r="L245" s="583" t="s">
        <v>467</v>
      </c>
      <c r="M245" s="619">
        <v>3067</v>
      </c>
      <c r="N245" s="620">
        <v>44477</v>
      </c>
      <c r="O245" s="684" t="s">
        <v>67</v>
      </c>
      <c r="P245" s="503">
        <f t="shared" si="11"/>
        <v>10</v>
      </c>
      <c r="Q245" s="503">
        <f t="shared" si="12"/>
        <v>8</v>
      </c>
      <c r="R245" s="504" t="str">
        <f t="shared" si="13"/>
        <v>Gastos_Gerais</v>
      </c>
      <c r="S245" s="504" t="str">
        <f>IF(D245="","",IF(OR(D245=Plano!$A$1,D245=Plano!$B$1),"entrada","saída"))</f>
        <v>saída</v>
      </c>
      <c r="T245" s="505" t="s">
        <v>114</v>
      </c>
      <c r="U245" s="505" t="s">
        <v>114</v>
      </c>
      <c r="V245" s="541"/>
    </row>
    <row r="246" spans="1:22" ht="57.75" customHeight="1" x14ac:dyDescent="0.2">
      <c r="A246" s="619">
        <f>IF(B246="","",COUNT('Diário 5º PA'!$A$5:$A$2634)+COUNT('Diário 6º PA'!$A$5:$A$2246)+COUNT('Diário 7º PA'!$A$5:$A$2271)+ROW()-4)</f>
        <v>4192</v>
      </c>
      <c r="B246" s="620">
        <v>44477</v>
      </c>
      <c r="C246" s="624">
        <v>44378</v>
      </c>
      <c r="D246" s="548" t="s">
        <v>99</v>
      </c>
      <c r="E246" s="548" t="s">
        <v>364</v>
      </c>
      <c r="F246" s="622">
        <v>28.14</v>
      </c>
      <c r="G246" s="623" t="s">
        <v>703</v>
      </c>
      <c r="H246" s="548" t="s">
        <v>125</v>
      </c>
      <c r="I246" s="583" t="s">
        <v>465</v>
      </c>
      <c r="J246" s="548" t="s">
        <v>114</v>
      </c>
      <c r="K246" s="583" t="s">
        <v>466</v>
      </c>
      <c r="L246" s="583" t="s">
        <v>467</v>
      </c>
      <c r="M246" s="619">
        <v>3068</v>
      </c>
      <c r="N246" s="620">
        <v>44477</v>
      </c>
      <c r="O246" s="684" t="s">
        <v>67</v>
      </c>
      <c r="P246" s="503">
        <f t="shared" si="11"/>
        <v>10</v>
      </c>
      <c r="Q246" s="503">
        <f t="shared" si="12"/>
        <v>7</v>
      </c>
      <c r="R246" s="504" t="str">
        <f t="shared" si="13"/>
        <v>Gastos_Gerais</v>
      </c>
      <c r="S246" s="504" t="str">
        <f>IF(D246="","",IF(OR(D246=Plano!$A$1,D246=Plano!$B$1),"entrada","saída"))</f>
        <v>saída</v>
      </c>
      <c r="T246" s="505" t="s">
        <v>114</v>
      </c>
      <c r="U246" s="505" t="s">
        <v>114</v>
      </c>
      <c r="V246" s="541"/>
    </row>
    <row r="247" spans="1:22" ht="48.75" customHeight="1" x14ac:dyDescent="0.2">
      <c r="A247" s="619">
        <f>IF(B247="","",COUNT('Diário 5º PA'!$A$5:$A$2634)+COUNT('Diário 6º PA'!$A$5:$A$2246)+COUNT('Diário 7º PA'!$A$5:$A$2271)+ROW()-4)</f>
        <v>4193</v>
      </c>
      <c r="B247" s="620">
        <v>44477</v>
      </c>
      <c r="C247" s="624">
        <v>44409</v>
      </c>
      <c r="D247" s="548" t="s">
        <v>99</v>
      </c>
      <c r="E247" s="548" t="s">
        <v>266</v>
      </c>
      <c r="F247" s="622">
        <v>530.27</v>
      </c>
      <c r="G247" s="623" t="s">
        <v>5223</v>
      </c>
      <c r="H247" s="548" t="s">
        <v>131</v>
      </c>
      <c r="I247" s="583" t="s">
        <v>465</v>
      </c>
      <c r="J247" s="548" t="s">
        <v>114</v>
      </c>
      <c r="K247" s="583" t="s">
        <v>466</v>
      </c>
      <c r="L247" s="583" t="s">
        <v>467</v>
      </c>
      <c r="M247" s="619">
        <v>3069</v>
      </c>
      <c r="N247" s="620">
        <v>44477</v>
      </c>
      <c r="O247" s="684" t="s">
        <v>67</v>
      </c>
      <c r="P247" s="503">
        <f t="shared" si="11"/>
        <v>10</v>
      </c>
      <c r="Q247" s="503">
        <f t="shared" si="12"/>
        <v>8</v>
      </c>
      <c r="R247" s="504" t="str">
        <f t="shared" si="13"/>
        <v>Gastos_Gerais</v>
      </c>
      <c r="S247" s="504" t="str">
        <f>IF(D247="","",IF(OR(D247=Plano!$A$1,D247=Plano!$B$1),"entrada","saída"))</f>
        <v>saída</v>
      </c>
      <c r="T247" s="505" t="s">
        <v>114</v>
      </c>
      <c r="U247" s="505" t="s">
        <v>114</v>
      </c>
      <c r="V247" s="541"/>
    </row>
    <row r="248" spans="1:22" ht="46.5" customHeight="1" x14ac:dyDescent="0.2">
      <c r="A248" s="619">
        <f>IF(B248="","",COUNT('Diário 5º PA'!$A$5:$A$2634)+COUNT('Diário 6º PA'!$A$5:$A$2246)+COUNT('Diário 7º PA'!$A$5:$A$2271)+ROW()-4)</f>
        <v>4194</v>
      </c>
      <c r="B248" s="620">
        <v>44477</v>
      </c>
      <c r="C248" s="624">
        <v>44409</v>
      </c>
      <c r="D248" s="548" t="s">
        <v>99</v>
      </c>
      <c r="E248" s="548" t="s">
        <v>230</v>
      </c>
      <c r="F248" s="622">
        <v>119.67</v>
      </c>
      <c r="G248" s="623" t="s">
        <v>483</v>
      </c>
      <c r="H248" s="548" t="s">
        <v>115</v>
      </c>
      <c r="I248" s="583" t="s">
        <v>465</v>
      </c>
      <c r="J248" s="548" t="s">
        <v>114</v>
      </c>
      <c r="K248" s="583" t="s">
        <v>466</v>
      </c>
      <c r="L248" s="583" t="s">
        <v>467</v>
      </c>
      <c r="M248" s="619">
        <v>3070</v>
      </c>
      <c r="N248" s="620">
        <v>44477</v>
      </c>
      <c r="O248" s="684" t="s">
        <v>67</v>
      </c>
      <c r="P248" s="503">
        <f t="shared" si="11"/>
        <v>10</v>
      </c>
      <c r="Q248" s="503">
        <f t="shared" si="12"/>
        <v>8</v>
      </c>
      <c r="R248" s="504" t="str">
        <f t="shared" si="13"/>
        <v>Gastos_Gerais</v>
      </c>
      <c r="S248" s="504" t="str">
        <f>IF(D248="","",IF(OR(D248=Plano!$A$1,D248=Plano!$B$1),"entrada","saída"))</f>
        <v>saída</v>
      </c>
      <c r="T248" s="505" t="s">
        <v>114</v>
      </c>
      <c r="U248" s="505" t="s">
        <v>114</v>
      </c>
      <c r="V248" s="541"/>
    </row>
    <row r="249" spans="1:22" ht="45" customHeight="1" x14ac:dyDescent="0.2">
      <c r="A249" s="619">
        <f>IF(B249="","",COUNT('Diário 5º PA'!$A$5:$A$2634)+COUNT('Diário 6º PA'!$A$5:$A$2246)+COUNT('Diário 7º PA'!$A$5:$A$2271)+ROW()-4)</f>
        <v>4195</v>
      </c>
      <c r="B249" s="620">
        <v>44477</v>
      </c>
      <c r="C249" s="624">
        <v>44409</v>
      </c>
      <c r="D249" s="548" t="s">
        <v>99</v>
      </c>
      <c r="E249" s="548" t="s">
        <v>336</v>
      </c>
      <c r="F249" s="622">
        <v>99</v>
      </c>
      <c r="G249" s="623" t="s">
        <v>880</v>
      </c>
      <c r="H249" s="548" t="s">
        <v>118</v>
      </c>
      <c r="I249" s="583" t="s">
        <v>465</v>
      </c>
      <c r="J249" s="548" t="s">
        <v>114</v>
      </c>
      <c r="K249" s="583" t="s">
        <v>466</v>
      </c>
      <c r="L249" s="583" t="s">
        <v>467</v>
      </c>
      <c r="M249" s="619">
        <v>3071</v>
      </c>
      <c r="N249" s="620">
        <v>44477</v>
      </c>
      <c r="O249" s="684" t="s">
        <v>67</v>
      </c>
      <c r="P249" s="503">
        <f t="shared" si="11"/>
        <v>10</v>
      </c>
      <c r="Q249" s="503">
        <f t="shared" si="12"/>
        <v>8</v>
      </c>
      <c r="R249" s="504" t="str">
        <f t="shared" si="13"/>
        <v>Gastos_Gerais</v>
      </c>
      <c r="S249" s="504" t="str">
        <f>IF(D249="","",IF(OR(D249=Plano!$A$1,D249=Plano!$B$1),"entrada","saída"))</f>
        <v>saída</v>
      </c>
      <c r="T249" s="505" t="s">
        <v>114</v>
      </c>
      <c r="U249" s="505" t="s">
        <v>114</v>
      </c>
      <c r="V249" s="541"/>
    </row>
    <row r="250" spans="1:22" ht="45" customHeight="1" x14ac:dyDescent="0.2">
      <c r="A250" s="619">
        <f>IF(B250="","",COUNT('Diário 5º PA'!$A$5:$A$2634)+COUNT('Diário 6º PA'!$A$5:$A$2246)+COUNT('Diário 7º PA'!$A$5:$A$2271)+ROW()-4)</f>
        <v>4196</v>
      </c>
      <c r="B250" s="620">
        <v>44477</v>
      </c>
      <c r="C250" s="624">
        <v>44409</v>
      </c>
      <c r="D250" s="548" t="s">
        <v>99</v>
      </c>
      <c r="E250" s="548" t="s">
        <v>336</v>
      </c>
      <c r="F250" s="622">
        <v>99</v>
      </c>
      <c r="G250" s="623" t="s">
        <v>881</v>
      </c>
      <c r="H250" s="548" t="s">
        <v>118</v>
      </c>
      <c r="I250" s="583" t="s">
        <v>465</v>
      </c>
      <c r="J250" s="548" t="s">
        <v>114</v>
      </c>
      <c r="K250" s="583" t="s">
        <v>466</v>
      </c>
      <c r="L250" s="583" t="s">
        <v>467</v>
      </c>
      <c r="M250" s="619">
        <v>3072</v>
      </c>
      <c r="N250" s="620">
        <v>44477</v>
      </c>
      <c r="O250" s="684" t="s">
        <v>67</v>
      </c>
      <c r="P250" s="503">
        <f t="shared" si="11"/>
        <v>10</v>
      </c>
      <c r="Q250" s="503">
        <f t="shared" si="12"/>
        <v>8</v>
      </c>
      <c r="R250" s="504" t="str">
        <f t="shared" si="13"/>
        <v>Gastos_Gerais</v>
      </c>
      <c r="S250" s="504" t="str">
        <f>IF(D250="","",IF(OR(D250=Plano!$A$1,D250=Plano!$B$1),"entrada","saída"))</f>
        <v>saída</v>
      </c>
      <c r="T250" s="505" t="s">
        <v>114</v>
      </c>
      <c r="U250" s="505" t="s">
        <v>114</v>
      </c>
      <c r="V250" s="541"/>
    </row>
    <row r="251" spans="1:22" ht="45" customHeight="1" x14ac:dyDescent="0.2">
      <c r="A251" s="619">
        <f>IF(B251="","",COUNT('Diário 5º PA'!$A$5:$A$2634)+COUNT('Diário 6º PA'!$A$5:$A$2246)+COUNT('Diário 7º PA'!$A$5:$A$2271)+ROW()-4)</f>
        <v>4197</v>
      </c>
      <c r="B251" s="620">
        <v>44477</v>
      </c>
      <c r="C251" s="624">
        <v>44409</v>
      </c>
      <c r="D251" s="548" t="s">
        <v>99</v>
      </c>
      <c r="E251" s="548" t="s">
        <v>336</v>
      </c>
      <c r="F251" s="622">
        <v>99</v>
      </c>
      <c r="G251" s="623" t="s">
        <v>882</v>
      </c>
      <c r="H251" s="548" t="s">
        <v>118</v>
      </c>
      <c r="I251" s="583" t="s">
        <v>465</v>
      </c>
      <c r="J251" s="548" t="s">
        <v>114</v>
      </c>
      <c r="K251" s="583" t="s">
        <v>466</v>
      </c>
      <c r="L251" s="583" t="s">
        <v>467</v>
      </c>
      <c r="M251" s="619">
        <v>3073</v>
      </c>
      <c r="N251" s="620">
        <v>44477</v>
      </c>
      <c r="O251" s="684" t="s">
        <v>67</v>
      </c>
      <c r="P251" s="503">
        <f t="shared" si="11"/>
        <v>10</v>
      </c>
      <c r="Q251" s="503">
        <f t="shared" si="12"/>
        <v>8</v>
      </c>
      <c r="R251" s="504" t="str">
        <f t="shared" si="13"/>
        <v>Gastos_Gerais</v>
      </c>
      <c r="S251" s="504" t="str">
        <f>IF(D251="","",IF(OR(D251=Plano!$A$1,D251=Plano!$B$1),"entrada","saída"))</f>
        <v>saída</v>
      </c>
      <c r="T251" s="505" t="s">
        <v>114</v>
      </c>
      <c r="U251" s="505" t="s">
        <v>114</v>
      </c>
      <c r="V251" s="541"/>
    </row>
    <row r="252" spans="1:22" ht="45" customHeight="1" x14ac:dyDescent="0.2">
      <c r="A252" s="619">
        <f>IF(B252="","",COUNT('Diário 5º PA'!$A$5:$A$2634)+COUNT('Diário 6º PA'!$A$5:$A$2246)+COUNT('Diário 7º PA'!$A$5:$A$2271)+ROW()-4)</f>
        <v>4198</v>
      </c>
      <c r="B252" s="620">
        <v>44477</v>
      </c>
      <c r="C252" s="624">
        <v>44409</v>
      </c>
      <c r="D252" s="548" t="s">
        <v>99</v>
      </c>
      <c r="E252" s="548" t="s">
        <v>336</v>
      </c>
      <c r="F252" s="622">
        <v>99</v>
      </c>
      <c r="G252" s="623" t="s">
        <v>883</v>
      </c>
      <c r="H252" s="548" t="s">
        <v>118</v>
      </c>
      <c r="I252" s="583" t="s">
        <v>465</v>
      </c>
      <c r="J252" s="548" t="s">
        <v>114</v>
      </c>
      <c r="K252" s="583" t="s">
        <v>466</v>
      </c>
      <c r="L252" s="583" t="s">
        <v>467</v>
      </c>
      <c r="M252" s="619">
        <v>3074</v>
      </c>
      <c r="N252" s="620">
        <v>44477</v>
      </c>
      <c r="O252" s="684" t="s">
        <v>67</v>
      </c>
      <c r="P252" s="503">
        <f t="shared" si="11"/>
        <v>10</v>
      </c>
      <c r="Q252" s="503">
        <f t="shared" si="12"/>
        <v>8</v>
      </c>
      <c r="R252" s="504" t="str">
        <f t="shared" si="13"/>
        <v>Gastos_Gerais</v>
      </c>
      <c r="S252" s="504" t="str">
        <f>IF(D252="","",IF(OR(D252=Plano!$A$1,D252=Plano!$B$1),"entrada","saída"))</f>
        <v>saída</v>
      </c>
      <c r="T252" s="505" t="s">
        <v>114</v>
      </c>
      <c r="U252" s="505" t="s">
        <v>114</v>
      </c>
      <c r="V252" s="541"/>
    </row>
    <row r="253" spans="1:22" ht="45" customHeight="1" x14ac:dyDescent="0.2">
      <c r="A253" s="619">
        <f>IF(B253="","",COUNT('Diário 5º PA'!$A$5:$A$2634)+COUNT('Diário 6º PA'!$A$5:$A$2246)+COUNT('Diário 7º PA'!$A$5:$A$2271)+ROW()-4)</f>
        <v>4199</v>
      </c>
      <c r="B253" s="620">
        <v>44477</v>
      </c>
      <c r="C253" s="624">
        <v>44409</v>
      </c>
      <c r="D253" s="548" t="s">
        <v>99</v>
      </c>
      <c r="E253" s="548" t="s">
        <v>336</v>
      </c>
      <c r="F253" s="622">
        <v>99</v>
      </c>
      <c r="G253" s="623" t="s">
        <v>884</v>
      </c>
      <c r="H253" s="548" t="s">
        <v>118</v>
      </c>
      <c r="I253" s="583" t="s">
        <v>465</v>
      </c>
      <c r="J253" s="548" t="s">
        <v>114</v>
      </c>
      <c r="K253" s="583" t="s">
        <v>466</v>
      </c>
      <c r="L253" s="583" t="s">
        <v>467</v>
      </c>
      <c r="M253" s="619">
        <v>3075</v>
      </c>
      <c r="N253" s="620">
        <v>44477</v>
      </c>
      <c r="O253" s="684" t="s">
        <v>67</v>
      </c>
      <c r="P253" s="503">
        <f t="shared" si="11"/>
        <v>10</v>
      </c>
      <c r="Q253" s="503">
        <f t="shared" si="12"/>
        <v>8</v>
      </c>
      <c r="R253" s="504" t="str">
        <f t="shared" si="13"/>
        <v>Gastos_Gerais</v>
      </c>
      <c r="S253" s="504" t="str">
        <f>IF(D253="","",IF(OR(D253=Plano!$A$1,D253=Plano!$B$1),"entrada","saída"))</f>
        <v>saída</v>
      </c>
      <c r="T253" s="505" t="s">
        <v>114</v>
      </c>
      <c r="U253" s="505" t="s">
        <v>114</v>
      </c>
      <c r="V253" s="541"/>
    </row>
    <row r="254" spans="1:22" ht="45" customHeight="1" x14ac:dyDescent="0.2">
      <c r="A254" s="619">
        <f>IF(B254="","",COUNT('Diário 5º PA'!$A$5:$A$2634)+COUNT('Diário 6º PA'!$A$5:$A$2246)+COUNT('Diário 7º PA'!$A$5:$A$2271)+ROW()-4)</f>
        <v>4200</v>
      </c>
      <c r="B254" s="620">
        <v>44477</v>
      </c>
      <c r="C254" s="624">
        <v>44409</v>
      </c>
      <c r="D254" s="548" t="s">
        <v>99</v>
      </c>
      <c r="E254" s="548" t="s">
        <v>336</v>
      </c>
      <c r="F254" s="622">
        <v>99</v>
      </c>
      <c r="G254" s="623" t="s">
        <v>885</v>
      </c>
      <c r="H254" s="548" t="s">
        <v>118</v>
      </c>
      <c r="I254" s="583" t="s">
        <v>465</v>
      </c>
      <c r="J254" s="548" t="s">
        <v>114</v>
      </c>
      <c r="K254" s="583" t="s">
        <v>466</v>
      </c>
      <c r="L254" s="583" t="s">
        <v>467</v>
      </c>
      <c r="M254" s="619">
        <v>3076</v>
      </c>
      <c r="N254" s="620">
        <v>44477</v>
      </c>
      <c r="O254" s="684" t="s">
        <v>67</v>
      </c>
      <c r="P254" s="503">
        <f t="shared" si="11"/>
        <v>10</v>
      </c>
      <c r="Q254" s="503">
        <f t="shared" si="12"/>
        <v>8</v>
      </c>
      <c r="R254" s="504" t="str">
        <f t="shared" si="13"/>
        <v>Gastos_Gerais</v>
      </c>
      <c r="S254" s="504" t="str">
        <f>IF(D254="","",IF(OR(D254=Plano!$A$1,D254=Plano!$B$1),"entrada","saída"))</f>
        <v>saída</v>
      </c>
      <c r="T254" s="505" t="s">
        <v>114</v>
      </c>
      <c r="U254" s="505" t="s">
        <v>114</v>
      </c>
      <c r="V254" s="541"/>
    </row>
    <row r="255" spans="1:22" ht="45" customHeight="1" x14ac:dyDescent="0.2">
      <c r="A255" s="619">
        <f>IF(B255="","",COUNT('Diário 5º PA'!$A$5:$A$2634)+COUNT('Diário 6º PA'!$A$5:$A$2246)+COUNT('Diário 7º PA'!$A$5:$A$2271)+ROW()-4)</f>
        <v>4201</v>
      </c>
      <c r="B255" s="620">
        <v>44477</v>
      </c>
      <c r="C255" s="624">
        <v>44409</v>
      </c>
      <c r="D255" s="548" t="s">
        <v>99</v>
      </c>
      <c r="E255" s="548" t="s">
        <v>336</v>
      </c>
      <c r="F255" s="622">
        <v>99</v>
      </c>
      <c r="G255" s="623" t="s">
        <v>886</v>
      </c>
      <c r="H255" s="548" t="s">
        <v>118</v>
      </c>
      <c r="I255" s="583" t="s">
        <v>465</v>
      </c>
      <c r="J255" s="548" t="s">
        <v>114</v>
      </c>
      <c r="K255" s="583" t="s">
        <v>466</v>
      </c>
      <c r="L255" s="583" t="s">
        <v>467</v>
      </c>
      <c r="M255" s="619">
        <v>3077</v>
      </c>
      <c r="N255" s="620">
        <v>44477</v>
      </c>
      <c r="O255" s="684" t="s">
        <v>67</v>
      </c>
      <c r="P255" s="503">
        <f t="shared" si="11"/>
        <v>10</v>
      </c>
      <c r="Q255" s="503">
        <f t="shared" si="12"/>
        <v>8</v>
      </c>
      <c r="R255" s="504" t="str">
        <f t="shared" si="13"/>
        <v>Gastos_Gerais</v>
      </c>
      <c r="S255" s="504" t="str">
        <f>IF(D255="","",IF(OR(D255=Plano!$A$1,D255=Plano!$B$1),"entrada","saída"))</f>
        <v>saída</v>
      </c>
      <c r="T255" s="505" t="s">
        <v>114</v>
      </c>
      <c r="U255" s="505" t="s">
        <v>114</v>
      </c>
      <c r="V255" s="541"/>
    </row>
    <row r="256" spans="1:22" ht="45" customHeight="1" x14ac:dyDescent="0.2">
      <c r="A256" s="619">
        <f>IF(B256="","",COUNT('Diário 5º PA'!$A$5:$A$2634)+COUNT('Diário 6º PA'!$A$5:$A$2246)+COUNT('Diário 7º PA'!$A$5:$A$2271)+ROW()-4)</f>
        <v>4202</v>
      </c>
      <c r="B256" s="620">
        <v>44477</v>
      </c>
      <c r="C256" s="624">
        <v>44409</v>
      </c>
      <c r="D256" s="548" t="s">
        <v>99</v>
      </c>
      <c r="E256" s="548" t="s">
        <v>336</v>
      </c>
      <c r="F256" s="622">
        <v>99</v>
      </c>
      <c r="G256" s="623" t="s">
        <v>887</v>
      </c>
      <c r="H256" s="548" t="s">
        <v>118</v>
      </c>
      <c r="I256" s="583" t="s">
        <v>465</v>
      </c>
      <c r="J256" s="548" t="s">
        <v>114</v>
      </c>
      <c r="K256" s="583" t="s">
        <v>466</v>
      </c>
      <c r="L256" s="583" t="s">
        <v>467</v>
      </c>
      <c r="M256" s="619">
        <v>3078</v>
      </c>
      <c r="N256" s="620">
        <v>44477</v>
      </c>
      <c r="O256" s="684" t="s">
        <v>67</v>
      </c>
      <c r="P256" s="503">
        <f t="shared" si="11"/>
        <v>10</v>
      </c>
      <c r="Q256" s="503">
        <f t="shared" si="12"/>
        <v>8</v>
      </c>
      <c r="R256" s="504" t="str">
        <f t="shared" si="13"/>
        <v>Gastos_Gerais</v>
      </c>
      <c r="S256" s="504" t="str">
        <f>IF(D256="","",IF(OR(D256=Plano!$A$1,D256=Plano!$B$1),"entrada","saída"))</f>
        <v>saída</v>
      </c>
      <c r="T256" s="505" t="s">
        <v>114</v>
      </c>
      <c r="U256" s="505" t="s">
        <v>114</v>
      </c>
      <c r="V256" s="541"/>
    </row>
    <row r="257" spans="1:22" ht="45" customHeight="1" x14ac:dyDescent="0.2">
      <c r="A257" s="619">
        <f>IF(B257="","",COUNT('Diário 5º PA'!$A$5:$A$2634)+COUNT('Diário 6º PA'!$A$5:$A$2246)+COUNT('Diário 7º PA'!$A$5:$A$2271)+ROW()-4)</f>
        <v>4203</v>
      </c>
      <c r="B257" s="620">
        <v>44477</v>
      </c>
      <c r="C257" s="624">
        <v>44409</v>
      </c>
      <c r="D257" s="548" t="s">
        <v>99</v>
      </c>
      <c r="E257" s="548" t="s">
        <v>336</v>
      </c>
      <c r="F257" s="622">
        <v>99</v>
      </c>
      <c r="G257" s="623" t="s">
        <v>888</v>
      </c>
      <c r="H257" s="548" t="s">
        <v>118</v>
      </c>
      <c r="I257" s="583" t="s">
        <v>465</v>
      </c>
      <c r="J257" s="548" t="s">
        <v>114</v>
      </c>
      <c r="K257" s="583" t="s">
        <v>466</v>
      </c>
      <c r="L257" s="583" t="s">
        <v>467</v>
      </c>
      <c r="M257" s="619">
        <v>3079</v>
      </c>
      <c r="N257" s="620">
        <v>44477</v>
      </c>
      <c r="O257" s="684" t="s">
        <v>67</v>
      </c>
      <c r="P257" s="503">
        <f t="shared" ref="P257:P320" si="14">IF(B257=0,0,IF(YEAR(B257)=$Q$1,MONTH(B257)-$P$1+1,(YEAR(B257)-$Q$1)*12-$P$1+1+MONTH(B257)))</f>
        <v>10</v>
      </c>
      <c r="Q257" s="503">
        <f t="shared" ref="Q257:Q320" si="15">IF(C257=0,0,IF(YEAR(C257)=$Q$1,MONTH(C257)-$P$1+1,(YEAR(C257)-$Q$1)*12-$P$1+1+MONTH(C257)))</f>
        <v>8</v>
      </c>
      <c r="R257" s="504" t="str">
        <f t="shared" ref="R257:R320" si="16">SUBSTITUTE(D257," ","_")</f>
        <v>Gastos_Gerais</v>
      </c>
      <c r="S257" s="504" t="str">
        <f>IF(D257="","",IF(OR(D257=Plano!$A$1,D257=Plano!$B$1),"entrada","saída"))</f>
        <v>saída</v>
      </c>
      <c r="T257" s="505" t="s">
        <v>114</v>
      </c>
      <c r="U257" s="505" t="s">
        <v>114</v>
      </c>
      <c r="V257" s="541"/>
    </row>
    <row r="258" spans="1:22" ht="45" customHeight="1" x14ac:dyDescent="0.2">
      <c r="A258" s="619">
        <f>IF(B258="","",COUNT('Diário 5º PA'!$A$5:$A$2634)+COUNT('Diário 6º PA'!$A$5:$A$2246)+COUNT('Diário 7º PA'!$A$5:$A$2271)+ROW()-4)</f>
        <v>4204</v>
      </c>
      <c r="B258" s="620">
        <v>44477</v>
      </c>
      <c r="C258" s="624">
        <v>44409</v>
      </c>
      <c r="D258" s="548" t="s">
        <v>99</v>
      </c>
      <c r="E258" s="548" t="s">
        <v>336</v>
      </c>
      <c r="F258" s="622">
        <v>99</v>
      </c>
      <c r="G258" s="623" t="s">
        <v>889</v>
      </c>
      <c r="H258" s="548" t="s">
        <v>118</v>
      </c>
      <c r="I258" s="583" t="s">
        <v>465</v>
      </c>
      <c r="J258" s="548" t="s">
        <v>114</v>
      </c>
      <c r="K258" s="583" t="s">
        <v>466</v>
      </c>
      <c r="L258" s="583" t="s">
        <v>467</v>
      </c>
      <c r="M258" s="619">
        <v>3080</v>
      </c>
      <c r="N258" s="620">
        <v>44477</v>
      </c>
      <c r="O258" s="684" t="s">
        <v>67</v>
      </c>
      <c r="P258" s="503">
        <f t="shared" si="14"/>
        <v>10</v>
      </c>
      <c r="Q258" s="503">
        <f t="shared" si="15"/>
        <v>8</v>
      </c>
      <c r="R258" s="504" t="str">
        <f t="shared" si="16"/>
        <v>Gastos_Gerais</v>
      </c>
      <c r="S258" s="504" t="str">
        <f>IF(D258="","",IF(OR(D258=Plano!$A$1,D258=Plano!$B$1),"entrada","saída"))</f>
        <v>saída</v>
      </c>
      <c r="T258" s="505" t="s">
        <v>114</v>
      </c>
      <c r="U258" s="505" t="s">
        <v>114</v>
      </c>
      <c r="V258" s="541"/>
    </row>
    <row r="259" spans="1:22" ht="45" customHeight="1" x14ac:dyDescent="0.2">
      <c r="A259" s="619">
        <f>IF(B259="","",COUNT('Diário 5º PA'!$A$5:$A$2634)+COUNT('Diário 6º PA'!$A$5:$A$2246)+COUNT('Diário 7º PA'!$A$5:$A$2271)+ROW()-4)</f>
        <v>4205</v>
      </c>
      <c r="B259" s="620">
        <v>44477</v>
      </c>
      <c r="C259" s="624">
        <v>44409</v>
      </c>
      <c r="D259" s="548" t="s">
        <v>99</v>
      </c>
      <c r="E259" s="548" t="s">
        <v>336</v>
      </c>
      <c r="F259" s="622">
        <v>69</v>
      </c>
      <c r="G259" s="623" t="s">
        <v>892</v>
      </c>
      <c r="H259" s="548" t="s">
        <v>116</v>
      </c>
      <c r="I259" s="583" t="s">
        <v>465</v>
      </c>
      <c r="J259" s="548" t="s">
        <v>114</v>
      </c>
      <c r="K259" s="583" t="s">
        <v>466</v>
      </c>
      <c r="L259" s="583" t="s">
        <v>467</v>
      </c>
      <c r="M259" s="619">
        <v>3081</v>
      </c>
      <c r="N259" s="620">
        <v>44477</v>
      </c>
      <c r="O259" s="684" t="s">
        <v>67</v>
      </c>
      <c r="P259" s="503">
        <f t="shared" si="14"/>
        <v>10</v>
      </c>
      <c r="Q259" s="503">
        <f t="shared" si="15"/>
        <v>8</v>
      </c>
      <c r="R259" s="504" t="str">
        <f t="shared" si="16"/>
        <v>Gastos_Gerais</v>
      </c>
      <c r="S259" s="504" t="str">
        <f>IF(D259="","",IF(OR(D259=Plano!$A$1,D259=Plano!$B$1),"entrada","saída"))</f>
        <v>saída</v>
      </c>
      <c r="T259" s="505" t="s">
        <v>114</v>
      </c>
      <c r="U259" s="505" t="s">
        <v>114</v>
      </c>
      <c r="V259" s="541"/>
    </row>
    <row r="260" spans="1:22" ht="45" customHeight="1" x14ac:dyDescent="0.2">
      <c r="A260" s="619">
        <f>IF(B260="","",COUNT('Diário 5º PA'!$A$5:$A$2634)+COUNT('Diário 6º PA'!$A$5:$A$2246)+COUNT('Diário 7º PA'!$A$5:$A$2271)+ROW()-4)</f>
        <v>4206</v>
      </c>
      <c r="B260" s="620">
        <v>44477</v>
      </c>
      <c r="C260" s="624">
        <v>44409</v>
      </c>
      <c r="D260" s="548" t="s">
        <v>99</v>
      </c>
      <c r="E260" s="548" t="s">
        <v>244</v>
      </c>
      <c r="F260" s="622">
        <v>118.1</v>
      </c>
      <c r="G260" s="623" t="s">
        <v>5198</v>
      </c>
      <c r="H260" s="548" t="s">
        <v>128</v>
      </c>
      <c r="I260" s="583" t="s">
        <v>465</v>
      </c>
      <c r="J260" s="548" t="s">
        <v>114</v>
      </c>
      <c r="K260" s="583" t="s">
        <v>466</v>
      </c>
      <c r="L260" s="583" t="s">
        <v>467</v>
      </c>
      <c r="M260" s="619">
        <v>3082</v>
      </c>
      <c r="N260" s="620">
        <v>44477</v>
      </c>
      <c r="O260" s="684" t="s">
        <v>67</v>
      </c>
      <c r="P260" s="503">
        <f t="shared" si="14"/>
        <v>10</v>
      </c>
      <c r="Q260" s="503">
        <f t="shared" si="15"/>
        <v>8</v>
      </c>
      <c r="R260" s="504" t="str">
        <f t="shared" si="16"/>
        <v>Gastos_Gerais</v>
      </c>
      <c r="S260" s="504" t="str">
        <f>IF(D260="","",IF(OR(D260=Plano!$A$1,D260=Plano!$B$1),"entrada","saída"))</f>
        <v>saída</v>
      </c>
      <c r="T260" s="505" t="s">
        <v>114</v>
      </c>
      <c r="U260" s="505" t="s">
        <v>114</v>
      </c>
      <c r="V260" s="541"/>
    </row>
    <row r="261" spans="1:22" ht="45" customHeight="1" x14ac:dyDescent="0.2">
      <c r="A261" s="619">
        <f>IF(B261="","",COUNT('Diário 5º PA'!$A$5:$A$2634)+COUNT('Diário 6º PA'!$A$5:$A$2246)+COUNT('Diário 7º PA'!$A$5:$A$2271)+ROW()-4)</f>
        <v>4207</v>
      </c>
      <c r="B261" s="620">
        <v>44477</v>
      </c>
      <c r="C261" s="624">
        <v>44409</v>
      </c>
      <c r="D261" s="548" t="s">
        <v>99</v>
      </c>
      <c r="E261" s="548" t="s">
        <v>382</v>
      </c>
      <c r="F261" s="622">
        <v>6.19</v>
      </c>
      <c r="G261" s="623" t="s">
        <v>831</v>
      </c>
      <c r="H261" s="548" t="s">
        <v>116</v>
      </c>
      <c r="I261" s="583" t="s">
        <v>465</v>
      </c>
      <c r="J261" s="548" t="s">
        <v>114</v>
      </c>
      <c r="K261" s="583" t="s">
        <v>466</v>
      </c>
      <c r="L261" s="583" t="s">
        <v>467</v>
      </c>
      <c r="M261" s="619">
        <v>3083</v>
      </c>
      <c r="N261" s="620">
        <v>44477</v>
      </c>
      <c r="O261" s="684" t="s">
        <v>67</v>
      </c>
      <c r="P261" s="503">
        <f t="shared" si="14"/>
        <v>10</v>
      </c>
      <c r="Q261" s="503">
        <f t="shared" si="15"/>
        <v>8</v>
      </c>
      <c r="R261" s="504" t="str">
        <f t="shared" si="16"/>
        <v>Gastos_Gerais</v>
      </c>
      <c r="S261" s="504" t="str">
        <f>IF(D261="","",IF(OR(D261=Plano!$A$1,D261=Plano!$B$1),"entrada","saída"))</f>
        <v>saída</v>
      </c>
      <c r="T261" s="505" t="s">
        <v>114</v>
      </c>
      <c r="U261" s="505" t="s">
        <v>114</v>
      </c>
      <c r="V261" s="541"/>
    </row>
    <row r="262" spans="1:22" ht="45" customHeight="1" x14ac:dyDescent="0.2">
      <c r="A262" s="619">
        <f>IF(B262="","",COUNT('Diário 5º PA'!$A$5:$A$2634)+COUNT('Diário 6º PA'!$A$5:$A$2246)+COUNT('Diário 7º PA'!$A$5:$A$2271)+ROW()-4)</f>
        <v>4208</v>
      </c>
      <c r="B262" s="620">
        <v>44477</v>
      </c>
      <c r="C262" s="624">
        <v>44440</v>
      </c>
      <c r="D262" s="548" t="s">
        <v>99</v>
      </c>
      <c r="E262" s="548" t="s">
        <v>382</v>
      </c>
      <c r="F262" s="622">
        <v>30.8</v>
      </c>
      <c r="G262" s="623" t="s">
        <v>5611</v>
      </c>
      <c r="H262" s="548" t="s">
        <v>132</v>
      </c>
      <c r="I262" s="583" t="s">
        <v>465</v>
      </c>
      <c r="J262" s="548" t="s">
        <v>114</v>
      </c>
      <c r="K262" s="583" t="s">
        <v>466</v>
      </c>
      <c r="L262" s="583" t="s">
        <v>467</v>
      </c>
      <c r="M262" s="619">
        <v>3084</v>
      </c>
      <c r="N262" s="620">
        <v>44477</v>
      </c>
      <c r="O262" s="684" t="s">
        <v>67</v>
      </c>
      <c r="P262" s="503">
        <f t="shared" si="14"/>
        <v>10</v>
      </c>
      <c r="Q262" s="503">
        <f t="shared" si="15"/>
        <v>9</v>
      </c>
      <c r="R262" s="504" t="str">
        <f t="shared" si="16"/>
        <v>Gastos_Gerais</v>
      </c>
      <c r="S262" s="504" t="str">
        <f>IF(D262="","",IF(OR(D262=Plano!$A$1,D262=Plano!$B$1),"entrada","saída"))</f>
        <v>saída</v>
      </c>
      <c r="T262" s="505" t="s">
        <v>114</v>
      </c>
      <c r="U262" s="505" t="s">
        <v>114</v>
      </c>
      <c r="V262" s="541"/>
    </row>
    <row r="263" spans="1:22" ht="45" customHeight="1" x14ac:dyDescent="0.2">
      <c r="A263" s="619">
        <f>IF(B263="","",COUNT('Diário 5º PA'!$A$5:$A$2634)+COUNT('Diário 6º PA'!$A$5:$A$2246)+COUNT('Diário 7º PA'!$A$5:$A$2271)+ROW()-4)</f>
        <v>4209</v>
      </c>
      <c r="B263" s="620">
        <v>44477</v>
      </c>
      <c r="C263" s="624">
        <v>44409</v>
      </c>
      <c r="D263" s="548" t="s">
        <v>99</v>
      </c>
      <c r="E263" s="548" t="s">
        <v>290</v>
      </c>
      <c r="F263" s="622">
        <v>56.78</v>
      </c>
      <c r="G263" s="623" t="s">
        <v>5166</v>
      </c>
      <c r="H263" s="548" t="s">
        <v>115</v>
      </c>
      <c r="I263" s="583" t="s">
        <v>465</v>
      </c>
      <c r="J263" s="548" t="s">
        <v>114</v>
      </c>
      <c r="K263" s="583" t="s">
        <v>466</v>
      </c>
      <c r="L263" s="583" t="s">
        <v>467</v>
      </c>
      <c r="M263" s="619">
        <v>3085</v>
      </c>
      <c r="N263" s="620">
        <v>44477</v>
      </c>
      <c r="O263" s="684" t="s">
        <v>67</v>
      </c>
      <c r="P263" s="503">
        <f t="shared" si="14"/>
        <v>10</v>
      </c>
      <c r="Q263" s="503">
        <f t="shared" si="15"/>
        <v>8</v>
      </c>
      <c r="R263" s="504" t="str">
        <f t="shared" si="16"/>
        <v>Gastos_Gerais</v>
      </c>
      <c r="S263" s="504" t="str">
        <f>IF(D263="","",IF(OR(D263=Plano!$A$1,D263=Plano!$B$1),"entrada","saída"))</f>
        <v>saída</v>
      </c>
      <c r="T263" s="505" t="s">
        <v>114</v>
      </c>
      <c r="U263" s="505" t="s">
        <v>114</v>
      </c>
      <c r="V263" s="541"/>
    </row>
    <row r="264" spans="1:22" ht="45" customHeight="1" x14ac:dyDescent="0.2">
      <c r="A264" s="619">
        <f>IF(B264="","",COUNT('Diário 5º PA'!$A$5:$A$2634)+COUNT('Diário 6º PA'!$A$5:$A$2246)+COUNT('Diário 7º PA'!$A$5:$A$2271)+ROW()-4)</f>
        <v>4210</v>
      </c>
      <c r="B264" s="620">
        <v>44477</v>
      </c>
      <c r="C264" s="624">
        <v>44409</v>
      </c>
      <c r="D264" s="548" t="s">
        <v>99</v>
      </c>
      <c r="E264" s="548" t="s">
        <v>266</v>
      </c>
      <c r="F264" s="622">
        <v>9.2799999999999994</v>
      </c>
      <c r="G264" s="623" t="s">
        <v>5706</v>
      </c>
      <c r="H264" s="548" t="s">
        <v>115</v>
      </c>
      <c r="I264" s="583" t="s">
        <v>465</v>
      </c>
      <c r="J264" s="548" t="s">
        <v>114</v>
      </c>
      <c r="K264" s="583" t="s">
        <v>466</v>
      </c>
      <c r="L264" s="583" t="s">
        <v>467</v>
      </c>
      <c r="M264" s="619">
        <v>3086</v>
      </c>
      <c r="N264" s="620">
        <v>44477</v>
      </c>
      <c r="O264" s="684" t="s">
        <v>67</v>
      </c>
      <c r="P264" s="503">
        <f t="shared" si="14"/>
        <v>10</v>
      </c>
      <c r="Q264" s="503">
        <f t="shared" si="15"/>
        <v>8</v>
      </c>
      <c r="R264" s="504" t="str">
        <f t="shared" si="16"/>
        <v>Gastos_Gerais</v>
      </c>
      <c r="S264" s="504" t="str">
        <f>IF(D264="","",IF(OR(D264=Plano!$A$1,D264=Plano!$B$1),"entrada","saída"))</f>
        <v>saída</v>
      </c>
      <c r="T264" s="505" t="s">
        <v>114</v>
      </c>
      <c r="U264" s="505" t="s">
        <v>114</v>
      </c>
      <c r="V264" s="541"/>
    </row>
    <row r="265" spans="1:22" ht="45" customHeight="1" x14ac:dyDescent="0.2">
      <c r="A265" s="619">
        <f>IF(B265="","",COUNT('Diário 5º PA'!$A$5:$A$2634)+COUNT('Diário 6º PA'!$A$5:$A$2246)+COUNT('Diário 7º PA'!$A$5:$A$2271)+ROW()-4)</f>
        <v>4211</v>
      </c>
      <c r="B265" s="620">
        <v>44477</v>
      </c>
      <c r="C265" s="624">
        <v>44440</v>
      </c>
      <c r="D265" s="548" t="s">
        <v>88</v>
      </c>
      <c r="E265" s="548" t="s">
        <v>183</v>
      </c>
      <c r="F265" s="622">
        <v>13.81</v>
      </c>
      <c r="G265" s="623" t="s">
        <v>5584</v>
      </c>
      <c r="H265" s="548" t="s">
        <v>114</v>
      </c>
      <c r="I265" s="583" t="s">
        <v>465</v>
      </c>
      <c r="J265" s="548" t="s">
        <v>114</v>
      </c>
      <c r="K265" s="583" t="s">
        <v>466</v>
      </c>
      <c r="L265" s="583" t="s">
        <v>467</v>
      </c>
      <c r="M265" s="619">
        <v>3087</v>
      </c>
      <c r="N265" s="620">
        <v>44477</v>
      </c>
      <c r="O265" s="684" t="s">
        <v>67</v>
      </c>
      <c r="P265" s="503">
        <f t="shared" si="14"/>
        <v>10</v>
      </c>
      <c r="Q265" s="503">
        <f t="shared" si="15"/>
        <v>9</v>
      </c>
      <c r="R265" s="504" t="str">
        <f t="shared" si="16"/>
        <v>Gastos_com_Pessoal</v>
      </c>
      <c r="S265" s="504" t="str">
        <f>IF(D265="","",IF(OR(D265=Plano!$A$1,D265=Plano!$B$1),"entrada","saída"))</f>
        <v>saída</v>
      </c>
      <c r="T265" s="505" t="s">
        <v>114</v>
      </c>
      <c r="U265" s="505" t="s">
        <v>114</v>
      </c>
      <c r="V265" s="541"/>
    </row>
    <row r="266" spans="1:22" ht="45" customHeight="1" x14ac:dyDescent="0.2">
      <c r="A266" s="619">
        <f>IF(B266="","",COUNT('Diário 5º PA'!$A$5:$A$2634)+COUNT('Diário 6º PA'!$A$5:$A$2246)+COUNT('Diário 7º PA'!$A$5:$A$2271)+ROW()-4)</f>
        <v>4212</v>
      </c>
      <c r="B266" s="620">
        <v>44477</v>
      </c>
      <c r="C266" s="624">
        <v>44440</v>
      </c>
      <c r="D266" s="548" t="s">
        <v>88</v>
      </c>
      <c r="E266" s="548" t="s">
        <v>192</v>
      </c>
      <c r="F266" s="622">
        <v>0.25</v>
      </c>
      <c r="G266" s="623" t="s">
        <v>5350</v>
      </c>
      <c r="H266" s="548" t="s">
        <v>114</v>
      </c>
      <c r="I266" s="583" t="s">
        <v>465</v>
      </c>
      <c r="J266" s="548" t="s">
        <v>114</v>
      </c>
      <c r="K266" s="583" t="s">
        <v>466</v>
      </c>
      <c r="L266" s="583" t="s">
        <v>467</v>
      </c>
      <c r="M266" s="619">
        <v>3088</v>
      </c>
      <c r="N266" s="620">
        <v>44477</v>
      </c>
      <c r="O266" s="684" t="s">
        <v>67</v>
      </c>
      <c r="P266" s="503">
        <f t="shared" si="14"/>
        <v>10</v>
      </c>
      <c r="Q266" s="503">
        <f t="shared" si="15"/>
        <v>9</v>
      </c>
      <c r="R266" s="504" t="str">
        <f t="shared" si="16"/>
        <v>Gastos_com_Pessoal</v>
      </c>
      <c r="S266" s="504" t="str">
        <f>IF(D266="","",IF(OR(D266=Plano!$A$1,D266=Plano!$B$1),"entrada","saída"))</f>
        <v>saída</v>
      </c>
      <c r="T266" s="505" t="s">
        <v>114</v>
      </c>
      <c r="U266" s="505" t="s">
        <v>114</v>
      </c>
      <c r="V266" s="541"/>
    </row>
    <row r="267" spans="1:22" ht="45" customHeight="1" x14ac:dyDescent="0.2">
      <c r="A267" s="619">
        <f>IF(B267="","",COUNT('Diário 5º PA'!$A$5:$A$2634)+COUNT('Diário 6º PA'!$A$5:$A$2246)+COUNT('Diário 7º PA'!$A$5:$A$2271)+ROW()-4)</f>
        <v>4213</v>
      </c>
      <c r="B267" s="620">
        <v>44477</v>
      </c>
      <c r="C267" s="624">
        <v>44440</v>
      </c>
      <c r="D267" s="548" t="s">
        <v>88</v>
      </c>
      <c r="E267" s="548" t="s">
        <v>192</v>
      </c>
      <c r="F267" s="622">
        <v>7.0000000000000007E-2</v>
      </c>
      <c r="G267" s="623" t="s">
        <v>5348</v>
      </c>
      <c r="H267" s="548" t="s">
        <v>114</v>
      </c>
      <c r="I267" s="583" t="s">
        <v>465</v>
      </c>
      <c r="J267" s="548" t="s">
        <v>114</v>
      </c>
      <c r="K267" s="583" t="s">
        <v>466</v>
      </c>
      <c r="L267" s="583" t="s">
        <v>467</v>
      </c>
      <c r="M267" s="619">
        <v>3089</v>
      </c>
      <c r="N267" s="620">
        <v>44477</v>
      </c>
      <c r="O267" s="684" t="s">
        <v>67</v>
      </c>
      <c r="P267" s="503">
        <f t="shared" si="14"/>
        <v>10</v>
      </c>
      <c r="Q267" s="503">
        <f t="shared" si="15"/>
        <v>9</v>
      </c>
      <c r="R267" s="504" t="str">
        <f t="shared" si="16"/>
        <v>Gastos_com_Pessoal</v>
      </c>
      <c r="S267" s="504" t="str">
        <f>IF(D267="","",IF(OR(D267=Plano!$A$1,D267=Plano!$B$1),"entrada","saída"))</f>
        <v>saída</v>
      </c>
      <c r="T267" s="505" t="s">
        <v>114</v>
      </c>
      <c r="U267" s="505" t="s">
        <v>114</v>
      </c>
      <c r="V267" s="541"/>
    </row>
    <row r="268" spans="1:22" ht="45" customHeight="1" x14ac:dyDescent="0.2">
      <c r="A268" s="619">
        <f>IF(B268="","",COUNT('Diário 5º PA'!$A$5:$A$2634)+COUNT('Diário 6º PA'!$A$5:$A$2246)+COUNT('Diário 7º PA'!$A$5:$A$2271)+ROW()-4)</f>
        <v>4214</v>
      </c>
      <c r="B268" s="620">
        <v>44477</v>
      </c>
      <c r="C268" s="624">
        <v>44440</v>
      </c>
      <c r="D268" s="548" t="s">
        <v>88</v>
      </c>
      <c r="E268" s="548" t="s">
        <v>192</v>
      </c>
      <c r="F268" s="622">
        <v>0.16</v>
      </c>
      <c r="G268" s="623" t="s">
        <v>5374</v>
      </c>
      <c r="H268" s="548" t="s">
        <v>114</v>
      </c>
      <c r="I268" s="583" t="s">
        <v>465</v>
      </c>
      <c r="J268" s="548" t="s">
        <v>114</v>
      </c>
      <c r="K268" s="583" t="s">
        <v>466</v>
      </c>
      <c r="L268" s="583" t="s">
        <v>467</v>
      </c>
      <c r="M268" s="619">
        <v>3090</v>
      </c>
      <c r="N268" s="620">
        <v>44477</v>
      </c>
      <c r="O268" s="684" t="s">
        <v>67</v>
      </c>
      <c r="P268" s="503">
        <f t="shared" si="14"/>
        <v>10</v>
      </c>
      <c r="Q268" s="503">
        <f t="shared" si="15"/>
        <v>9</v>
      </c>
      <c r="R268" s="504" t="str">
        <f t="shared" si="16"/>
        <v>Gastos_com_Pessoal</v>
      </c>
      <c r="S268" s="504" t="str">
        <f>IF(D268="","",IF(OR(D268=Plano!$A$1,D268=Plano!$B$1),"entrada","saída"))</f>
        <v>saída</v>
      </c>
      <c r="T268" s="505" t="s">
        <v>114</v>
      </c>
      <c r="U268" s="505" t="s">
        <v>114</v>
      </c>
      <c r="V268" s="541"/>
    </row>
    <row r="269" spans="1:22" ht="45" customHeight="1" x14ac:dyDescent="0.2">
      <c r="A269" s="619">
        <f>IF(B269="","",COUNT('Diário 5º PA'!$A$5:$A$2634)+COUNT('Diário 6º PA'!$A$5:$A$2246)+COUNT('Diário 7º PA'!$A$5:$A$2271)+ROW()-4)</f>
        <v>4215</v>
      </c>
      <c r="B269" s="620">
        <v>44477</v>
      </c>
      <c r="C269" s="624">
        <v>44440</v>
      </c>
      <c r="D269" s="548" t="s">
        <v>88</v>
      </c>
      <c r="E269" s="548" t="s">
        <v>192</v>
      </c>
      <c r="F269" s="622">
        <v>0.08</v>
      </c>
      <c r="G269" s="623" t="s">
        <v>5376</v>
      </c>
      <c r="H269" s="548" t="s">
        <v>114</v>
      </c>
      <c r="I269" s="583" t="s">
        <v>465</v>
      </c>
      <c r="J269" s="548" t="s">
        <v>114</v>
      </c>
      <c r="K269" s="583" t="s">
        <v>466</v>
      </c>
      <c r="L269" s="583" t="s">
        <v>467</v>
      </c>
      <c r="M269" s="619">
        <v>3091</v>
      </c>
      <c r="N269" s="620">
        <v>44477</v>
      </c>
      <c r="O269" s="684" t="s">
        <v>67</v>
      </c>
      <c r="P269" s="503">
        <f t="shared" si="14"/>
        <v>10</v>
      </c>
      <c r="Q269" s="503">
        <f t="shared" si="15"/>
        <v>9</v>
      </c>
      <c r="R269" s="504" t="str">
        <f t="shared" si="16"/>
        <v>Gastos_com_Pessoal</v>
      </c>
      <c r="S269" s="504" t="str">
        <f>IF(D269="","",IF(OR(D269=Plano!$A$1,D269=Plano!$B$1),"entrada","saída"))</f>
        <v>saída</v>
      </c>
      <c r="T269" s="505" t="s">
        <v>114</v>
      </c>
      <c r="U269" s="505" t="s">
        <v>114</v>
      </c>
      <c r="V269" s="541"/>
    </row>
    <row r="270" spans="1:22" ht="45" customHeight="1" x14ac:dyDescent="0.2">
      <c r="A270" s="619">
        <f>IF(B270="","",COUNT('Diário 5º PA'!$A$5:$A$2634)+COUNT('Diário 6º PA'!$A$5:$A$2246)+COUNT('Diário 7º PA'!$A$5:$A$2271)+ROW()-4)</f>
        <v>4216</v>
      </c>
      <c r="B270" s="620">
        <v>44477</v>
      </c>
      <c r="C270" s="624">
        <v>44409</v>
      </c>
      <c r="D270" s="548" t="s">
        <v>88</v>
      </c>
      <c r="E270" s="548" t="s">
        <v>90</v>
      </c>
      <c r="F270" s="622">
        <v>1.92</v>
      </c>
      <c r="G270" s="623" t="s">
        <v>5707</v>
      </c>
      <c r="H270" s="548" t="s">
        <v>114</v>
      </c>
      <c r="I270" s="583" t="s">
        <v>465</v>
      </c>
      <c r="J270" s="548" t="s">
        <v>114</v>
      </c>
      <c r="K270" s="583" t="s">
        <v>466</v>
      </c>
      <c r="L270" s="583" t="s">
        <v>467</v>
      </c>
      <c r="M270" s="619">
        <v>3092</v>
      </c>
      <c r="N270" s="620">
        <v>44477</v>
      </c>
      <c r="O270" s="684" t="s">
        <v>67</v>
      </c>
      <c r="P270" s="503">
        <f t="shared" si="14"/>
        <v>10</v>
      </c>
      <c r="Q270" s="503">
        <f t="shared" si="15"/>
        <v>8</v>
      </c>
      <c r="R270" s="504" t="str">
        <f t="shared" si="16"/>
        <v>Gastos_com_Pessoal</v>
      </c>
      <c r="S270" s="504" t="str">
        <f>IF(D270="","",IF(OR(D270=Plano!$A$1,D270=Plano!$B$1),"entrada","saída"))</f>
        <v>saída</v>
      </c>
      <c r="T270" s="505" t="s">
        <v>114</v>
      </c>
      <c r="U270" s="505" t="s">
        <v>114</v>
      </c>
      <c r="V270" s="541"/>
    </row>
    <row r="271" spans="1:22" ht="45" customHeight="1" x14ac:dyDescent="0.2">
      <c r="A271" s="619">
        <f>IF(B271="","",COUNT('Diário 5º PA'!$A$5:$A$2634)+COUNT('Diário 6º PA'!$A$5:$A$2246)+COUNT('Diário 7º PA'!$A$5:$A$2271)+ROW()-4)</f>
        <v>4217</v>
      </c>
      <c r="B271" s="620">
        <v>44477</v>
      </c>
      <c r="C271" s="624">
        <v>44470</v>
      </c>
      <c r="D271" s="548" t="s">
        <v>88</v>
      </c>
      <c r="E271" s="548" t="s">
        <v>196</v>
      </c>
      <c r="F271" s="622">
        <v>201.59</v>
      </c>
      <c r="G271" s="623" t="s">
        <v>5708</v>
      </c>
      <c r="H271" s="548" t="s">
        <v>114</v>
      </c>
      <c r="I271" s="583" t="s">
        <v>465</v>
      </c>
      <c r="J271" s="548" t="s">
        <v>114</v>
      </c>
      <c r="K271" s="583" t="s">
        <v>466</v>
      </c>
      <c r="L271" s="583" t="s">
        <v>467</v>
      </c>
      <c r="M271" s="619">
        <v>3093</v>
      </c>
      <c r="N271" s="620">
        <v>44477</v>
      </c>
      <c r="O271" s="684" t="s">
        <v>67</v>
      </c>
      <c r="P271" s="503">
        <f t="shared" si="14"/>
        <v>10</v>
      </c>
      <c r="Q271" s="503">
        <f t="shared" si="15"/>
        <v>10</v>
      </c>
      <c r="R271" s="504" t="str">
        <f t="shared" si="16"/>
        <v>Gastos_com_Pessoal</v>
      </c>
      <c r="S271" s="504" t="str">
        <f>IF(D271="","",IF(OR(D271=Plano!$A$1,D271=Plano!$B$1),"entrada","saída"))</f>
        <v>saída</v>
      </c>
      <c r="T271" s="505" t="s">
        <v>114</v>
      </c>
      <c r="U271" s="505" t="s">
        <v>114</v>
      </c>
      <c r="V271" s="541"/>
    </row>
    <row r="272" spans="1:22" ht="45" customHeight="1" x14ac:dyDescent="0.2">
      <c r="A272" s="619">
        <f>IF(B272="","",COUNT('Diário 5º PA'!$A$5:$A$2634)+COUNT('Diário 6º PA'!$A$5:$A$2246)+COUNT('Diário 7º PA'!$A$5:$A$2271)+ROW()-4)</f>
        <v>4218</v>
      </c>
      <c r="B272" s="620">
        <v>44477</v>
      </c>
      <c r="C272" s="624">
        <v>44440</v>
      </c>
      <c r="D272" s="548" t="s">
        <v>88</v>
      </c>
      <c r="E272" s="548" t="s">
        <v>183</v>
      </c>
      <c r="F272" s="622">
        <v>7.91</v>
      </c>
      <c r="G272" s="623" t="s">
        <v>5582</v>
      </c>
      <c r="H272" s="548" t="s">
        <v>114</v>
      </c>
      <c r="I272" s="583" t="s">
        <v>465</v>
      </c>
      <c r="J272" s="548" t="s">
        <v>114</v>
      </c>
      <c r="K272" s="583" t="s">
        <v>466</v>
      </c>
      <c r="L272" s="583" t="s">
        <v>467</v>
      </c>
      <c r="M272" s="619">
        <v>3094</v>
      </c>
      <c r="N272" s="620">
        <v>44477</v>
      </c>
      <c r="O272" s="684" t="s">
        <v>67</v>
      </c>
      <c r="P272" s="503">
        <f t="shared" si="14"/>
        <v>10</v>
      </c>
      <c r="Q272" s="503">
        <f t="shared" si="15"/>
        <v>9</v>
      </c>
      <c r="R272" s="504" t="str">
        <f t="shared" si="16"/>
        <v>Gastos_com_Pessoal</v>
      </c>
      <c r="S272" s="504" t="str">
        <f>IF(D272="","",IF(OR(D272=Plano!$A$1,D272=Plano!$B$1),"entrada","saída"))</f>
        <v>saída</v>
      </c>
      <c r="T272" s="505" t="s">
        <v>114</v>
      </c>
      <c r="U272" s="505" t="s">
        <v>114</v>
      </c>
      <c r="V272" s="541"/>
    </row>
    <row r="273" spans="1:22" ht="45" customHeight="1" x14ac:dyDescent="0.2">
      <c r="A273" s="619">
        <f>IF(B273="","",COUNT('Diário 5º PA'!$A$5:$A$2634)+COUNT('Diário 6º PA'!$A$5:$A$2246)+COUNT('Diário 7º PA'!$A$5:$A$2271)+ROW()-4)</f>
        <v>4219</v>
      </c>
      <c r="B273" s="620">
        <v>44477</v>
      </c>
      <c r="C273" s="624">
        <v>44440</v>
      </c>
      <c r="D273" s="548" t="s">
        <v>99</v>
      </c>
      <c r="E273" s="548" t="s">
        <v>216</v>
      </c>
      <c r="F273" s="622">
        <v>107.86</v>
      </c>
      <c r="G273" s="623" t="s">
        <v>695</v>
      </c>
      <c r="H273" s="548" t="s">
        <v>129</v>
      </c>
      <c r="I273" s="583" t="s">
        <v>513</v>
      </c>
      <c r="J273" s="548" t="s">
        <v>514</v>
      </c>
      <c r="K273" s="583" t="s">
        <v>696</v>
      </c>
      <c r="L273" s="583" t="s">
        <v>697</v>
      </c>
      <c r="M273" s="619">
        <v>65382825</v>
      </c>
      <c r="N273" s="620">
        <v>44466</v>
      </c>
      <c r="O273" s="684" t="s">
        <v>67</v>
      </c>
      <c r="P273" s="503">
        <f t="shared" si="14"/>
        <v>10</v>
      </c>
      <c r="Q273" s="503">
        <f t="shared" si="15"/>
        <v>9</v>
      </c>
      <c r="R273" s="504" t="str">
        <f t="shared" si="16"/>
        <v>Gastos_Gerais</v>
      </c>
      <c r="S273" s="504" t="str">
        <f>IF(D273="","",IF(OR(D273=Plano!$A$1,D273=Plano!$B$1),"entrada","saída"))</f>
        <v>saída</v>
      </c>
      <c r="T273" s="505" t="s">
        <v>114</v>
      </c>
      <c r="U273" s="505" t="s">
        <v>114</v>
      </c>
      <c r="V273" s="541"/>
    </row>
    <row r="274" spans="1:22" ht="45" customHeight="1" x14ac:dyDescent="0.2">
      <c r="A274" s="619">
        <f>IF(B274="","",COUNT('Diário 5º PA'!$A$5:$A$2634)+COUNT('Diário 6º PA'!$A$5:$A$2246)+COUNT('Diário 7º PA'!$A$5:$A$2271)+ROW()-4)</f>
        <v>4220</v>
      </c>
      <c r="B274" s="620">
        <v>44477</v>
      </c>
      <c r="C274" s="624">
        <v>44470</v>
      </c>
      <c r="D274" s="548" t="s">
        <v>88</v>
      </c>
      <c r="E274" s="548" t="s">
        <v>194</v>
      </c>
      <c r="F274" s="622">
        <v>3347.73</v>
      </c>
      <c r="G274" s="623" t="s">
        <v>5711</v>
      </c>
      <c r="H274" s="548" t="s">
        <v>114</v>
      </c>
      <c r="I274" s="583" t="s">
        <v>532</v>
      </c>
      <c r="J274" s="548" t="s">
        <v>1261</v>
      </c>
      <c r="K274" s="583" t="s">
        <v>560</v>
      </c>
      <c r="L274" s="583" t="s">
        <v>992</v>
      </c>
      <c r="M274" s="619">
        <v>978334</v>
      </c>
      <c r="N274" s="620">
        <v>44483</v>
      </c>
      <c r="O274" s="684" t="s">
        <v>67</v>
      </c>
      <c r="P274" s="503">
        <f t="shared" si="14"/>
        <v>10</v>
      </c>
      <c r="Q274" s="503">
        <f t="shared" si="15"/>
        <v>10</v>
      </c>
      <c r="R274" s="504" t="str">
        <f t="shared" si="16"/>
        <v>Gastos_com_Pessoal</v>
      </c>
      <c r="S274" s="504" t="str">
        <f>IF(D274="","",IF(OR(D274=Plano!$A$1,D274=Plano!$B$1),"entrada","saída"))</f>
        <v>saída</v>
      </c>
      <c r="T274" s="505" t="s">
        <v>114</v>
      </c>
      <c r="U274" s="505" t="s">
        <v>114</v>
      </c>
      <c r="V274" s="541"/>
    </row>
    <row r="275" spans="1:22" ht="45" customHeight="1" x14ac:dyDescent="0.2">
      <c r="A275" s="619">
        <f>IF(B275="","",COUNT('Diário 5º PA'!$A$5:$A$2634)+COUNT('Diário 6º PA'!$A$5:$A$2246)+COUNT('Diário 7º PA'!$A$5:$A$2271)+ROW()-4)</f>
        <v>4221</v>
      </c>
      <c r="B275" s="620">
        <v>44477</v>
      </c>
      <c r="C275" s="624">
        <v>44470</v>
      </c>
      <c r="D275" s="548" t="s">
        <v>88</v>
      </c>
      <c r="E275" s="548" t="s">
        <v>194</v>
      </c>
      <c r="F275" s="622">
        <v>370.8</v>
      </c>
      <c r="G275" s="623" t="s">
        <v>5712</v>
      </c>
      <c r="H275" s="548" t="s">
        <v>114</v>
      </c>
      <c r="I275" s="583" t="s">
        <v>532</v>
      </c>
      <c r="J275" s="548" t="s">
        <v>1261</v>
      </c>
      <c r="K275" s="583" t="s">
        <v>560</v>
      </c>
      <c r="L275" s="583" t="s">
        <v>992</v>
      </c>
      <c r="M275" s="619">
        <v>978405</v>
      </c>
      <c r="N275" s="620">
        <v>44483</v>
      </c>
      <c r="O275" s="684" t="s">
        <v>67</v>
      </c>
      <c r="P275" s="503">
        <f t="shared" si="14"/>
        <v>10</v>
      </c>
      <c r="Q275" s="503">
        <f t="shared" si="15"/>
        <v>10</v>
      </c>
      <c r="R275" s="504" t="str">
        <f t="shared" si="16"/>
        <v>Gastos_com_Pessoal</v>
      </c>
      <c r="S275" s="504" t="str">
        <f>IF(D275="","",IF(OR(D275=Plano!$A$1,D275=Plano!$B$1),"entrada","saída"))</f>
        <v>saída</v>
      </c>
      <c r="T275" s="505" t="s">
        <v>114</v>
      </c>
      <c r="U275" s="505" t="s">
        <v>114</v>
      </c>
      <c r="V275" s="541"/>
    </row>
    <row r="276" spans="1:22" ht="168" customHeight="1" x14ac:dyDescent="0.2">
      <c r="A276" s="619">
        <f>IF(B276="","",COUNT('Diário 5º PA'!$A$5:$A$2634)+COUNT('Diário 6º PA'!$A$5:$A$2246)+COUNT('Diário 7º PA'!$A$5:$A$2271)+ROW()-4)</f>
        <v>4222</v>
      </c>
      <c r="B276" s="620">
        <v>44477</v>
      </c>
      <c r="C276" s="624">
        <v>44136</v>
      </c>
      <c r="D276" s="548" t="s">
        <v>99</v>
      </c>
      <c r="E276" s="548" t="s">
        <v>224</v>
      </c>
      <c r="F276" s="622">
        <v>2009</v>
      </c>
      <c r="G276" s="623" t="s">
        <v>434</v>
      </c>
      <c r="H276" s="548" t="s">
        <v>123</v>
      </c>
      <c r="I276" s="583" t="s">
        <v>532</v>
      </c>
      <c r="J276" s="548" t="s">
        <v>1261</v>
      </c>
      <c r="K276" s="583" t="s">
        <v>560</v>
      </c>
      <c r="L276" s="583" t="s">
        <v>992</v>
      </c>
      <c r="M276" s="619">
        <v>859254</v>
      </c>
      <c r="N276" s="620">
        <v>44480</v>
      </c>
      <c r="O276" s="684" t="s">
        <v>67</v>
      </c>
      <c r="P276" s="503">
        <f t="shared" si="14"/>
        <v>10</v>
      </c>
      <c r="Q276" s="503">
        <f t="shared" si="15"/>
        <v>-1</v>
      </c>
      <c r="R276" s="504" t="str">
        <f t="shared" si="16"/>
        <v>Gastos_Gerais</v>
      </c>
      <c r="S276" s="504" t="str">
        <f>IF(D276="","",IF(OR(D276=Plano!$A$1,D276=Plano!$B$1),"entrada","saída"))</f>
        <v>saída</v>
      </c>
      <c r="T276" s="505" t="s">
        <v>1059</v>
      </c>
      <c r="U276" s="505">
        <v>528</v>
      </c>
      <c r="V276" s="541"/>
    </row>
    <row r="277" spans="1:22" ht="108.75" customHeight="1" x14ac:dyDescent="0.2">
      <c r="A277" s="619">
        <f>IF(B277="","",COUNT('Diário 5º PA'!$A$5:$A$2634)+COUNT('Diário 6º PA'!$A$5:$A$2246)+COUNT('Diário 7º PA'!$A$5:$A$2271)+ROW()-4)</f>
        <v>4223</v>
      </c>
      <c r="B277" s="620">
        <v>44477</v>
      </c>
      <c r="C277" s="624">
        <v>44470</v>
      </c>
      <c r="D277" s="548" t="s">
        <v>99</v>
      </c>
      <c r="E277" s="548" t="s">
        <v>364</v>
      </c>
      <c r="F277" s="622">
        <v>500</v>
      </c>
      <c r="G277" s="623" t="s">
        <v>5345</v>
      </c>
      <c r="H277" s="548" t="s">
        <v>131</v>
      </c>
      <c r="I277" s="583" t="s">
        <v>5713</v>
      </c>
      <c r="J277" s="548" t="s">
        <v>5346</v>
      </c>
      <c r="K277" s="583" t="s">
        <v>991</v>
      </c>
      <c r="L277" s="583" t="s">
        <v>992</v>
      </c>
      <c r="M277" s="619">
        <v>227</v>
      </c>
      <c r="N277" s="620">
        <v>44477</v>
      </c>
      <c r="O277" s="684" t="s">
        <v>67</v>
      </c>
      <c r="P277" s="503">
        <f t="shared" si="14"/>
        <v>10</v>
      </c>
      <c r="Q277" s="503">
        <f t="shared" si="15"/>
        <v>10</v>
      </c>
      <c r="R277" s="504" t="str">
        <f t="shared" si="16"/>
        <v>Gastos_Gerais</v>
      </c>
      <c r="S277" s="504" t="str">
        <f>IF(D277="","",IF(OR(D277=Plano!$A$1,D277=Plano!$B$1),"entrada","saída"))</f>
        <v>saída</v>
      </c>
      <c r="T277" s="505" t="s">
        <v>1082</v>
      </c>
      <c r="U277" s="505">
        <v>2126</v>
      </c>
      <c r="V277" s="541"/>
    </row>
    <row r="278" spans="1:22" ht="159.75" customHeight="1" x14ac:dyDescent="0.2">
      <c r="A278" s="619">
        <f>IF(B278="","",COUNT('Diário 5º PA'!$A$5:$A$2634)+COUNT('Diário 6º PA'!$A$5:$A$2246)+COUNT('Diário 7º PA'!$A$5:$A$2271)+ROW()-4)</f>
        <v>4224</v>
      </c>
      <c r="B278" s="620">
        <v>44477</v>
      </c>
      <c r="C278" s="624">
        <v>44470</v>
      </c>
      <c r="D278" s="629" t="s">
        <v>99</v>
      </c>
      <c r="E278" s="548" t="s">
        <v>356</v>
      </c>
      <c r="F278" s="622">
        <v>1500</v>
      </c>
      <c r="G278" s="630" t="s">
        <v>5259</v>
      </c>
      <c r="H278" s="548" t="s">
        <v>125</v>
      </c>
      <c r="I278" s="583" t="s">
        <v>5714</v>
      </c>
      <c r="J278" s="629" t="s">
        <v>2151</v>
      </c>
      <c r="K278" s="583" t="s">
        <v>991</v>
      </c>
      <c r="L278" s="583" t="s">
        <v>992</v>
      </c>
      <c r="M278" s="619" t="s">
        <v>1052</v>
      </c>
      <c r="N278" s="620">
        <v>44477</v>
      </c>
      <c r="O278" s="684" t="s">
        <v>67</v>
      </c>
      <c r="P278" s="503">
        <f t="shared" si="14"/>
        <v>10</v>
      </c>
      <c r="Q278" s="503">
        <f t="shared" si="15"/>
        <v>10</v>
      </c>
      <c r="R278" s="504" t="str">
        <f t="shared" si="16"/>
        <v>Gastos_Gerais</v>
      </c>
      <c r="S278" s="504" t="str">
        <f>IF(D278="","",IF(OR(D278=Plano!$A$1,D278=Plano!$B$1),"entrada","saída"))</f>
        <v>saída</v>
      </c>
      <c r="T278" s="505" t="s">
        <v>1082</v>
      </c>
      <c r="U278" s="505">
        <v>2107</v>
      </c>
      <c r="V278" s="541"/>
    </row>
    <row r="279" spans="1:22" ht="45" customHeight="1" x14ac:dyDescent="0.2">
      <c r="A279" s="619">
        <f>IF(B279="","",COUNT('Diário 5º PA'!$A$5:$A$2634)+COUNT('Diário 6º PA'!$A$5:$A$2246)+COUNT('Diário 7º PA'!$A$5:$A$2271)+ROW()-4)</f>
        <v>4225</v>
      </c>
      <c r="B279" s="620">
        <v>44477</v>
      </c>
      <c r="C279" s="621">
        <v>44470</v>
      </c>
      <c r="D279" s="548" t="s">
        <v>99</v>
      </c>
      <c r="E279" s="548" t="s">
        <v>272</v>
      </c>
      <c r="F279" s="622">
        <v>10.45</v>
      </c>
      <c r="G279" s="623" t="s">
        <v>5715</v>
      </c>
      <c r="H279" s="548" t="s">
        <v>118</v>
      </c>
      <c r="I279" s="583" t="s">
        <v>949</v>
      </c>
      <c r="J279" s="548" t="s">
        <v>950</v>
      </c>
      <c r="K279" s="583" t="s">
        <v>951</v>
      </c>
      <c r="L279" s="583" t="s">
        <v>947</v>
      </c>
      <c r="M279" s="625" t="s">
        <v>114</v>
      </c>
      <c r="N279" s="620">
        <v>44477</v>
      </c>
      <c r="O279" s="684" t="s">
        <v>67</v>
      </c>
      <c r="P279" s="503">
        <f t="shared" si="14"/>
        <v>10</v>
      </c>
      <c r="Q279" s="503">
        <f t="shared" si="15"/>
        <v>10</v>
      </c>
      <c r="R279" s="504" t="str">
        <f t="shared" si="16"/>
        <v>Gastos_Gerais</v>
      </c>
      <c r="S279" s="504" t="str">
        <f>IF(D279="","",IF(OR(D279=Plano!$A$1,D279=Plano!$B$1),"entrada","saída"))</f>
        <v>saída</v>
      </c>
      <c r="T279" s="511" t="s">
        <v>114</v>
      </c>
      <c r="U279" s="511" t="s">
        <v>114</v>
      </c>
      <c r="V279" s="541"/>
    </row>
    <row r="280" spans="1:22" ht="45" customHeight="1" x14ac:dyDescent="0.2">
      <c r="A280" s="619">
        <f>IF(B280="","",COUNT('Diário 5º PA'!$A$5:$A$2634)+COUNT('Diário 6º PA'!$A$5:$A$2246)+COUNT('Diário 7º PA'!$A$5:$A$2271)+ROW()-4)</f>
        <v>4226</v>
      </c>
      <c r="B280" s="620">
        <v>44477</v>
      </c>
      <c r="C280" s="621">
        <v>44470</v>
      </c>
      <c r="D280" s="548" t="s">
        <v>99</v>
      </c>
      <c r="E280" s="548" t="s">
        <v>272</v>
      </c>
      <c r="F280" s="622">
        <v>10.45</v>
      </c>
      <c r="G280" s="623" t="s">
        <v>5716</v>
      </c>
      <c r="H280" s="548" t="s">
        <v>131</v>
      </c>
      <c r="I280" s="583" t="s">
        <v>949</v>
      </c>
      <c r="J280" s="548" t="s">
        <v>950</v>
      </c>
      <c r="K280" s="583" t="s">
        <v>951</v>
      </c>
      <c r="L280" s="583" t="s">
        <v>947</v>
      </c>
      <c r="M280" s="625" t="s">
        <v>114</v>
      </c>
      <c r="N280" s="620">
        <v>44477</v>
      </c>
      <c r="O280" s="684" t="s">
        <v>67</v>
      </c>
      <c r="P280" s="503">
        <f t="shared" si="14"/>
        <v>10</v>
      </c>
      <c r="Q280" s="503">
        <f t="shared" si="15"/>
        <v>10</v>
      </c>
      <c r="R280" s="504" t="str">
        <f t="shared" si="16"/>
        <v>Gastos_Gerais</v>
      </c>
      <c r="S280" s="504" t="str">
        <f>IF(D280="","",IF(OR(D280=Plano!$A$1,D280=Plano!$B$1),"entrada","saída"))</f>
        <v>saída</v>
      </c>
      <c r="T280" s="511" t="s">
        <v>114</v>
      </c>
      <c r="U280" s="511" t="s">
        <v>114</v>
      </c>
      <c r="V280" s="541"/>
    </row>
    <row r="281" spans="1:22" ht="45" customHeight="1" x14ac:dyDescent="0.2">
      <c r="A281" s="619">
        <f>IF(B281="","",COUNT('Diário 5º PA'!$A$5:$A$2634)+COUNT('Diário 6º PA'!$A$5:$A$2246)+COUNT('Diário 7º PA'!$A$5:$A$2271)+ROW()-4)</f>
        <v>4227</v>
      </c>
      <c r="B281" s="620">
        <v>44477</v>
      </c>
      <c r="C281" s="621">
        <v>44470</v>
      </c>
      <c r="D281" s="548" t="s">
        <v>99</v>
      </c>
      <c r="E281" s="548" t="s">
        <v>272</v>
      </c>
      <c r="F281" s="622">
        <v>10.45</v>
      </c>
      <c r="G281" s="623" t="s">
        <v>5717</v>
      </c>
      <c r="H281" s="548" t="s">
        <v>125</v>
      </c>
      <c r="I281" s="583" t="s">
        <v>949</v>
      </c>
      <c r="J281" s="548" t="s">
        <v>950</v>
      </c>
      <c r="K281" s="583" t="s">
        <v>951</v>
      </c>
      <c r="L281" s="583" t="s">
        <v>947</v>
      </c>
      <c r="M281" s="625" t="s">
        <v>114</v>
      </c>
      <c r="N281" s="620">
        <v>44477</v>
      </c>
      <c r="O281" s="684" t="s">
        <v>67</v>
      </c>
      <c r="P281" s="503">
        <f t="shared" si="14"/>
        <v>10</v>
      </c>
      <c r="Q281" s="503">
        <f t="shared" si="15"/>
        <v>10</v>
      </c>
      <c r="R281" s="504" t="str">
        <f t="shared" si="16"/>
        <v>Gastos_Gerais</v>
      </c>
      <c r="S281" s="504" t="str">
        <f>IF(D281="","",IF(OR(D281=Plano!$A$1,D281=Plano!$B$1),"entrada","saída"))</f>
        <v>saída</v>
      </c>
      <c r="T281" s="511" t="s">
        <v>114</v>
      </c>
      <c r="U281" s="511" t="s">
        <v>114</v>
      </c>
      <c r="V281" s="541"/>
    </row>
    <row r="282" spans="1:22" s="518" customFormat="1" ht="45" customHeight="1" x14ac:dyDescent="0.2">
      <c r="A282" s="619">
        <f>IF(B282="","",COUNT('Diário 5º PA'!$A$5:$A$2634)+COUNT('Diário 6º PA'!$A$5:$A$2246)+COUNT('Diário 7º PA'!$A$5:$A$2271)+ROW()-4)</f>
        <v>4228</v>
      </c>
      <c r="B282" s="620">
        <v>44477</v>
      </c>
      <c r="C282" s="624">
        <v>44409</v>
      </c>
      <c r="D282" s="548" t="s">
        <v>104</v>
      </c>
      <c r="E282" s="548" t="s">
        <v>104</v>
      </c>
      <c r="F282" s="622">
        <v>75</v>
      </c>
      <c r="G282" s="630" t="s">
        <v>5249</v>
      </c>
      <c r="H282" s="548" t="s">
        <v>104</v>
      </c>
      <c r="I282" s="631" t="s">
        <v>465</v>
      </c>
      <c r="J282" s="629" t="s">
        <v>114</v>
      </c>
      <c r="K282" s="583" t="s">
        <v>466</v>
      </c>
      <c r="L282" s="631" t="s">
        <v>467</v>
      </c>
      <c r="M282" s="625">
        <v>3140</v>
      </c>
      <c r="N282" s="620">
        <v>44477</v>
      </c>
      <c r="O282" s="684" t="s">
        <v>68</v>
      </c>
      <c r="P282" s="503">
        <f t="shared" si="14"/>
        <v>10</v>
      </c>
      <c r="Q282" s="503">
        <f t="shared" si="15"/>
        <v>8</v>
      </c>
      <c r="R282" s="504" t="str">
        <f t="shared" si="16"/>
        <v>Gastos_custeados_por_captação</v>
      </c>
      <c r="S282" s="504" t="str">
        <f>IF(D282="","",IF(OR(D282=Plano!$A$1,D282=Plano!$B$1),"entrada","saída"))</f>
        <v>saída</v>
      </c>
      <c r="T282" s="511" t="s">
        <v>114</v>
      </c>
      <c r="U282" s="511" t="s">
        <v>114</v>
      </c>
      <c r="V282" s="541"/>
    </row>
    <row r="283" spans="1:22" s="518" customFormat="1" ht="45" customHeight="1" x14ac:dyDescent="0.2">
      <c r="A283" s="619">
        <f>IF(B283="","",COUNT('Diário 5º PA'!$A$5:$A$2634)+COUNT('Diário 6º PA'!$A$5:$A$2246)+COUNT('Diário 7º PA'!$A$5:$A$2271)+ROW()-4)</f>
        <v>4229</v>
      </c>
      <c r="B283" s="620">
        <v>44477</v>
      </c>
      <c r="C283" s="624">
        <v>44348</v>
      </c>
      <c r="D283" s="548" t="s">
        <v>104</v>
      </c>
      <c r="E283" s="548" t="s">
        <v>104</v>
      </c>
      <c r="F283" s="622">
        <v>230</v>
      </c>
      <c r="G283" s="623" t="s">
        <v>5253</v>
      </c>
      <c r="H283" s="548" t="s">
        <v>104</v>
      </c>
      <c r="I283" s="631" t="s">
        <v>465</v>
      </c>
      <c r="J283" s="629" t="s">
        <v>114</v>
      </c>
      <c r="K283" s="583" t="s">
        <v>466</v>
      </c>
      <c r="L283" s="631" t="s">
        <v>467</v>
      </c>
      <c r="M283" s="625">
        <v>3142</v>
      </c>
      <c r="N283" s="620">
        <v>44477</v>
      </c>
      <c r="O283" s="684" t="s">
        <v>69</v>
      </c>
      <c r="P283" s="503">
        <f t="shared" si="14"/>
        <v>10</v>
      </c>
      <c r="Q283" s="503">
        <f t="shared" si="15"/>
        <v>6</v>
      </c>
      <c r="R283" s="504" t="str">
        <f t="shared" si="16"/>
        <v>Gastos_custeados_por_captação</v>
      </c>
      <c r="S283" s="504" t="str">
        <f>IF(D283="","",IF(OR(D283=Plano!$A$1,D283=Plano!$B$1),"entrada","saída"))</f>
        <v>saída</v>
      </c>
      <c r="T283" s="511" t="s">
        <v>114</v>
      </c>
      <c r="U283" s="511" t="s">
        <v>114</v>
      </c>
      <c r="V283" s="541"/>
    </row>
    <row r="284" spans="1:22" s="518" customFormat="1" ht="69.75" customHeight="1" x14ac:dyDescent="0.2">
      <c r="A284" s="619">
        <f>IF(B284="","",COUNT('Diário 5º PA'!$A$5:$A$2634)+COUNT('Diário 6º PA'!$A$5:$A$2246)+COUNT('Diário 7º PA'!$A$5:$A$2271)+ROW()-4)</f>
        <v>4230</v>
      </c>
      <c r="B284" s="620">
        <v>44477</v>
      </c>
      <c r="C284" s="624">
        <v>44136</v>
      </c>
      <c r="D284" s="548" t="s">
        <v>104</v>
      </c>
      <c r="E284" s="548" t="s">
        <v>104</v>
      </c>
      <c r="F284" s="622">
        <v>55.28</v>
      </c>
      <c r="G284" s="623" t="s">
        <v>5543</v>
      </c>
      <c r="H284" s="548" t="s">
        <v>104</v>
      </c>
      <c r="I284" s="631" t="s">
        <v>465</v>
      </c>
      <c r="J284" s="548" t="s">
        <v>114</v>
      </c>
      <c r="K284" s="583" t="s">
        <v>466</v>
      </c>
      <c r="L284" s="583" t="s">
        <v>467</v>
      </c>
      <c r="M284" s="625">
        <v>3160</v>
      </c>
      <c r="N284" s="620">
        <v>44477</v>
      </c>
      <c r="O284" s="684" t="s">
        <v>69</v>
      </c>
      <c r="P284" s="503">
        <f t="shared" si="14"/>
        <v>10</v>
      </c>
      <c r="Q284" s="503">
        <f t="shared" si="15"/>
        <v>-1</v>
      </c>
      <c r="R284" s="504" t="str">
        <f t="shared" si="16"/>
        <v>Gastos_custeados_por_captação</v>
      </c>
      <c r="S284" s="504" t="str">
        <f>IF(D284="","",IF(OR(D284=Plano!$A$1,D284=Plano!$B$1),"entrada","saída"))</f>
        <v>saída</v>
      </c>
      <c r="T284" s="511" t="s">
        <v>114</v>
      </c>
      <c r="U284" s="511" t="s">
        <v>114</v>
      </c>
      <c r="V284" s="541"/>
    </row>
    <row r="285" spans="1:22" s="518" customFormat="1" ht="69.75" customHeight="1" x14ac:dyDescent="0.2">
      <c r="A285" s="619">
        <f>IF(B285="","",COUNT('Diário 5º PA'!$A$5:$A$2634)+COUNT('Diário 6º PA'!$A$5:$A$2246)+COUNT('Diário 7º PA'!$A$5:$A$2271)+ROW()-4)</f>
        <v>4231</v>
      </c>
      <c r="B285" s="620">
        <v>44477</v>
      </c>
      <c r="C285" s="624">
        <v>44409</v>
      </c>
      <c r="D285" s="548" t="s">
        <v>104</v>
      </c>
      <c r="E285" s="548" t="s">
        <v>104</v>
      </c>
      <c r="F285" s="622">
        <v>55.27</v>
      </c>
      <c r="G285" s="623" t="s">
        <v>5266</v>
      </c>
      <c r="H285" s="548" t="s">
        <v>104</v>
      </c>
      <c r="I285" s="631" t="s">
        <v>465</v>
      </c>
      <c r="J285" s="548" t="s">
        <v>114</v>
      </c>
      <c r="K285" s="583" t="s">
        <v>466</v>
      </c>
      <c r="L285" s="583" t="s">
        <v>467</v>
      </c>
      <c r="M285" s="625">
        <v>3101</v>
      </c>
      <c r="N285" s="620">
        <v>44477</v>
      </c>
      <c r="O285" s="684" t="s">
        <v>70</v>
      </c>
      <c r="P285" s="503">
        <f t="shared" si="14"/>
        <v>10</v>
      </c>
      <c r="Q285" s="503">
        <f t="shared" si="15"/>
        <v>8</v>
      </c>
      <c r="R285" s="504" t="str">
        <f t="shared" si="16"/>
        <v>Gastos_custeados_por_captação</v>
      </c>
      <c r="S285" s="504" t="str">
        <f>IF(D285="","",IF(OR(D285=Plano!$A$1,D285=Plano!$B$1),"entrada","saída"))</f>
        <v>saída</v>
      </c>
      <c r="T285" s="511" t="s">
        <v>114</v>
      </c>
      <c r="U285" s="511" t="s">
        <v>114</v>
      </c>
      <c r="V285" s="541"/>
    </row>
    <row r="286" spans="1:22" s="518" customFormat="1" ht="69.75" customHeight="1" x14ac:dyDescent="0.2">
      <c r="A286" s="619">
        <f>IF(B286="","",COUNT('Diário 5º PA'!$A$5:$A$2634)+COUNT('Diário 6º PA'!$A$5:$A$2246)+COUNT('Diário 7º PA'!$A$5:$A$2271)+ROW()-4)</f>
        <v>4232</v>
      </c>
      <c r="B286" s="620">
        <v>44477</v>
      </c>
      <c r="C286" s="624">
        <v>44409</v>
      </c>
      <c r="D286" s="548" t="s">
        <v>104</v>
      </c>
      <c r="E286" s="548" t="s">
        <v>104</v>
      </c>
      <c r="F286" s="622">
        <v>130.19999999999999</v>
      </c>
      <c r="G286" s="623" t="s">
        <v>5265</v>
      </c>
      <c r="H286" s="548" t="s">
        <v>104</v>
      </c>
      <c r="I286" s="631" t="s">
        <v>465</v>
      </c>
      <c r="J286" s="548" t="s">
        <v>114</v>
      </c>
      <c r="K286" s="583" t="s">
        <v>466</v>
      </c>
      <c r="L286" s="583" t="s">
        <v>467</v>
      </c>
      <c r="M286" s="625">
        <v>3102</v>
      </c>
      <c r="N286" s="620">
        <v>44477</v>
      </c>
      <c r="O286" s="684" t="s">
        <v>70</v>
      </c>
      <c r="P286" s="503">
        <f t="shared" si="14"/>
        <v>10</v>
      </c>
      <c r="Q286" s="503">
        <f t="shared" si="15"/>
        <v>8</v>
      </c>
      <c r="R286" s="504" t="str">
        <f t="shared" si="16"/>
        <v>Gastos_custeados_por_captação</v>
      </c>
      <c r="S286" s="504" t="str">
        <f>IF(D286="","",IF(OR(D286=Plano!$A$1,D286=Plano!$B$1),"entrada","saída"))</f>
        <v>saída</v>
      </c>
      <c r="T286" s="511" t="s">
        <v>114</v>
      </c>
      <c r="U286" s="511" t="s">
        <v>114</v>
      </c>
      <c r="V286" s="541"/>
    </row>
    <row r="287" spans="1:22" s="518" customFormat="1" ht="59.25" customHeight="1" x14ac:dyDescent="0.2">
      <c r="A287" s="619">
        <f>IF(B287="","",COUNT('Diário 5º PA'!$A$5:$A$2634)+COUNT('Diário 6º PA'!$A$5:$A$2246)+COUNT('Diário 7º PA'!$A$5:$A$2271)+ROW()-4)</f>
        <v>4233</v>
      </c>
      <c r="B287" s="620">
        <v>44477</v>
      </c>
      <c r="C287" s="624">
        <v>44378</v>
      </c>
      <c r="D287" s="548" t="s">
        <v>104</v>
      </c>
      <c r="E287" s="548" t="s">
        <v>104</v>
      </c>
      <c r="F287" s="622">
        <v>60.3</v>
      </c>
      <c r="G287" s="623" t="s">
        <v>5264</v>
      </c>
      <c r="H287" s="548" t="s">
        <v>104</v>
      </c>
      <c r="I287" s="631" t="s">
        <v>465</v>
      </c>
      <c r="J287" s="548" t="s">
        <v>114</v>
      </c>
      <c r="K287" s="583" t="s">
        <v>466</v>
      </c>
      <c r="L287" s="583" t="s">
        <v>467</v>
      </c>
      <c r="M287" s="625">
        <v>3103</v>
      </c>
      <c r="N287" s="620">
        <v>44477</v>
      </c>
      <c r="O287" s="684" t="s">
        <v>70</v>
      </c>
      <c r="P287" s="503">
        <f t="shared" si="14"/>
        <v>10</v>
      </c>
      <c r="Q287" s="503">
        <f t="shared" si="15"/>
        <v>7</v>
      </c>
      <c r="R287" s="504" t="str">
        <f t="shared" si="16"/>
        <v>Gastos_custeados_por_captação</v>
      </c>
      <c r="S287" s="504" t="str">
        <f>IF(D287="","",IF(OR(D287=Plano!$A$1,D287=Plano!$B$1),"entrada","saída"))</f>
        <v>saída</v>
      </c>
      <c r="T287" s="511" t="s">
        <v>114</v>
      </c>
      <c r="U287" s="511" t="s">
        <v>114</v>
      </c>
      <c r="V287" s="541"/>
    </row>
    <row r="288" spans="1:22" s="540" customFormat="1" ht="59.25" customHeight="1" x14ac:dyDescent="0.2">
      <c r="A288" s="619">
        <f>IF(B288="","",COUNT('Diário 5º PA'!$A$5:$A$2634)+COUNT('Diário 6º PA'!$A$5:$A$2246)+COUNT('Diário 7º PA'!$A$5:$A$2271)+ROW()-4)</f>
        <v>4234</v>
      </c>
      <c r="B288" s="620">
        <v>44477</v>
      </c>
      <c r="C288" s="624">
        <v>44440</v>
      </c>
      <c r="D288" s="548" t="s">
        <v>104</v>
      </c>
      <c r="E288" s="548" t="s">
        <v>104</v>
      </c>
      <c r="F288" s="622">
        <v>99</v>
      </c>
      <c r="G288" s="623" t="s">
        <v>5403</v>
      </c>
      <c r="H288" s="548" t="s">
        <v>104</v>
      </c>
      <c r="I288" s="631" t="s">
        <v>465</v>
      </c>
      <c r="J288" s="548" t="s">
        <v>114</v>
      </c>
      <c r="K288" s="583" t="s">
        <v>466</v>
      </c>
      <c r="L288" s="583" t="s">
        <v>467</v>
      </c>
      <c r="M288" s="625">
        <v>3165</v>
      </c>
      <c r="N288" s="620">
        <v>44477</v>
      </c>
      <c r="O288" s="684" t="s">
        <v>5370</v>
      </c>
      <c r="P288" s="503">
        <f t="shared" si="14"/>
        <v>10</v>
      </c>
      <c r="Q288" s="503">
        <f t="shared" si="15"/>
        <v>9</v>
      </c>
      <c r="R288" s="504" t="str">
        <f t="shared" si="16"/>
        <v>Gastos_custeados_por_captação</v>
      </c>
      <c r="S288" s="504" t="str">
        <f>IF(D288="","",IF(OR(D288=Plano!$A$1,D288=Plano!$B$1),"entrada","saída"))</f>
        <v>saída</v>
      </c>
      <c r="T288" s="511" t="s">
        <v>114</v>
      </c>
      <c r="U288" s="511" t="s">
        <v>114</v>
      </c>
      <c r="V288" s="541"/>
    </row>
    <row r="289" spans="1:22" s="540" customFormat="1" ht="59.25" customHeight="1" x14ac:dyDescent="0.2">
      <c r="A289" s="619">
        <f>IF(B289="","",COUNT('Diário 5º PA'!$A$5:$A$2634)+COUNT('Diário 6º PA'!$A$5:$A$2246)+COUNT('Diário 7º PA'!$A$5:$A$2271)+ROW()-4)</f>
        <v>4235</v>
      </c>
      <c r="B289" s="620">
        <v>44477</v>
      </c>
      <c r="C289" s="624">
        <v>44440</v>
      </c>
      <c r="D289" s="548" t="s">
        <v>104</v>
      </c>
      <c r="E289" s="548" t="s">
        <v>104</v>
      </c>
      <c r="F289" s="622">
        <v>99</v>
      </c>
      <c r="G289" s="623" t="s">
        <v>5404</v>
      </c>
      <c r="H289" s="548" t="s">
        <v>104</v>
      </c>
      <c r="I289" s="631" t="s">
        <v>465</v>
      </c>
      <c r="J289" s="548" t="s">
        <v>114</v>
      </c>
      <c r="K289" s="583" t="s">
        <v>466</v>
      </c>
      <c r="L289" s="583" t="s">
        <v>467</v>
      </c>
      <c r="M289" s="625">
        <v>3166</v>
      </c>
      <c r="N289" s="620">
        <v>44477</v>
      </c>
      <c r="O289" s="684" t="s">
        <v>5370</v>
      </c>
      <c r="P289" s="503">
        <f t="shared" si="14"/>
        <v>10</v>
      </c>
      <c r="Q289" s="503">
        <f t="shared" si="15"/>
        <v>9</v>
      </c>
      <c r="R289" s="504" t="str">
        <f t="shared" si="16"/>
        <v>Gastos_custeados_por_captação</v>
      </c>
      <c r="S289" s="504" t="str">
        <f>IF(D289="","",IF(OR(D289=Plano!$A$1,D289=Plano!$B$1),"entrada","saída"))</f>
        <v>saída</v>
      </c>
      <c r="T289" s="511" t="s">
        <v>114</v>
      </c>
      <c r="U289" s="511" t="s">
        <v>114</v>
      </c>
      <c r="V289" s="541"/>
    </row>
    <row r="290" spans="1:22" s="540" customFormat="1" ht="59.25" customHeight="1" x14ac:dyDescent="0.2">
      <c r="A290" s="619">
        <f>IF(B290="","",COUNT('Diário 5º PA'!$A$5:$A$2634)+COUNT('Diário 6º PA'!$A$5:$A$2246)+COUNT('Diário 7º PA'!$A$5:$A$2271)+ROW()-4)</f>
        <v>4236</v>
      </c>
      <c r="B290" s="620">
        <v>44477</v>
      </c>
      <c r="C290" s="624">
        <v>44440</v>
      </c>
      <c r="D290" s="548" t="s">
        <v>104</v>
      </c>
      <c r="E290" s="548" t="s">
        <v>104</v>
      </c>
      <c r="F290" s="622">
        <v>99</v>
      </c>
      <c r="G290" s="623" t="s">
        <v>5405</v>
      </c>
      <c r="H290" s="548" t="s">
        <v>104</v>
      </c>
      <c r="I290" s="631" t="s">
        <v>465</v>
      </c>
      <c r="J290" s="548" t="s">
        <v>114</v>
      </c>
      <c r="K290" s="583" t="s">
        <v>466</v>
      </c>
      <c r="L290" s="583" t="s">
        <v>467</v>
      </c>
      <c r="M290" s="625">
        <v>3167</v>
      </c>
      <c r="N290" s="620">
        <v>44477</v>
      </c>
      <c r="O290" s="684" t="s">
        <v>5370</v>
      </c>
      <c r="P290" s="503">
        <f t="shared" si="14"/>
        <v>10</v>
      </c>
      <c r="Q290" s="503">
        <f t="shared" si="15"/>
        <v>9</v>
      </c>
      <c r="R290" s="504" t="str">
        <f t="shared" si="16"/>
        <v>Gastos_custeados_por_captação</v>
      </c>
      <c r="S290" s="504" t="str">
        <f>IF(D290="","",IF(OR(D290=Plano!$A$1,D290=Plano!$B$1),"entrada","saída"))</f>
        <v>saída</v>
      </c>
      <c r="T290" s="511" t="s">
        <v>114</v>
      </c>
      <c r="U290" s="511" t="s">
        <v>114</v>
      </c>
      <c r="V290" s="541"/>
    </row>
    <row r="291" spans="1:22" s="540" customFormat="1" ht="59.25" customHeight="1" x14ac:dyDescent="0.2">
      <c r="A291" s="619">
        <f>IF(B291="","",COUNT('Diário 5º PA'!$A$5:$A$2634)+COUNT('Diário 6º PA'!$A$5:$A$2246)+COUNT('Diário 7º PA'!$A$5:$A$2271)+ROW()-4)</f>
        <v>4237</v>
      </c>
      <c r="B291" s="620">
        <v>44477</v>
      </c>
      <c r="C291" s="624">
        <v>44440</v>
      </c>
      <c r="D291" s="548" t="s">
        <v>104</v>
      </c>
      <c r="E291" s="548" t="s">
        <v>104</v>
      </c>
      <c r="F291" s="622">
        <v>99</v>
      </c>
      <c r="G291" s="623" t="s">
        <v>5406</v>
      </c>
      <c r="H291" s="548" t="s">
        <v>104</v>
      </c>
      <c r="I291" s="631" t="s">
        <v>465</v>
      </c>
      <c r="J291" s="548" t="s">
        <v>114</v>
      </c>
      <c r="K291" s="583" t="s">
        <v>466</v>
      </c>
      <c r="L291" s="583" t="s">
        <v>467</v>
      </c>
      <c r="M291" s="625">
        <v>3168</v>
      </c>
      <c r="N291" s="620">
        <v>44477</v>
      </c>
      <c r="O291" s="684" t="s">
        <v>5370</v>
      </c>
      <c r="P291" s="503">
        <f t="shared" si="14"/>
        <v>10</v>
      </c>
      <c r="Q291" s="503">
        <f t="shared" si="15"/>
        <v>9</v>
      </c>
      <c r="R291" s="504" t="str">
        <f t="shared" si="16"/>
        <v>Gastos_custeados_por_captação</v>
      </c>
      <c r="S291" s="504" t="str">
        <f>IF(D291="","",IF(OR(D291=Plano!$A$1,D291=Plano!$B$1),"entrada","saída"))</f>
        <v>saída</v>
      </c>
      <c r="T291" s="511" t="s">
        <v>114</v>
      </c>
      <c r="U291" s="511" t="s">
        <v>114</v>
      </c>
      <c r="V291" s="541"/>
    </row>
    <row r="292" spans="1:22" s="540" customFormat="1" ht="59.25" customHeight="1" x14ac:dyDescent="0.2">
      <c r="A292" s="619">
        <f>IF(B292="","",COUNT('Diário 5º PA'!$A$5:$A$2634)+COUNT('Diário 6º PA'!$A$5:$A$2246)+COUNT('Diário 7º PA'!$A$5:$A$2271)+ROW()-4)</f>
        <v>4238</v>
      </c>
      <c r="B292" s="620">
        <v>44477</v>
      </c>
      <c r="C292" s="624">
        <v>44440</v>
      </c>
      <c r="D292" s="548" t="s">
        <v>104</v>
      </c>
      <c r="E292" s="548" t="s">
        <v>104</v>
      </c>
      <c r="F292" s="622">
        <v>99</v>
      </c>
      <c r="G292" s="623" t="s">
        <v>5407</v>
      </c>
      <c r="H292" s="548" t="s">
        <v>104</v>
      </c>
      <c r="I292" s="631" t="s">
        <v>465</v>
      </c>
      <c r="J292" s="548" t="s">
        <v>114</v>
      </c>
      <c r="K292" s="583" t="s">
        <v>466</v>
      </c>
      <c r="L292" s="583" t="s">
        <v>467</v>
      </c>
      <c r="M292" s="625">
        <v>3169</v>
      </c>
      <c r="N292" s="620">
        <v>44477</v>
      </c>
      <c r="O292" s="684" t="s">
        <v>5370</v>
      </c>
      <c r="P292" s="503">
        <f t="shared" si="14"/>
        <v>10</v>
      </c>
      <c r="Q292" s="503">
        <f t="shared" si="15"/>
        <v>9</v>
      </c>
      <c r="R292" s="504" t="str">
        <f t="shared" si="16"/>
        <v>Gastos_custeados_por_captação</v>
      </c>
      <c r="S292" s="504" t="str">
        <f>IF(D292="","",IF(OR(D292=Plano!$A$1,D292=Plano!$B$1),"entrada","saída"))</f>
        <v>saída</v>
      </c>
      <c r="T292" s="511" t="s">
        <v>114</v>
      </c>
      <c r="U292" s="511" t="s">
        <v>114</v>
      </c>
      <c r="V292" s="541"/>
    </row>
    <row r="293" spans="1:22" s="540" customFormat="1" ht="59.25" customHeight="1" x14ac:dyDescent="0.2">
      <c r="A293" s="619">
        <f>IF(B293="","",COUNT('Diário 5º PA'!$A$5:$A$2634)+COUNT('Diário 6º PA'!$A$5:$A$2246)+COUNT('Diário 7º PA'!$A$5:$A$2271)+ROW()-4)</f>
        <v>4239</v>
      </c>
      <c r="B293" s="620">
        <v>44477</v>
      </c>
      <c r="C293" s="624">
        <v>44440</v>
      </c>
      <c r="D293" s="548" t="s">
        <v>104</v>
      </c>
      <c r="E293" s="548" t="s">
        <v>104</v>
      </c>
      <c r="F293" s="622">
        <v>99</v>
      </c>
      <c r="G293" s="623" t="s">
        <v>5408</v>
      </c>
      <c r="H293" s="548" t="s">
        <v>104</v>
      </c>
      <c r="I293" s="631" t="s">
        <v>465</v>
      </c>
      <c r="J293" s="548" t="s">
        <v>114</v>
      </c>
      <c r="K293" s="583" t="s">
        <v>466</v>
      </c>
      <c r="L293" s="583" t="s">
        <v>467</v>
      </c>
      <c r="M293" s="625">
        <v>3170</v>
      </c>
      <c r="N293" s="620">
        <v>44477</v>
      </c>
      <c r="O293" s="684" t="s">
        <v>5370</v>
      </c>
      <c r="P293" s="503">
        <f t="shared" si="14"/>
        <v>10</v>
      </c>
      <c r="Q293" s="503">
        <f t="shared" si="15"/>
        <v>9</v>
      </c>
      <c r="R293" s="504" t="str">
        <f t="shared" si="16"/>
        <v>Gastos_custeados_por_captação</v>
      </c>
      <c r="S293" s="504" t="str">
        <f>IF(D293="","",IF(OR(D293=Plano!$A$1,D293=Plano!$B$1),"entrada","saída"))</f>
        <v>saída</v>
      </c>
      <c r="T293" s="511" t="s">
        <v>114</v>
      </c>
      <c r="U293" s="511" t="s">
        <v>114</v>
      </c>
      <c r="V293" s="541"/>
    </row>
    <row r="294" spans="1:22" s="540" customFormat="1" ht="59.25" customHeight="1" x14ac:dyDescent="0.2">
      <c r="A294" s="619">
        <f>IF(B294="","",COUNT('Diário 5º PA'!$A$5:$A$2634)+COUNT('Diário 6º PA'!$A$5:$A$2246)+COUNT('Diário 7º PA'!$A$5:$A$2271)+ROW()-4)</f>
        <v>4240</v>
      </c>
      <c r="B294" s="620">
        <v>44477</v>
      </c>
      <c r="C294" s="624">
        <v>44440</v>
      </c>
      <c r="D294" s="548" t="s">
        <v>104</v>
      </c>
      <c r="E294" s="548" t="s">
        <v>104</v>
      </c>
      <c r="F294" s="622">
        <v>99</v>
      </c>
      <c r="G294" s="623" t="s">
        <v>5409</v>
      </c>
      <c r="H294" s="548" t="s">
        <v>104</v>
      </c>
      <c r="I294" s="631" t="s">
        <v>465</v>
      </c>
      <c r="J294" s="548" t="s">
        <v>114</v>
      </c>
      <c r="K294" s="583" t="s">
        <v>466</v>
      </c>
      <c r="L294" s="583" t="s">
        <v>467</v>
      </c>
      <c r="M294" s="625">
        <v>3171</v>
      </c>
      <c r="N294" s="620">
        <v>44477</v>
      </c>
      <c r="O294" s="684" t="s">
        <v>5370</v>
      </c>
      <c r="P294" s="503">
        <f t="shared" si="14"/>
        <v>10</v>
      </c>
      <c r="Q294" s="503">
        <f t="shared" si="15"/>
        <v>9</v>
      </c>
      <c r="R294" s="504" t="str">
        <f t="shared" si="16"/>
        <v>Gastos_custeados_por_captação</v>
      </c>
      <c r="S294" s="504" t="str">
        <f>IF(D294="","",IF(OR(D294=Plano!$A$1,D294=Plano!$B$1),"entrada","saída"))</f>
        <v>saída</v>
      </c>
      <c r="T294" s="511" t="s">
        <v>114</v>
      </c>
      <c r="U294" s="511" t="s">
        <v>114</v>
      </c>
      <c r="V294" s="541"/>
    </row>
    <row r="295" spans="1:22" s="540" customFormat="1" ht="59.25" customHeight="1" x14ac:dyDescent="0.2">
      <c r="A295" s="619">
        <f>IF(B295="","",COUNT('Diário 5º PA'!$A$5:$A$2634)+COUNT('Diário 6º PA'!$A$5:$A$2246)+COUNT('Diário 7º PA'!$A$5:$A$2271)+ROW()-4)</f>
        <v>4241</v>
      </c>
      <c r="B295" s="620">
        <v>44477</v>
      </c>
      <c r="C295" s="624">
        <v>44440</v>
      </c>
      <c r="D295" s="548" t="s">
        <v>104</v>
      </c>
      <c r="E295" s="548" t="s">
        <v>104</v>
      </c>
      <c r="F295" s="622">
        <v>99</v>
      </c>
      <c r="G295" s="623" t="s">
        <v>5410</v>
      </c>
      <c r="H295" s="548" t="s">
        <v>104</v>
      </c>
      <c r="I295" s="631" t="s">
        <v>465</v>
      </c>
      <c r="J295" s="548" t="s">
        <v>114</v>
      </c>
      <c r="K295" s="583" t="s">
        <v>466</v>
      </c>
      <c r="L295" s="583" t="s">
        <v>467</v>
      </c>
      <c r="M295" s="625">
        <v>3172</v>
      </c>
      <c r="N295" s="620">
        <v>44477</v>
      </c>
      <c r="O295" s="684" t="s">
        <v>5370</v>
      </c>
      <c r="P295" s="503">
        <f t="shared" si="14"/>
        <v>10</v>
      </c>
      <c r="Q295" s="503">
        <f t="shared" si="15"/>
        <v>9</v>
      </c>
      <c r="R295" s="504" t="str">
        <f t="shared" si="16"/>
        <v>Gastos_custeados_por_captação</v>
      </c>
      <c r="S295" s="504" t="str">
        <f>IF(D295="","",IF(OR(D295=Plano!$A$1,D295=Plano!$B$1),"entrada","saída"))</f>
        <v>saída</v>
      </c>
      <c r="T295" s="511" t="s">
        <v>114</v>
      </c>
      <c r="U295" s="511" t="s">
        <v>114</v>
      </c>
      <c r="V295" s="541"/>
    </row>
    <row r="296" spans="1:22" s="540" customFormat="1" ht="59.25" customHeight="1" x14ac:dyDescent="0.2">
      <c r="A296" s="619">
        <f>IF(B296="","",COUNT('Diário 5º PA'!$A$5:$A$2634)+COUNT('Diário 6º PA'!$A$5:$A$2246)+COUNT('Diário 7º PA'!$A$5:$A$2271)+ROW()-4)</f>
        <v>4242</v>
      </c>
      <c r="B296" s="620">
        <v>44477</v>
      </c>
      <c r="C296" s="624">
        <v>44440</v>
      </c>
      <c r="D296" s="548" t="s">
        <v>104</v>
      </c>
      <c r="E296" s="548" t="s">
        <v>104</v>
      </c>
      <c r="F296" s="622">
        <v>99</v>
      </c>
      <c r="G296" s="623" t="s">
        <v>5411</v>
      </c>
      <c r="H296" s="548" t="s">
        <v>104</v>
      </c>
      <c r="I296" s="631" t="s">
        <v>465</v>
      </c>
      <c r="J296" s="548" t="s">
        <v>114</v>
      </c>
      <c r="K296" s="583" t="s">
        <v>466</v>
      </c>
      <c r="L296" s="583" t="s">
        <v>467</v>
      </c>
      <c r="M296" s="625">
        <v>3173</v>
      </c>
      <c r="N296" s="620">
        <v>44477</v>
      </c>
      <c r="O296" s="684" t="s">
        <v>5370</v>
      </c>
      <c r="P296" s="503">
        <f t="shared" si="14"/>
        <v>10</v>
      </c>
      <c r="Q296" s="503">
        <f t="shared" si="15"/>
        <v>9</v>
      </c>
      <c r="R296" s="504" t="str">
        <f t="shared" si="16"/>
        <v>Gastos_custeados_por_captação</v>
      </c>
      <c r="S296" s="504" t="str">
        <f>IF(D296="","",IF(OR(D296=Plano!$A$1,D296=Plano!$B$1),"entrada","saída"))</f>
        <v>saída</v>
      </c>
      <c r="T296" s="511" t="s">
        <v>114</v>
      </c>
      <c r="U296" s="511" t="s">
        <v>114</v>
      </c>
      <c r="V296" s="541"/>
    </row>
    <row r="297" spans="1:22" s="540" customFormat="1" ht="59.25" customHeight="1" x14ac:dyDescent="0.2">
      <c r="A297" s="619">
        <f>IF(B297="","",COUNT('Diário 5º PA'!$A$5:$A$2634)+COUNT('Diário 6º PA'!$A$5:$A$2246)+COUNT('Diário 7º PA'!$A$5:$A$2271)+ROW()-4)</f>
        <v>4243</v>
      </c>
      <c r="B297" s="620">
        <v>44477</v>
      </c>
      <c r="C297" s="624">
        <v>44440</v>
      </c>
      <c r="D297" s="548" t="s">
        <v>104</v>
      </c>
      <c r="E297" s="548" t="s">
        <v>104</v>
      </c>
      <c r="F297" s="622">
        <v>99</v>
      </c>
      <c r="G297" s="623" t="s">
        <v>5412</v>
      </c>
      <c r="H297" s="548" t="s">
        <v>104</v>
      </c>
      <c r="I297" s="631" t="s">
        <v>465</v>
      </c>
      <c r="J297" s="548" t="s">
        <v>114</v>
      </c>
      <c r="K297" s="583" t="s">
        <v>466</v>
      </c>
      <c r="L297" s="583" t="s">
        <v>467</v>
      </c>
      <c r="M297" s="625">
        <v>3174</v>
      </c>
      <c r="N297" s="620">
        <v>44477</v>
      </c>
      <c r="O297" s="684" t="s">
        <v>5370</v>
      </c>
      <c r="P297" s="503">
        <f t="shared" si="14"/>
        <v>10</v>
      </c>
      <c r="Q297" s="503">
        <f t="shared" si="15"/>
        <v>9</v>
      </c>
      <c r="R297" s="504" t="str">
        <f t="shared" si="16"/>
        <v>Gastos_custeados_por_captação</v>
      </c>
      <c r="S297" s="504" t="str">
        <f>IF(D297="","",IF(OR(D297=Plano!$A$1,D297=Plano!$B$1),"entrada","saída"))</f>
        <v>saída</v>
      </c>
      <c r="T297" s="511" t="s">
        <v>114</v>
      </c>
      <c r="U297" s="511" t="s">
        <v>114</v>
      </c>
      <c r="V297" s="541"/>
    </row>
    <row r="298" spans="1:22" s="540" customFormat="1" ht="148.5" customHeight="1" x14ac:dyDescent="0.2">
      <c r="A298" s="619">
        <f>IF(B298="","",COUNT('Diário 5º PA'!$A$5:$A$2634)+COUNT('Diário 6º PA'!$A$5:$A$2246)+COUNT('Diário 7º PA'!$A$5:$A$2271)+ROW()-4)</f>
        <v>4244</v>
      </c>
      <c r="B298" s="620">
        <v>44477</v>
      </c>
      <c r="C298" s="624">
        <v>44440</v>
      </c>
      <c r="D298" s="548" t="s">
        <v>104</v>
      </c>
      <c r="E298" s="548" t="s">
        <v>104</v>
      </c>
      <c r="F298" s="622">
        <v>5389.45</v>
      </c>
      <c r="G298" s="623" t="s">
        <v>570</v>
      </c>
      <c r="H298" s="548" t="s">
        <v>104</v>
      </c>
      <c r="I298" s="583" t="s">
        <v>1300</v>
      </c>
      <c r="J298" s="548" t="s">
        <v>572</v>
      </c>
      <c r="K298" s="583" t="s">
        <v>991</v>
      </c>
      <c r="L298" s="583" t="s">
        <v>992</v>
      </c>
      <c r="M298" s="619" t="s">
        <v>4182</v>
      </c>
      <c r="N298" s="620">
        <v>44477</v>
      </c>
      <c r="O298" s="684" t="s">
        <v>5370</v>
      </c>
      <c r="P298" s="503">
        <f t="shared" si="14"/>
        <v>10</v>
      </c>
      <c r="Q298" s="503">
        <f t="shared" si="15"/>
        <v>9</v>
      </c>
      <c r="R298" s="504" t="str">
        <f t="shared" si="16"/>
        <v>Gastos_custeados_por_captação</v>
      </c>
      <c r="S298" s="504" t="str">
        <f>IF(D298="","",IF(OR(D298=Plano!$A$1,D298=Plano!$B$1),"entrada","saída"))</f>
        <v>saída</v>
      </c>
      <c r="T298" s="511" t="s">
        <v>1082</v>
      </c>
      <c r="U298" s="511">
        <v>1339</v>
      </c>
      <c r="V298" s="541"/>
    </row>
    <row r="299" spans="1:22" s="540" customFormat="1" ht="59.25" customHeight="1" x14ac:dyDescent="0.2">
      <c r="A299" s="619">
        <f>IF(B299="","",COUNT('Diário 5º PA'!$A$5:$A$2634)+COUNT('Diário 6º PA'!$A$5:$A$2246)+COUNT('Diário 7º PA'!$A$5:$A$2271)+ROW()-4)</f>
        <v>4245</v>
      </c>
      <c r="B299" s="620">
        <v>44477</v>
      </c>
      <c r="C299" s="621">
        <v>44470</v>
      </c>
      <c r="D299" s="548" t="s">
        <v>104</v>
      </c>
      <c r="E299" s="548" t="s">
        <v>104</v>
      </c>
      <c r="F299" s="622">
        <v>10.45</v>
      </c>
      <c r="G299" s="623" t="s">
        <v>5451</v>
      </c>
      <c r="H299" s="548" t="s">
        <v>104</v>
      </c>
      <c r="I299" s="583" t="s">
        <v>949</v>
      </c>
      <c r="J299" s="548" t="s">
        <v>950</v>
      </c>
      <c r="K299" s="583" t="s">
        <v>951</v>
      </c>
      <c r="L299" s="583" t="s">
        <v>947</v>
      </c>
      <c r="M299" s="625" t="s">
        <v>114</v>
      </c>
      <c r="N299" s="620">
        <v>44477</v>
      </c>
      <c r="O299" s="684" t="s">
        <v>5370</v>
      </c>
      <c r="P299" s="503">
        <f t="shared" si="14"/>
        <v>10</v>
      </c>
      <c r="Q299" s="503">
        <f t="shared" si="15"/>
        <v>10</v>
      </c>
      <c r="R299" s="504" t="str">
        <f t="shared" si="16"/>
        <v>Gastos_custeados_por_captação</v>
      </c>
      <c r="S299" s="504" t="str">
        <f>IF(D299="","",IF(OR(D299=Plano!$A$1,D299=Plano!$B$1),"entrada","saída"))</f>
        <v>saída</v>
      </c>
      <c r="T299" s="511" t="s">
        <v>114</v>
      </c>
      <c r="U299" s="511" t="s">
        <v>114</v>
      </c>
      <c r="V299" s="541"/>
    </row>
    <row r="300" spans="1:22" s="544" customFormat="1" ht="59.25" customHeight="1" x14ac:dyDescent="0.2">
      <c r="A300" s="619">
        <f>IF(B300="","",COUNT('Diário 5º PA'!$A$5:$A$2634)+COUNT('Diário 6º PA'!$A$5:$A$2246)+COUNT('Diário 7º PA'!$A$5:$A$2271)+ROW()-4)</f>
        <v>4246</v>
      </c>
      <c r="B300" s="620">
        <v>44477</v>
      </c>
      <c r="C300" s="624">
        <v>44378</v>
      </c>
      <c r="D300" s="548" t="s">
        <v>104</v>
      </c>
      <c r="E300" s="548" t="s">
        <v>104</v>
      </c>
      <c r="F300" s="622">
        <v>1813.5</v>
      </c>
      <c r="G300" s="623" t="s">
        <v>5485</v>
      </c>
      <c r="H300" s="548" t="s">
        <v>104</v>
      </c>
      <c r="I300" s="631" t="s">
        <v>465</v>
      </c>
      <c r="J300" s="548" t="s">
        <v>114</v>
      </c>
      <c r="K300" s="583" t="s">
        <v>466</v>
      </c>
      <c r="L300" s="583" t="s">
        <v>467</v>
      </c>
      <c r="M300" s="625">
        <v>3110</v>
      </c>
      <c r="N300" s="620">
        <v>44477</v>
      </c>
      <c r="O300" s="684" t="s">
        <v>5377</v>
      </c>
      <c r="P300" s="503">
        <f t="shared" si="14"/>
        <v>10</v>
      </c>
      <c r="Q300" s="503">
        <f t="shared" si="15"/>
        <v>7</v>
      </c>
      <c r="R300" s="504" t="str">
        <f t="shared" si="16"/>
        <v>Gastos_custeados_por_captação</v>
      </c>
      <c r="S300" s="504" t="str">
        <f>IF(D300="","",IF(OR(D300=Plano!$A$1,D300=Plano!$B$1),"entrada","saída"))</f>
        <v>saída</v>
      </c>
      <c r="T300" s="511" t="s">
        <v>114</v>
      </c>
      <c r="U300" s="511" t="s">
        <v>114</v>
      </c>
      <c r="V300" s="541"/>
    </row>
    <row r="301" spans="1:22" s="544" customFormat="1" ht="59.25" customHeight="1" x14ac:dyDescent="0.2">
      <c r="A301" s="619">
        <f>IF(B301="","",COUNT('Diário 5º PA'!$A$5:$A$2634)+COUNT('Diário 6º PA'!$A$5:$A$2246)+COUNT('Diário 7º PA'!$A$5:$A$2271)+ROW()-4)</f>
        <v>4247</v>
      </c>
      <c r="B301" s="620">
        <v>44477</v>
      </c>
      <c r="C301" s="624">
        <v>44409</v>
      </c>
      <c r="D301" s="548" t="s">
        <v>104</v>
      </c>
      <c r="E301" s="548" t="s">
        <v>104</v>
      </c>
      <c r="F301" s="622">
        <v>596</v>
      </c>
      <c r="G301" s="623" t="s">
        <v>5458</v>
      </c>
      <c r="H301" s="548" t="s">
        <v>104</v>
      </c>
      <c r="I301" s="631" t="s">
        <v>465</v>
      </c>
      <c r="J301" s="548" t="s">
        <v>114</v>
      </c>
      <c r="K301" s="583" t="s">
        <v>466</v>
      </c>
      <c r="L301" s="583" t="s">
        <v>467</v>
      </c>
      <c r="M301" s="625">
        <v>3111</v>
      </c>
      <c r="N301" s="620">
        <v>44477</v>
      </c>
      <c r="O301" s="684" t="s">
        <v>5377</v>
      </c>
      <c r="P301" s="503">
        <f t="shared" si="14"/>
        <v>10</v>
      </c>
      <c r="Q301" s="503">
        <f t="shared" si="15"/>
        <v>8</v>
      </c>
      <c r="R301" s="504" t="str">
        <f t="shared" si="16"/>
        <v>Gastos_custeados_por_captação</v>
      </c>
      <c r="S301" s="504" t="str">
        <f>IF(D301="","",IF(OR(D301=Plano!$A$1,D301=Plano!$B$1),"entrada","saída"))</f>
        <v>saída</v>
      </c>
      <c r="T301" s="511" t="s">
        <v>114</v>
      </c>
      <c r="U301" s="511" t="s">
        <v>114</v>
      </c>
      <c r="V301" s="541"/>
    </row>
    <row r="302" spans="1:22" s="544" customFormat="1" ht="59.25" customHeight="1" x14ac:dyDescent="0.2">
      <c r="A302" s="619">
        <f>IF(B302="","",COUNT('Diário 5º PA'!$A$5:$A$2634)+COUNT('Diário 6º PA'!$A$5:$A$2246)+COUNT('Diário 7º PA'!$A$5:$A$2271)+ROW()-4)</f>
        <v>4248</v>
      </c>
      <c r="B302" s="620">
        <v>44477</v>
      </c>
      <c r="C302" s="624">
        <v>44409</v>
      </c>
      <c r="D302" s="548" t="s">
        <v>104</v>
      </c>
      <c r="E302" s="548" t="s">
        <v>104</v>
      </c>
      <c r="F302" s="622">
        <v>75</v>
      </c>
      <c r="G302" s="623" t="s">
        <v>5478</v>
      </c>
      <c r="H302" s="548" t="s">
        <v>104</v>
      </c>
      <c r="I302" s="631" t="s">
        <v>465</v>
      </c>
      <c r="J302" s="548" t="s">
        <v>114</v>
      </c>
      <c r="K302" s="583" t="s">
        <v>466</v>
      </c>
      <c r="L302" s="583" t="s">
        <v>467</v>
      </c>
      <c r="M302" s="625">
        <v>3112</v>
      </c>
      <c r="N302" s="620">
        <v>44477</v>
      </c>
      <c r="O302" s="684" t="s">
        <v>5377</v>
      </c>
      <c r="P302" s="503">
        <f t="shared" si="14"/>
        <v>10</v>
      </c>
      <c r="Q302" s="503">
        <f t="shared" si="15"/>
        <v>8</v>
      </c>
      <c r="R302" s="504" t="str">
        <f t="shared" si="16"/>
        <v>Gastos_custeados_por_captação</v>
      </c>
      <c r="S302" s="504" t="str">
        <f>IF(D302="","",IF(OR(D302=Plano!$A$1,D302=Plano!$B$1),"entrada","saída"))</f>
        <v>saída</v>
      </c>
      <c r="T302" s="511" t="s">
        <v>114</v>
      </c>
      <c r="U302" s="511" t="s">
        <v>114</v>
      </c>
      <c r="V302" s="541"/>
    </row>
    <row r="303" spans="1:22" s="544" customFormat="1" ht="59.25" customHeight="1" x14ac:dyDescent="0.2">
      <c r="A303" s="619">
        <f>IF(B303="","",COUNT('Diário 5º PA'!$A$5:$A$2634)+COUNT('Diário 6º PA'!$A$5:$A$2246)+COUNT('Diário 7º PA'!$A$5:$A$2271)+ROW()-4)</f>
        <v>4249</v>
      </c>
      <c r="B303" s="620">
        <v>44477</v>
      </c>
      <c r="C303" s="624">
        <v>44409</v>
      </c>
      <c r="D303" s="548" t="s">
        <v>104</v>
      </c>
      <c r="E303" s="548" t="s">
        <v>104</v>
      </c>
      <c r="F303" s="622">
        <v>75</v>
      </c>
      <c r="G303" s="623" t="s">
        <v>5465</v>
      </c>
      <c r="H303" s="548" t="s">
        <v>104</v>
      </c>
      <c r="I303" s="631" t="s">
        <v>465</v>
      </c>
      <c r="J303" s="548" t="s">
        <v>114</v>
      </c>
      <c r="K303" s="583" t="s">
        <v>466</v>
      </c>
      <c r="L303" s="583" t="s">
        <v>467</v>
      </c>
      <c r="M303" s="625">
        <v>3113</v>
      </c>
      <c r="N303" s="620">
        <v>44477</v>
      </c>
      <c r="O303" s="684" t="s">
        <v>5377</v>
      </c>
      <c r="P303" s="503">
        <f t="shared" si="14"/>
        <v>10</v>
      </c>
      <c r="Q303" s="503">
        <f t="shared" si="15"/>
        <v>8</v>
      </c>
      <c r="R303" s="504" t="str">
        <f t="shared" si="16"/>
        <v>Gastos_custeados_por_captação</v>
      </c>
      <c r="S303" s="504" t="str">
        <f>IF(D303="","",IF(OR(D303=Plano!$A$1,D303=Plano!$B$1),"entrada","saída"))</f>
        <v>saída</v>
      </c>
      <c r="T303" s="511" t="s">
        <v>114</v>
      </c>
      <c r="U303" s="511" t="s">
        <v>114</v>
      </c>
      <c r="V303" s="541"/>
    </row>
    <row r="304" spans="1:22" s="544" customFormat="1" ht="59.25" customHeight="1" x14ac:dyDescent="0.2">
      <c r="A304" s="619">
        <f>IF(B304="","",COUNT('Diário 5º PA'!$A$5:$A$2634)+COUNT('Diário 6º PA'!$A$5:$A$2246)+COUNT('Diário 7º PA'!$A$5:$A$2271)+ROW()-4)</f>
        <v>4250</v>
      </c>
      <c r="B304" s="620">
        <v>44477</v>
      </c>
      <c r="C304" s="624">
        <v>44409</v>
      </c>
      <c r="D304" s="548" t="s">
        <v>104</v>
      </c>
      <c r="E304" s="548" t="s">
        <v>104</v>
      </c>
      <c r="F304" s="622">
        <v>125</v>
      </c>
      <c r="G304" s="623" t="s">
        <v>5461</v>
      </c>
      <c r="H304" s="548" t="s">
        <v>104</v>
      </c>
      <c r="I304" s="631" t="s">
        <v>465</v>
      </c>
      <c r="J304" s="548" t="s">
        <v>114</v>
      </c>
      <c r="K304" s="583" t="s">
        <v>466</v>
      </c>
      <c r="L304" s="583" t="s">
        <v>467</v>
      </c>
      <c r="M304" s="625">
        <v>3114</v>
      </c>
      <c r="N304" s="620">
        <v>44477</v>
      </c>
      <c r="O304" s="684" t="s">
        <v>5377</v>
      </c>
      <c r="P304" s="503">
        <f t="shared" si="14"/>
        <v>10</v>
      </c>
      <c r="Q304" s="503">
        <f t="shared" si="15"/>
        <v>8</v>
      </c>
      <c r="R304" s="504" t="str">
        <f t="shared" si="16"/>
        <v>Gastos_custeados_por_captação</v>
      </c>
      <c r="S304" s="504" t="str">
        <f>IF(D304="","",IF(OR(D304=Plano!$A$1,D304=Plano!$B$1),"entrada","saída"))</f>
        <v>saída</v>
      </c>
      <c r="T304" s="511" t="s">
        <v>114</v>
      </c>
      <c r="U304" s="511" t="s">
        <v>114</v>
      </c>
      <c r="V304" s="541"/>
    </row>
    <row r="305" spans="1:22" s="544" customFormat="1" ht="59.25" customHeight="1" x14ac:dyDescent="0.2">
      <c r="A305" s="619">
        <f>IF(B305="","",COUNT('Diário 5º PA'!$A$5:$A$2634)+COUNT('Diário 6º PA'!$A$5:$A$2246)+COUNT('Diário 7º PA'!$A$5:$A$2271)+ROW()-4)</f>
        <v>4251</v>
      </c>
      <c r="B305" s="620">
        <v>44477</v>
      </c>
      <c r="C305" s="624">
        <v>44409</v>
      </c>
      <c r="D305" s="548" t="s">
        <v>104</v>
      </c>
      <c r="E305" s="548" t="s">
        <v>104</v>
      </c>
      <c r="F305" s="622">
        <v>46</v>
      </c>
      <c r="G305" s="623" t="s">
        <v>5464</v>
      </c>
      <c r="H305" s="548" t="s">
        <v>104</v>
      </c>
      <c r="I305" s="631" t="s">
        <v>465</v>
      </c>
      <c r="J305" s="548" t="s">
        <v>114</v>
      </c>
      <c r="K305" s="583" t="s">
        <v>466</v>
      </c>
      <c r="L305" s="583" t="s">
        <v>467</v>
      </c>
      <c r="M305" s="625">
        <v>3117</v>
      </c>
      <c r="N305" s="620">
        <v>44477</v>
      </c>
      <c r="O305" s="684" t="s">
        <v>5377</v>
      </c>
      <c r="P305" s="503">
        <f t="shared" si="14"/>
        <v>10</v>
      </c>
      <c r="Q305" s="503">
        <f t="shared" si="15"/>
        <v>8</v>
      </c>
      <c r="R305" s="504" t="str">
        <f t="shared" si="16"/>
        <v>Gastos_custeados_por_captação</v>
      </c>
      <c r="S305" s="504" t="str">
        <f>IF(D305="","",IF(OR(D305=Plano!$A$1,D305=Plano!$B$1),"entrada","saída"))</f>
        <v>saída</v>
      </c>
      <c r="T305" s="511" t="s">
        <v>114</v>
      </c>
      <c r="U305" s="511" t="s">
        <v>114</v>
      </c>
      <c r="V305" s="541"/>
    </row>
    <row r="306" spans="1:22" s="544" customFormat="1" ht="59.25" customHeight="1" x14ac:dyDescent="0.2">
      <c r="A306" s="619">
        <f>IF(B306="","",COUNT('Diário 5º PA'!$A$5:$A$2634)+COUNT('Diário 6º PA'!$A$5:$A$2246)+COUNT('Diário 7º PA'!$A$5:$A$2271)+ROW()-4)</f>
        <v>4252</v>
      </c>
      <c r="B306" s="620">
        <v>44477</v>
      </c>
      <c r="C306" s="624">
        <v>44409</v>
      </c>
      <c r="D306" s="548" t="s">
        <v>104</v>
      </c>
      <c r="E306" s="548" t="s">
        <v>104</v>
      </c>
      <c r="F306" s="622">
        <v>175</v>
      </c>
      <c r="G306" s="623" t="s">
        <v>5459</v>
      </c>
      <c r="H306" s="548" t="s">
        <v>104</v>
      </c>
      <c r="I306" s="631" t="s">
        <v>465</v>
      </c>
      <c r="J306" s="548" t="s">
        <v>114</v>
      </c>
      <c r="K306" s="583" t="s">
        <v>466</v>
      </c>
      <c r="L306" s="583" t="s">
        <v>467</v>
      </c>
      <c r="M306" s="625">
        <v>3118</v>
      </c>
      <c r="N306" s="620">
        <v>44477</v>
      </c>
      <c r="O306" s="684" t="s">
        <v>5377</v>
      </c>
      <c r="P306" s="503">
        <f t="shared" si="14"/>
        <v>10</v>
      </c>
      <c r="Q306" s="503">
        <f t="shared" si="15"/>
        <v>8</v>
      </c>
      <c r="R306" s="504" t="str">
        <f t="shared" si="16"/>
        <v>Gastos_custeados_por_captação</v>
      </c>
      <c r="S306" s="504" t="str">
        <f>IF(D306="","",IF(OR(D306=Plano!$A$1,D306=Plano!$B$1),"entrada","saída"))</f>
        <v>saída</v>
      </c>
      <c r="T306" s="511" t="s">
        <v>114</v>
      </c>
      <c r="U306" s="511" t="s">
        <v>114</v>
      </c>
      <c r="V306" s="541"/>
    </row>
    <row r="307" spans="1:22" s="544" customFormat="1" ht="59.25" customHeight="1" x14ac:dyDescent="0.2">
      <c r="A307" s="619">
        <f>IF(B307="","",COUNT('Diário 5º PA'!$A$5:$A$2634)+COUNT('Diário 6º PA'!$A$5:$A$2246)+COUNT('Diário 7º PA'!$A$5:$A$2271)+ROW()-4)</f>
        <v>4253</v>
      </c>
      <c r="B307" s="620">
        <v>44477</v>
      </c>
      <c r="C307" s="624">
        <v>44409</v>
      </c>
      <c r="D307" s="548" t="s">
        <v>104</v>
      </c>
      <c r="E307" s="548" t="s">
        <v>104</v>
      </c>
      <c r="F307" s="622">
        <v>150</v>
      </c>
      <c r="G307" s="623" t="s">
        <v>5460</v>
      </c>
      <c r="H307" s="548" t="s">
        <v>104</v>
      </c>
      <c r="I307" s="631" t="s">
        <v>465</v>
      </c>
      <c r="J307" s="548" t="s">
        <v>114</v>
      </c>
      <c r="K307" s="583" t="s">
        <v>466</v>
      </c>
      <c r="L307" s="583" t="s">
        <v>467</v>
      </c>
      <c r="M307" s="625">
        <v>3119</v>
      </c>
      <c r="N307" s="620">
        <v>44477</v>
      </c>
      <c r="O307" s="684" t="s">
        <v>5377</v>
      </c>
      <c r="P307" s="503">
        <f t="shared" si="14"/>
        <v>10</v>
      </c>
      <c r="Q307" s="503">
        <f t="shared" si="15"/>
        <v>8</v>
      </c>
      <c r="R307" s="504" t="str">
        <f t="shared" si="16"/>
        <v>Gastos_custeados_por_captação</v>
      </c>
      <c r="S307" s="504" t="str">
        <f>IF(D307="","",IF(OR(D307=Plano!$A$1,D307=Plano!$B$1),"entrada","saída"))</f>
        <v>saída</v>
      </c>
      <c r="T307" s="511" t="s">
        <v>114</v>
      </c>
      <c r="U307" s="511" t="s">
        <v>114</v>
      </c>
      <c r="V307" s="541"/>
    </row>
    <row r="308" spans="1:22" s="544" customFormat="1" ht="59.25" customHeight="1" x14ac:dyDescent="0.2">
      <c r="A308" s="619">
        <f>IF(B308="","",COUNT('Diário 5º PA'!$A$5:$A$2634)+COUNT('Diário 6º PA'!$A$5:$A$2246)+COUNT('Diário 7º PA'!$A$5:$A$2271)+ROW()-4)</f>
        <v>4254</v>
      </c>
      <c r="B308" s="620">
        <v>44477</v>
      </c>
      <c r="C308" s="624">
        <v>44470</v>
      </c>
      <c r="D308" s="548" t="s">
        <v>104</v>
      </c>
      <c r="E308" s="548" t="s">
        <v>104</v>
      </c>
      <c r="F308" s="622">
        <v>80</v>
      </c>
      <c r="G308" s="623" t="s">
        <v>6892</v>
      </c>
      <c r="H308" s="548" t="s">
        <v>104</v>
      </c>
      <c r="I308" s="631" t="s">
        <v>465</v>
      </c>
      <c r="J308" s="548" t="s">
        <v>114</v>
      </c>
      <c r="K308" s="583" t="s">
        <v>466</v>
      </c>
      <c r="L308" s="583" t="s">
        <v>467</v>
      </c>
      <c r="M308" s="625">
        <v>3120</v>
      </c>
      <c r="N308" s="620">
        <v>44477</v>
      </c>
      <c r="O308" s="684" t="s">
        <v>5377</v>
      </c>
      <c r="P308" s="503">
        <f t="shared" si="14"/>
        <v>10</v>
      </c>
      <c r="Q308" s="503">
        <f t="shared" si="15"/>
        <v>10</v>
      </c>
      <c r="R308" s="504" t="str">
        <f t="shared" si="16"/>
        <v>Gastos_custeados_por_captação</v>
      </c>
      <c r="S308" s="504" t="str">
        <f>IF(D308="","",IF(OR(D308=Plano!$A$1,D308=Plano!$B$1),"entrada","saída"))</f>
        <v>saída</v>
      </c>
      <c r="T308" s="511" t="s">
        <v>114</v>
      </c>
      <c r="U308" s="511" t="s">
        <v>114</v>
      </c>
      <c r="V308" s="541"/>
    </row>
    <row r="309" spans="1:22" s="544" customFormat="1" ht="59.25" customHeight="1" x14ac:dyDescent="0.2">
      <c r="A309" s="619">
        <f>IF(B309="","",COUNT('Diário 5º PA'!$A$5:$A$2634)+COUNT('Diário 6º PA'!$A$5:$A$2246)+COUNT('Diário 7º PA'!$A$5:$A$2271)+ROW()-4)</f>
        <v>4255</v>
      </c>
      <c r="B309" s="620">
        <v>44477</v>
      </c>
      <c r="C309" s="624">
        <v>44409</v>
      </c>
      <c r="D309" s="548" t="s">
        <v>104</v>
      </c>
      <c r="E309" s="548" t="s">
        <v>104</v>
      </c>
      <c r="F309" s="622">
        <v>110.55</v>
      </c>
      <c r="G309" s="623" t="s">
        <v>5471</v>
      </c>
      <c r="H309" s="548" t="s">
        <v>104</v>
      </c>
      <c r="I309" s="631" t="s">
        <v>465</v>
      </c>
      <c r="J309" s="548" t="s">
        <v>114</v>
      </c>
      <c r="K309" s="583" t="s">
        <v>466</v>
      </c>
      <c r="L309" s="583" t="s">
        <v>467</v>
      </c>
      <c r="M309" s="625">
        <v>3122</v>
      </c>
      <c r="N309" s="620">
        <v>44477</v>
      </c>
      <c r="O309" s="684" t="s">
        <v>5377</v>
      </c>
      <c r="P309" s="503">
        <f t="shared" si="14"/>
        <v>10</v>
      </c>
      <c r="Q309" s="503">
        <f t="shared" si="15"/>
        <v>8</v>
      </c>
      <c r="R309" s="504" t="str">
        <f t="shared" si="16"/>
        <v>Gastos_custeados_por_captação</v>
      </c>
      <c r="S309" s="504" t="str">
        <f>IF(D309="","",IF(OR(D309=Plano!$A$1,D309=Plano!$B$1),"entrada","saída"))</f>
        <v>saída</v>
      </c>
      <c r="T309" s="511" t="s">
        <v>114</v>
      </c>
      <c r="U309" s="511" t="s">
        <v>114</v>
      </c>
      <c r="V309" s="541"/>
    </row>
    <row r="310" spans="1:22" s="544" customFormat="1" ht="59.25" customHeight="1" x14ac:dyDescent="0.2">
      <c r="A310" s="619">
        <f>IF(B310="","",COUNT('Diário 5º PA'!$A$5:$A$2634)+COUNT('Diário 6º PA'!$A$5:$A$2246)+COUNT('Diário 7º PA'!$A$5:$A$2271)+ROW()-4)</f>
        <v>4256</v>
      </c>
      <c r="B310" s="620">
        <v>44477</v>
      </c>
      <c r="C310" s="624">
        <v>44409</v>
      </c>
      <c r="D310" s="548" t="s">
        <v>104</v>
      </c>
      <c r="E310" s="548" t="s">
        <v>104</v>
      </c>
      <c r="F310" s="622">
        <v>55.27</v>
      </c>
      <c r="G310" s="623" t="s">
        <v>5474</v>
      </c>
      <c r="H310" s="548" t="s">
        <v>104</v>
      </c>
      <c r="I310" s="631" t="s">
        <v>465</v>
      </c>
      <c r="J310" s="548" t="s">
        <v>114</v>
      </c>
      <c r="K310" s="583" t="s">
        <v>466</v>
      </c>
      <c r="L310" s="583" t="s">
        <v>467</v>
      </c>
      <c r="M310" s="625">
        <v>3123</v>
      </c>
      <c r="N310" s="620">
        <v>44477</v>
      </c>
      <c r="O310" s="684" t="s">
        <v>5377</v>
      </c>
      <c r="P310" s="503">
        <f t="shared" si="14"/>
        <v>10</v>
      </c>
      <c r="Q310" s="503">
        <f t="shared" si="15"/>
        <v>8</v>
      </c>
      <c r="R310" s="504" t="str">
        <f t="shared" si="16"/>
        <v>Gastos_custeados_por_captação</v>
      </c>
      <c r="S310" s="504" t="str">
        <f>IF(D310="","",IF(OR(D310=Plano!$A$1,D310=Plano!$B$1),"entrada","saída"))</f>
        <v>saída</v>
      </c>
      <c r="T310" s="511" t="s">
        <v>114</v>
      </c>
      <c r="U310" s="511" t="s">
        <v>114</v>
      </c>
      <c r="V310" s="541"/>
    </row>
    <row r="311" spans="1:22" s="544" customFormat="1" ht="59.25" customHeight="1" x14ac:dyDescent="0.2">
      <c r="A311" s="619">
        <f>IF(B311="","",COUNT('Diário 5º PA'!$A$5:$A$2634)+COUNT('Diário 6º PA'!$A$5:$A$2246)+COUNT('Diário 7º PA'!$A$5:$A$2271)+ROW()-4)</f>
        <v>4257</v>
      </c>
      <c r="B311" s="620">
        <v>44477</v>
      </c>
      <c r="C311" s="624">
        <v>44409</v>
      </c>
      <c r="D311" s="548" t="s">
        <v>104</v>
      </c>
      <c r="E311" s="548" t="s">
        <v>104</v>
      </c>
      <c r="F311" s="622">
        <v>120</v>
      </c>
      <c r="G311" s="623" t="s">
        <v>5475</v>
      </c>
      <c r="H311" s="548" t="s">
        <v>104</v>
      </c>
      <c r="I311" s="631" t="s">
        <v>465</v>
      </c>
      <c r="J311" s="548" t="s">
        <v>114</v>
      </c>
      <c r="K311" s="583" t="s">
        <v>466</v>
      </c>
      <c r="L311" s="583" t="s">
        <v>467</v>
      </c>
      <c r="M311" s="625">
        <v>3124</v>
      </c>
      <c r="N311" s="620">
        <v>44477</v>
      </c>
      <c r="O311" s="684" t="s">
        <v>5377</v>
      </c>
      <c r="P311" s="503">
        <f t="shared" si="14"/>
        <v>10</v>
      </c>
      <c r="Q311" s="503">
        <f t="shared" si="15"/>
        <v>8</v>
      </c>
      <c r="R311" s="504" t="str">
        <f t="shared" si="16"/>
        <v>Gastos_custeados_por_captação</v>
      </c>
      <c r="S311" s="504" t="str">
        <f>IF(D311="","",IF(OR(D311=Plano!$A$1,D311=Plano!$B$1),"entrada","saída"))</f>
        <v>saída</v>
      </c>
      <c r="T311" s="511" t="s">
        <v>114</v>
      </c>
      <c r="U311" s="511" t="s">
        <v>114</v>
      </c>
      <c r="V311" s="541"/>
    </row>
    <row r="312" spans="1:22" s="544" customFormat="1" ht="59.25" customHeight="1" x14ac:dyDescent="0.2">
      <c r="A312" s="619">
        <f>IF(B312="","",COUNT('Diário 5º PA'!$A$5:$A$2634)+COUNT('Diário 6º PA'!$A$5:$A$2246)+COUNT('Diário 7º PA'!$A$5:$A$2271)+ROW()-4)</f>
        <v>4258</v>
      </c>
      <c r="B312" s="620">
        <v>44477</v>
      </c>
      <c r="C312" s="624">
        <v>44409</v>
      </c>
      <c r="D312" s="548" t="s">
        <v>104</v>
      </c>
      <c r="E312" s="548" t="s">
        <v>104</v>
      </c>
      <c r="F312" s="622">
        <v>2.0299999999999998</v>
      </c>
      <c r="G312" s="623" t="s">
        <v>5488</v>
      </c>
      <c r="H312" s="548" t="s">
        <v>104</v>
      </c>
      <c r="I312" s="631" t="s">
        <v>465</v>
      </c>
      <c r="J312" s="548" t="s">
        <v>114</v>
      </c>
      <c r="K312" s="583" t="s">
        <v>466</v>
      </c>
      <c r="L312" s="583" t="s">
        <v>467</v>
      </c>
      <c r="M312" s="625">
        <v>3125</v>
      </c>
      <c r="N312" s="620">
        <v>44477</v>
      </c>
      <c r="O312" s="684" t="s">
        <v>5377</v>
      </c>
      <c r="P312" s="503">
        <f t="shared" si="14"/>
        <v>10</v>
      </c>
      <c r="Q312" s="503">
        <f t="shared" si="15"/>
        <v>8</v>
      </c>
      <c r="R312" s="504" t="str">
        <f t="shared" si="16"/>
        <v>Gastos_custeados_por_captação</v>
      </c>
      <c r="S312" s="504" t="str">
        <f>IF(D312="","",IF(OR(D312=Plano!$A$1,D312=Plano!$B$1),"entrada","saída"))</f>
        <v>saída</v>
      </c>
      <c r="T312" s="511" t="s">
        <v>114</v>
      </c>
      <c r="U312" s="511" t="s">
        <v>114</v>
      </c>
      <c r="V312" s="541"/>
    </row>
    <row r="313" spans="1:22" s="544" customFormat="1" ht="59.25" customHeight="1" x14ac:dyDescent="0.2">
      <c r="A313" s="619">
        <f>IF(B313="","",COUNT('Diário 5º PA'!$A$5:$A$2634)+COUNT('Diário 6º PA'!$A$5:$A$2246)+COUNT('Diário 7º PA'!$A$5:$A$2271)+ROW()-4)</f>
        <v>4259</v>
      </c>
      <c r="B313" s="620">
        <v>44477</v>
      </c>
      <c r="C313" s="624">
        <v>44409</v>
      </c>
      <c r="D313" s="548" t="s">
        <v>104</v>
      </c>
      <c r="E313" s="548" t="s">
        <v>104</v>
      </c>
      <c r="F313" s="622">
        <v>391.5</v>
      </c>
      <c r="G313" s="623" t="s">
        <v>5491</v>
      </c>
      <c r="H313" s="548" t="s">
        <v>104</v>
      </c>
      <c r="I313" s="631" t="s">
        <v>465</v>
      </c>
      <c r="J313" s="548" t="s">
        <v>114</v>
      </c>
      <c r="K313" s="583" t="s">
        <v>466</v>
      </c>
      <c r="L313" s="583" t="s">
        <v>467</v>
      </c>
      <c r="M313" s="625">
        <v>3126</v>
      </c>
      <c r="N313" s="620">
        <v>44477</v>
      </c>
      <c r="O313" s="684" t="s">
        <v>5377</v>
      </c>
      <c r="P313" s="503">
        <f t="shared" si="14"/>
        <v>10</v>
      </c>
      <c r="Q313" s="503">
        <f t="shared" si="15"/>
        <v>8</v>
      </c>
      <c r="R313" s="504" t="str">
        <f t="shared" si="16"/>
        <v>Gastos_custeados_por_captação</v>
      </c>
      <c r="S313" s="504" t="str">
        <f>IF(D313="","",IF(OR(D313=Plano!$A$1,D313=Plano!$B$1),"entrada","saída"))</f>
        <v>saída</v>
      </c>
      <c r="T313" s="511" t="s">
        <v>114</v>
      </c>
      <c r="U313" s="511" t="s">
        <v>114</v>
      </c>
      <c r="V313" s="541"/>
    </row>
    <row r="314" spans="1:22" s="544" customFormat="1" ht="59.25" customHeight="1" x14ac:dyDescent="0.2">
      <c r="A314" s="619">
        <f>IF(B314="","",COUNT('Diário 5º PA'!$A$5:$A$2634)+COUNT('Diário 6º PA'!$A$5:$A$2246)+COUNT('Diário 7º PA'!$A$5:$A$2271)+ROW()-4)</f>
        <v>4260</v>
      </c>
      <c r="B314" s="620">
        <v>44477</v>
      </c>
      <c r="C314" s="624">
        <v>44409</v>
      </c>
      <c r="D314" s="548" t="s">
        <v>104</v>
      </c>
      <c r="E314" s="548" t="s">
        <v>104</v>
      </c>
      <c r="F314" s="622">
        <v>162.80000000000001</v>
      </c>
      <c r="G314" s="623" t="s">
        <v>5493</v>
      </c>
      <c r="H314" s="548" t="s">
        <v>104</v>
      </c>
      <c r="I314" s="631" t="s">
        <v>465</v>
      </c>
      <c r="J314" s="548" t="s">
        <v>114</v>
      </c>
      <c r="K314" s="583" t="s">
        <v>466</v>
      </c>
      <c r="L314" s="583" t="s">
        <v>467</v>
      </c>
      <c r="M314" s="625">
        <v>3127</v>
      </c>
      <c r="N314" s="620">
        <v>44477</v>
      </c>
      <c r="O314" s="684" t="s">
        <v>5377</v>
      </c>
      <c r="P314" s="503">
        <f t="shared" si="14"/>
        <v>10</v>
      </c>
      <c r="Q314" s="503">
        <f t="shared" si="15"/>
        <v>8</v>
      </c>
      <c r="R314" s="504" t="str">
        <f t="shared" si="16"/>
        <v>Gastos_custeados_por_captação</v>
      </c>
      <c r="S314" s="504" t="str">
        <f>IF(D314="","",IF(OR(D314=Plano!$A$1,D314=Plano!$B$1),"entrada","saída"))</f>
        <v>saída</v>
      </c>
      <c r="T314" s="511" t="s">
        <v>114</v>
      </c>
      <c r="U314" s="511" t="s">
        <v>114</v>
      </c>
      <c r="V314" s="541"/>
    </row>
    <row r="315" spans="1:22" s="544" customFormat="1" ht="59.25" customHeight="1" x14ac:dyDescent="0.2">
      <c r="A315" s="619">
        <f>IF(B315="","",COUNT('Diário 5º PA'!$A$5:$A$2634)+COUNT('Diário 6º PA'!$A$5:$A$2246)+COUNT('Diário 7º PA'!$A$5:$A$2271)+ROW()-4)</f>
        <v>4261</v>
      </c>
      <c r="B315" s="620">
        <v>44477</v>
      </c>
      <c r="C315" s="624">
        <v>44409</v>
      </c>
      <c r="D315" s="548" t="s">
        <v>104</v>
      </c>
      <c r="E315" s="548" t="s">
        <v>104</v>
      </c>
      <c r="F315" s="622">
        <v>76.05</v>
      </c>
      <c r="G315" s="623" t="s">
        <v>5481</v>
      </c>
      <c r="H315" s="548" t="s">
        <v>104</v>
      </c>
      <c r="I315" s="631" t="s">
        <v>465</v>
      </c>
      <c r="J315" s="548" t="s">
        <v>114</v>
      </c>
      <c r="K315" s="583" t="s">
        <v>466</v>
      </c>
      <c r="L315" s="583" t="s">
        <v>467</v>
      </c>
      <c r="M315" s="625">
        <v>3128</v>
      </c>
      <c r="N315" s="620">
        <v>44477</v>
      </c>
      <c r="O315" s="684" t="s">
        <v>5377</v>
      </c>
      <c r="P315" s="503">
        <f t="shared" si="14"/>
        <v>10</v>
      </c>
      <c r="Q315" s="503">
        <f t="shared" si="15"/>
        <v>8</v>
      </c>
      <c r="R315" s="504" t="str">
        <f t="shared" si="16"/>
        <v>Gastos_custeados_por_captação</v>
      </c>
      <c r="S315" s="504" t="str">
        <f>IF(D315="","",IF(OR(D315=Plano!$A$1,D315=Plano!$B$1),"entrada","saída"))</f>
        <v>saída</v>
      </c>
      <c r="T315" s="511" t="s">
        <v>114</v>
      </c>
      <c r="U315" s="511" t="s">
        <v>114</v>
      </c>
      <c r="V315" s="541"/>
    </row>
    <row r="316" spans="1:22" s="544" customFormat="1" ht="59.25" customHeight="1" x14ac:dyDescent="0.2">
      <c r="A316" s="619">
        <f>IF(B316="","",COUNT('Diário 5º PA'!$A$5:$A$2634)+COUNT('Diário 6º PA'!$A$5:$A$2246)+COUNT('Diário 7º PA'!$A$5:$A$2271)+ROW()-4)</f>
        <v>4262</v>
      </c>
      <c r="B316" s="620">
        <v>44477</v>
      </c>
      <c r="C316" s="621">
        <v>44470</v>
      </c>
      <c r="D316" s="548" t="s">
        <v>104</v>
      </c>
      <c r="E316" s="548" t="s">
        <v>104</v>
      </c>
      <c r="F316" s="622">
        <v>9.76</v>
      </c>
      <c r="G316" s="623" t="s">
        <v>6929</v>
      </c>
      <c r="H316" s="548" t="s">
        <v>104</v>
      </c>
      <c r="I316" s="583" t="s">
        <v>949</v>
      </c>
      <c r="J316" s="548" t="s">
        <v>950</v>
      </c>
      <c r="K316" s="583" t="s">
        <v>951</v>
      </c>
      <c r="L316" s="583" t="s">
        <v>947</v>
      </c>
      <c r="M316" s="625" t="s">
        <v>114</v>
      </c>
      <c r="N316" s="620">
        <v>44477</v>
      </c>
      <c r="O316" s="684" t="s">
        <v>5505</v>
      </c>
      <c r="P316" s="503">
        <f t="shared" si="14"/>
        <v>10</v>
      </c>
      <c r="Q316" s="503">
        <f t="shared" si="15"/>
        <v>10</v>
      </c>
      <c r="R316" s="504" t="str">
        <f t="shared" si="16"/>
        <v>Gastos_custeados_por_captação</v>
      </c>
      <c r="S316" s="504" t="str">
        <f>IF(D316="","",IF(OR(D316=Plano!$A$1,D316=Plano!$B$1),"entrada","saída"))</f>
        <v>saída</v>
      </c>
      <c r="T316" s="511" t="s">
        <v>114</v>
      </c>
      <c r="U316" s="511" t="s">
        <v>114</v>
      </c>
      <c r="V316" s="541"/>
    </row>
    <row r="317" spans="1:22" s="544" customFormat="1" ht="59.25" customHeight="1" x14ac:dyDescent="0.2">
      <c r="A317" s="619">
        <f>IF(B317="","",COUNT('Diário 5º PA'!$A$5:$A$2634)+COUNT('Diário 6º PA'!$A$5:$A$2246)+COUNT('Diário 7º PA'!$A$5:$A$2271)+ROW()-4)</f>
        <v>4263</v>
      </c>
      <c r="B317" s="620">
        <v>44477</v>
      </c>
      <c r="C317" s="621">
        <v>44470</v>
      </c>
      <c r="D317" s="548" t="s">
        <v>104</v>
      </c>
      <c r="E317" s="548" t="s">
        <v>104</v>
      </c>
      <c r="F317" s="622">
        <v>2568.5</v>
      </c>
      <c r="G317" s="623" t="s">
        <v>6930</v>
      </c>
      <c r="H317" s="548" t="s">
        <v>104</v>
      </c>
      <c r="I317" s="583" t="s">
        <v>6931</v>
      </c>
      <c r="J317" s="548" t="s">
        <v>114</v>
      </c>
      <c r="K317" s="583" t="s">
        <v>4366</v>
      </c>
      <c r="L317" s="583" t="s">
        <v>1177</v>
      </c>
      <c r="M317" s="625" t="s">
        <v>114</v>
      </c>
      <c r="N317" s="620">
        <v>44477</v>
      </c>
      <c r="O317" s="684" t="s">
        <v>5505</v>
      </c>
      <c r="P317" s="503">
        <f t="shared" si="14"/>
        <v>10</v>
      </c>
      <c r="Q317" s="503">
        <f t="shared" si="15"/>
        <v>10</v>
      </c>
      <c r="R317" s="504" t="str">
        <f t="shared" si="16"/>
        <v>Gastos_custeados_por_captação</v>
      </c>
      <c r="S317" s="504" t="str">
        <f>IF(D317="","",IF(OR(D317=Plano!$A$1,D317=Plano!$B$1),"entrada","saída"))</f>
        <v>saída</v>
      </c>
      <c r="T317" s="511" t="s">
        <v>994</v>
      </c>
      <c r="U317" s="511">
        <v>2165</v>
      </c>
      <c r="V317" s="541"/>
    </row>
    <row r="318" spans="1:22" s="544" customFormat="1" ht="59.25" customHeight="1" x14ac:dyDescent="0.2">
      <c r="A318" s="619">
        <f>IF(B318="","",COUNT('Diário 5º PA'!$A$5:$A$2634)+COUNT('Diário 6º PA'!$A$5:$A$2246)+COUNT('Diário 7º PA'!$A$5:$A$2271)+ROW()-4)</f>
        <v>4264</v>
      </c>
      <c r="B318" s="620">
        <v>44477</v>
      </c>
      <c r="C318" s="621">
        <v>44470</v>
      </c>
      <c r="D318" s="548" t="s">
        <v>104</v>
      </c>
      <c r="E318" s="548" t="s">
        <v>104</v>
      </c>
      <c r="F318" s="622">
        <v>440</v>
      </c>
      <c r="G318" s="623" t="s">
        <v>5589</v>
      </c>
      <c r="H318" s="548" t="s">
        <v>104</v>
      </c>
      <c r="I318" s="583" t="s">
        <v>949</v>
      </c>
      <c r="J318" s="548" t="s">
        <v>950</v>
      </c>
      <c r="K318" s="583" t="s">
        <v>951</v>
      </c>
      <c r="L318" s="583" t="s">
        <v>947</v>
      </c>
      <c r="M318" s="625" t="s">
        <v>114</v>
      </c>
      <c r="N318" s="620">
        <v>44477</v>
      </c>
      <c r="O318" s="684" t="s">
        <v>5505</v>
      </c>
      <c r="P318" s="503">
        <f t="shared" si="14"/>
        <v>10</v>
      </c>
      <c r="Q318" s="503">
        <f t="shared" si="15"/>
        <v>10</v>
      </c>
      <c r="R318" s="504" t="str">
        <f t="shared" si="16"/>
        <v>Gastos_custeados_por_captação</v>
      </c>
      <c r="S318" s="504" t="str">
        <f>IF(D318="","",IF(OR(D318=Plano!$A$1,D318=Plano!$B$1),"entrada","saída"))</f>
        <v>saída</v>
      </c>
      <c r="T318" s="511" t="s">
        <v>114</v>
      </c>
      <c r="U318" s="511" t="s">
        <v>114</v>
      </c>
      <c r="V318" s="541"/>
    </row>
    <row r="319" spans="1:22" s="544" customFormat="1" ht="59.25" customHeight="1" x14ac:dyDescent="0.2">
      <c r="A319" s="619">
        <f>IF(B319="","",COUNT('Diário 5º PA'!$A$5:$A$2634)+COUNT('Diário 6º PA'!$A$5:$A$2246)+COUNT('Diário 7º PA'!$A$5:$A$2271)+ROW()-4)</f>
        <v>4265</v>
      </c>
      <c r="B319" s="620">
        <v>44477</v>
      </c>
      <c r="C319" s="621">
        <v>44470</v>
      </c>
      <c r="D319" s="548" t="s">
        <v>104</v>
      </c>
      <c r="E319" s="548" t="s">
        <v>104</v>
      </c>
      <c r="F319" s="622">
        <v>453.26</v>
      </c>
      <c r="G319" s="623" t="s">
        <v>6932</v>
      </c>
      <c r="H319" s="548" t="s">
        <v>104</v>
      </c>
      <c r="I319" s="583" t="s">
        <v>488</v>
      </c>
      <c r="J319" s="548" t="s">
        <v>114</v>
      </c>
      <c r="K319" s="583" t="s">
        <v>466</v>
      </c>
      <c r="L319" s="583" t="s">
        <v>489</v>
      </c>
      <c r="M319" s="625" t="s">
        <v>114</v>
      </c>
      <c r="N319" s="620">
        <v>44477</v>
      </c>
      <c r="O319" s="684" t="s">
        <v>5505</v>
      </c>
      <c r="P319" s="503">
        <f t="shared" si="14"/>
        <v>10</v>
      </c>
      <c r="Q319" s="503">
        <f t="shared" si="15"/>
        <v>10</v>
      </c>
      <c r="R319" s="504" t="str">
        <f t="shared" si="16"/>
        <v>Gastos_custeados_por_captação</v>
      </c>
      <c r="S319" s="504" t="str">
        <f>IF(D319="","",IF(OR(D319=Plano!$A$1,D319=Plano!$B$1),"entrada","saída"))</f>
        <v>saída</v>
      </c>
      <c r="T319" s="511" t="s">
        <v>114</v>
      </c>
      <c r="U319" s="511" t="s">
        <v>114</v>
      </c>
      <c r="V319" s="541"/>
    </row>
    <row r="320" spans="1:22" ht="69.75" customHeight="1" x14ac:dyDescent="0.2">
      <c r="A320" s="619">
        <f>IF(B320="","",COUNT('Diário 5º PA'!$A$5:$A$2634)+COUNT('Diário 6º PA'!$A$5:$A$2246)+COUNT('Diário 7º PA'!$A$5:$A$2271)+ROW()-4)</f>
        <v>4266</v>
      </c>
      <c r="B320" s="620">
        <v>44480</v>
      </c>
      <c r="C320" s="621">
        <v>44440</v>
      </c>
      <c r="D320" s="548" t="s">
        <v>99</v>
      </c>
      <c r="E320" s="548" t="s">
        <v>208</v>
      </c>
      <c r="F320" s="622">
        <v>-2643.58</v>
      </c>
      <c r="G320" s="623" t="s">
        <v>5718</v>
      </c>
      <c r="H320" s="548" t="s">
        <v>115</v>
      </c>
      <c r="I320" s="583" t="s">
        <v>983</v>
      </c>
      <c r="J320" s="548" t="s">
        <v>850</v>
      </c>
      <c r="K320" s="583" t="s">
        <v>946</v>
      </c>
      <c r="L320" s="583" t="s">
        <v>947</v>
      </c>
      <c r="M320" s="619" t="s">
        <v>114</v>
      </c>
      <c r="N320" s="620">
        <v>44480</v>
      </c>
      <c r="O320" s="684" t="s">
        <v>67</v>
      </c>
      <c r="P320" s="503">
        <f t="shared" si="14"/>
        <v>10</v>
      </c>
      <c r="Q320" s="503">
        <f t="shared" si="15"/>
        <v>9</v>
      </c>
      <c r="R320" s="504" t="str">
        <f t="shared" si="16"/>
        <v>Gastos_Gerais</v>
      </c>
      <c r="S320" s="504" t="str">
        <f>IF(D320="","",IF(OR(D320=Plano!$A$1,D320=Plano!$B$1),"entrada","saída"))</f>
        <v>saída</v>
      </c>
      <c r="T320" s="511" t="s">
        <v>114</v>
      </c>
      <c r="U320" s="511" t="s">
        <v>114</v>
      </c>
      <c r="V320" s="541"/>
    </row>
    <row r="321" spans="1:22" ht="65.25" customHeight="1" x14ac:dyDescent="0.2">
      <c r="A321" s="619">
        <f>IF(B321="","",COUNT('Diário 5º PA'!$A$5:$A$2634)+COUNT('Diário 6º PA'!$A$5:$A$2246)+COUNT('Diário 7º PA'!$A$5:$A$2271)+ROW()-4)</f>
        <v>4267</v>
      </c>
      <c r="B321" s="620">
        <v>44480</v>
      </c>
      <c r="C321" s="621">
        <v>44440</v>
      </c>
      <c r="D321" s="548" t="s">
        <v>99</v>
      </c>
      <c r="E321" s="548" t="s">
        <v>212</v>
      </c>
      <c r="F321" s="622">
        <v>-447.21</v>
      </c>
      <c r="G321" s="623" t="s">
        <v>5719</v>
      </c>
      <c r="H321" s="548" t="s">
        <v>115</v>
      </c>
      <c r="I321" s="583" t="s">
        <v>983</v>
      </c>
      <c r="J321" s="548" t="s">
        <v>850</v>
      </c>
      <c r="K321" s="583" t="s">
        <v>946</v>
      </c>
      <c r="L321" s="583" t="s">
        <v>947</v>
      </c>
      <c r="M321" s="619" t="s">
        <v>114</v>
      </c>
      <c r="N321" s="620">
        <v>44480</v>
      </c>
      <c r="O321" s="684" t="s">
        <v>67</v>
      </c>
      <c r="P321" s="503">
        <f t="shared" ref="P321:P383" si="17">IF(B321=0,0,IF(YEAR(B321)=$Q$1,MONTH(B321)-$P$1+1,(YEAR(B321)-$Q$1)*12-$P$1+1+MONTH(B321)))</f>
        <v>10</v>
      </c>
      <c r="Q321" s="503">
        <f t="shared" ref="Q321:Q383" si="18">IF(C321=0,0,IF(YEAR(C321)=$Q$1,MONTH(C321)-$P$1+1,(YEAR(C321)-$Q$1)*12-$P$1+1+MONTH(C321)))</f>
        <v>9</v>
      </c>
      <c r="R321" s="504" t="str">
        <f t="shared" ref="R321:R383" si="19">SUBSTITUTE(D321," ","_")</f>
        <v>Gastos_Gerais</v>
      </c>
      <c r="S321" s="504" t="str">
        <f>IF(D321="","",IF(OR(D321=Plano!$A$1,D321=Plano!$B$1),"entrada","saída"))</f>
        <v>saída</v>
      </c>
      <c r="T321" s="511" t="s">
        <v>114</v>
      </c>
      <c r="U321" s="511" t="s">
        <v>114</v>
      </c>
      <c r="V321" s="541"/>
    </row>
    <row r="322" spans="1:22" ht="72" customHeight="1" x14ac:dyDescent="0.2">
      <c r="A322" s="619">
        <f>IF(B322="","",COUNT('Diário 5º PA'!$A$5:$A$2634)+COUNT('Diário 6º PA'!$A$5:$A$2246)+COUNT('Diário 7º PA'!$A$5:$A$2271)+ROW()-4)</f>
        <v>4268</v>
      </c>
      <c r="B322" s="620">
        <v>44480</v>
      </c>
      <c r="C322" s="621">
        <v>44440</v>
      </c>
      <c r="D322" s="548" t="s">
        <v>99</v>
      </c>
      <c r="E322" s="548" t="s">
        <v>246</v>
      </c>
      <c r="F322" s="622">
        <v>-158.46</v>
      </c>
      <c r="G322" s="623" t="s">
        <v>5720</v>
      </c>
      <c r="H322" s="548" t="s">
        <v>115</v>
      </c>
      <c r="I322" s="583" t="s">
        <v>983</v>
      </c>
      <c r="J322" s="548" t="s">
        <v>850</v>
      </c>
      <c r="K322" s="583" t="s">
        <v>946</v>
      </c>
      <c r="L322" s="583" t="s">
        <v>947</v>
      </c>
      <c r="M322" s="619" t="s">
        <v>114</v>
      </c>
      <c r="N322" s="620">
        <v>44480</v>
      </c>
      <c r="O322" s="684" t="s">
        <v>67</v>
      </c>
      <c r="P322" s="503">
        <f t="shared" si="17"/>
        <v>10</v>
      </c>
      <c r="Q322" s="503">
        <f t="shared" si="18"/>
        <v>9</v>
      </c>
      <c r="R322" s="504" t="str">
        <f t="shared" si="19"/>
        <v>Gastos_Gerais</v>
      </c>
      <c r="S322" s="504" t="str">
        <f>IF(D322="","",IF(OR(D322=Plano!$A$1,D322=Plano!$B$1),"entrada","saída"))</f>
        <v>saída</v>
      </c>
      <c r="T322" s="511" t="s">
        <v>114</v>
      </c>
      <c r="U322" s="511" t="s">
        <v>114</v>
      </c>
      <c r="V322" s="541"/>
    </row>
    <row r="323" spans="1:22" ht="62.25" customHeight="1" x14ac:dyDescent="0.2">
      <c r="A323" s="619">
        <f>IF(B323="","",COUNT('Diário 5º PA'!$A$5:$A$2634)+COUNT('Diário 6º PA'!$A$5:$A$2246)+COUNT('Diário 7º PA'!$A$5:$A$2271)+ROW()-4)</f>
        <v>4269</v>
      </c>
      <c r="B323" s="620">
        <v>44480</v>
      </c>
      <c r="C323" s="621">
        <v>44440</v>
      </c>
      <c r="D323" s="548" t="s">
        <v>99</v>
      </c>
      <c r="E323" s="548" t="s">
        <v>266</v>
      </c>
      <c r="F323" s="622">
        <v>-69.989999999999995</v>
      </c>
      <c r="G323" s="623" t="s">
        <v>5721</v>
      </c>
      <c r="H323" s="548" t="s">
        <v>115</v>
      </c>
      <c r="I323" s="583" t="s">
        <v>983</v>
      </c>
      <c r="J323" s="548" t="s">
        <v>850</v>
      </c>
      <c r="K323" s="583" t="s">
        <v>946</v>
      </c>
      <c r="L323" s="583" t="s">
        <v>947</v>
      </c>
      <c r="M323" s="619" t="s">
        <v>114</v>
      </c>
      <c r="N323" s="620">
        <v>44480</v>
      </c>
      <c r="O323" s="684" t="s">
        <v>67</v>
      </c>
      <c r="P323" s="503">
        <f t="shared" si="17"/>
        <v>10</v>
      </c>
      <c r="Q323" s="503">
        <f t="shared" si="18"/>
        <v>9</v>
      </c>
      <c r="R323" s="504" t="str">
        <f t="shared" si="19"/>
        <v>Gastos_Gerais</v>
      </c>
      <c r="S323" s="504" t="str">
        <f>IF(D323="","",IF(OR(D323=Plano!$A$1,D323=Plano!$B$1),"entrada","saída"))</f>
        <v>saída</v>
      </c>
      <c r="T323" s="511" t="s">
        <v>114</v>
      </c>
      <c r="U323" s="511" t="s">
        <v>114</v>
      </c>
      <c r="V323" s="541"/>
    </row>
    <row r="324" spans="1:22" ht="47.25" customHeight="1" x14ac:dyDescent="0.2">
      <c r="A324" s="619">
        <f>IF(B324="","",COUNT('Diário 5º PA'!$A$5:$A$2634)+COUNT('Diário 6º PA'!$A$5:$A$2246)+COUNT('Diário 7º PA'!$A$5:$A$2271)+ROW()-4)</f>
        <v>4270</v>
      </c>
      <c r="B324" s="620">
        <v>44480</v>
      </c>
      <c r="C324" s="621">
        <v>44440</v>
      </c>
      <c r="D324" s="548" t="s">
        <v>99</v>
      </c>
      <c r="E324" s="548" t="s">
        <v>208</v>
      </c>
      <c r="F324" s="622">
        <v>8128.76</v>
      </c>
      <c r="G324" s="623" t="s">
        <v>6158</v>
      </c>
      <c r="H324" s="548" t="s">
        <v>115</v>
      </c>
      <c r="I324" s="583" t="s">
        <v>518</v>
      </c>
      <c r="J324" s="548" t="s">
        <v>519</v>
      </c>
      <c r="K324" s="583" t="s">
        <v>560</v>
      </c>
      <c r="L324" s="583" t="s">
        <v>947</v>
      </c>
      <c r="M324" s="619">
        <v>10</v>
      </c>
      <c r="N324" s="620">
        <v>44459</v>
      </c>
      <c r="O324" s="684" t="s">
        <v>67</v>
      </c>
      <c r="P324" s="503">
        <f t="shared" si="17"/>
        <v>10</v>
      </c>
      <c r="Q324" s="503">
        <f t="shared" si="18"/>
        <v>9</v>
      </c>
      <c r="R324" s="504" t="str">
        <f t="shared" si="19"/>
        <v>Gastos_Gerais</v>
      </c>
      <c r="S324" s="504" t="str">
        <f>IF(D324="","",IF(OR(D324=Plano!$A$1,D324=Plano!$B$1),"entrada","saída"))</f>
        <v>saída</v>
      </c>
      <c r="T324" s="511" t="s">
        <v>114</v>
      </c>
      <c r="U324" s="511" t="s">
        <v>114</v>
      </c>
      <c r="V324" s="541"/>
    </row>
    <row r="325" spans="1:22" ht="42.75" customHeight="1" x14ac:dyDescent="0.2">
      <c r="A325" s="619">
        <f>IF(B325="","",COUNT('Diário 5º PA'!$A$5:$A$2634)+COUNT('Diário 6º PA'!$A$5:$A$2246)+COUNT('Diário 7º PA'!$A$5:$A$2271)+ROW()-4)</f>
        <v>4271</v>
      </c>
      <c r="B325" s="620">
        <v>44480</v>
      </c>
      <c r="C325" s="621">
        <v>44440</v>
      </c>
      <c r="D325" s="548" t="s">
        <v>99</v>
      </c>
      <c r="E325" s="548" t="s">
        <v>212</v>
      </c>
      <c r="F325" s="622">
        <v>1693.33</v>
      </c>
      <c r="G325" s="623" t="s">
        <v>520</v>
      </c>
      <c r="H325" s="548" t="s">
        <v>115</v>
      </c>
      <c r="I325" s="583" t="s">
        <v>518</v>
      </c>
      <c r="J325" s="548" t="s">
        <v>519</v>
      </c>
      <c r="K325" s="583" t="s">
        <v>560</v>
      </c>
      <c r="L325" s="583" t="s">
        <v>947</v>
      </c>
      <c r="M325" s="619">
        <v>10</v>
      </c>
      <c r="N325" s="620">
        <v>44459</v>
      </c>
      <c r="O325" s="684" t="s">
        <v>67</v>
      </c>
      <c r="P325" s="503">
        <f t="shared" si="17"/>
        <v>10</v>
      </c>
      <c r="Q325" s="503">
        <f t="shared" si="18"/>
        <v>9</v>
      </c>
      <c r="R325" s="504" t="str">
        <f t="shared" si="19"/>
        <v>Gastos_Gerais</v>
      </c>
      <c r="S325" s="504" t="str">
        <f>IF(D325="","",IF(OR(D325=Plano!$A$1,D325=Plano!$B$1),"entrada","saída"))</f>
        <v>saída</v>
      </c>
      <c r="T325" s="511" t="s">
        <v>114</v>
      </c>
      <c r="U325" s="511" t="s">
        <v>114</v>
      </c>
      <c r="V325" s="541"/>
    </row>
    <row r="326" spans="1:22" ht="91.5" customHeight="1" x14ac:dyDescent="0.2">
      <c r="A326" s="619">
        <f>IF(B326="","",COUNT('Diário 5º PA'!$A$5:$A$2634)+COUNT('Diário 6º PA'!$A$5:$A$2246)+COUNT('Diário 7º PA'!$A$5:$A$2271)+ROW()-4)</f>
        <v>4272</v>
      </c>
      <c r="B326" s="620">
        <v>44480</v>
      </c>
      <c r="C326" s="621">
        <v>44440</v>
      </c>
      <c r="D326" s="548" t="s">
        <v>99</v>
      </c>
      <c r="E326" s="548" t="s">
        <v>266</v>
      </c>
      <c r="F326" s="622">
        <v>255.72</v>
      </c>
      <c r="G326" s="623" t="s">
        <v>480</v>
      </c>
      <c r="H326" s="548" t="s">
        <v>115</v>
      </c>
      <c r="I326" s="583" t="s">
        <v>1372</v>
      </c>
      <c r="J326" s="548" t="s">
        <v>482</v>
      </c>
      <c r="K326" s="583" t="s">
        <v>560</v>
      </c>
      <c r="L326" s="583" t="s">
        <v>992</v>
      </c>
      <c r="M326" s="619" t="s">
        <v>5981</v>
      </c>
      <c r="N326" s="620">
        <v>44468</v>
      </c>
      <c r="O326" s="684" t="s">
        <v>67</v>
      </c>
      <c r="P326" s="503">
        <f t="shared" si="17"/>
        <v>10</v>
      </c>
      <c r="Q326" s="503">
        <f t="shared" si="18"/>
        <v>9</v>
      </c>
      <c r="R326" s="504" t="str">
        <f t="shared" si="19"/>
        <v>Gastos_Gerais</v>
      </c>
      <c r="S326" s="504" t="str">
        <f>IF(D326="","",IF(OR(D326=Plano!$A$1,D326=Plano!$B$1),"entrada","saída"))</f>
        <v>saída</v>
      </c>
      <c r="T326" s="511" t="s">
        <v>1059</v>
      </c>
      <c r="U326" s="511">
        <v>1133</v>
      </c>
      <c r="V326" s="541"/>
    </row>
    <row r="327" spans="1:22" ht="93.75" customHeight="1" x14ac:dyDescent="0.2">
      <c r="A327" s="619">
        <f>IF(B327="","",COUNT('Diário 5º PA'!$A$5:$A$2634)+COUNT('Diário 6º PA'!$A$5:$A$2246)+COUNT('Diário 7º PA'!$A$5:$A$2271)+ROW()-4)</f>
        <v>4273</v>
      </c>
      <c r="B327" s="620">
        <v>44480</v>
      </c>
      <c r="C327" s="621">
        <v>44440</v>
      </c>
      <c r="D327" s="548" t="s">
        <v>99</v>
      </c>
      <c r="E327" s="548" t="s">
        <v>246</v>
      </c>
      <c r="F327" s="622">
        <v>600</v>
      </c>
      <c r="G327" s="623" t="s">
        <v>1369</v>
      </c>
      <c r="H327" s="548" t="s">
        <v>115</v>
      </c>
      <c r="I327" s="583" t="s">
        <v>1370</v>
      </c>
      <c r="J327" s="548" t="s">
        <v>1371</v>
      </c>
      <c r="K327" s="583" t="s">
        <v>560</v>
      </c>
      <c r="L327" s="583" t="s">
        <v>992</v>
      </c>
      <c r="M327" s="619" t="s">
        <v>5982</v>
      </c>
      <c r="N327" s="620">
        <v>44473</v>
      </c>
      <c r="O327" s="684" t="s">
        <v>67</v>
      </c>
      <c r="P327" s="503">
        <f t="shared" si="17"/>
        <v>10</v>
      </c>
      <c r="Q327" s="503">
        <f t="shared" si="18"/>
        <v>9</v>
      </c>
      <c r="R327" s="504" t="str">
        <f t="shared" si="19"/>
        <v>Gastos_Gerais</v>
      </c>
      <c r="S327" s="504" t="str">
        <f>IF(D327="","",IF(OR(D327=Plano!$A$1,D327=Plano!$B$1),"entrada","saída"))</f>
        <v>saída</v>
      </c>
      <c r="T327" s="511" t="s">
        <v>1082</v>
      </c>
      <c r="U327" s="511">
        <v>1144</v>
      </c>
      <c r="V327" s="541"/>
    </row>
    <row r="328" spans="1:22" ht="174.75" customHeight="1" x14ac:dyDescent="0.2">
      <c r="A328" s="619">
        <f>IF(B328="","",COUNT('Diário 5º PA'!$A$5:$A$2634)+COUNT('Diário 6º PA'!$A$5:$A$2246)+COUNT('Diário 7º PA'!$A$5:$A$2271)+ROW()-4)</f>
        <v>4274</v>
      </c>
      <c r="B328" s="620">
        <v>44480</v>
      </c>
      <c r="C328" s="624">
        <v>44440</v>
      </c>
      <c r="D328" s="548" t="s">
        <v>99</v>
      </c>
      <c r="E328" s="548" t="s">
        <v>224</v>
      </c>
      <c r="F328" s="622">
        <v>40.68</v>
      </c>
      <c r="G328" s="623" t="s">
        <v>642</v>
      </c>
      <c r="H328" s="548" t="s">
        <v>130</v>
      </c>
      <c r="I328" s="583" t="s">
        <v>5724</v>
      </c>
      <c r="J328" s="548" t="s">
        <v>644</v>
      </c>
      <c r="K328" s="583" t="s">
        <v>560</v>
      </c>
      <c r="L328" s="583" t="s">
        <v>697</v>
      </c>
      <c r="M328" s="625">
        <v>2109954710144</v>
      </c>
      <c r="N328" s="620">
        <v>44457</v>
      </c>
      <c r="O328" s="684" t="s">
        <v>67</v>
      </c>
      <c r="P328" s="503">
        <f t="shared" si="17"/>
        <v>10</v>
      </c>
      <c r="Q328" s="503">
        <f t="shared" si="18"/>
        <v>9</v>
      </c>
      <c r="R328" s="504" t="str">
        <f t="shared" si="19"/>
        <v>Gastos_Gerais</v>
      </c>
      <c r="S328" s="504" t="str">
        <f>IF(D328="","",IF(OR(D328=Plano!$A$1,D328=Plano!$B$1),"entrada","saída"))</f>
        <v>saída</v>
      </c>
      <c r="T328" s="505" t="s">
        <v>1059</v>
      </c>
      <c r="U328" s="505">
        <v>277</v>
      </c>
      <c r="V328" s="541"/>
    </row>
    <row r="329" spans="1:22" ht="108" customHeight="1" x14ac:dyDescent="0.2">
      <c r="A329" s="619">
        <f>IF(B329="","",COUNT('Diário 5º PA'!$A$5:$A$2634)+COUNT('Diário 6º PA'!$A$5:$A$2246)+COUNT('Diário 7º PA'!$A$5:$A$2271)+ROW()-4)</f>
        <v>4275</v>
      </c>
      <c r="B329" s="620">
        <v>44480</v>
      </c>
      <c r="C329" s="624">
        <v>44440</v>
      </c>
      <c r="D329" s="548" t="s">
        <v>99</v>
      </c>
      <c r="E329" s="548" t="s">
        <v>224</v>
      </c>
      <c r="F329" s="622">
        <v>101.5</v>
      </c>
      <c r="G329" s="623" t="s">
        <v>843</v>
      </c>
      <c r="H329" s="548" t="s">
        <v>130</v>
      </c>
      <c r="I329" s="583" t="s">
        <v>5724</v>
      </c>
      <c r="J329" s="548" t="s">
        <v>644</v>
      </c>
      <c r="K329" s="583" t="s">
        <v>560</v>
      </c>
      <c r="L329" s="583" t="s">
        <v>697</v>
      </c>
      <c r="M329" s="625">
        <v>2109954710144</v>
      </c>
      <c r="N329" s="620">
        <v>44457</v>
      </c>
      <c r="O329" s="684" t="s">
        <v>67</v>
      </c>
      <c r="P329" s="503">
        <f t="shared" si="17"/>
        <v>10</v>
      </c>
      <c r="Q329" s="503">
        <f t="shared" si="18"/>
        <v>9</v>
      </c>
      <c r="R329" s="504" t="str">
        <f t="shared" si="19"/>
        <v>Gastos_Gerais</v>
      </c>
      <c r="S329" s="504" t="str">
        <f>IF(D329="","",IF(OR(D329=Plano!$A$1,D329=Plano!$B$1),"entrada","saída"))</f>
        <v>saída</v>
      </c>
      <c r="T329" s="505" t="s">
        <v>1082</v>
      </c>
      <c r="U329" s="505">
        <v>1997</v>
      </c>
      <c r="V329" s="541"/>
    </row>
    <row r="330" spans="1:22" s="540" customFormat="1" ht="69.75" customHeight="1" x14ac:dyDescent="0.2">
      <c r="A330" s="619">
        <f>IF(B330="","",COUNT('Diário 5º PA'!$A$5:$A$2634)+COUNT('Diário 6º PA'!$A$5:$A$2246)+COUNT('Diário 7º PA'!$A$5:$A$2271)+ROW()-4)</f>
        <v>4276</v>
      </c>
      <c r="B330" s="620">
        <v>44480</v>
      </c>
      <c r="C330" s="621">
        <v>44470</v>
      </c>
      <c r="D330" s="548" t="s">
        <v>104</v>
      </c>
      <c r="E330" s="548" t="s">
        <v>104</v>
      </c>
      <c r="F330" s="622">
        <v>153</v>
      </c>
      <c r="G330" s="623" t="s">
        <v>6902</v>
      </c>
      <c r="H330" s="548" t="s">
        <v>104</v>
      </c>
      <c r="I330" s="583" t="s">
        <v>949</v>
      </c>
      <c r="J330" s="548" t="s">
        <v>950</v>
      </c>
      <c r="K330" s="583" t="s">
        <v>951</v>
      </c>
      <c r="L330" s="583" t="s">
        <v>947</v>
      </c>
      <c r="M330" s="625" t="s">
        <v>114</v>
      </c>
      <c r="N330" s="620">
        <v>44480</v>
      </c>
      <c r="O330" s="684" t="s">
        <v>5370</v>
      </c>
      <c r="P330" s="503">
        <f t="shared" si="17"/>
        <v>10</v>
      </c>
      <c r="Q330" s="503">
        <f t="shared" si="18"/>
        <v>10</v>
      </c>
      <c r="R330" s="504" t="str">
        <f t="shared" si="19"/>
        <v>Gastos_custeados_por_captação</v>
      </c>
      <c r="S330" s="504" t="str">
        <f>IF(D330="","",IF(OR(D330=Plano!$A$1,D330=Plano!$B$1),"entrada","saída"))</f>
        <v>saída</v>
      </c>
      <c r="T330" s="511" t="s">
        <v>114</v>
      </c>
      <c r="U330" s="511" t="s">
        <v>114</v>
      </c>
      <c r="V330" s="541"/>
    </row>
    <row r="331" spans="1:22" s="544" customFormat="1" ht="69.75" customHeight="1" x14ac:dyDescent="0.2">
      <c r="A331" s="619">
        <f>IF(B331="","",COUNT('Diário 5º PA'!$A$5:$A$2634)+COUNT('Diário 6º PA'!$A$5:$A$2246)+COUNT('Diário 7º PA'!$A$5:$A$2271)+ROW()-4)</f>
        <v>4277</v>
      </c>
      <c r="B331" s="620">
        <v>44480</v>
      </c>
      <c r="C331" s="621">
        <v>44470</v>
      </c>
      <c r="D331" s="548" t="s">
        <v>104</v>
      </c>
      <c r="E331" s="548" t="s">
        <v>104</v>
      </c>
      <c r="F331" s="622">
        <v>153</v>
      </c>
      <c r="G331" s="623" t="s">
        <v>6902</v>
      </c>
      <c r="H331" s="548" t="s">
        <v>104</v>
      </c>
      <c r="I331" s="583" t="s">
        <v>949</v>
      </c>
      <c r="J331" s="548" t="s">
        <v>950</v>
      </c>
      <c r="K331" s="583" t="s">
        <v>951</v>
      </c>
      <c r="L331" s="583" t="s">
        <v>947</v>
      </c>
      <c r="M331" s="625" t="s">
        <v>114</v>
      </c>
      <c r="N331" s="620">
        <v>44480</v>
      </c>
      <c r="O331" s="684" t="s">
        <v>5377</v>
      </c>
      <c r="P331" s="503">
        <f t="shared" si="17"/>
        <v>10</v>
      </c>
      <c r="Q331" s="503">
        <f t="shared" si="18"/>
        <v>10</v>
      </c>
      <c r="R331" s="504" t="str">
        <f t="shared" si="19"/>
        <v>Gastos_custeados_por_captação</v>
      </c>
      <c r="S331" s="504" t="str">
        <f>IF(D331="","",IF(OR(D331=Plano!$A$1,D331=Plano!$B$1),"entrada","saída"))</f>
        <v>saída</v>
      </c>
      <c r="T331" s="511" t="s">
        <v>114</v>
      </c>
      <c r="U331" s="511" t="s">
        <v>114</v>
      </c>
      <c r="V331" s="541"/>
    </row>
    <row r="332" spans="1:22" ht="57.75" customHeight="1" x14ac:dyDescent="0.2">
      <c r="A332" s="619">
        <f>IF(B332="","",COUNT('Diário 5º PA'!$A$5:$A$2634)+COUNT('Diário 6º PA'!$A$5:$A$2246)+COUNT('Diário 7º PA'!$A$5:$A$2271)+ROW()-4)</f>
        <v>4278</v>
      </c>
      <c r="B332" s="620">
        <v>44482</v>
      </c>
      <c r="C332" s="621">
        <v>44440</v>
      </c>
      <c r="D332" s="548" t="s">
        <v>99</v>
      </c>
      <c r="E332" s="548" t="s">
        <v>220</v>
      </c>
      <c r="F332" s="622">
        <v>-128.41999999999999</v>
      </c>
      <c r="G332" s="623" t="s">
        <v>5745</v>
      </c>
      <c r="H332" s="548" t="s">
        <v>115</v>
      </c>
      <c r="I332" s="583" t="s">
        <v>983</v>
      </c>
      <c r="J332" s="548" t="s">
        <v>850</v>
      </c>
      <c r="K332" s="583" t="s">
        <v>946</v>
      </c>
      <c r="L332" s="583" t="s">
        <v>947</v>
      </c>
      <c r="M332" s="619" t="s">
        <v>114</v>
      </c>
      <c r="N332" s="620">
        <v>44513</v>
      </c>
      <c r="O332" s="684" t="s">
        <v>67</v>
      </c>
      <c r="P332" s="503">
        <f t="shared" si="17"/>
        <v>10</v>
      </c>
      <c r="Q332" s="503">
        <f t="shared" si="18"/>
        <v>9</v>
      </c>
      <c r="R332" s="504" t="str">
        <f t="shared" si="19"/>
        <v>Gastos_Gerais</v>
      </c>
      <c r="S332" s="504" t="str">
        <f>IF(D332="","",IF(OR(D332=Plano!$A$1,D332=Plano!$B$1),"entrada","saída"))</f>
        <v>saída</v>
      </c>
      <c r="T332" s="511" t="s">
        <v>114</v>
      </c>
      <c r="U332" s="511" t="s">
        <v>114</v>
      </c>
      <c r="V332" s="541"/>
    </row>
    <row r="333" spans="1:22" ht="181.5" customHeight="1" x14ac:dyDescent="0.2">
      <c r="A333" s="619">
        <f>IF(B333="","",COUNT('Diário 5º PA'!$A$5:$A$2634)+COUNT('Diário 6º PA'!$A$5:$A$2246)+COUNT('Diário 7º PA'!$A$5:$A$2271)+ROW()-4)</f>
        <v>4279</v>
      </c>
      <c r="B333" s="620">
        <v>44482</v>
      </c>
      <c r="C333" s="624">
        <v>44440</v>
      </c>
      <c r="D333" s="548" t="s">
        <v>99</v>
      </c>
      <c r="E333" s="548" t="s">
        <v>358</v>
      </c>
      <c r="F333" s="622">
        <v>1998.6</v>
      </c>
      <c r="G333" s="623" t="s">
        <v>722</v>
      </c>
      <c r="H333" s="548" t="s">
        <v>131</v>
      </c>
      <c r="I333" s="583" t="s">
        <v>2398</v>
      </c>
      <c r="J333" s="548" t="s">
        <v>723</v>
      </c>
      <c r="K333" s="583" t="s">
        <v>1015</v>
      </c>
      <c r="L333" s="583" t="s">
        <v>1029</v>
      </c>
      <c r="M333" s="619">
        <v>1371</v>
      </c>
      <c r="N333" s="620">
        <v>44476</v>
      </c>
      <c r="O333" s="684" t="s">
        <v>67</v>
      </c>
      <c r="P333" s="503">
        <f t="shared" si="17"/>
        <v>10</v>
      </c>
      <c r="Q333" s="503">
        <f t="shared" si="18"/>
        <v>9</v>
      </c>
      <c r="R333" s="504" t="str">
        <f t="shared" si="19"/>
        <v>Gastos_Gerais</v>
      </c>
      <c r="S333" s="504" t="str">
        <f>IF(D333="","",IF(OR(D333=Plano!$A$1,D333=Plano!$B$1),"entrada","saída"))</f>
        <v>saída</v>
      </c>
      <c r="T333" s="505" t="s">
        <v>994</v>
      </c>
      <c r="U333" s="505">
        <v>1894</v>
      </c>
      <c r="V333" s="541"/>
    </row>
    <row r="334" spans="1:22" ht="44.25" customHeight="1" x14ac:dyDescent="0.2">
      <c r="A334" s="619">
        <f>IF(B334="","",COUNT('Diário 5º PA'!$A$5:$A$2634)+COUNT('Diário 6º PA'!$A$5:$A$2246)+COUNT('Diário 7º PA'!$A$5:$A$2271)+ROW()-4)</f>
        <v>4280</v>
      </c>
      <c r="B334" s="620">
        <v>44482</v>
      </c>
      <c r="C334" s="621">
        <v>44440</v>
      </c>
      <c r="D334" s="548" t="s">
        <v>99</v>
      </c>
      <c r="E334" s="548" t="s">
        <v>220</v>
      </c>
      <c r="F334" s="622">
        <v>486.26</v>
      </c>
      <c r="G334" s="623" t="s">
        <v>521</v>
      </c>
      <c r="H334" s="548" t="s">
        <v>115</v>
      </c>
      <c r="I334" s="583" t="s">
        <v>522</v>
      </c>
      <c r="J334" s="548" t="s">
        <v>523</v>
      </c>
      <c r="K334" s="583" t="s">
        <v>1375</v>
      </c>
      <c r="L334" s="583" t="s">
        <v>992</v>
      </c>
      <c r="M334" s="619" t="s">
        <v>5749</v>
      </c>
      <c r="N334" s="620">
        <v>44458</v>
      </c>
      <c r="O334" s="684" t="s">
        <v>67</v>
      </c>
      <c r="P334" s="503">
        <f t="shared" si="17"/>
        <v>10</v>
      </c>
      <c r="Q334" s="503">
        <f t="shared" si="18"/>
        <v>9</v>
      </c>
      <c r="R334" s="504" t="str">
        <f t="shared" si="19"/>
        <v>Gastos_Gerais</v>
      </c>
      <c r="S334" s="504" t="str">
        <f>IF(D334="","",IF(OR(D334=Plano!$A$1,D334=Plano!$B$1),"entrada","saída"))</f>
        <v>saída</v>
      </c>
      <c r="T334" s="505" t="s">
        <v>114</v>
      </c>
      <c r="U334" s="505" t="s">
        <v>114</v>
      </c>
      <c r="V334" s="541"/>
    </row>
    <row r="335" spans="1:22" ht="40.5" customHeight="1" x14ac:dyDescent="0.2">
      <c r="A335" s="619">
        <f>IF(B335="","",COUNT('Diário 5º PA'!$A$5:$A$2634)+COUNT('Diário 6º PA'!$A$5:$A$2246)+COUNT('Diário 7º PA'!$A$5:$A$2271)+ROW()-4)</f>
        <v>4281</v>
      </c>
      <c r="B335" s="620">
        <v>44482</v>
      </c>
      <c r="C335" s="628">
        <v>44470</v>
      </c>
      <c r="D335" s="548" t="s">
        <v>99</v>
      </c>
      <c r="E335" s="548" t="s">
        <v>330</v>
      </c>
      <c r="F335" s="622">
        <v>105</v>
      </c>
      <c r="G335" s="623" t="s">
        <v>5545</v>
      </c>
      <c r="H335" s="548" t="s">
        <v>129</v>
      </c>
      <c r="I335" s="583" t="s">
        <v>5750</v>
      </c>
      <c r="J335" s="548" t="s">
        <v>5546</v>
      </c>
      <c r="K335" s="583" t="s">
        <v>991</v>
      </c>
      <c r="L335" s="583" t="s">
        <v>992</v>
      </c>
      <c r="M335" s="619" t="s">
        <v>5751</v>
      </c>
      <c r="N335" s="620">
        <v>44477</v>
      </c>
      <c r="O335" s="684" t="s">
        <v>67</v>
      </c>
      <c r="P335" s="503">
        <f t="shared" si="17"/>
        <v>10</v>
      </c>
      <c r="Q335" s="503">
        <f t="shared" si="18"/>
        <v>10</v>
      </c>
      <c r="R335" s="504" t="str">
        <f t="shared" si="19"/>
        <v>Gastos_Gerais</v>
      </c>
      <c r="S335" s="504" t="str">
        <f>IF(D335="","",IF(OR(D335=Plano!$A$1,D335=Plano!$B$1),"entrada","saída"))</f>
        <v>saída</v>
      </c>
      <c r="T335" s="505" t="s">
        <v>1011</v>
      </c>
      <c r="U335" s="505">
        <v>2220</v>
      </c>
      <c r="V335" s="541"/>
    </row>
    <row r="336" spans="1:22" ht="183.75" customHeight="1" x14ac:dyDescent="0.2">
      <c r="A336" s="619">
        <f>IF(B336="","",COUNT('Diário 5º PA'!$A$5:$A$2634)+COUNT('Diário 6º PA'!$A$5:$A$2246)+COUNT('Diário 7º PA'!$A$5:$A$2271)+ROW()-4)</f>
        <v>4282</v>
      </c>
      <c r="B336" s="620">
        <v>44482</v>
      </c>
      <c r="C336" s="624">
        <v>44409</v>
      </c>
      <c r="D336" s="548" t="s">
        <v>99</v>
      </c>
      <c r="E336" s="548" t="s">
        <v>364</v>
      </c>
      <c r="F336" s="622">
        <v>1008</v>
      </c>
      <c r="G336" s="623" t="s">
        <v>756</v>
      </c>
      <c r="H336" s="548" t="s">
        <v>131</v>
      </c>
      <c r="I336" s="583" t="s">
        <v>5685</v>
      </c>
      <c r="J336" s="548" t="s">
        <v>757</v>
      </c>
      <c r="K336" s="583" t="s">
        <v>991</v>
      </c>
      <c r="L336" s="583" t="s">
        <v>1901</v>
      </c>
      <c r="M336" s="619">
        <v>1293</v>
      </c>
      <c r="N336" s="620">
        <v>44440</v>
      </c>
      <c r="O336" s="684" t="s">
        <v>67</v>
      </c>
      <c r="P336" s="503">
        <f t="shared" si="17"/>
        <v>10</v>
      </c>
      <c r="Q336" s="503">
        <f t="shared" si="18"/>
        <v>8</v>
      </c>
      <c r="R336" s="504" t="str">
        <f t="shared" si="19"/>
        <v>Gastos_Gerais</v>
      </c>
      <c r="S336" s="504" t="str">
        <f>IF(D336="","",IF(OR(D336=Plano!$A$1,D336=Plano!$B$1),"entrada","saída"))</f>
        <v>saída</v>
      </c>
      <c r="T336" s="505" t="s">
        <v>994</v>
      </c>
      <c r="U336" s="505">
        <v>1907</v>
      </c>
      <c r="V336" s="541"/>
    </row>
    <row r="337" spans="1:22" ht="236.25" customHeight="1" x14ac:dyDescent="0.2">
      <c r="A337" s="619">
        <f>IF(B337="","",COUNT('Diário 5º PA'!$A$5:$A$2634)+COUNT('Diário 6º PA'!$A$5:$A$2246)+COUNT('Diário 7º PA'!$A$5:$A$2271)+ROW()-4)</f>
        <v>4283</v>
      </c>
      <c r="B337" s="620">
        <v>44482</v>
      </c>
      <c r="C337" s="624">
        <v>44440</v>
      </c>
      <c r="D337" s="548" t="s">
        <v>99</v>
      </c>
      <c r="E337" s="548" t="s">
        <v>350</v>
      </c>
      <c r="F337" s="622">
        <v>500</v>
      </c>
      <c r="G337" s="623" t="s">
        <v>914</v>
      </c>
      <c r="H337" s="548" t="s">
        <v>132</v>
      </c>
      <c r="I337" s="583" t="s">
        <v>5753</v>
      </c>
      <c r="J337" s="548" t="s">
        <v>915</v>
      </c>
      <c r="K337" s="583" t="s">
        <v>991</v>
      </c>
      <c r="L337" s="583" t="s">
        <v>1177</v>
      </c>
      <c r="M337" s="619" t="s">
        <v>114</v>
      </c>
      <c r="N337" s="620">
        <v>44478</v>
      </c>
      <c r="O337" s="684" t="s">
        <v>67</v>
      </c>
      <c r="P337" s="503">
        <f t="shared" si="17"/>
        <v>10</v>
      </c>
      <c r="Q337" s="503">
        <f t="shared" si="18"/>
        <v>9</v>
      </c>
      <c r="R337" s="504" t="str">
        <f t="shared" si="19"/>
        <v>Gastos_Gerais</v>
      </c>
      <c r="S337" s="504" t="str">
        <f>IF(D337="","",IF(OR(D337=Plano!$A$1,D337=Plano!$B$1),"entrada","saída"))</f>
        <v>saída</v>
      </c>
      <c r="T337" s="505" t="s">
        <v>994</v>
      </c>
      <c r="U337" s="505">
        <v>2033</v>
      </c>
      <c r="V337" s="541"/>
    </row>
    <row r="338" spans="1:22" ht="171.75" customHeight="1" x14ac:dyDescent="0.2">
      <c r="A338" s="619">
        <f>IF(B338="","",COUNT('Diário 5º PA'!$A$5:$A$2634)+COUNT('Diário 6º PA'!$A$5:$A$2246)+COUNT('Diário 7º PA'!$A$5:$A$2271)+ROW()-4)</f>
        <v>4284</v>
      </c>
      <c r="B338" s="620">
        <v>44482</v>
      </c>
      <c r="C338" s="624">
        <v>44440</v>
      </c>
      <c r="D338" s="548" t="s">
        <v>99</v>
      </c>
      <c r="E338" s="548" t="s">
        <v>358</v>
      </c>
      <c r="F338" s="622">
        <v>1998.6</v>
      </c>
      <c r="G338" s="623" t="s">
        <v>728</v>
      </c>
      <c r="H338" s="548" t="s">
        <v>131</v>
      </c>
      <c r="I338" s="583" t="s">
        <v>2415</v>
      </c>
      <c r="J338" s="548" t="s">
        <v>729</v>
      </c>
      <c r="K338" s="583" t="s">
        <v>991</v>
      </c>
      <c r="L338" s="583" t="s">
        <v>1029</v>
      </c>
      <c r="M338" s="619">
        <v>1369</v>
      </c>
      <c r="N338" s="620">
        <v>44476</v>
      </c>
      <c r="O338" s="684" t="s">
        <v>67</v>
      </c>
      <c r="P338" s="503">
        <f t="shared" si="17"/>
        <v>10</v>
      </c>
      <c r="Q338" s="503">
        <f t="shared" si="18"/>
        <v>9</v>
      </c>
      <c r="R338" s="504" t="str">
        <f t="shared" si="19"/>
        <v>Gastos_Gerais</v>
      </c>
      <c r="S338" s="504" t="str">
        <f>IF(D338="","",IF(OR(D338=Plano!$A$1,D338=Plano!$B$1),"entrada","saída"))</f>
        <v>saída</v>
      </c>
      <c r="T338" s="505" t="s">
        <v>1059</v>
      </c>
      <c r="U338" s="505">
        <v>1895</v>
      </c>
      <c r="V338" s="541"/>
    </row>
    <row r="339" spans="1:22" ht="162.75" customHeight="1" x14ac:dyDescent="0.2">
      <c r="A339" s="619">
        <f>IF(B339="","",COUNT('Diário 5º PA'!$A$5:$A$2634)+COUNT('Diário 6º PA'!$A$5:$A$2246)+COUNT('Diário 7º PA'!$A$5:$A$2271)+ROW()-4)</f>
        <v>4285</v>
      </c>
      <c r="B339" s="620">
        <v>44482</v>
      </c>
      <c r="C339" s="624">
        <v>44440</v>
      </c>
      <c r="D339" s="548" t="s">
        <v>99</v>
      </c>
      <c r="E339" s="548" t="s">
        <v>358</v>
      </c>
      <c r="F339" s="622">
        <v>1998.6</v>
      </c>
      <c r="G339" s="623" t="s">
        <v>733</v>
      </c>
      <c r="H339" s="548" t="s">
        <v>131</v>
      </c>
      <c r="I339" s="583" t="s">
        <v>2413</v>
      </c>
      <c r="J339" s="548" t="s">
        <v>734</v>
      </c>
      <c r="K339" s="583" t="s">
        <v>991</v>
      </c>
      <c r="L339" s="583" t="s">
        <v>1029</v>
      </c>
      <c r="M339" s="619">
        <v>1370</v>
      </c>
      <c r="N339" s="620">
        <v>44476</v>
      </c>
      <c r="O339" s="684" t="s">
        <v>67</v>
      </c>
      <c r="P339" s="503">
        <f t="shared" si="17"/>
        <v>10</v>
      </c>
      <c r="Q339" s="503">
        <f t="shared" si="18"/>
        <v>9</v>
      </c>
      <c r="R339" s="504" t="str">
        <f t="shared" si="19"/>
        <v>Gastos_Gerais</v>
      </c>
      <c r="S339" s="504" t="str">
        <f>IF(D339="","",IF(OR(D339=Plano!$A$1,D339=Plano!$B$1),"entrada","saída"))</f>
        <v>saída</v>
      </c>
      <c r="T339" s="505" t="s">
        <v>1059</v>
      </c>
      <c r="U339" s="505">
        <v>1893</v>
      </c>
      <c r="V339" s="541"/>
    </row>
    <row r="340" spans="1:22" ht="106.5" customHeight="1" x14ac:dyDescent="0.2">
      <c r="A340" s="619">
        <f>IF(B340="","",COUNT('Diário 5º PA'!$A$5:$A$2634)+COUNT('Diário 6º PA'!$A$5:$A$2246)+COUNT('Diário 7º PA'!$A$5:$A$2271)+ROW()-4)</f>
        <v>4286</v>
      </c>
      <c r="B340" s="620">
        <v>44482</v>
      </c>
      <c r="C340" s="624">
        <v>44440</v>
      </c>
      <c r="D340" s="548" t="s">
        <v>99</v>
      </c>
      <c r="E340" s="548" t="s">
        <v>358</v>
      </c>
      <c r="F340" s="622">
        <v>774</v>
      </c>
      <c r="G340" s="623" t="s">
        <v>5239</v>
      </c>
      <c r="H340" s="548" t="s">
        <v>122</v>
      </c>
      <c r="I340" s="583" t="s">
        <v>1670</v>
      </c>
      <c r="J340" s="548" t="s">
        <v>1671</v>
      </c>
      <c r="K340" s="583" t="s">
        <v>991</v>
      </c>
      <c r="L340" s="583" t="s">
        <v>1029</v>
      </c>
      <c r="M340" s="619">
        <v>1376</v>
      </c>
      <c r="N340" s="620">
        <v>44482</v>
      </c>
      <c r="O340" s="684" t="s">
        <v>67</v>
      </c>
      <c r="P340" s="503">
        <f t="shared" si="17"/>
        <v>10</v>
      </c>
      <c r="Q340" s="503">
        <f t="shared" si="18"/>
        <v>9</v>
      </c>
      <c r="R340" s="504" t="str">
        <f t="shared" si="19"/>
        <v>Gastos_Gerais</v>
      </c>
      <c r="S340" s="504" t="str">
        <f>IF(D340="","",IF(OR(D340=Plano!$A$1,D340=Plano!$B$1),"entrada","saída"))</f>
        <v>saída</v>
      </c>
      <c r="T340" s="505" t="s">
        <v>994</v>
      </c>
      <c r="U340" s="505">
        <v>2093</v>
      </c>
      <c r="V340" s="541"/>
    </row>
    <row r="341" spans="1:22" ht="96.75" customHeight="1" x14ac:dyDescent="0.2">
      <c r="A341" s="619">
        <f>IF(B341="","",COUNT('Diário 5º PA'!$A$5:$A$2634)+COUNT('Diário 6º PA'!$A$5:$A$2246)+COUNT('Diário 7º PA'!$A$5:$A$2271)+ROW()-4)</f>
        <v>4287</v>
      </c>
      <c r="B341" s="620">
        <v>44482</v>
      </c>
      <c r="C341" s="624">
        <v>44470</v>
      </c>
      <c r="D341" s="548" t="s">
        <v>99</v>
      </c>
      <c r="E341" s="548" t="s">
        <v>364</v>
      </c>
      <c r="F341" s="622">
        <v>2075.92</v>
      </c>
      <c r="G341" s="623" t="s">
        <v>5322</v>
      </c>
      <c r="H341" s="548" t="s">
        <v>125</v>
      </c>
      <c r="I341" s="583" t="s">
        <v>5762</v>
      </c>
      <c r="J341" s="548" t="s">
        <v>5323</v>
      </c>
      <c r="K341" s="583" t="s">
        <v>991</v>
      </c>
      <c r="L341" s="583" t="s">
        <v>1029</v>
      </c>
      <c r="M341" s="619">
        <v>1373</v>
      </c>
      <c r="N341" s="620">
        <v>44477</v>
      </c>
      <c r="O341" s="684" t="s">
        <v>67</v>
      </c>
      <c r="P341" s="503">
        <f t="shared" si="17"/>
        <v>10</v>
      </c>
      <c r="Q341" s="503">
        <f t="shared" si="18"/>
        <v>10</v>
      </c>
      <c r="R341" s="504" t="str">
        <f t="shared" si="19"/>
        <v>Gastos_Gerais</v>
      </c>
      <c r="S341" s="504" t="str">
        <f>IF(D341="","",IF(OR(D341=Plano!$A$1,D341=Plano!$B$1),"entrada","saída"))</f>
        <v>saída</v>
      </c>
      <c r="T341" s="505" t="s">
        <v>994</v>
      </c>
      <c r="U341" s="505">
        <v>2101</v>
      </c>
      <c r="V341" s="541"/>
    </row>
    <row r="342" spans="1:22" ht="53.25" customHeight="1" x14ac:dyDescent="0.2">
      <c r="A342" s="619">
        <f>IF(B342="","",COUNT('Diário 5º PA'!$A$5:$A$2634)+COUNT('Diário 6º PA'!$A$5:$A$2246)+COUNT('Diário 7º PA'!$A$5:$A$2271)+ROW()-4)</f>
        <v>4288</v>
      </c>
      <c r="B342" s="620">
        <v>44482</v>
      </c>
      <c r="C342" s="621">
        <v>44470</v>
      </c>
      <c r="D342" s="548" t="s">
        <v>99</v>
      </c>
      <c r="E342" s="548" t="s">
        <v>272</v>
      </c>
      <c r="F342" s="622">
        <v>10.45</v>
      </c>
      <c r="G342" s="623" t="s">
        <v>5766</v>
      </c>
      <c r="H342" s="548" t="s">
        <v>129</v>
      </c>
      <c r="I342" s="583" t="s">
        <v>949</v>
      </c>
      <c r="J342" s="548" t="s">
        <v>950</v>
      </c>
      <c r="K342" s="583" t="s">
        <v>951</v>
      </c>
      <c r="L342" s="583" t="s">
        <v>947</v>
      </c>
      <c r="M342" s="625" t="s">
        <v>114</v>
      </c>
      <c r="N342" s="620">
        <v>44482</v>
      </c>
      <c r="O342" s="684" t="s">
        <v>67</v>
      </c>
      <c r="P342" s="503">
        <f t="shared" si="17"/>
        <v>10</v>
      </c>
      <c r="Q342" s="503">
        <f t="shared" si="18"/>
        <v>10</v>
      </c>
      <c r="R342" s="504" t="str">
        <f t="shared" si="19"/>
        <v>Gastos_Gerais</v>
      </c>
      <c r="S342" s="504" t="str">
        <f>IF(D342="","",IF(OR(D342=Plano!$A$1,D342=Plano!$B$1),"entrada","saída"))</f>
        <v>saída</v>
      </c>
      <c r="T342" s="511" t="s">
        <v>114</v>
      </c>
      <c r="U342" s="511" t="s">
        <v>114</v>
      </c>
      <c r="V342" s="541"/>
    </row>
    <row r="343" spans="1:22" ht="45" customHeight="1" x14ac:dyDescent="0.2">
      <c r="A343" s="619">
        <f>IF(B343="","",COUNT('Diário 5º PA'!$A$5:$A$2634)+COUNT('Diário 6º PA'!$A$5:$A$2246)+COUNT('Diário 7º PA'!$A$5:$A$2271)+ROW()-4)</f>
        <v>4289</v>
      </c>
      <c r="B343" s="620">
        <v>44482</v>
      </c>
      <c r="C343" s="621">
        <v>44470</v>
      </c>
      <c r="D343" s="548" t="s">
        <v>99</v>
      </c>
      <c r="E343" s="548" t="s">
        <v>272</v>
      </c>
      <c r="F343" s="622">
        <v>10.45</v>
      </c>
      <c r="G343" s="623" t="s">
        <v>5767</v>
      </c>
      <c r="H343" s="548" t="s">
        <v>131</v>
      </c>
      <c r="I343" s="583" t="s">
        <v>949</v>
      </c>
      <c r="J343" s="548" t="s">
        <v>950</v>
      </c>
      <c r="K343" s="583" t="s">
        <v>951</v>
      </c>
      <c r="L343" s="583" t="s">
        <v>947</v>
      </c>
      <c r="M343" s="625" t="s">
        <v>114</v>
      </c>
      <c r="N343" s="620">
        <v>44482</v>
      </c>
      <c r="O343" s="684" t="s">
        <v>67</v>
      </c>
      <c r="P343" s="503">
        <f t="shared" si="17"/>
        <v>10</v>
      </c>
      <c r="Q343" s="503">
        <f t="shared" si="18"/>
        <v>10</v>
      </c>
      <c r="R343" s="504" t="str">
        <f t="shared" si="19"/>
        <v>Gastos_Gerais</v>
      </c>
      <c r="S343" s="504" t="str">
        <f>IF(D343="","",IF(OR(D343=Plano!$A$1,D343=Plano!$B$1),"entrada","saída"))</f>
        <v>saída</v>
      </c>
      <c r="T343" s="511" t="s">
        <v>114</v>
      </c>
      <c r="U343" s="511" t="s">
        <v>114</v>
      </c>
      <c r="V343" s="541"/>
    </row>
    <row r="344" spans="1:22" ht="45" customHeight="1" x14ac:dyDescent="0.2">
      <c r="A344" s="619">
        <f>IF(B344="","",COUNT('Diário 5º PA'!$A$5:$A$2634)+COUNT('Diário 6º PA'!$A$5:$A$2246)+COUNT('Diário 7º PA'!$A$5:$A$2271)+ROW()-4)</f>
        <v>4290</v>
      </c>
      <c r="B344" s="620">
        <v>44482</v>
      </c>
      <c r="C344" s="621">
        <v>44470</v>
      </c>
      <c r="D344" s="548" t="s">
        <v>99</v>
      </c>
      <c r="E344" s="548" t="s">
        <v>272</v>
      </c>
      <c r="F344" s="622">
        <v>10.45</v>
      </c>
      <c r="G344" s="623" t="s">
        <v>5768</v>
      </c>
      <c r="H344" s="548" t="s">
        <v>132</v>
      </c>
      <c r="I344" s="583" t="s">
        <v>949</v>
      </c>
      <c r="J344" s="548" t="s">
        <v>950</v>
      </c>
      <c r="K344" s="583" t="s">
        <v>951</v>
      </c>
      <c r="L344" s="583" t="s">
        <v>947</v>
      </c>
      <c r="M344" s="625" t="s">
        <v>114</v>
      </c>
      <c r="N344" s="620">
        <v>44482</v>
      </c>
      <c r="O344" s="684" t="s">
        <v>67</v>
      </c>
      <c r="P344" s="503">
        <f t="shared" si="17"/>
        <v>10</v>
      </c>
      <c r="Q344" s="503">
        <f t="shared" si="18"/>
        <v>10</v>
      </c>
      <c r="R344" s="504" t="str">
        <f t="shared" si="19"/>
        <v>Gastos_Gerais</v>
      </c>
      <c r="S344" s="504" t="str">
        <f>IF(D344="","",IF(OR(D344=Plano!$A$1,D344=Plano!$B$1),"entrada","saída"))</f>
        <v>saída</v>
      </c>
      <c r="T344" s="511" t="s">
        <v>114</v>
      </c>
      <c r="U344" s="511" t="s">
        <v>114</v>
      </c>
      <c r="V344" s="541"/>
    </row>
    <row r="345" spans="1:22" ht="45" customHeight="1" x14ac:dyDescent="0.2">
      <c r="A345" s="619">
        <f>IF(B345="","",COUNT('Diário 5º PA'!$A$5:$A$2634)+COUNT('Diário 6º PA'!$A$5:$A$2246)+COUNT('Diário 7º PA'!$A$5:$A$2271)+ROW()-4)</f>
        <v>4291</v>
      </c>
      <c r="B345" s="620">
        <v>44482</v>
      </c>
      <c r="C345" s="621">
        <v>44470</v>
      </c>
      <c r="D345" s="548" t="s">
        <v>99</v>
      </c>
      <c r="E345" s="548" t="s">
        <v>272</v>
      </c>
      <c r="F345" s="622">
        <v>10.45</v>
      </c>
      <c r="G345" s="623" t="s">
        <v>5769</v>
      </c>
      <c r="H345" s="548" t="s">
        <v>131</v>
      </c>
      <c r="I345" s="583" t="s">
        <v>949</v>
      </c>
      <c r="J345" s="548" t="s">
        <v>950</v>
      </c>
      <c r="K345" s="583" t="s">
        <v>951</v>
      </c>
      <c r="L345" s="583" t="s">
        <v>947</v>
      </c>
      <c r="M345" s="625" t="s">
        <v>114</v>
      </c>
      <c r="N345" s="620">
        <v>44482</v>
      </c>
      <c r="O345" s="684" t="s">
        <v>67</v>
      </c>
      <c r="P345" s="503">
        <f t="shared" si="17"/>
        <v>10</v>
      </c>
      <c r="Q345" s="503">
        <f t="shared" si="18"/>
        <v>10</v>
      </c>
      <c r="R345" s="504" t="str">
        <f t="shared" si="19"/>
        <v>Gastos_Gerais</v>
      </c>
      <c r="S345" s="504" t="str">
        <f>IF(D345="","",IF(OR(D345=Plano!$A$1,D345=Plano!$B$1),"entrada","saída"))</f>
        <v>saída</v>
      </c>
      <c r="T345" s="511" t="s">
        <v>114</v>
      </c>
      <c r="U345" s="511" t="s">
        <v>114</v>
      </c>
      <c r="V345" s="541"/>
    </row>
    <row r="346" spans="1:22" ht="45" customHeight="1" x14ac:dyDescent="0.2">
      <c r="A346" s="619">
        <f>IF(B346="","",COUNT('Diário 5º PA'!$A$5:$A$2634)+COUNT('Diário 6º PA'!$A$5:$A$2246)+COUNT('Diário 7º PA'!$A$5:$A$2271)+ROW()-4)</f>
        <v>4292</v>
      </c>
      <c r="B346" s="620">
        <v>44482</v>
      </c>
      <c r="C346" s="621">
        <v>44470</v>
      </c>
      <c r="D346" s="548" t="s">
        <v>99</v>
      </c>
      <c r="E346" s="548" t="s">
        <v>272</v>
      </c>
      <c r="F346" s="622">
        <v>10.45</v>
      </c>
      <c r="G346" s="623" t="s">
        <v>5770</v>
      </c>
      <c r="H346" s="548" t="s">
        <v>131</v>
      </c>
      <c r="I346" s="583" t="s">
        <v>949</v>
      </c>
      <c r="J346" s="548" t="s">
        <v>950</v>
      </c>
      <c r="K346" s="583" t="s">
        <v>951</v>
      </c>
      <c r="L346" s="583" t="s">
        <v>947</v>
      </c>
      <c r="M346" s="625" t="s">
        <v>114</v>
      </c>
      <c r="N346" s="620">
        <v>44482</v>
      </c>
      <c r="O346" s="684" t="s">
        <v>67</v>
      </c>
      <c r="P346" s="503">
        <f t="shared" si="17"/>
        <v>10</v>
      </c>
      <c r="Q346" s="503">
        <f t="shared" si="18"/>
        <v>10</v>
      </c>
      <c r="R346" s="504" t="str">
        <f t="shared" si="19"/>
        <v>Gastos_Gerais</v>
      </c>
      <c r="S346" s="504" t="str">
        <f>IF(D346="","",IF(OR(D346=Plano!$A$1,D346=Plano!$B$1),"entrada","saída"))</f>
        <v>saída</v>
      </c>
      <c r="T346" s="511" t="s">
        <v>114</v>
      </c>
      <c r="U346" s="511" t="s">
        <v>114</v>
      </c>
      <c r="V346" s="541"/>
    </row>
    <row r="347" spans="1:22" ht="45" customHeight="1" x14ac:dyDescent="0.2">
      <c r="A347" s="619">
        <f>IF(B347="","",COUNT('Diário 5º PA'!$A$5:$A$2634)+COUNT('Diário 6º PA'!$A$5:$A$2246)+COUNT('Diário 7º PA'!$A$5:$A$2271)+ROW()-4)</f>
        <v>4293</v>
      </c>
      <c r="B347" s="620">
        <v>44482</v>
      </c>
      <c r="C347" s="621">
        <v>44470</v>
      </c>
      <c r="D347" s="548" t="s">
        <v>99</v>
      </c>
      <c r="E347" s="548" t="s">
        <v>272</v>
      </c>
      <c r="F347" s="622">
        <v>10.45</v>
      </c>
      <c r="G347" s="623" t="s">
        <v>5771</v>
      </c>
      <c r="H347" s="548" t="s">
        <v>122</v>
      </c>
      <c r="I347" s="583" t="s">
        <v>949</v>
      </c>
      <c r="J347" s="548" t="s">
        <v>950</v>
      </c>
      <c r="K347" s="583" t="s">
        <v>951</v>
      </c>
      <c r="L347" s="583" t="s">
        <v>947</v>
      </c>
      <c r="M347" s="625" t="s">
        <v>114</v>
      </c>
      <c r="N347" s="620">
        <v>44482</v>
      </c>
      <c r="O347" s="684" t="s">
        <v>67</v>
      </c>
      <c r="P347" s="503">
        <f t="shared" si="17"/>
        <v>10</v>
      </c>
      <c r="Q347" s="503">
        <f t="shared" si="18"/>
        <v>10</v>
      </c>
      <c r="R347" s="504" t="str">
        <f t="shared" si="19"/>
        <v>Gastos_Gerais</v>
      </c>
      <c r="S347" s="504" t="str">
        <f>IF(D347="","",IF(OR(D347=Plano!$A$1,D347=Plano!$B$1),"entrada","saída"))</f>
        <v>saída</v>
      </c>
      <c r="T347" s="511" t="s">
        <v>114</v>
      </c>
      <c r="U347" s="511" t="s">
        <v>114</v>
      </c>
      <c r="V347" s="541"/>
    </row>
    <row r="348" spans="1:22" ht="45" customHeight="1" x14ac:dyDescent="0.2">
      <c r="A348" s="619">
        <f>IF(B348="","",COUNT('Diário 5º PA'!$A$5:$A$2634)+COUNT('Diário 6º PA'!$A$5:$A$2246)+COUNT('Diário 7º PA'!$A$5:$A$2271)+ROW()-4)</f>
        <v>4294</v>
      </c>
      <c r="B348" s="620">
        <v>44482</v>
      </c>
      <c r="C348" s="621">
        <v>44470</v>
      </c>
      <c r="D348" s="548" t="s">
        <v>99</v>
      </c>
      <c r="E348" s="548" t="s">
        <v>272</v>
      </c>
      <c r="F348" s="622">
        <v>10.45</v>
      </c>
      <c r="G348" s="623" t="s">
        <v>5772</v>
      </c>
      <c r="H348" s="548" t="s">
        <v>125</v>
      </c>
      <c r="I348" s="583" t="s">
        <v>949</v>
      </c>
      <c r="J348" s="548" t="s">
        <v>950</v>
      </c>
      <c r="K348" s="583" t="s">
        <v>951</v>
      </c>
      <c r="L348" s="583" t="s">
        <v>947</v>
      </c>
      <c r="M348" s="625" t="s">
        <v>114</v>
      </c>
      <c r="N348" s="620">
        <v>44482</v>
      </c>
      <c r="O348" s="684" t="s">
        <v>67</v>
      </c>
      <c r="P348" s="503">
        <f t="shared" si="17"/>
        <v>10</v>
      </c>
      <c r="Q348" s="503">
        <f t="shared" si="18"/>
        <v>10</v>
      </c>
      <c r="R348" s="504" t="str">
        <f t="shared" si="19"/>
        <v>Gastos_Gerais</v>
      </c>
      <c r="S348" s="504" t="str">
        <f>IF(D348="","",IF(OR(D348=Plano!$A$1,D348=Plano!$B$1),"entrada","saída"))</f>
        <v>saída</v>
      </c>
      <c r="T348" s="511" t="s">
        <v>114</v>
      </c>
      <c r="U348" s="511" t="s">
        <v>114</v>
      </c>
      <c r="V348" s="541"/>
    </row>
    <row r="349" spans="1:22" s="518" customFormat="1" ht="45" customHeight="1" x14ac:dyDescent="0.2">
      <c r="A349" s="619">
        <f>IF(B349="","",COUNT('Diário 5º PA'!$A$5:$A$2634)+COUNT('Diário 6º PA'!$A$5:$A$2246)+COUNT('Diário 7º PA'!$A$5:$A$2271)+ROW()-4)</f>
        <v>4295</v>
      </c>
      <c r="B349" s="620">
        <v>44482</v>
      </c>
      <c r="C349" s="621">
        <v>44470</v>
      </c>
      <c r="D349" s="548" t="s">
        <v>104</v>
      </c>
      <c r="E349" s="548" t="s">
        <v>104</v>
      </c>
      <c r="F349" s="622">
        <v>153</v>
      </c>
      <c r="G349" s="623" t="s">
        <v>5386</v>
      </c>
      <c r="H349" s="548" t="s">
        <v>104</v>
      </c>
      <c r="I349" s="583" t="s">
        <v>949</v>
      </c>
      <c r="J349" s="548" t="s">
        <v>950</v>
      </c>
      <c r="K349" s="583" t="s">
        <v>951</v>
      </c>
      <c r="L349" s="583" t="s">
        <v>947</v>
      </c>
      <c r="M349" s="625" t="s">
        <v>114</v>
      </c>
      <c r="N349" s="620">
        <v>44482</v>
      </c>
      <c r="O349" s="684" t="s">
        <v>71</v>
      </c>
      <c r="P349" s="503">
        <f t="shared" si="17"/>
        <v>10</v>
      </c>
      <c r="Q349" s="503">
        <f t="shared" si="18"/>
        <v>10</v>
      </c>
      <c r="R349" s="504" t="str">
        <f t="shared" si="19"/>
        <v>Gastos_custeados_por_captação</v>
      </c>
      <c r="S349" s="504" t="str">
        <f>IF(D349="","",IF(OR(D349=Plano!$A$1,D349=Plano!$B$1),"entrada","saída"))</f>
        <v>saída</v>
      </c>
      <c r="T349" s="511" t="s">
        <v>114</v>
      </c>
      <c r="U349" s="511" t="s">
        <v>114</v>
      </c>
      <c r="V349" s="541"/>
    </row>
    <row r="350" spans="1:22" s="540" customFormat="1" ht="132.75" customHeight="1" x14ac:dyDescent="0.2">
      <c r="A350" s="619">
        <f>IF(B350="","",COUNT('Diário 5º PA'!$A$5:$A$2634)+COUNT('Diário 6º PA'!$A$5:$A$2246)+COUNT('Diário 7º PA'!$A$5:$A$2271)+ROW()-4)</f>
        <v>4296</v>
      </c>
      <c r="B350" s="620">
        <v>44482</v>
      </c>
      <c r="C350" s="624">
        <v>44440</v>
      </c>
      <c r="D350" s="548" t="s">
        <v>104</v>
      </c>
      <c r="E350" s="548" t="s">
        <v>104</v>
      </c>
      <c r="F350" s="622">
        <v>420</v>
      </c>
      <c r="G350" s="623" t="s">
        <v>5510</v>
      </c>
      <c r="H350" s="548" t="s">
        <v>104</v>
      </c>
      <c r="I350" s="583" t="s">
        <v>2190</v>
      </c>
      <c r="J350" s="548" t="s">
        <v>2191</v>
      </c>
      <c r="K350" s="583" t="s">
        <v>991</v>
      </c>
      <c r="L350" s="583" t="s">
        <v>1029</v>
      </c>
      <c r="M350" s="625">
        <v>1358</v>
      </c>
      <c r="N350" s="620">
        <v>44474</v>
      </c>
      <c r="O350" s="684" t="s">
        <v>5370</v>
      </c>
      <c r="P350" s="503">
        <f t="shared" si="17"/>
        <v>10</v>
      </c>
      <c r="Q350" s="503">
        <f t="shared" si="18"/>
        <v>9</v>
      </c>
      <c r="R350" s="504" t="str">
        <f t="shared" si="19"/>
        <v>Gastos_custeados_por_captação</v>
      </c>
      <c r="S350" s="504" t="str">
        <f>IF(D350="","",IF(OR(D350=Plano!$A$1,D350=Plano!$B$1),"entrada","saída"))</f>
        <v>saída</v>
      </c>
      <c r="T350" s="511" t="s">
        <v>994</v>
      </c>
      <c r="U350" s="511">
        <v>2030</v>
      </c>
      <c r="V350" s="541"/>
    </row>
    <row r="351" spans="1:22" s="540" customFormat="1" ht="63" customHeight="1" x14ac:dyDescent="0.2">
      <c r="A351" s="619">
        <f>IF(B351="","",COUNT('Diário 5º PA'!$A$5:$A$2634)+COUNT('Diário 6º PA'!$A$5:$A$2246)+COUNT('Diário 7º PA'!$A$5:$A$2271)+ROW()-4)</f>
        <v>4297</v>
      </c>
      <c r="B351" s="620">
        <v>44482</v>
      </c>
      <c r="C351" s="621">
        <v>44470</v>
      </c>
      <c r="D351" s="548" t="s">
        <v>104</v>
      </c>
      <c r="E351" s="548" t="s">
        <v>104</v>
      </c>
      <c r="F351" s="622">
        <v>10.45</v>
      </c>
      <c r="G351" s="623" t="s">
        <v>6902</v>
      </c>
      <c r="H351" s="548" t="s">
        <v>104</v>
      </c>
      <c r="I351" s="583" t="s">
        <v>949</v>
      </c>
      <c r="J351" s="548" t="s">
        <v>950</v>
      </c>
      <c r="K351" s="583" t="s">
        <v>951</v>
      </c>
      <c r="L351" s="583" t="s">
        <v>947</v>
      </c>
      <c r="M351" s="625" t="s">
        <v>114</v>
      </c>
      <c r="N351" s="620">
        <v>44482</v>
      </c>
      <c r="O351" s="684" t="s">
        <v>5370</v>
      </c>
      <c r="P351" s="503">
        <f t="shared" si="17"/>
        <v>10</v>
      </c>
      <c r="Q351" s="503">
        <f t="shared" si="18"/>
        <v>10</v>
      </c>
      <c r="R351" s="504" t="str">
        <f t="shared" si="19"/>
        <v>Gastos_custeados_por_captação</v>
      </c>
      <c r="S351" s="504" t="str">
        <f>IF(D351="","",IF(OR(D351=Plano!$A$1,D351=Plano!$B$1),"entrada","saída"))</f>
        <v>saída</v>
      </c>
      <c r="T351" s="511" t="s">
        <v>114</v>
      </c>
      <c r="U351" s="511" t="s">
        <v>114</v>
      </c>
      <c r="V351" s="541"/>
    </row>
    <row r="352" spans="1:22" s="540" customFormat="1" ht="72.75" customHeight="1" x14ac:dyDescent="0.2">
      <c r="A352" s="619">
        <f>IF(B352="","",COUNT('Diário 5º PA'!$A$5:$A$2634)+COUNT('Diário 6º PA'!$A$5:$A$2246)+COUNT('Diário 7º PA'!$A$5:$A$2271)+ROW()-4)</f>
        <v>4298</v>
      </c>
      <c r="B352" s="620">
        <v>44482</v>
      </c>
      <c r="C352" s="621">
        <v>44470</v>
      </c>
      <c r="D352" s="548" t="s">
        <v>104</v>
      </c>
      <c r="E352" s="548" t="s">
        <v>104</v>
      </c>
      <c r="F352" s="622">
        <v>10.45</v>
      </c>
      <c r="G352" s="623" t="s">
        <v>6902</v>
      </c>
      <c r="H352" s="548" t="s">
        <v>104</v>
      </c>
      <c r="I352" s="583" t="s">
        <v>949</v>
      </c>
      <c r="J352" s="548" t="s">
        <v>950</v>
      </c>
      <c r="K352" s="583" t="s">
        <v>951</v>
      </c>
      <c r="L352" s="583" t="s">
        <v>947</v>
      </c>
      <c r="M352" s="625" t="s">
        <v>114</v>
      </c>
      <c r="N352" s="620">
        <v>44482</v>
      </c>
      <c r="O352" s="684" t="s">
        <v>5370</v>
      </c>
      <c r="P352" s="503">
        <f t="shared" si="17"/>
        <v>10</v>
      </c>
      <c r="Q352" s="503">
        <f t="shared" si="18"/>
        <v>10</v>
      </c>
      <c r="R352" s="504" t="str">
        <f t="shared" si="19"/>
        <v>Gastos_custeados_por_captação</v>
      </c>
      <c r="S352" s="504" t="str">
        <f>IF(D352="","",IF(OR(D352=Plano!$A$1,D352=Plano!$B$1),"entrada","saída"))</f>
        <v>saída</v>
      </c>
      <c r="T352" s="511" t="s">
        <v>114</v>
      </c>
      <c r="U352" s="511" t="s">
        <v>114</v>
      </c>
      <c r="V352" s="541"/>
    </row>
    <row r="353" spans="1:22" ht="96" customHeight="1" x14ac:dyDescent="0.2">
      <c r="A353" s="619">
        <f>IF(B353="","",COUNT('Diário 5º PA'!$A$5:$A$2634)+COUNT('Diário 6º PA'!$A$5:$A$2246)+COUNT('Diário 7º PA'!$A$5:$A$2271)+ROW()-4)</f>
        <v>4299</v>
      </c>
      <c r="B353" s="620">
        <v>44483</v>
      </c>
      <c r="C353" s="624">
        <v>44440</v>
      </c>
      <c r="D353" s="548" t="s">
        <v>99</v>
      </c>
      <c r="E353" s="548" t="s">
        <v>312</v>
      </c>
      <c r="F353" s="622">
        <v>444.16</v>
      </c>
      <c r="G353" s="623" t="s">
        <v>856</v>
      </c>
      <c r="H353" s="548" t="s">
        <v>132</v>
      </c>
      <c r="I353" s="583" t="s">
        <v>5591</v>
      </c>
      <c r="J353" s="548" t="s">
        <v>858</v>
      </c>
      <c r="K353" s="583" t="s">
        <v>560</v>
      </c>
      <c r="L353" s="583" t="s">
        <v>1428</v>
      </c>
      <c r="M353" s="619">
        <v>20871</v>
      </c>
      <c r="N353" s="620">
        <v>44469</v>
      </c>
      <c r="O353" s="684" t="s">
        <v>67</v>
      </c>
      <c r="P353" s="503">
        <f t="shared" si="17"/>
        <v>10</v>
      </c>
      <c r="Q353" s="503">
        <f t="shared" si="18"/>
        <v>9</v>
      </c>
      <c r="R353" s="504" t="str">
        <f t="shared" si="19"/>
        <v>Gastos_Gerais</v>
      </c>
      <c r="S353" s="504" t="str">
        <f>IF(D353="","",IF(OR(D353=Plano!$A$1,D353=Plano!$B$1),"entrada","saída"))</f>
        <v>saída</v>
      </c>
      <c r="T353" s="505" t="s">
        <v>1059</v>
      </c>
      <c r="U353" s="505">
        <v>2003</v>
      </c>
      <c r="V353" s="541"/>
    </row>
    <row r="354" spans="1:22" ht="74.25" customHeight="1" x14ac:dyDescent="0.2">
      <c r="A354" s="619">
        <f>IF(B354="","",COUNT('Diário 5º PA'!$A$5:$A$2634)+COUNT('Diário 6º PA'!$A$5:$A$2246)+COUNT('Diário 7º PA'!$A$5:$A$2271)+ROW()-4)</f>
        <v>4300</v>
      </c>
      <c r="B354" s="620">
        <v>44483</v>
      </c>
      <c r="C354" s="624">
        <v>44440</v>
      </c>
      <c r="D354" s="548" t="s">
        <v>99</v>
      </c>
      <c r="E354" s="548" t="s">
        <v>358</v>
      </c>
      <c r="F354" s="622">
        <v>430</v>
      </c>
      <c r="G354" s="623" t="s">
        <v>5179</v>
      </c>
      <c r="H354" s="548" t="s">
        <v>127</v>
      </c>
      <c r="I354" s="583" t="s">
        <v>5773</v>
      </c>
      <c r="J354" s="629" t="s">
        <v>5180</v>
      </c>
      <c r="K354" s="583" t="s">
        <v>991</v>
      </c>
      <c r="L354" s="583" t="s">
        <v>1029</v>
      </c>
      <c r="M354" s="619">
        <v>1377</v>
      </c>
      <c r="N354" s="620">
        <v>44482</v>
      </c>
      <c r="O354" s="684" t="s">
        <v>67</v>
      </c>
      <c r="P354" s="503">
        <f t="shared" si="17"/>
        <v>10</v>
      </c>
      <c r="Q354" s="503">
        <f t="shared" si="18"/>
        <v>9</v>
      </c>
      <c r="R354" s="504" t="str">
        <f t="shared" si="19"/>
        <v>Gastos_Gerais</v>
      </c>
      <c r="S354" s="504" t="str">
        <f>IF(D354="","",IF(OR(D354=Plano!$A$1,D354=Plano!$B$1),"entrada","saída"))</f>
        <v>saída</v>
      </c>
      <c r="T354" s="505" t="s">
        <v>994</v>
      </c>
      <c r="U354" s="505">
        <v>2090</v>
      </c>
      <c r="V354" s="541"/>
    </row>
    <row r="355" spans="1:22" ht="124.5" customHeight="1" x14ac:dyDescent="0.2">
      <c r="A355" s="619">
        <f>IF(B355="","",COUNT('Diário 5º PA'!$A$5:$A$2634)+COUNT('Diário 6º PA'!$A$5:$A$2246)+COUNT('Diário 7º PA'!$A$5:$A$2271)+ROW()-4)</f>
        <v>4301</v>
      </c>
      <c r="B355" s="620">
        <v>44483</v>
      </c>
      <c r="C355" s="624">
        <v>44440</v>
      </c>
      <c r="D355" s="548" t="s">
        <v>99</v>
      </c>
      <c r="E355" s="548" t="s">
        <v>364</v>
      </c>
      <c r="F355" s="622">
        <v>1665.83</v>
      </c>
      <c r="G355" s="623" t="s">
        <v>5156</v>
      </c>
      <c r="H355" s="548" t="s">
        <v>116</v>
      </c>
      <c r="I355" s="583" t="s">
        <v>1677</v>
      </c>
      <c r="J355" s="548" t="s">
        <v>1678</v>
      </c>
      <c r="K355" s="583" t="s">
        <v>991</v>
      </c>
      <c r="L355" s="583" t="s">
        <v>992</v>
      </c>
      <c r="M355" s="619" t="s">
        <v>1294</v>
      </c>
      <c r="N355" s="620">
        <v>44483</v>
      </c>
      <c r="O355" s="684" t="s">
        <v>67</v>
      </c>
      <c r="P355" s="503">
        <f t="shared" si="17"/>
        <v>10</v>
      </c>
      <c r="Q355" s="503">
        <f t="shared" si="18"/>
        <v>9</v>
      </c>
      <c r="R355" s="504" t="str">
        <f t="shared" si="19"/>
        <v>Gastos_Gerais</v>
      </c>
      <c r="S355" s="504" t="str">
        <f>IF(D355="","",IF(OR(D355=Plano!$A$1,D355=Plano!$B$1),"entrada","saída"))</f>
        <v>saída</v>
      </c>
      <c r="T355" s="505" t="s">
        <v>994</v>
      </c>
      <c r="U355" s="505">
        <v>2076</v>
      </c>
      <c r="V355" s="541"/>
    </row>
    <row r="356" spans="1:22" ht="57" customHeight="1" x14ac:dyDescent="0.2">
      <c r="A356" s="619">
        <f>IF(B356="","",COUNT('Diário 5º PA'!$A$5:$A$2634)+COUNT('Diário 6º PA'!$A$5:$A$2246)+COUNT('Diário 7º PA'!$A$5:$A$2271)+ROW()-4)</f>
        <v>4302</v>
      </c>
      <c r="B356" s="620">
        <v>44483</v>
      </c>
      <c r="C356" s="621">
        <v>44470</v>
      </c>
      <c r="D356" s="548" t="s">
        <v>99</v>
      </c>
      <c r="E356" s="548" t="s">
        <v>272</v>
      </c>
      <c r="F356" s="622">
        <v>10.45</v>
      </c>
      <c r="G356" s="623" t="s">
        <v>5777</v>
      </c>
      <c r="H356" s="548" t="s">
        <v>132</v>
      </c>
      <c r="I356" s="583" t="s">
        <v>949</v>
      </c>
      <c r="J356" s="548" t="s">
        <v>950</v>
      </c>
      <c r="K356" s="583" t="s">
        <v>951</v>
      </c>
      <c r="L356" s="583" t="s">
        <v>947</v>
      </c>
      <c r="M356" s="625" t="s">
        <v>114</v>
      </c>
      <c r="N356" s="620">
        <v>44483</v>
      </c>
      <c r="O356" s="684" t="s">
        <v>67</v>
      </c>
      <c r="P356" s="503">
        <f t="shared" si="17"/>
        <v>10</v>
      </c>
      <c r="Q356" s="503">
        <f t="shared" si="18"/>
        <v>10</v>
      </c>
      <c r="R356" s="504" t="str">
        <f t="shared" si="19"/>
        <v>Gastos_Gerais</v>
      </c>
      <c r="S356" s="504" t="str">
        <f>IF(D356="","",IF(OR(D356=Plano!$A$1,D356=Plano!$B$1),"entrada","saída"))</f>
        <v>saída</v>
      </c>
      <c r="T356" s="511" t="s">
        <v>114</v>
      </c>
      <c r="U356" s="511" t="s">
        <v>114</v>
      </c>
      <c r="V356" s="541"/>
    </row>
    <row r="357" spans="1:22" ht="57" customHeight="1" x14ac:dyDescent="0.2">
      <c r="A357" s="619">
        <f>IF(B357="","",COUNT('Diário 5º PA'!$A$5:$A$2634)+COUNT('Diário 6º PA'!$A$5:$A$2246)+COUNT('Diário 7º PA'!$A$5:$A$2271)+ROW()-4)</f>
        <v>4303</v>
      </c>
      <c r="B357" s="620">
        <v>44483</v>
      </c>
      <c r="C357" s="621">
        <v>44470</v>
      </c>
      <c r="D357" s="548" t="s">
        <v>99</v>
      </c>
      <c r="E357" s="548" t="s">
        <v>272</v>
      </c>
      <c r="F357" s="622">
        <v>10.45</v>
      </c>
      <c r="G357" s="623" t="s">
        <v>5778</v>
      </c>
      <c r="H357" s="548" t="s">
        <v>127</v>
      </c>
      <c r="I357" s="583" t="s">
        <v>949</v>
      </c>
      <c r="J357" s="548" t="s">
        <v>950</v>
      </c>
      <c r="K357" s="583" t="s">
        <v>951</v>
      </c>
      <c r="L357" s="583" t="s">
        <v>947</v>
      </c>
      <c r="M357" s="625" t="s">
        <v>114</v>
      </c>
      <c r="N357" s="620">
        <v>44483</v>
      </c>
      <c r="O357" s="684" t="s">
        <v>67</v>
      </c>
      <c r="P357" s="503">
        <f t="shared" si="17"/>
        <v>10</v>
      </c>
      <c r="Q357" s="503">
        <f t="shared" si="18"/>
        <v>10</v>
      </c>
      <c r="R357" s="504" t="str">
        <f t="shared" si="19"/>
        <v>Gastos_Gerais</v>
      </c>
      <c r="S357" s="504" t="str">
        <f>IF(D357="","",IF(OR(D357=Plano!$A$1,D357=Plano!$B$1),"entrada","saída"))</f>
        <v>saída</v>
      </c>
      <c r="T357" s="511" t="s">
        <v>114</v>
      </c>
      <c r="U357" s="511" t="s">
        <v>114</v>
      </c>
      <c r="V357" s="541"/>
    </row>
    <row r="358" spans="1:22" ht="50.25" customHeight="1" x14ac:dyDescent="0.2">
      <c r="A358" s="619">
        <f>IF(B358="","",COUNT('Diário 5º PA'!$A$5:$A$2634)+COUNT('Diário 6º PA'!$A$5:$A$2246)+COUNT('Diário 7º PA'!$A$5:$A$2271)+ROW()-4)</f>
        <v>4304</v>
      </c>
      <c r="B358" s="620">
        <v>44483</v>
      </c>
      <c r="C358" s="621">
        <v>44470</v>
      </c>
      <c r="D358" s="548" t="s">
        <v>99</v>
      </c>
      <c r="E358" s="548" t="s">
        <v>272</v>
      </c>
      <c r="F358" s="622">
        <v>10.45</v>
      </c>
      <c r="G358" s="623" t="s">
        <v>5779</v>
      </c>
      <c r="H358" s="548" t="s">
        <v>116</v>
      </c>
      <c r="I358" s="583" t="s">
        <v>949</v>
      </c>
      <c r="J358" s="548" t="s">
        <v>950</v>
      </c>
      <c r="K358" s="583" t="s">
        <v>951</v>
      </c>
      <c r="L358" s="583" t="s">
        <v>947</v>
      </c>
      <c r="M358" s="625" t="s">
        <v>114</v>
      </c>
      <c r="N358" s="620">
        <v>44483</v>
      </c>
      <c r="O358" s="684" t="s">
        <v>67</v>
      </c>
      <c r="P358" s="503">
        <f t="shared" si="17"/>
        <v>10</v>
      </c>
      <c r="Q358" s="503">
        <f t="shared" si="18"/>
        <v>10</v>
      </c>
      <c r="R358" s="504" t="str">
        <f t="shared" si="19"/>
        <v>Gastos_Gerais</v>
      </c>
      <c r="S358" s="504" t="str">
        <f>IF(D358="","",IF(OR(D358=Plano!$A$1,D358=Plano!$B$1),"entrada","saída"))</f>
        <v>saída</v>
      </c>
      <c r="T358" s="511" t="s">
        <v>114</v>
      </c>
      <c r="U358" s="511" t="s">
        <v>114</v>
      </c>
      <c r="V358" s="541"/>
    </row>
    <row r="359" spans="1:22" ht="45" customHeight="1" x14ac:dyDescent="0.2">
      <c r="A359" s="619">
        <f>IF(B359="","",COUNT('Diário 5º PA'!$A$5:$A$2634)+COUNT('Diário 6º PA'!$A$5:$A$2246)+COUNT('Diário 7º PA'!$A$5:$A$2271)+ROW()-4)</f>
        <v>4305</v>
      </c>
      <c r="B359" s="620">
        <v>44484</v>
      </c>
      <c r="C359" s="621">
        <v>44470</v>
      </c>
      <c r="D359" s="548" t="s">
        <v>88</v>
      </c>
      <c r="E359" s="548" t="s">
        <v>196</v>
      </c>
      <c r="F359" s="622">
        <v>-231.87</v>
      </c>
      <c r="G359" s="623" t="s">
        <v>1418</v>
      </c>
      <c r="H359" s="548" t="s">
        <v>114</v>
      </c>
      <c r="I359" s="583" t="s">
        <v>983</v>
      </c>
      <c r="J359" s="548" t="s">
        <v>850</v>
      </c>
      <c r="K359" s="583" t="s">
        <v>946</v>
      </c>
      <c r="L359" s="583" t="s">
        <v>947</v>
      </c>
      <c r="M359" s="632" t="s">
        <v>114</v>
      </c>
      <c r="N359" s="620">
        <v>44484</v>
      </c>
      <c r="O359" s="684" t="s">
        <v>67</v>
      </c>
      <c r="P359" s="503">
        <f t="shared" si="17"/>
        <v>10</v>
      </c>
      <c r="Q359" s="503">
        <f t="shared" si="18"/>
        <v>10</v>
      </c>
      <c r="R359" s="504" t="str">
        <f t="shared" si="19"/>
        <v>Gastos_com_Pessoal</v>
      </c>
      <c r="S359" s="504" t="str">
        <f>IF(D359="","",IF(OR(D359=Plano!$A$1,D359=Plano!$B$1),"entrada","saída"))</f>
        <v>saída</v>
      </c>
      <c r="T359" s="511" t="s">
        <v>114</v>
      </c>
      <c r="U359" s="511" t="s">
        <v>114</v>
      </c>
      <c r="V359" s="541"/>
    </row>
    <row r="360" spans="1:22" ht="45" customHeight="1" x14ac:dyDescent="0.2">
      <c r="A360" s="619">
        <f>IF(B360="","",COUNT('Diário 5º PA'!$A$5:$A$2634)+COUNT('Diário 6º PA'!$A$5:$A$2246)+COUNT('Diário 7º PA'!$A$5:$A$2271)+ROW()-4)</f>
        <v>4306</v>
      </c>
      <c r="B360" s="620">
        <v>44484</v>
      </c>
      <c r="C360" s="621">
        <v>44470</v>
      </c>
      <c r="D360" s="548" t="s">
        <v>88</v>
      </c>
      <c r="E360" s="548" t="s">
        <v>196</v>
      </c>
      <c r="F360" s="622">
        <v>-1054.06</v>
      </c>
      <c r="G360" s="623" t="s">
        <v>1419</v>
      </c>
      <c r="H360" s="548" t="s">
        <v>114</v>
      </c>
      <c r="I360" s="583" t="s">
        <v>983</v>
      </c>
      <c r="J360" s="548" t="s">
        <v>850</v>
      </c>
      <c r="K360" s="583" t="s">
        <v>946</v>
      </c>
      <c r="L360" s="583" t="s">
        <v>947</v>
      </c>
      <c r="M360" s="632" t="s">
        <v>114</v>
      </c>
      <c r="N360" s="620">
        <v>44484</v>
      </c>
      <c r="O360" s="684" t="s">
        <v>67</v>
      </c>
      <c r="P360" s="503">
        <f t="shared" si="17"/>
        <v>10</v>
      </c>
      <c r="Q360" s="503">
        <f t="shared" si="18"/>
        <v>10</v>
      </c>
      <c r="R360" s="504" t="str">
        <f t="shared" si="19"/>
        <v>Gastos_com_Pessoal</v>
      </c>
      <c r="S360" s="504" t="str">
        <f>IF(D360="","",IF(OR(D360=Plano!$A$1,D360=Plano!$B$1),"entrada","saída"))</f>
        <v>saída</v>
      </c>
      <c r="T360" s="511" t="s">
        <v>114</v>
      </c>
      <c r="U360" s="511" t="s">
        <v>114</v>
      </c>
      <c r="V360" s="541"/>
    </row>
    <row r="361" spans="1:22" ht="60" customHeight="1" x14ac:dyDescent="0.2">
      <c r="A361" s="619">
        <f>IF(B361="","",COUNT('Diário 5º PA'!$A$5:$A$2634)+COUNT('Diário 6º PA'!$A$5:$A$2246)+COUNT('Diário 7º PA'!$A$5:$A$2271)+ROW()-4)</f>
        <v>4307</v>
      </c>
      <c r="B361" s="620">
        <v>44484</v>
      </c>
      <c r="C361" s="621">
        <v>44409</v>
      </c>
      <c r="D361" s="548" t="s">
        <v>88</v>
      </c>
      <c r="E361" s="548" t="s">
        <v>90</v>
      </c>
      <c r="F361" s="622">
        <v>-60.62</v>
      </c>
      <c r="G361" s="623" t="s">
        <v>6726</v>
      </c>
      <c r="H361" s="548" t="s">
        <v>114</v>
      </c>
      <c r="I361" s="583" t="s">
        <v>983</v>
      </c>
      <c r="J361" s="548" t="s">
        <v>850</v>
      </c>
      <c r="K361" s="583" t="s">
        <v>946</v>
      </c>
      <c r="L361" s="583" t="s">
        <v>947</v>
      </c>
      <c r="M361" s="632" t="s">
        <v>114</v>
      </c>
      <c r="N361" s="620">
        <v>44484</v>
      </c>
      <c r="O361" s="684" t="s">
        <v>67</v>
      </c>
      <c r="P361" s="503">
        <f t="shared" si="17"/>
        <v>10</v>
      </c>
      <c r="Q361" s="503">
        <f t="shared" si="18"/>
        <v>8</v>
      </c>
      <c r="R361" s="504" t="str">
        <f t="shared" si="19"/>
        <v>Gastos_com_Pessoal</v>
      </c>
      <c r="S361" s="504" t="str">
        <f>IF(D361="","",IF(OR(D361=Plano!$A$1,D361=Plano!$B$1),"entrada","saída"))</f>
        <v>saída</v>
      </c>
      <c r="T361" s="511" t="s">
        <v>114</v>
      </c>
      <c r="U361" s="511" t="s">
        <v>114</v>
      </c>
      <c r="V361" s="541"/>
    </row>
    <row r="362" spans="1:22" ht="211.5" customHeight="1" x14ac:dyDescent="0.2">
      <c r="A362" s="619">
        <f>IF(B362="","",COUNT('Diário 5º PA'!$A$5:$A$2634)+COUNT('Diário 6º PA'!$A$5:$A$2246)+COUNT('Diário 7º PA'!$A$5:$A$2271)+ROW()-4)</f>
        <v>4308</v>
      </c>
      <c r="B362" s="620">
        <v>44484</v>
      </c>
      <c r="C362" s="624">
        <v>44440</v>
      </c>
      <c r="D362" s="548" t="s">
        <v>99</v>
      </c>
      <c r="E362" s="548" t="s">
        <v>350</v>
      </c>
      <c r="F362" s="622">
        <v>1500</v>
      </c>
      <c r="G362" s="623" t="s">
        <v>922</v>
      </c>
      <c r="H362" s="548" t="s">
        <v>132</v>
      </c>
      <c r="I362" s="633" t="s">
        <v>2120</v>
      </c>
      <c r="J362" s="548" t="s">
        <v>879</v>
      </c>
      <c r="K362" s="583" t="s">
        <v>991</v>
      </c>
      <c r="L362" s="583" t="s">
        <v>1177</v>
      </c>
      <c r="M362" s="620" t="s">
        <v>114</v>
      </c>
      <c r="N362" s="620">
        <v>44484</v>
      </c>
      <c r="O362" s="684" t="s">
        <v>67</v>
      </c>
      <c r="P362" s="503">
        <f t="shared" si="17"/>
        <v>10</v>
      </c>
      <c r="Q362" s="503">
        <f t="shared" si="18"/>
        <v>9</v>
      </c>
      <c r="R362" s="504" t="str">
        <f t="shared" si="19"/>
        <v>Gastos_Gerais</v>
      </c>
      <c r="S362" s="504" t="str">
        <f>IF(D362="","",IF(OR(D362=Plano!$A$1,D362=Plano!$B$1),"entrada","saída"))</f>
        <v>saída</v>
      </c>
      <c r="T362" s="505" t="s">
        <v>994</v>
      </c>
      <c r="U362" s="505">
        <v>2059</v>
      </c>
      <c r="V362" s="541"/>
    </row>
    <row r="363" spans="1:22" ht="87" customHeight="1" x14ac:dyDescent="0.2">
      <c r="A363" s="619">
        <f>IF(B363="","",COUNT('Diário 5º PA'!$A$5:$A$2634)+COUNT('Diário 6º PA'!$A$5:$A$2246)+COUNT('Diário 7º PA'!$A$5:$A$2271)+ROW()-4)</f>
        <v>4309</v>
      </c>
      <c r="B363" s="620">
        <v>44484</v>
      </c>
      <c r="C363" s="624">
        <v>44440</v>
      </c>
      <c r="D363" s="548" t="s">
        <v>99</v>
      </c>
      <c r="E363" s="548" t="s">
        <v>312</v>
      </c>
      <c r="F363" s="622">
        <v>438.51</v>
      </c>
      <c r="G363" s="623" t="s">
        <v>439</v>
      </c>
      <c r="H363" s="548" t="s">
        <v>115</v>
      </c>
      <c r="I363" s="583" t="s">
        <v>5780</v>
      </c>
      <c r="J363" s="548" t="s">
        <v>441</v>
      </c>
      <c r="K363" s="583" t="s">
        <v>560</v>
      </c>
      <c r="L363" s="583" t="s">
        <v>992</v>
      </c>
      <c r="M363" s="619">
        <v>3513165</v>
      </c>
      <c r="N363" s="620">
        <v>44470</v>
      </c>
      <c r="O363" s="684" t="s">
        <v>67</v>
      </c>
      <c r="P363" s="503">
        <f t="shared" si="17"/>
        <v>10</v>
      </c>
      <c r="Q363" s="503">
        <f t="shared" si="18"/>
        <v>9</v>
      </c>
      <c r="R363" s="504" t="str">
        <f t="shared" si="19"/>
        <v>Gastos_Gerais</v>
      </c>
      <c r="S363" s="504" t="str">
        <f>IF(D363="","",IF(OR(D363=Plano!$A$1,D363=Plano!$B$1),"entrada","saída"))</f>
        <v>saída</v>
      </c>
      <c r="T363" s="505" t="s">
        <v>1059</v>
      </c>
      <c r="U363" s="505">
        <v>1142</v>
      </c>
      <c r="V363" s="541"/>
    </row>
    <row r="364" spans="1:22" s="513" customFormat="1" ht="113.25" customHeight="1" x14ac:dyDescent="0.2">
      <c r="A364" s="619">
        <f>IF(B364="","",COUNT('Diário 5º PA'!$A$5:$A$2634)+COUNT('Diário 6º PA'!$A$5:$A$2246)+COUNT('Diário 7º PA'!$A$5:$A$2271)+ROW()-4)</f>
        <v>4310</v>
      </c>
      <c r="B364" s="620">
        <v>44484</v>
      </c>
      <c r="C364" s="621">
        <v>44409</v>
      </c>
      <c r="D364" s="548" t="s">
        <v>88</v>
      </c>
      <c r="E364" s="548" t="s">
        <v>196</v>
      </c>
      <c r="F364" s="622">
        <v>211.82</v>
      </c>
      <c r="G364" s="623" t="s">
        <v>2410</v>
      </c>
      <c r="H364" s="548" t="s">
        <v>114</v>
      </c>
      <c r="I364" s="583" t="s">
        <v>542</v>
      </c>
      <c r="J364" s="548" t="s">
        <v>543</v>
      </c>
      <c r="K364" s="583" t="s">
        <v>560</v>
      </c>
      <c r="L364" s="583" t="s">
        <v>992</v>
      </c>
      <c r="M364" s="619" t="s">
        <v>5782</v>
      </c>
      <c r="N364" s="620">
        <v>44441</v>
      </c>
      <c r="O364" s="684" t="s">
        <v>67</v>
      </c>
      <c r="P364" s="503">
        <f t="shared" si="17"/>
        <v>10</v>
      </c>
      <c r="Q364" s="503">
        <f t="shared" si="18"/>
        <v>8</v>
      </c>
      <c r="R364" s="504" t="str">
        <f t="shared" si="19"/>
        <v>Gastos_com_Pessoal</v>
      </c>
      <c r="S364" s="504" t="str">
        <f>IF(D364="","",IF(OR(D364=Plano!$A$1,D364=Plano!$B$1),"entrada","saída"))</f>
        <v>saída</v>
      </c>
      <c r="T364" s="505" t="s">
        <v>114</v>
      </c>
      <c r="U364" s="505" t="s">
        <v>114</v>
      </c>
      <c r="V364" s="541"/>
    </row>
    <row r="365" spans="1:22" ht="135" customHeight="1" x14ac:dyDescent="0.2">
      <c r="A365" s="619">
        <f>IF(B365="","",COUNT('Diário 5º PA'!$A$5:$A$2634)+COUNT('Diário 6º PA'!$A$5:$A$2246)+COUNT('Diário 7º PA'!$A$5:$A$2271)+ROW()-4)</f>
        <v>4311</v>
      </c>
      <c r="B365" s="620">
        <v>44484</v>
      </c>
      <c r="C365" s="621">
        <v>44470</v>
      </c>
      <c r="D365" s="548" t="s">
        <v>88</v>
      </c>
      <c r="E365" s="548" t="s">
        <v>196</v>
      </c>
      <c r="F365" s="622">
        <v>22197.51</v>
      </c>
      <c r="G365" s="623" t="s">
        <v>541</v>
      </c>
      <c r="H365" s="548" t="s">
        <v>114</v>
      </c>
      <c r="I365" s="583" t="s">
        <v>542</v>
      </c>
      <c r="J365" s="548" t="s">
        <v>543</v>
      </c>
      <c r="K365" s="583" t="s">
        <v>560</v>
      </c>
      <c r="L365" s="583" t="s">
        <v>992</v>
      </c>
      <c r="M365" s="619" t="s">
        <v>5781</v>
      </c>
      <c r="N365" s="620">
        <v>44448</v>
      </c>
      <c r="O365" s="684" t="s">
        <v>67</v>
      </c>
      <c r="P365" s="503">
        <f t="shared" si="17"/>
        <v>10</v>
      </c>
      <c r="Q365" s="503">
        <f t="shared" si="18"/>
        <v>10</v>
      </c>
      <c r="R365" s="504" t="str">
        <f t="shared" si="19"/>
        <v>Gastos_com_Pessoal</v>
      </c>
      <c r="S365" s="504" t="str">
        <f>IF(D365="","",IF(OR(D365=Plano!$A$1,D365=Plano!$B$1),"entrada","saída"))</f>
        <v>saída</v>
      </c>
      <c r="T365" s="505" t="s">
        <v>114</v>
      </c>
      <c r="U365" s="505" t="s">
        <v>114</v>
      </c>
      <c r="V365" s="541"/>
    </row>
    <row r="366" spans="1:22" ht="158.25" customHeight="1" x14ac:dyDescent="0.2">
      <c r="A366" s="619">
        <f>IF(B366="","",COUNT('Diário 5º PA'!$A$5:$A$2634)+COUNT('Diário 6º PA'!$A$5:$A$2246)+COUNT('Diário 7º PA'!$A$5:$A$2271)+ROW()-4)</f>
        <v>4312</v>
      </c>
      <c r="B366" s="620">
        <v>44484</v>
      </c>
      <c r="C366" s="624">
        <v>44440</v>
      </c>
      <c r="D366" s="548" t="s">
        <v>99</v>
      </c>
      <c r="E366" s="548" t="s">
        <v>342</v>
      </c>
      <c r="F366" s="622">
        <v>672</v>
      </c>
      <c r="G366" s="623" t="s">
        <v>847</v>
      </c>
      <c r="H366" s="548" t="s">
        <v>123</v>
      </c>
      <c r="I366" s="583" t="s">
        <v>5783</v>
      </c>
      <c r="J366" s="548" t="s">
        <v>848</v>
      </c>
      <c r="K366" s="583" t="s">
        <v>991</v>
      </c>
      <c r="L366" s="583" t="s">
        <v>1029</v>
      </c>
      <c r="M366" s="619">
        <v>1379</v>
      </c>
      <c r="N366" s="620">
        <v>44483</v>
      </c>
      <c r="O366" s="684" t="s">
        <v>67</v>
      </c>
      <c r="P366" s="503">
        <f t="shared" si="17"/>
        <v>10</v>
      </c>
      <c r="Q366" s="503">
        <f t="shared" si="18"/>
        <v>9</v>
      </c>
      <c r="R366" s="504" t="str">
        <f t="shared" si="19"/>
        <v>Gastos_Gerais</v>
      </c>
      <c r="S366" s="504" t="str">
        <f>IF(D366="","",IF(OR(D366=Plano!$A$1,D366=Plano!$B$1),"entrada","saída"))</f>
        <v>saída</v>
      </c>
      <c r="T366" s="505" t="s">
        <v>994</v>
      </c>
      <c r="U366" s="505">
        <v>2007</v>
      </c>
      <c r="V366" s="541"/>
    </row>
    <row r="367" spans="1:22" ht="156" customHeight="1" x14ac:dyDescent="0.2">
      <c r="A367" s="619">
        <f>IF(B367="","",COUNT('Diário 5º PA'!$A$5:$A$2634)+COUNT('Diário 6º PA'!$A$5:$A$2246)+COUNT('Diário 7º PA'!$A$5:$A$2271)+ROW()-4)</f>
        <v>4313</v>
      </c>
      <c r="B367" s="620">
        <v>44484</v>
      </c>
      <c r="C367" s="624">
        <v>44440</v>
      </c>
      <c r="D367" s="548" t="s">
        <v>99</v>
      </c>
      <c r="E367" s="548" t="s">
        <v>342</v>
      </c>
      <c r="F367" s="622">
        <v>800</v>
      </c>
      <c r="G367" s="623" t="s">
        <v>860</v>
      </c>
      <c r="H367" s="548" t="s">
        <v>125</v>
      </c>
      <c r="I367" s="583" t="s">
        <v>3042</v>
      </c>
      <c r="J367" s="548" t="s">
        <v>861</v>
      </c>
      <c r="K367" s="583" t="s">
        <v>991</v>
      </c>
      <c r="L367" s="583" t="s">
        <v>992</v>
      </c>
      <c r="M367" s="619" t="s">
        <v>1600</v>
      </c>
      <c r="N367" s="620">
        <v>44483</v>
      </c>
      <c r="O367" s="684" t="s">
        <v>67</v>
      </c>
      <c r="P367" s="503">
        <f t="shared" si="17"/>
        <v>10</v>
      </c>
      <c r="Q367" s="503">
        <f t="shared" si="18"/>
        <v>9</v>
      </c>
      <c r="R367" s="504" t="str">
        <f t="shared" si="19"/>
        <v>Gastos_Gerais</v>
      </c>
      <c r="S367" s="504" t="str">
        <f>IF(D367="","",IF(OR(D367=Plano!$A$1,D367=Plano!$B$1),"entrada","saída"))</f>
        <v>saída</v>
      </c>
      <c r="T367" s="505" t="s">
        <v>994</v>
      </c>
      <c r="U367" s="505">
        <v>1985</v>
      </c>
      <c r="V367" s="541"/>
    </row>
    <row r="368" spans="1:22" ht="96" customHeight="1" x14ac:dyDescent="0.2">
      <c r="A368" s="619">
        <f>IF(B368="","",COUNT('Diário 5º PA'!$A$5:$A$2634)+COUNT('Diário 6º PA'!$A$5:$A$2246)+COUNT('Diário 7º PA'!$A$5:$A$2271)+ROW()-4)</f>
        <v>4314</v>
      </c>
      <c r="B368" s="620">
        <v>44484</v>
      </c>
      <c r="C368" s="624">
        <v>44470</v>
      </c>
      <c r="D368" s="548" t="s">
        <v>99</v>
      </c>
      <c r="E368" s="548" t="s">
        <v>330</v>
      </c>
      <c r="F368" s="622">
        <v>2000</v>
      </c>
      <c r="G368" s="623" t="s">
        <v>5341</v>
      </c>
      <c r="H368" s="548" t="s">
        <v>125</v>
      </c>
      <c r="I368" s="583" t="s">
        <v>5786</v>
      </c>
      <c r="J368" s="548" t="s">
        <v>5342</v>
      </c>
      <c r="K368" s="583" t="s">
        <v>991</v>
      </c>
      <c r="L368" s="583" t="s">
        <v>992</v>
      </c>
      <c r="M368" s="619">
        <v>46</v>
      </c>
      <c r="N368" s="620">
        <v>44484</v>
      </c>
      <c r="O368" s="684" t="s">
        <v>67</v>
      </c>
      <c r="P368" s="503">
        <f t="shared" si="17"/>
        <v>10</v>
      </c>
      <c r="Q368" s="503">
        <f t="shared" si="18"/>
        <v>10</v>
      </c>
      <c r="R368" s="504" t="str">
        <f t="shared" si="19"/>
        <v>Gastos_Gerais</v>
      </c>
      <c r="S368" s="504" t="str">
        <f>IF(D368="","",IF(OR(D368=Plano!$A$1,D368=Plano!$B$1),"entrada","saída"))</f>
        <v>saída</v>
      </c>
      <c r="T368" s="505" t="s">
        <v>1059</v>
      </c>
      <c r="U368" s="505">
        <v>2106</v>
      </c>
      <c r="V368" s="541"/>
    </row>
    <row r="369" spans="1:22" ht="51.75" customHeight="1" x14ac:dyDescent="0.2">
      <c r="A369" s="619">
        <f>IF(B369="","",COUNT('Diário 5º PA'!$A$5:$A$2634)+COUNT('Diário 6º PA'!$A$5:$A$2246)+COUNT('Diário 7º PA'!$A$5:$A$2271)+ROW()-4)</f>
        <v>4315</v>
      </c>
      <c r="B369" s="620">
        <v>44484</v>
      </c>
      <c r="C369" s="621">
        <v>44470</v>
      </c>
      <c r="D369" s="548" t="s">
        <v>99</v>
      </c>
      <c r="E369" s="548" t="s">
        <v>272</v>
      </c>
      <c r="F369" s="622">
        <v>10.45</v>
      </c>
      <c r="G369" s="623" t="s">
        <v>5787</v>
      </c>
      <c r="H369" s="548" t="s">
        <v>123</v>
      </c>
      <c r="I369" s="583" t="s">
        <v>949</v>
      </c>
      <c r="J369" s="548" t="s">
        <v>950</v>
      </c>
      <c r="K369" s="583" t="s">
        <v>951</v>
      </c>
      <c r="L369" s="583" t="s">
        <v>947</v>
      </c>
      <c r="M369" s="625" t="s">
        <v>114</v>
      </c>
      <c r="N369" s="620">
        <v>44484</v>
      </c>
      <c r="O369" s="684" t="s">
        <v>67</v>
      </c>
      <c r="P369" s="503">
        <f t="shared" si="17"/>
        <v>10</v>
      </c>
      <c r="Q369" s="503">
        <f t="shared" si="18"/>
        <v>10</v>
      </c>
      <c r="R369" s="504" t="str">
        <f t="shared" si="19"/>
        <v>Gastos_Gerais</v>
      </c>
      <c r="S369" s="504" t="str">
        <f>IF(D369="","",IF(OR(D369=Plano!$A$1,D369=Plano!$B$1),"entrada","saída"))</f>
        <v>saída</v>
      </c>
      <c r="T369" s="511" t="s">
        <v>114</v>
      </c>
      <c r="U369" s="511" t="s">
        <v>114</v>
      </c>
      <c r="V369" s="541"/>
    </row>
    <row r="370" spans="1:22" ht="66" customHeight="1" x14ac:dyDescent="0.2">
      <c r="A370" s="619">
        <f>IF(B370="","",COUNT('Diário 5º PA'!$A$5:$A$2634)+COUNT('Diário 6º PA'!$A$5:$A$2246)+COUNT('Diário 7º PA'!$A$5:$A$2271)+ROW()-4)</f>
        <v>4316</v>
      </c>
      <c r="B370" s="620">
        <v>44484</v>
      </c>
      <c r="C370" s="621">
        <v>44470</v>
      </c>
      <c r="D370" s="548" t="s">
        <v>99</v>
      </c>
      <c r="E370" s="548" t="s">
        <v>272</v>
      </c>
      <c r="F370" s="622">
        <v>10.45</v>
      </c>
      <c r="G370" s="623" t="s">
        <v>5788</v>
      </c>
      <c r="H370" s="548" t="s">
        <v>125</v>
      </c>
      <c r="I370" s="583" t="s">
        <v>949</v>
      </c>
      <c r="J370" s="548" t="s">
        <v>950</v>
      </c>
      <c r="K370" s="583" t="s">
        <v>951</v>
      </c>
      <c r="L370" s="583" t="s">
        <v>947</v>
      </c>
      <c r="M370" s="625" t="s">
        <v>114</v>
      </c>
      <c r="N370" s="620">
        <v>44484</v>
      </c>
      <c r="O370" s="684" t="s">
        <v>67</v>
      </c>
      <c r="P370" s="503">
        <f t="shared" si="17"/>
        <v>10</v>
      </c>
      <c r="Q370" s="503">
        <f t="shared" si="18"/>
        <v>10</v>
      </c>
      <c r="R370" s="504" t="str">
        <f t="shared" si="19"/>
        <v>Gastos_Gerais</v>
      </c>
      <c r="S370" s="504" t="str">
        <f>IF(D370="","",IF(OR(D370=Plano!$A$1,D370=Plano!$B$1),"entrada","saída"))</f>
        <v>saída</v>
      </c>
      <c r="T370" s="511" t="s">
        <v>114</v>
      </c>
      <c r="U370" s="511" t="s">
        <v>114</v>
      </c>
      <c r="V370" s="541"/>
    </row>
    <row r="371" spans="1:22" ht="69.75" customHeight="1" x14ac:dyDescent="0.2">
      <c r="A371" s="619">
        <f>IF(B371="","",COUNT('Diário 5º PA'!$A$5:$A$2634)+COUNT('Diário 6º PA'!$A$5:$A$2246)+COUNT('Diário 7º PA'!$A$5:$A$2271)+ROW()-4)</f>
        <v>4317</v>
      </c>
      <c r="B371" s="620">
        <v>44484</v>
      </c>
      <c r="C371" s="621">
        <v>44470</v>
      </c>
      <c r="D371" s="548" t="s">
        <v>99</v>
      </c>
      <c r="E371" s="548" t="s">
        <v>272</v>
      </c>
      <c r="F371" s="622">
        <v>10.45</v>
      </c>
      <c r="G371" s="623" t="s">
        <v>5789</v>
      </c>
      <c r="H371" s="548" t="s">
        <v>125</v>
      </c>
      <c r="I371" s="583" t="s">
        <v>949</v>
      </c>
      <c r="J371" s="548" t="s">
        <v>950</v>
      </c>
      <c r="K371" s="583" t="s">
        <v>951</v>
      </c>
      <c r="L371" s="583" t="s">
        <v>947</v>
      </c>
      <c r="M371" s="625" t="s">
        <v>114</v>
      </c>
      <c r="N371" s="620">
        <v>44484</v>
      </c>
      <c r="O371" s="684" t="s">
        <v>67</v>
      </c>
      <c r="P371" s="503">
        <f t="shared" si="17"/>
        <v>10</v>
      </c>
      <c r="Q371" s="503">
        <f t="shared" si="18"/>
        <v>10</v>
      </c>
      <c r="R371" s="504" t="str">
        <f t="shared" si="19"/>
        <v>Gastos_Gerais</v>
      </c>
      <c r="S371" s="504" t="str">
        <f>IF(D371="","",IF(OR(D371=Plano!$A$1,D371=Plano!$B$1),"entrada","saída"))</f>
        <v>saída</v>
      </c>
      <c r="T371" s="511" t="s">
        <v>114</v>
      </c>
      <c r="U371" s="511" t="s">
        <v>114</v>
      </c>
      <c r="V371" s="541"/>
    </row>
    <row r="372" spans="1:22" s="518" customFormat="1" ht="69.75" customHeight="1" x14ac:dyDescent="0.2">
      <c r="A372" s="619">
        <f>IF(B372="","",COUNT('Diário 5º PA'!$A$5:$A$2634)+COUNT('Diário 6º PA'!$A$5:$A$2246)+COUNT('Diário 7º PA'!$A$5:$A$2271)+ROW()-4)</f>
        <v>4318</v>
      </c>
      <c r="B372" s="620">
        <v>44484</v>
      </c>
      <c r="C372" s="621">
        <v>44440</v>
      </c>
      <c r="D372" s="548" t="s">
        <v>104</v>
      </c>
      <c r="E372" s="548" t="s">
        <v>104</v>
      </c>
      <c r="F372" s="622">
        <v>2000</v>
      </c>
      <c r="G372" s="623" t="s">
        <v>5970</v>
      </c>
      <c r="H372" s="548" t="s">
        <v>104</v>
      </c>
      <c r="I372" s="583" t="s">
        <v>5971</v>
      </c>
      <c r="J372" s="548" t="s">
        <v>5972</v>
      </c>
      <c r="K372" s="583" t="s">
        <v>1015</v>
      </c>
      <c r="L372" s="583" t="s">
        <v>992</v>
      </c>
      <c r="M372" s="619" t="s">
        <v>1256</v>
      </c>
      <c r="N372" s="620">
        <v>44484</v>
      </c>
      <c r="O372" s="684" t="s">
        <v>71</v>
      </c>
      <c r="P372" s="503">
        <f t="shared" si="17"/>
        <v>10</v>
      </c>
      <c r="Q372" s="503">
        <f t="shared" si="18"/>
        <v>9</v>
      </c>
      <c r="R372" s="504" t="str">
        <f t="shared" si="19"/>
        <v>Gastos_custeados_por_captação</v>
      </c>
      <c r="S372" s="504" t="str">
        <f>IF(D372="","",IF(OR(D372=Plano!$A$1,D372=Plano!$B$1),"entrada","saída"))</f>
        <v>saída</v>
      </c>
      <c r="T372" s="511" t="s">
        <v>1082</v>
      </c>
      <c r="U372" s="511">
        <v>1648</v>
      </c>
      <c r="V372" s="541"/>
    </row>
    <row r="373" spans="1:22" s="518" customFormat="1" ht="51" customHeight="1" x14ac:dyDescent="0.2">
      <c r="A373" s="619">
        <f>IF(B373="","",COUNT('Diário 5º PA'!$A$5:$A$2634)+COUNT('Diário 6º PA'!$A$5:$A$2246)+COUNT('Diário 7º PA'!$A$5:$A$2271)+ROW()-4)</f>
        <v>4319</v>
      </c>
      <c r="B373" s="620">
        <v>44484</v>
      </c>
      <c r="C373" s="621">
        <v>44470</v>
      </c>
      <c r="D373" s="548" t="s">
        <v>104</v>
      </c>
      <c r="E373" s="548" t="s">
        <v>104</v>
      </c>
      <c r="F373" s="622">
        <v>10.45</v>
      </c>
      <c r="G373" s="623" t="s">
        <v>5451</v>
      </c>
      <c r="H373" s="548" t="s">
        <v>104</v>
      </c>
      <c r="I373" s="583" t="s">
        <v>949</v>
      </c>
      <c r="J373" s="548" t="s">
        <v>950</v>
      </c>
      <c r="K373" s="583" t="s">
        <v>951</v>
      </c>
      <c r="L373" s="583" t="s">
        <v>947</v>
      </c>
      <c r="M373" s="625" t="s">
        <v>114</v>
      </c>
      <c r="N373" s="620">
        <v>44484</v>
      </c>
      <c r="O373" s="684" t="s">
        <v>71</v>
      </c>
      <c r="P373" s="503">
        <f t="shared" si="17"/>
        <v>10</v>
      </c>
      <c r="Q373" s="503">
        <f t="shared" si="18"/>
        <v>10</v>
      </c>
      <c r="R373" s="504" t="str">
        <f t="shared" si="19"/>
        <v>Gastos_custeados_por_captação</v>
      </c>
      <c r="S373" s="504" t="str">
        <f>IF(D373="","",IF(OR(D373=Plano!$A$1,D373=Plano!$B$1),"entrada","saída"))</f>
        <v>saída</v>
      </c>
      <c r="T373" s="511" t="s">
        <v>114</v>
      </c>
      <c r="U373" s="511" t="s">
        <v>114</v>
      </c>
      <c r="V373" s="541"/>
    </row>
    <row r="374" spans="1:22" s="544" customFormat="1" ht="94.5" customHeight="1" x14ac:dyDescent="0.2">
      <c r="A374" s="619">
        <f>IF(B374="","",COUNT('Diário 5º PA'!$A$5:$A$2634)+COUNT('Diário 6º PA'!$A$5:$A$2246)+COUNT('Diário 7º PA'!$A$5:$A$2271)+ROW()-4)</f>
        <v>4320</v>
      </c>
      <c r="B374" s="620">
        <v>44484</v>
      </c>
      <c r="C374" s="624">
        <v>44440</v>
      </c>
      <c r="D374" s="548" t="s">
        <v>104</v>
      </c>
      <c r="E374" s="548" t="s">
        <v>104</v>
      </c>
      <c r="F374" s="622">
        <v>1444.95</v>
      </c>
      <c r="G374" s="623" t="s">
        <v>851</v>
      </c>
      <c r="H374" s="548" t="s">
        <v>104</v>
      </c>
      <c r="I374" s="583" t="s">
        <v>5433</v>
      </c>
      <c r="J374" s="548" t="s">
        <v>853</v>
      </c>
      <c r="K374" s="583" t="s">
        <v>991</v>
      </c>
      <c r="L374" s="583" t="s">
        <v>992</v>
      </c>
      <c r="M374" s="619" t="s">
        <v>6915</v>
      </c>
      <c r="N374" s="620">
        <v>44470</v>
      </c>
      <c r="O374" s="684" t="s">
        <v>5377</v>
      </c>
      <c r="P374" s="503">
        <f t="shared" si="17"/>
        <v>10</v>
      </c>
      <c r="Q374" s="503">
        <f t="shared" si="18"/>
        <v>9</v>
      </c>
      <c r="R374" s="504" t="str">
        <f t="shared" si="19"/>
        <v>Gastos_custeados_por_captação</v>
      </c>
      <c r="S374" s="504" t="str">
        <f>IF(D374="","",IF(OR(D374=Plano!$A$1,D374=Plano!$B$1),"entrada","saída"))</f>
        <v>saída</v>
      </c>
      <c r="T374" s="511" t="s">
        <v>1082</v>
      </c>
      <c r="U374" s="511">
        <v>1371</v>
      </c>
      <c r="V374" s="541"/>
    </row>
    <row r="375" spans="1:22" s="544" customFormat="1" ht="71.25" customHeight="1" x14ac:dyDescent="0.2">
      <c r="A375" s="619">
        <f>IF(B375="","",COUNT('Diário 5º PA'!$A$5:$A$2634)+COUNT('Diário 6º PA'!$A$5:$A$2246)+COUNT('Diário 7º PA'!$A$5:$A$2271)+ROW()-4)</f>
        <v>4321</v>
      </c>
      <c r="B375" s="620">
        <v>44484</v>
      </c>
      <c r="C375" s="624">
        <v>44440</v>
      </c>
      <c r="D375" s="548" t="s">
        <v>104</v>
      </c>
      <c r="E375" s="548" t="s">
        <v>104</v>
      </c>
      <c r="F375" s="622">
        <v>253.5</v>
      </c>
      <c r="G375" s="623" t="s">
        <v>6933</v>
      </c>
      <c r="H375" s="548" t="s">
        <v>104</v>
      </c>
      <c r="I375" s="583" t="s">
        <v>6934</v>
      </c>
      <c r="J375" s="548" t="s">
        <v>6935</v>
      </c>
      <c r="K375" s="583" t="s">
        <v>991</v>
      </c>
      <c r="L375" s="583" t="s">
        <v>992</v>
      </c>
      <c r="M375" s="619">
        <v>2100</v>
      </c>
      <c r="N375" s="620">
        <v>44484</v>
      </c>
      <c r="O375" s="684" t="s">
        <v>5505</v>
      </c>
      <c r="P375" s="503">
        <f t="shared" si="17"/>
        <v>10</v>
      </c>
      <c r="Q375" s="503">
        <f t="shared" si="18"/>
        <v>9</v>
      </c>
      <c r="R375" s="504" t="str">
        <f t="shared" si="19"/>
        <v>Gastos_custeados_por_captação</v>
      </c>
      <c r="S375" s="504" t="str">
        <f>IF(D375="","",IF(OR(D375=Plano!$A$1,D375=Plano!$B$1),"entrada","saída"))</f>
        <v>saída</v>
      </c>
      <c r="T375" s="511" t="s">
        <v>994</v>
      </c>
      <c r="U375" s="511">
        <v>2267</v>
      </c>
      <c r="V375" s="541"/>
    </row>
    <row r="376" spans="1:22" ht="67.5" customHeight="1" x14ac:dyDescent="0.2">
      <c r="A376" s="619">
        <f>IF(B376="","",COUNT('Diário 5º PA'!$A$5:$A$2634)+COUNT('Diário 6º PA'!$A$5:$A$2246)+COUNT('Diário 7º PA'!$A$5:$A$2271)+ROW()-4)</f>
        <v>4322</v>
      </c>
      <c r="B376" s="620">
        <v>44487</v>
      </c>
      <c r="C376" s="621">
        <v>44440</v>
      </c>
      <c r="D376" s="548" t="s">
        <v>99</v>
      </c>
      <c r="E376" s="548" t="s">
        <v>218</v>
      </c>
      <c r="F376" s="622">
        <v>-15.04</v>
      </c>
      <c r="G376" s="623" t="s">
        <v>5801</v>
      </c>
      <c r="H376" s="548" t="s">
        <v>115</v>
      </c>
      <c r="I376" s="583" t="s">
        <v>983</v>
      </c>
      <c r="J376" s="548" t="s">
        <v>850</v>
      </c>
      <c r="K376" s="583" t="s">
        <v>946</v>
      </c>
      <c r="L376" s="583" t="s">
        <v>947</v>
      </c>
      <c r="M376" s="632" t="s">
        <v>114</v>
      </c>
      <c r="N376" s="620">
        <v>44487</v>
      </c>
      <c r="O376" s="684" t="s">
        <v>67</v>
      </c>
      <c r="P376" s="503">
        <f t="shared" si="17"/>
        <v>10</v>
      </c>
      <c r="Q376" s="503">
        <f t="shared" si="18"/>
        <v>9</v>
      </c>
      <c r="R376" s="504" t="str">
        <f t="shared" si="19"/>
        <v>Gastos_Gerais</v>
      </c>
      <c r="S376" s="504" t="str">
        <f>IF(D376="","",IF(OR(D376=Plano!$A$1,D376=Plano!$B$1),"entrada","saída"))</f>
        <v>saída</v>
      </c>
      <c r="T376" s="511" t="s">
        <v>114</v>
      </c>
      <c r="U376" s="511" t="s">
        <v>114</v>
      </c>
      <c r="V376" s="541"/>
    </row>
    <row r="377" spans="1:22" ht="54" customHeight="1" x14ac:dyDescent="0.2">
      <c r="A377" s="619">
        <f>IF(B377="","",COUNT('Diário 5º PA'!$A$5:$A$2634)+COUNT('Diário 6º PA'!$A$5:$A$2246)+COUNT('Diário 7º PA'!$A$5:$A$2271)+ROW()-4)</f>
        <v>4323</v>
      </c>
      <c r="B377" s="620">
        <v>44487</v>
      </c>
      <c r="C377" s="621">
        <v>44440</v>
      </c>
      <c r="D377" s="548" t="s">
        <v>99</v>
      </c>
      <c r="E377" s="548" t="s">
        <v>216</v>
      </c>
      <c r="F377" s="622">
        <v>-97.77</v>
      </c>
      <c r="G377" s="623" t="s">
        <v>5802</v>
      </c>
      <c r="H377" s="548" t="s">
        <v>115</v>
      </c>
      <c r="I377" s="583" t="s">
        <v>983</v>
      </c>
      <c r="J377" s="548" t="s">
        <v>850</v>
      </c>
      <c r="K377" s="583" t="s">
        <v>946</v>
      </c>
      <c r="L377" s="583" t="s">
        <v>947</v>
      </c>
      <c r="M377" s="632" t="s">
        <v>114</v>
      </c>
      <c r="N377" s="620">
        <v>44487</v>
      </c>
      <c r="O377" s="684" t="s">
        <v>67</v>
      </c>
      <c r="P377" s="503">
        <f t="shared" si="17"/>
        <v>10</v>
      </c>
      <c r="Q377" s="503">
        <f t="shared" si="18"/>
        <v>9</v>
      </c>
      <c r="R377" s="504" t="str">
        <f t="shared" si="19"/>
        <v>Gastos_Gerais</v>
      </c>
      <c r="S377" s="504" t="str">
        <f>IF(D377="","",IF(OR(D377=Plano!$A$1,D377=Plano!$B$1),"entrada","saída"))</f>
        <v>saída</v>
      </c>
      <c r="T377" s="511" t="s">
        <v>114</v>
      </c>
      <c r="U377" s="511" t="s">
        <v>114</v>
      </c>
      <c r="V377" s="541"/>
    </row>
    <row r="378" spans="1:22" ht="61.5" customHeight="1" x14ac:dyDescent="0.2">
      <c r="A378" s="619">
        <f>IF(B378="","",COUNT('Diário 5º PA'!$A$5:$A$2634)+COUNT('Diário 6º PA'!$A$5:$A$2246)+COUNT('Diário 7º PA'!$A$5:$A$2271)+ROW()-4)</f>
        <v>4324</v>
      </c>
      <c r="B378" s="620">
        <v>44487</v>
      </c>
      <c r="C378" s="621">
        <v>44440</v>
      </c>
      <c r="D378" s="548" t="s">
        <v>99</v>
      </c>
      <c r="E378" s="548" t="s">
        <v>222</v>
      </c>
      <c r="F378" s="622">
        <v>-168.99</v>
      </c>
      <c r="G378" s="623" t="s">
        <v>5803</v>
      </c>
      <c r="H378" s="548" t="s">
        <v>115</v>
      </c>
      <c r="I378" s="583" t="s">
        <v>983</v>
      </c>
      <c r="J378" s="548" t="s">
        <v>850</v>
      </c>
      <c r="K378" s="583" t="s">
        <v>946</v>
      </c>
      <c r="L378" s="583" t="s">
        <v>947</v>
      </c>
      <c r="M378" s="632" t="s">
        <v>114</v>
      </c>
      <c r="N378" s="620">
        <v>44487</v>
      </c>
      <c r="O378" s="684" t="s">
        <v>67</v>
      </c>
      <c r="P378" s="503">
        <f t="shared" si="17"/>
        <v>10</v>
      </c>
      <c r="Q378" s="503">
        <f t="shared" si="18"/>
        <v>9</v>
      </c>
      <c r="R378" s="504" t="str">
        <f t="shared" si="19"/>
        <v>Gastos_Gerais</v>
      </c>
      <c r="S378" s="504" t="str">
        <f>IF(D378="","",IF(OR(D378=Plano!$A$1,D378=Plano!$B$1),"entrada","saída"))</f>
        <v>saída</v>
      </c>
      <c r="T378" s="511" t="s">
        <v>114</v>
      </c>
      <c r="U378" s="511" t="s">
        <v>114</v>
      </c>
      <c r="V378" s="541"/>
    </row>
    <row r="379" spans="1:22" ht="70.5" customHeight="1" x14ac:dyDescent="0.2">
      <c r="A379" s="619">
        <f>IF(B379="","",COUNT('Diário 5º PA'!$A$5:$A$2634)+COUNT('Diário 6º PA'!$A$5:$A$2246)+COUNT('Diário 7º PA'!$A$5:$A$2271)+ROW()-4)</f>
        <v>4325</v>
      </c>
      <c r="B379" s="620">
        <v>44487</v>
      </c>
      <c r="C379" s="621">
        <v>44440</v>
      </c>
      <c r="D379" s="548" t="s">
        <v>99</v>
      </c>
      <c r="E379" s="548" t="s">
        <v>254</v>
      </c>
      <c r="F379" s="622">
        <v>-132.05000000000001</v>
      </c>
      <c r="G379" s="623" t="s">
        <v>5804</v>
      </c>
      <c r="H379" s="548" t="s">
        <v>115</v>
      </c>
      <c r="I379" s="583" t="s">
        <v>983</v>
      </c>
      <c r="J379" s="548" t="s">
        <v>850</v>
      </c>
      <c r="K379" s="583" t="s">
        <v>946</v>
      </c>
      <c r="L379" s="583" t="s">
        <v>947</v>
      </c>
      <c r="M379" s="632" t="s">
        <v>114</v>
      </c>
      <c r="N379" s="620">
        <v>44487</v>
      </c>
      <c r="O379" s="684" t="s">
        <v>67</v>
      </c>
      <c r="P379" s="503">
        <f t="shared" si="17"/>
        <v>10</v>
      </c>
      <c r="Q379" s="503">
        <f t="shared" si="18"/>
        <v>9</v>
      </c>
      <c r="R379" s="504" t="str">
        <f t="shared" si="19"/>
        <v>Gastos_Gerais</v>
      </c>
      <c r="S379" s="504" t="str">
        <f>IF(D379="","",IF(OR(D379=Plano!$A$1,D379=Plano!$B$1),"entrada","saída"))</f>
        <v>saída</v>
      </c>
      <c r="T379" s="511" t="s">
        <v>114</v>
      </c>
      <c r="U379" s="511" t="s">
        <v>114</v>
      </c>
      <c r="V379" s="541"/>
    </row>
    <row r="380" spans="1:22" ht="177" customHeight="1" x14ac:dyDescent="0.2">
      <c r="A380" s="619">
        <f>IF(B380="","",COUNT('Diário 5º PA'!$A$5:$A$2634)+COUNT('Diário 6º PA'!$A$5:$A$2246)+COUNT('Diário 7º PA'!$A$5:$A$2271)+ROW()-4)</f>
        <v>4326</v>
      </c>
      <c r="B380" s="620">
        <v>44487</v>
      </c>
      <c r="C380" s="621">
        <v>44440</v>
      </c>
      <c r="D380" s="548" t="s">
        <v>99</v>
      </c>
      <c r="E380" s="548" t="s">
        <v>330</v>
      </c>
      <c r="F380" s="622">
        <v>173.33</v>
      </c>
      <c r="G380" s="623" t="s">
        <v>554</v>
      </c>
      <c r="H380" s="548" t="s">
        <v>128</v>
      </c>
      <c r="I380" s="583" t="s">
        <v>1430</v>
      </c>
      <c r="J380" s="548" t="s">
        <v>556</v>
      </c>
      <c r="K380" s="583" t="s">
        <v>1015</v>
      </c>
      <c r="L380" s="583" t="s">
        <v>1177</v>
      </c>
      <c r="M380" s="619" t="s">
        <v>114</v>
      </c>
      <c r="N380" s="620">
        <v>44393</v>
      </c>
      <c r="O380" s="684" t="s">
        <v>67</v>
      </c>
      <c r="P380" s="503">
        <f t="shared" si="17"/>
        <v>10</v>
      </c>
      <c r="Q380" s="503">
        <f t="shared" si="18"/>
        <v>9</v>
      </c>
      <c r="R380" s="504" t="str">
        <f t="shared" si="19"/>
        <v>Gastos_Gerais</v>
      </c>
      <c r="S380" s="504" t="str">
        <f>IF(D380="","",IF(OR(D380=Plano!$A$1,D380=Plano!$B$1),"entrada","saída"))</f>
        <v>saída</v>
      </c>
      <c r="T380" s="552" t="s">
        <v>1059</v>
      </c>
      <c r="U380" s="552">
        <v>1336</v>
      </c>
      <c r="V380" s="541"/>
    </row>
    <row r="381" spans="1:22" ht="123" customHeight="1" x14ac:dyDescent="0.2">
      <c r="A381" s="619">
        <f>IF(B381="","",COUNT('Diário 5º PA'!$A$5:$A$2634)+COUNT('Diário 6º PA'!$A$5:$A$2246)+COUNT('Diário 7º PA'!$A$5:$A$2271)+ROW()-4)</f>
        <v>4327</v>
      </c>
      <c r="B381" s="620">
        <v>44487</v>
      </c>
      <c r="C381" s="621">
        <v>44440</v>
      </c>
      <c r="D381" s="548" t="s">
        <v>99</v>
      </c>
      <c r="E381" s="548" t="s">
        <v>364</v>
      </c>
      <c r="F381" s="622">
        <v>441.3</v>
      </c>
      <c r="G381" s="623" t="s">
        <v>663</v>
      </c>
      <c r="H381" s="548" t="s">
        <v>127</v>
      </c>
      <c r="I381" s="583" t="s">
        <v>1432</v>
      </c>
      <c r="J381" s="548" t="s">
        <v>556</v>
      </c>
      <c r="K381" s="583" t="s">
        <v>1015</v>
      </c>
      <c r="L381" s="583" t="s">
        <v>1177</v>
      </c>
      <c r="M381" s="619" t="s">
        <v>114</v>
      </c>
      <c r="N381" s="620">
        <v>44424</v>
      </c>
      <c r="O381" s="684" t="s">
        <v>67</v>
      </c>
      <c r="P381" s="503">
        <f t="shared" si="17"/>
        <v>10</v>
      </c>
      <c r="Q381" s="503">
        <f t="shared" si="18"/>
        <v>9</v>
      </c>
      <c r="R381" s="504" t="str">
        <f t="shared" si="19"/>
        <v>Gastos_Gerais</v>
      </c>
      <c r="S381" s="504" t="str">
        <f>IF(D381="","",IF(OR(D381=Plano!$A$1,D381=Plano!$B$1),"entrada","saída"))</f>
        <v>saída</v>
      </c>
      <c r="T381" s="552" t="s">
        <v>1059</v>
      </c>
      <c r="U381" s="552">
        <v>1586</v>
      </c>
      <c r="V381" s="541"/>
    </row>
    <row r="382" spans="1:22" ht="146.25" customHeight="1" x14ac:dyDescent="0.2">
      <c r="A382" s="619">
        <f>IF(B382="","",COUNT('Diário 5º PA'!$A$5:$A$2634)+COUNT('Diário 6º PA'!$A$5:$A$2246)+COUNT('Diário 7º PA'!$A$5:$A$2271)+ROW()-4)</f>
        <v>4328</v>
      </c>
      <c r="B382" s="620">
        <v>44487</v>
      </c>
      <c r="C382" s="624">
        <v>44409</v>
      </c>
      <c r="D382" s="548" t="s">
        <v>99</v>
      </c>
      <c r="E382" s="548" t="s">
        <v>364</v>
      </c>
      <c r="F382" s="622">
        <v>8456.2800000000007</v>
      </c>
      <c r="G382" s="623" t="s">
        <v>5300</v>
      </c>
      <c r="H382" s="548" t="s">
        <v>116</v>
      </c>
      <c r="I382" s="583" t="s">
        <v>5805</v>
      </c>
      <c r="J382" s="548" t="s">
        <v>5299</v>
      </c>
      <c r="K382" s="583" t="s">
        <v>1015</v>
      </c>
      <c r="L382" s="583" t="s">
        <v>1901</v>
      </c>
      <c r="M382" s="619">
        <v>1384</v>
      </c>
      <c r="N382" s="620">
        <v>44484</v>
      </c>
      <c r="O382" s="684" t="s">
        <v>67</v>
      </c>
      <c r="P382" s="503">
        <f t="shared" si="17"/>
        <v>10</v>
      </c>
      <c r="Q382" s="503">
        <f t="shared" si="18"/>
        <v>8</v>
      </c>
      <c r="R382" s="504" t="str">
        <f t="shared" si="19"/>
        <v>Gastos_Gerais</v>
      </c>
      <c r="S382" s="504" t="str">
        <f>IF(D382="","",IF(OR(D382=Plano!$A$1,D382=Plano!$B$1),"entrada","saída"))</f>
        <v>saída</v>
      </c>
      <c r="T382" s="505" t="s">
        <v>1059</v>
      </c>
      <c r="U382" s="505">
        <v>1952</v>
      </c>
      <c r="V382" s="541"/>
    </row>
    <row r="383" spans="1:22" ht="81.75" customHeight="1" x14ac:dyDescent="0.2">
      <c r="A383" s="619">
        <f>IF(B383="","",COUNT('Diário 5º PA'!$A$5:$A$2634)+COUNT('Diário 6º PA'!$A$5:$A$2246)+COUNT('Diário 7º PA'!$A$5:$A$2271)+ROW()-4)</f>
        <v>4329</v>
      </c>
      <c r="B383" s="620">
        <v>44487</v>
      </c>
      <c r="C383" s="624">
        <v>44470</v>
      </c>
      <c r="D383" s="548" t="s">
        <v>99</v>
      </c>
      <c r="E383" s="548" t="s">
        <v>330</v>
      </c>
      <c r="F383" s="622">
        <v>1680</v>
      </c>
      <c r="G383" s="623" t="s">
        <v>5809</v>
      </c>
      <c r="H383" s="548" t="s">
        <v>125</v>
      </c>
      <c r="I383" s="583" t="s">
        <v>5810</v>
      </c>
      <c r="J383" s="548" t="s">
        <v>5338</v>
      </c>
      <c r="K383" s="583" t="s">
        <v>991</v>
      </c>
      <c r="L383" s="583" t="s">
        <v>1029</v>
      </c>
      <c r="M383" s="619">
        <v>1383</v>
      </c>
      <c r="N383" s="620">
        <v>44484</v>
      </c>
      <c r="O383" s="684" t="s">
        <v>67</v>
      </c>
      <c r="P383" s="503">
        <f t="shared" si="17"/>
        <v>10</v>
      </c>
      <c r="Q383" s="503">
        <f t="shared" si="18"/>
        <v>10</v>
      </c>
      <c r="R383" s="504" t="str">
        <f t="shared" si="19"/>
        <v>Gastos_Gerais</v>
      </c>
      <c r="S383" s="504" t="str">
        <f>IF(D383="","",IF(OR(D383=Plano!$A$1,D383=Plano!$B$1),"entrada","saída"))</f>
        <v>saída</v>
      </c>
      <c r="T383" s="505" t="s">
        <v>1082</v>
      </c>
      <c r="U383" s="505">
        <v>2091</v>
      </c>
      <c r="V383" s="541"/>
    </row>
    <row r="384" spans="1:22" ht="79.5" customHeight="1" x14ac:dyDescent="0.2">
      <c r="A384" s="619">
        <f>IF(B384="","",COUNT('Diário 5º PA'!$A$5:$A$2634)+COUNT('Diário 6º PA'!$A$5:$A$2246)+COUNT('Diário 7º PA'!$A$5:$A$2271)+ROW()-4)</f>
        <v>4330</v>
      </c>
      <c r="B384" s="620">
        <v>44487</v>
      </c>
      <c r="C384" s="628">
        <v>44470</v>
      </c>
      <c r="D384" s="548" t="s">
        <v>99</v>
      </c>
      <c r="E384" s="548" t="s">
        <v>370</v>
      </c>
      <c r="F384" s="622">
        <v>1050</v>
      </c>
      <c r="G384" s="623" t="s">
        <v>5523</v>
      </c>
      <c r="H384" s="548" t="s">
        <v>125</v>
      </c>
      <c r="I384" s="583" t="s">
        <v>5813</v>
      </c>
      <c r="J384" s="548" t="s">
        <v>5524</v>
      </c>
      <c r="K384" s="583" t="s">
        <v>991</v>
      </c>
      <c r="L384" s="583" t="s">
        <v>1029</v>
      </c>
      <c r="M384" s="619">
        <v>1378</v>
      </c>
      <c r="N384" s="620">
        <v>44484</v>
      </c>
      <c r="O384" s="684" t="s">
        <v>67</v>
      </c>
      <c r="P384" s="503">
        <f t="shared" ref="P384:P447" si="20">IF(B384=0,0,IF(YEAR(B384)=$Q$1,MONTH(B384)-$P$1+1,(YEAR(B384)-$Q$1)*12-$P$1+1+MONTH(B384)))</f>
        <v>10</v>
      </c>
      <c r="Q384" s="503">
        <f t="shared" ref="Q384:Q447" si="21">IF(C384=0,0,IF(YEAR(C384)=$Q$1,MONTH(C384)-$P$1+1,(YEAR(C384)-$Q$1)*12-$P$1+1+MONTH(C384)))</f>
        <v>10</v>
      </c>
      <c r="R384" s="504" t="str">
        <f t="shared" ref="R384:R447" si="22">SUBSTITUTE(D384," ","_")</f>
        <v>Gastos_Gerais</v>
      </c>
      <c r="S384" s="504" t="str">
        <f>IF(D384="","",IF(OR(D384=Plano!$A$1,D384=Plano!$B$1),"entrada","saída"))</f>
        <v>saída</v>
      </c>
      <c r="T384" s="505" t="s">
        <v>1059</v>
      </c>
      <c r="U384" s="505">
        <v>2098</v>
      </c>
      <c r="V384" s="541"/>
    </row>
    <row r="385" spans="1:22" ht="36" customHeight="1" x14ac:dyDescent="0.2">
      <c r="A385" s="619">
        <f>IF(B385="","",COUNT('Diário 5º PA'!$A$5:$A$2634)+COUNT('Diário 6º PA'!$A$5:$A$2246)+COUNT('Diário 7º PA'!$A$5:$A$2271)+ROW()-4)</f>
        <v>4331</v>
      </c>
      <c r="B385" s="620">
        <v>44487</v>
      </c>
      <c r="C385" s="621">
        <v>44440</v>
      </c>
      <c r="D385" s="548" t="s">
        <v>99</v>
      </c>
      <c r="E385" s="548" t="s">
        <v>218</v>
      </c>
      <c r="F385" s="622">
        <v>56.94</v>
      </c>
      <c r="G385" s="623" t="s">
        <v>698</v>
      </c>
      <c r="H385" s="548" t="s">
        <v>115</v>
      </c>
      <c r="I385" s="583" t="s">
        <v>515</v>
      </c>
      <c r="J385" s="548" t="s">
        <v>516</v>
      </c>
      <c r="K385" s="583" t="s">
        <v>700</v>
      </c>
      <c r="L385" s="583" t="s">
        <v>697</v>
      </c>
      <c r="M385" s="625" t="s">
        <v>5816</v>
      </c>
      <c r="N385" s="620">
        <v>44473</v>
      </c>
      <c r="O385" s="684" t="s">
        <v>67</v>
      </c>
      <c r="P385" s="503">
        <f t="shared" si="20"/>
        <v>10</v>
      </c>
      <c r="Q385" s="503">
        <f t="shared" si="21"/>
        <v>9</v>
      </c>
      <c r="R385" s="504" t="str">
        <f t="shared" si="22"/>
        <v>Gastos_Gerais</v>
      </c>
      <c r="S385" s="504" t="str">
        <f>IF(D385="","",IF(OR(D385=Plano!$A$1,D385=Plano!$B$1),"entrada","saída"))</f>
        <v>saída</v>
      </c>
      <c r="T385" s="505" t="s">
        <v>114</v>
      </c>
      <c r="U385" s="505" t="s">
        <v>114</v>
      </c>
      <c r="V385" s="541"/>
    </row>
    <row r="386" spans="1:22" ht="36.75" customHeight="1" x14ac:dyDescent="0.2">
      <c r="A386" s="619">
        <f>IF(B386="","",COUNT('Diário 5º PA'!$A$5:$A$2634)+COUNT('Diário 6º PA'!$A$5:$A$2246)+COUNT('Diário 7º PA'!$A$5:$A$2271)+ROW()-4)</f>
        <v>4332</v>
      </c>
      <c r="B386" s="620">
        <v>44487</v>
      </c>
      <c r="C386" s="621">
        <v>44440</v>
      </c>
      <c r="D386" s="548" t="s">
        <v>99</v>
      </c>
      <c r="E386" s="548" t="s">
        <v>222</v>
      </c>
      <c r="F386" s="622">
        <v>639.88</v>
      </c>
      <c r="G386" s="623" t="s">
        <v>524</v>
      </c>
      <c r="H386" s="548" t="s">
        <v>115</v>
      </c>
      <c r="I386" s="583" t="s">
        <v>522</v>
      </c>
      <c r="J386" s="548" t="s">
        <v>523</v>
      </c>
      <c r="K386" s="583" t="s">
        <v>1375</v>
      </c>
      <c r="L386" s="583" t="s">
        <v>697</v>
      </c>
      <c r="M386" s="619" t="s">
        <v>114</v>
      </c>
      <c r="N386" s="620">
        <v>44470</v>
      </c>
      <c r="O386" s="684" t="s">
        <v>67</v>
      </c>
      <c r="P386" s="503">
        <f t="shared" si="20"/>
        <v>10</v>
      </c>
      <c r="Q386" s="503">
        <f t="shared" si="21"/>
        <v>9</v>
      </c>
      <c r="R386" s="504" t="str">
        <f t="shared" si="22"/>
        <v>Gastos_Gerais</v>
      </c>
      <c r="S386" s="504" t="str">
        <f>IF(D386="","",IF(OR(D386=Plano!$A$1,D386=Plano!$B$1),"entrada","saída"))</f>
        <v>saída</v>
      </c>
      <c r="T386" s="505" t="s">
        <v>114</v>
      </c>
      <c r="U386" s="505" t="s">
        <v>114</v>
      </c>
      <c r="V386" s="541"/>
    </row>
    <row r="387" spans="1:22" ht="42.75" customHeight="1" x14ac:dyDescent="0.2">
      <c r="A387" s="619">
        <f>IF(B387="","",COUNT('Diário 5º PA'!$A$5:$A$2634)+COUNT('Diário 6º PA'!$A$5:$A$2246)+COUNT('Diário 7º PA'!$A$5:$A$2271)+ROW()-4)</f>
        <v>4333</v>
      </c>
      <c r="B387" s="620">
        <v>44487</v>
      </c>
      <c r="C387" s="621">
        <v>44440</v>
      </c>
      <c r="D387" s="548" t="s">
        <v>99</v>
      </c>
      <c r="E387" s="548" t="s">
        <v>216</v>
      </c>
      <c r="F387" s="622">
        <v>370.2</v>
      </c>
      <c r="G387" s="623" t="s">
        <v>695</v>
      </c>
      <c r="H387" s="548" t="s">
        <v>115</v>
      </c>
      <c r="I387" s="583" t="s">
        <v>513</v>
      </c>
      <c r="J387" s="548" t="s">
        <v>514</v>
      </c>
      <c r="K387" s="583" t="s">
        <v>696</v>
      </c>
      <c r="L387" s="583" t="s">
        <v>697</v>
      </c>
      <c r="M387" s="619">
        <v>65382825</v>
      </c>
      <c r="N387" s="620">
        <v>44466</v>
      </c>
      <c r="O387" s="684" t="s">
        <v>67</v>
      </c>
      <c r="P387" s="503">
        <f t="shared" si="20"/>
        <v>10</v>
      </c>
      <c r="Q387" s="503">
        <f t="shared" si="21"/>
        <v>9</v>
      </c>
      <c r="R387" s="504" t="str">
        <f t="shared" si="22"/>
        <v>Gastos_Gerais</v>
      </c>
      <c r="S387" s="504" t="str">
        <f>IF(D387="","",IF(OR(D387=Plano!$A$1,D387=Plano!$B$1),"entrada","saída"))</f>
        <v>saída</v>
      </c>
      <c r="T387" s="505" t="s">
        <v>114</v>
      </c>
      <c r="U387" s="505" t="s">
        <v>114</v>
      </c>
      <c r="V387" s="541"/>
    </row>
    <row r="388" spans="1:22" s="514" customFormat="1" ht="150.75" customHeight="1" x14ac:dyDescent="0.2">
      <c r="A388" s="619">
        <f>IF(B388="","",COUNT('Diário 5º PA'!$A$5:$A$2634)+COUNT('Diário 6º PA'!$A$5:$A$2246)+COUNT('Diário 7º PA'!$A$5:$A$2271)+ROW()-4)</f>
        <v>4334</v>
      </c>
      <c r="B388" s="620">
        <v>44487</v>
      </c>
      <c r="C388" s="624">
        <v>44440</v>
      </c>
      <c r="D388" s="548" t="s">
        <v>99</v>
      </c>
      <c r="E388" s="548" t="s">
        <v>254</v>
      </c>
      <c r="F388" s="622">
        <v>500</v>
      </c>
      <c r="G388" s="623" t="s">
        <v>448</v>
      </c>
      <c r="H388" s="548" t="s">
        <v>115</v>
      </c>
      <c r="I388" s="583" t="s">
        <v>5832</v>
      </c>
      <c r="J388" s="548" t="s">
        <v>450</v>
      </c>
      <c r="K388" s="583" t="s">
        <v>560</v>
      </c>
      <c r="L388" s="583" t="s">
        <v>697</v>
      </c>
      <c r="M388" s="619" t="s">
        <v>5833</v>
      </c>
      <c r="N388" s="620">
        <v>44475</v>
      </c>
      <c r="O388" s="684" t="s">
        <v>67</v>
      </c>
      <c r="P388" s="503">
        <f t="shared" si="20"/>
        <v>10</v>
      </c>
      <c r="Q388" s="503">
        <f t="shared" si="21"/>
        <v>9</v>
      </c>
      <c r="R388" s="504" t="str">
        <f t="shared" si="22"/>
        <v>Gastos_Gerais</v>
      </c>
      <c r="S388" s="504" t="str">
        <f>IF(D388="","",IF(OR(D388=Plano!$A$1,D388=Plano!$B$1),"entrada","saída"))</f>
        <v>saída</v>
      </c>
      <c r="T388" s="505" t="s">
        <v>1082</v>
      </c>
      <c r="U388" s="505">
        <v>1143</v>
      </c>
      <c r="V388" s="541"/>
    </row>
    <row r="389" spans="1:22" ht="45" customHeight="1" x14ac:dyDescent="0.2">
      <c r="A389" s="619">
        <f>IF(B389="","",COUNT('Diário 5º PA'!$A$5:$A$2634)+COUNT('Diário 6º PA'!$A$5:$A$2246)+COUNT('Diário 7º PA'!$A$5:$A$2271)+ROW()-4)</f>
        <v>4335</v>
      </c>
      <c r="B389" s="620">
        <v>44487</v>
      </c>
      <c r="C389" s="624">
        <v>44440</v>
      </c>
      <c r="D389" s="548" t="s">
        <v>99</v>
      </c>
      <c r="E389" s="548" t="s">
        <v>358</v>
      </c>
      <c r="F389" s="622">
        <v>516</v>
      </c>
      <c r="G389" s="623" t="s">
        <v>5237</v>
      </c>
      <c r="H389" s="548" t="s">
        <v>118</v>
      </c>
      <c r="I389" s="583" t="s">
        <v>5817</v>
      </c>
      <c r="J389" s="548" t="s">
        <v>5238</v>
      </c>
      <c r="K389" s="583" t="s">
        <v>991</v>
      </c>
      <c r="L389" s="583" t="s">
        <v>1029</v>
      </c>
      <c r="M389" s="619">
        <v>1364</v>
      </c>
      <c r="N389" s="620">
        <v>44474</v>
      </c>
      <c r="O389" s="684" t="s">
        <v>67</v>
      </c>
      <c r="P389" s="503">
        <f t="shared" si="20"/>
        <v>10</v>
      </c>
      <c r="Q389" s="503">
        <f t="shared" si="21"/>
        <v>9</v>
      </c>
      <c r="R389" s="504" t="str">
        <f t="shared" si="22"/>
        <v>Gastos_Gerais</v>
      </c>
      <c r="S389" s="504" t="str">
        <f>IF(D389="","",IF(OR(D389=Plano!$A$1,D389=Plano!$B$1),"entrada","saída"))</f>
        <v>saída</v>
      </c>
      <c r="T389" s="505" t="s">
        <v>994</v>
      </c>
      <c r="U389" s="505">
        <v>2100</v>
      </c>
      <c r="V389" s="541"/>
    </row>
    <row r="390" spans="1:22" ht="93.75" customHeight="1" x14ac:dyDescent="0.2">
      <c r="A390" s="619">
        <f>IF(B390="","",COUNT('Diário 5º PA'!$A$5:$A$2634)+COUNT('Diário 6º PA'!$A$5:$A$2246)+COUNT('Diário 7º PA'!$A$5:$A$2271)+ROW()-4)</f>
        <v>4336</v>
      </c>
      <c r="B390" s="620">
        <v>44487</v>
      </c>
      <c r="C390" s="624">
        <v>44470</v>
      </c>
      <c r="D390" s="548" t="s">
        <v>99</v>
      </c>
      <c r="E390" s="548" t="s">
        <v>236</v>
      </c>
      <c r="F390" s="622">
        <v>600</v>
      </c>
      <c r="G390" s="623" t="s">
        <v>5744</v>
      </c>
      <c r="H390" s="548" t="s">
        <v>116</v>
      </c>
      <c r="I390" s="583" t="s">
        <v>2089</v>
      </c>
      <c r="J390" s="548" t="s">
        <v>2090</v>
      </c>
      <c r="K390" s="583" t="s">
        <v>560</v>
      </c>
      <c r="L390" s="583" t="s">
        <v>5818</v>
      </c>
      <c r="M390" s="619" t="s">
        <v>114</v>
      </c>
      <c r="N390" s="620">
        <v>44487</v>
      </c>
      <c r="O390" s="684" t="s">
        <v>67</v>
      </c>
      <c r="P390" s="503">
        <f t="shared" si="20"/>
        <v>10</v>
      </c>
      <c r="Q390" s="503">
        <f t="shared" si="21"/>
        <v>10</v>
      </c>
      <c r="R390" s="504" t="str">
        <f t="shared" si="22"/>
        <v>Gastos_Gerais</v>
      </c>
      <c r="S390" s="504" t="str">
        <f>IF(D390="","",IF(OR(D390=Plano!$A$1,D390=Plano!$B$1),"entrada","saída"))</f>
        <v>saída</v>
      </c>
      <c r="T390" s="505" t="s">
        <v>994</v>
      </c>
      <c r="U390" s="505">
        <v>2249</v>
      </c>
      <c r="V390" s="541"/>
    </row>
    <row r="391" spans="1:22" ht="62.25" customHeight="1" x14ac:dyDescent="0.2">
      <c r="A391" s="619">
        <f>IF(B391="","",COUNT('Diário 5º PA'!$A$5:$A$2634)+COUNT('Diário 6º PA'!$A$5:$A$2246)+COUNT('Diário 7º PA'!$A$5:$A$2271)+ROW()-4)</f>
        <v>4337</v>
      </c>
      <c r="B391" s="620">
        <v>44487</v>
      </c>
      <c r="C391" s="624">
        <v>44440</v>
      </c>
      <c r="D391" s="548" t="s">
        <v>99</v>
      </c>
      <c r="E391" s="548" t="s">
        <v>364</v>
      </c>
      <c r="F391" s="622">
        <v>970</v>
      </c>
      <c r="G391" s="623" t="s">
        <v>5228</v>
      </c>
      <c r="H391" s="548" t="s">
        <v>118</v>
      </c>
      <c r="I391" s="583" t="s">
        <v>5819</v>
      </c>
      <c r="J391" s="548" t="s">
        <v>5229</v>
      </c>
      <c r="K391" s="583" t="s">
        <v>991</v>
      </c>
      <c r="L391" s="583" t="s">
        <v>992</v>
      </c>
      <c r="M391" s="619" t="s">
        <v>1211</v>
      </c>
      <c r="N391" s="620">
        <v>44475</v>
      </c>
      <c r="O391" s="684" t="s">
        <v>67</v>
      </c>
      <c r="P391" s="503">
        <f t="shared" si="20"/>
        <v>10</v>
      </c>
      <c r="Q391" s="503">
        <f t="shared" si="21"/>
        <v>9</v>
      </c>
      <c r="R391" s="504" t="str">
        <f t="shared" si="22"/>
        <v>Gastos_Gerais</v>
      </c>
      <c r="S391" s="504" t="str">
        <f>IF(D391="","",IF(OR(D391=Plano!$A$1,D391=Plano!$B$1),"entrada","saída"))</f>
        <v>saída</v>
      </c>
      <c r="T391" s="505" t="s">
        <v>994</v>
      </c>
      <c r="U391" s="505">
        <v>2102</v>
      </c>
      <c r="V391" s="541"/>
    </row>
    <row r="392" spans="1:22" ht="152.25" customHeight="1" x14ac:dyDescent="0.2">
      <c r="A392" s="619">
        <f>IF(B392="","",COUNT('Diário 5º PA'!$A$5:$A$2634)+COUNT('Diário 6º PA'!$A$5:$A$2246)+COUNT('Diário 7º PA'!$A$5:$A$2271)+ROW()-4)</f>
        <v>4338</v>
      </c>
      <c r="B392" s="620">
        <v>44487</v>
      </c>
      <c r="C392" s="624">
        <v>44440</v>
      </c>
      <c r="D392" s="548" t="s">
        <v>99</v>
      </c>
      <c r="E392" s="548" t="s">
        <v>358</v>
      </c>
      <c r="F392" s="622">
        <v>672</v>
      </c>
      <c r="G392" s="623" t="s">
        <v>903</v>
      </c>
      <c r="H392" s="548" t="s">
        <v>124</v>
      </c>
      <c r="I392" s="583" t="s">
        <v>5821</v>
      </c>
      <c r="J392" s="548" t="s">
        <v>904</v>
      </c>
      <c r="K392" s="583" t="s">
        <v>991</v>
      </c>
      <c r="L392" s="583" t="s">
        <v>1029</v>
      </c>
      <c r="M392" s="619">
        <v>1380</v>
      </c>
      <c r="N392" s="620">
        <v>44484</v>
      </c>
      <c r="O392" s="684" t="s">
        <v>67</v>
      </c>
      <c r="P392" s="503">
        <f t="shared" si="20"/>
        <v>10</v>
      </c>
      <c r="Q392" s="503">
        <f t="shared" si="21"/>
        <v>9</v>
      </c>
      <c r="R392" s="504" t="str">
        <f t="shared" si="22"/>
        <v>Gastos_Gerais</v>
      </c>
      <c r="S392" s="504" t="str">
        <f>IF(D392="","",IF(OR(D392=Plano!$A$1,D392=Plano!$B$1),"entrada","saída"))</f>
        <v>saída</v>
      </c>
      <c r="T392" s="505" t="s">
        <v>994</v>
      </c>
      <c r="U392" s="505">
        <v>2008</v>
      </c>
      <c r="V392" s="541"/>
    </row>
    <row r="393" spans="1:22" ht="90.75" customHeight="1" x14ac:dyDescent="0.2">
      <c r="A393" s="619">
        <f>IF(B393="","",COUNT('Diário 5º PA'!$A$5:$A$2634)+COUNT('Diário 6º PA'!$A$5:$A$2246)+COUNT('Diário 7º PA'!$A$5:$A$2271)+ROW()-4)</f>
        <v>4339</v>
      </c>
      <c r="B393" s="620">
        <v>44487</v>
      </c>
      <c r="C393" s="624">
        <v>44470</v>
      </c>
      <c r="D393" s="548" t="s">
        <v>99</v>
      </c>
      <c r="E393" s="548" t="s">
        <v>364</v>
      </c>
      <c r="F393" s="622">
        <v>4500</v>
      </c>
      <c r="G393" s="623" t="s">
        <v>5365</v>
      </c>
      <c r="H393" s="548" t="s">
        <v>125</v>
      </c>
      <c r="I393" s="583" t="s">
        <v>5824</v>
      </c>
      <c r="J393" s="548" t="s">
        <v>711</v>
      </c>
      <c r="K393" s="583" t="s">
        <v>991</v>
      </c>
      <c r="L393" s="583" t="s">
        <v>992</v>
      </c>
      <c r="M393" s="619" t="s">
        <v>4183</v>
      </c>
      <c r="N393" s="620">
        <v>44484</v>
      </c>
      <c r="O393" s="684" t="s">
        <v>67</v>
      </c>
      <c r="P393" s="503">
        <f t="shared" si="20"/>
        <v>10</v>
      </c>
      <c r="Q393" s="503">
        <f t="shared" si="21"/>
        <v>10</v>
      </c>
      <c r="R393" s="504" t="str">
        <f t="shared" si="22"/>
        <v>Gastos_Gerais</v>
      </c>
      <c r="S393" s="504" t="str">
        <f>IF(D393="","",IF(OR(D393=Plano!$A$1,D393=Plano!$B$1),"entrada","saída"))</f>
        <v>saída</v>
      </c>
      <c r="T393" s="505" t="s">
        <v>1059</v>
      </c>
      <c r="U393" s="505">
        <v>2109</v>
      </c>
      <c r="V393" s="541"/>
    </row>
    <row r="394" spans="1:22" ht="104.25" customHeight="1" x14ac:dyDescent="0.2">
      <c r="A394" s="619">
        <f>IF(B394="","",COUNT('Diário 5º PA'!$A$5:$A$2634)+COUNT('Diário 6º PA'!$A$5:$A$2246)+COUNT('Diário 7º PA'!$A$5:$A$2271)+ROW()-4)</f>
        <v>4340</v>
      </c>
      <c r="B394" s="620">
        <v>44487</v>
      </c>
      <c r="C394" s="624">
        <v>44440</v>
      </c>
      <c r="D394" s="548" t="s">
        <v>99</v>
      </c>
      <c r="E394" s="548" t="s">
        <v>364</v>
      </c>
      <c r="F394" s="622">
        <v>195.02</v>
      </c>
      <c r="G394" s="623" t="s">
        <v>918</v>
      </c>
      <c r="H394" s="548" t="s">
        <v>125</v>
      </c>
      <c r="I394" s="583" t="s">
        <v>5825</v>
      </c>
      <c r="J394" s="548" t="s">
        <v>919</v>
      </c>
      <c r="K394" s="583" t="s">
        <v>991</v>
      </c>
      <c r="L394" s="583" t="s">
        <v>992</v>
      </c>
      <c r="M394" s="619">
        <v>359</v>
      </c>
      <c r="N394" s="620">
        <v>44473</v>
      </c>
      <c r="O394" s="684" t="s">
        <v>67</v>
      </c>
      <c r="P394" s="503">
        <f t="shared" si="20"/>
        <v>10</v>
      </c>
      <c r="Q394" s="503">
        <f t="shared" si="21"/>
        <v>9</v>
      </c>
      <c r="R394" s="504" t="str">
        <f t="shared" si="22"/>
        <v>Gastos_Gerais</v>
      </c>
      <c r="S394" s="504" t="str">
        <f>IF(D394="","",IF(OR(D394=Plano!$A$1,D394=Plano!$B$1),"entrada","saída"))</f>
        <v>saída</v>
      </c>
      <c r="T394" s="505" t="s">
        <v>994</v>
      </c>
      <c r="U394" s="505">
        <v>2049</v>
      </c>
      <c r="V394" s="541"/>
    </row>
    <row r="395" spans="1:22" ht="50.1" customHeight="1" x14ac:dyDescent="0.2">
      <c r="A395" s="619">
        <f>IF(B395="","",COUNT('Diário 5º PA'!$A$5:$A$2634)+COUNT('Diário 6º PA'!$A$5:$A$2246)+COUNT('Diário 7º PA'!$A$5:$A$2271)+ROW()-4)</f>
        <v>4341</v>
      </c>
      <c r="B395" s="620">
        <v>44487</v>
      </c>
      <c r="C395" s="621">
        <v>44470</v>
      </c>
      <c r="D395" s="548" t="s">
        <v>99</v>
      </c>
      <c r="E395" s="548" t="s">
        <v>272</v>
      </c>
      <c r="F395" s="622">
        <v>10.45</v>
      </c>
      <c r="G395" s="623" t="s">
        <v>5827</v>
      </c>
      <c r="H395" s="548" t="s">
        <v>118</v>
      </c>
      <c r="I395" s="583" t="s">
        <v>949</v>
      </c>
      <c r="J395" s="548" t="s">
        <v>950</v>
      </c>
      <c r="K395" s="583" t="s">
        <v>951</v>
      </c>
      <c r="L395" s="583" t="s">
        <v>947</v>
      </c>
      <c r="M395" s="625" t="s">
        <v>114</v>
      </c>
      <c r="N395" s="620">
        <v>44487</v>
      </c>
      <c r="O395" s="684" t="s">
        <v>67</v>
      </c>
      <c r="P395" s="503">
        <f t="shared" si="20"/>
        <v>10</v>
      </c>
      <c r="Q395" s="503">
        <f t="shared" si="21"/>
        <v>10</v>
      </c>
      <c r="R395" s="504" t="str">
        <f t="shared" si="22"/>
        <v>Gastos_Gerais</v>
      </c>
      <c r="S395" s="504" t="str">
        <f>IF(D395="","",IF(OR(D395=Plano!$A$1,D395=Plano!$B$1),"entrada","saída"))</f>
        <v>saída</v>
      </c>
      <c r="T395" s="511" t="s">
        <v>114</v>
      </c>
      <c r="U395" s="511" t="s">
        <v>114</v>
      </c>
      <c r="V395" s="541"/>
    </row>
    <row r="396" spans="1:22" ht="50.1" customHeight="1" x14ac:dyDescent="0.2">
      <c r="A396" s="619">
        <f>IF(B396="","",COUNT('Diário 5º PA'!$A$5:$A$2634)+COUNT('Diário 6º PA'!$A$5:$A$2246)+COUNT('Diário 7º PA'!$A$5:$A$2271)+ROW()-4)</f>
        <v>4342</v>
      </c>
      <c r="B396" s="620">
        <v>44487</v>
      </c>
      <c r="C396" s="621">
        <v>44470</v>
      </c>
      <c r="D396" s="548" t="s">
        <v>99</v>
      </c>
      <c r="E396" s="548" t="s">
        <v>272</v>
      </c>
      <c r="F396" s="622">
        <v>10.45</v>
      </c>
      <c r="G396" s="623" t="s">
        <v>5828</v>
      </c>
      <c r="H396" s="548" t="s">
        <v>118</v>
      </c>
      <c r="I396" s="583" t="s">
        <v>949</v>
      </c>
      <c r="J396" s="548" t="s">
        <v>950</v>
      </c>
      <c r="K396" s="583" t="s">
        <v>951</v>
      </c>
      <c r="L396" s="583" t="s">
        <v>947</v>
      </c>
      <c r="M396" s="625" t="s">
        <v>114</v>
      </c>
      <c r="N396" s="620">
        <v>44487</v>
      </c>
      <c r="O396" s="684" t="s">
        <v>67</v>
      </c>
      <c r="P396" s="503">
        <f t="shared" si="20"/>
        <v>10</v>
      </c>
      <c r="Q396" s="503">
        <f t="shared" si="21"/>
        <v>10</v>
      </c>
      <c r="R396" s="504" t="str">
        <f t="shared" si="22"/>
        <v>Gastos_Gerais</v>
      </c>
      <c r="S396" s="504" t="str">
        <f>IF(D396="","",IF(OR(D396=Plano!$A$1,D396=Plano!$B$1),"entrada","saída"))</f>
        <v>saída</v>
      </c>
      <c r="T396" s="511" t="s">
        <v>114</v>
      </c>
      <c r="U396" s="511" t="s">
        <v>114</v>
      </c>
      <c r="V396" s="541"/>
    </row>
    <row r="397" spans="1:22" ht="50.1" customHeight="1" x14ac:dyDescent="0.2">
      <c r="A397" s="619">
        <f>IF(B397="","",COUNT('Diário 5º PA'!$A$5:$A$2634)+COUNT('Diário 6º PA'!$A$5:$A$2246)+COUNT('Diário 7º PA'!$A$5:$A$2271)+ROW()-4)</f>
        <v>4343</v>
      </c>
      <c r="B397" s="620">
        <v>44487</v>
      </c>
      <c r="C397" s="621">
        <v>44470</v>
      </c>
      <c r="D397" s="548" t="s">
        <v>99</v>
      </c>
      <c r="E397" s="548" t="s">
        <v>272</v>
      </c>
      <c r="F397" s="622">
        <v>10.45</v>
      </c>
      <c r="G397" s="623" t="s">
        <v>5829</v>
      </c>
      <c r="H397" s="548" t="s">
        <v>124</v>
      </c>
      <c r="I397" s="583" t="s">
        <v>949</v>
      </c>
      <c r="J397" s="548" t="s">
        <v>950</v>
      </c>
      <c r="K397" s="583" t="s">
        <v>951</v>
      </c>
      <c r="L397" s="583" t="s">
        <v>947</v>
      </c>
      <c r="M397" s="625" t="s">
        <v>114</v>
      </c>
      <c r="N397" s="620">
        <v>44487</v>
      </c>
      <c r="O397" s="684" t="s">
        <v>67</v>
      </c>
      <c r="P397" s="503">
        <f t="shared" si="20"/>
        <v>10</v>
      </c>
      <c r="Q397" s="503">
        <f t="shared" si="21"/>
        <v>10</v>
      </c>
      <c r="R397" s="504" t="str">
        <f t="shared" si="22"/>
        <v>Gastos_Gerais</v>
      </c>
      <c r="S397" s="504" t="str">
        <f>IF(D397="","",IF(OR(D397=Plano!$A$1,D397=Plano!$B$1),"entrada","saída"))</f>
        <v>saída</v>
      </c>
      <c r="T397" s="511" t="s">
        <v>114</v>
      </c>
      <c r="U397" s="511" t="s">
        <v>114</v>
      </c>
      <c r="V397" s="541"/>
    </row>
    <row r="398" spans="1:22" ht="50.1" customHeight="1" x14ac:dyDescent="0.2">
      <c r="A398" s="619">
        <f>IF(B398="","",COUNT('Diário 5º PA'!$A$5:$A$2634)+COUNT('Diário 6º PA'!$A$5:$A$2246)+COUNT('Diário 7º PA'!$A$5:$A$2271)+ROW()-4)</f>
        <v>4344</v>
      </c>
      <c r="B398" s="620">
        <v>44487</v>
      </c>
      <c r="C398" s="621">
        <v>44470</v>
      </c>
      <c r="D398" s="548" t="s">
        <v>99</v>
      </c>
      <c r="E398" s="548" t="s">
        <v>272</v>
      </c>
      <c r="F398" s="622">
        <v>10.45</v>
      </c>
      <c r="G398" s="623" t="s">
        <v>5830</v>
      </c>
      <c r="H398" s="548" t="s">
        <v>125</v>
      </c>
      <c r="I398" s="583" t="s">
        <v>949</v>
      </c>
      <c r="J398" s="548" t="s">
        <v>950</v>
      </c>
      <c r="K398" s="583" t="s">
        <v>951</v>
      </c>
      <c r="L398" s="583" t="s">
        <v>947</v>
      </c>
      <c r="M398" s="625" t="s">
        <v>114</v>
      </c>
      <c r="N398" s="620">
        <v>44487</v>
      </c>
      <c r="O398" s="684" t="s">
        <v>67</v>
      </c>
      <c r="P398" s="503">
        <f t="shared" si="20"/>
        <v>10</v>
      </c>
      <c r="Q398" s="503">
        <f t="shared" si="21"/>
        <v>10</v>
      </c>
      <c r="R398" s="504" t="str">
        <f t="shared" si="22"/>
        <v>Gastos_Gerais</v>
      </c>
      <c r="S398" s="504" t="str">
        <f>IF(D398="","",IF(OR(D398=Plano!$A$1,D398=Plano!$B$1),"entrada","saída"))</f>
        <v>saída</v>
      </c>
      <c r="T398" s="511" t="s">
        <v>114</v>
      </c>
      <c r="U398" s="511" t="s">
        <v>114</v>
      </c>
      <c r="V398" s="541"/>
    </row>
    <row r="399" spans="1:22" ht="50.1" customHeight="1" x14ac:dyDescent="0.2">
      <c r="A399" s="619">
        <f>IF(B399="","",COUNT('Diário 5º PA'!$A$5:$A$2634)+COUNT('Diário 6º PA'!$A$5:$A$2246)+COUNT('Diário 7º PA'!$A$5:$A$2271)+ROW()-4)</f>
        <v>4345</v>
      </c>
      <c r="B399" s="620">
        <v>44487</v>
      </c>
      <c r="C399" s="621">
        <v>44470</v>
      </c>
      <c r="D399" s="548" t="s">
        <v>99</v>
      </c>
      <c r="E399" s="548" t="s">
        <v>272</v>
      </c>
      <c r="F399" s="622">
        <v>10.45</v>
      </c>
      <c r="G399" s="623" t="s">
        <v>5831</v>
      </c>
      <c r="H399" s="548" t="s">
        <v>125</v>
      </c>
      <c r="I399" s="583" t="s">
        <v>949</v>
      </c>
      <c r="J399" s="548" t="s">
        <v>950</v>
      </c>
      <c r="K399" s="583" t="s">
        <v>951</v>
      </c>
      <c r="L399" s="583" t="s">
        <v>947</v>
      </c>
      <c r="M399" s="625" t="s">
        <v>114</v>
      </c>
      <c r="N399" s="620">
        <v>44487</v>
      </c>
      <c r="O399" s="684" t="s">
        <v>67</v>
      </c>
      <c r="P399" s="503">
        <f t="shared" si="20"/>
        <v>10</v>
      </c>
      <c r="Q399" s="503">
        <f t="shared" si="21"/>
        <v>10</v>
      </c>
      <c r="R399" s="504" t="str">
        <f t="shared" si="22"/>
        <v>Gastos_Gerais</v>
      </c>
      <c r="S399" s="504" t="str">
        <f>IF(D399="","",IF(OR(D399=Plano!$A$1,D399=Plano!$B$1),"entrada","saída"))</f>
        <v>saída</v>
      </c>
      <c r="T399" s="511" t="s">
        <v>114</v>
      </c>
      <c r="U399" s="511" t="s">
        <v>114</v>
      </c>
      <c r="V399" s="541"/>
    </row>
    <row r="400" spans="1:22" s="540" customFormat="1" ht="50.1" customHeight="1" x14ac:dyDescent="0.2">
      <c r="A400" s="619">
        <f>IF(B400="","",COUNT('Diário 5º PA'!$A$5:$A$2634)+COUNT('Diário 6º PA'!$A$5:$A$2246)+COUNT('Diário 7º PA'!$A$5:$A$2271)+ROW()-4)</f>
        <v>4346</v>
      </c>
      <c r="B400" s="620">
        <v>44487</v>
      </c>
      <c r="C400" s="621">
        <v>44440</v>
      </c>
      <c r="D400" s="548" t="s">
        <v>104</v>
      </c>
      <c r="E400" s="548" t="s">
        <v>104</v>
      </c>
      <c r="F400" s="622">
        <v>2075.92</v>
      </c>
      <c r="G400" s="623" t="s">
        <v>6903</v>
      </c>
      <c r="H400" s="548" t="s">
        <v>104</v>
      </c>
      <c r="I400" s="583" t="s">
        <v>6904</v>
      </c>
      <c r="J400" s="548" t="s">
        <v>604</v>
      </c>
      <c r="K400" s="583" t="s">
        <v>991</v>
      </c>
      <c r="L400" s="583" t="s">
        <v>1029</v>
      </c>
      <c r="M400" s="625">
        <v>1381</v>
      </c>
      <c r="N400" s="620">
        <v>44484</v>
      </c>
      <c r="O400" s="684" t="s">
        <v>5370</v>
      </c>
      <c r="P400" s="503">
        <f t="shared" si="20"/>
        <v>10</v>
      </c>
      <c r="Q400" s="503">
        <f t="shared" si="21"/>
        <v>9</v>
      </c>
      <c r="R400" s="504" t="str">
        <f t="shared" si="22"/>
        <v>Gastos_custeados_por_captação</v>
      </c>
      <c r="S400" s="504" t="str">
        <f>IF(D400="","",IF(OR(D400=Plano!$A$1,D400=Plano!$B$1),"entrada","saída"))</f>
        <v>saída</v>
      </c>
      <c r="T400" s="511" t="s">
        <v>1082</v>
      </c>
      <c r="U400" s="511">
        <v>2202</v>
      </c>
      <c r="V400" s="541"/>
    </row>
    <row r="401" spans="1:22" s="540" customFormat="1" ht="50.1" customHeight="1" x14ac:dyDescent="0.2">
      <c r="A401" s="619">
        <f>IF(B401="","",COUNT('Diário 5º PA'!$A$5:$A$2634)+COUNT('Diário 6º PA'!$A$5:$A$2246)+COUNT('Diário 7º PA'!$A$5:$A$2271)+ROW()-4)</f>
        <v>4347</v>
      </c>
      <c r="B401" s="620">
        <v>44487</v>
      </c>
      <c r="C401" s="621">
        <v>44440</v>
      </c>
      <c r="D401" s="548" t="s">
        <v>104</v>
      </c>
      <c r="E401" s="548" t="s">
        <v>104</v>
      </c>
      <c r="F401" s="622">
        <v>2075.92</v>
      </c>
      <c r="G401" s="623" t="s">
        <v>6905</v>
      </c>
      <c r="H401" s="548" t="s">
        <v>104</v>
      </c>
      <c r="I401" s="583" t="s">
        <v>6906</v>
      </c>
      <c r="J401" s="548" t="s">
        <v>4171</v>
      </c>
      <c r="K401" s="583" t="s">
        <v>991</v>
      </c>
      <c r="L401" s="583" t="s">
        <v>1029</v>
      </c>
      <c r="M401" s="625">
        <v>1382</v>
      </c>
      <c r="N401" s="620">
        <v>44484</v>
      </c>
      <c r="O401" s="684" t="s">
        <v>5370</v>
      </c>
      <c r="P401" s="503">
        <f t="shared" si="20"/>
        <v>10</v>
      </c>
      <c r="Q401" s="503">
        <f t="shared" si="21"/>
        <v>9</v>
      </c>
      <c r="R401" s="504" t="str">
        <f t="shared" si="22"/>
        <v>Gastos_custeados_por_captação</v>
      </c>
      <c r="S401" s="504" t="str">
        <f>IF(D401="","",IF(OR(D401=Plano!$A$1,D401=Plano!$B$1),"entrada","saída"))</f>
        <v>saída</v>
      </c>
      <c r="T401" s="511" t="s">
        <v>1082</v>
      </c>
      <c r="U401" s="511">
        <v>2201</v>
      </c>
      <c r="V401" s="541"/>
    </row>
    <row r="402" spans="1:22" s="540" customFormat="1" ht="50.1" customHeight="1" x14ac:dyDescent="0.2">
      <c r="A402" s="619">
        <f>IF(B402="","",COUNT('Diário 5º PA'!$A$5:$A$2634)+COUNT('Diário 6º PA'!$A$5:$A$2246)+COUNT('Diário 7º PA'!$A$5:$A$2271)+ROW()-4)</f>
        <v>4348</v>
      </c>
      <c r="B402" s="620">
        <v>44487</v>
      </c>
      <c r="C402" s="621">
        <v>44470</v>
      </c>
      <c r="D402" s="548" t="s">
        <v>104</v>
      </c>
      <c r="E402" s="548" t="s">
        <v>104</v>
      </c>
      <c r="F402" s="622">
        <v>10.45</v>
      </c>
      <c r="G402" s="623" t="s">
        <v>6902</v>
      </c>
      <c r="H402" s="548" t="s">
        <v>104</v>
      </c>
      <c r="I402" s="583" t="s">
        <v>949</v>
      </c>
      <c r="J402" s="548" t="s">
        <v>950</v>
      </c>
      <c r="K402" s="583" t="s">
        <v>951</v>
      </c>
      <c r="L402" s="583" t="s">
        <v>947</v>
      </c>
      <c r="M402" s="625" t="s">
        <v>114</v>
      </c>
      <c r="N402" s="620">
        <v>44487</v>
      </c>
      <c r="O402" s="684" t="s">
        <v>5370</v>
      </c>
      <c r="P402" s="503">
        <f t="shared" si="20"/>
        <v>10</v>
      </c>
      <c r="Q402" s="503">
        <f t="shared" si="21"/>
        <v>10</v>
      </c>
      <c r="R402" s="504" t="str">
        <f t="shared" si="22"/>
        <v>Gastos_custeados_por_captação</v>
      </c>
      <c r="S402" s="504" t="str">
        <f>IF(D402="","",IF(OR(D402=Plano!$A$1,D402=Plano!$B$1),"entrada","saída"))</f>
        <v>saída</v>
      </c>
      <c r="T402" s="511" t="s">
        <v>114</v>
      </c>
      <c r="U402" s="511" t="s">
        <v>114</v>
      </c>
      <c r="V402" s="541"/>
    </row>
    <row r="403" spans="1:22" s="540" customFormat="1" ht="50.1" customHeight="1" x14ac:dyDescent="0.2">
      <c r="A403" s="619">
        <f>IF(B403="","",COUNT('Diário 5º PA'!$A$5:$A$2634)+COUNT('Diário 6º PA'!$A$5:$A$2246)+COUNT('Diário 7º PA'!$A$5:$A$2271)+ROW()-4)</f>
        <v>4349</v>
      </c>
      <c r="B403" s="620">
        <v>44487</v>
      </c>
      <c r="C403" s="621">
        <v>44470</v>
      </c>
      <c r="D403" s="548" t="s">
        <v>104</v>
      </c>
      <c r="E403" s="548" t="s">
        <v>104</v>
      </c>
      <c r="F403" s="622">
        <v>10.45</v>
      </c>
      <c r="G403" s="623" t="s">
        <v>6902</v>
      </c>
      <c r="H403" s="548" t="s">
        <v>104</v>
      </c>
      <c r="I403" s="583" t="s">
        <v>949</v>
      </c>
      <c r="J403" s="548" t="s">
        <v>950</v>
      </c>
      <c r="K403" s="583" t="s">
        <v>951</v>
      </c>
      <c r="L403" s="583" t="s">
        <v>947</v>
      </c>
      <c r="M403" s="625" t="s">
        <v>114</v>
      </c>
      <c r="N403" s="620">
        <v>44487</v>
      </c>
      <c r="O403" s="684" t="s">
        <v>5370</v>
      </c>
      <c r="P403" s="503">
        <f t="shared" si="20"/>
        <v>10</v>
      </c>
      <c r="Q403" s="503">
        <f t="shared" si="21"/>
        <v>10</v>
      </c>
      <c r="R403" s="504" t="str">
        <f t="shared" si="22"/>
        <v>Gastos_custeados_por_captação</v>
      </c>
      <c r="S403" s="504" t="str">
        <f>IF(D403="","",IF(OR(D403=Plano!$A$1,D403=Plano!$B$1),"entrada","saída"))</f>
        <v>saída</v>
      </c>
      <c r="T403" s="511" t="s">
        <v>114</v>
      </c>
      <c r="U403" s="511" t="s">
        <v>114</v>
      </c>
      <c r="V403" s="541"/>
    </row>
    <row r="404" spans="1:22" s="544" customFormat="1" ht="50.1" customHeight="1" x14ac:dyDescent="0.2">
      <c r="A404" s="619">
        <f>IF(B404="","",COUNT('Diário 5º PA'!$A$5:$A$2634)+COUNT('Diário 6º PA'!$A$5:$A$2246)+COUNT('Diário 7º PA'!$A$5:$A$2271)+ROW()-4)</f>
        <v>4350</v>
      </c>
      <c r="B404" s="620">
        <v>44487</v>
      </c>
      <c r="C404" s="621">
        <v>44470</v>
      </c>
      <c r="D404" s="548" t="s">
        <v>104</v>
      </c>
      <c r="E404" s="548" t="s">
        <v>104</v>
      </c>
      <c r="F404" s="622">
        <v>795.4</v>
      </c>
      <c r="G404" s="623" t="s">
        <v>6936</v>
      </c>
      <c r="H404" s="548" t="s">
        <v>104</v>
      </c>
      <c r="I404" s="583" t="s">
        <v>6937</v>
      </c>
      <c r="J404" s="548" t="s">
        <v>933</v>
      </c>
      <c r="K404" s="583" t="s">
        <v>991</v>
      </c>
      <c r="L404" s="583" t="s">
        <v>992</v>
      </c>
      <c r="M404" s="625">
        <v>9858</v>
      </c>
      <c r="N404" s="620">
        <v>44487</v>
      </c>
      <c r="O404" s="684" t="s">
        <v>5505</v>
      </c>
      <c r="P404" s="503">
        <f t="shared" si="20"/>
        <v>10</v>
      </c>
      <c r="Q404" s="503">
        <f t="shared" si="21"/>
        <v>10</v>
      </c>
      <c r="R404" s="504" t="str">
        <f t="shared" si="22"/>
        <v>Gastos_custeados_por_captação</v>
      </c>
      <c r="S404" s="504" t="str">
        <f>IF(D404="","",IF(OR(D404=Plano!$A$1,D404=Plano!$B$1),"entrada","saída"))</f>
        <v>saída</v>
      </c>
      <c r="T404" s="511" t="s">
        <v>1417</v>
      </c>
      <c r="U404" s="511">
        <v>2272</v>
      </c>
      <c r="V404" s="541"/>
    </row>
    <row r="405" spans="1:22" s="544" customFormat="1" ht="50.1" customHeight="1" x14ac:dyDescent="0.2">
      <c r="A405" s="619">
        <f>IF(B405="","",COUNT('Diário 5º PA'!$A$5:$A$2634)+COUNT('Diário 6º PA'!$A$5:$A$2246)+COUNT('Diário 7º PA'!$A$5:$A$2271)+ROW()-4)</f>
        <v>4351</v>
      </c>
      <c r="B405" s="620">
        <v>44487</v>
      </c>
      <c r="C405" s="621">
        <v>44470</v>
      </c>
      <c r="D405" s="548" t="s">
        <v>104</v>
      </c>
      <c r="E405" s="548" t="s">
        <v>104</v>
      </c>
      <c r="F405" s="622">
        <v>2394</v>
      </c>
      <c r="G405" s="623" t="s">
        <v>6938</v>
      </c>
      <c r="H405" s="548" t="s">
        <v>104</v>
      </c>
      <c r="I405" s="583" t="s">
        <v>6939</v>
      </c>
      <c r="J405" s="548" t="s">
        <v>6941</v>
      </c>
      <c r="K405" s="583" t="s">
        <v>991</v>
      </c>
      <c r="L405" s="583" t="s">
        <v>992</v>
      </c>
      <c r="M405" s="625" t="s">
        <v>6940</v>
      </c>
      <c r="N405" s="620">
        <v>44440</v>
      </c>
      <c r="O405" s="684" t="s">
        <v>5505</v>
      </c>
      <c r="P405" s="503">
        <f t="shared" si="20"/>
        <v>10</v>
      </c>
      <c r="Q405" s="503">
        <f t="shared" si="21"/>
        <v>10</v>
      </c>
      <c r="R405" s="504" t="str">
        <f t="shared" si="22"/>
        <v>Gastos_custeados_por_captação</v>
      </c>
      <c r="S405" s="504" t="str">
        <f>IF(D405="","",IF(OR(D405=Plano!$A$1,D405=Plano!$B$1),"entrada","saída"))</f>
        <v>saída</v>
      </c>
      <c r="T405" s="511" t="s">
        <v>994</v>
      </c>
      <c r="U405" s="511">
        <v>1905</v>
      </c>
      <c r="V405" s="541"/>
    </row>
    <row r="406" spans="1:22" ht="100.5" customHeight="1" x14ac:dyDescent="0.2">
      <c r="A406" s="619">
        <f>IF(B406="","",COUNT('Diário 5º PA'!$A$5:$A$2634)+COUNT('Diário 6º PA'!$A$5:$A$2246)+COUNT('Diário 7º PA'!$A$5:$A$2271)+ROW()-4)</f>
        <v>4352</v>
      </c>
      <c r="B406" s="620">
        <v>44488</v>
      </c>
      <c r="C406" s="624">
        <v>44440</v>
      </c>
      <c r="D406" s="548" t="s">
        <v>99</v>
      </c>
      <c r="E406" s="548" t="s">
        <v>262</v>
      </c>
      <c r="F406" s="622">
        <v>-760.61</v>
      </c>
      <c r="G406" s="623" t="s">
        <v>5835</v>
      </c>
      <c r="H406" s="548" t="s">
        <v>115</v>
      </c>
      <c r="I406" s="583" t="s">
        <v>983</v>
      </c>
      <c r="J406" s="548" t="s">
        <v>850</v>
      </c>
      <c r="K406" s="583" t="s">
        <v>946</v>
      </c>
      <c r="L406" s="583" t="s">
        <v>947</v>
      </c>
      <c r="M406" s="619" t="s">
        <v>114</v>
      </c>
      <c r="N406" s="620">
        <v>44488</v>
      </c>
      <c r="O406" s="684" t="s">
        <v>67</v>
      </c>
      <c r="P406" s="503">
        <f t="shared" si="20"/>
        <v>10</v>
      </c>
      <c r="Q406" s="503">
        <f t="shared" si="21"/>
        <v>9</v>
      </c>
      <c r="R406" s="504" t="str">
        <f t="shared" si="22"/>
        <v>Gastos_Gerais</v>
      </c>
      <c r="S406" s="504" t="str">
        <f>IF(D406="","",IF(OR(D406=Plano!$A$1,D406=Plano!$B$1),"entrada","saída"))</f>
        <v>saída</v>
      </c>
      <c r="T406" s="511" t="s">
        <v>114</v>
      </c>
      <c r="U406" s="511" t="s">
        <v>114</v>
      </c>
      <c r="V406" s="541"/>
    </row>
    <row r="407" spans="1:22" ht="168" customHeight="1" x14ac:dyDescent="0.2">
      <c r="A407" s="619">
        <f>IF(B407="","",COUNT('Diário 5º PA'!$A$5:$A$2634)+COUNT('Diário 6º PA'!$A$5:$A$2246)+COUNT('Diário 7º PA'!$A$5:$A$2271)+ROW()-4)</f>
        <v>4353</v>
      </c>
      <c r="B407" s="620">
        <v>44488</v>
      </c>
      <c r="C407" s="624">
        <v>44440</v>
      </c>
      <c r="D407" s="548" t="s">
        <v>99</v>
      </c>
      <c r="E407" s="548" t="s">
        <v>358</v>
      </c>
      <c r="F407" s="622">
        <v>1998.6</v>
      </c>
      <c r="G407" s="623" t="s">
        <v>739</v>
      </c>
      <c r="H407" s="548" t="s">
        <v>131</v>
      </c>
      <c r="I407" s="583" t="s">
        <v>5185</v>
      </c>
      <c r="J407" s="548" t="s">
        <v>740</v>
      </c>
      <c r="K407" s="583" t="s">
        <v>1015</v>
      </c>
      <c r="L407" s="583" t="s">
        <v>1029</v>
      </c>
      <c r="M407" s="619">
        <v>1387</v>
      </c>
      <c r="N407" s="620">
        <v>44487</v>
      </c>
      <c r="O407" s="684" t="s">
        <v>67</v>
      </c>
      <c r="P407" s="503">
        <f t="shared" si="20"/>
        <v>10</v>
      </c>
      <c r="Q407" s="503">
        <f t="shared" si="21"/>
        <v>9</v>
      </c>
      <c r="R407" s="504" t="str">
        <f t="shared" si="22"/>
        <v>Gastos_Gerais</v>
      </c>
      <c r="S407" s="504" t="str">
        <f>IF(D407="","",IF(OR(D407=Plano!$A$1,D407=Plano!$B$1),"entrada","saída"))</f>
        <v>saída</v>
      </c>
      <c r="T407" s="505" t="s">
        <v>1059</v>
      </c>
      <c r="U407" s="505">
        <v>1914</v>
      </c>
      <c r="V407" s="541"/>
    </row>
    <row r="408" spans="1:22" ht="151.5" customHeight="1" x14ac:dyDescent="0.2">
      <c r="A408" s="619">
        <f>IF(B408="","",COUNT('Diário 5º PA'!$A$5:$A$2634)+COUNT('Diário 6º PA'!$A$5:$A$2246)+COUNT('Diário 7º PA'!$A$5:$A$2271)+ROW()-4)</f>
        <v>4354</v>
      </c>
      <c r="B408" s="620">
        <v>44488</v>
      </c>
      <c r="C408" s="624">
        <v>44440</v>
      </c>
      <c r="D408" s="548" t="s">
        <v>99</v>
      </c>
      <c r="E408" s="548" t="s">
        <v>358</v>
      </c>
      <c r="F408" s="622">
        <v>1998.6</v>
      </c>
      <c r="G408" s="623" t="s">
        <v>742</v>
      </c>
      <c r="H408" s="548" t="s">
        <v>131</v>
      </c>
      <c r="I408" s="583" t="s">
        <v>5190</v>
      </c>
      <c r="J408" s="548" t="s">
        <v>743</v>
      </c>
      <c r="K408" s="583" t="s">
        <v>1015</v>
      </c>
      <c r="L408" s="583" t="s">
        <v>1029</v>
      </c>
      <c r="M408" s="619">
        <v>1386</v>
      </c>
      <c r="N408" s="620">
        <v>44487</v>
      </c>
      <c r="O408" s="684" t="s">
        <v>67</v>
      </c>
      <c r="P408" s="503">
        <f t="shared" si="20"/>
        <v>10</v>
      </c>
      <c r="Q408" s="503">
        <f t="shared" si="21"/>
        <v>9</v>
      </c>
      <c r="R408" s="504" t="str">
        <f t="shared" si="22"/>
        <v>Gastos_Gerais</v>
      </c>
      <c r="S408" s="504" t="str">
        <f>IF(D408="","",IF(OR(D408=Plano!$A$1,D408=Plano!$B$1),"entrada","saída"))</f>
        <v>saída</v>
      </c>
      <c r="T408" s="505" t="s">
        <v>1059</v>
      </c>
      <c r="U408" s="505">
        <v>1915</v>
      </c>
      <c r="V408" s="541"/>
    </row>
    <row r="409" spans="1:22" ht="168" customHeight="1" x14ac:dyDescent="0.2">
      <c r="A409" s="619">
        <f>IF(B409="","",COUNT('Diário 5º PA'!$A$5:$A$2634)+COUNT('Diário 6º PA'!$A$5:$A$2246)+COUNT('Diário 7º PA'!$A$5:$A$2271)+ROW()-4)</f>
        <v>4355</v>
      </c>
      <c r="B409" s="620">
        <v>44488</v>
      </c>
      <c r="C409" s="624">
        <v>44470</v>
      </c>
      <c r="D409" s="548" t="s">
        <v>99</v>
      </c>
      <c r="E409" s="548" t="s">
        <v>358</v>
      </c>
      <c r="F409" s="622">
        <v>1998.6</v>
      </c>
      <c r="G409" s="623" t="s">
        <v>744</v>
      </c>
      <c r="H409" s="548" t="s">
        <v>131</v>
      </c>
      <c r="I409" s="583" t="s">
        <v>5167</v>
      </c>
      <c r="J409" s="548" t="s">
        <v>745</v>
      </c>
      <c r="K409" s="583" t="s">
        <v>991</v>
      </c>
      <c r="L409" s="583" t="s">
        <v>1029</v>
      </c>
      <c r="M409" s="619">
        <v>1388</v>
      </c>
      <c r="N409" s="620">
        <v>44487</v>
      </c>
      <c r="O409" s="684" t="s">
        <v>67</v>
      </c>
      <c r="P409" s="503">
        <f t="shared" si="20"/>
        <v>10</v>
      </c>
      <c r="Q409" s="503">
        <f t="shared" si="21"/>
        <v>10</v>
      </c>
      <c r="R409" s="504" t="str">
        <f t="shared" si="22"/>
        <v>Gastos_Gerais</v>
      </c>
      <c r="S409" s="504" t="str">
        <f>IF(D409="","",IF(OR(D409=Plano!$A$1,D409=Plano!$B$1),"entrada","saída"))</f>
        <v>saída</v>
      </c>
      <c r="T409" s="505" t="s">
        <v>1059</v>
      </c>
      <c r="U409" s="505">
        <v>1916</v>
      </c>
      <c r="V409" s="541"/>
    </row>
    <row r="410" spans="1:22" ht="90.75" customHeight="1" x14ac:dyDescent="0.2">
      <c r="A410" s="619">
        <f>IF(B410="","",COUNT('Diário 5º PA'!$A$5:$A$2634)+COUNT('Diário 6º PA'!$A$5:$A$2246)+COUNT('Diário 7º PA'!$A$5:$A$2271)+ROW()-4)</f>
        <v>4356</v>
      </c>
      <c r="B410" s="620">
        <v>44488</v>
      </c>
      <c r="C410" s="628">
        <v>44470</v>
      </c>
      <c r="D410" s="548" t="s">
        <v>99</v>
      </c>
      <c r="E410" s="548" t="s">
        <v>336</v>
      </c>
      <c r="F410" s="622">
        <v>2075.92</v>
      </c>
      <c r="G410" s="623" t="s">
        <v>5569</v>
      </c>
      <c r="H410" s="548" t="s">
        <v>116</v>
      </c>
      <c r="I410" s="583" t="s">
        <v>5845</v>
      </c>
      <c r="J410" s="548" t="s">
        <v>5570</v>
      </c>
      <c r="K410" s="583" t="s">
        <v>991</v>
      </c>
      <c r="L410" s="583" t="s">
        <v>1901</v>
      </c>
      <c r="M410" s="619">
        <v>1385</v>
      </c>
      <c r="N410" s="620">
        <v>44487</v>
      </c>
      <c r="O410" s="684" t="s">
        <v>67</v>
      </c>
      <c r="P410" s="503">
        <f t="shared" si="20"/>
        <v>10</v>
      </c>
      <c r="Q410" s="503">
        <f t="shared" si="21"/>
        <v>10</v>
      </c>
      <c r="R410" s="504" t="str">
        <f t="shared" si="22"/>
        <v>Gastos_Gerais</v>
      </c>
      <c r="S410" s="504" t="str">
        <f>IF(D410="","",IF(OR(D410=Plano!$A$1,D410=Plano!$B$1),"entrada","saída"))</f>
        <v>saída</v>
      </c>
      <c r="T410" s="505" t="s">
        <v>994</v>
      </c>
      <c r="U410" s="505">
        <v>2173</v>
      </c>
      <c r="V410" s="541"/>
    </row>
    <row r="411" spans="1:22" ht="81.75" customHeight="1" x14ac:dyDescent="0.2">
      <c r="A411" s="619">
        <f>IF(B411="","",COUNT('Diário 5º PA'!$A$5:$A$2634)+COUNT('Diário 6º PA'!$A$5:$A$2246)+COUNT('Diário 7º PA'!$A$5:$A$2271)+ROW()-4)</f>
        <v>4357</v>
      </c>
      <c r="B411" s="620">
        <v>44488</v>
      </c>
      <c r="C411" s="624">
        <v>44440</v>
      </c>
      <c r="D411" s="548" t="s">
        <v>99</v>
      </c>
      <c r="E411" s="548" t="s">
        <v>364</v>
      </c>
      <c r="F411" s="622">
        <v>1000</v>
      </c>
      <c r="G411" s="623" t="s">
        <v>5175</v>
      </c>
      <c r="H411" s="548" t="s">
        <v>116</v>
      </c>
      <c r="I411" s="583" t="s">
        <v>5221</v>
      </c>
      <c r="J411" s="548" t="s">
        <v>812</v>
      </c>
      <c r="K411" s="583" t="s">
        <v>991</v>
      </c>
      <c r="L411" s="583" t="s">
        <v>992</v>
      </c>
      <c r="M411" s="619" t="s">
        <v>1299</v>
      </c>
      <c r="N411" s="620">
        <v>44487</v>
      </c>
      <c r="O411" s="684" t="s">
        <v>67</v>
      </c>
      <c r="P411" s="503">
        <f t="shared" si="20"/>
        <v>10</v>
      </c>
      <c r="Q411" s="503">
        <f t="shared" si="21"/>
        <v>9</v>
      </c>
      <c r="R411" s="504" t="str">
        <f t="shared" si="22"/>
        <v>Gastos_Gerais</v>
      </c>
      <c r="S411" s="504" t="str">
        <f>IF(D411="","",IF(OR(D411=Plano!$A$1,D411=Plano!$B$1),"entrada","saída"))</f>
        <v>saída</v>
      </c>
      <c r="T411" s="505" t="s">
        <v>994</v>
      </c>
      <c r="U411" s="505">
        <v>2067</v>
      </c>
      <c r="V411" s="541"/>
    </row>
    <row r="412" spans="1:22" ht="166.5" customHeight="1" x14ac:dyDescent="0.2">
      <c r="A412" s="619">
        <f>IF(B412="","",COUNT('Diário 5º PA'!$A$5:$A$2634)+COUNT('Diário 6º PA'!$A$5:$A$2246)+COUNT('Diário 7º PA'!$A$5:$A$2271)+ROW()-4)</f>
        <v>4358</v>
      </c>
      <c r="B412" s="620">
        <v>44488</v>
      </c>
      <c r="C412" s="624">
        <v>44440</v>
      </c>
      <c r="D412" s="548" t="s">
        <v>99</v>
      </c>
      <c r="E412" s="548" t="s">
        <v>262</v>
      </c>
      <c r="F412" s="622">
        <v>2058.6</v>
      </c>
      <c r="G412" s="623" t="s">
        <v>5215</v>
      </c>
      <c r="H412" s="548" t="s">
        <v>115</v>
      </c>
      <c r="I412" s="583" t="s">
        <v>1446</v>
      </c>
      <c r="J412" s="548" t="s">
        <v>660</v>
      </c>
      <c r="K412" s="583" t="s">
        <v>991</v>
      </c>
      <c r="L412" s="583" t="s">
        <v>1029</v>
      </c>
      <c r="M412" s="619">
        <v>1390</v>
      </c>
      <c r="N412" s="620">
        <v>44488</v>
      </c>
      <c r="O412" s="684" t="s">
        <v>67</v>
      </c>
      <c r="P412" s="503">
        <f t="shared" si="20"/>
        <v>10</v>
      </c>
      <c r="Q412" s="503">
        <f t="shared" si="21"/>
        <v>9</v>
      </c>
      <c r="R412" s="504" t="str">
        <f t="shared" si="22"/>
        <v>Gastos_Gerais</v>
      </c>
      <c r="S412" s="504" t="str">
        <f>IF(D412="","",IF(OR(D412=Plano!$A$1,D412=Plano!$B$1),"entrada","saída"))</f>
        <v>saída</v>
      </c>
      <c r="T412" s="505" t="s">
        <v>1082</v>
      </c>
      <c r="U412" s="505">
        <v>1559</v>
      </c>
      <c r="V412" s="541"/>
    </row>
    <row r="413" spans="1:22" ht="132.75" customHeight="1" x14ac:dyDescent="0.2">
      <c r="A413" s="619">
        <f>IF(B413="","",COUNT('Diário 5º PA'!$A$5:$A$2634)+COUNT('Diário 6º PA'!$A$5:$A$2246)+COUNT('Diário 7º PA'!$A$5:$A$2271)+ROW()-4)</f>
        <v>4359</v>
      </c>
      <c r="B413" s="620">
        <v>44488</v>
      </c>
      <c r="C413" s="624">
        <v>44440</v>
      </c>
      <c r="D413" s="548" t="s">
        <v>99</v>
      </c>
      <c r="E413" s="548" t="s">
        <v>370</v>
      </c>
      <c r="F413" s="622">
        <v>4656.96</v>
      </c>
      <c r="G413" s="623" t="s">
        <v>928</v>
      </c>
      <c r="H413" s="548" t="s">
        <v>116</v>
      </c>
      <c r="I413" s="583" t="s">
        <v>1140</v>
      </c>
      <c r="J413" s="548" t="s">
        <v>929</v>
      </c>
      <c r="K413" s="583" t="s">
        <v>991</v>
      </c>
      <c r="L413" s="583" t="s">
        <v>992</v>
      </c>
      <c r="M413" s="619">
        <v>191</v>
      </c>
      <c r="N413" s="620">
        <v>44488</v>
      </c>
      <c r="O413" s="684" t="s">
        <v>67</v>
      </c>
      <c r="P413" s="503">
        <f t="shared" si="20"/>
        <v>10</v>
      </c>
      <c r="Q413" s="503">
        <f t="shared" si="21"/>
        <v>9</v>
      </c>
      <c r="R413" s="504" t="str">
        <f t="shared" si="22"/>
        <v>Gastos_Gerais</v>
      </c>
      <c r="S413" s="504" t="str">
        <f>IF(D413="","",IF(OR(D413=Plano!$A$1,D413=Plano!$B$1),"entrada","saída"))</f>
        <v>saída</v>
      </c>
      <c r="T413" s="505" t="s">
        <v>994</v>
      </c>
      <c r="U413" s="505">
        <v>2066</v>
      </c>
      <c r="V413" s="541"/>
    </row>
    <row r="414" spans="1:22" ht="45" customHeight="1" x14ac:dyDescent="0.2">
      <c r="A414" s="619">
        <f>IF(B414="","",COUNT('Diário 5º PA'!$A$5:$A$2634)+COUNT('Diário 6º PA'!$A$5:$A$2246)+COUNT('Diário 7º PA'!$A$5:$A$2271)+ROW()-4)</f>
        <v>4360</v>
      </c>
      <c r="B414" s="620">
        <v>44488</v>
      </c>
      <c r="C414" s="621">
        <v>44470</v>
      </c>
      <c r="D414" s="548" t="s">
        <v>99</v>
      </c>
      <c r="E414" s="548" t="s">
        <v>272</v>
      </c>
      <c r="F414" s="622">
        <v>10.45</v>
      </c>
      <c r="G414" s="623" t="s">
        <v>5853</v>
      </c>
      <c r="H414" s="548" t="s">
        <v>131</v>
      </c>
      <c r="I414" s="583" t="s">
        <v>949</v>
      </c>
      <c r="J414" s="548" t="s">
        <v>950</v>
      </c>
      <c r="K414" s="583" t="s">
        <v>951</v>
      </c>
      <c r="L414" s="583" t="s">
        <v>947</v>
      </c>
      <c r="M414" s="625" t="s">
        <v>114</v>
      </c>
      <c r="N414" s="620">
        <v>44488</v>
      </c>
      <c r="O414" s="684" t="s">
        <v>67</v>
      </c>
      <c r="P414" s="503">
        <f t="shared" si="20"/>
        <v>10</v>
      </c>
      <c r="Q414" s="503">
        <f t="shared" si="21"/>
        <v>10</v>
      </c>
      <c r="R414" s="504" t="str">
        <f t="shared" si="22"/>
        <v>Gastos_Gerais</v>
      </c>
      <c r="S414" s="504" t="str">
        <f>IF(D414="","",IF(OR(D414=Plano!$A$1,D414=Plano!$B$1),"entrada","saída"))</f>
        <v>saída</v>
      </c>
      <c r="T414" s="511" t="s">
        <v>114</v>
      </c>
      <c r="U414" s="511" t="s">
        <v>114</v>
      </c>
      <c r="V414" s="541"/>
    </row>
    <row r="415" spans="1:22" ht="45" customHeight="1" x14ac:dyDescent="0.2">
      <c r="A415" s="619">
        <f>IF(B415="","",COUNT('Diário 5º PA'!$A$5:$A$2634)+COUNT('Diário 6º PA'!$A$5:$A$2246)+COUNT('Diário 7º PA'!$A$5:$A$2271)+ROW()-4)</f>
        <v>4361</v>
      </c>
      <c r="B415" s="620">
        <v>44488</v>
      </c>
      <c r="C415" s="621">
        <v>44470</v>
      </c>
      <c r="D415" s="548" t="s">
        <v>99</v>
      </c>
      <c r="E415" s="548" t="s">
        <v>272</v>
      </c>
      <c r="F415" s="622">
        <v>10.45</v>
      </c>
      <c r="G415" s="623" t="s">
        <v>5854</v>
      </c>
      <c r="H415" s="548" t="s">
        <v>116</v>
      </c>
      <c r="I415" s="583" t="s">
        <v>949</v>
      </c>
      <c r="J415" s="548" t="s">
        <v>950</v>
      </c>
      <c r="K415" s="583" t="s">
        <v>951</v>
      </c>
      <c r="L415" s="583" t="s">
        <v>947</v>
      </c>
      <c r="M415" s="625" t="s">
        <v>114</v>
      </c>
      <c r="N415" s="620">
        <v>44488</v>
      </c>
      <c r="O415" s="684" t="s">
        <v>67</v>
      </c>
      <c r="P415" s="503">
        <f t="shared" si="20"/>
        <v>10</v>
      </c>
      <c r="Q415" s="503">
        <f t="shared" si="21"/>
        <v>10</v>
      </c>
      <c r="R415" s="504" t="str">
        <f t="shared" si="22"/>
        <v>Gastos_Gerais</v>
      </c>
      <c r="S415" s="504" t="str">
        <f>IF(D415="","",IF(OR(D415=Plano!$A$1,D415=Plano!$B$1),"entrada","saída"))</f>
        <v>saída</v>
      </c>
      <c r="T415" s="511" t="s">
        <v>114</v>
      </c>
      <c r="U415" s="511" t="s">
        <v>114</v>
      </c>
      <c r="V415" s="541"/>
    </row>
    <row r="416" spans="1:22" ht="45" customHeight="1" x14ac:dyDescent="0.2">
      <c r="A416" s="619">
        <f>IF(B416="","",COUNT('Diário 5º PA'!$A$5:$A$2634)+COUNT('Diário 6º PA'!$A$5:$A$2246)+COUNT('Diário 7º PA'!$A$5:$A$2271)+ROW()-4)</f>
        <v>4362</v>
      </c>
      <c r="B416" s="620">
        <v>44488</v>
      </c>
      <c r="C416" s="621">
        <v>44470</v>
      </c>
      <c r="D416" s="548" t="s">
        <v>99</v>
      </c>
      <c r="E416" s="548" t="s">
        <v>272</v>
      </c>
      <c r="F416" s="622">
        <v>10.45</v>
      </c>
      <c r="G416" s="623" t="s">
        <v>5855</v>
      </c>
      <c r="H416" s="548" t="s">
        <v>116</v>
      </c>
      <c r="I416" s="583" t="s">
        <v>949</v>
      </c>
      <c r="J416" s="548" t="s">
        <v>950</v>
      </c>
      <c r="K416" s="583" t="s">
        <v>951</v>
      </c>
      <c r="L416" s="583" t="s">
        <v>947</v>
      </c>
      <c r="M416" s="625" t="s">
        <v>114</v>
      </c>
      <c r="N416" s="620">
        <v>44488</v>
      </c>
      <c r="O416" s="684" t="s">
        <v>67</v>
      </c>
      <c r="P416" s="503">
        <f t="shared" si="20"/>
        <v>10</v>
      </c>
      <c r="Q416" s="503">
        <f t="shared" si="21"/>
        <v>10</v>
      </c>
      <c r="R416" s="504" t="str">
        <f t="shared" si="22"/>
        <v>Gastos_Gerais</v>
      </c>
      <c r="S416" s="504" t="str">
        <f>IF(D416="","",IF(OR(D416=Plano!$A$1,D416=Plano!$B$1),"entrada","saída"))</f>
        <v>saída</v>
      </c>
      <c r="T416" s="511" t="s">
        <v>114</v>
      </c>
      <c r="U416" s="511" t="s">
        <v>114</v>
      </c>
      <c r="V416" s="541"/>
    </row>
    <row r="417" spans="1:22" ht="45" customHeight="1" x14ac:dyDescent="0.2">
      <c r="A417" s="619">
        <f>IF(B417="","",COUNT('Diário 5º PA'!$A$5:$A$2634)+COUNT('Diário 6º PA'!$A$5:$A$2246)+COUNT('Diário 7º PA'!$A$5:$A$2271)+ROW()-4)</f>
        <v>4363</v>
      </c>
      <c r="B417" s="620">
        <v>44488</v>
      </c>
      <c r="C417" s="621">
        <v>44470</v>
      </c>
      <c r="D417" s="548" t="s">
        <v>99</v>
      </c>
      <c r="E417" s="548" t="s">
        <v>272</v>
      </c>
      <c r="F417" s="622">
        <v>10.45</v>
      </c>
      <c r="G417" s="623" t="s">
        <v>5856</v>
      </c>
      <c r="H417" s="548" t="s">
        <v>115</v>
      </c>
      <c r="I417" s="583" t="s">
        <v>949</v>
      </c>
      <c r="J417" s="548" t="s">
        <v>950</v>
      </c>
      <c r="K417" s="583" t="s">
        <v>951</v>
      </c>
      <c r="L417" s="583" t="s">
        <v>947</v>
      </c>
      <c r="M417" s="625" t="s">
        <v>114</v>
      </c>
      <c r="N417" s="620">
        <v>44488</v>
      </c>
      <c r="O417" s="684" t="s">
        <v>67</v>
      </c>
      <c r="P417" s="503">
        <f t="shared" si="20"/>
        <v>10</v>
      </c>
      <c r="Q417" s="503">
        <f t="shared" si="21"/>
        <v>10</v>
      </c>
      <c r="R417" s="504" t="str">
        <f t="shared" si="22"/>
        <v>Gastos_Gerais</v>
      </c>
      <c r="S417" s="504" t="str">
        <f>IF(D417="","",IF(OR(D417=Plano!$A$1,D417=Plano!$B$1),"entrada","saída"))</f>
        <v>saída</v>
      </c>
      <c r="T417" s="511" t="s">
        <v>114</v>
      </c>
      <c r="U417" s="511" t="s">
        <v>114</v>
      </c>
      <c r="V417" s="541"/>
    </row>
    <row r="418" spans="1:22" ht="45" customHeight="1" x14ac:dyDescent="0.2">
      <c r="A418" s="619">
        <f>IF(B418="","",COUNT('Diário 5º PA'!$A$5:$A$2634)+COUNT('Diário 6º PA'!$A$5:$A$2246)+COUNT('Diário 7º PA'!$A$5:$A$2271)+ROW()-4)</f>
        <v>4364</v>
      </c>
      <c r="B418" s="620">
        <v>44488</v>
      </c>
      <c r="C418" s="621">
        <v>44470</v>
      </c>
      <c r="D418" s="548" t="s">
        <v>99</v>
      </c>
      <c r="E418" s="548" t="s">
        <v>272</v>
      </c>
      <c r="F418" s="622">
        <v>10.45</v>
      </c>
      <c r="G418" s="623" t="s">
        <v>5857</v>
      </c>
      <c r="H418" s="548" t="s">
        <v>116</v>
      </c>
      <c r="I418" s="583" t="s">
        <v>949</v>
      </c>
      <c r="J418" s="548" t="s">
        <v>950</v>
      </c>
      <c r="K418" s="583" t="s">
        <v>951</v>
      </c>
      <c r="L418" s="583" t="s">
        <v>947</v>
      </c>
      <c r="M418" s="619" t="s">
        <v>114</v>
      </c>
      <c r="N418" s="620">
        <v>44488</v>
      </c>
      <c r="O418" s="684" t="s">
        <v>67</v>
      </c>
      <c r="P418" s="503">
        <f t="shared" si="20"/>
        <v>10</v>
      </c>
      <c r="Q418" s="503">
        <f t="shared" si="21"/>
        <v>10</v>
      </c>
      <c r="R418" s="504" t="str">
        <f t="shared" si="22"/>
        <v>Gastos_Gerais</v>
      </c>
      <c r="S418" s="504" t="str">
        <f>IF(D418="","",IF(OR(D418=Plano!$A$1,D418=Plano!$B$1),"entrada","saída"))</f>
        <v>saída</v>
      </c>
      <c r="T418" s="505" t="s">
        <v>114</v>
      </c>
      <c r="U418" s="505" t="s">
        <v>114</v>
      </c>
      <c r="V418" s="541"/>
    </row>
    <row r="419" spans="1:22" ht="75.75" customHeight="1" x14ac:dyDescent="0.2">
      <c r="A419" s="619">
        <f>IF(B419="","",COUNT('Diário 5º PA'!$A$5:$A$2634)+COUNT('Diário 6º PA'!$A$5:$A$2246)+COUNT('Diário 7º PA'!$A$5:$A$2271)+ROW()-4)</f>
        <v>4365</v>
      </c>
      <c r="B419" s="620">
        <v>44488</v>
      </c>
      <c r="C419" s="621">
        <v>44470</v>
      </c>
      <c r="D419" s="548" t="s">
        <v>99</v>
      </c>
      <c r="E419" s="548" t="s">
        <v>272</v>
      </c>
      <c r="F419" s="622">
        <v>10.45</v>
      </c>
      <c r="G419" s="623" t="s">
        <v>5872</v>
      </c>
      <c r="H419" s="548" t="s">
        <v>135</v>
      </c>
      <c r="I419" s="583" t="s">
        <v>949</v>
      </c>
      <c r="J419" s="548" t="s">
        <v>950</v>
      </c>
      <c r="K419" s="583" t="s">
        <v>951</v>
      </c>
      <c r="L419" s="583" t="s">
        <v>947</v>
      </c>
      <c r="M419" s="619" t="s">
        <v>114</v>
      </c>
      <c r="N419" s="620">
        <v>44488</v>
      </c>
      <c r="O419" s="684" t="s">
        <v>67</v>
      </c>
      <c r="P419" s="503">
        <f t="shared" si="20"/>
        <v>10</v>
      </c>
      <c r="Q419" s="503">
        <f t="shared" si="21"/>
        <v>10</v>
      </c>
      <c r="R419" s="504" t="str">
        <f t="shared" si="22"/>
        <v>Gastos_Gerais</v>
      </c>
      <c r="S419" s="504" t="str">
        <f>IF(D419="","",IF(OR(D419=Plano!$A$1,D419=Plano!$B$1),"entrada","saída"))</f>
        <v>saída</v>
      </c>
      <c r="T419" s="505" t="s">
        <v>114</v>
      </c>
      <c r="U419" s="505" t="s">
        <v>114</v>
      </c>
      <c r="V419" s="541"/>
    </row>
    <row r="420" spans="1:22" s="544" customFormat="1" ht="75.75" customHeight="1" x14ac:dyDescent="0.2">
      <c r="A420" s="619">
        <f>IF(B420="","",COUNT('Diário 5º PA'!$A$5:$A$2634)+COUNT('Diário 6º PA'!$A$5:$A$2246)+COUNT('Diário 7º PA'!$A$5:$A$2271)+ROW()-4)</f>
        <v>4366</v>
      </c>
      <c r="B420" s="620">
        <v>44488</v>
      </c>
      <c r="C420" s="624">
        <v>44378</v>
      </c>
      <c r="D420" s="548" t="s">
        <v>104</v>
      </c>
      <c r="E420" s="548" t="s">
        <v>104</v>
      </c>
      <c r="F420" s="622">
        <v>12502.68</v>
      </c>
      <c r="G420" s="623" t="s">
        <v>701</v>
      </c>
      <c r="H420" s="548" t="s">
        <v>104</v>
      </c>
      <c r="I420" s="583" t="s">
        <v>6916</v>
      </c>
      <c r="J420" s="548" t="s">
        <v>702</v>
      </c>
      <c r="K420" s="583" t="s">
        <v>991</v>
      </c>
      <c r="L420" s="583" t="s">
        <v>992</v>
      </c>
      <c r="M420" s="619" t="s">
        <v>2354</v>
      </c>
      <c r="N420" s="620">
        <v>44487</v>
      </c>
      <c r="O420" s="684" t="s">
        <v>5377</v>
      </c>
      <c r="P420" s="503">
        <f t="shared" si="20"/>
        <v>10</v>
      </c>
      <c r="Q420" s="503">
        <f t="shared" si="21"/>
        <v>7</v>
      </c>
      <c r="R420" s="504" t="str">
        <f t="shared" si="22"/>
        <v>Gastos_custeados_por_captação</v>
      </c>
      <c r="S420" s="504" t="str">
        <f>IF(D420="","",IF(OR(D420=Plano!$A$1,D420=Plano!$B$1),"entrada","saída"))</f>
        <v>saída</v>
      </c>
      <c r="T420" s="505" t="s">
        <v>994</v>
      </c>
      <c r="U420" s="505">
        <v>1818</v>
      </c>
      <c r="V420" s="541"/>
    </row>
    <row r="421" spans="1:22" s="545" customFormat="1" ht="75.75" customHeight="1" x14ac:dyDescent="0.2">
      <c r="A421" s="619">
        <f>IF(B421="","",COUNT('Diário 5º PA'!$A$5:$A$2634)+COUNT('Diário 6º PA'!$A$5:$A$2246)+COUNT('Diário 7º PA'!$A$5:$A$2271)+ROW()-4)</f>
        <v>4367</v>
      </c>
      <c r="B421" s="620">
        <v>44488</v>
      </c>
      <c r="C421" s="624">
        <v>44470</v>
      </c>
      <c r="D421" s="548" t="s">
        <v>104</v>
      </c>
      <c r="E421" s="548" t="s">
        <v>104</v>
      </c>
      <c r="F421" s="622">
        <v>224.8</v>
      </c>
      <c r="G421" s="623" t="s">
        <v>6942</v>
      </c>
      <c r="H421" s="548" t="s">
        <v>104</v>
      </c>
      <c r="I421" s="583" t="s">
        <v>6943</v>
      </c>
      <c r="J421" s="548" t="s">
        <v>6944</v>
      </c>
      <c r="K421" s="583" t="s">
        <v>1015</v>
      </c>
      <c r="L421" s="583" t="s">
        <v>992</v>
      </c>
      <c r="M421" s="619">
        <v>22980</v>
      </c>
      <c r="N421" s="620">
        <v>44488</v>
      </c>
      <c r="O421" s="684" t="s">
        <v>5505</v>
      </c>
      <c r="P421" s="503">
        <f t="shared" si="20"/>
        <v>10</v>
      </c>
      <c r="Q421" s="503">
        <f t="shared" si="21"/>
        <v>10</v>
      </c>
      <c r="R421" s="504" t="str">
        <f t="shared" si="22"/>
        <v>Gastos_custeados_por_captação</v>
      </c>
      <c r="S421" s="504" t="str">
        <f>IF(D421="","",IF(OR(D421=Plano!$A$1,D421=Plano!$B$1),"entrada","saída"))</f>
        <v>saída</v>
      </c>
      <c r="T421" s="505" t="s">
        <v>1417</v>
      </c>
      <c r="U421" s="505">
        <v>2278</v>
      </c>
      <c r="V421" s="541"/>
    </row>
    <row r="422" spans="1:22" s="545" customFormat="1" ht="75.75" customHeight="1" x14ac:dyDescent="0.2">
      <c r="A422" s="619">
        <f>IF(B422="","",COUNT('Diário 5º PA'!$A$5:$A$2634)+COUNT('Diário 6º PA'!$A$5:$A$2246)+COUNT('Diário 7º PA'!$A$5:$A$2271)+ROW()-4)</f>
        <v>4368</v>
      </c>
      <c r="B422" s="620">
        <v>44488</v>
      </c>
      <c r="C422" s="624">
        <v>44470</v>
      </c>
      <c r="D422" s="548" t="s">
        <v>104</v>
      </c>
      <c r="E422" s="548" t="s">
        <v>104</v>
      </c>
      <c r="F422" s="622">
        <v>419.6</v>
      </c>
      <c r="G422" s="623" t="s">
        <v>6946</v>
      </c>
      <c r="H422" s="548" t="s">
        <v>104</v>
      </c>
      <c r="I422" s="583" t="s">
        <v>6945</v>
      </c>
      <c r="J422" s="548" t="s">
        <v>6947</v>
      </c>
      <c r="K422" s="583" t="s">
        <v>1015</v>
      </c>
      <c r="L422" s="583" t="s">
        <v>992</v>
      </c>
      <c r="M422" s="619">
        <v>11</v>
      </c>
      <c r="N422" s="620">
        <v>44487</v>
      </c>
      <c r="O422" s="684" t="s">
        <v>5505</v>
      </c>
      <c r="P422" s="503">
        <f t="shared" si="20"/>
        <v>10</v>
      </c>
      <c r="Q422" s="503">
        <f t="shared" si="21"/>
        <v>10</v>
      </c>
      <c r="R422" s="504" t="str">
        <f t="shared" si="22"/>
        <v>Gastos_custeados_por_captação</v>
      </c>
      <c r="S422" s="504" t="str">
        <f>IF(D422="","",IF(OR(D422=Plano!$A$1,D422=Plano!$B$1),"entrada","saída"))</f>
        <v>saída</v>
      </c>
      <c r="T422" s="505" t="s">
        <v>1417</v>
      </c>
      <c r="U422" s="505">
        <v>2282</v>
      </c>
      <c r="V422" s="541"/>
    </row>
    <row r="423" spans="1:22" ht="71.25" customHeight="1" x14ac:dyDescent="0.2">
      <c r="A423" s="619">
        <f>IF(B423="","",COUNT('Diário 5º PA'!$A$5:$A$2634)+COUNT('Diário 6º PA'!$A$5:$A$2246)+COUNT('Diário 7º PA'!$A$5:$A$2271)+ROW()-4)</f>
        <v>4369</v>
      </c>
      <c r="B423" s="620">
        <v>44489</v>
      </c>
      <c r="C423" s="624">
        <v>44440</v>
      </c>
      <c r="D423" s="548" t="s">
        <v>99</v>
      </c>
      <c r="E423" s="548" t="s">
        <v>224</v>
      </c>
      <c r="F423" s="622">
        <v>-86.71</v>
      </c>
      <c r="G423" s="623" t="s">
        <v>5864</v>
      </c>
      <c r="H423" s="548" t="s">
        <v>115</v>
      </c>
      <c r="I423" s="583" t="s">
        <v>983</v>
      </c>
      <c r="J423" s="548" t="s">
        <v>850</v>
      </c>
      <c r="K423" s="583" t="s">
        <v>946</v>
      </c>
      <c r="L423" s="583" t="s">
        <v>947</v>
      </c>
      <c r="M423" s="619" t="s">
        <v>114</v>
      </c>
      <c r="N423" s="620">
        <v>44489</v>
      </c>
      <c r="O423" s="684" t="s">
        <v>67</v>
      </c>
      <c r="P423" s="503">
        <f t="shared" si="20"/>
        <v>10</v>
      </c>
      <c r="Q423" s="503">
        <f t="shared" si="21"/>
        <v>9</v>
      </c>
      <c r="R423" s="504" t="str">
        <f t="shared" si="22"/>
        <v>Gastos_Gerais</v>
      </c>
      <c r="S423" s="504" t="str">
        <f>IF(D423="","",IF(OR(D423=Plano!$A$1,D423=Plano!$B$1),"entrada","saída"))</f>
        <v>saída</v>
      </c>
      <c r="T423" s="505" t="s">
        <v>114</v>
      </c>
      <c r="U423" s="505" t="s">
        <v>114</v>
      </c>
      <c r="V423" s="541"/>
    </row>
    <row r="424" spans="1:22" ht="97.5" customHeight="1" x14ac:dyDescent="0.2">
      <c r="A424" s="619">
        <f>IF(B424="","",COUNT('Diário 5º PA'!$A$5:$A$2634)+COUNT('Diário 6º PA'!$A$5:$A$2246)+COUNT('Diário 7º PA'!$A$5:$A$2271)+ROW()-4)</f>
        <v>4370</v>
      </c>
      <c r="B424" s="620">
        <v>44489</v>
      </c>
      <c r="C424" s="624">
        <v>44440</v>
      </c>
      <c r="D424" s="548" t="s">
        <v>99</v>
      </c>
      <c r="E424" s="548" t="s">
        <v>244</v>
      </c>
      <c r="F424" s="622">
        <v>2910.68</v>
      </c>
      <c r="G424" s="623" t="s">
        <v>616</v>
      </c>
      <c r="H424" s="548" t="s">
        <v>128</v>
      </c>
      <c r="I424" s="583" t="s">
        <v>1490</v>
      </c>
      <c r="J424" s="548" t="s">
        <v>615</v>
      </c>
      <c r="K424" s="583" t="s">
        <v>560</v>
      </c>
      <c r="L424" s="583" t="s">
        <v>992</v>
      </c>
      <c r="M424" s="619" t="s">
        <v>5865</v>
      </c>
      <c r="N424" s="620">
        <v>44476</v>
      </c>
      <c r="O424" s="684" t="s">
        <v>67</v>
      </c>
      <c r="P424" s="503">
        <f t="shared" si="20"/>
        <v>10</v>
      </c>
      <c r="Q424" s="503">
        <f t="shared" si="21"/>
        <v>9</v>
      </c>
      <c r="R424" s="504" t="str">
        <f t="shared" si="22"/>
        <v>Gastos_Gerais</v>
      </c>
      <c r="S424" s="504" t="str">
        <f>IF(D424="","",IF(OR(D424=Plano!$A$1,D424=Plano!$B$1),"entrada","saída"))</f>
        <v>saída</v>
      </c>
      <c r="T424" s="505" t="s">
        <v>1059</v>
      </c>
      <c r="U424" s="505">
        <v>1501</v>
      </c>
      <c r="V424" s="541"/>
    </row>
    <row r="425" spans="1:22" ht="36" customHeight="1" x14ac:dyDescent="0.2">
      <c r="A425" s="619">
        <f>IF(B425="","",COUNT('Diário 5º PA'!$A$5:$A$2634)+COUNT('Diário 6º PA'!$A$5:$A$2246)+COUNT('Diário 7º PA'!$A$5:$A$2271)+ROW()-4)</f>
        <v>4371</v>
      </c>
      <c r="B425" s="620">
        <v>44489</v>
      </c>
      <c r="C425" s="624">
        <v>44440</v>
      </c>
      <c r="D425" s="548" t="s">
        <v>99</v>
      </c>
      <c r="E425" s="548" t="s">
        <v>224</v>
      </c>
      <c r="F425" s="622">
        <v>328.34</v>
      </c>
      <c r="G425" s="623" t="s">
        <v>527</v>
      </c>
      <c r="H425" s="548" t="s">
        <v>115</v>
      </c>
      <c r="I425" s="583" t="s">
        <v>522</v>
      </c>
      <c r="J425" s="548" t="s">
        <v>523</v>
      </c>
      <c r="K425" s="583" t="s">
        <v>1375</v>
      </c>
      <c r="L425" s="583" t="s">
        <v>697</v>
      </c>
      <c r="M425" s="619" t="s">
        <v>5867</v>
      </c>
      <c r="N425" s="620">
        <v>44470</v>
      </c>
      <c r="O425" s="684" t="s">
        <v>67</v>
      </c>
      <c r="P425" s="503">
        <f t="shared" si="20"/>
        <v>10</v>
      </c>
      <c r="Q425" s="503">
        <f t="shared" si="21"/>
        <v>9</v>
      </c>
      <c r="R425" s="504" t="str">
        <f t="shared" si="22"/>
        <v>Gastos_Gerais</v>
      </c>
      <c r="S425" s="504" t="str">
        <f>IF(D425="","",IF(OR(D425=Plano!$A$1,D425=Plano!$B$1),"entrada","saída"))</f>
        <v>saída</v>
      </c>
      <c r="T425" s="505" t="s">
        <v>114</v>
      </c>
      <c r="U425" s="505" t="s">
        <v>114</v>
      </c>
      <c r="V425" s="541"/>
    </row>
    <row r="426" spans="1:22" ht="45" customHeight="1" x14ac:dyDescent="0.2">
      <c r="A426" s="619">
        <f>IF(B426="","",COUNT('Diário 5º PA'!$A$5:$A$2634)+COUNT('Diário 6º PA'!$A$5:$A$2246)+COUNT('Diário 7º PA'!$A$5:$A$2271)+ROW()-4)</f>
        <v>4372</v>
      </c>
      <c r="B426" s="620">
        <v>44489</v>
      </c>
      <c r="C426" s="624">
        <v>44409</v>
      </c>
      <c r="D426" s="548" t="s">
        <v>99</v>
      </c>
      <c r="E426" s="548" t="s">
        <v>358</v>
      </c>
      <c r="F426" s="622">
        <v>17.399999999999999</v>
      </c>
      <c r="G426" s="623" t="s">
        <v>732</v>
      </c>
      <c r="H426" s="548" t="s">
        <v>131</v>
      </c>
      <c r="I426" s="583" t="s">
        <v>488</v>
      </c>
      <c r="J426" s="548" t="s">
        <v>114</v>
      </c>
      <c r="K426" s="583" t="s">
        <v>466</v>
      </c>
      <c r="L426" s="583" t="s">
        <v>489</v>
      </c>
      <c r="M426" s="619" t="s">
        <v>114</v>
      </c>
      <c r="N426" s="620">
        <v>44469</v>
      </c>
      <c r="O426" s="684" t="s">
        <v>67</v>
      </c>
      <c r="P426" s="503">
        <f t="shared" si="20"/>
        <v>10</v>
      </c>
      <c r="Q426" s="503">
        <f t="shared" si="21"/>
        <v>8</v>
      </c>
      <c r="R426" s="504" t="str">
        <f t="shared" si="22"/>
        <v>Gastos_Gerais</v>
      </c>
      <c r="S426" s="504" t="str">
        <f>IF(D426="","",IF(OR(D426=Plano!$A$1,D426=Plano!$B$1),"entrada","saída"))</f>
        <v>saída</v>
      </c>
      <c r="T426" s="505" t="s">
        <v>114</v>
      </c>
      <c r="U426" s="505" t="s">
        <v>114</v>
      </c>
      <c r="V426" s="541"/>
    </row>
    <row r="427" spans="1:22" ht="45" customHeight="1" x14ac:dyDescent="0.2">
      <c r="A427" s="619">
        <f>IF(B427="","",COUNT('Diário 5º PA'!$A$5:$A$2634)+COUNT('Diário 6º PA'!$A$5:$A$2246)+COUNT('Diário 7º PA'!$A$5:$A$2271)+ROW()-4)</f>
        <v>4373</v>
      </c>
      <c r="B427" s="620">
        <v>44489</v>
      </c>
      <c r="C427" s="624">
        <v>44409</v>
      </c>
      <c r="D427" s="548" t="s">
        <v>99</v>
      </c>
      <c r="E427" s="548" t="s">
        <v>358</v>
      </c>
      <c r="F427" s="622">
        <v>17.399999999999999</v>
      </c>
      <c r="G427" s="623" t="s">
        <v>5275</v>
      </c>
      <c r="H427" s="548" t="s">
        <v>131</v>
      </c>
      <c r="I427" s="583" t="s">
        <v>488</v>
      </c>
      <c r="J427" s="548" t="s">
        <v>114</v>
      </c>
      <c r="K427" s="583" t="s">
        <v>466</v>
      </c>
      <c r="L427" s="583" t="s">
        <v>489</v>
      </c>
      <c r="M427" s="619" t="s">
        <v>114</v>
      </c>
      <c r="N427" s="620">
        <v>44469</v>
      </c>
      <c r="O427" s="684" t="s">
        <v>67</v>
      </c>
      <c r="P427" s="503">
        <f t="shared" si="20"/>
        <v>10</v>
      </c>
      <c r="Q427" s="503">
        <f t="shared" si="21"/>
        <v>8</v>
      </c>
      <c r="R427" s="504" t="str">
        <f t="shared" si="22"/>
        <v>Gastos_Gerais</v>
      </c>
      <c r="S427" s="504" t="str">
        <f>IF(D427="","",IF(OR(D427=Plano!$A$1,D427=Plano!$B$1),"entrada","saída"))</f>
        <v>saída</v>
      </c>
      <c r="T427" s="505" t="s">
        <v>114</v>
      </c>
      <c r="U427" s="505" t="s">
        <v>114</v>
      </c>
      <c r="V427" s="541"/>
    </row>
    <row r="428" spans="1:22" ht="45" customHeight="1" x14ac:dyDescent="0.2">
      <c r="A428" s="619">
        <f>IF(B428="","",COUNT('Diário 5º PA'!$A$5:$A$2634)+COUNT('Diário 6º PA'!$A$5:$A$2246)+COUNT('Diário 7º PA'!$A$5:$A$2271)+ROW()-4)</f>
        <v>4374</v>
      </c>
      <c r="B428" s="620">
        <v>44489</v>
      </c>
      <c r="C428" s="624">
        <v>44409</v>
      </c>
      <c r="D428" s="548" t="s">
        <v>99</v>
      </c>
      <c r="E428" s="548" t="s">
        <v>342</v>
      </c>
      <c r="F428" s="622">
        <v>112.45</v>
      </c>
      <c r="G428" s="623" t="s">
        <v>819</v>
      </c>
      <c r="H428" s="548" t="s">
        <v>131</v>
      </c>
      <c r="I428" s="583" t="s">
        <v>488</v>
      </c>
      <c r="J428" s="548" t="s">
        <v>114</v>
      </c>
      <c r="K428" s="583" t="s">
        <v>466</v>
      </c>
      <c r="L428" s="583" t="s">
        <v>489</v>
      </c>
      <c r="M428" s="619" t="s">
        <v>114</v>
      </c>
      <c r="N428" s="620">
        <v>44469</v>
      </c>
      <c r="O428" s="684" t="s">
        <v>67</v>
      </c>
      <c r="P428" s="503">
        <f t="shared" si="20"/>
        <v>10</v>
      </c>
      <c r="Q428" s="503">
        <f t="shared" si="21"/>
        <v>8</v>
      </c>
      <c r="R428" s="504" t="str">
        <f t="shared" si="22"/>
        <v>Gastos_Gerais</v>
      </c>
      <c r="S428" s="504" t="str">
        <f>IF(D428="","",IF(OR(D428=Plano!$A$1,D428=Plano!$B$1),"entrada","saída"))</f>
        <v>saída</v>
      </c>
      <c r="T428" s="505" t="s">
        <v>114</v>
      </c>
      <c r="U428" s="505" t="s">
        <v>114</v>
      </c>
      <c r="V428" s="541"/>
    </row>
    <row r="429" spans="1:22" s="515" customFormat="1" ht="45" customHeight="1" x14ac:dyDescent="0.2">
      <c r="A429" s="619">
        <f>IF(B429="","",COUNT('Diário 5º PA'!$A$5:$A$2634)+COUNT('Diário 6º PA'!$A$5:$A$2246)+COUNT('Diário 7º PA'!$A$5:$A$2271)+ROW()-4)</f>
        <v>4375</v>
      </c>
      <c r="B429" s="620">
        <v>44489</v>
      </c>
      <c r="C429" s="624">
        <v>44409</v>
      </c>
      <c r="D429" s="548" t="s">
        <v>99</v>
      </c>
      <c r="E429" s="548" t="s">
        <v>262</v>
      </c>
      <c r="F429" s="622">
        <v>17.399999999999999</v>
      </c>
      <c r="G429" s="623" t="s">
        <v>5218</v>
      </c>
      <c r="H429" s="548" t="s">
        <v>115</v>
      </c>
      <c r="I429" s="583" t="s">
        <v>488</v>
      </c>
      <c r="J429" s="548" t="s">
        <v>114</v>
      </c>
      <c r="K429" s="583" t="s">
        <v>466</v>
      </c>
      <c r="L429" s="583" t="s">
        <v>489</v>
      </c>
      <c r="M429" s="619" t="s">
        <v>114</v>
      </c>
      <c r="N429" s="620">
        <v>44469</v>
      </c>
      <c r="O429" s="684" t="s">
        <v>67</v>
      </c>
      <c r="P429" s="503">
        <f t="shared" si="20"/>
        <v>10</v>
      </c>
      <c r="Q429" s="503">
        <f t="shared" si="21"/>
        <v>8</v>
      </c>
      <c r="R429" s="504" t="str">
        <f t="shared" si="22"/>
        <v>Gastos_Gerais</v>
      </c>
      <c r="S429" s="504" t="str">
        <f>IF(D429="","",IF(OR(D429=Plano!$A$1,D429=Plano!$B$1),"entrada","saída"))</f>
        <v>saída</v>
      </c>
      <c r="T429" s="505" t="s">
        <v>114</v>
      </c>
      <c r="U429" s="505" t="s">
        <v>114</v>
      </c>
      <c r="V429" s="541"/>
    </row>
    <row r="430" spans="1:22" ht="45" customHeight="1" x14ac:dyDescent="0.2">
      <c r="A430" s="619">
        <f>IF(B430="","",COUNT('Diário 5º PA'!$A$5:$A$2634)+COUNT('Diário 6º PA'!$A$5:$A$2246)+COUNT('Diário 7º PA'!$A$5:$A$2271)+ROW()-4)</f>
        <v>4376</v>
      </c>
      <c r="B430" s="620">
        <v>44489</v>
      </c>
      <c r="C430" s="624">
        <v>44409</v>
      </c>
      <c r="D430" s="548" t="s">
        <v>99</v>
      </c>
      <c r="E430" s="548" t="s">
        <v>358</v>
      </c>
      <c r="F430" s="622">
        <v>17.399999999999999</v>
      </c>
      <c r="G430" s="623" t="s">
        <v>5169</v>
      </c>
      <c r="H430" s="548" t="s">
        <v>131</v>
      </c>
      <c r="I430" s="583" t="s">
        <v>488</v>
      </c>
      <c r="J430" s="548" t="s">
        <v>114</v>
      </c>
      <c r="K430" s="583" t="s">
        <v>466</v>
      </c>
      <c r="L430" s="583" t="s">
        <v>489</v>
      </c>
      <c r="M430" s="619" t="s">
        <v>114</v>
      </c>
      <c r="N430" s="620">
        <v>44469</v>
      </c>
      <c r="O430" s="684" t="s">
        <v>67</v>
      </c>
      <c r="P430" s="503">
        <f t="shared" si="20"/>
        <v>10</v>
      </c>
      <c r="Q430" s="503">
        <f t="shared" si="21"/>
        <v>8</v>
      </c>
      <c r="R430" s="504" t="str">
        <f t="shared" si="22"/>
        <v>Gastos_Gerais</v>
      </c>
      <c r="S430" s="504" t="str">
        <f>IF(D430="","",IF(OR(D430=Plano!$A$1,D430=Plano!$B$1),"entrada","saída"))</f>
        <v>saída</v>
      </c>
      <c r="T430" s="505" t="s">
        <v>114</v>
      </c>
      <c r="U430" s="505" t="s">
        <v>114</v>
      </c>
      <c r="V430" s="541"/>
    </row>
    <row r="431" spans="1:22" ht="45" customHeight="1" x14ac:dyDescent="0.2">
      <c r="A431" s="619">
        <f>IF(B431="","",COUNT('Diário 5º PA'!$A$5:$A$2634)+COUNT('Diário 6º PA'!$A$5:$A$2246)+COUNT('Diário 7º PA'!$A$5:$A$2271)+ROW()-4)</f>
        <v>4377</v>
      </c>
      <c r="B431" s="620">
        <v>44489</v>
      </c>
      <c r="C431" s="624">
        <v>44409</v>
      </c>
      <c r="D431" s="548" t="s">
        <v>99</v>
      </c>
      <c r="E431" s="548" t="s">
        <v>358</v>
      </c>
      <c r="F431" s="622">
        <v>17.399999999999999</v>
      </c>
      <c r="G431" s="623" t="s">
        <v>5187</v>
      </c>
      <c r="H431" s="548" t="s">
        <v>131</v>
      </c>
      <c r="I431" s="583" t="s">
        <v>488</v>
      </c>
      <c r="J431" s="548" t="s">
        <v>114</v>
      </c>
      <c r="K431" s="583" t="s">
        <v>466</v>
      </c>
      <c r="L431" s="583" t="s">
        <v>489</v>
      </c>
      <c r="M431" s="619" t="s">
        <v>114</v>
      </c>
      <c r="N431" s="620">
        <v>44469</v>
      </c>
      <c r="O431" s="684" t="s">
        <v>67</v>
      </c>
      <c r="P431" s="503">
        <f t="shared" si="20"/>
        <v>10</v>
      </c>
      <c r="Q431" s="503">
        <f t="shared" si="21"/>
        <v>8</v>
      </c>
      <c r="R431" s="504" t="str">
        <f t="shared" si="22"/>
        <v>Gastos_Gerais</v>
      </c>
      <c r="S431" s="504" t="str">
        <f>IF(D431="","",IF(OR(D431=Plano!$A$1,D431=Plano!$B$1),"entrada","saída"))</f>
        <v>saída</v>
      </c>
      <c r="T431" s="505" t="s">
        <v>114</v>
      </c>
      <c r="U431" s="505" t="s">
        <v>114</v>
      </c>
      <c r="V431" s="541"/>
    </row>
    <row r="432" spans="1:22" ht="45" customHeight="1" x14ac:dyDescent="0.2">
      <c r="A432" s="619">
        <f>IF(B432="","",COUNT('Diário 5º PA'!$A$5:$A$2634)+COUNT('Diário 6º PA'!$A$5:$A$2246)+COUNT('Diário 7º PA'!$A$5:$A$2271)+ROW()-4)</f>
        <v>4378</v>
      </c>
      <c r="B432" s="620">
        <v>44489</v>
      </c>
      <c r="C432" s="624">
        <v>44409</v>
      </c>
      <c r="D432" s="548" t="s">
        <v>99</v>
      </c>
      <c r="E432" s="548" t="s">
        <v>358</v>
      </c>
      <c r="F432" s="622">
        <v>17.399999999999999</v>
      </c>
      <c r="G432" s="623" t="s">
        <v>727</v>
      </c>
      <c r="H432" s="548" t="s">
        <v>131</v>
      </c>
      <c r="I432" s="583" t="s">
        <v>488</v>
      </c>
      <c r="J432" s="548" t="s">
        <v>114</v>
      </c>
      <c r="K432" s="583" t="s">
        <v>466</v>
      </c>
      <c r="L432" s="583" t="s">
        <v>489</v>
      </c>
      <c r="M432" s="619" t="s">
        <v>114</v>
      </c>
      <c r="N432" s="620">
        <v>44469</v>
      </c>
      <c r="O432" s="684" t="s">
        <v>67</v>
      </c>
      <c r="P432" s="503">
        <f t="shared" si="20"/>
        <v>10</v>
      </c>
      <c r="Q432" s="503">
        <f t="shared" si="21"/>
        <v>8</v>
      </c>
      <c r="R432" s="504" t="str">
        <f t="shared" si="22"/>
        <v>Gastos_Gerais</v>
      </c>
      <c r="S432" s="504" t="str">
        <f>IF(D432="","",IF(OR(D432=Plano!$A$1,D432=Plano!$B$1),"entrada","saída"))</f>
        <v>saída</v>
      </c>
      <c r="T432" s="505" t="s">
        <v>114</v>
      </c>
      <c r="U432" s="505" t="s">
        <v>114</v>
      </c>
      <c r="V432" s="541"/>
    </row>
    <row r="433" spans="1:22" ht="45" customHeight="1" x14ac:dyDescent="0.2">
      <c r="A433" s="619">
        <f>IF(B433="","",COUNT('Diário 5º PA'!$A$5:$A$2634)+COUNT('Diário 6º PA'!$A$5:$A$2246)+COUNT('Diário 7º PA'!$A$5:$A$2271)+ROW()-4)</f>
        <v>4379</v>
      </c>
      <c r="B433" s="620">
        <v>44489</v>
      </c>
      <c r="C433" s="624">
        <v>44409</v>
      </c>
      <c r="D433" s="548" t="s">
        <v>99</v>
      </c>
      <c r="E433" s="548" t="s">
        <v>358</v>
      </c>
      <c r="F433" s="622">
        <v>17.399999999999999</v>
      </c>
      <c r="G433" s="630" t="s">
        <v>5245</v>
      </c>
      <c r="H433" s="548" t="s">
        <v>131</v>
      </c>
      <c r="I433" s="631" t="s">
        <v>488</v>
      </c>
      <c r="J433" s="548" t="s">
        <v>114</v>
      </c>
      <c r="K433" s="583" t="s">
        <v>466</v>
      </c>
      <c r="L433" s="583" t="s">
        <v>489</v>
      </c>
      <c r="M433" s="619" t="s">
        <v>114</v>
      </c>
      <c r="N433" s="620">
        <v>44469</v>
      </c>
      <c r="O433" s="684" t="s">
        <v>67</v>
      </c>
      <c r="P433" s="503">
        <f t="shared" si="20"/>
        <v>10</v>
      </c>
      <c r="Q433" s="503">
        <f t="shared" si="21"/>
        <v>8</v>
      </c>
      <c r="R433" s="504" t="str">
        <f t="shared" si="22"/>
        <v>Gastos_Gerais</v>
      </c>
      <c r="S433" s="504" t="str">
        <f>IF(D433="","",IF(OR(D433=Plano!$A$1,D433=Plano!$B$1),"entrada","saída"))</f>
        <v>saída</v>
      </c>
      <c r="T433" s="505" t="s">
        <v>114</v>
      </c>
      <c r="U433" s="505" t="s">
        <v>114</v>
      </c>
      <c r="V433" s="541"/>
    </row>
    <row r="434" spans="1:22" ht="45" customHeight="1" x14ac:dyDescent="0.2">
      <c r="A434" s="619">
        <f>IF(B434="","",COUNT('Diário 5º PA'!$A$5:$A$2634)+COUNT('Diário 6º PA'!$A$5:$A$2246)+COUNT('Diário 7º PA'!$A$5:$A$2271)+ROW()-4)</f>
        <v>4380</v>
      </c>
      <c r="B434" s="620">
        <v>44489</v>
      </c>
      <c r="C434" s="624">
        <v>44409</v>
      </c>
      <c r="D434" s="548" t="s">
        <v>99</v>
      </c>
      <c r="E434" s="548" t="s">
        <v>342</v>
      </c>
      <c r="F434" s="622">
        <v>112.45</v>
      </c>
      <c r="G434" s="623" t="s">
        <v>806</v>
      </c>
      <c r="H434" s="548" t="s">
        <v>131</v>
      </c>
      <c r="I434" s="583" t="s">
        <v>488</v>
      </c>
      <c r="J434" s="548" t="s">
        <v>114</v>
      </c>
      <c r="K434" s="583" t="s">
        <v>466</v>
      </c>
      <c r="L434" s="583" t="s">
        <v>489</v>
      </c>
      <c r="M434" s="619" t="s">
        <v>114</v>
      </c>
      <c r="N434" s="620">
        <v>44469</v>
      </c>
      <c r="O434" s="684" t="s">
        <v>67</v>
      </c>
      <c r="P434" s="503">
        <f t="shared" si="20"/>
        <v>10</v>
      </c>
      <c r="Q434" s="503">
        <f t="shared" si="21"/>
        <v>8</v>
      </c>
      <c r="R434" s="504" t="str">
        <f t="shared" si="22"/>
        <v>Gastos_Gerais</v>
      </c>
      <c r="S434" s="504" t="str">
        <f>IF(D434="","",IF(OR(D434=Plano!$A$1,D434=Plano!$B$1),"entrada","saída"))</f>
        <v>saída</v>
      </c>
      <c r="T434" s="505" t="s">
        <v>114</v>
      </c>
      <c r="U434" s="505" t="s">
        <v>114</v>
      </c>
      <c r="V434" s="541"/>
    </row>
    <row r="435" spans="1:22" ht="45" customHeight="1" x14ac:dyDescent="0.2">
      <c r="A435" s="619">
        <f>IF(B435="","",COUNT('Diário 5º PA'!$A$5:$A$2634)+COUNT('Diário 6º PA'!$A$5:$A$2246)+COUNT('Diário 7º PA'!$A$5:$A$2271)+ROW()-4)</f>
        <v>4381</v>
      </c>
      <c r="B435" s="620">
        <v>44489</v>
      </c>
      <c r="C435" s="624">
        <v>44409</v>
      </c>
      <c r="D435" s="548" t="s">
        <v>99</v>
      </c>
      <c r="E435" s="548" t="s">
        <v>358</v>
      </c>
      <c r="F435" s="622">
        <v>17.399999999999999</v>
      </c>
      <c r="G435" s="623" t="s">
        <v>721</v>
      </c>
      <c r="H435" s="548" t="s">
        <v>131</v>
      </c>
      <c r="I435" s="583" t="s">
        <v>488</v>
      </c>
      <c r="J435" s="548" t="s">
        <v>114</v>
      </c>
      <c r="K435" s="583" t="s">
        <v>466</v>
      </c>
      <c r="L435" s="583" t="s">
        <v>489</v>
      </c>
      <c r="M435" s="619" t="s">
        <v>114</v>
      </c>
      <c r="N435" s="620">
        <v>44469</v>
      </c>
      <c r="O435" s="684" t="s">
        <v>67</v>
      </c>
      <c r="P435" s="503">
        <f t="shared" si="20"/>
        <v>10</v>
      </c>
      <c r="Q435" s="503">
        <f t="shared" si="21"/>
        <v>8</v>
      </c>
      <c r="R435" s="504" t="str">
        <f t="shared" si="22"/>
        <v>Gastos_Gerais</v>
      </c>
      <c r="S435" s="504" t="str">
        <f>IF(D435="","",IF(OR(D435=Plano!$A$1,D435=Plano!$B$1),"entrada","saída"))</f>
        <v>saída</v>
      </c>
      <c r="T435" s="505" t="s">
        <v>114</v>
      </c>
      <c r="U435" s="505" t="s">
        <v>114</v>
      </c>
      <c r="V435" s="541"/>
    </row>
    <row r="436" spans="1:22" ht="45" customHeight="1" x14ac:dyDescent="0.2">
      <c r="A436" s="619">
        <f>IF(B436="","",COUNT('Diário 5º PA'!$A$5:$A$2634)+COUNT('Diário 6º PA'!$A$5:$A$2246)+COUNT('Diário 7º PA'!$A$5:$A$2271)+ROW()-4)</f>
        <v>4382</v>
      </c>
      <c r="B436" s="620">
        <v>44489</v>
      </c>
      <c r="C436" s="624">
        <v>44409</v>
      </c>
      <c r="D436" s="548" t="s">
        <v>99</v>
      </c>
      <c r="E436" s="548" t="s">
        <v>358</v>
      </c>
      <c r="F436" s="622">
        <v>17.399999999999999</v>
      </c>
      <c r="G436" s="623" t="s">
        <v>5192</v>
      </c>
      <c r="H436" s="548" t="s">
        <v>131</v>
      </c>
      <c r="I436" s="583" t="s">
        <v>488</v>
      </c>
      <c r="J436" s="548" t="s">
        <v>114</v>
      </c>
      <c r="K436" s="583" t="s">
        <v>466</v>
      </c>
      <c r="L436" s="583" t="s">
        <v>489</v>
      </c>
      <c r="M436" s="619" t="s">
        <v>114</v>
      </c>
      <c r="N436" s="620">
        <v>44469</v>
      </c>
      <c r="O436" s="684" t="s">
        <v>67</v>
      </c>
      <c r="P436" s="503">
        <f t="shared" si="20"/>
        <v>10</v>
      </c>
      <c r="Q436" s="503">
        <f t="shared" si="21"/>
        <v>8</v>
      </c>
      <c r="R436" s="504" t="str">
        <f t="shared" si="22"/>
        <v>Gastos_Gerais</v>
      </c>
      <c r="S436" s="504" t="str">
        <f>IF(D436="","",IF(OR(D436=Plano!$A$1,D436=Plano!$B$1),"entrada","saída"))</f>
        <v>saída</v>
      </c>
      <c r="T436" s="505" t="s">
        <v>114</v>
      </c>
      <c r="U436" s="505" t="s">
        <v>114</v>
      </c>
      <c r="V436" s="541"/>
    </row>
    <row r="437" spans="1:22" ht="45" customHeight="1" x14ac:dyDescent="0.2">
      <c r="A437" s="619">
        <f>IF(B437="","",COUNT('Diário 5º PA'!$A$5:$A$2634)+COUNT('Diário 6º PA'!$A$5:$A$2246)+COUNT('Diário 7º PA'!$A$5:$A$2271)+ROW()-4)</f>
        <v>4383</v>
      </c>
      <c r="B437" s="620">
        <v>44489</v>
      </c>
      <c r="C437" s="624">
        <v>44409</v>
      </c>
      <c r="D437" s="548" t="s">
        <v>88</v>
      </c>
      <c r="E437" s="548" t="s">
        <v>90</v>
      </c>
      <c r="F437" s="622">
        <v>10380.049999999999</v>
      </c>
      <c r="G437" s="623" t="s">
        <v>529</v>
      </c>
      <c r="H437" s="548" t="s">
        <v>114</v>
      </c>
      <c r="I437" s="583" t="s">
        <v>488</v>
      </c>
      <c r="J437" s="548" t="s">
        <v>114</v>
      </c>
      <c r="K437" s="583" t="s">
        <v>466</v>
      </c>
      <c r="L437" s="583" t="s">
        <v>489</v>
      </c>
      <c r="M437" s="619" t="s">
        <v>114</v>
      </c>
      <c r="N437" s="620">
        <v>44469</v>
      </c>
      <c r="O437" s="684" t="s">
        <v>67</v>
      </c>
      <c r="P437" s="503">
        <f t="shared" si="20"/>
        <v>10</v>
      </c>
      <c r="Q437" s="503">
        <f t="shared" si="21"/>
        <v>8</v>
      </c>
      <c r="R437" s="504" t="str">
        <f t="shared" si="22"/>
        <v>Gastos_com_Pessoal</v>
      </c>
      <c r="S437" s="504" t="str">
        <f>IF(D437="","",IF(OR(D437=Plano!$A$1,D437=Plano!$B$1),"entrada","saída"))</f>
        <v>saída</v>
      </c>
      <c r="T437" s="505" t="s">
        <v>114</v>
      </c>
      <c r="U437" s="505" t="s">
        <v>114</v>
      </c>
      <c r="V437" s="541"/>
    </row>
    <row r="438" spans="1:22" ht="45" customHeight="1" x14ac:dyDescent="0.2">
      <c r="A438" s="619">
        <f>IF(B438="","",COUNT('Diário 5º PA'!$A$5:$A$2634)+COUNT('Diário 6º PA'!$A$5:$A$2246)+COUNT('Diário 7º PA'!$A$5:$A$2271)+ROW()-4)</f>
        <v>4384</v>
      </c>
      <c r="B438" s="620">
        <v>44489</v>
      </c>
      <c r="C438" s="624">
        <v>44409</v>
      </c>
      <c r="D438" s="548" t="s">
        <v>88</v>
      </c>
      <c r="E438" s="548" t="s">
        <v>177</v>
      </c>
      <c r="F438" s="622">
        <v>141.52000000000001</v>
      </c>
      <c r="G438" s="623" t="s">
        <v>5868</v>
      </c>
      <c r="H438" s="548" t="s">
        <v>114</v>
      </c>
      <c r="I438" s="583" t="s">
        <v>488</v>
      </c>
      <c r="J438" s="548" t="s">
        <v>114</v>
      </c>
      <c r="K438" s="583" t="s">
        <v>466</v>
      </c>
      <c r="L438" s="583" t="s">
        <v>489</v>
      </c>
      <c r="M438" s="619" t="s">
        <v>114</v>
      </c>
      <c r="N438" s="620">
        <v>44469</v>
      </c>
      <c r="O438" s="684" t="s">
        <v>67</v>
      </c>
      <c r="P438" s="503">
        <f t="shared" si="20"/>
        <v>10</v>
      </c>
      <c r="Q438" s="503">
        <f t="shared" si="21"/>
        <v>8</v>
      </c>
      <c r="R438" s="504" t="str">
        <f t="shared" si="22"/>
        <v>Gastos_com_Pessoal</v>
      </c>
      <c r="S438" s="504" t="str">
        <f>IF(D438="","",IF(OR(D438=Plano!$A$1,D438=Plano!$B$1),"entrada","saída"))</f>
        <v>saída</v>
      </c>
      <c r="T438" s="505" t="s">
        <v>114</v>
      </c>
      <c r="U438" s="505" t="s">
        <v>114</v>
      </c>
      <c r="V438" s="541"/>
    </row>
    <row r="439" spans="1:22" ht="45" customHeight="1" x14ac:dyDescent="0.2">
      <c r="A439" s="619">
        <f>IF(B439="","",COUNT('Diário 5º PA'!$A$5:$A$2634)+COUNT('Diário 6º PA'!$A$5:$A$2246)+COUNT('Diário 7º PA'!$A$5:$A$2271)+ROW()-4)</f>
        <v>4385</v>
      </c>
      <c r="B439" s="620">
        <v>44489</v>
      </c>
      <c r="C439" s="624">
        <v>44409</v>
      </c>
      <c r="D439" s="548" t="s">
        <v>99</v>
      </c>
      <c r="E439" s="548" t="s">
        <v>358</v>
      </c>
      <c r="F439" s="622">
        <v>744</v>
      </c>
      <c r="G439" s="623" t="s">
        <v>730</v>
      </c>
      <c r="H439" s="548" t="s">
        <v>131</v>
      </c>
      <c r="I439" s="583" t="s">
        <v>530</v>
      </c>
      <c r="J439" s="548" t="s">
        <v>114</v>
      </c>
      <c r="K439" s="583" t="str">
        <f t="shared" ref="K439:K447" si="23">+T439</f>
        <v>N/A</v>
      </c>
      <c r="L439" s="583" t="s">
        <v>547</v>
      </c>
      <c r="M439" s="619" t="s">
        <v>114</v>
      </c>
      <c r="N439" s="620">
        <v>44469</v>
      </c>
      <c r="O439" s="684" t="s">
        <v>67</v>
      </c>
      <c r="P439" s="503">
        <f t="shared" si="20"/>
        <v>10</v>
      </c>
      <c r="Q439" s="503">
        <f t="shared" si="21"/>
        <v>8</v>
      </c>
      <c r="R439" s="504" t="str">
        <f t="shared" si="22"/>
        <v>Gastos_Gerais</v>
      </c>
      <c r="S439" s="504" t="str">
        <f>IF(D439="","",IF(OR(D439=Plano!$A$1,D439=Plano!$B$1),"entrada","saída"))</f>
        <v>saída</v>
      </c>
      <c r="T439" s="505" t="s">
        <v>114</v>
      </c>
      <c r="U439" s="505" t="s">
        <v>114</v>
      </c>
      <c r="V439" s="541"/>
    </row>
    <row r="440" spans="1:22" ht="45" customHeight="1" x14ac:dyDescent="0.2">
      <c r="A440" s="619">
        <f>IF(B440="","",COUNT('Diário 5º PA'!$A$5:$A$2634)+COUNT('Diário 6º PA'!$A$5:$A$2246)+COUNT('Diário 7º PA'!$A$5:$A$2271)+ROW()-4)</f>
        <v>4386</v>
      </c>
      <c r="B440" s="620">
        <v>44489</v>
      </c>
      <c r="C440" s="624">
        <v>44409</v>
      </c>
      <c r="D440" s="548" t="s">
        <v>99</v>
      </c>
      <c r="E440" s="548" t="s">
        <v>358</v>
      </c>
      <c r="F440" s="622">
        <v>744</v>
      </c>
      <c r="G440" s="623" t="s">
        <v>5276</v>
      </c>
      <c r="H440" s="548" t="s">
        <v>131</v>
      </c>
      <c r="I440" s="583" t="s">
        <v>530</v>
      </c>
      <c r="J440" s="548" t="s">
        <v>114</v>
      </c>
      <c r="K440" s="583" t="str">
        <f t="shared" si="23"/>
        <v>N/A</v>
      </c>
      <c r="L440" s="583" t="s">
        <v>547</v>
      </c>
      <c r="M440" s="619" t="s">
        <v>114</v>
      </c>
      <c r="N440" s="620">
        <v>44469</v>
      </c>
      <c r="O440" s="684" t="s">
        <v>67</v>
      </c>
      <c r="P440" s="503">
        <f t="shared" si="20"/>
        <v>10</v>
      </c>
      <c r="Q440" s="503">
        <f t="shared" si="21"/>
        <v>8</v>
      </c>
      <c r="R440" s="504" t="str">
        <f t="shared" si="22"/>
        <v>Gastos_Gerais</v>
      </c>
      <c r="S440" s="504" t="str">
        <f>IF(D440="","",IF(OR(D440=Plano!$A$1,D440=Plano!$B$1),"entrada","saída"))</f>
        <v>saída</v>
      </c>
      <c r="T440" s="505" t="s">
        <v>114</v>
      </c>
      <c r="U440" s="505" t="s">
        <v>114</v>
      </c>
      <c r="V440" s="541"/>
    </row>
    <row r="441" spans="1:22" ht="45" customHeight="1" x14ac:dyDescent="0.2">
      <c r="A441" s="619">
        <f>IF(B441="","",COUNT('Diário 5º PA'!$A$5:$A$2634)+COUNT('Diário 6º PA'!$A$5:$A$2246)+COUNT('Diário 7º PA'!$A$5:$A$2271)+ROW()-4)</f>
        <v>4387</v>
      </c>
      <c r="B441" s="620">
        <v>44489</v>
      </c>
      <c r="C441" s="624">
        <v>44409</v>
      </c>
      <c r="D441" s="548" t="s">
        <v>99</v>
      </c>
      <c r="E441" s="548" t="s">
        <v>364</v>
      </c>
      <c r="F441" s="622">
        <v>372</v>
      </c>
      <c r="G441" s="623" t="s">
        <v>5752</v>
      </c>
      <c r="H441" s="548" t="s">
        <v>131</v>
      </c>
      <c r="I441" s="583" t="s">
        <v>530</v>
      </c>
      <c r="J441" s="548" t="s">
        <v>114</v>
      </c>
      <c r="K441" s="583" t="str">
        <f t="shared" si="23"/>
        <v>N/A</v>
      </c>
      <c r="L441" s="583" t="s">
        <v>547</v>
      </c>
      <c r="M441" s="619" t="s">
        <v>114</v>
      </c>
      <c r="N441" s="620">
        <v>44469</v>
      </c>
      <c r="O441" s="684" t="s">
        <v>67</v>
      </c>
      <c r="P441" s="503">
        <f t="shared" si="20"/>
        <v>10</v>
      </c>
      <c r="Q441" s="503">
        <f t="shared" si="21"/>
        <v>8</v>
      </c>
      <c r="R441" s="504" t="str">
        <f t="shared" si="22"/>
        <v>Gastos_Gerais</v>
      </c>
      <c r="S441" s="504" t="str">
        <f>IF(D441="","",IF(OR(D441=Plano!$A$1,D441=Plano!$B$1),"entrada","saída"))</f>
        <v>saída</v>
      </c>
      <c r="T441" s="505" t="s">
        <v>114</v>
      </c>
      <c r="U441" s="505" t="s">
        <v>114</v>
      </c>
      <c r="V441" s="541"/>
    </row>
    <row r="442" spans="1:22" ht="45" customHeight="1" x14ac:dyDescent="0.2">
      <c r="A442" s="619">
        <f>IF(B442="","",COUNT('Diário 5º PA'!$A$5:$A$2634)+COUNT('Diário 6º PA'!$A$5:$A$2246)+COUNT('Diário 7º PA'!$A$5:$A$2271)+ROW()-4)</f>
        <v>4388</v>
      </c>
      <c r="B442" s="620">
        <v>44489</v>
      </c>
      <c r="C442" s="624">
        <v>44409</v>
      </c>
      <c r="D442" s="548" t="s">
        <v>99</v>
      </c>
      <c r="E442" s="548" t="s">
        <v>358</v>
      </c>
      <c r="F442" s="622">
        <v>186</v>
      </c>
      <c r="G442" s="623" t="s">
        <v>5687</v>
      </c>
      <c r="H442" s="548" t="s">
        <v>126</v>
      </c>
      <c r="I442" s="583" t="s">
        <v>530</v>
      </c>
      <c r="J442" s="548" t="s">
        <v>114</v>
      </c>
      <c r="K442" s="583" t="str">
        <f t="shared" si="23"/>
        <v>N/A</v>
      </c>
      <c r="L442" s="583" t="s">
        <v>547</v>
      </c>
      <c r="M442" s="619" t="s">
        <v>114</v>
      </c>
      <c r="N442" s="620">
        <v>44469</v>
      </c>
      <c r="O442" s="684" t="s">
        <v>67</v>
      </c>
      <c r="P442" s="503">
        <f t="shared" si="20"/>
        <v>10</v>
      </c>
      <c r="Q442" s="503">
        <f t="shared" si="21"/>
        <v>8</v>
      </c>
      <c r="R442" s="504" t="str">
        <f t="shared" si="22"/>
        <v>Gastos_Gerais</v>
      </c>
      <c r="S442" s="504" t="str">
        <f>IF(D442="","",IF(OR(D442=Plano!$A$1,D442=Plano!$B$1),"entrada","saída"))</f>
        <v>saída</v>
      </c>
      <c r="T442" s="505" t="s">
        <v>114</v>
      </c>
      <c r="U442" s="505" t="s">
        <v>114</v>
      </c>
      <c r="V442" s="541"/>
    </row>
    <row r="443" spans="1:22" ht="45" customHeight="1" x14ac:dyDescent="0.2">
      <c r="A443" s="619">
        <f>IF(B443="","",COUNT('Diário 5º PA'!$A$5:$A$2634)+COUNT('Diário 6º PA'!$A$5:$A$2246)+COUNT('Diário 7º PA'!$A$5:$A$2271)+ROW()-4)</f>
        <v>4389</v>
      </c>
      <c r="B443" s="620">
        <v>44489</v>
      </c>
      <c r="C443" s="624">
        <v>44409</v>
      </c>
      <c r="D443" s="548" t="s">
        <v>99</v>
      </c>
      <c r="E443" s="548" t="s">
        <v>342</v>
      </c>
      <c r="F443" s="622">
        <v>1085</v>
      </c>
      <c r="G443" s="623" t="s">
        <v>820</v>
      </c>
      <c r="H443" s="548" t="s">
        <v>131</v>
      </c>
      <c r="I443" s="583" t="s">
        <v>530</v>
      </c>
      <c r="J443" s="548" t="s">
        <v>114</v>
      </c>
      <c r="K443" s="583" t="str">
        <f t="shared" si="23"/>
        <v>N/A</v>
      </c>
      <c r="L443" s="583" t="s">
        <v>547</v>
      </c>
      <c r="M443" s="619" t="s">
        <v>114</v>
      </c>
      <c r="N443" s="620">
        <v>44469</v>
      </c>
      <c r="O443" s="684" t="s">
        <v>67</v>
      </c>
      <c r="P443" s="503">
        <f t="shared" si="20"/>
        <v>10</v>
      </c>
      <c r="Q443" s="503">
        <f t="shared" si="21"/>
        <v>8</v>
      </c>
      <c r="R443" s="504" t="str">
        <f t="shared" si="22"/>
        <v>Gastos_Gerais</v>
      </c>
      <c r="S443" s="504" t="str">
        <f>IF(D443="","",IF(OR(D443=Plano!$A$1,D443=Plano!$B$1),"entrada","saída"))</f>
        <v>saída</v>
      </c>
      <c r="T443" s="505" t="s">
        <v>114</v>
      </c>
      <c r="U443" s="505" t="s">
        <v>114</v>
      </c>
      <c r="V443" s="541"/>
    </row>
    <row r="444" spans="1:22" ht="45" customHeight="1" x14ac:dyDescent="0.2">
      <c r="A444" s="619">
        <f>IF(B444="","",COUNT('Diário 5º PA'!$A$5:$A$2634)+COUNT('Diário 6º PA'!$A$5:$A$2246)+COUNT('Diário 7º PA'!$A$5:$A$2271)+ROW()-4)</f>
        <v>4390</v>
      </c>
      <c r="B444" s="620">
        <v>44489</v>
      </c>
      <c r="C444" s="624">
        <v>44409</v>
      </c>
      <c r="D444" s="548" t="s">
        <v>99</v>
      </c>
      <c r="E444" s="548" t="s">
        <v>262</v>
      </c>
      <c r="F444" s="622">
        <v>744</v>
      </c>
      <c r="G444" s="623" t="s">
        <v>5219</v>
      </c>
      <c r="H444" s="548" t="s">
        <v>115</v>
      </c>
      <c r="I444" s="583" t="s">
        <v>530</v>
      </c>
      <c r="J444" s="548" t="s">
        <v>114</v>
      </c>
      <c r="K444" s="583" t="str">
        <f t="shared" si="23"/>
        <v>N/A</v>
      </c>
      <c r="L444" s="583" t="s">
        <v>547</v>
      </c>
      <c r="M444" s="619" t="s">
        <v>114</v>
      </c>
      <c r="N444" s="620">
        <v>44469</v>
      </c>
      <c r="O444" s="684" t="s">
        <v>67</v>
      </c>
      <c r="P444" s="503">
        <f t="shared" si="20"/>
        <v>10</v>
      </c>
      <c r="Q444" s="503">
        <f t="shared" si="21"/>
        <v>8</v>
      </c>
      <c r="R444" s="504" t="str">
        <f t="shared" si="22"/>
        <v>Gastos_Gerais</v>
      </c>
      <c r="S444" s="504" t="str">
        <f>IF(D444="","",IF(OR(D444=Plano!$A$1,D444=Plano!$B$1),"entrada","saída"))</f>
        <v>saída</v>
      </c>
      <c r="T444" s="505" t="s">
        <v>114</v>
      </c>
      <c r="U444" s="505" t="s">
        <v>114</v>
      </c>
      <c r="V444" s="541"/>
    </row>
    <row r="445" spans="1:22" ht="45" customHeight="1" x14ac:dyDescent="0.2">
      <c r="A445" s="619">
        <f>IF(B445="","",COUNT('Diário 5º PA'!$A$5:$A$2634)+COUNT('Diário 6º PA'!$A$5:$A$2246)+COUNT('Diário 7º PA'!$A$5:$A$2271)+ROW()-4)</f>
        <v>4391</v>
      </c>
      <c r="B445" s="620">
        <v>44489</v>
      </c>
      <c r="C445" s="624">
        <v>44287</v>
      </c>
      <c r="D445" s="548" t="s">
        <v>99</v>
      </c>
      <c r="E445" s="548" t="s">
        <v>364</v>
      </c>
      <c r="F445" s="622">
        <v>558</v>
      </c>
      <c r="G445" s="623" t="s">
        <v>641</v>
      </c>
      <c r="H445" s="548" t="s">
        <v>125</v>
      </c>
      <c r="I445" s="583" t="s">
        <v>530</v>
      </c>
      <c r="J445" s="548" t="s">
        <v>114</v>
      </c>
      <c r="K445" s="583" t="str">
        <f t="shared" si="23"/>
        <v>N/A</v>
      </c>
      <c r="L445" s="583" t="s">
        <v>547</v>
      </c>
      <c r="M445" s="619" t="s">
        <v>114</v>
      </c>
      <c r="N445" s="620">
        <v>44469</v>
      </c>
      <c r="O445" s="684" t="s">
        <v>67</v>
      </c>
      <c r="P445" s="503">
        <f t="shared" si="20"/>
        <v>10</v>
      </c>
      <c r="Q445" s="503">
        <f t="shared" si="21"/>
        <v>4</v>
      </c>
      <c r="R445" s="504" t="str">
        <f t="shared" si="22"/>
        <v>Gastos_Gerais</v>
      </c>
      <c r="S445" s="504" t="str">
        <f>IF(D445="","",IF(OR(D445=Plano!$A$1,D445=Plano!$B$1),"entrada","saída"))</f>
        <v>saída</v>
      </c>
      <c r="T445" s="505" t="s">
        <v>114</v>
      </c>
      <c r="U445" s="505" t="s">
        <v>114</v>
      </c>
      <c r="V445" s="541"/>
    </row>
    <row r="446" spans="1:22" ht="45" customHeight="1" x14ac:dyDescent="0.2">
      <c r="A446" s="619">
        <f>IF(B446="","",COUNT('Diário 5º PA'!$A$5:$A$2634)+COUNT('Diário 6º PA'!$A$5:$A$2246)+COUNT('Diário 7º PA'!$A$5:$A$2271)+ROW()-4)</f>
        <v>4392</v>
      </c>
      <c r="B446" s="620">
        <v>44489</v>
      </c>
      <c r="C446" s="624">
        <v>44409</v>
      </c>
      <c r="D446" s="548" t="s">
        <v>99</v>
      </c>
      <c r="E446" s="548" t="s">
        <v>358</v>
      </c>
      <c r="F446" s="622">
        <v>186</v>
      </c>
      <c r="G446" s="623" t="s">
        <v>813</v>
      </c>
      <c r="H446" s="548" t="s">
        <v>126</v>
      </c>
      <c r="I446" s="583" t="s">
        <v>530</v>
      </c>
      <c r="J446" s="548" t="s">
        <v>114</v>
      </c>
      <c r="K446" s="583" t="str">
        <f t="shared" si="23"/>
        <v>N/A</v>
      </c>
      <c r="L446" s="583" t="s">
        <v>547</v>
      </c>
      <c r="M446" s="619" t="s">
        <v>114</v>
      </c>
      <c r="N446" s="620">
        <v>44469</v>
      </c>
      <c r="O446" s="684" t="s">
        <v>67</v>
      </c>
      <c r="P446" s="503">
        <f t="shared" si="20"/>
        <v>10</v>
      </c>
      <c r="Q446" s="503">
        <f t="shared" si="21"/>
        <v>8</v>
      </c>
      <c r="R446" s="504" t="str">
        <f t="shared" si="22"/>
        <v>Gastos_Gerais</v>
      </c>
      <c r="S446" s="504" t="str">
        <f>IF(D446="","",IF(OR(D446=Plano!$A$1,D446=Plano!$B$1),"entrada","saída"))</f>
        <v>saída</v>
      </c>
      <c r="T446" s="505" t="s">
        <v>114</v>
      </c>
      <c r="U446" s="505" t="s">
        <v>114</v>
      </c>
      <c r="V446" s="541"/>
    </row>
    <row r="447" spans="1:22" ht="45" customHeight="1" x14ac:dyDescent="0.2">
      <c r="A447" s="619">
        <f>IF(B447="","",COUNT('Diário 5º PA'!$A$5:$A$2634)+COUNT('Diário 6º PA'!$A$5:$A$2246)+COUNT('Diário 7º PA'!$A$5:$A$2271)+ROW()-4)</f>
        <v>4393</v>
      </c>
      <c r="B447" s="620">
        <v>44489</v>
      </c>
      <c r="C447" s="624">
        <v>44348</v>
      </c>
      <c r="D447" s="548" t="s">
        <v>99</v>
      </c>
      <c r="E447" s="548" t="s">
        <v>364</v>
      </c>
      <c r="F447" s="622">
        <v>341</v>
      </c>
      <c r="G447" s="623" t="s">
        <v>675</v>
      </c>
      <c r="H447" s="548" t="s">
        <v>123</v>
      </c>
      <c r="I447" s="583" t="s">
        <v>530</v>
      </c>
      <c r="J447" s="548" t="s">
        <v>114</v>
      </c>
      <c r="K447" s="583" t="str">
        <f t="shared" si="23"/>
        <v>N/A</v>
      </c>
      <c r="L447" s="583" t="s">
        <v>547</v>
      </c>
      <c r="M447" s="619" t="s">
        <v>114</v>
      </c>
      <c r="N447" s="620">
        <v>44469</v>
      </c>
      <c r="O447" s="684" t="s">
        <v>67</v>
      </c>
      <c r="P447" s="503">
        <f t="shared" si="20"/>
        <v>10</v>
      </c>
      <c r="Q447" s="503">
        <f t="shared" si="21"/>
        <v>6</v>
      </c>
      <c r="R447" s="504" t="str">
        <f t="shared" si="22"/>
        <v>Gastos_Gerais</v>
      </c>
      <c r="S447" s="504" t="str">
        <f>IF(D447="","",IF(OR(D447=Plano!$A$1,D447=Plano!$B$1),"entrada","saída"))</f>
        <v>saída</v>
      </c>
      <c r="T447" s="505" t="s">
        <v>114</v>
      </c>
      <c r="U447" s="505" t="s">
        <v>114</v>
      </c>
      <c r="V447" s="541"/>
    </row>
    <row r="448" spans="1:22" ht="45" customHeight="1" x14ac:dyDescent="0.2">
      <c r="A448" s="619">
        <f>IF(B448="","",COUNT('Diário 5º PA'!$A$5:$A$2634)+COUNT('Diário 6º PA'!$A$5:$A$2246)+COUNT('Diário 7º PA'!$A$5:$A$2271)+ROW()-4)</f>
        <v>4394</v>
      </c>
      <c r="B448" s="620">
        <v>44489</v>
      </c>
      <c r="C448" s="624">
        <v>44409</v>
      </c>
      <c r="D448" s="548" t="s">
        <v>99</v>
      </c>
      <c r="E448" s="548" t="s">
        <v>358</v>
      </c>
      <c r="F448" s="622">
        <v>744</v>
      </c>
      <c r="G448" s="623" t="s">
        <v>5170</v>
      </c>
      <c r="H448" s="548" t="s">
        <v>131</v>
      </c>
      <c r="I448" s="583" t="s">
        <v>530</v>
      </c>
      <c r="J448" s="548" t="s">
        <v>114</v>
      </c>
      <c r="K448" s="583" t="str">
        <f t="shared" ref="K448" si="24">+T448</f>
        <v>N/A</v>
      </c>
      <c r="L448" s="583" t="s">
        <v>547</v>
      </c>
      <c r="M448" s="619" t="s">
        <v>114</v>
      </c>
      <c r="N448" s="620">
        <v>44469</v>
      </c>
      <c r="O448" s="684" t="s">
        <v>67</v>
      </c>
      <c r="P448" s="503">
        <f t="shared" ref="P448:P511" si="25">IF(B448=0,0,IF(YEAR(B448)=$Q$1,MONTH(B448)-$P$1+1,(YEAR(B448)-$Q$1)*12-$P$1+1+MONTH(B448)))</f>
        <v>10</v>
      </c>
      <c r="Q448" s="503">
        <f t="shared" ref="Q448:Q511" si="26">IF(C448=0,0,IF(YEAR(C448)=$Q$1,MONTH(C448)-$P$1+1,(YEAR(C448)-$Q$1)*12-$P$1+1+MONTH(C448)))</f>
        <v>8</v>
      </c>
      <c r="R448" s="504" t="str">
        <f t="shared" ref="R448:R511" si="27">SUBSTITUTE(D448," ","_")</f>
        <v>Gastos_Gerais</v>
      </c>
      <c r="S448" s="504" t="str">
        <f>IF(D448="","",IF(OR(D448=Plano!$A$1,D448=Plano!$B$1),"entrada","saída"))</f>
        <v>saída</v>
      </c>
      <c r="T448" s="505" t="s">
        <v>114</v>
      </c>
      <c r="U448" s="505" t="s">
        <v>114</v>
      </c>
      <c r="V448" s="541"/>
    </row>
    <row r="449" spans="1:22" ht="45" customHeight="1" x14ac:dyDescent="0.2">
      <c r="A449" s="619">
        <f>IF(B449="","",COUNT('Diário 5º PA'!$A$5:$A$2634)+COUNT('Diário 6º PA'!$A$5:$A$2246)+COUNT('Diário 7º PA'!$A$5:$A$2271)+ROW()-4)</f>
        <v>4395</v>
      </c>
      <c r="B449" s="620">
        <v>44489</v>
      </c>
      <c r="C449" s="624">
        <v>44409</v>
      </c>
      <c r="D449" s="548" t="s">
        <v>99</v>
      </c>
      <c r="E449" s="548" t="s">
        <v>358</v>
      </c>
      <c r="F449" s="622">
        <v>744</v>
      </c>
      <c r="G449" s="623" t="s">
        <v>5188</v>
      </c>
      <c r="H449" s="548" t="s">
        <v>131</v>
      </c>
      <c r="I449" s="583" t="s">
        <v>530</v>
      </c>
      <c r="J449" s="548" t="s">
        <v>114</v>
      </c>
      <c r="K449" s="583" t="str">
        <f t="shared" ref="K449" si="28">+T449</f>
        <v>N/A</v>
      </c>
      <c r="L449" s="583" t="s">
        <v>547</v>
      </c>
      <c r="M449" s="619" t="s">
        <v>114</v>
      </c>
      <c r="N449" s="620">
        <v>44469</v>
      </c>
      <c r="O449" s="684" t="s">
        <v>67</v>
      </c>
      <c r="P449" s="503">
        <f t="shared" si="25"/>
        <v>10</v>
      </c>
      <c r="Q449" s="503">
        <f t="shared" si="26"/>
        <v>8</v>
      </c>
      <c r="R449" s="504" t="str">
        <f t="shared" si="27"/>
        <v>Gastos_Gerais</v>
      </c>
      <c r="S449" s="504" t="str">
        <f>IF(D449="","",IF(OR(D449=Plano!$A$1,D449=Plano!$B$1),"entrada","saída"))</f>
        <v>saída</v>
      </c>
      <c r="T449" s="505" t="s">
        <v>114</v>
      </c>
      <c r="U449" s="505" t="s">
        <v>114</v>
      </c>
      <c r="V449" s="541"/>
    </row>
    <row r="450" spans="1:22" ht="45" customHeight="1" x14ac:dyDescent="0.2">
      <c r="A450" s="619">
        <f>IF(B450="","",COUNT('Diário 5º PA'!$A$5:$A$2634)+COUNT('Diário 6º PA'!$A$5:$A$2246)+COUNT('Diário 7º PA'!$A$5:$A$2271)+ROW()-4)</f>
        <v>4396</v>
      </c>
      <c r="B450" s="620">
        <v>44489</v>
      </c>
      <c r="C450" s="624">
        <v>44409</v>
      </c>
      <c r="D450" s="548" t="s">
        <v>99</v>
      </c>
      <c r="E450" s="548" t="s">
        <v>358</v>
      </c>
      <c r="F450" s="622">
        <v>744</v>
      </c>
      <c r="G450" s="623" t="s">
        <v>725</v>
      </c>
      <c r="H450" s="548" t="s">
        <v>131</v>
      </c>
      <c r="I450" s="583" t="s">
        <v>530</v>
      </c>
      <c r="J450" s="548" t="s">
        <v>114</v>
      </c>
      <c r="K450" s="583" t="str">
        <f t="shared" ref="K450" si="29">+T450</f>
        <v>N/A</v>
      </c>
      <c r="L450" s="583" t="s">
        <v>547</v>
      </c>
      <c r="M450" s="619" t="s">
        <v>114</v>
      </c>
      <c r="N450" s="620">
        <v>44469</v>
      </c>
      <c r="O450" s="684" t="s">
        <v>67</v>
      </c>
      <c r="P450" s="503">
        <f t="shared" si="25"/>
        <v>10</v>
      </c>
      <c r="Q450" s="503">
        <f t="shared" si="26"/>
        <v>8</v>
      </c>
      <c r="R450" s="504" t="str">
        <f t="shared" si="27"/>
        <v>Gastos_Gerais</v>
      </c>
      <c r="S450" s="504" t="str">
        <f>IF(D450="","",IF(OR(D450=Plano!$A$1,D450=Plano!$B$1),"entrada","saída"))</f>
        <v>saída</v>
      </c>
      <c r="T450" s="505" t="s">
        <v>114</v>
      </c>
      <c r="U450" s="505" t="s">
        <v>114</v>
      </c>
      <c r="V450" s="541"/>
    </row>
    <row r="451" spans="1:22" ht="45" customHeight="1" x14ac:dyDescent="0.2">
      <c r="A451" s="619">
        <f>IF(B451="","",COUNT('Diário 5º PA'!$A$5:$A$2634)+COUNT('Diário 6º PA'!$A$5:$A$2246)+COUNT('Diário 7º PA'!$A$5:$A$2271)+ROW()-4)</f>
        <v>4397</v>
      </c>
      <c r="B451" s="620">
        <v>44489</v>
      </c>
      <c r="C451" s="624">
        <v>44409</v>
      </c>
      <c r="D451" s="548" t="s">
        <v>99</v>
      </c>
      <c r="E451" s="548" t="s">
        <v>358</v>
      </c>
      <c r="F451" s="622">
        <v>744</v>
      </c>
      <c r="G451" s="630" t="s">
        <v>5246</v>
      </c>
      <c r="H451" s="548" t="s">
        <v>131</v>
      </c>
      <c r="I451" s="631" t="s">
        <v>530</v>
      </c>
      <c r="J451" s="548" t="s">
        <v>114</v>
      </c>
      <c r="K451" s="583" t="str">
        <f t="shared" ref="K451" si="30">+T451</f>
        <v>N/A</v>
      </c>
      <c r="L451" s="583" t="s">
        <v>547</v>
      </c>
      <c r="M451" s="619" t="s">
        <v>114</v>
      </c>
      <c r="N451" s="620">
        <v>44469</v>
      </c>
      <c r="O451" s="684" t="s">
        <v>67</v>
      </c>
      <c r="P451" s="503">
        <f t="shared" si="25"/>
        <v>10</v>
      </c>
      <c r="Q451" s="503">
        <f t="shared" si="26"/>
        <v>8</v>
      </c>
      <c r="R451" s="504" t="str">
        <f t="shared" si="27"/>
        <v>Gastos_Gerais</v>
      </c>
      <c r="S451" s="504" t="str">
        <f>IF(D451="","",IF(OR(D451=Plano!$A$1,D451=Plano!$B$1),"entrada","saída"))</f>
        <v>saída</v>
      </c>
      <c r="T451" s="505" t="s">
        <v>114</v>
      </c>
      <c r="U451" s="505" t="s">
        <v>114</v>
      </c>
      <c r="V451" s="541"/>
    </row>
    <row r="452" spans="1:22" ht="45" customHeight="1" x14ac:dyDescent="0.2">
      <c r="A452" s="619">
        <f>IF(B452="","",COUNT('Diário 5º PA'!$A$5:$A$2634)+COUNT('Diário 6º PA'!$A$5:$A$2246)+COUNT('Diário 7º PA'!$A$5:$A$2271)+ROW()-4)</f>
        <v>4398</v>
      </c>
      <c r="B452" s="620">
        <v>44489</v>
      </c>
      <c r="C452" s="624">
        <v>44440</v>
      </c>
      <c r="D452" s="548" t="s">
        <v>99</v>
      </c>
      <c r="E452" s="548" t="s">
        <v>358</v>
      </c>
      <c r="F452" s="622">
        <v>62</v>
      </c>
      <c r="G452" s="623" t="s">
        <v>5704</v>
      </c>
      <c r="H452" s="548" t="s">
        <v>125</v>
      </c>
      <c r="I452" s="583" t="s">
        <v>530</v>
      </c>
      <c r="J452" s="548" t="s">
        <v>114</v>
      </c>
      <c r="K452" s="583" t="str">
        <f t="shared" ref="K452" si="31">+T452</f>
        <v>N/A</v>
      </c>
      <c r="L452" s="583" t="s">
        <v>547</v>
      </c>
      <c r="M452" s="619" t="s">
        <v>114</v>
      </c>
      <c r="N452" s="620">
        <v>44469</v>
      </c>
      <c r="O452" s="684" t="s">
        <v>67</v>
      </c>
      <c r="P452" s="503">
        <f t="shared" si="25"/>
        <v>10</v>
      </c>
      <c r="Q452" s="503">
        <f t="shared" si="26"/>
        <v>9</v>
      </c>
      <c r="R452" s="504" t="str">
        <f t="shared" si="27"/>
        <v>Gastos_Gerais</v>
      </c>
      <c r="S452" s="504" t="str">
        <f>IF(D452="","",IF(OR(D452=Plano!$A$1,D452=Plano!$B$1),"entrada","saída"))</f>
        <v>saída</v>
      </c>
      <c r="T452" s="505" t="s">
        <v>114</v>
      </c>
      <c r="U452" s="505" t="s">
        <v>114</v>
      </c>
      <c r="V452" s="541"/>
    </row>
    <row r="453" spans="1:22" ht="45" customHeight="1" x14ac:dyDescent="0.2">
      <c r="A453" s="619">
        <f>IF(B453="","",COUNT('Diário 5º PA'!$A$5:$A$2634)+COUNT('Diário 6º PA'!$A$5:$A$2246)+COUNT('Diário 7º PA'!$A$5:$A$2271)+ROW()-4)</f>
        <v>4399</v>
      </c>
      <c r="B453" s="620">
        <v>44489</v>
      </c>
      <c r="C453" s="624">
        <v>44409</v>
      </c>
      <c r="D453" s="548" t="s">
        <v>99</v>
      </c>
      <c r="E453" s="548" t="s">
        <v>342</v>
      </c>
      <c r="F453" s="622">
        <v>1085</v>
      </c>
      <c r="G453" s="623" t="s">
        <v>807</v>
      </c>
      <c r="H453" s="548" t="s">
        <v>131</v>
      </c>
      <c r="I453" s="583" t="s">
        <v>530</v>
      </c>
      <c r="J453" s="548" t="s">
        <v>114</v>
      </c>
      <c r="K453" s="583" t="str">
        <f t="shared" ref="K453:K454" si="32">+T453</f>
        <v>N/A</v>
      </c>
      <c r="L453" s="583" t="s">
        <v>547</v>
      </c>
      <c r="M453" s="619" t="s">
        <v>114</v>
      </c>
      <c r="N453" s="620">
        <v>44469</v>
      </c>
      <c r="O453" s="684" t="s">
        <v>67</v>
      </c>
      <c r="P453" s="503">
        <f t="shared" si="25"/>
        <v>10</v>
      </c>
      <c r="Q453" s="503">
        <f t="shared" si="26"/>
        <v>8</v>
      </c>
      <c r="R453" s="504" t="str">
        <f t="shared" si="27"/>
        <v>Gastos_Gerais</v>
      </c>
      <c r="S453" s="504" t="str">
        <f>IF(D453="","",IF(OR(D453=Plano!$A$1,D453=Plano!$B$1),"entrada","saída"))</f>
        <v>saída</v>
      </c>
      <c r="T453" s="505" t="s">
        <v>114</v>
      </c>
      <c r="U453" s="505" t="s">
        <v>114</v>
      </c>
      <c r="V453" s="541"/>
    </row>
    <row r="454" spans="1:22" ht="45" customHeight="1" x14ac:dyDescent="0.2">
      <c r="A454" s="619">
        <f>IF(B454="","",COUNT('Diário 5º PA'!$A$5:$A$2634)+COUNT('Diário 6º PA'!$A$5:$A$2246)+COUNT('Diário 7º PA'!$A$5:$A$2271)+ROW()-4)</f>
        <v>4400</v>
      </c>
      <c r="B454" s="620">
        <v>44489</v>
      </c>
      <c r="C454" s="624">
        <v>44409</v>
      </c>
      <c r="D454" s="548" t="s">
        <v>99</v>
      </c>
      <c r="E454" s="548" t="s">
        <v>358</v>
      </c>
      <c r="F454" s="622">
        <v>744</v>
      </c>
      <c r="G454" s="623" t="s">
        <v>719</v>
      </c>
      <c r="H454" s="548" t="s">
        <v>131</v>
      </c>
      <c r="I454" s="583" t="s">
        <v>530</v>
      </c>
      <c r="J454" s="548" t="s">
        <v>114</v>
      </c>
      <c r="K454" s="583" t="str">
        <f t="shared" si="32"/>
        <v>N/A</v>
      </c>
      <c r="L454" s="583" t="s">
        <v>547</v>
      </c>
      <c r="M454" s="619" t="s">
        <v>114</v>
      </c>
      <c r="N454" s="620">
        <v>44469</v>
      </c>
      <c r="O454" s="684" t="s">
        <v>67</v>
      </c>
      <c r="P454" s="503">
        <f t="shared" si="25"/>
        <v>10</v>
      </c>
      <c r="Q454" s="503">
        <f t="shared" si="26"/>
        <v>8</v>
      </c>
      <c r="R454" s="504" t="str">
        <f t="shared" si="27"/>
        <v>Gastos_Gerais</v>
      </c>
      <c r="S454" s="504" t="str">
        <f>IF(D454="","",IF(OR(D454=Plano!$A$1,D454=Plano!$B$1),"entrada","saída"))</f>
        <v>saída</v>
      </c>
      <c r="T454" s="505" t="s">
        <v>114</v>
      </c>
      <c r="U454" s="505" t="s">
        <v>114</v>
      </c>
      <c r="V454" s="541"/>
    </row>
    <row r="455" spans="1:22" ht="45" customHeight="1" x14ac:dyDescent="0.2">
      <c r="A455" s="619">
        <f>IF(B455="","",COUNT('Diário 5º PA'!$A$5:$A$2634)+COUNT('Diário 6º PA'!$A$5:$A$2246)+COUNT('Diário 7º PA'!$A$5:$A$2271)+ROW()-4)</f>
        <v>4401</v>
      </c>
      <c r="B455" s="620">
        <v>44489</v>
      </c>
      <c r="C455" s="624">
        <v>44409</v>
      </c>
      <c r="D455" s="548" t="s">
        <v>99</v>
      </c>
      <c r="E455" s="548" t="s">
        <v>358</v>
      </c>
      <c r="F455" s="622">
        <v>744</v>
      </c>
      <c r="G455" s="623" t="s">
        <v>5193</v>
      </c>
      <c r="H455" s="548" t="s">
        <v>131</v>
      </c>
      <c r="I455" s="583" t="s">
        <v>530</v>
      </c>
      <c r="J455" s="548" t="s">
        <v>114</v>
      </c>
      <c r="K455" s="583" t="str">
        <f t="shared" ref="K455" si="33">+T455</f>
        <v>N/A</v>
      </c>
      <c r="L455" s="583" t="s">
        <v>547</v>
      </c>
      <c r="M455" s="619" t="s">
        <v>114</v>
      </c>
      <c r="N455" s="620">
        <v>44469</v>
      </c>
      <c r="O455" s="684" t="s">
        <v>67</v>
      </c>
      <c r="P455" s="503">
        <f t="shared" si="25"/>
        <v>10</v>
      </c>
      <c r="Q455" s="503">
        <f t="shared" si="26"/>
        <v>8</v>
      </c>
      <c r="R455" s="504" t="str">
        <f t="shared" si="27"/>
        <v>Gastos_Gerais</v>
      </c>
      <c r="S455" s="504" t="str">
        <f>IF(D455="","",IF(OR(D455=Plano!$A$1,D455=Plano!$B$1),"entrada","saída"))</f>
        <v>saída</v>
      </c>
      <c r="T455" s="505" t="s">
        <v>114</v>
      </c>
      <c r="U455" s="505" t="s">
        <v>114</v>
      </c>
      <c r="V455" s="541"/>
    </row>
    <row r="456" spans="1:22" ht="45" customHeight="1" x14ac:dyDescent="0.2">
      <c r="A456" s="619">
        <f>IF(B456="","",COUNT('Diário 5º PA'!$A$5:$A$2634)+COUNT('Diário 6º PA'!$A$5:$A$2246)+COUNT('Diário 7º PA'!$A$5:$A$2271)+ROW()-4)</f>
        <v>4402</v>
      </c>
      <c r="B456" s="620">
        <v>44489</v>
      </c>
      <c r="C456" s="624">
        <v>44409</v>
      </c>
      <c r="D456" s="548" t="s">
        <v>99</v>
      </c>
      <c r="E456" s="548" t="s">
        <v>266</v>
      </c>
      <c r="F456" s="622">
        <v>1316.7</v>
      </c>
      <c r="G456" s="623" t="s">
        <v>5224</v>
      </c>
      <c r="H456" s="548" t="s">
        <v>131</v>
      </c>
      <c r="I456" s="583" t="s">
        <v>530</v>
      </c>
      <c r="J456" s="548" t="s">
        <v>114</v>
      </c>
      <c r="K456" s="583" t="str">
        <f t="shared" ref="K456" si="34">+T456</f>
        <v>N/A</v>
      </c>
      <c r="L456" s="583" t="s">
        <v>547</v>
      </c>
      <c r="M456" s="619" t="s">
        <v>114</v>
      </c>
      <c r="N456" s="620">
        <v>44469</v>
      </c>
      <c r="O456" s="684" t="s">
        <v>67</v>
      </c>
      <c r="P456" s="503">
        <f t="shared" si="25"/>
        <v>10</v>
      </c>
      <c r="Q456" s="503">
        <f t="shared" si="26"/>
        <v>8</v>
      </c>
      <c r="R456" s="504" t="str">
        <f t="shared" si="27"/>
        <v>Gastos_Gerais</v>
      </c>
      <c r="S456" s="504" t="str">
        <f>IF(D456="","",IF(OR(D456=Plano!$A$1,D456=Plano!$B$1),"entrada","saída"))</f>
        <v>saída</v>
      </c>
      <c r="T456" s="505" t="s">
        <v>114</v>
      </c>
      <c r="U456" s="505" t="s">
        <v>114</v>
      </c>
      <c r="V456" s="541"/>
    </row>
    <row r="457" spans="1:22" ht="45" customHeight="1" x14ac:dyDescent="0.2">
      <c r="A457" s="619">
        <f>IF(B457="","",COUNT('Diário 5º PA'!$A$5:$A$2634)+COUNT('Diário 6º PA'!$A$5:$A$2246)+COUNT('Diário 7º PA'!$A$5:$A$2271)+ROW()-4)</f>
        <v>4403</v>
      </c>
      <c r="B457" s="620">
        <v>44489</v>
      </c>
      <c r="C457" s="624">
        <v>44409</v>
      </c>
      <c r="D457" s="548" t="s">
        <v>99</v>
      </c>
      <c r="E457" s="548" t="s">
        <v>350</v>
      </c>
      <c r="F457" s="622">
        <v>44.7</v>
      </c>
      <c r="G457" s="630" t="s">
        <v>5242</v>
      </c>
      <c r="H457" s="548" t="s">
        <v>132</v>
      </c>
      <c r="I457" s="631" t="s">
        <v>488</v>
      </c>
      <c r="J457" s="629" t="s">
        <v>114</v>
      </c>
      <c r="K457" s="583" t="s">
        <v>466</v>
      </c>
      <c r="L457" s="583" t="s">
        <v>489</v>
      </c>
      <c r="M457" s="619" t="s">
        <v>114</v>
      </c>
      <c r="N457" s="620">
        <v>44469</v>
      </c>
      <c r="O457" s="684" t="s">
        <v>67</v>
      </c>
      <c r="P457" s="503">
        <f t="shared" si="25"/>
        <v>10</v>
      </c>
      <c r="Q457" s="503">
        <f t="shared" si="26"/>
        <v>8</v>
      </c>
      <c r="R457" s="504" t="str">
        <f t="shared" si="27"/>
        <v>Gastos_Gerais</v>
      </c>
      <c r="S457" s="504" t="str">
        <f>IF(D457="","",IF(OR(D457=Plano!$A$1,D457=Plano!$B$1),"entrada","saída"))</f>
        <v>saída</v>
      </c>
      <c r="T457" s="505" t="s">
        <v>114</v>
      </c>
      <c r="U457" s="505" t="s">
        <v>114</v>
      </c>
      <c r="V457" s="541"/>
    </row>
    <row r="458" spans="1:22" ht="44.25" customHeight="1" x14ac:dyDescent="0.2">
      <c r="A458" s="619">
        <f>IF(B458="","",COUNT('Diário 5º PA'!$A$5:$A$2634)+COUNT('Diário 6º PA'!$A$5:$A$2246)+COUNT('Diário 7º PA'!$A$5:$A$2271)+ROW()-4)</f>
        <v>4404</v>
      </c>
      <c r="B458" s="620">
        <v>44489</v>
      </c>
      <c r="C458" s="624">
        <v>44409</v>
      </c>
      <c r="D458" s="548" t="s">
        <v>99</v>
      </c>
      <c r="E458" s="548" t="s">
        <v>350</v>
      </c>
      <c r="F458" s="622">
        <v>44.7</v>
      </c>
      <c r="G458" s="623" t="s">
        <v>5315</v>
      </c>
      <c r="H458" s="548" t="s">
        <v>132</v>
      </c>
      <c r="I458" s="583" t="s">
        <v>488</v>
      </c>
      <c r="J458" s="548" t="s">
        <v>114</v>
      </c>
      <c r="K458" s="583" t="s">
        <v>466</v>
      </c>
      <c r="L458" s="583" t="s">
        <v>489</v>
      </c>
      <c r="M458" s="619" t="s">
        <v>114</v>
      </c>
      <c r="N458" s="620">
        <v>44469</v>
      </c>
      <c r="O458" s="684" t="s">
        <v>67</v>
      </c>
      <c r="P458" s="503">
        <f t="shared" si="25"/>
        <v>10</v>
      </c>
      <c r="Q458" s="503">
        <f t="shared" si="26"/>
        <v>8</v>
      </c>
      <c r="R458" s="504" t="str">
        <f t="shared" si="27"/>
        <v>Gastos_Gerais</v>
      </c>
      <c r="S458" s="504" t="str">
        <f>IF(D458="","",IF(OR(D458=Plano!$A$1,D458=Plano!$B$1),"entrada","saída"))</f>
        <v>saída</v>
      </c>
      <c r="T458" s="505" t="s">
        <v>114</v>
      </c>
      <c r="U458" s="505" t="s">
        <v>114</v>
      </c>
      <c r="V458" s="541"/>
    </row>
    <row r="459" spans="1:22" ht="39.75" customHeight="1" x14ac:dyDescent="0.2">
      <c r="A459" s="619">
        <f>IF(B459="","",COUNT('Diário 5º PA'!$A$5:$A$2634)+COUNT('Diário 6º PA'!$A$5:$A$2246)+COUNT('Diário 7º PA'!$A$5:$A$2271)+ROW()-4)</f>
        <v>4405</v>
      </c>
      <c r="B459" s="620">
        <v>44489</v>
      </c>
      <c r="C459" s="624">
        <v>44409</v>
      </c>
      <c r="D459" s="548" t="s">
        <v>99</v>
      </c>
      <c r="E459" s="548" t="s">
        <v>208</v>
      </c>
      <c r="F459" s="622">
        <v>1881</v>
      </c>
      <c r="G459" s="623" t="s">
        <v>517</v>
      </c>
      <c r="H459" s="548" t="s">
        <v>115</v>
      </c>
      <c r="I459" s="583" t="s">
        <v>488</v>
      </c>
      <c r="J459" s="548" t="s">
        <v>114</v>
      </c>
      <c r="K459" s="583" t="s">
        <v>466</v>
      </c>
      <c r="L459" s="583" t="s">
        <v>489</v>
      </c>
      <c r="M459" s="619" t="s">
        <v>114</v>
      </c>
      <c r="N459" s="620">
        <v>44469</v>
      </c>
      <c r="O459" s="684" t="s">
        <v>67</v>
      </c>
      <c r="P459" s="503">
        <f t="shared" si="25"/>
        <v>10</v>
      </c>
      <c r="Q459" s="503">
        <f t="shared" si="26"/>
        <v>8</v>
      </c>
      <c r="R459" s="504" t="str">
        <f t="shared" si="27"/>
        <v>Gastos_Gerais</v>
      </c>
      <c r="S459" s="504" t="str">
        <f>IF(D459="","",IF(OR(D459=Plano!$A$1,D459=Plano!$B$1),"entrada","saída"))</f>
        <v>saída</v>
      </c>
      <c r="T459" s="505" t="s">
        <v>114</v>
      </c>
      <c r="U459" s="505" t="s">
        <v>114</v>
      </c>
      <c r="V459" s="541"/>
    </row>
    <row r="460" spans="1:22" ht="46.5" customHeight="1" x14ac:dyDescent="0.2">
      <c r="A460" s="619">
        <f>IF(B460="","",COUNT('Diário 5º PA'!$A$5:$A$2634)+COUNT('Diário 6º PA'!$A$5:$A$2246)+COUNT('Diário 7º PA'!$A$5:$A$2271)+ROW()-4)</f>
        <v>4406</v>
      </c>
      <c r="B460" s="620">
        <v>44489</v>
      </c>
      <c r="C460" s="624">
        <v>44440</v>
      </c>
      <c r="D460" s="548" t="s">
        <v>99</v>
      </c>
      <c r="E460" s="548" t="s">
        <v>228</v>
      </c>
      <c r="F460" s="622">
        <v>127.5</v>
      </c>
      <c r="G460" s="623" t="s">
        <v>5607</v>
      </c>
      <c r="H460" s="548" t="s">
        <v>115</v>
      </c>
      <c r="I460" s="583" t="s">
        <v>488</v>
      </c>
      <c r="J460" s="548" t="s">
        <v>114</v>
      </c>
      <c r="K460" s="583" t="s">
        <v>466</v>
      </c>
      <c r="L460" s="583" t="s">
        <v>489</v>
      </c>
      <c r="M460" s="619" t="s">
        <v>114</v>
      </c>
      <c r="N460" s="620">
        <v>44469</v>
      </c>
      <c r="O460" s="684" t="s">
        <v>67</v>
      </c>
      <c r="P460" s="503">
        <f t="shared" si="25"/>
        <v>10</v>
      </c>
      <c r="Q460" s="503">
        <f t="shared" si="26"/>
        <v>9</v>
      </c>
      <c r="R460" s="504" t="str">
        <f t="shared" si="27"/>
        <v>Gastos_Gerais</v>
      </c>
      <c r="S460" s="504" t="str">
        <f>IF(D460="","",IF(OR(D460=Plano!$A$1,D460=Plano!$B$1),"entrada","saída"))</f>
        <v>saída</v>
      </c>
      <c r="T460" s="505" t="s">
        <v>114</v>
      </c>
      <c r="U460" s="505" t="s">
        <v>114</v>
      </c>
      <c r="V460" s="541"/>
    </row>
    <row r="461" spans="1:22" ht="43.5" customHeight="1" x14ac:dyDescent="0.2">
      <c r="A461" s="619">
        <f>IF(B461="","",COUNT('Diário 5º PA'!$A$5:$A$2634)+COUNT('Diário 6º PA'!$A$5:$A$2246)+COUNT('Diário 7º PA'!$A$5:$A$2271)+ROW()-4)</f>
        <v>4407</v>
      </c>
      <c r="B461" s="620">
        <v>44489</v>
      </c>
      <c r="C461" s="624">
        <v>44409</v>
      </c>
      <c r="D461" s="548" t="s">
        <v>88</v>
      </c>
      <c r="E461" s="548" t="s">
        <v>183</v>
      </c>
      <c r="F461" s="622">
        <v>11.82</v>
      </c>
      <c r="G461" s="623" t="s">
        <v>5869</v>
      </c>
      <c r="H461" s="548" t="s">
        <v>114</v>
      </c>
      <c r="I461" s="583" t="s">
        <v>488</v>
      </c>
      <c r="J461" s="548" t="s">
        <v>114</v>
      </c>
      <c r="K461" s="583" t="s">
        <v>466</v>
      </c>
      <c r="L461" s="583" t="s">
        <v>489</v>
      </c>
      <c r="M461" s="619" t="s">
        <v>114</v>
      </c>
      <c r="N461" s="620">
        <v>44469</v>
      </c>
      <c r="O461" s="684" t="s">
        <v>67</v>
      </c>
      <c r="P461" s="503">
        <f t="shared" si="25"/>
        <v>10</v>
      </c>
      <c r="Q461" s="503">
        <f t="shared" si="26"/>
        <v>8</v>
      </c>
      <c r="R461" s="504" t="str">
        <f t="shared" si="27"/>
        <v>Gastos_com_Pessoal</v>
      </c>
      <c r="S461" s="504" t="str">
        <f>IF(D461="","",IF(OR(D461=Plano!$A$1,D461=Plano!$B$1),"entrada","saída"))</f>
        <v>saída</v>
      </c>
      <c r="T461" s="505" t="s">
        <v>114</v>
      </c>
      <c r="U461" s="505" t="s">
        <v>114</v>
      </c>
      <c r="V461" s="541"/>
    </row>
    <row r="462" spans="1:22" ht="42" customHeight="1" x14ac:dyDescent="0.2">
      <c r="A462" s="619">
        <f>IF(B462="","",COUNT('Diário 5º PA'!$A$5:$A$2634)+COUNT('Diário 6º PA'!$A$5:$A$2246)+COUNT('Diário 7º PA'!$A$5:$A$2271)+ROW()-4)</f>
        <v>4408</v>
      </c>
      <c r="B462" s="620">
        <v>44489</v>
      </c>
      <c r="C462" s="624">
        <v>44409</v>
      </c>
      <c r="D462" s="548" t="s">
        <v>99</v>
      </c>
      <c r="E462" s="548" t="s">
        <v>228</v>
      </c>
      <c r="F462" s="622">
        <v>222.04</v>
      </c>
      <c r="G462" s="623" t="s">
        <v>491</v>
      </c>
      <c r="H462" s="548" t="s">
        <v>115</v>
      </c>
      <c r="I462" s="583" t="s">
        <v>488</v>
      </c>
      <c r="J462" s="548" t="s">
        <v>114</v>
      </c>
      <c r="K462" s="583" t="s">
        <v>466</v>
      </c>
      <c r="L462" s="583" t="s">
        <v>489</v>
      </c>
      <c r="M462" s="619" t="s">
        <v>114</v>
      </c>
      <c r="N462" s="620">
        <v>44469</v>
      </c>
      <c r="O462" s="684" t="s">
        <v>67</v>
      </c>
      <c r="P462" s="503">
        <f t="shared" si="25"/>
        <v>10</v>
      </c>
      <c r="Q462" s="503">
        <f t="shared" si="26"/>
        <v>8</v>
      </c>
      <c r="R462" s="504" t="str">
        <f t="shared" si="27"/>
        <v>Gastos_Gerais</v>
      </c>
      <c r="S462" s="504" t="str">
        <f>IF(D462="","",IF(OR(D462=Plano!$A$1,D462=Plano!$B$1),"entrada","saída"))</f>
        <v>saída</v>
      </c>
      <c r="T462" s="505" t="s">
        <v>114</v>
      </c>
      <c r="U462" s="505" t="s">
        <v>114</v>
      </c>
      <c r="V462" s="541"/>
    </row>
    <row r="463" spans="1:22" ht="37.5" customHeight="1" x14ac:dyDescent="0.2">
      <c r="A463" s="619">
        <f>IF(B463="","",COUNT('Diário 5º PA'!$A$5:$A$2634)+COUNT('Diário 6º PA'!$A$5:$A$2246)+COUNT('Diário 7º PA'!$A$5:$A$2271)+ROW()-4)</f>
        <v>4409</v>
      </c>
      <c r="B463" s="620">
        <v>44489</v>
      </c>
      <c r="C463" s="624">
        <v>44440</v>
      </c>
      <c r="D463" s="548" t="s">
        <v>88</v>
      </c>
      <c r="E463" s="548" t="s">
        <v>183</v>
      </c>
      <c r="F463" s="622">
        <v>17.2</v>
      </c>
      <c r="G463" s="623" t="s">
        <v>5870</v>
      </c>
      <c r="H463" s="548" t="s">
        <v>114</v>
      </c>
      <c r="I463" s="583" t="s">
        <v>488</v>
      </c>
      <c r="J463" s="548" t="s">
        <v>114</v>
      </c>
      <c r="K463" s="583" t="s">
        <v>466</v>
      </c>
      <c r="L463" s="583" t="s">
        <v>489</v>
      </c>
      <c r="M463" s="619" t="s">
        <v>114</v>
      </c>
      <c r="N463" s="620">
        <v>44469</v>
      </c>
      <c r="O463" s="684" t="s">
        <v>67</v>
      </c>
      <c r="P463" s="503">
        <f t="shared" si="25"/>
        <v>10</v>
      </c>
      <c r="Q463" s="503">
        <f t="shared" si="26"/>
        <v>9</v>
      </c>
      <c r="R463" s="504" t="str">
        <f t="shared" si="27"/>
        <v>Gastos_com_Pessoal</v>
      </c>
      <c r="S463" s="504" t="str">
        <f>IF(D463="","",IF(OR(D463=Plano!$A$1,D463=Plano!$B$1),"entrada","saída"))</f>
        <v>saída</v>
      </c>
      <c r="T463" s="505" t="s">
        <v>114</v>
      </c>
      <c r="U463" s="505" t="s">
        <v>114</v>
      </c>
      <c r="V463" s="541"/>
    </row>
    <row r="464" spans="1:22" ht="39" customHeight="1" x14ac:dyDescent="0.2">
      <c r="A464" s="619">
        <f>IF(B464="","",COUNT('Diário 5º PA'!$A$5:$A$2634)+COUNT('Diário 6º PA'!$A$5:$A$2246)+COUNT('Diário 7º PA'!$A$5:$A$2271)+ROW()-4)</f>
        <v>4410</v>
      </c>
      <c r="B464" s="620">
        <v>44489</v>
      </c>
      <c r="C464" s="624">
        <v>44440</v>
      </c>
      <c r="D464" s="548" t="s">
        <v>88</v>
      </c>
      <c r="E464" s="548" t="s">
        <v>90</v>
      </c>
      <c r="F464" s="622">
        <v>13227.72</v>
      </c>
      <c r="G464" s="623" t="s">
        <v>5528</v>
      </c>
      <c r="H464" s="548" t="s">
        <v>114</v>
      </c>
      <c r="I464" s="583" t="s">
        <v>530</v>
      </c>
      <c r="J464" s="548" t="s">
        <v>114</v>
      </c>
      <c r="K464" s="583" t="s">
        <v>466</v>
      </c>
      <c r="L464" s="583" t="s">
        <v>547</v>
      </c>
      <c r="M464" s="619" t="s">
        <v>114</v>
      </c>
      <c r="N464" s="620">
        <v>44469</v>
      </c>
      <c r="O464" s="684" t="s">
        <v>67</v>
      </c>
      <c r="P464" s="503">
        <f t="shared" si="25"/>
        <v>10</v>
      </c>
      <c r="Q464" s="503">
        <f t="shared" si="26"/>
        <v>9</v>
      </c>
      <c r="R464" s="504" t="str">
        <f t="shared" si="27"/>
        <v>Gastos_com_Pessoal</v>
      </c>
      <c r="S464" s="504" t="str">
        <f>IF(D464="","",IF(OR(D464=Plano!$A$1,D464=Plano!$B$1),"entrada","saída"))</f>
        <v>saída</v>
      </c>
      <c r="T464" s="546" t="s">
        <v>114</v>
      </c>
      <c r="U464" s="546" t="s">
        <v>114</v>
      </c>
      <c r="V464" s="541"/>
    </row>
    <row r="465" spans="1:22" ht="31.5" customHeight="1" x14ac:dyDescent="0.2">
      <c r="A465" s="619">
        <f>IF(B465="","",COUNT('Diário 5º PA'!$A$5:$A$2634)+COUNT('Diário 6º PA'!$A$5:$A$2246)+COUNT('Diário 7º PA'!$A$5:$A$2271)+ROW()-4)</f>
        <v>4411</v>
      </c>
      <c r="B465" s="620">
        <v>44489</v>
      </c>
      <c r="C465" s="624">
        <v>44440</v>
      </c>
      <c r="D465" s="548" t="s">
        <v>88</v>
      </c>
      <c r="E465" s="548" t="s">
        <v>167</v>
      </c>
      <c r="F465" s="622">
        <v>41994.239999999998</v>
      </c>
      <c r="G465" s="623" t="s">
        <v>5871</v>
      </c>
      <c r="H465" s="548" t="s">
        <v>114</v>
      </c>
      <c r="I465" s="583" t="s">
        <v>530</v>
      </c>
      <c r="J465" s="548" t="s">
        <v>114</v>
      </c>
      <c r="K465" s="583" t="s">
        <v>466</v>
      </c>
      <c r="L465" s="583" t="s">
        <v>547</v>
      </c>
      <c r="M465" s="619" t="s">
        <v>114</v>
      </c>
      <c r="N465" s="620">
        <v>44469</v>
      </c>
      <c r="O465" s="684" t="s">
        <v>67</v>
      </c>
      <c r="P465" s="503">
        <f t="shared" si="25"/>
        <v>10</v>
      </c>
      <c r="Q465" s="503">
        <f t="shared" si="26"/>
        <v>9</v>
      </c>
      <c r="R465" s="504" t="str">
        <f t="shared" si="27"/>
        <v>Gastos_com_Pessoal</v>
      </c>
      <c r="S465" s="504" t="str">
        <f>IF(D465="","",IF(OR(D465=Plano!$A$1,D465=Plano!$B$1),"entrada","saída"))</f>
        <v>saída</v>
      </c>
      <c r="T465" s="546" t="s">
        <v>114</v>
      </c>
      <c r="U465" s="546" t="s">
        <v>114</v>
      </c>
      <c r="V465" s="541"/>
    </row>
    <row r="466" spans="1:22" s="518" customFormat="1" ht="48.75" customHeight="1" x14ac:dyDescent="0.2">
      <c r="A466" s="619">
        <f>IF(B466="","",COUNT('Diário 5º PA'!$A$5:$A$2634)+COUNT('Diário 6º PA'!$A$5:$A$2246)+COUNT('Diário 7º PA'!$A$5:$A$2271)+ROW()-4)</f>
        <v>4412</v>
      </c>
      <c r="B466" s="620">
        <v>44489</v>
      </c>
      <c r="C466" s="624">
        <v>44409</v>
      </c>
      <c r="D466" s="548" t="s">
        <v>104</v>
      </c>
      <c r="E466" s="548" t="s">
        <v>104</v>
      </c>
      <c r="F466" s="622">
        <v>24.08</v>
      </c>
      <c r="G466" s="630" t="s">
        <v>5250</v>
      </c>
      <c r="H466" s="548" t="s">
        <v>104</v>
      </c>
      <c r="I466" s="631" t="s">
        <v>488</v>
      </c>
      <c r="J466" s="629" t="s">
        <v>114</v>
      </c>
      <c r="K466" s="583" t="s">
        <v>466</v>
      </c>
      <c r="L466" s="631" t="s">
        <v>489</v>
      </c>
      <c r="M466" s="619" t="s">
        <v>114</v>
      </c>
      <c r="N466" s="620">
        <v>44469</v>
      </c>
      <c r="O466" s="684" t="s">
        <v>68</v>
      </c>
      <c r="P466" s="503">
        <f t="shared" si="25"/>
        <v>10</v>
      </c>
      <c r="Q466" s="503">
        <f t="shared" si="26"/>
        <v>8</v>
      </c>
      <c r="R466" s="504" t="str">
        <f t="shared" si="27"/>
        <v>Gastos_custeados_por_captação</v>
      </c>
      <c r="S466" s="504" t="str">
        <f>IF(D466="","",IF(OR(D466=Plano!$A$1,D466=Plano!$B$1),"entrada","saída"))</f>
        <v>saída</v>
      </c>
      <c r="T466" s="546" t="s">
        <v>114</v>
      </c>
      <c r="U466" s="546" t="s">
        <v>114</v>
      </c>
      <c r="V466" s="541"/>
    </row>
    <row r="467" spans="1:22" s="518" customFormat="1" ht="53.25" customHeight="1" x14ac:dyDescent="0.2">
      <c r="A467" s="619">
        <f>IF(B467="","",COUNT('Diário 5º PA'!$A$5:$A$2634)+COUNT('Diário 6º PA'!$A$5:$A$2246)+COUNT('Diário 7º PA'!$A$5:$A$2271)+ROW()-4)</f>
        <v>4413</v>
      </c>
      <c r="B467" s="620">
        <v>44489</v>
      </c>
      <c r="C467" s="624">
        <v>44409</v>
      </c>
      <c r="D467" s="548" t="s">
        <v>104</v>
      </c>
      <c r="E467" s="548" t="s">
        <v>104</v>
      </c>
      <c r="F467" s="622">
        <v>775</v>
      </c>
      <c r="G467" s="630" t="s">
        <v>5251</v>
      </c>
      <c r="H467" s="548" t="s">
        <v>104</v>
      </c>
      <c r="I467" s="631" t="s">
        <v>530</v>
      </c>
      <c r="J467" s="629" t="s">
        <v>114</v>
      </c>
      <c r="K467" s="583" t="s">
        <v>466</v>
      </c>
      <c r="L467" s="631" t="s">
        <v>547</v>
      </c>
      <c r="M467" s="619" t="s">
        <v>114</v>
      </c>
      <c r="N467" s="620">
        <v>44469</v>
      </c>
      <c r="O467" s="684" t="s">
        <v>68</v>
      </c>
      <c r="P467" s="503">
        <f t="shared" si="25"/>
        <v>10</v>
      </c>
      <c r="Q467" s="503">
        <f t="shared" si="26"/>
        <v>8</v>
      </c>
      <c r="R467" s="504" t="str">
        <f t="shared" si="27"/>
        <v>Gastos_custeados_por_captação</v>
      </c>
      <c r="S467" s="504" t="str">
        <f>IF(D467="","",IF(OR(D467=Plano!$A$1,D467=Plano!$B$1),"entrada","saída"))</f>
        <v>saída</v>
      </c>
      <c r="T467" s="546" t="s">
        <v>114</v>
      </c>
      <c r="U467" s="546" t="s">
        <v>114</v>
      </c>
      <c r="V467" s="541"/>
    </row>
    <row r="468" spans="1:22" s="518" customFormat="1" ht="53.25" customHeight="1" x14ac:dyDescent="0.2">
      <c r="A468" s="619">
        <f>IF(B468="","",COUNT('Diário 5º PA'!$A$5:$A$2634)+COUNT('Diário 6º PA'!$A$5:$A$2246)+COUNT('Diário 7º PA'!$A$5:$A$2271)+ROW()-4)</f>
        <v>4414</v>
      </c>
      <c r="B468" s="620">
        <v>44489</v>
      </c>
      <c r="C468" s="624">
        <v>44348</v>
      </c>
      <c r="D468" s="548" t="s">
        <v>104</v>
      </c>
      <c r="E468" s="548" t="s">
        <v>104</v>
      </c>
      <c r="F468" s="622">
        <v>285.02</v>
      </c>
      <c r="G468" s="630" t="s">
        <v>5254</v>
      </c>
      <c r="H468" s="548" t="s">
        <v>104</v>
      </c>
      <c r="I468" s="631" t="s">
        <v>488</v>
      </c>
      <c r="J468" s="629" t="s">
        <v>114</v>
      </c>
      <c r="K468" s="583" t="s">
        <v>466</v>
      </c>
      <c r="L468" s="631" t="s">
        <v>489</v>
      </c>
      <c r="M468" s="619" t="s">
        <v>114</v>
      </c>
      <c r="N468" s="620">
        <v>44469</v>
      </c>
      <c r="O468" s="684" t="s">
        <v>69</v>
      </c>
      <c r="P468" s="503">
        <f t="shared" si="25"/>
        <v>10</v>
      </c>
      <c r="Q468" s="503">
        <f t="shared" si="26"/>
        <v>6</v>
      </c>
      <c r="R468" s="504" t="str">
        <f t="shared" si="27"/>
        <v>Gastos_custeados_por_captação</v>
      </c>
      <c r="S468" s="504" t="str">
        <f>IF(D468="","",IF(OR(D468=Plano!$A$1,D468=Plano!$B$1),"entrada","saída"))</f>
        <v>saída</v>
      </c>
      <c r="T468" s="546" t="s">
        <v>114</v>
      </c>
      <c r="U468" s="546" t="s">
        <v>114</v>
      </c>
      <c r="V468" s="541"/>
    </row>
    <row r="469" spans="1:22" s="544" customFormat="1" ht="53.25" customHeight="1" x14ac:dyDescent="0.2">
      <c r="A469" s="619">
        <f>IF(B469="","",COUNT('Diário 5º PA'!$A$5:$A$2634)+COUNT('Diário 6º PA'!$A$5:$A$2246)+COUNT('Diário 7º PA'!$A$5:$A$2271)+ROW()-4)</f>
        <v>4415</v>
      </c>
      <c r="B469" s="620">
        <v>44489</v>
      </c>
      <c r="C469" s="624">
        <v>44409</v>
      </c>
      <c r="D469" s="548" t="s">
        <v>104</v>
      </c>
      <c r="E469" s="548" t="s">
        <v>104</v>
      </c>
      <c r="F469" s="622">
        <v>24.08</v>
      </c>
      <c r="G469" s="623" t="s">
        <v>5462</v>
      </c>
      <c r="H469" s="548" t="s">
        <v>104</v>
      </c>
      <c r="I469" s="583" t="s">
        <v>488</v>
      </c>
      <c r="J469" s="629" t="s">
        <v>114</v>
      </c>
      <c r="K469" s="583" t="s">
        <v>466</v>
      </c>
      <c r="L469" s="631" t="s">
        <v>489</v>
      </c>
      <c r="M469" s="619" t="s">
        <v>114</v>
      </c>
      <c r="N469" s="620">
        <v>44469</v>
      </c>
      <c r="O469" s="684" t="s">
        <v>5377</v>
      </c>
      <c r="P469" s="503">
        <f t="shared" si="25"/>
        <v>10</v>
      </c>
      <c r="Q469" s="503">
        <f t="shared" si="26"/>
        <v>8</v>
      </c>
      <c r="R469" s="504" t="str">
        <f t="shared" si="27"/>
        <v>Gastos_custeados_por_captação</v>
      </c>
      <c r="S469" s="504" t="str">
        <f>IF(D469="","",IF(OR(D469=Plano!$A$1,D469=Plano!$B$1),"entrada","saída"))</f>
        <v>saída</v>
      </c>
      <c r="T469" s="546" t="s">
        <v>114</v>
      </c>
      <c r="U469" s="546" t="s">
        <v>114</v>
      </c>
      <c r="V469" s="541"/>
    </row>
    <row r="470" spans="1:22" s="544" customFormat="1" ht="53.25" customHeight="1" x14ac:dyDescent="0.2">
      <c r="A470" s="619">
        <f>IF(B470="","",COUNT('Diário 5º PA'!$A$5:$A$2634)+COUNT('Diário 6º PA'!$A$5:$A$2246)+COUNT('Diário 7º PA'!$A$5:$A$2271)+ROW()-4)</f>
        <v>4416</v>
      </c>
      <c r="B470" s="620">
        <v>44489</v>
      </c>
      <c r="C470" s="624">
        <v>44409</v>
      </c>
      <c r="D470" s="548" t="s">
        <v>104</v>
      </c>
      <c r="E470" s="548" t="s">
        <v>104</v>
      </c>
      <c r="F470" s="622">
        <v>57.45</v>
      </c>
      <c r="G470" s="623" t="s">
        <v>5466</v>
      </c>
      <c r="H470" s="548" t="s">
        <v>104</v>
      </c>
      <c r="I470" s="583" t="s">
        <v>488</v>
      </c>
      <c r="J470" s="629" t="s">
        <v>114</v>
      </c>
      <c r="K470" s="583" t="s">
        <v>466</v>
      </c>
      <c r="L470" s="631" t="s">
        <v>489</v>
      </c>
      <c r="M470" s="619" t="s">
        <v>114</v>
      </c>
      <c r="N470" s="620">
        <v>44469</v>
      </c>
      <c r="O470" s="684" t="s">
        <v>5377</v>
      </c>
      <c r="P470" s="503">
        <f t="shared" si="25"/>
        <v>10</v>
      </c>
      <c r="Q470" s="503">
        <f t="shared" si="26"/>
        <v>8</v>
      </c>
      <c r="R470" s="504" t="str">
        <f t="shared" si="27"/>
        <v>Gastos_custeados_por_captação</v>
      </c>
      <c r="S470" s="504" t="str">
        <f>IF(D470="","",IF(OR(D470=Plano!$A$1,D470=Plano!$B$1),"entrada","saída"))</f>
        <v>saída</v>
      </c>
      <c r="T470" s="546" t="s">
        <v>114</v>
      </c>
      <c r="U470" s="546" t="s">
        <v>114</v>
      </c>
      <c r="V470" s="541"/>
    </row>
    <row r="471" spans="1:22" s="544" customFormat="1" ht="53.25" customHeight="1" x14ac:dyDescent="0.2">
      <c r="A471" s="619">
        <f>IF(B471="","",COUNT('Diário 5º PA'!$A$5:$A$2634)+COUNT('Diário 6º PA'!$A$5:$A$2246)+COUNT('Diário 7º PA'!$A$5:$A$2271)+ROW()-4)</f>
        <v>4417</v>
      </c>
      <c r="B471" s="620">
        <v>44489</v>
      </c>
      <c r="C471" s="624">
        <v>44409</v>
      </c>
      <c r="D471" s="548" t="s">
        <v>104</v>
      </c>
      <c r="E471" s="548" t="s">
        <v>104</v>
      </c>
      <c r="F471" s="622">
        <v>775</v>
      </c>
      <c r="G471" s="623" t="s">
        <v>5463</v>
      </c>
      <c r="H471" s="548" t="s">
        <v>104</v>
      </c>
      <c r="I471" s="583" t="s">
        <v>530</v>
      </c>
      <c r="J471" s="548" t="s">
        <v>114</v>
      </c>
      <c r="K471" s="583" t="s">
        <v>466</v>
      </c>
      <c r="L471" s="583" t="s">
        <v>547</v>
      </c>
      <c r="M471" s="619" t="s">
        <v>114</v>
      </c>
      <c r="N471" s="620">
        <v>44469</v>
      </c>
      <c r="O471" s="684" t="s">
        <v>5377</v>
      </c>
      <c r="P471" s="503">
        <f t="shared" si="25"/>
        <v>10</v>
      </c>
      <c r="Q471" s="503">
        <f t="shared" si="26"/>
        <v>8</v>
      </c>
      <c r="R471" s="504" t="str">
        <f t="shared" si="27"/>
        <v>Gastos_custeados_por_captação</v>
      </c>
      <c r="S471" s="504" t="str">
        <f>IF(D471="","",IF(OR(D471=Plano!$A$1,D471=Plano!$B$1),"entrada","saída"))</f>
        <v>saída</v>
      </c>
      <c r="T471" s="546" t="s">
        <v>114</v>
      </c>
      <c r="U471" s="546" t="s">
        <v>114</v>
      </c>
      <c r="V471" s="541"/>
    </row>
    <row r="472" spans="1:22" s="544" customFormat="1" ht="53.25" customHeight="1" x14ac:dyDescent="0.2">
      <c r="A472" s="619">
        <f>IF(B472="","",COUNT('Diário 5º PA'!$A$5:$A$2634)+COUNT('Diário 6º PA'!$A$5:$A$2246)+COUNT('Diário 7º PA'!$A$5:$A$2271)+ROW()-4)</f>
        <v>4418</v>
      </c>
      <c r="B472" s="620">
        <v>44489</v>
      </c>
      <c r="C472" s="624">
        <v>44409</v>
      </c>
      <c r="D472" s="548" t="s">
        <v>104</v>
      </c>
      <c r="E472" s="548" t="s">
        <v>104</v>
      </c>
      <c r="F472" s="622">
        <v>930</v>
      </c>
      <c r="G472" s="623" t="s">
        <v>5467</v>
      </c>
      <c r="H472" s="548" t="s">
        <v>104</v>
      </c>
      <c r="I472" s="583" t="s">
        <v>530</v>
      </c>
      <c r="J472" s="548" t="s">
        <v>114</v>
      </c>
      <c r="K472" s="583" t="s">
        <v>466</v>
      </c>
      <c r="L472" s="583" t="s">
        <v>547</v>
      </c>
      <c r="M472" s="619" t="s">
        <v>114</v>
      </c>
      <c r="N472" s="620">
        <v>44469</v>
      </c>
      <c r="O472" s="684" t="s">
        <v>5377</v>
      </c>
      <c r="P472" s="503">
        <f t="shared" si="25"/>
        <v>10</v>
      </c>
      <c r="Q472" s="503">
        <f t="shared" si="26"/>
        <v>8</v>
      </c>
      <c r="R472" s="504" t="str">
        <f t="shared" si="27"/>
        <v>Gastos_custeados_por_captação</v>
      </c>
      <c r="S472" s="504" t="str">
        <f>IF(D472="","",IF(OR(D472=Plano!$A$1,D472=Plano!$B$1),"entrada","saída"))</f>
        <v>saída</v>
      </c>
      <c r="T472" s="546" t="s">
        <v>114</v>
      </c>
      <c r="U472" s="546" t="s">
        <v>114</v>
      </c>
      <c r="V472" s="541"/>
    </row>
    <row r="473" spans="1:22" s="544" customFormat="1" ht="53.25" customHeight="1" x14ac:dyDescent="0.2">
      <c r="A473" s="619">
        <f>IF(B473="","",COUNT('Diário 5º PA'!$A$5:$A$2634)+COUNT('Diário 6º PA'!$A$5:$A$2246)+COUNT('Diário 7º PA'!$A$5:$A$2271)+ROW()-4)</f>
        <v>4419</v>
      </c>
      <c r="B473" s="620">
        <v>44489</v>
      </c>
      <c r="C473" s="624">
        <v>44409</v>
      </c>
      <c r="D473" s="548" t="s">
        <v>104</v>
      </c>
      <c r="E473" s="548" t="s">
        <v>104</v>
      </c>
      <c r="F473" s="622">
        <v>465</v>
      </c>
      <c r="G473" s="623" t="s">
        <v>5479</v>
      </c>
      <c r="H473" s="548" t="s">
        <v>104</v>
      </c>
      <c r="I473" s="583" t="s">
        <v>530</v>
      </c>
      <c r="J473" s="548" t="s">
        <v>114</v>
      </c>
      <c r="K473" s="583" t="s">
        <v>466</v>
      </c>
      <c r="L473" s="583" t="s">
        <v>547</v>
      </c>
      <c r="M473" s="619" t="s">
        <v>114</v>
      </c>
      <c r="N473" s="620">
        <v>44469</v>
      </c>
      <c r="O473" s="684" t="s">
        <v>5377</v>
      </c>
      <c r="P473" s="503">
        <f t="shared" si="25"/>
        <v>10</v>
      </c>
      <c r="Q473" s="503">
        <f t="shared" si="26"/>
        <v>8</v>
      </c>
      <c r="R473" s="504" t="str">
        <f t="shared" si="27"/>
        <v>Gastos_custeados_por_captação</v>
      </c>
      <c r="S473" s="504" t="str">
        <f>IF(D473="","",IF(OR(D473=Plano!$A$1,D473=Plano!$B$1),"entrada","saída"))</f>
        <v>saída</v>
      </c>
      <c r="T473" s="546" t="s">
        <v>114</v>
      </c>
      <c r="U473" s="546" t="s">
        <v>114</v>
      </c>
      <c r="V473" s="541"/>
    </row>
    <row r="474" spans="1:22" s="544" customFormat="1" ht="53.25" customHeight="1" x14ac:dyDescent="0.2">
      <c r="A474" s="619">
        <f>IF(B474="","",COUNT('Diário 5º PA'!$A$5:$A$2634)+COUNT('Diário 6º PA'!$A$5:$A$2246)+COUNT('Diário 7º PA'!$A$5:$A$2271)+ROW()-4)</f>
        <v>4420</v>
      </c>
      <c r="B474" s="620">
        <v>44489</v>
      </c>
      <c r="C474" s="624">
        <v>44409</v>
      </c>
      <c r="D474" s="548" t="s">
        <v>104</v>
      </c>
      <c r="E474" s="548" t="s">
        <v>104</v>
      </c>
      <c r="F474" s="622">
        <v>60</v>
      </c>
      <c r="G474" s="623" t="s">
        <v>5476</v>
      </c>
      <c r="H474" s="548" t="s">
        <v>104</v>
      </c>
      <c r="I474" s="583" t="s">
        <v>488</v>
      </c>
      <c r="J474" s="548" t="s">
        <v>114</v>
      </c>
      <c r="K474" s="583" t="s">
        <v>466</v>
      </c>
      <c r="L474" s="583" t="s">
        <v>547</v>
      </c>
      <c r="M474" s="619" t="s">
        <v>114</v>
      </c>
      <c r="N474" s="620">
        <v>44469</v>
      </c>
      <c r="O474" s="684" t="s">
        <v>5377</v>
      </c>
      <c r="P474" s="503">
        <f t="shared" si="25"/>
        <v>10</v>
      </c>
      <c r="Q474" s="503">
        <f t="shared" si="26"/>
        <v>8</v>
      </c>
      <c r="R474" s="504" t="str">
        <f t="shared" si="27"/>
        <v>Gastos_custeados_por_captação</v>
      </c>
      <c r="S474" s="504" t="str">
        <f>IF(D474="","",IF(OR(D474=Plano!$A$1,D474=Plano!$B$1),"entrada","saída"))</f>
        <v>saída</v>
      </c>
      <c r="T474" s="546" t="s">
        <v>114</v>
      </c>
      <c r="U474" s="546" t="s">
        <v>114</v>
      </c>
      <c r="V474" s="541"/>
    </row>
    <row r="475" spans="1:22" s="544" customFormat="1" ht="53.25" customHeight="1" x14ac:dyDescent="0.2">
      <c r="A475" s="619">
        <f>IF(B475="","",COUNT('Diário 5º PA'!$A$5:$A$2634)+COUNT('Diário 6º PA'!$A$5:$A$2246)+COUNT('Diário 7º PA'!$A$5:$A$2271)+ROW()-4)</f>
        <v>4421</v>
      </c>
      <c r="B475" s="620">
        <v>44489</v>
      </c>
      <c r="C475" s="624">
        <v>44409</v>
      </c>
      <c r="D475" s="548" t="s">
        <v>104</v>
      </c>
      <c r="E475" s="548" t="s">
        <v>104</v>
      </c>
      <c r="F475" s="622">
        <v>186</v>
      </c>
      <c r="G475" s="623" t="s">
        <v>5477</v>
      </c>
      <c r="H475" s="548" t="s">
        <v>104</v>
      </c>
      <c r="I475" s="583" t="s">
        <v>488</v>
      </c>
      <c r="J475" s="548" t="s">
        <v>114</v>
      </c>
      <c r="K475" s="583" t="s">
        <v>466</v>
      </c>
      <c r="L475" s="583" t="s">
        <v>547</v>
      </c>
      <c r="M475" s="619" t="s">
        <v>114</v>
      </c>
      <c r="N475" s="620">
        <v>44469</v>
      </c>
      <c r="O475" s="684" t="s">
        <v>5377</v>
      </c>
      <c r="P475" s="503">
        <f t="shared" si="25"/>
        <v>10</v>
      </c>
      <c r="Q475" s="503">
        <f t="shared" si="26"/>
        <v>8</v>
      </c>
      <c r="R475" s="504" t="str">
        <f t="shared" si="27"/>
        <v>Gastos_custeados_por_captação</v>
      </c>
      <c r="S475" s="504" t="str">
        <f>IF(D475="","",IF(OR(D475=Plano!$A$1,D475=Plano!$B$1),"entrada","saída"))</f>
        <v>saída</v>
      </c>
      <c r="T475" s="546" t="s">
        <v>114</v>
      </c>
      <c r="U475" s="546" t="s">
        <v>114</v>
      </c>
      <c r="V475" s="541"/>
    </row>
    <row r="476" spans="1:22" s="544" customFormat="1" ht="53.25" customHeight="1" x14ac:dyDescent="0.2">
      <c r="A476" s="619">
        <f>IF(B476="","",COUNT('Diário 5º PA'!$A$5:$A$2634)+COUNT('Diário 6º PA'!$A$5:$A$2246)+COUNT('Diário 7º PA'!$A$5:$A$2271)+ROW()-4)</f>
        <v>4422</v>
      </c>
      <c r="B476" s="620">
        <v>44489</v>
      </c>
      <c r="C476" s="624">
        <v>44470</v>
      </c>
      <c r="D476" s="548" t="s">
        <v>104</v>
      </c>
      <c r="E476" s="548" t="s">
        <v>104</v>
      </c>
      <c r="F476" s="622">
        <v>6859.3</v>
      </c>
      <c r="G476" s="623" t="s">
        <v>6949</v>
      </c>
      <c r="H476" s="548" t="s">
        <v>104</v>
      </c>
      <c r="I476" s="583" t="s">
        <v>6948</v>
      </c>
      <c r="J476" s="548" t="s">
        <v>6950</v>
      </c>
      <c r="K476" s="583" t="s">
        <v>1015</v>
      </c>
      <c r="L476" s="583" t="s">
        <v>992</v>
      </c>
      <c r="M476" s="619" t="s">
        <v>1058</v>
      </c>
      <c r="N476" s="620">
        <v>44489</v>
      </c>
      <c r="O476" s="684" t="s">
        <v>5505</v>
      </c>
      <c r="P476" s="503">
        <f t="shared" si="25"/>
        <v>10</v>
      </c>
      <c r="Q476" s="503">
        <f t="shared" si="26"/>
        <v>10</v>
      </c>
      <c r="R476" s="504" t="str">
        <f t="shared" si="27"/>
        <v>Gastos_custeados_por_captação</v>
      </c>
      <c r="S476" s="504" t="str">
        <f>IF(D476="","",IF(OR(D476=Plano!$A$1,D476=Plano!$B$1),"entrada","saída"))</f>
        <v>saída</v>
      </c>
      <c r="T476" s="546" t="s">
        <v>1082</v>
      </c>
      <c r="U476" s="546">
        <v>1957</v>
      </c>
      <c r="V476" s="541"/>
    </row>
    <row r="477" spans="1:22" s="545" customFormat="1" ht="53.25" customHeight="1" x14ac:dyDescent="0.2">
      <c r="A477" s="619">
        <f>IF(B477="","",COUNT('Diário 5º PA'!$A$5:$A$2634)+COUNT('Diário 6º PA'!$A$5:$A$2246)+COUNT('Diário 7º PA'!$A$5:$A$2271)+ROW()-4)</f>
        <v>4423</v>
      </c>
      <c r="B477" s="620">
        <v>44489</v>
      </c>
      <c r="C477" s="624">
        <v>44470</v>
      </c>
      <c r="D477" s="548" t="s">
        <v>104</v>
      </c>
      <c r="E477" s="548" t="s">
        <v>104</v>
      </c>
      <c r="F477" s="622">
        <v>280</v>
      </c>
      <c r="G477" s="623" t="s">
        <v>6951</v>
      </c>
      <c r="H477" s="548" t="s">
        <v>104</v>
      </c>
      <c r="I477" s="583" t="s">
        <v>6952</v>
      </c>
      <c r="J477" s="548" t="s">
        <v>4734</v>
      </c>
      <c r="K477" s="583" t="s">
        <v>1015</v>
      </c>
      <c r="L477" s="583" t="s">
        <v>992</v>
      </c>
      <c r="M477" s="619">
        <v>4593</v>
      </c>
      <c r="N477" s="620">
        <v>44489</v>
      </c>
      <c r="O477" s="684" t="s">
        <v>5505</v>
      </c>
      <c r="P477" s="503">
        <f t="shared" si="25"/>
        <v>10</v>
      </c>
      <c r="Q477" s="503">
        <f t="shared" si="26"/>
        <v>10</v>
      </c>
      <c r="R477" s="504" t="str">
        <f t="shared" si="27"/>
        <v>Gastos_custeados_por_captação</v>
      </c>
      <c r="S477" s="504" t="str">
        <f>IF(D477="","",IF(OR(D477=Plano!$A$1,D477=Plano!$B$1),"entrada","saída"))</f>
        <v>saída</v>
      </c>
      <c r="T477" s="546" t="s">
        <v>1417</v>
      </c>
      <c r="U477" s="546">
        <v>2287</v>
      </c>
      <c r="V477" s="541"/>
    </row>
    <row r="478" spans="1:22" s="544" customFormat="1" ht="53.25" customHeight="1" x14ac:dyDescent="0.2">
      <c r="A478" s="619">
        <f>IF(B478="","",COUNT('Diário 5º PA'!$A$5:$A$2634)+COUNT('Diário 6º PA'!$A$5:$A$2246)+COUNT('Diário 7º PA'!$A$5:$A$2271)+ROW()-4)</f>
        <v>4424</v>
      </c>
      <c r="B478" s="620">
        <v>44489</v>
      </c>
      <c r="C478" s="624">
        <v>44470</v>
      </c>
      <c r="D478" s="548" t="s">
        <v>104</v>
      </c>
      <c r="E478" s="548" t="s">
        <v>104</v>
      </c>
      <c r="F478" s="622">
        <v>192.15</v>
      </c>
      <c r="G478" s="623" t="s">
        <v>6954</v>
      </c>
      <c r="H478" s="548" t="s">
        <v>104</v>
      </c>
      <c r="I478" s="583" t="s">
        <v>6953</v>
      </c>
      <c r="J478" s="548" t="s">
        <v>1308</v>
      </c>
      <c r="K478" s="583" t="s">
        <v>1015</v>
      </c>
      <c r="L478" s="583" t="s">
        <v>992</v>
      </c>
      <c r="M478" s="619" t="s">
        <v>1693</v>
      </c>
      <c r="N478" s="620">
        <v>44488</v>
      </c>
      <c r="O478" s="684" t="s">
        <v>5505</v>
      </c>
      <c r="P478" s="503">
        <f t="shared" si="25"/>
        <v>10</v>
      </c>
      <c r="Q478" s="503">
        <f t="shared" si="26"/>
        <v>10</v>
      </c>
      <c r="R478" s="504" t="str">
        <f t="shared" si="27"/>
        <v>Gastos_custeados_por_captação</v>
      </c>
      <c r="S478" s="504" t="str">
        <f>IF(D478="","",IF(OR(D478=Plano!$A$1,D478=Plano!$B$1),"entrada","saída"))</f>
        <v>saída</v>
      </c>
      <c r="T478" s="546" t="s">
        <v>1011</v>
      </c>
      <c r="U478" s="546">
        <v>2229</v>
      </c>
      <c r="V478" s="541"/>
    </row>
    <row r="479" spans="1:22" ht="81" customHeight="1" x14ac:dyDescent="0.2">
      <c r="A479" s="619">
        <f>IF(B479="","",COUNT('Diário 5º PA'!$A$5:$A$2634)+COUNT('Diário 6º PA'!$A$5:$A$2246)+COUNT('Diário 7º PA'!$A$5:$A$2271)+ROW()-4)</f>
        <v>4425</v>
      </c>
      <c r="B479" s="620">
        <v>44490</v>
      </c>
      <c r="C479" s="624">
        <v>44440</v>
      </c>
      <c r="D479" s="548" t="s">
        <v>99</v>
      </c>
      <c r="E479" s="548" t="s">
        <v>364</v>
      </c>
      <c r="F479" s="622">
        <v>600</v>
      </c>
      <c r="G479" s="623" t="s">
        <v>5327</v>
      </c>
      <c r="H479" s="548" t="s">
        <v>125</v>
      </c>
      <c r="I479" s="583" t="s">
        <v>5873</v>
      </c>
      <c r="J479" s="548" t="s">
        <v>5328</v>
      </c>
      <c r="K479" s="583" t="s">
        <v>1015</v>
      </c>
      <c r="L479" s="583" t="s">
        <v>992</v>
      </c>
      <c r="M479" s="619" t="s">
        <v>1079</v>
      </c>
      <c r="N479" s="620">
        <v>44489</v>
      </c>
      <c r="O479" s="684" t="s">
        <v>67</v>
      </c>
      <c r="P479" s="503">
        <f t="shared" si="25"/>
        <v>10</v>
      </c>
      <c r="Q479" s="503">
        <f t="shared" si="26"/>
        <v>9</v>
      </c>
      <c r="R479" s="504" t="str">
        <f t="shared" si="27"/>
        <v>Gastos_Gerais</v>
      </c>
      <c r="S479" s="504" t="str">
        <f>IF(D479="","",IF(OR(D479=Plano!$A$1,D479=Plano!$B$1),"entrada","saída"))</f>
        <v>saída</v>
      </c>
      <c r="T479" s="505" t="s">
        <v>994</v>
      </c>
      <c r="U479" s="505">
        <v>2111</v>
      </c>
      <c r="V479" s="541"/>
    </row>
    <row r="480" spans="1:22" ht="124.5" customHeight="1" x14ac:dyDescent="0.2">
      <c r="A480" s="619">
        <f>IF(B480="","",COUNT('Diário 5º PA'!$A$5:$A$2634)+COUNT('Diário 6º PA'!$A$5:$A$2246)+COUNT('Diário 7º PA'!$A$5:$A$2271)+ROW()-4)</f>
        <v>4426</v>
      </c>
      <c r="B480" s="620">
        <v>44490</v>
      </c>
      <c r="C480" s="624">
        <v>44470</v>
      </c>
      <c r="D480" s="548" t="s">
        <v>99</v>
      </c>
      <c r="E480" s="548" t="s">
        <v>364</v>
      </c>
      <c r="F480" s="622">
        <v>450</v>
      </c>
      <c r="G480" s="623" t="s">
        <v>5343</v>
      </c>
      <c r="H480" s="548" t="s">
        <v>131</v>
      </c>
      <c r="I480" s="583" t="s">
        <v>5874</v>
      </c>
      <c r="J480" s="548" t="s">
        <v>2900</v>
      </c>
      <c r="K480" s="583" t="s">
        <v>1015</v>
      </c>
      <c r="L480" s="583" t="s">
        <v>992</v>
      </c>
      <c r="M480" s="619" t="s">
        <v>1061</v>
      </c>
      <c r="N480" s="620">
        <v>44490</v>
      </c>
      <c r="O480" s="684" t="s">
        <v>67</v>
      </c>
      <c r="P480" s="503">
        <f t="shared" si="25"/>
        <v>10</v>
      </c>
      <c r="Q480" s="503">
        <f t="shared" si="26"/>
        <v>10</v>
      </c>
      <c r="R480" s="504" t="str">
        <f t="shared" si="27"/>
        <v>Gastos_Gerais</v>
      </c>
      <c r="S480" s="504" t="str">
        <f>IF(D480="","",IF(OR(D480=Plano!$A$1,D480=Plano!$B$1),"entrada","saída"))</f>
        <v>saída</v>
      </c>
      <c r="T480" s="505" t="s">
        <v>1059</v>
      </c>
      <c r="U480" s="505">
        <v>2128</v>
      </c>
      <c r="V480" s="541"/>
    </row>
    <row r="481" spans="1:22" ht="75.75" customHeight="1" x14ac:dyDescent="0.2">
      <c r="A481" s="619">
        <f>IF(B481="","",COUNT('Diário 5º PA'!$A$5:$A$2634)+COUNT('Diário 6º PA'!$A$5:$A$2246)+COUNT('Diário 7º PA'!$A$5:$A$2271)+ROW()-4)</f>
        <v>4427</v>
      </c>
      <c r="B481" s="620">
        <v>44490</v>
      </c>
      <c r="C481" s="624">
        <v>44440</v>
      </c>
      <c r="D481" s="548" t="s">
        <v>99</v>
      </c>
      <c r="E481" s="548" t="s">
        <v>358</v>
      </c>
      <c r="F481" s="622">
        <v>750</v>
      </c>
      <c r="G481" s="623" t="s">
        <v>5352</v>
      </c>
      <c r="H481" s="548" t="s">
        <v>125</v>
      </c>
      <c r="I481" s="583" t="s">
        <v>5875</v>
      </c>
      <c r="J481" s="548" t="s">
        <v>5353</v>
      </c>
      <c r="K481" s="583" t="s">
        <v>991</v>
      </c>
      <c r="L481" s="583" t="s">
        <v>992</v>
      </c>
      <c r="M481" s="619" t="s">
        <v>1443</v>
      </c>
      <c r="N481" s="620">
        <v>44489</v>
      </c>
      <c r="O481" s="684" t="s">
        <v>67</v>
      </c>
      <c r="P481" s="503">
        <f t="shared" si="25"/>
        <v>10</v>
      </c>
      <c r="Q481" s="503">
        <f t="shared" si="26"/>
        <v>9</v>
      </c>
      <c r="R481" s="504" t="str">
        <f t="shared" si="27"/>
        <v>Gastos_Gerais</v>
      </c>
      <c r="S481" s="504" t="str">
        <f>IF(D481="","",IF(OR(D481=Plano!$A$1,D481=Plano!$B$1),"entrada","saída"))</f>
        <v>saída</v>
      </c>
      <c r="T481" s="505" t="s">
        <v>994</v>
      </c>
      <c r="U481" s="505">
        <v>2110</v>
      </c>
      <c r="V481" s="541"/>
    </row>
    <row r="482" spans="1:22" ht="114" customHeight="1" x14ac:dyDescent="0.2">
      <c r="A482" s="619">
        <f>IF(B482="","",COUNT('Diário 5º PA'!$A$5:$A$2634)+COUNT('Diário 6º PA'!$A$5:$A$2246)+COUNT('Diário 7º PA'!$A$5:$A$2271)+ROW()-4)</f>
        <v>4428</v>
      </c>
      <c r="B482" s="620">
        <v>44490</v>
      </c>
      <c r="C482" s="628">
        <v>44470</v>
      </c>
      <c r="D482" s="548" t="s">
        <v>99</v>
      </c>
      <c r="E482" s="548" t="s">
        <v>364</v>
      </c>
      <c r="F482" s="622">
        <v>800</v>
      </c>
      <c r="G482" s="623" t="s">
        <v>5876</v>
      </c>
      <c r="H482" s="548" t="s">
        <v>122</v>
      </c>
      <c r="I482" s="583" t="s">
        <v>2938</v>
      </c>
      <c r="J482" s="548" t="s">
        <v>2939</v>
      </c>
      <c r="K482" s="583" t="s">
        <v>991</v>
      </c>
      <c r="L482" s="583" t="s">
        <v>992</v>
      </c>
      <c r="M482" s="619" t="s">
        <v>1058</v>
      </c>
      <c r="N482" s="620">
        <v>44490</v>
      </c>
      <c r="O482" s="684" t="s">
        <v>67</v>
      </c>
      <c r="P482" s="503">
        <f t="shared" si="25"/>
        <v>10</v>
      </c>
      <c r="Q482" s="503">
        <f t="shared" si="26"/>
        <v>10</v>
      </c>
      <c r="R482" s="504" t="str">
        <f t="shared" si="27"/>
        <v>Gastos_Gerais</v>
      </c>
      <c r="S482" s="504" t="str">
        <f>IF(D482="","",IF(OR(D482=Plano!$A$1,D482=Plano!$B$1),"entrada","saída"))</f>
        <v>saída</v>
      </c>
      <c r="T482" s="505" t="s">
        <v>994</v>
      </c>
      <c r="U482" s="505">
        <v>1987</v>
      </c>
      <c r="V482" s="541"/>
    </row>
    <row r="483" spans="1:22" ht="224.25" customHeight="1" x14ac:dyDescent="0.2">
      <c r="A483" s="619">
        <f>IF(B483="","",COUNT('Diário 5º PA'!$A$5:$A$2634)+COUNT('Diário 6º PA'!$A$5:$A$2246)+COUNT('Diário 7º PA'!$A$5:$A$2271)+ROW()-4)</f>
        <v>4429</v>
      </c>
      <c r="B483" s="620">
        <v>44490</v>
      </c>
      <c r="C483" s="624">
        <v>44440</v>
      </c>
      <c r="D483" s="548" t="s">
        <v>99</v>
      </c>
      <c r="E483" s="548" t="s">
        <v>364</v>
      </c>
      <c r="F483" s="622">
        <v>3116.8</v>
      </c>
      <c r="G483" s="623" t="s">
        <v>905</v>
      </c>
      <c r="H483" s="548" t="s">
        <v>118</v>
      </c>
      <c r="I483" s="583" t="s">
        <v>5456</v>
      </c>
      <c r="J483" s="548" t="s">
        <v>906</v>
      </c>
      <c r="K483" s="583" t="s">
        <v>991</v>
      </c>
      <c r="L483" s="583" t="s">
        <v>992</v>
      </c>
      <c r="M483" s="619" t="s">
        <v>4223</v>
      </c>
      <c r="N483" s="620">
        <v>44487</v>
      </c>
      <c r="O483" s="684" t="s">
        <v>67</v>
      </c>
      <c r="P483" s="503">
        <f t="shared" si="25"/>
        <v>10</v>
      </c>
      <c r="Q483" s="503">
        <f t="shared" si="26"/>
        <v>9</v>
      </c>
      <c r="R483" s="504" t="str">
        <f t="shared" si="27"/>
        <v>Gastos_Gerais</v>
      </c>
      <c r="S483" s="504" t="str">
        <f>IF(D483="","",IF(OR(D483=Plano!$A$1,D483=Plano!$B$1),"entrada","saída"))</f>
        <v>saída</v>
      </c>
      <c r="T483" s="505" t="s">
        <v>994</v>
      </c>
      <c r="U483" s="505">
        <v>1983</v>
      </c>
      <c r="V483" s="541"/>
    </row>
    <row r="484" spans="1:22" ht="131.25" customHeight="1" x14ac:dyDescent="0.2">
      <c r="A484" s="619">
        <f>IF(B484="","",COUNT('Diário 5º PA'!$A$5:$A$2634)+COUNT('Diário 6º PA'!$A$5:$A$2246)+COUNT('Diário 7º PA'!$A$5:$A$2271)+ROW()-4)</f>
        <v>4430</v>
      </c>
      <c r="B484" s="620">
        <v>44490</v>
      </c>
      <c r="C484" s="624">
        <v>44440</v>
      </c>
      <c r="D484" s="548" t="s">
        <v>99</v>
      </c>
      <c r="E484" s="548" t="s">
        <v>358</v>
      </c>
      <c r="F484" s="622">
        <v>150</v>
      </c>
      <c r="G484" s="623" t="s">
        <v>5207</v>
      </c>
      <c r="H484" s="548" t="s">
        <v>125</v>
      </c>
      <c r="I484" s="583" t="s">
        <v>5878</v>
      </c>
      <c r="J484" s="548" t="s">
        <v>5208</v>
      </c>
      <c r="K484" s="583" t="s">
        <v>991</v>
      </c>
      <c r="L484" s="583" t="s">
        <v>992</v>
      </c>
      <c r="M484" s="619" t="s">
        <v>1296</v>
      </c>
      <c r="N484" s="620">
        <v>44489</v>
      </c>
      <c r="O484" s="684" t="s">
        <v>67</v>
      </c>
      <c r="P484" s="503">
        <f t="shared" si="25"/>
        <v>10</v>
      </c>
      <c r="Q484" s="503">
        <f t="shared" si="26"/>
        <v>9</v>
      </c>
      <c r="R484" s="504" t="str">
        <f t="shared" si="27"/>
        <v>Gastos_Gerais</v>
      </c>
      <c r="S484" s="504" t="str">
        <f>IF(D484="","",IF(OR(D484=Plano!$A$1,D484=Plano!$B$1),"entrada","saída"))</f>
        <v>saída</v>
      </c>
      <c r="T484" s="505" t="s">
        <v>994</v>
      </c>
      <c r="U484" s="505">
        <v>2112</v>
      </c>
      <c r="V484" s="541"/>
    </row>
    <row r="485" spans="1:22" ht="45" customHeight="1" x14ac:dyDescent="0.2">
      <c r="A485" s="619">
        <f>IF(B485="","",COUNT('Diário 5º PA'!$A$5:$A$2634)+COUNT('Diário 6º PA'!$A$5:$A$2246)+COUNT('Diário 7º PA'!$A$5:$A$2271)+ROW()-4)</f>
        <v>4431</v>
      </c>
      <c r="B485" s="620">
        <v>44490</v>
      </c>
      <c r="C485" s="621">
        <v>44470</v>
      </c>
      <c r="D485" s="548" t="s">
        <v>99</v>
      </c>
      <c r="E485" s="548" t="s">
        <v>272</v>
      </c>
      <c r="F485" s="622">
        <v>10.45</v>
      </c>
      <c r="G485" s="623" t="s">
        <v>5879</v>
      </c>
      <c r="H485" s="548" t="s">
        <v>125</v>
      </c>
      <c r="I485" s="583" t="s">
        <v>949</v>
      </c>
      <c r="J485" s="548" t="s">
        <v>950</v>
      </c>
      <c r="K485" s="583" t="s">
        <v>951</v>
      </c>
      <c r="L485" s="583" t="s">
        <v>947</v>
      </c>
      <c r="M485" s="625" t="s">
        <v>114</v>
      </c>
      <c r="N485" s="620">
        <v>44490</v>
      </c>
      <c r="O485" s="684" t="s">
        <v>67</v>
      </c>
      <c r="P485" s="503">
        <f t="shared" si="25"/>
        <v>10</v>
      </c>
      <c r="Q485" s="503">
        <f t="shared" si="26"/>
        <v>10</v>
      </c>
      <c r="R485" s="504" t="str">
        <f t="shared" si="27"/>
        <v>Gastos_Gerais</v>
      </c>
      <c r="S485" s="504" t="str">
        <f>IF(D485="","",IF(OR(D485=Plano!$A$1,D485=Plano!$B$1),"entrada","saída"))</f>
        <v>saída</v>
      </c>
      <c r="T485" s="511" t="s">
        <v>114</v>
      </c>
      <c r="U485" s="511" t="s">
        <v>114</v>
      </c>
      <c r="V485" s="541"/>
    </row>
    <row r="486" spans="1:22" ht="45" customHeight="1" x14ac:dyDescent="0.2">
      <c r="A486" s="619">
        <f>IF(B486="","",COUNT('Diário 5º PA'!$A$5:$A$2634)+COUNT('Diário 6º PA'!$A$5:$A$2246)+COUNT('Diário 7º PA'!$A$5:$A$2271)+ROW()-4)</f>
        <v>4432</v>
      </c>
      <c r="B486" s="620">
        <v>44490</v>
      </c>
      <c r="C486" s="621">
        <v>44470</v>
      </c>
      <c r="D486" s="548" t="s">
        <v>99</v>
      </c>
      <c r="E486" s="548" t="s">
        <v>272</v>
      </c>
      <c r="F486" s="622">
        <v>10.45</v>
      </c>
      <c r="G486" s="623" t="s">
        <v>5880</v>
      </c>
      <c r="H486" s="548" t="s">
        <v>122</v>
      </c>
      <c r="I486" s="583" t="s">
        <v>949</v>
      </c>
      <c r="J486" s="548" t="s">
        <v>950</v>
      </c>
      <c r="K486" s="583" t="s">
        <v>951</v>
      </c>
      <c r="L486" s="583" t="s">
        <v>947</v>
      </c>
      <c r="M486" s="625" t="s">
        <v>114</v>
      </c>
      <c r="N486" s="620">
        <v>44490</v>
      </c>
      <c r="O486" s="684" t="s">
        <v>67</v>
      </c>
      <c r="P486" s="503">
        <f t="shared" si="25"/>
        <v>10</v>
      </c>
      <c r="Q486" s="503">
        <f t="shared" si="26"/>
        <v>10</v>
      </c>
      <c r="R486" s="504" t="str">
        <f t="shared" si="27"/>
        <v>Gastos_Gerais</v>
      </c>
      <c r="S486" s="504" t="str">
        <f>IF(D486="","",IF(OR(D486=Plano!$A$1,D486=Plano!$B$1),"entrada","saída"))</f>
        <v>saída</v>
      </c>
      <c r="T486" s="511" t="s">
        <v>114</v>
      </c>
      <c r="U486" s="511" t="s">
        <v>114</v>
      </c>
      <c r="V486" s="541"/>
    </row>
    <row r="487" spans="1:22" ht="59.25" customHeight="1" x14ac:dyDescent="0.2">
      <c r="A487" s="619">
        <f>IF(B487="","",COUNT('Diário 5º PA'!$A$5:$A$2634)+COUNT('Diário 6º PA'!$A$5:$A$2246)+COUNT('Diário 7º PA'!$A$5:$A$2271)+ROW()-4)</f>
        <v>4433</v>
      </c>
      <c r="B487" s="620">
        <v>44490</v>
      </c>
      <c r="C487" s="621">
        <v>44470</v>
      </c>
      <c r="D487" s="548" t="s">
        <v>99</v>
      </c>
      <c r="E487" s="548" t="s">
        <v>272</v>
      </c>
      <c r="F487" s="622">
        <v>10.45</v>
      </c>
      <c r="G487" s="623" t="s">
        <v>5881</v>
      </c>
      <c r="H487" s="548" t="s">
        <v>118</v>
      </c>
      <c r="I487" s="583" t="s">
        <v>949</v>
      </c>
      <c r="J487" s="548" t="s">
        <v>950</v>
      </c>
      <c r="K487" s="583" t="s">
        <v>951</v>
      </c>
      <c r="L487" s="583" t="s">
        <v>947</v>
      </c>
      <c r="M487" s="625" t="s">
        <v>114</v>
      </c>
      <c r="N487" s="620">
        <v>44490</v>
      </c>
      <c r="O487" s="684" t="s">
        <v>67</v>
      </c>
      <c r="P487" s="503">
        <f t="shared" si="25"/>
        <v>10</v>
      </c>
      <c r="Q487" s="503">
        <f t="shared" si="26"/>
        <v>10</v>
      </c>
      <c r="R487" s="504" t="str">
        <f t="shared" si="27"/>
        <v>Gastos_Gerais</v>
      </c>
      <c r="S487" s="504" t="str">
        <f>IF(D487="","",IF(OR(D487=Plano!$A$1,D487=Plano!$B$1),"entrada","saída"))</f>
        <v>saída</v>
      </c>
      <c r="T487" s="511" t="s">
        <v>114</v>
      </c>
      <c r="U487" s="511" t="s">
        <v>114</v>
      </c>
      <c r="V487" s="541"/>
    </row>
    <row r="488" spans="1:22" ht="45" customHeight="1" x14ac:dyDescent="0.2">
      <c r="A488" s="619">
        <f>IF(B488="","",COUNT('Diário 5º PA'!$A$5:$A$2634)+COUNT('Diário 6º PA'!$A$5:$A$2246)+COUNT('Diário 7º PA'!$A$5:$A$2271)+ROW()-4)</f>
        <v>4434</v>
      </c>
      <c r="B488" s="620">
        <v>44490</v>
      </c>
      <c r="C488" s="621">
        <v>44470</v>
      </c>
      <c r="D488" s="548" t="s">
        <v>99</v>
      </c>
      <c r="E488" s="548" t="s">
        <v>272</v>
      </c>
      <c r="F488" s="622">
        <v>10.45</v>
      </c>
      <c r="G488" s="623" t="s">
        <v>5856</v>
      </c>
      <c r="H488" s="548" t="s">
        <v>115</v>
      </c>
      <c r="I488" s="583" t="s">
        <v>949</v>
      </c>
      <c r="J488" s="548" t="s">
        <v>950</v>
      </c>
      <c r="K488" s="583" t="s">
        <v>951</v>
      </c>
      <c r="L488" s="583" t="s">
        <v>947</v>
      </c>
      <c r="M488" s="625" t="s">
        <v>114</v>
      </c>
      <c r="N488" s="620">
        <v>44490</v>
      </c>
      <c r="O488" s="684" t="s">
        <v>67</v>
      </c>
      <c r="P488" s="503">
        <f t="shared" si="25"/>
        <v>10</v>
      </c>
      <c r="Q488" s="503">
        <f t="shared" si="26"/>
        <v>10</v>
      </c>
      <c r="R488" s="504" t="str">
        <f t="shared" si="27"/>
        <v>Gastos_Gerais</v>
      </c>
      <c r="S488" s="504" t="str">
        <f>IF(D488="","",IF(OR(D488=Plano!$A$1,D488=Plano!$B$1),"entrada","saída"))</f>
        <v>saída</v>
      </c>
      <c r="T488" s="511" t="s">
        <v>114</v>
      </c>
      <c r="U488" s="511" t="s">
        <v>114</v>
      </c>
      <c r="V488" s="541"/>
    </row>
    <row r="489" spans="1:22" ht="45" customHeight="1" x14ac:dyDescent="0.2">
      <c r="A489" s="619">
        <f>IF(B489="","",COUNT('Diário 5º PA'!$A$5:$A$2634)+COUNT('Diário 6º PA'!$A$5:$A$2246)+COUNT('Diário 7º PA'!$A$5:$A$2271)+ROW()-4)</f>
        <v>4435</v>
      </c>
      <c r="B489" s="620">
        <v>44490</v>
      </c>
      <c r="C489" s="621">
        <v>44470</v>
      </c>
      <c r="D489" s="548" t="s">
        <v>99</v>
      </c>
      <c r="E489" s="548" t="s">
        <v>272</v>
      </c>
      <c r="F489" s="622">
        <v>10.45</v>
      </c>
      <c r="G489" s="623" t="s">
        <v>5882</v>
      </c>
      <c r="H489" s="548" t="s">
        <v>122</v>
      </c>
      <c r="I489" s="583" t="s">
        <v>949</v>
      </c>
      <c r="J489" s="548" t="s">
        <v>950</v>
      </c>
      <c r="K489" s="583" t="s">
        <v>951</v>
      </c>
      <c r="L489" s="583" t="s">
        <v>947</v>
      </c>
      <c r="M489" s="625" t="s">
        <v>114</v>
      </c>
      <c r="N489" s="620">
        <v>44490</v>
      </c>
      <c r="O489" s="684" t="s">
        <v>67</v>
      </c>
      <c r="P489" s="503">
        <f t="shared" si="25"/>
        <v>10</v>
      </c>
      <c r="Q489" s="503">
        <f t="shared" si="26"/>
        <v>10</v>
      </c>
      <c r="R489" s="504" t="str">
        <f t="shared" si="27"/>
        <v>Gastos_Gerais</v>
      </c>
      <c r="S489" s="504" t="str">
        <f>IF(D489="","",IF(OR(D489=Plano!$A$1,D489=Plano!$B$1),"entrada","saída"))</f>
        <v>saída</v>
      </c>
      <c r="T489" s="511" t="s">
        <v>114</v>
      </c>
      <c r="U489" s="511" t="s">
        <v>114</v>
      </c>
      <c r="V489" s="541"/>
    </row>
    <row r="490" spans="1:22" s="518" customFormat="1" ht="159.75" customHeight="1" x14ac:dyDescent="0.2">
      <c r="A490" s="619">
        <f>IF(B490="","",COUNT('Diário 5º PA'!$A$5:$A$2634)+COUNT('Diário 6º PA'!$A$5:$A$2246)+COUNT('Diário 7º PA'!$A$5:$A$2271)+ROW()-4)</f>
        <v>4436</v>
      </c>
      <c r="B490" s="620">
        <v>44490</v>
      </c>
      <c r="C490" s="621">
        <v>44440</v>
      </c>
      <c r="D490" s="548" t="s">
        <v>104</v>
      </c>
      <c r="E490" s="548" t="s">
        <v>104</v>
      </c>
      <c r="F490" s="622">
        <v>5879.4</v>
      </c>
      <c r="G490" s="623" t="s">
        <v>5964</v>
      </c>
      <c r="H490" s="548" t="s">
        <v>104</v>
      </c>
      <c r="I490" s="583" t="s">
        <v>1557</v>
      </c>
      <c r="J490" s="548" t="s">
        <v>1558</v>
      </c>
      <c r="K490" s="583" t="s">
        <v>1015</v>
      </c>
      <c r="L490" s="583" t="s">
        <v>992</v>
      </c>
      <c r="M490" s="619" t="s">
        <v>1600</v>
      </c>
      <c r="N490" s="620">
        <v>44488</v>
      </c>
      <c r="O490" s="684" t="s">
        <v>70</v>
      </c>
      <c r="P490" s="503">
        <f t="shared" si="25"/>
        <v>10</v>
      </c>
      <c r="Q490" s="503">
        <f t="shared" si="26"/>
        <v>9</v>
      </c>
      <c r="R490" s="504" t="str">
        <f t="shared" si="27"/>
        <v>Gastos_custeados_por_captação</v>
      </c>
      <c r="S490" s="504" t="str">
        <f>IF(D490="","",IF(OR(D490=Plano!$A$1,D490=Plano!$B$1),"entrada","saída"))</f>
        <v>saída</v>
      </c>
      <c r="T490" s="511" t="s">
        <v>1059</v>
      </c>
      <c r="U490" s="511">
        <v>1633</v>
      </c>
      <c r="V490" s="541"/>
    </row>
    <row r="491" spans="1:22" s="518" customFormat="1" ht="156" customHeight="1" x14ac:dyDescent="0.2">
      <c r="A491" s="619">
        <f>IF(B491="","",COUNT('Diário 5º PA'!$A$5:$A$2634)+COUNT('Diário 6º PA'!$A$5:$A$2246)+COUNT('Diário 7º PA'!$A$5:$A$2271)+ROW()-4)</f>
        <v>4437</v>
      </c>
      <c r="B491" s="620">
        <v>44490</v>
      </c>
      <c r="C491" s="624">
        <v>44440</v>
      </c>
      <c r="D491" s="548" t="s">
        <v>104</v>
      </c>
      <c r="E491" s="548" t="s">
        <v>104</v>
      </c>
      <c r="F491" s="622">
        <v>3342.5</v>
      </c>
      <c r="G491" s="623" t="s">
        <v>634</v>
      </c>
      <c r="H491" s="548" t="s">
        <v>104</v>
      </c>
      <c r="I491" s="583" t="s">
        <v>4529</v>
      </c>
      <c r="J491" s="548" t="s">
        <v>636</v>
      </c>
      <c r="K491" s="583" t="s">
        <v>1015</v>
      </c>
      <c r="L491" s="583" t="s">
        <v>992</v>
      </c>
      <c r="M491" s="619" t="s">
        <v>1394</v>
      </c>
      <c r="N491" s="620">
        <v>44489</v>
      </c>
      <c r="O491" s="684" t="s">
        <v>71</v>
      </c>
      <c r="P491" s="503">
        <f t="shared" si="25"/>
        <v>10</v>
      </c>
      <c r="Q491" s="503">
        <f t="shared" si="26"/>
        <v>9</v>
      </c>
      <c r="R491" s="504" t="str">
        <f t="shared" si="27"/>
        <v>Gastos_custeados_por_captação</v>
      </c>
      <c r="S491" s="504" t="str">
        <f>IF(D491="","",IF(OR(D491=Plano!$A$1,D491=Plano!$B$1),"entrada","saída"))</f>
        <v>saída</v>
      </c>
      <c r="T491" s="511" t="s">
        <v>1082</v>
      </c>
      <c r="U491" s="511">
        <v>1457</v>
      </c>
      <c r="V491" s="541"/>
    </row>
    <row r="492" spans="1:22" s="518" customFormat="1" ht="42.75" customHeight="1" x14ac:dyDescent="0.2">
      <c r="A492" s="619">
        <f>IF(B492="","",COUNT('Diário 5º PA'!$A$5:$A$2634)+COUNT('Diário 6º PA'!$A$5:$A$2246)+COUNT('Diário 7º PA'!$A$5:$A$2271)+ROW()-4)</f>
        <v>4438</v>
      </c>
      <c r="B492" s="620">
        <v>44490</v>
      </c>
      <c r="C492" s="621">
        <v>44470</v>
      </c>
      <c r="D492" s="548" t="s">
        <v>104</v>
      </c>
      <c r="E492" s="548" t="s">
        <v>104</v>
      </c>
      <c r="F492" s="622">
        <v>10.45</v>
      </c>
      <c r="G492" s="623" t="s">
        <v>5451</v>
      </c>
      <c r="H492" s="548" t="s">
        <v>104</v>
      </c>
      <c r="I492" s="583" t="s">
        <v>949</v>
      </c>
      <c r="J492" s="548" t="s">
        <v>950</v>
      </c>
      <c r="K492" s="583" t="s">
        <v>951</v>
      </c>
      <c r="L492" s="583" t="s">
        <v>947</v>
      </c>
      <c r="M492" s="625" t="s">
        <v>114</v>
      </c>
      <c r="N492" s="620">
        <v>44490</v>
      </c>
      <c r="O492" s="684" t="s">
        <v>71</v>
      </c>
      <c r="P492" s="503">
        <f t="shared" si="25"/>
        <v>10</v>
      </c>
      <c r="Q492" s="503">
        <f t="shared" si="26"/>
        <v>10</v>
      </c>
      <c r="R492" s="504" t="str">
        <f t="shared" si="27"/>
        <v>Gastos_custeados_por_captação</v>
      </c>
      <c r="S492" s="504" t="str">
        <f>IF(D492="","",IF(OR(D492=Plano!$A$1,D492=Plano!$B$1),"entrada","saída"))</f>
        <v>saída</v>
      </c>
      <c r="T492" s="511" t="s">
        <v>114</v>
      </c>
      <c r="U492" s="511" t="s">
        <v>114</v>
      </c>
      <c r="V492" s="541"/>
    </row>
    <row r="493" spans="1:22" s="540" customFormat="1" ht="116.25" customHeight="1" x14ac:dyDescent="0.2">
      <c r="A493" s="619">
        <f>IF(B493="","",COUNT('Diário 5º PA'!$A$5:$A$2634)+COUNT('Diário 6º PA'!$A$5:$A$2246)+COUNT('Diário 7º PA'!$A$5:$A$2271)+ROW()-4)</f>
        <v>4439</v>
      </c>
      <c r="B493" s="620">
        <v>44490</v>
      </c>
      <c r="C493" s="624">
        <v>44440</v>
      </c>
      <c r="D493" s="548" t="s">
        <v>104</v>
      </c>
      <c r="E493" s="548" t="s">
        <v>104</v>
      </c>
      <c r="F493" s="622">
        <v>500</v>
      </c>
      <c r="G493" s="623" t="s">
        <v>5512</v>
      </c>
      <c r="H493" s="548" t="s">
        <v>104</v>
      </c>
      <c r="I493" s="583" t="s">
        <v>6333</v>
      </c>
      <c r="J493" s="548" t="s">
        <v>5513</v>
      </c>
      <c r="K493" s="583" t="s">
        <v>991</v>
      </c>
      <c r="L493" s="583" t="s">
        <v>992</v>
      </c>
      <c r="M493" s="619" t="s">
        <v>1299</v>
      </c>
      <c r="N493" s="620">
        <v>44489</v>
      </c>
      <c r="O493" s="684" t="s">
        <v>5370</v>
      </c>
      <c r="P493" s="503">
        <f t="shared" si="25"/>
        <v>10</v>
      </c>
      <c r="Q493" s="503">
        <f t="shared" si="26"/>
        <v>9</v>
      </c>
      <c r="R493" s="504" t="str">
        <f t="shared" si="27"/>
        <v>Gastos_custeados_por_captação</v>
      </c>
      <c r="S493" s="504" t="str">
        <f>IF(D493="","",IF(OR(D493=Plano!$A$1,D493=Plano!$B$1),"entrada","saída"))</f>
        <v>saída</v>
      </c>
      <c r="T493" s="511" t="s">
        <v>994</v>
      </c>
      <c r="U493" s="511">
        <v>2032</v>
      </c>
      <c r="V493" s="541"/>
    </row>
    <row r="494" spans="1:22" s="540" customFormat="1" ht="54" customHeight="1" x14ac:dyDescent="0.2">
      <c r="A494" s="619">
        <f>IF(B494="","",COUNT('Diário 5º PA'!$A$5:$A$2634)+COUNT('Diário 6º PA'!$A$5:$A$2246)+COUNT('Diário 7º PA'!$A$5:$A$2271)+ROW()-4)</f>
        <v>4440</v>
      </c>
      <c r="B494" s="620">
        <v>44490</v>
      </c>
      <c r="C494" s="621">
        <v>44470</v>
      </c>
      <c r="D494" s="548" t="s">
        <v>104</v>
      </c>
      <c r="E494" s="548" t="s">
        <v>104</v>
      </c>
      <c r="F494" s="622">
        <v>10.45</v>
      </c>
      <c r="G494" s="623" t="s">
        <v>5451</v>
      </c>
      <c r="H494" s="548" t="s">
        <v>104</v>
      </c>
      <c r="I494" s="583" t="s">
        <v>949</v>
      </c>
      <c r="J494" s="548" t="s">
        <v>950</v>
      </c>
      <c r="K494" s="583" t="s">
        <v>951</v>
      </c>
      <c r="L494" s="583" t="s">
        <v>947</v>
      </c>
      <c r="M494" s="625" t="s">
        <v>114</v>
      </c>
      <c r="N494" s="620">
        <v>44490</v>
      </c>
      <c r="O494" s="684" t="s">
        <v>5370</v>
      </c>
      <c r="P494" s="503">
        <f t="shared" si="25"/>
        <v>10</v>
      </c>
      <c r="Q494" s="503">
        <f t="shared" si="26"/>
        <v>10</v>
      </c>
      <c r="R494" s="504" t="str">
        <f t="shared" si="27"/>
        <v>Gastos_custeados_por_captação</v>
      </c>
      <c r="S494" s="504" t="str">
        <f>IF(D494="","",IF(OR(D494=Plano!$A$1,D494=Plano!$B$1),"entrada","saída"))</f>
        <v>saída</v>
      </c>
      <c r="T494" s="511" t="s">
        <v>114</v>
      </c>
      <c r="U494" s="511" t="s">
        <v>114</v>
      </c>
      <c r="V494" s="541"/>
    </row>
    <row r="495" spans="1:22" s="545" customFormat="1" ht="54" customHeight="1" x14ac:dyDescent="0.2">
      <c r="A495" s="619">
        <f>IF(B495="","",COUNT('Diário 5º PA'!$A$5:$A$2634)+COUNT('Diário 6º PA'!$A$5:$A$2246)+COUNT('Diário 7º PA'!$A$5:$A$2271)+ROW()-4)</f>
        <v>4441</v>
      </c>
      <c r="B495" s="620">
        <v>44490</v>
      </c>
      <c r="C495" s="621">
        <v>44470</v>
      </c>
      <c r="D495" s="548" t="s">
        <v>104</v>
      </c>
      <c r="E495" s="548" t="s">
        <v>104</v>
      </c>
      <c r="F495" s="622">
        <v>314.39999999999998</v>
      </c>
      <c r="G495" s="623" t="s">
        <v>6957</v>
      </c>
      <c r="H495" s="548" t="s">
        <v>104</v>
      </c>
      <c r="I495" s="583" t="s">
        <v>6955</v>
      </c>
      <c r="J495" s="548" t="s">
        <v>6956</v>
      </c>
      <c r="K495" s="583" t="s">
        <v>1015</v>
      </c>
      <c r="L495" s="583" t="s">
        <v>992</v>
      </c>
      <c r="M495" s="625">
        <v>289</v>
      </c>
      <c r="N495" s="620">
        <v>44489</v>
      </c>
      <c r="O495" s="684" t="s">
        <v>5505</v>
      </c>
      <c r="P495" s="503">
        <f t="shared" si="25"/>
        <v>10</v>
      </c>
      <c r="Q495" s="503">
        <f t="shared" si="26"/>
        <v>10</v>
      </c>
      <c r="R495" s="504" t="str">
        <f t="shared" si="27"/>
        <v>Gastos_custeados_por_captação</v>
      </c>
      <c r="S495" s="504" t="str">
        <f>IF(D495="","",IF(OR(D495=Plano!$A$1,D495=Plano!$B$1),"entrada","saída"))</f>
        <v>saída</v>
      </c>
      <c r="T495" s="511" t="s">
        <v>1059</v>
      </c>
      <c r="U495" s="511">
        <v>1938</v>
      </c>
      <c r="V495" s="541"/>
    </row>
    <row r="496" spans="1:22" s="545" customFormat="1" ht="54" customHeight="1" x14ac:dyDescent="0.2">
      <c r="A496" s="619">
        <f>IF(B496="","",COUNT('Diário 5º PA'!$A$5:$A$2634)+COUNT('Diário 6º PA'!$A$5:$A$2246)+COUNT('Diário 7º PA'!$A$5:$A$2271)+ROW()-4)</f>
        <v>4442</v>
      </c>
      <c r="B496" s="620">
        <v>44490</v>
      </c>
      <c r="C496" s="621">
        <v>44470</v>
      </c>
      <c r="D496" s="548" t="s">
        <v>104</v>
      </c>
      <c r="E496" s="548" t="s">
        <v>104</v>
      </c>
      <c r="F496" s="622">
        <v>43.8</v>
      </c>
      <c r="G496" s="623" t="s">
        <v>6960</v>
      </c>
      <c r="H496" s="548" t="s">
        <v>104</v>
      </c>
      <c r="I496" s="583" t="s">
        <v>6958</v>
      </c>
      <c r="J496" s="548" t="s">
        <v>6959</v>
      </c>
      <c r="K496" s="583" t="s">
        <v>1015</v>
      </c>
      <c r="L496" s="583" t="s">
        <v>992</v>
      </c>
      <c r="M496" s="625">
        <v>78438</v>
      </c>
      <c r="N496" s="620">
        <v>44490</v>
      </c>
      <c r="O496" s="684" t="s">
        <v>5505</v>
      </c>
      <c r="P496" s="503">
        <f t="shared" si="25"/>
        <v>10</v>
      </c>
      <c r="Q496" s="503">
        <f t="shared" si="26"/>
        <v>10</v>
      </c>
      <c r="R496" s="504" t="str">
        <f t="shared" si="27"/>
        <v>Gastos_custeados_por_captação</v>
      </c>
      <c r="S496" s="504" t="str">
        <f>IF(D496="","",IF(OR(D496=Plano!$A$1,D496=Plano!$B$1),"entrada","saída"))</f>
        <v>saída</v>
      </c>
      <c r="T496" s="511" t="s">
        <v>1417</v>
      </c>
      <c r="U496" s="511">
        <v>2295</v>
      </c>
      <c r="V496" s="541"/>
    </row>
    <row r="497" spans="1:22" s="545" customFormat="1" ht="54" customHeight="1" x14ac:dyDescent="0.2">
      <c r="A497" s="619">
        <f>IF(B497="","",COUNT('Diário 5º PA'!$A$5:$A$2634)+COUNT('Diário 6º PA'!$A$5:$A$2246)+COUNT('Diário 7º PA'!$A$5:$A$2271)+ROW()-4)</f>
        <v>4443</v>
      </c>
      <c r="B497" s="620">
        <v>44490</v>
      </c>
      <c r="C497" s="621">
        <v>44470</v>
      </c>
      <c r="D497" s="548" t="s">
        <v>104</v>
      </c>
      <c r="E497" s="548" t="s">
        <v>104</v>
      </c>
      <c r="F497" s="622">
        <v>1566</v>
      </c>
      <c r="G497" s="623" t="s">
        <v>6965</v>
      </c>
      <c r="H497" s="548" t="s">
        <v>104</v>
      </c>
      <c r="I497" s="583" t="s">
        <v>6961</v>
      </c>
      <c r="J497" s="622" t="s">
        <v>6964</v>
      </c>
      <c r="K497" s="583" t="s">
        <v>1015</v>
      </c>
      <c r="L497" s="583" t="s">
        <v>992</v>
      </c>
      <c r="M497" s="625">
        <v>41.244897959183675</v>
      </c>
      <c r="N497" s="620">
        <v>44490</v>
      </c>
      <c r="O497" s="684" t="s">
        <v>5505</v>
      </c>
      <c r="P497" s="503">
        <f t="shared" si="25"/>
        <v>10</v>
      </c>
      <c r="Q497" s="503">
        <f t="shared" si="26"/>
        <v>10</v>
      </c>
      <c r="R497" s="504" t="str">
        <f t="shared" si="27"/>
        <v>Gastos_custeados_por_captação</v>
      </c>
      <c r="S497" s="504" t="str">
        <f>IF(D497="","",IF(OR(D497=Plano!$A$1,D497=Plano!$B$1),"entrada","saída"))</f>
        <v>saída</v>
      </c>
      <c r="T497" s="511" t="s">
        <v>994</v>
      </c>
      <c r="U497" s="511">
        <v>2146</v>
      </c>
      <c r="V497" s="541"/>
    </row>
    <row r="498" spans="1:22" s="545" customFormat="1" ht="54" customHeight="1" x14ac:dyDescent="0.2">
      <c r="A498" s="619">
        <f>IF(B498="","",COUNT('Diário 5º PA'!$A$5:$A$2634)+COUNT('Diário 6º PA'!$A$5:$A$2246)+COUNT('Diário 7º PA'!$A$5:$A$2271)+ROW()-4)</f>
        <v>4444</v>
      </c>
      <c r="B498" s="620">
        <v>44490</v>
      </c>
      <c r="C498" s="621">
        <v>44470</v>
      </c>
      <c r="D498" s="548" t="s">
        <v>104</v>
      </c>
      <c r="E498" s="548" t="s">
        <v>104</v>
      </c>
      <c r="F498" s="622">
        <v>5880</v>
      </c>
      <c r="G498" s="623" t="s">
        <v>6966</v>
      </c>
      <c r="H498" s="548" t="s">
        <v>104</v>
      </c>
      <c r="I498" s="583" t="s">
        <v>6962</v>
      </c>
      <c r="J498" s="622" t="s">
        <v>6202</v>
      </c>
      <c r="K498" s="583" t="s">
        <v>1015</v>
      </c>
      <c r="L498" s="583" t="s">
        <v>992</v>
      </c>
      <c r="M498" s="625">
        <v>105</v>
      </c>
      <c r="N498" s="620">
        <v>44490</v>
      </c>
      <c r="O498" s="684" t="s">
        <v>5505</v>
      </c>
      <c r="P498" s="503">
        <f t="shared" si="25"/>
        <v>10</v>
      </c>
      <c r="Q498" s="503">
        <f t="shared" si="26"/>
        <v>10</v>
      </c>
      <c r="R498" s="504" t="str">
        <f t="shared" si="27"/>
        <v>Gastos_custeados_por_captação</v>
      </c>
      <c r="S498" s="504" t="str">
        <f>IF(D498="","",IF(OR(D498=Plano!$A$1,D498=Plano!$B$1),"entrada","saída"))</f>
        <v>saída</v>
      </c>
      <c r="T498" s="511" t="s">
        <v>1082</v>
      </c>
      <c r="U498" s="511">
        <v>2094</v>
      </c>
      <c r="V498" s="541"/>
    </row>
    <row r="499" spans="1:22" s="545" customFormat="1" ht="54" customHeight="1" x14ac:dyDescent="0.2">
      <c r="A499" s="619">
        <f>IF(B499="","",COUNT('Diário 5º PA'!$A$5:$A$2634)+COUNT('Diário 6º PA'!$A$5:$A$2246)+COUNT('Diário 7º PA'!$A$5:$A$2271)+ROW()-4)</f>
        <v>4445</v>
      </c>
      <c r="B499" s="620">
        <v>44490</v>
      </c>
      <c r="C499" s="621">
        <v>44470</v>
      </c>
      <c r="D499" s="548" t="s">
        <v>104</v>
      </c>
      <c r="E499" s="548" t="s">
        <v>104</v>
      </c>
      <c r="F499" s="622">
        <v>9235.56</v>
      </c>
      <c r="G499" s="623" t="s">
        <v>6967</v>
      </c>
      <c r="H499" s="548" t="s">
        <v>104</v>
      </c>
      <c r="I499" s="583" t="s">
        <v>6963</v>
      </c>
      <c r="J499" s="622" t="s">
        <v>759</v>
      </c>
      <c r="K499" s="583" t="s">
        <v>1015</v>
      </c>
      <c r="L499" s="583" t="s">
        <v>992</v>
      </c>
      <c r="M499" s="625">
        <v>80.84</v>
      </c>
      <c r="N499" s="620">
        <v>44489</v>
      </c>
      <c r="O499" s="684" t="s">
        <v>5505</v>
      </c>
      <c r="P499" s="503">
        <f t="shared" si="25"/>
        <v>10</v>
      </c>
      <c r="Q499" s="503">
        <f t="shared" si="26"/>
        <v>10</v>
      </c>
      <c r="R499" s="504" t="str">
        <f t="shared" si="27"/>
        <v>Gastos_custeados_por_captação</v>
      </c>
      <c r="S499" s="504" t="str">
        <f>IF(D499="","",IF(OR(D499=Plano!$A$1,D499=Plano!$B$1),"entrada","saída"))</f>
        <v>saída</v>
      </c>
      <c r="T499" s="511" t="s">
        <v>1059</v>
      </c>
      <c r="U499" s="511">
        <v>2262</v>
      </c>
      <c r="V499" s="541"/>
    </row>
    <row r="500" spans="1:22" ht="174.75" customHeight="1" x14ac:dyDescent="0.2">
      <c r="A500" s="619">
        <f>IF(B500="","",COUNT('Diário 5º PA'!$A$5:$A$2634)+COUNT('Diário 6º PA'!$A$5:$A$2246)+COUNT('Diário 7º PA'!$A$5:$A$2271)+ROW()-4)</f>
        <v>4446</v>
      </c>
      <c r="B500" s="620">
        <v>44491</v>
      </c>
      <c r="C500" s="624">
        <v>44440</v>
      </c>
      <c r="D500" s="548" t="s">
        <v>99</v>
      </c>
      <c r="E500" s="548" t="s">
        <v>358</v>
      </c>
      <c r="F500" s="622">
        <v>1998.6</v>
      </c>
      <c r="G500" s="623" t="s">
        <v>775</v>
      </c>
      <c r="H500" s="548" t="s">
        <v>131</v>
      </c>
      <c r="I500" s="583" t="s">
        <v>5243</v>
      </c>
      <c r="J500" s="548" t="s">
        <v>776</v>
      </c>
      <c r="K500" s="583" t="s">
        <v>991</v>
      </c>
      <c r="L500" s="583" t="s">
        <v>1901</v>
      </c>
      <c r="M500" s="619">
        <v>1389</v>
      </c>
      <c r="N500" s="620">
        <v>44487</v>
      </c>
      <c r="O500" s="684" t="s">
        <v>67</v>
      </c>
      <c r="P500" s="503">
        <f t="shared" si="25"/>
        <v>10</v>
      </c>
      <c r="Q500" s="503">
        <f t="shared" si="26"/>
        <v>9</v>
      </c>
      <c r="R500" s="504" t="str">
        <f t="shared" si="27"/>
        <v>Gastos_Gerais</v>
      </c>
      <c r="S500" s="504" t="str">
        <f>IF(D500="","",IF(OR(D500=Plano!$A$1,D500=Plano!$B$1),"entrada","saída"))</f>
        <v>saída</v>
      </c>
      <c r="T500" s="505" t="s">
        <v>1059</v>
      </c>
      <c r="U500" s="505">
        <v>1942</v>
      </c>
      <c r="V500" s="541"/>
    </row>
    <row r="501" spans="1:22" ht="256.5" customHeight="1" x14ac:dyDescent="0.2">
      <c r="A501" s="619">
        <f>IF(B501="","",COUNT('Diário 5º PA'!$A$5:$A$2634)+COUNT('Diário 6º PA'!$A$5:$A$2246)+COUNT('Diário 7º PA'!$A$5:$A$2271)+ROW()-4)</f>
        <v>4447</v>
      </c>
      <c r="B501" s="620">
        <v>44491</v>
      </c>
      <c r="C501" s="624">
        <v>44409</v>
      </c>
      <c r="D501" s="548" t="s">
        <v>99</v>
      </c>
      <c r="E501" s="548" t="s">
        <v>342</v>
      </c>
      <c r="F501" s="622">
        <v>672</v>
      </c>
      <c r="G501" s="623" t="s">
        <v>841</v>
      </c>
      <c r="H501" s="548" t="s">
        <v>122</v>
      </c>
      <c r="I501" s="583" t="s">
        <v>5886</v>
      </c>
      <c r="J501" s="548" t="s">
        <v>842</v>
      </c>
      <c r="K501" s="583" t="s">
        <v>991</v>
      </c>
      <c r="L501" s="583" t="s">
        <v>1029</v>
      </c>
      <c r="M501" s="619">
        <v>1392</v>
      </c>
      <c r="N501" s="620">
        <v>44490</v>
      </c>
      <c r="O501" s="684" t="s">
        <v>67</v>
      </c>
      <c r="P501" s="503">
        <f t="shared" si="25"/>
        <v>10</v>
      </c>
      <c r="Q501" s="503">
        <f t="shared" si="26"/>
        <v>8</v>
      </c>
      <c r="R501" s="504" t="str">
        <f t="shared" si="27"/>
        <v>Gastos_Gerais</v>
      </c>
      <c r="S501" s="504" t="str">
        <f>IF(D501="","",IF(OR(D501=Plano!$A$1,D501=Plano!$B$1),"entrada","saída"))</f>
        <v>saída</v>
      </c>
      <c r="T501" s="505" t="s">
        <v>994</v>
      </c>
      <c r="U501" s="505">
        <v>1984</v>
      </c>
      <c r="V501" s="541"/>
    </row>
    <row r="502" spans="1:22" ht="112.5" customHeight="1" x14ac:dyDescent="0.2">
      <c r="A502" s="619">
        <f>IF(B502="","",COUNT('Diário 5º PA'!$A$5:$A$2634)+COUNT('Diário 6º PA'!$A$5:$A$2246)+COUNT('Diário 7º PA'!$A$5:$A$2271)+ROW()-4)</f>
        <v>4448</v>
      </c>
      <c r="B502" s="620">
        <v>44491</v>
      </c>
      <c r="C502" s="624">
        <v>44440</v>
      </c>
      <c r="D502" s="548" t="s">
        <v>99</v>
      </c>
      <c r="E502" s="548" t="s">
        <v>364</v>
      </c>
      <c r="F502" s="622">
        <v>2000</v>
      </c>
      <c r="G502" s="623" t="s">
        <v>810</v>
      </c>
      <c r="H502" s="548" t="s">
        <v>117</v>
      </c>
      <c r="I502" s="583" t="s">
        <v>5221</v>
      </c>
      <c r="J502" s="548" t="s">
        <v>812</v>
      </c>
      <c r="K502" s="583" t="s">
        <v>991</v>
      </c>
      <c r="L502" s="583" t="s">
        <v>992</v>
      </c>
      <c r="M502" s="619" t="s">
        <v>1294</v>
      </c>
      <c r="N502" s="620">
        <v>44490</v>
      </c>
      <c r="O502" s="684" t="s">
        <v>67</v>
      </c>
      <c r="P502" s="503">
        <f t="shared" si="25"/>
        <v>10</v>
      </c>
      <c r="Q502" s="503">
        <f t="shared" si="26"/>
        <v>9</v>
      </c>
      <c r="R502" s="504" t="str">
        <f t="shared" si="27"/>
        <v>Gastos_Gerais</v>
      </c>
      <c r="S502" s="504" t="str">
        <f>IF(D502="","",IF(OR(D502=Plano!$A$1,D502=Plano!$B$1),"entrada","saída"))</f>
        <v>saída</v>
      </c>
      <c r="T502" s="505" t="s">
        <v>1059</v>
      </c>
      <c r="U502" s="505">
        <v>1935</v>
      </c>
      <c r="V502" s="541"/>
    </row>
    <row r="503" spans="1:22" ht="156" customHeight="1" x14ac:dyDescent="0.2">
      <c r="A503" s="619">
        <f>IF(B503="","",COUNT('Diário 5º PA'!$A$5:$A$2634)+COUNT('Diário 6º PA'!$A$5:$A$2246)+COUNT('Diário 7º PA'!$A$5:$A$2271)+ROW()-4)</f>
        <v>4449</v>
      </c>
      <c r="B503" s="620">
        <v>44491</v>
      </c>
      <c r="C503" s="628">
        <v>44470</v>
      </c>
      <c r="D503" s="548" t="s">
        <v>99</v>
      </c>
      <c r="E503" s="548" t="s">
        <v>352</v>
      </c>
      <c r="F503" s="622">
        <v>1960</v>
      </c>
      <c r="G503" s="623" t="s">
        <v>5568</v>
      </c>
      <c r="H503" s="548" t="s">
        <v>128</v>
      </c>
      <c r="I503" s="583" t="s">
        <v>1295</v>
      </c>
      <c r="J503" s="548" t="s">
        <v>470</v>
      </c>
      <c r="K503" s="583" t="s">
        <v>991</v>
      </c>
      <c r="L503" s="583" t="s">
        <v>992</v>
      </c>
      <c r="M503" s="619" t="s">
        <v>1045</v>
      </c>
      <c r="N503" s="620">
        <v>44490</v>
      </c>
      <c r="O503" s="684" t="s">
        <v>67</v>
      </c>
      <c r="P503" s="503">
        <f t="shared" si="25"/>
        <v>10</v>
      </c>
      <c r="Q503" s="503">
        <f t="shared" si="26"/>
        <v>10</v>
      </c>
      <c r="R503" s="504" t="str">
        <f t="shared" si="27"/>
        <v>Gastos_Gerais</v>
      </c>
      <c r="S503" s="504" t="str">
        <f>IF(D503="","",IF(OR(D503=Plano!$A$1,D503=Plano!$B$1),"entrada","saída"))</f>
        <v>saída</v>
      </c>
      <c r="T503" s="505" t="s">
        <v>994</v>
      </c>
      <c r="U503" s="505">
        <v>2239</v>
      </c>
      <c r="V503" s="541"/>
    </row>
    <row r="504" spans="1:22" ht="186.75" customHeight="1" x14ac:dyDescent="0.2">
      <c r="A504" s="619">
        <f>IF(B504="","",COUNT('Diário 5º PA'!$A$5:$A$2634)+COUNT('Diário 6º PA'!$A$5:$A$2246)+COUNT('Diário 7º PA'!$A$5:$A$2271)+ROW()-4)</f>
        <v>4450</v>
      </c>
      <c r="B504" s="620">
        <v>44491</v>
      </c>
      <c r="C504" s="624">
        <v>44228</v>
      </c>
      <c r="D504" s="548" t="s">
        <v>99</v>
      </c>
      <c r="E504" s="548" t="s">
        <v>330</v>
      </c>
      <c r="F504" s="622">
        <v>1140</v>
      </c>
      <c r="G504" s="623" t="s">
        <v>568</v>
      </c>
      <c r="H504" s="548" t="s">
        <v>135</v>
      </c>
      <c r="I504" s="583" t="s">
        <v>5437</v>
      </c>
      <c r="J504" s="548" t="s">
        <v>569</v>
      </c>
      <c r="K504" s="583" t="s">
        <v>991</v>
      </c>
      <c r="L504" s="583" t="s">
        <v>992</v>
      </c>
      <c r="M504" s="619" t="s">
        <v>5890</v>
      </c>
      <c r="N504" s="620">
        <v>44487</v>
      </c>
      <c r="O504" s="684" t="s">
        <v>67</v>
      </c>
      <c r="P504" s="503">
        <f t="shared" si="25"/>
        <v>10</v>
      </c>
      <c r="Q504" s="503">
        <f t="shared" si="26"/>
        <v>2</v>
      </c>
      <c r="R504" s="504" t="str">
        <f t="shared" si="27"/>
        <v>Gastos_Gerais</v>
      </c>
      <c r="S504" s="504" t="str">
        <f>IF(D504="","",IF(OR(D504=Plano!$A$1,D504=Plano!$B$1),"entrada","saída"))</f>
        <v>saída</v>
      </c>
      <c r="T504" s="505" t="s">
        <v>994</v>
      </c>
      <c r="U504" s="505">
        <v>1317</v>
      </c>
      <c r="V504" s="541"/>
    </row>
    <row r="505" spans="1:22" ht="30.75" customHeight="1" x14ac:dyDescent="0.2">
      <c r="A505" s="619">
        <f>IF(B505="","",COUNT('Diário 5º PA'!$A$5:$A$2634)+COUNT('Diário 6º PA'!$A$5:$A$2246)+COUNT('Diário 7º PA'!$A$5:$A$2271)+ROW()-4)</f>
        <v>4451</v>
      </c>
      <c r="B505" s="620">
        <v>44491</v>
      </c>
      <c r="C505" s="628">
        <v>44470</v>
      </c>
      <c r="D505" s="548" t="s">
        <v>88</v>
      </c>
      <c r="E505" s="548" t="s">
        <v>192</v>
      </c>
      <c r="F505" s="622">
        <v>57</v>
      </c>
      <c r="G505" s="623" t="s">
        <v>5898</v>
      </c>
      <c r="H505" s="548" t="s">
        <v>114</v>
      </c>
      <c r="I505" s="583" t="s">
        <v>5164</v>
      </c>
      <c r="J505" s="548" t="s">
        <v>3591</v>
      </c>
      <c r="K505" s="583" t="s">
        <v>991</v>
      </c>
      <c r="L505" s="583" t="s">
        <v>1177</v>
      </c>
      <c r="M505" s="619" t="s">
        <v>114</v>
      </c>
      <c r="N505" s="620">
        <v>44491</v>
      </c>
      <c r="O505" s="684" t="s">
        <v>67</v>
      </c>
      <c r="P505" s="503">
        <f t="shared" si="25"/>
        <v>10</v>
      </c>
      <c r="Q505" s="503">
        <f t="shared" si="26"/>
        <v>10</v>
      </c>
      <c r="R505" s="504" t="str">
        <f t="shared" si="27"/>
        <v>Gastos_com_Pessoal</v>
      </c>
      <c r="S505" s="504" t="str">
        <f>IF(D505="","",IF(OR(D505=Plano!$A$1,D505=Plano!$B$1),"entrada","saída"))</f>
        <v>saída</v>
      </c>
      <c r="T505" s="546" t="s">
        <v>114</v>
      </c>
      <c r="U505" s="546" t="s">
        <v>114</v>
      </c>
      <c r="V505" s="541"/>
    </row>
    <row r="506" spans="1:22" ht="45" customHeight="1" x14ac:dyDescent="0.2">
      <c r="A506" s="619">
        <f>IF(B506="","",COUNT('Diário 5º PA'!$A$5:$A$2634)+COUNT('Diário 6º PA'!$A$5:$A$2246)+COUNT('Diário 7º PA'!$A$5:$A$2271)+ROW()-4)</f>
        <v>4452</v>
      </c>
      <c r="B506" s="620">
        <v>44491</v>
      </c>
      <c r="C506" s="621">
        <v>44470</v>
      </c>
      <c r="D506" s="548" t="s">
        <v>99</v>
      </c>
      <c r="E506" s="548" t="s">
        <v>272</v>
      </c>
      <c r="F506" s="622">
        <v>10.45</v>
      </c>
      <c r="G506" s="623" t="s">
        <v>5892</v>
      </c>
      <c r="H506" s="548" t="s">
        <v>131</v>
      </c>
      <c r="I506" s="583" t="s">
        <v>949</v>
      </c>
      <c r="J506" s="548" t="s">
        <v>950</v>
      </c>
      <c r="K506" s="583" t="s">
        <v>951</v>
      </c>
      <c r="L506" s="583" t="s">
        <v>947</v>
      </c>
      <c r="M506" s="625" t="s">
        <v>114</v>
      </c>
      <c r="N506" s="620">
        <v>44491</v>
      </c>
      <c r="O506" s="684" t="s">
        <v>67</v>
      </c>
      <c r="P506" s="503">
        <f t="shared" si="25"/>
        <v>10</v>
      </c>
      <c r="Q506" s="503">
        <f t="shared" si="26"/>
        <v>10</v>
      </c>
      <c r="R506" s="504" t="str">
        <f t="shared" si="27"/>
        <v>Gastos_Gerais</v>
      </c>
      <c r="S506" s="504" t="str">
        <f>IF(D506="","",IF(OR(D506=Plano!$A$1,D506=Plano!$B$1),"entrada","saída"))</f>
        <v>saída</v>
      </c>
      <c r="T506" s="511" t="s">
        <v>114</v>
      </c>
      <c r="U506" s="511" t="s">
        <v>114</v>
      </c>
      <c r="V506" s="541"/>
    </row>
    <row r="507" spans="1:22" ht="45" customHeight="1" x14ac:dyDescent="0.2">
      <c r="A507" s="619">
        <f>IF(B507="","",COUNT('Diário 5º PA'!$A$5:$A$2634)+COUNT('Diário 6º PA'!$A$5:$A$2246)+COUNT('Diário 7º PA'!$A$5:$A$2271)+ROW()-4)</f>
        <v>4453</v>
      </c>
      <c r="B507" s="620">
        <v>44491</v>
      </c>
      <c r="C507" s="621">
        <v>44470</v>
      </c>
      <c r="D507" s="548" t="s">
        <v>99</v>
      </c>
      <c r="E507" s="548" t="s">
        <v>272</v>
      </c>
      <c r="F507" s="622">
        <v>10.45</v>
      </c>
      <c r="G507" s="623" t="s">
        <v>5893</v>
      </c>
      <c r="H507" s="548" t="s">
        <v>122</v>
      </c>
      <c r="I507" s="583" t="s">
        <v>949</v>
      </c>
      <c r="J507" s="548" t="s">
        <v>950</v>
      </c>
      <c r="K507" s="583" t="s">
        <v>951</v>
      </c>
      <c r="L507" s="583" t="s">
        <v>947</v>
      </c>
      <c r="M507" s="625" t="s">
        <v>114</v>
      </c>
      <c r="N507" s="620">
        <v>44491</v>
      </c>
      <c r="O507" s="684" t="s">
        <v>67</v>
      </c>
      <c r="P507" s="503">
        <f t="shared" si="25"/>
        <v>10</v>
      </c>
      <c r="Q507" s="503">
        <f t="shared" si="26"/>
        <v>10</v>
      </c>
      <c r="R507" s="504" t="str">
        <f t="shared" si="27"/>
        <v>Gastos_Gerais</v>
      </c>
      <c r="S507" s="504" t="str">
        <f>IF(D507="","",IF(OR(D507=Plano!$A$1,D507=Plano!$B$1),"entrada","saída"))</f>
        <v>saída</v>
      </c>
      <c r="T507" s="511" t="s">
        <v>114</v>
      </c>
      <c r="U507" s="511" t="s">
        <v>114</v>
      </c>
      <c r="V507" s="541"/>
    </row>
    <row r="508" spans="1:22" ht="45" customHeight="1" x14ac:dyDescent="0.2">
      <c r="A508" s="619">
        <f>IF(B508="","",COUNT('Diário 5º PA'!$A$5:$A$2634)+COUNT('Diário 6º PA'!$A$5:$A$2246)+COUNT('Diário 7º PA'!$A$5:$A$2271)+ROW()-4)</f>
        <v>4454</v>
      </c>
      <c r="B508" s="620">
        <v>44491</v>
      </c>
      <c r="C508" s="621">
        <v>44470</v>
      </c>
      <c r="D508" s="548" t="s">
        <v>99</v>
      </c>
      <c r="E508" s="548" t="s">
        <v>272</v>
      </c>
      <c r="F508" s="622">
        <v>10.45</v>
      </c>
      <c r="G508" s="623" t="s">
        <v>5894</v>
      </c>
      <c r="H508" s="548" t="s">
        <v>117</v>
      </c>
      <c r="I508" s="583" t="s">
        <v>949</v>
      </c>
      <c r="J508" s="548" t="s">
        <v>950</v>
      </c>
      <c r="K508" s="583" t="s">
        <v>951</v>
      </c>
      <c r="L508" s="583" t="s">
        <v>947</v>
      </c>
      <c r="M508" s="625" t="s">
        <v>114</v>
      </c>
      <c r="N508" s="620">
        <v>44491</v>
      </c>
      <c r="O508" s="684" t="s">
        <v>67</v>
      </c>
      <c r="P508" s="503">
        <f t="shared" si="25"/>
        <v>10</v>
      </c>
      <c r="Q508" s="503">
        <f t="shared" si="26"/>
        <v>10</v>
      </c>
      <c r="R508" s="504" t="str">
        <f t="shared" si="27"/>
        <v>Gastos_Gerais</v>
      </c>
      <c r="S508" s="504" t="str">
        <f>IF(D508="","",IF(OR(D508=Plano!$A$1,D508=Plano!$B$1),"entrada","saída"))</f>
        <v>saída</v>
      </c>
      <c r="T508" s="511" t="s">
        <v>114</v>
      </c>
      <c r="U508" s="511" t="s">
        <v>114</v>
      </c>
      <c r="V508" s="541"/>
    </row>
    <row r="509" spans="1:22" ht="61.5" customHeight="1" x14ac:dyDescent="0.2">
      <c r="A509" s="619">
        <f>IF(B509="","",COUNT('Diário 5º PA'!$A$5:$A$2634)+COUNT('Diário 6º PA'!$A$5:$A$2246)+COUNT('Diário 7º PA'!$A$5:$A$2271)+ROW()-4)</f>
        <v>4455</v>
      </c>
      <c r="B509" s="620">
        <v>44491</v>
      </c>
      <c r="C509" s="621">
        <v>44470</v>
      </c>
      <c r="D509" s="548" t="s">
        <v>99</v>
      </c>
      <c r="E509" s="548" t="s">
        <v>272</v>
      </c>
      <c r="F509" s="622">
        <v>10.45</v>
      </c>
      <c r="G509" s="623" t="s">
        <v>5895</v>
      </c>
      <c r="H509" s="548" t="s">
        <v>128</v>
      </c>
      <c r="I509" s="583" t="s">
        <v>949</v>
      </c>
      <c r="J509" s="548" t="s">
        <v>950</v>
      </c>
      <c r="K509" s="583" t="s">
        <v>951</v>
      </c>
      <c r="L509" s="583" t="s">
        <v>947</v>
      </c>
      <c r="M509" s="625" t="s">
        <v>114</v>
      </c>
      <c r="N509" s="620">
        <v>44491</v>
      </c>
      <c r="O509" s="684" t="s">
        <v>67</v>
      </c>
      <c r="P509" s="503">
        <f t="shared" si="25"/>
        <v>10</v>
      </c>
      <c r="Q509" s="503">
        <f t="shared" si="26"/>
        <v>10</v>
      </c>
      <c r="R509" s="504" t="str">
        <f t="shared" si="27"/>
        <v>Gastos_Gerais</v>
      </c>
      <c r="S509" s="504" t="str">
        <f>IF(D509="","",IF(OR(D509=Plano!$A$1,D509=Plano!$B$1),"entrada","saída"))</f>
        <v>saída</v>
      </c>
      <c r="T509" s="511" t="s">
        <v>114</v>
      </c>
      <c r="U509" s="511" t="s">
        <v>114</v>
      </c>
      <c r="V509" s="541"/>
    </row>
    <row r="510" spans="1:22" ht="52.5" customHeight="1" x14ac:dyDescent="0.2">
      <c r="A510" s="619">
        <f>IF(B510="","",COUNT('Diário 5º PA'!$A$5:$A$2634)+COUNT('Diário 6º PA'!$A$5:$A$2246)+COUNT('Diário 7º PA'!$A$5:$A$2271)+ROW()-4)</f>
        <v>4456</v>
      </c>
      <c r="B510" s="620">
        <v>44491</v>
      </c>
      <c r="C510" s="621">
        <v>44470</v>
      </c>
      <c r="D510" s="548" t="s">
        <v>99</v>
      </c>
      <c r="E510" s="548" t="s">
        <v>272</v>
      </c>
      <c r="F510" s="622">
        <v>10.45</v>
      </c>
      <c r="G510" s="623" t="s">
        <v>5896</v>
      </c>
      <c r="H510" s="548" t="s">
        <v>135</v>
      </c>
      <c r="I510" s="583" t="s">
        <v>949</v>
      </c>
      <c r="J510" s="548" t="s">
        <v>950</v>
      </c>
      <c r="K510" s="583" t="s">
        <v>951</v>
      </c>
      <c r="L510" s="583" t="s">
        <v>947</v>
      </c>
      <c r="M510" s="625" t="s">
        <v>114</v>
      </c>
      <c r="N510" s="620">
        <v>44491</v>
      </c>
      <c r="O510" s="684" t="s">
        <v>67</v>
      </c>
      <c r="P510" s="503">
        <f t="shared" si="25"/>
        <v>10</v>
      </c>
      <c r="Q510" s="503">
        <f t="shared" si="26"/>
        <v>10</v>
      </c>
      <c r="R510" s="504" t="str">
        <f t="shared" si="27"/>
        <v>Gastos_Gerais</v>
      </c>
      <c r="S510" s="504" t="str">
        <f>IF(D510="","",IF(OR(D510=Plano!$A$1,D510=Plano!$B$1),"entrada","saída"))</f>
        <v>saída</v>
      </c>
      <c r="T510" s="511" t="s">
        <v>114</v>
      </c>
      <c r="U510" s="511" t="s">
        <v>114</v>
      </c>
      <c r="V510" s="541"/>
    </row>
    <row r="511" spans="1:22" ht="45" customHeight="1" x14ac:dyDescent="0.2">
      <c r="A511" s="619">
        <f>IF(B511="","",COUNT('Diário 5º PA'!$A$5:$A$2634)+COUNT('Diário 6º PA'!$A$5:$A$2246)+COUNT('Diário 7º PA'!$A$5:$A$2271)+ROW()-4)</f>
        <v>4457</v>
      </c>
      <c r="B511" s="620">
        <v>44491</v>
      </c>
      <c r="C511" s="621">
        <v>44470</v>
      </c>
      <c r="D511" s="548" t="s">
        <v>99</v>
      </c>
      <c r="E511" s="548" t="s">
        <v>272</v>
      </c>
      <c r="F511" s="622">
        <v>10.45</v>
      </c>
      <c r="G511" s="623" t="s">
        <v>5897</v>
      </c>
      <c r="H511" s="548" t="s">
        <v>114</v>
      </c>
      <c r="I511" s="583" t="s">
        <v>949</v>
      </c>
      <c r="J511" s="548" t="s">
        <v>950</v>
      </c>
      <c r="K511" s="583" t="s">
        <v>951</v>
      </c>
      <c r="L511" s="583" t="s">
        <v>947</v>
      </c>
      <c r="M511" s="625" t="s">
        <v>114</v>
      </c>
      <c r="N511" s="620">
        <v>44491</v>
      </c>
      <c r="O511" s="684" t="s">
        <v>67</v>
      </c>
      <c r="P511" s="503">
        <f t="shared" si="25"/>
        <v>10</v>
      </c>
      <c r="Q511" s="503">
        <f t="shared" si="26"/>
        <v>10</v>
      </c>
      <c r="R511" s="504" t="str">
        <f t="shared" si="27"/>
        <v>Gastos_Gerais</v>
      </c>
      <c r="S511" s="504" t="str">
        <f>IF(D511="","",IF(OR(D511=Plano!$A$1,D511=Plano!$B$1),"entrada","saída"))</f>
        <v>saída</v>
      </c>
      <c r="T511" s="511" t="s">
        <v>114</v>
      </c>
      <c r="U511" s="511" t="s">
        <v>114</v>
      </c>
      <c r="V511" s="541"/>
    </row>
    <row r="512" spans="1:22" s="544" customFormat="1" ht="72" customHeight="1" x14ac:dyDescent="0.2">
      <c r="A512" s="619">
        <f>IF(B512="","",COUNT('Diário 5º PA'!$A$5:$A$2634)+COUNT('Diário 6º PA'!$A$5:$A$2246)+COUNT('Diário 7º PA'!$A$5:$A$2271)+ROW()-4)</f>
        <v>4458</v>
      </c>
      <c r="B512" s="620">
        <v>44491</v>
      </c>
      <c r="C512" s="621">
        <v>44470</v>
      </c>
      <c r="D512" s="548" t="s">
        <v>104</v>
      </c>
      <c r="E512" s="548" t="s">
        <v>104</v>
      </c>
      <c r="F512" s="622">
        <v>48.77</v>
      </c>
      <c r="G512" s="623" t="s">
        <v>6917</v>
      </c>
      <c r="H512" s="548" t="s">
        <v>104</v>
      </c>
      <c r="I512" s="583" t="s">
        <v>6918</v>
      </c>
      <c r="J512" s="548" t="s">
        <v>6919</v>
      </c>
      <c r="K512" s="583" t="s">
        <v>991</v>
      </c>
      <c r="L512" s="583" t="s">
        <v>992</v>
      </c>
      <c r="M512" s="619" t="s">
        <v>6920</v>
      </c>
      <c r="N512" s="620">
        <v>44491</v>
      </c>
      <c r="O512" s="684" t="s">
        <v>5377</v>
      </c>
      <c r="P512" s="503">
        <f t="shared" ref="P512:P575" si="35">IF(B512=0,0,IF(YEAR(B512)=$Q$1,MONTH(B512)-$P$1+1,(YEAR(B512)-$Q$1)*12-$P$1+1+MONTH(B512)))</f>
        <v>10</v>
      </c>
      <c r="Q512" s="503">
        <f t="shared" ref="Q512:Q575" si="36">IF(C512=0,0,IF(YEAR(C512)=$Q$1,MONTH(C512)-$P$1+1,(YEAR(C512)-$Q$1)*12-$P$1+1+MONTH(C512)))</f>
        <v>10</v>
      </c>
      <c r="R512" s="504" t="str">
        <f t="shared" ref="R512:R575" si="37">SUBSTITUTE(D512," ","_")</f>
        <v>Gastos_custeados_por_captação</v>
      </c>
      <c r="S512" s="504" t="str">
        <f>IF(D512="","",IF(OR(D512=Plano!$A$1,D512=Plano!$B$1),"entrada","saída"))</f>
        <v>saída</v>
      </c>
      <c r="T512" s="511" t="s">
        <v>994</v>
      </c>
      <c r="U512" s="511">
        <v>2283</v>
      </c>
      <c r="V512" s="541"/>
    </row>
    <row r="513" spans="1:22" s="545" customFormat="1" ht="72" customHeight="1" x14ac:dyDescent="0.2">
      <c r="A513" s="619">
        <f>IF(B513="","",COUNT('Diário 5º PA'!$A$5:$A$2634)+COUNT('Diário 6º PA'!$A$5:$A$2246)+COUNT('Diário 7º PA'!$A$5:$A$2271)+ROW()-4)</f>
        <v>4459</v>
      </c>
      <c r="B513" s="620">
        <v>44491</v>
      </c>
      <c r="C513" s="621">
        <v>44470</v>
      </c>
      <c r="D513" s="548" t="s">
        <v>104</v>
      </c>
      <c r="E513" s="548" t="s">
        <v>104</v>
      </c>
      <c r="F513" s="622">
        <v>69.3</v>
      </c>
      <c r="G513" s="623" t="s">
        <v>6968</v>
      </c>
      <c r="H513" s="548" t="s">
        <v>104</v>
      </c>
      <c r="I513" s="583" t="s">
        <v>6937</v>
      </c>
      <c r="J513" s="548" t="s">
        <v>933</v>
      </c>
      <c r="K513" s="583" t="s">
        <v>1015</v>
      </c>
      <c r="L513" s="583" t="s">
        <v>992</v>
      </c>
      <c r="M513" s="619">
        <v>9880</v>
      </c>
      <c r="N513" s="620">
        <v>44491</v>
      </c>
      <c r="O513" s="684" t="s">
        <v>5505</v>
      </c>
      <c r="P513" s="503">
        <f t="shared" si="35"/>
        <v>10</v>
      </c>
      <c r="Q513" s="503">
        <f t="shared" si="36"/>
        <v>10</v>
      </c>
      <c r="R513" s="504" t="str">
        <f t="shared" si="37"/>
        <v>Gastos_custeados_por_captação</v>
      </c>
      <c r="S513" s="504" t="str">
        <f>IF(D513="","",IF(OR(D513=Plano!$A$1,D513=Plano!$B$1),"entrada","saída"))</f>
        <v>saída</v>
      </c>
      <c r="T513" s="511" t="s">
        <v>1417</v>
      </c>
      <c r="U513" s="511">
        <v>2299</v>
      </c>
      <c r="V513" s="541"/>
    </row>
    <row r="514" spans="1:22" ht="51" customHeight="1" x14ac:dyDescent="0.2">
      <c r="A514" s="619">
        <f>IF(B514="","",COUNT('Diário 5º PA'!$A$5:$A$2634)+COUNT('Diário 6º PA'!$A$5:$A$2246)+COUNT('Diário 7º PA'!$A$5:$A$2271)+ROW()-4)</f>
        <v>4460</v>
      </c>
      <c r="B514" s="620">
        <v>44494</v>
      </c>
      <c r="C514" s="624">
        <v>44440</v>
      </c>
      <c r="D514" s="548" t="s">
        <v>99</v>
      </c>
      <c r="E514" s="548" t="s">
        <v>254</v>
      </c>
      <c r="F514" s="622">
        <v>-114.88</v>
      </c>
      <c r="G514" s="623" t="s">
        <v>5902</v>
      </c>
      <c r="H514" s="548" t="s">
        <v>115</v>
      </c>
      <c r="I514" s="583" t="s">
        <v>983</v>
      </c>
      <c r="J514" s="548" t="s">
        <v>850</v>
      </c>
      <c r="K514" s="583" t="s">
        <v>1069</v>
      </c>
      <c r="L514" s="583" t="s">
        <v>947</v>
      </c>
      <c r="M514" s="619" t="s">
        <v>114</v>
      </c>
      <c r="N514" s="620">
        <v>44494</v>
      </c>
      <c r="O514" s="684" t="s">
        <v>67</v>
      </c>
      <c r="P514" s="503">
        <f t="shared" si="35"/>
        <v>10</v>
      </c>
      <c r="Q514" s="503">
        <f t="shared" si="36"/>
        <v>9</v>
      </c>
      <c r="R514" s="504" t="str">
        <f t="shared" si="37"/>
        <v>Gastos_Gerais</v>
      </c>
      <c r="S514" s="504" t="str">
        <f>IF(D514="","",IF(OR(D514=Plano!$A$1,D514=Plano!$B$1),"entrada","saída"))</f>
        <v>saída</v>
      </c>
      <c r="T514" s="511" t="s">
        <v>114</v>
      </c>
      <c r="U514" s="511" t="s">
        <v>114</v>
      </c>
      <c r="V514" s="541"/>
    </row>
    <row r="515" spans="1:22" ht="60" customHeight="1" x14ac:dyDescent="0.2">
      <c r="A515" s="619">
        <f>IF(B515="","",COUNT('Diário 5º PA'!$A$5:$A$2634)+COUNT('Diário 6º PA'!$A$5:$A$2246)+COUNT('Diário 7º PA'!$A$5:$A$2271)+ROW()-4)</f>
        <v>4461</v>
      </c>
      <c r="B515" s="620">
        <v>44494</v>
      </c>
      <c r="C515" s="624">
        <v>44440</v>
      </c>
      <c r="D515" s="548" t="s">
        <v>57</v>
      </c>
      <c r="E515" s="548" t="s">
        <v>57</v>
      </c>
      <c r="F515" s="622">
        <v>6839.26</v>
      </c>
      <c r="G515" s="623" t="s">
        <v>5903</v>
      </c>
      <c r="H515" s="548" t="s">
        <v>114</v>
      </c>
      <c r="I515" s="583" t="s">
        <v>945</v>
      </c>
      <c r="J515" s="548" t="s">
        <v>850</v>
      </c>
      <c r="K515" s="583" t="s">
        <v>946</v>
      </c>
      <c r="L515" s="583" t="s">
        <v>947</v>
      </c>
      <c r="M515" s="619" t="s">
        <v>114</v>
      </c>
      <c r="N515" s="620">
        <v>44494</v>
      </c>
      <c r="O515" s="684" t="s">
        <v>67</v>
      </c>
      <c r="P515" s="503">
        <f t="shared" si="35"/>
        <v>10</v>
      </c>
      <c r="Q515" s="503">
        <f t="shared" si="36"/>
        <v>9</v>
      </c>
      <c r="R515" s="504" t="str">
        <f t="shared" si="37"/>
        <v>Transferência_para_Reserva_de_Recursos</v>
      </c>
      <c r="S515" s="504" t="str">
        <f>IF(D515="","",IF(OR(D515=Plano!$A$1,D515=Plano!$B$1),"entrada","saída"))</f>
        <v>saída</v>
      </c>
      <c r="T515" s="511" t="s">
        <v>114</v>
      </c>
      <c r="U515" s="511" t="s">
        <v>114</v>
      </c>
      <c r="V515" s="541"/>
    </row>
    <row r="516" spans="1:22" ht="93.75" customHeight="1" x14ac:dyDescent="0.2">
      <c r="A516" s="619">
        <f>IF(B516="","",COUNT('Diário 5º PA'!$A$5:$A$2634)+COUNT('Diário 6º PA'!$A$5:$A$2246)+COUNT('Diário 7º PA'!$A$5:$A$2271)+ROW()-4)</f>
        <v>4462</v>
      </c>
      <c r="B516" s="620">
        <v>44494</v>
      </c>
      <c r="C516" s="624">
        <v>44470</v>
      </c>
      <c r="D516" s="548" t="s">
        <v>99</v>
      </c>
      <c r="E516" s="548" t="s">
        <v>364</v>
      </c>
      <c r="F516" s="622">
        <v>3180.8</v>
      </c>
      <c r="G516" s="623" t="s">
        <v>5333</v>
      </c>
      <c r="H516" s="548" t="s">
        <v>131</v>
      </c>
      <c r="I516" s="583" t="s">
        <v>5904</v>
      </c>
      <c r="J516" s="548" t="s">
        <v>5334</v>
      </c>
      <c r="K516" s="583" t="s">
        <v>991</v>
      </c>
      <c r="L516" s="583" t="s">
        <v>1029</v>
      </c>
      <c r="M516" s="619">
        <v>1396</v>
      </c>
      <c r="N516" s="620">
        <v>44491</v>
      </c>
      <c r="O516" s="684" t="s">
        <v>67</v>
      </c>
      <c r="P516" s="503">
        <f t="shared" si="35"/>
        <v>10</v>
      </c>
      <c r="Q516" s="503">
        <f t="shared" si="36"/>
        <v>10</v>
      </c>
      <c r="R516" s="504" t="str">
        <f t="shared" si="37"/>
        <v>Gastos_Gerais</v>
      </c>
      <c r="S516" s="504" t="str">
        <f>IF(D516="","",IF(OR(D516=Plano!$A$1,D516=Plano!$B$1),"entrada","saída"))</f>
        <v>saída</v>
      </c>
      <c r="T516" s="505" t="s">
        <v>1082</v>
      </c>
      <c r="U516" s="505">
        <v>2114</v>
      </c>
      <c r="V516" s="541"/>
    </row>
    <row r="517" spans="1:22" ht="37.5" customHeight="1" x14ac:dyDescent="0.2">
      <c r="A517" s="619">
        <f>IF(B517="","",COUNT('Diário 5º PA'!$A$5:$A$2634)+COUNT('Diário 6º PA'!$A$5:$A$2246)+COUNT('Diário 7º PA'!$A$5:$A$2271)+ROW()-4)</f>
        <v>4463</v>
      </c>
      <c r="B517" s="620">
        <v>44494</v>
      </c>
      <c r="C517" s="624">
        <v>44440</v>
      </c>
      <c r="D517" s="548" t="s">
        <v>99</v>
      </c>
      <c r="E517" s="548" t="s">
        <v>276</v>
      </c>
      <c r="F517" s="622">
        <v>339.67</v>
      </c>
      <c r="G517" s="623" t="s">
        <v>5908</v>
      </c>
      <c r="H517" s="548" t="s">
        <v>114</v>
      </c>
      <c r="I517" s="583" t="s">
        <v>488</v>
      </c>
      <c r="J517" s="548" t="s">
        <v>114</v>
      </c>
      <c r="K517" s="583" t="s">
        <v>466</v>
      </c>
      <c r="L517" s="583" t="s">
        <v>489</v>
      </c>
      <c r="M517" s="619" t="s">
        <v>114</v>
      </c>
      <c r="N517" s="620">
        <v>44469</v>
      </c>
      <c r="O517" s="684" t="s">
        <v>67</v>
      </c>
      <c r="P517" s="503">
        <f t="shared" si="35"/>
        <v>10</v>
      </c>
      <c r="Q517" s="503">
        <f t="shared" si="36"/>
        <v>9</v>
      </c>
      <c r="R517" s="504" t="str">
        <f t="shared" si="37"/>
        <v>Gastos_Gerais</v>
      </c>
      <c r="S517" s="504" t="str">
        <f>IF(D517="","",IF(OR(D517=Plano!$A$1,D517=Plano!$B$1),"entrada","saída"))</f>
        <v>saída</v>
      </c>
      <c r="T517" s="546" t="s">
        <v>114</v>
      </c>
      <c r="U517" s="546" t="s">
        <v>114</v>
      </c>
      <c r="V517" s="541"/>
    </row>
    <row r="518" spans="1:22" ht="40.5" customHeight="1" x14ac:dyDescent="0.2">
      <c r="A518" s="619">
        <f>IF(B518="","",COUNT('Diário 5º PA'!$A$5:$A$2634)+COUNT('Diário 6º PA'!$A$5:$A$2246)+COUNT('Diário 7º PA'!$A$5:$A$2271)+ROW()-4)</f>
        <v>4464</v>
      </c>
      <c r="B518" s="620">
        <v>44494</v>
      </c>
      <c r="C518" s="624">
        <v>44440</v>
      </c>
      <c r="D518" s="548" t="s">
        <v>88</v>
      </c>
      <c r="E518" s="548" t="s">
        <v>169</v>
      </c>
      <c r="F518" s="622">
        <v>1648.84</v>
      </c>
      <c r="G518" s="623" t="s">
        <v>5909</v>
      </c>
      <c r="H518" s="548" t="s">
        <v>114</v>
      </c>
      <c r="I518" s="583" t="s">
        <v>488</v>
      </c>
      <c r="J518" s="548" t="s">
        <v>114</v>
      </c>
      <c r="K518" s="583" t="s">
        <v>466</v>
      </c>
      <c r="L518" s="583" t="s">
        <v>489</v>
      </c>
      <c r="M518" s="619" t="s">
        <v>114</v>
      </c>
      <c r="N518" s="620">
        <v>44469</v>
      </c>
      <c r="O518" s="684" t="s">
        <v>67</v>
      </c>
      <c r="P518" s="503">
        <f t="shared" si="35"/>
        <v>10</v>
      </c>
      <c r="Q518" s="503">
        <f t="shared" si="36"/>
        <v>9</v>
      </c>
      <c r="R518" s="504" t="str">
        <f t="shared" si="37"/>
        <v>Gastos_com_Pessoal</v>
      </c>
      <c r="S518" s="504" t="str">
        <f>IF(D518="","",IF(OR(D518=Plano!$A$1,D518=Plano!$B$1),"entrada","saída"))</f>
        <v>saída</v>
      </c>
      <c r="T518" s="546" t="s">
        <v>114</v>
      </c>
      <c r="U518" s="546" t="s">
        <v>114</v>
      </c>
      <c r="V518" s="541"/>
    </row>
    <row r="519" spans="1:22" ht="32.25" customHeight="1" x14ac:dyDescent="0.2">
      <c r="A519" s="619">
        <f>IF(B519="","",COUNT('Diário 5º PA'!$A$5:$A$2634)+COUNT('Diário 6º PA'!$A$5:$A$2246)+COUNT('Diário 7º PA'!$A$5:$A$2271)+ROW()-4)</f>
        <v>4465</v>
      </c>
      <c r="B519" s="620">
        <v>44494</v>
      </c>
      <c r="C519" s="624">
        <v>44470</v>
      </c>
      <c r="D519" s="548" t="s">
        <v>88</v>
      </c>
      <c r="E519" s="548" t="s">
        <v>169</v>
      </c>
      <c r="F519" s="622">
        <v>1648.84</v>
      </c>
      <c r="G519" s="623" t="s">
        <v>6382</v>
      </c>
      <c r="H519" s="548" t="s">
        <v>114</v>
      </c>
      <c r="I519" s="583" t="s">
        <v>488</v>
      </c>
      <c r="J519" s="548" t="s">
        <v>114</v>
      </c>
      <c r="K519" s="583" t="s">
        <v>466</v>
      </c>
      <c r="L519" s="583" t="s">
        <v>489</v>
      </c>
      <c r="M519" s="619" t="s">
        <v>114</v>
      </c>
      <c r="N519" s="620">
        <v>44469</v>
      </c>
      <c r="O519" s="684" t="s">
        <v>67</v>
      </c>
      <c r="P519" s="503">
        <f t="shared" si="35"/>
        <v>10</v>
      </c>
      <c r="Q519" s="503">
        <f t="shared" si="36"/>
        <v>10</v>
      </c>
      <c r="R519" s="504" t="str">
        <f t="shared" si="37"/>
        <v>Gastos_com_Pessoal</v>
      </c>
      <c r="S519" s="504" t="str">
        <f>IF(D519="","",IF(OR(D519=Plano!$A$1,D519=Plano!$B$1),"entrada","saída"))</f>
        <v>saída</v>
      </c>
      <c r="T519" s="546" t="s">
        <v>114</v>
      </c>
      <c r="U519" s="546" t="s">
        <v>114</v>
      </c>
      <c r="V519" s="541"/>
    </row>
    <row r="520" spans="1:22" ht="40.5" customHeight="1" x14ac:dyDescent="0.2">
      <c r="A520" s="619">
        <f>IF(B520="","",COUNT('Diário 5º PA'!$A$5:$A$2634)+COUNT('Diário 6º PA'!$A$5:$A$2246)+COUNT('Diário 7º PA'!$A$5:$A$2271)+ROW()-4)</f>
        <v>4466</v>
      </c>
      <c r="B520" s="620">
        <v>44494</v>
      </c>
      <c r="C520" s="624">
        <v>44440</v>
      </c>
      <c r="D520" s="548" t="s">
        <v>99</v>
      </c>
      <c r="E520" s="548" t="s">
        <v>330</v>
      </c>
      <c r="F520" s="622">
        <v>300</v>
      </c>
      <c r="G520" s="623" t="s">
        <v>647</v>
      </c>
      <c r="H520" s="548" t="s">
        <v>115</v>
      </c>
      <c r="I520" s="583" t="s">
        <v>1570</v>
      </c>
      <c r="J520" s="548" t="s">
        <v>646</v>
      </c>
      <c r="K520" s="583" t="s">
        <v>560</v>
      </c>
      <c r="L520" s="583" t="s">
        <v>992</v>
      </c>
      <c r="M520" s="619">
        <v>5218729</v>
      </c>
      <c r="N520" s="620">
        <v>44496</v>
      </c>
      <c r="O520" s="684" t="s">
        <v>67</v>
      </c>
      <c r="P520" s="503">
        <f t="shared" si="35"/>
        <v>10</v>
      </c>
      <c r="Q520" s="503">
        <f t="shared" si="36"/>
        <v>9</v>
      </c>
      <c r="R520" s="504" t="str">
        <f t="shared" si="37"/>
        <v>Gastos_Gerais</v>
      </c>
      <c r="S520" s="504" t="str">
        <f>IF(D520="","",IF(OR(D520=Plano!$A$1,D520=Plano!$B$1),"entrada","saída"))</f>
        <v>saída</v>
      </c>
      <c r="T520" s="517" t="s">
        <v>1059</v>
      </c>
      <c r="U520" s="517">
        <v>1551</v>
      </c>
      <c r="V520" s="541"/>
    </row>
    <row r="521" spans="1:22" ht="141" customHeight="1" x14ac:dyDescent="0.2">
      <c r="A521" s="619">
        <f>IF(B521="","",COUNT('Diário 5º PA'!$A$5:$A$2634)+COUNT('Diário 6º PA'!$A$5:$A$2246)+COUNT('Diário 7º PA'!$A$5:$A$2271)+ROW()-4)</f>
        <v>4467</v>
      </c>
      <c r="B521" s="620">
        <v>44494</v>
      </c>
      <c r="C521" s="624">
        <v>44440</v>
      </c>
      <c r="D521" s="548" t="s">
        <v>99</v>
      </c>
      <c r="E521" s="548" t="s">
        <v>254</v>
      </c>
      <c r="F521" s="622">
        <v>435</v>
      </c>
      <c r="G521" s="623" t="s">
        <v>445</v>
      </c>
      <c r="H521" s="548" t="s">
        <v>115</v>
      </c>
      <c r="I521" s="583" t="s">
        <v>1573</v>
      </c>
      <c r="J521" s="548" t="s">
        <v>1574</v>
      </c>
      <c r="K521" s="583" t="s">
        <v>991</v>
      </c>
      <c r="L521" s="583" t="s">
        <v>1378</v>
      </c>
      <c r="M521" s="619">
        <v>21490</v>
      </c>
      <c r="N521" s="620">
        <v>44480</v>
      </c>
      <c r="O521" s="684" t="s">
        <v>67</v>
      </c>
      <c r="P521" s="503">
        <f t="shared" si="35"/>
        <v>10</v>
      </c>
      <c r="Q521" s="503">
        <f t="shared" si="36"/>
        <v>9</v>
      </c>
      <c r="R521" s="504" t="str">
        <f t="shared" si="37"/>
        <v>Gastos_Gerais</v>
      </c>
      <c r="S521" s="504" t="str">
        <f>IF(D521="","",IF(OR(D521=Plano!$A$1,D521=Plano!$B$1),"entrada","saída"))</f>
        <v>saída</v>
      </c>
      <c r="T521" s="517" t="s">
        <v>1082</v>
      </c>
      <c r="U521" s="517">
        <v>1117</v>
      </c>
      <c r="V521" s="541"/>
    </row>
    <row r="522" spans="1:22" ht="47.25" customHeight="1" x14ac:dyDescent="0.2">
      <c r="A522" s="619">
        <f>IF(B522="","",COUNT('Diário 5º PA'!$A$5:$A$2634)+COUNT('Diário 6º PA'!$A$5:$A$2246)+COUNT('Diário 7º PA'!$A$5:$A$2271)+ROW()-4)</f>
        <v>4468</v>
      </c>
      <c r="B522" s="620">
        <v>44494</v>
      </c>
      <c r="C522" s="624">
        <v>44440</v>
      </c>
      <c r="D522" s="548" t="s">
        <v>99</v>
      </c>
      <c r="E522" s="548" t="s">
        <v>364</v>
      </c>
      <c r="F522" s="622">
        <v>294</v>
      </c>
      <c r="G522" s="623" t="s">
        <v>5319</v>
      </c>
      <c r="H522" s="548" t="s">
        <v>125</v>
      </c>
      <c r="I522" s="583" t="s">
        <v>5910</v>
      </c>
      <c r="J522" s="548" t="s">
        <v>5320</v>
      </c>
      <c r="K522" s="583" t="s">
        <v>991</v>
      </c>
      <c r="L522" s="583" t="s">
        <v>1029</v>
      </c>
      <c r="M522" s="619">
        <v>1395</v>
      </c>
      <c r="N522" s="620">
        <v>44490</v>
      </c>
      <c r="O522" s="684" t="s">
        <v>67</v>
      </c>
      <c r="P522" s="503">
        <f t="shared" si="35"/>
        <v>10</v>
      </c>
      <c r="Q522" s="503">
        <f t="shared" si="36"/>
        <v>9</v>
      </c>
      <c r="R522" s="504" t="str">
        <f t="shared" si="37"/>
        <v>Gastos_Gerais</v>
      </c>
      <c r="S522" s="504" t="str">
        <f>IF(D522="","",IF(OR(D522=Plano!$A$1,D522=Plano!$B$1),"entrada","saída"))</f>
        <v>saída</v>
      </c>
      <c r="T522" s="511" t="s">
        <v>1059</v>
      </c>
      <c r="U522" s="505">
        <v>2103</v>
      </c>
      <c r="V522" s="541"/>
    </row>
    <row r="523" spans="1:22" ht="163.5" customHeight="1" x14ac:dyDescent="0.2">
      <c r="A523" s="619">
        <f>IF(B523="","",COUNT('Diário 5º PA'!$A$5:$A$2634)+COUNT('Diário 6º PA'!$A$5:$A$2246)+COUNT('Diário 7º PA'!$A$5:$A$2271)+ROW()-4)</f>
        <v>4469</v>
      </c>
      <c r="B523" s="620">
        <v>44494</v>
      </c>
      <c r="C523" s="624">
        <v>44440</v>
      </c>
      <c r="D523" s="548" t="s">
        <v>99</v>
      </c>
      <c r="E523" s="548" t="s">
        <v>342</v>
      </c>
      <c r="F523" s="622">
        <v>800</v>
      </c>
      <c r="G523" s="623" t="s">
        <v>862</v>
      </c>
      <c r="H523" s="548" t="s">
        <v>122</v>
      </c>
      <c r="I523" s="583" t="s">
        <v>5913</v>
      </c>
      <c r="J523" s="548" t="s">
        <v>863</v>
      </c>
      <c r="K523" s="583" t="s">
        <v>991</v>
      </c>
      <c r="L523" s="583" t="s">
        <v>992</v>
      </c>
      <c r="M523" s="619" t="s">
        <v>1540</v>
      </c>
      <c r="N523" s="620">
        <v>44491</v>
      </c>
      <c r="O523" s="684" t="s">
        <v>67</v>
      </c>
      <c r="P523" s="503">
        <f t="shared" si="35"/>
        <v>10</v>
      </c>
      <c r="Q523" s="503">
        <f t="shared" si="36"/>
        <v>9</v>
      </c>
      <c r="R523" s="504" t="str">
        <f t="shared" si="37"/>
        <v>Gastos_Gerais</v>
      </c>
      <c r="S523" s="504" t="str">
        <f>IF(D523="","",IF(OR(D523=Plano!$A$1,D523=Plano!$B$1),"entrada","saída"))</f>
        <v>saída</v>
      </c>
      <c r="T523" s="511" t="s">
        <v>994</v>
      </c>
      <c r="U523" s="505">
        <v>1988</v>
      </c>
      <c r="V523" s="541"/>
    </row>
    <row r="524" spans="1:22" ht="269.25" customHeight="1" x14ac:dyDescent="0.2">
      <c r="A524" s="619">
        <f>IF(B524="","",COUNT('Diário 5º PA'!$A$5:$A$2634)+COUNT('Diário 6º PA'!$A$5:$A$2246)+COUNT('Diário 7º PA'!$A$5:$A$2271)+ROW()-4)</f>
        <v>4470</v>
      </c>
      <c r="B524" s="620">
        <v>44494</v>
      </c>
      <c r="C524" s="624">
        <v>44440</v>
      </c>
      <c r="D524" s="548" t="s">
        <v>99</v>
      </c>
      <c r="E524" s="548" t="s">
        <v>364</v>
      </c>
      <c r="F524" s="622">
        <v>800</v>
      </c>
      <c r="G524" s="623" t="s">
        <v>920</v>
      </c>
      <c r="H524" s="548" t="s">
        <v>122</v>
      </c>
      <c r="I524" s="583" t="s">
        <v>5914</v>
      </c>
      <c r="J524" s="548" t="s">
        <v>921</v>
      </c>
      <c r="K524" s="583" t="s">
        <v>991</v>
      </c>
      <c r="L524" s="583" t="s">
        <v>992</v>
      </c>
      <c r="M524" s="619" t="s">
        <v>1299</v>
      </c>
      <c r="N524" s="620">
        <v>44494</v>
      </c>
      <c r="O524" s="684" t="s">
        <v>67</v>
      </c>
      <c r="P524" s="503">
        <f t="shared" si="35"/>
        <v>10</v>
      </c>
      <c r="Q524" s="503">
        <f t="shared" si="36"/>
        <v>9</v>
      </c>
      <c r="R524" s="504" t="str">
        <f t="shared" si="37"/>
        <v>Gastos_Gerais</v>
      </c>
      <c r="S524" s="504" t="str">
        <f>IF(D524="","",IF(OR(D524=Plano!$A$1,D524=Plano!$B$1),"entrada","saída"))</f>
        <v>saída</v>
      </c>
      <c r="T524" s="511" t="s">
        <v>994</v>
      </c>
      <c r="U524" s="505">
        <v>1986</v>
      </c>
      <c r="V524" s="541"/>
    </row>
    <row r="525" spans="1:22" ht="131.25" customHeight="1" x14ac:dyDescent="0.2">
      <c r="A525" s="619">
        <f>IF(B525="","",COUNT('Diário 5º PA'!$A$5:$A$2634)+COUNT('Diário 6º PA'!$A$5:$A$2246)+COUNT('Diário 7º PA'!$A$5:$A$2271)+ROW()-4)</f>
        <v>4471</v>
      </c>
      <c r="B525" s="620">
        <v>44494</v>
      </c>
      <c r="C525" s="624">
        <v>44409</v>
      </c>
      <c r="D525" s="548" t="s">
        <v>99</v>
      </c>
      <c r="E525" s="548" t="s">
        <v>364</v>
      </c>
      <c r="F525" s="622">
        <v>783.92</v>
      </c>
      <c r="G525" s="623" t="s">
        <v>839</v>
      </c>
      <c r="H525" s="548" t="s">
        <v>122</v>
      </c>
      <c r="I525" s="583" t="s">
        <v>4590</v>
      </c>
      <c r="J525" s="548" t="s">
        <v>840</v>
      </c>
      <c r="K525" s="583" t="s">
        <v>991</v>
      </c>
      <c r="L525" s="583" t="s">
        <v>992</v>
      </c>
      <c r="M525" s="619" t="s">
        <v>1211</v>
      </c>
      <c r="N525" s="620">
        <v>44489</v>
      </c>
      <c r="O525" s="684" t="s">
        <v>67</v>
      </c>
      <c r="P525" s="503">
        <f t="shared" si="35"/>
        <v>10</v>
      </c>
      <c r="Q525" s="503">
        <f t="shared" si="36"/>
        <v>8</v>
      </c>
      <c r="R525" s="504" t="str">
        <f t="shared" si="37"/>
        <v>Gastos_Gerais</v>
      </c>
      <c r="S525" s="504" t="str">
        <f>IF(D525="","",IF(OR(D525=Plano!$A$1,D525=Plano!$B$1),"entrada","saída"))</f>
        <v>saída</v>
      </c>
      <c r="T525" s="511" t="s">
        <v>994</v>
      </c>
      <c r="U525" s="505">
        <v>1949</v>
      </c>
      <c r="V525" s="541"/>
    </row>
    <row r="526" spans="1:22" ht="92.25" customHeight="1" x14ac:dyDescent="0.2">
      <c r="A526" s="619">
        <f>IF(B526="","",COUNT('Diário 5º PA'!$A$5:$A$2634)+COUNT('Diário 6º PA'!$A$5:$A$2246)+COUNT('Diário 7º PA'!$A$5:$A$2271)+ROW()-4)</f>
        <v>4472</v>
      </c>
      <c r="B526" s="620">
        <v>44494</v>
      </c>
      <c r="C526" s="628">
        <v>44470</v>
      </c>
      <c r="D526" s="548" t="s">
        <v>99</v>
      </c>
      <c r="E526" s="548" t="s">
        <v>364</v>
      </c>
      <c r="F526" s="622">
        <v>3150</v>
      </c>
      <c r="G526" s="623" t="s">
        <v>5565</v>
      </c>
      <c r="H526" s="548" t="s">
        <v>128</v>
      </c>
      <c r="I526" s="583" t="s">
        <v>1051</v>
      </c>
      <c r="J526" s="548" t="s">
        <v>711</v>
      </c>
      <c r="K526" s="583" t="s">
        <v>991</v>
      </c>
      <c r="L526" s="583" t="s">
        <v>992</v>
      </c>
      <c r="M526" s="619" t="s">
        <v>1944</v>
      </c>
      <c r="N526" s="620">
        <v>44491</v>
      </c>
      <c r="O526" s="684" t="s">
        <v>67</v>
      </c>
      <c r="P526" s="503">
        <f t="shared" si="35"/>
        <v>10</v>
      </c>
      <c r="Q526" s="503">
        <f t="shared" si="36"/>
        <v>10</v>
      </c>
      <c r="R526" s="504" t="str">
        <f t="shared" si="37"/>
        <v>Gastos_Gerais</v>
      </c>
      <c r="S526" s="504" t="str">
        <f>IF(D526="","",IF(OR(D526=Plano!$A$1,D526=Plano!$B$1),"entrada","saída"))</f>
        <v>saída</v>
      </c>
      <c r="T526" s="511" t="s">
        <v>1059</v>
      </c>
      <c r="U526" s="505">
        <v>2226</v>
      </c>
      <c r="V526" s="541"/>
    </row>
    <row r="527" spans="1:22" ht="125.25" customHeight="1" x14ac:dyDescent="0.2">
      <c r="A527" s="619">
        <f>IF(B527="","",COUNT('Diário 5º PA'!$A$5:$A$2634)+COUNT('Diário 6º PA'!$A$5:$A$2246)+COUNT('Diário 7º PA'!$A$5:$A$2271)+ROW()-4)</f>
        <v>4473</v>
      </c>
      <c r="B527" s="620">
        <v>44494</v>
      </c>
      <c r="C527" s="624">
        <v>44440</v>
      </c>
      <c r="D527" s="548" t="s">
        <v>99</v>
      </c>
      <c r="E527" s="548" t="s">
        <v>266</v>
      </c>
      <c r="F527" s="622">
        <v>5063.3100000000004</v>
      </c>
      <c r="G527" s="623" t="s">
        <v>5178</v>
      </c>
      <c r="H527" s="548" t="s">
        <v>131</v>
      </c>
      <c r="I527" s="583" t="s">
        <v>5916</v>
      </c>
      <c r="J527" s="548" t="s">
        <v>587</v>
      </c>
      <c r="K527" s="583" t="s">
        <v>991</v>
      </c>
      <c r="L527" s="583" t="s">
        <v>992</v>
      </c>
      <c r="M527" s="619" t="s">
        <v>1278</v>
      </c>
      <c r="N527" s="620">
        <v>44493</v>
      </c>
      <c r="O527" s="684" t="s">
        <v>67</v>
      </c>
      <c r="P527" s="503">
        <f t="shared" si="35"/>
        <v>10</v>
      </c>
      <c r="Q527" s="503">
        <f t="shared" si="36"/>
        <v>9</v>
      </c>
      <c r="R527" s="504" t="str">
        <f t="shared" si="37"/>
        <v>Gastos_Gerais</v>
      </c>
      <c r="S527" s="504" t="str">
        <f>IF(D527="","",IF(OR(D527=Plano!$A$1,D527=Plano!$B$1),"entrada","saída"))</f>
        <v>saída</v>
      </c>
      <c r="T527" s="511" t="s">
        <v>1059</v>
      </c>
      <c r="U527" s="505">
        <v>2083</v>
      </c>
      <c r="V527" s="541"/>
    </row>
    <row r="528" spans="1:22" ht="45" customHeight="1" x14ac:dyDescent="0.2">
      <c r="A528" s="619">
        <f>IF(B528="","",COUNT('Diário 5º PA'!$A$5:$A$2634)+COUNT('Diário 6º PA'!$A$5:$A$2246)+COUNT('Diário 7º PA'!$A$5:$A$2271)+ROW()-4)</f>
        <v>4474</v>
      </c>
      <c r="B528" s="620">
        <v>44494</v>
      </c>
      <c r="C528" s="621">
        <v>44470</v>
      </c>
      <c r="D528" s="548" t="s">
        <v>99</v>
      </c>
      <c r="E528" s="548" t="s">
        <v>272</v>
      </c>
      <c r="F528" s="622">
        <v>10.45</v>
      </c>
      <c r="G528" s="623" t="s">
        <v>5919</v>
      </c>
      <c r="H528" s="548" t="s">
        <v>115</v>
      </c>
      <c r="I528" s="583" t="s">
        <v>949</v>
      </c>
      <c r="J528" s="548" t="s">
        <v>950</v>
      </c>
      <c r="K528" s="583" t="s">
        <v>951</v>
      </c>
      <c r="L528" s="583" t="s">
        <v>947</v>
      </c>
      <c r="M528" s="625" t="s">
        <v>114</v>
      </c>
      <c r="N528" s="620">
        <v>44494</v>
      </c>
      <c r="O528" s="684" t="s">
        <v>67</v>
      </c>
      <c r="P528" s="503">
        <f t="shared" si="35"/>
        <v>10</v>
      </c>
      <c r="Q528" s="503">
        <f t="shared" si="36"/>
        <v>10</v>
      </c>
      <c r="R528" s="504" t="str">
        <f t="shared" si="37"/>
        <v>Gastos_Gerais</v>
      </c>
      <c r="S528" s="504" t="str">
        <f>IF(D528="","",IF(OR(D528=Plano!$A$1,D528=Plano!$B$1),"entrada","saída"))</f>
        <v>saída</v>
      </c>
      <c r="T528" s="511" t="s">
        <v>114</v>
      </c>
      <c r="U528" s="511" t="s">
        <v>114</v>
      </c>
      <c r="V528" s="541"/>
    </row>
    <row r="529" spans="1:22" ht="45" customHeight="1" x14ac:dyDescent="0.2">
      <c r="A529" s="619">
        <f>IF(B529="","",COUNT('Diário 5º PA'!$A$5:$A$2634)+COUNT('Diário 6º PA'!$A$5:$A$2246)+COUNT('Diário 7º PA'!$A$5:$A$2271)+ROW()-4)</f>
        <v>4475</v>
      </c>
      <c r="B529" s="620">
        <v>44494</v>
      </c>
      <c r="C529" s="621">
        <v>44470</v>
      </c>
      <c r="D529" s="548" t="s">
        <v>99</v>
      </c>
      <c r="E529" s="548" t="s">
        <v>272</v>
      </c>
      <c r="F529" s="622">
        <v>10.45</v>
      </c>
      <c r="G529" s="623" t="s">
        <v>5920</v>
      </c>
      <c r="H529" s="548" t="s">
        <v>125</v>
      </c>
      <c r="I529" s="583" t="s">
        <v>949</v>
      </c>
      <c r="J529" s="548" t="s">
        <v>950</v>
      </c>
      <c r="K529" s="583" t="s">
        <v>951</v>
      </c>
      <c r="L529" s="583" t="s">
        <v>947</v>
      </c>
      <c r="M529" s="625" t="s">
        <v>114</v>
      </c>
      <c r="N529" s="620">
        <v>44494</v>
      </c>
      <c r="O529" s="684" t="s">
        <v>67</v>
      </c>
      <c r="P529" s="503">
        <f t="shared" si="35"/>
        <v>10</v>
      </c>
      <c r="Q529" s="503">
        <f t="shared" si="36"/>
        <v>10</v>
      </c>
      <c r="R529" s="504" t="str">
        <f t="shared" si="37"/>
        <v>Gastos_Gerais</v>
      </c>
      <c r="S529" s="504" t="str">
        <f>IF(D529="","",IF(OR(D529=Plano!$A$1,D529=Plano!$B$1),"entrada","saída"))</f>
        <v>saída</v>
      </c>
      <c r="T529" s="511" t="s">
        <v>114</v>
      </c>
      <c r="U529" s="511" t="s">
        <v>114</v>
      </c>
      <c r="V529" s="541"/>
    </row>
    <row r="530" spans="1:22" ht="59.25" customHeight="1" x14ac:dyDescent="0.2">
      <c r="A530" s="619">
        <f>IF(B530="","",COUNT('Diário 5º PA'!$A$5:$A$2634)+COUNT('Diário 6º PA'!$A$5:$A$2246)+COUNT('Diário 7º PA'!$A$5:$A$2271)+ROW()-4)</f>
        <v>4476</v>
      </c>
      <c r="B530" s="620">
        <v>44494</v>
      </c>
      <c r="C530" s="621">
        <v>44470</v>
      </c>
      <c r="D530" s="548" t="s">
        <v>99</v>
      </c>
      <c r="E530" s="548" t="s">
        <v>272</v>
      </c>
      <c r="F530" s="622">
        <v>10.45</v>
      </c>
      <c r="G530" s="623" t="s">
        <v>5921</v>
      </c>
      <c r="H530" s="548" t="s">
        <v>122</v>
      </c>
      <c r="I530" s="583" t="s">
        <v>949</v>
      </c>
      <c r="J530" s="548" t="s">
        <v>950</v>
      </c>
      <c r="K530" s="583" t="s">
        <v>951</v>
      </c>
      <c r="L530" s="583" t="s">
        <v>947</v>
      </c>
      <c r="M530" s="625" t="s">
        <v>114</v>
      </c>
      <c r="N530" s="620">
        <v>44494</v>
      </c>
      <c r="O530" s="684" t="s">
        <v>67</v>
      </c>
      <c r="P530" s="503">
        <f t="shared" si="35"/>
        <v>10</v>
      </c>
      <c r="Q530" s="503">
        <f t="shared" si="36"/>
        <v>10</v>
      </c>
      <c r="R530" s="504" t="str">
        <f t="shared" si="37"/>
        <v>Gastos_Gerais</v>
      </c>
      <c r="S530" s="504" t="str">
        <f>IF(D530="","",IF(OR(D530=Plano!$A$1,D530=Plano!$B$1),"entrada","saída"))</f>
        <v>saída</v>
      </c>
      <c r="T530" s="511" t="s">
        <v>114</v>
      </c>
      <c r="U530" s="511" t="s">
        <v>114</v>
      </c>
      <c r="V530" s="541"/>
    </row>
    <row r="531" spans="1:22" ht="45" customHeight="1" x14ac:dyDescent="0.2">
      <c r="A531" s="619">
        <f>IF(B531="","",COUNT('Diário 5º PA'!$A$5:$A$2634)+COUNT('Diário 6º PA'!$A$5:$A$2246)+COUNT('Diário 7º PA'!$A$5:$A$2271)+ROW()-4)</f>
        <v>4477</v>
      </c>
      <c r="B531" s="620">
        <v>44494</v>
      </c>
      <c r="C531" s="621">
        <v>44470</v>
      </c>
      <c r="D531" s="548" t="s">
        <v>99</v>
      </c>
      <c r="E531" s="548" t="s">
        <v>272</v>
      </c>
      <c r="F531" s="622">
        <v>10.45</v>
      </c>
      <c r="G531" s="623" t="s">
        <v>5922</v>
      </c>
      <c r="H531" s="548" t="s">
        <v>122</v>
      </c>
      <c r="I531" s="583" t="s">
        <v>949</v>
      </c>
      <c r="J531" s="548" t="s">
        <v>950</v>
      </c>
      <c r="K531" s="583" t="s">
        <v>951</v>
      </c>
      <c r="L531" s="583" t="s">
        <v>947</v>
      </c>
      <c r="M531" s="625" t="s">
        <v>114</v>
      </c>
      <c r="N531" s="620">
        <v>44494</v>
      </c>
      <c r="O531" s="684" t="s">
        <v>67</v>
      </c>
      <c r="P531" s="503">
        <f t="shared" si="35"/>
        <v>10</v>
      </c>
      <c r="Q531" s="503">
        <f t="shared" si="36"/>
        <v>10</v>
      </c>
      <c r="R531" s="504" t="str">
        <f t="shared" si="37"/>
        <v>Gastos_Gerais</v>
      </c>
      <c r="S531" s="504" t="str">
        <f>IF(D531="","",IF(OR(D531=Plano!$A$1,D531=Plano!$B$1),"entrada","saída"))</f>
        <v>saída</v>
      </c>
      <c r="T531" s="511" t="s">
        <v>114</v>
      </c>
      <c r="U531" s="511" t="s">
        <v>114</v>
      </c>
      <c r="V531" s="541"/>
    </row>
    <row r="532" spans="1:22" ht="45" customHeight="1" x14ac:dyDescent="0.2">
      <c r="A532" s="619">
        <f>IF(B532="","",COUNT('Diário 5º PA'!$A$5:$A$2634)+COUNT('Diário 6º PA'!$A$5:$A$2246)+COUNT('Diário 7º PA'!$A$5:$A$2271)+ROW()-4)</f>
        <v>4478</v>
      </c>
      <c r="B532" s="620">
        <v>44494</v>
      </c>
      <c r="C532" s="621">
        <v>44470</v>
      </c>
      <c r="D532" s="548" t="s">
        <v>99</v>
      </c>
      <c r="E532" s="548" t="s">
        <v>272</v>
      </c>
      <c r="F532" s="622">
        <v>10.45</v>
      </c>
      <c r="G532" s="623" t="s">
        <v>5923</v>
      </c>
      <c r="H532" s="548" t="s">
        <v>122</v>
      </c>
      <c r="I532" s="583" t="s">
        <v>949</v>
      </c>
      <c r="J532" s="548" t="s">
        <v>950</v>
      </c>
      <c r="K532" s="583" t="s">
        <v>951</v>
      </c>
      <c r="L532" s="583" t="s">
        <v>947</v>
      </c>
      <c r="M532" s="625" t="s">
        <v>114</v>
      </c>
      <c r="N532" s="620">
        <v>44494</v>
      </c>
      <c r="O532" s="684" t="s">
        <v>67</v>
      </c>
      <c r="P532" s="503">
        <f t="shared" si="35"/>
        <v>10</v>
      </c>
      <c r="Q532" s="503">
        <f t="shared" si="36"/>
        <v>10</v>
      </c>
      <c r="R532" s="504" t="str">
        <f t="shared" si="37"/>
        <v>Gastos_Gerais</v>
      </c>
      <c r="S532" s="504" t="str">
        <f>IF(D532="","",IF(OR(D532=Plano!$A$1,D532=Plano!$B$1),"entrada","saída"))</f>
        <v>saída</v>
      </c>
      <c r="T532" s="511" t="s">
        <v>114</v>
      </c>
      <c r="U532" s="511" t="s">
        <v>114</v>
      </c>
      <c r="V532" s="541"/>
    </row>
    <row r="533" spans="1:22" ht="45" customHeight="1" x14ac:dyDescent="0.2">
      <c r="A533" s="619">
        <f>IF(B533="","",COUNT('Diário 5º PA'!$A$5:$A$2634)+COUNT('Diário 6º PA'!$A$5:$A$2246)+COUNT('Diário 7º PA'!$A$5:$A$2271)+ROW()-4)</f>
        <v>4479</v>
      </c>
      <c r="B533" s="620">
        <v>44494</v>
      </c>
      <c r="C533" s="621">
        <v>44470</v>
      </c>
      <c r="D533" s="548" t="s">
        <v>99</v>
      </c>
      <c r="E533" s="548" t="s">
        <v>272</v>
      </c>
      <c r="F533" s="622">
        <v>10.45</v>
      </c>
      <c r="G533" s="623" t="s">
        <v>5924</v>
      </c>
      <c r="H533" s="548" t="s">
        <v>128</v>
      </c>
      <c r="I533" s="583" t="s">
        <v>949</v>
      </c>
      <c r="J533" s="548" t="s">
        <v>950</v>
      </c>
      <c r="K533" s="583" t="s">
        <v>951</v>
      </c>
      <c r="L533" s="583" t="s">
        <v>947</v>
      </c>
      <c r="M533" s="625" t="s">
        <v>114</v>
      </c>
      <c r="N533" s="620">
        <v>44494</v>
      </c>
      <c r="O533" s="684" t="s">
        <v>67</v>
      </c>
      <c r="P533" s="503">
        <f t="shared" si="35"/>
        <v>10</v>
      </c>
      <c r="Q533" s="503">
        <f t="shared" si="36"/>
        <v>10</v>
      </c>
      <c r="R533" s="504" t="str">
        <f t="shared" si="37"/>
        <v>Gastos_Gerais</v>
      </c>
      <c r="S533" s="504" t="str">
        <f>IF(D533="","",IF(OR(D533=Plano!$A$1,D533=Plano!$B$1),"entrada","saída"))</f>
        <v>saída</v>
      </c>
      <c r="T533" s="511" t="s">
        <v>114</v>
      </c>
      <c r="U533" s="511" t="s">
        <v>114</v>
      </c>
      <c r="V533" s="541"/>
    </row>
    <row r="534" spans="1:22" ht="67.5" customHeight="1" x14ac:dyDescent="0.2">
      <c r="A534" s="619">
        <f>IF(B534="","",COUNT('Diário 5º PA'!$A$5:$A$2634)+COUNT('Diário 6º PA'!$A$5:$A$2246)+COUNT('Diário 7º PA'!$A$5:$A$2271)+ROW()-4)</f>
        <v>4480</v>
      </c>
      <c r="B534" s="620">
        <v>44494</v>
      </c>
      <c r="C534" s="621">
        <v>44470</v>
      </c>
      <c r="D534" s="548" t="s">
        <v>99</v>
      </c>
      <c r="E534" s="548" t="s">
        <v>272</v>
      </c>
      <c r="F534" s="622">
        <v>10.45</v>
      </c>
      <c r="G534" s="623" t="s">
        <v>5925</v>
      </c>
      <c r="H534" s="548" t="s">
        <v>131</v>
      </c>
      <c r="I534" s="583" t="s">
        <v>949</v>
      </c>
      <c r="J534" s="548" t="s">
        <v>950</v>
      </c>
      <c r="K534" s="583" t="s">
        <v>951</v>
      </c>
      <c r="L534" s="583" t="s">
        <v>947</v>
      </c>
      <c r="M534" s="625" t="s">
        <v>114</v>
      </c>
      <c r="N534" s="620">
        <v>44494</v>
      </c>
      <c r="O534" s="684" t="s">
        <v>67</v>
      </c>
      <c r="P534" s="503">
        <f t="shared" si="35"/>
        <v>10</v>
      </c>
      <c r="Q534" s="503">
        <f t="shared" si="36"/>
        <v>10</v>
      </c>
      <c r="R534" s="504" t="str">
        <f t="shared" si="37"/>
        <v>Gastos_Gerais</v>
      </c>
      <c r="S534" s="504" t="str">
        <f>IF(D534="","",IF(OR(D534=Plano!$A$1,D534=Plano!$B$1),"entrada","saída"))</f>
        <v>saída</v>
      </c>
      <c r="T534" s="511" t="s">
        <v>114</v>
      </c>
      <c r="U534" s="511" t="s">
        <v>114</v>
      </c>
      <c r="V534" s="541"/>
    </row>
    <row r="535" spans="1:22" s="540" customFormat="1" ht="67.5" customHeight="1" x14ac:dyDescent="0.2">
      <c r="A535" s="619">
        <f>IF(B535="","",COUNT('Diário 5º PA'!$A$5:$A$2634)+COUNT('Diário 6º PA'!$A$5:$A$2246)+COUNT('Diário 7º PA'!$A$5:$A$2271)+ROW()-4)</f>
        <v>4481</v>
      </c>
      <c r="B535" s="620">
        <v>44494</v>
      </c>
      <c r="C535" s="621">
        <v>44440</v>
      </c>
      <c r="D535" s="548" t="s">
        <v>104</v>
      </c>
      <c r="E535" s="548" t="s">
        <v>104</v>
      </c>
      <c r="F535" s="622">
        <v>16.940000000000001</v>
      </c>
      <c r="G535" s="623" t="s">
        <v>6907</v>
      </c>
      <c r="H535" s="548" t="s">
        <v>104</v>
      </c>
      <c r="I535" s="583" t="s">
        <v>488</v>
      </c>
      <c r="J535" s="548" t="s">
        <v>114</v>
      </c>
      <c r="K535" s="583" t="s">
        <v>466</v>
      </c>
      <c r="L535" s="583" t="s">
        <v>489</v>
      </c>
      <c r="M535" s="625" t="s">
        <v>114</v>
      </c>
      <c r="N535" s="620">
        <v>44494</v>
      </c>
      <c r="O535" s="684" t="s">
        <v>5370</v>
      </c>
      <c r="P535" s="503">
        <f t="shared" si="35"/>
        <v>10</v>
      </c>
      <c r="Q535" s="503">
        <f t="shared" si="36"/>
        <v>9</v>
      </c>
      <c r="R535" s="504" t="str">
        <f t="shared" si="37"/>
        <v>Gastos_custeados_por_captação</v>
      </c>
      <c r="S535" s="504" t="str">
        <f>IF(D535="","",IF(OR(D535=Plano!$A$1,D535=Plano!$B$1),"entrada","saída"))</f>
        <v>saída</v>
      </c>
      <c r="T535" s="511" t="s">
        <v>114</v>
      </c>
      <c r="U535" s="511" t="s">
        <v>114</v>
      </c>
      <c r="V535" s="541"/>
    </row>
    <row r="536" spans="1:22" s="540" customFormat="1" ht="136.5" customHeight="1" x14ac:dyDescent="0.2">
      <c r="A536" s="619">
        <f>IF(B536="","",COUNT('Diário 5º PA'!$A$5:$A$2634)+COUNT('Diário 6º PA'!$A$5:$A$2246)+COUNT('Diário 7º PA'!$A$5:$A$2271)+ROW()-4)</f>
        <v>4482</v>
      </c>
      <c r="B536" s="620">
        <v>44494</v>
      </c>
      <c r="C536" s="624">
        <v>44440</v>
      </c>
      <c r="D536" s="548" t="s">
        <v>104</v>
      </c>
      <c r="E536" s="548" t="s">
        <v>104</v>
      </c>
      <c r="F536" s="622">
        <v>970</v>
      </c>
      <c r="G536" s="623" t="s">
        <v>5514</v>
      </c>
      <c r="H536" s="548" t="s">
        <v>104</v>
      </c>
      <c r="I536" s="583" t="s">
        <v>6908</v>
      </c>
      <c r="J536" s="548" t="s">
        <v>5515</v>
      </c>
      <c r="K536" s="583" t="s">
        <v>991</v>
      </c>
      <c r="L536" s="583" t="s">
        <v>992</v>
      </c>
      <c r="M536" s="619" t="s">
        <v>1052</v>
      </c>
      <c r="N536" s="620">
        <v>44491</v>
      </c>
      <c r="O536" s="684" t="s">
        <v>5370</v>
      </c>
      <c r="P536" s="503">
        <f t="shared" si="35"/>
        <v>10</v>
      </c>
      <c r="Q536" s="503">
        <f t="shared" si="36"/>
        <v>9</v>
      </c>
      <c r="R536" s="504" t="str">
        <f t="shared" si="37"/>
        <v>Gastos_custeados_por_captação</v>
      </c>
      <c r="S536" s="504" t="str">
        <f>IF(D536="","",IF(OR(D536=Plano!$A$1,D536=Plano!$B$1),"entrada","saída"))</f>
        <v>saída</v>
      </c>
      <c r="T536" s="511" t="s">
        <v>994</v>
      </c>
      <c r="U536" s="511">
        <v>2002</v>
      </c>
      <c r="V536" s="541"/>
    </row>
    <row r="537" spans="1:22" s="540" customFormat="1" ht="67.5" customHeight="1" x14ac:dyDescent="0.2">
      <c r="A537" s="619">
        <f>IF(B537="","",COUNT('Diário 5º PA'!$A$5:$A$2634)+COUNT('Diário 6º PA'!$A$5:$A$2246)+COUNT('Diário 7º PA'!$A$5:$A$2271)+ROW()-4)</f>
        <v>4483</v>
      </c>
      <c r="B537" s="620">
        <v>44494</v>
      </c>
      <c r="C537" s="621">
        <v>44470</v>
      </c>
      <c r="D537" s="548" t="s">
        <v>104</v>
      </c>
      <c r="E537" s="548" t="s">
        <v>104</v>
      </c>
      <c r="F537" s="622">
        <v>10.45</v>
      </c>
      <c r="G537" s="623" t="s">
        <v>5451</v>
      </c>
      <c r="H537" s="548" t="s">
        <v>104</v>
      </c>
      <c r="I537" s="583" t="s">
        <v>949</v>
      </c>
      <c r="J537" s="548" t="s">
        <v>950</v>
      </c>
      <c r="K537" s="583" t="s">
        <v>951</v>
      </c>
      <c r="L537" s="583" t="s">
        <v>947</v>
      </c>
      <c r="M537" s="625" t="s">
        <v>114</v>
      </c>
      <c r="N537" s="620">
        <v>44494</v>
      </c>
      <c r="O537" s="684" t="s">
        <v>5370</v>
      </c>
      <c r="P537" s="503">
        <f t="shared" si="35"/>
        <v>10</v>
      </c>
      <c r="Q537" s="503">
        <f t="shared" si="36"/>
        <v>10</v>
      </c>
      <c r="R537" s="504" t="str">
        <f t="shared" si="37"/>
        <v>Gastos_custeados_por_captação</v>
      </c>
      <c r="S537" s="504" t="str">
        <f>IF(D537="","",IF(OR(D537=Plano!$A$1,D537=Plano!$B$1),"entrada","saída"))</f>
        <v>saída</v>
      </c>
      <c r="T537" s="511" t="s">
        <v>114</v>
      </c>
      <c r="U537" s="511" t="s">
        <v>114</v>
      </c>
      <c r="V537" s="541"/>
    </row>
    <row r="538" spans="1:22" s="544" customFormat="1" ht="67.5" customHeight="1" x14ac:dyDescent="0.2">
      <c r="A538" s="619">
        <f>IF(B538="","",COUNT('Diário 5º PA'!$A$5:$A$2634)+COUNT('Diário 6º PA'!$A$5:$A$2246)+COUNT('Diário 7º PA'!$A$5:$A$2271)+ROW()-4)</f>
        <v>4484</v>
      </c>
      <c r="B538" s="620">
        <v>44494</v>
      </c>
      <c r="C538" s="621">
        <v>44440</v>
      </c>
      <c r="D538" s="548" t="s">
        <v>104</v>
      </c>
      <c r="E538" s="548" t="s">
        <v>104</v>
      </c>
      <c r="F538" s="622">
        <v>44.01</v>
      </c>
      <c r="G538" s="623" t="s">
        <v>6907</v>
      </c>
      <c r="H538" s="548" t="s">
        <v>104</v>
      </c>
      <c r="I538" s="583" t="s">
        <v>488</v>
      </c>
      <c r="J538" s="548" t="s">
        <v>114</v>
      </c>
      <c r="K538" s="583" t="s">
        <v>466</v>
      </c>
      <c r="L538" s="583" t="s">
        <v>489</v>
      </c>
      <c r="M538" s="625" t="s">
        <v>114</v>
      </c>
      <c r="N538" s="620">
        <v>44494</v>
      </c>
      <c r="O538" s="684" t="s">
        <v>5377</v>
      </c>
      <c r="P538" s="503">
        <f t="shared" si="35"/>
        <v>10</v>
      </c>
      <c r="Q538" s="503">
        <f t="shared" si="36"/>
        <v>9</v>
      </c>
      <c r="R538" s="504" t="str">
        <f t="shared" si="37"/>
        <v>Gastos_custeados_por_captação</v>
      </c>
      <c r="S538" s="504" t="str">
        <f>IF(D538="","",IF(OR(D538=Plano!$A$1,D538=Plano!$B$1),"entrada","saída"))</f>
        <v>saída</v>
      </c>
      <c r="T538" s="511" t="s">
        <v>114</v>
      </c>
      <c r="U538" s="511" t="s">
        <v>114</v>
      </c>
      <c r="V538" s="541"/>
    </row>
    <row r="539" spans="1:22" s="545" customFormat="1" ht="67.5" customHeight="1" x14ac:dyDescent="0.2">
      <c r="A539" s="619">
        <f>IF(B539="","",COUNT('Diário 5º PA'!$A$5:$A$2634)+COUNT('Diário 6º PA'!$A$5:$A$2246)+COUNT('Diário 7º PA'!$A$5:$A$2271)+ROW()-4)</f>
        <v>4485</v>
      </c>
      <c r="B539" s="620">
        <v>44494</v>
      </c>
      <c r="C539" s="621">
        <v>44440</v>
      </c>
      <c r="D539" s="548" t="s">
        <v>104</v>
      </c>
      <c r="E539" s="548" t="s">
        <v>104</v>
      </c>
      <c r="F539" s="634">
        <v>363.81</v>
      </c>
      <c r="G539" s="623" t="s">
        <v>6907</v>
      </c>
      <c r="H539" s="548" t="s">
        <v>104</v>
      </c>
      <c r="I539" s="583" t="s">
        <v>488</v>
      </c>
      <c r="J539" s="548" t="s">
        <v>114</v>
      </c>
      <c r="K539" s="583" t="s">
        <v>466</v>
      </c>
      <c r="L539" s="635" t="s">
        <v>489</v>
      </c>
      <c r="M539" s="625" t="s">
        <v>114</v>
      </c>
      <c r="N539" s="620">
        <v>44494</v>
      </c>
      <c r="O539" s="684" t="s">
        <v>5505</v>
      </c>
      <c r="P539" s="503">
        <f t="shared" si="35"/>
        <v>10</v>
      </c>
      <c r="Q539" s="503">
        <f t="shared" si="36"/>
        <v>9</v>
      </c>
      <c r="R539" s="504" t="str">
        <f t="shared" si="37"/>
        <v>Gastos_custeados_por_captação</v>
      </c>
      <c r="S539" s="504" t="str">
        <f>IF(D539="","",IF(OR(D539=Plano!$A$1,D539=Plano!$B$1),"entrada","saída"))</f>
        <v>saída</v>
      </c>
      <c r="T539" s="511" t="s">
        <v>114</v>
      </c>
      <c r="U539" s="511" t="s">
        <v>114</v>
      </c>
      <c r="V539" s="541"/>
    </row>
    <row r="540" spans="1:22" s="545" customFormat="1" ht="67.5" customHeight="1" x14ac:dyDescent="0.2">
      <c r="A540" s="619">
        <f>IF(B540="","",COUNT('Diário 5º PA'!$A$5:$A$2634)+COUNT('Diário 6º PA'!$A$5:$A$2246)+COUNT('Diário 7º PA'!$A$5:$A$2271)+ROW()-4)</f>
        <v>4486</v>
      </c>
      <c r="B540" s="620">
        <v>44494</v>
      </c>
      <c r="C540" s="621">
        <v>44470</v>
      </c>
      <c r="D540" s="548" t="s">
        <v>104</v>
      </c>
      <c r="E540" s="548" t="s">
        <v>104</v>
      </c>
      <c r="F540" s="634">
        <v>930.37</v>
      </c>
      <c r="G540" s="623" t="s">
        <v>6969</v>
      </c>
      <c r="H540" s="548" t="s">
        <v>104</v>
      </c>
      <c r="I540" s="583" t="s">
        <v>6934</v>
      </c>
      <c r="J540" s="622" t="s">
        <v>6935</v>
      </c>
      <c r="K540" s="583" t="s">
        <v>991</v>
      </c>
      <c r="L540" s="583" t="s">
        <v>992</v>
      </c>
      <c r="M540" s="625">
        <v>2112</v>
      </c>
      <c r="N540" s="620">
        <v>44494</v>
      </c>
      <c r="O540" s="684" t="s">
        <v>5505</v>
      </c>
      <c r="P540" s="503">
        <f t="shared" si="35"/>
        <v>10</v>
      </c>
      <c r="Q540" s="503">
        <f t="shared" si="36"/>
        <v>10</v>
      </c>
      <c r="R540" s="504" t="str">
        <f t="shared" si="37"/>
        <v>Gastos_custeados_por_captação</v>
      </c>
      <c r="S540" s="504" t="str">
        <f>IF(D540="","",IF(OR(D540=Plano!$A$1,D540=Plano!$B$1),"entrada","saída"))</f>
        <v>saída</v>
      </c>
      <c r="T540" s="511" t="s">
        <v>1011</v>
      </c>
      <c r="U540" s="511">
        <v>2297</v>
      </c>
      <c r="V540" s="541"/>
    </row>
    <row r="541" spans="1:22" s="545" customFormat="1" ht="67.5" customHeight="1" x14ac:dyDescent="0.2">
      <c r="A541" s="619">
        <f>IF(B541="","",COUNT('Diário 5º PA'!$A$5:$A$2634)+COUNT('Diário 6º PA'!$A$5:$A$2246)+COUNT('Diário 7º PA'!$A$5:$A$2271)+ROW()-4)</f>
        <v>4487</v>
      </c>
      <c r="B541" s="620">
        <v>44494</v>
      </c>
      <c r="C541" s="621">
        <v>44470</v>
      </c>
      <c r="D541" s="548" t="s">
        <v>104</v>
      </c>
      <c r="E541" s="548" t="s">
        <v>104</v>
      </c>
      <c r="F541" s="634">
        <v>16512.099999999999</v>
      </c>
      <c r="G541" s="623" t="s">
        <v>6970</v>
      </c>
      <c r="H541" s="548" t="s">
        <v>104</v>
      </c>
      <c r="I541" s="583" t="s">
        <v>6971</v>
      </c>
      <c r="J541" s="622" t="s">
        <v>6972</v>
      </c>
      <c r="K541" s="583" t="s">
        <v>991</v>
      </c>
      <c r="L541" s="583" t="s">
        <v>992</v>
      </c>
      <c r="M541" s="625">
        <v>29.289855072463769</v>
      </c>
      <c r="N541" s="620">
        <v>44494</v>
      </c>
      <c r="O541" s="684" t="s">
        <v>5505</v>
      </c>
      <c r="P541" s="503">
        <f t="shared" si="35"/>
        <v>10</v>
      </c>
      <c r="Q541" s="503">
        <f t="shared" si="36"/>
        <v>10</v>
      </c>
      <c r="R541" s="504" t="str">
        <f t="shared" si="37"/>
        <v>Gastos_custeados_por_captação</v>
      </c>
      <c r="S541" s="504" t="str">
        <f>IF(D541="","",IF(OR(D541=Plano!$A$1,D541=Plano!$B$1),"entrada","saída"))</f>
        <v>saída</v>
      </c>
      <c r="T541" s="511" t="s">
        <v>994</v>
      </c>
      <c r="U541" s="511">
        <v>2221</v>
      </c>
      <c r="V541" s="541"/>
    </row>
    <row r="542" spans="1:22" s="569" customFormat="1" ht="67.5" customHeight="1" x14ac:dyDescent="0.2">
      <c r="A542" s="619">
        <f>IF(B542="","",COUNT('Diário 5º PA'!$A$5:$A$2634)+COUNT('Diário 6º PA'!$A$5:$A$2246)+COUNT('Diário 7º PA'!$A$5:$A$2271)+ROW()-4)</f>
        <v>4488</v>
      </c>
      <c r="B542" s="620">
        <v>44494</v>
      </c>
      <c r="C542" s="636">
        <v>44440</v>
      </c>
      <c r="D542" s="637" t="s">
        <v>104</v>
      </c>
      <c r="E542" s="637" t="s">
        <v>104</v>
      </c>
      <c r="F542" s="638">
        <v>54.2</v>
      </c>
      <c r="G542" s="639" t="s">
        <v>7187</v>
      </c>
      <c r="H542" s="637" t="s">
        <v>104</v>
      </c>
      <c r="I542" s="640" t="s">
        <v>488</v>
      </c>
      <c r="J542" s="641" t="s">
        <v>114</v>
      </c>
      <c r="K542" s="642" t="s">
        <v>466</v>
      </c>
      <c r="L542" s="643" t="s">
        <v>489</v>
      </c>
      <c r="M542" s="644" t="s">
        <v>114</v>
      </c>
      <c r="N542" s="620">
        <v>44494</v>
      </c>
      <c r="O542" s="685" t="s">
        <v>68</v>
      </c>
      <c r="P542" s="503">
        <f t="shared" si="35"/>
        <v>10</v>
      </c>
      <c r="Q542" s="503">
        <f t="shared" si="36"/>
        <v>9</v>
      </c>
      <c r="R542" s="504" t="str">
        <f t="shared" si="37"/>
        <v>Gastos_custeados_por_captação</v>
      </c>
      <c r="S542" s="504" t="str">
        <f>IF(D542="","",IF(OR(D542=Plano!$A$1,D542=Plano!$B$1),"entrada","saída"))</f>
        <v>saída</v>
      </c>
      <c r="T542" s="566" t="s">
        <v>114</v>
      </c>
      <c r="U542" s="511" t="s">
        <v>114</v>
      </c>
      <c r="V542" s="541"/>
    </row>
    <row r="543" spans="1:22" ht="77.25" customHeight="1" x14ac:dyDescent="0.2">
      <c r="A543" s="619">
        <f>IF(B543="","",COUNT('Diário 5º PA'!$A$5:$A$2634)+COUNT('Diário 6º PA'!$A$5:$A$2246)+COUNT('Diário 7º PA'!$A$5:$A$2271)+ROW()-4)</f>
        <v>4489</v>
      </c>
      <c r="B543" s="620">
        <v>44495</v>
      </c>
      <c r="C543" s="624">
        <v>44440</v>
      </c>
      <c r="D543" s="548" t="s">
        <v>99</v>
      </c>
      <c r="E543" s="548" t="s">
        <v>222</v>
      </c>
      <c r="F543" s="622">
        <v>-204.23</v>
      </c>
      <c r="G543" s="623" t="s">
        <v>5930</v>
      </c>
      <c r="H543" s="548" t="s">
        <v>115</v>
      </c>
      <c r="I543" s="583" t="s">
        <v>983</v>
      </c>
      <c r="J543" s="548" t="s">
        <v>850</v>
      </c>
      <c r="K543" s="583" t="s">
        <v>1069</v>
      </c>
      <c r="L543" s="583" t="s">
        <v>947</v>
      </c>
      <c r="M543" s="619" t="s">
        <v>114</v>
      </c>
      <c r="N543" s="620">
        <v>44494</v>
      </c>
      <c r="O543" s="684" t="s">
        <v>67</v>
      </c>
      <c r="P543" s="503">
        <f t="shared" si="35"/>
        <v>10</v>
      </c>
      <c r="Q543" s="503">
        <f t="shared" si="36"/>
        <v>9</v>
      </c>
      <c r="R543" s="504" t="str">
        <f t="shared" si="37"/>
        <v>Gastos_Gerais</v>
      </c>
      <c r="S543" s="504" t="str">
        <f>IF(D543="","",IF(OR(D543=Plano!$A$1,D543=Plano!$B$1),"entrada","saída"))</f>
        <v>saída</v>
      </c>
      <c r="T543" s="546" t="s">
        <v>114</v>
      </c>
      <c r="U543" s="546" t="s">
        <v>114</v>
      </c>
      <c r="V543" s="541"/>
    </row>
    <row r="544" spans="1:22" ht="90.75" customHeight="1" x14ac:dyDescent="0.2">
      <c r="A544" s="619">
        <f>IF(B544="","",COUNT('Diário 5º PA'!$A$5:$A$2634)+COUNT('Diário 6º PA'!$A$5:$A$2246)+COUNT('Diário 7º PA'!$A$5:$A$2271)+ROW()-4)</f>
        <v>4490</v>
      </c>
      <c r="B544" s="620">
        <v>44495</v>
      </c>
      <c r="C544" s="624">
        <v>44470</v>
      </c>
      <c r="D544" s="548" t="s">
        <v>99</v>
      </c>
      <c r="E544" s="548" t="s">
        <v>352</v>
      </c>
      <c r="F544" s="622">
        <v>3000</v>
      </c>
      <c r="G544" s="623" t="s">
        <v>5729</v>
      </c>
      <c r="H544" s="548" t="s">
        <v>128</v>
      </c>
      <c r="I544" s="583" t="s">
        <v>5931</v>
      </c>
      <c r="J544" s="548" t="s">
        <v>5730</v>
      </c>
      <c r="K544" s="583" t="s">
        <v>1015</v>
      </c>
      <c r="L544" s="583" t="s">
        <v>992</v>
      </c>
      <c r="M544" s="619" t="s">
        <v>1017</v>
      </c>
      <c r="N544" s="620">
        <v>44494</v>
      </c>
      <c r="O544" s="684" t="s">
        <v>67</v>
      </c>
      <c r="P544" s="503">
        <f t="shared" si="35"/>
        <v>10</v>
      </c>
      <c r="Q544" s="503">
        <f t="shared" si="36"/>
        <v>10</v>
      </c>
      <c r="R544" s="504" t="str">
        <f t="shared" si="37"/>
        <v>Gastos_Gerais</v>
      </c>
      <c r="S544" s="504" t="str">
        <f>IF(D544="","",IF(OR(D544=Plano!$A$1,D544=Plano!$B$1),"entrada","saída"))</f>
        <v>saída</v>
      </c>
      <c r="T544" s="505" t="s">
        <v>994</v>
      </c>
      <c r="U544" s="505">
        <v>2231</v>
      </c>
      <c r="V544" s="541"/>
    </row>
    <row r="545" spans="1:22" ht="36" customHeight="1" x14ac:dyDescent="0.2">
      <c r="A545" s="619">
        <f>IF(B545="","",COUNT('Diário 5º PA'!$A$5:$A$2634)+COUNT('Diário 6º PA'!$A$5:$A$2246)+COUNT('Diário 7º PA'!$A$5:$A$2271)+ROW()-4)</f>
        <v>4491</v>
      </c>
      <c r="B545" s="620">
        <v>44495</v>
      </c>
      <c r="C545" s="628">
        <v>44470</v>
      </c>
      <c r="D545" s="548" t="s">
        <v>88</v>
      </c>
      <c r="E545" s="548" t="s">
        <v>192</v>
      </c>
      <c r="F545" s="622">
        <v>259.83999999999997</v>
      </c>
      <c r="G545" s="623" t="s">
        <v>5932</v>
      </c>
      <c r="H545" s="548" t="s">
        <v>114</v>
      </c>
      <c r="I545" s="583" t="s">
        <v>5164</v>
      </c>
      <c r="J545" s="548" t="s">
        <v>3591</v>
      </c>
      <c r="K545" s="583" t="s">
        <v>560</v>
      </c>
      <c r="L545" s="583" t="s">
        <v>992</v>
      </c>
      <c r="M545" s="619" t="s">
        <v>6267</v>
      </c>
      <c r="N545" s="620">
        <v>44496</v>
      </c>
      <c r="O545" s="684" t="s">
        <v>67</v>
      </c>
      <c r="P545" s="503">
        <f t="shared" si="35"/>
        <v>10</v>
      </c>
      <c r="Q545" s="503">
        <f t="shared" si="36"/>
        <v>10</v>
      </c>
      <c r="R545" s="504" t="str">
        <f t="shared" si="37"/>
        <v>Gastos_com_Pessoal</v>
      </c>
      <c r="S545" s="504" t="str">
        <f>IF(D545="","",IF(OR(D545=Plano!$A$1,D545=Plano!$B$1),"entrada","saída"))</f>
        <v>saída</v>
      </c>
      <c r="T545" s="546" t="s">
        <v>114</v>
      </c>
      <c r="U545" s="546" t="s">
        <v>114</v>
      </c>
      <c r="V545" s="541"/>
    </row>
    <row r="546" spans="1:22" ht="54.75" customHeight="1" x14ac:dyDescent="0.2">
      <c r="A546" s="619">
        <f>IF(B546="","",COUNT('Diário 5º PA'!$A$5:$A$2634)+COUNT('Diário 6º PA'!$A$5:$A$2246)+COUNT('Diário 7º PA'!$A$5:$A$2271)+ROW()-4)</f>
        <v>4492</v>
      </c>
      <c r="B546" s="620">
        <v>44495</v>
      </c>
      <c r="C546" s="624">
        <v>44440</v>
      </c>
      <c r="D546" s="548" t="s">
        <v>99</v>
      </c>
      <c r="E546" s="548" t="s">
        <v>222</v>
      </c>
      <c r="F546" s="622">
        <v>773.3</v>
      </c>
      <c r="G546" s="623" t="s">
        <v>5933</v>
      </c>
      <c r="H546" s="548" t="s">
        <v>115</v>
      </c>
      <c r="I546" s="583" t="s">
        <v>525</v>
      </c>
      <c r="J546" s="548" t="s">
        <v>1568</v>
      </c>
      <c r="K546" s="583" t="s">
        <v>1375</v>
      </c>
      <c r="L546" s="583" t="s">
        <v>697</v>
      </c>
      <c r="M546" s="619" t="s">
        <v>114</v>
      </c>
      <c r="N546" s="620">
        <v>44476</v>
      </c>
      <c r="O546" s="684" t="s">
        <v>67</v>
      </c>
      <c r="P546" s="503">
        <f t="shared" si="35"/>
        <v>10</v>
      </c>
      <c r="Q546" s="503">
        <f t="shared" si="36"/>
        <v>9</v>
      </c>
      <c r="R546" s="504" t="str">
        <f t="shared" si="37"/>
        <v>Gastos_Gerais</v>
      </c>
      <c r="S546" s="504" t="str">
        <f>IF(D546="","",IF(OR(D546=Plano!$A$1,D546=Plano!$B$1),"entrada","saída"))</f>
        <v>saída</v>
      </c>
      <c r="T546" s="546" t="s">
        <v>114</v>
      </c>
      <c r="U546" s="546" t="s">
        <v>114</v>
      </c>
      <c r="V546" s="541"/>
    </row>
    <row r="547" spans="1:22" ht="47.25" customHeight="1" x14ac:dyDescent="0.2">
      <c r="A547" s="619">
        <f>IF(B547="","",COUNT('Diário 5º PA'!$A$5:$A$2634)+COUNT('Diário 6º PA'!$A$5:$A$2246)+COUNT('Diário 7º PA'!$A$5:$A$2271)+ROW()-4)</f>
        <v>4493</v>
      </c>
      <c r="B547" s="620">
        <v>44495</v>
      </c>
      <c r="C547" s="628">
        <v>44470</v>
      </c>
      <c r="D547" s="548" t="s">
        <v>88</v>
      </c>
      <c r="E547" s="548" t="s">
        <v>192</v>
      </c>
      <c r="F547" s="622">
        <v>508.79</v>
      </c>
      <c r="G547" s="623" t="s">
        <v>5362</v>
      </c>
      <c r="H547" s="548" t="s">
        <v>114</v>
      </c>
      <c r="I547" s="583" t="s">
        <v>1032</v>
      </c>
      <c r="J547" s="548" t="s">
        <v>1033</v>
      </c>
      <c r="K547" s="583" t="s">
        <v>560</v>
      </c>
      <c r="L547" s="583" t="s">
        <v>992</v>
      </c>
      <c r="M547" s="619" t="s">
        <v>6268</v>
      </c>
      <c r="N547" s="620">
        <v>44497</v>
      </c>
      <c r="O547" s="684" t="s">
        <v>67</v>
      </c>
      <c r="P547" s="503">
        <f t="shared" si="35"/>
        <v>10</v>
      </c>
      <c r="Q547" s="503">
        <f t="shared" si="36"/>
        <v>10</v>
      </c>
      <c r="R547" s="504" t="str">
        <f t="shared" si="37"/>
        <v>Gastos_com_Pessoal</v>
      </c>
      <c r="S547" s="504" t="str">
        <f>IF(D547="","",IF(OR(D547=Plano!$A$1,D547=Plano!$B$1),"entrada","saída"))</f>
        <v>saída</v>
      </c>
      <c r="T547" s="546" t="s">
        <v>114</v>
      </c>
      <c r="U547" s="546" t="s">
        <v>114</v>
      </c>
      <c r="V547" s="541"/>
    </row>
    <row r="548" spans="1:22" ht="249.75" customHeight="1" x14ac:dyDescent="0.2">
      <c r="A548" s="619">
        <f>IF(B548="","",COUNT('Diário 5º PA'!$A$5:$A$2634)+COUNT('Diário 6º PA'!$A$5:$A$2246)+COUNT('Diário 7º PA'!$A$5:$A$2271)+ROW()-4)</f>
        <v>4494</v>
      </c>
      <c r="B548" s="620">
        <v>44495</v>
      </c>
      <c r="C548" s="624">
        <v>44440</v>
      </c>
      <c r="D548" s="548" t="s">
        <v>99</v>
      </c>
      <c r="E548" s="548" t="s">
        <v>364</v>
      </c>
      <c r="F548" s="622">
        <v>800</v>
      </c>
      <c r="G548" s="623" t="s">
        <v>5934</v>
      </c>
      <c r="H548" s="548" t="s">
        <v>122</v>
      </c>
      <c r="I548" s="583" t="s">
        <v>5935</v>
      </c>
      <c r="J548" s="548" t="s">
        <v>925</v>
      </c>
      <c r="K548" s="583" t="s">
        <v>991</v>
      </c>
      <c r="L548" s="583" t="s">
        <v>992</v>
      </c>
      <c r="M548" s="619" t="s">
        <v>1017</v>
      </c>
      <c r="N548" s="620">
        <v>44490</v>
      </c>
      <c r="O548" s="684" t="s">
        <v>67</v>
      </c>
      <c r="P548" s="503">
        <f t="shared" si="35"/>
        <v>10</v>
      </c>
      <c r="Q548" s="503">
        <f t="shared" si="36"/>
        <v>9</v>
      </c>
      <c r="R548" s="504" t="str">
        <f t="shared" si="37"/>
        <v>Gastos_Gerais</v>
      </c>
      <c r="S548" s="504" t="str">
        <f>IF(D548="","",IF(OR(D548=Plano!$A$1,D548=Plano!$B$1),"entrada","saída"))</f>
        <v>saída</v>
      </c>
      <c r="T548" s="505" t="s">
        <v>994</v>
      </c>
      <c r="U548" s="505">
        <v>1989</v>
      </c>
      <c r="V548" s="541"/>
    </row>
    <row r="549" spans="1:22" ht="92.25" customHeight="1" x14ac:dyDescent="0.2">
      <c r="A549" s="619">
        <f>IF(B549="","",COUNT('Diário 5º PA'!$A$5:$A$2634)+COUNT('Diário 6º PA'!$A$5:$A$2246)+COUNT('Diário 7º PA'!$A$5:$A$2271)+ROW()-4)</f>
        <v>4495</v>
      </c>
      <c r="B549" s="620">
        <v>44495</v>
      </c>
      <c r="C549" s="624">
        <v>44470</v>
      </c>
      <c r="D549" s="548" t="s">
        <v>99</v>
      </c>
      <c r="E549" s="548" t="s">
        <v>364</v>
      </c>
      <c r="F549" s="622">
        <v>2000</v>
      </c>
      <c r="G549" s="623" t="s">
        <v>5795</v>
      </c>
      <c r="H549" s="548" t="s">
        <v>128</v>
      </c>
      <c r="I549" s="583" t="s">
        <v>5936</v>
      </c>
      <c r="J549" s="548" t="s">
        <v>5796</v>
      </c>
      <c r="K549" s="583" t="s">
        <v>991</v>
      </c>
      <c r="L549" s="583" t="s">
        <v>992</v>
      </c>
      <c r="M549" s="619">
        <v>2</v>
      </c>
      <c r="N549" s="620">
        <v>44494</v>
      </c>
      <c r="O549" s="684" t="s">
        <v>67</v>
      </c>
      <c r="P549" s="503">
        <f t="shared" si="35"/>
        <v>10</v>
      </c>
      <c r="Q549" s="503">
        <f t="shared" si="36"/>
        <v>10</v>
      </c>
      <c r="R549" s="504" t="str">
        <f t="shared" si="37"/>
        <v>Gastos_Gerais</v>
      </c>
      <c r="S549" s="504" t="str">
        <f>IF(D549="","",IF(OR(D549=Plano!$A$1,D549=Plano!$B$1),"entrada","saída"))</f>
        <v>saída</v>
      </c>
      <c r="T549" s="505" t="s">
        <v>994</v>
      </c>
      <c r="U549" s="505">
        <v>2234</v>
      </c>
      <c r="V549" s="541"/>
    </row>
    <row r="550" spans="1:22" ht="101.25" customHeight="1" x14ac:dyDescent="0.2">
      <c r="A550" s="619">
        <f>IF(B550="","",COUNT('Diário 5º PA'!$A$5:$A$2634)+COUNT('Diário 6º PA'!$A$5:$A$2246)+COUNT('Diário 7º PA'!$A$5:$A$2271)+ROW()-4)</f>
        <v>4496</v>
      </c>
      <c r="B550" s="620">
        <v>44495</v>
      </c>
      <c r="C550" s="628">
        <v>44470</v>
      </c>
      <c r="D550" s="548" t="s">
        <v>99</v>
      </c>
      <c r="E550" s="548" t="s">
        <v>336</v>
      </c>
      <c r="F550" s="622">
        <v>1400</v>
      </c>
      <c r="G550" s="623" t="s">
        <v>5698</v>
      </c>
      <c r="H550" s="548" t="s">
        <v>128</v>
      </c>
      <c r="I550" s="583" t="s">
        <v>5937</v>
      </c>
      <c r="J550" s="548" t="s">
        <v>5699</v>
      </c>
      <c r="K550" s="583" t="s">
        <v>991</v>
      </c>
      <c r="L550" s="583" t="s">
        <v>992</v>
      </c>
      <c r="M550" s="619" t="s">
        <v>1061</v>
      </c>
      <c r="N550" s="620">
        <v>44494</v>
      </c>
      <c r="O550" s="684" t="s">
        <v>67</v>
      </c>
      <c r="P550" s="503">
        <f t="shared" si="35"/>
        <v>10</v>
      </c>
      <c r="Q550" s="503">
        <f t="shared" si="36"/>
        <v>10</v>
      </c>
      <c r="R550" s="504" t="str">
        <f t="shared" si="37"/>
        <v>Gastos_Gerais</v>
      </c>
      <c r="S550" s="504" t="str">
        <f>IF(D550="","",IF(OR(D550=Plano!$A$1,D550=Plano!$B$1),"entrada","saída"))</f>
        <v>saída</v>
      </c>
      <c r="T550" s="505" t="s">
        <v>994</v>
      </c>
      <c r="U550" s="505">
        <v>2233</v>
      </c>
      <c r="V550" s="541"/>
    </row>
    <row r="551" spans="1:22" ht="117.75" customHeight="1" x14ac:dyDescent="0.2">
      <c r="A551" s="619">
        <f>IF(B551="","",COUNT('Diário 5º PA'!$A$5:$A$2634)+COUNT('Diário 6º PA'!$A$5:$A$2246)+COUNT('Diário 7º PA'!$A$5:$A$2271)+ROW()-4)</f>
        <v>4497</v>
      </c>
      <c r="B551" s="620">
        <v>44495</v>
      </c>
      <c r="C551" s="624">
        <v>44470</v>
      </c>
      <c r="D551" s="548" t="s">
        <v>99</v>
      </c>
      <c r="E551" s="548" t="s">
        <v>336</v>
      </c>
      <c r="F551" s="622">
        <v>2000</v>
      </c>
      <c r="G551" s="623" t="s">
        <v>5799</v>
      </c>
      <c r="H551" s="548" t="s">
        <v>128</v>
      </c>
      <c r="I551" s="583" t="s">
        <v>5938</v>
      </c>
      <c r="J551" s="548" t="s">
        <v>5800</v>
      </c>
      <c r="K551" s="583" t="s">
        <v>991</v>
      </c>
      <c r="L551" s="583" t="s">
        <v>992</v>
      </c>
      <c r="M551" s="619" t="s">
        <v>1608</v>
      </c>
      <c r="N551" s="620">
        <v>44494</v>
      </c>
      <c r="O551" s="684" t="s">
        <v>67</v>
      </c>
      <c r="P551" s="503">
        <f t="shared" si="35"/>
        <v>10</v>
      </c>
      <c r="Q551" s="503">
        <f t="shared" si="36"/>
        <v>10</v>
      </c>
      <c r="R551" s="504" t="str">
        <f t="shared" si="37"/>
        <v>Gastos_Gerais</v>
      </c>
      <c r="S551" s="504" t="str">
        <f>IF(D551="","",IF(OR(D551=Plano!$A$1,D551=Plano!$B$1),"entrada","saída"))</f>
        <v>saída</v>
      </c>
      <c r="T551" s="505" t="s">
        <v>994</v>
      </c>
      <c r="U551" s="505">
        <v>2236</v>
      </c>
      <c r="V551" s="541"/>
    </row>
    <row r="552" spans="1:22" ht="188.25" customHeight="1" x14ac:dyDescent="0.2">
      <c r="A552" s="619">
        <f>IF(B552="","",COUNT('Diário 5º PA'!$A$5:$A$2634)+COUNT('Diário 6º PA'!$A$5:$A$2246)+COUNT('Diário 7º PA'!$A$5:$A$2271)+ROW()-4)</f>
        <v>4498</v>
      </c>
      <c r="B552" s="620">
        <v>44495</v>
      </c>
      <c r="C552" s="628">
        <v>44470</v>
      </c>
      <c r="D552" s="548" t="s">
        <v>99</v>
      </c>
      <c r="E552" s="548" t="s">
        <v>358</v>
      </c>
      <c r="F552" s="622">
        <v>1500</v>
      </c>
      <c r="G552" s="623" t="s">
        <v>5571</v>
      </c>
      <c r="H552" s="548" t="s">
        <v>128</v>
      </c>
      <c r="I552" s="583" t="s">
        <v>5939</v>
      </c>
      <c r="J552" s="548" t="s">
        <v>5572</v>
      </c>
      <c r="K552" s="583" t="s">
        <v>991</v>
      </c>
      <c r="L552" s="583" t="s">
        <v>992</v>
      </c>
      <c r="M552" s="619" t="s">
        <v>2002</v>
      </c>
      <c r="N552" s="620">
        <v>44494</v>
      </c>
      <c r="O552" s="684" t="s">
        <v>67</v>
      </c>
      <c r="P552" s="503">
        <f t="shared" si="35"/>
        <v>10</v>
      </c>
      <c r="Q552" s="503">
        <f t="shared" si="36"/>
        <v>10</v>
      </c>
      <c r="R552" s="504" t="str">
        <f t="shared" si="37"/>
        <v>Gastos_Gerais</v>
      </c>
      <c r="S552" s="504" t="str">
        <f>IF(D552="","",IF(OR(D552=Plano!$A$1,D552=Plano!$B$1),"entrada","saída"))</f>
        <v>saída</v>
      </c>
      <c r="T552" s="505" t="s">
        <v>994</v>
      </c>
      <c r="U552" s="505">
        <v>2232</v>
      </c>
      <c r="V552" s="541"/>
    </row>
    <row r="553" spans="1:22" ht="111.75" customHeight="1" x14ac:dyDescent="0.2">
      <c r="A553" s="619">
        <f>IF(B553="","",COUNT('Diário 5º PA'!$A$5:$A$2634)+COUNT('Diário 6º PA'!$A$5:$A$2246)+COUNT('Diário 7º PA'!$A$5:$A$2271)+ROW()-4)</f>
        <v>4499</v>
      </c>
      <c r="B553" s="620">
        <v>44495</v>
      </c>
      <c r="C553" s="628">
        <v>44470</v>
      </c>
      <c r="D553" s="548" t="s">
        <v>99</v>
      </c>
      <c r="E553" s="548" t="s">
        <v>336</v>
      </c>
      <c r="F553" s="622">
        <v>3919.6</v>
      </c>
      <c r="G553" s="623" t="s">
        <v>5696</v>
      </c>
      <c r="H553" s="548" t="s">
        <v>128</v>
      </c>
      <c r="I553" s="583" t="s">
        <v>5940</v>
      </c>
      <c r="J553" s="548" t="s">
        <v>5697</v>
      </c>
      <c r="K553" s="583" t="s">
        <v>991</v>
      </c>
      <c r="L553" s="583" t="s">
        <v>992</v>
      </c>
      <c r="M553" s="619" t="s">
        <v>1452</v>
      </c>
      <c r="N553" s="620">
        <v>44494</v>
      </c>
      <c r="O553" s="684" t="s">
        <v>67</v>
      </c>
      <c r="P553" s="503">
        <f t="shared" si="35"/>
        <v>10</v>
      </c>
      <c r="Q553" s="503">
        <f t="shared" si="36"/>
        <v>10</v>
      </c>
      <c r="R553" s="504" t="str">
        <f t="shared" si="37"/>
        <v>Gastos_Gerais</v>
      </c>
      <c r="S553" s="504" t="str">
        <f>IF(D553="","",IF(OR(D553=Plano!$A$1,D553=Plano!$B$1),"entrada","saída"))</f>
        <v>saída</v>
      </c>
      <c r="T553" s="505" t="s">
        <v>994</v>
      </c>
      <c r="U553" s="505">
        <v>2230</v>
      </c>
      <c r="V553" s="541"/>
    </row>
    <row r="554" spans="1:22" ht="89.25" customHeight="1" x14ac:dyDescent="0.2">
      <c r="A554" s="619">
        <f>IF(B554="","",COUNT('Diário 5º PA'!$A$5:$A$2634)+COUNT('Diário 6º PA'!$A$5:$A$2246)+COUNT('Diário 7º PA'!$A$5:$A$2271)+ROW()-4)</f>
        <v>4500</v>
      </c>
      <c r="B554" s="620">
        <v>44495</v>
      </c>
      <c r="C554" s="628">
        <v>44470</v>
      </c>
      <c r="D554" s="548" t="s">
        <v>99</v>
      </c>
      <c r="E554" s="548" t="s">
        <v>364</v>
      </c>
      <c r="F554" s="622">
        <v>3150</v>
      </c>
      <c r="G554" s="623" t="s">
        <v>5565</v>
      </c>
      <c r="H554" s="548" t="s">
        <v>128</v>
      </c>
      <c r="I554" s="583" t="s">
        <v>1051</v>
      </c>
      <c r="J554" s="548" t="s">
        <v>711</v>
      </c>
      <c r="K554" s="583" t="s">
        <v>991</v>
      </c>
      <c r="L554" s="583" t="s">
        <v>992</v>
      </c>
      <c r="M554" s="619" t="s">
        <v>1730</v>
      </c>
      <c r="N554" s="620">
        <v>44494</v>
      </c>
      <c r="O554" s="684" t="s">
        <v>67</v>
      </c>
      <c r="P554" s="503">
        <f t="shared" si="35"/>
        <v>10</v>
      </c>
      <c r="Q554" s="503">
        <f t="shared" si="36"/>
        <v>10</v>
      </c>
      <c r="R554" s="504" t="str">
        <f t="shared" si="37"/>
        <v>Gastos_Gerais</v>
      </c>
      <c r="S554" s="504" t="str">
        <f>IF(D554="","",IF(OR(D554=Plano!$A$1,D554=Plano!$B$1),"entrada","saída"))</f>
        <v>saída</v>
      </c>
      <c r="T554" s="511" t="s">
        <v>1059</v>
      </c>
      <c r="U554" s="505">
        <v>2226</v>
      </c>
      <c r="V554" s="541"/>
    </row>
    <row r="555" spans="1:22" ht="80.25" customHeight="1" x14ac:dyDescent="0.2">
      <c r="A555" s="619">
        <f>IF(B555="","",COUNT('Diário 5º PA'!$A$5:$A$2634)+COUNT('Diário 6º PA'!$A$5:$A$2246)+COUNT('Diário 7º PA'!$A$5:$A$2271)+ROW()-4)</f>
        <v>4501</v>
      </c>
      <c r="B555" s="620">
        <v>44495</v>
      </c>
      <c r="C555" s="624">
        <v>44470</v>
      </c>
      <c r="D555" s="548" t="s">
        <v>99</v>
      </c>
      <c r="E555" s="548" t="s">
        <v>336</v>
      </c>
      <c r="F555" s="622">
        <v>2231</v>
      </c>
      <c r="G555" s="623" t="s">
        <v>5321</v>
      </c>
      <c r="H555" s="548" t="s">
        <v>116</v>
      </c>
      <c r="I555" s="583" t="s">
        <v>5942</v>
      </c>
      <c r="J555" s="548" t="s">
        <v>859</v>
      </c>
      <c r="K555" s="583" t="s">
        <v>991</v>
      </c>
      <c r="L555" s="583" t="s">
        <v>992</v>
      </c>
      <c r="M555" s="619" t="s">
        <v>5943</v>
      </c>
      <c r="N555" s="620">
        <v>44494</v>
      </c>
      <c r="O555" s="684" t="s">
        <v>67</v>
      </c>
      <c r="P555" s="503">
        <f t="shared" si="35"/>
        <v>10</v>
      </c>
      <c r="Q555" s="503">
        <f t="shared" si="36"/>
        <v>10</v>
      </c>
      <c r="R555" s="504" t="str">
        <f t="shared" si="37"/>
        <v>Gastos_Gerais</v>
      </c>
      <c r="S555" s="504" t="str">
        <f>IF(D555="","",IF(OR(D555=Plano!$A$1,D555=Plano!$B$1),"entrada","saída"))</f>
        <v>saída</v>
      </c>
      <c r="T555" s="505" t="s">
        <v>994</v>
      </c>
      <c r="U555" s="505">
        <v>2074</v>
      </c>
      <c r="V555" s="541"/>
    </row>
    <row r="556" spans="1:22" ht="90.75" customHeight="1" x14ac:dyDescent="0.2">
      <c r="A556" s="619">
        <f>IF(B556="","",COUNT('Diário 5º PA'!$A$5:$A$2634)+COUNT('Diário 6º PA'!$A$5:$A$2246)+COUNT('Diário 7º PA'!$A$5:$A$2271)+ROW()-4)</f>
        <v>4502</v>
      </c>
      <c r="B556" s="620">
        <v>44495</v>
      </c>
      <c r="C556" s="624">
        <v>44470</v>
      </c>
      <c r="D556" s="548" t="s">
        <v>99</v>
      </c>
      <c r="E556" s="548" t="s">
        <v>382</v>
      </c>
      <c r="F556" s="622">
        <v>230.71</v>
      </c>
      <c r="G556" s="623" t="s">
        <v>5834</v>
      </c>
      <c r="H556" s="548" t="s">
        <v>128</v>
      </c>
      <c r="I556" s="583" t="s">
        <v>1929</v>
      </c>
      <c r="J556" s="548" t="s">
        <v>444</v>
      </c>
      <c r="K556" s="583" t="s">
        <v>991</v>
      </c>
      <c r="L556" s="583" t="s">
        <v>992</v>
      </c>
      <c r="M556" s="619" t="s">
        <v>5945</v>
      </c>
      <c r="N556" s="620">
        <v>44494</v>
      </c>
      <c r="O556" s="684" t="s">
        <v>67</v>
      </c>
      <c r="P556" s="503">
        <f t="shared" si="35"/>
        <v>10</v>
      </c>
      <c r="Q556" s="503">
        <f t="shared" si="36"/>
        <v>10</v>
      </c>
      <c r="R556" s="504" t="str">
        <f t="shared" si="37"/>
        <v>Gastos_Gerais</v>
      </c>
      <c r="S556" s="504" t="str">
        <f>IF(D556="","",IF(OR(D556=Plano!$A$1,D556=Plano!$B$1),"entrada","saída"))</f>
        <v>saída</v>
      </c>
      <c r="T556" s="505" t="s">
        <v>994</v>
      </c>
      <c r="U556" s="505">
        <v>2286</v>
      </c>
      <c r="V556" s="541"/>
    </row>
    <row r="557" spans="1:22" ht="45" customHeight="1" x14ac:dyDescent="0.2">
      <c r="A557" s="619">
        <f>IF(B557="","",COUNT('Diário 5º PA'!$A$5:$A$2634)+COUNT('Diário 6º PA'!$A$5:$A$2246)+COUNT('Diário 7º PA'!$A$5:$A$2271)+ROW()-4)</f>
        <v>4503</v>
      </c>
      <c r="B557" s="620">
        <v>44495</v>
      </c>
      <c r="C557" s="621">
        <v>44470</v>
      </c>
      <c r="D557" s="548" t="s">
        <v>99</v>
      </c>
      <c r="E557" s="548" t="s">
        <v>272</v>
      </c>
      <c r="F557" s="622">
        <v>10.45</v>
      </c>
      <c r="G557" s="623" t="s">
        <v>5947</v>
      </c>
      <c r="H557" s="548" t="s">
        <v>122</v>
      </c>
      <c r="I557" s="583" t="s">
        <v>949</v>
      </c>
      <c r="J557" s="548" t="s">
        <v>950</v>
      </c>
      <c r="K557" s="583" t="s">
        <v>951</v>
      </c>
      <c r="L557" s="583" t="s">
        <v>947</v>
      </c>
      <c r="M557" s="625" t="s">
        <v>114</v>
      </c>
      <c r="N557" s="620">
        <v>44495</v>
      </c>
      <c r="O557" s="684" t="s">
        <v>67</v>
      </c>
      <c r="P557" s="503">
        <f t="shared" si="35"/>
        <v>10</v>
      </c>
      <c r="Q557" s="503">
        <f t="shared" si="36"/>
        <v>10</v>
      </c>
      <c r="R557" s="504" t="str">
        <f t="shared" si="37"/>
        <v>Gastos_Gerais</v>
      </c>
      <c r="S557" s="504" t="str">
        <f>IF(D557="","",IF(OR(D557=Plano!$A$1,D557=Plano!$B$1),"entrada","saída"))</f>
        <v>saída</v>
      </c>
      <c r="T557" s="511" t="s">
        <v>114</v>
      </c>
      <c r="U557" s="511" t="s">
        <v>114</v>
      </c>
      <c r="V557" s="541"/>
    </row>
    <row r="558" spans="1:22" ht="45" customHeight="1" x14ac:dyDescent="0.2">
      <c r="A558" s="619">
        <f>IF(B558="","",COUNT('Diário 5º PA'!$A$5:$A$2634)+COUNT('Diário 6º PA'!$A$5:$A$2246)+COUNT('Diário 7º PA'!$A$5:$A$2271)+ROW()-4)</f>
        <v>4504</v>
      </c>
      <c r="B558" s="620">
        <v>44495</v>
      </c>
      <c r="C558" s="621">
        <v>44470</v>
      </c>
      <c r="D558" s="548" t="s">
        <v>99</v>
      </c>
      <c r="E558" s="548" t="s">
        <v>272</v>
      </c>
      <c r="F558" s="622">
        <v>10.45</v>
      </c>
      <c r="G558" s="623" t="s">
        <v>5948</v>
      </c>
      <c r="H558" s="548" t="s">
        <v>128</v>
      </c>
      <c r="I558" s="583" t="s">
        <v>949</v>
      </c>
      <c r="J558" s="548" t="s">
        <v>950</v>
      </c>
      <c r="K558" s="583" t="s">
        <v>951</v>
      </c>
      <c r="L558" s="583" t="s">
        <v>947</v>
      </c>
      <c r="M558" s="625" t="s">
        <v>114</v>
      </c>
      <c r="N558" s="620">
        <v>44495</v>
      </c>
      <c r="O558" s="684" t="s">
        <v>67</v>
      </c>
      <c r="P558" s="503">
        <f t="shared" si="35"/>
        <v>10</v>
      </c>
      <c r="Q558" s="503">
        <f t="shared" si="36"/>
        <v>10</v>
      </c>
      <c r="R558" s="504" t="str">
        <f t="shared" si="37"/>
        <v>Gastos_Gerais</v>
      </c>
      <c r="S558" s="504" t="str">
        <f>IF(D558="","",IF(OR(D558=Plano!$A$1,D558=Plano!$B$1),"entrada","saída"))</f>
        <v>saída</v>
      </c>
      <c r="T558" s="511" t="s">
        <v>114</v>
      </c>
      <c r="U558" s="511" t="s">
        <v>114</v>
      </c>
      <c r="V558" s="541"/>
    </row>
    <row r="559" spans="1:22" ht="45" customHeight="1" x14ac:dyDescent="0.2">
      <c r="A559" s="619">
        <f>IF(B559="","",COUNT('Diário 5º PA'!$A$5:$A$2634)+COUNT('Diário 6º PA'!$A$5:$A$2246)+COUNT('Diário 7º PA'!$A$5:$A$2271)+ROW()-4)</f>
        <v>4505</v>
      </c>
      <c r="B559" s="620">
        <v>44495</v>
      </c>
      <c r="C559" s="621">
        <v>44470</v>
      </c>
      <c r="D559" s="548" t="s">
        <v>99</v>
      </c>
      <c r="E559" s="548" t="s">
        <v>272</v>
      </c>
      <c r="F559" s="622">
        <v>10.45</v>
      </c>
      <c r="G559" s="623" t="s">
        <v>5949</v>
      </c>
      <c r="H559" s="548" t="s">
        <v>128</v>
      </c>
      <c r="I559" s="583" t="s">
        <v>949</v>
      </c>
      <c r="J559" s="548" t="s">
        <v>950</v>
      </c>
      <c r="K559" s="583" t="s">
        <v>951</v>
      </c>
      <c r="L559" s="583" t="s">
        <v>947</v>
      </c>
      <c r="M559" s="625" t="s">
        <v>114</v>
      </c>
      <c r="N559" s="620">
        <v>44495</v>
      </c>
      <c r="O559" s="684" t="s">
        <v>67</v>
      </c>
      <c r="P559" s="503">
        <f t="shared" si="35"/>
        <v>10</v>
      </c>
      <c r="Q559" s="503">
        <f t="shared" si="36"/>
        <v>10</v>
      </c>
      <c r="R559" s="504" t="str">
        <f t="shared" si="37"/>
        <v>Gastos_Gerais</v>
      </c>
      <c r="S559" s="504" t="str">
        <f>IF(D559="","",IF(OR(D559=Plano!$A$1,D559=Plano!$B$1),"entrada","saída"))</f>
        <v>saída</v>
      </c>
      <c r="T559" s="511" t="s">
        <v>114</v>
      </c>
      <c r="U559" s="511" t="s">
        <v>114</v>
      </c>
      <c r="V559" s="541"/>
    </row>
    <row r="560" spans="1:22" ht="45" customHeight="1" x14ac:dyDescent="0.2">
      <c r="A560" s="619">
        <f>IF(B560="","",COUNT('Diário 5º PA'!$A$5:$A$2634)+COUNT('Diário 6º PA'!$A$5:$A$2246)+COUNT('Diário 7º PA'!$A$5:$A$2271)+ROW()-4)</f>
        <v>4506</v>
      </c>
      <c r="B560" s="620">
        <v>44495</v>
      </c>
      <c r="C560" s="621">
        <v>44470</v>
      </c>
      <c r="D560" s="548" t="s">
        <v>99</v>
      </c>
      <c r="E560" s="548" t="s">
        <v>272</v>
      </c>
      <c r="F560" s="622">
        <v>10.45</v>
      </c>
      <c r="G560" s="623" t="s">
        <v>5950</v>
      </c>
      <c r="H560" s="548" t="s">
        <v>128</v>
      </c>
      <c r="I560" s="583" t="s">
        <v>949</v>
      </c>
      <c r="J560" s="548" t="s">
        <v>950</v>
      </c>
      <c r="K560" s="583" t="s">
        <v>951</v>
      </c>
      <c r="L560" s="583" t="s">
        <v>947</v>
      </c>
      <c r="M560" s="625" t="s">
        <v>114</v>
      </c>
      <c r="N560" s="620">
        <v>44495</v>
      </c>
      <c r="O560" s="684" t="s">
        <v>67</v>
      </c>
      <c r="P560" s="503">
        <f t="shared" si="35"/>
        <v>10</v>
      </c>
      <c r="Q560" s="503">
        <f t="shared" si="36"/>
        <v>10</v>
      </c>
      <c r="R560" s="504" t="str">
        <f t="shared" si="37"/>
        <v>Gastos_Gerais</v>
      </c>
      <c r="S560" s="504" t="str">
        <f>IF(D560="","",IF(OR(D560=Plano!$A$1,D560=Plano!$B$1),"entrada","saída"))</f>
        <v>saída</v>
      </c>
      <c r="T560" s="511" t="s">
        <v>114</v>
      </c>
      <c r="U560" s="511" t="s">
        <v>114</v>
      </c>
      <c r="V560" s="541"/>
    </row>
    <row r="561" spans="1:22" ht="45" customHeight="1" x14ac:dyDescent="0.2">
      <c r="A561" s="619">
        <f>IF(B561="","",COUNT('Diário 5º PA'!$A$5:$A$2634)+COUNT('Diário 6º PA'!$A$5:$A$2246)+COUNT('Diário 7º PA'!$A$5:$A$2271)+ROW()-4)</f>
        <v>4507</v>
      </c>
      <c r="B561" s="620">
        <v>44495</v>
      </c>
      <c r="C561" s="621">
        <v>44470</v>
      </c>
      <c r="D561" s="548" t="s">
        <v>99</v>
      </c>
      <c r="E561" s="548" t="s">
        <v>272</v>
      </c>
      <c r="F561" s="622">
        <v>10.45</v>
      </c>
      <c r="G561" s="623" t="s">
        <v>5951</v>
      </c>
      <c r="H561" s="548" t="s">
        <v>128</v>
      </c>
      <c r="I561" s="583" t="s">
        <v>949</v>
      </c>
      <c r="J561" s="548" t="s">
        <v>950</v>
      </c>
      <c r="K561" s="583" t="s">
        <v>951</v>
      </c>
      <c r="L561" s="583" t="s">
        <v>947</v>
      </c>
      <c r="M561" s="625" t="s">
        <v>114</v>
      </c>
      <c r="N561" s="620">
        <v>44495</v>
      </c>
      <c r="O561" s="684" t="s">
        <v>67</v>
      </c>
      <c r="P561" s="503">
        <f t="shared" si="35"/>
        <v>10</v>
      </c>
      <c r="Q561" s="503">
        <f t="shared" si="36"/>
        <v>10</v>
      </c>
      <c r="R561" s="504" t="str">
        <f t="shared" si="37"/>
        <v>Gastos_Gerais</v>
      </c>
      <c r="S561" s="504" t="str">
        <f>IF(D561="","",IF(OR(D561=Plano!$A$1,D561=Plano!$B$1),"entrada","saída"))</f>
        <v>saída</v>
      </c>
      <c r="T561" s="511" t="s">
        <v>114</v>
      </c>
      <c r="U561" s="511" t="s">
        <v>114</v>
      </c>
      <c r="V561" s="541"/>
    </row>
    <row r="562" spans="1:22" ht="45" customHeight="1" x14ac:dyDescent="0.2">
      <c r="A562" s="619">
        <f>IF(B562="","",COUNT('Diário 5º PA'!$A$5:$A$2634)+COUNT('Diário 6º PA'!$A$5:$A$2246)+COUNT('Diário 7º PA'!$A$5:$A$2271)+ROW()-4)</f>
        <v>4508</v>
      </c>
      <c r="B562" s="620">
        <v>44495</v>
      </c>
      <c r="C562" s="621">
        <v>44470</v>
      </c>
      <c r="D562" s="548" t="s">
        <v>99</v>
      </c>
      <c r="E562" s="548" t="s">
        <v>272</v>
      </c>
      <c r="F562" s="622">
        <v>10.45</v>
      </c>
      <c r="G562" s="623" t="s">
        <v>5952</v>
      </c>
      <c r="H562" s="548" t="s">
        <v>128</v>
      </c>
      <c r="I562" s="583" t="s">
        <v>949</v>
      </c>
      <c r="J562" s="548" t="s">
        <v>950</v>
      </c>
      <c r="K562" s="583" t="s">
        <v>951</v>
      </c>
      <c r="L562" s="583" t="s">
        <v>947</v>
      </c>
      <c r="M562" s="625" t="s">
        <v>114</v>
      </c>
      <c r="N562" s="620">
        <v>44495</v>
      </c>
      <c r="O562" s="684" t="s">
        <v>67</v>
      </c>
      <c r="P562" s="503">
        <f t="shared" si="35"/>
        <v>10</v>
      </c>
      <c r="Q562" s="503">
        <f t="shared" si="36"/>
        <v>10</v>
      </c>
      <c r="R562" s="504" t="str">
        <f t="shared" si="37"/>
        <v>Gastos_Gerais</v>
      </c>
      <c r="S562" s="504" t="str">
        <f>IF(D562="","",IF(OR(D562=Plano!$A$1,D562=Plano!$B$1),"entrada","saída"))</f>
        <v>saída</v>
      </c>
      <c r="T562" s="511" t="s">
        <v>114</v>
      </c>
      <c r="U562" s="511" t="s">
        <v>114</v>
      </c>
      <c r="V562" s="541"/>
    </row>
    <row r="563" spans="1:22" ht="45" customHeight="1" x14ac:dyDescent="0.2">
      <c r="A563" s="619">
        <f>IF(B563="","",COUNT('Diário 5º PA'!$A$5:$A$2634)+COUNT('Diário 6º PA'!$A$5:$A$2246)+COUNT('Diário 7º PA'!$A$5:$A$2271)+ROW()-4)</f>
        <v>4509</v>
      </c>
      <c r="B563" s="620">
        <v>44495</v>
      </c>
      <c r="C563" s="621">
        <v>44470</v>
      </c>
      <c r="D563" s="548" t="s">
        <v>99</v>
      </c>
      <c r="E563" s="548" t="s">
        <v>272</v>
      </c>
      <c r="F563" s="622">
        <v>10.45</v>
      </c>
      <c r="G563" s="623" t="s">
        <v>5953</v>
      </c>
      <c r="H563" s="548" t="s">
        <v>128</v>
      </c>
      <c r="I563" s="583" t="s">
        <v>949</v>
      </c>
      <c r="J563" s="548" t="s">
        <v>950</v>
      </c>
      <c r="K563" s="583" t="s">
        <v>951</v>
      </c>
      <c r="L563" s="583" t="s">
        <v>947</v>
      </c>
      <c r="M563" s="625" t="s">
        <v>114</v>
      </c>
      <c r="N563" s="620">
        <v>44495</v>
      </c>
      <c r="O563" s="684" t="s">
        <v>67</v>
      </c>
      <c r="P563" s="503">
        <f t="shared" si="35"/>
        <v>10</v>
      </c>
      <c r="Q563" s="503">
        <f t="shared" si="36"/>
        <v>10</v>
      </c>
      <c r="R563" s="504" t="str">
        <f t="shared" si="37"/>
        <v>Gastos_Gerais</v>
      </c>
      <c r="S563" s="504" t="str">
        <f>IF(D563="","",IF(OR(D563=Plano!$A$1,D563=Plano!$B$1),"entrada","saída"))</f>
        <v>saída</v>
      </c>
      <c r="T563" s="511" t="s">
        <v>114</v>
      </c>
      <c r="U563" s="511" t="s">
        <v>114</v>
      </c>
      <c r="V563" s="541"/>
    </row>
    <row r="564" spans="1:22" ht="45" customHeight="1" x14ac:dyDescent="0.2">
      <c r="A564" s="619">
        <f>IF(B564="","",COUNT('Diário 5º PA'!$A$5:$A$2634)+COUNT('Diário 6º PA'!$A$5:$A$2246)+COUNT('Diário 7º PA'!$A$5:$A$2271)+ROW()-4)</f>
        <v>4510</v>
      </c>
      <c r="B564" s="620">
        <v>44495</v>
      </c>
      <c r="C564" s="621">
        <v>44470</v>
      </c>
      <c r="D564" s="548" t="s">
        <v>99</v>
      </c>
      <c r="E564" s="548" t="s">
        <v>272</v>
      </c>
      <c r="F564" s="622">
        <v>10.45</v>
      </c>
      <c r="G564" s="623" t="s">
        <v>5954</v>
      </c>
      <c r="H564" s="548" t="s">
        <v>116</v>
      </c>
      <c r="I564" s="583" t="s">
        <v>949</v>
      </c>
      <c r="J564" s="548" t="s">
        <v>950</v>
      </c>
      <c r="K564" s="583" t="s">
        <v>951</v>
      </c>
      <c r="L564" s="583" t="s">
        <v>947</v>
      </c>
      <c r="M564" s="625" t="s">
        <v>114</v>
      </c>
      <c r="N564" s="620">
        <v>44495</v>
      </c>
      <c r="O564" s="684" t="s">
        <v>67</v>
      </c>
      <c r="P564" s="503">
        <f t="shared" si="35"/>
        <v>10</v>
      </c>
      <c r="Q564" s="503">
        <f t="shared" si="36"/>
        <v>10</v>
      </c>
      <c r="R564" s="504" t="str">
        <f t="shared" si="37"/>
        <v>Gastos_Gerais</v>
      </c>
      <c r="S564" s="504" t="str">
        <f>IF(D564="","",IF(OR(D564=Plano!$A$1,D564=Plano!$B$1),"entrada","saída"))</f>
        <v>saída</v>
      </c>
      <c r="T564" s="511" t="s">
        <v>114</v>
      </c>
      <c r="U564" s="511" t="s">
        <v>114</v>
      </c>
      <c r="V564" s="541"/>
    </row>
    <row r="565" spans="1:22" ht="45" customHeight="1" x14ac:dyDescent="0.2">
      <c r="A565" s="619">
        <f>IF(B565="","",COUNT('Diário 5º PA'!$A$5:$A$2634)+COUNT('Diário 6º PA'!$A$5:$A$2246)+COUNT('Diário 7º PA'!$A$5:$A$2271)+ROW()-4)</f>
        <v>4511</v>
      </c>
      <c r="B565" s="620">
        <v>44495</v>
      </c>
      <c r="C565" s="621">
        <v>44470</v>
      </c>
      <c r="D565" s="548" t="s">
        <v>99</v>
      </c>
      <c r="E565" s="548" t="s">
        <v>272</v>
      </c>
      <c r="F565" s="622">
        <v>10.45</v>
      </c>
      <c r="G565" s="623" t="s">
        <v>5955</v>
      </c>
      <c r="H565" s="548" t="s">
        <v>128</v>
      </c>
      <c r="I565" s="583" t="s">
        <v>949</v>
      </c>
      <c r="J565" s="548" t="s">
        <v>950</v>
      </c>
      <c r="K565" s="583" t="s">
        <v>951</v>
      </c>
      <c r="L565" s="583" t="s">
        <v>947</v>
      </c>
      <c r="M565" s="625" t="s">
        <v>114</v>
      </c>
      <c r="N565" s="620">
        <v>44495</v>
      </c>
      <c r="O565" s="684" t="s">
        <v>67</v>
      </c>
      <c r="P565" s="503">
        <f t="shared" si="35"/>
        <v>10</v>
      </c>
      <c r="Q565" s="503">
        <f t="shared" si="36"/>
        <v>10</v>
      </c>
      <c r="R565" s="504" t="str">
        <f t="shared" si="37"/>
        <v>Gastos_Gerais</v>
      </c>
      <c r="S565" s="504" t="str">
        <f>IF(D565="","",IF(OR(D565=Plano!$A$1,D565=Plano!$B$1),"entrada","saída"))</f>
        <v>saída</v>
      </c>
      <c r="T565" s="511" t="s">
        <v>114</v>
      </c>
      <c r="U565" s="511" t="s">
        <v>114</v>
      </c>
      <c r="V565" s="541"/>
    </row>
    <row r="566" spans="1:22" s="545" customFormat="1" ht="45" customHeight="1" x14ac:dyDescent="0.2">
      <c r="A566" s="619">
        <f>IF(B566="","",COUNT('Diário 5º PA'!$A$5:$A$2634)+COUNT('Diário 6º PA'!$A$5:$A$2246)+COUNT('Diário 7º PA'!$A$5:$A$2271)+ROW()-4)</f>
        <v>4512</v>
      </c>
      <c r="B566" s="620">
        <v>44495</v>
      </c>
      <c r="C566" s="621">
        <v>44470</v>
      </c>
      <c r="D566" s="548" t="s">
        <v>104</v>
      </c>
      <c r="E566" s="548" t="s">
        <v>104</v>
      </c>
      <c r="F566" s="634">
        <v>9235.56</v>
      </c>
      <c r="G566" s="623" t="s">
        <v>6975</v>
      </c>
      <c r="H566" s="548" t="s">
        <v>104</v>
      </c>
      <c r="I566" s="583" t="s">
        <v>6963</v>
      </c>
      <c r="J566" s="622" t="s">
        <v>759</v>
      </c>
      <c r="K566" s="583" t="s">
        <v>1015</v>
      </c>
      <c r="L566" s="583" t="s">
        <v>992</v>
      </c>
      <c r="M566" s="625">
        <v>202128</v>
      </c>
      <c r="N566" s="620">
        <v>44494</v>
      </c>
      <c r="O566" s="684" t="s">
        <v>5505</v>
      </c>
      <c r="P566" s="503">
        <f t="shared" si="35"/>
        <v>10</v>
      </c>
      <c r="Q566" s="503">
        <f t="shared" si="36"/>
        <v>10</v>
      </c>
      <c r="R566" s="504" t="str">
        <f t="shared" si="37"/>
        <v>Gastos_custeados_por_captação</v>
      </c>
      <c r="S566" s="504" t="str">
        <f>IF(D566="","",IF(OR(D566=Plano!$A$1,D566=Plano!$B$1),"entrada","saída"))</f>
        <v>saída</v>
      </c>
      <c r="T566" s="511" t="s">
        <v>994</v>
      </c>
      <c r="U566" s="511">
        <v>2262</v>
      </c>
      <c r="V566" s="541"/>
    </row>
    <row r="567" spans="1:22" s="545" customFormat="1" ht="45" customHeight="1" x14ac:dyDescent="0.2">
      <c r="A567" s="619">
        <f>IF(B567="","",COUNT('Diário 5º PA'!$A$5:$A$2634)+COUNT('Diário 6º PA'!$A$5:$A$2246)+COUNT('Diário 7º PA'!$A$5:$A$2271)+ROW()-4)</f>
        <v>4513</v>
      </c>
      <c r="B567" s="620">
        <v>44495</v>
      </c>
      <c r="C567" s="621">
        <v>44470</v>
      </c>
      <c r="D567" s="548" t="s">
        <v>104</v>
      </c>
      <c r="E567" s="548" t="s">
        <v>104</v>
      </c>
      <c r="F567" s="634">
        <v>3618.6</v>
      </c>
      <c r="G567" s="623" t="s">
        <v>6976</v>
      </c>
      <c r="H567" s="548" t="s">
        <v>104</v>
      </c>
      <c r="I567" s="583" t="s">
        <v>6973</v>
      </c>
      <c r="J567" s="622" t="s">
        <v>1729</v>
      </c>
      <c r="K567" s="583" t="s">
        <v>1015</v>
      </c>
      <c r="L567" s="583" t="s">
        <v>992</v>
      </c>
      <c r="M567" s="625">
        <v>202156</v>
      </c>
      <c r="N567" s="620">
        <v>44494</v>
      </c>
      <c r="O567" s="684" t="s">
        <v>5505</v>
      </c>
      <c r="P567" s="503">
        <f t="shared" si="35"/>
        <v>10</v>
      </c>
      <c r="Q567" s="503">
        <f t="shared" si="36"/>
        <v>10</v>
      </c>
      <c r="R567" s="504" t="str">
        <f t="shared" si="37"/>
        <v>Gastos_custeados_por_captação</v>
      </c>
      <c r="S567" s="504" t="str">
        <f>IF(D567="","",IF(OR(D567=Plano!$A$1,D567=Plano!$B$1),"entrada","saída"))</f>
        <v>saída</v>
      </c>
      <c r="T567" s="511" t="s">
        <v>1059</v>
      </c>
      <c r="U567" s="511">
        <v>2225</v>
      </c>
      <c r="V567" s="541"/>
    </row>
    <row r="568" spans="1:22" s="545" customFormat="1" ht="45" customHeight="1" x14ac:dyDescent="0.2">
      <c r="A568" s="619">
        <f>IF(B568="","",COUNT('Diário 5º PA'!$A$5:$A$2634)+COUNT('Diário 6º PA'!$A$5:$A$2246)+COUNT('Diário 7º PA'!$A$5:$A$2271)+ROW()-4)</f>
        <v>4514</v>
      </c>
      <c r="B568" s="620">
        <v>44495</v>
      </c>
      <c r="C568" s="621">
        <v>44470</v>
      </c>
      <c r="D568" s="548" t="s">
        <v>104</v>
      </c>
      <c r="E568" s="548" t="s">
        <v>104</v>
      </c>
      <c r="F568" s="634">
        <v>2347.1999999999998</v>
      </c>
      <c r="G568" s="623" t="s">
        <v>6977</v>
      </c>
      <c r="H568" s="548" t="s">
        <v>104</v>
      </c>
      <c r="I568" s="583" t="s">
        <v>6973</v>
      </c>
      <c r="J568" s="622" t="s">
        <v>1729</v>
      </c>
      <c r="K568" s="583" t="s">
        <v>1015</v>
      </c>
      <c r="L568" s="583" t="s">
        <v>992</v>
      </c>
      <c r="M568" s="625">
        <v>202157</v>
      </c>
      <c r="N568" s="620">
        <v>44494</v>
      </c>
      <c r="O568" s="684" t="s">
        <v>5505</v>
      </c>
      <c r="P568" s="503">
        <f t="shared" si="35"/>
        <v>10</v>
      </c>
      <c r="Q568" s="503">
        <f t="shared" si="36"/>
        <v>10</v>
      </c>
      <c r="R568" s="504" t="str">
        <f t="shared" si="37"/>
        <v>Gastos_custeados_por_captação</v>
      </c>
      <c r="S568" s="504" t="str">
        <f>IF(D568="","",IF(OR(D568=Plano!$A$1,D568=Plano!$B$1),"entrada","saída"))</f>
        <v>saída</v>
      </c>
      <c r="T568" s="511" t="s">
        <v>1059</v>
      </c>
      <c r="U568" s="511">
        <v>2225</v>
      </c>
      <c r="V568" s="541"/>
    </row>
    <row r="569" spans="1:22" s="545" customFormat="1" ht="45" customHeight="1" x14ac:dyDescent="0.2">
      <c r="A569" s="619">
        <f>IF(B569="","",COUNT('Diário 5º PA'!$A$5:$A$2634)+COUNT('Diário 6º PA'!$A$5:$A$2246)+COUNT('Diário 7º PA'!$A$5:$A$2271)+ROW()-4)</f>
        <v>4515</v>
      </c>
      <c r="B569" s="620">
        <v>44495</v>
      </c>
      <c r="C569" s="621">
        <v>44470</v>
      </c>
      <c r="D569" s="548" t="s">
        <v>104</v>
      </c>
      <c r="E569" s="548" t="s">
        <v>104</v>
      </c>
      <c r="F569" s="634">
        <v>3591.22</v>
      </c>
      <c r="G569" s="623" t="s">
        <v>6978</v>
      </c>
      <c r="H569" s="548" t="s">
        <v>104</v>
      </c>
      <c r="I569" s="583" t="s">
        <v>6973</v>
      </c>
      <c r="J569" s="622" t="s">
        <v>1729</v>
      </c>
      <c r="K569" s="583" t="s">
        <v>1015</v>
      </c>
      <c r="L569" s="583" t="s">
        <v>992</v>
      </c>
      <c r="M569" s="625">
        <v>202153</v>
      </c>
      <c r="N569" s="620">
        <v>44494</v>
      </c>
      <c r="O569" s="684" t="s">
        <v>5505</v>
      </c>
      <c r="P569" s="503">
        <f t="shared" si="35"/>
        <v>10</v>
      </c>
      <c r="Q569" s="503">
        <f t="shared" si="36"/>
        <v>10</v>
      </c>
      <c r="R569" s="504" t="str">
        <f t="shared" si="37"/>
        <v>Gastos_custeados_por_captação</v>
      </c>
      <c r="S569" s="504" t="str">
        <f>IF(D569="","",IF(OR(D569=Plano!$A$1,D569=Plano!$B$1),"entrada","saída"))</f>
        <v>saída</v>
      </c>
      <c r="T569" s="511" t="s">
        <v>1059</v>
      </c>
      <c r="U569" s="511">
        <v>2225</v>
      </c>
      <c r="V569" s="541"/>
    </row>
    <row r="570" spans="1:22" s="545" customFormat="1" ht="45" customHeight="1" x14ac:dyDescent="0.2">
      <c r="A570" s="619">
        <f>IF(B570="","",COUNT('Diário 5º PA'!$A$5:$A$2634)+COUNT('Diário 6º PA'!$A$5:$A$2246)+COUNT('Diário 7º PA'!$A$5:$A$2271)+ROW()-4)</f>
        <v>4516</v>
      </c>
      <c r="B570" s="620">
        <v>44495</v>
      </c>
      <c r="C570" s="621">
        <v>44470</v>
      </c>
      <c r="D570" s="548" t="s">
        <v>104</v>
      </c>
      <c r="E570" s="548" t="s">
        <v>104</v>
      </c>
      <c r="F570" s="634">
        <v>2347.1999999999998</v>
      </c>
      <c r="G570" s="623" t="s">
        <v>6979</v>
      </c>
      <c r="H570" s="548" t="s">
        <v>104</v>
      </c>
      <c r="I570" s="583" t="s">
        <v>6973</v>
      </c>
      <c r="J570" s="622" t="s">
        <v>1729</v>
      </c>
      <c r="K570" s="583" t="s">
        <v>1015</v>
      </c>
      <c r="L570" s="583" t="s">
        <v>992</v>
      </c>
      <c r="M570" s="625">
        <v>202158</v>
      </c>
      <c r="N570" s="620">
        <v>44494</v>
      </c>
      <c r="O570" s="684" t="s">
        <v>5505</v>
      </c>
      <c r="P570" s="503">
        <f t="shared" si="35"/>
        <v>10</v>
      </c>
      <c r="Q570" s="503">
        <f t="shared" si="36"/>
        <v>10</v>
      </c>
      <c r="R570" s="504" t="str">
        <f t="shared" si="37"/>
        <v>Gastos_custeados_por_captação</v>
      </c>
      <c r="S570" s="504" t="str">
        <f>IF(D570="","",IF(OR(D570=Plano!$A$1,D570=Plano!$B$1),"entrada","saída"))</f>
        <v>saída</v>
      </c>
      <c r="T570" s="511" t="s">
        <v>1059</v>
      </c>
      <c r="U570" s="511">
        <v>2225</v>
      </c>
      <c r="V570" s="541"/>
    </row>
    <row r="571" spans="1:22" s="545" customFormat="1" ht="45" customHeight="1" x14ac:dyDescent="0.2">
      <c r="A571" s="619">
        <f>IF(B571="","",COUNT('Diário 5º PA'!$A$5:$A$2634)+COUNT('Diário 6º PA'!$A$5:$A$2246)+COUNT('Diário 7º PA'!$A$5:$A$2271)+ROW()-4)</f>
        <v>4517</v>
      </c>
      <c r="B571" s="620">
        <v>44495</v>
      </c>
      <c r="C571" s="621">
        <v>44470</v>
      </c>
      <c r="D571" s="548" t="s">
        <v>104</v>
      </c>
      <c r="E571" s="548" t="s">
        <v>104</v>
      </c>
      <c r="F571" s="634">
        <v>1369.2</v>
      </c>
      <c r="G571" s="623" t="s">
        <v>6980</v>
      </c>
      <c r="H571" s="548" t="s">
        <v>104</v>
      </c>
      <c r="I571" s="583" t="s">
        <v>6973</v>
      </c>
      <c r="J571" s="622" t="s">
        <v>1729</v>
      </c>
      <c r="K571" s="583" t="s">
        <v>1015</v>
      </c>
      <c r="L571" s="583" t="s">
        <v>992</v>
      </c>
      <c r="M571" s="625">
        <v>202155</v>
      </c>
      <c r="N571" s="620">
        <v>44494</v>
      </c>
      <c r="O571" s="684" t="s">
        <v>5505</v>
      </c>
      <c r="P571" s="503">
        <f t="shared" si="35"/>
        <v>10</v>
      </c>
      <c r="Q571" s="503">
        <f t="shared" si="36"/>
        <v>10</v>
      </c>
      <c r="R571" s="504" t="str">
        <f t="shared" si="37"/>
        <v>Gastos_custeados_por_captação</v>
      </c>
      <c r="S571" s="504" t="str">
        <f>IF(D571="","",IF(OR(D571=Plano!$A$1,D571=Plano!$B$1),"entrada","saída"))</f>
        <v>saída</v>
      </c>
      <c r="T571" s="511" t="s">
        <v>1059</v>
      </c>
      <c r="U571" s="511">
        <v>2225</v>
      </c>
      <c r="V571" s="541"/>
    </row>
    <row r="572" spans="1:22" s="545" customFormat="1" ht="45" customHeight="1" x14ac:dyDescent="0.2">
      <c r="A572" s="619">
        <f>IF(B572="","",COUNT('Diário 5º PA'!$A$5:$A$2634)+COUNT('Diário 6º PA'!$A$5:$A$2246)+COUNT('Diário 7º PA'!$A$5:$A$2271)+ROW()-4)</f>
        <v>4518</v>
      </c>
      <c r="B572" s="620">
        <v>44495</v>
      </c>
      <c r="C572" s="621">
        <v>44470</v>
      </c>
      <c r="D572" s="548" t="s">
        <v>104</v>
      </c>
      <c r="E572" s="548" t="s">
        <v>104</v>
      </c>
      <c r="F572" s="634">
        <v>4381.4399999999996</v>
      </c>
      <c r="G572" s="623" t="s">
        <v>6981</v>
      </c>
      <c r="H572" s="548" t="s">
        <v>104</v>
      </c>
      <c r="I572" s="583" t="s">
        <v>6973</v>
      </c>
      <c r="J572" s="622" t="s">
        <v>1729</v>
      </c>
      <c r="K572" s="583" t="s">
        <v>1015</v>
      </c>
      <c r="L572" s="583" t="s">
        <v>992</v>
      </c>
      <c r="M572" s="625">
        <v>202159</v>
      </c>
      <c r="N572" s="620">
        <v>44494</v>
      </c>
      <c r="O572" s="684" t="s">
        <v>5505</v>
      </c>
      <c r="P572" s="503">
        <f t="shared" si="35"/>
        <v>10</v>
      </c>
      <c r="Q572" s="503">
        <f t="shared" si="36"/>
        <v>10</v>
      </c>
      <c r="R572" s="504" t="str">
        <f t="shared" si="37"/>
        <v>Gastos_custeados_por_captação</v>
      </c>
      <c r="S572" s="504" t="str">
        <f>IF(D572="","",IF(OR(D572=Plano!$A$1,D572=Plano!$B$1),"entrada","saída"))</f>
        <v>saída</v>
      </c>
      <c r="T572" s="511" t="s">
        <v>1059</v>
      </c>
      <c r="U572" s="511">
        <v>2225</v>
      </c>
      <c r="V572" s="541"/>
    </row>
    <row r="573" spans="1:22" s="545" customFormat="1" ht="45" customHeight="1" x14ac:dyDescent="0.2">
      <c r="A573" s="619">
        <f>IF(B573="","",COUNT('Diário 5º PA'!$A$5:$A$2634)+COUNT('Diário 6º PA'!$A$5:$A$2246)+COUNT('Diário 7º PA'!$A$5:$A$2271)+ROW()-4)</f>
        <v>4519</v>
      </c>
      <c r="B573" s="620">
        <v>44495</v>
      </c>
      <c r="C573" s="621">
        <v>44470</v>
      </c>
      <c r="D573" s="548" t="s">
        <v>104</v>
      </c>
      <c r="E573" s="548" t="s">
        <v>104</v>
      </c>
      <c r="F573" s="634">
        <v>2394.14</v>
      </c>
      <c r="G573" s="623" t="s">
        <v>6982</v>
      </c>
      <c r="H573" s="548" t="s">
        <v>104</v>
      </c>
      <c r="I573" s="583" t="s">
        <v>6973</v>
      </c>
      <c r="J573" s="622" t="s">
        <v>1729</v>
      </c>
      <c r="K573" s="583" t="s">
        <v>1015</v>
      </c>
      <c r="L573" s="583" t="s">
        <v>992</v>
      </c>
      <c r="M573" s="625">
        <v>202154</v>
      </c>
      <c r="N573" s="620">
        <v>44494</v>
      </c>
      <c r="O573" s="684" t="s">
        <v>5505</v>
      </c>
      <c r="P573" s="503">
        <f t="shared" si="35"/>
        <v>10</v>
      </c>
      <c r="Q573" s="503">
        <f t="shared" si="36"/>
        <v>10</v>
      </c>
      <c r="R573" s="504" t="str">
        <f t="shared" si="37"/>
        <v>Gastos_custeados_por_captação</v>
      </c>
      <c r="S573" s="504" t="str">
        <f>IF(D573="","",IF(OR(D573=Plano!$A$1,D573=Plano!$B$1),"entrada","saída"))</f>
        <v>saída</v>
      </c>
      <c r="T573" s="511" t="s">
        <v>1059</v>
      </c>
      <c r="U573" s="511">
        <v>2225</v>
      </c>
      <c r="V573" s="541"/>
    </row>
    <row r="574" spans="1:22" s="545" customFormat="1" ht="45" customHeight="1" x14ac:dyDescent="0.2">
      <c r="A574" s="619">
        <f>IF(B574="","",COUNT('Diário 5º PA'!$A$5:$A$2634)+COUNT('Diário 6º PA'!$A$5:$A$2246)+COUNT('Diário 7º PA'!$A$5:$A$2271)+ROW()-4)</f>
        <v>4520</v>
      </c>
      <c r="B574" s="620">
        <v>44495</v>
      </c>
      <c r="C574" s="621">
        <v>44470</v>
      </c>
      <c r="D574" s="548" t="s">
        <v>104</v>
      </c>
      <c r="E574" s="548" t="s">
        <v>104</v>
      </c>
      <c r="F574" s="634">
        <v>836.33</v>
      </c>
      <c r="G574" s="623" t="s">
        <v>6983</v>
      </c>
      <c r="H574" s="548" t="s">
        <v>104</v>
      </c>
      <c r="I574" s="583" t="s">
        <v>6974</v>
      </c>
      <c r="J574" s="622" t="s">
        <v>444</v>
      </c>
      <c r="K574" s="583" t="s">
        <v>1015</v>
      </c>
      <c r="L574" s="583" t="s">
        <v>992</v>
      </c>
      <c r="M574" s="625">
        <v>2021534</v>
      </c>
      <c r="N574" s="620">
        <v>44494</v>
      </c>
      <c r="O574" s="684" t="s">
        <v>5505</v>
      </c>
      <c r="P574" s="503">
        <f t="shared" si="35"/>
        <v>10</v>
      </c>
      <c r="Q574" s="503">
        <f t="shared" si="36"/>
        <v>10</v>
      </c>
      <c r="R574" s="504" t="str">
        <f t="shared" si="37"/>
        <v>Gastos_custeados_por_captação</v>
      </c>
      <c r="S574" s="504" t="str">
        <f>IF(D574="","",IF(OR(D574=Plano!$A$1,D574=Plano!$B$1),"entrada","saída"))</f>
        <v>saída</v>
      </c>
      <c r="T574" s="511" t="s">
        <v>994</v>
      </c>
      <c r="U574" s="511">
        <v>2256</v>
      </c>
      <c r="V574" s="541"/>
    </row>
    <row r="575" spans="1:22" ht="78.75" customHeight="1" x14ac:dyDescent="0.2">
      <c r="A575" s="619">
        <f>IF(B575="","",COUNT('Diário 5º PA'!$A$5:$A$2634)+COUNT('Diário 6º PA'!$A$5:$A$2246)+COUNT('Diário 7º PA'!$A$5:$A$2271)+ROW()-4)</f>
        <v>4521</v>
      </c>
      <c r="B575" s="620">
        <v>44496</v>
      </c>
      <c r="C575" s="624">
        <v>44470</v>
      </c>
      <c r="D575" s="548" t="s">
        <v>99</v>
      </c>
      <c r="E575" s="548" t="s">
        <v>276</v>
      </c>
      <c r="F575" s="622">
        <v>-120.63</v>
      </c>
      <c r="G575" s="623" t="s">
        <v>1618</v>
      </c>
      <c r="H575" s="548" t="s">
        <v>115</v>
      </c>
      <c r="I575" s="583" t="s">
        <v>983</v>
      </c>
      <c r="J575" s="548" t="s">
        <v>850</v>
      </c>
      <c r="K575" s="583" t="s">
        <v>946</v>
      </c>
      <c r="L575" s="583" t="s">
        <v>947</v>
      </c>
      <c r="M575" s="619" t="s">
        <v>114</v>
      </c>
      <c r="N575" s="620">
        <v>44496</v>
      </c>
      <c r="O575" s="684" t="s">
        <v>67</v>
      </c>
      <c r="P575" s="503">
        <f t="shared" si="35"/>
        <v>10</v>
      </c>
      <c r="Q575" s="503">
        <f t="shared" si="36"/>
        <v>10</v>
      </c>
      <c r="R575" s="504" t="str">
        <f t="shared" si="37"/>
        <v>Gastos_Gerais</v>
      </c>
      <c r="S575" s="504" t="str">
        <f>IF(D575="","",IF(OR(D575=Plano!$A$1,D575=Plano!$B$1),"entrada","saída"))</f>
        <v>saída</v>
      </c>
      <c r="T575" s="546" t="s">
        <v>114</v>
      </c>
      <c r="U575" s="546" t="s">
        <v>114</v>
      </c>
      <c r="V575" s="541"/>
    </row>
    <row r="576" spans="1:22" ht="39.950000000000003" customHeight="1" x14ac:dyDescent="0.2">
      <c r="A576" s="619">
        <f>IF(B576="","",COUNT('Diário 5º PA'!$A$5:$A$2634)+COUNT('Diário 6º PA'!$A$5:$A$2246)+COUNT('Diário 7º PA'!$A$5:$A$2271)+ROW()-4)</f>
        <v>4522</v>
      </c>
      <c r="B576" s="620">
        <v>44496</v>
      </c>
      <c r="C576" s="624">
        <v>44470</v>
      </c>
      <c r="D576" s="548" t="s">
        <v>88</v>
      </c>
      <c r="E576" s="548" t="s">
        <v>194</v>
      </c>
      <c r="F576" s="622">
        <v>4078.8</v>
      </c>
      <c r="G576" s="623" t="s">
        <v>1609</v>
      </c>
      <c r="H576" s="548" t="s">
        <v>114</v>
      </c>
      <c r="I576" s="583" t="s">
        <v>532</v>
      </c>
      <c r="J576" s="548" t="s">
        <v>1261</v>
      </c>
      <c r="K576" s="583" t="s">
        <v>560</v>
      </c>
      <c r="L576" s="583" t="s">
        <v>992</v>
      </c>
      <c r="M576" s="619">
        <v>287219</v>
      </c>
      <c r="N576" s="620">
        <v>44499</v>
      </c>
      <c r="O576" s="684" t="s">
        <v>67</v>
      </c>
      <c r="P576" s="503">
        <f t="shared" ref="P576:P639" si="38">IF(B576=0,0,IF(YEAR(B576)=$Q$1,MONTH(B576)-$P$1+1,(YEAR(B576)-$Q$1)*12-$P$1+1+MONTH(B576)))</f>
        <v>10</v>
      </c>
      <c r="Q576" s="503">
        <f t="shared" ref="Q576:Q639" si="39">IF(C576=0,0,IF(YEAR(C576)=$Q$1,MONTH(C576)-$P$1+1,(YEAR(C576)-$Q$1)*12-$P$1+1+MONTH(C576)))</f>
        <v>10</v>
      </c>
      <c r="R576" s="504" t="str">
        <f t="shared" ref="R576:R639" si="40">SUBSTITUTE(D576," ","_")</f>
        <v>Gastos_com_Pessoal</v>
      </c>
      <c r="S576" s="504" t="str">
        <f>IF(D576="","",IF(OR(D576=Plano!$A$1,D576=Plano!$B$1),"entrada","saída"))</f>
        <v>saída</v>
      </c>
      <c r="T576" s="546" t="s">
        <v>114</v>
      </c>
      <c r="U576" s="546" t="s">
        <v>114</v>
      </c>
      <c r="V576" s="541"/>
    </row>
    <row r="577" spans="1:22" ht="39.950000000000003" customHeight="1" x14ac:dyDescent="0.2">
      <c r="A577" s="619">
        <f>IF(B577="","",COUNT('Diário 5º PA'!$A$5:$A$2634)+COUNT('Diário 6º PA'!$A$5:$A$2246)+COUNT('Diário 7º PA'!$A$5:$A$2271)+ROW()-4)</f>
        <v>4523</v>
      </c>
      <c r="B577" s="620">
        <v>44496</v>
      </c>
      <c r="C577" s="624">
        <v>44470</v>
      </c>
      <c r="D577" s="548" t="s">
        <v>88</v>
      </c>
      <c r="E577" s="548" t="s">
        <v>194</v>
      </c>
      <c r="F577" s="622">
        <v>22377.66</v>
      </c>
      <c r="G577" s="623" t="s">
        <v>1260</v>
      </c>
      <c r="H577" s="548" t="s">
        <v>114</v>
      </c>
      <c r="I577" s="583" t="s">
        <v>532</v>
      </c>
      <c r="J577" s="548" t="s">
        <v>1261</v>
      </c>
      <c r="K577" s="583" t="s">
        <v>560</v>
      </c>
      <c r="L577" s="583" t="s">
        <v>992</v>
      </c>
      <c r="M577" s="619">
        <v>288691</v>
      </c>
      <c r="N577" s="620">
        <v>44499</v>
      </c>
      <c r="O577" s="684" t="s">
        <v>67</v>
      </c>
      <c r="P577" s="503">
        <f t="shared" si="38"/>
        <v>10</v>
      </c>
      <c r="Q577" s="503">
        <f t="shared" si="39"/>
        <v>10</v>
      </c>
      <c r="R577" s="504" t="str">
        <f t="shared" si="40"/>
        <v>Gastos_com_Pessoal</v>
      </c>
      <c r="S577" s="504" t="str">
        <f>IF(D577="","",IF(OR(D577=Plano!$A$1,D577=Plano!$B$1),"entrada","saída"))</f>
        <v>saída</v>
      </c>
      <c r="T577" s="546" t="s">
        <v>114</v>
      </c>
      <c r="U577" s="546" t="s">
        <v>114</v>
      </c>
      <c r="V577" s="541"/>
    </row>
    <row r="578" spans="1:22" ht="39.950000000000003" customHeight="1" x14ac:dyDescent="0.2">
      <c r="A578" s="619">
        <f>IF(B578="","",COUNT('Diário 5º PA'!$A$5:$A$2634)+COUNT('Diário 6º PA'!$A$5:$A$2246)+COUNT('Diário 7º PA'!$A$5:$A$2271)+ROW()-4)</f>
        <v>4524</v>
      </c>
      <c r="B578" s="620">
        <v>44496</v>
      </c>
      <c r="C578" s="624">
        <v>44470</v>
      </c>
      <c r="D578" s="548" t="s">
        <v>99</v>
      </c>
      <c r="E578" s="548" t="s">
        <v>364</v>
      </c>
      <c r="F578" s="622">
        <v>600</v>
      </c>
      <c r="G578" s="623" t="s">
        <v>5926</v>
      </c>
      <c r="H578" s="548" t="s">
        <v>116</v>
      </c>
      <c r="I578" s="583" t="s">
        <v>2089</v>
      </c>
      <c r="J578" s="548" t="s">
        <v>5927</v>
      </c>
      <c r="K578" s="583" t="s">
        <v>560</v>
      </c>
      <c r="L578" s="583" t="s">
        <v>114</v>
      </c>
      <c r="M578" s="619" t="s">
        <v>114</v>
      </c>
      <c r="N578" s="620">
        <v>44496</v>
      </c>
      <c r="O578" s="684" t="s">
        <v>67</v>
      </c>
      <c r="P578" s="503">
        <f t="shared" si="38"/>
        <v>10</v>
      </c>
      <c r="Q578" s="503">
        <f t="shared" si="39"/>
        <v>10</v>
      </c>
      <c r="R578" s="504" t="str">
        <f t="shared" si="40"/>
        <v>Gastos_Gerais</v>
      </c>
      <c r="S578" s="504" t="str">
        <f>IF(D578="","",IF(OR(D578=Plano!$A$1,D578=Plano!$B$1),"entrada","saída"))</f>
        <v>saída</v>
      </c>
      <c r="T578" s="505" t="s">
        <v>994</v>
      </c>
      <c r="U578" s="505">
        <v>2288</v>
      </c>
      <c r="V578" s="541"/>
    </row>
    <row r="579" spans="1:22" ht="40.5" customHeight="1" x14ac:dyDescent="0.2">
      <c r="A579" s="619">
        <f>IF(B579="","",COUNT('Diário 5º PA'!$A$5:$A$2634)+COUNT('Diário 6º PA'!$A$5:$A$2246)+COUNT('Diário 7º PA'!$A$5:$A$2271)+ROW()-4)</f>
        <v>4525</v>
      </c>
      <c r="B579" s="620">
        <v>44496</v>
      </c>
      <c r="C579" s="624">
        <v>44470</v>
      </c>
      <c r="D579" s="548" t="s">
        <v>99</v>
      </c>
      <c r="E579" s="548" t="s">
        <v>236</v>
      </c>
      <c r="F579" s="622">
        <v>600</v>
      </c>
      <c r="G579" s="623" t="s">
        <v>5929</v>
      </c>
      <c r="H579" s="548" t="s">
        <v>116</v>
      </c>
      <c r="I579" s="583" t="s">
        <v>2089</v>
      </c>
      <c r="J579" s="548" t="s">
        <v>5927</v>
      </c>
      <c r="K579" s="583" t="s">
        <v>560</v>
      </c>
      <c r="L579" s="583" t="s">
        <v>114</v>
      </c>
      <c r="M579" s="619" t="s">
        <v>114</v>
      </c>
      <c r="N579" s="620">
        <v>44496</v>
      </c>
      <c r="O579" s="684" t="s">
        <v>67</v>
      </c>
      <c r="P579" s="503">
        <f t="shared" si="38"/>
        <v>10</v>
      </c>
      <c r="Q579" s="503">
        <f t="shared" si="39"/>
        <v>10</v>
      </c>
      <c r="R579" s="504" t="str">
        <f t="shared" si="40"/>
        <v>Gastos_Gerais</v>
      </c>
      <c r="S579" s="504" t="str">
        <f>IF(D579="","",IF(OR(D579=Plano!$A$1,D579=Plano!$B$1),"entrada","saída"))</f>
        <v>saída</v>
      </c>
      <c r="T579" s="505" t="s">
        <v>994</v>
      </c>
      <c r="U579" s="505">
        <v>2307</v>
      </c>
      <c r="V579" s="541"/>
    </row>
    <row r="580" spans="1:22" ht="148.5" customHeight="1" x14ac:dyDescent="0.2">
      <c r="A580" s="619">
        <f>IF(B580="","",COUNT('Diário 5º PA'!$A$5:$A$2634)+COUNT('Diário 6º PA'!$A$5:$A$2246)+COUNT('Diário 7º PA'!$A$5:$A$2271)+ROW()-4)</f>
        <v>4526</v>
      </c>
      <c r="B580" s="620">
        <v>44496</v>
      </c>
      <c r="C580" s="624">
        <v>44440</v>
      </c>
      <c r="D580" s="548" t="s">
        <v>99</v>
      </c>
      <c r="E580" s="548" t="s">
        <v>364</v>
      </c>
      <c r="F580" s="622">
        <v>783.92</v>
      </c>
      <c r="G580" s="623" t="s">
        <v>864</v>
      </c>
      <c r="H580" s="548" t="s">
        <v>122</v>
      </c>
      <c r="I580" s="583" t="s">
        <v>4590</v>
      </c>
      <c r="J580" s="548" t="s">
        <v>865</v>
      </c>
      <c r="K580" s="583" t="s">
        <v>991</v>
      </c>
      <c r="L580" s="583" t="s">
        <v>992</v>
      </c>
      <c r="M580" s="619" t="s">
        <v>1532</v>
      </c>
      <c r="N580" s="620">
        <v>44489</v>
      </c>
      <c r="O580" s="684" t="s">
        <v>67</v>
      </c>
      <c r="P580" s="503">
        <f t="shared" si="38"/>
        <v>10</v>
      </c>
      <c r="Q580" s="503">
        <f t="shared" si="39"/>
        <v>9</v>
      </c>
      <c r="R580" s="504" t="str">
        <f t="shared" si="40"/>
        <v>Gastos_Gerais</v>
      </c>
      <c r="S580" s="504" t="str">
        <f>IF(D580="","",IF(OR(D580=Plano!$A$1,D580=Plano!$B$1),"entrada","saída"))</f>
        <v>saída</v>
      </c>
      <c r="T580" s="505" t="s">
        <v>994</v>
      </c>
      <c r="U580" s="505">
        <v>1990</v>
      </c>
      <c r="V580" s="541"/>
    </row>
    <row r="581" spans="1:22" ht="68.25" customHeight="1" x14ac:dyDescent="0.2">
      <c r="A581" s="619">
        <f>IF(B581="","",COUNT('Diário 5º PA'!$A$5:$A$2634)+COUNT('Diário 6º PA'!$A$5:$A$2246)+COUNT('Diário 7º PA'!$A$5:$A$2271)+ROW()-4)</f>
        <v>4527</v>
      </c>
      <c r="B581" s="620">
        <v>44496</v>
      </c>
      <c r="C581" s="628">
        <v>44470</v>
      </c>
      <c r="D581" s="548" t="s">
        <v>99</v>
      </c>
      <c r="E581" s="548" t="s">
        <v>358</v>
      </c>
      <c r="F581" s="622">
        <v>1500</v>
      </c>
      <c r="G581" s="623" t="s">
        <v>5563</v>
      </c>
      <c r="H581" s="548" t="s">
        <v>128</v>
      </c>
      <c r="I581" s="583" t="s">
        <v>5974</v>
      </c>
      <c r="J581" s="548" t="s">
        <v>5564</v>
      </c>
      <c r="K581" s="583" t="s">
        <v>991</v>
      </c>
      <c r="L581" s="583" t="s">
        <v>992</v>
      </c>
      <c r="M581" s="619" t="s">
        <v>1294</v>
      </c>
      <c r="N581" s="620">
        <v>44495</v>
      </c>
      <c r="O581" s="684" t="s">
        <v>67</v>
      </c>
      <c r="P581" s="503">
        <f t="shared" si="38"/>
        <v>10</v>
      </c>
      <c r="Q581" s="503">
        <f t="shared" si="39"/>
        <v>10</v>
      </c>
      <c r="R581" s="504" t="str">
        <f t="shared" si="40"/>
        <v>Gastos_Gerais</v>
      </c>
      <c r="S581" s="504" t="str">
        <f>IF(D581="","",IF(OR(D581=Plano!$A$1,D581=Plano!$B$1),"entrada","saída"))</f>
        <v>saída</v>
      </c>
      <c r="T581" s="505" t="s">
        <v>994</v>
      </c>
      <c r="U581" s="505">
        <v>2227</v>
      </c>
      <c r="V581" s="541"/>
    </row>
    <row r="582" spans="1:22" ht="71.25" customHeight="1" x14ac:dyDescent="0.2">
      <c r="A582" s="619">
        <f>IF(B582="","",COUNT('Diário 5º PA'!$A$5:$A$2634)+COUNT('Diário 6º PA'!$A$5:$A$2246)+COUNT('Diário 7º PA'!$A$5:$A$2271)+ROW()-4)</f>
        <v>4528</v>
      </c>
      <c r="B582" s="620">
        <v>44496</v>
      </c>
      <c r="C582" s="624">
        <v>44470</v>
      </c>
      <c r="D582" s="548" t="s">
        <v>99</v>
      </c>
      <c r="E582" s="548" t="s">
        <v>276</v>
      </c>
      <c r="F582" s="622">
        <v>456.74</v>
      </c>
      <c r="G582" s="623" t="s">
        <v>5975</v>
      </c>
      <c r="H582" s="548" t="s">
        <v>115</v>
      </c>
      <c r="I582" s="583" t="s">
        <v>465</v>
      </c>
      <c r="J582" s="548" t="s">
        <v>114</v>
      </c>
      <c r="K582" s="583" t="s">
        <v>466</v>
      </c>
      <c r="L582" s="583" t="s">
        <v>629</v>
      </c>
      <c r="M582" s="619" t="s">
        <v>5976</v>
      </c>
      <c r="N582" s="620">
        <v>44496</v>
      </c>
      <c r="O582" s="684" t="s">
        <v>67</v>
      </c>
      <c r="P582" s="503">
        <f t="shared" si="38"/>
        <v>10</v>
      </c>
      <c r="Q582" s="503">
        <f t="shared" si="39"/>
        <v>10</v>
      </c>
      <c r="R582" s="504" t="str">
        <f t="shared" si="40"/>
        <v>Gastos_Gerais</v>
      </c>
      <c r="S582" s="504" t="str">
        <f>IF(D582="","",IF(OR(D582=Plano!$A$1,D582=Plano!$B$1),"entrada","saída"))</f>
        <v>saída</v>
      </c>
      <c r="T582" s="505" t="s">
        <v>114</v>
      </c>
      <c r="U582" s="505" t="s">
        <v>114</v>
      </c>
      <c r="V582" s="541"/>
    </row>
    <row r="583" spans="1:22" ht="52.5" customHeight="1" x14ac:dyDescent="0.2">
      <c r="A583" s="619">
        <f>IF(B583="","",COUNT('Diário 5º PA'!$A$5:$A$2634)+COUNT('Diário 6º PA'!$A$5:$A$2246)+COUNT('Diário 7º PA'!$A$5:$A$2271)+ROW()-4)</f>
        <v>4529</v>
      </c>
      <c r="B583" s="620">
        <v>44496</v>
      </c>
      <c r="C583" s="621">
        <v>44470</v>
      </c>
      <c r="D583" s="548" t="s">
        <v>99</v>
      </c>
      <c r="E583" s="548" t="s">
        <v>272</v>
      </c>
      <c r="F583" s="622">
        <v>10.45</v>
      </c>
      <c r="G583" s="623" t="s">
        <v>5977</v>
      </c>
      <c r="H583" s="548" t="s">
        <v>122</v>
      </c>
      <c r="I583" s="583" t="s">
        <v>949</v>
      </c>
      <c r="J583" s="548" t="s">
        <v>950</v>
      </c>
      <c r="K583" s="583" t="s">
        <v>951</v>
      </c>
      <c r="L583" s="583" t="s">
        <v>947</v>
      </c>
      <c r="M583" s="625" t="s">
        <v>114</v>
      </c>
      <c r="N583" s="620">
        <v>44496</v>
      </c>
      <c r="O583" s="684" t="s">
        <v>67</v>
      </c>
      <c r="P583" s="503">
        <f t="shared" si="38"/>
        <v>10</v>
      </c>
      <c r="Q583" s="503">
        <f t="shared" si="39"/>
        <v>10</v>
      </c>
      <c r="R583" s="504" t="str">
        <f t="shared" si="40"/>
        <v>Gastos_Gerais</v>
      </c>
      <c r="S583" s="504" t="str">
        <f>IF(D583="","",IF(OR(D583=Plano!$A$1,D583=Plano!$B$1),"entrada","saída"))</f>
        <v>saída</v>
      </c>
      <c r="T583" s="511" t="s">
        <v>114</v>
      </c>
      <c r="U583" s="511" t="s">
        <v>114</v>
      </c>
      <c r="V583" s="541"/>
    </row>
    <row r="584" spans="1:22" ht="54" customHeight="1" x14ac:dyDescent="0.2">
      <c r="A584" s="619">
        <f>IF(B584="","",COUNT('Diário 5º PA'!$A$5:$A$2634)+COUNT('Diário 6º PA'!$A$5:$A$2246)+COUNT('Diário 7º PA'!$A$5:$A$2271)+ROW()-4)</f>
        <v>4530</v>
      </c>
      <c r="B584" s="620">
        <v>44496</v>
      </c>
      <c r="C584" s="621">
        <v>44470</v>
      </c>
      <c r="D584" s="548" t="s">
        <v>99</v>
      </c>
      <c r="E584" s="548" t="s">
        <v>272</v>
      </c>
      <c r="F584" s="622">
        <v>10.45</v>
      </c>
      <c r="G584" s="623" t="s">
        <v>5978</v>
      </c>
      <c r="H584" s="548" t="s">
        <v>128</v>
      </c>
      <c r="I584" s="583" t="s">
        <v>949</v>
      </c>
      <c r="J584" s="548" t="s">
        <v>950</v>
      </c>
      <c r="K584" s="583" t="s">
        <v>951</v>
      </c>
      <c r="L584" s="583" t="s">
        <v>947</v>
      </c>
      <c r="M584" s="625" t="s">
        <v>114</v>
      </c>
      <c r="N584" s="620">
        <v>44496</v>
      </c>
      <c r="O584" s="684" t="s">
        <v>67</v>
      </c>
      <c r="P584" s="503">
        <f t="shared" si="38"/>
        <v>10</v>
      </c>
      <c r="Q584" s="503">
        <f t="shared" si="39"/>
        <v>10</v>
      </c>
      <c r="R584" s="504" t="str">
        <f t="shared" si="40"/>
        <v>Gastos_Gerais</v>
      </c>
      <c r="S584" s="504" t="str">
        <f>IF(D584="","",IF(OR(D584=Plano!$A$1,D584=Plano!$B$1),"entrada","saída"))</f>
        <v>saída</v>
      </c>
      <c r="T584" s="511" t="s">
        <v>114</v>
      </c>
      <c r="U584" s="511" t="s">
        <v>114</v>
      </c>
      <c r="V584" s="541"/>
    </row>
    <row r="585" spans="1:22" s="549" customFormat="1" ht="54" customHeight="1" x14ac:dyDescent="0.2">
      <c r="A585" s="619">
        <f>IF(B585="","",COUNT('Diário 5º PA'!$A$5:$A$2634)+COUNT('Diário 6º PA'!$A$5:$A$2246)+COUNT('Diário 7º PA'!$A$5:$A$2271)+ROW()-4)</f>
        <v>4531</v>
      </c>
      <c r="B585" s="620">
        <v>44496</v>
      </c>
      <c r="C585" s="621">
        <v>44470</v>
      </c>
      <c r="D585" s="548" t="s">
        <v>104</v>
      </c>
      <c r="E585" s="548" t="s">
        <v>104</v>
      </c>
      <c r="F585" s="634">
        <v>2462.5500000000002</v>
      </c>
      <c r="G585" s="623" t="s">
        <v>7029</v>
      </c>
      <c r="H585" s="548" t="s">
        <v>104</v>
      </c>
      <c r="I585" s="583" t="s">
        <v>7019</v>
      </c>
      <c r="J585" s="622" t="s">
        <v>7024</v>
      </c>
      <c r="K585" s="583" t="s">
        <v>1015</v>
      </c>
      <c r="L585" s="583" t="s">
        <v>1029</v>
      </c>
      <c r="M585" s="625">
        <v>1400</v>
      </c>
      <c r="N585" s="620">
        <v>44495</v>
      </c>
      <c r="O585" s="684" t="s">
        <v>5505</v>
      </c>
      <c r="P585" s="503">
        <f t="shared" si="38"/>
        <v>10</v>
      </c>
      <c r="Q585" s="503">
        <f t="shared" si="39"/>
        <v>10</v>
      </c>
      <c r="R585" s="504" t="str">
        <f t="shared" si="40"/>
        <v>Gastos_custeados_por_captação</v>
      </c>
      <c r="S585" s="504" t="str">
        <f>IF(D585="","",IF(OR(D585=Plano!$A$1,D585=Plano!$B$1),"entrada","saída"))</f>
        <v>saída</v>
      </c>
      <c r="T585" s="511" t="s">
        <v>994</v>
      </c>
      <c r="U585" s="511">
        <v>2255</v>
      </c>
      <c r="V585" s="541"/>
    </row>
    <row r="586" spans="1:22" s="549" customFormat="1" ht="54" customHeight="1" x14ac:dyDescent="0.2">
      <c r="A586" s="619">
        <f>IF(B586="","",COUNT('Diário 5º PA'!$A$5:$A$2634)+COUNT('Diário 6º PA'!$A$5:$A$2246)+COUNT('Diário 7º PA'!$A$5:$A$2271)+ROW()-4)</f>
        <v>4532</v>
      </c>
      <c r="B586" s="620">
        <v>44496</v>
      </c>
      <c r="C586" s="621">
        <v>44470</v>
      </c>
      <c r="D586" s="548" t="s">
        <v>104</v>
      </c>
      <c r="E586" s="548" t="s">
        <v>104</v>
      </c>
      <c r="F586" s="634">
        <v>840</v>
      </c>
      <c r="G586" s="623" t="s">
        <v>7030</v>
      </c>
      <c r="H586" s="548" t="s">
        <v>104</v>
      </c>
      <c r="I586" s="583" t="s">
        <v>7020</v>
      </c>
      <c r="J586" s="622" t="s">
        <v>7025</v>
      </c>
      <c r="K586" s="583" t="s">
        <v>1015</v>
      </c>
      <c r="L586" s="583" t="s">
        <v>1029</v>
      </c>
      <c r="M586" s="625">
        <v>1398</v>
      </c>
      <c r="N586" s="620">
        <v>44494</v>
      </c>
      <c r="O586" s="684" t="s">
        <v>5505</v>
      </c>
      <c r="P586" s="503">
        <f t="shared" si="38"/>
        <v>10</v>
      </c>
      <c r="Q586" s="503">
        <f t="shared" si="39"/>
        <v>10</v>
      </c>
      <c r="R586" s="504" t="str">
        <f t="shared" si="40"/>
        <v>Gastos_custeados_por_captação</v>
      </c>
      <c r="S586" s="504" t="str">
        <f>IF(D586="","",IF(OR(D586=Plano!$A$1,D586=Plano!$B$1),"entrada","saída"))</f>
        <v>saída</v>
      </c>
      <c r="T586" s="511" t="s">
        <v>994</v>
      </c>
      <c r="U586" s="511">
        <v>2196</v>
      </c>
      <c r="V586" s="541"/>
    </row>
    <row r="587" spans="1:22" s="549" customFormat="1" ht="54" customHeight="1" x14ac:dyDescent="0.2">
      <c r="A587" s="619">
        <f>IF(B587="","",COUNT('Diário 5º PA'!$A$5:$A$2634)+COUNT('Diário 6º PA'!$A$5:$A$2246)+COUNT('Diário 7º PA'!$A$5:$A$2271)+ROW()-4)</f>
        <v>4533</v>
      </c>
      <c r="B587" s="620">
        <v>44496</v>
      </c>
      <c r="C587" s="621">
        <v>44470</v>
      </c>
      <c r="D587" s="548" t="s">
        <v>104</v>
      </c>
      <c r="E587" s="548" t="s">
        <v>104</v>
      </c>
      <c r="F587" s="634">
        <v>3600</v>
      </c>
      <c r="G587" s="623" t="s">
        <v>7031</v>
      </c>
      <c r="H587" s="548" t="s">
        <v>104</v>
      </c>
      <c r="I587" s="583" t="s">
        <v>7021</v>
      </c>
      <c r="J587" s="622" t="s">
        <v>7026</v>
      </c>
      <c r="K587" s="583" t="s">
        <v>1015</v>
      </c>
      <c r="L587" s="583" t="s">
        <v>992</v>
      </c>
      <c r="M587" s="625">
        <v>20215</v>
      </c>
      <c r="N587" s="620">
        <v>44495</v>
      </c>
      <c r="O587" s="684" t="s">
        <v>5505</v>
      </c>
      <c r="P587" s="503">
        <f t="shared" si="38"/>
        <v>10</v>
      </c>
      <c r="Q587" s="503">
        <f t="shared" si="39"/>
        <v>10</v>
      </c>
      <c r="R587" s="504" t="str">
        <f t="shared" si="40"/>
        <v>Gastos_custeados_por_captação</v>
      </c>
      <c r="S587" s="504" t="str">
        <f>IF(D587="","",IF(OR(D587=Plano!$A$1,D587=Plano!$B$1),"entrada","saída"))</f>
        <v>saída</v>
      </c>
      <c r="T587" s="511" t="s">
        <v>994</v>
      </c>
      <c r="U587" s="511">
        <v>2195</v>
      </c>
      <c r="V587" s="541"/>
    </row>
    <row r="588" spans="1:22" s="549" customFormat="1" ht="54" customHeight="1" x14ac:dyDescent="0.2">
      <c r="A588" s="619">
        <f>IF(B588="","",COUNT('Diário 5º PA'!$A$5:$A$2634)+COUNT('Diário 6º PA'!$A$5:$A$2246)+COUNT('Diário 7º PA'!$A$5:$A$2271)+ROW()-4)</f>
        <v>4534</v>
      </c>
      <c r="B588" s="620">
        <v>44496</v>
      </c>
      <c r="C588" s="621">
        <v>44470</v>
      </c>
      <c r="D588" s="548" t="s">
        <v>104</v>
      </c>
      <c r="E588" s="548" t="s">
        <v>104</v>
      </c>
      <c r="F588" s="634">
        <v>2000</v>
      </c>
      <c r="G588" s="623" t="s">
        <v>7032</v>
      </c>
      <c r="H588" s="548" t="s">
        <v>104</v>
      </c>
      <c r="I588" s="583" t="s">
        <v>7022</v>
      </c>
      <c r="J588" s="622" t="s">
        <v>7027</v>
      </c>
      <c r="K588" s="583" t="s">
        <v>1015</v>
      </c>
      <c r="L588" s="583" t="s">
        <v>992</v>
      </c>
      <c r="M588" s="625">
        <v>20214</v>
      </c>
      <c r="N588" s="620">
        <v>44496</v>
      </c>
      <c r="O588" s="684" t="s">
        <v>5505</v>
      </c>
      <c r="P588" s="503">
        <f t="shared" si="38"/>
        <v>10</v>
      </c>
      <c r="Q588" s="503">
        <f t="shared" si="39"/>
        <v>10</v>
      </c>
      <c r="R588" s="504" t="str">
        <f t="shared" si="40"/>
        <v>Gastos_custeados_por_captação</v>
      </c>
      <c r="S588" s="504" t="str">
        <f>IF(D588="","",IF(OR(D588=Plano!$A$1,D588=Plano!$B$1),"entrada","saída"))</f>
        <v>saída</v>
      </c>
      <c r="T588" s="511" t="s">
        <v>994</v>
      </c>
      <c r="U588" s="511">
        <v>2190</v>
      </c>
      <c r="V588" s="541"/>
    </row>
    <row r="589" spans="1:22" s="549" customFormat="1" ht="54" customHeight="1" x14ac:dyDescent="0.2">
      <c r="A589" s="619">
        <f>IF(B589="","",COUNT('Diário 5º PA'!$A$5:$A$2634)+COUNT('Diário 6º PA'!$A$5:$A$2246)+COUNT('Diário 7º PA'!$A$5:$A$2271)+ROW()-4)</f>
        <v>4535</v>
      </c>
      <c r="B589" s="620">
        <v>44496</v>
      </c>
      <c r="C589" s="621">
        <v>44470</v>
      </c>
      <c r="D589" s="548" t="s">
        <v>104</v>
      </c>
      <c r="E589" s="548" t="s">
        <v>104</v>
      </c>
      <c r="F589" s="634">
        <v>468</v>
      </c>
      <c r="G589" s="623" t="s">
        <v>7033</v>
      </c>
      <c r="H589" s="548" t="s">
        <v>104</v>
      </c>
      <c r="I589" s="583" t="s">
        <v>7023</v>
      </c>
      <c r="J589" s="622" t="s">
        <v>7028</v>
      </c>
      <c r="K589" s="583" t="s">
        <v>1015</v>
      </c>
      <c r="L589" s="583" t="s">
        <v>992</v>
      </c>
      <c r="M589" s="625">
        <v>13885</v>
      </c>
      <c r="N589" s="620">
        <v>44496</v>
      </c>
      <c r="O589" s="684" t="s">
        <v>5505</v>
      </c>
      <c r="P589" s="503">
        <f t="shared" si="38"/>
        <v>10</v>
      </c>
      <c r="Q589" s="503">
        <f t="shared" si="39"/>
        <v>10</v>
      </c>
      <c r="R589" s="504" t="str">
        <f t="shared" si="40"/>
        <v>Gastos_custeados_por_captação</v>
      </c>
      <c r="S589" s="504" t="str">
        <f>IF(D589="","",IF(OR(D589=Plano!$A$1,D589=Plano!$B$1),"entrada","saída"))</f>
        <v>saída</v>
      </c>
      <c r="T589" s="511" t="s">
        <v>1417</v>
      </c>
      <c r="U589" s="511">
        <v>2318</v>
      </c>
      <c r="V589" s="541"/>
    </row>
    <row r="590" spans="1:22" ht="151.5" customHeight="1" x14ac:dyDescent="0.2">
      <c r="A590" s="619">
        <f>IF(B590="","",COUNT('Diário 5º PA'!$A$5:$A$2634)+COUNT('Diário 6º PA'!$A$5:$A$2246)+COUNT('Diário 7º PA'!$A$5:$A$2271)+ROW()-4)</f>
        <v>4536</v>
      </c>
      <c r="B590" s="620">
        <v>44497</v>
      </c>
      <c r="C590" s="624">
        <v>44440</v>
      </c>
      <c r="D590" s="548" t="s">
        <v>99</v>
      </c>
      <c r="E590" s="548" t="s">
        <v>336</v>
      </c>
      <c r="F590" s="622">
        <v>800</v>
      </c>
      <c r="G590" s="623" t="s">
        <v>876</v>
      </c>
      <c r="H590" s="548" t="s">
        <v>124</v>
      </c>
      <c r="I590" s="583" t="s">
        <v>5987</v>
      </c>
      <c r="J590" s="548" t="s">
        <v>877</v>
      </c>
      <c r="K590" s="583" t="s">
        <v>991</v>
      </c>
      <c r="L590" s="583" t="s">
        <v>992</v>
      </c>
      <c r="M590" s="619">
        <v>2</v>
      </c>
      <c r="N590" s="620">
        <v>44497</v>
      </c>
      <c r="O590" s="684" t="s">
        <v>67</v>
      </c>
      <c r="P590" s="503">
        <f t="shared" si="38"/>
        <v>10</v>
      </c>
      <c r="Q590" s="503">
        <f t="shared" si="39"/>
        <v>9</v>
      </c>
      <c r="R590" s="504" t="str">
        <f t="shared" si="40"/>
        <v>Gastos_Gerais</v>
      </c>
      <c r="S590" s="504" t="str">
        <f>IF(D590="","",IF(OR(D590=Plano!$A$1,D590=Plano!$B$1),"entrada","saída"))</f>
        <v>saída</v>
      </c>
      <c r="T590" s="505" t="s">
        <v>994</v>
      </c>
      <c r="U590" s="505">
        <v>1992</v>
      </c>
      <c r="V590" s="541"/>
    </row>
    <row r="591" spans="1:22" ht="42.75" customHeight="1" x14ac:dyDescent="0.2">
      <c r="A591" s="619">
        <f>IF(B591="","",COUNT('Diário 5º PA'!$A$5:$A$2634)+COUNT('Diário 6º PA'!$A$5:$A$2246)+COUNT('Diário 7º PA'!$A$5:$A$2271)+ROW()-4)</f>
        <v>4537</v>
      </c>
      <c r="B591" s="620">
        <v>44497</v>
      </c>
      <c r="C591" s="621">
        <v>44470</v>
      </c>
      <c r="D591" s="548" t="s">
        <v>99</v>
      </c>
      <c r="E591" s="548" t="s">
        <v>272</v>
      </c>
      <c r="F591" s="622">
        <v>10.45</v>
      </c>
      <c r="G591" s="623" t="s">
        <v>5988</v>
      </c>
      <c r="H591" s="548" t="s">
        <v>124</v>
      </c>
      <c r="I591" s="583" t="s">
        <v>949</v>
      </c>
      <c r="J591" s="548" t="s">
        <v>950</v>
      </c>
      <c r="K591" s="583" t="s">
        <v>951</v>
      </c>
      <c r="L591" s="583" t="s">
        <v>947</v>
      </c>
      <c r="M591" s="625" t="s">
        <v>114</v>
      </c>
      <c r="N591" s="620">
        <v>44497</v>
      </c>
      <c r="O591" s="684" t="s">
        <v>67</v>
      </c>
      <c r="P591" s="503">
        <f t="shared" si="38"/>
        <v>10</v>
      </c>
      <c r="Q591" s="503">
        <f t="shared" si="39"/>
        <v>10</v>
      </c>
      <c r="R591" s="504" t="str">
        <f t="shared" si="40"/>
        <v>Gastos_Gerais</v>
      </c>
      <c r="S591" s="504" t="str">
        <f>IF(D591="","",IF(OR(D591=Plano!$A$1,D591=Plano!$B$1),"entrada","saída"))</f>
        <v>saída</v>
      </c>
      <c r="T591" s="511" t="s">
        <v>114</v>
      </c>
      <c r="U591" s="511" t="s">
        <v>114</v>
      </c>
      <c r="V591" s="541"/>
    </row>
    <row r="592" spans="1:22" ht="63" customHeight="1" x14ac:dyDescent="0.2">
      <c r="A592" s="619">
        <f>IF(B592="","",COUNT('Diário 5º PA'!$A$5:$A$2634)+COUNT('Diário 6º PA'!$A$5:$A$2246)+COUNT('Diário 7º PA'!$A$5:$A$2271)+ROW()-4)</f>
        <v>4538</v>
      </c>
      <c r="B592" s="620">
        <v>44498</v>
      </c>
      <c r="C592" s="621">
        <v>44409</v>
      </c>
      <c r="D592" s="548" t="s">
        <v>99</v>
      </c>
      <c r="E592" s="548" t="s">
        <v>350</v>
      </c>
      <c r="F592" s="622">
        <v>2500</v>
      </c>
      <c r="G592" s="623" t="s">
        <v>5989</v>
      </c>
      <c r="H592" s="548" t="s">
        <v>132</v>
      </c>
      <c r="I592" s="583" t="s">
        <v>2158</v>
      </c>
      <c r="J592" s="548" t="s">
        <v>2159</v>
      </c>
      <c r="K592" s="583" t="s">
        <v>1015</v>
      </c>
      <c r="L592" s="583" t="s">
        <v>1177</v>
      </c>
      <c r="M592" s="619" t="s">
        <v>114</v>
      </c>
      <c r="N592" s="620">
        <v>44488</v>
      </c>
      <c r="O592" s="684" t="s">
        <v>67</v>
      </c>
      <c r="P592" s="503">
        <f t="shared" si="38"/>
        <v>10</v>
      </c>
      <c r="Q592" s="503">
        <f t="shared" si="39"/>
        <v>8</v>
      </c>
      <c r="R592" s="504" t="str">
        <f t="shared" si="40"/>
        <v>Gastos_Gerais</v>
      </c>
      <c r="S592" s="504" t="str">
        <f>IF(D592="","",IF(OR(D592=Plano!$A$1,D592=Plano!$B$1),"entrada","saída"))</f>
        <v>saída</v>
      </c>
      <c r="T592" s="505" t="s">
        <v>994</v>
      </c>
      <c r="U592" s="505">
        <v>1970</v>
      </c>
      <c r="V592" s="541"/>
    </row>
    <row r="593" spans="1:22" s="521" customFormat="1" ht="63" customHeight="1" x14ac:dyDescent="0.2">
      <c r="A593" s="619">
        <f>IF(B593="","",COUNT('Diário 5º PA'!$A$5:$A$2634)+COUNT('Diário 6º PA'!$A$5:$A$2246)+COUNT('Diário 7º PA'!$A$5:$A$2271)+ROW()-4)</f>
        <v>4539</v>
      </c>
      <c r="B593" s="620">
        <v>44498</v>
      </c>
      <c r="C593" s="628">
        <v>44470</v>
      </c>
      <c r="D593" s="548" t="s">
        <v>77</v>
      </c>
      <c r="E593" s="548" t="s">
        <v>147</v>
      </c>
      <c r="F593" s="622">
        <v>850000</v>
      </c>
      <c r="G593" s="623" t="s">
        <v>6079</v>
      </c>
      <c r="H593" s="548" t="s">
        <v>114</v>
      </c>
      <c r="I593" s="583" t="s">
        <v>983</v>
      </c>
      <c r="J593" s="548" t="s">
        <v>850</v>
      </c>
      <c r="K593" s="583" t="s">
        <v>1015</v>
      </c>
      <c r="L593" s="583" t="s">
        <v>1177</v>
      </c>
      <c r="M593" s="619" t="s">
        <v>114</v>
      </c>
      <c r="N593" s="620">
        <v>44498</v>
      </c>
      <c r="O593" s="684" t="s">
        <v>5505</v>
      </c>
      <c r="P593" s="503">
        <f t="shared" si="38"/>
        <v>10</v>
      </c>
      <c r="Q593" s="503">
        <f t="shared" si="39"/>
        <v>10</v>
      </c>
      <c r="R593" s="504" t="str">
        <f t="shared" si="40"/>
        <v>Receitas</v>
      </c>
      <c r="S593" s="504" t="str">
        <f>IF(D593="","",IF(OR(D593=Plano!$A$1,D593=Plano!$B$1),"entrada","saída"))</f>
        <v>entrada</v>
      </c>
      <c r="T593" s="511" t="s">
        <v>114</v>
      </c>
      <c r="U593" s="511" t="s">
        <v>114</v>
      </c>
      <c r="V593" s="541"/>
    </row>
    <row r="594" spans="1:22" s="521" customFormat="1" ht="63" customHeight="1" x14ac:dyDescent="0.2">
      <c r="A594" s="619">
        <f>IF(B594="","",COUNT('Diário 5º PA'!$A$5:$A$2634)+COUNT('Diário 6º PA'!$A$5:$A$2246)+COUNT('Diário 7º PA'!$A$5:$A$2271)+ROW()-4)</f>
        <v>4540</v>
      </c>
      <c r="B594" s="620">
        <v>44498</v>
      </c>
      <c r="C594" s="628">
        <v>44470</v>
      </c>
      <c r="D594" s="548" t="s">
        <v>77</v>
      </c>
      <c r="E594" s="548" t="s">
        <v>147</v>
      </c>
      <c r="F594" s="622">
        <v>150000</v>
      </c>
      <c r="G594" s="623" t="s">
        <v>6079</v>
      </c>
      <c r="H594" s="548" t="s">
        <v>114</v>
      </c>
      <c r="I594" s="583" t="s">
        <v>983</v>
      </c>
      <c r="J594" s="548" t="s">
        <v>850</v>
      </c>
      <c r="K594" s="583" t="s">
        <v>1015</v>
      </c>
      <c r="L594" s="583" t="s">
        <v>1177</v>
      </c>
      <c r="M594" s="619" t="s">
        <v>114</v>
      </c>
      <c r="N594" s="620">
        <v>44498</v>
      </c>
      <c r="O594" s="684" t="s">
        <v>5505</v>
      </c>
      <c r="P594" s="503">
        <f t="shared" si="38"/>
        <v>10</v>
      </c>
      <c r="Q594" s="503">
        <f t="shared" si="39"/>
        <v>10</v>
      </c>
      <c r="R594" s="504" t="str">
        <f t="shared" si="40"/>
        <v>Receitas</v>
      </c>
      <c r="S594" s="504" t="str">
        <f>IF(D594="","",IF(OR(D594=Plano!$A$1,D594=Plano!$B$1),"entrada","saída"))</f>
        <v>entrada</v>
      </c>
      <c r="T594" s="511" t="s">
        <v>114</v>
      </c>
      <c r="U594" s="511" t="s">
        <v>114</v>
      </c>
      <c r="V594" s="541"/>
    </row>
    <row r="595" spans="1:22" ht="48.75" customHeight="1" x14ac:dyDescent="0.2">
      <c r="A595" s="619">
        <f>IF(B595="","",COUNT('Diário 5º PA'!$A$5:$A$2634)+COUNT('Diário 6º PA'!$A$5:$A$2246)+COUNT('Diário 7º PA'!$A$5:$A$2271)+ROW()-4)</f>
        <v>4541</v>
      </c>
      <c r="B595" s="620">
        <v>44498</v>
      </c>
      <c r="C595" s="621">
        <v>44470</v>
      </c>
      <c r="D595" s="548" t="s">
        <v>85</v>
      </c>
      <c r="E595" s="548" t="s">
        <v>85</v>
      </c>
      <c r="F595" s="622">
        <v>7658.55</v>
      </c>
      <c r="G595" s="623" t="s">
        <v>5990</v>
      </c>
      <c r="H595" s="548" t="s">
        <v>114</v>
      </c>
      <c r="I595" s="583" t="s">
        <v>945</v>
      </c>
      <c r="J595" s="548" t="s">
        <v>850</v>
      </c>
      <c r="K595" s="583" t="s">
        <v>946</v>
      </c>
      <c r="L595" s="583" t="s">
        <v>947</v>
      </c>
      <c r="M595" s="625" t="s">
        <v>114</v>
      </c>
      <c r="N595" s="620">
        <v>44498</v>
      </c>
      <c r="O595" s="684" t="s">
        <v>67</v>
      </c>
      <c r="P595" s="503">
        <f t="shared" si="38"/>
        <v>10</v>
      </c>
      <c r="Q595" s="503">
        <f t="shared" si="39"/>
        <v>10</v>
      </c>
      <c r="R595" s="504" t="str">
        <f t="shared" si="40"/>
        <v>Rendimentos_de_Aplicações_Fin.</v>
      </c>
      <c r="S595" s="504" t="str">
        <f>IF(D595="","",IF(OR(D595=Plano!$A$1,D595=Plano!$B$1),"entrada","saída"))</f>
        <v>entrada</v>
      </c>
      <c r="T595" s="511" t="s">
        <v>114</v>
      </c>
      <c r="U595" s="511" t="s">
        <v>114</v>
      </c>
      <c r="V595" s="541"/>
    </row>
    <row r="596" spans="1:22" ht="48.75" customHeight="1" x14ac:dyDescent="0.2">
      <c r="A596" s="619">
        <f>IF(B596="","",COUNT('Diário 5º PA'!$A$5:$A$2634)+COUNT('Diário 6º PA'!$A$5:$A$2246)+COUNT('Diário 7º PA'!$A$5:$A$2271)+ROW()-4)</f>
        <v>4542</v>
      </c>
      <c r="B596" s="620">
        <v>44498</v>
      </c>
      <c r="C596" s="621">
        <v>44470</v>
      </c>
      <c r="D596" s="548" t="s">
        <v>99</v>
      </c>
      <c r="E596" s="548" t="s">
        <v>280</v>
      </c>
      <c r="F596" s="622">
        <v>1496.46</v>
      </c>
      <c r="G596" s="623" t="s">
        <v>5991</v>
      </c>
      <c r="H596" s="548" t="s">
        <v>114</v>
      </c>
      <c r="I596" s="583" t="s">
        <v>488</v>
      </c>
      <c r="J596" s="548" t="s">
        <v>114</v>
      </c>
      <c r="K596" s="583" t="s">
        <v>466</v>
      </c>
      <c r="L596" s="583" t="s">
        <v>489</v>
      </c>
      <c r="M596" s="619" t="s">
        <v>114</v>
      </c>
      <c r="N596" s="620">
        <v>44498</v>
      </c>
      <c r="O596" s="684" t="s">
        <v>67</v>
      </c>
      <c r="P596" s="503">
        <f t="shared" si="38"/>
        <v>10</v>
      </c>
      <c r="Q596" s="503">
        <f t="shared" si="39"/>
        <v>10</v>
      </c>
      <c r="R596" s="504" t="str">
        <f t="shared" si="40"/>
        <v>Gastos_Gerais</v>
      </c>
      <c r="S596" s="504" t="str">
        <f>IF(D596="","",IF(OR(D596=Plano!$A$1,D596=Plano!$B$1),"entrada","saída"))</f>
        <v>saída</v>
      </c>
      <c r="T596" s="511" t="s">
        <v>114</v>
      </c>
      <c r="U596" s="511" t="s">
        <v>114</v>
      </c>
      <c r="V596" s="541"/>
    </row>
    <row r="597" spans="1:22" s="540" customFormat="1" ht="48.75" customHeight="1" x14ac:dyDescent="0.2">
      <c r="A597" s="619">
        <f>IF(B597="","",COUNT('Diário 5º PA'!$A$5:$A$2634)+COUNT('Diário 6º PA'!$A$5:$A$2246)+COUNT('Diário 7º PA'!$A$5:$A$2271)+ROW()-4)</f>
        <v>4543</v>
      </c>
      <c r="B597" s="620">
        <v>44498</v>
      </c>
      <c r="C597" s="621">
        <v>44470</v>
      </c>
      <c r="D597" s="548" t="s">
        <v>104</v>
      </c>
      <c r="E597" s="548" t="s">
        <v>104</v>
      </c>
      <c r="F597" s="622">
        <v>5000</v>
      </c>
      <c r="G597" s="623" t="s">
        <v>5371</v>
      </c>
      <c r="H597" s="548" t="s">
        <v>104</v>
      </c>
      <c r="I597" s="583" t="s">
        <v>3172</v>
      </c>
      <c r="J597" s="548" t="s">
        <v>850</v>
      </c>
      <c r="K597" s="583" t="s">
        <v>946</v>
      </c>
      <c r="L597" s="583" t="s">
        <v>947</v>
      </c>
      <c r="M597" s="619" t="s">
        <v>114</v>
      </c>
      <c r="N597" s="620">
        <v>44498</v>
      </c>
      <c r="O597" s="684" t="s">
        <v>5370</v>
      </c>
      <c r="P597" s="503">
        <f t="shared" si="38"/>
        <v>10</v>
      </c>
      <c r="Q597" s="503">
        <f t="shared" si="39"/>
        <v>10</v>
      </c>
      <c r="R597" s="504" t="str">
        <f t="shared" si="40"/>
        <v>Gastos_custeados_por_captação</v>
      </c>
      <c r="S597" s="504" t="str">
        <f>IF(D597="","",IF(OR(D597=Plano!$A$1,D597=Plano!$B$1),"entrada","saída"))</f>
        <v>saída</v>
      </c>
      <c r="T597" s="505" t="s">
        <v>114</v>
      </c>
      <c r="U597" s="505" t="s">
        <v>114</v>
      </c>
      <c r="V597" s="541"/>
    </row>
    <row r="598" spans="1:22" s="540" customFormat="1" ht="48.75" customHeight="1" x14ac:dyDescent="0.2">
      <c r="A598" s="619">
        <f>IF(B598="","",COUNT('Diário 5º PA'!$A$5:$A$2634)+COUNT('Diário 6º PA'!$A$5:$A$2246)+COUNT('Diário 7º PA'!$A$5:$A$2271)+ROW()-4)</f>
        <v>4544</v>
      </c>
      <c r="B598" s="620">
        <v>44498</v>
      </c>
      <c r="C598" s="621">
        <v>44470</v>
      </c>
      <c r="D598" s="548" t="s">
        <v>104</v>
      </c>
      <c r="E598" s="548" t="s">
        <v>104</v>
      </c>
      <c r="F598" s="622">
        <v>4900</v>
      </c>
      <c r="G598" s="623" t="s">
        <v>6910</v>
      </c>
      <c r="H598" s="548" t="s">
        <v>104</v>
      </c>
      <c r="I598" s="583" t="s">
        <v>3172</v>
      </c>
      <c r="J598" s="548" t="s">
        <v>850</v>
      </c>
      <c r="K598" s="583" t="s">
        <v>946</v>
      </c>
      <c r="L598" s="583" t="s">
        <v>947</v>
      </c>
      <c r="M598" s="619" t="s">
        <v>114</v>
      </c>
      <c r="N598" s="620">
        <v>44498</v>
      </c>
      <c r="O598" s="684" t="s">
        <v>5370</v>
      </c>
      <c r="P598" s="503">
        <f t="shared" si="38"/>
        <v>10</v>
      </c>
      <c r="Q598" s="503">
        <f t="shared" si="39"/>
        <v>10</v>
      </c>
      <c r="R598" s="504" t="str">
        <f t="shared" si="40"/>
        <v>Gastos_custeados_por_captação</v>
      </c>
      <c r="S598" s="504" t="str">
        <f>IF(D598="","",IF(OR(D598=Plano!$A$1,D598=Plano!$B$1),"entrada","saída"))</f>
        <v>saída</v>
      </c>
      <c r="T598" s="505" t="s">
        <v>114</v>
      </c>
      <c r="U598" s="505" t="s">
        <v>114</v>
      </c>
      <c r="V598" s="541"/>
    </row>
    <row r="599" spans="1:22" s="540" customFormat="1" ht="48.75" customHeight="1" x14ac:dyDescent="0.2">
      <c r="A599" s="619">
        <f>IF(B599="","",COUNT('Diário 5º PA'!$A$5:$A$2634)+COUNT('Diário 6º PA'!$A$5:$A$2246)+COUNT('Diário 7º PA'!$A$5:$A$2271)+ROW()-4)</f>
        <v>4545</v>
      </c>
      <c r="B599" s="620">
        <v>44498</v>
      </c>
      <c r="C599" s="621">
        <v>44470</v>
      </c>
      <c r="D599" s="548" t="s">
        <v>104</v>
      </c>
      <c r="E599" s="548" t="s">
        <v>104</v>
      </c>
      <c r="F599" s="622">
        <v>5550</v>
      </c>
      <c r="G599" s="623" t="s">
        <v>6911</v>
      </c>
      <c r="H599" s="548" t="s">
        <v>104</v>
      </c>
      <c r="I599" s="583" t="s">
        <v>3172</v>
      </c>
      <c r="J599" s="548" t="s">
        <v>850</v>
      </c>
      <c r="K599" s="583" t="s">
        <v>946</v>
      </c>
      <c r="L599" s="583" t="s">
        <v>947</v>
      </c>
      <c r="M599" s="619" t="s">
        <v>114</v>
      </c>
      <c r="N599" s="620">
        <v>44498</v>
      </c>
      <c r="O599" s="684" t="s">
        <v>5370</v>
      </c>
      <c r="P599" s="503">
        <f t="shared" si="38"/>
        <v>10</v>
      </c>
      <c r="Q599" s="503">
        <f t="shared" si="39"/>
        <v>10</v>
      </c>
      <c r="R599" s="504" t="str">
        <f t="shared" si="40"/>
        <v>Gastos_custeados_por_captação</v>
      </c>
      <c r="S599" s="504" t="str">
        <f>IF(D599="","",IF(OR(D599=Plano!$A$1,D599=Plano!$B$1),"entrada","saída"))</f>
        <v>saída</v>
      </c>
      <c r="T599" s="505" t="s">
        <v>114</v>
      </c>
      <c r="U599" s="505" t="s">
        <v>114</v>
      </c>
      <c r="V599" s="541"/>
    </row>
    <row r="600" spans="1:22" s="544" customFormat="1" ht="48.75" customHeight="1" x14ac:dyDescent="0.2">
      <c r="A600" s="619">
        <f>IF(B600="","",COUNT('Diário 5º PA'!$A$5:$A$2634)+COUNT('Diário 6º PA'!$A$5:$A$2246)+COUNT('Diário 7º PA'!$A$5:$A$2271)+ROW()-4)</f>
        <v>4546</v>
      </c>
      <c r="B600" s="620">
        <v>44498</v>
      </c>
      <c r="C600" s="621">
        <v>44470</v>
      </c>
      <c r="D600" s="548" t="s">
        <v>104</v>
      </c>
      <c r="E600" s="548" t="s">
        <v>104</v>
      </c>
      <c r="F600" s="622">
        <v>4350</v>
      </c>
      <c r="G600" s="623" t="s">
        <v>5502</v>
      </c>
      <c r="H600" s="548" t="s">
        <v>104</v>
      </c>
      <c r="I600" s="583" t="s">
        <v>3172</v>
      </c>
      <c r="J600" s="548" t="s">
        <v>850</v>
      </c>
      <c r="K600" s="583" t="s">
        <v>946</v>
      </c>
      <c r="L600" s="583" t="s">
        <v>947</v>
      </c>
      <c r="M600" s="619" t="s">
        <v>114</v>
      </c>
      <c r="N600" s="620">
        <v>44498</v>
      </c>
      <c r="O600" s="684" t="s">
        <v>5377</v>
      </c>
      <c r="P600" s="503">
        <f t="shared" si="38"/>
        <v>10</v>
      </c>
      <c r="Q600" s="503">
        <f t="shared" si="39"/>
        <v>10</v>
      </c>
      <c r="R600" s="504" t="str">
        <f t="shared" si="40"/>
        <v>Gastos_custeados_por_captação</v>
      </c>
      <c r="S600" s="504" t="str">
        <f>IF(D600="","",IF(OR(D600=Plano!$A$1,D600=Plano!$B$1),"entrada","saída"))</f>
        <v>saída</v>
      </c>
      <c r="T600" s="505" t="s">
        <v>114</v>
      </c>
      <c r="U600" s="505" t="s">
        <v>114</v>
      </c>
      <c r="V600" s="541"/>
    </row>
    <row r="601" spans="1:22" s="544" customFormat="1" ht="48.75" customHeight="1" x14ac:dyDescent="0.2">
      <c r="A601" s="619">
        <f>IF(B601="","",COUNT('Diário 5º PA'!$A$5:$A$2634)+COUNT('Diário 6º PA'!$A$5:$A$2246)+COUNT('Diário 7º PA'!$A$5:$A$2271)+ROW()-4)</f>
        <v>4547</v>
      </c>
      <c r="B601" s="620">
        <v>44498</v>
      </c>
      <c r="C601" s="621">
        <v>44470</v>
      </c>
      <c r="D601" s="548" t="s">
        <v>104</v>
      </c>
      <c r="E601" s="548" t="s">
        <v>104</v>
      </c>
      <c r="F601" s="622">
        <v>5000</v>
      </c>
      <c r="G601" s="623" t="s">
        <v>5503</v>
      </c>
      <c r="H601" s="548" t="s">
        <v>104</v>
      </c>
      <c r="I601" s="583" t="s">
        <v>3172</v>
      </c>
      <c r="J601" s="548" t="s">
        <v>850</v>
      </c>
      <c r="K601" s="583" t="s">
        <v>946</v>
      </c>
      <c r="L601" s="583" t="s">
        <v>947</v>
      </c>
      <c r="M601" s="619" t="s">
        <v>114</v>
      </c>
      <c r="N601" s="620">
        <v>44498</v>
      </c>
      <c r="O601" s="684" t="s">
        <v>5377</v>
      </c>
      <c r="P601" s="503">
        <f t="shared" si="38"/>
        <v>10</v>
      </c>
      <c r="Q601" s="503">
        <f t="shared" si="39"/>
        <v>10</v>
      </c>
      <c r="R601" s="504" t="str">
        <f t="shared" si="40"/>
        <v>Gastos_custeados_por_captação</v>
      </c>
      <c r="S601" s="504" t="str">
        <f>IF(D601="","",IF(OR(D601=Plano!$A$1,D601=Plano!$B$1),"entrada","saída"))</f>
        <v>saída</v>
      </c>
      <c r="T601" s="505" t="s">
        <v>114</v>
      </c>
      <c r="U601" s="505" t="s">
        <v>114</v>
      </c>
      <c r="V601" s="541"/>
    </row>
    <row r="602" spans="1:22" s="544" customFormat="1" ht="48.75" customHeight="1" x14ac:dyDescent="0.2">
      <c r="A602" s="619">
        <f>IF(B602="","",COUNT('Diário 5º PA'!$A$5:$A$2634)+COUNT('Diário 6º PA'!$A$5:$A$2246)+COUNT('Diário 7º PA'!$A$5:$A$2271)+ROW()-4)</f>
        <v>4548</v>
      </c>
      <c r="B602" s="620">
        <v>44498</v>
      </c>
      <c r="C602" s="621">
        <v>44470</v>
      </c>
      <c r="D602" s="548" t="s">
        <v>104</v>
      </c>
      <c r="E602" s="548" t="s">
        <v>104</v>
      </c>
      <c r="F602" s="622">
        <v>4500</v>
      </c>
      <c r="G602" s="623" t="s">
        <v>5501</v>
      </c>
      <c r="H602" s="548" t="s">
        <v>104</v>
      </c>
      <c r="I602" s="583" t="s">
        <v>3172</v>
      </c>
      <c r="J602" s="548" t="s">
        <v>850</v>
      </c>
      <c r="K602" s="583" t="s">
        <v>946</v>
      </c>
      <c r="L602" s="583" t="s">
        <v>947</v>
      </c>
      <c r="M602" s="619" t="s">
        <v>114</v>
      </c>
      <c r="N602" s="620">
        <v>44498</v>
      </c>
      <c r="O602" s="684" t="s">
        <v>5377</v>
      </c>
      <c r="P602" s="503">
        <f t="shared" si="38"/>
        <v>10</v>
      </c>
      <c r="Q602" s="503">
        <f t="shared" si="39"/>
        <v>10</v>
      </c>
      <c r="R602" s="504" t="str">
        <f t="shared" si="40"/>
        <v>Gastos_custeados_por_captação</v>
      </c>
      <c r="S602" s="504" t="str">
        <f>IF(D602="","",IF(OR(D602=Plano!$A$1,D602=Plano!$B$1),"entrada","saída"))</f>
        <v>saída</v>
      </c>
      <c r="T602" s="505" t="s">
        <v>114</v>
      </c>
      <c r="U602" s="505" t="s">
        <v>114</v>
      </c>
      <c r="V602" s="541"/>
    </row>
    <row r="603" spans="1:22" s="544" customFormat="1" ht="48.75" customHeight="1" x14ac:dyDescent="0.2">
      <c r="A603" s="619">
        <f>IF(B603="","",COUNT('Diário 5º PA'!$A$5:$A$2634)+COUNT('Diário 6º PA'!$A$5:$A$2246)+COUNT('Diário 7º PA'!$A$5:$A$2271)+ROW()-4)</f>
        <v>4549</v>
      </c>
      <c r="B603" s="620">
        <v>44498</v>
      </c>
      <c r="C603" s="621">
        <v>44470</v>
      </c>
      <c r="D603" s="548" t="s">
        <v>104</v>
      </c>
      <c r="E603" s="548" t="s">
        <v>104</v>
      </c>
      <c r="F603" s="622">
        <v>-5000</v>
      </c>
      <c r="G603" s="623" t="s">
        <v>5501</v>
      </c>
      <c r="H603" s="548" t="s">
        <v>104</v>
      </c>
      <c r="I603" s="583" t="s">
        <v>3172</v>
      </c>
      <c r="J603" s="548" t="s">
        <v>850</v>
      </c>
      <c r="K603" s="583" t="s">
        <v>946</v>
      </c>
      <c r="L603" s="583" t="s">
        <v>947</v>
      </c>
      <c r="M603" s="619" t="s">
        <v>114</v>
      </c>
      <c r="N603" s="620">
        <v>44498</v>
      </c>
      <c r="O603" s="684" t="s">
        <v>71</v>
      </c>
      <c r="P603" s="503">
        <f t="shared" si="38"/>
        <v>10</v>
      </c>
      <c r="Q603" s="503">
        <f t="shared" si="39"/>
        <v>10</v>
      </c>
      <c r="R603" s="504" t="str">
        <f t="shared" si="40"/>
        <v>Gastos_custeados_por_captação</v>
      </c>
      <c r="S603" s="504" t="str">
        <f>IF(D603="","",IF(OR(D603=Plano!$A$1,D603=Plano!$B$1),"entrada","saída"))</f>
        <v>saída</v>
      </c>
      <c r="T603" s="505" t="s">
        <v>114</v>
      </c>
      <c r="U603" s="505" t="s">
        <v>114</v>
      </c>
      <c r="V603" s="541"/>
    </row>
    <row r="604" spans="1:22" s="544" customFormat="1" ht="48.75" customHeight="1" x14ac:dyDescent="0.2">
      <c r="A604" s="619">
        <f>IF(B604="","",COUNT('Diário 5º PA'!$A$5:$A$2634)+COUNT('Diário 6º PA'!$A$5:$A$2246)+COUNT('Diário 7º PA'!$A$5:$A$2271)+ROW()-4)</f>
        <v>4550</v>
      </c>
      <c r="B604" s="620">
        <v>44498</v>
      </c>
      <c r="C604" s="621">
        <v>44470</v>
      </c>
      <c r="D604" s="548" t="s">
        <v>104</v>
      </c>
      <c r="E604" s="548" t="s">
        <v>104</v>
      </c>
      <c r="F604" s="622">
        <v>-4900</v>
      </c>
      <c r="G604" s="623" t="s">
        <v>5501</v>
      </c>
      <c r="H604" s="548" t="s">
        <v>104</v>
      </c>
      <c r="I604" s="583" t="s">
        <v>3172</v>
      </c>
      <c r="J604" s="548" t="s">
        <v>850</v>
      </c>
      <c r="K604" s="583" t="s">
        <v>946</v>
      </c>
      <c r="L604" s="583" t="s">
        <v>947</v>
      </c>
      <c r="M604" s="619" t="s">
        <v>114</v>
      </c>
      <c r="N604" s="620">
        <v>44498</v>
      </c>
      <c r="O604" s="684" t="s">
        <v>71</v>
      </c>
      <c r="P604" s="503">
        <f t="shared" si="38"/>
        <v>10</v>
      </c>
      <c r="Q604" s="503">
        <f t="shared" si="39"/>
        <v>10</v>
      </c>
      <c r="R604" s="504" t="str">
        <f t="shared" si="40"/>
        <v>Gastos_custeados_por_captação</v>
      </c>
      <c r="S604" s="504" t="str">
        <f>IF(D604="","",IF(OR(D604=Plano!$A$1,D604=Plano!$B$1),"entrada","saída"))</f>
        <v>saída</v>
      </c>
      <c r="T604" s="505" t="s">
        <v>114</v>
      </c>
      <c r="U604" s="505" t="s">
        <v>114</v>
      </c>
      <c r="V604" s="541"/>
    </row>
    <row r="605" spans="1:22" s="544" customFormat="1" ht="48.75" customHeight="1" x14ac:dyDescent="0.2">
      <c r="A605" s="619">
        <f>IF(B605="","",COUNT('Diário 5º PA'!$A$5:$A$2634)+COUNT('Diário 6º PA'!$A$5:$A$2246)+COUNT('Diário 7º PA'!$A$5:$A$2271)+ROW()-4)</f>
        <v>4551</v>
      </c>
      <c r="B605" s="620">
        <v>44498</v>
      </c>
      <c r="C605" s="621">
        <v>44470</v>
      </c>
      <c r="D605" s="548" t="s">
        <v>104</v>
      </c>
      <c r="E605" s="548" t="s">
        <v>104</v>
      </c>
      <c r="F605" s="622">
        <v>-5550</v>
      </c>
      <c r="G605" s="623" t="s">
        <v>5501</v>
      </c>
      <c r="H605" s="548" t="s">
        <v>104</v>
      </c>
      <c r="I605" s="583" t="s">
        <v>3172</v>
      </c>
      <c r="J605" s="548" t="s">
        <v>850</v>
      </c>
      <c r="K605" s="583" t="s">
        <v>946</v>
      </c>
      <c r="L605" s="583" t="s">
        <v>947</v>
      </c>
      <c r="M605" s="619" t="s">
        <v>114</v>
      </c>
      <c r="N605" s="620">
        <v>44498</v>
      </c>
      <c r="O605" s="684" t="s">
        <v>71</v>
      </c>
      <c r="P605" s="503">
        <f t="shared" si="38"/>
        <v>10</v>
      </c>
      <c r="Q605" s="503">
        <f t="shared" si="39"/>
        <v>10</v>
      </c>
      <c r="R605" s="504" t="str">
        <f t="shared" si="40"/>
        <v>Gastos_custeados_por_captação</v>
      </c>
      <c r="S605" s="504" t="str">
        <f>IF(D605="","",IF(OR(D605=Plano!$A$1,D605=Plano!$B$1),"entrada","saída"))</f>
        <v>saída</v>
      </c>
      <c r="T605" s="505" t="s">
        <v>114</v>
      </c>
      <c r="U605" s="505" t="s">
        <v>114</v>
      </c>
      <c r="V605" s="541"/>
    </row>
    <row r="606" spans="1:22" s="544" customFormat="1" ht="48.75" customHeight="1" x14ac:dyDescent="0.2">
      <c r="A606" s="619">
        <f>IF(B606="","",COUNT('Diário 5º PA'!$A$5:$A$2634)+COUNT('Diário 6º PA'!$A$5:$A$2246)+COUNT('Diário 7º PA'!$A$5:$A$2271)+ROW()-4)</f>
        <v>4552</v>
      </c>
      <c r="B606" s="620">
        <v>44498</v>
      </c>
      <c r="C606" s="621">
        <v>44470</v>
      </c>
      <c r="D606" s="548" t="s">
        <v>104</v>
      </c>
      <c r="E606" s="548" t="s">
        <v>104</v>
      </c>
      <c r="F606" s="622">
        <v>-4350</v>
      </c>
      <c r="G606" s="623" t="s">
        <v>5501</v>
      </c>
      <c r="H606" s="548" t="s">
        <v>104</v>
      </c>
      <c r="I606" s="583" t="s">
        <v>3172</v>
      </c>
      <c r="J606" s="548" t="s">
        <v>850</v>
      </c>
      <c r="K606" s="583" t="s">
        <v>946</v>
      </c>
      <c r="L606" s="583" t="s">
        <v>947</v>
      </c>
      <c r="M606" s="619" t="s">
        <v>114</v>
      </c>
      <c r="N606" s="620">
        <v>44498</v>
      </c>
      <c r="O606" s="684" t="s">
        <v>71</v>
      </c>
      <c r="P606" s="503">
        <f t="shared" si="38"/>
        <v>10</v>
      </c>
      <c r="Q606" s="503">
        <f t="shared" si="39"/>
        <v>10</v>
      </c>
      <c r="R606" s="504" t="str">
        <f t="shared" si="40"/>
        <v>Gastos_custeados_por_captação</v>
      </c>
      <c r="S606" s="504" t="str">
        <f>IF(D606="","",IF(OR(D606=Plano!$A$1,D606=Plano!$B$1),"entrada","saída"))</f>
        <v>saída</v>
      </c>
      <c r="T606" s="505" t="s">
        <v>114</v>
      </c>
      <c r="U606" s="505" t="s">
        <v>114</v>
      </c>
      <c r="V606" s="541"/>
    </row>
    <row r="607" spans="1:22" s="544" customFormat="1" ht="48.75" customHeight="1" x14ac:dyDescent="0.2">
      <c r="A607" s="619">
        <f>IF(B607="","",COUNT('Diário 5º PA'!$A$5:$A$2634)+COUNT('Diário 6º PA'!$A$5:$A$2246)+COUNT('Diário 7º PA'!$A$5:$A$2271)+ROW()-4)</f>
        <v>4553</v>
      </c>
      <c r="B607" s="620">
        <v>44498</v>
      </c>
      <c r="C607" s="621">
        <v>44470</v>
      </c>
      <c r="D607" s="548" t="s">
        <v>104</v>
      </c>
      <c r="E607" s="548" t="s">
        <v>104</v>
      </c>
      <c r="F607" s="622">
        <v>-5000</v>
      </c>
      <c r="G607" s="623" t="s">
        <v>5501</v>
      </c>
      <c r="H607" s="548" t="s">
        <v>104</v>
      </c>
      <c r="I607" s="583" t="s">
        <v>3172</v>
      </c>
      <c r="J607" s="548" t="s">
        <v>850</v>
      </c>
      <c r="K607" s="583" t="s">
        <v>946</v>
      </c>
      <c r="L607" s="583" t="s">
        <v>947</v>
      </c>
      <c r="M607" s="619" t="s">
        <v>114</v>
      </c>
      <c r="N607" s="620">
        <v>44498</v>
      </c>
      <c r="O607" s="684" t="s">
        <v>71</v>
      </c>
      <c r="P607" s="503">
        <f t="shared" si="38"/>
        <v>10</v>
      </c>
      <c r="Q607" s="503">
        <f t="shared" si="39"/>
        <v>10</v>
      </c>
      <c r="R607" s="504" t="str">
        <f t="shared" si="40"/>
        <v>Gastos_custeados_por_captação</v>
      </c>
      <c r="S607" s="504" t="str">
        <f>IF(D607="","",IF(OR(D607=Plano!$A$1,D607=Plano!$B$1),"entrada","saída"))</f>
        <v>saída</v>
      </c>
      <c r="T607" s="505" t="s">
        <v>114</v>
      </c>
      <c r="U607" s="505" t="s">
        <v>114</v>
      </c>
      <c r="V607" s="541"/>
    </row>
    <row r="608" spans="1:22" s="544" customFormat="1" ht="48.75" customHeight="1" x14ac:dyDescent="0.2">
      <c r="A608" s="619">
        <f>IF(B608="","",COUNT('Diário 5º PA'!$A$5:$A$2634)+COUNT('Diário 6º PA'!$A$5:$A$2246)+COUNT('Diário 7º PA'!$A$5:$A$2271)+ROW()-4)</f>
        <v>4554</v>
      </c>
      <c r="B608" s="620">
        <v>44498</v>
      </c>
      <c r="C608" s="621">
        <v>44470</v>
      </c>
      <c r="D608" s="548" t="s">
        <v>104</v>
      </c>
      <c r="E608" s="548" t="s">
        <v>104</v>
      </c>
      <c r="F608" s="622">
        <v>-4500</v>
      </c>
      <c r="G608" s="623" t="s">
        <v>5501</v>
      </c>
      <c r="H608" s="548" t="s">
        <v>104</v>
      </c>
      <c r="I608" s="583" t="s">
        <v>3172</v>
      </c>
      <c r="J608" s="548" t="s">
        <v>850</v>
      </c>
      <c r="K608" s="583" t="s">
        <v>946</v>
      </c>
      <c r="L608" s="583" t="s">
        <v>947</v>
      </c>
      <c r="M608" s="619" t="s">
        <v>114</v>
      </c>
      <c r="N608" s="620">
        <v>44498</v>
      </c>
      <c r="O608" s="684" t="s">
        <v>71</v>
      </c>
      <c r="P608" s="503">
        <f t="shared" si="38"/>
        <v>10</v>
      </c>
      <c r="Q608" s="503">
        <f t="shared" si="39"/>
        <v>10</v>
      </c>
      <c r="R608" s="504" t="str">
        <f t="shared" si="40"/>
        <v>Gastos_custeados_por_captação</v>
      </c>
      <c r="S608" s="504" t="str">
        <f>IF(D608="","",IF(OR(D608=Plano!$A$1,D608=Plano!$B$1),"entrada","saída"))</f>
        <v>saída</v>
      </c>
      <c r="T608" s="505" t="s">
        <v>114</v>
      </c>
      <c r="U608" s="505" t="s">
        <v>114</v>
      </c>
      <c r="V608" s="541"/>
    </row>
    <row r="609" spans="1:22" s="544" customFormat="1" ht="48.75" customHeight="1" x14ac:dyDescent="0.2">
      <c r="A609" s="619">
        <f>IF(B609="","",COUNT('Diário 5º PA'!$A$5:$A$2634)+COUNT('Diário 6º PA'!$A$5:$A$2246)+COUNT('Diário 7º PA'!$A$5:$A$2271)+ROW()-4)</f>
        <v>4555</v>
      </c>
      <c r="B609" s="620">
        <v>44498</v>
      </c>
      <c r="C609" s="621">
        <v>44470</v>
      </c>
      <c r="D609" s="548" t="s">
        <v>104</v>
      </c>
      <c r="E609" s="548" t="s">
        <v>104</v>
      </c>
      <c r="F609" s="622">
        <v>-20000</v>
      </c>
      <c r="G609" s="623" t="s">
        <v>5501</v>
      </c>
      <c r="H609" s="548" t="s">
        <v>104</v>
      </c>
      <c r="I609" s="583" t="s">
        <v>3172</v>
      </c>
      <c r="J609" s="548" t="s">
        <v>850</v>
      </c>
      <c r="K609" s="583" t="s">
        <v>946</v>
      </c>
      <c r="L609" s="583" t="s">
        <v>947</v>
      </c>
      <c r="M609" s="619" t="s">
        <v>114</v>
      </c>
      <c r="N609" s="620">
        <v>44498</v>
      </c>
      <c r="O609" s="684" t="s">
        <v>71</v>
      </c>
      <c r="P609" s="503">
        <f t="shared" si="38"/>
        <v>10</v>
      </c>
      <c r="Q609" s="503">
        <f t="shared" si="39"/>
        <v>10</v>
      </c>
      <c r="R609" s="504" t="str">
        <f t="shared" si="40"/>
        <v>Gastos_custeados_por_captação</v>
      </c>
      <c r="S609" s="504" t="str">
        <f>IF(D609="","",IF(OR(D609=Plano!$A$1,D609=Plano!$B$1),"entrada","saída"))</f>
        <v>saída</v>
      </c>
      <c r="T609" s="505" t="s">
        <v>114</v>
      </c>
      <c r="U609" s="505" t="s">
        <v>114</v>
      </c>
      <c r="V609" s="541"/>
    </row>
    <row r="610" spans="1:22" s="549" customFormat="1" ht="48.75" customHeight="1" x14ac:dyDescent="0.2">
      <c r="A610" s="619">
        <f>IF(B610="","",COUNT('Diário 5º PA'!$A$5:$A$2634)+COUNT('Diário 6º PA'!$A$5:$A$2246)+COUNT('Diário 7º PA'!$A$5:$A$2271)+ROW()-4)</f>
        <v>4556</v>
      </c>
      <c r="B610" s="620">
        <v>44498</v>
      </c>
      <c r="C610" s="621">
        <v>44470</v>
      </c>
      <c r="D610" s="548" t="s">
        <v>104</v>
      </c>
      <c r="E610" s="548" t="s">
        <v>104</v>
      </c>
      <c r="F610" s="634">
        <v>20000</v>
      </c>
      <c r="G610" s="623" t="s">
        <v>7034</v>
      </c>
      <c r="H610" s="548" t="s">
        <v>104</v>
      </c>
      <c r="I610" s="583" t="s">
        <v>2418</v>
      </c>
      <c r="J610" s="548" t="s">
        <v>850</v>
      </c>
      <c r="K610" s="583" t="s">
        <v>1015</v>
      </c>
      <c r="L610" s="583" t="s">
        <v>1177</v>
      </c>
      <c r="M610" s="625" t="s">
        <v>114</v>
      </c>
      <c r="N610" s="620">
        <v>44498</v>
      </c>
      <c r="O610" s="684" t="s">
        <v>5505</v>
      </c>
      <c r="P610" s="503">
        <f t="shared" si="38"/>
        <v>10</v>
      </c>
      <c r="Q610" s="503">
        <f t="shared" si="39"/>
        <v>10</v>
      </c>
      <c r="R610" s="504" t="str">
        <f t="shared" si="40"/>
        <v>Gastos_custeados_por_captação</v>
      </c>
      <c r="S610" s="504" t="str">
        <f>IF(D610="","",IF(OR(D610=Plano!$A$1,D610=Plano!$B$1),"entrada","saída"))</f>
        <v>saída</v>
      </c>
      <c r="T610" s="511" t="s">
        <v>114</v>
      </c>
      <c r="U610" s="511" t="s">
        <v>114</v>
      </c>
      <c r="V610" s="541"/>
    </row>
    <row r="611" spans="1:22" s="549" customFormat="1" ht="48.75" customHeight="1" x14ac:dyDescent="0.2">
      <c r="A611" s="619">
        <f>IF(B611="","",COUNT('Diário 5º PA'!$A$5:$A$2634)+COUNT('Diário 6º PA'!$A$5:$A$2246)+COUNT('Diário 7º PA'!$A$5:$A$2271)+ROW()-4)</f>
        <v>4557</v>
      </c>
      <c r="B611" s="620">
        <v>44498</v>
      </c>
      <c r="C611" s="621">
        <v>44470</v>
      </c>
      <c r="D611" s="548" t="s">
        <v>104</v>
      </c>
      <c r="E611" s="548" t="s">
        <v>104</v>
      </c>
      <c r="F611" s="634">
        <v>995</v>
      </c>
      <c r="G611" s="623" t="s">
        <v>7039</v>
      </c>
      <c r="H611" s="548" t="s">
        <v>104</v>
      </c>
      <c r="I611" s="583" t="s">
        <v>7035</v>
      </c>
      <c r="J611" s="622" t="s">
        <v>7037</v>
      </c>
      <c r="K611" s="583" t="s">
        <v>1015</v>
      </c>
      <c r="L611" s="583" t="s">
        <v>992</v>
      </c>
      <c r="M611" s="625">
        <v>187</v>
      </c>
      <c r="N611" s="620">
        <v>44494</v>
      </c>
      <c r="O611" s="684" t="s">
        <v>5505</v>
      </c>
      <c r="P611" s="503">
        <f t="shared" si="38"/>
        <v>10</v>
      </c>
      <c r="Q611" s="503">
        <f t="shared" si="39"/>
        <v>10</v>
      </c>
      <c r="R611" s="504" t="str">
        <f t="shared" si="40"/>
        <v>Gastos_custeados_por_captação</v>
      </c>
      <c r="S611" s="504" t="str">
        <f>IF(D611="","",IF(OR(D611=Plano!$A$1,D611=Plano!$B$1),"entrada","saída"))</f>
        <v>saída</v>
      </c>
      <c r="T611" s="511" t="s">
        <v>1011</v>
      </c>
      <c r="U611" s="505">
        <v>2217</v>
      </c>
      <c r="V611" s="541"/>
    </row>
    <row r="612" spans="1:22" s="549" customFormat="1" ht="48.75" customHeight="1" x14ac:dyDescent="0.2">
      <c r="A612" s="619">
        <f>IF(B612="","",COUNT('Diário 5º PA'!$A$5:$A$2634)+COUNT('Diário 6º PA'!$A$5:$A$2246)+COUNT('Diário 7º PA'!$A$5:$A$2271)+ROW()-4)</f>
        <v>4558</v>
      </c>
      <c r="B612" s="620">
        <v>44498</v>
      </c>
      <c r="C612" s="621">
        <v>44470</v>
      </c>
      <c r="D612" s="548" t="s">
        <v>104</v>
      </c>
      <c r="E612" s="548" t="s">
        <v>104</v>
      </c>
      <c r="F612" s="634">
        <v>2462.5500000000002</v>
      </c>
      <c r="G612" s="623" t="s">
        <v>7040</v>
      </c>
      <c r="H612" s="548" t="s">
        <v>104</v>
      </c>
      <c r="I612" s="583" t="s">
        <v>7036</v>
      </c>
      <c r="J612" s="622" t="s">
        <v>7038</v>
      </c>
      <c r="K612" s="583" t="s">
        <v>1015</v>
      </c>
      <c r="L612" s="583" t="s">
        <v>1029</v>
      </c>
      <c r="M612" s="625">
        <v>1397</v>
      </c>
      <c r="N612" s="620">
        <v>44494</v>
      </c>
      <c r="O612" s="684" t="s">
        <v>5505</v>
      </c>
      <c r="P612" s="503">
        <f t="shared" si="38"/>
        <v>10</v>
      </c>
      <c r="Q612" s="503">
        <f t="shared" si="39"/>
        <v>10</v>
      </c>
      <c r="R612" s="504" t="str">
        <f t="shared" si="40"/>
        <v>Gastos_custeados_por_captação</v>
      </c>
      <c r="S612" s="504" t="str">
        <f>IF(D612="","",IF(OR(D612=Plano!$A$1,D612=Plano!$B$1),"entrada","saída"))</f>
        <v>saída</v>
      </c>
      <c r="T612" s="511" t="s">
        <v>994</v>
      </c>
      <c r="U612" s="505">
        <v>2246</v>
      </c>
      <c r="V612" s="541"/>
    </row>
    <row r="613" spans="1:22" ht="45" customHeight="1" x14ac:dyDescent="0.2">
      <c r="A613" s="619">
        <f>IF(B613="","",COUNT('Diário 5º PA'!$A$5:$A$2634)+COUNT('Diário 6º PA'!$A$5:$A$2246)+COUNT('Diário 7º PA'!$A$5:$A$2271)+ROW()-4)</f>
        <v>4559</v>
      </c>
      <c r="B613" s="620">
        <v>44501</v>
      </c>
      <c r="C613" s="621">
        <v>44470</v>
      </c>
      <c r="D613" s="548" t="s">
        <v>88</v>
      </c>
      <c r="E613" s="548" t="s">
        <v>198</v>
      </c>
      <c r="F613" s="622">
        <v>-23.2</v>
      </c>
      <c r="G613" s="623" t="s">
        <v>982</v>
      </c>
      <c r="H613" s="548" t="s">
        <v>114</v>
      </c>
      <c r="I613" s="583" t="s">
        <v>983</v>
      </c>
      <c r="J613" s="548" t="s">
        <v>850</v>
      </c>
      <c r="K613" s="583" t="s">
        <v>946</v>
      </c>
      <c r="L613" s="583" t="s">
        <v>947</v>
      </c>
      <c r="M613" s="619" t="s">
        <v>114</v>
      </c>
      <c r="N613" s="620">
        <v>44501</v>
      </c>
      <c r="O613" s="684" t="s">
        <v>67</v>
      </c>
      <c r="P613" s="503">
        <f t="shared" si="38"/>
        <v>11</v>
      </c>
      <c r="Q613" s="503">
        <f t="shared" si="39"/>
        <v>10</v>
      </c>
      <c r="R613" s="504" t="str">
        <f t="shared" si="40"/>
        <v>Gastos_com_Pessoal</v>
      </c>
      <c r="S613" s="504" t="str">
        <f>IF(D613="","",IF(OR(D613=Plano!$A$1,D613=Plano!$B$1),"entrada","saída"))</f>
        <v>saída</v>
      </c>
      <c r="T613" s="505" t="s">
        <v>114</v>
      </c>
      <c r="U613" s="505" t="s">
        <v>114</v>
      </c>
      <c r="V613" s="541"/>
    </row>
    <row r="614" spans="1:22" ht="45" customHeight="1" x14ac:dyDescent="0.2">
      <c r="A614" s="619">
        <f>IF(B614="","",COUNT('Diário 5º PA'!$A$5:$A$2634)+COUNT('Diário 6º PA'!$A$5:$A$2246)+COUNT('Diário 7º PA'!$A$5:$A$2271)+ROW()-4)</f>
        <v>4560</v>
      </c>
      <c r="B614" s="620">
        <v>44501</v>
      </c>
      <c r="C614" s="621">
        <v>44470</v>
      </c>
      <c r="D614" s="548" t="s">
        <v>88</v>
      </c>
      <c r="E614" s="548" t="s">
        <v>198</v>
      </c>
      <c r="F614" s="622">
        <v>-23.2</v>
      </c>
      <c r="G614" s="623" t="s">
        <v>5574</v>
      </c>
      <c r="H614" s="548" t="s">
        <v>114</v>
      </c>
      <c r="I614" s="583" t="s">
        <v>983</v>
      </c>
      <c r="J614" s="548" t="s">
        <v>850</v>
      </c>
      <c r="K614" s="583" t="s">
        <v>946</v>
      </c>
      <c r="L614" s="583" t="s">
        <v>947</v>
      </c>
      <c r="M614" s="619" t="s">
        <v>114</v>
      </c>
      <c r="N614" s="620">
        <v>44501</v>
      </c>
      <c r="O614" s="684" t="s">
        <v>67</v>
      </c>
      <c r="P614" s="503">
        <f t="shared" si="38"/>
        <v>11</v>
      </c>
      <c r="Q614" s="503">
        <f t="shared" si="39"/>
        <v>10</v>
      </c>
      <c r="R614" s="504" t="str">
        <f t="shared" si="40"/>
        <v>Gastos_com_Pessoal</v>
      </c>
      <c r="S614" s="504" t="str">
        <f>IF(D614="","",IF(OR(D614=Plano!$A$1,D614=Plano!$B$1),"entrada","saída"))</f>
        <v>saída</v>
      </c>
      <c r="T614" s="505" t="s">
        <v>114</v>
      </c>
      <c r="U614" s="505" t="s">
        <v>114</v>
      </c>
      <c r="V614" s="541"/>
    </row>
    <row r="615" spans="1:22" ht="65.25" customHeight="1" x14ac:dyDescent="0.2">
      <c r="A615" s="619">
        <f>IF(B615="","",COUNT('Diário 5º PA'!$A$5:$A$2634)+COUNT('Diário 6º PA'!$A$5:$A$2246)+COUNT('Diário 7º PA'!$A$5:$A$2271)+ROW()-4)</f>
        <v>4561</v>
      </c>
      <c r="B615" s="620">
        <v>44501</v>
      </c>
      <c r="C615" s="621">
        <v>44470</v>
      </c>
      <c r="D615" s="548" t="s">
        <v>88</v>
      </c>
      <c r="E615" s="548" t="s">
        <v>183</v>
      </c>
      <c r="F615" s="622">
        <v>-13.87</v>
      </c>
      <c r="G615" s="623" t="s">
        <v>984</v>
      </c>
      <c r="H615" s="548" t="s">
        <v>114</v>
      </c>
      <c r="I615" s="583" t="s">
        <v>983</v>
      </c>
      <c r="J615" s="548" t="s">
        <v>850</v>
      </c>
      <c r="K615" s="583" t="s">
        <v>946</v>
      </c>
      <c r="L615" s="583" t="s">
        <v>947</v>
      </c>
      <c r="M615" s="619" t="s">
        <v>114</v>
      </c>
      <c r="N615" s="620">
        <v>44501</v>
      </c>
      <c r="O615" s="684" t="s">
        <v>67</v>
      </c>
      <c r="P615" s="503">
        <f t="shared" si="38"/>
        <v>11</v>
      </c>
      <c r="Q615" s="503">
        <f t="shared" si="39"/>
        <v>10</v>
      </c>
      <c r="R615" s="504" t="str">
        <f t="shared" si="40"/>
        <v>Gastos_com_Pessoal</v>
      </c>
      <c r="S615" s="504" t="str">
        <f>IF(D615="","",IF(OR(D615=Plano!$A$1,D615=Plano!$B$1),"entrada","saída"))</f>
        <v>saída</v>
      </c>
      <c r="T615" s="505" t="s">
        <v>114</v>
      </c>
      <c r="U615" s="505" t="s">
        <v>114</v>
      </c>
      <c r="V615" s="541"/>
    </row>
    <row r="616" spans="1:22" ht="68.25" customHeight="1" x14ac:dyDescent="0.2">
      <c r="A616" s="619">
        <f>IF(B616="","",COUNT('Diário 5º PA'!$A$5:$A$2634)+COUNT('Diário 6º PA'!$A$5:$A$2246)+COUNT('Diário 7º PA'!$A$5:$A$2271)+ROW()-4)</f>
        <v>4562</v>
      </c>
      <c r="B616" s="620">
        <v>44501</v>
      </c>
      <c r="C616" s="621">
        <v>44470</v>
      </c>
      <c r="D616" s="548" t="s">
        <v>88</v>
      </c>
      <c r="E616" s="548" t="s">
        <v>198</v>
      </c>
      <c r="F616" s="622">
        <v>-116</v>
      </c>
      <c r="G616" s="623" t="s">
        <v>987</v>
      </c>
      <c r="H616" s="548" t="s">
        <v>114</v>
      </c>
      <c r="I616" s="583" t="s">
        <v>983</v>
      </c>
      <c r="J616" s="548" t="s">
        <v>850</v>
      </c>
      <c r="K616" s="583" t="s">
        <v>946</v>
      </c>
      <c r="L616" s="583" t="s">
        <v>947</v>
      </c>
      <c r="M616" s="619" t="s">
        <v>114</v>
      </c>
      <c r="N616" s="620">
        <v>44501</v>
      </c>
      <c r="O616" s="684" t="s">
        <v>67</v>
      </c>
      <c r="P616" s="503">
        <f t="shared" si="38"/>
        <v>11</v>
      </c>
      <c r="Q616" s="503">
        <f t="shared" si="39"/>
        <v>10</v>
      </c>
      <c r="R616" s="504" t="str">
        <f t="shared" si="40"/>
        <v>Gastos_com_Pessoal</v>
      </c>
      <c r="S616" s="504" t="str">
        <f>IF(D616="","",IF(OR(D616=Plano!$A$1,D616=Plano!$B$1),"entrada","saída"))</f>
        <v>saída</v>
      </c>
      <c r="T616" s="505" t="s">
        <v>114</v>
      </c>
      <c r="U616" s="505" t="s">
        <v>114</v>
      </c>
      <c r="V616" s="541"/>
    </row>
    <row r="617" spans="1:22" ht="64.5" customHeight="1" x14ac:dyDescent="0.2">
      <c r="A617" s="619">
        <f>IF(B617="","",COUNT('Diário 5º PA'!$A$5:$A$2634)+COUNT('Diário 6º PA'!$A$5:$A$2246)+COUNT('Diário 7º PA'!$A$5:$A$2271)+ROW()-4)</f>
        <v>4563</v>
      </c>
      <c r="B617" s="620">
        <v>44501</v>
      </c>
      <c r="C617" s="621">
        <v>44470</v>
      </c>
      <c r="D617" s="548" t="s">
        <v>88</v>
      </c>
      <c r="E617" s="548" t="s">
        <v>183</v>
      </c>
      <c r="F617" s="622">
        <v>-97.09</v>
      </c>
      <c r="G617" s="623" t="s">
        <v>986</v>
      </c>
      <c r="H617" s="548" t="s">
        <v>114</v>
      </c>
      <c r="I617" s="583" t="s">
        <v>983</v>
      </c>
      <c r="J617" s="548" t="s">
        <v>850</v>
      </c>
      <c r="K617" s="583" t="s">
        <v>946</v>
      </c>
      <c r="L617" s="583" t="s">
        <v>947</v>
      </c>
      <c r="M617" s="619" t="s">
        <v>114</v>
      </c>
      <c r="N617" s="620">
        <v>44501</v>
      </c>
      <c r="O617" s="684" t="s">
        <v>67</v>
      </c>
      <c r="P617" s="503">
        <f t="shared" si="38"/>
        <v>11</v>
      </c>
      <c r="Q617" s="503">
        <f t="shared" si="39"/>
        <v>10</v>
      </c>
      <c r="R617" s="504" t="str">
        <f t="shared" si="40"/>
        <v>Gastos_com_Pessoal</v>
      </c>
      <c r="S617" s="504" t="str">
        <f>IF(D617="","",IF(OR(D617=Plano!$A$1,D617=Plano!$B$1),"entrada","saída"))</f>
        <v>saída</v>
      </c>
      <c r="T617" s="505" t="s">
        <v>114</v>
      </c>
      <c r="U617" s="505" t="s">
        <v>114</v>
      </c>
      <c r="V617" s="541"/>
    </row>
    <row r="618" spans="1:22" ht="45" customHeight="1" x14ac:dyDescent="0.2">
      <c r="A618" s="619">
        <f>IF(B618="","",COUNT('Diário 5º PA'!$A$5:$A$2634)+COUNT('Diário 6º PA'!$A$5:$A$2246)+COUNT('Diário 7º PA'!$A$5:$A$2271)+ROW()-4)</f>
        <v>4564</v>
      </c>
      <c r="B618" s="620">
        <v>44501</v>
      </c>
      <c r="C618" s="621">
        <v>44470</v>
      </c>
      <c r="D618" s="548" t="s">
        <v>88</v>
      </c>
      <c r="E618" s="548" t="s">
        <v>183</v>
      </c>
      <c r="F618" s="622">
        <v>432.68</v>
      </c>
      <c r="G618" s="623" t="s">
        <v>6000</v>
      </c>
      <c r="H618" s="548" t="s">
        <v>114</v>
      </c>
      <c r="I618" s="583" t="s">
        <v>537</v>
      </c>
      <c r="J618" s="548" t="s">
        <v>538</v>
      </c>
      <c r="K618" s="583" t="s">
        <v>560</v>
      </c>
      <c r="L618" s="583" t="s">
        <v>992</v>
      </c>
      <c r="M618" s="619" t="s">
        <v>6001</v>
      </c>
      <c r="N618" s="620">
        <v>44487</v>
      </c>
      <c r="O618" s="684" t="s">
        <v>67</v>
      </c>
      <c r="P618" s="503">
        <f t="shared" si="38"/>
        <v>11</v>
      </c>
      <c r="Q618" s="503">
        <f t="shared" si="39"/>
        <v>10</v>
      </c>
      <c r="R618" s="504" t="str">
        <f t="shared" si="40"/>
        <v>Gastos_com_Pessoal</v>
      </c>
      <c r="S618" s="504" t="str">
        <f>IF(D618="","",IF(OR(D618=Plano!$A$1,D618=Plano!$B$1),"entrada","saída"))</f>
        <v>saída</v>
      </c>
      <c r="T618" s="511" t="s">
        <v>114</v>
      </c>
      <c r="U618" s="511" t="s">
        <v>114</v>
      </c>
      <c r="V618" s="541"/>
    </row>
    <row r="619" spans="1:22" ht="51" customHeight="1" x14ac:dyDescent="0.2">
      <c r="A619" s="619">
        <f>IF(B619="","",COUNT('Diário 5º PA'!$A$5:$A$2634)+COUNT('Diário 6º PA'!$A$5:$A$2246)+COUNT('Diário 7º PA'!$A$5:$A$2271)+ROW()-4)</f>
        <v>4565</v>
      </c>
      <c r="B619" s="620">
        <v>44501</v>
      </c>
      <c r="C619" s="621">
        <v>44470</v>
      </c>
      <c r="D619" s="548" t="s">
        <v>88</v>
      </c>
      <c r="E619" s="548" t="s">
        <v>183</v>
      </c>
      <c r="F619" s="622">
        <v>299.02999999999997</v>
      </c>
      <c r="G619" s="623" t="s">
        <v>539</v>
      </c>
      <c r="H619" s="548" t="s">
        <v>114</v>
      </c>
      <c r="I619" s="583" t="s">
        <v>998</v>
      </c>
      <c r="J619" s="548" t="s">
        <v>999</v>
      </c>
      <c r="K619" s="583" t="s">
        <v>560</v>
      </c>
      <c r="L619" s="583" t="s">
        <v>992</v>
      </c>
      <c r="M619" s="619" t="s">
        <v>6002</v>
      </c>
      <c r="N619" s="620">
        <v>44487</v>
      </c>
      <c r="O619" s="684" t="s">
        <v>67</v>
      </c>
      <c r="P619" s="503">
        <f t="shared" si="38"/>
        <v>11</v>
      </c>
      <c r="Q619" s="503">
        <f t="shared" si="39"/>
        <v>10</v>
      </c>
      <c r="R619" s="504" t="str">
        <f t="shared" si="40"/>
        <v>Gastos_com_Pessoal</v>
      </c>
      <c r="S619" s="504" t="str">
        <f>IF(D619="","",IF(OR(D619=Plano!$A$1,D619=Plano!$B$1),"entrada","saída"))</f>
        <v>saída</v>
      </c>
      <c r="T619" s="511" t="s">
        <v>114</v>
      </c>
      <c r="U619" s="511" t="s">
        <v>114</v>
      </c>
      <c r="V619" s="541"/>
    </row>
    <row r="620" spans="1:22" ht="46.5" customHeight="1" x14ac:dyDescent="0.2">
      <c r="A620" s="619">
        <f>IF(B620="","",COUNT('Diário 5º PA'!$A$5:$A$2634)+COUNT('Diário 6º PA'!$A$5:$A$2246)+COUNT('Diário 7º PA'!$A$5:$A$2271)+ROW()-4)</f>
        <v>4566</v>
      </c>
      <c r="B620" s="620">
        <v>44501</v>
      </c>
      <c r="C620" s="621">
        <v>44470</v>
      </c>
      <c r="D620" s="548" t="s">
        <v>88</v>
      </c>
      <c r="E620" s="548" t="s">
        <v>198</v>
      </c>
      <c r="F620" s="622">
        <v>1554.39</v>
      </c>
      <c r="G620" s="623" t="s">
        <v>533</v>
      </c>
      <c r="H620" s="548" t="s">
        <v>114</v>
      </c>
      <c r="I620" s="583" t="s">
        <v>534</v>
      </c>
      <c r="J620" s="548" t="s">
        <v>535</v>
      </c>
      <c r="K620" s="583" t="s">
        <v>560</v>
      </c>
      <c r="L620" s="583" t="s">
        <v>697</v>
      </c>
      <c r="M620" s="619">
        <v>8134322</v>
      </c>
      <c r="N620" s="620">
        <v>44488</v>
      </c>
      <c r="O620" s="684" t="s">
        <v>67</v>
      </c>
      <c r="P620" s="503">
        <f t="shared" si="38"/>
        <v>11</v>
      </c>
      <c r="Q620" s="503">
        <f t="shared" si="39"/>
        <v>10</v>
      </c>
      <c r="R620" s="504" t="str">
        <f t="shared" si="40"/>
        <v>Gastos_com_Pessoal</v>
      </c>
      <c r="S620" s="504" t="str">
        <f>IF(D620="","",IF(OR(D620=Plano!$A$1,D620=Plano!$B$1),"entrada","saída"))</f>
        <v>saída</v>
      </c>
      <c r="T620" s="511" t="s">
        <v>114</v>
      </c>
      <c r="U620" s="511" t="s">
        <v>114</v>
      </c>
      <c r="V620" s="541"/>
    </row>
    <row r="621" spans="1:22" ht="99.75" customHeight="1" x14ac:dyDescent="0.2">
      <c r="A621" s="619">
        <f>IF(B621="","",COUNT('Diário 5º PA'!$A$5:$A$2634)+COUNT('Diário 6º PA'!$A$5:$A$2246)+COUNT('Diário 7º PA'!$A$5:$A$2271)+ROW()-4)</f>
        <v>4567</v>
      </c>
      <c r="B621" s="620">
        <v>44501</v>
      </c>
      <c r="C621" s="624">
        <v>44470</v>
      </c>
      <c r="D621" s="548" t="s">
        <v>99</v>
      </c>
      <c r="E621" s="548" t="s">
        <v>330</v>
      </c>
      <c r="F621" s="622">
        <v>241.92</v>
      </c>
      <c r="G621" s="623" t="s">
        <v>451</v>
      </c>
      <c r="H621" s="548" t="s">
        <v>115</v>
      </c>
      <c r="I621" s="583" t="s">
        <v>1640</v>
      </c>
      <c r="J621" s="548" t="s">
        <v>452</v>
      </c>
      <c r="K621" s="583" t="s">
        <v>560</v>
      </c>
      <c r="L621" s="583" t="s">
        <v>992</v>
      </c>
      <c r="M621" s="619">
        <v>31371</v>
      </c>
      <c r="N621" s="620">
        <v>44470</v>
      </c>
      <c r="O621" s="684" t="s">
        <v>67</v>
      </c>
      <c r="P621" s="503">
        <f t="shared" si="38"/>
        <v>11</v>
      </c>
      <c r="Q621" s="503">
        <f t="shared" si="39"/>
        <v>10</v>
      </c>
      <c r="R621" s="504" t="str">
        <f t="shared" si="40"/>
        <v>Gastos_Gerais</v>
      </c>
      <c r="S621" s="504" t="str">
        <f>IF(D621="","",IF(OR(D621=Plano!$A$1,D621=Plano!$B$1),"entrada","saída"))</f>
        <v>saída</v>
      </c>
      <c r="T621" s="505" t="s">
        <v>1082</v>
      </c>
      <c r="U621" s="505">
        <v>1672</v>
      </c>
      <c r="V621" s="541"/>
    </row>
    <row r="622" spans="1:22" ht="40.5" customHeight="1" x14ac:dyDescent="0.2">
      <c r="A622" s="619">
        <f>IF(B622="","",COUNT('Diário 5º PA'!$A$5:$A$2634)+COUNT('Diário 6º PA'!$A$5:$A$2246)+COUNT('Diário 7º PA'!$A$5:$A$2271)+ROW()-4)</f>
        <v>4568</v>
      </c>
      <c r="B622" s="620">
        <v>44501</v>
      </c>
      <c r="C622" s="621">
        <v>44470</v>
      </c>
      <c r="D622" s="548" t="s">
        <v>88</v>
      </c>
      <c r="E622" s="548" t="s">
        <v>181</v>
      </c>
      <c r="F622" s="622">
        <v>4990.45</v>
      </c>
      <c r="G622" s="623" t="s">
        <v>6007</v>
      </c>
      <c r="H622" s="548" t="s">
        <v>114</v>
      </c>
      <c r="I622" s="583" t="s">
        <v>1208</v>
      </c>
      <c r="J622" s="548" t="s">
        <v>1209</v>
      </c>
      <c r="K622" s="583" t="s">
        <v>991</v>
      </c>
      <c r="L622" s="583" t="s">
        <v>1352</v>
      </c>
      <c r="M622" s="619" t="s">
        <v>114</v>
      </c>
      <c r="N622" s="620">
        <v>44501</v>
      </c>
      <c r="O622" s="684" t="s">
        <v>67</v>
      </c>
      <c r="P622" s="503">
        <f t="shared" si="38"/>
        <v>11</v>
      </c>
      <c r="Q622" s="503">
        <f t="shared" si="39"/>
        <v>10</v>
      </c>
      <c r="R622" s="504" t="str">
        <f t="shared" si="40"/>
        <v>Gastos_com_Pessoal</v>
      </c>
      <c r="S622" s="504" t="str">
        <f>IF(D622="","",IF(OR(D622=Plano!$A$1,D622=Plano!$B$1),"entrada","saída"))</f>
        <v>saída</v>
      </c>
      <c r="T622" s="505" t="s">
        <v>114</v>
      </c>
      <c r="U622" s="505" t="s">
        <v>114</v>
      </c>
      <c r="V622" s="541"/>
    </row>
    <row r="623" spans="1:22" ht="67.5" customHeight="1" x14ac:dyDescent="0.2">
      <c r="A623" s="619">
        <f>IF(B623="","",COUNT('Diário 5º PA'!$A$5:$A$2634)+COUNT('Diário 6º PA'!$A$5:$A$2246)+COUNT('Diário 7º PA'!$A$5:$A$2271)+ROW()-4)</f>
        <v>4569</v>
      </c>
      <c r="B623" s="620">
        <v>44503</v>
      </c>
      <c r="C623" s="621">
        <v>44440</v>
      </c>
      <c r="D623" s="548" t="s">
        <v>104</v>
      </c>
      <c r="E623" s="548" t="s">
        <v>104</v>
      </c>
      <c r="F623" s="622">
        <v>-751.13</v>
      </c>
      <c r="G623" s="623" t="s">
        <v>6008</v>
      </c>
      <c r="H623" s="548" t="s">
        <v>104</v>
      </c>
      <c r="I623" s="583" t="s">
        <v>983</v>
      </c>
      <c r="J623" s="548" t="s">
        <v>850</v>
      </c>
      <c r="K623" s="583" t="s">
        <v>946</v>
      </c>
      <c r="L623" s="583" t="s">
        <v>947</v>
      </c>
      <c r="M623" s="619" t="s">
        <v>114</v>
      </c>
      <c r="N623" s="620">
        <v>44503</v>
      </c>
      <c r="O623" s="684" t="s">
        <v>67</v>
      </c>
      <c r="P623" s="503">
        <f t="shared" si="38"/>
        <v>11</v>
      </c>
      <c r="Q623" s="503">
        <f t="shared" si="39"/>
        <v>9</v>
      </c>
      <c r="R623" s="504" t="str">
        <f t="shared" si="40"/>
        <v>Gastos_custeados_por_captação</v>
      </c>
      <c r="S623" s="504" t="str">
        <f>IF(D623="","",IF(OR(D623=Plano!$A$1,D623=Plano!$B$1),"entrada","saída"))</f>
        <v>saída</v>
      </c>
      <c r="T623" s="505" t="s">
        <v>114</v>
      </c>
      <c r="U623" s="505" t="s">
        <v>114</v>
      </c>
      <c r="V623" s="541"/>
    </row>
    <row r="624" spans="1:22" s="521" customFormat="1" ht="67.5" customHeight="1" x14ac:dyDescent="0.2">
      <c r="A624" s="619">
        <f>IF(B624="","",COUNT('Diário 5º PA'!$A$5:$A$2634)+COUNT('Diário 6º PA'!$A$5:$A$2246)+COUNT('Diário 7º PA'!$A$5:$A$2271)+ROW()-4)</f>
        <v>4570</v>
      </c>
      <c r="B624" s="620">
        <v>44503</v>
      </c>
      <c r="C624" s="628">
        <v>44501</v>
      </c>
      <c r="D624" s="548" t="s">
        <v>77</v>
      </c>
      <c r="E624" s="548" t="s">
        <v>147</v>
      </c>
      <c r="F624" s="622">
        <v>850000</v>
      </c>
      <c r="G624" s="623" t="s">
        <v>6080</v>
      </c>
      <c r="H624" s="548" t="s">
        <v>114</v>
      </c>
      <c r="I624" s="583" t="s">
        <v>983</v>
      </c>
      <c r="J624" s="548" t="s">
        <v>850</v>
      </c>
      <c r="K624" s="583" t="s">
        <v>1015</v>
      </c>
      <c r="L624" s="583" t="s">
        <v>1177</v>
      </c>
      <c r="M624" s="619" t="s">
        <v>114</v>
      </c>
      <c r="N624" s="620">
        <v>44503</v>
      </c>
      <c r="O624" s="684" t="s">
        <v>69</v>
      </c>
      <c r="P624" s="503">
        <f t="shared" si="38"/>
        <v>11</v>
      </c>
      <c r="Q624" s="503">
        <f t="shared" si="39"/>
        <v>11</v>
      </c>
      <c r="R624" s="504" t="str">
        <f t="shared" si="40"/>
        <v>Receitas</v>
      </c>
      <c r="S624" s="504" t="str">
        <f>IF(D624="","",IF(OR(D624=Plano!$A$1,D624=Plano!$B$1),"entrada","saída"))</f>
        <v>entrada</v>
      </c>
      <c r="T624" s="511" t="s">
        <v>114</v>
      </c>
      <c r="U624" s="511" t="s">
        <v>114</v>
      </c>
      <c r="V624" s="541"/>
    </row>
    <row r="625" spans="1:22" s="521" customFormat="1" ht="67.5" customHeight="1" x14ac:dyDescent="0.2">
      <c r="A625" s="619">
        <f>IF(B625="","",COUNT('Diário 5º PA'!$A$5:$A$2634)+COUNT('Diário 6º PA'!$A$5:$A$2246)+COUNT('Diário 7º PA'!$A$5:$A$2271)+ROW()-4)</f>
        <v>4571</v>
      </c>
      <c r="B625" s="620">
        <v>44503</v>
      </c>
      <c r="C625" s="628">
        <v>44501</v>
      </c>
      <c r="D625" s="548" t="s">
        <v>77</v>
      </c>
      <c r="E625" s="548" t="s">
        <v>147</v>
      </c>
      <c r="F625" s="622">
        <v>150000</v>
      </c>
      <c r="G625" s="623" t="s">
        <v>6080</v>
      </c>
      <c r="H625" s="548" t="s">
        <v>114</v>
      </c>
      <c r="I625" s="583" t="s">
        <v>983</v>
      </c>
      <c r="J625" s="548" t="s">
        <v>850</v>
      </c>
      <c r="K625" s="583" t="s">
        <v>1015</v>
      </c>
      <c r="L625" s="583" t="s">
        <v>1177</v>
      </c>
      <c r="M625" s="619" t="s">
        <v>114</v>
      </c>
      <c r="N625" s="620">
        <v>44503</v>
      </c>
      <c r="O625" s="684" t="s">
        <v>69</v>
      </c>
      <c r="P625" s="503">
        <f t="shared" si="38"/>
        <v>11</v>
      </c>
      <c r="Q625" s="503">
        <f t="shared" si="39"/>
        <v>11</v>
      </c>
      <c r="R625" s="504" t="str">
        <f t="shared" si="40"/>
        <v>Receitas</v>
      </c>
      <c r="S625" s="504" t="str">
        <f>IF(D625="","",IF(OR(D625=Plano!$A$1,D625=Plano!$B$1),"entrada","saída"))</f>
        <v>entrada</v>
      </c>
      <c r="T625" s="511" t="s">
        <v>114</v>
      </c>
      <c r="U625" s="511" t="s">
        <v>114</v>
      </c>
      <c r="V625" s="541"/>
    </row>
    <row r="626" spans="1:22" ht="66.75" customHeight="1" x14ac:dyDescent="0.2">
      <c r="A626" s="619">
        <f>IF(B626="","",COUNT('Diário 5º PA'!$A$5:$A$2634)+COUNT('Diário 6º PA'!$A$5:$A$2246)+COUNT('Diário 7º PA'!$A$5:$A$2271)+ROW()-4)</f>
        <v>4572</v>
      </c>
      <c r="B626" s="620">
        <v>44504</v>
      </c>
      <c r="C626" s="628">
        <v>44470</v>
      </c>
      <c r="D626" s="548" t="s">
        <v>99</v>
      </c>
      <c r="E626" s="548" t="s">
        <v>364</v>
      </c>
      <c r="F626" s="622">
        <v>360</v>
      </c>
      <c r="G626" s="623" t="s">
        <v>5540</v>
      </c>
      <c r="H626" s="548" t="s">
        <v>131</v>
      </c>
      <c r="I626" s="583" t="s">
        <v>5469</v>
      </c>
      <c r="J626" s="548" t="s">
        <v>5470</v>
      </c>
      <c r="K626" s="583" t="s">
        <v>560</v>
      </c>
      <c r="L626" s="583" t="s">
        <v>992</v>
      </c>
      <c r="M626" s="619" t="s">
        <v>6009</v>
      </c>
      <c r="N626" s="620">
        <v>44476</v>
      </c>
      <c r="O626" s="684" t="s">
        <v>67</v>
      </c>
      <c r="P626" s="503">
        <f t="shared" si="38"/>
        <v>11</v>
      </c>
      <c r="Q626" s="503">
        <f t="shared" si="39"/>
        <v>10</v>
      </c>
      <c r="R626" s="504" t="str">
        <f t="shared" si="40"/>
        <v>Gastos_Gerais</v>
      </c>
      <c r="S626" s="504" t="str">
        <f>IF(D626="","",IF(OR(D626=Plano!$A$1,D626=Plano!$B$1),"entrada","saída"))</f>
        <v>saída</v>
      </c>
      <c r="T626" s="505" t="s">
        <v>1011</v>
      </c>
      <c r="U626" s="505">
        <v>2219</v>
      </c>
      <c r="V626" s="541"/>
    </row>
    <row r="627" spans="1:22" s="572" customFormat="1" ht="66.75" customHeight="1" x14ac:dyDescent="0.2">
      <c r="A627" s="619">
        <f>IF(B627="","",COUNT('Diário 5º PA'!$A$5:$A$2634)+COUNT('Diário 6º PA'!$A$5:$A$2246)+COUNT('Diário 7º PA'!$A$5:$A$2271)+ROW()-4)</f>
        <v>4573</v>
      </c>
      <c r="B627" s="620">
        <v>44504</v>
      </c>
      <c r="C627" s="628">
        <v>44470</v>
      </c>
      <c r="D627" s="548" t="s">
        <v>104</v>
      </c>
      <c r="E627" s="548" t="s">
        <v>104</v>
      </c>
      <c r="F627" s="622">
        <v>5390</v>
      </c>
      <c r="G627" s="623" t="s">
        <v>5521</v>
      </c>
      <c r="H627" s="548" t="s">
        <v>104</v>
      </c>
      <c r="I627" s="583" t="s">
        <v>6893</v>
      </c>
      <c r="J627" s="548" t="s">
        <v>5522</v>
      </c>
      <c r="K627" s="583" t="s">
        <v>991</v>
      </c>
      <c r="L627" s="583" t="s">
        <v>992</v>
      </c>
      <c r="M627" s="619" t="s">
        <v>1058</v>
      </c>
      <c r="N627" s="620">
        <v>44503</v>
      </c>
      <c r="O627" s="684" t="s">
        <v>5370</v>
      </c>
      <c r="P627" s="503">
        <f t="shared" si="38"/>
        <v>11</v>
      </c>
      <c r="Q627" s="503">
        <f t="shared" si="39"/>
        <v>10</v>
      </c>
      <c r="R627" s="504" t="str">
        <f t="shared" si="40"/>
        <v>Gastos_custeados_por_captação</v>
      </c>
      <c r="S627" s="504" t="str">
        <f>IF(D627="","",IF(OR(D627=Plano!$A$1,D627=Plano!$B$1),"entrada","saída"))</f>
        <v>saída</v>
      </c>
      <c r="T627" s="511" t="s">
        <v>1082</v>
      </c>
      <c r="U627" s="511">
        <v>1511</v>
      </c>
      <c r="V627" s="541"/>
    </row>
    <row r="628" spans="1:22" ht="76.5" customHeight="1" x14ac:dyDescent="0.2">
      <c r="A628" s="619">
        <f>IF(B628="","",COUNT('Diário 5º PA'!$A$5:$A$2634)+COUNT('Diário 6º PA'!$A$5:$A$2246)+COUNT('Diário 7º PA'!$A$5:$A$2271)+ROW()-4)</f>
        <v>4574</v>
      </c>
      <c r="B628" s="620">
        <v>44505</v>
      </c>
      <c r="C628" s="621">
        <v>44470</v>
      </c>
      <c r="D628" s="548" t="s">
        <v>88</v>
      </c>
      <c r="E628" s="548" t="s">
        <v>171</v>
      </c>
      <c r="F628" s="622">
        <v>-2032.93</v>
      </c>
      <c r="G628" s="623" t="s">
        <v>6013</v>
      </c>
      <c r="H628" s="548" t="s">
        <v>114</v>
      </c>
      <c r="I628" s="583" t="s">
        <v>983</v>
      </c>
      <c r="J628" s="548" t="s">
        <v>850</v>
      </c>
      <c r="K628" s="583" t="s">
        <v>946</v>
      </c>
      <c r="L628" s="583" t="s">
        <v>947</v>
      </c>
      <c r="M628" s="619" t="s">
        <v>114</v>
      </c>
      <c r="N628" s="620">
        <v>44505</v>
      </c>
      <c r="O628" s="684" t="s">
        <v>67</v>
      </c>
      <c r="P628" s="503">
        <f t="shared" si="38"/>
        <v>11</v>
      </c>
      <c r="Q628" s="503">
        <f t="shared" si="39"/>
        <v>10</v>
      </c>
      <c r="R628" s="504" t="str">
        <f t="shared" si="40"/>
        <v>Gastos_com_Pessoal</v>
      </c>
      <c r="S628" s="504" t="str">
        <f>IF(D628="","",IF(OR(D628=Plano!$A$1,D628=Plano!$B$1),"entrada","saída"))</f>
        <v>saída</v>
      </c>
      <c r="T628" s="505" t="s">
        <v>114</v>
      </c>
      <c r="U628" s="505" t="s">
        <v>114</v>
      </c>
      <c r="V628" s="541"/>
    </row>
    <row r="629" spans="1:22" ht="52.5" customHeight="1" x14ac:dyDescent="0.2">
      <c r="A629" s="619">
        <f>IF(B629="","",COUNT('Diário 5º PA'!$A$5:$A$2634)+COUNT('Diário 6º PA'!$A$5:$A$2246)+COUNT('Diário 7º PA'!$A$5:$A$2271)+ROW()-4)</f>
        <v>4575</v>
      </c>
      <c r="B629" s="620">
        <v>44505</v>
      </c>
      <c r="C629" s="621">
        <v>44470</v>
      </c>
      <c r="D629" s="548" t="s">
        <v>88</v>
      </c>
      <c r="E629" s="548" t="s">
        <v>171</v>
      </c>
      <c r="F629" s="622">
        <v>-120</v>
      </c>
      <c r="G629" s="623" t="s">
        <v>6014</v>
      </c>
      <c r="H629" s="548" t="s">
        <v>114</v>
      </c>
      <c r="I629" s="583" t="s">
        <v>983</v>
      </c>
      <c r="J629" s="548" t="s">
        <v>850</v>
      </c>
      <c r="K629" s="583" t="s">
        <v>946</v>
      </c>
      <c r="L629" s="583" t="s">
        <v>947</v>
      </c>
      <c r="M629" s="619" t="s">
        <v>114</v>
      </c>
      <c r="N629" s="620">
        <v>44505</v>
      </c>
      <c r="O629" s="684" t="s">
        <v>67</v>
      </c>
      <c r="P629" s="503">
        <f t="shared" si="38"/>
        <v>11</v>
      </c>
      <c r="Q629" s="503">
        <f t="shared" si="39"/>
        <v>10</v>
      </c>
      <c r="R629" s="504" t="str">
        <f t="shared" si="40"/>
        <v>Gastos_com_Pessoal</v>
      </c>
      <c r="S629" s="504" t="str">
        <f>IF(D629="","",IF(OR(D629=Plano!$A$1,D629=Plano!$B$1),"entrada","saída"))</f>
        <v>saída</v>
      </c>
      <c r="T629" s="505" t="s">
        <v>114</v>
      </c>
      <c r="U629" s="505" t="s">
        <v>114</v>
      </c>
      <c r="V629" s="541"/>
    </row>
    <row r="630" spans="1:22" ht="58.5" customHeight="1" x14ac:dyDescent="0.2">
      <c r="A630" s="619">
        <f>IF(B630="","",COUNT('Diário 5º PA'!$A$5:$A$2634)+COUNT('Diário 6º PA'!$A$5:$A$2246)+COUNT('Diário 7º PA'!$A$5:$A$2271)+ROW()-4)</f>
        <v>4576</v>
      </c>
      <c r="B630" s="620">
        <v>44505</v>
      </c>
      <c r="C630" s="628">
        <v>44501</v>
      </c>
      <c r="D630" s="548" t="s">
        <v>77</v>
      </c>
      <c r="E630" s="548" t="s">
        <v>79</v>
      </c>
      <c r="F630" s="622">
        <v>1066238.8700000001</v>
      </c>
      <c r="G630" s="623" t="s">
        <v>6015</v>
      </c>
      <c r="H630" s="548" t="s">
        <v>114</v>
      </c>
      <c r="I630" s="583" t="s">
        <v>983</v>
      </c>
      <c r="J630" s="548" t="s">
        <v>850</v>
      </c>
      <c r="K630" s="583" t="s">
        <v>946</v>
      </c>
      <c r="L630" s="583" t="s">
        <v>947</v>
      </c>
      <c r="M630" s="619" t="s">
        <v>114</v>
      </c>
      <c r="N630" s="620">
        <v>44505</v>
      </c>
      <c r="O630" s="684" t="s">
        <v>67</v>
      </c>
      <c r="P630" s="503">
        <f t="shared" si="38"/>
        <v>11</v>
      </c>
      <c r="Q630" s="503">
        <f t="shared" si="39"/>
        <v>11</v>
      </c>
      <c r="R630" s="504" t="str">
        <f t="shared" si="40"/>
        <v>Receitas</v>
      </c>
      <c r="S630" s="504" t="str">
        <f>IF(D630="","",IF(OR(D630=Plano!$A$1,D630=Plano!$B$1),"entrada","saída"))</f>
        <v>entrada</v>
      </c>
      <c r="T630" s="505" t="s">
        <v>114</v>
      </c>
      <c r="U630" s="505" t="s">
        <v>114</v>
      </c>
      <c r="V630" s="541"/>
    </row>
    <row r="631" spans="1:22" ht="119.25" customHeight="1" x14ac:dyDescent="0.2">
      <c r="A631" s="619">
        <f>IF(B631="","",COUNT('Diário 5º PA'!$A$5:$A$2634)+COUNT('Diário 6º PA'!$A$5:$A$2246)+COUNT('Diário 7º PA'!$A$5:$A$2271)+ROW()-4)</f>
        <v>4577</v>
      </c>
      <c r="B631" s="620">
        <v>44505</v>
      </c>
      <c r="C631" s="624">
        <v>44470</v>
      </c>
      <c r="D631" s="548" t="s">
        <v>99</v>
      </c>
      <c r="E631" s="548" t="s">
        <v>364</v>
      </c>
      <c r="F631" s="622">
        <v>1567.84</v>
      </c>
      <c r="G631" s="623" t="s">
        <v>5797</v>
      </c>
      <c r="H631" s="548" t="s">
        <v>118</v>
      </c>
      <c r="I631" s="583" t="s">
        <v>6016</v>
      </c>
      <c r="J631" s="548" t="s">
        <v>5798</v>
      </c>
      <c r="K631" s="583" t="s">
        <v>1015</v>
      </c>
      <c r="L631" s="583" t="s">
        <v>992</v>
      </c>
      <c r="M631" s="619" t="s">
        <v>1301</v>
      </c>
      <c r="N631" s="620">
        <v>44504</v>
      </c>
      <c r="O631" s="684" t="s">
        <v>67</v>
      </c>
      <c r="P631" s="503">
        <f t="shared" si="38"/>
        <v>11</v>
      </c>
      <c r="Q631" s="503">
        <f t="shared" si="39"/>
        <v>10</v>
      </c>
      <c r="R631" s="504" t="str">
        <f t="shared" si="40"/>
        <v>Gastos_Gerais</v>
      </c>
      <c r="S631" s="504" t="str">
        <f>IF(D631="","",IF(OR(D631=Plano!$A$1,D631=Plano!$B$1),"entrada","saída"))</f>
        <v>saída</v>
      </c>
      <c r="T631" s="505" t="s">
        <v>1082</v>
      </c>
      <c r="U631" s="505">
        <v>2206</v>
      </c>
      <c r="V631" s="541"/>
    </row>
    <row r="632" spans="1:22" ht="178.5" customHeight="1" x14ac:dyDescent="0.2">
      <c r="A632" s="619">
        <f>IF(B632="","",COUNT('Diário 5º PA'!$A$5:$A$2634)+COUNT('Diário 6º PA'!$A$5:$A$2246)+COUNT('Diário 7º PA'!$A$5:$A$2271)+ROW()-4)</f>
        <v>4578</v>
      </c>
      <c r="B632" s="620">
        <v>44505</v>
      </c>
      <c r="C632" s="624">
        <v>44501</v>
      </c>
      <c r="D632" s="548" t="s">
        <v>99</v>
      </c>
      <c r="E632" s="548" t="s">
        <v>262</v>
      </c>
      <c r="F632" s="622">
        <v>3000</v>
      </c>
      <c r="G632" s="623" t="s">
        <v>474</v>
      </c>
      <c r="H632" s="548" t="s">
        <v>129</v>
      </c>
      <c r="I632" s="583" t="s">
        <v>1257</v>
      </c>
      <c r="J632" s="548" t="s">
        <v>476</v>
      </c>
      <c r="K632" s="583" t="s">
        <v>1015</v>
      </c>
      <c r="L632" s="583" t="s">
        <v>992</v>
      </c>
      <c r="M632" s="619" t="s">
        <v>2429</v>
      </c>
      <c r="N632" s="620">
        <v>44503</v>
      </c>
      <c r="O632" s="684" t="s">
        <v>67</v>
      </c>
      <c r="P632" s="503">
        <f t="shared" si="38"/>
        <v>11</v>
      </c>
      <c r="Q632" s="503">
        <f t="shared" si="39"/>
        <v>11</v>
      </c>
      <c r="R632" s="504" t="str">
        <f t="shared" si="40"/>
        <v>Gastos_Gerais</v>
      </c>
      <c r="S632" s="504" t="str">
        <f>IF(D632="","",IF(OR(D632=Plano!$A$1,D632=Plano!$B$1),"entrada","saída"))</f>
        <v>saída</v>
      </c>
      <c r="T632" s="505" t="s">
        <v>1059</v>
      </c>
      <c r="U632" s="505">
        <v>1273</v>
      </c>
      <c r="V632" s="541"/>
    </row>
    <row r="633" spans="1:22" ht="62.25" customHeight="1" x14ac:dyDescent="0.2">
      <c r="A633" s="619">
        <f>IF(B633="","",COUNT('Diário 5º PA'!$A$5:$A$2634)+COUNT('Diário 6º PA'!$A$5:$A$2246)+COUNT('Diário 7º PA'!$A$5:$A$2271)+ROW()-4)</f>
        <v>4579</v>
      </c>
      <c r="B633" s="620">
        <v>44505</v>
      </c>
      <c r="C633" s="628">
        <v>44470</v>
      </c>
      <c r="D633" s="548" t="s">
        <v>99</v>
      </c>
      <c r="E633" s="548" t="s">
        <v>370</v>
      </c>
      <c r="F633" s="622">
        <v>1050</v>
      </c>
      <c r="G633" s="623" t="s">
        <v>5523</v>
      </c>
      <c r="H633" s="548" t="s">
        <v>125</v>
      </c>
      <c r="I633" s="583" t="s">
        <v>6018</v>
      </c>
      <c r="J633" s="548" t="s">
        <v>5524</v>
      </c>
      <c r="K633" s="583" t="s">
        <v>1015</v>
      </c>
      <c r="L633" s="583" t="s">
        <v>1029</v>
      </c>
      <c r="M633" s="619">
        <v>1410</v>
      </c>
      <c r="N633" s="620">
        <v>44504</v>
      </c>
      <c r="O633" s="684" t="s">
        <v>67</v>
      </c>
      <c r="P633" s="503">
        <f t="shared" si="38"/>
        <v>11</v>
      </c>
      <c r="Q633" s="503">
        <f t="shared" si="39"/>
        <v>10</v>
      </c>
      <c r="R633" s="504" t="str">
        <f t="shared" si="40"/>
        <v>Gastos_Gerais</v>
      </c>
      <c r="S633" s="504" t="str">
        <f>IF(D633="","",IF(OR(D633=Plano!$A$1,D633=Plano!$B$1),"entrada","saída"))</f>
        <v>saída</v>
      </c>
      <c r="T633" s="505" t="s">
        <v>994</v>
      </c>
      <c r="U633" s="505">
        <v>2098</v>
      </c>
      <c r="V633" s="541"/>
    </row>
    <row r="634" spans="1:22" ht="41.25" customHeight="1" x14ac:dyDescent="0.2">
      <c r="A634" s="619">
        <f>IF(B634="","",COUNT('Diário 5º PA'!$A$5:$A$2634)+COUNT('Diário 6º PA'!$A$5:$A$2246)+COUNT('Diário 7º PA'!$A$5:$A$2271)+ROW()-4)</f>
        <v>4580</v>
      </c>
      <c r="B634" s="620">
        <v>44505</v>
      </c>
      <c r="C634" s="628">
        <v>44470</v>
      </c>
      <c r="D634" s="548" t="s">
        <v>88</v>
      </c>
      <c r="E634" s="548" t="s">
        <v>90</v>
      </c>
      <c r="F634" s="622">
        <v>10367.19</v>
      </c>
      <c r="G634" s="623" t="s">
        <v>6021</v>
      </c>
      <c r="H634" s="548" t="s">
        <v>114</v>
      </c>
      <c r="I634" s="583" t="s">
        <v>1181</v>
      </c>
      <c r="J634" s="548" t="s">
        <v>1182</v>
      </c>
      <c r="K634" s="583" t="s">
        <v>991</v>
      </c>
      <c r="L634" s="583" t="s">
        <v>1183</v>
      </c>
      <c r="M634" s="619" t="s">
        <v>114</v>
      </c>
      <c r="N634" s="620">
        <v>44505</v>
      </c>
      <c r="O634" s="684" t="s">
        <v>67</v>
      </c>
      <c r="P634" s="503">
        <f t="shared" si="38"/>
        <v>11</v>
      </c>
      <c r="Q634" s="503">
        <f t="shared" si="39"/>
        <v>10</v>
      </c>
      <c r="R634" s="504" t="str">
        <f t="shared" si="40"/>
        <v>Gastos_com_Pessoal</v>
      </c>
      <c r="S634" s="504" t="str">
        <f>IF(D634="","",IF(OR(D634=Plano!$A$1,D634=Plano!$B$1),"entrada","saída"))</f>
        <v>saída</v>
      </c>
      <c r="T634" s="505" t="s">
        <v>114</v>
      </c>
      <c r="U634" s="505" t="s">
        <v>114</v>
      </c>
      <c r="V634" s="541"/>
    </row>
    <row r="635" spans="1:22" ht="36.75" customHeight="1" x14ac:dyDescent="0.2">
      <c r="A635" s="619">
        <f>IF(B635="","",COUNT('Diário 5º PA'!$A$5:$A$2634)+COUNT('Diário 6º PA'!$A$5:$A$2246)+COUNT('Diário 7º PA'!$A$5:$A$2271)+ROW()-4)</f>
        <v>4581</v>
      </c>
      <c r="B635" s="620">
        <v>44505</v>
      </c>
      <c r="C635" s="628">
        <v>44470</v>
      </c>
      <c r="D635" s="548" t="s">
        <v>88</v>
      </c>
      <c r="E635" s="548" t="s">
        <v>90</v>
      </c>
      <c r="F635" s="622">
        <v>2073.86</v>
      </c>
      <c r="G635" s="623" t="s">
        <v>6022</v>
      </c>
      <c r="H635" s="548" t="s">
        <v>114</v>
      </c>
      <c r="I635" s="583" t="s">
        <v>1757</v>
      </c>
      <c r="J635" s="548" t="s">
        <v>1758</v>
      </c>
      <c r="K635" s="583" t="s">
        <v>991</v>
      </c>
      <c r="L635" s="583" t="s">
        <v>1183</v>
      </c>
      <c r="M635" s="619" t="s">
        <v>114</v>
      </c>
      <c r="N635" s="620">
        <v>44505</v>
      </c>
      <c r="O635" s="684" t="s">
        <v>67</v>
      </c>
      <c r="P635" s="503">
        <f t="shared" si="38"/>
        <v>11</v>
      </c>
      <c r="Q635" s="503">
        <f t="shared" si="39"/>
        <v>10</v>
      </c>
      <c r="R635" s="504" t="str">
        <f t="shared" si="40"/>
        <v>Gastos_com_Pessoal</v>
      </c>
      <c r="S635" s="504" t="str">
        <f>IF(D635="","",IF(OR(D635=Plano!$A$1,D635=Plano!$B$1),"entrada","saída"))</f>
        <v>saída</v>
      </c>
      <c r="T635" s="505" t="s">
        <v>114</v>
      </c>
      <c r="U635" s="505" t="s">
        <v>114</v>
      </c>
      <c r="V635" s="541"/>
    </row>
    <row r="636" spans="1:22" ht="37.5" customHeight="1" x14ac:dyDescent="0.2">
      <c r="A636" s="619">
        <f>IF(B636="","",COUNT('Diário 5º PA'!$A$5:$A$2634)+COUNT('Diário 6º PA'!$A$5:$A$2246)+COUNT('Diário 7º PA'!$A$5:$A$2271)+ROW()-4)</f>
        <v>4582</v>
      </c>
      <c r="B636" s="620">
        <v>44505</v>
      </c>
      <c r="C636" s="628">
        <v>44470</v>
      </c>
      <c r="D636" s="548" t="s">
        <v>88</v>
      </c>
      <c r="E636" s="548" t="s">
        <v>90</v>
      </c>
      <c r="F636" s="622">
        <v>2367.96</v>
      </c>
      <c r="G636" s="623" t="s">
        <v>6023</v>
      </c>
      <c r="H636" s="548" t="s">
        <v>114</v>
      </c>
      <c r="I636" s="583" t="s">
        <v>6024</v>
      </c>
      <c r="J636" s="548" t="s">
        <v>6025</v>
      </c>
      <c r="K636" s="583" t="s">
        <v>991</v>
      </c>
      <c r="L636" s="583" t="s">
        <v>1183</v>
      </c>
      <c r="M636" s="619" t="s">
        <v>114</v>
      </c>
      <c r="N636" s="620">
        <v>44505</v>
      </c>
      <c r="O636" s="684" t="s">
        <v>67</v>
      </c>
      <c r="P636" s="503">
        <f t="shared" si="38"/>
        <v>11</v>
      </c>
      <c r="Q636" s="503">
        <f t="shared" si="39"/>
        <v>10</v>
      </c>
      <c r="R636" s="504" t="str">
        <f t="shared" si="40"/>
        <v>Gastos_com_Pessoal</v>
      </c>
      <c r="S636" s="504" t="str">
        <f>IF(D636="","",IF(OR(D636=Plano!$A$1,D636=Plano!$B$1),"entrada","saída"))</f>
        <v>saída</v>
      </c>
      <c r="T636" s="505" t="s">
        <v>114</v>
      </c>
      <c r="U636" s="505" t="s">
        <v>114</v>
      </c>
      <c r="V636" s="541"/>
    </row>
    <row r="637" spans="1:22" ht="48" customHeight="1" x14ac:dyDescent="0.2">
      <c r="A637" s="619">
        <f>IF(B637="","",COUNT('Diário 5º PA'!$A$5:$A$2634)+COUNT('Diário 6º PA'!$A$5:$A$2246)+COUNT('Diário 7º PA'!$A$5:$A$2271)+ROW()-4)</f>
        <v>4583</v>
      </c>
      <c r="B637" s="620">
        <v>44505</v>
      </c>
      <c r="C637" s="628">
        <v>44470</v>
      </c>
      <c r="D637" s="548" t="s">
        <v>88</v>
      </c>
      <c r="E637" s="548" t="s">
        <v>90</v>
      </c>
      <c r="F637" s="622">
        <v>2385.5100000000002</v>
      </c>
      <c r="G637" s="623" t="s">
        <v>6023</v>
      </c>
      <c r="H637" s="548" t="s">
        <v>114</v>
      </c>
      <c r="I637" s="583" t="s">
        <v>6026</v>
      </c>
      <c r="J637" s="548" t="s">
        <v>6027</v>
      </c>
      <c r="K637" s="583" t="s">
        <v>991</v>
      </c>
      <c r="L637" s="583" t="s">
        <v>1183</v>
      </c>
      <c r="M637" s="619" t="s">
        <v>114</v>
      </c>
      <c r="N637" s="620">
        <v>44505</v>
      </c>
      <c r="O637" s="684" t="s">
        <v>67</v>
      </c>
      <c r="P637" s="503">
        <f t="shared" si="38"/>
        <v>11</v>
      </c>
      <c r="Q637" s="503">
        <f t="shared" si="39"/>
        <v>10</v>
      </c>
      <c r="R637" s="504" t="str">
        <f t="shared" si="40"/>
        <v>Gastos_com_Pessoal</v>
      </c>
      <c r="S637" s="504" t="str">
        <f>IF(D637="","",IF(OR(D637=Plano!$A$1,D637=Plano!$B$1),"entrada","saída"))</f>
        <v>saída</v>
      </c>
      <c r="T637" s="505" t="s">
        <v>114</v>
      </c>
      <c r="U637" s="505" t="s">
        <v>114</v>
      </c>
      <c r="V637" s="541"/>
    </row>
    <row r="638" spans="1:22" ht="50.1" customHeight="1" x14ac:dyDescent="0.2">
      <c r="A638" s="619">
        <f>IF(B638="","",COUNT('Diário 5º PA'!$A$5:$A$2634)+COUNT('Diário 6º PA'!$A$5:$A$2246)+COUNT('Diário 7º PA'!$A$5:$A$2271)+ROW()-4)</f>
        <v>4584</v>
      </c>
      <c r="B638" s="620">
        <v>44505</v>
      </c>
      <c r="C638" s="628">
        <v>44470</v>
      </c>
      <c r="D638" s="548" t="s">
        <v>88</v>
      </c>
      <c r="E638" s="548" t="s">
        <v>90</v>
      </c>
      <c r="F638" s="622">
        <v>2073.86</v>
      </c>
      <c r="G638" s="623" t="s">
        <v>6028</v>
      </c>
      <c r="H638" s="548" t="s">
        <v>114</v>
      </c>
      <c r="I638" s="583" t="s">
        <v>2222</v>
      </c>
      <c r="J638" s="548" t="s">
        <v>2223</v>
      </c>
      <c r="K638" s="583" t="s">
        <v>991</v>
      </c>
      <c r="L638" s="583" t="s">
        <v>1183</v>
      </c>
      <c r="M638" s="619" t="s">
        <v>114</v>
      </c>
      <c r="N638" s="620">
        <v>44505</v>
      </c>
      <c r="O638" s="684" t="s">
        <v>67</v>
      </c>
      <c r="P638" s="503">
        <f t="shared" si="38"/>
        <v>11</v>
      </c>
      <c r="Q638" s="503">
        <f t="shared" si="39"/>
        <v>10</v>
      </c>
      <c r="R638" s="504" t="str">
        <f t="shared" si="40"/>
        <v>Gastos_com_Pessoal</v>
      </c>
      <c r="S638" s="504" t="str">
        <f>IF(D638="","",IF(OR(D638=Plano!$A$1,D638=Plano!$B$1),"entrada","saída"))</f>
        <v>saída</v>
      </c>
      <c r="T638" s="505" t="s">
        <v>114</v>
      </c>
      <c r="U638" s="505" t="s">
        <v>114</v>
      </c>
      <c r="V638" s="541"/>
    </row>
    <row r="639" spans="1:22" ht="50.1" customHeight="1" x14ac:dyDescent="0.2">
      <c r="A639" s="619">
        <f>IF(B639="","",COUNT('Diário 5º PA'!$A$5:$A$2634)+COUNT('Diário 6º PA'!$A$5:$A$2246)+COUNT('Diário 7º PA'!$A$5:$A$2271)+ROW()-4)</f>
        <v>4585</v>
      </c>
      <c r="B639" s="620">
        <v>44505</v>
      </c>
      <c r="C639" s="628">
        <v>44470</v>
      </c>
      <c r="D639" s="548" t="s">
        <v>88</v>
      </c>
      <c r="E639" s="548" t="s">
        <v>90</v>
      </c>
      <c r="F639" s="622">
        <v>3105.06</v>
      </c>
      <c r="G639" s="623" t="s">
        <v>6029</v>
      </c>
      <c r="H639" s="548" t="s">
        <v>114</v>
      </c>
      <c r="I639" s="583" t="s">
        <v>1185</v>
      </c>
      <c r="J639" s="548" t="s">
        <v>1186</v>
      </c>
      <c r="K639" s="583" t="s">
        <v>991</v>
      </c>
      <c r="L639" s="583" t="s">
        <v>1183</v>
      </c>
      <c r="M639" s="619" t="s">
        <v>114</v>
      </c>
      <c r="N639" s="620">
        <v>44505</v>
      </c>
      <c r="O639" s="684" t="s">
        <v>67</v>
      </c>
      <c r="P639" s="503">
        <f t="shared" si="38"/>
        <v>11</v>
      </c>
      <c r="Q639" s="503">
        <f t="shared" si="39"/>
        <v>10</v>
      </c>
      <c r="R639" s="504" t="str">
        <f t="shared" si="40"/>
        <v>Gastos_com_Pessoal</v>
      </c>
      <c r="S639" s="504" t="str">
        <f>IF(D639="","",IF(OR(D639=Plano!$A$1,D639=Plano!$B$1),"entrada","saída"))</f>
        <v>saída</v>
      </c>
      <c r="T639" s="505" t="s">
        <v>114</v>
      </c>
      <c r="U639" s="505" t="s">
        <v>114</v>
      </c>
      <c r="V639" s="541"/>
    </row>
    <row r="640" spans="1:22" ht="50.1" customHeight="1" x14ac:dyDescent="0.2">
      <c r="A640" s="619">
        <f>IF(B640="","",COUNT('Diário 5º PA'!$A$5:$A$2634)+COUNT('Diário 6º PA'!$A$5:$A$2246)+COUNT('Diário 7º PA'!$A$5:$A$2271)+ROW()-4)</f>
        <v>4586</v>
      </c>
      <c r="B640" s="620">
        <v>44505</v>
      </c>
      <c r="C640" s="628">
        <v>44470</v>
      </c>
      <c r="D640" s="548" t="s">
        <v>88</v>
      </c>
      <c r="E640" s="548" t="s">
        <v>90</v>
      </c>
      <c r="F640" s="622">
        <v>2977.51</v>
      </c>
      <c r="G640" s="623" t="s">
        <v>6030</v>
      </c>
      <c r="H640" s="548" t="s">
        <v>114</v>
      </c>
      <c r="I640" s="583" t="s">
        <v>2225</v>
      </c>
      <c r="J640" s="548" t="s">
        <v>2226</v>
      </c>
      <c r="K640" s="583" t="s">
        <v>991</v>
      </c>
      <c r="L640" s="583" t="s">
        <v>1183</v>
      </c>
      <c r="M640" s="619" t="s">
        <v>114</v>
      </c>
      <c r="N640" s="620">
        <v>44505</v>
      </c>
      <c r="O640" s="684" t="s">
        <v>67</v>
      </c>
      <c r="P640" s="503">
        <f t="shared" ref="P640:P703" si="41">IF(B640=0,0,IF(YEAR(B640)=$Q$1,MONTH(B640)-$P$1+1,(YEAR(B640)-$Q$1)*12-$P$1+1+MONTH(B640)))</f>
        <v>11</v>
      </c>
      <c r="Q640" s="503">
        <f t="shared" ref="Q640:Q703" si="42">IF(C640=0,0,IF(YEAR(C640)=$Q$1,MONTH(C640)-$P$1+1,(YEAR(C640)-$Q$1)*12-$P$1+1+MONTH(C640)))</f>
        <v>10</v>
      </c>
      <c r="R640" s="504" t="str">
        <f t="shared" ref="R640:R703" si="43">SUBSTITUTE(D640," ","_")</f>
        <v>Gastos_com_Pessoal</v>
      </c>
      <c r="S640" s="504" t="str">
        <f>IF(D640="","",IF(OR(D640=Plano!$A$1,D640=Plano!$B$1),"entrada","saída"))</f>
        <v>saída</v>
      </c>
      <c r="T640" s="505" t="s">
        <v>114</v>
      </c>
      <c r="U640" s="505" t="s">
        <v>114</v>
      </c>
      <c r="V640" s="541"/>
    </row>
    <row r="641" spans="1:22" ht="50.1" customHeight="1" x14ac:dyDescent="0.2">
      <c r="A641" s="619">
        <f>IF(B641="","",COUNT('Diário 5º PA'!$A$5:$A$2634)+COUNT('Diário 6º PA'!$A$5:$A$2246)+COUNT('Diário 7º PA'!$A$5:$A$2271)+ROW()-4)</f>
        <v>4587</v>
      </c>
      <c r="B641" s="620">
        <v>44505</v>
      </c>
      <c r="C641" s="628">
        <v>44470</v>
      </c>
      <c r="D641" s="548" t="s">
        <v>88</v>
      </c>
      <c r="E641" s="548" t="s">
        <v>90</v>
      </c>
      <c r="F641" s="622">
        <v>1938.9</v>
      </c>
      <c r="G641" s="623" t="s">
        <v>6031</v>
      </c>
      <c r="H641" s="548" t="s">
        <v>114</v>
      </c>
      <c r="I641" s="583" t="s">
        <v>2228</v>
      </c>
      <c r="J641" s="548" t="s">
        <v>2229</v>
      </c>
      <c r="K641" s="583" t="s">
        <v>991</v>
      </c>
      <c r="L641" s="583" t="s">
        <v>1183</v>
      </c>
      <c r="M641" s="619" t="s">
        <v>114</v>
      </c>
      <c r="N641" s="620">
        <v>44505</v>
      </c>
      <c r="O641" s="684" t="s">
        <v>67</v>
      </c>
      <c r="P641" s="503">
        <f t="shared" si="41"/>
        <v>11</v>
      </c>
      <c r="Q641" s="503">
        <f t="shared" si="42"/>
        <v>10</v>
      </c>
      <c r="R641" s="504" t="str">
        <f t="shared" si="43"/>
        <v>Gastos_com_Pessoal</v>
      </c>
      <c r="S641" s="504" t="str">
        <f>IF(D641="","",IF(OR(D641=Plano!$A$1,D641=Plano!$B$1),"entrada","saída"))</f>
        <v>saída</v>
      </c>
      <c r="T641" s="505" t="s">
        <v>114</v>
      </c>
      <c r="U641" s="505" t="s">
        <v>114</v>
      </c>
      <c r="V641" s="541"/>
    </row>
    <row r="642" spans="1:22" ht="50.1" customHeight="1" x14ac:dyDescent="0.2">
      <c r="A642" s="619">
        <f>IF(B642="","",COUNT('Diário 5º PA'!$A$5:$A$2634)+COUNT('Diário 6º PA'!$A$5:$A$2246)+COUNT('Diário 7º PA'!$A$5:$A$2271)+ROW()-4)</f>
        <v>4588</v>
      </c>
      <c r="B642" s="620">
        <v>44505</v>
      </c>
      <c r="C642" s="628">
        <v>44470</v>
      </c>
      <c r="D642" s="548" t="s">
        <v>88</v>
      </c>
      <c r="E642" s="548" t="s">
        <v>90</v>
      </c>
      <c r="F642" s="622">
        <v>2254.21</v>
      </c>
      <c r="G642" s="623" t="s">
        <v>6032</v>
      </c>
      <c r="H642" s="548" t="s">
        <v>114</v>
      </c>
      <c r="I642" s="583" t="s">
        <v>1760</v>
      </c>
      <c r="J642" s="548" t="s">
        <v>1761</v>
      </c>
      <c r="K642" s="583" t="s">
        <v>991</v>
      </c>
      <c r="L642" s="583" t="s">
        <v>1183</v>
      </c>
      <c r="M642" s="619" t="s">
        <v>114</v>
      </c>
      <c r="N642" s="620">
        <v>44505</v>
      </c>
      <c r="O642" s="684" t="s">
        <v>67</v>
      </c>
      <c r="P642" s="503">
        <f t="shared" si="41"/>
        <v>11</v>
      </c>
      <c r="Q642" s="503">
        <f t="shared" si="42"/>
        <v>10</v>
      </c>
      <c r="R642" s="504" t="str">
        <f t="shared" si="43"/>
        <v>Gastos_com_Pessoal</v>
      </c>
      <c r="S642" s="504" t="str">
        <f>IF(D642="","",IF(OR(D642=Plano!$A$1,D642=Plano!$B$1),"entrada","saída"))</f>
        <v>saída</v>
      </c>
      <c r="T642" s="505" t="s">
        <v>114</v>
      </c>
      <c r="U642" s="505" t="s">
        <v>114</v>
      </c>
      <c r="V642" s="541"/>
    </row>
    <row r="643" spans="1:22" ht="50.1" customHeight="1" x14ac:dyDescent="0.2">
      <c r="A643" s="619">
        <f>IF(B643="","",COUNT('Diário 5º PA'!$A$5:$A$2634)+COUNT('Diário 6º PA'!$A$5:$A$2246)+COUNT('Diário 7º PA'!$A$5:$A$2271)+ROW()-4)</f>
        <v>4589</v>
      </c>
      <c r="B643" s="620">
        <v>44505</v>
      </c>
      <c r="C643" s="628">
        <v>44470</v>
      </c>
      <c r="D643" s="548" t="s">
        <v>88</v>
      </c>
      <c r="E643" s="548" t="s">
        <v>90</v>
      </c>
      <c r="F643" s="622">
        <v>2091.41</v>
      </c>
      <c r="G643" s="623" t="s">
        <v>6033</v>
      </c>
      <c r="H643" s="548" t="s">
        <v>114</v>
      </c>
      <c r="I643" s="583" t="s">
        <v>2232</v>
      </c>
      <c r="J643" s="548" t="s">
        <v>2229</v>
      </c>
      <c r="K643" s="583" t="s">
        <v>991</v>
      </c>
      <c r="L643" s="583" t="s">
        <v>1183</v>
      </c>
      <c r="M643" s="619" t="s">
        <v>114</v>
      </c>
      <c r="N643" s="620">
        <v>44505</v>
      </c>
      <c r="O643" s="684" t="s">
        <v>67</v>
      </c>
      <c r="P643" s="503">
        <f t="shared" si="41"/>
        <v>11</v>
      </c>
      <c r="Q643" s="503">
        <f t="shared" si="42"/>
        <v>10</v>
      </c>
      <c r="R643" s="504" t="str">
        <f t="shared" si="43"/>
        <v>Gastos_com_Pessoal</v>
      </c>
      <c r="S643" s="504" t="str">
        <f>IF(D643="","",IF(OR(D643=Plano!$A$1,D643=Plano!$B$1),"entrada","saída"))</f>
        <v>saída</v>
      </c>
      <c r="T643" s="505" t="s">
        <v>114</v>
      </c>
      <c r="U643" s="505" t="s">
        <v>114</v>
      </c>
      <c r="V643" s="541"/>
    </row>
    <row r="644" spans="1:22" ht="50.1" customHeight="1" x14ac:dyDescent="0.2">
      <c r="A644" s="619">
        <f>IF(B644="","",COUNT('Diário 5º PA'!$A$5:$A$2634)+COUNT('Diário 6º PA'!$A$5:$A$2246)+COUNT('Diário 7º PA'!$A$5:$A$2271)+ROW()-4)</f>
        <v>4590</v>
      </c>
      <c r="B644" s="620">
        <v>44505</v>
      </c>
      <c r="C644" s="628">
        <v>44470</v>
      </c>
      <c r="D644" s="548" t="s">
        <v>88</v>
      </c>
      <c r="E644" s="548" t="s">
        <v>90</v>
      </c>
      <c r="F644" s="622">
        <v>1416.44</v>
      </c>
      <c r="G644" s="623" t="s">
        <v>6034</v>
      </c>
      <c r="H644" s="548" t="s">
        <v>114</v>
      </c>
      <c r="I644" s="583" t="s">
        <v>1188</v>
      </c>
      <c r="J644" s="548" t="s">
        <v>1189</v>
      </c>
      <c r="K644" s="583" t="s">
        <v>991</v>
      </c>
      <c r="L644" s="583" t="s">
        <v>1183</v>
      </c>
      <c r="M644" s="619" t="s">
        <v>114</v>
      </c>
      <c r="N644" s="620">
        <v>44505</v>
      </c>
      <c r="O644" s="684" t="s">
        <v>67</v>
      </c>
      <c r="P644" s="503">
        <f t="shared" si="41"/>
        <v>11</v>
      </c>
      <c r="Q644" s="503">
        <f t="shared" si="42"/>
        <v>10</v>
      </c>
      <c r="R644" s="504" t="str">
        <f t="shared" si="43"/>
        <v>Gastos_com_Pessoal</v>
      </c>
      <c r="S644" s="504" t="str">
        <f>IF(D644="","",IF(OR(D644=Plano!$A$1,D644=Plano!$B$1),"entrada","saída"))</f>
        <v>saída</v>
      </c>
      <c r="T644" s="505" t="s">
        <v>114</v>
      </c>
      <c r="U644" s="505" t="s">
        <v>114</v>
      </c>
      <c r="V644" s="541"/>
    </row>
    <row r="645" spans="1:22" ht="50.1" customHeight="1" x14ac:dyDescent="0.2">
      <c r="A645" s="619">
        <f>IF(B645="","",COUNT('Diário 5º PA'!$A$5:$A$2634)+COUNT('Diário 6º PA'!$A$5:$A$2246)+COUNT('Diário 7º PA'!$A$5:$A$2271)+ROW()-4)</f>
        <v>4591</v>
      </c>
      <c r="B645" s="620">
        <v>44505</v>
      </c>
      <c r="C645" s="628">
        <v>44470</v>
      </c>
      <c r="D645" s="548" t="s">
        <v>88</v>
      </c>
      <c r="E645" s="548" t="s">
        <v>90</v>
      </c>
      <c r="F645" s="622">
        <v>2073.86</v>
      </c>
      <c r="G645" s="623" t="s">
        <v>6038</v>
      </c>
      <c r="H645" s="548" t="s">
        <v>114</v>
      </c>
      <c r="I645" s="583" t="s">
        <v>2235</v>
      </c>
      <c r="J645" s="548" t="s">
        <v>2236</v>
      </c>
      <c r="K645" s="583" t="s">
        <v>991</v>
      </c>
      <c r="L645" s="583" t="s">
        <v>1183</v>
      </c>
      <c r="M645" s="619" t="s">
        <v>114</v>
      </c>
      <c r="N645" s="620">
        <v>44505</v>
      </c>
      <c r="O645" s="684" t="s">
        <v>67</v>
      </c>
      <c r="P645" s="503">
        <f t="shared" si="41"/>
        <v>11</v>
      </c>
      <c r="Q645" s="503">
        <f t="shared" si="42"/>
        <v>10</v>
      </c>
      <c r="R645" s="504" t="str">
        <f t="shared" si="43"/>
        <v>Gastos_com_Pessoal</v>
      </c>
      <c r="S645" s="504" t="str">
        <f>IF(D645="","",IF(OR(D645=Plano!$A$1,D645=Plano!$B$1),"entrada","saída"))</f>
        <v>saída</v>
      </c>
      <c r="T645" s="505" t="s">
        <v>114</v>
      </c>
      <c r="U645" s="505" t="s">
        <v>114</v>
      </c>
      <c r="V645" s="541"/>
    </row>
    <row r="646" spans="1:22" ht="50.1" customHeight="1" x14ac:dyDescent="0.2">
      <c r="A646" s="619">
        <f>IF(B646="","",COUNT('Diário 5º PA'!$A$5:$A$2634)+COUNT('Diário 6º PA'!$A$5:$A$2246)+COUNT('Diário 7º PA'!$A$5:$A$2271)+ROW()-4)</f>
        <v>4592</v>
      </c>
      <c r="B646" s="620">
        <v>44505</v>
      </c>
      <c r="C646" s="628">
        <v>44470</v>
      </c>
      <c r="D646" s="548" t="s">
        <v>88</v>
      </c>
      <c r="E646" s="548" t="s">
        <v>90</v>
      </c>
      <c r="F646" s="622">
        <v>3549.36</v>
      </c>
      <c r="G646" s="623" t="s">
        <v>6039</v>
      </c>
      <c r="H646" s="548" t="s">
        <v>114</v>
      </c>
      <c r="I646" s="583" t="s">
        <v>1191</v>
      </c>
      <c r="J646" s="548" t="s">
        <v>1192</v>
      </c>
      <c r="K646" s="583" t="s">
        <v>991</v>
      </c>
      <c r="L646" s="583" t="s">
        <v>1183</v>
      </c>
      <c r="M646" s="619" t="s">
        <v>114</v>
      </c>
      <c r="N646" s="620">
        <v>44505</v>
      </c>
      <c r="O646" s="684" t="s">
        <v>67</v>
      </c>
      <c r="P646" s="503">
        <f t="shared" si="41"/>
        <v>11</v>
      </c>
      <c r="Q646" s="503">
        <f t="shared" si="42"/>
        <v>10</v>
      </c>
      <c r="R646" s="504" t="str">
        <f t="shared" si="43"/>
        <v>Gastos_com_Pessoal</v>
      </c>
      <c r="S646" s="504" t="str">
        <f>IF(D646="","",IF(OR(D646=Plano!$A$1,D646=Plano!$B$1),"entrada","saída"))</f>
        <v>saída</v>
      </c>
      <c r="T646" s="505" t="s">
        <v>114</v>
      </c>
      <c r="U646" s="505" t="s">
        <v>114</v>
      </c>
      <c r="V646" s="541"/>
    </row>
    <row r="647" spans="1:22" ht="50.1" customHeight="1" x14ac:dyDescent="0.2">
      <c r="A647" s="619">
        <f>IF(B647="","",COUNT('Diário 5º PA'!$A$5:$A$2634)+COUNT('Diário 6º PA'!$A$5:$A$2246)+COUNT('Diário 7º PA'!$A$5:$A$2271)+ROW()-4)</f>
        <v>4593</v>
      </c>
      <c r="B647" s="620">
        <v>44505</v>
      </c>
      <c r="C647" s="628">
        <v>44470</v>
      </c>
      <c r="D647" s="548" t="s">
        <v>88</v>
      </c>
      <c r="E647" s="548" t="s">
        <v>90</v>
      </c>
      <c r="F647" s="622">
        <v>2073.86</v>
      </c>
      <c r="G647" s="623" t="s">
        <v>6038</v>
      </c>
      <c r="H647" s="548" t="s">
        <v>114</v>
      </c>
      <c r="I647" s="583" t="s">
        <v>2238</v>
      </c>
      <c r="J647" s="548" t="s">
        <v>2239</v>
      </c>
      <c r="K647" s="583" t="s">
        <v>991</v>
      </c>
      <c r="L647" s="583" t="s">
        <v>1183</v>
      </c>
      <c r="M647" s="619" t="s">
        <v>114</v>
      </c>
      <c r="N647" s="620">
        <v>44505</v>
      </c>
      <c r="O647" s="684" t="s">
        <v>67</v>
      </c>
      <c r="P647" s="503">
        <f t="shared" si="41"/>
        <v>11</v>
      </c>
      <c r="Q647" s="503">
        <f t="shared" si="42"/>
        <v>10</v>
      </c>
      <c r="R647" s="504" t="str">
        <f t="shared" si="43"/>
        <v>Gastos_com_Pessoal</v>
      </c>
      <c r="S647" s="504" t="str">
        <f>IF(D647="","",IF(OR(D647=Plano!$A$1,D647=Plano!$B$1),"entrada","saída"))</f>
        <v>saída</v>
      </c>
      <c r="T647" s="505" t="s">
        <v>114</v>
      </c>
      <c r="U647" s="505" t="s">
        <v>114</v>
      </c>
      <c r="V647" s="541"/>
    </row>
    <row r="648" spans="1:22" ht="50.1" customHeight="1" x14ac:dyDescent="0.2">
      <c r="A648" s="619">
        <f>IF(B648="","",COUNT('Diário 5º PA'!$A$5:$A$2634)+COUNT('Diário 6º PA'!$A$5:$A$2246)+COUNT('Diário 7º PA'!$A$5:$A$2271)+ROW()-4)</f>
        <v>4594</v>
      </c>
      <c r="B648" s="620">
        <v>44505</v>
      </c>
      <c r="C648" s="628">
        <v>44470</v>
      </c>
      <c r="D648" s="548" t="s">
        <v>88</v>
      </c>
      <c r="E648" s="548" t="s">
        <v>90</v>
      </c>
      <c r="F648" s="622">
        <v>2712.3</v>
      </c>
      <c r="G648" s="623" t="s">
        <v>6040</v>
      </c>
      <c r="H648" s="548" t="s">
        <v>114</v>
      </c>
      <c r="I648" s="583" t="s">
        <v>2258</v>
      </c>
      <c r="J648" s="548" t="s">
        <v>2259</v>
      </c>
      <c r="K648" s="583" t="s">
        <v>991</v>
      </c>
      <c r="L648" s="583" t="s">
        <v>1183</v>
      </c>
      <c r="M648" s="619" t="s">
        <v>114</v>
      </c>
      <c r="N648" s="620">
        <v>44505</v>
      </c>
      <c r="O648" s="684" t="s">
        <v>67</v>
      </c>
      <c r="P648" s="503">
        <f t="shared" si="41"/>
        <v>11</v>
      </c>
      <c r="Q648" s="503">
        <f t="shared" si="42"/>
        <v>10</v>
      </c>
      <c r="R648" s="504" t="str">
        <f t="shared" si="43"/>
        <v>Gastos_com_Pessoal</v>
      </c>
      <c r="S648" s="504" t="str">
        <f>IF(D648="","",IF(OR(D648=Plano!$A$1,D648=Plano!$B$1),"entrada","saída"))</f>
        <v>saída</v>
      </c>
      <c r="T648" s="505" t="s">
        <v>114</v>
      </c>
      <c r="U648" s="505" t="s">
        <v>114</v>
      </c>
      <c r="V648" s="541"/>
    </row>
    <row r="649" spans="1:22" ht="50.1" customHeight="1" x14ac:dyDescent="0.2">
      <c r="A649" s="619">
        <f>IF(B649="","",COUNT('Diário 5º PA'!$A$5:$A$2634)+COUNT('Diário 6º PA'!$A$5:$A$2246)+COUNT('Diário 7º PA'!$A$5:$A$2271)+ROW()-4)</f>
        <v>4595</v>
      </c>
      <c r="B649" s="620">
        <v>44505</v>
      </c>
      <c r="C649" s="628">
        <v>44470</v>
      </c>
      <c r="D649" s="548" t="s">
        <v>88</v>
      </c>
      <c r="E649" s="548" t="s">
        <v>90</v>
      </c>
      <c r="F649" s="622">
        <v>2073.86</v>
      </c>
      <c r="G649" s="623" t="s">
        <v>6022</v>
      </c>
      <c r="H649" s="548" t="s">
        <v>114</v>
      </c>
      <c r="I649" s="583" t="s">
        <v>1763</v>
      </c>
      <c r="J649" s="548" t="s">
        <v>1764</v>
      </c>
      <c r="K649" s="583" t="s">
        <v>991</v>
      </c>
      <c r="L649" s="583" t="s">
        <v>1183</v>
      </c>
      <c r="M649" s="619" t="s">
        <v>114</v>
      </c>
      <c r="N649" s="620">
        <v>44505</v>
      </c>
      <c r="O649" s="684" t="s">
        <v>67</v>
      </c>
      <c r="P649" s="503">
        <f t="shared" si="41"/>
        <v>11</v>
      </c>
      <c r="Q649" s="503">
        <f t="shared" si="42"/>
        <v>10</v>
      </c>
      <c r="R649" s="504" t="str">
        <f t="shared" si="43"/>
        <v>Gastos_com_Pessoal</v>
      </c>
      <c r="S649" s="504" t="str">
        <f>IF(D649="","",IF(OR(D649=Plano!$A$1,D649=Plano!$B$1),"entrada","saída"))</f>
        <v>saída</v>
      </c>
      <c r="T649" s="505" t="s">
        <v>114</v>
      </c>
      <c r="U649" s="505" t="s">
        <v>114</v>
      </c>
      <c r="V649" s="541"/>
    </row>
    <row r="650" spans="1:22" ht="50.1" customHeight="1" x14ac:dyDescent="0.2">
      <c r="A650" s="619">
        <f>IF(B650="","",COUNT('Diário 5º PA'!$A$5:$A$2634)+COUNT('Diário 6º PA'!$A$5:$A$2246)+COUNT('Diário 7º PA'!$A$5:$A$2271)+ROW()-4)</f>
        <v>4596</v>
      </c>
      <c r="B650" s="620">
        <v>44505</v>
      </c>
      <c r="C650" s="628">
        <v>44470</v>
      </c>
      <c r="D650" s="548" t="s">
        <v>88</v>
      </c>
      <c r="E650" s="548" t="s">
        <v>90</v>
      </c>
      <c r="F650" s="622">
        <v>10378.9</v>
      </c>
      <c r="G650" s="623" t="s">
        <v>6041</v>
      </c>
      <c r="H650" s="548" t="s">
        <v>114</v>
      </c>
      <c r="I650" s="583" t="s">
        <v>1197</v>
      </c>
      <c r="J650" s="548" t="s">
        <v>1198</v>
      </c>
      <c r="K650" s="583" t="s">
        <v>991</v>
      </c>
      <c r="L650" s="583" t="s">
        <v>1183</v>
      </c>
      <c r="M650" s="619" t="s">
        <v>114</v>
      </c>
      <c r="N650" s="620">
        <v>44505</v>
      </c>
      <c r="O650" s="684" t="s">
        <v>67</v>
      </c>
      <c r="P650" s="503">
        <f t="shared" si="41"/>
        <v>11</v>
      </c>
      <c r="Q650" s="503">
        <f t="shared" si="42"/>
        <v>10</v>
      </c>
      <c r="R650" s="504" t="str">
        <f t="shared" si="43"/>
        <v>Gastos_com_Pessoal</v>
      </c>
      <c r="S650" s="504" t="str">
        <f>IF(D650="","",IF(OR(D650=Plano!$A$1,D650=Plano!$B$1),"entrada","saída"))</f>
        <v>saída</v>
      </c>
      <c r="T650" s="505" t="s">
        <v>114</v>
      </c>
      <c r="U650" s="505" t="s">
        <v>114</v>
      </c>
      <c r="V650" s="541"/>
    </row>
    <row r="651" spans="1:22" ht="50.1" customHeight="1" x14ac:dyDescent="0.2">
      <c r="A651" s="619">
        <f>IF(B651="","",COUNT('Diário 5º PA'!$A$5:$A$2634)+COUNT('Diário 6º PA'!$A$5:$A$2246)+COUNT('Diário 7º PA'!$A$5:$A$2271)+ROW()-4)</f>
        <v>4597</v>
      </c>
      <c r="B651" s="620">
        <v>44505</v>
      </c>
      <c r="C651" s="628">
        <v>44470</v>
      </c>
      <c r="D651" s="548" t="s">
        <v>88</v>
      </c>
      <c r="E651" s="548" t="s">
        <v>90</v>
      </c>
      <c r="F651" s="622">
        <v>2061.1</v>
      </c>
      <c r="G651" s="623" t="s">
        <v>6022</v>
      </c>
      <c r="H651" s="548" t="s">
        <v>114</v>
      </c>
      <c r="I651" s="583" t="s">
        <v>1765</v>
      </c>
      <c r="J651" s="548" t="s">
        <v>1766</v>
      </c>
      <c r="K651" s="583" t="s">
        <v>991</v>
      </c>
      <c r="L651" s="583" t="s">
        <v>1183</v>
      </c>
      <c r="M651" s="619" t="s">
        <v>114</v>
      </c>
      <c r="N651" s="620">
        <v>44505</v>
      </c>
      <c r="O651" s="684" t="s">
        <v>67</v>
      </c>
      <c r="P651" s="503">
        <f t="shared" si="41"/>
        <v>11</v>
      </c>
      <c r="Q651" s="503">
        <f t="shared" si="42"/>
        <v>10</v>
      </c>
      <c r="R651" s="504" t="str">
        <f t="shared" si="43"/>
        <v>Gastos_com_Pessoal</v>
      </c>
      <c r="S651" s="504" t="str">
        <f>IF(D651="","",IF(OR(D651=Plano!$A$1,D651=Plano!$B$1),"entrada","saída"))</f>
        <v>saída</v>
      </c>
      <c r="T651" s="505" t="s">
        <v>114</v>
      </c>
      <c r="U651" s="505" t="s">
        <v>114</v>
      </c>
      <c r="V651" s="541"/>
    </row>
    <row r="652" spans="1:22" ht="50.1" customHeight="1" x14ac:dyDescent="0.2">
      <c r="A652" s="619">
        <f>IF(B652="","",COUNT('Diário 5º PA'!$A$5:$A$2634)+COUNT('Diário 6º PA'!$A$5:$A$2246)+COUNT('Diário 7º PA'!$A$5:$A$2271)+ROW()-4)</f>
        <v>4598</v>
      </c>
      <c r="B652" s="620">
        <v>44505</v>
      </c>
      <c r="C652" s="628">
        <v>44470</v>
      </c>
      <c r="D652" s="548" t="s">
        <v>88</v>
      </c>
      <c r="E652" s="548" t="s">
        <v>90</v>
      </c>
      <c r="F652" s="622">
        <v>2106.61</v>
      </c>
      <c r="G652" s="623" t="s">
        <v>6028</v>
      </c>
      <c r="H652" s="548" t="s">
        <v>114</v>
      </c>
      <c r="I652" s="583" t="s">
        <v>2242</v>
      </c>
      <c r="J652" s="548" t="s">
        <v>2243</v>
      </c>
      <c r="K652" s="583" t="s">
        <v>991</v>
      </c>
      <c r="L652" s="583" t="s">
        <v>1183</v>
      </c>
      <c r="M652" s="619" t="s">
        <v>114</v>
      </c>
      <c r="N652" s="620">
        <v>44505</v>
      </c>
      <c r="O652" s="684" t="s">
        <v>67</v>
      </c>
      <c r="P652" s="503">
        <f t="shared" si="41"/>
        <v>11</v>
      </c>
      <c r="Q652" s="503">
        <f t="shared" si="42"/>
        <v>10</v>
      </c>
      <c r="R652" s="504" t="str">
        <f t="shared" si="43"/>
        <v>Gastos_com_Pessoal</v>
      </c>
      <c r="S652" s="504" t="str">
        <f>IF(D652="","",IF(OR(D652=Plano!$A$1,D652=Plano!$B$1),"entrada","saída"))</f>
        <v>saída</v>
      </c>
      <c r="T652" s="505" t="s">
        <v>114</v>
      </c>
      <c r="U652" s="505" t="s">
        <v>114</v>
      </c>
      <c r="V652" s="541"/>
    </row>
    <row r="653" spans="1:22" ht="50.1" customHeight="1" x14ac:dyDescent="0.2">
      <c r="A653" s="619">
        <f>IF(B653="","",COUNT('Diário 5º PA'!$A$5:$A$2634)+COUNT('Diário 6º PA'!$A$5:$A$2246)+COUNT('Diário 7º PA'!$A$5:$A$2271)+ROW()-4)</f>
        <v>4599</v>
      </c>
      <c r="B653" s="620">
        <v>44505</v>
      </c>
      <c r="C653" s="628">
        <v>44470</v>
      </c>
      <c r="D653" s="548" t="s">
        <v>88</v>
      </c>
      <c r="E653" s="548" t="s">
        <v>90</v>
      </c>
      <c r="F653" s="622">
        <v>2385.5100000000002</v>
      </c>
      <c r="G653" s="623" t="s">
        <v>6023</v>
      </c>
      <c r="H653" s="548" t="s">
        <v>114</v>
      </c>
      <c r="I653" s="583" t="s">
        <v>6042</v>
      </c>
      <c r="J653" s="548" t="s">
        <v>6043</v>
      </c>
      <c r="K653" s="583" t="s">
        <v>991</v>
      </c>
      <c r="L653" s="583" t="s">
        <v>1183</v>
      </c>
      <c r="M653" s="619" t="s">
        <v>114</v>
      </c>
      <c r="N653" s="620">
        <v>44505</v>
      </c>
      <c r="O653" s="684" t="s">
        <v>67</v>
      </c>
      <c r="P653" s="503">
        <f t="shared" si="41"/>
        <v>11</v>
      </c>
      <c r="Q653" s="503">
        <f t="shared" si="42"/>
        <v>10</v>
      </c>
      <c r="R653" s="504" t="str">
        <f t="shared" si="43"/>
        <v>Gastos_com_Pessoal</v>
      </c>
      <c r="S653" s="504" t="str">
        <f>IF(D653="","",IF(OR(D653=Plano!$A$1,D653=Plano!$B$1),"entrada","saída"))</f>
        <v>saída</v>
      </c>
      <c r="T653" s="505" t="s">
        <v>114</v>
      </c>
      <c r="U653" s="505" t="s">
        <v>114</v>
      </c>
      <c r="V653" s="541"/>
    </row>
    <row r="654" spans="1:22" ht="50.1" customHeight="1" x14ac:dyDescent="0.2">
      <c r="A654" s="619">
        <f>IF(B654="","",COUNT('Diário 5º PA'!$A$5:$A$2634)+COUNT('Diário 6º PA'!$A$5:$A$2246)+COUNT('Diário 7º PA'!$A$5:$A$2271)+ROW()-4)</f>
        <v>4600</v>
      </c>
      <c r="B654" s="620">
        <v>44505</v>
      </c>
      <c r="C654" s="628">
        <v>44470</v>
      </c>
      <c r="D654" s="548" t="s">
        <v>88</v>
      </c>
      <c r="E654" s="548" t="s">
        <v>90</v>
      </c>
      <c r="F654" s="622">
        <v>2073.86</v>
      </c>
      <c r="G654" s="623" t="s">
        <v>6028</v>
      </c>
      <c r="H654" s="548" t="s">
        <v>114</v>
      </c>
      <c r="I654" s="583" t="s">
        <v>2260</v>
      </c>
      <c r="J654" s="548" t="s">
        <v>2261</v>
      </c>
      <c r="K654" s="583" t="s">
        <v>991</v>
      </c>
      <c r="L654" s="583" t="s">
        <v>1183</v>
      </c>
      <c r="M654" s="619" t="s">
        <v>114</v>
      </c>
      <c r="N654" s="620">
        <v>44505</v>
      </c>
      <c r="O654" s="684" t="s">
        <v>67</v>
      </c>
      <c r="P654" s="503">
        <f t="shared" si="41"/>
        <v>11</v>
      </c>
      <c r="Q654" s="503">
        <f t="shared" si="42"/>
        <v>10</v>
      </c>
      <c r="R654" s="504" t="str">
        <f t="shared" si="43"/>
        <v>Gastos_com_Pessoal</v>
      </c>
      <c r="S654" s="504" t="str">
        <f>IF(D654="","",IF(OR(D654=Plano!$A$1,D654=Plano!$B$1),"entrada","saída"))</f>
        <v>saída</v>
      </c>
      <c r="T654" s="505" t="s">
        <v>114</v>
      </c>
      <c r="U654" s="505" t="s">
        <v>114</v>
      </c>
      <c r="V654" s="541"/>
    </row>
    <row r="655" spans="1:22" ht="50.1" customHeight="1" x14ac:dyDescent="0.2">
      <c r="A655" s="619">
        <f>IF(B655="","",COUNT('Diário 5º PA'!$A$5:$A$2634)+COUNT('Diário 6º PA'!$A$5:$A$2246)+COUNT('Diário 7º PA'!$A$5:$A$2271)+ROW()-4)</f>
        <v>4601</v>
      </c>
      <c r="B655" s="620">
        <v>44505</v>
      </c>
      <c r="C655" s="628">
        <v>44470</v>
      </c>
      <c r="D655" s="548" t="s">
        <v>88</v>
      </c>
      <c r="E655" s="548" t="s">
        <v>90</v>
      </c>
      <c r="F655" s="622">
        <v>2547.0300000000002</v>
      </c>
      <c r="G655" s="623" t="s">
        <v>6044</v>
      </c>
      <c r="H655" s="548" t="s">
        <v>114</v>
      </c>
      <c r="I655" s="583" t="s">
        <v>1200</v>
      </c>
      <c r="J655" s="548" t="s">
        <v>1201</v>
      </c>
      <c r="K655" s="583" t="s">
        <v>991</v>
      </c>
      <c r="L655" s="583" t="s">
        <v>1183</v>
      </c>
      <c r="M655" s="619" t="s">
        <v>114</v>
      </c>
      <c r="N655" s="620">
        <v>44505</v>
      </c>
      <c r="O655" s="684" t="s">
        <v>67</v>
      </c>
      <c r="P655" s="503">
        <f t="shared" si="41"/>
        <v>11</v>
      </c>
      <c r="Q655" s="503">
        <f t="shared" si="42"/>
        <v>10</v>
      </c>
      <c r="R655" s="504" t="str">
        <f t="shared" si="43"/>
        <v>Gastos_com_Pessoal</v>
      </c>
      <c r="S655" s="504" t="str">
        <f>IF(D655="","",IF(OR(D655=Plano!$A$1,D655=Plano!$B$1),"entrada","saída"))</f>
        <v>saída</v>
      </c>
      <c r="T655" s="505" t="s">
        <v>114</v>
      </c>
      <c r="U655" s="505" t="s">
        <v>114</v>
      </c>
      <c r="V655" s="541"/>
    </row>
    <row r="656" spans="1:22" ht="50.1" customHeight="1" x14ac:dyDescent="0.2">
      <c r="A656" s="619">
        <f>IF(B656="","",COUNT('Diário 5º PA'!$A$5:$A$2634)+COUNT('Diário 6º PA'!$A$5:$A$2246)+COUNT('Diário 7º PA'!$A$5:$A$2271)+ROW()-4)</f>
        <v>4602</v>
      </c>
      <c r="B656" s="620">
        <v>44505</v>
      </c>
      <c r="C656" s="628">
        <v>44470</v>
      </c>
      <c r="D656" s="548" t="s">
        <v>88</v>
      </c>
      <c r="E656" s="548" t="s">
        <v>90</v>
      </c>
      <c r="F656" s="622">
        <v>2073.86</v>
      </c>
      <c r="G656" s="623" t="s">
        <v>6045</v>
      </c>
      <c r="H656" s="548" t="s">
        <v>114</v>
      </c>
      <c r="I656" s="583" t="s">
        <v>1767</v>
      </c>
      <c r="J656" s="548" t="s">
        <v>1768</v>
      </c>
      <c r="K656" s="583" t="s">
        <v>991</v>
      </c>
      <c r="L656" s="583" t="s">
        <v>1183</v>
      </c>
      <c r="M656" s="619" t="s">
        <v>114</v>
      </c>
      <c r="N656" s="620">
        <v>44505</v>
      </c>
      <c r="O656" s="684" t="s">
        <v>67</v>
      </c>
      <c r="P656" s="503">
        <f t="shared" si="41"/>
        <v>11</v>
      </c>
      <c r="Q656" s="503">
        <f t="shared" si="42"/>
        <v>10</v>
      </c>
      <c r="R656" s="504" t="str">
        <f t="shared" si="43"/>
        <v>Gastos_com_Pessoal</v>
      </c>
      <c r="S656" s="504" t="str">
        <f>IF(D656="","",IF(OR(D656=Plano!$A$1,D656=Plano!$B$1),"entrada","saída"))</f>
        <v>saída</v>
      </c>
      <c r="T656" s="505" t="s">
        <v>114</v>
      </c>
      <c r="U656" s="505" t="s">
        <v>114</v>
      </c>
      <c r="V656" s="541"/>
    </row>
    <row r="657" spans="1:22" ht="50.1" customHeight="1" x14ac:dyDescent="0.2">
      <c r="A657" s="619">
        <f>IF(B657="","",COUNT('Diário 5º PA'!$A$5:$A$2634)+COUNT('Diário 6º PA'!$A$5:$A$2246)+COUNT('Diário 7º PA'!$A$5:$A$2271)+ROW()-4)</f>
        <v>4603</v>
      </c>
      <c r="B657" s="620">
        <v>44505</v>
      </c>
      <c r="C657" s="628">
        <v>44470</v>
      </c>
      <c r="D657" s="548" t="s">
        <v>88</v>
      </c>
      <c r="E657" s="548" t="s">
        <v>90</v>
      </c>
      <c r="F657" s="622">
        <v>1904.94</v>
      </c>
      <c r="G657" s="623" t="s">
        <v>6022</v>
      </c>
      <c r="H657" s="548" t="s">
        <v>114</v>
      </c>
      <c r="I657" s="583" t="s">
        <v>1769</v>
      </c>
      <c r="J657" s="548" t="s">
        <v>1770</v>
      </c>
      <c r="K657" s="583" t="s">
        <v>991</v>
      </c>
      <c r="L657" s="583" t="s">
        <v>1183</v>
      </c>
      <c r="M657" s="619" t="s">
        <v>114</v>
      </c>
      <c r="N657" s="620">
        <v>44505</v>
      </c>
      <c r="O657" s="684" t="s">
        <v>67</v>
      </c>
      <c r="P657" s="503">
        <f t="shared" si="41"/>
        <v>11</v>
      </c>
      <c r="Q657" s="503">
        <f t="shared" si="42"/>
        <v>10</v>
      </c>
      <c r="R657" s="504" t="str">
        <f t="shared" si="43"/>
        <v>Gastos_com_Pessoal</v>
      </c>
      <c r="S657" s="504" t="str">
        <f>IF(D657="","",IF(OR(D657=Plano!$A$1,D657=Plano!$B$1),"entrada","saída"))</f>
        <v>saída</v>
      </c>
      <c r="T657" s="505" t="s">
        <v>114</v>
      </c>
      <c r="U657" s="505" t="s">
        <v>114</v>
      </c>
      <c r="V657" s="541"/>
    </row>
    <row r="658" spans="1:22" ht="50.1" customHeight="1" x14ac:dyDescent="0.2">
      <c r="A658" s="619">
        <f>IF(B658="","",COUNT('Diário 5º PA'!$A$5:$A$2634)+COUNT('Diário 6º PA'!$A$5:$A$2246)+COUNT('Diário 7º PA'!$A$5:$A$2271)+ROW()-4)</f>
        <v>4604</v>
      </c>
      <c r="B658" s="620">
        <v>44505</v>
      </c>
      <c r="C658" s="628">
        <v>44470</v>
      </c>
      <c r="D658" s="548" t="s">
        <v>88</v>
      </c>
      <c r="E658" s="548" t="s">
        <v>90</v>
      </c>
      <c r="F658" s="622">
        <v>2073.86</v>
      </c>
      <c r="G658" s="623" t="s">
        <v>6022</v>
      </c>
      <c r="H658" s="548" t="s">
        <v>114</v>
      </c>
      <c r="I658" s="583" t="s">
        <v>1771</v>
      </c>
      <c r="J658" s="548" t="s">
        <v>1772</v>
      </c>
      <c r="K658" s="583" t="s">
        <v>991</v>
      </c>
      <c r="L658" s="583" t="s">
        <v>1183</v>
      </c>
      <c r="M658" s="619" t="s">
        <v>114</v>
      </c>
      <c r="N658" s="620">
        <v>44505</v>
      </c>
      <c r="O658" s="684" t="s">
        <v>67</v>
      </c>
      <c r="P658" s="503">
        <f t="shared" si="41"/>
        <v>11</v>
      </c>
      <c r="Q658" s="503">
        <f t="shared" si="42"/>
        <v>10</v>
      </c>
      <c r="R658" s="504" t="str">
        <f t="shared" si="43"/>
        <v>Gastos_com_Pessoal</v>
      </c>
      <c r="S658" s="504" t="str">
        <f>IF(D658="","",IF(OR(D658=Plano!$A$1,D658=Plano!$B$1),"entrada","saída"))</f>
        <v>saída</v>
      </c>
      <c r="T658" s="505" t="s">
        <v>114</v>
      </c>
      <c r="U658" s="505" t="s">
        <v>114</v>
      </c>
      <c r="V658" s="541"/>
    </row>
    <row r="659" spans="1:22" ht="50.1" customHeight="1" x14ac:dyDescent="0.2">
      <c r="A659" s="619">
        <f>IF(B659="","",COUNT('Diário 5º PA'!$A$5:$A$2634)+COUNT('Diário 6º PA'!$A$5:$A$2246)+COUNT('Diário 7º PA'!$A$5:$A$2271)+ROW()-4)</f>
        <v>4605</v>
      </c>
      <c r="B659" s="620">
        <v>44505</v>
      </c>
      <c r="C659" s="628">
        <v>44470</v>
      </c>
      <c r="D659" s="548" t="s">
        <v>88</v>
      </c>
      <c r="E659" s="548" t="s">
        <v>90</v>
      </c>
      <c r="F659" s="622">
        <v>1986.77</v>
      </c>
      <c r="G659" s="623" t="s">
        <v>6022</v>
      </c>
      <c r="H659" s="548" t="s">
        <v>114</v>
      </c>
      <c r="I659" s="583" t="s">
        <v>1784</v>
      </c>
      <c r="J659" s="548" t="s">
        <v>1785</v>
      </c>
      <c r="K659" s="583" t="s">
        <v>991</v>
      </c>
      <c r="L659" s="583" t="s">
        <v>1183</v>
      </c>
      <c r="M659" s="619" t="s">
        <v>114</v>
      </c>
      <c r="N659" s="620">
        <v>44505</v>
      </c>
      <c r="O659" s="684" t="s">
        <v>67</v>
      </c>
      <c r="P659" s="503">
        <f t="shared" si="41"/>
        <v>11</v>
      </c>
      <c r="Q659" s="503">
        <f t="shared" si="42"/>
        <v>10</v>
      </c>
      <c r="R659" s="504" t="str">
        <f t="shared" si="43"/>
        <v>Gastos_com_Pessoal</v>
      </c>
      <c r="S659" s="504" t="str">
        <f>IF(D659="","",IF(OR(D659=Plano!$A$1,D659=Plano!$B$1),"entrada","saída"))</f>
        <v>saída</v>
      </c>
      <c r="T659" s="505" t="s">
        <v>114</v>
      </c>
      <c r="U659" s="505" t="s">
        <v>114</v>
      </c>
      <c r="V659" s="541"/>
    </row>
    <row r="660" spans="1:22" ht="50.1" customHeight="1" x14ac:dyDescent="0.2">
      <c r="A660" s="619">
        <f>IF(B660="","",COUNT('Diário 5º PA'!$A$5:$A$2634)+COUNT('Diário 6º PA'!$A$5:$A$2246)+COUNT('Diário 7º PA'!$A$5:$A$2271)+ROW()-4)</f>
        <v>4606</v>
      </c>
      <c r="B660" s="620">
        <v>44505</v>
      </c>
      <c r="C660" s="628">
        <v>44470</v>
      </c>
      <c r="D660" s="548" t="s">
        <v>88</v>
      </c>
      <c r="E660" s="548" t="s">
        <v>90</v>
      </c>
      <c r="F660" s="622">
        <v>647.5</v>
      </c>
      <c r="G660" s="623" t="s">
        <v>6046</v>
      </c>
      <c r="H660" s="548" t="s">
        <v>114</v>
      </c>
      <c r="I660" s="583" t="s">
        <v>6047</v>
      </c>
      <c r="J660" s="548" t="s">
        <v>6048</v>
      </c>
      <c r="K660" s="583" t="s">
        <v>991</v>
      </c>
      <c r="L660" s="583" t="s">
        <v>1183</v>
      </c>
      <c r="M660" s="619" t="s">
        <v>114</v>
      </c>
      <c r="N660" s="620">
        <v>44505</v>
      </c>
      <c r="O660" s="684" t="s">
        <v>67</v>
      </c>
      <c r="P660" s="503">
        <f t="shared" si="41"/>
        <v>11</v>
      </c>
      <c r="Q660" s="503">
        <f t="shared" si="42"/>
        <v>10</v>
      </c>
      <c r="R660" s="504" t="str">
        <f t="shared" si="43"/>
        <v>Gastos_com_Pessoal</v>
      </c>
      <c r="S660" s="504" t="str">
        <f>IF(D660="","",IF(OR(D660=Plano!$A$1,D660=Plano!$B$1),"entrada","saída"))</f>
        <v>saída</v>
      </c>
      <c r="T660" s="505" t="s">
        <v>114</v>
      </c>
      <c r="U660" s="505" t="s">
        <v>114</v>
      </c>
      <c r="V660" s="541"/>
    </row>
    <row r="661" spans="1:22" ht="50.1" customHeight="1" x14ac:dyDescent="0.2">
      <c r="A661" s="619">
        <f>IF(B661="","",COUNT('Diário 5º PA'!$A$5:$A$2634)+COUNT('Diário 6º PA'!$A$5:$A$2246)+COUNT('Diário 7º PA'!$A$5:$A$2271)+ROW()-4)</f>
        <v>4607</v>
      </c>
      <c r="B661" s="620">
        <v>44505</v>
      </c>
      <c r="C661" s="628">
        <v>44470</v>
      </c>
      <c r="D661" s="548" t="s">
        <v>88</v>
      </c>
      <c r="E661" s="548" t="s">
        <v>90</v>
      </c>
      <c r="F661" s="622">
        <v>2091.41</v>
      </c>
      <c r="G661" s="623" t="s">
        <v>6031</v>
      </c>
      <c r="H661" s="548" t="s">
        <v>114</v>
      </c>
      <c r="I661" s="583" t="s">
        <v>2244</v>
      </c>
      <c r="J661" s="548" t="s">
        <v>2245</v>
      </c>
      <c r="K661" s="583" t="s">
        <v>991</v>
      </c>
      <c r="L661" s="583" t="s">
        <v>1183</v>
      </c>
      <c r="M661" s="619" t="s">
        <v>114</v>
      </c>
      <c r="N661" s="620">
        <v>44505</v>
      </c>
      <c r="O661" s="684" t="s">
        <v>67</v>
      </c>
      <c r="P661" s="503">
        <f t="shared" si="41"/>
        <v>11</v>
      </c>
      <c r="Q661" s="503">
        <f t="shared" si="42"/>
        <v>10</v>
      </c>
      <c r="R661" s="504" t="str">
        <f t="shared" si="43"/>
        <v>Gastos_com_Pessoal</v>
      </c>
      <c r="S661" s="504" t="str">
        <f>IF(D661="","",IF(OR(D661=Plano!$A$1,D661=Plano!$B$1),"entrada","saída"))</f>
        <v>saída</v>
      </c>
      <c r="T661" s="505" t="s">
        <v>114</v>
      </c>
      <c r="U661" s="505" t="s">
        <v>114</v>
      </c>
      <c r="V661" s="541"/>
    </row>
    <row r="662" spans="1:22" ht="50.1" customHeight="1" x14ac:dyDescent="0.2">
      <c r="A662" s="619">
        <f>IF(B662="","",COUNT('Diário 5º PA'!$A$5:$A$2634)+COUNT('Diário 6º PA'!$A$5:$A$2246)+COUNT('Diário 7º PA'!$A$5:$A$2271)+ROW()-4)</f>
        <v>4608</v>
      </c>
      <c r="B662" s="620">
        <v>44505</v>
      </c>
      <c r="C662" s="628">
        <v>44470</v>
      </c>
      <c r="D662" s="548" t="s">
        <v>88</v>
      </c>
      <c r="E662" s="548" t="s">
        <v>90</v>
      </c>
      <c r="F662" s="622">
        <v>2385.5100000000002</v>
      </c>
      <c r="G662" s="623" t="s">
        <v>6035</v>
      </c>
      <c r="H662" s="548" t="s">
        <v>114</v>
      </c>
      <c r="I662" s="583" t="s">
        <v>6049</v>
      </c>
      <c r="J662" s="548" t="s">
        <v>6050</v>
      </c>
      <c r="K662" s="583" t="s">
        <v>991</v>
      </c>
      <c r="L662" s="583" t="s">
        <v>1183</v>
      </c>
      <c r="M662" s="619" t="s">
        <v>114</v>
      </c>
      <c r="N662" s="620">
        <v>44505</v>
      </c>
      <c r="O662" s="684" t="s">
        <v>67</v>
      </c>
      <c r="P662" s="503">
        <f t="shared" si="41"/>
        <v>11</v>
      </c>
      <c r="Q662" s="503">
        <f t="shared" si="42"/>
        <v>10</v>
      </c>
      <c r="R662" s="504" t="str">
        <f t="shared" si="43"/>
        <v>Gastos_com_Pessoal</v>
      </c>
      <c r="S662" s="504" t="str">
        <f>IF(D662="","",IF(OR(D662=Plano!$A$1,D662=Plano!$B$1),"entrada","saída"))</f>
        <v>saída</v>
      </c>
      <c r="T662" s="505" t="s">
        <v>114</v>
      </c>
      <c r="U662" s="505" t="s">
        <v>114</v>
      </c>
      <c r="V662" s="541"/>
    </row>
    <row r="663" spans="1:22" ht="50.1" customHeight="1" x14ac:dyDescent="0.2">
      <c r="A663" s="619">
        <f>IF(B663="","",COUNT('Diário 5º PA'!$A$5:$A$2634)+COUNT('Diário 6º PA'!$A$5:$A$2246)+COUNT('Diário 7º PA'!$A$5:$A$2271)+ROW()-4)</f>
        <v>4609</v>
      </c>
      <c r="B663" s="620">
        <v>44505</v>
      </c>
      <c r="C663" s="628">
        <v>44470</v>
      </c>
      <c r="D663" s="548" t="s">
        <v>88</v>
      </c>
      <c r="E663" s="548" t="s">
        <v>90</v>
      </c>
      <c r="F663" s="622">
        <v>2385.5100000000002</v>
      </c>
      <c r="G663" s="623" t="s">
        <v>6035</v>
      </c>
      <c r="H663" s="548" t="s">
        <v>114</v>
      </c>
      <c r="I663" s="583" t="s">
        <v>6051</v>
      </c>
      <c r="J663" s="548" t="s">
        <v>6052</v>
      </c>
      <c r="K663" s="583" t="s">
        <v>991</v>
      </c>
      <c r="L663" s="583" t="s">
        <v>1183</v>
      </c>
      <c r="M663" s="619" t="s">
        <v>114</v>
      </c>
      <c r="N663" s="620">
        <v>44505</v>
      </c>
      <c r="O663" s="684" t="s">
        <v>67</v>
      </c>
      <c r="P663" s="503">
        <f t="shared" si="41"/>
        <v>11</v>
      </c>
      <c r="Q663" s="503">
        <f t="shared" si="42"/>
        <v>10</v>
      </c>
      <c r="R663" s="504" t="str">
        <f t="shared" si="43"/>
        <v>Gastos_com_Pessoal</v>
      </c>
      <c r="S663" s="504" t="str">
        <f>IF(D663="","",IF(OR(D663=Plano!$A$1,D663=Plano!$B$1),"entrada","saída"))</f>
        <v>saída</v>
      </c>
      <c r="T663" s="505" t="s">
        <v>114</v>
      </c>
      <c r="U663" s="505" t="s">
        <v>114</v>
      </c>
      <c r="V663" s="541"/>
    </row>
    <row r="664" spans="1:22" ht="50.1" customHeight="1" x14ac:dyDescent="0.2">
      <c r="A664" s="619">
        <f>IF(B664="","",COUNT('Diário 5º PA'!$A$5:$A$2634)+COUNT('Diário 6º PA'!$A$5:$A$2246)+COUNT('Diário 7º PA'!$A$5:$A$2271)+ROW()-4)</f>
        <v>4610</v>
      </c>
      <c r="B664" s="620">
        <v>44505</v>
      </c>
      <c r="C664" s="628">
        <v>44470</v>
      </c>
      <c r="D664" s="548" t="s">
        <v>88</v>
      </c>
      <c r="E664" s="548" t="s">
        <v>90</v>
      </c>
      <c r="F664" s="622">
        <v>2385.5100000000002</v>
      </c>
      <c r="G664" s="623" t="s">
        <v>6035</v>
      </c>
      <c r="H664" s="548" t="s">
        <v>114</v>
      </c>
      <c r="I664" s="583" t="s">
        <v>6053</v>
      </c>
      <c r="J664" s="548" t="s">
        <v>6054</v>
      </c>
      <c r="K664" s="583" t="s">
        <v>991</v>
      </c>
      <c r="L664" s="583" t="s">
        <v>1183</v>
      </c>
      <c r="M664" s="619" t="s">
        <v>114</v>
      </c>
      <c r="N664" s="620">
        <v>44505</v>
      </c>
      <c r="O664" s="684" t="s">
        <v>67</v>
      </c>
      <c r="P664" s="503">
        <f t="shared" si="41"/>
        <v>11</v>
      </c>
      <c r="Q664" s="503">
        <f t="shared" si="42"/>
        <v>10</v>
      </c>
      <c r="R664" s="504" t="str">
        <f t="shared" si="43"/>
        <v>Gastos_com_Pessoal</v>
      </c>
      <c r="S664" s="504" t="str">
        <f>IF(D664="","",IF(OR(D664=Plano!$A$1,D664=Plano!$B$1),"entrada","saída"))</f>
        <v>saída</v>
      </c>
      <c r="T664" s="505" t="s">
        <v>114</v>
      </c>
      <c r="U664" s="505" t="s">
        <v>114</v>
      </c>
      <c r="V664" s="541"/>
    </row>
    <row r="665" spans="1:22" ht="50.1" customHeight="1" x14ac:dyDescent="0.2">
      <c r="A665" s="619">
        <f>IF(B665="","",COUNT('Diário 5º PA'!$A$5:$A$2634)+COUNT('Diário 6º PA'!$A$5:$A$2246)+COUNT('Diário 7º PA'!$A$5:$A$2271)+ROW()-4)</f>
        <v>4611</v>
      </c>
      <c r="B665" s="620">
        <v>44505</v>
      </c>
      <c r="C665" s="628">
        <v>44470</v>
      </c>
      <c r="D665" s="548" t="s">
        <v>88</v>
      </c>
      <c r="E665" s="548" t="s">
        <v>90</v>
      </c>
      <c r="F665" s="622">
        <v>2073.86</v>
      </c>
      <c r="G665" s="623" t="s">
        <v>6022</v>
      </c>
      <c r="H665" s="548" t="s">
        <v>114</v>
      </c>
      <c r="I665" s="583" t="s">
        <v>1773</v>
      </c>
      <c r="J665" s="548" t="s">
        <v>1774</v>
      </c>
      <c r="K665" s="583" t="s">
        <v>991</v>
      </c>
      <c r="L665" s="583" t="s">
        <v>1183</v>
      </c>
      <c r="M665" s="619" t="s">
        <v>114</v>
      </c>
      <c r="N665" s="620">
        <v>44505</v>
      </c>
      <c r="O665" s="684" t="s">
        <v>67</v>
      </c>
      <c r="P665" s="503">
        <f t="shared" si="41"/>
        <v>11</v>
      </c>
      <c r="Q665" s="503">
        <f t="shared" si="42"/>
        <v>10</v>
      </c>
      <c r="R665" s="504" t="str">
        <f t="shared" si="43"/>
        <v>Gastos_com_Pessoal</v>
      </c>
      <c r="S665" s="504" t="str">
        <f>IF(D665="","",IF(OR(D665=Plano!$A$1,D665=Plano!$B$1),"entrada","saída"))</f>
        <v>saída</v>
      </c>
      <c r="T665" s="505" t="s">
        <v>114</v>
      </c>
      <c r="U665" s="505" t="s">
        <v>114</v>
      </c>
      <c r="V665" s="541"/>
    </row>
    <row r="666" spans="1:22" ht="50.1" customHeight="1" x14ac:dyDescent="0.2">
      <c r="A666" s="619">
        <f>IF(B666="","",COUNT('Diário 5º PA'!$A$5:$A$2634)+COUNT('Diário 6º PA'!$A$5:$A$2246)+COUNT('Diário 7º PA'!$A$5:$A$2271)+ROW()-4)</f>
        <v>4612</v>
      </c>
      <c r="B666" s="620">
        <v>44505</v>
      </c>
      <c r="C666" s="628">
        <v>44470</v>
      </c>
      <c r="D666" s="548" t="s">
        <v>88</v>
      </c>
      <c r="E666" s="548" t="s">
        <v>90</v>
      </c>
      <c r="F666" s="622">
        <v>1004.77</v>
      </c>
      <c r="G666" s="623" t="s">
        <v>6057</v>
      </c>
      <c r="H666" s="548" t="s">
        <v>114</v>
      </c>
      <c r="I666" s="583" t="s">
        <v>1203</v>
      </c>
      <c r="J666" s="548" t="s">
        <v>1204</v>
      </c>
      <c r="K666" s="583" t="s">
        <v>991</v>
      </c>
      <c r="L666" s="583" t="s">
        <v>1183</v>
      </c>
      <c r="M666" s="619" t="s">
        <v>114</v>
      </c>
      <c r="N666" s="620">
        <v>44505</v>
      </c>
      <c r="O666" s="684" t="s">
        <v>67</v>
      </c>
      <c r="P666" s="503">
        <f t="shared" si="41"/>
        <v>11</v>
      </c>
      <c r="Q666" s="503">
        <f t="shared" si="42"/>
        <v>10</v>
      </c>
      <c r="R666" s="504" t="str">
        <f t="shared" si="43"/>
        <v>Gastos_com_Pessoal</v>
      </c>
      <c r="S666" s="504" t="str">
        <f>IF(D666="","",IF(OR(D666=Plano!$A$1,D666=Plano!$B$1),"entrada","saída"))</f>
        <v>saída</v>
      </c>
      <c r="T666" s="505" t="s">
        <v>114</v>
      </c>
      <c r="U666" s="505" t="s">
        <v>114</v>
      </c>
      <c r="V666" s="541"/>
    </row>
    <row r="667" spans="1:22" ht="50.1" customHeight="1" x14ac:dyDescent="0.2">
      <c r="A667" s="619">
        <f>IF(B667="","",COUNT('Diário 5º PA'!$A$5:$A$2634)+COUNT('Diário 6º PA'!$A$5:$A$2246)+COUNT('Diário 7º PA'!$A$5:$A$2271)+ROW()-4)</f>
        <v>4613</v>
      </c>
      <c r="B667" s="620">
        <v>44505</v>
      </c>
      <c r="C667" s="628">
        <v>44470</v>
      </c>
      <c r="D667" s="548" t="s">
        <v>88</v>
      </c>
      <c r="E667" s="548" t="s">
        <v>90</v>
      </c>
      <c r="F667" s="622">
        <v>1636.95</v>
      </c>
      <c r="G667" s="623" t="s">
        <v>6058</v>
      </c>
      <c r="H667" s="548" t="s">
        <v>114</v>
      </c>
      <c r="I667" s="583" t="s">
        <v>1776</v>
      </c>
      <c r="J667" s="548" t="s">
        <v>1777</v>
      </c>
      <c r="K667" s="583" t="s">
        <v>991</v>
      </c>
      <c r="L667" s="583" t="s">
        <v>1183</v>
      </c>
      <c r="M667" s="619" t="s">
        <v>114</v>
      </c>
      <c r="N667" s="620">
        <v>44505</v>
      </c>
      <c r="O667" s="684" t="s">
        <v>67</v>
      </c>
      <c r="P667" s="503">
        <f t="shared" si="41"/>
        <v>11</v>
      </c>
      <c r="Q667" s="503">
        <f t="shared" si="42"/>
        <v>10</v>
      </c>
      <c r="R667" s="504" t="str">
        <f t="shared" si="43"/>
        <v>Gastos_com_Pessoal</v>
      </c>
      <c r="S667" s="504" t="str">
        <f>IF(D667="","",IF(OR(D667=Plano!$A$1,D667=Plano!$B$1),"entrada","saída"))</f>
        <v>saída</v>
      </c>
      <c r="T667" s="505" t="s">
        <v>114</v>
      </c>
      <c r="U667" s="505" t="s">
        <v>114</v>
      </c>
      <c r="V667" s="541"/>
    </row>
    <row r="668" spans="1:22" ht="50.1" customHeight="1" x14ac:dyDescent="0.2">
      <c r="A668" s="619">
        <f>IF(B668="","",COUNT('Diário 5º PA'!$A$5:$A$2634)+COUNT('Diário 6º PA'!$A$5:$A$2246)+COUNT('Diário 7º PA'!$A$5:$A$2271)+ROW()-4)</f>
        <v>4614</v>
      </c>
      <c r="B668" s="620">
        <v>44505</v>
      </c>
      <c r="C668" s="628">
        <v>44470</v>
      </c>
      <c r="D668" s="548" t="s">
        <v>88</v>
      </c>
      <c r="E668" s="548" t="s">
        <v>90</v>
      </c>
      <c r="F668" s="622">
        <v>2073.86</v>
      </c>
      <c r="G668" s="623" t="s">
        <v>6022</v>
      </c>
      <c r="H668" s="548" t="s">
        <v>114</v>
      </c>
      <c r="I668" s="583" t="s">
        <v>1778</v>
      </c>
      <c r="J668" s="548" t="s">
        <v>1779</v>
      </c>
      <c r="K668" s="583" t="s">
        <v>991</v>
      </c>
      <c r="L668" s="583" t="s">
        <v>1183</v>
      </c>
      <c r="M668" s="619" t="s">
        <v>114</v>
      </c>
      <c r="N668" s="620">
        <v>44505</v>
      </c>
      <c r="O668" s="684" t="s">
        <v>67</v>
      </c>
      <c r="P668" s="503">
        <f t="shared" si="41"/>
        <v>11</v>
      </c>
      <c r="Q668" s="503">
        <f t="shared" si="42"/>
        <v>10</v>
      </c>
      <c r="R668" s="504" t="str">
        <f t="shared" si="43"/>
        <v>Gastos_com_Pessoal</v>
      </c>
      <c r="S668" s="504" t="str">
        <f>IF(D668="","",IF(OR(D668=Plano!$A$1,D668=Plano!$B$1),"entrada","saída"))</f>
        <v>saída</v>
      </c>
      <c r="T668" s="505" t="s">
        <v>114</v>
      </c>
      <c r="U668" s="505" t="s">
        <v>114</v>
      </c>
      <c r="V668" s="541"/>
    </row>
    <row r="669" spans="1:22" ht="50.1" customHeight="1" x14ac:dyDescent="0.2">
      <c r="A669" s="619">
        <f>IF(B669="","",COUNT('Diário 5º PA'!$A$5:$A$2634)+COUNT('Diário 6º PA'!$A$5:$A$2246)+COUNT('Diário 7º PA'!$A$5:$A$2271)+ROW()-4)</f>
        <v>4615</v>
      </c>
      <c r="B669" s="620">
        <v>44505</v>
      </c>
      <c r="C669" s="628">
        <v>44470</v>
      </c>
      <c r="D669" s="548" t="s">
        <v>88</v>
      </c>
      <c r="E669" s="548" t="s">
        <v>90</v>
      </c>
      <c r="F669" s="622">
        <v>2073.86</v>
      </c>
      <c r="G669" s="623" t="s">
        <v>6028</v>
      </c>
      <c r="H669" s="548" t="s">
        <v>114</v>
      </c>
      <c r="I669" s="583" t="s">
        <v>2248</v>
      </c>
      <c r="J669" s="548" t="s">
        <v>1781</v>
      </c>
      <c r="K669" s="583" t="s">
        <v>991</v>
      </c>
      <c r="L669" s="583" t="s">
        <v>1183</v>
      </c>
      <c r="M669" s="619" t="s">
        <v>114</v>
      </c>
      <c r="N669" s="620">
        <v>44505</v>
      </c>
      <c r="O669" s="684" t="s">
        <v>67</v>
      </c>
      <c r="P669" s="503">
        <f t="shared" si="41"/>
        <v>11</v>
      </c>
      <c r="Q669" s="503">
        <f t="shared" si="42"/>
        <v>10</v>
      </c>
      <c r="R669" s="504" t="str">
        <f t="shared" si="43"/>
        <v>Gastos_com_Pessoal</v>
      </c>
      <c r="S669" s="504" t="str">
        <f>IF(D669="","",IF(OR(D669=Plano!$A$1,D669=Plano!$B$1),"entrada","saída"))</f>
        <v>saída</v>
      </c>
      <c r="T669" s="505" t="s">
        <v>114</v>
      </c>
      <c r="U669" s="505" t="s">
        <v>114</v>
      </c>
      <c r="V669" s="541"/>
    </row>
    <row r="670" spans="1:22" ht="50.1" customHeight="1" x14ac:dyDescent="0.2">
      <c r="A670" s="619">
        <f>IF(B670="","",COUNT('Diário 5º PA'!$A$5:$A$2634)+COUNT('Diário 6º PA'!$A$5:$A$2246)+COUNT('Diário 7º PA'!$A$5:$A$2271)+ROW()-4)</f>
        <v>4616</v>
      </c>
      <c r="B670" s="620">
        <v>44505</v>
      </c>
      <c r="C670" s="628">
        <v>44470</v>
      </c>
      <c r="D670" s="548" t="s">
        <v>88</v>
      </c>
      <c r="E670" s="548" t="s">
        <v>90</v>
      </c>
      <c r="F670" s="622">
        <v>2073.86</v>
      </c>
      <c r="G670" s="623" t="s">
        <v>6022</v>
      </c>
      <c r="H670" s="548" t="s">
        <v>114</v>
      </c>
      <c r="I670" s="583" t="s">
        <v>1780</v>
      </c>
      <c r="J670" s="548" t="s">
        <v>1781</v>
      </c>
      <c r="K670" s="583" t="s">
        <v>991</v>
      </c>
      <c r="L670" s="583" t="s">
        <v>1183</v>
      </c>
      <c r="M670" s="619" t="s">
        <v>114</v>
      </c>
      <c r="N670" s="620">
        <v>44505</v>
      </c>
      <c r="O670" s="684" t="s">
        <v>67</v>
      </c>
      <c r="P670" s="503">
        <f t="shared" si="41"/>
        <v>11</v>
      </c>
      <c r="Q670" s="503">
        <f t="shared" si="42"/>
        <v>10</v>
      </c>
      <c r="R670" s="504" t="str">
        <f t="shared" si="43"/>
        <v>Gastos_com_Pessoal</v>
      </c>
      <c r="S670" s="504" t="str">
        <f>IF(D670="","",IF(OR(D670=Plano!$A$1,D670=Plano!$B$1),"entrada","saída"))</f>
        <v>saída</v>
      </c>
      <c r="T670" s="505" t="s">
        <v>114</v>
      </c>
      <c r="U670" s="505" t="s">
        <v>114</v>
      </c>
      <c r="V670" s="541"/>
    </row>
    <row r="671" spans="1:22" ht="50.1" customHeight="1" x14ac:dyDescent="0.2">
      <c r="A671" s="619">
        <f>IF(B671="","",COUNT('Diário 5º PA'!$A$5:$A$2634)+COUNT('Diário 6º PA'!$A$5:$A$2246)+COUNT('Diário 7º PA'!$A$5:$A$2271)+ROW()-4)</f>
        <v>4617</v>
      </c>
      <c r="B671" s="620">
        <v>44505</v>
      </c>
      <c r="C671" s="628">
        <v>44470</v>
      </c>
      <c r="D671" s="548" t="s">
        <v>88</v>
      </c>
      <c r="E671" s="548" t="s">
        <v>90</v>
      </c>
      <c r="F671" s="622">
        <v>2091.41</v>
      </c>
      <c r="G671" s="623" t="s">
        <v>6059</v>
      </c>
      <c r="H671" s="548" t="s">
        <v>114</v>
      </c>
      <c r="I671" s="583" t="s">
        <v>2250</v>
      </c>
      <c r="J671" s="548" t="s">
        <v>2251</v>
      </c>
      <c r="K671" s="583" t="s">
        <v>991</v>
      </c>
      <c r="L671" s="583" t="s">
        <v>1183</v>
      </c>
      <c r="M671" s="619" t="s">
        <v>114</v>
      </c>
      <c r="N671" s="620">
        <v>44505</v>
      </c>
      <c r="O671" s="684" t="s">
        <v>67</v>
      </c>
      <c r="P671" s="503">
        <f t="shared" si="41"/>
        <v>11</v>
      </c>
      <c r="Q671" s="503">
        <f t="shared" si="42"/>
        <v>10</v>
      </c>
      <c r="R671" s="504" t="str">
        <f t="shared" si="43"/>
        <v>Gastos_com_Pessoal</v>
      </c>
      <c r="S671" s="504" t="str">
        <f>IF(D671="","",IF(OR(D671=Plano!$A$1,D671=Plano!$B$1),"entrada","saída"))</f>
        <v>saída</v>
      </c>
      <c r="T671" s="505" t="s">
        <v>114</v>
      </c>
      <c r="U671" s="505" t="s">
        <v>114</v>
      </c>
      <c r="V671" s="541"/>
    </row>
    <row r="672" spans="1:22" ht="50.1" customHeight="1" x14ac:dyDescent="0.2">
      <c r="A672" s="619">
        <f>IF(B672="","",COUNT('Diário 5º PA'!$A$5:$A$2634)+COUNT('Diário 6º PA'!$A$5:$A$2246)+COUNT('Diário 7º PA'!$A$5:$A$2271)+ROW()-4)</f>
        <v>4618</v>
      </c>
      <c r="B672" s="620">
        <v>44505</v>
      </c>
      <c r="C672" s="628">
        <v>44470</v>
      </c>
      <c r="D672" s="548" t="s">
        <v>88</v>
      </c>
      <c r="E672" s="548" t="s">
        <v>90</v>
      </c>
      <c r="F672" s="622">
        <v>2091.41</v>
      </c>
      <c r="G672" s="623" t="s">
        <v>6022</v>
      </c>
      <c r="H672" s="548" t="s">
        <v>114</v>
      </c>
      <c r="I672" s="583" t="s">
        <v>1782</v>
      </c>
      <c r="J672" s="548" t="s">
        <v>1783</v>
      </c>
      <c r="K672" s="583" t="s">
        <v>991</v>
      </c>
      <c r="L672" s="583" t="s">
        <v>1183</v>
      </c>
      <c r="M672" s="619" t="s">
        <v>114</v>
      </c>
      <c r="N672" s="620">
        <v>44505</v>
      </c>
      <c r="O672" s="684" t="s">
        <v>67</v>
      </c>
      <c r="P672" s="503">
        <f t="shared" si="41"/>
        <v>11</v>
      </c>
      <c r="Q672" s="503">
        <f t="shared" si="42"/>
        <v>10</v>
      </c>
      <c r="R672" s="504" t="str">
        <f t="shared" si="43"/>
        <v>Gastos_com_Pessoal</v>
      </c>
      <c r="S672" s="504" t="str">
        <f>IF(D672="","",IF(OR(D672=Plano!$A$1,D672=Plano!$B$1),"entrada","saída"))</f>
        <v>saída</v>
      </c>
      <c r="T672" s="505" t="s">
        <v>114</v>
      </c>
      <c r="U672" s="505" t="s">
        <v>114</v>
      </c>
      <c r="V672" s="541"/>
    </row>
    <row r="673" spans="1:22" ht="50.1" customHeight="1" x14ac:dyDescent="0.2">
      <c r="A673" s="619">
        <f>IF(B673="","",COUNT('Diário 5º PA'!$A$5:$A$2634)+COUNT('Diário 6º PA'!$A$5:$A$2246)+COUNT('Diário 7º PA'!$A$5:$A$2271)+ROW()-4)</f>
        <v>4619</v>
      </c>
      <c r="B673" s="620">
        <v>44505</v>
      </c>
      <c r="C673" s="628">
        <v>44470</v>
      </c>
      <c r="D673" s="548" t="s">
        <v>88</v>
      </c>
      <c r="E673" s="548" t="s">
        <v>90</v>
      </c>
      <c r="F673" s="622">
        <v>1398.89</v>
      </c>
      <c r="G673" s="623" t="s">
        <v>6060</v>
      </c>
      <c r="H673" s="548" t="s">
        <v>114</v>
      </c>
      <c r="I673" s="583" t="s">
        <v>1206</v>
      </c>
      <c r="J673" s="548" t="s">
        <v>1207</v>
      </c>
      <c r="K673" s="583" t="s">
        <v>991</v>
      </c>
      <c r="L673" s="583" t="s">
        <v>1183</v>
      </c>
      <c r="M673" s="619" t="s">
        <v>114</v>
      </c>
      <c r="N673" s="620">
        <v>44505</v>
      </c>
      <c r="O673" s="684" t="s">
        <v>67</v>
      </c>
      <c r="P673" s="503">
        <f t="shared" si="41"/>
        <v>11</v>
      </c>
      <c r="Q673" s="503">
        <f t="shared" si="42"/>
        <v>10</v>
      </c>
      <c r="R673" s="504" t="str">
        <f t="shared" si="43"/>
        <v>Gastos_com_Pessoal</v>
      </c>
      <c r="S673" s="504" t="str">
        <f>IF(D673="","",IF(OR(D673=Plano!$A$1,D673=Plano!$B$1),"entrada","saída"))</f>
        <v>saída</v>
      </c>
      <c r="T673" s="505" t="s">
        <v>114</v>
      </c>
      <c r="U673" s="505" t="s">
        <v>114</v>
      </c>
      <c r="V673" s="541"/>
    </row>
    <row r="674" spans="1:22" ht="50.1" customHeight="1" x14ac:dyDescent="0.2">
      <c r="A674" s="619">
        <f>IF(B674="","",COUNT('Diário 5º PA'!$A$5:$A$2634)+COUNT('Diário 6º PA'!$A$5:$A$2246)+COUNT('Diário 7º PA'!$A$5:$A$2271)+ROW()-4)</f>
        <v>4620</v>
      </c>
      <c r="B674" s="620">
        <v>44505</v>
      </c>
      <c r="C674" s="628">
        <v>44470</v>
      </c>
      <c r="D674" s="548" t="s">
        <v>88</v>
      </c>
      <c r="E674" s="548" t="s">
        <v>90</v>
      </c>
      <c r="F674" s="622">
        <v>2385.5100000000002</v>
      </c>
      <c r="G674" s="623" t="s">
        <v>6061</v>
      </c>
      <c r="H674" s="548" t="s">
        <v>114</v>
      </c>
      <c r="I674" s="583" t="s">
        <v>6062</v>
      </c>
      <c r="J674" s="548" t="s">
        <v>2267</v>
      </c>
      <c r="K674" s="583" t="s">
        <v>991</v>
      </c>
      <c r="L674" s="583" t="s">
        <v>1183</v>
      </c>
      <c r="M674" s="619" t="s">
        <v>114</v>
      </c>
      <c r="N674" s="620">
        <v>44505</v>
      </c>
      <c r="O674" s="684" t="s">
        <v>67</v>
      </c>
      <c r="P674" s="503">
        <f t="shared" si="41"/>
        <v>11</v>
      </c>
      <c r="Q674" s="503">
        <f t="shared" si="42"/>
        <v>10</v>
      </c>
      <c r="R674" s="504" t="str">
        <f t="shared" si="43"/>
        <v>Gastos_com_Pessoal</v>
      </c>
      <c r="S674" s="504" t="str">
        <f>IF(D674="","",IF(OR(D674=Plano!$A$1,D674=Plano!$B$1),"entrada","saída"))</f>
        <v>saída</v>
      </c>
      <c r="T674" s="505" t="s">
        <v>114</v>
      </c>
      <c r="U674" s="505" t="s">
        <v>114</v>
      </c>
      <c r="V674" s="541"/>
    </row>
    <row r="675" spans="1:22" ht="50.1" customHeight="1" x14ac:dyDescent="0.2">
      <c r="A675" s="619">
        <f>IF(B675="","",COUNT('Diário 5º PA'!$A$5:$A$2634)+COUNT('Diário 6º PA'!$A$5:$A$2246)+COUNT('Diário 7º PA'!$A$5:$A$2271)+ROW()-4)</f>
        <v>4621</v>
      </c>
      <c r="B675" s="620">
        <v>44505</v>
      </c>
      <c r="C675" s="628">
        <v>44470</v>
      </c>
      <c r="D675" s="548" t="s">
        <v>88</v>
      </c>
      <c r="E675" s="548" t="s">
        <v>90</v>
      </c>
      <c r="F675" s="622">
        <v>2385.5100000000002</v>
      </c>
      <c r="G675" s="623" t="s">
        <v>6035</v>
      </c>
      <c r="H675" s="548" t="s">
        <v>114</v>
      </c>
      <c r="I675" s="583" t="s">
        <v>6055</v>
      </c>
      <c r="J675" s="548" t="s">
        <v>6056</v>
      </c>
      <c r="K675" s="583" t="s">
        <v>991</v>
      </c>
      <c r="L675" s="583" t="s">
        <v>1183</v>
      </c>
      <c r="M675" s="619" t="s">
        <v>114</v>
      </c>
      <c r="N675" s="620">
        <v>44505</v>
      </c>
      <c r="O675" s="684" t="s">
        <v>67</v>
      </c>
      <c r="P675" s="503">
        <f t="shared" si="41"/>
        <v>11</v>
      </c>
      <c r="Q675" s="503">
        <f t="shared" si="42"/>
        <v>10</v>
      </c>
      <c r="R675" s="504" t="str">
        <f t="shared" si="43"/>
        <v>Gastos_com_Pessoal</v>
      </c>
      <c r="S675" s="504" t="str">
        <f>IF(D675="","",IF(OR(D675=Plano!$A$1,D675=Plano!$B$1),"entrada","saída"))</f>
        <v>saída</v>
      </c>
      <c r="T675" s="505" t="s">
        <v>114</v>
      </c>
      <c r="U675" s="505" t="s">
        <v>114</v>
      </c>
      <c r="V675" s="541"/>
    </row>
    <row r="676" spans="1:22" ht="50.1" customHeight="1" x14ac:dyDescent="0.2">
      <c r="A676" s="619">
        <f>IF(B676="","",COUNT('Diário 5º PA'!$A$5:$A$2634)+COUNT('Diário 6º PA'!$A$5:$A$2246)+COUNT('Diário 7º PA'!$A$5:$A$2271)+ROW()-4)</f>
        <v>4622</v>
      </c>
      <c r="B676" s="620">
        <v>44505</v>
      </c>
      <c r="C676" s="628">
        <v>44470</v>
      </c>
      <c r="D676" s="548" t="s">
        <v>99</v>
      </c>
      <c r="E676" s="548" t="s">
        <v>330</v>
      </c>
      <c r="F676" s="622">
        <v>19905.97</v>
      </c>
      <c r="G676" s="623" t="s">
        <v>561</v>
      </c>
      <c r="H676" s="548" t="s">
        <v>129</v>
      </c>
      <c r="I676" s="583" t="s">
        <v>558</v>
      </c>
      <c r="J676" s="548" t="s">
        <v>559</v>
      </c>
      <c r="K676" s="583" t="s">
        <v>560</v>
      </c>
      <c r="L676" s="583" t="s">
        <v>114</v>
      </c>
      <c r="M676" s="619" t="s">
        <v>114</v>
      </c>
      <c r="N676" s="620">
        <v>44505</v>
      </c>
      <c r="O676" s="684" t="s">
        <v>67</v>
      </c>
      <c r="P676" s="503">
        <f t="shared" si="41"/>
        <v>11</v>
      </c>
      <c r="Q676" s="503">
        <f t="shared" si="42"/>
        <v>10</v>
      </c>
      <c r="R676" s="504" t="str">
        <f t="shared" si="43"/>
        <v>Gastos_Gerais</v>
      </c>
      <c r="S676" s="504" t="str">
        <f>IF(D676="","",IF(OR(D676=Plano!$A$1,D676=Plano!$B$1),"entrada","saída"))</f>
        <v>saída</v>
      </c>
      <c r="T676" s="505" t="s">
        <v>114</v>
      </c>
      <c r="U676" s="505" t="s">
        <v>114</v>
      </c>
      <c r="V676" s="541"/>
    </row>
    <row r="677" spans="1:22" ht="54" customHeight="1" x14ac:dyDescent="0.2">
      <c r="A677" s="619">
        <f>IF(B677="","",COUNT('Diário 5º PA'!$A$5:$A$2634)+COUNT('Diário 6º PA'!$A$5:$A$2246)+COUNT('Diário 7º PA'!$A$5:$A$2271)+ROW()-4)</f>
        <v>4623</v>
      </c>
      <c r="B677" s="620">
        <v>44505</v>
      </c>
      <c r="C677" s="628">
        <v>44470</v>
      </c>
      <c r="D677" s="548" t="s">
        <v>88</v>
      </c>
      <c r="E677" s="548" t="s">
        <v>171</v>
      </c>
      <c r="F677" s="622">
        <v>17464.47</v>
      </c>
      <c r="G677" s="623" t="s">
        <v>6063</v>
      </c>
      <c r="H677" s="548" t="s">
        <v>114</v>
      </c>
      <c r="I677" s="583" t="s">
        <v>1259</v>
      </c>
      <c r="J677" s="548" t="s">
        <v>114</v>
      </c>
      <c r="K677" s="583" t="s">
        <v>466</v>
      </c>
      <c r="L677" s="583" t="s">
        <v>171</v>
      </c>
      <c r="M677" s="620" t="s">
        <v>114</v>
      </c>
      <c r="N677" s="620">
        <v>44505</v>
      </c>
      <c r="O677" s="684" t="s">
        <v>67</v>
      </c>
      <c r="P677" s="503">
        <f t="shared" si="41"/>
        <v>11</v>
      </c>
      <c r="Q677" s="503">
        <f t="shared" si="42"/>
        <v>10</v>
      </c>
      <c r="R677" s="504" t="str">
        <f t="shared" si="43"/>
        <v>Gastos_com_Pessoal</v>
      </c>
      <c r="S677" s="504" t="str">
        <f>IF(D677="","",IF(OR(D677=Plano!$A$1,D677=Plano!$B$1),"entrada","saída"))</f>
        <v>saída</v>
      </c>
      <c r="T677" s="505" t="s">
        <v>114</v>
      </c>
      <c r="U677" s="505" t="s">
        <v>114</v>
      </c>
      <c r="V677" s="541"/>
    </row>
    <row r="678" spans="1:22" ht="103.5" customHeight="1" x14ac:dyDescent="0.2">
      <c r="A678" s="619">
        <f>IF(B678="","",COUNT('Diário 5º PA'!$A$5:$A$2634)+COUNT('Diário 6º PA'!$A$5:$A$2246)+COUNT('Diário 7º PA'!$A$5:$A$2271)+ROW()-4)</f>
        <v>4624</v>
      </c>
      <c r="B678" s="620">
        <v>44505</v>
      </c>
      <c r="C678" s="624">
        <v>44470</v>
      </c>
      <c r="D678" s="548" t="s">
        <v>99</v>
      </c>
      <c r="E678" s="548" t="s">
        <v>370</v>
      </c>
      <c r="F678" s="622">
        <v>3298.68</v>
      </c>
      <c r="G678" s="623" t="s">
        <v>5381</v>
      </c>
      <c r="H678" s="548" t="s">
        <v>116</v>
      </c>
      <c r="I678" s="583" t="s">
        <v>1140</v>
      </c>
      <c r="J678" s="548" t="s">
        <v>929</v>
      </c>
      <c r="K678" s="583" t="s">
        <v>991</v>
      </c>
      <c r="L678" s="583" t="s">
        <v>992</v>
      </c>
      <c r="M678" s="619">
        <v>192</v>
      </c>
      <c r="N678" s="620">
        <v>44504</v>
      </c>
      <c r="O678" s="684" t="s">
        <v>67</v>
      </c>
      <c r="P678" s="503">
        <f t="shared" si="41"/>
        <v>11</v>
      </c>
      <c r="Q678" s="503">
        <f t="shared" si="42"/>
        <v>10</v>
      </c>
      <c r="R678" s="504" t="str">
        <f t="shared" si="43"/>
        <v>Gastos_Gerais</v>
      </c>
      <c r="S678" s="504" t="str">
        <f>IF(D678="","",IF(OR(D678=Plano!$A$1,D678=Plano!$B$1),"entrada","saída"))</f>
        <v>saída</v>
      </c>
      <c r="T678" s="505" t="s">
        <v>994</v>
      </c>
      <c r="U678" s="505">
        <v>2172</v>
      </c>
      <c r="V678" s="541"/>
    </row>
    <row r="679" spans="1:22" ht="73.5" customHeight="1" x14ac:dyDescent="0.2">
      <c r="A679" s="619">
        <f>IF(B679="","",COUNT('Diário 5º PA'!$A$5:$A$2634)+COUNT('Diário 6º PA'!$A$5:$A$2246)+COUNT('Diário 7º PA'!$A$5:$A$2271)+ROW()-4)</f>
        <v>4625</v>
      </c>
      <c r="B679" s="620">
        <v>44505</v>
      </c>
      <c r="C679" s="624">
        <v>44470</v>
      </c>
      <c r="D679" s="548" t="s">
        <v>99</v>
      </c>
      <c r="E679" s="548" t="s">
        <v>370</v>
      </c>
      <c r="F679" s="622">
        <v>3298.68</v>
      </c>
      <c r="G679" s="623" t="s">
        <v>5414</v>
      </c>
      <c r="H679" s="548" t="s">
        <v>116</v>
      </c>
      <c r="I679" s="583" t="s">
        <v>1140</v>
      </c>
      <c r="J679" s="548" t="s">
        <v>929</v>
      </c>
      <c r="K679" s="583" t="s">
        <v>991</v>
      </c>
      <c r="L679" s="583" t="s">
        <v>992</v>
      </c>
      <c r="M679" s="619">
        <v>193</v>
      </c>
      <c r="N679" s="620">
        <v>44504</v>
      </c>
      <c r="O679" s="684" t="s">
        <v>67</v>
      </c>
      <c r="P679" s="503">
        <f t="shared" si="41"/>
        <v>11</v>
      </c>
      <c r="Q679" s="503">
        <f t="shared" si="42"/>
        <v>10</v>
      </c>
      <c r="R679" s="504" t="str">
        <f t="shared" si="43"/>
        <v>Gastos_Gerais</v>
      </c>
      <c r="S679" s="504" t="str">
        <f>IF(D679="","",IF(OR(D679=Plano!$A$1,D679=Plano!$B$1),"entrada","saída"))</f>
        <v>saída</v>
      </c>
      <c r="T679" s="505" t="s">
        <v>994</v>
      </c>
      <c r="U679" s="505">
        <v>2187</v>
      </c>
      <c r="V679" s="541"/>
    </row>
    <row r="680" spans="1:22" ht="50.1" customHeight="1" x14ac:dyDescent="0.2">
      <c r="A680" s="619">
        <f>IF(B680="","",COUNT('Diário 5º PA'!$A$5:$A$2634)+COUNT('Diário 6º PA'!$A$5:$A$2246)+COUNT('Diário 7º PA'!$A$5:$A$2271)+ROW()-4)</f>
        <v>4626</v>
      </c>
      <c r="B680" s="620">
        <v>44505</v>
      </c>
      <c r="C680" s="624">
        <v>44470</v>
      </c>
      <c r="D680" s="548" t="s">
        <v>88</v>
      </c>
      <c r="E680" s="548" t="s">
        <v>90</v>
      </c>
      <c r="F680" s="622">
        <v>4413.74</v>
      </c>
      <c r="G680" s="623" t="s">
        <v>6065</v>
      </c>
      <c r="H680" s="548" t="s">
        <v>114</v>
      </c>
      <c r="I680" s="583" t="s">
        <v>1221</v>
      </c>
      <c r="J680" s="548" t="s">
        <v>1222</v>
      </c>
      <c r="K680" s="583" t="s">
        <v>1015</v>
      </c>
      <c r="L680" s="583" t="s">
        <v>1183</v>
      </c>
      <c r="M680" s="619" t="s">
        <v>114</v>
      </c>
      <c r="N680" s="620">
        <v>44505</v>
      </c>
      <c r="O680" s="684" t="s">
        <v>67</v>
      </c>
      <c r="P680" s="503">
        <f t="shared" si="41"/>
        <v>11</v>
      </c>
      <c r="Q680" s="503">
        <f t="shared" si="42"/>
        <v>10</v>
      </c>
      <c r="R680" s="504" t="str">
        <f t="shared" si="43"/>
        <v>Gastos_com_Pessoal</v>
      </c>
      <c r="S680" s="504" t="str">
        <f>IF(D680="","",IF(OR(D680=Plano!$A$1,D680=Plano!$B$1),"entrada","saída"))</f>
        <v>saída</v>
      </c>
      <c r="T680" s="505" t="s">
        <v>114</v>
      </c>
      <c r="U680" s="505" t="s">
        <v>114</v>
      </c>
      <c r="V680" s="541"/>
    </row>
    <row r="681" spans="1:22" ht="50.1" customHeight="1" x14ac:dyDescent="0.2">
      <c r="A681" s="619">
        <f>IF(B681="","",COUNT('Diário 5º PA'!$A$5:$A$2634)+COUNT('Diário 6º PA'!$A$5:$A$2246)+COUNT('Diário 7º PA'!$A$5:$A$2271)+ROW()-4)</f>
        <v>4627</v>
      </c>
      <c r="B681" s="620">
        <v>44505</v>
      </c>
      <c r="C681" s="624">
        <v>44470</v>
      </c>
      <c r="D681" s="548" t="s">
        <v>88</v>
      </c>
      <c r="E681" s="548" t="s">
        <v>90</v>
      </c>
      <c r="F681" s="622">
        <v>2073.86</v>
      </c>
      <c r="G681" s="623" t="s">
        <v>6022</v>
      </c>
      <c r="H681" s="548" t="s">
        <v>114</v>
      </c>
      <c r="I681" s="583" t="s">
        <v>1794</v>
      </c>
      <c r="J681" s="548" t="s">
        <v>1795</v>
      </c>
      <c r="K681" s="583" t="s">
        <v>1015</v>
      </c>
      <c r="L681" s="583" t="s">
        <v>1183</v>
      </c>
      <c r="M681" s="619" t="s">
        <v>114</v>
      </c>
      <c r="N681" s="620">
        <v>44505</v>
      </c>
      <c r="O681" s="684" t="s">
        <v>67</v>
      </c>
      <c r="P681" s="503">
        <f t="shared" si="41"/>
        <v>11</v>
      </c>
      <c r="Q681" s="503">
        <f t="shared" si="42"/>
        <v>10</v>
      </c>
      <c r="R681" s="504" t="str">
        <f t="shared" si="43"/>
        <v>Gastos_com_Pessoal</v>
      </c>
      <c r="S681" s="504" t="str">
        <f>IF(D681="","",IF(OR(D681=Plano!$A$1,D681=Plano!$B$1),"entrada","saída"))</f>
        <v>saída</v>
      </c>
      <c r="T681" s="505" t="s">
        <v>114</v>
      </c>
      <c r="U681" s="505" t="s">
        <v>114</v>
      </c>
      <c r="V681" s="541"/>
    </row>
    <row r="682" spans="1:22" ht="50.1" customHeight="1" x14ac:dyDescent="0.2">
      <c r="A682" s="619">
        <f>IF(B682="","",COUNT('Diário 5º PA'!$A$5:$A$2634)+COUNT('Diário 6º PA'!$A$5:$A$2246)+COUNT('Diário 7º PA'!$A$5:$A$2271)+ROW()-4)</f>
        <v>4628</v>
      </c>
      <c r="B682" s="620">
        <v>44505</v>
      </c>
      <c r="C682" s="624">
        <v>44470</v>
      </c>
      <c r="D682" s="548" t="s">
        <v>88</v>
      </c>
      <c r="E682" s="548" t="s">
        <v>90</v>
      </c>
      <c r="F682" s="622">
        <v>2254.21</v>
      </c>
      <c r="G682" s="623" t="s">
        <v>6066</v>
      </c>
      <c r="H682" s="548" t="s">
        <v>114</v>
      </c>
      <c r="I682" s="583" t="s">
        <v>1797</v>
      </c>
      <c r="J682" s="548" t="s">
        <v>1798</v>
      </c>
      <c r="K682" s="583" t="s">
        <v>1015</v>
      </c>
      <c r="L682" s="583" t="s">
        <v>1183</v>
      </c>
      <c r="M682" s="619" t="s">
        <v>114</v>
      </c>
      <c r="N682" s="620">
        <v>44505</v>
      </c>
      <c r="O682" s="684" t="s">
        <v>67</v>
      </c>
      <c r="P682" s="503">
        <f t="shared" si="41"/>
        <v>11</v>
      </c>
      <c r="Q682" s="503">
        <f t="shared" si="42"/>
        <v>10</v>
      </c>
      <c r="R682" s="504" t="str">
        <f t="shared" si="43"/>
        <v>Gastos_com_Pessoal</v>
      </c>
      <c r="S682" s="504" t="str">
        <f>IF(D682="","",IF(OR(D682=Plano!$A$1,D682=Plano!$B$1),"entrada","saída"))</f>
        <v>saída</v>
      </c>
      <c r="T682" s="505" t="s">
        <v>114</v>
      </c>
      <c r="U682" s="505" t="s">
        <v>114</v>
      </c>
      <c r="V682" s="541"/>
    </row>
    <row r="683" spans="1:22" ht="50.1" customHeight="1" x14ac:dyDescent="0.2">
      <c r="A683" s="619">
        <f>IF(B683="","",COUNT('Diário 5º PA'!$A$5:$A$2634)+COUNT('Diário 6º PA'!$A$5:$A$2246)+COUNT('Diário 7º PA'!$A$5:$A$2271)+ROW()-4)</f>
        <v>4629</v>
      </c>
      <c r="B683" s="620">
        <v>44505</v>
      </c>
      <c r="C683" s="624">
        <v>44470</v>
      </c>
      <c r="D683" s="548" t="s">
        <v>88</v>
      </c>
      <c r="E683" s="548" t="s">
        <v>90</v>
      </c>
      <c r="F683" s="622">
        <v>2073.86</v>
      </c>
      <c r="G683" s="623" t="s">
        <v>6022</v>
      </c>
      <c r="H683" s="548" t="s">
        <v>114</v>
      </c>
      <c r="I683" s="583" t="s">
        <v>1799</v>
      </c>
      <c r="J683" s="548" t="s">
        <v>1800</v>
      </c>
      <c r="K683" s="583" t="s">
        <v>1015</v>
      </c>
      <c r="L683" s="583" t="s">
        <v>1183</v>
      </c>
      <c r="M683" s="619" t="s">
        <v>114</v>
      </c>
      <c r="N683" s="620">
        <v>44505</v>
      </c>
      <c r="O683" s="684" t="s">
        <v>67</v>
      </c>
      <c r="P683" s="503">
        <f t="shared" si="41"/>
        <v>11</v>
      </c>
      <c r="Q683" s="503">
        <f t="shared" si="42"/>
        <v>10</v>
      </c>
      <c r="R683" s="504" t="str">
        <f t="shared" si="43"/>
        <v>Gastos_com_Pessoal</v>
      </c>
      <c r="S683" s="504" t="str">
        <f>IF(D683="","",IF(OR(D683=Plano!$A$1,D683=Plano!$B$1),"entrada","saída"))</f>
        <v>saída</v>
      </c>
      <c r="T683" s="505" t="s">
        <v>114</v>
      </c>
      <c r="U683" s="505" t="s">
        <v>114</v>
      </c>
      <c r="V683" s="541"/>
    </row>
    <row r="684" spans="1:22" ht="50.1" customHeight="1" x14ac:dyDescent="0.2">
      <c r="A684" s="619">
        <f>IF(B684="","",COUNT('Diário 5º PA'!$A$5:$A$2634)+COUNT('Diário 6º PA'!$A$5:$A$2246)+COUNT('Diário 7º PA'!$A$5:$A$2271)+ROW()-4)</f>
        <v>4630</v>
      </c>
      <c r="B684" s="620">
        <v>44505</v>
      </c>
      <c r="C684" s="624">
        <v>44470</v>
      </c>
      <c r="D684" s="548" t="s">
        <v>88</v>
      </c>
      <c r="E684" s="548" t="s">
        <v>90</v>
      </c>
      <c r="F684" s="622">
        <v>2091.41</v>
      </c>
      <c r="G684" s="623" t="s">
        <v>6022</v>
      </c>
      <c r="H684" s="548" t="s">
        <v>114</v>
      </c>
      <c r="I684" s="583" t="s">
        <v>1801</v>
      </c>
      <c r="J684" s="548" t="s">
        <v>1802</v>
      </c>
      <c r="K684" s="583" t="s">
        <v>1015</v>
      </c>
      <c r="L684" s="583" t="s">
        <v>1183</v>
      </c>
      <c r="M684" s="619" t="s">
        <v>114</v>
      </c>
      <c r="N684" s="620">
        <v>44505</v>
      </c>
      <c r="O684" s="684" t="s">
        <v>67</v>
      </c>
      <c r="P684" s="503">
        <f t="shared" si="41"/>
        <v>11</v>
      </c>
      <c r="Q684" s="503">
        <f t="shared" si="42"/>
        <v>10</v>
      </c>
      <c r="R684" s="504" t="str">
        <f t="shared" si="43"/>
        <v>Gastos_com_Pessoal</v>
      </c>
      <c r="S684" s="504" t="str">
        <f>IF(D684="","",IF(OR(D684=Plano!$A$1,D684=Plano!$B$1),"entrada","saída"))</f>
        <v>saída</v>
      </c>
      <c r="T684" s="505" t="s">
        <v>114</v>
      </c>
      <c r="U684" s="505" t="s">
        <v>114</v>
      </c>
      <c r="V684" s="541"/>
    </row>
    <row r="685" spans="1:22" ht="50.1" customHeight="1" x14ac:dyDescent="0.2">
      <c r="A685" s="619">
        <f>IF(B685="","",COUNT('Diário 5º PA'!$A$5:$A$2634)+COUNT('Diário 6º PA'!$A$5:$A$2246)+COUNT('Diário 7º PA'!$A$5:$A$2271)+ROW()-4)</f>
        <v>4631</v>
      </c>
      <c r="B685" s="620">
        <v>44505</v>
      </c>
      <c r="C685" s="624">
        <v>44470</v>
      </c>
      <c r="D685" s="548" t="s">
        <v>88</v>
      </c>
      <c r="E685" s="548" t="s">
        <v>90</v>
      </c>
      <c r="F685" s="622">
        <v>2073.86</v>
      </c>
      <c r="G685" s="623" t="s">
        <v>6022</v>
      </c>
      <c r="H685" s="548" t="s">
        <v>114</v>
      </c>
      <c r="I685" s="583" t="s">
        <v>1803</v>
      </c>
      <c r="J685" s="548" t="s">
        <v>1804</v>
      </c>
      <c r="K685" s="583" t="s">
        <v>1015</v>
      </c>
      <c r="L685" s="583" t="s">
        <v>1183</v>
      </c>
      <c r="M685" s="619" t="s">
        <v>114</v>
      </c>
      <c r="N685" s="620">
        <v>44505</v>
      </c>
      <c r="O685" s="684" t="s">
        <v>67</v>
      </c>
      <c r="P685" s="503">
        <f t="shared" si="41"/>
        <v>11</v>
      </c>
      <c r="Q685" s="503">
        <f t="shared" si="42"/>
        <v>10</v>
      </c>
      <c r="R685" s="504" t="str">
        <f t="shared" si="43"/>
        <v>Gastos_com_Pessoal</v>
      </c>
      <c r="S685" s="504" t="str">
        <f>IF(D685="","",IF(OR(D685=Plano!$A$1,D685=Plano!$B$1),"entrada","saída"))</f>
        <v>saída</v>
      </c>
      <c r="T685" s="505" t="s">
        <v>114</v>
      </c>
      <c r="U685" s="505" t="s">
        <v>114</v>
      </c>
      <c r="V685" s="541"/>
    </row>
    <row r="686" spans="1:22" ht="50.1" customHeight="1" x14ac:dyDescent="0.2">
      <c r="A686" s="619">
        <f>IF(B686="","",COUNT('Diário 5º PA'!$A$5:$A$2634)+COUNT('Diário 6º PA'!$A$5:$A$2246)+COUNT('Diário 7º PA'!$A$5:$A$2271)+ROW()-4)</f>
        <v>4632</v>
      </c>
      <c r="B686" s="620">
        <v>44505</v>
      </c>
      <c r="C686" s="624">
        <v>44470</v>
      </c>
      <c r="D686" s="548" t="s">
        <v>88</v>
      </c>
      <c r="E686" s="548" t="s">
        <v>90</v>
      </c>
      <c r="F686" s="622">
        <v>4396.1899999999996</v>
      </c>
      <c r="G686" s="623" t="s">
        <v>6067</v>
      </c>
      <c r="H686" s="548" t="s">
        <v>114</v>
      </c>
      <c r="I686" s="583" t="s">
        <v>1224</v>
      </c>
      <c r="J686" s="548" t="s">
        <v>1225</v>
      </c>
      <c r="K686" s="583" t="s">
        <v>1015</v>
      </c>
      <c r="L686" s="583" t="s">
        <v>1347</v>
      </c>
      <c r="M686" s="619" t="s">
        <v>114</v>
      </c>
      <c r="N686" s="620">
        <v>44505</v>
      </c>
      <c r="O686" s="684" t="s">
        <v>67</v>
      </c>
      <c r="P686" s="503">
        <f t="shared" si="41"/>
        <v>11</v>
      </c>
      <c r="Q686" s="503">
        <f t="shared" si="42"/>
        <v>10</v>
      </c>
      <c r="R686" s="504" t="str">
        <f t="shared" si="43"/>
        <v>Gastos_com_Pessoal</v>
      </c>
      <c r="S686" s="504" t="str">
        <f>IF(D686="","",IF(OR(D686=Plano!$A$1,D686=Plano!$B$1),"entrada","saída"))</f>
        <v>saída</v>
      </c>
      <c r="T686" s="505" t="s">
        <v>114</v>
      </c>
      <c r="U686" s="505" t="s">
        <v>114</v>
      </c>
      <c r="V686" s="541"/>
    </row>
    <row r="687" spans="1:22" ht="50.1" customHeight="1" x14ac:dyDescent="0.2">
      <c r="A687" s="619">
        <f>IF(B687="","",COUNT('Diário 5º PA'!$A$5:$A$2634)+COUNT('Diário 6º PA'!$A$5:$A$2246)+COUNT('Diário 7º PA'!$A$5:$A$2271)+ROW()-4)</f>
        <v>4633</v>
      </c>
      <c r="B687" s="620">
        <v>44505</v>
      </c>
      <c r="C687" s="624">
        <v>44470</v>
      </c>
      <c r="D687" s="548" t="s">
        <v>88</v>
      </c>
      <c r="E687" s="548" t="s">
        <v>90</v>
      </c>
      <c r="F687" s="622">
        <v>2073.86</v>
      </c>
      <c r="G687" s="623" t="s">
        <v>6022</v>
      </c>
      <c r="H687" s="548" t="s">
        <v>114</v>
      </c>
      <c r="I687" s="583" t="s">
        <v>1806</v>
      </c>
      <c r="J687" s="548" t="s">
        <v>1807</v>
      </c>
      <c r="K687" s="583" t="s">
        <v>1015</v>
      </c>
      <c r="L687" s="583" t="s">
        <v>1183</v>
      </c>
      <c r="M687" s="619" t="s">
        <v>114</v>
      </c>
      <c r="N687" s="620">
        <v>44505</v>
      </c>
      <c r="O687" s="684" t="s">
        <v>67</v>
      </c>
      <c r="P687" s="503">
        <f t="shared" si="41"/>
        <v>11</v>
      </c>
      <c r="Q687" s="503">
        <f t="shared" si="42"/>
        <v>10</v>
      </c>
      <c r="R687" s="504" t="str">
        <f t="shared" si="43"/>
        <v>Gastos_com_Pessoal</v>
      </c>
      <c r="S687" s="504" t="str">
        <f>IF(D687="","",IF(OR(D687=Plano!$A$1,D687=Plano!$B$1),"entrada","saída"))</f>
        <v>saída</v>
      </c>
      <c r="T687" s="505" t="s">
        <v>114</v>
      </c>
      <c r="U687" s="505" t="s">
        <v>114</v>
      </c>
      <c r="V687" s="541"/>
    </row>
    <row r="688" spans="1:22" ht="50.1" customHeight="1" x14ac:dyDescent="0.2">
      <c r="A688" s="619">
        <f>IF(B688="","",COUNT('Diário 5º PA'!$A$5:$A$2634)+COUNT('Diário 6º PA'!$A$5:$A$2246)+COUNT('Diário 7º PA'!$A$5:$A$2271)+ROW()-4)</f>
        <v>4634</v>
      </c>
      <c r="B688" s="620">
        <v>44505</v>
      </c>
      <c r="C688" s="624">
        <v>44470</v>
      </c>
      <c r="D688" s="548" t="s">
        <v>88</v>
      </c>
      <c r="E688" s="548" t="s">
        <v>90</v>
      </c>
      <c r="F688" s="622">
        <v>1416.44</v>
      </c>
      <c r="G688" s="623" t="s">
        <v>6034</v>
      </c>
      <c r="H688" s="548" t="s">
        <v>114</v>
      </c>
      <c r="I688" s="583" t="s">
        <v>1226</v>
      </c>
      <c r="J688" s="548" t="s">
        <v>1227</v>
      </c>
      <c r="K688" s="583" t="s">
        <v>1015</v>
      </c>
      <c r="L688" s="583" t="s">
        <v>1183</v>
      </c>
      <c r="M688" s="619" t="s">
        <v>114</v>
      </c>
      <c r="N688" s="620">
        <v>44505</v>
      </c>
      <c r="O688" s="684" t="s">
        <v>67</v>
      </c>
      <c r="P688" s="503">
        <f t="shared" si="41"/>
        <v>11</v>
      </c>
      <c r="Q688" s="503">
        <f t="shared" si="42"/>
        <v>10</v>
      </c>
      <c r="R688" s="504" t="str">
        <f t="shared" si="43"/>
        <v>Gastos_com_Pessoal</v>
      </c>
      <c r="S688" s="504" t="str">
        <f>IF(D688="","",IF(OR(D688=Plano!$A$1,D688=Plano!$B$1),"entrada","saída"))</f>
        <v>saída</v>
      </c>
      <c r="T688" s="505" t="s">
        <v>114</v>
      </c>
      <c r="U688" s="505" t="s">
        <v>114</v>
      </c>
      <c r="V688" s="541"/>
    </row>
    <row r="689" spans="1:22" ht="50.1" customHeight="1" x14ac:dyDescent="0.2">
      <c r="A689" s="619">
        <f>IF(B689="","",COUNT('Diário 5º PA'!$A$5:$A$2634)+COUNT('Diário 6º PA'!$A$5:$A$2246)+COUNT('Diário 7º PA'!$A$5:$A$2271)+ROW()-4)</f>
        <v>4635</v>
      </c>
      <c r="B689" s="620">
        <v>44505</v>
      </c>
      <c r="C689" s="624">
        <v>44470</v>
      </c>
      <c r="D689" s="548" t="s">
        <v>88</v>
      </c>
      <c r="E689" s="548" t="s">
        <v>90</v>
      </c>
      <c r="F689" s="622">
        <v>2091.41</v>
      </c>
      <c r="G689" s="623" t="s">
        <v>6028</v>
      </c>
      <c r="H689" s="548" t="s">
        <v>114</v>
      </c>
      <c r="I689" s="583" t="s">
        <v>2266</v>
      </c>
      <c r="J689" s="548" t="s">
        <v>2267</v>
      </c>
      <c r="K689" s="583" t="s">
        <v>1015</v>
      </c>
      <c r="L689" s="583" t="s">
        <v>1183</v>
      </c>
      <c r="M689" s="619" t="s">
        <v>114</v>
      </c>
      <c r="N689" s="620">
        <v>44505</v>
      </c>
      <c r="O689" s="684" t="s">
        <v>67</v>
      </c>
      <c r="P689" s="503">
        <f t="shared" si="41"/>
        <v>11</v>
      </c>
      <c r="Q689" s="503">
        <f t="shared" si="42"/>
        <v>10</v>
      </c>
      <c r="R689" s="504" t="str">
        <f t="shared" si="43"/>
        <v>Gastos_com_Pessoal</v>
      </c>
      <c r="S689" s="504" t="str">
        <f>IF(D689="","",IF(OR(D689=Plano!$A$1,D689=Plano!$B$1),"entrada","saída"))</f>
        <v>saída</v>
      </c>
      <c r="T689" s="505" t="s">
        <v>114</v>
      </c>
      <c r="U689" s="505" t="s">
        <v>114</v>
      </c>
      <c r="V689" s="541"/>
    </row>
    <row r="690" spans="1:22" ht="50.1" customHeight="1" x14ac:dyDescent="0.2">
      <c r="A690" s="619">
        <f>IF(B690="","",COUNT('Diário 5º PA'!$A$5:$A$2634)+COUNT('Diário 6º PA'!$A$5:$A$2246)+COUNT('Diário 7º PA'!$A$5:$A$2271)+ROW()-4)</f>
        <v>4636</v>
      </c>
      <c r="B690" s="620">
        <v>44505</v>
      </c>
      <c r="C690" s="624">
        <v>44470</v>
      </c>
      <c r="D690" s="548" t="s">
        <v>88</v>
      </c>
      <c r="E690" s="548" t="s">
        <v>90</v>
      </c>
      <c r="F690" s="622">
        <v>2091.41</v>
      </c>
      <c r="G690" s="623" t="s">
        <v>6022</v>
      </c>
      <c r="H690" s="548" t="s">
        <v>114</v>
      </c>
      <c r="I690" s="583" t="s">
        <v>1808</v>
      </c>
      <c r="J690" s="548" t="s">
        <v>1028</v>
      </c>
      <c r="K690" s="583" t="s">
        <v>1015</v>
      </c>
      <c r="L690" s="583" t="s">
        <v>1183</v>
      </c>
      <c r="M690" s="619" t="s">
        <v>114</v>
      </c>
      <c r="N690" s="620">
        <v>44505</v>
      </c>
      <c r="O690" s="684" t="s">
        <v>67</v>
      </c>
      <c r="P690" s="503">
        <f t="shared" si="41"/>
        <v>11</v>
      </c>
      <c r="Q690" s="503">
        <f t="shared" si="42"/>
        <v>10</v>
      </c>
      <c r="R690" s="504" t="str">
        <f t="shared" si="43"/>
        <v>Gastos_com_Pessoal</v>
      </c>
      <c r="S690" s="504" t="str">
        <f>IF(D690="","",IF(OR(D690=Plano!$A$1,D690=Plano!$B$1),"entrada","saída"))</f>
        <v>saída</v>
      </c>
      <c r="T690" s="505" t="s">
        <v>114</v>
      </c>
      <c r="U690" s="505" t="s">
        <v>114</v>
      </c>
      <c r="V690" s="541"/>
    </row>
    <row r="691" spans="1:22" ht="50.1" customHeight="1" x14ac:dyDescent="0.2">
      <c r="A691" s="619">
        <f>IF(B691="","",COUNT('Diário 5º PA'!$A$5:$A$2634)+COUNT('Diário 6º PA'!$A$5:$A$2246)+COUNT('Diário 7º PA'!$A$5:$A$2271)+ROW()-4)</f>
        <v>4637</v>
      </c>
      <c r="B691" s="620">
        <v>44505</v>
      </c>
      <c r="C691" s="624">
        <v>44470</v>
      </c>
      <c r="D691" s="548" t="s">
        <v>88</v>
      </c>
      <c r="E691" s="548" t="s">
        <v>90</v>
      </c>
      <c r="F691" s="622">
        <v>2385.5100000000002</v>
      </c>
      <c r="G691" s="623" t="s">
        <v>6068</v>
      </c>
      <c r="H691" s="548" t="s">
        <v>114</v>
      </c>
      <c r="I691" s="583" t="s">
        <v>6069</v>
      </c>
      <c r="J691" s="548" t="s">
        <v>6070</v>
      </c>
      <c r="K691" s="583" t="s">
        <v>1015</v>
      </c>
      <c r="L691" s="583" t="s">
        <v>1183</v>
      </c>
      <c r="M691" s="619" t="s">
        <v>114</v>
      </c>
      <c r="N691" s="620">
        <v>44505</v>
      </c>
      <c r="O691" s="684" t="s">
        <v>67</v>
      </c>
      <c r="P691" s="503">
        <f t="shared" si="41"/>
        <v>11</v>
      </c>
      <c r="Q691" s="503">
        <f t="shared" si="42"/>
        <v>10</v>
      </c>
      <c r="R691" s="504" t="str">
        <f t="shared" si="43"/>
        <v>Gastos_com_Pessoal</v>
      </c>
      <c r="S691" s="504" t="str">
        <f>IF(D691="","",IF(OR(D691=Plano!$A$1,D691=Plano!$B$1),"entrada","saída"))</f>
        <v>saída</v>
      </c>
      <c r="T691" s="505" t="s">
        <v>114</v>
      </c>
      <c r="U691" s="505" t="s">
        <v>114</v>
      </c>
      <c r="V691" s="541"/>
    </row>
    <row r="692" spans="1:22" ht="50.1" customHeight="1" x14ac:dyDescent="0.2">
      <c r="A692" s="619">
        <f>IF(B692="","",COUNT('Diário 5º PA'!$A$5:$A$2634)+COUNT('Diário 6º PA'!$A$5:$A$2246)+COUNT('Diário 7º PA'!$A$5:$A$2271)+ROW()-4)</f>
        <v>4638</v>
      </c>
      <c r="B692" s="620">
        <v>44505</v>
      </c>
      <c r="C692" s="624">
        <v>44470</v>
      </c>
      <c r="D692" s="548" t="s">
        <v>88</v>
      </c>
      <c r="E692" s="548" t="s">
        <v>90</v>
      </c>
      <c r="F692" s="622">
        <v>12016.67</v>
      </c>
      <c r="G692" s="623" t="s">
        <v>6071</v>
      </c>
      <c r="H692" s="548" t="s">
        <v>114</v>
      </c>
      <c r="I692" s="583" t="s">
        <v>1229</v>
      </c>
      <c r="J692" s="548" t="s">
        <v>1230</v>
      </c>
      <c r="K692" s="583" t="s">
        <v>1015</v>
      </c>
      <c r="L692" s="583" t="s">
        <v>1183</v>
      </c>
      <c r="M692" s="619" t="s">
        <v>114</v>
      </c>
      <c r="N692" s="620">
        <v>44505</v>
      </c>
      <c r="O692" s="684" t="s">
        <v>67</v>
      </c>
      <c r="P692" s="503">
        <f t="shared" si="41"/>
        <v>11</v>
      </c>
      <c r="Q692" s="503">
        <f t="shared" si="42"/>
        <v>10</v>
      </c>
      <c r="R692" s="504" t="str">
        <f t="shared" si="43"/>
        <v>Gastos_com_Pessoal</v>
      </c>
      <c r="S692" s="504" t="str">
        <f>IF(D692="","",IF(OR(D692=Plano!$A$1,D692=Plano!$B$1),"entrada","saída"))</f>
        <v>saída</v>
      </c>
      <c r="T692" s="505" t="s">
        <v>114</v>
      </c>
      <c r="U692" s="505" t="s">
        <v>114</v>
      </c>
      <c r="V692" s="541"/>
    </row>
    <row r="693" spans="1:22" ht="50.1" customHeight="1" x14ac:dyDescent="0.2">
      <c r="A693" s="619">
        <f>IF(B693="","",COUNT('Diário 5º PA'!$A$5:$A$2634)+COUNT('Diário 6º PA'!$A$5:$A$2246)+COUNT('Diário 7º PA'!$A$5:$A$2271)+ROW()-4)</f>
        <v>4639</v>
      </c>
      <c r="B693" s="620">
        <v>44505</v>
      </c>
      <c r="C693" s="624">
        <v>44470</v>
      </c>
      <c r="D693" s="548" t="s">
        <v>88</v>
      </c>
      <c r="E693" s="548" t="s">
        <v>90</v>
      </c>
      <c r="F693" s="622">
        <v>2091.41</v>
      </c>
      <c r="G693" s="623" t="s">
        <v>6022</v>
      </c>
      <c r="H693" s="548" t="s">
        <v>114</v>
      </c>
      <c r="I693" s="583" t="s">
        <v>1810</v>
      </c>
      <c r="J693" s="548" t="s">
        <v>1811</v>
      </c>
      <c r="K693" s="583" t="s">
        <v>1015</v>
      </c>
      <c r="L693" s="583" t="s">
        <v>1183</v>
      </c>
      <c r="M693" s="619" t="s">
        <v>114</v>
      </c>
      <c r="N693" s="620">
        <v>44505</v>
      </c>
      <c r="O693" s="684" t="s">
        <v>67</v>
      </c>
      <c r="P693" s="503">
        <f t="shared" si="41"/>
        <v>11</v>
      </c>
      <c r="Q693" s="503">
        <f t="shared" si="42"/>
        <v>10</v>
      </c>
      <c r="R693" s="504" t="str">
        <f t="shared" si="43"/>
        <v>Gastos_com_Pessoal</v>
      </c>
      <c r="S693" s="504" t="str">
        <f>IF(D693="","",IF(OR(D693=Plano!$A$1,D693=Plano!$B$1),"entrada","saída"))</f>
        <v>saída</v>
      </c>
      <c r="T693" s="505" t="s">
        <v>114</v>
      </c>
      <c r="U693" s="505" t="s">
        <v>114</v>
      </c>
      <c r="V693" s="541"/>
    </row>
    <row r="694" spans="1:22" ht="50.1" customHeight="1" x14ac:dyDescent="0.2">
      <c r="A694" s="619">
        <f>IF(B694="","",COUNT('Diário 5º PA'!$A$5:$A$2634)+COUNT('Diário 6º PA'!$A$5:$A$2246)+COUNT('Diário 7º PA'!$A$5:$A$2271)+ROW()-4)</f>
        <v>4640</v>
      </c>
      <c r="B694" s="620">
        <v>44505</v>
      </c>
      <c r="C694" s="624">
        <v>44470</v>
      </c>
      <c r="D694" s="548" t="s">
        <v>88</v>
      </c>
      <c r="E694" s="548" t="s">
        <v>90</v>
      </c>
      <c r="F694" s="622">
        <v>2799.57</v>
      </c>
      <c r="G694" s="623" t="s">
        <v>6072</v>
      </c>
      <c r="H694" s="548" t="s">
        <v>114</v>
      </c>
      <c r="I694" s="583" t="s">
        <v>1232</v>
      </c>
      <c r="J694" s="548" t="s">
        <v>1233</v>
      </c>
      <c r="K694" s="583" t="s">
        <v>1015</v>
      </c>
      <c r="L694" s="583" t="s">
        <v>1183</v>
      </c>
      <c r="M694" s="619" t="s">
        <v>114</v>
      </c>
      <c r="N694" s="620">
        <v>44505</v>
      </c>
      <c r="O694" s="684" t="s">
        <v>67</v>
      </c>
      <c r="P694" s="503">
        <f t="shared" si="41"/>
        <v>11</v>
      </c>
      <c r="Q694" s="503">
        <f t="shared" si="42"/>
        <v>10</v>
      </c>
      <c r="R694" s="504" t="str">
        <f t="shared" si="43"/>
        <v>Gastos_com_Pessoal</v>
      </c>
      <c r="S694" s="504" t="str">
        <f>IF(D694="","",IF(OR(D694=Plano!$A$1,D694=Plano!$B$1),"entrada","saída"))</f>
        <v>saída</v>
      </c>
      <c r="T694" s="505" t="s">
        <v>114</v>
      </c>
      <c r="U694" s="505" t="s">
        <v>114</v>
      </c>
      <c r="V694" s="541"/>
    </row>
    <row r="695" spans="1:22" ht="50.1" customHeight="1" x14ac:dyDescent="0.2">
      <c r="A695" s="619">
        <f>IF(B695="","",COUNT('Diário 5º PA'!$A$5:$A$2634)+COUNT('Diário 6º PA'!$A$5:$A$2246)+COUNT('Diário 7º PA'!$A$5:$A$2271)+ROW()-4)</f>
        <v>4641</v>
      </c>
      <c r="B695" s="620">
        <v>44505</v>
      </c>
      <c r="C695" s="624">
        <v>44470</v>
      </c>
      <c r="D695" s="548" t="s">
        <v>88</v>
      </c>
      <c r="E695" s="548" t="s">
        <v>90</v>
      </c>
      <c r="F695" s="622">
        <v>4413.74</v>
      </c>
      <c r="G695" s="623" t="s">
        <v>6073</v>
      </c>
      <c r="H695" s="548" t="s">
        <v>114</v>
      </c>
      <c r="I695" s="583" t="s">
        <v>1235</v>
      </c>
      <c r="J695" s="548" t="s">
        <v>1236</v>
      </c>
      <c r="K695" s="583" t="s">
        <v>1015</v>
      </c>
      <c r="L695" s="583" t="s">
        <v>1183</v>
      </c>
      <c r="M695" s="619" t="s">
        <v>114</v>
      </c>
      <c r="N695" s="620">
        <v>44505</v>
      </c>
      <c r="O695" s="684" t="s">
        <v>67</v>
      </c>
      <c r="P695" s="503">
        <f t="shared" si="41"/>
        <v>11</v>
      </c>
      <c r="Q695" s="503">
        <f t="shared" si="42"/>
        <v>10</v>
      </c>
      <c r="R695" s="504" t="str">
        <f t="shared" si="43"/>
        <v>Gastos_com_Pessoal</v>
      </c>
      <c r="S695" s="504" t="str">
        <f>IF(D695="","",IF(OR(D695=Plano!$A$1,D695=Plano!$B$1),"entrada","saída"))</f>
        <v>saída</v>
      </c>
      <c r="T695" s="505" t="s">
        <v>114</v>
      </c>
      <c r="U695" s="505" t="s">
        <v>114</v>
      </c>
      <c r="V695" s="541"/>
    </row>
    <row r="696" spans="1:22" ht="34.5" customHeight="1" x14ac:dyDescent="0.2">
      <c r="A696" s="619">
        <f>IF(B696="","",COUNT('Diário 5º PA'!$A$5:$A$2634)+COUNT('Diário 6º PA'!$A$5:$A$2246)+COUNT('Diário 7º PA'!$A$5:$A$2271)+ROW()-4)</f>
        <v>4642</v>
      </c>
      <c r="B696" s="620">
        <v>44505</v>
      </c>
      <c r="C696" s="621">
        <v>44501</v>
      </c>
      <c r="D696" s="548" t="s">
        <v>99</v>
      </c>
      <c r="E696" s="548" t="s">
        <v>272</v>
      </c>
      <c r="F696" s="622">
        <v>153</v>
      </c>
      <c r="G696" s="623" t="s">
        <v>948</v>
      </c>
      <c r="H696" s="548" t="s">
        <v>115</v>
      </c>
      <c r="I696" s="583" t="s">
        <v>949</v>
      </c>
      <c r="J696" s="548" t="s">
        <v>950</v>
      </c>
      <c r="K696" s="583" t="s">
        <v>951</v>
      </c>
      <c r="L696" s="583" t="s">
        <v>947</v>
      </c>
      <c r="M696" s="625" t="s">
        <v>114</v>
      </c>
      <c r="N696" s="620">
        <v>44505</v>
      </c>
      <c r="O696" s="684" t="s">
        <v>67</v>
      </c>
      <c r="P696" s="503">
        <f t="shared" si="41"/>
        <v>11</v>
      </c>
      <c r="Q696" s="503">
        <f t="shared" si="42"/>
        <v>11</v>
      </c>
      <c r="R696" s="504" t="str">
        <f t="shared" si="43"/>
        <v>Gastos_Gerais</v>
      </c>
      <c r="S696" s="504" t="str">
        <f>IF(D696="","",IF(OR(D696=Plano!$A$1,D696=Plano!$B$1),"entrada","saída"))</f>
        <v>saída</v>
      </c>
      <c r="T696" s="511" t="s">
        <v>114</v>
      </c>
      <c r="U696" s="511" t="s">
        <v>114</v>
      </c>
      <c r="V696" s="541"/>
    </row>
    <row r="697" spans="1:22" ht="50.1" customHeight="1" x14ac:dyDescent="0.2">
      <c r="A697" s="619">
        <f>IF(B697="","",COUNT('Diário 5º PA'!$A$5:$A$2634)+COUNT('Diário 6º PA'!$A$5:$A$2246)+COUNT('Diário 7º PA'!$A$5:$A$2271)+ROW()-4)</f>
        <v>4643</v>
      </c>
      <c r="B697" s="620">
        <v>44505</v>
      </c>
      <c r="C697" s="628">
        <v>44501</v>
      </c>
      <c r="D697" s="548" t="s">
        <v>99</v>
      </c>
      <c r="E697" s="548" t="s">
        <v>272</v>
      </c>
      <c r="F697" s="622">
        <v>10.45</v>
      </c>
      <c r="G697" s="623" t="s">
        <v>6076</v>
      </c>
      <c r="H697" s="548" t="s">
        <v>114</v>
      </c>
      <c r="I697" s="583" t="s">
        <v>949</v>
      </c>
      <c r="J697" s="548" t="s">
        <v>950</v>
      </c>
      <c r="K697" s="583" t="s">
        <v>951</v>
      </c>
      <c r="L697" s="583" t="s">
        <v>947</v>
      </c>
      <c r="M697" s="625" t="s">
        <v>114</v>
      </c>
      <c r="N697" s="620">
        <v>44505</v>
      </c>
      <c r="O697" s="684" t="s">
        <v>67</v>
      </c>
      <c r="P697" s="503">
        <f t="shared" si="41"/>
        <v>11</v>
      </c>
      <c r="Q697" s="503">
        <f t="shared" si="42"/>
        <v>11</v>
      </c>
      <c r="R697" s="504" t="str">
        <f t="shared" si="43"/>
        <v>Gastos_Gerais</v>
      </c>
      <c r="S697" s="504" t="str">
        <f>IF(D697="","",IF(OR(D697=Plano!$A$1,D697=Plano!$B$1),"entrada","saída"))</f>
        <v>saída</v>
      </c>
      <c r="T697" s="511" t="s">
        <v>114</v>
      </c>
      <c r="U697" s="511" t="s">
        <v>114</v>
      </c>
      <c r="V697" s="541"/>
    </row>
    <row r="698" spans="1:22" ht="50.1" customHeight="1" x14ac:dyDescent="0.2">
      <c r="A698" s="619">
        <f>IF(B698="","",COUNT('Diário 5º PA'!$A$5:$A$2634)+COUNT('Diário 6º PA'!$A$5:$A$2246)+COUNT('Diário 7º PA'!$A$5:$A$2271)+ROW()-4)</f>
        <v>4644</v>
      </c>
      <c r="B698" s="620">
        <v>44505</v>
      </c>
      <c r="C698" s="628">
        <v>44501</v>
      </c>
      <c r="D698" s="548" t="s">
        <v>99</v>
      </c>
      <c r="E698" s="548" t="s">
        <v>272</v>
      </c>
      <c r="F698" s="622">
        <v>10.45</v>
      </c>
      <c r="G698" s="623" t="s">
        <v>2273</v>
      </c>
      <c r="H698" s="548" t="s">
        <v>114</v>
      </c>
      <c r="I698" s="583" t="s">
        <v>949</v>
      </c>
      <c r="J698" s="548" t="s">
        <v>950</v>
      </c>
      <c r="K698" s="583" t="s">
        <v>951</v>
      </c>
      <c r="L698" s="583" t="s">
        <v>947</v>
      </c>
      <c r="M698" s="625" t="s">
        <v>114</v>
      </c>
      <c r="N698" s="620">
        <v>44505</v>
      </c>
      <c r="O698" s="684" t="s">
        <v>67</v>
      </c>
      <c r="P698" s="503">
        <f t="shared" si="41"/>
        <v>11</v>
      </c>
      <c r="Q698" s="503">
        <f t="shared" si="42"/>
        <v>11</v>
      </c>
      <c r="R698" s="504" t="str">
        <f t="shared" si="43"/>
        <v>Gastos_Gerais</v>
      </c>
      <c r="S698" s="504" t="str">
        <f>IF(D698="","",IF(OR(D698=Plano!$A$1,D698=Plano!$B$1),"entrada","saída"))</f>
        <v>saída</v>
      </c>
      <c r="T698" s="511" t="s">
        <v>114</v>
      </c>
      <c r="U698" s="511" t="s">
        <v>114</v>
      </c>
      <c r="V698" s="541"/>
    </row>
    <row r="699" spans="1:22" ht="50.1" customHeight="1" x14ac:dyDescent="0.2">
      <c r="A699" s="619">
        <f>IF(B699="","",COUNT('Diário 5º PA'!$A$5:$A$2634)+COUNT('Diário 6º PA'!$A$5:$A$2246)+COUNT('Diário 7º PA'!$A$5:$A$2271)+ROW()-4)</f>
        <v>4645</v>
      </c>
      <c r="B699" s="620">
        <v>44505</v>
      </c>
      <c r="C699" s="628">
        <v>44501</v>
      </c>
      <c r="D699" s="548" t="s">
        <v>99</v>
      </c>
      <c r="E699" s="548" t="s">
        <v>272</v>
      </c>
      <c r="F699" s="622">
        <v>10.45</v>
      </c>
      <c r="G699" s="623" t="s">
        <v>2274</v>
      </c>
      <c r="H699" s="548" t="s">
        <v>114</v>
      </c>
      <c r="I699" s="583" t="s">
        <v>949</v>
      </c>
      <c r="J699" s="548" t="s">
        <v>950</v>
      </c>
      <c r="K699" s="583" t="s">
        <v>951</v>
      </c>
      <c r="L699" s="583" t="s">
        <v>947</v>
      </c>
      <c r="M699" s="625" t="s">
        <v>114</v>
      </c>
      <c r="N699" s="620">
        <v>44505</v>
      </c>
      <c r="O699" s="684" t="s">
        <v>67</v>
      </c>
      <c r="P699" s="503">
        <f t="shared" si="41"/>
        <v>11</v>
      </c>
      <c r="Q699" s="503">
        <f t="shared" si="42"/>
        <v>11</v>
      </c>
      <c r="R699" s="504" t="str">
        <f t="shared" si="43"/>
        <v>Gastos_Gerais</v>
      </c>
      <c r="S699" s="504" t="str">
        <f>IF(D699="","",IF(OR(D699=Plano!$A$1,D699=Plano!$B$1),"entrada","saída"))</f>
        <v>saída</v>
      </c>
      <c r="T699" s="511" t="s">
        <v>114</v>
      </c>
      <c r="U699" s="511" t="s">
        <v>114</v>
      </c>
      <c r="V699" s="541"/>
    </row>
    <row r="700" spans="1:22" ht="50.1" customHeight="1" x14ac:dyDescent="0.2">
      <c r="A700" s="619">
        <f>IF(B700="","",COUNT('Diário 5º PA'!$A$5:$A$2634)+COUNT('Diário 6º PA'!$A$5:$A$2246)+COUNT('Diário 7º PA'!$A$5:$A$2271)+ROW()-4)</f>
        <v>4646</v>
      </c>
      <c r="B700" s="620">
        <v>44505</v>
      </c>
      <c r="C700" s="628">
        <v>44501</v>
      </c>
      <c r="D700" s="548" t="s">
        <v>99</v>
      </c>
      <c r="E700" s="548" t="s">
        <v>272</v>
      </c>
      <c r="F700" s="622">
        <v>10.45</v>
      </c>
      <c r="G700" s="623" t="s">
        <v>2273</v>
      </c>
      <c r="H700" s="548" t="s">
        <v>114</v>
      </c>
      <c r="I700" s="583" t="s">
        <v>949</v>
      </c>
      <c r="J700" s="548" t="s">
        <v>950</v>
      </c>
      <c r="K700" s="583" t="s">
        <v>951</v>
      </c>
      <c r="L700" s="583" t="s">
        <v>947</v>
      </c>
      <c r="M700" s="625" t="s">
        <v>114</v>
      </c>
      <c r="N700" s="620">
        <v>44505</v>
      </c>
      <c r="O700" s="684" t="s">
        <v>67</v>
      </c>
      <c r="P700" s="503">
        <f t="shared" si="41"/>
        <v>11</v>
      </c>
      <c r="Q700" s="503">
        <f t="shared" si="42"/>
        <v>11</v>
      </c>
      <c r="R700" s="504" t="str">
        <f t="shared" si="43"/>
        <v>Gastos_Gerais</v>
      </c>
      <c r="S700" s="504" t="str">
        <f>IF(D700="","",IF(OR(D700=Plano!$A$1,D700=Plano!$B$1),"entrada","saída"))</f>
        <v>saída</v>
      </c>
      <c r="T700" s="511" t="s">
        <v>114</v>
      </c>
      <c r="U700" s="511" t="s">
        <v>114</v>
      </c>
      <c r="V700" s="541"/>
    </row>
    <row r="701" spans="1:22" ht="50.1" customHeight="1" x14ac:dyDescent="0.2">
      <c r="A701" s="619">
        <f>IF(B701="","",COUNT('Diário 5º PA'!$A$5:$A$2634)+COUNT('Diário 6º PA'!$A$5:$A$2246)+COUNT('Diário 7º PA'!$A$5:$A$2271)+ROW()-4)</f>
        <v>4647</v>
      </c>
      <c r="B701" s="620">
        <v>44505</v>
      </c>
      <c r="C701" s="628">
        <v>44501</v>
      </c>
      <c r="D701" s="548" t="s">
        <v>99</v>
      </c>
      <c r="E701" s="548" t="s">
        <v>272</v>
      </c>
      <c r="F701" s="622">
        <v>10.45</v>
      </c>
      <c r="G701" s="623" t="s">
        <v>2275</v>
      </c>
      <c r="H701" s="548" t="s">
        <v>114</v>
      </c>
      <c r="I701" s="583" t="s">
        <v>949</v>
      </c>
      <c r="J701" s="548" t="s">
        <v>950</v>
      </c>
      <c r="K701" s="583" t="s">
        <v>951</v>
      </c>
      <c r="L701" s="583" t="s">
        <v>947</v>
      </c>
      <c r="M701" s="625" t="s">
        <v>114</v>
      </c>
      <c r="N701" s="620">
        <v>44505</v>
      </c>
      <c r="O701" s="684" t="s">
        <v>67</v>
      </c>
      <c r="P701" s="503">
        <f t="shared" si="41"/>
        <v>11</v>
      </c>
      <c r="Q701" s="503">
        <f t="shared" si="42"/>
        <v>11</v>
      </c>
      <c r="R701" s="504" t="str">
        <f t="shared" si="43"/>
        <v>Gastos_Gerais</v>
      </c>
      <c r="S701" s="504" t="str">
        <f>IF(D701="","",IF(OR(D701=Plano!$A$1,D701=Plano!$B$1),"entrada","saída"))</f>
        <v>saída</v>
      </c>
      <c r="T701" s="511" t="s">
        <v>114</v>
      </c>
      <c r="U701" s="511" t="s">
        <v>114</v>
      </c>
      <c r="V701" s="541"/>
    </row>
    <row r="702" spans="1:22" ht="50.1" customHeight="1" x14ac:dyDescent="0.2">
      <c r="A702" s="619">
        <f>IF(B702="","",COUNT('Diário 5º PA'!$A$5:$A$2634)+COUNT('Diário 6º PA'!$A$5:$A$2246)+COUNT('Diário 7º PA'!$A$5:$A$2271)+ROW()-4)</f>
        <v>4648</v>
      </c>
      <c r="B702" s="620">
        <v>44505</v>
      </c>
      <c r="C702" s="628">
        <v>44501</v>
      </c>
      <c r="D702" s="548" t="s">
        <v>99</v>
      </c>
      <c r="E702" s="548" t="s">
        <v>272</v>
      </c>
      <c r="F702" s="622">
        <v>10.45</v>
      </c>
      <c r="G702" s="623" t="s">
        <v>2273</v>
      </c>
      <c r="H702" s="548" t="s">
        <v>114</v>
      </c>
      <c r="I702" s="583" t="s">
        <v>949</v>
      </c>
      <c r="J702" s="548" t="s">
        <v>950</v>
      </c>
      <c r="K702" s="583" t="s">
        <v>951</v>
      </c>
      <c r="L702" s="583" t="s">
        <v>947</v>
      </c>
      <c r="M702" s="625" t="s">
        <v>114</v>
      </c>
      <c r="N702" s="620">
        <v>44505</v>
      </c>
      <c r="O702" s="684" t="s">
        <v>67</v>
      </c>
      <c r="P702" s="503">
        <f t="shared" si="41"/>
        <v>11</v>
      </c>
      <c r="Q702" s="503">
        <f t="shared" si="42"/>
        <v>11</v>
      </c>
      <c r="R702" s="504" t="str">
        <f t="shared" si="43"/>
        <v>Gastos_Gerais</v>
      </c>
      <c r="S702" s="504" t="str">
        <f>IF(D702="","",IF(OR(D702=Plano!$A$1,D702=Plano!$B$1),"entrada","saída"))</f>
        <v>saída</v>
      </c>
      <c r="T702" s="511" t="s">
        <v>114</v>
      </c>
      <c r="U702" s="511" t="s">
        <v>114</v>
      </c>
      <c r="V702" s="541"/>
    </row>
    <row r="703" spans="1:22" ht="50.1" customHeight="1" x14ac:dyDescent="0.2">
      <c r="A703" s="619">
        <f>IF(B703="","",COUNT('Diário 5º PA'!$A$5:$A$2634)+COUNT('Diário 6º PA'!$A$5:$A$2246)+COUNT('Diário 7º PA'!$A$5:$A$2271)+ROW()-4)</f>
        <v>4649</v>
      </c>
      <c r="B703" s="620">
        <v>44505</v>
      </c>
      <c r="C703" s="628">
        <v>44501</v>
      </c>
      <c r="D703" s="548" t="s">
        <v>99</v>
      </c>
      <c r="E703" s="548" t="s">
        <v>272</v>
      </c>
      <c r="F703" s="622">
        <v>10.45</v>
      </c>
      <c r="G703" s="623" t="s">
        <v>2276</v>
      </c>
      <c r="H703" s="548" t="s">
        <v>114</v>
      </c>
      <c r="I703" s="583" t="s">
        <v>949</v>
      </c>
      <c r="J703" s="548" t="s">
        <v>950</v>
      </c>
      <c r="K703" s="583" t="s">
        <v>951</v>
      </c>
      <c r="L703" s="583" t="s">
        <v>947</v>
      </c>
      <c r="M703" s="625" t="s">
        <v>114</v>
      </c>
      <c r="N703" s="620">
        <v>44505</v>
      </c>
      <c r="O703" s="684" t="s">
        <v>67</v>
      </c>
      <c r="P703" s="503">
        <f t="shared" si="41"/>
        <v>11</v>
      </c>
      <c r="Q703" s="503">
        <f t="shared" si="42"/>
        <v>11</v>
      </c>
      <c r="R703" s="504" t="str">
        <f t="shared" si="43"/>
        <v>Gastos_Gerais</v>
      </c>
      <c r="S703" s="504" t="str">
        <f>IF(D703="","",IF(OR(D703=Plano!$A$1,D703=Plano!$B$1),"entrada","saída"))</f>
        <v>saída</v>
      </c>
      <c r="T703" s="511" t="s">
        <v>114</v>
      </c>
      <c r="U703" s="511" t="s">
        <v>114</v>
      </c>
      <c r="V703" s="541"/>
    </row>
    <row r="704" spans="1:22" ht="50.1" customHeight="1" x14ac:dyDescent="0.2">
      <c r="A704" s="619">
        <f>IF(B704="","",COUNT('Diário 5º PA'!$A$5:$A$2634)+COUNT('Diário 6º PA'!$A$5:$A$2246)+COUNT('Diário 7º PA'!$A$5:$A$2271)+ROW()-4)</f>
        <v>4650</v>
      </c>
      <c r="B704" s="620">
        <v>44505</v>
      </c>
      <c r="C704" s="628">
        <v>44501</v>
      </c>
      <c r="D704" s="548" t="s">
        <v>99</v>
      </c>
      <c r="E704" s="548" t="s">
        <v>272</v>
      </c>
      <c r="F704" s="622">
        <v>10.45</v>
      </c>
      <c r="G704" s="623" t="s">
        <v>2273</v>
      </c>
      <c r="H704" s="548" t="s">
        <v>114</v>
      </c>
      <c r="I704" s="583" t="s">
        <v>949</v>
      </c>
      <c r="J704" s="548" t="s">
        <v>950</v>
      </c>
      <c r="K704" s="583" t="s">
        <v>951</v>
      </c>
      <c r="L704" s="583" t="s">
        <v>947</v>
      </c>
      <c r="M704" s="625" t="s">
        <v>114</v>
      </c>
      <c r="N704" s="620">
        <v>44505</v>
      </c>
      <c r="O704" s="684" t="s">
        <v>67</v>
      </c>
      <c r="P704" s="503">
        <f t="shared" ref="P704:P767" si="44">IF(B704=0,0,IF(YEAR(B704)=$Q$1,MONTH(B704)-$P$1+1,(YEAR(B704)-$Q$1)*12-$P$1+1+MONTH(B704)))</f>
        <v>11</v>
      </c>
      <c r="Q704" s="503">
        <f t="shared" ref="Q704:Q767" si="45">IF(C704=0,0,IF(YEAR(C704)=$Q$1,MONTH(C704)-$P$1+1,(YEAR(C704)-$Q$1)*12-$P$1+1+MONTH(C704)))</f>
        <v>11</v>
      </c>
      <c r="R704" s="504" t="str">
        <f t="shared" ref="R704:R767" si="46">SUBSTITUTE(D704," ","_")</f>
        <v>Gastos_Gerais</v>
      </c>
      <c r="S704" s="504" t="str">
        <f>IF(D704="","",IF(OR(D704=Plano!$A$1,D704=Plano!$B$1),"entrada","saída"))</f>
        <v>saída</v>
      </c>
      <c r="T704" s="511" t="s">
        <v>114</v>
      </c>
      <c r="U704" s="511" t="s">
        <v>114</v>
      </c>
      <c r="V704" s="541"/>
    </row>
    <row r="705" spans="1:22" ht="50.1" customHeight="1" x14ac:dyDescent="0.2">
      <c r="A705" s="619">
        <f>IF(B705="","",COUNT('Diário 5º PA'!$A$5:$A$2634)+COUNT('Diário 6º PA'!$A$5:$A$2246)+COUNT('Diário 7º PA'!$A$5:$A$2271)+ROW()-4)</f>
        <v>4651</v>
      </c>
      <c r="B705" s="620">
        <v>44505</v>
      </c>
      <c r="C705" s="628">
        <v>44501</v>
      </c>
      <c r="D705" s="548" t="s">
        <v>99</v>
      </c>
      <c r="E705" s="548" t="s">
        <v>272</v>
      </c>
      <c r="F705" s="622">
        <v>10.45</v>
      </c>
      <c r="G705" s="623" t="s">
        <v>2277</v>
      </c>
      <c r="H705" s="548" t="s">
        <v>114</v>
      </c>
      <c r="I705" s="583" t="s">
        <v>949</v>
      </c>
      <c r="J705" s="548" t="s">
        <v>950</v>
      </c>
      <c r="K705" s="583" t="s">
        <v>951</v>
      </c>
      <c r="L705" s="583" t="s">
        <v>947</v>
      </c>
      <c r="M705" s="625" t="s">
        <v>114</v>
      </c>
      <c r="N705" s="620">
        <v>44505</v>
      </c>
      <c r="O705" s="684" t="s">
        <v>67</v>
      </c>
      <c r="P705" s="503">
        <f t="shared" si="44"/>
        <v>11</v>
      </c>
      <c r="Q705" s="503">
        <f t="shared" si="45"/>
        <v>11</v>
      </c>
      <c r="R705" s="504" t="str">
        <f t="shared" si="46"/>
        <v>Gastos_Gerais</v>
      </c>
      <c r="S705" s="504" t="str">
        <f>IF(D705="","",IF(OR(D705=Plano!$A$1,D705=Plano!$B$1),"entrada","saída"))</f>
        <v>saída</v>
      </c>
      <c r="T705" s="511" t="s">
        <v>114</v>
      </c>
      <c r="U705" s="511" t="s">
        <v>114</v>
      </c>
      <c r="V705" s="541"/>
    </row>
    <row r="706" spans="1:22" ht="50.1" customHeight="1" x14ac:dyDescent="0.2">
      <c r="A706" s="619">
        <f>IF(B706="","",COUNT('Diário 5º PA'!$A$5:$A$2634)+COUNT('Diário 6º PA'!$A$5:$A$2246)+COUNT('Diário 7º PA'!$A$5:$A$2271)+ROW()-4)</f>
        <v>4652</v>
      </c>
      <c r="B706" s="620">
        <v>44505</v>
      </c>
      <c r="C706" s="628">
        <v>44501</v>
      </c>
      <c r="D706" s="548" t="s">
        <v>99</v>
      </c>
      <c r="E706" s="548" t="s">
        <v>272</v>
      </c>
      <c r="F706" s="622">
        <v>10.45</v>
      </c>
      <c r="G706" s="623" t="s">
        <v>2273</v>
      </c>
      <c r="H706" s="548" t="s">
        <v>114</v>
      </c>
      <c r="I706" s="583" t="s">
        <v>949</v>
      </c>
      <c r="J706" s="548" t="s">
        <v>950</v>
      </c>
      <c r="K706" s="583" t="s">
        <v>951</v>
      </c>
      <c r="L706" s="583" t="s">
        <v>947</v>
      </c>
      <c r="M706" s="625" t="s">
        <v>114</v>
      </c>
      <c r="N706" s="620">
        <v>44505</v>
      </c>
      <c r="O706" s="684" t="s">
        <v>67</v>
      </c>
      <c r="P706" s="503">
        <f t="shared" si="44"/>
        <v>11</v>
      </c>
      <c r="Q706" s="503">
        <f t="shared" si="45"/>
        <v>11</v>
      </c>
      <c r="R706" s="504" t="str">
        <f t="shared" si="46"/>
        <v>Gastos_Gerais</v>
      </c>
      <c r="S706" s="504" t="str">
        <f>IF(D706="","",IF(OR(D706=Plano!$A$1,D706=Plano!$B$1),"entrada","saída"))</f>
        <v>saída</v>
      </c>
      <c r="T706" s="511" t="s">
        <v>114</v>
      </c>
      <c r="U706" s="511" t="s">
        <v>114</v>
      </c>
      <c r="V706" s="541"/>
    </row>
    <row r="707" spans="1:22" ht="50.1" customHeight="1" x14ac:dyDescent="0.2">
      <c r="A707" s="619">
        <f>IF(B707="","",COUNT('Diário 5º PA'!$A$5:$A$2634)+COUNT('Diário 6º PA'!$A$5:$A$2246)+COUNT('Diário 7º PA'!$A$5:$A$2271)+ROW()-4)</f>
        <v>4653</v>
      </c>
      <c r="B707" s="620">
        <v>44505</v>
      </c>
      <c r="C707" s="628">
        <v>44501</v>
      </c>
      <c r="D707" s="548" t="s">
        <v>99</v>
      </c>
      <c r="E707" s="548" t="s">
        <v>272</v>
      </c>
      <c r="F707" s="622">
        <v>10.45</v>
      </c>
      <c r="G707" s="623" t="s">
        <v>2278</v>
      </c>
      <c r="H707" s="548" t="s">
        <v>114</v>
      </c>
      <c r="I707" s="583" t="s">
        <v>949</v>
      </c>
      <c r="J707" s="548" t="s">
        <v>950</v>
      </c>
      <c r="K707" s="583" t="s">
        <v>951</v>
      </c>
      <c r="L707" s="583" t="s">
        <v>947</v>
      </c>
      <c r="M707" s="625" t="s">
        <v>114</v>
      </c>
      <c r="N707" s="620">
        <v>44505</v>
      </c>
      <c r="O707" s="684" t="s">
        <v>67</v>
      </c>
      <c r="P707" s="503">
        <f t="shared" si="44"/>
        <v>11</v>
      </c>
      <c r="Q707" s="503">
        <f t="shared" si="45"/>
        <v>11</v>
      </c>
      <c r="R707" s="504" t="str">
        <f t="shared" si="46"/>
        <v>Gastos_Gerais</v>
      </c>
      <c r="S707" s="504" t="str">
        <f>IF(D707="","",IF(OR(D707=Plano!$A$1,D707=Plano!$B$1),"entrada","saída"))</f>
        <v>saída</v>
      </c>
      <c r="T707" s="511" t="s">
        <v>114</v>
      </c>
      <c r="U707" s="511" t="s">
        <v>114</v>
      </c>
      <c r="V707" s="541"/>
    </row>
    <row r="708" spans="1:22" ht="50.1" customHeight="1" x14ac:dyDescent="0.2">
      <c r="A708" s="619">
        <f>IF(B708="","",COUNT('Diário 5º PA'!$A$5:$A$2634)+COUNT('Diário 6º PA'!$A$5:$A$2246)+COUNT('Diário 7º PA'!$A$5:$A$2271)+ROW()-4)</f>
        <v>4654</v>
      </c>
      <c r="B708" s="620">
        <v>44505</v>
      </c>
      <c r="C708" s="628">
        <v>44501</v>
      </c>
      <c r="D708" s="548" t="s">
        <v>99</v>
      </c>
      <c r="E708" s="548" t="s">
        <v>272</v>
      </c>
      <c r="F708" s="622">
        <v>10.45</v>
      </c>
      <c r="G708" s="623" t="s">
        <v>2273</v>
      </c>
      <c r="H708" s="548" t="s">
        <v>114</v>
      </c>
      <c r="I708" s="583" t="s">
        <v>949</v>
      </c>
      <c r="J708" s="548" t="s">
        <v>950</v>
      </c>
      <c r="K708" s="583" t="s">
        <v>951</v>
      </c>
      <c r="L708" s="583" t="s">
        <v>947</v>
      </c>
      <c r="M708" s="625" t="s">
        <v>114</v>
      </c>
      <c r="N708" s="620">
        <v>44505</v>
      </c>
      <c r="O708" s="684" t="s">
        <v>67</v>
      </c>
      <c r="P708" s="503">
        <f t="shared" si="44"/>
        <v>11</v>
      </c>
      <c r="Q708" s="503">
        <f t="shared" si="45"/>
        <v>11</v>
      </c>
      <c r="R708" s="504" t="str">
        <f t="shared" si="46"/>
        <v>Gastos_Gerais</v>
      </c>
      <c r="S708" s="504" t="str">
        <f>IF(D708="","",IF(OR(D708=Plano!$A$1,D708=Plano!$B$1),"entrada","saída"))</f>
        <v>saída</v>
      </c>
      <c r="T708" s="511" t="s">
        <v>114</v>
      </c>
      <c r="U708" s="511" t="s">
        <v>114</v>
      </c>
      <c r="V708" s="541"/>
    </row>
    <row r="709" spans="1:22" ht="50.1" customHeight="1" x14ac:dyDescent="0.2">
      <c r="A709" s="619">
        <f>IF(B709="","",COUNT('Diário 5º PA'!$A$5:$A$2634)+COUNT('Diário 6º PA'!$A$5:$A$2246)+COUNT('Diário 7º PA'!$A$5:$A$2271)+ROW()-4)</f>
        <v>4655</v>
      </c>
      <c r="B709" s="620">
        <v>44505</v>
      </c>
      <c r="C709" s="628">
        <v>44501</v>
      </c>
      <c r="D709" s="548" t="s">
        <v>99</v>
      </c>
      <c r="E709" s="548" t="s">
        <v>272</v>
      </c>
      <c r="F709" s="622">
        <v>10.45</v>
      </c>
      <c r="G709" s="623" t="s">
        <v>2273</v>
      </c>
      <c r="H709" s="548" t="s">
        <v>114</v>
      </c>
      <c r="I709" s="583" t="s">
        <v>949</v>
      </c>
      <c r="J709" s="548" t="s">
        <v>950</v>
      </c>
      <c r="K709" s="583" t="s">
        <v>951</v>
      </c>
      <c r="L709" s="583" t="s">
        <v>947</v>
      </c>
      <c r="M709" s="625" t="s">
        <v>114</v>
      </c>
      <c r="N709" s="620">
        <v>44505</v>
      </c>
      <c r="O709" s="684" t="s">
        <v>67</v>
      </c>
      <c r="P709" s="503">
        <f t="shared" si="44"/>
        <v>11</v>
      </c>
      <c r="Q709" s="503">
        <f t="shared" si="45"/>
        <v>11</v>
      </c>
      <c r="R709" s="504" t="str">
        <f t="shared" si="46"/>
        <v>Gastos_Gerais</v>
      </c>
      <c r="S709" s="504" t="str">
        <f>IF(D709="","",IF(OR(D709=Plano!$A$1,D709=Plano!$B$1),"entrada","saída"))</f>
        <v>saída</v>
      </c>
      <c r="T709" s="511" t="s">
        <v>114</v>
      </c>
      <c r="U709" s="511" t="s">
        <v>114</v>
      </c>
      <c r="V709" s="541"/>
    </row>
    <row r="710" spans="1:22" ht="50.1" customHeight="1" x14ac:dyDescent="0.2">
      <c r="A710" s="619">
        <f>IF(B710="","",COUNT('Diário 5º PA'!$A$5:$A$2634)+COUNT('Diário 6º PA'!$A$5:$A$2246)+COUNT('Diário 7º PA'!$A$5:$A$2271)+ROW()-4)</f>
        <v>4656</v>
      </c>
      <c r="B710" s="620">
        <v>44505</v>
      </c>
      <c r="C710" s="628">
        <v>44501</v>
      </c>
      <c r="D710" s="548" t="s">
        <v>99</v>
      </c>
      <c r="E710" s="548" t="s">
        <v>272</v>
      </c>
      <c r="F710" s="622">
        <v>10.45</v>
      </c>
      <c r="G710" s="623" t="s">
        <v>2279</v>
      </c>
      <c r="H710" s="548" t="s">
        <v>114</v>
      </c>
      <c r="I710" s="583" t="s">
        <v>949</v>
      </c>
      <c r="J710" s="548" t="s">
        <v>950</v>
      </c>
      <c r="K710" s="583" t="s">
        <v>951</v>
      </c>
      <c r="L710" s="583" t="s">
        <v>947</v>
      </c>
      <c r="M710" s="625" t="s">
        <v>114</v>
      </c>
      <c r="N710" s="620">
        <v>44505</v>
      </c>
      <c r="O710" s="684" t="s">
        <v>67</v>
      </c>
      <c r="P710" s="503">
        <f t="shared" si="44"/>
        <v>11</v>
      </c>
      <c r="Q710" s="503">
        <f t="shared" si="45"/>
        <v>11</v>
      </c>
      <c r="R710" s="504" t="str">
        <f t="shared" si="46"/>
        <v>Gastos_Gerais</v>
      </c>
      <c r="S710" s="504" t="str">
        <f>IF(D710="","",IF(OR(D710=Plano!$A$1,D710=Plano!$B$1),"entrada","saída"))</f>
        <v>saída</v>
      </c>
      <c r="T710" s="511" t="s">
        <v>114</v>
      </c>
      <c r="U710" s="511" t="s">
        <v>114</v>
      </c>
      <c r="V710" s="541"/>
    </row>
    <row r="711" spans="1:22" ht="50.1" customHeight="1" x14ac:dyDescent="0.2">
      <c r="A711" s="619">
        <f>IF(B711="","",COUNT('Diário 5º PA'!$A$5:$A$2634)+COUNT('Diário 6º PA'!$A$5:$A$2246)+COUNT('Diário 7º PA'!$A$5:$A$2271)+ROW()-4)</f>
        <v>4657</v>
      </c>
      <c r="B711" s="620">
        <v>44505</v>
      </c>
      <c r="C711" s="628">
        <v>44501</v>
      </c>
      <c r="D711" s="548" t="s">
        <v>99</v>
      </c>
      <c r="E711" s="548" t="s">
        <v>272</v>
      </c>
      <c r="F711" s="622">
        <v>10.45</v>
      </c>
      <c r="G711" s="623" t="s">
        <v>2280</v>
      </c>
      <c r="H711" s="548" t="s">
        <v>114</v>
      </c>
      <c r="I711" s="583" t="s">
        <v>949</v>
      </c>
      <c r="J711" s="548" t="s">
        <v>950</v>
      </c>
      <c r="K711" s="583" t="s">
        <v>951</v>
      </c>
      <c r="L711" s="583" t="s">
        <v>947</v>
      </c>
      <c r="M711" s="625" t="s">
        <v>114</v>
      </c>
      <c r="N711" s="620">
        <v>44505</v>
      </c>
      <c r="O711" s="684" t="s">
        <v>67</v>
      </c>
      <c r="P711" s="503">
        <f t="shared" si="44"/>
        <v>11</v>
      </c>
      <c r="Q711" s="503">
        <f t="shared" si="45"/>
        <v>11</v>
      </c>
      <c r="R711" s="504" t="str">
        <f t="shared" si="46"/>
        <v>Gastos_Gerais</v>
      </c>
      <c r="S711" s="504" t="str">
        <f>IF(D711="","",IF(OR(D711=Plano!$A$1,D711=Plano!$B$1),"entrada","saída"))</f>
        <v>saída</v>
      </c>
      <c r="T711" s="511" t="s">
        <v>114</v>
      </c>
      <c r="U711" s="511" t="s">
        <v>114</v>
      </c>
      <c r="V711" s="541"/>
    </row>
    <row r="712" spans="1:22" ht="50.1" customHeight="1" x14ac:dyDescent="0.2">
      <c r="A712" s="619">
        <f>IF(B712="","",COUNT('Diário 5º PA'!$A$5:$A$2634)+COUNT('Diário 6º PA'!$A$5:$A$2246)+COUNT('Diário 7º PA'!$A$5:$A$2271)+ROW()-4)</f>
        <v>4658</v>
      </c>
      <c r="B712" s="620">
        <v>44505</v>
      </c>
      <c r="C712" s="628">
        <v>44501</v>
      </c>
      <c r="D712" s="548" t="s">
        <v>99</v>
      </c>
      <c r="E712" s="548" t="s">
        <v>272</v>
      </c>
      <c r="F712" s="622">
        <v>10.45</v>
      </c>
      <c r="G712" s="623" t="s">
        <v>2273</v>
      </c>
      <c r="H712" s="548" t="s">
        <v>114</v>
      </c>
      <c r="I712" s="583" t="s">
        <v>949</v>
      </c>
      <c r="J712" s="548" t="s">
        <v>950</v>
      </c>
      <c r="K712" s="583" t="s">
        <v>951</v>
      </c>
      <c r="L712" s="583" t="s">
        <v>947</v>
      </c>
      <c r="M712" s="625" t="s">
        <v>114</v>
      </c>
      <c r="N712" s="620">
        <v>44505</v>
      </c>
      <c r="O712" s="684" t="s">
        <v>67</v>
      </c>
      <c r="P712" s="503">
        <f t="shared" si="44"/>
        <v>11</v>
      </c>
      <c r="Q712" s="503">
        <f t="shared" si="45"/>
        <v>11</v>
      </c>
      <c r="R712" s="504" t="str">
        <f t="shared" si="46"/>
        <v>Gastos_Gerais</v>
      </c>
      <c r="S712" s="504" t="str">
        <f>IF(D712="","",IF(OR(D712=Plano!$A$1,D712=Plano!$B$1),"entrada","saída"))</f>
        <v>saída</v>
      </c>
      <c r="T712" s="511" t="s">
        <v>114</v>
      </c>
      <c r="U712" s="511" t="s">
        <v>114</v>
      </c>
      <c r="V712" s="541"/>
    </row>
    <row r="713" spans="1:22" ht="50.1" customHeight="1" x14ac:dyDescent="0.2">
      <c r="A713" s="619">
        <f>IF(B713="","",COUNT('Diário 5º PA'!$A$5:$A$2634)+COUNT('Diário 6º PA'!$A$5:$A$2246)+COUNT('Diário 7º PA'!$A$5:$A$2271)+ROW()-4)</f>
        <v>4659</v>
      </c>
      <c r="B713" s="620">
        <v>44505</v>
      </c>
      <c r="C713" s="628">
        <v>44501</v>
      </c>
      <c r="D713" s="548" t="s">
        <v>99</v>
      </c>
      <c r="E713" s="548" t="s">
        <v>272</v>
      </c>
      <c r="F713" s="622">
        <v>10.45</v>
      </c>
      <c r="G713" s="623" t="s">
        <v>2273</v>
      </c>
      <c r="H713" s="548" t="s">
        <v>114</v>
      </c>
      <c r="I713" s="583" t="s">
        <v>949</v>
      </c>
      <c r="J713" s="548" t="s">
        <v>950</v>
      </c>
      <c r="K713" s="583" t="s">
        <v>951</v>
      </c>
      <c r="L713" s="583" t="s">
        <v>947</v>
      </c>
      <c r="M713" s="625" t="s">
        <v>114</v>
      </c>
      <c r="N713" s="620">
        <v>44505</v>
      </c>
      <c r="O713" s="684" t="s">
        <v>67</v>
      </c>
      <c r="P713" s="503">
        <f t="shared" si="44"/>
        <v>11</v>
      </c>
      <c r="Q713" s="503">
        <f t="shared" si="45"/>
        <v>11</v>
      </c>
      <c r="R713" s="504" t="str">
        <f t="shared" si="46"/>
        <v>Gastos_Gerais</v>
      </c>
      <c r="S713" s="504" t="str">
        <f>IF(D713="","",IF(OR(D713=Plano!$A$1,D713=Plano!$B$1),"entrada","saída"))</f>
        <v>saída</v>
      </c>
      <c r="T713" s="511" t="s">
        <v>114</v>
      </c>
      <c r="U713" s="511" t="s">
        <v>114</v>
      </c>
      <c r="V713" s="541"/>
    </row>
    <row r="714" spans="1:22" ht="50.1" customHeight="1" x14ac:dyDescent="0.2">
      <c r="A714" s="619">
        <f>IF(B714="","",COUNT('Diário 5º PA'!$A$5:$A$2634)+COUNT('Diário 6º PA'!$A$5:$A$2246)+COUNT('Diário 7º PA'!$A$5:$A$2271)+ROW()-4)</f>
        <v>4660</v>
      </c>
      <c r="B714" s="620">
        <v>44505</v>
      </c>
      <c r="C714" s="628">
        <v>44501</v>
      </c>
      <c r="D714" s="548" t="s">
        <v>99</v>
      </c>
      <c r="E714" s="548" t="s">
        <v>272</v>
      </c>
      <c r="F714" s="622">
        <v>10.45</v>
      </c>
      <c r="G714" s="623" t="s">
        <v>2281</v>
      </c>
      <c r="H714" s="548" t="s">
        <v>114</v>
      </c>
      <c r="I714" s="583" t="s">
        <v>949</v>
      </c>
      <c r="J714" s="548" t="s">
        <v>950</v>
      </c>
      <c r="K714" s="583" t="s">
        <v>951</v>
      </c>
      <c r="L714" s="583" t="s">
        <v>947</v>
      </c>
      <c r="M714" s="625" t="s">
        <v>114</v>
      </c>
      <c r="N714" s="620">
        <v>44505</v>
      </c>
      <c r="O714" s="684" t="s">
        <v>67</v>
      </c>
      <c r="P714" s="503">
        <f t="shared" si="44"/>
        <v>11</v>
      </c>
      <c r="Q714" s="503">
        <f t="shared" si="45"/>
        <v>11</v>
      </c>
      <c r="R714" s="504" t="str">
        <f t="shared" si="46"/>
        <v>Gastos_Gerais</v>
      </c>
      <c r="S714" s="504" t="str">
        <f>IF(D714="","",IF(OR(D714=Plano!$A$1,D714=Plano!$B$1),"entrada","saída"))</f>
        <v>saída</v>
      </c>
      <c r="T714" s="511" t="s">
        <v>114</v>
      </c>
      <c r="U714" s="511" t="s">
        <v>114</v>
      </c>
      <c r="V714" s="541"/>
    </row>
    <row r="715" spans="1:22" ht="50.1" customHeight="1" x14ac:dyDescent="0.2">
      <c r="A715" s="619">
        <f>IF(B715="","",COUNT('Diário 5º PA'!$A$5:$A$2634)+COUNT('Diário 6º PA'!$A$5:$A$2246)+COUNT('Diário 7º PA'!$A$5:$A$2271)+ROW()-4)</f>
        <v>4661</v>
      </c>
      <c r="B715" s="620">
        <v>44505</v>
      </c>
      <c r="C715" s="628">
        <v>44501</v>
      </c>
      <c r="D715" s="548" t="s">
        <v>99</v>
      </c>
      <c r="E715" s="548" t="s">
        <v>272</v>
      </c>
      <c r="F715" s="622">
        <v>10.45</v>
      </c>
      <c r="G715" s="623" t="s">
        <v>2273</v>
      </c>
      <c r="H715" s="548" t="s">
        <v>114</v>
      </c>
      <c r="I715" s="583" t="s">
        <v>949</v>
      </c>
      <c r="J715" s="548" t="s">
        <v>950</v>
      </c>
      <c r="K715" s="583" t="s">
        <v>951</v>
      </c>
      <c r="L715" s="583" t="s">
        <v>947</v>
      </c>
      <c r="M715" s="625" t="s">
        <v>114</v>
      </c>
      <c r="N715" s="620">
        <v>44505</v>
      </c>
      <c r="O715" s="684" t="s">
        <v>67</v>
      </c>
      <c r="P715" s="503">
        <f t="shared" si="44"/>
        <v>11</v>
      </c>
      <c r="Q715" s="503">
        <f t="shared" si="45"/>
        <v>11</v>
      </c>
      <c r="R715" s="504" t="str">
        <f t="shared" si="46"/>
        <v>Gastos_Gerais</v>
      </c>
      <c r="S715" s="504" t="str">
        <f>IF(D715="","",IF(OR(D715=Plano!$A$1,D715=Plano!$B$1),"entrada","saída"))</f>
        <v>saída</v>
      </c>
      <c r="T715" s="511" t="s">
        <v>114</v>
      </c>
      <c r="U715" s="511" t="s">
        <v>114</v>
      </c>
      <c r="V715" s="541"/>
    </row>
    <row r="716" spans="1:22" ht="50.1" customHeight="1" x14ac:dyDescent="0.2">
      <c r="A716" s="619">
        <f>IF(B716="","",COUNT('Diário 5º PA'!$A$5:$A$2634)+COUNT('Diário 6º PA'!$A$5:$A$2246)+COUNT('Diário 7º PA'!$A$5:$A$2271)+ROW()-4)</f>
        <v>4662</v>
      </c>
      <c r="B716" s="620">
        <v>44505</v>
      </c>
      <c r="C716" s="628">
        <v>44501</v>
      </c>
      <c r="D716" s="548" t="s">
        <v>99</v>
      </c>
      <c r="E716" s="548" t="s">
        <v>272</v>
      </c>
      <c r="F716" s="622">
        <v>10.45</v>
      </c>
      <c r="G716" s="623" t="s">
        <v>2273</v>
      </c>
      <c r="H716" s="548" t="s">
        <v>114</v>
      </c>
      <c r="I716" s="583" t="s">
        <v>949</v>
      </c>
      <c r="J716" s="548" t="s">
        <v>950</v>
      </c>
      <c r="K716" s="583" t="s">
        <v>951</v>
      </c>
      <c r="L716" s="583" t="s">
        <v>947</v>
      </c>
      <c r="M716" s="625" t="s">
        <v>114</v>
      </c>
      <c r="N716" s="620">
        <v>44505</v>
      </c>
      <c r="O716" s="684" t="s">
        <v>67</v>
      </c>
      <c r="P716" s="503">
        <f t="shared" si="44"/>
        <v>11</v>
      </c>
      <c r="Q716" s="503">
        <f t="shared" si="45"/>
        <v>11</v>
      </c>
      <c r="R716" s="504" t="str">
        <f t="shared" si="46"/>
        <v>Gastos_Gerais</v>
      </c>
      <c r="S716" s="504" t="str">
        <f>IF(D716="","",IF(OR(D716=Plano!$A$1,D716=Plano!$B$1),"entrada","saída"))</f>
        <v>saída</v>
      </c>
      <c r="T716" s="511" t="s">
        <v>114</v>
      </c>
      <c r="U716" s="511" t="s">
        <v>114</v>
      </c>
      <c r="V716" s="541"/>
    </row>
    <row r="717" spans="1:22" ht="50.1" customHeight="1" x14ac:dyDescent="0.2">
      <c r="A717" s="619">
        <f>IF(B717="","",COUNT('Diário 5º PA'!$A$5:$A$2634)+COUNT('Diário 6º PA'!$A$5:$A$2246)+COUNT('Diário 7º PA'!$A$5:$A$2271)+ROW()-4)</f>
        <v>4663</v>
      </c>
      <c r="B717" s="620">
        <v>44505</v>
      </c>
      <c r="C717" s="628">
        <v>44501</v>
      </c>
      <c r="D717" s="548" t="s">
        <v>99</v>
      </c>
      <c r="E717" s="548" t="s">
        <v>272</v>
      </c>
      <c r="F717" s="622">
        <v>10.45</v>
      </c>
      <c r="G717" s="623" t="s">
        <v>2273</v>
      </c>
      <c r="H717" s="548" t="s">
        <v>114</v>
      </c>
      <c r="I717" s="583" t="s">
        <v>949</v>
      </c>
      <c r="J717" s="548" t="s">
        <v>950</v>
      </c>
      <c r="K717" s="583" t="s">
        <v>951</v>
      </c>
      <c r="L717" s="583" t="s">
        <v>947</v>
      </c>
      <c r="M717" s="625" t="s">
        <v>114</v>
      </c>
      <c r="N717" s="620">
        <v>44505</v>
      </c>
      <c r="O717" s="684" t="s">
        <v>67</v>
      </c>
      <c r="P717" s="503">
        <f t="shared" si="44"/>
        <v>11</v>
      </c>
      <c r="Q717" s="503">
        <f t="shared" si="45"/>
        <v>11</v>
      </c>
      <c r="R717" s="504" t="str">
        <f t="shared" si="46"/>
        <v>Gastos_Gerais</v>
      </c>
      <c r="S717" s="504" t="str">
        <f>IF(D717="","",IF(OR(D717=Plano!$A$1,D717=Plano!$B$1),"entrada","saída"))</f>
        <v>saída</v>
      </c>
      <c r="T717" s="511" t="s">
        <v>114</v>
      </c>
      <c r="U717" s="511" t="s">
        <v>114</v>
      </c>
      <c r="V717" s="541"/>
    </row>
    <row r="718" spans="1:22" ht="50.1" customHeight="1" x14ac:dyDescent="0.2">
      <c r="A718" s="619">
        <f>IF(B718="","",COUNT('Diário 5º PA'!$A$5:$A$2634)+COUNT('Diário 6º PA'!$A$5:$A$2246)+COUNT('Diário 7º PA'!$A$5:$A$2271)+ROW()-4)</f>
        <v>4664</v>
      </c>
      <c r="B718" s="620">
        <v>44505</v>
      </c>
      <c r="C718" s="628">
        <v>44501</v>
      </c>
      <c r="D718" s="548" t="s">
        <v>99</v>
      </c>
      <c r="E718" s="548" t="s">
        <v>272</v>
      </c>
      <c r="F718" s="622">
        <v>10.45</v>
      </c>
      <c r="G718" s="623" t="s">
        <v>2273</v>
      </c>
      <c r="H718" s="548" t="s">
        <v>114</v>
      </c>
      <c r="I718" s="583" t="s">
        <v>949</v>
      </c>
      <c r="J718" s="548" t="s">
        <v>950</v>
      </c>
      <c r="K718" s="583" t="s">
        <v>951</v>
      </c>
      <c r="L718" s="583" t="s">
        <v>947</v>
      </c>
      <c r="M718" s="625" t="s">
        <v>114</v>
      </c>
      <c r="N718" s="620">
        <v>44505</v>
      </c>
      <c r="O718" s="684" t="s">
        <v>67</v>
      </c>
      <c r="P718" s="503">
        <f t="shared" si="44"/>
        <v>11</v>
      </c>
      <c r="Q718" s="503">
        <f t="shared" si="45"/>
        <v>11</v>
      </c>
      <c r="R718" s="504" t="str">
        <f t="shared" si="46"/>
        <v>Gastos_Gerais</v>
      </c>
      <c r="S718" s="504" t="str">
        <f>IF(D718="","",IF(OR(D718=Plano!$A$1,D718=Plano!$B$1),"entrada","saída"))</f>
        <v>saída</v>
      </c>
      <c r="T718" s="511" t="s">
        <v>114</v>
      </c>
      <c r="U718" s="511" t="s">
        <v>114</v>
      </c>
      <c r="V718" s="541"/>
    </row>
    <row r="719" spans="1:22" ht="50.1" customHeight="1" x14ac:dyDescent="0.2">
      <c r="A719" s="619">
        <f>IF(B719="","",COUNT('Diário 5º PA'!$A$5:$A$2634)+COUNT('Diário 6º PA'!$A$5:$A$2246)+COUNT('Diário 7º PA'!$A$5:$A$2271)+ROW()-4)</f>
        <v>4665</v>
      </c>
      <c r="B719" s="620">
        <v>44505</v>
      </c>
      <c r="C719" s="628">
        <v>44501</v>
      </c>
      <c r="D719" s="548" t="s">
        <v>99</v>
      </c>
      <c r="E719" s="548" t="s">
        <v>272</v>
      </c>
      <c r="F719" s="622">
        <v>10.45</v>
      </c>
      <c r="G719" s="623" t="s">
        <v>2273</v>
      </c>
      <c r="H719" s="548" t="s">
        <v>114</v>
      </c>
      <c r="I719" s="583" t="s">
        <v>949</v>
      </c>
      <c r="J719" s="548" t="s">
        <v>950</v>
      </c>
      <c r="K719" s="583" t="s">
        <v>951</v>
      </c>
      <c r="L719" s="583" t="s">
        <v>947</v>
      </c>
      <c r="M719" s="625" t="s">
        <v>114</v>
      </c>
      <c r="N719" s="620">
        <v>44505</v>
      </c>
      <c r="O719" s="684" t="s">
        <v>67</v>
      </c>
      <c r="P719" s="503">
        <f t="shared" si="44"/>
        <v>11</v>
      </c>
      <c r="Q719" s="503">
        <f t="shared" si="45"/>
        <v>11</v>
      </c>
      <c r="R719" s="504" t="str">
        <f t="shared" si="46"/>
        <v>Gastos_Gerais</v>
      </c>
      <c r="S719" s="504" t="str">
        <f>IF(D719="","",IF(OR(D719=Plano!$A$1,D719=Plano!$B$1),"entrada","saída"))</f>
        <v>saída</v>
      </c>
      <c r="T719" s="511" t="s">
        <v>114</v>
      </c>
      <c r="U719" s="511" t="s">
        <v>114</v>
      </c>
      <c r="V719" s="541"/>
    </row>
    <row r="720" spans="1:22" ht="50.1" customHeight="1" x14ac:dyDescent="0.2">
      <c r="A720" s="619">
        <f>IF(B720="","",COUNT('Diário 5º PA'!$A$5:$A$2634)+COUNT('Diário 6º PA'!$A$5:$A$2246)+COUNT('Diário 7º PA'!$A$5:$A$2271)+ROW()-4)</f>
        <v>4666</v>
      </c>
      <c r="B720" s="620">
        <v>44505</v>
      </c>
      <c r="C720" s="628">
        <v>44501</v>
      </c>
      <c r="D720" s="548" t="s">
        <v>99</v>
      </c>
      <c r="E720" s="548" t="s">
        <v>272</v>
      </c>
      <c r="F720" s="622">
        <v>10.45</v>
      </c>
      <c r="G720" s="623" t="s">
        <v>2273</v>
      </c>
      <c r="H720" s="548" t="s">
        <v>114</v>
      </c>
      <c r="I720" s="583" t="s">
        <v>949</v>
      </c>
      <c r="J720" s="548" t="s">
        <v>950</v>
      </c>
      <c r="K720" s="583" t="s">
        <v>951</v>
      </c>
      <c r="L720" s="583" t="s">
        <v>947</v>
      </c>
      <c r="M720" s="625" t="s">
        <v>114</v>
      </c>
      <c r="N720" s="620">
        <v>44505</v>
      </c>
      <c r="O720" s="684" t="s">
        <v>67</v>
      </c>
      <c r="P720" s="503">
        <f t="shared" si="44"/>
        <v>11</v>
      </c>
      <c r="Q720" s="503">
        <f t="shared" si="45"/>
        <v>11</v>
      </c>
      <c r="R720" s="504" t="str">
        <f t="shared" si="46"/>
        <v>Gastos_Gerais</v>
      </c>
      <c r="S720" s="504" t="str">
        <f>IF(D720="","",IF(OR(D720=Plano!$A$1,D720=Plano!$B$1),"entrada","saída"))</f>
        <v>saída</v>
      </c>
      <c r="T720" s="511" t="s">
        <v>114</v>
      </c>
      <c r="U720" s="511" t="s">
        <v>114</v>
      </c>
      <c r="V720" s="541"/>
    </row>
    <row r="721" spans="1:22" ht="50.1" customHeight="1" x14ac:dyDescent="0.2">
      <c r="A721" s="619">
        <f>IF(B721="","",COUNT('Diário 5º PA'!$A$5:$A$2634)+COUNT('Diário 6º PA'!$A$5:$A$2246)+COUNT('Diário 7º PA'!$A$5:$A$2271)+ROW()-4)</f>
        <v>4667</v>
      </c>
      <c r="B721" s="620">
        <v>44505</v>
      </c>
      <c r="C721" s="628">
        <v>44501</v>
      </c>
      <c r="D721" s="548" t="s">
        <v>99</v>
      </c>
      <c r="E721" s="548" t="s">
        <v>272</v>
      </c>
      <c r="F721" s="622">
        <v>10.45</v>
      </c>
      <c r="G721" s="623" t="s">
        <v>2282</v>
      </c>
      <c r="H721" s="548" t="s">
        <v>114</v>
      </c>
      <c r="I721" s="583" t="s">
        <v>949</v>
      </c>
      <c r="J721" s="548" t="s">
        <v>950</v>
      </c>
      <c r="K721" s="583" t="s">
        <v>951</v>
      </c>
      <c r="L721" s="583" t="s">
        <v>947</v>
      </c>
      <c r="M721" s="625" t="s">
        <v>114</v>
      </c>
      <c r="N721" s="620">
        <v>44505</v>
      </c>
      <c r="O721" s="684" t="s">
        <v>67</v>
      </c>
      <c r="P721" s="503">
        <f t="shared" si="44"/>
        <v>11</v>
      </c>
      <c r="Q721" s="503">
        <f t="shared" si="45"/>
        <v>11</v>
      </c>
      <c r="R721" s="504" t="str">
        <f t="shared" si="46"/>
        <v>Gastos_Gerais</v>
      </c>
      <c r="S721" s="504" t="str">
        <f>IF(D721="","",IF(OR(D721=Plano!$A$1,D721=Plano!$B$1),"entrada","saída"))</f>
        <v>saída</v>
      </c>
      <c r="T721" s="511" t="s">
        <v>114</v>
      </c>
      <c r="U721" s="511" t="s">
        <v>114</v>
      </c>
      <c r="V721" s="541"/>
    </row>
    <row r="722" spans="1:22" ht="50.1" customHeight="1" x14ac:dyDescent="0.2">
      <c r="A722" s="619">
        <f>IF(B722="","",COUNT('Diário 5º PA'!$A$5:$A$2634)+COUNT('Diário 6º PA'!$A$5:$A$2246)+COUNT('Diário 7º PA'!$A$5:$A$2271)+ROW()-4)</f>
        <v>4668</v>
      </c>
      <c r="B722" s="620">
        <v>44505</v>
      </c>
      <c r="C722" s="628">
        <v>44501</v>
      </c>
      <c r="D722" s="548" t="s">
        <v>99</v>
      </c>
      <c r="E722" s="548" t="s">
        <v>272</v>
      </c>
      <c r="F722" s="622">
        <v>10.45</v>
      </c>
      <c r="G722" s="623" t="s">
        <v>2283</v>
      </c>
      <c r="H722" s="548" t="s">
        <v>114</v>
      </c>
      <c r="I722" s="583" t="s">
        <v>949</v>
      </c>
      <c r="J722" s="548" t="s">
        <v>950</v>
      </c>
      <c r="K722" s="583" t="s">
        <v>951</v>
      </c>
      <c r="L722" s="583" t="s">
        <v>947</v>
      </c>
      <c r="M722" s="625" t="s">
        <v>114</v>
      </c>
      <c r="N722" s="620">
        <v>44505</v>
      </c>
      <c r="O722" s="684" t="s">
        <v>67</v>
      </c>
      <c r="P722" s="503">
        <f t="shared" si="44"/>
        <v>11</v>
      </c>
      <c r="Q722" s="503">
        <f t="shared" si="45"/>
        <v>11</v>
      </c>
      <c r="R722" s="504" t="str">
        <f t="shared" si="46"/>
        <v>Gastos_Gerais</v>
      </c>
      <c r="S722" s="504" t="str">
        <f>IF(D722="","",IF(OR(D722=Plano!$A$1,D722=Plano!$B$1),"entrada","saída"))</f>
        <v>saída</v>
      </c>
      <c r="T722" s="511" t="s">
        <v>114</v>
      </c>
      <c r="U722" s="511" t="s">
        <v>114</v>
      </c>
      <c r="V722" s="541"/>
    </row>
    <row r="723" spans="1:22" ht="50.1" customHeight="1" x14ac:dyDescent="0.2">
      <c r="A723" s="619">
        <f>IF(B723="","",COUNT('Diário 5º PA'!$A$5:$A$2634)+COUNT('Diário 6º PA'!$A$5:$A$2246)+COUNT('Diário 7º PA'!$A$5:$A$2271)+ROW()-4)</f>
        <v>4669</v>
      </c>
      <c r="B723" s="620">
        <v>44505</v>
      </c>
      <c r="C723" s="628">
        <v>44501</v>
      </c>
      <c r="D723" s="548" t="s">
        <v>99</v>
      </c>
      <c r="E723" s="548" t="s">
        <v>272</v>
      </c>
      <c r="F723" s="622">
        <v>10.45</v>
      </c>
      <c r="G723" s="623" t="s">
        <v>2273</v>
      </c>
      <c r="H723" s="548" t="s">
        <v>114</v>
      </c>
      <c r="I723" s="583" t="s">
        <v>949</v>
      </c>
      <c r="J723" s="548" t="s">
        <v>950</v>
      </c>
      <c r="K723" s="583" t="s">
        <v>951</v>
      </c>
      <c r="L723" s="583" t="s">
        <v>947</v>
      </c>
      <c r="M723" s="625" t="s">
        <v>114</v>
      </c>
      <c r="N723" s="620">
        <v>44505</v>
      </c>
      <c r="O723" s="684" t="s">
        <v>67</v>
      </c>
      <c r="P723" s="503">
        <f t="shared" si="44"/>
        <v>11</v>
      </c>
      <c r="Q723" s="503">
        <f t="shared" si="45"/>
        <v>11</v>
      </c>
      <c r="R723" s="504" t="str">
        <f t="shared" si="46"/>
        <v>Gastos_Gerais</v>
      </c>
      <c r="S723" s="504" t="str">
        <f>IF(D723="","",IF(OR(D723=Plano!$A$1,D723=Plano!$B$1),"entrada","saída"))</f>
        <v>saída</v>
      </c>
      <c r="T723" s="511" t="s">
        <v>114</v>
      </c>
      <c r="U723" s="511" t="s">
        <v>114</v>
      </c>
      <c r="V723" s="541"/>
    </row>
    <row r="724" spans="1:22" ht="50.1" customHeight="1" x14ac:dyDescent="0.2">
      <c r="A724" s="619">
        <f>IF(B724="","",COUNT('Diário 5º PA'!$A$5:$A$2634)+COUNT('Diário 6º PA'!$A$5:$A$2246)+COUNT('Diário 7º PA'!$A$5:$A$2271)+ROW()-4)</f>
        <v>4670</v>
      </c>
      <c r="B724" s="620">
        <v>44505</v>
      </c>
      <c r="C724" s="628">
        <v>44501</v>
      </c>
      <c r="D724" s="548" t="s">
        <v>99</v>
      </c>
      <c r="E724" s="548" t="s">
        <v>272</v>
      </c>
      <c r="F724" s="622">
        <v>10.45</v>
      </c>
      <c r="G724" s="623" t="s">
        <v>2273</v>
      </c>
      <c r="H724" s="548" t="s">
        <v>114</v>
      </c>
      <c r="I724" s="583" t="s">
        <v>949</v>
      </c>
      <c r="J724" s="548" t="s">
        <v>950</v>
      </c>
      <c r="K724" s="583" t="s">
        <v>951</v>
      </c>
      <c r="L724" s="583" t="s">
        <v>947</v>
      </c>
      <c r="M724" s="625" t="s">
        <v>114</v>
      </c>
      <c r="N724" s="620">
        <v>44505</v>
      </c>
      <c r="O724" s="684" t="s">
        <v>67</v>
      </c>
      <c r="P724" s="503">
        <f t="shared" si="44"/>
        <v>11</v>
      </c>
      <c r="Q724" s="503">
        <f t="shared" si="45"/>
        <v>11</v>
      </c>
      <c r="R724" s="504" t="str">
        <f t="shared" si="46"/>
        <v>Gastos_Gerais</v>
      </c>
      <c r="S724" s="504" t="str">
        <f>IF(D724="","",IF(OR(D724=Plano!$A$1,D724=Plano!$B$1),"entrada","saída"))</f>
        <v>saída</v>
      </c>
      <c r="T724" s="511" t="s">
        <v>114</v>
      </c>
      <c r="U724" s="511" t="s">
        <v>114</v>
      </c>
      <c r="V724" s="541"/>
    </row>
    <row r="725" spans="1:22" ht="50.1" customHeight="1" x14ac:dyDescent="0.2">
      <c r="A725" s="619">
        <f>IF(B725="","",COUNT('Diário 5º PA'!$A$5:$A$2634)+COUNT('Diário 6º PA'!$A$5:$A$2246)+COUNT('Diário 7º PA'!$A$5:$A$2271)+ROW()-4)</f>
        <v>4671</v>
      </c>
      <c r="B725" s="620">
        <v>44505</v>
      </c>
      <c r="C725" s="628">
        <v>44501</v>
      </c>
      <c r="D725" s="548" t="s">
        <v>99</v>
      </c>
      <c r="E725" s="548" t="s">
        <v>272</v>
      </c>
      <c r="F725" s="622">
        <v>10.45</v>
      </c>
      <c r="G725" s="623" t="s">
        <v>2273</v>
      </c>
      <c r="H725" s="548" t="s">
        <v>114</v>
      </c>
      <c r="I725" s="583" t="s">
        <v>949</v>
      </c>
      <c r="J725" s="548" t="s">
        <v>950</v>
      </c>
      <c r="K725" s="583" t="s">
        <v>951</v>
      </c>
      <c r="L725" s="583" t="s">
        <v>947</v>
      </c>
      <c r="M725" s="625" t="s">
        <v>114</v>
      </c>
      <c r="N725" s="620">
        <v>44505</v>
      </c>
      <c r="O725" s="684" t="s">
        <v>67</v>
      </c>
      <c r="P725" s="503">
        <f t="shared" si="44"/>
        <v>11</v>
      </c>
      <c r="Q725" s="503">
        <f t="shared" si="45"/>
        <v>11</v>
      </c>
      <c r="R725" s="504" t="str">
        <f t="shared" si="46"/>
        <v>Gastos_Gerais</v>
      </c>
      <c r="S725" s="504" t="str">
        <f>IF(D725="","",IF(OR(D725=Plano!$A$1,D725=Plano!$B$1),"entrada","saída"))</f>
        <v>saída</v>
      </c>
      <c r="T725" s="511" t="s">
        <v>114</v>
      </c>
      <c r="U725" s="511" t="s">
        <v>114</v>
      </c>
      <c r="V725" s="541"/>
    </row>
    <row r="726" spans="1:22" ht="50.1" customHeight="1" x14ac:dyDescent="0.2">
      <c r="A726" s="619">
        <f>IF(B726="","",COUNT('Diário 5º PA'!$A$5:$A$2634)+COUNT('Diário 6º PA'!$A$5:$A$2246)+COUNT('Diário 7º PA'!$A$5:$A$2271)+ROW()-4)</f>
        <v>4672</v>
      </c>
      <c r="B726" s="620">
        <v>44505</v>
      </c>
      <c r="C726" s="628">
        <v>44501</v>
      </c>
      <c r="D726" s="548" t="s">
        <v>99</v>
      </c>
      <c r="E726" s="548" t="s">
        <v>272</v>
      </c>
      <c r="F726" s="622">
        <v>10.45</v>
      </c>
      <c r="G726" s="623" t="s">
        <v>2273</v>
      </c>
      <c r="H726" s="548" t="s">
        <v>114</v>
      </c>
      <c r="I726" s="583" t="s">
        <v>949</v>
      </c>
      <c r="J726" s="548" t="s">
        <v>950</v>
      </c>
      <c r="K726" s="583" t="s">
        <v>951</v>
      </c>
      <c r="L726" s="583" t="s">
        <v>947</v>
      </c>
      <c r="M726" s="625" t="s">
        <v>114</v>
      </c>
      <c r="N726" s="620">
        <v>44505</v>
      </c>
      <c r="O726" s="684" t="s">
        <v>67</v>
      </c>
      <c r="P726" s="503">
        <f t="shared" si="44"/>
        <v>11</v>
      </c>
      <c r="Q726" s="503">
        <f t="shared" si="45"/>
        <v>11</v>
      </c>
      <c r="R726" s="504" t="str">
        <f t="shared" si="46"/>
        <v>Gastos_Gerais</v>
      </c>
      <c r="S726" s="504" t="str">
        <f>IF(D726="","",IF(OR(D726=Plano!$A$1,D726=Plano!$B$1),"entrada","saída"))</f>
        <v>saída</v>
      </c>
      <c r="T726" s="511" t="s">
        <v>114</v>
      </c>
      <c r="U726" s="511" t="s">
        <v>114</v>
      </c>
      <c r="V726" s="541"/>
    </row>
    <row r="727" spans="1:22" ht="50.1" customHeight="1" x14ac:dyDescent="0.2">
      <c r="A727" s="619">
        <f>IF(B727="","",COUNT('Diário 5º PA'!$A$5:$A$2634)+COUNT('Diário 6º PA'!$A$5:$A$2246)+COUNT('Diário 7º PA'!$A$5:$A$2271)+ROW()-4)</f>
        <v>4673</v>
      </c>
      <c r="B727" s="620">
        <v>44505</v>
      </c>
      <c r="C727" s="628">
        <v>44501</v>
      </c>
      <c r="D727" s="548" t="s">
        <v>99</v>
      </c>
      <c r="E727" s="548" t="s">
        <v>272</v>
      </c>
      <c r="F727" s="622">
        <v>10.45</v>
      </c>
      <c r="G727" s="623" t="s">
        <v>2273</v>
      </c>
      <c r="H727" s="548" t="s">
        <v>114</v>
      </c>
      <c r="I727" s="583" t="s">
        <v>949</v>
      </c>
      <c r="J727" s="548" t="s">
        <v>950</v>
      </c>
      <c r="K727" s="583" t="s">
        <v>951</v>
      </c>
      <c r="L727" s="583" t="s">
        <v>947</v>
      </c>
      <c r="M727" s="625" t="s">
        <v>114</v>
      </c>
      <c r="N727" s="620">
        <v>44505</v>
      </c>
      <c r="O727" s="684" t="s">
        <v>67</v>
      </c>
      <c r="P727" s="503">
        <f t="shared" si="44"/>
        <v>11</v>
      </c>
      <c r="Q727" s="503">
        <f t="shared" si="45"/>
        <v>11</v>
      </c>
      <c r="R727" s="504" t="str">
        <f t="shared" si="46"/>
        <v>Gastos_Gerais</v>
      </c>
      <c r="S727" s="504" t="str">
        <f>IF(D727="","",IF(OR(D727=Plano!$A$1,D727=Plano!$B$1),"entrada","saída"))</f>
        <v>saída</v>
      </c>
      <c r="T727" s="511" t="s">
        <v>114</v>
      </c>
      <c r="U727" s="511" t="s">
        <v>114</v>
      </c>
      <c r="V727" s="541"/>
    </row>
    <row r="728" spans="1:22" ht="50.1" customHeight="1" x14ac:dyDescent="0.2">
      <c r="A728" s="619">
        <f>IF(B728="","",COUNT('Diário 5º PA'!$A$5:$A$2634)+COUNT('Diário 6º PA'!$A$5:$A$2246)+COUNT('Diário 7º PA'!$A$5:$A$2271)+ROW()-4)</f>
        <v>4674</v>
      </c>
      <c r="B728" s="620">
        <v>44505</v>
      </c>
      <c r="C728" s="628">
        <v>44501</v>
      </c>
      <c r="D728" s="548" t="s">
        <v>99</v>
      </c>
      <c r="E728" s="548" t="s">
        <v>272</v>
      </c>
      <c r="F728" s="622">
        <v>10.45</v>
      </c>
      <c r="G728" s="623" t="s">
        <v>2284</v>
      </c>
      <c r="H728" s="548" t="s">
        <v>114</v>
      </c>
      <c r="I728" s="583" t="s">
        <v>949</v>
      </c>
      <c r="J728" s="548" t="s">
        <v>950</v>
      </c>
      <c r="K728" s="583" t="s">
        <v>951</v>
      </c>
      <c r="L728" s="583" t="s">
        <v>947</v>
      </c>
      <c r="M728" s="625" t="s">
        <v>114</v>
      </c>
      <c r="N728" s="620">
        <v>44505</v>
      </c>
      <c r="O728" s="684" t="s">
        <v>67</v>
      </c>
      <c r="P728" s="503">
        <f t="shared" si="44"/>
        <v>11</v>
      </c>
      <c r="Q728" s="503">
        <f t="shared" si="45"/>
        <v>11</v>
      </c>
      <c r="R728" s="504" t="str">
        <f t="shared" si="46"/>
        <v>Gastos_Gerais</v>
      </c>
      <c r="S728" s="504" t="str">
        <f>IF(D728="","",IF(OR(D728=Plano!$A$1,D728=Plano!$B$1),"entrada","saída"))</f>
        <v>saída</v>
      </c>
      <c r="T728" s="511" t="s">
        <v>114</v>
      </c>
      <c r="U728" s="511" t="s">
        <v>114</v>
      </c>
      <c r="V728" s="541"/>
    </row>
    <row r="729" spans="1:22" ht="50.1" customHeight="1" x14ac:dyDescent="0.2">
      <c r="A729" s="619">
        <f>IF(B729="","",COUNT('Diário 5º PA'!$A$5:$A$2634)+COUNT('Diário 6º PA'!$A$5:$A$2246)+COUNT('Diário 7º PA'!$A$5:$A$2271)+ROW()-4)</f>
        <v>4675</v>
      </c>
      <c r="B729" s="620">
        <v>44505</v>
      </c>
      <c r="C729" s="628">
        <v>44501</v>
      </c>
      <c r="D729" s="548" t="s">
        <v>99</v>
      </c>
      <c r="E729" s="548" t="s">
        <v>272</v>
      </c>
      <c r="F729" s="622">
        <v>10.45</v>
      </c>
      <c r="G729" s="623" t="s">
        <v>2286</v>
      </c>
      <c r="H729" s="548" t="s">
        <v>114</v>
      </c>
      <c r="I729" s="583" t="s">
        <v>949</v>
      </c>
      <c r="J729" s="548" t="s">
        <v>950</v>
      </c>
      <c r="K729" s="583" t="s">
        <v>951</v>
      </c>
      <c r="L729" s="583" t="s">
        <v>947</v>
      </c>
      <c r="M729" s="625" t="s">
        <v>114</v>
      </c>
      <c r="N729" s="620">
        <v>44505</v>
      </c>
      <c r="O729" s="684" t="s">
        <v>67</v>
      </c>
      <c r="P729" s="503">
        <f t="shared" si="44"/>
        <v>11</v>
      </c>
      <c r="Q729" s="503">
        <f t="shared" si="45"/>
        <v>11</v>
      </c>
      <c r="R729" s="504" t="str">
        <f t="shared" si="46"/>
        <v>Gastos_Gerais</v>
      </c>
      <c r="S729" s="504" t="str">
        <f>IF(D729="","",IF(OR(D729=Plano!$A$1,D729=Plano!$B$1),"entrada","saída"))</f>
        <v>saída</v>
      </c>
      <c r="T729" s="511" t="s">
        <v>114</v>
      </c>
      <c r="U729" s="511" t="s">
        <v>114</v>
      </c>
      <c r="V729" s="541"/>
    </row>
    <row r="730" spans="1:22" ht="50.1" customHeight="1" x14ac:dyDescent="0.2">
      <c r="A730" s="619">
        <f>IF(B730="","",COUNT('Diário 5º PA'!$A$5:$A$2634)+COUNT('Diário 6º PA'!$A$5:$A$2246)+COUNT('Diário 7º PA'!$A$5:$A$2271)+ROW()-4)</f>
        <v>4676</v>
      </c>
      <c r="B730" s="620">
        <v>44505</v>
      </c>
      <c r="C730" s="628">
        <v>44501</v>
      </c>
      <c r="D730" s="548" t="s">
        <v>99</v>
      </c>
      <c r="E730" s="548" t="s">
        <v>272</v>
      </c>
      <c r="F730" s="622">
        <v>10.45</v>
      </c>
      <c r="G730" s="623" t="s">
        <v>2273</v>
      </c>
      <c r="H730" s="548" t="s">
        <v>114</v>
      </c>
      <c r="I730" s="583" t="s">
        <v>949</v>
      </c>
      <c r="J730" s="548" t="s">
        <v>950</v>
      </c>
      <c r="K730" s="583" t="s">
        <v>951</v>
      </c>
      <c r="L730" s="583" t="s">
        <v>947</v>
      </c>
      <c r="M730" s="625" t="s">
        <v>114</v>
      </c>
      <c r="N730" s="620">
        <v>44505</v>
      </c>
      <c r="O730" s="684" t="s">
        <v>67</v>
      </c>
      <c r="P730" s="503">
        <f t="shared" si="44"/>
        <v>11</v>
      </c>
      <c r="Q730" s="503">
        <f t="shared" si="45"/>
        <v>11</v>
      </c>
      <c r="R730" s="504" t="str">
        <f t="shared" si="46"/>
        <v>Gastos_Gerais</v>
      </c>
      <c r="S730" s="504" t="str">
        <f>IF(D730="","",IF(OR(D730=Plano!$A$1,D730=Plano!$B$1),"entrada","saída"))</f>
        <v>saída</v>
      </c>
      <c r="T730" s="511" t="s">
        <v>114</v>
      </c>
      <c r="U730" s="511" t="s">
        <v>114</v>
      </c>
      <c r="V730" s="541"/>
    </row>
    <row r="731" spans="1:22" ht="50.1" customHeight="1" x14ac:dyDescent="0.2">
      <c r="A731" s="619">
        <f>IF(B731="","",COUNT('Diário 5º PA'!$A$5:$A$2634)+COUNT('Diário 6º PA'!$A$5:$A$2246)+COUNT('Diário 7º PA'!$A$5:$A$2271)+ROW()-4)</f>
        <v>4677</v>
      </c>
      <c r="B731" s="620">
        <v>44505</v>
      </c>
      <c r="C731" s="628">
        <v>44501</v>
      </c>
      <c r="D731" s="548" t="s">
        <v>99</v>
      </c>
      <c r="E731" s="548" t="s">
        <v>272</v>
      </c>
      <c r="F731" s="622">
        <v>10.45</v>
      </c>
      <c r="G731" s="623" t="s">
        <v>2286</v>
      </c>
      <c r="H731" s="548" t="s">
        <v>114</v>
      </c>
      <c r="I731" s="583" t="s">
        <v>949</v>
      </c>
      <c r="J731" s="548" t="s">
        <v>950</v>
      </c>
      <c r="K731" s="583" t="s">
        <v>951</v>
      </c>
      <c r="L731" s="583" t="s">
        <v>947</v>
      </c>
      <c r="M731" s="625" t="s">
        <v>114</v>
      </c>
      <c r="N731" s="620">
        <v>44505</v>
      </c>
      <c r="O731" s="684" t="s">
        <v>67</v>
      </c>
      <c r="P731" s="503">
        <f t="shared" si="44"/>
        <v>11</v>
      </c>
      <c r="Q731" s="503">
        <f t="shared" si="45"/>
        <v>11</v>
      </c>
      <c r="R731" s="504" t="str">
        <f t="shared" si="46"/>
        <v>Gastos_Gerais</v>
      </c>
      <c r="S731" s="504" t="str">
        <f>IF(D731="","",IF(OR(D731=Plano!$A$1,D731=Plano!$B$1),"entrada","saída"))</f>
        <v>saída</v>
      </c>
      <c r="T731" s="511" t="s">
        <v>114</v>
      </c>
      <c r="U731" s="511" t="s">
        <v>114</v>
      </c>
      <c r="V731" s="541"/>
    </row>
    <row r="732" spans="1:22" ht="50.1" customHeight="1" x14ac:dyDescent="0.2">
      <c r="A732" s="619">
        <f>IF(B732="","",COUNT('Diário 5º PA'!$A$5:$A$2634)+COUNT('Diário 6º PA'!$A$5:$A$2246)+COUNT('Diário 7º PA'!$A$5:$A$2271)+ROW()-4)</f>
        <v>4678</v>
      </c>
      <c r="B732" s="620">
        <v>44505</v>
      </c>
      <c r="C732" s="628">
        <v>44501</v>
      </c>
      <c r="D732" s="548" t="s">
        <v>99</v>
      </c>
      <c r="E732" s="548" t="s">
        <v>272</v>
      </c>
      <c r="F732" s="622">
        <v>10.45</v>
      </c>
      <c r="G732" s="623" t="s">
        <v>2273</v>
      </c>
      <c r="H732" s="548" t="s">
        <v>114</v>
      </c>
      <c r="I732" s="583" t="s">
        <v>949</v>
      </c>
      <c r="J732" s="548" t="s">
        <v>950</v>
      </c>
      <c r="K732" s="583" t="s">
        <v>951</v>
      </c>
      <c r="L732" s="583" t="s">
        <v>947</v>
      </c>
      <c r="M732" s="625" t="s">
        <v>114</v>
      </c>
      <c r="N732" s="620">
        <v>44505</v>
      </c>
      <c r="O732" s="684" t="s">
        <v>67</v>
      </c>
      <c r="P732" s="503">
        <f t="shared" si="44"/>
        <v>11</v>
      </c>
      <c r="Q732" s="503">
        <f t="shared" si="45"/>
        <v>11</v>
      </c>
      <c r="R732" s="504" t="str">
        <f t="shared" si="46"/>
        <v>Gastos_Gerais</v>
      </c>
      <c r="S732" s="504" t="str">
        <f>IF(D732="","",IF(OR(D732=Plano!$A$1,D732=Plano!$B$1),"entrada","saída"))</f>
        <v>saída</v>
      </c>
      <c r="T732" s="511" t="s">
        <v>114</v>
      </c>
      <c r="U732" s="511" t="s">
        <v>114</v>
      </c>
      <c r="V732" s="541"/>
    </row>
    <row r="733" spans="1:22" ht="50.1" customHeight="1" x14ac:dyDescent="0.2">
      <c r="A733" s="619">
        <f>IF(B733="","",COUNT('Diário 5º PA'!$A$5:$A$2634)+COUNT('Diário 6º PA'!$A$5:$A$2246)+COUNT('Diário 7º PA'!$A$5:$A$2271)+ROW()-4)</f>
        <v>4679</v>
      </c>
      <c r="B733" s="620">
        <v>44505</v>
      </c>
      <c r="C733" s="628">
        <v>44501</v>
      </c>
      <c r="D733" s="548" t="s">
        <v>99</v>
      </c>
      <c r="E733" s="548" t="s">
        <v>272</v>
      </c>
      <c r="F733" s="622">
        <v>10.45</v>
      </c>
      <c r="G733" s="623" t="s">
        <v>6077</v>
      </c>
      <c r="H733" s="548" t="s">
        <v>114</v>
      </c>
      <c r="I733" s="583" t="s">
        <v>949</v>
      </c>
      <c r="J733" s="548" t="s">
        <v>950</v>
      </c>
      <c r="K733" s="583" t="s">
        <v>951</v>
      </c>
      <c r="L733" s="583" t="s">
        <v>947</v>
      </c>
      <c r="M733" s="625" t="s">
        <v>114</v>
      </c>
      <c r="N733" s="620">
        <v>44505</v>
      </c>
      <c r="O733" s="684" t="s">
        <v>67</v>
      </c>
      <c r="P733" s="503">
        <f t="shared" si="44"/>
        <v>11</v>
      </c>
      <c r="Q733" s="503">
        <f t="shared" si="45"/>
        <v>11</v>
      </c>
      <c r="R733" s="504" t="str">
        <f t="shared" si="46"/>
        <v>Gastos_Gerais</v>
      </c>
      <c r="S733" s="504" t="str">
        <f>IF(D733="","",IF(OR(D733=Plano!$A$1,D733=Plano!$B$1),"entrada","saída"))</f>
        <v>saída</v>
      </c>
      <c r="T733" s="511" t="s">
        <v>114</v>
      </c>
      <c r="U733" s="511" t="s">
        <v>114</v>
      </c>
      <c r="V733" s="541"/>
    </row>
    <row r="734" spans="1:22" ht="50.1" customHeight="1" x14ac:dyDescent="0.2">
      <c r="A734" s="619">
        <f>IF(B734="","",COUNT('Diário 5º PA'!$A$5:$A$2634)+COUNT('Diário 6º PA'!$A$5:$A$2246)+COUNT('Diário 7º PA'!$A$5:$A$2271)+ROW()-4)</f>
        <v>4680</v>
      </c>
      <c r="B734" s="620">
        <v>44505</v>
      </c>
      <c r="C734" s="628">
        <v>44501</v>
      </c>
      <c r="D734" s="548" t="s">
        <v>99</v>
      </c>
      <c r="E734" s="548" t="s">
        <v>272</v>
      </c>
      <c r="F734" s="622">
        <v>10.45</v>
      </c>
      <c r="G734" s="623" t="s">
        <v>6077</v>
      </c>
      <c r="H734" s="548" t="s">
        <v>114</v>
      </c>
      <c r="I734" s="583" t="s">
        <v>949</v>
      </c>
      <c r="J734" s="548" t="s">
        <v>950</v>
      </c>
      <c r="K734" s="583" t="s">
        <v>951</v>
      </c>
      <c r="L734" s="583" t="s">
        <v>947</v>
      </c>
      <c r="M734" s="625" t="s">
        <v>114</v>
      </c>
      <c r="N734" s="620">
        <v>44505</v>
      </c>
      <c r="O734" s="684" t="s">
        <v>67</v>
      </c>
      <c r="P734" s="503">
        <f t="shared" si="44"/>
        <v>11</v>
      </c>
      <c r="Q734" s="503">
        <f t="shared" si="45"/>
        <v>11</v>
      </c>
      <c r="R734" s="504" t="str">
        <f t="shared" si="46"/>
        <v>Gastos_Gerais</v>
      </c>
      <c r="S734" s="504" t="str">
        <f>IF(D734="","",IF(OR(D734=Plano!$A$1,D734=Plano!$B$1),"entrada","saída"))</f>
        <v>saída</v>
      </c>
      <c r="T734" s="511" t="s">
        <v>114</v>
      </c>
      <c r="U734" s="511" t="s">
        <v>114</v>
      </c>
      <c r="V734" s="541"/>
    </row>
    <row r="735" spans="1:22" ht="50.1" customHeight="1" x14ac:dyDescent="0.2">
      <c r="A735" s="619">
        <f>IF(B735="","",COUNT('Diário 5º PA'!$A$5:$A$2634)+COUNT('Diário 6º PA'!$A$5:$A$2246)+COUNT('Diário 7º PA'!$A$5:$A$2271)+ROW()-4)</f>
        <v>4681</v>
      </c>
      <c r="B735" s="620">
        <v>44505</v>
      </c>
      <c r="C735" s="628">
        <v>44501</v>
      </c>
      <c r="D735" s="548" t="s">
        <v>99</v>
      </c>
      <c r="E735" s="548" t="s">
        <v>272</v>
      </c>
      <c r="F735" s="622">
        <v>10.45</v>
      </c>
      <c r="G735" s="623" t="s">
        <v>6077</v>
      </c>
      <c r="H735" s="548" t="s">
        <v>114</v>
      </c>
      <c r="I735" s="583" t="s">
        <v>949</v>
      </c>
      <c r="J735" s="548" t="s">
        <v>950</v>
      </c>
      <c r="K735" s="583" t="s">
        <v>951</v>
      </c>
      <c r="L735" s="583" t="s">
        <v>947</v>
      </c>
      <c r="M735" s="625" t="s">
        <v>114</v>
      </c>
      <c r="N735" s="620">
        <v>44505</v>
      </c>
      <c r="O735" s="684" t="s">
        <v>67</v>
      </c>
      <c r="P735" s="503">
        <f t="shared" si="44"/>
        <v>11</v>
      </c>
      <c r="Q735" s="503">
        <f t="shared" si="45"/>
        <v>11</v>
      </c>
      <c r="R735" s="504" t="str">
        <f t="shared" si="46"/>
        <v>Gastos_Gerais</v>
      </c>
      <c r="S735" s="504" t="str">
        <f>IF(D735="","",IF(OR(D735=Plano!$A$1,D735=Plano!$B$1),"entrada","saída"))</f>
        <v>saída</v>
      </c>
      <c r="T735" s="511" t="s">
        <v>114</v>
      </c>
      <c r="U735" s="511" t="s">
        <v>114</v>
      </c>
      <c r="V735" s="541"/>
    </row>
    <row r="736" spans="1:22" ht="50.1" customHeight="1" x14ac:dyDescent="0.2">
      <c r="A736" s="619">
        <f>IF(B736="","",COUNT('Diário 5º PA'!$A$5:$A$2634)+COUNT('Diário 6º PA'!$A$5:$A$2246)+COUNT('Diário 7º PA'!$A$5:$A$2271)+ROW()-4)</f>
        <v>4682</v>
      </c>
      <c r="B736" s="620">
        <v>44505</v>
      </c>
      <c r="C736" s="628">
        <v>44501</v>
      </c>
      <c r="D736" s="548" t="s">
        <v>99</v>
      </c>
      <c r="E736" s="548" t="s">
        <v>272</v>
      </c>
      <c r="F736" s="622">
        <v>10.45</v>
      </c>
      <c r="G736" s="623" t="s">
        <v>6078</v>
      </c>
      <c r="H736" s="548" t="s">
        <v>114</v>
      </c>
      <c r="I736" s="583" t="s">
        <v>949</v>
      </c>
      <c r="J736" s="548" t="s">
        <v>950</v>
      </c>
      <c r="K736" s="583" t="s">
        <v>951</v>
      </c>
      <c r="L736" s="583" t="s">
        <v>947</v>
      </c>
      <c r="M736" s="625" t="s">
        <v>114</v>
      </c>
      <c r="N736" s="620">
        <v>44505</v>
      </c>
      <c r="O736" s="684" t="s">
        <v>67</v>
      </c>
      <c r="P736" s="503">
        <f t="shared" si="44"/>
        <v>11</v>
      </c>
      <c r="Q736" s="503">
        <f t="shared" si="45"/>
        <v>11</v>
      </c>
      <c r="R736" s="504" t="str">
        <f t="shared" si="46"/>
        <v>Gastos_Gerais</v>
      </c>
      <c r="S736" s="504" t="str">
        <f>IF(D736="","",IF(OR(D736=Plano!$A$1,D736=Plano!$B$1),"entrada","saída"))</f>
        <v>saída</v>
      </c>
      <c r="T736" s="511" t="s">
        <v>114</v>
      </c>
      <c r="U736" s="511" t="s">
        <v>114</v>
      </c>
      <c r="V736" s="541"/>
    </row>
    <row r="737" spans="1:22" ht="50.1" customHeight="1" x14ac:dyDescent="0.2">
      <c r="A737" s="619">
        <f>IF(B737="","",COUNT('Diário 5º PA'!$A$5:$A$2634)+COUNT('Diário 6º PA'!$A$5:$A$2246)+COUNT('Diário 7º PA'!$A$5:$A$2271)+ROW()-4)</f>
        <v>4683</v>
      </c>
      <c r="B737" s="620">
        <v>44505</v>
      </c>
      <c r="C737" s="628">
        <v>44501</v>
      </c>
      <c r="D737" s="548" t="s">
        <v>99</v>
      </c>
      <c r="E737" s="548" t="s">
        <v>272</v>
      </c>
      <c r="F737" s="622">
        <v>10.45</v>
      </c>
      <c r="G737" s="623" t="s">
        <v>6078</v>
      </c>
      <c r="H737" s="548" t="s">
        <v>114</v>
      </c>
      <c r="I737" s="583" t="s">
        <v>949</v>
      </c>
      <c r="J737" s="548" t="s">
        <v>950</v>
      </c>
      <c r="K737" s="583" t="s">
        <v>951</v>
      </c>
      <c r="L737" s="583" t="s">
        <v>947</v>
      </c>
      <c r="M737" s="625" t="s">
        <v>114</v>
      </c>
      <c r="N737" s="620">
        <v>44505</v>
      </c>
      <c r="O737" s="684" t="s">
        <v>67</v>
      </c>
      <c r="P737" s="503">
        <f t="shared" si="44"/>
        <v>11</v>
      </c>
      <c r="Q737" s="503">
        <f t="shared" si="45"/>
        <v>11</v>
      </c>
      <c r="R737" s="504" t="str">
        <f t="shared" si="46"/>
        <v>Gastos_Gerais</v>
      </c>
      <c r="S737" s="504" t="str">
        <f>IF(D737="","",IF(OR(D737=Plano!$A$1,D737=Plano!$B$1),"entrada","saída"))</f>
        <v>saída</v>
      </c>
      <c r="T737" s="511" t="s">
        <v>114</v>
      </c>
      <c r="U737" s="511" t="s">
        <v>114</v>
      </c>
      <c r="V737" s="541"/>
    </row>
    <row r="738" spans="1:22" ht="50.1" customHeight="1" x14ac:dyDescent="0.2">
      <c r="A738" s="619">
        <f>IF(B738="","",COUNT('Diário 5º PA'!$A$5:$A$2634)+COUNT('Diário 6º PA'!$A$5:$A$2246)+COUNT('Diário 7º PA'!$A$5:$A$2271)+ROW()-4)</f>
        <v>4684</v>
      </c>
      <c r="B738" s="620">
        <v>44505</v>
      </c>
      <c r="C738" s="628">
        <v>44501</v>
      </c>
      <c r="D738" s="548" t="s">
        <v>99</v>
      </c>
      <c r="E738" s="548" t="s">
        <v>272</v>
      </c>
      <c r="F738" s="622">
        <v>10.45</v>
      </c>
      <c r="G738" s="623" t="s">
        <v>6078</v>
      </c>
      <c r="H738" s="548" t="s">
        <v>114</v>
      </c>
      <c r="I738" s="583" t="s">
        <v>949</v>
      </c>
      <c r="J738" s="548" t="s">
        <v>950</v>
      </c>
      <c r="K738" s="583" t="s">
        <v>951</v>
      </c>
      <c r="L738" s="583" t="s">
        <v>947</v>
      </c>
      <c r="M738" s="625" t="s">
        <v>114</v>
      </c>
      <c r="N738" s="620">
        <v>44505</v>
      </c>
      <c r="O738" s="684" t="s">
        <v>67</v>
      </c>
      <c r="P738" s="503">
        <f t="shared" si="44"/>
        <v>11</v>
      </c>
      <c r="Q738" s="503">
        <f t="shared" si="45"/>
        <v>11</v>
      </c>
      <c r="R738" s="504" t="str">
        <f t="shared" si="46"/>
        <v>Gastos_Gerais</v>
      </c>
      <c r="S738" s="504" t="str">
        <f>IF(D738="","",IF(OR(D738=Plano!$A$1,D738=Plano!$B$1),"entrada","saída"))</f>
        <v>saída</v>
      </c>
      <c r="T738" s="511" t="s">
        <v>114</v>
      </c>
      <c r="U738" s="511" t="s">
        <v>114</v>
      </c>
      <c r="V738" s="541"/>
    </row>
    <row r="739" spans="1:22" ht="50.25" customHeight="1" x14ac:dyDescent="0.2">
      <c r="A739" s="619">
        <f>IF(B739="","",COUNT('Diário 5º PA'!$A$5:$A$2634)+COUNT('Diário 6º PA'!$A$5:$A$2246)+COUNT('Diário 7º PA'!$A$5:$A$2271)+ROW()-4)</f>
        <v>4685</v>
      </c>
      <c r="B739" s="620">
        <v>44505</v>
      </c>
      <c r="C739" s="628">
        <v>44501</v>
      </c>
      <c r="D739" s="548" t="s">
        <v>99</v>
      </c>
      <c r="E739" s="548" t="s">
        <v>272</v>
      </c>
      <c r="F739" s="622">
        <v>10.45</v>
      </c>
      <c r="G739" s="623" t="s">
        <v>6078</v>
      </c>
      <c r="H739" s="548" t="s">
        <v>114</v>
      </c>
      <c r="I739" s="583" t="s">
        <v>949</v>
      </c>
      <c r="J739" s="548" t="s">
        <v>950</v>
      </c>
      <c r="K739" s="583" t="s">
        <v>951</v>
      </c>
      <c r="L739" s="583" t="s">
        <v>947</v>
      </c>
      <c r="M739" s="625" t="s">
        <v>114</v>
      </c>
      <c r="N739" s="620">
        <v>44505</v>
      </c>
      <c r="O739" s="684" t="s">
        <v>67</v>
      </c>
      <c r="P739" s="503">
        <f t="shared" si="44"/>
        <v>11</v>
      </c>
      <c r="Q739" s="503">
        <f t="shared" si="45"/>
        <v>11</v>
      </c>
      <c r="R739" s="504" t="str">
        <f t="shared" si="46"/>
        <v>Gastos_Gerais</v>
      </c>
      <c r="S739" s="504" t="str">
        <f>IF(D739="","",IF(OR(D739=Plano!$A$1,D739=Plano!$B$1),"entrada","saída"))</f>
        <v>saída</v>
      </c>
      <c r="T739" s="511" t="s">
        <v>114</v>
      </c>
      <c r="U739" s="511" t="s">
        <v>114</v>
      </c>
      <c r="V739" s="541"/>
    </row>
    <row r="740" spans="1:22" s="562" customFormat="1" ht="117" customHeight="1" x14ac:dyDescent="0.2">
      <c r="A740" s="619">
        <f>IF(B740="","",COUNT('Diário 5º PA'!$A$5:$A$2634)+COUNT('Diário 6º PA'!$A$5:$A$2246)+COUNT('Diário 7º PA'!$A$5:$A$2271)+ROW()-4)</f>
        <v>4686</v>
      </c>
      <c r="B740" s="620">
        <v>44505</v>
      </c>
      <c r="C740" s="645">
        <v>44470</v>
      </c>
      <c r="D740" s="646" t="s">
        <v>104</v>
      </c>
      <c r="E740" s="646" t="s">
        <v>104</v>
      </c>
      <c r="F740" s="647">
        <v>3840</v>
      </c>
      <c r="G740" s="648" t="s">
        <v>501</v>
      </c>
      <c r="H740" s="646" t="s">
        <v>104</v>
      </c>
      <c r="I740" s="627" t="s">
        <v>7124</v>
      </c>
      <c r="J740" s="646" t="s">
        <v>503</v>
      </c>
      <c r="K740" s="583" t="s">
        <v>991</v>
      </c>
      <c r="L740" s="583" t="s">
        <v>992</v>
      </c>
      <c r="M740" s="619" t="s">
        <v>1049</v>
      </c>
      <c r="N740" s="620">
        <v>44504</v>
      </c>
      <c r="O740" s="684" t="s">
        <v>71</v>
      </c>
      <c r="P740" s="503">
        <f t="shared" si="44"/>
        <v>11</v>
      </c>
      <c r="Q740" s="503">
        <f t="shared" si="45"/>
        <v>10</v>
      </c>
      <c r="R740" s="504" t="str">
        <f t="shared" si="46"/>
        <v>Gastos_custeados_por_captação</v>
      </c>
      <c r="S740" s="504" t="str">
        <f>IF(D740="","",IF(OR(D740=Plano!$A$1,D740=Plano!$B$1),"entrada","saída"))</f>
        <v>saída</v>
      </c>
      <c r="T740" s="511" t="s">
        <v>1082</v>
      </c>
      <c r="U740" s="511">
        <v>1136</v>
      </c>
      <c r="V740" s="541"/>
    </row>
    <row r="741" spans="1:22" s="562" customFormat="1" ht="119.25" customHeight="1" x14ac:dyDescent="0.2">
      <c r="A741" s="619">
        <f>IF(B741="","",COUNT('Diário 5º PA'!$A$5:$A$2634)+COUNT('Diário 6º PA'!$A$5:$A$2246)+COUNT('Diário 7º PA'!$A$5:$A$2271)+ROW()-4)</f>
        <v>4687</v>
      </c>
      <c r="B741" s="620">
        <v>44505</v>
      </c>
      <c r="C741" s="645">
        <v>44470</v>
      </c>
      <c r="D741" s="646" t="s">
        <v>104</v>
      </c>
      <c r="E741" s="646" t="s">
        <v>104</v>
      </c>
      <c r="F741" s="647">
        <v>3762.82</v>
      </c>
      <c r="G741" s="648" t="s">
        <v>499</v>
      </c>
      <c r="H741" s="646" t="s">
        <v>104</v>
      </c>
      <c r="I741" s="627" t="s">
        <v>7127</v>
      </c>
      <c r="J741" s="646" t="s">
        <v>500</v>
      </c>
      <c r="K741" s="583" t="s">
        <v>991</v>
      </c>
      <c r="L741" s="583" t="s">
        <v>992</v>
      </c>
      <c r="M741" s="619" t="s">
        <v>1256</v>
      </c>
      <c r="N741" s="620">
        <v>44504</v>
      </c>
      <c r="O741" s="684" t="s">
        <v>71</v>
      </c>
      <c r="P741" s="503">
        <f t="shared" si="44"/>
        <v>11</v>
      </c>
      <c r="Q741" s="503">
        <f t="shared" si="45"/>
        <v>10</v>
      </c>
      <c r="R741" s="504" t="str">
        <f t="shared" si="46"/>
        <v>Gastos_custeados_por_captação</v>
      </c>
      <c r="S741" s="504" t="str">
        <f>IF(D741="","",IF(OR(D741=Plano!$A$1,D741=Plano!$B$1),"entrada","saída"))</f>
        <v>saída</v>
      </c>
      <c r="T741" s="511" t="s">
        <v>1082</v>
      </c>
      <c r="U741" s="511">
        <v>1137</v>
      </c>
      <c r="V741" s="541"/>
    </row>
    <row r="742" spans="1:22" s="562" customFormat="1" ht="126.75" customHeight="1" x14ac:dyDescent="0.2">
      <c r="A742" s="619">
        <f>IF(B742="","",COUNT('Diário 5º PA'!$A$5:$A$2634)+COUNT('Diário 6º PA'!$A$5:$A$2246)+COUNT('Diário 7º PA'!$A$5:$A$2271)+ROW()-4)</f>
        <v>4688</v>
      </c>
      <c r="B742" s="620">
        <v>44505</v>
      </c>
      <c r="C742" s="645">
        <v>44470</v>
      </c>
      <c r="D742" s="646" t="s">
        <v>104</v>
      </c>
      <c r="E742" s="646" t="s">
        <v>104</v>
      </c>
      <c r="F742" s="647">
        <v>2500</v>
      </c>
      <c r="G742" s="648" t="s">
        <v>510</v>
      </c>
      <c r="H742" s="646" t="s">
        <v>104</v>
      </c>
      <c r="I742" s="627" t="s">
        <v>3260</v>
      </c>
      <c r="J742" s="646" t="s">
        <v>512</v>
      </c>
      <c r="K742" s="583" t="s">
        <v>991</v>
      </c>
      <c r="L742" s="583" t="s">
        <v>992</v>
      </c>
      <c r="M742" s="619" t="s">
        <v>1256</v>
      </c>
      <c r="N742" s="620">
        <v>44503</v>
      </c>
      <c r="O742" s="684" t="s">
        <v>71</v>
      </c>
      <c r="P742" s="503">
        <f t="shared" si="44"/>
        <v>11</v>
      </c>
      <c r="Q742" s="503">
        <f t="shared" si="45"/>
        <v>10</v>
      </c>
      <c r="R742" s="504" t="str">
        <f t="shared" si="46"/>
        <v>Gastos_custeados_por_captação</v>
      </c>
      <c r="S742" s="504" t="str">
        <f>IF(D742="","",IF(OR(D742=Plano!$A$1,D742=Plano!$B$1),"entrada","saída"))</f>
        <v>saída</v>
      </c>
      <c r="T742" s="511" t="s">
        <v>1082</v>
      </c>
      <c r="U742" s="511">
        <v>1235</v>
      </c>
      <c r="V742" s="541"/>
    </row>
    <row r="743" spans="1:22" s="562" customFormat="1" ht="129" customHeight="1" x14ac:dyDescent="0.2">
      <c r="A743" s="619">
        <f>IF(B743="","",COUNT('Diário 5º PA'!$A$5:$A$2634)+COUNT('Diário 6º PA'!$A$5:$A$2246)+COUNT('Diário 7º PA'!$A$5:$A$2271)+ROW()-4)</f>
        <v>4689</v>
      </c>
      <c r="B743" s="620">
        <v>44505</v>
      </c>
      <c r="C743" s="645">
        <v>44470</v>
      </c>
      <c r="D743" s="646" t="s">
        <v>104</v>
      </c>
      <c r="E743" s="646" t="s">
        <v>104</v>
      </c>
      <c r="F743" s="647">
        <v>3840</v>
      </c>
      <c r="G743" s="648" t="s">
        <v>504</v>
      </c>
      <c r="H743" s="646" t="s">
        <v>104</v>
      </c>
      <c r="I743" s="627" t="s">
        <v>3848</v>
      </c>
      <c r="J743" s="646" t="s">
        <v>506</v>
      </c>
      <c r="K743" s="583" t="s">
        <v>991</v>
      </c>
      <c r="L743" s="583" t="s">
        <v>992</v>
      </c>
      <c r="M743" s="619" t="s">
        <v>1049</v>
      </c>
      <c r="N743" s="620">
        <v>44503</v>
      </c>
      <c r="O743" s="684" t="s">
        <v>71</v>
      </c>
      <c r="P743" s="503">
        <f t="shared" si="44"/>
        <v>11</v>
      </c>
      <c r="Q743" s="503">
        <f t="shared" si="45"/>
        <v>10</v>
      </c>
      <c r="R743" s="504" t="str">
        <f t="shared" si="46"/>
        <v>Gastos_custeados_por_captação</v>
      </c>
      <c r="S743" s="504" t="str">
        <f>IF(D743="","",IF(OR(D743=Plano!$A$1,D743=Plano!$B$1),"entrada","saída"))</f>
        <v>saída</v>
      </c>
      <c r="T743" s="511" t="s">
        <v>1059</v>
      </c>
      <c r="U743" s="511">
        <v>1135</v>
      </c>
      <c r="V743" s="541"/>
    </row>
    <row r="744" spans="1:22" s="562" customFormat="1" ht="50.25" customHeight="1" x14ac:dyDescent="0.2">
      <c r="A744" s="619">
        <f>IF(B744="","",COUNT('Diário 5º PA'!$A$5:$A$2634)+COUNT('Diário 6º PA'!$A$5:$A$2246)+COUNT('Diário 7º PA'!$A$5:$A$2271)+ROW()-4)</f>
        <v>4690</v>
      </c>
      <c r="B744" s="620">
        <v>44505</v>
      </c>
      <c r="C744" s="645">
        <v>44470</v>
      </c>
      <c r="D744" s="646" t="s">
        <v>104</v>
      </c>
      <c r="E744" s="646" t="s">
        <v>104</v>
      </c>
      <c r="F744" s="622">
        <v>2500</v>
      </c>
      <c r="G744" s="623" t="s">
        <v>7129</v>
      </c>
      <c r="H744" s="646" t="s">
        <v>104</v>
      </c>
      <c r="I744" s="583" t="s">
        <v>7131</v>
      </c>
      <c r="J744" s="548" t="s">
        <v>7130</v>
      </c>
      <c r="K744" s="583" t="s">
        <v>991</v>
      </c>
      <c r="L744" s="583" t="s">
        <v>992</v>
      </c>
      <c r="M744" s="619" t="s">
        <v>1061</v>
      </c>
      <c r="N744" s="620">
        <v>44503</v>
      </c>
      <c r="O744" s="684" t="s">
        <v>71</v>
      </c>
      <c r="P744" s="503">
        <f t="shared" si="44"/>
        <v>11</v>
      </c>
      <c r="Q744" s="503">
        <f t="shared" si="45"/>
        <v>10</v>
      </c>
      <c r="R744" s="504" t="str">
        <f t="shared" si="46"/>
        <v>Gastos_custeados_por_captação</v>
      </c>
      <c r="S744" s="504" t="str">
        <f>IF(D744="","",IF(OR(D744=Plano!$A$1,D744=Plano!$B$1),"entrada","saída"))</f>
        <v>saída</v>
      </c>
      <c r="T744" s="511" t="s">
        <v>1082</v>
      </c>
      <c r="U744" s="511">
        <v>1782</v>
      </c>
      <c r="V744" s="541"/>
    </row>
    <row r="745" spans="1:22" s="562" customFormat="1" ht="117" customHeight="1" x14ac:dyDescent="0.2">
      <c r="A745" s="619">
        <f>IF(B745="","",COUNT('Diário 5º PA'!$A$5:$A$2634)+COUNT('Diário 6º PA'!$A$5:$A$2246)+COUNT('Diário 7º PA'!$A$5:$A$2271)+ROW()-4)</f>
        <v>4691</v>
      </c>
      <c r="B745" s="620">
        <v>44505</v>
      </c>
      <c r="C745" s="645">
        <v>44470</v>
      </c>
      <c r="D745" s="646" t="s">
        <v>104</v>
      </c>
      <c r="E745" s="646" t="s">
        <v>104</v>
      </c>
      <c r="F745" s="647">
        <v>3428.25</v>
      </c>
      <c r="G745" s="648" t="s">
        <v>7132</v>
      </c>
      <c r="H745" s="646" t="s">
        <v>104</v>
      </c>
      <c r="I745" s="627" t="s">
        <v>1078</v>
      </c>
      <c r="J745" s="646" t="s">
        <v>627</v>
      </c>
      <c r="K745" s="583" t="s">
        <v>991</v>
      </c>
      <c r="L745" s="583" t="s">
        <v>992</v>
      </c>
      <c r="M745" s="619" t="s">
        <v>1732</v>
      </c>
      <c r="N745" s="620">
        <v>44503</v>
      </c>
      <c r="O745" s="684" t="s">
        <v>71</v>
      </c>
      <c r="P745" s="503">
        <f t="shared" si="44"/>
        <v>11</v>
      </c>
      <c r="Q745" s="503">
        <f t="shared" si="45"/>
        <v>10</v>
      </c>
      <c r="R745" s="504" t="str">
        <f t="shared" si="46"/>
        <v>Gastos_custeados_por_captação</v>
      </c>
      <c r="S745" s="504" t="str">
        <f>IF(D745="","",IF(OR(D745=Plano!$A$1,D745=Plano!$B$1),"entrada","saída"))</f>
        <v>saída</v>
      </c>
      <c r="T745" s="511" t="s">
        <v>1082</v>
      </c>
      <c r="U745" s="511">
        <v>1458</v>
      </c>
      <c r="V745" s="541"/>
    </row>
    <row r="746" spans="1:22" s="562" customFormat="1" ht="148.5" customHeight="1" x14ac:dyDescent="0.2">
      <c r="A746" s="619">
        <f>IF(B746="","",COUNT('Diário 5º PA'!$A$5:$A$2634)+COUNT('Diário 6º PA'!$A$5:$A$2246)+COUNT('Diário 7º PA'!$A$5:$A$2271)+ROW()-4)</f>
        <v>4692</v>
      </c>
      <c r="B746" s="620">
        <v>44505</v>
      </c>
      <c r="C746" s="645">
        <v>44470</v>
      </c>
      <c r="D746" s="646" t="s">
        <v>104</v>
      </c>
      <c r="E746" s="646" t="s">
        <v>104</v>
      </c>
      <c r="F746" s="647">
        <v>7346.25</v>
      </c>
      <c r="G746" s="648" t="s">
        <v>621</v>
      </c>
      <c r="H746" s="646" t="s">
        <v>104</v>
      </c>
      <c r="I746" s="627" t="s">
        <v>1078</v>
      </c>
      <c r="J746" s="646" t="s">
        <v>623</v>
      </c>
      <c r="K746" s="583" t="s">
        <v>991</v>
      </c>
      <c r="L746" s="583" t="s">
        <v>992</v>
      </c>
      <c r="M746" s="619" t="s">
        <v>4507</v>
      </c>
      <c r="N746" s="620">
        <v>44503</v>
      </c>
      <c r="O746" s="684" t="s">
        <v>71</v>
      </c>
      <c r="P746" s="503">
        <f t="shared" si="44"/>
        <v>11</v>
      </c>
      <c r="Q746" s="503">
        <f t="shared" si="45"/>
        <v>10</v>
      </c>
      <c r="R746" s="504" t="str">
        <f t="shared" si="46"/>
        <v>Gastos_custeados_por_captação</v>
      </c>
      <c r="S746" s="504" t="str">
        <f>IF(D746="","",IF(OR(D746=Plano!$A$1,D746=Plano!$B$1),"entrada","saída"))</f>
        <v>saída</v>
      </c>
      <c r="T746" s="511" t="s">
        <v>1082</v>
      </c>
      <c r="U746" s="511">
        <v>1134</v>
      </c>
      <c r="V746" s="541"/>
    </row>
    <row r="747" spans="1:22" s="562" customFormat="1" ht="108.75" customHeight="1" x14ac:dyDescent="0.2">
      <c r="A747" s="619">
        <f>IF(B747="","",COUNT('Diário 5º PA'!$A$5:$A$2634)+COUNT('Diário 6º PA'!$A$5:$A$2246)+COUNT('Diário 7º PA'!$A$5:$A$2271)+ROW()-4)</f>
        <v>4693</v>
      </c>
      <c r="B747" s="620">
        <v>44505</v>
      </c>
      <c r="C747" s="645">
        <v>44470</v>
      </c>
      <c r="D747" s="646" t="s">
        <v>104</v>
      </c>
      <c r="E747" s="646" t="s">
        <v>104</v>
      </c>
      <c r="F747" s="647">
        <v>2125.92</v>
      </c>
      <c r="G747" s="648" t="s">
        <v>456</v>
      </c>
      <c r="H747" s="646" t="s">
        <v>104</v>
      </c>
      <c r="I747" s="627" t="s">
        <v>3367</v>
      </c>
      <c r="J747" s="646" t="s">
        <v>458</v>
      </c>
      <c r="K747" s="583" t="s">
        <v>991</v>
      </c>
      <c r="L747" s="583" t="s">
        <v>1029</v>
      </c>
      <c r="M747" s="625">
        <v>1138</v>
      </c>
      <c r="N747" s="620">
        <v>44504</v>
      </c>
      <c r="O747" s="684" t="s">
        <v>71</v>
      </c>
      <c r="P747" s="503">
        <f t="shared" si="44"/>
        <v>11</v>
      </c>
      <c r="Q747" s="503">
        <f t="shared" si="45"/>
        <v>10</v>
      </c>
      <c r="R747" s="504" t="str">
        <f t="shared" si="46"/>
        <v>Gastos_custeados_por_captação</v>
      </c>
      <c r="S747" s="504" t="str">
        <f>IF(D747="","",IF(OR(D747=Plano!$A$1,D747=Plano!$B$1),"entrada","saída"))</f>
        <v>saída</v>
      </c>
      <c r="T747" s="511" t="s">
        <v>1082</v>
      </c>
      <c r="U747" s="511">
        <v>1138</v>
      </c>
      <c r="V747" s="541"/>
    </row>
    <row r="748" spans="1:22" s="562" customFormat="1" ht="129" customHeight="1" x14ac:dyDescent="0.2">
      <c r="A748" s="619">
        <f>IF(B748="","",COUNT('Diário 5º PA'!$A$5:$A$2634)+COUNT('Diário 6º PA'!$A$5:$A$2246)+COUNT('Diário 7º PA'!$A$5:$A$2271)+ROW()-4)</f>
        <v>4694</v>
      </c>
      <c r="B748" s="620">
        <v>44505</v>
      </c>
      <c r="C748" s="645">
        <v>44470</v>
      </c>
      <c r="D748" s="646" t="s">
        <v>104</v>
      </c>
      <c r="E748" s="646" t="s">
        <v>104</v>
      </c>
      <c r="F748" s="647">
        <v>5500</v>
      </c>
      <c r="G748" s="648" t="s">
        <v>637</v>
      </c>
      <c r="H748" s="646" t="s">
        <v>104</v>
      </c>
      <c r="I748" s="627" t="s">
        <v>3175</v>
      </c>
      <c r="J748" s="646" t="s">
        <v>639</v>
      </c>
      <c r="K748" s="583" t="s">
        <v>991</v>
      </c>
      <c r="L748" s="583" t="s">
        <v>992</v>
      </c>
      <c r="M748" s="625">
        <v>17</v>
      </c>
      <c r="N748" s="620">
        <v>44504</v>
      </c>
      <c r="O748" s="684" t="s">
        <v>71</v>
      </c>
      <c r="P748" s="503">
        <f t="shared" si="44"/>
        <v>11</v>
      </c>
      <c r="Q748" s="503">
        <f t="shared" si="45"/>
        <v>10</v>
      </c>
      <c r="R748" s="504" t="str">
        <f t="shared" si="46"/>
        <v>Gastos_custeados_por_captação</v>
      </c>
      <c r="S748" s="504" t="str">
        <f>IF(D748="","",IF(OR(D748=Plano!$A$1,D748=Plano!$B$1),"entrada","saída"))</f>
        <v>saída</v>
      </c>
      <c r="T748" s="511" t="s">
        <v>1059</v>
      </c>
      <c r="U748" s="511">
        <v>1473</v>
      </c>
      <c r="V748" s="541"/>
    </row>
    <row r="749" spans="1:22" s="562" customFormat="1" ht="93" customHeight="1" x14ac:dyDescent="0.2">
      <c r="A749" s="619">
        <f>IF(B749="","",COUNT('Diário 5º PA'!$A$5:$A$2634)+COUNT('Diário 6º PA'!$A$5:$A$2246)+COUNT('Diário 7º PA'!$A$5:$A$2271)+ROW()-4)</f>
        <v>4695</v>
      </c>
      <c r="B749" s="620">
        <v>44505</v>
      </c>
      <c r="C749" s="645">
        <v>44470</v>
      </c>
      <c r="D749" s="646" t="s">
        <v>104</v>
      </c>
      <c r="E749" s="646" t="s">
        <v>104</v>
      </c>
      <c r="F749" s="647">
        <v>7977.25</v>
      </c>
      <c r="G749" s="648" t="s">
        <v>492</v>
      </c>
      <c r="H749" s="646" t="s">
        <v>104</v>
      </c>
      <c r="I749" s="627" t="s">
        <v>493</v>
      </c>
      <c r="J749" s="646" t="s">
        <v>494</v>
      </c>
      <c r="K749" s="583" t="s">
        <v>991</v>
      </c>
      <c r="L749" s="583" t="s">
        <v>992</v>
      </c>
      <c r="M749" s="619" t="s">
        <v>7137</v>
      </c>
      <c r="N749" s="620">
        <v>44480</v>
      </c>
      <c r="O749" s="684" t="s">
        <v>71</v>
      </c>
      <c r="P749" s="503">
        <f t="shared" si="44"/>
        <v>11</v>
      </c>
      <c r="Q749" s="503">
        <f t="shared" si="45"/>
        <v>10</v>
      </c>
      <c r="R749" s="504" t="str">
        <f t="shared" si="46"/>
        <v>Gastos_custeados_por_captação</v>
      </c>
      <c r="S749" s="504" t="str">
        <f>IF(D749="","",IF(OR(D749=Plano!$A$1,D749=Plano!$B$1),"entrada","saída"))</f>
        <v>saída</v>
      </c>
      <c r="T749" s="511" t="s">
        <v>1059</v>
      </c>
      <c r="U749" s="511">
        <v>1114</v>
      </c>
      <c r="V749" s="541"/>
    </row>
    <row r="750" spans="1:22" s="562" customFormat="1" ht="50.25" customHeight="1" x14ac:dyDescent="0.2">
      <c r="A750" s="619">
        <f>IF(B750="","",COUNT('Diário 5º PA'!$A$5:$A$2634)+COUNT('Diário 6º PA'!$A$5:$A$2246)+COUNT('Diário 7º PA'!$A$5:$A$2271)+ROW()-4)</f>
        <v>4696</v>
      </c>
      <c r="B750" s="620">
        <v>44505</v>
      </c>
      <c r="C750" s="624">
        <v>44531</v>
      </c>
      <c r="D750" s="548" t="s">
        <v>104</v>
      </c>
      <c r="E750" s="548" t="s">
        <v>104</v>
      </c>
      <c r="F750" s="622">
        <v>10.45</v>
      </c>
      <c r="G750" s="623" t="s">
        <v>5451</v>
      </c>
      <c r="H750" s="548" t="s">
        <v>104</v>
      </c>
      <c r="I750" s="583" t="s">
        <v>949</v>
      </c>
      <c r="J750" s="548" t="s">
        <v>950</v>
      </c>
      <c r="K750" s="583" t="s">
        <v>951</v>
      </c>
      <c r="L750" s="583" t="s">
        <v>947</v>
      </c>
      <c r="M750" s="625" t="s">
        <v>114</v>
      </c>
      <c r="N750" s="620">
        <v>44505</v>
      </c>
      <c r="O750" s="684" t="s">
        <v>71</v>
      </c>
      <c r="P750" s="503">
        <f t="shared" si="44"/>
        <v>11</v>
      </c>
      <c r="Q750" s="503">
        <f t="shared" si="45"/>
        <v>12</v>
      </c>
      <c r="R750" s="504" t="str">
        <f t="shared" si="46"/>
        <v>Gastos_custeados_por_captação</v>
      </c>
      <c r="S750" s="504" t="str">
        <f>IF(D750="","",IF(OR(D750=Plano!$A$1,D750=Plano!$B$1),"entrada","saída"))</f>
        <v>saída</v>
      </c>
      <c r="T750" s="511" t="s">
        <v>114</v>
      </c>
      <c r="U750" s="511" t="s">
        <v>114</v>
      </c>
      <c r="V750" s="541"/>
    </row>
    <row r="751" spans="1:22" s="562" customFormat="1" ht="50.25" customHeight="1" x14ac:dyDescent="0.2">
      <c r="A751" s="619">
        <f>IF(B751="","",COUNT('Diário 5º PA'!$A$5:$A$2634)+COUNT('Diário 6º PA'!$A$5:$A$2246)+COUNT('Diário 7º PA'!$A$5:$A$2271)+ROW()-4)</f>
        <v>4697</v>
      </c>
      <c r="B751" s="620">
        <v>44505</v>
      </c>
      <c r="C751" s="624">
        <v>44531</v>
      </c>
      <c r="D751" s="548" t="s">
        <v>104</v>
      </c>
      <c r="E751" s="548" t="s">
        <v>104</v>
      </c>
      <c r="F751" s="622">
        <v>10.45</v>
      </c>
      <c r="G751" s="623" t="s">
        <v>5451</v>
      </c>
      <c r="H751" s="548" t="s">
        <v>104</v>
      </c>
      <c r="I751" s="583" t="s">
        <v>949</v>
      </c>
      <c r="J751" s="548" t="s">
        <v>950</v>
      </c>
      <c r="K751" s="583" t="s">
        <v>951</v>
      </c>
      <c r="L751" s="583" t="s">
        <v>947</v>
      </c>
      <c r="M751" s="625" t="s">
        <v>114</v>
      </c>
      <c r="N751" s="620">
        <v>44505</v>
      </c>
      <c r="O751" s="684" t="s">
        <v>71</v>
      </c>
      <c r="P751" s="503">
        <f t="shared" si="44"/>
        <v>11</v>
      </c>
      <c r="Q751" s="503">
        <f t="shared" si="45"/>
        <v>12</v>
      </c>
      <c r="R751" s="504" t="str">
        <f t="shared" si="46"/>
        <v>Gastos_custeados_por_captação</v>
      </c>
      <c r="S751" s="504" t="str">
        <f>IF(D751="","",IF(OR(D751=Plano!$A$1,D751=Plano!$B$1),"entrada","saída"))</f>
        <v>saída</v>
      </c>
      <c r="T751" s="511" t="s">
        <v>114</v>
      </c>
      <c r="U751" s="511" t="s">
        <v>114</v>
      </c>
      <c r="V751" s="541"/>
    </row>
    <row r="752" spans="1:22" s="562" customFormat="1" ht="50.25" customHeight="1" x14ac:dyDescent="0.2">
      <c r="A752" s="619">
        <f>IF(B752="","",COUNT('Diário 5º PA'!$A$5:$A$2634)+COUNT('Diário 6º PA'!$A$5:$A$2246)+COUNT('Diário 7º PA'!$A$5:$A$2271)+ROW()-4)</f>
        <v>4698</v>
      </c>
      <c r="B752" s="620">
        <v>44505</v>
      </c>
      <c r="C752" s="624">
        <v>44531</v>
      </c>
      <c r="D752" s="548" t="s">
        <v>104</v>
      </c>
      <c r="E752" s="548" t="s">
        <v>104</v>
      </c>
      <c r="F752" s="622">
        <v>10.45</v>
      </c>
      <c r="G752" s="623" t="s">
        <v>5451</v>
      </c>
      <c r="H752" s="548" t="s">
        <v>104</v>
      </c>
      <c r="I752" s="583" t="s">
        <v>949</v>
      </c>
      <c r="J752" s="548" t="s">
        <v>950</v>
      </c>
      <c r="K752" s="583" t="s">
        <v>951</v>
      </c>
      <c r="L752" s="583" t="s">
        <v>947</v>
      </c>
      <c r="M752" s="625" t="s">
        <v>114</v>
      </c>
      <c r="N752" s="620">
        <v>44505</v>
      </c>
      <c r="O752" s="684" t="s">
        <v>71</v>
      </c>
      <c r="P752" s="503">
        <f t="shared" si="44"/>
        <v>11</v>
      </c>
      <c r="Q752" s="503">
        <f t="shared" si="45"/>
        <v>12</v>
      </c>
      <c r="R752" s="504" t="str">
        <f t="shared" si="46"/>
        <v>Gastos_custeados_por_captação</v>
      </c>
      <c r="S752" s="504" t="str">
        <f>IF(D752="","",IF(OR(D752=Plano!$A$1,D752=Plano!$B$1),"entrada","saída"))</f>
        <v>saída</v>
      </c>
      <c r="T752" s="511" t="s">
        <v>114</v>
      </c>
      <c r="U752" s="511" t="s">
        <v>114</v>
      </c>
      <c r="V752" s="541"/>
    </row>
    <row r="753" spans="1:28" s="562" customFormat="1" ht="50.25" customHeight="1" x14ac:dyDescent="0.2">
      <c r="A753" s="619">
        <f>IF(B753="","",COUNT('Diário 5º PA'!$A$5:$A$2634)+COUNT('Diário 6º PA'!$A$5:$A$2246)+COUNT('Diário 7º PA'!$A$5:$A$2271)+ROW()-4)</f>
        <v>4699</v>
      </c>
      <c r="B753" s="620">
        <v>44505</v>
      </c>
      <c r="C753" s="624">
        <v>44531</v>
      </c>
      <c r="D753" s="548" t="s">
        <v>104</v>
      </c>
      <c r="E753" s="548" t="s">
        <v>104</v>
      </c>
      <c r="F753" s="622">
        <v>10.45</v>
      </c>
      <c r="G753" s="623" t="s">
        <v>5451</v>
      </c>
      <c r="H753" s="548" t="s">
        <v>104</v>
      </c>
      <c r="I753" s="583" t="s">
        <v>949</v>
      </c>
      <c r="J753" s="548" t="s">
        <v>950</v>
      </c>
      <c r="K753" s="583" t="s">
        <v>951</v>
      </c>
      <c r="L753" s="583" t="s">
        <v>947</v>
      </c>
      <c r="M753" s="625" t="s">
        <v>114</v>
      </c>
      <c r="N753" s="620">
        <v>44505</v>
      </c>
      <c r="O753" s="684" t="s">
        <v>71</v>
      </c>
      <c r="P753" s="503">
        <f t="shared" si="44"/>
        <v>11</v>
      </c>
      <c r="Q753" s="503">
        <f t="shared" si="45"/>
        <v>12</v>
      </c>
      <c r="R753" s="504" t="str">
        <f t="shared" si="46"/>
        <v>Gastos_custeados_por_captação</v>
      </c>
      <c r="S753" s="504" t="str">
        <f>IF(D753="","",IF(OR(D753=Plano!$A$1,D753=Plano!$B$1),"entrada","saída"))</f>
        <v>saída</v>
      </c>
      <c r="T753" s="511" t="s">
        <v>114</v>
      </c>
      <c r="U753" s="511" t="s">
        <v>114</v>
      </c>
      <c r="V753" s="541"/>
    </row>
    <row r="754" spans="1:28" s="562" customFormat="1" ht="50.25" customHeight="1" x14ac:dyDescent="0.2">
      <c r="A754" s="619">
        <f>IF(B754="","",COUNT('Diário 5º PA'!$A$5:$A$2634)+COUNT('Diário 6º PA'!$A$5:$A$2246)+COUNT('Diário 7º PA'!$A$5:$A$2271)+ROW()-4)</f>
        <v>4700</v>
      </c>
      <c r="B754" s="620">
        <v>44505</v>
      </c>
      <c r="C754" s="624">
        <v>44531</v>
      </c>
      <c r="D754" s="548" t="s">
        <v>104</v>
      </c>
      <c r="E754" s="548" t="s">
        <v>104</v>
      </c>
      <c r="F754" s="622">
        <v>10.45</v>
      </c>
      <c r="G754" s="623" t="s">
        <v>5451</v>
      </c>
      <c r="H754" s="548" t="s">
        <v>104</v>
      </c>
      <c r="I754" s="583" t="s">
        <v>949</v>
      </c>
      <c r="J754" s="548" t="s">
        <v>950</v>
      </c>
      <c r="K754" s="583" t="s">
        <v>951</v>
      </c>
      <c r="L754" s="583" t="s">
        <v>947</v>
      </c>
      <c r="M754" s="625" t="s">
        <v>114</v>
      </c>
      <c r="N754" s="620">
        <v>44505</v>
      </c>
      <c r="O754" s="684" t="s">
        <v>71</v>
      </c>
      <c r="P754" s="503">
        <f t="shared" si="44"/>
        <v>11</v>
      </c>
      <c r="Q754" s="503">
        <f t="shared" si="45"/>
        <v>12</v>
      </c>
      <c r="R754" s="504" t="str">
        <f t="shared" si="46"/>
        <v>Gastos_custeados_por_captação</v>
      </c>
      <c r="S754" s="504" t="str">
        <f>IF(D754="","",IF(OR(D754=Plano!$A$1,D754=Plano!$B$1),"entrada","saída"))</f>
        <v>saída</v>
      </c>
      <c r="T754" s="511" t="s">
        <v>114</v>
      </c>
      <c r="U754" s="511" t="s">
        <v>114</v>
      </c>
      <c r="V754" s="541"/>
    </row>
    <row r="755" spans="1:28" s="568" customFormat="1" ht="147.75" customHeight="1" x14ac:dyDescent="0.2">
      <c r="A755" s="649">
        <f>IF(B755="","",COUNT('Diário 5º PA'!$A$5:$A$2634)+COUNT('Diário 6º PA'!$A$5:$A$2246)+COUNT('Diário 7º PA'!$A$5:$A$2271)+ROW()-4)</f>
        <v>4701</v>
      </c>
      <c r="B755" s="644">
        <v>44505</v>
      </c>
      <c r="C755" s="650">
        <v>44470</v>
      </c>
      <c r="D755" s="651" t="s">
        <v>104</v>
      </c>
      <c r="E755" s="651" t="s">
        <v>104</v>
      </c>
      <c r="F755" s="641">
        <v>2125.92</v>
      </c>
      <c r="G755" s="639" t="s">
        <v>548</v>
      </c>
      <c r="H755" s="651" t="s">
        <v>104</v>
      </c>
      <c r="I755" s="640" t="s">
        <v>1739</v>
      </c>
      <c r="J755" s="651" t="s">
        <v>550</v>
      </c>
      <c r="K755" s="642" t="s">
        <v>991</v>
      </c>
      <c r="L755" s="642" t="s">
        <v>1029</v>
      </c>
      <c r="M755" s="652">
        <v>1404</v>
      </c>
      <c r="N755" s="644">
        <v>44503</v>
      </c>
      <c r="O755" s="685" t="s">
        <v>68</v>
      </c>
      <c r="P755" s="503">
        <f t="shared" si="44"/>
        <v>11</v>
      </c>
      <c r="Q755" s="503">
        <f t="shared" si="45"/>
        <v>10</v>
      </c>
      <c r="R755" s="504" t="str">
        <f t="shared" si="46"/>
        <v>Gastos_custeados_por_captação</v>
      </c>
      <c r="S755" s="504" t="str">
        <f>IF(D755="","",IF(OR(D755=Plano!$A$1,D755=Plano!$B$1),"entrada","saída"))</f>
        <v>saída</v>
      </c>
      <c r="T755" s="566" t="s">
        <v>1082</v>
      </c>
      <c r="U755" s="566">
        <v>1301</v>
      </c>
      <c r="V755" s="541"/>
    </row>
    <row r="756" spans="1:28" s="572" customFormat="1" ht="147.75" customHeight="1" x14ac:dyDescent="0.2">
      <c r="A756" s="649">
        <f>IF(B756="","",COUNT('Diário 5º PA'!$A$5:$A$2634)+COUNT('Diário 6º PA'!$A$5:$A$2246)+COUNT('Diário 7º PA'!$A$5:$A$2271)+ROW()-4)</f>
        <v>4702</v>
      </c>
      <c r="B756" s="644">
        <v>44505</v>
      </c>
      <c r="C756" s="650">
        <v>44470</v>
      </c>
      <c r="D756" s="548" t="s">
        <v>104</v>
      </c>
      <c r="E756" s="548" t="s">
        <v>104</v>
      </c>
      <c r="F756" s="622">
        <v>2537.5500000000002</v>
      </c>
      <c r="G756" s="623" t="s">
        <v>596</v>
      </c>
      <c r="H756" s="548" t="s">
        <v>104</v>
      </c>
      <c r="I756" s="583" t="s">
        <v>1348</v>
      </c>
      <c r="J756" s="548" t="s">
        <v>598</v>
      </c>
      <c r="K756" s="583" t="s">
        <v>991</v>
      </c>
      <c r="L756" s="583" t="s">
        <v>1029</v>
      </c>
      <c r="M756" s="619">
        <v>1407</v>
      </c>
      <c r="N756" s="620">
        <v>44503</v>
      </c>
      <c r="O756" s="684" t="s">
        <v>5370</v>
      </c>
      <c r="P756" s="503">
        <f t="shared" si="44"/>
        <v>11</v>
      </c>
      <c r="Q756" s="503">
        <f t="shared" si="45"/>
        <v>10</v>
      </c>
      <c r="R756" s="504" t="str">
        <f t="shared" si="46"/>
        <v>Gastos_custeados_por_captação</v>
      </c>
      <c r="S756" s="504" t="str">
        <f>IF(D756="","",IF(OR(D756=Plano!$A$1,D756=Plano!$B$1),"entrada","saída"))</f>
        <v>saída</v>
      </c>
      <c r="T756" s="511" t="s">
        <v>1059</v>
      </c>
      <c r="U756" s="511">
        <v>1466</v>
      </c>
      <c r="V756" s="541"/>
    </row>
    <row r="757" spans="1:28" s="572" customFormat="1" ht="78" customHeight="1" x14ac:dyDescent="0.2">
      <c r="A757" s="649">
        <f>IF(B757="","",COUNT('Diário 5º PA'!$A$5:$A$2634)+COUNT('Diário 6º PA'!$A$5:$A$2246)+COUNT('Diário 7º PA'!$A$5:$A$2271)+ROW()-4)</f>
        <v>4703</v>
      </c>
      <c r="B757" s="644">
        <v>44505</v>
      </c>
      <c r="C757" s="650">
        <v>44470</v>
      </c>
      <c r="D757" s="548" t="s">
        <v>104</v>
      </c>
      <c r="E757" s="548" t="s">
        <v>104</v>
      </c>
      <c r="F757" s="622">
        <v>2075.92</v>
      </c>
      <c r="G757" s="623" t="s">
        <v>6905</v>
      </c>
      <c r="H757" s="548" t="s">
        <v>104</v>
      </c>
      <c r="I757" s="583" t="s">
        <v>6906</v>
      </c>
      <c r="J757" s="548" t="s">
        <v>4171</v>
      </c>
      <c r="K757" s="583" t="s">
        <v>991</v>
      </c>
      <c r="L757" s="583" t="s">
        <v>1029</v>
      </c>
      <c r="M757" s="625">
        <v>1415</v>
      </c>
      <c r="N757" s="620">
        <v>44504</v>
      </c>
      <c r="O757" s="684" t="s">
        <v>5370</v>
      </c>
      <c r="P757" s="503">
        <f t="shared" si="44"/>
        <v>11</v>
      </c>
      <c r="Q757" s="503">
        <f t="shared" si="45"/>
        <v>10</v>
      </c>
      <c r="R757" s="504" t="str">
        <f t="shared" si="46"/>
        <v>Gastos_custeados_por_captação</v>
      </c>
      <c r="S757" s="504" t="str">
        <f>IF(D757="","",IF(OR(D757=Plano!$A$1,D757=Plano!$B$1),"entrada","saída"))</f>
        <v>saída</v>
      </c>
      <c r="T757" s="511" t="s">
        <v>1082</v>
      </c>
      <c r="U757" s="511">
        <v>2201</v>
      </c>
      <c r="V757" s="541"/>
    </row>
    <row r="758" spans="1:28" s="572" customFormat="1" ht="69.75" customHeight="1" x14ac:dyDescent="0.2">
      <c r="A758" s="649">
        <f>IF(B758="","",COUNT('Diário 5º PA'!$A$5:$A$2634)+COUNT('Diário 6º PA'!$A$5:$A$2246)+COUNT('Diário 7º PA'!$A$5:$A$2271)+ROW()-4)</f>
        <v>4704</v>
      </c>
      <c r="B758" s="644">
        <v>44505</v>
      </c>
      <c r="C758" s="650">
        <v>44470</v>
      </c>
      <c r="D758" s="548" t="s">
        <v>104</v>
      </c>
      <c r="E758" s="548" t="s">
        <v>104</v>
      </c>
      <c r="F758" s="622">
        <v>2075.92</v>
      </c>
      <c r="G758" s="623" t="s">
        <v>6903</v>
      </c>
      <c r="H758" s="548" t="s">
        <v>104</v>
      </c>
      <c r="I758" s="583" t="s">
        <v>6904</v>
      </c>
      <c r="J758" s="548" t="s">
        <v>604</v>
      </c>
      <c r="K758" s="583" t="s">
        <v>991</v>
      </c>
      <c r="L758" s="583" t="s">
        <v>1029</v>
      </c>
      <c r="M758" s="625">
        <v>1416</v>
      </c>
      <c r="N758" s="620">
        <v>44503</v>
      </c>
      <c r="O758" s="684" t="s">
        <v>5370</v>
      </c>
      <c r="P758" s="503">
        <f t="shared" si="44"/>
        <v>11</v>
      </c>
      <c r="Q758" s="503">
        <f t="shared" si="45"/>
        <v>10</v>
      </c>
      <c r="R758" s="504" t="str">
        <f t="shared" si="46"/>
        <v>Gastos_custeados_por_captação</v>
      </c>
      <c r="S758" s="504" t="str">
        <f>IF(D758="","",IF(OR(D758=Plano!$A$1,D758=Plano!$B$1),"entrada","saída"))</f>
        <v>saída</v>
      </c>
      <c r="T758" s="511" t="s">
        <v>1082</v>
      </c>
      <c r="U758" s="511">
        <v>2202</v>
      </c>
      <c r="V758" s="541"/>
    </row>
    <row r="759" spans="1:28" s="572" customFormat="1" ht="252.75" customHeight="1" x14ac:dyDescent="0.2">
      <c r="A759" s="649">
        <f>IF(B759="","",COUNT('Diário 5º PA'!$A$5:$A$2634)+COUNT('Diário 6º PA'!$A$5:$A$2246)+COUNT('Diário 7º PA'!$A$5:$A$2271)+ROW()-4)</f>
        <v>4705</v>
      </c>
      <c r="B759" s="644">
        <v>44505</v>
      </c>
      <c r="C759" s="645">
        <v>44470</v>
      </c>
      <c r="D759" s="646" t="s">
        <v>104</v>
      </c>
      <c r="E759" s="646" t="s">
        <v>104</v>
      </c>
      <c r="F759" s="647">
        <v>1260</v>
      </c>
      <c r="G759" s="648" t="s">
        <v>574</v>
      </c>
      <c r="H759" s="646" t="s">
        <v>104</v>
      </c>
      <c r="I759" s="627" t="s">
        <v>1354</v>
      </c>
      <c r="J759" s="646" t="s">
        <v>576</v>
      </c>
      <c r="K759" s="583" t="s">
        <v>991</v>
      </c>
      <c r="L759" s="583" t="s">
        <v>1029</v>
      </c>
      <c r="M759" s="625">
        <v>1403</v>
      </c>
      <c r="N759" s="620">
        <v>44503</v>
      </c>
      <c r="O759" s="684" t="s">
        <v>5370</v>
      </c>
      <c r="P759" s="503">
        <f t="shared" si="44"/>
        <v>11</v>
      </c>
      <c r="Q759" s="503">
        <f t="shared" si="45"/>
        <v>10</v>
      </c>
      <c r="R759" s="504" t="str">
        <f t="shared" si="46"/>
        <v>Gastos_custeados_por_captação</v>
      </c>
      <c r="S759" s="504" t="str">
        <f>IF(D759="","",IF(OR(D759=Plano!$A$1,D759=Plano!$B$1),"entrada","saída"))</f>
        <v>saída</v>
      </c>
      <c r="T759" s="511" t="s">
        <v>1059</v>
      </c>
      <c r="U759" s="511">
        <v>1350</v>
      </c>
      <c r="V759" s="541"/>
    </row>
    <row r="760" spans="1:28" s="572" customFormat="1" ht="102.75" customHeight="1" x14ac:dyDescent="0.2">
      <c r="A760" s="649">
        <f>IF(B760="","",COUNT('Diário 5º PA'!$A$5:$A$2634)+COUNT('Diário 6º PA'!$A$5:$A$2246)+COUNT('Diário 7º PA'!$A$5:$A$2271)+ROW()-4)</f>
        <v>4706</v>
      </c>
      <c r="B760" s="644">
        <v>44505</v>
      </c>
      <c r="C760" s="645">
        <v>44470</v>
      </c>
      <c r="D760" s="548" t="s">
        <v>104</v>
      </c>
      <c r="E760" s="548" t="s">
        <v>104</v>
      </c>
      <c r="F760" s="622">
        <v>19404</v>
      </c>
      <c r="G760" s="623" t="s">
        <v>6758</v>
      </c>
      <c r="H760" s="548" t="s">
        <v>104</v>
      </c>
      <c r="I760" s="583" t="s">
        <v>1140</v>
      </c>
      <c r="J760" s="548" t="s">
        <v>929</v>
      </c>
      <c r="K760" s="583" t="s">
        <v>1015</v>
      </c>
      <c r="L760" s="583" t="s">
        <v>992</v>
      </c>
      <c r="M760" s="625">
        <v>195</v>
      </c>
      <c r="N760" s="620">
        <v>44504</v>
      </c>
      <c r="O760" s="684" t="s">
        <v>5370</v>
      </c>
      <c r="P760" s="503">
        <f t="shared" si="44"/>
        <v>11</v>
      </c>
      <c r="Q760" s="503">
        <f t="shared" si="45"/>
        <v>10</v>
      </c>
      <c r="R760" s="504" t="str">
        <f t="shared" si="46"/>
        <v>Gastos_custeados_por_captação</v>
      </c>
      <c r="S760" s="504" t="str">
        <f>IF(D760="","",IF(OR(D760=Plano!$A$1,D760=Plano!$B$1),"entrada","saída"))</f>
        <v>saída</v>
      </c>
      <c r="T760" s="511" t="s">
        <v>1082</v>
      </c>
      <c r="U760" s="511">
        <v>2180</v>
      </c>
      <c r="V760" s="541"/>
    </row>
    <row r="761" spans="1:28" ht="66.75" customHeight="1" x14ac:dyDescent="0.2">
      <c r="A761" s="619">
        <f>IF(B761="","",COUNT('Diário 5º PA'!$A$5:$A$2634)+COUNT('Diário 6º PA'!$A$5:$A$2246)+COUNT('Diário 7º PA'!$A$5:$A$2271)+ROW()-4)</f>
        <v>4707</v>
      </c>
      <c r="B761" s="620">
        <v>44508</v>
      </c>
      <c r="C761" s="621">
        <v>44470</v>
      </c>
      <c r="D761" s="548" t="s">
        <v>99</v>
      </c>
      <c r="E761" s="548" t="s">
        <v>330</v>
      </c>
      <c r="F761" s="622">
        <v>-12.45</v>
      </c>
      <c r="G761" s="623" t="s">
        <v>6081</v>
      </c>
      <c r="H761" s="548" t="s">
        <v>115</v>
      </c>
      <c r="I761" s="583" t="s">
        <v>983</v>
      </c>
      <c r="J761" s="548" t="s">
        <v>850</v>
      </c>
      <c r="K761" s="583" t="s">
        <v>946</v>
      </c>
      <c r="L761" s="583" t="s">
        <v>947</v>
      </c>
      <c r="M761" s="619" t="s">
        <v>114</v>
      </c>
      <c r="N761" s="620">
        <v>44508</v>
      </c>
      <c r="O761" s="684" t="s">
        <v>67</v>
      </c>
      <c r="P761" s="503">
        <f t="shared" si="44"/>
        <v>11</v>
      </c>
      <c r="Q761" s="503">
        <f t="shared" si="45"/>
        <v>10</v>
      </c>
      <c r="R761" s="504" t="str">
        <f t="shared" si="46"/>
        <v>Gastos_Gerais</v>
      </c>
      <c r="S761" s="504" t="str">
        <f>IF(D761="","",IF(OR(D761=Plano!$A$1,D761=Plano!$B$1),"entrada","saída"))</f>
        <v>saída</v>
      </c>
      <c r="T761" s="505" t="s">
        <v>114</v>
      </c>
      <c r="U761" s="505" t="s">
        <v>114</v>
      </c>
      <c r="V761" s="541"/>
      <c r="W761" s="572"/>
      <c r="X761" s="572"/>
      <c r="Y761" s="572"/>
      <c r="Z761" s="572"/>
      <c r="AA761" s="572"/>
      <c r="AB761" s="572"/>
    </row>
    <row r="762" spans="1:28" ht="60.75" customHeight="1" x14ac:dyDescent="0.2">
      <c r="A762" s="619">
        <f>IF(B762="","",COUNT('Diário 5º PA'!$A$5:$A$2634)+COUNT('Diário 6º PA'!$A$5:$A$2246)+COUNT('Diário 7º PA'!$A$5:$A$2271)+ROW()-4)</f>
        <v>4708</v>
      </c>
      <c r="B762" s="620">
        <v>44508</v>
      </c>
      <c r="C762" s="621">
        <v>44470</v>
      </c>
      <c r="D762" s="548" t="s">
        <v>99</v>
      </c>
      <c r="E762" s="548" t="s">
        <v>330</v>
      </c>
      <c r="F762" s="622">
        <v>-24.9</v>
      </c>
      <c r="G762" s="623" t="s">
        <v>6082</v>
      </c>
      <c r="H762" s="548" t="s">
        <v>115</v>
      </c>
      <c r="I762" s="583" t="s">
        <v>983</v>
      </c>
      <c r="J762" s="548" t="s">
        <v>850</v>
      </c>
      <c r="K762" s="583" t="s">
        <v>946</v>
      </c>
      <c r="L762" s="583" t="s">
        <v>947</v>
      </c>
      <c r="M762" s="619" t="s">
        <v>114</v>
      </c>
      <c r="N762" s="620">
        <v>44508</v>
      </c>
      <c r="O762" s="684" t="s">
        <v>67</v>
      </c>
      <c r="P762" s="503">
        <f t="shared" si="44"/>
        <v>11</v>
      </c>
      <c r="Q762" s="503">
        <f t="shared" si="45"/>
        <v>10</v>
      </c>
      <c r="R762" s="504" t="str">
        <f t="shared" si="46"/>
        <v>Gastos_Gerais</v>
      </c>
      <c r="S762" s="504" t="str">
        <f>IF(D762="","",IF(OR(D762=Plano!$A$1,D762=Plano!$B$1),"entrada","saída"))</f>
        <v>saída</v>
      </c>
      <c r="T762" s="505" t="s">
        <v>114</v>
      </c>
      <c r="U762" s="505" t="s">
        <v>114</v>
      </c>
      <c r="V762" s="541"/>
    </row>
    <row r="763" spans="1:28" s="522" customFormat="1" ht="60.75" customHeight="1" x14ac:dyDescent="0.2">
      <c r="A763" s="619">
        <f>IF(B763="","",COUNT('Diário 5º PA'!$A$5:$A$2634)+COUNT('Diário 6º PA'!$A$5:$A$2246)+COUNT('Diário 7º PA'!$A$5:$A$2271)+ROW()-4)</f>
        <v>4709</v>
      </c>
      <c r="B763" s="620">
        <v>44508</v>
      </c>
      <c r="C763" s="621">
        <v>44470</v>
      </c>
      <c r="D763" s="548" t="s">
        <v>99</v>
      </c>
      <c r="E763" s="548" t="s">
        <v>270</v>
      </c>
      <c r="F763" s="622">
        <v>-56.53</v>
      </c>
      <c r="G763" s="623" t="s">
        <v>6084</v>
      </c>
      <c r="H763" s="548" t="s">
        <v>115</v>
      </c>
      <c r="I763" s="583" t="s">
        <v>983</v>
      </c>
      <c r="J763" s="548" t="s">
        <v>850</v>
      </c>
      <c r="K763" s="583" t="s">
        <v>946</v>
      </c>
      <c r="L763" s="583" t="s">
        <v>947</v>
      </c>
      <c r="M763" s="619" t="s">
        <v>114</v>
      </c>
      <c r="N763" s="620">
        <v>44508</v>
      </c>
      <c r="O763" s="684" t="s">
        <v>67</v>
      </c>
      <c r="P763" s="503">
        <f t="shared" si="44"/>
        <v>11</v>
      </c>
      <c r="Q763" s="503">
        <f t="shared" si="45"/>
        <v>10</v>
      </c>
      <c r="R763" s="504" t="str">
        <f t="shared" si="46"/>
        <v>Gastos_Gerais</v>
      </c>
      <c r="S763" s="504" t="str">
        <f>IF(D763="","",IF(OR(D763=Plano!$A$1,D763=Plano!$B$1),"entrada","saída"))</f>
        <v>saída</v>
      </c>
      <c r="T763" s="505" t="s">
        <v>114</v>
      </c>
      <c r="U763" s="505" t="s">
        <v>114</v>
      </c>
      <c r="V763" s="541"/>
    </row>
    <row r="764" spans="1:28" ht="64.5" customHeight="1" x14ac:dyDescent="0.2">
      <c r="A764" s="619">
        <f>IF(B764="","",COUNT('Diário 5º PA'!$A$5:$A$2634)+COUNT('Diário 6º PA'!$A$5:$A$2246)+COUNT('Diário 7º PA'!$A$5:$A$2271)+ROW()-4)</f>
        <v>4710</v>
      </c>
      <c r="B764" s="620">
        <v>44508</v>
      </c>
      <c r="C764" s="621">
        <v>44470</v>
      </c>
      <c r="D764" s="548" t="s">
        <v>99</v>
      </c>
      <c r="E764" s="548" t="s">
        <v>330</v>
      </c>
      <c r="F764" s="622">
        <v>-323.7</v>
      </c>
      <c r="G764" s="623" t="s">
        <v>6083</v>
      </c>
      <c r="H764" s="548" t="s">
        <v>115</v>
      </c>
      <c r="I764" s="583" t="s">
        <v>983</v>
      </c>
      <c r="J764" s="548" t="s">
        <v>850</v>
      </c>
      <c r="K764" s="583" t="s">
        <v>946</v>
      </c>
      <c r="L764" s="583" t="s">
        <v>947</v>
      </c>
      <c r="M764" s="619" t="s">
        <v>114</v>
      </c>
      <c r="N764" s="620">
        <v>44508</v>
      </c>
      <c r="O764" s="684" t="s">
        <v>67</v>
      </c>
      <c r="P764" s="503">
        <f t="shared" si="44"/>
        <v>11</v>
      </c>
      <c r="Q764" s="503">
        <f t="shared" si="45"/>
        <v>10</v>
      </c>
      <c r="R764" s="504" t="str">
        <f t="shared" si="46"/>
        <v>Gastos_Gerais</v>
      </c>
      <c r="S764" s="504" t="str">
        <f>IF(D764="","",IF(OR(D764=Plano!$A$1,D764=Plano!$B$1),"entrada","saída"))</f>
        <v>saída</v>
      </c>
      <c r="T764" s="505" t="s">
        <v>114</v>
      </c>
      <c r="U764" s="505" t="s">
        <v>114</v>
      </c>
      <c r="V764" s="541"/>
    </row>
    <row r="765" spans="1:28" ht="75.75" customHeight="1" x14ac:dyDescent="0.2">
      <c r="A765" s="619">
        <f>IF(B765="","",COUNT('Diário 5º PA'!$A$5:$A$2634)+COUNT('Diário 6º PA'!$A$5:$A$2246)+COUNT('Diário 7º PA'!$A$5:$A$2271)+ROW()-4)</f>
        <v>4711</v>
      </c>
      <c r="B765" s="620">
        <v>44508</v>
      </c>
      <c r="C765" s="628">
        <v>44470</v>
      </c>
      <c r="D765" s="548" t="s">
        <v>99</v>
      </c>
      <c r="E765" s="548" t="s">
        <v>382</v>
      </c>
      <c r="F765" s="622">
        <f>2379.5-1359.5</f>
        <v>1020</v>
      </c>
      <c r="G765" s="623" t="s">
        <v>5525</v>
      </c>
      <c r="H765" s="548" t="s">
        <v>131</v>
      </c>
      <c r="I765" s="583" t="s">
        <v>5683</v>
      </c>
      <c r="J765" s="548" t="s">
        <v>5526</v>
      </c>
      <c r="K765" s="583" t="s">
        <v>560</v>
      </c>
      <c r="L765" s="583" t="s">
        <v>992</v>
      </c>
      <c r="M765" s="619" t="s">
        <v>5684</v>
      </c>
      <c r="N765" s="620">
        <v>44476</v>
      </c>
      <c r="O765" s="684" t="s">
        <v>67</v>
      </c>
      <c r="P765" s="503">
        <f t="shared" si="44"/>
        <v>11</v>
      </c>
      <c r="Q765" s="503">
        <f t="shared" si="45"/>
        <v>10</v>
      </c>
      <c r="R765" s="504" t="str">
        <f t="shared" si="46"/>
        <v>Gastos_Gerais</v>
      </c>
      <c r="S765" s="504" t="str">
        <f>IF(D765="","",IF(OR(D765=Plano!$A$1,D765=Plano!$B$1),"entrada","saída"))</f>
        <v>saída</v>
      </c>
      <c r="T765" s="505" t="s">
        <v>1011</v>
      </c>
      <c r="U765" s="505">
        <v>2159</v>
      </c>
      <c r="V765" s="541"/>
    </row>
    <row r="766" spans="1:28" ht="147.75" customHeight="1" x14ac:dyDescent="0.2">
      <c r="A766" s="619">
        <f>IF(B766="","",COUNT('Diário 5º PA'!$A$5:$A$2634)+COUNT('Diário 6º PA'!$A$5:$A$2246)+COUNT('Diário 7º PA'!$A$5:$A$2271)+ROW()-4)</f>
        <v>4712</v>
      </c>
      <c r="B766" s="620">
        <v>44508</v>
      </c>
      <c r="C766" s="624">
        <v>44470</v>
      </c>
      <c r="D766" s="548" t="s">
        <v>99</v>
      </c>
      <c r="E766" s="548" t="s">
        <v>358</v>
      </c>
      <c r="F766" s="622">
        <v>2246.04</v>
      </c>
      <c r="G766" s="623" t="s">
        <v>5303</v>
      </c>
      <c r="H766" s="548" t="s">
        <v>131</v>
      </c>
      <c r="I766" s="583" t="s">
        <v>6085</v>
      </c>
      <c r="J766" s="548" t="s">
        <v>2827</v>
      </c>
      <c r="K766" s="583" t="s">
        <v>991</v>
      </c>
      <c r="L766" s="583" t="s">
        <v>1029</v>
      </c>
      <c r="M766" s="619">
        <v>1409</v>
      </c>
      <c r="N766" s="620">
        <v>44504</v>
      </c>
      <c r="O766" s="684" t="s">
        <v>67</v>
      </c>
      <c r="P766" s="503">
        <f t="shared" si="44"/>
        <v>11</v>
      </c>
      <c r="Q766" s="503">
        <f t="shared" si="45"/>
        <v>10</v>
      </c>
      <c r="R766" s="504" t="str">
        <f t="shared" si="46"/>
        <v>Gastos_Gerais</v>
      </c>
      <c r="S766" s="504" t="str">
        <f>IF(D766="","",IF(OR(D766=Plano!$A$1,D766=Plano!$B$1),"entrada","saída"))</f>
        <v>saída</v>
      </c>
      <c r="T766" s="505" t="s">
        <v>994</v>
      </c>
      <c r="U766" s="505">
        <v>2124</v>
      </c>
      <c r="V766" s="541"/>
    </row>
    <row r="767" spans="1:28" ht="93" customHeight="1" x14ac:dyDescent="0.2">
      <c r="A767" s="619">
        <f>IF(B767="","",COUNT('Diário 5º PA'!$A$5:$A$2634)+COUNT('Diário 6º PA'!$A$5:$A$2246)+COUNT('Diário 7º PA'!$A$5:$A$2271)+ROW()-4)</f>
        <v>4713</v>
      </c>
      <c r="B767" s="620">
        <v>44508</v>
      </c>
      <c r="C767" s="628">
        <v>44470</v>
      </c>
      <c r="D767" s="548" t="s">
        <v>99</v>
      </c>
      <c r="E767" s="548" t="s">
        <v>336</v>
      </c>
      <c r="F767" s="622">
        <v>1196.8399999999999</v>
      </c>
      <c r="G767" s="623" t="s">
        <v>5695</v>
      </c>
      <c r="H767" s="548" t="s">
        <v>118</v>
      </c>
      <c r="I767" s="583" t="s">
        <v>4804</v>
      </c>
      <c r="J767" s="548" t="s">
        <v>900</v>
      </c>
      <c r="K767" s="583" t="s">
        <v>991</v>
      </c>
      <c r="L767" s="583" t="s">
        <v>1901</v>
      </c>
      <c r="M767" s="619">
        <v>1412</v>
      </c>
      <c r="N767" s="620">
        <v>44504</v>
      </c>
      <c r="O767" s="684" t="s">
        <v>67</v>
      </c>
      <c r="P767" s="503">
        <f t="shared" si="44"/>
        <v>11</v>
      </c>
      <c r="Q767" s="503">
        <f t="shared" si="45"/>
        <v>10</v>
      </c>
      <c r="R767" s="504" t="str">
        <f t="shared" si="46"/>
        <v>Gastos_Gerais</v>
      </c>
      <c r="S767" s="504" t="str">
        <f>IF(D767="","",IF(OR(D767=Plano!$A$1,D767=Plano!$B$1),"entrada","saída"))</f>
        <v>saída</v>
      </c>
      <c r="T767" s="505" t="s">
        <v>1059</v>
      </c>
      <c r="U767" s="505">
        <v>2204</v>
      </c>
      <c r="V767" s="541"/>
    </row>
    <row r="768" spans="1:28" ht="91.5" customHeight="1" x14ac:dyDescent="0.2">
      <c r="A768" s="619">
        <f>IF(B768="","",COUNT('Diário 5º PA'!$A$5:$A$2634)+COUNT('Diário 6º PA'!$A$5:$A$2246)+COUNT('Diário 7º PA'!$A$5:$A$2271)+ROW()-4)</f>
        <v>4714</v>
      </c>
      <c r="B768" s="620">
        <v>44508</v>
      </c>
      <c r="C768" s="628">
        <v>44470</v>
      </c>
      <c r="D768" s="548" t="s">
        <v>99</v>
      </c>
      <c r="E768" s="548" t="s">
        <v>336</v>
      </c>
      <c r="F768" s="622">
        <v>1922.4</v>
      </c>
      <c r="G768" s="623" t="s">
        <v>5695</v>
      </c>
      <c r="H768" s="548" t="s">
        <v>118</v>
      </c>
      <c r="I768" s="583" t="s">
        <v>4804</v>
      </c>
      <c r="J768" s="548" t="s">
        <v>900</v>
      </c>
      <c r="K768" s="583" t="s">
        <v>991</v>
      </c>
      <c r="L768" s="583" t="s">
        <v>1901</v>
      </c>
      <c r="M768" s="619">
        <v>1411</v>
      </c>
      <c r="N768" s="620">
        <v>44504</v>
      </c>
      <c r="O768" s="684" t="s">
        <v>67</v>
      </c>
      <c r="P768" s="503">
        <f t="shared" ref="P768:P831" si="47">IF(B768=0,0,IF(YEAR(B768)=$Q$1,MONTH(B768)-$P$1+1,(YEAR(B768)-$Q$1)*12-$P$1+1+MONTH(B768)))</f>
        <v>11</v>
      </c>
      <c r="Q768" s="503">
        <f t="shared" ref="Q768:Q831" si="48">IF(C768=0,0,IF(YEAR(C768)=$Q$1,MONTH(C768)-$P$1+1,(YEAR(C768)-$Q$1)*12-$P$1+1+MONTH(C768)))</f>
        <v>10</v>
      </c>
      <c r="R768" s="504" t="str">
        <f t="shared" ref="R768:R831" si="49">SUBSTITUTE(D768," ","_")</f>
        <v>Gastos_Gerais</v>
      </c>
      <c r="S768" s="504" t="str">
        <f>IF(D768="","",IF(OR(D768=Plano!$A$1,D768=Plano!$B$1),"entrada","saída"))</f>
        <v>saída</v>
      </c>
      <c r="T768" s="511" t="s">
        <v>1059</v>
      </c>
      <c r="U768" s="505">
        <v>2204</v>
      </c>
      <c r="V768" s="541"/>
    </row>
    <row r="769" spans="1:22" ht="51.75" customHeight="1" x14ac:dyDescent="0.2">
      <c r="A769" s="619">
        <f>IF(B769="","",COUNT('Diário 5º PA'!$A$5:$A$2634)+COUNT('Diário 6º PA'!$A$5:$A$2246)+COUNT('Diário 7º PA'!$A$5:$A$2271)+ROW()-4)</f>
        <v>4715</v>
      </c>
      <c r="B769" s="620">
        <v>44508</v>
      </c>
      <c r="C769" s="628">
        <v>44470</v>
      </c>
      <c r="D769" s="548" t="s">
        <v>99</v>
      </c>
      <c r="E769" s="548" t="s">
        <v>312</v>
      </c>
      <c r="F769" s="622">
        <v>430</v>
      </c>
      <c r="G769" s="623" t="s">
        <v>5694</v>
      </c>
      <c r="H769" s="548" t="s">
        <v>125</v>
      </c>
      <c r="I769" s="583" t="s">
        <v>6092</v>
      </c>
      <c r="J769" s="548" t="s">
        <v>1427</v>
      </c>
      <c r="K769" s="583" t="s">
        <v>991</v>
      </c>
      <c r="L769" s="583" t="s">
        <v>1428</v>
      </c>
      <c r="M769" s="619">
        <v>309</v>
      </c>
      <c r="N769" s="620">
        <v>44504</v>
      </c>
      <c r="O769" s="684" t="s">
        <v>67</v>
      </c>
      <c r="P769" s="503">
        <f t="shared" si="47"/>
        <v>11</v>
      </c>
      <c r="Q769" s="503">
        <f t="shared" si="48"/>
        <v>10</v>
      </c>
      <c r="R769" s="504" t="str">
        <f t="shared" si="49"/>
        <v>Gastos_Gerais</v>
      </c>
      <c r="S769" s="504" t="str">
        <f>IF(D769="","",IF(OR(D769=Plano!$A$1,D769=Plano!$B$1),"entrada","saída"))</f>
        <v>saída</v>
      </c>
      <c r="T769" s="505" t="s">
        <v>994</v>
      </c>
      <c r="U769" s="505">
        <v>2257</v>
      </c>
      <c r="V769" s="541"/>
    </row>
    <row r="770" spans="1:22" ht="63.75" customHeight="1" x14ac:dyDescent="0.2">
      <c r="A770" s="619">
        <f>IF(B770="","",COUNT('Diário 5º PA'!$A$5:$A$2634)+COUNT('Diário 6º PA'!$A$5:$A$2246)+COUNT('Diário 7º PA'!$A$5:$A$2271)+ROW()-4)</f>
        <v>4716</v>
      </c>
      <c r="B770" s="620">
        <v>44508</v>
      </c>
      <c r="C770" s="624">
        <v>44470</v>
      </c>
      <c r="D770" s="548" t="s">
        <v>99</v>
      </c>
      <c r="E770" s="548" t="s">
        <v>364</v>
      </c>
      <c r="F770" s="622">
        <v>1000</v>
      </c>
      <c r="G770" s="623" t="s">
        <v>5382</v>
      </c>
      <c r="H770" s="548" t="s">
        <v>116</v>
      </c>
      <c r="I770" s="583" t="s">
        <v>5221</v>
      </c>
      <c r="J770" s="548" t="s">
        <v>812</v>
      </c>
      <c r="K770" s="583" t="s">
        <v>991</v>
      </c>
      <c r="L770" s="583" t="s">
        <v>992</v>
      </c>
      <c r="M770" s="619" t="s">
        <v>1061</v>
      </c>
      <c r="N770" s="620">
        <v>44504</v>
      </c>
      <c r="O770" s="684" t="s">
        <v>67</v>
      </c>
      <c r="P770" s="503">
        <f t="shared" si="47"/>
        <v>11</v>
      </c>
      <c r="Q770" s="503">
        <f t="shared" si="48"/>
        <v>10</v>
      </c>
      <c r="R770" s="504" t="str">
        <f t="shared" si="49"/>
        <v>Gastos_Gerais</v>
      </c>
      <c r="S770" s="504" t="str">
        <f>IF(D770="","",IF(OR(D770=Plano!$A$1,D770=Plano!$B$1),"entrada","saída"))</f>
        <v>saída</v>
      </c>
      <c r="T770" s="505" t="s">
        <v>994</v>
      </c>
      <c r="U770" s="505">
        <v>2175</v>
      </c>
      <c r="V770" s="541"/>
    </row>
    <row r="771" spans="1:22" ht="180" customHeight="1" x14ac:dyDescent="0.2">
      <c r="A771" s="619">
        <f>IF(B771="","",COUNT('Diário 5º PA'!$A$5:$A$2634)+COUNT('Diário 6º PA'!$A$5:$A$2246)+COUNT('Diário 7º PA'!$A$5:$A$2271)+ROW()-4)</f>
        <v>4717</v>
      </c>
      <c r="B771" s="620">
        <v>44508</v>
      </c>
      <c r="C771" s="624">
        <v>44409</v>
      </c>
      <c r="D771" s="548" t="s">
        <v>99</v>
      </c>
      <c r="E771" s="548" t="s">
        <v>330</v>
      </c>
      <c r="F771" s="622">
        <v>1000</v>
      </c>
      <c r="G771" s="623" t="s">
        <v>753</v>
      </c>
      <c r="H771" s="548" t="s">
        <v>128</v>
      </c>
      <c r="I771" s="583" t="s">
        <v>1334</v>
      </c>
      <c r="J771" s="548" t="s">
        <v>755</v>
      </c>
      <c r="K771" s="583" t="s">
        <v>991</v>
      </c>
      <c r="L771" s="583" t="s">
        <v>992</v>
      </c>
      <c r="M771" s="619" t="s">
        <v>1081</v>
      </c>
      <c r="N771" s="620">
        <v>44503</v>
      </c>
      <c r="O771" s="684" t="s">
        <v>67</v>
      </c>
      <c r="P771" s="503">
        <f t="shared" si="47"/>
        <v>11</v>
      </c>
      <c r="Q771" s="503">
        <f t="shared" si="48"/>
        <v>8</v>
      </c>
      <c r="R771" s="504" t="str">
        <f t="shared" si="49"/>
        <v>Gastos_Gerais</v>
      </c>
      <c r="S771" s="504" t="str">
        <f>IF(D771="","",IF(OR(D771=Plano!$A$1,D771=Plano!$B$1),"entrada","saída"))</f>
        <v>saída</v>
      </c>
      <c r="T771" s="505" t="s">
        <v>1059</v>
      </c>
      <c r="U771" s="505">
        <v>1876</v>
      </c>
      <c r="V771" s="541"/>
    </row>
    <row r="772" spans="1:22" ht="78" customHeight="1" x14ac:dyDescent="0.2">
      <c r="A772" s="619">
        <f>IF(B772="","",COUNT('Diário 5º PA'!$A$5:$A$2634)+COUNT('Diário 6º PA'!$A$5:$A$2246)+COUNT('Diário 7º PA'!$A$5:$A$2271)+ROW()-4)</f>
        <v>4718</v>
      </c>
      <c r="B772" s="620">
        <v>44508</v>
      </c>
      <c r="C772" s="624">
        <v>44470</v>
      </c>
      <c r="D772" s="548" t="s">
        <v>99</v>
      </c>
      <c r="E772" s="548" t="s">
        <v>358</v>
      </c>
      <c r="F772" s="622">
        <v>1998.6</v>
      </c>
      <c r="G772" s="623" t="s">
        <v>5379</v>
      </c>
      <c r="H772" s="548" t="s">
        <v>131</v>
      </c>
      <c r="I772" s="583" t="s">
        <v>1908</v>
      </c>
      <c r="J772" s="548" t="s">
        <v>828</v>
      </c>
      <c r="K772" s="583" t="s">
        <v>991</v>
      </c>
      <c r="L772" s="583" t="s">
        <v>1029</v>
      </c>
      <c r="M772" s="619">
        <v>1413</v>
      </c>
      <c r="N772" s="620">
        <v>44504</v>
      </c>
      <c r="O772" s="684" t="s">
        <v>67</v>
      </c>
      <c r="P772" s="503">
        <f t="shared" si="47"/>
        <v>11</v>
      </c>
      <c r="Q772" s="503">
        <f t="shared" si="48"/>
        <v>10</v>
      </c>
      <c r="R772" s="504" t="str">
        <f t="shared" si="49"/>
        <v>Gastos_Gerais</v>
      </c>
      <c r="S772" s="504" t="str">
        <f>IF(D772="","",IF(OR(D772=Plano!$A$1,D772=Plano!$B$1),"entrada","saída"))</f>
        <v>saída</v>
      </c>
      <c r="T772" s="505" t="s">
        <v>1059</v>
      </c>
      <c r="U772" s="505">
        <v>2166</v>
      </c>
      <c r="V772" s="541"/>
    </row>
    <row r="773" spans="1:22" ht="141.75" customHeight="1" x14ac:dyDescent="0.2">
      <c r="A773" s="619">
        <f>IF(B773="","",COUNT('Diário 5º PA'!$A$5:$A$2634)+COUNT('Diário 6º PA'!$A$5:$A$2246)+COUNT('Diário 7º PA'!$A$5:$A$2271)+ROW()-4)</f>
        <v>4719</v>
      </c>
      <c r="B773" s="620">
        <v>44508</v>
      </c>
      <c r="C773" s="624">
        <v>44470</v>
      </c>
      <c r="D773" s="548" t="s">
        <v>99</v>
      </c>
      <c r="E773" s="548" t="s">
        <v>358</v>
      </c>
      <c r="F773" s="622">
        <v>2246.04</v>
      </c>
      <c r="G773" s="623" t="s">
        <v>5306</v>
      </c>
      <c r="H773" s="548" t="s">
        <v>131</v>
      </c>
      <c r="I773" s="583" t="s">
        <v>6096</v>
      </c>
      <c r="J773" s="548" t="s">
        <v>5307</v>
      </c>
      <c r="K773" s="583" t="s">
        <v>991</v>
      </c>
      <c r="L773" s="583" t="s">
        <v>1029</v>
      </c>
      <c r="M773" s="619">
        <v>1414</v>
      </c>
      <c r="N773" s="620">
        <v>44504</v>
      </c>
      <c r="O773" s="684" t="s">
        <v>67</v>
      </c>
      <c r="P773" s="503">
        <f t="shared" si="47"/>
        <v>11</v>
      </c>
      <c r="Q773" s="503">
        <f t="shared" si="48"/>
        <v>10</v>
      </c>
      <c r="R773" s="504" t="str">
        <f t="shared" si="49"/>
        <v>Gastos_Gerais</v>
      </c>
      <c r="S773" s="504" t="str">
        <f>IF(D773="","",IF(OR(D773=Plano!$A$1,D773=Plano!$B$1),"entrada","saída"))</f>
        <v>saída</v>
      </c>
      <c r="T773" s="505" t="s">
        <v>994</v>
      </c>
      <c r="U773" s="505">
        <v>2125</v>
      </c>
      <c r="V773" s="541"/>
    </row>
    <row r="774" spans="1:22" ht="151.5" customHeight="1" x14ac:dyDescent="0.2">
      <c r="A774" s="619">
        <f>IF(B774="","",COUNT('Diário 5º PA'!$A$5:$A$2634)+COUNT('Diário 6º PA'!$A$5:$A$2246)+COUNT('Diário 7º PA'!$A$5:$A$2271)+ROW()-4)</f>
        <v>4720</v>
      </c>
      <c r="B774" s="620">
        <v>44508</v>
      </c>
      <c r="C774" s="624">
        <v>44501</v>
      </c>
      <c r="D774" s="548" t="s">
        <v>99</v>
      </c>
      <c r="E774" s="548" t="s">
        <v>330</v>
      </c>
      <c r="F774" s="622">
        <v>1070.7</v>
      </c>
      <c r="G774" s="623" t="s">
        <v>692</v>
      </c>
      <c r="H774" s="548" t="s">
        <v>115</v>
      </c>
      <c r="I774" s="583" t="s">
        <v>693</v>
      </c>
      <c r="J774" s="548" t="s">
        <v>694</v>
      </c>
      <c r="K774" s="583" t="s">
        <v>560</v>
      </c>
      <c r="L774" s="583" t="s">
        <v>992</v>
      </c>
      <c r="M774" s="619">
        <v>37233</v>
      </c>
      <c r="N774" s="620">
        <v>44501</v>
      </c>
      <c r="O774" s="684" t="s">
        <v>67</v>
      </c>
      <c r="P774" s="503">
        <f t="shared" si="47"/>
        <v>11</v>
      </c>
      <c r="Q774" s="503">
        <f t="shared" si="48"/>
        <v>11</v>
      </c>
      <c r="R774" s="504" t="str">
        <f t="shared" si="49"/>
        <v>Gastos_Gerais</v>
      </c>
      <c r="S774" s="504" t="str">
        <f>IF(D774="","",IF(OR(D774=Plano!$A$1,D774=Plano!$B$1),"entrada","saída"))</f>
        <v>saída</v>
      </c>
      <c r="T774" s="505" t="s">
        <v>1059</v>
      </c>
      <c r="U774" s="505">
        <v>1141</v>
      </c>
      <c r="V774" s="541"/>
    </row>
    <row r="775" spans="1:22" ht="49.5" customHeight="1" x14ac:dyDescent="0.2">
      <c r="A775" s="619">
        <f>IF(B775="","",COUNT('Diário 5º PA'!$A$5:$A$2634)+COUNT('Diário 6º PA'!$A$5:$A$2246)+COUNT('Diário 7º PA'!$A$5:$A$2271)+ROW()-4)</f>
        <v>4721</v>
      </c>
      <c r="B775" s="620">
        <v>44508</v>
      </c>
      <c r="C775" s="628">
        <v>44501</v>
      </c>
      <c r="D775" s="548" t="s">
        <v>88</v>
      </c>
      <c r="E775" s="548" t="s">
        <v>192</v>
      </c>
      <c r="F775" s="622">
        <v>151.41999999999999</v>
      </c>
      <c r="G775" s="623" t="s">
        <v>5362</v>
      </c>
      <c r="H775" s="548" t="s">
        <v>114</v>
      </c>
      <c r="I775" s="583" t="s">
        <v>1032</v>
      </c>
      <c r="J775" s="548" t="s">
        <v>1033</v>
      </c>
      <c r="K775" s="583" t="s">
        <v>560</v>
      </c>
      <c r="L775" s="583" t="s">
        <v>992</v>
      </c>
      <c r="M775" s="619" t="s">
        <v>6857</v>
      </c>
      <c r="N775" s="620">
        <v>44510</v>
      </c>
      <c r="O775" s="684" t="s">
        <v>67</v>
      </c>
      <c r="P775" s="503">
        <f t="shared" si="47"/>
        <v>11</v>
      </c>
      <c r="Q775" s="503">
        <f t="shared" si="48"/>
        <v>11</v>
      </c>
      <c r="R775" s="504" t="str">
        <f t="shared" si="49"/>
        <v>Gastos_com_Pessoal</v>
      </c>
      <c r="S775" s="504" t="str">
        <f>IF(D775="","",IF(OR(D775=Plano!$A$1,D775=Plano!$B$1),"entrada","saída"))</f>
        <v>saída</v>
      </c>
      <c r="T775" s="546" t="s">
        <v>114</v>
      </c>
      <c r="U775" s="546" t="s">
        <v>114</v>
      </c>
      <c r="V775" s="541"/>
    </row>
    <row r="776" spans="1:22" ht="99.75" customHeight="1" x14ac:dyDescent="0.2">
      <c r="A776" s="619">
        <f>IF(B776="","",COUNT('Diário 5º PA'!$A$5:$A$2634)+COUNT('Diário 6º PA'!$A$5:$A$2246)+COUNT('Diário 7º PA'!$A$5:$A$2271)+ROW()-4)</f>
        <v>4722</v>
      </c>
      <c r="B776" s="620">
        <v>44508</v>
      </c>
      <c r="C776" s="624">
        <v>44409</v>
      </c>
      <c r="D776" s="548" t="s">
        <v>99</v>
      </c>
      <c r="E776" s="548" t="s">
        <v>360</v>
      </c>
      <c r="F776" s="622">
        <v>1175.8800000000001</v>
      </c>
      <c r="G776" s="623" t="s">
        <v>6100</v>
      </c>
      <c r="H776" s="548" t="s">
        <v>116</v>
      </c>
      <c r="I776" s="583" t="s">
        <v>5232</v>
      </c>
      <c r="J776" s="548" t="s">
        <v>759</v>
      </c>
      <c r="K776" s="583" t="s">
        <v>991</v>
      </c>
      <c r="L776" s="583" t="s">
        <v>992</v>
      </c>
      <c r="M776" s="619" t="s">
        <v>4183</v>
      </c>
      <c r="N776" s="620">
        <v>44503</v>
      </c>
      <c r="O776" s="684" t="s">
        <v>67</v>
      </c>
      <c r="P776" s="503">
        <f t="shared" si="47"/>
        <v>11</v>
      </c>
      <c r="Q776" s="503">
        <f t="shared" si="48"/>
        <v>8</v>
      </c>
      <c r="R776" s="504" t="str">
        <f t="shared" si="49"/>
        <v>Gastos_Gerais</v>
      </c>
      <c r="S776" s="504" t="str">
        <f>IF(D776="","",IF(OR(D776=Plano!$A$1,D776=Plano!$B$1),"entrada","saída"))</f>
        <v>saída</v>
      </c>
      <c r="T776" s="555" t="s">
        <v>994</v>
      </c>
      <c r="U776" s="555">
        <v>1913</v>
      </c>
      <c r="V776" s="541"/>
    </row>
    <row r="777" spans="1:22" ht="79.5" customHeight="1" x14ac:dyDescent="0.2">
      <c r="A777" s="619">
        <f>IF(B777="","",COUNT('Diário 5º PA'!$A$5:$A$2634)+COUNT('Diário 6º PA'!$A$5:$A$2246)+COUNT('Diário 7º PA'!$A$5:$A$2271)+ROW()-4)</f>
        <v>4723</v>
      </c>
      <c r="B777" s="620">
        <v>44508</v>
      </c>
      <c r="C777" s="624">
        <v>44470</v>
      </c>
      <c r="D777" s="548" t="s">
        <v>99</v>
      </c>
      <c r="E777" s="548" t="s">
        <v>330</v>
      </c>
      <c r="F777" s="622">
        <v>2000</v>
      </c>
      <c r="G777" s="623" t="s">
        <v>5341</v>
      </c>
      <c r="H777" s="548" t="s">
        <v>125</v>
      </c>
      <c r="I777" s="583" t="s">
        <v>5786</v>
      </c>
      <c r="J777" s="548" t="s">
        <v>5342</v>
      </c>
      <c r="K777" s="583" t="s">
        <v>991</v>
      </c>
      <c r="L777" s="583" t="s">
        <v>992</v>
      </c>
      <c r="M777" s="619">
        <v>48</v>
      </c>
      <c r="N777" s="620">
        <v>44505</v>
      </c>
      <c r="O777" s="684" t="s">
        <v>67</v>
      </c>
      <c r="P777" s="503">
        <f t="shared" si="47"/>
        <v>11</v>
      </c>
      <c r="Q777" s="503">
        <f t="shared" si="48"/>
        <v>10</v>
      </c>
      <c r="R777" s="504" t="str">
        <f t="shared" si="49"/>
        <v>Gastos_Gerais</v>
      </c>
      <c r="S777" s="504" t="str">
        <f>IF(D777="","",IF(OR(D777=Plano!$A$1,D777=Plano!$B$1),"entrada","saída"))</f>
        <v>saída</v>
      </c>
      <c r="T777" s="505" t="s">
        <v>994</v>
      </c>
      <c r="U777" s="505">
        <v>2106</v>
      </c>
      <c r="V777" s="541"/>
    </row>
    <row r="778" spans="1:22" ht="166.5" customHeight="1" x14ac:dyDescent="0.2">
      <c r="A778" s="619">
        <f>IF(B778="","",COUNT('Diário 5º PA'!$A$5:$A$2634)+COUNT('Diário 6º PA'!$A$5:$A$2246)+COUNT('Diário 7º PA'!$A$5:$A$2271)+ROW()-4)</f>
        <v>4724</v>
      </c>
      <c r="B778" s="620">
        <v>44508</v>
      </c>
      <c r="C778" s="624">
        <v>44501</v>
      </c>
      <c r="D778" s="548" t="s">
        <v>99</v>
      </c>
      <c r="E778" s="548" t="s">
        <v>372</v>
      </c>
      <c r="F778" s="622">
        <v>2500</v>
      </c>
      <c r="G778" s="623" t="s">
        <v>471</v>
      </c>
      <c r="H778" s="548" t="s">
        <v>129</v>
      </c>
      <c r="I778" s="583" t="s">
        <v>1285</v>
      </c>
      <c r="J778" s="548" t="s">
        <v>473</v>
      </c>
      <c r="K778" s="583" t="s">
        <v>991</v>
      </c>
      <c r="L778" s="583" t="s">
        <v>992</v>
      </c>
      <c r="M778" s="619">
        <v>133</v>
      </c>
      <c r="N778" s="620">
        <v>44505</v>
      </c>
      <c r="O778" s="684" t="s">
        <v>67</v>
      </c>
      <c r="P778" s="503">
        <f t="shared" si="47"/>
        <v>11</v>
      </c>
      <c r="Q778" s="503">
        <f t="shared" si="48"/>
        <v>11</v>
      </c>
      <c r="R778" s="504" t="str">
        <f t="shared" si="49"/>
        <v>Gastos_Gerais</v>
      </c>
      <c r="S778" s="504" t="str">
        <f>IF(D778="","",IF(OR(D778=Plano!$A$1,D778=Plano!$B$1),"entrada","saída"))</f>
        <v>saída</v>
      </c>
      <c r="T778" s="505" t="s">
        <v>1059</v>
      </c>
      <c r="U778" s="505">
        <v>1275</v>
      </c>
      <c r="V778" s="541"/>
    </row>
    <row r="779" spans="1:22" ht="36" customHeight="1" x14ac:dyDescent="0.2">
      <c r="A779" s="619">
        <f>IF(B779="","",COUNT('Diário 5º PA'!$A$5:$A$2634)+COUNT('Diário 6º PA'!$A$5:$A$2246)+COUNT('Diário 7º PA'!$A$5:$A$2271)+ROW()-4)</f>
        <v>4725</v>
      </c>
      <c r="B779" s="620">
        <v>44508</v>
      </c>
      <c r="C779" s="628">
        <v>44470</v>
      </c>
      <c r="D779" s="548" t="s">
        <v>99</v>
      </c>
      <c r="E779" s="548" t="s">
        <v>374</v>
      </c>
      <c r="F779" s="622">
        <v>1200</v>
      </c>
      <c r="G779" s="623" t="s">
        <v>5541</v>
      </c>
      <c r="H779" s="548" t="s">
        <v>116</v>
      </c>
      <c r="I779" s="583" t="s">
        <v>6102</v>
      </c>
      <c r="J779" s="548" t="s">
        <v>5542</v>
      </c>
      <c r="K779" s="583" t="s">
        <v>991</v>
      </c>
      <c r="L779" s="583" t="s">
        <v>992</v>
      </c>
      <c r="M779" s="619" t="s">
        <v>1058</v>
      </c>
      <c r="N779" s="620">
        <v>44504</v>
      </c>
      <c r="O779" s="684" t="s">
        <v>67</v>
      </c>
      <c r="P779" s="503">
        <f t="shared" si="47"/>
        <v>11</v>
      </c>
      <c r="Q779" s="503">
        <f t="shared" si="48"/>
        <v>10</v>
      </c>
      <c r="R779" s="504" t="str">
        <f t="shared" si="49"/>
        <v>Gastos_Gerais</v>
      </c>
      <c r="S779" s="504" t="str">
        <f>IF(D779="","",IF(OR(D779=Plano!$A$1,D779=Plano!$B$1),"entrada","saída"))</f>
        <v>saída</v>
      </c>
      <c r="T779" s="505" t="s">
        <v>994</v>
      </c>
      <c r="U779" s="505">
        <v>2178</v>
      </c>
      <c r="V779" s="541"/>
    </row>
    <row r="780" spans="1:22" ht="84.75" customHeight="1" x14ac:dyDescent="0.2">
      <c r="A780" s="619">
        <f>IF(B780="","",COUNT('Diário 5º PA'!$A$5:$A$2634)+COUNT('Diário 6º PA'!$A$5:$A$2246)+COUNT('Diário 7º PA'!$A$5:$A$2271)+ROW()-4)</f>
        <v>4726</v>
      </c>
      <c r="B780" s="620">
        <v>44508</v>
      </c>
      <c r="C780" s="624">
        <v>44440</v>
      </c>
      <c r="D780" s="548" t="s">
        <v>99</v>
      </c>
      <c r="E780" s="548" t="s">
        <v>352</v>
      </c>
      <c r="F780" s="622">
        <v>4203.7700000000004</v>
      </c>
      <c r="G780" s="623" t="s">
        <v>5317</v>
      </c>
      <c r="H780" s="548" t="s">
        <v>125</v>
      </c>
      <c r="I780" s="583" t="s">
        <v>6103</v>
      </c>
      <c r="J780" s="548" t="s">
        <v>5318</v>
      </c>
      <c r="K780" s="583" t="s">
        <v>991</v>
      </c>
      <c r="L780" s="583" t="s">
        <v>992</v>
      </c>
      <c r="M780" s="619" t="s">
        <v>1608</v>
      </c>
      <c r="N780" s="620">
        <v>44504</v>
      </c>
      <c r="O780" s="684" t="s">
        <v>67</v>
      </c>
      <c r="P780" s="503">
        <f t="shared" si="47"/>
        <v>11</v>
      </c>
      <c r="Q780" s="503">
        <f t="shared" si="48"/>
        <v>9</v>
      </c>
      <c r="R780" s="504" t="str">
        <f t="shared" si="49"/>
        <v>Gastos_Gerais</v>
      </c>
      <c r="S780" s="504" t="str">
        <f>IF(D780="","",IF(OR(D780=Plano!$A$1,D780=Plano!$B$1),"entrada","saída"))</f>
        <v>saída</v>
      </c>
      <c r="T780" s="505" t="s">
        <v>1082</v>
      </c>
      <c r="U780" s="505">
        <v>2104</v>
      </c>
      <c r="V780" s="541"/>
    </row>
    <row r="781" spans="1:22" ht="76.5" customHeight="1" x14ac:dyDescent="0.2">
      <c r="A781" s="619">
        <f>IF(B781="","",COUNT('Diário 5º PA'!$A$5:$A$2634)+COUNT('Diário 6º PA'!$A$5:$A$2246)+COUNT('Diário 7º PA'!$A$5:$A$2271)+ROW()-4)</f>
        <v>4727</v>
      </c>
      <c r="B781" s="620">
        <v>44508</v>
      </c>
      <c r="C781" s="624">
        <v>44440</v>
      </c>
      <c r="D781" s="548" t="s">
        <v>99</v>
      </c>
      <c r="E781" s="548" t="s">
        <v>352</v>
      </c>
      <c r="F781" s="622">
        <v>4203.7700000000004</v>
      </c>
      <c r="G781" s="623" t="s">
        <v>5317</v>
      </c>
      <c r="H781" s="548" t="s">
        <v>125</v>
      </c>
      <c r="I781" s="583" t="s">
        <v>6103</v>
      </c>
      <c r="J781" s="548" t="s">
        <v>5318</v>
      </c>
      <c r="K781" s="583" t="s">
        <v>991</v>
      </c>
      <c r="L781" s="583" t="s">
        <v>992</v>
      </c>
      <c r="M781" s="619" t="s">
        <v>1052</v>
      </c>
      <c r="N781" s="620">
        <v>44504</v>
      </c>
      <c r="O781" s="684" t="s">
        <v>67</v>
      </c>
      <c r="P781" s="503">
        <f t="shared" si="47"/>
        <v>11</v>
      </c>
      <c r="Q781" s="503">
        <f t="shared" si="48"/>
        <v>9</v>
      </c>
      <c r="R781" s="504" t="str">
        <f t="shared" si="49"/>
        <v>Gastos_Gerais</v>
      </c>
      <c r="S781" s="504" t="str">
        <f>IF(D781="","",IF(OR(D781=Plano!$A$1,D781=Plano!$B$1),"entrada","saída"))</f>
        <v>saída</v>
      </c>
      <c r="T781" s="511" t="s">
        <v>994</v>
      </c>
      <c r="U781" s="505">
        <v>2104</v>
      </c>
      <c r="V781" s="541"/>
    </row>
    <row r="782" spans="1:22" ht="94.5" customHeight="1" x14ac:dyDescent="0.2">
      <c r="A782" s="619">
        <f>IF(B782="","",COUNT('Diário 5º PA'!$A$5:$A$2634)+COUNT('Diário 6º PA'!$A$5:$A$2246)+COUNT('Diário 7º PA'!$A$5:$A$2271)+ROW()-4)</f>
        <v>4728</v>
      </c>
      <c r="B782" s="620">
        <v>44508</v>
      </c>
      <c r="C782" s="624">
        <v>44470</v>
      </c>
      <c r="D782" s="548" t="s">
        <v>99</v>
      </c>
      <c r="E782" s="548" t="s">
        <v>330</v>
      </c>
      <c r="F782" s="622">
        <v>2500</v>
      </c>
      <c r="G782" s="623" t="s">
        <v>5860</v>
      </c>
      <c r="H782" s="548" t="s">
        <v>125</v>
      </c>
      <c r="I782" s="583" t="s">
        <v>6106</v>
      </c>
      <c r="J782" s="548" t="s">
        <v>5861</v>
      </c>
      <c r="K782" s="583" t="s">
        <v>991</v>
      </c>
      <c r="L782" s="583" t="s">
        <v>992</v>
      </c>
      <c r="M782" s="619" t="s">
        <v>2152</v>
      </c>
      <c r="N782" s="620">
        <v>44504</v>
      </c>
      <c r="O782" s="684" t="s">
        <v>67</v>
      </c>
      <c r="P782" s="503">
        <f t="shared" si="47"/>
        <v>11</v>
      </c>
      <c r="Q782" s="503">
        <f t="shared" si="48"/>
        <v>10</v>
      </c>
      <c r="R782" s="504" t="str">
        <f t="shared" si="49"/>
        <v>Gastos_Gerais</v>
      </c>
      <c r="S782" s="504" t="str">
        <f>IF(D782="","",IF(OR(D782=Plano!$A$1,D782=Plano!$B$1),"entrada","saída"))</f>
        <v>saída</v>
      </c>
      <c r="T782" s="505" t="s">
        <v>994</v>
      </c>
      <c r="U782" s="505">
        <v>2284</v>
      </c>
      <c r="V782" s="541"/>
    </row>
    <row r="783" spans="1:22" ht="135.75" customHeight="1" x14ac:dyDescent="0.2">
      <c r="A783" s="619">
        <f>IF(B783="","",COUNT('Diário 5º PA'!$A$5:$A$2634)+COUNT('Diário 6º PA'!$A$5:$A$2246)+COUNT('Diário 7º PA'!$A$5:$A$2271)+ROW()-4)</f>
        <v>4729</v>
      </c>
      <c r="B783" s="620">
        <v>44508</v>
      </c>
      <c r="C783" s="624">
        <v>44470</v>
      </c>
      <c r="D783" s="548" t="s">
        <v>99</v>
      </c>
      <c r="E783" s="548" t="s">
        <v>236</v>
      </c>
      <c r="F783" s="622">
        <v>4115.58</v>
      </c>
      <c r="G783" s="623" t="s">
        <v>5340</v>
      </c>
      <c r="H783" s="548" t="s">
        <v>131</v>
      </c>
      <c r="I783" s="583" t="s">
        <v>6107</v>
      </c>
      <c r="J783" s="548" t="s">
        <v>459</v>
      </c>
      <c r="K783" s="583" t="s">
        <v>991</v>
      </c>
      <c r="L783" s="583" t="s">
        <v>992</v>
      </c>
      <c r="M783" s="619" t="s">
        <v>2002</v>
      </c>
      <c r="N783" s="620">
        <v>44504</v>
      </c>
      <c r="O783" s="684" t="s">
        <v>67</v>
      </c>
      <c r="P783" s="503">
        <f t="shared" si="47"/>
        <v>11</v>
      </c>
      <c r="Q783" s="503">
        <f t="shared" si="48"/>
        <v>10</v>
      </c>
      <c r="R783" s="504" t="str">
        <f t="shared" si="49"/>
        <v>Gastos_Gerais</v>
      </c>
      <c r="S783" s="504" t="str">
        <f>IF(D783="","",IF(OR(D783=Plano!$A$1,D783=Plano!$B$1),"entrada","saída"))</f>
        <v>saída</v>
      </c>
      <c r="T783" s="505" t="s">
        <v>994</v>
      </c>
      <c r="U783" s="505">
        <v>2131</v>
      </c>
      <c r="V783" s="541"/>
    </row>
    <row r="784" spans="1:22" ht="110.25" customHeight="1" x14ac:dyDescent="0.2">
      <c r="A784" s="619">
        <f>IF(B784="","",COUNT('Diário 5º PA'!$A$5:$A$2634)+COUNT('Diário 6º PA'!$A$5:$A$2246)+COUNT('Diário 7º PA'!$A$5:$A$2271)+ROW()-4)</f>
        <v>4730</v>
      </c>
      <c r="B784" s="620">
        <v>44508</v>
      </c>
      <c r="C784" s="624">
        <v>44470</v>
      </c>
      <c r="D784" s="548" t="s">
        <v>99</v>
      </c>
      <c r="E784" s="548" t="s">
        <v>336</v>
      </c>
      <c r="F784" s="622">
        <v>2231</v>
      </c>
      <c r="G784" s="623" t="s">
        <v>5725</v>
      </c>
      <c r="H784" s="548" t="s">
        <v>116</v>
      </c>
      <c r="I784" s="583" t="s">
        <v>1263</v>
      </c>
      <c r="J784" s="548" t="s">
        <v>1264</v>
      </c>
      <c r="K784" s="583" t="s">
        <v>991</v>
      </c>
      <c r="L784" s="583" t="s">
        <v>992</v>
      </c>
      <c r="M784" s="619" t="s">
        <v>6109</v>
      </c>
      <c r="N784" s="620">
        <v>44508</v>
      </c>
      <c r="O784" s="684" t="s">
        <v>67</v>
      </c>
      <c r="P784" s="503">
        <f t="shared" si="47"/>
        <v>11</v>
      </c>
      <c r="Q784" s="503">
        <f t="shared" si="48"/>
        <v>10</v>
      </c>
      <c r="R784" s="504" t="str">
        <f t="shared" si="49"/>
        <v>Gastos_Gerais</v>
      </c>
      <c r="S784" s="504" t="str">
        <f>IF(D784="","",IF(OR(D784=Plano!$A$1,D784=Plano!$B$1),"entrada","saída"))</f>
        <v>saída</v>
      </c>
      <c r="T784" s="505" t="s">
        <v>994</v>
      </c>
      <c r="U784" s="505">
        <v>2177</v>
      </c>
      <c r="V784" s="541"/>
    </row>
    <row r="785" spans="1:22" ht="45.75" customHeight="1" x14ac:dyDescent="0.2">
      <c r="A785" s="619">
        <f>IF(B785="","",COUNT('Diário 5º PA'!$A$5:$A$2634)+COUNT('Diário 6º PA'!$A$5:$A$2246)+COUNT('Diário 7º PA'!$A$5:$A$2271)+ROW()-4)</f>
        <v>4731</v>
      </c>
      <c r="B785" s="620">
        <v>44508</v>
      </c>
      <c r="C785" s="621">
        <v>44470</v>
      </c>
      <c r="D785" s="548" t="s">
        <v>99</v>
      </c>
      <c r="E785" s="548" t="s">
        <v>270</v>
      </c>
      <c r="F785" s="622">
        <v>214.04</v>
      </c>
      <c r="G785" s="623" t="s">
        <v>6111</v>
      </c>
      <c r="H785" s="548" t="s">
        <v>115</v>
      </c>
      <c r="I785" s="583" t="s">
        <v>6112</v>
      </c>
      <c r="J785" s="548" t="s">
        <v>6113</v>
      </c>
      <c r="K785" s="583" t="s">
        <v>991</v>
      </c>
      <c r="L785" s="583" t="s">
        <v>1177</v>
      </c>
      <c r="M785" s="619" t="s">
        <v>114</v>
      </c>
      <c r="N785" s="620">
        <v>44508</v>
      </c>
      <c r="O785" s="684" t="s">
        <v>67</v>
      </c>
      <c r="P785" s="503">
        <f t="shared" si="47"/>
        <v>11</v>
      </c>
      <c r="Q785" s="503">
        <f t="shared" si="48"/>
        <v>10</v>
      </c>
      <c r="R785" s="504" t="str">
        <f t="shared" si="49"/>
        <v>Gastos_Gerais</v>
      </c>
      <c r="S785" s="504" t="str">
        <f>IF(D785="","",IF(OR(D785=Plano!$A$1,D785=Plano!$B$1),"entrada","saída"))</f>
        <v>saída</v>
      </c>
      <c r="T785" s="505" t="s">
        <v>114</v>
      </c>
      <c r="U785" s="505" t="s">
        <v>114</v>
      </c>
      <c r="V785" s="541"/>
    </row>
    <row r="786" spans="1:22" ht="51" customHeight="1" x14ac:dyDescent="0.2">
      <c r="A786" s="619">
        <f>IF(B786="","",COUNT('Diário 5º PA'!$A$5:$A$2634)+COUNT('Diário 6º PA'!$A$5:$A$2246)+COUNT('Diário 7º PA'!$A$5:$A$2271)+ROW()-4)</f>
        <v>4732</v>
      </c>
      <c r="B786" s="620">
        <v>44508</v>
      </c>
      <c r="C786" s="628">
        <v>44470</v>
      </c>
      <c r="D786" s="548" t="s">
        <v>88</v>
      </c>
      <c r="E786" s="548" t="s">
        <v>90</v>
      </c>
      <c r="F786" s="622">
        <v>2385.5100000000002</v>
      </c>
      <c r="G786" s="623" t="s">
        <v>6035</v>
      </c>
      <c r="H786" s="548" t="s">
        <v>114</v>
      </c>
      <c r="I786" s="583" t="s">
        <v>6036</v>
      </c>
      <c r="J786" s="548" t="s">
        <v>6037</v>
      </c>
      <c r="K786" s="583" t="s">
        <v>991</v>
      </c>
      <c r="L786" s="583" t="s">
        <v>1183</v>
      </c>
      <c r="M786" s="619" t="s">
        <v>114</v>
      </c>
      <c r="N786" s="620">
        <v>44508</v>
      </c>
      <c r="O786" s="684" t="s">
        <v>67</v>
      </c>
      <c r="P786" s="503">
        <f t="shared" si="47"/>
        <v>11</v>
      </c>
      <c r="Q786" s="503">
        <f t="shared" si="48"/>
        <v>10</v>
      </c>
      <c r="R786" s="504" t="str">
        <f t="shared" si="49"/>
        <v>Gastos_com_Pessoal</v>
      </c>
      <c r="S786" s="504" t="str">
        <f>IF(D786="","",IF(OR(D786=Plano!$A$1,D786=Plano!$B$1),"entrada","saída"))</f>
        <v>saída</v>
      </c>
      <c r="T786" s="505" t="s">
        <v>114</v>
      </c>
      <c r="U786" s="505" t="s">
        <v>114</v>
      </c>
      <c r="V786" s="541"/>
    </row>
    <row r="787" spans="1:22" ht="60.75" customHeight="1" x14ac:dyDescent="0.2">
      <c r="A787" s="619">
        <f>IF(B787="","",COUNT('Diário 5º PA'!$A$5:$A$2634)+COUNT('Diário 6º PA'!$A$5:$A$2246)+COUNT('Diário 7º PA'!$A$5:$A$2271)+ROW()-4)</f>
        <v>4733</v>
      </c>
      <c r="B787" s="620">
        <v>44508</v>
      </c>
      <c r="C787" s="624">
        <v>44440</v>
      </c>
      <c r="D787" s="548" t="s">
        <v>99</v>
      </c>
      <c r="E787" s="548" t="s">
        <v>364</v>
      </c>
      <c r="F787" s="622">
        <v>34.17</v>
      </c>
      <c r="G787" s="623" t="s">
        <v>5776</v>
      </c>
      <c r="H787" s="548" t="s">
        <v>116</v>
      </c>
      <c r="I787" s="583" t="s">
        <v>465</v>
      </c>
      <c r="J787" s="548" t="s">
        <v>114</v>
      </c>
      <c r="K787" s="583" t="s">
        <v>466</v>
      </c>
      <c r="L787" s="583" t="s">
        <v>467</v>
      </c>
      <c r="M787" s="625">
        <v>221221643511</v>
      </c>
      <c r="N787" s="620">
        <v>44508</v>
      </c>
      <c r="O787" s="684" t="s">
        <v>67</v>
      </c>
      <c r="P787" s="503">
        <f t="shared" si="47"/>
        <v>11</v>
      </c>
      <c r="Q787" s="503">
        <f t="shared" si="48"/>
        <v>9</v>
      </c>
      <c r="R787" s="504" t="str">
        <f t="shared" si="49"/>
        <v>Gastos_Gerais</v>
      </c>
      <c r="S787" s="504" t="str">
        <f>IF(D787="","",IF(OR(D787=Plano!$A$1,D787=Plano!$B$1),"entrada","saída"))</f>
        <v>saída</v>
      </c>
      <c r="T787" s="511" t="s">
        <v>114</v>
      </c>
      <c r="U787" s="511" t="s">
        <v>114</v>
      </c>
      <c r="V787" s="541"/>
    </row>
    <row r="788" spans="1:22" ht="45.75" customHeight="1" x14ac:dyDescent="0.2">
      <c r="A788" s="619">
        <f>IF(B788="","",COUNT('Diário 5º PA'!$A$5:$A$2634)+COUNT('Diário 6º PA'!$A$5:$A$2246)+COUNT('Diário 7º PA'!$A$5:$A$2271)+ROW()-4)</f>
        <v>4734</v>
      </c>
      <c r="B788" s="620">
        <v>44508</v>
      </c>
      <c r="C788" s="624">
        <v>44440</v>
      </c>
      <c r="D788" s="548" t="s">
        <v>99</v>
      </c>
      <c r="E788" s="548" t="s">
        <v>370</v>
      </c>
      <c r="F788" s="622">
        <v>143.04</v>
      </c>
      <c r="G788" s="623" t="s">
        <v>5852</v>
      </c>
      <c r="H788" s="548" t="s">
        <v>116</v>
      </c>
      <c r="I788" s="583" t="s">
        <v>465</v>
      </c>
      <c r="J788" s="548" t="s">
        <v>114</v>
      </c>
      <c r="K788" s="583" t="s">
        <v>466</v>
      </c>
      <c r="L788" s="583" t="s">
        <v>467</v>
      </c>
      <c r="M788" s="625">
        <v>221221645212</v>
      </c>
      <c r="N788" s="620">
        <v>44508</v>
      </c>
      <c r="O788" s="684" t="s">
        <v>67</v>
      </c>
      <c r="P788" s="503">
        <f t="shared" si="47"/>
        <v>11</v>
      </c>
      <c r="Q788" s="503">
        <f t="shared" si="48"/>
        <v>9</v>
      </c>
      <c r="R788" s="504" t="str">
        <f t="shared" si="49"/>
        <v>Gastos_Gerais</v>
      </c>
      <c r="S788" s="504" t="str">
        <f>IF(D788="","",IF(OR(D788=Plano!$A$1,D788=Plano!$B$1),"entrada","saída"))</f>
        <v>saída</v>
      </c>
      <c r="T788" s="511" t="s">
        <v>114</v>
      </c>
      <c r="U788" s="511" t="s">
        <v>114</v>
      </c>
      <c r="V788" s="541"/>
    </row>
    <row r="789" spans="1:22" ht="45.75" customHeight="1" x14ac:dyDescent="0.2">
      <c r="A789" s="619">
        <f>IF(B789="","",COUNT('Diário 5º PA'!$A$5:$A$2634)+COUNT('Diário 6º PA'!$A$5:$A$2246)+COUNT('Diário 7º PA'!$A$5:$A$2271)+ROW()-4)</f>
        <v>4735</v>
      </c>
      <c r="B789" s="620">
        <v>44508</v>
      </c>
      <c r="C789" s="624">
        <v>44440</v>
      </c>
      <c r="D789" s="548" t="s">
        <v>99</v>
      </c>
      <c r="E789" s="548" t="s">
        <v>364</v>
      </c>
      <c r="F789" s="622">
        <v>4.9800000000000004</v>
      </c>
      <c r="G789" s="623" t="s">
        <v>5826</v>
      </c>
      <c r="H789" s="548" t="s">
        <v>125</v>
      </c>
      <c r="I789" s="583" t="s">
        <v>465</v>
      </c>
      <c r="J789" s="548" t="s">
        <v>114</v>
      </c>
      <c r="K789" s="583" t="s">
        <v>466</v>
      </c>
      <c r="L789" s="583" t="s">
        <v>467</v>
      </c>
      <c r="M789" s="625">
        <v>221221645999</v>
      </c>
      <c r="N789" s="620">
        <v>44508</v>
      </c>
      <c r="O789" s="684" t="s">
        <v>67</v>
      </c>
      <c r="P789" s="503">
        <f t="shared" si="47"/>
        <v>11</v>
      </c>
      <c r="Q789" s="503">
        <f t="shared" si="48"/>
        <v>9</v>
      </c>
      <c r="R789" s="504" t="str">
        <f t="shared" si="49"/>
        <v>Gastos_Gerais</v>
      </c>
      <c r="S789" s="504" t="str">
        <f>IF(D789="","",IF(OR(D789=Plano!$A$1,D789=Plano!$B$1),"entrada","saída"))</f>
        <v>saída</v>
      </c>
      <c r="T789" s="511" t="s">
        <v>114</v>
      </c>
      <c r="U789" s="511" t="s">
        <v>114</v>
      </c>
      <c r="V789" s="541"/>
    </row>
    <row r="790" spans="1:22" ht="41.25" customHeight="1" x14ac:dyDescent="0.2">
      <c r="A790" s="619">
        <f>IF(B790="","",COUNT('Diário 5º PA'!$A$5:$A$2634)+COUNT('Diário 6º PA'!$A$5:$A$2246)+COUNT('Diário 7º PA'!$A$5:$A$2271)+ROW()-4)</f>
        <v>4736</v>
      </c>
      <c r="B790" s="620">
        <v>44508</v>
      </c>
      <c r="C790" s="624">
        <v>44409</v>
      </c>
      <c r="D790" s="548" t="s">
        <v>99</v>
      </c>
      <c r="E790" s="548" t="s">
        <v>358</v>
      </c>
      <c r="F790" s="622">
        <v>30</v>
      </c>
      <c r="G790" s="623" t="s">
        <v>5594</v>
      </c>
      <c r="H790" s="548" t="s">
        <v>126</v>
      </c>
      <c r="I790" s="583" t="s">
        <v>465</v>
      </c>
      <c r="J790" s="548" t="s">
        <v>114</v>
      </c>
      <c r="K790" s="583" t="s">
        <v>466</v>
      </c>
      <c r="L790" s="583" t="s">
        <v>467</v>
      </c>
      <c r="M790" s="625">
        <v>221221646618</v>
      </c>
      <c r="N790" s="620">
        <v>44508</v>
      </c>
      <c r="O790" s="684" t="s">
        <v>67</v>
      </c>
      <c r="P790" s="503">
        <f t="shared" si="47"/>
        <v>11</v>
      </c>
      <c r="Q790" s="503">
        <f t="shared" si="48"/>
        <v>8</v>
      </c>
      <c r="R790" s="504" t="str">
        <f t="shared" si="49"/>
        <v>Gastos_Gerais</v>
      </c>
      <c r="S790" s="504" t="str">
        <f>IF(D790="","",IF(OR(D790=Plano!$A$1,D790=Plano!$B$1),"entrada","saída"))</f>
        <v>saída</v>
      </c>
      <c r="T790" s="511" t="s">
        <v>114</v>
      </c>
      <c r="U790" s="511" t="s">
        <v>114</v>
      </c>
      <c r="V790" s="541"/>
    </row>
    <row r="791" spans="1:22" ht="54.75" customHeight="1" x14ac:dyDescent="0.2">
      <c r="A791" s="619">
        <f>IF(B791="","",COUNT('Diário 5º PA'!$A$5:$A$2634)+COUNT('Diário 6º PA'!$A$5:$A$2246)+COUNT('Diário 7º PA'!$A$5:$A$2271)+ROW()-4)</f>
        <v>4737</v>
      </c>
      <c r="B791" s="620">
        <v>44508</v>
      </c>
      <c r="C791" s="624">
        <v>44440</v>
      </c>
      <c r="D791" s="629" t="s">
        <v>99</v>
      </c>
      <c r="E791" s="629" t="s">
        <v>358</v>
      </c>
      <c r="F791" s="622">
        <v>15</v>
      </c>
      <c r="G791" s="623" t="s">
        <v>5612</v>
      </c>
      <c r="H791" s="548" t="s">
        <v>127</v>
      </c>
      <c r="I791" s="583" t="s">
        <v>465</v>
      </c>
      <c r="J791" s="548" t="s">
        <v>114</v>
      </c>
      <c r="K791" s="583" t="s">
        <v>466</v>
      </c>
      <c r="L791" s="583" t="s">
        <v>467</v>
      </c>
      <c r="M791" s="625">
        <v>221221647185</v>
      </c>
      <c r="N791" s="620">
        <v>44508</v>
      </c>
      <c r="O791" s="684" t="s">
        <v>67</v>
      </c>
      <c r="P791" s="503">
        <f t="shared" si="47"/>
        <v>11</v>
      </c>
      <c r="Q791" s="503">
        <f t="shared" si="48"/>
        <v>9</v>
      </c>
      <c r="R791" s="504" t="str">
        <f t="shared" si="49"/>
        <v>Gastos_Gerais</v>
      </c>
      <c r="S791" s="504" t="str">
        <f>IF(D791="","",IF(OR(D791=Plano!$A$1,D791=Plano!$B$1),"entrada","saída"))</f>
        <v>saída</v>
      </c>
      <c r="T791" s="511" t="s">
        <v>114</v>
      </c>
      <c r="U791" s="511" t="s">
        <v>114</v>
      </c>
      <c r="V791" s="541"/>
    </row>
    <row r="792" spans="1:22" ht="53.25" customHeight="1" x14ac:dyDescent="0.2">
      <c r="A792" s="619">
        <f>IF(B792="","",COUNT('Diário 5º PA'!$A$5:$A$2634)+COUNT('Diário 6º PA'!$A$5:$A$2246)+COUNT('Diário 7º PA'!$A$5:$A$2271)+ROW()-4)</f>
        <v>4738</v>
      </c>
      <c r="B792" s="620">
        <v>44508</v>
      </c>
      <c r="C792" s="624">
        <v>44440</v>
      </c>
      <c r="D792" s="548" t="s">
        <v>99</v>
      </c>
      <c r="E792" s="548" t="s">
        <v>358</v>
      </c>
      <c r="F792" s="622">
        <v>15</v>
      </c>
      <c r="G792" s="623" t="s">
        <v>5677</v>
      </c>
      <c r="H792" s="548" t="s">
        <v>127</v>
      </c>
      <c r="I792" s="583" t="s">
        <v>465</v>
      </c>
      <c r="J792" s="548" t="s">
        <v>114</v>
      </c>
      <c r="K792" s="583" t="s">
        <v>466</v>
      </c>
      <c r="L792" s="583" t="s">
        <v>467</v>
      </c>
      <c r="M792" s="625">
        <v>221221648076</v>
      </c>
      <c r="N792" s="620">
        <v>44508</v>
      </c>
      <c r="O792" s="684" t="s">
        <v>67</v>
      </c>
      <c r="P792" s="503">
        <f t="shared" si="47"/>
        <v>11</v>
      </c>
      <c r="Q792" s="503">
        <f t="shared" si="48"/>
        <v>9</v>
      </c>
      <c r="R792" s="504" t="str">
        <f t="shared" si="49"/>
        <v>Gastos_Gerais</v>
      </c>
      <c r="S792" s="504" t="str">
        <f>IF(D792="","",IF(OR(D792=Plano!$A$1,D792=Plano!$B$1),"entrada","saída"))</f>
        <v>saída</v>
      </c>
      <c r="T792" s="511" t="s">
        <v>114</v>
      </c>
      <c r="U792" s="511" t="s">
        <v>114</v>
      </c>
      <c r="V792" s="541"/>
    </row>
    <row r="793" spans="1:22" ht="56.25" customHeight="1" x14ac:dyDescent="0.2">
      <c r="A793" s="619">
        <f>IF(B793="","",COUNT('Diário 5º PA'!$A$5:$A$2634)+COUNT('Diário 6º PA'!$A$5:$A$2246)+COUNT('Diário 7º PA'!$A$5:$A$2271)+ROW()-4)</f>
        <v>4739</v>
      </c>
      <c r="B793" s="620">
        <v>44508</v>
      </c>
      <c r="C793" s="624">
        <v>44440</v>
      </c>
      <c r="D793" s="548" t="s">
        <v>99</v>
      </c>
      <c r="E793" s="548" t="s">
        <v>364</v>
      </c>
      <c r="F793" s="622">
        <v>60</v>
      </c>
      <c r="G793" s="623" t="s">
        <v>5656</v>
      </c>
      <c r="H793" s="548" t="s">
        <v>116</v>
      </c>
      <c r="I793" s="583" t="s">
        <v>465</v>
      </c>
      <c r="J793" s="548" t="s">
        <v>114</v>
      </c>
      <c r="K793" s="583" t="s">
        <v>466</v>
      </c>
      <c r="L793" s="583" t="s">
        <v>467</v>
      </c>
      <c r="M793" s="625">
        <v>221221648904</v>
      </c>
      <c r="N793" s="620">
        <v>44508</v>
      </c>
      <c r="O793" s="684" t="s">
        <v>67</v>
      </c>
      <c r="P793" s="503">
        <f t="shared" si="47"/>
        <v>11</v>
      </c>
      <c r="Q793" s="503">
        <f t="shared" si="48"/>
        <v>9</v>
      </c>
      <c r="R793" s="504" t="str">
        <f t="shared" si="49"/>
        <v>Gastos_Gerais</v>
      </c>
      <c r="S793" s="504" t="str">
        <f>IF(D793="","",IF(OR(D793=Plano!$A$1,D793=Plano!$B$1),"entrada","saída"))</f>
        <v>saída</v>
      </c>
      <c r="T793" s="511" t="s">
        <v>114</v>
      </c>
      <c r="U793" s="511" t="s">
        <v>114</v>
      </c>
      <c r="V793" s="541"/>
    </row>
    <row r="794" spans="1:22" ht="48.75" customHeight="1" x14ac:dyDescent="0.2">
      <c r="A794" s="619">
        <f>IF(B794="","",COUNT('Diário 5º PA'!$A$5:$A$2634)+COUNT('Diário 6º PA'!$A$5:$A$2246)+COUNT('Diário 7º PA'!$A$5:$A$2271)+ROW()-4)</f>
        <v>4740</v>
      </c>
      <c r="B794" s="620">
        <v>44508</v>
      </c>
      <c r="C794" s="624">
        <v>44440</v>
      </c>
      <c r="D794" s="548" t="s">
        <v>99</v>
      </c>
      <c r="E794" s="548" t="s">
        <v>336</v>
      </c>
      <c r="F794" s="622">
        <v>64.8</v>
      </c>
      <c r="G794" s="623" t="s">
        <v>5658</v>
      </c>
      <c r="H794" s="548" t="s">
        <v>118</v>
      </c>
      <c r="I794" s="583" t="s">
        <v>465</v>
      </c>
      <c r="J794" s="548" t="s">
        <v>114</v>
      </c>
      <c r="K794" s="583" t="s">
        <v>466</v>
      </c>
      <c r="L794" s="583" t="s">
        <v>467</v>
      </c>
      <c r="M794" s="625">
        <v>221221651298</v>
      </c>
      <c r="N794" s="620">
        <v>44508</v>
      </c>
      <c r="O794" s="684" t="s">
        <v>67</v>
      </c>
      <c r="P794" s="503">
        <f t="shared" si="47"/>
        <v>11</v>
      </c>
      <c r="Q794" s="503">
        <f t="shared" si="48"/>
        <v>9</v>
      </c>
      <c r="R794" s="504" t="str">
        <f t="shared" si="49"/>
        <v>Gastos_Gerais</v>
      </c>
      <c r="S794" s="504" t="str">
        <f>IF(D794="","",IF(OR(D794=Plano!$A$1,D794=Plano!$B$1),"entrada","saída"))</f>
        <v>saída</v>
      </c>
      <c r="T794" s="511" t="s">
        <v>114</v>
      </c>
      <c r="U794" s="511" t="s">
        <v>114</v>
      </c>
      <c r="V794" s="541"/>
    </row>
    <row r="795" spans="1:22" ht="51" customHeight="1" x14ac:dyDescent="0.2">
      <c r="A795" s="619">
        <f>IF(B795="","",COUNT('Diário 5º PA'!$A$5:$A$2634)+COUNT('Diário 6º PA'!$A$5:$A$2246)+COUNT('Diário 7º PA'!$A$5:$A$2271)+ROW()-4)</f>
        <v>4741</v>
      </c>
      <c r="B795" s="620">
        <v>44508</v>
      </c>
      <c r="C795" s="624">
        <v>44440</v>
      </c>
      <c r="D795" s="548" t="s">
        <v>99</v>
      </c>
      <c r="E795" s="548" t="s">
        <v>358</v>
      </c>
      <c r="F795" s="622">
        <v>18</v>
      </c>
      <c r="G795" s="623" t="s">
        <v>5680</v>
      </c>
      <c r="H795" s="548" t="s">
        <v>118</v>
      </c>
      <c r="I795" s="583" t="s">
        <v>465</v>
      </c>
      <c r="J795" s="548" t="s">
        <v>114</v>
      </c>
      <c r="K795" s="583" t="s">
        <v>466</v>
      </c>
      <c r="L795" s="583" t="s">
        <v>467</v>
      </c>
      <c r="M795" s="625">
        <v>221221652774</v>
      </c>
      <c r="N795" s="620">
        <v>44508</v>
      </c>
      <c r="O795" s="684" t="s">
        <v>67</v>
      </c>
      <c r="P795" s="503">
        <f t="shared" si="47"/>
        <v>11</v>
      </c>
      <c r="Q795" s="503">
        <f t="shared" si="48"/>
        <v>9</v>
      </c>
      <c r="R795" s="504" t="str">
        <f t="shared" si="49"/>
        <v>Gastos_Gerais</v>
      </c>
      <c r="S795" s="504" t="str">
        <f>IF(D795="","",IF(OR(D795=Plano!$A$1,D795=Plano!$B$1),"entrada","saída"))</f>
        <v>saída</v>
      </c>
      <c r="T795" s="511" t="s">
        <v>114</v>
      </c>
      <c r="U795" s="511" t="s">
        <v>114</v>
      </c>
      <c r="V795" s="541"/>
    </row>
    <row r="796" spans="1:22" ht="56.25" customHeight="1" x14ac:dyDescent="0.2">
      <c r="A796" s="619">
        <f>IF(B796="","",COUNT('Diário 5º PA'!$A$5:$A$2634)+COUNT('Diário 6º PA'!$A$5:$A$2246)+COUNT('Diário 7º PA'!$A$5:$A$2271)+ROW()-4)</f>
        <v>4742</v>
      </c>
      <c r="B796" s="620">
        <v>44508</v>
      </c>
      <c r="C796" s="624">
        <v>44440</v>
      </c>
      <c r="D796" s="548" t="s">
        <v>99</v>
      </c>
      <c r="E796" s="548" t="s">
        <v>358</v>
      </c>
      <c r="F796" s="622">
        <v>18</v>
      </c>
      <c r="G796" s="623" t="s">
        <v>5709</v>
      </c>
      <c r="H796" s="548" t="s">
        <v>118</v>
      </c>
      <c r="I796" s="583" t="s">
        <v>465</v>
      </c>
      <c r="J796" s="548" t="s">
        <v>114</v>
      </c>
      <c r="K796" s="583" t="s">
        <v>466</v>
      </c>
      <c r="L796" s="583" t="s">
        <v>467</v>
      </c>
      <c r="M796" s="625">
        <v>221221653665</v>
      </c>
      <c r="N796" s="620">
        <v>44508</v>
      </c>
      <c r="O796" s="684" t="s">
        <v>67</v>
      </c>
      <c r="P796" s="503">
        <f t="shared" si="47"/>
        <v>11</v>
      </c>
      <c r="Q796" s="503">
        <f t="shared" si="48"/>
        <v>9</v>
      </c>
      <c r="R796" s="504" t="str">
        <f t="shared" si="49"/>
        <v>Gastos_Gerais</v>
      </c>
      <c r="S796" s="504" t="str">
        <f>IF(D796="","",IF(OR(D796=Plano!$A$1,D796=Plano!$B$1),"entrada","saída"))</f>
        <v>saída</v>
      </c>
      <c r="T796" s="511" t="s">
        <v>114</v>
      </c>
      <c r="U796" s="511" t="s">
        <v>114</v>
      </c>
      <c r="V796" s="541"/>
    </row>
    <row r="797" spans="1:22" ht="43.5" customHeight="1" x14ac:dyDescent="0.2">
      <c r="A797" s="619">
        <f>IF(B797="","",COUNT('Diário 5º PA'!$A$5:$A$2634)+COUNT('Diário 6º PA'!$A$5:$A$2246)+COUNT('Diário 7º PA'!$A$5:$A$2271)+ROW()-4)</f>
        <v>4743</v>
      </c>
      <c r="B797" s="620">
        <v>44508</v>
      </c>
      <c r="C797" s="624">
        <v>44440</v>
      </c>
      <c r="D797" s="548" t="s">
        <v>99</v>
      </c>
      <c r="E797" s="548" t="s">
        <v>364</v>
      </c>
      <c r="F797" s="622">
        <v>10</v>
      </c>
      <c r="G797" s="623" t="s">
        <v>5633</v>
      </c>
      <c r="H797" s="548" t="s">
        <v>125</v>
      </c>
      <c r="I797" s="583" t="s">
        <v>465</v>
      </c>
      <c r="J797" s="548" t="s">
        <v>114</v>
      </c>
      <c r="K797" s="583" t="s">
        <v>466</v>
      </c>
      <c r="L797" s="583" t="s">
        <v>467</v>
      </c>
      <c r="M797" s="625">
        <v>221221654807</v>
      </c>
      <c r="N797" s="620">
        <v>44508</v>
      </c>
      <c r="O797" s="684" t="s">
        <v>67</v>
      </c>
      <c r="P797" s="503">
        <f t="shared" si="47"/>
        <v>11</v>
      </c>
      <c r="Q797" s="503">
        <f t="shared" si="48"/>
        <v>9</v>
      </c>
      <c r="R797" s="504" t="str">
        <f t="shared" si="49"/>
        <v>Gastos_Gerais</v>
      </c>
      <c r="S797" s="504" t="str">
        <f>IF(D797="","",IF(OR(D797=Plano!$A$1,D797=Plano!$B$1),"entrada","saída"))</f>
        <v>saída</v>
      </c>
      <c r="T797" s="511" t="s">
        <v>114</v>
      </c>
      <c r="U797" s="511" t="s">
        <v>114</v>
      </c>
      <c r="V797" s="541"/>
    </row>
    <row r="798" spans="1:22" ht="37.5" customHeight="1" x14ac:dyDescent="0.2">
      <c r="A798" s="619">
        <f>IF(B798="","",COUNT('Diário 5º PA'!$A$5:$A$2634)+COUNT('Diário 6º PA'!$A$5:$A$2246)+COUNT('Diário 7º PA'!$A$5:$A$2271)+ROW()-4)</f>
        <v>4744</v>
      </c>
      <c r="B798" s="620">
        <v>44508</v>
      </c>
      <c r="C798" s="624">
        <v>44409</v>
      </c>
      <c r="D798" s="548" t="s">
        <v>99</v>
      </c>
      <c r="E798" s="548" t="s">
        <v>358</v>
      </c>
      <c r="F798" s="622">
        <v>43.2</v>
      </c>
      <c r="G798" s="623" t="s">
        <v>5675</v>
      </c>
      <c r="H798" s="548" t="s">
        <v>123</v>
      </c>
      <c r="I798" s="583" t="s">
        <v>465</v>
      </c>
      <c r="J798" s="548" t="s">
        <v>114</v>
      </c>
      <c r="K798" s="583" t="s">
        <v>466</v>
      </c>
      <c r="L798" s="583" t="s">
        <v>467</v>
      </c>
      <c r="M798" s="625">
        <v>22122165591</v>
      </c>
      <c r="N798" s="620">
        <v>44508</v>
      </c>
      <c r="O798" s="684" t="s">
        <v>67</v>
      </c>
      <c r="P798" s="503">
        <f t="shared" si="47"/>
        <v>11</v>
      </c>
      <c r="Q798" s="503">
        <f t="shared" si="48"/>
        <v>8</v>
      </c>
      <c r="R798" s="504" t="str">
        <f t="shared" si="49"/>
        <v>Gastos_Gerais</v>
      </c>
      <c r="S798" s="504" t="str">
        <f>IF(D798="","",IF(OR(D798=Plano!$A$1,D798=Plano!$B$1),"entrada","saída"))</f>
        <v>saída</v>
      </c>
      <c r="T798" s="511" t="s">
        <v>114</v>
      </c>
      <c r="U798" s="511" t="s">
        <v>114</v>
      </c>
      <c r="V798" s="541"/>
    </row>
    <row r="799" spans="1:22" ht="39.75" customHeight="1" x14ac:dyDescent="0.2">
      <c r="A799" s="619">
        <f>IF(B799="","",COUNT('Diário 5º PA'!$A$5:$A$2634)+COUNT('Diário 6º PA'!$A$5:$A$2246)+COUNT('Diário 7º PA'!$A$5:$A$2271)+ROW()-4)</f>
        <v>4745</v>
      </c>
      <c r="B799" s="620">
        <v>44508</v>
      </c>
      <c r="C799" s="624">
        <v>44440</v>
      </c>
      <c r="D799" s="548" t="s">
        <v>99</v>
      </c>
      <c r="E799" s="548" t="s">
        <v>358</v>
      </c>
      <c r="F799" s="622">
        <v>120</v>
      </c>
      <c r="G799" s="623" t="s">
        <v>5754</v>
      </c>
      <c r="H799" s="548" t="s">
        <v>131</v>
      </c>
      <c r="I799" s="583" t="s">
        <v>465</v>
      </c>
      <c r="J799" s="548" t="s">
        <v>114</v>
      </c>
      <c r="K799" s="583" t="s">
        <v>466</v>
      </c>
      <c r="L799" s="583" t="s">
        <v>467</v>
      </c>
      <c r="M799" s="625">
        <v>221221656176</v>
      </c>
      <c r="N799" s="620">
        <v>44508</v>
      </c>
      <c r="O799" s="684" t="s">
        <v>67</v>
      </c>
      <c r="P799" s="503">
        <f t="shared" si="47"/>
        <v>11</v>
      </c>
      <c r="Q799" s="503">
        <f t="shared" si="48"/>
        <v>9</v>
      </c>
      <c r="R799" s="504" t="str">
        <f t="shared" si="49"/>
        <v>Gastos_Gerais</v>
      </c>
      <c r="S799" s="504" t="str">
        <f>IF(D799="","",IF(OR(D799=Plano!$A$1,D799=Plano!$B$1),"entrada","saída"))</f>
        <v>saída</v>
      </c>
      <c r="T799" s="511" t="s">
        <v>114</v>
      </c>
      <c r="U799" s="511" t="s">
        <v>114</v>
      </c>
      <c r="V799" s="541"/>
    </row>
    <row r="800" spans="1:22" ht="35.25" customHeight="1" x14ac:dyDescent="0.2">
      <c r="A800" s="619">
        <f>IF(B800="","",COUNT('Diário 5º PA'!$A$5:$A$2634)+COUNT('Diário 6º PA'!$A$5:$A$2246)+COUNT('Diário 7º PA'!$A$5:$A$2271)+ROW()-4)</f>
        <v>4746</v>
      </c>
      <c r="B800" s="620">
        <v>44508</v>
      </c>
      <c r="C800" s="624">
        <v>44440</v>
      </c>
      <c r="D800" s="548" t="s">
        <v>99</v>
      </c>
      <c r="E800" s="548" t="s">
        <v>358</v>
      </c>
      <c r="F800" s="622">
        <v>120</v>
      </c>
      <c r="G800" s="623" t="s">
        <v>5757</v>
      </c>
      <c r="H800" s="548" t="s">
        <v>131</v>
      </c>
      <c r="I800" s="583" t="s">
        <v>465</v>
      </c>
      <c r="J800" s="548" t="s">
        <v>114</v>
      </c>
      <c r="K800" s="583" t="s">
        <v>466</v>
      </c>
      <c r="L800" s="583" t="s">
        <v>467</v>
      </c>
      <c r="M800" s="625">
        <v>221221656680</v>
      </c>
      <c r="N800" s="620">
        <v>44508</v>
      </c>
      <c r="O800" s="684" t="s">
        <v>67</v>
      </c>
      <c r="P800" s="503">
        <f t="shared" si="47"/>
        <v>11</v>
      </c>
      <c r="Q800" s="503">
        <f t="shared" si="48"/>
        <v>9</v>
      </c>
      <c r="R800" s="504" t="str">
        <f t="shared" si="49"/>
        <v>Gastos_Gerais</v>
      </c>
      <c r="S800" s="504" t="str">
        <f>IF(D800="","",IF(OR(D800=Plano!$A$1,D800=Plano!$B$1),"entrada","saída"))</f>
        <v>saída</v>
      </c>
      <c r="T800" s="511" t="s">
        <v>114</v>
      </c>
      <c r="U800" s="511" t="s">
        <v>114</v>
      </c>
      <c r="V800" s="541"/>
    </row>
    <row r="801" spans="1:22" ht="45.75" customHeight="1" x14ac:dyDescent="0.2">
      <c r="A801" s="619">
        <f>IF(B801="","",COUNT('Diário 5º PA'!$A$5:$A$2634)+COUNT('Diário 6º PA'!$A$5:$A$2246)+COUNT('Diário 7º PA'!$A$5:$A$2271)+ROW()-4)</f>
        <v>4747</v>
      </c>
      <c r="B801" s="620">
        <v>44508</v>
      </c>
      <c r="C801" s="624">
        <v>44440</v>
      </c>
      <c r="D801" s="548" t="s">
        <v>99</v>
      </c>
      <c r="E801" s="548" t="s">
        <v>358</v>
      </c>
      <c r="F801" s="622">
        <v>120</v>
      </c>
      <c r="G801" s="623" t="s">
        <v>5746</v>
      </c>
      <c r="H801" s="548" t="s">
        <v>131</v>
      </c>
      <c r="I801" s="583" t="s">
        <v>465</v>
      </c>
      <c r="J801" s="548" t="s">
        <v>114</v>
      </c>
      <c r="K801" s="583" t="s">
        <v>466</v>
      </c>
      <c r="L801" s="583" t="s">
        <v>467</v>
      </c>
      <c r="M801" s="625">
        <v>2212216558209</v>
      </c>
      <c r="N801" s="620">
        <v>44508</v>
      </c>
      <c r="O801" s="684" t="s">
        <v>67</v>
      </c>
      <c r="P801" s="503">
        <f t="shared" si="47"/>
        <v>11</v>
      </c>
      <c r="Q801" s="503">
        <f t="shared" si="48"/>
        <v>9</v>
      </c>
      <c r="R801" s="504" t="str">
        <f t="shared" si="49"/>
        <v>Gastos_Gerais</v>
      </c>
      <c r="S801" s="504" t="str">
        <f>IF(D801="","",IF(OR(D801=Plano!$A$1,D801=Plano!$B$1),"entrada","saída"))</f>
        <v>saída</v>
      </c>
      <c r="T801" s="511" t="s">
        <v>114</v>
      </c>
      <c r="U801" s="511" t="s">
        <v>114</v>
      </c>
      <c r="V801" s="541"/>
    </row>
    <row r="802" spans="1:22" ht="38.25" customHeight="1" x14ac:dyDescent="0.2">
      <c r="A802" s="619">
        <f>IF(B802="","",COUNT('Diário 5º PA'!$A$5:$A$2634)+COUNT('Diário 6º PA'!$A$5:$A$2246)+COUNT('Diário 7º PA'!$A$5:$A$2271)+ROW()-4)</f>
        <v>4748</v>
      </c>
      <c r="B802" s="620">
        <v>44508</v>
      </c>
      <c r="C802" s="624">
        <v>44470</v>
      </c>
      <c r="D802" s="548" t="s">
        <v>99</v>
      </c>
      <c r="E802" s="548" t="s">
        <v>364</v>
      </c>
      <c r="F802" s="622">
        <v>125</v>
      </c>
      <c r="G802" s="623" t="s">
        <v>5763</v>
      </c>
      <c r="H802" s="548" t="s">
        <v>125</v>
      </c>
      <c r="I802" s="583" t="s">
        <v>465</v>
      </c>
      <c r="J802" s="548" t="s">
        <v>114</v>
      </c>
      <c r="K802" s="583" t="s">
        <v>466</v>
      </c>
      <c r="L802" s="583" t="s">
        <v>467</v>
      </c>
      <c r="M802" s="625">
        <v>221221658705</v>
      </c>
      <c r="N802" s="620">
        <v>44508</v>
      </c>
      <c r="O802" s="684" t="s">
        <v>67</v>
      </c>
      <c r="P802" s="503">
        <f t="shared" si="47"/>
        <v>11</v>
      </c>
      <c r="Q802" s="503">
        <f t="shared" si="48"/>
        <v>10</v>
      </c>
      <c r="R802" s="504" t="str">
        <f t="shared" si="49"/>
        <v>Gastos_Gerais</v>
      </c>
      <c r="S802" s="504" t="str">
        <f>IF(D802="","",IF(OR(D802=Plano!$A$1,D802=Plano!$B$1),"entrada","saída"))</f>
        <v>saída</v>
      </c>
      <c r="T802" s="511" t="s">
        <v>114</v>
      </c>
      <c r="U802" s="511" t="s">
        <v>114</v>
      </c>
      <c r="V802" s="541"/>
    </row>
    <row r="803" spans="1:22" ht="42.75" customHeight="1" x14ac:dyDescent="0.2">
      <c r="A803" s="619">
        <f>IF(B803="","",COUNT('Diário 5º PA'!$A$5:$A$2634)+COUNT('Diário 6º PA'!$A$5:$A$2246)+COUNT('Diário 7º PA'!$A$5:$A$2271)+ROW()-4)</f>
        <v>4749</v>
      </c>
      <c r="B803" s="620">
        <v>44508</v>
      </c>
      <c r="C803" s="624">
        <v>44440</v>
      </c>
      <c r="D803" s="548" t="s">
        <v>99</v>
      </c>
      <c r="E803" s="548" t="s">
        <v>358</v>
      </c>
      <c r="F803" s="622">
        <v>27</v>
      </c>
      <c r="G803" s="623" t="s">
        <v>5760</v>
      </c>
      <c r="H803" s="548" t="s">
        <v>122</v>
      </c>
      <c r="I803" s="583" t="s">
        <v>465</v>
      </c>
      <c r="J803" s="548" t="s">
        <v>114</v>
      </c>
      <c r="K803" s="583" t="s">
        <v>466</v>
      </c>
      <c r="L803" s="583" t="s">
        <v>467</v>
      </c>
      <c r="M803" s="625">
        <v>221221660874</v>
      </c>
      <c r="N803" s="620">
        <v>44508</v>
      </c>
      <c r="O803" s="684" t="s">
        <v>67</v>
      </c>
      <c r="P803" s="503">
        <f t="shared" si="47"/>
        <v>11</v>
      </c>
      <c r="Q803" s="503">
        <f t="shared" si="48"/>
        <v>9</v>
      </c>
      <c r="R803" s="504" t="str">
        <f t="shared" si="49"/>
        <v>Gastos_Gerais</v>
      </c>
      <c r="S803" s="504" t="str">
        <f>IF(D803="","",IF(OR(D803=Plano!$A$1,D803=Plano!$B$1),"entrada","saída"))</f>
        <v>saída</v>
      </c>
      <c r="T803" s="511" t="s">
        <v>114</v>
      </c>
      <c r="U803" s="511" t="s">
        <v>114</v>
      </c>
      <c r="V803" s="541"/>
    </row>
    <row r="804" spans="1:22" ht="58.5" customHeight="1" x14ac:dyDescent="0.2">
      <c r="A804" s="619">
        <f>IF(B804="","",COUNT('Diário 5º PA'!$A$5:$A$2634)+COUNT('Diário 6º PA'!$A$5:$A$2246)+COUNT('Diário 7º PA'!$A$5:$A$2271)+ROW()-4)</f>
        <v>4750</v>
      </c>
      <c r="B804" s="620">
        <v>44508</v>
      </c>
      <c r="C804" s="624">
        <v>44440</v>
      </c>
      <c r="D804" s="548" t="s">
        <v>99</v>
      </c>
      <c r="E804" s="548" t="s">
        <v>358</v>
      </c>
      <c r="F804" s="622">
        <v>15</v>
      </c>
      <c r="G804" s="623" t="s">
        <v>5774</v>
      </c>
      <c r="H804" s="548" t="s">
        <v>127</v>
      </c>
      <c r="I804" s="583" t="s">
        <v>465</v>
      </c>
      <c r="J804" s="548" t="s">
        <v>114</v>
      </c>
      <c r="K804" s="583" t="s">
        <v>466</v>
      </c>
      <c r="L804" s="583" t="s">
        <v>467</v>
      </c>
      <c r="M804" s="625">
        <v>221221661099</v>
      </c>
      <c r="N804" s="620">
        <v>44508</v>
      </c>
      <c r="O804" s="684" t="s">
        <v>67</v>
      </c>
      <c r="P804" s="503">
        <f t="shared" si="47"/>
        <v>11</v>
      </c>
      <c r="Q804" s="503">
        <f t="shared" si="48"/>
        <v>9</v>
      </c>
      <c r="R804" s="504" t="str">
        <f t="shared" si="49"/>
        <v>Gastos_Gerais</v>
      </c>
      <c r="S804" s="504" t="str">
        <f>IF(D804="","",IF(OR(D804=Plano!$A$1,D804=Plano!$B$1),"entrada","saída"))</f>
        <v>saída</v>
      </c>
      <c r="T804" s="511" t="s">
        <v>114</v>
      </c>
      <c r="U804" s="511" t="s">
        <v>114</v>
      </c>
      <c r="V804" s="541"/>
    </row>
    <row r="805" spans="1:22" ht="54" customHeight="1" x14ac:dyDescent="0.2">
      <c r="A805" s="619">
        <f>IF(B805="","",COUNT('Diário 5º PA'!$A$5:$A$2634)+COUNT('Diário 6º PA'!$A$5:$A$2246)+COUNT('Diário 7º PA'!$A$5:$A$2271)+ROW()-4)</f>
        <v>4751</v>
      </c>
      <c r="B805" s="620">
        <v>44508</v>
      </c>
      <c r="C805" s="628">
        <v>44470</v>
      </c>
      <c r="D805" s="548" t="s">
        <v>99</v>
      </c>
      <c r="E805" s="548" t="s">
        <v>370</v>
      </c>
      <c r="F805" s="622">
        <v>62.5</v>
      </c>
      <c r="G805" s="623" t="s">
        <v>5814</v>
      </c>
      <c r="H805" s="548" t="s">
        <v>125</v>
      </c>
      <c r="I805" s="583" t="s">
        <v>465</v>
      </c>
      <c r="J805" s="548" t="s">
        <v>114</v>
      </c>
      <c r="K805" s="583" t="s">
        <v>466</v>
      </c>
      <c r="L805" s="583" t="s">
        <v>467</v>
      </c>
      <c r="M805" s="625">
        <v>221221661765</v>
      </c>
      <c r="N805" s="620">
        <v>44508</v>
      </c>
      <c r="O805" s="684" t="s">
        <v>67</v>
      </c>
      <c r="P805" s="503">
        <f t="shared" si="47"/>
        <v>11</v>
      </c>
      <c r="Q805" s="503">
        <f t="shared" si="48"/>
        <v>10</v>
      </c>
      <c r="R805" s="504" t="str">
        <f t="shared" si="49"/>
        <v>Gastos_Gerais</v>
      </c>
      <c r="S805" s="504" t="str">
        <f>IF(D805="","",IF(OR(D805=Plano!$A$1,D805=Plano!$B$1),"entrada","saída"))</f>
        <v>saída</v>
      </c>
      <c r="T805" s="511" t="s">
        <v>114</v>
      </c>
      <c r="U805" s="511" t="s">
        <v>114</v>
      </c>
      <c r="V805" s="541"/>
    </row>
    <row r="806" spans="1:22" ht="48" customHeight="1" x14ac:dyDescent="0.2">
      <c r="A806" s="619">
        <f>IF(B806="","",COUNT('Diário 5º PA'!$A$5:$A$2634)+COUNT('Diário 6º PA'!$A$5:$A$2246)+COUNT('Diário 7º PA'!$A$5:$A$2271)+ROW()-4)</f>
        <v>4752</v>
      </c>
      <c r="B806" s="620">
        <v>44508</v>
      </c>
      <c r="C806" s="624">
        <v>44440</v>
      </c>
      <c r="D806" s="548" t="s">
        <v>99</v>
      </c>
      <c r="E806" s="548" t="s">
        <v>342</v>
      </c>
      <c r="F806" s="622">
        <v>40</v>
      </c>
      <c r="G806" s="623" t="s">
        <v>5784</v>
      </c>
      <c r="H806" s="548" t="s">
        <v>123</v>
      </c>
      <c r="I806" s="583" t="s">
        <v>465</v>
      </c>
      <c r="J806" s="548" t="s">
        <v>114</v>
      </c>
      <c r="K806" s="583" t="s">
        <v>466</v>
      </c>
      <c r="L806" s="583" t="s">
        <v>467</v>
      </c>
      <c r="M806" s="625">
        <v>221221662060</v>
      </c>
      <c r="N806" s="620">
        <v>44508</v>
      </c>
      <c r="O806" s="684" t="s">
        <v>67</v>
      </c>
      <c r="P806" s="503">
        <f t="shared" si="47"/>
        <v>11</v>
      </c>
      <c r="Q806" s="503">
        <f t="shared" si="48"/>
        <v>9</v>
      </c>
      <c r="R806" s="504" t="str">
        <f t="shared" si="49"/>
        <v>Gastos_Gerais</v>
      </c>
      <c r="S806" s="504" t="str">
        <f>IF(D806="","",IF(OR(D806=Plano!$A$1,D806=Plano!$B$1),"entrada","saída"))</f>
        <v>saída</v>
      </c>
      <c r="T806" s="511" t="s">
        <v>114</v>
      </c>
      <c r="U806" s="511" t="s">
        <v>114</v>
      </c>
      <c r="V806" s="541"/>
    </row>
    <row r="807" spans="1:22" ht="42" customHeight="1" x14ac:dyDescent="0.2">
      <c r="A807" s="619">
        <f>IF(B807="","",COUNT('Diário 5º PA'!$A$5:$A$2634)+COUNT('Diário 6º PA'!$A$5:$A$2246)+COUNT('Diário 7º PA'!$A$5:$A$2271)+ROW()-4)</f>
        <v>4753</v>
      </c>
      <c r="B807" s="620">
        <v>44508</v>
      </c>
      <c r="C807" s="624">
        <v>44440</v>
      </c>
      <c r="D807" s="548" t="s">
        <v>99</v>
      </c>
      <c r="E807" s="548" t="s">
        <v>358</v>
      </c>
      <c r="F807" s="622">
        <v>40</v>
      </c>
      <c r="G807" s="623" t="s">
        <v>5822</v>
      </c>
      <c r="H807" s="548" t="s">
        <v>124</v>
      </c>
      <c r="I807" s="583" t="s">
        <v>465</v>
      </c>
      <c r="J807" s="548" t="s">
        <v>114</v>
      </c>
      <c r="K807" s="583" t="s">
        <v>466</v>
      </c>
      <c r="L807" s="583" t="s">
        <v>467</v>
      </c>
      <c r="M807" s="625">
        <v>221221662907</v>
      </c>
      <c r="N807" s="620">
        <v>44508</v>
      </c>
      <c r="O807" s="684" t="s">
        <v>67</v>
      </c>
      <c r="P807" s="503">
        <f t="shared" si="47"/>
        <v>11</v>
      </c>
      <c r="Q807" s="503">
        <f t="shared" si="48"/>
        <v>9</v>
      </c>
      <c r="R807" s="504" t="str">
        <f t="shared" si="49"/>
        <v>Gastos_Gerais</v>
      </c>
      <c r="S807" s="504" t="str">
        <f>IF(D807="","",IF(OR(D807=Plano!$A$1,D807=Plano!$B$1),"entrada","saída"))</f>
        <v>saída</v>
      </c>
      <c r="T807" s="511" t="s">
        <v>114</v>
      </c>
      <c r="U807" s="511" t="s">
        <v>114</v>
      </c>
      <c r="V807" s="541"/>
    </row>
    <row r="808" spans="1:22" ht="50.25" customHeight="1" x14ac:dyDescent="0.2">
      <c r="A808" s="619">
        <f>IF(B808="","",COUNT('Diário 5º PA'!$A$5:$A$2634)+COUNT('Diário 6º PA'!$A$5:$A$2246)+COUNT('Diário 7º PA'!$A$5:$A$2271)+ROW()-4)</f>
        <v>4754</v>
      </c>
      <c r="B808" s="620">
        <v>44508</v>
      </c>
      <c r="C808" s="624">
        <v>44470</v>
      </c>
      <c r="D808" s="548" t="s">
        <v>99</v>
      </c>
      <c r="E808" s="548" t="s">
        <v>330</v>
      </c>
      <c r="F808" s="622">
        <v>100</v>
      </c>
      <c r="G808" s="623" t="s">
        <v>5811</v>
      </c>
      <c r="H808" s="548" t="s">
        <v>125</v>
      </c>
      <c r="I808" s="583" t="s">
        <v>465</v>
      </c>
      <c r="J808" s="548" t="s">
        <v>114</v>
      </c>
      <c r="K808" s="583" t="s">
        <v>466</v>
      </c>
      <c r="L808" s="583" t="s">
        <v>467</v>
      </c>
      <c r="M808" s="625">
        <v>221221663709</v>
      </c>
      <c r="N808" s="620">
        <v>44508</v>
      </c>
      <c r="O808" s="684" t="s">
        <v>67</v>
      </c>
      <c r="P808" s="503">
        <f t="shared" si="47"/>
        <v>11</v>
      </c>
      <c r="Q808" s="503">
        <f t="shared" si="48"/>
        <v>10</v>
      </c>
      <c r="R808" s="504" t="str">
        <f t="shared" si="49"/>
        <v>Gastos_Gerais</v>
      </c>
      <c r="S808" s="504" t="str">
        <f>IF(D808="","",IF(OR(D808=Plano!$A$1,D808=Plano!$B$1),"entrada","saída"))</f>
        <v>saída</v>
      </c>
      <c r="T808" s="511" t="s">
        <v>114</v>
      </c>
      <c r="U808" s="511" t="s">
        <v>114</v>
      </c>
      <c r="V808" s="541"/>
    </row>
    <row r="809" spans="1:22" ht="51" customHeight="1" x14ac:dyDescent="0.2">
      <c r="A809" s="619">
        <f>IF(B809="","",COUNT('Diário 5º PA'!$A$5:$A$2634)+COUNT('Diário 6º PA'!$A$5:$A$2246)+COUNT('Diário 7º PA'!$A$5:$A$2271)+ROW()-4)</f>
        <v>4755</v>
      </c>
      <c r="B809" s="620">
        <v>44508</v>
      </c>
      <c r="C809" s="624">
        <v>44409</v>
      </c>
      <c r="D809" s="548" t="s">
        <v>99</v>
      </c>
      <c r="E809" s="548" t="s">
        <v>364</v>
      </c>
      <c r="F809" s="622">
        <v>600</v>
      </c>
      <c r="G809" s="623" t="s">
        <v>5806</v>
      </c>
      <c r="H809" s="548" t="s">
        <v>116</v>
      </c>
      <c r="I809" s="583" t="s">
        <v>465</v>
      </c>
      <c r="J809" s="548" t="s">
        <v>114</v>
      </c>
      <c r="K809" s="583" t="s">
        <v>466</v>
      </c>
      <c r="L809" s="583" t="s">
        <v>467</v>
      </c>
      <c r="M809" s="625">
        <v>221221664780</v>
      </c>
      <c r="N809" s="620">
        <v>44508</v>
      </c>
      <c r="O809" s="684" t="s">
        <v>67</v>
      </c>
      <c r="P809" s="503">
        <f t="shared" si="47"/>
        <v>11</v>
      </c>
      <c r="Q809" s="503">
        <f t="shared" si="48"/>
        <v>8</v>
      </c>
      <c r="R809" s="504" t="str">
        <f t="shared" si="49"/>
        <v>Gastos_Gerais</v>
      </c>
      <c r="S809" s="504" t="str">
        <f>IF(D809="","",IF(OR(D809=Plano!$A$1,D809=Plano!$B$1),"entrada","saída"))</f>
        <v>saída</v>
      </c>
      <c r="T809" s="511" t="s">
        <v>114</v>
      </c>
      <c r="U809" s="511" t="s">
        <v>114</v>
      </c>
      <c r="V809" s="541"/>
    </row>
    <row r="810" spans="1:22" ht="44.25" customHeight="1" x14ac:dyDescent="0.2">
      <c r="A810" s="619">
        <f>IF(B810="","",COUNT('Diário 5º PA'!$A$5:$A$2634)+COUNT('Diário 6º PA'!$A$5:$A$2246)+COUNT('Diário 7º PA'!$A$5:$A$2271)+ROW()-4)</f>
        <v>4756</v>
      </c>
      <c r="B810" s="620">
        <v>44508</v>
      </c>
      <c r="C810" s="628">
        <v>44470</v>
      </c>
      <c r="D810" s="548" t="s">
        <v>99</v>
      </c>
      <c r="E810" s="548" t="s">
        <v>336</v>
      </c>
      <c r="F810" s="622">
        <v>125</v>
      </c>
      <c r="G810" s="623" t="s">
        <v>5846</v>
      </c>
      <c r="H810" s="548" t="s">
        <v>116</v>
      </c>
      <c r="I810" s="583" t="s">
        <v>465</v>
      </c>
      <c r="J810" s="548" t="s">
        <v>114</v>
      </c>
      <c r="K810" s="583" t="s">
        <v>466</v>
      </c>
      <c r="L810" s="583" t="s">
        <v>467</v>
      </c>
      <c r="M810" s="625">
        <v>22122166572</v>
      </c>
      <c r="N810" s="620">
        <v>44508</v>
      </c>
      <c r="O810" s="684" t="s">
        <v>67</v>
      </c>
      <c r="P810" s="503">
        <f t="shared" si="47"/>
        <v>11</v>
      </c>
      <c r="Q810" s="503">
        <f t="shared" si="48"/>
        <v>10</v>
      </c>
      <c r="R810" s="504" t="str">
        <f t="shared" si="49"/>
        <v>Gastos_Gerais</v>
      </c>
      <c r="S810" s="504" t="str">
        <f>IF(D810="","",IF(OR(D810=Plano!$A$1,D810=Plano!$B$1),"entrada","saída"))</f>
        <v>saída</v>
      </c>
      <c r="T810" s="511" t="s">
        <v>114</v>
      </c>
      <c r="U810" s="511" t="s">
        <v>114</v>
      </c>
      <c r="V810" s="541"/>
    </row>
    <row r="811" spans="1:22" ht="35.25" customHeight="1" x14ac:dyDescent="0.2">
      <c r="A811" s="619">
        <f>IF(B811="","",COUNT('Diário 5º PA'!$A$5:$A$2634)+COUNT('Diário 6º PA'!$A$5:$A$2246)+COUNT('Diário 7º PA'!$A$5:$A$2271)+ROW()-4)</f>
        <v>4757</v>
      </c>
      <c r="B811" s="620">
        <v>44508</v>
      </c>
      <c r="C811" s="624">
        <v>44440</v>
      </c>
      <c r="D811" s="548" t="s">
        <v>99</v>
      </c>
      <c r="E811" s="548" t="s">
        <v>358</v>
      </c>
      <c r="F811" s="622">
        <v>120</v>
      </c>
      <c r="G811" s="623" t="s">
        <v>5839</v>
      </c>
      <c r="H811" s="548" t="s">
        <v>131</v>
      </c>
      <c r="I811" s="583" t="s">
        <v>465</v>
      </c>
      <c r="J811" s="548" t="s">
        <v>114</v>
      </c>
      <c r="K811" s="583" t="s">
        <v>466</v>
      </c>
      <c r="L811" s="583" t="s">
        <v>467</v>
      </c>
      <c r="M811" s="625">
        <v>221221669740</v>
      </c>
      <c r="N811" s="620">
        <v>44508</v>
      </c>
      <c r="O811" s="684" t="s">
        <v>67</v>
      </c>
      <c r="P811" s="503">
        <f t="shared" si="47"/>
        <v>11</v>
      </c>
      <c r="Q811" s="503">
        <f t="shared" si="48"/>
        <v>9</v>
      </c>
      <c r="R811" s="504" t="str">
        <f t="shared" si="49"/>
        <v>Gastos_Gerais</v>
      </c>
      <c r="S811" s="504" t="str">
        <f>IF(D811="","",IF(OR(D811=Plano!$A$1,D811=Plano!$B$1),"entrada","saída"))</f>
        <v>saída</v>
      </c>
      <c r="T811" s="511" t="s">
        <v>114</v>
      </c>
      <c r="U811" s="511" t="s">
        <v>114</v>
      </c>
      <c r="V811" s="541"/>
    </row>
    <row r="812" spans="1:22" ht="38.25" customHeight="1" x14ac:dyDescent="0.2">
      <c r="A812" s="619">
        <f>IF(B812="","",COUNT('Diário 5º PA'!$A$5:$A$2634)+COUNT('Diário 6º PA'!$A$5:$A$2246)+COUNT('Diário 7º PA'!$A$5:$A$2271)+ROW()-4)</f>
        <v>4758</v>
      </c>
      <c r="B812" s="620">
        <v>44508</v>
      </c>
      <c r="C812" s="624">
        <v>44440</v>
      </c>
      <c r="D812" s="548" t="s">
        <v>99</v>
      </c>
      <c r="E812" s="548" t="s">
        <v>358</v>
      </c>
      <c r="F812" s="622">
        <v>120</v>
      </c>
      <c r="G812" s="623" t="s">
        <v>5836</v>
      </c>
      <c r="H812" s="548" t="s">
        <v>131</v>
      </c>
      <c r="I812" s="583" t="s">
        <v>465</v>
      </c>
      <c r="J812" s="548" t="s">
        <v>114</v>
      </c>
      <c r="K812" s="583" t="s">
        <v>466</v>
      </c>
      <c r="L812" s="583" t="s">
        <v>467</v>
      </c>
      <c r="M812" s="625">
        <v>221221670756</v>
      </c>
      <c r="N812" s="620">
        <v>44508</v>
      </c>
      <c r="O812" s="684" t="s">
        <v>67</v>
      </c>
      <c r="P812" s="503">
        <f t="shared" si="47"/>
        <v>11</v>
      </c>
      <c r="Q812" s="503">
        <f t="shared" si="48"/>
        <v>9</v>
      </c>
      <c r="R812" s="504" t="str">
        <f t="shared" si="49"/>
        <v>Gastos_Gerais</v>
      </c>
      <c r="S812" s="504" t="str">
        <f>IF(D812="","",IF(OR(D812=Plano!$A$1,D812=Plano!$B$1),"entrada","saída"))</f>
        <v>saída</v>
      </c>
      <c r="T812" s="511" t="s">
        <v>114</v>
      </c>
      <c r="U812" s="511" t="s">
        <v>114</v>
      </c>
      <c r="V812" s="541"/>
    </row>
    <row r="813" spans="1:22" ht="38.25" customHeight="1" x14ac:dyDescent="0.2">
      <c r="A813" s="619">
        <f>IF(B813="","",COUNT('Diário 5º PA'!$A$5:$A$2634)+COUNT('Diário 6º PA'!$A$5:$A$2246)+COUNT('Diário 7º PA'!$A$5:$A$2271)+ROW()-4)</f>
        <v>4759</v>
      </c>
      <c r="B813" s="620">
        <v>44508</v>
      </c>
      <c r="C813" s="624">
        <v>44470</v>
      </c>
      <c r="D813" s="548" t="s">
        <v>99</v>
      </c>
      <c r="E813" s="548" t="s">
        <v>358</v>
      </c>
      <c r="F813" s="622">
        <v>120</v>
      </c>
      <c r="G813" s="623" t="s">
        <v>5842</v>
      </c>
      <c r="H813" s="548" t="s">
        <v>131</v>
      </c>
      <c r="I813" s="583" t="s">
        <v>465</v>
      </c>
      <c r="J813" s="548" t="s">
        <v>114</v>
      </c>
      <c r="K813" s="583" t="s">
        <v>466</v>
      </c>
      <c r="L813" s="583" t="s">
        <v>467</v>
      </c>
      <c r="M813" s="625">
        <v>221221671566</v>
      </c>
      <c r="N813" s="620">
        <v>44508</v>
      </c>
      <c r="O813" s="684" t="s">
        <v>67</v>
      </c>
      <c r="P813" s="503">
        <f t="shared" si="47"/>
        <v>11</v>
      </c>
      <c r="Q813" s="503">
        <f t="shared" si="48"/>
        <v>10</v>
      </c>
      <c r="R813" s="504" t="str">
        <f t="shared" si="49"/>
        <v>Gastos_Gerais</v>
      </c>
      <c r="S813" s="504" t="str">
        <f>IF(D813="","",IF(OR(D813=Plano!$A$1,D813=Plano!$B$1),"entrada","saída"))</f>
        <v>saída</v>
      </c>
      <c r="T813" s="511" t="s">
        <v>114</v>
      </c>
      <c r="U813" s="511" t="s">
        <v>114</v>
      </c>
      <c r="V813" s="541"/>
    </row>
    <row r="814" spans="1:22" ht="37.5" customHeight="1" x14ac:dyDescent="0.2">
      <c r="A814" s="619">
        <f>IF(B814="","",COUNT('Diário 5º PA'!$A$5:$A$2634)+COUNT('Diário 6º PA'!$A$5:$A$2246)+COUNT('Diário 7º PA'!$A$5:$A$2271)+ROW()-4)</f>
        <v>4760</v>
      </c>
      <c r="B814" s="620">
        <v>44508</v>
      </c>
      <c r="C814" s="624">
        <v>44440</v>
      </c>
      <c r="D814" s="548" t="s">
        <v>99</v>
      </c>
      <c r="E814" s="548" t="s">
        <v>358</v>
      </c>
      <c r="F814" s="622">
        <v>120</v>
      </c>
      <c r="G814" s="623" t="s">
        <v>5883</v>
      </c>
      <c r="H814" s="548" t="s">
        <v>131</v>
      </c>
      <c r="I814" s="583" t="s">
        <v>465</v>
      </c>
      <c r="J814" s="548" t="s">
        <v>114</v>
      </c>
      <c r="K814" s="583" t="s">
        <v>466</v>
      </c>
      <c r="L814" s="583" t="s">
        <v>467</v>
      </c>
      <c r="M814" s="625">
        <v>221221672538</v>
      </c>
      <c r="N814" s="620">
        <v>44508</v>
      </c>
      <c r="O814" s="684" t="s">
        <v>67</v>
      </c>
      <c r="P814" s="503">
        <f t="shared" si="47"/>
        <v>11</v>
      </c>
      <c r="Q814" s="503">
        <f t="shared" si="48"/>
        <v>9</v>
      </c>
      <c r="R814" s="504" t="str">
        <f t="shared" si="49"/>
        <v>Gastos_Gerais</v>
      </c>
      <c r="S814" s="504" t="str">
        <f>IF(D814="","",IF(OR(D814=Plano!$A$1,D814=Plano!$B$1),"entrada","saída"))</f>
        <v>saída</v>
      </c>
      <c r="T814" s="511" t="s">
        <v>114</v>
      </c>
      <c r="U814" s="511" t="s">
        <v>114</v>
      </c>
      <c r="V814" s="541"/>
    </row>
    <row r="815" spans="1:22" ht="30.75" customHeight="1" x14ac:dyDescent="0.2">
      <c r="A815" s="619">
        <f>IF(B815="","",COUNT('Diário 5º PA'!$A$5:$A$2634)+COUNT('Diário 6º PA'!$A$5:$A$2246)+COUNT('Diário 7º PA'!$A$5:$A$2271)+ROW()-4)</f>
        <v>4761</v>
      </c>
      <c r="B815" s="620">
        <v>44508</v>
      </c>
      <c r="C815" s="624">
        <v>44440</v>
      </c>
      <c r="D815" s="548" t="s">
        <v>99</v>
      </c>
      <c r="E815" s="548" t="s">
        <v>262</v>
      </c>
      <c r="F815" s="622">
        <v>60</v>
      </c>
      <c r="G815" s="623" t="s">
        <v>5849</v>
      </c>
      <c r="H815" s="548" t="s">
        <v>115</v>
      </c>
      <c r="I815" s="583" t="s">
        <v>465</v>
      </c>
      <c r="J815" s="548" t="s">
        <v>114</v>
      </c>
      <c r="K815" s="583" t="s">
        <v>466</v>
      </c>
      <c r="L815" s="583" t="s">
        <v>467</v>
      </c>
      <c r="M815" s="625">
        <v>221221673267</v>
      </c>
      <c r="N815" s="620">
        <v>44508</v>
      </c>
      <c r="O815" s="684" t="s">
        <v>67</v>
      </c>
      <c r="P815" s="503">
        <f t="shared" si="47"/>
        <v>11</v>
      </c>
      <c r="Q815" s="503">
        <f t="shared" si="48"/>
        <v>9</v>
      </c>
      <c r="R815" s="504" t="str">
        <f t="shared" si="49"/>
        <v>Gastos_Gerais</v>
      </c>
      <c r="S815" s="504" t="str">
        <f>IF(D815="","",IF(OR(D815=Plano!$A$1,D815=Plano!$B$1),"entrada","saída"))</f>
        <v>saída</v>
      </c>
      <c r="T815" s="511" t="s">
        <v>114</v>
      </c>
      <c r="U815" s="511" t="s">
        <v>114</v>
      </c>
      <c r="V815" s="541"/>
    </row>
    <row r="816" spans="1:22" ht="41.25" customHeight="1" x14ac:dyDescent="0.2">
      <c r="A816" s="619">
        <f>IF(B816="","",COUNT('Diário 5º PA'!$A$5:$A$2634)+COUNT('Diário 6º PA'!$A$5:$A$2246)+COUNT('Diário 7º PA'!$A$5:$A$2271)+ROW()-4)</f>
        <v>4762</v>
      </c>
      <c r="B816" s="620">
        <v>44508</v>
      </c>
      <c r="C816" s="624">
        <v>44409</v>
      </c>
      <c r="D816" s="548" t="s">
        <v>99</v>
      </c>
      <c r="E816" s="548" t="s">
        <v>342</v>
      </c>
      <c r="F816" s="622">
        <v>40</v>
      </c>
      <c r="G816" s="623" t="s">
        <v>6114</v>
      </c>
      <c r="H816" s="548" t="s">
        <v>122</v>
      </c>
      <c r="I816" s="583" t="s">
        <v>465</v>
      </c>
      <c r="J816" s="548" t="s">
        <v>114</v>
      </c>
      <c r="K816" s="583" t="s">
        <v>466</v>
      </c>
      <c r="L816" s="583" t="s">
        <v>467</v>
      </c>
      <c r="M816" s="625">
        <v>221221673267</v>
      </c>
      <c r="N816" s="620">
        <v>44508</v>
      </c>
      <c r="O816" s="684" t="s">
        <v>67</v>
      </c>
      <c r="P816" s="503">
        <f t="shared" si="47"/>
        <v>11</v>
      </c>
      <c r="Q816" s="503">
        <f t="shared" si="48"/>
        <v>8</v>
      </c>
      <c r="R816" s="504" t="str">
        <f t="shared" si="49"/>
        <v>Gastos_Gerais</v>
      </c>
      <c r="S816" s="504" t="str">
        <f>IF(D816="","",IF(OR(D816=Plano!$A$1,D816=Plano!$B$1),"entrada","saída"))</f>
        <v>saída</v>
      </c>
      <c r="T816" s="511" t="s">
        <v>114</v>
      </c>
      <c r="U816" s="511" t="s">
        <v>114</v>
      </c>
      <c r="V816" s="541"/>
    </row>
    <row r="817" spans="1:22" s="522" customFormat="1" ht="41.25" customHeight="1" x14ac:dyDescent="0.2">
      <c r="A817" s="619">
        <f>IF(B817="","",COUNT('Diário 5º PA'!$A$5:$A$2634)+COUNT('Diário 6º PA'!$A$5:$A$2246)+COUNT('Diário 7º PA'!$A$5:$A$2271)+ROW()-4)</f>
        <v>4763</v>
      </c>
      <c r="B817" s="620">
        <v>44508</v>
      </c>
      <c r="C817" s="624">
        <v>44409</v>
      </c>
      <c r="D817" s="548" t="s">
        <v>99</v>
      </c>
      <c r="E817" s="548" t="s">
        <v>342</v>
      </c>
      <c r="F817" s="622">
        <v>40</v>
      </c>
      <c r="G817" s="623" t="s">
        <v>5887</v>
      </c>
      <c r="H817" s="548" t="s">
        <v>122</v>
      </c>
      <c r="I817" s="583" t="s">
        <v>465</v>
      </c>
      <c r="J817" s="548" t="s">
        <v>114</v>
      </c>
      <c r="K817" s="583" t="s">
        <v>466</v>
      </c>
      <c r="L817" s="583" t="s">
        <v>467</v>
      </c>
      <c r="M817" s="625">
        <v>221221675472</v>
      </c>
      <c r="N817" s="620">
        <v>44508</v>
      </c>
      <c r="O817" s="684" t="s">
        <v>67</v>
      </c>
      <c r="P817" s="503">
        <f t="shared" si="47"/>
        <v>11</v>
      </c>
      <c r="Q817" s="503">
        <f t="shared" si="48"/>
        <v>8</v>
      </c>
      <c r="R817" s="504" t="str">
        <f t="shared" si="49"/>
        <v>Gastos_Gerais</v>
      </c>
      <c r="S817" s="504" t="str">
        <f>IF(D817="","",IF(OR(D817=Plano!$A$1,D817=Plano!$B$1),"entrada","saída"))</f>
        <v>saída</v>
      </c>
      <c r="T817" s="511" t="s">
        <v>114</v>
      </c>
      <c r="U817" s="511" t="s">
        <v>114</v>
      </c>
      <c r="V817" s="541"/>
    </row>
    <row r="818" spans="1:22" s="522" customFormat="1" ht="41.25" customHeight="1" x14ac:dyDescent="0.2">
      <c r="A818" s="619">
        <f>IF(B818="","",COUNT('Diário 5º PA'!$A$5:$A$2634)+COUNT('Diário 6º PA'!$A$5:$A$2246)+COUNT('Diário 7º PA'!$A$5:$A$2271)+ROW()-4)</f>
        <v>4764</v>
      </c>
      <c r="B818" s="620">
        <v>44508</v>
      </c>
      <c r="C818" s="624">
        <v>44440</v>
      </c>
      <c r="D818" s="548" t="s">
        <v>99</v>
      </c>
      <c r="E818" s="548" t="s">
        <v>364</v>
      </c>
      <c r="F818" s="622">
        <v>17.5</v>
      </c>
      <c r="G818" s="623" t="s">
        <v>5911</v>
      </c>
      <c r="H818" s="548" t="s">
        <v>125</v>
      </c>
      <c r="I818" s="583" t="s">
        <v>465</v>
      </c>
      <c r="J818" s="548" t="s">
        <v>114</v>
      </c>
      <c r="K818" s="583" t="s">
        <v>466</v>
      </c>
      <c r="L818" s="583" t="s">
        <v>467</v>
      </c>
      <c r="M818" s="625">
        <v>221221676282</v>
      </c>
      <c r="N818" s="620">
        <v>44508</v>
      </c>
      <c r="O818" s="684" t="s">
        <v>67</v>
      </c>
      <c r="P818" s="503">
        <f t="shared" si="47"/>
        <v>11</v>
      </c>
      <c r="Q818" s="503">
        <f t="shared" si="48"/>
        <v>9</v>
      </c>
      <c r="R818" s="504" t="str">
        <f t="shared" si="49"/>
        <v>Gastos_Gerais</v>
      </c>
      <c r="S818" s="504" t="str">
        <f>IF(D818="","",IF(OR(D818=Plano!$A$1,D818=Plano!$B$1),"entrada","saída"))</f>
        <v>saída</v>
      </c>
      <c r="T818" s="511" t="s">
        <v>114</v>
      </c>
      <c r="U818" s="511" t="s">
        <v>114</v>
      </c>
      <c r="V818" s="541"/>
    </row>
    <row r="819" spans="1:22" s="522" customFormat="1" ht="41.25" customHeight="1" x14ac:dyDescent="0.2">
      <c r="A819" s="619">
        <f>IF(B819="","",COUNT('Diário 5º PA'!$A$5:$A$2634)+COUNT('Diário 6º PA'!$A$5:$A$2246)+COUNT('Diário 7º PA'!$A$5:$A$2271)+ROW()-4)</f>
        <v>4765</v>
      </c>
      <c r="B819" s="620">
        <v>44508</v>
      </c>
      <c r="C819" s="624">
        <v>44470</v>
      </c>
      <c r="D819" s="548" t="s">
        <v>99</v>
      </c>
      <c r="E819" s="548" t="s">
        <v>364</v>
      </c>
      <c r="F819" s="622">
        <v>200</v>
      </c>
      <c r="G819" s="623" t="s">
        <v>5905</v>
      </c>
      <c r="H819" s="548" t="s">
        <v>131</v>
      </c>
      <c r="I819" s="583" t="s">
        <v>465</v>
      </c>
      <c r="J819" s="548" t="s">
        <v>114</v>
      </c>
      <c r="K819" s="583" t="s">
        <v>466</v>
      </c>
      <c r="L819" s="583" t="s">
        <v>467</v>
      </c>
      <c r="M819" s="625">
        <v>221221676959</v>
      </c>
      <c r="N819" s="620">
        <v>44508</v>
      </c>
      <c r="O819" s="684" t="s">
        <v>67</v>
      </c>
      <c r="P819" s="503">
        <f t="shared" si="47"/>
        <v>11</v>
      </c>
      <c r="Q819" s="503">
        <f t="shared" si="48"/>
        <v>10</v>
      </c>
      <c r="R819" s="504" t="str">
        <f t="shared" si="49"/>
        <v>Gastos_Gerais</v>
      </c>
      <c r="S819" s="504" t="str">
        <f>IF(D819="","",IF(OR(D819=Plano!$A$1,D819=Plano!$B$1),"entrada","saída"))</f>
        <v>saída</v>
      </c>
      <c r="T819" s="511" t="s">
        <v>114</v>
      </c>
      <c r="U819" s="511" t="s">
        <v>114</v>
      </c>
      <c r="V819" s="541"/>
    </row>
    <row r="820" spans="1:22" s="522" customFormat="1" ht="41.25" customHeight="1" x14ac:dyDescent="0.2">
      <c r="A820" s="619">
        <f>IF(B820="","",COUNT('Diário 5º PA'!$A$5:$A$2634)+COUNT('Diário 6º PA'!$A$5:$A$2246)+COUNT('Diário 7º PA'!$A$5:$A$2271)+ROW()-4)</f>
        <v>4766</v>
      </c>
      <c r="B820" s="620">
        <v>44508</v>
      </c>
      <c r="C820" s="624">
        <v>44440</v>
      </c>
      <c r="D820" s="548" t="s">
        <v>99</v>
      </c>
      <c r="E820" s="548" t="s">
        <v>364</v>
      </c>
      <c r="F820" s="622">
        <v>30</v>
      </c>
      <c r="G820" s="623" t="s">
        <v>5820</v>
      </c>
      <c r="H820" s="548" t="s">
        <v>118</v>
      </c>
      <c r="I820" s="583" t="s">
        <v>465</v>
      </c>
      <c r="J820" s="548" t="s">
        <v>114</v>
      </c>
      <c r="K820" s="583" t="s">
        <v>466</v>
      </c>
      <c r="L820" s="583" t="s">
        <v>467</v>
      </c>
      <c r="M820" s="625">
        <v>221221678650</v>
      </c>
      <c r="N820" s="620">
        <v>44508</v>
      </c>
      <c r="O820" s="684" t="s">
        <v>67</v>
      </c>
      <c r="P820" s="503">
        <f t="shared" si="47"/>
        <v>11</v>
      </c>
      <c r="Q820" s="503">
        <f t="shared" si="48"/>
        <v>9</v>
      </c>
      <c r="R820" s="504" t="str">
        <f t="shared" si="49"/>
        <v>Gastos_Gerais</v>
      </c>
      <c r="S820" s="504" t="str">
        <f>IF(D820="","",IF(OR(D820=Plano!$A$1,D820=Plano!$B$1),"entrada","saída"))</f>
        <v>saída</v>
      </c>
      <c r="T820" s="511" t="s">
        <v>114</v>
      </c>
      <c r="U820" s="511" t="s">
        <v>114</v>
      </c>
      <c r="V820" s="541"/>
    </row>
    <row r="821" spans="1:22" s="522" customFormat="1" ht="41.25" customHeight="1" x14ac:dyDescent="0.2">
      <c r="A821" s="619">
        <f>IF(B821="","",COUNT('Diário 5º PA'!$A$5:$A$2634)+COUNT('Diário 6º PA'!$A$5:$A$2246)+COUNT('Diário 7º PA'!$A$5:$A$2271)+ROW()-4)</f>
        <v>4767</v>
      </c>
      <c r="B821" s="620">
        <v>44508</v>
      </c>
      <c r="C821" s="624">
        <v>44409</v>
      </c>
      <c r="D821" s="548" t="s">
        <v>99</v>
      </c>
      <c r="E821" s="548" t="s">
        <v>364</v>
      </c>
      <c r="F821" s="622">
        <v>16.079999999999998</v>
      </c>
      <c r="G821" s="623" t="s">
        <v>5915</v>
      </c>
      <c r="H821" s="548" t="s">
        <v>122</v>
      </c>
      <c r="I821" s="583" t="s">
        <v>465</v>
      </c>
      <c r="J821" s="548" t="s">
        <v>114</v>
      </c>
      <c r="K821" s="583" t="s">
        <v>466</v>
      </c>
      <c r="L821" s="583" t="s">
        <v>467</v>
      </c>
      <c r="M821" s="625">
        <v>221221679702</v>
      </c>
      <c r="N821" s="620">
        <v>44508</v>
      </c>
      <c r="O821" s="684" t="s">
        <v>67</v>
      </c>
      <c r="P821" s="503">
        <f t="shared" si="47"/>
        <v>11</v>
      </c>
      <c r="Q821" s="503">
        <f t="shared" si="48"/>
        <v>8</v>
      </c>
      <c r="R821" s="504" t="str">
        <f t="shared" si="49"/>
        <v>Gastos_Gerais</v>
      </c>
      <c r="S821" s="504" t="str">
        <f>IF(D821="","",IF(OR(D821=Plano!$A$1,D821=Plano!$B$1),"entrada","saída"))</f>
        <v>saída</v>
      </c>
      <c r="T821" s="511" t="s">
        <v>114</v>
      </c>
      <c r="U821" s="511" t="s">
        <v>114</v>
      </c>
      <c r="V821" s="541"/>
    </row>
    <row r="822" spans="1:22" ht="60.75" customHeight="1" x14ac:dyDescent="0.2">
      <c r="A822" s="619">
        <f>IF(B822="","",COUNT('Diário 5º PA'!$A$5:$A$2634)+COUNT('Diário 6º PA'!$A$5:$A$2246)+COUNT('Diário 7º PA'!$A$5:$A$2271)+ROW()-4)</f>
        <v>4768</v>
      </c>
      <c r="B822" s="620">
        <v>44508</v>
      </c>
      <c r="C822" s="628">
        <v>44470</v>
      </c>
      <c r="D822" s="548" t="s">
        <v>99</v>
      </c>
      <c r="E822" s="548" t="s">
        <v>352</v>
      </c>
      <c r="F822" s="622">
        <v>40</v>
      </c>
      <c r="G822" s="623" t="s">
        <v>5889</v>
      </c>
      <c r="H822" s="548" t="s">
        <v>128</v>
      </c>
      <c r="I822" s="583" t="s">
        <v>465</v>
      </c>
      <c r="J822" s="548" t="s">
        <v>114</v>
      </c>
      <c r="K822" s="583" t="s">
        <v>466</v>
      </c>
      <c r="L822" s="583" t="s">
        <v>467</v>
      </c>
      <c r="M822" s="625">
        <v>221221680395</v>
      </c>
      <c r="N822" s="620">
        <v>44508</v>
      </c>
      <c r="O822" s="684" t="s">
        <v>67</v>
      </c>
      <c r="P822" s="503">
        <f t="shared" si="47"/>
        <v>11</v>
      </c>
      <c r="Q822" s="503">
        <f t="shared" si="48"/>
        <v>10</v>
      </c>
      <c r="R822" s="504" t="str">
        <f t="shared" si="49"/>
        <v>Gastos_Gerais</v>
      </c>
      <c r="S822" s="504" t="str">
        <f>IF(D822="","",IF(OR(D822=Plano!$A$1,D822=Plano!$B$1),"entrada","saída"))</f>
        <v>saída</v>
      </c>
      <c r="T822" s="511" t="s">
        <v>114</v>
      </c>
      <c r="U822" s="511" t="s">
        <v>114</v>
      </c>
      <c r="V822" s="541"/>
    </row>
    <row r="823" spans="1:22" ht="58.5" customHeight="1" x14ac:dyDescent="0.2">
      <c r="A823" s="619">
        <f>IF(B823="","",COUNT('Diário 5º PA'!$A$5:$A$2634)+COUNT('Diário 6º PA'!$A$5:$A$2246)+COUNT('Diário 7º PA'!$A$5:$A$2271)+ROW()-4)</f>
        <v>4769</v>
      </c>
      <c r="B823" s="620">
        <v>44508</v>
      </c>
      <c r="C823" s="628">
        <v>44470</v>
      </c>
      <c r="D823" s="548" t="s">
        <v>99</v>
      </c>
      <c r="E823" s="548" t="s">
        <v>336</v>
      </c>
      <c r="F823" s="622">
        <v>80.400000000000006</v>
      </c>
      <c r="G823" s="623" t="s">
        <v>5941</v>
      </c>
      <c r="H823" s="548" t="s">
        <v>128</v>
      </c>
      <c r="I823" s="583" t="s">
        <v>465</v>
      </c>
      <c r="J823" s="548" t="s">
        <v>114</v>
      </c>
      <c r="K823" s="583" t="s">
        <v>466</v>
      </c>
      <c r="L823" s="583" t="s">
        <v>467</v>
      </c>
      <c r="M823" s="625">
        <v>221221680638</v>
      </c>
      <c r="N823" s="620">
        <v>44508</v>
      </c>
      <c r="O823" s="684" t="s">
        <v>67</v>
      </c>
      <c r="P823" s="503">
        <f t="shared" si="47"/>
        <v>11</v>
      </c>
      <c r="Q823" s="503">
        <f t="shared" si="48"/>
        <v>10</v>
      </c>
      <c r="R823" s="504" t="str">
        <f t="shared" si="49"/>
        <v>Gastos_Gerais</v>
      </c>
      <c r="S823" s="504" t="str">
        <f>IF(D823="","",IF(OR(D823=Plano!$A$1,D823=Plano!$B$1),"entrada","saída"))</f>
        <v>saída</v>
      </c>
      <c r="T823" s="511" t="s">
        <v>114</v>
      </c>
      <c r="U823" s="511" t="s">
        <v>114</v>
      </c>
      <c r="V823" s="541"/>
    </row>
    <row r="824" spans="1:22" ht="39" customHeight="1" x14ac:dyDescent="0.2">
      <c r="A824" s="619">
        <f>IF(B824="","",COUNT('Diário 5º PA'!$A$5:$A$2634)+COUNT('Diário 6º PA'!$A$5:$A$2246)+COUNT('Diário 7º PA'!$A$5:$A$2271)+ROW()-4)</f>
        <v>4770</v>
      </c>
      <c r="B824" s="620">
        <v>44508</v>
      </c>
      <c r="C824" s="624">
        <v>44440</v>
      </c>
      <c r="D824" s="548" t="s">
        <v>99</v>
      </c>
      <c r="E824" s="548" t="s">
        <v>364</v>
      </c>
      <c r="F824" s="622">
        <v>83.2</v>
      </c>
      <c r="G824" s="623" t="s">
        <v>5877</v>
      </c>
      <c r="H824" s="548" t="s">
        <v>118</v>
      </c>
      <c r="I824" s="583" t="s">
        <v>465</v>
      </c>
      <c r="J824" s="548" t="s">
        <v>114</v>
      </c>
      <c r="K824" s="583" t="s">
        <v>466</v>
      </c>
      <c r="L824" s="583" t="s">
        <v>467</v>
      </c>
      <c r="M824" s="625">
        <v>221221681286</v>
      </c>
      <c r="N824" s="620">
        <v>44508</v>
      </c>
      <c r="O824" s="684" t="s">
        <v>67</v>
      </c>
      <c r="P824" s="503">
        <f t="shared" si="47"/>
        <v>11</v>
      </c>
      <c r="Q824" s="503">
        <f t="shared" si="48"/>
        <v>9</v>
      </c>
      <c r="R824" s="504" t="str">
        <f t="shared" si="49"/>
        <v>Gastos_Gerais</v>
      </c>
      <c r="S824" s="504" t="str">
        <f>IF(D824="","",IF(OR(D824=Plano!$A$1,D824=Plano!$B$1),"entrada","saída"))</f>
        <v>saída</v>
      </c>
      <c r="T824" s="511" t="s">
        <v>114</v>
      </c>
      <c r="U824" s="511" t="s">
        <v>114</v>
      </c>
      <c r="V824" s="541"/>
    </row>
    <row r="825" spans="1:22" ht="48.75" customHeight="1" x14ac:dyDescent="0.2">
      <c r="A825" s="619">
        <f>IF(B825="","",COUNT('Diário 5º PA'!$A$5:$A$2634)+COUNT('Diário 6º PA'!$A$5:$A$2246)+COUNT('Diário 7º PA'!$A$5:$A$2271)+ROW()-4)</f>
        <v>4771</v>
      </c>
      <c r="B825" s="620">
        <v>44508</v>
      </c>
      <c r="C825" s="624">
        <v>44440</v>
      </c>
      <c r="D825" s="548" t="s">
        <v>99</v>
      </c>
      <c r="E825" s="548" t="s">
        <v>262</v>
      </c>
      <c r="F825" s="622">
        <v>154.5</v>
      </c>
      <c r="G825" s="623" t="s">
        <v>6115</v>
      </c>
      <c r="H825" s="548" t="s">
        <v>115</v>
      </c>
      <c r="I825" s="583" t="s">
        <v>465</v>
      </c>
      <c r="J825" s="548" t="s">
        <v>114</v>
      </c>
      <c r="K825" s="583" t="s">
        <v>466</v>
      </c>
      <c r="L825" s="583" t="s">
        <v>467</v>
      </c>
      <c r="M825" s="625">
        <v>221221682096</v>
      </c>
      <c r="N825" s="620">
        <v>44508</v>
      </c>
      <c r="O825" s="684" t="s">
        <v>67</v>
      </c>
      <c r="P825" s="503">
        <f t="shared" si="47"/>
        <v>11</v>
      </c>
      <c r="Q825" s="503">
        <f t="shared" si="48"/>
        <v>9</v>
      </c>
      <c r="R825" s="504" t="str">
        <f t="shared" si="49"/>
        <v>Gastos_Gerais</v>
      </c>
      <c r="S825" s="504" t="str">
        <f>IF(D825="","",IF(OR(D825=Plano!$A$1,D825=Plano!$B$1),"entrada","saída"))</f>
        <v>saída</v>
      </c>
      <c r="T825" s="511" t="s">
        <v>114</v>
      </c>
      <c r="U825" s="511" t="s">
        <v>114</v>
      </c>
      <c r="V825" s="541"/>
    </row>
    <row r="826" spans="1:22" ht="57.75" customHeight="1" x14ac:dyDescent="0.2">
      <c r="A826" s="619">
        <f>IF(B826="","",COUNT('Diário 5º PA'!$A$5:$A$2634)+COUNT('Diário 6º PA'!$A$5:$A$2246)+COUNT('Diário 7º PA'!$A$5:$A$2271)+ROW()-4)</f>
        <v>4772</v>
      </c>
      <c r="B826" s="620">
        <v>44508</v>
      </c>
      <c r="C826" s="624">
        <v>44440</v>
      </c>
      <c r="D826" s="548" t="s">
        <v>99</v>
      </c>
      <c r="E826" s="548" t="s">
        <v>266</v>
      </c>
      <c r="F826" s="622">
        <v>263.33999999999997</v>
      </c>
      <c r="G826" s="623" t="s">
        <v>5918</v>
      </c>
      <c r="H826" s="548" t="s">
        <v>131</v>
      </c>
      <c r="I826" s="583" t="s">
        <v>465</v>
      </c>
      <c r="J826" s="548" t="s">
        <v>114</v>
      </c>
      <c r="K826" s="583" t="s">
        <v>466</v>
      </c>
      <c r="L826" s="583" t="s">
        <v>467</v>
      </c>
      <c r="M826" s="625">
        <v>221221682410</v>
      </c>
      <c r="N826" s="620">
        <v>44508</v>
      </c>
      <c r="O826" s="684" t="s">
        <v>67</v>
      </c>
      <c r="P826" s="503">
        <f t="shared" si="47"/>
        <v>11</v>
      </c>
      <c r="Q826" s="503">
        <f t="shared" si="48"/>
        <v>9</v>
      </c>
      <c r="R826" s="504" t="str">
        <f t="shared" si="49"/>
        <v>Gastos_Gerais</v>
      </c>
      <c r="S826" s="504" t="str">
        <f>IF(D826="","",IF(OR(D826=Plano!$A$1,D826=Plano!$B$1),"entrada","saída"))</f>
        <v>saída</v>
      </c>
      <c r="T826" s="511" t="s">
        <v>114</v>
      </c>
      <c r="U826" s="511" t="s">
        <v>114</v>
      </c>
      <c r="V826" s="541"/>
    </row>
    <row r="827" spans="1:22" ht="40.5" customHeight="1" x14ac:dyDescent="0.2">
      <c r="A827" s="619">
        <f>IF(B827="","",COUNT('Diário 5º PA'!$A$5:$A$2634)+COUNT('Diário 6º PA'!$A$5:$A$2246)+COUNT('Diário 7º PA'!$A$5:$A$2271)+ROW()-4)</f>
        <v>4773</v>
      </c>
      <c r="B827" s="620">
        <v>44508</v>
      </c>
      <c r="C827" s="624">
        <v>44470</v>
      </c>
      <c r="D827" s="548" t="s">
        <v>99</v>
      </c>
      <c r="E827" s="548" t="s">
        <v>336</v>
      </c>
      <c r="F827" s="622">
        <v>69</v>
      </c>
      <c r="G827" s="623" t="s">
        <v>5944</v>
      </c>
      <c r="H827" s="548" t="s">
        <v>116</v>
      </c>
      <c r="I827" s="583" t="s">
        <v>465</v>
      </c>
      <c r="J827" s="548" t="s">
        <v>114</v>
      </c>
      <c r="K827" s="583" t="s">
        <v>466</v>
      </c>
      <c r="L827" s="583" t="s">
        <v>467</v>
      </c>
      <c r="M827" s="625">
        <v>221221684382</v>
      </c>
      <c r="N827" s="620">
        <v>44508</v>
      </c>
      <c r="O827" s="684" t="s">
        <v>67</v>
      </c>
      <c r="P827" s="503">
        <f t="shared" si="47"/>
        <v>11</v>
      </c>
      <c r="Q827" s="503">
        <f t="shared" si="48"/>
        <v>10</v>
      </c>
      <c r="R827" s="504" t="str">
        <f t="shared" si="49"/>
        <v>Gastos_Gerais</v>
      </c>
      <c r="S827" s="504" t="str">
        <f>IF(D827="","",IF(OR(D827=Plano!$A$1,D827=Plano!$B$1),"entrada","saída"))</f>
        <v>saída</v>
      </c>
      <c r="T827" s="511" t="s">
        <v>114</v>
      </c>
      <c r="U827" s="511" t="s">
        <v>114</v>
      </c>
      <c r="V827" s="541"/>
    </row>
    <row r="828" spans="1:22" ht="45.75" customHeight="1" x14ac:dyDescent="0.2">
      <c r="A828" s="619">
        <f>IF(B828="","",COUNT('Diário 5º PA'!$A$5:$A$2634)+COUNT('Diário 6º PA'!$A$5:$A$2246)+COUNT('Diário 7º PA'!$A$5:$A$2271)+ROW()-4)</f>
        <v>4774</v>
      </c>
      <c r="B828" s="620">
        <v>44508</v>
      </c>
      <c r="C828" s="624">
        <v>44440</v>
      </c>
      <c r="D828" s="548" t="s">
        <v>99</v>
      </c>
      <c r="E828" s="548" t="s">
        <v>230</v>
      </c>
      <c r="F828" s="622">
        <v>278.95999999999998</v>
      </c>
      <c r="G828" s="623" t="s">
        <v>5605</v>
      </c>
      <c r="H828" s="548" t="s">
        <v>115</v>
      </c>
      <c r="I828" s="583" t="s">
        <v>465</v>
      </c>
      <c r="J828" s="548" t="s">
        <v>114</v>
      </c>
      <c r="K828" s="583" t="s">
        <v>466</v>
      </c>
      <c r="L828" s="583" t="s">
        <v>467</v>
      </c>
      <c r="M828" s="625">
        <v>221221684978</v>
      </c>
      <c r="N828" s="620">
        <v>44508</v>
      </c>
      <c r="O828" s="684" t="s">
        <v>67</v>
      </c>
      <c r="P828" s="503">
        <f t="shared" si="47"/>
        <v>11</v>
      </c>
      <c r="Q828" s="503">
        <f t="shared" si="48"/>
        <v>9</v>
      </c>
      <c r="R828" s="504" t="str">
        <f t="shared" si="49"/>
        <v>Gastos_Gerais</v>
      </c>
      <c r="S828" s="504" t="str">
        <f>IF(D828="","",IF(OR(D828=Plano!$A$1,D828=Plano!$B$1),"entrada","saída"))</f>
        <v>saída</v>
      </c>
      <c r="T828" s="511" t="s">
        <v>114</v>
      </c>
      <c r="U828" s="511" t="s">
        <v>114</v>
      </c>
      <c r="V828" s="541"/>
    </row>
    <row r="829" spans="1:22" ht="48" customHeight="1" x14ac:dyDescent="0.2">
      <c r="A829" s="619">
        <f>IF(B829="","",COUNT('Diário 5º PA'!$A$5:$A$2634)+COUNT('Diário 6º PA'!$A$5:$A$2246)+COUNT('Diário 7º PA'!$A$5:$A$2271)+ROW()-4)</f>
        <v>4775</v>
      </c>
      <c r="B829" s="620">
        <v>44508</v>
      </c>
      <c r="C829" s="624">
        <v>44440</v>
      </c>
      <c r="D829" s="548" t="s">
        <v>99</v>
      </c>
      <c r="E829" s="548" t="s">
        <v>244</v>
      </c>
      <c r="F829" s="622">
        <v>117.49</v>
      </c>
      <c r="G829" s="623" t="s">
        <v>5866</v>
      </c>
      <c r="H829" s="548" t="s">
        <v>128</v>
      </c>
      <c r="I829" s="583" t="s">
        <v>465</v>
      </c>
      <c r="J829" s="548" t="s">
        <v>114</v>
      </c>
      <c r="K829" s="583" t="s">
        <v>466</v>
      </c>
      <c r="L829" s="583" t="s">
        <v>467</v>
      </c>
      <c r="M829" s="625">
        <v>221221685435</v>
      </c>
      <c r="N829" s="620">
        <v>44508</v>
      </c>
      <c r="O829" s="684" t="s">
        <v>67</v>
      </c>
      <c r="P829" s="503">
        <f t="shared" si="47"/>
        <v>11</v>
      </c>
      <c r="Q829" s="503">
        <f t="shared" si="48"/>
        <v>9</v>
      </c>
      <c r="R829" s="504" t="str">
        <f t="shared" si="49"/>
        <v>Gastos_Gerais</v>
      </c>
      <c r="S829" s="504" t="str">
        <f>IF(D829="","",IF(OR(D829=Plano!$A$1,D829=Plano!$B$1),"entrada","saída"))</f>
        <v>saída</v>
      </c>
      <c r="T829" s="511" t="s">
        <v>114</v>
      </c>
      <c r="U829" s="511" t="s">
        <v>114</v>
      </c>
      <c r="V829" s="541"/>
    </row>
    <row r="830" spans="1:22" ht="44.25" customHeight="1" x14ac:dyDescent="0.2">
      <c r="A830" s="619">
        <f>IF(B830="","",COUNT('Diário 5º PA'!$A$5:$A$2634)+COUNT('Diário 6º PA'!$A$5:$A$2246)+COUNT('Diário 7º PA'!$A$5:$A$2271)+ROW()-4)</f>
        <v>4776</v>
      </c>
      <c r="B830" s="620">
        <v>44508</v>
      </c>
      <c r="C830" s="624">
        <v>44470</v>
      </c>
      <c r="D830" s="548" t="s">
        <v>99</v>
      </c>
      <c r="E830" s="548" t="s">
        <v>382</v>
      </c>
      <c r="F830" s="622">
        <v>9.2899999999999991</v>
      </c>
      <c r="G830" s="623" t="s">
        <v>5946</v>
      </c>
      <c r="H830" s="548" t="s">
        <v>128</v>
      </c>
      <c r="I830" s="583" t="s">
        <v>465</v>
      </c>
      <c r="J830" s="548" t="s">
        <v>114</v>
      </c>
      <c r="K830" s="583" t="s">
        <v>466</v>
      </c>
      <c r="L830" s="583" t="s">
        <v>467</v>
      </c>
      <c r="M830" s="625">
        <v>221221685869</v>
      </c>
      <c r="N830" s="620">
        <v>44508</v>
      </c>
      <c r="O830" s="684" t="s">
        <v>67</v>
      </c>
      <c r="P830" s="503">
        <f t="shared" si="47"/>
        <v>11</v>
      </c>
      <c r="Q830" s="503">
        <f t="shared" si="48"/>
        <v>10</v>
      </c>
      <c r="R830" s="504" t="str">
        <f t="shared" si="49"/>
        <v>Gastos_Gerais</v>
      </c>
      <c r="S830" s="504" t="str">
        <f>IF(D830="","",IF(OR(D830=Plano!$A$1,D830=Plano!$B$1),"entrada","saída"))</f>
        <v>saída</v>
      </c>
      <c r="T830" s="511" t="s">
        <v>114</v>
      </c>
      <c r="U830" s="511" t="s">
        <v>114</v>
      </c>
      <c r="V830" s="541"/>
    </row>
    <row r="831" spans="1:22" ht="51" customHeight="1" x14ac:dyDescent="0.2">
      <c r="A831" s="619">
        <f>IF(B831="","",COUNT('Diário 5º PA'!$A$5:$A$2634)+COUNT('Diário 6º PA'!$A$5:$A$2246)+COUNT('Diário 7º PA'!$A$5:$A$2271)+ROW()-4)</f>
        <v>4777</v>
      </c>
      <c r="B831" s="620">
        <v>44508</v>
      </c>
      <c r="C831" s="624">
        <v>44228</v>
      </c>
      <c r="D831" s="548" t="s">
        <v>99</v>
      </c>
      <c r="E831" s="548" t="s">
        <v>330</v>
      </c>
      <c r="F831" s="622">
        <v>60</v>
      </c>
      <c r="G831" s="623" t="s">
        <v>5891</v>
      </c>
      <c r="H831" s="548" t="s">
        <v>135</v>
      </c>
      <c r="I831" s="583" t="s">
        <v>465</v>
      </c>
      <c r="J831" s="548" t="s">
        <v>114</v>
      </c>
      <c r="K831" s="583" t="s">
        <v>466</v>
      </c>
      <c r="L831" s="583" t="s">
        <v>467</v>
      </c>
      <c r="M831" s="625">
        <v>221221688884</v>
      </c>
      <c r="N831" s="620">
        <v>44508</v>
      </c>
      <c r="O831" s="684" t="s">
        <v>67</v>
      </c>
      <c r="P831" s="503">
        <f t="shared" si="47"/>
        <v>11</v>
      </c>
      <c r="Q831" s="503">
        <f t="shared" si="48"/>
        <v>2</v>
      </c>
      <c r="R831" s="504" t="str">
        <f t="shared" si="49"/>
        <v>Gastos_Gerais</v>
      </c>
      <c r="S831" s="504" t="str">
        <f>IF(D831="","",IF(OR(D831=Plano!$A$1,D831=Plano!$B$1),"entrada","saída"))</f>
        <v>saída</v>
      </c>
      <c r="T831" s="511" t="s">
        <v>114</v>
      </c>
      <c r="U831" s="511" t="s">
        <v>114</v>
      </c>
      <c r="V831" s="541"/>
    </row>
    <row r="832" spans="1:22" ht="48" customHeight="1" x14ac:dyDescent="0.2">
      <c r="A832" s="619">
        <f>IF(B832="","",COUNT('Diário 5º PA'!$A$5:$A$2634)+COUNT('Diário 6º PA'!$A$5:$A$2246)+COUNT('Diário 7º PA'!$A$5:$A$2271)+ROW()-4)</f>
        <v>4778</v>
      </c>
      <c r="B832" s="620">
        <v>44508</v>
      </c>
      <c r="C832" s="621">
        <v>44470</v>
      </c>
      <c r="D832" s="548" t="s">
        <v>99</v>
      </c>
      <c r="E832" s="548" t="s">
        <v>266</v>
      </c>
      <c r="F832" s="622">
        <v>9.2799999999999994</v>
      </c>
      <c r="G832" s="623" t="s">
        <v>6123</v>
      </c>
      <c r="H832" s="548" t="s">
        <v>115</v>
      </c>
      <c r="I832" s="583" t="s">
        <v>465</v>
      </c>
      <c r="J832" s="548" t="s">
        <v>114</v>
      </c>
      <c r="K832" s="583" t="s">
        <v>466</v>
      </c>
      <c r="L832" s="583" t="s">
        <v>467</v>
      </c>
      <c r="M832" s="625">
        <v>221221689856</v>
      </c>
      <c r="N832" s="620">
        <v>44508</v>
      </c>
      <c r="O832" s="684" t="s">
        <v>67</v>
      </c>
      <c r="P832" s="503">
        <f t="shared" ref="P832:P895" si="50">IF(B832=0,0,IF(YEAR(B832)=$Q$1,MONTH(B832)-$P$1+1,(YEAR(B832)-$Q$1)*12-$P$1+1+MONTH(B832)))</f>
        <v>11</v>
      </c>
      <c r="Q832" s="503">
        <f t="shared" ref="Q832:Q895" si="51">IF(C832=0,0,IF(YEAR(C832)=$Q$1,MONTH(C832)-$P$1+1,(YEAR(C832)-$Q$1)*12-$P$1+1+MONTH(C832)))</f>
        <v>10</v>
      </c>
      <c r="R832" s="504" t="str">
        <f t="shared" ref="R832:R895" si="52">SUBSTITUTE(D832," ","_")</f>
        <v>Gastos_Gerais</v>
      </c>
      <c r="S832" s="504" t="str">
        <f>IF(D832="","",IF(OR(D832=Plano!$A$1,D832=Plano!$B$1),"entrada","saída"))</f>
        <v>saída</v>
      </c>
      <c r="T832" s="511" t="s">
        <v>114</v>
      </c>
      <c r="U832" s="511" t="s">
        <v>114</v>
      </c>
      <c r="V832" s="541"/>
    </row>
    <row r="833" spans="1:22" ht="39" customHeight="1" x14ac:dyDescent="0.2">
      <c r="A833" s="619">
        <f>IF(B833="","",COUNT('Diário 5º PA'!$A$5:$A$2634)+COUNT('Diário 6º PA'!$A$5:$A$2246)+COUNT('Diário 7º PA'!$A$5:$A$2271)+ROW()-4)</f>
        <v>4779</v>
      </c>
      <c r="B833" s="620">
        <v>44508</v>
      </c>
      <c r="C833" s="624">
        <v>44470</v>
      </c>
      <c r="D833" s="548" t="s">
        <v>88</v>
      </c>
      <c r="E833" s="548" t="s">
        <v>183</v>
      </c>
      <c r="F833" s="622">
        <v>8.0500000000000007</v>
      </c>
      <c r="G833" s="623" t="s">
        <v>6006</v>
      </c>
      <c r="H833" s="548" t="s">
        <v>114</v>
      </c>
      <c r="I833" s="583" t="s">
        <v>465</v>
      </c>
      <c r="J833" s="548" t="s">
        <v>114</v>
      </c>
      <c r="K833" s="583" t="s">
        <v>466</v>
      </c>
      <c r="L833" s="583" t="s">
        <v>467</v>
      </c>
      <c r="M833" s="625">
        <v>221221690862</v>
      </c>
      <c r="N833" s="620">
        <v>44508</v>
      </c>
      <c r="O833" s="684" t="s">
        <v>67</v>
      </c>
      <c r="P833" s="503">
        <f t="shared" si="50"/>
        <v>11</v>
      </c>
      <c r="Q833" s="503">
        <f t="shared" si="51"/>
        <v>10</v>
      </c>
      <c r="R833" s="504" t="str">
        <f t="shared" si="52"/>
        <v>Gastos_com_Pessoal</v>
      </c>
      <c r="S833" s="504" t="str">
        <f>IF(D833="","",IF(OR(D833=Plano!$A$1,D833=Plano!$B$1),"entrada","saída"))</f>
        <v>saída</v>
      </c>
      <c r="T833" s="511" t="s">
        <v>114</v>
      </c>
      <c r="U833" s="511" t="s">
        <v>114</v>
      </c>
      <c r="V833" s="541"/>
    </row>
    <row r="834" spans="1:22" ht="42.75" customHeight="1" x14ac:dyDescent="0.2">
      <c r="A834" s="619">
        <f>IF(B834="","",COUNT('Diário 5º PA'!$A$5:$A$2634)+COUNT('Diário 6º PA'!$A$5:$A$2246)+COUNT('Diário 7º PA'!$A$5:$A$2271)+ROW()-4)</f>
        <v>4780</v>
      </c>
      <c r="B834" s="620">
        <v>44508</v>
      </c>
      <c r="C834" s="624">
        <v>44470</v>
      </c>
      <c r="D834" s="548" t="s">
        <v>88</v>
      </c>
      <c r="E834" s="548" t="s">
        <v>183</v>
      </c>
      <c r="F834" s="622">
        <v>14.06</v>
      </c>
      <c r="G834" s="623" t="s">
        <v>6004</v>
      </c>
      <c r="H834" s="548" t="s">
        <v>114</v>
      </c>
      <c r="I834" s="583" t="s">
        <v>465</v>
      </c>
      <c r="J834" s="548" t="s">
        <v>114</v>
      </c>
      <c r="K834" s="583" t="s">
        <v>466</v>
      </c>
      <c r="L834" s="583" t="s">
        <v>467</v>
      </c>
      <c r="M834" s="625">
        <v>221221691915</v>
      </c>
      <c r="N834" s="620">
        <v>44508</v>
      </c>
      <c r="O834" s="684" t="s">
        <v>67</v>
      </c>
      <c r="P834" s="503">
        <f t="shared" si="50"/>
        <v>11</v>
      </c>
      <c r="Q834" s="503">
        <f t="shared" si="51"/>
        <v>10</v>
      </c>
      <c r="R834" s="504" t="str">
        <f t="shared" si="52"/>
        <v>Gastos_com_Pessoal</v>
      </c>
      <c r="S834" s="504" t="str">
        <f>IF(D834="","",IF(OR(D834=Plano!$A$1,D834=Plano!$B$1),"entrada","saída"))</f>
        <v>saída</v>
      </c>
      <c r="T834" s="511" t="s">
        <v>114</v>
      </c>
      <c r="U834" s="511" t="s">
        <v>114</v>
      </c>
      <c r="V834" s="541"/>
    </row>
    <row r="835" spans="1:22" ht="54.95" customHeight="1" x14ac:dyDescent="0.2">
      <c r="A835" s="619">
        <f>IF(B835="","",COUNT('Diário 5º PA'!$A$5:$A$2634)+COUNT('Diário 6º PA'!$A$5:$A$2246)+COUNT('Diário 7º PA'!$A$5:$A$2271)+ROW()-4)</f>
        <v>4781</v>
      </c>
      <c r="B835" s="620">
        <v>44508</v>
      </c>
      <c r="C835" s="624">
        <v>44470</v>
      </c>
      <c r="D835" s="548" t="s">
        <v>88</v>
      </c>
      <c r="E835" s="548" t="s">
        <v>192</v>
      </c>
      <c r="F835" s="622">
        <v>0.13</v>
      </c>
      <c r="G835" s="623" t="s">
        <v>6125</v>
      </c>
      <c r="H835" s="548" t="s">
        <v>114</v>
      </c>
      <c r="I835" s="583" t="s">
        <v>465</v>
      </c>
      <c r="J835" s="548" t="s">
        <v>114</v>
      </c>
      <c r="K835" s="583" t="s">
        <v>466</v>
      </c>
      <c r="L835" s="583" t="s">
        <v>467</v>
      </c>
      <c r="M835" s="625">
        <v>221221692806</v>
      </c>
      <c r="N835" s="620">
        <v>44508</v>
      </c>
      <c r="O835" s="684" t="s">
        <v>67</v>
      </c>
      <c r="P835" s="503">
        <f t="shared" si="50"/>
        <v>11</v>
      </c>
      <c r="Q835" s="503">
        <f t="shared" si="51"/>
        <v>10</v>
      </c>
      <c r="R835" s="504" t="str">
        <f t="shared" si="52"/>
        <v>Gastos_com_Pessoal</v>
      </c>
      <c r="S835" s="504" t="str">
        <f>IF(D835="","",IF(OR(D835=Plano!$A$1,D835=Plano!$B$1),"entrada","saída"))</f>
        <v>saída</v>
      </c>
      <c r="T835" s="505" t="s">
        <v>114</v>
      </c>
      <c r="U835" s="505" t="s">
        <v>114</v>
      </c>
      <c r="V835" s="541"/>
    </row>
    <row r="836" spans="1:22" ht="54.95" customHeight="1" x14ac:dyDescent="0.2">
      <c r="A836" s="619">
        <f>IF(B836="","",COUNT('Diário 5º PA'!$A$5:$A$2634)+COUNT('Diário 6º PA'!$A$5:$A$2246)+COUNT('Diário 7º PA'!$A$5:$A$2271)+ROW()-4)</f>
        <v>4782</v>
      </c>
      <c r="B836" s="620">
        <v>44508</v>
      </c>
      <c r="C836" s="624">
        <v>44470</v>
      </c>
      <c r="D836" s="548" t="s">
        <v>88</v>
      </c>
      <c r="E836" s="548" t="s">
        <v>192</v>
      </c>
      <c r="F836" s="622">
        <v>0.25</v>
      </c>
      <c r="G836" s="623" t="s">
        <v>6124</v>
      </c>
      <c r="H836" s="548" t="s">
        <v>114</v>
      </c>
      <c r="I836" s="583" t="s">
        <v>465</v>
      </c>
      <c r="J836" s="548" t="s">
        <v>114</v>
      </c>
      <c r="K836" s="583" t="s">
        <v>466</v>
      </c>
      <c r="L836" s="583" t="s">
        <v>467</v>
      </c>
      <c r="M836" s="625">
        <v>221221694183</v>
      </c>
      <c r="N836" s="620">
        <v>44508</v>
      </c>
      <c r="O836" s="684" t="s">
        <v>67</v>
      </c>
      <c r="P836" s="503">
        <f t="shared" si="50"/>
        <v>11</v>
      </c>
      <c r="Q836" s="503">
        <f t="shared" si="51"/>
        <v>10</v>
      </c>
      <c r="R836" s="504" t="str">
        <f t="shared" si="52"/>
        <v>Gastos_com_Pessoal</v>
      </c>
      <c r="S836" s="504" t="str">
        <f>IF(D836="","",IF(OR(D836=Plano!$A$1,D836=Plano!$B$1),"entrada","saída"))</f>
        <v>saída</v>
      </c>
      <c r="T836" s="505" t="s">
        <v>114</v>
      </c>
      <c r="U836" s="505" t="s">
        <v>114</v>
      </c>
      <c r="V836" s="541"/>
    </row>
    <row r="837" spans="1:22" ht="50.1" customHeight="1" x14ac:dyDescent="0.2">
      <c r="A837" s="619">
        <f>IF(B837="","",COUNT('Diário 5º PA'!$A$5:$A$2634)+COUNT('Diário 6º PA'!$A$5:$A$2246)+COUNT('Diário 7º PA'!$A$5:$A$2271)+ROW()-4)</f>
        <v>4783</v>
      </c>
      <c r="B837" s="620">
        <v>44508</v>
      </c>
      <c r="C837" s="624">
        <v>44440</v>
      </c>
      <c r="D837" s="548" t="s">
        <v>88</v>
      </c>
      <c r="E837" s="548" t="s">
        <v>90</v>
      </c>
      <c r="F837" s="622">
        <v>6.8</v>
      </c>
      <c r="G837" s="623" t="s">
        <v>6126</v>
      </c>
      <c r="H837" s="548" t="s">
        <v>114</v>
      </c>
      <c r="I837" s="583" t="s">
        <v>465</v>
      </c>
      <c r="J837" s="548" t="s">
        <v>114</v>
      </c>
      <c r="K837" s="583" t="s">
        <v>466</v>
      </c>
      <c r="L837" s="583" t="s">
        <v>467</v>
      </c>
      <c r="M837" s="625">
        <v>221221694426</v>
      </c>
      <c r="N837" s="620">
        <v>44508</v>
      </c>
      <c r="O837" s="684" t="s">
        <v>67</v>
      </c>
      <c r="P837" s="503">
        <f t="shared" si="50"/>
        <v>11</v>
      </c>
      <c r="Q837" s="503">
        <f t="shared" si="51"/>
        <v>9</v>
      </c>
      <c r="R837" s="504" t="str">
        <f t="shared" si="52"/>
        <v>Gastos_com_Pessoal</v>
      </c>
      <c r="S837" s="504" t="str">
        <f>IF(D837="","",IF(OR(D837=Plano!$A$1,D837=Plano!$B$1),"entrada","saída"))</f>
        <v>saída</v>
      </c>
      <c r="T837" s="505" t="s">
        <v>114</v>
      </c>
      <c r="U837" s="505" t="s">
        <v>114</v>
      </c>
      <c r="V837" s="541"/>
    </row>
    <row r="838" spans="1:22" ht="50.1" customHeight="1" x14ac:dyDescent="0.2">
      <c r="A838" s="619">
        <f>IF(B838="","",COUNT('Diário 5º PA'!$A$5:$A$2634)+COUNT('Diário 6º PA'!$A$5:$A$2246)+COUNT('Diário 7º PA'!$A$5:$A$2271)+ROW()-4)</f>
        <v>4784</v>
      </c>
      <c r="B838" s="620">
        <v>44508</v>
      </c>
      <c r="C838" s="624">
        <v>44501</v>
      </c>
      <c r="D838" s="548" t="s">
        <v>88</v>
      </c>
      <c r="E838" s="548" t="s">
        <v>196</v>
      </c>
      <c r="F838" s="622">
        <v>176.52</v>
      </c>
      <c r="G838" s="623" t="s">
        <v>6127</v>
      </c>
      <c r="H838" s="548" t="s">
        <v>114</v>
      </c>
      <c r="I838" s="583" t="s">
        <v>465</v>
      </c>
      <c r="J838" s="548" t="s">
        <v>114</v>
      </c>
      <c r="K838" s="583" t="s">
        <v>466</v>
      </c>
      <c r="L838" s="583" t="s">
        <v>467</v>
      </c>
      <c r="M838" s="625">
        <v>221221695406</v>
      </c>
      <c r="N838" s="620">
        <v>44508</v>
      </c>
      <c r="O838" s="684" t="s">
        <v>67</v>
      </c>
      <c r="P838" s="503">
        <f t="shared" si="50"/>
        <v>11</v>
      </c>
      <c r="Q838" s="503">
        <f t="shared" si="51"/>
        <v>11</v>
      </c>
      <c r="R838" s="504" t="str">
        <f t="shared" si="52"/>
        <v>Gastos_com_Pessoal</v>
      </c>
      <c r="S838" s="504" t="str">
        <f>IF(D838="","",IF(OR(D838=Plano!$A$1,D838=Plano!$B$1),"entrada","saída"))</f>
        <v>saída</v>
      </c>
      <c r="T838" s="505" t="s">
        <v>114</v>
      </c>
      <c r="U838" s="505" t="s">
        <v>114</v>
      </c>
      <c r="V838" s="541"/>
    </row>
    <row r="839" spans="1:22" ht="50.1" customHeight="1" x14ac:dyDescent="0.2">
      <c r="A839" s="619">
        <f>IF(B839="","",COUNT('Diário 5º PA'!$A$5:$A$2634)+COUNT('Diário 6º PA'!$A$5:$A$2246)+COUNT('Diário 7º PA'!$A$5:$A$2271)+ROW()-4)</f>
        <v>4785</v>
      </c>
      <c r="B839" s="620">
        <v>44508</v>
      </c>
      <c r="C839" s="624">
        <v>44440</v>
      </c>
      <c r="D839" s="548" t="s">
        <v>99</v>
      </c>
      <c r="E839" s="548" t="s">
        <v>262</v>
      </c>
      <c r="F839" s="622">
        <v>72.099999999999994</v>
      </c>
      <c r="G839" s="623" t="s">
        <v>5661</v>
      </c>
      <c r="H839" s="548" t="s">
        <v>115</v>
      </c>
      <c r="I839" s="583" t="s">
        <v>465</v>
      </c>
      <c r="J839" s="548" t="s">
        <v>114</v>
      </c>
      <c r="K839" s="583" t="s">
        <v>466</v>
      </c>
      <c r="L839" s="583" t="s">
        <v>467</v>
      </c>
      <c r="M839" s="625">
        <v>221221696127</v>
      </c>
      <c r="N839" s="620">
        <v>44508</v>
      </c>
      <c r="O839" s="684" t="s">
        <v>67</v>
      </c>
      <c r="P839" s="503">
        <f t="shared" si="50"/>
        <v>11</v>
      </c>
      <c r="Q839" s="503">
        <f t="shared" si="51"/>
        <v>9</v>
      </c>
      <c r="R839" s="504" t="str">
        <f t="shared" si="52"/>
        <v>Gastos_Gerais</v>
      </c>
      <c r="S839" s="504" t="str">
        <f>IF(D839="","",IF(OR(D839=Plano!$A$1,D839=Plano!$B$1),"entrada","saída"))</f>
        <v>saída</v>
      </c>
      <c r="T839" s="505" t="s">
        <v>114</v>
      </c>
      <c r="U839" s="505" t="s">
        <v>114</v>
      </c>
      <c r="V839" s="541"/>
    </row>
    <row r="840" spans="1:22" ht="45" customHeight="1" x14ac:dyDescent="0.2">
      <c r="A840" s="619">
        <f>IF(B840="","",COUNT('Diário 5º PA'!$A$5:$A$2634)+COUNT('Diário 6º PA'!$A$5:$A$2246)+COUNT('Diário 7º PA'!$A$5:$A$2271)+ROW()-4)</f>
        <v>4786</v>
      </c>
      <c r="B840" s="620">
        <v>44508</v>
      </c>
      <c r="C840" s="624">
        <v>44501</v>
      </c>
      <c r="D840" s="548" t="s">
        <v>99</v>
      </c>
      <c r="E840" s="548" t="s">
        <v>364</v>
      </c>
      <c r="F840" s="622">
        <v>16.079999999999998</v>
      </c>
      <c r="G840" s="623" t="s">
        <v>5973</v>
      </c>
      <c r="H840" s="548" t="s">
        <v>122</v>
      </c>
      <c r="I840" s="583" t="s">
        <v>465</v>
      </c>
      <c r="J840" s="548" t="s">
        <v>114</v>
      </c>
      <c r="K840" s="583" t="s">
        <v>466</v>
      </c>
      <c r="L840" s="583" t="s">
        <v>467</v>
      </c>
      <c r="M840" s="625">
        <v>221221723973</v>
      </c>
      <c r="N840" s="620">
        <v>44508</v>
      </c>
      <c r="O840" s="684" t="s">
        <v>67</v>
      </c>
      <c r="P840" s="503">
        <f t="shared" si="50"/>
        <v>11</v>
      </c>
      <c r="Q840" s="503">
        <f t="shared" si="51"/>
        <v>11</v>
      </c>
      <c r="R840" s="504" t="str">
        <f t="shared" si="52"/>
        <v>Gastos_Gerais</v>
      </c>
      <c r="S840" s="504" t="str">
        <f>IF(D840="","",IF(OR(D840=Plano!$A$1,D840=Plano!$B$1),"entrada","saída"))</f>
        <v>saída</v>
      </c>
      <c r="T840" s="505" t="s">
        <v>114</v>
      </c>
      <c r="U840" s="505" t="s">
        <v>114</v>
      </c>
      <c r="V840" s="541"/>
    </row>
    <row r="841" spans="1:22" ht="50.1" customHeight="1" x14ac:dyDescent="0.2">
      <c r="A841" s="619">
        <f>IF(B841="","",COUNT('Diário 5º PA'!$A$5:$A$2634)+COUNT('Diário 6º PA'!$A$5:$A$2246)+COUNT('Diário 7º PA'!$A$5:$A$2271)+ROW()-4)</f>
        <v>4787</v>
      </c>
      <c r="B841" s="620">
        <v>44508</v>
      </c>
      <c r="C841" s="624">
        <v>44501</v>
      </c>
      <c r="D841" s="548" t="s">
        <v>99</v>
      </c>
      <c r="E841" s="548" t="s">
        <v>272</v>
      </c>
      <c r="F841" s="622">
        <v>10.45</v>
      </c>
      <c r="G841" s="623" t="s">
        <v>6128</v>
      </c>
      <c r="H841" s="548" t="s">
        <v>131</v>
      </c>
      <c r="I841" s="583" t="s">
        <v>949</v>
      </c>
      <c r="J841" s="548" t="s">
        <v>950</v>
      </c>
      <c r="K841" s="583" t="s">
        <v>951</v>
      </c>
      <c r="L841" s="583" t="s">
        <v>947</v>
      </c>
      <c r="M841" s="625" t="s">
        <v>114</v>
      </c>
      <c r="N841" s="620">
        <v>44508</v>
      </c>
      <c r="O841" s="684" t="s">
        <v>67</v>
      </c>
      <c r="P841" s="503">
        <f t="shared" si="50"/>
        <v>11</v>
      </c>
      <c r="Q841" s="503">
        <f t="shared" si="51"/>
        <v>11</v>
      </c>
      <c r="R841" s="504" t="str">
        <f t="shared" si="52"/>
        <v>Gastos_Gerais</v>
      </c>
      <c r="S841" s="504" t="str">
        <f>IF(D841="","",IF(OR(D841=Plano!$A$1,D841=Plano!$B$1),"entrada","saída"))</f>
        <v>saída</v>
      </c>
      <c r="T841" s="511" t="s">
        <v>114</v>
      </c>
      <c r="U841" s="511" t="s">
        <v>114</v>
      </c>
      <c r="V841" s="541"/>
    </row>
    <row r="842" spans="1:22" ht="50.1" customHeight="1" x14ac:dyDescent="0.2">
      <c r="A842" s="619">
        <f>IF(B842="","",COUNT('Diário 5º PA'!$A$5:$A$2634)+COUNT('Diário 6º PA'!$A$5:$A$2246)+COUNT('Diário 7º PA'!$A$5:$A$2271)+ROW()-4)</f>
        <v>4788</v>
      </c>
      <c r="B842" s="620">
        <v>44508</v>
      </c>
      <c r="C842" s="624">
        <v>44501</v>
      </c>
      <c r="D842" s="548" t="s">
        <v>99</v>
      </c>
      <c r="E842" s="548" t="s">
        <v>272</v>
      </c>
      <c r="F842" s="622">
        <v>10.45</v>
      </c>
      <c r="G842" s="623" t="s">
        <v>6129</v>
      </c>
      <c r="H842" s="548" t="s">
        <v>118</v>
      </c>
      <c r="I842" s="583" t="s">
        <v>949</v>
      </c>
      <c r="J842" s="548" t="s">
        <v>950</v>
      </c>
      <c r="K842" s="583" t="s">
        <v>951</v>
      </c>
      <c r="L842" s="583" t="s">
        <v>947</v>
      </c>
      <c r="M842" s="625" t="s">
        <v>114</v>
      </c>
      <c r="N842" s="620">
        <v>44508</v>
      </c>
      <c r="O842" s="684" t="s">
        <v>67</v>
      </c>
      <c r="P842" s="503">
        <f t="shared" si="50"/>
        <v>11</v>
      </c>
      <c r="Q842" s="503">
        <f t="shared" si="51"/>
        <v>11</v>
      </c>
      <c r="R842" s="504" t="str">
        <f t="shared" si="52"/>
        <v>Gastos_Gerais</v>
      </c>
      <c r="S842" s="504" t="str">
        <f>IF(D842="","",IF(OR(D842=Plano!$A$1,D842=Plano!$B$1),"entrada","saída"))</f>
        <v>saída</v>
      </c>
      <c r="T842" s="511" t="s">
        <v>114</v>
      </c>
      <c r="U842" s="511" t="s">
        <v>114</v>
      </c>
      <c r="V842" s="541"/>
    </row>
    <row r="843" spans="1:22" ht="50.1" customHeight="1" x14ac:dyDescent="0.2">
      <c r="A843" s="619">
        <f>IF(B843="","",COUNT('Diário 5º PA'!$A$5:$A$2634)+COUNT('Diário 6º PA'!$A$5:$A$2246)+COUNT('Diário 7º PA'!$A$5:$A$2271)+ROW()-4)</f>
        <v>4789</v>
      </c>
      <c r="B843" s="620">
        <v>44508</v>
      </c>
      <c r="C843" s="624">
        <v>44501</v>
      </c>
      <c r="D843" s="548" t="s">
        <v>99</v>
      </c>
      <c r="E843" s="548" t="s">
        <v>272</v>
      </c>
      <c r="F843" s="622">
        <v>10.45</v>
      </c>
      <c r="G843" s="623" t="s">
        <v>6129</v>
      </c>
      <c r="H843" s="548" t="s">
        <v>118</v>
      </c>
      <c r="I843" s="583" t="s">
        <v>949</v>
      </c>
      <c r="J843" s="548" t="s">
        <v>950</v>
      </c>
      <c r="K843" s="583" t="s">
        <v>951</v>
      </c>
      <c r="L843" s="583" t="s">
        <v>947</v>
      </c>
      <c r="M843" s="625" t="s">
        <v>114</v>
      </c>
      <c r="N843" s="620">
        <v>44508</v>
      </c>
      <c r="O843" s="684" t="s">
        <v>67</v>
      </c>
      <c r="P843" s="503">
        <f t="shared" si="50"/>
        <v>11</v>
      </c>
      <c r="Q843" s="503">
        <f t="shared" si="51"/>
        <v>11</v>
      </c>
      <c r="R843" s="504" t="str">
        <f t="shared" si="52"/>
        <v>Gastos_Gerais</v>
      </c>
      <c r="S843" s="504" t="str">
        <f>IF(D843="","",IF(OR(D843=Plano!$A$1,D843=Plano!$B$1),"entrada","saída"))</f>
        <v>saída</v>
      </c>
      <c r="T843" s="511" t="s">
        <v>114</v>
      </c>
      <c r="U843" s="511" t="s">
        <v>114</v>
      </c>
      <c r="V843" s="541"/>
    </row>
    <row r="844" spans="1:22" ht="50.1" customHeight="1" x14ac:dyDescent="0.2">
      <c r="A844" s="619">
        <f>IF(B844="","",COUNT('Diário 5º PA'!$A$5:$A$2634)+COUNT('Diário 6º PA'!$A$5:$A$2246)+COUNT('Diário 7º PA'!$A$5:$A$2271)+ROW()-4)</f>
        <v>4790</v>
      </c>
      <c r="B844" s="620">
        <v>44508</v>
      </c>
      <c r="C844" s="624">
        <v>44501</v>
      </c>
      <c r="D844" s="548" t="s">
        <v>99</v>
      </c>
      <c r="E844" s="548" t="s">
        <v>272</v>
      </c>
      <c r="F844" s="622">
        <v>10.45</v>
      </c>
      <c r="G844" s="623" t="s">
        <v>6130</v>
      </c>
      <c r="H844" s="548" t="s">
        <v>125</v>
      </c>
      <c r="I844" s="583" t="s">
        <v>949</v>
      </c>
      <c r="J844" s="548" t="s">
        <v>950</v>
      </c>
      <c r="K844" s="583" t="s">
        <v>951</v>
      </c>
      <c r="L844" s="583" t="s">
        <v>947</v>
      </c>
      <c r="M844" s="625" t="s">
        <v>114</v>
      </c>
      <c r="N844" s="620">
        <v>44508</v>
      </c>
      <c r="O844" s="684" t="s">
        <v>67</v>
      </c>
      <c r="P844" s="503">
        <f t="shared" si="50"/>
        <v>11</v>
      </c>
      <c r="Q844" s="503">
        <f t="shared" si="51"/>
        <v>11</v>
      </c>
      <c r="R844" s="504" t="str">
        <f t="shared" si="52"/>
        <v>Gastos_Gerais</v>
      </c>
      <c r="S844" s="504" t="str">
        <f>IF(D844="","",IF(OR(D844=Plano!$A$1,D844=Plano!$B$1),"entrada","saída"))</f>
        <v>saída</v>
      </c>
      <c r="T844" s="511" t="s">
        <v>114</v>
      </c>
      <c r="U844" s="511" t="s">
        <v>114</v>
      </c>
      <c r="V844" s="541"/>
    </row>
    <row r="845" spans="1:22" ht="50.1" customHeight="1" x14ac:dyDescent="0.2">
      <c r="A845" s="619">
        <f>IF(B845="","",COUNT('Diário 5º PA'!$A$5:$A$2634)+COUNT('Diário 6º PA'!$A$5:$A$2246)+COUNT('Diário 7º PA'!$A$5:$A$2271)+ROW()-4)</f>
        <v>4791</v>
      </c>
      <c r="B845" s="620">
        <v>44508</v>
      </c>
      <c r="C845" s="624">
        <v>44501</v>
      </c>
      <c r="D845" s="548" t="s">
        <v>99</v>
      </c>
      <c r="E845" s="548" t="s">
        <v>272</v>
      </c>
      <c r="F845" s="622">
        <v>10.45</v>
      </c>
      <c r="G845" s="623" t="s">
        <v>6131</v>
      </c>
      <c r="H845" s="548" t="s">
        <v>116</v>
      </c>
      <c r="I845" s="583" t="s">
        <v>949</v>
      </c>
      <c r="J845" s="548" t="s">
        <v>950</v>
      </c>
      <c r="K845" s="583" t="s">
        <v>951</v>
      </c>
      <c r="L845" s="583" t="s">
        <v>947</v>
      </c>
      <c r="M845" s="625" t="s">
        <v>114</v>
      </c>
      <c r="N845" s="620">
        <v>44508</v>
      </c>
      <c r="O845" s="684" t="s">
        <v>67</v>
      </c>
      <c r="P845" s="503">
        <f t="shared" si="50"/>
        <v>11</v>
      </c>
      <c r="Q845" s="503">
        <f t="shared" si="51"/>
        <v>11</v>
      </c>
      <c r="R845" s="504" t="str">
        <f t="shared" si="52"/>
        <v>Gastos_Gerais</v>
      </c>
      <c r="S845" s="504" t="str">
        <f>IF(D845="","",IF(OR(D845=Plano!$A$1,D845=Plano!$B$1),"entrada","saída"))</f>
        <v>saída</v>
      </c>
      <c r="T845" s="511" t="s">
        <v>114</v>
      </c>
      <c r="U845" s="511" t="s">
        <v>114</v>
      </c>
      <c r="V845" s="541"/>
    </row>
    <row r="846" spans="1:22" ht="50.1" customHeight="1" x14ac:dyDescent="0.2">
      <c r="A846" s="619">
        <f>IF(B846="","",COUNT('Diário 5º PA'!$A$5:$A$2634)+COUNT('Diário 6º PA'!$A$5:$A$2246)+COUNT('Diário 7º PA'!$A$5:$A$2271)+ROW()-4)</f>
        <v>4792</v>
      </c>
      <c r="B846" s="620">
        <v>44508</v>
      </c>
      <c r="C846" s="624">
        <v>44501</v>
      </c>
      <c r="D846" s="548" t="s">
        <v>99</v>
      </c>
      <c r="E846" s="548" t="s">
        <v>272</v>
      </c>
      <c r="F846" s="622">
        <v>10.45</v>
      </c>
      <c r="G846" s="623" t="s">
        <v>6132</v>
      </c>
      <c r="H846" s="548" t="s">
        <v>128</v>
      </c>
      <c r="I846" s="583" t="s">
        <v>949</v>
      </c>
      <c r="J846" s="548" t="s">
        <v>950</v>
      </c>
      <c r="K846" s="583" t="s">
        <v>951</v>
      </c>
      <c r="L846" s="583" t="s">
        <v>947</v>
      </c>
      <c r="M846" s="625" t="s">
        <v>114</v>
      </c>
      <c r="N846" s="620">
        <v>44508</v>
      </c>
      <c r="O846" s="684" t="s">
        <v>67</v>
      </c>
      <c r="P846" s="503">
        <f t="shared" si="50"/>
        <v>11</v>
      </c>
      <c r="Q846" s="503">
        <f t="shared" si="51"/>
        <v>11</v>
      </c>
      <c r="R846" s="504" t="str">
        <f t="shared" si="52"/>
        <v>Gastos_Gerais</v>
      </c>
      <c r="S846" s="504" t="str">
        <f>IF(D846="","",IF(OR(D846=Plano!$A$1,D846=Plano!$B$1),"entrada","saída"))</f>
        <v>saída</v>
      </c>
      <c r="T846" s="511" t="s">
        <v>114</v>
      </c>
      <c r="U846" s="511" t="s">
        <v>114</v>
      </c>
      <c r="V846" s="541"/>
    </row>
    <row r="847" spans="1:22" ht="50.1" customHeight="1" x14ac:dyDescent="0.2">
      <c r="A847" s="619">
        <f>IF(B847="","",COUNT('Diário 5º PA'!$A$5:$A$2634)+COUNT('Diário 6º PA'!$A$5:$A$2246)+COUNT('Diário 7º PA'!$A$5:$A$2271)+ROW()-4)</f>
        <v>4793</v>
      </c>
      <c r="B847" s="620">
        <v>44508</v>
      </c>
      <c r="C847" s="624">
        <v>44501</v>
      </c>
      <c r="D847" s="548" t="s">
        <v>99</v>
      </c>
      <c r="E847" s="548" t="s">
        <v>272</v>
      </c>
      <c r="F847" s="622">
        <v>10.45</v>
      </c>
      <c r="G847" s="623" t="s">
        <v>6133</v>
      </c>
      <c r="H847" s="548" t="s">
        <v>131</v>
      </c>
      <c r="I847" s="583" t="s">
        <v>949</v>
      </c>
      <c r="J847" s="548" t="s">
        <v>950</v>
      </c>
      <c r="K847" s="583" t="s">
        <v>951</v>
      </c>
      <c r="L847" s="583" t="s">
        <v>947</v>
      </c>
      <c r="M847" s="625" t="s">
        <v>114</v>
      </c>
      <c r="N847" s="620">
        <v>44508</v>
      </c>
      <c r="O847" s="684" t="s">
        <v>67</v>
      </c>
      <c r="P847" s="503">
        <f t="shared" si="50"/>
        <v>11</v>
      </c>
      <c r="Q847" s="503">
        <f t="shared" si="51"/>
        <v>11</v>
      </c>
      <c r="R847" s="504" t="str">
        <f t="shared" si="52"/>
        <v>Gastos_Gerais</v>
      </c>
      <c r="S847" s="504" t="str">
        <f>IF(D847="","",IF(OR(D847=Plano!$A$1,D847=Plano!$B$1),"entrada","saída"))</f>
        <v>saída</v>
      </c>
      <c r="T847" s="511" t="s">
        <v>114</v>
      </c>
      <c r="U847" s="511" t="s">
        <v>114</v>
      </c>
      <c r="V847" s="541"/>
    </row>
    <row r="848" spans="1:22" ht="50.1" customHeight="1" x14ac:dyDescent="0.2">
      <c r="A848" s="619">
        <f>IF(B848="","",COUNT('Diário 5º PA'!$A$5:$A$2634)+COUNT('Diário 6º PA'!$A$5:$A$2246)+COUNT('Diário 7º PA'!$A$5:$A$2271)+ROW()-4)</f>
        <v>4794</v>
      </c>
      <c r="B848" s="620">
        <v>44508</v>
      </c>
      <c r="C848" s="624">
        <v>44501</v>
      </c>
      <c r="D848" s="548" t="s">
        <v>99</v>
      </c>
      <c r="E848" s="548" t="s">
        <v>272</v>
      </c>
      <c r="F848" s="622">
        <v>10.45</v>
      </c>
      <c r="G848" s="623" t="s">
        <v>6134</v>
      </c>
      <c r="H848" s="548" t="s">
        <v>131</v>
      </c>
      <c r="I848" s="583" t="s">
        <v>949</v>
      </c>
      <c r="J848" s="548" t="s">
        <v>950</v>
      </c>
      <c r="K848" s="583" t="s">
        <v>951</v>
      </c>
      <c r="L848" s="583" t="s">
        <v>947</v>
      </c>
      <c r="M848" s="625" t="s">
        <v>114</v>
      </c>
      <c r="N848" s="620">
        <v>44508</v>
      </c>
      <c r="O848" s="684" t="s">
        <v>67</v>
      </c>
      <c r="P848" s="503">
        <f t="shared" si="50"/>
        <v>11</v>
      </c>
      <c r="Q848" s="503">
        <f t="shared" si="51"/>
        <v>11</v>
      </c>
      <c r="R848" s="504" t="str">
        <f t="shared" si="52"/>
        <v>Gastos_Gerais</v>
      </c>
      <c r="S848" s="504" t="str">
        <f>IF(D848="","",IF(OR(D848=Plano!$A$1,D848=Plano!$B$1),"entrada","saída"))</f>
        <v>saída</v>
      </c>
      <c r="T848" s="511" t="s">
        <v>114</v>
      </c>
      <c r="U848" s="511" t="s">
        <v>114</v>
      </c>
      <c r="V848" s="541"/>
    </row>
    <row r="849" spans="1:22" ht="50.1" customHeight="1" x14ac:dyDescent="0.2">
      <c r="A849" s="619">
        <f>IF(B849="","",COUNT('Diário 5º PA'!$A$5:$A$2634)+COUNT('Diário 6º PA'!$A$5:$A$2246)+COUNT('Diário 7º PA'!$A$5:$A$2271)+ROW()-4)</f>
        <v>4795</v>
      </c>
      <c r="B849" s="620">
        <v>44508</v>
      </c>
      <c r="C849" s="624">
        <v>44501</v>
      </c>
      <c r="D849" s="548" t="s">
        <v>99</v>
      </c>
      <c r="E849" s="548" t="s">
        <v>272</v>
      </c>
      <c r="F849" s="622">
        <v>10.45</v>
      </c>
      <c r="G849" s="623" t="s">
        <v>6135</v>
      </c>
      <c r="H849" s="548" t="s">
        <v>116</v>
      </c>
      <c r="I849" s="583" t="s">
        <v>949</v>
      </c>
      <c r="J849" s="548" t="s">
        <v>950</v>
      </c>
      <c r="K849" s="583" t="s">
        <v>951</v>
      </c>
      <c r="L849" s="583" t="s">
        <v>947</v>
      </c>
      <c r="M849" s="625" t="s">
        <v>114</v>
      </c>
      <c r="N849" s="620">
        <v>44508</v>
      </c>
      <c r="O849" s="684" t="s">
        <v>67</v>
      </c>
      <c r="P849" s="503">
        <f t="shared" si="50"/>
        <v>11</v>
      </c>
      <c r="Q849" s="503">
        <f t="shared" si="51"/>
        <v>11</v>
      </c>
      <c r="R849" s="504" t="str">
        <f t="shared" si="52"/>
        <v>Gastos_Gerais</v>
      </c>
      <c r="S849" s="504" t="str">
        <f>IF(D849="","",IF(OR(D849=Plano!$A$1,D849=Plano!$B$1),"entrada","saída"))</f>
        <v>saída</v>
      </c>
      <c r="T849" s="511" t="s">
        <v>114</v>
      </c>
      <c r="U849" s="511" t="s">
        <v>114</v>
      </c>
      <c r="V849" s="541"/>
    </row>
    <row r="850" spans="1:22" ht="50.1" customHeight="1" x14ac:dyDescent="0.2">
      <c r="A850" s="619">
        <f>IF(B850="","",COUNT('Diário 5º PA'!$A$5:$A$2634)+COUNT('Diário 6º PA'!$A$5:$A$2246)+COUNT('Diário 7º PA'!$A$5:$A$2271)+ROW()-4)</f>
        <v>4796</v>
      </c>
      <c r="B850" s="620">
        <v>44508</v>
      </c>
      <c r="C850" s="624">
        <v>44501</v>
      </c>
      <c r="D850" s="548" t="s">
        <v>99</v>
      </c>
      <c r="E850" s="548" t="s">
        <v>272</v>
      </c>
      <c r="F850" s="622">
        <v>10.45</v>
      </c>
      <c r="G850" s="623" t="s">
        <v>6136</v>
      </c>
      <c r="H850" s="548" t="s">
        <v>125</v>
      </c>
      <c r="I850" s="583" t="s">
        <v>949</v>
      </c>
      <c r="J850" s="548" t="s">
        <v>950</v>
      </c>
      <c r="K850" s="583" t="s">
        <v>951</v>
      </c>
      <c r="L850" s="583" t="s">
        <v>947</v>
      </c>
      <c r="M850" s="625" t="s">
        <v>114</v>
      </c>
      <c r="N850" s="620">
        <v>44508</v>
      </c>
      <c r="O850" s="684" t="s">
        <v>67</v>
      </c>
      <c r="P850" s="503">
        <f t="shared" si="50"/>
        <v>11</v>
      </c>
      <c r="Q850" s="503">
        <f t="shared" si="51"/>
        <v>11</v>
      </c>
      <c r="R850" s="504" t="str">
        <f t="shared" si="52"/>
        <v>Gastos_Gerais</v>
      </c>
      <c r="S850" s="504" t="str">
        <f>IF(D850="","",IF(OR(D850=Plano!$A$1,D850=Plano!$B$1),"entrada","saída"))</f>
        <v>saída</v>
      </c>
      <c r="T850" s="511" t="s">
        <v>114</v>
      </c>
      <c r="U850" s="511" t="s">
        <v>114</v>
      </c>
      <c r="V850" s="541"/>
    </row>
    <row r="851" spans="1:22" ht="50.1" customHeight="1" x14ac:dyDescent="0.2">
      <c r="A851" s="619">
        <f>IF(B851="","",COUNT('Diário 5º PA'!$A$5:$A$2634)+COUNT('Diário 6º PA'!$A$5:$A$2246)+COUNT('Diário 7º PA'!$A$5:$A$2271)+ROW()-4)</f>
        <v>4797</v>
      </c>
      <c r="B851" s="620">
        <v>44508</v>
      </c>
      <c r="C851" s="624">
        <v>44501</v>
      </c>
      <c r="D851" s="548" t="s">
        <v>99</v>
      </c>
      <c r="E851" s="548" t="s">
        <v>272</v>
      </c>
      <c r="F851" s="622">
        <v>10.45</v>
      </c>
      <c r="G851" s="623" t="s">
        <v>5618</v>
      </c>
      <c r="H851" s="548" t="s">
        <v>129</v>
      </c>
      <c r="I851" s="583" t="s">
        <v>949</v>
      </c>
      <c r="J851" s="548" t="s">
        <v>950</v>
      </c>
      <c r="K851" s="583" t="s">
        <v>951</v>
      </c>
      <c r="L851" s="583" t="s">
        <v>947</v>
      </c>
      <c r="M851" s="625" t="s">
        <v>114</v>
      </c>
      <c r="N851" s="620">
        <v>44508</v>
      </c>
      <c r="O851" s="684" t="s">
        <v>67</v>
      </c>
      <c r="P851" s="503">
        <f t="shared" si="50"/>
        <v>11</v>
      </c>
      <c r="Q851" s="503">
        <f t="shared" si="51"/>
        <v>11</v>
      </c>
      <c r="R851" s="504" t="str">
        <f t="shared" si="52"/>
        <v>Gastos_Gerais</v>
      </c>
      <c r="S851" s="504" t="str">
        <f>IF(D851="","",IF(OR(D851=Plano!$A$1,D851=Plano!$B$1),"entrada","saída"))</f>
        <v>saída</v>
      </c>
      <c r="T851" s="511" t="s">
        <v>114</v>
      </c>
      <c r="U851" s="511" t="s">
        <v>114</v>
      </c>
      <c r="V851" s="541"/>
    </row>
    <row r="852" spans="1:22" ht="50.1" customHeight="1" x14ac:dyDescent="0.2">
      <c r="A852" s="619">
        <f>IF(B852="","",COUNT('Diário 5º PA'!$A$5:$A$2634)+COUNT('Diário 6º PA'!$A$5:$A$2246)+COUNT('Diário 7º PA'!$A$5:$A$2271)+ROW()-4)</f>
        <v>4798</v>
      </c>
      <c r="B852" s="620">
        <v>44508</v>
      </c>
      <c r="C852" s="624">
        <v>44501</v>
      </c>
      <c r="D852" s="548" t="s">
        <v>99</v>
      </c>
      <c r="E852" s="548" t="s">
        <v>272</v>
      </c>
      <c r="F852" s="622">
        <v>10.45</v>
      </c>
      <c r="G852" s="623" t="s">
        <v>6137</v>
      </c>
      <c r="H852" s="548" t="s">
        <v>116</v>
      </c>
      <c r="I852" s="583" t="s">
        <v>949</v>
      </c>
      <c r="J852" s="548" t="s">
        <v>950</v>
      </c>
      <c r="K852" s="583" t="s">
        <v>951</v>
      </c>
      <c r="L852" s="583" t="s">
        <v>947</v>
      </c>
      <c r="M852" s="625" t="s">
        <v>114</v>
      </c>
      <c r="N852" s="620">
        <v>44508</v>
      </c>
      <c r="O852" s="684" t="s">
        <v>67</v>
      </c>
      <c r="P852" s="503">
        <f t="shared" si="50"/>
        <v>11</v>
      </c>
      <c r="Q852" s="503">
        <f t="shared" si="51"/>
        <v>11</v>
      </c>
      <c r="R852" s="504" t="str">
        <f t="shared" si="52"/>
        <v>Gastos_Gerais</v>
      </c>
      <c r="S852" s="504" t="str">
        <f>IF(D852="","",IF(OR(D852=Plano!$A$1,D852=Plano!$B$1),"entrada","saída"))</f>
        <v>saída</v>
      </c>
      <c r="T852" s="511" t="s">
        <v>114</v>
      </c>
      <c r="U852" s="511" t="s">
        <v>114</v>
      </c>
      <c r="V852" s="541"/>
    </row>
    <row r="853" spans="1:22" ht="50.1" customHeight="1" x14ac:dyDescent="0.2">
      <c r="A853" s="619">
        <f>IF(B853="","",COUNT('Diário 5º PA'!$A$5:$A$2634)+COUNT('Diário 6º PA'!$A$5:$A$2246)+COUNT('Diário 7º PA'!$A$5:$A$2271)+ROW()-4)</f>
        <v>4799</v>
      </c>
      <c r="B853" s="620">
        <v>44508</v>
      </c>
      <c r="C853" s="624">
        <v>44501</v>
      </c>
      <c r="D853" s="548" t="s">
        <v>99</v>
      </c>
      <c r="E853" s="548" t="s">
        <v>272</v>
      </c>
      <c r="F853" s="622">
        <v>10.45</v>
      </c>
      <c r="G853" s="623" t="s">
        <v>6138</v>
      </c>
      <c r="H853" s="548" t="s">
        <v>125</v>
      </c>
      <c r="I853" s="583" t="s">
        <v>949</v>
      </c>
      <c r="J853" s="548" t="s">
        <v>950</v>
      </c>
      <c r="K853" s="583" t="s">
        <v>951</v>
      </c>
      <c r="L853" s="583" t="s">
        <v>947</v>
      </c>
      <c r="M853" s="625" t="s">
        <v>114</v>
      </c>
      <c r="N853" s="620">
        <v>44508</v>
      </c>
      <c r="O853" s="684" t="s">
        <v>67</v>
      </c>
      <c r="P853" s="503">
        <f t="shared" si="50"/>
        <v>11</v>
      </c>
      <c r="Q853" s="503">
        <f t="shared" si="51"/>
        <v>11</v>
      </c>
      <c r="R853" s="504" t="str">
        <f t="shared" si="52"/>
        <v>Gastos_Gerais</v>
      </c>
      <c r="S853" s="504" t="str">
        <f>IF(D853="","",IF(OR(D853=Plano!$A$1,D853=Plano!$B$1),"entrada","saída"))</f>
        <v>saída</v>
      </c>
      <c r="T853" s="511" t="s">
        <v>114</v>
      </c>
      <c r="U853" s="511" t="s">
        <v>114</v>
      </c>
      <c r="V853" s="541"/>
    </row>
    <row r="854" spans="1:22" ht="50.1" customHeight="1" x14ac:dyDescent="0.2">
      <c r="A854" s="619">
        <f>IF(B854="","",COUNT('Diário 5º PA'!$A$5:$A$2634)+COUNT('Diário 6º PA'!$A$5:$A$2246)+COUNT('Diário 7º PA'!$A$5:$A$2271)+ROW()-4)</f>
        <v>4800</v>
      </c>
      <c r="B854" s="620">
        <v>44508</v>
      </c>
      <c r="C854" s="624">
        <v>44501</v>
      </c>
      <c r="D854" s="548" t="s">
        <v>99</v>
      </c>
      <c r="E854" s="548" t="s">
        <v>272</v>
      </c>
      <c r="F854" s="622">
        <v>10.45</v>
      </c>
      <c r="G854" s="623" t="s">
        <v>6138</v>
      </c>
      <c r="H854" s="548" t="s">
        <v>125</v>
      </c>
      <c r="I854" s="583" t="s">
        <v>949</v>
      </c>
      <c r="J854" s="548" t="s">
        <v>950</v>
      </c>
      <c r="K854" s="583" t="s">
        <v>951</v>
      </c>
      <c r="L854" s="583" t="s">
        <v>947</v>
      </c>
      <c r="M854" s="625" t="s">
        <v>114</v>
      </c>
      <c r="N854" s="620">
        <v>44508</v>
      </c>
      <c r="O854" s="684" t="s">
        <v>67</v>
      </c>
      <c r="P854" s="503">
        <f t="shared" si="50"/>
        <v>11</v>
      </c>
      <c r="Q854" s="503">
        <f t="shared" si="51"/>
        <v>11</v>
      </c>
      <c r="R854" s="504" t="str">
        <f t="shared" si="52"/>
        <v>Gastos_Gerais</v>
      </c>
      <c r="S854" s="504" t="str">
        <f>IF(D854="","",IF(OR(D854=Plano!$A$1,D854=Plano!$B$1),"entrada","saída"))</f>
        <v>saída</v>
      </c>
      <c r="T854" s="511" t="s">
        <v>114</v>
      </c>
      <c r="U854" s="511" t="s">
        <v>114</v>
      </c>
      <c r="V854" s="541"/>
    </row>
    <row r="855" spans="1:22" ht="50.1" customHeight="1" x14ac:dyDescent="0.2">
      <c r="A855" s="619">
        <f>IF(B855="","",COUNT('Diário 5º PA'!$A$5:$A$2634)+COUNT('Diário 6º PA'!$A$5:$A$2246)+COUNT('Diário 7º PA'!$A$5:$A$2271)+ROW()-4)</f>
        <v>4801</v>
      </c>
      <c r="B855" s="620">
        <v>44508</v>
      </c>
      <c r="C855" s="624">
        <v>44501</v>
      </c>
      <c r="D855" s="548" t="s">
        <v>99</v>
      </c>
      <c r="E855" s="548" t="s">
        <v>272</v>
      </c>
      <c r="F855" s="622">
        <v>10.45</v>
      </c>
      <c r="G855" s="623" t="s">
        <v>6139</v>
      </c>
      <c r="H855" s="548" t="s">
        <v>125</v>
      </c>
      <c r="I855" s="583" t="s">
        <v>949</v>
      </c>
      <c r="J855" s="548" t="s">
        <v>950</v>
      </c>
      <c r="K855" s="583" t="s">
        <v>951</v>
      </c>
      <c r="L855" s="583" t="s">
        <v>947</v>
      </c>
      <c r="M855" s="625" t="s">
        <v>114</v>
      </c>
      <c r="N855" s="620">
        <v>44508</v>
      </c>
      <c r="O855" s="684" t="s">
        <v>67</v>
      </c>
      <c r="P855" s="503">
        <f t="shared" si="50"/>
        <v>11</v>
      </c>
      <c r="Q855" s="503">
        <f t="shared" si="51"/>
        <v>11</v>
      </c>
      <c r="R855" s="504" t="str">
        <f t="shared" si="52"/>
        <v>Gastos_Gerais</v>
      </c>
      <c r="S855" s="504" t="str">
        <f>IF(D855="","",IF(OR(D855=Plano!$A$1,D855=Plano!$B$1),"entrada","saída"))</f>
        <v>saída</v>
      </c>
      <c r="T855" s="511" t="s">
        <v>114</v>
      </c>
      <c r="U855" s="511" t="s">
        <v>114</v>
      </c>
      <c r="V855" s="541"/>
    </row>
    <row r="856" spans="1:22" ht="50.1" customHeight="1" x14ac:dyDescent="0.2">
      <c r="A856" s="619">
        <f>IF(B856="","",COUNT('Diário 5º PA'!$A$5:$A$2634)+COUNT('Diário 6º PA'!$A$5:$A$2246)+COUNT('Diário 7º PA'!$A$5:$A$2271)+ROW()-4)</f>
        <v>4802</v>
      </c>
      <c r="B856" s="620">
        <v>44508</v>
      </c>
      <c r="C856" s="624">
        <v>44501</v>
      </c>
      <c r="D856" s="548" t="s">
        <v>99</v>
      </c>
      <c r="E856" s="548" t="s">
        <v>272</v>
      </c>
      <c r="F856" s="622">
        <v>10.45</v>
      </c>
      <c r="G856" s="623" t="s">
        <v>6140</v>
      </c>
      <c r="H856" s="548" t="s">
        <v>131</v>
      </c>
      <c r="I856" s="583" t="s">
        <v>949</v>
      </c>
      <c r="J856" s="548" t="s">
        <v>950</v>
      </c>
      <c r="K856" s="583" t="s">
        <v>951</v>
      </c>
      <c r="L856" s="583" t="s">
        <v>947</v>
      </c>
      <c r="M856" s="625" t="s">
        <v>114</v>
      </c>
      <c r="N856" s="620">
        <v>44508</v>
      </c>
      <c r="O856" s="684" t="s">
        <v>67</v>
      </c>
      <c r="P856" s="503">
        <f t="shared" si="50"/>
        <v>11</v>
      </c>
      <c r="Q856" s="503">
        <f t="shared" si="51"/>
        <v>11</v>
      </c>
      <c r="R856" s="504" t="str">
        <f t="shared" si="52"/>
        <v>Gastos_Gerais</v>
      </c>
      <c r="S856" s="504" t="str">
        <f>IF(D856="","",IF(OR(D856=Plano!$A$1,D856=Plano!$B$1),"entrada","saída"))</f>
        <v>saída</v>
      </c>
      <c r="T856" s="511" t="s">
        <v>114</v>
      </c>
      <c r="U856" s="511" t="s">
        <v>114</v>
      </c>
      <c r="V856" s="541"/>
    </row>
    <row r="857" spans="1:22" ht="50.1" customHeight="1" x14ac:dyDescent="0.2">
      <c r="A857" s="619">
        <f>IF(B857="","",COUNT('Diário 5º PA'!$A$5:$A$2634)+COUNT('Diário 6º PA'!$A$5:$A$2246)+COUNT('Diário 7º PA'!$A$5:$A$2271)+ROW()-4)</f>
        <v>4803</v>
      </c>
      <c r="B857" s="620">
        <v>44508</v>
      </c>
      <c r="C857" s="624">
        <v>44501</v>
      </c>
      <c r="D857" s="548" t="s">
        <v>99</v>
      </c>
      <c r="E857" s="548" t="s">
        <v>272</v>
      </c>
      <c r="F857" s="622">
        <v>10.45</v>
      </c>
      <c r="G857" s="623" t="s">
        <v>6141</v>
      </c>
      <c r="H857" s="548" t="s">
        <v>116</v>
      </c>
      <c r="I857" s="583" t="s">
        <v>949</v>
      </c>
      <c r="J857" s="548" t="s">
        <v>950</v>
      </c>
      <c r="K857" s="583" t="s">
        <v>951</v>
      </c>
      <c r="L857" s="583" t="s">
        <v>947</v>
      </c>
      <c r="M857" s="625" t="s">
        <v>114</v>
      </c>
      <c r="N857" s="620">
        <v>44508</v>
      </c>
      <c r="O857" s="684" t="s">
        <v>67</v>
      </c>
      <c r="P857" s="503">
        <f t="shared" si="50"/>
        <v>11</v>
      </c>
      <c r="Q857" s="503">
        <f t="shared" si="51"/>
        <v>11</v>
      </c>
      <c r="R857" s="504" t="str">
        <f t="shared" si="52"/>
        <v>Gastos_Gerais</v>
      </c>
      <c r="S857" s="504" t="str">
        <f>IF(D857="","",IF(OR(D857=Plano!$A$1,D857=Plano!$B$1),"entrada","saída"))</f>
        <v>saída</v>
      </c>
      <c r="T857" s="511" t="s">
        <v>114</v>
      </c>
      <c r="U857" s="511" t="s">
        <v>114</v>
      </c>
      <c r="V857" s="541"/>
    </row>
    <row r="858" spans="1:22" ht="50.1" customHeight="1" x14ac:dyDescent="0.2">
      <c r="A858" s="619">
        <f>IF(B858="","",COUNT('Diário 5º PA'!$A$5:$A$2634)+COUNT('Diário 6º PA'!$A$5:$A$2246)+COUNT('Diário 7º PA'!$A$5:$A$2271)+ROW()-4)</f>
        <v>4804</v>
      </c>
      <c r="B858" s="620">
        <v>44508</v>
      </c>
      <c r="C858" s="624">
        <v>44501</v>
      </c>
      <c r="D858" s="548" t="s">
        <v>99</v>
      </c>
      <c r="E858" s="548" t="s">
        <v>272</v>
      </c>
      <c r="F858" s="622">
        <v>10.45</v>
      </c>
      <c r="G858" s="623" t="s">
        <v>6142</v>
      </c>
      <c r="H858" s="548" t="s">
        <v>115</v>
      </c>
      <c r="I858" s="583" t="s">
        <v>949</v>
      </c>
      <c r="J858" s="548" t="s">
        <v>950</v>
      </c>
      <c r="K858" s="583" t="s">
        <v>951</v>
      </c>
      <c r="L858" s="583" t="s">
        <v>947</v>
      </c>
      <c r="M858" s="625" t="s">
        <v>114</v>
      </c>
      <c r="N858" s="620">
        <v>44508</v>
      </c>
      <c r="O858" s="684" t="s">
        <v>67</v>
      </c>
      <c r="P858" s="503">
        <f t="shared" si="50"/>
        <v>11</v>
      </c>
      <c r="Q858" s="503">
        <f t="shared" si="51"/>
        <v>11</v>
      </c>
      <c r="R858" s="504" t="str">
        <f t="shared" si="52"/>
        <v>Gastos_Gerais</v>
      </c>
      <c r="S858" s="504" t="str">
        <f>IF(D858="","",IF(OR(D858=Plano!$A$1,D858=Plano!$B$1),"entrada","saída"))</f>
        <v>saída</v>
      </c>
      <c r="T858" s="511" t="s">
        <v>114</v>
      </c>
      <c r="U858" s="511" t="s">
        <v>114</v>
      </c>
      <c r="V858" s="541"/>
    </row>
    <row r="859" spans="1:22" ht="50.1" customHeight="1" x14ac:dyDescent="0.2">
      <c r="A859" s="619">
        <f>IF(B859="","",COUNT('Diário 5º PA'!$A$5:$A$2634)+COUNT('Diário 6º PA'!$A$5:$A$2246)+COUNT('Diário 7º PA'!$A$5:$A$2271)+ROW()-4)</f>
        <v>4805</v>
      </c>
      <c r="B859" s="620">
        <v>44508</v>
      </c>
      <c r="C859" s="624">
        <v>44501</v>
      </c>
      <c r="D859" s="548" t="s">
        <v>99</v>
      </c>
      <c r="E859" s="548" t="s">
        <v>272</v>
      </c>
      <c r="F859" s="622">
        <v>10.45</v>
      </c>
      <c r="G859" s="623" t="s">
        <v>6143</v>
      </c>
      <c r="H859" s="548" t="s">
        <v>114</v>
      </c>
      <c r="I859" s="583" t="s">
        <v>949</v>
      </c>
      <c r="J859" s="548" t="s">
        <v>950</v>
      </c>
      <c r="K859" s="583" t="s">
        <v>951</v>
      </c>
      <c r="L859" s="583" t="s">
        <v>947</v>
      </c>
      <c r="M859" s="625" t="s">
        <v>114</v>
      </c>
      <c r="N859" s="620">
        <v>44508</v>
      </c>
      <c r="O859" s="684" t="s">
        <v>67</v>
      </c>
      <c r="P859" s="503">
        <f t="shared" si="50"/>
        <v>11</v>
      </c>
      <c r="Q859" s="503">
        <f t="shared" si="51"/>
        <v>11</v>
      </c>
      <c r="R859" s="504" t="str">
        <f t="shared" si="52"/>
        <v>Gastos_Gerais</v>
      </c>
      <c r="S859" s="504" t="str">
        <f>IF(D859="","",IF(OR(D859=Plano!$A$1,D859=Plano!$B$1),"entrada","saída"))</f>
        <v>saída</v>
      </c>
      <c r="T859" s="511" t="s">
        <v>114</v>
      </c>
      <c r="U859" s="511" t="s">
        <v>114</v>
      </c>
      <c r="V859" s="541"/>
    </row>
    <row r="860" spans="1:22" ht="50.1" customHeight="1" x14ac:dyDescent="0.2">
      <c r="A860" s="619">
        <f>IF(B860="","",COUNT('Diário 5º PA'!$A$5:$A$2634)+COUNT('Diário 6º PA'!$A$5:$A$2246)+COUNT('Diário 7º PA'!$A$5:$A$2271)+ROW()-4)</f>
        <v>4806</v>
      </c>
      <c r="B860" s="620">
        <v>44508</v>
      </c>
      <c r="C860" s="624">
        <v>44501</v>
      </c>
      <c r="D860" s="548" t="s">
        <v>99</v>
      </c>
      <c r="E860" s="548" t="s">
        <v>272</v>
      </c>
      <c r="F860" s="622">
        <v>10.45</v>
      </c>
      <c r="G860" s="623" t="s">
        <v>6144</v>
      </c>
      <c r="H860" s="548" t="s">
        <v>132</v>
      </c>
      <c r="I860" s="583" t="s">
        <v>949</v>
      </c>
      <c r="J860" s="548" t="s">
        <v>950</v>
      </c>
      <c r="K860" s="583" t="s">
        <v>951</v>
      </c>
      <c r="L860" s="583" t="s">
        <v>947</v>
      </c>
      <c r="M860" s="625" t="s">
        <v>114</v>
      </c>
      <c r="N860" s="620">
        <v>44508</v>
      </c>
      <c r="O860" s="684" t="s">
        <v>67</v>
      </c>
      <c r="P860" s="503">
        <f t="shared" si="50"/>
        <v>11</v>
      </c>
      <c r="Q860" s="503">
        <f t="shared" si="51"/>
        <v>11</v>
      </c>
      <c r="R860" s="504" t="str">
        <f t="shared" si="52"/>
        <v>Gastos_Gerais</v>
      </c>
      <c r="S860" s="504" t="str">
        <f>IF(D860="","",IF(OR(D860=Plano!$A$1,D860=Plano!$B$1),"entrada","saída"))</f>
        <v>saída</v>
      </c>
      <c r="T860" s="511" t="s">
        <v>114</v>
      </c>
      <c r="U860" s="511" t="s">
        <v>114</v>
      </c>
      <c r="V860" s="541"/>
    </row>
    <row r="861" spans="1:22" s="550" customFormat="1" ht="50.1" customHeight="1" x14ac:dyDescent="0.2">
      <c r="A861" s="619">
        <f>IF(B861="","",COUNT('Diário 5º PA'!$A$5:$A$2634)+COUNT('Diário 6º PA'!$A$5:$A$2246)+COUNT('Diário 7º PA'!$A$5:$A$2271)+ROW()-4)</f>
        <v>4807</v>
      </c>
      <c r="B861" s="620">
        <v>44508</v>
      </c>
      <c r="C861" s="624">
        <v>44470</v>
      </c>
      <c r="D861" s="548" t="s">
        <v>104</v>
      </c>
      <c r="E861" s="548" t="s">
        <v>104</v>
      </c>
      <c r="F861" s="634">
        <v>4873.78</v>
      </c>
      <c r="G861" s="623" t="s">
        <v>7054</v>
      </c>
      <c r="H861" s="548" t="s">
        <v>104</v>
      </c>
      <c r="I861" s="583" t="s">
        <v>7050</v>
      </c>
      <c r="J861" s="622" t="s">
        <v>7052</v>
      </c>
      <c r="K861" s="583" t="s">
        <v>1015</v>
      </c>
      <c r="L861" s="583" t="s">
        <v>1029</v>
      </c>
      <c r="M861" s="625">
        <v>1401</v>
      </c>
      <c r="N861" s="620">
        <v>44503</v>
      </c>
      <c r="O861" s="684" t="s">
        <v>5377</v>
      </c>
      <c r="P861" s="503">
        <f t="shared" si="50"/>
        <v>11</v>
      </c>
      <c r="Q861" s="503">
        <f t="shared" si="51"/>
        <v>10</v>
      </c>
      <c r="R861" s="504" t="str">
        <f t="shared" si="52"/>
        <v>Gastos_custeados_por_captação</v>
      </c>
      <c r="S861" s="504" t="str">
        <f>IF(D861="","",IF(OR(D861=Plano!$A$1,D861=Plano!$B$1),"entrada","saída"))</f>
        <v>saída</v>
      </c>
      <c r="T861" s="511" t="s">
        <v>994</v>
      </c>
      <c r="U861" s="511">
        <v>1582</v>
      </c>
      <c r="V861" s="541"/>
    </row>
    <row r="862" spans="1:22" s="550" customFormat="1" ht="50.1" customHeight="1" x14ac:dyDescent="0.2">
      <c r="A862" s="619">
        <f>IF(B862="","",COUNT('Diário 5º PA'!$A$5:$A$2634)+COUNT('Diário 6º PA'!$A$5:$A$2246)+COUNT('Diário 7º PA'!$A$5:$A$2271)+ROW()-4)</f>
        <v>4808</v>
      </c>
      <c r="B862" s="620">
        <v>44508</v>
      </c>
      <c r="C862" s="624">
        <v>44470</v>
      </c>
      <c r="D862" s="548" t="s">
        <v>104</v>
      </c>
      <c r="E862" s="548" t="s">
        <v>104</v>
      </c>
      <c r="F862" s="634">
        <v>2375</v>
      </c>
      <c r="G862" s="623" t="s">
        <v>7055</v>
      </c>
      <c r="H862" s="548" t="s">
        <v>104</v>
      </c>
      <c r="I862" s="583" t="s">
        <v>7051</v>
      </c>
      <c r="J862" s="622" t="s">
        <v>569</v>
      </c>
      <c r="K862" s="583" t="s">
        <v>1015</v>
      </c>
      <c r="L862" s="583" t="s">
        <v>992</v>
      </c>
      <c r="M862" s="625">
        <v>2021582</v>
      </c>
      <c r="N862" s="620">
        <v>44503</v>
      </c>
      <c r="O862" s="684" t="s">
        <v>5377</v>
      </c>
      <c r="P862" s="503">
        <f t="shared" si="50"/>
        <v>11</v>
      </c>
      <c r="Q862" s="503">
        <f t="shared" si="51"/>
        <v>10</v>
      </c>
      <c r="R862" s="504" t="str">
        <f t="shared" si="52"/>
        <v>Gastos_custeados_por_captação</v>
      </c>
      <c r="S862" s="504" t="str">
        <f>IF(D862="","",IF(OR(D862=Plano!$A$1,D862=Plano!$B$1),"entrada","saída"))</f>
        <v>saída</v>
      </c>
      <c r="T862" s="511" t="s">
        <v>1082</v>
      </c>
      <c r="U862" s="511">
        <v>1543</v>
      </c>
      <c r="V862" s="541"/>
    </row>
    <row r="863" spans="1:22" s="550" customFormat="1" ht="50.1" customHeight="1" x14ac:dyDescent="0.2">
      <c r="A863" s="619">
        <f>IF(B863="","",COUNT('Diário 5º PA'!$A$5:$A$2634)+COUNT('Diário 6º PA'!$A$5:$A$2246)+COUNT('Diário 7º PA'!$A$5:$A$2271)+ROW()-4)</f>
        <v>4809</v>
      </c>
      <c r="B863" s="620">
        <v>44508</v>
      </c>
      <c r="C863" s="624">
        <v>44440</v>
      </c>
      <c r="D863" s="548" t="s">
        <v>104</v>
      </c>
      <c r="E863" s="548" t="s">
        <v>104</v>
      </c>
      <c r="F863" s="634">
        <v>397.32</v>
      </c>
      <c r="G863" s="623" t="s">
        <v>7046</v>
      </c>
      <c r="H863" s="548" t="s">
        <v>104</v>
      </c>
      <c r="I863" s="631" t="s">
        <v>465</v>
      </c>
      <c r="J863" s="622" t="s">
        <v>7053</v>
      </c>
      <c r="K863" s="583" t="s">
        <v>466</v>
      </c>
      <c r="L863" s="583" t="s">
        <v>467</v>
      </c>
      <c r="M863" s="625">
        <v>221221633800</v>
      </c>
      <c r="N863" s="620">
        <v>44508</v>
      </c>
      <c r="O863" s="684" t="s">
        <v>5377</v>
      </c>
      <c r="P863" s="503">
        <f t="shared" si="50"/>
        <v>11</v>
      </c>
      <c r="Q863" s="503">
        <f t="shared" si="51"/>
        <v>9</v>
      </c>
      <c r="R863" s="504" t="str">
        <f t="shared" si="52"/>
        <v>Gastos_custeados_por_captação</v>
      </c>
      <c r="S863" s="504" t="str">
        <f>IF(D863="","",IF(OR(D863=Plano!$A$1,D863=Plano!$B$1),"entrada","saída"))</f>
        <v>saída</v>
      </c>
      <c r="T863" s="511" t="s">
        <v>114</v>
      </c>
      <c r="U863" s="511" t="s">
        <v>114</v>
      </c>
      <c r="V863" s="541"/>
    </row>
    <row r="864" spans="1:22" s="550" customFormat="1" ht="50.1" customHeight="1" x14ac:dyDescent="0.2">
      <c r="A864" s="619">
        <f>IF(B864="","",COUNT('Diário 5º PA'!$A$5:$A$2634)+COUNT('Diário 6º PA'!$A$5:$A$2246)+COUNT('Diário 7º PA'!$A$5:$A$2271)+ROW()-4)</f>
        <v>4810</v>
      </c>
      <c r="B864" s="620">
        <v>44508</v>
      </c>
      <c r="C864" s="624">
        <v>44440</v>
      </c>
      <c r="D864" s="548" t="s">
        <v>104</v>
      </c>
      <c r="E864" s="548" t="s">
        <v>104</v>
      </c>
      <c r="F864" s="634">
        <v>2.19</v>
      </c>
      <c r="G864" s="623" t="s">
        <v>7047</v>
      </c>
      <c r="H864" s="548" t="s">
        <v>104</v>
      </c>
      <c r="I864" s="631" t="s">
        <v>465</v>
      </c>
      <c r="J864" s="622" t="s">
        <v>114</v>
      </c>
      <c r="K864" s="583" t="s">
        <v>466</v>
      </c>
      <c r="L864" s="583" t="s">
        <v>467</v>
      </c>
      <c r="M864" s="625">
        <v>221221634369</v>
      </c>
      <c r="N864" s="620">
        <v>44508</v>
      </c>
      <c r="O864" s="684" t="s">
        <v>5377</v>
      </c>
      <c r="P864" s="503">
        <f t="shared" si="50"/>
        <v>11</v>
      </c>
      <c r="Q864" s="503">
        <f t="shared" si="51"/>
        <v>9</v>
      </c>
      <c r="R864" s="504" t="str">
        <f t="shared" si="52"/>
        <v>Gastos_custeados_por_captação</v>
      </c>
      <c r="S864" s="504" t="str">
        <f>IF(D864="","",IF(OR(D864=Plano!$A$1,D864=Plano!$B$1),"entrada","saída"))</f>
        <v>saída</v>
      </c>
      <c r="T864" s="511" t="s">
        <v>114</v>
      </c>
      <c r="U864" s="511" t="s">
        <v>114</v>
      </c>
      <c r="V864" s="541"/>
    </row>
    <row r="865" spans="1:22" s="550" customFormat="1" ht="50.1" customHeight="1" x14ac:dyDescent="0.2">
      <c r="A865" s="619">
        <f>IF(B865="","",COUNT('Diário 5º PA'!$A$5:$A$2634)+COUNT('Diário 6º PA'!$A$5:$A$2246)+COUNT('Diário 7º PA'!$A$5:$A$2271)+ROW()-4)</f>
        <v>4811</v>
      </c>
      <c r="B865" s="620">
        <v>44508</v>
      </c>
      <c r="C865" s="624">
        <v>44470</v>
      </c>
      <c r="D865" s="548" t="s">
        <v>104</v>
      </c>
      <c r="E865" s="548" t="s">
        <v>104</v>
      </c>
      <c r="F865" s="634">
        <v>120</v>
      </c>
      <c r="G865" s="623" t="s">
        <v>7048</v>
      </c>
      <c r="H865" s="548" t="s">
        <v>104</v>
      </c>
      <c r="I865" s="631" t="s">
        <v>465</v>
      </c>
      <c r="J865" s="622" t="s">
        <v>114</v>
      </c>
      <c r="K865" s="583" t="s">
        <v>466</v>
      </c>
      <c r="L865" s="583" t="s">
        <v>467</v>
      </c>
      <c r="M865" s="625">
        <v>221221635250</v>
      </c>
      <c r="N865" s="620">
        <v>44508</v>
      </c>
      <c r="O865" s="684" t="s">
        <v>5377</v>
      </c>
      <c r="P865" s="503">
        <f t="shared" si="50"/>
        <v>11</v>
      </c>
      <c r="Q865" s="503">
        <f t="shared" si="51"/>
        <v>10</v>
      </c>
      <c r="R865" s="504" t="str">
        <f t="shared" si="52"/>
        <v>Gastos_custeados_por_captação</v>
      </c>
      <c r="S865" s="504" t="str">
        <f>IF(D865="","",IF(OR(D865=Plano!$A$1,D865=Plano!$B$1),"entrada","saída"))</f>
        <v>saída</v>
      </c>
      <c r="T865" s="511" t="s">
        <v>114</v>
      </c>
      <c r="U865" s="511" t="s">
        <v>114</v>
      </c>
      <c r="V865" s="541"/>
    </row>
    <row r="866" spans="1:22" s="550" customFormat="1" ht="50.1" customHeight="1" x14ac:dyDescent="0.2">
      <c r="A866" s="619">
        <f>IF(B866="","",COUNT('Diário 5º PA'!$A$5:$A$2634)+COUNT('Diário 6º PA'!$A$5:$A$2246)+COUNT('Diário 7º PA'!$A$5:$A$2271)+ROW()-4)</f>
        <v>4812</v>
      </c>
      <c r="B866" s="620">
        <v>44508</v>
      </c>
      <c r="C866" s="624">
        <v>44470</v>
      </c>
      <c r="D866" s="548" t="s">
        <v>104</v>
      </c>
      <c r="E866" s="548" t="s">
        <v>104</v>
      </c>
      <c r="F866" s="634">
        <v>76.05</v>
      </c>
      <c r="G866" s="623" t="s">
        <v>7049</v>
      </c>
      <c r="H866" s="548" t="s">
        <v>104</v>
      </c>
      <c r="I866" s="631" t="s">
        <v>465</v>
      </c>
      <c r="J866" s="622" t="s">
        <v>114</v>
      </c>
      <c r="K866" s="583" t="s">
        <v>466</v>
      </c>
      <c r="L866" s="583" t="s">
        <v>467</v>
      </c>
      <c r="M866" s="625">
        <v>221221636302</v>
      </c>
      <c r="N866" s="620">
        <v>44508</v>
      </c>
      <c r="O866" s="684" t="s">
        <v>5377</v>
      </c>
      <c r="P866" s="503">
        <f t="shared" si="50"/>
        <v>11</v>
      </c>
      <c r="Q866" s="503">
        <f t="shared" si="51"/>
        <v>10</v>
      </c>
      <c r="R866" s="504" t="str">
        <f t="shared" si="52"/>
        <v>Gastos_custeados_por_captação</v>
      </c>
      <c r="S866" s="504" t="str">
        <f>IF(D866="","",IF(OR(D866=Plano!$A$1,D866=Plano!$B$1),"entrada","saída"))</f>
        <v>saída</v>
      </c>
      <c r="T866" s="511" t="s">
        <v>114</v>
      </c>
      <c r="U866" s="511" t="s">
        <v>114</v>
      </c>
      <c r="V866" s="541"/>
    </row>
    <row r="867" spans="1:22" s="561" customFormat="1" ht="50.1" customHeight="1" x14ac:dyDescent="0.2">
      <c r="A867" s="619">
        <f>IF(B867="","",COUNT('Diário 5º PA'!$A$5:$A$2634)+COUNT('Diário 6º PA'!$A$5:$A$2246)+COUNT('Diário 7º PA'!$A$5:$A$2271)+ROW()-4)</f>
        <v>4813</v>
      </c>
      <c r="B867" s="620">
        <v>44508</v>
      </c>
      <c r="C867" s="645">
        <v>44440</v>
      </c>
      <c r="D867" s="646" t="s">
        <v>104</v>
      </c>
      <c r="E867" s="646" t="s">
        <v>104</v>
      </c>
      <c r="F867" s="647">
        <v>120.6</v>
      </c>
      <c r="G867" s="648" t="s">
        <v>5965</v>
      </c>
      <c r="H867" s="646" t="s">
        <v>104</v>
      </c>
      <c r="I867" s="631" t="s">
        <v>465</v>
      </c>
      <c r="J867" s="646" t="s">
        <v>114</v>
      </c>
      <c r="K867" s="627" t="s">
        <v>466</v>
      </c>
      <c r="L867" s="627" t="s">
        <v>467</v>
      </c>
      <c r="M867" s="625" t="s">
        <v>7111</v>
      </c>
      <c r="N867" s="620">
        <v>44508</v>
      </c>
      <c r="O867" s="684" t="s">
        <v>70</v>
      </c>
      <c r="P867" s="503">
        <f t="shared" si="50"/>
        <v>11</v>
      </c>
      <c r="Q867" s="503">
        <f t="shared" si="51"/>
        <v>9</v>
      </c>
      <c r="R867" s="504" t="str">
        <f t="shared" si="52"/>
        <v>Gastos_custeados_por_captação</v>
      </c>
      <c r="S867" s="504" t="str">
        <f>IF(D867="","",IF(OR(D867=Plano!$A$1,D867=Plano!$B$1),"entrada","saída"))</f>
        <v>saída</v>
      </c>
      <c r="T867" s="511" t="s">
        <v>114</v>
      </c>
      <c r="U867" s="511" t="s">
        <v>114</v>
      </c>
      <c r="V867" s="541"/>
    </row>
    <row r="868" spans="1:22" s="561" customFormat="1" ht="50.1" customHeight="1" x14ac:dyDescent="0.2">
      <c r="A868" s="619">
        <f>IF(B868="","",COUNT('Diário 5º PA'!$A$5:$A$2634)+COUNT('Diário 6º PA'!$A$5:$A$2246)+COUNT('Diário 7º PA'!$A$5:$A$2271)+ROW()-4)</f>
        <v>4814</v>
      </c>
      <c r="B868" s="644">
        <v>44508</v>
      </c>
      <c r="C868" s="650">
        <v>44409</v>
      </c>
      <c r="D868" s="651" t="s">
        <v>104</v>
      </c>
      <c r="E868" s="651" t="s">
        <v>104</v>
      </c>
      <c r="F868" s="641">
        <v>818.7</v>
      </c>
      <c r="G868" s="639" t="s">
        <v>5963</v>
      </c>
      <c r="H868" s="651" t="s">
        <v>104</v>
      </c>
      <c r="I868" s="631" t="s">
        <v>465</v>
      </c>
      <c r="J868" s="651" t="s">
        <v>114</v>
      </c>
      <c r="K868" s="640" t="s">
        <v>466</v>
      </c>
      <c r="L868" s="640" t="s">
        <v>467</v>
      </c>
      <c r="M868" s="652" t="s">
        <v>7112</v>
      </c>
      <c r="N868" s="644">
        <v>44508</v>
      </c>
      <c r="O868" s="685" t="s">
        <v>70</v>
      </c>
      <c r="P868" s="503">
        <f t="shared" si="50"/>
        <v>11</v>
      </c>
      <c r="Q868" s="503">
        <f t="shared" si="51"/>
        <v>8</v>
      </c>
      <c r="R868" s="504" t="str">
        <f t="shared" si="52"/>
        <v>Gastos_custeados_por_captação</v>
      </c>
      <c r="S868" s="504" t="str">
        <f>IF(D868="","",IF(OR(D868=Plano!$A$1,D868=Plano!$B$1),"entrada","saída"))</f>
        <v>saída</v>
      </c>
      <c r="T868" s="566" t="s">
        <v>114</v>
      </c>
      <c r="U868" s="566" t="s">
        <v>114</v>
      </c>
      <c r="V868" s="541"/>
    </row>
    <row r="869" spans="1:22" s="562" customFormat="1" ht="135.75" customHeight="1" x14ac:dyDescent="0.2">
      <c r="A869" s="619">
        <f>IF(B869="","",COUNT('Diário 5º PA'!$A$5:$A$2634)+COUNT('Diário 6º PA'!$A$5:$A$2246)+COUNT('Diário 7º PA'!$A$5:$A$2271)+ROW()-4)</f>
        <v>4815</v>
      </c>
      <c r="B869" s="644">
        <v>44508</v>
      </c>
      <c r="C869" s="645">
        <v>44470</v>
      </c>
      <c r="D869" s="651" t="s">
        <v>104</v>
      </c>
      <c r="E869" s="651" t="s">
        <v>104</v>
      </c>
      <c r="F869" s="647">
        <v>6319.21</v>
      </c>
      <c r="G869" s="648" t="s">
        <v>484</v>
      </c>
      <c r="H869" s="651" t="s">
        <v>104</v>
      </c>
      <c r="I869" s="627" t="s">
        <v>485</v>
      </c>
      <c r="J869" s="646" t="s">
        <v>486</v>
      </c>
      <c r="K869" s="583" t="s">
        <v>991</v>
      </c>
      <c r="L869" s="583" t="s">
        <v>992</v>
      </c>
      <c r="M869" s="619" t="s">
        <v>7140</v>
      </c>
      <c r="N869" s="620">
        <v>44504</v>
      </c>
      <c r="O869" s="684" t="s">
        <v>71</v>
      </c>
      <c r="P869" s="503">
        <f t="shared" si="50"/>
        <v>11</v>
      </c>
      <c r="Q869" s="503">
        <f t="shared" si="51"/>
        <v>10</v>
      </c>
      <c r="R869" s="504" t="str">
        <f t="shared" si="52"/>
        <v>Gastos_custeados_por_captação</v>
      </c>
      <c r="S869" s="504" t="str">
        <f>IF(D869="","",IF(OR(D869=Plano!$A$1,D869=Plano!$B$1),"entrada","saída"))</f>
        <v>saída</v>
      </c>
      <c r="T869" s="511" t="s">
        <v>1082</v>
      </c>
      <c r="U869" s="511">
        <v>1115</v>
      </c>
      <c r="V869" s="541"/>
    </row>
    <row r="870" spans="1:22" s="562" customFormat="1" ht="141.75" customHeight="1" x14ac:dyDescent="0.2">
      <c r="A870" s="619">
        <f>IF(B870="","",COUNT('Diário 5º PA'!$A$5:$A$2634)+COUNT('Diário 6º PA'!$A$5:$A$2246)+COUNT('Diário 7º PA'!$A$5:$A$2271)+ROW()-4)</f>
        <v>4816</v>
      </c>
      <c r="B870" s="644">
        <v>44508</v>
      </c>
      <c r="C870" s="645">
        <v>44470</v>
      </c>
      <c r="D870" s="646" t="s">
        <v>104</v>
      </c>
      <c r="E870" s="646" t="s">
        <v>104</v>
      </c>
      <c r="F870" s="647">
        <v>3342.5</v>
      </c>
      <c r="G870" s="648" t="s">
        <v>634</v>
      </c>
      <c r="H870" s="646" t="s">
        <v>104</v>
      </c>
      <c r="I870" s="627" t="s">
        <v>4529</v>
      </c>
      <c r="J870" s="646" t="s">
        <v>636</v>
      </c>
      <c r="K870" s="583" t="s">
        <v>991</v>
      </c>
      <c r="L870" s="583" t="s">
        <v>992</v>
      </c>
      <c r="M870" s="619" t="s">
        <v>1058</v>
      </c>
      <c r="N870" s="620">
        <v>44505</v>
      </c>
      <c r="O870" s="684" t="s">
        <v>71</v>
      </c>
      <c r="P870" s="503">
        <f t="shared" si="50"/>
        <v>11</v>
      </c>
      <c r="Q870" s="503">
        <f t="shared" si="51"/>
        <v>10</v>
      </c>
      <c r="R870" s="504" t="str">
        <f t="shared" si="52"/>
        <v>Gastos_custeados_por_captação</v>
      </c>
      <c r="S870" s="504" t="str">
        <f>IF(D870="","",IF(OR(D870=Plano!$A$1,D870=Plano!$B$1),"entrada","saída"))</f>
        <v>saída</v>
      </c>
      <c r="T870" s="511" t="s">
        <v>1082</v>
      </c>
      <c r="U870" s="511">
        <v>1457</v>
      </c>
      <c r="V870" s="541"/>
    </row>
    <row r="871" spans="1:22" s="562" customFormat="1" ht="45" customHeight="1" x14ac:dyDescent="0.2">
      <c r="A871" s="619">
        <f>IF(B871="","",COUNT('Diário 5º PA'!$A$5:$A$2634)+COUNT('Diário 6º PA'!$A$5:$A$2246)+COUNT('Diário 7º PA'!$A$5:$A$2271)+ROW()-4)</f>
        <v>4817</v>
      </c>
      <c r="B871" s="644">
        <v>44508</v>
      </c>
      <c r="C871" s="645">
        <v>44440</v>
      </c>
      <c r="D871" s="646" t="s">
        <v>104</v>
      </c>
      <c r="E871" s="646" t="s">
        <v>104</v>
      </c>
      <c r="F871" s="647">
        <v>75</v>
      </c>
      <c r="G871" s="648" t="s">
        <v>5959</v>
      </c>
      <c r="H871" s="646" t="s">
        <v>104</v>
      </c>
      <c r="I871" s="631" t="s">
        <v>465</v>
      </c>
      <c r="J871" s="646" t="s">
        <v>114</v>
      </c>
      <c r="K871" s="627" t="s">
        <v>466</v>
      </c>
      <c r="L871" s="627" t="s">
        <v>467</v>
      </c>
      <c r="M871" s="625">
        <v>221221656508</v>
      </c>
      <c r="N871" s="620">
        <v>44508</v>
      </c>
      <c r="O871" s="684" t="s">
        <v>71</v>
      </c>
      <c r="P871" s="503">
        <f t="shared" si="50"/>
        <v>11</v>
      </c>
      <c r="Q871" s="503">
        <f t="shared" si="51"/>
        <v>9</v>
      </c>
      <c r="R871" s="504" t="str">
        <f t="shared" si="52"/>
        <v>Gastos_custeados_por_captação</v>
      </c>
      <c r="S871" s="504" t="str">
        <f>IF(D871="","",IF(OR(D871=Plano!$A$1,D871=Plano!$B$1),"entrada","saída"))</f>
        <v>saída</v>
      </c>
      <c r="T871" s="511" t="s">
        <v>114</v>
      </c>
      <c r="U871" s="511" t="s">
        <v>114</v>
      </c>
      <c r="V871" s="541"/>
    </row>
    <row r="872" spans="1:22" s="562" customFormat="1" ht="50.1" customHeight="1" x14ac:dyDescent="0.2">
      <c r="A872" s="619">
        <f>IF(B872="","",COUNT('Diário 5º PA'!$A$5:$A$2634)+COUNT('Diário 6º PA'!$A$5:$A$2246)+COUNT('Diário 7º PA'!$A$5:$A$2271)+ROW()-4)</f>
        <v>4818</v>
      </c>
      <c r="B872" s="644">
        <v>44508</v>
      </c>
      <c r="C872" s="645">
        <v>44409</v>
      </c>
      <c r="D872" s="646" t="s">
        <v>104</v>
      </c>
      <c r="E872" s="646" t="s">
        <v>104</v>
      </c>
      <c r="F872" s="647">
        <v>50</v>
      </c>
      <c r="G872" s="648" t="s">
        <v>5969</v>
      </c>
      <c r="H872" s="646" t="s">
        <v>104</v>
      </c>
      <c r="I872" s="631" t="s">
        <v>465</v>
      </c>
      <c r="J872" s="646" t="s">
        <v>114</v>
      </c>
      <c r="K872" s="627" t="s">
        <v>466</v>
      </c>
      <c r="L872" s="627" t="s">
        <v>467</v>
      </c>
      <c r="M872" s="625">
        <v>221221656923</v>
      </c>
      <c r="N872" s="620">
        <v>44508</v>
      </c>
      <c r="O872" s="684" t="s">
        <v>71</v>
      </c>
      <c r="P872" s="503">
        <f t="shared" si="50"/>
        <v>11</v>
      </c>
      <c r="Q872" s="503">
        <f t="shared" si="51"/>
        <v>8</v>
      </c>
      <c r="R872" s="504" t="str">
        <f t="shared" si="52"/>
        <v>Gastos_custeados_por_captação</v>
      </c>
      <c r="S872" s="504" t="str">
        <f>IF(D872="","",IF(OR(D872=Plano!$A$1,D872=Plano!$B$1),"entrada","saída"))</f>
        <v>saída</v>
      </c>
      <c r="T872" s="511" t="s">
        <v>114</v>
      </c>
      <c r="U872" s="511" t="s">
        <v>114</v>
      </c>
      <c r="V872" s="541"/>
    </row>
    <row r="873" spans="1:22" s="562" customFormat="1" ht="50.1" customHeight="1" x14ac:dyDescent="0.2">
      <c r="A873" s="619">
        <f>IF(B873="","",COUNT('Diário 5º PA'!$A$5:$A$2634)+COUNT('Diário 6º PA'!$A$5:$A$2246)+COUNT('Diário 7º PA'!$A$5:$A$2271)+ROW()-4)</f>
        <v>4819</v>
      </c>
      <c r="B873" s="644">
        <v>44508</v>
      </c>
      <c r="C873" s="645">
        <v>44440</v>
      </c>
      <c r="D873" s="646" t="s">
        <v>104</v>
      </c>
      <c r="E873" s="646" t="s">
        <v>104</v>
      </c>
      <c r="F873" s="647">
        <v>77.180000000000007</v>
      </c>
      <c r="G873" s="648" t="s">
        <v>7128</v>
      </c>
      <c r="H873" s="646" t="s">
        <v>104</v>
      </c>
      <c r="I873" s="631" t="s">
        <v>465</v>
      </c>
      <c r="J873" s="646" t="s">
        <v>114</v>
      </c>
      <c r="K873" s="627" t="s">
        <v>466</v>
      </c>
      <c r="L873" s="627" t="s">
        <v>467</v>
      </c>
      <c r="M873" s="625">
        <v>221221658543</v>
      </c>
      <c r="N873" s="620">
        <v>44508</v>
      </c>
      <c r="O873" s="684" t="s">
        <v>71</v>
      </c>
      <c r="P873" s="503">
        <f t="shared" si="50"/>
        <v>11</v>
      </c>
      <c r="Q873" s="503">
        <f t="shared" si="51"/>
        <v>9</v>
      </c>
      <c r="R873" s="504" t="str">
        <f t="shared" si="52"/>
        <v>Gastos_custeados_por_captação</v>
      </c>
      <c r="S873" s="504" t="str">
        <f>IF(D873="","",IF(OR(D873=Plano!$A$1,D873=Plano!$B$1),"entrada","saída"))</f>
        <v>saída</v>
      </c>
      <c r="T873" s="511" t="s">
        <v>114</v>
      </c>
      <c r="U873" s="511" t="s">
        <v>114</v>
      </c>
      <c r="V873" s="541"/>
    </row>
    <row r="874" spans="1:22" s="562" customFormat="1" ht="50.1" customHeight="1" x14ac:dyDescent="0.2">
      <c r="A874" s="619">
        <f>IF(B874="","",COUNT('Diário 5º PA'!$A$5:$A$2634)+COUNT('Diário 6º PA'!$A$5:$A$2246)+COUNT('Diário 7º PA'!$A$5:$A$2271)+ROW()-4)</f>
        <v>4820</v>
      </c>
      <c r="B874" s="644">
        <v>44508</v>
      </c>
      <c r="C874" s="645">
        <v>44440</v>
      </c>
      <c r="D874" s="646" t="s">
        <v>104</v>
      </c>
      <c r="E874" s="646" t="s">
        <v>104</v>
      </c>
      <c r="F874" s="647">
        <v>157.5</v>
      </c>
      <c r="G874" s="648" t="s">
        <v>7143</v>
      </c>
      <c r="H874" s="646" t="s">
        <v>104</v>
      </c>
      <c r="I874" s="631" t="s">
        <v>465</v>
      </c>
      <c r="J874" s="646" t="s">
        <v>114</v>
      </c>
      <c r="K874" s="627" t="s">
        <v>466</v>
      </c>
      <c r="L874" s="627" t="s">
        <v>467</v>
      </c>
      <c r="M874" s="625">
        <v>221221699738</v>
      </c>
      <c r="N874" s="620">
        <v>44508</v>
      </c>
      <c r="O874" s="684" t="s">
        <v>71</v>
      </c>
      <c r="P874" s="503">
        <f t="shared" si="50"/>
        <v>11</v>
      </c>
      <c r="Q874" s="503">
        <f t="shared" si="51"/>
        <v>9</v>
      </c>
      <c r="R874" s="504" t="str">
        <f t="shared" si="52"/>
        <v>Gastos_custeados_por_captação</v>
      </c>
      <c r="S874" s="504" t="str">
        <f>IF(D874="","",IF(OR(D874=Plano!$A$1,D874=Plano!$B$1),"entrada","saída"))</f>
        <v>saída</v>
      </c>
      <c r="T874" s="511" t="s">
        <v>114</v>
      </c>
      <c r="U874" s="511" t="s">
        <v>114</v>
      </c>
      <c r="V874" s="541"/>
    </row>
    <row r="875" spans="1:22" s="562" customFormat="1" ht="50.1" customHeight="1" x14ac:dyDescent="0.2">
      <c r="A875" s="619">
        <f>IF(B875="","",COUNT('Diário 5º PA'!$A$5:$A$2634)+COUNT('Diário 6º PA'!$A$5:$A$2246)+COUNT('Diário 7º PA'!$A$5:$A$2271)+ROW()-4)</f>
        <v>4821</v>
      </c>
      <c r="B875" s="644">
        <v>44508</v>
      </c>
      <c r="C875" s="624">
        <v>44531</v>
      </c>
      <c r="D875" s="548" t="s">
        <v>104</v>
      </c>
      <c r="E875" s="548" t="s">
        <v>104</v>
      </c>
      <c r="F875" s="622">
        <v>10.45</v>
      </c>
      <c r="G875" s="623" t="s">
        <v>5451</v>
      </c>
      <c r="H875" s="548" t="s">
        <v>104</v>
      </c>
      <c r="I875" s="583" t="s">
        <v>949</v>
      </c>
      <c r="J875" s="548" t="s">
        <v>950</v>
      </c>
      <c r="K875" s="583" t="s">
        <v>951</v>
      </c>
      <c r="L875" s="583" t="s">
        <v>947</v>
      </c>
      <c r="M875" s="625" t="s">
        <v>114</v>
      </c>
      <c r="N875" s="620">
        <v>44508</v>
      </c>
      <c r="O875" s="684" t="s">
        <v>71</v>
      </c>
      <c r="P875" s="503">
        <f t="shared" si="50"/>
        <v>11</v>
      </c>
      <c r="Q875" s="503">
        <f t="shared" si="51"/>
        <v>12</v>
      </c>
      <c r="R875" s="504" t="str">
        <f t="shared" si="52"/>
        <v>Gastos_custeados_por_captação</v>
      </c>
      <c r="S875" s="504" t="str">
        <f>IF(D875="","",IF(OR(D875=Plano!$A$1,D875=Plano!$B$1),"entrada","saída"))</f>
        <v>saída</v>
      </c>
      <c r="T875" s="511" t="s">
        <v>114</v>
      </c>
      <c r="U875" s="511" t="s">
        <v>114</v>
      </c>
      <c r="V875" s="541"/>
    </row>
    <row r="876" spans="1:22" s="568" customFormat="1" ht="50.1" customHeight="1" x14ac:dyDescent="0.2">
      <c r="A876" s="619">
        <f>IF(B876="","",COUNT('Diário 5º PA'!$A$5:$A$2634)+COUNT('Diário 6º PA'!$A$5:$A$2246)+COUNT('Diário 7º PA'!$A$5:$A$2271)+ROW()-4)</f>
        <v>4822</v>
      </c>
      <c r="B876" s="644">
        <v>44508</v>
      </c>
      <c r="C876" s="650">
        <v>44440</v>
      </c>
      <c r="D876" s="651" t="s">
        <v>104</v>
      </c>
      <c r="E876" s="651" t="s">
        <v>104</v>
      </c>
      <c r="F876" s="641">
        <v>75</v>
      </c>
      <c r="G876" s="639" t="s">
        <v>5956</v>
      </c>
      <c r="H876" s="651" t="s">
        <v>104</v>
      </c>
      <c r="I876" s="631" t="s">
        <v>465</v>
      </c>
      <c r="J876" s="651" t="s">
        <v>114</v>
      </c>
      <c r="K876" s="640" t="s">
        <v>466</v>
      </c>
      <c r="L876" s="640" t="s">
        <v>467</v>
      </c>
      <c r="M876" s="652">
        <v>221221690781</v>
      </c>
      <c r="N876" s="644">
        <v>44508</v>
      </c>
      <c r="O876" s="685" t="s">
        <v>68</v>
      </c>
      <c r="P876" s="503">
        <f t="shared" si="50"/>
        <v>11</v>
      </c>
      <c r="Q876" s="503">
        <f t="shared" si="51"/>
        <v>9</v>
      </c>
      <c r="R876" s="504" t="str">
        <f t="shared" si="52"/>
        <v>Gastos_custeados_por_captação</v>
      </c>
      <c r="S876" s="504" t="str">
        <f>IF(D876="","",IF(OR(D876=Plano!$A$1,D876=Plano!$B$1),"entrada","saída"))</f>
        <v>saída</v>
      </c>
      <c r="T876" s="566" t="s">
        <v>114</v>
      </c>
      <c r="U876" s="566" t="s">
        <v>114</v>
      </c>
      <c r="V876" s="541"/>
    </row>
    <row r="877" spans="1:22" s="572" customFormat="1" ht="244.5" customHeight="1" x14ac:dyDescent="0.2">
      <c r="A877" s="619">
        <f>IF(B877="","",COUNT('Diário 5º PA'!$A$5:$A$2634)+COUNT('Diário 6º PA'!$A$5:$A$2246)+COUNT('Diário 7º PA'!$A$5:$A$2271)+ROW()-4)</f>
        <v>4823</v>
      </c>
      <c r="B877" s="644">
        <v>44508</v>
      </c>
      <c r="C877" s="645">
        <v>44470</v>
      </c>
      <c r="D877" s="646" t="s">
        <v>104</v>
      </c>
      <c r="E877" s="646" t="s">
        <v>104</v>
      </c>
      <c r="F877" s="647">
        <v>2000</v>
      </c>
      <c r="G877" s="648" t="s">
        <v>462</v>
      </c>
      <c r="H877" s="646" t="s">
        <v>104</v>
      </c>
      <c r="I877" s="627" t="s">
        <v>4178</v>
      </c>
      <c r="J877" s="646" t="s">
        <v>464</v>
      </c>
      <c r="K877" s="583" t="s">
        <v>991</v>
      </c>
      <c r="L877" s="583" t="s">
        <v>992</v>
      </c>
      <c r="M877" s="619" t="s">
        <v>1532</v>
      </c>
      <c r="N877" s="620">
        <v>44503</v>
      </c>
      <c r="O877" s="684" t="s">
        <v>5370</v>
      </c>
      <c r="P877" s="503">
        <f t="shared" si="50"/>
        <v>11</v>
      </c>
      <c r="Q877" s="503">
        <f t="shared" si="51"/>
        <v>10</v>
      </c>
      <c r="R877" s="504" t="str">
        <f t="shared" si="52"/>
        <v>Gastos_custeados_por_captação</v>
      </c>
      <c r="S877" s="504" t="str">
        <f>IF(D877="","",IF(OR(D877=Plano!$A$1,D877=Plano!$B$1),"entrada","saída"))</f>
        <v>saída</v>
      </c>
      <c r="T877" s="511" t="s">
        <v>1082</v>
      </c>
      <c r="U877" s="511">
        <v>1267</v>
      </c>
      <c r="V877" s="541"/>
    </row>
    <row r="878" spans="1:22" s="572" customFormat="1" ht="118.5" customHeight="1" x14ac:dyDescent="0.2">
      <c r="A878" s="619">
        <f>IF(B878="","",COUNT('Diário 5º PA'!$A$5:$A$2634)+COUNT('Diário 6º PA'!$A$5:$A$2246)+COUNT('Diário 7º PA'!$A$5:$A$2271)+ROW()-4)</f>
        <v>4824</v>
      </c>
      <c r="B878" s="644">
        <v>44508</v>
      </c>
      <c r="C878" s="645">
        <v>44501</v>
      </c>
      <c r="D878" s="646" t="s">
        <v>104</v>
      </c>
      <c r="E878" s="646" t="s">
        <v>104</v>
      </c>
      <c r="F878" s="647">
        <v>2000</v>
      </c>
      <c r="G878" s="648" t="s">
        <v>477</v>
      </c>
      <c r="H878" s="646" t="s">
        <v>104</v>
      </c>
      <c r="I878" s="627" t="s">
        <v>1293</v>
      </c>
      <c r="J878" s="646" t="s">
        <v>479</v>
      </c>
      <c r="K878" s="583" t="s">
        <v>991</v>
      </c>
      <c r="L878" s="583" t="s">
        <v>992</v>
      </c>
      <c r="M878" s="619" t="s">
        <v>1049</v>
      </c>
      <c r="N878" s="620">
        <v>44503</v>
      </c>
      <c r="O878" s="684" t="s">
        <v>5370</v>
      </c>
      <c r="P878" s="503">
        <f t="shared" si="50"/>
        <v>11</v>
      </c>
      <c r="Q878" s="503">
        <f t="shared" si="51"/>
        <v>11</v>
      </c>
      <c r="R878" s="504" t="str">
        <f t="shared" si="52"/>
        <v>Gastos_custeados_por_captação</v>
      </c>
      <c r="S878" s="504" t="str">
        <f>IF(D878="","",IF(OR(D878=Plano!$A$1,D878=Plano!$B$1),"entrada","saída"))</f>
        <v>saída</v>
      </c>
      <c r="T878" s="511" t="s">
        <v>1082</v>
      </c>
      <c r="U878" s="511">
        <v>1268</v>
      </c>
      <c r="V878" s="541"/>
    </row>
    <row r="879" spans="1:22" s="572" customFormat="1" ht="265.5" customHeight="1" x14ac:dyDescent="0.2">
      <c r="A879" s="619">
        <f>IF(B879="","",COUNT('Diário 5º PA'!$A$5:$A$2634)+COUNT('Diário 6º PA'!$A$5:$A$2246)+COUNT('Diário 7º PA'!$A$5:$A$2271)+ROW()-4)</f>
        <v>4825</v>
      </c>
      <c r="B879" s="644">
        <v>44508</v>
      </c>
      <c r="C879" s="645">
        <v>44470</v>
      </c>
      <c r="D879" s="646" t="s">
        <v>104</v>
      </c>
      <c r="E879" s="646" t="s">
        <v>104</v>
      </c>
      <c r="F879" s="647">
        <v>2253.77</v>
      </c>
      <c r="G879" s="648" t="s">
        <v>593</v>
      </c>
      <c r="H879" s="646" t="s">
        <v>104</v>
      </c>
      <c r="I879" s="627" t="s">
        <v>1298</v>
      </c>
      <c r="J879" s="646" t="s">
        <v>590</v>
      </c>
      <c r="K879" s="583" t="s">
        <v>991</v>
      </c>
      <c r="L879" s="583" t="s">
        <v>992</v>
      </c>
      <c r="M879" s="619" t="s">
        <v>1061</v>
      </c>
      <c r="N879" s="620">
        <v>44505</v>
      </c>
      <c r="O879" s="684" t="s">
        <v>5370</v>
      </c>
      <c r="P879" s="503">
        <f t="shared" si="50"/>
        <v>11</v>
      </c>
      <c r="Q879" s="503">
        <f t="shared" si="51"/>
        <v>10</v>
      </c>
      <c r="R879" s="504" t="str">
        <f t="shared" si="52"/>
        <v>Gastos_custeados_por_captação</v>
      </c>
      <c r="S879" s="504" t="str">
        <f>IF(D879="","",IF(OR(D879=Plano!$A$1,D879=Plano!$B$1),"entrada","saída"))</f>
        <v>saída</v>
      </c>
      <c r="T879" s="511" t="s">
        <v>1082</v>
      </c>
      <c r="U879" s="511">
        <v>1434</v>
      </c>
      <c r="V879" s="541"/>
    </row>
    <row r="880" spans="1:22" s="572" customFormat="1" ht="171" customHeight="1" x14ac:dyDescent="0.2">
      <c r="A880" s="619">
        <f>IF(B880="","",COUNT('Diário 5º PA'!$A$5:$A$2634)+COUNT('Diário 6º PA'!$A$5:$A$2246)+COUNT('Diário 7º PA'!$A$5:$A$2271)+ROW()-4)</f>
        <v>4826</v>
      </c>
      <c r="B880" s="644">
        <v>44508</v>
      </c>
      <c r="C880" s="645">
        <v>44501</v>
      </c>
      <c r="D880" s="646" t="s">
        <v>104</v>
      </c>
      <c r="E880" s="646" t="s">
        <v>104</v>
      </c>
      <c r="F880" s="647">
        <v>3920</v>
      </c>
      <c r="G880" s="648" t="s">
        <v>6316</v>
      </c>
      <c r="H880" s="646" t="s">
        <v>104</v>
      </c>
      <c r="I880" s="627" t="s">
        <v>1295</v>
      </c>
      <c r="J880" s="646" t="s">
        <v>470</v>
      </c>
      <c r="K880" s="627" t="s">
        <v>991</v>
      </c>
      <c r="L880" s="627" t="s">
        <v>992</v>
      </c>
      <c r="M880" s="619" t="s">
        <v>1608</v>
      </c>
      <c r="N880" s="620">
        <v>44504</v>
      </c>
      <c r="O880" s="684" t="s">
        <v>5370</v>
      </c>
      <c r="P880" s="503">
        <f t="shared" si="50"/>
        <v>11</v>
      </c>
      <c r="Q880" s="503">
        <f t="shared" si="51"/>
        <v>11</v>
      </c>
      <c r="R880" s="504" t="str">
        <f t="shared" si="52"/>
        <v>Gastos_custeados_por_captação</v>
      </c>
      <c r="S880" s="504" t="str">
        <f>IF(D880="","",IF(OR(D880=Plano!$A$1,D880=Plano!$B$1),"entrada","saída"))</f>
        <v>saída</v>
      </c>
      <c r="T880" s="511" t="s">
        <v>1082</v>
      </c>
      <c r="U880" s="511">
        <v>1269</v>
      </c>
      <c r="V880" s="541"/>
    </row>
    <row r="881" spans="1:22" s="572" customFormat="1" ht="102.75" customHeight="1" x14ac:dyDescent="0.2">
      <c r="A881" s="619">
        <f>IF(B881="","",COUNT('Diário 5º PA'!$A$5:$A$2634)+COUNT('Diário 6º PA'!$A$5:$A$2246)+COUNT('Diário 7º PA'!$A$5:$A$2271)+ROW()-4)</f>
        <v>4827</v>
      </c>
      <c r="B881" s="644">
        <v>44508</v>
      </c>
      <c r="C881" s="645">
        <v>44470</v>
      </c>
      <c r="D881" s="646" t="s">
        <v>104</v>
      </c>
      <c r="E881" s="646" t="s">
        <v>104</v>
      </c>
      <c r="F881" s="647">
        <v>2850</v>
      </c>
      <c r="G881" s="648" t="s">
        <v>564</v>
      </c>
      <c r="H881" s="646" t="s">
        <v>104</v>
      </c>
      <c r="I881" s="627" t="s">
        <v>1332</v>
      </c>
      <c r="J881" s="646" t="s">
        <v>565</v>
      </c>
      <c r="K881" s="583" t="s">
        <v>991</v>
      </c>
      <c r="L881" s="583" t="s">
        <v>992</v>
      </c>
      <c r="M881" s="619" t="s">
        <v>3859</v>
      </c>
      <c r="N881" s="620">
        <v>44505</v>
      </c>
      <c r="O881" s="684" t="s">
        <v>5370</v>
      </c>
      <c r="P881" s="503">
        <f t="shared" si="50"/>
        <v>11</v>
      </c>
      <c r="Q881" s="503">
        <f t="shared" si="51"/>
        <v>10</v>
      </c>
      <c r="R881" s="504" t="str">
        <f t="shared" si="52"/>
        <v>Gastos_custeados_por_captação</v>
      </c>
      <c r="S881" s="504" t="str">
        <f>IF(D881="","",IF(OR(D881=Plano!$A$1,D881=Plano!$B$1),"entrada","saída"))</f>
        <v>saída</v>
      </c>
      <c r="T881" s="511" t="s">
        <v>1082</v>
      </c>
      <c r="U881" s="511">
        <v>1280</v>
      </c>
      <c r="V881" s="541"/>
    </row>
    <row r="882" spans="1:22" s="572" customFormat="1" ht="50.1" customHeight="1" x14ac:dyDescent="0.2">
      <c r="A882" s="619">
        <f>IF(B882="","",COUNT('Diário 5º PA'!$A$5:$A$2634)+COUNT('Diário 6º PA'!$A$5:$A$2246)+COUNT('Diário 7º PA'!$A$5:$A$2271)+ROW()-4)</f>
        <v>4828</v>
      </c>
      <c r="B882" s="644">
        <v>44508</v>
      </c>
      <c r="C882" s="621">
        <v>44440</v>
      </c>
      <c r="D882" s="548" t="s">
        <v>104</v>
      </c>
      <c r="E882" s="548" t="s">
        <v>104</v>
      </c>
      <c r="F882" s="622">
        <v>596</v>
      </c>
      <c r="G882" s="623" t="s">
        <v>7215</v>
      </c>
      <c r="H882" s="548" t="s">
        <v>104</v>
      </c>
      <c r="I882" s="631" t="s">
        <v>465</v>
      </c>
      <c r="J882" s="548" t="s">
        <v>114</v>
      </c>
      <c r="K882" s="583" t="s">
        <v>466</v>
      </c>
      <c r="L882" s="583" t="s">
        <v>467</v>
      </c>
      <c r="M882" s="625">
        <v>221221686164</v>
      </c>
      <c r="N882" s="644">
        <v>44508</v>
      </c>
      <c r="O882" s="684" t="s">
        <v>5370</v>
      </c>
      <c r="P882" s="503">
        <f t="shared" si="50"/>
        <v>11</v>
      </c>
      <c r="Q882" s="503">
        <f t="shared" si="51"/>
        <v>9</v>
      </c>
      <c r="R882" s="504" t="str">
        <f t="shared" si="52"/>
        <v>Gastos_custeados_por_captação</v>
      </c>
      <c r="S882" s="504" t="str">
        <f>IF(D882="","",IF(OR(D882=Plano!$A$1,D882=Plano!$B$1),"entrada","saída"))</f>
        <v>saída</v>
      </c>
      <c r="T882" s="511" t="s">
        <v>114</v>
      </c>
      <c r="U882" s="511" t="s">
        <v>114</v>
      </c>
      <c r="V882" s="541"/>
    </row>
    <row r="883" spans="1:22" s="572" customFormat="1" ht="50.1" customHeight="1" x14ac:dyDescent="0.2">
      <c r="A883" s="619">
        <f>IF(B883="","",COUNT('Diário 5º PA'!$A$5:$A$2634)+COUNT('Diário 6º PA'!$A$5:$A$2246)+COUNT('Diário 7º PA'!$A$5:$A$2271)+ROW()-4)</f>
        <v>4829</v>
      </c>
      <c r="B883" s="644">
        <v>44508</v>
      </c>
      <c r="C883" s="645">
        <v>44440</v>
      </c>
      <c r="D883" s="646" t="s">
        <v>104</v>
      </c>
      <c r="E883" s="646" t="s">
        <v>104</v>
      </c>
      <c r="F883" s="647">
        <v>75</v>
      </c>
      <c r="G883" s="648" t="s">
        <v>6891</v>
      </c>
      <c r="H883" s="646" t="s">
        <v>104</v>
      </c>
      <c r="I883" s="631" t="s">
        <v>465</v>
      </c>
      <c r="J883" s="548" t="s">
        <v>114</v>
      </c>
      <c r="K883" s="583" t="s">
        <v>466</v>
      </c>
      <c r="L883" s="583" t="s">
        <v>467</v>
      </c>
      <c r="M883" s="653">
        <v>221221686407</v>
      </c>
      <c r="N883" s="644">
        <v>44508</v>
      </c>
      <c r="O883" s="684" t="s">
        <v>5370</v>
      </c>
      <c r="P883" s="503">
        <f t="shared" si="50"/>
        <v>11</v>
      </c>
      <c r="Q883" s="503">
        <f t="shared" si="51"/>
        <v>9</v>
      </c>
      <c r="R883" s="504" t="str">
        <f t="shared" si="52"/>
        <v>Gastos_custeados_por_captação</v>
      </c>
      <c r="S883" s="504" t="str">
        <f>IF(D883="","",IF(OR(D883=Plano!$A$1,D883=Plano!$B$1),"entrada","saída"))</f>
        <v>saída</v>
      </c>
      <c r="T883" s="511" t="s">
        <v>114</v>
      </c>
      <c r="U883" s="511" t="s">
        <v>114</v>
      </c>
      <c r="V883" s="541"/>
    </row>
    <row r="884" spans="1:22" s="572" customFormat="1" ht="50.1" customHeight="1" x14ac:dyDescent="0.2">
      <c r="A884" s="619">
        <f>IF(B884="","",COUNT('Diário 5º PA'!$A$5:$A$2634)+COUNT('Diário 6º PA'!$A$5:$A$2246)+COUNT('Diário 7º PA'!$A$5:$A$2271)+ROW()-4)</f>
        <v>4830</v>
      </c>
      <c r="B884" s="644">
        <v>44508</v>
      </c>
      <c r="C884" s="645">
        <v>44440</v>
      </c>
      <c r="D884" s="646" t="s">
        <v>104</v>
      </c>
      <c r="E884" s="646" t="s">
        <v>104</v>
      </c>
      <c r="F884" s="647">
        <v>75</v>
      </c>
      <c r="G884" s="648" t="s">
        <v>6888</v>
      </c>
      <c r="H884" s="646" t="s">
        <v>104</v>
      </c>
      <c r="I884" s="631" t="s">
        <v>465</v>
      </c>
      <c r="J884" s="548" t="s">
        <v>114</v>
      </c>
      <c r="K884" s="583" t="s">
        <v>466</v>
      </c>
      <c r="L884" s="583" t="s">
        <v>467</v>
      </c>
      <c r="M884" s="653">
        <v>221221686830</v>
      </c>
      <c r="N884" s="644">
        <v>44508</v>
      </c>
      <c r="O884" s="684" t="s">
        <v>5370</v>
      </c>
      <c r="P884" s="503">
        <f t="shared" si="50"/>
        <v>11</v>
      </c>
      <c r="Q884" s="503">
        <f t="shared" si="51"/>
        <v>9</v>
      </c>
      <c r="R884" s="504" t="str">
        <f t="shared" si="52"/>
        <v>Gastos_custeados_por_captação</v>
      </c>
      <c r="S884" s="504" t="str">
        <f>IF(D884="","",IF(OR(D884=Plano!$A$1,D884=Plano!$B$1),"entrada","saída"))</f>
        <v>saída</v>
      </c>
      <c r="T884" s="511" t="s">
        <v>114</v>
      </c>
      <c r="U884" s="511" t="s">
        <v>114</v>
      </c>
      <c r="V884" s="541"/>
    </row>
    <row r="885" spans="1:22" s="572" customFormat="1" ht="50.1" customHeight="1" x14ac:dyDescent="0.2">
      <c r="A885" s="619">
        <f>IF(B885="","",COUNT('Diário 5º PA'!$A$5:$A$2634)+COUNT('Diário 6º PA'!$A$5:$A$2246)+COUNT('Diário 7º PA'!$A$5:$A$2271)+ROW()-4)</f>
        <v>4831</v>
      </c>
      <c r="B885" s="644">
        <v>44508</v>
      </c>
      <c r="C885" s="645">
        <v>44440</v>
      </c>
      <c r="D885" s="646" t="s">
        <v>104</v>
      </c>
      <c r="E885" s="646" t="s">
        <v>104</v>
      </c>
      <c r="F885" s="647">
        <v>25</v>
      </c>
      <c r="G885" s="648" t="s">
        <v>6895</v>
      </c>
      <c r="H885" s="646" t="s">
        <v>104</v>
      </c>
      <c r="I885" s="631" t="s">
        <v>465</v>
      </c>
      <c r="J885" s="548" t="s">
        <v>114</v>
      </c>
      <c r="K885" s="583" t="s">
        <v>466</v>
      </c>
      <c r="L885" s="583" t="s">
        <v>467</v>
      </c>
      <c r="M885" s="653">
        <v>221221687217</v>
      </c>
      <c r="N885" s="644">
        <v>44508</v>
      </c>
      <c r="O885" s="684" t="s">
        <v>5370</v>
      </c>
      <c r="P885" s="503">
        <f t="shared" si="50"/>
        <v>11</v>
      </c>
      <c r="Q885" s="503">
        <f t="shared" si="51"/>
        <v>9</v>
      </c>
      <c r="R885" s="504" t="str">
        <f t="shared" si="52"/>
        <v>Gastos_custeados_por_captação</v>
      </c>
      <c r="S885" s="504" t="str">
        <f>IF(D885="","",IF(OR(D885=Plano!$A$1,D885=Plano!$B$1),"entrada","saída"))</f>
        <v>saída</v>
      </c>
      <c r="T885" s="511" t="s">
        <v>114</v>
      </c>
      <c r="U885" s="511" t="s">
        <v>114</v>
      </c>
      <c r="V885" s="541"/>
    </row>
    <row r="886" spans="1:22" s="572" customFormat="1" ht="50.1" customHeight="1" x14ac:dyDescent="0.2">
      <c r="A886" s="619">
        <f>IF(B886="","",COUNT('Diário 5º PA'!$A$5:$A$2634)+COUNT('Diário 6º PA'!$A$5:$A$2246)+COUNT('Diário 7º PA'!$A$5:$A$2271)+ROW()-4)</f>
        <v>4832</v>
      </c>
      <c r="B886" s="644">
        <v>44508</v>
      </c>
      <c r="C886" s="645">
        <v>44440</v>
      </c>
      <c r="D886" s="646" t="s">
        <v>104</v>
      </c>
      <c r="E886" s="646" t="s">
        <v>104</v>
      </c>
      <c r="F886" s="647">
        <v>25</v>
      </c>
      <c r="G886" s="648" t="s">
        <v>6896</v>
      </c>
      <c r="H886" s="646" t="s">
        <v>104</v>
      </c>
      <c r="I886" s="631" t="s">
        <v>465</v>
      </c>
      <c r="J886" s="548" t="s">
        <v>114</v>
      </c>
      <c r="K886" s="583" t="s">
        <v>466</v>
      </c>
      <c r="L886" s="583" t="s">
        <v>467</v>
      </c>
      <c r="M886" s="653">
        <v>221221687489</v>
      </c>
      <c r="N886" s="644">
        <v>44508</v>
      </c>
      <c r="O886" s="684" t="s">
        <v>5370</v>
      </c>
      <c r="P886" s="503">
        <f t="shared" si="50"/>
        <v>11</v>
      </c>
      <c r="Q886" s="503">
        <f t="shared" si="51"/>
        <v>9</v>
      </c>
      <c r="R886" s="504" t="str">
        <f t="shared" si="52"/>
        <v>Gastos_custeados_por_captação</v>
      </c>
      <c r="S886" s="504" t="str">
        <f>IF(D886="","",IF(OR(D886=Plano!$A$1,D886=Plano!$B$1),"entrada","saída"))</f>
        <v>saída</v>
      </c>
      <c r="T886" s="511" t="s">
        <v>114</v>
      </c>
      <c r="U886" s="511" t="s">
        <v>114</v>
      </c>
      <c r="V886" s="541"/>
    </row>
    <row r="887" spans="1:22" s="572" customFormat="1" ht="50.1" customHeight="1" x14ac:dyDescent="0.2">
      <c r="A887" s="619">
        <f>IF(B887="","",COUNT('Diário 5º PA'!$A$5:$A$2634)+COUNT('Diário 6º PA'!$A$5:$A$2246)+COUNT('Diário 7º PA'!$A$5:$A$2271)+ROW()-4)</f>
        <v>4833</v>
      </c>
      <c r="B887" s="644">
        <v>44508</v>
      </c>
      <c r="C887" s="645">
        <v>44440</v>
      </c>
      <c r="D887" s="646" t="s">
        <v>104</v>
      </c>
      <c r="E887" s="646" t="s">
        <v>104</v>
      </c>
      <c r="F887" s="647">
        <v>25</v>
      </c>
      <c r="G887" s="648" t="s">
        <v>6901</v>
      </c>
      <c r="H887" s="646" t="s">
        <v>104</v>
      </c>
      <c r="I887" s="631" t="s">
        <v>465</v>
      </c>
      <c r="J887" s="548" t="s">
        <v>114</v>
      </c>
      <c r="K887" s="583" t="s">
        <v>466</v>
      </c>
      <c r="L887" s="583" t="s">
        <v>467</v>
      </c>
      <c r="M887" s="653">
        <v>221221687560</v>
      </c>
      <c r="N887" s="644">
        <v>44508</v>
      </c>
      <c r="O887" s="684" t="s">
        <v>5370</v>
      </c>
      <c r="P887" s="503">
        <f t="shared" si="50"/>
        <v>11</v>
      </c>
      <c r="Q887" s="503">
        <f t="shared" si="51"/>
        <v>9</v>
      </c>
      <c r="R887" s="504" t="str">
        <f t="shared" si="52"/>
        <v>Gastos_custeados_por_captação</v>
      </c>
      <c r="S887" s="504" t="str">
        <f>IF(D887="","",IF(OR(D887=Plano!$A$1,D887=Plano!$B$1),"entrada","saída"))</f>
        <v>saída</v>
      </c>
      <c r="T887" s="511" t="s">
        <v>114</v>
      </c>
      <c r="U887" s="511" t="s">
        <v>114</v>
      </c>
      <c r="V887" s="541"/>
    </row>
    <row r="888" spans="1:22" s="572" customFormat="1" ht="50.1" customHeight="1" x14ac:dyDescent="0.2">
      <c r="A888" s="619">
        <f>IF(B888="","",COUNT('Diário 5º PA'!$A$5:$A$2634)+COUNT('Diário 6º PA'!$A$5:$A$2246)+COUNT('Diário 7º PA'!$A$5:$A$2271)+ROW()-4)</f>
        <v>4834</v>
      </c>
      <c r="B888" s="644">
        <v>44508</v>
      </c>
      <c r="C888" s="645">
        <v>44440</v>
      </c>
      <c r="D888" s="646" t="s">
        <v>104</v>
      </c>
      <c r="E888" s="646" t="s">
        <v>104</v>
      </c>
      <c r="F888" s="647">
        <v>125</v>
      </c>
      <c r="G888" s="648" t="s">
        <v>7216</v>
      </c>
      <c r="H888" s="646" t="s">
        <v>104</v>
      </c>
      <c r="I888" s="631" t="s">
        <v>465</v>
      </c>
      <c r="J888" s="548" t="s">
        <v>114</v>
      </c>
      <c r="K888" s="583" t="s">
        <v>466</v>
      </c>
      <c r="L888" s="583" t="s">
        <v>467</v>
      </c>
      <c r="M888" s="653">
        <v>221221687721</v>
      </c>
      <c r="N888" s="644">
        <v>44508</v>
      </c>
      <c r="O888" s="684" t="s">
        <v>5370</v>
      </c>
      <c r="P888" s="503">
        <f t="shared" si="50"/>
        <v>11</v>
      </c>
      <c r="Q888" s="503">
        <f t="shared" si="51"/>
        <v>9</v>
      </c>
      <c r="R888" s="504" t="str">
        <f t="shared" si="52"/>
        <v>Gastos_custeados_por_captação</v>
      </c>
      <c r="S888" s="504" t="str">
        <f>IF(D888="","",IF(OR(D888=Plano!$A$1,D888=Plano!$B$1),"entrada","saída"))</f>
        <v>saída</v>
      </c>
      <c r="T888" s="511" t="s">
        <v>114</v>
      </c>
      <c r="U888" s="511" t="s">
        <v>114</v>
      </c>
      <c r="V888" s="541"/>
    </row>
    <row r="889" spans="1:22" s="572" customFormat="1" ht="50.1" customHeight="1" x14ac:dyDescent="0.2">
      <c r="A889" s="619">
        <f>IF(B889="","",COUNT('Diário 5º PA'!$A$5:$A$2634)+COUNT('Diário 6º PA'!$A$5:$A$2246)+COUNT('Diário 7º PA'!$A$5:$A$2271)+ROW()-4)</f>
        <v>4835</v>
      </c>
      <c r="B889" s="644">
        <v>44508</v>
      </c>
      <c r="C889" s="645">
        <v>44440</v>
      </c>
      <c r="D889" s="646" t="s">
        <v>104</v>
      </c>
      <c r="E889" s="646" t="s">
        <v>104</v>
      </c>
      <c r="F889" s="647">
        <v>125</v>
      </c>
      <c r="G889" s="648" t="s">
        <v>7217</v>
      </c>
      <c r="H889" s="646" t="s">
        <v>104</v>
      </c>
      <c r="I889" s="631" t="s">
        <v>465</v>
      </c>
      <c r="J889" s="548" t="s">
        <v>114</v>
      </c>
      <c r="K889" s="583" t="s">
        <v>466</v>
      </c>
      <c r="L889" s="583" t="s">
        <v>467</v>
      </c>
      <c r="M889" s="653">
        <v>221221687802</v>
      </c>
      <c r="N889" s="644">
        <v>44508</v>
      </c>
      <c r="O889" s="684" t="s">
        <v>5370</v>
      </c>
      <c r="P889" s="503">
        <f t="shared" si="50"/>
        <v>11</v>
      </c>
      <c r="Q889" s="503">
        <f t="shared" si="51"/>
        <v>9</v>
      </c>
      <c r="R889" s="504" t="str">
        <f t="shared" si="52"/>
        <v>Gastos_custeados_por_captação</v>
      </c>
      <c r="S889" s="504" t="str">
        <f>IF(D889="","",IF(OR(D889=Plano!$A$1,D889=Plano!$B$1),"entrada","saída"))</f>
        <v>saída</v>
      </c>
      <c r="T889" s="511" t="s">
        <v>114</v>
      </c>
      <c r="U889" s="511" t="s">
        <v>114</v>
      </c>
      <c r="V889" s="541"/>
    </row>
    <row r="890" spans="1:22" s="572" customFormat="1" ht="50.1" customHeight="1" x14ac:dyDescent="0.2">
      <c r="A890" s="619">
        <f>IF(B890="","",COUNT('Diário 5º PA'!$A$5:$A$2634)+COUNT('Diário 6º PA'!$A$5:$A$2246)+COUNT('Diário 7º PA'!$A$5:$A$2271)+ROW()-4)</f>
        <v>4836</v>
      </c>
      <c r="B890" s="644">
        <v>44508</v>
      </c>
      <c r="C890" s="645">
        <v>44440</v>
      </c>
      <c r="D890" s="646" t="s">
        <v>104</v>
      </c>
      <c r="E890" s="646" t="s">
        <v>104</v>
      </c>
      <c r="F890" s="647">
        <v>110</v>
      </c>
      <c r="G890" s="648" t="s">
        <v>7218</v>
      </c>
      <c r="H890" s="646" t="s">
        <v>104</v>
      </c>
      <c r="I890" s="631" t="s">
        <v>465</v>
      </c>
      <c r="J890" s="548" t="s">
        <v>114</v>
      </c>
      <c r="K890" s="583" t="s">
        <v>466</v>
      </c>
      <c r="L890" s="583" t="s">
        <v>467</v>
      </c>
      <c r="M890" s="653">
        <v>221221692210</v>
      </c>
      <c r="N890" s="644">
        <v>44508</v>
      </c>
      <c r="O890" s="684" t="s">
        <v>5370</v>
      </c>
      <c r="P890" s="503">
        <f t="shared" si="50"/>
        <v>11</v>
      </c>
      <c r="Q890" s="503">
        <f t="shared" si="51"/>
        <v>9</v>
      </c>
      <c r="R890" s="504" t="str">
        <f t="shared" si="52"/>
        <v>Gastos_custeados_por_captação</v>
      </c>
      <c r="S890" s="504" t="str">
        <f>IF(D890="","",IF(OR(D890=Plano!$A$1,D890=Plano!$B$1),"entrada","saída"))</f>
        <v>saída</v>
      </c>
      <c r="T890" s="511" t="s">
        <v>114</v>
      </c>
      <c r="U890" s="511" t="s">
        <v>114</v>
      </c>
      <c r="V890" s="541"/>
    </row>
    <row r="891" spans="1:22" s="572" customFormat="1" ht="50.1" customHeight="1" x14ac:dyDescent="0.2">
      <c r="A891" s="619">
        <f>IF(B891="","",COUNT('Diário 5º PA'!$A$5:$A$2634)+COUNT('Diário 6º PA'!$A$5:$A$2246)+COUNT('Diário 7º PA'!$A$5:$A$2271)+ROW()-4)</f>
        <v>4837</v>
      </c>
      <c r="B891" s="644">
        <v>44508</v>
      </c>
      <c r="C891" s="645">
        <v>44440</v>
      </c>
      <c r="D891" s="646" t="s">
        <v>104</v>
      </c>
      <c r="E891" s="646" t="s">
        <v>104</v>
      </c>
      <c r="F891" s="647">
        <v>46.23</v>
      </c>
      <c r="G891" s="648" t="s">
        <v>6899</v>
      </c>
      <c r="H891" s="646" t="s">
        <v>104</v>
      </c>
      <c r="I891" s="631" t="s">
        <v>465</v>
      </c>
      <c r="J891" s="548" t="s">
        <v>114</v>
      </c>
      <c r="K891" s="583" t="s">
        <v>466</v>
      </c>
      <c r="L891" s="583" t="s">
        <v>467</v>
      </c>
      <c r="M891" s="653">
        <v>221221692210</v>
      </c>
      <c r="N891" s="644">
        <v>44508</v>
      </c>
      <c r="O891" s="684" t="s">
        <v>5370</v>
      </c>
      <c r="P891" s="503">
        <f t="shared" si="50"/>
        <v>11</v>
      </c>
      <c r="Q891" s="503">
        <f t="shared" si="51"/>
        <v>9</v>
      </c>
      <c r="R891" s="504" t="str">
        <f t="shared" si="52"/>
        <v>Gastos_custeados_por_captação</v>
      </c>
      <c r="S891" s="504" t="str">
        <f>IF(D891="","",IF(OR(D891=Plano!$A$1,D891=Plano!$B$1),"entrada","saída"))</f>
        <v>saída</v>
      </c>
      <c r="T891" s="511" t="s">
        <v>114</v>
      </c>
      <c r="U891" s="511" t="s">
        <v>114</v>
      </c>
      <c r="V891" s="541"/>
    </row>
    <row r="892" spans="1:22" s="572" customFormat="1" ht="50.1" customHeight="1" x14ac:dyDescent="0.2">
      <c r="A892" s="619">
        <f>IF(B892="","",COUNT('Diário 5º PA'!$A$5:$A$2634)+COUNT('Diário 6º PA'!$A$5:$A$2246)+COUNT('Diário 7º PA'!$A$5:$A$2271)+ROW()-4)</f>
        <v>4838</v>
      </c>
      <c r="B892" s="644">
        <v>44508</v>
      </c>
      <c r="C892" s="645">
        <v>44440</v>
      </c>
      <c r="D892" s="646" t="s">
        <v>104</v>
      </c>
      <c r="E892" s="646" t="s">
        <v>104</v>
      </c>
      <c r="F892" s="647">
        <v>175</v>
      </c>
      <c r="G892" s="648" t="s">
        <v>6897</v>
      </c>
      <c r="H892" s="646" t="s">
        <v>104</v>
      </c>
      <c r="I892" s="631" t="s">
        <v>465</v>
      </c>
      <c r="J892" s="548" t="s">
        <v>114</v>
      </c>
      <c r="K892" s="583" t="s">
        <v>466</v>
      </c>
      <c r="L892" s="583" t="s">
        <v>467</v>
      </c>
      <c r="M892" s="653">
        <v>221221692482</v>
      </c>
      <c r="N892" s="644">
        <v>44508</v>
      </c>
      <c r="O892" s="684" t="s">
        <v>5370</v>
      </c>
      <c r="P892" s="503">
        <f t="shared" si="50"/>
        <v>11</v>
      </c>
      <c r="Q892" s="503">
        <f t="shared" si="51"/>
        <v>9</v>
      </c>
      <c r="R892" s="504" t="str">
        <f t="shared" si="52"/>
        <v>Gastos_custeados_por_captação</v>
      </c>
      <c r="S892" s="504" t="str">
        <f>IF(D892="","",IF(OR(D892=Plano!$A$1,D892=Plano!$B$1),"entrada","saída"))</f>
        <v>saída</v>
      </c>
      <c r="T892" s="511" t="s">
        <v>114</v>
      </c>
      <c r="U892" s="511" t="s">
        <v>114</v>
      </c>
      <c r="V892" s="541"/>
    </row>
    <row r="893" spans="1:22" s="572" customFormat="1" ht="50.1" customHeight="1" x14ac:dyDescent="0.2">
      <c r="A893" s="619">
        <f>IF(B893="","",COUNT('Diário 5º PA'!$A$5:$A$2634)+COUNT('Diário 6º PA'!$A$5:$A$2246)+COUNT('Diário 7º PA'!$A$5:$A$2271)+ROW()-4)</f>
        <v>4839</v>
      </c>
      <c r="B893" s="644">
        <v>44508</v>
      </c>
      <c r="C893" s="645">
        <v>44440</v>
      </c>
      <c r="D893" s="646" t="s">
        <v>104</v>
      </c>
      <c r="E893" s="646" t="s">
        <v>104</v>
      </c>
      <c r="F893" s="647">
        <v>150</v>
      </c>
      <c r="G893" s="648" t="s">
        <v>6898</v>
      </c>
      <c r="H893" s="646" t="s">
        <v>104</v>
      </c>
      <c r="I893" s="631" t="s">
        <v>465</v>
      </c>
      <c r="J893" s="548" t="s">
        <v>114</v>
      </c>
      <c r="K893" s="583" t="s">
        <v>466</v>
      </c>
      <c r="L893" s="583" t="s">
        <v>467</v>
      </c>
      <c r="M893" s="653">
        <v>221221692725</v>
      </c>
      <c r="N893" s="644">
        <v>44508</v>
      </c>
      <c r="O893" s="684" t="s">
        <v>5370</v>
      </c>
      <c r="P893" s="503">
        <f t="shared" si="50"/>
        <v>11</v>
      </c>
      <c r="Q893" s="503">
        <f t="shared" si="51"/>
        <v>9</v>
      </c>
      <c r="R893" s="504" t="str">
        <f t="shared" si="52"/>
        <v>Gastos_custeados_por_captação</v>
      </c>
      <c r="S893" s="504" t="str">
        <f>IF(D893="","",IF(OR(D893=Plano!$A$1,D893=Plano!$B$1),"entrada","saída"))</f>
        <v>saída</v>
      </c>
      <c r="T893" s="511" t="s">
        <v>114</v>
      </c>
      <c r="U893" s="511" t="s">
        <v>114</v>
      </c>
      <c r="V893" s="541"/>
    </row>
    <row r="894" spans="1:22" s="572" customFormat="1" ht="50.1" customHeight="1" x14ac:dyDescent="0.2">
      <c r="A894" s="619">
        <f>IF(B894="","",COUNT('Diário 5º PA'!$A$5:$A$2634)+COUNT('Diário 6º PA'!$A$5:$A$2246)+COUNT('Diário 7º PA'!$A$5:$A$2271)+ROW()-4)</f>
        <v>4840</v>
      </c>
      <c r="B894" s="644">
        <v>44508</v>
      </c>
      <c r="C894" s="645">
        <v>44470</v>
      </c>
      <c r="D894" s="646" t="s">
        <v>104</v>
      </c>
      <c r="E894" s="646" t="s">
        <v>104</v>
      </c>
      <c r="F894" s="647">
        <v>80</v>
      </c>
      <c r="G894" s="648" t="s">
        <v>6892</v>
      </c>
      <c r="H894" s="646" t="s">
        <v>104</v>
      </c>
      <c r="I894" s="631" t="s">
        <v>465</v>
      </c>
      <c r="J894" s="548" t="s">
        <v>114</v>
      </c>
      <c r="K894" s="583" t="s">
        <v>466</v>
      </c>
      <c r="L894" s="583" t="s">
        <v>467</v>
      </c>
      <c r="M894" s="653">
        <v>221221695902</v>
      </c>
      <c r="N894" s="644">
        <v>44508</v>
      </c>
      <c r="O894" s="684" t="s">
        <v>5370</v>
      </c>
      <c r="P894" s="503">
        <f t="shared" si="50"/>
        <v>11</v>
      </c>
      <c r="Q894" s="503">
        <f t="shared" si="51"/>
        <v>10</v>
      </c>
      <c r="R894" s="504" t="str">
        <f t="shared" si="52"/>
        <v>Gastos_custeados_por_captação</v>
      </c>
      <c r="S894" s="504" t="str">
        <f>IF(D894="","",IF(OR(D894=Plano!$A$1,D894=Plano!$B$1),"entrada","saída"))</f>
        <v>saída</v>
      </c>
      <c r="T894" s="511" t="s">
        <v>114</v>
      </c>
      <c r="U894" s="511" t="s">
        <v>114</v>
      </c>
      <c r="V894" s="541"/>
    </row>
    <row r="895" spans="1:22" s="572" customFormat="1" ht="50.1" customHeight="1" x14ac:dyDescent="0.2">
      <c r="A895" s="619">
        <f>IF(B895="","",COUNT('Diário 5º PA'!$A$5:$A$2634)+COUNT('Diário 6º PA'!$A$5:$A$2246)+COUNT('Diário 7º PA'!$A$5:$A$2271)+ROW()-4)</f>
        <v>4841</v>
      </c>
      <c r="B895" s="644">
        <v>44508</v>
      </c>
      <c r="C895" s="645">
        <v>44440</v>
      </c>
      <c r="D895" s="646" t="s">
        <v>104</v>
      </c>
      <c r="E895" s="646" t="s">
        <v>104</v>
      </c>
      <c r="F895" s="647">
        <v>30</v>
      </c>
      <c r="G895" s="648" t="s">
        <v>6909</v>
      </c>
      <c r="H895" s="646" t="s">
        <v>104</v>
      </c>
      <c r="I895" s="631" t="s">
        <v>465</v>
      </c>
      <c r="J895" s="548" t="s">
        <v>114</v>
      </c>
      <c r="K895" s="583" t="s">
        <v>466</v>
      </c>
      <c r="L895" s="583" t="s">
        <v>467</v>
      </c>
      <c r="M895" s="653">
        <v>221221692997</v>
      </c>
      <c r="N895" s="644">
        <v>44508</v>
      </c>
      <c r="O895" s="684" t="s">
        <v>5370</v>
      </c>
      <c r="P895" s="503">
        <f t="shared" si="50"/>
        <v>11</v>
      </c>
      <c r="Q895" s="503">
        <f t="shared" si="51"/>
        <v>9</v>
      </c>
      <c r="R895" s="504" t="str">
        <f t="shared" si="52"/>
        <v>Gastos_custeados_por_captação</v>
      </c>
      <c r="S895" s="504" t="str">
        <f>IF(D895="","",IF(OR(D895=Plano!$A$1,D895=Plano!$B$1),"entrada","saída"))</f>
        <v>saída</v>
      </c>
      <c r="T895" s="511" t="s">
        <v>114</v>
      </c>
      <c r="U895" s="511" t="s">
        <v>114</v>
      </c>
      <c r="V895" s="541"/>
    </row>
    <row r="896" spans="1:22" s="572" customFormat="1" ht="50.1" customHeight="1" x14ac:dyDescent="0.2">
      <c r="A896" s="619">
        <f>IF(B896="","",COUNT('Diário 5º PA'!$A$5:$A$2634)+COUNT('Diário 6º PA'!$A$5:$A$2246)+COUNT('Diário 7º PA'!$A$5:$A$2271)+ROW()-4)</f>
        <v>4842</v>
      </c>
      <c r="B896" s="644">
        <v>44508</v>
      </c>
      <c r="C896" s="645">
        <v>44440</v>
      </c>
      <c r="D896" s="646" t="s">
        <v>104</v>
      </c>
      <c r="E896" s="646" t="s">
        <v>104</v>
      </c>
      <c r="F896" s="647">
        <v>110.55</v>
      </c>
      <c r="G896" s="648" t="s">
        <v>6900</v>
      </c>
      <c r="H896" s="646" t="s">
        <v>104</v>
      </c>
      <c r="I896" s="631" t="s">
        <v>465</v>
      </c>
      <c r="J896" s="548" t="s">
        <v>114</v>
      </c>
      <c r="K896" s="583" t="s">
        <v>466</v>
      </c>
      <c r="L896" s="583" t="s">
        <v>467</v>
      </c>
      <c r="M896" s="653">
        <v>221221695902</v>
      </c>
      <c r="N896" s="644">
        <v>44508</v>
      </c>
      <c r="O896" s="684" t="s">
        <v>5370</v>
      </c>
      <c r="P896" s="503">
        <f t="shared" ref="P896:P959" si="53">IF(B896=0,0,IF(YEAR(B896)=$Q$1,MONTH(B896)-$P$1+1,(YEAR(B896)-$Q$1)*12-$P$1+1+MONTH(B896)))</f>
        <v>11</v>
      </c>
      <c r="Q896" s="503">
        <f t="shared" ref="Q896:Q959" si="54">IF(C896=0,0,IF(YEAR(C896)=$Q$1,MONTH(C896)-$P$1+1,(YEAR(C896)-$Q$1)*12-$P$1+1+MONTH(C896)))</f>
        <v>9</v>
      </c>
      <c r="R896" s="504" t="str">
        <f t="shared" ref="R896:R959" si="55">SUBSTITUTE(D896," ","_")</f>
        <v>Gastos_custeados_por_captação</v>
      </c>
      <c r="S896" s="504" t="str">
        <f>IF(D896="","",IF(OR(D896=Plano!$A$1,D896=Plano!$B$1),"entrada","saída"))</f>
        <v>saída</v>
      </c>
      <c r="T896" s="511" t="s">
        <v>114</v>
      </c>
      <c r="U896" s="511" t="s">
        <v>114</v>
      </c>
      <c r="V896" s="541"/>
    </row>
    <row r="897" spans="1:22" s="572" customFormat="1" ht="50.1" customHeight="1" x14ac:dyDescent="0.2">
      <c r="A897" s="619">
        <f>IF(B897="","",COUNT('Diário 5º PA'!$A$5:$A$2634)+COUNT('Diário 6º PA'!$A$5:$A$2246)+COUNT('Diário 7º PA'!$A$5:$A$2271)+ROW()-4)</f>
        <v>4843</v>
      </c>
      <c r="B897" s="644">
        <v>44508</v>
      </c>
      <c r="C897" s="645">
        <v>44440</v>
      </c>
      <c r="D897" s="646" t="s">
        <v>104</v>
      </c>
      <c r="E897" s="646" t="s">
        <v>104</v>
      </c>
      <c r="F897" s="647">
        <v>55.28</v>
      </c>
      <c r="G897" s="648" t="s">
        <v>6894</v>
      </c>
      <c r="H897" s="646" t="s">
        <v>104</v>
      </c>
      <c r="I897" s="631" t="s">
        <v>465</v>
      </c>
      <c r="J897" s="548" t="s">
        <v>114</v>
      </c>
      <c r="K897" s="583" t="s">
        <v>466</v>
      </c>
      <c r="L897" s="583" t="s">
        <v>467</v>
      </c>
      <c r="M897" s="653">
        <v>221221696470</v>
      </c>
      <c r="N897" s="644">
        <v>44508</v>
      </c>
      <c r="O897" s="684" t="s">
        <v>5370</v>
      </c>
      <c r="P897" s="503">
        <f t="shared" si="53"/>
        <v>11</v>
      </c>
      <c r="Q897" s="503">
        <f t="shared" si="54"/>
        <v>9</v>
      </c>
      <c r="R897" s="504" t="str">
        <f t="shared" si="55"/>
        <v>Gastos_custeados_por_captação</v>
      </c>
      <c r="S897" s="504" t="str">
        <f>IF(D897="","",IF(OR(D897=Plano!$A$1,D897=Plano!$B$1),"entrada","saída"))</f>
        <v>saída</v>
      </c>
      <c r="T897" s="511" t="s">
        <v>114</v>
      </c>
      <c r="U897" s="511" t="s">
        <v>114</v>
      </c>
      <c r="V897" s="541"/>
    </row>
    <row r="898" spans="1:22" s="572" customFormat="1" ht="50.1" customHeight="1" x14ac:dyDescent="0.2">
      <c r="A898" s="619">
        <f>IF(B898="","",COUNT('Diário 5º PA'!$A$5:$A$2634)+COUNT('Diário 6º PA'!$A$5:$A$2246)+COUNT('Diário 7º PA'!$A$5:$A$2271)+ROW()-4)</f>
        <v>4844</v>
      </c>
      <c r="B898" s="644">
        <v>44508</v>
      </c>
      <c r="C898" s="645">
        <v>44409</v>
      </c>
      <c r="D898" s="646" t="s">
        <v>104</v>
      </c>
      <c r="E898" s="646" t="s">
        <v>104</v>
      </c>
      <c r="F898" s="647">
        <v>83.55</v>
      </c>
      <c r="G898" s="648" t="s">
        <v>6759</v>
      </c>
      <c r="H898" s="646" t="s">
        <v>104</v>
      </c>
      <c r="I898" s="631" t="s">
        <v>465</v>
      </c>
      <c r="J898" s="548" t="s">
        <v>114</v>
      </c>
      <c r="K898" s="583" t="s">
        <v>466</v>
      </c>
      <c r="L898" s="583" t="s">
        <v>467</v>
      </c>
      <c r="M898" s="653">
        <v>221221696631</v>
      </c>
      <c r="N898" s="644">
        <v>44508</v>
      </c>
      <c r="O898" s="684" t="s">
        <v>5370</v>
      </c>
      <c r="P898" s="503">
        <f t="shared" si="53"/>
        <v>11</v>
      </c>
      <c r="Q898" s="503">
        <f t="shared" si="54"/>
        <v>8</v>
      </c>
      <c r="R898" s="504" t="str">
        <f t="shared" si="55"/>
        <v>Gastos_custeados_por_captação</v>
      </c>
      <c r="S898" s="504" t="str">
        <f>IF(D898="","",IF(OR(D898=Plano!$A$1,D898=Plano!$B$1),"entrada","saída"))</f>
        <v>saída</v>
      </c>
      <c r="T898" s="511" t="s">
        <v>114</v>
      </c>
      <c r="U898" s="511" t="s">
        <v>114</v>
      </c>
      <c r="V898" s="541"/>
    </row>
    <row r="899" spans="1:22" s="572" customFormat="1" ht="50.1" customHeight="1" x14ac:dyDescent="0.2">
      <c r="A899" s="619">
        <f>IF(B899="","",COUNT('Diário 5º PA'!$A$5:$A$2634)+COUNT('Diário 6º PA'!$A$5:$A$2246)+COUNT('Diário 7º PA'!$A$5:$A$2271)+ROW()-4)</f>
        <v>4845</v>
      </c>
      <c r="B899" s="644">
        <v>44508</v>
      </c>
      <c r="C899" s="624">
        <v>44501</v>
      </c>
      <c r="D899" s="548" t="s">
        <v>104</v>
      </c>
      <c r="E899" s="548" t="s">
        <v>104</v>
      </c>
      <c r="F899" s="622">
        <v>10.45</v>
      </c>
      <c r="G899" s="623" t="s">
        <v>5451</v>
      </c>
      <c r="H899" s="548" t="s">
        <v>104</v>
      </c>
      <c r="I899" s="583" t="s">
        <v>949</v>
      </c>
      <c r="J899" s="548" t="s">
        <v>950</v>
      </c>
      <c r="K899" s="583" t="s">
        <v>951</v>
      </c>
      <c r="L899" s="583" t="s">
        <v>947</v>
      </c>
      <c r="M899" s="625" t="s">
        <v>114</v>
      </c>
      <c r="N899" s="644">
        <v>44508</v>
      </c>
      <c r="O899" s="684" t="s">
        <v>5370</v>
      </c>
      <c r="P899" s="503">
        <f t="shared" si="53"/>
        <v>11</v>
      </c>
      <c r="Q899" s="503">
        <f t="shared" si="54"/>
        <v>11</v>
      </c>
      <c r="R899" s="504" t="str">
        <f t="shared" si="55"/>
        <v>Gastos_custeados_por_captação</v>
      </c>
      <c r="S899" s="504" t="str">
        <f>IF(D899="","",IF(OR(D899=Plano!$A$1,D899=Plano!$B$1),"entrada","saída"))</f>
        <v>saída</v>
      </c>
      <c r="T899" s="511" t="s">
        <v>114</v>
      </c>
      <c r="U899" s="511" t="s">
        <v>114</v>
      </c>
      <c r="V899" s="541"/>
    </row>
    <row r="900" spans="1:22" s="572" customFormat="1" ht="50.1" customHeight="1" x14ac:dyDescent="0.2">
      <c r="A900" s="619">
        <f>IF(B900="","",COUNT('Diário 5º PA'!$A$5:$A$2634)+COUNT('Diário 6º PA'!$A$5:$A$2246)+COUNT('Diário 7º PA'!$A$5:$A$2271)+ROW()-4)</f>
        <v>4846</v>
      </c>
      <c r="B900" s="644">
        <v>44508</v>
      </c>
      <c r="C900" s="624">
        <v>44501</v>
      </c>
      <c r="D900" s="548" t="s">
        <v>104</v>
      </c>
      <c r="E900" s="548" t="s">
        <v>104</v>
      </c>
      <c r="F900" s="622">
        <v>10.45</v>
      </c>
      <c r="G900" s="623" t="s">
        <v>5451</v>
      </c>
      <c r="H900" s="548" t="s">
        <v>104</v>
      </c>
      <c r="I900" s="583" t="s">
        <v>949</v>
      </c>
      <c r="J900" s="548" t="s">
        <v>950</v>
      </c>
      <c r="K900" s="583" t="s">
        <v>951</v>
      </c>
      <c r="L900" s="583" t="s">
        <v>947</v>
      </c>
      <c r="M900" s="625" t="s">
        <v>114</v>
      </c>
      <c r="N900" s="644">
        <v>44508</v>
      </c>
      <c r="O900" s="684" t="s">
        <v>5370</v>
      </c>
      <c r="P900" s="503">
        <f t="shared" si="53"/>
        <v>11</v>
      </c>
      <c r="Q900" s="503">
        <f t="shared" si="54"/>
        <v>11</v>
      </c>
      <c r="R900" s="504" t="str">
        <f t="shared" si="55"/>
        <v>Gastos_custeados_por_captação</v>
      </c>
      <c r="S900" s="504" t="str">
        <f>IF(D900="","",IF(OR(D900=Plano!$A$1,D900=Plano!$B$1),"entrada","saída"))</f>
        <v>saída</v>
      </c>
      <c r="T900" s="511" t="s">
        <v>114</v>
      </c>
      <c r="U900" s="511" t="s">
        <v>114</v>
      </c>
      <c r="V900" s="541"/>
    </row>
    <row r="901" spans="1:22" s="572" customFormat="1" ht="50.1" customHeight="1" x14ac:dyDescent="0.2">
      <c r="A901" s="619">
        <f>IF(B901="","",COUNT('Diário 5º PA'!$A$5:$A$2634)+COUNT('Diário 6º PA'!$A$5:$A$2246)+COUNT('Diário 7º PA'!$A$5:$A$2271)+ROW()-4)</f>
        <v>4847</v>
      </c>
      <c r="B901" s="644">
        <v>44508</v>
      </c>
      <c r="C901" s="624">
        <v>44501</v>
      </c>
      <c r="D901" s="548" t="s">
        <v>104</v>
      </c>
      <c r="E901" s="548" t="s">
        <v>104</v>
      </c>
      <c r="F901" s="622">
        <v>10.45</v>
      </c>
      <c r="G901" s="623" t="s">
        <v>5451</v>
      </c>
      <c r="H901" s="548" t="s">
        <v>104</v>
      </c>
      <c r="I901" s="583" t="s">
        <v>949</v>
      </c>
      <c r="J901" s="548" t="s">
        <v>950</v>
      </c>
      <c r="K901" s="583" t="s">
        <v>951</v>
      </c>
      <c r="L901" s="583" t="s">
        <v>947</v>
      </c>
      <c r="M901" s="625" t="s">
        <v>114</v>
      </c>
      <c r="N901" s="644">
        <v>44508</v>
      </c>
      <c r="O901" s="684" t="s">
        <v>5370</v>
      </c>
      <c r="P901" s="503">
        <f t="shared" si="53"/>
        <v>11</v>
      </c>
      <c r="Q901" s="503">
        <f t="shared" si="54"/>
        <v>11</v>
      </c>
      <c r="R901" s="504" t="str">
        <f t="shared" si="55"/>
        <v>Gastos_custeados_por_captação</v>
      </c>
      <c r="S901" s="504" t="str">
        <f>IF(D901="","",IF(OR(D901=Plano!$A$1,D901=Plano!$B$1),"entrada","saída"))</f>
        <v>saída</v>
      </c>
      <c r="T901" s="511" t="s">
        <v>114</v>
      </c>
      <c r="U901" s="511" t="s">
        <v>114</v>
      </c>
      <c r="V901" s="541"/>
    </row>
    <row r="902" spans="1:22" s="572" customFormat="1" ht="50.1" customHeight="1" x14ac:dyDescent="0.2">
      <c r="A902" s="619">
        <f>IF(B902="","",COUNT('Diário 5º PA'!$A$5:$A$2634)+COUNT('Diário 6º PA'!$A$5:$A$2246)+COUNT('Diário 7º PA'!$A$5:$A$2271)+ROW()-4)</f>
        <v>4848</v>
      </c>
      <c r="B902" s="644">
        <v>44508</v>
      </c>
      <c r="C902" s="624">
        <v>44501</v>
      </c>
      <c r="D902" s="548" t="s">
        <v>104</v>
      </c>
      <c r="E902" s="548" t="s">
        <v>104</v>
      </c>
      <c r="F902" s="622">
        <v>10.45</v>
      </c>
      <c r="G902" s="623" t="s">
        <v>5451</v>
      </c>
      <c r="H902" s="548" t="s">
        <v>104</v>
      </c>
      <c r="I902" s="583" t="s">
        <v>949</v>
      </c>
      <c r="J902" s="548" t="s">
        <v>950</v>
      </c>
      <c r="K902" s="583" t="s">
        <v>951</v>
      </c>
      <c r="L902" s="583" t="s">
        <v>947</v>
      </c>
      <c r="M902" s="625" t="s">
        <v>114</v>
      </c>
      <c r="N902" s="644">
        <v>44508</v>
      </c>
      <c r="O902" s="684" t="s">
        <v>5370</v>
      </c>
      <c r="P902" s="503">
        <f t="shared" si="53"/>
        <v>11</v>
      </c>
      <c r="Q902" s="503">
        <f t="shared" si="54"/>
        <v>11</v>
      </c>
      <c r="R902" s="504" t="str">
        <f t="shared" si="55"/>
        <v>Gastos_custeados_por_captação</v>
      </c>
      <c r="S902" s="504" t="str">
        <f>IF(D902="","",IF(OR(D902=Plano!$A$1,D902=Plano!$B$1),"entrada","saída"))</f>
        <v>saída</v>
      </c>
      <c r="T902" s="511" t="s">
        <v>114</v>
      </c>
      <c r="U902" s="511" t="s">
        <v>114</v>
      </c>
      <c r="V902" s="541"/>
    </row>
    <row r="903" spans="1:22" s="572" customFormat="1" ht="50.1" customHeight="1" x14ac:dyDescent="0.2">
      <c r="A903" s="619">
        <f>IF(B903="","",COUNT('Diário 5º PA'!$A$5:$A$2634)+COUNT('Diário 6º PA'!$A$5:$A$2246)+COUNT('Diário 7º PA'!$A$5:$A$2271)+ROW()-4)</f>
        <v>4849</v>
      </c>
      <c r="B903" s="644">
        <v>44508</v>
      </c>
      <c r="C903" s="624">
        <v>44501</v>
      </c>
      <c r="D903" s="548" t="s">
        <v>104</v>
      </c>
      <c r="E903" s="548" t="s">
        <v>104</v>
      </c>
      <c r="F903" s="622">
        <v>10.45</v>
      </c>
      <c r="G903" s="623" t="s">
        <v>5451</v>
      </c>
      <c r="H903" s="548" t="s">
        <v>104</v>
      </c>
      <c r="I903" s="583" t="s">
        <v>949</v>
      </c>
      <c r="J903" s="548" t="s">
        <v>950</v>
      </c>
      <c r="K903" s="583" t="s">
        <v>951</v>
      </c>
      <c r="L903" s="583" t="s">
        <v>947</v>
      </c>
      <c r="M903" s="625" t="s">
        <v>114</v>
      </c>
      <c r="N903" s="644">
        <v>44508</v>
      </c>
      <c r="O903" s="684" t="s">
        <v>5370</v>
      </c>
      <c r="P903" s="503">
        <f t="shared" si="53"/>
        <v>11</v>
      </c>
      <c r="Q903" s="503">
        <f t="shared" si="54"/>
        <v>11</v>
      </c>
      <c r="R903" s="504" t="str">
        <f t="shared" si="55"/>
        <v>Gastos_custeados_por_captação</v>
      </c>
      <c r="S903" s="504" t="str">
        <f>IF(D903="","",IF(OR(D903=Plano!$A$1,D903=Plano!$B$1),"entrada","saída"))</f>
        <v>saída</v>
      </c>
      <c r="T903" s="511" t="s">
        <v>114</v>
      </c>
      <c r="U903" s="511" t="s">
        <v>114</v>
      </c>
      <c r="V903" s="541"/>
    </row>
    <row r="904" spans="1:22" ht="58.5" customHeight="1" x14ac:dyDescent="0.2">
      <c r="A904" s="619">
        <f>IF(B904="","",COUNT('Diário 5º PA'!$A$5:$A$2634)+COUNT('Diário 6º PA'!$A$5:$A$2246)+COUNT('Diário 7º PA'!$A$5:$A$2271)+ROW()-4)</f>
        <v>4850</v>
      </c>
      <c r="B904" s="620">
        <v>44509</v>
      </c>
      <c r="C904" s="621">
        <v>44470</v>
      </c>
      <c r="D904" s="548" t="s">
        <v>99</v>
      </c>
      <c r="E904" s="548" t="s">
        <v>208</v>
      </c>
      <c r="F904" s="622">
        <v>-2643.58</v>
      </c>
      <c r="G904" s="623" t="s">
        <v>6150</v>
      </c>
      <c r="H904" s="548" t="s">
        <v>115</v>
      </c>
      <c r="I904" s="583" t="s">
        <v>983</v>
      </c>
      <c r="J904" s="548" t="s">
        <v>850</v>
      </c>
      <c r="K904" s="583" t="s">
        <v>946</v>
      </c>
      <c r="L904" s="583" t="s">
        <v>947</v>
      </c>
      <c r="M904" s="619" t="s">
        <v>114</v>
      </c>
      <c r="N904" s="620">
        <v>44509</v>
      </c>
      <c r="O904" s="684" t="s">
        <v>67</v>
      </c>
      <c r="P904" s="503">
        <f t="shared" si="53"/>
        <v>11</v>
      </c>
      <c r="Q904" s="503">
        <f t="shared" si="54"/>
        <v>10</v>
      </c>
      <c r="R904" s="504" t="str">
        <f t="shared" si="55"/>
        <v>Gastos_Gerais</v>
      </c>
      <c r="S904" s="504" t="str">
        <f>IF(D904="","",IF(OR(D904=Plano!$A$1,D904=Plano!$B$1),"entrada","saída"))</f>
        <v>saída</v>
      </c>
      <c r="T904" s="511" t="s">
        <v>114</v>
      </c>
      <c r="U904" s="511" t="s">
        <v>114</v>
      </c>
      <c r="V904" s="541"/>
    </row>
    <row r="905" spans="1:22" ht="52.5" customHeight="1" x14ac:dyDescent="0.2">
      <c r="A905" s="619">
        <f>IF(B905="","",COUNT('Diário 5º PA'!$A$5:$A$2634)+COUNT('Diário 6º PA'!$A$5:$A$2246)+COUNT('Diário 7º PA'!$A$5:$A$2271)+ROW()-4)</f>
        <v>4851</v>
      </c>
      <c r="B905" s="620">
        <v>44509</v>
      </c>
      <c r="C905" s="621">
        <v>44470</v>
      </c>
      <c r="D905" s="548" t="s">
        <v>99</v>
      </c>
      <c r="E905" s="548" t="s">
        <v>212</v>
      </c>
      <c r="F905" s="622">
        <v>-447.21</v>
      </c>
      <c r="G905" s="623" t="s">
        <v>6151</v>
      </c>
      <c r="H905" s="548" t="s">
        <v>115</v>
      </c>
      <c r="I905" s="583" t="s">
        <v>983</v>
      </c>
      <c r="J905" s="548" t="s">
        <v>850</v>
      </c>
      <c r="K905" s="583" t="s">
        <v>946</v>
      </c>
      <c r="L905" s="583" t="s">
        <v>947</v>
      </c>
      <c r="M905" s="619" t="s">
        <v>114</v>
      </c>
      <c r="N905" s="620">
        <v>44509</v>
      </c>
      <c r="O905" s="684" t="s">
        <v>67</v>
      </c>
      <c r="P905" s="503">
        <f t="shared" si="53"/>
        <v>11</v>
      </c>
      <c r="Q905" s="503">
        <f t="shared" si="54"/>
        <v>10</v>
      </c>
      <c r="R905" s="504" t="str">
        <f t="shared" si="55"/>
        <v>Gastos_Gerais</v>
      </c>
      <c r="S905" s="504" t="str">
        <f>IF(D905="","",IF(OR(D905=Plano!$A$1,D905=Plano!$B$1),"entrada","saída"))</f>
        <v>saída</v>
      </c>
      <c r="T905" s="511" t="s">
        <v>114</v>
      </c>
      <c r="U905" s="511" t="s">
        <v>114</v>
      </c>
      <c r="V905" s="541"/>
    </row>
    <row r="906" spans="1:22" ht="96.75" customHeight="1" x14ac:dyDescent="0.2">
      <c r="A906" s="619">
        <f>IF(B906="","",COUNT('Diário 5º PA'!$A$5:$A$2634)+COUNT('Diário 6º PA'!$A$5:$A$2246)+COUNT('Diário 7º PA'!$A$5:$A$2271)+ROW()-4)</f>
        <v>4852</v>
      </c>
      <c r="B906" s="620">
        <v>44509</v>
      </c>
      <c r="C906" s="628">
        <v>44470</v>
      </c>
      <c r="D906" s="548" t="s">
        <v>99</v>
      </c>
      <c r="E906" s="548" t="s">
        <v>358</v>
      </c>
      <c r="F906" s="622">
        <v>1998.6</v>
      </c>
      <c r="G906" s="623" t="s">
        <v>5530</v>
      </c>
      <c r="H906" s="548" t="s">
        <v>131</v>
      </c>
      <c r="I906" s="583" t="s">
        <v>6152</v>
      </c>
      <c r="J906" s="548" t="s">
        <v>5532</v>
      </c>
      <c r="K906" s="583" t="s">
        <v>1015</v>
      </c>
      <c r="L906" s="583" t="s">
        <v>1029</v>
      </c>
      <c r="M906" s="619">
        <v>1422</v>
      </c>
      <c r="N906" s="620">
        <v>44505</v>
      </c>
      <c r="O906" s="684" t="s">
        <v>67</v>
      </c>
      <c r="P906" s="503">
        <f t="shared" si="53"/>
        <v>11</v>
      </c>
      <c r="Q906" s="503">
        <f t="shared" si="54"/>
        <v>10</v>
      </c>
      <c r="R906" s="504" t="str">
        <f t="shared" si="55"/>
        <v>Gastos_Gerais</v>
      </c>
      <c r="S906" s="504" t="str">
        <f>IF(D906="","",IF(OR(D906=Plano!$A$1,D906=Plano!$B$1),"entrada","saída"))</f>
        <v>saída</v>
      </c>
      <c r="T906" s="511" t="s">
        <v>1059</v>
      </c>
      <c r="U906" s="505">
        <v>2168</v>
      </c>
      <c r="V906" s="541"/>
    </row>
    <row r="907" spans="1:22" ht="53.25" customHeight="1" x14ac:dyDescent="0.2">
      <c r="A907" s="619">
        <f>IF(B907="","",COUNT('Diário 5º PA'!$A$5:$A$2634)+COUNT('Diário 6º PA'!$A$5:$A$2246)+COUNT('Diário 7º PA'!$A$5:$A$2271)+ROW()-4)</f>
        <v>4853</v>
      </c>
      <c r="B907" s="620">
        <v>44509</v>
      </c>
      <c r="C907" s="624">
        <v>44470</v>
      </c>
      <c r="D907" s="548" t="s">
        <v>99</v>
      </c>
      <c r="E907" s="548" t="s">
        <v>330</v>
      </c>
      <c r="F907" s="622">
        <v>1680</v>
      </c>
      <c r="G907" s="623" t="s">
        <v>5337</v>
      </c>
      <c r="H907" s="548" t="s">
        <v>125</v>
      </c>
      <c r="I907" s="583" t="s">
        <v>5810</v>
      </c>
      <c r="J907" s="548" t="s">
        <v>5338</v>
      </c>
      <c r="K907" s="583" t="s">
        <v>1015</v>
      </c>
      <c r="L907" s="583" t="s">
        <v>1029</v>
      </c>
      <c r="M907" s="619">
        <v>1420</v>
      </c>
      <c r="N907" s="620">
        <v>44505</v>
      </c>
      <c r="O907" s="684" t="s">
        <v>67</v>
      </c>
      <c r="P907" s="503">
        <f t="shared" si="53"/>
        <v>11</v>
      </c>
      <c r="Q907" s="503">
        <f t="shared" si="54"/>
        <v>10</v>
      </c>
      <c r="R907" s="504" t="str">
        <f t="shared" si="55"/>
        <v>Gastos_Gerais</v>
      </c>
      <c r="S907" s="504" t="str">
        <f>IF(D907="","",IF(OR(D907=Plano!$A$1,D907=Plano!$B$1),"entrada","saída"))</f>
        <v>saída</v>
      </c>
      <c r="T907" s="511" t="s">
        <v>994</v>
      </c>
      <c r="U907" s="505">
        <v>2091</v>
      </c>
      <c r="V907" s="541"/>
    </row>
    <row r="908" spans="1:22" ht="46.5" customHeight="1" x14ac:dyDescent="0.2">
      <c r="A908" s="619">
        <f>IF(B908="","",COUNT('Diário 5º PA'!$A$5:$A$2634)+COUNT('Diário 6º PA'!$A$5:$A$2246)+COUNT('Diário 7º PA'!$A$5:$A$2271)+ROW()-4)</f>
        <v>4854</v>
      </c>
      <c r="B908" s="620">
        <v>44509</v>
      </c>
      <c r="C908" s="624">
        <v>44470</v>
      </c>
      <c r="D908" s="548" t="s">
        <v>99</v>
      </c>
      <c r="E908" s="548" t="s">
        <v>208</v>
      </c>
      <c r="F908" s="622">
        <v>8128.76</v>
      </c>
      <c r="G908" s="623" t="s">
        <v>6651</v>
      </c>
      <c r="H908" s="548" t="s">
        <v>115</v>
      </c>
      <c r="I908" s="583" t="s">
        <v>518</v>
      </c>
      <c r="J908" s="548" t="s">
        <v>519</v>
      </c>
      <c r="K908" s="583" t="s">
        <v>560</v>
      </c>
      <c r="L908" s="583" t="s">
        <v>947</v>
      </c>
      <c r="M908" s="619">
        <v>11</v>
      </c>
      <c r="N908" s="620">
        <v>44488</v>
      </c>
      <c r="O908" s="684" t="s">
        <v>67</v>
      </c>
      <c r="P908" s="503">
        <f t="shared" si="53"/>
        <v>11</v>
      </c>
      <c r="Q908" s="503">
        <f t="shared" si="54"/>
        <v>10</v>
      </c>
      <c r="R908" s="504" t="str">
        <f t="shared" si="55"/>
        <v>Gastos_Gerais</v>
      </c>
      <c r="S908" s="504" t="str">
        <f>IF(D908="","",IF(OR(D908=Plano!$A$1,D908=Plano!$B$1),"entrada","saída"))</f>
        <v>saída</v>
      </c>
      <c r="T908" s="511" t="s">
        <v>114</v>
      </c>
      <c r="U908" s="511" t="s">
        <v>114</v>
      </c>
      <c r="V908" s="541"/>
    </row>
    <row r="909" spans="1:22" ht="60" customHeight="1" x14ac:dyDescent="0.2">
      <c r="A909" s="619">
        <f>IF(B909="","",COUNT('Diário 5º PA'!$A$5:$A$2634)+COUNT('Diário 6º PA'!$A$5:$A$2246)+COUNT('Diário 7º PA'!$A$5:$A$2271)+ROW()-4)</f>
        <v>4855</v>
      </c>
      <c r="B909" s="620">
        <v>44509</v>
      </c>
      <c r="C909" s="624">
        <v>44470</v>
      </c>
      <c r="D909" s="548" t="s">
        <v>99</v>
      </c>
      <c r="E909" s="548" t="s">
        <v>212</v>
      </c>
      <c r="F909" s="622">
        <v>1693.33</v>
      </c>
      <c r="G909" s="623" t="s">
        <v>5722</v>
      </c>
      <c r="H909" s="548" t="s">
        <v>115</v>
      </c>
      <c r="I909" s="583" t="s">
        <v>518</v>
      </c>
      <c r="J909" s="548" t="s">
        <v>519</v>
      </c>
      <c r="K909" s="583" t="s">
        <v>560</v>
      </c>
      <c r="L909" s="583" t="s">
        <v>947</v>
      </c>
      <c r="M909" s="619">
        <v>11</v>
      </c>
      <c r="N909" s="620">
        <v>44488</v>
      </c>
      <c r="O909" s="684" t="s">
        <v>67</v>
      </c>
      <c r="P909" s="503">
        <f t="shared" si="53"/>
        <v>11</v>
      </c>
      <c r="Q909" s="503">
        <f t="shared" si="54"/>
        <v>10</v>
      </c>
      <c r="R909" s="504" t="str">
        <f t="shared" si="55"/>
        <v>Gastos_Gerais</v>
      </c>
      <c r="S909" s="504" t="str">
        <f>IF(D909="","",IF(OR(D909=Plano!$A$1,D909=Plano!$B$1),"entrada","saída"))</f>
        <v>saída</v>
      </c>
      <c r="T909" s="511" t="s">
        <v>114</v>
      </c>
      <c r="U909" s="511" t="s">
        <v>114</v>
      </c>
      <c r="V909" s="541"/>
    </row>
    <row r="910" spans="1:22" ht="45" customHeight="1" x14ac:dyDescent="0.2">
      <c r="A910" s="619">
        <f>IF(B910="","",COUNT('Diário 5º PA'!$A$5:$A$2634)+COUNT('Diário 6º PA'!$A$5:$A$2246)+COUNT('Diário 7º PA'!$A$5:$A$2271)+ROW()-4)</f>
        <v>4856</v>
      </c>
      <c r="B910" s="620">
        <v>44509</v>
      </c>
      <c r="C910" s="624">
        <v>44440</v>
      </c>
      <c r="D910" s="548" t="s">
        <v>99</v>
      </c>
      <c r="E910" s="548" t="s">
        <v>364</v>
      </c>
      <c r="F910" s="622">
        <v>294</v>
      </c>
      <c r="G910" s="623" t="s">
        <v>5319</v>
      </c>
      <c r="H910" s="548" t="s">
        <v>125</v>
      </c>
      <c r="I910" s="583" t="s">
        <v>5910</v>
      </c>
      <c r="J910" s="548" t="s">
        <v>5320</v>
      </c>
      <c r="K910" s="583" t="s">
        <v>991</v>
      </c>
      <c r="L910" s="583" t="s">
        <v>1029</v>
      </c>
      <c r="M910" s="619">
        <v>1425</v>
      </c>
      <c r="N910" s="620">
        <v>44508</v>
      </c>
      <c r="O910" s="684" t="s">
        <v>67</v>
      </c>
      <c r="P910" s="503">
        <f t="shared" si="53"/>
        <v>11</v>
      </c>
      <c r="Q910" s="503">
        <f t="shared" si="54"/>
        <v>9</v>
      </c>
      <c r="R910" s="504" t="str">
        <f t="shared" si="55"/>
        <v>Gastos_Gerais</v>
      </c>
      <c r="S910" s="504" t="str">
        <f>IF(D910="","",IF(OR(D910=Plano!$A$1,D910=Plano!$B$1),"entrada","saída"))</f>
        <v>saída</v>
      </c>
      <c r="T910" s="511" t="s">
        <v>994</v>
      </c>
      <c r="U910" s="505">
        <v>2103</v>
      </c>
      <c r="V910" s="541"/>
    </row>
    <row r="911" spans="1:22" ht="163.5" customHeight="1" x14ac:dyDescent="0.2">
      <c r="A911" s="619">
        <f>IF(B911="","",COUNT('Diário 5º PA'!$A$5:$A$2634)+COUNT('Diário 6º PA'!$A$5:$A$2246)+COUNT('Diário 7º PA'!$A$5:$A$2271)+ROW()-4)</f>
        <v>4857</v>
      </c>
      <c r="B911" s="620">
        <v>44509</v>
      </c>
      <c r="C911" s="624">
        <v>44470</v>
      </c>
      <c r="D911" s="629" t="s">
        <v>99</v>
      </c>
      <c r="E911" s="548" t="s">
        <v>356</v>
      </c>
      <c r="F911" s="622">
        <v>1500</v>
      </c>
      <c r="G911" s="630" t="s">
        <v>5259</v>
      </c>
      <c r="H911" s="548" t="s">
        <v>125</v>
      </c>
      <c r="I911" s="583" t="s">
        <v>5714</v>
      </c>
      <c r="J911" s="629" t="s">
        <v>2151</v>
      </c>
      <c r="K911" s="583" t="s">
        <v>991</v>
      </c>
      <c r="L911" s="583" t="s">
        <v>992</v>
      </c>
      <c r="M911" s="619" t="s">
        <v>1336</v>
      </c>
      <c r="N911" s="620">
        <v>44509</v>
      </c>
      <c r="O911" s="684" t="s">
        <v>67</v>
      </c>
      <c r="P911" s="503">
        <f t="shared" si="53"/>
        <v>11</v>
      </c>
      <c r="Q911" s="503">
        <f t="shared" si="54"/>
        <v>10</v>
      </c>
      <c r="R911" s="504" t="str">
        <f t="shared" si="55"/>
        <v>Gastos_Gerais</v>
      </c>
      <c r="S911" s="504" t="str">
        <f>IF(D911="","",IF(OR(D911=Plano!$A$1,D911=Plano!$B$1),"entrada","saída"))</f>
        <v>saída</v>
      </c>
      <c r="T911" s="511" t="s">
        <v>994</v>
      </c>
      <c r="U911" s="505">
        <v>2107</v>
      </c>
      <c r="V911" s="541"/>
    </row>
    <row r="912" spans="1:22" ht="163.5" customHeight="1" x14ac:dyDescent="0.2">
      <c r="A912" s="619">
        <f>IF(B912="","",COUNT('Diário 5º PA'!$A$5:$A$2634)+COUNT('Diário 6º PA'!$A$5:$A$2246)+COUNT('Diário 7º PA'!$A$5:$A$2271)+ROW()-4)</f>
        <v>4858</v>
      </c>
      <c r="B912" s="620">
        <v>44509</v>
      </c>
      <c r="C912" s="624">
        <v>44470</v>
      </c>
      <c r="D912" s="548" t="s">
        <v>99</v>
      </c>
      <c r="E912" s="548" t="s">
        <v>364</v>
      </c>
      <c r="F912" s="622">
        <v>2280</v>
      </c>
      <c r="G912" s="623" t="s">
        <v>5383</v>
      </c>
      <c r="H912" s="548" t="s">
        <v>131</v>
      </c>
      <c r="I912" s="583" t="s">
        <v>3638</v>
      </c>
      <c r="J912" s="548" t="s">
        <v>5384</v>
      </c>
      <c r="K912" s="583" t="s">
        <v>991</v>
      </c>
      <c r="L912" s="583" t="s">
        <v>992</v>
      </c>
      <c r="M912" s="619" t="s">
        <v>1675</v>
      </c>
      <c r="N912" s="620">
        <v>44503</v>
      </c>
      <c r="O912" s="684" t="s">
        <v>67</v>
      </c>
      <c r="P912" s="503">
        <f t="shared" si="53"/>
        <v>11</v>
      </c>
      <c r="Q912" s="503">
        <f t="shared" si="54"/>
        <v>10</v>
      </c>
      <c r="R912" s="504" t="str">
        <f t="shared" si="55"/>
        <v>Gastos_Gerais</v>
      </c>
      <c r="S912" s="504" t="str">
        <f>IF(D912="","",IF(OR(D912=Plano!$A$1,D912=Plano!$B$1),"entrada","saída"))</f>
        <v>saída</v>
      </c>
      <c r="T912" s="511" t="s">
        <v>994</v>
      </c>
      <c r="U912" s="505">
        <v>2156</v>
      </c>
      <c r="V912" s="541"/>
    </row>
    <row r="913" spans="1:22" ht="50.1" customHeight="1" x14ac:dyDescent="0.2">
      <c r="A913" s="619">
        <f>IF(B913="","",COUNT('Diário 5º PA'!$A$5:$A$2634)+COUNT('Diário 6º PA'!$A$5:$A$2246)+COUNT('Diário 7º PA'!$A$5:$A$2271)+ROW()-4)</f>
        <v>4859</v>
      </c>
      <c r="B913" s="620">
        <v>44509</v>
      </c>
      <c r="C913" s="624">
        <v>44501</v>
      </c>
      <c r="D913" s="548" t="s">
        <v>99</v>
      </c>
      <c r="E913" s="548" t="s">
        <v>272</v>
      </c>
      <c r="F913" s="622">
        <v>10.45</v>
      </c>
      <c r="G913" s="623" t="s">
        <v>5920</v>
      </c>
      <c r="H913" s="548" t="s">
        <v>125</v>
      </c>
      <c r="I913" s="583" t="s">
        <v>949</v>
      </c>
      <c r="J913" s="548" t="s">
        <v>950</v>
      </c>
      <c r="K913" s="583" t="s">
        <v>951</v>
      </c>
      <c r="L913" s="583" t="s">
        <v>947</v>
      </c>
      <c r="M913" s="625" t="s">
        <v>114</v>
      </c>
      <c r="N913" s="620">
        <v>44509</v>
      </c>
      <c r="O913" s="684" t="s">
        <v>67</v>
      </c>
      <c r="P913" s="503">
        <f t="shared" si="53"/>
        <v>11</v>
      </c>
      <c r="Q913" s="503">
        <f t="shared" si="54"/>
        <v>11</v>
      </c>
      <c r="R913" s="504" t="str">
        <f t="shared" si="55"/>
        <v>Gastos_Gerais</v>
      </c>
      <c r="S913" s="504" t="str">
        <f>IF(D913="","",IF(OR(D913=Plano!$A$1,D913=Plano!$B$1),"entrada","saída"))</f>
        <v>saída</v>
      </c>
      <c r="T913" s="511" t="s">
        <v>114</v>
      </c>
      <c r="U913" s="511" t="s">
        <v>114</v>
      </c>
      <c r="V913" s="541"/>
    </row>
    <row r="914" spans="1:22" ht="50.1" customHeight="1" x14ac:dyDescent="0.2">
      <c r="A914" s="619">
        <f>IF(B914="","",COUNT('Diário 5º PA'!$A$5:$A$2634)+COUNT('Diário 6º PA'!$A$5:$A$2246)+COUNT('Diário 7º PA'!$A$5:$A$2271)+ROW()-4)</f>
        <v>4860</v>
      </c>
      <c r="B914" s="620">
        <v>44509</v>
      </c>
      <c r="C914" s="624">
        <v>44501</v>
      </c>
      <c r="D914" s="548" t="s">
        <v>99</v>
      </c>
      <c r="E914" s="548" t="s">
        <v>272</v>
      </c>
      <c r="F914" s="622">
        <v>10.45</v>
      </c>
      <c r="G914" s="623" t="s">
        <v>6163</v>
      </c>
      <c r="H914" s="548" t="s">
        <v>125</v>
      </c>
      <c r="I914" s="583" t="s">
        <v>949</v>
      </c>
      <c r="J914" s="548" t="s">
        <v>950</v>
      </c>
      <c r="K914" s="583" t="s">
        <v>951</v>
      </c>
      <c r="L914" s="583" t="s">
        <v>947</v>
      </c>
      <c r="M914" s="625" t="s">
        <v>114</v>
      </c>
      <c r="N914" s="620">
        <v>44509</v>
      </c>
      <c r="O914" s="684" t="s">
        <v>67</v>
      </c>
      <c r="P914" s="503">
        <f t="shared" si="53"/>
        <v>11</v>
      </c>
      <c r="Q914" s="503">
        <f t="shared" si="54"/>
        <v>11</v>
      </c>
      <c r="R914" s="504" t="str">
        <f t="shared" si="55"/>
        <v>Gastos_Gerais</v>
      </c>
      <c r="S914" s="504" t="str">
        <f>IF(D914="","",IF(OR(D914=Plano!$A$1,D914=Plano!$B$1),"entrada","saída"))</f>
        <v>saída</v>
      </c>
      <c r="T914" s="511" t="s">
        <v>114</v>
      </c>
      <c r="U914" s="511" t="s">
        <v>114</v>
      </c>
      <c r="V914" s="541"/>
    </row>
    <row r="915" spans="1:22" ht="50.1" customHeight="1" x14ac:dyDescent="0.2">
      <c r="A915" s="619">
        <f>IF(B915="","",COUNT('Diário 5º PA'!$A$5:$A$2634)+COUNT('Diário 6º PA'!$A$5:$A$2246)+COUNT('Diário 7º PA'!$A$5:$A$2271)+ROW()-4)</f>
        <v>4861</v>
      </c>
      <c r="B915" s="620">
        <v>44509</v>
      </c>
      <c r="C915" s="624">
        <v>44501</v>
      </c>
      <c r="D915" s="548" t="s">
        <v>99</v>
      </c>
      <c r="E915" s="548" t="s">
        <v>272</v>
      </c>
      <c r="F915" s="622">
        <v>10.45</v>
      </c>
      <c r="G915" s="623" t="s">
        <v>6164</v>
      </c>
      <c r="H915" s="548" t="s">
        <v>131</v>
      </c>
      <c r="I915" s="583" t="s">
        <v>949</v>
      </c>
      <c r="J915" s="548" t="s">
        <v>950</v>
      </c>
      <c r="K915" s="583" t="s">
        <v>951</v>
      </c>
      <c r="L915" s="583" t="s">
        <v>947</v>
      </c>
      <c r="M915" s="625" t="s">
        <v>114</v>
      </c>
      <c r="N915" s="620">
        <v>44509</v>
      </c>
      <c r="O915" s="684" t="s">
        <v>67</v>
      </c>
      <c r="P915" s="503">
        <f t="shared" si="53"/>
        <v>11</v>
      </c>
      <c r="Q915" s="503">
        <f t="shared" si="54"/>
        <v>11</v>
      </c>
      <c r="R915" s="504" t="str">
        <f t="shared" si="55"/>
        <v>Gastos_Gerais</v>
      </c>
      <c r="S915" s="504" t="str">
        <f>IF(D915="","",IF(OR(D915=Plano!$A$1,D915=Plano!$B$1),"entrada","saída"))</f>
        <v>saída</v>
      </c>
      <c r="T915" s="511" t="s">
        <v>114</v>
      </c>
      <c r="U915" s="511" t="s">
        <v>114</v>
      </c>
      <c r="V915" s="541"/>
    </row>
    <row r="916" spans="1:22" ht="50.1" customHeight="1" x14ac:dyDescent="0.2">
      <c r="A916" s="619">
        <f>IF(B916="","",COUNT('Diário 5º PA'!$A$5:$A$2634)+COUNT('Diário 6º PA'!$A$5:$A$2246)+COUNT('Diário 7º PA'!$A$5:$A$2271)+ROW()-4)</f>
        <v>4862</v>
      </c>
      <c r="B916" s="620">
        <v>44509</v>
      </c>
      <c r="C916" s="624">
        <v>44501</v>
      </c>
      <c r="D916" s="548" t="s">
        <v>99</v>
      </c>
      <c r="E916" s="548" t="s">
        <v>272</v>
      </c>
      <c r="F916" s="622">
        <v>10.45</v>
      </c>
      <c r="G916" s="623" t="s">
        <v>6162</v>
      </c>
      <c r="H916" s="548" t="s">
        <v>116</v>
      </c>
      <c r="I916" s="583" t="s">
        <v>949</v>
      </c>
      <c r="J916" s="548" t="s">
        <v>950</v>
      </c>
      <c r="K916" s="583" t="s">
        <v>951</v>
      </c>
      <c r="L916" s="583" t="s">
        <v>947</v>
      </c>
      <c r="M916" s="625" t="s">
        <v>114</v>
      </c>
      <c r="N916" s="620">
        <v>44509</v>
      </c>
      <c r="O916" s="684" t="s">
        <v>67</v>
      </c>
      <c r="P916" s="503">
        <f t="shared" si="53"/>
        <v>11</v>
      </c>
      <c r="Q916" s="503">
        <f t="shared" si="54"/>
        <v>11</v>
      </c>
      <c r="R916" s="504" t="str">
        <f t="shared" si="55"/>
        <v>Gastos_Gerais</v>
      </c>
      <c r="S916" s="504" t="str">
        <f>IF(D916="","",IF(OR(D916=Plano!$A$1,D916=Plano!$B$1),"entrada","saída"))</f>
        <v>saída</v>
      </c>
      <c r="T916" s="511" t="s">
        <v>114</v>
      </c>
      <c r="U916" s="511" t="s">
        <v>114</v>
      </c>
      <c r="V916" s="541"/>
    </row>
    <row r="917" spans="1:22" s="562" customFormat="1" ht="135.75" customHeight="1" x14ac:dyDescent="0.2">
      <c r="A917" s="649">
        <f>IF(B917="","",COUNT('Diário 5º PA'!$A$5:$A$2634)+COUNT('Diário 6º PA'!$A$5:$A$2246)+COUNT('Diário 7º PA'!$A$5:$A$2271)+ROW()-4)</f>
        <v>4863</v>
      </c>
      <c r="B917" s="644">
        <v>44509</v>
      </c>
      <c r="C917" s="650">
        <v>44378</v>
      </c>
      <c r="D917" s="651" t="s">
        <v>104</v>
      </c>
      <c r="E917" s="651" t="s">
        <v>104</v>
      </c>
      <c r="F917" s="641">
        <v>336</v>
      </c>
      <c r="G917" s="639" t="s">
        <v>801</v>
      </c>
      <c r="H917" s="651" t="s">
        <v>104</v>
      </c>
      <c r="I917" s="640" t="s">
        <v>7113</v>
      </c>
      <c r="J917" s="651" t="s">
        <v>802</v>
      </c>
      <c r="K917" s="642" t="s">
        <v>991</v>
      </c>
      <c r="L917" s="642" t="s">
        <v>1029</v>
      </c>
      <c r="M917" s="652">
        <v>1246</v>
      </c>
      <c r="N917" s="644">
        <v>44400</v>
      </c>
      <c r="O917" s="685" t="s">
        <v>70</v>
      </c>
      <c r="P917" s="503">
        <f t="shared" si="53"/>
        <v>11</v>
      </c>
      <c r="Q917" s="503">
        <f t="shared" si="54"/>
        <v>7</v>
      </c>
      <c r="R917" s="504" t="str">
        <f t="shared" si="55"/>
        <v>Gastos_custeados_por_captação</v>
      </c>
      <c r="S917" s="504" t="str">
        <f>IF(D917="","",IF(OR(D917=Plano!$A$1,D917=Plano!$B$1),"entrada","saída"))</f>
        <v>saída</v>
      </c>
      <c r="T917" s="566" t="s">
        <v>994</v>
      </c>
      <c r="U917" s="566">
        <v>1745</v>
      </c>
      <c r="V917" s="541"/>
    </row>
    <row r="918" spans="1:22" s="572" customFormat="1" ht="138.75" customHeight="1" x14ac:dyDescent="0.2">
      <c r="A918" s="649">
        <f>IF(B918="","",COUNT('Diário 5º PA'!$A$5:$A$2634)+COUNT('Diário 6º PA'!$A$5:$A$2246)+COUNT('Diário 7º PA'!$A$5:$A$2271)+ROW()-4)</f>
        <v>4864</v>
      </c>
      <c r="B918" s="644">
        <v>44509</v>
      </c>
      <c r="C918" s="645">
        <v>44470</v>
      </c>
      <c r="D918" s="646" t="s">
        <v>104</v>
      </c>
      <c r="E918" s="646" t="s">
        <v>104</v>
      </c>
      <c r="F918" s="647">
        <v>5389.45</v>
      </c>
      <c r="G918" s="648" t="s">
        <v>570</v>
      </c>
      <c r="H918" s="646" t="s">
        <v>104</v>
      </c>
      <c r="I918" s="627" t="s">
        <v>1300</v>
      </c>
      <c r="J918" s="646" t="s">
        <v>572</v>
      </c>
      <c r="K918" s="583" t="s">
        <v>991</v>
      </c>
      <c r="L918" s="583" t="s">
        <v>992</v>
      </c>
      <c r="M918" s="619" t="s">
        <v>1675</v>
      </c>
      <c r="N918" s="620">
        <v>44509</v>
      </c>
      <c r="O918" s="684" t="s">
        <v>5370</v>
      </c>
      <c r="P918" s="503">
        <f t="shared" si="53"/>
        <v>11</v>
      </c>
      <c r="Q918" s="503">
        <f t="shared" si="54"/>
        <v>10</v>
      </c>
      <c r="R918" s="504" t="str">
        <f t="shared" si="55"/>
        <v>Gastos_custeados_por_captação</v>
      </c>
      <c r="S918" s="504" t="str">
        <f>IF(D918="","",IF(OR(D918=Plano!$A$1,D918=Plano!$B$1),"entrada","saída"))</f>
        <v>saída</v>
      </c>
      <c r="T918" s="511" t="s">
        <v>1082</v>
      </c>
      <c r="U918" s="511">
        <v>1339</v>
      </c>
      <c r="V918" s="541"/>
    </row>
    <row r="919" spans="1:22" s="572" customFormat="1" ht="110.25" customHeight="1" x14ac:dyDescent="0.2">
      <c r="A919" s="649">
        <f>IF(B919="","",COUNT('Diário 5º PA'!$A$5:$A$2634)+COUNT('Diário 6º PA'!$A$5:$A$2246)+COUNT('Diário 7º PA'!$A$5:$A$2271)+ROW()-4)</f>
        <v>4865</v>
      </c>
      <c r="B919" s="644">
        <v>44509</v>
      </c>
      <c r="C919" s="645">
        <v>44470</v>
      </c>
      <c r="D919" s="646" t="s">
        <v>104</v>
      </c>
      <c r="E919" s="646" t="s">
        <v>104</v>
      </c>
      <c r="F919" s="647">
        <v>3634</v>
      </c>
      <c r="G919" s="648" t="s">
        <v>606</v>
      </c>
      <c r="H919" s="646" t="s">
        <v>104</v>
      </c>
      <c r="I919" s="627" t="s">
        <v>2817</v>
      </c>
      <c r="J919" s="646" t="s">
        <v>608</v>
      </c>
      <c r="K919" s="583" t="s">
        <v>991</v>
      </c>
      <c r="L919" s="583" t="s">
        <v>992</v>
      </c>
      <c r="M919" s="619" t="s">
        <v>2364</v>
      </c>
      <c r="N919" s="620">
        <v>44508</v>
      </c>
      <c r="O919" s="684" t="s">
        <v>5370</v>
      </c>
      <c r="P919" s="503">
        <f t="shared" si="53"/>
        <v>11</v>
      </c>
      <c r="Q919" s="503">
        <f t="shared" si="54"/>
        <v>10</v>
      </c>
      <c r="R919" s="504" t="str">
        <f t="shared" si="55"/>
        <v>Gastos_custeados_por_captação</v>
      </c>
      <c r="S919" s="504" t="str">
        <f>IF(D919="","",IF(OR(D919=Plano!$A$1,D919=Plano!$B$1),"entrada","saída"))</f>
        <v>saída</v>
      </c>
      <c r="T919" s="511" t="s">
        <v>1082</v>
      </c>
      <c r="U919" s="511">
        <v>1413</v>
      </c>
      <c r="V919" s="541"/>
    </row>
    <row r="920" spans="1:22" s="572" customFormat="1" ht="61.5" customHeight="1" x14ac:dyDescent="0.2">
      <c r="A920" s="649">
        <f>IF(B920="","",COUNT('Diário 5º PA'!$A$5:$A$2634)+COUNT('Diário 6º PA'!$A$5:$A$2246)+COUNT('Diário 7º PA'!$A$5:$A$2271)+ROW()-4)</f>
        <v>4866</v>
      </c>
      <c r="B920" s="644">
        <v>44509</v>
      </c>
      <c r="C920" s="624">
        <v>44501</v>
      </c>
      <c r="D920" s="548" t="s">
        <v>104</v>
      </c>
      <c r="E920" s="548" t="s">
        <v>104</v>
      </c>
      <c r="F920" s="622">
        <v>10.45</v>
      </c>
      <c r="G920" s="623" t="s">
        <v>5451</v>
      </c>
      <c r="H920" s="548" t="s">
        <v>104</v>
      </c>
      <c r="I920" s="583" t="s">
        <v>949</v>
      </c>
      <c r="J920" s="548" t="s">
        <v>950</v>
      </c>
      <c r="K920" s="583" t="s">
        <v>951</v>
      </c>
      <c r="L920" s="583" t="s">
        <v>947</v>
      </c>
      <c r="M920" s="625" t="s">
        <v>114</v>
      </c>
      <c r="N920" s="644">
        <v>44509</v>
      </c>
      <c r="O920" s="684" t="s">
        <v>5370</v>
      </c>
      <c r="P920" s="503">
        <f t="shared" si="53"/>
        <v>11</v>
      </c>
      <c r="Q920" s="503">
        <f t="shared" si="54"/>
        <v>11</v>
      </c>
      <c r="R920" s="504" t="str">
        <f t="shared" si="55"/>
        <v>Gastos_custeados_por_captação</v>
      </c>
      <c r="S920" s="504" t="str">
        <f>IF(D920="","",IF(OR(D920=Plano!$A$1,D920=Plano!$B$1),"entrada","saída"))</f>
        <v>saída</v>
      </c>
      <c r="T920" s="511" t="s">
        <v>114</v>
      </c>
      <c r="U920" s="511" t="s">
        <v>114</v>
      </c>
      <c r="V920" s="541"/>
    </row>
    <row r="921" spans="1:22" s="572" customFormat="1" ht="72.75" customHeight="1" x14ac:dyDescent="0.2">
      <c r="A921" s="649">
        <f>IF(B921="","",COUNT('Diário 5º PA'!$A$5:$A$2634)+COUNT('Diário 6º PA'!$A$5:$A$2246)+COUNT('Diário 7º PA'!$A$5:$A$2271)+ROW()-4)</f>
        <v>4867</v>
      </c>
      <c r="B921" s="644">
        <v>44509</v>
      </c>
      <c r="C921" s="624">
        <v>44501</v>
      </c>
      <c r="D921" s="548" t="s">
        <v>104</v>
      </c>
      <c r="E921" s="548" t="s">
        <v>104</v>
      </c>
      <c r="F921" s="622">
        <v>10.45</v>
      </c>
      <c r="G921" s="623" t="s">
        <v>5451</v>
      </c>
      <c r="H921" s="548" t="s">
        <v>104</v>
      </c>
      <c r="I921" s="583" t="s">
        <v>949</v>
      </c>
      <c r="J921" s="548" t="s">
        <v>950</v>
      </c>
      <c r="K921" s="583" t="s">
        <v>951</v>
      </c>
      <c r="L921" s="583" t="s">
        <v>947</v>
      </c>
      <c r="M921" s="625" t="s">
        <v>114</v>
      </c>
      <c r="N921" s="644">
        <v>44509</v>
      </c>
      <c r="O921" s="684" t="s">
        <v>5370</v>
      </c>
      <c r="P921" s="503">
        <f t="shared" si="53"/>
        <v>11</v>
      </c>
      <c r="Q921" s="503">
        <f t="shared" si="54"/>
        <v>11</v>
      </c>
      <c r="R921" s="504" t="str">
        <f t="shared" si="55"/>
        <v>Gastos_custeados_por_captação</v>
      </c>
      <c r="S921" s="504" t="str">
        <f>IF(D921="","",IF(OR(D921=Plano!$A$1,D921=Plano!$B$1),"entrada","saída"))</f>
        <v>saída</v>
      </c>
      <c r="T921" s="511" t="s">
        <v>114</v>
      </c>
      <c r="U921" s="511" t="s">
        <v>114</v>
      </c>
      <c r="V921" s="541"/>
    </row>
    <row r="922" spans="1:22" s="572" customFormat="1" ht="65.25" customHeight="1" x14ac:dyDescent="0.2">
      <c r="A922" s="649">
        <f>IF(B922="","",COUNT('Diário 5º PA'!$A$5:$A$2634)+COUNT('Diário 6º PA'!$A$5:$A$2246)+COUNT('Diário 7º PA'!$A$5:$A$2271)+ROW()-4)</f>
        <v>4868</v>
      </c>
      <c r="B922" s="644">
        <v>44509</v>
      </c>
      <c r="C922" s="624">
        <v>44501</v>
      </c>
      <c r="D922" s="548" t="s">
        <v>104</v>
      </c>
      <c r="E922" s="548" t="s">
        <v>104</v>
      </c>
      <c r="F922" s="622">
        <v>10.45</v>
      </c>
      <c r="G922" s="623" t="s">
        <v>5451</v>
      </c>
      <c r="H922" s="548" t="s">
        <v>104</v>
      </c>
      <c r="I922" s="583" t="s">
        <v>949</v>
      </c>
      <c r="J922" s="548" t="s">
        <v>950</v>
      </c>
      <c r="K922" s="583" t="s">
        <v>951</v>
      </c>
      <c r="L922" s="583" t="s">
        <v>947</v>
      </c>
      <c r="M922" s="625" t="s">
        <v>114</v>
      </c>
      <c r="N922" s="644">
        <v>44509</v>
      </c>
      <c r="O922" s="684" t="s">
        <v>5370</v>
      </c>
      <c r="P922" s="503">
        <f t="shared" si="53"/>
        <v>11</v>
      </c>
      <c r="Q922" s="503">
        <f t="shared" si="54"/>
        <v>11</v>
      </c>
      <c r="R922" s="504" t="str">
        <f t="shared" si="55"/>
        <v>Gastos_custeados_por_captação</v>
      </c>
      <c r="S922" s="504" t="str">
        <f>IF(D922="","",IF(OR(D922=Plano!$A$1,D922=Plano!$B$1),"entrada","saída"))</f>
        <v>saída</v>
      </c>
      <c r="T922" s="511" t="s">
        <v>114</v>
      </c>
      <c r="U922" s="511" t="s">
        <v>114</v>
      </c>
      <c r="V922" s="541"/>
    </row>
    <row r="923" spans="1:22" ht="50.1" customHeight="1" x14ac:dyDescent="0.2">
      <c r="A923" s="619">
        <f>IF(B923="","",COUNT('Diário 5º PA'!$A$5:$A$2634)+COUNT('Diário 6º PA'!$A$5:$A$2246)+COUNT('Diário 7º PA'!$A$5:$A$2271)+ROW()-4)</f>
        <v>4869</v>
      </c>
      <c r="B923" s="620">
        <v>44510</v>
      </c>
      <c r="C923" s="621">
        <v>44470</v>
      </c>
      <c r="D923" s="548" t="s">
        <v>99</v>
      </c>
      <c r="E923" s="548" t="s">
        <v>266</v>
      </c>
      <c r="F923" s="622">
        <v>-69.989999999999995</v>
      </c>
      <c r="G923" s="623" t="s">
        <v>6165</v>
      </c>
      <c r="H923" s="548" t="s">
        <v>115</v>
      </c>
      <c r="I923" s="583" t="s">
        <v>983</v>
      </c>
      <c r="J923" s="548" t="s">
        <v>850</v>
      </c>
      <c r="K923" s="583" t="s">
        <v>946</v>
      </c>
      <c r="L923" s="583" t="s">
        <v>947</v>
      </c>
      <c r="M923" s="619" t="s">
        <v>114</v>
      </c>
      <c r="N923" s="620">
        <v>44510</v>
      </c>
      <c r="O923" s="684" t="s">
        <v>67</v>
      </c>
      <c r="P923" s="503">
        <f t="shared" si="53"/>
        <v>11</v>
      </c>
      <c r="Q923" s="503">
        <f t="shared" si="54"/>
        <v>10</v>
      </c>
      <c r="R923" s="504" t="str">
        <f t="shared" si="55"/>
        <v>Gastos_Gerais</v>
      </c>
      <c r="S923" s="504" t="str">
        <f>IF(D923="","",IF(OR(D923=Plano!$A$1,D923=Plano!$B$1),"entrada","saída"))</f>
        <v>saída</v>
      </c>
      <c r="T923" s="511" t="s">
        <v>114</v>
      </c>
      <c r="U923" s="511" t="s">
        <v>114</v>
      </c>
      <c r="V923" s="541"/>
    </row>
    <row r="924" spans="1:22" ht="39.75" customHeight="1" x14ac:dyDescent="0.2">
      <c r="A924" s="619">
        <f>IF(B924="","",COUNT('Diário 5º PA'!$A$5:$A$2634)+COUNT('Diário 6º PA'!$A$5:$A$2246)+COUNT('Diário 7º PA'!$A$5:$A$2271)+ROW()-4)</f>
        <v>4870</v>
      </c>
      <c r="B924" s="620">
        <v>44510</v>
      </c>
      <c r="C924" s="621">
        <v>44470</v>
      </c>
      <c r="D924" s="548" t="s">
        <v>77</v>
      </c>
      <c r="E924" s="548" t="s">
        <v>83</v>
      </c>
      <c r="F924" s="622">
        <v>560</v>
      </c>
      <c r="G924" s="623" t="s">
        <v>7327</v>
      </c>
      <c r="H924" s="548" t="s">
        <v>114</v>
      </c>
      <c r="I924" s="583" t="s">
        <v>983</v>
      </c>
      <c r="J924" s="548" t="s">
        <v>850</v>
      </c>
      <c r="K924" s="583" t="s">
        <v>946</v>
      </c>
      <c r="L924" s="583" t="s">
        <v>947</v>
      </c>
      <c r="M924" s="619" t="s">
        <v>114</v>
      </c>
      <c r="N924" s="620">
        <v>44510</v>
      </c>
      <c r="O924" s="684" t="s">
        <v>67</v>
      </c>
      <c r="P924" s="503">
        <f t="shared" si="53"/>
        <v>11</v>
      </c>
      <c r="Q924" s="503">
        <f t="shared" si="54"/>
        <v>10</v>
      </c>
      <c r="R924" s="504" t="str">
        <f t="shared" si="55"/>
        <v>Receitas</v>
      </c>
      <c r="S924" s="504" t="str">
        <f>IF(D924="","",IF(OR(D924=Plano!$A$1,D924=Plano!$B$1),"entrada","saída"))</f>
        <v>entrada</v>
      </c>
      <c r="T924" s="546" t="s">
        <v>114</v>
      </c>
      <c r="U924" s="546" t="s">
        <v>114</v>
      </c>
      <c r="V924" s="541"/>
    </row>
    <row r="925" spans="1:22" ht="87" customHeight="1" x14ac:dyDescent="0.2">
      <c r="A925" s="619">
        <f>IF(B925="","",COUNT('Diário 5º PA'!$A$5:$A$2634)+COUNT('Diário 6º PA'!$A$5:$A$2246)+COUNT('Diário 7º PA'!$A$5:$A$2271)+ROW()-4)</f>
        <v>4871</v>
      </c>
      <c r="B925" s="620">
        <v>44510</v>
      </c>
      <c r="C925" s="624">
        <v>44470</v>
      </c>
      <c r="D925" s="548" t="s">
        <v>99</v>
      </c>
      <c r="E925" s="548" t="s">
        <v>340</v>
      </c>
      <c r="F925" s="622">
        <v>1260</v>
      </c>
      <c r="G925" s="623" t="s">
        <v>5899</v>
      </c>
      <c r="H925" s="548" t="s">
        <v>125</v>
      </c>
      <c r="I925" s="583" t="s">
        <v>6166</v>
      </c>
      <c r="J925" s="548" t="s">
        <v>5900</v>
      </c>
      <c r="K925" s="583" t="s">
        <v>1015</v>
      </c>
      <c r="L925" s="583" t="s">
        <v>1029</v>
      </c>
      <c r="M925" s="619">
        <v>1428</v>
      </c>
      <c r="N925" s="620">
        <v>44509</v>
      </c>
      <c r="O925" s="684" t="s">
        <v>67</v>
      </c>
      <c r="P925" s="503">
        <f t="shared" si="53"/>
        <v>11</v>
      </c>
      <c r="Q925" s="503">
        <f t="shared" si="54"/>
        <v>10</v>
      </c>
      <c r="R925" s="504" t="str">
        <f t="shared" si="55"/>
        <v>Gastos_Gerais</v>
      </c>
      <c r="S925" s="504" t="str">
        <f>IF(D925="","",IF(OR(D925=Plano!$A$1,D925=Plano!$B$1),"entrada","saída"))</f>
        <v>saída</v>
      </c>
      <c r="T925" s="511" t="s">
        <v>994</v>
      </c>
      <c r="U925" s="505">
        <v>2275</v>
      </c>
      <c r="V925" s="541"/>
    </row>
    <row r="926" spans="1:22" ht="172.5" customHeight="1" x14ac:dyDescent="0.2">
      <c r="A926" s="619">
        <f>IF(B926="","",COUNT('Diário 5º PA'!$A$5:$A$2634)+COUNT('Diário 6º PA'!$A$5:$A$2246)+COUNT('Diário 7º PA'!$A$5:$A$2271)+ROW()-4)</f>
        <v>4872</v>
      </c>
      <c r="B926" s="620">
        <v>44510</v>
      </c>
      <c r="C926" s="624">
        <v>44501</v>
      </c>
      <c r="D926" s="548" t="s">
        <v>99</v>
      </c>
      <c r="E926" s="548" t="s">
        <v>224</v>
      </c>
      <c r="F926" s="622">
        <v>24.74</v>
      </c>
      <c r="G926" s="623" t="s">
        <v>642</v>
      </c>
      <c r="H926" s="548" t="s">
        <v>130</v>
      </c>
      <c r="I926" s="583" t="s">
        <v>5724</v>
      </c>
      <c r="J926" s="548" t="s">
        <v>644</v>
      </c>
      <c r="K926" s="583" t="s">
        <v>560</v>
      </c>
      <c r="L926" s="583" t="s">
        <v>697</v>
      </c>
      <c r="M926" s="625">
        <v>2110953716355</v>
      </c>
      <c r="N926" s="620">
        <v>44488</v>
      </c>
      <c r="O926" s="684" t="s">
        <v>67</v>
      </c>
      <c r="P926" s="503">
        <f t="shared" si="53"/>
        <v>11</v>
      </c>
      <c r="Q926" s="503">
        <f t="shared" si="54"/>
        <v>11</v>
      </c>
      <c r="R926" s="504" t="str">
        <f t="shared" si="55"/>
        <v>Gastos_Gerais</v>
      </c>
      <c r="S926" s="504" t="str">
        <f>IF(D926="","",IF(OR(D926=Plano!$A$1,D926=Plano!$B$1),"entrada","saída"))</f>
        <v>saída</v>
      </c>
      <c r="T926" s="505" t="s">
        <v>1059</v>
      </c>
      <c r="U926" s="505">
        <v>277</v>
      </c>
      <c r="V926" s="541"/>
    </row>
    <row r="927" spans="1:22" ht="93" customHeight="1" x14ac:dyDescent="0.2">
      <c r="A927" s="619">
        <f>IF(B927="","",COUNT('Diário 5º PA'!$A$5:$A$2634)+COUNT('Diário 6º PA'!$A$5:$A$2246)+COUNT('Diário 7º PA'!$A$5:$A$2271)+ROW()-4)</f>
        <v>4873</v>
      </c>
      <c r="B927" s="620">
        <v>44510</v>
      </c>
      <c r="C927" s="624">
        <v>44501</v>
      </c>
      <c r="D927" s="548" t="s">
        <v>99</v>
      </c>
      <c r="E927" s="548" t="s">
        <v>224</v>
      </c>
      <c r="F927" s="622">
        <v>105</v>
      </c>
      <c r="G927" s="623" t="s">
        <v>843</v>
      </c>
      <c r="H927" s="548" t="s">
        <v>130</v>
      </c>
      <c r="I927" s="583" t="s">
        <v>5724</v>
      </c>
      <c r="J927" s="548" t="s">
        <v>644</v>
      </c>
      <c r="K927" s="583" t="s">
        <v>560</v>
      </c>
      <c r="L927" s="583" t="s">
        <v>697</v>
      </c>
      <c r="M927" s="625">
        <v>2110953716355</v>
      </c>
      <c r="N927" s="620">
        <v>44488</v>
      </c>
      <c r="O927" s="684" t="s">
        <v>67</v>
      </c>
      <c r="P927" s="503">
        <f t="shared" si="53"/>
        <v>11</v>
      </c>
      <c r="Q927" s="503">
        <f t="shared" si="54"/>
        <v>11</v>
      </c>
      <c r="R927" s="504" t="str">
        <f t="shared" si="55"/>
        <v>Gastos_Gerais</v>
      </c>
      <c r="S927" s="504" t="str">
        <f>IF(D927="","",IF(OR(D927=Plano!$A$1,D927=Plano!$B$1),"entrada","saída"))</f>
        <v>saída</v>
      </c>
      <c r="T927" s="505" t="s">
        <v>1082</v>
      </c>
      <c r="U927" s="505">
        <v>1997</v>
      </c>
      <c r="V927" s="541"/>
    </row>
    <row r="928" spans="1:22" s="523" customFormat="1" ht="93" customHeight="1" x14ac:dyDescent="0.2">
      <c r="A928" s="619">
        <f>IF(B928="","",COUNT('Diário 5º PA'!$A$5:$A$2634)+COUNT('Diário 6º PA'!$A$5:$A$2246)+COUNT('Diário 7º PA'!$A$5:$A$2271)+ROW()-4)</f>
        <v>4874</v>
      </c>
      <c r="B928" s="620">
        <v>44510</v>
      </c>
      <c r="C928" s="621">
        <v>44470</v>
      </c>
      <c r="D928" s="548" t="s">
        <v>99</v>
      </c>
      <c r="E928" s="548" t="s">
        <v>266</v>
      </c>
      <c r="F928" s="622">
        <v>255.72</v>
      </c>
      <c r="G928" s="623" t="s">
        <v>480</v>
      </c>
      <c r="H928" s="548" t="s">
        <v>115</v>
      </c>
      <c r="I928" s="583" t="s">
        <v>1372</v>
      </c>
      <c r="J928" s="548" t="s">
        <v>482</v>
      </c>
      <c r="K928" s="583" t="s">
        <v>560</v>
      </c>
      <c r="L928" s="583" t="s">
        <v>992</v>
      </c>
      <c r="M928" s="619" t="s">
        <v>6174</v>
      </c>
      <c r="N928" s="620">
        <v>44478</v>
      </c>
      <c r="O928" s="684" t="s">
        <v>67</v>
      </c>
      <c r="P928" s="503">
        <f t="shared" si="53"/>
        <v>11</v>
      </c>
      <c r="Q928" s="503">
        <f t="shared" si="54"/>
        <v>10</v>
      </c>
      <c r="R928" s="504" t="str">
        <f t="shared" si="55"/>
        <v>Gastos_Gerais</v>
      </c>
      <c r="S928" s="504" t="str">
        <f>IF(D928="","",IF(OR(D928=Plano!$A$1,D928=Plano!$B$1),"entrada","saída"))</f>
        <v>saída</v>
      </c>
      <c r="T928" s="511" t="s">
        <v>1059</v>
      </c>
      <c r="U928" s="511">
        <v>1133</v>
      </c>
      <c r="V928" s="541"/>
    </row>
    <row r="929" spans="1:22" ht="34.5" customHeight="1" x14ac:dyDescent="0.2">
      <c r="A929" s="619">
        <f>IF(B929="","",COUNT('Diário 5º PA'!$A$5:$A$2634)+COUNT('Diário 6º PA'!$A$5:$A$2246)+COUNT('Diário 7º PA'!$A$5:$A$2271)+ROW()-4)</f>
        <v>4875</v>
      </c>
      <c r="B929" s="620">
        <v>44510</v>
      </c>
      <c r="C929" s="628">
        <v>44501</v>
      </c>
      <c r="D929" s="548" t="s">
        <v>88</v>
      </c>
      <c r="E929" s="548" t="s">
        <v>192</v>
      </c>
      <c r="F929" s="622">
        <v>2138.73</v>
      </c>
      <c r="G929" s="623" t="s">
        <v>5362</v>
      </c>
      <c r="H929" s="548" t="s">
        <v>114</v>
      </c>
      <c r="I929" s="583" t="s">
        <v>1032</v>
      </c>
      <c r="J929" s="548" t="s">
        <v>1033</v>
      </c>
      <c r="K929" s="583" t="s">
        <v>560</v>
      </c>
      <c r="L929" s="583" t="s">
        <v>992</v>
      </c>
      <c r="M929" s="619" t="s">
        <v>6859</v>
      </c>
      <c r="N929" s="620">
        <v>44512</v>
      </c>
      <c r="O929" s="684" t="s">
        <v>67</v>
      </c>
      <c r="P929" s="503">
        <f t="shared" si="53"/>
        <v>11</v>
      </c>
      <c r="Q929" s="503">
        <f t="shared" si="54"/>
        <v>11</v>
      </c>
      <c r="R929" s="504" t="str">
        <f t="shared" si="55"/>
        <v>Gastos_com_Pessoal</v>
      </c>
      <c r="S929" s="504" t="str">
        <f>IF(D929="","",IF(OR(D929=Plano!$A$1,D929=Plano!$B$1),"entrada","saída"))</f>
        <v>saída</v>
      </c>
      <c r="T929" s="546" t="s">
        <v>114</v>
      </c>
      <c r="U929" s="546" t="s">
        <v>114</v>
      </c>
      <c r="V929" s="541"/>
    </row>
    <row r="930" spans="1:22" ht="35.25" customHeight="1" x14ac:dyDescent="0.2">
      <c r="A930" s="619">
        <f>IF(B930="","",COUNT('Diário 5º PA'!$A$5:$A$2634)+COUNT('Diário 6º PA'!$A$5:$A$2246)+COUNT('Diário 7º PA'!$A$5:$A$2271)+ROW()-4)</f>
        <v>4876</v>
      </c>
      <c r="B930" s="620">
        <v>44510</v>
      </c>
      <c r="C930" s="628">
        <v>44501</v>
      </c>
      <c r="D930" s="548" t="s">
        <v>88</v>
      </c>
      <c r="E930" s="548" t="s">
        <v>192</v>
      </c>
      <c r="F930" s="622">
        <v>199.88</v>
      </c>
      <c r="G930" s="623" t="s">
        <v>5362</v>
      </c>
      <c r="H930" s="548" t="s">
        <v>114</v>
      </c>
      <c r="I930" s="583" t="s">
        <v>1032</v>
      </c>
      <c r="J930" s="548" t="s">
        <v>1033</v>
      </c>
      <c r="K930" s="583" t="s">
        <v>560</v>
      </c>
      <c r="L930" s="583" t="s">
        <v>992</v>
      </c>
      <c r="M930" s="619" t="s">
        <v>6860</v>
      </c>
      <c r="N930" s="620">
        <v>44512</v>
      </c>
      <c r="O930" s="684" t="s">
        <v>67</v>
      </c>
      <c r="P930" s="503">
        <f t="shared" si="53"/>
        <v>11</v>
      </c>
      <c r="Q930" s="503">
        <f t="shared" si="54"/>
        <v>11</v>
      </c>
      <c r="R930" s="504" t="str">
        <f t="shared" si="55"/>
        <v>Gastos_com_Pessoal</v>
      </c>
      <c r="S930" s="504" t="str">
        <f>IF(D930="","",IF(OR(D930=Plano!$A$1,D930=Plano!$B$1),"entrada","saída"))</f>
        <v>saída</v>
      </c>
      <c r="T930" s="546" t="s">
        <v>114</v>
      </c>
      <c r="U930" s="546" t="s">
        <v>114</v>
      </c>
      <c r="V930" s="541"/>
    </row>
    <row r="931" spans="1:22" ht="27" customHeight="1" x14ac:dyDescent="0.2">
      <c r="A931" s="619">
        <f>IF(B931="","",COUNT('Diário 5º PA'!$A$5:$A$2634)+COUNT('Diário 6º PA'!$A$5:$A$2246)+COUNT('Diário 7º PA'!$A$5:$A$2271)+ROW()-4)</f>
        <v>4877</v>
      </c>
      <c r="B931" s="620">
        <v>44510</v>
      </c>
      <c r="C931" s="628">
        <v>44501</v>
      </c>
      <c r="D931" s="548" t="s">
        <v>88</v>
      </c>
      <c r="E931" s="548" t="s">
        <v>192</v>
      </c>
      <c r="F931" s="622">
        <v>1767.83</v>
      </c>
      <c r="G931" s="623" t="s">
        <v>5362</v>
      </c>
      <c r="H931" s="548" t="s">
        <v>114</v>
      </c>
      <c r="I931" s="583" t="s">
        <v>5164</v>
      </c>
      <c r="J931" s="548" t="s">
        <v>3591</v>
      </c>
      <c r="K931" s="583" t="s">
        <v>991</v>
      </c>
      <c r="L931" s="583" t="s">
        <v>992</v>
      </c>
      <c r="M931" s="619" t="s">
        <v>6858</v>
      </c>
      <c r="N931" s="620">
        <v>44512</v>
      </c>
      <c r="O931" s="684" t="s">
        <v>67</v>
      </c>
      <c r="P931" s="503">
        <f t="shared" si="53"/>
        <v>11</v>
      </c>
      <c r="Q931" s="503">
        <f t="shared" si="54"/>
        <v>11</v>
      </c>
      <c r="R931" s="504" t="str">
        <f t="shared" si="55"/>
        <v>Gastos_com_Pessoal</v>
      </c>
      <c r="S931" s="504" t="str">
        <f>IF(D931="","",IF(OR(D931=Plano!$A$1,D931=Plano!$B$1),"entrada","saída"))</f>
        <v>saída</v>
      </c>
      <c r="T931" s="546" t="s">
        <v>114</v>
      </c>
      <c r="U931" s="546" t="s">
        <v>114</v>
      </c>
      <c r="V931" s="541"/>
    </row>
    <row r="932" spans="1:22" ht="94.5" customHeight="1" x14ac:dyDescent="0.2">
      <c r="A932" s="619">
        <f>IF(B932="","",COUNT('Diário 5º PA'!$A$5:$A$2634)+COUNT('Diário 6º PA'!$A$5:$A$2246)+COUNT('Diário 7º PA'!$A$5:$A$2271)+ROW()-4)</f>
        <v>4878</v>
      </c>
      <c r="B932" s="620">
        <v>44510</v>
      </c>
      <c r="C932" s="628">
        <v>44470</v>
      </c>
      <c r="D932" s="548" t="s">
        <v>99</v>
      </c>
      <c r="E932" s="548" t="s">
        <v>358</v>
      </c>
      <c r="F932" s="622">
        <v>1998.6</v>
      </c>
      <c r="G932" s="623" t="s">
        <v>5549</v>
      </c>
      <c r="H932" s="548" t="s">
        <v>131</v>
      </c>
      <c r="I932" s="583" t="s">
        <v>6169</v>
      </c>
      <c r="J932" s="548" t="s">
        <v>5551</v>
      </c>
      <c r="K932" s="583" t="s">
        <v>991</v>
      </c>
      <c r="L932" s="583" t="s">
        <v>1029</v>
      </c>
      <c r="M932" s="619">
        <v>1423</v>
      </c>
      <c r="N932" s="620">
        <v>44508</v>
      </c>
      <c r="O932" s="684" t="s">
        <v>67</v>
      </c>
      <c r="P932" s="503">
        <f t="shared" si="53"/>
        <v>11</v>
      </c>
      <c r="Q932" s="503">
        <f t="shared" si="54"/>
        <v>10</v>
      </c>
      <c r="R932" s="504" t="str">
        <f t="shared" si="55"/>
        <v>Gastos_Gerais</v>
      </c>
      <c r="S932" s="504" t="str">
        <f>IF(D932="","",IF(OR(D932=Plano!$A$1,D932=Plano!$B$1),"entrada","saída"))</f>
        <v>saída</v>
      </c>
      <c r="T932" s="511" t="s">
        <v>1059</v>
      </c>
      <c r="U932" s="505">
        <v>2248</v>
      </c>
      <c r="V932" s="541"/>
    </row>
    <row r="933" spans="1:22" ht="63.75" customHeight="1" x14ac:dyDescent="0.2">
      <c r="A933" s="619">
        <f>IF(B933="","",COUNT('Diário 5º PA'!$A$5:$A$2634)+COUNT('Diário 6º PA'!$A$5:$A$2246)+COUNT('Diário 7º PA'!$A$5:$A$2271)+ROW()-4)</f>
        <v>4879</v>
      </c>
      <c r="B933" s="620">
        <v>44510</v>
      </c>
      <c r="C933" s="624">
        <v>44501</v>
      </c>
      <c r="D933" s="548" t="s">
        <v>99</v>
      </c>
      <c r="E933" s="548" t="s">
        <v>272</v>
      </c>
      <c r="F933" s="622">
        <v>10.45</v>
      </c>
      <c r="G933" s="623" t="s">
        <v>6173</v>
      </c>
      <c r="H933" s="548" t="s">
        <v>131</v>
      </c>
      <c r="I933" s="583" t="s">
        <v>949</v>
      </c>
      <c r="J933" s="548" t="s">
        <v>950</v>
      </c>
      <c r="K933" s="583" t="s">
        <v>951</v>
      </c>
      <c r="L933" s="583" t="s">
        <v>947</v>
      </c>
      <c r="M933" s="625" t="s">
        <v>114</v>
      </c>
      <c r="N933" s="620">
        <v>44510</v>
      </c>
      <c r="O933" s="684" t="s">
        <v>67</v>
      </c>
      <c r="P933" s="503">
        <f t="shared" si="53"/>
        <v>11</v>
      </c>
      <c r="Q933" s="503">
        <f t="shared" si="54"/>
        <v>11</v>
      </c>
      <c r="R933" s="504" t="str">
        <f t="shared" si="55"/>
        <v>Gastos_Gerais</v>
      </c>
      <c r="S933" s="504" t="str">
        <f>IF(D933="","",IF(OR(D933=Plano!$A$1,D933=Plano!$B$1),"entrada","saída"))</f>
        <v>saída</v>
      </c>
      <c r="T933" s="511" t="s">
        <v>114</v>
      </c>
      <c r="U933" s="511" t="s">
        <v>114</v>
      </c>
      <c r="V933" s="541"/>
    </row>
    <row r="934" spans="1:22" s="550" customFormat="1" ht="63.75" customHeight="1" x14ac:dyDescent="0.2">
      <c r="A934" s="619">
        <f>IF(B934="","",COUNT('Diário 5º PA'!$A$5:$A$2634)+COUNT('Diário 6º PA'!$A$5:$A$2246)+COUNT('Diário 7º PA'!$A$5:$A$2271)+ROW()-4)</f>
        <v>4880</v>
      </c>
      <c r="B934" s="620">
        <v>44510</v>
      </c>
      <c r="C934" s="624">
        <v>44470</v>
      </c>
      <c r="D934" s="548" t="s">
        <v>104</v>
      </c>
      <c r="E934" s="548" t="s">
        <v>104</v>
      </c>
      <c r="F934" s="634">
        <v>3515</v>
      </c>
      <c r="G934" s="623" t="s">
        <v>7056</v>
      </c>
      <c r="H934" s="548" t="s">
        <v>104</v>
      </c>
      <c r="I934" s="583" t="s">
        <v>7057</v>
      </c>
      <c r="J934" s="548" t="s">
        <v>5534</v>
      </c>
      <c r="K934" s="583" t="s">
        <v>1015</v>
      </c>
      <c r="L934" s="583" t="s">
        <v>1029</v>
      </c>
      <c r="M934" s="625">
        <v>1429</v>
      </c>
      <c r="N934" s="620">
        <v>44510</v>
      </c>
      <c r="O934" s="684" t="s">
        <v>5377</v>
      </c>
      <c r="P934" s="503">
        <f t="shared" si="53"/>
        <v>11</v>
      </c>
      <c r="Q934" s="503">
        <f t="shared" si="54"/>
        <v>10</v>
      </c>
      <c r="R934" s="504" t="str">
        <f t="shared" si="55"/>
        <v>Gastos_custeados_por_captação</v>
      </c>
      <c r="S934" s="504" t="str">
        <f>IF(D934="","",IF(OR(D934=Plano!$A$1,D934=Plano!$B$1),"entrada","saída"))</f>
        <v>saída</v>
      </c>
      <c r="T934" s="511" t="s">
        <v>994</v>
      </c>
      <c r="U934" s="511">
        <v>1637</v>
      </c>
      <c r="V934" s="541"/>
    </row>
    <row r="935" spans="1:22" s="550" customFormat="1" ht="63.75" customHeight="1" x14ac:dyDescent="0.2">
      <c r="A935" s="619">
        <f>IF(B935="","",COUNT('Diário 5º PA'!$A$5:$A$2634)+COUNT('Diário 6º PA'!$A$5:$A$2246)+COUNT('Diário 7º PA'!$A$5:$A$2271)+ROW()-4)</f>
        <v>4881</v>
      </c>
      <c r="B935" s="620">
        <v>44510</v>
      </c>
      <c r="C935" s="624">
        <v>44501</v>
      </c>
      <c r="D935" s="548" t="s">
        <v>104</v>
      </c>
      <c r="E935" s="548" t="s">
        <v>104</v>
      </c>
      <c r="F935" s="634">
        <v>153</v>
      </c>
      <c r="G935" s="623" t="s">
        <v>948</v>
      </c>
      <c r="H935" s="548" t="s">
        <v>104</v>
      </c>
      <c r="I935" s="583" t="s">
        <v>949</v>
      </c>
      <c r="J935" s="548" t="s">
        <v>950</v>
      </c>
      <c r="K935" s="583" t="s">
        <v>951</v>
      </c>
      <c r="L935" s="583" t="s">
        <v>947</v>
      </c>
      <c r="M935" s="625" t="s">
        <v>114</v>
      </c>
      <c r="N935" s="620">
        <v>44510</v>
      </c>
      <c r="O935" s="684" t="s">
        <v>5377</v>
      </c>
      <c r="P935" s="503">
        <f t="shared" si="53"/>
        <v>11</v>
      </c>
      <c r="Q935" s="503">
        <f t="shared" si="54"/>
        <v>11</v>
      </c>
      <c r="R935" s="504" t="str">
        <f t="shared" si="55"/>
        <v>Gastos_custeados_por_captação</v>
      </c>
      <c r="S935" s="504" t="str">
        <f>IF(D935="","",IF(OR(D935=Plano!$A$1,D935=Plano!$B$1),"entrada","saída"))</f>
        <v>saída</v>
      </c>
      <c r="T935" s="511" t="s">
        <v>114</v>
      </c>
      <c r="U935" s="511" t="s">
        <v>114</v>
      </c>
      <c r="V935" s="541"/>
    </row>
    <row r="936" spans="1:22" s="572" customFormat="1" ht="154.5" customHeight="1" x14ac:dyDescent="0.2">
      <c r="A936" s="619">
        <f>IF(B936="","",COUNT('Diário 5º PA'!$A$5:$A$2634)+COUNT('Diário 6º PA'!$A$5:$A$2246)+COUNT('Diário 7º PA'!$A$5:$A$2271)+ROW()-4)</f>
        <v>4882</v>
      </c>
      <c r="B936" s="620">
        <v>44510</v>
      </c>
      <c r="C936" s="645">
        <v>44470</v>
      </c>
      <c r="D936" s="646" t="s">
        <v>104</v>
      </c>
      <c r="E936" s="646" t="s">
        <v>104</v>
      </c>
      <c r="F936" s="647">
        <v>2694.72</v>
      </c>
      <c r="G936" s="648" t="s">
        <v>579</v>
      </c>
      <c r="H936" s="646" t="s">
        <v>104</v>
      </c>
      <c r="I936" s="627" t="s">
        <v>1328</v>
      </c>
      <c r="J936" s="646" t="s">
        <v>581</v>
      </c>
      <c r="K936" s="583" t="s">
        <v>991</v>
      </c>
      <c r="L936" s="583" t="s">
        <v>992</v>
      </c>
      <c r="M936" s="619" t="s">
        <v>4507</v>
      </c>
      <c r="N936" s="620">
        <v>44509</v>
      </c>
      <c r="O936" s="684" t="s">
        <v>5370</v>
      </c>
      <c r="P936" s="503">
        <f t="shared" si="53"/>
        <v>11</v>
      </c>
      <c r="Q936" s="503">
        <f t="shared" si="54"/>
        <v>10</v>
      </c>
      <c r="R936" s="504" t="str">
        <f t="shared" si="55"/>
        <v>Gastos_custeados_por_captação</v>
      </c>
      <c r="S936" s="504" t="str">
        <f>IF(D936="","",IF(OR(D936=Plano!$A$1,D936=Plano!$B$1),"entrada","saída"))</f>
        <v>saída</v>
      </c>
      <c r="T936" s="511" t="s">
        <v>1059</v>
      </c>
      <c r="U936" s="511">
        <v>1338</v>
      </c>
      <c r="V936" s="541"/>
    </row>
    <row r="937" spans="1:22" s="572" customFormat="1" ht="63.75" customHeight="1" x14ac:dyDescent="0.2">
      <c r="A937" s="619">
        <f>IF(B937="","",COUNT('Diário 5º PA'!$A$5:$A$2634)+COUNT('Diário 6º PA'!$A$5:$A$2246)+COUNT('Diário 7º PA'!$A$5:$A$2271)+ROW()-4)</f>
        <v>4883</v>
      </c>
      <c r="B937" s="620">
        <v>44510</v>
      </c>
      <c r="C937" s="624">
        <v>44501</v>
      </c>
      <c r="D937" s="548" t="s">
        <v>104</v>
      </c>
      <c r="E937" s="548" t="s">
        <v>104</v>
      </c>
      <c r="F937" s="622">
        <v>153</v>
      </c>
      <c r="G937" s="623" t="s">
        <v>948</v>
      </c>
      <c r="H937" s="548" t="s">
        <v>104</v>
      </c>
      <c r="I937" s="583" t="s">
        <v>949</v>
      </c>
      <c r="J937" s="548" t="s">
        <v>950</v>
      </c>
      <c r="K937" s="583" t="s">
        <v>951</v>
      </c>
      <c r="L937" s="583" t="s">
        <v>947</v>
      </c>
      <c r="M937" s="625" t="s">
        <v>114</v>
      </c>
      <c r="N937" s="620">
        <v>44510</v>
      </c>
      <c r="O937" s="684" t="s">
        <v>5370</v>
      </c>
      <c r="P937" s="503">
        <f t="shared" si="53"/>
        <v>11</v>
      </c>
      <c r="Q937" s="503">
        <f t="shared" si="54"/>
        <v>11</v>
      </c>
      <c r="R937" s="504" t="str">
        <f t="shared" si="55"/>
        <v>Gastos_custeados_por_captação</v>
      </c>
      <c r="S937" s="504" t="str">
        <f>IF(D937="","",IF(OR(D937=Plano!$A$1,D937=Plano!$B$1),"entrada","saída"))</f>
        <v>saída</v>
      </c>
      <c r="T937" s="511" t="s">
        <v>114</v>
      </c>
      <c r="U937" s="511" t="s">
        <v>114</v>
      </c>
      <c r="V937" s="541"/>
    </row>
    <row r="938" spans="1:22" ht="56.25" customHeight="1" x14ac:dyDescent="0.2">
      <c r="A938" s="619">
        <f>IF(B938="","",COUNT('Diário 5º PA'!$A$5:$A$2634)+COUNT('Diário 6º PA'!$A$5:$A$2246)+COUNT('Diário 7º PA'!$A$5:$A$2271)+ROW()-4)</f>
        <v>4884</v>
      </c>
      <c r="B938" s="620">
        <v>44511</v>
      </c>
      <c r="C938" s="624">
        <v>44440</v>
      </c>
      <c r="D938" s="548" t="s">
        <v>99</v>
      </c>
      <c r="E938" s="548" t="s">
        <v>364</v>
      </c>
      <c r="F938" s="622">
        <v>2075.92</v>
      </c>
      <c r="G938" s="623" t="s">
        <v>5354</v>
      </c>
      <c r="H938" s="548" t="s">
        <v>125</v>
      </c>
      <c r="I938" s="583" t="s">
        <v>6180</v>
      </c>
      <c r="J938" s="548" t="s">
        <v>5355</v>
      </c>
      <c r="K938" s="583" t="s">
        <v>1015</v>
      </c>
      <c r="L938" s="583" t="s">
        <v>1029</v>
      </c>
      <c r="M938" s="619">
        <v>1421</v>
      </c>
      <c r="N938" s="620">
        <v>44505</v>
      </c>
      <c r="O938" s="684" t="s">
        <v>67</v>
      </c>
      <c r="P938" s="503">
        <f t="shared" si="53"/>
        <v>11</v>
      </c>
      <c r="Q938" s="503">
        <f t="shared" si="54"/>
        <v>9</v>
      </c>
      <c r="R938" s="504" t="str">
        <f t="shared" si="55"/>
        <v>Gastos_Gerais</v>
      </c>
      <c r="S938" s="504" t="str">
        <f>IF(D938="","",IF(OR(D938=Plano!$A$1,D938=Plano!$B$1),"entrada","saída"))</f>
        <v>saída</v>
      </c>
      <c r="T938" s="505" t="s">
        <v>994</v>
      </c>
      <c r="U938" s="505">
        <v>2092</v>
      </c>
      <c r="V938" s="541"/>
    </row>
    <row r="939" spans="1:22" ht="28.5" customHeight="1" x14ac:dyDescent="0.2">
      <c r="A939" s="619">
        <f>IF(B939="","",COUNT('Diário 5º PA'!$A$5:$A$2634)+COUNT('Diário 6º PA'!$A$5:$A$2246)+COUNT('Diário 7º PA'!$A$5:$A$2271)+ROW()-4)</f>
        <v>4885</v>
      </c>
      <c r="B939" s="620">
        <v>44511</v>
      </c>
      <c r="C939" s="624">
        <v>44470</v>
      </c>
      <c r="D939" s="548" t="s">
        <v>99</v>
      </c>
      <c r="E939" s="548" t="s">
        <v>216</v>
      </c>
      <c r="F939" s="622">
        <v>119.63</v>
      </c>
      <c r="G939" s="623" t="s">
        <v>5741</v>
      </c>
      <c r="H939" s="548" t="s">
        <v>129</v>
      </c>
      <c r="I939" s="583" t="s">
        <v>513</v>
      </c>
      <c r="J939" s="548" t="s">
        <v>514</v>
      </c>
      <c r="K939" s="583" t="s">
        <v>696</v>
      </c>
      <c r="L939" s="583" t="s">
        <v>697</v>
      </c>
      <c r="M939" s="619">
        <v>66605725</v>
      </c>
      <c r="N939" s="620">
        <v>44488</v>
      </c>
      <c r="O939" s="684" t="s">
        <v>67</v>
      </c>
      <c r="P939" s="503">
        <f t="shared" si="53"/>
        <v>11</v>
      </c>
      <c r="Q939" s="503">
        <f t="shared" si="54"/>
        <v>10</v>
      </c>
      <c r="R939" s="504" t="str">
        <f t="shared" si="55"/>
        <v>Gastos_Gerais</v>
      </c>
      <c r="S939" s="504" t="str">
        <f>IF(D939="","",IF(OR(D939=Plano!$A$1,D939=Plano!$B$1),"entrada","saída"))</f>
        <v>saída</v>
      </c>
      <c r="T939" s="505" t="s">
        <v>114</v>
      </c>
      <c r="U939" s="505" t="s">
        <v>114</v>
      </c>
      <c r="V939" s="541"/>
    </row>
    <row r="940" spans="1:22" ht="59.25" customHeight="1" x14ac:dyDescent="0.2">
      <c r="A940" s="619">
        <f>IF(B940="","",COUNT('Diário 5º PA'!$A$5:$A$2634)+COUNT('Diário 6º PA'!$A$5:$A$2246)+COUNT('Diário 7º PA'!$A$5:$A$2271)+ROW()-4)</f>
        <v>4886</v>
      </c>
      <c r="B940" s="620">
        <v>44511</v>
      </c>
      <c r="C940" s="624">
        <v>44470</v>
      </c>
      <c r="D940" s="548" t="s">
        <v>99</v>
      </c>
      <c r="E940" s="548" t="s">
        <v>226</v>
      </c>
      <c r="F940" s="622">
        <v>40</v>
      </c>
      <c r="G940" s="623" t="s">
        <v>6116</v>
      </c>
      <c r="H940" s="548" t="s">
        <v>130</v>
      </c>
      <c r="I940" s="583" t="s">
        <v>6117</v>
      </c>
      <c r="J940" s="548" t="s">
        <v>6118</v>
      </c>
      <c r="K940" s="583" t="s">
        <v>560</v>
      </c>
      <c r="L940" s="583" t="s">
        <v>114</v>
      </c>
      <c r="M940" s="619" t="s">
        <v>114</v>
      </c>
      <c r="N940" s="620">
        <v>44511</v>
      </c>
      <c r="O940" s="684" t="s">
        <v>67</v>
      </c>
      <c r="P940" s="503">
        <f t="shared" si="53"/>
        <v>11</v>
      </c>
      <c r="Q940" s="503">
        <f t="shared" si="54"/>
        <v>10</v>
      </c>
      <c r="R940" s="504" t="str">
        <f t="shared" si="55"/>
        <v>Gastos_Gerais</v>
      </c>
      <c r="S940" s="504" t="str">
        <f>IF(D940="","",IF(OR(D940=Plano!$A$1,D940=Plano!$B$1),"entrada","saída"))</f>
        <v>saída</v>
      </c>
      <c r="T940" s="505" t="s">
        <v>994</v>
      </c>
      <c r="U940" s="505">
        <v>2374</v>
      </c>
      <c r="V940" s="541"/>
    </row>
    <row r="941" spans="1:22" ht="104.25" customHeight="1" x14ac:dyDescent="0.2">
      <c r="A941" s="619">
        <f>IF(B941="","",COUNT('Diário 5º PA'!$A$5:$A$2634)+COUNT('Diário 6º PA'!$A$5:$A$2246)+COUNT('Diário 7º PA'!$A$5:$A$2271)+ROW()-4)</f>
        <v>4887</v>
      </c>
      <c r="B941" s="620">
        <v>44511</v>
      </c>
      <c r="C941" s="624">
        <v>44470</v>
      </c>
      <c r="D941" s="548" t="s">
        <v>99</v>
      </c>
      <c r="E941" s="548" t="s">
        <v>254</v>
      </c>
      <c r="F941" s="622">
        <v>500</v>
      </c>
      <c r="G941" s="623" t="s">
        <v>651</v>
      </c>
      <c r="H941" s="548" t="s">
        <v>115</v>
      </c>
      <c r="I941" s="583" t="s">
        <v>1135</v>
      </c>
      <c r="J941" s="548" t="s">
        <v>652</v>
      </c>
      <c r="K941" s="583" t="s">
        <v>991</v>
      </c>
      <c r="L941" s="583" t="s">
        <v>1136</v>
      </c>
      <c r="M941" s="619" t="s">
        <v>114</v>
      </c>
      <c r="N941" s="620">
        <v>44502</v>
      </c>
      <c r="O941" s="684" t="s">
        <v>67</v>
      </c>
      <c r="P941" s="503">
        <f t="shared" si="53"/>
        <v>11</v>
      </c>
      <c r="Q941" s="503">
        <f t="shared" si="54"/>
        <v>10</v>
      </c>
      <c r="R941" s="504" t="str">
        <f t="shared" si="55"/>
        <v>Gastos_Gerais</v>
      </c>
      <c r="S941" s="504" t="str">
        <f>IF(D941="","",IF(OR(D941=Plano!$A$1,D941=Plano!$B$1),"entrada","saída"))</f>
        <v>saída</v>
      </c>
      <c r="T941" s="505" t="s">
        <v>1059</v>
      </c>
      <c r="U941" s="505">
        <v>1139</v>
      </c>
      <c r="V941" s="541"/>
    </row>
    <row r="942" spans="1:22" ht="45.75" customHeight="1" x14ac:dyDescent="0.2">
      <c r="A942" s="619">
        <f>IF(B942="","",COUNT('Diário 5º PA'!$A$5:$A$2634)+COUNT('Diário 6º PA'!$A$5:$A$2246)+COUNT('Diário 7º PA'!$A$5:$A$2271)+ROW()-4)</f>
        <v>4888</v>
      </c>
      <c r="B942" s="620">
        <v>44511</v>
      </c>
      <c r="C942" s="624">
        <v>44501</v>
      </c>
      <c r="D942" s="548" t="s">
        <v>99</v>
      </c>
      <c r="E942" s="548" t="s">
        <v>272</v>
      </c>
      <c r="F942" s="622">
        <v>10.45</v>
      </c>
      <c r="G942" s="623" t="s">
        <v>6184</v>
      </c>
      <c r="H942" s="548" t="s">
        <v>115</v>
      </c>
      <c r="I942" s="583" t="s">
        <v>949</v>
      </c>
      <c r="J942" s="548" t="s">
        <v>950</v>
      </c>
      <c r="K942" s="583" t="s">
        <v>951</v>
      </c>
      <c r="L942" s="583" t="s">
        <v>947</v>
      </c>
      <c r="M942" s="625" t="s">
        <v>114</v>
      </c>
      <c r="N942" s="620">
        <v>44511</v>
      </c>
      <c r="O942" s="684" t="s">
        <v>67</v>
      </c>
      <c r="P942" s="503">
        <f t="shared" si="53"/>
        <v>11</v>
      </c>
      <c r="Q942" s="503">
        <f t="shared" si="54"/>
        <v>11</v>
      </c>
      <c r="R942" s="504" t="str">
        <f t="shared" si="55"/>
        <v>Gastos_Gerais</v>
      </c>
      <c r="S942" s="504" t="str">
        <f>IF(D942="","",IF(OR(D942=Plano!$A$1,D942=Plano!$B$1),"entrada","saída"))</f>
        <v>saída</v>
      </c>
      <c r="T942" s="511" t="s">
        <v>114</v>
      </c>
      <c r="U942" s="511" t="s">
        <v>114</v>
      </c>
      <c r="V942" s="541"/>
    </row>
    <row r="943" spans="1:22" s="550" customFormat="1" ht="45.75" customHeight="1" x14ac:dyDescent="0.2">
      <c r="A943" s="619">
        <f>IF(B943="","",COUNT('Diário 5º PA'!$A$5:$A$2634)+COUNT('Diário 6º PA'!$A$5:$A$2246)+COUNT('Diário 7º PA'!$A$5:$A$2271)+ROW()-4)</f>
        <v>4889</v>
      </c>
      <c r="B943" s="620">
        <v>44511</v>
      </c>
      <c r="C943" s="628">
        <v>44440</v>
      </c>
      <c r="D943" s="548" t="s">
        <v>104</v>
      </c>
      <c r="E943" s="548" t="s">
        <v>104</v>
      </c>
      <c r="F943" s="622">
        <v>1364.58</v>
      </c>
      <c r="G943" s="623" t="s">
        <v>5499</v>
      </c>
      <c r="H943" s="548" t="s">
        <v>104</v>
      </c>
      <c r="I943" s="583" t="s">
        <v>7058</v>
      </c>
      <c r="J943" s="548" t="s">
        <v>652</v>
      </c>
      <c r="K943" s="583" t="s">
        <v>991</v>
      </c>
      <c r="L943" s="583" t="s">
        <v>1177</v>
      </c>
      <c r="M943" s="625" t="s">
        <v>114</v>
      </c>
      <c r="N943" s="620">
        <v>44502</v>
      </c>
      <c r="O943" s="684" t="s">
        <v>5377</v>
      </c>
      <c r="P943" s="503">
        <f t="shared" si="53"/>
        <v>11</v>
      </c>
      <c r="Q943" s="503">
        <f t="shared" si="54"/>
        <v>9</v>
      </c>
      <c r="R943" s="504" t="str">
        <f t="shared" si="55"/>
        <v>Gastos_custeados_por_captação</v>
      </c>
      <c r="S943" s="504" t="str">
        <f>IF(D943="","",IF(OR(D943=Plano!$A$1,D943=Plano!$B$1),"entrada","saída"))</f>
        <v>saída</v>
      </c>
      <c r="T943" s="511" t="s">
        <v>1082</v>
      </c>
      <c r="U943" s="511">
        <v>1703</v>
      </c>
      <c r="V943" s="541"/>
    </row>
    <row r="944" spans="1:22" ht="66.75" customHeight="1" x14ac:dyDescent="0.2">
      <c r="A944" s="619">
        <f>IF(B944="","",COUNT('Diário 5º PA'!$A$5:$A$2634)+COUNT('Diário 6º PA'!$A$5:$A$2246)+COUNT('Diário 7º PA'!$A$5:$A$2271)+ROW()-4)</f>
        <v>4890</v>
      </c>
      <c r="B944" s="620">
        <v>44512</v>
      </c>
      <c r="C944" s="621">
        <v>44470</v>
      </c>
      <c r="D944" s="548" t="s">
        <v>99</v>
      </c>
      <c r="E944" s="548" t="s">
        <v>220</v>
      </c>
      <c r="F944" s="622">
        <v>-140.1</v>
      </c>
      <c r="G944" s="623" t="s">
        <v>6206</v>
      </c>
      <c r="H944" s="548" t="s">
        <v>115</v>
      </c>
      <c r="I944" s="583" t="s">
        <v>983</v>
      </c>
      <c r="J944" s="548" t="s">
        <v>850</v>
      </c>
      <c r="K944" s="583" t="s">
        <v>946</v>
      </c>
      <c r="L944" s="583" t="s">
        <v>947</v>
      </c>
      <c r="M944" s="619" t="s">
        <v>114</v>
      </c>
      <c r="N944" s="620">
        <v>44512</v>
      </c>
      <c r="O944" s="684" t="s">
        <v>67</v>
      </c>
      <c r="P944" s="503">
        <f t="shared" si="53"/>
        <v>11</v>
      </c>
      <c r="Q944" s="503">
        <f t="shared" si="54"/>
        <v>10</v>
      </c>
      <c r="R944" s="504" t="str">
        <f t="shared" si="55"/>
        <v>Gastos_Gerais</v>
      </c>
      <c r="S944" s="504" t="str">
        <f>IF(D944="","",IF(OR(D944=Plano!$A$1,D944=Plano!$B$1),"entrada","saída"))</f>
        <v>saída</v>
      </c>
      <c r="T944" s="511" t="s">
        <v>114</v>
      </c>
      <c r="U944" s="511" t="s">
        <v>114</v>
      </c>
      <c r="V944" s="541"/>
    </row>
    <row r="945" spans="1:22" ht="155.25" customHeight="1" x14ac:dyDescent="0.2">
      <c r="A945" s="619">
        <f>IF(B945="","",COUNT('Diário 5º PA'!$A$5:$A$2634)+COUNT('Diário 6º PA'!$A$5:$A$2246)+COUNT('Diário 7º PA'!$A$5:$A$2271)+ROW()-4)</f>
        <v>4891</v>
      </c>
      <c r="B945" s="620">
        <v>44512</v>
      </c>
      <c r="C945" s="624">
        <v>44136</v>
      </c>
      <c r="D945" s="548" t="s">
        <v>99</v>
      </c>
      <c r="E945" s="548" t="s">
        <v>224</v>
      </c>
      <c r="F945" s="622">
        <v>1175.27</v>
      </c>
      <c r="G945" s="623" t="s">
        <v>434</v>
      </c>
      <c r="H945" s="548" t="s">
        <v>123</v>
      </c>
      <c r="I945" s="583" t="s">
        <v>532</v>
      </c>
      <c r="J945" s="548" t="s">
        <v>1261</v>
      </c>
      <c r="K945" s="583" t="s">
        <v>560</v>
      </c>
      <c r="L945" s="583" t="s">
        <v>992</v>
      </c>
      <c r="M945" s="619">
        <v>87920</v>
      </c>
      <c r="N945" s="620">
        <v>44515</v>
      </c>
      <c r="O945" s="684" t="s">
        <v>67</v>
      </c>
      <c r="P945" s="503">
        <f t="shared" si="53"/>
        <v>11</v>
      </c>
      <c r="Q945" s="503">
        <f t="shared" si="54"/>
        <v>-1</v>
      </c>
      <c r="R945" s="504" t="str">
        <f t="shared" si="55"/>
        <v>Gastos_Gerais</v>
      </c>
      <c r="S945" s="504" t="str">
        <f>IF(D945="","",IF(OR(D945=Plano!$A$1,D945=Plano!$B$1),"entrada","saída"))</f>
        <v>saída</v>
      </c>
      <c r="T945" s="505" t="s">
        <v>1059</v>
      </c>
      <c r="U945" s="505">
        <v>528</v>
      </c>
      <c r="V945" s="541"/>
    </row>
    <row r="946" spans="1:22" ht="129.75" customHeight="1" x14ac:dyDescent="0.2">
      <c r="A946" s="619">
        <f>IF(B946="","",COUNT('Diário 5º PA'!$A$5:$A$2634)+COUNT('Diário 6º PA'!$A$5:$A$2246)+COUNT('Diário 7º PA'!$A$5:$A$2271)+ROW()-4)</f>
        <v>4892</v>
      </c>
      <c r="B946" s="620">
        <v>44512</v>
      </c>
      <c r="C946" s="624">
        <v>44409</v>
      </c>
      <c r="D946" s="548" t="s">
        <v>99</v>
      </c>
      <c r="E946" s="548" t="s">
        <v>364</v>
      </c>
      <c r="F946" s="622">
        <v>11760</v>
      </c>
      <c r="G946" s="623" t="s">
        <v>6207</v>
      </c>
      <c r="H946" s="548" t="s">
        <v>116</v>
      </c>
      <c r="I946" s="583" t="s">
        <v>6208</v>
      </c>
      <c r="J946" s="548" t="s">
        <v>5308</v>
      </c>
      <c r="K946" s="583" t="s">
        <v>991</v>
      </c>
      <c r="L946" s="583" t="s">
        <v>992</v>
      </c>
      <c r="M946" s="619">
        <v>30</v>
      </c>
      <c r="N946" s="620">
        <v>44505</v>
      </c>
      <c r="O946" s="684" t="s">
        <v>67</v>
      </c>
      <c r="P946" s="503">
        <f t="shared" si="53"/>
        <v>11</v>
      </c>
      <c r="Q946" s="503">
        <f t="shared" si="54"/>
        <v>8</v>
      </c>
      <c r="R946" s="504" t="str">
        <f t="shared" si="55"/>
        <v>Gastos_Gerais</v>
      </c>
      <c r="S946" s="504" t="str">
        <f>IF(D946="","",IF(OR(D946=Plano!$A$1,D946=Plano!$B$1),"entrada","saída"))</f>
        <v>saída</v>
      </c>
      <c r="T946" s="505" t="s">
        <v>1059</v>
      </c>
      <c r="U946" s="505">
        <v>1955</v>
      </c>
      <c r="V946" s="541"/>
    </row>
    <row r="947" spans="1:22" ht="93" customHeight="1" x14ac:dyDescent="0.2">
      <c r="A947" s="619">
        <f>IF(B947="","",COUNT('Diário 5º PA'!$A$5:$A$2634)+COUNT('Diário 6º PA'!$A$5:$A$2246)+COUNT('Diário 7º PA'!$A$5:$A$2271)+ROW()-4)</f>
        <v>4893</v>
      </c>
      <c r="B947" s="620">
        <v>44512</v>
      </c>
      <c r="C947" s="624">
        <v>44501</v>
      </c>
      <c r="D947" s="548" t="s">
        <v>99</v>
      </c>
      <c r="E947" s="548" t="s">
        <v>364</v>
      </c>
      <c r="F947" s="622">
        <v>82.36</v>
      </c>
      <c r="G947" s="623" t="s">
        <v>6177</v>
      </c>
      <c r="H947" s="548" t="s">
        <v>118</v>
      </c>
      <c r="I947" s="583" t="s">
        <v>6210</v>
      </c>
      <c r="J947" s="548" t="s">
        <v>6178</v>
      </c>
      <c r="K947" s="583" t="s">
        <v>560</v>
      </c>
      <c r="L947" s="583" t="s">
        <v>992</v>
      </c>
      <c r="M947" s="619" t="s">
        <v>6211</v>
      </c>
      <c r="N947" s="620">
        <v>44513</v>
      </c>
      <c r="O947" s="684" t="s">
        <v>67</v>
      </c>
      <c r="P947" s="503">
        <f t="shared" si="53"/>
        <v>11</v>
      </c>
      <c r="Q947" s="503">
        <f t="shared" si="54"/>
        <v>11</v>
      </c>
      <c r="R947" s="504" t="str">
        <f t="shared" si="55"/>
        <v>Gastos_Gerais</v>
      </c>
      <c r="S947" s="504" t="str">
        <f>IF(D947="","",IF(OR(D947=Plano!$A$1,D947=Plano!$B$1),"entrada","saída"))</f>
        <v>saída</v>
      </c>
      <c r="T947" s="505" t="s">
        <v>1011</v>
      </c>
      <c r="U947" s="505">
        <v>2379</v>
      </c>
      <c r="V947" s="541"/>
    </row>
    <row r="948" spans="1:22" ht="45" customHeight="1" x14ac:dyDescent="0.2">
      <c r="A948" s="619">
        <f>IF(B948="","",COUNT('Diário 5º PA'!$A$5:$A$2634)+COUNT('Diário 6º PA'!$A$5:$A$2246)+COUNT('Diário 7º PA'!$A$5:$A$2271)+ROW()-4)</f>
        <v>4894</v>
      </c>
      <c r="B948" s="620">
        <v>44512</v>
      </c>
      <c r="C948" s="621">
        <v>44470</v>
      </c>
      <c r="D948" s="548" t="s">
        <v>99</v>
      </c>
      <c r="E948" s="548" t="s">
        <v>220</v>
      </c>
      <c r="F948" s="622">
        <v>530.47</v>
      </c>
      <c r="G948" s="623" t="s">
        <v>5733</v>
      </c>
      <c r="H948" s="548" t="s">
        <v>115</v>
      </c>
      <c r="I948" s="583" t="s">
        <v>522</v>
      </c>
      <c r="J948" s="548" t="s">
        <v>523</v>
      </c>
      <c r="K948" s="583" t="s">
        <v>1375</v>
      </c>
      <c r="L948" s="583" t="s">
        <v>992</v>
      </c>
      <c r="M948" s="619" t="s">
        <v>6212</v>
      </c>
      <c r="N948" s="620">
        <v>44488</v>
      </c>
      <c r="O948" s="684" t="s">
        <v>67</v>
      </c>
      <c r="P948" s="503">
        <f t="shared" si="53"/>
        <v>11</v>
      </c>
      <c r="Q948" s="503">
        <f t="shared" si="54"/>
        <v>10</v>
      </c>
      <c r="R948" s="504" t="str">
        <f t="shared" si="55"/>
        <v>Gastos_Gerais</v>
      </c>
      <c r="S948" s="504" t="str">
        <f>IF(D948="","",IF(OR(D948=Plano!$A$1,D948=Plano!$B$1),"entrada","saída"))</f>
        <v>saída</v>
      </c>
      <c r="T948" s="505" t="s">
        <v>114</v>
      </c>
      <c r="U948" s="505" t="s">
        <v>114</v>
      </c>
      <c r="V948" s="541"/>
    </row>
    <row r="949" spans="1:22" ht="54" customHeight="1" x14ac:dyDescent="0.2">
      <c r="A949" s="619">
        <f>IF(B949="","",COUNT('Diário 5º PA'!$A$5:$A$2634)+COUNT('Diário 6º PA'!$A$5:$A$2246)+COUNT('Diário 7º PA'!$A$5:$A$2271)+ROW()-4)</f>
        <v>4895</v>
      </c>
      <c r="B949" s="620">
        <v>44512</v>
      </c>
      <c r="C949" s="624">
        <v>44501</v>
      </c>
      <c r="D949" s="548" t="s">
        <v>99</v>
      </c>
      <c r="E949" s="548" t="s">
        <v>272</v>
      </c>
      <c r="F949" s="622">
        <v>10.45</v>
      </c>
      <c r="G949" s="623" t="s">
        <v>6162</v>
      </c>
      <c r="H949" s="548" t="s">
        <v>116</v>
      </c>
      <c r="I949" s="583" t="s">
        <v>949</v>
      </c>
      <c r="J949" s="548" t="s">
        <v>950</v>
      </c>
      <c r="K949" s="583" t="s">
        <v>951</v>
      </c>
      <c r="L949" s="583" t="s">
        <v>947</v>
      </c>
      <c r="M949" s="625" t="s">
        <v>114</v>
      </c>
      <c r="N949" s="620">
        <v>44512</v>
      </c>
      <c r="O949" s="684" t="s">
        <v>67</v>
      </c>
      <c r="P949" s="503">
        <f t="shared" si="53"/>
        <v>11</v>
      </c>
      <c r="Q949" s="503">
        <f t="shared" si="54"/>
        <v>11</v>
      </c>
      <c r="R949" s="504" t="str">
        <f t="shared" si="55"/>
        <v>Gastos_Gerais</v>
      </c>
      <c r="S949" s="504" t="str">
        <f>IF(D949="","",IF(OR(D949=Plano!$A$1,D949=Plano!$B$1),"entrada","saída"))</f>
        <v>saída</v>
      </c>
      <c r="T949" s="511" t="s">
        <v>114</v>
      </c>
      <c r="U949" s="511" t="s">
        <v>114</v>
      </c>
      <c r="V949" s="541"/>
    </row>
    <row r="950" spans="1:22" s="550" customFormat="1" ht="117.75" customHeight="1" x14ac:dyDescent="0.2">
      <c r="A950" s="619">
        <f>IF(B950="","",COUNT('Diário 5º PA'!$A$5:$A$2634)+COUNT('Diário 6º PA'!$A$5:$A$2246)+COUNT('Diário 7º PA'!$A$5:$A$2271)+ROW()-4)</f>
        <v>4896</v>
      </c>
      <c r="B950" s="620">
        <v>44512</v>
      </c>
      <c r="C950" s="628">
        <v>44440</v>
      </c>
      <c r="D950" s="548" t="s">
        <v>104</v>
      </c>
      <c r="E950" s="548" t="s">
        <v>104</v>
      </c>
      <c r="F950" s="622">
        <v>5405.58</v>
      </c>
      <c r="G950" s="623" t="s">
        <v>5533</v>
      </c>
      <c r="H950" s="548" t="s">
        <v>104</v>
      </c>
      <c r="I950" s="583" t="s">
        <v>7059</v>
      </c>
      <c r="J950" s="548" t="s">
        <v>5520</v>
      </c>
      <c r="K950" s="583" t="s">
        <v>991</v>
      </c>
      <c r="L950" s="583" t="s">
        <v>992</v>
      </c>
      <c r="M950" s="619" t="s">
        <v>1284</v>
      </c>
      <c r="N950" s="620">
        <v>44508</v>
      </c>
      <c r="O950" s="684" t="s">
        <v>5377</v>
      </c>
      <c r="P950" s="503">
        <f t="shared" si="53"/>
        <v>11</v>
      </c>
      <c r="Q950" s="503">
        <f t="shared" si="54"/>
        <v>9</v>
      </c>
      <c r="R950" s="504" t="str">
        <f t="shared" si="55"/>
        <v>Gastos_custeados_por_captação</v>
      </c>
      <c r="S950" s="504" t="str">
        <f>IF(D950="","",IF(OR(D950=Plano!$A$1,D950=Plano!$B$1),"entrada","saída"))</f>
        <v>saída</v>
      </c>
      <c r="T950" s="511" t="s">
        <v>1082</v>
      </c>
      <c r="U950" s="511">
        <v>2063</v>
      </c>
      <c r="V950" s="541"/>
    </row>
    <row r="951" spans="1:22" s="562" customFormat="1" ht="64.5" customHeight="1" x14ac:dyDescent="0.2">
      <c r="A951" s="619">
        <f>IF(B951="","",COUNT('Diário 5º PA'!$A$5:$A$2634)+COUNT('Diário 6º PA'!$A$5:$A$2246)+COUNT('Diário 7º PA'!$A$5:$A$2271)+ROW()-4)</f>
        <v>4897</v>
      </c>
      <c r="B951" s="620">
        <v>44512</v>
      </c>
      <c r="C951" s="628">
        <v>44470</v>
      </c>
      <c r="D951" s="548" t="s">
        <v>104</v>
      </c>
      <c r="E951" s="548" t="s">
        <v>104</v>
      </c>
      <c r="F951" s="622">
        <v>7349.25</v>
      </c>
      <c r="G951" s="623" t="s">
        <v>7144</v>
      </c>
      <c r="H951" s="548" t="s">
        <v>104</v>
      </c>
      <c r="I951" s="583" t="s">
        <v>7145</v>
      </c>
      <c r="J951" s="548" t="s">
        <v>7146</v>
      </c>
      <c r="K951" s="583" t="s">
        <v>991</v>
      </c>
      <c r="L951" s="583" t="s">
        <v>992</v>
      </c>
      <c r="M951" s="619" t="s">
        <v>1394</v>
      </c>
      <c r="N951" s="620">
        <v>44511</v>
      </c>
      <c r="O951" s="684" t="s">
        <v>71</v>
      </c>
      <c r="P951" s="503">
        <f t="shared" si="53"/>
        <v>11</v>
      </c>
      <c r="Q951" s="503">
        <f t="shared" si="54"/>
        <v>10</v>
      </c>
      <c r="R951" s="504" t="str">
        <f t="shared" si="55"/>
        <v>Gastos_custeados_por_captação</v>
      </c>
      <c r="S951" s="504" t="str">
        <f>IF(D951="","",IF(OR(D951=Plano!$A$1,D951=Plano!$B$1),"entrada","saída"))</f>
        <v>saída</v>
      </c>
      <c r="T951" s="511" t="s">
        <v>1059</v>
      </c>
      <c r="U951" s="511">
        <v>2158</v>
      </c>
      <c r="V951" s="541"/>
    </row>
    <row r="952" spans="1:22" s="562" customFormat="1" ht="64.5" customHeight="1" x14ac:dyDescent="0.2">
      <c r="A952" s="619">
        <f>IF(B952="","",COUNT('Diário 5º PA'!$A$5:$A$2634)+COUNT('Diário 6º PA'!$A$5:$A$2246)+COUNT('Diário 7º PA'!$A$5:$A$2271)+ROW()-4)</f>
        <v>4898</v>
      </c>
      <c r="B952" s="620">
        <v>44512</v>
      </c>
      <c r="C952" s="624">
        <v>44501</v>
      </c>
      <c r="D952" s="548" t="s">
        <v>104</v>
      </c>
      <c r="E952" s="548" t="s">
        <v>104</v>
      </c>
      <c r="F952" s="622">
        <v>10.45</v>
      </c>
      <c r="G952" s="623" t="s">
        <v>5451</v>
      </c>
      <c r="H952" s="548" t="s">
        <v>104</v>
      </c>
      <c r="I952" s="583" t="s">
        <v>949</v>
      </c>
      <c r="J952" s="548" t="s">
        <v>950</v>
      </c>
      <c r="K952" s="583" t="s">
        <v>951</v>
      </c>
      <c r="L952" s="583" t="s">
        <v>947</v>
      </c>
      <c r="M952" s="625" t="s">
        <v>114</v>
      </c>
      <c r="N952" s="620">
        <v>44512</v>
      </c>
      <c r="O952" s="684" t="s">
        <v>71</v>
      </c>
      <c r="P952" s="503">
        <f t="shared" si="53"/>
        <v>11</v>
      </c>
      <c r="Q952" s="503">
        <f t="shared" si="54"/>
        <v>11</v>
      </c>
      <c r="R952" s="504" t="str">
        <f t="shared" si="55"/>
        <v>Gastos_custeados_por_captação</v>
      </c>
      <c r="S952" s="504" t="str">
        <f>IF(D952="","",IF(OR(D952=Plano!$A$1,D952=Plano!$B$1),"entrada","saída"))</f>
        <v>saída</v>
      </c>
      <c r="T952" s="511" t="s">
        <v>114</v>
      </c>
      <c r="U952" s="511" t="s">
        <v>114</v>
      </c>
      <c r="V952" s="541"/>
    </row>
    <row r="953" spans="1:22" ht="56.25" customHeight="1" x14ac:dyDescent="0.2">
      <c r="A953" s="619">
        <f>IF(B953="","",COUNT('Diário 5º PA'!$A$5:$A$2634)+COUNT('Diário 6º PA'!$A$5:$A$2246)+COUNT('Diário 7º PA'!$A$5:$A$2271)+ROW()-4)</f>
        <v>4899</v>
      </c>
      <c r="B953" s="620">
        <v>44516</v>
      </c>
      <c r="C953" s="621">
        <v>44470</v>
      </c>
      <c r="D953" s="548" t="s">
        <v>99</v>
      </c>
      <c r="E953" s="548" t="s">
        <v>218</v>
      </c>
      <c r="F953" s="622">
        <v>-43.19</v>
      </c>
      <c r="G953" s="623" t="s">
        <v>6213</v>
      </c>
      <c r="H953" s="548" t="s">
        <v>115</v>
      </c>
      <c r="I953" s="583" t="s">
        <v>983</v>
      </c>
      <c r="J953" s="548" t="s">
        <v>850</v>
      </c>
      <c r="K953" s="583" t="s">
        <v>946</v>
      </c>
      <c r="L953" s="583" t="s">
        <v>947</v>
      </c>
      <c r="M953" s="632" t="s">
        <v>114</v>
      </c>
      <c r="N953" s="620">
        <v>44516</v>
      </c>
      <c r="O953" s="684" t="s">
        <v>67</v>
      </c>
      <c r="P953" s="503">
        <f t="shared" si="53"/>
        <v>11</v>
      </c>
      <c r="Q953" s="503">
        <f t="shared" si="54"/>
        <v>10</v>
      </c>
      <c r="R953" s="504" t="str">
        <f t="shared" si="55"/>
        <v>Gastos_Gerais</v>
      </c>
      <c r="S953" s="504" t="str">
        <f>IF(D953="","",IF(OR(D953=Plano!$A$1,D953=Plano!$B$1),"entrada","saída"))</f>
        <v>saída</v>
      </c>
      <c r="T953" s="511" t="s">
        <v>114</v>
      </c>
      <c r="U953" s="511" t="s">
        <v>114</v>
      </c>
      <c r="V953" s="541"/>
    </row>
    <row r="954" spans="1:22" ht="63" customHeight="1" x14ac:dyDescent="0.2">
      <c r="A954" s="619">
        <f>IF(B954="","",COUNT('Diário 5º PA'!$A$5:$A$2634)+COUNT('Diário 6º PA'!$A$5:$A$2246)+COUNT('Diário 7º PA'!$A$5:$A$2271)+ROW()-4)</f>
        <v>4900</v>
      </c>
      <c r="B954" s="620">
        <v>44516</v>
      </c>
      <c r="C954" s="621">
        <v>44470</v>
      </c>
      <c r="D954" s="548" t="s">
        <v>99</v>
      </c>
      <c r="E954" s="548" t="s">
        <v>254</v>
      </c>
      <c r="F954" s="622">
        <v>-132.05000000000001</v>
      </c>
      <c r="G954" s="623" t="s">
        <v>6214</v>
      </c>
      <c r="H954" s="548" t="s">
        <v>115</v>
      </c>
      <c r="I954" s="583" t="s">
        <v>983</v>
      </c>
      <c r="J954" s="548" t="s">
        <v>850</v>
      </c>
      <c r="K954" s="583" t="s">
        <v>946</v>
      </c>
      <c r="L954" s="583" t="s">
        <v>947</v>
      </c>
      <c r="M954" s="632" t="s">
        <v>114</v>
      </c>
      <c r="N954" s="620">
        <v>44516</v>
      </c>
      <c r="O954" s="684" t="s">
        <v>67</v>
      </c>
      <c r="P954" s="503">
        <f t="shared" si="53"/>
        <v>11</v>
      </c>
      <c r="Q954" s="503">
        <f t="shared" si="54"/>
        <v>10</v>
      </c>
      <c r="R954" s="504" t="str">
        <f t="shared" si="55"/>
        <v>Gastos_Gerais</v>
      </c>
      <c r="S954" s="504" t="str">
        <f>IF(D954="","",IF(OR(D954=Plano!$A$1,D954=Plano!$B$1),"entrada","saída"))</f>
        <v>saída</v>
      </c>
      <c r="T954" s="511" t="s">
        <v>114</v>
      </c>
      <c r="U954" s="511" t="s">
        <v>114</v>
      </c>
      <c r="V954" s="541"/>
    </row>
    <row r="955" spans="1:22" ht="66" customHeight="1" x14ac:dyDescent="0.2">
      <c r="A955" s="619">
        <f>IF(B955="","",COUNT('Diário 5º PA'!$A$5:$A$2634)+COUNT('Diário 6º PA'!$A$5:$A$2246)+COUNT('Diário 7º PA'!$A$5:$A$2271)+ROW()-4)</f>
        <v>4901</v>
      </c>
      <c r="B955" s="620">
        <v>44516</v>
      </c>
      <c r="C955" s="621">
        <v>44470</v>
      </c>
      <c r="D955" s="548" t="s">
        <v>99</v>
      </c>
      <c r="E955" s="548" t="s">
        <v>284</v>
      </c>
      <c r="F955" s="622">
        <v>-72.44</v>
      </c>
      <c r="G955" s="623" t="s">
        <v>6215</v>
      </c>
      <c r="H955" s="548" t="s">
        <v>115</v>
      </c>
      <c r="I955" s="583" t="s">
        <v>983</v>
      </c>
      <c r="J955" s="548" t="s">
        <v>850</v>
      </c>
      <c r="K955" s="583" t="s">
        <v>946</v>
      </c>
      <c r="L955" s="583" t="s">
        <v>947</v>
      </c>
      <c r="M955" s="632" t="s">
        <v>114</v>
      </c>
      <c r="N955" s="620">
        <v>44516</v>
      </c>
      <c r="O955" s="684" t="s">
        <v>67</v>
      </c>
      <c r="P955" s="503">
        <f t="shared" si="53"/>
        <v>11</v>
      </c>
      <c r="Q955" s="503">
        <f t="shared" si="54"/>
        <v>10</v>
      </c>
      <c r="R955" s="504" t="str">
        <f t="shared" si="55"/>
        <v>Gastos_Gerais</v>
      </c>
      <c r="S955" s="504" t="str">
        <f>IF(D955="","",IF(OR(D955=Plano!$A$1,D955=Plano!$B$1),"entrada","saída"))</f>
        <v>saída</v>
      </c>
      <c r="T955" s="511" t="s">
        <v>114</v>
      </c>
      <c r="U955" s="511" t="s">
        <v>114</v>
      </c>
      <c r="V955" s="541"/>
    </row>
    <row r="956" spans="1:22" ht="64.5" customHeight="1" x14ac:dyDescent="0.2">
      <c r="A956" s="619">
        <f>IF(B956="","",COUNT('Diário 5º PA'!$A$5:$A$2634)+COUNT('Diário 6º PA'!$A$5:$A$2246)+COUNT('Diário 7º PA'!$A$5:$A$2271)+ROW()-4)</f>
        <v>4902</v>
      </c>
      <c r="B956" s="620">
        <v>44516</v>
      </c>
      <c r="C956" s="621">
        <v>44470</v>
      </c>
      <c r="D956" s="548" t="s">
        <v>99</v>
      </c>
      <c r="E956" s="548" t="s">
        <v>246</v>
      </c>
      <c r="F956" s="622">
        <v>-158.46</v>
      </c>
      <c r="G956" s="623" t="s">
        <v>6216</v>
      </c>
      <c r="H956" s="548" t="s">
        <v>115</v>
      </c>
      <c r="I956" s="583" t="s">
        <v>983</v>
      </c>
      <c r="J956" s="548" t="s">
        <v>850</v>
      </c>
      <c r="K956" s="583" t="s">
        <v>946</v>
      </c>
      <c r="L956" s="583" t="s">
        <v>947</v>
      </c>
      <c r="M956" s="619" t="s">
        <v>114</v>
      </c>
      <c r="N956" s="620">
        <v>44516</v>
      </c>
      <c r="O956" s="684" t="s">
        <v>67</v>
      </c>
      <c r="P956" s="503">
        <f t="shared" si="53"/>
        <v>11</v>
      </c>
      <c r="Q956" s="503">
        <f t="shared" si="54"/>
        <v>10</v>
      </c>
      <c r="R956" s="504" t="str">
        <f t="shared" si="55"/>
        <v>Gastos_Gerais</v>
      </c>
      <c r="S956" s="504" t="str">
        <f>IF(D956="","",IF(OR(D956=Plano!$A$1,D956=Plano!$B$1),"entrada","saída"))</f>
        <v>saída</v>
      </c>
      <c r="T956" s="511" t="s">
        <v>114</v>
      </c>
      <c r="U956" s="511" t="s">
        <v>114</v>
      </c>
      <c r="V956" s="541"/>
    </row>
    <row r="957" spans="1:22" ht="50.1" customHeight="1" x14ac:dyDescent="0.2">
      <c r="A957" s="619">
        <f>IF(B957="","",COUNT('Diário 5º PA'!$A$5:$A$2634)+COUNT('Diário 6º PA'!$A$5:$A$2246)+COUNT('Diário 7º PA'!$A$5:$A$2271)+ROW()-4)</f>
        <v>4903</v>
      </c>
      <c r="B957" s="620">
        <v>44516</v>
      </c>
      <c r="C957" s="621">
        <v>44501</v>
      </c>
      <c r="D957" s="548" t="s">
        <v>88</v>
      </c>
      <c r="E957" s="548" t="s">
        <v>196</v>
      </c>
      <c r="F957" s="622">
        <v>-231.87</v>
      </c>
      <c r="G957" s="623" t="s">
        <v>1418</v>
      </c>
      <c r="H957" s="548" t="s">
        <v>114</v>
      </c>
      <c r="I957" s="583" t="s">
        <v>983</v>
      </c>
      <c r="J957" s="548" t="s">
        <v>850</v>
      </c>
      <c r="K957" s="583" t="s">
        <v>946</v>
      </c>
      <c r="L957" s="583" t="s">
        <v>947</v>
      </c>
      <c r="M957" s="632" t="s">
        <v>114</v>
      </c>
      <c r="N957" s="620">
        <v>44516</v>
      </c>
      <c r="O957" s="684" t="s">
        <v>67</v>
      </c>
      <c r="P957" s="503">
        <f t="shared" si="53"/>
        <v>11</v>
      </c>
      <c r="Q957" s="503">
        <f t="shared" si="54"/>
        <v>11</v>
      </c>
      <c r="R957" s="504" t="str">
        <f t="shared" si="55"/>
        <v>Gastos_com_Pessoal</v>
      </c>
      <c r="S957" s="504" t="str">
        <f>IF(D957="","",IF(OR(D957=Plano!$A$1,D957=Plano!$B$1),"entrada","saída"))</f>
        <v>saída</v>
      </c>
      <c r="T957" s="511" t="s">
        <v>114</v>
      </c>
      <c r="U957" s="511" t="s">
        <v>114</v>
      </c>
      <c r="V957" s="541"/>
    </row>
    <row r="958" spans="1:22" ht="50.1" customHeight="1" x14ac:dyDescent="0.2">
      <c r="A958" s="619">
        <f>IF(B958="","",COUNT('Diário 5º PA'!$A$5:$A$2634)+COUNT('Diário 6º PA'!$A$5:$A$2246)+COUNT('Diário 7º PA'!$A$5:$A$2271)+ROW()-4)</f>
        <v>4904</v>
      </c>
      <c r="B958" s="620">
        <v>44516</v>
      </c>
      <c r="C958" s="621">
        <v>44501</v>
      </c>
      <c r="D958" s="548" t="s">
        <v>88</v>
      </c>
      <c r="E958" s="548" t="s">
        <v>196</v>
      </c>
      <c r="F958" s="622">
        <v>-1876.88</v>
      </c>
      <c r="G958" s="623" t="s">
        <v>1419</v>
      </c>
      <c r="H958" s="548" t="s">
        <v>114</v>
      </c>
      <c r="I958" s="583" t="s">
        <v>983</v>
      </c>
      <c r="J958" s="548" t="s">
        <v>850</v>
      </c>
      <c r="K958" s="583" t="s">
        <v>946</v>
      </c>
      <c r="L958" s="583" t="s">
        <v>947</v>
      </c>
      <c r="M958" s="632" t="s">
        <v>114</v>
      </c>
      <c r="N958" s="620">
        <v>44516</v>
      </c>
      <c r="O958" s="684" t="s">
        <v>67</v>
      </c>
      <c r="P958" s="503">
        <f t="shared" si="53"/>
        <v>11</v>
      </c>
      <c r="Q958" s="503">
        <f t="shared" si="54"/>
        <v>11</v>
      </c>
      <c r="R958" s="504" t="str">
        <f t="shared" si="55"/>
        <v>Gastos_com_Pessoal</v>
      </c>
      <c r="S958" s="504" t="str">
        <f>IF(D958="","",IF(OR(D958=Plano!$A$1,D958=Plano!$B$1),"entrada","saída"))</f>
        <v>saída</v>
      </c>
      <c r="T958" s="511" t="s">
        <v>114</v>
      </c>
      <c r="U958" s="511" t="s">
        <v>114</v>
      </c>
      <c r="V958" s="541"/>
    </row>
    <row r="959" spans="1:22" ht="50.1" customHeight="1" x14ac:dyDescent="0.2">
      <c r="A959" s="619">
        <f>IF(B959="","",COUNT('Diário 5º PA'!$A$5:$A$2634)+COUNT('Diário 6º PA'!$A$5:$A$2246)+COUNT('Diário 7º PA'!$A$5:$A$2271)+ROW()-4)</f>
        <v>4905</v>
      </c>
      <c r="B959" s="620">
        <v>44516</v>
      </c>
      <c r="C959" s="621">
        <v>44440</v>
      </c>
      <c r="D959" s="548" t="s">
        <v>88</v>
      </c>
      <c r="E959" s="548" t="s">
        <v>90</v>
      </c>
      <c r="F959" s="622">
        <v>-168.53</v>
      </c>
      <c r="G959" s="623" t="s">
        <v>6727</v>
      </c>
      <c r="H959" s="548" t="s">
        <v>114</v>
      </c>
      <c r="I959" s="583" t="s">
        <v>983</v>
      </c>
      <c r="J959" s="548" t="s">
        <v>850</v>
      </c>
      <c r="K959" s="583" t="s">
        <v>946</v>
      </c>
      <c r="L959" s="583" t="s">
        <v>947</v>
      </c>
      <c r="M959" s="632" t="s">
        <v>114</v>
      </c>
      <c r="N959" s="620">
        <v>44516</v>
      </c>
      <c r="O959" s="684" t="s">
        <v>67</v>
      </c>
      <c r="P959" s="503">
        <f t="shared" si="53"/>
        <v>11</v>
      </c>
      <c r="Q959" s="503">
        <f t="shared" si="54"/>
        <v>9</v>
      </c>
      <c r="R959" s="504" t="str">
        <f t="shared" si="55"/>
        <v>Gastos_com_Pessoal</v>
      </c>
      <c r="S959" s="504" t="str">
        <f>IF(D959="","",IF(OR(D959=Plano!$A$1,D959=Plano!$B$1),"entrada","saída"))</f>
        <v>saída</v>
      </c>
      <c r="T959" s="511" t="s">
        <v>114</v>
      </c>
      <c r="U959" s="511" t="s">
        <v>114</v>
      </c>
      <c r="V959" s="541"/>
    </row>
    <row r="960" spans="1:22" ht="165" customHeight="1" x14ac:dyDescent="0.2">
      <c r="A960" s="619">
        <f>IF(B960="","",COUNT('Diário 5º PA'!$A$5:$A$2634)+COUNT('Diário 6º PA'!$A$5:$A$2246)+COUNT('Diário 7º PA'!$A$5:$A$2271)+ROW()-4)</f>
        <v>4906</v>
      </c>
      <c r="B960" s="620">
        <v>44516</v>
      </c>
      <c r="C960" s="621">
        <v>44470</v>
      </c>
      <c r="D960" s="548" t="s">
        <v>99</v>
      </c>
      <c r="E960" s="548" t="s">
        <v>330</v>
      </c>
      <c r="F960" s="622">
        <v>182.38</v>
      </c>
      <c r="G960" s="623" t="s">
        <v>554</v>
      </c>
      <c r="H960" s="548" t="s">
        <v>128</v>
      </c>
      <c r="I960" s="583" t="s">
        <v>1430</v>
      </c>
      <c r="J960" s="548" t="s">
        <v>556</v>
      </c>
      <c r="K960" s="583" t="s">
        <v>1015</v>
      </c>
      <c r="L960" s="583" t="s">
        <v>1177</v>
      </c>
      <c r="M960" s="619" t="s">
        <v>114</v>
      </c>
      <c r="N960" s="620">
        <v>44516</v>
      </c>
      <c r="O960" s="684" t="s">
        <v>67</v>
      </c>
      <c r="P960" s="503">
        <f t="shared" ref="P960:P1023" si="56">IF(B960=0,0,IF(YEAR(B960)=$Q$1,MONTH(B960)-$P$1+1,(YEAR(B960)-$Q$1)*12-$P$1+1+MONTH(B960)))</f>
        <v>11</v>
      </c>
      <c r="Q960" s="503">
        <f t="shared" ref="Q960:Q1023" si="57">IF(C960=0,0,IF(YEAR(C960)=$Q$1,MONTH(C960)-$P$1+1,(YEAR(C960)-$Q$1)*12-$P$1+1+MONTH(C960)))</f>
        <v>10</v>
      </c>
      <c r="R960" s="504" t="str">
        <f t="shared" ref="R960:R1023" si="58">SUBSTITUTE(D960," ","_")</f>
        <v>Gastos_Gerais</v>
      </c>
      <c r="S960" s="504" t="str">
        <f>IF(D960="","",IF(OR(D960=Plano!$A$1,D960=Plano!$B$1),"entrada","saída"))</f>
        <v>saída</v>
      </c>
      <c r="T960" s="556" t="s">
        <v>1059</v>
      </c>
      <c r="U960" s="556">
        <v>1336</v>
      </c>
      <c r="V960" s="541"/>
    </row>
    <row r="961" spans="1:22" ht="108.75" customHeight="1" x14ac:dyDescent="0.2">
      <c r="A961" s="619">
        <f>IF(B961="","",COUNT('Diário 5º PA'!$A$5:$A$2634)+COUNT('Diário 6º PA'!$A$5:$A$2246)+COUNT('Diário 7º PA'!$A$5:$A$2271)+ROW()-4)</f>
        <v>4907</v>
      </c>
      <c r="B961" s="620">
        <v>44516</v>
      </c>
      <c r="C961" s="621">
        <v>44470</v>
      </c>
      <c r="D961" s="548" t="s">
        <v>99</v>
      </c>
      <c r="E961" s="548" t="s">
        <v>364</v>
      </c>
      <c r="F961" s="622">
        <v>463.32</v>
      </c>
      <c r="G961" s="623" t="s">
        <v>664</v>
      </c>
      <c r="H961" s="548" t="s">
        <v>127</v>
      </c>
      <c r="I961" s="583" t="s">
        <v>1432</v>
      </c>
      <c r="J961" s="548" t="s">
        <v>556</v>
      </c>
      <c r="K961" s="583" t="s">
        <v>1015</v>
      </c>
      <c r="L961" s="583" t="s">
        <v>1177</v>
      </c>
      <c r="M961" s="619" t="s">
        <v>114</v>
      </c>
      <c r="N961" s="620">
        <v>44516</v>
      </c>
      <c r="O961" s="684" t="s">
        <v>67</v>
      </c>
      <c r="P961" s="503">
        <f t="shared" si="56"/>
        <v>11</v>
      </c>
      <c r="Q961" s="503">
        <f t="shared" si="57"/>
        <v>10</v>
      </c>
      <c r="R961" s="504" t="str">
        <f t="shared" si="58"/>
        <v>Gastos_Gerais</v>
      </c>
      <c r="S961" s="504" t="str">
        <f>IF(D961="","",IF(OR(D961=Plano!$A$1,D961=Plano!$B$1),"entrada","saída"))</f>
        <v>saída</v>
      </c>
      <c r="T961" s="556" t="s">
        <v>1059</v>
      </c>
      <c r="U961" s="556">
        <v>1586</v>
      </c>
      <c r="V961" s="541"/>
    </row>
    <row r="962" spans="1:22" ht="64.5" customHeight="1" x14ac:dyDescent="0.2">
      <c r="A962" s="619">
        <f>IF(B962="","",COUNT('Diário 5º PA'!$A$5:$A$2634)+COUNT('Diário 6º PA'!$A$5:$A$2246)+COUNT('Diário 7º PA'!$A$5:$A$2271)+ROW()-4)</f>
        <v>4908</v>
      </c>
      <c r="B962" s="620">
        <v>44516</v>
      </c>
      <c r="C962" s="624">
        <v>44470</v>
      </c>
      <c r="D962" s="548" t="s">
        <v>99</v>
      </c>
      <c r="E962" s="548" t="s">
        <v>312</v>
      </c>
      <c r="F962" s="622">
        <v>446.06</v>
      </c>
      <c r="G962" s="623" t="s">
        <v>439</v>
      </c>
      <c r="H962" s="548" t="s">
        <v>115</v>
      </c>
      <c r="I962" s="583" t="s">
        <v>5780</v>
      </c>
      <c r="J962" s="548" t="s">
        <v>441</v>
      </c>
      <c r="K962" s="583" t="s">
        <v>560</v>
      </c>
      <c r="L962" s="583" t="s">
        <v>992</v>
      </c>
      <c r="M962" s="619">
        <v>3594692</v>
      </c>
      <c r="N962" s="620">
        <v>44501</v>
      </c>
      <c r="O962" s="684" t="s">
        <v>67</v>
      </c>
      <c r="P962" s="503">
        <f t="shared" si="56"/>
        <v>11</v>
      </c>
      <c r="Q962" s="503">
        <f t="shared" si="57"/>
        <v>10</v>
      </c>
      <c r="R962" s="504" t="str">
        <f t="shared" si="58"/>
        <v>Gastos_Gerais</v>
      </c>
      <c r="S962" s="504" t="str">
        <f>IF(D962="","",IF(OR(D962=Plano!$A$1,D962=Plano!$B$1),"entrada","saída"))</f>
        <v>saída</v>
      </c>
      <c r="T962" s="505" t="s">
        <v>1059</v>
      </c>
      <c r="U962" s="505">
        <v>1142</v>
      </c>
      <c r="V962" s="541"/>
    </row>
    <row r="963" spans="1:22" ht="115.5" customHeight="1" x14ac:dyDescent="0.2">
      <c r="A963" s="619">
        <f>IF(B963="","",COUNT('Diário 5º PA'!$A$5:$A$2634)+COUNT('Diário 6º PA'!$A$5:$A$2246)+COUNT('Diário 7º PA'!$A$5:$A$2271)+ROW()-4)</f>
        <v>4909</v>
      </c>
      <c r="B963" s="620">
        <v>44516</v>
      </c>
      <c r="C963" s="621">
        <v>44440</v>
      </c>
      <c r="D963" s="548" t="s">
        <v>88</v>
      </c>
      <c r="E963" s="548" t="s">
        <v>196</v>
      </c>
      <c r="F963" s="622">
        <v>729.54</v>
      </c>
      <c r="G963" s="623" t="s">
        <v>2410</v>
      </c>
      <c r="H963" s="548" t="s">
        <v>114</v>
      </c>
      <c r="I963" s="583" t="s">
        <v>542</v>
      </c>
      <c r="J963" s="548" t="s">
        <v>543</v>
      </c>
      <c r="K963" s="583" t="s">
        <v>560</v>
      </c>
      <c r="L963" s="583" t="s">
        <v>992</v>
      </c>
      <c r="M963" s="619" t="s">
        <v>6217</v>
      </c>
      <c r="N963" s="620">
        <v>44474</v>
      </c>
      <c r="O963" s="684" t="s">
        <v>67</v>
      </c>
      <c r="P963" s="503">
        <f t="shared" si="56"/>
        <v>11</v>
      </c>
      <c r="Q963" s="503">
        <f t="shared" si="57"/>
        <v>9</v>
      </c>
      <c r="R963" s="504" t="str">
        <f t="shared" si="58"/>
        <v>Gastos_com_Pessoal</v>
      </c>
      <c r="S963" s="504" t="str">
        <f>IF(D963="","",IF(OR(D963=Plano!$A$1,D963=Plano!$B$1),"entrada","saída"))</f>
        <v>saída</v>
      </c>
      <c r="T963" s="505" t="s">
        <v>114</v>
      </c>
      <c r="U963" s="505" t="s">
        <v>114</v>
      </c>
      <c r="V963" s="541"/>
    </row>
    <row r="964" spans="1:22" ht="123" customHeight="1" x14ac:dyDescent="0.2">
      <c r="A964" s="619">
        <f>IF(B964="","",COUNT('Diário 5º PA'!$A$5:$A$2634)+COUNT('Diário 6º PA'!$A$5:$A$2246)+COUNT('Diário 7º PA'!$A$5:$A$2271)+ROW()-4)</f>
        <v>4910</v>
      </c>
      <c r="B964" s="620">
        <v>44516</v>
      </c>
      <c r="C964" s="621">
        <v>44501</v>
      </c>
      <c r="D964" s="548" t="s">
        <v>88</v>
      </c>
      <c r="E964" s="548" t="s">
        <v>196</v>
      </c>
      <c r="F964" s="622">
        <v>19437.28</v>
      </c>
      <c r="G964" s="623" t="s">
        <v>541</v>
      </c>
      <c r="H964" s="548" t="s">
        <v>114</v>
      </c>
      <c r="I964" s="583" t="s">
        <v>542</v>
      </c>
      <c r="J964" s="548" t="s">
        <v>543</v>
      </c>
      <c r="K964" s="583" t="s">
        <v>560</v>
      </c>
      <c r="L964" s="583" t="s">
        <v>992</v>
      </c>
      <c r="M964" s="619" t="s">
        <v>6219</v>
      </c>
      <c r="N964" s="620">
        <v>44477</v>
      </c>
      <c r="O964" s="684" t="s">
        <v>67</v>
      </c>
      <c r="P964" s="503">
        <f t="shared" si="56"/>
        <v>11</v>
      </c>
      <c r="Q964" s="503">
        <f t="shared" si="57"/>
        <v>11</v>
      </c>
      <c r="R964" s="504" t="str">
        <f t="shared" si="58"/>
        <v>Gastos_com_Pessoal</v>
      </c>
      <c r="S964" s="504" t="str">
        <f>IF(D964="","",IF(OR(D964=Plano!$A$1,D964=Plano!$B$1),"entrada","saída"))</f>
        <v>saída</v>
      </c>
      <c r="T964" s="505" t="s">
        <v>114</v>
      </c>
      <c r="U964" s="505" t="s">
        <v>114</v>
      </c>
      <c r="V964" s="541"/>
    </row>
    <row r="965" spans="1:22" ht="83.25" customHeight="1" x14ac:dyDescent="0.2">
      <c r="A965" s="619">
        <f>IF(B965="","",COUNT('Diário 5º PA'!$A$5:$A$2634)+COUNT('Diário 6º PA'!$A$5:$A$2246)+COUNT('Diário 7º PA'!$A$5:$A$2271)+ROW()-4)</f>
        <v>4911</v>
      </c>
      <c r="B965" s="620">
        <v>44516</v>
      </c>
      <c r="C965" s="624">
        <v>44470</v>
      </c>
      <c r="D965" s="548" t="s">
        <v>99</v>
      </c>
      <c r="E965" s="548" t="s">
        <v>330</v>
      </c>
      <c r="F965" s="622">
        <v>138.6</v>
      </c>
      <c r="G965" s="623" t="s">
        <v>5726</v>
      </c>
      <c r="H965" s="548" t="s">
        <v>128</v>
      </c>
      <c r="I965" s="583" t="s">
        <v>6220</v>
      </c>
      <c r="J965" s="548" t="s">
        <v>5727</v>
      </c>
      <c r="K965" s="583" t="s">
        <v>560</v>
      </c>
      <c r="L965" s="583" t="s">
        <v>992</v>
      </c>
      <c r="M965" s="619">
        <v>78310</v>
      </c>
      <c r="N965" s="620">
        <v>44487</v>
      </c>
      <c r="O965" s="684" t="s">
        <v>67</v>
      </c>
      <c r="P965" s="503">
        <f t="shared" si="56"/>
        <v>11</v>
      </c>
      <c r="Q965" s="503">
        <f t="shared" si="57"/>
        <v>10</v>
      </c>
      <c r="R965" s="504" t="str">
        <f t="shared" si="58"/>
        <v>Gastos_Gerais</v>
      </c>
      <c r="S965" s="504" t="str">
        <f>IF(D965="","",IF(OR(D965=Plano!$A$1,D965=Plano!$B$1),"entrada","saída"))</f>
        <v>saída</v>
      </c>
      <c r="T965" s="505" t="s">
        <v>1011</v>
      </c>
      <c r="U965" s="505">
        <v>2270</v>
      </c>
      <c r="V965" s="541"/>
    </row>
    <row r="966" spans="1:22" ht="159.75" customHeight="1" x14ac:dyDescent="0.2">
      <c r="A966" s="619">
        <f>IF(B966="","",COUNT('Diário 5º PA'!$A$5:$A$2634)+COUNT('Diário 6º PA'!$A$5:$A$2246)+COUNT('Diário 7º PA'!$A$5:$A$2271)+ROW()-4)</f>
        <v>4912</v>
      </c>
      <c r="B966" s="620">
        <v>44516</v>
      </c>
      <c r="C966" s="624">
        <v>44470</v>
      </c>
      <c r="D966" s="548" t="s">
        <v>99</v>
      </c>
      <c r="E966" s="548" t="s">
        <v>254</v>
      </c>
      <c r="F966" s="622">
        <v>500</v>
      </c>
      <c r="G966" s="623" t="s">
        <v>448</v>
      </c>
      <c r="H966" s="548" t="s">
        <v>115</v>
      </c>
      <c r="I966" s="583" t="s">
        <v>5832</v>
      </c>
      <c r="J966" s="548" t="s">
        <v>450</v>
      </c>
      <c r="K966" s="583" t="s">
        <v>560</v>
      </c>
      <c r="L966" s="583" t="s">
        <v>697</v>
      </c>
      <c r="M966" s="619" t="s">
        <v>6221</v>
      </c>
      <c r="N966" s="620">
        <v>44504</v>
      </c>
      <c r="O966" s="684" t="s">
        <v>67</v>
      </c>
      <c r="P966" s="503">
        <f t="shared" si="56"/>
        <v>11</v>
      </c>
      <c r="Q966" s="503">
        <f t="shared" si="57"/>
        <v>10</v>
      </c>
      <c r="R966" s="504" t="str">
        <f t="shared" si="58"/>
        <v>Gastos_Gerais</v>
      </c>
      <c r="S966" s="504" t="str">
        <f>IF(D966="","",IF(OR(D966=Plano!$A$1,D966=Plano!$B$1),"entrada","saída"))</f>
        <v>saída</v>
      </c>
      <c r="T966" s="505" t="s">
        <v>1082</v>
      </c>
      <c r="U966" s="505">
        <v>1143</v>
      </c>
      <c r="V966" s="541"/>
    </row>
    <row r="967" spans="1:22" ht="38.25" customHeight="1" x14ac:dyDescent="0.2">
      <c r="A967" s="619">
        <f>IF(B967="","",COUNT('Diário 5º PA'!$A$5:$A$2634)+COUNT('Diário 6º PA'!$A$5:$A$2246)+COUNT('Diário 7º PA'!$A$5:$A$2271)+ROW()-4)</f>
        <v>4913</v>
      </c>
      <c r="B967" s="620">
        <v>44516</v>
      </c>
      <c r="C967" s="624">
        <v>44470</v>
      </c>
      <c r="D967" s="548" t="s">
        <v>99</v>
      </c>
      <c r="E967" s="548" t="s">
        <v>218</v>
      </c>
      <c r="F967" s="622">
        <v>163.55000000000001</v>
      </c>
      <c r="G967" s="623" t="s">
        <v>6222</v>
      </c>
      <c r="H967" s="548" t="s">
        <v>115</v>
      </c>
      <c r="I967" s="583" t="s">
        <v>515</v>
      </c>
      <c r="J967" s="548" t="s">
        <v>516</v>
      </c>
      <c r="K967" s="583" t="s">
        <v>700</v>
      </c>
      <c r="L967" s="583" t="s">
        <v>697</v>
      </c>
      <c r="M967" s="625" t="s">
        <v>6223</v>
      </c>
      <c r="N967" s="620">
        <v>44502</v>
      </c>
      <c r="O967" s="684" t="s">
        <v>67</v>
      </c>
      <c r="P967" s="503">
        <f t="shared" si="56"/>
        <v>11</v>
      </c>
      <c r="Q967" s="503">
        <f t="shared" si="57"/>
        <v>10</v>
      </c>
      <c r="R967" s="504" t="str">
        <f t="shared" si="58"/>
        <v>Gastos_Gerais</v>
      </c>
      <c r="S967" s="504" t="str">
        <f>IF(D967="","",IF(OR(D967=Plano!$A$1,D967=Plano!$B$1),"entrada","saída"))</f>
        <v>saída</v>
      </c>
      <c r="T967" s="505" t="s">
        <v>114</v>
      </c>
      <c r="U967" s="505" t="s">
        <v>114</v>
      </c>
      <c r="V967" s="541"/>
    </row>
    <row r="968" spans="1:22" ht="96" customHeight="1" x14ac:dyDescent="0.2">
      <c r="A968" s="619">
        <f>IF(B968="","",COUNT('Diário 5º PA'!$A$5:$A$2634)+COUNT('Diário 6º PA'!$A$5:$A$2246)+COUNT('Diário 7º PA'!$A$5:$A$2271)+ROW()-4)</f>
        <v>4914</v>
      </c>
      <c r="B968" s="620">
        <v>44516</v>
      </c>
      <c r="C968" s="624">
        <v>44470</v>
      </c>
      <c r="D968" s="548" t="s">
        <v>99</v>
      </c>
      <c r="E968" s="548" t="s">
        <v>246</v>
      </c>
      <c r="F968" s="622">
        <v>600</v>
      </c>
      <c r="G968" s="623" t="s">
        <v>1369</v>
      </c>
      <c r="H968" s="548" t="s">
        <v>115</v>
      </c>
      <c r="I968" s="583" t="s">
        <v>1370</v>
      </c>
      <c r="J968" s="548" t="s">
        <v>1371</v>
      </c>
      <c r="K968" s="583" t="s">
        <v>560</v>
      </c>
      <c r="L968" s="583" t="s">
        <v>992</v>
      </c>
      <c r="M968" s="619" t="s">
        <v>5943</v>
      </c>
      <c r="N968" s="620">
        <v>44503</v>
      </c>
      <c r="O968" s="684" t="s">
        <v>67</v>
      </c>
      <c r="P968" s="503">
        <f t="shared" si="56"/>
        <v>11</v>
      </c>
      <c r="Q968" s="503">
        <f t="shared" si="57"/>
        <v>10</v>
      </c>
      <c r="R968" s="504" t="str">
        <f t="shared" si="58"/>
        <v>Gastos_Gerais</v>
      </c>
      <c r="S968" s="504" t="str">
        <f>IF(D968="","",IF(OR(D968=Plano!$A$1,D968=Plano!$B$1),"entrada","saída"))</f>
        <v>saída</v>
      </c>
      <c r="T968" s="511" t="s">
        <v>1082</v>
      </c>
      <c r="U968" s="511">
        <v>1144</v>
      </c>
      <c r="V968" s="541"/>
    </row>
    <row r="969" spans="1:22" ht="105.75" customHeight="1" x14ac:dyDescent="0.2">
      <c r="A969" s="619">
        <f>IF(B969="","",COUNT('Diário 5º PA'!$A$5:$A$2634)+COUNT('Diário 6º PA'!$A$5:$A$2246)+COUNT('Diário 7º PA'!$A$5:$A$2271)+ROW()-4)</f>
        <v>4915</v>
      </c>
      <c r="B969" s="620">
        <v>44516</v>
      </c>
      <c r="C969" s="624">
        <v>44470</v>
      </c>
      <c r="D969" s="548" t="s">
        <v>99</v>
      </c>
      <c r="E969" s="548" t="s">
        <v>284</v>
      </c>
      <c r="F969" s="622">
        <v>274.3</v>
      </c>
      <c r="G969" s="623" t="s">
        <v>5790</v>
      </c>
      <c r="H969" s="548" t="s">
        <v>115</v>
      </c>
      <c r="I969" s="583" t="s">
        <v>1415</v>
      </c>
      <c r="J969" s="548" t="s">
        <v>5791</v>
      </c>
      <c r="K969" s="583" t="s">
        <v>560</v>
      </c>
      <c r="L969" s="583" t="s">
        <v>992</v>
      </c>
      <c r="M969" s="619">
        <v>63479</v>
      </c>
      <c r="N969" s="620">
        <v>44488</v>
      </c>
      <c r="O969" s="684" t="s">
        <v>67</v>
      </c>
      <c r="P969" s="503">
        <f t="shared" si="56"/>
        <v>11</v>
      </c>
      <c r="Q969" s="503">
        <f t="shared" si="57"/>
        <v>10</v>
      </c>
      <c r="R969" s="504" t="str">
        <f t="shared" si="58"/>
        <v>Gastos_Gerais</v>
      </c>
      <c r="S969" s="504" t="str">
        <f>IF(D969="","",IF(OR(D969=Plano!$A$1,D969=Plano!$B$1),"entrada","saída"))</f>
        <v>saída</v>
      </c>
      <c r="T969" s="505" t="s">
        <v>1011</v>
      </c>
      <c r="U969" s="505">
        <v>2273</v>
      </c>
      <c r="V969" s="541"/>
    </row>
    <row r="970" spans="1:22" s="550" customFormat="1" ht="105.75" customHeight="1" x14ac:dyDescent="0.2">
      <c r="A970" s="619">
        <f>IF(B970="","",COUNT('Diário 5º PA'!$A$5:$A$2634)+COUNT('Diário 6º PA'!$A$5:$A$2246)+COUNT('Diário 7º PA'!$A$5:$A$2271)+ROW()-4)</f>
        <v>4916</v>
      </c>
      <c r="B970" s="620">
        <v>44516</v>
      </c>
      <c r="C970" s="624">
        <v>44470</v>
      </c>
      <c r="D970" s="548" t="s">
        <v>104</v>
      </c>
      <c r="E970" s="548" t="s">
        <v>104</v>
      </c>
      <c r="F970" s="622">
        <v>1444.95</v>
      </c>
      <c r="G970" s="623" t="s">
        <v>851</v>
      </c>
      <c r="H970" s="548" t="s">
        <v>104</v>
      </c>
      <c r="I970" s="583" t="s">
        <v>5433</v>
      </c>
      <c r="J970" s="548" t="s">
        <v>853</v>
      </c>
      <c r="K970" s="583" t="s">
        <v>991</v>
      </c>
      <c r="L970" s="583" t="s">
        <v>992</v>
      </c>
      <c r="M970" s="619" t="s">
        <v>7060</v>
      </c>
      <c r="N970" s="620">
        <v>44501</v>
      </c>
      <c r="O970" s="684" t="s">
        <v>5377</v>
      </c>
      <c r="P970" s="503">
        <f t="shared" si="56"/>
        <v>11</v>
      </c>
      <c r="Q970" s="503">
        <f t="shared" si="57"/>
        <v>10</v>
      </c>
      <c r="R970" s="504" t="str">
        <f t="shared" si="58"/>
        <v>Gastos_custeados_por_captação</v>
      </c>
      <c r="S970" s="504" t="str">
        <f>IF(D970="","",IF(OR(D970=Plano!$A$1,D970=Plano!$B$1),"entrada","saída"))</f>
        <v>saída</v>
      </c>
      <c r="T970" s="511" t="s">
        <v>1082</v>
      </c>
      <c r="U970" s="505">
        <v>1371</v>
      </c>
      <c r="V970" s="541"/>
    </row>
    <row r="971" spans="1:22" s="562" customFormat="1" ht="125.25" customHeight="1" x14ac:dyDescent="0.2">
      <c r="A971" s="649">
        <f>IF(B971="","",COUNT('Diário 5º PA'!$A$5:$A$2634)+COUNT('Diário 6º PA'!$A$5:$A$2246)+COUNT('Diário 7º PA'!$A$5:$A$2271)+ROW()-4)</f>
        <v>4917</v>
      </c>
      <c r="B971" s="644">
        <v>44516</v>
      </c>
      <c r="C971" s="650">
        <v>44440</v>
      </c>
      <c r="D971" s="651" t="s">
        <v>104</v>
      </c>
      <c r="E971" s="651" t="s">
        <v>104</v>
      </c>
      <c r="F971" s="641">
        <v>3000</v>
      </c>
      <c r="G971" s="639" t="s">
        <v>5516</v>
      </c>
      <c r="H971" s="651" t="s">
        <v>104</v>
      </c>
      <c r="I971" s="640" t="s">
        <v>7114</v>
      </c>
      <c r="J971" s="651" t="s">
        <v>5517</v>
      </c>
      <c r="K971" s="642" t="s">
        <v>991</v>
      </c>
      <c r="L971" s="642" t="s">
        <v>992</v>
      </c>
      <c r="M971" s="649">
        <v>24</v>
      </c>
      <c r="N971" s="644">
        <v>44512</v>
      </c>
      <c r="O971" s="685" t="s">
        <v>70</v>
      </c>
      <c r="P971" s="503">
        <f t="shared" si="56"/>
        <v>11</v>
      </c>
      <c r="Q971" s="503">
        <f t="shared" si="57"/>
        <v>9</v>
      </c>
      <c r="R971" s="504" t="str">
        <f t="shared" si="58"/>
        <v>Gastos_custeados_por_captação</v>
      </c>
      <c r="S971" s="504" t="str">
        <f>IF(D971="","",IF(OR(D971=Plano!$A$1,D971=Plano!$B$1),"entrada","saída"))</f>
        <v>saída</v>
      </c>
      <c r="T971" s="566" t="s">
        <v>994</v>
      </c>
      <c r="U971" s="567">
        <v>1945</v>
      </c>
      <c r="V971" s="541"/>
    </row>
    <row r="972" spans="1:22" s="562" customFormat="1" ht="50.1" customHeight="1" x14ac:dyDescent="0.2">
      <c r="A972" s="619">
        <f>IF(B972="","",COUNT('Diário 5º PA'!$A$5:$A$2634)+COUNT('Diário 6º PA'!$A$5:$A$2246)+COUNT('Diário 7º PA'!$A$5:$A$2271)+ROW()-4)</f>
        <v>4918</v>
      </c>
      <c r="B972" s="620">
        <v>44516</v>
      </c>
      <c r="C972" s="621">
        <v>44501</v>
      </c>
      <c r="D972" s="548" t="s">
        <v>104</v>
      </c>
      <c r="E972" s="548" t="s">
        <v>104</v>
      </c>
      <c r="F972" s="634">
        <v>-20000</v>
      </c>
      <c r="G972" s="623" t="s">
        <v>7148</v>
      </c>
      <c r="H972" s="548" t="s">
        <v>104</v>
      </c>
      <c r="I972" s="583" t="s">
        <v>2418</v>
      </c>
      <c r="J972" s="548" t="s">
        <v>850</v>
      </c>
      <c r="K972" s="583" t="s">
        <v>1015</v>
      </c>
      <c r="L972" s="583" t="s">
        <v>1177</v>
      </c>
      <c r="M972" s="625" t="s">
        <v>114</v>
      </c>
      <c r="N972" s="620">
        <v>44516</v>
      </c>
      <c r="O972" s="684" t="s">
        <v>71</v>
      </c>
      <c r="P972" s="503">
        <f t="shared" si="56"/>
        <v>11</v>
      </c>
      <c r="Q972" s="503">
        <f t="shared" si="57"/>
        <v>11</v>
      </c>
      <c r="R972" s="504" t="str">
        <f t="shared" si="58"/>
        <v>Gastos_custeados_por_captação</v>
      </c>
      <c r="S972" s="504" t="str">
        <f>IF(D972="","",IF(OR(D972=Plano!$A$1,D972=Plano!$B$1),"entrada","saída"))</f>
        <v>saída</v>
      </c>
      <c r="T972" s="511" t="s">
        <v>114</v>
      </c>
      <c r="U972" s="511" t="s">
        <v>114</v>
      </c>
      <c r="V972" s="541"/>
    </row>
    <row r="973" spans="1:22" s="562" customFormat="1" ht="50.1" customHeight="1" x14ac:dyDescent="0.2">
      <c r="A973" s="649">
        <f>IF(B973="","",COUNT('Diário 5º PA'!$A$5:$A$2634)+COUNT('Diário 6º PA'!$A$5:$A$2246)+COUNT('Diário 7º PA'!$A$5:$A$2271)+ROW()-4)</f>
        <v>4919</v>
      </c>
      <c r="B973" s="644">
        <v>44516</v>
      </c>
      <c r="C973" s="621">
        <v>44501</v>
      </c>
      <c r="D973" s="548" t="s">
        <v>104</v>
      </c>
      <c r="E973" s="548" t="s">
        <v>104</v>
      </c>
      <c r="F973" s="622">
        <v>2000</v>
      </c>
      <c r="G973" s="623" t="s">
        <v>7149</v>
      </c>
      <c r="H973" s="548" t="s">
        <v>104</v>
      </c>
      <c r="I973" s="583" t="s">
        <v>5971</v>
      </c>
      <c r="J973" s="548" t="s">
        <v>5972</v>
      </c>
      <c r="K973" s="583" t="s">
        <v>991</v>
      </c>
      <c r="L973" s="583" t="s">
        <v>992</v>
      </c>
      <c r="M973" s="619" t="s">
        <v>1407</v>
      </c>
      <c r="N973" s="620">
        <v>44516</v>
      </c>
      <c r="O973" s="684" t="s">
        <v>71</v>
      </c>
      <c r="P973" s="503">
        <f t="shared" si="56"/>
        <v>11</v>
      </c>
      <c r="Q973" s="503">
        <f t="shared" si="57"/>
        <v>11</v>
      </c>
      <c r="R973" s="504" t="str">
        <f t="shared" si="58"/>
        <v>Gastos_custeados_por_captação</v>
      </c>
      <c r="S973" s="504" t="str">
        <f>IF(D973="","",IF(OR(D973=Plano!$A$1,D973=Plano!$B$1),"entrada","saída"))</f>
        <v>saída</v>
      </c>
      <c r="T973" s="511" t="s">
        <v>1082</v>
      </c>
      <c r="U973" s="505">
        <v>1648</v>
      </c>
      <c r="V973" s="541"/>
    </row>
    <row r="974" spans="1:22" s="562" customFormat="1" ht="50.1" customHeight="1" x14ac:dyDescent="0.2">
      <c r="A974" s="649">
        <f>IF(B974="","",COUNT('Diário 5º PA'!$A$5:$A$2634)+COUNT('Diário 6º PA'!$A$5:$A$2246)+COUNT('Diário 7º PA'!$A$5:$A$2271)+ROW()-4)</f>
        <v>4920</v>
      </c>
      <c r="B974" s="644">
        <v>44516</v>
      </c>
      <c r="C974" s="624">
        <v>44501</v>
      </c>
      <c r="D974" s="548" t="s">
        <v>104</v>
      </c>
      <c r="E974" s="548" t="s">
        <v>104</v>
      </c>
      <c r="F974" s="622">
        <v>153</v>
      </c>
      <c r="G974" s="623" t="s">
        <v>948</v>
      </c>
      <c r="H974" s="548" t="s">
        <v>104</v>
      </c>
      <c r="I974" s="583" t="s">
        <v>949</v>
      </c>
      <c r="J974" s="548" t="s">
        <v>950</v>
      </c>
      <c r="K974" s="583" t="s">
        <v>951</v>
      </c>
      <c r="L974" s="583" t="s">
        <v>947</v>
      </c>
      <c r="M974" s="625" t="s">
        <v>114</v>
      </c>
      <c r="N974" s="644">
        <v>44516</v>
      </c>
      <c r="O974" s="684" t="s">
        <v>71</v>
      </c>
      <c r="P974" s="503">
        <f t="shared" si="56"/>
        <v>11</v>
      </c>
      <c r="Q974" s="503">
        <f t="shared" si="57"/>
        <v>11</v>
      </c>
      <c r="R974" s="504" t="str">
        <f t="shared" si="58"/>
        <v>Gastos_custeados_por_captação</v>
      </c>
      <c r="S974" s="504" t="str">
        <f>IF(D974="","",IF(OR(D974=Plano!$A$1,D974=Plano!$B$1),"entrada","saída"))</f>
        <v>saída</v>
      </c>
      <c r="T974" s="505" t="s">
        <v>114</v>
      </c>
      <c r="U974" s="505" t="s">
        <v>114</v>
      </c>
      <c r="V974" s="541"/>
    </row>
    <row r="975" spans="1:22" s="562" customFormat="1" ht="50.1" customHeight="1" x14ac:dyDescent="0.2">
      <c r="A975" s="649">
        <f>IF(B975="","",COUNT('Diário 5º PA'!$A$5:$A$2634)+COUNT('Diário 6º PA'!$A$5:$A$2246)+COUNT('Diário 7º PA'!$A$5:$A$2271)+ROW()-4)</f>
        <v>4921</v>
      </c>
      <c r="B975" s="644">
        <v>44516</v>
      </c>
      <c r="C975" s="624">
        <v>44501</v>
      </c>
      <c r="D975" s="548" t="s">
        <v>104</v>
      </c>
      <c r="E975" s="548" t="s">
        <v>104</v>
      </c>
      <c r="F975" s="622">
        <v>10.45</v>
      </c>
      <c r="G975" s="623" t="s">
        <v>5451</v>
      </c>
      <c r="H975" s="548" t="s">
        <v>104</v>
      </c>
      <c r="I975" s="583" t="s">
        <v>949</v>
      </c>
      <c r="J975" s="548" t="s">
        <v>950</v>
      </c>
      <c r="K975" s="583" t="s">
        <v>951</v>
      </c>
      <c r="L975" s="583" t="s">
        <v>947</v>
      </c>
      <c r="M975" s="625" t="s">
        <v>114</v>
      </c>
      <c r="N975" s="644">
        <v>44516</v>
      </c>
      <c r="O975" s="684" t="s">
        <v>71</v>
      </c>
      <c r="P975" s="503">
        <f t="shared" si="56"/>
        <v>11</v>
      </c>
      <c r="Q975" s="503">
        <f t="shared" si="57"/>
        <v>11</v>
      </c>
      <c r="R975" s="504" t="str">
        <f t="shared" si="58"/>
        <v>Gastos_custeados_por_captação</v>
      </c>
      <c r="S975" s="504" t="str">
        <f>IF(D975="","",IF(OR(D975=Plano!$A$1,D975=Plano!$B$1),"entrada","saída"))</f>
        <v>saída</v>
      </c>
      <c r="T975" s="505" t="s">
        <v>114</v>
      </c>
      <c r="U975" s="505" t="s">
        <v>114</v>
      </c>
      <c r="V975" s="541"/>
    </row>
    <row r="976" spans="1:22" ht="50.1" customHeight="1" x14ac:dyDescent="0.2">
      <c r="A976" s="619">
        <f>IF(B976="","",COUNT('Diário 5º PA'!$A$5:$A$2634)+COUNT('Diário 6º PA'!$A$5:$A$2246)+COUNT('Diário 7º PA'!$A$5:$A$2271)+ROW()-4)</f>
        <v>4922</v>
      </c>
      <c r="B976" s="620">
        <v>44517</v>
      </c>
      <c r="C976" s="621">
        <v>44470</v>
      </c>
      <c r="D976" s="548" t="s">
        <v>99</v>
      </c>
      <c r="E976" s="548" t="s">
        <v>216</v>
      </c>
      <c r="F976" s="622">
        <v>-85.57</v>
      </c>
      <c r="G976" s="623" t="s">
        <v>6226</v>
      </c>
      <c r="H976" s="548" t="s">
        <v>115</v>
      </c>
      <c r="I976" s="583" t="s">
        <v>983</v>
      </c>
      <c r="J976" s="548" t="s">
        <v>850</v>
      </c>
      <c r="K976" s="583" t="s">
        <v>946</v>
      </c>
      <c r="L976" s="583" t="s">
        <v>947</v>
      </c>
      <c r="M976" s="632" t="s">
        <v>114</v>
      </c>
      <c r="N976" s="620">
        <v>44517</v>
      </c>
      <c r="O976" s="684" t="s">
        <v>67</v>
      </c>
      <c r="P976" s="503">
        <f t="shared" si="56"/>
        <v>11</v>
      </c>
      <c r="Q976" s="503">
        <f t="shared" si="57"/>
        <v>10</v>
      </c>
      <c r="R976" s="504" t="str">
        <f t="shared" si="58"/>
        <v>Gastos_Gerais</v>
      </c>
      <c r="S976" s="504" t="str">
        <f>IF(D976="","",IF(OR(D976=Plano!$A$1,D976=Plano!$B$1),"entrada","saída"))</f>
        <v>saída</v>
      </c>
      <c r="T976" s="511" t="s">
        <v>114</v>
      </c>
      <c r="U976" s="511" t="s">
        <v>114</v>
      </c>
      <c r="V976" s="541"/>
    </row>
    <row r="977" spans="1:22" ht="50.1" customHeight="1" x14ac:dyDescent="0.2">
      <c r="A977" s="619">
        <f>IF(B977="","",COUNT('Diário 5º PA'!$A$5:$A$2634)+COUNT('Diário 6º PA'!$A$5:$A$2246)+COUNT('Diário 7º PA'!$A$5:$A$2271)+ROW()-4)</f>
        <v>4923</v>
      </c>
      <c r="B977" s="620">
        <v>44517</v>
      </c>
      <c r="C977" s="621">
        <v>44470</v>
      </c>
      <c r="D977" s="548" t="s">
        <v>99</v>
      </c>
      <c r="E977" s="548" t="s">
        <v>222</v>
      </c>
      <c r="F977" s="622">
        <v>-176.12</v>
      </c>
      <c r="G977" s="623" t="s">
        <v>6227</v>
      </c>
      <c r="H977" s="548" t="s">
        <v>115</v>
      </c>
      <c r="I977" s="583" t="s">
        <v>983</v>
      </c>
      <c r="J977" s="548" t="s">
        <v>850</v>
      </c>
      <c r="K977" s="583" t="s">
        <v>946</v>
      </c>
      <c r="L977" s="583" t="s">
        <v>947</v>
      </c>
      <c r="M977" s="632" t="s">
        <v>114</v>
      </c>
      <c r="N977" s="620">
        <v>44517</v>
      </c>
      <c r="O977" s="684" t="s">
        <v>67</v>
      </c>
      <c r="P977" s="503">
        <f t="shared" si="56"/>
        <v>11</v>
      </c>
      <c r="Q977" s="503">
        <f t="shared" si="57"/>
        <v>10</v>
      </c>
      <c r="R977" s="504" t="str">
        <f t="shared" si="58"/>
        <v>Gastos_Gerais</v>
      </c>
      <c r="S977" s="504" t="str">
        <f>IF(D977="","",IF(OR(D977=Plano!$A$1,D977=Plano!$B$1),"entrada","saída"))</f>
        <v>saída</v>
      </c>
      <c r="T977" s="511" t="s">
        <v>114</v>
      </c>
      <c r="U977" s="511" t="s">
        <v>114</v>
      </c>
      <c r="V977" s="541"/>
    </row>
    <row r="978" spans="1:22" ht="153" customHeight="1" x14ac:dyDescent="0.2">
      <c r="A978" s="619">
        <f>IF(B978="","",COUNT('Diário 5º PA'!$A$5:$A$2634)+COUNT('Diário 6º PA'!$A$5:$A$2246)+COUNT('Diário 7º PA'!$A$5:$A$2271)+ROW()-4)</f>
        <v>4924</v>
      </c>
      <c r="B978" s="620">
        <v>44517</v>
      </c>
      <c r="C978" s="624">
        <v>44470</v>
      </c>
      <c r="D978" s="548" t="s">
        <v>99</v>
      </c>
      <c r="E978" s="548" t="s">
        <v>358</v>
      </c>
      <c r="F978" s="622">
        <v>1936.74</v>
      </c>
      <c r="G978" s="623" t="s">
        <v>741</v>
      </c>
      <c r="H978" s="548" t="s">
        <v>131</v>
      </c>
      <c r="I978" s="583" t="s">
        <v>5185</v>
      </c>
      <c r="J978" s="548" t="s">
        <v>740</v>
      </c>
      <c r="K978" s="583" t="s">
        <v>1015</v>
      </c>
      <c r="L978" s="583" t="s">
        <v>1029</v>
      </c>
      <c r="M978" s="619">
        <v>1440</v>
      </c>
      <c r="N978" s="620">
        <v>44516</v>
      </c>
      <c r="O978" s="684" t="s">
        <v>67</v>
      </c>
      <c r="P978" s="503">
        <f t="shared" si="56"/>
        <v>11</v>
      </c>
      <c r="Q978" s="503">
        <f t="shared" si="57"/>
        <v>10</v>
      </c>
      <c r="R978" s="504" t="str">
        <f t="shared" si="58"/>
        <v>Gastos_Gerais</v>
      </c>
      <c r="S978" s="504" t="str">
        <f>IF(D978="","",IF(OR(D978=Plano!$A$1,D978=Plano!$B$1),"entrada","saída"))</f>
        <v>saída</v>
      </c>
      <c r="T978" s="505" t="s">
        <v>994</v>
      </c>
      <c r="U978" s="505">
        <v>1914</v>
      </c>
      <c r="V978" s="541"/>
    </row>
    <row r="979" spans="1:22" ht="154.5" customHeight="1" x14ac:dyDescent="0.2">
      <c r="A979" s="619">
        <f>IF(B979="","",COUNT('Diário 5º PA'!$A$5:$A$2634)+COUNT('Diário 6º PA'!$A$5:$A$2246)+COUNT('Diário 7º PA'!$A$5:$A$2271)+ROW()-4)</f>
        <v>4925</v>
      </c>
      <c r="B979" s="620">
        <v>44517</v>
      </c>
      <c r="C979" s="624">
        <v>44470</v>
      </c>
      <c r="D979" s="548" t="s">
        <v>104</v>
      </c>
      <c r="E979" s="548" t="s">
        <v>104</v>
      </c>
      <c r="F979" s="622">
        <v>1936.74</v>
      </c>
      <c r="G979" s="623" t="s">
        <v>742</v>
      </c>
      <c r="H979" s="548" t="s">
        <v>104</v>
      </c>
      <c r="I979" s="583" t="s">
        <v>5190</v>
      </c>
      <c r="J979" s="548" t="s">
        <v>743</v>
      </c>
      <c r="K979" s="583" t="s">
        <v>1015</v>
      </c>
      <c r="L979" s="583" t="s">
        <v>1029</v>
      </c>
      <c r="M979" s="619">
        <v>1439</v>
      </c>
      <c r="N979" s="620">
        <v>44516</v>
      </c>
      <c r="O979" s="684" t="s">
        <v>67</v>
      </c>
      <c r="P979" s="503">
        <f t="shared" si="56"/>
        <v>11</v>
      </c>
      <c r="Q979" s="503">
        <f t="shared" si="57"/>
        <v>10</v>
      </c>
      <c r="R979" s="504" t="str">
        <f t="shared" si="58"/>
        <v>Gastos_custeados_por_captação</v>
      </c>
      <c r="S979" s="504" t="str">
        <f>IF(D979="","",IF(OR(D979=Plano!$A$1,D979=Plano!$B$1),"entrada","saída"))</f>
        <v>saída</v>
      </c>
      <c r="T979" s="505" t="s">
        <v>1059</v>
      </c>
      <c r="U979" s="505">
        <v>1915</v>
      </c>
      <c r="V979" s="541"/>
    </row>
    <row r="980" spans="1:22" ht="189" customHeight="1" x14ac:dyDescent="0.2">
      <c r="A980" s="619">
        <f>IF(B980="","",COUNT('Diário 5º PA'!$A$5:$A$2634)+COUNT('Diário 6º PA'!$A$5:$A$2246)+COUNT('Diário 7º PA'!$A$5:$A$2271)+ROW()-4)</f>
        <v>4926</v>
      </c>
      <c r="B980" s="620">
        <v>44517</v>
      </c>
      <c r="C980" s="624">
        <v>44470</v>
      </c>
      <c r="D980" s="548" t="s">
        <v>99</v>
      </c>
      <c r="E980" s="548" t="s">
        <v>358</v>
      </c>
      <c r="F980" s="622">
        <v>2184.1799999999998</v>
      </c>
      <c r="G980" s="623" t="s">
        <v>724</v>
      </c>
      <c r="H980" s="548" t="s">
        <v>131</v>
      </c>
      <c r="I980" s="583" t="s">
        <v>2398</v>
      </c>
      <c r="J980" s="548" t="s">
        <v>723</v>
      </c>
      <c r="K980" s="583" t="s">
        <v>1015</v>
      </c>
      <c r="L980" s="583" t="s">
        <v>1029</v>
      </c>
      <c r="M980" s="619">
        <v>1143</v>
      </c>
      <c r="N980" s="620">
        <v>44517</v>
      </c>
      <c r="O980" s="684" t="s">
        <v>67</v>
      </c>
      <c r="P980" s="503">
        <f t="shared" si="56"/>
        <v>11</v>
      </c>
      <c r="Q980" s="503">
        <f t="shared" si="57"/>
        <v>10</v>
      </c>
      <c r="R980" s="504" t="str">
        <f t="shared" si="58"/>
        <v>Gastos_Gerais</v>
      </c>
      <c r="S980" s="504" t="str">
        <f>IF(D980="","",IF(OR(D980=Plano!$A$1,D980=Plano!$B$1),"entrada","saída"))</f>
        <v>saída</v>
      </c>
      <c r="T980" s="505" t="s">
        <v>994</v>
      </c>
      <c r="U980" s="505">
        <v>1894</v>
      </c>
      <c r="V980" s="541"/>
    </row>
    <row r="981" spans="1:22" ht="91.5" customHeight="1" x14ac:dyDescent="0.2">
      <c r="A981" s="619">
        <f>IF(B981="","",COUNT('Diário 5º PA'!$A$5:$A$2634)+COUNT('Diário 6º PA'!$A$5:$A$2246)+COUNT('Diário 7º PA'!$A$5:$A$2271)+ROW()-4)</f>
        <v>4927</v>
      </c>
      <c r="B981" s="620">
        <v>44517</v>
      </c>
      <c r="C981" s="624">
        <v>44470</v>
      </c>
      <c r="D981" s="548" t="s">
        <v>99</v>
      </c>
      <c r="E981" s="548" t="s">
        <v>350</v>
      </c>
      <c r="F981" s="622">
        <v>1700</v>
      </c>
      <c r="G981" s="623" t="s">
        <v>5431</v>
      </c>
      <c r="H981" s="548" t="s">
        <v>116</v>
      </c>
      <c r="I981" s="583" t="s">
        <v>6234</v>
      </c>
      <c r="J981" s="548" t="s">
        <v>1798</v>
      </c>
      <c r="K981" s="583" t="s">
        <v>991</v>
      </c>
      <c r="L981" s="583" t="s">
        <v>1177</v>
      </c>
      <c r="M981" s="619" t="s">
        <v>114</v>
      </c>
      <c r="N981" s="620">
        <v>44517</v>
      </c>
      <c r="O981" s="684" t="s">
        <v>67</v>
      </c>
      <c r="P981" s="503">
        <f t="shared" si="56"/>
        <v>11</v>
      </c>
      <c r="Q981" s="503">
        <f t="shared" si="57"/>
        <v>10</v>
      </c>
      <c r="R981" s="504" t="str">
        <f t="shared" si="58"/>
        <v>Gastos_Gerais</v>
      </c>
      <c r="S981" s="504" t="str">
        <f>IF(D981="","",IF(OR(D981=Plano!$A$1,D981=Plano!$B$1),"entrada","saída"))</f>
        <v>saída</v>
      </c>
      <c r="T981" s="505" t="s">
        <v>994</v>
      </c>
      <c r="U981" s="505">
        <v>2188</v>
      </c>
      <c r="V981" s="541"/>
    </row>
    <row r="982" spans="1:22" ht="46.5" customHeight="1" x14ac:dyDescent="0.2">
      <c r="A982" s="619">
        <f>IF(B982="","",COUNT('Diário 5º PA'!$A$5:$A$2634)+COUNT('Diário 6º PA'!$A$5:$A$2246)+COUNT('Diário 7º PA'!$A$5:$A$2271)+ROW()-4)</f>
        <v>4928</v>
      </c>
      <c r="B982" s="620">
        <v>44517</v>
      </c>
      <c r="C982" s="621">
        <v>44501</v>
      </c>
      <c r="D982" s="548" t="s">
        <v>88</v>
      </c>
      <c r="E982" s="548" t="s">
        <v>181</v>
      </c>
      <c r="F982" s="622">
        <v>14818.02</v>
      </c>
      <c r="G982" s="623" t="s">
        <v>6235</v>
      </c>
      <c r="H982" s="548" t="s">
        <v>114</v>
      </c>
      <c r="I982" s="583" t="s">
        <v>1191</v>
      </c>
      <c r="J982" s="548" t="s">
        <v>1192</v>
      </c>
      <c r="K982" s="583" t="s">
        <v>991</v>
      </c>
      <c r="L982" s="583" t="s">
        <v>1352</v>
      </c>
      <c r="M982" s="619" t="s">
        <v>114</v>
      </c>
      <c r="N982" s="620">
        <v>44517</v>
      </c>
      <c r="O982" s="684" t="s">
        <v>67</v>
      </c>
      <c r="P982" s="503">
        <f t="shared" si="56"/>
        <v>11</v>
      </c>
      <c r="Q982" s="503">
        <f t="shared" si="57"/>
        <v>11</v>
      </c>
      <c r="R982" s="504" t="str">
        <f t="shared" si="58"/>
        <v>Gastos_com_Pessoal</v>
      </c>
      <c r="S982" s="504" t="str">
        <f>IF(D982="","",IF(OR(D982=Plano!$A$1,D982=Plano!$B$1),"entrada","saída"))</f>
        <v>saída</v>
      </c>
      <c r="T982" s="505" t="s">
        <v>114</v>
      </c>
      <c r="U982" s="505" t="s">
        <v>114</v>
      </c>
      <c r="V982" s="541"/>
    </row>
    <row r="983" spans="1:22" ht="44.25" customHeight="1" x14ac:dyDescent="0.2">
      <c r="A983" s="619">
        <f>IF(B983="","",COUNT('Diário 5º PA'!$A$5:$A$2634)+COUNT('Diário 6º PA'!$A$5:$A$2246)+COUNT('Diário 7º PA'!$A$5:$A$2271)+ROW()-4)</f>
        <v>4929</v>
      </c>
      <c r="B983" s="620">
        <v>44517</v>
      </c>
      <c r="C983" s="621">
        <v>44501</v>
      </c>
      <c r="D983" s="548" t="s">
        <v>88</v>
      </c>
      <c r="E983" s="548" t="s">
        <v>173</v>
      </c>
      <c r="F983" s="622">
        <v>6592.44</v>
      </c>
      <c r="G983" s="623" t="s">
        <v>6238</v>
      </c>
      <c r="H983" s="548" t="s">
        <v>114</v>
      </c>
      <c r="I983" s="583" t="s">
        <v>1259</v>
      </c>
      <c r="J983" s="548" t="s">
        <v>114</v>
      </c>
      <c r="K983" s="583" t="s">
        <v>466</v>
      </c>
      <c r="L983" s="583" t="s">
        <v>171</v>
      </c>
      <c r="M983" s="620" t="s">
        <v>114</v>
      </c>
      <c r="N983" s="620">
        <v>44517</v>
      </c>
      <c r="O983" s="684" t="s">
        <v>67</v>
      </c>
      <c r="P983" s="503">
        <f t="shared" si="56"/>
        <v>11</v>
      </c>
      <c r="Q983" s="503">
        <f t="shared" si="57"/>
        <v>11</v>
      </c>
      <c r="R983" s="504" t="str">
        <f t="shared" si="58"/>
        <v>Gastos_com_Pessoal</v>
      </c>
      <c r="S983" s="504" t="str">
        <f>IF(D983="","",IF(OR(D983=Plano!$A$1,D983=Plano!$B$1),"entrada","saída"))</f>
        <v>saída</v>
      </c>
      <c r="T983" s="505" t="s">
        <v>114</v>
      </c>
      <c r="U983" s="505" t="s">
        <v>114</v>
      </c>
      <c r="V983" s="541"/>
    </row>
    <row r="984" spans="1:22" ht="50.1" customHeight="1" x14ac:dyDescent="0.2">
      <c r="A984" s="619">
        <f>IF(B984="","",COUNT('Diário 5º PA'!$A$5:$A$2634)+COUNT('Diário 6º PA'!$A$5:$A$2246)+COUNT('Diário 7º PA'!$A$5:$A$2271)+ROW()-4)</f>
        <v>4930</v>
      </c>
      <c r="B984" s="620">
        <v>44517</v>
      </c>
      <c r="C984" s="621">
        <v>44470</v>
      </c>
      <c r="D984" s="548" t="s">
        <v>99</v>
      </c>
      <c r="E984" s="548" t="s">
        <v>222</v>
      </c>
      <c r="F984" s="622">
        <v>666.88</v>
      </c>
      <c r="G984" s="623" t="s">
        <v>524</v>
      </c>
      <c r="H984" s="548" t="s">
        <v>115</v>
      </c>
      <c r="I984" s="583" t="s">
        <v>522</v>
      </c>
      <c r="J984" s="548" t="s">
        <v>523</v>
      </c>
      <c r="K984" s="583" t="s">
        <v>1375</v>
      </c>
      <c r="L984" s="583" t="s">
        <v>697</v>
      </c>
      <c r="M984" s="619" t="s">
        <v>114</v>
      </c>
      <c r="N984" s="620">
        <v>44501</v>
      </c>
      <c r="O984" s="684" t="s">
        <v>67</v>
      </c>
      <c r="P984" s="503">
        <f t="shared" si="56"/>
        <v>11</v>
      </c>
      <c r="Q984" s="503">
        <f t="shared" si="57"/>
        <v>10</v>
      </c>
      <c r="R984" s="504" t="str">
        <f t="shared" si="58"/>
        <v>Gastos_Gerais</v>
      </c>
      <c r="S984" s="504" t="str">
        <f>IF(D984="","",IF(OR(D984=Plano!$A$1,D984=Plano!$B$1),"entrada","saída"))</f>
        <v>saída</v>
      </c>
      <c r="T984" s="505" t="s">
        <v>114</v>
      </c>
      <c r="U984" s="505" t="s">
        <v>114</v>
      </c>
      <c r="V984" s="541"/>
    </row>
    <row r="985" spans="1:22" ht="50.1" customHeight="1" x14ac:dyDescent="0.2">
      <c r="A985" s="619">
        <f>IF(B985="","",COUNT('Diário 5º PA'!$A$5:$A$2634)+COUNT('Diário 6º PA'!$A$5:$A$2246)+COUNT('Diário 7º PA'!$A$5:$A$2271)+ROW()-4)</f>
        <v>4931</v>
      </c>
      <c r="B985" s="620">
        <v>44517</v>
      </c>
      <c r="C985" s="621">
        <v>44470</v>
      </c>
      <c r="D985" s="548" t="s">
        <v>99</v>
      </c>
      <c r="E985" s="548" t="s">
        <v>216</v>
      </c>
      <c r="F985" s="622">
        <v>324</v>
      </c>
      <c r="G985" s="623" t="s">
        <v>5741</v>
      </c>
      <c r="H985" s="548" t="s">
        <v>115</v>
      </c>
      <c r="I985" s="583" t="s">
        <v>513</v>
      </c>
      <c r="J985" s="548" t="s">
        <v>514</v>
      </c>
      <c r="K985" s="583" t="s">
        <v>696</v>
      </c>
      <c r="L985" s="583" t="s">
        <v>697</v>
      </c>
      <c r="M985" s="619">
        <v>67021325</v>
      </c>
      <c r="N985" s="620">
        <v>44496</v>
      </c>
      <c r="O985" s="684" t="s">
        <v>67</v>
      </c>
      <c r="P985" s="503">
        <f t="shared" si="56"/>
        <v>11</v>
      </c>
      <c r="Q985" s="503">
        <f t="shared" si="57"/>
        <v>10</v>
      </c>
      <c r="R985" s="504" t="str">
        <f t="shared" si="58"/>
        <v>Gastos_Gerais</v>
      </c>
      <c r="S985" s="504" t="str">
        <f>IF(D985="","",IF(OR(D985=Plano!$A$1,D985=Plano!$B$1),"entrada","saída"))</f>
        <v>saída</v>
      </c>
      <c r="T985" s="505" t="s">
        <v>114</v>
      </c>
      <c r="U985" s="505" t="s">
        <v>114</v>
      </c>
      <c r="V985" s="541"/>
    </row>
    <row r="986" spans="1:22" ht="83.25" customHeight="1" x14ac:dyDescent="0.2">
      <c r="A986" s="619">
        <f>IF(B986="","",COUNT('Diário 5º PA'!$A$5:$A$2634)+COUNT('Diário 6º PA'!$A$5:$A$2246)+COUNT('Diário 7º PA'!$A$5:$A$2271)+ROW()-4)</f>
        <v>4932</v>
      </c>
      <c r="B986" s="620">
        <v>44517</v>
      </c>
      <c r="C986" s="624">
        <v>44501</v>
      </c>
      <c r="D986" s="548" t="s">
        <v>99</v>
      </c>
      <c r="E986" s="548" t="s">
        <v>358</v>
      </c>
      <c r="F986" s="622">
        <v>617</v>
      </c>
      <c r="G986" s="623" t="s">
        <v>5380</v>
      </c>
      <c r="H986" s="548" t="s">
        <v>131</v>
      </c>
      <c r="I986" s="583" t="s">
        <v>1908</v>
      </c>
      <c r="J986" s="548" t="s">
        <v>828</v>
      </c>
      <c r="K986" s="583" t="s">
        <v>991</v>
      </c>
      <c r="L986" s="583" t="s">
        <v>1029</v>
      </c>
      <c r="M986" s="619">
        <v>1436</v>
      </c>
      <c r="N986" s="620">
        <v>44516</v>
      </c>
      <c r="O986" s="684" t="s">
        <v>67</v>
      </c>
      <c r="P986" s="503">
        <f t="shared" si="56"/>
        <v>11</v>
      </c>
      <c r="Q986" s="503">
        <f t="shared" si="57"/>
        <v>11</v>
      </c>
      <c r="R986" s="504" t="str">
        <f t="shared" si="58"/>
        <v>Gastos_Gerais</v>
      </c>
      <c r="S986" s="504" t="str">
        <f>IF(D986="","",IF(OR(D986=Plano!$A$1,D986=Plano!$B$1),"entrada","saída"))</f>
        <v>saída</v>
      </c>
      <c r="T986" s="505" t="s">
        <v>1059</v>
      </c>
      <c r="U986" s="505">
        <v>2166</v>
      </c>
      <c r="V986" s="541"/>
    </row>
    <row r="987" spans="1:22" ht="169.5" customHeight="1" x14ac:dyDescent="0.2">
      <c r="A987" s="619">
        <f>IF(B987="","",COUNT('Diário 5º PA'!$A$5:$A$2634)+COUNT('Diário 6º PA'!$A$5:$A$2246)+COUNT('Diário 7º PA'!$A$5:$A$2271)+ROW()-4)</f>
        <v>4933</v>
      </c>
      <c r="B987" s="620">
        <v>44517</v>
      </c>
      <c r="C987" s="624">
        <v>44470</v>
      </c>
      <c r="D987" s="548" t="s">
        <v>99</v>
      </c>
      <c r="E987" s="548" t="s">
        <v>358</v>
      </c>
      <c r="F987" s="622">
        <v>1545.6</v>
      </c>
      <c r="G987" s="623" t="s">
        <v>775</v>
      </c>
      <c r="H987" s="548" t="s">
        <v>131</v>
      </c>
      <c r="I987" s="583" t="s">
        <v>5243</v>
      </c>
      <c r="J987" s="548" t="s">
        <v>776</v>
      </c>
      <c r="K987" s="583" t="s">
        <v>991</v>
      </c>
      <c r="L987" s="583" t="s">
        <v>1029</v>
      </c>
      <c r="M987" s="619">
        <v>1437</v>
      </c>
      <c r="N987" s="620">
        <v>44516</v>
      </c>
      <c r="O987" s="684" t="s">
        <v>67</v>
      </c>
      <c r="P987" s="503">
        <f t="shared" si="56"/>
        <v>11</v>
      </c>
      <c r="Q987" s="503">
        <f t="shared" si="57"/>
        <v>10</v>
      </c>
      <c r="R987" s="504" t="str">
        <f t="shared" si="58"/>
        <v>Gastos_Gerais</v>
      </c>
      <c r="S987" s="504" t="str">
        <f>IF(D987="","",IF(OR(D987=Plano!$A$1,D987=Plano!$B$1),"entrada","saída"))</f>
        <v>saída</v>
      </c>
      <c r="T987" s="505" t="s">
        <v>994</v>
      </c>
      <c r="U987" s="505">
        <v>1942</v>
      </c>
      <c r="V987" s="541"/>
    </row>
    <row r="988" spans="1:22" ht="168" customHeight="1" x14ac:dyDescent="0.2">
      <c r="A988" s="619">
        <f>IF(B988="","",COUNT('Diário 5º PA'!$A$5:$A$2634)+COUNT('Diário 6º PA'!$A$5:$A$2246)+COUNT('Diário 7º PA'!$A$5:$A$2271)+ROW()-4)</f>
        <v>4934</v>
      </c>
      <c r="B988" s="620">
        <v>44517</v>
      </c>
      <c r="C988" s="624">
        <v>44470</v>
      </c>
      <c r="D988" s="548" t="s">
        <v>99</v>
      </c>
      <c r="E988" s="548" t="s">
        <v>358</v>
      </c>
      <c r="F988" s="622">
        <v>1936.74</v>
      </c>
      <c r="G988" s="623" t="s">
        <v>744</v>
      </c>
      <c r="H988" s="548" t="s">
        <v>131</v>
      </c>
      <c r="I988" s="583" t="s">
        <v>5167</v>
      </c>
      <c r="J988" s="548" t="s">
        <v>745</v>
      </c>
      <c r="K988" s="583" t="s">
        <v>991</v>
      </c>
      <c r="L988" s="583" t="s">
        <v>1029</v>
      </c>
      <c r="M988" s="619">
        <v>1438</v>
      </c>
      <c r="N988" s="620">
        <v>44516</v>
      </c>
      <c r="O988" s="684" t="s">
        <v>67</v>
      </c>
      <c r="P988" s="503">
        <f t="shared" si="56"/>
        <v>11</v>
      </c>
      <c r="Q988" s="503">
        <f t="shared" si="57"/>
        <v>10</v>
      </c>
      <c r="R988" s="504" t="str">
        <f t="shared" si="58"/>
        <v>Gastos_Gerais</v>
      </c>
      <c r="S988" s="504" t="str">
        <f>IF(D988="","",IF(OR(D988=Plano!$A$1,D988=Plano!$B$1),"entrada","saída"))</f>
        <v>saída</v>
      </c>
      <c r="T988" s="505" t="s">
        <v>994</v>
      </c>
      <c r="U988" s="505">
        <v>1916</v>
      </c>
      <c r="V988" s="541"/>
    </row>
    <row r="989" spans="1:22" ht="175.5" customHeight="1" x14ac:dyDescent="0.2">
      <c r="A989" s="619">
        <f>IF(B989="","",COUNT('Diário 5º PA'!$A$5:$A$2634)+COUNT('Diário 6º PA'!$A$5:$A$2246)+COUNT('Diário 7º PA'!$A$5:$A$2271)+ROW()-4)</f>
        <v>4935</v>
      </c>
      <c r="B989" s="620">
        <v>44517</v>
      </c>
      <c r="C989" s="624">
        <v>44470</v>
      </c>
      <c r="D989" s="548" t="s">
        <v>99</v>
      </c>
      <c r="E989" s="548" t="s">
        <v>358</v>
      </c>
      <c r="F989" s="622">
        <v>2184.1799999999998</v>
      </c>
      <c r="G989" s="623" t="s">
        <v>728</v>
      </c>
      <c r="H989" s="548" t="s">
        <v>131</v>
      </c>
      <c r="I989" s="583" t="s">
        <v>2415</v>
      </c>
      <c r="J989" s="548" t="s">
        <v>729</v>
      </c>
      <c r="K989" s="583" t="s">
        <v>991</v>
      </c>
      <c r="L989" s="583" t="s">
        <v>1029</v>
      </c>
      <c r="M989" s="619">
        <v>1441</v>
      </c>
      <c r="N989" s="620">
        <v>44516</v>
      </c>
      <c r="O989" s="684" t="s">
        <v>67</v>
      </c>
      <c r="P989" s="503">
        <f t="shared" si="56"/>
        <v>11</v>
      </c>
      <c r="Q989" s="503">
        <f t="shared" si="57"/>
        <v>10</v>
      </c>
      <c r="R989" s="504" t="str">
        <f t="shared" si="58"/>
        <v>Gastos_Gerais</v>
      </c>
      <c r="S989" s="504" t="str">
        <f>IF(D989="","",IF(OR(D989=Plano!$A$1,D989=Plano!$B$1),"entrada","saída"))</f>
        <v>saída</v>
      </c>
      <c r="T989" s="505" t="s">
        <v>1082</v>
      </c>
      <c r="U989" s="505">
        <v>1895</v>
      </c>
      <c r="V989" s="541"/>
    </row>
    <row r="990" spans="1:22" ht="160.5" customHeight="1" x14ac:dyDescent="0.2">
      <c r="A990" s="619">
        <f>IF(B990="","",COUNT('Diário 5º PA'!$A$5:$A$2634)+COUNT('Diário 6º PA'!$A$5:$A$2246)+COUNT('Diário 7º PA'!$A$5:$A$2271)+ROW()-4)</f>
        <v>4936</v>
      </c>
      <c r="B990" s="620">
        <v>44517</v>
      </c>
      <c r="C990" s="624">
        <v>44470</v>
      </c>
      <c r="D990" s="548" t="s">
        <v>99</v>
      </c>
      <c r="E990" s="548" t="s">
        <v>358</v>
      </c>
      <c r="F990" s="622">
        <v>2184.1799999999998</v>
      </c>
      <c r="G990" s="623" t="s">
        <v>733</v>
      </c>
      <c r="H990" s="548" t="s">
        <v>131</v>
      </c>
      <c r="I990" s="583" t="s">
        <v>2413</v>
      </c>
      <c r="J990" s="548" t="s">
        <v>734</v>
      </c>
      <c r="K990" s="583" t="s">
        <v>991</v>
      </c>
      <c r="L990" s="583" t="s">
        <v>1029</v>
      </c>
      <c r="M990" s="619">
        <v>1442</v>
      </c>
      <c r="N990" s="620">
        <v>44516</v>
      </c>
      <c r="O990" s="684" t="s">
        <v>67</v>
      </c>
      <c r="P990" s="503">
        <f t="shared" si="56"/>
        <v>11</v>
      </c>
      <c r="Q990" s="503">
        <f t="shared" si="57"/>
        <v>10</v>
      </c>
      <c r="R990" s="504" t="str">
        <f t="shared" si="58"/>
        <v>Gastos_Gerais</v>
      </c>
      <c r="S990" s="504" t="str">
        <f>IF(D990="","",IF(OR(D990=Plano!$A$1,D990=Plano!$B$1),"entrada","saída"))</f>
        <v>saída</v>
      </c>
      <c r="T990" s="505" t="s">
        <v>1059</v>
      </c>
      <c r="U990" s="505">
        <v>1893</v>
      </c>
      <c r="V990" s="541"/>
    </row>
    <row r="991" spans="1:22" ht="72.75" customHeight="1" x14ac:dyDescent="0.2">
      <c r="A991" s="619">
        <f>IF(B991="","",COUNT('Diário 5º PA'!$A$5:$A$2634)+COUNT('Diário 6º PA'!$A$5:$A$2246)+COUNT('Diário 7º PA'!$A$5:$A$2271)+ROW()-4)</f>
        <v>4937</v>
      </c>
      <c r="B991" s="620">
        <v>44517</v>
      </c>
      <c r="C991" s="624">
        <v>44470</v>
      </c>
      <c r="D991" s="548" t="s">
        <v>99</v>
      </c>
      <c r="E991" s="548" t="s">
        <v>364</v>
      </c>
      <c r="F991" s="622">
        <v>3000</v>
      </c>
      <c r="G991" s="623" t="s">
        <v>5984</v>
      </c>
      <c r="H991" s="548" t="s">
        <v>122</v>
      </c>
      <c r="I991" s="583" t="s">
        <v>6253</v>
      </c>
      <c r="J991" s="548" t="s">
        <v>5986</v>
      </c>
      <c r="K991" s="583" t="s">
        <v>991</v>
      </c>
      <c r="L991" s="583" t="s">
        <v>992</v>
      </c>
      <c r="M991" s="619" t="s">
        <v>1540</v>
      </c>
      <c r="N991" s="620">
        <v>44513</v>
      </c>
      <c r="O991" s="684" t="s">
        <v>67</v>
      </c>
      <c r="P991" s="503">
        <f t="shared" si="56"/>
        <v>11</v>
      </c>
      <c r="Q991" s="503">
        <f t="shared" si="57"/>
        <v>10</v>
      </c>
      <c r="R991" s="504" t="str">
        <f t="shared" si="58"/>
        <v>Gastos_Gerais</v>
      </c>
      <c r="S991" s="504" t="str">
        <f>IF(D991="","",IF(OR(D991=Plano!$A$1,D991=Plano!$B$1),"entrada","saída"))</f>
        <v>saída</v>
      </c>
      <c r="T991" s="505" t="s">
        <v>1082</v>
      </c>
      <c r="U991" s="505">
        <v>2259</v>
      </c>
      <c r="V991" s="541"/>
    </row>
    <row r="992" spans="1:22" s="525" customFormat="1" ht="192.75" customHeight="1" x14ac:dyDescent="0.2">
      <c r="A992" s="619">
        <f>IF(B992="","",COUNT('Diário 5º PA'!$A$5:$A$2634)+COUNT('Diário 6º PA'!$A$5:$A$2246)+COUNT('Diário 7º PA'!$A$5:$A$2271)+ROW()-4)</f>
        <v>4938</v>
      </c>
      <c r="B992" s="620">
        <v>44517</v>
      </c>
      <c r="C992" s="624">
        <v>44470</v>
      </c>
      <c r="D992" s="548" t="s">
        <v>99</v>
      </c>
      <c r="E992" s="548" t="s">
        <v>352</v>
      </c>
      <c r="F992" s="622">
        <v>2503.15</v>
      </c>
      <c r="G992" s="623" t="s">
        <v>6258</v>
      </c>
      <c r="H992" s="548" t="s">
        <v>131</v>
      </c>
      <c r="I992" s="583" t="s">
        <v>2134</v>
      </c>
      <c r="J992" s="548" t="s">
        <v>750</v>
      </c>
      <c r="K992" s="583" t="s">
        <v>991</v>
      </c>
      <c r="L992" s="583" t="s">
        <v>992</v>
      </c>
      <c r="M992" s="619" t="s">
        <v>1329</v>
      </c>
      <c r="N992" s="620">
        <v>44512</v>
      </c>
      <c r="O992" s="684" t="s">
        <v>67</v>
      </c>
      <c r="P992" s="503">
        <f t="shared" si="56"/>
        <v>11</v>
      </c>
      <c r="Q992" s="503">
        <f t="shared" si="57"/>
        <v>10</v>
      </c>
      <c r="R992" s="504" t="str">
        <f t="shared" si="58"/>
        <v>Gastos_Gerais</v>
      </c>
      <c r="S992" s="504" t="str">
        <f>IF(D992="","",IF(OR(D992=Plano!$A$1,D992=Plano!$B$1),"entrada","saída"))</f>
        <v>saída</v>
      </c>
      <c r="T992" s="505" t="s">
        <v>1059</v>
      </c>
      <c r="U992" s="505">
        <v>1851</v>
      </c>
      <c r="V992" s="541"/>
    </row>
    <row r="993" spans="1:22" ht="140.25" customHeight="1" x14ac:dyDescent="0.2">
      <c r="A993" s="619">
        <f>IF(B993="","",COUNT('Diário 5º PA'!$A$5:$A$2634)+COUNT('Diário 6º PA'!$A$5:$A$2246)+COUNT('Diário 7º PA'!$A$5:$A$2271)+ROW()-4)</f>
        <v>4939</v>
      </c>
      <c r="B993" s="620">
        <v>44517</v>
      </c>
      <c r="C993" s="624">
        <v>44440</v>
      </c>
      <c r="D993" s="548" t="s">
        <v>99</v>
      </c>
      <c r="E993" s="548" t="s">
        <v>226</v>
      </c>
      <c r="F993" s="622">
        <v>2622.21</v>
      </c>
      <c r="G993" s="623" t="s">
        <v>6256</v>
      </c>
      <c r="H993" s="548" t="s">
        <v>131</v>
      </c>
      <c r="I993" s="583" t="s">
        <v>2134</v>
      </c>
      <c r="J993" s="548" t="s">
        <v>750</v>
      </c>
      <c r="K993" s="583" t="s">
        <v>991</v>
      </c>
      <c r="L993" s="583" t="s">
        <v>992</v>
      </c>
      <c r="M993" s="619" t="s">
        <v>1546</v>
      </c>
      <c r="N993" s="620">
        <v>44512</v>
      </c>
      <c r="O993" s="684" t="s">
        <v>67</v>
      </c>
      <c r="P993" s="503">
        <f t="shared" si="56"/>
        <v>11</v>
      </c>
      <c r="Q993" s="503">
        <f t="shared" si="57"/>
        <v>9</v>
      </c>
      <c r="R993" s="504" t="str">
        <f t="shared" si="58"/>
        <v>Gastos_Gerais</v>
      </c>
      <c r="S993" s="504" t="str">
        <f>IF(D993="","",IF(OR(D993=Plano!$A$1,D993=Plano!$B$1),"entrada","saída"))</f>
        <v>saída</v>
      </c>
      <c r="T993" s="505" t="s">
        <v>994</v>
      </c>
      <c r="U993" s="505">
        <v>1852</v>
      </c>
      <c r="V993" s="541"/>
    </row>
    <row r="994" spans="1:22" ht="82.5" customHeight="1" x14ac:dyDescent="0.2">
      <c r="A994" s="619">
        <f>IF(B994="","",COUNT('Diário 5º PA'!$A$5:$A$2634)+COUNT('Diário 6º PA'!$A$5:$A$2246)+COUNT('Diário 7º PA'!$A$5:$A$2271)+ROW()-4)</f>
        <v>4940</v>
      </c>
      <c r="B994" s="620">
        <v>44517</v>
      </c>
      <c r="C994" s="624">
        <v>44501</v>
      </c>
      <c r="D994" s="548" t="s">
        <v>99</v>
      </c>
      <c r="E994" s="548" t="s">
        <v>352</v>
      </c>
      <c r="F994" s="622">
        <v>10335.99</v>
      </c>
      <c r="G994" s="623" t="s">
        <v>752</v>
      </c>
      <c r="H994" s="548" t="s">
        <v>131</v>
      </c>
      <c r="I994" s="583" t="s">
        <v>2134</v>
      </c>
      <c r="J994" s="548" t="s">
        <v>750</v>
      </c>
      <c r="K994" s="583" t="s">
        <v>991</v>
      </c>
      <c r="L994" s="583" t="s">
        <v>992</v>
      </c>
      <c r="M994" s="619" t="s">
        <v>1608</v>
      </c>
      <c r="N994" s="620">
        <v>44512</v>
      </c>
      <c r="O994" s="684" t="s">
        <v>67</v>
      </c>
      <c r="P994" s="503">
        <f t="shared" si="56"/>
        <v>11</v>
      </c>
      <c r="Q994" s="503">
        <f t="shared" si="57"/>
        <v>11</v>
      </c>
      <c r="R994" s="504" t="str">
        <f t="shared" si="58"/>
        <v>Gastos_Gerais</v>
      </c>
      <c r="S994" s="504" t="str">
        <f>IF(D994="","",IF(OR(D994=Plano!$A$1,D994=Plano!$B$1),"entrada","saída"))</f>
        <v>saída</v>
      </c>
      <c r="T994" s="505" t="s">
        <v>1059</v>
      </c>
      <c r="U994" s="505">
        <v>1850</v>
      </c>
      <c r="V994" s="541"/>
    </row>
    <row r="995" spans="1:22" s="525" customFormat="1" ht="49.5" customHeight="1" x14ac:dyDescent="0.2">
      <c r="A995" s="619">
        <f>IF(B995="","",COUNT('Diário 5º PA'!$A$5:$A$2634)+COUNT('Diário 6º PA'!$A$5:$A$2246)+COUNT('Diário 7º PA'!$A$5:$A$2271)+ROW()-4)</f>
        <v>4941</v>
      </c>
      <c r="B995" s="620">
        <v>44517</v>
      </c>
      <c r="C995" s="624">
        <v>44501</v>
      </c>
      <c r="D995" s="548" t="s">
        <v>99</v>
      </c>
      <c r="E995" s="548" t="s">
        <v>272</v>
      </c>
      <c r="F995" s="622">
        <v>10.45</v>
      </c>
      <c r="G995" s="623" t="s">
        <v>6263</v>
      </c>
      <c r="H995" s="548" t="s">
        <v>116</v>
      </c>
      <c r="I995" s="583" t="s">
        <v>949</v>
      </c>
      <c r="J995" s="548" t="s">
        <v>950</v>
      </c>
      <c r="K995" s="583" t="s">
        <v>951</v>
      </c>
      <c r="L995" s="583" t="s">
        <v>947</v>
      </c>
      <c r="M995" s="625" t="s">
        <v>114</v>
      </c>
      <c r="N995" s="620">
        <v>44517</v>
      </c>
      <c r="O995" s="684" t="s">
        <v>67</v>
      </c>
      <c r="P995" s="503">
        <f t="shared" si="56"/>
        <v>11</v>
      </c>
      <c r="Q995" s="503">
        <f t="shared" si="57"/>
        <v>11</v>
      </c>
      <c r="R995" s="504" t="str">
        <f t="shared" si="58"/>
        <v>Gastos_Gerais</v>
      </c>
      <c r="S995" s="504" t="str">
        <f>IF(D995="","",IF(OR(D995=Plano!$A$1,D995=Plano!$B$1),"entrada","saída"))</f>
        <v>saída</v>
      </c>
      <c r="T995" s="511" t="s">
        <v>114</v>
      </c>
      <c r="U995" s="511" t="s">
        <v>114</v>
      </c>
      <c r="V995" s="551" t="s">
        <v>114</v>
      </c>
    </row>
    <row r="996" spans="1:22" ht="45" customHeight="1" x14ac:dyDescent="0.2">
      <c r="A996" s="619">
        <f>IF(B996="","",COUNT('Diário 5º PA'!$A$5:$A$2634)+COUNT('Diário 6º PA'!$A$5:$A$2246)+COUNT('Diário 7º PA'!$A$5:$A$2271)+ROW()-4)</f>
        <v>4942</v>
      </c>
      <c r="B996" s="620">
        <v>44517</v>
      </c>
      <c r="C996" s="624">
        <v>44501</v>
      </c>
      <c r="D996" s="548" t="s">
        <v>99</v>
      </c>
      <c r="E996" s="548" t="s">
        <v>272</v>
      </c>
      <c r="F996" s="622">
        <v>10.45</v>
      </c>
      <c r="G996" s="623" t="s">
        <v>6264</v>
      </c>
      <c r="H996" s="548" t="s">
        <v>114</v>
      </c>
      <c r="I996" s="583" t="s">
        <v>949</v>
      </c>
      <c r="J996" s="548" t="s">
        <v>950</v>
      </c>
      <c r="K996" s="583" t="s">
        <v>951</v>
      </c>
      <c r="L996" s="583" t="s">
        <v>947</v>
      </c>
      <c r="M996" s="625" t="s">
        <v>114</v>
      </c>
      <c r="N996" s="620">
        <v>44517</v>
      </c>
      <c r="O996" s="684" t="s">
        <v>67</v>
      </c>
      <c r="P996" s="503">
        <f t="shared" si="56"/>
        <v>11</v>
      </c>
      <c r="Q996" s="503">
        <f t="shared" si="57"/>
        <v>11</v>
      </c>
      <c r="R996" s="504" t="str">
        <f t="shared" si="58"/>
        <v>Gastos_Gerais</v>
      </c>
      <c r="S996" s="504" t="str">
        <f>IF(D996="","",IF(OR(D996=Plano!$A$1,D996=Plano!$B$1),"entrada","saída"))</f>
        <v>saída</v>
      </c>
      <c r="T996" s="511" t="s">
        <v>114</v>
      </c>
      <c r="U996" s="511" t="s">
        <v>114</v>
      </c>
      <c r="V996" s="541"/>
    </row>
    <row r="997" spans="1:22" ht="38.25" customHeight="1" x14ac:dyDescent="0.2">
      <c r="A997" s="619">
        <f>IF(B997="","",COUNT('Diário 5º PA'!$A$5:$A$2634)+COUNT('Diário 6º PA'!$A$5:$A$2246)+COUNT('Diário 7º PA'!$A$5:$A$2271)+ROW()-4)</f>
        <v>4943</v>
      </c>
      <c r="B997" s="620">
        <v>44517</v>
      </c>
      <c r="C997" s="624">
        <v>44501</v>
      </c>
      <c r="D997" s="548" t="s">
        <v>99</v>
      </c>
      <c r="E997" s="548" t="s">
        <v>272</v>
      </c>
      <c r="F997" s="622">
        <v>10.45</v>
      </c>
      <c r="G997" s="623" t="s">
        <v>6133</v>
      </c>
      <c r="H997" s="548" t="s">
        <v>131</v>
      </c>
      <c r="I997" s="583" t="s">
        <v>949</v>
      </c>
      <c r="J997" s="548" t="s">
        <v>950</v>
      </c>
      <c r="K997" s="583" t="s">
        <v>951</v>
      </c>
      <c r="L997" s="583" t="s">
        <v>947</v>
      </c>
      <c r="M997" s="625" t="s">
        <v>114</v>
      </c>
      <c r="N997" s="620">
        <v>44517</v>
      </c>
      <c r="O997" s="684" t="s">
        <v>67</v>
      </c>
      <c r="P997" s="503">
        <f t="shared" si="56"/>
        <v>11</v>
      </c>
      <c r="Q997" s="503">
        <f t="shared" si="57"/>
        <v>11</v>
      </c>
      <c r="R997" s="504" t="str">
        <f t="shared" si="58"/>
        <v>Gastos_Gerais</v>
      </c>
      <c r="S997" s="504" t="str">
        <f>IF(D997="","",IF(OR(D997=Plano!$A$1,D997=Plano!$B$1),"entrada","saída"))</f>
        <v>saída</v>
      </c>
      <c r="T997" s="511" t="s">
        <v>114</v>
      </c>
      <c r="U997" s="511" t="s">
        <v>114</v>
      </c>
      <c r="V997" s="541"/>
    </row>
    <row r="998" spans="1:22" ht="38.25" customHeight="1" x14ac:dyDescent="0.2">
      <c r="A998" s="619">
        <f>IF(B998="","",COUNT('Diário 5º PA'!$A$5:$A$2634)+COUNT('Diário 6º PA'!$A$5:$A$2246)+COUNT('Diário 7º PA'!$A$5:$A$2271)+ROW()-4)</f>
        <v>4944</v>
      </c>
      <c r="B998" s="620">
        <v>44517</v>
      </c>
      <c r="C998" s="624">
        <v>44501</v>
      </c>
      <c r="D998" s="548" t="s">
        <v>99</v>
      </c>
      <c r="E998" s="548" t="s">
        <v>272</v>
      </c>
      <c r="F998" s="622">
        <v>10.45</v>
      </c>
      <c r="G998" s="623" t="s">
        <v>5892</v>
      </c>
      <c r="H998" s="548" t="s">
        <v>131</v>
      </c>
      <c r="I998" s="583" t="s">
        <v>949</v>
      </c>
      <c r="J998" s="548" t="s">
        <v>950</v>
      </c>
      <c r="K998" s="583" t="s">
        <v>951</v>
      </c>
      <c r="L998" s="583" t="s">
        <v>947</v>
      </c>
      <c r="M998" s="625" t="s">
        <v>114</v>
      </c>
      <c r="N998" s="620">
        <v>44517</v>
      </c>
      <c r="O998" s="684" t="s">
        <v>67</v>
      </c>
      <c r="P998" s="503">
        <f t="shared" si="56"/>
        <v>11</v>
      </c>
      <c r="Q998" s="503">
        <f t="shared" si="57"/>
        <v>11</v>
      </c>
      <c r="R998" s="504" t="str">
        <f t="shared" si="58"/>
        <v>Gastos_Gerais</v>
      </c>
      <c r="S998" s="504" t="str">
        <f>IF(D998="","",IF(OR(D998=Plano!$A$1,D998=Plano!$B$1),"entrada","saída"))</f>
        <v>saída</v>
      </c>
      <c r="T998" s="511" t="s">
        <v>114</v>
      </c>
      <c r="U998" s="511" t="s">
        <v>114</v>
      </c>
      <c r="V998" s="541"/>
    </row>
    <row r="999" spans="1:22" ht="45.75" customHeight="1" x14ac:dyDescent="0.2">
      <c r="A999" s="619">
        <f>IF(B999="","",COUNT('Diário 5º PA'!$A$5:$A$2634)+COUNT('Diário 6º PA'!$A$5:$A$2246)+COUNT('Diário 7º PA'!$A$5:$A$2271)+ROW()-4)</f>
        <v>4945</v>
      </c>
      <c r="B999" s="620">
        <v>44517</v>
      </c>
      <c r="C999" s="624">
        <v>44501</v>
      </c>
      <c r="D999" s="548" t="s">
        <v>99</v>
      </c>
      <c r="E999" s="548" t="s">
        <v>272</v>
      </c>
      <c r="F999" s="622">
        <v>10.45</v>
      </c>
      <c r="G999" s="623" t="s">
        <v>5853</v>
      </c>
      <c r="H999" s="548" t="s">
        <v>131</v>
      </c>
      <c r="I999" s="583" t="s">
        <v>949</v>
      </c>
      <c r="J999" s="548" t="s">
        <v>950</v>
      </c>
      <c r="K999" s="583" t="s">
        <v>951</v>
      </c>
      <c r="L999" s="583" t="s">
        <v>947</v>
      </c>
      <c r="M999" s="625" t="s">
        <v>114</v>
      </c>
      <c r="N999" s="620">
        <v>44517</v>
      </c>
      <c r="O999" s="684" t="s">
        <v>67</v>
      </c>
      <c r="P999" s="503">
        <f t="shared" si="56"/>
        <v>11</v>
      </c>
      <c r="Q999" s="503">
        <f t="shared" si="57"/>
        <v>11</v>
      </c>
      <c r="R999" s="504" t="str">
        <f t="shared" si="58"/>
        <v>Gastos_Gerais</v>
      </c>
      <c r="S999" s="504" t="str">
        <f>IF(D999="","",IF(OR(D999=Plano!$A$1,D999=Plano!$B$1),"entrada","saída"))</f>
        <v>saída</v>
      </c>
      <c r="T999" s="511" t="s">
        <v>114</v>
      </c>
      <c r="U999" s="511" t="s">
        <v>114</v>
      </c>
      <c r="V999" s="541"/>
    </row>
    <row r="1000" spans="1:22" ht="50.25" customHeight="1" x14ac:dyDescent="0.2">
      <c r="A1000" s="619">
        <f>IF(B1000="","",COUNT('Diário 5º PA'!$A$5:$A$2634)+COUNT('Diário 6º PA'!$A$5:$A$2246)+COUNT('Diário 7º PA'!$A$5:$A$2271)+ROW()-4)</f>
        <v>4946</v>
      </c>
      <c r="B1000" s="620">
        <v>44517</v>
      </c>
      <c r="C1000" s="624">
        <v>44501</v>
      </c>
      <c r="D1000" s="548" t="s">
        <v>99</v>
      </c>
      <c r="E1000" s="548" t="s">
        <v>272</v>
      </c>
      <c r="F1000" s="622">
        <v>10.45</v>
      </c>
      <c r="G1000" s="623" t="s">
        <v>5769</v>
      </c>
      <c r="H1000" s="548" t="s">
        <v>131</v>
      </c>
      <c r="I1000" s="583" t="s">
        <v>949</v>
      </c>
      <c r="J1000" s="548" t="s">
        <v>950</v>
      </c>
      <c r="K1000" s="583" t="s">
        <v>951</v>
      </c>
      <c r="L1000" s="583" t="s">
        <v>947</v>
      </c>
      <c r="M1000" s="625" t="s">
        <v>114</v>
      </c>
      <c r="N1000" s="620">
        <v>44517</v>
      </c>
      <c r="O1000" s="684" t="s">
        <v>67</v>
      </c>
      <c r="P1000" s="503">
        <f t="shared" si="56"/>
        <v>11</v>
      </c>
      <c r="Q1000" s="503">
        <f t="shared" si="57"/>
        <v>11</v>
      </c>
      <c r="R1000" s="504" t="str">
        <f t="shared" si="58"/>
        <v>Gastos_Gerais</v>
      </c>
      <c r="S1000" s="504" t="str">
        <f>IF(D1000="","",IF(OR(D1000=Plano!$A$1,D1000=Plano!$B$1),"entrada","saída"))</f>
        <v>saída</v>
      </c>
      <c r="T1000" s="511" t="s">
        <v>114</v>
      </c>
      <c r="U1000" s="511" t="s">
        <v>114</v>
      </c>
      <c r="V1000" s="541"/>
    </row>
    <row r="1001" spans="1:22" ht="56.25" customHeight="1" x14ac:dyDescent="0.2">
      <c r="A1001" s="619">
        <f>IF(B1001="","",COUNT('Diário 5º PA'!$A$5:$A$2634)+COUNT('Diário 6º PA'!$A$5:$A$2246)+COUNT('Diário 7º PA'!$A$5:$A$2271)+ROW()-4)</f>
        <v>4947</v>
      </c>
      <c r="B1001" s="620">
        <v>44517</v>
      </c>
      <c r="C1001" s="624">
        <v>44501</v>
      </c>
      <c r="D1001" s="548" t="s">
        <v>99</v>
      </c>
      <c r="E1001" s="548" t="s">
        <v>272</v>
      </c>
      <c r="F1001" s="622">
        <v>10.45</v>
      </c>
      <c r="G1001" s="623" t="s">
        <v>5770</v>
      </c>
      <c r="H1001" s="548" t="s">
        <v>131</v>
      </c>
      <c r="I1001" s="583" t="s">
        <v>949</v>
      </c>
      <c r="J1001" s="548" t="s">
        <v>950</v>
      </c>
      <c r="K1001" s="583" t="s">
        <v>951</v>
      </c>
      <c r="L1001" s="583" t="s">
        <v>947</v>
      </c>
      <c r="M1001" s="625" t="s">
        <v>114</v>
      </c>
      <c r="N1001" s="620">
        <v>44517</v>
      </c>
      <c r="O1001" s="684" t="s">
        <v>67</v>
      </c>
      <c r="P1001" s="503">
        <f t="shared" si="56"/>
        <v>11</v>
      </c>
      <c r="Q1001" s="503">
        <f t="shared" si="57"/>
        <v>11</v>
      </c>
      <c r="R1001" s="504" t="str">
        <f t="shared" si="58"/>
        <v>Gastos_Gerais</v>
      </c>
      <c r="S1001" s="504" t="str">
        <f>IF(D1001="","",IF(OR(D1001=Plano!$A$1,D1001=Plano!$B$1),"entrada","saída"))</f>
        <v>saída</v>
      </c>
      <c r="T1001" s="511" t="s">
        <v>114</v>
      </c>
      <c r="U1001" s="511" t="s">
        <v>114</v>
      </c>
      <c r="V1001" s="541"/>
    </row>
    <row r="1002" spans="1:22" ht="56.25" customHeight="1" x14ac:dyDescent="0.2">
      <c r="A1002" s="619">
        <f>IF(B1002="","",COUNT('Diário 5º PA'!$A$5:$A$2634)+COUNT('Diário 6º PA'!$A$5:$A$2246)+COUNT('Diário 7º PA'!$A$5:$A$2271)+ROW()-4)</f>
        <v>4948</v>
      </c>
      <c r="B1002" s="620">
        <v>44517</v>
      </c>
      <c r="C1002" s="624">
        <v>44501</v>
      </c>
      <c r="D1002" s="548" t="s">
        <v>99</v>
      </c>
      <c r="E1002" s="548" t="s">
        <v>272</v>
      </c>
      <c r="F1002" s="622">
        <v>10.45</v>
      </c>
      <c r="G1002" s="623" t="s">
        <v>6259</v>
      </c>
      <c r="H1002" s="548" t="s">
        <v>122</v>
      </c>
      <c r="I1002" s="583" t="s">
        <v>949</v>
      </c>
      <c r="J1002" s="548" t="s">
        <v>950</v>
      </c>
      <c r="K1002" s="583" t="s">
        <v>951</v>
      </c>
      <c r="L1002" s="583" t="s">
        <v>947</v>
      </c>
      <c r="M1002" s="625" t="s">
        <v>114</v>
      </c>
      <c r="N1002" s="620">
        <v>44517</v>
      </c>
      <c r="O1002" s="684" t="s">
        <v>67</v>
      </c>
      <c r="P1002" s="503">
        <f t="shared" si="56"/>
        <v>11</v>
      </c>
      <c r="Q1002" s="503">
        <f t="shared" si="57"/>
        <v>11</v>
      </c>
      <c r="R1002" s="504" t="str">
        <f t="shared" si="58"/>
        <v>Gastos_Gerais</v>
      </c>
      <c r="S1002" s="504" t="str">
        <f>IF(D1002="","",IF(OR(D1002=Plano!$A$1,D1002=Plano!$B$1),"entrada","saída"))</f>
        <v>saída</v>
      </c>
      <c r="T1002" s="511" t="s">
        <v>114</v>
      </c>
      <c r="U1002" s="511" t="s">
        <v>114</v>
      </c>
      <c r="V1002" s="541"/>
    </row>
    <row r="1003" spans="1:22" ht="54.75" customHeight="1" x14ac:dyDescent="0.2">
      <c r="A1003" s="619">
        <f>IF(B1003="","",COUNT('Diário 5º PA'!$A$5:$A$2634)+COUNT('Diário 6º PA'!$A$5:$A$2246)+COUNT('Diário 7º PA'!$A$5:$A$2271)+ROW()-4)</f>
        <v>4949</v>
      </c>
      <c r="B1003" s="620">
        <v>44517</v>
      </c>
      <c r="C1003" s="624">
        <v>44501</v>
      </c>
      <c r="D1003" s="548" t="s">
        <v>99</v>
      </c>
      <c r="E1003" s="548" t="s">
        <v>272</v>
      </c>
      <c r="F1003" s="622">
        <v>10.45</v>
      </c>
      <c r="G1003" s="623" t="s">
        <v>6260</v>
      </c>
      <c r="H1003" s="548" t="s">
        <v>131</v>
      </c>
      <c r="I1003" s="583" t="s">
        <v>949</v>
      </c>
      <c r="J1003" s="548" t="s">
        <v>950</v>
      </c>
      <c r="K1003" s="583" t="s">
        <v>951</v>
      </c>
      <c r="L1003" s="583" t="s">
        <v>947</v>
      </c>
      <c r="M1003" s="625" t="s">
        <v>114</v>
      </c>
      <c r="N1003" s="620">
        <v>44517</v>
      </c>
      <c r="O1003" s="684" t="s">
        <v>67</v>
      </c>
      <c r="P1003" s="503">
        <f t="shared" si="56"/>
        <v>11</v>
      </c>
      <c r="Q1003" s="503">
        <f t="shared" si="57"/>
        <v>11</v>
      </c>
      <c r="R1003" s="504" t="str">
        <f t="shared" si="58"/>
        <v>Gastos_Gerais</v>
      </c>
      <c r="S1003" s="504" t="str">
        <f>IF(D1003="","",IF(OR(D1003=Plano!$A$1,D1003=Plano!$B$1),"entrada","saída"))</f>
        <v>saída</v>
      </c>
      <c r="T1003" s="511" t="s">
        <v>114</v>
      </c>
      <c r="U1003" s="511" t="s">
        <v>114</v>
      </c>
      <c r="V1003" s="541"/>
    </row>
    <row r="1004" spans="1:22" ht="54" customHeight="1" x14ac:dyDescent="0.2">
      <c r="A1004" s="619">
        <f>IF(B1004="","",COUNT('Diário 5º PA'!$A$5:$A$2634)+COUNT('Diário 6º PA'!$A$5:$A$2246)+COUNT('Diário 7º PA'!$A$5:$A$2271)+ROW()-4)</f>
        <v>4950</v>
      </c>
      <c r="B1004" s="620">
        <v>44517</v>
      </c>
      <c r="C1004" s="624">
        <v>44501</v>
      </c>
      <c r="D1004" s="548" t="s">
        <v>99</v>
      </c>
      <c r="E1004" s="548" t="s">
        <v>272</v>
      </c>
      <c r="F1004" s="622">
        <v>10.45</v>
      </c>
      <c r="G1004" s="623" t="s">
        <v>6261</v>
      </c>
      <c r="H1004" s="548" t="s">
        <v>131</v>
      </c>
      <c r="I1004" s="583" t="s">
        <v>949</v>
      </c>
      <c r="J1004" s="548" t="s">
        <v>950</v>
      </c>
      <c r="K1004" s="583" t="s">
        <v>951</v>
      </c>
      <c r="L1004" s="583" t="s">
        <v>947</v>
      </c>
      <c r="M1004" s="625" t="s">
        <v>114</v>
      </c>
      <c r="N1004" s="620">
        <v>44517</v>
      </c>
      <c r="O1004" s="684" t="s">
        <v>67</v>
      </c>
      <c r="P1004" s="503">
        <f t="shared" si="56"/>
        <v>11</v>
      </c>
      <c r="Q1004" s="503">
        <f t="shared" si="57"/>
        <v>11</v>
      </c>
      <c r="R1004" s="504" t="str">
        <f t="shared" si="58"/>
        <v>Gastos_Gerais</v>
      </c>
      <c r="S1004" s="504" t="str">
        <f>IF(D1004="","",IF(OR(D1004=Plano!$A$1,D1004=Plano!$B$1),"entrada","saída"))</f>
        <v>saída</v>
      </c>
      <c r="T1004" s="511" t="s">
        <v>114</v>
      </c>
      <c r="U1004" s="511" t="s">
        <v>114</v>
      </c>
      <c r="V1004" s="541"/>
    </row>
    <row r="1005" spans="1:22" ht="66" customHeight="1" x14ac:dyDescent="0.2">
      <c r="A1005" s="619">
        <f>IF(B1005="","",COUNT('Diário 5º PA'!$A$5:$A$2634)+COUNT('Diário 6º PA'!$A$5:$A$2246)+COUNT('Diário 7º PA'!$A$5:$A$2271)+ROW()-4)</f>
        <v>4951</v>
      </c>
      <c r="B1005" s="620">
        <v>44517</v>
      </c>
      <c r="C1005" s="624">
        <v>44501</v>
      </c>
      <c r="D1005" s="548" t="s">
        <v>99</v>
      </c>
      <c r="E1005" s="548" t="s">
        <v>272</v>
      </c>
      <c r="F1005" s="622">
        <v>10.45</v>
      </c>
      <c r="G1005" s="623" t="s">
        <v>6262</v>
      </c>
      <c r="H1005" s="548" t="s">
        <v>131</v>
      </c>
      <c r="I1005" s="583" t="s">
        <v>949</v>
      </c>
      <c r="J1005" s="548" t="s">
        <v>950</v>
      </c>
      <c r="K1005" s="583" t="s">
        <v>951</v>
      </c>
      <c r="L1005" s="583" t="s">
        <v>947</v>
      </c>
      <c r="M1005" s="625" t="s">
        <v>114</v>
      </c>
      <c r="N1005" s="620">
        <v>44517</v>
      </c>
      <c r="O1005" s="684" t="s">
        <v>67</v>
      </c>
      <c r="P1005" s="503">
        <f t="shared" si="56"/>
        <v>11</v>
      </c>
      <c r="Q1005" s="503">
        <f t="shared" si="57"/>
        <v>11</v>
      </c>
      <c r="R1005" s="504" t="str">
        <f t="shared" si="58"/>
        <v>Gastos_Gerais</v>
      </c>
      <c r="S1005" s="504" t="str">
        <f>IF(D1005="","",IF(OR(D1005=Plano!$A$1,D1005=Plano!$B$1),"entrada","saída"))</f>
        <v>saída</v>
      </c>
      <c r="T1005" s="511" t="s">
        <v>114</v>
      </c>
      <c r="U1005" s="511" t="s">
        <v>114</v>
      </c>
      <c r="V1005" s="541"/>
    </row>
    <row r="1006" spans="1:22" s="562" customFormat="1" ht="66" customHeight="1" x14ac:dyDescent="0.2">
      <c r="A1006" s="619">
        <f>IF(B1006="","",COUNT('Diário 5º PA'!$A$5:$A$2634)+COUNT('Diário 6º PA'!$A$5:$A$2246)+COUNT('Diário 7º PA'!$A$5:$A$2271)+ROW()-4)</f>
        <v>4952</v>
      </c>
      <c r="B1006" s="620">
        <v>44517</v>
      </c>
      <c r="C1006" s="624">
        <v>44470</v>
      </c>
      <c r="D1006" s="548" t="s">
        <v>104</v>
      </c>
      <c r="E1006" s="548" t="s">
        <v>104</v>
      </c>
      <c r="F1006" s="622">
        <v>3429.65</v>
      </c>
      <c r="G1006" s="623" t="s">
        <v>7150</v>
      </c>
      <c r="H1006" s="548" t="s">
        <v>104</v>
      </c>
      <c r="I1006" s="583" t="s">
        <v>7151</v>
      </c>
      <c r="J1006" s="548" t="s">
        <v>7152</v>
      </c>
      <c r="K1006" s="583" t="s">
        <v>991</v>
      </c>
      <c r="L1006" s="583" t="s">
        <v>992</v>
      </c>
      <c r="M1006" s="619" t="s">
        <v>1394</v>
      </c>
      <c r="N1006" s="620">
        <v>44511</v>
      </c>
      <c r="O1006" s="684" t="s">
        <v>71</v>
      </c>
      <c r="P1006" s="503">
        <f t="shared" si="56"/>
        <v>11</v>
      </c>
      <c r="Q1006" s="503">
        <f t="shared" si="57"/>
        <v>10</v>
      </c>
      <c r="R1006" s="504" t="str">
        <f t="shared" si="58"/>
        <v>Gastos_custeados_por_captação</v>
      </c>
      <c r="S1006" s="504" t="str">
        <f>IF(D1006="","",IF(OR(D1006=Plano!$A$1,D1006=Plano!$B$1),"entrada","saída"))</f>
        <v>saída</v>
      </c>
      <c r="T1006" s="511" t="s">
        <v>1082</v>
      </c>
      <c r="U1006" s="511">
        <v>1426</v>
      </c>
      <c r="V1006" s="541"/>
    </row>
    <row r="1007" spans="1:22" s="562" customFormat="1" ht="39" customHeight="1" x14ac:dyDescent="0.2">
      <c r="A1007" s="619">
        <f>IF(B1007="","",COUNT('Diário 5º PA'!$A$5:$A$2634)+COUNT('Diário 6º PA'!$A$5:$A$2246)+COUNT('Diário 7º PA'!$A$5:$A$2271)+ROW()-4)</f>
        <v>4953</v>
      </c>
      <c r="B1007" s="620">
        <v>44517</v>
      </c>
      <c r="C1007" s="624">
        <v>44501</v>
      </c>
      <c r="D1007" s="548" t="s">
        <v>104</v>
      </c>
      <c r="E1007" s="548" t="s">
        <v>104</v>
      </c>
      <c r="F1007" s="622">
        <v>10.45</v>
      </c>
      <c r="G1007" s="623" t="s">
        <v>5451</v>
      </c>
      <c r="H1007" s="548" t="s">
        <v>104</v>
      </c>
      <c r="I1007" s="583" t="s">
        <v>949</v>
      </c>
      <c r="J1007" s="548" t="s">
        <v>950</v>
      </c>
      <c r="K1007" s="583" t="s">
        <v>951</v>
      </c>
      <c r="L1007" s="583" t="s">
        <v>947</v>
      </c>
      <c r="M1007" s="625" t="s">
        <v>114</v>
      </c>
      <c r="N1007" s="644">
        <v>44516</v>
      </c>
      <c r="O1007" s="684" t="s">
        <v>71</v>
      </c>
      <c r="P1007" s="503">
        <f t="shared" si="56"/>
        <v>11</v>
      </c>
      <c r="Q1007" s="503">
        <f t="shared" si="57"/>
        <v>11</v>
      </c>
      <c r="R1007" s="504" t="str">
        <f t="shared" si="58"/>
        <v>Gastos_custeados_por_captação</v>
      </c>
      <c r="S1007" s="504" t="str">
        <f>IF(D1007="","",IF(OR(D1007=Plano!$A$1,D1007=Plano!$B$1),"entrada","saída"))</f>
        <v>saída</v>
      </c>
      <c r="T1007" s="511" t="s">
        <v>114</v>
      </c>
      <c r="U1007" s="511" t="s">
        <v>114</v>
      </c>
      <c r="V1007" s="541"/>
    </row>
    <row r="1008" spans="1:22" ht="102.75" customHeight="1" x14ac:dyDescent="0.2">
      <c r="A1008" s="619">
        <f>IF(B1008="","",COUNT('Diário 5º PA'!$A$5:$A$2634)+COUNT('Diário 6º PA'!$A$5:$A$2246)+COUNT('Diário 7º PA'!$A$5:$A$2271)+ROW()-4)</f>
        <v>4954</v>
      </c>
      <c r="B1008" s="620">
        <v>44518</v>
      </c>
      <c r="C1008" s="624">
        <v>44470</v>
      </c>
      <c r="D1008" s="548" t="s">
        <v>99</v>
      </c>
      <c r="E1008" s="548" t="s">
        <v>262</v>
      </c>
      <c r="F1008" s="622">
        <v>-760.61</v>
      </c>
      <c r="G1008" s="623" t="s">
        <v>6270</v>
      </c>
      <c r="H1008" s="548" t="s">
        <v>115</v>
      </c>
      <c r="I1008" s="583" t="s">
        <v>983</v>
      </c>
      <c r="J1008" s="548" t="s">
        <v>850</v>
      </c>
      <c r="K1008" s="583" t="s">
        <v>946</v>
      </c>
      <c r="L1008" s="583" t="s">
        <v>947</v>
      </c>
      <c r="M1008" s="619" t="s">
        <v>114</v>
      </c>
      <c r="N1008" s="620">
        <v>44518</v>
      </c>
      <c r="O1008" s="684" t="s">
        <v>67</v>
      </c>
      <c r="P1008" s="503">
        <f t="shared" si="56"/>
        <v>11</v>
      </c>
      <c r="Q1008" s="503">
        <f t="shared" si="57"/>
        <v>10</v>
      </c>
      <c r="R1008" s="504" t="str">
        <f t="shared" si="58"/>
        <v>Gastos_Gerais</v>
      </c>
      <c r="S1008" s="504" t="str">
        <f>IF(D1008="","",IF(OR(D1008=Plano!$A$1,D1008=Plano!$B$1),"entrada","saída"))</f>
        <v>saída</v>
      </c>
      <c r="T1008" s="511" t="s">
        <v>114</v>
      </c>
      <c r="U1008" s="511" t="s">
        <v>114</v>
      </c>
      <c r="V1008" s="541"/>
    </row>
    <row r="1009" spans="1:22" ht="72" customHeight="1" x14ac:dyDescent="0.2">
      <c r="A1009" s="619">
        <f>IF(B1009="","",COUNT('Diário 5º PA'!$A$5:$A$2634)+COUNT('Diário 6º PA'!$A$5:$A$2246)+COUNT('Diário 7º PA'!$A$5:$A$2271)+ROW()-4)</f>
        <v>4955</v>
      </c>
      <c r="B1009" s="620">
        <v>44518</v>
      </c>
      <c r="C1009" s="624">
        <v>44409</v>
      </c>
      <c r="D1009" s="548" t="s">
        <v>99</v>
      </c>
      <c r="E1009" s="548" t="s">
        <v>336</v>
      </c>
      <c r="F1009" s="622">
        <v>4440.8599999999997</v>
      </c>
      <c r="G1009" s="623" t="s">
        <v>706</v>
      </c>
      <c r="H1009" s="548" t="s">
        <v>116</v>
      </c>
      <c r="I1009" s="583" t="s">
        <v>6271</v>
      </c>
      <c r="J1009" s="548" t="s">
        <v>707</v>
      </c>
      <c r="K1009" s="583" t="s">
        <v>1015</v>
      </c>
      <c r="L1009" s="583" t="s">
        <v>1029</v>
      </c>
      <c r="M1009" s="619">
        <v>1444</v>
      </c>
      <c r="N1009" s="620">
        <v>44517</v>
      </c>
      <c r="O1009" s="684" t="s">
        <v>67</v>
      </c>
      <c r="P1009" s="503">
        <f t="shared" si="56"/>
        <v>11</v>
      </c>
      <c r="Q1009" s="503">
        <f t="shared" si="57"/>
        <v>8</v>
      </c>
      <c r="R1009" s="504" t="str">
        <f t="shared" si="58"/>
        <v>Gastos_Gerais</v>
      </c>
      <c r="S1009" s="504" t="str">
        <f>IF(D1009="","",IF(OR(D1009=Plano!$A$1,D1009=Plano!$B$1),"entrada","saída"))</f>
        <v>saída</v>
      </c>
      <c r="T1009" s="505" t="s">
        <v>994</v>
      </c>
      <c r="U1009" s="505">
        <v>1825</v>
      </c>
      <c r="V1009" s="541"/>
    </row>
    <row r="1010" spans="1:22" ht="71.25" customHeight="1" x14ac:dyDescent="0.2">
      <c r="A1010" s="619">
        <f>IF(B1010="","",COUNT('Diário 5º PA'!$A$5:$A$2634)+COUNT('Diário 6º PA'!$A$5:$A$2246)+COUNT('Diário 7º PA'!$A$5:$A$2271)+ROW()-4)</f>
        <v>4956</v>
      </c>
      <c r="B1010" s="620">
        <v>44518</v>
      </c>
      <c r="C1010" s="624">
        <v>44470</v>
      </c>
      <c r="D1010" s="548" t="s">
        <v>99</v>
      </c>
      <c r="E1010" s="548" t="s">
        <v>364</v>
      </c>
      <c r="F1010" s="622">
        <v>4500</v>
      </c>
      <c r="G1010" s="623" t="s">
        <v>5365</v>
      </c>
      <c r="H1010" s="548" t="s">
        <v>125</v>
      </c>
      <c r="I1010" s="583" t="s">
        <v>5824</v>
      </c>
      <c r="J1010" s="548" t="s">
        <v>711</v>
      </c>
      <c r="K1010" s="583" t="s">
        <v>991</v>
      </c>
      <c r="L1010" s="583" t="s">
        <v>992</v>
      </c>
      <c r="M1010" s="619" t="s">
        <v>1675</v>
      </c>
      <c r="N1010" s="620">
        <v>44518</v>
      </c>
      <c r="O1010" s="684" t="s">
        <v>67</v>
      </c>
      <c r="P1010" s="503">
        <f t="shared" si="56"/>
        <v>11</v>
      </c>
      <c r="Q1010" s="503">
        <f t="shared" si="57"/>
        <v>10</v>
      </c>
      <c r="R1010" s="504" t="str">
        <f t="shared" si="58"/>
        <v>Gastos_Gerais</v>
      </c>
      <c r="S1010" s="504" t="str">
        <f>IF(D1010="","",IF(OR(D1010=Plano!$A$1,D1010=Plano!$B$1),"entrada","saída"))</f>
        <v>saída</v>
      </c>
      <c r="T1010" s="505" t="s">
        <v>994</v>
      </c>
      <c r="U1010" s="505">
        <v>2109</v>
      </c>
      <c r="V1010" s="541"/>
    </row>
    <row r="1011" spans="1:22" ht="169.5" customHeight="1" x14ac:dyDescent="0.2">
      <c r="A1011" s="619">
        <f>IF(B1011="","",COUNT('Diário 5º PA'!$A$5:$A$2634)+COUNT('Diário 6º PA'!$A$5:$A$2246)+COUNT('Diário 7º PA'!$A$5:$A$2271)+ROW()-4)</f>
        <v>4957</v>
      </c>
      <c r="B1011" s="620">
        <v>44518</v>
      </c>
      <c r="C1011" s="624">
        <v>44470</v>
      </c>
      <c r="D1011" s="548" t="s">
        <v>99</v>
      </c>
      <c r="E1011" s="548" t="s">
        <v>262</v>
      </c>
      <c r="F1011" s="622">
        <v>2058.6</v>
      </c>
      <c r="G1011" s="623" t="s">
        <v>5216</v>
      </c>
      <c r="H1011" s="548" t="s">
        <v>115</v>
      </c>
      <c r="I1011" s="583" t="s">
        <v>1446</v>
      </c>
      <c r="J1011" s="548" t="s">
        <v>660</v>
      </c>
      <c r="K1011" s="583" t="s">
        <v>991</v>
      </c>
      <c r="L1011" s="583" t="s">
        <v>1029</v>
      </c>
      <c r="M1011" s="619">
        <v>1446</v>
      </c>
      <c r="N1011" s="620">
        <v>44517</v>
      </c>
      <c r="O1011" s="684" t="s">
        <v>67</v>
      </c>
      <c r="P1011" s="503">
        <f t="shared" si="56"/>
        <v>11</v>
      </c>
      <c r="Q1011" s="503">
        <f t="shared" si="57"/>
        <v>10</v>
      </c>
      <c r="R1011" s="504" t="str">
        <f t="shared" si="58"/>
        <v>Gastos_Gerais</v>
      </c>
      <c r="S1011" s="504" t="str">
        <f>IF(D1011="","",IF(OR(D1011=Plano!$A$1,D1011=Plano!$B$1),"entrada","saída"))</f>
        <v>saída</v>
      </c>
      <c r="T1011" s="505" t="s">
        <v>1059</v>
      </c>
      <c r="U1011" s="505">
        <v>1559</v>
      </c>
      <c r="V1011" s="541"/>
    </row>
    <row r="1012" spans="1:22" ht="90" customHeight="1" x14ac:dyDescent="0.2">
      <c r="A1012" s="619">
        <f>IF(B1012="","",COUNT('Diário 5º PA'!$A$5:$A$2634)+COUNT('Diário 6º PA'!$A$5:$A$2246)+COUNT('Diário 7º PA'!$A$5:$A$2271)+ROW()-4)</f>
        <v>4958</v>
      </c>
      <c r="B1012" s="620">
        <v>44518</v>
      </c>
      <c r="C1012" s="624">
        <v>44501</v>
      </c>
      <c r="D1012" s="548" t="s">
        <v>99</v>
      </c>
      <c r="E1012" s="548" t="s">
        <v>330</v>
      </c>
      <c r="F1012" s="622">
        <v>2250</v>
      </c>
      <c r="G1012" s="623" t="s">
        <v>5858</v>
      </c>
      <c r="H1012" s="548" t="s">
        <v>131</v>
      </c>
      <c r="I1012" s="583" t="s">
        <v>6278</v>
      </c>
      <c r="J1012" s="548" t="s">
        <v>5859</v>
      </c>
      <c r="K1012" s="583" t="s">
        <v>991</v>
      </c>
      <c r="L1012" s="583" t="s">
        <v>992</v>
      </c>
      <c r="M1012" s="619" t="s">
        <v>4185</v>
      </c>
      <c r="N1012" s="620">
        <v>44518</v>
      </c>
      <c r="O1012" s="684" t="s">
        <v>67</v>
      </c>
      <c r="P1012" s="503">
        <f t="shared" si="56"/>
        <v>11</v>
      </c>
      <c r="Q1012" s="503">
        <f t="shared" si="57"/>
        <v>11</v>
      </c>
      <c r="R1012" s="504" t="str">
        <f t="shared" si="58"/>
        <v>Gastos_Gerais</v>
      </c>
      <c r="S1012" s="504" t="str">
        <f>IF(D1012="","",IF(OR(D1012=Plano!$A$1,D1012=Plano!$B$1),"entrada","saída"))</f>
        <v>saída</v>
      </c>
      <c r="T1012" s="505" t="s">
        <v>1059</v>
      </c>
      <c r="U1012" s="505">
        <v>2244</v>
      </c>
      <c r="V1012" s="541"/>
    </row>
    <row r="1013" spans="1:22" ht="87" customHeight="1" x14ac:dyDescent="0.2">
      <c r="A1013" s="619">
        <f>IF(B1013="","",COUNT('Diário 5º PA'!$A$5:$A$2634)+COUNT('Diário 6º PA'!$A$5:$A$2246)+COUNT('Diário 7º PA'!$A$5:$A$2271)+ROW()-4)</f>
        <v>4959</v>
      </c>
      <c r="B1013" s="620">
        <v>44518</v>
      </c>
      <c r="C1013" s="624">
        <v>44501</v>
      </c>
      <c r="D1013" s="548" t="s">
        <v>99</v>
      </c>
      <c r="E1013" s="548" t="s">
        <v>330</v>
      </c>
      <c r="F1013" s="622">
        <v>250</v>
      </c>
      <c r="G1013" s="623" t="s">
        <v>6279</v>
      </c>
      <c r="H1013" s="548" t="s">
        <v>131</v>
      </c>
      <c r="I1013" s="583" t="s">
        <v>6278</v>
      </c>
      <c r="J1013" s="548" t="s">
        <v>5859</v>
      </c>
      <c r="K1013" s="583" t="s">
        <v>991</v>
      </c>
      <c r="L1013" s="583" t="s">
        <v>992</v>
      </c>
      <c r="M1013" s="619" t="s">
        <v>2111</v>
      </c>
      <c r="N1013" s="620">
        <v>44518</v>
      </c>
      <c r="O1013" s="684" t="s">
        <v>67</v>
      </c>
      <c r="P1013" s="503">
        <f t="shared" si="56"/>
        <v>11</v>
      </c>
      <c r="Q1013" s="503">
        <f t="shared" si="57"/>
        <v>11</v>
      </c>
      <c r="R1013" s="504" t="str">
        <f t="shared" si="58"/>
        <v>Gastos_Gerais</v>
      </c>
      <c r="S1013" s="504" t="str">
        <f>IF(D1013="","",IF(OR(D1013=Plano!$A$1,D1013=Plano!$B$1),"entrada","saída"))</f>
        <v>saída</v>
      </c>
      <c r="T1013" s="505" t="s">
        <v>994</v>
      </c>
      <c r="U1013" s="505">
        <v>2244</v>
      </c>
      <c r="V1013" s="541"/>
    </row>
    <row r="1014" spans="1:22" ht="50.1" customHeight="1" x14ac:dyDescent="0.2">
      <c r="A1014" s="619">
        <f>IF(B1014="","",COUNT('Diário 5º PA'!$A$5:$A$2634)+COUNT('Diário 6º PA'!$A$5:$A$2246)+COUNT('Diário 7º PA'!$A$5:$A$2271)+ROW()-4)</f>
        <v>4960</v>
      </c>
      <c r="B1014" s="620">
        <v>44518</v>
      </c>
      <c r="C1014" s="624">
        <v>44501</v>
      </c>
      <c r="D1014" s="548" t="s">
        <v>99</v>
      </c>
      <c r="E1014" s="548" t="s">
        <v>272</v>
      </c>
      <c r="F1014" s="622">
        <v>10.45</v>
      </c>
      <c r="G1014" s="623" t="s">
        <v>6280</v>
      </c>
      <c r="H1014" s="548" t="s">
        <v>125</v>
      </c>
      <c r="I1014" s="583" t="s">
        <v>949</v>
      </c>
      <c r="J1014" s="548" t="s">
        <v>950</v>
      </c>
      <c r="K1014" s="583" t="s">
        <v>951</v>
      </c>
      <c r="L1014" s="583" t="s">
        <v>947</v>
      </c>
      <c r="M1014" s="625" t="s">
        <v>114</v>
      </c>
      <c r="N1014" s="620">
        <v>44518</v>
      </c>
      <c r="O1014" s="684" t="s">
        <v>67</v>
      </c>
      <c r="P1014" s="503">
        <f t="shared" si="56"/>
        <v>11</v>
      </c>
      <c r="Q1014" s="503">
        <f t="shared" si="57"/>
        <v>11</v>
      </c>
      <c r="R1014" s="504" t="str">
        <f t="shared" si="58"/>
        <v>Gastos_Gerais</v>
      </c>
      <c r="S1014" s="504" t="str">
        <f>IF(D1014="","",IF(OR(D1014=Plano!$A$1,D1014=Plano!$B$1),"entrada","saída"))</f>
        <v>saída</v>
      </c>
      <c r="T1014" s="511" t="s">
        <v>114</v>
      </c>
      <c r="U1014" s="511" t="s">
        <v>114</v>
      </c>
      <c r="V1014" s="541"/>
    </row>
    <row r="1015" spans="1:22" ht="50.1" customHeight="1" x14ac:dyDescent="0.2">
      <c r="A1015" s="619">
        <f>IF(B1015="","",COUNT('Diário 5º PA'!$A$5:$A$2634)+COUNT('Diário 6º PA'!$A$5:$A$2246)+COUNT('Diário 7º PA'!$A$5:$A$2271)+ROW()-4)</f>
        <v>4961</v>
      </c>
      <c r="B1015" s="620">
        <v>44518</v>
      </c>
      <c r="C1015" s="624">
        <v>44501</v>
      </c>
      <c r="D1015" s="548" t="s">
        <v>99</v>
      </c>
      <c r="E1015" s="548" t="s">
        <v>272</v>
      </c>
      <c r="F1015" s="622">
        <v>10.45</v>
      </c>
      <c r="G1015" s="623" t="s">
        <v>6281</v>
      </c>
      <c r="H1015" s="548" t="s">
        <v>115</v>
      </c>
      <c r="I1015" s="583" t="s">
        <v>949</v>
      </c>
      <c r="J1015" s="548" t="s">
        <v>950</v>
      </c>
      <c r="K1015" s="583" t="s">
        <v>951</v>
      </c>
      <c r="L1015" s="583" t="s">
        <v>947</v>
      </c>
      <c r="M1015" s="625" t="s">
        <v>114</v>
      </c>
      <c r="N1015" s="620">
        <v>44518</v>
      </c>
      <c r="O1015" s="684" t="s">
        <v>67</v>
      </c>
      <c r="P1015" s="503">
        <f t="shared" si="56"/>
        <v>11</v>
      </c>
      <c r="Q1015" s="503">
        <f t="shared" si="57"/>
        <v>11</v>
      </c>
      <c r="R1015" s="504" t="str">
        <f t="shared" si="58"/>
        <v>Gastos_Gerais</v>
      </c>
      <c r="S1015" s="504" t="str">
        <f>IF(D1015="","",IF(OR(D1015=Plano!$A$1,D1015=Plano!$B$1),"entrada","saída"))</f>
        <v>saída</v>
      </c>
      <c r="T1015" s="511" t="s">
        <v>114</v>
      </c>
      <c r="U1015" s="511" t="s">
        <v>114</v>
      </c>
      <c r="V1015" s="541"/>
    </row>
    <row r="1016" spans="1:22" ht="50.1" customHeight="1" x14ac:dyDescent="0.2">
      <c r="A1016" s="619">
        <f>IF(B1016="","",COUNT('Diário 5º PA'!$A$5:$A$2634)+COUNT('Diário 6º PA'!$A$5:$A$2246)+COUNT('Diário 7º PA'!$A$5:$A$2271)+ROW()-4)</f>
        <v>4962</v>
      </c>
      <c r="B1016" s="620">
        <v>44518</v>
      </c>
      <c r="C1016" s="624">
        <v>44501</v>
      </c>
      <c r="D1016" s="548" t="s">
        <v>99</v>
      </c>
      <c r="E1016" s="548" t="s">
        <v>272</v>
      </c>
      <c r="F1016" s="622">
        <v>10.45</v>
      </c>
      <c r="G1016" s="623" t="s">
        <v>6282</v>
      </c>
      <c r="H1016" s="548" t="s">
        <v>131</v>
      </c>
      <c r="I1016" s="583" t="s">
        <v>949</v>
      </c>
      <c r="J1016" s="548" t="s">
        <v>950</v>
      </c>
      <c r="K1016" s="583" t="s">
        <v>951</v>
      </c>
      <c r="L1016" s="583" t="s">
        <v>947</v>
      </c>
      <c r="M1016" s="625" t="s">
        <v>114</v>
      </c>
      <c r="N1016" s="620">
        <v>44518</v>
      </c>
      <c r="O1016" s="684" t="s">
        <v>67</v>
      </c>
      <c r="P1016" s="503">
        <f t="shared" si="56"/>
        <v>11</v>
      </c>
      <c r="Q1016" s="503">
        <f t="shared" si="57"/>
        <v>11</v>
      </c>
      <c r="R1016" s="504" t="str">
        <f t="shared" si="58"/>
        <v>Gastos_Gerais</v>
      </c>
      <c r="S1016" s="504" t="str">
        <f>IF(D1016="","",IF(OR(D1016=Plano!$A$1,D1016=Plano!$B$1),"entrada","saída"))</f>
        <v>saída</v>
      </c>
      <c r="T1016" s="511" t="s">
        <v>114</v>
      </c>
      <c r="U1016" s="511" t="s">
        <v>114</v>
      </c>
      <c r="V1016" s="541"/>
    </row>
    <row r="1017" spans="1:22" ht="50.1" customHeight="1" x14ac:dyDescent="0.2">
      <c r="A1017" s="619">
        <f>IF(B1017="","",COUNT('Diário 5º PA'!$A$5:$A$2634)+COUNT('Diário 6º PA'!$A$5:$A$2246)+COUNT('Diário 7º PA'!$A$5:$A$2271)+ROW()-4)</f>
        <v>4963</v>
      </c>
      <c r="B1017" s="620">
        <v>44518</v>
      </c>
      <c r="C1017" s="624">
        <v>44501</v>
      </c>
      <c r="D1017" s="548" t="s">
        <v>99</v>
      </c>
      <c r="E1017" s="548" t="s">
        <v>272</v>
      </c>
      <c r="F1017" s="622">
        <v>10.45</v>
      </c>
      <c r="G1017" s="623" t="s">
        <v>6282</v>
      </c>
      <c r="H1017" s="548" t="s">
        <v>131</v>
      </c>
      <c r="I1017" s="583" t="s">
        <v>949</v>
      </c>
      <c r="J1017" s="548" t="s">
        <v>950</v>
      </c>
      <c r="K1017" s="583" t="s">
        <v>951</v>
      </c>
      <c r="L1017" s="583" t="s">
        <v>947</v>
      </c>
      <c r="M1017" s="625" t="s">
        <v>114</v>
      </c>
      <c r="N1017" s="620">
        <v>44518</v>
      </c>
      <c r="O1017" s="684" t="s">
        <v>67</v>
      </c>
      <c r="P1017" s="503">
        <f t="shared" si="56"/>
        <v>11</v>
      </c>
      <c r="Q1017" s="503">
        <f t="shared" si="57"/>
        <v>11</v>
      </c>
      <c r="R1017" s="504" t="str">
        <f t="shared" si="58"/>
        <v>Gastos_Gerais</v>
      </c>
      <c r="S1017" s="504" t="str">
        <f>IF(D1017="","",IF(OR(D1017=Plano!$A$1,D1017=Plano!$B$1),"entrada","saída"))</f>
        <v>saída</v>
      </c>
      <c r="T1017" s="511" t="s">
        <v>114</v>
      </c>
      <c r="U1017" s="511" t="s">
        <v>114</v>
      </c>
      <c r="V1017" s="541"/>
    </row>
    <row r="1018" spans="1:22" s="562" customFormat="1" ht="123" customHeight="1" x14ac:dyDescent="0.2">
      <c r="A1018" s="649">
        <f>IF(B1018="","",COUNT('Diário 5º PA'!$A$5:$A$2634)+COUNT('Diário 6º PA'!$A$5:$A$2246)+COUNT('Diário 7º PA'!$A$5:$A$2271)+ROW()-4)</f>
        <v>4964</v>
      </c>
      <c r="B1018" s="644">
        <v>44518</v>
      </c>
      <c r="C1018" s="654">
        <v>44440</v>
      </c>
      <c r="D1018" s="651" t="s">
        <v>104</v>
      </c>
      <c r="E1018" s="651" t="s">
        <v>104</v>
      </c>
      <c r="F1018" s="641">
        <v>2910</v>
      </c>
      <c r="G1018" s="639" t="s">
        <v>5516</v>
      </c>
      <c r="H1018" s="651" t="s">
        <v>104</v>
      </c>
      <c r="I1018" s="640" t="s">
        <v>6908</v>
      </c>
      <c r="J1018" s="651" t="s">
        <v>5519</v>
      </c>
      <c r="K1018" s="642" t="s">
        <v>991</v>
      </c>
      <c r="L1018" s="642" t="s">
        <v>992</v>
      </c>
      <c r="M1018" s="649" t="s">
        <v>1329</v>
      </c>
      <c r="N1018" s="644">
        <v>44518</v>
      </c>
      <c r="O1018" s="685" t="s">
        <v>70</v>
      </c>
      <c r="P1018" s="503">
        <f t="shared" si="56"/>
        <v>11</v>
      </c>
      <c r="Q1018" s="503">
        <f t="shared" si="57"/>
        <v>9</v>
      </c>
      <c r="R1018" s="504" t="str">
        <f t="shared" si="58"/>
        <v>Gastos_custeados_por_captação</v>
      </c>
      <c r="S1018" s="504" t="str">
        <f>IF(D1018="","",IF(OR(D1018=Plano!$A$1,D1018=Plano!$B$1),"entrada","saída"))</f>
        <v>saída</v>
      </c>
      <c r="T1018" s="566" t="s">
        <v>994</v>
      </c>
      <c r="U1018" s="566">
        <v>1963</v>
      </c>
      <c r="V1018" s="541"/>
    </row>
    <row r="1019" spans="1:22" s="562" customFormat="1" ht="50.1" customHeight="1" x14ac:dyDescent="0.2">
      <c r="A1019" s="649">
        <f>IF(B1019="","",COUNT('Diário 5º PA'!$A$5:$A$2634)+COUNT('Diário 6º PA'!$A$5:$A$2246)+COUNT('Diário 7º PA'!$A$5:$A$2271)+ROW()-4)</f>
        <v>4965</v>
      </c>
      <c r="B1019" s="644">
        <v>44518</v>
      </c>
      <c r="C1019" s="628">
        <v>44470</v>
      </c>
      <c r="D1019" s="651" t="s">
        <v>104</v>
      </c>
      <c r="E1019" s="651" t="s">
        <v>104</v>
      </c>
      <c r="F1019" s="622">
        <v>1900</v>
      </c>
      <c r="G1019" s="623" t="s">
        <v>7154</v>
      </c>
      <c r="H1019" s="651" t="s">
        <v>104</v>
      </c>
      <c r="I1019" s="583" t="s">
        <v>7155</v>
      </c>
      <c r="J1019" s="548" t="s">
        <v>7156</v>
      </c>
      <c r="K1019" s="642" t="s">
        <v>991</v>
      </c>
      <c r="L1019" s="642" t="s">
        <v>992</v>
      </c>
      <c r="M1019" s="619" t="s">
        <v>2152</v>
      </c>
      <c r="N1019" s="620">
        <v>44517</v>
      </c>
      <c r="O1019" s="684" t="s">
        <v>71</v>
      </c>
      <c r="P1019" s="503">
        <f t="shared" si="56"/>
        <v>11</v>
      </c>
      <c r="Q1019" s="503">
        <f t="shared" si="57"/>
        <v>10</v>
      </c>
      <c r="R1019" s="504" t="str">
        <f t="shared" si="58"/>
        <v>Gastos_custeados_por_captação</v>
      </c>
      <c r="S1019" s="504" t="str">
        <f>IF(D1019="","",IF(OR(D1019=Plano!$A$1,D1019=Plano!$B$1),"entrada","saída"))</f>
        <v>saída</v>
      </c>
      <c r="T1019" s="511" t="s">
        <v>1082</v>
      </c>
      <c r="U1019" s="511">
        <v>2240</v>
      </c>
      <c r="V1019" s="541"/>
    </row>
    <row r="1020" spans="1:22" s="562" customFormat="1" ht="50.1" customHeight="1" x14ac:dyDescent="0.2">
      <c r="A1020" s="649">
        <f>IF(B1020="","",COUNT('Diário 5º PA'!$A$5:$A$2634)+COUNT('Diário 6º PA'!$A$5:$A$2246)+COUNT('Diário 7º PA'!$A$5:$A$2271)+ROW()-4)</f>
        <v>4966</v>
      </c>
      <c r="B1020" s="644">
        <v>44518</v>
      </c>
      <c r="C1020" s="624">
        <v>44501</v>
      </c>
      <c r="D1020" s="548" t="s">
        <v>104</v>
      </c>
      <c r="E1020" s="548" t="s">
        <v>104</v>
      </c>
      <c r="F1020" s="622">
        <v>10.45</v>
      </c>
      <c r="G1020" s="623" t="s">
        <v>5451</v>
      </c>
      <c r="H1020" s="548" t="s">
        <v>104</v>
      </c>
      <c r="I1020" s="583" t="s">
        <v>949</v>
      </c>
      <c r="J1020" s="548" t="s">
        <v>950</v>
      </c>
      <c r="K1020" s="583" t="s">
        <v>951</v>
      </c>
      <c r="L1020" s="583" t="s">
        <v>947</v>
      </c>
      <c r="M1020" s="625" t="s">
        <v>114</v>
      </c>
      <c r="N1020" s="644">
        <v>44518</v>
      </c>
      <c r="O1020" s="684" t="s">
        <v>71</v>
      </c>
      <c r="P1020" s="503">
        <f t="shared" si="56"/>
        <v>11</v>
      </c>
      <c r="Q1020" s="503">
        <f t="shared" si="57"/>
        <v>11</v>
      </c>
      <c r="R1020" s="504" t="str">
        <f t="shared" si="58"/>
        <v>Gastos_custeados_por_captação</v>
      </c>
      <c r="S1020" s="504" t="str">
        <f>IF(D1020="","",IF(OR(D1020=Plano!$A$1,D1020=Plano!$B$1),"entrada","saída"))</f>
        <v>saída</v>
      </c>
      <c r="T1020" s="511" t="s">
        <v>114</v>
      </c>
      <c r="U1020" s="511" t="s">
        <v>114</v>
      </c>
      <c r="V1020" s="541"/>
    </row>
    <row r="1021" spans="1:22" ht="50.1" customHeight="1" x14ac:dyDescent="0.2">
      <c r="A1021" s="619">
        <f>IF(B1021="","",COUNT('Diário 5º PA'!$A$5:$A$2634)+COUNT('Diário 6º PA'!$A$5:$A$2246)+COUNT('Diário 7º PA'!$A$5:$A$2271)+ROW()-4)</f>
        <v>4967</v>
      </c>
      <c r="B1021" s="620">
        <v>44519</v>
      </c>
      <c r="C1021" s="621">
        <v>44470</v>
      </c>
      <c r="D1021" s="548" t="s">
        <v>99</v>
      </c>
      <c r="E1021" s="548" t="s">
        <v>330</v>
      </c>
      <c r="F1021" s="622">
        <v>-620</v>
      </c>
      <c r="G1021" s="623" t="s">
        <v>6291</v>
      </c>
      <c r="H1021" s="548" t="s">
        <v>114</v>
      </c>
      <c r="I1021" s="583" t="s">
        <v>983</v>
      </c>
      <c r="J1021" s="548" t="s">
        <v>850</v>
      </c>
      <c r="K1021" s="583" t="s">
        <v>946</v>
      </c>
      <c r="L1021" s="583" t="s">
        <v>947</v>
      </c>
      <c r="M1021" s="619" t="s">
        <v>114</v>
      </c>
      <c r="N1021" s="620">
        <v>44519</v>
      </c>
      <c r="O1021" s="684" t="s">
        <v>67</v>
      </c>
      <c r="P1021" s="503">
        <f t="shared" si="56"/>
        <v>11</v>
      </c>
      <c r="Q1021" s="503">
        <f t="shared" si="57"/>
        <v>10</v>
      </c>
      <c r="R1021" s="504" t="str">
        <f t="shared" si="58"/>
        <v>Gastos_Gerais</v>
      </c>
      <c r="S1021" s="504" t="str">
        <f>IF(D1021="","",IF(OR(D1021=Plano!$A$1,D1021=Plano!$B$1),"entrada","saída"))</f>
        <v>saída</v>
      </c>
      <c r="T1021" s="511" t="s">
        <v>114</v>
      </c>
      <c r="U1021" s="511" t="s">
        <v>114</v>
      </c>
      <c r="V1021" s="541"/>
    </row>
    <row r="1022" spans="1:22" ht="50.1" customHeight="1" x14ac:dyDescent="0.2">
      <c r="A1022" s="619">
        <f>IF(B1022="","",COUNT('Diário 5º PA'!$A$5:$A$2634)+COUNT('Diário 6º PA'!$A$5:$A$2246)+COUNT('Diário 7º PA'!$A$5:$A$2271)+ROW()-4)</f>
        <v>4968</v>
      </c>
      <c r="B1022" s="620">
        <v>44519</v>
      </c>
      <c r="C1022" s="621">
        <v>44470</v>
      </c>
      <c r="D1022" s="548" t="s">
        <v>99</v>
      </c>
      <c r="E1022" s="548" t="s">
        <v>330</v>
      </c>
      <c r="F1022" s="622">
        <v>-775</v>
      </c>
      <c r="G1022" s="623" t="s">
        <v>6292</v>
      </c>
      <c r="H1022" s="548" t="s">
        <v>114</v>
      </c>
      <c r="I1022" s="583" t="s">
        <v>983</v>
      </c>
      <c r="J1022" s="548" t="s">
        <v>850</v>
      </c>
      <c r="K1022" s="583" t="s">
        <v>946</v>
      </c>
      <c r="L1022" s="583" t="s">
        <v>947</v>
      </c>
      <c r="M1022" s="619" t="s">
        <v>114</v>
      </c>
      <c r="N1022" s="620">
        <v>44519</v>
      </c>
      <c r="O1022" s="684" t="s">
        <v>67</v>
      </c>
      <c r="P1022" s="503">
        <f t="shared" si="56"/>
        <v>11</v>
      </c>
      <c r="Q1022" s="503">
        <f t="shared" si="57"/>
        <v>10</v>
      </c>
      <c r="R1022" s="504" t="str">
        <f t="shared" si="58"/>
        <v>Gastos_Gerais</v>
      </c>
      <c r="S1022" s="504" t="str">
        <f>IF(D1022="","",IF(OR(D1022=Plano!$A$1,D1022=Plano!$B$1),"entrada","saída"))</f>
        <v>saída</v>
      </c>
      <c r="T1022" s="511" t="s">
        <v>114</v>
      </c>
      <c r="U1022" s="511" t="s">
        <v>114</v>
      </c>
      <c r="V1022" s="541"/>
    </row>
    <row r="1023" spans="1:22" ht="49.5" customHeight="1" x14ac:dyDescent="0.2">
      <c r="A1023" s="619">
        <f>IF(B1023="","",COUNT('Diário 5º PA'!$A$5:$A$2634)+COUNT('Diário 6º PA'!$A$5:$A$2246)+COUNT('Diário 7º PA'!$A$5:$A$2271)+ROW()-4)</f>
        <v>4969</v>
      </c>
      <c r="B1023" s="620">
        <v>44519</v>
      </c>
      <c r="C1023" s="621">
        <v>44470</v>
      </c>
      <c r="D1023" s="548" t="s">
        <v>99</v>
      </c>
      <c r="E1023" s="548" t="s">
        <v>330</v>
      </c>
      <c r="F1023" s="622">
        <v>-4851.5</v>
      </c>
      <c r="G1023" s="623" t="s">
        <v>6293</v>
      </c>
      <c r="H1023" s="548" t="s">
        <v>114</v>
      </c>
      <c r="I1023" s="583" t="s">
        <v>983</v>
      </c>
      <c r="J1023" s="548" t="s">
        <v>850</v>
      </c>
      <c r="K1023" s="583" t="s">
        <v>946</v>
      </c>
      <c r="L1023" s="583" t="s">
        <v>947</v>
      </c>
      <c r="M1023" s="619" t="s">
        <v>114</v>
      </c>
      <c r="N1023" s="620">
        <v>44519</v>
      </c>
      <c r="O1023" s="684" t="s">
        <v>67</v>
      </c>
      <c r="P1023" s="503">
        <f t="shared" si="56"/>
        <v>11</v>
      </c>
      <c r="Q1023" s="503">
        <f t="shared" si="57"/>
        <v>10</v>
      </c>
      <c r="R1023" s="504" t="str">
        <f t="shared" si="58"/>
        <v>Gastos_Gerais</v>
      </c>
      <c r="S1023" s="504" t="str">
        <f>IF(D1023="","",IF(OR(D1023=Plano!$A$1,D1023=Plano!$B$1),"entrada","saída"))</f>
        <v>saída</v>
      </c>
      <c r="T1023" s="511" t="s">
        <v>114</v>
      </c>
      <c r="U1023" s="511" t="s">
        <v>114</v>
      </c>
      <c r="V1023" s="541"/>
    </row>
    <row r="1024" spans="1:22" ht="57" customHeight="1" x14ac:dyDescent="0.2">
      <c r="A1024" s="619">
        <f>IF(B1024="","",COUNT('Diário 5º PA'!$A$5:$A$2634)+COUNT('Diário 6º PA'!$A$5:$A$2246)+COUNT('Diário 7º PA'!$A$5:$A$2271)+ROW()-4)</f>
        <v>4970</v>
      </c>
      <c r="B1024" s="620">
        <v>44519</v>
      </c>
      <c r="C1024" s="621">
        <v>44470</v>
      </c>
      <c r="D1024" s="548" t="s">
        <v>99</v>
      </c>
      <c r="E1024" s="548" t="s">
        <v>330</v>
      </c>
      <c r="F1024" s="622">
        <v>-9000.16</v>
      </c>
      <c r="G1024" s="623" t="s">
        <v>6294</v>
      </c>
      <c r="H1024" s="548" t="s">
        <v>114</v>
      </c>
      <c r="I1024" s="583" t="s">
        <v>983</v>
      </c>
      <c r="J1024" s="548" t="s">
        <v>850</v>
      </c>
      <c r="K1024" s="583" t="s">
        <v>946</v>
      </c>
      <c r="L1024" s="583" t="s">
        <v>947</v>
      </c>
      <c r="M1024" s="619" t="s">
        <v>114</v>
      </c>
      <c r="N1024" s="620">
        <v>44519</v>
      </c>
      <c r="O1024" s="684" t="s">
        <v>67</v>
      </c>
      <c r="P1024" s="503">
        <f t="shared" ref="P1024:P1087" si="59">IF(B1024=0,0,IF(YEAR(B1024)=$Q$1,MONTH(B1024)-$P$1+1,(YEAR(B1024)-$Q$1)*12-$P$1+1+MONTH(B1024)))</f>
        <v>11</v>
      </c>
      <c r="Q1024" s="503">
        <f t="shared" ref="Q1024:Q1087" si="60">IF(C1024=0,0,IF(YEAR(C1024)=$Q$1,MONTH(C1024)-$P$1+1,(YEAR(C1024)-$Q$1)*12-$P$1+1+MONTH(C1024)))</f>
        <v>10</v>
      </c>
      <c r="R1024" s="504" t="str">
        <f t="shared" ref="R1024:R1087" si="61">SUBSTITUTE(D1024," ","_")</f>
        <v>Gastos_Gerais</v>
      </c>
      <c r="S1024" s="504" t="str">
        <f>IF(D1024="","",IF(OR(D1024=Plano!$A$1,D1024=Plano!$B$1),"entrada","saída"))</f>
        <v>saída</v>
      </c>
      <c r="T1024" s="511" t="s">
        <v>114</v>
      </c>
      <c r="U1024" s="511" t="s">
        <v>114</v>
      </c>
      <c r="V1024" s="541"/>
    </row>
    <row r="1025" spans="1:22" ht="62.25" customHeight="1" x14ac:dyDescent="0.2">
      <c r="A1025" s="619">
        <f>IF(B1025="","",COUNT('Diário 5º PA'!$A$5:$A$2634)+COUNT('Diário 6º PA'!$A$5:$A$2246)+COUNT('Diário 7º PA'!$A$5:$A$2271)+ROW()-4)</f>
        <v>4971</v>
      </c>
      <c r="B1025" s="620">
        <v>44519</v>
      </c>
      <c r="C1025" s="621">
        <v>44470</v>
      </c>
      <c r="D1025" s="548" t="s">
        <v>99</v>
      </c>
      <c r="E1025" s="548" t="s">
        <v>330</v>
      </c>
      <c r="F1025" s="622">
        <v>-1348.5</v>
      </c>
      <c r="G1025" s="623" t="s">
        <v>6295</v>
      </c>
      <c r="H1025" s="548" t="s">
        <v>114</v>
      </c>
      <c r="I1025" s="583" t="s">
        <v>983</v>
      </c>
      <c r="J1025" s="548" t="s">
        <v>850</v>
      </c>
      <c r="K1025" s="583" t="s">
        <v>946</v>
      </c>
      <c r="L1025" s="583" t="s">
        <v>947</v>
      </c>
      <c r="M1025" s="619" t="s">
        <v>114</v>
      </c>
      <c r="N1025" s="620">
        <v>44519</v>
      </c>
      <c r="O1025" s="684" t="s">
        <v>67</v>
      </c>
      <c r="P1025" s="503">
        <f t="shared" si="59"/>
        <v>11</v>
      </c>
      <c r="Q1025" s="503">
        <f t="shared" si="60"/>
        <v>10</v>
      </c>
      <c r="R1025" s="504" t="str">
        <f t="shared" si="61"/>
        <v>Gastos_Gerais</v>
      </c>
      <c r="S1025" s="504" t="str">
        <f>IF(D1025="","",IF(OR(D1025=Plano!$A$1,D1025=Plano!$B$1),"entrada","saída"))</f>
        <v>saída</v>
      </c>
      <c r="T1025" s="511" t="s">
        <v>114</v>
      </c>
      <c r="U1025" s="511" t="s">
        <v>114</v>
      </c>
      <c r="V1025" s="541"/>
    </row>
    <row r="1026" spans="1:22" ht="53.25" customHeight="1" x14ac:dyDescent="0.2">
      <c r="A1026" s="619">
        <f>IF(B1026="","",COUNT('Diário 5º PA'!$A$5:$A$2634)+COUNT('Diário 6º PA'!$A$5:$A$2246)+COUNT('Diário 7º PA'!$A$5:$A$2271)+ROW()-4)</f>
        <v>4972</v>
      </c>
      <c r="B1026" s="620">
        <v>44519</v>
      </c>
      <c r="C1026" s="621">
        <v>44470</v>
      </c>
      <c r="D1026" s="548" t="s">
        <v>99</v>
      </c>
      <c r="E1026" s="548" t="s">
        <v>330</v>
      </c>
      <c r="F1026" s="622">
        <v>-272.8</v>
      </c>
      <c r="G1026" s="623" t="s">
        <v>6296</v>
      </c>
      <c r="H1026" s="548" t="s">
        <v>114</v>
      </c>
      <c r="I1026" s="583" t="s">
        <v>983</v>
      </c>
      <c r="J1026" s="548" t="s">
        <v>850</v>
      </c>
      <c r="K1026" s="583" t="s">
        <v>946</v>
      </c>
      <c r="L1026" s="583" t="s">
        <v>947</v>
      </c>
      <c r="M1026" s="619" t="s">
        <v>114</v>
      </c>
      <c r="N1026" s="620">
        <v>44519</v>
      </c>
      <c r="O1026" s="684" t="s">
        <v>67</v>
      </c>
      <c r="P1026" s="503">
        <f t="shared" si="59"/>
        <v>11</v>
      </c>
      <c r="Q1026" s="503">
        <f t="shared" si="60"/>
        <v>10</v>
      </c>
      <c r="R1026" s="504" t="str">
        <f t="shared" si="61"/>
        <v>Gastos_Gerais</v>
      </c>
      <c r="S1026" s="504" t="str">
        <f>IF(D1026="","",IF(OR(D1026=Plano!$A$1,D1026=Plano!$B$1),"entrada","saída"))</f>
        <v>saída</v>
      </c>
      <c r="T1026" s="511" t="s">
        <v>114</v>
      </c>
      <c r="U1026" s="511" t="s">
        <v>114</v>
      </c>
      <c r="V1026" s="541"/>
    </row>
    <row r="1027" spans="1:22" ht="61.5" customHeight="1" x14ac:dyDescent="0.2">
      <c r="A1027" s="619">
        <f>IF(B1027="","",COUNT('Diário 5º PA'!$A$5:$A$2634)+COUNT('Diário 6º PA'!$A$5:$A$2246)+COUNT('Diário 7º PA'!$A$5:$A$2271)+ROW()-4)</f>
        <v>4973</v>
      </c>
      <c r="B1027" s="620">
        <v>44519</v>
      </c>
      <c r="C1027" s="621">
        <v>44470</v>
      </c>
      <c r="D1027" s="548" t="s">
        <v>99</v>
      </c>
      <c r="E1027" s="548" t="s">
        <v>330</v>
      </c>
      <c r="F1027" s="622">
        <v>-3720</v>
      </c>
      <c r="G1027" s="623" t="s">
        <v>6297</v>
      </c>
      <c r="H1027" s="548" t="s">
        <v>114</v>
      </c>
      <c r="I1027" s="583" t="s">
        <v>983</v>
      </c>
      <c r="J1027" s="548" t="s">
        <v>850</v>
      </c>
      <c r="K1027" s="583" t="s">
        <v>946</v>
      </c>
      <c r="L1027" s="583" t="s">
        <v>947</v>
      </c>
      <c r="M1027" s="619" t="s">
        <v>114</v>
      </c>
      <c r="N1027" s="620">
        <v>44519</v>
      </c>
      <c r="O1027" s="684" t="s">
        <v>67</v>
      </c>
      <c r="P1027" s="503">
        <f t="shared" si="59"/>
        <v>11</v>
      </c>
      <c r="Q1027" s="503">
        <f t="shared" si="60"/>
        <v>10</v>
      </c>
      <c r="R1027" s="504" t="str">
        <f t="shared" si="61"/>
        <v>Gastos_Gerais</v>
      </c>
      <c r="S1027" s="504" t="str">
        <f>IF(D1027="","",IF(OR(D1027=Plano!$A$1,D1027=Plano!$B$1),"entrada","saída"))</f>
        <v>saída</v>
      </c>
      <c r="T1027" s="511" t="s">
        <v>114</v>
      </c>
      <c r="U1027" s="511" t="s">
        <v>114</v>
      </c>
      <c r="V1027" s="541"/>
    </row>
    <row r="1028" spans="1:22" ht="52.5" customHeight="1" x14ac:dyDescent="0.2">
      <c r="A1028" s="619">
        <f>IF(B1028="","",COUNT('Diário 5º PA'!$A$5:$A$2634)+COUNT('Diário 6º PA'!$A$5:$A$2246)+COUNT('Diário 7º PA'!$A$5:$A$2271)+ROW()-4)</f>
        <v>4974</v>
      </c>
      <c r="B1028" s="620">
        <v>44519</v>
      </c>
      <c r="C1028" s="621">
        <v>44470</v>
      </c>
      <c r="D1028" s="548" t="s">
        <v>99</v>
      </c>
      <c r="E1028" s="548" t="s">
        <v>330</v>
      </c>
      <c r="F1028" s="622">
        <v>-501</v>
      </c>
      <c r="G1028" s="623" t="s">
        <v>6298</v>
      </c>
      <c r="H1028" s="548" t="s">
        <v>114</v>
      </c>
      <c r="I1028" s="583" t="s">
        <v>983</v>
      </c>
      <c r="J1028" s="548" t="s">
        <v>850</v>
      </c>
      <c r="K1028" s="583" t="s">
        <v>946</v>
      </c>
      <c r="L1028" s="583" t="s">
        <v>947</v>
      </c>
      <c r="M1028" s="619" t="s">
        <v>114</v>
      </c>
      <c r="N1028" s="620">
        <v>44519</v>
      </c>
      <c r="O1028" s="684" t="s">
        <v>67</v>
      </c>
      <c r="P1028" s="503">
        <f t="shared" si="59"/>
        <v>11</v>
      </c>
      <c r="Q1028" s="503">
        <f t="shared" si="60"/>
        <v>10</v>
      </c>
      <c r="R1028" s="504" t="str">
        <f t="shared" si="61"/>
        <v>Gastos_Gerais</v>
      </c>
      <c r="S1028" s="504" t="str">
        <f>IF(D1028="","",IF(OR(D1028=Plano!$A$1,D1028=Plano!$B$1),"entrada","saída"))</f>
        <v>saída</v>
      </c>
      <c r="T1028" s="511" t="s">
        <v>114</v>
      </c>
      <c r="U1028" s="511" t="s">
        <v>114</v>
      </c>
      <c r="V1028" s="541"/>
    </row>
    <row r="1029" spans="1:22" ht="55.5" customHeight="1" x14ac:dyDescent="0.2">
      <c r="A1029" s="619">
        <f>IF(B1029="","",COUNT('Diário 5º PA'!$A$5:$A$2634)+COUNT('Diário 6º PA'!$A$5:$A$2246)+COUNT('Diário 7º PA'!$A$5:$A$2271)+ROW()-4)</f>
        <v>4975</v>
      </c>
      <c r="B1029" s="620">
        <v>44519</v>
      </c>
      <c r="C1029" s="621">
        <v>44470</v>
      </c>
      <c r="D1029" s="548" t="s">
        <v>99</v>
      </c>
      <c r="E1029" s="548" t="s">
        <v>330</v>
      </c>
      <c r="F1029" s="622">
        <v>-1085</v>
      </c>
      <c r="G1029" s="623" t="s">
        <v>6299</v>
      </c>
      <c r="H1029" s="548" t="s">
        <v>114</v>
      </c>
      <c r="I1029" s="583" t="s">
        <v>983</v>
      </c>
      <c r="J1029" s="548" t="s">
        <v>850</v>
      </c>
      <c r="K1029" s="583" t="s">
        <v>946</v>
      </c>
      <c r="L1029" s="583" t="s">
        <v>947</v>
      </c>
      <c r="M1029" s="619" t="s">
        <v>114</v>
      </c>
      <c r="N1029" s="620">
        <v>44519</v>
      </c>
      <c r="O1029" s="684" t="s">
        <v>67</v>
      </c>
      <c r="P1029" s="503">
        <f t="shared" si="59"/>
        <v>11</v>
      </c>
      <c r="Q1029" s="503">
        <f t="shared" si="60"/>
        <v>10</v>
      </c>
      <c r="R1029" s="504" t="str">
        <f t="shared" si="61"/>
        <v>Gastos_Gerais</v>
      </c>
      <c r="S1029" s="504" t="str">
        <f>IF(D1029="","",IF(OR(D1029=Plano!$A$1,D1029=Plano!$B$1),"entrada","saída"))</f>
        <v>saída</v>
      </c>
      <c r="T1029" s="511" t="s">
        <v>114</v>
      </c>
      <c r="U1029" s="511" t="s">
        <v>114</v>
      </c>
      <c r="V1029" s="541"/>
    </row>
    <row r="1030" spans="1:22" ht="56.25" customHeight="1" x14ac:dyDescent="0.2">
      <c r="A1030" s="619">
        <f>IF(B1030="","",COUNT('Diário 5º PA'!$A$5:$A$2634)+COUNT('Diário 6º PA'!$A$5:$A$2246)+COUNT('Diário 7º PA'!$A$5:$A$2271)+ROW()-4)</f>
        <v>4976</v>
      </c>
      <c r="B1030" s="620">
        <v>44519</v>
      </c>
      <c r="C1030" s="621">
        <v>44470</v>
      </c>
      <c r="D1030" s="548" t="s">
        <v>88</v>
      </c>
      <c r="E1030" s="548" t="s">
        <v>90</v>
      </c>
      <c r="F1030" s="622">
        <v>-73.7</v>
      </c>
      <c r="G1030" s="623" t="s">
        <v>6314</v>
      </c>
      <c r="H1030" s="548" t="s">
        <v>114</v>
      </c>
      <c r="I1030" s="583" t="s">
        <v>983</v>
      </c>
      <c r="J1030" s="548" t="s">
        <v>850</v>
      </c>
      <c r="K1030" s="583" t="s">
        <v>946</v>
      </c>
      <c r="L1030" s="583" t="s">
        <v>947</v>
      </c>
      <c r="M1030" s="619" t="s">
        <v>114</v>
      </c>
      <c r="N1030" s="620">
        <v>44519</v>
      </c>
      <c r="O1030" s="684" t="s">
        <v>67</v>
      </c>
      <c r="P1030" s="503">
        <f t="shared" si="59"/>
        <v>11</v>
      </c>
      <c r="Q1030" s="503">
        <f t="shared" si="60"/>
        <v>10</v>
      </c>
      <c r="R1030" s="504" t="str">
        <f t="shared" si="61"/>
        <v>Gastos_com_Pessoal</v>
      </c>
      <c r="S1030" s="504" t="str">
        <f>IF(D1030="","",IF(OR(D1030=Plano!$A$1,D1030=Plano!$B$1),"entrada","saída"))</f>
        <v>saída</v>
      </c>
      <c r="T1030" s="511" t="s">
        <v>114</v>
      </c>
      <c r="U1030" s="511" t="s">
        <v>114</v>
      </c>
      <c r="V1030" s="541"/>
    </row>
    <row r="1031" spans="1:22" ht="93" customHeight="1" x14ac:dyDescent="0.2">
      <c r="A1031" s="619">
        <f>IF(B1031="","",COUNT('Diário 5º PA'!$A$5:$A$2634)+COUNT('Diário 6º PA'!$A$5:$A$2246)+COUNT('Diário 7º PA'!$A$5:$A$2271)+ROW()-4)</f>
        <v>4977</v>
      </c>
      <c r="B1031" s="620">
        <v>44519</v>
      </c>
      <c r="C1031" s="624">
        <v>44470</v>
      </c>
      <c r="D1031" s="548" t="s">
        <v>99</v>
      </c>
      <c r="E1031" s="548" t="s">
        <v>288</v>
      </c>
      <c r="F1031" s="622">
        <v>1540</v>
      </c>
      <c r="G1031" s="623" t="s">
        <v>5863</v>
      </c>
      <c r="H1031" s="548" t="s">
        <v>125</v>
      </c>
      <c r="I1031" s="583" t="s">
        <v>1525</v>
      </c>
      <c r="J1031" s="548" t="s">
        <v>1526</v>
      </c>
      <c r="K1031" s="583" t="s">
        <v>560</v>
      </c>
      <c r="L1031" s="583" t="s">
        <v>992</v>
      </c>
      <c r="M1031" s="619">
        <v>2389</v>
      </c>
      <c r="N1031" s="620">
        <v>44509</v>
      </c>
      <c r="O1031" s="684" t="s">
        <v>67</v>
      </c>
      <c r="P1031" s="503">
        <f t="shared" si="59"/>
        <v>11</v>
      </c>
      <c r="Q1031" s="503">
        <f t="shared" si="60"/>
        <v>10</v>
      </c>
      <c r="R1031" s="504" t="str">
        <f t="shared" si="61"/>
        <v>Gastos_Gerais</v>
      </c>
      <c r="S1031" s="504" t="str">
        <f>IF(D1031="","",IF(OR(D1031=Plano!$A$1,D1031=Plano!$B$1),"entrada","saída"))</f>
        <v>saída</v>
      </c>
      <c r="T1031" s="505" t="s">
        <v>1011</v>
      </c>
      <c r="U1031" s="505">
        <v>2285</v>
      </c>
      <c r="V1031" s="541"/>
    </row>
    <row r="1032" spans="1:22" ht="51" customHeight="1" x14ac:dyDescent="0.2">
      <c r="A1032" s="619">
        <f>IF(B1032="","",COUNT('Diário 5º PA'!$A$5:$A$2634)+COUNT('Diário 6º PA'!$A$5:$A$2246)+COUNT('Diário 7º PA'!$A$5:$A$2271)+ROW()-4)</f>
        <v>4978</v>
      </c>
      <c r="B1032" s="620">
        <v>44519</v>
      </c>
      <c r="C1032" s="624">
        <v>44440</v>
      </c>
      <c r="D1032" s="548" t="s">
        <v>99</v>
      </c>
      <c r="E1032" s="548" t="s">
        <v>266</v>
      </c>
      <c r="F1032" s="622">
        <v>658.35</v>
      </c>
      <c r="G1032" s="623" t="s">
        <v>5917</v>
      </c>
      <c r="H1032" s="548" t="s">
        <v>131</v>
      </c>
      <c r="I1032" s="583" t="s">
        <v>488</v>
      </c>
      <c r="J1032" s="548" t="s">
        <v>114</v>
      </c>
      <c r="K1032" s="583" t="s">
        <v>466</v>
      </c>
      <c r="L1032" s="583" t="s">
        <v>489</v>
      </c>
      <c r="M1032" s="619" t="s">
        <v>114</v>
      </c>
      <c r="N1032" s="620">
        <v>44519</v>
      </c>
      <c r="O1032" s="684" t="s">
        <v>67</v>
      </c>
      <c r="P1032" s="503">
        <f t="shared" si="59"/>
        <v>11</v>
      </c>
      <c r="Q1032" s="503">
        <f t="shared" si="60"/>
        <v>9</v>
      </c>
      <c r="R1032" s="504" t="str">
        <f t="shared" si="61"/>
        <v>Gastos_Gerais</v>
      </c>
      <c r="S1032" s="504" t="str">
        <f>IF(D1032="","",IF(OR(D1032=Plano!$A$1,D1032=Plano!$B$1),"entrada","saída"))</f>
        <v>saída</v>
      </c>
      <c r="T1032" s="505" t="s">
        <v>114</v>
      </c>
      <c r="U1032" s="505" t="s">
        <v>114</v>
      </c>
      <c r="V1032" s="541"/>
    </row>
    <row r="1033" spans="1:22" ht="45.75" customHeight="1" x14ac:dyDescent="0.2">
      <c r="A1033" s="619">
        <f>IF(B1033="","",COUNT('Diário 5º PA'!$A$5:$A$2634)+COUNT('Diário 6º PA'!$A$5:$A$2246)+COUNT('Diário 7º PA'!$A$5:$A$2271)+ROW()-4)</f>
        <v>4979</v>
      </c>
      <c r="B1033" s="620">
        <v>44519</v>
      </c>
      <c r="C1033" s="624">
        <v>44440</v>
      </c>
      <c r="D1033" s="548" t="s">
        <v>99</v>
      </c>
      <c r="E1033" s="548" t="s">
        <v>358</v>
      </c>
      <c r="F1033" s="622">
        <v>17.399999999999999</v>
      </c>
      <c r="G1033" s="623" t="s">
        <v>5758</v>
      </c>
      <c r="H1033" s="548" t="s">
        <v>131</v>
      </c>
      <c r="I1033" s="583" t="s">
        <v>488</v>
      </c>
      <c r="J1033" s="548" t="s">
        <v>114</v>
      </c>
      <c r="K1033" s="583" t="s">
        <v>466</v>
      </c>
      <c r="L1033" s="583" t="s">
        <v>489</v>
      </c>
      <c r="M1033" s="619" t="s">
        <v>114</v>
      </c>
      <c r="N1033" s="620">
        <v>44519</v>
      </c>
      <c r="O1033" s="684" t="s">
        <v>67</v>
      </c>
      <c r="P1033" s="503">
        <f t="shared" si="59"/>
        <v>11</v>
      </c>
      <c r="Q1033" s="503">
        <f t="shared" si="60"/>
        <v>9</v>
      </c>
      <c r="R1033" s="504" t="str">
        <f t="shared" si="61"/>
        <v>Gastos_Gerais</v>
      </c>
      <c r="S1033" s="504" t="str">
        <f>IF(D1033="","",IF(OR(D1033=Plano!$A$1,D1033=Plano!$B$1),"entrada","saída"))</f>
        <v>saída</v>
      </c>
      <c r="T1033" s="505" t="s">
        <v>114</v>
      </c>
      <c r="U1033" s="505" t="s">
        <v>114</v>
      </c>
      <c r="V1033" s="541"/>
    </row>
    <row r="1034" spans="1:22" ht="36" customHeight="1" x14ac:dyDescent="0.2">
      <c r="A1034" s="619">
        <f>IF(B1034="","",COUNT('Diário 5º PA'!$A$5:$A$2634)+COUNT('Diário 6º PA'!$A$5:$A$2246)+COUNT('Diário 7º PA'!$A$5:$A$2271)+ROW()-4)</f>
        <v>4980</v>
      </c>
      <c r="B1034" s="620">
        <v>44519</v>
      </c>
      <c r="C1034" s="624">
        <v>44440</v>
      </c>
      <c r="D1034" s="548" t="s">
        <v>99</v>
      </c>
      <c r="E1034" s="548" t="s">
        <v>262</v>
      </c>
      <c r="F1034" s="622">
        <v>17.399999999999999</v>
      </c>
      <c r="G1034" s="623" t="s">
        <v>5850</v>
      </c>
      <c r="H1034" s="548" t="s">
        <v>115</v>
      </c>
      <c r="I1034" s="583" t="s">
        <v>488</v>
      </c>
      <c r="J1034" s="548" t="s">
        <v>114</v>
      </c>
      <c r="K1034" s="583" t="s">
        <v>466</v>
      </c>
      <c r="L1034" s="583" t="s">
        <v>489</v>
      </c>
      <c r="M1034" s="619" t="s">
        <v>114</v>
      </c>
      <c r="N1034" s="620">
        <v>44519</v>
      </c>
      <c r="O1034" s="684" t="s">
        <v>67</v>
      </c>
      <c r="P1034" s="503">
        <f t="shared" si="59"/>
        <v>11</v>
      </c>
      <c r="Q1034" s="503">
        <f t="shared" si="60"/>
        <v>9</v>
      </c>
      <c r="R1034" s="504" t="str">
        <f t="shared" si="61"/>
        <v>Gastos_Gerais</v>
      </c>
      <c r="S1034" s="504" t="str">
        <f>IF(D1034="","",IF(OR(D1034=Plano!$A$1,D1034=Plano!$B$1),"entrada","saída"))</f>
        <v>saída</v>
      </c>
      <c r="T1034" s="505" t="s">
        <v>114</v>
      </c>
      <c r="U1034" s="505" t="s">
        <v>114</v>
      </c>
      <c r="V1034" s="541"/>
    </row>
    <row r="1035" spans="1:22" ht="51" customHeight="1" x14ac:dyDescent="0.2">
      <c r="A1035" s="619">
        <f>IF(B1035="","",COUNT('Diário 5º PA'!$A$5:$A$2634)+COUNT('Diário 6º PA'!$A$5:$A$2246)+COUNT('Diário 7º PA'!$A$5:$A$2271)+ROW()-4)</f>
        <v>4981</v>
      </c>
      <c r="B1035" s="620">
        <v>44519</v>
      </c>
      <c r="C1035" s="624">
        <v>44470</v>
      </c>
      <c r="D1035" s="548" t="s">
        <v>99</v>
      </c>
      <c r="E1035" s="548" t="s">
        <v>358</v>
      </c>
      <c r="F1035" s="622">
        <v>17.399999999999999</v>
      </c>
      <c r="G1035" s="623" t="s">
        <v>5843</v>
      </c>
      <c r="H1035" s="548" t="s">
        <v>131</v>
      </c>
      <c r="I1035" s="583" t="s">
        <v>488</v>
      </c>
      <c r="J1035" s="548" t="s">
        <v>114</v>
      </c>
      <c r="K1035" s="583" t="s">
        <v>466</v>
      </c>
      <c r="L1035" s="583" t="s">
        <v>489</v>
      </c>
      <c r="M1035" s="619" t="s">
        <v>114</v>
      </c>
      <c r="N1035" s="620">
        <v>44519</v>
      </c>
      <c r="O1035" s="684" t="s">
        <v>67</v>
      </c>
      <c r="P1035" s="503">
        <f t="shared" si="59"/>
        <v>11</v>
      </c>
      <c r="Q1035" s="503">
        <f t="shared" si="60"/>
        <v>10</v>
      </c>
      <c r="R1035" s="504" t="str">
        <f t="shared" si="61"/>
        <v>Gastos_Gerais</v>
      </c>
      <c r="S1035" s="504" t="str">
        <f>IF(D1035="","",IF(OR(D1035=Plano!$A$1,D1035=Plano!$B$1),"entrada","saída"))</f>
        <v>saída</v>
      </c>
      <c r="T1035" s="505" t="s">
        <v>114</v>
      </c>
      <c r="U1035" s="505" t="s">
        <v>114</v>
      </c>
      <c r="V1035" s="541"/>
    </row>
    <row r="1036" spans="1:22" ht="39.75" customHeight="1" x14ac:dyDescent="0.2">
      <c r="A1036" s="619">
        <f>IF(B1036="","",COUNT('Diário 5º PA'!$A$5:$A$2634)+COUNT('Diário 6º PA'!$A$5:$A$2246)+COUNT('Diário 7º PA'!$A$5:$A$2271)+ROW()-4)</f>
        <v>4982</v>
      </c>
      <c r="B1036" s="620">
        <v>44519</v>
      </c>
      <c r="C1036" s="624">
        <v>44440</v>
      </c>
      <c r="D1036" s="548" t="s">
        <v>99</v>
      </c>
      <c r="E1036" s="548" t="s">
        <v>358</v>
      </c>
      <c r="F1036" s="622">
        <v>17.399999999999999</v>
      </c>
      <c r="G1036" s="623" t="s">
        <v>5755</v>
      </c>
      <c r="H1036" s="548" t="s">
        <v>131</v>
      </c>
      <c r="I1036" s="583" t="s">
        <v>488</v>
      </c>
      <c r="J1036" s="548" t="s">
        <v>114</v>
      </c>
      <c r="K1036" s="583" t="s">
        <v>466</v>
      </c>
      <c r="L1036" s="583" t="s">
        <v>489</v>
      </c>
      <c r="M1036" s="619" t="s">
        <v>114</v>
      </c>
      <c r="N1036" s="620">
        <v>44519</v>
      </c>
      <c r="O1036" s="684" t="s">
        <v>67</v>
      </c>
      <c r="P1036" s="503">
        <f t="shared" si="59"/>
        <v>11</v>
      </c>
      <c r="Q1036" s="503">
        <f t="shared" si="60"/>
        <v>9</v>
      </c>
      <c r="R1036" s="504" t="str">
        <f t="shared" si="61"/>
        <v>Gastos_Gerais</v>
      </c>
      <c r="S1036" s="504" t="str">
        <f>IF(D1036="","",IF(OR(D1036=Plano!$A$1,D1036=Plano!$B$1),"entrada","saída"))</f>
        <v>saída</v>
      </c>
      <c r="T1036" s="505" t="s">
        <v>114</v>
      </c>
      <c r="U1036" s="505" t="s">
        <v>114</v>
      </c>
      <c r="V1036" s="541"/>
    </row>
    <row r="1037" spans="1:22" s="526" customFormat="1" ht="39.75" customHeight="1" x14ac:dyDescent="0.2">
      <c r="A1037" s="619">
        <f>IF(B1037="","",COUNT('Diário 5º PA'!$A$5:$A$2634)+COUNT('Diário 6º PA'!$A$5:$A$2246)+COUNT('Diário 7º PA'!$A$5:$A$2271)+ROW()-4)</f>
        <v>4983</v>
      </c>
      <c r="B1037" s="620">
        <v>44519</v>
      </c>
      <c r="C1037" s="624">
        <v>44440</v>
      </c>
      <c r="D1037" s="548" t="s">
        <v>99</v>
      </c>
      <c r="E1037" s="548" t="s">
        <v>358</v>
      </c>
      <c r="F1037" s="622">
        <v>17.399999999999999</v>
      </c>
      <c r="G1037" s="623" t="s">
        <v>5837</v>
      </c>
      <c r="H1037" s="548" t="s">
        <v>131</v>
      </c>
      <c r="I1037" s="583" t="s">
        <v>488</v>
      </c>
      <c r="J1037" s="548" t="s">
        <v>114</v>
      </c>
      <c r="K1037" s="583" t="s">
        <v>466</v>
      </c>
      <c r="L1037" s="583" t="s">
        <v>489</v>
      </c>
      <c r="M1037" s="619" t="s">
        <v>114</v>
      </c>
      <c r="N1037" s="620">
        <v>44519</v>
      </c>
      <c r="O1037" s="684" t="s">
        <v>67</v>
      </c>
      <c r="P1037" s="503">
        <f t="shared" si="59"/>
        <v>11</v>
      </c>
      <c r="Q1037" s="503">
        <f t="shared" si="60"/>
        <v>9</v>
      </c>
      <c r="R1037" s="504" t="str">
        <f t="shared" si="61"/>
        <v>Gastos_Gerais</v>
      </c>
      <c r="S1037" s="504" t="str">
        <f>IF(D1037="","",IF(OR(D1037=Plano!$A$1,D1037=Plano!$B$1),"entrada","saída"))</f>
        <v>saída</v>
      </c>
      <c r="T1037" s="505" t="s">
        <v>114</v>
      </c>
      <c r="U1037" s="505" t="s">
        <v>114</v>
      </c>
      <c r="V1037" s="541"/>
    </row>
    <row r="1038" spans="1:22" ht="39.75" customHeight="1" x14ac:dyDescent="0.2">
      <c r="A1038" s="619">
        <f>IF(B1038="","",COUNT('Diário 5º PA'!$A$5:$A$2634)+COUNT('Diário 6º PA'!$A$5:$A$2246)+COUNT('Diário 7º PA'!$A$5:$A$2271)+ROW()-4)</f>
        <v>4984</v>
      </c>
      <c r="B1038" s="620">
        <v>44519</v>
      </c>
      <c r="C1038" s="624">
        <v>44409</v>
      </c>
      <c r="D1038" s="548" t="s">
        <v>99</v>
      </c>
      <c r="E1038" s="548" t="s">
        <v>364</v>
      </c>
      <c r="F1038" s="622">
        <v>2236.0300000000002</v>
      </c>
      <c r="G1038" s="623" t="s">
        <v>5807</v>
      </c>
      <c r="H1038" s="548" t="s">
        <v>116</v>
      </c>
      <c r="I1038" s="583" t="s">
        <v>488</v>
      </c>
      <c r="J1038" s="548" t="s">
        <v>114</v>
      </c>
      <c r="K1038" s="583" t="s">
        <v>466</v>
      </c>
      <c r="L1038" s="583" t="s">
        <v>489</v>
      </c>
      <c r="M1038" s="619" t="s">
        <v>114</v>
      </c>
      <c r="N1038" s="620">
        <v>44519</v>
      </c>
      <c r="O1038" s="684" t="s">
        <v>67</v>
      </c>
      <c r="P1038" s="503">
        <f t="shared" si="59"/>
        <v>11</v>
      </c>
      <c r="Q1038" s="503">
        <f t="shared" si="60"/>
        <v>8</v>
      </c>
      <c r="R1038" s="504" t="str">
        <f t="shared" si="61"/>
        <v>Gastos_Gerais</v>
      </c>
      <c r="S1038" s="504" t="str">
        <f>IF(D1038="","",IF(OR(D1038=Plano!$A$1,D1038=Plano!$B$1),"entrada","saída"))</f>
        <v>saída</v>
      </c>
      <c r="T1038" s="505" t="s">
        <v>114</v>
      </c>
      <c r="U1038" s="505" t="s">
        <v>114</v>
      </c>
      <c r="V1038" s="541"/>
    </row>
    <row r="1039" spans="1:22" ht="54" customHeight="1" x14ac:dyDescent="0.2">
      <c r="A1039" s="619">
        <f>IF(B1039="","",COUNT('Diário 5º PA'!$A$5:$A$2634)+COUNT('Diário 6º PA'!$A$5:$A$2246)+COUNT('Diário 7º PA'!$A$5:$A$2271)+ROW()-4)</f>
        <v>4985</v>
      </c>
      <c r="B1039" s="620">
        <v>44519</v>
      </c>
      <c r="C1039" s="628">
        <v>44470</v>
      </c>
      <c r="D1039" s="548" t="s">
        <v>99</v>
      </c>
      <c r="E1039" s="548" t="s">
        <v>336</v>
      </c>
      <c r="F1039" s="622">
        <v>24.09</v>
      </c>
      <c r="G1039" s="623" t="s">
        <v>5847</v>
      </c>
      <c r="H1039" s="548" t="s">
        <v>116</v>
      </c>
      <c r="I1039" s="583" t="s">
        <v>488</v>
      </c>
      <c r="J1039" s="548" t="s">
        <v>114</v>
      </c>
      <c r="K1039" s="583" t="s">
        <v>466</v>
      </c>
      <c r="L1039" s="583" t="s">
        <v>489</v>
      </c>
      <c r="M1039" s="619" t="s">
        <v>114</v>
      </c>
      <c r="N1039" s="620">
        <v>44519</v>
      </c>
      <c r="O1039" s="684" t="s">
        <v>67</v>
      </c>
      <c r="P1039" s="503">
        <f t="shared" si="59"/>
        <v>11</v>
      </c>
      <c r="Q1039" s="503">
        <f t="shared" si="60"/>
        <v>10</v>
      </c>
      <c r="R1039" s="504" t="str">
        <f t="shared" si="61"/>
        <v>Gastos_Gerais</v>
      </c>
      <c r="S1039" s="504" t="str">
        <f>IF(D1039="","",IF(OR(D1039=Plano!$A$1,D1039=Plano!$B$1),"entrada","saída"))</f>
        <v>saída</v>
      </c>
      <c r="T1039" s="505" t="s">
        <v>114</v>
      </c>
      <c r="U1039" s="505" t="s">
        <v>114</v>
      </c>
      <c r="V1039" s="541"/>
    </row>
    <row r="1040" spans="1:22" ht="38.25" customHeight="1" x14ac:dyDescent="0.2">
      <c r="A1040" s="619">
        <f>IF(B1040="","",COUNT('Diário 5º PA'!$A$5:$A$2634)+COUNT('Diário 6º PA'!$A$5:$A$2246)+COUNT('Diário 7º PA'!$A$5:$A$2271)+ROW()-4)</f>
        <v>4986</v>
      </c>
      <c r="B1040" s="620">
        <v>44519</v>
      </c>
      <c r="C1040" s="624">
        <v>44440</v>
      </c>
      <c r="D1040" s="548" t="s">
        <v>99</v>
      </c>
      <c r="E1040" s="548" t="s">
        <v>358</v>
      </c>
      <c r="F1040" s="622">
        <v>17.399999999999999</v>
      </c>
      <c r="G1040" s="623" t="s">
        <v>5884</v>
      </c>
      <c r="H1040" s="548" t="s">
        <v>131</v>
      </c>
      <c r="I1040" s="583" t="s">
        <v>488</v>
      </c>
      <c r="J1040" s="548" t="s">
        <v>114</v>
      </c>
      <c r="K1040" s="583" t="s">
        <v>466</v>
      </c>
      <c r="L1040" s="583" t="s">
        <v>489</v>
      </c>
      <c r="M1040" s="619" t="s">
        <v>114</v>
      </c>
      <c r="N1040" s="620">
        <v>44519</v>
      </c>
      <c r="O1040" s="684" t="s">
        <v>67</v>
      </c>
      <c r="P1040" s="503">
        <f t="shared" si="59"/>
        <v>11</v>
      </c>
      <c r="Q1040" s="503">
        <f t="shared" si="60"/>
        <v>9</v>
      </c>
      <c r="R1040" s="504" t="str">
        <f t="shared" si="61"/>
        <v>Gastos_Gerais</v>
      </c>
      <c r="S1040" s="504" t="str">
        <f>IF(D1040="","",IF(OR(D1040=Plano!$A$1,D1040=Plano!$B$1),"entrada","saída"))</f>
        <v>saída</v>
      </c>
      <c r="T1040" s="505" t="s">
        <v>114</v>
      </c>
      <c r="U1040" s="505" t="s">
        <v>114</v>
      </c>
      <c r="V1040" s="541"/>
    </row>
    <row r="1041" spans="1:22" ht="51" customHeight="1" x14ac:dyDescent="0.2">
      <c r="A1041" s="619">
        <f>IF(B1041="","",COUNT('Diário 5º PA'!$A$5:$A$2634)+COUNT('Diário 6º PA'!$A$5:$A$2246)+COUNT('Diário 7º PA'!$A$5:$A$2271)+ROW()-4)</f>
        <v>4987</v>
      </c>
      <c r="B1041" s="620">
        <v>44519</v>
      </c>
      <c r="C1041" s="624">
        <v>44470</v>
      </c>
      <c r="D1041" s="548" t="s">
        <v>99</v>
      </c>
      <c r="E1041" s="548" t="s">
        <v>364</v>
      </c>
      <c r="F1041" s="622">
        <v>24.07</v>
      </c>
      <c r="G1041" s="623" t="s">
        <v>5764</v>
      </c>
      <c r="H1041" s="548" t="s">
        <v>125</v>
      </c>
      <c r="I1041" s="583" t="s">
        <v>488</v>
      </c>
      <c r="J1041" s="548" t="s">
        <v>114</v>
      </c>
      <c r="K1041" s="583" t="s">
        <v>466</v>
      </c>
      <c r="L1041" s="583" t="s">
        <v>489</v>
      </c>
      <c r="M1041" s="619" t="s">
        <v>114</v>
      </c>
      <c r="N1041" s="620">
        <v>44519</v>
      </c>
      <c r="O1041" s="684" t="s">
        <v>67</v>
      </c>
      <c r="P1041" s="503">
        <f t="shared" si="59"/>
        <v>11</v>
      </c>
      <c r="Q1041" s="503">
        <f t="shared" si="60"/>
        <v>10</v>
      </c>
      <c r="R1041" s="504" t="str">
        <f t="shared" si="61"/>
        <v>Gastos_Gerais</v>
      </c>
      <c r="S1041" s="504" t="str">
        <f>IF(D1041="","",IF(OR(D1041=Plano!$A$1,D1041=Plano!$B$1),"entrada","saída"))</f>
        <v>saída</v>
      </c>
      <c r="T1041" s="505" t="s">
        <v>114</v>
      </c>
      <c r="U1041" s="505" t="s">
        <v>114</v>
      </c>
      <c r="V1041" s="541"/>
    </row>
    <row r="1042" spans="1:22" ht="41.25" customHeight="1" x14ac:dyDescent="0.2">
      <c r="A1042" s="619">
        <f>IF(B1042="","",COUNT('Diário 5º PA'!$A$5:$A$2634)+COUNT('Diário 6º PA'!$A$5:$A$2246)+COUNT('Diário 7º PA'!$A$5:$A$2271)+ROW()-4)</f>
        <v>4988</v>
      </c>
      <c r="B1042" s="620">
        <v>44519</v>
      </c>
      <c r="C1042" s="624">
        <v>44440</v>
      </c>
      <c r="D1042" s="548" t="s">
        <v>99</v>
      </c>
      <c r="E1042" s="548" t="s">
        <v>358</v>
      </c>
      <c r="F1042" s="622">
        <v>17.399999999999999</v>
      </c>
      <c r="G1042" s="623" t="s">
        <v>5747</v>
      </c>
      <c r="H1042" s="548" t="s">
        <v>131</v>
      </c>
      <c r="I1042" s="583" t="s">
        <v>488</v>
      </c>
      <c r="J1042" s="548" t="s">
        <v>114</v>
      </c>
      <c r="K1042" s="583" t="s">
        <v>466</v>
      </c>
      <c r="L1042" s="583" t="s">
        <v>489</v>
      </c>
      <c r="M1042" s="619" t="s">
        <v>114</v>
      </c>
      <c r="N1042" s="620">
        <v>44519</v>
      </c>
      <c r="O1042" s="684" t="s">
        <v>67</v>
      </c>
      <c r="P1042" s="503">
        <f t="shared" si="59"/>
        <v>11</v>
      </c>
      <c r="Q1042" s="503">
        <f t="shared" si="60"/>
        <v>9</v>
      </c>
      <c r="R1042" s="504" t="str">
        <f t="shared" si="61"/>
        <v>Gastos_Gerais</v>
      </c>
      <c r="S1042" s="504" t="str">
        <f>IF(D1042="","",IF(OR(D1042=Plano!$A$1,D1042=Plano!$B$1),"entrada","saída"))</f>
        <v>saída</v>
      </c>
      <c r="T1042" s="505" t="s">
        <v>114</v>
      </c>
      <c r="U1042" s="505" t="s">
        <v>114</v>
      </c>
      <c r="V1042" s="541"/>
    </row>
    <row r="1043" spans="1:22" ht="40.5" customHeight="1" x14ac:dyDescent="0.2">
      <c r="A1043" s="619">
        <f>IF(B1043="","",COUNT('Diário 5º PA'!$A$5:$A$2634)+COUNT('Diário 6º PA'!$A$5:$A$2246)+COUNT('Diário 7º PA'!$A$5:$A$2271)+ROW()-4)</f>
        <v>4989</v>
      </c>
      <c r="B1043" s="620">
        <v>44519</v>
      </c>
      <c r="C1043" s="624">
        <v>44440</v>
      </c>
      <c r="D1043" s="548" t="s">
        <v>99</v>
      </c>
      <c r="E1043" s="548" t="s">
        <v>358</v>
      </c>
      <c r="F1043" s="622">
        <v>17.399999999999999</v>
      </c>
      <c r="G1043" s="623" t="s">
        <v>5840</v>
      </c>
      <c r="H1043" s="548" t="s">
        <v>131</v>
      </c>
      <c r="I1043" s="583" t="s">
        <v>488</v>
      </c>
      <c r="J1043" s="548" t="s">
        <v>114</v>
      </c>
      <c r="K1043" s="583" t="s">
        <v>466</v>
      </c>
      <c r="L1043" s="583" t="s">
        <v>489</v>
      </c>
      <c r="M1043" s="619" t="s">
        <v>114</v>
      </c>
      <c r="N1043" s="620">
        <v>44519</v>
      </c>
      <c r="O1043" s="684" t="s">
        <v>67</v>
      </c>
      <c r="P1043" s="503">
        <f t="shared" si="59"/>
        <v>11</v>
      </c>
      <c r="Q1043" s="503">
        <f t="shared" si="60"/>
        <v>9</v>
      </c>
      <c r="R1043" s="504" t="str">
        <f t="shared" si="61"/>
        <v>Gastos_Gerais</v>
      </c>
      <c r="S1043" s="504" t="str">
        <f>IF(D1043="","",IF(OR(D1043=Plano!$A$1,D1043=Plano!$B$1),"entrada","saída"))</f>
        <v>saída</v>
      </c>
      <c r="T1043" s="505" t="s">
        <v>114</v>
      </c>
      <c r="U1043" s="505" t="s">
        <v>114</v>
      </c>
      <c r="V1043" s="541"/>
    </row>
    <row r="1044" spans="1:22" ht="54" customHeight="1" x14ac:dyDescent="0.2">
      <c r="A1044" s="619">
        <f>IF(B1044="","",COUNT('Diário 5º PA'!$A$5:$A$2634)+COUNT('Diário 6º PA'!$A$5:$A$2246)+COUNT('Diário 7º PA'!$A$5:$A$2271)+ROW()-4)</f>
        <v>4990</v>
      </c>
      <c r="B1044" s="620">
        <v>44519</v>
      </c>
      <c r="C1044" s="624">
        <v>44470</v>
      </c>
      <c r="D1044" s="548" t="s">
        <v>99</v>
      </c>
      <c r="E1044" s="548" t="s">
        <v>364</v>
      </c>
      <c r="F1044" s="622">
        <v>179.2</v>
      </c>
      <c r="G1044" s="623" t="s">
        <v>5906</v>
      </c>
      <c r="H1044" s="548" t="s">
        <v>131</v>
      </c>
      <c r="I1044" s="583" t="s">
        <v>488</v>
      </c>
      <c r="J1044" s="548" t="s">
        <v>114</v>
      </c>
      <c r="K1044" s="583" t="s">
        <v>466</v>
      </c>
      <c r="L1044" s="583" t="s">
        <v>489</v>
      </c>
      <c r="M1044" s="619" t="s">
        <v>114</v>
      </c>
      <c r="N1044" s="620">
        <v>44519</v>
      </c>
      <c r="O1044" s="684" t="s">
        <v>67</v>
      </c>
      <c r="P1044" s="503">
        <f t="shared" si="59"/>
        <v>11</v>
      </c>
      <c r="Q1044" s="503">
        <f t="shared" si="60"/>
        <v>10</v>
      </c>
      <c r="R1044" s="504" t="str">
        <f t="shared" si="61"/>
        <v>Gastos_Gerais</v>
      </c>
      <c r="S1044" s="504" t="str">
        <f>IF(D1044="","",IF(OR(D1044=Plano!$A$1,D1044=Plano!$B$1),"entrada","saída"))</f>
        <v>saída</v>
      </c>
      <c r="T1044" s="505" t="s">
        <v>114</v>
      </c>
      <c r="U1044" s="505" t="s">
        <v>114</v>
      </c>
      <c r="V1044" s="541"/>
    </row>
    <row r="1045" spans="1:22" ht="39" customHeight="1" x14ac:dyDescent="0.2">
      <c r="A1045" s="619">
        <f>IF(B1045="","",COUNT('Diário 5º PA'!$A$5:$A$2634)+COUNT('Diário 6º PA'!$A$5:$A$2246)+COUNT('Diário 7º PA'!$A$5:$A$2271)+ROW()-4)</f>
        <v>4991</v>
      </c>
      <c r="B1045" s="620">
        <v>44519</v>
      </c>
      <c r="C1045" s="624">
        <v>44440</v>
      </c>
      <c r="D1045" s="548" t="s">
        <v>88</v>
      </c>
      <c r="E1045" s="548" t="s">
        <v>90</v>
      </c>
      <c r="F1045" s="622">
        <v>10755.96</v>
      </c>
      <c r="G1045" s="623" t="s">
        <v>5529</v>
      </c>
      <c r="H1045" s="548" t="s">
        <v>114</v>
      </c>
      <c r="I1045" s="583" t="s">
        <v>488</v>
      </c>
      <c r="J1045" s="548" t="s">
        <v>114</v>
      </c>
      <c r="K1045" s="583" t="s">
        <v>466</v>
      </c>
      <c r="L1045" s="583" t="s">
        <v>489</v>
      </c>
      <c r="M1045" s="619" t="s">
        <v>114</v>
      </c>
      <c r="N1045" s="620">
        <v>44519</v>
      </c>
      <c r="O1045" s="684" t="s">
        <v>67</v>
      </c>
      <c r="P1045" s="503">
        <f t="shared" si="59"/>
        <v>11</v>
      </c>
      <c r="Q1045" s="503">
        <f t="shared" si="60"/>
        <v>9</v>
      </c>
      <c r="R1045" s="504" t="str">
        <f t="shared" si="61"/>
        <v>Gastos_com_Pessoal</v>
      </c>
      <c r="S1045" s="504" t="str">
        <f>IF(D1045="","",IF(OR(D1045=Plano!$A$1,D1045=Plano!$B$1),"entrada","saída"))</f>
        <v>saída</v>
      </c>
      <c r="T1045" s="505" t="s">
        <v>114</v>
      </c>
      <c r="U1045" s="505" t="s">
        <v>114</v>
      </c>
      <c r="V1045" s="541"/>
    </row>
    <row r="1046" spans="1:22" ht="34.5" customHeight="1" x14ac:dyDescent="0.2">
      <c r="A1046" s="619">
        <f>IF(B1046="","",COUNT('Diário 5º PA'!$A$5:$A$2634)+COUNT('Diário 6º PA'!$A$5:$A$2246)+COUNT('Diário 7º PA'!$A$5:$A$2271)+ROW()-4)</f>
        <v>4992</v>
      </c>
      <c r="B1046" s="620">
        <v>44519</v>
      </c>
      <c r="C1046" s="624">
        <v>44440</v>
      </c>
      <c r="D1046" s="548" t="s">
        <v>99</v>
      </c>
      <c r="E1046" s="548" t="s">
        <v>208</v>
      </c>
      <c r="F1046" s="622">
        <v>1881</v>
      </c>
      <c r="G1046" s="623" t="s">
        <v>517</v>
      </c>
      <c r="H1046" s="548" t="s">
        <v>115</v>
      </c>
      <c r="I1046" s="583" t="s">
        <v>488</v>
      </c>
      <c r="J1046" s="548" t="s">
        <v>114</v>
      </c>
      <c r="K1046" s="583" t="s">
        <v>466</v>
      </c>
      <c r="L1046" s="583" t="s">
        <v>489</v>
      </c>
      <c r="M1046" s="619" t="s">
        <v>114</v>
      </c>
      <c r="N1046" s="620">
        <v>44519</v>
      </c>
      <c r="O1046" s="684" t="s">
        <v>67</v>
      </c>
      <c r="P1046" s="503">
        <f t="shared" si="59"/>
        <v>11</v>
      </c>
      <c r="Q1046" s="503">
        <f t="shared" si="60"/>
        <v>9</v>
      </c>
      <c r="R1046" s="504" t="str">
        <f t="shared" si="61"/>
        <v>Gastos_Gerais</v>
      </c>
      <c r="S1046" s="504" t="str">
        <f>IF(D1046="","",IF(OR(D1046=Plano!$A$1,D1046=Plano!$B$1),"entrada","saída"))</f>
        <v>saída</v>
      </c>
      <c r="T1046" s="505" t="s">
        <v>114</v>
      </c>
      <c r="U1046" s="505" t="s">
        <v>114</v>
      </c>
      <c r="V1046" s="541"/>
    </row>
    <row r="1047" spans="1:22" ht="37.5" customHeight="1" x14ac:dyDescent="0.2">
      <c r="A1047" s="619">
        <f>IF(B1047="","",COUNT('Diário 5º PA'!$A$5:$A$2634)+COUNT('Diário 6º PA'!$A$5:$A$2246)+COUNT('Diário 7º PA'!$A$5:$A$2271)+ROW()-4)</f>
        <v>4993</v>
      </c>
      <c r="B1047" s="620">
        <v>44519</v>
      </c>
      <c r="C1047" s="624">
        <v>44440</v>
      </c>
      <c r="D1047" s="548" t="s">
        <v>88</v>
      </c>
      <c r="E1047" s="548" t="s">
        <v>183</v>
      </c>
      <c r="F1047" s="622">
        <v>14.71</v>
      </c>
      <c r="G1047" s="623" t="s">
        <v>5581</v>
      </c>
      <c r="H1047" s="548" t="s">
        <v>114</v>
      </c>
      <c r="I1047" s="583" t="s">
        <v>488</v>
      </c>
      <c r="J1047" s="548" t="s">
        <v>114</v>
      </c>
      <c r="K1047" s="583" t="s">
        <v>466</v>
      </c>
      <c r="L1047" s="583" t="s">
        <v>489</v>
      </c>
      <c r="M1047" s="619" t="s">
        <v>114</v>
      </c>
      <c r="N1047" s="620">
        <v>44519</v>
      </c>
      <c r="O1047" s="684" t="s">
        <v>67</v>
      </c>
      <c r="P1047" s="503">
        <f t="shared" si="59"/>
        <v>11</v>
      </c>
      <c r="Q1047" s="503">
        <f t="shared" si="60"/>
        <v>9</v>
      </c>
      <c r="R1047" s="504" t="str">
        <f t="shared" si="61"/>
        <v>Gastos_com_Pessoal</v>
      </c>
      <c r="S1047" s="504" t="str">
        <f>IF(D1047="","",IF(OR(D1047=Plano!$A$1,D1047=Plano!$B$1),"entrada","saída"))</f>
        <v>saída</v>
      </c>
      <c r="T1047" s="505" t="s">
        <v>114</v>
      </c>
      <c r="U1047" s="505" t="s">
        <v>114</v>
      </c>
      <c r="V1047" s="541"/>
    </row>
    <row r="1048" spans="1:22" ht="39" customHeight="1" x14ac:dyDescent="0.2">
      <c r="A1048" s="619">
        <f>IF(B1048="","",COUNT('Diário 5º PA'!$A$5:$A$2634)+COUNT('Diário 6º PA'!$A$5:$A$2246)+COUNT('Diário 7º PA'!$A$5:$A$2271)+ROW()-4)</f>
        <v>4994</v>
      </c>
      <c r="B1048" s="620">
        <v>44519</v>
      </c>
      <c r="C1048" s="624">
        <v>44440</v>
      </c>
      <c r="D1048" s="548" t="s">
        <v>88</v>
      </c>
      <c r="E1048" s="548" t="s">
        <v>183</v>
      </c>
      <c r="F1048" s="622">
        <v>21.4</v>
      </c>
      <c r="G1048" s="623" t="s">
        <v>5583</v>
      </c>
      <c r="H1048" s="548" t="s">
        <v>114</v>
      </c>
      <c r="I1048" s="583" t="s">
        <v>488</v>
      </c>
      <c r="J1048" s="548" t="s">
        <v>114</v>
      </c>
      <c r="K1048" s="583" t="s">
        <v>466</v>
      </c>
      <c r="L1048" s="583" t="s">
        <v>489</v>
      </c>
      <c r="M1048" s="619" t="s">
        <v>114</v>
      </c>
      <c r="N1048" s="620">
        <v>44519</v>
      </c>
      <c r="O1048" s="684" t="s">
        <v>67</v>
      </c>
      <c r="P1048" s="503">
        <f t="shared" si="59"/>
        <v>11</v>
      </c>
      <c r="Q1048" s="503">
        <f t="shared" si="60"/>
        <v>9</v>
      </c>
      <c r="R1048" s="504" t="str">
        <f t="shared" si="61"/>
        <v>Gastos_com_Pessoal</v>
      </c>
      <c r="S1048" s="504" t="str">
        <f>IF(D1048="","",IF(OR(D1048=Plano!$A$1,D1048=Plano!$B$1),"entrada","saída"))</f>
        <v>saída</v>
      </c>
      <c r="T1048" s="505" t="s">
        <v>114</v>
      </c>
      <c r="U1048" s="505" t="s">
        <v>114</v>
      </c>
      <c r="V1048" s="541"/>
    </row>
    <row r="1049" spans="1:22" ht="44.25" customHeight="1" x14ac:dyDescent="0.2">
      <c r="A1049" s="619">
        <f>IF(B1049="","",COUNT('Diário 5º PA'!$A$5:$A$2634)+COUNT('Diário 6º PA'!$A$5:$A$2246)+COUNT('Diário 7º PA'!$A$5:$A$2271)+ROW()-4)</f>
        <v>4995</v>
      </c>
      <c r="B1049" s="620">
        <v>44519</v>
      </c>
      <c r="C1049" s="624">
        <v>44440</v>
      </c>
      <c r="D1049" s="548" t="s">
        <v>99</v>
      </c>
      <c r="E1049" s="548" t="s">
        <v>228</v>
      </c>
      <c r="F1049" s="622">
        <v>395.25</v>
      </c>
      <c r="G1049" s="623" t="s">
        <v>5608</v>
      </c>
      <c r="H1049" s="548" t="s">
        <v>115</v>
      </c>
      <c r="I1049" s="583" t="s">
        <v>488</v>
      </c>
      <c r="J1049" s="548" t="s">
        <v>114</v>
      </c>
      <c r="K1049" s="583" t="s">
        <v>466</v>
      </c>
      <c r="L1049" s="583" t="s">
        <v>489</v>
      </c>
      <c r="M1049" s="619" t="s">
        <v>114</v>
      </c>
      <c r="N1049" s="620">
        <v>44519</v>
      </c>
      <c r="O1049" s="684" t="s">
        <v>67</v>
      </c>
      <c r="P1049" s="503">
        <f t="shared" si="59"/>
        <v>11</v>
      </c>
      <c r="Q1049" s="503">
        <f t="shared" si="60"/>
        <v>9</v>
      </c>
      <c r="R1049" s="504" t="str">
        <f t="shared" si="61"/>
        <v>Gastos_Gerais</v>
      </c>
      <c r="S1049" s="504" t="str">
        <f>IF(D1049="","",IF(OR(D1049=Plano!$A$1,D1049=Plano!$B$1),"entrada","saída"))</f>
        <v>saída</v>
      </c>
      <c r="T1049" s="505" t="s">
        <v>114</v>
      </c>
      <c r="U1049" s="505" t="s">
        <v>114</v>
      </c>
      <c r="V1049" s="541"/>
    </row>
    <row r="1050" spans="1:22" ht="201" customHeight="1" x14ac:dyDescent="0.2">
      <c r="A1050" s="619">
        <f>IF(B1050="","",COUNT('Diário 5º PA'!$A$5:$A$2634)+COUNT('Diário 6º PA'!$A$5:$A$2246)+COUNT('Diário 7º PA'!$A$5:$A$2271)+ROW()-4)</f>
        <v>4996</v>
      </c>
      <c r="B1050" s="620">
        <v>44519</v>
      </c>
      <c r="C1050" s="624">
        <v>44501</v>
      </c>
      <c r="D1050" s="548" t="s">
        <v>99</v>
      </c>
      <c r="E1050" s="548" t="s">
        <v>350</v>
      </c>
      <c r="F1050" s="622">
        <v>20000</v>
      </c>
      <c r="G1050" s="623" t="s">
        <v>6300</v>
      </c>
      <c r="H1050" s="548" t="s">
        <v>116</v>
      </c>
      <c r="I1050" s="583" t="s">
        <v>6303</v>
      </c>
      <c r="J1050" s="548" t="s">
        <v>6203</v>
      </c>
      <c r="K1050" s="583" t="s">
        <v>991</v>
      </c>
      <c r="L1050" s="583" t="s">
        <v>1177</v>
      </c>
      <c r="M1050" s="619" t="s">
        <v>114</v>
      </c>
      <c r="N1050" s="620">
        <v>44519</v>
      </c>
      <c r="O1050" s="684" t="s">
        <v>67</v>
      </c>
      <c r="P1050" s="503">
        <f t="shared" si="59"/>
        <v>11</v>
      </c>
      <c r="Q1050" s="503">
        <f t="shared" si="60"/>
        <v>11</v>
      </c>
      <c r="R1050" s="504" t="str">
        <f t="shared" si="61"/>
        <v>Gastos_Gerais</v>
      </c>
      <c r="S1050" s="504" t="str">
        <f>IF(D1050="","",IF(OR(D1050=Plano!$A$1,D1050=Plano!$B$1),"entrada","saída"))</f>
        <v>saída</v>
      </c>
      <c r="T1050" s="505" t="s">
        <v>994</v>
      </c>
      <c r="U1050" s="505">
        <v>2302</v>
      </c>
      <c r="V1050" s="541"/>
    </row>
    <row r="1051" spans="1:22" ht="50.1" customHeight="1" x14ac:dyDescent="0.2">
      <c r="A1051" s="619">
        <f>IF(B1051="","",COUNT('Diário 5º PA'!$A$5:$A$2634)+COUNT('Diário 6º PA'!$A$5:$A$2246)+COUNT('Diário 7º PA'!$A$5:$A$2271)+ROW()-4)</f>
        <v>4997</v>
      </c>
      <c r="B1051" s="620">
        <v>44519</v>
      </c>
      <c r="C1051" s="621">
        <v>44470</v>
      </c>
      <c r="D1051" s="548" t="s">
        <v>99</v>
      </c>
      <c r="E1051" s="548" t="s">
        <v>330</v>
      </c>
      <c r="F1051" s="622">
        <v>620</v>
      </c>
      <c r="G1051" s="623" t="s">
        <v>6305</v>
      </c>
      <c r="H1051" s="548" t="s">
        <v>114</v>
      </c>
      <c r="I1051" s="583" t="s">
        <v>530</v>
      </c>
      <c r="J1051" s="548" t="s">
        <v>114</v>
      </c>
      <c r="K1051" s="583" t="s">
        <v>466</v>
      </c>
      <c r="L1051" s="583" t="s">
        <v>547</v>
      </c>
      <c r="M1051" s="619" t="s">
        <v>114</v>
      </c>
      <c r="N1051" s="620">
        <v>44519</v>
      </c>
      <c r="O1051" s="684" t="s">
        <v>67</v>
      </c>
      <c r="P1051" s="503">
        <f t="shared" si="59"/>
        <v>11</v>
      </c>
      <c r="Q1051" s="503">
        <f t="shared" si="60"/>
        <v>10</v>
      </c>
      <c r="R1051" s="504" t="str">
        <f t="shared" si="61"/>
        <v>Gastos_Gerais</v>
      </c>
      <c r="S1051" s="504" t="str">
        <f>IF(D1051="","",IF(OR(D1051=Plano!$A$1,D1051=Plano!$B$1),"entrada","saída"))</f>
        <v>saída</v>
      </c>
      <c r="T1051" s="511" t="s">
        <v>114</v>
      </c>
      <c r="U1051" s="511" t="s">
        <v>114</v>
      </c>
      <c r="V1051" s="541"/>
    </row>
    <row r="1052" spans="1:22" ht="50.1" customHeight="1" x14ac:dyDescent="0.2">
      <c r="A1052" s="619">
        <f>IF(B1052="","",COUNT('Diário 5º PA'!$A$5:$A$2634)+COUNT('Diário 6º PA'!$A$5:$A$2246)+COUNT('Diário 7º PA'!$A$5:$A$2271)+ROW()-4)</f>
        <v>4998</v>
      </c>
      <c r="B1052" s="620">
        <v>44519</v>
      </c>
      <c r="C1052" s="621">
        <v>44470</v>
      </c>
      <c r="D1052" s="548" t="s">
        <v>99</v>
      </c>
      <c r="E1052" s="548" t="s">
        <v>330</v>
      </c>
      <c r="F1052" s="622">
        <v>775</v>
      </c>
      <c r="G1052" s="623" t="s">
        <v>6306</v>
      </c>
      <c r="H1052" s="548" t="s">
        <v>114</v>
      </c>
      <c r="I1052" s="583" t="s">
        <v>530</v>
      </c>
      <c r="J1052" s="548" t="s">
        <v>114</v>
      </c>
      <c r="K1052" s="583" t="s">
        <v>466</v>
      </c>
      <c r="L1052" s="583" t="s">
        <v>547</v>
      </c>
      <c r="M1052" s="619" t="s">
        <v>114</v>
      </c>
      <c r="N1052" s="620">
        <v>44519</v>
      </c>
      <c r="O1052" s="684" t="s">
        <v>67</v>
      </c>
      <c r="P1052" s="503">
        <f t="shared" si="59"/>
        <v>11</v>
      </c>
      <c r="Q1052" s="503">
        <f t="shared" si="60"/>
        <v>10</v>
      </c>
      <c r="R1052" s="504" t="str">
        <f t="shared" si="61"/>
        <v>Gastos_Gerais</v>
      </c>
      <c r="S1052" s="504" t="str">
        <f>IF(D1052="","",IF(OR(D1052=Plano!$A$1,D1052=Plano!$B$1),"entrada","saída"))</f>
        <v>saída</v>
      </c>
      <c r="T1052" s="511" t="s">
        <v>114</v>
      </c>
      <c r="U1052" s="511" t="s">
        <v>114</v>
      </c>
      <c r="V1052" s="541"/>
    </row>
    <row r="1053" spans="1:22" ht="50.1" customHeight="1" x14ac:dyDescent="0.2">
      <c r="A1053" s="619">
        <f>IF(B1053="","",COUNT('Diário 5º PA'!$A$5:$A$2634)+COUNT('Diário 6º PA'!$A$5:$A$2246)+COUNT('Diário 7º PA'!$A$5:$A$2271)+ROW()-4)</f>
        <v>4999</v>
      </c>
      <c r="B1053" s="620">
        <v>44519</v>
      </c>
      <c r="C1053" s="621">
        <v>44470</v>
      </c>
      <c r="D1053" s="548" t="s">
        <v>99</v>
      </c>
      <c r="E1053" s="548" t="s">
        <v>330</v>
      </c>
      <c r="F1053" s="622">
        <v>4851.5</v>
      </c>
      <c r="G1053" s="623" t="s">
        <v>6307</v>
      </c>
      <c r="H1053" s="548" t="s">
        <v>114</v>
      </c>
      <c r="I1053" s="583" t="s">
        <v>530</v>
      </c>
      <c r="J1053" s="548" t="s">
        <v>114</v>
      </c>
      <c r="K1053" s="583" t="s">
        <v>466</v>
      </c>
      <c r="L1053" s="583" t="s">
        <v>547</v>
      </c>
      <c r="M1053" s="619" t="s">
        <v>114</v>
      </c>
      <c r="N1053" s="620">
        <v>44519</v>
      </c>
      <c r="O1053" s="684" t="s">
        <v>67</v>
      </c>
      <c r="P1053" s="503">
        <f t="shared" si="59"/>
        <v>11</v>
      </c>
      <c r="Q1053" s="503">
        <f t="shared" si="60"/>
        <v>10</v>
      </c>
      <c r="R1053" s="504" t="str">
        <f t="shared" si="61"/>
        <v>Gastos_Gerais</v>
      </c>
      <c r="S1053" s="504" t="str">
        <f>IF(D1053="","",IF(OR(D1053=Plano!$A$1,D1053=Plano!$B$1),"entrada","saída"))</f>
        <v>saída</v>
      </c>
      <c r="T1053" s="511" t="s">
        <v>114</v>
      </c>
      <c r="U1053" s="511" t="s">
        <v>114</v>
      </c>
      <c r="V1053" s="541"/>
    </row>
    <row r="1054" spans="1:22" ht="50.1" customHeight="1" x14ac:dyDescent="0.2">
      <c r="A1054" s="619">
        <f>IF(B1054="","",COUNT('Diário 5º PA'!$A$5:$A$2634)+COUNT('Diário 6º PA'!$A$5:$A$2246)+COUNT('Diário 7º PA'!$A$5:$A$2271)+ROW()-4)</f>
        <v>5000</v>
      </c>
      <c r="B1054" s="620">
        <v>44519</v>
      </c>
      <c r="C1054" s="621">
        <v>44470</v>
      </c>
      <c r="D1054" s="548" t="s">
        <v>99</v>
      </c>
      <c r="E1054" s="548" t="s">
        <v>330</v>
      </c>
      <c r="F1054" s="622">
        <v>9000.16</v>
      </c>
      <c r="G1054" s="623" t="s">
        <v>6308</v>
      </c>
      <c r="H1054" s="548" t="s">
        <v>114</v>
      </c>
      <c r="I1054" s="583" t="s">
        <v>530</v>
      </c>
      <c r="J1054" s="548" t="s">
        <v>114</v>
      </c>
      <c r="K1054" s="583" t="s">
        <v>466</v>
      </c>
      <c r="L1054" s="583" t="s">
        <v>547</v>
      </c>
      <c r="M1054" s="619" t="s">
        <v>114</v>
      </c>
      <c r="N1054" s="620">
        <v>44519</v>
      </c>
      <c r="O1054" s="684" t="s">
        <v>67</v>
      </c>
      <c r="P1054" s="503">
        <f t="shared" si="59"/>
        <v>11</v>
      </c>
      <c r="Q1054" s="503">
        <f t="shared" si="60"/>
        <v>10</v>
      </c>
      <c r="R1054" s="504" t="str">
        <f t="shared" si="61"/>
        <v>Gastos_Gerais</v>
      </c>
      <c r="S1054" s="504" t="str">
        <f>IF(D1054="","",IF(OR(D1054=Plano!$A$1,D1054=Plano!$B$1),"entrada","saída"))</f>
        <v>saída</v>
      </c>
      <c r="T1054" s="511" t="s">
        <v>114</v>
      </c>
      <c r="U1054" s="511" t="s">
        <v>114</v>
      </c>
      <c r="V1054" s="541"/>
    </row>
    <row r="1055" spans="1:22" ht="50.1" customHeight="1" x14ac:dyDescent="0.2">
      <c r="A1055" s="619">
        <f>IF(B1055="","",COUNT('Diário 5º PA'!$A$5:$A$2634)+COUNT('Diário 6º PA'!$A$5:$A$2246)+COUNT('Diário 7º PA'!$A$5:$A$2271)+ROW()-4)</f>
        <v>5001</v>
      </c>
      <c r="B1055" s="620">
        <v>44519</v>
      </c>
      <c r="C1055" s="621">
        <v>44470</v>
      </c>
      <c r="D1055" s="548" t="s">
        <v>99</v>
      </c>
      <c r="E1055" s="548" t="s">
        <v>330</v>
      </c>
      <c r="F1055" s="622">
        <v>1348.5</v>
      </c>
      <c r="G1055" s="623" t="s">
        <v>6309</v>
      </c>
      <c r="H1055" s="548" t="s">
        <v>114</v>
      </c>
      <c r="I1055" s="583" t="s">
        <v>530</v>
      </c>
      <c r="J1055" s="548" t="s">
        <v>114</v>
      </c>
      <c r="K1055" s="583" t="s">
        <v>466</v>
      </c>
      <c r="L1055" s="583" t="s">
        <v>547</v>
      </c>
      <c r="M1055" s="619" t="s">
        <v>114</v>
      </c>
      <c r="N1055" s="620">
        <v>44519</v>
      </c>
      <c r="O1055" s="684" t="s">
        <v>67</v>
      </c>
      <c r="P1055" s="503">
        <f t="shared" si="59"/>
        <v>11</v>
      </c>
      <c r="Q1055" s="503">
        <f t="shared" si="60"/>
        <v>10</v>
      </c>
      <c r="R1055" s="504" t="str">
        <f t="shared" si="61"/>
        <v>Gastos_Gerais</v>
      </c>
      <c r="S1055" s="504" t="str">
        <f>IF(D1055="","",IF(OR(D1055=Plano!$A$1,D1055=Plano!$B$1),"entrada","saída"))</f>
        <v>saída</v>
      </c>
      <c r="T1055" s="511" t="s">
        <v>114</v>
      </c>
      <c r="U1055" s="511" t="s">
        <v>114</v>
      </c>
      <c r="V1055" s="541"/>
    </row>
    <row r="1056" spans="1:22" ht="50.1" customHeight="1" x14ac:dyDescent="0.2">
      <c r="A1056" s="619">
        <f>IF(B1056="","",COUNT('Diário 5º PA'!$A$5:$A$2634)+COUNT('Diário 6º PA'!$A$5:$A$2246)+COUNT('Diário 7º PA'!$A$5:$A$2271)+ROW()-4)</f>
        <v>5002</v>
      </c>
      <c r="B1056" s="620">
        <v>44519</v>
      </c>
      <c r="C1056" s="621">
        <v>44470</v>
      </c>
      <c r="D1056" s="548" t="s">
        <v>99</v>
      </c>
      <c r="E1056" s="548" t="s">
        <v>330</v>
      </c>
      <c r="F1056" s="622">
        <v>272.8</v>
      </c>
      <c r="G1056" s="623" t="s">
        <v>6310</v>
      </c>
      <c r="H1056" s="548" t="s">
        <v>114</v>
      </c>
      <c r="I1056" s="583" t="s">
        <v>530</v>
      </c>
      <c r="J1056" s="548" t="s">
        <v>114</v>
      </c>
      <c r="K1056" s="583" t="s">
        <v>466</v>
      </c>
      <c r="L1056" s="583" t="s">
        <v>547</v>
      </c>
      <c r="M1056" s="619" t="s">
        <v>114</v>
      </c>
      <c r="N1056" s="620">
        <v>44519</v>
      </c>
      <c r="O1056" s="684" t="s">
        <v>67</v>
      </c>
      <c r="P1056" s="503">
        <f t="shared" si="59"/>
        <v>11</v>
      </c>
      <c r="Q1056" s="503">
        <f t="shared" si="60"/>
        <v>10</v>
      </c>
      <c r="R1056" s="504" t="str">
        <f t="shared" si="61"/>
        <v>Gastos_Gerais</v>
      </c>
      <c r="S1056" s="504" t="str">
        <f>IF(D1056="","",IF(OR(D1056=Plano!$A$1,D1056=Plano!$B$1),"entrada","saída"))</f>
        <v>saída</v>
      </c>
      <c r="T1056" s="511" t="s">
        <v>114</v>
      </c>
      <c r="U1056" s="511" t="s">
        <v>114</v>
      </c>
      <c r="V1056" s="541"/>
    </row>
    <row r="1057" spans="1:22" ht="50.1" customHeight="1" x14ac:dyDescent="0.2">
      <c r="A1057" s="619">
        <f>IF(B1057="","",COUNT('Diário 5º PA'!$A$5:$A$2634)+COUNT('Diário 6º PA'!$A$5:$A$2246)+COUNT('Diário 7º PA'!$A$5:$A$2271)+ROW()-4)</f>
        <v>5003</v>
      </c>
      <c r="B1057" s="620">
        <v>44519</v>
      </c>
      <c r="C1057" s="621">
        <v>44470</v>
      </c>
      <c r="D1057" s="548" t="s">
        <v>99</v>
      </c>
      <c r="E1057" s="548" t="s">
        <v>330</v>
      </c>
      <c r="F1057" s="622">
        <v>3720</v>
      </c>
      <c r="G1057" s="623" t="s">
        <v>6311</v>
      </c>
      <c r="H1057" s="548" t="s">
        <v>114</v>
      </c>
      <c r="I1057" s="583" t="s">
        <v>530</v>
      </c>
      <c r="J1057" s="548" t="s">
        <v>114</v>
      </c>
      <c r="K1057" s="583" t="s">
        <v>466</v>
      </c>
      <c r="L1057" s="583" t="s">
        <v>547</v>
      </c>
      <c r="M1057" s="619" t="s">
        <v>114</v>
      </c>
      <c r="N1057" s="620">
        <v>44519</v>
      </c>
      <c r="O1057" s="684" t="s">
        <v>67</v>
      </c>
      <c r="P1057" s="503">
        <f t="shared" si="59"/>
        <v>11</v>
      </c>
      <c r="Q1057" s="503">
        <f t="shared" si="60"/>
        <v>10</v>
      </c>
      <c r="R1057" s="504" t="str">
        <f t="shared" si="61"/>
        <v>Gastos_Gerais</v>
      </c>
      <c r="S1057" s="504" t="str">
        <f>IF(D1057="","",IF(OR(D1057=Plano!$A$1,D1057=Plano!$B$1),"entrada","saída"))</f>
        <v>saída</v>
      </c>
      <c r="T1057" s="511" t="s">
        <v>114</v>
      </c>
      <c r="U1057" s="511" t="s">
        <v>114</v>
      </c>
      <c r="V1057" s="541"/>
    </row>
    <row r="1058" spans="1:22" ht="50.1" customHeight="1" x14ac:dyDescent="0.2">
      <c r="A1058" s="619">
        <f>IF(B1058="","",COUNT('Diário 5º PA'!$A$5:$A$2634)+COUNT('Diário 6º PA'!$A$5:$A$2246)+COUNT('Diário 7º PA'!$A$5:$A$2271)+ROW()-4)</f>
        <v>5004</v>
      </c>
      <c r="B1058" s="620">
        <v>44519</v>
      </c>
      <c r="C1058" s="621">
        <v>44470</v>
      </c>
      <c r="D1058" s="548" t="s">
        <v>99</v>
      </c>
      <c r="E1058" s="548" t="s">
        <v>330</v>
      </c>
      <c r="F1058" s="622">
        <v>501</v>
      </c>
      <c r="G1058" s="623" t="s">
        <v>6312</v>
      </c>
      <c r="H1058" s="548" t="s">
        <v>114</v>
      </c>
      <c r="I1058" s="583" t="s">
        <v>530</v>
      </c>
      <c r="J1058" s="548" t="s">
        <v>114</v>
      </c>
      <c r="K1058" s="583" t="s">
        <v>466</v>
      </c>
      <c r="L1058" s="583" t="s">
        <v>547</v>
      </c>
      <c r="M1058" s="619" t="s">
        <v>114</v>
      </c>
      <c r="N1058" s="620">
        <v>44519</v>
      </c>
      <c r="O1058" s="684" t="s">
        <v>67</v>
      </c>
      <c r="P1058" s="503">
        <f t="shared" si="59"/>
        <v>11</v>
      </c>
      <c r="Q1058" s="503">
        <f t="shared" si="60"/>
        <v>10</v>
      </c>
      <c r="R1058" s="504" t="str">
        <f t="shared" si="61"/>
        <v>Gastos_Gerais</v>
      </c>
      <c r="S1058" s="504" t="str">
        <f>IF(D1058="","",IF(OR(D1058=Plano!$A$1,D1058=Plano!$B$1),"entrada","saída"))</f>
        <v>saída</v>
      </c>
      <c r="T1058" s="511" t="s">
        <v>114</v>
      </c>
      <c r="U1058" s="511" t="s">
        <v>114</v>
      </c>
      <c r="V1058" s="541"/>
    </row>
    <row r="1059" spans="1:22" ht="50.1" customHeight="1" x14ac:dyDescent="0.2">
      <c r="A1059" s="619">
        <f>IF(B1059="","",COUNT('Diário 5º PA'!$A$5:$A$2634)+COUNT('Diário 6º PA'!$A$5:$A$2246)+COUNT('Diário 7º PA'!$A$5:$A$2271)+ROW()-4)</f>
        <v>5005</v>
      </c>
      <c r="B1059" s="620">
        <v>44519</v>
      </c>
      <c r="C1059" s="621">
        <v>44470</v>
      </c>
      <c r="D1059" s="548" t="s">
        <v>99</v>
      </c>
      <c r="E1059" s="548" t="s">
        <v>330</v>
      </c>
      <c r="F1059" s="622">
        <v>1085</v>
      </c>
      <c r="G1059" s="623" t="s">
        <v>6313</v>
      </c>
      <c r="H1059" s="548" t="s">
        <v>114</v>
      </c>
      <c r="I1059" s="583" t="s">
        <v>530</v>
      </c>
      <c r="J1059" s="548" t="s">
        <v>114</v>
      </c>
      <c r="K1059" s="583" t="s">
        <v>466</v>
      </c>
      <c r="L1059" s="583" t="s">
        <v>547</v>
      </c>
      <c r="M1059" s="619" t="s">
        <v>114</v>
      </c>
      <c r="N1059" s="620">
        <v>44519</v>
      </c>
      <c r="O1059" s="684" t="s">
        <v>67</v>
      </c>
      <c r="P1059" s="503">
        <f t="shared" si="59"/>
        <v>11</v>
      </c>
      <c r="Q1059" s="503">
        <f t="shared" si="60"/>
        <v>10</v>
      </c>
      <c r="R1059" s="504" t="str">
        <f t="shared" si="61"/>
        <v>Gastos_Gerais</v>
      </c>
      <c r="S1059" s="504" t="str">
        <f>IF(D1059="","",IF(OR(D1059=Plano!$A$1,D1059=Plano!$B$1),"entrada","saída"))</f>
        <v>saída</v>
      </c>
      <c r="T1059" s="511" t="s">
        <v>114</v>
      </c>
      <c r="U1059" s="511" t="s">
        <v>114</v>
      </c>
      <c r="V1059" s="541"/>
    </row>
    <row r="1060" spans="1:22" ht="48.75" customHeight="1" x14ac:dyDescent="0.2">
      <c r="A1060" s="619">
        <f>IF(B1060="","",COUNT('Diário 5º PA'!$A$5:$A$2634)+COUNT('Diário 6º PA'!$A$5:$A$2246)+COUNT('Diário 7º PA'!$A$5:$A$2271)+ROW()-4)</f>
        <v>5006</v>
      </c>
      <c r="B1060" s="620">
        <v>44519</v>
      </c>
      <c r="C1060" s="624">
        <v>44470</v>
      </c>
      <c r="D1060" s="548" t="s">
        <v>88</v>
      </c>
      <c r="E1060" s="548" t="s">
        <v>90</v>
      </c>
      <c r="F1060" s="622">
        <v>15479.49</v>
      </c>
      <c r="G1060" s="623" t="s">
        <v>6075</v>
      </c>
      <c r="H1060" s="548" t="s">
        <v>114</v>
      </c>
      <c r="I1060" s="583" t="s">
        <v>6074</v>
      </c>
      <c r="J1060" s="548" t="s">
        <v>114</v>
      </c>
      <c r="K1060" s="583" t="s">
        <v>466</v>
      </c>
      <c r="L1060" s="583" t="s">
        <v>547</v>
      </c>
      <c r="M1060" s="619" t="s">
        <v>114</v>
      </c>
      <c r="N1060" s="620">
        <v>44519</v>
      </c>
      <c r="O1060" s="684" t="s">
        <v>67</v>
      </c>
      <c r="P1060" s="503">
        <f t="shared" si="59"/>
        <v>11</v>
      </c>
      <c r="Q1060" s="503">
        <f t="shared" si="60"/>
        <v>10</v>
      </c>
      <c r="R1060" s="504" t="str">
        <f t="shared" si="61"/>
        <v>Gastos_com_Pessoal</v>
      </c>
      <c r="S1060" s="504" t="str">
        <f>IF(D1060="","",IF(OR(D1060=Plano!$A$1,D1060=Plano!$B$1),"entrada","saída"))</f>
        <v>saída</v>
      </c>
      <c r="T1060" s="511" t="s">
        <v>114</v>
      </c>
      <c r="U1060" s="511" t="s">
        <v>114</v>
      </c>
      <c r="V1060" s="541"/>
    </row>
    <row r="1061" spans="1:22" ht="37.5" customHeight="1" x14ac:dyDescent="0.2">
      <c r="A1061" s="619">
        <f>IF(B1061="","",COUNT('Diário 5º PA'!$A$5:$A$2634)+COUNT('Diário 6º PA'!$A$5:$A$2246)+COUNT('Diário 7º PA'!$A$5:$A$2271)+ROW()-4)</f>
        <v>5007</v>
      </c>
      <c r="B1061" s="620">
        <v>44519</v>
      </c>
      <c r="C1061" s="624">
        <v>44470</v>
      </c>
      <c r="D1061" s="548" t="s">
        <v>88</v>
      </c>
      <c r="E1061" s="548" t="s">
        <v>167</v>
      </c>
      <c r="F1061" s="622">
        <v>48754.239999999998</v>
      </c>
      <c r="G1061" s="623" t="s">
        <v>6301</v>
      </c>
      <c r="H1061" s="548" t="s">
        <v>114</v>
      </c>
      <c r="I1061" s="583" t="s">
        <v>530</v>
      </c>
      <c r="J1061" s="548" t="s">
        <v>114</v>
      </c>
      <c r="K1061" s="583" t="s">
        <v>466</v>
      </c>
      <c r="L1061" s="583" t="s">
        <v>547</v>
      </c>
      <c r="M1061" s="619" t="s">
        <v>114</v>
      </c>
      <c r="N1061" s="620">
        <v>44519</v>
      </c>
      <c r="O1061" s="684" t="s">
        <v>67</v>
      </c>
      <c r="P1061" s="503">
        <f t="shared" si="59"/>
        <v>11</v>
      </c>
      <c r="Q1061" s="503">
        <f t="shared" si="60"/>
        <v>10</v>
      </c>
      <c r="R1061" s="504" t="str">
        <f t="shared" si="61"/>
        <v>Gastos_com_Pessoal</v>
      </c>
      <c r="S1061" s="504" t="str">
        <f>IF(D1061="","",IF(OR(D1061=Plano!$A$1,D1061=Plano!$B$1),"entrada","saída"))</f>
        <v>saída</v>
      </c>
      <c r="T1061" s="546" t="s">
        <v>114</v>
      </c>
      <c r="U1061" s="546" t="s">
        <v>114</v>
      </c>
      <c r="V1061" s="541"/>
    </row>
    <row r="1062" spans="1:22" ht="37.5" customHeight="1" x14ac:dyDescent="0.2">
      <c r="A1062" s="619">
        <f>IF(B1062="","",COUNT('Diário 5º PA'!$A$5:$A$2634)+COUNT('Diário 6º PA'!$A$5:$A$2246)+COUNT('Diário 7º PA'!$A$5:$A$2271)+ROW()-4)</f>
        <v>5008</v>
      </c>
      <c r="B1062" s="620">
        <v>44519</v>
      </c>
      <c r="C1062" s="624">
        <v>44440</v>
      </c>
      <c r="D1062" s="548" t="s">
        <v>99</v>
      </c>
      <c r="E1062" s="548" t="s">
        <v>358</v>
      </c>
      <c r="F1062" s="622">
        <v>744</v>
      </c>
      <c r="G1062" s="623" t="s">
        <v>5759</v>
      </c>
      <c r="H1062" s="548" t="s">
        <v>131</v>
      </c>
      <c r="I1062" s="583" t="s">
        <v>530</v>
      </c>
      <c r="J1062" s="548" t="s">
        <v>114</v>
      </c>
      <c r="K1062" s="583" t="s">
        <v>466</v>
      </c>
      <c r="L1062" s="583" t="s">
        <v>547</v>
      </c>
      <c r="M1062" s="619" t="s">
        <v>114</v>
      </c>
      <c r="N1062" s="620">
        <v>44519</v>
      </c>
      <c r="O1062" s="684" t="s">
        <v>67</v>
      </c>
      <c r="P1062" s="503">
        <f t="shared" si="59"/>
        <v>11</v>
      </c>
      <c r="Q1062" s="503">
        <f t="shared" si="60"/>
        <v>9</v>
      </c>
      <c r="R1062" s="504" t="str">
        <f t="shared" si="61"/>
        <v>Gastos_Gerais</v>
      </c>
      <c r="S1062" s="504" t="str">
        <f>IF(D1062="","",IF(OR(D1062=Plano!$A$1,D1062=Plano!$B$1),"entrada","saída"))</f>
        <v>saída</v>
      </c>
      <c r="T1062" s="546" t="s">
        <v>114</v>
      </c>
      <c r="U1062" s="546" t="s">
        <v>114</v>
      </c>
      <c r="V1062" s="541"/>
    </row>
    <row r="1063" spans="1:22" ht="54.75" customHeight="1" x14ac:dyDescent="0.2">
      <c r="A1063" s="619">
        <f>IF(B1063="","",COUNT('Diário 5º PA'!$A$5:$A$2634)+COUNT('Diário 6º PA'!$A$5:$A$2246)+COUNT('Diário 7º PA'!$A$5:$A$2271)+ROW()-4)</f>
        <v>5009</v>
      </c>
      <c r="B1063" s="620">
        <v>44519</v>
      </c>
      <c r="C1063" s="624">
        <v>44440</v>
      </c>
      <c r="D1063" s="548" t="s">
        <v>99</v>
      </c>
      <c r="E1063" s="548" t="s">
        <v>358</v>
      </c>
      <c r="F1063" s="622">
        <v>155</v>
      </c>
      <c r="G1063" s="623" t="s">
        <v>5678</v>
      </c>
      <c r="H1063" s="548" t="s">
        <v>127</v>
      </c>
      <c r="I1063" s="583" t="s">
        <v>530</v>
      </c>
      <c r="J1063" s="548" t="s">
        <v>114</v>
      </c>
      <c r="K1063" s="583" t="s">
        <v>466</v>
      </c>
      <c r="L1063" s="583" t="s">
        <v>547</v>
      </c>
      <c r="M1063" s="619" t="s">
        <v>114</v>
      </c>
      <c r="N1063" s="620">
        <v>44519</v>
      </c>
      <c r="O1063" s="684" t="s">
        <v>67</v>
      </c>
      <c r="P1063" s="503">
        <f t="shared" si="59"/>
        <v>11</v>
      </c>
      <c r="Q1063" s="503">
        <f t="shared" si="60"/>
        <v>9</v>
      </c>
      <c r="R1063" s="504" t="str">
        <f t="shared" si="61"/>
        <v>Gastos_Gerais</v>
      </c>
      <c r="S1063" s="504" t="str">
        <f>IF(D1063="","",IF(OR(D1063=Plano!$A$1,D1063=Plano!$B$1),"entrada","saída"))</f>
        <v>saída</v>
      </c>
      <c r="T1063" s="546" t="s">
        <v>114</v>
      </c>
      <c r="U1063" s="546" t="s">
        <v>114</v>
      </c>
      <c r="V1063" s="541"/>
    </row>
    <row r="1064" spans="1:22" ht="48" customHeight="1" x14ac:dyDescent="0.2">
      <c r="A1064" s="619">
        <f>IF(B1064="","",COUNT('Diário 5º PA'!$A$5:$A$2634)+COUNT('Diário 6º PA'!$A$5:$A$2246)+COUNT('Diário 7º PA'!$A$5:$A$2271)+ROW()-4)</f>
        <v>5010</v>
      </c>
      <c r="B1064" s="620">
        <v>44519</v>
      </c>
      <c r="C1064" s="624">
        <v>44440</v>
      </c>
      <c r="D1064" s="548" t="s">
        <v>99</v>
      </c>
      <c r="E1064" s="548" t="s">
        <v>364</v>
      </c>
      <c r="F1064" s="622">
        <v>108.5</v>
      </c>
      <c r="G1064" s="623" t="s">
        <v>5912</v>
      </c>
      <c r="H1064" s="548" t="s">
        <v>125</v>
      </c>
      <c r="I1064" s="583" t="s">
        <v>530</v>
      </c>
      <c r="J1064" s="548" t="s">
        <v>114</v>
      </c>
      <c r="K1064" s="583" t="s">
        <v>466</v>
      </c>
      <c r="L1064" s="583" t="s">
        <v>547</v>
      </c>
      <c r="M1064" s="619" t="s">
        <v>114</v>
      </c>
      <c r="N1064" s="620">
        <v>44519</v>
      </c>
      <c r="O1064" s="684" t="s">
        <v>67</v>
      </c>
      <c r="P1064" s="503">
        <f t="shared" si="59"/>
        <v>11</v>
      </c>
      <c r="Q1064" s="503">
        <f t="shared" si="60"/>
        <v>9</v>
      </c>
      <c r="R1064" s="504" t="str">
        <f t="shared" si="61"/>
        <v>Gastos_Gerais</v>
      </c>
      <c r="S1064" s="504" t="str">
        <f>IF(D1064="","",IF(OR(D1064=Plano!$A$1,D1064=Plano!$B$1),"entrada","saída"))</f>
        <v>saída</v>
      </c>
      <c r="T1064" s="546" t="s">
        <v>114</v>
      </c>
      <c r="U1064" s="546" t="s">
        <v>114</v>
      </c>
      <c r="V1064" s="541"/>
    </row>
    <row r="1065" spans="1:22" ht="50.1" customHeight="1" x14ac:dyDescent="0.2">
      <c r="A1065" s="619">
        <f>IF(B1065="","",COUNT('Diário 5º PA'!$A$5:$A$2634)+COUNT('Diário 6º PA'!$A$5:$A$2246)+COUNT('Diário 7º PA'!$A$5:$A$2271)+ROW()-4)</f>
        <v>5011</v>
      </c>
      <c r="B1065" s="620">
        <v>44519</v>
      </c>
      <c r="C1065" s="624">
        <v>44440</v>
      </c>
      <c r="D1065" s="548" t="s">
        <v>99</v>
      </c>
      <c r="E1065" s="548" t="s">
        <v>358</v>
      </c>
      <c r="F1065" s="622">
        <v>186</v>
      </c>
      <c r="G1065" s="623" t="s">
        <v>5681</v>
      </c>
      <c r="H1065" s="548" t="s">
        <v>118</v>
      </c>
      <c r="I1065" s="583" t="s">
        <v>530</v>
      </c>
      <c r="J1065" s="548" t="s">
        <v>114</v>
      </c>
      <c r="K1065" s="583" t="s">
        <v>466</v>
      </c>
      <c r="L1065" s="583" t="s">
        <v>547</v>
      </c>
      <c r="M1065" s="619" t="s">
        <v>114</v>
      </c>
      <c r="N1065" s="620">
        <v>44519</v>
      </c>
      <c r="O1065" s="684" t="s">
        <v>67</v>
      </c>
      <c r="P1065" s="503">
        <f t="shared" si="59"/>
        <v>11</v>
      </c>
      <c r="Q1065" s="503">
        <f t="shared" si="60"/>
        <v>9</v>
      </c>
      <c r="R1065" s="504" t="str">
        <f t="shared" si="61"/>
        <v>Gastos_Gerais</v>
      </c>
      <c r="S1065" s="504" t="str">
        <f>IF(D1065="","",IF(OR(D1065=Plano!$A$1,D1065=Plano!$B$1),"entrada","saída"))</f>
        <v>saída</v>
      </c>
      <c r="T1065" s="546" t="s">
        <v>114</v>
      </c>
      <c r="U1065" s="546" t="s">
        <v>114</v>
      </c>
      <c r="V1065" s="541"/>
    </row>
    <row r="1066" spans="1:22" ht="50.1" customHeight="1" x14ac:dyDescent="0.2">
      <c r="A1066" s="619">
        <f>IF(B1066="","",COUNT('Diário 5º PA'!$A$5:$A$2634)+COUNT('Diário 6º PA'!$A$5:$A$2246)+COUNT('Diário 7º PA'!$A$5:$A$2271)+ROW()-4)</f>
        <v>5012</v>
      </c>
      <c r="B1066" s="620">
        <v>44519</v>
      </c>
      <c r="C1066" s="624">
        <v>44440</v>
      </c>
      <c r="D1066" s="548" t="s">
        <v>99</v>
      </c>
      <c r="E1066" s="548" t="s">
        <v>262</v>
      </c>
      <c r="F1066" s="622">
        <v>744</v>
      </c>
      <c r="G1066" s="623" t="s">
        <v>5851</v>
      </c>
      <c r="H1066" s="548" t="s">
        <v>115</v>
      </c>
      <c r="I1066" s="583" t="s">
        <v>530</v>
      </c>
      <c r="J1066" s="548" t="s">
        <v>114</v>
      </c>
      <c r="K1066" s="583" t="s">
        <v>466</v>
      </c>
      <c r="L1066" s="583" t="s">
        <v>547</v>
      </c>
      <c r="M1066" s="619" t="s">
        <v>114</v>
      </c>
      <c r="N1066" s="620">
        <v>44519</v>
      </c>
      <c r="O1066" s="684" t="s">
        <v>67</v>
      </c>
      <c r="P1066" s="503">
        <f t="shared" si="59"/>
        <v>11</v>
      </c>
      <c r="Q1066" s="503">
        <f t="shared" si="60"/>
        <v>9</v>
      </c>
      <c r="R1066" s="504" t="str">
        <f t="shared" si="61"/>
        <v>Gastos_Gerais</v>
      </c>
      <c r="S1066" s="504" t="str">
        <f>IF(D1066="","",IF(OR(D1066=Plano!$A$1,D1066=Plano!$B$1),"entrada","saída"))</f>
        <v>saída</v>
      </c>
      <c r="T1066" s="546" t="s">
        <v>114</v>
      </c>
      <c r="U1066" s="546" t="s">
        <v>114</v>
      </c>
      <c r="V1066" s="541"/>
    </row>
    <row r="1067" spans="1:22" ht="50.1" customHeight="1" x14ac:dyDescent="0.2">
      <c r="A1067" s="619">
        <f>IF(B1067="","",COUNT('Diário 5º PA'!$A$5:$A$2634)+COUNT('Diário 6º PA'!$A$5:$A$2246)+COUNT('Diário 7º PA'!$A$5:$A$2271)+ROW()-4)</f>
        <v>5013</v>
      </c>
      <c r="B1067" s="620">
        <v>44519</v>
      </c>
      <c r="C1067" s="624">
        <v>44440</v>
      </c>
      <c r="D1067" s="548" t="s">
        <v>99</v>
      </c>
      <c r="E1067" s="548" t="s">
        <v>358</v>
      </c>
      <c r="F1067" s="622">
        <v>186</v>
      </c>
      <c r="G1067" s="623" t="s">
        <v>5710</v>
      </c>
      <c r="H1067" s="548" t="s">
        <v>118</v>
      </c>
      <c r="I1067" s="583" t="s">
        <v>530</v>
      </c>
      <c r="J1067" s="548" t="s">
        <v>114</v>
      </c>
      <c r="K1067" s="583" t="s">
        <v>466</v>
      </c>
      <c r="L1067" s="583" t="s">
        <v>547</v>
      </c>
      <c r="M1067" s="619" t="s">
        <v>114</v>
      </c>
      <c r="N1067" s="620">
        <v>44519</v>
      </c>
      <c r="O1067" s="684" t="s">
        <v>67</v>
      </c>
      <c r="P1067" s="503">
        <f t="shared" si="59"/>
        <v>11</v>
      </c>
      <c r="Q1067" s="503">
        <f t="shared" si="60"/>
        <v>9</v>
      </c>
      <c r="R1067" s="504" t="str">
        <f t="shared" si="61"/>
        <v>Gastos_Gerais</v>
      </c>
      <c r="S1067" s="504" t="str">
        <f>IF(D1067="","",IF(OR(D1067=Plano!$A$1,D1067=Plano!$B$1),"entrada","saída"))</f>
        <v>saída</v>
      </c>
      <c r="T1067" s="546" t="s">
        <v>114</v>
      </c>
      <c r="U1067" s="546" t="s">
        <v>114</v>
      </c>
      <c r="V1067" s="541"/>
    </row>
    <row r="1068" spans="1:22" ht="50.1" customHeight="1" x14ac:dyDescent="0.2">
      <c r="A1068" s="619">
        <f>IF(B1068="","",COUNT('Diário 5º PA'!$A$5:$A$2634)+COUNT('Diário 6º PA'!$A$5:$A$2246)+COUNT('Diário 7º PA'!$A$5:$A$2271)+ROW()-4)</f>
        <v>5014</v>
      </c>
      <c r="B1068" s="620">
        <v>44519</v>
      </c>
      <c r="C1068" s="624">
        <v>44409</v>
      </c>
      <c r="D1068" s="548" t="s">
        <v>99</v>
      </c>
      <c r="E1068" s="548" t="s">
        <v>358</v>
      </c>
      <c r="F1068" s="622">
        <v>446.4</v>
      </c>
      <c r="G1068" s="623" t="s">
        <v>5676</v>
      </c>
      <c r="H1068" s="548" t="s">
        <v>123</v>
      </c>
      <c r="I1068" s="583" t="s">
        <v>530</v>
      </c>
      <c r="J1068" s="548" t="s">
        <v>114</v>
      </c>
      <c r="K1068" s="583" t="s">
        <v>466</v>
      </c>
      <c r="L1068" s="583" t="s">
        <v>547</v>
      </c>
      <c r="M1068" s="619" t="s">
        <v>114</v>
      </c>
      <c r="N1068" s="620">
        <v>44519</v>
      </c>
      <c r="O1068" s="684" t="s">
        <v>67</v>
      </c>
      <c r="P1068" s="503">
        <f t="shared" si="59"/>
        <v>11</v>
      </c>
      <c r="Q1068" s="503">
        <f t="shared" si="60"/>
        <v>8</v>
      </c>
      <c r="R1068" s="504" t="str">
        <f t="shared" si="61"/>
        <v>Gastos_Gerais</v>
      </c>
      <c r="S1068" s="504" t="str">
        <f>IF(D1068="","",IF(OR(D1068=Plano!$A$1,D1068=Plano!$B$1),"entrada","saída"))</f>
        <v>saída</v>
      </c>
      <c r="T1068" s="546" t="s">
        <v>114</v>
      </c>
      <c r="U1068" s="546" t="s">
        <v>114</v>
      </c>
      <c r="V1068" s="541"/>
    </row>
    <row r="1069" spans="1:22" ht="50.1" customHeight="1" x14ac:dyDescent="0.2">
      <c r="A1069" s="619">
        <f>IF(B1069="","",COUNT('Diário 5º PA'!$A$5:$A$2634)+COUNT('Diário 6º PA'!$A$5:$A$2246)+COUNT('Diário 7º PA'!$A$5:$A$2271)+ROW()-4)</f>
        <v>5015</v>
      </c>
      <c r="B1069" s="620">
        <v>44519</v>
      </c>
      <c r="C1069" s="624">
        <v>44409</v>
      </c>
      <c r="D1069" s="548" t="s">
        <v>99</v>
      </c>
      <c r="E1069" s="548" t="s">
        <v>342</v>
      </c>
      <c r="F1069" s="622">
        <v>248</v>
      </c>
      <c r="G1069" s="623" t="s">
        <v>5888</v>
      </c>
      <c r="H1069" s="548" t="s">
        <v>122</v>
      </c>
      <c r="I1069" s="583" t="s">
        <v>530</v>
      </c>
      <c r="J1069" s="548" t="s">
        <v>114</v>
      </c>
      <c r="K1069" s="583" t="s">
        <v>466</v>
      </c>
      <c r="L1069" s="583" t="s">
        <v>547</v>
      </c>
      <c r="M1069" s="619" t="s">
        <v>114</v>
      </c>
      <c r="N1069" s="620">
        <v>44519</v>
      </c>
      <c r="O1069" s="684" t="s">
        <v>67</v>
      </c>
      <c r="P1069" s="503">
        <f t="shared" si="59"/>
        <v>11</v>
      </c>
      <c r="Q1069" s="503">
        <f t="shared" si="60"/>
        <v>8</v>
      </c>
      <c r="R1069" s="504" t="str">
        <f t="shared" si="61"/>
        <v>Gastos_Gerais</v>
      </c>
      <c r="S1069" s="504" t="str">
        <f>IF(D1069="","",IF(OR(D1069=Plano!$A$1,D1069=Plano!$B$1),"entrada","saída"))</f>
        <v>saída</v>
      </c>
      <c r="T1069" s="546" t="s">
        <v>114</v>
      </c>
      <c r="U1069" s="546" t="s">
        <v>114</v>
      </c>
      <c r="V1069" s="541"/>
    </row>
    <row r="1070" spans="1:22" ht="50.1" customHeight="1" x14ac:dyDescent="0.2">
      <c r="A1070" s="619">
        <f>IF(B1070="","",COUNT('Diário 5º PA'!$A$5:$A$2634)+COUNT('Diário 6º PA'!$A$5:$A$2246)+COUNT('Diário 7º PA'!$A$5:$A$2271)+ROW()-4)</f>
        <v>5016</v>
      </c>
      <c r="B1070" s="620">
        <v>44519</v>
      </c>
      <c r="C1070" s="624">
        <v>44440</v>
      </c>
      <c r="D1070" s="548" t="s">
        <v>99</v>
      </c>
      <c r="E1070" s="548" t="s">
        <v>364</v>
      </c>
      <c r="F1070" s="622">
        <v>372</v>
      </c>
      <c r="G1070" s="623" t="s">
        <v>5657</v>
      </c>
      <c r="H1070" s="548" t="s">
        <v>116</v>
      </c>
      <c r="I1070" s="583" t="s">
        <v>530</v>
      </c>
      <c r="J1070" s="548" t="s">
        <v>114</v>
      </c>
      <c r="K1070" s="583" t="s">
        <v>466</v>
      </c>
      <c r="L1070" s="583" t="s">
        <v>547</v>
      </c>
      <c r="M1070" s="619" t="s">
        <v>114</v>
      </c>
      <c r="N1070" s="620">
        <v>44519</v>
      </c>
      <c r="O1070" s="684" t="s">
        <v>67</v>
      </c>
      <c r="P1070" s="503">
        <f t="shared" si="59"/>
        <v>11</v>
      </c>
      <c r="Q1070" s="503">
        <f t="shared" si="60"/>
        <v>9</v>
      </c>
      <c r="R1070" s="504" t="str">
        <f t="shared" si="61"/>
        <v>Gastos_Gerais</v>
      </c>
      <c r="S1070" s="504" t="str">
        <f>IF(D1070="","",IF(OR(D1070=Plano!$A$1,D1070=Plano!$B$1),"entrada","saída"))</f>
        <v>saída</v>
      </c>
      <c r="T1070" s="546" t="s">
        <v>114</v>
      </c>
      <c r="U1070" s="546" t="s">
        <v>114</v>
      </c>
      <c r="V1070" s="541"/>
    </row>
    <row r="1071" spans="1:22" ht="50.1" customHeight="1" x14ac:dyDescent="0.2">
      <c r="A1071" s="619">
        <f>IF(B1071="","",COUNT('Diário 5º PA'!$A$5:$A$2634)+COUNT('Diário 6º PA'!$A$5:$A$2246)+COUNT('Diário 7º PA'!$A$5:$A$2271)+ROW()-4)</f>
        <v>5017</v>
      </c>
      <c r="B1071" s="620">
        <v>44519</v>
      </c>
      <c r="C1071" s="624">
        <v>44440</v>
      </c>
      <c r="D1071" s="548" t="s">
        <v>99</v>
      </c>
      <c r="E1071" s="548" t="s">
        <v>342</v>
      </c>
      <c r="F1071" s="622">
        <v>248</v>
      </c>
      <c r="G1071" s="623" t="s">
        <v>5785</v>
      </c>
      <c r="H1071" s="548" t="s">
        <v>123</v>
      </c>
      <c r="I1071" s="583" t="s">
        <v>530</v>
      </c>
      <c r="J1071" s="548" t="s">
        <v>114</v>
      </c>
      <c r="K1071" s="583" t="s">
        <v>466</v>
      </c>
      <c r="L1071" s="583" t="s">
        <v>547</v>
      </c>
      <c r="M1071" s="619" t="s">
        <v>114</v>
      </c>
      <c r="N1071" s="620">
        <v>44519</v>
      </c>
      <c r="O1071" s="684" t="s">
        <v>67</v>
      </c>
      <c r="P1071" s="503">
        <f t="shared" si="59"/>
        <v>11</v>
      </c>
      <c r="Q1071" s="503">
        <f t="shared" si="60"/>
        <v>9</v>
      </c>
      <c r="R1071" s="504" t="str">
        <f t="shared" si="61"/>
        <v>Gastos_Gerais</v>
      </c>
      <c r="S1071" s="504" t="str">
        <f>IF(D1071="","",IF(OR(D1071=Plano!$A$1,D1071=Plano!$B$1),"entrada","saída"))</f>
        <v>saída</v>
      </c>
      <c r="T1071" s="546" t="s">
        <v>114</v>
      </c>
      <c r="U1071" s="546" t="s">
        <v>114</v>
      </c>
      <c r="V1071" s="541"/>
    </row>
    <row r="1072" spans="1:22" ht="50.1" customHeight="1" x14ac:dyDescent="0.2">
      <c r="A1072" s="619">
        <f>IF(B1072="","",COUNT('Diário 5º PA'!$A$5:$A$2634)+COUNT('Diário 6º PA'!$A$5:$A$2246)+COUNT('Diário 7º PA'!$A$5:$A$2271)+ROW()-4)</f>
        <v>5018</v>
      </c>
      <c r="B1072" s="620">
        <v>44519</v>
      </c>
      <c r="C1072" s="624">
        <v>44470</v>
      </c>
      <c r="D1072" s="548" t="s">
        <v>99</v>
      </c>
      <c r="E1072" s="548" t="s">
        <v>358</v>
      </c>
      <c r="F1072" s="622">
        <v>744</v>
      </c>
      <c r="G1072" s="623" t="s">
        <v>5844</v>
      </c>
      <c r="H1072" s="548" t="s">
        <v>131</v>
      </c>
      <c r="I1072" s="583" t="s">
        <v>530</v>
      </c>
      <c r="J1072" s="548" t="s">
        <v>114</v>
      </c>
      <c r="K1072" s="583" t="s">
        <v>466</v>
      </c>
      <c r="L1072" s="583" t="s">
        <v>547</v>
      </c>
      <c r="M1072" s="619" t="s">
        <v>114</v>
      </c>
      <c r="N1072" s="620">
        <v>44519</v>
      </c>
      <c r="O1072" s="684" t="s">
        <v>67</v>
      </c>
      <c r="P1072" s="503">
        <f t="shared" si="59"/>
        <v>11</v>
      </c>
      <c r="Q1072" s="503">
        <f t="shared" si="60"/>
        <v>10</v>
      </c>
      <c r="R1072" s="504" t="str">
        <f t="shared" si="61"/>
        <v>Gastos_Gerais</v>
      </c>
      <c r="S1072" s="504" t="str">
        <f>IF(D1072="","",IF(OR(D1072=Plano!$A$1,D1072=Plano!$B$1),"entrada","saída"))</f>
        <v>saída</v>
      </c>
      <c r="T1072" s="546" t="s">
        <v>114</v>
      </c>
      <c r="U1072" s="546" t="s">
        <v>114</v>
      </c>
      <c r="V1072" s="541"/>
    </row>
    <row r="1073" spans="1:22" ht="50.1" customHeight="1" x14ac:dyDescent="0.2">
      <c r="A1073" s="619">
        <f>IF(B1073="","",COUNT('Diário 5º PA'!$A$5:$A$2634)+COUNT('Diário 6º PA'!$A$5:$A$2246)+COUNT('Diário 7º PA'!$A$5:$A$2271)+ROW()-4)</f>
        <v>5019</v>
      </c>
      <c r="B1073" s="620">
        <v>44519</v>
      </c>
      <c r="C1073" s="624">
        <v>44440</v>
      </c>
      <c r="D1073" s="548" t="s">
        <v>99</v>
      </c>
      <c r="E1073" s="548" t="s">
        <v>358</v>
      </c>
      <c r="F1073" s="622">
        <v>744</v>
      </c>
      <c r="G1073" s="623" t="s">
        <v>5838</v>
      </c>
      <c r="H1073" s="548" t="s">
        <v>131</v>
      </c>
      <c r="I1073" s="583" t="s">
        <v>530</v>
      </c>
      <c r="J1073" s="548" t="s">
        <v>114</v>
      </c>
      <c r="K1073" s="583" t="s">
        <v>466</v>
      </c>
      <c r="L1073" s="583" t="s">
        <v>547</v>
      </c>
      <c r="M1073" s="619" t="s">
        <v>114</v>
      </c>
      <c r="N1073" s="620">
        <v>44519</v>
      </c>
      <c r="O1073" s="684" t="s">
        <v>67</v>
      </c>
      <c r="P1073" s="503">
        <f t="shared" si="59"/>
        <v>11</v>
      </c>
      <c r="Q1073" s="503">
        <f t="shared" si="60"/>
        <v>9</v>
      </c>
      <c r="R1073" s="504" t="str">
        <f t="shared" si="61"/>
        <v>Gastos_Gerais</v>
      </c>
      <c r="S1073" s="504" t="str">
        <f>IF(D1073="","",IF(OR(D1073=Plano!$A$1,D1073=Plano!$B$1),"entrada","saída"))</f>
        <v>saída</v>
      </c>
      <c r="T1073" s="546" t="s">
        <v>114</v>
      </c>
      <c r="U1073" s="546" t="s">
        <v>114</v>
      </c>
      <c r="V1073" s="541"/>
    </row>
    <row r="1074" spans="1:22" ht="50.1" customHeight="1" x14ac:dyDescent="0.2">
      <c r="A1074" s="619">
        <f>IF(B1074="","",COUNT('Diário 5º PA'!$A$5:$A$2634)+COUNT('Diário 6º PA'!$A$5:$A$2246)+COUNT('Diário 7º PA'!$A$5:$A$2271)+ROW()-4)</f>
        <v>5020</v>
      </c>
      <c r="B1074" s="620">
        <v>44519</v>
      </c>
      <c r="C1074" s="624">
        <v>44440</v>
      </c>
      <c r="D1074" s="548" t="s">
        <v>99</v>
      </c>
      <c r="E1074" s="548" t="s">
        <v>358</v>
      </c>
      <c r="F1074" s="622">
        <v>744</v>
      </c>
      <c r="G1074" s="623" t="s">
        <v>5756</v>
      </c>
      <c r="H1074" s="548" t="s">
        <v>131</v>
      </c>
      <c r="I1074" s="583" t="s">
        <v>530</v>
      </c>
      <c r="J1074" s="548" t="s">
        <v>114</v>
      </c>
      <c r="K1074" s="583" t="s">
        <v>466</v>
      </c>
      <c r="L1074" s="583" t="s">
        <v>547</v>
      </c>
      <c r="M1074" s="619" t="s">
        <v>114</v>
      </c>
      <c r="N1074" s="620">
        <v>44519</v>
      </c>
      <c r="O1074" s="684" t="s">
        <v>67</v>
      </c>
      <c r="P1074" s="503">
        <f t="shared" si="59"/>
        <v>11</v>
      </c>
      <c r="Q1074" s="503">
        <f t="shared" si="60"/>
        <v>9</v>
      </c>
      <c r="R1074" s="504" t="str">
        <f t="shared" si="61"/>
        <v>Gastos_Gerais</v>
      </c>
      <c r="S1074" s="504" t="str">
        <f>IF(D1074="","",IF(OR(D1074=Plano!$A$1,D1074=Plano!$B$1),"entrada","saída"))</f>
        <v>saída</v>
      </c>
      <c r="T1074" s="546" t="s">
        <v>114</v>
      </c>
      <c r="U1074" s="546" t="s">
        <v>114</v>
      </c>
      <c r="V1074" s="541"/>
    </row>
    <row r="1075" spans="1:22" ht="50.1" customHeight="1" x14ac:dyDescent="0.2">
      <c r="A1075" s="619">
        <f>IF(B1075="","",COUNT('Diário 5º PA'!$A$5:$A$2634)+COUNT('Diário 6º PA'!$A$5:$A$2246)+COUNT('Diário 7º PA'!$A$5:$A$2271)+ROW()-4)</f>
        <v>5021</v>
      </c>
      <c r="B1075" s="620">
        <v>44519</v>
      </c>
      <c r="C1075" s="624">
        <v>44409</v>
      </c>
      <c r="D1075" s="548" t="s">
        <v>99</v>
      </c>
      <c r="E1075" s="548" t="s">
        <v>364</v>
      </c>
      <c r="F1075" s="622">
        <v>3107.7</v>
      </c>
      <c r="G1075" s="623" t="s">
        <v>5808</v>
      </c>
      <c r="H1075" s="548" t="s">
        <v>116</v>
      </c>
      <c r="I1075" s="583" t="s">
        <v>530</v>
      </c>
      <c r="J1075" s="548" t="s">
        <v>114</v>
      </c>
      <c r="K1075" s="583" t="s">
        <v>466</v>
      </c>
      <c r="L1075" s="583" t="s">
        <v>547</v>
      </c>
      <c r="M1075" s="619" t="s">
        <v>114</v>
      </c>
      <c r="N1075" s="620">
        <v>44519</v>
      </c>
      <c r="O1075" s="684" t="s">
        <v>67</v>
      </c>
      <c r="P1075" s="503">
        <f t="shared" si="59"/>
        <v>11</v>
      </c>
      <c r="Q1075" s="503">
        <f t="shared" si="60"/>
        <v>8</v>
      </c>
      <c r="R1075" s="504" t="str">
        <f t="shared" si="61"/>
        <v>Gastos_Gerais</v>
      </c>
      <c r="S1075" s="504" t="str">
        <f>IF(D1075="","",IF(OR(D1075=Plano!$A$1,D1075=Plano!$B$1),"entrada","saída"))</f>
        <v>saída</v>
      </c>
      <c r="T1075" s="546" t="s">
        <v>114</v>
      </c>
      <c r="U1075" s="546" t="s">
        <v>114</v>
      </c>
      <c r="V1075" s="541"/>
    </row>
    <row r="1076" spans="1:22" ht="50.1" customHeight="1" x14ac:dyDescent="0.2">
      <c r="A1076" s="619">
        <f>IF(B1076="","",COUNT('Diário 5º PA'!$A$5:$A$2634)+COUNT('Diário 6º PA'!$A$5:$A$2246)+COUNT('Diário 7º PA'!$A$5:$A$2271)+ROW()-4)</f>
        <v>5022</v>
      </c>
      <c r="B1076" s="620">
        <v>44519</v>
      </c>
      <c r="C1076" s="624">
        <v>44409</v>
      </c>
      <c r="D1076" s="548" t="s">
        <v>99</v>
      </c>
      <c r="E1076" s="548" t="s">
        <v>342</v>
      </c>
      <c r="F1076" s="622">
        <v>248</v>
      </c>
      <c r="G1076" s="623" t="s">
        <v>6302</v>
      </c>
      <c r="H1076" s="548" t="s">
        <v>122</v>
      </c>
      <c r="I1076" s="583" t="s">
        <v>530</v>
      </c>
      <c r="J1076" s="548" t="s">
        <v>114</v>
      </c>
      <c r="K1076" s="583" t="s">
        <v>466</v>
      </c>
      <c r="L1076" s="583" t="s">
        <v>547</v>
      </c>
      <c r="M1076" s="619" t="s">
        <v>114</v>
      </c>
      <c r="N1076" s="620">
        <v>44519</v>
      </c>
      <c r="O1076" s="684" t="s">
        <v>67</v>
      </c>
      <c r="P1076" s="503">
        <f t="shared" si="59"/>
        <v>11</v>
      </c>
      <c r="Q1076" s="503">
        <f t="shared" si="60"/>
        <v>8</v>
      </c>
      <c r="R1076" s="504" t="str">
        <f t="shared" si="61"/>
        <v>Gastos_Gerais</v>
      </c>
      <c r="S1076" s="504" t="str">
        <f>IF(D1076="","",IF(OR(D1076=Plano!$A$1,D1076=Plano!$B$1),"entrada","saída"))</f>
        <v>saída</v>
      </c>
      <c r="T1076" s="546" t="s">
        <v>114</v>
      </c>
      <c r="U1076" s="546" t="s">
        <v>114</v>
      </c>
      <c r="V1076" s="541"/>
    </row>
    <row r="1077" spans="1:22" ht="50.1" customHeight="1" x14ac:dyDescent="0.2">
      <c r="A1077" s="619">
        <f>IF(B1077="","",COUNT('Diário 5º PA'!$A$5:$A$2634)+COUNT('Diário 6º PA'!$A$5:$A$2246)+COUNT('Diário 7º PA'!$A$5:$A$2271)+ROW()-4)</f>
        <v>5023</v>
      </c>
      <c r="B1077" s="620">
        <v>44519</v>
      </c>
      <c r="C1077" s="624">
        <v>44440</v>
      </c>
      <c r="D1077" s="548" t="s">
        <v>99</v>
      </c>
      <c r="E1077" s="548" t="s">
        <v>358</v>
      </c>
      <c r="F1077" s="622">
        <v>155</v>
      </c>
      <c r="G1077" s="623" t="s">
        <v>5775</v>
      </c>
      <c r="H1077" s="548" t="s">
        <v>127</v>
      </c>
      <c r="I1077" s="583" t="s">
        <v>530</v>
      </c>
      <c r="J1077" s="548" t="s">
        <v>114</v>
      </c>
      <c r="K1077" s="583" t="s">
        <v>466</v>
      </c>
      <c r="L1077" s="583" t="s">
        <v>547</v>
      </c>
      <c r="M1077" s="619" t="s">
        <v>114</v>
      </c>
      <c r="N1077" s="620">
        <v>44519</v>
      </c>
      <c r="O1077" s="684" t="s">
        <v>67</v>
      </c>
      <c r="P1077" s="503">
        <f t="shared" si="59"/>
        <v>11</v>
      </c>
      <c r="Q1077" s="503">
        <f t="shared" si="60"/>
        <v>9</v>
      </c>
      <c r="R1077" s="504" t="str">
        <f t="shared" si="61"/>
        <v>Gastos_Gerais</v>
      </c>
      <c r="S1077" s="504" t="str">
        <f>IF(D1077="","",IF(OR(D1077=Plano!$A$1,D1077=Plano!$B$1),"entrada","saída"))</f>
        <v>saída</v>
      </c>
      <c r="T1077" s="546" t="s">
        <v>114</v>
      </c>
      <c r="U1077" s="546" t="s">
        <v>114</v>
      </c>
      <c r="V1077" s="541"/>
    </row>
    <row r="1078" spans="1:22" ht="50.1" customHeight="1" x14ac:dyDescent="0.2">
      <c r="A1078" s="619">
        <f>IF(B1078="","",COUNT('Diário 5º PA'!$A$5:$A$2634)+COUNT('Diário 6º PA'!$A$5:$A$2246)+COUNT('Diário 7º PA'!$A$5:$A$2271)+ROW()-4)</f>
        <v>5024</v>
      </c>
      <c r="B1078" s="620">
        <v>44519</v>
      </c>
      <c r="C1078" s="628">
        <v>44470</v>
      </c>
      <c r="D1078" s="548" t="s">
        <v>99</v>
      </c>
      <c r="E1078" s="548" t="s">
        <v>370</v>
      </c>
      <c r="F1078" s="622">
        <v>387.5</v>
      </c>
      <c r="G1078" s="623" t="s">
        <v>5815</v>
      </c>
      <c r="H1078" s="548" t="s">
        <v>125</v>
      </c>
      <c r="I1078" s="583" t="s">
        <v>530</v>
      </c>
      <c r="J1078" s="548" t="s">
        <v>114</v>
      </c>
      <c r="K1078" s="583" t="s">
        <v>466</v>
      </c>
      <c r="L1078" s="583" t="s">
        <v>547</v>
      </c>
      <c r="M1078" s="619" t="s">
        <v>114</v>
      </c>
      <c r="N1078" s="620">
        <v>44519</v>
      </c>
      <c r="O1078" s="684" t="s">
        <v>67</v>
      </c>
      <c r="P1078" s="503">
        <f t="shared" si="59"/>
        <v>11</v>
      </c>
      <c r="Q1078" s="503">
        <f t="shared" si="60"/>
        <v>10</v>
      </c>
      <c r="R1078" s="504" t="str">
        <f t="shared" si="61"/>
        <v>Gastos_Gerais</v>
      </c>
      <c r="S1078" s="504" t="str">
        <f>IF(D1078="","",IF(OR(D1078=Plano!$A$1,D1078=Plano!$B$1),"entrada","saída"))</f>
        <v>saída</v>
      </c>
      <c r="T1078" s="546" t="s">
        <v>114</v>
      </c>
      <c r="U1078" s="546" t="s">
        <v>114</v>
      </c>
      <c r="V1078" s="541"/>
    </row>
    <row r="1079" spans="1:22" ht="50.1" customHeight="1" x14ac:dyDescent="0.2">
      <c r="A1079" s="619">
        <f>IF(B1079="","",COUNT('Diário 5º PA'!$A$5:$A$2634)+COUNT('Diário 6º PA'!$A$5:$A$2246)+COUNT('Diário 7º PA'!$A$5:$A$2271)+ROW()-4)</f>
        <v>5025</v>
      </c>
      <c r="B1079" s="620">
        <v>44519</v>
      </c>
      <c r="C1079" s="624">
        <v>44409</v>
      </c>
      <c r="D1079" s="548" t="s">
        <v>99</v>
      </c>
      <c r="E1079" s="548" t="s">
        <v>358</v>
      </c>
      <c r="F1079" s="622">
        <v>186</v>
      </c>
      <c r="G1079" s="623" t="s">
        <v>5595</v>
      </c>
      <c r="H1079" s="548" t="s">
        <v>126</v>
      </c>
      <c r="I1079" s="583" t="s">
        <v>530</v>
      </c>
      <c r="J1079" s="548" t="s">
        <v>114</v>
      </c>
      <c r="K1079" s="583" t="s">
        <v>466</v>
      </c>
      <c r="L1079" s="583" t="s">
        <v>547</v>
      </c>
      <c r="M1079" s="619" t="s">
        <v>114</v>
      </c>
      <c r="N1079" s="620">
        <v>44519</v>
      </c>
      <c r="O1079" s="684" t="s">
        <v>67</v>
      </c>
      <c r="P1079" s="503">
        <f t="shared" si="59"/>
        <v>11</v>
      </c>
      <c r="Q1079" s="503">
        <f t="shared" si="60"/>
        <v>8</v>
      </c>
      <c r="R1079" s="504" t="str">
        <f t="shared" si="61"/>
        <v>Gastos_Gerais</v>
      </c>
      <c r="S1079" s="504" t="str">
        <f>IF(D1079="","",IF(OR(D1079=Plano!$A$1,D1079=Plano!$B$1),"entrada","saída"))</f>
        <v>saída</v>
      </c>
      <c r="T1079" s="546" t="s">
        <v>114</v>
      </c>
      <c r="U1079" s="546" t="s">
        <v>114</v>
      </c>
      <c r="V1079" s="541"/>
    </row>
    <row r="1080" spans="1:22" ht="50.1" customHeight="1" x14ac:dyDescent="0.2">
      <c r="A1080" s="619">
        <f>IF(B1080="","",COUNT('Diário 5º PA'!$A$5:$A$2634)+COUNT('Diário 6º PA'!$A$5:$A$2246)+COUNT('Diário 7º PA'!$A$5:$A$2271)+ROW()-4)</f>
        <v>5026</v>
      </c>
      <c r="B1080" s="620">
        <v>44519</v>
      </c>
      <c r="C1080" s="624">
        <v>44440</v>
      </c>
      <c r="D1080" s="548" t="s">
        <v>99</v>
      </c>
      <c r="E1080" s="548" t="s">
        <v>336</v>
      </c>
      <c r="F1080" s="622">
        <v>669.6</v>
      </c>
      <c r="G1080" s="623" t="s">
        <v>5659</v>
      </c>
      <c r="H1080" s="548" t="s">
        <v>118</v>
      </c>
      <c r="I1080" s="583" t="s">
        <v>530</v>
      </c>
      <c r="J1080" s="548" t="s">
        <v>114</v>
      </c>
      <c r="K1080" s="583" t="s">
        <v>466</v>
      </c>
      <c r="L1080" s="583" t="s">
        <v>547</v>
      </c>
      <c r="M1080" s="619" t="s">
        <v>114</v>
      </c>
      <c r="N1080" s="620">
        <v>44519</v>
      </c>
      <c r="O1080" s="684" t="s">
        <v>67</v>
      </c>
      <c r="P1080" s="503">
        <f t="shared" si="59"/>
        <v>11</v>
      </c>
      <c r="Q1080" s="503">
        <f t="shared" si="60"/>
        <v>9</v>
      </c>
      <c r="R1080" s="504" t="str">
        <f t="shared" si="61"/>
        <v>Gastos_Gerais</v>
      </c>
      <c r="S1080" s="504" t="str">
        <f>IF(D1080="","",IF(OR(D1080=Plano!$A$1,D1080=Plano!$B$1),"entrada","saída"))</f>
        <v>saída</v>
      </c>
      <c r="T1080" s="546" t="s">
        <v>114</v>
      </c>
      <c r="U1080" s="546" t="s">
        <v>114</v>
      </c>
      <c r="V1080" s="541"/>
    </row>
    <row r="1081" spans="1:22" ht="50.1" customHeight="1" x14ac:dyDescent="0.2">
      <c r="A1081" s="619">
        <f>IF(B1081="","",COUNT('Diário 5º PA'!$A$5:$A$2634)+COUNT('Diário 6º PA'!$A$5:$A$2246)+COUNT('Diário 7º PA'!$A$5:$A$2271)+ROW()-4)</f>
        <v>5027</v>
      </c>
      <c r="B1081" s="620">
        <v>44519</v>
      </c>
      <c r="C1081" s="628">
        <v>44470</v>
      </c>
      <c r="D1081" s="548" t="s">
        <v>99</v>
      </c>
      <c r="E1081" s="548" t="s">
        <v>336</v>
      </c>
      <c r="F1081" s="622">
        <v>775</v>
      </c>
      <c r="G1081" s="623" t="s">
        <v>5848</v>
      </c>
      <c r="H1081" s="548" t="s">
        <v>116</v>
      </c>
      <c r="I1081" s="583" t="s">
        <v>530</v>
      </c>
      <c r="J1081" s="548" t="s">
        <v>114</v>
      </c>
      <c r="K1081" s="583" t="s">
        <v>466</v>
      </c>
      <c r="L1081" s="583" t="s">
        <v>547</v>
      </c>
      <c r="M1081" s="619" t="s">
        <v>114</v>
      </c>
      <c r="N1081" s="620">
        <v>44519</v>
      </c>
      <c r="O1081" s="684" t="s">
        <v>67</v>
      </c>
      <c r="P1081" s="503">
        <f t="shared" si="59"/>
        <v>11</v>
      </c>
      <c r="Q1081" s="503">
        <f t="shared" si="60"/>
        <v>10</v>
      </c>
      <c r="R1081" s="504" t="str">
        <f t="shared" si="61"/>
        <v>Gastos_Gerais</v>
      </c>
      <c r="S1081" s="504" t="str">
        <f>IF(D1081="","",IF(OR(D1081=Plano!$A$1,D1081=Plano!$B$1),"entrada","saída"))</f>
        <v>saída</v>
      </c>
      <c r="T1081" s="546" t="s">
        <v>114</v>
      </c>
      <c r="U1081" s="546" t="s">
        <v>114</v>
      </c>
      <c r="V1081" s="541"/>
    </row>
    <row r="1082" spans="1:22" ht="50.1" customHeight="1" x14ac:dyDescent="0.2">
      <c r="A1082" s="619">
        <f>IF(B1082="","",COUNT('Diário 5º PA'!$A$5:$A$2634)+COUNT('Diário 6º PA'!$A$5:$A$2246)+COUNT('Diário 7º PA'!$A$5:$A$2271)+ROW()-4)</f>
        <v>5028</v>
      </c>
      <c r="B1082" s="620">
        <v>44519</v>
      </c>
      <c r="C1082" s="624">
        <v>44440</v>
      </c>
      <c r="D1082" s="548" t="s">
        <v>99</v>
      </c>
      <c r="E1082" s="548" t="s">
        <v>358</v>
      </c>
      <c r="F1082" s="622">
        <v>744</v>
      </c>
      <c r="G1082" s="623" t="s">
        <v>5885</v>
      </c>
      <c r="H1082" s="548" t="s">
        <v>131</v>
      </c>
      <c r="I1082" s="583" t="s">
        <v>530</v>
      </c>
      <c r="J1082" s="548" t="s">
        <v>114</v>
      </c>
      <c r="K1082" s="583" t="s">
        <v>466</v>
      </c>
      <c r="L1082" s="583" t="s">
        <v>547</v>
      </c>
      <c r="M1082" s="619" t="s">
        <v>114</v>
      </c>
      <c r="N1082" s="620">
        <v>44519</v>
      </c>
      <c r="O1082" s="684" t="s">
        <v>67</v>
      </c>
      <c r="P1082" s="503">
        <f t="shared" si="59"/>
        <v>11</v>
      </c>
      <c r="Q1082" s="503">
        <f t="shared" si="60"/>
        <v>9</v>
      </c>
      <c r="R1082" s="504" t="str">
        <f t="shared" si="61"/>
        <v>Gastos_Gerais</v>
      </c>
      <c r="S1082" s="504" t="str">
        <f>IF(D1082="","",IF(OR(D1082=Plano!$A$1,D1082=Plano!$B$1),"entrada","saída"))</f>
        <v>saída</v>
      </c>
      <c r="T1082" s="546" t="s">
        <v>114</v>
      </c>
      <c r="U1082" s="546" t="s">
        <v>114</v>
      </c>
      <c r="V1082" s="541"/>
    </row>
    <row r="1083" spans="1:22" ht="50.1" customHeight="1" x14ac:dyDescent="0.2">
      <c r="A1083" s="619">
        <f>IF(B1083="","",COUNT('Diário 5º PA'!$A$5:$A$2634)+COUNT('Diário 6º PA'!$A$5:$A$2246)+COUNT('Diário 7º PA'!$A$5:$A$2271)+ROW()-4)</f>
        <v>5029</v>
      </c>
      <c r="B1083" s="620">
        <v>44519</v>
      </c>
      <c r="C1083" s="624">
        <v>44470</v>
      </c>
      <c r="D1083" s="548" t="s">
        <v>99</v>
      </c>
      <c r="E1083" s="548" t="s">
        <v>364</v>
      </c>
      <c r="F1083" s="622">
        <v>775</v>
      </c>
      <c r="G1083" s="623" t="s">
        <v>5765</v>
      </c>
      <c r="H1083" s="548" t="s">
        <v>125</v>
      </c>
      <c r="I1083" s="583" t="s">
        <v>530</v>
      </c>
      <c r="J1083" s="548" t="s">
        <v>114</v>
      </c>
      <c r="K1083" s="583" t="s">
        <v>466</v>
      </c>
      <c r="L1083" s="583" t="s">
        <v>547</v>
      </c>
      <c r="M1083" s="619" t="s">
        <v>114</v>
      </c>
      <c r="N1083" s="620">
        <v>44519</v>
      </c>
      <c r="O1083" s="684" t="s">
        <v>67</v>
      </c>
      <c r="P1083" s="503">
        <f t="shared" si="59"/>
        <v>11</v>
      </c>
      <c r="Q1083" s="503">
        <f t="shared" si="60"/>
        <v>10</v>
      </c>
      <c r="R1083" s="504" t="str">
        <f t="shared" si="61"/>
        <v>Gastos_Gerais</v>
      </c>
      <c r="S1083" s="504" t="str">
        <f>IF(D1083="","",IF(OR(D1083=Plano!$A$1,D1083=Plano!$B$1),"entrada","saída"))</f>
        <v>saída</v>
      </c>
      <c r="T1083" s="546" t="s">
        <v>114</v>
      </c>
      <c r="U1083" s="546" t="s">
        <v>114</v>
      </c>
      <c r="V1083" s="541"/>
    </row>
    <row r="1084" spans="1:22" ht="50.1" customHeight="1" x14ac:dyDescent="0.2">
      <c r="A1084" s="619">
        <f>IF(B1084="","",COUNT('Diário 5º PA'!$A$5:$A$2634)+COUNT('Diário 6º PA'!$A$5:$A$2246)+COUNT('Diário 7º PA'!$A$5:$A$2271)+ROW()-4)</f>
        <v>5030</v>
      </c>
      <c r="B1084" s="620">
        <v>44519</v>
      </c>
      <c r="C1084" s="624">
        <v>44440</v>
      </c>
      <c r="D1084" s="548" t="s">
        <v>99</v>
      </c>
      <c r="E1084" s="548" t="s">
        <v>358</v>
      </c>
      <c r="F1084" s="622">
        <v>279</v>
      </c>
      <c r="G1084" s="623" t="s">
        <v>5761</v>
      </c>
      <c r="H1084" s="548" t="s">
        <v>122</v>
      </c>
      <c r="I1084" s="583" t="s">
        <v>530</v>
      </c>
      <c r="J1084" s="548" t="s">
        <v>114</v>
      </c>
      <c r="K1084" s="583" t="s">
        <v>466</v>
      </c>
      <c r="L1084" s="583" t="s">
        <v>547</v>
      </c>
      <c r="M1084" s="619" t="s">
        <v>114</v>
      </c>
      <c r="N1084" s="620">
        <v>44519</v>
      </c>
      <c r="O1084" s="684" t="s">
        <v>67</v>
      </c>
      <c r="P1084" s="503">
        <f t="shared" si="59"/>
        <v>11</v>
      </c>
      <c r="Q1084" s="503">
        <f t="shared" si="60"/>
        <v>9</v>
      </c>
      <c r="R1084" s="504" t="str">
        <f t="shared" si="61"/>
        <v>Gastos_Gerais</v>
      </c>
      <c r="S1084" s="504" t="str">
        <f>IF(D1084="","",IF(OR(D1084=Plano!$A$1,D1084=Plano!$B$1),"entrada","saída"))</f>
        <v>saída</v>
      </c>
      <c r="T1084" s="546" t="s">
        <v>114</v>
      </c>
      <c r="U1084" s="546" t="s">
        <v>114</v>
      </c>
      <c r="V1084" s="541"/>
    </row>
    <row r="1085" spans="1:22" ht="50.1" customHeight="1" x14ac:dyDescent="0.2">
      <c r="A1085" s="619">
        <f>IF(B1085="","",COUNT('Diário 5º PA'!$A$5:$A$2634)+COUNT('Diário 6º PA'!$A$5:$A$2246)+COUNT('Diário 7º PA'!$A$5:$A$2271)+ROW()-4)</f>
        <v>5031</v>
      </c>
      <c r="B1085" s="620">
        <v>44519</v>
      </c>
      <c r="C1085" s="624">
        <v>44409</v>
      </c>
      <c r="D1085" s="548" t="s">
        <v>99</v>
      </c>
      <c r="E1085" s="548" t="s">
        <v>358</v>
      </c>
      <c r="F1085" s="622">
        <v>446.4</v>
      </c>
      <c r="G1085" s="623" t="s">
        <v>5636</v>
      </c>
      <c r="H1085" s="548" t="s">
        <v>123</v>
      </c>
      <c r="I1085" s="583" t="s">
        <v>530</v>
      </c>
      <c r="J1085" s="548" t="s">
        <v>114</v>
      </c>
      <c r="K1085" s="583" t="s">
        <v>466</v>
      </c>
      <c r="L1085" s="583" t="s">
        <v>547</v>
      </c>
      <c r="M1085" s="619" t="s">
        <v>114</v>
      </c>
      <c r="N1085" s="620">
        <v>44519</v>
      </c>
      <c r="O1085" s="684" t="s">
        <v>67</v>
      </c>
      <c r="P1085" s="503">
        <f t="shared" si="59"/>
        <v>11</v>
      </c>
      <c r="Q1085" s="503">
        <f t="shared" si="60"/>
        <v>8</v>
      </c>
      <c r="R1085" s="504" t="str">
        <f t="shared" si="61"/>
        <v>Gastos_Gerais</v>
      </c>
      <c r="S1085" s="504" t="str">
        <f>IF(D1085="","",IF(OR(D1085=Plano!$A$1,D1085=Plano!$B$1),"entrada","saída"))</f>
        <v>saída</v>
      </c>
      <c r="T1085" s="546" t="s">
        <v>114</v>
      </c>
      <c r="U1085" s="546" t="s">
        <v>114</v>
      </c>
      <c r="V1085" s="541"/>
    </row>
    <row r="1086" spans="1:22" ht="50.1" customHeight="1" x14ac:dyDescent="0.2">
      <c r="A1086" s="619">
        <f>IF(B1086="","",COUNT('Diário 5º PA'!$A$5:$A$2634)+COUNT('Diário 6º PA'!$A$5:$A$2246)+COUNT('Diário 7º PA'!$A$5:$A$2271)+ROW()-4)</f>
        <v>5032</v>
      </c>
      <c r="B1086" s="620">
        <v>44519</v>
      </c>
      <c r="C1086" s="624">
        <v>44440</v>
      </c>
      <c r="D1086" s="548" t="s">
        <v>99</v>
      </c>
      <c r="E1086" s="548" t="s">
        <v>364</v>
      </c>
      <c r="F1086" s="622">
        <v>62</v>
      </c>
      <c r="G1086" s="623" t="s">
        <v>5634</v>
      </c>
      <c r="H1086" s="548" t="s">
        <v>125</v>
      </c>
      <c r="I1086" s="583" t="s">
        <v>530</v>
      </c>
      <c r="J1086" s="548" t="s">
        <v>114</v>
      </c>
      <c r="K1086" s="583" t="s">
        <v>466</v>
      </c>
      <c r="L1086" s="583" t="s">
        <v>547</v>
      </c>
      <c r="M1086" s="619" t="s">
        <v>114</v>
      </c>
      <c r="N1086" s="620">
        <v>44519</v>
      </c>
      <c r="O1086" s="684" t="s">
        <v>67</v>
      </c>
      <c r="P1086" s="503">
        <f t="shared" si="59"/>
        <v>11</v>
      </c>
      <c r="Q1086" s="503">
        <f t="shared" si="60"/>
        <v>9</v>
      </c>
      <c r="R1086" s="504" t="str">
        <f t="shared" si="61"/>
        <v>Gastos_Gerais</v>
      </c>
      <c r="S1086" s="504" t="str">
        <f>IF(D1086="","",IF(OR(D1086=Plano!$A$1,D1086=Plano!$B$1),"entrada","saída"))</f>
        <v>saída</v>
      </c>
      <c r="T1086" s="546" t="s">
        <v>114</v>
      </c>
      <c r="U1086" s="546" t="s">
        <v>114</v>
      </c>
      <c r="V1086" s="541"/>
    </row>
    <row r="1087" spans="1:22" ht="50.1" customHeight="1" x14ac:dyDescent="0.2">
      <c r="A1087" s="619">
        <f>IF(B1087="","",COUNT('Diário 5º PA'!$A$5:$A$2634)+COUNT('Diário 6º PA'!$A$5:$A$2246)+COUNT('Diário 7º PA'!$A$5:$A$2271)+ROW()-4)</f>
        <v>5033</v>
      </c>
      <c r="B1087" s="620">
        <v>44519</v>
      </c>
      <c r="C1087" s="624">
        <v>44440</v>
      </c>
      <c r="D1087" s="548" t="s">
        <v>99</v>
      </c>
      <c r="E1087" s="548" t="s">
        <v>358</v>
      </c>
      <c r="F1087" s="622">
        <v>372</v>
      </c>
      <c r="G1087" s="623" t="s">
        <v>5701</v>
      </c>
      <c r="H1087" s="548" t="s">
        <v>122</v>
      </c>
      <c r="I1087" s="583" t="s">
        <v>465</v>
      </c>
      <c r="J1087" s="548" t="s">
        <v>114</v>
      </c>
      <c r="K1087" s="583" t="s">
        <v>466</v>
      </c>
      <c r="L1087" s="583" t="s">
        <v>547</v>
      </c>
      <c r="M1087" s="619" t="s">
        <v>114</v>
      </c>
      <c r="N1087" s="620">
        <v>44519</v>
      </c>
      <c r="O1087" s="684" t="s">
        <v>67</v>
      </c>
      <c r="P1087" s="503">
        <f t="shared" si="59"/>
        <v>11</v>
      </c>
      <c r="Q1087" s="503">
        <f t="shared" si="60"/>
        <v>9</v>
      </c>
      <c r="R1087" s="504" t="str">
        <f t="shared" si="61"/>
        <v>Gastos_Gerais</v>
      </c>
      <c r="S1087" s="504" t="str">
        <f>IF(D1087="","",IF(OR(D1087=Plano!$A$1,D1087=Plano!$B$1),"entrada","saída"))</f>
        <v>saída</v>
      </c>
      <c r="T1087" s="546" t="s">
        <v>114</v>
      </c>
      <c r="U1087" s="546" t="s">
        <v>114</v>
      </c>
      <c r="V1087" s="541"/>
    </row>
    <row r="1088" spans="1:22" ht="50.1" customHeight="1" x14ac:dyDescent="0.2">
      <c r="A1088" s="619">
        <f>IF(B1088="","",COUNT('Diário 5º PA'!$A$5:$A$2634)+COUNT('Diário 6º PA'!$A$5:$A$2246)+COUNT('Diário 7º PA'!$A$5:$A$2271)+ROW()-4)</f>
        <v>5034</v>
      </c>
      <c r="B1088" s="620">
        <v>44519</v>
      </c>
      <c r="C1088" s="624">
        <v>44440</v>
      </c>
      <c r="D1088" s="548" t="s">
        <v>99</v>
      </c>
      <c r="E1088" s="548" t="s">
        <v>358</v>
      </c>
      <c r="F1088" s="622">
        <v>248</v>
      </c>
      <c r="G1088" s="623" t="s">
        <v>5823</v>
      </c>
      <c r="H1088" s="548" t="s">
        <v>124</v>
      </c>
      <c r="I1088" s="583" t="s">
        <v>530</v>
      </c>
      <c r="J1088" s="548" t="s">
        <v>114</v>
      </c>
      <c r="K1088" s="583" t="s">
        <v>466</v>
      </c>
      <c r="L1088" s="583" t="s">
        <v>547</v>
      </c>
      <c r="M1088" s="619" t="s">
        <v>114</v>
      </c>
      <c r="N1088" s="620">
        <v>44519</v>
      </c>
      <c r="O1088" s="684" t="s">
        <v>67</v>
      </c>
      <c r="P1088" s="503">
        <f t="shared" ref="P1088:P1151" si="62">IF(B1088=0,0,IF(YEAR(B1088)=$Q$1,MONTH(B1088)-$P$1+1,(YEAR(B1088)-$Q$1)*12-$P$1+1+MONTH(B1088)))</f>
        <v>11</v>
      </c>
      <c r="Q1088" s="503">
        <f t="shared" ref="Q1088:Q1151" si="63">IF(C1088=0,0,IF(YEAR(C1088)=$Q$1,MONTH(C1088)-$P$1+1,(YEAR(C1088)-$Q$1)*12-$P$1+1+MONTH(C1088)))</f>
        <v>9</v>
      </c>
      <c r="R1088" s="504" t="str">
        <f t="shared" ref="R1088:R1151" si="64">SUBSTITUTE(D1088," ","_")</f>
        <v>Gastos_Gerais</v>
      </c>
      <c r="S1088" s="504" t="str">
        <f>IF(D1088="","",IF(OR(D1088=Plano!$A$1,D1088=Plano!$B$1),"entrada","saída"))</f>
        <v>saída</v>
      </c>
      <c r="T1088" s="546" t="s">
        <v>114</v>
      </c>
      <c r="U1088" s="546" t="s">
        <v>114</v>
      </c>
      <c r="V1088" s="541"/>
    </row>
    <row r="1089" spans="1:22" ht="50.1" customHeight="1" x14ac:dyDescent="0.2">
      <c r="A1089" s="619">
        <f>IF(B1089="","",COUNT('Diário 5º PA'!$A$5:$A$2634)+COUNT('Diário 6º PA'!$A$5:$A$2246)+COUNT('Diário 7º PA'!$A$5:$A$2271)+ROW()-4)</f>
        <v>5035</v>
      </c>
      <c r="B1089" s="620">
        <v>44519</v>
      </c>
      <c r="C1089" s="624">
        <v>44470</v>
      </c>
      <c r="D1089" s="548" t="s">
        <v>99</v>
      </c>
      <c r="E1089" s="548" t="s">
        <v>330</v>
      </c>
      <c r="F1089" s="622">
        <v>620</v>
      </c>
      <c r="G1089" s="623" t="s">
        <v>5812</v>
      </c>
      <c r="H1089" s="548" t="s">
        <v>125</v>
      </c>
      <c r="I1089" s="583" t="s">
        <v>530</v>
      </c>
      <c r="J1089" s="548" t="s">
        <v>114</v>
      </c>
      <c r="K1089" s="583" t="s">
        <v>466</v>
      </c>
      <c r="L1089" s="583" t="s">
        <v>547</v>
      </c>
      <c r="M1089" s="619" t="s">
        <v>114</v>
      </c>
      <c r="N1089" s="620">
        <v>44519</v>
      </c>
      <c r="O1089" s="684" t="s">
        <v>67</v>
      </c>
      <c r="P1089" s="503">
        <f t="shared" si="62"/>
        <v>11</v>
      </c>
      <c r="Q1089" s="503">
        <f t="shared" si="63"/>
        <v>10</v>
      </c>
      <c r="R1089" s="504" t="str">
        <f t="shared" si="64"/>
        <v>Gastos_Gerais</v>
      </c>
      <c r="S1089" s="504" t="str">
        <f>IF(D1089="","",IF(OR(D1089=Plano!$A$1,D1089=Plano!$B$1),"entrada","saída"))</f>
        <v>saída</v>
      </c>
      <c r="T1089" s="546" t="s">
        <v>114</v>
      </c>
      <c r="U1089" s="546" t="s">
        <v>114</v>
      </c>
      <c r="V1089" s="541"/>
    </row>
    <row r="1090" spans="1:22" ht="50.1" customHeight="1" x14ac:dyDescent="0.2">
      <c r="A1090" s="619">
        <f>IF(B1090="","",COUNT('Diário 5º PA'!$A$5:$A$2634)+COUNT('Diário 6º PA'!$A$5:$A$2246)+COUNT('Diário 7º PA'!$A$5:$A$2271)+ROW()-4)</f>
        <v>5036</v>
      </c>
      <c r="B1090" s="620">
        <v>44519</v>
      </c>
      <c r="C1090" s="624">
        <v>44440</v>
      </c>
      <c r="D1090" s="548" t="s">
        <v>99</v>
      </c>
      <c r="E1090" s="548" t="s">
        <v>358</v>
      </c>
      <c r="F1090" s="622">
        <v>744</v>
      </c>
      <c r="G1090" s="623" t="s">
        <v>5748</v>
      </c>
      <c r="H1090" s="548" t="s">
        <v>131</v>
      </c>
      <c r="I1090" s="583" t="s">
        <v>530</v>
      </c>
      <c r="J1090" s="548" t="s">
        <v>114</v>
      </c>
      <c r="K1090" s="583" t="s">
        <v>466</v>
      </c>
      <c r="L1090" s="583" t="s">
        <v>547</v>
      </c>
      <c r="M1090" s="619" t="s">
        <v>114</v>
      </c>
      <c r="N1090" s="620">
        <v>44519</v>
      </c>
      <c r="O1090" s="684" t="s">
        <v>67</v>
      </c>
      <c r="P1090" s="503">
        <f t="shared" si="62"/>
        <v>11</v>
      </c>
      <c r="Q1090" s="503">
        <f t="shared" si="63"/>
        <v>9</v>
      </c>
      <c r="R1090" s="504" t="str">
        <f t="shared" si="64"/>
        <v>Gastos_Gerais</v>
      </c>
      <c r="S1090" s="504" t="str">
        <f>IF(D1090="","",IF(OR(D1090=Plano!$A$1,D1090=Plano!$B$1),"entrada","saída"))</f>
        <v>saída</v>
      </c>
      <c r="T1090" s="546" t="s">
        <v>114</v>
      </c>
      <c r="U1090" s="546" t="s">
        <v>114</v>
      </c>
      <c r="V1090" s="541"/>
    </row>
    <row r="1091" spans="1:22" ht="50.1" customHeight="1" x14ac:dyDescent="0.2">
      <c r="A1091" s="619">
        <f>IF(B1091="","",COUNT('Diário 5º PA'!$A$5:$A$2634)+COUNT('Diário 6º PA'!$A$5:$A$2246)+COUNT('Diário 7º PA'!$A$5:$A$2271)+ROW()-4)</f>
        <v>5037</v>
      </c>
      <c r="B1091" s="620">
        <v>44519</v>
      </c>
      <c r="C1091" s="624">
        <v>44440</v>
      </c>
      <c r="D1091" s="629" t="s">
        <v>99</v>
      </c>
      <c r="E1091" s="629" t="s">
        <v>358</v>
      </c>
      <c r="F1091" s="622">
        <v>155</v>
      </c>
      <c r="G1091" s="623" t="s">
        <v>5613</v>
      </c>
      <c r="H1091" s="548" t="s">
        <v>127</v>
      </c>
      <c r="I1091" s="583" t="s">
        <v>530</v>
      </c>
      <c r="J1091" s="548" t="s">
        <v>114</v>
      </c>
      <c r="K1091" s="583" t="s">
        <v>466</v>
      </c>
      <c r="L1091" s="583" t="s">
        <v>547</v>
      </c>
      <c r="M1091" s="619" t="s">
        <v>114</v>
      </c>
      <c r="N1091" s="620">
        <v>44519</v>
      </c>
      <c r="O1091" s="684" t="s">
        <v>67</v>
      </c>
      <c r="P1091" s="503">
        <f t="shared" si="62"/>
        <v>11</v>
      </c>
      <c r="Q1091" s="503">
        <f t="shared" si="63"/>
        <v>9</v>
      </c>
      <c r="R1091" s="504" t="str">
        <f t="shared" si="64"/>
        <v>Gastos_Gerais</v>
      </c>
      <c r="S1091" s="504" t="str">
        <f>IF(D1091="","",IF(OR(D1091=Plano!$A$1,D1091=Plano!$B$1),"entrada","saída"))</f>
        <v>saída</v>
      </c>
      <c r="T1091" s="546" t="s">
        <v>114</v>
      </c>
      <c r="U1091" s="546" t="s">
        <v>114</v>
      </c>
      <c r="V1091" s="541"/>
    </row>
    <row r="1092" spans="1:22" ht="50.1" customHeight="1" x14ac:dyDescent="0.2">
      <c r="A1092" s="619">
        <f>IF(B1092="","",COUNT('Diário 5º PA'!$A$5:$A$2634)+COUNT('Diário 6º PA'!$A$5:$A$2246)+COUNT('Diário 7º PA'!$A$5:$A$2271)+ROW()-4)</f>
        <v>5038</v>
      </c>
      <c r="B1092" s="620">
        <v>44519</v>
      </c>
      <c r="C1092" s="624">
        <v>44440</v>
      </c>
      <c r="D1092" s="548" t="s">
        <v>99</v>
      </c>
      <c r="E1092" s="548" t="s">
        <v>358</v>
      </c>
      <c r="F1092" s="622">
        <v>744</v>
      </c>
      <c r="G1092" s="623" t="s">
        <v>5841</v>
      </c>
      <c r="H1092" s="548" t="s">
        <v>131</v>
      </c>
      <c r="I1092" s="583" t="s">
        <v>530</v>
      </c>
      <c r="J1092" s="548" t="s">
        <v>114</v>
      </c>
      <c r="K1092" s="583" t="s">
        <v>466</v>
      </c>
      <c r="L1092" s="583" t="s">
        <v>547</v>
      </c>
      <c r="M1092" s="619" t="s">
        <v>114</v>
      </c>
      <c r="N1092" s="620">
        <v>44519</v>
      </c>
      <c r="O1092" s="684" t="s">
        <v>67</v>
      </c>
      <c r="P1092" s="503">
        <f t="shared" si="62"/>
        <v>11</v>
      </c>
      <c r="Q1092" s="503">
        <f t="shared" si="63"/>
        <v>9</v>
      </c>
      <c r="R1092" s="504" t="str">
        <f t="shared" si="64"/>
        <v>Gastos_Gerais</v>
      </c>
      <c r="S1092" s="504" t="str">
        <f>IF(D1092="","",IF(OR(D1092=Plano!$A$1,D1092=Plano!$B$1),"entrada","saída"))</f>
        <v>saída</v>
      </c>
      <c r="T1092" s="546" t="s">
        <v>114</v>
      </c>
      <c r="U1092" s="546" t="s">
        <v>114</v>
      </c>
      <c r="V1092" s="541"/>
    </row>
    <row r="1093" spans="1:22" ht="50.1" customHeight="1" x14ac:dyDescent="0.2">
      <c r="A1093" s="619">
        <f>IF(B1093="","",COUNT('Diário 5º PA'!$A$5:$A$2634)+COUNT('Diário 6º PA'!$A$5:$A$2246)+COUNT('Diário 7º PA'!$A$5:$A$2271)+ROW()-4)</f>
        <v>5039</v>
      </c>
      <c r="B1093" s="620">
        <v>44519</v>
      </c>
      <c r="C1093" s="624">
        <v>44470</v>
      </c>
      <c r="D1093" s="548" t="s">
        <v>99</v>
      </c>
      <c r="E1093" s="548" t="s">
        <v>364</v>
      </c>
      <c r="F1093" s="622">
        <v>1240</v>
      </c>
      <c r="G1093" s="623" t="s">
        <v>5907</v>
      </c>
      <c r="H1093" s="548" t="s">
        <v>131</v>
      </c>
      <c r="I1093" s="583" t="s">
        <v>530</v>
      </c>
      <c r="J1093" s="548" t="s">
        <v>114</v>
      </c>
      <c r="K1093" s="583" t="s">
        <v>466</v>
      </c>
      <c r="L1093" s="583" t="s">
        <v>547</v>
      </c>
      <c r="M1093" s="619" t="s">
        <v>114</v>
      </c>
      <c r="N1093" s="620">
        <v>44519</v>
      </c>
      <c r="O1093" s="684" t="s">
        <v>67</v>
      </c>
      <c r="P1093" s="503">
        <f t="shared" si="62"/>
        <v>11</v>
      </c>
      <c r="Q1093" s="503">
        <f t="shared" si="63"/>
        <v>10</v>
      </c>
      <c r="R1093" s="504" t="str">
        <f t="shared" si="64"/>
        <v>Gastos_Gerais</v>
      </c>
      <c r="S1093" s="504" t="str">
        <f>IF(D1093="","",IF(OR(D1093=Plano!$A$1,D1093=Plano!$B$1),"entrada","saída"))</f>
        <v>saída</v>
      </c>
      <c r="T1093" s="546" t="s">
        <v>114</v>
      </c>
      <c r="U1093" s="546" t="s">
        <v>114</v>
      </c>
      <c r="V1093" s="541"/>
    </row>
    <row r="1094" spans="1:22" ht="51" customHeight="1" x14ac:dyDescent="0.2">
      <c r="A1094" s="619">
        <f>IF(B1094="","",COUNT('Diário 5º PA'!$A$5:$A$2634)+COUNT('Diário 6º PA'!$A$5:$A$2246)+COUNT('Diário 7º PA'!$A$5:$A$2271)+ROW()-4)</f>
        <v>5040</v>
      </c>
      <c r="B1094" s="620">
        <v>44519</v>
      </c>
      <c r="C1094" s="624">
        <v>44501</v>
      </c>
      <c r="D1094" s="548" t="s">
        <v>99</v>
      </c>
      <c r="E1094" s="548" t="s">
        <v>272</v>
      </c>
      <c r="F1094" s="622">
        <v>10.45</v>
      </c>
      <c r="G1094" s="623" t="s">
        <v>6304</v>
      </c>
      <c r="H1094" s="548" t="s">
        <v>116</v>
      </c>
      <c r="I1094" s="583" t="s">
        <v>949</v>
      </c>
      <c r="J1094" s="548" t="s">
        <v>950</v>
      </c>
      <c r="K1094" s="583" t="s">
        <v>951</v>
      </c>
      <c r="L1094" s="583" t="s">
        <v>947</v>
      </c>
      <c r="M1094" s="625" t="s">
        <v>114</v>
      </c>
      <c r="N1094" s="620">
        <v>44519</v>
      </c>
      <c r="O1094" s="684" t="s">
        <v>67</v>
      </c>
      <c r="P1094" s="503">
        <f t="shared" si="62"/>
        <v>11</v>
      </c>
      <c r="Q1094" s="503">
        <f t="shared" si="63"/>
        <v>11</v>
      </c>
      <c r="R1094" s="504" t="str">
        <f t="shared" si="64"/>
        <v>Gastos_Gerais</v>
      </c>
      <c r="S1094" s="504" t="str">
        <f>IF(D1094="","",IF(OR(D1094=Plano!$A$1,D1094=Plano!$B$1),"entrada","saída"))</f>
        <v>saída</v>
      </c>
      <c r="T1094" s="511" t="s">
        <v>114</v>
      </c>
      <c r="U1094" s="511" t="s">
        <v>114</v>
      </c>
      <c r="V1094" s="541"/>
    </row>
    <row r="1095" spans="1:22" ht="63" customHeight="1" x14ac:dyDescent="0.2">
      <c r="A1095" s="619">
        <f>IF(B1095="","",COUNT('Diário 5º PA'!$A$5:$A$2634)+COUNT('Diário 6º PA'!$A$5:$A$2246)+COUNT('Diário 7º PA'!$A$5:$A$2271)+ROW()-4)</f>
        <v>5041</v>
      </c>
      <c r="B1095" s="620">
        <v>44519</v>
      </c>
      <c r="C1095" s="624">
        <v>44501</v>
      </c>
      <c r="D1095" s="548" t="s">
        <v>99</v>
      </c>
      <c r="E1095" s="548" t="s">
        <v>272</v>
      </c>
      <c r="F1095" s="622">
        <v>10.45</v>
      </c>
      <c r="G1095" s="623" t="s">
        <v>6315</v>
      </c>
      <c r="H1095" s="548" t="s">
        <v>116</v>
      </c>
      <c r="I1095" s="583" t="s">
        <v>949</v>
      </c>
      <c r="J1095" s="548" t="s">
        <v>950</v>
      </c>
      <c r="K1095" s="583" t="s">
        <v>951</v>
      </c>
      <c r="L1095" s="583" t="s">
        <v>947</v>
      </c>
      <c r="M1095" s="625" t="s">
        <v>114</v>
      </c>
      <c r="N1095" s="620">
        <v>44519</v>
      </c>
      <c r="O1095" s="684" t="s">
        <v>67</v>
      </c>
      <c r="P1095" s="503">
        <f t="shared" si="62"/>
        <v>11</v>
      </c>
      <c r="Q1095" s="503">
        <f t="shared" si="63"/>
        <v>11</v>
      </c>
      <c r="R1095" s="504" t="str">
        <f t="shared" si="64"/>
        <v>Gastos_Gerais</v>
      </c>
      <c r="S1095" s="504" t="str">
        <f>IF(D1095="","",IF(OR(D1095=Plano!$A$1,D1095=Plano!$B$1),"entrada","saída"))</f>
        <v>saída</v>
      </c>
      <c r="T1095" s="511" t="s">
        <v>114</v>
      </c>
      <c r="U1095" s="511" t="s">
        <v>114</v>
      </c>
      <c r="V1095" s="541"/>
    </row>
    <row r="1096" spans="1:22" s="550" customFormat="1" ht="130.5" customHeight="1" x14ac:dyDescent="0.2">
      <c r="A1096" s="619">
        <f>IF(B1096="","",COUNT('Diário 5º PA'!$A$5:$A$2634)+COUNT('Diário 6º PA'!$A$5:$A$2246)+COUNT('Diário 7º PA'!$A$5:$A$2271)+ROW()-4)</f>
        <v>5042</v>
      </c>
      <c r="B1096" s="620">
        <v>44519</v>
      </c>
      <c r="C1096" s="624">
        <v>44378</v>
      </c>
      <c r="D1096" s="548" t="s">
        <v>104</v>
      </c>
      <c r="E1096" s="548" t="s">
        <v>104</v>
      </c>
      <c r="F1096" s="622">
        <v>56405.7</v>
      </c>
      <c r="G1096" s="623" t="s">
        <v>5482</v>
      </c>
      <c r="H1096" s="548" t="s">
        <v>104</v>
      </c>
      <c r="I1096" s="583" t="s">
        <v>5483</v>
      </c>
      <c r="J1096" s="548" t="s">
        <v>5484</v>
      </c>
      <c r="K1096" s="583" t="s">
        <v>991</v>
      </c>
      <c r="L1096" s="583" t="s">
        <v>992</v>
      </c>
      <c r="M1096" s="625">
        <v>40</v>
      </c>
      <c r="N1096" s="620">
        <v>44517</v>
      </c>
      <c r="O1096" s="684" t="s">
        <v>5377</v>
      </c>
      <c r="P1096" s="503">
        <f t="shared" si="62"/>
        <v>11</v>
      </c>
      <c r="Q1096" s="503">
        <f t="shared" si="63"/>
        <v>7</v>
      </c>
      <c r="R1096" s="504" t="str">
        <f t="shared" si="64"/>
        <v>Gastos_custeados_por_captação</v>
      </c>
      <c r="S1096" s="504" t="str">
        <f>IF(D1096="","",IF(OR(D1096=Plano!$A$1,D1096=Plano!$B$1),"entrada","saída"))</f>
        <v>saída</v>
      </c>
      <c r="T1096" s="511" t="s">
        <v>1082</v>
      </c>
      <c r="U1096" s="511">
        <v>1719</v>
      </c>
      <c r="V1096" s="541"/>
    </row>
    <row r="1097" spans="1:22" s="550" customFormat="1" ht="63" customHeight="1" x14ac:dyDescent="0.2">
      <c r="A1097" s="619">
        <f>IF(B1097="","",COUNT('Diário 5º PA'!$A$5:$A$2634)+COUNT('Diário 6º PA'!$A$5:$A$2246)+COUNT('Diário 7º PA'!$A$5:$A$2271)+ROW()-4)</f>
        <v>5043</v>
      </c>
      <c r="B1097" s="620">
        <v>44519</v>
      </c>
      <c r="C1097" s="624">
        <v>44440</v>
      </c>
      <c r="D1097" s="548" t="s">
        <v>104</v>
      </c>
      <c r="E1097" s="548" t="s">
        <v>104</v>
      </c>
      <c r="F1097" s="622">
        <v>60</v>
      </c>
      <c r="G1097" s="623" t="s">
        <v>6912</v>
      </c>
      <c r="H1097" s="548" t="s">
        <v>104</v>
      </c>
      <c r="I1097" s="583" t="s">
        <v>488</v>
      </c>
      <c r="J1097" s="548" t="s">
        <v>114</v>
      </c>
      <c r="K1097" s="583" t="s">
        <v>466</v>
      </c>
      <c r="L1097" s="583" t="s">
        <v>489</v>
      </c>
      <c r="M1097" s="625" t="s">
        <v>114</v>
      </c>
      <c r="N1097" s="620">
        <v>44519</v>
      </c>
      <c r="O1097" s="684" t="s">
        <v>5377</v>
      </c>
      <c r="P1097" s="503">
        <f t="shared" si="62"/>
        <v>11</v>
      </c>
      <c r="Q1097" s="503">
        <f t="shared" si="63"/>
        <v>9</v>
      </c>
      <c r="R1097" s="504" t="str">
        <f t="shared" si="64"/>
        <v>Gastos_custeados_por_captação</v>
      </c>
      <c r="S1097" s="504" t="str">
        <f>IF(D1097="","",IF(OR(D1097=Plano!$A$1,D1097=Plano!$B$1),"entrada","saída"))</f>
        <v>saída</v>
      </c>
      <c r="T1097" s="511" t="s">
        <v>114</v>
      </c>
      <c r="U1097" s="511" t="s">
        <v>114</v>
      </c>
      <c r="V1097" s="541"/>
    </row>
    <row r="1098" spans="1:22" s="550" customFormat="1" ht="63" customHeight="1" x14ac:dyDescent="0.2">
      <c r="A1098" s="619">
        <f>IF(B1098="","",COUNT('Diário 5º PA'!$A$5:$A$2634)+COUNT('Diário 6º PA'!$A$5:$A$2246)+COUNT('Diário 7º PA'!$A$5:$A$2271)+ROW()-4)</f>
        <v>5044</v>
      </c>
      <c r="B1098" s="620">
        <v>44519</v>
      </c>
      <c r="C1098" s="624">
        <v>44440</v>
      </c>
      <c r="D1098" s="548" t="s">
        <v>104</v>
      </c>
      <c r="E1098" s="548" t="s">
        <v>104</v>
      </c>
      <c r="F1098" s="622">
        <v>186</v>
      </c>
      <c r="G1098" s="623" t="s">
        <v>6913</v>
      </c>
      <c r="H1098" s="548" t="s">
        <v>104</v>
      </c>
      <c r="I1098" s="583" t="s">
        <v>488</v>
      </c>
      <c r="J1098" s="548" t="s">
        <v>114</v>
      </c>
      <c r="K1098" s="583" t="s">
        <v>466</v>
      </c>
      <c r="L1098" s="583" t="s">
        <v>489</v>
      </c>
      <c r="M1098" s="625" t="s">
        <v>114</v>
      </c>
      <c r="N1098" s="620">
        <v>44519</v>
      </c>
      <c r="O1098" s="684" t="s">
        <v>5377</v>
      </c>
      <c r="P1098" s="503">
        <f t="shared" si="62"/>
        <v>11</v>
      </c>
      <c r="Q1098" s="503">
        <f t="shared" si="63"/>
        <v>9</v>
      </c>
      <c r="R1098" s="504" t="str">
        <f t="shared" si="64"/>
        <v>Gastos_custeados_por_captação</v>
      </c>
      <c r="S1098" s="504" t="str">
        <f>IF(D1098="","",IF(OR(D1098=Plano!$A$1,D1098=Plano!$B$1),"entrada","saída"))</f>
        <v>saída</v>
      </c>
      <c r="T1098" s="511" t="s">
        <v>114</v>
      </c>
      <c r="U1098" s="511" t="s">
        <v>114</v>
      </c>
      <c r="V1098" s="541"/>
    </row>
    <row r="1099" spans="1:22" s="562" customFormat="1" ht="63" customHeight="1" x14ac:dyDescent="0.2">
      <c r="A1099" s="619">
        <f>IF(B1099="","",COUNT('Diário 5º PA'!$A$5:$A$2634)+COUNT('Diário 6º PA'!$A$5:$A$2246)+COUNT('Diário 7º PA'!$A$5:$A$2271)+ROW()-4)</f>
        <v>5045</v>
      </c>
      <c r="B1099" s="620">
        <v>44519</v>
      </c>
      <c r="C1099" s="645">
        <v>44440</v>
      </c>
      <c r="D1099" s="646" t="s">
        <v>104</v>
      </c>
      <c r="E1099" s="646" t="s">
        <v>104</v>
      </c>
      <c r="F1099" s="647">
        <v>775</v>
      </c>
      <c r="G1099" s="648" t="s">
        <v>7434</v>
      </c>
      <c r="H1099" s="646" t="s">
        <v>104</v>
      </c>
      <c r="I1099" s="583" t="s">
        <v>983</v>
      </c>
      <c r="J1099" s="548" t="s">
        <v>850</v>
      </c>
      <c r="K1099" s="583" t="s">
        <v>946</v>
      </c>
      <c r="L1099" s="583" t="s">
        <v>947</v>
      </c>
      <c r="M1099" s="625" t="s">
        <v>114</v>
      </c>
      <c r="N1099" s="620">
        <v>44519</v>
      </c>
      <c r="O1099" s="684" t="s">
        <v>71</v>
      </c>
      <c r="P1099" s="503">
        <f t="shared" si="62"/>
        <v>11</v>
      </c>
      <c r="Q1099" s="503">
        <f t="shared" si="63"/>
        <v>9</v>
      </c>
      <c r="R1099" s="504" t="str">
        <f t="shared" si="64"/>
        <v>Gastos_custeados_por_captação</v>
      </c>
      <c r="S1099" s="504" t="str">
        <f>IF(D1099="","",IF(OR(D1099=Plano!$A$1,D1099=Plano!$B$1),"entrada","saída"))</f>
        <v>saída</v>
      </c>
      <c r="T1099" s="511" t="s">
        <v>114</v>
      </c>
      <c r="U1099" s="511" t="s">
        <v>114</v>
      </c>
      <c r="V1099" s="541"/>
    </row>
    <row r="1100" spans="1:22" s="562" customFormat="1" ht="63" customHeight="1" x14ac:dyDescent="0.2">
      <c r="A1100" s="619">
        <f>IF(B1100="","",COUNT('Diário 5º PA'!$A$5:$A$2634)+COUNT('Diário 6º PA'!$A$5:$A$2246)+COUNT('Diário 7º PA'!$A$5:$A$2271)+ROW()-4)</f>
        <v>5046</v>
      </c>
      <c r="B1100" s="620">
        <v>44519</v>
      </c>
      <c r="C1100" s="645">
        <v>44409</v>
      </c>
      <c r="D1100" s="646" t="s">
        <v>104</v>
      </c>
      <c r="E1100" s="646" t="s">
        <v>104</v>
      </c>
      <c r="F1100" s="647">
        <v>310</v>
      </c>
      <c r="G1100" s="648" t="s">
        <v>7424</v>
      </c>
      <c r="H1100" s="646" t="s">
        <v>104</v>
      </c>
      <c r="I1100" s="583" t="s">
        <v>983</v>
      </c>
      <c r="J1100" s="548" t="s">
        <v>850</v>
      </c>
      <c r="K1100" s="583" t="s">
        <v>946</v>
      </c>
      <c r="L1100" s="583" t="s">
        <v>947</v>
      </c>
      <c r="M1100" s="625" t="s">
        <v>114</v>
      </c>
      <c r="N1100" s="620">
        <v>44519</v>
      </c>
      <c r="O1100" s="684" t="s">
        <v>71</v>
      </c>
      <c r="P1100" s="503">
        <f t="shared" si="62"/>
        <v>11</v>
      </c>
      <c r="Q1100" s="503">
        <f t="shared" si="63"/>
        <v>8</v>
      </c>
      <c r="R1100" s="504" t="str">
        <f t="shared" si="64"/>
        <v>Gastos_custeados_por_captação</v>
      </c>
      <c r="S1100" s="504" t="str">
        <f>IF(D1100="","",IF(OR(D1100=Plano!$A$1,D1100=Plano!$B$1),"entrada","saída"))</f>
        <v>saída</v>
      </c>
      <c r="T1100" s="511" t="s">
        <v>114</v>
      </c>
      <c r="U1100" s="511" t="s">
        <v>114</v>
      </c>
      <c r="V1100" s="541"/>
    </row>
    <row r="1101" spans="1:22" s="562" customFormat="1" ht="63" customHeight="1" x14ac:dyDescent="0.2">
      <c r="A1101" s="619">
        <f>IF(B1101="","",COUNT('Diário 5º PA'!$A$5:$A$2634)+COUNT('Diário 6º PA'!$A$5:$A$2246)+COUNT('Diário 7º PA'!$A$5:$A$2271)+ROW()-4)</f>
        <v>5047</v>
      </c>
      <c r="B1101" s="620">
        <v>44519</v>
      </c>
      <c r="C1101" s="645">
        <v>44440</v>
      </c>
      <c r="D1101" s="646" t="s">
        <v>104</v>
      </c>
      <c r="E1101" s="646" t="s">
        <v>104</v>
      </c>
      <c r="F1101" s="647">
        <v>24.08</v>
      </c>
      <c r="G1101" s="648" t="s">
        <v>5960</v>
      </c>
      <c r="H1101" s="646" t="s">
        <v>104</v>
      </c>
      <c r="I1101" s="627" t="s">
        <v>488</v>
      </c>
      <c r="J1101" s="646" t="s">
        <v>114</v>
      </c>
      <c r="K1101" s="627" t="s">
        <v>466</v>
      </c>
      <c r="L1101" s="627" t="s">
        <v>489</v>
      </c>
      <c r="M1101" s="625" t="s">
        <v>114</v>
      </c>
      <c r="N1101" s="620">
        <v>44519</v>
      </c>
      <c r="O1101" s="684" t="s">
        <v>71</v>
      </c>
      <c r="P1101" s="503">
        <f t="shared" si="62"/>
        <v>11</v>
      </c>
      <c r="Q1101" s="503">
        <f t="shared" si="63"/>
        <v>9</v>
      </c>
      <c r="R1101" s="504" t="str">
        <f t="shared" si="64"/>
        <v>Gastos_custeados_por_captação</v>
      </c>
      <c r="S1101" s="504" t="str">
        <f>IF(D1101="","",IF(OR(D1101=Plano!$A$1,D1101=Plano!$B$1),"entrada","saída"))</f>
        <v>saída</v>
      </c>
      <c r="T1101" s="511" t="s">
        <v>114</v>
      </c>
      <c r="U1101" s="511" t="s">
        <v>114</v>
      </c>
      <c r="V1101" s="541"/>
    </row>
    <row r="1102" spans="1:22" s="562" customFormat="1" ht="63" customHeight="1" x14ac:dyDescent="0.2">
      <c r="A1102" s="649">
        <f>IF(B1102="","",COUNT('Diário 5º PA'!$A$5:$A$2634)+COUNT('Diário 6º PA'!$A$5:$A$2246)+COUNT('Diário 7º PA'!$A$5:$A$2271)+ROW()-4)</f>
        <v>5048</v>
      </c>
      <c r="B1102" s="644">
        <v>44519</v>
      </c>
      <c r="C1102" s="650">
        <v>44470</v>
      </c>
      <c r="D1102" s="651" t="s">
        <v>104</v>
      </c>
      <c r="E1102" s="651" t="s">
        <v>104</v>
      </c>
      <c r="F1102" s="641">
        <v>127.5</v>
      </c>
      <c r="G1102" s="639" t="s">
        <v>7138</v>
      </c>
      <c r="H1102" s="651" t="s">
        <v>104</v>
      </c>
      <c r="I1102" s="640" t="s">
        <v>488</v>
      </c>
      <c r="J1102" s="651" t="s">
        <v>114</v>
      </c>
      <c r="K1102" s="640" t="s">
        <v>466</v>
      </c>
      <c r="L1102" s="640" t="s">
        <v>489</v>
      </c>
      <c r="M1102" s="652" t="s">
        <v>114</v>
      </c>
      <c r="N1102" s="644">
        <v>44519</v>
      </c>
      <c r="O1102" s="685" t="s">
        <v>71</v>
      </c>
      <c r="P1102" s="503">
        <f t="shared" si="62"/>
        <v>11</v>
      </c>
      <c r="Q1102" s="503">
        <f t="shared" si="63"/>
        <v>10</v>
      </c>
      <c r="R1102" s="504" t="str">
        <f t="shared" si="64"/>
        <v>Gastos_custeados_por_captação</v>
      </c>
      <c r="S1102" s="504" t="str">
        <f>IF(D1102="","",IF(OR(D1102=Plano!$A$1,D1102=Plano!$B$1),"entrada","saída"))</f>
        <v>saída</v>
      </c>
      <c r="T1102" s="566" t="s">
        <v>114</v>
      </c>
      <c r="U1102" s="566" t="s">
        <v>114</v>
      </c>
      <c r="V1102" s="541"/>
    </row>
    <row r="1103" spans="1:22" s="568" customFormat="1" ht="63" customHeight="1" x14ac:dyDescent="0.2">
      <c r="A1103" s="619">
        <f>IF(B1103="","",COUNT('Diário 5º PA'!$A$5:$A$2634)+COUNT('Diário 6º PA'!$A$5:$A$2246)+COUNT('Diário 7º PA'!$A$5:$A$2271)+ROW()-4)</f>
        <v>5049</v>
      </c>
      <c r="B1103" s="620">
        <v>44519</v>
      </c>
      <c r="C1103" s="645">
        <v>44440</v>
      </c>
      <c r="D1103" s="646" t="s">
        <v>104</v>
      </c>
      <c r="E1103" s="646" t="s">
        <v>104</v>
      </c>
      <c r="F1103" s="647">
        <v>775</v>
      </c>
      <c r="G1103" s="648" t="s">
        <v>7425</v>
      </c>
      <c r="H1103" s="646" t="s">
        <v>104</v>
      </c>
      <c r="I1103" s="583" t="s">
        <v>983</v>
      </c>
      <c r="J1103" s="548" t="s">
        <v>850</v>
      </c>
      <c r="K1103" s="583" t="s">
        <v>946</v>
      </c>
      <c r="L1103" s="583" t="s">
        <v>947</v>
      </c>
      <c r="M1103" s="625" t="s">
        <v>114</v>
      </c>
      <c r="N1103" s="644">
        <v>44519</v>
      </c>
      <c r="O1103" s="684" t="s">
        <v>68</v>
      </c>
      <c r="P1103" s="503">
        <f t="shared" si="62"/>
        <v>11</v>
      </c>
      <c r="Q1103" s="503">
        <f t="shared" si="63"/>
        <v>9</v>
      </c>
      <c r="R1103" s="504" t="str">
        <f t="shared" si="64"/>
        <v>Gastos_custeados_por_captação</v>
      </c>
      <c r="S1103" s="504" t="str">
        <f>IF(D1103="","",IF(OR(D1103=Plano!$A$1,D1103=Plano!$B$1),"entrada","saída"))</f>
        <v>saída</v>
      </c>
      <c r="T1103" s="566" t="s">
        <v>114</v>
      </c>
      <c r="U1103" s="566" t="s">
        <v>114</v>
      </c>
      <c r="V1103" s="541"/>
    </row>
    <row r="1104" spans="1:22" s="568" customFormat="1" ht="63" customHeight="1" x14ac:dyDescent="0.2">
      <c r="A1104" s="649">
        <f>IF(B1104="","",COUNT('Diário 5º PA'!$A$5:$A$2634)+COUNT('Diário 6º PA'!$A$5:$A$2246)+COUNT('Diário 7º PA'!$A$5:$A$2271)+ROW()-4)</f>
        <v>5050</v>
      </c>
      <c r="B1104" s="644">
        <v>44519</v>
      </c>
      <c r="C1104" s="650">
        <v>44440</v>
      </c>
      <c r="D1104" s="651" t="s">
        <v>104</v>
      </c>
      <c r="E1104" s="651" t="s">
        <v>104</v>
      </c>
      <c r="F1104" s="641">
        <v>24.08</v>
      </c>
      <c r="G1104" s="639" t="s">
        <v>5957</v>
      </c>
      <c r="H1104" s="651" t="s">
        <v>104</v>
      </c>
      <c r="I1104" s="640" t="s">
        <v>488</v>
      </c>
      <c r="J1104" s="651" t="s">
        <v>114</v>
      </c>
      <c r="K1104" s="640" t="s">
        <v>466</v>
      </c>
      <c r="L1104" s="640" t="s">
        <v>489</v>
      </c>
      <c r="M1104" s="652" t="s">
        <v>114</v>
      </c>
      <c r="N1104" s="644">
        <v>44519</v>
      </c>
      <c r="O1104" s="685" t="s">
        <v>68</v>
      </c>
      <c r="P1104" s="503">
        <f t="shared" si="62"/>
        <v>11</v>
      </c>
      <c r="Q1104" s="503">
        <f t="shared" si="63"/>
        <v>9</v>
      </c>
      <c r="R1104" s="504" t="str">
        <f t="shared" si="64"/>
        <v>Gastos_custeados_por_captação</v>
      </c>
      <c r="S1104" s="504" t="str">
        <f>IF(D1104="","",IF(OR(D1104=Plano!$A$1,D1104=Plano!$B$1),"entrada","saída"))</f>
        <v>saída</v>
      </c>
      <c r="T1104" s="566" t="s">
        <v>114</v>
      </c>
      <c r="U1104" s="566" t="s">
        <v>114</v>
      </c>
      <c r="V1104" s="541"/>
    </row>
    <row r="1105" spans="1:22" s="572" customFormat="1" ht="63" customHeight="1" x14ac:dyDescent="0.2">
      <c r="A1105" s="649">
        <f>IF(B1105="","",COUNT('Diário 5º PA'!$A$5:$A$2634)+COUNT('Diário 6º PA'!$A$5:$A$2246)+COUNT('Diário 7º PA'!$A$5:$A$2271)+ROW()-4)</f>
        <v>5051</v>
      </c>
      <c r="B1105" s="644">
        <v>44519</v>
      </c>
      <c r="C1105" s="645">
        <v>44409</v>
      </c>
      <c r="D1105" s="646" t="s">
        <v>104</v>
      </c>
      <c r="E1105" s="646" t="s">
        <v>104</v>
      </c>
      <c r="F1105" s="647">
        <v>620</v>
      </c>
      <c r="G1105" s="648" t="s">
        <v>7426</v>
      </c>
      <c r="H1105" s="646" t="s">
        <v>104</v>
      </c>
      <c r="I1105" s="583" t="s">
        <v>983</v>
      </c>
      <c r="J1105" s="548" t="s">
        <v>850</v>
      </c>
      <c r="K1105" s="583" t="s">
        <v>946</v>
      </c>
      <c r="L1105" s="583" t="s">
        <v>947</v>
      </c>
      <c r="M1105" s="619" t="s">
        <v>114</v>
      </c>
      <c r="N1105" s="620">
        <v>44519</v>
      </c>
      <c r="O1105" s="684" t="s">
        <v>5370</v>
      </c>
      <c r="P1105" s="503">
        <f t="shared" si="62"/>
        <v>11</v>
      </c>
      <c r="Q1105" s="503">
        <f t="shared" si="63"/>
        <v>8</v>
      </c>
      <c r="R1105" s="504" t="str">
        <f t="shared" si="64"/>
        <v>Gastos_custeados_por_captação</v>
      </c>
      <c r="S1105" s="504" t="str">
        <f>IF(D1105="","",IF(OR(D1105=Plano!$A$1,D1105=Plano!$B$1),"entrada","saída"))</f>
        <v>saída</v>
      </c>
      <c r="T1105" s="511" t="s">
        <v>114</v>
      </c>
      <c r="U1105" s="511" t="s">
        <v>114</v>
      </c>
      <c r="V1105" s="541"/>
    </row>
    <row r="1106" spans="1:22" s="572" customFormat="1" ht="63" customHeight="1" x14ac:dyDescent="0.2">
      <c r="A1106" s="649">
        <f>IF(B1106="","",COUNT('Diário 5º PA'!$A$5:$A$2634)+COUNT('Diário 6º PA'!$A$5:$A$2246)+COUNT('Diário 7º PA'!$A$5:$A$2271)+ROW()-4)</f>
        <v>5052</v>
      </c>
      <c r="B1106" s="644">
        <v>44519</v>
      </c>
      <c r="C1106" s="645">
        <v>44440</v>
      </c>
      <c r="D1106" s="646" t="s">
        <v>104</v>
      </c>
      <c r="E1106" s="646" t="s">
        <v>104</v>
      </c>
      <c r="F1106" s="647">
        <v>775</v>
      </c>
      <c r="G1106" s="648" t="s">
        <v>7427</v>
      </c>
      <c r="H1106" s="646" t="s">
        <v>104</v>
      </c>
      <c r="I1106" s="583" t="s">
        <v>983</v>
      </c>
      <c r="J1106" s="548" t="s">
        <v>850</v>
      </c>
      <c r="K1106" s="583" t="s">
        <v>946</v>
      </c>
      <c r="L1106" s="583" t="s">
        <v>947</v>
      </c>
      <c r="M1106" s="625" t="s">
        <v>114</v>
      </c>
      <c r="N1106" s="620">
        <v>44519</v>
      </c>
      <c r="O1106" s="684" t="s">
        <v>5370</v>
      </c>
      <c r="P1106" s="503">
        <f t="shared" si="62"/>
        <v>11</v>
      </c>
      <c r="Q1106" s="503">
        <f t="shared" si="63"/>
        <v>9</v>
      </c>
      <c r="R1106" s="504" t="str">
        <f t="shared" si="64"/>
        <v>Gastos_custeados_por_captação</v>
      </c>
      <c r="S1106" s="504" t="str">
        <f>IF(D1106="","",IF(OR(D1106=Plano!$A$1,D1106=Plano!$B$1),"entrada","saída"))</f>
        <v>saída</v>
      </c>
      <c r="T1106" s="511" t="s">
        <v>114</v>
      </c>
      <c r="U1106" s="511" t="s">
        <v>114</v>
      </c>
      <c r="V1106" s="541"/>
    </row>
    <row r="1107" spans="1:22" s="572" customFormat="1" ht="63" customHeight="1" x14ac:dyDescent="0.2">
      <c r="A1107" s="649">
        <f>IF(B1107="","",COUNT('Diário 5º PA'!$A$5:$A$2634)+COUNT('Diário 6º PA'!$A$5:$A$2246)+COUNT('Diário 7º PA'!$A$5:$A$2271)+ROW()-4)</f>
        <v>5053</v>
      </c>
      <c r="B1107" s="644">
        <v>44519</v>
      </c>
      <c r="C1107" s="645">
        <v>44440</v>
      </c>
      <c r="D1107" s="646" t="s">
        <v>104</v>
      </c>
      <c r="E1107" s="646" t="s">
        <v>104</v>
      </c>
      <c r="F1107" s="647">
        <v>155</v>
      </c>
      <c r="G1107" s="648" t="s">
        <v>7428</v>
      </c>
      <c r="H1107" s="646" t="s">
        <v>104</v>
      </c>
      <c r="I1107" s="583" t="s">
        <v>983</v>
      </c>
      <c r="J1107" s="548" t="s">
        <v>850</v>
      </c>
      <c r="K1107" s="583" t="s">
        <v>946</v>
      </c>
      <c r="L1107" s="583" t="s">
        <v>947</v>
      </c>
      <c r="M1107" s="625" t="s">
        <v>114</v>
      </c>
      <c r="N1107" s="620">
        <v>44519</v>
      </c>
      <c r="O1107" s="684" t="s">
        <v>5370</v>
      </c>
      <c r="P1107" s="503">
        <f t="shared" si="62"/>
        <v>11</v>
      </c>
      <c r="Q1107" s="503">
        <f t="shared" si="63"/>
        <v>9</v>
      </c>
      <c r="R1107" s="504" t="str">
        <f t="shared" si="64"/>
        <v>Gastos_custeados_por_captação</v>
      </c>
      <c r="S1107" s="504" t="str">
        <f>IF(D1107="","",IF(OR(D1107=Plano!$A$1,D1107=Plano!$B$1),"entrada","saída"))</f>
        <v>saída</v>
      </c>
      <c r="T1107" s="511" t="s">
        <v>114</v>
      </c>
      <c r="U1107" s="511" t="s">
        <v>114</v>
      </c>
      <c r="V1107" s="541"/>
    </row>
    <row r="1108" spans="1:22" s="572" customFormat="1" ht="63" customHeight="1" x14ac:dyDescent="0.2">
      <c r="A1108" s="649">
        <f>IF(B1108="","",COUNT('Diário 5º PA'!$A$5:$A$2634)+COUNT('Diário 6º PA'!$A$5:$A$2246)+COUNT('Diário 7º PA'!$A$5:$A$2271)+ROW()-4)</f>
        <v>5054</v>
      </c>
      <c r="B1108" s="644">
        <v>44519</v>
      </c>
      <c r="C1108" s="645">
        <v>44440</v>
      </c>
      <c r="D1108" s="646" t="s">
        <v>104</v>
      </c>
      <c r="E1108" s="646" t="s">
        <v>104</v>
      </c>
      <c r="F1108" s="647">
        <v>930</v>
      </c>
      <c r="G1108" s="648" t="s">
        <v>7429</v>
      </c>
      <c r="H1108" s="646" t="s">
        <v>104</v>
      </c>
      <c r="I1108" s="583" t="s">
        <v>983</v>
      </c>
      <c r="J1108" s="548" t="s">
        <v>850</v>
      </c>
      <c r="K1108" s="583" t="s">
        <v>946</v>
      </c>
      <c r="L1108" s="583" t="s">
        <v>947</v>
      </c>
      <c r="M1108" s="625" t="s">
        <v>114</v>
      </c>
      <c r="N1108" s="620">
        <v>44519</v>
      </c>
      <c r="O1108" s="684" t="s">
        <v>5370</v>
      </c>
      <c r="P1108" s="503">
        <f t="shared" si="62"/>
        <v>11</v>
      </c>
      <c r="Q1108" s="503">
        <f t="shared" si="63"/>
        <v>9</v>
      </c>
      <c r="R1108" s="504" t="str">
        <f t="shared" si="64"/>
        <v>Gastos_custeados_por_captação</v>
      </c>
      <c r="S1108" s="504" t="str">
        <f>IF(D1108="","",IF(OR(D1108=Plano!$A$1,D1108=Plano!$B$1),"entrada","saída"))</f>
        <v>saída</v>
      </c>
      <c r="T1108" s="511" t="s">
        <v>114</v>
      </c>
      <c r="U1108" s="511" t="s">
        <v>114</v>
      </c>
      <c r="V1108" s="541"/>
    </row>
    <row r="1109" spans="1:22" s="572" customFormat="1" ht="63" customHeight="1" x14ac:dyDescent="0.2">
      <c r="A1109" s="649">
        <f>IF(B1109="","",COUNT('Diário 5º PA'!$A$5:$A$2634)+COUNT('Diário 6º PA'!$A$5:$A$2246)+COUNT('Diário 7º PA'!$A$5:$A$2271)+ROW()-4)</f>
        <v>5055</v>
      </c>
      <c r="B1109" s="644">
        <v>44519</v>
      </c>
      <c r="C1109" s="645">
        <v>44440</v>
      </c>
      <c r="D1109" s="646" t="s">
        <v>104</v>
      </c>
      <c r="E1109" s="646" t="s">
        <v>104</v>
      </c>
      <c r="F1109" s="647">
        <v>155</v>
      </c>
      <c r="G1109" s="648" t="s">
        <v>7430</v>
      </c>
      <c r="H1109" s="646" t="s">
        <v>104</v>
      </c>
      <c r="I1109" s="583" t="s">
        <v>983</v>
      </c>
      <c r="J1109" s="548" t="s">
        <v>850</v>
      </c>
      <c r="K1109" s="583" t="s">
        <v>946</v>
      </c>
      <c r="L1109" s="583" t="s">
        <v>947</v>
      </c>
      <c r="M1109" s="625" t="s">
        <v>114</v>
      </c>
      <c r="N1109" s="620">
        <v>44519</v>
      </c>
      <c r="O1109" s="684" t="s">
        <v>5370</v>
      </c>
      <c r="P1109" s="503">
        <f t="shared" si="62"/>
        <v>11</v>
      </c>
      <c r="Q1109" s="503">
        <f t="shared" si="63"/>
        <v>9</v>
      </c>
      <c r="R1109" s="504" t="str">
        <f t="shared" si="64"/>
        <v>Gastos_custeados_por_captação</v>
      </c>
      <c r="S1109" s="504" t="str">
        <f>IF(D1109="","",IF(OR(D1109=Plano!$A$1,D1109=Plano!$B$1),"entrada","saída"))</f>
        <v>saída</v>
      </c>
      <c r="T1109" s="511" t="s">
        <v>114</v>
      </c>
      <c r="U1109" s="511" t="s">
        <v>114</v>
      </c>
      <c r="V1109" s="541"/>
    </row>
    <row r="1110" spans="1:22" s="572" customFormat="1" ht="63" customHeight="1" x14ac:dyDescent="0.2">
      <c r="A1110" s="649">
        <f>IF(B1110="","",COUNT('Diário 5º PA'!$A$5:$A$2634)+COUNT('Diário 6º PA'!$A$5:$A$2246)+COUNT('Diário 7º PA'!$A$5:$A$2271)+ROW()-4)</f>
        <v>5056</v>
      </c>
      <c r="B1110" s="644">
        <v>44519</v>
      </c>
      <c r="C1110" s="645">
        <v>44440</v>
      </c>
      <c r="D1110" s="646" t="s">
        <v>104</v>
      </c>
      <c r="E1110" s="646" t="s">
        <v>104</v>
      </c>
      <c r="F1110" s="647">
        <v>775</v>
      </c>
      <c r="G1110" s="648" t="s">
        <v>7431</v>
      </c>
      <c r="H1110" s="646" t="s">
        <v>104</v>
      </c>
      <c r="I1110" s="583" t="s">
        <v>983</v>
      </c>
      <c r="J1110" s="548" t="s">
        <v>850</v>
      </c>
      <c r="K1110" s="583" t="s">
        <v>946</v>
      </c>
      <c r="L1110" s="583" t="s">
        <v>947</v>
      </c>
      <c r="M1110" s="625" t="s">
        <v>114</v>
      </c>
      <c r="N1110" s="620">
        <v>44519</v>
      </c>
      <c r="O1110" s="684" t="s">
        <v>5370</v>
      </c>
      <c r="P1110" s="503">
        <f t="shared" si="62"/>
        <v>11</v>
      </c>
      <c r="Q1110" s="503">
        <f t="shared" si="63"/>
        <v>9</v>
      </c>
      <c r="R1110" s="504" t="str">
        <f t="shared" si="64"/>
        <v>Gastos_custeados_por_captação</v>
      </c>
      <c r="S1110" s="504" t="str">
        <f>IF(D1110="","",IF(OR(D1110=Plano!$A$1,D1110=Plano!$B$1),"entrada","saída"))</f>
        <v>saída</v>
      </c>
      <c r="T1110" s="511" t="s">
        <v>114</v>
      </c>
      <c r="U1110" s="511" t="s">
        <v>114</v>
      </c>
      <c r="V1110" s="541"/>
    </row>
    <row r="1111" spans="1:22" s="572" customFormat="1" ht="63" customHeight="1" x14ac:dyDescent="0.2">
      <c r="A1111" s="649">
        <f>IF(B1111="","",COUNT('Diário 5º PA'!$A$5:$A$2634)+COUNT('Diário 6º PA'!$A$5:$A$2246)+COUNT('Diário 7º PA'!$A$5:$A$2271)+ROW()-4)</f>
        <v>5057</v>
      </c>
      <c r="B1111" s="644">
        <v>44519</v>
      </c>
      <c r="C1111" s="645">
        <v>44440</v>
      </c>
      <c r="D1111" s="646" t="s">
        <v>104</v>
      </c>
      <c r="E1111" s="646" t="s">
        <v>104</v>
      </c>
      <c r="F1111" s="647">
        <v>465</v>
      </c>
      <c r="G1111" s="648" t="s">
        <v>7432</v>
      </c>
      <c r="H1111" s="646" t="s">
        <v>104</v>
      </c>
      <c r="I1111" s="583" t="s">
        <v>983</v>
      </c>
      <c r="J1111" s="548" t="s">
        <v>850</v>
      </c>
      <c r="K1111" s="583" t="s">
        <v>946</v>
      </c>
      <c r="L1111" s="583" t="s">
        <v>947</v>
      </c>
      <c r="M1111" s="625" t="s">
        <v>114</v>
      </c>
      <c r="N1111" s="620">
        <v>44519</v>
      </c>
      <c r="O1111" s="684" t="s">
        <v>5370</v>
      </c>
      <c r="P1111" s="503">
        <f t="shared" si="62"/>
        <v>11</v>
      </c>
      <c r="Q1111" s="503">
        <f t="shared" si="63"/>
        <v>9</v>
      </c>
      <c r="R1111" s="504" t="str">
        <f t="shared" si="64"/>
        <v>Gastos_custeados_por_captação</v>
      </c>
      <c r="S1111" s="504" t="str">
        <f>IF(D1111="","",IF(OR(D1111=Plano!$A$1,D1111=Plano!$B$1),"entrada","saída"))</f>
        <v>saída</v>
      </c>
      <c r="T1111" s="511" t="s">
        <v>114</v>
      </c>
      <c r="U1111" s="511" t="s">
        <v>114</v>
      </c>
      <c r="V1111" s="541"/>
    </row>
    <row r="1112" spans="1:22" s="572" customFormat="1" ht="63" customHeight="1" x14ac:dyDescent="0.2">
      <c r="A1112" s="649">
        <f>IF(B1112="","",COUNT('Diário 5º PA'!$A$5:$A$2634)+COUNT('Diário 6º PA'!$A$5:$A$2246)+COUNT('Diário 7º PA'!$A$5:$A$2271)+ROW()-4)</f>
        <v>5058</v>
      </c>
      <c r="B1112" s="644">
        <v>44519</v>
      </c>
      <c r="C1112" s="645">
        <v>44440</v>
      </c>
      <c r="D1112" s="646" t="s">
        <v>104</v>
      </c>
      <c r="E1112" s="646" t="s">
        <v>104</v>
      </c>
      <c r="F1112" s="647">
        <v>155</v>
      </c>
      <c r="G1112" s="648" t="s">
        <v>7433</v>
      </c>
      <c r="H1112" s="646" t="s">
        <v>104</v>
      </c>
      <c r="I1112" s="583" t="s">
        <v>983</v>
      </c>
      <c r="J1112" s="548" t="s">
        <v>850</v>
      </c>
      <c r="K1112" s="583" t="s">
        <v>946</v>
      </c>
      <c r="L1112" s="583" t="s">
        <v>947</v>
      </c>
      <c r="M1112" s="625" t="s">
        <v>114</v>
      </c>
      <c r="N1112" s="620">
        <v>44519</v>
      </c>
      <c r="O1112" s="684" t="s">
        <v>5370</v>
      </c>
      <c r="P1112" s="503">
        <f t="shared" si="62"/>
        <v>11</v>
      </c>
      <c r="Q1112" s="503">
        <f t="shared" si="63"/>
        <v>9</v>
      </c>
      <c r="R1112" s="504" t="str">
        <f t="shared" si="64"/>
        <v>Gastos_custeados_por_captação</v>
      </c>
      <c r="S1112" s="504" t="str">
        <f>IF(D1112="","",IF(OR(D1112=Plano!$A$1,D1112=Plano!$B$1),"entrada","saída"))</f>
        <v>saída</v>
      </c>
      <c r="T1112" s="511" t="s">
        <v>114</v>
      </c>
      <c r="U1112" s="511" t="s">
        <v>114</v>
      </c>
      <c r="V1112" s="541"/>
    </row>
    <row r="1113" spans="1:22" s="572" customFormat="1" ht="79.5" customHeight="1" x14ac:dyDescent="0.2">
      <c r="A1113" s="649">
        <f>IF(B1113="","",COUNT('Diário 5º PA'!$A$5:$A$2634)+COUNT('Diário 6º PA'!$A$5:$A$2246)+COUNT('Diário 7º PA'!$A$5:$A$2271)+ROW()-4)</f>
        <v>5059</v>
      </c>
      <c r="B1113" s="644">
        <v>44519</v>
      </c>
      <c r="C1113" s="645">
        <v>44470</v>
      </c>
      <c r="D1113" s="646" t="s">
        <v>104</v>
      </c>
      <c r="E1113" s="646" t="s">
        <v>104</v>
      </c>
      <c r="F1113" s="647">
        <v>2876.48</v>
      </c>
      <c r="G1113" s="648" t="s">
        <v>564</v>
      </c>
      <c r="H1113" s="646" t="s">
        <v>104</v>
      </c>
      <c r="I1113" s="627" t="s">
        <v>1740</v>
      </c>
      <c r="J1113" s="646" t="s">
        <v>567</v>
      </c>
      <c r="K1113" s="583" t="s">
        <v>991</v>
      </c>
      <c r="L1113" s="583" t="s">
        <v>992</v>
      </c>
      <c r="M1113" s="619" t="s">
        <v>1329</v>
      </c>
      <c r="N1113" s="620">
        <v>44518</v>
      </c>
      <c r="O1113" s="684" t="s">
        <v>5370</v>
      </c>
      <c r="P1113" s="503">
        <f t="shared" si="62"/>
        <v>11</v>
      </c>
      <c r="Q1113" s="503">
        <f t="shared" si="63"/>
        <v>10</v>
      </c>
      <c r="R1113" s="504" t="str">
        <f t="shared" si="64"/>
        <v>Gastos_custeados_por_captação</v>
      </c>
      <c r="S1113" s="504" t="str">
        <f>IF(D1113="","",IF(OR(D1113=Plano!$A$1,D1113=Plano!$B$1),"entrada","saída"))</f>
        <v>saída</v>
      </c>
      <c r="T1113" s="511" t="s">
        <v>1082</v>
      </c>
      <c r="U1113" s="511">
        <v>1279</v>
      </c>
      <c r="V1113" s="541"/>
    </row>
    <row r="1114" spans="1:22" s="572" customFormat="1" ht="63" customHeight="1" x14ac:dyDescent="0.2">
      <c r="A1114" s="649">
        <f>IF(B1114="","",COUNT('Diário 5º PA'!$A$5:$A$2634)+COUNT('Diário 6º PA'!$A$5:$A$2246)+COUNT('Diário 7º PA'!$A$5:$A$2271)+ROW()-4)</f>
        <v>5060</v>
      </c>
      <c r="B1114" s="644">
        <v>44519</v>
      </c>
      <c r="C1114" s="645">
        <v>44440</v>
      </c>
      <c r="D1114" s="646" t="s">
        <v>104</v>
      </c>
      <c r="E1114" s="646" t="s">
        <v>104</v>
      </c>
      <c r="F1114" s="647">
        <v>24.08</v>
      </c>
      <c r="G1114" s="648" t="s">
        <v>7221</v>
      </c>
      <c r="H1114" s="646" t="s">
        <v>104</v>
      </c>
      <c r="I1114" s="627" t="s">
        <v>488</v>
      </c>
      <c r="J1114" s="646" t="s">
        <v>114</v>
      </c>
      <c r="K1114" s="627" t="s">
        <v>466</v>
      </c>
      <c r="L1114" s="627" t="s">
        <v>489</v>
      </c>
      <c r="M1114" s="625" t="s">
        <v>114</v>
      </c>
      <c r="N1114" s="620">
        <v>44519</v>
      </c>
      <c r="O1114" s="684" t="s">
        <v>5370</v>
      </c>
      <c r="P1114" s="503">
        <f t="shared" si="62"/>
        <v>11</v>
      </c>
      <c r="Q1114" s="503">
        <f t="shared" si="63"/>
        <v>9</v>
      </c>
      <c r="R1114" s="504" t="str">
        <f t="shared" si="64"/>
        <v>Gastos_custeados_por_captação</v>
      </c>
      <c r="S1114" s="504" t="str">
        <f>IF(D1114="","",IF(OR(D1114=Plano!$A$1,D1114=Plano!$B$1),"entrada","saída"))</f>
        <v>saída</v>
      </c>
      <c r="T1114" s="511" t="s">
        <v>114</v>
      </c>
      <c r="U1114" s="511" t="s">
        <v>114</v>
      </c>
      <c r="V1114" s="541"/>
    </row>
    <row r="1115" spans="1:22" s="572" customFormat="1" ht="63" customHeight="1" x14ac:dyDescent="0.2">
      <c r="A1115" s="649">
        <f>IF(B1115="","",COUNT('Diário 5º PA'!$A$5:$A$2634)+COUNT('Diário 6º PA'!$A$5:$A$2246)+COUNT('Diário 7º PA'!$A$5:$A$2271)+ROW()-4)</f>
        <v>5061</v>
      </c>
      <c r="B1115" s="644">
        <v>44519</v>
      </c>
      <c r="C1115" s="645">
        <v>44440</v>
      </c>
      <c r="D1115" s="646" t="s">
        <v>104</v>
      </c>
      <c r="E1115" s="646" t="s">
        <v>104</v>
      </c>
      <c r="F1115" s="647">
        <v>57.45</v>
      </c>
      <c r="G1115" s="648" t="s">
        <v>6889</v>
      </c>
      <c r="H1115" s="646" t="s">
        <v>104</v>
      </c>
      <c r="I1115" s="627" t="s">
        <v>488</v>
      </c>
      <c r="J1115" s="646" t="s">
        <v>114</v>
      </c>
      <c r="K1115" s="627" t="s">
        <v>466</v>
      </c>
      <c r="L1115" s="627" t="s">
        <v>489</v>
      </c>
      <c r="M1115" s="625" t="s">
        <v>114</v>
      </c>
      <c r="N1115" s="620">
        <v>44519</v>
      </c>
      <c r="O1115" s="684" t="s">
        <v>5370</v>
      </c>
      <c r="P1115" s="503">
        <f t="shared" si="62"/>
        <v>11</v>
      </c>
      <c r="Q1115" s="503">
        <f t="shared" si="63"/>
        <v>9</v>
      </c>
      <c r="R1115" s="504" t="str">
        <f t="shared" si="64"/>
        <v>Gastos_custeados_por_captação</v>
      </c>
      <c r="S1115" s="504" t="str">
        <f>IF(D1115="","",IF(OR(D1115=Plano!$A$1,D1115=Plano!$B$1),"entrada","saída"))</f>
        <v>saída</v>
      </c>
      <c r="T1115" s="511" t="s">
        <v>114</v>
      </c>
      <c r="U1115" s="511" t="s">
        <v>114</v>
      </c>
      <c r="V1115" s="541"/>
    </row>
    <row r="1116" spans="1:22" s="572" customFormat="1" ht="63" customHeight="1" x14ac:dyDescent="0.2">
      <c r="A1116" s="649">
        <f>IF(B1116="","",COUNT('Diário 5º PA'!$A$5:$A$2634)+COUNT('Diário 6º PA'!$A$5:$A$2246)+COUNT('Diário 7º PA'!$A$5:$A$2271)+ROW()-4)</f>
        <v>5062</v>
      </c>
      <c r="B1116" s="644">
        <v>44519</v>
      </c>
      <c r="C1116" s="645">
        <v>44440</v>
      </c>
      <c r="D1116" s="646" t="s">
        <v>104</v>
      </c>
      <c r="E1116" s="646" t="s">
        <v>104</v>
      </c>
      <c r="F1116" s="647">
        <v>24.08</v>
      </c>
      <c r="G1116" s="648" t="s">
        <v>7222</v>
      </c>
      <c r="H1116" s="646" t="s">
        <v>104</v>
      </c>
      <c r="I1116" s="627" t="s">
        <v>488</v>
      </c>
      <c r="J1116" s="646" t="s">
        <v>114</v>
      </c>
      <c r="K1116" s="627" t="s">
        <v>466</v>
      </c>
      <c r="L1116" s="627" t="s">
        <v>489</v>
      </c>
      <c r="M1116" s="625" t="s">
        <v>114</v>
      </c>
      <c r="N1116" s="620">
        <v>44519</v>
      </c>
      <c r="O1116" s="684" t="s">
        <v>5370</v>
      </c>
      <c r="P1116" s="503">
        <f t="shared" si="62"/>
        <v>11</v>
      </c>
      <c r="Q1116" s="503">
        <f t="shared" si="63"/>
        <v>9</v>
      </c>
      <c r="R1116" s="504" t="str">
        <f t="shared" si="64"/>
        <v>Gastos_custeados_por_captação</v>
      </c>
      <c r="S1116" s="504" t="str">
        <f>IF(D1116="","",IF(OR(D1116=Plano!$A$1,D1116=Plano!$B$1),"entrada","saída"))</f>
        <v>saída</v>
      </c>
      <c r="T1116" s="511" t="s">
        <v>114</v>
      </c>
      <c r="U1116" s="511" t="s">
        <v>114</v>
      </c>
      <c r="V1116" s="541"/>
    </row>
    <row r="1117" spans="1:22" s="572" customFormat="1" ht="63" customHeight="1" x14ac:dyDescent="0.2">
      <c r="A1117" s="649">
        <f>IF(B1117="","",COUNT('Diário 5º PA'!$A$5:$A$2634)+COUNT('Diário 6º PA'!$A$5:$A$2246)+COUNT('Diário 7º PA'!$A$5:$A$2271)+ROW()-4)</f>
        <v>5063</v>
      </c>
      <c r="B1117" s="644">
        <v>44519</v>
      </c>
      <c r="C1117" s="624">
        <v>44501</v>
      </c>
      <c r="D1117" s="548" t="s">
        <v>104</v>
      </c>
      <c r="E1117" s="548" t="s">
        <v>104</v>
      </c>
      <c r="F1117" s="622">
        <v>10.45</v>
      </c>
      <c r="G1117" s="623" t="s">
        <v>5451</v>
      </c>
      <c r="H1117" s="548" t="s">
        <v>104</v>
      </c>
      <c r="I1117" s="583" t="s">
        <v>949</v>
      </c>
      <c r="J1117" s="548" t="s">
        <v>950</v>
      </c>
      <c r="K1117" s="583" t="s">
        <v>951</v>
      </c>
      <c r="L1117" s="583" t="s">
        <v>947</v>
      </c>
      <c r="M1117" s="625" t="s">
        <v>114</v>
      </c>
      <c r="N1117" s="644">
        <v>44519</v>
      </c>
      <c r="O1117" s="684" t="s">
        <v>5370</v>
      </c>
      <c r="P1117" s="503">
        <f t="shared" si="62"/>
        <v>11</v>
      </c>
      <c r="Q1117" s="503">
        <f t="shared" si="63"/>
        <v>11</v>
      </c>
      <c r="R1117" s="504" t="str">
        <f t="shared" si="64"/>
        <v>Gastos_custeados_por_captação</v>
      </c>
      <c r="S1117" s="504" t="str">
        <f>IF(D1117="","",IF(OR(D1117=Plano!$A$1,D1117=Plano!$B$1),"entrada","saída"))</f>
        <v>saída</v>
      </c>
      <c r="T1117" s="511" t="s">
        <v>114</v>
      </c>
      <c r="U1117" s="511" t="s">
        <v>114</v>
      </c>
      <c r="V1117" s="541"/>
    </row>
    <row r="1118" spans="1:22" ht="50.1" customHeight="1" x14ac:dyDescent="0.2">
      <c r="A1118" s="619">
        <f>IF(B1118="","",COUNT('Diário 5º PA'!$A$5:$A$2634)+COUNT('Diário 6º PA'!$A$5:$A$2246)+COUNT('Diário 7º PA'!$A$5:$A$2271)+ROW()-4)</f>
        <v>5064</v>
      </c>
      <c r="B1118" s="620">
        <v>44522</v>
      </c>
      <c r="C1118" s="624">
        <v>44470</v>
      </c>
      <c r="D1118" s="548" t="s">
        <v>99</v>
      </c>
      <c r="E1118" s="548" t="s">
        <v>224</v>
      </c>
      <c r="F1118" s="622">
        <v>-92.37</v>
      </c>
      <c r="G1118" s="623" t="s">
        <v>6317</v>
      </c>
      <c r="H1118" s="548" t="s">
        <v>115</v>
      </c>
      <c r="I1118" s="583" t="s">
        <v>983</v>
      </c>
      <c r="J1118" s="548" t="s">
        <v>850</v>
      </c>
      <c r="K1118" s="583" t="s">
        <v>946</v>
      </c>
      <c r="L1118" s="583" t="s">
        <v>947</v>
      </c>
      <c r="M1118" s="619" t="s">
        <v>114</v>
      </c>
      <c r="N1118" s="620">
        <v>44519</v>
      </c>
      <c r="O1118" s="684" t="s">
        <v>67</v>
      </c>
      <c r="P1118" s="503">
        <f t="shared" si="62"/>
        <v>11</v>
      </c>
      <c r="Q1118" s="503">
        <f t="shared" si="63"/>
        <v>10</v>
      </c>
      <c r="R1118" s="504" t="str">
        <f t="shared" si="64"/>
        <v>Gastos_Gerais</v>
      </c>
      <c r="S1118" s="504" t="str">
        <f>IF(D1118="","",IF(OR(D1118=Plano!$A$1,D1118=Plano!$B$1),"entrada","saída"))</f>
        <v>saída</v>
      </c>
      <c r="T1118" s="505" t="s">
        <v>114</v>
      </c>
      <c r="U1118" s="505" t="s">
        <v>114</v>
      </c>
      <c r="V1118" s="541"/>
    </row>
    <row r="1119" spans="1:22" ht="126" customHeight="1" x14ac:dyDescent="0.2">
      <c r="A1119" s="619">
        <f>IF(B1119="","",COUNT('Diário 5º PA'!$A$5:$A$2634)+COUNT('Diário 6º PA'!$A$5:$A$2246)+COUNT('Diário 7º PA'!$A$5:$A$2271)+ROW()-4)</f>
        <v>5065</v>
      </c>
      <c r="B1119" s="620">
        <v>44522</v>
      </c>
      <c r="C1119" s="624">
        <v>44440</v>
      </c>
      <c r="D1119" s="548" t="s">
        <v>99</v>
      </c>
      <c r="E1119" s="548" t="s">
        <v>330</v>
      </c>
      <c r="F1119" s="622">
        <v>1600</v>
      </c>
      <c r="G1119" s="623" t="s">
        <v>832</v>
      </c>
      <c r="H1119" s="548" t="s">
        <v>116</v>
      </c>
      <c r="I1119" s="583" t="s">
        <v>1022</v>
      </c>
      <c r="J1119" s="548" t="s">
        <v>833</v>
      </c>
      <c r="K1119" s="583" t="s">
        <v>1015</v>
      </c>
      <c r="L1119" s="583" t="s">
        <v>992</v>
      </c>
      <c r="M1119" s="619">
        <v>259</v>
      </c>
      <c r="N1119" s="620">
        <v>44522</v>
      </c>
      <c r="O1119" s="684" t="s">
        <v>67</v>
      </c>
      <c r="P1119" s="503">
        <f t="shared" si="62"/>
        <v>11</v>
      </c>
      <c r="Q1119" s="503">
        <f t="shared" si="63"/>
        <v>9</v>
      </c>
      <c r="R1119" s="504" t="str">
        <f t="shared" si="64"/>
        <v>Gastos_Gerais</v>
      </c>
      <c r="S1119" s="504" t="str">
        <f>IF(D1119="","",IF(OR(D1119=Plano!$A$1,D1119=Plano!$B$1),"entrada","saída"))</f>
        <v>saída</v>
      </c>
      <c r="T1119" s="505" t="s">
        <v>994</v>
      </c>
      <c r="U1119" s="505">
        <v>1991</v>
      </c>
      <c r="V1119" s="541"/>
    </row>
    <row r="1120" spans="1:22" ht="88.5" customHeight="1" x14ac:dyDescent="0.2">
      <c r="A1120" s="619">
        <f>IF(B1120="","",COUNT('Diário 5º PA'!$A$5:$A$2634)+COUNT('Diário 6º PA'!$A$5:$A$2246)+COUNT('Diário 7º PA'!$A$5:$A$2271)+ROW()-4)</f>
        <v>5066</v>
      </c>
      <c r="B1120" s="620">
        <v>44522</v>
      </c>
      <c r="C1120" s="624">
        <v>44470</v>
      </c>
      <c r="D1120" s="548" t="s">
        <v>99</v>
      </c>
      <c r="E1120" s="548" t="s">
        <v>336</v>
      </c>
      <c r="F1120" s="622">
        <v>1600</v>
      </c>
      <c r="G1120" s="623" t="s">
        <v>5728</v>
      </c>
      <c r="H1120" s="548" t="s">
        <v>118</v>
      </c>
      <c r="I1120" s="583" t="s">
        <v>1022</v>
      </c>
      <c r="J1120" s="548" t="s">
        <v>833</v>
      </c>
      <c r="K1120" s="583" t="s">
        <v>1015</v>
      </c>
      <c r="L1120" s="583" t="s">
        <v>992</v>
      </c>
      <c r="M1120" s="619">
        <v>260</v>
      </c>
      <c r="N1120" s="620">
        <v>44522</v>
      </c>
      <c r="O1120" s="684" t="s">
        <v>67</v>
      </c>
      <c r="P1120" s="503">
        <f t="shared" si="62"/>
        <v>11</v>
      </c>
      <c r="Q1120" s="503">
        <f t="shared" si="63"/>
        <v>10</v>
      </c>
      <c r="R1120" s="504" t="str">
        <f t="shared" si="64"/>
        <v>Gastos_Gerais</v>
      </c>
      <c r="S1120" s="504" t="str">
        <f>IF(D1120="","",IF(OR(D1120=Plano!$A$1,D1120=Plano!$B$1),"entrada","saída"))</f>
        <v>saída</v>
      </c>
      <c r="T1120" s="505" t="s">
        <v>1059</v>
      </c>
      <c r="U1120" s="505">
        <v>2209</v>
      </c>
      <c r="V1120" s="541"/>
    </row>
    <row r="1121" spans="1:22" ht="88.5" customHeight="1" x14ac:dyDescent="0.2">
      <c r="A1121" s="619">
        <f>IF(B1121="","",COUNT('Diário 5º PA'!$A$5:$A$2634)+COUNT('Diário 6º PA'!$A$5:$A$2246)+COUNT('Diário 7º PA'!$A$5:$A$2271)+ROW()-4)</f>
        <v>5067</v>
      </c>
      <c r="B1121" s="620">
        <v>44522</v>
      </c>
      <c r="C1121" s="624">
        <v>44409</v>
      </c>
      <c r="D1121" s="548" t="s">
        <v>99</v>
      </c>
      <c r="E1121" s="548" t="s">
        <v>364</v>
      </c>
      <c r="F1121" s="622">
        <v>8000</v>
      </c>
      <c r="G1121" s="623" t="s">
        <v>708</v>
      </c>
      <c r="H1121" s="548" t="s">
        <v>116</v>
      </c>
      <c r="I1121" s="583" t="s">
        <v>6318</v>
      </c>
      <c r="J1121" s="548" t="s">
        <v>709</v>
      </c>
      <c r="K1121" s="583" t="s">
        <v>1015</v>
      </c>
      <c r="L1121" s="583" t="s">
        <v>992</v>
      </c>
      <c r="M1121" s="619">
        <v>67</v>
      </c>
      <c r="N1121" s="620">
        <v>44519</v>
      </c>
      <c r="O1121" s="684" t="s">
        <v>67</v>
      </c>
      <c r="P1121" s="503">
        <f t="shared" si="62"/>
        <v>11</v>
      </c>
      <c r="Q1121" s="503">
        <f t="shared" si="63"/>
        <v>8</v>
      </c>
      <c r="R1121" s="504" t="str">
        <f t="shared" si="64"/>
        <v>Gastos_Gerais</v>
      </c>
      <c r="S1121" s="504" t="str">
        <f>IF(D1121="","",IF(OR(D1121=Plano!$A$1,D1121=Plano!$B$1),"entrada","saída"))</f>
        <v>saída</v>
      </c>
      <c r="T1121" s="505" t="s">
        <v>994</v>
      </c>
      <c r="U1121" s="505">
        <v>1824</v>
      </c>
      <c r="V1121" s="541"/>
    </row>
    <row r="1122" spans="1:22" ht="162.75" customHeight="1" x14ac:dyDescent="0.2">
      <c r="A1122" s="619">
        <f>IF(B1122="","",COUNT('Diário 5º PA'!$A$5:$A$2634)+COUNT('Diário 6º PA'!$A$5:$A$2246)+COUNT('Diário 7º PA'!$A$5:$A$2271)+ROW()-4)</f>
        <v>5068</v>
      </c>
      <c r="B1122" s="620">
        <v>44522</v>
      </c>
      <c r="C1122" s="624">
        <v>44470</v>
      </c>
      <c r="D1122" s="548" t="s">
        <v>99</v>
      </c>
      <c r="E1122" s="548" t="s">
        <v>364</v>
      </c>
      <c r="F1122" s="622">
        <v>4440.8599999999997</v>
      </c>
      <c r="G1122" s="623" t="s">
        <v>5301</v>
      </c>
      <c r="H1122" s="548" t="s">
        <v>116</v>
      </c>
      <c r="I1122" s="583" t="s">
        <v>5805</v>
      </c>
      <c r="J1122" s="548" t="s">
        <v>5299</v>
      </c>
      <c r="K1122" s="583" t="s">
        <v>1015</v>
      </c>
      <c r="L1122" s="583" t="s">
        <v>1029</v>
      </c>
      <c r="M1122" s="619">
        <v>1450</v>
      </c>
      <c r="N1122" s="620">
        <v>44519</v>
      </c>
      <c r="O1122" s="684" t="s">
        <v>67</v>
      </c>
      <c r="P1122" s="503">
        <f t="shared" si="62"/>
        <v>11</v>
      </c>
      <c r="Q1122" s="503">
        <f t="shared" si="63"/>
        <v>10</v>
      </c>
      <c r="R1122" s="504" t="str">
        <f t="shared" si="64"/>
        <v>Gastos_Gerais</v>
      </c>
      <c r="S1122" s="504" t="str">
        <f>IF(D1122="","",IF(OR(D1122=Plano!$A$1,D1122=Plano!$B$1),"entrada","saída"))</f>
        <v>saída</v>
      </c>
      <c r="T1122" s="505" t="s">
        <v>1082</v>
      </c>
      <c r="U1122" s="505">
        <v>1952</v>
      </c>
      <c r="V1122" s="541"/>
    </row>
    <row r="1123" spans="1:22" ht="71.25" customHeight="1" x14ac:dyDescent="0.2">
      <c r="A1123" s="619">
        <f>IF(B1123="","",COUNT('Diário 5º PA'!$A$5:$A$2634)+COUNT('Diário 6º PA'!$A$5:$A$2246)+COUNT('Diário 7º PA'!$A$5:$A$2271)+ROW()-4)</f>
        <v>5069</v>
      </c>
      <c r="B1123" s="620">
        <v>44522</v>
      </c>
      <c r="C1123" s="624">
        <v>44409</v>
      </c>
      <c r="D1123" s="548" t="s">
        <v>99</v>
      </c>
      <c r="E1123" s="548" t="s">
        <v>364</v>
      </c>
      <c r="F1123" s="622">
        <v>4440.8599999999997</v>
      </c>
      <c r="G1123" s="623" t="s">
        <v>706</v>
      </c>
      <c r="H1123" s="548" t="s">
        <v>116</v>
      </c>
      <c r="I1123" s="583" t="s">
        <v>6322</v>
      </c>
      <c r="J1123" s="548" t="s">
        <v>866</v>
      </c>
      <c r="K1123" s="583" t="s">
        <v>1015</v>
      </c>
      <c r="L1123" s="583" t="s">
        <v>1029</v>
      </c>
      <c r="M1123" s="619">
        <v>1448</v>
      </c>
      <c r="N1123" s="620">
        <v>44518</v>
      </c>
      <c r="O1123" s="684" t="s">
        <v>67</v>
      </c>
      <c r="P1123" s="503">
        <f t="shared" si="62"/>
        <v>11</v>
      </c>
      <c r="Q1123" s="503">
        <f t="shared" si="63"/>
        <v>8</v>
      </c>
      <c r="R1123" s="504" t="str">
        <f t="shared" si="64"/>
        <v>Gastos_Gerais</v>
      </c>
      <c r="S1123" s="504" t="str">
        <f>IF(D1123="","",IF(OR(D1123=Plano!$A$1,D1123=Plano!$B$1),"entrada","saída"))</f>
        <v>saída</v>
      </c>
      <c r="T1123" s="505" t="s">
        <v>994</v>
      </c>
      <c r="U1123" s="505">
        <v>1844</v>
      </c>
      <c r="V1123" s="541"/>
    </row>
    <row r="1124" spans="1:22" ht="80.25" customHeight="1" x14ac:dyDescent="0.2">
      <c r="A1124" s="619">
        <f>IF(B1124="","",COUNT('Diário 5º PA'!$A$5:$A$2634)+COUNT('Diário 6º PA'!$A$5:$A$2246)+COUNT('Diário 7º PA'!$A$5:$A$2271)+ROW()-4)</f>
        <v>5070</v>
      </c>
      <c r="B1124" s="620">
        <v>44522</v>
      </c>
      <c r="C1124" s="624">
        <v>44470</v>
      </c>
      <c r="D1124" s="548" t="s">
        <v>99</v>
      </c>
      <c r="E1124" s="548" t="s">
        <v>244</v>
      </c>
      <c r="F1124" s="622">
        <v>2911.59</v>
      </c>
      <c r="G1124" s="623" t="s">
        <v>617</v>
      </c>
      <c r="H1124" s="548" t="s">
        <v>128</v>
      </c>
      <c r="I1124" s="583" t="s">
        <v>1490</v>
      </c>
      <c r="J1124" s="548" t="s">
        <v>615</v>
      </c>
      <c r="K1124" s="583" t="s">
        <v>560</v>
      </c>
      <c r="L1124" s="583" t="s">
        <v>992</v>
      </c>
      <c r="M1124" s="619" t="s">
        <v>6326</v>
      </c>
      <c r="N1124" s="620">
        <v>44505</v>
      </c>
      <c r="O1124" s="684" t="s">
        <v>67</v>
      </c>
      <c r="P1124" s="503">
        <f t="shared" si="62"/>
        <v>11</v>
      </c>
      <c r="Q1124" s="503">
        <f t="shared" si="63"/>
        <v>10</v>
      </c>
      <c r="R1124" s="504" t="str">
        <f t="shared" si="64"/>
        <v>Gastos_Gerais</v>
      </c>
      <c r="S1124" s="504" t="str">
        <f>IF(D1124="","",IF(OR(D1124=Plano!$A$1,D1124=Plano!$B$1),"entrada","saída"))</f>
        <v>saída</v>
      </c>
      <c r="T1124" s="505" t="s">
        <v>1059</v>
      </c>
      <c r="U1124" s="505">
        <v>1501</v>
      </c>
      <c r="V1124" s="541"/>
    </row>
    <row r="1125" spans="1:22" ht="50.1" customHeight="1" x14ac:dyDescent="0.2">
      <c r="A1125" s="619">
        <f>IF(B1125="","",COUNT('Diário 5º PA'!$A$5:$A$2634)+COUNT('Diário 6º PA'!$A$5:$A$2246)+COUNT('Diário 7º PA'!$A$5:$A$2271)+ROW()-4)</f>
        <v>5071</v>
      </c>
      <c r="B1125" s="620">
        <v>44522</v>
      </c>
      <c r="C1125" s="624">
        <v>44470</v>
      </c>
      <c r="D1125" s="548" t="s">
        <v>99</v>
      </c>
      <c r="E1125" s="548" t="s">
        <v>224</v>
      </c>
      <c r="F1125" s="622">
        <v>349.76</v>
      </c>
      <c r="G1125" s="623" t="s">
        <v>5736</v>
      </c>
      <c r="H1125" s="548" t="s">
        <v>115</v>
      </c>
      <c r="I1125" s="583" t="s">
        <v>522</v>
      </c>
      <c r="J1125" s="548" t="s">
        <v>523</v>
      </c>
      <c r="K1125" s="583" t="s">
        <v>1375</v>
      </c>
      <c r="L1125" s="583" t="s">
        <v>697</v>
      </c>
      <c r="M1125" s="619" t="s">
        <v>6328</v>
      </c>
      <c r="N1125" s="620">
        <v>44501</v>
      </c>
      <c r="O1125" s="684" t="s">
        <v>67</v>
      </c>
      <c r="P1125" s="503">
        <f t="shared" si="62"/>
        <v>11</v>
      </c>
      <c r="Q1125" s="503">
        <f t="shared" si="63"/>
        <v>10</v>
      </c>
      <c r="R1125" s="504" t="str">
        <f t="shared" si="64"/>
        <v>Gastos_Gerais</v>
      </c>
      <c r="S1125" s="504" t="str">
        <f>IF(D1125="","",IF(OR(D1125=Plano!$A$1,D1125=Plano!$B$1),"entrada","saída"))</f>
        <v>saída</v>
      </c>
      <c r="T1125" s="505" t="s">
        <v>114</v>
      </c>
      <c r="U1125" s="505" t="s">
        <v>114</v>
      </c>
      <c r="V1125" s="541"/>
    </row>
    <row r="1126" spans="1:22" ht="114" customHeight="1" x14ac:dyDescent="0.2">
      <c r="A1126" s="619">
        <f>IF(B1126="","",COUNT('Diário 5º PA'!$A$5:$A$2634)+COUNT('Diário 6º PA'!$A$5:$A$2246)+COUNT('Diário 7º PA'!$A$5:$A$2271)+ROW()-4)</f>
        <v>5072</v>
      </c>
      <c r="B1126" s="620">
        <v>44522</v>
      </c>
      <c r="C1126" s="624">
        <v>44470</v>
      </c>
      <c r="D1126" s="548" t="s">
        <v>99</v>
      </c>
      <c r="E1126" s="548" t="s">
        <v>266</v>
      </c>
      <c r="F1126" s="622">
        <v>5063.3100000000004</v>
      </c>
      <c r="G1126" s="623" t="s">
        <v>5178</v>
      </c>
      <c r="H1126" s="548" t="s">
        <v>131</v>
      </c>
      <c r="I1126" s="583" t="s">
        <v>5916</v>
      </c>
      <c r="J1126" s="548" t="s">
        <v>587</v>
      </c>
      <c r="K1126" s="583" t="s">
        <v>991</v>
      </c>
      <c r="L1126" s="583" t="s">
        <v>992</v>
      </c>
      <c r="M1126" s="619" t="s">
        <v>1688</v>
      </c>
      <c r="N1126" s="620">
        <v>44521</v>
      </c>
      <c r="O1126" s="684" t="s">
        <v>67</v>
      </c>
      <c r="P1126" s="503">
        <f t="shared" si="62"/>
        <v>11</v>
      </c>
      <c r="Q1126" s="503">
        <f t="shared" si="63"/>
        <v>10</v>
      </c>
      <c r="R1126" s="504" t="str">
        <f t="shared" si="64"/>
        <v>Gastos_Gerais</v>
      </c>
      <c r="S1126" s="504" t="str">
        <f>IF(D1126="","",IF(OR(D1126=Plano!$A$1,D1126=Plano!$B$1),"entrada","saída"))</f>
        <v>saída</v>
      </c>
      <c r="T1126" s="505" t="s">
        <v>1082</v>
      </c>
      <c r="U1126" s="505">
        <v>2083</v>
      </c>
      <c r="V1126" s="541"/>
    </row>
    <row r="1127" spans="1:22" ht="123.75" customHeight="1" x14ac:dyDescent="0.2">
      <c r="A1127" s="619">
        <f>IF(B1127="","",COUNT('Diário 5º PA'!$A$5:$A$2634)+COUNT('Diário 6º PA'!$A$5:$A$2246)+COUNT('Diário 7º PA'!$A$5:$A$2271)+ROW()-4)</f>
        <v>5073</v>
      </c>
      <c r="B1127" s="620">
        <v>44522</v>
      </c>
      <c r="C1127" s="624">
        <v>44409</v>
      </c>
      <c r="D1127" s="548" t="s">
        <v>99</v>
      </c>
      <c r="E1127" s="548" t="s">
        <v>382</v>
      </c>
      <c r="F1127" s="622">
        <v>331.74</v>
      </c>
      <c r="G1127" s="623" t="s">
        <v>767</v>
      </c>
      <c r="H1127" s="548" t="s">
        <v>131</v>
      </c>
      <c r="I1127" s="583" t="s">
        <v>5489</v>
      </c>
      <c r="J1127" s="548" t="s">
        <v>769</v>
      </c>
      <c r="K1127" s="583" t="s">
        <v>991</v>
      </c>
      <c r="L1127" s="583" t="s">
        <v>992</v>
      </c>
      <c r="M1127" s="619" t="s">
        <v>6331</v>
      </c>
      <c r="N1127" s="620">
        <v>44501</v>
      </c>
      <c r="O1127" s="684" t="s">
        <v>67</v>
      </c>
      <c r="P1127" s="503">
        <f t="shared" si="62"/>
        <v>11</v>
      </c>
      <c r="Q1127" s="503">
        <f t="shared" si="63"/>
        <v>8</v>
      </c>
      <c r="R1127" s="504" t="str">
        <f t="shared" si="64"/>
        <v>Gastos_Gerais</v>
      </c>
      <c r="S1127" s="504" t="str">
        <f>IF(D1127="","",IF(OR(D1127=Plano!$A$1,D1127=Plano!$B$1),"entrada","saída"))</f>
        <v>saída</v>
      </c>
      <c r="T1127" s="505" t="s">
        <v>1059</v>
      </c>
      <c r="U1127" s="505">
        <v>1866</v>
      </c>
      <c r="V1127" s="541"/>
    </row>
    <row r="1128" spans="1:22" ht="148.5" customHeight="1" x14ac:dyDescent="0.2">
      <c r="A1128" s="619">
        <f>IF(B1128="","",COUNT('Diário 5º PA'!$A$5:$A$2634)+COUNT('Diário 6º PA'!$A$5:$A$2246)+COUNT('Diário 7º PA'!$A$5:$A$2271)+ROW()-4)</f>
        <v>5074</v>
      </c>
      <c r="B1128" s="620">
        <v>44522</v>
      </c>
      <c r="C1128" s="624">
        <v>44470</v>
      </c>
      <c r="D1128" s="548" t="s">
        <v>99</v>
      </c>
      <c r="E1128" s="548" t="s">
        <v>350</v>
      </c>
      <c r="F1128" s="622">
        <v>500</v>
      </c>
      <c r="G1128" s="623" t="s">
        <v>5928</v>
      </c>
      <c r="H1128" s="548" t="s">
        <v>132</v>
      </c>
      <c r="I1128" s="583" t="s">
        <v>6333</v>
      </c>
      <c r="J1128" s="548" t="s">
        <v>5513</v>
      </c>
      <c r="K1128" s="583" t="s">
        <v>991</v>
      </c>
      <c r="L1128" s="583" t="s">
        <v>1177</v>
      </c>
      <c r="M1128" s="619" t="s">
        <v>114</v>
      </c>
      <c r="N1128" s="620">
        <v>44505</v>
      </c>
      <c r="O1128" s="684" t="s">
        <v>67</v>
      </c>
      <c r="P1128" s="503">
        <f t="shared" si="62"/>
        <v>11</v>
      </c>
      <c r="Q1128" s="503">
        <f t="shared" si="63"/>
        <v>10</v>
      </c>
      <c r="R1128" s="504" t="str">
        <f t="shared" si="64"/>
        <v>Gastos_Gerais</v>
      </c>
      <c r="S1128" s="504" t="str">
        <f>IF(D1128="","",IF(OR(D1128=Plano!$A$1,D1128=Plano!$B$1),"entrada","saída"))</f>
        <v>saída</v>
      </c>
      <c r="T1128" s="505" t="s">
        <v>994</v>
      </c>
      <c r="U1128" s="505">
        <v>2303</v>
      </c>
      <c r="V1128" s="541"/>
    </row>
    <row r="1129" spans="1:22" ht="48.75" customHeight="1" x14ac:dyDescent="0.2">
      <c r="A1129" s="619">
        <f>IF(B1129="","",COUNT('Diário 5º PA'!$A$5:$A$2634)+COUNT('Diário 6º PA'!$A$5:$A$2246)+COUNT('Diário 7º PA'!$A$5:$A$2271)+ROW()-4)</f>
        <v>5075</v>
      </c>
      <c r="B1129" s="620">
        <v>44522</v>
      </c>
      <c r="C1129" s="628">
        <v>44470</v>
      </c>
      <c r="D1129" s="548" t="s">
        <v>99</v>
      </c>
      <c r="E1129" s="548" t="s">
        <v>358</v>
      </c>
      <c r="F1129" s="622">
        <v>1068</v>
      </c>
      <c r="G1129" s="623" t="s">
        <v>5566</v>
      </c>
      <c r="H1129" s="548" t="s">
        <v>123</v>
      </c>
      <c r="I1129" s="583" t="s">
        <v>5674</v>
      </c>
      <c r="J1129" s="548" t="s">
        <v>773</v>
      </c>
      <c r="K1129" s="583" t="s">
        <v>991</v>
      </c>
      <c r="L1129" s="583" t="s">
        <v>1029</v>
      </c>
      <c r="M1129" s="619">
        <v>1449</v>
      </c>
      <c r="N1129" s="620">
        <v>44519</v>
      </c>
      <c r="O1129" s="684" t="s">
        <v>67</v>
      </c>
      <c r="P1129" s="503">
        <f t="shared" si="62"/>
        <v>11</v>
      </c>
      <c r="Q1129" s="503">
        <f t="shared" si="63"/>
        <v>10</v>
      </c>
      <c r="R1129" s="504" t="str">
        <f t="shared" si="64"/>
        <v>Gastos_Gerais</v>
      </c>
      <c r="S1129" s="504" t="str">
        <f>IF(D1129="","",IF(OR(D1129=Plano!$A$1,D1129=Plano!$B$1),"entrada","saída"))</f>
        <v>saída</v>
      </c>
      <c r="T1129" s="505" t="s">
        <v>994</v>
      </c>
      <c r="U1129" s="505">
        <v>2185</v>
      </c>
      <c r="V1129" s="541"/>
    </row>
    <row r="1130" spans="1:22" ht="50.1" customHeight="1" x14ac:dyDescent="0.2">
      <c r="A1130" s="619">
        <f>IF(B1130="","",COUNT('Diário 5º PA'!$A$5:$A$2634)+COUNT('Diário 6º PA'!$A$5:$A$2246)+COUNT('Diário 7º PA'!$A$5:$A$2271)+ROW()-4)</f>
        <v>5076</v>
      </c>
      <c r="B1130" s="620">
        <v>44522</v>
      </c>
      <c r="C1130" s="624">
        <v>44501</v>
      </c>
      <c r="D1130" s="548" t="s">
        <v>99</v>
      </c>
      <c r="E1130" s="548" t="s">
        <v>272</v>
      </c>
      <c r="F1130" s="622">
        <v>10.45</v>
      </c>
      <c r="G1130" s="623" t="s">
        <v>6334</v>
      </c>
      <c r="H1130" s="548" t="s">
        <v>131</v>
      </c>
      <c r="I1130" s="583" t="s">
        <v>949</v>
      </c>
      <c r="J1130" s="548" t="s">
        <v>950</v>
      </c>
      <c r="K1130" s="583" t="s">
        <v>951</v>
      </c>
      <c r="L1130" s="583" t="s">
        <v>947</v>
      </c>
      <c r="M1130" s="625" t="s">
        <v>114</v>
      </c>
      <c r="N1130" s="620">
        <v>44522</v>
      </c>
      <c r="O1130" s="684" t="s">
        <v>67</v>
      </c>
      <c r="P1130" s="503">
        <f t="shared" si="62"/>
        <v>11</v>
      </c>
      <c r="Q1130" s="503">
        <f t="shared" si="63"/>
        <v>11</v>
      </c>
      <c r="R1130" s="504" t="str">
        <f t="shared" si="64"/>
        <v>Gastos_Gerais</v>
      </c>
      <c r="S1130" s="504" t="str">
        <f>IF(D1130="","",IF(OR(D1130=Plano!$A$1,D1130=Plano!$B$1),"entrada","saída"))</f>
        <v>saída</v>
      </c>
      <c r="T1130" s="511" t="s">
        <v>114</v>
      </c>
      <c r="U1130" s="511" t="s">
        <v>114</v>
      </c>
      <c r="V1130" s="541"/>
    </row>
    <row r="1131" spans="1:22" ht="50.1" customHeight="1" x14ac:dyDescent="0.2">
      <c r="A1131" s="619">
        <f>IF(B1131="","",COUNT('Diário 5º PA'!$A$5:$A$2634)+COUNT('Diário 6º PA'!$A$5:$A$2246)+COUNT('Diário 7º PA'!$A$5:$A$2271)+ROW()-4)</f>
        <v>5077</v>
      </c>
      <c r="B1131" s="620">
        <v>44522</v>
      </c>
      <c r="C1131" s="624">
        <v>44501</v>
      </c>
      <c r="D1131" s="548" t="s">
        <v>99</v>
      </c>
      <c r="E1131" s="548" t="s">
        <v>272</v>
      </c>
      <c r="F1131" s="622">
        <v>10.45</v>
      </c>
      <c r="G1131" s="623" t="s">
        <v>6335</v>
      </c>
      <c r="H1131" s="548" t="s">
        <v>131</v>
      </c>
      <c r="I1131" s="583" t="s">
        <v>949</v>
      </c>
      <c r="J1131" s="548" t="s">
        <v>950</v>
      </c>
      <c r="K1131" s="583" t="s">
        <v>951</v>
      </c>
      <c r="L1131" s="583" t="s">
        <v>947</v>
      </c>
      <c r="M1131" s="625" t="s">
        <v>114</v>
      </c>
      <c r="N1131" s="620">
        <v>44522</v>
      </c>
      <c r="O1131" s="684" t="s">
        <v>67</v>
      </c>
      <c r="P1131" s="503">
        <f t="shared" si="62"/>
        <v>11</v>
      </c>
      <c r="Q1131" s="503">
        <f t="shared" si="63"/>
        <v>11</v>
      </c>
      <c r="R1131" s="504" t="str">
        <f t="shared" si="64"/>
        <v>Gastos_Gerais</v>
      </c>
      <c r="S1131" s="504" t="str">
        <f>IF(D1131="","",IF(OR(D1131=Plano!$A$1,D1131=Plano!$B$1),"entrada","saída"))</f>
        <v>saída</v>
      </c>
      <c r="T1131" s="511" t="s">
        <v>114</v>
      </c>
      <c r="U1131" s="511" t="s">
        <v>114</v>
      </c>
      <c r="V1131" s="541"/>
    </row>
    <row r="1132" spans="1:22" ht="50.1" customHeight="1" x14ac:dyDescent="0.2">
      <c r="A1132" s="619">
        <f>IF(B1132="","",COUNT('Diário 5º PA'!$A$5:$A$2634)+COUNT('Diário 6º PA'!$A$5:$A$2246)+COUNT('Diário 7º PA'!$A$5:$A$2271)+ROW()-4)</f>
        <v>5078</v>
      </c>
      <c r="B1132" s="620">
        <v>44522</v>
      </c>
      <c r="C1132" s="624">
        <v>44501</v>
      </c>
      <c r="D1132" s="548" t="s">
        <v>99</v>
      </c>
      <c r="E1132" s="548" t="s">
        <v>272</v>
      </c>
      <c r="F1132" s="622">
        <v>10.45</v>
      </c>
      <c r="G1132" s="623" t="s">
        <v>6336</v>
      </c>
      <c r="H1132" s="548" t="s">
        <v>132</v>
      </c>
      <c r="I1132" s="583" t="s">
        <v>949</v>
      </c>
      <c r="J1132" s="548" t="s">
        <v>950</v>
      </c>
      <c r="K1132" s="583" t="s">
        <v>951</v>
      </c>
      <c r="L1132" s="583" t="s">
        <v>947</v>
      </c>
      <c r="M1132" s="625" t="s">
        <v>114</v>
      </c>
      <c r="N1132" s="620">
        <v>44522</v>
      </c>
      <c r="O1132" s="684" t="s">
        <v>67</v>
      </c>
      <c r="P1132" s="503">
        <f t="shared" si="62"/>
        <v>11</v>
      </c>
      <c r="Q1132" s="503">
        <f t="shared" si="63"/>
        <v>11</v>
      </c>
      <c r="R1132" s="504" t="str">
        <f t="shared" si="64"/>
        <v>Gastos_Gerais</v>
      </c>
      <c r="S1132" s="504" t="str">
        <f>IF(D1132="","",IF(OR(D1132=Plano!$A$1,D1132=Plano!$B$1),"entrada","saída"))</f>
        <v>saída</v>
      </c>
      <c r="T1132" s="511" t="s">
        <v>114</v>
      </c>
      <c r="U1132" s="511" t="s">
        <v>114</v>
      </c>
      <c r="V1132" s="541"/>
    </row>
    <row r="1133" spans="1:22" ht="50.1" customHeight="1" x14ac:dyDescent="0.2">
      <c r="A1133" s="619">
        <f>IF(B1133="","",COUNT('Diário 5º PA'!$A$5:$A$2634)+COUNT('Diário 6º PA'!$A$5:$A$2246)+COUNT('Diário 7º PA'!$A$5:$A$2271)+ROW()-4)</f>
        <v>5079</v>
      </c>
      <c r="B1133" s="620">
        <v>44522</v>
      </c>
      <c r="C1133" s="624">
        <v>44501</v>
      </c>
      <c r="D1133" s="548" t="s">
        <v>99</v>
      </c>
      <c r="E1133" s="548" t="s">
        <v>272</v>
      </c>
      <c r="F1133" s="622">
        <v>10.45</v>
      </c>
      <c r="G1133" s="623" t="s">
        <v>6337</v>
      </c>
      <c r="H1133" s="548" t="s">
        <v>123</v>
      </c>
      <c r="I1133" s="583" t="s">
        <v>949</v>
      </c>
      <c r="J1133" s="548" t="s">
        <v>950</v>
      </c>
      <c r="K1133" s="583" t="s">
        <v>951</v>
      </c>
      <c r="L1133" s="583" t="s">
        <v>947</v>
      </c>
      <c r="M1133" s="625" t="s">
        <v>114</v>
      </c>
      <c r="N1133" s="620">
        <v>44522</v>
      </c>
      <c r="O1133" s="684" t="s">
        <v>67</v>
      </c>
      <c r="P1133" s="503">
        <f t="shared" si="62"/>
        <v>11</v>
      </c>
      <c r="Q1133" s="503">
        <f t="shared" si="63"/>
        <v>11</v>
      </c>
      <c r="R1133" s="504" t="str">
        <f t="shared" si="64"/>
        <v>Gastos_Gerais</v>
      </c>
      <c r="S1133" s="504" t="str">
        <f>IF(D1133="","",IF(OR(D1133=Plano!$A$1,D1133=Plano!$B$1),"entrada","saída"))</f>
        <v>saída</v>
      </c>
      <c r="T1133" s="511" t="s">
        <v>114</v>
      </c>
      <c r="U1133" s="511" t="s">
        <v>114</v>
      </c>
      <c r="V1133" s="541"/>
    </row>
    <row r="1134" spans="1:22" s="550" customFormat="1" ht="82.5" customHeight="1" x14ac:dyDescent="0.2">
      <c r="A1134" s="619">
        <f>IF(B1134="","",COUNT('Diário 5º PA'!$A$5:$A$2634)+COUNT('Diário 6º PA'!$A$5:$A$2246)+COUNT('Diário 7º PA'!$A$5:$A$2271)+ROW()-4)</f>
        <v>5080</v>
      </c>
      <c r="B1134" s="620">
        <v>44522</v>
      </c>
      <c r="C1134" s="624">
        <v>44440</v>
      </c>
      <c r="D1134" s="548" t="s">
        <v>104</v>
      </c>
      <c r="E1134" s="548" t="s">
        <v>104</v>
      </c>
      <c r="F1134" s="622">
        <v>12775.15</v>
      </c>
      <c r="G1134" s="623" t="s">
        <v>5205</v>
      </c>
      <c r="H1134" s="548" t="s">
        <v>104</v>
      </c>
      <c r="I1134" s="583" t="s">
        <v>5504</v>
      </c>
      <c r="J1134" s="548" t="s">
        <v>5206</v>
      </c>
      <c r="K1134" s="583" t="s">
        <v>991</v>
      </c>
      <c r="L1134" s="583" t="s">
        <v>992</v>
      </c>
      <c r="M1134" s="625">
        <v>322030</v>
      </c>
      <c r="N1134" s="620">
        <v>44468</v>
      </c>
      <c r="O1134" s="684" t="s">
        <v>5377</v>
      </c>
      <c r="P1134" s="503">
        <f t="shared" si="62"/>
        <v>11</v>
      </c>
      <c r="Q1134" s="503">
        <f t="shared" si="63"/>
        <v>9</v>
      </c>
      <c r="R1134" s="504" t="str">
        <f t="shared" si="64"/>
        <v>Gastos_custeados_por_captação</v>
      </c>
      <c r="S1134" s="504" t="str">
        <f>IF(D1134="","",IF(OR(D1134=Plano!$A$1,D1134=Plano!$B$1),"entrada","saída"))</f>
        <v>saída</v>
      </c>
      <c r="T1134" s="511" t="s">
        <v>1011</v>
      </c>
      <c r="U1134" s="511">
        <v>1998</v>
      </c>
      <c r="V1134" s="541"/>
    </row>
    <row r="1135" spans="1:22" s="558" customFormat="1" ht="110.25" customHeight="1" x14ac:dyDescent="0.2">
      <c r="A1135" s="619">
        <f>IF(B1135="","",COUNT('Diário 5º PA'!$A$5:$A$2634)+COUNT('Diário 6º PA'!$A$5:$A$2246)+COUNT('Diário 7º PA'!$A$5:$A$2271)+ROW()-4)</f>
        <v>5081</v>
      </c>
      <c r="B1135" s="620">
        <v>44522</v>
      </c>
      <c r="C1135" s="645">
        <v>44409</v>
      </c>
      <c r="D1135" s="646" t="s">
        <v>104</v>
      </c>
      <c r="E1135" s="646" t="s">
        <v>104</v>
      </c>
      <c r="F1135" s="647">
        <v>130551.75</v>
      </c>
      <c r="G1135" s="648" t="s">
        <v>5415</v>
      </c>
      <c r="H1135" s="646" t="s">
        <v>104</v>
      </c>
      <c r="I1135" s="627" t="s">
        <v>1932</v>
      </c>
      <c r="J1135" s="646" t="s">
        <v>1933</v>
      </c>
      <c r="K1135" s="583" t="s">
        <v>991</v>
      </c>
      <c r="L1135" s="583" t="s">
        <v>992</v>
      </c>
      <c r="M1135" s="625">
        <v>195</v>
      </c>
      <c r="N1135" s="620">
        <v>44519</v>
      </c>
      <c r="O1135" s="684" t="s">
        <v>5377</v>
      </c>
      <c r="P1135" s="503">
        <f t="shared" si="62"/>
        <v>11</v>
      </c>
      <c r="Q1135" s="503">
        <f t="shared" si="63"/>
        <v>8</v>
      </c>
      <c r="R1135" s="504" t="str">
        <f t="shared" si="64"/>
        <v>Gastos_custeados_por_captação</v>
      </c>
      <c r="S1135" s="504" t="str">
        <f>IF(D1135="","",IF(OR(D1135=Plano!$A$1,D1135=Plano!$B$1),"entrada","saída"))</f>
        <v>saída</v>
      </c>
      <c r="T1135" s="511" t="s">
        <v>1082</v>
      </c>
      <c r="U1135" s="511">
        <v>1727</v>
      </c>
      <c r="V1135" s="541"/>
    </row>
    <row r="1136" spans="1:22" s="558" customFormat="1" ht="59.25" customHeight="1" x14ac:dyDescent="0.2">
      <c r="A1136" s="619">
        <f>IF(B1136="","",COUNT('Diário 5º PA'!$A$5:$A$2634)+COUNT('Diário 6º PA'!$A$5:$A$2246)+COUNT('Diário 7º PA'!$A$5:$A$2271)+ROW()-4)</f>
        <v>5082</v>
      </c>
      <c r="B1136" s="620">
        <v>44522</v>
      </c>
      <c r="C1136" s="624">
        <v>44501</v>
      </c>
      <c r="D1136" s="548" t="s">
        <v>104</v>
      </c>
      <c r="E1136" s="548" t="s">
        <v>104</v>
      </c>
      <c r="F1136" s="622">
        <v>10.45</v>
      </c>
      <c r="G1136" s="623" t="s">
        <v>5451</v>
      </c>
      <c r="H1136" s="548" t="s">
        <v>104</v>
      </c>
      <c r="I1136" s="583" t="s">
        <v>949</v>
      </c>
      <c r="J1136" s="548" t="s">
        <v>950</v>
      </c>
      <c r="K1136" s="583" t="s">
        <v>951</v>
      </c>
      <c r="L1136" s="583" t="s">
        <v>947</v>
      </c>
      <c r="M1136" s="625" t="s">
        <v>114</v>
      </c>
      <c r="N1136" s="620">
        <v>44522</v>
      </c>
      <c r="O1136" s="684" t="s">
        <v>5377</v>
      </c>
      <c r="P1136" s="503">
        <f t="shared" si="62"/>
        <v>11</v>
      </c>
      <c r="Q1136" s="503">
        <f t="shared" si="63"/>
        <v>11</v>
      </c>
      <c r="R1136" s="504" t="str">
        <f t="shared" si="64"/>
        <v>Gastos_custeados_por_captação</v>
      </c>
      <c r="S1136" s="504" t="str">
        <f>IF(D1136="","",IF(OR(D1136=Plano!$A$1,D1136=Plano!$B$1),"entrada","saída"))</f>
        <v>saída</v>
      </c>
      <c r="T1136" s="505" t="s">
        <v>114</v>
      </c>
      <c r="U1136" s="505" t="s">
        <v>114</v>
      </c>
      <c r="V1136" s="541"/>
    </row>
    <row r="1137" spans="1:22" ht="60.75" customHeight="1" x14ac:dyDescent="0.2">
      <c r="A1137" s="619">
        <f>IF(B1137="","",COUNT('Diário 5º PA'!$A$5:$A$2634)+COUNT('Diário 6º PA'!$A$5:$A$2246)+COUNT('Diário 7º PA'!$A$5:$A$2271)+ROW()-4)</f>
        <v>5083</v>
      </c>
      <c r="B1137" s="620">
        <v>44524</v>
      </c>
      <c r="C1137" s="624">
        <v>44501</v>
      </c>
      <c r="D1137" s="548" t="s">
        <v>99</v>
      </c>
      <c r="E1137" s="548" t="s">
        <v>330</v>
      </c>
      <c r="F1137" s="622">
        <v>500</v>
      </c>
      <c r="G1137" s="623" t="s">
        <v>6147</v>
      </c>
      <c r="H1137" s="548" t="s">
        <v>128</v>
      </c>
      <c r="I1137" s="583" t="s">
        <v>6352</v>
      </c>
      <c r="J1137" s="548" t="s">
        <v>6148</v>
      </c>
      <c r="K1137" s="583" t="s">
        <v>1015</v>
      </c>
      <c r="L1137" s="583" t="s">
        <v>992</v>
      </c>
      <c r="M1137" s="619">
        <v>385</v>
      </c>
      <c r="N1137" s="620">
        <v>44523</v>
      </c>
      <c r="O1137" s="684" t="s">
        <v>67</v>
      </c>
      <c r="P1137" s="503">
        <f t="shared" si="62"/>
        <v>11</v>
      </c>
      <c r="Q1137" s="503">
        <f t="shared" si="63"/>
        <v>11</v>
      </c>
      <c r="R1137" s="504" t="str">
        <f t="shared" si="64"/>
        <v>Gastos_Gerais</v>
      </c>
      <c r="S1137" s="504" t="str">
        <f>IF(D1137="","",IF(OR(D1137=Plano!$A$1,D1137=Plano!$B$1),"entrada","saída"))</f>
        <v>saída</v>
      </c>
      <c r="T1137" s="505" t="s">
        <v>994</v>
      </c>
      <c r="U1137" s="505">
        <v>2365</v>
      </c>
      <c r="V1137" s="541"/>
    </row>
    <row r="1138" spans="1:22" ht="68.25" customHeight="1" x14ac:dyDescent="0.2">
      <c r="A1138" s="619">
        <f>IF(B1138="","",COUNT('Diário 5º PA'!$A$5:$A$2634)+COUNT('Diário 6º PA'!$A$5:$A$2246)+COUNT('Diário 7º PA'!$A$5:$A$2271)+ROW()-4)</f>
        <v>5084</v>
      </c>
      <c r="B1138" s="620">
        <v>44524</v>
      </c>
      <c r="C1138" s="624">
        <v>44501</v>
      </c>
      <c r="D1138" s="548" t="s">
        <v>99</v>
      </c>
      <c r="E1138" s="548" t="s">
        <v>364</v>
      </c>
      <c r="F1138" s="622">
        <v>9330</v>
      </c>
      <c r="G1138" s="623" t="s">
        <v>6119</v>
      </c>
      <c r="H1138" s="548" t="s">
        <v>128</v>
      </c>
      <c r="I1138" s="583" t="s">
        <v>6353</v>
      </c>
      <c r="J1138" s="548" t="s">
        <v>6120</v>
      </c>
      <c r="K1138" s="583" t="s">
        <v>991</v>
      </c>
      <c r="L1138" s="583" t="s">
        <v>992</v>
      </c>
      <c r="M1138" s="619" t="s">
        <v>1256</v>
      </c>
      <c r="N1138" s="620">
        <v>44522</v>
      </c>
      <c r="O1138" s="684" t="s">
        <v>67</v>
      </c>
      <c r="P1138" s="503">
        <f t="shared" si="62"/>
        <v>11</v>
      </c>
      <c r="Q1138" s="503">
        <f t="shared" si="63"/>
        <v>11</v>
      </c>
      <c r="R1138" s="504" t="str">
        <f t="shared" si="64"/>
        <v>Gastos_Gerais</v>
      </c>
      <c r="S1138" s="504" t="str">
        <f>IF(D1138="","",IF(OR(D1138=Plano!$A$1,D1138=Plano!$B$1),"entrada","saída"))</f>
        <v>saída</v>
      </c>
      <c r="T1138" s="505" t="s">
        <v>994</v>
      </c>
      <c r="U1138" s="505">
        <v>2359</v>
      </c>
      <c r="V1138" s="541"/>
    </row>
    <row r="1139" spans="1:22" ht="36" customHeight="1" x14ac:dyDescent="0.2">
      <c r="A1139" s="619">
        <f>IF(B1139="","",COUNT('Diário 5º PA'!$A$5:$A$2634)+COUNT('Diário 6º PA'!$A$5:$A$2246)+COUNT('Diário 7º PA'!$A$5:$A$2271)+ROW()-4)</f>
        <v>5085</v>
      </c>
      <c r="B1139" s="620">
        <v>44524</v>
      </c>
      <c r="C1139" s="624">
        <v>44501</v>
      </c>
      <c r="D1139" s="548" t="s">
        <v>99</v>
      </c>
      <c r="E1139" s="548" t="s">
        <v>218</v>
      </c>
      <c r="F1139" s="622">
        <v>66.44</v>
      </c>
      <c r="G1139" s="623" t="s">
        <v>6368</v>
      </c>
      <c r="H1139" s="548" t="s">
        <v>129</v>
      </c>
      <c r="I1139" s="583" t="s">
        <v>515</v>
      </c>
      <c r="J1139" s="548" t="s">
        <v>516</v>
      </c>
      <c r="K1139" s="583" t="s">
        <v>700</v>
      </c>
      <c r="L1139" s="583" t="s">
        <v>697</v>
      </c>
      <c r="M1139" s="625" t="s">
        <v>6354</v>
      </c>
      <c r="N1139" s="620">
        <v>44514</v>
      </c>
      <c r="O1139" s="684" t="s">
        <v>67</v>
      </c>
      <c r="P1139" s="503">
        <f t="shared" si="62"/>
        <v>11</v>
      </c>
      <c r="Q1139" s="503">
        <f t="shared" si="63"/>
        <v>11</v>
      </c>
      <c r="R1139" s="504" t="str">
        <f t="shared" si="64"/>
        <v>Gastos_Gerais</v>
      </c>
      <c r="S1139" s="504" t="str">
        <f>IF(D1139="","",IF(OR(D1139=Plano!$A$1,D1139=Plano!$B$1),"entrada","saída"))</f>
        <v>saída</v>
      </c>
      <c r="T1139" s="505" t="s">
        <v>114</v>
      </c>
      <c r="U1139" s="505" t="s">
        <v>114</v>
      </c>
      <c r="V1139" s="541"/>
    </row>
    <row r="1140" spans="1:22" ht="41.25" customHeight="1" x14ac:dyDescent="0.2">
      <c r="A1140" s="619">
        <f>IF(B1140="","",COUNT('Diário 5º PA'!$A$5:$A$2634)+COUNT('Diário 6º PA'!$A$5:$A$2246)+COUNT('Diário 7º PA'!$A$5:$A$2271)+ROW()-4)</f>
        <v>5086</v>
      </c>
      <c r="B1140" s="620">
        <v>44524</v>
      </c>
      <c r="C1140" s="624">
        <v>44501</v>
      </c>
      <c r="D1140" s="548" t="s">
        <v>99</v>
      </c>
      <c r="E1140" s="548" t="s">
        <v>272</v>
      </c>
      <c r="F1140" s="622">
        <v>10.45</v>
      </c>
      <c r="G1140" s="623" t="s">
        <v>6355</v>
      </c>
      <c r="H1140" s="548" t="s">
        <v>128</v>
      </c>
      <c r="I1140" s="583" t="s">
        <v>949</v>
      </c>
      <c r="J1140" s="548" t="s">
        <v>950</v>
      </c>
      <c r="K1140" s="583" t="s">
        <v>951</v>
      </c>
      <c r="L1140" s="583" t="s">
        <v>947</v>
      </c>
      <c r="M1140" s="625" t="s">
        <v>114</v>
      </c>
      <c r="N1140" s="620">
        <v>44524</v>
      </c>
      <c r="O1140" s="684" t="s">
        <v>67</v>
      </c>
      <c r="P1140" s="503">
        <f t="shared" si="62"/>
        <v>11</v>
      </c>
      <c r="Q1140" s="503">
        <f t="shared" si="63"/>
        <v>11</v>
      </c>
      <c r="R1140" s="504" t="str">
        <f t="shared" si="64"/>
        <v>Gastos_Gerais</v>
      </c>
      <c r="S1140" s="504" t="str">
        <f>IF(D1140="","",IF(OR(D1140=Plano!$A$1,D1140=Plano!$B$1),"entrada","saída"))</f>
        <v>saída</v>
      </c>
      <c r="T1140" s="511" t="s">
        <v>114</v>
      </c>
      <c r="U1140" s="511" t="s">
        <v>114</v>
      </c>
      <c r="V1140" s="541"/>
    </row>
    <row r="1141" spans="1:22" s="558" customFormat="1" ht="93.75" customHeight="1" x14ac:dyDescent="0.2">
      <c r="A1141" s="619">
        <f>IF(B1141="","",COUNT('Diário 5º PA'!$A$5:$A$2634)+COUNT('Diário 6º PA'!$A$5:$A$2246)+COUNT('Diário 7º PA'!$A$5:$A$2271)+ROW()-4)</f>
        <v>5087</v>
      </c>
      <c r="B1141" s="620">
        <v>44524</v>
      </c>
      <c r="C1141" s="645">
        <v>44409</v>
      </c>
      <c r="D1141" s="646" t="s">
        <v>104</v>
      </c>
      <c r="E1141" s="646" t="s">
        <v>104</v>
      </c>
      <c r="F1141" s="647">
        <v>1552.95</v>
      </c>
      <c r="G1141" s="648" t="s">
        <v>5417</v>
      </c>
      <c r="H1141" s="646" t="s">
        <v>104</v>
      </c>
      <c r="I1141" s="627" t="s">
        <v>7066</v>
      </c>
      <c r="J1141" s="646" t="s">
        <v>5419</v>
      </c>
      <c r="K1141" s="583" t="s">
        <v>991</v>
      </c>
      <c r="L1141" s="583" t="s">
        <v>992</v>
      </c>
      <c r="M1141" s="619" t="s">
        <v>7067</v>
      </c>
      <c r="N1141" s="620">
        <v>44516</v>
      </c>
      <c r="O1141" s="684" t="s">
        <v>5377</v>
      </c>
      <c r="P1141" s="503">
        <f t="shared" si="62"/>
        <v>11</v>
      </c>
      <c r="Q1141" s="503">
        <f t="shared" si="63"/>
        <v>8</v>
      </c>
      <c r="R1141" s="504" t="str">
        <f t="shared" si="64"/>
        <v>Gastos_custeados_por_captação</v>
      </c>
      <c r="S1141" s="504" t="str">
        <f>IF(D1141="","",IF(OR(D1141=Plano!$A$1,D1141=Plano!$B$1),"entrada","saída"))</f>
        <v>saída</v>
      </c>
      <c r="T1141" s="511" t="s">
        <v>1059</v>
      </c>
      <c r="U1141" s="511">
        <v>1799</v>
      </c>
      <c r="V1141" s="541"/>
    </row>
    <row r="1142" spans="1:22" s="558" customFormat="1" ht="61.5" customHeight="1" x14ac:dyDescent="0.2">
      <c r="A1142" s="619">
        <f>IF(B1142="","",COUNT('Diário 5º PA'!$A$5:$A$2634)+COUNT('Diário 6º PA'!$A$5:$A$2246)+COUNT('Diário 7º PA'!$A$5:$A$2271)+ROW()-4)</f>
        <v>5088</v>
      </c>
      <c r="B1142" s="620">
        <v>44524</v>
      </c>
      <c r="C1142" s="624">
        <v>44378</v>
      </c>
      <c r="D1142" s="646" t="s">
        <v>104</v>
      </c>
      <c r="E1142" s="646" t="s">
        <v>104</v>
      </c>
      <c r="F1142" s="622">
        <v>8841.64</v>
      </c>
      <c r="G1142" s="623" t="s">
        <v>7068</v>
      </c>
      <c r="H1142" s="646" t="s">
        <v>104</v>
      </c>
      <c r="I1142" s="583" t="s">
        <v>1996</v>
      </c>
      <c r="J1142" s="548" t="s">
        <v>1997</v>
      </c>
      <c r="K1142" s="583" t="s">
        <v>991</v>
      </c>
      <c r="L1142" s="583" t="s">
        <v>992</v>
      </c>
      <c r="M1142" s="619" t="s">
        <v>4003</v>
      </c>
      <c r="N1142" s="620">
        <v>44530</v>
      </c>
      <c r="O1142" s="684" t="s">
        <v>5377</v>
      </c>
      <c r="P1142" s="503">
        <f t="shared" si="62"/>
        <v>11</v>
      </c>
      <c r="Q1142" s="503">
        <f t="shared" si="63"/>
        <v>7</v>
      </c>
      <c r="R1142" s="504" t="str">
        <f t="shared" si="64"/>
        <v>Gastos_custeados_por_captação</v>
      </c>
      <c r="S1142" s="504" t="str">
        <f>IF(D1142="","",IF(OR(D1142=Plano!$A$1,D1142=Plano!$B$1),"entrada","saída"))</f>
        <v>saída</v>
      </c>
      <c r="T1142" s="511" t="s">
        <v>1059</v>
      </c>
      <c r="U1142" s="511">
        <v>1717</v>
      </c>
      <c r="V1142" s="541"/>
    </row>
    <row r="1143" spans="1:22" s="558" customFormat="1" ht="60" customHeight="1" x14ac:dyDescent="0.2">
      <c r="A1143" s="619">
        <f>IF(B1143="","",COUNT('Diário 5º PA'!$A$5:$A$2634)+COUNT('Diário 6º PA'!$A$5:$A$2246)+COUNT('Diário 7º PA'!$A$5:$A$2271)+ROW()-4)</f>
        <v>5089</v>
      </c>
      <c r="B1143" s="620">
        <v>44524</v>
      </c>
      <c r="C1143" s="624">
        <v>44470</v>
      </c>
      <c r="D1143" s="646" t="s">
        <v>104</v>
      </c>
      <c r="E1143" s="646" t="s">
        <v>104</v>
      </c>
      <c r="F1143" s="622">
        <v>2344</v>
      </c>
      <c r="G1143" s="623" t="s">
        <v>7070</v>
      </c>
      <c r="H1143" s="646" t="s">
        <v>104</v>
      </c>
      <c r="I1143" s="583" t="s">
        <v>7069</v>
      </c>
      <c r="J1143" s="548" t="s">
        <v>3888</v>
      </c>
      <c r="K1143" s="583" t="s">
        <v>991</v>
      </c>
      <c r="L1143" s="583" t="s">
        <v>992</v>
      </c>
      <c r="M1143" s="625">
        <v>292919</v>
      </c>
      <c r="N1143" s="620">
        <v>44490</v>
      </c>
      <c r="O1143" s="684" t="s">
        <v>5377</v>
      </c>
      <c r="P1143" s="503">
        <f t="shared" si="62"/>
        <v>11</v>
      </c>
      <c r="Q1143" s="503">
        <f t="shared" si="63"/>
        <v>10</v>
      </c>
      <c r="R1143" s="504" t="str">
        <f t="shared" si="64"/>
        <v>Gastos_custeados_por_captação</v>
      </c>
      <c r="S1143" s="504" t="str">
        <f>IF(D1143="","",IF(OR(D1143=Plano!$A$1,D1143=Plano!$B$1),"entrada","saída"))</f>
        <v>saída</v>
      </c>
      <c r="T1143" s="511" t="s">
        <v>1011</v>
      </c>
      <c r="U1143" s="511">
        <v>2296</v>
      </c>
      <c r="V1143" s="541"/>
    </row>
    <row r="1144" spans="1:22" s="558" customFormat="1" ht="50.25" customHeight="1" x14ac:dyDescent="0.2">
      <c r="A1144" s="619">
        <f>IF(B1144="","",COUNT('Diário 5º PA'!$A$5:$A$2634)+COUNT('Diário 6º PA'!$A$5:$A$2246)+COUNT('Diário 7º PA'!$A$5:$A$2271)+ROW()-4)</f>
        <v>5090</v>
      </c>
      <c r="B1144" s="620">
        <v>44524</v>
      </c>
      <c r="C1144" s="624">
        <v>44501</v>
      </c>
      <c r="D1144" s="548" t="s">
        <v>104</v>
      </c>
      <c r="E1144" s="548" t="s">
        <v>104</v>
      </c>
      <c r="F1144" s="622">
        <v>10.45</v>
      </c>
      <c r="G1144" s="623" t="s">
        <v>5451</v>
      </c>
      <c r="H1144" s="548" t="s">
        <v>104</v>
      </c>
      <c r="I1144" s="583" t="s">
        <v>949</v>
      </c>
      <c r="J1144" s="548" t="s">
        <v>950</v>
      </c>
      <c r="K1144" s="583" t="s">
        <v>951</v>
      </c>
      <c r="L1144" s="583" t="s">
        <v>947</v>
      </c>
      <c r="M1144" s="625" t="s">
        <v>114</v>
      </c>
      <c r="N1144" s="620">
        <v>44524</v>
      </c>
      <c r="O1144" s="684" t="s">
        <v>5377</v>
      </c>
      <c r="P1144" s="503">
        <f t="shared" si="62"/>
        <v>11</v>
      </c>
      <c r="Q1144" s="503">
        <f t="shared" si="63"/>
        <v>11</v>
      </c>
      <c r="R1144" s="504" t="str">
        <f t="shared" si="64"/>
        <v>Gastos_custeados_por_captação</v>
      </c>
      <c r="S1144" s="504" t="str">
        <f>IF(D1144="","",IF(OR(D1144=Plano!$A$1,D1144=Plano!$B$1),"entrada","saída"))</f>
        <v>saída</v>
      </c>
      <c r="T1144" s="511" t="s">
        <v>114</v>
      </c>
      <c r="U1144" s="511" t="s">
        <v>114</v>
      </c>
      <c r="V1144" s="541"/>
    </row>
    <row r="1145" spans="1:22" s="558" customFormat="1" ht="53.25" customHeight="1" x14ac:dyDescent="0.2">
      <c r="A1145" s="619">
        <f>IF(B1145="","",COUNT('Diário 5º PA'!$A$5:$A$2634)+COUNT('Diário 6º PA'!$A$5:$A$2246)+COUNT('Diário 7º PA'!$A$5:$A$2271)+ROW()-4)</f>
        <v>5091</v>
      </c>
      <c r="B1145" s="620">
        <v>44524</v>
      </c>
      <c r="C1145" s="624">
        <v>44501</v>
      </c>
      <c r="D1145" s="548" t="s">
        <v>104</v>
      </c>
      <c r="E1145" s="548" t="s">
        <v>104</v>
      </c>
      <c r="F1145" s="622">
        <v>10.45</v>
      </c>
      <c r="G1145" s="623" t="s">
        <v>5451</v>
      </c>
      <c r="H1145" s="548" t="s">
        <v>104</v>
      </c>
      <c r="I1145" s="583" t="s">
        <v>949</v>
      </c>
      <c r="J1145" s="548" t="s">
        <v>950</v>
      </c>
      <c r="K1145" s="583" t="s">
        <v>951</v>
      </c>
      <c r="L1145" s="583" t="s">
        <v>947</v>
      </c>
      <c r="M1145" s="625" t="s">
        <v>114</v>
      </c>
      <c r="N1145" s="620">
        <v>44524</v>
      </c>
      <c r="O1145" s="684" t="s">
        <v>5377</v>
      </c>
      <c r="P1145" s="503">
        <f t="shared" si="62"/>
        <v>11</v>
      </c>
      <c r="Q1145" s="503">
        <f t="shared" si="63"/>
        <v>11</v>
      </c>
      <c r="R1145" s="504" t="str">
        <f t="shared" si="64"/>
        <v>Gastos_custeados_por_captação</v>
      </c>
      <c r="S1145" s="504" t="str">
        <f>IF(D1145="","",IF(OR(D1145=Plano!$A$1,D1145=Plano!$B$1),"entrada","saída"))</f>
        <v>saída</v>
      </c>
      <c r="T1145" s="511" t="s">
        <v>114</v>
      </c>
      <c r="U1145" s="511" t="s">
        <v>114</v>
      </c>
      <c r="V1145" s="541"/>
    </row>
    <row r="1146" spans="1:22" s="562" customFormat="1" ht="53.25" customHeight="1" x14ac:dyDescent="0.2">
      <c r="A1146" s="619">
        <f>IF(B1146="","",COUNT('Diário 5º PA'!$A$5:$A$2634)+COUNT('Diário 6º PA'!$A$5:$A$2246)+COUNT('Diário 7º PA'!$A$5:$A$2271)+ROW()-4)</f>
        <v>5092</v>
      </c>
      <c r="B1146" s="620">
        <v>44524</v>
      </c>
      <c r="C1146" s="621">
        <v>44501</v>
      </c>
      <c r="D1146" s="637" t="s">
        <v>104</v>
      </c>
      <c r="E1146" s="637" t="s">
        <v>104</v>
      </c>
      <c r="F1146" s="655">
        <v>9.69</v>
      </c>
      <c r="G1146" s="648" t="s">
        <v>7118</v>
      </c>
      <c r="H1146" s="637" t="s">
        <v>104</v>
      </c>
      <c r="I1146" s="627" t="s">
        <v>7116</v>
      </c>
      <c r="J1146" s="548" t="s">
        <v>950</v>
      </c>
      <c r="K1146" s="583" t="s">
        <v>951</v>
      </c>
      <c r="L1146" s="583" t="s">
        <v>947</v>
      </c>
      <c r="M1146" s="625" t="s">
        <v>114</v>
      </c>
      <c r="N1146" s="656">
        <v>44524</v>
      </c>
      <c r="O1146" s="684" t="s">
        <v>70</v>
      </c>
      <c r="P1146" s="503">
        <f t="shared" si="62"/>
        <v>11</v>
      </c>
      <c r="Q1146" s="503">
        <f t="shared" si="63"/>
        <v>11</v>
      </c>
      <c r="R1146" s="504" t="str">
        <f t="shared" si="64"/>
        <v>Gastos_custeados_por_captação</v>
      </c>
      <c r="S1146" s="504" t="str">
        <f>IF(D1146="","",IF(OR(D1146=Plano!$A$1,D1146=Plano!$B$1),"entrada","saída"))</f>
        <v>saída</v>
      </c>
      <c r="T1146" s="511" t="s">
        <v>114</v>
      </c>
      <c r="U1146" s="511" t="s">
        <v>114</v>
      </c>
      <c r="V1146" s="541"/>
    </row>
    <row r="1147" spans="1:22" s="562" customFormat="1" ht="53.25" customHeight="1" x14ac:dyDescent="0.2">
      <c r="A1147" s="619">
        <f>IF(B1147="","",COUNT('Diário 5º PA'!$A$5:$A$2634)+COUNT('Diário 6º PA'!$A$5:$A$2246)+COUNT('Diário 7º PA'!$A$5:$A$2271)+ROW()-4)</f>
        <v>5093</v>
      </c>
      <c r="B1147" s="620">
        <v>44524</v>
      </c>
      <c r="C1147" s="621">
        <v>44501</v>
      </c>
      <c r="D1147" s="637" t="s">
        <v>104</v>
      </c>
      <c r="E1147" s="637" t="s">
        <v>104</v>
      </c>
      <c r="F1147" s="655">
        <v>2550</v>
      </c>
      <c r="G1147" s="648" t="s">
        <v>7119</v>
      </c>
      <c r="H1147" s="637" t="s">
        <v>104</v>
      </c>
      <c r="I1147" s="627" t="s">
        <v>7117</v>
      </c>
      <c r="J1147" s="622" t="s">
        <v>114</v>
      </c>
      <c r="K1147" s="583" t="s">
        <v>4366</v>
      </c>
      <c r="L1147" s="635" t="s">
        <v>1177</v>
      </c>
      <c r="M1147" s="620" t="s">
        <v>114</v>
      </c>
      <c r="N1147" s="656">
        <v>44519</v>
      </c>
      <c r="O1147" s="684" t="s">
        <v>70</v>
      </c>
      <c r="P1147" s="503">
        <f t="shared" si="62"/>
        <v>11</v>
      </c>
      <c r="Q1147" s="503">
        <f t="shared" si="63"/>
        <v>11</v>
      </c>
      <c r="R1147" s="504" t="str">
        <f t="shared" si="64"/>
        <v>Gastos_custeados_por_captação</v>
      </c>
      <c r="S1147" s="504" t="str">
        <f>IF(D1147="","",IF(OR(D1147=Plano!$A$1,D1147=Plano!$B$1),"entrada","saída"))</f>
        <v>saída</v>
      </c>
      <c r="T1147" s="511" t="s">
        <v>994</v>
      </c>
      <c r="U1147" s="511">
        <v>1964</v>
      </c>
      <c r="V1147" s="541"/>
    </row>
    <row r="1148" spans="1:22" s="562" customFormat="1" ht="53.25" customHeight="1" x14ac:dyDescent="0.2">
      <c r="A1148" s="619">
        <f>IF(B1148="","",COUNT('Diário 5º PA'!$A$5:$A$2634)+COUNT('Diário 6º PA'!$A$5:$A$2246)+COUNT('Diário 7º PA'!$A$5:$A$2271)+ROW()-4)</f>
        <v>5094</v>
      </c>
      <c r="B1148" s="620">
        <v>44524</v>
      </c>
      <c r="C1148" s="621">
        <v>44501</v>
      </c>
      <c r="D1148" s="637" t="s">
        <v>104</v>
      </c>
      <c r="E1148" s="637" t="s">
        <v>104</v>
      </c>
      <c r="F1148" s="655">
        <v>451.12</v>
      </c>
      <c r="G1148" s="648" t="s">
        <v>7120</v>
      </c>
      <c r="H1148" s="637" t="s">
        <v>104</v>
      </c>
      <c r="I1148" s="627" t="s">
        <v>488</v>
      </c>
      <c r="J1148" s="622" t="s">
        <v>114</v>
      </c>
      <c r="K1148" s="583" t="s">
        <v>466</v>
      </c>
      <c r="L1148" s="635" t="s">
        <v>489</v>
      </c>
      <c r="M1148" s="620" t="s">
        <v>114</v>
      </c>
      <c r="N1148" s="644">
        <v>44525</v>
      </c>
      <c r="O1148" s="684" t="s">
        <v>70</v>
      </c>
      <c r="P1148" s="503">
        <f t="shared" si="62"/>
        <v>11</v>
      </c>
      <c r="Q1148" s="503">
        <f t="shared" si="63"/>
        <v>11</v>
      </c>
      <c r="R1148" s="504" t="str">
        <f t="shared" si="64"/>
        <v>Gastos_custeados_por_captação</v>
      </c>
      <c r="S1148" s="504" t="str">
        <f>IF(D1148="","",IF(OR(D1148=Plano!$A$1,D1148=Plano!$B$1),"entrada","saída"))</f>
        <v>saída</v>
      </c>
      <c r="T1148" s="511" t="s">
        <v>114</v>
      </c>
      <c r="U1148" s="511" t="s">
        <v>114</v>
      </c>
      <c r="V1148" s="541"/>
    </row>
    <row r="1149" spans="1:22" s="562" customFormat="1" ht="53.25" customHeight="1" x14ac:dyDescent="0.2">
      <c r="A1149" s="619">
        <f>IF(B1149="","",COUNT('Diário 5º PA'!$A$5:$A$2634)+COUNT('Diário 6º PA'!$A$5:$A$2246)+COUNT('Diário 7º PA'!$A$5:$A$2271)+ROW()-4)</f>
        <v>5095</v>
      </c>
      <c r="B1149" s="620">
        <v>44524</v>
      </c>
      <c r="C1149" s="621">
        <v>44501</v>
      </c>
      <c r="D1149" s="637" t="s">
        <v>104</v>
      </c>
      <c r="E1149" s="637" t="s">
        <v>104</v>
      </c>
      <c r="F1149" s="655">
        <v>263.8</v>
      </c>
      <c r="G1149" s="648" t="s">
        <v>7121</v>
      </c>
      <c r="H1149" s="637" t="s">
        <v>104</v>
      </c>
      <c r="I1149" s="627" t="s">
        <v>488</v>
      </c>
      <c r="J1149" s="622" t="s">
        <v>114</v>
      </c>
      <c r="K1149" s="583" t="s">
        <v>466</v>
      </c>
      <c r="L1149" s="635" t="s">
        <v>489</v>
      </c>
      <c r="M1149" s="620" t="s">
        <v>114</v>
      </c>
      <c r="N1149" s="644">
        <v>44525</v>
      </c>
      <c r="O1149" s="684" t="s">
        <v>70</v>
      </c>
      <c r="P1149" s="503">
        <f t="shared" si="62"/>
        <v>11</v>
      </c>
      <c r="Q1149" s="503">
        <f t="shared" si="63"/>
        <v>11</v>
      </c>
      <c r="R1149" s="504" t="str">
        <f t="shared" si="64"/>
        <v>Gastos_custeados_por_captação</v>
      </c>
      <c r="S1149" s="504" t="str">
        <f>IF(D1149="","",IF(OR(D1149=Plano!$A$1,D1149=Plano!$B$1),"entrada","saída"))</f>
        <v>saída</v>
      </c>
      <c r="T1149" s="511" t="s">
        <v>114</v>
      </c>
      <c r="U1149" s="511" t="s">
        <v>114</v>
      </c>
      <c r="V1149" s="541"/>
    </row>
    <row r="1150" spans="1:22" s="562" customFormat="1" ht="53.25" customHeight="1" x14ac:dyDescent="0.2">
      <c r="A1150" s="619">
        <f>IF(B1150="","",COUNT('Diário 5º PA'!$A$5:$A$2634)+COUNT('Diário 6º PA'!$A$5:$A$2246)+COUNT('Diário 7º PA'!$A$5:$A$2271)+ROW()-4)</f>
        <v>5096</v>
      </c>
      <c r="B1150" s="620">
        <v>44524</v>
      </c>
      <c r="C1150" s="621">
        <v>44501</v>
      </c>
      <c r="D1150" s="637" t="s">
        <v>104</v>
      </c>
      <c r="E1150" s="637" t="s">
        <v>104</v>
      </c>
      <c r="F1150" s="655">
        <v>57.27</v>
      </c>
      <c r="G1150" s="648" t="s">
        <v>7122</v>
      </c>
      <c r="H1150" s="637" t="s">
        <v>104</v>
      </c>
      <c r="I1150" s="627" t="s">
        <v>488</v>
      </c>
      <c r="J1150" s="622" t="s">
        <v>114</v>
      </c>
      <c r="K1150" s="583" t="s">
        <v>466</v>
      </c>
      <c r="L1150" s="635" t="s">
        <v>489</v>
      </c>
      <c r="M1150" s="620" t="s">
        <v>114</v>
      </c>
      <c r="N1150" s="644">
        <v>44525</v>
      </c>
      <c r="O1150" s="684" t="s">
        <v>70</v>
      </c>
      <c r="P1150" s="503">
        <f t="shared" si="62"/>
        <v>11</v>
      </c>
      <c r="Q1150" s="503">
        <f t="shared" si="63"/>
        <v>11</v>
      </c>
      <c r="R1150" s="504" t="str">
        <f t="shared" si="64"/>
        <v>Gastos_custeados_por_captação</v>
      </c>
      <c r="S1150" s="504" t="str">
        <f>IF(D1150="","",IF(OR(D1150=Plano!$A$1,D1150=Plano!$B$1),"entrada","saída"))</f>
        <v>saída</v>
      </c>
      <c r="T1150" s="511" t="s">
        <v>114</v>
      </c>
      <c r="U1150" s="511" t="s">
        <v>114</v>
      </c>
      <c r="V1150" s="541"/>
    </row>
    <row r="1151" spans="1:22" ht="51" customHeight="1" x14ac:dyDescent="0.2">
      <c r="A1151" s="619">
        <f>IF(B1151="","",COUNT('Diário 5º PA'!$A$5:$A$2634)+COUNT('Diário 6º PA'!$A$5:$A$2246)+COUNT('Diário 7º PA'!$A$5:$A$2271)+ROW()-4)</f>
        <v>5097</v>
      </c>
      <c r="B1151" s="620">
        <v>44525</v>
      </c>
      <c r="C1151" s="624">
        <v>44501</v>
      </c>
      <c r="D1151" s="548" t="s">
        <v>99</v>
      </c>
      <c r="E1151" s="548" t="s">
        <v>218</v>
      </c>
      <c r="F1151" s="622">
        <v>-0.63</v>
      </c>
      <c r="G1151" s="623" t="s">
        <v>6369</v>
      </c>
      <c r="H1151" s="548" t="s">
        <v>129</v>
      </c>
      <c r="I1151" s="583" t="s">
        <v>983</v>
      </c>
      <c r="J1151" s="548" t="s">
        <v>850</v>
      </c>
      <c r="K1151" s="583" t="s">
        <v>946</v>
      </c>
      <c r="L1151" s="583" t="s">
        <v>947</v>
      </c>
      <c r="M1151" s="619" t="s">
        <v>114</v>
      </c>
      <c r="N1151" s="620">
        <v>44525</v>
      </c>
      <c r="O1151" s="684" t="s">
        <v>67</v>
      </c>
      <c r="P1151" s="503">
        <f t="shared" si="62"/>
        <v>11</v>
      </c>
      <c r="Q1151" s="503">
        <f t="shared" si="63"/>
        <v>11</v>
      </c>
      <c r="R1151" s="504" t="str">
        <f t="shared" si="64"/>
        <v>Gastos_Gerais</v>
      </c>
      <c r="S1151" s="504" t="str">
        <f>IF(D1151="","",IF(OR(D1151=Plano!$A$1,D1151=Plano!$B$1),"entrada","saída"))</f>
        <v>saída</v>
      </c>
      <c r="T1151" s="505" t="s">
        <v>114</v>
      </c>
      <c r="U1151" s="505" t="s">
        <v>114</v>
      </c>
      <c r="V1151" s="541"/>
    </row>
    <row r="1152" spans="1:22" ht="71.25" customHeight="1" x14ac:dyDescent="0.2">
      <c r="A1152" s="619">
        <f>IF(B1152="","",COUNT('Diário 5º PA'!$A$5:$A$2634)+COUNT('Diário 6º PA'!$A$5:$A$2246)+COUNT('Diário 7º PA'!$A$5:$A$2271)+ROW()-4)</f>
        <v>5098</v>
      </c>
      <c r="B1152" s="620">
        <v>44525</v>
      </c>
      <c r="C1152" s="624">
        <v>44470</v>
      </c>
      <c r="D1152" s="548" t="s">
        <v>99</v>
      </c>
      <c r="E1152" s="548" t="s">
        <v>254</v>
      </c>
      <c r="F1152" s="622">
        <v>-114.88</v>
      </c>
      <c r="G1152" s="623" t="s">
        <v>6370</v>
      </c>
      <c r="H1152" s="548" t="s">
        <v>115</v>
      </c>
      <c r="I1152" s="583" t="s">
        <v>983</v>
      </c>
      <c r="J1152" s="548" t="s">
        <v>850</v>
      </c>
      <c r="K1152" s="583" t="s">
        <v>1069</v>
      </c>
      <c r="L1152" s="583" t="s">
        <v>947</v>
      </c>
      <c r="M1152" s="619" t="s">
        <v>114</v>
      </c>
      <c r="N1152" s="620">
        <v>44525</v>
      </c>
      <c r="O1152" s="684" t="s">
        <v>67</v>
      </c>
      <c r="P1152" s="503">
        <f t="shared" ref="P1152:P1215" si="65">IF(B1152=0,0,IF(YEAR(B1152)=$Q$1,MONTH(B1152)-$P$1+1,(YEAR(B1152)-$Q$1)*12-$P$1+1+MONTH(B1152)))</f>
        <v>11</v>
      </c>
      <c r="Q1152" s="503">
        <f t="shared" ref="Q1152:Q1215" si="66">IF(C1152=0,0,IF(YEAR(C1152)=$Q$1,MONTH(C1152)-$P$1+1,(YEAR(C1152)-$Q$1)*12-$P$1+1+MONTH(C1152)))</f>
        <v>10</v>
      </c>
      <c r="R1152" s="504" t="str">
        <f t="shared" ref="R1152:R1215" si="67">SUBSTITUTE(D1152," ","_")</f>
        <v>Gastos_Gerais</v>
      </c>
      <c r="S1152" s="504" t="str">
        <f>IF(D1152="","",IF(OR(D1152=Plano!$A$1,D1152=Plano!$B$1),"entrada","saída"))</f>
        <v>saída</v>
      </c>
      <c r="T1152" s="511" t="s">
        <v>114</v>
      </c>
      <c r="U1152" s="511" t="s">
        <v>114</v>
      </c>
      <c r="V1152" s="541"/>
    </row>
    <row r="1153" spans="1:22" ht="71.25" customHeight="1" x14ac:dyDescent="0.2">
      <c r="A1153" s="619">
        <f>IF(B1153="","",COUNT('Diário 5º PA'!$A$5:$A$2634)+COUNT('Diário 6º PA'!$A$5:$A$2246)+COUNT('Diário 7º PA'!$A$5:$A$2271)+ROW()-4)</f>
        <v>5099</v>
      </c>
      <c r="B1153" s="620">
        <v>44525</v>
      </c>
      <c r="C1153" s="624">
        <v>44470</v>
      </c>
      <c r="D1153" s="548" t="s">
        <v>99</v>
      </c>
      <c r="E1153" s="548" t="s">
        <v>222</v>
      </c>
      <c r="F1153" s="622">
        <v>-204.25</v>
      </c>
      <c r="G1153" s="623" t="s">
        <v>6371</v>
      </c>
      <c r="H1153" s="548" t="s">
        <v>115</v>
      </c>
      <c r="I1153" s="583" t="s">
        <v>983</v>
      </c>
      <c r="J1153" s="548" t="s">
        <v>850</v>
      </c>
      <c r="K1153" s="583" t="s">
        <v>1069</v>
      </c>
      <c r="L1153" s="583" t="s">
        <v>947</v>
      </c>
      <c r="M1153" s="619" t="s">
        <v>114</v>
      </c>
      <c r="N1153" s="620">
        <v>44525</v>
      </c>
      <c r="O1153" s="684" t="s">
        <v>67</v>
      </c>
      <c r="P1153" s="503">
        <f t="shared" si="65"/>
        <v>11</v>
      </c>
      <c r="Q1153" s="503">
        <f t="shared" si="66"/>
        <v>10</v>
      </c>
      <c r="R1153" s="504" t="str">
        <f t="shared" si="67"/>
        <v>Gastos_Gerais</v>
      </c>
      <c r="S1153" s="504" t="str">
        <f>IF(D1153="","",IF(OR(D1153=Plano!$A$1,D1153=Plano!$B$1),"entrada","saída"))</f>
        <v>saída</v>
      </c>
      <c r="T1153" s="546" t="s">
        <v>114</v>
      </c>
      <c r="U1153" s="546" t="s">
        <v>114</v>
      </c>
      <c r="V1153" s="541"/>
    </row>
    <row r="1154" spans="1:22" ht="57.75" customHeight="1" x14ac:dyDescent="0.2">
      <c r="A1154" s="619">
        <f>IF(B1154="","",COUNT('Diário 5º PA'!$A$5:$A$2634)+COUNT('Diário 6º PA'!$A$5:$A$2246)+COUNT('Diário 7º PA'!$A$5:$A$2271)+ROW()-4)</f>
        <v>5100</v>
      </c>
      <c r="B1154" s="620">
        <v>44525</v>
      </c>
      <c r="C1154" s="624">
        <v>44470</v>
      </c>
      <c r="D1154" s="548" t="s">
        <v>57</v>
      </c>
      <c r="E1154" s="548" t="s">
        <v>57</v>
      </c>
      <c r="F1154" s="622">
        <v>5851.24</v>
      </c>
      <c r="G1154" s="623" t="s">
        <v>6372</v>
      </c>
      <c r="H1154" s="548" t="s">
        <v>114</v>
      </c>
      <c r="I1154" s="583" t="s">
        <v>945</v>
      </c>
      <c r="J1154" s="548" t="s">
        <v>850</v>
      </c>
      <c r="K1154" s="583" t="s">
        <v>946</v>
      </c>
      <c r="L1154" s="583" t="s">
        <v>947</v>
      </c>
      <c r="M1154" s="619" t="s">
        <v>114</v>
      </c>
      <c r="N1154" s="620">
        <v>44525</v>
      </c>
      <c r="O1154" s="684" t="s">
        <v>67</v>
      </c>
      <c r="P1154" s="503">
        <f t="shared" si="65"/>
        <v>11</v>
      </c>
      <c r="Q1154" s="503">
        <f t="shared" si="66"/>
        <v>10</v>
      </c>
      <c r="R1154" s="504" t="str">
        <f t="shared" si="67"/>
        <v>Transferência_para_Reserva_de_Recursos</v>
      </c>
      <c r="S1154" s="504" t="str">
        <f>IF(D1154="","",IF(OR(D1154=Plano!$A$1,D1154=Plano!$B$1),"entrada","saída"))</f>
        <v>saída</v>
      </c>
      <c r="T1154" s="511" t="s">
        <v>114</v>
      </c>
      <c r="U1154" s="511" t="s">
        <v>114</v>
      </c>
      <c r="V1154" s="541"/>
    </row>
    <row r="1155" spans="1:22" ht="65.25" customHeight="1" x14ac:dyDescent="0.2">
      <c r="A1155" s="619">
        <f>IF(B1155="","",COUNT('Diário 5º PA'!$A$5:$A$2634)+COUNT('Diário 6º PA'!$A$5:$A$2246)+COUNT('Diário 7º PA'!$A$5:$A$2271)+ROW()-4)</f>
        <v>5101</v>
      </c>
      <c r="B1155" s="620">
        <v>44525</v>
      </c>
      <c r="C1155" s="624">
        <v>44501</v>
      </c>
      <c r="D1155" s="548" t="s">
        <v>99</v>
      </c>
      <c r="E1155" s="548" t="s">
        <v>358</v>
      </c>
      <c r="F1155" s="622">
        <v>430</v>
      </c>
      <c r="G1155" s="623" t="s">
        <v>6145</v>
      </c>
      <c r="H1155" s="548" t="s">
        <v>128</v>
      </c>
      <c r="I1155" s="583" t="s">
        <v>6373</v>
      </c>
      <c r="J1155" s="548" t="s">
        <v>6146</v>
      </c>
      <c r="K1155" s="583" t="s">
        <v>1015</v>
      </c>
      <c r="L1155" s="583" t="s">
        <v>1901</v>
      </c>
      <c r="M1155" s="619">
        <v>1453</v>
      </c>
      <c r="N1155" s="620">
        <v>44523</v>
      </c>
      <c r="O1155" s="684" t="s">
        <v>67</v>
      </c>
      <c r="P1155" s="503">
        <f t="shared" si="65"/>
        <v>11</v>
      </c>
      <c r="Q1155" s="503">
        <f t="shared" si="66"/>
        <v>11</v>
      </c>
      <c r="R1155" s="504" t="str">
        <f t="shared" si="67"/>
        <v>Gastos_Gerais</v>
      </c>
      <c r="S1155" s="504" t="str">
        <f>IF(D1155="","",IF(OR(D1155=Plano!$A$1,D1155=Plano!$B$1),"entrada","saída"))</f>
        <v>saída</v>
      </c>
      <c r="T1155" s="505" t="s">
        <v>994</v>
      </c>
      <c r="U1155" s="505">
        <v>2363</v>
      </c>
      <c r="V1155" s="541"/>
    </row>
    <row r="1156" spans="1:22" ht="74.25" customHeight="1" x14ac:dyDescent="0.2">
      <c r="A1156" s="619">
        <f>IF(B1156="","",COUNT('Diário 5º PA'!$A$5:$A$2634)+COUNT('Diário 6º PA'!$A$5:$A$2246)+COUNT('Diário 7º PA'!$A$5:$A$2271)+ROW()-4)</f>
        <v>5102</v>
      </c>
      <c r="B1156" s="620">
        <v>44525</v>
      </c>
      <c r="C1156" s="624">
        <v>44501</v>
      </c>
      <c r="D1156" s="548" t="s">
        <v>99</v>
      </c>
      <c r="E1156" s="548" t="s">
        <v>358</v>
      </c>
      <c r="F1156" s="622">
        <v>1032</v>
      </c>
      <c r="G1156" s="623" t="s">
        <v>6121</v>
      </c>
      <c r="H1156" s="548" t="s">
        <v>128</v>
      </c>
      <c r="I1156" s="583" t="s">
        <v>6376</v>
      </c>
      <c r="J1156" s="548" t="s">
        <v>6122</v>
      </c>
      <c r="K1156" s="583" t="s">
        <v>1015</v>
      </c>
      <c r="L1156" s="583" t="s">
        <v>1901</v>
      </c>
      <c r="M1156" s="619">
        <v>1452</v>
      </c>
      <c r="N1156" s="620">
        <v>44523</v>
      </c>
      <c r="O1156" s="684" t="s">
        <v>67</v>
      </c>
      <c r="P1156" s="503">
        <f t="shared" si="65"/>
        <v>11</v>
      </c>
      <c r="Q1156" s="503">
        <f t="shared" si="66"/>
        <v>11</v>
      </c>
      <c r="R1156" s="504" t="str">
        <f t="shared" si="67"/>
        <v>Gastos_Gerais</v>
      </c>
      <c r="S1156" s="504" t="str">
        <f>IF(D1156="","",IF(OR(D1156=Plano!$A$1,D1156=Plano!$B$1),"entrada","saída"))</f>
        <v>saída</v>
      </c>
      <c r="T1156" s="505" t="s">
        <v>994</v>
      </c>
      <c r="U1156" s="505">
        <v>2355</v>
      </c>
      <c r="V1156" s="541"/>
    </row>
    <row r="1157" spans="1:22" ht="111.75" customHeight="1" x14ac:dyDescent="0.2">
      <c r="A1157" s="619">
        <f>IF(B1157="","",COUNT('Diário 5º PA'!$A$5:$A$2634)+COUNT('Diário 6º PA'!$A$5:$A$2246)+COUNT('Diário 7º PA'!$A$5:$A$2271)+ROW()-4)</f>
        <v>5103</v>
      </c>
      <c r="B1157" s="620">
        <v>44525</v>
      </c>
      <c r="C1157" s="624">
        <v>44501</v>
      </c>
      <c r="D1157" s="548" t="s">
        <v>99</v>
      </c>
      <c r="E1157" s="548" t="s">
        <v>364</v>
      </c>
      <c r="F1157" s="622">
        <v>3000</v>
      </c>
      <c r="G1157" s="623" t="s">
        <v>6011</v>
      </c>
      <c r="H1157" s="548" t="s">
        <v>116</v>
      </c>
      <c r="I1157" s="583" t="s">
        <v>6379</v>
      </c>
      <c r="J1157" s="548" t="s">
        <v>6012</v>
      </c>
      <c r="K1157" s="583" t="s">
        <v>1015</v>
      </c>
      <c r="L1157" s="583" t="s">
        <v>992</v>
      </c>
      <c r="M1157" s="619" t="s">
        <v>1061</v>
      </c>
      <c r="N1157" s="620">
        <v>44524</v>
      </c>
      <c r="O1157" s="684" t="s">
        <v>67</v>
      </c>
      <c r="P1157" s="503">
        <f t="shared" si="65"/>
        <v>11</v>
      </c>
      <c r="Q1157" s="503">
        <f t="shared" si="66"/>
        <v>11</v>
      </c>
      <c r="R1157" s="504" t="str">
        <f t="shared" si="67"/>
        <v>Gastos_Gerais</v>
      </c>
      <c r="S1157" s="504" t="str">
        <f>IF(D1157="","",IF(OR(D1157=Plano!$A$1,D1157=Plano!$B$1),"entrada","saída"))</f>
        <v>saída</v>
      </c>
      <c r="T1157" s="505" t="s">
        <v>994</v>
      </c>
      <c r="U1157" s="505">
        <v>2328</v>
      </c>
      <c r="V1157" s="541"/>
    </row>
    <row r="1158" spans="1:22" ht="72" customHeight="1" x14ac:dyDescent="0.2">
      <c r="A1158" s="619">
        <f>IF(B1158="","",COUNT('Diário 5º PA'!$A$5:$A$2634)+COUNT('Diário 6º PA'!$A$5:$A$2246)+COUNT('Diário 7º PA'!$A$5:$A$2271)+ROW()-4)</f>
        <v>5104</v>
      </c>
      <c r="B1158" s="620">
        <v>44525</v>
      </c>
      <c r="C1158" s="624">
        <v>44501</v>
      </c>
      <c r="D1158" s="548" t="s">
        <v>99</v>
      </c>
      <c r="E1158" s="548" t="s">
        <v>364</v>
      </c>
      <c r="F1158" s="622">
        <v>15.6</v>
      </c>
      <c r="G1158" s="623" t="s">
        <v>6349</v>
      </c>
      <c r="H1158" s="548" t="s">
        <v>116</v>
      </c>
      <c r="I1158" s="583" t="s">
        <v>6380</v>
      </c>
      <c r="J1158" s="548" t="s">
        <v>6350</v>
      </c>
      <c r="K1158" s="583" t="s">
        <v>991</v>
      </c>
      <c r="L1158" s="583" t="s">
        <v>992</v>
      </c>
      <c r="M1158" s="619">
        <v>23046</v>
      </c>
      <c r="N1158" s="620">
        <v>44525</v>
      </c>
      <c r="O1158" s="684" t="s">
        <v>67</v>
      </c>
      <c r="P1158" s="503">
        <f t="shared" si="65"/>
        <v>11</v>
      </c>
      <c r="Q1158" s="503">
        <f t="shared" si="66"/>
        <v>11</v>
      </c>
      <c r="R1158" s="504" t="str">
        <f t="shared" si="67"/>
        <v>Gastos_Gerais</v>
      </c>
      <c r="S1158" s="504" t="str">
        <f>IF(D1158="","",IF(OR(D1158=Plano!$A$1,D1158=Plano!$B$1),"entrada","saída"))</f>
        <v>saída</v>
      </c>
      <c r="T1158" s="505" t="s">
        <v>1011</v>
      </c>
      <c r="U1158" s="505">
        <v>2498</v>
      </c>
      <c r="V1158" s="541"/>
    </row>
    <row r="1159" spans="1:22" ht="42.75" customHeight="1" x14ac:dyDescent="0.2">
      <c r="A1159" s="619">
        <f>IF(B1159="","",COUNT('Diário 5º PA'!$A$5:$A$2634)+COUNT('Diário 6º PA'!$A$5:$A$2246)+COUNT('Diário 7º PA'!$A$5:$A$2271)+ROW()-4)</f>
        <v>5105</v>
      </c>
      <c r="B1159" s="620">
        <v>44525</v>
      </c>
      <c r="C1159" s="624">
        <v>44470</v>
      </c>
      <c r="D1159" s="548" t="s">
        <v>99</v>
      </c>
      <c r="E1159" s="548" t="s">
        <v>276</v>
      </c>
      <c r="F1159" s="622">
        <v>310.85000000000002</v>
      </c>
      <c r="G1159" s="623" t="s">
        <v>6381</v>
      </c>
      <c r="H1159" s="548" t="s">
        <v>114</v>
      </c>
      <c r="I1159" s="583" t="s">
        <v>488</v>
      </c>
      <c r="J1159" s="548" t="s">
        <v>114</v>
      </c>
      <c r="K1159" s="583" t="s">
        <v>466</v>
      </c>
      <c r="L1159" s="583" t="s">
        <v>489</v>
      </c>
      <c r="M1159" s="619" t="s">
        <v>114</v>
      </c>
      <c r="N1159" s="620">
        <v>44500</v>
      </c>
      <c r="O1159" s="684" t="s">
        <v>67</v>
      </c>
      <c r="P1159" s="503">
        <f t="shared" si="65"/>
        <v>11</v>
      </c>
      <c r="Q1159" s="503">
        <f t="shared" si="66"/>
        <v>10</v>
      </c>
      <c r="R1159" s="504" t="str">
        <f t="shared" si="67"/>
        <v>Gastos_Gerais</v>
      </c>
      <c r="S1159" s="504" t="str">
        <f>IF(D1159="","",IF(OR(D1159=Plano!$A$1,D1159=Plano!$B$1),"entrada","saída"))</f>
        <v>saída</v>
      </c>
      <c r="T1159" s="546" t="s">
        <v>114</v>
      </c>
      <c r="U1159" s="546" t="s">
        <v>114</v>
      </c>
      <c r="V1159" s="541"/>
    </row>
    <row r="1160" spans="1:22" ht="42.75" customHeight="1" x14ac:dyDescent="0.2">
      <c r="A1160" s="619">
        <f>IF(B1160="","",COUNT('Diário 5º PA'!$A$5:$A$2634)+COUNT('Diário 6º PA'!$A$5:$A$2246)+COUNT('Diário 7º PA'!$A$5:$A$2271)+ROW()-4)</f>
        <v>5106</v>
      </c>
      <c r="B1160" s="620">
        <v>44525</v>
      </c>
      <c r="C1160" s="624">
        <v>44470</v>
      </c>
      <c r="D1160" s="548" t="s">
        <v>88</v>
      </c>
      <c r="E1160" s="548" t="s">
        <v>169</v>
      </c>
      <c r="F1160" s="622">
        <v>248.61</v>
      </c>
      <c r="G1160" s="623" t="s">
        <v>6382</v>
      </c>
      <c r="H1160" s="548" t="s">
        <v>114</v>
      </c>
      <c r="I1160" s="583" t="s">
        <v>488</v>
      </c>
      <c r="J1160" s="548" t="s">
        <v>114</v>
      </c>
      <c r="K1160" s="583" t="s">
        <v>466</v>
      </c>
      <c r="L1160" s="583" t="s">
        <v>489</v>
      </c>
      <c r="M1160" s="619" t="s">
        <v>114</v>
      </c>
      <c r="N1160" s="620">
        <v>44500</v>
      </c>
      <c r="O1160" s="684" t="s">
        <v>67</v>
      </c>
      <c r="P1160" s="503">
        <f t="shared" si="65"/>
        <v>11</v>
      </c>
      <c r="Q1160" s="503">
        <f t="shared" si="66"/>
        <v>10</v>
      </c>
      <c r="R1160" s="504" t="str">
        <f t="shared" si="67"/>
        <v>Gastos_com_Pessoal</v>
      </c>
      <c r="S1160" s="504" t="str">
        <f>IF(D1160="","",IF(OR(D1160=Plano!$A$1,D1160=Plano!$B$1),"entrada","saída"))</f>
        <v>saída</v>
      </c>
      <c r="T1160" s="546" t="s">
        <v>114</v>
      </c>
      <c r="U1160" s="546" t="s">
        <v>114</v>
      </c>
      <c r="V1160" s="541"/>
    </row>
    <row r="1161" spans="1:22" ht="30.75" customHeight="1" x14ac:dyDescent="0.2">
      <c r="A1161" s="619">
        <f>IF(B1161="","",COUNT('Diário 5º PA'!$A$5:$A$2634)+COUNT('Diário 6º PA'!$A$5:$A$2246)+COUNT('Diário 7º PA'!$A$5:$A$2271)+ROW()-4)</f>
        <v>5107</v>
      </c>
      <c r="B1161" s="620">
        <v>44525</v>
      </c>
      <c r="C1161" s="624">
        <v>44470</v>
      </c>
      <c r="D1161" s="548" t="s">
        <v>99</v>
      </c>
      <c r="E1161" s="548" t="s">
        <v>330</v>
      </c>
      <c r="F1161" s="622">
        <v>300</v>
      </c>
      <c r="G1161" s="623" t="s">
        <v>648</v>
      </c>
      <c r="H1161" s="548" t="s">
        <v>115</v>
      </c>
      <c r="I1161" s="583" t="s">
        <v>1570</v>
      </c>
      <c r="J1161" s="548" t="s">
        <v>646</v>
      </c>
      <c r="K1161" s="583" t="s">
        <v>560</v>
      </c>
      <c r="L1161" s="583" t="s">
        <v>992</v>
      </c>
      <c r="M1161" s="619">
        <v>5332147</v>
      </c>
      <c r="N1161" s="620">
        <v>44526</v>
      </c>
      <c r="O1161" s="684" t="s">
        <v>67</v>
      </c>
      <c r="P1161" s="503">
        <f t="shared" si="65"/>
        <v>11</v>
      </c>
      <c r="Q1161" s="503">
        <f t="shared" si="66"/>
        <v>10</v>
      </c>
      <c r="R1161" s="504" t="str">
        <f t="shared" si="67"/>
        <v>Gastos_Gerais</v>
      </c>
      <c r="S1161" s="504" t="str">
        <f>IF(D1161="","",IF(OR(D1161=Plano!$A$1,D1161=Plano!$B$1),"entrada","saída"))</f>
        <v>saída</v>
      </c>
      <c r="T1161" s="517" t="s">
        <v>1059</v>
      </c>
      <c r="U1161" s="517">
        <v>1551</v>
      </c>
      <c r="V1161" s="541"/>
    </row>
    <row r="1162" spans="1:22" ht="137.25" customHeight="1" x14ac:dyDescent="0.2">
      <c r="A1162" s="619">
        <f>IF(B1162="","",COUNT('Diário 5º PA'!$A$5:$A$2634)+COUNT('Diário 6º PA'!$A$5:$A$2246)+COUNT('Diário 7º PA'!$A$5:$A$2271)+ROW()-4)</f>
        <v>5108</v>
      </c>
      <c r="B1162" s="620">
        <v>44525</v>
      </c>
      <c r="C1162" s="624">
        <v>44470</v>
      </c>
      <c r="D1162" s="548" t="s">
        <v>99</v>
      </c>
      <c r="E1162" s="548" t="s">
        <v>254</v>
      </c>
      <c r="F1162" s="622">
        <v>435</v>
      </c>
      <c r="G1162" s="623" t="s">
        <v>445</v>
      </c>
      <c r="H1162" s="548" t="s">
        <v>115</v>
      </c>
      <c r="I1162" s="583" t="s">
        <v>1573</v>
      </c>
      <c r="J1162" s="548" t="s">
        <v>1574</v>
      </c>
      <c r="K1162" s="583" t="s">
        <v>991</v>
      </c>
      <c r="L1162" s="583" t="s">
        <v>1378</v>
      </c>
      <c r="M1162" s="619">
        <v>21538</v>
      </c>
      <c r="N1162" s="620">
        <v>44511</v>
      </c>
      <c r="O1162" s="684" t="s">
        <v>67</v>
      </c>
      <c r="P1162" s="503">
        <f t="shared" si="65"/>
        <v>11</v>
      </c>
      <c r="Q1162" s="503">
        <f t="shared" si="66"/>
        <v>10</v>
      </c>
      <c r="R1162" s="504" t="str">
        <f t="shared" si="67"/>
        <v>Gastos_Gerais</v>
      </c>
      <c r="S1162" s="504" t="str">
        <f>IF(D1162="","",IF(OR(D1162=Plano!$A$1,D1162=Plano!$B$1),"entrada","saída"))</f>
        <v>saída</v>
      </c>
      <c r="T1162" s="517" t="s">
        <v>1082</v>
      </c>
      <c r="U1162" s="517">
        <v>1117</v>
      </c>
      <c r="V1162" s="541"/>
    </row>
    <row r="1163" spans="1:22" ht="63.75" customHeight="1" x14ac:dyDescent="0.2">
      <c r="A1163" s="619">
        <f>IF(B1163="","",COUNT('Diário 5º PA'!$A$5:$A$2634)+COUNT('Diário 6º PA'!$A$5:$A$2246)+COUNT('Diário 7º PA'!$A$5:$A$2271)+ROW()-4)</f>
        <v>5109</v>
      </c>
      <c r="B1163" s="620">
        <v>44525</v>
      </c>
      <c r="C1163" s="624">
        <v>44501</v>
      </c>
      <c r="D1163" s="548" t="s">
        <v>99</v>
      </c>
      <c r="E1163" s="548" t="s">
        <v>364</v>
      </c>
      <c r="F1163" s="622">
        <v>500</v>
      </c>
      <c r="G1163" s="623" t="s">
        <v>6190</v>
      </c>
      <c r="H1163" s="548" t="s">
        <v>128</v>
      </c>
      <c r="I1163" s="583" t="s">
        <v>6383</v>
      </c>
      <c r="J1163" s="548" t="s">
        <v>6191</v>
      </c>
      <c r="K1163" s="583" t="s">
        <v>991</v>
      </c>
      <c r="L1163" s="583" t="s">
        <v>992</v>
      </c>
      <c r="M1163" s="619">
        <v>44</v>
      </c>
      <c r="N1163" s="620">
        <v>44524</v>
      </c>
      <c r="O1163" s="684" t="s">
        <v>67</v>
      </c>
      <c r="P1163" s="503">
        <f t="shared" si="65"/>
        <v>11</v>
      </c>
      <c r="Q1163" s="503">
        <f t="shared" si="66"/>
        <v>11</v>
      </c>
      <c r="R1163" s="504" t="str">
        <f t="shared" si="67"/>
        <v>Gastos_Gerais</v>
      </c>
      <c r="S1163" s="504" t="str">
        <f>IF(D1163="","",IF(OR(D1163=Plano!$A$1,D1163=Plano!$B$1),"entrada","saída"))</f>
        <v>saída</v>
      </c>
      <c r="T1163" s="505" t="s">
        <v>994</v>
      </c>
      <c r="U1163" s="505">
        <v>2366</v>
      </c>
      <c r="V1163" s="541"/>
    </row>
    <row r="1164" spans="1:22" ht="72.75" customHeight="1" x14ac:dyDescent="0.2">
      <c r="A1164" s="619">
        <f>IF(B1164="","",COUNT('Diário 5º PA'!$A$5:$A$2634)+COUNT('Diário 6º PA'!$A$5:$A$2246)+COUNT('Diário 7º PA'!$A$5:$A$2271)+ROW()-4)</f>
        <v>5110</v>
      </c>
      <c r="B1164" s="620">
        <v>44525</v>
      </c>
      <c r="C1164" s="624">
        <v>44501</v>
      </c>
      <c r="D1164" s="548" t="s">
        <v>99</v>
      </c>
      <c r="E1164" s="548" t="s">
        <v>364</v>
      </c>
      <c r="F1164" s="622">
        <v>420</v>
      </c>
      <c r="G1164" s="623" t="s">
        <v>6175</v>
      </c>
      <c r="H1164" s="548" t="s">
        <v>128</v>
      </c>
      <c r="I1164" s="583" t="s">
        <v>6384</v>
      </c>
      <c r="J1164" s="548" t="s">
        <v>6176</v>
      </c>
      <c r="K1164" s="583" t="s">
        <v>991</v>
      </c>
      <c r="L1164" s="583" t="s">
        <v>1029</v>
      </c>
      <c r="M1164" s="619">
        <v>1451</v>
      </c>
      <c r="N1164" s="620">
        <v>44523</v>
      </c>
      <c r="O1164" s="684" t="s">
        <v>67</v>
      </c>
      <c r="P1164" s="503">
        <f t="shared" si="65"/>
        <v>11</v>
      </c>
      <c r="Q1164" s="503">
        <f t="shared" si="66"/>
        <v>11</v>
      </c>
      <c r="R1164" s="504" t="str">
        <f t="shared" si="67"/>
        <v>Gastos_Gerais</v>
      </c>
      <c r="S1164" s="504" t="str">
        <f>IF(D1164="","",IF(OR(D1164=Plano!$A$1,D1164=Plano!$B$1),"entrada","saída"))</f>
        <v>saída</v>
      </c>
      <c r="T1164" s="505" t="s">
        <v>994</v>
      </c>
      <c r="U1164" s="505">
        <v>2362</v>
      </c>
      <c r="V1164" s="541"/>
    </row>
    <row r="1165" spans="1:22" ht="79.5" customHeight="1" x14ac:dyDescent="0.2">
      <c r="A1165" s="619">
        <f>IF(B1165="","",COUNT('Diário 5º PA'!$A$5:$A$2634)+COUNT('Diário 6º PA'!$A$5:$A$2246)+COUNT('Diário 7º PA'!$A$5:$A$2271)+ROW()-4)</f>
        <v>5111</v>
      </c>
      <c r="B1165" s="620">
        <v>44525</v>
      </c>
      <c r="C1165" s="624">
        <v>44470</v>
      </c>
      <c r="D1165" s="548" t="s">
        <v>99</v>
      </c>
      <c r="E1165" s="548" t="s">
        <v>364</v>
      </c>
      <c r="F1165" s="622">
        <v>1940</v>
      </c>
      <c r="G1165" s="623" t="s">
        <v>5428</v>
      </c>
      <c r="H1165" s="548" t="s">
        <v>116</v>
      </c>
      <c r="I1165" s="583" t="s">
        <v>6387</v>
      </c>
      <c r="J1165" s="548" t="s">
        <v>6388</v>
      </c>
      <c r="K1165" s="583" t="s">
        <v>991</v>
      </c>
      <c r="L1165" s="583" t="s">
        <v>992</v>
      </c>
      <c r="M1165" s="619" t="s">
        <v>2429</v>
      </c>
      <c r="N1165" s="620">
        <v>44523</v>
      </c>
      <c r="O1165" s="684" t="s">
        <v>67</v>
      </c>
      <c r="P1165" s="503">
        <f t="shared" si="65"/>
        <v>11</v>
      </c>
      <c r="Q1165" s="503">
        <f t="shared" si="66"/>
        <v>10</v>
      </c>
      <c r="R1165" s="504" t="str">
        <f t="shared" si="67"/>
        <v>Gastos_Gerais</v>
      </c>
      <c r="S1165" s="504" t="str">
        <f>IF(D1165="","",IF(OR(D1165=Plano!$A$1,D1165=Plano!$B$1),"entrada","saída"))</f>
        <v>saída</v>
      </c>
      <c r="T1165" s="505" t="s">
        <v>114</v>
      </c>
      <c r="U1165" s="505" t="s">
        <v>114</v>
      </c>
      <c r="V1165" s="541"/>
    </row>
    <row r="1166" spans="1:22" ht="54.75" customHeight="1" x14ac:dyDescent="0.2">
      <c r="A1166" s="619">
        <f>IF(B1166="","",COUNT('Diário 5º PA'!$A$5:$A$2634)+COUNT('Diário 6º PA'!$A$5:$A$2246)+COUNT('Diário 7º PA'!$A$5:$A$2271)+ROW()-4)</f>
        <v>5112</v>
      </c>
      <c r="B1166" s="620">
        <v>44525</v>
      </c>
      <c r="C1166" s="624">
        <v>44470</v>
      </c>
      <c r="D1166" s="548" t="s">
        <v>99</v>
      </c>
      <c r="E1166" s="548" t="s">
        <v>222</v>
      </c>
      <c r="F1166" s="622">
        <v>773.4</v>
      </c>
      <c r="G1166" s="623" t="s">
        <v>6389</v>
      </c>
      <c r="H1166" s="548" t="s">
        <v>115</v>
      </c>
      <c r="I1166" s="583" t="s">
        <v>525</v>
      </c>
      <c r="J1166" s="548" t="s">
        <v>1568</v>
      </c>
      <c r="K1166" s="583" t="s">
        <v>1375</v>
      </c>
      <c r="L1166" s="583" t="s">
        <v>697</v>
      </c>
      <c r="M1166" s="619" t="s">
        <v>114</v>
      </c>
      <c r="N1166" s="620">
        <v>44507</v>
      </c>
      <c r="O1166" s="684" t="s">
        <v>67</v>
      </c>
      <c r="P1166" s="503">
        <f t="shared" si="65"/>
        <v>11</v>
      </c>
      <c r="Q1166" s="503">
        <f t="shared" si="66"/>
        <v>10</v>
      </c>
      <c r="R1166" s="504" t="str">
        <f t="shared" si="67"/>
        <v>Gastos_Gerais</v>
      </c>
      <c r="S1166" s="504" t="str">
        <f>IF(D1166="","",IF(OR(D1166=Plano!$A$1,D1166=Plano!$B$1),"entrada","saída"))</f>
        <v>saída</v>
      </c>
      <c r="T1166" s="546" t="s">
        <v>114</v>
      </c>
      <c r="U1166" s="546" t="s">
        <v>114</v>
      </c>
      <c r="V1166" s="541"/>
    </row>
    <row r="1167" spans="1:22" ht="45.75" customHeight="1" x14ac:dyDescent="0.2">
      <c r="A1167" s="619">
        <f>IF(B1167="","",COUNT('Diário 5º PA'!$A$5:$A$2634)+COUNT('Diário 6º PA'!$A$5:$A$2246)+COUNT('Diário 7º PA'!$A$5:$A$2271)+ROW()-4)</f>
        <v>5113</v>
      </c>
      <c r="B1167" s="620">
        <v>44525</v>
      </c>
      <c r="C1167" s="624">
        <v>44470</v>
      </c>
      <c r="D1167" s="548" t="s">
        <v>99</v>
      </c>
      <c r="E1167" s="548" t="s">
        <v>218</v>
      </c>
      <c r="F1167" s="622">
        <v>31.84</v>
      </c>
      <c r="G1167" s="623" t="s">
        <v>6222</v>
      </c>
      <c r="H1167" s="548" t="s">
        <v>129</v>
      </c>
      <c r="I1167" s="583" t="s">
        <v>515</v>
      </c>
      <c r="J1167" s="548" t="s">
        <v>516</v>
      </c>
      <c r="K1167" s="583" t="s">
        <v>700</v>
      </c>
      <c r="L1167" s="583" t="s">
        <v>697</v>
      </c>
      <c r="M1167" s="625" t="s">
        <v>6390</v>
      </c>
      <c r="N1167" s="620">
        <v>44525</v>
      </c>
      <c r="O1167" s="684" t="s">
        <v>67</v>
      </c>
      <c r="P1167" s="503">
        <f t="shared" si="65"/>
        <v>11</v>
      </c>
      <c r="Q1167" s="503">
        <f t="shared" si="66"/>
        <v>10</v>
      </c>
      <c r="R1167" s="504" t="str">
        <f t="shared" si="67"/>
        <v>Gastos_Gerais</v>
      </c>
      <c r="S1167" s="504" t="str">
        <f>IF(D1167="","",IF(OR(D1167=Plano!$A$1,D1167=Plano!$B$1),"entrada","saída"))</f>
        <v>saída</v>
      </c>
      <c r="T1167" s="505" t="s">
        <v>114</v>
      </c>
      <c r="U1167" s="505" t="s">
        <v>114</v>
      </c>
      <c r="V1167" s="541"/>
    </row>
    <row r="1168" spans="1:22" ht="136.5" customHeight="1" x14ac:dyDescent="0.2">
      <c r="A1168" s="619">
        <f>IF(B1168="","",COUNT('Diário 5º PA'!$A$5:$A$2634)+COUNT('Diário 6º PA'!$A$5:$A$2246)+COUNT('Diário 7º PA'!$A$5:$A$2271)+ROW()-4)</f>
        <v>5114</v>
      </c>
      <c r="B1168" s="620">
        <v>44525</v>
      </c>
      <c r="C1168" s="624">
        <v>44409</v>
      </c>
      <c r="D1168" s="548" t="s">
        <v>99</v>
      </c>
      <c r="E1168" s="548" t="s">
        <v>336</v>
      </c>
      <c r="F1168" s="622">
        <v>6000</v>
      </c>
      <c r="G1168" s="623" t="s">
        <v>6197</v>
      </c>
      <c r="H1168" s="548" t="s">
        <v>116</v>
      </c>
      <c r="I1168" s="583" t="s">
        <v>6391</v>
      </c>
      <c r="J1168" s="548" t="s">
        <v>836</v>
      </c>
      <c r="K1168" s="583" t="s">
        <v>991</v>
      </c>
      <c r="L1168" s="583" t="s">
        <v>992</v>
      </c>
      <c r="M1168" s="619" t="s">
        <v>1017</v>
      </c>
      <c r="N1168" s="620">
        <v>44524</v>
      </c>
      <c r="O1168" s="684" t="s">
        <v>67</v>
      </c>
      <c r="P1168" s="503">
        <f t="shared" si="65"/>
        <v>11</v>
      </c>
      <c r="Q1168" s="503">
        <f t="shared" si="66"/>
        <v>8</v>
      </c>
      <c r="R1168" s="504" t="str">
        <f t="shared" si="67"/>
        <v>Gastos_Gerais</v>
      </c>
      <c r="S1168" s="504" t="str">
        <f>IF(D1168="","",IF(OR(D1168=Plano!$A$1,D1168=Plano!$B$1),"entrada","saída"))</f>
        <v>saída</v>
      </c>
      <c r="T1168" s="505" t="s">
        <v>994</v>
      </c>
      <c r="U1168" s="505">
        <v>1827</v>
      </c>
      <c r="V1168" s="541"/>
    </row>
    <row r="1169" spans="1:22" ht="59.25" customHeight="1" x14ac:dyDescent="0.2">
      <c r="A1169" s="619">
        <f>IF(B1169="","",COUNT('Diário 5º PA'!$A$5:$A$2634)+COUNT('Diário 6º PA'!$A$5:$A$2246)+COUNT('Diário 7º PA'!$A$5:$A$2271)+ROW()-4)</f>
        <v>5115</v>
      </c>
      <c r="B1169" s="620">
        <v>44525</v>
      </c>
      <c r="C1169" s="621">
        <v>44501</v>
      </c>
      <c r="D1169" s="548" t="s">
        <v>99</v>
      </c>
      <c r="E1169" s="548" t="s">
        <v>272</v>
      </c>
      <c r="F1169" s="622">
        <v>10.45</v>
      </c>
      <c r="G1169" s="623" t="s">
        <v>6392</v>
      </c>
      <c r="H1169" s="548" t="s">
        <v>116</v>
      </c>
      <c r="I1169" s="583" t="s">
        <v>949</v>
      </c>
      <c r="J1169" s="548" t="s">
        <v>950</v>
      </c>
      <c r="K1169" s="583" t="s">
        <v>951</v>
      </c>
      <c r="L1169" s="583" t="s">
        <v>947</v>
      </c>
      <c r="M1169" s="625" t="s">
        <v>114</v>
      </c>
      <c r="N1169" s="620">
        <v>44525</v>
      </c>
      <c r="O1169" s="684" t="s">
        <v>67</v>
      </c>
      <c r="P1169" s="503">
        <f t="shared" si="65"/>
        <v>11</v>
      </c>
      <c r="Q1169" s="503">
        <f t="shared" si="66"/>
        <v>11</v>
      </c>
      <c r="R1169" s="504" t="str">
        <f t="shared" si="67"/>
        <v>Gastos_Gerais</v>
      </c>
      <c r="S1169" s="504" t="str">
        <f>IF(D1169="","",IF(OR(D1169=Plano!$A$1,D1169=Plano!$B$1),"entrada","saída"))</f>
        <v>saída</v>
      </c>
      <c r="T1169" s="511" t="s">
        <v>114</v>
      </c>
      <c r="U1169" s="511" t="s">
        <v>114</v>
      </c>
      <c r="V1169" s="541"/>
    </row>
    <row r="1170" spans="1:22" ht="54" customHeight="1" x14ac:dyDescent="0.2">
      <c r="A1170" s="619">
        <f>IF(B1170="","",COUNT('Diário 5º PA'!$A$5:$A$2634)+COUNT('Diário 6º PA'!$A$5:$A$2246)+COUNT('Diário 7º PA'!$A$5:$A$2271)+ROW()-4)</f>
        <v>5116</v>
      </c>
      <c r="B1170" s="620">
        <v>44525</v>
      </c>
      <c r="C1170" s="621">
        <v>44501</v>
      </c>
      <c r="D1170" s="548" t="s">
        <v>99</v>
      </c>
      <c r="E1170" s="548" t="s">
        <v>272</v>
      </c>
      <c r="F1170" s="622">
        <v>10.45</v>
      </c>
      <c r="G1170" s="623" t="s">
        <v>5919</v>
      </c>
      <c r="H1170" s="548" t="s">
        <v>115</v>
      </c>
      <c r="I1170" s="583" t="s">
        <v>949</v>
      </c>
      <c r="J1170" s="548" t="s">
        <v>950</v>
      </c>
      <c r="K1170" s="583" t="s">
        <v>951</v>
      </c>
      <c r="L1170" s="583" t="s">
        <v>947</v>
      </c>
      <c r="M1170" s="625" t="s">
        <v>114</v>
      </c>
      <c r="N1170" s="620">
        <v>44525</v>
      </c>
      <c r="O1170" s="684" t="s">
        <v>67</v>
      </c>
      <c r="P1170" s="503">
        <f t="shared" si="65"/>
        <v>11</v>
      </c>
      <c r="Q1170" s="503">
        <f t="shared" si="66"/>
        <v>11</v>
      </c>
      <c r="R1170" s="504" t="str">
        <f t="shared" si="67"/>
        <v>Gastos_Gerais</v>
      </c>
      <c r="S1170" s="504" t="str">
        <f>IF(D1170="","",IF(OR(D1170=Plano!$A$1,D1170=Plano!$B$1),"entrada","saída"))</f>
        <v>saída</v>
      </c>
      <c r="T1170" s="511" t="s">
        <v>114</v>
      </c>
      <c r="U1170" s="511" t="s">
        <v>114</v>
      </c>
      <c r="V1170" s="541"/>
    </row>
    <row r="1171" spans="1:22" ht="50.1" customHeight="1" x14ac:dyDescent="0.2">
      <c r="A1171" s="619">
        <f>IF(B1171="","",COUNT('Diário 5º PA'!$A$5:$A$2634)+COUNT('Diário 6º PA'!$A$5:$A$2246)+COUNT('Diário 7º PA'!$A$5:$A$2271)+ROW()-4)</f>
        <v>5117</v>
      </c>
      <c r="B1171" s="620">
        <v>44525</v>
      </c>
      <c r="C1171" s="621">
        <v>44501</v>
      </c>
      <c r="D1171" s="548" t="s">
        <v>99</v>
      </c>
      <c r="E1171" s="548" t="s">
        <v>272</v>
      </c>
      <c r="F1171" s="622">
        <v>10.45</v>
      </c>
      <c r="G1171" s="623" t="s">
        <v>6396</v>
      </c>
      <c r="H1171" s="548" t="s">
        <v>128</v>
      </c>
      <c r="I1171" s="583" t="s">
        <v>949</v>
      </c>
      <c r="J1171" s="548" t="s">
        <v>950</v>
      </c>
      <c r="K1171" s="583" t="s">
        <v>951</v>
      </c>
      <c r="L1171" s="583" t="s">
        <v>947</v>
      </c>
      <c r="M1171" s="625" t="s">
        <v>114</v>
      </c>
      <c r="N1171" s="620">
        <v>44525</v>
      </c>
      <c r="O1171" s="684" t="s">
        <v>67</v>
      </c>
      <c r="P1171" s="503">
        <f t="shared" si="65"/>
        <v>11</v>
      </c>
      <c r="Q1171" s="503">
        <f t="shared" si="66"/>
        <v>11</v>
      </c>
      <c r="R1171" s="504" t="str">
        <f t="shared" si="67"/>
        <v>Gastos_Gerais</v>
      </c>
      <c r="S1171" s="504" t="str">
        <f>IF(D1171="","",IF(OR(D1171=Plano!$A$1,D1171=Plano!$B$1),"entrada","saída"))</f>
        <v>saída</v>
      </c>
      <c r="T1171" s="511" t="s">
        <v>114</v>
      </c>
      <c r="U1171" s="511" t="s">
        <v>114</v>
      </c>
      <c r="V1171" s="541"/>
    </row>
    <row r="1172" spans="1:22" ht="50.1" customHeight="1" x14ac:dyDescent="0.2">
      <c r="A1172" s="619">
        <f>IF(B1172="","",COUNT('Diário 5º PA'!$A$5:$A$2634)+COUNT('Diário 6º PA'!$A$5:$A$2246)+COUNT('Diário 7º PA'!$A$5:$A$2271)+ROW()-4)</f>
        <v>5118</v>
      </c>
      <c r="B1172" s="620">
        <v>44525</v>
      </c>
      <c r="C1172" s="621">
        <v>44501</v>
      </c>
      <c r="D1172" s="548" t="s">
        <v>99</v>
      </c>
      <c r="E1172" s="548" t="s">
        <v>272</v>
      </c>
      <c r="F1172" s="622">
        <v>10.45</v>
      </c>
      <c r="G1172" s="623" t="s">
        <v>6395</v>
      </c>
      <c r="H1172" s="548" t="s">
        <v>128</v>
      </c>
      <c r="I1172" s="583" t="s">
        <v>949</v>
      </c>
      <c r="J1172" s="548" t="s">
        <v>950</v>
      </c>
      <c r="K1172" s="583" t="s">
        <v>951</v>
      </c>
      <c r="L1172" s="583" t="s">
        <v>947</v>
      </c>
      <c r="M1172" s="625" t="s">
        <v>114</v>
      </c>
      <c r="N1172" s="620">
        <v>44525</v>
      </c>
      <c r="O1172" s="684" t="s">
        <v>67</v>
      </c>
      <c r="P1172" s="503">
        <f t="shared" si="65"/>
        <v>11</v>
      </c>
      <c r="Q1172" s="503">
        <f t="shared" si="66"/>
        <v>11</v>
      </c>
      <c r="R1172" s="504" t="str">
        <f t="shared" si="67"/>
        <v>Gastos_Gerais</v>
      </c>
      <c r="S1172" s="504" t="str">
        <f>IF(D1172="","",IF(OR(D1172=Plano!$A$1,D1172=Plano!$B$1),"entrada","saída"))</f>
        <v>saída</v>
      </c>
      <c r="T1172" s="511" t="s">
        <v>114</v>
      </c>
      <c r="U1172" s="511" t="s">
        <v>114</v>
      </c>
      <c r="V1172" s="541"/>
    </row>
    <row r="1173" spans="1:22" ht="50.1" customHeight="1" x14ac:dyDescent="0.2">
      <c r="A1173" s="619">
        <f>IF(B1173="","",COUNT('Diário 5º PA'!$A$5:$A$2634)+COUNT('Diário 6º PA'!$A$5:$A$2246)+COUNT('Diário 7º PA'!$A$5:$A$2271)+ROW()-4)</f>
        <v>5119</v>
      </c>
      <c r="B1173" s="620">
        <v>44525</v>
      </c>
      <c r="C1173" s="621">
        <v>44501</v>
      </c>
      <c r="D1173" s="548" t="s">
        <v>99</v>
      </c>
      <c r="E1173" s="548" t="s">
        <v>272</v>
      </c>
      <c r="F1173" s="622">
        <v>10.45</v>
      </c>
      <c r="G1173" s="623" t="s">
        <v>6394</v>
      </c>
      <c r="H1173" s="548" t="s">
        <v>116</v>
      </c>
      <c r="I1173" s="583" t="s">
        <v>949</v>
      </c>
      <c r="J1173" s="548" t="s">
        <v>950</v>
      </c>
      <c r="K1173" s="583" t="s">
        <v>951</v>
      </c>
      <c r="L1173" s="583" t="s">
        <v>947</v>
      </c>
      <c r="M1173" s="625" t="s">
        <v>114</v>
      </c>
      <c r="N1173" s="620">
        <v>44525</v>
      </c>
      <c r="O1173" s="684" t="s">
        <v>67</v>
      </c>
      <c r="P1173" s="503">
        <f t="shared" si="65"/>
        <v>11</v>
      </c>
      <c r="Q1173" s="503">
        <f t="shared" si="66"/>
        <v>11</v>
      </c>
      <c r="R1173" s="504" t="str">
        <f t="shared" si="67"/>
        <v>Gastos_Gerais</v>
      </c>
      <c r="S1173" s="504" t="str">
        <f>IF(D1173="","",IF(OR(D1173=Plano!$A$1,D1173=Plano!$B$1),"entrada","saída"))</f>
        <v>saída</v>
      </c>
      <c r="T1173" s="511" t="s">
        <v>114</v>
      </c>
      <c r="U1173" s="511" t="s">
        <v>114</v>
      </c>
      <c r="V1173" s="541"/>
    </row>
    <row r="1174" spans="1:22" ht="50.1" customHeight="1" x14ac:dyDescent="0.2">
      <c r="A1174" s="619">
        <f>IF(B1174="","",COUNT('Diário 5º PA'!$A$5:$A$2634)+COUNT('Diário 6º PA'!$A$5:$A$2246)+COUNT('Diário 7º PA'!$A$5:$A$2271)+ROW()-4)</f>
        <v>5120</v>
      </c>
      <c r="B1174" s="620">
        <v>44525</v>
      </c>
      <c r="C1174" s="621">
        <v>44501</v>
      </c>
      <c r="D1174" s="548" t="s">
        <v>99</v>
      </c>
      <c r="E1174" s="548" t="s">
        <v>272</v>
      </c>
      <c r="F1174" s="622">
        <v>10.45</v>
      </c>
      <c r="G1174" s="623" t="s">
        <v>6393</v>
      </c>
      <c r="H1174" s="548" t="s">
        <v>116</v>
      </c>
      <c r="I1174" s="583" t="s">
        <v>949</v>
      </c>
      <c r="J1174" s="548" t="s">
        <v>950</v>
      </c>
      <c r="K1174" s="583" t="s">
        <v>951</v>
      </c>
      <c r="L1174" s="583" t="s">
        <v>947</v>
      </c>
      <c r="M1174" s="625" t="s">
        <v>114</v>
      </c>
      <c r="N1174" s="620">
        <v>44525</v>
      </c>
      <c r="O1174" s="684" t="s">
        <v>67</v>
      </c>
      <c r="P1174" s="503">
        <f t="shared" si="65"/>
        <v>11</v>
      </c>
      <c r="Q1174" s="503">
        <f t="shared" si="66"/>
        <v>11</v>
      </c>
      <c r="R1174" s="504" t="str">
        <f t="shared" si="67"/>
        <v>Gastos_Gerais</v>
      </c>
      <c r="S1174" s="504" t="str">
        <f>IF(D1174="","",IF(OR(D1174=Plano!$A$1,D1174=Plano!$B$1),"entrada","saída"))</f>
        <v>saída</v>
      </c>
      <c r="T1174" s="511" t="s">
        <v>114</v>
      </c>
      <c r="U1174" s="511" t="s">
        <v>114</v>
      </c>
      <c r="V1174" s="541"/>
    </row>
    <row r="1175" spans="1:22" s="558" customFormat="1" ht="50.1" customHeight="1" x14ac:dyDescent="0.2">
      <c r="A1175" s="619">
        <f>IF(B1175="","",COUNT('Diário 5º PA'!$A$5:$A$2634)+COUNT('Diário 6º PA'!$A$5:$A$2246)+COUNT('Diário 7º PA'!$A$5:$A$2271)+ROW()-4)</f>
        <v>5121</v>
      </c>
      <c r="B1175" s="620">
        <v>44525</v>
      </c>
      <c r="C1175" s="621">
        <v>44501</v>
      </c>
      <c r="D1175" s="548" t="s">
        <v>104</v>
      </c>
      <c r="E1175" s="548" t="s">
        <v>104</v>
      </c>
      <c r="F1175" s="655">
        <v>1100</v>
      </c>
      <c r="G1175" s="648" t="s">
        <v>7072</v>
      </c>
      <c r="H1175" s="548" t="s">
        <v>104</v>
      </c>
      <c r="I1175" s="627" t="s">
        <v>7074</v>
      </c>
      <c r="J1175" s="647" t="s">
        <v>7073</v>
      </c>
      <c r="K1175" s="583" t="s">
        <v>1015</v>
      </c>
      <c r="L1175" s="657" t="s">
        <v>1177</v>
      </c>
      <c r="M1175" s="620" t="s">
        <v>114</v>
      </c>
      <c r="N1175" s="620">
        <v>44524</v>
      </c>
      <c r="O1175" s="684" t="s">
        <v>5377</v>
      </c>
      <c r="P1175" s="503">
        <f t="shared" si="65"/>
        <v>11</v>
      </c>
      <c r="Q1175" s="503">
        <f t="shared" si="66"/>
        <v>11</v>
      </c>
      <c r="R1175" s="504" t="str">
        <f t="shared" si="67"/>
        <v>Gastos_custeados_por_captação</v>
      </c>
      <c r="S1175" s="504" t="str">
        <f>IF(D1175="","",IF(OR(D1175=Plano!$A$1,D1175=Plano!$B$1),"entrada","saída"))</f>
        <v>saída</v>
      </c>
      <c r="T1175" s="511" t="s">
        <v>994</v>
      </c>
      <c r="U1175" s="511">
        <v>2368</v>
      </c>
      <c r="V1175" s="541"/>
    </row>
    <row r="1176" spans="1:22" s="558" customFormat="1" ht="50.1" customHeight="1" x14ac:dyDescent="0.2">
      <c r="A1176" s="649">
        <f>IF(B1176="","",COUNT('Diário 5º PA'!$A$5:$A$2634)+COUNT('Diário 6º PA'!$A$5:$A$2246)+COUNT('Diário 7º PA'!$A$5:$A$2271)+ROW()-4)</f>
        <v>5122</v>
      </c>
      <c r="B1176" s="644">
        <v>44525</v>
      </c>
      <c r="C1176" s="636">
        <v>44470</v>
      </c>
      <c r="D1176" s="637" t="s">
        <v>104</v>
      </c>
      <c r="E1176" s="637" t="s">
        <v>104</v>
      </c>
      <c r="F1176" s="638">
        <v>45.82</v>
      </c>
      <c r="G1176" s="639" t="s">
        <v>7071</v>
      </c>
      <c r="H1176" s="637" t="s">
        <v>104</v>
      </c>
      <c r="I1176" s="640" t="s">
        <v>488</v>
      </c>
      <c r="J1176" s="641" t="s">
        <v>114</v>
      </c>
      <c r="K1176" s="642" t="s">
        <v>466</v>
      </c>
      <c r="L1176" s="643" t="s">
        <v>489</v>
      </c>
      <c r="M1176" s="644" t="s">
        <v>114</v>
      </c>
      <c r="N1176" s="644">
        <v>44525</v>
      </c>
      <c r="O1176" s="685" t="s">
        <v>5377</v>
      </c>
      <c r="P1176" s="503">
        <f t="shared" si="65"/>
        <v>11</v>
      </c>
      <c r="Q1176" s="503">
        <f t="shared" si="66"/>
        <v>10</v>
      </c>
      <c r="R1176" s="504" t="str">
        <f t="shared" si="67"/>
        <v>Gastos_custeados_por_captação</v>
      </c>
      <c r="S1176" s="504" t="str">
        <f>IF(D1176="","",IF(OR(D1176=Plano!$A$1,D1176=Plano!$B$1),"entrada","saída"))</f>
        <v>saída</v>
      </c>
      <c r="T1176" s="566" t="s">
        <v>114</v>
      </c>
      <c r="U1176" s="511" t="s">
        <v>114</v>
      </c>
      <c r="V1176" s="541"/>
    </row>
    <row r="1177" spans="1:22" s="562" customFormat="1" ht="50.1" customHeight="1" x14ac:dyDescent="0.2">
      <c r="A1177" s="649">
        <f>IF(B1177="","",COUNT('Diário 5º PA'!$A$5:$A$2634)+COUNT('Diário 6º PA'!$A$5:$A$2246)+COUNT('Diário 7º PA'!$A$5:$A$2271)+ROW()-4)</f>
        <v>5123</v>
      </c>
      <c r="B1177" s="644">
        <v>44525</v>
      </c>
      <c r="C1177" s="636">
        <v>44470</v>
      </c>
      <c r="D1177" s="637" t="s">
        <v>104</v>
      </c>
      <c r="E1177" s="637" t="s">
        <v>104</v>
      </c>
      <c r="F1177" s="638">
        <v>14.44</v>
      </c>
      <c r="G1177" s="639" t="s">
        <v>7071</v>
      </c>
      <c r="H1177" s="637" t="s">
        <v>104</v>
      </c>
      <c r="I1177" s="640" t="s">
        <v>488</v>
      </c>
      <c r="J1177" s="641" t="s">
        <v>114</v>
      </c>
      <c r="K1177" s="642" t="s">
        <v>466</v>
      </c>
      <c r="L1177" s="643" t="s">
        <v>489</v>
      </c>
      <c r="M1177" s="644" t="s">
        <v>114</v>
      </c>
      <c r="N1177" s="644">
        <v>44525</v>
      </c>
      <c r="O1177" s="685" t="s">
        <v>70</v>
      </c>
      <c r="P1177" s="503">
        <f t="shared" si="65"/>
        <v>11</v>
      </c>
      <c r="Q1177" s="503">
        <f t="shared" si="66"/>
        <v>10</v>
      </c>
      <c r="R1177" s="504" t="str">
        <f t="shared" si="67"/>
        <v>Gastos_custeados_por_captação</v>
      </c>
      <c r="S1177" s="504" t="str">
        <f>IF(D1177="","",IF(OR(D1177=Plano!$A$1,D1177=Plano!$B$1),"entrada","saída"))</f>
        <v>saída</v>
      </c>
      <c r="T1177" s="566" t="s">
        <v>114</v>
      </c>
      <c r="U1177" s="511" t="s">
        <v>114</v>
      </c>
      <c r="V1177" s="541"/>
    </row>
    <row r="1178" spans="1:22" s="572" customFormat="1" ht="50.1" customHeight="1" x14ac:dyDescent="0.2">
      <c r="A1178" s="649">
        <f>IF(B1178="","",COUNT('Diário 5º PA'!$A$5:$A$2634)+COUNT('Diário 6º PA'!$A$5:$A$2246)+COUNT('Diário 7º PA'!$A$5:$A$2271)+ROW()-4)</f>
        <v>5124</v>
      </c>
      <c r="B1178" s="644">
        <v>44525</v>
      </c>
      <c r="C1178" s="636">
        <v>44470</v>
      </c>
      <c r="D1178" s="637" t="s">
        <v>104</v>
      </c>
      <c r="E1178" s="637" t="s">
        <v>104</v>
      </c>
      <c r="F1178" s="638">
        <v>53.84</v>
      </c>
      <c r="G1178" s="639" t="s">
        <v>7071</v>
      </c>
      <c r="H1178" s="637" t="s">
        <v>104</v>
      </c>
      <c r="I1178" s="640" t="s">
        <v>488</v>
      </c>
      <c r="J1178" s="641" t="s">
        <v>114</v>
      </c>
      <c r="K1178" s="642" t="s">
        <v>466</v>
      </c>
      <c r="L1178" s="643" t="s">
        <v>489</v>
      </c>
      <c r="M1178" s="644" t="s">
        <v>114</v>
      </c>
      <c r="N1178" s="644">
        <v>44525</v>
      </c>
      <c r="O1178" s="685" t="s">
        <v>5370</v>
      </c>
      <c r="P1178" s="503">
        <f t="shared" si="65"/>
        <v>11</v>
      </c>
      <c r="Q1178" s="503">
        <f t="shared" si="66"/>
        <v>10</v>
      </c>
      <c r="R1178" s="504" t="str">
        <f t="shared" si="67"/>
        <v>Gastos_custeados_por_captação</v>
      </c>
      <c r="S1178" s="504" t="str">
        <f>IF(D1178="","",IF(OR(D1178=Plano!$A$1,D1178=Plano!$B$1),"entrada","saída"))</f>
        <v>saída</v>
      </c>
      <c r="T1178" s="566" t="s">
        <v>114</v>
      </c>
      <c r="U1178" s="511" t="s">
        <v>114</v>
      </c>
      <c r="V1178" s="541"/>
    </row>
    <row r="1179" spans="1:22" ht="63.75" customHeight="1" x14ac:dyDescent="0.2">
      <c r="A1179" s="619">
        <f>IF(B1179="","",COUNT('Diário 5º PA'!$A$5:$A$2634)+COUNT('Diário 6º PA'!$A$5:$A$2246)+COUNT('Diário 7º PA'!$A$5:$A$2271)+ROW()-4)</f>
        <v>5125</v>
      </c>
      <c r="B1179" s="620">
        <v>44526</v>
      </c>
      <c r="C1179" s="624">
        <v>44501</v>
      </c>
      <c r="D1179" s="548" t="s">
        <v>99</v>
      </c>
      <c r="E1179" s="548" t="s">
        <v>240</v>
      </c>
      <c r="F1179" s="622">
        <v>-641.76</v>
      </c>
      <c r="G1179" s="623" t="s">
        <v>6404</v>
      </c>
      <c r="H1179" s="548" t="s">
        <v>115</v>
      </c>
      <c r="I1179" s="583" t="s">
        <v>983</v>
      </c>
      <c r="J1179" s="548" t="s">
        <v>850</v>
      </c>
      <c r="K1179" s="583" t="s">
        <v>1069</v>
      </c>
      <c r="L1179" s="583" t="s">
        <v>947</v>
      </c>
      <c r="M1179" s="619" t="s">
        <v>114</v>
      </c>
      <c r="N1179" s="620">
        <v>44526</v>
      </c>
      <c r="O1179" s="684" t="s">
        <v>67</v>
      </c>
      <c r="P1179" s="503">
        <f t="shared" si="65"/>
        <v>11</v>
      </c>
      <c r="Q1179" s="503">
        <f t="shared" si="66"/>
        <v>11</v>
      </c>
      <c r="R1179" s="504" t="str">
        <f t="shared" si="67"/>
        <v>Gastos_Gerais</v>
      </c>
      <c r="S1179" s="504" t="str">
        <f>IF(D1179="","",IF(OR(D1179=Plano!$A$1,D1179=Plano!$B$1),"entrada","saída"))</f>
        <v>saída</v>
      </c>
      <c r="T1179" s="546" t="s">
        <v>114</v>
      </c>
      <c r="U1179" s="546" t="s">
        <v>114</v>
      </c>
      <c r="V1179" s="541"/>
    </row>
    <row r="1180" spans="1:22" ht="68.25" customHeight="1" x14ac:dyDescent="0.2">
      <c r="A1180" s="619">
        <f>IF(B1180="","",COUNT('Diário 5º PA'!$A$5:$A$2634)+COUNT('Diário 6º PA'!$A$5:$A$2246)+COUNT('Diário 7º PA'!$A$5:$A$2271)+ROW()-4)</f>
        <v>5126</v>
      </c>
      <c r="B1180" s="620">
        <v>44526</v>
      </c>
      <c r="C1180" s="624">
        <v>44501</v>
      </c>
      <c r="D1180" s="548" t="s">
        <v>99</v>
      </c>
      <c r="E1180" s="548" t="s">
        <v>276</v>
      </c>
      <c r="F1180" s="622">
        <v>-120.63</v>
      </c>
      <c r="G1180" s="623" t="s">
        <v>1618</v>
      </c>
      <c r="H1180" s="548" t="s">
        <v>115</v>
      </c>
      <c r="I1180" s="583" t="s">
        <v>983</v>
      </c>
      <c r="J1180" s="548" t="s">
        <v>850</v>
      </c>
      <c r="K1180" s="583" t="s">
        <v>946</v>
      </c>
      <c r="L1180" s="583" t="s">
        <v>947</v>
      </c>
      <c r="M1180" s="619" t="s">
        <v>114</v>
      </c>
      <c r="N1180" s="620">
        <v>44526</v>
      </c>
      <c r="O1180" s="684" t="s">
        <v>67</v>
      </c>
      <c r="P1180" s="503">
        <f t="shared" si="65"/>
        <v>11</v>
      </c>
      <c r="Q1180" s="503">
        <f t="shared" si="66"/>
        <v>11</v>
      </c>
      <c r="R1180" s="504" t="str">
        <f t="shared" si="67"/>
        <v>Gastos_Gerais</v>
      </c>
      <c r="S1180" s="504" t="str">
        <f>IF(D1180="","",IF(OR(D1180=Plano!$A$1,D1180=Plano!$B$1),"entrada","saída"))</f>
        <v>saída</v>
      </c>
      <c r="T1180" s="546" t="s">
        <v>114</v>
      </c>
      <c r="U1180" s="546" t="s">
        <v>114</v>
      </c>
      <c r="V1180" s="541"/>
    </row>
    <row r="1181" spans="1:22" ht="72.75" customHeight="1" x14ac:dyDescent="0.2">
      <c r="A1181" s="619">
        <f>IF(B1181="","",COUNT('Diário 5º PA'!$A$5:$A$2634)+COUNT('Diário 6º PA'!$A$5:$A$2246)+COUNT('Diário 7º PA'!$A$5:$A$2271)+ROW()-4)</f>
        <v>5127</v>
      </c>
      <c r="B1181" s="620">
        <v>44526</v>
      </c>
      <c r="C1181" s="624">
        <v>44470</v>
      </c>
      <c r="D1181" s="548" t="s">
        <v>99</v>
      </c>
      <c r="E1181" s="548" t="s">
        <v>364</v>
      </c>
      <c r="F1181" s="622">
        <v>-1940</v>
      </c>
      <c r="G1181" s="623" t="s">
        <v>6405</v>
      </c>
      <c r="H1181" s="548" t="s">
        <v>116</v>
      </c>
      <c r="I1181" s="583" t="s">
        <v>983</v>
      </c>
      <c r="J1181" s="548" t="s">
        <v>850</v>
      </c>
      <c r="K1181" s="583" t="s">
        <v>946</v>
      </c>
      <c r="L1181" s="583" t="s">
        <v>947</v>
      </c>
      <c r="M1181" s="619" t="s">
        <v>114</v>
      </c>
      <c r="N1181" s="620">
        <v>44526</v>
      </c>
      <c r="O1181" s="684" t="s">
        <v>67</v>
      </c>
      <c r="P1181" s="503">
        <f t="shared" si="65"/>
        <v>11</v>
      </c>
      <c r="Q1181" s="503">
        <f t="shared" si="66"/>
        <v>10</v>
      </c>
      <c r="R1181" s="504" t="str">
        <f t="shared" si="67"/>
        <v>Gastos_Gerais</v>
      </c>
      <c r="S1181" s="504" t="str">
        <f>IF(D1181="","",IF(OR(D1181=Plano!$A$1,D1181=Plano!$B$1),"entrada","saída"))</f>
        <v>saída</v>
      </c>
      <c r="T1181" s="546" t="s">
        <v>114</v>
      </c>
      <c r="U1181" s="546" t="s">
        <v>114</v>
      </c>
      <c r="V1181" s="541"/>
    </row>
    <row r="1182" spans="1:22" ht="111" customHeight="1" x14ac:dyDescent="0.2">
      <c r="A1182" s="619">
        <f>IF(B1182="","",COUNT('Diário 5º PA'!$A$5:$A$2634)+COUNT('Diário 6º PA'!$A$5:$A$2246)+COUNT('Diário 7º PA'!$A$5:$A$2271)+ROW()-4)</f>
        <v>5128</v>
      </c>
      <c r="B1182" s="620">
        <v>44526</v>
      </c>
      <c r="C1182" s="624">
        <v>44409</v>
      </c>
      <c r="D1182" s="548" t="s">
        <v>99</v>
      </c>
      <c r="E1182" s="548" t="s">
        <v>342</v>
      </c>
      <c r="F1182" s="622">
        <f>960-40-248</f>
        <v>672</v>
      </c>
      <c r="G1182" s="623" t="s">
        <v>821</v>
      </c>
      <c r="H1182" s="548" t="s">
        <v>122</v>
      </c>
      <c r="I1182" s="583" t="s">
        <v>6407</v>
      </c>
      <c r="J1182" s="548" t="s">
        <v>822</v>
      </c>
      <c r="K1182" s="583" t="s">
        <v>1015</v>
      </c>
      <c r="L1182" s="583" t="s">
        <v>1029</v>
      </c>
      <c r="M1182" s="619">
        <v>1391</v>
      </c>
      <c r="N1182" s="620">
        <v>44489</v>
      </c>
      <c r="O1182" s="684" t="s">
        <v>67</v>
      </c>
      <c r="P1182" s="503">
        <f t="shared" si="65"/>
        <v>11</v>
      </c>
      <c r="Q1182" s="503">
        <f t="shared" si="66"/>
        <v>8</v>
      </c>
      <c r="R1182" s="504" t="str">
        <f t="shared" si="67"/>
        <v>Gastos_Gerais</v>
      </c>
      <c r="S1182" s="504" t="str">
        <f>IF(D1182="","",IF(OR(D1182=Plano!$A$1,D1182=Plano!$B$1),"entrada","saída"))</f>
        <v>saída</v>
      </c>
      <c r="T1182" s="505" t="s">
        <v>6406</v>
      </c>
      <c r="U1182" s="505">
        <v>1950</v>
      </c>
      <c r="V1182" s="541"/>
    </row>
    <row r="1183" spans="1:22" ht="63.75" customHeight="1" x14ac:dyDescent="0.2">
      <c r="A1183" s="619">
        <f>IF(B1183="","",COUNT('Diário 5º PA'!$A$5:$A$2634)+COUNT('Diário 6º PA'!$A$5:$A$2246)+COUNT('Diário 7º PA'!$A$5:$A$2271)+ROW()-4)</f>
        <v>5129</v>
      </c>
      <c r="B1183" s="620">
        <v>44526</v>
      </c>
      <c r="C1183" s="624">
        <v>44501</v>
      </c>
      <c r="D1183" s="548" t="s">
        <v>99</v>
      </c>
      <c r="E1183" s="548" t="s">
        <v>358</v>
      </c>
      <c r="F1183" s="622">
        <v>500</v>
      </c>
      <c r="G1183" s="623" t="s">
        <v>6265</v>
      </c>
      <c r="H1183" s="548" t="s">
        <v>128</v>
      </c>
      <c r="I1183" s="583" t="s">
        <v>6408</v>
      </c>
      <c r="J1183" s="548" t="s">
        <v>6266</v>
      </c>
      <c r="K1183" s="583" t="s">
        <v>1015</v>
      </c>
      <c r="L1183" s="583" t="s">
        <v>992</v>
      </c>
      <c r="M1183" s="619" t="s">
        <v>1394</v>
      </c>
      <c r="N1183" s="620">
        <v>44525</v>
      </c>
      <c r="O1183" s="684" t="s">
        <v>67</v>
      </c>
      <c r="P1183" s="503">
        <f t="shared" si="65"/>
        <v>11</v>
      </c>
      <c r="Q1183" s="503">
        <f t="shared" si="66"/>
        <v>11</v>
      </c>
      <c r="R1183" s="504" t="str">
        <f t="shared" si="67"/>
        <v>Gastos_Gerais</v>
      </c>
      <c r="S1183" s="504" t="str">
        <f>IF(D1183="","",IF(OR(D1183=Plano!$A$1,D1183=Plano!$B$1),"entrada","saída"))</f>
        <v>saída</v>
      </c>
      <c r="T1183" s="505" t="s">
        <v>994</v>
      </c>
      <c r="U1183" s="505">
        <v>2364</v>
      </c>
      <c r="V1183" s="541"/>
    </row>
    <row r="1184" spans="1:22" ht="147" customHeight="1" x14ac:dyDescent="0.2">
      <c r="A1184" s="619">
        <f>IF(B1184="","",COUNT('Diário 5º PA'!$A$5:$A$2634)+COUNT('Diário 6º PA'!$A$5:$A$2246)+COUNT('Diário 7º PA'!$A$5:$A$2271)+ROW()-4)</f>
        <v>5130</v>
      </c>
      <c r="B1184" s="620">
        <v>44526</v>
      </c>
      <c r="C1184" s="624">
        <v>44501</v>
      </c>
      <c r="D1184" s="548" t="s">
        <v>99</v>
      </c>
      <c r="E1184" s="548" t="s">
        <v>310</v>
      </c>
      <c r="F1184" s="622">
        <v>695</v>
      </c>
      <c r="G1184" s="623" t="s">
        <v>5998</v>
      </c>
      <c r="H1184" s="548" t="s">
        <v>116</v>
      </c>
      <c r="I1184" s="583" t="s">
        <v>6409</v>
      </c>
      <c r="J1184" s="548" t="s">
        <v>5999</v>
      </c>
      <c r="K1184" s="583" t="s">
        <v>1015</v>
      </c>
      <c r="L1184" s="583" t="s">
        <v>992</v>
      </c>
      <c r="M1184" s="626">
        <v>30723831</v>
      </c>
      <c r="N1184" s="620">
        <v>44525</v>
      </c>
      <c r="O1184" s="684" t="s">
        <v>67</v>
      </c>
      <c r="P1184" s="503">
        <f t="shared" si="65"/>
        <v>11</v>
      </c>
      <c r="Q1184" s="503">
        <f t="shared" si="66"/>
        <v>11</v>
      </c>
      <c r="R1184" s="504" t="str">
        <f t="shared" si="67"/>
        <v>Gastos_Gerais</v>
      </c>
      <c r="S1184" s="504" t="str">
        <f>IF(D1184="","",IF(OR(D1184=Plano!$A$1,D1184=Plano!$B$1),"entrada","saída"))</f>
        <v>saída</v>
      </c>
      <c r="T1184" s="505" t="s">
        <v>994</v>
      </c>
      <c r="U1184" s="505">
        <v>2333</v>
      </c>
      <c r="V1184" s="541"/>
    </row>
    <row r="1185" spans="1:22" ht="117.75" customHeight="1" x14ac:dyDescent="0.2">
      <c r="A1185" s="619">
        <f>IF(B1185="","",COUNT('Diário 5º PA'!$A$5:$A$2634)+COUNT('Diário 6º PA'!$A$5:$A$2246)+COUNT('Diário 7º PA'!$A$5:$A$2271)+ROW()-4)</f>
        <v>5131</v>
      </c>
      <c r="B1185" s="620">
        <v>44526</v>
      </c>
      <c r="C1185" s="624">
        <v>44501</v>
      </c>
      <c r="D1185" s="548" t="s">
        <v>99</v>
      </c>
      <c r="E1185" s="548" t="s">
        <v>350</v>
      </c>
      <c r="F1185" s="622">
        <v>1700</v>
      </c>
      <c r="G1185" s="623" t="s">
        <v>6340</v>
      </c>
      <c r="H1185" s="548" t="s">
        <v>116</v>
      </c>
      <c r="I1185" s="583" t="s">
        <v>6234</v>
      </c>
      <c r="J1185" s="548" t="s">
        <v>1798</v>
      </c>
      <c r="K1185" s="583" t="s">
        <v>1015</v>
      </c>
      <c r="L1185" s="583" t="s">
        <v>1177</v>
      </c>
      <c r="M1185" s="619" t="s">
        <v>114</v>
      </c>
      <c r="N1185" s="620">
        <v>44526</v>
      </c>
      <c r="O1185" s="684" t="s">
        <v>67</v>
      </c>
      <c r="P1185" s="503">
        <f t="shared" si="65"/>
        <v>11</v>
      </c>
      <c r="Q1185" s="503">
        <f t="shared" si="66"/>
        <v>11</v>
      </c>
      <c r="R1185" s="504" t="str">
        <f t="shared" si="67"/>
        <v>Gastos_Gerais</v>
      </c>
      <c r="S1185" s="504" t="str">
        <f>IF(D1185="","",IF(OR(D1185=Plano!$A$1,D1185=Plano!$B$1),"entrada","saída"))</f>
        <v>saída</v>
      </c>
      <c r="T1185" s="505" t="s">
        <v>994</v>
      </c>
      <c r="U1185" s="505">
        <v>2316</v>
      </c>
      <c r="V1185" s="541"/>
    </row>
    <row r="1186" spans="1:22" ht="75.75" customHeight="1" x14ac:dyDescent="0.2">
      <c r="A1186" s="619">
        <f>IF(B1186="","",COUNT('Diário 5º PA'!$A$5:$A$2634)+COUNT('Diário 6º PA'!$A$5:$A$2246)+COUNT('Diário 7º PA'!$A$5:$A$2271)+ROW()-4)</f>
        <v>5132</v>
      </c>
      <c r="B1186" s="620">
        <v>44526</v>
      </c>
      <c r="C1186" s="624">
        <v>44501</v>
      </c>
      <c r="D1186" s="548" t="s">
        <v>99</v>
      </c>
      <c r="E1186" s="548" t="s">
        <v>350</v>
      </c>
      <c r="F1186" s="622">
        <v>3159.8</v>
      </c>
      <c r="G1186" s="623" t="s">
        <v>6179</v>
      </c>
      <c r="H1186" s="548" t="s">
        <v>128</v>
      </c>
      <c r="I1186" s="583" t="s">
        <v>6376</v>
      </c>
      <c r="J1186" s="548" t="s">
        <v>6122</v>
      </c>
      <c r="K1186" s="583" t="s">
        <v>1015</v>
      </c>
      <c r="L1186" s="583" t="s">
        <v>1177</v>
      </c>
      <c r="M1186" s="619" t="s">
        <v>114</v>
      </c>
      <c r="N1186" s="620">
        <v>44526</v>
      </c>
      <c r="O1186" s="684" t="s">
        <v>67</v>
      </c>
      <c r="P1186" s="503">
        <f t="shared" si="65"/>
        <v>11</v>
      </c>
      <c r="Q1186" s="503">
        <f t="shared" si="66"/>
        <v>11</v>
      </c>
      <c r="R1186" s="504" t="str">
        <f t="shared" si="67"/>
        <v>Gastos_Gerais</v>
      </c>
      <c r="S1186" s="504" t="str">
        <f>IF(D1186="","",IF(OR(D1186=Plano!$A$1,D1186=Plano!$B$1),"entrada","saída"))</f>
        <v>saída</v>
      </c>
      <c r="T1186" s="505" t="s">
        <v>994</v>
      </c>
      <c r="U1186" s="505">
        <v>2367</v>
      </c>
      <c r="V1186" s="541"/>
    </row>
    <row r="1187" spans="1:22" ht="53.25" customHeight="1" x14ac:dyDescent="0.2">
      <c r="A1187" s="619">
        <f>IF(B1187="","",COUNT('Diário 5º PA'!$A$5:$A$2634)+COUNT('Diário 6º PA'!$A$5:$A$2246)+COUNT('Diário 7º PA'!$A$5:$A$2271)+ROW()-4)</f>
        <v>5133</v>
      </c>
      <c r="B1187" s="620">
        <v>44526</v>
      </c>
      <c r="C1187" s="624">
        <v>44470</v>
      </c>
      <c r="D1187" s="548" t="s">
        <v>99</v>
      </c>
      <c r="E1187" s="548" t="s">
        <v>364</v>
      </c>
      <c r="F1187" s="622">
        <v>2462.5500000000002</v>
      </c>
      <c r="G1187" s="623" t="s">
        <v>5794</v>
      </c>
      <c r="H1187" s="548" t="s">
        <v>122</v>
      </c>
      <c r="I1187" s="583" t="s">
        <v>2086</v>
      </c>
      <c r="J1187" s="548" t="s">
        <v>2087</v>
      </c>
      <c r="K1187" s="583" t="s">
        <v>1015</v>
      </c>
      <c r="L1187" s="583" t="s">
        <v>1029</v>
      </c>
      <c r="M1187" s="619">
        <v>1454</v>
      </c>
      <c r="N1187" s="620">
        <v>44526</v>
      </c>
      <c r="O1187" s="684" t="s">
        <v>67</v>
      </c>
      <c r="P1187" s="503">
        <f t="shared" si="65"/>
        <v>11</v>
      </c>
      <c r="Q1187" s="503">
        <f t="shared" si="66"/>
        <v>10</v>
      </c>
      <c r="R1187" s="504" t="str">
        <f t="shared" si="67"/>
        <v>Gastos_Gerais</v>
      </c>
      <c r="S1187" s="504" t="str">
        <f>IF(D1187="","",IF(OR(D1187=Plano!$A$1,D1187=Plano!$B$1),"entrada","saída"))</f>
        <v>saída</v>
      </c>
      <c r="T1187" s="505" t="s">
        <v>994</v>
      </c>
      <c r="U1187" s="505">
        <v>2279</v>
      </c>
      <c r="V1187" s="541"/>
    </row>
    <row r="1188" spans="1:22" ht="50.1" customHeight="1" x14ac:dyDescent="0.2">
      <c r="A1188" s="619">
        <f>IF(B1188="","",COUNT('Diário 5º PA'!$A$5:$A$2634)+COUNT('Diário 6º PA'!$A$5:$A$2246)+COUNT('Diário 7º PA'!$A$5:$A$2271)+ROW()-4)</f>
        <v>5134</v>
      </c>
      <c r="B1188" s="620">
        <v>44526</v>
      </c>
      <c r="C1188" s="624">
        <v>44501</v>
      </c>
      <c r="D1188" s="548" t="s">
        <v>88</v>
      </c>
      <c r="E1188" s="548" t="s">
        <v>194</v>
      </c>
      <c r="F1188" s="622">
        <v>26572.04</v>
      </c>
      <c r="G1188" s="623" t="s">
        <v>1260</v>
      </c>
      <c r="H1188" s="548" t="s">
        <v>114</v>
      </c>
      <c r="I1188" s="583" t="s">
        <v>532</v>
      </c>
      <c r="J1188" s="548" t="s">
        <v>1261</v>
      </c>
      <c r="K1188" s="583" t="s">
        <v>560</v>
      </c>
      <c r="L1188" s="583" t="s">
        <v>992</v>
      </c>
      <c r="M1188" s="619">
        <v>136288</v>
      </c>
      <c r="N1188" s="620">
        <v>44530</v>
      </c>
      <c r="O1188" s="684" t="s">
        <v>67</v>
      </c>
      <c r="P1188" s="503">
        <f t="shared" si="65"/>
        <v>11</v>
      </c>
      <c r="Q1188" s="503">
        <f t="shared" si="66"/>
        <v>11</v>
      </c>
      <c r="R1188" s="504" t="str">
        <f t="shared" si="67"/>
        <v>Gastos_com_Pessoal</v>
      </c>
      <c r="S1188" s="504" t="str">
        <f>IF(D1188="","",IF(OR(D1188=Plano!$A$1,D1188=Plano!$B$1),"entrada","saída"))</f>
        <v>saída</v>
      </c>
      <c r="T1188" s="546" t="s">
        <v>114</v>
      </c>
      <c r="U1188" s="546" t="s">
        <v>114</v>
      </c>
      <c r="V1188" s="541"/>
    </row>
    <row r="1189" spans="1:22" ht="50.1" customHeight="1" x14ac:dyDescent="0.2">
      <c r="A1189" s="619">
        <f>IF(B1189="","",COUNT('Diário 5º PA'!$A$5:$A$2634)+COUNT('Diário 6º PA'!$A$5:$A$2246)+COUNT('Diário 7º PA'!$A$5:$A$2271)+ROW()-4)</f>
        <v>5135</v>
      </c>
      <c r="B1189" s="620">
        <v>44526</v>
      </c>
      <c r="C1189" s="624">
        <v>44501</v>
      </c>
      <c r="D1189" s="548" t="s">
        <v>88</v>
      </c>
      <c r="E1189" s="548" t="s">
        <v>194</v>
      </c>
      <c r="F1189" s="622">
        <v>5114.05</v>
      </c>
      <c r="G1189" s="623" t="s">
        <v>1609</v>
      </c>
      <c r="H1189" s="548" t="s">
        <v>114</v>
      </c>
      <c r="I1189" s="583" t="s">
        <v>532</v>
      </c>
      <c r="J1189" s="548" t="s">
        <v>1261</v>
      </c>
      <c r="K1189" s="583" t="s">
        <v>560</v>
      </c>
      <c r="L1189" s="583" t="s">
        <v>992</v>
      </c>
      <c r="M1189" s="619">
        <v>146429</v>
      </c>
      <c r="N1189" s="620">
        <v>44531</v>
      </c>
      <c r="O1189" s="684" t="s">
        <v>67</v>
      </c>
      <c r="P1189" s="503">
        <f t="shared" si="65"/>
        <v>11</v>
      </c>
      <c r="Q1189" s="503">
        <f t="shared" si="66"/>
        <v>11</v>
      </c>
      <c r="R1189" s="504" t="str">
        <f t="shared" si="67"/>
        <v>Gastos_com_Pessoal</v>
      </c>
      <c r="S1189" s="504" t="str">
        <f>IF(D1189="","",IF(OR(D1189=Plano!$A$1,D1189=Plano!$B$1),"entrada","saída"))</f>
        <v>saída</v>
      </c>
      <c r="T1189" s="546" t="s">
        <v>114</v>
      </c>
      <c r="U1189" s="546" t="s">
        <v>114</v>
      </c>
      <c r="V1189" s="541"/>
    </row>
    <row r="1190" spans="1:22" ht="55.5" customHeight="1" x14ac:dyDescent="0.2">
      <c r="A1190" s="619">
        <f>IF(B1190="","",COUNT('Diário 5º PA'!$A$5:$A$2634)+COUNT('Diário 6º PA'!$A$5:$A$2246)+COUNT('Diário 7º PA'!$A$5:$A$2271)+ROW()-4)</f>
        <v>5136</v>
      </c>
      <c r="B1190" s="620">
        <v>44526</v>
      </c>
      <c r="C1190" s="624">
        <v>44501</v>
      </c>
      <c r="D1190" s="548" t="s">
        <v>99</v>
      </c>
      <c r="E1190" s="548" t="s">
        <v>276</v>
      </c>
      <c r="F1190" s="622">
        <v>456.74</v>
      </c>
      <c r="G1190" s="623" t="s">
        <v>6414</v>
      </c>
      <c r="H1190" s="548" t="s">
        <v>115</v>
      </c>
      <c r="I1190" s="583" t="s">
        <v>465</v>
      </c>
      <c r="J1190" s="548" t="s">
        <v>114</v>
      </c>
      <c r="K1190" s="583" t="s">
        <v>466</v>
      </c>
      <c r="L1190" s="583" t="s">
        <v>629</v>
      </c>
      <c r="M1190" s="619" t="s">
        <v>6415</v>
      </c>
      <c r="N1190" s="620">
        <v>44526</v>
      </c>
      <c r="O1190" s="684" t="s">
        <v>67</v>
      </c>
      <c r="P1190" s="503">
        <f t="shared" si="65"/>
        <v>11</v>
      </c>
      <c r="Q1190" s="503">
        <f t="shared" si="66"/>
        <v>11</v>
      </c>
      <c r="R1190" s="504" t="str">
        <f t="shared" si="67"/>
        <v>Gastos_Gerais</v>
      </c>
      <c r="S1190" s="504" t="str">
        <f>IF(D1190="","",IF(OR(D1190=Plano!$A$1,D1190=Plano!$B$1),"entrada","saída"))</f>
        <v>saída</v>
      </c>
      <c r="T1190" s="505" t="s">
        <v>114</v>
      </c>
      <c r="U1190" s="505" t="s">
        <v>114</v>
      </c>
      <c r="V1190" s="541"/>
    </row>
    <row r="1191" spans="1:22" ht="61.5" customHeight="1" x14ac:dyDescent="0.2">
      <c r="A1191" s="619">
        <f>IF(B1191="","",COUNT('Diário 5º PA'!$A$5:$A$2634)+COUNT('Diário 6º PA'!$A$5:$A$2246)+COUNT('Diário 7º PA'!$A$5:$A$2271)+ROW()-4)</f>
        <v>5137</v>
      </c>
      <c r="B1191" s="620">
        <v>44526</v>
      </c>
      <c r="C1191" s="624">
        <v>44501</v>
      </c>
      <c r="D1191" s="548" t="s">
        <v>99</v>
      </c>
      <c r="E1191" s="548" t="s">
        <v>358</v>
      </c>
      <c r="F1191" s="622">
        <v>300</v>
      </c>
      <c r="G1191" s="623" t="s">
        <v>6185</v>
      </c>
      <c r="H1191" s="548" t="s">
        <v>126</v>
      </c>
      <c r="I1191" s="583" t="s">
        <v>6416</v>
      </c>
      <c r="J1191" s="548" t="s">
        <v>6186</v>
      </c>
      <c r="K1191" s="583" t="s">
        <v>991</v>
      </c>
      <c r="L1191" s="583" t="s">
        <v>992</v>
      </c>
      <c r="M1191" s="619" t="s">
        <v>1305</v>
      </c>
      <c r="N1191" s="620">
        <v>44525</v>
      </c>
      <c r="O1191" s="684" t="s">
        <v>67</v>
      </c>
      <c r="P1191" s="503">
        <f t="shared" si="65"/>
        <v>11</v>
      </c>
      <c r="Q1191" s="503">
        <f t="shared" si="66"/>
        <v>11</v>
      </c>
      <c r="R1191" s="504" t="str">
        <f t="shared" si="67"/>
        <v>Gastos_Gerais</v>
      </c>
      <c r="S1191" s="504" t="str">
        <f>IF(D1191="","",IF(OR(D1191=Plano!$A$1,D1191=Plano!$B$1),"entrada","saída"))</f>
        <v>saída</v>
      </c>
      <c r="T1191" s="505" t="s">
        <v>994</v>
      </c>
      <c r="U1191" s="505">
        <v>2371</v>
      </c>
      <c r="V1191" s="541"/>
    </row>
    <row r="1192" spans="1:22" ht="128.25" customHeight="1" x14ac:dyDescent="0.2">
      <c r="A1192" s="619">
        <f>IF(B1192="","",COUNT('Diário 5º PA'!$A$5:$A$2634)+COUNT('Diário 6º PA'!$A$5:$A$2246)+COUNT('Diário 7º PA'!$A$5:$A$2271)+ROW()-4)</f>
        <v>5138</v>
      </c>
      <c r="B1192" s="620">
        <v>44526</v>
      </c>
      <c r="C1192" s="624">
        <v>44470</v>
      </c>
      <c r="D1192" s="548" t="s">
        <v>99</v>
      </c>
      <c r="E1192" s="548" t="s">
        <v>330</v>
      </c>
      <c r="F1192" s="622">
        <v>11625.6</v>
      </c>
      <c r="G1192" s="623" t="s">
        <v>5994</v>
      </c>
      <c r="H1192" s="548" t="s">
        <v>116</v>
      </c>
      <c r="I1192" s="583" t="s">
        <v>1978</v>
      </c>
      <c r="J1192" s="548" t="s">
        <v>5995</v>
      </c>
      <c r="K1192" s="583" t="s">
        <v>991</v>
      </c>
      <c r="L1192" s="583" t="s">
        <v>992</v>
      </c>
      <c r="M1192" s="619" t="s">
        <v>1944</v>
      </c>
      <c r="N1192" s="620">
        <v>44524</v>
      </c>
      <c r="O1192" s="684" t="s">
        <v>67</v>
      </c>
      <c r="P1192" s="503">
        <f t="shared" si="65"/>
        <v>11</v>
      </c>
      <c r="Q1192" s="503">
        <f t="shared" si="66"/>
        <v>10</v>
      </c>
      <c r="R1192" s="504" t="str">
        <f t="shared" si="67"/>
        <v>Gastos_Gerais</v>
      </c>
      <c r="S1192" s="504" t="str">
        <f>IF(D1192="","",IF(OR(D1192=Plano!$A$1,D1192=Plano!$B$1),"entrada","saída"))</f>
        <v>saída</v>
      </c>
      <c r="T1192" s="505" t="s">
        <v>994</v>
      </c>
      <c r="U1192" s="505">
        <v>2317</v>
      </c>
      <c r="V1192" s="541"/>
    </row>
    <row r="1193" spans="1:22" ht="55.5" customHeight="1" x14ac:dyDescent="0.2">
      <c r="A1193" s="619">
        <f>IF(B1193="","",COUNT('Diário 5º PA'!$A$5:$A$2634)+COUNT('Diário 6º PA'!$A$5:$A$2246)+COUNT('Diário 7º PA'!$A$5:$A$2271)+ROW()-4)</f>
        <v>5139</v>
      </c>
      <c r="B1193" s="620">
        <v>44526</v>
      </c>
      <c r="C1193" s="624">
        <v>44470</v>
      </c>
      <c r="D1193" s="548" t="s">
        <v>99</v>
      </c>
      <c r="E1193" s="548" t="s">
        <v>336</v>
      </c>
      <c r="F1193" s="622">
        <v>2425.5</v>
      </c>
      <c r="G1193" s="623" t="s">
        <v>5983</v>
      </c>
      <c r="H1193" s="548" t="s">
        <v>116</v>
      </c>
      <c r="I1193" s="583" t="s">
        <v>6418</v>
      </c>
      <c r="J1193" s="548" t="s">
        <v>929</v>
      </c>
      <c r="K1193" s="583" t="s">
        <v>991</v>
      </c>
      <c r="L1193" s="583" t="s">
        <v>992</v>
      </c>
      <c r="M1193" s="619">
        <v>198</v>
      </c>
      <c r="N1193" s="620">
        <v>44525</v>
      </c>
      <c r="O1193" s="684" t="s">
        <v>67</v>
      </c>
      <c r="P1193" s="503">
        <f t="shared" si="65"/>
        <v>11</v>
      </c>
      <c r="Q1193" s="503">
        <f t="shared" si="66"/>
        <v>10</v>
      </c>
      <c r="R1193" s="504" t="str">
        <f t="shared" si="67"/>
        <v>Gastos_Gerais</v>
      </c>
      <c r="S1193" s="504" t="str">
        <f>IF(D1193="","",IF(OR(D1193=Plano!$A$1,D1193=Plano!$B$1),"entrada","saída"))</f>
        <v>saída</v>
      </c>
      <c r="T1193" s="505" t="s">
        <v>994</v>
      </c>
      <c r="U1193" s="505">
        <v>2319</v>
      </c>
      <c r="V1193" s="541"/>
    </row>
    <row r="1194" spans="1:22" ht="46.5" customHeight="1" x14ac:dyDescent="0.2">
      <c r="A1194" s="619">
        <f>IF(B1194="","",COUNT('Diário 5º PA'!$A$5:$A$2634)+COUNT('Diário 6º PA'!$A$5:$A$2246)+COUNT('Diário 7º PA'!$A$5:$A$2271)+ROW()-4)</f>
        <v>5140</v>
      </c>
      <c r="B1194" s="620">
        <v>44526</v>
      </c>
      <c r="C1194" s="624">
        <v>44501</v>
      </c>
      <c r="D1194" s="548" t="s">
        <v>99</v>
      </c>
      <c r="E1194" s="548" t="s">
        <v>240</v>
      </c>
      <c r="F1194" s="622">
        <v>2369.25</v>
      </c>
      <c r="G1194" s="623" t="s">
        <v>6357</v>
      </c>
      <c r="H1194" s="548" t="s">
        <v>115</v>
      </c>
      <c r="I1194" s="583" t="s">
        <v>5085</v>
      </c>
      <c r="J1194" s="548" t="s">
        <v>5086</v>
      </c>
      <c r="K1194" s="583" t="s">
        <v>560</v>
      </c>
      <c r="L1194" s="583" t="s">
        <v>992</v>
      </c>
      <c r="M1194" s="619" t="s">
        <v>6420</v>
      </c>
      <c r="N1194" s="620">
        <v>44525</v>
      </c>
      <c r="O1194" s="684" t="s">
        <v>67</v>
      </c>
      <c r="P1194" s="503">
        <f t="shared" si="65"/>
        <v>11</v>
      </c>
      <c r="Q1194" s="503">
        <f t="shared" si="66"/>
        <v>11</v>
      </c>
      <c r="R1194" s="504" t="str">
        <f t="shared" si="67"/>
        <v>Gastos_Gerais</v>
      </c>
      <c r="S1194" s="504" t="str">
        <f>IF(D1194="","",IF(OR(D1194=Plano!$A$1,D1194=Plano!$B$1),"entrada","saída"))</f>
        <v>saída</v>
      </c>
      <c r="T1194" s="505" t="s">
        <v>994</v>
      </c>
      <c r="U1194" s="505">
        <v>2495</v>
      </c>
      <c r="V1194" s="541"/>
    </row>
    <row r="1195" spans="1:22" ht="77.25" customHeight="1" x14ac:dyDescent="0.2">
      <c r="A1195" s="619">
        <f>IF(B1195="","",COUNT('Diário 5º PA'!$A$5:$A$2634)+COUNT('Diário 6º PA'!$A$5:$A$2246)+COUNT('Diário 7º PA'!$A$5:$A$2271)+ROW()-4)</f>
        <v>5141</v>
      </c>
      <c r="B1195" s="620">
        <v>44526</v>
      </c>
      <c r="C1195" s="624">
        <v>44470</v>
      </c>
      <c r="D1195" s="548" t="s">
        <v>99</v>
      </c>
      <c r="E1195" s="548" t="s">
        <v>364</v>
      </c>
      <c r="F1195" s="622">
        <v>1953.4</v>
      </c>
      <c r="G1195" s="623" t="s">
        <v>5428</v>
      </c>
      <c r="H1195" s="548" t="s">
        <v>116</v>
      </c>
      <c r="I1195" s="583" t="s">
        <v>6422</v>
      </c>
      <c r="J1195" s="548" t="s">
        <v>6423</v>
      </c>
      <c r="K1195" s="583" t="s">
        <v>991</v>
      </c>
      <c r="L1195" s="583" t="s">
        <v>992</v>
      </c>
      <c r="M1195" s="619" t="s">
        <v>1675</v>
      </c>
      <c r="N1195" s="620">
        <v>44526</v>
      </c>
      <c r="O1195" s="684" t="s">
        <v>67</v>
      </c>
      <c r="P1195" s="503">
        <f t="shared" si="65"/>
        <v>11</v>
      </c>
      <c r="Q1195" s="503">
        <f t="shared" si="66"/>
        <v>10</v>
      </c>
      <c r="R1195" s="504" t="str">
        <f t="shared" si="67"/>
        <v>Gastos_Gerais</v>
      </c>
      <c r="S1195" s="504" t="str">
        <f>IF(D1195="","",IF(OR(D1195=Plano!$A$1,D1195=Plano!$B$1),"entrada","saída"))</f>
        <v>saída</v>
      </c>
      <c r="T1195" s="505" t="s">
        <v>994</v>
      </c>
      <c r="U1195" s="505">
        <v>2176</v>
      </c>
      <c r="V1195" s="541"/>
    </row>
    <row r="1196" spans="1:22" ht="50.1" customHeight="1" x14ac:dyDescent="0.2">
      <c r="A1196" s="619">
        <f>IF(B1196="","",COUNT('Diário 5º PA'!$A$5:$A$2634)+COUNT('Diário 6º PA'!$A$5:$A$2246)+COUNT('Diário 7º PA'!$A$5:$A$2271)+ROW()-4)</f>
        <v>5142</v>
      </c>
      <c r="B1196" s="620">
        <v>44526</v>
      </c>
      <c r="C1196" s="621">
        <v>44501</v>
      </c>
      <c r="D1196" s="548" t="s">
        <v>99</v>
      </c>
      <c r="E1196" s="548" t="s">
        <v>272</v>
      </c>
      <c r="F1196" s="622">
        <v>10.45</v>
      </c>
      <c r="G1196" s="623" t="s">
        <v>6424</v>
      </c>
      <c r="H1196" s="548" t="s">
        <v>126</v>
      </c>
      <c r="I1196" s="583" t="s">
        <v>949</v>
      </c>
      <c r="J1196" s="548" t="s">
        <v>950</v>
      </c>
      <c r="K1196" s="583" t="s">
        <v>951</v>
      </c>
      <c r="L1196" s="583" t="s">
        <v>947</v>
      </c>
      <c r="M1196" s="625" t="s">
        <v>114</v>
      </c>
      <c r="N1196" s="620">
        <v>44526</v>
      </c>
      <c r="O1196" s="684" t="s">
        <v>67</v>
      </c>
      <c r="P1196" s="503">
        <f t="shared" si="65"/>
        <v>11</v>
      </c>
      <c r="Q1196" s="503">
        <f t="shared" si="66"/>
        <v>11</v>
      </c>
      <c r="R1196" s="504" t="str">
        <f t="shared" si="67"/>
        <v>Gastos_Gerais</v>
      </c>
      <c r="S1196" s="504" t="str">
        <f>IF(D1196="","",IF(OR(D1196=Plano!$A$1,D1196=Plano!$B$1),"entrada","saída"))</f>
        <v>saída</v>
      </c>
      <c r="T1196" s="511" t="s">
        <v>114</v>
      </c>
      <c r="U1196" s="511" t="s">
        <v>114</v>
      </c>
      <c r="V1196" s="541"/>
    </row>
    <row r="1197" spans="1:22" ht="50.1" customHeight="1" x14ac:dyDescent="0.2">
      <c r="A1197" s="619">
        <f>IF(B1197="","",COUNT('Diário 5º PA'!$A$5:$A$2634)+COUNT('Diário 6º PA'!$A$5:$A$2246)+COUNT('Diário 7º PA'!$A$5:$A$2271)+ROW()-4)</f>
        <v>5143</v>
      </c>
      <c r="B1197" s="620">
        <v>44526</v>
      </c>
      <c r="C1197" s="621">
        <v>44501</v>
      </c>
      <c r="D1197" s="548" t="s">
        <v>99</v>
      </c>
      <c r="E1197" s="548" t="s">
        <v>272</v>
      </c>
      <c r="F1197" s="622">
        <v>10.45</v>
      </c>
      <c r="G1197" s="623" t="s">
        <v>6425</v>
      </c>
      <c r="H1197" s="548" t="s">
        <v>116</v>
      </c>
      <c r="I1197" s="583" t="s">
        <v>949</v>
      </c>
      <c r="J1197" s="548" t="s">
        <v>950</v>
      </c>
      <c r="K1197" s="583" t="s">
        <v>951</v>
      </c>
      <c r="L1197" s="583" t="s">
        <v>947</v>
      </c>
      <c r="M1197" s="625" t="s">
        <v>114</v>
      </c>
      <c r="N1197" s="620">
        <v>44526</v>
      </c>
      <c r="O1197" s="684" t="s">
        <v>67</v>
      </c>
      <c r="P1197" s="503">
        <f t="shared" si="65"/>
        <v>11</v>
      </c>
      <c r="Q1197" s="503">
        <f t="shared" si="66"/>
        <v>11</v>
      </c>
      <c r="R1197" s="504" t="str">
        <f t="shared" si="67"/>
        <v>Gastos_Gerais</v>
      </c>
      <c r="S1197" s="504" t="str">
        <f>IF(D1197="","",IF(OR(D1197=Plano!$A$1,D1197=Plano!$B$1),"entrada","saída"))</f>
        <v>saída</v>
      </c>
      <c r="T1197" s="511" t="s">
        <v>114</v>
      </c>
      <c r="U1197" s="511" t="s">
        <v>114</v>
      </c>
      <c r="V1197" s="541"/>
    </row>
    <row r="1198" spans="1:22" ht="50.1" customHeight="1" x14ac:dyDescent="0.2">
      <c r="A1198" s="619">
        <f>IF(B1198="","",COUNT('Diário 5º PA'!$A$5:$A$2634)+COUNT('Diário 6º PA'!$A$5:$A$2246)+COUNT('Diário 7º PA'!$A$5:$A$2271)+ROW()-4)</f>
        <v>5144</v>
      </c>
      <c r="B1198" s="620">
        <v>44526</v>
      </c>
      <c r="C1198" s="621">
        <v>44501</v>
      </c>
      <c r="D1198" s="548" t="s">
        <v>99</v>
      </c>
      <c r="E1198" s="548" t="s">
        <v>272</v>
      </c>
      <c r="F1198" s="622">
        <v>10.45</v>
      </c>
      <c r="G1198" s="623" t="s">
        <v>6426</v>
      </c>
      <c r="H1198" s="548" t="s">
        <v>116</v>
      </c>
      <c r="I1198" s="583" t="s">
        <v>949</v>
      </c>
      <c r="J1198" s="548" t="s">
        <v>950</v>
      </c>
      <c r="K1198" s="583" t="s">
        <v>951</v>
      </c>
      <c r="L1198" s="583" t="s">
        <v>947</v>
      </c>
      <c r="M1198" s="625" t="s">
        <v>114</v>
      </c>
      <c r="N1198" s="620">
        <v>44526</v>
      </c>
      <c r="O1198" s="684" t="s">
        <v>67</v>
      </c>
      <c r="P1198" s="503">
        <f t="shared" si="65"/>
        <v>11</v>
      </c>
      <c r="Q1198" s="503">
        <f t="shared" si="66"/>
        <v>11</v>
      </c>
      <c r="R1198" s="504" t="str">
        <f t="shared" si="67"/>
        <v>Gastos_Gerais</v>
      </c>
      <c r="S1198" s="504" t="str">
        <f>IF(D1198="","",IF(OR(D1198=Plano!$A$1,D1198=Plano!$B$1),"entrada","saída"))</f>
        <v>saída</v>
      </c>
      <c r="T1198" s="511" t="s">
        <v>114</v>
      </c>
      <c r="U1198" s="511" t="s">
        <v>114</v>
      </c>
      <c r="V1198" s="541"/>
    </row>
    <row r="1199" spans="1:22" ht="50.1" customHeight="1" x14ac:dyDescent="0.2">
      <c r="A1199" s="619">
        <f>IF(B1199="","",COUNT('Diário 5º PA'!$A$5:$A$2634)+COUNT('Diário 6º PA'!$A$5:$A$2246)+COUNT('Diário 7º PA'!$A$5:$A$2271)+ROW()-4)</f>
        <v>5145</v>
      </c>
      <c r="B1199" s="620">
        <v>44526</v>
      </c>
      <c r="C1199" s="621">
        <v>44501</v>
      </c>
      <c r="D1199" s="548" t="s">
        <v>99</v>
      </c>
      <c r="E1199" s="548" t="s">
        <v>272</v>
      </c>
      <c r="F1199" s="622">
        <v>10.45</v>
      </c>
      <c r="G1199" s="623" t="s">
        <v>6427</v>
      </c>
      <c r="H1199" s="548" t="s">
        <v>116</v>
      </c>
      <c r="I1199" s="583" t="s">
        <v>949</v>
      </c>
      <c r="J1199" s="548" t="s">
        <v>950</v>
      </c>
      <c r="K1199" s="583" t="s">
        <v>951</v>
      </c>
      <c r="L1199" s="583" t="s">
        <v>947</v>
      </c>
      <c r="M1199" s="625" t="s">
        <v>114</v>
      </c>
      <c r="N1199" s="620">
        <v>44526</v>
      </c>
      <c r="O1199" s="684" t="s">
        <v>67</v>
      </c>
      <c r="P1199" s="503">
        <f t="shared" si="65"/>
        <v>11</v>
      </c>
      <c r="Q1199" s="503">
        <f t="shared" si="66"/>
        <v>11</v>
      </c>
      <c r="R1199" s="504" t="str">
        <f t="shared" si="67"/>
        <v>Gastos_Gerais</v>
      </c>
      <c r="S1199" s="504" t="str">
        <f>IF(D1199="","",IF(OR(D1199=Plano!$A$1,D1199=Plano!$B$1),"entrada","saída"))</f>
        <v>saída</v>
      </c>
      <c r="T1199" s="511" t="s">
        <v>114</v>
      </c>
      <c r="U1199" s="511" t="s">
        <v>114</v>
      </c>
      <c r="V1199" s="541"/>
    </row>
    <row r="1200" spans="1:22" s="559" customFormat="1" ht="50.1" customHeight="1" x14ac:dyDescent="0.2">
      <c r="A1200" s="619">
        <f>IF(B1200="","",COUNT('Diário 5º PA'!$A$5:$A$2634)+COUNT('Diário 6º PA'!$A$5:$A$2246)+COUNT('Diário 7º PA'!$A$5:$A$2271)+ROW()-4)</f>
        <v>5146</v>
      </c>
      <c r="B1200" s="620">
        <v>44526</v>
      </c>
      <c r="C1200" s="621">
        <v>44501</v>
      </c>
      <c r="D1200" s="548" t="s">
        <v>104</v>
      </c>
      <c r="E1200" s="548" t="s">
        <v>104</v>
      </c>
      <c r="F1200" s="655">
        <v>840</v>
      </c>
      <c r="G1200" s="648" t="s">
        <v>7090</v>
      </c>
      <c r="H1200" s="548" t="s">
        <v>104</v>
      </c>
      <c r="I1200" s="627" t="s">
        <v>7084</v>
      </c>
      <c r="J1200" s="647" t="s">
        <v>7080</v>
      </c>
      <c r="K1200" s="583" t="s">
        <v>991</v>
      </c>
      <c r="L1200" s="658" t="s">
        <v>1901</v>
      </c>
      <c r="M1200" s="653">
        <v>1457</v>
      </c>
      <c r="N1200" s="656">
        <v>44525</v>
      </c>
      <c r="O1200" s="684" t="s">
        <v>5377</v>
      </c>
      <c r="P1200" s="503">
        <f t="shared" si="65"/>
        <v>11</v>
      </c>
      <c r="Q1200" s="503">
        <f t="shared" si="66"/>
        <v>11</v>
      </c>
      <c r="R1200" s="504" t="str">
        <f t="shared" si="67"/>
        <v>Gastos_custeados_por_captação</v>
      </c>
      <c r="S1200" s="504" t="str">
        <f>IF(D1200="","",IF(OR(D1200=Plano!$A$1,D1200=Plano!$B$1),"entrada","saída"))</f>
        <v>saída</v>
      </c>
      <c r="T1200" s="511" t="s">
        <v>994</v>
      </c>
      <c r="U1200" s="511">
        <v>2420</v>
      </c>
      <c r="V1200" s="541"/>
    </row>
    <row r="1201" spans="1:22" s="559" customFormat="1" ht="50.1" customHeight="1" x14ac:dyDescent="0.2">
      <c r="A1201" s="619">
        <f>IF(B1201="","",COUNT('Diário 5º PA'!$A$5:$A$2634)+COUNT('Diário 6º PA'!$A$5:$A$2246)+COUNT('Diário 7º PA'!$A$5:$A$2271)+ROW()-4)</f>
        <v>5147</v>
      </c>
      <c r="B1201" s="620">
        <v>44526</v>
      </c>
      <c r="C1201" s="621">
        <v>44501</v>
      </c>
      <c r="D1201" s="548" t="s">
        <v>104</v>
      </c>
      <c r="E1201" s="548" t="s">
        <v>104</v>
      </c>
      <c r="F1201" s="655">
        <v>504</v>
      </c>
      <c r="G1201" s="648" t="s">
        <v>7091</v>
      </c>
      <c r="H1201" s="548" t="s">
        <v>104</v>
      </c>
      <c r="I1201" s="627" t="s">
        <v>7085</v>
      </c>
      <c r="J1201" s="647" t="s">
        <v>7081</v>
      </c>
      <c r="K1201" s="583" t="s">
        <v>991</v>
      </c>
      <c r="L1201" s="658" t="s">
        <v>1901</v>
      </c>
      <c r="M1201" s="653">
        <v>1456</v>
      </c>
      <c r="N1201" s="656">
        <v>44524</v>
      </c>
      <c r="O1201" s="684" t="s">
        <v>5377</v>
      </c>
      <c r="P1201" s="503">
        <f t="shared" si="65"/>
        <v>11</v>
      </c>
      <c r="Q1201" s="503">
        <f t="shared" si="66"/>
        <v>11</v>
      </c>
      <c r="R1201" s="504" t="str">
        <f t="shared" si="67"/>
        <v>Gastos_custeados_por_captação</v>
      </c>
      <c r="S1201" s="504" t="str">
        <f>IF(D1201="","",IF(OR(D1201=Plano!$A$1,D1201=Plano!$B$1),"entrada","saída"))</f>
        <v>saída</v>
      </c>
      <c r="T1201" s="511" t="s">
        <v>994</v>
      </c>
      <c r="U1201" s="511">
        <v>2426</v>
      </c>
      <c r="V1201" s="541"/>
    </row>
    <row r="1202" spans="1:22" s="559" customFormat="1" ht="50.1" customHeight="1" x14ac:dyDescent="0.2">
      <c r="A1202" s="619">
        <f>IF(B1202="","",COUNT('Diário 5º PA'!$A$5:$A$2634)+COUNT('Diário 6º PA'!$A$5:$A$2246)+COUNT('Diário 7º PA'!$A$5:$A$2271)+ROW()-4)</f>
        <v>5148</v>
      </c>
      <c r="B1202" s="620">
        <v>44526</v>
      </c>
      <c r="C1202" s="621">
        <v>44501</v>
      </c>
      <c r="D1202" s="548" t="s">
        <v>104</v>
      </c>
      <c r="E1202" s="548" t="s">
        <v>104</v>
      </c>
      <c r="F1202" s="655">
        <v>336</v>
      </c>
      <c r="G1202" s="648" t="s">
        <v>7094</v>
      </c>
      <c r="H1202" s="548" t="s">
        <v>104</v>
      </c>
      <c r="I1202" s="627" t="s">
        <v>7086</v>
      </c>
      <c r="J1202" s="647" t="s">
        <v>7082</v>
      </c>
      <c r="K1202" s="583" t="s">
        <v>991</v>
      </c>
      <c r="L1202" s="658" t="s">
        <v>1029</v>
      </c>
      <c r="M1202" s="653">
        <v>1460</v>
      </c>
      <c r="N1202" s="656">
        <v>44525</v>
      </c>
      <c r="O1202" s="684" t="s">
        <v>5377</v>
      </c>
      <c r="P1202" s="503">
        <f t="shared" si="65"/>
        <v>11</v>
      </c>
      <c r="Q1202" s="503">
        <f t="shared" si="66"/>
        <v>11</v>
      </c>
      <c r="R1202" s="504" t="str">
        <f t="shared" si="67"/>
        <v>Gastos_custeados_por_captação</v>
      </c>
      <c r="S1202" s="504" t="str">
        <f>IF(D1202="","",IF(OR(D1202=Plano!$A$1,D1202=Plano!$B$1),"entrada","saída"))</f>
        <v>saída</v>
      </c>
      <c r="T1202" s="511" t="s">
        <v>994</v>
      </c>
      <c r="U1202" s="511">
        <v>2443</v>
      </c>
      <c r="V1202" s="541"/>
    </row>
    <row r="1203" spans="1:22" s="559" customFormat="1" ht="50.1" customHeight="1" x14ac:dyDescent="0.2">
      <c r="A1203" s="619">
        <f>IF(B1203="","",COUNT('Diário 5º PA'!$A$5:$A$2634)+COUNT('Diário 6º PA'!$A$5:$A$2246)+COUNT('Diário 7º PA'!$A$5:$A$2271)+ROW()-4)</f>
        <v>5149</v>
      </c>
      <c r="B1203" s="620">
        <v>44526</v>
      </c>
      <c r="C1203" s="621">
        <v>44501</v>
      </c>
      <c r="D1203" s="548" t="s">
        <v>104</v>
      </c>
      <c r="E1203" s="548" t="s">
        <v>104</v>
      </c>
      <c r="F1203" s="655">
        <v>1000</v>
      </c>
      <c r="G1203" s="648" t="s">
        <v>7095</v>
      </c>
      <c r="H1203" s="548" t="s">
        <v>104</v>
      </c>
      <c r="I1203" s="627" t="s">
        <v>7087</v>
      </c>
      <c r="J1203" s="647" t="s">
        <v>7083</v>
      </c>
      <c r="K1203" s="583" t="s">
        <v>991</v>
      </c>
      <c r="L1203" s="658" t="s">
        <v>992</v>
      </c>
      <c r="M1203" s="653">
        <v>81</v>
      </c>
      <c r="N1203" s="656">
        <v>44525</v>
      </c>
      <c r="O1203" s="684" t="s">
        <v>5377</v>
      </c>
      <c r="P1203" s="503">
        <f t="shared" si="65"/>
        <v>11</v>
      </c>
      <c r="Q1203" s="503">
        <f t="shared" si="66"/>
        <v>11</v>
      </c>
      <c r="R1203" s="504" t="str">
        <f t="shared" si="67"/>
        <v>Gastos_custeados_por_captação</v>
      </c>
      <c r="S1203" s="504" t="str">
        <f>IF(D1203="","",IF(OR(D1203=Plano!$A$1,D1203=Plano!$B$1),"entrada","saída"))</f>
        <v>saída</v>
      </c>
      <c r="T1203" s="511" t="s">
        <v>994</v>
      </c>
      <c r="U1203" s="511">
        <v>2433</v>
      </c>
      <c r="V1203" s="541"/>
    </row>
    <row r="1204" spans="1:22" s="559" customFormat="1" ht="50.1" customHeight="1" x14ac:dyDescent="0.2">
      <c r="A1204" s="619">
        <f>IF(B1204="","",COUNT('Diário 5º PA'!$A$5:$A$2634)+COUNT('Diário 6º PA'!$A$5:$A$2246)+COUNT('Diário 7º PA'!$A$5:$A$2271)+ROW()-4)</f>
        <v>5150</v>
      </c>
      <c r="B1204" s="620">
        <v>44526</v>
      </c>
      <c r="C1204" s="621">
        <v>44501</v>
      </c>
      <c r="D1204" s="548" t="s">
        <v>104</v>
      </c>
      <c r="E1204" s="548" t="s">
        <v>104</v>
      </c>
      <c r="F1204" s="622">
        <v>10.45</v>
      </c>
      <c r="G1204" s="623" t="s">
        <v>5451</v>
      </c>
      <c r="H1204" s="548" t="s">
        <v>104</v>
      </c>
      <c r="I1204" s="583" t="s">
        <v>949</v>
      </c>
      <c r="J1204" s="548" t="s">
        <v>950</v>
      </c>
      <c r="K1204" s="583" t="s">
        <v>951</v>
      </c>
      <c r="L1204" s="583" t="s">
        <v>947</v>
      </c>
      <c r="M1204" s="625" t="s">
        <v>114</v>
      </c>
      <c r="N1204" s="620">
        <v>44526</v>
      </c>
      <c r="O1204" s="684" t="s">
        <v>5377</v>
      </c>
      <c r="P1204" s="503">
        <f t="shared" si="65"/>
        <v>11</v>
      </c>
      <c r="Q1204" s="503">
        <f t="shared" si="66"/>
        <v>11</v>
      </c>
      <c r="R1204" s="504" t="str">
        <f t="shared" si="67"/>
        <v>Gastos_custeados_por_captação</v>
      </c>
      <c r="S1204" s="504" t="str">
        <f>IF(D1204="","",IF(OR(D1204=Plano!$A$1,D1204=Plano!$B$1),"entrada","saída"))</f>
        <v>saída</v>
      </c>
      <c r="T1204" s="511" t="s">
        <v>114</v>
      </c>
      <c r="U1204" s="511" t="s">
        <v>114</v>
      </c>
      <c r="V1204" s="541"/>
    </row>
    <row r="1205" spans="1:22" s="559" customFormat="1" ht="50.1" customHeight="1" x14ac:dyDescent="0.2">
      <c r="A1205" s="619">
        <f>IF(B1205="","",COUNT('Diário 5º PA'!$A$5:$A$2634)+COUNT('Diário 6º PA'!$A$5:$A$2246)+COUNT('Diário 7º PA'!$A$5:$A$2271)+ROW()-4)</f>
        <v>5151</v>
      </c>
      <c r="B1205" s="620">
        <v>44526</v>
      </c>
      <c r="C1205" s="621">
        <v>44501</v>
      </c>
      <c r="D1205" s="548" t="s">
        <v>104</v>
      </c>
      <c r="E1205" s="548" t="s">
        <v>104</v>
      </c>
      <c r="F1205" s="622">
        <v>10.45</v>
      </c>
      <c r="G1205" s="623" t="s">
        <v>5451</v>
      </c>
      <c r="H1205" s="548" t="s">
        <v>104</v>
      </c>
      <c r="I1205" s="583" t="s">
        <v>949</v>
      </c>
      <c r="J1205" s="548" t="s">
        <v>950</v>
      </c>
      <c r="K1205" s="583" t="s">
        <v>951</v>
      </c>
      <c r="L1205" s="583" t="s">
        <v>947</v>
      </c>
      <c r="M1205" s="625" t="s">
        <v>114</v>
      </c>
      <c r="N1205" s="620">
        <v>44526</v>
      </c>
      <c r="O1205" s="684" t="s">
        <v>5377</v>
      </c>
      <c r="P1205" s="503">
        <f t="shared" si="65"/>
        <v>11</v>
      </c>
      <c r="Q1205" s="503">
        <f t="shared" si="66"/>
        <v>11</v>
      </c>
      <c r="R1205" s="504" t="str">
        <f t="shared" si="67"/>
        <v>Gastos_custeados_por_captação</v>
      </c>
      <c r="S1205" s="504" t="str">
        <f>IF(D1205="","",IF(OR(D1205=Plano!$A$1,D1205=Plano!$B$1),"entrada","saída"))</f>
        <v>saída</v>
      </c>
      <c r="T1205" s="511" t="s">
        <v>114</v>
      </c>
      <c r="U1205" s="511" t="s">
        <v>114</v>
      </c>
      <c r="V1205" s="541"/>
    </row>
    <row r="1206" spans="1:22" s="559" customFormat="1" ht="50.1" customHeight="1" x14ac:dyDescent="0.2">
      <c r="A1206" s="619">
        <f>IF(B1206="","",COUNT('Diário 5º PA'!$A$5:$A$2634)+COUNT('Diário 6º PA'!$A$5:$A$2246)+COUNT('Diário 7º PA'!$A$5:$A$2271)+ROW()-4)</f>
        <v>5152</v>
      </c>
      <c r="B1206" s="620">
        <v>44526</v>
      </c>
      <c r="C1206" s="621">
        <v>44501</v>
      </c>
      <c r="D1206" s="548" t="s">
        <v>104</v>
      </c>
      <c r="E1206" s="548" t="s">
        <v>104</v>
      </c>
      <c r="F1206" s="622">
        <v>10.45</v>
      </c>
      <c r="G1206" s="623" t="s">
        <v>5451</v>
      </c>
      <c r="H1206" s="548" t="s">
        <v>104</v>
      </c>
      <c r="I1206" s="583" t="s">
        <v>949</v>
      </c>
      <c r="J1206" s="548" t="s">
        <v>950</v>
      </c>
      <c r="K1206" s="583" t="s">
        <v>951</v>
      </c>
      <c r="L1206" s="583" t="s">
        <v>947</v>
      </c>
      <c r="M1206" s="625" t="s">
        <v>114</v>
      </c>
      <c r="N1206" s="620">
        <v>44526</v>
      </c>
      <c r="O1206" s="684" t="s">
        <v>5377</v>
      </c>
      <c r="P1206" s="503">
        <f t="shared" si="65"/>
        <v>11</v>
      </c>
      <c r="Q1206" s="503">
        <f t="shared" si="66"/>
        <v>11</v>
      </c>
      <c r="R1206" s="504" t="str">
        <f t="shared" si="67"/>
        <v>Gastos_custeados_por_captação</v>
      </c>
      <c r="S1206" s="504" t="str">
        <f>IF(D1206="","",IF(OR(D1206=Plano!$A$1,D1206=Plano!$B$1),"entrada","saída"))</f>
        <v>saída</v>
      </c>
      <c r="T1206" s="511" t="s">
        <v>114</v>
      </c>
      <c r="U1206" s="511" t="s">
        <v>114</v>
      </c>
      <c r="V1206" s="541"/>
    </row>
    <row r="1207" spans="1:22" s="559" customFormat="1" ht="50.1" customHeight="1" x14ac:dyDescent="0.2">
      <c r="A1207" s="619">
        <f>IF(B1207="","",COUNT('Diário 5º PA'!$A$5:$A$2634)+COUNT('Diário 6º PA'!$A$5:$A$2246)+COUNT('Diário 7º PA'!$A$5:$A$2271)+ROW()-4)</f>
        <v>5153</v>
      </c>
      <c r="B1207" s="620">
        <v>44526</v>
      </c>
      <c r="C1207" s="621">
        <v>44501</v>
      </c>
      <c r="D1207" s="548" t="s">
        <v>104</v>
      </c>
      <c r="E1207" s="548" t="s">
        <v>104</v>
      </c>
      <c r="F1207" s="622">
        <v>10.45</v>
      </c>
      <c r="G1207" s="623" t="s">
        <v>5451</v>
      </c>
      <c r="H1207" s="548" t="s">
        <v>104</v>
      </c>
      <c r="I1207" s="583" t="s">
        <v>949</v>
      </c>
      <c r="J1207" s="548" t="s">
        <v>950</v>
      </c>
      <c r="K1207" s="583" t="s">
        <v>951</v>
      </c>
      <c r="L1207" s="583" t="s">
        <v>947</v>
      </c>
      <c r="M1207" s="625" t="s">
        <v>114</v>
      </c>
      <c r="N1207" s="620">
        <v>44526</v>
      </c>
      <c r="O1207" s="684" t="s">
        <v>5377</v>
      </c>
      <c r="P1207" s="503">
        <f t="shared" si="65"/>
        <v>11</v>
      </c>
      <c r="Q1207" s="503">
        <f t="shared" si="66"/>
        <v>11</v>
      </c>
      <c r="R1207" s="504" t="str">
        <f t="shared" si="67"/>
        <v>Gastos_custeados_por_captação</v>
      </c>
      <c r="S1207" s="504" t="str">
        <f>IF(D1207="","",IF(OR(D1207=Plano!$A$1,D1207=Plano!$B$1),"entrada","saída"))</f>
        <v>saída</v>
      </c>
      <c r="T1207" s="511" t="s">
        <v>114</v>
      </c>
      <c r="U1207" s="511" t="s">
        <v>114</v>
      </c>
      <c r="V1207" s="541"/>
    </row>
    <row r="1208" spans="1:22" s="559" customFormat="1" ht="50.1" customHeight="1" x14ac:dyDescent="0.2">
      <c r="A1208" s="619">
        <f>IF(B1208="","",COUNT('Diário 5º PA'!$A$5:$A$2634)+COUNT('Diário 6º PA'!$A$5:$A$2246)+COUNT('Diário 7º PA'!$A$5:$A$2271)+ROW()-4)</f>
        <v>5154</v>
      </c>
      <c r="B1208" s="620">
        <v>44526</v>
      </c>
      <c r="C1208" s="621">
        <v>44501</v>
      </c>
      <c r="D1208" s="548" t="s">
        <v>104</v>
      </c>
      <c r="E1208" s="548" t="s">
        <v>104</v>
      </c>
      <c r="F1208" s="622">
        <v>10.45</v>
      </c>
      <c r="G1208" s="623" t="s">
        <v>5451</v>
      </c>
      <c r="H1208" s="548" t="s">
        <v>104</v>
      </c>
      <c r="I1208" s="583" t="s">
        <v>949</v>
      </c>
      <c r="J1208" s="548" t="s">
        <v>950</v>
      </c>
      <c r="K1208" s="583" t="s">
        <v>951</v>
      </c>
      <c r="L1208" s="583" t="s">
        <v>947</v>
      </c>
      <c r="M1208" s="625" t="s">
        <v>114</v>
      </c>
      <c r="N1208" s="620">
        <v>44526</v>
      </c>
      <c r="O1208" s="684" t="s">
        <v>5377</v>
      </c>
      <c r="P1208" s="503">
        <f t="shared" si="65"/>
        <v>11</v>
      </c>
      <c r="Q1208" s="503">
        <f t="shared" si="66"/>
        <v>11</v>
      </c>
      <c r="R1208" s="504" t="str">
        <f t="shared" si="67"/>
        <v>Gastos_custeados_por_captação</v>
      </c>
      <c r="S1208" s="504" t="str">
        <f>IF(D1208="","",IF(OR(D1208=Plano!$A$1,D1208=Plano!$B$1),"entrada","saída"))</f>
        <v>saída</v>
      </c>
      <c r="T1208" s="511" t="s">
        <v>114</v>
      </c>
      <c r="U1208" s="511" t="s">
        <v>114</v>
      </c>
      <c r="V1208" s="541"/>
    </row>
    <row r="1209" spans="1:22" s="559" customFormat="1" ht="50.1" customHeight="1" x14ac:dyDescent="0.2">
      <c r="A1209" s="619">
        <f>IF(B1209="","",COUNT('Diário 5º PA'!$A$5:$A$2634)+COUNT('Diário 6º PA'!$A$5:$A$2246)+COUNT('Diário 7º PA'!$A$5:$A$2271)+ROW()-4)</f>
        <v>5155</v>
      </c>
      <c r="B1209" s="620">
        <v>44526</v>
      </c>
      <c r="C1209" s="621">
        <v>44501</v>
      </c>
      <c r="D1209" s="548" t="s">
        <v>104</v>
      </c>
      <c r="E1209" s="548" t="s">
        <v>104</v>
      </c>
      <c r="F1209" s="622">
        <v>10.45</v>
      </c>
      <c r="G1209" s="623" t="s">
        <v>5451</v>
      </c>
      <c r="H1209" s="548" t="s">
        <v>104</v>
      </c>
      <c r="I1209" s="583" t="s">
        <v>949</v>
      </c>
      <c r="J1209" s="548" t="s">
        <v>950</v>
      </c>
      <c r="K1209" s="583" t="s">
        <v>951</v>
      </c>
      <c r="L1209" s="583" t="s">
        <v>947</v>
      </c>
      <c r="M1209" s="625" t="s">
        <v>114</v>
      </c>
      <c r="N1209" s="620">
        <v>44526</v>
      </c>
      <c r="O1209" s="684" t="s">
        <v>5377</v>
      </c>
      <c r="P1209" s="503">
        <f t="shared" si="65"/>
        <v>11</v>
      </c>
      <c r="Q1209" s="503">
        <f t="shared" si="66"/>
        <v>11</v>
      </c>
      <c r="R1209" s="504" t="str">
        <f t="shared" si="67"/>
        <v>Gastos_custeados_por_captação</v>
      </c>
      <c r="S1209" s="504" t="str">
        <f>IF(D1209="","",IF(OR(D1209=Plano!$A$1,D1209=Plano!$B$1),"entrada","saída"))</f>
        <v>saída</v>
      </c>
      <c r="T1209" s="511" t="s">
        <v>114</v>
      </c>
      <c r="U1209" s="511" t="s">
        <v>114</v>
      </c>
      <c r="V1209" s="541"/>
    </row>
    <row r="1210" spans="1:22" ht="138" customHeight="1" x14ac:dyDescent="0.2">
      <c r="A1210" s="619">
        <f>IF(B1210="","",COUNT('Diário 5º PA'!$A$5:$A$2634)+COUNT('Diário 6º PA'!$A$5:$A$2246)+COUNT('Diário 7º PA'!$A$5:$A$2271)+ROW()-4)</f>
        <v>5156</v>
      </c>
      <c r="B1210" s="620">
        <v>44529</v>
      </c>
      <c r="C1210" s="624">
        <v>44470</v>
      </c>
      <c r="D1210" s="548" t="s">
        <v>99</v>
      </c>
      <c r="E1210" s="548" t="s">
        <v>364</v>
      </c>
      <c r="F1210" s="622">
        <v>5880</v>
      </c>
      <c r="G1210" s="623" t="s">
        <v>5309</v>
      </c>
      <c r="H1210" s="548" t="s">
        <v>116</v>
      </c>
      <c r="I1210" s="583" t="s">
        <v>6208</v>
      </c>
      <c r="J1210" s="548" t="s">
        <v>5308</v>
      </c>
      <c r="K1210" s="583" t="s">
        <v>991</v>
      </c>
      <c r="L1210" s="583" t="s">
        <v>992</v>
      </c>
      <c r="M1210" s="619">
        <v>33</v>
      </c>
      <c r="N1210" s="620">
        <v>44526</v>
      </c>
      <c r="O1210" s="684" t="s">
        <v>67</v>
      </c>
      <c r="P1210" s="503">
        <f t="shared" si="65"/>
        <v>11</v>
      </c>
      <c r="Q1210" s="503">
        <f t="shared" si="66"/>
        <v>10</v>
      </c>
      <c r="R1210" s="504" t="str">
        <f t="shared" si="67"/>
        <v>Gastos_Gerais</v>
      </c>
      <c r="S1210" s="504" t="str">
        <f>IF(D1210="","",IF(OR(D1210=Plano!$A$1,D1210=Plano!$B$1),"entrada","saída"))</f>
        <v>saída</v>
      </c>
      <c r="T1210" s="505" t="s">
        <v>994</v>
      </c>
      <c r="U1210" s="505">
        <v>1955</v>
      </c>
      <c r="V1210" s="541"/>
    </row>
    <row r="1211" spans="1:22" ht="34.5" customHeight="1" x14ac:dyDescent="0.2">
      <c r="A1211" s="619">
        <f>IF(B1211="","",COUNT('Diário 5º PA'!$A$5:$A$2634)+COUNT('Diário 6º PA'!$A$5:$A$2246)+COUNT('Diário 7º PA'!$A$5:$A$2271)+ROW()-4)</f>
        <v>5157</v>
      </c>
      <c r="B1211" s="620">
        <v>44529</v>
      </c>
      <c r="C1211" s="628">
        <v>44501</v>
      </c>
      <c r="D1211" s="548" t="s">
        <v>88</v>
      </c>
      <c r="E1211" s="548" t="s">
        <v>192</v>
      </c>
      <c r="F1211" s="622">
        <v>259.83999999999997</v>
      </c>
      <c r="G1211" s="623" t="s">
        <v>5932</v>
      </c>
      <c r="H1211" s="548" t="s">
        <v>114</v>
      </c>
      <c r="I1211" s="583" t="s">
        <v>5164</v>
      </c>
      <c r="J1211" s="548" t="s">
        <v>3591</v>
      </c>
      <c r="K1211" s="583" t="s">
        <v>560</v>
      </c>
      <c r="L1211" s="583" t="s">
        <v>992</v>
      </c>
      <c r="M1211" s="619" t="s">
        <v>6861</v>
      </c>
      <c r="N1211" s="620">
        <v>44530</v>
      </c>
      <c r="O1211" s="684" t="s">
        <v>67</v>
      </c>
      <c r="P1211" s="503">
        <f t="shared" si="65"/>
        <v>11</v>
      </c>
      <c r="Q1211" s="503">
        <f t="shared" si="66"/>
        <v>11</v>
      </c>
      <c r="R1211" s="504" t="str">
        <f t="shared" si="67"/>
        <v>Gastos_com_Pessoal</v>
      </c>
      <c r="S1211" s="504" t="str">
        <f>IF(D1211="","",IF(OR(D1211=Plano!$A$1,D1211=Plano!$B$1),"entrada","saída"))</f>
        <v>saída</v>
      </c>
      <c r="T1211" s="546" t="s">
        <v>114</v>
      </c>
      <c r="U1211" s="546" t="s">
        <v>114</v>
      </c>
      <c r="V1211" s="541"/>
    </row>
    <row r="1212" spans="1:22" ht="41.25" customHeight="1" x14ac:dyDescent="0.2">
      <c r="A1212" s="619">
        <f>IF(B1212="","",COUNT('Diário 5º PA'!$A$5:$A$2634)+COUNT('Diário 6º PA'!$A$5:$A$2246)+COUNT('Diário 7º PA'!$A$5:$A$2271)+ROW()-4)</f>
        <v>5158</v>
      </c>
      <c r="B1212" s="620">
        <v>44529</v>
      </c>
      <c r="C1212" s="628">
        <v>44501</v>
      </c>
      <c r="D1212" s="548" t="s">
        <v>99</v>
      </c>
      <c r="E1212" s="548" t="s">
        <v>272</v>
      </c>
      <c r="F1212" s="622">
        <v>10.45</v>
      </c>
      <c r="G1212" s="623" t="s">
        <v>6432</v>
      </c>
      <c r="H1212" s="548" t="s">
        <v>116</v>
      </c>
      <c r="I1212" s="583" t="s">
        <v>949</v>
      </c>
      <c r="J1212" s="548" t="s">
        <v>950</v>
      </c>
      <c r="K1212" s="583" t="s">
        <v>951</v>
      </c>
      <c r="L1212" s="583" t="s">
        <v>947</v>
      </c>
      <c r="M1212" s="625" t="s">
        <v>114</v>
      </c>
      <c r="N1212" s="620">
        <v>44529</v>
      </c>
      <c r="O1212" s="684" t="s">
        <v>67</v>
      </c>
      <c r="P1212" s="503">
        <f t="shared" si="65"/>
        <v>11</v>
      </c>
      <c r="Q1212" s="503">
        <f t="shared" si="66"/>
        <v>11</v>
      </c>
      <c r="R1212" s="504" t="str">
        <f t="shared" si="67"/>
        <v>Gastos_Gerais</v>
      </c>
      <c r="S1212" s="504" t="str">
        <f>IF(D1212="","",IF(OR(D1212=Plano!$A$1,D1212=Plano!$B$1),"entrada","saída"))</f>
        <v>saída</v>
      </c>
      <c r="T1212" s="511" t="s">
        <v>114</v>
      </c>
      <c r="U1212" s="511" t="s">
        <v>114</v>
      </c>
      <c r="V1212" s="541"/>
    </row>
    <row r="1213" spans="1:22" s="561" customFormat="1" ht="51" customHeight="1" x14ac:dyDescent="0.2">
      <c r="A1213" s="619">
        <f>IF(B1213="","",COUNT('Diário 5º PA'!$A$5:$A$2634)+COUNT('Diário 6º PA'!$A$5:$A$2246)+COUNT('Diário 7º PA'!$A$5:$A$2271)+ROW()-4)</f>
        <v>5159</v>
      </c>
      <c r="B1213" s="620">
        <v>44529</v>
      </c>
      <c r="C1213" s="628">
        <v>44501</v>
      </c>
      <c r="D1213" s="548" t="s">
        <v>104</v>
      </c>
      <c r="E1213" s="548" t="s">
        <v>104</v>
      </c>
      <c r="F1213" s="622">
        <v>4350</v>
      </c>
      <c r="G1213" s="623" t="s">
        <v>5502</v>
      </c>
      <c r="H1213" s="548" t="s">
        <v>104</v>
      </c>
      <c r="I1213" s="583" t="s">
        <v>3172</v>
      </c>
      <c r="J1213" s="548" t="s">
        <v>850</v>
      </c>
      <c r="K1213" s="583" t="s">
        <v>946</v>
      </c>
      <c r="L1213" s="583" t="s">
        <v>947</v>
      </c>
      <c r="M1213" s="619" t="s">
        <v>114</v>
      </c>
      <c r="N1213" s="620">
        <v>44529</v>
      </c>
      <c r="O1213" s="684" t="s">
        <v>5377</v>
      </c>
      <c r="P1213" s="503">
        <f t="shared" si="65"/>
        <v>11</v>
      </c>
      <c r="Q1213" s="503">
        <f t="shared" si="66"/>
        <v>11</v>
      </c>
      <c r="R1213" s="504" t="str">
        <f t="shared" si="67"/>
        <v>Gastos_custeados_por_captação</v>
      </c>
      <c r="S1213" s="504" t="str">
        <f>IF(D1213="","",IF(OR(D1213=Plano!$A$1,D1213=Plano!$B$1),"entrada","saída"))</f>
        <v>saída</v>
      </c>
      <c r="T1213" s="511" t="s">
        <v>114</v>
      </c>
      <c r="U1213" s="511" t="s">
        <v>114</v>
      </c>
      <c r="V1213" s="541"/>
    </row>
    <row r="1214" spans="1:22" s="561" customFormat="1" ht="49.5" customHeight="1" x14ac:dyDescent="0.2">
      <c r="A1214" s="619">
        <f>IF(B1214="","",COUNT('Diário 5º PA'!$A$5:$A$2634)+COUNT('Diário 6º PA'!$A$5:$A$2246)+COUNT('Diário 7º PA'!$A$5:$A$2271)+ROW()-4)</f>
        <v>5160</v>
      </c>
      <c r="B1214" s="620">
        <v>44529</v>
      </c>
      <c r="C1214" s="628">
        <v>44501</v>
      </c>
      <c r="D1214" s="548" t="s">
        <v>104</v>
      </c>
      <c r="E1214" s="548" t="s">
        <v>104</v>
      </c>
      <c r="F1214" s="622">
        <v>5000</v>
      </c>
      <c r="G1214" s="623" t="s">
        <v>5503</v>
      </c>
      <c r="H1214" s="548" t="s">
        <v>104</v>
      </c>
      <c r="I1214" s="583" t="s">
        <v>3172</v>
      </c>
      <c r="J1214" s="548" t="s">
        <v>850</v>
      </c>
      <c r="K1214" s="583" t="s">
        <v>946</v>
      </c>
      <c r="L1214" s="583" t="s">
        <v>947</v>
      </c>
      <c r="M1214" s="619" t="s">
        <v>114</v>
      </c>
      <c r="N1214" s="620">
        <v>44529</v>
      </c>
      <c r="O1214" s="684" t="s">
        <v>5377</v>
      </c>
      <c r="P1214" s="503">
        <f t="shared" si="65"/>
        <v>11</v>
      </c>
      <c r="Q1214" s="503">
        <f t="shared" si="66"/>
        <v>11</v>
      </c>
      <c r="R1214" s="504" t="str">
        <f t="shared" si="67"/>
        <v>Gastos_custeados_por_captação</v>
      </c>
      <c r="S1214" s="504" t="str">
        <f>IF(D1214="","",IF(OR(D1214=Plano!$A$1,D1214=Plano!$B$1),"entrada","saída"))</f>
        <v>saída</v>
      </c>
      <c r="T1214" s="511" t="s">
        <v>114</v>
      </c>
      <c r="U1214" s="511" t="s">
        <v>114</v>
      </c>
      <c r="V1214" s="541"/>
    </row>
    <row r="1215" spans="1:22" s="561" customFormat="1" ht="60" customHeight="1" x14ac:dyDescent="0.2">
      <c r="A1215" s="619">
        <f>IF(B1215="","",COUNT('Diário 5º PA'!$A$5:$A$2634)+COUNT('Diário 6º PA'!$A$5:$A$2246)+COUNT('Diário 7º PA'!$A$5:$A$2271)+ROW()-4)</f>
        <v>5161</v>
      </c>
      <c r="B1215" s="620">
        <v>44529</v>
      </c>
      <c r="C1215" s="628">
        <v>44501</v>
      </c>
      <c r="D1215" s="548" t="s">
        <v>104</v>
      </c>
      <c r="E1215" s="548" t="s">
        <v>104</v>
      </c>
      <c r="F1215" s="622">
        <v>4500</v>
      </c>
      <c r="G1215" s="623" t="s">
        <v>5501</v>
      </c>
      <c r="H1215" s="548" t="s">
        <v>104</v>
      </c>
      <c r="I1215" s="583" t="s">
        <v>3172</v>
      </c>
      <c r="J1215" s="548" t="s">
        <v>850</v>
      </c>
      <c r="K1215" s="583" t="s">
        <v>946</v>
      </c>
      <c r="L1215" s="583" t="s">
        <v>947</v>
      </c>
      <c r="M1215" s="619" t="s">
        <v>114</v>
      </c>
      <c r="N1215" s="620">
        <v>44529</v>
      </c>
      <c r="O1215" s="684" t="s">
        <v>5377</v>
      </c>
      <c r="P1215" s="503">
        <f t="shared" si="65"/>
        <v>11</v>
      </c>
      <c r="Q1215" s="503">
        <f t="shared" si="66"/>
        <v>11</v>
      </c>
      <c r="R1215" s="504" t="str">
        <f t="shared" si="67"/>
        <v>Gastos_custeados_por_captação</v>
      </c>
      <c r="S1215" s="504" t="str">
        <f>IF(D1215="","",IF(OR(D1215=Plano!$A$1,D1215=Plano!$B$1),"entrada","saída"))</f>
        <v>saída</v>
      </c>
      <c r="T1215" s="511" t="s">
        <v>114</v>
      </c>
      <c r="U1215" s="511" t="s">
        <v>114</v>
      </c>
      <c r="V1215" s="541"/>
    </row>
    <row r="1216" spans="1:22" s="562" customFormat="1" ht="60" customHeight="1" x14ac:dyDescent="0.2">
      <c r="A1216" s="619">
        <f>IF(B1216="","",COUNT('Diário 5º PA'!$A$5:$A$2634)+COUNT('Diário 6º PA'!$A$5:$A$2246)+COUNT('Diário 7º PA'!$A$5:$A$2271)+ROW()-4)</f>
        <v>5162</v>
      </c>
      <c r="B1216" s="620">
        <v>44529</v>
      </c>
      <c r="C1216" s="621">
        <v>44501</v>
      </c>
      <c r="D1216" s="548" t="s">
        <v>104</v>
      </c>
      <c r="E1216" s="548" t="s">
        <v>104</v>
      </c>
      <c r="F1216" s="634">
        <v>-5000</v>
      </c>
      <c r="G1216" s="648" t="s">
        <v>5371</v>
      </c>
      <c r="H1216" s="548" t="s">
        <v>104</v>
      </c>
      <c r="I1216" s="583" t="s">
        <v>2418</v>
      </c>
      <c r="J1216" s="548" t="s">
        <v>850</v>
      </c>
      <c r="K1216" s="583" t="s">
        <v>1015</v>
      </c>
      <c r="L1216" s="583" t="s">
        <v>1177</v>
      </c>
      <c r="M1216" s="625" t="s">
        <v>114</v>
      </c>
      <c r="N1216" s="620">
        <v>44529</v>
      </c>
      <c r="O1216" s="684" t="s">
        <v>71</v>
      </c>
      <c r="P1216" s="503">
        <f t="shared" ref="P1216:P1279" si="68">IF(B1216=0,0,IF(YEAR(B1216)=$Q$1,MONTH(B1216)-$P$1+1,(YEAR(B1216)-$Q$1)*12-$P$1+1+MONTH(B1216)))</f>
        <v>11</v>
      </c>
      <c r="Q1216" s="503">
        <f t="shared" ref="Q1216:Q1279" si="69">IF(C1216=0,0,IF(YEAR(C1216)=$Q$1,MONTH(C1216)-$P$1+1,(YEAR(C1216)-$Q$1)*12-$P$1+1+MONTH(C1216)))</f>
        <v>11</v>
      </c>
      <c r="R1216" s="504" t="str">
        <f t="shared" ref="R1216:R1279" si="70">SUBSTITUTE(D1216," ","_")</f>
        <v>Gastos_custeados_por_captação</v>
      </c>
      <c r="S1216" s="504" t="str">
        <f>IF(D1216="","",IF(OR(D1216=Plano!$A$1,D1216=Plano!$B$1),"entrada","saída"))</f>
        <v>saída</v>
      </c>
      <c r="T1216" s="511" t="s">
        <v>114</v>
      </c>
      <c r="U1216" s="511" t="s">
        <v>114</v>
      </c>
      <c r="V1216" s="541"/>
    </row>
    <row r="1217" spans="1:22" s="562" customFormat="1" ht="60" customHeight="1" x14ac:dyDescent="0.2">
      <c r="A1217" s="619">
        <f>IF(B1217="","",COUNT('Diário 5º PA'!$A$5:$A$2634)+COUNT('Diário 6º PA'!$A$5:$A$2246)+COUNT('Diário 7º PA'!$A$5:$A$2271)+ROW()-4)</f>
        <v>5163</v>
      </c>
      <c r="B1217" s="620">
        <v>44529</v>
      </c>
      <c r="C1217" s="621">
        <v>44501</v>
      </c>
      <c r="D1217" s="548" t="s">
        <v>104</v>
      </c>
      <c r="E1217" s="548" t="s">
        <v>104</v>
      </c>
      <c r="F1217" s="634">
        <v>-4900</v>
      </c>
      <c r="G1217" s="648" t="s">
        <v>6910</v>
      </c>
      <c r="H1217" s="548" t="s">
        <v>104</v>
      </c>
      <c r="I1217" s="583" t="s">
        <v>2418</v>
      </c>
      <c r="J1217" s="548" t="s">
        <v>850</v>
      </c>
      <c r="K1217" s="583" t="s">
        <v>1015</v>
      </c>
      <c r="L1217" s="583" t="s">
        <v>1177</v>
      </c>
      <c r="M1217" s="625" t="s">
        <v>114</v>
      </c>
      <c r="N1217" s="620">
        <v>44529</v>
      </c>
      <c r="O1217" s="684" t="s">
        <v>71</v>
      </c>
      <c r="P1217" s="503">
        <f t="shared" si="68"/>
        <v>11</v>
      </c>
      <c r="Q1217" s="503">
        <f t="shared" si="69"/>
        <v>11</v>
      </c>
      <c r="R1217" s="504" t="str">
        <f t="shared" si="70"/>
        <v>Gastos_custeados_por_captação</v>
      </c>
      <c r="S1217" s="504" t="str">
        <f>IF(D1217="","",IF(OR(D1217=Plano!$A$1,D1217=Plano!$B$1),"entrada","saída"))</f>
        <v>saída</v>
      </c>
      <c r="T1217" s="511" t="s">
        <v>114</v>
      </c>
      <c r="U1217" s="511" t="s">
        <v>114</v>
      </c>
      <c r="V1217" s="541"/>
    </row>
    <row r="1218" spans="1:22" s="562" customFormat="1" ht="60" customHeight="1" x14ac:dyDescent="0.2">
      <c r="A1218" s="619">
        <f>IF(B1218="","",COUNT('Diário 5º PA'!$A$5:$A$2634)+COUNT('Diário 6º PA'!$A$5:$A$2246)+COUNT('Diário 7º PA'!$A$5:$A$2271)+ROW()-4)</f>
        <v>5164</v>
      </c>
      <c r="B1218" s="620">
        <v>44529</v>
      </c>
      <c r="C1218" s="621">
        <v>44501</v>
      </c>
      <c r="D1218" s="548" t="s">
        <v>104</v>
      </c>
      <c r="E1218" s="548" t="s">
        <v>104</v>
      </c>
      <c r="F1218" s="634">
        <v>-5550</v>
      </c>
      <c r="G1218" s="648" t="s">
        <v>6911</v>
      </c>
      <c r="H1218" s="548" t="s">
        <v>104</v>
      </c>
      <c r="I1218" s="583" t="s">
        <v>2418</v>
      </c>
      <c r="J1218" s="548" t="s">
        <v>850</v>
      </c>
      <c r="K1218" s="583" t="s">
        <v>1015</v>
      </c>
      <c r="L1218" s="583" t="s">
        <v>1177</v>
      </c>
      <c r="M1218" s="625" t="s">
        <v>114</v>
      </c>
      <c r="N1218" s="620">
        <v>44529</v>
      </c>
      <c r="O1218" s="684" t="s">
        <v>71</v>
      </c>
      <c r="P1218" s="503">
        <f t="shared" si="68"/>
        <v>11</v>
      </c>
      <c r="Q1218" s="503">
        <f t="shared" si="69"/>
        <v>11</v>
      </c>
      <c r="R1218" s="504" t="str">
        <f t="shared" si="70"/>
        <v>Gastos_custeados_por_captação</v>
      </c>
      <c r="S1218" s="504" t="str">
        <f>IF(D1218="","",IF(OR(D1218=Plano!$A$1,D1218=Plano!$B$1),"entrada","saída"))</f>
        <v>saída</v>
      </c>
      <c r="T1218" s="511" t="s">
        <v>114</v>
      </c>
      <c r="U1218" s="511" t="s">
        <v>114</v>
      </c>
      <c r="V1218" s="541"/>
    </row>
    <row r="1219" spans="1:22" s="562" customFormat="1" ht="60" customHeight="1" x14ac:dyDescent="0.2">
      <c r="A1219" s="619">
        <f>IF(B1219="","",COUNT('Diário 5º PA'!$A$5:$A$2634)+COUNT('Diário 6º PA'!$A$5:$A$2246)+COUNT('Diário 7º PA'!$A$5:$A$2271)+ROW()-4)</f>
        <v>5165</v>
      </c>
      <c r="B1219" s="620">
        <v>44529</v>
      </c>
      <c r="C1219" s="621">
        <v>44501</v>
      </c>
      <c r="D1219" s="548" t="s">
        <v>104</v>
      </c>
      <c r="E1219" s="548" t="s">
        <v>104</v>
      </c>
      <c r="F1219" s="634">
        <v>-4350</v>
      </c>
      <c r="G1219" s="648" t="s">
        <v>5502</v>
      </c>
      <c r="H1219" s="548" t="s">
        <v>104</v>
      </c>
      <c r="I1219" s="583" t="s">
        <v>2418</v>
      </c>
      <c r="J1219" s="548" t="s">
        <v>850</v>
      </c>
      <c r="K1219" s="583" t="s">
        <v>1015</v>
      </c>
      <c r="L1219" s="583" t="s">
        <v>1177</v>
      </c>
      <c r="M1219" s="625" t="s">
        <v>114</v>
      </c>
      <c r="N1219" s="620">
        <v>44529</v>
      </c>
      <c r="O1219" s="684" t="s">
        <v>71</v>
      </c>
      <c r="P1219" s="503">
        <f t="shared" si="68"/>
        <v>11</v>
      </c>
      <c r="Q1219" s="503">
        <f t="shared" si="69"/>
        <v>11</v>
      </c>
      <c r="R1219" s="504" t="str">
        <f t="shared" si="70"/>
        <v>Gastos_custeados_por_captação</v>
      </c>
      <c r="S1219" s="504" t="str">
        <f>IF(D1219="","",IF(OR(D1219=Plano!$A$1,D1219=Plano!$B$1),"entrada","saída"))</f>
        <v>saída</v>
      </c>
      <c r="T1219" s="511" t="s">
        <v>114</v>
      </c>
      <c r="U1219" s="511" t="s">
        <v>114</v>
      </c>
      <c r="V1219" s="541"/>
    </row>
    <row r="1220" spans="1:22" s="562" customFormat="1" ht="60" customHeight="1" x14ac:dyDescent="0.2">
      <c r="A1220" s="619">
        <f>IF(B1220="","",COUNT('Diário 5º PA'!$A$5:$A$2634)+COUNT('Diário 6º PA'!$A$5:$A$2246)+COUNT('Diário 7º PA'!$A$5:$A$2271)+ROW()-4)</f>
        <v>5166</v>
      </c>
      <c r="B1220" s="620">
        <v>44529</v>
      </c>
      <c r="C1220" s="621">
        <v>44501</v>
      </c>
      <c r="D1220" s="548" t="s">
        <v>104</v>
      </c>
      <c r="E1220" s="548" t="s">
        <v>104</v>
      </c>
      <c r="F1220" s="634">
        <v>-5000</v>
      </c>
      <c r="G1220" s="648" t="s">
        <v>5503</v>
      </c>
      <c r="H1220" s="548" t="s">
        <v>104</v>
      </c>
      <c r="I1220" s="583" t="s">
        <v>2418</v>
      </c>
      <c r="J1220" s="548" t="s">
        <v>850</v>
      </c>
      <c r="K1220" s="583" t="s">
        <v>1015</v>
      </c>
      <c r="L1220" s="583" t="s">
        <v>1177</v>
      </c>
      <c r="M1220" s="625" t="s">
        <v>114</v>
      </c>
      <c r="N1220" s="620">
        <v>44529</v>
      </c>
      <c r="O1220" s="684" t="s">
        <v>71</v>
      </c>
      <c r="P1220" s="503">
        <f t="shared" si="68"/>
        <v>11</v>
      </c>
      <c r="Q1220" s="503">
        <f t="shared" si="69"/>
        <v>11</v>
      </c>
      <c r="R1220" s="504" t="str">
        <f t="shared" si="70"/>
        <v>Gastos_custeados_por_captação</v>
      </c>
      <c r="S1220" s="504" t="str">
        <f>IF(D1220="","",IF(OR(D1220=Plano!$A$1,D1220=Plano!$B$1),"entrada","saída"))</f>
        <v>saída</v>
      </c>
      <c r="T1220" s="511" t="s">
        <v>114</v>
      </c>
      <c r="U1220" s="511" t="s">
        <v>114</v>
      </c>
      <c r="V1220" s="541"/>
    </row>
    <row r="1221" spans="1:22" s="562" customFormat="1" ht="60" customHeight="1" x14ac:dyDescent="0.2">
      <c r="A1221" s="619">
        <f>IF(B1221="","",COUNT('Diário 5º PA'!$A$5:$A$2634)+COUNT('Diário 6º PA'!$A$5:$A$2246)+COUNT('Diário 7º PA'!$A$5:$A$2271)+ROW()-4)</f>
        <v>5167</v>
      </c>
      <c r="B1221" s="620">
        <v>44529</v>
      </c>
      <c r="C1221" s="621">
        <v>44501</v>
      </c>
      <c r="D1221" s="548" t="s">
        <v>104</v>
      </c>
      <c r="E1221" s="548" t="s">
        <v>104</v>
      </c>
      <c r="F1221" s="634">
        <v>-4500</v>
      </c>
      <c r="G1221" s="648" t="s">
        <v>5501</v>
      </c>
      <c r="H1221" s="548" t="s">
        <v>104</v>
      </c>
      <c r="I1221" s="583" t="s">
        <v>2418</v>
      </c>
      <c r="J1221" s="548" t="s">
        <v>850</v>
      </c>
      <c r="K1221" s="583" t="s">
        <v>1015</v>
      </c>
      <c r="L1221" s="583" t="s">
        <v>1177</v>
      </c>
      <c r="M1221" s="625" t="s">
        <v>114</v>
      </c>
      <c r="N1221" s="620">
        <v>44529</v>
      </c>
      <c r="O1221" s="684" t="s">
        <v>71</v>
      </c>
      <c r="P1221" s="503">
        <f t="shared" si="68"/>
        <v>11</v>
      </c>
      <c r="Q1221" s="503">
        <f t="shared" si="69"/>
        <v>11</v>
      </c>
      <c r="R1221" s="504" t="str">
        <f t="shared" si="70"/>
        <v>Gastos_custeados_por_captação</v>
      </c>
      <c r="S1221" s="504" t="str">
        <f>IF(D1221="","",IF(OR(D1221=Plano!$A$1,D1221=Plano!$B$1),"entrada","saída"))</f>
        <v>saída</v>
      </c>
      <c r="T1221" s="511" t="s">
        <v>114</v>
      </c>
      <c r="U1221" s="511" t="s">
        <v>114</v>
      </c>
      <c r="V1221" s="541"/>
    </row>
    <row r="1222" spans="1:22" s="572" customFormat="1" ht="60" customHeight="1" x14ac:dyDescent="0.2">
      <c r="A1222" s="619">
        <f>IF(B1222="","",COUNT('Diário 5º PA'!$A$5:$A$2634)+COUNT('Diário 6º PA'!$A$5:$A$2246)+COUNT('Diário 7º PA'!$A$5:$A$2271)+ROW()-4)</f>
        <v>5168</v>
      </c>
      <c r="B1222" s="620">
        <v>44529</v>
      </c>
      <c r="C1222" s="621">
        <v>44501</v>
      </c>
      <c r="D1222" s="548" t="s">
        <v>104</v>
      </c>
      <c r="E1222" s="548" t="s">
        <v>104</v>
      </c>
      <c r="F1222" s="634">
        <v>5000</v>
      </c>
      <c r="G1222" s="648" t="s">
        <v>5371</v>
      </c>
      <c r="H1222" s="548" t="s">
        <v>104</v>
      </c>
      <c r="I1222" s="583" t="s">
        <v>2418</v>
      </c>
      <c r="J1222" s="548" t="s">
        <v>850</v>
      </c>
      <c r="K1222" s="583" t="s">
        <v>1015</v>
      </c>
      <c r="L1222" s="583" t="s">
        <v>1177</v>
      </c>
      <c r="M1222" s="625" t="s">
        <v>114</v>
      </c>
      <c r="N1222" s="620">
        <v>44529</v>
      </c>
      <c r="O1222" s="684" t="s">
        <v>5370</v>
      </c>
      <c r="P1222" s="503">
        <f t="shared" si="68"/>
        <v>11</v>
      </c>
      <c r="Q1222" s="503">
        <f t="shared" si="69"/>
        <v>11</v>
      </c>
      <c r="R1222" s="504" t="str">
        <f t="shared" si="70"/>
        <v>Gastos_custeados_por_captação</v>
      </c>
      <c r="S1222" s="504" t="str">
        <f>IF(D1222="","",IF(OR(D1222=Plano!$A$1,D1222=Plano!$B$1),"entrada","saída"))</f>
        <v>saída</v>
      </c>
      <c r="T1222" s="511" t="s">
        <v>114</v>
      </c>
      <c r="U1222" s="511" t="s">
        <v>114</v>
      </c>
      <c r="V1222" s="541"/>
    </row>
    <row r="1223" spans="1:22" s="572" customFormat="1" ht="60" customHeight="1" x14ac:dyDescent="0.2">
      <c r="A1223" s="619">
        <f>IF(B1223="","",COUNT('Diário 5º PA'!$A$5:$A$2634)+COUNT('Diário 6º PA'!$A$5:$A$2246)+COUNT('Diário 7º PA'!$A$5:$A$2271)+ROW()-4)</f>
        <v>5169</v>
      </c>
      <c r="B1223" s="620">
        <v>44529</v>
      </c>
      <c r="C1223" s="621">
        <v>44501</v>
      </c>
      <c r="D1223" s="548" t="s">
        <v>104</v>
      </c>
      <c r="E1223" s="548" t="s">
        <v>104</v>
      </c>
      <c r="F1223" s="634">
        <v>4900</v>
      </c>
      <c r="G1223" s="648" t="s">
        <v>6910</v>
      </c>
      <c r="H1223" s="548" t="s">
        <v>104</v>
      </c>
      <c r="I1223" s="583" t="s">
        <v>2418</v>
      </c>
      <c r="J1223" s="548" t="s">
        <v>850</v>
      </c>
      <c r="K1223" s="583" t="s">
        <v>1015</v>
      </c>
      <c r="L1223" s="583" t="s">
        <v>1177</v>
      </c>
      <c r="M1223" s="625" t="s">
        <v>114</v>
      </c>
      <c r="N1223" s="620">
        <v>44529</v>
      </c>
      <c r="O1223" s="684" t="s">
        <v>5370</v>
      </c>
      <c r="P1223" s="503">
        <f t="shared" si="68"/>
        <v>11</v>
      </c>
      <c r="Q1223" s="503">
        <f t="shared" si="69"/>
        <v>11</v>
      </c>
      <c r="R1223" s="504" t="str">
        <f t="shared" si="70"/>
        <v>Gastos_custeados_por_captação</v>
      </c>
      <c r="S1223" s="504" t="str">
        <f>IF(D1223="","",IF(OR(D1223=Plano!$A$1,D1223=Plano!$B$1),"entrada","saída"))</f>
        <v>saída</v>
      </c>
      <c r="T1223" s="511" t="s">
        <v>114</v>
      </c>
      <c r="U1223" s="511" t="s">
        <v>114</v>
      </c>
      <c r="V1223" s="541"/>
    </row>
    <row r="1224" spans="1:22" s="572" customFormat="1" ht="60" customHeight="1" x14ac:dyDescent="0.2">
      <c r="A1224" s="619">
        <f>IF(B1224="","",COUNT('Diário 5º PA'!$A$5:$A$2634)+COUNT('Diário 6º PA'!$A$5:$A$2246)+COUNT('Diário 7º PA'!$A$5:$A$2271)+ROW()-4)</f>
        <v>5170</v>
      </c>
      <c r="B1224" s="620">
        <v>44529</v>
      </c>
      <c r="C1224" s="621">
        <v>44501</v>
      </c>
      <c r="D1224" s="548" t="s">
        <v>104</v>
      </c>
      <c r="E1224" s="548" t="s">
        <v>104</v>
      </c>
      <c r="F1224" s="634">
        <v>5550</v>
      </c>
      <c r="G1224" s="648" t="s">
        <v>6911</v>
      </c>
      <c r="H1224" s="548" t="s">
        <v>104</v>
      </c>
      <c r="I1224" s="583" t="s">
        <v>2418</v>
      </c>
      <c r="J1224" s="548" t="s">
        <v>850</v>
      </c>
      <c r="K1224" s="583" t="s">
        <v>1015</v>
      </c>
      <c r="L1224" s="583" t="s">
        <v>1177</v>
      </c>
      <c r="M1224" s="625" t="s">
        <v>114</v>
      </c>
      <c r="N1224" s="620">
        <v>44529</v>
      </c>
      <c r="O1224" s="684" t="s">
        <v>5370</v>
      </c>
      <c r="P1224" s="503">
        <f t="shared" si="68"/>
        <v>11</v>
      </c>
      <c r="Q1224" s="503">
        <f t="shared" si="69"/>
        <v>11</v>
      </c>
      <c r="R1224" s="504" t="str">
        <f t="shared" si="70"/>
        <v>Gastos_custeados_por_captação</v>
      </c>
      <c r="S1224" s="504" t="str">
        <f>IF(D1224="","",IF(OR(D1224=Plano!$A$1,D1224=Plano!$B$1),"entrada","saída"))</f>
        <v>saída</v>
      </c>
      <c r="T1224" s="511" t="s">
        <v>114</v>
      </c>
      <c r="U1224" s="511" t="s">
        <v>114</v>
      </c>
      <c r="V1224" s="541"/>
    </row>
    <row r="1225" spans="1:22" ht="72" customHeight="1" x14ac:dyDescent="0.2">
      <c r="A1225" s="619">
        <f>IF(B1225="","",COUNT('Diário 5º PA'!$A$5:$A$2634)+COUNT('Diário 6º PA'!$A$5:$A$2246)+COUNT('Diário 7º PA'!$A$5:$A$2271)+ROW()-4)</f>
        <v>5171</v>
      </c>
      <c r="B1225" s="620">
        <v>44530</v>
      </c>
      <c r="C1225" s="624">
        <v>44501</v>
      </c>
      <c r="D1225" s="548" t="s">
        <v>99</v>
      </c>
      <c r="E1225" s="548" t="s">
        <v>358</v>
      </c>
      <c r="F1225" s="622">
        <v>1100</v>
      </c>
      <c r="G1225" s="623" t="s">
        <v>6198</v>
      </c>
      <c r="H1225" s="548" t="s">
        <v>128</v>
      </c>
      <c r="I1225" s="583" t="s">
        <v>6442</v>
      </c>
      <c r="J1225" s="548" t="s">
        <v>6199</v>
      </c>
      <c r="K1225" s="583" t="s">
        <v>1015</v>
      </c>
      <c r="L1225" s="583" t="s">
        <v>992</v>
      </c>
      <c r="M1225" s="619" t="s">
        <v>1211</v>
      </c>
      <c r="N1225" s="620">
        <v>44529</v>
      </c>
      <c r="O1225" s="684" t="s">
        <v>67</v>
      </c>
      <c r="P1225" s="503">
        <f t="shared" si="68"/>
        <v>11</v>
      </c>
      <c r="Q1225" s="503">
        <f t="shared" si="69"/>
        <v>11</v>
      </c>
      <c r="R1225" s="504" t="str">
        <f t="shared" si="70"/>
        <v>Gastos_Gerais</v>
      </c>
      <c r="S1225" s="504" t="str">
        <f>IF(D1225="","",IF(OR(D1225=Plano!$A$1,D1225=Plano!$B$1),"entrada","saída"))</f>
        <v>saída</v>
      </c>
      <c r="T1225" s="505" t="s">
        <v>994</v>
      </c>
      <c r="U1225" s="505">
        <v>2360</v>
      </c>
      <c r="V1225" s="541"/>
    </row>
    <row r="1226" spans="1:22" ht="80.25" customHeight="1" x14ac:dyDescent="0.2">
      <c r="A1226" s="619">
        <f>IF(B1226="","",COUNT('Diário 5º PA'!$A$5:$A$2634)+COUNT('Diário 6º PA'!$A$5:$A$2246)+COUNT('Diário 7º PA'!$A$5:$A$2271)+ROW()-4)</f>
        <v>5172</v>
      </c>
      <c r="B1226" s="620">
        <v>44530</v>
      </c>
      <c r="C1226" s="624">
        <v>44501</v>
      </c>
      <c r="D1226" s="548" t="s">
        <v>99</v>
      </c>
      <c r="E1226" s="548" t="s">
        <v>330</v>
      </c>
      <c r="F1226" s="622">
        <v>241.92</v>
      </c>
      <c r="G1226" s="623" t="s">
        <v>451</v>
      </c>
      <c r="H1226" s="548" t="s">
        <v>115</v>
      </c>
      <c r="I1226" s="583" t="s">
        <v>1640</v>
      </c>
      <c r="J1226" s="548" t="s">
        <v>452</v>
      </c>
      <c r="K1226" s="583" t="s">
        <v>560</v>
      </c>
      <c r="L1226" s="583" t="s">
        <v>992</v>
      </c>
      <c r="M1226" s="619">
        <v>304713</v>
      </c>
      <c r="N1226" s="620">
        <v>44501</v>
      </c>
      <c r="O1226" s="684" t="s">
        <v>67</v>
      </c>
      <c r="P1226" s="503">
        <f t="shared" si="68"/>
        <v>11</v>
      </c>
      <c r="Q1226" s="503">
        <f t="shared" si="69"/>
        <v>11</v>
      </c>
      <c r="R1226" s="504" t="str">
        <f t="shared" si="70"/>
        <v>Gastos_Gerais</v>
      </c>
      <c r="S1226" s="504" t="str">
        <f>IF(D1226="","",IF(OR(D1226=Plano!$A$1,D1226=Plano!$B$1),"entrada","saída"))</f>
        <v>saída</v>
      </c>
      <c r="T1226" s="505" t="s">
        <v>1082</v>
      </c>
      <c r="U1226" s="505">
        <v>1672</v>
      </c>
      <c r="V1226" s="541"/>
    </row>
    <row r="1227" spans="1:22" ht="50.1" customHeight="1" x14ac:dyDescent="0.2">
      <c r="A1227" s="619">
        <f>IF(B1227="","",COUNT('Diário 5º PA'!$A$5:$A$2634)+COUNT('Diário 6º PA'!$A$5:$A$2246)+COUNT('Diário 7º PA'!$A$5:$A$2271)+ROW()-4)</f>
        <v>5173</v>
      </c>
      <c r="B1227" s="620">
        <v>44530</v>
      </c>
      <c r="C1227" s="624">
        <v>44501</v>
      </c>
      <c r="D1227" s="548" t="s">
        <v>88</v>
      </c>
      <c r="E1227" s="548" t="s">
        <v>175</v>
      </c>
      <c r="F1227" s="622">
        <v>7203.27</v>
      </c>
      <c r="G1227" s="623" t="s">
        <v>6443</v>
      </c>
      <c r="H1227" s="548" t="s">
        <v>114</v>
      </c>
      <c r="I1227" s="583" t="s">
        <v>1181</v>
      </c>
      <c r="J1227" s="548" t="s">
        <v>1182</v>
      </c>
      <c r="K1227" s="583" t="s">
        <v>991</v>
      </c>
      <c r="L1227" s="583" t="s">
        <v>1183</v>
      </c>
      <c r="M1227" s="619" t="s">
        <v>114</v>
      </c>
      <c r="N1227" s="620">
        <v>44530</v>
      </c>
      <c r="O1227" s="684" t="s">
        <v>67</v>
      </c>
      <c r="P1227" s="503">
        <f t="shared" si="68"/>
        <v>11</v>
      </c>
      <c r="Q1227" s="503">
        <f t="shared" si="69"/>
        <v>11</v>
      </c>
      <c r="R1227" s="504" t="str">
        <f t="shared" si="70"/>
        <v>Gastos_com_Pessoal</v>
      </c>
      <c r="S1227" s="504" t="str">
        <f>IF(D1227="","",IF(OR(D1227=Plano!$A$1,D1227=Plano!$B$1),"entrada","saída"))</f>
        <v>saída</v>
      </c>
      <c r="T1227" s="505" t="s">
        <v>114</v>
      </c>
      <c r="U1227" s="505" t="s">
        <v>114</v>
      </c>
      <c r="V1227" s="541"/>
    </row>
    <row r="1228" spans="1:22" ht="50.1" customHeight="1" x14ac:dyDescent="0.2">
      <c r="A1228" s="619">
        <f>IF(B1228="","",COUNT('Diário 5º PA'!$A$5:$A$2634)+COUNT('Diário 6º PA'!$A$5:$A$2246)+COUNT('Diário 7º PA'!$A$5:$A$2271)+ROW()-4)</f>
        <v>5174</v>
      </c>
      <c r="B1228" s="620">
        <v>44530</v>
      </c>
      <c r="C1228" s="624">
        <v>44501</v>
      </c>
      <c r="D1228" s="548" t="s">
        <v>88</v>
      </c>
      <c r="E1228" s="548" t="s">
        <v>175</v>
      </c>
      <c r="F1228" s="622">
        <v>575</v>
      </c>
      <c r="G1228" s="623" t="s">
        <v>6444</v>
      </c>
      <c r="H1228" s="548" t="s">
        <v>114</v>
      </c>
      <c r="I1228" s="583" t="s">
        <v>1757</v>
      </c>
      <c r="J1228" s="548" t="s">
        <v>1758</v>
      </c>
      <c r="K1228" s="583" t="s">
        <v>991</v>
      </c>
      <c r="L1228" s="583" t="s">
        <v>1183</v>
      </c>
      <c r="M1228" s="619" t="s">
        <v>114</v>
      </c>
      <c r="N1228" s="620">
        <v>44530</v>
      </c>
      <c r="O1228" s="684" t="s">
        <v>67</v>
      </c>
      <c r="P1228" s="503">
        <f t="shared" si="68"/>
        <v>11</v>
      </c>
      <c r="Q1228" s="503">
        <f t="shared" si="69"/>
        <v>11</v>
      </c>
      <c r="R1228" s="504" t="str">
        <f t="shared" si="70"/>
        <v>Gastos_com_Pessoal</v>
      </c>
      <c r="S1228" s="504" t="str">
        <f>IF(D1228="","",IF(OR(D1228=Plano!$A$1,D1228=Plano!$B$1),"entrada","saída"))</f>
        <v>saída</v>
      </c>
      <c r="T1228" s="505" t="s">
        <v>114</v>
      </c>
      <c r="U1228" s="505" t="s">
        <v>114</v>
      </c>
      <c r="V1228" s="541"/>
    </row>
    <row r="1229" spans="1:22" ht="50.1" customHeight="1" x14ac:dyDescent="0.2">
      <c r="A1229" s="619">
        <f>IF(B1229="","",COUNT('Diário 5º PA'!$A$5:$A$2634)+COUNT('Diário 6º PA'!$A$5:$A$2246)+COUNT('Diário 7º PA'!$A$5:$A$2271)+ROW()-4)</f>
        <v>5175</v>
      </c>
      <c r="B1229" s="620">
        <v>44530</v>
      </c>
      <c r="C1229" s="624">
        <v>44501</v>
      </c>
      <c r="D1229" s="548" t="s">
        <v>88</v>
      </c>
      <c r="E1229" s="548" t="s">
        <v>175</v>
      </c>
      <c r="F1229" s="622">
        <v>412.5</v>
      </c>
      <c r="G1229" s="623" t="s">
        <v>6445</v>
      </c>
      <c r="H1229" s="548" t="s">
        <v>114</v>
      </c>
      <c r="I1229" s="583" t="s">
        <v>6024</v>
      </c>
      <c r="J1229" s="548" t="s">
        <v>6025</v>
      </c>
      <c r="K1229" s="583" t="s">
        <v>991</v>
      </c>
      <c r="L1229" s="583" t="s">
        <v>1183</v>
      </c>
      <c r="M1229" s="619" t="s">
        <v>114</v>
      </c>
      <c r="N1229" s="620">
        <v>44530</v>
      </c>
      <c r="O1229" s="684" t="s">
        <v>67</v>
      </c>
      <c r="P1229" s="503">
        <f t="shared" si="68"/>
        <v>11</v>
      </c>
      <c r="Q1229" s="503">
        <f t="shared" si="69"/>
        <v>11</v>
      </c>
      <c r="R1229" s="504" t="str">
        <f t="shared" si="70"/>
        <v>Gastos_com_Pessoal</v>
      </c>
      <c r="S1229" s="504" t="str">
        <f>IF(D1229="","",IF(OR(D1229=Plano!$A$1,D1229=Plano!$B$1),"entrada","saída"))</f>
        <v>saída</v>
      </c>
      <c r="T1229" s="505" t="s">
        <v>114</v>
      </c>
      <c r="U1229" s="505" t="s">
        <v>114</v>
      </c>
      <c r="V1229" s="541"/>
    </row>
    <row r="1230" spans="1:22" ht="50.1" customHeight="1" x14ac:dyDescent="0.2">
      <c r="A1230" s="619">
        <f>IF(B1230="","",COUNT('Diário 5º PA'!$A$5:$A$2634)+COUNT('Diário 6º PA'!$A$5:$A$2246)+COUNT('Diário 7º PA'!$A$5:$A$2271)+ROW()-4)</f>
        <v>5176</v>
      </c>
      <c r="B1230" s="620">
        <v>44530</v>
      </c>
      <c r="C1230" s="624">
        <v>44501</v>
      </c>
      <c r="D1230" s="548" t="s">
        <v>88</v>
      </c>
      <c r="E1230" s="548" t="s">
        <v>175</v>
      </c>
      <c r="F1230" s="622">
        <v>412.5</v>
      </c>
      <c r="G1230" s="623" t="s">
        <v>6446</v>
      </c>
      <c r="H1230" s="548" t="s">
        <v>114</v>
      </c>
      <c r="I1230" s="583" t="s">
        <v>6026</v>
      </c>
      <c r="J1230" s="548" t="s">
        <v>6027</v>
      </c>
      <c r="K1230" s="583" t="s">
        <v>991</v>
      </c>
      <c r="L1230" s="583" t="s">
        <v>1183</v>
      </c>
      <c r="M1230" s="619" t="s">
        <v>114</v>
      </c>
      <c r="N1230" s="620">
        <v>44530</v>
      </c>
      <c r="O1230" s="684" t="s">
        <v>67</v>
      </c>
      <c r="P1230" s="503">
        <f t="shared" si="68"/>
        <v>11</v>
      </c>
      <c r="Q1230" s="503">
        <f t="shared" si="69"/>
        <v>11</v>
      </c>
      <c r="R1230" s="504" t="str">
        <f t="shared" si="70"/>
        <v>Gastos_com_Pessoal</v>
      </c>
      <c r="S1230" s="504" t="str">
        <f>IF(D1230="","",IF(OR(D1230=Plano!$A$1,D1230=Plano!$B$1),"entrada","saída"))</f>
        <v>saída</v>
      </c>
      <c r="T1230" s="505" t="s">
        <v>114</v>
      </c>
      <c r="U1230" s="505" t="s">
        <v>114</v>
      </c>
      <c r="V1230" s="541"/>
    </row>
    <row r="1231" spans="1:22" ht="50.1" customHeight="1" x14ac:dyDescent="0.2">
      <c r="A1231" s="619">
        <f>IF(B1231="","",COUNT('Diário 5º PA'!$A$5:$A$2634)+COUNT('Diário 6º PA'!$A$5:$A$2246)+COUNT('Diário 7º PA'!$A$5:$A$2271)+ROW()-4)</f>
        <v>5177</v>
      </c>
      <c r="B1231" s="620">
        <v>44530</v>
      </c>
      <c r="C1231" s="624">
        <v>44501</v>
      </c>
      <c r="D1231" s="548" t="s">
        <v>88</v>
      </c>
      <c r="E1231" s="548" t="s">
        <v>175</v>
      </c>
      <c r="F1231" s="622">
        <v>479.17</v>
      </c>
      <c r="G1231" s="623" t="s">
        <v>6447</v>
      </c>
      <c r="H1231" s="548" t="s">
        <v>114</v>
      </c>
      <c r="I1231" s="583" t="s">
        <v>2222</v>
      </c>
      <c r="J1231" s="548" t="s">
        <v>2223</v>
      </c>
      <c r="K1231" s="583" t="s">
        <v>991</v>
      </c>
      <c r="L1231" s="583" t="s">
        <v>1183</v>
      </c>
      <c r="M1231" s="619" t="s">
        <v>114</v>
      </c>
      <c r="N1231" s="620">
        <v>44530</v>
      </c>
      <c r="O1231" s="684" t="s">
        <v>67</v>
      </c>
      <c r="P1231" s="503">
        <f t="shared" si="68"/>
        <v>11</v>
      </c>
      <c r="Q1231" s="503">
        <f t="shared" si="69"/>
        <v>11</v>
      </c>
      <c r="R1231" s="504" t="str">
        <f t="shared" si="70"/>
        <v>Gastos_com_Pessoal</v>
      </c>
      <c r="S1231" s="504" t="str">
        <f>IF(D1231="","",IF(OR(D1231=Plano!$A$1,D1231=Plano!$B$1),"entrada","saída"))</f>
        <v>saída</v>
      </c>
      <c r="T1231" s="505" t="s">
        <v>114</v>
      </c>
      <c r="U1231" s="505" t="s">
        <v>114</v>
      </c>
      <c r="V1231" s="541"/>
    </row>
    <row r="1232" spans="1:22" ht="50.1" customHeight="1" x14ac:dyDescent="0.2">
      <c r="A1232" s="619">
        <f>IF(B1232="","",COUNT('Diário 5º PA'!$A$5:$A$2634)+COUNT('Diário 6º PA'!$A$5:$A$2246)+COUNT('Diário 7º PA'!$A$5:$A$2271)+ROW()-4)</f>
        <v>5178</v>
      </c>
      <c r="B1232" s="620">
        <v>44530</v>
      </c>
      <c r="C1232" s="624">
        <v>44501</v>
      </c>
      <c r="D1232" s="548" t="s">
        <v>88</v>
      </c>
      <c r="E1232" s="548" t="s">
        <v>175</v>
      </c>
      <c r="F1232" s="622">
        <v>1768</v>
      </c>
      <c r="G1232" s="623" t="s">
        <v>6448</v>
      </c>
      <c r="H1232" s="548" t="s">
        <v>114</v>
      </c>
      <c r="I1232" s="583" t="s">
        <v>1185</v>
      </c>
      <c r="J1232" s="548" t="s">
        <v>1186</v>
      </c>
      <c r="K1232" s="583" t="s">
        <v>991</v>
      </c>
      <c r="L1232" s="583" t="s">
        <v>1183</v>
      </c>
      <c r="M1232" s="619" t="s">
        <v>114</v>
      </c>
      <c r="N1232" s="620">
        <v>44530</v>
      </c>
      <c r="O1232" s="684" t="s">
        <v>67</v>
      </c>
      <c r="P1232" s="503">
        <f t="shared" si="68"/>
        <v>11</v>
      </c>
      <c r="Q1232" s="503">
        <f t="shared" si="69"/>
        <v>11</v>
      </c>
      <c r="R1232" s="504" t="str">
        <f t="shared" si="70"/>
        <v>Gastos_com_Pessoal</v>
      </c>
      <c r="S1232" s="504" t="str">
        <f>IF(D1232="","",IF(OR(D1232=Plano!$A$1,D1232=Plano!$B$1),"entrada","saída"))</f>
        <v>saída</v>
      </c>
      <c r="T1232" s="505" t="s">
        <v>114</v>
      </c>
      <c r="U1232" s="505" t="s">
        <v>114</v>
      </c>
      <c r="V1232" s="541"/>
    </row>
    <row r="1233" spans="1:22" ht="50.1" customHeight="1" x14ac:dyDescent="0.2">
      <c r="A1233" s="619">
        <f>IF(B1233="","",COUNT('Diário 5º PA'!$A$5:$A$2634)+COUNT('Diário 6º PA'!$A$5:$A$2246)+COUNT('Diário 7º PA'!$A$5:$A$2271)+ROW()-4)</f>
        <v>5179</v>
      </c>
      <c r="B1233" s="620">
        <v>44530</v>
      </c>
      <c r="C1233" s="624">
        <v>44501</v>
      </c>
      <c r="D1233" s="548" t="s">
        <v>88</v>
      </c>
      <c r="E1233" s="548" t="s">
        <v>175</v>
      </c>
      <c r="F1233" s="622">
        <v>708.34</v>
      </c>
      <c r="G1233" s="623" t="s">
        <v>6452</v>
      </c>
      <c r="H1233" s="548" t="s">
        <v>114</v>
      </c>
      <c r="I1233" s="583" t="s">
        <v>2225</v>
      </c>
      <c r="J1233" s="548" t="s">
        <v>2226</v>
      </c>
      <c r="K1233" s="583" t="s">
        <v>991</v>
      </c>
      <c r="L1233" s="583" t="s">
        <v>1183</v>
      </c>
      <c r="M1233" s="619" t="s">
        <v>114</v>
      </c>
      <c r="N1233" s="620">
        <v>44530</v>
      </c>
      <c r="O1233" s="684" t="s">
        <v>67</v>
      </c>
      <c r="P1233" s="503">
        <f t="shared" si="68"/>
        <v>11</v>
      </c>
      <c r="Q1233" s="503">
        <f t="shared" si="69"/>
        <v>11</v>
      </c>
      <c r="R1233" s="504" t="str">
        <f t="shared" si="70"/>
        <v>Gastos_com_Pessoal</v>
      </c>
      <c r="S1233" s="504" t="str">
        <f>IF(D1233="","",IF(OR(D1233=Plano!$A$1,D1233=Plano!$B$1),"entrada","saída"))</f>
        <v>saída</v>
      </c>
      <c r="T1233" s="505" t="s">
        <v>114</v>
      </c>
      <c r="U1233" s="505" t="s">
        <v>114</v>
      </c>
      <c r="V1233" s="541"/>
    </row>
    <row r="1234" spans="1:22" ht="50.1" customHeight="1" x14ac:dyDescent="0.2">
      <c r="A1234" s="619">
        <f>IF(B1234="","",COUNT('Diário 5º PA'!$A$5:$A$2634)+COUNT('Diário 6º PA'!$A$5:$A$2246)+COUNT('Diário 7º PA'!$A$5:$A$2271)+ROW()-4)</f>
        <v>5180</v>
      </c>
      <c r="B1234" s="620">
        <v>44530</v>
      </c>
      <c r="C1234" s="624">
        <v>44501</v>
      </c>
      <c r="D1234" s="548" t="s">
        <v>88</v>
      </c>
      <c r="E1234" s="548" t="s">
        <v>175</v>
      </c>
      <c r="F1234" s="622">
        <v>479.17</v>
      </c>
      <c r="G1234" s="623" t="s">
        <v>6455</v>
      </c>
      <c r="H1234" s="548" t="s">
        <v>114</v>
      </c>
      <c r="I1234" s="583" t="s">
        <v>2228</v>
      </c>
      <c r="J1234" s="548" t="s">
        <v>2229</v>
      </c>
      <c r="K1234" s="583" t="s">
        <v>991</v>
      </c>
      <c r="L1234" s="583" t="s">
        <v>1183</v>
      </c>
      <c r="M1234" s="619" t="s">
        <v>114</v>
      </c>
      <c r="N1234" s="620">
        <v>44530</v>
      </c>
      <c r="O1234" s="684" t="s">
        <v>67</v>
      </c>
      <c r="P1234" s="503">
        <f t="shared" si="68"/>
        <v>11</v>
      </c>
      <c r="Q1234" s="503">
        <f t="shared" si="69"/>
        <v>11</v>
      </c>
      <c r="R1234" s="504" t="str">
        <f t="shared" si="70"/>
        <v>Gastos_com_Pessoal</v>
      </c>
      <c r="S1234" s="504" t="str">
        <f>IF(D1234="","",IF(OR(D1234=Plano!$A$1,D1234=Plano!$B$1),"entrada","saída"))</f>
        <v>saída</v>
      </c>
      <c r="T1234" s="505" t="s">
        <v>114</v>
      </c>
      <c r="U1234" s="505" t="s">
        <v>114</v>
      </c>
      <c r="V1234" s="541"/>
    </row>
    <row r="1235" spans="1:22" ht="50.1" customHeight="1" x14ac:dyDescent="0.2">
      <c r="A1235" s="619">
        <f>IF(B1235="","",COUNT('Diário 5º PA'!$A$5:$A$2634)+COUNT('Diário 6º PA'!$A$5:$A$2246)+COUNT('Diário 7º PA'!$A$5:$A$2271)+ROW()-4)</f>
        <v>5181</v>
      </c>
      <c r="B1235" s="620">
        <v>44530</v>
      </c>
      <c r="C1235" s="624">
        <v>44501</v>
      </c>
      <c r="D1235" s="548" t="s">
        <v>88</v>
      </c>
      <c r="E1235" s="548" t="s">
        <v>175</v>
      </c>
      <c r="F1235" s="622">
        <v>625</v>
      </c>
      <c r="G1235" s="623" t="s">
        <v>6451</v>
      </c>
      <c r="H1235" s="548" t="s">
        <v>114</v>
      </c>
      <c r="I1235" s="583" t="s">
        <v>1760</v>
      </c>
      <c r="J1235" s="548" t="s">
        <v>1761</v>
      </c>
      <c r="K1235" s="583" t="s">
        <v>991</v>
      </c>
      <c r="L1235" s="583" t="s">
        <v>1183</v>
      </c>
      <c r="M1235" s="619" t="s">
        <v>114</v>
      </c>
      <c r="N1235" s="620">
        <v>44530</v>
      </c>
      <c r="O1235" s="684" t="s">
        <v>67</v>
      </c>
      <c r="P1235" s="503">
        <f t="shared" si="68"/>
        <v>11</v>
      </c>
      <c r="Q1235" s="503">
        <f t="shared" si="69"/>
        <v>11</v>
      </c>
      <c r="R1235" s="504" t="str">
        <f t="shared" si="70"/>
        <v>Gastos_com_Pessoal</v>
      </c>
      <c r="S1235" s="504" t="str">
        <f>IF(D1235="","",IF(OR(D1235=Plano!$A$1,D1235=Plano!$B$1),"entrada","saída"))</f>
        <v>saída</v>
      </c>
      <c r="T1235" s="505" t="s">
        <v>114</v>
      </c>
      <c r="U1235" s="505" t="s">
        <v>114</v>
      </c>
      <c r="V1235" s="541"/>
    </row>
    <row r="1236" spans="1:22" ht="50.1" customHeight="1" x14ac:dyDescent="0.2">
      <c r="A1236" s="619">
        <f>IF(B1236="","",COUNT('Diário 5º PA'!$A$5:$A$2634)+COUNT('Diário 6º PA'!$A$5:$A$2246)+COUNT('Diário 7º PA'!$A$5:$A$2271)+ROW()-4)</f>
        <v>5182</v>
      </c>
      <c r="B1236" s="620">
        <v>44530</v>
      </c>
      <c r="C1236" s="624">
        <v>44501</v>
      </c>
      <c r="D1236" s="548" t="s">
        <v>88</v>
      </c>
      <c r="E1236" s="548" t="s">
        <v>175</v>
      </c>
      <c r="F1236" s="622">
        <v>479.17</v>
      </c>
      <c r="G1236" s="623" t="s">
        <v>6450</v>
      </c>
      <c r="H1236" s="548" t="s">
        <v>114</v>
      </c>
      <c r="I1236" s="583" t="s">
        <v>2232</v>
      </c>
      <c r="J1236" s="548" t="s">
        <v>2229</v>
      </c>
      <c r="K1236" s="583" t="s">
        <v>991</v>
      </c>
      <c r="L1236" s="583" t="s">
        <v>1183</v>
      </c>
      <c r="M1236" s="619" t="s">
        <v>114</v>
      </c>
      <c r="N1236" s="620">
        <v>44530</v>
      </c>
      <c r="O1236" s="684" t="s">
        <v>67</v>
      </c>
      <c r="P1236" s="503">
        <f t="shared" si="68"/>
        <v>11</v>
      </c>
      <c r="Q1236" s="503">
        <f t="shared" si="69"/>
        <v>11</v>
      </c>
      <c r="R1236" s="504" t="str">
        <f t="shared" si="70"/>
        <v>Gastos_com_Pessoal</v>
      </c>
      <c r="S1236" s="504" t="str">
        <f>IF(D1236="","",IF(OR(D1236=Plano!$A$1,D1236=Plano!$B$1),"entrada","saída"))</f>
        <v>saída</v>
      </c>
      <c r="T1236" s="505" t="s">
        <v>114</v>
      </c>
      <c r="U1236" s="505" t="s">
        <v>114</v>
      </c>
      <c r="V1236" s="541"/>
    </row>
    <row r="1237" spans="1:22" ht="50.1" customHeight="1" x14ac:dyDescent="0.2">
      <c r="A1237" s="619">
        <f>IF(B1237="","",COUNT('Diário 5º PA'!$A$5:$A$2634)+COUNT('Diário 6º PA'!$A$5:$A$2246)+COUNT('Diário 7º PA'!$A$5:$A$2271)+ROW()-4)</f>
        <v>5183</v>
      </c>
      <c r="B1237" s="620">
        <v>44530</v>
      </c>
      <c r="C1237" s="624">
        <v>44501</v>
      </c>
      <c r="D1237" s="548" t="s">
        <v>88</v>
      </c>
      <c r="E1237" s="548" t="s">
        <v>175</v>
      </c>
      <c r="F1237" s="622">
        <v>856.43</v>
      </c>
      <c r="G1237" s="623" t="s">
        <v>6449</v>
      </c>
      <c r="H1237" s="548" t="s">
        <v>114</v>
      </c>
      <c r="I1237" s="583" t="s">
        <v>1188</v>
      </c>
      <c r="J1237" s="548" t="s">
        <v>1189</v>
      </c>
      <c r="K1237" s="583" t="s">
        <v>991</v>
      </c>
      <c r="L1237" s="583" t="s">
        <v>1183</v>
      </c>
      <c r="M1237" s="619" t="s">
        <v>114</v>
      </c>
      <c r="N1237" s="620">
        <v>44530</v>
      </c>
      <c r="O1237" s="684" t="s">
        <v>67</v>
      </c>
      <c r="P1237" s="503">
        <f t="shared" si="68"/>
        <v>11</v>
      </c>
      <c r="Q1237" s="503">
        <f t="shared" si="69"/>
        <v>11</v>
      </c>
      <c r="R1237" s="504" t="str">
        <f t="shared" si="70"/>
        <v>Gastos_com_Pessoal</v>
      </c>
      <c r="S1237" s="504" t="str">
        <f>IF(D1237="","",IF(OR(D1237=Plano!$A$1,D1237=Plano!$B$1),"entrada","saída"))</f>
        <v>saída</v>
      </c>
      <c r="T1237" s="505" t="s">
        <v>114</v>
      </c>
      <c r="U1237" s="505" t="s">
        <v>114</v>
      </c>
      <c r="V1237" s="541"/>
    </row>
    <row r="1238" spans="1:22" ht="50.1" customHeight="1" x14ac:dyDescent="0.2">
      <c r="A1238" s="619">
        <f>IF(B1238="","",COUNT('Diário 5º PA'!$A$5:$A$2634)+COUNT('Diário 6º PA'!$A$5:$A$2246)+COUNT('Diário 7º PA'!$A$5:$A$2271)+ROW()-4)</f>
        <v>5184</v>
      </c>
      <c r="B1238" s="620">
        <v>44530</v>
      </c>
      <c r="C1238" s="624">
        <v>44501</v>
      </c>
      <c r="D1238" s="548" t="s">
        <v>88</v>
      </c>
      <c r="E1238" s="548" t="s">
        <v>175</v>
      </c>
      <c r="F1238" s="622">
        <v>412.5</v>
      </c>
      <c r="G1238" s="623" t="s">
        <v>6453</v>
      </c>
      <c r="H1238" s="548" t="s">
        <v>114</v>
      </c>
      <c r="I1238" s="583" t="s">
        <v>6036</v>
      </c>
      <c r="J1238" s="548" t="s">
        <v>6037</v>
      </c>
      <c r="K1238" s="583" t="s">
        <v>991</v>
      </c>
      <c r="L1238" s="583" t="s">
        <v>1183</v>
      </c>
      <c r="M1238" s="619" t="s">
        <v>114</v>
      </c>
      <c r="N1238" s="620">
        <v>44530</v>
      </c>
      <c r="O1238" s="684" t="s">
        <v>67</v>
      </c>
      <c r="P1238" s="503">
        <f t="shared" si="68"/>
        <v>11</v>
      </c>
      <c r="Q1238" s="503">
        <f t="shared" si="69"/>
        <v>11</v>
      </c>
      <c r="R1238" s="504" t="str">
        <f t="shared" si="70"/>
        <v>Gastos_com_Pessoal</v>
      </c>
      <c r="S1238" s="504" t="str">
        <f>IF(D1238="","",IF(OR(D1238=Plano!$A$1,D1238=Plano!$B$1),"entrada","saída"))</f>
        <v>saída</v>
      </c>
      <c r="T1238" s="505" t="s">
        <v>114</v>
      </c>
      <c r="U1238" s="505" t="s">
        <v>114</v>
      </c>
      <c r="V1238" s="541"/>
    </row>
    <row r="1239" spans="1:22" ht="50.1" customHeight="1" x14ac:dyDescent="0.2">
      <c r="A1239" s="619">
        <f>IF(B1239="","",COUNT('Diário 5º PA'!$A$5:$A$2634)+COUNT('Diário 6º PA'!$A$5:$A$2246)+COUNT('Diário 7º PA'!$A$5:$A$2271)+ROW()-4)</f>
        <v>5185</v>
      </c>
      <c r="B1239" s="620">
        <v>44530</v>
      </c>
      <c r="C1239" s="624">
        <v>44501</v>
      </c>
      <c r="D1239" s="548" t="s">
        <v>88</v>
      </c>
      <c r="E1239" s="548" t="s">
        <v>175</v>
      </c>
      <c r="F1239" s="622">
        <v>479.17</v>
      </c>
      <c r="G1239" s="623" t="s">
        <v>6454</v>
      </c>
      <c r="H1239" s="548" t="s">
        <v>114</v>
      </c>
      <c r="I1239" s="583" t="s">
        <v>2235</v>
      </c>
      <c r="J1239" s="548" t="s">
        <v>2236</v>
      </c>
      <c r="K1239" s="583" t="s">
        <v>991</v>
      </c>
      <c r="L1239" s="583" t="s">
        <v>1183</v>
      </c>
      <c r="M1239" s="619" t="s">
        <v>114</v>
      </c>
      <c r="N1239" s="620">
        <v>44530</v>
      </c>
      <c r="O1239" s="684" t="s">
        <v>67</v>
      </c>
      <c r="P1239" s="503">
        <f t="shared" si="68"/>
        <v>11</v>
      </c>
      <c r="Q1239" s="503">
        <f t="shared" si="69"/>
        <v>11</v>
      </c>
      <c r="R1239" s="504" t="str">
        <f t="shared" si="70"/>
        <v>Gastos_com_Pessoal</v>
      </c>
      <c r="S1239" s="504" t="str">
        <f>IF(D1239="","",IF(OR(D1239=Plano!$A$1,D1239=Plano!$B$1),"entrada","saída"))</f>
        <v>saída</v>
      </c>
      <c r="T1239" s="505" t="s">
        <v>114</v>
      </c>
      <c r="U1239" s="505" t="s">
        <v>114</v>
      </c>
      <c r="V1239" s="541"/>
    </row>
    <row r="1240" spans="1:22" ht="50.1" customHeight="1" x14ac:dyDescent="0.2">
      <c r="A1240" s="619">
        <f>IF(B1240="","",COUNT('Diário 5º PA'!$A$5:$A$2634)+COUNT('Diário 6º PA'!$A$5:$A$2246)+COUNT('Diário 7º PA'!$A$5:$A$2271)+ROW()-4)</f>
        <v>5186</v>
      </c>
      <c r="B1240" s="620">
        <v>44530</v>
      </c>
      <c r="C1240" s="624">
        <v>44501</v>
      </c>
      <c r="D1240" s="548" t="s">
        <v>88</v>
      </c>
      <c r="E1240" s="548" t="s">
        <v>175</v>
      </c>
      <c r="F1240" s="622">
        <v>479.17</v>
      </c>
      <c r="G1240" s="623" t="s">
        <v>6456</v>
      </c>
      <c r="H1240" s="548" t="s">
        <v>114</v>
      </c>
      <c r="I1240" s="583" t="s">
        <v>2238</v>
      </c>
      <c r="J1240" s="548" t="s">
        <v>2239</v>
      </c>
      <c r="K1240" s="583" t="s">
        <v>991</v>
      </c>
      <c r="L1240" s="583" t="s">
        <v>1183</v>
      </c>
      <c r="M1240" s="619" t="s">
        <v>114</v>
      </c>
      <c r="N1240" s="620">
        <v>44530</v>
      </c>
      <c r="O1240" s="684" t="s">
        <v>67</v>
      </c>
      <c r="P1240" s="503">
        <f t="shared" si="68"/>
        <v>11</v>
      </c>
      <c r="Q1240" s="503">
        <f t="shared" si="69"/>
        <v>11</v>
      </c>
      <c r="R1240" s="504" t="str">
        <f t="shared" si="70"/>
        <v>Gastos_com_Pessoal</v>
      </c>
      <c r="S1240" s="504" t="str">
        <f>IF(D1240="","",IF(OR(D1240=Plano!$A$1,D1240=Plano!$B$1),"entrada","saída"))</f>
        <v>saída</v>
      </c>
      <c r="T1240" s="505" t="s">
        <v>114</v>
      </c>
      <c r="U1240" s="505" t="s">
        <v>114</v>
      </c>
      <c r="V1240" s="541"/>
    </row>
    <row r="1241" spans="1:22" ht="50.1" customHeight="1" x14ac:dyDescent="0.2">
      <c r="A1241" s="619">
        <f>IF(B1241="","",COUNT('Diário 5º PA'!$A$5:$A$2634)+COUNT('Diário 6º PA'!$A$5:$A$2246)+COUNT('Diário 7º PA'!$A$5:$A$2271)+ROW()-4)</f>
        <v>5187</v>
      </c>
      <c r="B1241" s="620">
        <v>44530</v>
      </c>
      <c r="C1241" s="624">
        <v>44501</v>
      </c>
      <c r="D1241" s="548" t="s">
        <v>88</v>
      </c>
      <c r="E1241" s="548" t="s">
        <v>175</v>
      </c>
      <c r="F1241" s="622">
        <v>645.84</v>
      </c>
      <c r="G1241" s="623" t="s">
        <v>6457</v>
      </c>
      <c r="H1241" s="548" t="s">
        <v>114</v>
      </c>
      <c r="I1241" s="583" t="s">
        <v>2258</v>
      </c>
      <c r="J1241" s="548" t="s">
        <v>2259</v>
      </c>
      <c r="K1241" s="583" t="s">
        <v>991</v>
      </c>
      <c r="L1241" s="583" t="s">
        <v>1183</v>
      </c>
      <c r="M1241" s="619" t="s">
        <v>114</v>
      </c>
      <c r="N1241" s="620">
        <v>44530</v>
      </c>
      <c r="O1241" s="684" t="s">
        <v>67</v>
      </c>
      <c r="P1241" s="503">
        <f t="shared" si="68"/>
        <v>11</v>
      </c>
      <c r="Q1241" s="503">
        <f t="shared" si="69"/>
        <v>11</v>
      </c>
      <c r="R1241" s="504" t="str">
        <f t="shared" si="70"/>
        <v>Gastos_com_Pessoal</v>
      </c>
      <c r="S1241" s="504" t="str">
        <f>IF(D1241="","",IF(OR(D1241=Plano!$A$1,D1241=Plano!$B$1),"entrada","saída"))</f>
        <v>saída</v>
      </c>
      <c r="T1241" s="505" t="s">
        <v>114</v>
      </c>
      <c r="U1241" s="505" t="s">
        <v>114</v>
      </c>
      <c r="V1241" s="541"/>
    </row>
    <row r="1242" spans="1:22" ht="50.1" customHeight="1" x14ac:dyDescent="0.2">
      <c r="A1242" s="619">
        <f>IF(B1242="","",COUNT('Diário 5º PA'!$A$5:$A$2634)+COUNT('Diário 6º PA'!$A$5:$A$2246)+COUNT('Diário 7º PA'!$A$5:$A$2271)+ROW()-4)</f>
        <v>5188</v>
      </c>
      <c r="B1242" s="620">
        <v>44530</v>
      </c>
      <c r="C1242" s="624">
        <v>44501</v>
      </c>
      <c r="D1242" s="548" t="s">
        <v>88</v>
      </c>
      <c r="E1242" s="548" t="s">
        <v>175</v>
      </c>
      <c r="F1242" s="622">
        <v>575</v>
      </c>
      <c r="G1242" s="623" t="s">
        <v>6458</v>
      </c>
      <c r="H1242" s="548" t="s">
        <v>114</v>
      </c>
      <c r="I1242" s="583" t="s">
        <v>1763</v>
      </c>
      <c r="J1242" s="548" t="s">
        <v>1764</v>
      </c>
      <c r="K1242" s="583" t="s">
        <v>991</v>
      </c>
      <c r="L1242" s="583" t="s">
        <v>1183</v>
      </c>
      <c r="M1242" s="619" t="s">
        <v>114</v>
      </c>
      <c r="N1242" s="620">
        <v>44530</v>
      </c>
      <c r="O1242" s="684" t="s">
        <v>67</v>
      </c>
      <c r="P1242" s="503">
        <f t="shared" si="68"/>
        <v>11</v>
      </c>
      <c r="Q1242" s="503">
        <f t="shared" si="69"/>
        <v>11</v>
      </c>
      <c r="R1242" s="504" t="str">
        <f t="shared" si="70"/>
        <v>Gastos_com_Pessoal</v>
      </c>
      <c r="S1242" s="504" t="str">
        <f>IF(D1242="","",IF(OR(D1242=Plano!$A$1,D1242=Plano!$B$1),"entrada","saída"))</f>
        <v>saída</v>
      </c>
      <c r="T1242" s="505" t="s">
        <v>114</v>
      </c>
      <c r="U1242" s="505" t="s">
        <v>114</v>
      </c>
      <c r="V1242" s="541"/>
    </row>
    <row r="1243" spans="1:22" ht="50.1" customHeight="1" x14ac:dyDescent="0.2">
      <c r="A1243" s="619">
        <f>IF(B1243="","",COUNT('Diário 5º PA'!$A$5:$A$2634)+COUNT('Diário 6º PA'!$A$5:$A$2246)+COUNT('Diário 7º PA'!$A$5:$A$2271)+ROW()-4)</f>
        <v>5189</v>
      </c>
      <c r="B1243" s="620">
        <v>44530</v>
      </c>
      <c r="C1243" s="624">
        <v>44501</v>
      </c>
      <c r="D1243" s="548" t="s">
        <v>88</v>
      </c>
      <c r="E1243" s="548" t="s">
        <v>175</v>
      </c>
      <c r="F1243" s="622">
        <v>7136.87</v>
      </c>
      <c r="G1243" s="623" t="s">
        <v>6459</v>
      </c>
      <c r="H1243" s="548" t="s">
        <v>114</v>
      </c>
      <c r="I1243" s="583" t="s">
        <v>1197</v>
      </c>
      <c r="J1243" s="548" t="s">
        <v>1198</v>
      </c>
      <c r="K1243" s="583" t="s">
        <v>991</v>
      </c>
      <c r="L1243" s="583" t="s">
        <v>1183</v>
      </c>
      <c r="M1243" s="619" t="s">
        <v>114</v>
      </c>
      <c r="N1243" s="620">
        <v>44530</v>
      </c>
      <c r="O1243" s="684" t="s">
        <v>67</v>
      </c>
      <c r="P1243" s="503">
        <f t="shared" si="68"/>
        <v>11</v>
      </c>
      <c r="Q1243" s="503">
        <f t="shared" si="69"/>
        <v>11</v>
      </c>
      <c r="R1243" s="504" t="str">
        <f t="shared" si="70"/>
        <v>Gastos_com_Pessoal</v>
      </c>
      <c r="S1243" s="504" t="str">
        <f>IF(D1243="","",IF(OR(D1243=Plano!$A$1,D1243=Plano!$B$1),"entrada","saída"))</f>
        <v>saída</v>
      </c>
      <c r="T1243" s="505" t="s">
        <v>114</v>
      </c>
      <c r="U1243" s="505" t="s">
        <v>114</v>
      </c>
      <c r="V1243" s="541"/>
    </row>
    <row r="1244" spans="1:22" ht="50.1" customHeight="1" x14ac:dyDescent="0.2">
      <c r="A1244" s="619">
        <f>IF(B1244="","",COUNT('Diário 5º PA'!$A$5:$A$2634)+COUNT('Diário 6º PA'!$A$5:$A$2246)+COUNT('Diário 7º PA'!$A$5:$A$2271)+ROW()-4)</f>
        <v>5190</v>
      </c>
      <c r="B1244" s="620">
        <v>44530</v>
      </c>
      <c r="C1244" s="624">
        <v>44501</v>
      </c>
      <c r="D1244" s="548" t="s">
        <v>88</v>
      </c>
      <c r="E1244" s="548" t="s">
        <v>175</v>
      </c>
      <c r="F1244" s="622">
        <v>575</v>
      </c>
      <c r="G1244" s="623" t="s">
        <v>6458</v>
      </c>
      <c r="H1244" s="548" t="s">
        <v>114</v>
      </c>
      <c r="I1244" s="583" t="s">
        <v>1765</v>
      </c>
      <c r="J1244" s="548" t="s">
        <v>1766</v>
      </c>
      <c r="K1244" s="583" t="s">
        <v>991</v>
      </c>
      <c r="L1244" s="583" t="s">
        <v>1183</v>
      </c>
      <c r="M1244" s="619" t="s">
        <v>114</v>
      </c>
      <c r="N1244" s="620">
        <v>44530</v>
      </c>
      <c r="O1244" s="684" t="s">
        <v>67</v>
      </c>
      <c r="P1244" s="503">
        <f t="shared" si="68"/>
        <v>11</v>
      </c>
      <c r="Q1244" s="503">
        <f t="shared" si="69"/>
        <v>11</v>
      </c>
      <c r="R1244" s="504" t="str">
        <f t="shared" si="70"/>
        <v>Gastos_com_Pessoal</v>
      </c>
      <c r="S1244" s="504" t="str">
        <f>IF(D1244="","",IF(OR(D1244=Plano!$A$1,D1244=Plano!$B$1),"entrada","saída"))</f>
        <v>saída</v>
      </c>
      <c r="T1244" s="505" t="s">
        <v>114</v>
      </c>
      <c r="U1244" s="505" t="s">
        <v>114</v>
      </c>
      <c r="V1244" s="541"/>
    </row>
    <row r="1245" spans="1:22" ht="50.1" customHeight="1" x14ac:dyDescent="0.2">
      <c r="A1245" s="619">
        <f>IF(B1245="","",COUNT('Diário 5º PA'!$A$5:$A$2634)+COUNT('Diário 6º PA'!$A$5:$A$2246)+COUNT('Diário 7º PA'!$A$5:$A$2271)+ROW()-4)</f>
        <v>5191</v>
      </c>
      <c r="B1245" s="620">
        <v>44530</v>
      </c>
      <c r="C1245" s="624">
        <v>44501</v>
      </c>
      <c r="D1245" s="548" t="s">
        <v>88</v>
      </c>
      <c r="E1245" s="548" t="s">
        <v>175</v>
      </c>
      <c r="F1245" s="622">
        <v>479.17</v>
      </c>
      <c r="G1245" s="623" t="s">
        <v>6447</v>
      </c>
      <c r="H1245" s="548" t="s">
        <v>114</v>
      </c>
      <c r="I1245" s="583" t="s">
        <v>2242</v>
      </c>
      <c r="J1245" s="548" t="s">
        <v>2243</v>
      </c>
      <c r="K1245" s="583" t="s">
        <v>991</v>
      </c>
      <c r="L1245" s="583" t="s">
        <v>1183</v>
      </c>
      <c r="M1245" s="619" t="s">
        <v>114</v>
      </c>
      <c r="N1245" s="620">
        <v>44530</v>
      </c>
      <c r="O1245" s="684" t="s">
        <v>67</v>
      </c>
      <c r="P1245" s="503">
        <f t="shared" si="68"/>
        <v>11</v>
      </c>
      <c r="Q1245" s="503">
        <f t="shared" si="69"/>
        <v>11</v>
      </c>
      <c r="R1245" s="504" t="str">
        <f t="shared" si="70"/>
        <v>Gastos_com_Pessoal</v>
      </c>
      <c r="S1245" s="504" t="str">
        <f>IF(D1245="","",IF(OR(D1245=Plano!$A$1,D1245=Plano!$B$1),"entrada","saída"))</f>
        <v>saída</v>
      </c>
      <c r="T1245" s="505" t="s">
        <v>114</v>
      </c>
      <c r="U1245" s="505" t="s">
        <v>114</v>
      </c>
      <c r="V1245" s="541"/>
    </row>
    <row r="1246" spans="1:22" ht="50.1" customHeight="1" x14ac:dyDescent="0.2">
      <c r="A1246" s="619">
        <f>IF(B1246="","",COUNT('Diário 5º PA'!$A$5:$A$2634)+COUNT('Diário 6º PA'!$A$5:$A$2246)+COUNT('Diário 7º PA'!$A$5:$A$2271)+ROW()-4)</f>
        <v>5192</v>
      </c>
      <c r="B1246" s="620">
        <v>44530</v>
      </c>
      <c r="C1246" s="624">
        <v>44501</v>
      </c>
      <c r="D1246" s="548" t="s">
        <v>88</v>
      </c>
      <c r="E1246" s="548" t="s">
        <v>175</v>
      </c>
      <c r="F1246" s="622">
        <v>412.5</v>
      </c>
      <c r="G1246" s="623" t="s">
        <v>6446</v>
      </c>
      <c r="H1246" s="548" t="s">
        <v>114</v>
      </c>
      <c r="I1246" s="583" t="s">
        <v>6042</v>
      </c>
      <c r="J1246" s="548" t="s">
        <v>6043</v>
      </c>
      <c r="K1246" s="583" t="s">
        <v>991</v>
      </c>
      <c r="L1246" s="583" t="s">
        <v>1183</v>
      </c>
      <c r="M1246" s="619" t="s">
        <v>114</v>
      </c>
      <c r="N1246" s="620">
        <v>44530</v>
      </c>
      <c r="O1246" s="684" t="s">
        <v>67</v>
      </c>
      <c r="P1246" s="503">
        <f t="shared" si="68"/>
        <v>11</v>
      </c>
      <c r="Q1246" s="503">
        <f t="shared" si="69"/>
        <v>11</v>
      </c>
      <c r="R1246" s="504" t="str">
        <f t="shared" si="70"/>
        <v>Gastos_com_Pessoal</v>
      </c>
      <c r="S1246" s="504" t="str">
        <f>IF(D1246="","",IF(OR(D1246=Plano!$A$1,D1246=Plano!$B$1),"entrada","saída"))</f>
        <v>saída</v>
      </c>
      <c r="T1246" s="505" t="s">
        <v>114</v>
      </c>
      <c r="U1246" s="505" t="s">
        <v>114</v>
      </c>
      <c r="V1246" s="541"/>
    </row>
    <row r="1247" spans="1:22" ht="50.1" customHeight="1" x14ac:dyDescent="0.2">
      <c r="A1247" s="619">
        <f>IF(B1247="","",COUNT('Diário 5º PA'!$A$5:$A$2634)+COUNT('Diário 6º PA'!$A$5:$A$2246)+COUNT('Diário 7º PA'!$A$5:$A$2271)+ROW()-4)</f>
        <v>5193</v>
      </c>
      <c r="B1247" s="620">
        <v>44530</v>
      </c>
      <c r="C1247" s="624">
        <v>44501</v>
      </c>
      <c r="D1247" s="548" t="s">
        <v>88</v>
      </c>
      <c r="E1247" s="548" t="s">
        <v>175</v>
      </c>
      <c r="F1247" s="622">
        <v>479.17</v>
      </c>
      <c r="G1247" s="623" t="s">
        <v>6447</v>
      </c>
      <c r="H1247" s="548" t="s">
        <v>114</v>
      </c>
      <c r="I1247" s="583" t="s">
        <v>2260</v>
      </c>
      <c r="J1247" s="548" t="s">
        <v>2261</v>
      </c>
      <c r="K1247" s="583" t="s">
        <v>991</v>
      </c>
      <c r="L1247" s="583" t="s">
        <v>1183</v>
      </c>
      <c r="M1247" s="619" t="s">
        <v>114</v>
      </c>
      <c r="N1247" s="620">
        <v>44530</v>
      </c>
      <c r="O1247" s="684" t="s">
        <v>67</v>
      </c>
      <c r="P1247" s="503">
        <f t="shared" si="68"/>
        <v>11</v>
      </c>
      <c r="Q1247" s="503">
        <f t="shared" si="69"/>
        <v>11</v>
      </c>
      <c r="R1247" s="504" t="str">
        <f t="shared" si="70"/>
        <v>Gastos_com_Pessoal</v>
      </c>
      <c r="S1247" s="504" t="str">
        <f>IF(D1247="","",IF(OR(D1247=Plano!$A$1,D1247=Plano!$B$1),"entrada","saída"))</f>
        <v>saída</v>
      </c>
      <c r="T1247" s="505" t="s">
        <v>114</v>
      </c>
      <c r="U1247" s="505" t="s">
        <v>114</v>
      </c>
      <c r="V1247" s="541"/>
    </row>
    <row r="1248" spans="1:22" ht="50.1" customHeight="1" x14ac:dyDescent="0.2">
      <c r="A1248" s="619">
        <f>IF(B1248="","",COUNT('Diário 5º PA'!$A$5:$A$2634)+COUNT('Diário 6º PA'!$A$5:$A$2246)+COUNT('Diário 7º PA'!$A$5:$A$2271)+ROW()-4)</f>
        <v>5194</v>
      </c>
      <c r="B1248" s="620">
        <v>44530</v>
      </c>
      <c r="C1248" s="624">
        <v>44501</v>
      </c>
      <c r="D1248" s="548" t="s">
        <v>88</v>
      </c>
      <c r="E1248" s="548" t="s">
        <v>175</v>
      </c>
      <c r="F1248" s="622">
        <v>1612</v>
      </c>
      <c r="G1248" s="623" t="s">
        <v>6460</v>
      </c>
      <c r="H1248" s="548" t="s">
        <v>114</v>
      </c>
      <c r="I1248" s="583" t="s">
        <v>1200</v>
      </c>
      <c r="J1248" s="548" t="s">
        <v>1201</v>
      </c>
      <c r="K1248" s="583" t="s">
        <v>991</v>
      </c>
      <c r="L1248" s="583" t="s">
        <v>1183</v>
      </c>
      <c r="M1248" s="619" t="s">
        <v>114</v>
      </c>
      <c r="N1248" s="620">
        <v>44530</v>
      </c>
      <c r="O1248" s="684" t="s">
        <v>67</v>
      </c>
      <c r="P1248" s="503">
        <f t="shared" si="68"/>
        <v>11</v>
      </c>
      <c r="Q1248" s="503">
        <f t="shared" si="69"/>
        <v>11</v>
      </c>
      <c r="R1248" s="504" t="str">
        <f t="shared" si="70"/>
        <v>Gastos_com_Pessoal</v>
      </c>
      <c r="S1248" s="504" t="str">
        <f>IF(D1248="","",IF(OR(D1248=Plano!$A$1,D1248=Plano!$B$1),"entrada","saída"))</f>
        <v>saída</v>
      </c>
      <c r="T1248" s="505" t="s">
        <v>114</v>
      </c>
      <c r="U1248" s="505" t="s">
        <v>114</v>
      </c>
      <c r="V1248" s="541"/>
    </row>
    <row r="1249" spans="1:22" ht="50.1" customHeight="1" x14ac:dyDescent="0.2">
      <c r="A1249" s="619">
        <f>IF(B1249="","",COUNT('Diário 5º PA'!$A$5:$A$2634)+COUNT('Diário 6º PA'!$A$5:$A$2246)+COUNT('Diário 7º PA'!$A$5:$A$2271)+ROW()-4)</f>
        <v>5195</v>
      </c>
      <c r="B1249" s="620">
        <v>44530</v>
      </c>
      <c r="C1249" s="624">
        <v>44501</v>
      </c>
      <c r="D1249" s="548" t="s">
        <v>88</v>
      </c>
      <c r="E1249" s="548" t="s">
        <v>175</v>
      </c>
      <c r="F1249" s="622">
        <v>575</v>
      </c>
      <c r="G1249" s="623" t="s">
        <v>6458</v>
      </c>
      <c r="H1249" s="548" t="s">
        <v>114</v>
      </c>
      <c r="I1249" s="583" t="s">
        <v>1767</v>
      </c>
      <c r="J1249" s="548" t="s">
        <v>1768</v>
      </c>
      <c r="K1249" s="583" t="s">
        <v>991</v>
      </c>
      <c r="L1249" s="583" t="s">
        <v>1183</v>
      </c>
      <c r="M1249" s="619" t="s">
        <v>114</v>
      </c>
      <c r="N1249" s="620">
        <v>44530</v>
      </c>
      <c r="O1249" s="684" t="s">
        <v>67</v>
      </c>
      <c r="P1249" s="503">
        <f t="shared" si="68"/>
        <v>11</v>
      </c>
      <c r="Q1249" s="503">
        <f t="shared" si="69"/>
        <v>11</v>
      </c>
      <c r="R1249" s="504" t="str">
        <f t="shared" si="70"/>
        <v>Gastos_com_Pessoal</v>
      </c>
      <c r="S1249" s="504" t="str">
        <f>IF(D1249="","",IF(OR(D1249=Plano!$A$1,D1249=Plano!$B$1),"entrada","saída"))</f>
        <v>saída</v>
      </c>
      <c r="T1249" s="505" t="s">
        <v>114</v>
      </c>
      <c r="U1249" s="505" t="s">
        <v>114</v>
      </c>
      <c r="V1249" s="541"/>
    </row>
    <row r="1250" spans="1:22" ht="50.1" customHeight="1" x14ac:dyDescent="0.2">
      <c r="A1250" s="619">
        <f>IF(B1250="","",COUNT('Diário 5º PA'!$A$5:$A$2634)+COUNT('Diário 6º PA'!$A$5:$A$2246)+COUNT('Diário 7º PA'!$A$5:$A$2271)+ROW()-4)</f>
        <v>5196</v>
      </c>
      <c r="B1250" s="620">
        <v>44530</v>
      </c>
      <c r="C1250" s="624">
        <v>44501</v>
      </c>
      <c r="D1250" s="548" t="s">
        <v>88</v>
      </c>
      <c r="E1250" s="548" t="s">
        <v>175</v>
      </c>
      <c r="F1250" s="622">
        <v>575</v>
      </c>
      <c r="G1250" s="623" t="s">
        <v>6458</v>
      </c>
      <c r="H1250" s="548" t="s">
        <v>114</v>
      </c>
      <c r="I1250" s="583" t="s">
        <v>1769</v>
      </c>
      <c r="J1250" s="548" t="s">
        <v>1770</v>
      </c>
      <c r="K1250" s="583" t="s">
        <v>991</v>
      </c>
      <c r="L1250" s="583" t="s">
        <v>1183</v>
      </c>
      <c r="M1250" s="619" t="s">
        <v>114</v>
      </c>
      <c r="N1250" s="620">
        <v>44530</v>
      </c>
      <c r="O1250" s="684" t="s">
        <v>67</v>
      </c>
      <c r="P1250" s="503">
        <f t="shared" si="68"/>
        <v>11</v>
      </c>
      <c r="Q1250" s="503">
        <f t="shared" si="69"/>
        <v>11</v>
      </c>
      <c r="R1250" s="504" t="str">
        <f t="shared" si="70"/>
        <v>Gastos_com_Pessoal</v>
      </c>
      <c r="S1250" s="504" t="str">
        <f>IF(D1250="","",IF(OR(D1250=Plano!$A$1,D1250=Plano!$B$1),"entrada","saída"))</f>
        <v>saída</v>
      </c>
      <c r="T1250" s="505" t="s">
        <v>114</v>
      </c>
      <c r="U1250" s="505" t="s">
        <v>114</v>
      </c>
      <c r="V1250" s="541"/>
    </row>
    <row r="1251" spans="1:22" ht="50.1" customHeight="1" x14ac:dyDescent="0.2">
      <c r="A1251" s="619">
        <f>IF(B1251="","",COUNT('Diário 5º PA'!$A$5:$A$2634)+COUNT('Diário 6º PA'!$A$5:$A$2246)+COUNT('Diário 7º PA'!$A$5:$A$2271)+ROW()-4)</f>
        <v>5197</v>
      </c>
      <c r="B1251" s="620">
        <v>44530</v>
      </c>
      <c r="C1251" s="624">
        <v>44501</v>
      </c>
      <c r="D1251" s="548" t="s">
        <v>88</v>
      </c>
      <c r="E1251" s="548" t="s">
        <v>175</v>
      </c>
      <c r="F1251" s="622">
        <v>575</v>
      </c>
      <c r="G1251" s="623" t="s">
        <v>6461</v>
      </c>
      <c r="H1251" s="548" t="s">
        <v>114</v>
      </c>
      <c r="I1251" s="583" t="s">
        <v>1771</v>
      </c>
      <c r="J1251" s="548" t="s">
        <v>1772</v>
      </c>
      <c r="K1251" s="583" t="s">
        <v>991</v>
      </c>
      <c r="L1251" s="583" t="s">
        <v>1183</v>
      </c>
      <c r="M1251" s="619" t="s">
        <v>114</v>
      </c>
      <c r="N1251" s="620">
        <v>44530</v>
      </c>
      <c r="O1251" s="684" t="s">
        <v>67</v>
      </c>
      <c r="P1251" s="503">
        <f t="shared" si="68"/>
        <v>11</v>
      </c>
      <c r="Q1251" s="503">
        <f t="shared" si="69"/>
        <v>11</v>
      </c>
      <c r="R1251" s="504" t="str">
        <f t="shared" si="70"/>
        <v>Gastos_com_Pessoal</v>
      </c>
      <c r="S1251" s="504" t="str">
        <f>IF(D1251="","",IF(OR(D1251=Plano!$A$1,D1251=Plano!$B$1),"entrada","saída"))</f>
        <v>saída</v>
      </c>
      <c r="T1251" s="505" t="s">
        <v>114</v>
      </c>
      <c r="U1251" s="505" t="s">
        <v>114</v>
      </c>
      <c r="V1251" s="541"/>
    </row>
    <row r="1252" spans="1:22" ht="50.1" customHeight="1" x14ac:dyDescent="0.2">
      <c r="A1252" s="619">
        <f>IF(B1252="","",COUNT('Diário 5º PA'!$A$5:$A$2634)+COUNT('Diário 6º PA'!$A$5:$A$2246)+COUNT('Diário 7º PA'!$A$5:$A$2271)+ROW()-4)</f>
        <v>5198</v>
      </c>
      <c r="B1252" s="620">
        <v>44530</v>
      </c>
      <c r="C1252" s="624">
        <v>44501</v>
      </c>
      <c r="D1252" s="548" t="s">
        <v>88</v>
      </c>
      <c r="E1252" s="548" t="s">
        <v>175</v>
      </c>
      <c r="F1252" s="622">
        <v>575</v>
      </c>
      <c r="G1252" s="623" t="s">
        <v>6461</v>
      </c>
      <c r="H1252" s="548" t="s">
        <v>114</v>
      </c>
      <c r="I1252" s="583" t="s">
        <v>1784</v>
      </c>
      <c r="J1252" s="548" t="s">
        <v>1785</v>
      </c>
      <c r="K1252" s="583" t="s">
        <v>991</v>
      </c>
      <c r="L1252" s="583" t="s">
        <v>1183</v>
      </c>
      <c r="M1252" s="619" t="s">
        <v>114</v>
      </c>
      <c r="N1252" s="620">
        <v>44530</v>
      </c>
      <c r="O1252" s="684" t="s">
        <v>67</v>
      </c>
      <c r="P1252" s="503">
        <f t="shared" si="68"/>
        <v>11</v>
      </c>
      <c r="Q1252" s="503">
        <f t="shared" si="69"/>
        <v>11</v>
      </c>
      <c r="R1252" s="504" t="str">
        <f t="shared" si="70"/>
        <v>Gastos_com_Pessoal</v>
      </c>
      <c r="S1252" s="504" t="str">
        <f>IF(D1252="","",IF(OR(D1252=Plano!$A$1,D1252=Plano!$B$1),"entrada","saída"))</f>
        <v>saída</v>
      </c>
      <c r="T1252" s="505" t="s">
        <v>114</v>
      </c>
      <c r="U1252" s="505" t="s">
        <v>114</v>
      </c>
      <c r="V1252" s="541"/>
    </row>
    <row r="1253" spans="1:22" ht="50.1" customHeight="1" x14ac:dyDescent="0.2">
      <c r="A1253" s="619">
        <f>IF(B1253="","",COUNT('Diário 5º PA'!$A$5:$A$2634)+COUNT('Diário 6º PA'!$A$5:$A$2246)+COUNT('Diário 7º PA'!$A$5:$A$2271)+ROW()-4)</f>
        <v>5199</v>
      </c>
      <c r="B1253" s="620">
        <v>44530</v>
      </c>
      <c r="C1253" s="624">
        <v>44501</v>
      </c>
      <c r="D1253" s="548" t="s">
        <v>88</v>
      </c>
      <c r="E1253" s="548" t="s">
        <v>175</v>
      </c>
      <c r="F1253" s="622">
        <v>268.67</v>
      </c>
      <c r="G1253" s="623" t="s">
        <v>6462</v>
      </c>
      <c r="H1253" s="548" t="s">
        <v>114</v>
      </c>
      <c r="I1253" s="583" t="s">
        <v>6047</v>
      </c>
      <c r="J1253" s="548" t="s">
        <v>6048</v>
      </c>
      <c r="K1253" s="583" t="s">
        <v>991</v>
      </c>
      <c r="L1253" s="583" t="s">
        <v>1183</v>
      </c>
      <c r="M1253" s="619" t="s">
        <v>114</v>
      </c>
      <c r="N1253" s="620">
        <v>44530</v>
      </c>
      <c r="O1253" s="684" t="s">
        <v>67</v>
      </c>
      <c r="P1253" s="503">
        <f t="shared" si="68"/>
        <v>11</v>
      </c>
      <c r="Q1253" s="503">
        <f t="shared" si="69"/>
        <v>11</v>
      </c>
      <c r="R1253" s="504" t="str">
        <f t="shared" si="70"/>
        <v>Gastos_com_Pessoal</v>
      </c>
      <c r="S1253" s="504" t="str">
        <f>IF(D1253="","",IF(OR(D1253=Plano!$A$1,D1253=Plano!$B$1),"entrada","saída"))</f>
        <v>saída</v>
      </c>
      <c r="T1253" s="505" t="s">
        <v>114</v>
      </c>
      <c r="U1253" s="505" t="s">
        <v>114</v>
      </c>
      <c r="V1253" s="541"/>
    </row>
    <row r="1254" spans="1:22" ht="50.1" customHeight="1" x14ac:dyDescent="0.2">
      <c r="A1254" s="619">
        <f>IF(B1254="","",COUNT('Diário 5º PA'!$A$5:$A$2634)+COUNT('Diário 6º PA'!$A$5:$A$2246)+COUNT('Diário 7º PA'!$A$5:$A$2271)+ROW()-4)</f>
        <v>5200</v>
      </c>
      <c r="B1254" s="620">
        <v>44530</v>
      </c>
      <c r="C1254" s="624">
        <v>44501</v>
      </c>
      <c r="D1254" s="548" t="s">
        <v>88</v>
      </c>
      <c r="E1254" s="548" t="s">
        <v>175</v>
      </c>
      <c r="F1254" s="622">
        <v>412.5</v>
      </c>
      <c r="G1254" s="623" t="s">
        <v>6463</v>
      </c>
      <c r="H1254" s="548" t="s">
        <v>114</v>
      </c>
      <c r="I1254" s="583" t="s">
        <v>6062</v>
      </c>
      <c r="J1254" s="548" t="s">
        <v>2267</v>
      </c>
      <c r="K1254" s="583" t="s">
        <v>991</v>
      </c>
      <c r="L1254" s="583" t="s">
        <v>1183</v>
      </c>
      <c r="M1254" s="619" t="s">
        <v>114</v>
      </c>
      <c r="N1254" s="620">
        <v>44530</v>
      </c>
      <c r="O1254" s="684" t="s">
        <v>67</v>
      </c>
      <c r="P1254" s="503">
        <f t="shared" si="68"/>
        <v>11</v>
      </c>
      <c r="Q1254" s="503">
        <f t="shared" si="69"/>
        <v>11</v>
      </c>
      <c r="R1254" s="504" t="str">
        <f t="shared" si="70"/>
        <v>Gastos_com_Pessoal</v>
      </c>
      <c r="S1254" s="504" t="str">
        <f>IF(D1254="","",IF(OR(D1254=Plano!$A$1,D1254=Plano!$B$1),"entrada","saída"))</f>
        <v>saída</v>
      </c>
      <c r="T1254" s="505" t="s">
        <v>114</v>
      </c>
      <c r="U1254" s="505" t="s">
        <v>114</v>
      </c>
      <c r="V1254" s="541"/>
    </row>
    <row r="1255" spans="1:22" s="528" customFormat="1" ht="50.1" customHeight="1" x14ac:dyDescent="0.2">
      <c r="A1255" s="619">
        <f>IF(B1255="","",COUNT('Diário 5º PA'!$A$5:$A$2634)+COUNT('Diário 6º PA'!$A$5:$A$2246)+COUNT('Diário 7º PA'!$A$5:$A$2271)+ROW()-4)</f>
        <v>5201</v>
      </c>
      <c r="B1255" s="620">
        <v>44530</v>
      </c>
      <c r="C1255" s="624">
        <v>44501</v>
      </c>
      <c r="D1255" s="548" t="s">
        <v>88</v>
      </c>
      <c r="E1255" s="548" t="s">
        <v>175</v>
      </c>
      <c r="F1255" s="622">
        <v>479.17</v>
      </c>
      <c r="G1255" s="623" t="s">
        <v>6464</v>
      </c>
      <c r="H1255" s="548" t="s">
        <v>114</v>
      </c>
      <c r="I1255" s="583" t="s">
        <v>2244</v>
      </c>
      <c r="J1255" s="548" t="s">
        <v>2245</v>
      </c>
      <c r="K1255" s="583" t="s">
        <v>991</v>
      </c>
      <c r="L1255" s="583" t="s">
        <v>1183</v>
      </c>
      <c r="M1255" s="619" t="s">
        <v>114</v>
      </c>
      <c r="N1255" s="620">
        <v>44530</v>
      </c>
      <c r="O1255" s="684" t="s">
        <v>67</v>
      </c>
      <c r="P1255" s="503">
        <f t="shared" si="68"/>
        <v>11</v>
      </c>
      <c r="Q1255" s="503">
        <f t="shared" si="69"/>
        <v>11</v>
      </c>
      <c r="R1255" s="504" t="str">
        <f t="shared" si="70"/>
        <v>Gastos_com_Pessoal</v>
      </c>
      <c r="S1255" s="504" t="str">
        <f>IF(D1255="","",IF(OR(D1255=Plano!$A$1,D1255=Plano!$B$1),"entrada","saída"))</f>
        <v>saída</v>
      </c>
      <c r="T1255" s="505" t="s">
        <v>114</v>
      </c>
      <c r="U1255" s="505" t="s">
        <v>114</v>
      </c>
      <c r="V1255" s="541"/>
    </row>
    <row r="1256" spans="1:22" ht="50.1" customHeight="1" x14ac:dyDescent="0.2">
      <c r="A1256" s="619">
        <f>IF(B1256="","",COUNT('Diário 5º PA'!$A$5:$A$2634)+COUNT('Diário 6º PA'!$A$5:$A$2246)+COUNT('Diário 7º PA'!$A$5:$A$2271)+ROW()-4)</f>
        <v>5202</v>
      </c>
      <c r="B1256" s="620">
        <v>44530</v>
      </c>
      <c r="C1256" s="624">
        <v>44501</v>
      </c>
      <c r="D1256" s="548" t="s">
        <v>88</v>
      </c>
      <c r="E1256" s="548" t="s">
        <v>175</v>
      </c>
      <c r="F1256" s="622">
        <v>412.5</v>
      </c>
      <c r="G1256" s="623" t="s">
        <v>6453</v>
      </c>
      <c r="H1256" s="548" t="s">
        <v>114</v>
      </c>
      <c r="I1256" s="583" t="s">
        <v>6049</v>
      </c>
      <c r="J1256" s="548" t="s">
        <v>6050</v>
      </c>
      <c r="K1256" s="583" t="s">
        <v>991</v>
      </c>
      <c r="L1256" s="583" t="s">
        <v>1183</v>
      </c>
      <c r="M1256" s="619" t="s">
        <v>114</v>
      </c>
      <c r="N1256" s="620">
        <v>44530</v>
      </c>
      <c r="O1256" s="684" t="s">
        <v>67</v>
      </c>
      <c r="P1256" s="503">
        <f t="shared" si="68"/>
        <v>11</v>
      </c>
      <c r="Q1256" s="503">
        <f t="shared" si="69"/>
        <v>11</v>
      </c>
      <c r="R1256" s="504" t="str">
        <f t="shared" si="70"/>
        <v>Gastos_com_Pessoal</v>
      </c>
      <c r="S1256" s="504" t="str">
        <f>IF(D1256="","",IF(OR(D1256=Plano!$A$1,D1256=Plano!$B$1),"entrada","saída"))</f>
        <v>saída</v>
      </c>
      <c r="T1256" s="505" t="s">
        <v>114</v>
      </c>
      <c r="U1256" s="505" t="s">
        <v>114</v>
      </c>
      <c r="V1256" s="541"/>
    </row>
    <row r="1257" spans="1:22" ht="50.1" customHeight="1" x14ac:dyDescent="0.2">
      <c r="A1257" s="619">
        <f>IF(B1257="","",COUNT('Diário 5º PA'!$A$5:$A$2634)+COUNT('Diário 6º PA'!$A$5:$A$2246)+COUNT('Diário 7º PA'!$A$5:$A$2271)+ROW()-4)</f>
        <v>5203</v>
      </c>
      <c r="B1257" s="620">
        <v>44530</v>
      </c>
      <c r="C1257" s="624">
        <v>44501</v>
      </c>
      <c r="D1257" s="548" t="s">
        <v>88</v>
      </c>
      <c r="E1257" s="548" t="s">
        <v>175</v>
      </c>
      <c r="F1257" s="622">
        <v>412.5</v>
      </c>
      <c r="G1257" s="623" t="s">
        <v>6453</v>
      </c>
      <c r="H1257" s="548" t="s">
        <v>114</v>
      </c>
      <c r="I1257" s="583" t="s">
        <v>6051</v>
      </c>
      <c r="J1257" s="548" t="s">
        <v>6052</v>
      </c>
      <c r="K1257" s="583" t="s">
        <v>991</v>
      </c>
      <c r="L1257" s="583" t="s">
        <v>1183</v>
      </c>
      <c r="M1257" s="619" t="s">
        <v>114</v>
      </c>
      <c r="N1257" s="620">
        <v>44530</v>
      </c>
      <c r="O1257" s="684" t="s">
        <v>67</v>
      </c>
      <c r="P1257" s="503">
        <f t="shared" si="68"/>
        <v>11</v>
      </c>
      <c r="Q1257" s="503">
        <f t="shared" si="69"/>
        <v>11</v>
      </c>
      <c r="R1257" s="504" t="str">
        <f t="shared" si="70"/>
        <v>Gastos_com_Pessoal</v>
      </c>
      <c r="S1257" s="504" t="str">
        <f>IF(D1257="","",IF(OR(D1257=Plano!$A$1,D1257=Plano!$B$1),"entrada","saída"))</f>
        <v>saída</v>
      </c>
      <c r="T1257" s="505" t="s">
        <v>114</v>
      </c>
      <c r="U1257" s="505" t="s">
        <v>114</v>
      </c>
      <c r="V1257" s="541"/>
    </row>
    <row r="1258" spans="1:22" ht="50.1" customHeight="1" x14ac:dyDescent="0.2">
      <c r="A1258" s="619">
        <f>IF(B1258="","",COUNT('Diário 5º PA'!$A$5:$A$2634)+COUNT('Diário 6º PA'!$A$5:$A$2246)+COUNT('Diário 7º PA'!$A$5:$A$2271)+ROW()-4)</f>
        <v>5204</v>
      </c>
      <c r="B1258" s="620">
        <v>44530</v>
      </c>
      <c r="C1258" s="624">
        <v>44501</v>
      </c>
      <c r="D1258" s="548" t="s">
        <v>88</v>
      </c>
      <c r="E1258" s="548" t="s">
        <v>175</v>
      </c>
      <c r="F1258" s="622">
        <v>412.5</v>
      </c>
      <c r="G1258" s="623" t="s">
        <v>6465</v>
      </c>
      <c r="H1258" s="548" t="s">
        <v>114</v>
      </c>
      <c r="I1258" s="583" t="s">
        <v>6053</v>
      </c>
      <c r="J1258" s="548" t="s">
        <v>6054</v>
      </c>
      <c r="K1258" s="583" t="s">
        <v>991</v>
      </c>
      <c r="L1258" s="583" t="s">
        <v>1183</v>
      </c>
      <c r="M1258" s="619" t="s">
        <v>114</v>
      </c>
      <c r="N1258" s="620">
        <v>44530</v>
      </c>
      <c r="O1258" s="684" t="s">
        <v>67</v>
      </c>
      <c r="P1258" s="503">
        <f t="shared" si="68"/>
        <v>11</v>
      </c>
      <c r="Q1258" s="503">
        <f t="shared" si="69"/>
        <v>11</v>
      </c>
      <c r="R1258" s="504" t="str">
        <f t="shared" si="70"/>
        <v>Gastos_com_Pessoal</v>
      </c>
      <c r="S1258" s="504" t="str">
        <f>IF(D1258="","",IF(OR(D1258=Plano!$A$1,D1258=Plano!$B$1),"entrada","saída"))</f>
        <v>saída</v>
      </c>
      <c r="T1258" s="505" t="s">
        <v>114</v>
      </c>
      <c r="U1258" s="505" t="s">
        <v>114</v>
      </c>
      <c r="V1258" s="541"/>
    </row>
    <row r="1259" spans="1:22" ht="50.1" customHeight="1" x14ac:dyDescent="0.2">
      <c r="A1259" s="619">
        <f>IF(B1259="","",COUNT('Diário 5º PA'!$A$5:$A$2634)+COUNT('Diário 6º PA'!$A$5:$A$2246)+COUNT('Diário 7º PA'!$A$5:$A$2271)+ROW()-4)</f>
        <v>5205</v>
      </c>
      <c r="B1259" s="620">
        <v>44530</v>
      </c>
      <c r="C1259" s="624">
        <v>44501</v>
      </c>
      <c r="D1259" s="548" t="s">
        <v>88</v>
      </c>
      <c r="E1259" s="548" t="s">
        <v>175</v>
      </c>
      <c r="F1259" s="622">
        <v>575</v>
      </c>
      <c r="G1259" s="623" t="s">
        <v>6458</v>
      </c>
      <c r="H1259" s="548" t="s">
        <v>114</v>
      </c>
      <c r="I1259" s="583" t="s">
        <v>1773</v>
      </c>
      <c r="J1259" s="548" t="s">
        <v>1774</v>
      </c>
      <c r="K1259" s="583" t="s">
        <v>991</v>
      </c>
      <c r="L1259" s="583" t="s">
        <v>1183</v>
      </c>
      <c r="M1259" s="619" t="s">
        <v>114</v>
      </c>
      <c r="N1259" s="620">
        <v>44530</v>
      </c>
      <c r="O1259" s="684" t="s">
        <v>67</v>
      </c>
      <c r="P1259" s="503">
        <f t="shared" si="68"/>
        <v>11</v>
      </c>
      <c r="Q1259" s="503">
        <f t="shared" si="69"/>
        <v>11</v>
      </c>
      <c r="R1259" s="504" t="str">
        <f t="shared" si="70"/>
        <v>Gastos_com_Pessoal</v>
      </c>
      <c r="S1259" s="504" t="str">
        <f>IF(D1259="","",IF(OR(D1259=Plano!$A$1,D1259=Plano!$B$1),"entrada","saída"))</f>
        <v>saída</v>
      </c>
      <c r="T1259" s="505" t="s">
        <v>114</v>
      </c>
      <c r="U1259" s="505" t="s">
        <v>114</v>
      </c>
      <c r="V1259" s="541"/>
    </row>
    <row r="1260" spans="1:22" ht="50.1" customHeight="1" x14ac:dyDescent="0.2">
      <c r="A1260" s="619">
        <f>IF(B1260="","",COUNT('Diário 5º PA'!$A$5:$A$2634)+COUNT('Diário 6º PA'!$A$5:$A$2246)+COUNT('Diário 7º PA'!$A$5:$A$2271)+ROW()-4)</f>
        <v>5206</v>
      </c>
      <c r="B1260" s="620">
        <v>44530</v>
      </c>
      <c r="C1260" s="624">
        <v>44501</v>
      </c>
      <c r="D1260" s="548" t="s">
        <v>88</v>
      </c>
      <c r="E1260" s="548" t="s">
        <v>175</v>
      </c>
      <c r="F1260" s="622">
        <v>412.5</v>
      </c>
      <c r="G1260" s="623" t="s">
        <v>6453</v>
      </c>
      <c r="H1260" s="548" t="s">
        <v>114</v>
      </c>
      <c r="I1260" s="583" t="s">
        <v>6055</v>
      </c>
      <c r="J1260" s="548" t="s">
        <v>6056</v>
      </c>
      <c r="K1260" s="583" t="s">
        <v>991</v>
      </c>
      <c r="L1260" s="583" t="s">
        <v>1183</v>
      </c>
      <c r="M1260" s="619" t="s">
        <v>114</v>
      </c>
      <c r="N1260" s="620">
        <v>44530</v>
      </c>
      <c r="O1260" s="684" t="s">
        <v>67</v>
      </c>
      <c r="P1260" s="503">
        <f t="shared" si="68"/>
        <v>11</v>
      </c>
      <c r="Q1260" s="503">
        <f t="shared" si="69"/>
        <v>11</v>
      </c>
      <c r="R1260" s="504" t="str">
        <f t="shared" si="70"/>
        <v>Gastos_com_Pessoal</v>
      </c>
      <c r="S1260" s="504" t="str">
        <f>IF(D1260="","",IF(OR(D1260=Plano!$A$1,D1260=Plano!$B$1),"entrada","saída"))</f>
        <v>saída</v>
      </c>
      <c r="T1260" s="505" t="s">
        <v>114</v>
      </c>
      <c r="U1260" s="505" t="s">
        <v>114</v>
      </c>
      <c r="V1260" s="541"/>
    </row>
    <row r="1261" spans="1:22" ht="50.1" customHeight="1" x14ac:dyDescent="0.2">
      <c r="A1261" s="619">
        <f>IF(B1261="","",COUNT('Diário 5º PA'!$A$5:$A$2634)+COUNT('Diário 6º PA'!$A$5:$A$2246)+COUNT('Diário 7º PA'!$A$5:$A$2271)+ROW()-4)</f>
        <v>5207</v>
      </c>
      <c r="B1261" s="620">
        <v>44530</v>
      </c>
      <c r="C1261" s="624">
        <v>44501</v>
      </c>
      <c r="D1261" s="548" t="s">
        <v>88</v>
      </c>
      <c r="E1261" s="548" t="s">
        <v>175</v>
      </c>
      <c r="F1261" s="622">
        <v>588.5</v>
      </c>
      <c r="G1261" s="623" t="s">
        <v>6466</v>
      </c>
      <c r="H1261" s="548" t="s">
        <v>114</v>
      </c>
      <c r="I1261" s="583" t="s">
        <v>1203</v>
      </c>
      <c r="J1261" s="548" t="s">
        <v>1204</v>
      </c>
      <c r="K1261" s="583" t="s">
        <v>991</v>
      </c>
      <c r="L1261" s="583" t="s">
        <v>1183</v>
      </c>
      <c r="M1261" s="619" t="s">
        <v>114</v>
      </c>
      <c r="N1261" s="620">
        <v>44530</v>
      </c>
      <c r="O1261" s="684" t="s">
        <v>67</v>
      </c>
      <c r="P1261" s="503">
        <f t="shared" si="68"/>
        <v>11</v>
      </c>
      <c r="Q1261" s="503">
        <f t="shared" si="69"/>
        <v>11</v>
      </c>
      <c r="R1261" s="504" t="str">
        <f t="shared" si="70"/>
        <v>Gastos_com_Pessoal</v>
      </c>
      <c r="S1261" s="504" t="str">
        <f>IF(D1261="","",IF(OR(D1261=Plano!$A$1,D1261=Plano!$B$1),"entrada","saída"))</f>
        <v>saída</v>
      </c>
      <c r="T1261" s="505" t="s">
        <v>114</v>
      </c>
      <c r="U1261" s="505" t="s">
        <v>114</v>
      </c>
      <c r="V1261" s="541"/>
    </row>
    <row r="1262" spans="1:22" ht="50.1" customHeight="1" x14ac:dyDescent="0.2">
      <c r="A1262" s="619">
        <f>IF(B1262="","",COUNT('Diário 5º PA'!$A$5:$A$2634)+COUNT('Diário 6º PA'!$A$5:$A$2246)+COUNT('Diário 7º PA'!$A$5:$A$2271)+ROW()-4)</f>
        <v>5208</v>
      </c>
      <c r="B1262" s="620">
        <v>44530</v>
      </c>
      <c r="C1262" s="624">
        <v>44501</v>
      </c>
      <c r="D1262" s="548" t="s">
        <v>88</v>
      </c>
      <c r="E1262" s="548" t="s">
        <v>175</v>
      </c>
      <c r="F1262" s="622">
        <v>450</v>
      </c>
      <c r="G1262" s="623" t="s">
        <v>6467</v>
      </c>
      <c r="H1262" s="548" t="s">
        <v>114</v>
      </c>
      <c r="I1262" s="583" t="s">
        <v>1776</v>
      </c>
      <c r="J1262" s="548" t="s">
        <v>1777</v>
      </c>
      <c r="K1262" s="583" t="s">
        <v>991</v>
      </c>
      <c r="L1262" s="583" t="s">
        <v>1183</v>
      </c>
      <c r="M1262" s="619" t="s">
        <v>114</v>
      </c>
      <c r="N1262" s="620">
        <v>44530</v>
      </c>
      <c r="O1262" s="684" t="s">
        <v>67</v>
      </c>
      <c r="P1262" s="503">
        <f t="shared" si="68"/>
        <v>11</v>
      </c>
      <c r="Q1262" s="503">
        <f t="shared" si="69"/>
        <v>11</v>
      </c>
      <c r="R1262" s="504" t="str">
        <f t="shared" si="70"/>
        <v>Gastos_com_Pessoal</v>
      </c>
      <c r="S1262" s="504" t="str">
        <f>IF(D1262="","",IF(OR(D1262=Plano!$A$1,D1262=Plano!$B$1),"entrada","saída"))</f>
        <v>saída</v>
      </c>
      <c r="T1262" s="505" t="s">
        <v>114</v>
      </c>
      <c r="U1262" s="505" t="s">
        <v>114</v>
      </c>
      <c r="V1262" s="541"/>
    </row>
    <row r="1263" spans="1:22" ht="50.1" customHeight="1" x14ac:dyDescent="0.2">
      <c r="A1263" s="619">
        <f>IF(B1263="","",COUNT('Diário 5º PA'!$A$5:$A$2634)+COUNT('Diário 6º PA'!$A$5:$A$2246)+COUNT('Diário 7º PA'!$A$5:$A$2271)+ROW()-4)</f>
        <v>5209</v>
      </c>
      <c r="B1263" s="620">
        <v>44530</v>
      </c>
      <c r="C1263" s="624">
        <v>44501</v>
      </c>
      <c r="D1263" s="548" t="s">
        <v>88</v>
      </c>
      <c r="E1263" s="548" t="s">
        <v>175</v>
      </c>
      <c r="F1263" s="622">
        <v>575</v>
      </c>
      <c r="G1263" s="623" t="s">
        <v>6461</v>
      </c>
      <c r="H1263" s="548" t="s">
        <v>114</v>
      </c>
      <c r="I1263" s="583" t="s">
        <v>1778</v>
      </c>
      <c r="J1263" s="548" t="s">
        <v>1779</v>
      </c>
      <c r="K1263" s="583" t="s">
        <v>991</v>
      </c>
      <c r="L1263" s="583" t="s">
        <v>1183</v>
      </c>
      <c r="M1263" s="619" t="s">
        <v>114</v>
      </c>
      <c r="N1263" s="620">
        <v>44530</v>
      </c>
      <c r="O1263" s="684" t="s">
        <v>67</v>
      </c>
      <c r="P1263" s="503">
        <f t="shared" si="68"/>
        <v>11</v>
      </c>
      <c r="Q1263" s="503">
        <f t="shared" si="69"/>
        <v>11</v>
      </c>
      <c r="R1263" s="504" t="str">
        <f t="shared" si="70"/>
        <v>Gastos_com_Pessoal</v>
      </c>
      <c r="S1263" s="504" t="str">
        <f>IF(D1263="","",IF(OR(D1263=Plano!$A$1,D1263=Plano!$B$1),"entrada","saída"))</f>
        <v>saída</v>
      </c>
      <c r="T1263" s="505" t="s">
        <v>114</v>
      </c>
      <c r="U1263" s="505" t="s">
        <v>114</v>
      </c>
      <c r="V1263" s="541"/>
    </row>
    <row r="1264" spans="1:22" ht="50.1" customHeight="1" x14ac:dyDescent="0.2">
      <c r="A1264" s="619">
        <f>IF(B1264="","",COUNT('Diário 5º PA'!$A$5:$A$2634)+COUNT('Diário 6º PA'!$A$5:$A$2246)+COUNT('Diário 7º PA'!$A$5:$A$2271)+ROW()-4)</f>
        <v>5210</v>
      </c>
      <c r="B1264" s="620">
        <v>44530</v>
      </c>
      <c r="C1264" s="624">
        <v>44501</v>
      </c>
      <c r="D1264" s="548" t="s">
        <v>88</v>
      </c>
      <c r="E1264" s="548" t="s">
        <v>175</v>
      </c>
      <c r="F1264" s="622">
        <v>479.17</v>
      </c>
      <c r="G1264" s="623" t="s">
        <v>6447</v>
      </c>
      <c r="H1264" s="548" t="s">
        <v>114</v>
      </c>
      <c r="I1264" s="583" t="s">
        <v>2248</v>
      </c>
      <c r="J1264" s="548" t="s">
        <v>1781</v>
      </c>
      <c r="K1264" s="583" t="s">
        <v>991</v>
      </c>
      <c r="L1264" s="583" t="s">
        <v>1183</v>
      </c>
      <c r="M1264" s="619" t="s">
        <v>114</v>
      </c>
      <c r="N1264" s="620">
        <v>44530</v>
      </c>
      <c r="O1264" s="684" t="s">
        <v>67</v>
      </c>
      <c r="P1264" s="503">
        <f t="shared" si="68"/>
        <v>11</v>
      </c>
      <c r="Q1264" s="503">
        <f t="shared" si="69"/>
        <v>11</v>
      </c>
      <c r="R1264" s="504" t="str">
        <f t="shared" si="70"/>
        <v>Gastos_com_Pessoal</v>
      </c>
      <c r="S1264" s="504" t="str">
        <f>IF(D1264="","",IF(OR(D1264=Plano!$A$1,D1264=Plano!$B$1),"entrada","saída"))</f>
        <v>saída</v>
      </c>
      <c r="T1264" s="505" t="s">
        <v>114</v>
      </c>
      <c r="U1264" s="505" t="s">
        <v>114</v>
      </c>
      <c r="V1264" s="541"/>
    </row>
    <row r="1265" spans="1:22" ht="50.1" customHeight="1" x14ac:dyDescent="0.2">
      <c r="A1265" s="619">
        <f>IF(B1265="","",COUNT('Diário 5º PA'!$A$5:$A$2634)+COUNT('Diário 6º PA'!$A$5:$A$2246)+COUNT('Diário 7º PA'!$A$5:$A$2271)+ROW()-4)</f>
        <v>5211</v>
      </c>
      <c r="B1265" s="620">
        <v>44530</v>
      </c>
      <c r="C1265" s="624">
        <v>44501</v>
      </c>
      <c r="D1265" s="548" t="s">
        <v>88</v>
      </c>
      <c r="E1265" s="548" t="s">
        <v>175</v>
      </c>
      <c r="F1265" s="622">
        <v>575</v>
      </c>
      <c r="G1265" s="623" t="s">
        <v>6458</v>
      </c>
      <c r="H1265" s="548" t="s">
        <v>114</v>
      </c>
      <c r="I1265" s="583" t="s">
        <v>1780</v>
      </c>
      <c r="J1265" s="548" t="s">
        <v>1781</v>
      </c>
      <c r="K1265" s="583" t="s">
        <v>991</v>
      </c>
      <c r="L1265" s="583" t="s">
        <v>1183</v>
      </c>
      <c r="M1265" s="619" t="s">
        <v>114</v>
      </c>
      <c r="N1265" s="620">
        <v>44530</v>
      </c>
      <c r="O1265" s="684" t="s">
        <v>67</v>
      </c>
      <c r="P1265" s="503">
        <f t="shared" si="68"/>
        <v>11</v>
      </c>
      <c r="Q1265" s="503">
        <f t="shared" si="69"/>
        <v>11</v>
      </c>
      <c r="R1265" s="504" t="str">
        <f t="shared" si="70"/>
        <v>Gastos_com_Pessoal</v>
      </c>
      <c r="S1265" s="504" t="str">
        <f>IF(D1265="","",IF(OR(D1265=Plano!$A$1,D1265=Plano!$B$1),"entrada","saída"))</f>
        <v>saída</v>
      </c>
      <c r="T1265" s="505" t="s">
        <v>114</v>
      </c>
      <c r="U1265" s="505" t="s">
        <v>114</v>
      </c>
      <c r="V1265" s="541"/>
    </row>
    <row r="1266" spans="1:22" ht="50.1" customHeight="1" x14ac:dyDescent="0.2">
      <c r="A1266" s="619">
        <f>IF(B1266="","",COUNT('Diário 5º PA'!$A$5:$A$2634)+COUNT('Diário 6º PA'!$A$5:$A$2246)+COUNT('Diário 7º PA'!$A$5:$A$2271)+ROW()-4)</f>
        <v>5212</v>
      </c>
      <c r="B1266" s="620">
        <v>44530</v>
      </c>
      <c r="C1266" s="624">
        <v>44501</v>
      </c>
      <c r="D1266" s="548" t="s">
        <v>88</v>
      </c>
      <c r="E1266" s="548" t="s">
        <v>175</v>
      </c>
      <c r="F1266" s="622">
        <v>479.17</v>
      </c>
      <c r="G1266" s="623" t="s">
        <v>6468</v>
      </c>
      <c r="H1266" s="548" t="s">
        <v>114</v>
      </c>
      <c r="I1266" s="583" t="s">
        <v>2250</v>
      </c>
      <c r="J1266" s="548" t="s">
        <v>2251</v>
      </c>
      <c r="K1266" s="583" t="s">
        <v>991</v>
      </c>
      <c r="L1266" s="583" t="s">
        <v>1183</v>
      </c>
      <c r="M1266" s="619" t="s">
        <v>114</v>
      </c>
      <c r="N1266" s="620">
        <v>44530</v>
      </c>
      <c r="O1266" s="684" t="s">
        <v>67</v>
      </c>
      <c r="P1266" s="503">
        <f t="shared" si="68"/>
        <v>11</v>
      </c>
      <c r="Q1266" s="503">
        <f t="shared" si="69"/>
        <v>11</v>
      </c>
      <c r="R1266" s="504" t="str">
        <f t="shared" si="70"/>
        <v>Gastos_com_Pessoal</v>
      </c>
      <c r="S1266" s="504" t="str">
        <f>IF(D1266="","",IF(OR(D1266=Plano!$A$1,D1266=Plano!$B$1),"entrada","saída"))</f>
        <v>saída</v>
      </c>
      <c r="T1266" s="505" t="s">
        <v>114</v>
      </c>
      <c r="U1266" s="505" t="s">
        <v>114</v>
      </c>
      <c r="V1266" s="541"/>
    </row>
    <row r="1267" spans="1:22" ht="50.1" customHeight="1" x14ac:dyDescent="0.2">
      <c r="A1267" s="619">
        <f>IF(B1267="","",COUNT('Diário 5º PA'!$A$5:$A$2634)+COUNT('Diário 6º PA'!$A$5:$A$2246)+COUNT('Diário 7º PA'!$A$5:$A$2271)+ROW()-4)</f>
        <v>5213</v>
      </c>
      <c r="B1267" s="620">
        <v>44530</v>
      </c>
      <c r="C1267" s="624">
        <v>44501</v>
      </c>
      <c r="D1267" s="548" t="s">
        <v>88</v>
      </c>
      <c r="E1267" s="548" t="s">
        <v>175</v>
      </c>
      <c r="F1267" s="622">
        <v>575</v>
      </c>
      <c r="G1267" s="623" t="s">
        <v>6461</v>
      </c>
      <c r="H1267" s="548" t="s">
        <v>114</v>
      </c>
      <c r="I1267" s="583" t="s">
        <v>1782</v>
      </c>
      <c r="J1267" s="548" t="s">
        <v>1783</v>
      </c>
      <c r="K1267" s="583" t="s">
        <v>991</v>
      </c>
      <c r="L1267" s="583" t="s">
        <v>1183</v>
      </c>
      <c r="M1267" s="619" t="s">
        <v>114</v>
      </c>
      <c r="N1267" s="620">
        <v>44530</v>
      </c>
      <c r="O1267" s="684" t="s">
        <v>67</v>
      </c>
      <c r="P1267" s="503">
        <f t="shared" si="68"/>
        <v>11</v>
      </c>
      <c r="Q1267" s="503">
        <f t="shared" si="69"/>
        <v>11</v>
      </c>
      <c r="R1267" s="504" t="str">
        <f t="shared" si="70"/>
        <v>Gastos_com_Pessoal</v>
      </c>
      <c r="S1267" s="504" t="str">
        <f>IF(D1267="","",IF(OR(D1267=Plano!$A$1,D1267=Plano!$B$1),"entrada","saída"))</f>
        <v>saída</v>
      </c>
      <c r="T1267" s="505" t="s">
        <v>114</v>
      </c>
      <c r="U1267" s="505" t="s">
        <v>114</v>
      </c>
      <c r="V1267" s="541"/>
    </row>
    <row r="1268" spans="1:22" ht="50.1" customHeight="1" x14ac:dyDescent="0.2">
      <c r="A1268" s="619">
        <f>IF(B1268="","",COUNT('Diário 5º PA'!$A$5:$A$2634)+COUNT('Diário 6º PA'!$A$5:$A$2246)+COUNT('Diário 7º PA'!$A$5:$A$2271)+ROW()-4)</f>
        <v>5214</v>
      </c>
      <c r="B1268" s="620">
        <v>44530</v>
      </c>
      <c r="C1268" s="624">
        <v>44501</v>
      </c>
      <c r="D1268" s="548" t="s">
        <v>88</v>
      </c>
      <c r="E1268" s="548" t="s">
        <v>175</v>
      </c>
      <c r="F1268" s="622">
        <v>856.43</v>
      </c>
      <c r="G1268" s="623" t="s">
        <v>6469</v>
      </c>
      <c r="H1268" s="548" t="s">
        <v>114</v>
      </c>
      <c r="I1268" s="583" t="s">
        <v>1206</v>
      </c>
      <c r="J1268" s="548" t="s">
        <v>1207</v>
      </c>
      <c r="K1268" s="583" t="s">
        <v>991</v>
      </c>
      <c r="L1268" s="583" t="s">
        <v>1183</v>
      </c>
      <c r="M1268" s="619" t="s">
        <v>114</v>
      </c>
      <c r="N1268" s="620">
        <v>44530</v>
      </c>
      <c r="O1268" s="684" t="s">
        <v>67</v>
      </c>
      <c r="P1268" s="503">
        <f t="shared" si="68"/>
        <v>11</v>
      </c>
      <c r="Q1268" s="503">
        <f t="shared" si="69"/>
        <v>11</v>
      </c>
      <c r="R1268" s="504" t="str">
        <f t="shared" si="70"/>
        <v>Gastos_com_Pessoal</v>
      </c>
      <c r="S1268" s="504" t="str">
        <f>IF(D1268="","",IF(OR(D1268=Plano!$A$1,D1268=Plano!$B$1),"entrada","saída"))</f>
        <v>saída</v>
      </c>
      <c r="T1268" s="505" t="s">
        <v>114</v>
      </c>
      <c r="U1268" s="505" t="s">
        <v>114</v>
      </c>
      <c r="V1268" s="541"/>
    </row>
    <row r="1269" spans="1:22" ht="42" customHeight="1" x14ac:dyDescent="0.2">
      <c r="A1269" s="619">
        <f>IF(B1269="","",COUNT('Diário 5º PA'!$A$5:$A$2634)+COUNT('Diário 6º PA'!$A$5:$A$2246)+COUNT('Diário 7º PA'!$A$5:$A$2271)+ROW()-4)</f>
        <v>5215</v>
      </c>
      <c r="B1269" s="620">
        <v>44530</v>
      </c>
      <c r="C1269" s="628">
        <v>44501</v>
      </c>
      <c r="D1269" s="548" t="s">
        <v>88</v>
      </c>
      <c r="E1269" s="548" t="s">
        <v>192</v>
      </c>
      <c r="F1269" s="622">
        <v>508.79</v>
      </c>
      <c r="G1269" s="623" t="s">
        <v>5362</v>
      </c>
      <c r="H1269" s="548" t="s">
        <v>114</v>
      </c>
      <c r="I1269" s="583" t="s">
        <v>1032</v>
      </c>
      <c r="J1269" s="548" t="s">
        <v>1033</v>
      </c>
      <c r="K1269" s="583" t="s">
        <v>560</v>
      </c>
      <c r="L1269" s="583" t="s">
        <v>992</v>
      </c>
      <c r="M1269" s="619" t="s">
        <v>7171</v>
      </c>
      <c r="N1269" s="620">
        <v>44532</v>
      </c>
      <c r="O1269" s="684" t="s">
        <v>67</v>
      </c>
      <c r="P1269" s="503">
        <f t="shared" si="68"/>
        <v>11</v>
      </c>
      <c r="Q1269" s="503">
        <f t="shared" si="69"/>
        <v>11</v>
      </c>
      <c r="R1269" s="504" t="str">
        <f t="shared" si="70"/>
        <v>Gastos_com_Pessoal</v>
      </c>
      <c r="S1269" s="504" t="str">
        <f>IF(D1269="","",IF(OR(D1269=Plano!$A$1,D1269=Plano!$B$1),"entrada","saída"))</f>
        <v>saída</v>
      </c>
      <c r="T1269" s="546" t="s">
        <v>114</v>
      </c>
      <c r="U1269" s="546" t="s">
        <v>114</v>
      </c>
      <c r="V1269" s="541"/>
    </row>
    <row r="1270" spans="1:22" ht="78" customHeight="1" x14ac:dyDescent="0.2">
      <c r="A1270" s="619">
        <f>IF(B1270="","",COUNT('Diário 5º PA'!$A$5:$A$2634)+COUNT('Diário 6º PA'!$A$5:$A$2246)+COUNT('Diário 7º PA'!$A$5:$A$2271)+ROW()-4)</f>
        <v>5216</v>
      </c>
      <c r="B1270" s="620">
        <v>44530</v>
      </c>
      <c r="C1270" s="624">
        <v>44501</v>
      </c>
      <c r="D1270" s="548" t="s">
        <v>99</v>
      </c>
      <c r="E1270" s="548" t="s">
        <v>382</v>
      </c>
      <c r="F1270" s="622">
        <v>122.44</v>
      </c>
      <c r="G1270" s="623" t="s">
        <v>6356</v>
      </c>
      <c r="H1270" s="548" t="s">
        <v>116</v>
      </c>
      <c r="I1270" s="583" t="s">
        <v>1705</v>
      </c>
      <c r="J1270" s="548" t="s">
        <v>924</v>
      </c>
      <c r="K1270" s="583" t="s">
        <v>991</v>
      </c>
      <c r="L1270" s="583" t="s">
        <v>992</v>
      </c>
      <c r="M1270" s="619" t="s">
        <v>6470</v>
      </c>
      <c r="N1270" s="620">
        <v>44529</v>
      </c>
      <c r="O1270" s="684" t="s">
        <v>67</v>
      </c>
      <c r="P1270" s="503">
        <f t="shared" si="68"/>
        <v>11</v>
      </c>
      <c r="Q1270" s="503">
        <f t="shared" si="69"/>
        <v>11</v>
      </c>
      <c r="R1270" s="504" t="str">
        <f t="shared" si="70"/>
        <v>Gastos_Gerais</v>
      </c>
      <c r="S1270" s="504" t="str">
        <f>IF(D1270="","",IF(OR(D1270=Plano!$A$1,D1270=Plano!$B$1),"entrada","saída"))</f>
        <v>saída</v>
      </c>
      <c r="T1270" s="505" t="s">
        <v>994</v>
      </c>
      <c r="U1270" s="505">
        <v>2497</v>
      </c>
      <c r="V1270" s="541"/>
    </row>
    <row r="1271" spans="1:22" ht="50.1" customHeight="1" x14ac:dyDescent="0.2">
      <c r="A1271" s="619">
        <f>IF(B1271="","",COUNT('Diário 5º PA'!$A$5:$A$2634)+COUNT('Diário 6º PA'!$A$5:$A$2246)+COUNT('Diário 7º PA'!$A$5:$A$2271)+ROW()-4)</f>
        <v>5217</v>
      </c>
      <c r="B1271" s="620">
        <v>44530</v>
      </c>
      <c r="C1271" s="624">
        <v>44501</v>
      </c>
      <c r="D1271" s="548" t="s">
        <v>88</v>
      </c>
      <c r="E1271" s="548" t="s">
        <v>175</v>
      </c>
      <c r="F1271" s="622">
        <v>2866.1</v>
      </c>
      <c r="G1271" s="623" t="s">
        <v>6472</v>
      </c>
      <c r="H1271" s="548" t="s">
        <v>114</v>
      </c>
      <c r="I1271" s="583" t="s">
        <v>1221</v>
      </c>
      <c r="J1271" s="548" t="s">
        <v>1222</v>
      </c>
      <c r="K1271" s="583" t="s">
        <v>1015</v>
      </c>
      <c r="L1271" s="583" t="s">
        <v>1183</v>
      </c>
      <c r="M1271" s="619" t="s">
        <v>114</v>
      </c>
      <c r="N1271" s="620">
        <v>44530</v>
      </c>
      <c r="O1271" s="684" t="s">
        <v>67</v>
      </c>
      <c r="P1271" s="503">
        <f t="shared" si="68"/>
        <v>11</v>
      </c>
      <c r="Q1271" s="503">
        <f t="shared" si="69"/>
        <v>11</v>
      </c>
      <c r="R1271" s="504" t="str">
        <f t="shared" si="70"/>
        <v>Gastos_com_Pessoal</v>
      </c>
      <c r="S1271" s="504" t="str">
        <f>IF(D1271="","",IF(OR(D1271=Plano!$A$1,D1271=Plano!$B$1),"entrada","saída"))</f>
        <v>saída</v>
      </c>
      <c r="T1271" s="505" t="s">
        <v>114</v>
      </c>
      <c r="U1271" s="505" t="s">
        <v>114</v>
      </c>
      <c r="V1271" s="541"/>
    </row>
    <row r="1272" spans="1:22" ht="50.1" customHeight="1" x14ac:dyDescent="0.2">
      <c r="A1272" s="619">
        <f>IF(B1272="","",COUNT('Diário 5º PA'!$A$5:$A$2634)+COUNT('Diário 6º PA'!$A$5:$A$2246)+COUNT('Diário 7º PA'!$A$5:$A$2271)+ROW()-4)</f>
        <v>5218</v>
      </c>
      <c r="B1272" s="620">
        <v>44530</v>
      </c>
      <c r="C1272" s="624">
        <v>44501</v>
      </c>
      <c r="D1272" s="548" t="s">
        <v>88</v>
      </c>
      <c r="E1272" s="548" t="s">
        <v>175</v>
      </c>
      <c r="F1272" s="622">
        <v>575</v>
      </c>
      <c r="G1272" s="623" t="s">
        <v>6444</v>
      </c>
      <c r="H1272" s="548" t="s">
        <v>114</v>
      </c>
      <c r="I1272" s="583" t="s">
        <v>1794</v>
      </c>
      <c r="J1272" s="548" t="s">
        <v>1795</v>
      </c>
      <c r="K1272" s="583" t="s">
        <v>1015</v>
      </c>
      <c r="L1272" s="583" t="s">
        <v>1183</v>
      </c>
      <c r="M1272" s="619" t="s">
        <v>114</v>
      </c>
      <c r="N1272" s="620">
        <v>44530</v>
      </c>
      <c r="O1272" s="684" t="s">
        <v>67</v>
      </c>
      <c r="P1272" s="503">
        <f t="shared" si="68"/>
        <v>11</v>
      </c>
      <c r="Q1272" s="503">
        <f t="shared" si="69"/>
        <v>11</v>
      </c>
      <c r="R1272" s="504" t="str">
        <f t="shared" si="70"/>
        <v>Gastos_com_Pessoal</v>
      </c>
      <c r="S1272" s="504" t="str">
        <f>IF(D1272="","",IF(OR(D1272=Plano!$A$1,D1272=Plano!$B$1),"entrada","saída"))</f>
        <v>saída</v>
      </c>
      <c r="T1272" s="505" t="s">
        <v>114</v>
      </c>
      <c r="U1272" s="505" t="s">
        <v>114</v>
      </c>
      <c r="V1272" s="541"/>
    </row>
    <row r="1273" spans="1:22" ht="50.1" customHeight="1" x14ac:dyDescent="0.2">
      <c r="A1273" s="619">
        <f>IF(B1273="","",COUNT('Diário 5º PA'!$A$5:$A$2634)+COUNT('Diário 6º PA'!$A$5:$A$2246)+COUNT('Diário 7º PA'!$A$5:$A$2271)+ROW()-4)</f>
        <v>5219</v>
      </c>
      <c r="B1273" s="620">
        <v>44530</v>
      </c>
      <c r="C1273" s="624">
        <v>44501</v>
      </c>
      <c r="D1273" s="548" t="s">
        <v>88</v>
      </c>
      <c r="E1273" s="548" t="s">
        <v>175</v>
      </c>
      <c r="F1273" s="622">
        <v>625</v>
      </c>
      <c r="G1273" s="623" t="s">
        <v>6473</v>
      </c>
      <c r="H1273" s="548" t="s">
        <v>114</v>
      </c>
      <c r="I1273" s="583" t="s">
        <v>1797</v>
      </c>
      <c r="J1273" s="548" t="s">
        <v>1798</v>
      </c>
      <c r="K1273" s="583" t="s">
        <v>1015</v>
      </c>
      <c r="L1273" s="583" t="s">
        <v>1183</v>
      </c>
      <c r="M1273" s="619" t="s">
        <v>114</v>
      </c>
      <c r="N1273" s="620">
        <v>44530</v>
      </c>
      <c r="O1273" s="684" t="s">
        <v>67</v>
      </c>
      <c r="P1273" s="503">
        <f t="shared" si="68"/>
        <v>11</v>
      </c>
      <c r="Q1273" s="503">
        <f t="shared" si="69"/>
        <v>11</v>
      </c>
      <c r="R1273" s="504" t="str">
        <f t="shared" si="70"/>
        <v>Gastos_com_Pessoal</v>
      </c>
      <c r="S1273" s="504" t="str">
        <f>IF(D1273="","",IF(OR(D1273=Plano!$A$1,D1273=Plano!$B$1),"entrada","saída"))</f>
        <v>saída</v>
      </c>
      <c r="T1273" s="505" t="s">
        <v>114</v>
      </c>
      <c r="U1273" s="505" t="s">
        <v>114</v>
      </c>
      <c r="V1273" s="541"/>
    </row>
    <row r="1274" spans="1:22" ht="50.1" customHeight="1" x14ac:dyDescent="0.2">
      <c r="A1274" s="619">
        <f>IF(B1274="","",COUNT('Diário 5º PA'!$A$5:$A$2634)+COUNT('Diário 6º PA'!$A$5:$A$2246)+COUNT('Diário 7º PA'!$A$5:$A$2271)+ROW()-4)</f>
        <v>5220</v>
      </c>
      <c r="B1274" s="620">
        <v>44530</v>
      </c>
      <c r="C1274" s="624">
        <v>44501</v>
      </c>
      <c r="D1274" s="548" t="s">
        <v>88</v>
      </c>
      <c r="E1274" s="548" t="s">
        <v>175</v>
      </c>
      <c r="F1274" s="622">
        <v>575</v>
      </c>
      <c r="G1274" s="623" t="s">
        <v>6474</v>
      </c>
      <c r="H1274" s="548" t="s">
        <v>114</v>
      </c>
      <c r="I1274" s="583" t="s">
        <v>1799</v>
      </c>
      <c r="J1274" s="548" t="s">
        <v>1800</v>
      </c>
      <c r="K1274" s="583" t="s">
        <v>1015</v>
      </c>
      <c r="L1274" s="583" t="s">
        <v>1183</v>
      </c>
      <c r="M1274" s="619" t="s">
        <v>114</v>
      </c>
      <c r="N1274" s="620">
        <v>44530</v>
      </c>
      <c r="O1274" s="684" t="s">
        <v>67</v>
      </c>
      <c r="P1274" s="503">
        <f t="shared" si="68"/>
        <v>11</v>
      </c>
      <c r="Q1274" s="503">
        <f t="shared" si="69"/>
        <v>11</v>
      </c>
      <c r="R1274" s="504" t="str">
        <f t="shared" si="70"/>
        <v>Gastos_com_Pessoal</v>
      </c>
      <c r="S1274" s="504" t="str">
        <f>IF(D1274="","",IF(OR(D1274=Plano!$A$1,D1274=Plano!$B$1),"entrada","saída"))</f>
        <v>saída</v>
      </c>
      <c r="T1274" s="505" t="s">
        <v>114</v>
      </c>
      <c r="U1274" s="505" t="s">
        <v>114</v>
      </c>
      <c r="V1274" s="541"/>
    </row>
    <row r="1275" spans="1:22" ht="50.1" customHeight="1" x14ac:dyDescent="0.2">
      <c r="A1275" s="619">
        <f>IF(B1275="","",COUNT('Diário 5º PA'!$A$5:$A$2634)+COUNT('Diário 6º PA'!$A$5:$A$2246)+COUNT('Diário 7º PA'!$A$5:$A$2271)+ROW()-4)</f>
        <v>5221</v>
      </c>
      <c r="B1275" s="620">
        <v>44530</v>
      </c>
      <c r="C1275" s="624">
        <v>44501</v>
      </c>
      <c r="D1275" s="548" t="s">
        <v>88</v>
      </c>
      <c r="E1275" s="548" t="s">
        <v>175</v>
      </c>
      <c r="F1275" s="622">
        <v>575</v>
      </c>
      <c r="G1275" s="623" t="s">
        <v>6474</v>
      </c>
      <c r="H1275" s="548" t="s">
        <v>114</v>
      </c>
      <c r="I1275" s="583" t="s">
        <v>1801</v>
      </c>
      <c r="J1275" s="548" t="s">
        <v>1802</v>
      </c>
      <c r="K1275" s="583" t="s">
        <v>1015</v>
      </c>
      <c r="L1275" s="583" t="s">
        <v>1183</v>
      </c>
      <c r="M1275" s="619" t="s">
        <v>114</v>
      </c>
      <c r="N1275" s="620">
        <v>44530</v>
      </c>
      <c r="O1275" s="684" t="s">
        <v>67</v>
      </c>
      <c r="P1275" s="503">
        <f t="shared" si="68"/>
        <v>11</v>
      </c>
      <c r="Q1275" s="503">
        <f t="shared" si="69"/>
        <v>11</v>
      </c>
      <c r="R1275" s="504" t="str">
        <f t="shared" si="70"/>
        <v>Gastos_com_Pessoal</v>
      </c>
      <c r="S1275" s="504" t="str">
        <f>IF(D1275="","",IF(OR(D1275=Plano!$A$1,D1275=Plano!$B$1),"entrada","saída"))</f>
        <v>saída</v>
      </c>
      <c r="T1275" s="505" t="s">
        <v>114</v>
      </c>
      <c r="U1275" s="505" t="s">
        <v>114</v>
      </c>
      <c r="V1275" s="541"/>
    </row>
    <row r="1276" spans="1:22" ht="50.1" customHeight="1" x14ac:dyDescent="0.2">
      <c r="A1276" s="619">
        <f>IF(B1276="","",COUNT('Diário 5º PA'!$A$5:$A$2634)+COUNT('Diário 6º PA'!$A$5:$A$2246)+COUNT('Diário 7º PA'!$A$5:$A$2271)+ROW()-4)</f>
        <v>5222</v>
      </c>
      <c r="B1276" s="620">
        <v>44530</v>
      </c>
      <c r="C1276" s="624">
        <v>44501</v>
      </c>
      <c r="D1276" s="548" t="s">
        <v>88</v>
      </c>
      <c r="E1276" s="548" t="s">
        <v>175</v>
      </c>
      <c r="F1276" s="622">
        <v>575</v>
      </c>
      <c r="G1276" s="623" t="s">
        <v>6444</v>
      </c>
      <c r="H1276" s="548" t="s">
        <v>114</v>
      </c>
      <c r="I1276" s="583" t="s">
        <v>1803</v>
      </c>
      <c r="J1276" s="548" t="s">
        <v>1804</v>
      </c>
      <c r="K1276" s="583" t="s">
        <v>1015</v>
      </c>
      <c r="L1276" s="583" t="s">
        <v>1183</v>
      </c>
      <c r="M1276" s="619" t="s">
        <v>114</v>
      </c>
      <c r="N1276" s="620">
        <v>44530</v>
      </c>
      <c r="O1276" s="684" t="s">
        <v>67</v>
      </c>
      <c r="P1276" s="503">
        <f t="shared" si="68"/>
        <v>11</v>
      </c>
      <c r="Q1276" s="503">
        <f t="shared" si="69"/>
        <v>11</v>
      </c>
      <c r="R1276" s="504" t="str">
        <f t="shared" si="70"/>
        <v>Gastos_com_Pessoal</v>
      </c>
      <c r="S1276" s="504" t="str">
        <f>IF(D1276="","",IF(OR(D1276=Plano!$A$1,D1276=Plano!$B$1),"entrada","saída"))</f>
        <v>saída</v>
      </c>
      <c r="T1276" s="505" t="s">
        <v>114</v>
      </c>
      <c r="U1276" s="505" t="s">
        <v>114</v>
      </c>
      <c r="V1276" s="541"/>
    </row>
    <row r="1277" spans="1:22" ht="50.1" customHeight="1" x14ac:dyDescent="0.2">
      <c r="A1277" s="619">
        <f>IF(B1277="","",COUNT('Diário 5º PA'!$A$5:$A$2634)+COUNT('Diário 6º PA'!$A$5:$A$2246)+COUNT('Diário 7º PA'!$A$5:$A$2271)+ROW()-4)</f>
        <v>5223</v>
      </c>
      <c r="B1277" s="620">
        <v>44530</v>
      </c>
      <c r="C1277" s="624">
        <v>44501</v>
      </c>
      <c r="D1277" s="548" t="s">
        <v>88</v>
      </c>
      <c r="E1277" s="548" t="s">
        <v>175</v>
      </c>
      <c r="F1277" s="622">
        <v>2866.1</v>
      </c>
      <c r="G1277" s="623" t="s">
        <v>6475</v>
      </c>
      <c r="H1277" s="548" t="s">
        <v>114</v>
      </c>
      <c r="I1277" s="583" t="s">
        <v>1224</v>
      </c>
      <c r="J1277" s="548" t="s">
        <v>1225</v>
      </c>
      <c r="K1277" s="583" t="s">
        <v>1015</v>
      </c>
      <c r="L1277" s="583" t="s">
        <v>1347</v>
      </c>
      <c r="M1277" s="619" t="s">
        <v>114</v>
      </c>
      <c r="N1277" s="620">
        <v>44530</v>
      </c>
      <c r="O1277" s="684" t="s">
        <v>67</v>
      </c>
      <c r="P1277" s="503">
        <f t="shared" si="68"/>
        <v>11</v>
      </c>
      <c r="Q1277" s="503">
        <f t="shared" si="69"/>
        <v>11</v>
      </c>
      <c r="R1277" s="504" t="str">
        <f t="shared" si="70"/>
        <v>Gastos_com_Pessoal</v>
      </c>
      <c r="S1277" s="504" t="str">
        <f>IF(D1277="","",IF(OR(D1277=Plano!$A$1,D1277=Plano!$B$1),"entrada","saída"))</f>
        <v>saída</v>
      </c>
      <c r="T1277" s="505" t="s">
        <v>114</v>
      </c>
      <c r="U1277" s="505" t="s">
        <v>114</v>
      </c>
      <c r="V1277" s="541"/>
    </row>
    <row r="1278" spans="1:22" ht="50.1" customHeight="1" x14ac:dyDescent="0.2">
      <c r="A1278" s="619">
        <f>IF(B1278="","",COUNT('Diário 5º PA'!$A$5:$A$2634)+COUNT('Diário 6º PA'!$A$5:$A$2246)+COUNT('Diário 7º PA'!$A$5:$A$2271)+ROW()-4)</f>
        <v>5224</v>
      </c>
      <c r="B1278" s="620">
        <v>44530</v>
      </c>
      <c r="C1278" s="624">
        <v>44501</v>
      </c>
      <c r="D1278" s="548" t="s">
        <v>88</v>
      </c>
      <c r="E1278" s="548" t="s">
        <v>175</v>
      </c>
      <c r="F1278" s="622">
        <v>575</v>
      </c>
      <c r="G1278" s="623" t="s">
        <v>6474</v>
      </c>
      <c r="H1278" s="548" t="s">
        <v>114</v>
      </c>
      <c r="I1278" s="583" t="s">
        <v>1806</v>
      </c>
      <c r="J1278" s="548" t="s">
        <v>1807</v>
      </c>
      <c r="K1278" s="583" t="s">
        <v>1015</v>
      </c>
      <c r="L1278" s="583" t="s">
        <v>1183</v>
      </c>
      <c r="M1278" s="619" t="s">
        <v>114</v>
      </c>
      <c r="N1278" s="620">
        <v>44530</v>
      </c>
      <c r="O1278" s="684" t="s">
        <v>67</v>
      </c>
      <c r="P1278" s="503">
        <f t="shared" si="68"/>
        <v>11</v>
      </c>
      <c r="Q1278" s="503">
        <f t="shared" si="69"/>
        <v>11</v>
      </c>
      <c r="R1278" s="504" t="str">
        <f t="shared" si="70"/>
        <v>Gastos_com_Pessoal</v>
      </c>
      <c r="S1278" s="504" t="str">
        <f>IF(D1278="","",IF(OR(D1278=Plano!$A$1,D1278=Plano!$B$1),"entrada","saída"))</f>
        <v>saída</v>
      </c>
      <c r="T1278" s="505" t="s">
        <v>114</v>
      </c>
      <c r="U1278" s="505" t="s">
        <v>114</v>
      </c>
      <c r="V1278" s="541"/>
    </row>
    <row r="1279" spans="1:22" ht="50.1" customHeight="1" x14ac:dyDescent="0.2">
      <c r="A1279" s="619">
        <f>IF(B1279="","",COUNT('Diário 5º PA'!$A$5:$A$2634)+COUNT('Diário 6º PA'!$A$5:$A$2246)+COUNT('Diário 7º PA'!$A$5:$A$2271)+ROW()-4)</f>
        <v>5225</v>
      </c>
      <c r="B1279" s="620">
        <v>44530</v>
      </c>
      <c r="C1279" s="624">
        <v>44501</v>
      </c>
      <c r="D1279" s="548" t="s">
        <v>88</v>
      </c>
      <c r="E1279" s="548" t="s">
        <v>175</v>
      </c>
      <c r="F1279" s="622">
        <v>856.43</v>
      </c>
      <c r="G1279" s="623" t="s">
        <v>6476</v>
      </c>
      <c r="H1279" s="548" t="s">
        <v>114</v>
      </c>
      <c r="I1279" s="583" t="s">
        <v>1226</v>
      </c>
      <c r="J1279" s="548" t="s">
        <v>1227</v>
      </c>
      <c r="K1279" s="583" t="s">
        <v>1015</v>
      </c>
      <c r="L1279" s="583" t="s">
        <v>1183</v>
      </c>
      <c r="M1279" s="619" t="s">
        <v>114</v>
      </c>
      <c r="N1279" s="620">
        <v>44530</v>
      </c>
      <c r="O1279" s="684" t="s">
        <v>67</v>
      </c>
      <c r="P1279" s="503">
        <f t="shared" si="68"/>
        <v>11</v>
      </c>
      <c r="Q1279" s="503">
        <f t="shared" si="69"/>
        <v>11</v>
      </c>
      <c r="R1279" s="504" t="str">
        <f t="shared" si="70"/>
        <v>Gastos_com_Pessoal</v>
      </c>
      <c r="S1279" s="504" t="str">
        <f>IF(D1279="","",IF(OR(D1279=Plano!$A$1,D1279=Plano!$B$1),"entrada","saída"))</f>
        <v>saída</v>
      </c>
      <c r="T1279" s="505" t="s">
        <v>114</v>
      </c>
      <c r="U1279" s="505" t="s">
        <v>114</v>
      </c>
      <c r="V1279" s="541"/>
    </row>
    <row r="1280" spans="1:22" ht="50.1" customHeight="1" x14ac:dyDescent="0.2">
      <c r="A1280" s="619">
        <f>IF(B1280="","",COUNT('Diário 5º PA'!$A$5:$A$2634)+COUNT('Diário 6º PA'!$A$5:$A$2246)+COUNT('Diário 7º PA'!$A$5:$A$2271)+ROW()-4)</f>
        <v>5226</v>
      </c>
      <c r="B1280" s="620">
        <v>44530</v>
      </c>
      <c r="C1280" s="624">
        <v>44501</v>
      </c>
      <c r="D1280" s="548" t="s">
        <v>88</v>
      </c>
      <c r="E1280" s="548" t="s">
        <v>175</v>
      </c>
      <c r="F1280" s="622">
        <v>479.17</v>
      </c>
      <c r="G1280" s="623" t="s">
        <v>6477</v>
      </c>
      <c r="H1280" s="548" t="s">
        <v>114</v>
      </c>
      <c r="I1280" s="583" t="s">
        <v>2266</v>
      </c>
      <c r="J1280" s="548" t="s">
        <v>2267</v>
      </c>
      <c r="K1280" s="583" t="s">
        <v>1015</v>
      </c>
      <c r="L1280" s="583" t="s">
        <v>1183</v>
      </c>
      <c r="M1280" s="619" t="s">
        <v>114</v>
      </c>
      <c r="N1280" s="620">
        <v>44530</v>
      </c>
      <c r="O1280" s="684" t="s">
        <v>67</v>
      </c>
      <c r="P1280" s="503">
        <f t="shared" ref="P1280:P1343" si="71">IF(B1280=0,0,IF(YEAR(B1280)=$Q$1,MONTH(B1280)-$P$1+1,(YEAR(B1280)-$Q$1)*12-$P$1+1+MONTH(B1280)))</f>
        <v>11</v>
      </c>
      <c r="Q1280" s="503">
        <f t="shared" ref="Q1280:Q1343" si="72">IF(C1280=0,0,IF(YEAR(C1280)=$Q$1,MONTH(C1280)-$P$1+1,(YEAR(C1280)-$Q$1)*12-$P$1+1+MONTH(C1280)))</f>
        <v>11</v>
      </c>
      <c r="R1280" s="504" t="str">
        <f t="shared" ref="R1280:R1343" si="73">SUBSTITUTE(D1280," ","_")</f>
        <v>Gastos_com_Pessoal</v>
      </c>
      <c r="S1280" s="504" t="str">
        <f>IF(D1280="","",IF(OR(D1280=Plano!$A$1,D1280=Plano!$B$1),"entrada","saída"))</f>
        <v>saída</v>
      </c>
      <c r="T1280" s="505" t="s">
        <v>114</v>
      </c>
      <c r="U1280" s="505" t="s">
        <v>114</v>
      </c>
      <c r="V1280" s="541"/>
    </row>
    <row r="1281" spans="1:22" ht="50.1" customHeight="1" x14ac:dyDescent="0.2">
      <c r="A1281" s="619">
        <f>IF(B1281="","",COUNT('Diário 5º PA'!$A$5:$A$2634)+COUNT('Diário 6º PA'!$A$5:$A$2246)+COUNT('Diário 7º PA'!$A$5:$A$2271)+ROW()-4)</f>
        <v>5227</v>
      </c>
      <c r="B1281" s="620">
        <v>44530</v>
      </c>
      <c r="C1281" s="624">
        <v>44501</v>
      </c>
      <c r="D1281" s="548" t="s">
        <v>88</v>
      </c>
      <c r="E1281" s="548" t="s">
        <v>175</v>
      </c>
      <c r="F1281" s="622">
        <v>575</v>
      </c>
      <c r="G1281" s="623" t="s">
        <v>6474</v>
      </c>
      <c r="H1281" s="548" t="s">
        <v>114</v>
      </c>
      <c r="I1281" s="583" t="s">
        <v>1808</v>
      </c>
      <c r="J1281" s="548" t="s">
        <v>1028</v>
      </c>
      <c r="K1281" s="583" t="s">
        <v>1015</v>
      </c>
      <c r="L1281" s="583" t="s">
        <v>1183</v>
      </c>
      <c r="M1281" s="619" t="s">
        <v>114</v>
      </c>
      <c r="N1281" s="620">
        <v>44530</v>
      </c>
      <c r="O1281" s="684" t="s">
        <v>67</v>
      </c>
      <c r="P1281" s="503">
        <f t="shared" si="71"/>
        <v>11</v>
      </c>
      <c r="Q1281" s="503">
        <f t="shared" si="72"/>
        <v>11</v>
      </c>
      <c r="R1281" s="504" t="str">
        <f t="shared" si="73"/>
        <v>Gastos_com_Pessoal</v>
      </c>
      <c r="S1281" s="504" t="str">
        <f>IF(D1281="","",IF(OR(D1281=Plano!$A$1,D1281=Plano!$B$1),"entrada","saída"))</f>
        <v>saída</v>
      </c>
      <c r="T1281" s="505" t="s">
        <v>114</v>
      </c>
      <c r="U1281" s="505" t="s">
        <v>114</v>
      </c>
      <c r="V1281" s="541"/>
    </row>
    <row r="1282" spans="1:22" ht="50.1" customHeight="1" x14ac:dyDescent="0.2">
      <c r="A1282" s="619">
        <f>IF(B1282="","",COUNT('Diário 5º PA'!$A$5:$A$2634)+COUNT('Diário 6º PA'!$A$5:$A$2246)+COUNT('Diário 7º PA'!$A$5:$A$2271)+ROW()-4)</f>
        <v>5228</v>
      </c>
      <c r="B1282" s="620">
        <v>44530</v>
      </c>
      <c r="C1282" s="624">
        <v>44501</v>
      </c>
      <c r="D1282" s="548" t="s">
        <v>88</v>
      </c>
      <c r="E1282" s="548" t="s">
        <v>175</v>
      </c>
      <c r="F1282" s="622">
        <v>412.5</v>
      </c>
      <c r="G1282" s="623" t="s">
        <v>6478</v>
      </c>
      <c r="H1282" s="548" t="s">
        <v>114</v>
      </c>
      <c r="I1282" s="583" t="s">
        <v>6069</v>
      </c>
      <c r="J1282" s="548" t="s">
        <v>6070</v>
      </c>
      <c r="K1282" s="583" t="s">
        <v>1015</v>
      </c>
      <c r="L1282" s="583" t="s">
        <v>1183</v>
      </c>
      <c r="M1282" s="619" t="s">
        <v>114</v>
      </c>
      <c r="N1282" s="620">
        <v>44530</v>
      </c>
      <c r="O1282" s="684" t="s">
        <v>67</v>
      </c>
      <c r="P1282" s="503">
        <f t="shared" si="71"/>
        <v>11</v>
      </c>
      <c r="Q1282" s="503">
        <f t="shared" si="72"/>
        <v>11</v>
      </c>
      <c r="R1282" s="504" t="str">
        <f t="shared" si="73"/>
        <v>Gastos_com_Pessoal</v>
      </c>
      <c r="S1282" s="504" t="str">
        <f>IF(D1282="","",IF(OR(D1282=Plano!$A$1,D1282=Plano!$B$1),"entrada","saída"))</f>
        <v>saída</v>
      </c>
      <c r="T1282" s="505" t="s">
        <v>114</v>
      </c>
      <c r="U1282" s="505" t="s">
        <v>114</v>
      </c>
      <c r="V1282" s="541"/>
    </row>
    <row r="1283" spans="1:22" ht="50.1" customHeight="1" x14ac:dyDescent="0.2">
      <c r="A1283" s="619">
        <f>IF(B1283="","",COUNT('Diário 5º PA'!$A$5:$A$2634)+COUNT('Diário 6º PA'!$A$5:$A$2246)+COUNT('Diário 7º PA'!$A$5:$A$2271)+ROW()-4)</f>
        <v>5229</v>
      </c>
      <c r="B1283" s="620">
        <v>44530</v>
      </c>
      <c r="C1283" s="624">
        <v>44501</v>
      </c>
      <c r="D1283" s="548" t="s">
        <v>88</v>
      </c>
      <c r="E1283" s="548" t="s">
        <v>175</v>
      </c>
      <c r="F1283" s="622">
        <v>8537.07</v>
      </c>
      <c r="G1283" s="623" t="s">
        <v>6479</v>
      </c>
      <c r="H1283" s="548" t="s">
        <v>114</v>
      </c>
      <c r="I1283" s="583" t="s">
        <v>1229</v>
      </c>
      <c r="J1283" s="548" t="s">
        <v>1230</v>
      </c>
      <c r="K1283" s="583" t="s">
        <v>1015</v>
      </c>
      <c r="L1283" s="583" t="s">
        <v>1183</v>
      </c>
      <c r="M1283" s="619" t="s">
        <v>114</v>
      </c>
      <c r="N1283" s="620">
        <v>44530</v>
      </c>
      <c r="O1283" s="684" t="s">
        <v>67</v>
      </c>
      <c r="P1283" s="503">
        <f t="shared" si="71"/>
        <v>11</v>
      </c>
      <c r="Q1283" s="503">
        <f t="shared" si="72"/>
        <v>11</v>
      </c>
      <c r="R1283" s="504" t="str">
        <f t="shared" si="73"/>
        <v>Gastos_com_Pessoal</v>
      </c>
      <c r="S1283" s="504" t="str">
        <f>IF(D1283="","",IF(OR(D1283=Plano!$A$1,D1283=Plano!$B$1),"entrada","saída"))</f>
        <v>saída</v>
      </c>
      <c r="T1283" s="505" t="s">
        <v>114</v>
      </c>
      <c r="U1283" s="505" t="s">
        <v>114</v>
      </c>
      <c r="V1283" s="541"/>
    </row>
    <row r="1284" spans="1:22" ht="50.1" customHeight="1" x14ac:dyDescent="0.2">
      <c r="A1284" s="619">
        <f>IF(B1284="","",COUNT('Diário 5º PA'!$A$5:$A$2634)+COUNT('Diário 6º PA'!$A$5:$A$2246)+COUNT('Diário 7º PA'!$A$5:$A$2271)+ROW()-4)</f>
        <v>5230</v>
      </c>
      <c r="B1284" s="620">
        <v>44530</v>
      </c>
      <c r="C1284" s="624">
        <v>44501</v>
      </c>
      <c r="D1284" s="548" t="s">
        <v>88</v>
      </c>
      <c r="E1284" s="548" t="s">
        <v>175</v>
      </c>
      <c r="F1284" s="622">
        <v>575</v>
      </c>
      <c r="G1284" s="623" t="s">
        <v>6474</v>
      </c>
      <c r="H1284" s="548" t="s">
        <v>114</v>
      </c>
      <c r="I1284" s="583" t="s">
        <v>1810</v>
      </c>
      <c r="J1284" s="548" t="s">
        <v>1811</v>
      </c>
      <c r="K1284" s="583" t="s">
        <v>1015</v>
      </c>
      <c r="L1284" s="583" t="s">
        <v>1183</v>
      </c>
      <c r="M1284" s="619" t="s">
        <v>114</v>
      </c>
      <c r="N1284" s="620">
        <v>44530</v>
      </c>
      <c r="O1284" s="684" t="s">
        <v>67</v>
      </c>
      <c r="P1284" s="503">
        <f t="shared" si="71"/>
        <v>11</v>
      </c>
      <c r="Q1284" s="503">
        <f t="shared" si="72"/>
        <v>11</v>
      </c>
      <c r="R1284" s="504" t="str">
        <f t="shared" si="73"/>
        <v>Gastos_com_Pessoal</v>
      </c>
      <c r="S1284" s="504" t="str">
        <f>IF(D1284="","",IF(OR(D1284=Plano!$A$1,D1284=Plano!$B$1),"entrada","saída"))</f>
        <v>saída</v>
      </c>
      <c r="T1284" s="505" t="s">
        <v>114</v>
      </c>
      <c r="U1284" s="505" t="s">
        <v>114</v>
      </c>
      <c r="V1284" s="541"/>
    </row>
    <row r="1285" spans="1:22" ht="50.1" customHeight="1" x14ac:dyDescent="0.2">
      <c r="A1285" s="619">
        <f>IF(B1285="","",COUNT('Diário 5º PA'!$A$5:$A$2634)+COUNT('Diário 6º PA'!$A$5:$A$2246)+COUNT('Diário 7º PA'!$A$5:$A$2271)+ROW()-4)</f>
        <v>5231</v>
      </c>
      <c r="B1285" s="620">
        <v>44530</v>
      </c>
      <c r="C1285" s="624">
        <v>44501</v>
      </c>
      <c r="D1285" s="548" t="s">
        <v>88</v>
      </c>
      <c r="E1285" s="548" t="s">
        <v>175</v>
      </c>
      <c r="F1285" s="622">
        <v>1662.96</v>
      </c>
      <c r="G1285" s="623" t="s">
        <v>6480</v>
      </c>
      <c r="H1285" s="548" t="s">
        <v>114</v>
      </c>
      <c r="I1285" s="583" t="s">
        <v>1232</v>
      </c>
      <c r="J1285" s="548" t="s">
        <v>1233</v>
      </c>
      <c r="K1285" s="583" t="s">
        <v>1015</v>
      </c>
      <c r="L1285" s="583" t="s">
        <v>1183</v>
      </c>
      <c r="M1285" s="619" t="s">
        <v>114</v>
      </c>
      <c r="N1285" s="620">
        <v>44530</v>
      </c>
      <c r="O1285" s="684" t="s">
        <v>67</v>
      </c>
      <c r="P1285" s="503">
        <f t="shared" si="71"/>
        <v>11</v>
      </c>
      <c r="Q1285" s="503">
        <f t="shared" si="72"/>
        <v>11</v>
      </c>
      <c r="R1285" s="504" t="str">
        <f t="shared" si="73"/>
        <v>Gastos_com_Pessoal</v>
      </c>
      <c r="S1285" s="504" t="str">
        <f>IF(D1285="","",IF(OR(D1285=Plano!$A$1,D1285=Plano!$B$1),"entrada","saída"))</f>
        <v>saída</v>
      </c>
      <c r="T1285" s="505" t="s">
        <v>114</v>
      </c>
      <c r="U1285" s="505" t="s">
        <v>114</v>
      </c>
      <c r="V1285" s="541"/>
    </row>
    <row r="1286" spans="1:22" ht="50.1" customHeight="1" x14ac:dyDescent="0.2">
      <c r="A1286" s="619">
        <f>IF(B1286="","",COUNT('Diário 5º PA'!$A$5:$A$2634)+COUNT('Diário 6º PA'!$A$5:$A$2246)+COUNT('Diário 7º PA'!$A$5:$A$2271)+ROW()-4)</f>
        <v>5232</v>
      </c>
      <c r="B1286" s="620">
        <v>44530</v>
      </c>
      <c r="C1286" s="624">
        <v>44501</v>
      </c>
      <c r="D1286" s="548" t="s">
        <v>88</v>
      </c>
      <c r="E1286" s="548" t="s">
        <v>175</v>
      </c>
      <c r="F1286" s="622">
        <v>2388.42</v>
      </c>
      <c r="G1286" s="623" t="s">
        <v>6481</v>
      </c>
      <c r="H1286" s="548" t="s">
        <v>114</v>
      </c>
      <c r="I1286" s="583" t="s">
        <v>1235</v>
      </c>
      <c r="J1286" s="548" t="s">
        <v>1236</v>
      </c>
      <c r="K1286" s="583" t="s">
        <v>1015</v>
      </c>
      <c r="L1286" s="583" t="s">
        <v>1183</v>
      </c>
      <c r="M1286" s="619" t="s">
        <v>114</v>
      </c>
      <c r="N1286" s="620">
        <v>44530</v>
      </c>
      <c r="O1286" s="684" t="s">
        <v>67</v>
      </c>
      <c r="P1286" s="503">
        <f t="shared" si="71"/>
        <v>11</v>
      </c>
      <c r="Q1286" s="503">
        <f t="shared" si="72"/>
        <v>11</v>
      </c>
      <c r="R1286" s="504" t="str">
        <f t="shared" si="73"/>
        <v>Gastos_com_Pessoal</v>
      </c>
      <c r="S1286" s="504" t="str">
        <f>IF(D1286="","",IF(OR(D1286=Plano!$A$1,D1286=Plano!$B$1),"entrada","saída"))</f>
        <v>saída</v>
      </c>
      <c r="T1286" s="505" t="s">
        <v>114</v>
      </c>
      <c r="U1286" s="505" t="s">
        <v>114</v>
      </c>
      <c r="V1286" s="541"/>
    </row>
    <row r="1287" spans="1:22" ht="50.1" customHeight="1" x14ac:dyDescent="0.2">
      <c r="A1287" s="619">
        <f>IF(B1287="","",COUNT('Diário 5º PA'!$A$5:$A$2634)+COUNT('Diário 6º PA'!$A$5:$A$2246)+COUNT('Diário 7º PA'!$A$5:$A$2271)+ROW()-4)</f>
        <v>5233</v>
      </c>
      <c r="B1287" s="620">
        <v>44530</v>
      </c>
      <c r="C1287" s="628">
        <v>44501</v>
      </c>
      <c r="D1287" s="548" t="s">
        <v>99</v>
      </c>
      <c r="E1287" s="548" t="s">
        <v>272</v>
      </c>
      <c r="F1287" s="622">
        <v>10.45</v>
      </c>
      <c r="G1287" s="623" t="s">
        <v>6484</v>
      </c>
      <c r="H1287" s="548" t="s">
        <v>114</v>
      </c>
      <c r="I1287" s="583" t="s">
        <v>949</v>
      </c>
      <c r="J1287" s="548" t="s">
        <v>950</v>
      </c>
      <c r="K1287" s="583" t="s">
        <v>951</v>
      </c>
      <c r="L1287" s="583" t="s">
        <v>947</v>
      </c>
      <c r="M1287" s="625" t="s">
        <v>114</v>
      </c>
      <c r="N1287" s="620">
        <v>44530</v>
      </c>
      <c r="O1287" s="684" t="s">
        <v>67</v>
      </c>
      <c r="P1287" s="503">
        <f t="shared" si="71"/>
        <v>11</v>
      </c>
      <c r="Q1287" s="503">
        <f t="shared" si="72"/>
        <v>11</v>
      </c>
      <c r="R1287" s="504" t="str">
        <f t="shared" si="73"/>
        <v>Gastos_Gerais</v>
      </c>
      <c r="S1287" s="504" t="str">
        <f>IF(D1287="","",IF(OR(D1287=Plano!$A$1,D1287=Plano!$B$1),"entrada","saída"))</f>
        <v>saída</v>
      </c>
      <c r="T1287" s="511" t="s">
        <v>114</v>
      </c>
      <c r="U1287" s="511" t="s">
        <v>114</v>
      </c>
      <c r="V1287" s="541"/>
    </row>
    <row r="1288" spans="1:22" ht="50.1" customHeight="1" x14ac:dyDescent="0.2">
      <c r="A1288" s="619">
        <f>IF(B1288="","",COUNT('Diário 5º PA'!$A$5:$A$2634)+COUNT('Diário 6º PA'!$A$5:$A$2246)+COUNT('Diário 7º PA'!$A$5:$A$2271)+ROW()-4)</f>
        <v>5234</v>
      </c>
      <c r="B1288" s="620">
        <v>44530</v>
      </c>
      <c r="C1288" s="628">
        <v>44501</v>
      </c>
      <c r="D1288" s="548" t="s">
        <v>99</v>
      </c>
      <c r="E1288" s="548" t="s">
        <v>272</v>
      </c>
      <c r="F1288" s="622">
        <v>10.45</v>
      </c>
      <c r="G1288" s="623" t="s">
        <v>6485</v>
      </c>
      <c r="H1288" s="548" t="s">
        <v>114</v>
      </c>
      <c r="I1288" s="583" t="s">
        <v>949</v>
      </c>
      <c r="J1288" s="548" t="s">
        <v>950</v>
      </c>
      <c r="K1288" s="583" t="s">
        <v>951</v>
      </c>
      <c r="L1288" s="583" t="s">
        <v>947</v>
      </c>
      <c r="M1288" s="625" t="s">
        <v>114</v>
      </c>
      <c r="N1288" s="620">
        <v>44530</v>
      </c>
      <c r="O1288" s="684" t="s">
        <v>67</v>
      </c>
      <c r="P1288" s="503">
        <f t="shared" si="71"/>
        <v>11</v>
      </c>
      <c r="Q1288" s="503">
        <f t="shared" si="72"/>
        <v>11</v>
      </c>
      <c r="R1288" s="504" t="str">
        <f t="shared" si="73"/>
        <v>Gastos_Gerais</v>
      </c>
      <c r="S1288" s="504" t="str">
        <f>IF(D1288="","",IF(OR(D1288=Plano!$A$1,D1288=Plano!$B$1),"entrada","saída"))</f>
        <v>saída</v>
      </c>
      <c r="T1288" s="511" t="s">
        <v>114</v>
      </c>
      <c r="U1288" s="511" t="s">
        <v>114</v>
      </c>
      <c r="V1288" s="541"/>
    </row>
    <row r="1289" spans="1:22" ht="50.1" customHeight="1" x14ac:dyDescent="0.2">
      <c r="A1289" s="619">
        <f>IF(B1289="","",COUNT('Diário 5º PA'!$A$5:$A$2634)+COUNT('Diário 6º PA'!$A$5:$A$2246)+COUNT('Diário 7º PA'!$A$5:$A$2271)+ROW()-4)</f>
        <v>5235</v>
      </c>
      <c r="B1289" s="620">
        <v>44530</v>
      </c>
      <c r="C1289" s="628">
        <v>44501</v>
      </c>
      <c r="D1289" s="548" t="s">
        <v>99</v>
      </c>
      <c r="E1289" s="548" t="s">
        <v>272</v>
      </c>
      <c r="F1289" s="622">
        <v>10.45</v>
      </c>
      <c r="G1289" s="623" t="s">
        <v>6486</v>
      </c>
      <c r="H1289" s="548" t="s">
        <v>114</v>
      </c>
      <c r="I1289" s="583" t="s">
        <v>949</v>
      </c>
      <c r="J1289" s="548" t="s">
        <v>950</v>
      </c>
      <c r="K1289" s="583" t="s">
        <v>951</v>
      </c>
      <c r="L1289" s="583" t="s">
        <v>947</v>
      </c>
      <c r="M1289" s="625" t="s">
        <v>114</v>
      </c>
      <c r="N1289" s="620">
        <v>44530</v>
      </c>
      <c r="O1289" s="684" t="s">
        <v>67</v>
      </c>
      <c r="P1289" s="503">
        <f t="shared" si="71"/>
        <v>11</v>
      </c>
      <c r="Q1289" s="503">
        <f t="shared" si="72"/>
        <v>11</v>
      </c>
      <c r="R1289" s="504" t="str">
        <f t="shared" si="73"/>
        <v>Gastos_Gerais</v>
      </c>
      <c r="S1289" s="504" t="str">
        <f>IF(D1289="","",IF(OR(D1289=Plano!$A$1,D1289=Plano!$B$1),"entrada","saída"))</f>
        <v>saída</v>
      </c>
      <c r="T1289" s="511" t="s">
        <v>114</v>
      </c>
      <c r="U1289" s="511" t="s">
        <v>114</v>
      </c>
      <c r="V1289" s="541"/>
    </row>
    <row r="1290" spans="1:22" ht="50.1" customHeight="1" x14ac:dyDescent="0.2">
      <c r="A1290" s="619">
        <f>IF(B1290="","",COUNT('Diário 5º PA'!$A$5:$A$2634)+COUNT('Diário 6º PA'!$A$5:$A$2246)+COUNT('Diário 7º PA'!$A$5:$A$2271)+ROW()-4)</f>
        <v>5236</v>
      </c>
      <c r="B1290" s="620">
        <v>44530</v>
      </c>
      <c r="C1290" s="628">
        <v>44501</v>
      </c>
      <c r="D1290" s="548" t="s">
        <v>99</v>
      </c>
      <c r="E1290" s="548" t="s">
        <v>272</v>
      </c>
      <c r="F1290" s="622">
        <v>10.45</v>
      </c>
      <c r="G1290" s="623" t="s">
        <v>6487</v>
      </c>
      <c r="H1290" s="548" t="s">
        <v>114</v>
      </c>
      <c r="I1290" s="583" t="s">
        <v>949</v>
      </c>
      <c r="J1290" s="548" t="s">
        <v>950</v>
      </c>
      <c r="K1290" s="583" t="s">
        <v>951</v>
      </c>
      <c r="L1290" s="583" t="s">
        <v>947</v>
      </c>
      <c r="M1290" s="625" t="s">
        <v>114</v>
      </c>
      <c r="N1290" s="620">
        <v>44530</v>
      </c>
      <c r="O1290" s="684" t="s">
        <v>67</v>
      </c>
      <c r="P1290" s="503">
        <f t="shared" si="71"/>
        <v>11</v>
      </c>
      <c r="Q1290" s="503">
        <f t="shared" si="72"/>
        <v>11</v>
      </c>
      <c r="R1290" s="504" t="str">
        <f t="shared" si="73"/>
        <v>Gastos_Gerais</v>
      </c>
      <c r="S1290" s="504" t="str">
        <f>IF(D1290="","",IF(OR(D1290=Plano!$A$1,D1290=Plano!$B$1),"entrada","saída"))</f>
        <v>saída</v>
      </c>
      <c r="T1290" s="511" t="s">
        <v>114</v>
      </c>
      <c r="U1290" s="511" t="s">
        <v>114</v>
      </c>
      <c r="V1290" s="541"/>
    </row>
    <row r="1291" spans="1:22" ht="50.1" customHeight="1" x14ac:dyDescent="0.2">
      <c r="A1291" s="619">
        <f>IF(B1291="","",COUNT('Diário 5º PA'!$A$5:$A$2634)+COUNT('Diário 6º PA'!$A$5:$A$2246)+COUNT('Diário 7º PA'!$A$5:$A$2271)+ROW()-4)</f>
        <v>5237</v>
      </c>
      <c r="B1291" s="620">
        <v>44530</v>
      </c>
      <c r="C1291" s="628">
        <v>44501</v>
      </c>
      <c r="D1291" s="548" t="s">
        <v>99</v>
      </c>
      <c r="E1291" s="548" t="s">
        <v>272</v>
      </c>
      <c r="F1291" s="622">
        <v>10.45</v>
      </c>
      <c r="G1291" s="623" t="s">
        <v>6488</v>
      </c>
      <c r="H1291" s="548" t="s">
        <v>114</v>
      </c>
      <c r="I1291" s="583" t="s">
        <v>949</v>
      </c>
      <c r="J1291" s="548" t="s">
        <v>950</v>
      </c>
      <c r="K1291" s="583" t="s">
        <v>951</v>
      </c>
      <c r="L1291" s="583" t="s">
        <v>947</v>
      </c>
      <c r="M1291" s="625" t="s">
        <v>114</v>
      </c>
      <c r="N1291" s="620">
        <v>44530</v>
      </c>
      <c r="O1291" s="684" t="s">
        <v>67</v>
      </c>
      <c r="P1291" s="503">
        <f t="shared" si="71"/>
        <v>11</v>
      </c>
      <c r="Q1291" s="503">
        <f t="shared" si="72"/>
        <v>11</v>
      </c>
      <c r="R1291" s="504" t="str">
        <f t="shared" si="73"/>
        <v>Gastos_Gerais</v>
      </c>
      <c r="S1291" s="504" t="str">
        <f>IF(D1291="","",IF(OR(D1291=Plano!$A$1,D1291=Plano!$B$1),"entrada","saída"))</f>
        <v>saída</v>
      </c>
      <c r="T1291" s="511" t="s">
        <v>114</v>
      </c>
      <c r="U1291" s="511" t="s">
        <v>114</v>
      </c>
      <c r="V1291" s="541"/>
    </row>
    <row r="1292" spans="1:22" ht="50.1" customHeight="1" x14ac:dyDescent="0.2">
      <c r="A1292" s="619">
        <f>IF(B1292="","",COUNT('Diário 5º PA'!$A$5:$A$2634)+COUNT('Diário 6º PA'!$A$5:$A$2246)+COUNT('Diário 7º PA'!$A$5:$A$2271)+ROW()-4)</f>
        <v>5238</v>
      </c>
      <c r="B1292" s="620">
        <v>44530</v>
      </c>
      <c r="C1292" s="628">
        <v>44501</v>
      </c>
      <c r="D1292" s="548" t="s">
        <v>99</v>
      </c>
      <c r="E1292" s="548" t="s">
        <v>272</v>
      </c>
      <c r="F1292" s="622">
        <v>10.45</v>
      </c>
      <c r="G1292" s="623" t="s">
        <v>6489</v>
      </c>
      <c r="H1292" s="548" t="s">
        <v>114</v>
      </c>
      <c r="I1292" s="583" t="s">
        <v>949</v>
      </c>
      <c r="J1292" s="548" t="s">
        <v>950</v>
      </c>
      <c r="K1292" s="583" t="s">
        <v>951</v>
      </c>
      <c r="L1292" s="583" t="s">
        <v>947</v>
      </c>
      <c r="M1292" s="625" t="s">
        <v>114</v>
      </c>
      <c r="N1292" s="620">
        <v>44530</v>
      </c>
      <c r="O1292" s="684" t="s">
        <v>67</v>
      </c>
      <c r="P1292" s="503">
        <f t="shared" si="71"/>
        <v>11</v>
      </c>
      <c r="Q1292" s="503">
        <f t="shared" si="72"/>
        <v>11</v>
      </c>
      <c r="R1292" s="504" t="str">
        <f t="shared" si="73"/>
        <v>Gastos_Gerais</v>
      </c>
      <c r="S1292" s="504" t="str">
        <f>IF(D1292="","",IF(OR(D1292=Plano!$A$1,D1292=Plano!$B$1),"entrada","saída"))</f>
        <v>saída</v>
      </c>
      <c r="T1292" s="511" t="s">
        <v>114</v>
      </c>
      <c r="U1292" s="511" t="s">
        <v>114</v>
      </c>
      <c r="V1292" s="541"/>
    </row>
    <row r="1293" spans="1:22" ht="50.1" customHeight="1" x14ac:dyDescent="0.2">
      <c r="A1293" s="619">
        <f>IF(B1293="","",COUNT('Diário 5º PA'!$A$5:$A$2634)+COUNT('Diário 6º PA'!$A$5:$A$2246)+COUNT('Diário 7º PA'!$A$5:$A$2271)+ROW()-4)</f>
        <v>5239</v>
      </c>
      <c r="B1293" s="620">
        <v>44530</v>
      </c>
      <c r="C1293" s="628">
        <v>44501</v>
      </c>
      <c r="D1293" s="548" t="s">
        <v>99</v>
      </c>
      <c r="E1293" s="548" t="s">
        <v>272</v>
      </c>
      <c r="F1293" s="622">
        <v>10.45</v>
      </c>
      <c r="G1293" s="623" t="s">
        <v>6490</v>
      </c>
      <c r="H1293" s="548" t="s">
        <v>114</v>
      </c>
      <c r="I1293" s="583" t="s">
        <v>949</v>
      </c>
      <c r="J1293" s="548" t="s">
        <v>950</v>
      </c>
      <c r="K1293" s="583" t="s">
        <v>951</v>
      </c>
      <c r="L1293" s="583" t="s">
        <v>947</v>
      </c>
      <c r="M1293" s="625" t="s">
        <v>114</v>
      </c>
      <c r="N1293" s="620">
        <v>44530</v>
      </c>
      <c r="O1293" s="684" t="s">
        <v>67</v>
      </c>
      <c r="P1293" s="503">
        <f t="shared" si="71"/>
        <v>11</v>
      </c>
      <c r="Q1293" s="503">
        <f t="shared" si="72"/>
        <v>11</v>
      </c>
      <c r="R1293" s="504" t="str">
        <f t="shared" si="73"/>
        <v>Gastos_Gerais</v>
      </c>
      <c r="S1293" s="504" t="str">
        <f>IF(D1293="","",IF(OR(D1293=Plano!$A$1,D1293=Plano!$B$1),"entrada","saída"))</f>
        <v>saída</v>
      </c>
      <c r="T1293" s="511" t="s">
        <v>114</v>
      </c>
      <c r="U1293" s="511" t="s">
        <v>114</v>
      </c>
      <c r="V1293" s="541"/>
    </row>
    <row r="1294" spans="1:22" ht="50.1" customHeight="1" x14ac:dyDescent="0.2">
      <c r="A1294" s="619">
        <f>IF(B1294="","",COUNT('Diário 5º PA'!$A$5:$A$2634)+COUNT('Diário 6º PA'!$A$5:$A$2246)+COUNT('Diário 7º PA'!$A$5:$A$2271)+ROW()-4)</f>
        <v>5240</v>
      </c>
      <c r="B1294" s="620">
        <v>44530</v>
      </c>
      <c r="C1294" s="628">
        <v>44501</v>
      </c>
      <c r="D1294" s="548" t="s">
        <v>99</v>
      </c>
      <c r="E1294" s="548" t="s">
        <v>272</v>
      </c>
      <c r="F1294" s="622">
        <v>10.45</v>
      </c>
      <c r="G1294" s="623" t="s">
        <v>6489</v>
      </c>
      <c r="H1294" s="548" t="s">
        <v>114</v>
      </c>
      <c r="I1294" s="583" t="s">
        <v>949</v>
      </c>
      <c r="J1294" s="548" t="s">
        <v>950</v>
      </c>
      <c r="K1294" s="583" t="s">
        <v>951</v>
      </c>
      <c r="L1294" s="583" t="s">
        <v>947</v>
      </c>
      <c r="M1294" s="625" t="s">
        <v>114</v>
      </c>
      <c r="N1294" s="620">
        <v>44530</v>
      </c>
      <c r="O1294" s="684" t="s">
        <v>67</v>
      </c>
      <c r="P1294" s="503">
        <f t="shared" si="71"/>
        <v>11</v>
      </c>
      <c r="Q1294" s="503">
        <f t="shared" si="72"/>
        <v>11</v>
      </c>
      <c r="R1294" s="504" t="str">
        <f t="shared" si="73"/>
        <v>Gastos_Gerais</v>
      </c>
      <c r="S1294" s="504" t="str">
        <f>IF(D1294="","",IF(OR(D1294=Plano!$A$1,D1294=Plano!$B$1),"entrada","saída"))</f>
        <v>saída</v>
      </c>
      <c r="T1294" s="511" t="s">
        <v>114</v>
      </c>
      <c r="U1294" s="511" t="s">
        <v>114</v>
      </c>
      <c r="V1294" s="541"/>
    </row>
    <row r="1295" spans="1:22" ht="50.1" customHeight="1" x14ac:dyDescent="0.2">
      <c r="A1295" s="619">
        <f>IF(B1295="","",COUNT('Diário 5º PA'!$A$5:$A$2634)+COUNT('Diário 6º PA'!$A$5:$A$2246)+COUNT('Diário 7º PA'!$A$5:$A$2271)+ROW()-4)</f>
        <v>5241</v>
      </c>
      <c r="B1295" s="620">
        <v>44530</v>
      </c>
      <c r="C1295" s="628">
        <v>44501</v>
      </c>
      <c r="D1295" s="548" t="s">
        <v>99</v>
      </c>
      <c r="E1295" s="548" t="s">
        <v>272</v>
      </c>
      <c r="F1295" s="622">
        <v>10.45</v>
      </c>
      <c r="G1295" s="623" t="s">
        <v>6491</v>
      </c>
      <c r="H1295" s="548" t="s">
        <v>114</v>
      </c>
      <c r="I1295" s="583" t="s">
        <v>949</v>
      </c>
      <c r="J1295" s="548" t="s">
        <v>950</v>
      </c>
      <c r="K1295" s="583" t="s">
        <v>951</v>
      </c>
      <c r="L1295" s="583" t="s">
        <v>947</v>
      </c>
      <c r="M1295" s="625" t="s">
        <v>114</v>
      </c>
      <c r="N1295" s="620">
        <v>44530</v>
      </c>
      <c r="O1295" s="684" t="s">
        <v>67</v>
      </c>
      <c r="P1295" s="503">
        <f t="shared" si="71"/>
        <v>11</v>
      </c>
      <c r="Q1295" s="503">
        <f t="shared" si="72"/>
        <v>11</v>
      </c>
      <c r="R1295" s="504" t="str">
        <f t="shared" si="73"/>
        <v>Gastos_Gerais</v>
      </c>
      <c r="S1295" s="504" t="str">
        <f>IF(D1295="","",IF(OR(D1295=Plano!$A$1,D1295=Plano!$B$1),"entrada","saída"))</f>
        <v>saída</v>
      </c>
      <c r="T1295" s="511" t="s">
        <v>114</v>
      </c>
      <c r="U1295" s="511" t="s">
        <v>114</v>
      </c>
      <c r="V1295" s="541"/>
    </row>
    <row r="1296" spans="1:22" ht="50.1" customHeight="1" x14ac:dyDescent="0.2">
      <c r="A1296" s="619">
        <f>IF(B1296="","",COUNT('Diário 5º PA'!$A$5:$A$2634)+COUNT('Diário 6º PA'!$A$5:$A$2246)+COUNT('Diário 7º PA'!$A$5:$A$2271)+ROW()-4)</f>
        <v>5242</v>
      </c>
      <c r="B1296" s="620">
        <v>44530</v>
      </c>
      <c r="C1296" s="628">
        <v>44501</v>
      </c>
      <c r="D1296" s="548" t="s">
        <v>99</v>
      </c>
      <c r="E1296" s="548" t="s">
        <v>272</v>
      </c>
      <c r="F1296" s="622">
        <v>10.45</v>
      </c>
      <c r="G1296" s="623" t="s">
        <v>6492</v>
      </c>
      <c r="H1296" s="548" t="s">
        <v>114</v>
      </c>
      <c r="I1296" s="583" t="s">
        <v>949</v>
      </c>
      <c r="J1296" s="548" t="s">
        <v>950</v>
      </c>
      <c r="K1296" s="583" t="s">
        <v>951</v>
      </c>
      <c r="L1296" s="583" t="s">
        <v>947</v>
      </c>
      <c r="M1296" s="625" t="s">
        <v>114</v>
      </c>
      <c r="N1296" s="620">
        <v>44530</v>
      </c>
      <c r="O1296" s="684" t="s">
        <v>67</v>
      </c>
      <c r="P1296" s="503">
        <f t="shared" si="71"/>
        <v>11</v>
      </c>
      <c r="Q1296" s="503">
        <f t="shared" si="72"/>
        <v>11</v>
      </c>
      <c r="R1296" s="504" t="str">
        <f t="shared" si="73"/>
        <v>Gastos_Gerais</v>
      </c>
      <c r="S1296" s="504" t="str">
        <f>IF(D1296="","",IF(OR(D1296=Plano!$A$1,D1296=Plano!$B$1),"entrada","saída"))</f>
        <v>saída</v>
      </c>
      <c r="T1296" s="511" t="s">
        <v>114</v>
      </c>
      <c r="U1296" s="511" t="s">
        <v>114</v>
      </c>
      <c r="V1296" s="541"/>
    </row>
    <row r="1297" spans="1:22" ht="50.1" customHeight="1" x14ac:dyDescent="0.2">
      <c r="A1297" s="619">
        <f>IF(B1297="","",COUNT('Diário 5º PA'!$A$5:$A$2634)+COUNT('Diário 6º PA'!$A$5:$A$2246)+COUNT('Diário 7º PA'!$A$5:$A$2271)+ROW()-4)</f>
        <v>5243</v>
      </c>
      <c r="B1297" s="620">
        <v>44530</v>
      </c>
      <c r="C1297" s="628">
        <v>44501</v>
      </c>
      <c r="D1297" s="548" t="s">
        <v>99</v>
      </c>
      <c r="E1297" s="548" t="s">
        <v>272</v>
      </c>
      <c r="F1297" s="622">
        <v>10.45</v>
      </c>
      <c r="G1297" s="623" t="s">
        <v>6493</v>
      </c>
      <c r="H1297" s="548" t="s">
        <v>114</v>
      </c>
      <c r="I1297" s="583" t="s">
        <v>949</v>
      </c>
      <c r="J1297" s="548" t="s">
        <v>950</v>
      </c>
      <c r="K1297" s="583" t="s">
        <v>951</v>
      </c>
      <c r="L1297" s="583" t="s">
        <v>947</v>
      </c>
      <c r="M1297" s="625" t="s">
        <v>114</v>
      </c>
      <c r="N1297" s="620">
        <v>44530</v>
      </c>
      <c r="O1297" s="684" t="s">
        <v>67</v>
      </c>
      <c r="P1297" s="503">
        <f t="shared" si="71"/>
        <v>11</v>
      </c>
      <c r="Q1297" s="503">
        <f t="shared" si="72"/>
        <v>11</v>
      </c>
      <c r="R1297" s="504" t="str">
        <f t="shared" si="73"/>
        <v>Gastos_Gerais</v>
      </c>
      <c r="S1297" s="504" t="str">
        <f>IF(D1297="","",IF(OR(D1297=Plano!$A$1,D1297=Plano!$B$1),"entrada","saída"))</f>
        <v>saída</v>
      </c>
      <c r="T1297" s="511" t="s">
        <v>114</v>
      </c>
      <c r="U1297" s="511" t="s">
        <v>114</v>
      </c>
      <c r="V1297" s="541"/>
    </row>
    <row r="1298" spans="1:22" ht="50.1" customHeight="1" x14ac:dyDescent="0.2">
      <c r="A1298" s="619">
        <f>IF(B1298="","",COUNT('Diário 5º PA'!$A$5:$A$2634)+COUNT('Diário 6º PA'!$A$5:$A$2246)+COUNT('Diário 7º PA'!$A$5:$A$2271)+ROW()-4)</f>
        <v>5244</v>
      </c>
      <c r="B1298" s="620">
        <v>44530</v>
      </c>
      <c r="C1298" s="628">
        <v>44501</v>
      </c>
      <c r="D1298" s="548" t="s">
        <v>99</v>
      </c>
      <c r="E1298" s="548" t="s">
        <v>272</v>
      </c>
      <c r="F1298" s="622">
        <v>10.45</v>
      </c>
      <c r="G1298" s="623" t="s">
        <v>6489</v>
      </c>
      <c r="H1298" s="548" t="s">
        <v>114</v>
      </c>
      <c r="I1298" s="583" t="s">
        <v>949</v>
      </c>
      <c r="J1298" s="548" t="s">
        <v>950</v>
      </c>
      <c r="K1298" s="583" t="s">
        <v>951</v>
      </c>
      <c r="L1298" s="583" t="s">
        <v>947</v>
      </c>
      <c r="M1298" s="625" t="s">
        <v>114</v>
      </c>
      <c r="N1298" s="620">
        <v>44530</v>
      </c>
      <c r="O1298" s="684" t="s">
        <v>67</v>
      </c>
      <c r="P1298" s="503">
        <f t="shared" si="71"/>
        <v>11</v>
      </c>
      <c r="Q1298" s="503">
        <f t="shared" si="72"/>
        <v>11</v>
      </c>
      <c r="R1298" s="504" t="str">
        <f t="shared" si="73"/>
        <v>Gastos_Gerais</v>
      </c>
      <c r="S1298" s="504" t="str">
        <f>IF(D1298="","",IF(OR(D1298=Plano!$A$1,D1298=Plano!$B$1),"entrada","saída"))</f>
        <v>saída</v>
      </c>
      <c r="T1298" s="511" t="s">
        <v>114</v>
      </c>
      <c r="U1298" s="511" t="s">
        <v>114</v>
      </c>
      <c r="V1298" s="541"/>
    </row>
    <row r="1299" spans="1:22" ht="50.1" customHeight="1" x14ac:dyDescent="0.2">
      <c r="A1299" s="619">
        <f>IF(B1299="","",COUNT('Diário 5º PA'!$A$5:$A$2634)+COUNT('Diário 6º PA'!$A$5:$A$2246)+COUNT('Diário 7º PA'!$A$5:$A$2271)+ROW()-4)</f>
        <v>5245</v>
      </c>
      <c r="B1299" s="620">
        <v>44530</v>
      </c>
      <c r="C1299" s="628">
        <v>44501</v>
      </c>
      <c r="D1299" s="548" t="s">
        <v>99</v>
      </c>
      <c r="E1299" s="548" t="s">
        <v>272</v>
      </c>
      <c r="F1299" s="622">
        <v>10.45</v>
      </c>
      <c r="G1299" s="623" t="s">
        <v>6485</v>
      </c>
      <c r="H1299" s="548" t="s">
        <v>114</v>
      </c>
      <c r="I1299" s="583" t="s">
        <v>949</v>
      </c>
      <c r="J1299" s="548" t="s">
        <v>950</v>
      </c>
      <c r="K1299" s="583" t="s">
        <v>951</v>
      </c>
      <c r="L1299" s="583" t="s">
        <v>947</v>
      </c>
      <c r="M1299" s="625" t="s">
        <v>114</v>
      </c>
      <c r="N1299" s="620">
        <v>44530</v>
      </c>
      <c r="O1299" s="684" t="s">
        <v>67</v>
      </c>
      <c r="P1299" s="503">
        <f t="shared" si="71"/>
        <v>11</v>
      </c>
      <c r="Q1299" s="503">
        <f t="shared" si="72"/>
        <v>11</v>
      </c>
      <c r="R1299" s="504" t="str">
        <f t="shared" si="73"/>
        <v>Gastos_Gerais</v>
      </c>
      <c r="S1299" s="504" t="str">
        <f>IF(D1299="","",IF(OR(D1299=Plano!$A$1,D1299=Plano!$B$1),"entrada","saída"))</f>
        <v>saída</v>
      </c>
      <c r="T1299" s="511" t="s">
        <v>114</v>
      </c>
      <c r="U1299" s="511" t="s">
        <v>114</v>
      </c>
      <c r="V1299" s="541"/>
    </row>
    <row r="1300" spans="1:22" ht="50.1" customHeight="1" x14ac:dyDescent="0.2">
      <c r="A1300" s="619">
        <f>IF(B1300="","",COUNT('Diário 5º PA'!$A$5:$A$2634)+COUNT('Diário 6º PA'!$A$5:$A$2246)+COUNT('Diário 7º PA'!$A$5:$A$2271)+ROW()-4)</f>
        <v>5246</v>
      </c>
      <c r="B1300" s="620">
        <v>44530</v>
      </c>
      <c r="C1300" s="628">
        <v>44501</v>
      </c>
      <c r="D1300" s="548" t="s">
        <v>99</v>
      </c>
      <c r="E1300" s="548" t="s">
        <v>272</v>
      </c>
      <c r="F1300" s="622">
        <v>10.45</v>
      </c>
      <c r="G1300" s="623" t="s">
        <v>6494</v>
      </c>
      <c r="H1300" s="548" t="s">
        <v>114</v>
      </c>
      <c r="I1300" s="583" t="s">
        <v>949</v>
      </c>
      <c r="J1300" s="548" t="s">
        <v>950</v>
      </c>
      <c r="K1300" s="583" t="s">
        <v>951</v>
      </c>
      <c r="L1300" s="583" t="s">
        <v>947</v>
      </c>
      <c r="M1300" s="625" t="s">
        <v>114</v>
      </c>
      <c r="N1300" s="620">
        <v>44530</v>
      </c>
      <c r="O1300" s="684" t="s">
        <v>67</v>
      </c>
      <c r="P1300" s="503">
        <f t="shared" si="71"/>
        <v>11</v>
      </c>
      <c r="Q1300" s="503">
        <f t="shared" si="72"/>
        <v>11</v>
      </c>
      <c r="R1300" s="504" t="str">
        <f t="shared" si="73"/>
        <v>Gastos_Gerais</v>
      </c>
      <c r="S1300" s="504" t="str">
        <f>IF(D1300="","",IF(OR(D1300=Plano!$A$1,D1300=Plano!$B$1),"entrada","saída"))</f>
        <v>saída</v>
      </c>
      <c r="T1300" s="511" t="s">
        <v>114</v>
      </c>
      <c r="U1300" s="511" t="s">
        <v>114</v>
      </c>
      <c r="V1300" s="541"/>
    </row>
    <row r="1301" spans="1:22" ht="50.1" customHeight="1" x14ac:dyDescent="0.2">
      <c r="A1301" s="619">
        <f>IF(B1301="","",COUNT('Diário 5º PA'!$A$5:$A$2634)+COUNT('Diário 6º PA'!$A$5:$A$2246)+COUNT('Diário 7º PA'!$A$5:$A$2271)+ROW()-4)</f>
        <v>5247</v>
      </c>
      <c r="B1301" s="620">
        <v>44530</v>
      </c>
      <c r="C1301" s="628">
        <v>44501</v>
      </c>
      <c r="D1301" s="548" t="s">
        <v>99</v>
      </c>
      <c r="E1301" s="548" t="s">
        <v>272</v>
      </c>
      <c r="F1301" s="622">
        <v>10.45</v>
      </c>
      <c r="G1301" s="623" t="s">
        <v>6495</v>
      </c>
      <c r="H1301" s="548" t="s">
        <v>114</v>
      </c>
      <c r="I1301" s="583" t="s">
        <v>949</v>
      </c>
      <c r="J1301" s="548" t="s">
        <v>950</v>
      </c>
      <c r="K1301" s="583" t="s">
        <v>951</v>
      </c>
      <c r="L1301" s="583" t="s">
        <v>947</v>
      </c>
      <c r="M1301" s="625" t="s">
        <v>114</v>
      </c>
      <c r="N1301" s="620">
        <v>44530</v>
      </c>
      <c r="O1301" s="684" t="s">
        <v>67</v>
      </c>
      <c r="P1301" s="503">
        <f t="shared" si="71"/>
        <v>11</v>
      </c>
      <c r="Q1301" s="503">
        <f t="shared" si="72"/>
        <v>11</v>
      </c>
      <c r="R1301" s="504" t="str">
        <f t="shared" si="73"/>
        <v>Gastos_Gerais</v>
      </c>
      <c r="S1301" s="504" t="str">
        <f>IF(D1301="","",IF(OR(D1301=Plano!$A$1,D1301=Plano!$B$1),"entrada","saída"))</f>
        <v>saída</v>
      </c>
      <c r="T1301" s="511" t="s">
        <v>114</v>
      </c>
      <c r="U1301" s="511" t="s">
        <v>114</v>
      </c>
      <c r="V1301" s="541"/>
    </row>
    <row r="1302" spans="1:22" ht="50.1" customHeight="1" x14ac:dyDescent="0.2">
      <c r="A1302" s="619">
        <f>IF(B1302="","",COUNT('Diário 5º PA'!$A$5:$A$2634)+COUNT('Diário 6º PA'!$A$5:$A$2246)+COUNT('Diário 7º PA'!$A$5:$A$2271)+ROW()-4)</f>
        <v>5248</v>
      </c>
      <c r="B1302" s="620">
        <v>44530</v>
      </c>
      <c r="C1302" s="628">
        <v>44501</v>
      </c>
      <c r="D1302" s="548" t="s">
        <v>99</v>
      </c>
      <c r="E1302" s="548" t="s">
        <v>272</v>
      </c>
      <c r="F1302" s="622">
        <v>10.45</v>
      </c>
      <c r="G1302" s="623" t="s">
        <v>6487</v>
      </c>
      <c r="H1302" s="548" t="s">
        <v>114</v>
      </c>
      <c r="I1302" s="583" t="s">
        <v>949</v>
      </c>
      <c r="J1302" s="548" t="s">
        <v>950</v>
      </c>
      <c r="K1302" s="583" t="s">
        <v>951</v>
      </c>
      <c r="L1302" s="583" t="s">
        <v>947</v>
      </c>
      <c r="M1302" s="625" t="s">
        <v>114</v>
      </c>
      <c r="N1302" s="620">
        <v>44530</v>
      </c>
      <c r="O1302" s="684" t="s">
        <v>67</v>
      </c>
      <c r="P1302" s="503">
        <f t="shared" si="71"/>
        <v>11</v>
      </c>
      <c r="Q1302" s="503">
        <f t="shared" si="72"/>
        <v>11</v>
      </c>
      <c r="R1302" s="504" t="str">
        <f t="shared" si="73"/>
        <v>Gastos_Gerais</v>
      </c>
      <c r="S1302" s="504" t="str">
        <f>IF(D1302="","",IF(OR(D1302=Plano!$A$1,D1302=Plano!$B$1),"entrada","saída"))</f>
        <v>saída</v>
      </c>
      <c r="T1302" s="511" t="s">
        <v>114</v>
      </c>
      <c r="U1302" s="511" t="s">
        <v>114</v>
      </c>
      <c r="V1302" s="541"/>
    </row>
    <row r="1303" spans="1:22" ht="50.1" customHeight="1" x14ac:dyDescent="0.2">
      <c r="A1303" s="619">
        <f>IF(B1303="","",COUNT('Diário 5º PA'!$A$5:$A$2634)+COUNT('Diário 6º PA'!$A$5:$A$2246)+COUNT('Diário 7º PA'!$A$5:$A$2271)+ROW()-4)</f>
        <v>5249</v>
      </c>
      <c r="B1303" s="620">
        <v>44530</v>
      </c>
      <c r="C1303" s="628">
        <v>44501</v>
      </c>
      <c r="D1303" s="548" t="s">
        <v>99</v>
      </c>
      <c r="E1303" s="548" t="s">
        <v>272</v>
      </c>
      <c r="F1303" s="622">
        <v>10.45</v>
      </c>
      <c r="G1303" s="623" t="s">
        <v>6489</v>
      </c>
      <c r="H1303" s="548" t="s">
        <v>114</v>
      </c>
      <c r="I1303" s="583" t="s">
        <v>949</v>
      </c>
      <c r="J1303" s="548" t="s">
        <v>950</v>
      </c>
      <c r="K1303" s="583" t="s">
        <v>951</v>
      </c>
      <c r="L1303" s="583" t="s">
        <v>947</v>
      </c>
      <c r="M1303" s="625" t="s">
        <v>114</v>
      </c>
      <c r="N1303" s="620">
        <v>44530</v>
      </c>
      <c r="O1303" s="684" t="s">
        <v>67</v>
      </c>
      <c r="P1303" s="503">
        <f t="shared" si="71"/>
        <v>11</v>
      </c>
      <c r="Q1303" s="503">
        <f t="shared" si="72"/>
        <v>11</v>
      </c>
      <c r="R1303" s="504" t="str">
        <f t="shared" si="73"/>
        <v>Gastos_Gerais</v>
      </c>
      <c r="S1303" s="504" t="str">
        <f>IF(D1303="","",IF(OR(D1303=Plano!$A$1,D1303=Plano!$B$1),"entrada","saída"))</f>
        <v>saída</v>
      </c>
      <c r="T1303" s="511" t="s">
        <v>114</v>
      </c>
      <c r="U1303" s="511" t="s">
        <v>114</v>
      </c>
      <c r="V1303" s="541"/>
    </row>
    <row r="1304" spans="1:22" ht="50.1" customHeight="1" x14ac:dyDescent="0.2">
      <c r="A1304" s="619">
        <f>IF(B1304="","",COUNT('Diário 5º PA'!$A$5:$A$2634)+COUNT('Diário 6º PA'!$A$5:$A$2246)+COUNT('Diário 7º PA'!$A$5:$A$2271)+ROW()-4)</f>
        <v>5250</v>
      </c>
      <c r="B1304" s="620">
        <v>44530</v>
      </c>
      <c r="C1304" s="628">
        <v>44501</v>
      </c>
      <c r="D1304" s="548" t="s">
        <v>99</v>
      </c>
      <c r="E1304" s="548" t="s">
        <v>272</v>
      </c>
      <c r="F1304" s="622">
        <v>10.45</v>
      </c>
      <c r="G1304" s="623" t="s">
        <v>6496</v>
      </c>
      <c r="H1304" s="548" t="s">
        <v>114</v>
      </c>
      <c r="I1304" s="583" t="s">
        <v>949</v>
      </c>
      <c r="J1304" s="548" t="s">
        <v>950</v>
      </c>
      <c r="K1304" s="583" t="s">
        <v>951</v>
      </c>
      <c r="L1304" s="583" t="s">
        <v>947</v>
      </c>
      <c r="M1304" s="625" t="s">
        <v>114</v>
      </c>
      <c r="N1304" s="620">
        <v>44530</v>
      </c>
      <c r="O1304" s="684" t="s">
        <v>67</v>
      </c>
      <c r="P1304" s="503">
        <f t="shared" si="71"/>
        <v>11</v>
      </c>
      <c r="Q1304" s="503">
        <f t="shared" si="72"/>
        <v>11</v>
      </c>
      <c r="R1304" s="504" t="str">
        <f t="shared" si="73"/>
        <v>Gastos_Gerais</v>
      </c>
      <c r="S1304" s="504" t="str">
        <f>IF(D1304="","",IF(OR(D1304=Plano!$A$1,D1304=Plano!$B$1),"entrada","saída"))</f>
        <v>saída</v>
      </c>
      <c r="T1304" s="511" t="s">
        <v>114</v>
      </c>
      <c r="U1304" s="511" t="s">
        <v>114</v>
      </c>
      <c r="V1304" s="541"/>
    </row>
    <row r="1305" spans="1:22" ht="50.1" customHeight="1" x14ac:dyDescent="0.2">
      <c r="A1305" s="619">
        <f>IF(B1305="","",COUNT('Diário 5º PA'!$A$5:$A$2634)+COUNT('Diário 6º PA'!$A$5:$A$2246)+COUNT('Diário 7º PA'!$A$5:$A$2271)+ROW()-4)</f>
        <v>5251</v>
      </c>
      <c r="B1305" s="620">
        <v>44530</v>
      </c>
      <c r="C1305" s="628">
        <v>44501</v>
      </c>
      <c r="D1305" s="548" t="s">
        <v>99</v>
      </c>
      <c r="E1305" s="548" t="s">
        <v>272</v>
      </c>
      <c r="F1305" s="622">
        <v>10.45</v>
      </c>
      <c r="G1305" s="623" t="s">
        <v>6485</v>
      </c>
      <c r="H1305" s="548" t="s">
        <v>114</v>
      </c>
      <c r="I1305" s="583" t="s">
        <v>949</v>
      </c>
      <c r="J1305" s="548" t="s">
        <v>950</v>
      </c>
      <c r="K1305" s="583" t="s">
        <v>951</v>
      </c>
      <c r="L1305" s="583" t="s">
        <v>947</v>
      </c>
      <c r="M1305" s="625" t="s">
        <v>114</v>
      </c>
      <c r="N1305" s="620">
        <v>44530</v>
      </c>
      <c r="O1305" s="684" t="s">
        <v>67</v>
      </c>
      <c r="P1305" s="503">
        <f t="shared" si="71"/>
        <v>11</v>
      </c>
      <c r="Q1305" s="503">
        <f t="shared" si="72"/>
        <v>11</v>
      </c>
      <c r="R1305" s="504" t="str">
        <f t="shared" si="73"/>
        <v>Gastos_Gerais</v>
      </c>
      <c r="S1305" s="504" t="str">
        <f>IF(D1305="","",IF(OR(D1305=Plano!$A$1,D1305=Plano!$B$1),"entrada","saída"))</f>
        <v>saída</v>
      </c>
      <c r="T1305" s="511" t="s">
        <v>114</v>
      </c>
      <c r="U1305" s="511" t="s">
        <v>114</v>
      </c>
      <c r="V1305" s="541"/>
    </row>
    <row r="1306" spans="1:22" ht="50.1" customHeight="1" x14ac:dyDescent="0.2">
      <c r="A1306" s="619">
        <f>IF(B1306="","",COUNT('Diário 5º PA'!$A$5:$A$2634)+COUNT('Diário 6º PA'!$A$5:$A$2246)+COUNT('Diário 7º PA'!$A$5:$A$2271)+ROW()-4)</f>
        <v>5252</v>
      </c>
      <c r="B1306" s="620">
        <v>44530</v>
      </c>
      <c r="C1306" s="628">
        <v>44501</v>
      </c>
      <c r="D1306" s="548" t="s">
        <v>99</v>
      </c>
      <c r="E1306" s="548" t="s">
        <v>272</v>
      </c>
      <c r="F1306" s="622">
        <v>10.45</v>
      </c>
      <c r="G1306" s="623" t="s">
        <v>6485</v>
      </c>
      <c r="H1306" s="548" t="s">
        <v>114</v>
      </c>
      <c r="I1306" s="583" t="s">
        <v>949</v>
      </c>
      <c r="J1306" s="548" t="s">
        <v>950</v>
      </c>
      <c r="K1306" s="583" t="s">
        <v>951</v>
      </c>
      <c r="L1306" s="583" t="s">
        <v>947</v>
      </c>
      <c r="M1306" s="625" t="s">
        <v>114</v>
      </c>
      <c r="N1306" s="620">
        <v>44530</v>
      </c>
      <c r="O1306" s="684" t="s">
        <v>67</v>
      </c>
      <c r="P1306" s="503">
        <f t="shared" si="71"/>
        <v>11</v>
      </c>
      <c r="Q1306" s="503">
        <f t="shared" si="72"/>
        <v>11</v>
      </c>
      <c r="R1306" s="504" t="str">
        <f t="shared" si="73"/>
        <v>Gastos_Gerais</v>
      </c>
      <c r="S1306" s="504" t="str">
        <f>IF(D1306="","",IF(OR(D1306=Plano!$A$1,D1306=Plano!$B$1),"entrada","saída"))</f>
        <v>saída</v>
      </c>
      <c r="T1306" s="511" t="s">
        <v>114</v>
      </c>
      <c r="U1306" s="511" t="s">
        <v>114</v>
      </c>
      <c r="V1306" s="541"/>
    </row>
    <row r="1307" spans="1:22" ht="50.1" customHeight="1" x14ac:dyDescent="0.2">
      <c r="A1307" s="619">
        <f>IF(B1307="","",COUNT('Diário 5º PA'!$A$5:$A$2634)+COUNT('Diário 6º PA'!$A$5:$A$2246)+COUNT('Diário 7º PA'!$A$5:$A$2271)+ROW()-4)</f>
        <v>5253</v>
      </c>
      <c r="B1307" s="620">
        <v>44530</v>
      </c>
      <c r="C1307" s="628">
        <v>44501</v>
      </c>
      <c r="D1307" s="548" t="s">
        <v>99</v>
      </c>
      <c r="E1307" s="548" t="s">
        <v>272</v>
      </c>
      <c r="F1307" s="622">
        <v>10.45</v>
      </c>
      <c r="G1307" s="623" t="s">
        <v>6485</v>
      </c>
      <c r="H1307" s="548" t="s">
        <v>114</v>
      </c>
      <c r="I1307" s="583" t="s">
        <v>949</v>
      </c>
      <c r="J1307" s="548" t="s">
        <v>950</v>
      </c>
      <c r="K1307" s="583" t="s">
        <v>951</v>
      </c>
      <c r="L1307" s="583" t="s">
        <v>947</v>
      </c>
      <c r="M1307" s="625" t="s">
        <v>114</v>
      </c>
      <c r="N1307" s="620">
        <v>44530</v>
      </c>
      <c r="O1307" s="684" t="s">
        <v>67</v>
      </c>
      <c r="P1307" s="503">
        <f t="shared" si="71"/>
        <v>11</v>
      </c>
      <c r="Q1307" s="503">
        <f t="shared" si="72"/>
        <v>11</v>
      </c>
      <c r="R1307" s="504" t="str">
        <f t="shared" si="73"/>
        <v>Gastos_Gerais</v>
      </c>
      <c r="S1307" s="504" t="str">
        <f>IF(D1307="","",IF(OR(D1307=Plano!$A$1,D1307=Plano!$B$1),"entrada","saída"))</f>
        <v>saída</v>
      </c>
      <c r="T1307" s="511" t="s">
        <v>114</v>
      </c>
      <c r="U1307" s="511" t="s">
        <v>114</v>
      </c>
      <c r="V1307" s="541"/>
    </row>
    <row r="1308" spans="1:22" ht="50.1" customHeight="1" x14ac:dyDescent="0.2">
      <c r="A1308" s="619">
        <f>IF(B1308="","",COUNT('Diário 5º PA'!$A$5:$A$2634)+COUNT('Diário 6º PA'!$A$5:$A$2246)+COUNT('Diário 7º PA'!$A$5:$A$2271)+ROW()-4)</f>
        <v>5254</v>
      </c>
      <c r="B1308" s="620">
        <v>44530</v>
      </c>
      <c r="C1308" s="628">
        <v>44501</v>
      </c>
      <c r="D1308" s="548" t="s">
        <v>99</v>
      </c>
      <c r="E1308" s="548" t="s">
        <v>272</v>
      </c>
      <c r="F1308" s="622">
        <v>10.45</v>
      </c>
      <c r="G1308" s="623" t="s">
        <v>6485</v>
      </c>
      <c r="H1308" s="548" t="s">
        <v>114</v>
      </c>
      <c r="I1308" s="583" t="s">
        <v>949</v>
      </c>
      <c r="J1308" s="548" t="s">
        <v>950</v>
      </c>
      <c r="K1308" s="583" t="s">
        <v>951</v>
      </c>
      <c r="L1308" s="583" t="s">
        <v>947</v>
      </c>
      <c r="M1308" s="625" t="s">
        <v>114</v>
      </c>
      <c r="N1308" s="620">
        <v>44530</v>
      </c>
      <c r="O1308" s="684" t="s">
        <v>67</v>
      </c>
      <c r="P1308" s="503">
        <f t="shared" si="71"/>
        <v>11</v>
      </c>
      <c r="Q1308" s="503">
        <f t="shared" si="72"/>
        <v>11</v>
      </c>
      <c r="R1308" s="504" t="str">
        <f t="shared" si="73"/>
        <v>Gastos_Gerais</v>
      </c>
      <c r="S1308" s="504" t="str">
        <f>IF(D1308="","",IF(OR(D1308=Plano!$A$1,D1308=Plano!$B$1),"entrada","saída"))</f>
        <v>saída</v>
      </c>
      <c r="T1308" s="511" t="s">
        <v>114</v>
      </c>
      <c r="U1308" s="511" t="s">
        <v>114</v>
      </c>
      <c r="V1308" s="541"/>
    </row>
    <row r="1309" spans="1:22" ht="50.1" customHeight="1" x14ac:dyDescent="0.2">
      <c r="A1309" s="619">
        <f>IF(B1309="","",COUNT('Diário 5º PA'!$A$5:$A$2634)+COUNT('Diário 6º PA'!$A$5:$A$2246)+COUNT('Diário 7º PA'!$A$5:$A$2271)+ROW()-4)</f>
        <v>5255</v>
      </c>
      <c r="B1309" s="620">
        <v>44530</v>
      </c>
      <c r="C1309" s="628">
        <v>44501</v>
      </c>
      <c r="D1309" s="548" t="s">
        <v>99</v>
      </c>
      <c r="E1309" s="548" t="s">
        <v>272</v>
      </c>
      <c r="F1309" s="622">
        <v>10.45</v>
      </c>
      <c r="G1309" s="623" t="s">
        <v>6487</v>
      </c>
      <c r="H1309" s="548" t="s">
        <v>114</v>
      </c>
      <c r="I1309" s="583" t="s">
        <v>949</v>
      </c>
      <c r="J1309" s="548" t="s">
        <v>950</v>
      </c>
      <c r="K1309" s="583" t="s">
        <v>951</v>
      </c>
      <c r="L1309" s="583" t="s">
        <v>947</v>
      </c>
      <c r="M1309" s="625" t="s">
        <v>114</v>
      </c>
      <c r="N1309" s="620">
        <v>44530</v>
      </c>
      <c r="O1309" s="684" t="s">
        <v>67</v>
      </c>
      <c r="P1309" s="503">
        <f t="shared" si="71"/>
        <v>11</v>
      </c>
      <c r="Q1309" s="503">
        <f t="shared" si="72"/>
        <v>11</v>
      </c>
      <c r="R1309" s="504" t="str">
        <f t="shared" si="73"/>
        <v>Gastos_Gerais</v>
      </c>
      <c r="S1309" s="504" t="str">
        <f>IF(D1309="","",IF(OR(D1309=Plano!$A$1,D1309=Plano!$B$1),"entrada","saída"))</f>
        <v>saída</v>
      </c>
      <c r="T1309" s="511" t="s">
        <v>114</v>
      </c>
      <c r="U1309" s="511" t="s">
        <v>114</v>
      </c>
      <c r="V1309" s="541"/>
    </row>
    <row r="1310" spans="1:22" ht="50.1" customHeight="1" x14ac:dyDescent="0.2">
      <c r="A1310" s="619">
        <f>IF(B1310="","",COUNT('Diário 5º PA'!$A$5:$A$2634)+COUNT('Diário 6º PA'!$A$5:$A$2246)+COUNT('Diário 7º PA'!$A$5:$A$2271)+ROW()-4)</f>
        <v>5256</v>
      </c>
      <c r="B1310" s="620">
        <v>44530</v>
      </c>
      <c r="C1310" s="628">
        <v>44501</v>
      </c>
      <c r="D1310" s="548" t="s">
        <v>99</v>
      </c>
      <c r="E1310" s="548" t="s">
        <v>272</v>
      </c>
      <c r="F1310" s="622">
        <v>10.45</v>
      </c>
      <c r="G1310" s="623" t="s">
        <v>6489</v>
      </c>
      <c r="H1310" s="548" t="s">
        <v>114</v>
      </c>
      <c r="I1310" s="583" t="s">
        <v>949</v>
      </c>
      <c r="J1310" s="548" t="s">
        <v>950</v>
      </c>
      <c r="K1310" s="583" t="s">
        <v>951</v>
      </c>
      <c r="L1310" s="583" t="s">
        <v>947</v>
      </c>
      <c r="M1310" s="625" t="s">
        <v>114</v>
      </c>
      <c r="N1310" s="620">
        <v>44530</v>
      </c>
      <c r="O1310" s="684" t="s">
        <v>67</v>
      </c>
      <c r="P1310" s="503">
        <f t="shared" si="71"/>
        <v>11</v>
      </c>
      <c r="Q1310" s="503">
        <f t="shared" si="72"/>
        <v>11</v>
      </c>
      <c r="R1310" s="504" t="str">
        <f t="shared" si="73"/>
        <v>Gastos_Gerais</v>
      </c>
      <c r="S1310" s="504" t="str">
        <f>IF(D1310="","",IF(OR(D1310=Plano!$A$1,D1310=Plano!$B$1),"entrada","saída"))</f>
        <v>saída</v>
      </c>
      <c r="T1310" s="511" t="s">
        <v>114</v>
      </c>
      <c r="U1310" s="511" t="s">
        <v>114</v>
      </c>
      <c r="V1310" s="541"/>
    </row>
    <row r="1311" spans="1:22" ht="50.1" customHeight="1" x14ac:dyDescent="0.2">
      <c r="A1311" s="619">
        <f>IF(B1311="","",COUNT('Diário 5º PA'!$A$5:$A$2634)+COUNT('Diário 6º PA'!$A$5:$A$2246)+COUNT('Diário 7º PA'!$A$5:$A$2271)+ROW()-4)</f>
        <v>5257</v>
      </c>
      <c r="B1311" s="620">
        <v>44530</v>
      </c>
      <c r="C1311" s="628">
        <v>44501</v>
      </c>
      <c r="D1311" s="548" t="s">
        <v>99</v>
      </c>
      <c r="E1311" s="548" t="s">
        <v>272</v>
      </c>
      <c r="F1311" s="622">
        <v>10.45</v>
      </c>
      <c r="G1311" s="623" t="s">
        <v>6497</v>
      </c>
      <c r="H1311" s="548" t="s">
        <v>114</v>
      </c>
      <c r="I1311" s="583" t="s">
        <v>949</v>
      </c>
      <c r="J1311" s="548" t="s">
        <v>950</v>
      </c>
      <c r="K1311" s="583" t="s">
        <v>951</v>
      </c>
      <c r="L1311" s="583" t="s">
        <v>947</v>
      </c>
      <c r="M1311" s="625" t="s">
        <v>114</v>
      </c>
      <c r="N1311" s="620">
        <v>44530</v>
      </c>
      <c r="O1311" s="684" t="s">
        <v>67</v>
      </c>
      <c r="P1311" s="503">
        <f t="shared" si="71"/>
        <v>11</v>
      </c>
      <c r="Q1311" s="503">
        <f t="shared" si="72"/>
        <v>11</v>
      </c>
      <c r="R1311" s="504" t="str">
        <f t="shared" si="73"/>
        <v>Gastos_Gerais</v>
      </c>
      <c r="S1311" s="504" t="str">
        <f>IF(D1311="","",IF(OR(D1311=Plano!$A$1,D1311=Plano!$B$1),"entrada","saída"))</f>
        <v>saída</v>
      </c>
      <c r="T1311" s="511" t="s">
        <v>114</v>
      </c>
      <c r="U1311" s="511" t="s">
        <v>114</v>
      </c>
      <c r="V1311" s="541"/>
    </row>
    <row r="1312" spans="1:22" ht="50.1" customHeight="1" x14ac:dyDescent="0.2">
      <c r="A1312" s="619">
        <f>IF(B1312="","",COUNT('Diário 5º PA'!$A$5:$A$2634)+COUNT('Diário 6º PA'!$A$5:$A$2246)+COUNT('Diário 7º PA'!$A$5:$A$2271)+ROW()-4)</f>
        <v>5258</v>
      </c>
      <c r="B1312" s="620">
        <v>44530</v>
      </c>
      <c r="C1312" s="628">
        <v>44501</v>
      </c>
      <c r="D1312" s="548" t="s">
        <v>99</v>
      </c>
      <c r="E1312" s="548" t="s">
        <v>272</v>
      </c>
      <c r="F1312" s="622">
        <v>10.45</v>
      </c>
      <c r="G1312" s="623" t="s">
        <v>6498</v>
      </c>
      <c r="H1312" s="548" t="s">
        <v>114</v>
      </c>
      <c r="I1312" s="583" t="s">
        <v>949</v>
      </c>
      <c r="J1312" s="548" t="s">
        <v>950</v>
      </c>
      <c r="K1312" s="583" t="s">
        <v>951</v>
      </c>
      <c r="L1312" s="583" t="s">
        <v>947</v>
      </c>
      <c r="M1312" s="625" t="s">
        <v>114</v>
      </c>
      <c r="N1312" s="620">
        <v>44530</v>
      </c>
      <c r="O1312" s="684" t="s">
        <v>67</v>
      </c>
      <c r="P1312" s="503">
        <f t="shared" si="71"/>
        <v>11</v>
      </c>
      <c r="Q1312" s="503">
        <f t="shared" si="72"/>
        <v>11</v>
      </c>
      <c r="R1312" s="504" t="str">
        <f t="shared" si="73"/>
        <v>Gastos_Gerais</v>
      </c>
      <c r="S1312" s="504" t="str">
        <f>IF(D1312="","",IF(OR(D1312=Plano!$A$1,D1312=Plano!$B$1),"entrada","saída"))</f>
        <v>saída</v>
      </c>
      <c r="T1312" s="511" t="s">
        <v>114</v>
      </c>
      <c r="U1312" s="511" t="s">
        <v>114</v>
      </c>
      <c r="V1312" s="541"/>
    </row>
    <row r="1313" spans="1:22" ht="50.1" customHeight="1" x14ac:dyDescent="0.2">
      <c r="A1313" s="619">
        <f>IF(B1313="","",COUNT('Diário 5º PA'!$A$5:$A$2634)+COUNT('Diário 6º PA'!$A$5:$A$2246)+COUNT('Diário 7º PA'!$A$5:$A$2271)+ROW()-4)</f>
        <v>5259</v>
      </c>
      <c r="B1313" s="620">
        <v>44530</v>
      </c>
      <c r="C1313" s="628">
        <v>44501</v>
      </c>
      <c r="D1313" s="548" t="s">
        <v>99</v>
      </c>
      <c r="E1313" s="548" t="s">
        <v>272</v>
      </c>
      <c r="F1313" s="622">
        <v>10.45</v>
      </c>
      <c r="G1313" s="623" t="s">
        <v>6499</v>
      </c>
      <c r="H1313" s="548" t="s">
        <v>114</v>
      </c>
      <c r="I1313" s="583" t="s">
        <v>949</v>
      </c>
      <c r="J1313" s="548" t="s">
        <v>950</v>
      </c>
      <c r="K1313" s="583" t="s">
        <v>951</v>
      </c>
      <c r="L1313" s="583" t="s">
        <v>947</v>
      </c>
      <c r="M1313" s="625" t="s">
        <v>114</v>
      </c>
      <c r="N1313" s="620">
        <v>44530</v>
      </c>
      <c r="O1313" s="684" t="s">
        <v>67</v>
      </c>
      <c r="P1313" s="503">
        <f t="shared" si="71"/>
        <v>11</v>
      </c>
      <c r="Q1313" s="503">
        <f t="shared" si="72"/>
        <v>11</v>
      </c>
      <c r="R1313" s="504" t="str">
        <f t="shared" si="73"/>
        <v>Gastos_Gerais</v>
      </c>
      <c r="S1313" s="504" t="str">
        <f>IF(D1313="","",IF(OR(D1313=Plano!$A$1,D1313=Plano!$B$1),"entrada","saída"))</f>
        <v>saída</v>
      </c>
      <c r="T1313" s="511" t="s">
        <v>114</v>
      </c>
      <c r="U1313" s="511" t="s">
        <v>114</v>
      </c>
      <c r="V1313" s="541"/>
    </row>
    <row r="1314" spans="1:22" ht="50.1" customHeight="1" x14ac:dyDescent="0.2">
      <c r="A1314" s="619">
        <f>IF(B1314="","",COUNT('Diário 5º PA'!$A$5:$A$2634)+COUNT('Diário 6º PA'!$A$5:$A$2246)+COUNT('Diário 7º PA'!$A$5:$A$2271)+ROW()-4)</f>
        <v>5260</v>
      </c>
      <c r="B1314" s="620">
        <v>44530</v>
      </c>
      <c r="C1314" s="628">
        <v>44501</v>
      </c>
      <c r="D1314" s="548" t="s">
        <v>99</v>
      </c>
      <c r="E1314" s="548" t="s">
        <v>272</v>
      </c>
      <c r="F1314" s="622">
        <v>10.45</v>
      </c>
      <c r="G1314" s="623" t="s">
        <v>6499</v>
      </c>
      <c r="H1314" s="548" t="s">
        <v>114</v>
      </c>
      <c r="I1314" s="583" t="s">
        <v>949</v>
      </c>
      <c r="J1314" s="548" t="s">
        <v>950</v>
      </c>
      <c r="K1314" s="583" t="s">
        <v>951</v>
      </c>
      <c r="L1314" s="583" t="s">
        <v>947</v>
      </c>
      <c r="M1314" s="625" t="s">
        <v>114</v>
      </c>
      <c r="N1314" s="620">
        <v>44530</v>
      </c>
      <c r="O1314" s="684" t="s">
        <v>67</v>
      </c>
      <c r="P1314" s="503">
        <f t="shared" si="71"/>
        <v>11</v>
      </c>
      <c r="Q1314" s="503">
        <f t="shared" si="72"/>
        <v>11</v>
      </c>
      <c r="R1314" s="504" t="str">
        <f t="shared" si="73"/>
        <v>Gastos_Gerais</v>
      </c>
      <c r="S1314" s="504" t="str">
        <f>IF(D1314="","",IF(OR(D1314=Plano!$A$1,D1314=Plano!$B$1),"entrada","saída"))</f>
        <v>saída</v>
      </c>
      <c r="T1314" s="511" t="s">
        <v>114</v>
      </c>
      <c r="U1314" s="511" t="s">
        <v>114</v>
      </c>
      <c r="V1314" s="541"/>
    </row>
    <row r="1315" spans="1:22" ht="50.1" customHeight="1" x14ac:dyDescent="0.2">
      <c r="A1315" s="619">
        <f>IF(B1315="","",COUNT('Diário 5º PA'!$A$5:$A$2634)+COUNT('Diário 6º PA'!$A$5:$A$2246)+COUNT('Diário 7º PA'!$A$5:$A$2271)+ROW()-4)</f>
        <v>5261</v>
      </c>
      <c r="B1315" s="620">
        <v>44530</v>
      </c>
      <c r="C1315" s="628">
        <v>44501</v>
      </c>
      <c r="D1315" s="548" t="s">
        <v>99</v>
      </c>
      <c r="E1315" s="548" t="s">
        <v>272</v>
      </c>
      <c r="F1315" s="622">
        <v>10.45</v>
      </c>
      <c r="G1315" s="623" t="s">
        <v>6489</v>
      </c>
      <c r="H1315" s="548" t="s">
        <v>114</v>
      </c>
      <c r="I1315" s="583" t="s">
        <v>949</v>
      </c>
      <c r="J1315" s="548" t="s">
        <v>950</v>
      </c>
      <c r="K1315" s="583" t="s">
        <v>951</v>
      </c>
      <c r="L1315" s="583" t="s">
        <v>947</v>
      </c>
      <c r="M1315" s="625" t="s">
        <v>114</v>
      </c>
      <c r="N1315" s="620">
        <v>44530</v>
      </c>
      <c r="O1315" s="684" t="s">
        <v>67</v>
      </c>
      <c r="P1315" s="503">
        <f t="shared" si="71"/>
        <v>11</v>
      </c>
      <c r="Q1315" s="503">
        <f t="shared" si="72"/>
        <v>11</v>
      </c>
      <c r="R1315" s="504" t="str">
        <f t="shared" si="73"/>
        <v>Gastos_Gerais</v>
      </c>
      <c r="S1315" s="504" t="str">
        <f>IF(D1315="","",IF(OR(D1315=Plano!$A$1,D1315=Plano!$B$1),"entrada","saída"))</f>
        <v>saída</v>
      </c>
      <c r="T1315" s="511" t="s">
        <v>114</v>
      </c>
      <c r="U1315" s="511" t="s">
        <v>114</v>
      </c>
      <c r="V1315" s="541"/>
    </row>
    <row r="1316" spans="1:22" ht="50.1" customHeight="1" x14ac:dyDescent="0.2">
      <c r="A1316" s="619">
        <f>IF(B1316="","",COUNT('Diário 5º PA'!$A$5:$A$2634)+COUNT('Diário 6º PA'!$A$5:$A$2246)+COUNT('Diário 7º PA'!$A$5:$A$2271)+ROW()-4)</f>
        <v>5262</v>
      </c>
      <c r="B1316" s="620">
        <v>44530</v>
      </c>
      <c r="C1316" s="628">
        <v>44501</v>
      </c>
      <c r="D1316" s="548" t="s">
        <v>99</v>
      </c>
      <c r="E1316" s="548" t="s">
        <v>272</v>
      </c>
      <c r="F1316" s="622">
        <v>10.45</v>
      </c>
      <c r="G1316" s="623" t="s">
        <v>6489</v>
      </c>
      <c r="H1316" s="548" t="s">
        <v>114</v>
      </c>
      <c r="I1316" s="583" t="s">
        <v>949</v>
      </c>
      <c r="J1316" s="548" t="s">
        <v>950</v>
      </c>
      <c r="K1316" s="583" t="s">
        <v>951</v>
      </c>
      <c r="L1316" s="583" t="s">
        <v>947</v>
      </c>
      <c r="M1316" s="625" t="s">
        <v>114</v>
      </c>
      <c r="N1316" s="620">
        <v>44530</v>
      </c>
      <c r="O1316" s="684" t="s">
        <v>67</v>
      </c>
      <c r="P1316" s="503">
        <f t="shared" si="71"/>
        <v>11</v>
      </c>
      <c r="Q1316" s="503">
        <f t="shared" si="72"/>
        <v>11</v>
      </c>
      <c r="R1316" s="504" t="str">
        <f t="shared" si="73"/>
        <v>Gastos_Gerais</v>
      </c>
      <c r="S1316" s="504" t="str">
        <f>IF(D1316="","",IF(OR(D1316=Plano!$A$1,D1316=Plano!$B$1),"entrada","saída"))</f>
        <v>saída</v>
      </c>
      <c r="T1316" s="511" t="s">
        <v>114</v>
      </c>
      <c r="U1316" s="511" t="s">
        <v>114</v>
      </c>
      <c r="V1316" s="541"/>
    </row>
    <row r="1317" spans="1:22" ht="50.1" customHeight="1" x14ac:dyDescent="0.2">
      <c r="A1317" s="619">
        <f>IF(B1317="","",COUNT('Diário 5º PA'!$A$5:$A$2634)+COUNT('Diário 6º PA'!$A$5:$A$2246)+COUNT('Diário 7º PA'!$A$5:$A$2271)+ROW()-4)</f>
        <v>5263</v>
      </c>
      <c r="B1317" s="620">
        <v>44530</v>
      </c>
      <c r="C1317" s="628">
        <v>44501</v>
      </c>
      <c r="D1317" s="548" t="s">
        <v>99</v>
      </c>
      <c r="E1317" s="548" t="s">
        <v>272</v>
      </c>
      <c r="F1317" s="622">
        <v>10.45</v>
      </c>
      <c r="G1317" s="623" t="s">
        <v>6485</v>
      </c>
      <c r="H1317" s="548" t="s">
        <v>114</v>
      </c>
      <c r="I1317" s="583" t="s">
        <v>949</v>
      </c>
      <c r="J1317" s="548" t="s">
        <v>950</v>
      </c>
      <c r="K1317" s="583" t="s">
        <v>951</v>
      </c>
      <c r="L1317" s="583" t="s">
        <v>947</v>
      </c>
      <c r="M1317" s="625" t="s">
        <v>114</v>
      </c>
      <c r="N1317" s="620">
        <v>44530</v>
      </c>
      <c r="O1317" s="684" t="s">
        <v>67</v>
      </c>
      <c r="P1317" s="503">
        <f t="shared" si="71"/>
        <v>11</v>
      </c>
      <c r="Q1317" s="503">
        <f t="shared" si="72"/>
        <v>11</v>
      </c>
      <c r="R1317" s="504" t="str">
        <f t="shared" si="73"/>
        <v>Gastos_Gerais</v>
      </c>
      <c r="S1317" s="504" t="str">
        <f>IF(D1317="","",IF(OR(D1317=Plano!$A$1,D1317=Plano!$B$1),"entrada","saída"))</f>
        <v>saída</v>
      </c>
      <c r="T1317" s="511" t="s">
        <v>114</v>
      </c>
      <c r="U1317" s="511" t="s">
        <v>114</v>
      </c>
      <c r="V1317" s="541"/>
    </row>
    <row r="1318" spans="1:22" ht="50.1" customHeight="1" x14ac:dyDescent="0.2">
      <c r="A1318" s="619">
        <f>IF(B1318="","",COUNT('Diário 5º PA'!$A$5:$A$2634)+COUNT('Diário 6º PA'!$A$5:$A$2246)+COUNT('Diário 7º PA'!$A$5:$A$2271)+ROW()-4)</f>
        <v>5264</v>
      </c>
      <c r="B1318" s="620">
        <v>44530</v>
      </c>
      <c r="C1318" s="628">
        <v>44501</v>
      </c>
      <c r="D1318" s="548" t="s">
        <v>99</v>
      </c>
      <c r="E1318" s="548" t="s">
        <v>272</v>
      </c>
      <c r="F1318" s="622">
        <v>10.45</v>
      </c>
      <c r="G1318" s="623" t="s">
        <v>6500</v>
      </c>
      <c r="H1318" s="548" t="s">
        <v>114</v>
      </c>
      <c r="I1318" s="583" t="s">
        <v>949</v>
      </c>
      <c r="J1318" s="548" t="s">
        <v>950</v>
      </c>
      <c r="K1318" s="583" t="s">
        <v>951</v>
      </c>
      <c r="L1318" s="583" t="s">
        <v>947</v>
      </c>
      <c r="M1318" s="625" t="s">
        <v>114</v>
      </c>
      <c r="N1318" s="620">
        <v>44530</v>
      </c>
      <c r="O1318" s="684" t="s">
        <v>67</v>
      </c>
      <c r="P1318" s="503">
        <f t="shared" si="71"/>
        <v>11</v>
      </c>
      <c r="Q1318" s="503">
        <f t="shared" si="72"/>
        <v>11</v>
      </c>
      <c r="R1318" s="504" t="str">
        <f t="shared" si="73"/>
        <v>Gastos_Gerais</v>
      </c>
      <c r="S1318" s="504" t="str">
        <f>IF(D1318="","",IF(OR(D1318=Plano!$A$1,D1318=Plano!$B$1),"entrada","saída"))</f>
        <v>saída</v>
      </c>
      <c r="T1318" s="511" t="s">
        <v>114</v>
      </c>
      <c r="U1318" s="511" t="s">
        <v>114</v>
      </c>
      <c r="V1318" s="541"/>
    </row>
    <row r="1319" spans="1:22" ht="50.1" customHeight="1" x14ac:dyDescent="0.2">
      <c r="A1319" s="619">
        <f>IF(B1319="","",COUNT('Diário 5º PA'!$A$5:$A$2634)+COUNT('Diário 6º PA'!$A$5:$A$2246)+COUNT('Diário 7º PA'!$A$5:$A$2271)+ROW()-4)</f>
        <v>5265</v>
      </c>
      <c r="B1319" s="620">
        <v>44530</v>
      </c>
      <c r="C1319" s="628">
        <v>44501</v>
      </c>
      <c r="D1319" s="548" t="s">
        <v>99</v>
      </c>
      <c r="E1319" s="548" t="s">
        <v>272</v>
      </c>
      <c r="F1319" s="622">
        <v>10.45</v>
      </c>
      <c r="G1319" s="623" t="s">
        <v>6501</v>
      </c>
      <c r="H1319" s="548" t="s">
        <v>114</v>
      </c>
      <c r="I1319" s="583" t="s">
        <v>949</v>
      </c>
      <c r="J1319" s="548" t="s">
        <v>950</v>
      </c>
      <c r="K1319" s="583" t="s">
        <v>951</v>
      </c>
      <c r="L1319" s="583" t="s">
        <v>947</v>
      </c>
      <c r="M1319" s="625" t="s">
        <v>114</v>
      </c>
      <c r="N1319" s="620">
        <v>44530</v>
      </c>
      <c r="O1319" s="684" t="s">
        <v>67</v>
      </c>
      <c r="P1319" s="503">
        <f t="shared" si="71"/>
        <v>11</v>
      </c>
      <c r="Q1319" s="503">
        <f t="shared" si="72"/>
        <v>11</v>
      </c>
      <c r="R1319" s="504" t="str">
        <f t="shared" si="73"/>
        <v>Gastos_Gerais</v>
      </c>
      <c r="S1319" s="504" t="str">
        <f>IF(D1319="","",IF(OR(D1319=Plano!$A$1,D1319=Plano!$B$1),"entrada","saída"))</f>
        <v>saída</v>
      </c>
      <c r="T1319" s="511" t="s">
        <v>114</v>
      </c>
      <c r="U1319" s="511" t="s">
        <v>114</v>
      </c>
      <c r="V1319" s="541"/>
    </row>
    <row r="1320" spans="1:22" ht="50.1" customHeight="1" x14ac:dyDescent="0.2">
      <c r="A1320" s="619">
        <f>IF(B1320="","",COUNT('Diário 5º PA'!$A$5:$A$2634)+COUNT('Diário 6º PA'!$A$5:$A$2246)+COUNT('Diário 7º PA'!$A$5:$A$2271)+ROW()-4)</f>
        <v>5266</v>
      </c>
      <c r="B1320" s="620">
        <v>44530</v>
      </c>
      <c r="C1320" s="628">
        <v>44501</v>
      </c>
      <c r="D1320" s="548" t="s">
        <v>99</v>
      </c>
      <c r="E1320" s="548" t="s">
        <v>272</v>
      </c>
      <c r="F1320" s="622">
        <v>10.45</v>
      </c>
      <c r="G1320" s="623" t="s">
        <v>6489</v>
      </c>
      <c r="H1320" s="548" t="s">
        <v>114</v>
      </c>
      <c r="I1320" s="583" t="s">
        <v>949</v>
      </c>
      <c r="J1320" s="548" t="s">
        <v>950</v>
      </c>
      <c r="K1320" s="583" t="s">
        <v>951</v>
      </c>
      <c r="L1320" s="583" t="s">
        <v>947</v>
      </c>
      <c r="M1320" s="625" t="s">
        <v>114</v>
      </c>
      <c r="N1320" s="620">
        <v>44530</v>
      </c>
      <c r="O1320" s="684" t="s">
        <v>67</v>
      </c>
      <c r="P1320" s="503">
        <f t="shared" si="71"/>
        <v>11</v>
      </c>
      <c r="Q1320" s="503">
        <f t="shared" si="72"/>
        <v>11</v>
      </c>
      <c r="R1320" s="504" t="str">
        <f t="shared" si="73"/>
        <v>Gastos_Gerais</v>
      </c>
      <c r="S1320" s="504" t="str">
        <f>IF(D1320="","",IF(OR(D1320=Plano!$A$1,D1320=Plano!$B$1),"entrada","saída"))</f>
        <v>saída</v>
      </c>
      <c r="T1320" s="511" t="s">
        <v>114</v>
      </c>
      <c r="U1320" s="511" t="s">
        <v>114</v>
      </c>
      <c r="V1320" s="541"/>
    </row>
    <row r="1321" spans="1:22" ht="50.1" customHeight="1" x14ac:dyDescent="0.2">
      <c r="A1321" s="619">
        <f>IF(B1321="","",COUNT('Diário 5º PA'!$A$5:$A$2634)+COUNT('Diário 6º PA'!$A$5:$A$2246)+COUNT('Diário 7º PA'!$A$5:$A$2271)+ROW()-4)</f>
        <v>5267</v>
      </c>
      <c r="B1321" s="620">
        <v>44530</v>
      </c>
      <c r="C1321" s="628">
        <v>44501</v>
      </c>
      <c r="D1321" s="548" t="s">
        <v>99</v>
      </c>
      <c r="E1321" s="548" t="s">
        <v>272</v>
      </c>
      <c r="F1321" s="622">
        <v>10.45</v>
      </c>
      <c r="G1321" s="623" t="s">
        <v>6501</v>
      </c>
      <c r="H1321" s="548" t="s">
        <v>114</v>
      </c>
      <c r="I1321" s="583" t="s">
        <v>949</v>
      </c>
      <c r="J1321" s="548" t="s">
        <v>950</v>
      </c>
      <c r="K1321" s="583" t="s">
        <v>951</v>
      </c>
      <c r="L1321" s="583" t="s">
        <v>947</v>
      </c>
      <c r="M1321" s="625" t="s">
        <v>114</v>
      </c>
      <c r="N1321" s="620">
        <v>44530</v>
      </c>
      <c r="O1321" s="684" t="s">
        <v>67</v>
      </c>
      <c r="P1321" s="503">
        <f t="shared" si="71"/>
        <v>11</v>
      </c>
      <c r="Q1321" s="503">
        <f t="shared" si="72"/>
        <v>11</v>
      </c>
      <c r="R1321" s="504" t="str">
        <f t="shared" si="73"/>
        <v>Gastos_Gerais</v>
      </c>
      <c r="S1321" s="504" t="str">
        <f>IF(D1321="","",IF(OR(D1321=Plano!$A$1,D1321=Plano!$B$1),"entrada","saída"))</f>
        <v>saída</v>
      </c>
      <c r="T1321" s="511" t="s">
        <v>114</v>
      </c>
      <c r="U1321" s="511" t="s">
        <v>114</v>
      </c>
      <c r="V1321" s="541"/>
    </row>
    <row r="1322" spans="1:22" ht="50.1" customHeight="1" x14ac:dyDescent="0.2">
      <c r="A1322" s="619">
        <f>IF(B1322="","",COUNT('Diário 5º PA'!$A$5:$A$2634)+COUNT('Diário 6º PA'!$A$5:$A$2246)+COUNT('Diário 7º PA'!$A$5:$A$2271)+ROW()-4)</f>
        <v>5268</v>
      </c>
      <c r="B1322" s="620">
        <v>44530</v>
      </c>
      <c r="C1322" s="628">
        <v>44501</v>
      </c>
      <c r="D1322" s="548" t="s">
        <v>99</v>
      </c>
      <c r="E1322" s="548" t="s">
        <v>272</v>
      </c>
      <c r="F1322" s="622">
        <v>10.45</v>
      </c>
      <c r="G1322" s="623" t="s">
        <v>6487</v>
      </c>
      <c r="H1322" s="548" t="s">
        <v>114</v>
      </c>
      <c r="I1322" s="583" t="s">
        <v>949</v>
      </c>
      <c r="J1322" s="548" t="s">
        <v>950</v>
      </c>
      <c r="K1322" s="583" t="s">
        <v>951</v>
      </c>
      <c r="L1322" s="583" t="s">
        <v>947</v>
      </c>
      <c r="M1322" s="625" t="s">
        <v>114</v>
      </c>
      <c r="N1322" s="620">
        <v>44530</v>
      </c>
      <c r="O1322" s="684" t="s">
        <v>67</v>
      </c>
      <c r="P1322" s="503">
        <f t="shared" si="71"/>
        <v>11</v>
      </c>
      <c r="Q1322" s="503">
        <f t="shared" si="72"/>
        <v>11</v>
      </c>
      <c r="R1322" s="504" t="str">
        <f t="shared" si="73"/>
        <v>Gastos_Gerais</v>
      </c>
      <c r="S1322" s="504" t="str">
        <f>IF(D1322="","",IF(OR(D1322=Plano!$A$1,D1322=Plano!$B$1),"entrada","saída"))</f>
        <v>saída</v>
      </c>
      <c r="T1322" s="511" t="s">
        <v>114</v>
      </c>
      <c r="U1322" s="511" t="s">
        <v>114</v>
      </c>
      <c r="V1322" s="541"/>
    </row>
    <row r="1323" spans="1:22" ht="50.1" customHeight="1" x14ac:dyDescent="0.2">
      <c r="A1323" s="619">
        <f>IF(B1323="","",COUNT('Diário 5º PA'!$A$5:$A$2634)+COUNT('Diário 6º PA'!$A$5:$A$2246)+COUNT('Diário 7º PA'!$A$5:$A$2271)+ROW()-4)</f>
        <v>5269</v>
      </c>
      <c r="B1323" s="620">
        <v>44530</v>
      </c>
      <c r="C1323" s="628">
        <v>44501</v>
      </c>
      <c r="D1323" s="548" t="s">
        <v>99</v>
      </c>
      <c r="E1323" s="548" t="s">
        <v>272</v>
      </c>
      <c r="F1323" s="622">
        <v>10.45</v>
      </c>
      <c r="G1323" s="623" t="s">
        <v>6077</v>
      </c>
      <c r="H1323" s="548" t="s">
        <v>114</v>
      </c>
      <c r="I1323" s="583" t="s">
        <v>949</v>
      </c>
      <c r="J1323" s="548" t="s">
        <v>950</v>
      </c>
      <c r="K1323" s="583" t="s">
        <v>951</v>
      </c>
      <c r="L1323" s="583" t="s">
        <v>947</v>
      </c>
      <c r="M1323" s="625" t="s">
        <v>114</v>
      </c>
      <c r="N1323" s="620">
        <v>44530</v>
      </c>
      <c r="O1323" s="684" t="s">
        <v>67</v>
      </c>
      <c r="P1323" s="503">
        <f t="shared" si="71"/>
        <v>11</v>
      </c>
      <c r="Q1323" s="503">
        <f t="shared" si="72"/>
        <v>11</v>
      </c>
      <c r="R1323" s="504" t="str">
        <f t="shared" si="73"/>
        <v>Gastos_Gerais</v>
      </c>
      <c r="S1323" s="504" t="str">
        <f>IF(D1323="","",IF(OR(D1323=Plano!$A$1,D1323=Plano!$B$1),"entrada","saída"))</f>
        <v>saída</v>
      </c>
      <c r="T1323" s="511" t="s">
        <v>114</v>
      </c>
      <c r="U1323" s="511" t="s">
        <v>114</v>
      </c>
      <c r="V1323" s="541"/>
    </row>
    <row r="1324" spans="1:22" ht="50.1" customHeight="1" x14ac:dyDescent="0.2">
      <c r="A1324" s="619">
        <f>IF(B1324="","",COUNT('Diário 5º PA'!$A$5:$A$2634)+COUNT('Diário 6º PA'!$A$5:$A$2246)+COUNT('Diário 7º PA'!$A$5:$A$2271)+ROW()-4)</f>
        <v>5270</v>
      </c>
      <c r="B1324" s="620">
        <v>44530</v>
      </c>
      <c r="C1324" s="628">
        <v>44501</v>
      </c>
      <c r="D1324" s="548" t="s">
        <v>99</v>
      </c>
      <c r="E1324" s="548" t="s">
        <v>272</v>
      </c>
      <c r="F1324" s="622">
        <v>10.45</v>
      </c>
      <c r="G1324" s="623" t="s">
        <v>6502</v>
      </c>
      <c r="H1324" s="548" t="s">
        <v>114</v>
      </c>
      <c r="I1324" s="583" t="s">
        <v>949</v>
      </c>
      <c r="J1324" s="548" t="s">
        <v>950</v>
      </c>
      <c r="K1324" s="583" t="s">
        <v>951</v>
      </c>
      <c r="L1324" s="583" t="s">
        <v>947</v>
      </c>
      <c r="M1324" s="625" t="s">
        <v>114</v>
      </c>
      <c r="N1324" s="620">
        <v>44530</v>
      </c>
      <c r="O1324" s="684" t="s">
        <v>67</v>
      </c>
      <c r="P1324" s="503">
        <f t="shared" si="71"/>
        <v>11</v>
      </c>
      <c r="Q1324" s="503">
        <f t="shared" si="72"/>
        <v>11</v>
      </c>
      <c r="R1324" s="504" t="str">
        <f t="shared" si="73"/>
        <v>Gastos_Gerais</v>
      </c>
      <c r="S1324" s="504" t="str">
        <f>IF(D1324="","",IF(OR(D1324=Plano!$A$1,D1324=Plano!$B$1),"entrada","saída"))</f>
        <v>saída</v>
      </c>
      <c r="T1324" s="511" t="s">
        <v>114</v>
      </c>
      <c r="U1324" s="511" t="s">
        <v>114</v>
      </c>
      <c r="V1324" s="541"/>
    </row>
    <row r="1325" spans="1:22" ht="50.1" customHeight="1" x14ac:dyDescent="0.2">
      <c r="A1325" s="619">
        <f>IF(B1325="","",COUNT('Diário 5º PA'!$A$5:$A$2634)+COUNT('Diário 6º PA'!$A$5:$A$2246)+COUNT('Diário 7º PA'!$A$5:$A$2271)+ROW()-4)</f>
        <v>5271</v>
      </c>
      <c r="B1325" s="620">
        <v>44530</v>
      </c>
      <c r="C1325" s="628">
        <v>44501</v>
      </c>
      <c r="D1325" s="548" t="s">
        <v>99</v>
      </c>
      <c r="E1325" s="548" t="s">
        <v>272</v>
      </c>
      <c r="F1325" s="622">
        <v>10.45</v>
      </c>
      <c r="G1325" s="623" t="s">
        <v>6503</v>
      </c>
      <c r="H1325" s="548" t="s">
        <v>114</v>
      </c>
      <c r="I1325" s="583" t="s">
        <v>949</v>
      </c>
      <c r="J1325" s="548" t="s">
        <v>950</v>
      </c>
      <c r="K1325" s="583" t="s">
        <v>951</v>
      </c>
      <c r="L1325" s="583" t="s">
        <v>947</v>
      </c>
      <c r="M1325" s="625" t="s">
        <v>114</v>
      </c>
      <c r="N1325" s="620">
        <v>44530</v>
      </c>
      <c r="O1325" s="684" t="s">
        <v>67</v>
      </c>
      <c r="P1325" s="503">
        <f t="shared" si="71"/>
        <v>11</v>
      </c>
      <c r="Q1325" s="503">
        <f t="shared" si="72"/>
        <v>11</v>
      </c>
      <c r="R1325" s="504" t="str">
        <f t="shared" si="73"/>
        <v>Gastos_Gerais</v>
      </c>
      <c r="S1325" s="504" t="str">
        <f>IF(D1325="","",IF(OR(D1325=Plano!$A$1,D1325=Plano!$B$1),"entrada","saída"))</f>
        <v>saída</v>
      </c>
      <c r="T1325" s="511" t="s">
        <v>114</v>
      </c>
      <c r="U1325" s="511" t="s">
        <v>114</v>
      </c>
      <c r="V1325" s="541"/>
    </row>
    <row r="1326" spans="1:22" ht="50.1" customHeight="1" x14ac:dyDescent="0.2">
      <c r="A1326" s="619">
        <f>IF(B1326="","",COUNT('Diário 5º PA'!$A$5:$A$2634)+COUNT('Diário 6º PA'!$A$5:$A$2246)+COUNT('Diário 7º PA'!$A$5:$A$2271)+ROW()-4)</f>
        <v>5272</v>
      </c>
      <c r="B1326" s="620">
        <v>44530</v>
      </c>
      <c r="C1326" s="628">
        <v>44501</v>
      </c>
      <c r="D1326" s="548" t="s">
        <v>99</v>
      </c>
      <c r="E1326" s="548" t="s">
        <v>272</v>
      </c>
      <c r="F1326" s="622">
        <v>10.45</v>
      </c>
      <c r="G1326" s="623" t="s">
        <v>6504</v>
      </c>
      <c r="H1326" s="548" t="s">
        <v>114</v>
      </c>
      <c r="I1326" s="583" t="s">
        <v>949</v>
      </c>
      <c r="J1326" s="548" t="s">
        <v>950</v>
      </c>
      <c r="K1326" s="583" t="s">
        <v>951</v>
      </c>
      <c r="L1326" s="583" t="s">
        <v>947</v>
      </c>
      <c r="M1326" s="625" t="s">
        <v>114</v>
      </c>
      <c r="N1326" s="620">
        <v>44530</v>
      </c>
      <c r="O1326" s="684" t="s">
        <v>67</v>
      </c>
      <c r="P1326" s="503">
        <f t="shared" si="71"/>
        <v>11</v>
      </c>
      <c r="Q1326" s="503">
        <f t="shared" si="72"/>
        <v>11</v>
      </c>
      <c r="R1326" s="504" t="str">
        <f t="shared" si="73"/>
        <v>Gastos_Gerais</v>
      </c>
      <c r="S1326" s="504" t="str">
        <f>IF(D1326="","",IF(OR(D1326=Plano!$A$1,D1326=Plano!$B$1),"entrada","saída"))</f>
        <v>saída</v>
      </c>
      <c r="T1326" s="511" t="s">
        <v>114</v>
      </c>
      <c r="U1326" s="511" t="s">
        <v>114</v>
      </c>
      <c r="V1326" s="541"/>
    </row>
    <row r="1327" spans="1:22" ht="50.1" customHeight="1" x14ac:dyDescent="0.2">
      <c r="A1327" s="619">
        <f>IF(B1327="","",COUNT('Diário 5º PA'!$A$5:$A$2634)+COUNT('Diário 6º PA'!$A$5:$A$2246)+COUNT('Diário 7º PA'!$A$5:$A$2271)+ROW()-4)</f>
        <v>5273</v>
      </c>
      <c r="B1327" s="620">
        <v>44530</v>
      </c>
      <c r="C1327" s="628">
        <v>44501</v>
      </c>
      <c r="D1327" s="548" t="s">
        <v>99</v>
      </c>
      <c r="E1327" s="548" t="s">
        <v>272</v>
      </c>
      <c r="F1327" s="622">
        <v>10.45</v>
      </c>
      <c r="G1327" s="623" t="s">
        <v>6483</v>
      </c>
      <c r="H1327" s="548" t="s">
        <v>114</v>
      </c>
      <c r="I1327" s="583" t="s">
        <v>949</v>
      </c>
      <c r="J1327" s="548" t="s">
        <v>950</v>
      </c>
      <c r="K1327" s="583" t="s">
        <v>951</v>
      </c>
      <c r="L1327" s="583" t="s">
        <v>947</v>
      </c>
      <c r="M1327" s="625" t="s">
        <v>114</v>
      </c>
      <c r="N1327" s="620">
        <v>44530</v>
      </c>
      <c r="O1327" s="684" t="s">
        <v>67</v>
      </c>
      <c r="P1327" s="503">
        <f t="shared" si="71"/>
        <v>11</v>
      </c>
      <c r="Q1327" s="503">
        <f t="shared" si="72"/>
        <v>11</v>
      </c>
      <c r="R1327" s="504" t="str">
        <f t="shared" si="73"/>
        <v>Gastos_Gerais</v>
      </c>
      <c r="S1327" s="504" t="str">
        <f>IF(D1327="","",IF(OR(D1327=Plano!$A$1,D1327=Plano!$B$1),"entrada","saída"))</f>
        <v>saída</v>
      </c>
      <c r="T1327" s="511" t="s">
        <v>114</v>
      </c>
      <c r="U1327" s="511" t="s">
        <v>114</v>
      </c>
      <c r="V1327" s="541"/>
    </row>
    <row r="1328" spans="1:22" ht="50.1" customHeight="1" x14ac:dyDescent="0.2">
      <c r="A1328" s="619">
        <f>IF(B1328="","",COUNT('Diário 5º PA'!$A$5:$A$2634)+COUNT('Diário 6º PA'!$A$5:$A$2246)+COUNT('Diário 7º PA'!$A$5:$A$2271)+ROW()-4)</f>
        <v>5274</v>
      </c>
      <c r="B1328" s="620">
        <v>44530</v>
      </c>
      <c r="C1328" s="628">
        <v>44501</v>
      </c>
      <c r="D1328" s="548" t="s">
        <v>99</v>
      </c>
      <c r="E1328" s="548" t="s">
        <v>272</v>
      </c>
      <c r="F1328" s="622">
        <v>10.45</v>
      </c>
      <c r="G1328" s="623" t="s">
        <v>6482</v>
      </c>
      <c r="H1328" s="548" t="s">
        <v>114</v>
      </c>
      <c r="I1328" s="583" t="s">
        <v>949</v>
      </c>
      <c r="J1328" s="548" t="s">
        <v>950</v>
      </c>
      <c r="K1328" s="583" t="s">
        <v>951</v>
      </c>
      <c r="L1328" s="583" t="s">
        <v>947</v>
      </c>
      <c r="M1328" s="625" t="s">
        <v>114</v>
      </c>
      <c r="N1328" s="620">
        <v>44530</v>
      </c>
      <c r="O1328" s="684" t="s">
        <v>67</v>
      </c>
      <c r="P1328" s="503">
        <f t="shared" si="71"/>
        <v>11</v>
      </c>
      <c r="Q1328" s="503">
        <f t="shared" si="72"/>
        <v>11</v>
      </c>
      <c r="R1328" s="504" t="str">
        <f t="shared" si="73"/>
        <v>Gastos_Gerais</v>
      </c>
      <c r="S1328" s="504" t="str">
        <f>IF(D1328="","",IF(OR(D1328=Plano!$A$1,D1328=Plano!$B$1),"entrada","saída"))</f>
        <v>saída</v>
      </c>
      <c r="T1328" s="511" t="s">
        <v>114</v>
      </c>
      <c r="U1328" s="511" t="s">
        <v>114</v>
      </c>
      <c r="V1328" s="541"/>
    </row>
    <row r="1329" spans="1:22" ht="50.1" customHeight="1" x14ac:dyDescent="0.2">
      <c r="A1329" s="619">
        <f>IF(B1329="","",COUNT('Diário 5º PA'!$A$5:$A$2634)+COUNT('Diário 6º PA'!$A$5:$A$2246)+COUNT('Diário 7º PA'!$A$5:$A$2271)+ROW()-4)</f>
        <v>5275</v>
      </c>
      <c r="B1329" s="620">
        <v>44530</v>
      </c>
      <c r="C1329" s="628">
        <v>44501</v>
      </c>
      <c r="D1329" s="548" t="s">
        <v>99</v>
      </c>
      <c r="E1329" s="548" t="s">
        <v>272</v>
      </c>
      <c r="F1329" s="622">
        <v>10.45</v>
      </c>
      <c r="G1329" s="623" t="s">
        <v>6482</v>
      </c>
      <c r="H1329" s="548" t="s">
        <v>114</v>
      </c>
      <c r="I1329" s="583" t="s">
        <v>949</v>
      </c>
      <c r="J1329" s="548" t="s">
        <v>950</v>
      </c>
      <c r="K1329" s="583" t="s">
        <v>951</v>
      </c>
      <c r="L1329" s="583" t="s">
        <v>947</v>
      </c>
      <c r="M1329" s="625" t="s">
        <v>114</v>
      </c>
      <c r="N1329" s="620">
        <v>44530</v>
      </c>
      <c r="O1329" s="684" t="s">
        <v>67</v>
      </c>
      <c r="P1329" s="503">
        <f t="shared" si="71"/>
        <v>11</v>
      </c>
      <c r="Q1329" s="503">
        <f t="shared" si="72"/>
        <v>11</v>
      </c>
      <c r="R1329" s="504" t="str">
        <f t="shared" si="73"/>
        <v>Gastos_Gerais</v>
      </c>
      <c r="S1329" s="504" t="str">
        <f>IF(D1329="","",IF(OR(D1329=Plano!$A$1,D1329=Plano!$B$1),"entrada","saída"))</f>
        <v>saída</v>
      </c>
      <c r="T1329" s="511" t="s">
        <v>114</v>
      </c>
      <c r="U1329" s="511" t="s">
        <v>114</v>
      </c>
      <c r="V1329" s="541"/>
    </row>
    <row r="1330" spans="1:22" ht="50.1" customHeight="1" x14ac:dyDescent="0.2">
      <c r="A1330" s="619">
        <f>IF(B1330="","",COUNT('Diário 5º PA'!$A$5:$A$2634)+COUNT('Diário 6º PA'!$A$5:$A$2246)+COUNT('Diário 7º PA'!$A$5:$A$2271)+ROW()-4)</f>
        <v>5276</v>
      </c>
      <c r="B1330" s="620">
        <v>44530</v>
      </c>
      <c r="C1330" s="628">
        <v>44501</v>
      </c>
      <c r="D1330" s="548" t="s">
        <v>85</v>
      </c>
      <c r="E1330" s="548" t="s">
        <v>85</v>
      </c>
      <c r="F1330" s="622">
        <v>10604.1</v>
      </c>
      <c r="G1330" s="623" t="s">
        <v>6505</v>
      </c>
      <c r="H1330" s="548" t="s">
        <v>114</v>
      </c>
      <c r="I1330" s="583" t="s">
        <v>945</v>
      </c>
      <c r="J1330" s="548" t="s">
        <v>850</v>
      </c>
      <c r="K1330" s="583" t="s">
        <v>946</v>
      </c>
      <c r="L1330" s="583" t="s">
        <v>947</v>
      </c>
      <c r="M1330" s="625" t="s">
        <v>114</v>
      </c>
      <c r="N1330" s="620">
        <v>44530</v>
      </c>
      <c r="O1330" s="684" t="s">
        <v>67</v>
      </c>
      <c r="P1330" s="503">
        <f t="shared" si="71"/>
        <v>11</v>
      </c>
      <c r="Q1330" s="503">
        <f t="shared" si="72"/>
        <v>11</v>
      </c>
      <c r="R1330" s="504" t="str">
        <f t="shared" si="73"/>
        <v>Rendimentos_de_Aplicações_Fin.</v>
      </c>
      <c r="S1330" s="504" t="str">
        <f>IF(D1330="","",IF(OR(D1330=Plano!$A$1,D1330=Plano!$B$1),"entrada","saída"))</f>
        <v>entrada</v>
      </c>
      <c r="T1330" s="511" t="s">
        <v>114</v>
      </c>
      <c r="U1330" s="511" t="s">
        <v>114</v>
      </c>
      <c r="V1330" s="541"/>
    </row>
    <row r="1331" spans="1:22" ht="50.1" customHeight="1" x14ac:dyDescent="0.2">
      <c r="A1331" s="619">
        <f>IF(B1331="","",COUNT('Diário 5º PA'!$A$5:$A$2634)+COUNT('Diário 6º PA'!$A$5:$A$2246)+COUNT('Diário 7º PA'!$A$5:$A$2271)+ROW()-4)</f>
        <v>5277</v>
      </c>
      <c r="B1331" s="620">
        <v>44530</v>
      </c>
      <c r="C1331" s="628">
        <v>44501</v>
      </c>
      <c r="D1331" s="548" t="s">
        <v>99</v>
      </c>
      <c r="E1331" s="548" t="s">
        <v>280</v>
      </c>
      <c r="F1331" s="622">
        <v>5444.33</v>
      </c>
      <c r="G1331" s="623" t="s">
        <v>6506</v>
      </c>
      <c r="H1331" s="548" t="s">
        <v>114</v>
      </c>
      <c r="I1331" s="583" t="s">
        <v>488</v>
      </c>
      <c r="J1331" s="548" t="s">
        <v>114</v>
      </c>
      <c r="K1331" s="583" t="s">
        <v>466</v>
      </c>
      <c r="L1331" s="583" t="s">
        <v>489</v>
      </c>
      <c r="M1331" s="619" t="s">
        <v>114</v>
      </c>
      <c r="N1331" s="620">
        <v>44530</v>
      </c>
      <c r="O1331" s="684" t="s">
        <v>67</v>
      </c>
      <c r="P1331" s="503">
        <f t="shared" si="71"/>
        <v>11</v>
      </c>
      <c r="Q1331" s="503">
        <f t="shared" si="72"/>
        <v>11</v>
      </c>
      <c r="R1331" s="504" t="str">
        <f t="shared" si="73"/>
        <v>Gastos_Gerais</v>
      </c>
      <c r="S1331" s="504" t="str">
        <f>IF(D1331="","",IF(OR(D1331=Plano!$A$1,D1331=Plano!$B$1),"entrada","saída"))</f>
        <v>saída</v>
      </c>
      <c r="T1331" s="511" t="s">
        <v>114</v>
      </c>
      <c r="U1331" s="511" t="s">
        <v>114</v>
      </c>
      <c r="V1331" s="541"/>
    </row>
    <row r="1332" spans="1:22" s="561" customFormat="1" ht="50.1" customHeight="1" x14ac:dyDescent="0.2">
      <c r="A1332" s="619">
        <f>IF(B1332="","",COUNT('Diário 5º PA'!$A$5:$A$2634)+COUNT('Diário 6º PA'!$A$5:$A$2246)+COUNT('Diário 7º PA'!$A$5:$A$2271)+ROW()-4)</f>
        <v>5278</v>
      </c>
      <c r="B1332" s="620">
        <v>44530</v>
      </c>
      <c r="C1332" s="624">
        <v>44501</v>
      </c>
      <c r="D1332" s="548" t="s">
        <v>104</v>
      </c>
      <c r="E1332" s="548" t="s">
        <v>104</v>
      </c>
      <c r="F1332" s="655">
        <v>516</v>
      </c>
      <c r="G1332" s="648" t="s">
        <v>7104</v>
      </c>
      <c r="H1332" s="548" t="s">
        <v>104</v>
      </c>
      <c r="I1332" s="627" t="s">
        <v>7098</v>
      </c>
      <c r="J1332" s="659" t="s">
        <v>7101</v>
      </c>
      <c r="K1332" s="583" t="s">
        <v>991</v>
      </c>
      <c r="L1332" s="583" t="s">
        <v>1901</v>
      </c>
      <c r="M1332" s="653">
        <v>1459</v>
      </c>
      <c r="N1332" s="656">
        <v>44525</v>
      </c>
      <c r="O1332" s="684" t="s">
        <v>5377</v>
      </c>
      <c r="P1332" s="503">
        <f t="shared" si="71"/>
        <v>11</v>
      </c>
      <c r="Q1332" s="503">
        <f t="shared" si="72"/>
        <v>11</v>
      </c>
      <c r="R1332" s="504" t="str">
        <f t="shared" si="73"/>
        <v>Gastos_custeados_por_captação</v>
      </c>
      <c r="S1332" s="504" t="str">
        <f>IF(D1332="","",IF(OR(D1332=Plano!$A$1,D1332=Plano!$B$1),"entrada","saída"))</f>
        <v>saída</v>
      </c>
      <c r="T1332" s="511" t="s">
        <v>994</v>
      </c>
      <c r="U1332" s="511">
        <v>2428</v>
      </c>
      <c r="V1332" s="541"/>
    </row>
    <row r="1333" spans="1:22" s="561" customFormat="1" ht="50.1" customHeight="1" x14ac:dyDescent="0.2">
      <c r="A1333" s="619">
        <f>IF(B1333="","",COUNT('Diário 5º PA'!$A$5:$A$2634)+COUNT('Diário 6º PA'!$A$5:$A$2246)+COUNT('Diário 7º PA'!$A$5:$A$2271)+ROW()-4)</f>
        <v>5279</v>
      </c>
      <c r="B1333" s="620">
        <v>44530</v>
      </c>
      <c r="C1333" s="624">
        <v>44501</v>
      </c>
      <c r="D1333" s="548" t="s">
        <v>104</v>
      </c>
      <c r="E1333" s="548" t="s">
        <v>104</v>
      </c>
      <c r="F1333" s="655">
        <v>840</v>
      </c>
      <c r="G1333" s="648" t="s">
        <v>7107</v>
      </c>
      <c r="H1333" s="548" t="s">
        <v>104</v>
      </c>
      <c r="I1333" s="627" t="s">
        <v>7099</v>
      </c>
      <c r="J1333" s="659" t="s">
        <v>7102</v>
      </c>
      <c r="K1333" s="583" t="s">
        <v>991</v>
      </c>
      <c r="L1333" s="583" t="s">
        <v>1901</v>
      </c>
      <c r="M1333" s="653">
        <v>1458</v>
      </c>
      <c r="N1333" s="656">
        <v>44525</v>
      </c>
      <c r="O1333" s="684" t="s">
        <v>5377</v>
      </c>
      <c r="P1333" s="503">
        <f t="shared" si="71"/>
        <v>11</v>
      </c>
      <c r="Q1333" s="503">
        <f t="shared" si="72"/>
        <v>11</v>
      </c>
      <c r="R1333" s="504" t="str">
        <f t="shared" si="73"/>
        <v>Gastos_custeados_por_captação</v>
      </c>
      <c r="S1333" s="504" t="str">
        <f>IF(D1333="","",IF(OR(D1333=Plano!$A$1,D1333=Plano!$B$1),"entrada","saída"))</f>
        <v>saída</v>
      </c>
      <c r="T1333" s="511" t="s">
        <v>994</v>
      </c>
      <c r="U1333" s="511">
        <v>2419</v>
      </c>
      <c r="V1333" s="541"/>
    </row>
    <row r="1334" spans="1:22" s="561" customFormat="1" ht="50.1" customHeight="1" x14ac:dyDescent="0.2">
      <c r="A1334" s="619">
        <f>IF(B1334="","",COUNT('Diário 5º PA'!$A$5:$A$2634)+COUNT('Diário 6º PA'!$A$5:$A$2246)+COUNT('Diário 7º PA'!$A$5:$A$2271)+ROW()-4)</f>
        <v>5280</v>
      </c>
      <c r="B1334" s="620">
        <v>44530</v>
      </c>
      <c r="C1334" s="624">
        <v>44501</v>
      </c>
      <c r="D1334" s="548" t="s">
        <v>104</v>
      </c>
      <c r="E1334" s="548" t="s">
        <v>104</v>
      </c>
      <c r="F1334" s="655">
        <v>1000</v>
      </c>
      <c r="G1334" s="648" t="s">
        <v>7110</v>
      </c>
      <c r="H1334" s="548" t="s">
        <v>104</v>
      </c>
      <c r="I1334" s="627" t="s">
        <v>7100</v>
      </c>
      <c r="J1334" s="659" t="s">
        <v>7103</v>
      </c>
      <c r="K1334" s="583" t="s">
        <v>991</v>
      </c>
      <c r="L1334" s="583" t="s">
        <v>992</v>
      </c>
      <c r="M1334" s="653">
        <v>35</v>
      </c>
      <c r="N1334" s="656">
        <v>44525</v>
      </c>
      <c r="O1334" s="684" t="s">
        <v>5377</v>
      </c>
      <c r="P1334" s="503">
        <f t="shared" si="71"/>
        <v>11</v>
      </c>
      <c r="Q1334" s="503">
        <f t="shared" si="72"/>
        <v>11</v>
      </c>
      <c r="R1334" s="504" t="str">
        <f t="shared" si="73"/>
        <v>Gastos_custeados_por_captação</v>
      </c>
      <c r="S1334" s="504" t="str">
        <f>IF(D1334="","",IF(OR(D1334=Plano!$A$1,D1334=Plano!$B$1),"entrada","saída"))</f>
        <v>saída</v>
      </c>
      <c r="T1334" s="511" t="s">
        <v>994</v>
      </c>
      <c r="U1334" s="511">
        <v>2423</v>
      </c>
      <c r="V1334" s="541"/>
    </row>
    <row r="1335" spans="1:22" s="561" customFormat="1" ht="50.1" customHeight="1" x14ac:dyDescent="0.2">
      <c r="A1335" s="619">
        <f>IF(B1335="","",COUNT('Diário 5º PA'!$A$5:$A$2634)+COUNT('Diário 6º PA'!$A$5:$A$2246)+COUNT('Diário 7º PA'!$A$5:$A$2271)+ROW()-4)</f>
        <v>5281</v>
      </c>
      <c r="B1335" s="620">
        <v>44530</v>
      </c>
      <c r="C1335" s="624">
        <v>44501</v>
      </c>
      <c r="D1335" s="548" t="s">
        <v>104</v>
      </c>
      <c r="E1335" s="548" t="s">
        <v>104</v>
      </c>
      <c r="F1335" s="622">
        <v>10.45</v>
      </c>
      <c r="G1335" s="623" t="s">
        <v>5451</v>
      </c>
      <c r="H1335" s="548" t="s">
        <v>104</v>
      </c>
      <c r="I1335" s="583" t="s">
        <v>949</v>
      </c>
      <c r="J1335" s="548" t="s">
        <v>950</v>
      </c>
      <c r="K1335" s="583" t="s">
        <v>951</v>
      </c>
      <c r="L1335" s="583" t="s">
        <v>947</v>
      </c>
      <c r="M1335" s="625" t="s">
        <v>114</v>
      </c>
      <c r="N1335" s="620">
        <v>44530</v>
      </c>
      <c r="O1335" s="684" t="s">
        <v>5377</v>
      </c>
      <c r="P1335" s="503">
        <f t="shared" si="71"/>
        <v>11</v>
      </c>
      <c r="Q1335" s="503">
        <f t="shared" si="72"/>
        <v>11</v>
      </c>
      <c r="R1335" s="504" t="str">
        <f t="shared" si="73"/>
        <v>Gastos_custeados_por_captação</v>
      </c>
      <c r="S1335" s="504" t="str">
        <f>IF(D1335="","",IF(OR(D1335=Plano!$A$1,D1335=Plano!$B$1),"entrada","saída"))</f>
        <v>saída</v>
      </c>
      <c r="T1335" s="511" t="s">
        <v>114</v>
      </c>
      <c r="U1335" s="511" t="s">
        <v>114</v>
      </c>
      <c r="V1335" s="541"/>
    </row>
    <row r="1336" spans="1:22" s="561" customFormat="1" ht="50.1" customHeight="1" x14ac:dyDescent="0.2">
      <c r="A1336" s="619">
        <f>IF(B1336="","",COUNT('Diário 5º PA'!$A$5:$A$2634)+COUNT('Diário 6º PA'!$A$5:$A$2246)+COUNT('Diário 7º PA'!$A$5:$A$2271)+ROW()-4)</f>
        <v>5282</v>
      </c>
      <c r="B1336" s="620">
        <v>44530</v>
      </c>
      <c r="C1336" s="624">
        <v>44501</v>
      </c>
      <c r="D1336" s="548" t="s">
        <v>104</v>
      </c>
      <c r="E1336" s="548" t="s">
        <v>104</v>
      </c>
      <c r="F1336" s="622">
        <v>10.45</v>
      </c>
      <c r="G1336" s="623" t="s">
        <v>5451</v>
      </c>
      <c r="H1336" s="548" t="s">
        <v>104</v>
      </c>
      <c r="I1336" s="583" t="s">
        <v>949</v>
      </c>
      <c r="J1336" s="548" t="s">
        <v>950</v>
      </c>
      <c r="K1336" s="583" t="s">
        <v>951</v>
      </c>
      <c r="L1336" s="583" t="s">
        <v>947</v>
      </c>
      <c r="M1336" s="625" t="s">
        <v>114</v>
      </c>
      <c r="N1336" s="620">
        <v>44530</v>
      </c>
      <c r="O1336" s="684" t="s">
        <v>5377</v>
      </c>
      <c r="P1336" s="503">
        <f t="shared" si="71"/>
        <v>11</v>
      </c>
      <c r="Q1336" s="503">
        <f t="shared" si="72"/>
        <v>11</v>
      </c>
      <c r="R1336" s="504" t="str">
        <f t="shared" si="73"/>
        <v>Gastos_custeados_por_captação</v>
      </c>
      <c r="S1336" s="504" t="str">
        <f>IF(D1336="","",IF(OR(D1336=Plano!$A$1,D1336=Plano!$B$1),"entrada","saída"))</f>
        <v>saída</v>
      </c>
      <c r="T1336" s="511" t="s">
        <v>114</v>
      </c>
      <c r="U1336" s="511" t="s">
        <v>114</v>
      </c>
      <c r="V1336" s="541"/>
    </row>
    <row r="1337" spans="1:22" s="561" customFormat="1" ht="50.1" customHeight="1" x14ac:dyDescent="0.2">
      <c r="A1337" s="619">
        <f>IF(B1337="","",COUNT('Diário 5º PA'!$A$5:$A$2634)+COUNT('Diário 6º PA'!$A$5:$A$2246)+COUNT('Diário 7º PA'!$A$5:$A$2271)+ROW()-4)</f>
        <v>5283</v>
      </c>
      <c r="B1337" s="620">
        <v>44530</v>
      </c>
      <c r="C1337" s="624">
        <v>44501</v>
      </c>
      <c r="D1337" s="548" t="s">
        <v>104</v>
      </c>
      <c r="E1337" s="548" t="s">
        <v>104</v>
      </c>
      <c r="F1337" s="622">
        <v>10.45</v>
      </c>
      <c r="G1337" s="623" t="s">
        <v>5451</v>
      </c>
      <c r="H1337" s="548" t="s">
        <v>104</v>
      </c>
      <c r="I1337" s="583" t="s">
        <v>949</v>
      </c>
      <c r="J1337" s="548" t="s">
        <v>950</v>
      </c>
      <c r="K1337" s="583" t="s">
        <v>951</v>
      </c>
      <c r="L1337" s="583" t="s">
        <v>947</v>
      </c>
      <c r="M1337" s="625" t="s">
        <v>114</v>
      </c>
      <c r="N1337" s="620">
        <v>44530</v>
      </c>
      <c r="O1337" s="684" t="s">
        <v>5377</v>
      </c>
      <c r="P1337" s="503">
        <f t="shared" si="71"/>
        <v>11</v>
      </c>
      <c r="Q1337" s="503">
        <f t="shared" si="72"/>
        <v>11</v>
      </c>
      <c r="R1337" s="504" t="str">
        <f t="shared" si="73"/>
        <v>Gastos_custeados_por_captação</v>
      </c>
      <c r="S1337" s="504" t="str">
        <f>IF(D1337="","",IF(OR(D1337=Plano!$A$1,D1337=Plano!$B$1),"entrada","saída"))</f>
        <v>saída</v>
      </c>
      <c r="T1337" s="511" t="s">
        <v>114</v>
      </c>
      <c r="U1337" s="511" t="s">
        <v>114</v>
      </c>
      <c r="V1337" s="541"/>
    </row>
    <row r="1338" spans="1:22" ht="60.75" customHeight="1" x14ac:dyDescent="0.2">
      <c r="A1338" s="619">
        <f>IF(B1338="","",COUNT('Diário 5º PA'!$A$5:$A$2634)+COUNT('Diário 6º PA'!$A$5:$A$2246)+COUNT('Diário 7º PA'!$A$5:$A$2271)+ROW()-4)</f>
        <v>5284</v>
      </c>
      <c r="B1338" s="620">
        <v>44531</v>
      </c>
      <c r="C1338" s="621">
        <v>44501</v>
      </c>
      <c r="D1338" s="548" t="s">
        <v>88</v>
      </c>
      <c r="E1338" s="548" t="s">
        <v>183</v>
      </c>
      <c r="F1338" s="622">
        <v>-13.87</v>
      </c>
      <c r="G1338" s="623" t="s">
        <v>984</v>
      </c>
      <c r="H1338" s="548" t="s">
        <v>114</v>
      </c>
      <c r="I1338" s="583" t="s">
        <v>983</v>
      </c>
      <c r="J1338" s="548" t="s">
        <v>850</v>
      </c>
      <c r="K1338" s="583" t="s">
        <v>946</v>
      </c>
      <c r="L1338" s="583" t="s">
        <v>947</v>
      </c>
      <c r="M1338" s="619" t="s">
        <v>114</v>
      </c>
      <c r="N1338" s="620">
        <v>44531</v>
      </c>
      <c r="O1338" s="684" t="s">
        <v>67</v>
      </c>
      <c r="P1338" s="503">
        <f t="shared" si="71"/>
        <v>12</v>
      </c>
      <c r="Q1338" s="503">
        <f t="shared" si="72"/>
        <v>11</v>
      </c>
      <c r="R1338" s="504" t="str">
        <f t="shared" si="73"/>
        <v>Gastos_com_Pessoal</v>
      </c>
      <c r="S1338" s="504" t="str">
        <f>IF(D1338="","",IF(OR(D1338=Plano!$A$1,D1338=Plano!$B$1),"entrada","saída"))</f>
        <v>saída</v>
      </c>
      <c r="T1338" s="505" t="s">
        <v>114</v>
      </c>
      <c r="U1338" s="505" t="s">
        <v>114</v>
      </c>
      <c r="V1338" s="541"/>
    </row>
    <row r="1339" spans="1:22" ht="50.1" customHeight="1" x14ac:dyDescent="0.2">
      <c r="A1339" s="619">
        <f>IF(B1339="","",COUNT('Diário 5º PA'!$A$5:$A$2634)+COUNT('Diário 6º PA'!$A$5:$A$2246)+COUNT('Diário 7º PA'!$A$5:$A$2271)+ROW()-4)</f>
        <v>5285</v>
      </c>
      <c r="B1339" s="620">
        <v>44531</v>
      </c>
      <c r="C1339" s="621">
        <v>44501</v>
      </c>
      <c r="D1339" s="548" t="s">
        <v>88</v>
      </c>
      <c r="E1339" s="548" t="s">
        <v>198</v>
      </c>
      <c r="F1339" s="622">
        <v>-23.2</v>
      </c>
      <c r="G1339" s="623" t="s">
        <v>5574</v>
      </c>
      <c r="H1339" s="548" t="s">
        <v>114</v>
      </c>
      <c r="I1339" s="583" t="s">
        <v>983</v>
      </c>
      <c r="J1339" s="548" t="s">
        <v>850</v>
      </c>
      <c r="K1339" s="583" t="s">
        <v>946</v>
      </c>
      <c r="L1339" s="583" t="s">
        <v>947</v>
      </c>
      <c r="M1339" s="619" t="s">
        <v>114</v>
      </c>
      <c r="N1339" s="620">
        <v>44531</v>
      </c>
      <c r="O1339" s="684" t="s">
        <v>67</v>
      </c>
      <c r="P1339" s="503">
        <f t="shared" si="71"/>
        <v>12</v>
      </c>
      <c r="Q1339" s="503">
        <f t="shared" si="72"/>
        <v>11</v>
      </c>
      <c r="R1339" s="504" t="str">
        <f t="shared" si="73"/>
        <v>Gastos_com_Pessoal</v>
      </c>
      <c r="S1339" s="504" t="str">
        <f>IF(D1339="","",IF(OR(D1339=Plano!$A$1,D1339=Plano!$B$1),"entrada","saída"))</f>
        <v>saída</v>
      </c>
      <c r="T1339" s="505" t="s">
        <v>114</v>
      </c>
      <c r="U1339" s="505" t="s">
        <v>114</v>
      </c>
      <c r="V1339" s="541"/>
    </row>
    <row r="1340" spans="1:22" ht="50.1" customHeight="1" x14ac:dyDescent="0.2">
      <c r="A1340" s="619">
        <f>IF(B1340="","",COUNT('Diário 5º PA'!$A$5:$A$2634)+COUNT('Diário 6º PA'!$A$5:$A$2246)+COUNT('Diário 7º PA'!$A$5:$A$2271)+ROW()-4)</f>
        <v>5286</v>
      </c>
      <c r="B1340" s="620">
        <v>44531</v>
      </c>
      <c r="C1340" s="621">
        <v>44501</v>
      </c>
      <c r="D1340" s="548" t="s">
        <v>88</v>
      </c>
      <c r="E1340" s="548" t="s">
        <v>198</v>
      </c>
      <c r="F1340" s="622">
        <v>-23.2</v>
      </c>
      <c r="G1340" s="623" t="s">
        <v>982</v>
      </c>
      <c r="H1340" s="548" t="s">
        <v>114</v>
      </c>
      <c r="I1340" s="583" t="s">
        <v>983</v>
      </c>
      <c r="J1340" s="548" t="s">
        <v>850</v>
      </c>
      <c r="K1340" s="583" t="s">
        <v>946</v>
      </c>
      <c r="L1340" s="583" t="s">
        <v>947</v>
      </c>
      <c r="M1340" s="619" t="s">
        <v>114</v>
      </c>
      <c r="N1340" s="620">
        <v>44531</v>
      </c>
      <c r="O1340" s="684" t="s">
        <v>67</v>
      </c>
      <c r="P1340" s="503">
        <f t="shared" si="71"/>
        <v>12</v>
      </c>
      <c r="Q1340" s="503">
        <f t="shared" si="72"/>
        <v>11</v>
      </c>
      <c r="R1340" s="504" t="str">
        <f t="shared" si="73"/>
        <v>Gastos_com_Pessoal</v>
      </c>
      <c r="S1340" s="504" t="str">
        <f>IF(D1340="","",IF(OR(D1340=Plano!$A$1,D1340=Plano!$B$1),"entrada","saída"))</f>
        <v>saída</v>
      </c>
      <c r="T1340" s="505" t="s">
        <v>114</v>
      </c>
      <c r="U1340" s="505" t="s">
        <v>114</v>
      </c>
      <c r="V1340" s="541"/>
    </row>
    <row r="1341" spans="1:22" ht="60" customHeight="1" x14ac:dyDescent="0.2">
      <c r="A1341" s="619">
        <f>IF(B1341="","",COUNT('Diário 5º PA'!$A$5:$A$2634)+COUNT('Diário 6º PA'!$A$5:$A$2246)+COUNT('Diário 7º PA'!$A$5:$A$2271)+ROW()-4)</f>
        <v>5287</v>
      </c>
      <c r="B1341" s="620">
        <v>44531</v>
      </c>
      <c r="C1341" s="621">
        <v>44501</v>
      </c>
      <c r="D1341" s="548" t="s">
        <v>88</v>
      </c>
      <c r="E1341" s="548" t="s">
        <v>198</v>
      </c>
      <c r="F1341" s="622">
        <v>-116</v>
      </c>
      <c r="G1341" s="623" t="s">
        <v>987</v>
      </c>
      <c r="H1341" s="548" t="s">
        <v>114</v>
      </c>
      <c r="I1341" s="583" t="s">
        <v>983</v>
      </c>
      <c r="J1341" s="548" t="s">
        <v>850</v>
      </c>
      <c r="K1341" s="583" t="s">
        <v>946</v>
      </c>
      <c r="L1341" s="583" t="s">
        <v>947</v>
      </c>
      <c r="M1341" s="619" t="s">
        <v>114</v>
      </c>
      <c r="N1341" s="620">
        <v>44531</v>
      </c>
      <c r="O1341" s="684" t="s">
        <v>67</v>
      </c>
      <c r="P1341" s="503">
        <f t="shared" si="71"/>
        <v>12</v>
      </c>
      <c r="Q1341" s="503">
        <f t="shared" si="72"/>
        <v>11</v>
      </c>
      <c r="R1341" s="504" t="str">
        <f t="shared" si="73"/>
        <v>Gastos_com_Pessoal</v>
      </c>
      <c r="S1341" s="504" t="str">
        <f>IF(D1341="","",IF(OR(D1341=Plano!$A$1,D1341=Plano!$B$1),"entrada","saída"))</f>
        <v>saída</v>
      </c>
      <c r="T1341" s="505" t="s">
        <v>114</v>
      </c>
      <c r="U1341" s="505" t="s">
        <v>114</v>
      </c>
      <c r="V1341" s="541"/>
    </row>
    <row r="1342" spans="1:22" ht="68.25" customHeight="1" x14ac:dyDescent="0.2">
      <c r="A1342" s="619">
        <f>IF(B1342="","",COUNT('Diário 5º PA'!$A$5:$A$2634)+COUNT('Diário 6º PA'!$A$5:$A$2246)+COUNT('Diário 7º PA'!$A$5:$A$2271)+ROW()-4)</f>
        <v>5288</v>
      </c>
      <c r="B1342" s="620">
        <v>44531</v>
      </c>
      <c r="C1342" s="621">
        <v>44501</v>
      </c>
      <c r="D1342" s="548" t="s">
        <v>88</v>
      </c>
      <c r="E1342" s="548" t="s">
        <v>183</v>
      </c>
      <c r="F1342" s="622">
        <v>-97.09</v>
      </c>
      <c r="G1342" s="623" t="s">
        <v>986</v>
      </c>
      <c r="H1342" s="548" t="s">
        <v>114</v>
      </c>
      <c r="I1342" s="583" t="s">
        <v>983</v>
      </c>
      <c r="J1342" s="548" t="s">
        <v>850</v>
      </c>
      <c r="K1342" s="583" t="s">
        <v>946</v>
      </c>
      <c r="L1342" s="583" t="s">
        <v>947</v>
      </c>
      <c r="M1342" s="619" t="s">
        <v>114</v>
      </c>
      <c r="N1342" s="620">
        <v>44531</v>
      </c>
      <c r="O1342" s="684" t="s">
        <v>67</v>
      </c>
      <c r="P1342" s="503">
        <f t="shared" si="71"/>
        <v>12</v>
      </c>
      <c r="Q1342" s="503">
        <f t="shared" si="72"/>
        <v>11</v>
      </c>
      <c r="R1342" s="504" t="str">
        <f t="shared" si="73"/>
        <v>Gastos_com_Pessoal</v>
      </c>
      <c r="S1342" s="504" t="str">
        <f>IF(D1342="","",IF(OR(D1342=Plano!$A$1,D1342=Plano!$B$1),"entrada","saída"))</f>
        <v>saída</v>
      </c>
      <c r="T1342" s="505" t="s">
        <v>114</v>
      </c>
      <c r="U1342" s="505" t="s">
        <v>114</v>
      </c>
      <c r="V1342" s="541"/>
    </row>
    <row r="1343" spans="1:22" ht="50.1" customHeight="1" x14ac:dyDescent="0.2">
      <c r="A1343" s="619">
        <f>IF(B1343="","",COUNT('Diário 5º PA'!$A$5:$A$2634)+COUNT('Diário 6º PA'!$A$5:$A$2246)+COUNT('Diário 7º PA'!$A$5:$A$2271)+ROW()-4)</f>
        <v>5289</v>
      </c>
      <c r="B1343" s="620">
        <v>44531</v>
      </c>
      <c r="C1343" s="621">
        <v>44501</v>
      </c>
      <c r="D1343" s="548" t="s">
        <v>88</v>
      </c>
      <c r="E1343" s="548" t="s">
        <v>198</v>
      </c>
      <c r="F1343" s="622">
        <v>1531.19</v>
      </c>
      <c r="G1343" s="623" t="s">
        <v>533</v>
      </c>
      <c r="H1343" s="548" t="s">
        <v>114</v>
      </c>
      <c r="I1343" s="583" t="s">
        <v>534</v>
      </c>
      <c r="J1343" s="548" t="s">
        <v>535</v>
      </c>
      <c r="K1343" s="583" t="s">
        <v>560</v>
      </c>
      <c r="L1343" s="583" t="s">
        <v>697</v>
      </c>
      <c r="M1343" s="619">
        <v>8134322</v>
      </c>
      <c r="N1343" s="620">
        <v>44515</v>
      </c>
      <c r="O1343" s="684" t="s">
        <v>67</v>
      </c>
      <c r="P1343" s="503">
        <f t="shared" si="71"/>
        <v>12</v>
      </c>
      <c r="Q1343" s="503">
        <f t="shared" si="72"/>
        <v>11</v>
      </c>
      <c r="R1343" s="504" t="str">
        <f t="shared" si="73"/>
        <v>Gastos_com_Pessoal</v>
      </c>
      <c r="S1343" s="504" t="str">
        <f>IF(D1343="","",IF(OR(D1343=Plano!$A$1,D1343=Plano!$B$1),"entrada","saída"))</f>
        <v>saída</v>
      </c>
      <c r="T1343" s="511" t="s">
        <v>114</v>
      </c>
      <c r="U1343" s="511" t="s">
        <v>114</v>
      </c>
      <c r="V1343" s="541"/>
    </row>
    <row r="1344" spans="1:22" ht="50.1" customHeight="1" x14ac:dyDescent="0.2">
      <c r="A1344" s="619">
        <f>IF(B1344="","",COUNT('Diário 5º PA'!$A$5:$A$2634)+COUNT('Diário 6º PA'!$A$5:$A$2246)+COUNT('Diário 7º PA'!$A$5:$A$2271)+ROW()-4)</f>
        <v>5290</v>
      </c>
      <c r="B1344" s="620">
        <v>44531</v>
      </c>
      <c r="C1344" s="621">
        <v>44501</v>
      </c>
      <c r="D1344" s="548" t="s">
        <v>88</v>
      </c>
      <c r="E1344" s="548" t="s">
        <v>183</v>
      </c>
      <c r="F1344" s="622">
        <v>299.02999999999997</v>
      </c>
      <c r="G1344" s="623" t="s">
        <v>536</v>
      </c>
      <c r="H1344" s="548" t="s">
        <v>114</v>
      </c>
      <c r="I1344" s="583" t="s">
        <v>998</v>
      </c>
      <c r="J1344" s="548" t="s">
        <v>999</v>
      </c>
      <c r="K1344" s="583" t="s">
        <v>560</v>
      </c>
      <c r="L1344" s="583" t="s">
        <v>992</v>
      </c>
      <c r="M1344" s="619" t="s">
        <v>6525</v>
      </c>
      <c r="N1344" s="620">
        <v>44518</v>
      </c>
      <c r="O1344" s="684" t="s">
        <v>67</v>
      </c>
      <c r="P1344" s="503">
        <f t="shared" ref="P1344:P1419" si="74">IF(B1344=0,0,IF(YEAR(B1344)=$Q$1,MONTH(B1344)-$P$1+1,(YEAR(B1344)-$Q$1)*12-$P$1+1+MONTH(B1344)))</f>
        <v>12</v>
      </c>
      <c r="Q1344" s="503">
        <f t="shared" ref="Q1344:Q1419" si="75">IF(C1344=0,0,IF(YEAR(C1344)=$Q$1,MONTH(C1344)-$P$1+1,(YEAR(C1344)-$Q$1)*12-$P$1+1+MONTH(C1344)))</f>
        <v>11</v>
      </c>
      <c r="R1344" s="504" t="str">
        <f t="shared" ref="R1344:R1419" si="76">SUBSTITUTE(D1344," ","_")</f>
        <v>Gastos_com_Pessoal</v>
      </c>
      <c r="S1344" s="504" t="str">
        <f>IF(D1344="","",IF(OR(D1344=Plano!$A$1,D1344=Plano!$B$1),"entrada","saída"))</f>
        <v>saída</v>
      </c>
      <c r="T1344" s="511" t="s">
        <v>114</v>
      </c>
      <c r="U1344" s="511" t="s">
        <v>114</v>
      </c>
      <c r="V1344" s="541"/>
    </row>
    <row r="1345" spans="1:22" ht="50.1" customHeight="1" x14ac:dyDescent="0.2">
      <c r="A1345" s="619">
        <f>IF(B1345="","",COUNT('Diário 5º PA'!$A$5:$A$2634)+COUNT('Diário 6º PA'!$A$5:$A$2246)+COUNT('Diário 7º PA'!$A$5:$A$2271)+ROW()-4)</f>
        <v>5291</v>
      </c>
      <c r="B1345" s="620">
        <v>44531</v>
      </c>
      <c r="C1345" s="621">
        <v>44501</v>
      </c>
      <c r="D1345" s="548" t="s">
        <v>88</v>
      </c>
      <c r="E1345" s="548" t="s">
        <v>183</v>
      </c>
      <c r="F1345" s="622">
        <v>432.68</v>
      </c>
      <c r="G1345" s="623" t="s">
        <v>5579</v>
      </c>
      <c r="H1345" s="548" t="s">
        <v>114</v>
      </c>
      <c r="I1345" s="583" t="s">
        <v>537</v>
      </c>
      <c r="J1345" s="548" t="s">
        <v>538</v>
      </c>
      <c r="K1345" s="583" t="s">
        <v>560</v>
      </c>
      <c r="L1345" s="583" t="s">
        <v>992</v>
      </c>
      <c r="M1345" s="619" t="s">
        <v>6528</v>
      </c>
      <c r="N1345" s="620">
        <v>44518</v>
      </c>
      <c r="O1345" s="684" t="s">
        <v>67</v>
      </c>
      <c r="P1345" s="503">
        <f t="shared" si="74"/>
        <v>12</v>
      </c>
      <c r="Q1345" s="503">
        <f t="shared" si="75"/>
        <v>11</v>
      </c>
      <c r="R1345" s="504" t="str">
        <f t="shared" si="76"/>
        <v>Gastos_com_Pessoal</v>
      </c>
      <c r="S1345" s="504" t="str">
        <f>IF(D1345="","",IF(OR(D1345=Plano!$A$1,D1345=Plano!$B$1),"entrada","saída"))</f>
        <v>saída</v>
      </c>
      <c r="T1345" s="511" t="s">
        <v>114</v>
      </c>
      <c r="U1345" s="511" t="s">
        <v>114</v>
      </c>
      <c r="V1345" s="541"/>
    </row>
    <row r="1346" spans="1:22" s="573" customFormat="1" ht="111.75" customHeight="1" x14ac:dyDescent="0.2">
      <c r="A1346" s="619">
        <f>IF(B1346="","",COUNT('Diário 5º PA'!$A$5:$A$2634)+COUNT('Diário 6º PA'!$A$5:$A$2246)+COUNT('Diário 7º PA'!$A$5:$A$2271)+ROW()-4)</f>
        <v>5292</v>
      </c>
      <c r="B1346" s="620">
        <v>44531</v>
      </c>
      <c r="C1346" s="621">
        <v>44501</v>
      </c>
      <c r="D1346" s="548" t="s">
        <v>104</v>
      </c>
      <c r="E1346" s="548" t="s">
        <v>104</v>
      </c>
      <c r="F1346" s="622">
        <v>154.80000000000001</v>
      </c>
      <c r="G1346" s="623" t="s">
        <v>7189</v>
      </c>
      <c r="H1346" s="548" t="s">
        <v>104</v>
      </c>
      <c r="I1346" s="583" t="s">
        <v>7188</v>
      </c>
      <c r="J1346" s="548" t="s">
        <v>3609</v>
      </c>
      <c r="K1346" s="583" t="s">
        <v>991</v>
      </c>
      <c r="L1346" s="583" t="s">
        <v>992</v>
      </c>
      <c r="M1346" s="619">
        <v>829966</v>
      </c>
      <c r="N1346" s="620">
        <v>44532</v>
      </c>
      <c r="O1346" s="684" t="s">
        <v>71</v>
      </c>
      <c r="P1346" s="503">
        <f t="shared" ref="P1346:P1347" si="77">IF(B1346=0,0,IF(YEAR(B1346)=$Q$1,MONTH(B1346)-$P$1+1,(YEAR(B1346)-$Q$1)*12-$P$1+1+MONTH(B1346)))</f>
        <v>12</v>
      </c>
      <c r="Q1346" s="503">
        <f t="shared" ref="Q1346" si="78">IF(C1346=0,0,IF(YEAR(C1346)=$Q$1,MONTH(C1346)-$P$1+1,(YEAR(C1346)-$Q$1)*12-$P$1+1+MONTH(C1346)))</f>
        <v>11</v>
      </c>
      <c r="R1346" s="504" t="str">
        <f t="shared" ref="R1346:R1347" si="79">SUBSTITUTE(D1346," ","_")</f>
        <v>Gastos_custeados_por_captação</v>
      </c>
      <c r="S1346" s="504" t="str">
        <f>IF(D1346="","",IF(OR(D1346=Plano!$A$1,D1346=Plano!$B$1),"entrada","saída"))</f>
        <v>saída</v>
      </c>
      <c r="T1346" s="511" t="s">
        <v>994</v>
      </c>
      <c r="U1346" s="511">
        <v>2530</v>
      </c>
      <c r="V1346" s="541"/>
    </row>
    <row r="1347" spans="1:22" s="573" customFormat="1" ht="186.75" customHeight="1" x14ac:dyDescent="0.2">
      <c r="A1347" s="619">
        <f>IF(B1347="","",COUNT('Diário 5º PA'!$A$5:$A$2634)+COUNT('Diário 6º PA'!$A$5:$A$2246)+COUNT('Diário 7º PA'!$A$5:$A$2271)+ROW()-4)</f>
        <v>5293</v>
      </c>
      <c r="B1347" s="620">
        <v>44532</v>
      </c>
      <c r="C1347" s="621">
        <v>44531</v>
      </c>
      <c r="D1347" s="646" t="s">
        <v>104</v>
      </c>
      <c r="E1347" s="646" t="s">
        <v>104</v>
      </c>
      <c r="F1347" s="647">
        <v>3920</v>
      </c>
      <c r="G1347" s="648" t="s">
        <v>6316</v>
      </c>
      <c r="H1347" s="646" t="s">
        <v>104</v>
      </c>
      <c r="I1347" s="627" t="s">
        <v>1295</v>
      </c>
      <c r="J1347" s="646" t="s">
        <v>470</v>
      </c>
      <c r="K1347" s="627" t="s">
        <v>991</v>
      </c>
      <c r="L1347" s="627" t="s">
        <v>992</v>
      </c>
      <c r="M1347" s="619" t="s">
        <v>1452</v>
      </c>
      <c r="N1347" s="620">
        <v>44531</v>
      </c>
      <c r="O1347" s="684" t="s">
        <v>5370</v>
      </c>
      <c r="P1347" s="503">
        <f t="shared" si="77"/>
        <v>12</v>
      </c>
      <c r="Q1347" s="503">
        <f t="shared" si="75"/>
        <v>12</v>
      </c>
      <c r="R1347" s="504" t="str">
        <f t="shared" si="79"/>
        <v>Gastos_custeados_por_captação</v>
      </c>
      <c r="S1347" s="504" t="str">
        <f>IF(D1347="","",IF(OR(D1347=Plano!$A$1,D1347=Plano!$B$1),"entrada","saída"))</f>
        <v>saída</v>
      </c>
      <c r="T1347" s="511" t="s">
        <v>1082</v>
      </c>
      <c r="U1347" s="511">
        <v>1269</v>
      </c>
      <c r="V1347" s="541"/>
    </row>
    <row r="1348" spans="1:22" ht="84.75" customHeight="1" x14ac:dyDescent="0.2">
      <c r="A1348" s="619">
        <f>IF(B1348="","",COUNT('Diário 5º PA'!$A$5:$A$2634)+COUNT('Diário 6º PA'!$A$5:$A$2246)+COUNT('Diário 7º PA'!$A$5:$A$2271)+ROW()-4)</f>
        <v>5294</v>
      </c>
      <c r="B1348" s="620">
        <v>44532</v>
      </c>
      <c r="C1348" s="624">
        <v>44531</v>
      </c>
      <c r="D1348" s="548" t="s">
        <v>99</v>
      </c>
      <c r="E1348" s="548" t="s">
        <v>330</v>
      </c>
      <c r="F1348" s="622">
        <v>105</v>
      </c>
      <c r="G1348" s="623" t="s">
        <v>6524</v>
      </c>
      <c r="H1348" s="548" t="s">
        <v>129</v>
      </c>
      <c r="I1348" s="583" t="s">
        <v>6531</v>
      </c>
      <c r="J1348" s="548" t="s">
        <v>5546</v>
      </c>
      <c r="K1348" s="583" t="s">
        <v>1015</v>
      </c>
      <c r="L1348" s="583" t="s">
        <v>992</v>
      </c>
      <c r="M1348" s="619" t="s">
        <v>6532</v>
      </c>
      <c r="N1348" s="620">
        <v>44532</v>
      </c>
      <c r="O1348" s="684" t="s">
        <v>67</v>
      </c>
      <c r="P1348" s="503">
        <f t="shared" si="74"/>
        <v>12</v>
      </c>
      <c r="Q1348" s="503">
        <f t="shared" si="75"/>
        <v>12</v>
      </c>
      <c r="R1348" s="504" t="str">
        <f t="shared" si="76"/>
        <v>Gastos_Gerais</v>
      </c>
      <c r="S1348" s="504" t="str">
        <f>IF(D1348="","",IF(OR(D1348=Plano!$A$1,D1348=Plano!$B$1),"entrada","saída"))</f>
        <v>saída</v>
      </c>
      <c r="T1348" s="505" t="s">
        <v>1011</v>
      </c>
      <c r="U1348" s="505">
        <v>2545</v>
      </c>
      <c r="V1348" s="541"/>
    </row>
    <row r="1349" spans="1:22" ht="65.25" customHeight="1" x14ac:dyDescent="0.2">
      <c r="A1349" s="619">
        <f>IF(B1349="","",COUNT('Diário 5º PA'!$A$5:$A$2634)+COUNT('Diário 6º PA'!$A$5:$A$2246)+COUNT('Diário 7º PA'!$A$5:$A$2271)+ROW()-4)</f>
        <v>5295</v>
      </c>
      <c r="B1349" s="620">
        <v>44532</v>
      </c>
      <c r="C1349" s="624">
        <v>44501</v>
      </c>
      <c r="D1349" s="548" t="s">
        <v>99</v>
      </c>
      <c r="E1349" s="548" t="s">
        <v>336</v>
      </c>
      <c r="F1349" s="622">
        <v>1150</v>
      </c>
      <c r="G1349" s="623" t="s">
        <v>6397</v>
      </c>
      <c r="H1349" s="548" t="s">
        <v>116</v>
      </c>
      <c r="I1349" s="583" t="s">
        <v>6533</v>
      </c>
      <c r="J1349" s="548" t="s">
        <v>6398</v>
      </c>
      <c r="K1349" s="583" t="s">
        <v>1015</v>
      </c>
      <c r="L1349" s="583" t="s">
        <v>992</v>
      </c>
      <c r="M1349" s="619">
        <v>26</v>
      </c>
      <c r="N1349" s="620">
        <v>44531</v>
      </c>
      <c r="O1349" s="684" t="s">
        <v>67</v>
      </c>
      <c r="P1349" s="503">
        <f t="shared" si="74"/>
        <v>12</v>
      </c>
      <c r="Q1349" s="503">
        <f t="shared" si="75"/>
        <v>11</v>
      </c>
      <c r="R1349" s="504" t="str">
        <f t="shared" si="76"/>
        <v>Gastos_Gerais</v>
      </c>
      <c r="S1349" s="504" t="str">
        <f>IF(D1349="","",IF(OR(D1349=Plano!$A$1,D1349=Plano!$B$1),"entrada","saída"))</f>
        <v>saída</v>
      </c>
      <c r="T1349" s="505" t="s">
        <v>994</v>
      </c>
      <c r="U1349" s="505">
        <v>2452</v>
      </c>
      <c r="V1349" s="541"/>
    </row>
    <row r="1350" spans="1:22" ht="69" customHeight="1" x14ac:dyDescent="0.2">
      <c r="A1350" s="619">
        <f>IF(B1350="","",COUNT('Diário 5º PA'!$A$5:$A$2634)+COUNT('Diário 6º PA'!$A$5:$A$2246)+COUNT('Diário 7º PA'!$A$5:$A$2271)+ROW()-4)</f>
        <v>5296</v>
      </c>
      <c r="B1350" s="620">
        <v>44532</v>
      </c>
      <c r="C1350" s="624">
        <v>44501</v>
      </c>
      <c r="D1350" s="548" t="s">
        <v>99</v>
      </c>
      <c r="E1350" s="548" t="s">
        <v>364</v>
      </c>
      <c r="F1350" s="622">
        <v>588</v>
      </c>
      <c r="G1350" s="623" t="s">
        <v>6348</v>
      </c>
      <c r="H1350" s="548" t="s">
        <v>116</v>
      </c>
      <c r="I1350" s="583" t="s">
        <v>1295</v>
      </c>
      <c r="J1350" s="548" t="s">
        <v>470</v>
      </c>
      <c r="K1350" s="583" t="s">
        <v>1015</v>
      </c>
      <c r="L1350" s="583" t="s">
        <v>992</v>
      </c>
      <c r="M1350" s="619" t="s">
        <v>2002</v>
      </c>
      <c r="N1350" s="620">
        <v>44531</v>
      </c>
      <c r="O1350" s="684" t="s">
        <v>67</v>
      </c>
      <c r="P1350" s="503">
        <f t="shared" si="74"/>
        <v>12</v>
      </c>
      <c r="Q1350" s="503">
        <f t="shared" si="75"/>
        <v>11</v>
      </c>
      <c r="R1350" s="504" t="str">
        <f t="shared" si="76"/>
        <v>Gastos_Gerais</v>
      </c>
      <c r="S1350" s="504" t="str">
        <f>IF(D1350="","",IF(OR(D1350=Plano!$A$1,D1350=Plano!$B$1),"entrada","saída"))</f>
        <v>saída</v>
      </c>
      <c r="T1350" s="505" t="s">
        <v>994</v>
      </c>
      <c r="U1350" s="505">
        <v>2494</v>
      </c>
      <c r="V1350" s="541"/>
    </row>
    <row r="1351" spans="1:22" ht="168" x14ac:dyDescent="0.2">
      <c r="A1351" s="619">
        <f>IF(B1351="","",COUNT('Diário 5º PA'!$A$5:$A$2634)+COUNT('Diário 6º PA'!$A$5:$A$2246)+COUNT('Diário 7º PA'!$A$5:$A$2271)+ROW()-4)</f>
        <v>5297</v>
      </c>
      <c r="B1351" s="620">
        <v>44532</v>
      </c>
      <c r="C1351" s="624">
        <v>44409</v>
      </c>
      <c r="D1351" s="548" t="s">
        <v>99</v>
      </c>
      <c r="E1351" s="548" t="s">
        <v>364</v>
      </c>
      <c r="F1351" s="622">
        <v>5879.4</v>
      </c>
      <c r="G1351" s="623" t="s">
        <v>907</v>
      </c>
      <c r="H1351" s="548" t="s">
        <v>116</v>
      </c>
      <c r="I1351" s="583" t="s">
        <v>6535</v>
      </c>
      <c r="J1351" s="548" t="s">
        <v>908</v>
      </c>
      <c r="K1351" s="583" t="s">
        <v>1015</v>
      </c>
      <c r="L1351" s="583" t="s">
        <v>992</v>
      </c>
      <c r="M1351" s="619" t="s">
        <v>1081</v>
      </c>
      <c r="N1351" s="620">
        <v>44531</v>
      </c>
      <c r="O1351" s="684" t="s">
        <v>67</v>
      </c>
      <c r="P1351" s="503">
        <f t="shared" si="74"/>
        <v>12</v>
      </c>
      <c r="Q1351" s="503">
        <f t="shared" si="75"/>
        <v>8</v>
      </c>
      <c r="R1351" s="504" t="str">
        <f t="shared" si="76"/>
        <v>Gastos_Gerais</v>
      </c>
      <c r="S1351" s="504" t="str">
        <f>IF(D1351="","",IF(OR(D1351=Plano!$A$1,D1351=Plano!$B$1),"entrada","saída"))</f>
        <v>saída</v>
      </c>
      <c r="T1351" s="505" t="s">
        <v>994</v>
      </c>
      <c r="U1351" s="505">
        <v>1791</v>
      </c>
      <c r="V1351" s="541"/>
    </row>
    <row r="1352" spans="1:22" s="573" customFormat="1" ht="181.5" customHeight="1" x14ac:dyDescent="0.2">
      <c r="A1352" s="619">
        <f>IF(B1352="","",COUNT('Diário 5º PA'!$A$5:$A$2634)+COUNT('Diário 6º PA'!$A$5:$A$2246)+COUNT('Diário 7º PA'!$A$5:$A$2271)+ROW()-4)</f>
        <v>5298</v>
      </c>
      <c r="B1352" s="620">
        <v>44533</v>
      </c>
      <c r="C1352" s="624">
        <v>44501</v>
      </c>
      <c r="D1352" s="548" t="s">
        <v>104</v>
      </c>
      <c r="E1352" s="548" t="s">
        <v>104</v>
      </c>
      <c r="F1352" s="622">
        <v>2537.5500000000002</v>
      </c>
      <c r="G1352" s="623" t="s">
        <v>596</v>
      </c>
      <c r="H1352" s="548" t="s">
        <v>104</v>
      </c>
      <c r="I1352" s="583" t="s">
        <v>1348</v>
      </c>
      <c r="J1352" s="548" t="s">
        <v>598</v>
      </c>
      <c r="K1352" s="583" t="s">
        <v>991</v>
      </c>
      <c r="L1352" s="583" t="s">
        <v>1029</v>
      </c>
      <c r="M1352" s="619">
        <v>1469</v>
      </c>
      <c r="N1352" s="620">
        <v>44531</v>
      </c>
      <c r="O1352" s="684" t="s">
        <v>5370</v>
      </c>
      <c r="P1352" s="503">
        <f t="shared" si="74"/>
        <v>12</v>
      </c>
      <c r="Q1352" s="503">
        <f t="shared" si="75"/>
        <v>11</v>
      </c>
      <c r="R1352" s="504" t="str">
        <f t="shared" si="76"/>
        <v>Gastos_custeados_por_captação</v>
      </c>
      <c r="S1352" s="504" t="str">
        <f>IF(D1352="","",IF(OR(D1352=Plano!$A$1,D1352=Plano!$B$1),"entrada","saída"))</f>
        <v>saída</v>
      </c>
      <c r="T1352" s="511" t="s">
        <v>1059</v>
      </c>
      <c r="U1352" s="511">
        <v>1466</v>
      </c>
      <c r="V1352" s="541"/>
    </row>
    <row r="1353" spans="1:22" s="573" customFormat="1" ht="60" x14ac:dyDescent="0.2">
      <c r="A1353" s="619">
        <f>IF(B1353="","",COUNT('Diário 5º PA'!$A$5:$A$2634)+COUNT('Diário 6º PA'!$A$5:$A$2246)+COUNT('Diário 7º PA'!$A$5:$A$2271)+ROW()-4)</f>
        <v>5299</v>
      </c>
      <c r="B1353" s="620">
        <v>44533</v>
      </c>
      <c r="C1353" s="624">
        <v>44501</v>
      </c>
      <c r="D1353" s="548" t="s">
        <v>104</v>
      </c>
      <c r="E1353" s="548" t="s">
        <v>104</v>
      </c>
      <c r="F1353" s="622">
        <v>5389.45</v>
      </c>
      <c r="G1353" s="623" t="s">
        <v>5521</v>
      </c>
      <c r="H1353" s="548" t="s">
        <v>104</v>
      </c>
      <c r="I1353" s="583" t="s">
        <v>6893</v>
      </c>
      <c r="J1353" s="548" t="s">
        <v>5522</v>
      </c>
      <c r="K1353" s="583" t="s">
        <v>991</v>
      </c>
      <c r="L1353" s="583" t="s">
        <v>992</v>
      </c>
      <c r="M1353" s="619" t="s">
        <v>1296</v>
      </c>
      <c r="N1353" s="620">
        <v>44532</v>
      </c>
      <c r="O1353" s="684" t="s">
        <v>5370</v>
      </c>
      <c r="P1353" s="503">
        <f t="shared" si="74"/>
        <v>12</v>
      </c>
      <c r="Q1353" s="503">
        <f t="shared" si="75"/>
        <v>11</v>
      </c>
      <c r="R1353" s="504" t="str">
        <f t="shared" si="76"/>
        <v>Gastos_custeados_por_captação</v>
      </c>
      <c r="S1353" s="504" t="str">
        <f>IF(D1353="","",IF(OR(D1353=Plano!$A$1,D1353=Plano!$B$1),"entrada","saída"))</f>
        <v>saída</v>
      </c>
      <c r="T1353" s="511" t="s">
        <v>1082</v>
      </c>
      <c r="U1353" s="511">
        <v>1511</v>
      </c>
      <c r="V1353" s="541"/>
    </row>
    <row r="1354" spans="1:22" s="573" customFormat="1" ht="130.5" customHeight="1" x14ac:dyDescent="0.2">
      <c r="A1354" s="619">
        <f>IF(B1354="","",COUNT('Diário 5º PA'!$A$5:$A$2634)+COUNT('Diário 6º PA'!$A$5:$A$2246)+COUNT('Diário 7º PA'!$A$5:$A$2271)+ROW()-4)</f>
        <v>5300</v>
      </c>
      <c r="B1354" s="620">
        <v>44533</v>
      </c>
      <c r="C1354" s="624">
        <v>44531</v>
      </c>
      <c r="D1354" s="646" t="s">
        <v>104</v>
      </c>
      <c r="E1354" s="646" t="s">
        <v>104</v>
      </c>
      <c r="F1354" s="647">
        <v>2000</v>
      </c>
      <c r="G1354" s="648" t="s">
        <v>477</v>
      </c>
      <c r="H1354" s="646" t="s">
        <v>104</v>
      </c>
      <c r="I1354" s="627" t="s">
        <v>1293</v>
      </c>
      <c r="J1354" s="646" t="s">
        <v>479</v>
      </c>
      <c r="K1354" s="583" t="s">
        <v>991</v>
      </c>
      <c r="L1354" s="583" t="s">
        <v>992</v>
      </c>
      <c r="M1354" s="619" t="s">
        <v>1211</v>
      </c>
      <c r="N1354" s="620">
        <v>44532</v>
      </c>
      <c r="O1354" s="684" t="s">
        <v>5370</v>
      </c>
      <c r="P1354" s="503">
        <f t="shared" si="74"/>
        <v>12</v>
      </c>
      <c r="Q1354" s="503">
        <f t="shared" si="75"/>
        <v>12</v>
      </c>
      <c r="R1354" s="504" t="str">
        <f t="shared" si="76"/>
        <v>Gastos_custeados_por_captação</v>
      </c>
      <c r="S1354" s="504" t="str">
        <f>IF(D1354="","",IF(OR(D1354=Plano!$A$1,D1354=Plano!$B$1),"entrada","saída"))</f>
        <v>saída</v>
      </c>
      <c r="T1354" s="511" t="s">
        <v>1082</v>
      </c>
      <c r="U1354" s="511">
        <v>1268</v>
      </c>
      <c r="V1354" s="541"/>
    </row>
    <row r="1355" spans="1:22" s="573" customFormat="1" ht="229.5" customHeight="1" x14ac:dyDescent="0.2">
      <c r="A1355" s="619">
        <f>IF(B1355="","",COUNT('Diário 5º PA'!$A$5:$A$2634)+COUNT('Diário 6º PA'!$A$5:$A$2246)+COUNT('Diário 7º PA'!$A$5:$A$2271)+ROW()-4)</f>
        <v>5301</v>
      </c>
      <c r="B1355" s="620">
        <v>44533</v>
      </c>
      <c r="C1355" s="624">
        <v>44501</v>
      </c>
      <c r="D1355" s="646" t="s">
        <v>104</v>
      </c>
      <c r="E1355" s="646" t="s">
        <v>104</v>
      </c>
      <c r="F1355" s="647">
        <v>2000</v>
      </c>
      <c r="G1355" s="648" t="s">
        <v>462</v>
      </c>
      <c r="H1355" s="646" t="s">
        <v>104</v>
      </c>
      <c r="I1355" s="627" t="s">
        <v>1331</v>
      </c>
      <c r="J1355" s="646" t="s">
        <v>464</v>
      </c>
      <c r="K1355" s="583" t="s">
        <v>991</v>
      </c>
      <c r="L1355" s="583" t="s">
        <v>992</v>
      </c>
      <c r="M1355" s="619" t="s">
        <v>1256</v>
      </c>
      <c r="N1355" s="620">
        <v>44532</v>
      </c>
      <c r="O1355" s="684" t="s">
        <v>5370</v>
      </c>
      <c r="P1355" s="503">
        <f t="shared" si="74"/>
        <v>12</v>
      </c>
      <c r="Q1355" s="503">
        <f t="shared" si="75"/>
        <v>11</v>
      </c>
      <c r="R1355" s="504" t="str">
        <f t="shared" si="76"/>
        <v>Gastos_custeados_por_captação</v>
      </c>
      <c r="S1355" s="504" t="str">
        <f>IF(D1355="","",IF(OR(D1355=Plano!$A$1,D1355=Plano!$B$1),"entrada","saída"))</f>
        <v>saída</v>
      </c>
      <c r="T1355" s="511" t="s">
        <v>1082</v>
      </c>
      <c r="U1355" s="511">
        <v>1267</v>
      </c>
      <c r="V1355" s="541"/>
    </row>
    <row r="1356" spans="1:22" s="573" customFormat="1" ht="94.5" customHeight="1" x14ac:dyDescent="0.2">
      <c r="A1356" s="619">
        <f>IF(B1356="","",COUNT('Diário 5º PA'!$A$5:$A$2634)+COUNT('Diário 6º PA'!$A$5:$A$2246)+COUNT('Diário 7º PA'!$A$5:$A$2271)+ROW()-4)</f>
        <v>5302</v>
      </c>
      <c r="B1356" s="620">
        <v>44533</v>
      </c>
      <c r="C1356" s="624">
        <v>44501</v>
      </c>
      <c r="D1356" s="548" t="s">
        <v>104</v>
      </c>
      <c r="E1356" s="548" t="s">
        <v>104</v>
      </c>
      <c r="F1356" s="622">
        <v>19404</v>
      </c>
      <c r="G1356" s="623" t="s">
        <v>6758</v>
      </c>
      <c r="H1356" s="548" t="s">
        <v>104</v>
      </c>
      <c r="I1356" s="583" t="s">
        <v>1140</v>
      </c>
      <c r="J1356" s="548" t="s">
        <v>929</v>
      </c>
      <c r="K1356" s="583" t="s">
        <v>1015</v>
      </c>
      <c r="L1356" s="583" t="s">
        <v>992</v>
      </c>
      <c r="M1356" s="625">
        <v>199</v>
      </c>
      <c r="N1356" s="620">
        <v>44532</v>
      </c>
      <c r="O1356" s="684" t="s">
        <v>5370</v>
      </c>
      <c r="P1356" s="503">
        <f t="shared" si="74"/>
        <v>12</v>
      </c>
      <c r="Q1356" s="503">
        <f t="shared" si="75"/>
        <v>11</v>
      </c>
      <c r="R1356" s="504" t="str">
        <f t="shared" si="76"/>
        <v>Gastos_custeados_por_captação</v>
      </c>
      <c r="S1356" s="504" t="str">
        <f>IF(D1356="","",IF(OR(D1356=Plano!$A$1,D1356=Plano!$B$1),"entrada","saída"))</f>
        <v>saída</v>
      </c>
      <c r="T1356" s="511" t="s">
        <v>1082</v>
      </c>
      <c r="U1356" s="511">
        <v>2180</v>
      </c>
      <c r="V1356" s="541"/>
    </row>
    <row r="1357" spans="1:22" ht="195.75" customHeight="1" x14ac:dyDescent="0.2">
      <c r="A1357" s="619">
        <f>IF(B1357="","",COUNT('Diário 5º PA'!$A$5:$A$2634)+COUNT('Diário 6º PA'!$A$5:$A$2246)+COUNT('Diário 7º PA'!$A$5:$A$2271)+ROW()-4)</f>
        <v>5303</v>
      </c>
      <c r="B1357" s="620">
        <v>44533</v>
      </c>
      <c r="C1357" s="624">
        <v>44531</v>
      </c>
      <c r="D1357" s="548" t="s">
        <v>99</v>
      </c>
      <c r="E1357" s="548" t="s">
        <v>262</v>
      </c>
      <c r="F1357" s="622">
        <v>3000</v>
      </c>
      <c r="G1357" s="623" t="s">
        <v>474</v>
      </c>
      <c r="H1357" s="548" t="s">
        <v>129</v>
      </c>
      <c r="I1357" s="583" t="s">
        <v>1257</v>
      </c>
      <c r="J1357" s="548" t="s">
        <v>476</v>
      </c>
      <c r="K1357" s="583" t="s">
        <v>1015</v>
      </c>
      <c r="L1357" s="583" t="s">
        <v>992</v>
      </c>
      <c r="M1357" s="619" t="s">
        <v>1407</v>
      </c>
      <c r="N1357" s="620">
        <v>44532</v>
      </c>
      <c r="O1357" s="684" t="s">
        <v>67</v>
      </c>
      <c r="P1357" s="503">
        <f t="shared" si="74"/>
        <v>12</v>
      </c>
      <c r="Q1357" s="503">
        <f t="shared" si="75"/>
        <v>12</v>
      </c>
      <c r="R1357" s="504" t="str">
        <f t="shared" si="76"/>
        <v>Gastos_Gerais</v>
      </c>
      <c r="S1357" s="504" t="str">
        <f>IF(D1357="","",IF(OR(D1357=Plano!$A$1,D1357=Plano!$B$1),"entrada","saída"))</f>
        <v>saída</v>
      </c>
      <c r="T1357" s="505" t="s">
        <v>1059</v>
      </c>
      <c r="U1357" s="505">
        <v>1273</v>
      </c>
      <c r="V1357" s="541"/>
    </row>
    <row r="1358" spans="1:22" ht="63" customHeight="1" x14ac:dyDescent="0.2">
      <c r="A1358" s="619">
        <f>IF(B1358="","",COUNT('Diário 5º PA'!$A$5:$A$2634)+COUNT('Diário 6º PA'!$A$5:$A$2246)+COUNT('Diário 7º PA'!$A$5:$A$2271)+ROW()-4)</f>
        <v>5304</v>
      </c>
      <c r="B1358" s="620">
        <v>44533</v>
      </c>
      <c r="C1358" s="624">
        <v>44501</v>
      </c>
      <c r="D1358" s="548" t="s">
        <v>99</v>
      </c>
      <c r="E1358" s="548" t="s">
        <v>364</v>
      </c>
      <c r="F1358" s="622">
        <v>1998.6</v>
      </c>
      <c r="G1358" s="623" t="s">
        <v>6204</v>
      </c>
      <c r="H1358" s="548" t="s">
        <v>116</v>
      </c>
      <c r="I1358" s="583" t="s">
        <v>6537</v>
      </c>
      <c r="J1358" s="548" t="s">
        <v>6205</v>
      </c>
      <c r="K1358" s="583" t="s">
        <v>991</v>
      </c>
      <c r="L1358" s="583" t="s">
        <v>1901</v>
      </c>
      <c r="M1358" s="619">
        <v>1471</v>
      </c>
      <c r="N1358" s="620">
        <v>44532</v>
      </c>
      <c r="O1358" s="684" t="s">
        <v>67</v>
      </c>
      <c r="P1358" s="503">
        <f t="shared" si="74"/>
        <v>12</v>
      </c>
      <c r="Q1358" s="503">
        <f t="shared" si="75"/>
        <v>11</v>
      </c>
      <c r="R1358" s="504" t="str">
        <f t="shared" si="76"/>
        <v>Gastos_Gerais</v>
      </c>
      <c r="S1358" s="504" t="str">
        <f>IF(D1358="","",IF(OR(D1358=Plano!$A$1,D1358=Plano!$B$1),"entrada","saída"))</f>
        <v>saída</v>
      </c>
      <c r="T1358" s="505" t="s">
        <v>994</v>
      </c>
      <c r="U1358" s="505">
        <v>2392</v>
      </c>
      <c r="V1358" s="541"/>
    </row>
    <row r="1359" spans="1:22" ht="170.25" customHeight="1" x14ac:dyDescent="0.2">
      <c r="A1359" s="619">
        <f>IF(B1359="","",COUNT('Diário 5º PA'!$A$5:$A$2634)+COUNT('Diário 6º PA'!$A$5:$A$2246)+COUNT('Diário 7º PA'!$A$5:$A$2271)+ROW()-4)</f>
        <v>5305</v>
      </c>
      <c r="B1359" s="620">
        <v>44533</v>
      </c>
      <c r="C1359" s="624">
        <v>44501</v>
      </c>
      <c r="D1359" s="548" t="s">
        <v>99</v>
      </c>
      <c r="E1359" s="548" t="s">
        <v>358</v>
      </c>
      <c r="F1359" s="622">
        <v>1008</v>
      </c>
      <c r="G1359" s="623" t="s">
        <v>733</v>
      </c>
      <c r="H1359" s="548" t="s">
        <v>131</v>
      </c>
      <c r="I1359" s="583" t="s">
        <v>2413</v>
      </c>
      <c r="J1359" s="548" t="s">
        <v>734</v>
      </c>
      <c r="K1359" s="583" t="s">
        <v>991</v>
      </c>
      <c r="L1359" s="583" t="s">
        <v>1901</v>
      </c>
      <c r="M1359" s="619">
        <v>1477</v>
      </c>
      <c r="N1359" s="620">
        <v>44532</v>
      </c>
      <c r="O1359" s="684" t="s">
        <v>67</v>
      </c>
      <c r="P1359" s="503">
        <f t="shared" si="74"/>
        <v>12</v>
      </c>
      <c r="Q1359" s="503">
        <f t="shared" si="75"/>
        <v>11</v>
      </c>
      <c r="R1359" s="504" t="str">
        <f t="shared" si="76"/>
        <v>Gastos_Gerais</v>
      </c>
      <c r="S1359" s="504" t="str">
        <f>IF(D1359="","",IF(OR(D1359=Plano!$A$1,D1359=Plano!$B$1),"entrada","saída"))</f>
        <v>saída</v>
      </c>
      <c r="T1359" s="505" t="s">
        <v>994</v>
      </c>
      <c r="U1359" s="505">
        <v>1893</v>
      </c>
      <c r="V1359" s="541"/>
    </row>
    <row r="1360" spans="1:22" ht="168" customHeight="1" x14ac:dyDescent="0.2">
      <c r="A1360" s="619">
        <f>IF(B1360="","",COUNT('Diário 5º PA'!$A$5:$A$2634)+COUNT('Diário 6º PA'!$A$5:$A$2246)+COUNT('Diário 7º PA'!$A$5:$A$2271)+ROW()-4)</f>
        <v>5306</v>
      </c>
      <c r="B1360" s="620">
        <v>44533</v>
      </c>
      <c r="C1360" s="624">
        <v>44531</v>
      </c>
      <c r="D1360" s="548" t="s">
        <v>99</v>
      </c>
      <c r="E1360" s="548" t="s">
        <v>372</v>
      </c>
      <c r="F1360" s="622">
        <v>2500</v>
      </c>
      <c r="G1360" s="623" t="s">
        <v>471</v>
      </c>
      <c r="H1360" s="548" t="s">
        <v>129</v>
      </c>
      <c r="I1360" s="583" t="s">
        <v>1285</v>
      </c>
      <c r="J1360" s="548" t="s">
        <v>473</v>
      </c>
      <c r="K1360" s="583" t="s">
        <v>991</v>
      </c>
      <c r="L1360" s="583" t="s">
        <v>992</v>
      </c>
      <c r="M1360" s="619">
        <v>134</v>
      </c>
      <c r="N1360" s="620">
        <v>44532</v>
      </c>
      <c r="O1360" s="684" t="s">
        <v>67</v>
      </c>
      <c r="P1360" s="503">
        <f t="shared" si="74"/>
        <v>12</v>
      </c>
      <c r="Q1360" s="503">
        <f t="shared" si="75"/>
        <v>12</v>
      </c>
      <c r="R1360" s="504" t="str">
        <f t="shared" si="76"/>
        <v>Gastos_Gerais</v>
      </c>
      <c r="S1360" s="504" t="str">
        <f>IF(D1360="","",IF(OR(D1360=Plano!$A$1,D1360=Plano!$B$1),"entrada","saída"))</f>
        <v>saída</v>
      </c>
      <c r="T1360" s="505" t="s">
        <v>1059</v>
      </c>
      <c r="U1360" s="505">
        <v>1275</v>
      </c>
      <c r="V1360" s="541"/>
    </row>
    <row r="1361" spans="1:22" ht="85.5" customHeight="1" x14ac:dyDescent="0.2">
      <c r="A1361" s="619">
        <f>IF(B1361="","",COUNT('Diário 5º PA'!$A$5:$A$2634)+COUNT('Diário 6º PA'!$A$5:$A$2246)+COUNT('Diário 7º PA'!$A$5:$A$2271)+ROW()-4)</f>
        <v>5307</v>
      </c>
      <c r="B1361" s="620">
        <v>44533</v>
      </c>
      <c r="C1361" s="624">
        <v>44501</v>
      </c>
      <c r="D1361" s="548" t="s">
        <v>99</v>
      </c>
      <c r="E1361" s="548" t="s">
        <v>364</v>
      </c>
      <c r="F1361" s="622">
        <v>800</v>
      </c>
      <c r="G1361" s="623" t="s">
        <v>6361</v>
      </c>
      <c r="H1361" s="548" t="s">
        <v>124</v>
      </c>
      <c r="I1361" s="583" t="s">
        <v>6106</v>
      </c>
      <c r="J1361" s="548" t="s">
        <v>5861</v>
      </c>
      <c r="K1361" s="583" t="s">
        <v>991</v>
      </c>
      <c r="L1361" s="583" t="s">
        <v>992</v>
      </c>
      <c r="M1361" s="619" t="s">
        <v>1301</v>
      </c>
      <c r="N1361" s="620">
        <v>44532</v>
      </c>
      <c r="O1361" s="684" t="s">
        <v>67</v>
      </c>
      <c r="P1361" s="503">
        <f t="shared" si="74"/>
        <v>12</v>
      </c>
      <c r="Q1361" s="503">
        <f t="shared" si="75"/>
        <v>11</v>
      </c>
      <c r="R1361" s="504" t="str">
        <f t="shared" si="76"/>
        <v>Gastos_Gerais</v>
      </c>
      <c r="S1361" s="504" t="str">
        <f>IF(D1361="","",IF(OR(D1361=Plano!$A$1,D1361=Plano!$B$1),"entrada","saída"))</f>
        <v>saída</v>
      </c>
      <c r="T1361" s="505" t="s">
        <v>994</v>
      </c>
      <c r="U1361" s="505">
        <v>2483</v>
      </c>
      <c r="V1361" s="541"/>
    </row>
    <row r="1362" spans="1:22" ht="175.5" customHeight="1" x14ac:dyDescent="0.2">
      <c r="A1362" s="619">
        <f>IF(B1362="","",COUNT('Diário 5º PA'!$A$5:$A$2634)+COUNT('Diário 6º PA'!$A$5:$A$2246)+COUNT('Diário 7º PA'!$A$5:$A$2271)+ROW()-4)</f>
        <v>5308</v>
      </c>
      <c r="B1362" s="620">
        <v>44533</v>
      </c>
      <c r="C1362" s="624">
        <v>44409</v>
      </c>
      <c r="D1362" s="548" t="s">
        <v>99</v>
      </c>
      <c r="E1362" s="548" t="s">
        <v>330</v>
      </c>
      <c r="F1362" s="622">
        <v>1000</v>
      </c>
      <c r="G1362" s="623" t="s">
        <v>753</v>
      </c>
      <c r="H1362" s="548" t="s">
        <v>128</v>
      </c>
      <c r="I1362" s="583" t="s">
        <v>1334</v>
      </c>
      <c r="J1362" s="548" t="s">
        <v>755</v>
      </c>
      <c r="K1362" s="583" t="s">
        <v>991</v>
      </c>
      <c r="L1362" s="583" t="s">
        <v>992</v>
      </c>
      <c r="M1362" s="619" t="s">
        <v>1715</v>
      </c>
      <c r="N1362" s="620">
        <v>44532</v>
      </c>
      <c r="O1362" s="684" t="s">
        <v>67</v>
      </c>
      <c r="P1362" s="503">
        <f t="shared" si="74"/>
        <v>12</v>
      </c>
      <c r="Q1362" s="503">
        <f t="shared" si="75"/>
        <v>8</v>
      </c>
      <c r="R1362" s="504" t="str">
        <f t="shared" si="76"/>
        <v>Gastos_Gerais</v>
      </c>
      <c r="S1362" s="504" t="str">
        <f>IF(D1362="","",IF(OR(D1362=Plano!$A$1,D1362=Plano!$B$1),"entrada","saída"))</f>
        <v>saída</v>
      </c>
      <c r="T1362" s="505" t="s">
        <v>1059</v>
      </c>
      <c r="U1362" s="505">
        <v>1876</v>
      </c>
      <c r="V1362" s="541"/>
    </row>
    <row r="1363" spans="1:22" ht="88.5" customHeight="1" x14ac:dyDescent="0.2">
      <c r="A1363" s="619">
        <f>IF(B1363="","",COUNT('Diário 5º PA'!$A$5:$A$2634)+COUNT('Diário 6º PA'!$A$5:$A$2246)+COUNT('Diário 7º PA'!$A$5:$A$2271)+ROW()-4)</f>
        <v>5309</v>
      </c>
      <c r="B1363" s="620">
        <v>44533</v>
      </c>
      <c r="C1363" s="624">
        <v>44501</v>
      </c>
      <c r="D1363" s="548" t="s">
        <v>99</v>
      </c>
      <c r="E1363" s="548" t="s">
        <v>364</v>
      </c>
      <c r="F1363" s="622">
        <v>3500</v>
      </c>
      <c r="G1363" s="623" t="s">
        <v>6428</v>
      </c>
      <c r="H1363" s="548" t="s">
        <v>124</v>
      </c>
      <c r="I1363" s="583" t="s">
        <v>6543</v>
      </c>
      <c r="J1363" s="548" t="s">
        <v>1335</v>
      </c>
      <c r="K1363" s="583" t="s">
        <v>991</v>
      </c>
      <c r="L1363" s="583" t="s">
        <v>992</v>
      </c>
      <c r="M1363" s="619" t="s">
        <v>4223</v>
      </c>
      <c r="N1363" s="620">
        <v>44532</v>
      </c>
      <c r="O1363" s="684" t="s">
        <v>67</v>
      </c>
      <c r="P1363" s="503">
        <f t="shared" si="74"/>
        <v>12</v>
      </c>
      <c r="Q1363" s="503">
        <f t="shared" si="75"/>
        <v>11</v>
      </c>
      <c r="R1363" s="504" t="str">
        <f t="shared" si="76"/>
        <v>Gastos_Gerais</v>
      </c>
      <c r="S1363" s="504" t="str">
        <f>IF(D1363="","",IF(OR(D1363=Plano!$A$1,D1363=Plano!$B$1),"entrada","saída"))</f>
        <v>saída</v>
      </c>
      <c r="T1363" s="505" t="s">
        <v>994</v>
      </c>
      <c r="U1363" s="505">
        <v>2484</v>
      </c>
      <c r="V1363" s="541"/>
    </row>
    <row r="1364" spans="1:22" ht="81.75" customHeight="1" x14ac:dyDescent="0.2">
      <c r="A1364" s="619">
        <f>IF(B1364="","",COUNT('Diário 5º PA'!$A$5:$A$2634)+COUNT('Diário 6º PA'!$A$5:$A$2246)+COUNT('Diário 7º PA'!$A$5:$A$2271)+ROW()-4)</f>
        <v>5310</v>
      </c>
      <c r="B1364" s="620">
        <v>44533</v>
      </c>
      <c r="C1364" s="624">
        <v>44501</v>
      </c>
      <c r="D1364" s="548" t="s">
        <v>99</v>
      </c>
      <c r="E1364" s="548" t="s">
        <v>358</v>
      </c>
      <c r="F1364" s="622">
        <v>1008</v>
      </c>
      <c r="G1364" s="623" t="s">
        <v>6544</v>
      </c>
      <c r="H1364" s="548" t="s">
        <v>131</v>
      </c>
      <c r="I1364" s="583" t="s">
        <v>1908</v>
      </c>
      <c r="J1364" s="548" t="s">
        <v>828</v>
      </c>
      <c r="K1364" s="583" t="s">
        <v>991</v>
      </c>
      <c r="L1364" s="583" t="s">
        <v>1901</v>
      </c>
      <c r="M1364" s="619">
        <v>1475</v>
      </c>
      <c r="N1364" s="620">
        <v>44532</v>
      </c>
      <c r="O1364" s="684" t="s">
        <v>67</v>
      </c>
      <c r="P1364" s="503">
        <f t="shared" si="74"/>
        <v>12</v>
      </c>
      <c r="Q1364" s="503">
        <f t="shared" si="75"/>
        <v>11</v>
      </c>
      <c r="R1364" s="504" t="str">
        <f t="shared" si="76"/>
        <v>Gastos_Gerais</v>
      </c>
      <c r="S1364" s="504" t="str">
        <f>IF(D1364="","",IF(OR(D1364=Plano!$A$1,D1364=Plano!$B$1),"entrada","saída"))</f>
        <v>saída</v>
      </c>
      <c r="T1364" s="505" t="s">
        <v>994</v>
      </c>
      <c r="U1364" s="505">
        <v>2166</v>
      </c>
      <c r="V1364" s="541"/>
    </row>
    <row r="1365" spans="1:22" ht="50.1" customHeight="1" x14ac:dyDescent="0.2">
      <c r="A1365" s="619">
        <f>IF(B1365="","",COUNT('Diário 5º PA'!$A$5:$A$2634)+COUNT('Diário 6º PA'!$A$5:$A$2246)+COUNT('Diário 7º PA'!$A$5:$A$2271)+ROW()-4)</f>
        <v>5311</v>
      </c>
      <c r="B1365" s="620">
        <v>44533</v>
      </c>
      <c r="C1365" s="621">
        <v>44501</v>
      </c>
      <c r="D1365" s="548" t="s">
        <v>99</v>
      </c>
      <c r="E1365" s="548" t="s">
        <v>272</v>
      </c>
      <c r="F1365" s="622">
        <v>10.45</v>
      </c>
      <c r="G1365" s="623" t="s">
        <v>6547</v>
      </c>
      <c r="H1365" s="548" t="s">
        <v>116</v>
      </c>
      <c r="I1365" s="583" t="s">
        <v>949</v>
      </c>
      <c r="J1365" s="548" t="s">
        <v>950</v>
      </c>
      <c r="K1365" s="583" t="s">
        <v>951</v>
      </c>
      <c r="L1365" s="583" t="s">
        <v>947</v>
      </c>
      <c r="M1365" s="625" t="s">
        <v>114</v>
      </c>
      <c r="N1365" s="620">
        <v>44533</v>
      </c>
      <c r="O1365" s="684" t="s">
        <v>67</v>
      </c>
      <c r="P1365" s="503">
        <f t="shared" si="74"/>
        <v>12</v>
      </c>
      <c r="Q1365" s="503">
        <f t="shared" si="75"/>
        <v>11</v>
      </c>
      <c r="R1365" s="504" t="str">
        <f t="shared" si="76"/>
        <v>Gastos_Gerais</v>
      </c>
      <c r="S1365" s="504" t="str">
        <f>IF(D1365="","",IF(OR(D1365=Plano!$A$1,D1365=Plano!$B$1),"entrada","saída"))</f>
        <v>saída</v>
      </c>
      <c r="T1365" s="511" t="s">
        <v>114</v>
      </c>
      <c r="U1365" s="511" t="s">
        <v>114</v>
      </c>
      <c r="V1365" s="541"/>
    </row>
    <row r="1366" spans="1:22" ht="50.1" customHeight="1" x14ac:dyDescent="0.2">
      <c r="A1366" s="619">
        <f>IF(B1366="","",COUNT('Diário 5º PA'!$A$5:$A$2634)+COUNT('Diário 6º PA'!$A$5:$A$2246)+COUNT('Diário 7º PA'!$A$5:$A$2271)+ROW()-4)</f>
        <v>5312</v>
      </c>
      <c r="B1366" s="620">
        <v>44533</v>
      </c>
      <c r="C1366" s="621">
        <v>44501</v>
      </c>
      <c r="D1366" s="548" t="s">
        <v>99</v>
      </c>
      <c r="E1366" s="548" t="s">
        <v>272</v>
      </c>
      <c r="F1366" s="622">
        <v>10.45</v>
      </c>
      <c r="G1366" s="623" t="s">
        <v>6548</v>
      </c>
      <c r="H1366" s="548" t="s">
        <v>131</v>
      </c>
      <c r="I1366" s="583" t="s">
        <v>949</v>
      </c>
      <c r="J1366" s="548" t="s">
        <v>950</v>
      </c>
      <c r="K1366" s="583" t="s">
        <v>951</v>
      </c>
      <c r="L1366" s="583" t="s">
        <v>947</v>
      </c>
      <c r="M1366" s="625" t="s">
        <v>114</v>
      </c>
      <c r="N1366" s="620">
        <v>44533</v>
      </c>
      <c r="O1366" s="684" t="s">
        <v>67</v>
      </c>
      <c r="P1366" s="503">
        <f t="shared" si="74"/>
        <v>12</v>
      </c>
      <c r="Q1366" s="503">
        <f t="shared" si="75"/>
        <v>11</v>
      </c>
      <c r="R1366" s="504" t="str">
        <f t="shared" si="76"/>
        <v>Gastos_Gerais</v>
      </c>
      <c r="S1366" s="504" t="str">
        <f>IF(D1366="","",IF(OR(D1366=Plano!$A$1,D1366=Plano!$B$1),"entrada","saída"))</f>
        <v>saída</v>
      </c>
      <c r="T1366" s="511" t="s">
        <v>114</v>
      </c>
      <c r="U1366" s="511" t="s">
        <v>114</v>
      </c>
      <c r="V1366" s="541"/>
    </row>
    <row r="1367" spans="1:22" ht="50.1" customHeight="1" x14ac:dyDescent="0.2">
      <c r="A1367" s="619">
        <f>IF(B1367="","",COUNT('Diário 5º PA'!$A$5:$A$2634)+COUNT('Diário 6º PA'!$A$5:$A$2246)+COUNT('Diário 7º PA'!$A$5:$A$2271)+ROW()-4)</f>
        <v>5313</v>
      </c>
      <c r="B1367" s="620">
        <v>44533</v>
      </c>
      <c r="C1367" s="621">
        <v>44501</v>
      </c>
      <c r="D1367" s="548" t="s">
        <v>99</v>
      </c>
      <c r="E1367" s="548" t="s">
        <v>272</v>
      </c>
      <c r="F1367" s="622">
        <v>10.45</v>
      </c>
      <c r="G1367" s="623" t="s">
        <v>6549</v>
      </c>
      <c r="H1367" s="548" t="s">
        <v>131</v>
      </c>
      <c r="I1367" s="583" t="s">
        <v>949</v>
      </c>
      <c r="J1367" s="548" t="s">
        <v>950</v>
      </c>
      <c r="K1367" s="583" t="s">
        <v>951</v>
      </c>
      <c r="L1367" s="583" t="s">
        <v>947</v>
      </c>
      <c r="M1367" s="625" t="s">
        <v>114</v>
      </c>
      <c r="N1367" s="620">
        <v>44533</v>
      </c>
      <c r="O1367" s="684" t="s">
        <v>67</v>
      </c>
      <c r="P1367" s="503">
        <f t="shared" si="74"/>
        <v>12</v>
      </c>
      <c r="Q1367" s="503">
        <f t="shared" si="75"/>
        <v>11</v>
      </c>
      <c r="R1367" s="504" t="str">
        <f t="shared" si="76"/>
        <v>Gastos_Gerais</v>
      </c>
      <c r="S1367" s="504" t="str">
        <f>IF(D1367="","",IF(OR(D1367=Plano!$A$1,D1367=Plano!$B$1),"entrada","saída"))</f>
        <v>saída</v>
      </c>
      <c r="T1367" s="511" t="s">
        <v>114</v>
      </c>
      <c r="U1367" s="511" t="s">
        <v>114</v>
      </c>
      <c r="V1367" s="541"/>
    </row>
    <row r="1368" spans="1:22" ht="50.1" customHeight="1" x14ac:dyDescent="0.2">
      <c r="A1368" s="619">
        <f>IF(B1368="","",COUNT('Diário 5º PA'!$A$5:$A$2634)+COUNT('Diário 6º PA'!$A$5:$A$2246)+COUNT('Diário 7º PA'!$A$5:$A$2271)+ROW()-4)</f>
        <v>5314</v>
      </c>
      <c r="B1368" s="620">
        <v>44533</v>
      </c>
      <c r="C1368" s="621">
        <v>44501</v>
      </c>
      <c r="D1368" s="548" t="s">
        <v>99</v>
      </c>
      <c r="E1368" s="548" t="s">
        <v>272</v>
      </c>
      <c r="F1368" s="622">
        <v>10.45</v>
      </c>
      <c r="G1368" s="623" t="s">
        <v>6551</v>
      </c>
      <c r="H1368" s="548" t="s">
        <v>129</v>
      </c>
      <c r="I1368" s="583" t="s">
        <v>949</v>
      </c>
      <c r="J1368" s="548" t="s">
        <v>950</v>
      </c>
      <c r="K1368" s="583" t="s">
        <v>951</v>
      </c>
      <c r="L1368" s="583" t="s">
        <v>947</v>
      </c>
      <c r="M1368" s="625" t="s">
        <v>114</v>
      </c>
      <c r="N1368" s="620">
        <v>44533</v>
      </c>
      <c r="O1368" s="684" t="s">
        <v>67</v>
      </c>
      <c r="P1368" s="503">
        <f t="shared" si="74"/>
        <v>12</v>
      </c>
      <c r="Q1368" s="503">
        <f t="shared" si="75"/>
        <v>11</v>
      </c>
      <c r="R1368" s="504" t="str">
        <f t="shared" si="76"/>
        <v>Gastos_Gerais</v>
      </c>
      <c r="S1368" s="504" t="str">
        <f>IF(D1368="","",IF(OR(D1368=Plano!$A$1,D1368=Plano!$B$1),"entrada","saída"))</f>
        <v>saída</v>
      </c>
      <c r="T1368" s="511" t="s">
        <v>114</v>
      </c>
      <c r="U1368" s="511" t="s">
        <v>114</v>
      </c>
      <c r="V1368" s="541"/>
    </row>
    <row r="1369" spans="1:22" ht="50.1" customHeight="1" x14ac:dyDescent="0.2">
      <c r="A1369" s="619">
        <f>IF(B1369="","",COUNT('Diário 5º PA'!$A$5:$A$2634)+COUNT('Diário 6º PA'!$A$5:$A$2246)+COUNT('Diário 7º PA'!$A$5:$A$2271)+ROW()-4)</f>
        <v>5315</v>
      </c>
      <c r="B1369" s="620">
        <v>44533</v>
      </c>
      <c r="C1369" s="621">
        <v>44501</v>
      </c>
      <c r="D1369" s="548" t="s">
        <v>99</v>
      </c>
      <c r="E1369" s="548" t="s">
        <v>272</v>
      </c>
      <c r="F1369" s="622">
        <v>10.45</v>
      </c>
      <c r="G1369" s="623" t="s">
        <v>6550</v>
      </c>
      <c r="H1369" s="548" t="s">
        <v>124</v>
      </c>
      <c r="I1369" s="583" t="s">
        <v>949</v>
      </c>
      <c r="J1369" s="548" t="s">
        <v>950</v>
      </c>
      <c r="K1369" s="583" t="s">
        <v>951</v>
      </c>
      <c r="L1369" s="583" t="s">
        <v>947</v>
      </c>
      <c r="M1369" s="625" t="s">
        <v>114</v>
      </c>
      <c r="N1369" s="620">
        <v>44533</v>
      </c>
      <c r="O1369" s="684" t="s">
        <v>67</v>
      </c>
      <c r="P1369" s="503">
        <f t="shared" si="74"/>
        <v>12</v>
      </c>
      <c r="Q1369" s="503">
        <f t="shared" si="75"/>
        <v>11</v>
      </c>
      <c r="R1369" s="504" t="str">
        <f t="shared" si="76"/>
        <v>Gastos_Gerais</v>
      </c>
      <c r="S1369" s="504" t="str">
        <f>IF(D1369="","",IF(OR(D1369=Plano!$A$1,D1369=Plano!$B$1),"entrada","saída"))</f>
        <v>saída</v>
      </c>
      <c r="T1369" s="511" t="s">
        <v>114</v>
      </c>
      <c r="U1369" s="511" t="s">
        <v>114</v>
      </c>
      <c r="V1369" s="541"/>
    </row>
    <row r="1370" spans="1:22" ht="50.1" customHeight="1" x14ac:dyDescent="0.2">
      <c r="A1370" s="619">
        <f>IF(B1370="","",COUNT('Diário 5º PA'!$A$5:$A$2634)+COUNT('Diário 6º PA'!$A$5:$A$2246)+COUNT('Diário 7º PA'!$A$5:$A$2271)+ROW()-4)</f>
        <v>5316</v>
      </c>
      <c r="B1370" s="620">
        <v>44533</v>
      </c>
      <c r="C1370" s="621">
        <v>44501</v>
      </c>
      <c r="D1370" s="548" t="s">
        <v>99</v>
      </c>
      <c r="E1370" s="548" t="s">
        <v>272</v>
      </c>
      <c r="F1370" s="622">
        <v>10.45</v>
      </c>
      <c r="G1370" s="623" t="s">
        <v>6552</v>
      </c>
      <c r="H1370" s="548" t="s">
        <v>128</v>
      </c>
      <c r="I1370" s="583" t="s">
        <v>949</v>
      </c>
      <c r="J1370" s="548" t="s">
        <v>950</v>
      </c>
      <c r="K1370" s="583" t="s">
        <v>951</v>
      </c>
      <c r="L1370" s="583" t="s">
        <v>947</v>
      </c>
      <c r="M1370" s="625" t="s">
        <v>114</v>
      </c>
      <c r="N1370" s="620">
        <v>44533</v>
      </c>
      <c r="O1370" s="684" t="s">
        <v>67</v>
      </c>
      <c r="P1370" s="503">
        <f t="shared" si="74"/>
        <v>12</v>
      </c>
      <c r="Q1370" s="503">
        <f t="shared" si="75"/>
        <v>11</v>
      </c>
      <c r="R1370" s="504" t="str">
        <f t="shared" si="76"/>
        <v>Gastos_Gerais</v>
      </c>
      <c r="S1370" s="504" t="str">
        <f>IF(D1370="","",IF(OR(D1370=Plano!$A$1,D1370=Plano!$B$1),"entrada","saída"))</f>
        <v>saída</v>
      </c>
      <c r="T1370" s="511" t="s">
        <v>114</v>
      </c>
      <c r="U1370" s="511" t="s">
        <v>114</v>
      </c>
      <c r="V1370" s="541"/>
    </row>
    <row r="1371" spans="1:22" ht="50.1" customHeight="1" x14ac:dyDescent="0.2">
      <c r="A1371" s="619">
        <f>IF(B1371="","",COUNT('Diário 5º PA'!$A$5:$A$2634)+COUNT('Diário 6º PA'!$A$5:$A$2246)+COUNT('Diário 7º PA'!$A$5:$A$2271)+ROW()-4)</f>
        <v>5317</v>
      </c>
      <c r="B1371" s="620">
        <v>44533</v>
      </c>
      <c r="C1371" s="621">
        <v>44501</v>
      </c>
      <c r="D1371" s="548" t="s">
        <v>99</v>
      </c>
      <c r="E1371" s="548" t="s">
        <v>272</v>
      </c>
      <c r="F1371" s="622">
        <v>10.45</v>
      </c>
      <c r="G1371" s="623" t="s">
        <v>6553</v>
      </c>
      <c r="H1371" s="548" t="s">
        <v>124</v>
      </c>
      <c r="I1371" s="583" t="s">
        <v>949</v>
      </c>
      <c r="J1371" s="548" t="s">
        <v>950</v>
      </c>
      <c r="K1371" s="583" t="s">
        <v>951</v>
      </c>
      <c r="L1371" s="583" t="s">
        <v>947</v>
      </c>
      <c r="M1371" s="625" t="s">
        <v>114</v>
      </c>
      <c r="N1371" s="620">
        <v>44533</v>
      </c>
      <c r="O1371" s="684" t="s">
        <v>67</v>
      </c>
      <c r="P1371" s="503">
        <f t="shared" si="74"/>
        <v>12</v>
      </c>
      <c r="Q1371" s="503">
        <f t="shared" si="75"/>
        <v>11</v>
      </c>
      <c r="R1371" s="504" t="str">
        <f t="shared" si="76"/>
        <v>Gastos_Gerais</v>
      </c>
      <c r="S1371" s="504" t="str">
        <f>IF(D1371="","",IF(OR(D1371=Plano!$A$1,D1371=Plano!$B$1),"entrada","saída"))</f>
        <v>saída</v>
      </c>
      <c r="T1371" s="511" t="s">
        <v>114</v>
      </c>
      <c r="U1371" s="511" t="s">
        <v>114</v>
      </c>
      <c r="V1371" s="541"/>
    </row>
    <row r="1372" spans="1:22" s="568" customFormat="1" ht="50.1" customHeight="1" x14ac:dyDescent="0.2">
      <c r="A1372" s="619">
        <f>IF(B1372="","",COUNT('Diário 5º PA'!$A$5:$A$2634)+COUNT('Diário 6º PA'!$A$5:$A$2246)+COUNT('Diário 7º PA'!$A$5:$A$2271)+ROW()-4)</f>
        <v>5318</v>
      </c>
      <c r="B1372" s="620">
        <v>44533</v>
      </c>
      <c r="C1372" s="621">
        <v>44501</v>
      </c>
      <c r="D1372" s="548" t="s">
        <v>104</v>
      </c>
      <c r="E1372" s="548" t="s">
        <v>104</v>
      </c>
      <c r="F1372" s="622">
        <v>2500</v>
      </c>
      <c r="G1372" s="623" t="s">
        <v>7183</v>
      </c>
      <c r="H1372" s="548" t="s">
        <v>104</v>
      </c>
      <c r="I1372" s="583" t="s">
        <v>7182</v>
      </c>
      <c r="J1372" s="548" t="s">
        <v>498</v>
      </c>
      <c r="K1372" s="583" t="s">
        <v>991</v>
      </c>
      <c r="L1372" s="583" t="s">
        <v>992</v>
      </c>
      <c r="M1372" s="625">
        <v>10</v>
      </c>
      <c r="N1372" s="620">
        <v>44532</v>
      </c>
      <c r="O1372" s="684" t="s">
        <v>68</v>
      </c>
      <c r="P1372" s="503">
        <f t="shared" si="74"/>
        <v>12</v>
      </c>
      <c r="Q1372" s="503">
        <f t="shared" si="75"/>
        <v>11</v>
      </c>
      <c r="R1372" s="504" t="str">
        <f t="shared" si="76"/>
        <v>Gastos_custeados_por_captação</v>
      </c>
      <c r="S1372" s="504" t="str">
        <f>IF(D1372="","",IF(OR(D1372=Plano!$A$1,D1372=Plano!$B$1),"entrada","saída"))</f>
        <v>saída</v>
      </c>
      <c r="T1372" s="511" t="s">
        <v>1082</v>
      </c>
      <c r="U1372" s="511">
        <v>1303</v>
      </c>
      <c r="V1372" s="541"/>
    </row>
    <row r="1373" spans="1:22" s="568" customFormat="1" ht="139.5" customHeight="1" x14ac:dyDescent="0.2">
      <c r="A1373" s="619">
        <f>IF(B1373="","",COUNT('Diário 5º PA'!$A$5:$A$2634)+COUNT('Diário 6º PA'!$A$5:$A$2246)+COUNT('Diário 7º PA'!$A$5:$A$2271)+ROW()-4)</f>
        <v>5319</v>
      </c>
      <c r="B1373" s="644">
        <v>44533</v>
      </c>
      <c r="C1373" s="650">
        <v>44501</v>
      </c>
      <c r="D1373" s="651" t="s">
        <v>104</v>
      </c>
      <c r="E1373" s="651" t="s">
        <v>104</v>
      </c>
      <c r="F1373" s="641">
        <v>2125.92</v>
      </c>
      <c r="G1373" s="639" t="s">
        <v>548</v>
      </c>
      <c r="H1373" s="651" t="s">
        <v>104</v>
      </c>
      <c r="I1373" s="640" t="s">
        <v>1739</v>
      </c>
      <c r="J1373" s="651" t="s">
        <v>550</v>
      </c>
      <c r="K1373" s="642" t="s">
        <v>991</v>
      </c>
      <c r="L1373" s="642" t="s">
        <v>1901</v>
      </c>
      <c r="M1373" s="652">
        <v>1465</v>
      </c>
      <c r="N1373" s="644">
        <v>44532</v>
      </c>
      <c r="O1373" s="685" t="s">
        <v>68</v>
      </c>
      <c r="P1373" s="503">
        <f t="shared" si="74"/>
        <v>12</v>
      </c>
      <c r="Q1373" s="503">
        <f t="shared" si="75"/>
        <v>11</v>
      </c>
      <c r="R1373" s="504" t="str">
        <f t="shared" si="76"/>
        <v>Gastos_custeados_por_captação</v>
      </c>
      <c r="S1373" s="504" t="str">
        <f>IF(D1373="","",IF(OR(D1373=Plano!$A$1,D1373=Plano!$B$1),"entrada","saída"))</f>
        <v>saída</v>
      </c>
      <c r="T1373" s="566" t="s">
        <v>1082</v>
      </c>
      <c r="U1373" s="566">
        <v>1301</v>
      </c>
      <c r="V1373" s="541"/>
    </row>
    <row r="1374" spans="1:22" s="569" customFormat="1" ht="123" customHeight="1" x14ac:dyDescent="0.2">
      <c r="A1374" s="619">
        <f>IF(B1374="","",COUNT('Diário 5º PA'!$A$5:$A$2634)+COUNT('Diário 6º PA'!$A$5:$A$2246)+COUNT('Diário 7º PA'!$A$5:$A$2271)+ROW()-4)</f>
        <v>5320</v>
      </c>
      <c r="B1374" s="644">
        <v>44533</v>
      </c>
      <c r="C1374" s="645">
        <v>44501</v>
      </c>
      <c r="D1374" s="646" t="s">
        <v>104</v>
      </c>
      <c r="E1374" s="646" t="s">
        <v>104</v>
      </c>
      <c r="F1374" s="647">
        <v>3840</v>
      </c>
      <c r="G1374" s="648" t="s">
        <v>504</v>
      </c>
      <c r="H1374" s="646" t="s">
        <v>104</v>
      </c>
      <c r="I1374" s="660" t="s">
        <v>2814</v>
      </c>
      <c r="J1374" s="548" t="s">
        <v>506</v>
      </c>
      <c r="K1374" s="583" t="s">
        <v>991</v>
      </c>
      <c r="L1374" s="583" t="s">
        <v>1016</v>
      </c>
      <c r="M1374" s="619" t="s">
        <v>1211</v>
      </c>
      <c r="N1374" s="620">
        <v>44531</v>
      </c>
      <c r="O1374" s="684" t="s">
        <v>71</v>
      </c>
      <c r="P1374" s="503">
        <f t="shared" si="74"/>
        <v>12</v>
      </c>
      <c r="Q1374" s="503">
        <f t="shared" si="75"/>
        <v>11</v>
      </c>
      <c r="R1374" s="504" t="str">
        <f t="shared" si="76"/>
        <v>Gastos_custeados_por_captação</v>
      </c>
      <c r="S1374" s="504" t="str">
        <f>IF(D1374="","",IF(OR(D1374=Plano!$A$1,D1374=Plano!$B$1),"entrada","saída"))</f>
        <v>saída</v>
      </c>
      <c r="T1374" s="511" t="s">
        <v>1082</v>
      </c>
      <c r="U1374" s="511">
        <v>1135</v>
      </c>
      <c r="V1374" s="541"/>
    </row>
    <row r="1375" spans="1:22" s="569" customFormat="1" ht="126" customHeight="1" x14ac:dyDescent="0.2">
      <c r="A1375" s="619">
        <f>IF(B1375="","",COUNT('Diário 5º PA'!$A$5:$A$2634)+COUNT('Diário 6º PA'!$A$5:$A$2246)+COUNT('Diário 7º PA'!$A$5:$A$2271)+ROW()-4)</f>
        <v>5321</v>
      </c>
      <c r="B1375" s="644">
        <v>44533</v>
      </c>
      <c r="C1375" s="645">
        <v>44501</v>
      </c>
      <c r="D1375" s="646" t="s">
        <v>104</v>
      </c>
      <c r="E1375" s="646" t="s">
        <v>104</v>
      </c>
      <c r="F1375" s="647">
        <v>7347.75</v>
      </c>
      <c r="G1375" s="648" t="s">
        <v>621</v>
      </c>
      <c r="H1375" s="646" t="s">
        <v>104</v>
      </c>
      <c r="I1375" s="627" t="s">
        <v>1078</v>
      </c>
      <c r="J1375" s="646" t="s">
        <v>623</v>
      </c>
      <c r="K1375" s="583" t="s">
        <v>991</v>
      </c>
      <c r="L1375" s="583" t="s">
        <v>992</v>
      </c>
      <c r="M1375" s="619" t="s">
        <v>4508</v>
      </c>
      <c r="N1375" s="620">
        <v>44531</v>
      </c>
      <c r="O1375" s="684" t="s">
        <v>71</v>
      </c>
      <c r="P1375" s="503">
        <f t="shared" si="74"/>
        <v>12</v>
      </c>
      <c r="Q1375" s="503">
        <f t="shared" si="75"/>
        <v>11</v>
      </c>
      <c r="R1375" s="504" t="str">
        <f t="shared" si="76"/>
        <v>Gastos_custeados_por_captação</v>
      </c>
      <c r="S1375" s="504" t="str">
        <f>IF(D1375="","",IF(OR(D1375=Plano!$A$1,D1375=Plano!$B$1),"entrada","saída"))</f>
        <v>saída</v>
      </c>
      <c r="T1375" s="511" t="s">
        <v>1082</v>
      </c>
      <c r="U1375" s="511">
        <v>1134</v>
      </c>
      <c r="V1375" s="541"/>
    </row>
    <row r="1376" spans="1:22" s="569" customFormat="1" ht="129.75" customHeight="1" x14ac:dyDescent="0.2">
      <c r="A1376" s="619">
        <f>IF(B1376="","",COUNT('Diário 5º PA'!$A$5:$A$2634)+COUNT('Diário 6º PA'!$A$5:$A$2246)+COUNT('Diário 7º PA'!$A$5:$A$2271)+ROW()-4)</f>
        <v>5322</v>
      </c>
      <c r="B1376" s="644">
        <v>44533</v>
      </c>
      <c r="C1376" s="645">
        <v>44501</v>
      </c>
      <c r="D1376" s="646" t="s">
        <v>104</v>
      </c>
      <c r="E1376" s="646" t="s">
        <v>104</v>
      </c>
      <c r="F1376" s="647">
        <v>2500</v>
      </c>
      <c r="G1376" s="648" t="s">
        <v>510</v>
      </c>
      <c r="H1376" s="646" t="s">
        <v>104</v>
      </c>
      <c r="I1376" s="627" t="s">
        <v>3260</v>
      </c>
      <c r="J1376" s="646" t="s">
        <v>512</v>
      </c>
      <c r="K1376" s="583" t="s">
        <v>991</v>
      </c>
      <c r="L1376" s="583" t="s">
        <v>992</v>
      </c>
      <c r="M1376" s="619" t="s">
        <v>2429</v>
      </c>
      <c r="N1376" s="620">
        <v>44531</v>
      </c>
      <c r="O1376" s="684" t="s">
        <v>71</v>
      </c>
      <c r="P1376" s="503">
        <f t="shared" si="74"/>
        <v>12</v>
      </c>
      <c r="Q1376" s="503">
        <f t="shared" si="75"/>
        <v>11</v>
      </c>
      <c r="R1376" s="504" t="str">
        <f t="shared" si="76"/>
        <v>Gastos_custeados_por_captação</v>
      </c>
      <c r="S1376" s="504" t="str">
        <f>IF(D1376="","",IF(OR(D1376=Plano!$A$1,D1376=Plano!$B$1),"entrada","saída"))</f>
        <v>saída</v>
      </c>
      <c r="T1376" s="511" t="s">
        <v>1059</v>
      </c>
      <c r="U1376" s="511">
        <v>1235</v>
      </c>
      <c r="V1376" s="541"/>
    </row>
    <row r="1377" spans="1:22" s="569" customFormat="1" ht="129.75" customHeight="1" x14ac:dyDescent="0.2">
      <c r="A1377" s="619">
        <f>IF(B1377="","",COUNT('Diário 5º PA'!$A$5:$A$2634)+COUNT('Diário 6º PA'!$A$5:$A$2246)+COUNT('Diário 7º PA'!$A$5:$A$2271)+ROW()-4)</f>
        <v>5323</v>
      </c>
      <c r="B1377" s="644">
        <v>44533</v>
      </c>
      <c r="C1377" s="645">
        <v>44501</v>
      </c>
      <c r="D1377" s="646" t="s">
        <v>104</v>
      </c>
      <c r="E1377" s="646" t="s">
        <v>104</v>
      </c>
      <c r="F1377" s="647">
        <v>3840</v>
      </c>
      <c r="G1377" s="648" t="s">
        <v>501</v>
      </c>
      <c r="H1377" s="646" t="s">
        <v>104</v>
      </c>
      <c r="I1377" s="627" t="s">
        <v>7124</v>
      </c>
      <c r="J1377" s="646" t="s">
        <v>503</v>
      </c>
      <c r="K1377" s="583" t="s">
        <v>991</v>
      </c>
      <c r="L1377" s="583" t="s">
        <v>992</v>
      </c>
      <c r="M1377" s="619" t="s">
        <v>1211</v>
      </c>
      <c r="N1377" s="620">
        <v>44531</v>
      </c>
      <c r="O1377" s="684" t="s">
        <v>71</v>
      </c>
      <c r="P1377" s="503">
        <f t="shared" si="74"/>
        <v>12</v>
      </c>
      <c r="Q1377" s="503">
        <f t="shared" si="75"/>
        <v>11</v>
      </c>
      <c r="R1377" s="504" t="str">
        <f t="shared" si="76"/>
        <v>Gastos_custeados_por_captação</v>
      </c>
      <c r="S1377" s="504" t="str">
        <f>IF(D1377="","",IF(OR(D1377=Plano!$A$1,D1377=Plano!$B$1),"entrada","saída"))</f>
        <v>saída</v>
      </c>
      <c r="T1377" s="511" t="s">
        <v>1059</v>
      </c>
      <c r="U1377" s="511">
        <v>1136</v>
      </c>
      <c r="V1377" s="541"/>
    </row>
    <row r="1378" spans="1:22" s="569" customFormat="1" ht="111" customHeight="1" x14ac:dyDescent="0.2">
      <c r="A1378" s="619">
        <f>IF(B1378="","",COUNT('Diário 5º PA'!$A$5:$A$2634)+COUNT('Diário 6º PA'!$A$5:$A$2246)+COUNT('Diário 7º PA'!$A$5:$A$2271)+ROW()-4)</f>
        <v>5324</v>
      </c>
      <c r="B1378" s="644">
        <v>44533</v>
      </c>
      <c r="C1378" s="650">
        <v>44501</v>
      </c>
      <c r="D1378" s="651" t="s">
        <v>104</v>
      </c>
      <c r="E1378" s="651" t="s">
        <v>104</v>
      </c>
      <c r="F1378" s="641">
        <v>2125.92</v>
      </c>
      <c r="G1378" s="639" t="s">
        <v>456</v>
      </c>
      <c r="H1378" s="651" t="s">
        <v>104</v>
      </c>
      <c r="I1378" s="640" t="s">
        <v>2737</v>
      </c>
      <c r="J1378" s="651" t="s">
        <v>458</v>
      </c>
      <c r="K1378" s="642" t="s">
        <v>991</v>
      </c>
      <c r="L1378" s="642" t="s">
        <v>1901</v>
      </c>
      <c r="M1378" s="649">
        <v>1466</v>
      </c>
      <c r="N1378" s="644">
        <v>44531</v>
      </c>
      <c r="O1378" s="685" t="s">
        <v>71</v>
      </c>
      <c r="P1378" s="503">
        <f t="shared" si="74"/>
        <v>12</v>
      </c>
      <c r="Q1378" s="503">
        <f t="shared" si="75"/>
        <v>11</v>
      </c>
      <c r="R1378" s="504" t="str">
        <f t="shared" si="76"/>
        <v>Gastos_custeados_por_captação</v>
      </c>
      <c r="S1378" s="504" t="str">
        <f>IF(D1378="","",IF(OR(D1378=Plano!$A$1,D1378=Plano!$B$1),"entrada","saída"))</f>
        <v>saída</v>
      </c>
      <c r="T1378" s="566" t="s">
        <v>1082</v>
      </c>
      <c r="U1378" s="566">
        <v>1138</v>
      </c>
      <c r="V1378" s="541"/>
    </row>
    <row r="1379" spans="1:22" s="569" customFormat="1" ht="111" customHeight="1" x14ac:dyDescent="0.2">
      <c r="A1379" s="619">
        <f>IF(B1379="","",COUNT('Diário 5º PA'!$A$5:$A$2634)+COUNT('Diário 6º PA'!$A$5:$A$2246)+COUNT('Diário 7º PA'!$A$5:$A$2271)+ROW()-4)</f>
        <v>5325</v>
      </c>
      <c r="B1379" s="644">
        <v>44533</v>
      </c>
      <c r="C1379" s="650">
        <v>44501</v>
      </c>
      <c r="D1379" s="646" t="s">
        <v>104</v>
      </c>
      <c r="E1379" s="646" t="s">
        <v>104</v>
      </c>
      <c r="F1379" s="647">
        <v>3428.95</v>
      </c>
      <c r="G1379" s="648" t="s">
        <v>7132</v>
      </c>
      <c r="H1379" s="646" t="s">
        <v>104</v>
      </c>
      <c r="I1379" s="627" t="s">
        <v>1078</v>
      </c>
      <c r="J1379" s="646" t="s">
        <v>627</v>
      </c>
      <c r="K1379" s="583" t="s">
        <v>991</v>
      </c>
      <c r="L1379" s="583" t="s">
        <v>992</v>
      </c>
      <c r="M1379" s="619" t="s">
        <v>4510</v>
      </c>
      <c r="N1379" s="620">
        <v>44531</v>
      </c>
      <c r="O1379" s="684" t="s">
        <v>71</v>
      </c>
      <c r="P1379" s="503">
        <f t="shared" si="74"/>
        <v>12</v>
      </c>
      <c r="Q1379" s="503">
        <f t="shared" si="75"/>
        <v>11</v>
      </c>
      <c r="R1379" s="504" t="str">
        <f t="shared" si="76"/>
        <v>Gastos_custeados_por_captação</v>
      </c>
      <c r="S1379" s="504" t="str">
        <f>IF(D1379="","",IF(OR(D1379=Plano!$A$1,D1379=Plano!$B$1),"entrada","saída"))</f>
        <v>saída</v>
      </c>
      <c r="T1379" s="511" t="s">
        <v>1082</v>
      </c>
      <c r="U1379" s="511">
        <v>1458</v>
      </c>
      <c r="V1379" s="541"/>
    </row>
    <row r="1380" spans="1:22" s="569" customFormat="1" ht="111" customHeight="1" x14ac:dyDescent="0.2">
      <c r="A1380" s="619">
        <f>IF(B1380="","",COUNT('Diário 5º PA'!$A$5:$A$2634)+COUNT('Diário 6º PA'!$A$5:$A$2246)+COUNT('Diário 7º PA'!$A$5:$A$2271)+ROW()-4)</f>
        <v>5326</v>
      </c>
      <c r="B1380" s="644">
        <v>44533</v>
      </c>
      <c r="C1380" s="645">
        <v>44501</v>
      </c>
      <c r="D1380" s="646" t="s">
        <v>104</v>
      </c>
      <c r="E1380" s="646" t="s">
        <v>104</v>
      </c>
      <c r="F1380" s="647">
        <v>3762.82</v>
      </c>
      <c r="G1380" s="648" t="s">
        <v>499</v>
      </c>
      <c r="H1380" s="646" t="s">
        <v>104</v>
      </c>
      <c r="I1380" s="627" t="s">
        <v>7195</v>
      </c>
      <c r="J1380" s="646" t="s">
        <v>500</v>
      </c>
      <c r="K1380" s="583" t="s">
        <v>991</v>
      </c>
      <c r="L1380" s="583" t="s">
        <v>992</v>
      </c>
      <c r="M1380" s="619" t="s">
        <v>2429</v>
      </c>
      <c r="N1380" s="620">
        <v>44531</v>
      </c>
      <c r="O1380" s="684" t="s">
        <v>71</v>
      </c>
      <c r="P1380" s="503">
        <f t="shared" si="74"/>
        <v>12</v>
      </c>
      <c r="Q1380" s="503">
        <f t="shared" si="75"/>
        <v>11</v>
      </c>
      <c r="R1380" s="504" t="str">
        <f t="shared" si="76"/>
        <v>Gastos_custeados_por_captação</v>
      </c>
      <c r="S1380" s="504" t="str">
        <f>IF(D1380="","",IF(OR(D1380=Plano!$A$1,D1380=Plano!$B$1),"entrada","saída"))</f>
        <v>saída</v>
      </c>
      <c r="T1380" s="511" t="s">
        <v>1082</v>
      </c>
      <c r="U1380" s="511">
        <v>1137</v>
      </c>
      <c r="V1380" s="541"/>
    </row>
    <row r="1381" spans="1:22" s="569" customFormat="1" ht="52.5" customHeight="1" x14ac:dyDescent="0.2">
      <c r="A1381" s="619">
        <f>IF(B1381="","",COUNT('Diário 5º PA'!$A$5:$A$2634)+COUNT('Diário 6º PA'!$A$5:$A$2246)+COUNT('Diário 7º PA'!$A$5:$A$2271)+ROW()-4)</f>
        <v>5327</v>
      </c>
      <c r="B1381" s="644">
        <v>44533</v>
      </c>
      <c r="C1381" s="624">
        <v>44531</v>
      </c>
      <c r="D1381" s="548" t="s">
        <v>104</v>
      </c>
      <c r="E1381" s="548" t="s">
        <v>104</v>
      </c>
      <c r="F1381" s="622">
        <v>10.45</v>
      </c>
      <c r="G1381" s="623" t="s">
        <v>5451</v>
      </c>
      <c r="H1381" s="548" t="s">
        <v>104</v>
      </c>
      <c r="I1381" s="583" t="s">
        <v>949</v>
      </c>
      <c r="J1381" s="548" t="s">
        <v>950</v>
      </c>
      <c r="K1381" s="583" t="s">
        <v>951</v>
      </c>
      <c r="L1381" s="583" t="s">
        <v>947</v>
      </c>
      <c r="M1381" s="625" t="s">
        <v>114</v>
      </c>
      <c r="N1381" s="620">
        <v>44533</v>
      </c>
      <c r="O1381" s="684" t="s">
        <v>71</v>
      </c>
      <c r="P1381" s="503">
        <f t="shared" si="74"/>
        <v>12</v>
      </c>
      <c r="Q1381" s="503">
        <f t="shared" si="75"/>
        <v>12</v>
      </c>
      <c r="R1381" s="504" t="str">
        <f t="shared" si="76"/>
        <v>Gastos_custeados_por_captação</v>
      </c>
      <c r="S1381" s="504" t="str">
        <f>IF(D1381="","",IF(OR(D1381=Plano!$A$1,D1381=Plano!$B$1),"entrada","saída"))</f>
        <v>saída</v>
      </c>
      <c r="T1381" s="505" t="s">
        <v>114</v>
      </c>
      <c r="U1381" s="505" t="s">
        <v>114</v>
      </c>
      <c r="V1381" s="541"/>
    </row>
    <row r="1382" spans="1:22" s="569" customFormat="1" ht="49.5" customHeight="1" x14ac:dyDescent="0.2">
      <c r="A1382" s="619">
        <f>IF(B1382="","",COUNT('Diário 5º PA'!$A$5:$A$2634)+COUNT('Diário 6º PA'!$A$5:$A$2246)+COUNT('Diário 7º PA'!$A$5:$A$2271)+ROW()-4)</f>
        <v>5328</v>
      </c>
      <c r="B1382" s="644">
        <v>44533</v>
      </c>
      <c r="C1382" s="624">
        <v>44531</v>
      </c>
      <c r="D1382" s="548" t="s">
        <v>104</v>
      </c>
      <c r="E1382" s="548" t="s">
        <v>104</v>
      </c>
      <c r="F1382" s="622">
        <v>10.45</v>
      </c>
      <c r="G1382" s="623" t="s">
        <v>5451</v>
      </c>
      <c r="H1382" s="548" t="s">
        <v>104</v>
      </c>
      <c r="I1382" s="583" t="s">
        <v>949</v>
      </c>
      <c r="J1382" s="548" t="s">
        <v>950</v>
      </c>
      <c r="K1382" s="583" t="s">
        <v>951</v>
      </c>
      <c r="L1382" s="583" t="s">
        <v>947</v>
      </c>
      <c r="M1382" s="625" t="s">
        <v>114</v>
      </c>
      <c r="N1382" s="620">
        <v>44533</v>
      </c>
      <c r="O1382" s="684" t="s">
        <v>71</v>
      </c>
      <c r="P1382" s="503">
        <f t="shared" si="74"/>
        <v>12</v>
      </c>
      <c r="Q1382" s="503">
        <f t="shared" si="75"/>
        <v>12</v>
      </c>
      <c r="R1382" s="504" t="str">
        <f t="shared" si="76"/>
        <v>Gastos_custeados_por_captação</v>
      </c>
      <c r="S1382" s="504" t="str">
        <f>IF(D1382="","",IF(OR(D1382=Plano!$A$1,D1382=Plano!$B$1),"entrada","saída"))</f>
        <v>saída</v>
      </c>
      <c r="T1382" s="505" t="s">
        <v>114</v>
      </c>
      <c r="U1382" s="505" t="s">
        <v>114</v>
      </c>
      <c r="V1382" s="541"/>
    </row>
    <row r="1383" spans="1:22" s="573" customFormat="1" ht="244.5" customHeight="1" x14ac:dyDescent="0.2">
      <c r="A1383" s="619">
        <f>IF(B1383="","",COUNT('Diário 5º PA'!$A$5:$A$2634)+COUNT('Diário 6º PA'!$A$5:$A$2246)+COUNT('Diário 7º PA'!$A$5:$A$2271)+ROW()-4)</f>
        <v>5329</v>
      </c>
      <c r="B1383" s="620">
        <v>44536</v>
      </c>
      <c r="C1383" s="645">
        <v>44501</v>
      </c>
      <c r="D1383" s="646" t="s">
        <v>104</v>
      </c>
      <c r="E1383" s="646" t="s">
        <v>104</v>
      </c>
      <c r="F1383" s="647">
        <v>1260</v>
      </c>
      <c r="G1383" s="648" t="s">
        <v>574</v>
      </c>
      <c r="H1383" s="646" t="s">
        <v>104</v>
      </c>
      <c r="I1383" s="627" t="s">
        <v>1354</v>
      </c>
      <c r="J1383" s="646" t="s">
        <v>576</v>
      </c>
      <c r="K1383" s="583" t="s">
        <v>991</v>
      </c>
      <c r="L1383" s="583" t="s">
        <v>1029</v>
      </c>
      <c r="M1383" s="625">
        <v>1474</v>
      </c>
      <c r="N1383" s="620">
        <v>44532</v>
      </c>
      <c r="O1383" s="684" t="s">
        <v>5370</v>
      </c>
      <c r="P1383" s="503">
        <f t="shared" si="74"/>
        <v>12</v>
      </c>
      <c r="Q1383" s="503">
        <f t="shared" si="75"/>
        <v>11</v>
      </c>
      <c r="R1383" s="504" t="str">
        <f t="shared" si="76"/>
        <v>Gastos_custeados_por_captação</v>
      </c>
      <c r="S1383" s="504" t="str">
        <f>IF(D1383="","",IF(OR(D1383=Plano!$A$1,D1383=Plano!$B$1),"entrada","saída"))</f>
        <v>saída</v>
      </c>
      <c r="T1383" s="511" t="s">
        <v>1059</v>
      </c>
      <c r="U1383" s="511">
        <v>1350</v>
      </c>
      <c r="V1383" s="541"/>
    </row>
    <row r="1384" spans="1:22" s="573" customFormat="1" ht="49.5" customHeight="1" x14ac:dyDescent="0.2">
      <c r="A1384" s="619">
        <f>IF(B1384="","",COUNT('Diário 5º PA'!$A$5:$A$2634)+COUNT('Diário 6º PA'!$A$5:$A$2246)+COUNT('Diário 7º PA'!$A$5:$A$2271)+ROW()-4)</f>
        <v>5330</v>
      </c>
      <c r="B1384" s="620">
        <v>44536</v>
      </c>
      <c r="C1384" s="645">
        <v>44501</v>
      </c>
      <c r="D1384" s="548" t="s">
        <v>104</v>
      </c>
      <c r="E1384" s="548" t="s">
        <v>104</v>
      </c>
      <c r="F1384" s="622">
        <v>2075.92</v>
      </c>
      <c r="G1384" s="623" t="s">
        <v>6903</v>
      </c>
      <c r="H1384" s="548" t="s">
        <v>104</v>
      </c>
      <c r="I1384" s="583" t="s">
        <v>7242</v>
      </c>
      <c r="J1384" s="548" t="s">
        <v>604</v>
      </c>
      <c r="K1384" s="583" t="s">
        <v>991</v>
      </c>
      <c r="L1384" s="583" t="s">
        <v>1029</v>
      </c>
      <c r="M1384" s="625">
        <v>1480</v>
      </c>
      <c r="N1384" s="620">
        <v>44533</v>
      </c>
      <c r="O1384" s="684" t="s">
        <v>5370</v>
      </c>
      <c r="P1384" s="503">
        <f t="shared" ref="P1384" si="80">IF(B1384=0,0,IF(YEAR(B1384)=$Q$1,MONTH(B1384)-$P$1+1,(YEAR(B1384)-$Q$1)*12-$P$1+1+MONTH(B1384)))</f>
        <v>12</v>
      </c>
      <c r="Q1384" s="503">
        <f t="shared" ref="Q1384" si="81">IF(C1384=0,0,IF(YEAR(C1384)=$Q$1,MONTH(C1384)-$P$1+1,(YEAR(C1384)-$Q$1)*12-$P$1+1+MONTH(C1384)))</f>
        <v>11</v>
      </c>
      <c r="R1384" s="504" t="str">
        <f t="shared" ref="R1384" si="82">SUBSTITUTE(D1384," ","_")</f>
        <v>Gastos_custeados_por_captação</v>
      </c>
      <c r="S1384" s="504" t="str">
        <f>IF(D1384="","",IF(OR(D1384=Plano!$A$1,D1384=Plano!$B$1),"entrada","saída"))</f>
        <v>saída</v>
      </c>
      <c r="T1384" s="511" t="s">
        <v>1082</v>
      </c>
      <c r="U1384" s="511">
        <v>2202</v>
      </c>
      <c r="V1384" s="541"/>
    </row>
    <row r="1385" spans="1:22" s="573" customFormat="1" ht="49.5" customHeight="1" x14ac:dyDescent="0.2">
      <c r="A1385" s="619">
        <f>IF(B1385="","",COUNT('Diário 5º PA'!$A$5:$A$2634)+COUNT('Diário 6º PA'!$A$5:$A$2246)+COUNT('Diário 7º PA'!$A$5:$A$2271)+ROW()-4)</f>
        <v>5331</v>
      </c>
      <c r="B1385" s="620">
        <v>44536</v>
      </c>
      <c r="C1385" s="645">
        <v>44501</v>
      </c>
      <c r="D1385" s="548" t="s">
        <v>104</v>
      </c>
      <c r="E1385" s="548" t="s">
        <v>104</v>
      </c>
      <c r="F1385" s="622">
        <v>2075.92</v>
      </c>
      <c r="G1385" s="623" t="s">
        <v>6905</v>
      </c>
      <c r="H1385" s="548" t="s">
        <v>104</v>
      </c>
      <c r="I1385" s="583" t="s">
        <v>7243</v>
      </c>
      <c r="J1385" s="548" t="s">
        <v>4171</v>
      </c>
      <c r="K1385" s="583" t="s">
        <v>991</v>
      </c>
      <c r="L1385" s="583" t="s">
        <v>1029</v>
      </c>
      <c r="M1385" s="625">
        <v>1479</v>
      </c>
      <c r="N1385" s="620">
        <v>44533</v>
      </c>
      <c r="O1385" s="684" t="s">
        <v>5370</v>
      </c>
      <c r="P1385" s="503">
        <f t="shared" si="74"/>
        <v>12</v>
      </c>
      <c r="Q1385" s="503">
        <f t="shared" si="75"/>
        <v>11</v>
      </c>
      <c r="R1385" s="504" t="str">
        <f t="shared" si="76"/>
        <v>Gastos_custeados_por_captação</v>
      </c>
      <c r="S1385" s="504" t="str">
        <f>IF(D1385="","",IF(OR(D1385=Plano!$A$1,D1385=Plano!$B$1),"entrada","saída"))</f>
        <v>saída</v>
      </c>
      <c r="T1385" s="511" t="s">
        <v>1082</v>
      </c>
      <c r="U1385" s="511">
        <v>2201</v>
      </c>
      <c r="V1385" s="541"/>
    </row>
    <row r="1386" spans="1:22" s="573" customFormat="1" ht="49.5" customHeight="1" x14ac:dyDescent="0.2">
      <c r="A1386" s="619">
        <f>IF(B1386="","",COUNT('Diário 5º PA'!$A$5:$A$2634)+COUNT('Diário 6º PA'!$A$5:$A$2246)+COUNT('Diário 7º PA'!$A$5:$A$2271)+ROW()-4)</f>
        <v>5332</v>
      </c>
      <c r="B1386" s="620">
        <v>44536</v>
      </c>
      <c r="C1386" s="624">
        <v>44531</v>
      </c>
      <c r="D1386" s="548" t="s">
        <v>104</v>
      </c>
      <c r="E1386" s="548" t="s">
        <v>104</v>
      </c>
      <c r="F1386" s="622">
        <v>10.45</v>
      </c>
      <c r="G1386" s="623" t="s">
        <v>5451</v>
      </c>
      <c r="H1386" s="548" t="s">
        <v>104</v>
      </c>
      <c r="I1386" s="583" t="s">
        <v>949</v>
      </c>
      <c r="J1386" s="548" t="s">
        <v>950</v>
      </c>
      <c r="K1386" s="583" t="s">
        <v>951</v>
      </c>
      <c r="L1386" s="583" t="s">
        <v>947</v>
      </c>
      <c r="M1386" s="625" t="s">
        <v>114</v>
      </c>
      <c r="N1386" s="644">
        <v>44536</v>
      </c>
      <c r="O1386" s="684" t="s">
        <v>5370</v>
      </c>
      <c r="P1386" s="503">
        <f t="shared" si="74"/>
        <v>12</v>
      </c>
      <c r="Q1386" s="503">
        <f t="shared" si="75"/>
        <v>12</v>
      </c>
      <c r="R1386" s="504" t="str">
        <f t="shared" si="76"/>
        <v>Gastos_custeados_por_captação</v>
      </c>
      <c r="S1386" s="504" t="str">
        <f>IF(D1386="","",IF(OR(D1386=Plano!$A$1,D1386=Plano!$B$1),"entrada","saída"))</f>
        <v>saída</v>
      </c>
      <c r="T1386" s="511" t="s">
        <v>114</v>
      </c>
      <c r="U1386" s="511" t="s">
        <v>114</v>
      </c>
      <c r="V1386" s="541"/>
    </row>
    <row r="1387" spans="1:22" s="573" customFormat="1" ht="49.5" customHeight="1" x14ac:dyDescent="0.2">
      <c r="A1387" s="619">
        <f>IF(B1387="","",COUNT('Diário 5º PA'!$A$5:$A$2634)+COUNT('Diário 6º PA'!$A$5:$A$2246)+COUNT('Diário 7º PA'!$A$5:$A$2271)+ROW()-4)</f>
        <v>5333</v>
      </c>
      <c r="B1387" s="620">
        <v>44536</v>
      </c>
      <c r="C1387" s="624">
        <v>44531</v>
      </c>
      <c r="D1387" s="548" t="s">
        <v>104</v>
      </c>
      <c r="E1387" s="548" t="s">
        <v>104</v>
      </c>
      <c r="F1387" s="622">
        <v>10.45</v>
      </c>
      <c r="G1387" s="623" t="s">
        <v>5451</v>
      </c>
      <c r="H1387" s="548" t="s">
        <v>104</v>
      </c>
      <c r="I1387" s="583" t="s">
        <v>949</v>
      </c>
      <c r="J1387" s="548" t="s">
        <v>950</v>
      </c>
      <c r="K1387" s="583" t="s">
        <v>951</v>
      </c>
      <c r="L1387" s="583" t="s">
        <v>947</v>
      </c>
      <c r="M1387" s="625" t="s">
        <v>114</v>
      </c>
      <c r="N1387" s="644">
        <v>44536</v>
      </c>
      <c r="O1387" s="684" t="s">
        <v>5370</v>
      </c>
      <c r="P1387" s="503">
        <f t="shared" ref="P1387:P1388" si="83">IF(B1387=0,0,IF(YEAR(B1387)=$Q$1,MONTH(B1387)-$P$1+1,(YEAR(B1387)-$Q$1)*12-$P$1+1+MONTH(B1387)))</f>
        <v>12</v>
      </c>
      <c r="Q1387" s="503">
        <f t="shared" ref="Q1387:Q1388" si="84">IF(C1387=0,0,IF(YEAR(C1387)=$Q$1,MONTH(C1387)-$P$1+1,(YEAR(C1387)-$Q$1)*12-$P$1+1+MONTH(C1387)))</f>
        <v>12</v>
      </c>
      <c r="R1387" s="504" t="str">
        <f t="shared" ref="R1387:R1388" si="85">SUBSTITUTE(D1387," ","_")</f>
        <v>Gastos_custeados_por_captação</v>
      </c>
      <c r="S1387" s="504" t="str">
        <f>IF(D1387="","",IF(OR(D1387=Plano!$A$1,D1387=Plano!$B$1),"entrada","saída"))</f>
        <v>saída</v>
      </c>
      <c r="T1387" s="511" t="s">
        <v>114</v>
      </c>
      <c r="U1387" s="511" t="s">
        <v>114</v>
      </c>
      <c r="V1387" s="541"/>
    </row>
    <row r="1388" spans="1:22" s="573" customFormat="1" ht="49.5" customHeight="1" x14ac:dyDescent="0.2">
      <c r="A1388" s="619">
        <f>IF(B1388="","",COUNT('Diário 5º PA'!$A$5:$A$2634)+COUNT('Diário 6º PA'!$A$5:$A$2246)+COUNT('Diário 7º PA'!$A$5:$A$2271)+ROW()-4)</f>
        <v>5334</v>
      </c>
      <c r="B1388" s="620">
        <v>44536</v>
      </c>
      <c r="C1388" s="624">
        <v>44531</v>
      </c>
      <c r="D1388" s="548" t="s">
        <v>104</v>
      </c>
      <c r="E1388" s="548" t="s">
        <v>104</v>
      </c>
      <c r="F1388" s="622">
        <v>10.45</v>
      </c>
      <c r="G1388" s="623" t="s">
        <v>5451</v>
      </c>
      <c r="H1388" s="548" t="s">
        <v>104</v>
      </c>
      <c r="I1388" s="583" t="s">
        <v>949</v>
      </c>
      <c r="J1388" s="548" t="s">
        <v>950</v>
      </c>
      <c r="K1388" s="583" t="s">
        <v>951</v>
      </c>
      <c r="L1388" s="583" t="s">
        <v>947</v>
      </c>
      <c r="M1388" s="625" t="s">
        <v>114</v>
      </c>
      <c r="N1388" s="620">
        <v>44536</v>
      </c>
      <c r="O1388" s="684" t="s">
        <v>5370</v>
      </c>
      <c r="P1388" s="503">
        <f t="shared" si="83"/>
        <v>12</v>
      </c>
      <c r="Q1388" s="503">
        <f t="shared" si="84"/>
        <v>12</v>
      </c>
      <c r="R1388" s="504" t="str">
        <f t="shared" si="85"/>
        <v>Gastos_custeados_por_captação</v>
      </c>
      <c r="S1388" s="504" t="str">
        <f>IF(D1388="","",IF(OR(D1388=Plano!$A$1,D1388=Plano!$B$1),"entrada","saída"))</f>
        <v>saída</v>
      </c>
      <c r="T1388" s="511" t="s">
        <v>114</v>
      </c>
      <c r="U1388" s="511" t="s">
        <v>114</v>
      </c>
      <c r="V1388" s="541"/>
    </row>
    <row r="1389" spans="1:22" ht="64.5" customHeight="1" x14ac:dyDescent="0.2">
      <c r="A1389" s="619">
        <f>IF(B1389="","",COUNT('Diário 5º PA'!$A$5:$A$2634)+COUNT('Diário 6º PA'!$A$5:$A$2246)+COUNT('Diário 7º PA'!$A$5:$A$2271)+ROW()-4)</f>
        <v>5335</v>
      </c>
      <c r="B1389" s="620">
        <v>44536</v>
      </c>
      <c r="C1389" s="624">
        <v>44501</v>
      </c>
      <c r="D1389" s="548" t="s">
        <v>99</v>
      </c>
      <c r="E1389" s="548" t="s">
        <v>244</v>
      </c>
      <c r="F1389" s="622">
        <v>-334.93</v>
      </c>
      <c r="G1389" s="623" t="s">
        <v>6569</v>
      </c>
      <c r="H1389" s="548" t="s">
        <v>115</v>
      </c>
      <c r="I1389" s="583" t="s">
        <v>983</v>
      </c>
      <c r="J1389" s="548" t="s">
        <v>850</v>
      </c>
      <c r="K1389" s="583" t="s">
        <v>946</v>
      </c>
      <c r="L1389" s="583" t="s">
        <v>947</v>
      </c>
      <c r="M1389" s="619" t="s">
        <v>114</v>
      </c>
      <c r="N1389" s="620">
        <v>44536</v>
      </c>
      <c r="O1389" s="684" t="s">
        <v>67</v>
      </c>
      <c r="P1389" s="503">
        <f t="shared" si="74"/>
        <v>12</v>
      </c>
      <c r="Q1389" s="503">
        <f t="shared" si="75"/>
        <v>11</v>
      </c>
      <c r="R1389" s="504" t="str">
        <f t="shared" si="76"/>
        <v>Gastos_Gerais</v>
      </c>
      <c r="S1389" s="504" t="str">
        <f>IF(D1389="","",IF(OR(D1389=Plano!$A$1,D1389=Plano!$B$1),"entrada","saída"))</f>
        <v>saída</v>
      </c>
      <c r="T1389" s="546" t="s">
        <v>114</v>
      </c>
      <c r="U1389" s="546" t="s">
        <v>114</v>
      </c>
      <c r="V1389" s="541"/>
    </row>
    <row r="1390" spans="1:22" ht="50.1" customHeight="1" x14ac:dyDescent="0.2">
      <c r="A1390" s="619">
        <f>IF(B1390="","",COUNT('Diário 5º PA'!$A$5:$A$2634)+COUNT('Diário 6º PA'!$A$5:$A$2246)+COUNT('Diário 7º PA'!$A$5:$A$2271)+ROW()-4)</f>
        <v>5336</v>
      </c>
      <c r="B1390" s="620">
        <v>44536</v>
      </c>
      <c r="C1390" s="621">
        <v>44501</v>
      </c>
      <c r="D1390" s="548" t="s">
        <v>88</v>
      </c>
      <c r="E1390" s="548" t="s">
        <v>90</v>
      </c>
      <c r="F1390" s="622">
        <v>5248.58</v>
      </c>
      <c r="G1390" s="623" t="s">
        <v>6570</v>
      </c>
      <c r="H1390" s="548" t="s">
        <v>114</v>
      </c>
      <c r="I1390" s="583" t="s">
        <v>1221</v>
      </c>
      <c r="J1390" s="548" t="s">
        <v>1222</v>
      </c>
      <c r="K1390" s="583" t="s">
        <v>1015</v>
      </c>
      <c r="L1390" s="583" t="s">
        <v>1183</v>
      </c>
      <c r="M1390" s="619" t="s">
        <v>114</v>
      </c>
      <c r="N1390" s="620">
        <v>44536</v>
      </c>
      <c r="O1390" s="684" t="s">
        <v>67</v>
      </c>
      <c r="P1390" s="503">
        <f t="shared" si="74"/>
        <v>12</v>
      </c>
      <c r="Q1390" s="503">
        <f t="shared" si="75"/>
        <v>11</v>
      </c>
      <c r="R1390" s="504" t="str">
        <f t="shared" si="76"/>
        <v>Gastos_com_Pessoal</v>
      </c>
      <c r="S1390" s="504" t="str">
        <f>IF(D1390="","",IF(OR(D1390=Plano!$A$1,D1390=Plano!$B$1),"entrada","saída"))</f>
        <v>saída</v>
      </c>
      <c r="T1390" s="505" t="s">
        <v>114</v>
      </c>
      <c r="U1390" s="505" t="s">
        <v>114</v>
      </c>
      <c r="V1390" s="541"/>
    </row>
    <row r="1391" spans="1:22" ht="50.1" customHeight="1" x14ac:dyDescent="0.2">
      <c r="A1391" s="619">
        <f>IF(B1391="","",COUNT('Diário 5º PA'!$A$5:$A$2634)+COUNT('Diário 6º PA'!$A$5:$A$2246)+COUNT('Diário 7º PA'!$A$5:$A$2271)+ROW()-4)</f>
        <v>5337</v>
      </c>
      <c r="B1391" s="620">
        <v>44536</v>
      </c>
      <c r="C1391" s="621">
        <v>44501</v>
      </c>
      <c r="D1391" s="548" t="s">
        <v>88</v>
      </c>
      <c r="E1391" s="548" t="s">
        <v>90</v>
      </c>
      <c r="F1391" s="622">
        <v>1935.43</v>
      </c>
      <c r="G1391" s="623" t="s">
        <v>6571</v>
      </c>
      <c r="H1391" s="548" t="s">
        <v>114</v>
      </c>
      <c r="I1391" s="583" t="s">
        <v>1794</v>
      </c>
      <c r="J1391" s="548" t="s">
        <v>1795</v>
      </c>
      <c r="K1391" s="583" t="s">
        <v>1015</v>
      </c>
      <c r="L1391" s="583" t="s">
        <v>1183</v>
      </c>
      <c r="M1391" s="619" t="s">
        <v>114</v>
      </c>
      <c r="N1391" s="620">
        <v>44536</v>
      </c>
      <c r="O1391" s="684" t="s">
        <v>67</v>
      </c>
      <c r="P1391" s="503">
        <f t="shared" si="74"/>
        <v>12</v>
      </c>
      <c r="Q1391" s="503">
        <f t="shared" si="75"/>
        <v>11</v>
      </c>
      <c r="R1391" s="504" t="str">
        <f t="shared" si="76"/>
        <v>Gastos_com_Pessoal</v>
      </c>
      <c r="S1391" s="504" t="str">
        <f>IF(D1391="","",IF(OR(D1391=Plano!$A$1,D1391=Plano!$B$1),"entrada","saída"))</f>
        <v>saída</v>
      </c>
      <c r="T1391" s="505" t="s">
        <v>114</v>
      </c>
      <c r="U1391" s="505" t="s">
        <v>114</v>
      </c>
      <c r="V1391" s="541"/>
    </row>
    <row r="1392" spans="1:22" ht="50.1" customHeight="1" x14ac:dyDescent="0.2">
      <c r="A1392" s="619">
        <f>IF(B1392="","",COUNT('Diário 5º PA'!$A$5:$A$2634)+COUNT('Diário 6º PA'!$A$5:$A$2246)+COUNT('Diário 7º PA'!$A$5:$A$2271)+ROW()-4)</f>
        <v>5338</v>
      </c>
      <c r="B1392" s="620">
        <v>44536</v>
      </c>
      <c r="C1392" s="621">
        <v>44501</v>
      </c>
      <c r="D1392" s="548" t="s">
        <v>88</v>
      </c>
      <c r="E1392" s="548" t="s">
        <v>90</v>
      </c>
      <c r="F1392" s="622">
        <v>2254.21</v>
      </c>
      <c r="G1392" s="623" t="s">
        <v>6572</v>
      </c>
      <c r="H1392" s="548" t="s">
        <v>114</v>
      </c>
      <c r="I1392" s="583" t="s">
        <v>1797</v>
      </c>
      <c r="J1392" s="548" t="s">
        <v>1798</v>
      </c>
      <c r="K1392" s="583" t="s">
        <v>1015</v>
      </c>
      <c r="L1392" s="583" t="s">
        <v>1183</v>
      </c>
      <c r="M1392" s="619" t="s">
        <v>114</v>
      </c>
      <c r="N1392" s="620">
        <v>44536</v>
      </c>
      <c r="O1392" s="684" t="s">
        <v>67</v>
      </c>
      <c r="P1392" s="503">
        <f t="shared" si="74"/>
        <v>12</v>
      </c>
      <c r="Q1392" s="503">
        <f t="shared" si="75"/>
        <v>11</v>
      </c>
      <c r="R1392" s="504" t="str">
        <f t="shared" si="76"/>
        <v>Gastos_com_Pessoal</v>
      </c>
      <c r="S1392" s="504" t="str">
        <f>IF(D1392="","",IF(OR(D1392=Plano!$A$1,D1392=Plano!$B$1),"entrada","saída"))</f>
        <v>saída</v>
      </c>
      <c r="T1392" s="505" t="s">
        <v>114</v>
      </c>
      <c r="U1392" s="505" t="s">
        <v>114</v>
      </c>
      <c r="V1392" s="541"/>
    </row>
    <row r="1393" spans="1:22" ht="50.1" customHeight="1" x14ac:dyDescent="0.2">
      <c r="A1393" s="619">
        <f>IF(B1393="","",COUNT('Diário 5º PA'!$A$5:$A$2634)+COUNT('Diário 6º PA'!$A$5:$A$2246)+COUNT('Diário 7º PA'!$A$5:$A$2271)+ROW()-4)</f>
        <v>5339</v>
      </c>
      <c r="B1393" s="620">
        <v>44536</v>
      </c>
      <c r="C1393" s="621">
        <v>44501</v>
      </c>
      <c r="D1393" s="548" t="s">
        <v>88</v>
      </c>
      <c r="E1393" s="548" t="s">
        <v>90</v>
      </c>
      <c r="F1393" s="622">
        <v>2073.4299999999998</v>
      </c>
      <c r="G1393" s="623" t="s">
        <v>6571</v>
      </c>
      <c r="H1393" s="548" t="s">
        <v>114</v>
      </c>
      <c r="I1393" s="583" t="s">
        <v>1799</v>
      </c>
      <c r="J1393" s="548" t="s">
        <v>1800</v>
      </c>
      <c r="K1393" s="583" t="s">
        <v>1015</v>
      </c>
      <c r="L1393" s="583" t="s">
        <v>1183</v>
      </c>
      <c r="M1393" s="619" t="s">
        <v>114</v>
      </c>
      <c r="N1393" s="620">
        <v>44536</v>
      </c>
      <c r="O1393" s="684" t="s">
        <v>67</v>
      </c>
      <c r="P1393" s="503">
        <f t="shared" si="74"/>
        <v>12</v>
      </c>
      <c r="Q1393" s="503">
        <f t="shared" si="75"/>
        <v>11</v>
      </c>
      <c r="R1393" s="504" t="str">
        <f t="shared" si="76"/>
        <v>Gastos_com_Pessoal</v>
      </c>
      <c r="S1393" s="504" t="str">
        <f>IF(D1393="","",IF(OR(D1393=Plano!$A$1,D1393=Plano!$B$1),"entrada","saída"))</f>
        <v>saída</v>
      </c>
      <c r="T1393" s="505" t="s">
        <v>114</v>
      </c>
      <c r="U1393" s="505" t="s">
        <v>114</v>
      </c>
      <c r="V1393" s="541"/>
    </row>
    <row r="1394" spans="1:22" ht="50.1" customHeight="1" x14ac:dyDescent="0.2">
      <c r="A1394" s="619">
        <f>IF(B1394="","",COUNT('Diário 5º PA'!$A$5:$A$2634)+COUNT('Diário 6º PA'!$A$5:$A$2246)+COUNT('Diário 7º PA'!$A$5:$A$2271)+ROW()-4)</f>
        <v>5340</v>
      </c>
      <c r="B1394" s="620">
        <v>44536</v>
      </c>
      <c r="C1394" s="621">
        <v>44501</v>
      </c>
      <c r="D1394" s="548" t="s">
        <v>88</v>
      </c>
      <c r="E1394" s="548" t="s">
        <v>90</v>
      </c>
      <c r="F1394" s="622">
        <v>2091.41</v>
      </c>
      <c r="G1394" s="623" t="s">
        <v>6571</v>
      </c>
      <c r="H1394" s="548" t="s">
        <v>114</v>
      </c>
      <c r="I1394" s="583" t="s">
        <v>1801</v>
      </c>
      <c r="J1394" s="548" t="s">
        <v>1802</v>
      </c>
      <c r="K1394" s="583" t="s">
        <v>1015</v>
      </c>
      <c r="L1394" s="583" t="s">
        <v>1183</v>
      </c>
      <c r="M1394" s="619" t="s">
        <v>114</v>
      </c>
      <c r="N1394" s="620">
        <v>44536</v>
      </c>
      <c r="O1394" s="684" t="s">
        <v>67</v>
      </c>
      <c r="P1394" s="503">
        <f t="shared" si="74"/>
        <v>12</v>
      </c>
      <c r="Q1394" s="503">
        <f t="shared" si="75"/>
        <v>11</v>
      </c>
      <c r="R1394" s="504" t="str">
        <f t="shared" si="76"/>
        <v>Gastos_com_Pessoal</v>
      </c>
      <c r="S1394" s="504" t="str">
        <f>IF(D1394="","",IF(OR(D1394=Plano!$A$1,D1394=Plano!$B$1),"entrada","saída"))</f>
        <v>saída</v>
      </c>
      <c r="T1394" s="505" t="s">
        <v>114</v>
      </c>
      <c r="U1394" s="505" t="s">
        <v>114</v>
      </c>
      <c r="V1394" s="541"/>
    </row>
    <row r="1395" spans="1:22" ht="50.1" customHeight="1" x14ac:dyDescent="0.2">
      <c r="A1395" s="619">
        <f>IF(B1395="","",COUNT('Diário 5º PA'!$A$5:$A$2634)+COUNT('Diário 6º PA'!$A$5:$A$2246)+COUNT('Diário 7º PA'!$A$5:$A$2271)+ROW()-4)</f>
        <v>5341</v>
      </c>
      <c r="B1395" s="620">
        <v>44536</v>
      </c>
      <c r="C1395" s="621">
        <v>44501</v>
      </c>
      <c r="D1395" s="548" t="s">
        <v>88</v>
      </c>
      <c r="E1395" s="548" t="s">
        <v>90</v>
      </c>
      <c r="F1395" s="622">
        <v>2073.4299999999998</v>
      </c>
      <c r="G1395" s="623" t="s">
        <v>6571</v>
      </c>
      <c r="H1395" s="548" t="s">
        <v>114</v>
      </c>
      <c r="I1395" s="583" t="s">
        <v>1803</v>
      </c>
      <c r="J1395" s="548" t="s">
        <v>1804</v>
      </c>
      <c r="K1395" s="583" t="s">
        <v>1015</v>
      </c>
      <c r="L1395" s="583" t="s">
        <v>1183</v>
      </c>
      <c r="M1395" s="619" t="s">
        <v>114</v>
      </c>
      <c r="N1395" s="620">
        <v>44536</v>
      </c>
      <c r="O1395" s="684" t="s">
        <v>67</v>
      </c>
      <c r="P1395" s="503">
        <f t="shared" si="74"/>
        <v>12</v>
      </c>
      <c r="Q1395" s="503">
        <f t="shared" si="75"/>
        <v>11</v>
      </c>
      <c r="R1395" s="504" t="str">
        <f t="shared" si="76"/>
        <v>Gastos_com_Pessoal</v>
      </c>
      <c r="S1395" s="504" t="str">
        <f>IF(D1395="","",IF(OR(D1395=Plano!$A$1,D1395=Plano!$B$1),"entrada","saída"))</f>
        <v>saída</v>
      </c>
      <c r="T1395" s="505" t="s">
        <v>114</v>
      </c>
      <c r="U1395" s="505" t="s">
        <v>114</v>
      </c>
      <c r="V1395" s="541"/>
    </row>
    <row r="1396" spans="1:22" ht="50.1" customHeight="1" x14ac:dyDescent="0.2">
      <c r="A1396" s="619">
        <f>IF(B1396="","",COUNT('Diário 5º PA'!$A$5:$A$2634)+COUNT('Diário 6º PA'!$A$5:$A$2246)+COUNT('Diário 7º PA'!$A$5:$A$2271)+ROW()-4)</f>
        <v>5342</v>
      </c>
      <c r="B1396" s="620">
        <v>44536</v>
      </c>
      <c r="C1396" s="621">
        <v>44501</v>
      </c>
      <c r="D1396" s="548" t="s">
        <v>88</v>
      </c>
      <c r="E1396" s="548" t="s">
        <v>90</v>
      </c>
      <c r="F1396" s="622">
        <v>5340.63</v>
      </c>
      <c r="G1396" s="623" t="s">
        <v>6573</v>
      </c>
      <c r="H1396" s="548" t="s">
        <v>114</v>
      </c>
      <c r="I1396" s="583" t="s">
        <v>1224</v>
      </c>
      <c r="J1396" s="548" t="s">
        <v>1225</v>
      </c>
      <c r="K1396" s="583" t="s">
        <v>1015</v>
      </c>
      <c r="L1396" s="583" t="s">
        <v>1347</v>
      </c>
      <c r="M1396" s="619" t="s">
        <v>114</v>
      </c>
      <c r="N1396" s="620">
        <v>44536</v>
      </c>
      <c r="O1396" s="684" t="s">
        <v>67</v>
      </c>
      <c r="P1396" s="503">
        <f t="shared" si="74"/>
        <v>12</v>
      </c>
      <c r="Q1396" s="503">
        <f t="shared" si="75"/>
        <v>11</v>
      </c>
      <c r="R1396" s="504" t="str">
        <f t="shared" si="76"/>
        <v>Gastos_com_Pessoal</v>
      </c>
      <c r="S1396" s="504" t="str">
        <f>IF(D1396="","",IF(OR(D1396=Plano!$A$1,D1396=Plano!$B$1),"entrada","saída"))</f>
        <v>saída</v>
      </c>
      <c r="T1396" s="505" t="s">
        <v>114</v>
      </c>
      <c r="U1396" s="505" t="s">
        <v>114</v>
      </c>
      <c r="V1396" s="541"/>
    </row>
    <row r="1397" spans="1:22" ht="50.1" customHeight="1" x14ac:dyDescent="0.2">
      <c r="A1397" s="619">
        <f>IF(B1397="","",COUNT('Diário 5º PA'!$A$5:$A$2634)+COUNT('Diário 6º PA'!$A$5:$A$2246)+COUNT('Diário 7º PA'!$A$5:$A$2271)+ROW()-4)</f>
        <v>5343</v>
      </c>
      <c r="B1397" s="620">
        <v>44536</v>
      </c>
      <c r="C1397" s="621">
        <v>44501</v>
      </c>
      <c r="D1397" s="548" t="s">
        <v>88</v>
      </c>
      <c r="E1397" s="548" t="s">
        <v>90</v>
      </c>
      <c r="F1397" s="622">
        <v>2073.4299999999998</v>
      </c>
      <c r="G1397" s="623" t="s">
        <v>6571</v>
      </c>
      <c r="H1397" s="548" t="s">
        <v>114</v>
      </c>
      <c r="I1397" s="583" t="s">
        <v>1806</v>
      </c>
      <c r="J1397" s="548" t="s">
        <v>1807</v>
      </c>
      <c r="K1397" s="583" t="s">
        <v>1015</v>
      </c>
      <c r="L1397" s="583" t="s">
        <v>1183</v>
      </c>
      <c r="M1397" s="619" t="s">
        <v>114</v>
      </c>
      <c r="N1397" s="620">
        <v>44536</v>
      </c>
      <c r="O1397" s="684" t="s">
        <v>67</v>
      </c>
      <c r="P1397" s="503">
        <f t="shared" si="74"/>
        <v>12</v>
      </c>
      <c r="Q1397" s="503">
        <f t="shared" si="75"/>
        <v>11</v>
      </c>
      <c r="R1397" s="504" t="str">
        <f t="shared" si="76"/>
        <v>Gastos_com_Pessoal</v>
      </c>
      <c r="S1397" s="504" t="str">
        <f>IF(D1397="","",IF(OR(D1397=Plano!$A$1,D1397=Plano!$B$1),"entrada","saída"))</f>
        <v>saída</v>
      </c>
      <c r="T1397" s="505" t="s">
        <v>114</v>
      </c>
      <c r="U1397" s="505" t="s">
        <v>114</v>
      </c>
      <c r="V1397" s="541"/>
    </row>
    <row r="1398" spans="1:22" ht="50.1" customHeight="1" x14ac:dyDescent="0.2">
      <c r="A1398" s="619">
        <f>IF(B1398="","",COUNT('Diário 5º PA'!$A$5:$A$2634)+COUNT('Diário 6º PA'!$A$5:$A$2246)+COUNT('Diário 7º PA'!$A$5:$A$2271)+ROW()-4)</f>
        <v>5344</v>
      </c>
      <c r="B1398" s="620">
        <v>44536</v>
      </c>
      <c r="C1398" s="621">
        <v>44501</v>
      </c>
      <c r="D1398" s="548" t="s">
        <v>88</v>
      </c>
      <c r="E1398" s="548" t="s">
        <v>90</v>
      </c>
      <c r="F1398" s="622">
        <v>1832.12</v>
      </c>
      <c r="G1398" s="623" t="s">
        <v>6574</v>
      </c>
      <c r="H1398" s="548" t="s">
        <v>114</v>
      </c>
      <c r="I1398" s="583" t="s">
        <v>1226</v>
      </c>
      <c r="J1398" s="548" t="s">
        <v>1227</v>
      </c>
      <c r="K1398" s="583" t="s">
        <v>1015</v>
      </c>
      <c r="L1398" s="583" t="s">
        <v>1183</v>
      </c>
      <c r="M1398" s="619" t="s">
        <v>114</v>
      </c>
      <c r="N1398" s="620">
        <v>44536</v>
      </c>
      <c r="O1398" s="684" t="s">
        <v>67</v>
      </c>
      <c r="P1398" s="503">
        <f t="shared" si="74"/>
        <v>12</v>
      </c>
      <c r="Q1398" s="503">
        <f t="shared" si="75"/>
        <v>11</v>
      </c>
      <c r="R1398" s="504" t="str">
        <f t="shared" si="76"/>
        <v>Gastos_com_Pessoal</v>
      </c>
      <c r="S1398" s="504" t="str">
        <f>IF(D1398="","",IF(OR(D1398=Plano!$A$1,D1398=Plano!$B$1),"entrada","saída"))</f>
        <v>saída</v>
      </c>
      <c r="T1398" s="505" t="s">
        <v>114</v>
      </c>
      <c r="U1398" s="505" t="s">
        <v>114</v>
      </c>
      <c r="V1398" s="541"/>
    </row>
    <row r="1399" spans="1:22" ht="50.1" customHeight="1" x14ac:dyDescent="0.2">
      <c r="A1399" s="619">
        <f>IF(B1399="","",COUNT('Diário 5º PA'!$A$5:$A$2634)+COUNT('Diário 6º PA'!$A$5:$A$2246)+COUNT('Diário 7º PA'!$A$5:$A$2271)+ROW()-4)</f>
        <v>5345</v>
      </c>
      <c r="B1399" s="620">
        <v>44536</v>
      </c>
      <c r="C1399" s="621">
        <v>44501</v>
      </c>
      <c r="D1399" s="548" t="s">
        <v>88</v>
      </c>
      <c r="E1399" s="548" t="s">
        <v>90</v>
      </c>
      <c r="F1399" s="622">
        <v>1953.41</v>
      </c>
      <c r="G1399" s="623" t="s">
        <v>6575</v>
      </c>
      <c r="H1399" s="548" t="s">
        <v>114</v>
      </c>
      <c r="I1399" s="583" t="s">
        <v>2266</v>
      </c>
      <c r="J1399" s="548" t="s">
        <v>2267</v>
      </c>
      <c r="K1399" s="583" t="s">
        <v>1015</v>
      </c>
      <c r="L1399" s="583" t="s">
        <v>1183</v>
      </c>
      <c r="M1399" s="619" t="s">
        <v>114</v>
      </c>
      <c r="N1399" s="620">
        <v>44536</v>
      </c>
      <c r="O1399" s="684" t="s">
        <v>67</v>
      </c>
      <c r="P1399" s="503">
        <f t="shared" si="74"/>
        <v>12</v>
      </c>
      <c r="Q1399" s="503">
        <f t="shared" si="75"/>
        <v>11</v>
      </c>
      <c r="R1399" s="504" t="str">
        <f t="shared" si="76"/>
        <v>Gastos_com_Pessoal</v>
      </c>
      <c r="S1399" s="504" t="str">
        <f>IF(D1399="","",IF(OR(D1399=Plano!$A$1,D1399=Plano!$B$1),"entrada","saída"))</f>
        <v>saída</v>
      </c>
      <c r="T1399" s="505" t="s">
        <v>114</v>
      </c>
      <c r="U1399" s="505" t="s">
        <v>114</v>
      </c>
      <c r="V1399" s="541"/>
    </row>
    <row r="1400" spans="1:22" ht="50.1" customHeight="1" x14ac:dyDescent="0.2">
      <c r="A1400" s="619">
        <f>IF(B1400="","",COUNT('Diário 5º PA'!$A$5:$A$2634)+COUNT('Diário 6º PA'!$A$5:$A$2246)+COUNT('Diário 7º PA'!$A$5:$A$2271)+ROW()-4)</f>
        <v>5346</v>
      </c>
      <c r="B1400" s="620">
        <v>44536</v>
      </c>
      <c r="C1400" s="621">
        <v>44501</v>
      </c>
      <c r="D1400" s="548" t="s">
        <v>88</v>
      </c>
      <c r="E1400" s="548" t="s">
        <v>90</v>
      </c>
      <c r="F1400" s="622">
        <v>1953.41</v>
      </c>
      <c r="G1400" s="623" t="s">
        <v>6571</v>
      </c>
      <c r="H1400" s="548" t="s">
        <v>114</v>
      </c>
      <c r="I1400" s="583" t="s">
        <v>1808</v>
      </c>
      <c r="J1400" s="548" t="s">
        <v>1028</v>
      </c>
      <c r="K1400" s="583" t="s">
        <v>1015</v>
      </c>
      <c r="L1400" s="583" t="s">
        <v>1183</v>
      </c>
      <c r="M1400" s="619" t="s">
        <v>114</v>
      </c>
      <c r="N1400" s="620">
        <v>44536</v>
      </c>
      <c r="O1400" s="684" t="s">
        <v>67</v>
      </c>
      <c r="P1400" s="503">
        <f t="shared" si="74"/>
        <v>12</v>
      </c>
      <c r="Q1400" s="503">
        <f t="shared" si="75"/>
        <v>11</v>
      </c>
      <c r="R1400" s="504" t="str">
        <f t="shared" si="76"/>
        <v>Gastos_com_Pessoal</v>
      </c>
      <c r="S1400" s="504" t="str">
        <f>IF(D1400="","",IF(OR(D1400=Plano!$A$1,D1400=Plano!$B$1),"entrada","saída"))</f>
        <v>saída</v>
      </c>
      <c r="T1400" s="505" t="s">
        <v>114</v>
      </c>
      <c r="U1400" s="505" t="s">
        <v>114</v>
      </c>
      <c r="V1400" s="541"/>
    </row>
    <row r="1401" spans="1:22" ht="156" customHeight="1" x14ac:dyDescent="0.2">
      <c r="A1401" s="619">
        <f>IF(B1401="","",COUNT('Diário 5º PA'!$A$5:$A$2634)+COUNT('Diário 6º PA'!$A$5:$A$2246)+COUNT('Diário 7º PA'!$A$5:$A$2271)+ROW()-4)</f>
        <v>5347</v>
      </c>
      <c r="B1401" s="620">
        <v>44536</v>
      </c>
      <c r="C1401" s="624">
        <v>44470</v>
      </c>
      <c r="D1401" s="548" t="s">
        <v>99</v>
      </c>
      <c r="E1401" s="548" t="s">
        <v>358</v>
      </c>
      <c r="F1401" s="622">
        <v>1008</v>
      </c>
      <c r="G1401" s="623" t="s">
        <v>742</v>
      </c>
      <c r="H1401" s="548" t="s">
        <v>131</v>
      </c>
      <c r="I1401" s="583" t="s">
        <v>5190</v>
      </c>
      <c r="J1401" s="548" t="s">
        <v>743</v>
      </c>
      <c r="K1401" s="583" t="s">
        <v>1015</v>
      </c>
      <c r="L1401" s="583" t="s">
        <v>1901</v>
      </c>
      <c r="M1401" s="619">
        <v>1478</v>
      </c>
      <c r="N1401" s="620">
        <v>44532</v>
      </c>
      <c r="O1401" s="684" t="s">
        <v>67</v>
      </c>
      <c r="P1401" s="503">
        <f t="shared" si="74"/>
        <v>12</v>
      </c>
      <c r="Q1401" s="503">
        <f t="shared" si="75"/>
        <v>10</v>
      </c>
      <c r="R1401" s="504" t="str">
        <f t="shared" si="76"/>
        <v>Gastos_Gerais</v>
      </c>
      <c r="S1401" s="504" t="str">
        <f>IF(D1401="","",IF(OR(D1401=Plano!$A$1,D1401=Plano!$B$1),"entrada","saída"))</f>
        <v>saída</v>
      </c>
      <c r="T1401" s="505" t="s">
        <v>994</v>
      </c>
      <c r="U1401" s="505">
        <v>1915</v>
      </c>
      <c r="V1401" s="541"/>
    </row>
    <row r="1402" spans="1:22" ht="50.1" customHeight="1" x14ac:dyDescent="0.2">
      <c r="A1402" s="619">
        <f>IF(B1402="","",COUNT('Diário 5º PA'!$A$5:$A$2634)+COUNT('Diário 6º PA'!$A$5:$A$2246)+COUNT('Diário 7º PA'!$A$5:$A$2271)+ROW()-4)</f>
        <v>5348</v>
      </c>
      <c r="B1402" s="620">
        <v>44536</v>
      </c>
      <c r="C1402" s="621">
        <v>44501</v>
      </c>
      <c r="D1402" s="548" t="s">
        <v>88</v>
      </c>
      <c r="E1402" s="548" t="s">
        <v>90</v>
      </c>
      <c r="F1402" s="622">
        <v>2893.42</v>
      </c>
      <c r="G1402" s="623" t="s">
        <v>6578</v>
      </c>
      <c r="H1402" s="548" t="s">
        <v>114</v>
      </c>
      <c r="I1402" s="583" t="s">
        <v>6069</v>
      </c>
      <c r="J1402" s="548" t="s">
        <v>6070</v>
      </c>
      <c r="K1402" s="583" t="s">
        <v>1015</v>
      </c>
      <c r="L1402" s="583" t="s">
        <v>1183</v>
      </c>
      <c r="M1402" s="619" t="s">
        <v>114</v>
      </c>
      <c r="N1402" s="620">
        <v>44536</v>
      </c>
      <c r="O1402" s="684" t="s">
        <v>67</v>
      </c>
      <c r="P1402" s="503">
        <f t="shared" si="74"/>
        <v>12</v>
      </c>
      <c r="Q1402" s="503">
        <f t="shared" si="75"/>
        <v>11</v>
      </c>
      <c r="R1402" s="504" t="str">
        <f t="shared" si="76"/>
        <v>Gastos_com_Pessoal</v>
      </c>
      <c r="S1402" s="504" t="str">
        <f>IF(D1402="","",IF(OR(D1402=Plano!$A$1,D1402=Plano!$B$1),"entrada","saída"))</f>
        <v>saída</v>
      </c>
      <c r="T1402" s="505" t="s">
        <v>114</v>
      </c>
      <c r="U1402" s="505" t="s">
        <v>114</v>
      </c>
      <c r="V1402" s="541"/>
    </row>
    <row r="1403" spans="1:22" ht="50.1" customHeight="1" x14ac:dyDescent="0.2">
      <c r="A1403" s="619">
        <f>IF(B1403="","",COUNT('Diário 5º PA'!$A$5:$A$2634)+COUNT('Diário 6º PA'!$A$5:$A$2246)+COUNT('Diário 7º PA'!$A$5:$A$2271)+ROW()-4)</f>
        <v>5349</v>
      </c>
      <c r="B1403" s="620">
        <v>44536</v>
      </c>
      <c r="C1403" s="621">
        <v>44501</v>
      </c>
      <c r="D1403" s="548" t="s">
        <v>88</v>
      </c>
      <c r="E1403" s="548" t="s">
        <v>90</v>
      </c>
      <c r="F1403" s="622">
        <v>15438.77</v>
      </c>
      <c r="G1403" s="623" t="s">
        <v>6579</v>
      </c>
      <c r="H1403" s="548" t="s">
        <v>114</v>
      </c>
      <c r="I1403" s="583" t="s">
        <v>1229</v>
      </c>
      <c r="J1403" s="548" t="s">
        <v>1230</v>
      </c>
      <c r="K1403" s="583" t="s">
        <v>1015</v>
      </c>
      <c r="L1403" s="583" t="s">
        <v>1183</v>
      </c>
      <c r="M1403" s="619" t="s">
        <v>114</v>
      </c>
      <c r="N1403" s="620">
        <v>44536</v>
      </c>
      <c r="O1403" s="684" t="s">
        <v>67</v>
      </c>
      <c r="P1403" s="503">
        <f t="shared" si="74"/>
        <v>12</v>
      </c>
      <c r="Q1403" s="503">
        <f t="shared" si="75"/>
        <v>11</v>
      </c>
      <c r="R1403" s="504" t="str">
        <f t="shared" si="76"/>
        <v>Gastos_com_Pessoal</v>
      </c>
      <c r="S1403" s="504" t="str">
        <f>IF(D1403="","",IF(OR(D1403=Plano!$A$1,D1403=Plano!$B$1),"entrada","saída"))</f>
        <v>saída</v>
      </c>
      <c r="T1403" s="505" t="s">
        <v>114</v>
      </c>
      <c r="U1403" s="505" t="s">
        <v>114</v>
      </c>
      <c r="V1403" s="541"/>
    </row>
    <row r="1404" spans="1:22" ht="50.1" customHeight="1" x14ac:dyDescent="0.2">
      <c r="A1404" s="619">
        <f>IF(B1404="","",COUNT('Diário 5º PA'!$A$5:$A$2634)+COUNT('Diário 6º PA'!$A$5:$A$2246)+COUNT('Diário 7º PA'!$A$5:$A$2271)+ROW()-4)</f>
        <v>5350</v>
      </c>
      <c r="B1404" s="620">
        <v>44536</v>
      </c>
      <c r="C1404" s="621">
        <v>44501</v>
      </c>
      <c r="D1404" s="548" t="s">
        <v>88</v>
      </c>
      <c r="E1404" s="548" t="s">
        <v>90</v>
      </c>
      <c r="F1404" s="622">
        <v>2091.41</v>
      </c>
      <c r="G1404" s="623" t="s">
        <v>6571</v>
      </c>
      <c r="H1404" s="548" t="s">
        <v>114</v>
      </c>
      <c r="I1404" s="583" t="s">
        <v>1810</v>
      </c>
      <c r="J1404" s="548" t="s">
        <v>1811</v>
      </c>
      <c r="K1404" s="583" t="s">
        <v>1015</v>
      </c>
      <c r="L1404" s="583" t="s">
        <v>1183</v>
      </c>
      <c r="M1404" s="619" t="s">
        <v>114</v>
      </c>
      <c r="N1404" s="620">
        <v>44536</v>
      </c>
      <c r="O1404" s="684" t="s">
        <v>67</v>
      </c>
      <c r="P1404" s="503">
        <f t="shared" si="74"/>
        <v>12</v>
      </c>
      <c r="Q1404" s="503">
        <f t="shared" si="75"/>
        <v>11</v>
      </c>
      <c r="R1404" s="504" t="str">
        <f t="shared" si="76"/>
        <v>Gastos_com_Pessoal</v>
      </c>
      <c r="S1404" s="504" t="str">
        <f>IF(D1404="","",IF(OR(D1404=Plano!$A$1,D1404=Plano!$B$1),"entrada","saída"))</f>
        <v>saída</v>
      </c>
      <c r="T1404" s="505" t="s">
        <v>114</v>
      </c>
      <c r="U1404" s="505" t="s">
        <v>114</v>
      </c>
      <c r="V1404" s="541"/>
    </row>
    <row r="1405" spans="1:22" ht="50.1" customHeight="1" x14ac:dyDescent="0.2">
      <c r="A1405" s="619">
        <f>IF(B1405="","",COUNT('Diário 5º PA'!$A$5:$A$2634)+COUNT('Diário 6º PA'!$A$5:$A$2246)+COUNT('Diário 7º PA'!$A$5:$A$2271)+ROW()-4)</f>
        <v>5351</v>
      </c>
      <c r="B1405" s="620">
        <v>44536</v>
      </c>
      <c r="C1405" s="621">
        <v>44501</v>
      </c>
      <c r="D1405" s="548" t="s">
        <v>88</v>
      </c>
      <c r="E1405" s="548" t="s">
        <v>90</v>
      </c>
      <c r="F1405" s="622">
        <v>3455.54</v>
      </c>
      <c r="G1405" s="623" t="s">
        <v>6580</v>
      </c>
      <c r="H1405" s="548" t="s">
        <v>114</v>
      </c>
      <c r="I1405" s="583" t="s">
        <v>1232</v>
      </c>
      <c r="J1405" s="548" t="s">
        <v>1233</v>
      </c>
      <c r="K1405" s="583" t="s">
        <v>1015</v>
      </c>
      <c r="L1405" s="583" t="s">
        <v>1183</v>
      </c>
      <c r="M1405" s="619" t="s">
        <v>114</v>
      </c>
      <c r="N1405" s="620">
        <v>44536</v>
      </c>
      <c r="O1405" s="684" t="s">
        <v>67</v>
      </c>
      <c r="P1405" s="503">
        <f t="shared" si="74"/>
        <v>12</v>
      </c>
      <c r="Q1405" s="503">
        <f t="shared" si="75"/>
        <v>11</v>
      </c>
      <c r="R1405" s="504" t="str">
        <f t="shared" si="76"/>
        <v>Gastos_com_Pessoal</v>
      </c>
      <c r="S1405" s="504" t="str">
        <f>IF(D1405="","",IF(OR(D1405=Plano!$A$1,D1405=Plano!$B$1),"entrada","saída"))</f>
        <v>saída</v>
      </c>
      <c r="T1405" s="505" t="s">
        <v>114</v>
      </c>
      <c r="U1405" s="505" t="s">
        <v>114</v>
      </c>
      <c r="V1405" s="541"/>
    </row>
    <row r="1406" spans="1:22" ht="50.1" customHeight="1" x14ac:dyDescent="0.2">
      <c r="A1406" s="619">
        <f>IF(B1406="","",COUNT('Diário 5º PA'!$A$5:$A$2634)+COUNT('Diário 6º PA'!$A$5:$A$2246)+COUNT('Diário 7º PA'!$A$5:$A$2271)+ROW()-4)</f>
        <v>5352</v>
      </c>
      <c r="B1406" s="620">
        <v>44536</v>
      </c>
      <c r="C1406" s="621">
        <v>44501</v>
      </c>
      <c r="D1406" s="548" t="s">
        <v>88</v>
      </c>
      <c r="E1406" s="548" t="s">
        <v>90</v>
      </c>
      <c r="F1406" s="622">
        <v>5439.06</v>
      </c>
      <c r="G1406" s="623" t="s">
        <v>6581</v>
      </c>
      <c r="H1406" s="548" t="s">
        <v>114</v>
      </c>
      <c r="I1406" s="583" t="s">
        <v>1235</v>
      </c>
      <c r="J1406" s="548" t="s">
        <v>1236</v>
      </c>
      <c r="K1406" s="583" t="s">
        <v>1015</v>
      </c>
      <c r="L1406" s="583" t="s">
        <v>1183</v>
      </c>
      <c r="M1406" s="619" t="s">
        <v>114</v>
      </c>
      <c r="N1406" s="620">
        <v>44536</v>
      </c>
      <c r="O1406" s="684" t="s">
        <v>67</v>
      </c>
      <c r="P1406" s="503">
        <f t="shared" si="74"/>
        <v>12</v>
      </c>
      <c r="Q1406" s="503">
        <f t="shared" si="75"/>
        <v>11</v>
      </c>
      <c r="R1406" s="504" t="str">
        <f t="shared" si="76"/>
        <v>Gastos_com_Pessoal</v>
      </c>
      <c r="S1406" s="504" t="str">
        <f>IF(D1406="","",IF(OR(D1406=Plano!$A$1,D1406=Plano!$B$1),"entrada","saída"))</f>
        <v>saída</v>
      </c>
      <c r="T1406" s="505" t="s">
        <v>114</v>
      </c>
      <c r="U1406" s="505" t="s">
        <v>114</v>
      </c>
      <c r="V1406" s="541"/>
    </row>
    <row r="1407" spans="1:22" ht="50.1" customHeight="1" x14ac:dyDescent="0.2">
      <c r="A1407" s="619">
        <f>IF(B1407="","",COUNT('Diário 5º PA'!$A$5:$A$2634)+COUNT('Diário 6º PA'!$A$5:$A$2246)+COUNT('Diário 7º PA'!$A$5:$A$2271)+ROW()-4)</f>
        <v>5353</v>
      </c>
      <c r="B1407" s="620">
        <v>44536</v>
      </c>
      <c r="C1407" s="624">
        <v>44501</v>
      </c>
      <c r="D1407" s="548" t="s">
        <v>99</v>
      </c>
      <c r="E1407" s="548" t="s">
        <v>330</v>
      </c>
      <c r="F1407" s="622">
        <v>19905.97</v>
      </c>
      <c r="G1407" s="623" t="s">
        <v>562</v>
      </c>
      <c r="H1407" s="548" t="s">
        <v>129</v>
      </c>
      <c r="I1407" s="583" t="s">
        <v>558</v>
      </c>
      <c r="J1407" s="548" t="s">
        <v>559</v>
      </c>
      <c r="K1407" s="583" t="s">
        <v>560</v>
      </c>
      <c r="L1407" s="583" t="s">
        <v>114</v>
      </c>
      <c r="M1407" s="619" t="s">
        <v>114</v>
      </c>
      <c r="N1407" s="620">
        <v>44536</v>
      </c>
      <c r="O1407" s="684" t="s">
        <v>67</v>
      </c>
      <c r="P1407" s="503">
        <f t="shared" si="74"/>
        <v>12</v>
      </c>
      <c r="Q1407" s="503">
        <f t="shared" si="75"/>
        <v>11</v>
      </c>
      <c r="R1407" s="504" t="str">
        <f t="shared" si="76"/>
        <v>Gastos_Gerais</v>
      </c>
      <c r="S1407" s="504" t="str">
        <f>IF(D1407="","",IF(OR(D1407=Plano!$A$1,D1407=Plano!$B$1),"entrada","saída"))</f>
        <v>saída</v>
      </c>
      <c r="T1407" s="505" t="s">
        <v>114</v>
      </c>
      <c r="U1407" s="505" t="s">
        <v>114</v>
      </c>
      <c r="V1407" s="541"/>
    </row>
    <row r="1408" spans="1:22" ht="50.1" customHeight="1" x14ac:dyDescent="0.2">
      <c r="A1408" s="619">
        <f>IF(B1408="","",COUNT('Diário 5º PA'!$A$5:$A$2634)+COUNT('Diário 6º PA'!$A$5:$A$2246)+COUNT('Diário 7º PA'!$A$5:$A$2271)+ROW()-4)</f>
        <v>5354</v>
      </c>
      <c r="B1408" s="620">
        <v>44536</v>
      </c>
      <c r="C1408" s="621">
        <v>44501</v>
      </c>
      <c r="D1408" s="548" t="s">
        <v>88</v>
      </c>
      <c r="E1408" s="548" t="s">
        <v>90</v>
      </c>
      <c r="F1408" s="622">
        <v>13196.06</v>
      </c>
      <c r="G1408" s="623" t="s">
        <v>6582</v>
      </c>
      <c r="H1408" s="548" t="s">
        <v>114</v>
      </c>
      <c r="I1408" s="583" t="s">
        <v>1181</v>
      </c>
      <c r="J1408" s="548" t="s">
        <v>1182</v>
      </c>
      <c r="K1408" s="583" t="s">
        <v>991</v>
      </c>
      <c r="L1408" s="583" t="s">
        <v>1183</v>
      </c>
      <c r="M1408" s="619" t="s">
        <v>114</v>
      </c>
      <c r="N1408" s="620">
        <v>44536</v>
      </c>
      <c r="O1408" s="684" t="s">
        <v>67</v>
      </c>
      <c r="P1408" s="503">
        <f t="shared" si="74"/>
        <v>12</v>
      </c>
      <c r="Q1408" s="503">
        <f t="shared" si="75"/>
        <v>11</v>
      </c>
      <c r="R1408" s="504" t="str">
        <f t="shared" si="76"/>
        <v>Gastos_com_Pessoal</v>
      </c>
      <c r="S1408" s="504" t="str">
        <f>IF(D1408="","",IF(OR(D1408=Plano!$A$1,D1408=Plano!$B$1),"entrada","saída"))</f>
        <v>saída</v>
      </c>
      <c r="T1408" s="505" t="s">
        <v>114</v>
      </c>
      <c r="U1408" s="505" t="s">
        <v>114</v>
      </c>
      <c r="V1408" s="541"/>
    </row>
    <row r="1409" spans="1:22" ht="50.1" customHeight="1" x14ac:dyDescent="0.2">
      <c r="A1409" s="619">
        <f>IF(B1409="","",COUNT('Diário 5º PA'!$A$5:$A$2634)+COUNT('Diário 6º PA'!$A$5:$A$2246)+COUNT('Diário 7º PA'!$A$5:$A$2271)+ROW()-4)</f>
        <v>5355</v>
      </c>
      <c r="B1409" s="620">
        <v>44536</v>
      </c>
      <c r="C1409" s="621">
        <v>44501</v>
      </c>
      <c r="D1409" s="548" t="s">
        <v>88</v>
      </c>
      <c r="E1409" s="548" t="s">
        <v>90</v>
      </c>
      <c r="F1409" s="622">
        <v>1935.43</v>
      </c>
      <c r="G1409" s="623" t="s">
        <v>6571</v>
      </c>
      <c r="H1409" s="548" t="s">
        <v>114</v>
      </c>
      <c r="I1409" s="583" t="s">
        <v>1757</v>
      </c>
      <c r="J1409" s="548" t="s">
        <v>1758</v>
      </c>
      <c r="K1409" s="583" t="s">
        <v>991</v>
      </c>
      <c r="L1409" s="583" t="s">
        <v>1183</v>
      </c>
      <c r="M1409" s="619" t="s">
        <v>114</v>
      </c>
      <c r="N1409" s="620">
        <v>44536</v>
      </c>
      <c r="O1409" s="684" t="s">
        <v>67</v>
      </c>
      <c r="P1409" s="503">
        <f t="shared" si="74"/>
        <v>12</v>
      </c>
      <c r="Q1409" s="503">
        <f t="shared" si="75"/>
        <v>11</v>
      </c>
      <c r="R1409" s="504" t="str">
        <f t="shared" si="76"/>
        <v>Gastos_com_Pessoal</v>
      </c>
      <c r="S1409" s="504" t="str">
        <f>IF(D1409="","",IF(OR(D1409=Plano!$A$1,D1409=Plano!$B$1),"entrada","saída"))</f>
        <v>saída</v>
      </c>
      <c r="T1409" s="505" t="s">
        <v>114</v>
      </c>
      <c r="U1409" s="505" t="s">
        <v>114</v>
      </c>
      <c r="V1409" s="541"/>
    </row>
    <row r="1410" spans="1:22" ht="50.1" customHeight="1" x14ac:dyDescent="0.2">
      <c r="A1410" s="619">
        <f>IF(B1410="","",COUNT('Diário 5º PA'!$A$5:$A$2634)+COUNT('Diário 6º PA'!$A$5:$A$2246)+COUNT('Diário 7º PA'!$A$5:$A$2271)+ROW()-4)</f>
        <v>5356</v>
      </c>
      <c r="B1410" s="620">
        <v>44536</v>
      </c>
      <c r="C1410" s="621">
        <v>44501</v>
      </c>
      <c r="D1410" s="548" t="s">
        <v>88</v>
      </c>
      <c r="E1410" s="548" t="s">
        <v>90</v>
      </c>
      <c r="F1410" s="622">
        <v>2910.97</v>
      </c>
      <c r="G1410" s="623" t="s">
        <v>6583</v>
      </c>
      <c r="H1410" s="548" t="s">
        <v>114</v>
      </c>
      <c r="I1410" s="583" t="s">
        <v>6024</v>
      </c>
      <c r="J1410" s="548" t="s">
        <v>6025</v>
      </c>
      <c r="K1410" s="583" t="s">
        <v>991</v>
      </c>
      <c r="L1410" s="583" t="s">
        <v>1183</v>
      </c>
      <c r="M1410" s="619" t="s">
        <v>114</v>
      </c>
      <c r="N1410" s="620">
        <v>44536</v>
      </c>
      <c r="O1410" s="684" t="s">
        <v>67</v>
      </c>
      <c r="P1410" s="503">
        <f t="shared" si="74"/>
        <v>12</v>
      </c>
      <c r="Q1410" s="503">
        <f t="shared" si="75"/>
        <v>11</v>
      </c>
      <c r="R1410" s="504" t="str">
        <f t="shared" si="76"/>
        <v>Gastos_com_Pessoal</v>
      </c>
      <c r="S1410" s="504" t="str">
        <f>IF(D1410="","",IF(OR(D1410=Plano!$A$1,D1410=Plano!$B$1),"entrada","saída"))</f>
        <v>saída</v>
      </c>
      <c r="T1410" s="505" t="s">
        <v>114</v>
      </c>
      <c r="U1410" s="505" t="s">
        <v>114</v>
      </c>
      <c r="V1410" s="541"/>
    </row>
    <row r="1411" spans="1:22" ht="50.1" customHeight="1" x14ac:dyDescent="0.2">
      <c r="A1411" s="619">
        <f>IF(B1411="","",COUNT('Diário 5º PA'!$A$5:$A$2634)+COUNT('Diário 6º PA'!$A$5:$A$2246)+COUNT('Diário 7º PA'!$A$5:$A$2271)+ROW()-4)</f>
        <v>5357</v>
      </c>
      <c r="B1411" s="620">
        <v>44536</v>
      </c>
      <c r="C1411" s="621">
        <v>44501</v>
      </c>
      <c r="D1411" s="548" t="s">
        <v>88</v>
      </c>
      <c r="E1411" s="548" t="s">
        <v>90</v>
      </c>
      <c r="F1411" s="622">
        <v>2893.42</v>
      </c>
      <c r="G1411" s="623" t="s">
        <v>6583</v>
      </c>
      <c r="H1411" s="548" t="s">
        <v>114</v>
      </c>
      <c r="I1411" s="583" t="s">
        <v>6026</v>
      </c>
      <c r="J1411" s="548" t="s">
        <v>6027</v>
      </c>
      <c r="K1411" s="583" t="s">
        <v>991</v>
      </c>
      <c r="L1411" s="583" t="s">
        <v>1183</v>
      </c>
      <c r="M1411" s="619" t="s">
        <v>114</v>
      </c>
      <c r="N1411" s="620">
        <v>44536</v>
      </c>
      <c r="O1411" s="684" t="s">
        <v>67</v>
      </c>
      <c r="P1411" s="503">
        <f t="shared" si="74"/>
        <v>12</v>
      </c>
      <c r="Q1411" s="503">
        <f t="shared" si="75"/>
        <v>11</v>
      </c>
      <c r="R1411" s="504" t="str">
        <f t="shared" si="76"/>
        <v>Gastos_com_Pessoal</v>
      </c>
      <c r="S1411" s="504" t="str">
        <f>IF(D1411="","",IF(OR(D1411=Plano!$A$1,D1411=Plano!$B$1),"entrada","saída"))</f>
        <v>saída</v>
      </c>
      <c r="T1411" s="505" t="s">
        <v>114</v>
      </c>
      <c r="U1411" s="505" t="s">
        <v>114</v>
      </c>
      <c r="V1411" s="541"/>
    </row>
    <row r="1412" spans="1:22" ht="50.1" customHeight="1" x14ac:dyDescent="0.2">
      <c r="A1412" s="619">
        <f>IF(B1412="","",COUNT('Diário 5º PA'!$A$5:$A$2634)+COUNT('Diário 6º PA'!$A$5:$A$2246)+COUNT('Diário 7º PA'!$A$5:$A$2271)+ROW()-4)</f>
        <v>5358</v>
      </c>
      <c r="B1412" s="620">
        <v>44536</v>
      </c>
      <c r="C1412" s="621">
        <v>44501</v>
      </c>
      <c r="D1412" s="548" t="s">
        <v>88</v>
      </c>
      <c r="E1412" s="548" t="s">
        <v>90</v>
      </c>
      <c r="F1412" s="622">
        <v>2073.4299999999998</v>
      </c>
      <c r="G1412" s="623" t="s">
        <v>6575</v>
      </c>
      <c r="H1412" s="548" t="s">
        <v>114</v>
      </c>
      <c r="I1412" s="583" t="s">
        <v>2222</v>
      </c>
      <c r="J1412" s="548" t="s">
        <v>2223</v>
      </c>
      <c r="K1412" s="583" t="s">
        <v>991</v>
      </c>
      <c r="L1412" s="583" t="s">
        <v>1183</v>
      </c>
      <c r="M1412" s="619" t="s">
        <v>114</v>
      </c>
      <c r="N1412" s="620">
        <v>44536</v>
      </c>
      <c r="O1412" s="684" t="s">
        <v>67</v>
      </c>
      <c r="P1412" s="503">
        <f t="shared" si="74"/>
        <v>12</v>
      </c>
      <c r="Q1412" s="503">
        <f t="shared" si="75"/>
        <v>11</v>
      </c>
      <c r="R1412" s="504" t="str">
        <f t="shared" si="76"/>
        <v>Gastos_com_Pessoal</v>
      </c>
      <c r="S1412" s="504" t="str">
        <f>IF(D1412="","",IF(OR(D1412=Plano!$A$1,D1412=Plano!$B$1),"entrada","saída"))</f>
        <v>saída</v>
      </c>
      <c r="T1412" s="505" t="s">
        <v>114</v>
      </c>
      <c r="U1412" s="505" t="s">
        <v>114</v>
      </c>
      <c r="V1412" s="541"/>
    </row>
    <row r="1413" spans="1:22" ht="50.1" customHeight="1" x14ac:dyDescent="0.2">
      <c r="A1413" s="619">
        <f>IF(B1413="","",COUNT('Diário 5º PA'!$A$5:$A$2634)+COUNT('Diário 6º PA'!$A$5:$A$2246)+COUNT('Diário 7º PA'!$A$5:$A$2271)+ROW()-4)</f>
        <v>5359</v>
      </c>
      <c r="B1413" s="620">
        <v>44536</v>
      </c>
      <c r="C1413" s="621">
        <v>44501</v>
      </c>
      <c r="D1413" s="548" t="s">
        <v>88</v>
      </c>
      <c r="E1413" s="548" t="s">
        <v>90</v>
      </c>
      <c r="F1413" s="622">
        <v>3806.49</v>
      </c>
      <c r="G1413" s="623" t="s">
        <v>6584</v>
      </c>
      <c r="H1413" s="548" t="s">
        <v>114</v>
      </c>
      <c r="I1413" s="583" t="s">
        <v>1185</v>
      </c>
      <c r="J1413" s="548" t="s">
        <v>1186</v>
      </c>
      <c r="K1413" s="583" t="s">
        <v>991</v>
      </c>
      <c r="L1413" s="583" t="s">
        <v>1183</v>
      </c>
      <c r="M1413" s="619" t="s">
        <v>114</v>
      </c>
      <c r="N1413" s="620">
        <v>44536</v>
      </c>
      <c r="O1413" s="684" t="s">
        <v>67</v>
      </c>
      <c r="P1413" s="503">
        <f t="shared" si="74"/>
        <v>12</v>
      </c>
      <c r="Q1413" s="503">
        <f t="shared" si="75"/>
        <v>11</v>
      </c>
      <c r="R1413" s="504" t="str">
        <f t="shared" si="76"/>
        <v>Gastos_com_Pessoal</v>
      </c>
      <c r="S1413" s="504" t="str">
        <f>IF(D1413="","",IF(OR(D1413=Plano!$A$1,D1413=Plano!$B$1),"entrada","saída"))</f>
        <v>saída</v>
      </c>
      <c r="T1413" s="505" t="s">
        <v>114</v>
      </c>
      <c r="U1413" s="505" t="s">
        <v>114</v>
      </c>
      <c r="V1413" s="541"/>
    </row>
    <row r="1414" spans="1:22" ht="50.1" customHeight="1" x14ac:dyDescent="0.2">
      <c r="A1414" s="619">
        <f>IF(B1414="","",COUNT('Diário 5º PA'!$A$5:$A$2634)+COUNT('Diário 6º PA'!$A$5:$A$2246)+COUNT('Diário 7º PA'!$A$5:$A$2271)+ROW()-4)</f>
        <v>5360</v>
      </c>
      <c r="B1414" s="620">
        <v>44536</v>
      </c>
      <c r="C1414" s="621">
        <v>44501</v>
      </c>
      <c r="D1414" s="548" t="s">
        <v>88</v>
      </c>
      <c r="E1414" s="548" t="s">
        <v>90</v>
      </c>
      <c r="F1414" s="622">
        <v>2977.08</v>
      </c>
      <c r="G1414" s="623" t="s">
        <v>6585</v>
      </c>
      <c r="H1414" s="548" t="s">
        <v>114</v>
      </c>
      <c r="I1414" s="583" t="s">
        <v>2225</v>
      </c>
      <c r="J1414" s="548" t="s">
        <v>2226</v>
      </c>
      <c r="K1414" s="583" t="s">
        <v>991</v>
      </c>
      <c r="L1414" s="583" t="s">
        <v>1183</v>
      </c>
      <c r="M1414" s="619" t="s">
        <v>114</v>
      </c>
      <c r="N1414" s="620">
        <v>44536</v>
      </c>
      <c r="O1414" s="684" t="s">
        <v>67</v>
      </c>
      <c r="P1414" s="503">
        <f t="shared" si="74"/>
        <v>12</v>
      </c>
      <c r="Q1414" s="503">
        <f t="shared" si="75"/>
        <v>11</v>
      </c>
      <c r="R1414" s="504" t="str">
        <f t="shared" si="76"/>
        <v>Gastos_com_Pessoal</v>
      </c>
      <c r="S1414" s="504" t="str">
        <f>IF(D1414="","",IF(OR(D1414=Plano!$A$1,D1414=Plano!$B$1),"entrada","saída"))</f>
        <v>saída</v>
      </c>
      <c r="T1414" s="505" t="s">
        <v>114</v>
      </c>
      <c r="U1414" s="505" t="s">
        <v>114</v>
      </c>
      <c r="V1414" s="541"/>
    </row>
    <row r="1415" spans="1:22" ht="50.1" customHeight="1" x14ac:dyDescent="0.2">
      <c r="A1415" s="619">
        <f>IF(B1415="","",COUNT('Diário 5º PA'!$A$5:$A$2634)+COUNT('Diário 6º PA'!$A$5:$A$2246)+COUNT('Diário 7º PA'!$A$5:$A$2271)+ROW()-4)</f>
        <v>5361</v>
      </c>
      <c r="B1415" s="620">
        <v>44536</v>
      </c>
      <c r="C1415" s="621">
        <v>44501</v>
      </c>
      <c r="D1415" s="548" t="s">
        <v>88</v>
      </c>
      <c r="E1415" s="548" t="s">
        <v>90</v>
      </c>
      <c r="F1415" s="622">
        <v>2073.4299999999998</v>
      </c>
      <c r="G1415" s="623" t="s">
        <v>6586</v>
      </c>
      <c r="H1415" s="548" t="s">
        <v>114</v>
      </c>
      <c r="I1415" s="583" t="s">
        <v>2228</v>
      </c>
      <c r="J1415" s="548" t="s">
        <v>2229</v>
      </c>
      <c r="K1415" s="583" t="s">
        <v>991</v>
      </c>
      <c r="L1415" s="583" t="s">
        <v>1183</v>
      </c>
      <c r="M1415" s="619" t="s">
        <v>114</v>
      </c>
      <c r="N1415" s="620">
        <v>44536</v>
      </c>
      <c r="O1415" s="684" t="s">
        <v>67</v>
      </c>
      <c r="P1415" s="503">
        <f t="shared" si="74"/>
        <v>12</v>
      </c>
      <c r="Q1415" s="503">
        <f t="shared" si="75"/>
        <v>11</v>
      </c>
      <c r="R1415" s="504" t="str">
        <f t="shared" si="76"/>
        <v>Gastos_com_Pessoal</v>
      </c>
      <c r="S1415" s="504" t="str">
        <f>IF(D1415="","",IF(OR(D1415=Plano!$A$1,D1415=Plano!$B$1),"entrada","saída"))</f>
        <v>saída</v>
      </c>
      <c r="T1415" s="505" t="s">
        <v>114</v>
      </c>
      <c r="U1415" s="505" t="s">
        <v>114</v>
      </c>
      <c r="V1415" s="541"/>
    </row>
    <row r="1416" spans="1:22" ht="50.1" customHeight="1" x14ac:dyDescent="0.2">
      <c r="A1416" s="619">
        <f>IF(B1416="","",COUNT('Diário 5º PA'!$A$5:$A$2634)+COUNT('Diário 6º PA'!$A$5:$A$2246)+COUNT('Diário 7º PA'!$A$5:$A$2271)+ROW()-4)</f>
        <v>5362</v>
      </c>
      <c r="B1416" s="620">
        <v>44536</v>
      </c>
      <c r="C1416" s="621">
        <v>44501</v>
      </c>
      <c r="D1416" s="548" t="s">
        <v>88</v>
      </c>
      <c r="E1416" s="548" t="s">
        <v>90</v>
      </c>
      <c r="F1416" s="622">
        <v>2254.21</v>
      </c>
      <c r="G1416" s="623" t="s">
        <v>6587</v>
      </c>
      <c r="H1416" s="548" t="s">
        <v>114</v>
      </c>
      <c r="I1416" s="583" t="s">
        <v>1760</v>
      </c>
      <c r="J1416" s="548" t="s">
        <v>1761</v>
      </c>
      <c r="K1416" s="583" t="s">
        <v>991</v>
      </c>
      <c r="L1416" s="583" t="s">
        <v>1183</v>
      </c>
      <c r="M1416" s="619" t="s">
        <v>114</v>
      </c>
      <c r="N1416" s="620">
        <v>44536</v>
      </c>
      <c r="O1416" s="684" t="s">
        <v>67</v>
      </c>
      <c r="P1416" s="503">
        <f t="shared" si="74"/>
        <v>12</v>
      </c>
      <c r="Q1416" s="503">
        <f t="shared" si="75"/>
        <v>11</v>
      </c>
      <c r="R1416" s="504" t="str">
        <f t="shared" si="76"/>
        <v>Gastos_com_Pessoal</v>
      </c>
      <c r="S1416" s="504" t="str">
        <f>IF(D1416="","",IF(OR(D1416=Plano!$A$1,D1416=Plano!$B$1),"entrada","saída"))</f>
        <v>saída</v>
      </c>
      <c r="T1416" s="505" t="s">
        <v>114</v>
      </c>
      <c r="U1416" s="505" t="s">
        <v>114</v>
      </c>
      <c r="V1416" s="541"/>
    </row>
    <row r="1417" spans="1:22" ht="50.1" customHeight="1" x14ac:dyDescent="0.2">
      <c r="A1417" s="619">
        <f>IF(B1417="","",COUNT('Diário 5º PA'!$A$5:$A$2634)+COUNT('Diário 6º PA'!$A$5:$A$2246)+COUNT('Diário 7º PA'!$A$5:$A$2271)+ROW()-4)</f>
        <v>5363</v>
      </c>
      <c r="B1417" s="620">
        <v>44536</v>
      </c>
      <c r="C1417" s="621">
        <v>44501</v>
      </c>
      <c r="D1417" s="548" t="s">
        <v>88</v>
      </c>
      <c r="E1417" s="548" t="s">
        <v>90</v>
      </c>
      <c r="F1417" s="622">
        <v>1953.41</v>
      </c>
      <c r="G1417" s="623" t="s">
        <v>6588</v>
      </c>
      <c r="H1417" s="548" t="s">
        <v>114</v>
      </c>
      <c r="I1417" s="583" t="s">
        <v>2232</v>
      </c>
      <c r="J1417" s="548" t="s">
        <v>2229</v>
      </c>
      <c r="K1417" s="583" t="s">
        <v>991</v>
      </c>
      <c r="L1417" s="583" t="s">
        <v>1183</v>
      </c>
      <c r="M1417" s="619" t="s">
        <v>114</v>
      </c>
      <c r="N1417" s="620">
        <v>44536</v>
      </c>
      <c r="O1417" s="684" t="s">
        <v>67</v>
      </c>
      <c r="P1417" s="503">
        <f t="shared" si="74"/>
        <v>12</v>
      </c>
      <c r="Q1417" s="503">
        <f t="shared" si="75"/>
        <v>11</v>
      </c>
      <c r="R1417" s="504" t="str">
        <f t="shared" si="76"/>
        <v>Gastos_com_Pessoal</v>
      </c>
      <c r="S1417" s="504" t="str">
        <f>IF(D1417="","",IF(OR(D1417=Plano!$A$1,D1417=Plano!$B$1),"entrada","saída"))</f>
        <v>saída</v>
      </c>
      <c r="T1417" s="505" t="s">
        <v>114</v>
      </c>
      <c r="U1417" s="505" t="s">
        <v>114</v>
      </c>
      <c r="V1417" s="541"/>
    </row>
    <row r="1418" spans="1:22" ht="50.1" customHeight="1" x14ac:dyDescent="0.2">
      <c r="A1418" s="619">
        <f>IF(B1418="","",COUNT('Diário 5º PA'!$A$5:$A$2634)+COUNT('Diário 6º PA'!$A$5:$A$2246)+COUNT('Diário 7º PA'!$A$5:$A$2271)+ROW()-4)</f>
        <v>5364</v>
      </c>
      <c r="B1418" s="620">
        <v>44536</v>
      </c>
      <c r="C1418" s="621">
        <v>44501</v>
      </c>
      <c r="D1418" s="548" t="s">
        <v>88</v>
      </c>
      <c r="E1418" s="548" t="s">
        <v>90</v>
      </c>
      <c r="F1418" s="622">
        <v>1832.13</v>
      </c>
      <c r="G1418" s="623" t="s">
        <v>6574</v>
      </c>
      <c r="H1418" s="548" t="s">
        <v>114</v>
      </c>
      <c r="I1418" s="583" t="s">
        <v>1188</v>
      </c>
      <c r="J1418" s="548" t="s">
        <v>1189</v>
      </c>
      <c r="K1418" s="583" t="s">
        <v>991</v>
      </c>
      <c r="L1418" s="583" t="s">
        <v>1183</v>
      </c>
      <c r="M1418" s="619" t="s">
        <v>114</v>
      </c>
      <c r="N1418" s="620">
        <v>44536</v>
      </c>
      <c r="O1418" s="684" t="s">
        <v>67</v>
      </c>
      <c r="P1418" s="503">
        <f t="shared" si="74"/>
        <v>12</v>
      </c>
      <c r="Q1418" s="503">
        <f t="shared" si="75"/>
        <v>11</v>
      </c>
      <c r="R1418" s="504" t="str">
        <f t="shared" si="76"/>
        <v>Gastos_com_Pessoal</v>
      </c>
      <c r="S1418" s="504" t="str">
        <f>IF(D1418="","",IF(OR(D1418=Plano!$A$1,D1418=Plano!$B$1),"entrada","saída"))</f>
        <v>saída</v>
      </c>
      <c r="T1418" s="505" t="s">
        <v>114</v>
      </c>
      <c r="U1418" s="505" t="s">
        <v>114</v>
      </c>
      <c r="V1418" s="541"/>
    </row>
    <row r="1419" spans="1:22" ht="50.1" customHeight="1" x14ac:dyDescent="0.2">
      <c r="A1419" s="619">
        <f>IF(B1419="","",COUNT('Diário 5º PA'!$A$5:$A$2634)+COUNT('Diário 6º PA'!$A$5:$A$2246)+COUNT('Diário 7º PA'!$A$5:$A$2271)+ROW()-4)</f>
        <v>5365</v>
      </c>
      <c r="B1419" s="620">
        <v>44536</v>
      </c>
      <c r="C1419" s="621">
        <v>44501</v>
      </c>
      <c r="D1419" s="548" t="s">
        <v>88</v>
      </c>
      <c r="E1419" s="548" t="s">
        <v>90</v>
      </c>
      <c r="F1419" s="622">
        <v>2875.44</v>
      </c>
      <c r="G1419" s="623" t="s">
        <v>6589</v>
      </c>
      <c r="H1419" s="548" t="s">
        <v>114</v>
      </c>
      <c r="I1419" s="583" t="s">
        <v>6036</v>
      </c>
      <c r="J1419" s="548" t="s">
        <v>6037</v>
      </c>
      <c r="K1419" s="583" t="s">
        <v>991</v>
      </c>
      <c r="L1419" s="583" t="s">
        <v>1183</v>
      </c>
      <c r="M1419" s="619" t="s">
        <v>114</v>
      </c>
      <c r="N1419" s="620">
        <v>44536</v>
      </c>
      <c r="O1419" s="684" t="s">
        <v>67</v>
      </c>
      <c r="P1419" s="503">
        <f t="shared" si="74"/>
        <v>12</v>
      </c>
      <c r="Q1419" s="503">
        <f t="shared" si="75"/>
        <v>11</v>
      </c>
      <c r="R1419" s="504" t="str">
        <f t="shared" si="76"/>
        <v>Gastos_com_Pessoal</v>
      </c>
      <c r="S1419" s="504" t="str">
        <f>IF(D1419="","",IF(OR(D1419=Plano!$A$1,D1419=Plano!$B$1),"entrada","saída"))</f>
        <v>saída</v>
      </c>
      <c r="T1419" s="505" t="s">
        <v>114</v>
      </c>
      <c r="U1419" s="505" t="s">
        <v>114</v>
      </c>
      <c r="V1419" s="541"/>
    </row>
    <row r="1420" spans="1:22" ht="50.1" customHeight="1" x14ac:dyDescent="0.2">
      <c r="A1420" s="619">
        <f>IF(B1420="","",COUNT('Diário 5º PA'!$A$5:$A$2634)+COUNT('Diário 6º PA'!$A$5:$A$2246)+COUNT('Diário 7º PA'!$A$5:$A$2271)+ROW()-4)</f>
        <v>5366</v>
      </c>
      <c r="B1420" s="620">
        <v>44536</v>
      </c>
      <c r="C1420" s="621">
        <v>44501</v>
      </c>
      <c r="D1420" s="548" t="s">
        <v>88</v>
      </c>
      <c r="E1420" s="548" t="s">
        <v>90</v>
      </c>
      <c r="F1420" s="622">
        <v>2073.4299999999998</v>
      </c>
      <c r="G1420" s="623" t="s">
        <v>6590</v>
      </c>
      <c r="H1420" s="548" t="s">
        <v>114</v>
      </c>
      <c r="I1420" s="583" t="s">
        <v>2235</v>
      </c>
      <c r="J1420" s="548" t="s">
        <v>2236</v>
      </c>
      <c r="K1420" s="583" t="s">
        <v>991</v>
      </c>
      <c r="L1420" s="583" t="s">
        <v>1183</v>
      </c>
      <c r="M1420" s="619" t="s">
        <v>114</v>
      </c>
      <c r="N1420" s="620">
        <v>44536</v>
      </c>
      <c r="O1420" s="684" t="s">
        <v>67</v>
      </c>
      <c r="P1420" s="503">
        <f t="shared" ref="P1420:P1483" si="86">IF(B1420=0,0,IF(YEAR(B1420)=$Q$1,MONTH(B1420)-$P$1+1,(YEAR(B1420)-$Q$1)*12-$P$1+1+MONTH(B1420)))</f>
        <v>12</v>
      </c>
      <c r="Q1420" s="503">
        <f t="shared" ref="Q1420:Q1483" si="87">IF(C1420=0,0,IF(YEAR(C1420)=$Q$1,MONTH(C1420)-$P$1+1,(YEAR(C1420)-$Q$1)*12-$P$1+1+MONTH(C1420)))</f>
        <v>11</v>
      </c>
      <c r="R1420" s="504" t="str">
        <f t="shared" ref="R1420:R1483" si="88">SUBSTITUTE(D1420," ","_")</f>
        <v>Gastos_com_Pessoal</v>
      </c>
      <c r="S1420" s="504" t="str">
        <f>IF(D1420="","",IF(OR(D1420=Plano!$A$1,D1420=Plano!$B$1),"entrada","saída"))</f>
        <v>saída</v>
      </c>
      <c r="T1420" s="505" t="s">
        <v>114</v>
      </c>
      <c r="U1420" s="505" t="s">
        <v>114</v>
      </c>
      <c r="V1420" s="541"/>
    </row>
    <row r="1421" spans="1:22" ht="50.1" customHeight="1" x14ac:dyDescent="0.2">
      <c r="A1421" s="619">
        <f>IF(B1421="","",COUNT('Diário 5º PA'!$A$5:$A$2634)+COUNT('Diário 6º PA'!$A$5:$A$2246)+COUNT('Diário 7º PA'!$A$5:$A$2271)+ROW()-4)</f>
        <v>5367</v>
      </c>
      <c r="B1421" s="620">
        <v>44536</v>
      </c>
      <c r="C1421" s="621">
        <v>44501</v>
      </c>
      <c r="D1421" s="548" t="s">
        <v>88</v>
      </c>
      <c r="E1421" s="548" t="s">
        <v>90</v>
      </c>
      <c r="F1421" s="622">
        <v>1935.43</v>
      </c>
      <c r="G1421" s="623" t="s">
        <v>6590</v>
      </c>
      <c r="H1421" s="548" t="s">
        <v>114</v>
      </c>
      <c r="I1421" s="583" t="s">
        <v>2238</v>
      </c>
      <c r="J1421" s="548" t="s">
        <v>2239</v>
      </c>
      <c r="K1421" s="583" t="s">
        <v>991</v>
      </c>
      <c r="L1421" s="583" t="s">
        <v>1183</v>
      </c>
      <c r="M1421" s="619" t="s">
        <v>114</v>
      </c>
      <c r="N1421" s="620">
        <v>44536</v>
      </c>
      <c r="O1421" s="684" t="s">
        <v>67</v>
      </c>
      <c r="P1421" s="503">
        <f t="shared" si="86"/>
        <v>12</v>
      </c>
      <c r="Q1421" s="503">
        <f t="shared" si="87"/>
        <v>11</v>
      </c>
      <c r="R1421" s="504" t="str">
        <f t="shared" si="88"/>
        <v>Gastos_com_Pessoal</v>
      </c>
      <c r="S1421" s="504" t="str">
        <f>IF(D1421="","",IF(OR(D1421=Plano!$A$1,D1421=Plano!$B$1),"entrada","saída"))</f>
        <v>saída</v>
      </c>
      <c r="T1421" s="505" t="s">
        <v>114</v>
      </c>
      <c r="U1421" s="505" t="s">
        <v>114</v>
      </c>
      <c r="V1421" s="541"/>
    </row>
    <row r="1422" spans="1:22" ht="50.1" customHeight="1" x14ac:dyDescent="0.2">
      <c r="A1422" s="619">
        <f>IF(B1422="","",COUNT('Diário 5º PA'!$A$5:$A$2634)+COUNT('Diário 6º PA'!$A$5:$A$2246)+COUNT('Diário 7º PA'!$A$5:$A$2271)+ROW()-4)</f>
        <v>5368</v>
      </c>
      <c r="B1422" s="620">
        <v>44536</v>
      </c>
      <c r="C1422" s="621">
        <v>44501</v>
      </c>
      <c r="D1422" s="548" t="s">
        <v>88</v>
      </c>
      <c r="E1422" s="548" t="s">
        <v>90</v>
      </c>
      <c r="F1422" s="622">
        <v>2742.61</v>
      </c>
      <c r="G1422" s="623" t="s">
        <v>6591</v>
      </c>
      <c r="H1422" s="548" t="s">
        <v>114</v>
      </c>
      <c r="I1422" s="583" t="s">
        <v>2258</v>
      </c>
      <c r="J1422" s="548" t="s">
        <v>2259</v>
      </c>
      <c r="K1422" s="583" t="s">
        <v>991</v>
      </c>
      <c r="L1422" s="583" t="s">
        <v>1183</v>
      </c>
      <c r="M1422" s="619" t="s">
        <v>114</v>
      </c>
      <c r="N1422" s="620">
        <v>44536</v>
      </c>
      <c r="O1422" s="684" t="s">
        <v>67</v>
      </c>
      <c r="P1422" s="503">
        <f t="shared" si="86"/>
        <v>12</v>
      </c>
      <c r="Q1422" s="503">
        <f t="shared" si="87"/>
        <v>11</v>
      </c>
      <c r="R1422" s="504" t="str">
        <f t="shared" si="88"/>
        <v>Gastos_com_Pessoal</v>
      </c>
      <c r="S1422" s="504" t="str">
        <f>IF(D1422="","",IF(OR(D1422=Plano!$A$1,D1422=Plano!$B$1),"entrada","saída"))</f>
        <v>saída</v>
      </c>
      <c r="T1422" s="505" t="s">
        <v>114</v>
      </c>
      <c r="U1422" s="505" t="s">
        <v>114</v>
      </c>
      <c r="V1422" s="541"/>
    </row>
    <row r="1423" spans="1:22" ht="50.1" customHeight="1" x14ac:dyDescent="0.2">
      <c r="A1423" s="619">
        <f>IF(B1423="","",COUNT('Diário 5º PA'!$A$5:$A$2634)+COUNT('Diário 6º PA'!$A$5:$A$2246)+COUNT('Diário 7º PA'!$A$5:$A$2271)+ROW()-4)</f>
        <v>5369</v>
      </c>
      <c r="B1423" s="620">
        <v>44536</v>
      </c>
      <c r="C1423" s="621">
        <v>44501</v>
      </c>
      <c r="D1423" s="548" t="s">
        <v>88</v>
      </c>
      <c r="E1423" s="548" t="s">
        <v>90</v>
      </c>
      <c r="F1423" s="622">
        <v>2073.4299999999998</v>
      </c>
      <c r="G1423" s="623" t="s">
        <v>6571</v>
      </c>
      <c r="H1423" s="548" t="s">
        <v>114</v>
      </c>
      <c r="I1423" s="583" t="s">
        <v>1763</v>
      </c>
      <c r="J1423" s="548" t="s">
        <v>1764</v>
      </c>
      <c r="K1423" s="583" t="s">
        <v>991</v>
      </c>
      <c r="L1423" s="583" t="s">
        <v>1183</v>
      </c>
      <c r="M1423" s="619" t="s">
        <v>114</v>
      </c>
      <c r="N1423" s="620">
        <v>44536</v>
      </c>
      <c r="O1423" s="684" t="s">
        <v>67</v>
      </c>
      <c r="P1423" s="503">
        <f t="shared" si="86"/>
        <v>12</v>
      </c>
      <c r="Q1423" s="503">
        <f t="shared" si="87"/>
        <v>11</v>
      </c>
      <c r="R1423" s="504" t="str">
        <f t="shared" si="88"/>
        <v>Gastos_com_Pessoal</v>
      </c>
      <c r="S1423" s="504" t="str">
        <f>IF(D1423="","",IF(OR(D1423=Plano!$A$1,D1423=Plano!$B$1),"entrada","saída"))</f>
        <v>saída</v>
      </c>
      <c r="T1423" s="505" t="s">
        <v>114</v>
      </c>
      <c r="U1423" s="505" t="s">
        <v>114</v>
      </c>
      <c r="V1423" s="541"/>
    </row>
    <row r="1424" spans="1:22" ht="50.1" customHeight="1" x14ac:dyDescent="0.2">
      <c r="A1424" s="619">
        <f>IF(B1424="","",COUNT('Diário 5º PA'!$A$5:$A$2634)+COUNT('Diário 6º PA'!$A$5:$A$2246)+COUNT('Diário 7º PA'!$A$5:$A$2271)+ROW()-4)</f>
        <v>5370</v>
      </c>
      <c r="B1424" s="620">
        <v>44536</v>
      </c>
      <c r="C1424" s="621">
        <v>44501</v>
      </c>
      <c r="D1424" s="548" t="s">
        <v>88</v>
      </c>
      <c r="E1424" s="548" t="s">
        <v>90</v>
      </c>
      <c r="F1424" s="622">
        <v>13165.02</v>
      </c>
      <c r="G1424" s="623" t="s">
        <v>6592</v>
      </c>
      <c r="H1424" s="548" t="s">
        <v>114</v>
      </c>
      <c r="I1424" s="583" t="s">
        <v>1197</v>
      </c>
      <c r="J1424" s="548" t="s">
        <v>1198</v>
      </c>
      <c r="K1424" s="583" t="s">
        <v>991</v>
      </c>
      <c r="L1424" s="583" t="s">
        <v>1183</v>
      </c>
      <c r="M1424" s="619" t="s">
        <v>114</v>
      </c>
      <c r="N1424" s="620">
        <v>44536</v>
      </c>
      <c r="O1424" s="684" t="s">
        <v>67</v>
      </c>
      <c r="P1424" s="503">
        <f t="shared" si="86"/>
        <v>12</v>
      </c>
      <c r="Q1424" s="503">
        <f t="shared" si="87"/>
        <v>11</v>
      </c>
      <c r="R1424" s="504" t="str">
        <f t="shared" si="88"/>
        <v>Gastos_com_Pessoal</v>
      </c>
      <c r="S1424" s="504" t="str">
        <f>IF(D1424="","",IF(OR(D1424=Plano!$A$1,D1424=Plano!$B$1),"entrada","saída"))</f>
        <v>saída</v>
      </c>
      <c r="T1424" s="505" t="s">
        <v>114</v>
      </c>
      <c r="U1424" s="505" t="s">
        <v>114</v>
      </c>
      <c r="V1424" s="541"/>
    </row>
    <row r="1425" spans="1:22" ht="50.1" customHeight="1" x14ac:dyDescent="0.2">
      <c r="A1425" s="619">
        <f>IF(B1425="","",COUNT('Diário 5º PA'!$A$5:$A$2634)+COUNT('Diário 6º PA'!$A$5:$A$2246)+COUNT('Diário 7º PA'!$A$5:$A$2271)+ROW()-4)</f>
        <v>5371</v>
      </c>
      <c r="B1425" s="620">
        <v>44536</v>
      </c>
      <c r="C1425" s="621">
        <v>44501</v>
      </c>
      <c r="D1425" s="548" t="s">
        <v>88</v>
      </c>
      <c r="E1425" s="548" t="s">
        <v>90</v>
      </c>
      <c r="F1425" s="622">
        <v>1913.56</v>
      </c>
      <c r="G1425" s="623" t="s">
        <v>6571</v>
      </c>
      <c r="H1425" s="548" t="s">
        <v>114</v>
      </c>
      <c r="I1425" s="583" t="s">
        <v>1765</v>
      </c>
      <c r="J1425" s="548" t="s">
        <v>1766</v>
      </c>
      <c r="K1425" s="583" t="s">
        <v>991</v>
      </c>
      <c r="L1425" s="583" t="s">
        <v>1183</v>
      </c>
      <c r="M1425" s="619" t="s">
        <v>114</v>
      </c>
      <c r="N1425" s="620">
        <v>44536</v>
      </c>
      <c r="O1425" s="684" t="s">
        <v>67</v>
      </c>
      <c r="P1425" s="503">
        <f t="shared" si="86"/>
        <v>12</v>
      </c>
      <c r="Q1425" s="503">
        <f t="shared" si="87"/>
        <v>11</v>
      </c>
      <c r="R1425" s="504" t="str">
        <f t="shared" si="88"/>
        <v>Gastos_com_Pessoal</v>
      </c>
      <c r="S1425" s="504" t="str">
        <f>IF(D1425="","",IF(OR(D1425=Plano!$A$1,D1425=Plano!$B$1),"entrada","saída"))</f>
        <v>saída</v>
      </c>
      <c r="T1425" s="505" t="s">
        <v>114</v>
      </c>
      <c r="U1425" s="505" t="s">
        <v>114</v>
      </c>
      <c r="V1425" s="541"/>
    </row>
    <row r="1426" spans="1:22" ht="50.1" customHeight="1" x14ac:dyDescent="0.2">
      <c r="A1426" s="619">
        <f>IF(B1426="","",COUNT('Diário 5º PA'!$A$5:$A$2634)+COUNT('Diário 6º PA'!$A$5:$A$2246)+COUNT('Diário 7º PA'!$A$5:$A$2271)+ROW()-4)</f>
        <v>5372</v>
      </c>
      <c r="B1426" s="620">
        <v>44536</v>
      </c>
      <c r="C1426" s="621">
        <v>44501</v>
      </c>
      <c r="D1426" s="548" t="s">
        <v>88</v>
      </c>
      <c r="E1426" s="548" t="s">
        <v>90</v>
      </c>
      <c r="F1426" s="622">
        <v>2106.61</v>
      </c>
      <c r="G1426" s="623" t="s">
        <v>6575</v>
      </c>
      <c r="H1426" s="548" t="s">
        <v>114</v>
      </c>
      <c r="I1426" s="583" t="s">
        <v>2242</v>
      </c>
      <c r="J1426" s="548" t="s">
        <v>2243</v>
      </c>
      <c r="K1426" s="583" t="s">
        <v>991</v>
      </c>
      <c r="L1426" s="583" t="s">
        <v>1183</v>
      </c>
      <c r="M1426" s="619" t="s">
        <v>114</v>
      </c>
      <c r="N1426" s="620">
        <v>44536</v>
      </c>
      <c r="O1426" s="684" t="s">
        <v>67</v>
      </c>
      <c r="P1426" s="503">
        <f t="shared" si="86"/>
        <v>12</v>
      </c>
      <c r="Q1426" s="503">
        <f t="shared" si="87"/>
        <v>11</v>
      </c>
      <c r="R1426" s="504" t="str">
        <f t="shared" si="88"/>
        <v>Gastos_com_Pessoal</v>
      </c>
      <c r="S1426" s="504" t="str">
        <f>IF(D1426="","",IF(OR(D1426=Plano!$A$1,D1426=Plano!$B$1),"entrada","saída"))</f>
        <v>saída</v>
      </c>
      <c r="T1426" s="505" t="s">
        <v>114</v>
      </c>
      <c r="U1426" s="505" t="s">
        <v>114</v>
      </c>
      <c r="V1426" s="541"/>
    </row>
    <row r="1427" spans="1:22" ht="50.1" customHeight="1" x14ac:dyDescent="0.2">
      <c r="A1427" s="619">
        <f>IF(B1427="","",COUNT('Diário 5º PA'!$A$5:$A$2634)+COUNT('Diário 6º PA'!$A$5:$A$2246)+COUNT('Diário 7º PA'!$A$5:$A$2271)+ROW()-4)</f>
        <v>5373</v>
      </c>
      <c r="B1427" s="620">
        <v>44536</v>
      </c>
      <c r="C1427" s="621">
        <v>44501</v>
      </c>
      <c r="D1427" s="548" t="s">
        <v>88</v>
      </c>
      <c r="E1427" s="548" t="s">
        <v>90</v>
      </c>
      <c r="F1427" s="622">
        <v>2875.44</v>
      </c>
      <c r="G1427" s="623" t="s">
        <v>6583</v>
      </c>
      <c r="H1427" s="548" t="s">
        <v>114</v>
      </c>
      <c r="I1427" s="583" t="s">
        <v>6042</v>
      </c>
      <c r="J1427" s="548" t="s">
        <v>6043</v>
      </c>
      <c r="K1427" s="583" t="s">
        <v>991</v>
      </c>
      <c r="L1427" s="583" t="s">
        <v>1183</v>
      </c>
      <c r="M1427" s="619" t="s">
        <v>114</v>
      </c>
      <c r="N1427" s="620">
        <v>44536</v>
      </c>
      <c r="O1427" s="684" t="s">
        <v>67</v>
      </c>
      <c r="P1427" s="503">
        <f t="shared" si="86"/>
        <v>12</v>
      </c>
      <c r="Q1427" s="503">
        <f t="shared" si="87"/>
        <v>11</v>
      </c>
      <c r="R1427" s="504" t="str">
        <f t="shared" si="88"/>
        <v>Gastos_com_Pessoal</v>
      </c>
      <c r="S1427" s="504" t="str">
        <f>IF(D1427="","",IF(OR(D1427=Plano!$A$1,D1427=Plano!$B$1),"entrada","saída"))</f>
        <v>saída</v>
      </c>
      <c r="T1427" s="505" t="s">
        <v>114</v>
      </c>
      <c r="U1427" s="505" t="s">
        <v>114</v>
      </c>
      <c r="V1427" s="541"/>
    </row>
    <row r="1428" spans="1:22" ht="50.1" customHeight="1" x14ac:dyDescent="0.2">
      <c r="A1428" s="619">
        <f>IF(B1428="","",COUNT('Diário 5º PA'!$A$5:$A$2634)+COUNT('Diário 6º PA'!$A$5:$A$2246)+COUNT('Diário 7º PA'!$A$5:$A$2271)+ROW()-4)</f>
        <v>5374</v>
      </c>
      <c r="B1428" s="620">
        <v>44536</v>
      </c>
      <c r="C1428" s="621">
        <v>44501</v>
      </c>
      <c r="D1428" s="548" t="s">
        <v>88</v>
      </c>
      <c r="E1428" s="548" t="s">
        <v>90</v>
      </c>
      <c r="F1428" s="622">
        <v>1883.33</v>
      </c>
      <c r="G1428" s="623" t="s">
        <v>6575</v>
      </c>
      <c r="H1428" s="548" t="s">
        <v>114</v>
      </c>
      <c r="I1428" s="583" t="s">
        <v>2260</v>
      </c>
      <c r="J1428" s="548" t="s">
        <v>2261</v>
      </c>
      <c r="K1428" s="583" t="s">
        <v>991</v>
      </c>
      <c r="L1428" s="583" t="s">
        <v>1183</v>
      </c>
      <c r="M1428" s="619" t="s">
        <v>114</v>
      </c>
      <c r="N1428" s="620">
        <v>44536</v>
      </c>
      <c r="O1428" s="684" t="s">
        <v>67</v>
      </c>
      <c r="P1428" s="503">
        <f t="shared" si="86"/>
        <v>12</v>
      </c>
      <c r="Q1428" s="503">
        <f t="shared" si="87"/>
        <v>11</v>
      </c>
      <c r="R1428" s="504" t="str">
        <f t="shared" si="88"/>
        <v>Gastos_com_Pessoal</v>
      </c>
      <c r="S1428" s="504" t="str">
        <f>IF(D1428="","",IF(OR(D1428=Plano!$A$1,D1428=Plano!$B$1),"entrada","saída"))</f>
        <v>saída</v>
      </c>
      <c r="T1428" s="505" t="s">
        <v>114</v>
      </c>
      <c r="U1428" s="505" t="s">
        <v>114</v>
      </c>
      <c r="V1428" s="541"/>
    </row>
    <row r="1429" spans="1:22" ht="50.1" customHeight="1" x14ac:dyDescent="0.2">
      <c r="A1429" s="619">
        <f>IF(B1429="","",COUNT('Diário 5º PA'!$A$5:$A$2634)+COUNT('Diário 6º PA'!$A$5:$A$2246)+COUNT('Diário 7º PA'!$A$5:$A$2271)+ROW()-4)</f>
        <v>5375</v>
      </c>
      <c r="B1429" s="620">
        <v>44536</v>
      </c>
      <c r="C1429" s="621">
        <v>44501</v>
      </c>
      <c r="D1429" s="548" t="s">
        <v>88</v>
      </c>
      <c r="E1429" s="548" t="s">
        <v>90</v>
      </c>
      <c r="F1429" s="622">
        <v>3290.9</v>
      </c>
      <c r="G1429" s="623" t="s">
        <v>6593</v>
      </c>
      <c r="H1429" s="548" t="s">
        <v>114</v>
      </c>
      <c r="I1429" s="583" t="s">
        <v>1200</v>
      </c>
      <c r="J1429" s="548" t="s">
        <v>1201</v>
      </c>
      <c r="K1429" s="583" t="s">
        <v>991</v>
      </c>
      <c r="L1429" s="583" t="s">
        <v>1183</v>
      </c>
      <c r="M1429" s="619" t="s">
        <v>114</v>
      </c>
      <c r="N1429" s="620">
        <v>44536</v>
      </c>
      <c r="O1429" s="684" t="s">
        <v>67</v>
      </c>
      <c r="P1429" s="503">
        <f t="shared" si="86"/>
        <v>12</v>
      </c>
      <c r="Q1429" s="503">
        <f t="shared" si="87"/>
        <v>11</v>
      </c>
      <c r="R1429" s="504" t="str">
        <f t="shared" si="88"/>
        <v>Gastos_com_Pessoal</v>
      </c>
      <c r="S1429" s="504" t="str">
        <f>IF(D1429="","",IF(OR(D1429=Plano!$A$1,D1429=Plano!$B$1),"entrada","saída"))</f>
        <v>saída</v>
      </c>
      <c r="T1429" s="505" t="s">
        <v>114</v>
      </c>
      <c r="U1429" s="505" t="s">
        <v>114</v>
      </c>
      <c r="V1429" s="541"/>
    </row>
    <row r="1430" spans="1:22" ht="50.1" customHeight="1" x14ac:dyDescent="0.2">
      <c r="A1430" s="619">
        <f>IF(B1430="","",COUNT('Diário 5º PA'!$A$5:$A$2634)+COUNT('Diário 6º PA'!$A$5:$A$2246)+COUNT('Diário 7º PA'!$A$5:$A$2271)+ROW()-4)</f>
        <v>5376</v>
      </c>
      <c r="B1430" s="620">
        <v>44536</v>
      </c>
      <c r="C1430" s="621">
        <v>44501</v>
      </c>
      <c r="D1430" s="548" t="s">
        <v>88</v>
      </c>
      <c r="E1430" s="548" t="s">
        <v>90</v>
      </c>
      <c r="F1430" s="622">
        <v>1935.43</v>
      </c>
      <c r="G1430" s="623" t="s">
        <v>6594</v>
      </c>
      <c r="H1430" s="548" t="s">
        <v>114</v>
      </c>
      <c r="I1430" s="583" t="s">
        <v>1767</v>
      </c>
      <c r="J1430" s="548" t="s">
        <v>1768</v>
      </c>
      <c r="K1430" s="583" t="s">
        <v>991</v>
      </c>
      <c r="L1430" s="583" t="s">
        <v>1183</v>
      </c>
      <c r="M1430" s="619" t="s">
        <v>114</v>
      </c>
      <c r="N1430" s="620">
        <v>44536</v>
      </c>
      <c r="O1430" s="684" t="s">
        <v>67</v>
      </c>
      <c r="P1430" s="503">
        <f t="shared" si="86"/>
        <v>12</v>
      </c>
      <c r="Q1430" s="503">
        <f t="shared" si="87"/>
        <v>11</v>
      </c>
      <c r="R1430" s="504" t="str">
        <f t="shared" si="88"/>
        <v>Gastos_com_Pessoal</v>
      </c>
      <c r="S1430" s="504" t="str">
        <f>IF(D1430="","",IF(OR(D1430=Plano!$A$1,D1430=Plano!$B$1),"entrada","saída"))</f>
        <v>saída</v>
      </c>
      <c r="T1430" s="505" t="s">
        <v>114</v>
      </c>
      <c r="U1430" s="505" t="s">
        <v>114</v>
      </c>
      <c r="V1430" s="541"/>
    </row>
    <row r="1431" spans="1:22" ht="50.1" customHeight="1" x14ac:dyDescent="0.2">
      <c r="A1431" s="619">
        <f>IF(B1431="","",COUNT('Diário 5º PA'!$A$5:$A$2634)+COUNT('Diário 6º PA'!$A$5:$A$2246)+COUNT('Diário 7º PA'!$A$5:$A$2271)+ROW()-4)</f>
        <v>5377</v>
      </c>
      <c r="B1431" s="620">
        <v>44536</v>
      </c>
      <c r="C1431" s="621">
        <v>44501</v>
      </c>
      <c r="D1431" s="548" t="s">
        <v>88</v>
      </c>
      <c r="E1431" s="548" t="s">
        <v>90</v>
      </c>
      <c r="F1431" s="622">
        <v>1899.92</v>
      </c>
      <c r="G1431" s="623" t="s">
        <v>6571</v>
      </c>
      <c r="H1431" s="548" t="s">
        <v>114</v>
      </c>
      <c r="I1431" s="583" t="s">
        <v>1769</v>
      </c>
      <c r="J1431" s="548" t="s">
        <v>1770</v>
      </c>
      <c r="K1431" s="583" t="s">
        <v>991</v>
      </c>
      <c r="L1431" s="583" t="s">
        <v>1183</v>
      </c>
      <c r="M1431" s="619" t="s">
        <v>114</v>
      </c>
      <c r="N1431" s="620">
        <v>44536</v>
      </c>
      <c r="O1431" s="684" t="s">
        <v>67</v>
      </c>
      <c r="P1431" s="503">
        <f t="shared" si="86"/>
        <v>12</v>
      </c>
      <c r="Q1431" s="503">
        <f t="shared" si="87"/>
        <v>11</v>
      </c>
      <c r="R1431" s="504" t="str">
        <f t="shared" si="88"/>
        <v>Gastos_com_Pessoal</v>
      </c>
      <c r="S1431" s="504" t="str">
        <f>IF(D1431="","",IF(OR(D1431=Plano!$A$1,D1431=Plano!$B$1),"entrada","saída"))</f>
        <v>saída</v>
      </c>
      <c r="T1431" s="505" t="s">
        <v>114</v>
      </c>
      <c r="U1431" s="505" t="s">
        <v>114</v>
      </c>
      <c r="V1431" s="541"/>
    </row>
    <row r="1432" spans="1:22" ht="50.1" customHeight="1" x14ac:dyDescent="0.2">
      <c r="A1432" s="619">
        <f>IF(B1432="","",COUNT('Diário 5º PA'!$A$5:$A$2634)+COUNT('Diário 6º PA'!$A$5:$A$2246)+COUNT('Diário 7º PA'!$A$5:$A$2271)+ROW()-4)</f>
        <v>5378</v>
      </c>
      <c r="B1432" s="620">
        <v>44536</v>
      </c>
      <c r="C1432" s="621">
        <v>44501</v>
      </c>
      <c r="D1432" s="548" t="s">
        <v>88</v>
      </c>
      <c r="E1432" s="548" t="s">
        <v>90</v>
      </c>
      <c r="F1432" s="622">
        <v>1935.43</v>
      </c>
      <c r="G1432" s="623" t="s">
        <v>6571</v>
      </c>
      <c r="H1432" s="548" t="s">
        <v>114</v>
      </c>
      <c r="I1432" s="583" t="s">
        <v>1771</v>
      </c>
      <c r="J1432" s="548" t="s">
        <v>1772</v>
      </c>
      <c r="K1432" s="583" t="s">
        <v>991</v>
      </c>
      <c r="L1432" s="583" t="s">
        <v>1183</v>
      </c>
      <c r="M1432" s="619" t="s">
        <v>114</v>
      </c>
      <c r="N1432" s="620">
        <v>44536</v>
      </c>
      <c r="O1432" s="684" t="s">
        <v>67</v>
      </c>
      <c r="P1432" s="503">
        <f t="shared" si="86"/>
        <v>12</v>
      </c>
      <c r="Q1432" s="503">
        <f t="shared" si="87"/>
        <v>11</v>
      </c>
      <c r="R1432" s="504" t="str">
        <f t="shared" si="88"/>
        <v>Gastos_com_Pessoal</v>
      </c>
      <c r="S1432" s="504" t="str">
        <f>IF(D1432="","",IF(OR(D1432=Plano!$A$1,D1432=Plano!$B$1),"entrada","saída"))</f>
        <v>saída</v>
      </c>
      <c r="T1432" s="505" t="s">
        <v>114</v>
      </c>
      <c r="U1432" s="505" t="s">
        <v>114</v>
      </c>
      <c r="V1432" s="541"/>
    </row>
    <row r="1433" spans="1:22" ht="50.1" customHeight="1" x14ac:dyDescent="0.2">
      <c r="A1433" s="619">
        <f>IF(B1433="","",COUNT('Diário 5º PA'!$A$5:$A$2634)+COUNT('Diário 6º PA'!$A$5:$A$2246)+COUNT('Diário 7º PA'!$A$5:$A$2271)+ROW()-4)</f>
        <v>5379</v>
      </c>
      <c r="B1433" s="620">
        <v>44536</v>
      </c>
      <c r="C1433" s="621">
        <v>44501</v>
      </c>
      <c r="D1433" s="548" t="s">
        <v>88</v>
      </c>
      <c r="E1433" s="548" t="s">
        <v>90</v>
      </c>
      <c r="F1433" s="622">
        <v>1953.41</v>
      </c>
      <c r="G1433" s="623" t="s">
        <v>6571</v>
      </c>
      <c r="H1433" s="548" t="s">
        <v>114</v>
      </c>
      <c r="I1433" s="583" t="s">
        <v>1784</v>
      </c>
      <c r="J1433" s="548" t="s">
        <v>1785</v>
      </c>
      <c r="K1433" s="583" t="s">
        <v>991</v>
      </c>
      <c r="L1433" s="583" t="s">
        <v>1183</v>
      </c>
      <c r="M1433" s="619" t="s">
        <v>114</v>
      </c>
      <c r="N1433" s="620">
        <v>44536</v>
      </c>
      <c r="O1433" s="684" t="s">
        <v>67</v>
      </c>
      <c r="P1433" s="503">
        <f t="shared" si="86"/>
        <v>12</v>
      </c>
      <c r="Q1433" s="503">
        <f t="shared" si="87"/>
        <v>11</v>
      </c>
      <c r="R1433" s="504" t="str">
        <f t="shared" si="88"/>
        <v>Gastos_com_Pessoal</v>
      </c>
      <c r="S1433" s="504" t="str">
        <f>IF(D1433="","",IF(OR(D1433=Plano!$A$1,D1433=Plano!$B$1),"entrada","saída"))</f>
        <v>saída</v>
      </c>
      <c r="T1433" s="505" t="s">
        <v>114</v>
      </c>
      <c r="U1433" s="505" t="s">
        <v>114</v>
      </c>
      <c r="V1433" s="541"/>
    </row>
    <row r="1434" spans="1:22" ht="50.1" customHeight="1" x14ac:dyDescent="0.2">
      <c r="A1434" s="619">
        <f>IF(B1434="","",COUNT('Diário 5º PA'!$A$5:$A$2634)+COUNT('Diário 6º PA'!$A$5:$A$2246)+COUNT('Diário 7º PA'!$A$5:$A$2271)+ROW()-4)</f>
        <v>5380</v>
      </c>
      <c r="B1434" s="620">
        <v>44536</v>
      </c>
      <c r="C1434" s="621">
        <v>44501</v>
      </c>
      <c r="D1434" s="548" t="s">
        <v>88</v>
      </c>
      <c r="E1434" s="548" t="s">
        <v>90</v>
      </c>
      <c r="F1434" s="622">
        <v>2836.57</v>
      </c>
      <c r="G1434" s="623" t="s">
        <v>6595</v>
      </c>
      <c r="H1434" s="548" t="s">
        <v>114</v>
      </c>
      <c r="I1434" s="583" t="s">
        <v>6047</v>
      </c>
      <c r="J1434" s="548" t="s">
        <v>6048</v>
      </c>
      <c r="K1434" s="583" t="s">
        <v>991</v>
      </c>
      <c r="L1434" s="583" t="s">
        <v>1183</v>
      </c>
      <c r="M1434" s="619" t="s">
        <v>114</v>
      </c>
      <c r="N1434" s="620">
        <v>44536</v>
      </c>
      <c r="O1434" s="684" t="s">
        <v>67</v>
      </c>
      <c r="P1434" s="503">
        <f t="shared" si="86"/>
        <v>12</v>
      </c>
      <c r="Q1434" s="503">
        <f t="shared" si="87"/>
        <v>11</v>
      </c>
      <c r="R1434" s="504" t="str">
        <f t="shared" si="88"/>
        <v>Gastos_com_Pessoal</v>
      </c>
      <c r="S1434" s="504" t="str">
        <f>IF(D1434="","",IF(OR(D1434=Plano!$A$1,D1434=Plano!$B$1),"entrada","saída"))</f>
        <v>saída</v>
      </c>
      <c r="T1434" s="505" t="s">
        <v>114</v>
      </c>
      <c r="U1434" s="505" t="s">
        <v>114</v>
      </c>
      <c r="V1434" s="541"/>
    </row>
    <row r="1435" spans="1:22" ht="39" customHeight="1" x14ac:dyDescent="0.2">
      <c r="A1435" s="619">
        <f>IF(B1435="","",COUNT('Diário 5º PA'!$A$5:$A$2634)+COUNT('Diário 6º PA'!$A$5:$A$2246)+COUNT('Diário 7º PA'!$A$5:$A$2271)+ROW()-4)</f>
        <v>5381</v>
      </c>
      <c r="B1435" s="620">
        <v>44536</v>
      </c>
      <c r="C1435" s="621">
        <v>44501</v>
      </c>
      <c r="D1435" s="548" t="s">
        <v>88</v>
      </c>
      <c r="E1435" s="548" t="s">
        <v>90</v>
      </c>
      <c r="F1435" s="622">
        <v>2875.44</v>
      </c>
      <c r="G1435" s="623" t="s">
        <v>6583</v>
      </c>
      <c r="H1435" s="548" t="s">
        <v>114</v>
      </c>
      <c r="I1435" s="583" t="s">
        <v>6062</v>
      </c>
      <c r="J1435" s="548" t="s">
        <v>2267</v>
      </c>
      <c r="K1435" s="583" t="s">
        <v>991</v>
      </c>
      <c r="L1435" s="583" t="s">
        <v>1183</v>
      </c>
      <c r="M1435" s="619" t="s">
        <v>114</v>
      </c>
      <c r="N1435" s="620">
        <v>44536</v>
      </c>
      <c r="O1435" s="684" t="s">
        <v>67</v>
      </c>
      <c r="P1435" s="503">
        <f t="shared" si="86"/>
        <v>12</v>
      </c>
      <c r="Q1435" s="503">
        <f t="shared" si="87"/>
        <v>11</v>
      </c>
      <c r="R1435" s="504" t="str">
        <f t="shared" si="88"/>
        <v>Gastos_com_Pessoal</v>
      </c>
      <c r="S1435" s="504" t="str">
        <f>IF(D1435="","",IF(OR(D1435=Plano!$A$1,D1435=Plano!$B$1),"entrada","saída"))</f>
        <v>saída</v>
      </c>
      <c r="T1435" s="505" t="s">
        <v>114</v>
      </c>
      <c r="U1435" s="505" t="s">
        <v>114</v>
      </c>
      <c r="V1435" s="541"/>
    </row>
    <row r="1436" spans="1:22" ht="50.1" customHeight="1" x14ac:dyDescent="0.2">
      <c r="A1436" s="619">
        <f>IF(B1436="","",COUNT('Diário 5º PA'!$A$5:$A$2634)+COUNT('Diário 6º PA'!$A$5:$A$2246)+COUNT('Diário 7º PA'!$A$5:$A$2271)+ROW()-4)</f>
        <v>5382</v>
      </c>
      <c r="B1436" s="620">
        <v>44536</v>
      </c>
      <c r="C1436" s="621">
        <v>44501</v>
      </c>
      <c r="D1436" s="548" t="s">
        <v>88</v>
      </c>
      <c r="E1436" s="548" t="s">
        <v>90</v>
      </c>
      <c r="F1436" s="622">
        <v>2091.41</v>
      </c>
      <c r="G1436" s="623" t="s">
        <v>6586</v>
      </c>
      <c r="H1436" s="548" t="s">
        <v>114</v>
      </c>
      <c r="I1436" s="583" t="s">
        <v>2244</v>
      </c>
      <c r="J1436" s="548" t="s">
        <v>2245</v>
      </c>
      <c r="K1436" s="583" t="s">
        <v>991</v>
      </c>
      <c r="L1436" s="583" t="s">
        <v>1183</v>
      </c>
      <c r="M1436" s="619" t="s">
        <v>114</v>
      </c>
      <c r="N1436" s="620">
        <v>44536</v>
      </c>
      <c r="O1436" s="684" t="s">
        <v>67</v>
      </c>
      <c r="P1436" s="503">
        <f t="shared" si="86"/>
        <v>12</v>
      </c>
      <c r="Q1436" s="503">
        <f t="shared" si="87"/>
        <v>11</v>
      </c>
      <c r="R1436" s="504" t="str">
        <f t="shared" si="88"/>
        <v>Gastos_com_Pessoal</v>
      </c>
      <c r="S1436" s="504" t="str">
        <f>IF(D1436="","",IF(OR(D1436=Plano!$A$1,D1436=Plano!$B$1),"entrada","saída"))</f>
        <v>saída</v>
      </c>
      <c r="T1436" s="505" t="s">
        <v>114</v>
      </c>
      <c r="U1436" s="505" t="s">
        <v>114</v>
      </c>
      <c r="V1436" s="541"/>
    </row>
    <row r="1437" spans="1:22" ht="50.1" customHeight="1" x14ac:dyDescent="0.2">
      <c r="A1437" s="619">
        <f>IF(B1437="","",COUNT('Diário 5º PA'!$A$5:$A$2634)+COUNT('Diário 6º PA'!$A$5:$A$2246)+COUNT('Diário 7º PA'!$A$5:$A$2271)+ROW()-4)</f>
        <v>5383</v>
      </c>
      <c r="B1437" s="620">
        <v>44536</v>
      </c>
      <c r="C1437" s="621">
        <v>44501</v>
      </c>
      <c r="D1437" s="548" t="s">
        <v>88</v>
      </c>
      <c r="E1437" s="548" t="s">
        <v>90</v>
      </c>
      <c r="F1437" s="622">
        <v>2893.42</v>
      </c>
      <c r="G1437" s="623" t="s">
        <v>6589</v>
      </c>
      <c r="H1437" s="548" t="s">
        <v>114</v>
      </c>
      <c r="I1437" s="583" t="s">
        <v>6049</v>
      </c>
      <c r="J1437" s="548" t="s">
        <v>6050</v>
      </c>
      <c r="K1437" s="583" t="s">
        <v>991</v>
      </c>
      <c r="L1437" s="583" t="s">
        <v>1183</v>
      </c>
      <c r="M1437" s="619" t="s">
        <v>114</v>
      </c>
      <c r="N1437" s="620">
        <v>44536</v>
      </c>
      <c r="O1437" s="684" t="s">
        <v>67</v>
      </c>
      <c r="P1437" s="503">
        <f t="shared" si="86"/>
        <v>12</v>
      </c>
      <c r="Q1437" s="503">
        <f t="shared" si="87"/>
        <v>11</v>
      </c>
      <c r="R1437" s="504" t="str">
        <f t="shared" si="88"/>
        <v>Gastos_com_Pessoal</v>
      </c>
      <c r="S1437" s="504" t="str">
        <f>IF(D1437="","",IF(OR(D1437=Plano!$A$1,D1437=Plano!$B$1),"entrada","saída"))</f>
        <v>saída</v>
      </c>
      <c r="T1437" s="505" t="s">
        <v>114</v>
      </c>
      <c r="U1437" s="505" t="s">
        <v>114</v>
      </c>
      <c r="V1437" s="541"/>
    </row>
    <row r="1438" spans="1:22" ht="50.1" customHeight="1" x14ac:dyDescent="0.2">
      <c r="A1438" s="619">
        <f>IF(B1438="","",COUNT('Diário 5º PA'!$A$5:$A$2634)+COUNT('Diário 6º PA'!$A$5:$A$2246)+COUNT('Diário 7º PA'!$A$5:$A$2271)+ROW()-4)</f>
        <v>5384</v>
      </c>
      <c r="B1438" s="620">
        <v>44536</v>
      </c>
      <c r="C1438" s="621">
        <v>44501</v>
      </c>
      <c r="D1438" s="548" t="s">
        <v>88</v>
      </c>
      <c r="E1438" s="548" t="s">
        <v>90</v>
      </c>
      <c r="F1438" s="622">
        <v>2875.44</v>
      </c>
      <c r="G1438" s="623" t="s">
        <v>6589</v>
      </c>
      <c r="H1438" s="548" t="s">
        <v>114</v>
      </c>
      <c r="I1438" s="583" t="s">
        <v>6051</v>
      </c>
      <c r="J1438" s="548" t="s">
        <v>6052</v>
      </c>
      <c r="K1438" s="583" t="s">
        <v>991</v>
      </c>
      <c r="L1438" s="583" t="s">
        <v>1183</v>
      </c>
      <c r="M1438" s="619" t="s">
        <v>114</v>
      </c>
      <c r="N1438" s="620">
        <v>44536</v>
      </c>
      <c r="O1438" s="684" t="s">
        <v>67</v>
      </c>
      <c r="P1438" s="503">
        <f t="shared" si="86"/>
        <v>12</v>
      </c>
      <c r="Q1438" s="503">
        <f t="shared" si="87"/>
        <v>11</v>
      </c>
      <c r="R1438" s="504" t="str">
        <f t="shared" si="88"/>
        <v>Gastos_com_Pessoal</v>
      </c>
      <c r="S1438" s="504" t="str">
        <f>IF(D1438="","",IF(OR(D1438=Plano!$A$1,D1438=Plano!$B$1),"entrada","saída"))</f>
        <v>saída</v>
      </c>
      <c r="T1438" s="505" t="s">
        <v>114</v>
      </c>
      <c r="U1438" s="505" t="s">
        <v>114</v>
      </c>
      <c r="V1438" s="541"/>
    </row>
    <row r="1439" spans="1:22" ht="50.1" customHeight="1" x14ac:dyDescent="0.2">
      <c r="A1439" s="619">
        <f>IF(B1439="","",COUNT('Diário 5º PA'!$A$5:$A$2634)+COUNT('Diário 6º PA'!$A$5:$A$2246)+COUNT('Diário 7º PA'!$A$5:$A$2271)+ROW()-4)</f>
        <v>5385</v>
      </c>
      <c r="B1439" s="620">
        <v>44536</v>
      </c>
      <c r="C1439" s="621">
        <v>44501</v>
      </c>
      <c r="D1439" s="548" t="s">
        <v>88</v>
      </c>
      <c r="E1439" s="548" t="s">
        <v>90</v>
      </c>
      <c r="F1439" s="622">
        <v>2677.44</v>
      </c>
      <c r="G1439" s="623" t="s">
        <v>6589</v>
      </c>
      <c r="H1439" s="548" t="s">
        <v>114</v>
      </c>
      <c r="I1439" s="583" t="s">
        <v>6053</v>
      </c>
      <c r="J1439" s="548" t="s">
        <v>6054</v>
      </c>
      <c r="K1439" s="583" t="s">
        <v>991</v>
      </c>
      <c r="L1439" s="583" t="s">
        <v>1183</v>
      </c>
      <c r="M1439" s="619" t="s">
        <v>114</v>
      </c>
      <c r="N1439" s="620">
        <v>44536</v>
      </c>
      <c r="O1439" s="684" t="s">
        <v>67</v>
      </c>
      <c r="P1439" s="503">
        <f t="shared" si="86"/>
        <v>12</v>
      </c>
      <c r="Q1439" s="503">
        <f t="shared" si="87"/>
        <v>11</v>
      </c>
      <c r="R1439" s="504" t="str">
        <f t="shared" si="88"/>
        <v>Gastos_com_Pessoal</v>
      </c>
      <c r="S1439" s="504" t="str">
        <f>IF(D1439="","",IF(OR(D1439=Plano!$A$1,D1439=Plano!$B$1),"entrada","saída"))</f>
        <v>saída</v>
      </c>
      <c r="T1439" s="505" t="s">
        <v>114</v>
      </c>
      <c r="U1439" s="505" t="s">
        <v>114</v>
      </c>
      <c r="V1439" s="541"/>
    </row>
    <row r="1440" spans="1:22" ht="50.1" customHeight="1" x14ac:dyDescent="0.2">
      <c r="A1440" s="619">
        <f>IF(B1440="","",COUNT('Diário 5º PA'!$A$5:$A$2634)+COUNT('Diário 6º PA'!$A$5:$A$2246)+COUNT('Diário 7º PA'!$A$5:$A$2271)+ROW()-4)</f>
        <v>5386</v>
      </c>
      <c r="B1440" s="620">
        <v>44536</v>
      </c>
      <c r="C1440" s="621">
        <v>44501</v>
      </c>
      <c r="D1440" s="548" t="s">
        <v>88</v>
      </c>
      <c r="E1440" s="548" t="s">
        <v>90</v>
      </c>
      <c r="F1440" s="622">
        <v>1935.43</v>
      </c>
      <c r="G1440" s="623" t="s">
        <v>6571</v>
      </c>
      <c r="H1440" s="548" t="s">
        <v>114</v>
      </c>
      <c r="I1440" s="583" t="s">
        <v>1773</v>
      </c>
      <c r="J1440" s="548" t="s">
        <v>1774</v>
      </c>
      <c r="K1440" s="583" t="s">
        <v>991</v>
      </c>
      <c r="L1440" s="583" t="s">
        <v>1183</v>
      </c>
      <c r="M1440" s="619" t="s">
        <v>114</v>
      </c>
      <c r="N1440" s="620">
        <v>44536</v>
      </c>
      <c r="O1440" s="684" t="s">
        <v>67</v>
      </c>
      <c r="P1440" s="503">
        <f t="shared" si="86"/>
        <v>12</v>
      </c>
      <c r="Q1440" s="503">
        <f t="shared" si="87"/>
        <v>11</v>
      </c>
      <c r="R1440" s="504" t="str">
        <f t="shared" si="88"/>
        <v>Gastos_com_Pessoal</v>
      </c>
      <c r="S1440" s="504" t="str">
        <f>IF(D1440="","",IF(OR(D1440=Plano!$A$1,D1440=Plano!$B$1),"entrada","saída"))</f>
        <v>saída</v>
      </c>
      <c r="T1440" s="505" t="s">
        <v>114</v>
      </c>
      <c r="U1440" s="505" t="s">
        <v>114</v>
      </c>
      <c r="V1440" s="541"/>
    </row>
    <row r="1441" spans="1:22" ht="50.1" customHeight="1" x14ac:dyDescent="0.2">
      <c r="A1441" s="619">
        <f>IF(B1441="","",COUNT('Diário 5º PA'!$A$5:$A$2634)+COUNT('Diário 6º PA'!$A$5:$A$2246)+COUNT('Diário 7º PA'!$A$5:$A$2271)+ROW()-4)</f>
        <v>5387</v>
      </c>
      <c r="B1441" s="620">
        <v>44536</v>
      </c>
      <c r="C1441" s="621">
        <v>44501</v>
      </c>
      <c r="D1441" s="548" t="s">
        <v>88</v>
      </c>
      <c r="E1441" s="548" t="s">
        <v>90</v>
      </c>
      <c r="F1441" s="622">
        <v>2677.44</v>
      </c>
      <c r="G1441" s="623" t="s">
        <v>6596</v>
      </c>
      <c r="H1441" s="548" t="s">
        <v>114</v>
      </c>
      <c r="I1441" s="583" t="s">
        <v>6055</v>
      </c>
      <c r="J1441" s="548" t="s">
        <v>6056</v>
      </c>
      <c r="K1441" s="583" t="s">
        <v>991</v>
      </c>
      <c r="L1441" s="583" t="s">
        <v>1183</v>
      </c>
      <c r="M1441" s="619" t="s">
        <v>114</v>
      </c>
      <c r="N1441" s="620">
        <v>44536</v>
      </c>
      <c r="O1441" s="684" t="s">
        <v>67</v>
      </c>
      <c r="P1441" s="503">
        <f t="shared" si="86"/>
        <v>12</v>
      </c>
      <c r="Q1441" s="503">
        <f t="shared" si="87"/>
        <v>11</v>
      </c>
      <c r="R1441" s="504" t="str">
        <f t="shared" si="88"/>
        <v>Gastos_com_Pessoal</v>
      </c>
      <c r="S1441" s="504" t="str">
        <f>IF(D1441="","",IF(OR(D1441=Plano!$A$1,D1441=Plano!$B$1),"entrada","saída"))</f>
        <v>saída</v>
      </c>
      <c r="T1441" s="505" t="s">
        <v>114</v>
      </c>
      <c r="U1441" s="505" t="s">
        <v>114</v>
      </c>
      <c r="V1441" s="541"/>
    </row>
    <row r="1442" spans="1:22" ht="50.1" customHeight="1" x14ac:dyDescent="0.2">
      <c r="A1442" s="619">
        <f>IF(B1442="","",COUNT('Diário 5º PA'!$A$5:$A$2634)+COUNT('Diário 6º PA'!$A$5:$A$2246)+COUNT('Diário 7º PA'!$A$5:$A$2271)+ROW()-4)</f>
        <v>5388</v>
      </c>
      <c r="B1442" s="620">
        <v>44536</v>
      </c>
      <c r="C1442" s="621">
        <v>44501</v>
      </c>
      <c r="D1442" s="548" t="s">
        <v>88</v>
      </c>
      <c r="E1442" s="548" t="s">
        <v>90</v>
      </c>
      <c r="F1442" s="622">
        <v>1289.51</v>
      </c>
      <c r="G1442" s="623" t="s">
        <v>6597</v>
      </c>
      <c r="H1442" s="548" t="s">
        <v>114</v>
      </c>
      <c r="I1442" s="583" t="s">
        <v>1203</v>
      </c>
      <c r="J1442" s="548" t="s">
        <v>1204</v>
      </c>
      <c r="K1442" s="583" t="s">
        <v>991</v>
      </c>
      <c r="L1442" s="583" t="s">
        <v>1183</v>
      </c>
      <c r="M1442" s="619" t="s">
        <v>114</v>
      </c>
      <c r="N1442" s="620">
        <v>44536</v>
      </c>
      <c r="O1442" s="684" t="s">
        <v>67</v>
      </c>
      <c r="P1442" s="503">
        <f t="shared" si="86"/>
        <v>12</v>
      </c>
      <c r="Q1442" s="503">
        <f t="shared" si="87"/>
        <v>11</v>
      </c>
      <c r="R1442" s="504" t="str">
        <f t="shared" si="88"/>
        <v>Gastos_com_Pessoal</v>
      </c>
      <c r="S1442" s="504" t="str">
        <f>IF(D1442="","",IF(OR(D1442=Plano!$A$1,D1442=Plano!$B$1),"entrada","saída"))</f>
        <v>saída</v>
      </c>
      <c r="T1442" s="505" t="s">
        <v>114</v>
      </c>
      <c r="U1442" s="505" t="s">
        <v>114</v>
      </c>
      <c r="V1442" s="541"/>
    </row>
    <row r="1443" spans="1:22" ht="50.1" customHeight="1" x14ac:dyDescent="0.2">
      <c r="A1443" s="619">
        <f>IF(B1443="","",COUNT('Diário 5º PA'!$A$5:$A$2634)+COUNT('Diário 6º PA'!$A$5:$A$2246)+COUNT('Diário 7º PA'!$A$5:$A$2271)+ROW()-4)</f>
        <v>5389</v>
      </c>
      <c r="B1443" s="620">
        <v>44536</v>
      </c>
      <c r="C1443" s="621">
        <v>44501</v>
      </c>
      <c r="D1443" s="548" t="s">
        <v>88</v>
      </c>
      <c r="E1443" s="548" t="s">
        <v>90</v>
      </c>
      <c r="F1443" s="622">
        <v>1476.19</v>
      </c>
      <c r="G1443" s="623" t="s">
        <v>6598</v>
      </c>
      <c r="H1443" s="548" t="s">
        <v>114</v>
      </c>
      <c r="I1443" s="583" t="s">
        <v>1776</v>
      </c>
      <c r="J1443" s="548" t="s">
        <v>1777</v>
      </c>
      <c r="K1443" s="583" t="s">
        <v>991</v>
      </c>
      <c r="L1443" s="583" t="s">
        <v>1183</v>
      </c>
      <c r="M1443" s="619" t="s">
        <v>114</v>
      </c>
      <c r="N1443" s="620">
        <v>44536</v>
      </c>
      <c r="O1443" s="684" t="s">
        <v>67</v>
      </c>
      <c r="P1443" s="503">
        <f t="shared" si="86"/>
        <v>12</v>
      </c>
      <c r="Q1443" s="503">
        <f t="shared" si="87"/>
        <v>11</v>
      </c>
      <c r="R1443" s="504" t="str">
        <f t="shared" si="88"/>
        <v>Gastos_com_Pessoal</v>
      </c>
      <c r="S1443" s="504" t="str">
        <f>IF(D1443="","",IF(OR(D1443=Plano!$A$1,D1443=Plano!$B$1),"entrada","saída"))</f>
        <v>saída</v>
      </c>
      <c r="T1443" s="505" t="s">
        <v>114</v>
      </c>
      <c r="U1443" s="505" t="s">
        <v>114</v>
      </c>
      <c r="V1443" s="541"/>
    </row>
    <row r="1444" spans="1:22" ht="50.1" customHeight="1" x14ac:dyDescent="0.2">
      <c r="A1444" s="619">
        <f>IF(B1444="","",COUNT('Diário 5º PA'!$A$5:$A$2634)+COUNT('Diário 6º PA'!$A$5:$A$2246)+COUNT('Diário 7º PA'!$A$5:$A$2271)+ROW()-4)</f>
        <v>5390</v>
      </c>
      <c r="B1444" s="620">
        <v>44536</v>
      </c>
      <c r="C1444" s="621">
        <v>44501</v>
      </c>
      <c r="D1444" s="548" t="s">
        <v>88</v>
      </c>
      <c r="E1444" s="548" t="s">
        <v>90</v>
      </c>
      <c r="F1444" s="622">
        <v>1935.43</v>
      </c>
      <c r="G1444" s="623" t="s">
        <v>6599</v>
      </c>
      <c r="H1444" s="548" t="s">
        <v>114</v>
      </c>
      <c r="I1444" s="583" t="s">
        <v>1778</v>
      </c>
      <c r="J1444" s="548" t="s">
        <v>1779</v>
      </c>
      <c r="K1444" s="583" t="s">
        <v>991</v>
      </c>
      <c r="L1444" s="583" t="s">
        <v>1183</v>
      </c>
      <c r="M1444" s="619" t="s">
        <v>114</v>
      </c>
      <c r="N1444" s="620">
        <v>44536</v>
      </c>
      <c r="O1444" s="684" t="s">
        <v>67</v>
      </c>
      <c r="P1444" s="503">
        <f t="shared" si="86"/>
        <v>12</v>
      </c>
      <c r="Q1444" s="503">
        <f t="shared" si="87"/>
        <v>11</v>
      </c>
      <c r="R1444" s="504" t="str">
        <f t="shared" si="88"/>
        <v>Gastos_com_Pessoal</v>
      </c>
      <c r="S1444" s="504" t="str">
        <f>IF(D1444="","",IF(OR(D1444=Plano!$A$1,D1444=Plano!$B$1),"entrada","saída"))</f>
        <v>saída</v>
      </c>
      <c r="T1444" s="505" t="s">
        <v>114</v>
      </c>
      <c r="U1444" s="505" t="s">
        <v>114</v>
      </c>
      <c r="V1444" s="541"/>
    </row>
    <row r="1445" spans="1:22" ht="50.1" customHeight="1" x14ac:dyDescent="0.2">
      <c r="A1445" s="619">
        <f>IF(B1445="","",COUNT('Diário 5º PA'!$A$5:$A$2634)+COUNT('Diário 6º PA'!$A$5:$A$2246)+COUNT('Diário 7º PA'!$A$5:$A$2271)+ROW()-4)</f>
        <v>5391</v>
      </c>
      <c r="B1445" s="620">
        <v>44536</v>
      </c>
      <c r="C1445" s="621">
        <v>44501</v>
      </c>
      <c r="D1445" s="548" t="s">
        <v>88</v>
      </c>
      <c r="E1445" s="548" t="s">
        <v>90</v>
      </c>
      <c r="F1445" s="622">
        <v>1905.12</v>
      </c>
      <c r="G1445" s="623" t="s">
        <v>6600</v>
      </c>
      <c r="H1445" s="548" t="s">
        <v>114</v>
      </c>
      <c r="I1445" s="583" t="s">
        <v>2248</v>
      </c>
      <c r="J1445" s="548" t="s">
        <v>1781</v>
      </c>
      <c r="K1445" s="583" t="s">
        <v>991</v>
      </c>
      <c r="L1445" s="583" t="s">
        <v>1183</v>
      </c>
      <c r="M1445" s="619" t="s">
        <v>114</v>
      </c>
      <c r="N1445" s="620">
        <v>44536</v>
      </c>
      <c r="O1445" s="684" t="s">
        <v>67</v>
      </c>
      <c r="P1445" s="503">
        <f t="shared" si="86"/>
        <v>12</v>
      </c>
      <c r="Q1445" s="503">
        <f t="shared" si="87"/>
        <v>11</v>
      </c>
      <c r="R1445" s="504" t="str">
        <f t="shared" si="88"/>
        <v>Gastos_com_Pessoal</v>
      </c>
      <c r="S1445" s="504" t="str">
        <f>IF(D1445="","",IF(OR(D1445=Plano!$A$1,D1445=Plano!$B$1),"entrada","saída"))</f>
        <v>saída</v>
      </c>
      <c r="T1445" s="505" t="s">
        <v>114</v>
      </c>
      <c r="U1445" s="505" t="s">
        <v>114</v>
      </c>
      <c r="V1445" s="541"/>
    </row>
    <row r="1446" spans="1:22" ht="50.1" customHeight="1" x14ac:dyDescent="0.2">
      <c r="A1446" s="619">
        <f>IF(B1446="","",COUNT('Diário 5º PA'!$A$5:$A$2634)+COUNT('Diário 6º PA'!$A$5:$A$2246)+COUNT('Diário 7º PA'!$A$5:$A$2271)+ROW()-4)</f>
        <v>5392</v>
      </c>
      <c r="B1446" s="620">
        <v>44536</v>
      </c>
      <c r="C1446" s="621">
        <v>44501</v>
      </c>
      <c r="D1446" s="548" t="s">
        <v>88</v>
      </c>
      <c r="E1446" s="548" t="s">
        <v>90</v>
      </c>
      <c r="F1446" s="622">
        <v>2073.4299999999998</v>
      </c>
      <c r="G1446" s="623" t="s">
        <v>6601</v>
      </c>
      <c r="H1446" s="548" t="s">
        <v>114</v>
      </c>
      <c r="I1446" s="583" t="s">
        <v>1780</v>
      </c>
      <c r="J1446" s="548" t="s">
        <v>1781</v>
      </c>
      <c r="K1446" s="583" t="s">
        <v>991</v>
      </c>
      <c r="L1446" s="583" t="s">
        <v>1183</v>
      </c>
      <c r="M1446" s="619" t="s">
        <v>114</v>
      </c>
      <c r="N1446" s="620">
        <v>44536</v>
      </c>
      <c r="O1446" s="684" t="s">
        <v>67</v>
      </c>
      <c r="P1446" s="503">
        <f t="shared" si="86"/>
        <v>12</v>
      </c>
      <c r="Q1446" s="503">
        <f t="shared" si="87"/>
        <v>11</v>
      </c>
      <c r="R1446" s="504" t="str">
        <f t="shared" si="88"/>
        <v>Gastos_com_Pessoal</v>
      </c>
      <c r="S1446" s="504" t="str">
        <f>IF(D1446="","",IF(OR(D1446=Plano!$A$1,D1446=Plano!$B$1),"entrada","saída"))</f>
        <v>saída</v>
      </c>
      <c r="T1446" s="505" t="s">
        <v>114</v>
      </c>
      <c r="U1446" s="505" t="s">
        <v>114</v>
      </c>
      <c r="V1446" s="541"/>
    </row>
    <row r="1447" spans="1:22" ht="50.1" customHeight="1" x14ac:dyDescent="0.2">
      <c r="A1447" s="619">
        <f>IF(B1447="","",COUNT('Diário 5º PA'!$A$5:$A$2634)+COUNT('Diário 6º PA'!$A$5:$A$2246)+COUNT('Diário 7º PA'!$A$5:$A$2271)+ROW()-4)</f>
        <v>5393</v>
      </c>
      <c r="B1447" s="620">
        <v>44536</v>
      </c>
      <c r="C1447" s="621">
        <v>44501</v>
      </c>
      <c r="D1447" s="548" t="s">
        <v>88</v>
      </c>
      <c r="E1447" s="548" t="s">
        <v>90</v>
      </c>
      <c r="F1447" s="622">
        <v>1953.41</v>
      </c>
      <c r="G1447" s="623" t="s">
        <v>6602</v>
      </c>
      <c r="H1447" s="548" t="s">
        <v>114</v>
      </c>
      <c r="I1447" s="583" t="s">
        <v>2250</v>
      </c>
      <c r="J1447" s="548" t="s">
        <v>2251</v>
      </c>
      <c r="K1447" s="583" t="s">
        <v>991</v>
      </c>
      <c r="L1447" s="583" t="s">
        <v>1183</v>
      </c>
      <c r="M1447" s="619" t="s">
        <v>114</v>
      </c>
      <c r="N1447" s="620">
        <v>44536</v>
      </c>
      <c r="O1447" s="684" t="s">
        <v>67</v>
      </c>
      <c r="P1447" s="503">
        <f t="shared" si="86"/>
        <v>12</v>
      </c>
      <c r="Q1447" s="503">
        <f t="shared" si="87"/>
        <v>11</v>
      </c>
      <c r="R1447" s="504" t="str">
        <f t="shared" si="88"/>
        <v>Gastos_com_Pessoal</v>
      </c>
      <c r="S1447" s="504" t="str">
        <f>IF(D1447="","",IF(OR(D1447=Plano!$A$1,D1447=Plano!$B$1),"entrada","saída"))</f>
        <v>saída</v>
      </c>
      <c r="T1447" s="505" t="s">
        <v>114</v>
      </c>
      <c r="U1447" s="505" t="s">
        <v>114</v>
      </c>
      <c r="V1447" s="541"/>
    </row>
    <row r="1448" spans="1:22" ht="50.1" customHeight="1" x14ac:dyDescent="0.2">
      <c r="A1448" s="619">
        <f>IF(B1448="","",COUNT('Diário 5º PA'!$A$5:$A$2634)+COUNT('Diário 6º PA'!$A$5:$A$2246)+COUNT('Diário 7º PA'!$A$5:$A$2271)+ROW()-4)</f>
        <v>5394</v>
      </c>
      <c r="B1448" s="620">
        <v>44536</v>
      </c>
      <c r="C1448" s="621">
        <v>44501</v>
      </c>
      <c r="D1448" s="548" t="s">
        <v>88</v>
      </c>
      <c r="E1448" s="548" t="s">
        <v>90</v>
      </c>
      <c r="F1448" s="622">
        <v>2006.45</v>
      </c>
      <c r="G1448" s="623" t="s">
        <v>6603</v>
      </c>
      <c r="H1448" s="548" t="s">
        <v>114</v>
      </c>
      <c r="I1448" s="583" t="s">
        <v>1782</v>
      </c>
      <c r="J1448" s="548" t="s">
        <v>1783</v>
      </c>
      <c r="K1448" s="583" t="s">
        <v>991</v>
      </c>
      <c r="L1448" s="583" t="s">
        <v>1183</v>
      </c>
      <c r="M1448" s="619" t="s">
        <v>114</v>
      </c>
      <c r="N1448" s="620">
        <v>44536</v>
      </c>
      <c r="O1448" s="684" t="s">
        <v>67</v>
      </c>
      <c r="P1448" s="503">
        <f t="shared" si="86"/>
        <v>12</v>
      </c>
      <c r="Q1448" s="503">
        <f t="shared" si="87"/>
        <v>11</v>
      </c>
      <c r="R1448" s="504" t="str">
        <f t="shared" si="88"/>
        <v>Gastos_com_Pessoal</v>
      </c>
      <c r="S1448" s="504" t="str">
        <f>IF(D1448="","",IF(OR(D1448=Plano!$A$1,D1448=Plano!$B$1),"entrada","saída"))</f>
        <v>saída</v>
      </c>
      <c r="T1448" s="505" t="s">
        <v>114</v>
      </c>
      <c r="U1448" s="505" t="s">
        <v>114</v>
      </c>
      <c r="V1448" s="541"/>
    </row>
    <row r="1449" spans="1:22" ht="50.1" customHeight="1" x14ac:dyDescent="0.2">
      <c r="A1449" s="619">
        <f>IF(B1449="","",COUNT('Diário 5º PA'!$A$5:$A$2634)+COUNT('Diário 6º PA'!$A$5:$A$2246)+COUNT('Diário 7º PA'!$A$5:$A$2271)+ROW()-4)</f>
        <v>5395</v>
      </c>
      <c r="B1449" s="620">
        <v>44536</v>
      </c>
      <c r="C1449" s="621">
        <v>44501</v>
      </c>
      <c r="D1449" s="548" t="s">
        <v>88</v>
      </c>
      <c r="E1449" s="548" t="s">
        <v>90</v>
      </c>
      <c r="F1449" s="622">
        <v>1814.15</v>
      </c>
      <c r="G1449" s="623" t="s">
        <v>6604</v>
      </c>
      <c r="H1449" s="548" t="s">
        <v>114</v>
      </c>
      <c r="I1449" s="583" t="s">
        <v>1206</v>
      </c>
      <c r="J1449" s="548" t="s">
        <v>1207</v>
      </c>
      <c r="K1449" s="583" t="s">
        <v>991</v>
      </c>
      <c r="L1449" s="583" t="s">
        <v>1183</v>
      </c>
      <c r="M1449" s="619" t="s">
        <v>114</v>
      </c>
      <c r="N1449" s="620">
        <v>44536</v>
      </c>
      <c r="O1449" s="684" t="s">
        <v>67</v>
      </c>
      <c r="P1449" s="503">
        <f t="shared" si="86"/>
        <v>12</v>
      </c>
      <c r="Q1449" s="503">
        <f t="shared" si="87"/>
        <v>11</v>
      </c>
      <c r="R1449" s="504" t="str">
        <f t="shared" si="88"/>
        <v>Gastos_com_Pessoal</v>
      </c>
      <c r="S1449" s="504" t="str">
        <f>IF(D1449="","",IF(OR(D1449=Plano!$A$1,D1449=Plano!$B$1),"entrada","saída"))</f>
        <v>saída</v>
      </c>
      <c r="T1449" s="505" t="s">
        <v>114</v>
      </c>
      <c r="U1449" s="505" t="s">
        <v>114</v>
      </c>
      <c r="V1449" s="541"/>
    </row>
    <row r="1450" spans="1:22" ht="160.5" customHeight="1" x14ac:dyDescent="0.2">
      <c r="A1450" s="619">
        <f>IF(B1450="","",COUNT('Diário 5º PA'!$A$5:$A$2634)+COUNT('Diário 6º PA'!$A$5:$A$2246)+COUNT('Diário 7º PA'!$A$5:$A$2271)+ROW()-4)</f>
        <v>5396</v>
      </c>
      <c r="B1450" s="620">
        <v>44536</v>
      </c>
      <c r="C1450" s="624">
        <v>44501</v>
      </c>
      <c r="D1450" s="548" t="s">
        <v>99</v>
      </c>
      <c r="E1450" s="548" t="s">
        <v>244</v>
      </c>
      <c r="F1450" s="622">
        <v>556.21</v>
      </c>
      <c r="G1450" s="623" t="s">
        <v>760</v>
      </c>
      <c r="H1450" s="548" t="s">
        <v>115</v>
      </c>
      <c r="I1450" s="583" t="s">
        <v>6605</v>
      </c>
      <c r="J1450" s="548" t="s">
        <v>762</v>
      </c>
      <c r="K1450" s="583" t="s">
        <v>560</v>
      </c>
      <c r="L1450" s="583" t="s">
        <v>114</v>
      </c>
      <c r="M1450" s="619" t="s">
        <v>114</v>
      </c>
      <c r="N1450" s="620">
        <v>44536</v>
      </c>
      <c r="O1450" s="684" t="s">
        <v>67</v>
      </c>
      <c r="P1450" s="503">
        <f t="shared" si="86"/>
        <v>12</v>
      </c>
      <c r="Q1450" s="503">
        <f t="shared" si="87"/>
        <v>11</v>
      </c>
      <c r="R1450" s="504" t="str">
        <f t="shared" si="88"/>
        <v>Gastos_Gerais</v>
      </c>
      <c r="S1450" s="504" t="str">
        <f>IF(D1450="","",IF(OR(D1450=Plano!$A$1,D1450=Plano!$B$1),"entrada","saída"))</f>
        <v>saída</v>
      </c>
      <c r="T1450" s="505" t="s">
        <v>1059</v>
      </c>
      <c r="U1450" s="505">
        <v>1873</v>
      </c>
      <c r="V1450" s="541"/>
    </row>
    <row r="1451" spans="1:22" ht="177" customHeight="1" x14ac:dyDescent="0.2">
      <c r="A1451" s="619">
        <f>IF(B1451="","",COUNT('Diário 5º PA'!$A$5:$A$2634)+COUNT('Diário 6º PA'!$A$5:$A$2246)+COUNT('Diário 7º PA'!$A$5:$A$2271)+ROW()-4)</f>
        <v>5397</v>
      </c>
      <c r="B1451" s="620">
        <v>44536</v>
      </c>
      <c r="C1451" s="624">
        <v>44501</v>
      </c>
      <c r="D1451" s="548" t="s">
        <v>99</v>
      </c>
      <c r="E1451" s="548" t="s">
        <v>244</v>
      </c>
      <c r="F1451" s="622">
        <v>712</v>
      </c>
      <c r="G1451" s="623" t="s">
        <v>760</v>
      </c>
      <c r="H1451" s="548" t="s">
        <v>115</v>
      </c>
      <c r="I1451" s="583" t="s">
        <v>6605</v>
      </c>
      <c r="J1451" s="548" t="s">
        <v>762</v>
      </c>
      <c r="K1451" s="583" t="s">
        <v>560</v>
      </c>
      <c r="L1451" s="583" t="s">
        <v>992</v>
      </c>
      <c r="M1451" s="619">
        <v>2004</v>
      </c>
      <c r="N1451" s="620">
        <v>44530</v>
      </c>
      <c r="O1451" s="684" t="s">
        <v>67</v>
      </c>
      <c r="P1451" s="503">
        <f t="shared" si="86"/>
        <v>12</v>
      </c>
      <c r="Q1451" s="503">
        <f t="shared" si="87"/>
        <v>11</v>
      </c>
      <c r="R1451" s="504" t="str">
        <f t="shared" si="88"/>
        <v>Gastos_Gerais</v>
      </c>
      <c r="S1451" s="504" t="str">
        <f>IF(D1451="","",IF(OR(D1451=Plano!$A$1,D1451=Plano!$B$1),"entrada","saída"))</f>
        <v>saída</v>
      </c>
      <c r="T1451" s="505" t="s">
        <v>1059</v>
      </c>
      <c r="U1451" s="505">
        <v>1873</v>
      </c>
      <c r="V1451" s="541"/>
    </row>
    <row r="1452" spans="1:22" ht="147" customHeight="1" x14ac:dyDescent="0.2">
      <c r="A1452" s="619">
        <f>IF(B1452="","",COUNT('Diário 5º PA'!$A$5:$A$2634)+COUNT('Diário 6º PA'!$A$5:$A$2246)+COUNT('Diário 7º PA'!$A$5:$A$2271)+ROW()-4)</f>
        <v>5398</v>
      </c>
      <c r="B1452" s="620">
        <v>44536</v>
      </c>
      <c r="C1452" s="624">
        <v>44440</v>
      </c>
      <c r="D1452" s="548" t="s">
        <v>99</v>
      </c>
      <c r="E1452" s="548" t="s">
        <v>364</v>
      </c>
      <c r="F1452" s="622">
        <v>700</v>
      </c>
      <c r="G1452" s="623" t="s">
        <v>810</v>
      </c>
      <c r="H1452" s="548" t="s">
        <v>117</v>
      </c>
      <c r="I1452" s="583" t="s">
        <v>5221</v>
      </c>
      <c r="J1452" s="548" t="s">
        <v>812</v>
      </c>
      <c r="K1452" s="583" t="s">
        <v>991</v>
      </c>
      <c r="L1452" s="583" t="s">
        <v>992</v>
      </c>
      <c r="M1452" s="619" t="s">
        <v>2429</v>
      </c>
      <c r="N1452" s="620">
        <v>44536</v>
      </c>
      <c r="O1452" s="684" t="s">
        <v>67</v>
      </c>
      <c r="P1452" s="503">
        <f t="shared" si="86"/>
        <v>12</v>
      </c>
      <c r="Q1452" s="503">
        <f t="shared" si="87"/>
        <v>9</v>
      </c>
      <c r="R1452" s="504" t="str">
        <f t="shared" si="88"/>
        <v>Gastos_Gerais</v>
      </c>
      <c r="S1452" s="504" t="str">
        <f>IF(D1452="","",IF(OR(D1452=Plano!$A$1,D1452=Plano!$B$1),"entrada","saída"))</f>
        <v>saída</v>
      </c>
      <c r="T1452" s="505" t="s">
        <v>1059</v>
      </c>
      <c r="U1452" s="505">
        <v>1935</v>
      </c>
      <c r="V1452" s="541"/>
    </row>
    <row r="1453" spans="1:22" ht="179.25" customHeight="1" x14ac:dyDescent="0.2">
      <c r="A1453" s="619">
        <f>IF(B1453="","",COUNT('Diário 5º PA'!$A$5:$A$2634)+COUNT('Diário 6º PA'!$A$5:$A$2246)+COUNT('Diário 7º PA'!$A$5:$A$2271)+ROW()-4)</f>
        <v>5399</v>
      </c>
      <c r="B1453" s="620">
        <v>44536</v>
      </c>
      <c r="C1453" s="624">
        <v>44501</v>
      </c>
      <c r="D1453" s="548" t="s">
        <v>99</v>
      </c>
      <c r="E1453" s="548" t="s">
        <v>358</v>
      </c>
      <c r="F1453" s="622">
        <v>1008</v>
      </c>
      <c r="G1453" s="623" t="s">
        <v>728</v>
      </c>
      <c r="H1453" s="548" t="s">
        <v>131</v>
      </c>
      <c r="I1453" s="583" t="s">
        <v>6606</v>
      </c>
      <c r="J1453" s="548" t="s">
        <v>729</v>
      </c>
      <c r="K1453" s="583" t="s">
        <v>991</v>
      </c>
      <c r="L1453" s="583" t="s">
        <v>1901</v>
      </c>
      <c r="M1453" s="619">
        <v>1476</v>
      </c>
      <c r="N1453" s="620">
        <v>44532</v>
      </c>
      <c r="O1453" s="684" t="s">
        <v>67</v>
      </c>
      <c r="P1453" s="503">
        <f t="shared" si="86"/>
        <v>12</v>
      </c>
      <c r="Q1453" s="503">
        <f t="shared" si="87"/>
        <v>11</v>
      </c>
      <c r="R1453" s="504" t="str">
        <f t="shared" si="88"/>
        <v>Gastos_Gerais</v>
      </c>
      <c r="S1453" s="504" t="str">
        <f>IF(D1453="","",IF(OR(D1453=Plano!$A$1,D1453=Plano!$B$1),"entrada","saída"))</f>
        <v>saída</v>
      </c>
      <c r="T1453" s="505" t="s">
        <v>994</v>
      </c>
      <c r="U1453" s="505">
        <v>1895</v>
      </c>
      <c r="V1453" s="541"/>
    </row>
    <row r="1454" spans="1:22" ht="50.1" customHeight="1" x14ac:dyDescent="0.2">
      <c r="A1454" s="619">
        <f>IF(B1454="","",COUNT('Diário 5º PA'!$A$5:$A$2634)+COUNT('Diário 6º PA'!$A$5:$A$2246)+COUNT('Diário 7º PA'!$A$5:$A$2271)+ROW()-4)</f>
        <v>5400</v>
      </c>
      <c r="B1454" s="620">
        <v>44536</v>
      </c>
      <c r="C1454" s="628">
        <v>44501</v>
      </c>
      <c r="D1454" s="548" t="s">
        <v>99</v>
      </c>
      <c r="E1454" s="548" t="s">
        <v>272</v>
      </c>
      <c r="F1454" s="622">
        <v>10.45</v>
      </c>
      <c r="G1454" s="623" t="s">
        <v>6076</v>
      </c>
      <c r="H1454" s="548" t="s">
        <v>114</v>
      </c>
      <c r="I1454" s="583" t="s">
        <v>949</v>
      </c>
      <c r="J1454" s="548" t="s">
        <v>950</v>
      </c>
      <c r="K1454" s="583" t="s">
        <v>951</v>
      </c>
      <c r="L1454" s="583" t="s">
        <v>947</v>
      </c>
      <c r="M1454" s="625" t="s">
        <v>114</v>
      </c>
      <c r="N1454" s="620">
        <v>44536</v>
      </c>
      <c r="O1454" s="684" t="s">
        <v>67</v>
      </c>
      <c r="P1454" s="503">
        <f t="shared" si="86"/>
        <v>12</v>
      </c>
      <c r="Q1454" s="503">
        <f t="shared" si="87"/>
        <v>11</v>
      </c>
      <c r="R1454" s="504" t="str">
        <f t="shared" si="88"/>
        <v>Gastos_Gerais</v>
      </c>
      <c r="S1454" s="504" t="str">
        <f>IF(D1454="","",IF(OR(D1454=Plano!$A$1,D1454=Plano!$B$1),"entrada","saída"))</f>
        <v>saída</v>
      </c>
      <c r="T1454" s="511" t="s">
        <v>114</v>
      </c>
      <c r="U1454" s="511" t="s">
        <v>114</v>
      </c>
      <c r="V1454" s="541"/>
    </row>
    <row r="1455" spans="1:22" ht="50.1" customHeight="1" x14ac:dyDescent="0.2">
      <c r="A1455" s="619">
        <f>IF(B1455="","",COUNT('Diário 5º PA'!$A$5:$A$2634)+COUNT('Diário 6º PA'!$A$5:$A$2246)+COUNT('Diário 7º PA'!$A$5:$A$2271)+ROW()-4)</f>
        <v>5401</v>
      </c>
      <c r="B1455" s="620">
        <v>44536</v>
      </c>
      <c r="C1455" s="628">
        <v>44531</v>
      </c>
      <c r="D1455" s="548" t="s">
        <v>99</v>
      </c>
      <c r="E1455" s="548" t="s">
        <v>272</v>
      </c>
      <c r="F1455" s="622">
        <v>10.45</v>
      </c>
      <c r="G1455" s="623" t="s">
        <v>2273</v>
      </c>
      <c r="H1455" s="548" t="s">
        <v>114</v>
      </c>
      <c r="I1455" s="583" t="s">
        <v>949</v>
      </c>
      <c r="J1455" s="548" t="s">
        <v>950</v>
      </c>
      <c r="K1455" s="583" t="s">
        <v>951</v>
      </c>
      <c r="L1455" s="583" t="s">
        <v>947</v>
      </c>
      <c r="M1455" s="625" t="s">
        <v>114</v>
      </c>
      <c r="N1455" s="620">
        <v>44536</v>
      </c>
      <c r="O1455" s="684" t="s">
        <v>67</v>
      </c>
      <c r="P1455" s="503">
        <f t="shared" si="86"/>
        <v>12</v>
      </c>
      <c r="Q1455" s="503">
        <f t="shared" si="87"/>
        <v>12</v>
      </c>
      <c r="R1455" s="504" t="str">
        <f t="shared" si="88"/>
        <v>Gastos_Gerais</v>
      </c>
      <c r="S1455" s="504" t="str">
        <f>IF(D1455="","",IF(OR(D1455=Plano!$A$1,D1455=Plano!$B$1),"entrada","saída"))</f>
        <v>saída</v>
      </c>
      <c r="T1455" s="511" t="s">
        <v>114</v>
      </c>
      <c r="U1455" s="511" t="s">
        <v>114</v>
      </c>
      <c r="V1455" s="541"/>
    </row>
    <row r="1456" spans="1:22" ht="50.1" customHeight="1" x14ac:dyDescent="0.2">
      <c r="A1456" s="619">
        <f>IF(B1456="","",COUNT('Diário 5º PA'!$A$5:$A$2634)+COUNT('Diário 6º PA'!$A$5:$A$2246)+COUNT('Diário 7º PA'!$A$5:$A$2271)+ROW()-4)</f>
        <v>5402</v>
      </c>
      <c r="B1456" s="620">
        <v>44536</v>
      </c>
      <c r="C1456" s="628">
        <v>44531</v>
      </c>
      <c r="D1456" s="548" t="s">
        <v>99</v>
      </c>
      <c r="E1456" s="548" t="s">
        <v>272</v>
      </c>
      <c r="F1456" s="622">
        <v>10.45</v>
      </c>
      <c r="G1456" s="623" t="s">
        <v>2274</v>
      </c>
      <c r="H1456" s="548" t="s">
        <v>114</v>
      </c>
      <c r="I1456" s="583" t="s">
        <v>949</v>
      </c>
      <c r="J1456" s="548" t="s">
        <v>950</v>
      </c>
      <c r="K1456" s="583" t="s">
        <v>951</v>
      </c>
      <c r="L1456" s="583" t="s">
        <v>947</v>
      </c>
      <c r="M1456" s="625" t="s">
        <v>114</v>
      </c>
      <c r="N1456" s="620">
        <v>44536</v>
      </c>
      <c r="O1456" s="684" t="s">
        <v>67</v>
      </c>
      <c r="P1456" s="503">
        <f t="shared" si="86"/>
        <v>12</v>
      </c>
      <c r="Q1456" s="503">
        <f t="shared" si="87"/>
        <v>12</v>
      </c>
      <c r="R1456" s="504" t="str">
        <f t="shared" si="88"/>
        <v>Gastos_Gerais</v>
      </c>
      <c r="S1456" s="504" t="str">
        <f>IF(D1456="","",IF(OR(D1456=Plano!$A$1,D1456=Plano!$B$1),"entrada","saída"))</f>
        <v>saída</v>
      </c>
      <c r="T1456" s="511" t="s">
        <v>114</v>
      </c>
      <c r="U1456" s="511" t="s">
        <v>114</v>
      </c>
      <c r="V1456" s="541"/>
    </row>
    <row r="1457" spans="1:22" ht="50.1" customHeight="1" x14ac:dyDescent="0.2">
      <c r="A1457" s="619">
        <f>IF(B1457="","",COUNT('Diário 5º PA'!$A$5:$A$2634)+COUNT('Diário 6º PA'!$A$5:$A$2246)+COUNT('Diário 7º PA'!$A$5:$A$2271)+ROW()-4)</f>
        <v>5403</v>
      </c>
      <c r="B1457" s="620">
        <v>44536</v>
      </c>
      <c r="C1457" s="628">
        <v>44531</v>
      </c>
      <c r="D1457" s="548" t="s">
        <v>99</v>
      </c>
      <c r="E1457" s="548" t="s">
        <v>272</v>
      </c>
      <c r="F1457" s="622">
        <v>10.45</v>
      </c>
      <c r="G1457" s="623" t="s">
        <v>2273</v>
      </c>
      <c r="H1457" s="548" t="s">
        <v>114</v>
      </c>
      <c r="I1457" s="583" t="s">
        <v>949</v>
      </c>
      <c r="J1457" s="548" t="s">
        <v>950</v>
      </c>
      <c r="K1457" s="583" t="s">
        <v>951</v>
      </c>
      <c r="L1457" s="583" t="s">
        <v>947</v>
      </c>
      <c r="M1457" s="625" t="s">
        <v>114</v>
      </c>
      <c r="N1457" s="620">
        <v>44536</v>
      </c>
      <c r="O1457" s="684" t="s">
        <v>67</v>
      </c>
      <c r="P1457" s="503">
        <f t="shared" si="86"/>
        <v>12</v>
      </c>
      <c r="Q1457" s="503">
        <f t="shared" si="87"/>
        <v>12</v>
      </c>
      <c r="R1457" s="504" t="str">
        <f t="shared" si="88"/>
        <v>Gastos_Gerais</v>
      </c>
      <c r="S1457" s="504" t="str">
        <f>IF(D1457="","",IF(OR(D1457=Plano!$A$1,D1457=Plano!$B$1),"entrada","saída"))</f>
        <v>saída</v>
      </c>
      <c r="T1457" s="511" t="s">
        <v>114</v>
      </c>
      <c r="U1457" s="511" t="s">
        <v>114</v>
      </c>
      <c r="V1457" s="541"/>
    </row>
    <row r="1458" spans="1:22" ht="50.1" customHeight="1" x14ac:dyDescent="0.2">
      <c r="A1458" s="619">
        <f>IF(B1458="","",COUNT('Diário 5º PA'!$A$5:$A$2634)+COUNT('Diário 6º PA'!$A$5:$A$2246)+COUNT('Diário 7º PA'!$A$5:$A$2271)+ROW()-4)</f>
        <v>5404</v>
      </c>
      <c r="B1458" s="620">
        <v>44536</v>
      </c>
      <c r="C1458" s="628">
        <v>44531</v>
      </c>
      <c r="D1458" s="548" t="s">
        <v>99</v>
      </c>
      <c r="E1458" s="548" t="s">
        <v>272</v>
      </c>
      <c r="F1458" s="622">
        <v>10.45</v>
      </c>
      <c r="G1458" s="623" t="s">
        <v>2275</v>
      </c>
      <c r="H1458" s="548" t="s">
        <v>114</v>
      </c>
      <c r="I1458" s="583" t="s">
        <v>949</v>
      </c>
      <c r="J1458" s="548" t="s">
        <v>950</v>
      </c>
      <c r="K1458" s="583" t="s">
        <v>951</v>
      </c>
      <c r="L1458" s="583" t="s">
        <v>947</v>
      </c>
      <c r="M1458" s="625" t="s">
        <v>114</v>
      </c>
      <c r="N1458" s="620">
        <v>44536</v>
      </c>
      <c r="O1458" s="684" t="s">
        <v>67</v>
      </c>
      <c r="P1458" s="503">
        <f t="shared" si="86"/>
        <v>12</v>
      </c>
      <c r="Q1458" s="503">
        <f t="shared" si="87"/>
        <v>12</v>
      </c>
      <c r="R1458" s="504" t="str">
        <f t="shared" si="88"/>
        <v>Gastos_Gerais</v>
      </c>
      <c r="S1458" s="504" t="str">
        <f>IF(D1458="","",IF(OR(D1458=Plano!$A$1,D1458=Plano!$B$1),"entrada","saída"))</f>
        <v>saída</v>
      </c>
      <c r="T1458" s="511" t="s">
        <v>114</v>
      </c>
      <c r="U1458" s="511" t="s">
        <v>114</v>
      </c>
      <c r="V1458" s="541"/>
    </row>
    <row r="1459" spans="1:22" ht="50.1" customHeight="1" x14ac:dyDescent="0.2">
      <c r="A1459" s="619">
        <f>IF(B1459="","",COUNT('Diário 5º PA'!$A$5:$A$2634)+COUNT('Diário 6º PA'!$A$5:$A$2246)+COUNT('Diário 7º PA'!$A$5:$A$2271)+ROW()-4)</f>
        <v>5405</v>
      </c>
      <c r="B1459" s="620">
        <v>44536</v>
      </c>
      <c r="C1459" s="628">
        <v>44531</v>
      </c>
      <c r="D1459" s="548" t="s">
        <v>99</v>
      </c>
      <c r="E1459" s="548" t="s">
        <v>272</v>
      </c>
      <c r="F1459" s="622">
        <v>10.45</v>
      </c>
      <c r="G1459" s="623" t="s">
        <v>2273</v>
      </c>
      <c r="H1459" s="548" t="s">
        <v>114</v>
      </c>
      <c r="I1459" s="583" t="s">
        <v>949</v>
      </c>
      <c r="J1459" s="548" t="s">
        <v>950</v>
      </c>
      <c r="K1459" s="583" t="s">
        <v>951</v>
      </c>
      <c r="L1459" s="583" t="s">
        <v>947</v>
      </c>
      <c r="M1459" s="625" t="s">
        <v>114</v>
      </c>
      <c r="N1459" s="620">
        <v>44536</v>
      </c>
      <c r="O1459" s="684" t="s">
        <v>67</v>
      </c>
      <c r="P1459" s="503">
        <f t="shared" si="86"/>
        <v>12</v>
      </c>
      <c r="Q1459" s="503">
        <f t="shared" si="87"/>
        <v>12</v>
      </c>
      <c r="R1459" s="504" t="str">
        <f t="shared" si="88"/>
        <v>Gastos_Gerais</v>
      </c>
      <c r="S1459" s="504" t="str">
        <f>IF(D1459="","",IF(OR(D1459=Plano!$A$1,D1459=Plano!$B$1),"entrada","saída"))</f>
        <v>saída</v>
      </c>
      <c r="T1459" s="511" t="s">
        <v>114</v>
      </c>
      <c r="U1459" s="511" t="s">
        <v>114</v>
      </c>
      <c r="V1459" s="541"/>
    </row>
    <row r="1460" spans="1:22" ht="50.1" customHeight="1" x14ac:dyDescent="0.2">
      <c r="A1460" s="619">
        <f>IF(B1460="","",COUNT('Diário 5º PA'!$A$5:$A$2634)+COUNT('Diário 6º PA'!$A$5:$A$2246)+COUNT('Diário 7º PA'!$A$5:$A$2271)+ROW()-4)</f>
        <v>5406</v>
      </c>
      <c r="B1460" s="620">
        <v>44536</v>
      </c>
      <c r="C1460" s="628">
        <v>44531</v>
      </c>
      <c r="D1460" s="548" t="s">
        <v>99</v>
      </c>
      <c r="E1460" s="548" t="s">
        <v>272</v>
      </c>
      <c r="F1460" s="622">
        <v>10.45</v>
      </c>
      <c r="G1460" s="623" t="s">
        <v>2276</v>
      </c>
      <c r="H1460" s="548" t="s">
        <v>114</v>
      </c>
      <c r="I1460" s="583" t="s">
        <v>949</v>
      </c>
      <c r="J1460" s="548" t="s">
        <v>950</v>
      </c>
      <c r="K1460" s="583" t="s">
        <v>951</v>
      </c>
      <c r="L1460" s="583" t="s">
        <v>947</v>
      </c>
      <c r="M1460" s="625" t="s">
        <v>114</v>
      </c>
      <c r="N1460" s="620">
        <v>44536</v>
      </c>
      <c r="O1460" s="684" t="s">
        <v>67</v>
      </c>
      <c r="P1460" s="503">
        <f t="shared" si="86"/>
        <v>12</v>
      </c>
      <c r="Q1460" s="503">
        <f t="shared" si="87"/>
        <v>12</v>
      </c>
      <c r="R1460" s="504" t="str">
        <f t="shared" si="88"/>
        <v>Gastos_Gerais</v>
      </c>
      <c r="S1460" s="504" t="str">
        <f>IF(D1460="","",IF(OR(D1460=Plano!$A$1,D1460=Plano!$B$1),"entrada","saída"))</f>
        <v>saída</v>
      </c>
      <c r="T1460" s="511" t="s">
        <v>114</v>
      </c>
      <c r="U1460" s="511" t="s">
        <v>114</v>
      </c>
      <c r="V1460" s="541"/>
    </row>
    <row r="1461" spans="1:22" ht="50.1" customHeight="1" x14ac:dyDescent="0.2">
      <c r="A1461" s="619">
        <f>IF(B1461="","",COUNT('Diário 5º PA'!$A$5:$A$2634)+COUNT('Diário 6º PA'!$A$5:$A$2246)+COUNT('Diário 7º PA'!$A$5:$A$2271)+ROW()-4)</f>
        <v>5407</v>
      </c>
      <c r="B1461" s="620">
        <v>44536</v>
      </c>
      <c r="C1461" s="628">
        <v>44531</v>
      </c>
      <c r="D1461" s="548" t="s">
        <v>99</v>
      </c>
      <c r="E1461" s="548" t="s">
        <v>272</v>
      </c>
      <c r="F1461" s="622">
        <v>10.45</v>
      </c>
      <c r="G1461" s="623" t="s">
        <v>2273</v>
      </c>
      <c r="H1461" s="548" t="s">
        <v>114</v>
      </c>
      <c r="I1461" s="583" t="s">
        <v>949</v>
      </c>
      <c r="J1461" s="548" t="s">
        <v>950</v>
      </c>
      <c r="K1461" s="583" t="s">
        <v>951</v>
      </c>
      <c r="L1461" s="583" t="s">
        <v>947</v>
      </c>
      <c r="M1461" s="625" t="s">
        <v>114</v>
      </c>
      <c r="N1461" s="620">
        <v>44536</v>
      </c>
      <c r="O1461" s="684" t="s">
        <v>67</v>
      </c>
      <c r="P1461" s="503">
        <f t="shared" si="86"/>
        <v>12</v>
      </c>
      <c r="Q1461" s="503">
        <f t="shared" si="87"/>
        <v>12</v>
      </c>
      <c r="R1461" s="504" t="str">
        <f t="shared" si="88"/>
        <v>Gastos_Gerais</v>
      </c>
      <c r="S1461" s="504" t="str">
        <f>IF(D1461="","",IF(OR(D1461=Plano!$A$1,D1461=Plano!$B$1),"entrada","saída"))</f>
        <v>saída</v>
      </c>
      <c r="T1461" s="511" t="s">
        <v>114</v>
      </c>
      <c r="U1461" s="511" t="s">
        <v>114</v>
      </c>
      <c r="V1461" s="541"/>
    </row>
    <row r="1462" spans="1:22" ht="50.1" customHeight="1" x14ac:dyDescent="0.2">
      <c r="A1462" s="619">
        <f>IF(B1462="","",COUNT('Diário 5º PA'!$A$5:$A$2634)+COUNT('Diário 6º PA'!$A$5:$A$2246)+COUNT('Diário 7º PA'!$A$5:$A$2271)+ROW()-4)</f>
        <v>5408</v>
      </c>
      <c r="B1462" s="620">
        <v>44536</v>
      </c>
      <c r="C1462" s="628">
        <v>44531</v>
      </c>
      <c r="D1462" s="548" t="s">
        <v>99</v>
      </c>
      <c r="E1462" s="548" t="s">
        <v>272</v>
      </c>
      <c r="F1462" s="622">
        <v>10.45</v>
      </c>
      <c r="G1462" s="623" t="s">
        <v>2277</v>
      </c>
      <c r="H1462" s="548" t="s">
        <v>114</v>
      </c>
      <c r="I1462" s="583" t="s">
        <v>949</v>
      </c>
      <c r="J1462" s="548" t="s">
        <v>950</v>
      </c>
      <c r="K1462" s="583" t="s">
        <v>951</v>
      </c>
      <c r="L1462" s="583" t="s">
        <v>947</v>
      </c>
      <c r="M1462" s="625" t="s">
        <v>114</v>
      </c>
      <c r="N1462" s="620">
        <v>44536</v>
      </c>
      <c r="O1462" s="684" t="s">
        <v>67</v>
      </c>
      <c r="P1462" s="503">
        <f t="shared" si="86"/>
        <v>12</v>
      </c>
      <c r="Q1462" s="503">
        <f t="shared" si="87"/>
        <v>12</v>
      </c>
      <c r="R1462" s="504" t="str">
        <f t="shared" si="88"/>
        <v>Gastos_Gerais</v>
      </c>
      <c r="S1462" s="504" t="str">
        <f>IF(D1462="","",IF(OR(D1462=Plano!$A$1,D1462=Plano!$B$1),"entrada","saída"))</f>
        <v>saída</v>
      </c>
      <c r="T1462" s="511" t="s">
        <v>114</v>
      </c>
      <c r="U1462" s="511" t="s">
        <v>114</v>
      </c>
      <c r="V1462" s="541"/>
    </row>
    <row r="1463" spans="1:22" ht="50.1" customHeight="1" x14ac:dyDescent="0.2">
      <c r="A1463" s="619">
        <f>IF(B1463="","",COUNT('Diário 5º PA'!$A$5:$A$2634)+COUNT('Diário 6º PA'!$A$5:$A$2246)+COUNT('Diário 7º PA'!$A$5:$A$2271)+ROW()-4)</f>
        <v>5409</v>
      </c>
      <c r="B1463" s="620">
        <v>44536</v>
      </c>
      <c r="C1463" s="628">
        <v>44531</v>
      </c>
      <c r="D1463" s="548" t="s">
        <v>99</v>
      </c>
      <c r="E1463" s="548" t="s">
        <v>272</v>
      </c>
      <c r="F1463" s="622">
        <v>10.45</v>
      </c>
      <c r="G1463" s="623" t="s">
        <v>2273</v>
      </c>
      <c r="H1463" s="548" t="s">
        <v>114</v>
      </c>
      <c r="I1463" s="583" t="s">
        <v>949</v>
      </c>
      <c r="J1463" s="548" t="s">
        <v>950</v>
      </c>
      <c r="K1463" s="583" t="s">
        <v>951</v>
      </c>
      <c r="L1463" s="583" t="s">
        <v>947</v>
      </c>
      <c r="M1463" s="625" t="s">
        <v>114</v>
      </c>
      <c r="N1463" s="620">
        <v>44536</v>
      </c>
      <c r="O1463" s="684" t="s">
        <v>67</v>
      </c>
      <c r="P1463" s="503">
        <f t="shared" si="86"/>
        <v>12</v>
      </c>
      <c r="Q1463" s="503">
        <f t="shared" si="87"/>
        <v>12</v>
      </c>
      <c r="R1463" s="504" t="str">
        <f t="shared" si="88"/>
        <v>Gastos_Gerais</v>
      </c>
      <c r="S1463" s="504" t="str">
        <f>IF(D1463="","",IF(OR(D1463=Plano!$A$1,D1463=Plano!$B$1),"entrada","saída"))</f>
        <v>saída</v>
      </c>
      <c r="T1463" s="511" t="s">
        <v>114</v>
      </c>
      <c r="U1463" s="511" t="s">
        <v>114</v>
      </c>
      <c r="V1463" s="541"/>
    </row>
    <row r="1464" spans="1:22" ht="50.1" customHeight="1" x14ac:dyDescent="0.2">
      <c r="A1464" s="619">
        <f>IF(B1464="","",COUNT('Diário 5º PA'!$A$5:$A$2634)+COUNT('Diário 6º PA'!$A$5:$A$2246)+COUNT('Diário 7º PA'!$A$5:$A$2271)+ROW()-4)</f>
        <v>5410</v>
      </c>
      <c r="B1464" s="620">
        <v>44536</v>
      </c>
      <c r="C1464" s="628">
        <v>44531</v>
      </c>
      <c r="D1464" s="548" t="s">
        <v>99</v>
      </c>
      <c r="E1464" s="548" t="s">
        <v>272</v>
      </c>
      <c r="F1464" s="622">
        <v>10.45</v>
      </c>
      <c r="G1464" s="623" t="s">
        <v>2278</v>
      </c>
      <c r="H1464" s="548" t="s">
        <v>114</v>
      </c>
      <c r="I1464" s="583" t="s">
        <v>949</v>
      </c>
      <c r="J1464" s="548" t="s">
        <v>950</v>
      </c>
      <c r="K1464" s="583" t="s">
        <v>951</v>
      </c>
      <c r="L1464" s="583" t="s">
        <v>947</v>
      </c>
      <c r="M1464" s="625" t="s">
        <v>114</v>
      </c>
      <c r="N1464" s="620">
        <v>44536</v>
      </c>
      <c r="O1464" s="684" t="s">
        <v>67</v>
      </c>
      <c r="P1464" s="503">
        <f t="shared" si="86"/>
        <v>12</v>
      </c>
      <c r="Q1464" s="503">
        <f t="shared" si="87"/>
        <v>12</v>
      </c>
      <c r="R1464" s="504" t="str">
        <f t="shared" si="88"/>
        <v>Gastos_Gerais</v>
      </c>
      <c r="S1464" s="504" t="str">
        <f>IF(D1464="","",IF(OR(D1464=Plano!$A$1,D1464=Plano!$B$1),"entrada","saída"))</f>
        <v>saída</v>
      </c>
      <c r="T1464" s="511" t="s">
        <v>114</v>
      </c>
      <c r="U1464" s="511" t="s">
        <v>114</v>
      </c>
      <c r="V1464" s="541"/>
    </row>
    <row r="1465" spans="1:22" ht="50.1" customHeight="1" x14ac:dyDescent="0.2">
      <c r="A1465" s="619">
        <f>IF(B1465="","",COUNT('Diário 5º PA'!$A$5:$A$2634)+COUNT('Diário 6º PA'!$A$5:$A$2246)+COUNT('Diário 7º PA'!$A$5:$A$2271)+ROW()-4)</f>
        <v>5411</v>
      </c>
      <c r="B1465" s="620">
        <v>44536</v>
      </c>
      <c r="C1465" s="628">
        <v>44531</v>
      </c>
      <c r="D1465" s="548" t="s">
        <v>99</v>
      </c>
      <c r="E1465" s="548" t="s">
        <v>272</v>
      </c>
      <c r="F1465" s="622">
        <v>10.45</v>
      </c>
      <c r="G1465" s="623" t="s">
        <v>2273</v>
      </c>
      <c r="H1465" s="548" t="s">
        <v>114</v>
      </c>
      <c r="I1465" s="583" t="s">
        <v>949</v>
      </c>
      <c r="J1465" s="548" t="s">
        <v>950</v>
      </c>
      <c r="K1465" s="583" t="s">
        <v>951</v>
      </c>
      <c r="L1465" s="583" t="s">
        <v>947</v>
      </c>
      <c r="M1465" s="625" t="s">
        <v>114</v>
      </c>
      <c r="N1465" s="620">
        <v>44536</v>
      </c>
      <c r="O1465" s="684" t="s">
        <v>67</v>
      </c>
      <c r="P1465" s="503">
        <f t="shared" si="86"/>
        <v>12</v>
      </c>
      <c r="Q1465" s="503">
        <f t="shared" si="87"/>
        <v>12</v>
      </c>
      <c r="R1465" s="504" t="str">
        <f t="shared" si="88"/>
        <v>Gastos_Gerais</v>
      </c>
      <c r="S1465" s="504" t="str">
        <f>IF(D1465="","",IF(OR(D1465=Plano!$A$1,D1465=Plano!$B$1),"entrada","saída"))</f>
        <v>saída</v>
      </c>
      <c r="T1465" s="511" t="s">
        <v>114</v>
      </c>
      <c r="U1465" s="511" t="s">
        <v>114</v>
      </c>
      <c r="V1465" s="541"/>
    </row>
    <row r="1466" spans="1:22" ht="50.1" customHeight="1" x14ac:dyDescent="0.2">
      <c r="A1466" s="619">
        <f>IF(B1466="","",COUNT('Diário 5º PA'!$A$5:$A$2634)+COUNT('Diário 6º PA'!$A$5:$A$2246)+COUNT('Diário 7º PA'!$A$5:$A$2271)+ROW()-4)</f>
        <v>5412</v>
      </c>
      <c r="B1466" s="620">
        <v>44536</v>
      </c>
      <c r="C1466" s="628">
        <v>44531</v>
      </c>
      <c r="D1466" s="548" t="s">
        <v>99</v>
      </c>
      <c r="E1466" s="548" t="s">
        <v>272</v>
      </c>
      <c r="F1466" s="622">
        <v>10.45</v>
      </c>
      <c r="G1466" s="623" t="s">
        <v>2273</v>
      </c>
      <c r="H1466" s="548" t="s">
        <v>114</v>
      </c>
      <c r="I1466" s="583" t="s">
        <v>949</v>
      </c>
      <c r="J1466" s="548" t="s">
        <v>950</v>
      </c>
      <c r="K1466" s="583" t="s">
        <v>951</v>
      </c>
      <c r="L1466" s="583" t="s">
        <v>947</v>
      </c>
      <c r="M1466" s="625" t="s">
        <v>114</v>
      </c>
      <c r="N1466" s="620">
        <v>44536</v>
      </c>
      <c r="O1466" s="684" t="s">
        <v>67</v>
      </c>
      <c r="P1466" s="503">
        <f t="shared" si="86"/>
        <v>12</v>
      </c>
      <c r="Q1466" s="503">
        <f t="shared" si="87"/>
        <v>12</v>
      </c>
      <c r="R1466" s="504" t="str">
        <f t="shared" si="88"/>
        <v>Gastos_Gerais</v>
      </c>
      <c r="S1466" s="504" t="str">
        <f>IF(D1466="","",IF(OR(D1466=Plano!$A$1,D1466=Plano!$B$1),"entrada","saída"))</f>
        <v>saída</v>
      </c>
      <c r="T1466" s="511" t="s">
        <v>114</v>
      </c>
      <c r="U1466" s="511" t="s">
        <v>114</v>
      </c>
      <c r="V1466" s="541"/>
    </row>
    <row r="1467" spans="1:22" ht="50.1" customHeight="1" x14ac:dyDescent="0.2">
      <c r="A1467" s="619">
        <f>IF(B1467="","",COUNT('Diário 5º PA'!$A$5:$A$2634)+COUNT('Diário 6º PA'!$A$5:$A$2246)+COUNT('Diário 7º PA'!$A$5:$A$2271)+ROW()-4)</f>
        <v>5413</v>
      </c>
      <c r="B1467" s="620">
        <v>44536</v>
      </c>
      <c r="C1467" s="628">
        <v>44531</v>
      </c>
      <c r="D1467" s="548" t="s">
        <v>99</v>
      </c>
      <c r="E1467" s="548" t="s">
        <v>272</v>
      </c>
      <c r="F1467" s="622">
        <v>10.45</v>
      </c>
      <c r="G1467" s="623" t="s">
        <v>2279</v>
      </c>
      <c r="H1467" s="548" t="s">
        <v>114</v>
      </c>
      <c r="I1467" s="583" t="s">
        <v>949</v>
      </c>
      <c r="J1467" s="548" t="s">
        <v>950</v>
      </c>
      <c r="K1467" s="583" t="s">
        <v>951</v>
      </c>
      <c r="L1467" s="583" t="s">
        <v>947</v>
      </c>
      <c r="M1467" s="625" t="s">
        <v>114</v>
      </c>
      <c r="N1467" s="620">
        <v>44536</v>
      </c>
      <c r="O1467" s="684" t="s">
        <v>67</v>
      </c>
      <c r="P1467" s="503">
        <f t="shared" si="86"/>
        <v>12</v>
      </c>
      <c r="Q1467" s="503">
        <f t="shared" si="87"/>
        <v>12</v>
      </c>
      <c r="R1467" s="504" t="str">
        <f t="shared" si="88"/>
        <v>Gastos_Gerais</v>
      </c>
      <c r="S1467" s="504" t="str">
        <f>IF(D1467="","",IF(OR(D1467=Plano!$A$1,D1467=Plano!$B$1),"entrada","saída"))</f>
        <v>saída</v>
      </c>
      <c r="T1467" s="511" t="s">
        <v>114</v>
      </c>
      <c r="U1467" s="511" t="s">
        <v>114</v>
      </c>
      <c r="V1467" s="541"/>
    </row>
    <row r="1468" spans="1:22" ht="50.1" customHeight="1" x14ac:dyDescent="0.2">
      <c r="A1468" s="619">
        <f>IF(B1468="","",COUNT('Diário 5º PA'!$A$5:$A$2634)+COUNT('Diário 6º PA'!$A$5:$A$2246)+COUNT('Diário 7º PA'!$A$5:$A$2271)+ROW()-4)</f>
        <v>5414</v>
      </c>
      <c r="B1468" s="620">
        <v>44536</v>
      </c>
      <c r="C1468" s="628">
        <v>44531</v>
      </c>
      <c r="D1468" s="548" t="s">
        <v>99</v>
      </c>
      <c r="E1468" s="548" t="s">
        <v>272</v>
      </c>
      <c r="F1468" s="622">
        <v>10.45</v>
      </c>
      <c r="G1468" s="623" t="s">
        <v>2280</v>
      </c>
      <c r="H1468" s="548" t="s">
        <v>114</v>
      </c>
      <c r="I1468" s="583" t="s">
        <v>949</v>
      </c>
      <c r="J1468" s="548" t="s">
        <v>950</v>
      </c>
      <c r="K1468" s="583" t="s">
        <v>951</v>
      </c>
      <c r="L1468" s="583" t="s">
        <v>947</v>
      </c>
      <c r="M1468" s="625" t="s">
        <v>114</v>
      </c>
      <c r="N1468" s="620">
        <v>44536</v>
      </c>
      <c r="O1468" s="684" t="s">
        <v>67</v>
      </c>
      <c r="P1468" s="503">
        <f t="shared" si="86"/>
        <v>12</v>
      </c>
      <c r="Q1468" s="503">
        <f t="shared" si="87"/>
        <v>12</v>
      </c>
      <c r="R1468" s="504" t="str">
        <f t="shared" si="88"/>
        <v>Gastos_Gerais</v>
      </c>
      <c r="S1468" s="504" t="str">
        <f>IF(D1468="","",IF(OR(D1468=Plano!$A$1,D1468=Plano!$B$1),"entrada","saída"))</f>
        <v>saída</v>
      </c>
      <c r="T1468" s="511" t="s">
        <v>114</v>
      </c>
      <c r="U1468" s="511" t="s">
        <v>114</v>
      </c>
      <c r="V1468" s="541"/>
    </row>
    <row r="1469" spans="1:22" ht="50.1" customHeight="1" x14ac:dyDescent="0.2">
      <c r="A1469" s="619">
        <f>IF(B1469="","",COUNT('Diário 5º PA'!$A$5:$A$2634)+COUNT('Diário 6º PA'!$A$5:$A$2246)+COUNT('Diário 7º PA'!$A$5:$A$2271)+ROW()-4)</f>
        <v>5415</v>
      </c>
      <c r="B1469" s="620">
        <v>44536</v>
      </c>
      <c r="C1469" s="628">
        <v>44531</v>
      </c>
      <c r="D1469" s="548" t="s">
        <v>99</v>
      </c>
      <c r="E1469" s="548" t="s">
        <v>272</v>
      </c>
      <c r="F1469" s="622">
        <v>10.45</v>
      </c>
      <c r="G1469" s="623" t="s">
        <v>2273</v>
      </c>
      <c r="H1469" s="548" t="s">
        <v>114</v>
      </c>
      <c r="I1469" s="583" t="s">
        <v>949</v>
      </c>
      <c r="J1469" s="548" t="s">
        <v>950</v>
      </c>
      <c r="K1469" s="583" t="s">
        <v>951</v>
      </c>
      <c r="L1469" s="583" t="s">
        <v>947</v>
      </c>
      <c r="M1469" s="625" t="s">
        <v>114</v>
      </c>
      <c r="N1469" s="620">
        <v>44536</v>
      </c>
      <c r="O1469" s="684" t="s">
        <v>67</v>
      </c>
      <c r="P1469" s="503">
        <f t="shared" si="86"/>
        <v>12</v>
      </c>
      <c r="Q1469" s="503">
        <f t="shared" si="87"/>
        <v>12</v>
      </c>
      <c r="R1469" s="504" t="str">
        <f t="shared" si="88"/>
        <v>Gastos_Gerais</v>
      </c>
      <c r="S1469" s="504" t="str">
        <f>IF(D1469="","",IF(OR(D1469=Plano!$A$1,D1469=Plano!$B$1),"entrada","saída"))</f>
        <v>saída</v>
      </c>
      <c r="T1469" s="511" t="s">
        <v>114</v>
      </c>
      <c r="U1469" s="511" t="s">
        <v>114</v>
      </c>
      <c r="V1469" s="541"/>
    </row>
    <row r="1470" spans="1:22" ht="50.1" customHeight="1" x14ac:dyDescent="0.2">
      <c r="A1470" s="619">
        <f>IF(B1470="","",COUNT('Diário 5º PA'!$A$5:$A$2634)+COUNT('Diário 6º PA'!$A$5:$A$2246)+COUNT('Diário 7º PA'!$A$5:$A$2271)+ROW()-4)</f>
        <v>5416</v>
      </c>
      <c r="B1470" s="620">
        <v>44536</v>
      </c>
      <c r="C1470" s="628">
        <v>44531</v>
      </c>
      <c r="D1470" s="548" t="s">
        <v>99</v>
      </c>
      <c r="E1470" s="548" t="s">
        <v>272</v>
      </c>
      <c r="F1470" s="622">
        <v>10.45</v>
      </c>
      <c r="G1470" s="623" t="s">
        <v>2273</v>
      </c>
      <c r="H1470" s="548" t="s">
        <v>114</v>
      </c>
      <c r="I1470" s="583" t="s">
        <v>949</v>
      </c>
      <c r="J1470" s="548" t="s">
        <v>950</v>
      </c>
      <c r="K1470" s="583" t="s">
        <v>951</v>
      </c>
      <c r="L1470" s="583" t="s">
        <v>947</v>
      </c>
      <c r="M1470" s="625" t="s">
        <v>114</v>
      </c>
      <c r="N1470" s="620">
        <v>44536</v>
      </c>
      <c r="O1470" s="684" t="s">
        <v>67</v>
      </c>
      <c r="P1470" s="503">
        <f t="shared" si="86"/>
        <v>12</v>
      </c>
      <c r="Q1470" s="503">
        <f t="shared" si="87"/>
        <v>12</v>
      </c>
      <c r="R1470" s="504" t="str">
        <f t="shared" si="88"/>
        <v>Gastos_Gerais</v>
      </c>
      <c r="S1470" s="504" t="str">
        <f>IF(D1470="","",IF(OR(D1470=Plano!$A$1,D1470=Plano!$B$1),"entrada","saída"))</f>
        <v>saída</v>
      </c>
      <c r="T1470" s="511" t="s">
        <v>114</v>
      </c>
      <c r="U1470" s="511" t="s">
        <v>114</v>
      </c>
      <c r="V1470" s="541"/>
    </row>
    <row r="1471" spans="1:22" ht="50.1" customHeight="1" x14ac:dyDescent="0.2">
      <c r="A1471" s="619">
        <f>IF(B1471="","",COUNT('Diário 5º PA'!$A$5:$A$2634)+COUNT('Diário 6º PA'!$A$5:$A$2246)+COUNT('Diário 7º PA'!$A$5:$A$2271)+ROW()-4)</f>
        <v>5417</v>
      </c>
      <c r="B1471" s="620">
        <v>44536</v>
      </c>
      <c r="C1471" s="628">
        <v>44531</v>
      </c>
      <c r="D1471" s="548" t="s">
        <v>99</v>
      </c>
      <c r="E1471" s="548" t="s">
        <v>272</v>
      </c>
      <c r="F1471" s="622">
        <v>10.45</v>
      </c>
      <c r="G1471" s="623" t="s">
        <v>2281</v>
      </c>
      <c r="H1471" s="548" t="s">
        <v>114</v>
      </c>
      <c r="I1471" s="583" t="s">
        <v>949</v>
      </c>
      <c r="J1471" s="548" t="s">
        <v>950</v>
      </c>
      <c r="K1471" s="583" t="s">
        <v>951</v>
      </c>
      <c r="L1471" s="583" t="s">
        <v>947</v>
      </c>
      <c r="M1471" s="625" t="s">
        <v>114</v>
      </c>
      <c r="N1471" s="620">
        <v>44536</v>
      </c>
      <c r="O1471" s="684" t="s">
        <v>67</v>
      </c>
      <c r="P1471" s="503">
        <f t="shared" si="86"/>
        <v>12</v>
      </c>
      <c r="Q1471" s="503">
        <f t="shared" si="87"/>
        <v>12</v>
      </c>
      <c r="R1471" s="504" t="str">
        <f t="shared" si="88"/>
        <v>Gastos_Gerais</v>
      </c>
      <c r="S1471" s="504" t="str">
        <f>IF(D1471="","",IF(OR(D1471=Plano!$A$1,D1471=Plano!$B$1),"entrada","saída"))</f>
        <v>saída</v>
      </c>
      <c r="T1471" s="511" t="s">
        <v>114</v>
      </c>
      <c r="U1471" s="511" t="s">
        <v>114</v>
      </c>
      <c r="V1471" s="541"/>
    </row>
    <row r="1472" spans="1:22" ht="50.1" customHeight="1" x14ac:dyDescent="0.2">
      <c r="A1472" s="619">
        <f>IF(B1472="","",COUNT('Diário 5º PA'!$A$5:$A$2634)+COUNT('Diário 6º PA'!$A$5:$A$2246)+COUNT('Diário 7º PA'!$A$5:$A$2271)+ROW()-4)</f>
        <v>5418</v>
      </c>
      <c r="B1472" s="620">
        <v>44536</v>
      </c>
      <c r="C1472" s="628">
        <v>44531</v>
      </c>
      <c r="D1472" s="548" t="s">
        <v>99</v>
      </c>
      <c r="E1472" s="548" t="s">
        <v>272</v>
      </c>
      <c r="F1472" s="622">
        <v>10.45</v>
      </c>
      <c r="G1472" s="623" t="s">
        <v>2273</v>
      </c>
      <c r="H1472" s="548" t="s">
        <v>114</v>
      </c>
      <c r="I1472" s="583" t="s">
        <v>949</v>
      </c>
      <c r="J1472" s="548" t="s">
        <v>950</v>
      </c>
      <c r="K1472" s="583" t="s">
        <v>951</v>
      </c>
      <c r="L1472" s="583" t="s">
        <v>947</v>
      </c>
      <c r="M1472" s="625" t="s">
        <v>114</v>
      </c>
      <c r="N1472" s="620">
        <v>44536</v>
      </c>
      <c r="O1472" s="684" t="s">
        <v>67</v>
      </c>
      <c r="P1472" s="503">
        <f t="shared" si="86"/>
        <v>12</v>
      </c>
      <c r="Q1472" s="503">
        <f t="shared" si="87"/>
        <v>12</v>
      </c>
      <c r="R1472" s="504" t="str">
        <f t="shared" si="88"/>
        <v>Gastos_Gerais</v>
      </c>
      <c r="S1472" s="504" t="str">
        <f>IF(D1472="","",IF(OR(D1472=Plano!$A$1,D1472=Plano!$B$1),"entrada","saída"))</f>
        <v>saída</v>
      </c>
      <c r="T1472" s="511" t="s">
        <v>114</v>
      </c>
      <c r="U1472" s="511" t="s">
        <v>114</v>
      </c>
      <c r="V1472" s="541"/>
    </row>
    <row r="1473" spans="1:22" ht="50.1" customHeight="1" x14ac:dyDescent="0.2">
      <c r="A1473" s="619">
        <f>IF(B1473="","",COUNT('Diário 5º PA'!$A$5:$A$2634)+COUNT('Diário 6º PA'!$A$5:$A$2246)+COUNT('Diário 7º PA'!$A$5:$A$2271)+ROW()-4)</f>
        <v>5419</v>
      </c>
      <c r="B1473" s="620">
        <v>44536</v>
      </c>
      <c r="C1473" s="628">
        <v>44531</v>
      </c>
      <c r="D1473" s="548" t="s">
        <v>99</v>
      </c>
      <c r="E1473" s="548" t="s">
        <v>272</v>
      </c>
      <c r="F1473" s="622">
        <v>10.45</v>
      </c>
      <c r="G1473" s="623" t="s">
        <v>2273</v>
      </c>
      <c r="H1473" s="548" t="s">
        <v>114</v>
      </c>
      <c r="I1473" s="583" t="s">
        <v>949</v>
      </c>
      <c r="J1473" s="548" t="s">
        <v>950</v>
      </c>
      <c r="K1473" s="583" t="s">
        <v>951</v>
      </c>
      <c r="L1473" s="583" t="s">
        <v>947</v>
      </c>
      <c r="M1473" s="625" t="s">
        <v>114</v>
      </c>
      <c r="N1473" s="620">
        <v>44536</v>
      </c>
      <c r="O1473" s="684" t="s">
        <v>67</v>
      </c>
      <c r="P1473" s="503">
        <f t="shared" si="86"/>
        <v>12</v>
      </c>
      <c r="Q1473" s="503">
        <f t="shared" si="87"/>
        <v>12</v>
      </c>
      <c r="R1473" s="504" t="str">
        <f t="shared" si="88"/>
        <v>Gastos_Gerais</v>
      </c>
      <c r="S1473" s="504" t="str">
        <f>IF(D1473="","",IF(OR(D1473=Plano!$A$1,D1473=Plano!$B$1),"entrada","saída"))</f>
        <v>saída</v>
      </c>
      <c r="T1473" s="511" t="s">
        <v>114</v>
      </c>
      <c r="U1473" s="511" t="s">
        <v>114</v>
      </c>
      <c r="V1473" s="541"/>
    </row>
    <row r="1474" spans="1:22" ht="50.1" customHeight="1" x14ac:dyDescent="0.2">
      <c r="A1474" s="619">
        <f>IF(B1474="","",COUNT('Diário 5º PA'!$A$5:$A$2634)+COUNT('Diário 6º PA'!$A$5:$A$2246)+COUNT('Diário 7º PA'!$A$5:$A$2271)+ROW()-4)</f>
        <v>5420</v>
      </c>
      <c r="B1474" s="620">
        <v>44536</v>
      </c>
      <c r="C1474" s="628">
        <v>44531</v>
      </c>
      <c r="D1474" s="548" t="s">
        <v>99</v>
      </c>
      <c r="E1474" s="548" t="s">
        <v>272</v>
      </c>
      <c r="F1474" s="622">
        <v>10.45</v>
      </c>
      <c r="G1474" s="623" t="s">
        <v>2273</v>
      </c>
      <c r="H1474" s="548" t="s">
        <v>114</v>
      </c>
      <c r="I1474" s="583" t="s">
        <v>949</v>
      </c>
      <c r="J1474" s="548" t="s">
        <v>950</v>
      </c>
      <c r="K1474" s="583" t="s">
        <v>951</v>
      </c>
      <c r="L1474" s="583" t="s">
        <v>947</v>
      </c>
      <c r="M1474" s="625" t="s">
        <v>114</v>
      </c>
      <c r="N1474" s="620">
        <v>44536</v>
      </c>
      <c r="O1474" s="684" t="s">
        <v>67</v>
      </c>
      <c r="P1474" s="503">
        <f t="shared" si="86"/>
        <v>12</v>
      </c>
      <c r="Q1474" s="503">
        <f t="shared" si="87"/>
        <v>12</v>
      </c>
      <c r="R1474" s="504" t="str">
        <f t="shared" si="88"/>
        <v>Gastos_Gerais</v>
      </c>
      <c r="S1474" s="504" t="str">
        <f>IF(D1474="","",IF(OR(D1474=Plano!$A$1,D1474=Plano!$B$1),"entrada","saída"))</f>
        <v>saída</v>
      </c>
      <c r="T1474" s="511" t="s">
        <v>114</v>
      </c>
      <c r="U1474" s="511" t="s">
        <v>114</v>
      </c>
      <c r="V1474" s="541"/>
    </row>
    <row r="1475" spans="1:22" ht="50.1" customHeight="1" x14ac:dyDescent="0.2">
      <c r="A1475" s="619">
        <f>IF(B1475="","",COUNT('Diário 5º PA'!$A$5:$A$2634)+COUNT('Diário 6º PA'!$A$5:$A$2246)+COUNT('Diário 7º PA'!$A$5:$A$2271)+ROW()-4)</f>
        <v>5421</v>
      </c>
      <c r="B1475" s="620">
        <v>44536</v>
      </c>
      <c r="C1475" s="628">
        <v>44531</v>
      </c>
      <c r="D1475" s="548" t="s">
        <v>99</v>
      </c>
      <c r="E1475" s="548" t="s">
        <v>272</v>
      </c>
      <c r="F1475" s="622">
        <v>10.45</v>
      </c>
      <c r="G1475" s="623" t="s">
        <v>2273</v>
      </c>
      <c r="H1475" s="548" t="s">
        <v>114</v>
      </c>
      <c r="I1475" s="583" t="s">
        <v>949</v>
      </c>
      <c r="J1475" s="548" t="s">
        <v>950</v>
      </c>
      <c r="K1475" s="583" t="s">
        <v>951</v>
      </c>
      <c r="L1475" s="583" t="s">
        <v>947</v>
      </c>
      <c r="M1475" s="625" t="s">
        <v>114</v>
      </c>
      <c r="N1475" s="620">
        <v>44536</v>
      </c>
      <c r="O1475" s="684" t="s">
        <v>67</v>
      </c>
      <c r="P1475" s="503">
        <f t="shared" si="86"/>
        <v>12</v>
      </c>
      <c r="Q1475" s="503">
        <f t="shared" si="87"/>
        <v>12</v>
      </c>
      <c r="R1475" s="504" t="str">
        <f t="shared" si="88"/>
        <v>Gastos_Gerais</v>
      </c>
      <c r="S1475" s="504" t="str">
        <f>IF(D1475="","",IF(OR(D1475=Plano!$A$1,D1475=Plano!$B$1),"entrada","saída"))</f>
        <v>saída</v>
      </c>
      <c r="T1475" s="511" t="s">
        <v>114</v>
      </c>
      <c r="U1475" s="511" t="s">
        <v>114</v>
      </c>
      <c r="V1475" s="541"/>
    </row>
    <row r="1476" spans="1:22" ht="50.1" customHeight="1" x14ac:dyDescent="0.2">
      <c r="A1476" s="619">
        <f>IF(B1476="","",COUNT('Diário 5º PA'!$A$5:$A$2634)+COUNT('Diário 6º PA'!$A$5:$A$2246)+COUNT('Diário 7º PA'!$A$5:$A$2271)+ROW()-4)</f>
        <v>5422</v>
      </c>
      <c r="B1476" s="620">
        <v>44536</v>
      </c>
      <c r="C1476" s="628">
        <v>44531</v>
      </c>
      <c r="D1476" s="548" t="s">
        <v>99</v>
      </c>
      <c r="E1476" s="548" t="s">
        <v>272</v>
      </c>
      <c r="F1476" s="622">
        <v>10.45</v>
      </c>
      <c r="G1476" s="623" t="s">
        <v>2273</v>
      </c>
      <c r="H1476" s="548" t="s">
        <v>114</v>
      </c>
      <c r="I1476" s="583" t="s">
        <v>949</v>
      </c>
      <c r="J1476" s="548" t="s">
        <v>950</v>
      </c>
      <c r="K1476" s="583" t="s">
        <v>951</v>
      </c>
      <c r="L1476" s="583" t="s">
        <v>947</v>
      </c>
      <c r="M1476" s="625" t="s">
        <v>114</v>
      </c>
      <c r="N1476" s="620">
        <v>44536</v>
      </c>
      <c r="O1476" s="684" t="s">
        <v>67</v>
      </c>
      <c r="P1476" s="503">
        <f t="shared" si="86"/>
        <v>12</v>
      </c>
      <c r="Q1476" s="503">
        <f t="shared" si="87"/>
        <v>12</v>
      </c>
      <c r="R1476" s="504" t="str">
        <f t="shared" si="88"/>
        <v>Gastos_Gerais</v>
      </c>
      <c r="S1476" s="504" t="str">
        <f>IF(D1476="","",IF(OR(D1476=Plano!$A$1,D1476=Plano!$B$1),"entrada","saída"))</f>
        <v>saída</v>
      </c>
      <c r="T1476" s="511" t="s">
        <v>114</v>
      </c>
      <c r="U1476" s="511" t="s">
        <v>114</v>
      </c>
      <c r="V1476" s="541"/>
    </row>
    <row r="1477" spans="1:22" ht="50.1" customHeight="1" x14ac:dyDescent="0.2">
      <c r="A1477" s="619">
        <f>IF(B1477="","",COUNT('Diário 5º PA'!$A$5:$A$2634)+COUNT('Diário 6º PA'!$A$5:$A$2246)+COUNT('Diário 7º PA'!$A$5:$A$2271)+ROW()-4)</f>
        <v>5423</v>
      </c>
      <c r="B1477" s="620">
        <v>44536</v>
      </c>
      <c r="C1477" s="628">
        <v>44531</v>
      </c>
      <c r="D1477" s="548" t="s">
        <v>99</v>
      </c>
      <c r="E1477" s="548" t="s">
        <v>272</v>
      </c>
      <c r="F1477" s="622">
        <v>10.45</v>
      </c>
      <c r="G1477" s="623" t="s">
        <v>2273</v>
      </c>
      <c r="H1477" s="548" t="s">
        <v>114</v>
      </c>
      <c r="I1477" s="583" t="s">
        <v>949</v>
      </c>
      <c r="J1477" s="548" t="s">
        <v>950</v>
      </c>
      <c r="K1477" s="583" t="s">
        <v>951</v>
      </c>
      <c r="L1477" s="583" t="s">
        <v>947</v>
      </c>
      <c r="M1477" s="625" t="s">
        <v>114</v>
      </c>
      <c r="N1477" s="620">
        <v>44536</v>
      </c>
      <c r="O1477" s="684" t="s">
        <v>67</v>
      </c>
      <c r="P1477" s="503">
        <f t="shared" si="86"/>
        <v>12</v>
      </c>
      <c r="Q1477" s="503">
        <f t="shared" si="87"/>
        <v>12</v>
      </c>
      <c r="R1477" s="504" t="str">
        <f t="shared" si="88"/>
        <v>Gastos_Gerais</v>
      </c>
      <c r="S1477" s="504" t="str">
        <f>IF(D1477="","",IF(OR(D1477=Plano!$A$1,D1477=Plano!$B$1),"entrada","saída"))</f>
        <v>saída</v>
      </c>
      <c r="T1477" s="511" t="s">
        <v>114</v>
      </c>
      <c r="U1477" s="511" t="s">
        <v>114</v>
      </c>
      <c r="V1477" s="541"/>
    </row>
    <row r="1478" spans="1:22" ht="50.1" customHeight="1" x14ac:dyDescent="0.2">
      <c r="A1478" s="619">
        <f>IF(B1478="","",COUNT('Diário 5º PA'!$A$5:$A$2634)+COUNT('Diário 6º PA'!$A$5:$A$2246)+COUNT('Diário 7º PA'!$A$5:$A$2271)+ROW()-4)</f>
        <v>5424</v>
      </c>
      <c r="B1478" s="620">
        <v>44536</v>
      </c>
      <c r="C1478" s="628">
        <v>44531</v>
      </c>
      <c r="D1478" s="548" t="s">
        <v>99</v>
      </c>
      <c r="E1478" s="548" t="s">
        <v>272</v>
      </c>
      <c r="F1478" s="622">
        <v>10.45</v>
      </c>
      <c r="G1478" s="623" t="s">
        <v>2282</v>
      </c>
      <c r="H1478" s="548" t="s">
        <v>114</v>
      </c>
      <c r="I1478" s="583" t="s">
        <v>949</v>
      </c>
      <c r="J1478" s="548" t="s">
        <v>950</v>
      </c>
      <c r="K1478" s="583" t="s">
        <v>951</v>
      </c>
      <c r="L1478" s="583" t="s">
        <v>947</v>
      </c>
      <c r="M1478" s="625" t="s">
        <v>114</v>
      </c>
      <c r="N1478" s="620">
        <v>44536</v>
      </c>
      <c r="O1478" s="684" t="s">
        <v>67</v>
      </c>
      <c r="P1478" s="503">
        <f t="shared" si="86"/>
        <v>12</v>
      </c>
      <c r="Q1478" s="503">
        <f t="shared" si="87"/>
        <v>12</v>
      </c>
      <c r="R1478" s="504" t="str">
        <f t="shared" si="88"/>
        <v>Gastos_Gerais</v>
      </c>
      <c r="S1478" s="504" t="str">
        <f>IF(D1478="","",IF(OR(D1478=Plano!$A$1,D1478=Plano!$B$1),"entrada","saída"))</f>
        <v>saída</v>
      </c>
      <c r="T1478" s="511" t="s">
        <v>114</v>
      </c>
      <c r="U1478" s="511" t="s">
        <v>114</v>
      </c>
      <c r="V1478" s="541"/>
    </row>
    <row r="1479" spans="1:22" ht="50.1" customHeight="1" x14ac:dyDescent="0.2">
      <c r="A1479" s="619">
        <f>IF(B1479="","",COUNT('Diário 5º PA'!$A$5:$A$2634)+COUNT('Diário 6º PA'!$A$5:$A$2246)+COUNT('Diário 7º PA'!$A$5:$A$2271)+ROW()-4)</f>
        <v>5425</v>
      </c>
      <c r="B1479" s="620">
        <v>44536</v>
      </c>
      <c r="C1479" s="628">
        <v>44531</v>
      </c>
      <c r="D1479" s="548" t="s">
        <v>99</v>
      </c>
      <c r="E1479" s="548" t="s">
        <v>272</v>
      </c>
      <c r="F1479" s="622">
        <v>10.45</v>
      </c>
      <c r="G1479" s="623" t="s">
        <v>2283</v>
      </c>
      <c r="H1479" s="548" t="s">
        <v>114</v>
      </c>
      <c r="I1479" s="583" t="s">
        <v>949</v>
      </c>
      <c r="J1479" s="548" t="s">
        <v>950</v>
      </c>
      <c r="K1479" s="583" t="s">
        <v>951</v>
      </c>
      <c r="L1479" s="583" t="s">
        <v>947</v>
      </c>
      <c r="M1479" s="625" t="s">
        <v>114</v>
      </c>
      <c r="N1479" s="620">
        <v>44536</v>
      </c>
      <c r="O1479" s="684" t="s">
        <v>67</v>
      </c>
      <c r="P1479" s="503">
        <f t="shared" si="86"/>
        <v>12</v>
      </c>
      <c r="Q1479" s="503">
        <f t="shared" si="87"/>
        <v>12</v>
      </c>
      <c r="R1479" s="504" t="str">
        <f t="shared" si="88"/>
        <v>Gastos_Gerais</v>
      </c>
      <c r="S1479" s="504" t="str">
        <f>IF(D1479="","",IF(OR(D1479=Plano!$A$1,D1479=Plano!$B$1),"entrada","saída"))</f>
        <v>saída</v>
      </c>
      <c r="T1479" s="511" t="s">
        <v>114</v>
      </c>
      <c r="U1479" s="511" t="s">
        <v>114</v>
      </c>
      <c r="V1479" s="541"/>
    </row>
    <row r="1480" spans="1:22" ht="50.1" customHeight="1" x14ac:dyDescent="0.2">
      <c r="A1480" s="619">
        <f>IF(B1480="","",COUNT('Diário 5º PA'!$A$5:$A$2634)+COUNT('Diário 6º PA'!$A$5:$A$2246)+COUNT('Diário 7º PA'!$A$5:$A$2271)+ROW()-4)</f>
        <v>5426</v>
      </c>
      <c r="B1480" s="620">
        <v>44536</v>
      </c>
      <c r="C1480" s="628">
        <v>44531</v>
      </c>
      <c r="D1480" s="548" t="s">
        <v>99</v>
      </c>
      <c r="E1480" s="548" t="s">
        <v>272</v>
      </c>
      <c r="F1480" s="622">
        <v>10.45</v>
      </c>
      <c r="G1480" s="623" t="s">
        <v>2273</v>
      </c>
      <c r="H1480" s="548" t="s">
        <v>114</v>
      </c>
      <c r="I1480" s="583" t="s">
        <v>949</v>
      </c>
      <c r="J1480" s="548" t="s">
        <v>950</v>
      </c>
      <c r="K1480" s="583" t="s">
        <v>951</v>
      </c>
      <c r="L1480" s="583" t="s">
        <v>947</v>
      </c>
      <c r="M1480" s="625" t="s">
        <v>114</v>
      </c>
      <c r="N1480" s="620">
        <v>44536</v>
      </c>
      <c r="O1480" s="684" t="s">
        <v>67</v>
      </c>
      <c r="P1480" s="503">
        <f t="shared" si="86"/>
        <v>12</v>
      </c>
      <c r="Q1480" s="503">
        <f t="shared" si="87"/>
        <v>12</v>
      </c>
      <c r="R1480" s="504" t="str">
        <f t="shared" si="88"/>
        <v>Gastos_Gerais</v>
      </c>
      <c r="S1480" s="504" t="str">
        <f>IF(D1480="","",IF(OR(D1480=Plano!$A$1,D1480=Plano!$B$1),"entrada","saída"))</f>
        <v>saída</v>
      </c>
      <c r="T1480" s="511" t="s">
        <v>114</v>
      </c>
      <c r="U1480" s="511" t="s">
        <v>114</v>
      </c>
      <c r="V1480" s="541"/>
    </row>
    <row r="1481" spans="1:22" ht="50.1" customHeight="1" x14ac:dyDescent="0.2">
      <c r="A1481" s="619">
        <f>IF(B1481="","",COUNT('Diário 5º PA'!$A$5:$A$2634)+COUNT('Diário 6º PA'!$A$5:$A$2246)+COUNT('Diário 7º PA'!$A$5:$A$2271)+ROW()-4)</f>
        <v>5427</v>
      </c>
      <c r="B1481" s="620">
        <v>44536</v>
      </c>
      <c r="C1481" s="628">
        <v>44531</v>
      </c>
      <c r="D1481" s="548" t="s">
        <v>99</v>
      </c>
      <c r="E1481" s="548" t="s">
        <v>272</v>
      </c>
      <c r="F1481" s="622">
        <v>10.45</v>
      </c>
      <c r="G1481" s="623" t="s">
        <v>2273</v>
      </c>
      <c r="H1481" s="548" t="s">
        <v>114</v>
      </c>
      <c r="I1481" s="583" t="s">
        <v>949</v>
      </c>
      <c r="J1481" s="548" t="s">
        <v>950</v>
      </c>
      <c r="K1481" s="583" t="s">
        <v>951</v>
      </c>
      <c r="L1481" s="583" t="s">
        <v>947</v>
      </c>
      <c r="M1481" s="625" t="s">
        <v>114</v>
      </c>
      <c r="N1481" s="620">
        <v>44536</v>
      </c>
      <c r="O1481" s="684" t="s">
        <v>67</v>
      </c>
      <c r="P1481" s="503">
        <f t="shared" si="86"/>
        <v>12</v>
      </c>
      <c r="Q1481" s="503">
        <f t="shared" si="87"/>
        <v>12</v>
      </c>
      <c r="R1481" s="504" t="str">
        <f t="shared" si="88"/>
        <v>Gastos_Gerais</v>
      </c>
      <c r="S1481" s="504" t="str">
        <f>IF(D1481="","",IF(OR(D1481=Plano!$A$1,D1481=Plano!$B$1),"entrada","saída"))</f>
        <v>saída</v>
      </c>
      <c r="T1481" s="511" t="s">
        <v>114</v>
      </c>
      <c r="U1481" s="511" t="s">
        <v>114</v>
      </c>
      <c r="V1481" s="541"/>
    </row>
    <row r="1482" spans="1:22" ht="50.1" customHeight="1" x14ac:dyDescent="0.2">
      <c r="A1482" s="619">
        <f>IF(B1482="","",COUNT('Diário 5º PA'!$A$5:$A$2634)+COUNT('Diário 6º PA'!$A$5:$A$2246)+COUNT('Diário 7º PA'!$A$5:$A$2271)+ROW()-4)</f>
        <v>5428</v>
      </c>
      <c r="B1482" s="620">
        <v>44536</v>
      </c>
      <c r="C1482" s="628">
        <v>44531</v>
      </c>
      <c r="D1482" s="548" t="s">
        <v>99</v>
      </c>
      <c r="E1482" s="548" t="s">
        <v>272</v>
      </c>
      <c r="F1482" s="622">
        <v>10.45</v>
      </c>
      <c r="G1482" s="623" t="s">
        <v>2273</v>
      </c>
      <c r="H1482" s="548" t="s">
        <v>114</v>
      </c>
      <c r="I1482" s="583" t="s">
        <v>949</v>
      </c>
      <c r="J1482" s="548" t="s">
        <v>950</v>
      </c>
      <c r="K1482" s="583" t="s">
        <v>951</v>
      </c>
      <c r="L1482" s="583" t="s">
        <v>947</v>
      </c>
      <c r="M1482" s="625" t="s">
        <v>114</v>
      </c>
      <c r="N1482" s="620">
        <v>44536</v>
      </c>
      <c r="O1482" s="684" t="s">
        <v>67</v>
      </c>
      <c r="P1482" s="503">
        <f t="shared" si="86"/>
        <v>12</v>
      </c>
      <c r="Q1482" s="503">
        <f t="shared" si="87"/>
        <v>12</v>
      </c>
      <c r="R1482" s="504" t="str">
        <f t="shared" si="88"/>
        <v>Gastos_Gerais</v>
      </c>
      <c r="S1482" s="504" t="str">
        <f>IF(D1482="","",IF(OR(D1482=Plano!$A$1,D1482=Plano!$B$1),"entrada","saída"))</f>
        <v>saída</v>
      </c>
      <c r="T1482" s="511" t="s">
        <v>114</v>
      </c>
      <c r="U1482" s="511" t="s">
        <v>114</v>
      </c>
      <c r="V1482" s="541"/>
    </row>
    <row r="1483" spans="1:22" ht="50.1" customHeight="1" x14ac:dyDescent="0.2">
      <c r="A1483" s="619">
        <f>IF(B1483="","",COUNT('Diário 5º PA'!$A$5:$A$2634)+COUNT('Diário 6º PA'!$A$5:$A$2246)+COUNT('Diário 7º PA'!$A$5:$A$2271)+ROW()-4)</f>
        <v>5429</v>
      </c>
      <c r="B1483" s="620">
        <v>44536</v>
      </c>
      <c r="C1483" s="628">
        <v>44531</v>
      </c>
      <c r="D1483" s="548" t="s">
        <v>99</v>
      </c>
      <c r="E1483" s="548" t="s">
        <v>272</v>
      </c>
      <c r="F1483" s="622">
        <v>10.45</v>
      </c>
      <c r="G1483" s="623" t="s">
        <v>2273</v>
      </c>
      <c r="H1483" s="548" t="s">
        <v>114</v>
      </c>
      <c r="I1483" s="583" t="s">
        <v>949</v>
      </c>
      <c r="J1483" s="548" t="s">
        <v>950</v>
      </c>
      <c r="K1483" s="583" t="s">
        <v>951</v>
      </c>
      <c r="L1483" s="583" t="s">
        <v>947</v>
      </c>
      <c r="M1483" s="625" t="s">
        <v>114</v>
      </c>
      <c r="N1483" s="620">
        <v>44536</v>
      </c>
      <c r="O1483" s="684" t="s">
        <v>67</v>
      </c>
      <c r="P1483" s="503">
        <f t="shared" si="86"/>
        <v>12</v>
      </c>
      <c r="Q1483" s="503">
        <f t="shared" si="87"/>
        <v>12</v>
      </c>
      <c r="R1483" s="504" t="str">
        <f t="shared" si="88"/>
        <v>Gastos_Gerais</v>
      </c>
      <c r="S1483" s="504" t="str">
        <f>IF(D1483="","",IF(OR(D1483=Plano!$A$1,D1483=Plano!$B$1),"entrada","saída"))</f>
        <v>saída</v>
      </c>
      <c r="T1483" s="511" t="s">
        <v>114</v>
      </c>
      <c r="U1483" s="511" t="s">
        <v>114</v>
      </c>
      <c r="V1483" s="541"/>
    </row>
    <row r="1484" spans="1:22" ht="50.1" customHeight="1" x14ac:dyDescent="0.2">
      <c r="A1484" s="619">
        <f>IF(B1484="","",COUNT('Diário 5º PA'!$A$5:$A$2634)+COUNT('Diário 6º PA'!$A$5:$A$2246)+COUNT('Diário 7º PA'!$A$5:$A$2271)+ROW()-4)</f>
        <v>5430</v>
      </c>
      <c r="B1484" s="620">
        <v>44536</v>
      </c>
      <c r="C1484" s="628">
        <v>44531</v>
      </c>
      <c r="D1484" s="548" t="s">
        <v>99</v>
      </c>
      <c r="E1484" s="548" t="s">
        <v>272</v>
      </c>
      <c r="F1484" s="622">
        <v>10.45</v>
      </c>
      <c r="G1484" s="623" t="s">
        <v>2273</v>
      </c>
      <c r="H1484" s="548" t="s">
        <v>114</v>
      </c>
      <c r="I1484" s="583" t="s">
        <v>949</v>
      </c>
      <c r="J1484" s="548" t="s">
        <v>950</v>
      </c>
      <c r="K1484" s="583" t="s">
        <v>951</v>
      </c>
      <c r="L1484" s="583" t="s">
        <v>947</v>
      </c>
      <c r="M1484" s="625" t="s">
        <v>114</v>
      </c>
      <c r="N1484" s="620">
        <v>44536</v>
      </c>
      <c r="O1484" s="684" t="s">
        <v>67</v>
      </c>
      <c r="P1484" s="503">
        <f t="shared" ref="P1484:P1569" si="89">IF(B1484=0,0,IF(YEAR(B1484)=$Q$1,MONTH(B1484)-$P$1+1,(YEAR(B1484)-$Q$1)*12-$P$1+1+MONTH(B1484)))</f>
        <v>12</v>
      </c>
      <c r="Q1484" s="503">
        <f t="shared" ref="Q1484:Q1569" si="90">IF(C1484=0,0,IF(YEAR(C1484)=$Q$1,MONTH(C1484)-$P$1+1,(YEAR(C1484)-$Q$1)*12-$P$1+1+MONTH(C1484)))</f>
        <v>12</v>
      </c>
      <c r="R1484" s="504" t="str">
        <f t="shared" ref="R1484:R1569" si="91">SUBSTITUTE(D1484," ","_")</f>
        <v>Gastos_Gerais</v>
      </c>
      <c r="S1484" s="504" t="str">
        <f>IF(D1484="","",IF(OR(D1484=Plano!$A$1,D1484=Plano!$B$1),"entrada","saída"))</f>
        <v>saída</v>
      </c>
      <c r="T1484" s="511" t="s">
        <v>114</v>
      </c>
      <c r="U1484" s="511" t="s">
        <v>114</v>
      </c>
      <c r="V1484" s="541"/>
    </row>
    <row r="1485" spans="1:22" ht="50.1" customHeight="1" x14ac:dyDescent="0.2">
      <c r="A1485" s="619">
        <f>IF(B1485="","",COUNT('Diário 5º PA'!$A$5:$A$2634)+COUNT('Diário 6º PA'!$A$5:$A$2246)+COUNT('Diário 7º PA'!$A$5:$A$2271)+ROW()-4)</f>
        <v>5431</v>
      </c>
      <c r="B1485" s="620">
        <v>44536</v>
      </c>
      <c r="C1485" s="628">
        <v>44531</v>
      </c>
      <c r="D1485" s="548" t="s">
        <v>99</v>
      </c>
      <c r="E1485" s="548" t="s">
        <v>272</v>
      </c>
      <c r="F1485" s="622">
        <v>10.45</v>
      </c>
      <c r="G1485" s="623" t="s">
        <v>2284</v>
      </c>
      <c r="H1485" s="548" t="s">
        <v>114</v>
      </c>
      <c r="I1485" s="583" t="s">
        <v>949</v>
      </c>
      <c r="J1485" s="548" t="s">
        <v>950</v>
      </c>
      <c r="K1485" s="583" t="s">
        <v>951</v>
      </c>
      <c r="L1485" s="583" t="s">
        <v>947</v>
      </c>
      <c r="M1485" s="625" t="s">
        <v>114</v>
      </c>
      <c r="N1485" s="620">
        <v>44536</v>
      </c>
      <c r="O1485" s="684" t="s">
        <v>67</v>
      </c>
      <c r="P1485" s="503">
        <f t="shared" si="89"/>
        <v>12</v>
      </c>
      <c r="Q1485" s="503">
        <f t="shared" si="90"/>
        <v>12</v>
      </c>
      <c r="R1485" s="504" t="str">
        <f t="shared" si="91"/>
        <v>Gastos_Gerais</v>
      </c>
      <c r="S1485" s="504" t="str">
        <f>IF(D1485="","",IF(OR(D1485=Plano!$A$1,D1485=Plano!$B$1),"entrada","saída"))</f>
        <v>saída</v>
      </c>
      <c r="T1485" s="511" t="s">
        <v>114</v>
      </c>
      <c r="U1485" s="511" t="s">
        <v>114</v>
      </c>
      <c r="V1485" s="541"/>
    </row>
    <row r="1486" spans="1:22" ht="50.1" customHeight="1" x14ac:dyDescent="0.2">
      <c r="A1486" s="619">
        <f>IF(B1486="","",COUNT('Diário 5º PA'!$A$5:$A$2634)+COUNT('Diário 6º PA'!$A$5:$A$2246)+COUNT('Diário 7º PA'!$A$5:$A$2271)+ROW()-4)</f>
        <v>5432</v>
      </c>
      <c r="B1486" s="620">
        <v>44536</v>
      </c>
      <c r="C1486" s="628">
        <v>44531</v>
      </c>
      <c r="D1486" s="548" t="s">
        <v>99</v>
      </c>
      <c r="E1486" s="548" t="s">
        <v>272</v>
      </c>
      <c r="F1486" s="622">
        <v>10.45</v>
      </c>
      <c r="G1486" s="623" t="s">
        <v>2286</v>
      </c>
      <c r="H1486" s="548" t="s">
        <v>114</v>
      </c>
      <c r="I1486" s="583" t="s">
        <v>949</v>
      </c>
      <c r="J1486" s="548" t="s">
        <v>950</v>
      </c>
      <c r="K1486" s="583" t="s">
        <v>951</v>
      </c>
      <c r="L1486" s="583" t="s">
        <v>947</v>
      </c>
      <c r="M1486" s="625" t="s">
        <v>114</v>
      </c>
      <c r="N1486" s="620">
        <v>44536</v>
      </c>
      <c r="O1486" s="684" t="s">
        <v>67</v>
      </c>
      <c r="P1486" s="503">
        <f t="shared" si="89"/>
        <v>12</v>
      </c>
      <c r="Q1486" s="503">
        <f t="shared" si="90"/>
        <v>12</v>
      </c>
      <c r="R1486" s="504" t="str">
        <f t="shared" si="91"/>
        <v>Gastos_Gerais</v>
      </c>
      <c r="S1486" s="504" t="str">
        <f>IF(D1486="","",IF(OR(D1486=Plano!$A$1,D1486=Plano!$B$1),"entrada","saída"))</f>
        <v>saída</v>
      </c>
      <c r="T1486" s="511" t="s">
        <v>114</v>
      </c>
      <c r="U1486" s="511" t="s">
        <v>114</v>
      </c>
      <c r="V1486" s="541"/>
    </row>
    <row r="1487" spans="1:22" ht="50.1" customHeight="1" x14ac:dyDescent="0.2">
      <c r="A1487" s="619">
        <f>IF(B1487="","",COUNT('Diário 5º PA'!$A$5:$A$2634)+COUNT('Diário 6º PA'!$A$5:$A$2246)+COUNT('Diário 7º PA'!$A$5:$A$2271)+ROW()-4)</f>
        <v>5433</v>
      </c>
      <c r="B1487" s="620">
        <v>44536</v>
      </c>
      <c r="C1487" s="628">
        <v>44531</v>
      </c>
      <c r="D1487" s="548" t="s">
        <v>99</v>
      </c>
      <c r="E1487" s="548" t="s">
        <v>272</v>
      </c>
      <c r="F1487" s="622">
        <v>10.45</v>
      </c>
      <c r="G1487" s="623" t="s">
        <v>2273</v>
      </c>
      <c r="H1487" s="548" t="s">
        <v>114</v>
      </c>
      <c r="I1487" s="583" t="s">
        <v>949</v>
      </c>
      <c r="J1487" s="548" t="s">
        <v>950</v>
      </c>
      <c r="K1487" s="583" t="s">
        <v>951</v>
      </c>
      <c r="L1487" s="583" t="s">
        <v>947</v>
      </c>
      <c r="M1487" s="625" t="s">
        <v>114</v>
      </c>
      <c r="N1487" s="620">
        <v>44536</v>
      </c>
      <c r="O1487" s="684" t="s">
        <v>67</v>
      </c>
      <c r="P1487" s="503">
        <f t="shared" si="89"/>
        <v>12</v>
      </c>
      <c r="Q1487" s="503">
        <f t="shared" si="90"/>
        <v>12</v>
      </c>
      <c r="R1487" s="504" t="str">
        <f t="shared" si="91"/>
        <v>Gastos_Gerais</v>
      </c>
      <c r="S1487" s="504" t="str">
        <f>IF(D1487="","",IF(OR(D1487=Plano!$A$1,D1487=Plano!$B$1),"entrada","saída"))</f>
        <v>saída</v>
      </c>
      <c r="T1487" s="511" t="s">
        <v>114</v>
      </c>
      <c r="U1487" s="511" t="s">
        <v>114</v>
      </c>
      <c r="V1487" s="541"/>
    </row>
    <row r="1488" spans="1:22" ht="50.1" customHeight="1" x14ac:dyDescent="0.2">
      <c r="A1488" s="619">
        <f>IF(B1488="","",COUNT('Diário 5º PA'!$A$5:$A$2634)+COUNT('Diário 6º PA'!$A$5:$A$2246)+COUNT('Diário 7º PA'!$A$5:$A$2271)+ROW()-4)</f>
        <v>5434</v>
      </c>
      <c r="B1488" s="620">
        <v>44536</v>
      </c>
      <c r="C1488" s="628">
        <v>44531</v>
      </c>
      <c r="D1488" s="548" t="s">
        <v>99</v>
      </c>
      <c r="E1488" s="548" t="s">
        <v>272</v>
      </c>
      <c r="F1488" s="622">
        <v>10.45</v>
      </c>
      <c r="G1488" s="623" t="s">
        <v>2286</v>
      </c>
      <c r="H1488" s="548" t="s">
        <v>114</v>
      </c>
      <c r="I1488" s="583" t="s">
        <v>949</v>
      </c>
      <c r="J1488" s="548" t="s">
        <v>950</v>
      </c>
      <c r="K1488" s="583" t="s">
        <v>951</v>
      </c>
      <c r="L1488" s="583" t="s">
        <v>947</v>
      </c>
      <c r="M1488" s="625" t="s">
        <v>114</v>
      </c>
      <c r="N1488" s="620">
        <v>44536</v>
      </c>
      <c r="O1488" s="684" t="s">
        <v>67</v>
      </c>
      <c r="P1488" s="503">
        <f t="shared" si="89"/>
        <v>12</v>
      </c>
      <c r="Q1488" s="503">
        <f t="shared" si="90"/>
        <v>12</v>
      </c>
      <c r="R1488" s="504" t="str">
        <f t="shared" si="91"/>
        <v>Gastos_Gerais</v>
      </c>
      <c r="S1488" s="504" t="str">
        <f>IF(D1488="","",IF(OR(D1488=Plano!$A$1,D1488=Plano!$B$1),"entrada","saída"))</f>
        <v>saída</v>
      </c>
      <c r="T1488" s="511" t="s">
        <v>114</v>
      </c>
      <c r="U1488" s="511" t="s">
        <v>114</v>
      </c>
      <c r="V1488" s="541"/>
    </row>
    <row r="1489" spans="1:22" ht="50.1" customHeight="1" x14ac:dyDescent="0.2">
      <c r="A1489" s="619">
        <f>IF(B1489="","",COUNT('Diário 5º PA'!$A$5:$A$2634)+COUNT('Diário 6º PA'!$A$5:$A$2246)+COUNT('Diário 7º PA'!$A$5:$A$2271)+ROW()-4)</f>
        <v>5435</v>
      </c>
      <c r="B1489" s="620">
        <v>44536</v>
      </c>
      <c r="C1489" s="628">
        <v>44531</v>
      </c>
      <c r="D1489" s="548" t="s">
        <v>99</v>
      </c>
      <c r="E1489" s="548" t="s">
        <v>272</v>
      </c>
      <c r="F1489" s="622">
        <v>10.45</v>
      </c>
      <c r="G1489" s="623" t="s">
        <v>2273</v>
      </c>
      <c r="H1489" s="548" t="s">
        <v>114</v>
      </c>
      <c r="I1489" s="583" t="s">
        <v>949</v>
      </c>
      <c r="J1489" s="548" t="s">
        <v>950</v>
      </c>
      <c r="K1489" s="583" t="s">
        <v>951</v>
      </c>
      <c r="L1489" s="583" t="s">
        <v>947</v>
      </c>
      <c r="M1489" s="625" t="s">
        <v>114</v>
      </c>
      <c r="N1489" s="620">
        <v>44536</v>
      </c>
      <c r="O1489" s="684" t="s">
        <v>67</v>
      </c>
      <c r="P1489" s="503">
        <f t="shared" si="89"/>
        <v>12</v>
      </c>
      <c r="Q1489" s="503">
        <f t="shared" si="90"/>
        <v>12</v>
      </c>
      <c r="R1489" s="504" t="str">
        <f t="shared" si="91"/>
        <v>Gastos_Gerais</v>
      </c>
      <c r="S1489" s="504" t="str">
        <f>IF(D1489="","",IF(OR(D1489=Plano!$A$1,D1489=Plano!$B$1),"entrada","saída"))</f>
        <v>saída</v>
      </c>
      <c r="T1489" s="511" t="s">
        <v>114</v>
      </c>
      <c r="U1489" s="511" t="s">
        <v>114</v>
      </c>
      <c r="V1489" s="541"/>
    </row>
    <row r="1490" spans="1:22" ht="50.1" customHeight="1" x14ac:dyDescent="0.2">
      <c r="A1490" s="619">
        <f>IF(B1490="","",COUNT('Diário 5º PA'!$A$5:$A$2634)+COUNT('Diário 6º PA'!$A$5:$A$2246)+COUNT('Diário 7º PA'!$A$5:$A$2271)+ROW()-4)</f>
        <v>5436</v>
      </c>
      <c r="B1490" s="620">
        <v>44536</v>
      </c>
      <c r="C1490" s="628">
        <v>44531</v>
      </c>
      <c r="D1490" s="548" t="s">
        <v>99</v>
      </c>
      <c r="E1490" s="548" t="s">
        <v>272</v>
      </c>
      <c r="F1490" s="622">
        <v>10.45</v>
      </c>
      <c r="G1490" s="623" t="s">
        <v>6077</v>
      </c>
      <c r="H1490" s="548" t="s">
        <v>114</v>
      </c>
      <c r="I1490" s="583" t="s">
        <v>949</v>
      </c>
      <c r="J1490" s="548" t="s">
        <v>950</v>
      </c>
      <c r="K1490" s="583" t="s">
        <v>951</v>
      </c>
      <c r="L1490" s="583" t="s">
        <v>947</v>
      </c>
      <c r="M1490" s="625" t="s">
        <v>114</v>
      </c>
      <c r="N1490" s="620">
        <v>44536</v>
      </c>
      <c r="O1490" s="684" t="s">
        <v>67</v>
      </c>
      <c r="P1490" s="503">
        <f t="shared" si="89"/>
        <v>12</v>
      </c>
      <c r="Q1490" s="503">
        <f t="shared" si="90"/>
        <v>12</v>
      </c>
      <c r="R1490" s="504" t="str">
        <f t="shared" si="91"/>
        <v>Gastos_Gerais</v>
      </c>
      <c r="S1490" s="504" t="str">
        <f>IF(D1490="","",IF(OR(D1490=Plano!$A$1,D1490=Plano!$B$1),"entrada","saída"))</f>
        <v>saída</v>
      </c>
      <c r="T1490" s="511" t="s">
        <v>114</v>
      </c>
      <c r="U1490" s="511" t="s">
        <v>114</v>
      </c>
      <c r="V1490" s="541"/>
    </row>
    <row r="1491" spans="1:22" ht="50.1" customHeight="1" x14ac:dyDescent="0.2">
      <c r="A1491" s="619">
        <f>IF(B1491="","",COUNT('Diário 5º PA'!$A$5:$A$2634)+COUNT('Diário 6º PA'!$A$5:$A$2246)+COUNT('Diário 7º PA'!$A$5:$A$2271)+ROW()-4)</f>
        <v>5437</v>
      </c>
      <c r="B1491" s="620">
        <v>44536</v>
      </c>
      <c r="C1491" s="628">
        <v>44531</v>
      </c>
      <c r="D1491" s="548" t="s">
        <v>99</v>
      </c>
      <c r="E1491" s="548" t="s">
        <v>272</v>
      </c>
      <c r="F1491" s="622">
        <v>10.45</v>
      </c>
      <c r="G1491" s="623" t="s">
        <v>6077</v>
      </c>
      <c r="H1491" s="548" t="s">
        <v>114</v>
      </c>
      <c r="I1491" s="583" t="s">
        <v>949</v>
      </c>
      <c r="J1491" s="548" t="s">
        <v>950</v>
      </c>
      <c r="K1491" s="583" t="s">
        <v>951</v>
      </c>
      <c r="L1491" s="583" t="s">
        <v>947</v>
      </c>
      <c r="M1491" s="625" t="s">
        <v>114</v>
      </c>
      <c r="N1491" s="620">
        <v>44536</v>
      </c>
      <c r="O1491" s="684" t="s">
        <v>67</v>
      </c>
      <c r="P1491" s="503">
        <f t="shared" si="89"/>
        <v>12</v>
      </c>
      <c r="Q1491" s="503">
        <f t="shared" si="90"/>
        <v>12</v>
      </c>
      <c r="R1491" s="504" t="str">
        <f t="shared" si="91"/>
        <v>Gastos_Gerais</v>
      </c>
      <c r="S1491" s="504" t="str">
        <f>IF(D1491="","",IF(OR(D1491=Plano!$A$1,D1491=Plano!$B$1),"entrada","saída"))</f>
        <v>saída</v>
      </c>
      <c r="T1491" s="511" t="s">
        <v>114</v>
      </c>
      <c r="U1491" s="511" t="s">
        <v>114</v>
      </c>
      <c r="V1491" s="541"/>
    </row>
    <row r="1492" spans="1:22" ht="50.1" customHeight="1" x14ac:dyDescent="0.2">
      <c r="A1492" s="619">
        <f>IF(B1492="","",COUNT('Diário 5º PA'!$A$5:$A$2634)+COUNT('Diário 6º PA'!$A$5:$A$2246)+COUNT('Diário 7º PA'!$A$5:$A$2271)+ROW()-4)</f>
        <v>5438</v>
      </c>
      <c r="B1492" s="620">
        <v>44536</v>
      </c>
      <c r="C1492" s="628">
        <v>44531</v>
      </c>
      <c r="D1492" s="548" t="s">
        <v>99</v>
      </c>
      <c r="E1492" s="548" t="s">
        <v>272</v>
      </c>
      <c r="F1492" s="622">
        <v>10.45</v>
      </c>
      <c r="G1492" s="623" t="s">
        <v>6077</v>
      </c>
      <c r="H1492" s="548" t="s">
        <v>114</v>
      </c>
      <c r="I1492" s="583" t="s">
        <v>949</v>
      </c>
      <c r="J1492" s="548" t="s">
        <v>950</v>
      </c>
      <c r="K1492" s="583" t="s">
        <v>951</v>
      </c>
      <c r="L1492" s="583" t="s">
        <v>947</v>
      </c>
      <c r="M1492" s="625" t="s">
        <v>114</v>
      </c>
      <c r="N1492" s="620">
        <v>44536</v>
      </c>
      <c r="O1492" s="684" t="s">
        <v>67</v>
      </c>
      <c r="P1492" s="503">
        <f t="shared" si="89"/>
        <v>12</v>
      </c>
      <c r="Q1492" s="503">
        <f t="shared" si="90"/>
        <v>12</v>
      </c>
      <c r="R1492" s="504" t="str">
        <f t="shared" si="91"/>
        <v>Gastos_Gerais</v>
      </c>
      <c r="S1492" s="504" t="str">
        <f>IF(D1492="","",IF(OR(D1492=Plano!$A$1,D1492=Plano!$B$1),"entrada","saída"))</f>
        <v>saída</v>
      </c>
      <c r="T1492" s="511" t="s">
        <v>114</v>
      </c>
      <c r="U1492" s="511" t="s">
        <v>114</v>
      </c>
      <c r="V1492" s="541"/>
    </row>
    <row r="1493" spans="1:22" ht="50.1" customHeight="1" x14ac:dyDescent="0.2">
      <c r="A1493" s="619">
        <f>IF(B1493="","",COUNT('Diário 5º PA'!$A$5:$A$2634)+COUNT('Diário 6º PA'!$A$5:$A$2246)+COUNT('Diário 7º PA'!$A$5:$A$2271)+ROW()-4)</f>
        <v>5439</v>
      </c>
      <c r="B1493" s="620">
        <v>44536</v>
      </c>
      <c r="C1493" s="628">
        <v>44531</v>
      </c>
      <c r="D1493" s="548" t="s">
        <v>99</v>
      </c>
      <c r="E1493" s="548" t="s">
        <v>272</v>
      </c>
      <c r="F1493" s="622">
        <v>10.45</v>
      </c>
      <c r="G1493" s="623" t="s">
        <v>6078</v>
      </c>
      <c r="H1493" s="548" t="s">
        <v>114</v>
      </c>
      <c r="I1493" s="583" t="s">
        <v>949</v>
      </c>
      <c r="J1493" s="548" t="s">
        <v>950</v>
      </c>
      <c r="K1493" s="583" t="s">
        <v>951</v>
      </c>
      <c r="L1493" s="583" t="s">
        <v>947</v>
      </c>
      <c r="M1493" s="625" t="s">
        <v>114</v>
      </c>
      <c r="N1493" s="620">
        <v>44536</v>
      </c>
      <c r="O1493" s="684" t="s">
        <v>67</v>
      </c>
      <c r="P1493" s="503">
        <f t="shared" si="89"/>
        <v>12</v>
      </c>
      <c r="Q1493" s="503">
        <f t="shared" si="90"/>
        <v>12</v>
      </c>
      <c r="R1493" s="504" t="str">
        <f t="shared" si="91"/>
        <v>Gastos_Gerais</v>
      </c>
      <c r="S1493" s="504" t="str">
        <f>IF(D1493="","",IF(OR(D1493=Plano!$A$1,D1493=Plano!$B$1),"entrada","saída"))</f>
        <v>saída</v>
      </c>
      <c r="T1493" s="511" t="s">
        <v>114</v>
      </c>
      <c r="U1493" s="511" t="s">
        <v>114</v>
      </c>
      <c r="V1493" s="541"/>
    </row>
    <row r="1494" spans="1:22" ht="50.1" customHeight="1" x14ac:dyDescent="0.2">
      <c r="A1494" s="619">
        <f>IF(B1494="","",COUNT('Diário 5º PA'!$A$5:$A$2634)+COUNT('Diário 6º PA'!$A$5:$A$2246)+COUNT('Diário 7º PA'!$A$5:$A$2271)+ROW()-4)</f>
        <v>5440</v>
      </c>
      <c r="B1494" s="620">
        <v>44536</v>
      </c>
      <c r="C1494" s="628">
        <v>44531</v>
      </c>
      <c r="D1494" s="548" t="s">
        <v>99</v>
      </c>
      <c r="E1494" s="548" t="s">
        <v>272</v>
      </c>
      <c r="F1494" s="622">
        <v>10.45</v>
      </c>
      <c r="G1494" s="623" t="s">
        <v>6078</v>
      </c>
      <c r="H1494" s="548" t="s">
        <v>114</v>
      </c>
      <c r="I1494" s="583" t="s">
        <v>949</v>
      </c>
      <c r="J1494" s="548" t="s">
        <v>950</v>
      </c>
      <c r="K1494" s="583" t="s">
        <v>951</v>
      </c>
      <c r="L1494" s="583" t="s">
        <v>947</v>
      </c>
      <c r="M1494" s="625" t="s">
        <v>114</v>
      </c>
      <c r="N1494" s="620">
        <v>44536</v>
      </c>
      <c r="O1494" s="684" t="s">
        <v>67</v>
      </c>
      <c r="P1494" s="503">
        <f t="shared" si="89"/>
        <v>12</v>
      </c>
      <c r="Q1494" s="503">
        <f t="shared" si="90"/>
        <v>12</v>
      </c>
      <c r="R1494" s="504" t="str">
        <f t="shared" si="91"/>
        <v>Gastos_Gerais</v>
      </c>
      <c r="S1494" s="504" t="str">
        <f>IF(D1494="","",IF(OR(D1494=Plano!$A$1,D1494=Plano!$B$1),"entrada","saída"))</f>
        <v>saída</v>
      </c>
      <c r="T1494" s="511" t="s">
        <v>114</v>
      </c>
      <c r="U1494" s="511" t="s">
        <v>114</v>
      </c>
      <c r="V1494" s="541"/>
    </row>
    <row r="1495" spans="1:22" ht="50.1" customHeight="1" x14ac:dyDescent="0.2">
      <c r="A1495" s="619">
        <f>IF(B1495="","",COUNT('Diário 5º PA'!$A$5:$A$2634)+COUNT('Diário 6º PA'!$A$5:$A$2246)+COUNT('Diário 7º PA'!$A$5:$A$2271)+ROW()-4)</f>
        <v>5441</v>
      </c>
      <c r="B1495" s="620">
        <v>44536</v>
      </c>
      <c r="C1495" s="628">
        <v>44531</v>
      </c>
      <c r="D1495" s="548" t="s">
        <v>99</v>
      </c>
      <c r="E1495" s="548" t="s">
        <v>272</v>
      </c>
      <c r="F1495" s="622">
        <v>10.45</v>
      </c>
      <c r="G1495" s="623" t="s">
        <v>6078</v>
      </c>
      <c r="H1495" s="548" t="s">
        <v>114</v>
      </c>
      <c r="I1495" s="583" t="s">
        <v>949</v>
      </c>
      <c r="J1495" s="548" t="s">
        <v>950</v>
      </c>
      <c r="K1495" s="583" t="s">
        <v>951</v>
      </c>
      <c r="L1495" s="583" t="s">
        <v>947</v>
      </c>
      <c r="M1495" s="625" t="s">
        <v>114</v>
      </c>
      <c r="N1495" s="620">
        <v>44536</v>
      </c>
      <c r="O1495" s="684" t="s">
        <v>67</v>
      </c>
      <c r="P1495" s="503">
        <f t="shared" si="89"/>
        <v>12</v>
      </c>
      <c r="Q1495" s="503">
        <f t="shared" si="90"/>
        <v>12</v>
      </c>
      <c r="R1495" s="504" t="str">
        <f t="shared" si="91"/>
        <v>Gastos_Gerais</v>
      </c>
      <c r="S1495" s="504" t="str">
        <f>IF(D1495="","",IF(OR(D1495=Plano!$A$1,D1495=Plano!$B$1),"entrada","saída"))</f>
        <v>saída</v>
      </c>
      <c r="T1495" s="511" t="s">
        <v>114</v>
      </c>
      <c r="U1495" s="511" t="s">
        <v>114</v>
      </c>
      <c r="V1495" s="541"/>
    </row>
    <row r="1496" spans="1:22" ht="50.1" customHeight="1" x14ac:dyDescent="0.2">
      <c r="A1496" s="619">
        <f>IF(B1496="","",COUNT('Diário 5º PA'!$A$5:$A$2634)+COUNT('Diário 6º PA'!$A$5:$A$2246)+COUNT('Diário 7º PA'!$A$5:$A$2271)+ROW()-4)</f>
        <v>5442</v>
      </c>
      <c r="B1496" s="620">
        <v>44536</v>
      </c>
      <c r="C1496" s="628">
        <v>44531</v>
      </c>
      <c r="D1496" s="548" t="s">
        <v>99</v>
      </c>
      <c r="E1496" s="548" t="s">
        <v>272</v>
      </c>
      <c r="F1496" s="622">
        <v>10.45</v>
      </c>
      <c r="G1496" s="623" t="s">
        <v>6078</v>
      </c>
      <c r="H1496" s="548" t="s">
        <v>114</v>
      </c>
      <c r="I1496" s="583" t="s">
        <v>949</v>
      </c>
      <c r="J1496" s="548" t="s">
        <v>950</v>
      </c>
      <c r="K1496" s="583" t="s">
        <v>951</v>
      </c>
      <c r="L1496" s="583" t="s">
        <v>947</v>
      </c>
      <c r="M1496" s="625" t="s">
        <v>114</v>
      </c>
      <c r="N1496" s="620">
        <v>44536</v>
      </c>
      <c r="O1496" s="684" t="s">
        <v>67</v>
      </c>
      <c r="P1496" s="503">
        <f t="shared" si="89"/>
        <v>12</v>
      </c>
      <c r="Q1496" s="503">
        <f t="shared" si="90"/>
        <v>12</v>
      </c>
      <c r="R1496" s="504" t="str">
        <f t="shared" si="91"/>
        <v>Gastos_Gerais</v>
      </c>
      <c r="S1496" s="504" t="str">
        <f>IF(D1496="","",IF(OR(D1496=Plano!$A$1,D1496=Plano!$B$1),"entrada","saída"))</f>
        <v>saída</v>
      </c>
      <c r="T1496" s="511" t="s">
        <v>114</v>
      </c>
      <c r="U1496" s="511" t="s">
        <v>114</v>
      </c>
      <c r="V1496" s="541"/>
    </row>
    <row r="1497" spans="1:22" ht="50.1" customHeight="1" x14ac:dyDescent="0.2">
      <c r="A1497" s="619">
        <f>IF(B1497="","",COUNT('Diário 5º PA'!$A$5:$A$2634)+COUNT('Diário 6º PA'!$A$5:$A$2246)+COUNT('Diário 7º PA'!$A$5:$A$2271)+ROW()-4)</f>
        <v>5443</v>
      </c>
      <c r="B1497" s="620">
        <v>44536</v>
      </c>
      <c r="C1497" s="628">
        <v>44531</v>
      </c>
      <c r="D1497" s="548" t="s">
        <v>99</v>
      </c>
      <c r="E1497" s="548" t="s">
        <v>272</v>
      </c>
      <c r="F1497" s="622">
        <v>10.45</v>
      </c>
      <c r="G1497" s="623" t="s">
        <v>6609</v>
      </c>
      <c r="H1497" s="548" t="s">
        <v>131</v>
      </c>
      <c r="I1497" s="583" t="s">
        <v>949</v>
      </c>
      <c r="J1497" s="548" t="s">
        <v>950</v>
      </c>
      <c r="K1497" s="583" t="s">
        <v>951</v>
      </c>
      <c r="L1497" s="583" t="s">
        <v>947</v>
      </c>
      <c r="M1497" s="625" t="s">
        <v>114</v>
      </c>
      <c r="N1497" s="620">
        <v>44536</v>
      </c>
      <c r="O1497" s="684" t="s">
        <v>67</v>
      </c>
      <c r="P1497" s="503">
        <f t="shared" si="89"/>
        <v>12</v>
      </c>
      <c r="Q1497" s="503">
        <f t="shared" si="90"/>
        <v>12</v>
      </c>
      <c r="R1497" s="504" t="str">
        <f t="shared" si="91"/>
        <v>Gastos_Gerais</v>
      </c>
      <c r="S1497" s="504" t="str">
        <f>IF(D1497="","",IF(OR(D1497=Plano!$A$1,D1497=Plano!$B$1),"entrada","saída"))</f>
        <v>saída</v>
      </c>
      <c r="T1497" s="511" t="s">
        <v>114</v>
      </c>
      <c r="U1497" s="511" t="s">
        <v>114</v>
      </c>
      <c r="V1497" s="541"/>
    </row>
    <row r="1498" spans="1:22" ht="50.1" customHeight="1" x14ac:dyDescent="0.2">
      <c r="A1498" s="619">
        <f>IF(B1498="","",COUNT('Diário 5º PA'!$A$5:$A$2634)+COUNT('Diário 6º PA'!$A$5:$A$2246)+COUNT('Diário 7º PA'!$A$5:$A$2271)+ROW()-4)</f>
        <v>5444</v>
      </c>
      <c r="B1498" s="620">
        <v>44536</v>
      </c>
      <c r="C1498" s="628">
        <v>44531</v>
      </c>
      <c r="D1498" s="548" t="s">
        <v>99</v>
      </c>
      <c r="E1498" s="548" t="s">
        <v>272</v>
      </c>
      <c r="F1498" s="622">
        <v>153</v>
      </c>
      <c r="G1498" s="623" t="s">
        <v>948</v>
      </c>
      <c r="H1498" s="548" t="s">
        <v>115</v>
      </c>
      <c r="I1498" s="583" t="s">
        <v>949</v>
      </c>
      <c r="J1498" s="548" t="s">
        <v>950</v>
      </c>
      <c r="K1498" s="583" t="s">
        <v>951</v>
      </c>
      <c r="L1498" s="583" t="s">
        <v>947</v>
      </c>
      <c r="M1498" s="625" t="s">
        <v>114</v>
      </c>
      <c r="N1498" s="620">
        <v>44536</v>
      </c>
      <c r="O1498" s="684" t="s">
        <v>67</v>
      </c>
      <c r="P1498" s="503">
        <f t="shared" si="89"/>
        <v>12</v>
      </c>
      <c r="Q1498" s="503">
        <f t="shared" si="90"/>
        <v>12</v>
      </c>
      <c r="R1498" s="504" t="str">
        <f t="shared" si="91"/>
        <v>Gastos_Gerais</v>
      </c>
      <c r="S1498" s="504" t="str">
        <f>IF(D1498="","",IF(OR(D1498=Plano!$A$1,D1498=Plano!$B$1),"entrada","saída"))</f>
        <v>saída</v>
      </c>
      <c r="T1498" s="511" t="s">
        <v>114</v>
      </c>
      <c r="U1498" s="511" t="s">
        <v>114</v>
      </c>
      <c r="V1498" s="541"/>
    </row>
    <row r="1499" spans="1:22" s="569" customFormat="1" ht="50.1" customHeight="1" x14ac:dyDescent="0.2">
      <c r="A1499" s="619">
        <f>IF(B1499="","",COUNT('Diário 5º PA'!$A$5:$A$2634)+COUNT('Diário 6º PA'!$A$5:$A$2246)+COUNT('Diário 7º PA'!$A$5:$A$2271)+ROW()-4)</f>
        <v>5445</v>
      </c>
      <c r="B1499" s="620">
        <v>44536</v>
      </c>
      <c r="C1499" s="628">
        <v>44501</v>
      </c>
      <c r="D1499" s="548" t="s">
        <v>104</v>
      </c>
      <c r="E1499" s="646" t="s">
        <v>104</v>
      </c>
      <c r="F1499" s="622">
        <v>154.80000000000001</v>
      </c>
      <c r="G1499" s="623" t="s">
        <v>7197</v>
      </c>
      <c r="H1499" s="548" t="s">
        <v>104</v>
      </c>
      <c r="I1499" s="583" t="s">
        <v>7188</v>
      </c>
      <c r="J1499" s="548" t="s">
        <v>3609</v>
      </c>
      <c r="K1499" s="583" t="s">
        <v>991</v>
      </c>
      <c r="L1499" s="583" t="s">
        <v>992</v>
      </c>
      <c r="M1499" s="625">
        <v>833027</v>
      </c>
      <c r="N1499" s="620">
        <v>44538</v>
      </c>
      <c r="O1499" s="684" t="s">
        <v>71</v>
      </c>
      <c r="P1499" s="503">
        <f t="shared" si="89"/>
        <v>12</v>
      </c>
      <c r="Q1499" s="503">
        <f t="shared" si="90"/>
        <v>11</v>
      </c>
      <c r="R1499" s="504" t="str">
        <f t="shared" si="91"/>
        <v>Gastos_custeados_por_captação</v>
      </c>
      <c r="S1499" s="504" t="str">
        <f>IF(D1499="","",IF(OR(D1499=Plano!$A$1,D1499=Plano!$B$1),"entrada","saída"))</f>
        <v>saída</v>
      </c>
      <c r="T1499" s="511" t="s">
        <v>994</v>
      </c>
      <c r="U1499" s="511">
        <v>2544</v>
      </c>
      <c r="V1499" s="541"/>
    </row>
    <row r="1500" spans="1:22" s="569" customFormat="1" ht="120.75" customHeight="1" x14ac:dyDescent="0.2">
      <c r="A1500" s="619">
        <f>IF(B1500="","",COUNT('Diário 5º PA'!$A$5:$A$2634)+COUNT('Diário 6º PA'!$A$5:$A$2246)+COUNT('Diário 7º PA'!$A$5:$A$2271)+ROW()-4)</f>
        <v>5446</v>
      </c>
      <c r="B1500" s="620">
        <v>44536</v>
      </c>
      <c r="C1500" s="645">
        <v>44501</v>
      </c>
      <c r="D1500" s="646" t="s">
        <v>104</v>
      </c>
      <c r="E1500" s="646" t="s">
        <v>104</v>
      </c>
      <c r="F1500" s="647">
        <v>5500</v>
      </c>
      <c r="G1500" s="648" t="s">
        <v>637</v>
      </c>
      <c r="H1500" s="646" t="s">
        <v>104</v>
      </c>
      <c r="I1500" s="627" t="s">
        <v>3175</v>
      </c>
      <c r="J1500" s="646" t="s">
        <v>639</v>
      </c>
      <c r="K1500" s="583" t="s">
        <v>991</v>
      </c>
      <c r="L1500" s="583" t="s">
        <v>992</v>
      </c>
      <c r="M1500" s="625">
        <v>18</v>
      </c>
      <c r="N1500" s="620">
        <v>44536</v>
      </c>
      <c r="O1500" s="684" t="s">
        <v>71</v>
      </c>
      <c r="P1500" s="503">
        <f t="shared" si="89"/>
        <v>12</v>
      </c>
      <c r="Q1500" s="503">
        <f t="shared" si="90"/>
        <v>11</v>
      </c>
      <c r="R1500" s="504" t="str">
        <f t="shared" si="91"/>
        <v>Gastos_custeados_por_captação</v>
      </c>
      <c r="S1500" s="504" t="str">
        <f>IF(D1500="","",IF(OR(D1500=Plano!$A$1,D1500=Plano!$B$1),"entrada","saída"))</f>
        <v>saída</v>
      </c>
      <c r="T1500" s="511" t="s">
        <v>1082</v>
      </c>
      <c r="U1500" s="511">
        <v>1473</v>
      </c>
      <c r="V1500" s="541"/>
    </row>
    <row r="1501" spans="1:22" s="569" customFormat="1" ht="44.25" customHeight="1" x14ac:dyDescent="0.2">
      <c r="A1501" s="619">
        <f>IF(B1501="","",COUNT('Diário 5º PA'!$A$5:$A$2634)+COUNT('Diário 6º PA'!$A$5:$A$2246)+COUNT('Diário 7º PA'!$A$5:$A$2271)+ROW()-4)</f>
        <v>5447</v>
      </c>
      <c r="B1501" s="620">
        <v>44536</v>
      </c>
      <c r="C1501" s="621">
        <v>44531</v>
      </c>
      <c r="D1501" s="548" t="s">
        <v>104</v>
      </c>
      <c r="E1501" s="548" t="s">
        <v>104</v>
      </c>
      <c r="F1501" s="622">
        <v>10.45</v>
      </c>
      <c r="G1501" s="623" t="s">
        <v>5451</v>
      </c>
      <c r="H1501" s="548" t="s">
        <v>104</v>
      </c>
      <c r="I1501" s="583" t="s">
        <v>949</v>
      </c>
      <c r="J1501" s="548" t="s">
        <v>950</v>
      </c>
      <c r="K1501" s="583" t="s">
        <v>951</v>
      </c>
      <c r="L1501" s="583" t="s">
        <v>947</v>
      </c>
      <c r="M1501" s="625" t="s">
        <v>114</v>
      </c>
      <c r="N1501" s="620">
        <v>44536</v>
      </c>
      <c r="O1501" s="684" t="s">
        <v>71</v>
      </c>
      <c r="P1501" s="503">
        <f t="shared" si="89"/>
        <v>12</v>
      </c>
      <c r="Q1501" s="503">
        <f t="shared" si="90"/>
        <v>12</v>
      </c>
      <c r="R1501" s="504" t="str">
        <f t="shared" si="91"/>
        <v>Gastos_custeados_por_captação</v>
      </c>
      <c r="S1501" s="504" t="str">
        <f>IF(D1501="","",IF(OR(D1501=Plano!$A$1,D1501=Plano!$B$1),"entrada","saída"))</f>
        <v>saída</v>
      </c>
      <c r="T1501" s="511" t="s">
        <v>114</v>
      </c>
      <c r="U1501" s="511" t="s">
        <v>114</v>
      </c>
      <c r="V1501" s="541"/>
    </row>
    <row r="1502" spans="1:22" s="574" customFormat="1" ht="44.25" customHeight="1" x14ac:dyDescent="0.2">
      <c r="A1502" s="619">
        <f>IF(B1502="","",COUNT('Diário 5º PA'!$A$5:$A$2634)+COUNT('Diário 6º PA'!$A$5:$A$2246)+COUNT('Diário 7º PA'!$A$5:$A$2271)+ROW()-4)</f>
        <v>5448</v>
      </c>
      <c r="B1502" s="620">
        <v>44536</v>
      </c>
      <c r="C1502" s="621">
        <v>44501</v>
      </c>
      <c r="D1502" s="548" t="s">
        <v>104</v>
      </c>
      <c r="E1502" s="548" t="s">
        <v>104</v>
      </c>
      <c r="F1502" s="622">
        <v>500</v>
      </c>
      <c r="G1502" s="623" t="s">
        <v>7244</v>
      </c>
      <c r="H1502" s="548" t="s">
        <v>104</v>
      </c>
      <c r="I1502" s="583" t="s">
        <v>7245</v>
      </c>
      <c r="J1502" s="548" t="s">
        <v>7246</v>
      </c>
      <c r="K1502" s="583" t="s">
        <v>991</v>
      </c>
      <c r="L1502" s="583" t="s">
        <v>1136</v>
      </c>
      <c r="M1502" s="625" t="s">
        <v>114</v>
      </c>
      <c r="N1502" s="620">
        <v>44533</v>
      </c>
      <c r="O1502" s="684" t="s">
        <v>70</v>
      </c>
      <c r="P1502" s="503">
        <f t="shared" ref="P1502" si="92">IF(B1502=0,0,IF(YEAR(B1502)=$Q$1,MONTH(B1502)-$P$1+1,(YEAR(B1502)-$Q$1)*12-$P$1+1+MONTH(B1502)))</f>
        <v>12</v>
      </c>
      <c r="Q1502" s="503">
        <f t="shared" ref="Q1502" si="93">IF(C1502=0,0,IF(YEAR(C1502)=$Q$1,MONTH(C1502)-$P$1+1,(YEAR(C1502)-$Q$1)*12-$P$1+1+MONTH(C1502)))</f>
        <v>11</v>
      </c>
      <c r="R1502" s="504" t="str">
        <f t="shared" ref="R1502" si="94">SUBSTITUTE(D1502," ","_")</f>
        <v>Gastos_custeados_por_captação</v>
      </c>
      <c r="S1502" s="504" t="str">
        <f>IF(D1502="","",IF(OR(D1502=Plano!$A$1,D1502=Plano!$B$1),"entrada","saída"))</f>
        <v>saída</v>
      </c>
      <c r="T1502" s="511" t="s">
        <v>994</v>
      </c>
      <c r="U1502" s="511">
        <v>2391</v>
      </c>
      <c r="V1502" s="541"/>
    </row>
    <row r="1503" spans="1:22" s="574" customFormat="1" ht="44.25" customHeight="1" x14ac:dyDescent="0.2">
      <c r="A1503" s="619">
        <f>IF(B1503="","",COUNT('Diário 5º PA'!$A$5:$A$2634)+COUNT('Diário 6º PA'!$A$5:$A$2246)+COUNT('Diário 7º PA'!$A$5:$A$2271)+ROW()-4)</f>
        <v>5449</v>
      </c>
      <c r="B1503" s="620">
        <v>44536</v>
      </c>
      <c r="C1503" s="621">
        <v>44501</v>
      </c>
      <c r="D1503" s="548" t="s">
        <v>104</v>
      </c>
      <c r="E1503" s="548" t="s">
        <v>104</v>
      </c>
      <c r="F1503" s="622">
        <v>300</v>
      </c>
      <c r="G1503" s="623" t="s">
        <v>7247</v>
      </c>
      <c r="H1503" s="548" t="s">
        <v>104</v>
      </c>
      <c r="I1503" s="583" t="s">
        <v>7248</v>
      </c>
      <c r="J1503" s="548" t="s">
        <v>7082</v>
      </c>
      <c r="K1503" s="583" t="s">
        <v>991</v>
      </c>
      <c r="L1503" s="583" t="s">
        <v>1136</v>
      </c>
      <c r="M1503" s="625" t="s">
        <v>114</v>
      </c>
      <c r="N1503" s="620">
        <v>44533</v>
      </c>
      <c r="O1503" s="684" t="s">
        <v>70</v>
      </c>
      <c r="P1503" s="503">
        <f t="shared" ref="P1503" si="95">IF(B1503=0,0,IF(YEAR(B1503)=$Q$1,MONTH(B1503)-$P$1+1,(YEAR(B1503)-$Q$1)*12-$P$1+1+MONTH(B1503)))</f>
        <v>12</v>
      </c>
      <c r="Q1503" s="503">
        <f t="shared" ref="Q1503" si="96">IF(C1503=0,0,IF(YEAR(C1503)=$Q$1,MONTH(C1503)-$P$1+1,(YEAR(C1503)-$Q$1)*12-$P$1+1+MONTH(C1503)))</f>
        <v>11</v>
      </c>
      <c r="R1503" s="504" t="str">
        <f t="shared" ref="R1503" si="97">SUBSTITUTE(D1503," ","_")</f>
        <v>Gastos_custeados_por_captação</v>
      </c>
      <c r="S1503" s="504" t="str">
        <f>IF(D1503="","",IF(OR(D1503=Plano!$A$1,D1503=Plano!$B$1),"entrada","saída"))</f>
        <v>saída</v>
      </c>
      <c r="T1503" s="511" t="s">
        <v>994</v>
      </c>
      <c r="U1503" s="511">
        <v>2406</v>
      </c>
      <c r="V1503" s="541"/>
    </row>
    <row r="1504" spans="1:22" s="573" customFormat="1" ht="265.5" customHeight="1" x14ac:dyDescent="0.2">
      <c r="A1504" s="619">
        <f>IF(B1504="","",COUNT('Diário 5º PA'!$A$5:$A$2634)+COUNT('Diário 6º PA'!$A$5:$A$2246)+COUNT('Diário 7º PA'!$A$5:$A$2271)+ROW()-4)</f>
        <v>5450</v>
      </c>
      <c r="B1504" s="620">
        <v>44537</v>
      </c>
      <c r="C1504" s="661">
        <v>44501</v>
      </c>
      <c r="D1504" s="662" t="s">
        <v>104</v>
      </c>
      <c r="E1504" s="662" t="s">
        <v>104</v>
      </c>
      <c r="F1504" s="663">
        <v>2253.77</v>
      </c>
      <c r="G1504" s="664" t="s">
        <v>593</v>
      </c>
      <c r="H1504" s="662" t="s">
        <v>104</v>
      </c>
      <c r="I1504" s="665" t="s">
        <v>1298</v>
      </c>
      <c r="J1504" s="662" t="s">
        <v>590</v>
      </c>
      <c r="K1504" s="666" t="s">
        <v>991</v>
      </c>
      <c r="L1504" s="666" t="s">
        <v>992</v>
      </c>
      <c r="M1504" s="667" t="s">
        <v>1211</v>
      </c>
      <c r="N1504" s="668">
        <v>44536</v>
      </c>
      <c r="O1504" s="686" t="s">
        <v>5370</v>
      </c>
      <c r="P1504" s="575">
        <f t="shared" si="89"/>
        <v>12</v>
      </c>
      <c r="Q1504" s="575">
        <f t="shared" si="90"/>
        <v>11</v>
      </c>
      <c r="R1504" s="576" t="str">
        <f t="shared" si="91"/>
        <v>Gastos_custeados_por_captação</v>
      </c>
      <c r="S1504" s="576" t="str">
        <f>IF(D1504="","",IF(OR(D1504=Plano!$A$1,D1504=Plano!$B$1),"entrada","saída"))</f>
        <v>saída</v>
      </c>
      <c r="T1504" s="577" t="s">
        <v>1082</v>
      </c>
      <c r="U1504" s="577">
        <v>1434</v>
      </c>
      <c r="V1504" s="541"/>
    </row>
    <row r="1505" spans="1:22" s="573" customFormat="1" ht="44.25" customHeight="1" x14ac:dyDescent="0.2">
      <c r="A1505" s="619">
        <f>IF(B1505="","",COUNT('Diário 5º PA'!$A$5:$A$2634)+COUNT('Diário 6º PA'!$A$5:$A$2246)+COUNT('Diário 7º PA'!$A$5:$A$2271)+ROW()-4)</f>
        <v>5451</v>
      </c>
      <c r="B1505" s="620">
        <v>44537</v>
      </c>
      <c r="C1505" s="621">
        <v>44531</v>
      </c>
      <c r="D1505" s="548" t="s">
        <v>99</v>
      </c>
      <c r="E1505" s="548" t="s">
        <v>272</v>
      </c>
      <c r="F1505" s="622">
        <v>10.45</v>
      </c>
      <c r="G1505" s="623" t="s">
        <v>6549</v>
      </c>
      <c r="H1505" s="548" t="s">
        <v>131</v>
      </c>
      <c r="I1505" s="583" t="s">
        <v>949</v>
      </c>
      <c r="J1505" s="548" t="s">
        <v>950</v>
      </c>
      <c r="K1505" s="583" t="s">
        <v>951</v>
      </c>
      <c r="L1505" s="583" t="s">
        <v>947</v>
      </c>
      <c r="M1505" s="625" t="s">
        <v>114</v>
      </c>
      <c r="N1505" s="620">
        <v>44537</v>
      </c>
      <c r="O1505" s="684" t="s">
        <v>5370</v>
      </c>
      <c r="P1505" s="503">
        <f t="shared" si="89"/>
        <v>12</v>
      </c>
      <c r="Q1505" s="503">
        <f t="shared" si="90"/>
        <v>12</v>
      </c>
      <c r="R1505" s="504" t="str">
        <f t="shared" si="91"/>
        <v>Gastos_Gerais</v>
      </c>
      <c r="S1505" s="504" t="str">
        <f>IF(D1505="","",IF(OR(D1505=Plano!$A$1,D1505=Plano!$B$1),"entrada","saída"))</f>
        <v>saída</v>
      </c>
      <c r="T1505" s="511" t="s">
        <v>114</v>
      </c>
      <c r="U1505" s="511" t="s">
        <v>114</v>
      </c>
      <c r="V1505" s="541"/>
    </row>
    <row r="1506" spans="1:22" ht="50.1" customHeight="1" x14ac:dyDescent="0.2">
      <c r="A1506" s="619">
        <f>IF(B1506="","",COUNT('Diário 5º PA'!$A$5:$A$2634)+COUNT('Diário 6º PA'!$A$5:$A$2246)+COUNT('Diário 7º PA'!$A$5:$A$2271)+ROW()-4)</f>
        <v>5452</v>
      </c>
      <c r="B1506" s="620">
        <v>44537</v>
      </c>
      <c r="C1506" s="621">
        <v>44501</v>
      </c>
      <c r="D1506" s="548" t="s">
        <v>99</v>
      </c>
      <c r="E1506" s="548" t="s">
        <v>330</v>
      </c>
      <c r="F1506" s="622">
        <v>-24.9</v>
      </c>
      <c r="G1506" s="623" t="s">
        <v>6618</v>
      </c>
      <c r="H1506" s="548" t="s">
        <v>115</v>
      </c>
      <c r="I1506" s="583" t="s">
        <v>983</v>
      </c>
      <c r="J1506" s="548" t="s">
        <v>850</v>
      </c>
      <c r="K1506" s="583" t="s">
        <v>946</v>
      </c>
      <c r="L1506" s="583" t="s">
        <v>947</v>
      </c>
      <c r="M1506" s="619" t="s">
        <v>114</v>
      </c>
      <c r="N1506" s="620">
        <v>44537</v>
      </c>
      <c r="O1506" s="684" t="s">
        <v>67</v>
      </c>
      <c r="P1506" s="503">
        <f t="shared" si="89"/>
        <v>12</v>
      </c>
      <c r="Q1506" s="503">
        <f t="shared" si="90"/>
        <v>11</v>
      </c>
      <c r="R1506" s="504" t="str">
        <f t="shared" si="91"/>
        <v>Gastos_Gerais</v>
      </c>
      <c r="S1506" s="504" t="str">
        <f>IF(D1506="","",IF(OR(D1506=Plano!$A$1,D1506=Plano!$B$1),"entrada","saída"))</f>
        <v>saída</v>
      </c>
      <c r="T1506" s="505" t="s">
        <v>114</v>
      </c>
      <c r="U1506" s="505" t="s">
        <v>114</v>
      </c>
      <c r="V1506" s="541"/>
    </row>
    <row r="1507" spans="1:22" ht="50.1" customHeight="1" x14ac:dyDescent="0.2">
      <c r="A1507" s="619">
        <f>IF(B1507="","",COUNT('Diário 5º PA'!$A$5:$A$2634)+COUNT('Diário 6º PA'!$A$5:$A$2246)+COUNT('Diário 7º PA'!$A$5:$A$2271)+ROW()-4)</f>
        <v>5453</v>
      </c>
      <c r="B1507" s="620">
        <v>44537</v>
      </c>
      <c r="C1507" s="621">
        <v>44501</v>
      </c>
      <c r="D1507" s="548" t="s">
        <v>99</v>
      </c>
      <c r="E1507" s="548" t="s">
        <v>330</v>
      </c>
      <c r="F1507" s="622">
        <v>-12.45</v>
      </c>
      <c r="G1507" s="623" t="s">
        <v>6619</v>
      </c>
      <c r="H1507" s="548" t="s">
        <v>115</v>
      </c>
      <c r="I1507" s="583" t="s">
        <v>983</v>
      </c>
      <c r="J1507" s="548" t="s">
        <v>850</v>
      </c>
      <c r="K1507" s="583" t="s">
        <v>946</v>
      </c>
      <c r="L1507" s="583" t="s">
        <v>947</v>
      </c>
      <c r="M1507" s="619" t="s">
        <v>114</v>
      </c>
      <c r="N1507" s="620">
        <v>44537</v>
      </c>
      <c r="O1507" s="684" t="s">
        <v>67</v>
      </c>
      <c r="P1507" s="503">
        <f t="shared" si="89"/>
        <v>12</v>
      </c>
      <c r="Q1507" s="503">
        <f t="shared" si="90"/>
        <v>11</v>
      </c>
      <c r="R1507" s="504" t="str">
        <f t="shared" si="91"/>
        <v>Gastos_Gerais</v>
      </c>
      <c r="S1507" s="504" t="str">
        <f>IF(D1507="","",IF(OR(D1507=Plano!$A$1,D1507=Plano!$B$1),"entrada","saída"))</f>
        <v>saída</v>
      </c>
      <c r="T1507" s="505" t="s">
        <v>114</v>
      </c>
      <c r="U1507" s="505" t="s">
        <v>114</v>
      </c>
      <c r="V1507" s="541"/>
    </row>
    <row r="1508" spans="1:22" ht="77.25" customHeight="1" x14ac:dyDescent="0.2">
      <c r="A1508" s="619">
        <f>IF(B1508="","",COUNT('Diário 5º PA'!$A$5:$A$2634)+COUNT('Diário 6º PA'!$A$5:$A$2246)+COUNT('Diário 7º PA'!$A$5:$A$2271)+ROW()-4)</f>
        <v>5454</v>
      </c>
      <c r="B1508" s="620">
        <v>44537</v>
      </c>
      <c r="C1508" s="621">
        <v>44501</v>
      </c>
      <c r="D1508" s="548" t="s">
        <v>99</v>
      </c>
      <c r="E1508" s="548" t="s">
        <v>330</v>
      </c>
      <c r="F1508" s="622">
        <v>-323.7</v>
      </c>
      <c r="G1508" s="623" t="s">
        <v>6620</v>
      </c>
      <c r="H1508" s="548" t="s">
        <v>115</v>
      </c>
      <c r="I1508" s="583" t="s">
        <v>983</v>
      </c>
      <c r="J1508" s="548" t="s">
        <v>850</v>
      </c>
      <c r="K1508" s="583" t="s">
        <v>946</v>
      </c>
      <c r="L1508" s="583" t="s">
        <v>947</v>
      </c>
      <c r="M1508" s="619" t="s">
        <v>114</v>
      </c>
      <c r="N1508" s="620">
        <v>44537</v>
      </c>
      <c r="O1508" s="684" t="s">
        <v>67</v>
      </c>
      <c r="P1508" s="503">
        <f t="shared" si="89"/>
        <v>12</v>
      </c>
      <c r="Q1508" s="503">
        <f t="shared" si="90"/>
        <v>11</v>
      </c>
      <c r="R1508" s="504" t="str">
        <f t="shared" si="91"/>
        <v>Gastos_Gerais</v>
      </c>
      <c r="S1508" s="504" t="str">
        <f>IF(D1508="","",IF(OR(D1508=Plano!$A$1,D1508=Plano!$B$1),"entrada","saída"))</f>
        <v>saída</v>
      </c>
      <c r="T1508" s="505" t="s">
        <v>114</v>
      </c>
      <c r="U1508" s="505" t="s">
        <v>114</v>
      </c>
      <c r="V1508" s="541"/>
    </row>
    <row r="1509" spans="1:22" ht="75" customHeight="1" x14ac:dyDescent="0.2">
      <c r="A1509" s="619">
        <f>IF(B1509="","",COUNT('Diário 5º PA'!$A$5:$A$2634)+COUNT('Diário 6º PA'!$A$5:$A$2246)+COUNT('Diário 7º PA'!$A$5:$A$2271)+ROW()-4)</f>
        <v>5455</v>
      </c>
      <c r="B1509" s="620">
        <v>44537</v>
      </c>
      <c r="C1509" s="621">
        <v>44501</v>
      </c>
      <c r="D1509" s="548" t="s">
        <v>88</v>
      </c>
      <c r="E1509" s="548" t="s">
        <v>171</v>
      </c>
      <c r="F1509" s="622">
        <v>-2502.35</v>
      </c>
      <c r="G1509" s="623" t="s">
        <v>6621</v>
      </c>
      <c r="H1509" s="548" t="s">
        <v>114</v>
      </c>
      <c r="I1509" s="583" t="s">
        <v>983</v>
      </c>
      <c r="J1509" s="548" t="s">
        <v>850</v>
      </c>
      <c r="K1509" s="583" t="s">
        <v>946</v>
      </c>
      <c r="L1509" s="583" t="s">
        <v>947</v>
      </c>
      <c r="M1509" s="619" t="s">
        <v>114</v>
      </c>
      <c r="N1509" s="620">
        <v>44537</v>
      </c>
      <c r="O1509" s="684" t="s">
        <v>67</v>
      </c>
      <c r="P1509" s="503">
        <f t="shared" si="89"/>
        <v>12</v>
      </c>
      <c r="Q1509" s="503">
        <f t="shared" si="90"/>
        <v>11</v>
      </c>
      <c r="R1509" s="504" t="str">
        <f t="shared" si="91"/>
        <v>Gastos_com_Pessoal</v>
      </c>
      <c r="S1509" s="504" t="str">
        <f>IF(D1509="","",IF(OR(D1509=Plano!$A$1,D1509=Plano!$B$1),"entrada","saída"))</f>
        <v>saída</v>
      </c>
      <c r="T1509" s="505" t="s">
        <v>114</v>
      </c>
      <c r="U1509" s="505" t="s">
        <v>114</v>
      </c>
      <c r="V1509" s="541"/>
    </row>
    <row r="1510" spans="1:22" ht="66.75" customHeight="1" x14ac:dyDescent="0.2">
      <c r="A1510" s="619">
        <f>IF(B1510="","",COUNT('Diário 5º PA'!$A$5:$A$2634)+COUNT('Diário 6º PA'!$A$5:$A$2246)+COUNT('Diário 7º PA'!$A$5:$A$2271)+ROW()-4)</f>
        <v>5456</v>
      </c>
      <c r="B1510" s="620">
        <v>44537</v>
      </c>
      <c r="C1510" s="621">
        <v>44501</v>
      </c>
      <c r="D1510" s="548" t="s">
        <v>88</v>
      </c>
      <c r="E1510" s="548" t="s">
        <v>175</v>
      </c>
      <c r="F1510" s="622">
        <v>-855.76</v>
      </c>
      <c r="G1510" s="623" t="s">
        <v>6622</v>
      </c>
      <c r="H1510" s="548" t="s">
        <v>114</v>
      </c>
      <c r="I1510" s="583" t="s">
        <v>983</v>
      </c>
      <c r="J1510" s="548" t="s">
        <v>850</v>
      </c>
      <c r="K1510" s="583" t="s">
        <v>946</v>
      </c>
      <c r="L1510" s="583" t="s">
        <v>947</v>
      </c>
      <c r="M1510" s="619" t="s">
        <v>114</v>
      </c>
      <c r="N1510" s="620">
        <v>44537</v>
      </c>
      <c r="O1510" s="684" t="s">
        <v>67</v>
      </c>
      <c r="P1510" s="503">
        <f t="shared" si="89"/>
        <v>12</v>
      </c>
      <c r="Q1510" s="503">
        <f t="shared" si="90"/>
        <v>11</v>
      </c>
      <c r="R1510" s="504" t="str">
        <f t="shared" si="91"/>
        <v>Gastos_com_Pessoal</v>
      </c>
      <c r="S1510" s="504" t="str">
        <f>IF(D1510="","",IF(OR(D1510=Plano!$A$1,D1510=Plano!$B$1),"entrada","saída"))</f>
        <v>saída</v>
      </c>
      <c r="T1510" s="505" t="s">
        <v>114</v>
      </c>
      <c r="U1510" s="505" t="s">
        <v>114</v>
      </c>
      <c r="V1510" s="541"/>
    </row>
    <row r="1511" spans="1:22" ht="50.1" customHeight="1" x14ac:dyDescent="0.2">
      <c r="A1511" s="619">
        <f>IF(B1511="","",COUNT('Diário 5º PA'!$A$5:$A$2634)+COUNT('Diário 6º PA'!$A$5:$A$2246)+COUNT('Diário 7º PA'!$A$5:$A$2271)+ROW()-4)</f>
        <v>5457</v>
      </c>
      <c r="B1511" s="620">
        <v>44537</v>
      </c>
      <c r="C1511" s="621">
        <v>44501</v>
      </c>
      <c r="D1511" s="548" t="s">
        <v>88</v>
      </c>
      <c r="E1511" s="548" t="s">
        <v>171</v>
      </c>
      <c r="F1511" s="622">
        <v>-137.28</v>
      </c>
      <c r="G1511" s="623" t="s">
        <v>6623</v>
      </c>
      <c r="H1511" s="548" t="s">
        <v>114</v>
      </c>
      <c r="I1511" s="583" t="s">
        <v>983</v>
      </c>
      <c r="J1511" s="548" t="s">
        <v>850</v>
      </c>
      <c r="K1511" s="583" t="s">
        <v>946</v>
      </c>
      <c r="L1511" s="583" t="s">
        <v>947</v>
      </c>
      <c r="M1511" s="619" t="s">
        <v>114</v>
      </c>
      <c r="N1511" s="620">
        <v>44537</v>
      </c>
      <c r="O1511" s="684" t="s">
        <v>67</v>
      </c>
      <c r="P1511" s="503">
        <f t="shared" si="89"/>
        <v>12</v>
      </c>
      <c r="Q1511" s="503">
        <f t="shared" si="90"/>
        <v>11</v>
      </c>
      <c r="R1511" s="504" t="str">
        <f t="shared" si="91"/>
        <v>Gastos_com_Pessoal</v>
      </c>
      <c r="S1511" s="504" t="str">
        <f>IF(D1511="","",IF(OR(D1511=Plano!$A$1,D1511=Plano!$B$1),"entrada","saída"))</f>
        <v>saída</v>
      </c>
      <c r="T1511" s="505" t="s">
        <v>114</v>
      </c>
      <c r="U1511" s="505" t="s">
        <v>114</v>
      </c>
      <c r="V1511" s="541"/>
    </row>
    <row r="1512" spans="1:22" ht="50.1" customHeight="1" x14ac:dyDescent="0.2">
      <c r="A1512" s="619">
        <f>IF(B1512="","",COUNT('Diário 5º PA'!$A$5:$A$2634)+COUNT('Diário 6º PA'!$A$5:$A$2246)+COUNT('Diário 7º PA'!$A$5:$A$2271)+ROW()-4)</f>
        <v>5458</v>
      </c>
      <c r="B1512" s="620">
        <v>44537</v>
      </c>
      <c r="C1512" s="621">
        <v>44501</v>
      </c>
      <c r="D1512" s="548" t="s">
        <v>88</v>
      </c>
      <c r="E1512" s="548" t="s">
        <v>175</v>
      </c>
      <c r="F1512" s="622">
        <v>-60</v>
      </c>
      <c r="G1512" s="623" t="s">
        <v>6624</v>
      </c>
      <c r="H1512" s="548" t="s">
        <v>114</v>
      </c>
      <c r="I1512" s="583" t="s">
        <v>983</v>
      </c>
      <c r="J1512" s="548" t="s">
        <v>850</v>
      </c>
      <c r="K1512" s="583" t="s">
        <v>946</v>
      </c>
      <c r="L1512" s="583" t="s">
        <v>947</v>
      </c>
      <c r="M1512" s="619" t="s">
        <v>114</v>
      </c>
      <c r="N1512" s="620">
        <v>44537</v>
      </c>
      <c r="O1512" s="684" t="s">
        <v>67</v>
      </c>
      <c r="P1512" s="503">
        <f t="shared" si="89"/>
        <v>12</v>
      </c>
      <c r="Q1512" s="503">
        <f t="shared" si="90"/>
        <v>11</v>
      </c>
      <c r="R1512" s="504" t="str">
        <f t="shared" si="91"/>
        <v>Gastos_com_Pessoal</v>
      </c>
      <c r="S1512" s="504" t="str">
        <f>IF(D1512="","",IF(OR(D1512=Plano!$A$1,D1512=Plano!$B$1),"entrada","saída"))</f>
        <v>saída</v>
      </c>
      <c r="T1512" s="505" t="s">
        <v>114</v>
      </c>
      <c r="U1512" s="505" t="s">
        <v>114</v>
      </c>
      <c r="V1512" s="541"/>
    </row>
    <row r="1513" spans="1:22" ht="50.1" customHeight="1" x14ac:dyDescent="0.2">
      <c r="A1513" s="619">
        <f>IF(B1513="","",COUNT('Diário 5º PA'!$A$5:$A$2634)+COUNT('Diário 6º PA'!$A$5:$A$2246)+COUNT('Diário 7º PA'!$A$5:$A$2271)+ROW()-4)</f>
        <v>5459</v>
      </c>
      <c r="B1513" s="620">
        <v>44537</v>
      </c>
      <c r="C1513" s="624">
        <v>44501</v>
      </c>
      <c r="D1513" s="548" t="s">
        <v>99</v>
      </c>
      <c r="E1513" s="548" t="s">
        <v>364</v>
      </c>
      <c r="F1513" s="622">
        <v>22.61</v>
      </c>
      <c r="G1513" s="623" t="s">
        <v>6625</v>
      </c>
      <c r="H1513" s="548" t="s">
        <v>131</v>
      </c>
      <c r="I1513" s="583" t="s">
        <v>949</v>
      </c>
      <c r="J1513" s="548" t="s">
        <v>950</v>
      </c>
      <c r="K1513" s="583" t="s">
        <v>951</v>
      </c>
      <c r="L1513" s="583" t="s">
        <v>947</v>
      </c>
      <c r="M1513" s="625" t="s">
        <v>114</v>
      </c>
      <c r="N1513" s="620">
        <v>44537</v>
      </c>
      <c r="O1513" s="684" t="s">
        <v>67</v>
      </c>
      <c r="P1513" s="503">
        <f t="shared" si="89"/>
        <v>12</v>
      </c>
      <c r="Q1513" s="503">
        <f t="shared" si="90"/>
        <v>11</v>
      </c>
      <c r="R1513" s="504" t="str">
        <f t="shared" si="91"/>
        <v>Gastos_Gerais</v>
      </c>
      <c r="S1513" s="504" t="str">
        <f>IF(D1513="","",IF(OR(D1513=Plano!$A$1,D1513=Plano!$B$1),"entrada","saída"))</f>
        <v>saída</v>
      </c>
      <c r="T1513" s="511" t="s">
        <v>114</v>
      </c>
      <c r="U1513" s="511" t="s">
        <v>114</v>
      </c>
      <c r="V1513" s="541"/>
    </row>
    <row r="1514" spans="1:22" ht="119.25" customHeight="1" x14ac:dyDescent="0.2">
      <c r="A1514" s="619">
        <f>IF(B1514="","",COUNT('Diário 5º PA'!$A$5:$A$2634)+COUNT('Diário 6º PA'!$A$5:$A$2246)+COUNT('Diário 7º PA'!$A$5:$A$2271)+ROW()-4)</f>
        <v>5460</v>
      </c>
      <c r="B1514" s="620">
        <v>44537</v>
      </c>
      <c r="C1514" s="624">
        <v>44501</v>
      </c>
      <c r="D1514" s="548" t="s">
        <v>99</v>
      </c>
      <c r="E1514" s="548" t="s">
        <v>364</v>
      </c>
      <c r="F1514" s="622">
        <v>5950</v>
      </c>
      <c r="G1514" s="623" t="s">
        <v>5979</v>
      </c>
      <c r="H1514" s="548" t="s">
        <v>132</v>
      </c>
      <c r="I1514" s="583" t="s">
        <v>6626</v>
      </c>
      <c r="J1514" s="548" t="s">
        <v>114</v>
      </c>
      <c r="K1514" s="583" t="s">
        <v>6627</v>
      </c>
      <c r="L1514" s="583" t="s">
        <v>1177</v>
      </c>
      <c r="M1514" s="619" t="s">
        <v>114</v>
      </c>
      <c r="N1514" s="620">
        <v>44537</v>
      </c>
      <c r="O1514" s="684" t="s">
        <v>67</v>
      </c>
      <c r="P1514" s="503">
        <f t="shared" si="89"/>
        <v>12</v>
      </c>
      <c r="Q1514" s="503">
        <f t="shared" si="90"/>
        <v>11</v>
      </c>
      <c r="R1514" s="504" t="str">
        <f t="shared" si="91"/>
        <v>Gastos_Gerais</v>
      </c>
      <c r="S1514" s="504" t="str">
        <f>IF(D1514="","",IF(OR(D1514=Plano!$A$1,D1514=Plano!$B$1),"entrada","saída"))</f>
        <v>saída</v>
      </c>
      <c r="T1514" s="505" t="s">
        <v>994</v>
      </c>
      <c r="U1514" s="505">
        <v>2325</v>
      </c>
      <c r="V1514" s="541"/>
    </row>
    <row r="1515" spans="1:22" ht="50.1" customHeight="1" x14ac:dyDescent="0.2">
      <c r="A1515" s="619">
        <f>IF(B1515="","",COUNT('Diário 5º PA'!$A$5:$A$2634)+COUNT('Diário 6º PA'!$A$5:$A$2246)+COUNT('Diário 7º PA'!$A$5:$A$2271)+ROW()-4)</f>
        <v>5461</v>
      </c>
      <c r="B1515" s="620">
        <v>44537</v>
      </c>
      <c r="C1515" s="624">
        <v>44501</v>
      </c>
      <c r="D1515" s="548" t="s">
        <v>99</v>
      </c>
      <c r="E1515" s="548" t="s">
        <v>364</v>
      </c>
      <c r="F1515" s="622">
        <v>1051.3399999999999</v>
      </c>
      <c r="G1515" s="623" t="s">
        <v>6628</v>
      </c>
      <c r="H1515" s="548" t="s">
        <v>131</v>
      </c>
      <c r="I1515" s="583" t="s">
        <v>488</v>
      </c>
      <c r="J1515" s="548" t="s">
        <v>114</v>
      </c>
      <c r="K1515" s="583" t="s">
        <v>466</v>
      </c>
      <c r="L1515" s="583" t="s">
        <v>489</v>
      </c>
      <c r="M1515" s="625" t="s">
        <v>114</v>
      </c>
      <c r="N1515" s="620">
        <v>44537</v>
      </c>
      <c r="O1515" s="684" t="s">
        <v>67</v>
      </c>
      <c r="P1515" s="503">
        <f t="shared" si="89"/>
        <v>12</v>
      </c>
      <c r="Q1515" s="503">
        <f t="shared" si="90"/>
        <v>11</v>
      </c>
      <c r="R1515" s="504" t="str">
        <f t="shared" si="91"/>
        <v>Gastos_Gerais</v>
      </c>
      <c r="S1515" s="504" t="str">
        <f>IF(D1515="","",IF(OR(D1515=Plano!$A$1,D1515=Plano!$B$1),"entrada","saída"))</f>
        <v>saída</v>
      </c>
      <c r="T1515" s="511" t="s">
        <v>114</v>
      </c>
      <c r="U1515" s="511" t="s">
        <v>114</v>
      </c>
      <c r="V1515" s="541"/>
    </row>
    <row r="1516" spans="1:22" ht="50.1" customHeight="1" x14ac:dyDescent="0.2">
      <c r="A1516" s="619">
        <f>IF(B1516="","",COUNT('Diário 5º PA'!$A$5:$A$2634)+COUNT('Diário 6º PA'!$A$5:$A$2246)+COUNT('Diário 7º PA'!$A$5:$A$2271)+ROW()-4)</f>
        <v>5462</v>
      </c>
      <c r="B1516" s="620">
        <v>44537</v>
      </c>
      <c r="C1516" s="624">
        <v>44531</v>
      </c>
      <c r="D1516" s="548" t="s">
        <v>88</v>
      </c>
      <c r="E1516" s="548" t="s">
        <v>177</v>
      </c>
      <c r="F1516" s="622">
        <v>702.41</v>
      </c>
      <c r="G1516" s="623" t="s">
        <v>6629</v>
      </c>
      <c r="H1516" s="548" t="s">
        <v>114</v>
      </c>
      <c r="I1516" s="583" t="s">
        <v>1203</v>
      </c>
      <c r="J1516" s="548" t="s">
        <v>1204</v>
      </c>
      <c r="K1516" s="583" t="s">
        <v>991</v>
      </c>
      <c r="L1516" s="583" t="s">
        <v>1347</v>
      </c>
      <c r="M1516" s="619" t="s">
        <v>114</v>
      </c>
      <c r="N1516" s="620">
        <v>44537</v>
      </c>
      <c r="O1516" s="684" t="s">
        <v>67</v>
      </c>
      <c r="P1516" s="503">
        <f t="shared" si="89"/>
        <v>12</v>
      </c>
      <c r="Q1516" s="503">
        <f t="shared" si="90"/>
        <v>12</v>
      </c>
      <c r="R1516" s="504" t="str">
        <f t="shared" si="91"/>
        <v>Gastos_com_Pessoal</v>
      </c>
      <c r="S1516" s="504" t="str">
        <f>IF(D1516="","",IF(OR(D1516=Plano!$A$1,D1516=Plano!$B$1),"entrada","saída"))</f>
        <v>saída</v>
      </c>
      <c r="T1516" s="505" t="s">
        <v>114</v>
      </c>
      <c r="U1516" s="505" t="s">
        <v>114</v>
      </c>
      <c r="V1516" s="541"/>
    </row>
    <row r="1517" spans="1:22" ht="114.75" customHeight="1" x14ac:dyDescent="0.2">
      <c r="A1517" s="619">
        <f>IF(B1517="","",COUNT('Diário 5º PA'!$A$5:$A$2634)+COUNT('Diário 6º PA'!$A$5:$A$2246)+COUNT('Diário 7º PA'!$A$5:$A$2271)+ROW()-4)</f>
        <v>5463</v>
      </c>
      <c r="B1517" s="620">
        <v>44537</v>
      </c>
      <c r="C1517" s="624">
        <v>44501</v>
      </c>
      <c r="D1517" s="548" t="s">
        <v>99</v>
      </c>
      <c r="E1517" s="548" t="s">
        <v>254</v>
      </c>
      <c r="F1517" s="622">
        <v>250</v>
      </c>
      <c r="G1517" s="623" t="s">
        <v>651</v>
      </c>
      <c r="H1517" s="548" t="s">
        <v>115</v>
      </c>
      <c r="I1517" s="583" t="s">
        <v>1135</v>
      </c>
      <c r="J1517" s="548" t="s">
        <v>652</v>
      </c>
      <c r="K1517" s="583" t="s">
        <v>991</v>
      </c>
      <c r="L1517" s="583" t="s">
        <v>1177</v>
      </c>
      <c r="M1517" s="619" t="s">
        <v>114</v>
      </c>
      <c r="N1517" s="620">
        <v>44532</v>
      </c>
      <c r="O1517" s="684" t="s">
        <v>67</v>
      </c>
      <c r="P1517" s="503">
        <f t="shared" si="89"/>
        <v>12</v>
      </c>
      <c r="Q1517" s="503">
        <f t="shared" si="90"/>
        <v>11</v>
      </c>
      <c r="R1517" s="504" t="str">
        <f t="shared" si="91"/>
        <v>Gastos_Gerais</v>
      </c>
      <c r="S1517" s="504" t="str">
        <f>IF(D1517="","",IF(OR(D1517=Plano!$A$1,D1517=Plano!$B$1),"entrada","saída"))</f>
        <v>saída</v>
      </c>
      <c r="T1517" s="505" t="s">
        <v>1082</v>
      </c>
      <c r="U1517" s="505">
        <v>1139</v>
      </c>
      <c r="V1517" s="541"/>
    </row>
    <row r="1518" spans="1:22" ht="98.25" customHeight="1" x14ac:dyDescent="0.2">
      <c r="A1518" s="619">
        <f>IF(B1518="","",COUNT('Diário 5º PA'!$A$5:$A$2634)+COUNT('Diário 6º PA'!$A$5:$A$2246)+COUNT('Diário 7º PA'!$A$5:$A$2271)+ROW()-4)</f>
        <v>5464</v>
      </c>
      <c r="B1518" s="620">
        <v>44537</v>
      </c>
      <c r="C1518" s="628">
        <v>44470</v>
      </c>
      <c r="D1518" s="548" t="s">
        <v>99</v>
      </c>
      <c r="E1518" s="548" t="s">
        <v>336</v>
      </c>
      <c r="F1518" s="622">
        <v>1344</v>
      </c>
      <c r="G1518" s="623" t="s">
        <v>5695</v>
      </c>
      <c r="H1518" s="548" t="s">
        <v>118</v>
      </c>
      <c r="I1518" s="583" t="s">
        <v>4804</v>
      </c>
      <c r="J1518" s="548" t="s">
        <v>900</v>
      </c>
      <c r="K1518" s="583" t="s">
        <v>991</v>
      </c>
      <c r="L1518" s="583" t="s">
        <v>1901</v>
      </c>
      <c r="M1518" s="619">
        <v>1482</v>
      </c>
      <c r="N1518" s="620">
        <v>44536</v>
      </c>
      <c r="O1518" s="684" t="s">
        <v>67</v>
      </c>
      <c r="P1518" s="503">
        <f t="shared" si="89"/>
        <v>12</v>
      </c>
      <c r="Q1518" s="503">
        <f t="shared" si="90"/>
        <v>10</v>
      </c>
      <c r="R1518" s="504" t="str">
        <f t="shared" si="91"/>
        <v>Gastos_Gerais</v>
      </c>
      <c r="S1518" s="504" t="str">
        <f>IF(D1518="","",IF(OR(D1518=Plano!$A$1,D1518=Plano!$B$1),"entrada","saída"))</f>
        <v>saída</v>
      </c>
      <c r="T1518" s="505" t="s">
        <v>994</v>
      </c>
      <c r="U1518" s="505">
        <v>2204</v>
      </c>
      <c r="V1518" s="541"/>
    </row>
    <row r="1519" spans="1:22" ht="36.75" customHeight="1" x14ac:dyDescent="0.2">
      <c r="A1519" s="619">
        <f>IF(B1519="","",COUNT('Diário 5º PA'!$A$5:$A$2634)+COUNT('Diário 6º PA'!$A$5:$A$2246)+COUNT('Diário 7º PA'!$A$5:$A$2271)+ROW()-4)</f>
        <v>5465</v>
      </c>
      <c r="B1519" s="620">
        <v>44537</v>
      </c>
      <c r="C1519" s="628">
        <v>44501</v>
      </c>
      <c r="D1519" s="548" t="s">
        <v>88</v>
      </c>
      <c r="E1519" s="548" t="s">
        <v>171</v>
      </c>
      <c r="F1519" s="622">
        <v>19737.38</v>
      </c>
      <c r="G1519" s="623" t="s">
        <v>6063</v>
      </c>
      <c r="H1519" s="548" t="s">
        <v>114</v>
      </c>
      <c r="I1519" s="583" t="s">
        <v>1259</v>
      </c>
      <c r="J1519" s="548" t="s">
        <v>114</v>
      </c>
      <c r="K1519" s="583" t="s">
        <v>466</v>
      </c>
      <c r="L1519" s="583" t="s">
        <v>171</v>
      </c>
      <c r="M1519" s="620" t="s">
        <v>114</v>
      </c>
      <c r="N1519" s="620">
        <v>44537</v>
      </c>
      <c r="O1519" s="684" t="s">
        <v>67</v>
      </c>
      <c r="P1519" s="503">
        <f t="shared" si="89"/>
        <v>12</v>
      </c>
      <c r="Q1519" s="503">
        <f t="shared" si="90"/>
        <v>11</v>
      </c>
      <c r="R1519" s="504" t="str">
        <f t="shared" si="91"/>
        <v>Gastos_com_Pessoal</v>
      </c>
      <c r="S1519" s="504" t="str">
        <f>IF(D1519="","",IF(OR(D1519=Plano!$A$1,D1519=Plano!$B$1),"entrada","saída"))</f>
        <v>saída</v>
      </c>
      <c r="T1519" s="505" t="s">
        <v>114</v>
      </c>
      <c r="U1519" s="505" t="s">
        <v>114</v>
      </c>
      <c r="V1519" s="541"/>
    </row>
    <row r="1520" spans="1:22" ht="37.5" customHeight="1" x14ac:dyDescent="0.2">
      <c r="A1520" s="619">
        <f>IF(B1520="","",COUNT('Diário 5º PA'!$A$5:$A$2634)+COUNT('Diário 6º PA'!$A$5:$A$2246)+COUNT('Diário 7º PA'!$A$5:$A$2271)+ROW()-4)</f>
        <v>5466</v>
      </c>
      <c r="B1520" s="620">
        <v>44537</v>
      </c>
      <c r="C1520" s="628">
        <v>44501</v>
      </c>
      <c r="D1520" s="548" t="s">
        <v>88</v>
      </c>
      <c r="E1520" s="548" t="s">
        <v>175</v>
      </c>
      <c r="F1520" s="622">
        <v>5897.09</v>
      </c>
      <c r="G1520" s="623" t="s">
        <v>6632</v>
      </c>
      <c r="H1520" s="548" t="s">
        <v>114</v>
      </c>
      <c r="I1520" s="583" t="s">
        <v>1259</v>
      </c>
      <c r="J1520" s="548" t="s">
        <v>114</v>
      </c>
      <c r="K1520" s="583" t="s">
        <v>466</v>
      </c>
      <c r="L1520" s="583" t="s">
        <v>171</v>
      </c>
      <c r="M1520" s="620" t="s">
        <v>114</v>
      </c>
      <c r="N1520" s="620">
        <v>44537</v>
      </c>
      <c r="O1520" s="684" t="s">
        <v>67</v>
      </c>
      <c r="P1520" s="503">
        <f t="shared" si="89"/>
        <v>12</v>
      </c>
      <c r="Q1520" s="503">
        <f t="shared" si="90"/>
        <v>11</v>
      </c>
      <c r="R1520" s="504" t="str">
        <f t="shared" si="91"/>
        <v>Gastos_com_Pessoal</v>
      </c>
      <c r="S1520" s="504" t="str">
        <f>IF(D1520="","",IF(OR(D1520=Plano!$A$1,D1520=Plano!$B$1),"entrada","saída"))</f>
        <v>saída</v>
      </c>
      <c r="T1520" s="505" t="s">
        <v>114</v>
      </c>
      <c r="U1520" s="505" t="s">
        <v>114</v>
      </c>
      <c r="V1520" s="541"/>
    </row>
    <row r="1521" spans="1:22" ht="130.5" customHeight="1" x14ac:dyDescent="0.2">
      <c r="A1521" s="619">
        <f>IF(B1521="","",COUNT('Diário 5º PA'!$A$5:$A$2634)+COUNT('Diário 6º PA'!$A$5:$A$2246)+COUNT('Diário 7º PA'!$A$5:$A$2271)+ROW()-4)</f>
        <v>5467</v>
      </c>
      <c r="B1521" s="620">
        <v>44537</v>
      </c>
      <c r="C1521" s="628">
        <v>44501</v>
      </c>
      <c r="D1521" s="548" t="s">
        <v>99</v>
      </c>
      <c r="E1521" s="548" t="s">
        <v>330</v>
      </c>
      <c r="F1521" s="622">
        <v>1045.8</v>
      </c>
      <c r="G1521" s="623" t="s">
        <v>692</v>
      </c>
      <c r="H1521" s="548" t="s">
        <v>115</v>
      </c>
      <c r="I1521" s="583" t="s">
        <v>693</v>
      </c>
      <c r="J1521" s="548" t="s">
        <v>694</v>
      </c>
      <c r="K1521" s="583" t="s">
        <v>560</v>
      </c>
      <c r="L1521" s="583" t="s">
        <v>992</v>
      </c>
      <c r="M1521" s="619">
        <v>38429</v>
      </c>
      <c r="N1521" s="620">
        <v>44531</v>
      </c>
      <c r="O1521" s="684" t="s">
        <v>67</v>
      </c>
      <c r="P1521" s="503">
        <f t="shared" si="89"/>
        <v>12</v>
      </c>
      <c r="Q1521" s="503">
        <f t="shared" si="90"/>
        <v>11</v>
      </c>
      <c r="R1521" s="504" t="str">
        <f t="shared" si="91"/>
        <v>Gastos_Gerais</v>
      </c>
      <c r="S1521" s="504" t="str">
        <f>IF(D1521="","",IF(OR(D1521=Plano!$A$1,D1521=Plano!$B$1),"entrada","saída"))</f>
        <v>saída</v>
      </c>
      <c r="T1521" s="505" t="s">
        <v>1059</v>
      </c>
      <c r="U1521" s="505">
        <v>1141</v>
      </c>
      <c r="V1521" s="541"/>
    </row>
    <row r="1522" spans="1:22" ht="50.1" customHeight="1" x14ac:dyDescent="0.2">
      <c r="A1522" s="619">
        <f>IF(B1522="","",COUNT('Diário 5º PA'!$A$5:$A$2634)+COUNT('Diário 6º PA'!$A$5:$A$2246)+COUNT('Diário 7º PA'!$A$5:$A$2271)+ROW()-4)</f>
        <v>5468</v>
      </c>
      <c r="B1522" s="620">
        <v>44537</v>
      </c>
      <c r="C1522" s="624">
        <v>44501</v>
      </c>
      <c r="D1522" s="548" t="s">
        <v>99</v>
      </c>
      <c r="E1522" s="548" t="s">
        <v>364</v>
      </c>
      <c r="F1522" s="622">
        <v>5605</v>
      </c>
      <c r="G1522" s="623" t="s">
        <v>6438</v>
      </c>
      <c r="H1522" s="548" t="s">
        <v>116</v>
      </c>
      <c r="I1522" s="583" t="s">
        <v>6633</v>
      </c>
      <c r="J1522" s="548" t="s">
        <v>6439</v>
      </c>
      <c r="K1522" s="583" t="s">
        <v>991</v>
      </c>
      <c r="L1522" s="583" t="s">
        <v>992</v>
      </c>
      <c r="M1522" s="619">
        <v>350</v>
      </c>
      <c r="N1522" s="620">
        <v>44532</v>
      </c>
      <c r="O1522" s="684" t="s">
        <v>67</v>
      </c>
      <c r="P1522" s="503">
        <f t="shared" si="89"/>
        <v>12</v>
      </c>
      <c r="Q1522" s="503">
        <f t="shared" si="90"/>
        <v>11</v>
      </c>
      <c r="R1522" s="504" t="str">
        <f t="shared" si="91"/>
        <v>Gastos_Gerais</v>
      </c>
      <c r="S1522" s="504" t="str">
        <f>IF(D1522="","",IF(OR(D1522=Plano!$A$1,D1522=Plano!$B$1),"entrada","saída"))</f>
        <v>saída</v>
      </c>
      <c r="T1522" s="505" t="s">
        <v>994</v>
      </c>
      <c r="U1522" s="505">
        <v>2515</v>
      </c>
      <c r="V1522" s="541"/>
    </row>
    <row r="1523" spans="1:22" ht="50.1" customHeight="1" x14ac:dyDescent="0.2">
      <c r="A1523" s="619">
        <f>IF(B1523="","",COUNT('Diário 5º PA'!$A$5:$A$2634)+COUNT('Diário 6º PA'!$A$5:$A$2246)+COUNT('Diário 7º PA'!$A$5:$A$2271)+ROW()-4)</f>
        <v>5469</v>
      </c>
      <c r="B1523" s="620">
        <v>44537</v>
      </c>
      <c r="C1523" s="624">
        <v>44501</v>
      </c>
      <c r="D1523" s="548" t="s">
        <v>99</v>
      </c>
      <c r="E1523" s="548" t="s">
        <v>364</v>
      </c>
      <c r="F1523" s="622">
        <v>133.63999999999999</v>
      </c>
      <c r="G1523" s="623" t="s">
        <v>6635</v>
      </c>
      <c r="H1523" s="548" t="s">
        <v>131</v>
      </c>
      <c r="I1523" s="583" t="s">
        <v>488</v>
      </c>
      <c r="J1523" s="548" t="s">
        <v>114</v>
      </c>
      <c r="K1523" s="583" t="s">
        <v>466</v>
      </c>
      <c r="L1523" s="583" t="s">
        <v>489</v>
      </c>
      <c r="M1523" s="625" t="s">
        <v>114</v>
      </c>
      <c r="N1523" s="620">
        <v>44537</v>
      </c>
      <c r="O1523" s="684" t="s">
        <v>67</v>
      </c>
      <c r="P1523" s="503">
        <f t="shared" si="89"/>
        <v>12</v>
      </c>
      <c r="Q1523" s="503">
        <f t="shared" si="90"/>
        <v>11</v>
      </c>
      <c r="R1523" s="504" t="str">
        <f t="shared" si="91"/>
        <v>Gastos_Gerais</v>
      </c>
      <c r="S1523" s="504" t="str">
        <f>IF(D1523="","",IF(OR(D1523=Plano!$A$1,D1523=Plano!$B$1),"entrada","saída"))</f>
        <v>saída</v>
      </c>
      <c r="T1523" s="511" t="s">
        <v>114</v>
      </c>
      <c r="U1523" s="511" t="s">
        <v>114</v>
      </c>
      <c r="V1523" s="541"/>
    </row>
    <row r="1524" spans="1:22" ht="50.1" customHeight="1" x14ac:dyDescent="0.2">
      <c r="A1524" s="619">
        <f>IF(B1524="","",COUNT('Diário 5º PA'!$A$5:$A$2634)+COUNT('Diário 6º PA'!$A$5:$A$2246)+COUNT('Diário 7º PA'!$A$5:$A$2271)+ROW()-4)</f>
        <v>5470</v>
      </c>
      <c r="B1524" s="620">
        <v>44537</v>
      </c>
      <c r="C1524" s="624">
        <v>44501</v>
      </c>
      <c r="D1524" s="548" t="s">
        <v>99</v>
      </c>
      <c r="E1524" s="548" t="s">
        <v>364</v>
      </c>
      <c r="F1524" s="622">
        <v>615.54</v>
      </c>
      <c r="G1524" s="623" t="s">
        <v>6636</v>
      </c>
      <c r="H1524" s="548" t="s">
        <v>131</v>
      </c>
      <c r="I1524" s="583" t="s">
        <v>488</v>
      </c>
      <c r="J1524" s="548" t="s">
        <v>114</v>
      </c>
      <c r="K1524" s="583" t="s">
        <v>466</v>
      </c>
      <c r="L1524" s="583" t="s">
        <v>489</v>
      </c>
      <c r="M1524" s="625" t="s">
        <v>114</v>
      </c>
      <c r="N1524" s="620">
        <v>44537</v>
      </c>
      <c r="O1524" s="684" t="s">
        <v>67</v>
      </c>
      <c r="P1524" s="503">
        <f t="shared" si="89"/>
        <v>12</v>
      </c>
      <c r="Q1524" s="503">
        <f t="shared" si="90"/>
        <v>11</v>
      </c>
      <c r="R1524" s="504" t="str">
        <f t="shared" si="91"/>
        <v>Gastos_Gerais</v>
      </c>
      <c r="S1524" s="504" t="str">
        <f>IF(D1524="","",IF(OR(D1524=Plano!$A$1,D1524=Plano!$B$1),"entrada","saída"))</f>
        <v>saída</v>
      </c>
      <c r="T1524" s="511" t="s">
        <v>114</v>
      </c>
      <c r="U1524" s="511" t="s">
        <v>114</v>
      </c>
      <c r="V1524" s="541"/>
    </row>
    <row r="1525" spans="1:22" ht="50.1" customHeight="1" x14ac:dyDescent="0.2">
      <c r="A1525" s="619">
        <f>IF(B1525="","",COUNT('Diário 5º PA'!$A$5:$A$2634)+COUNT('Diário 6º PA'!$A$5:$A$2246)+COUNT('Diário 7º PA'!$A$5:$A$2271)+ROW()-4)</f>
        <v>5471</v>
      </c>
      <c r="B1525" s="620">
        <v>44537</v>
      </c>
      <c r="C1525" s="628">
        <v>44531</v>
      </c>
      <c r="D1525" s="548" t="s">
        <v>99</v>
      </c>
      <c r="E1525" s="548" t="s">
        <v>272</v>
      </c>
      <c r="F1525" s="622">
        <v>10.45</v>
      </c>
      <c r="G1525" s="623" t="s">
        <v>6639</v>
      </c>
      <c r="H1525" s="548" t="s">
        <v>114</v>
      </c>
      <c r="I1525" s="583" t="s">
        <v>949</v>
      </c>
      <c r="J1525" s="548" t="s">
        <v>950</v>
      </c>
      <c r="K1525" s="583" t="s">
        <v>951</v>
      </c>
      <c r="L1525" s="583" t="s">
        <v>947</v>
      </c>
      <c r="M1525" s="625" t="s">
        <v>114</v>
      </c>
      <c r="N1525" s="620">
        <v>44537</v>
      </c>
      <c r="O1525" s="684" t="s">
        <v>67</v>
      </c>
      <c r="P1525" s="503">
        <f t="shared" si="89"/>
        <v>12</v>
      </c>
      <c r="Q1525" s="503">
        <f t="shared" si="90"/>
        <v>12</v>
      </c>
      <c r="R1525" s="504" t="str">
        <f t="shared" si="91"/>
        <v>Gastos_Gerais</v>
      </c>
      <c r="S1525" s="504" t="str">
        <f>IF(D1525="","",IF(OR(D1525=Plano!$A$1,D1525=Plano!$B$1),"entrada","saída"))</f>
        <v>saída</v>
      </c>
      <c r="T1525" s="511" t="s">
        <v>114</v>
      </c>
      <c r="U1525" s="511" t="s">
        <v>114</v>
      </c>
      <c r="V1525" s="541"/>
    </row>
    <row r="1526" spans="1:22" ht="50.1" customHeight="1" x14ac:dyDescent="0.2">
      <c r="A1526" s="619">
        <f>IF(B1526="","",COUNT('Diário 5º PA'!$A$5:$A$2634)+COUNT('Diário 6º PA'!$A$5:$A$2246)+COUNT('Diário 7º PA'!$A$5:$A$2271)+ROW()-4)</f>
        <v>5472</v>
      </c>
      <c r="B1526" s="620">
        <v>44537</v>
      </c>
      <c r="C1526" s="628">
        <v>44531</v>
      </c>
      <c r="D1526" s="548" t="s">
        <v>99</v>
      </c>
      <c r="E1526" s="548" t="s">
        <v>272</v>
      </c>
      <c r="F1526" s="622">
        <v>10.45</v>
      </c>
      <c r="G1526" s="623" t="s">
        <v>6184</v>
      </c>
      <c r="H1526" s="548" t="s">
        <v>115</v>
      </c>
      <c r="I1526" s="583" t="s">
        <v>949</v>
      </c>
      <c r="J1526" s="548" t="s">
        <v>950</v>
      </c>
      <c r="K1526" s="583" t="s">
        <v>951</v>
      </c>
      <c r="L1526" s="583" t="s">
        <v>947</v>
      </c>
      <c r="M1526" s="625" t="s">
        <v>114</v>
      </c>
      <c r="N1526" s="620">
        <v>44537</v>
      </c>
      <c r="O1526" s="684" t="s">
        <v>67</v>
      </c>
      <c r="P1526" s="503">
        <f t="shared" si="89"/>
        <v>12</v>
      </c>
      <c r="Q1526" s="503">
        <f t="shared" si="90"/>
        <v>12</v>
      </c>
      <c r="R1526" s="504" t="str">
        <f t="shared" si="91"/>
        <v>Gastos_Gerais</v>
      </c>
      <c r="S1526" s="504" t="str">
        <f>IF(D1526="","",IF(OR(D1526=Plano!$A$1,D1526=Plano!$B$1),"entrada","saída"))</f>
        <v>saída</v>
      </c>
      <c r="T1526" s="511" t="s">
        <v>114</v>
      </c>
      <c r="U1526" s="511" t="s">
        <v>114</v>
      </c>
      <c r="V1526" s="541"/>
    </row>
    <row r="1527" spans="1:22" ht="50.1" customHeight="1" x14ac:dyDescent="0.2">
      <c r="A1527" s="619">
        <f>IF(B1527="","",COUNT('Diário 5º PA'!$A$5:$A$2634)+COUNT('Diário 6º PA'!$A$5:$A$2246)+COUNT('Diário 7º PA'!$A$5:$A$2271)+ROW()-4)</f>
        <v>5473</v>
      </c>
      <c r="B1527" s="620">
        <v>44537</v>
      </c>
      <c r="C1527" s="628">
        <v>44531</v>
      </c>
      <c r="D1527" s="548" t="s">
        <v>99</v>
      </c>
      <c r="E1527" s="548" t="s">
        <v>272</v>
      </c>
      <c r="F1527" s="622">
        <v>10.45</v>
      </c>
      <c r="G1527" s="623" t="s">
        <v>6129</v>
      </c>
      <c r="H1527" s="548" t="s">
        <v>118</v>
      </c>
      <c r="I1527" s="583" t="s">
        <v>949</v>
      </c>
      <c r="J1527" s="548" t="s">
        <v>950</v>
      </c>
      <c r="K1527" s="583" t="s">
        <v>951</v>
      </c>
      <c r="L1527" s="583" t="s">
        <v>947</v>
      </c>
      <c r="M1527" s="625" t="s">
        <v>114</v>
      </c>
      <c r="N1527" s="620">
        <v>44537</v>
      </c>
      <c r="O1527" s="684" t="s">
        <v>67</v>
      </c>
      <c r="P1527" s="503">
        <f t="shared" si="89"/>
        <v>12</v>
      </c>
      <c r="Q1527" s="503">
        <f t="shared" si="90"/>
        <v>12</v>
      </c>
      <c r="R1527" s="504" t="str">
        <f t="shared" si="91"/>
        <v>Gastos_Gerais</v>
      </c>
      <c r="S1527" s="504" t="str">
        <f>IF(D1527="","",IF(OR(D1527=Plano!$A$1,D1527=Plano!$B$1),"entrada","saída"))</f>
        <v>saída</v>
      </c>
      <c r="T1527" s="511" t="s">
        <v>114</v>
      </c>
      <c r="U1527" s="511" t="s">
        <v>114</v>
      </c>
      <c r="V1527" s="541"/>
    </row>
    <row r="1528" spans="1:22" ht="50.1" customHeight="1" x14ac:dyDescent="0.2">
      <c r="A1528" s="619">
        <f>IF(B1528="","",COUNT('Diário 5º PA'!$A$5:$A$2634)+COUNT('Diário 6º PA'!$A$5:$A$2246)+COUNT('Diário 7º PA'!$A$5:$A$2271)+ROW()-4)</f>
        <v>5474</v>
      </c>
      <c r="B1528" s="620">
        <v>44537</v>
      </c>
      <c r="C1528" s="628">
        <v>44531</v>
      </c>
      <c r="D1528" s="548" t="s">
        <v>99</v>
      </c>
      <c r="E1528" s="548" t="s">
        <v>272</v>
      </c>
      <c r="F1528" s="622">
        <v>10.45</v>
      </c>
      <c r="G1528" s="623" t="s">
        <v>6640</v>
      </c>
      <c r="H1528" s="548" t="s">
        <v>116</v>
      </c>
      <c r="I1528" s="583" t="s">
        <v>949</v>
      </c>
      <c r="J1528" s="548" t="s">
        <v>950</v>
      </c>
      <c r="K1528" s="583" t="s">
        <v>951</v>
      </c>
      <c r="L1528" s="583" t="s">
        <v>947</v>
      </c>
      <c r="M1528" s="625" t="s">
        <v>114</v>
      </c>
      <c r="N1528" s="620">
        <v>44537</v>
      </c>
      <c r="O1528" s="684" t="s">
        <v>67</v>
      </c>
      <c r="P1528" s="503">
        <f t="shared" si="89"/>
        <v>12</v>
      </c>
      <c r="Q1528" s="503">
        <f t="shared" si="90"/>
        <v>12</v>
      </c>
      <c r="R1528" s="504" t="str">
        <f t="shared" si="91"/>
        <v>Gastos_Gerais</v>
      </c>
      <c r="S1528" s="504" t="str">
        <f>IF(D1528="","",IF(OR(D1528=Plano!$A$1,D1528=Plano!$B$1),"entrada","saída"))</f>
        <v>saída</v>
      </c>
      <c r="T1528" s="511" t="s">
        <v>114</v>
      </c>
      <c r="U1528" s="511" t="s">
        <v>114</v>
      </c>
      <c r="V1528" s="541"/>
    </row>
    <row r="1529" spans="1:22" ht="104.25" customHeight="1" x14ac:dyDescent="0.2">
      <c r="A1529" s="619">
        <f>IF(B1529="","",COUNT('Diário 5º PA'!$A$5:$A$2634)+COUNT('Diário 6º PA'!$A$5:$A$2246)+COUNT('Diário 7º PA'!$A$5:$A$2271)+ROW()-4)</f>
        <v>5475</v>
      </c>
      <c r="B1529" s="620">
        <v>44537</v>
      </c>
      <c r="C1529" s="624">
        <v>44501</v>
      </c>
      <c r="D1529" s="548" t="s">
        <v>99</v>
      </c>
      <c r="E1529" s="548" t="s">
        <v>364</v>
      </c>
      <c r="F1529" s="622">
        <v>1000</v>
      </c>
      <c r="G1529" s="623" t="s">
        <v>6189</v>
      </c>
      <c r="H1529" s="548" t="s">
        <v>116</v>
      </c>
      <c r="I1529" s="583" t="s">
        <v>6641</v>
      </c>
      <c r="J1529" s="548" t="s">
        <v>6642</v>
      </c>
      <c r="K1529" s="583" t="s">
        <v>6643</v>
      </c>
      <c r="L1529" s="583" t="s">
        <v>1177</v>
      </c>
      <c r="M1529" s="619" t="s">
        <v>114</v>
      </c>
      <c r="N1529" s="620">
        <v>44518</v>
      </c>
      <c r="O1529" s="684" t="s">
        <v>67</v>
      </c>
      <c r="P1529" s="503">
        <f t="shared" si="89"/>
        <v>12</v>
      </c>
      <c r="Q1529" s="503">
        <f t="shared" si="90"/>
        <v>11</v>
      </c>
      <c r="R1529" s="504" t="str">
        <f t="shared" si="91"/>
        <v>Gastos_Gerais</v>
      </c>
      <c r="S1529" s="504" t="str">
        <f>IF(D1529="","",IF(OR(D1529=Plano!$A$1,D1529=Plano!$B$1),"entrada","saída"))</f>
        <v>saída</v>
      </c>
      <c r="T1529" s="505" t="s">
        <v>994</v>
      </c>
      <c r="U1529" s="505">
        <v>2350</v>
      </c>
      <c r="V1529" s="541"/>
    </row>
    <row r="1530" spans="1:22" s="569" customFormat="1" ht="71.25" customHeight="1" x14ac:dyDescent="0.2">
      <c r="A1530" s="619">
        <f>IF(B1530="","",COUNT('Diário 5º PA'!$A$5:$A$2634)+COUNT('Diário 6º PA'!$A$5:$A$2246)+COUNT('Diário 7º PA'!$A$5:$A$2271)+ROW()-4)</f>
        <v>5476</v>
      </c>
      <c r="B1530" s="620">
        <v>44537</v>
      </c>
      <c r="C1530" s="645">
        <v>44501</v>
      </c>
      <c r="D1530" s="646" t="s">
        <v>104</v>
      </c>
      <c r="E1530" s="646" t="s">
        <v>104</v>
      </c>
      <c r="F1530" s="622">
        <v>2500</v>
      </c>
      <c r="G1530" s="623" t="s">
        <v>7129</v>
      </c>
      <c r="H1530" s="646" t="s">
        <v>104</v>
      </c>
      <c r="I1530" s="583" t="s">
        <v>7131</v>
      </c>
      <c r="J1530" s="548" t="s">
        <v>7130</v>
      </c>
      <c r="K1530" s="583" t="s">
        <v>991</v>
      </c>
      <c r="L1530" s="583" t="s">
        <v>992</v>
      </c>
      <c r="M1530" s="619" t="s">
        <v>1049</v>
      </c>
      <c r="N1530" s="620">
        <v>44537</v>
      </c>
      <c r="O1530" s="684" t="s">
        <v>71</v>
      </c>
      <c r="P1530" s="503">
        <f t="shared" si="89"/>
        <v>12</v>
      </c>
      <c r="Q1530" s="503">
        <f t="shared" si="90"/>
        <v>11</v>
      </c>
      <c r="R1530" s="504" t="str">
        <f t="shared" si="91"/>
        <v>Gastos_custeados_por_captação</v>
      </c>
      <c r="S1530" s="504" t="str">
        <f>IF(D1530="","",IF(OR(D1530=Plano!$A$1,D1530=Plano!$B$1),"entrada","saída"))</f>
        <v>saída</v>
      </c>
      <c r="T1530" s="511" t="s">
        <v>1082</v>
      </c>
      <c r="U1530" s="511">
        <v>1782</v>
      </c>
      <c r="V1530" s="541"/>
    </row>
    <row r="1531" spans="1:22" s="569" customFormat="1" ht="66" customHeight="1" x14ac:dyDescent="0.2">
      <c r="A1531" s="619">
        <f>IF(B1531="","",COUNT('Diário 5º PA'!$A$5:$A$2634)+COUNT('Diário 6º PA'!$A$5:$A$2246)+COUNT('Diário 7º PA'!$A$5:$A$2271)+ROW()-4)</f>
        <v>5477</v>
      </c>
      <c r="B1531" s="620">
        <v>44537</v>
      </c>
      <c r="C1531" s="621">
        <v>44531</v>
      </c>
      <c r="D1531" s="548" t="s">
        <v>104</v>
      </c>
      <c r="E1531" s="548" t="s">
        <v>104</v>
      </c>
      <c r="F1531" s="622">
        <v>10.45</v>
      </c>
      <c r="G1531" s="623" t="s">
        <v>5451</v>
      </c>
      <c r="H1531" s="548" t="s">
        <v>104</v>
      </c>
      <c r="I1531" s="583" t="s">
        <v>949</v>
      </c>
      <c r="J1531" s="548" t="s">
        <v>950</v>
      </c>
      <c r="K1531" s="583" t="s">
        <v>951</v>
      </c>
      <c r="L1531" s="583" t="s">
        <v>947</v>
      </c>
      <c r="M1531" s="625" t="s">
        <v>114</v>
      </c>
      <c r="N1531" s="620">
        <v>44537</v>
      </c>
      <c r="O1531" s="684" t="s">
        <v>71</v>
      </c>
      <c r="P1531" s="503">
        <f t="shared" si="89"/>
        <v>12</v>
      </c>
      <c r="Q1531" s="503">
        <f t="shared" si="90"/>
        <v>12</v>
      </c>
      <c r="R1531" s="504" t="str">
        <f t="shared" si="91"/>
        <v>Gastos_custeados_por_captação</v>
      </c>
      <c r="S1531" s="504" t="str">
        <f>IF(D1531="","",IF(OR(D1531=Plano!$A$1,D1531=Plano!$B$1),"entrada","saída"))</f>
        <v>saída</v>
      </c>
      <c r="T1531" s="511" t="s">
        <v>114</v>
      </c>
      <c r="U1531" s="511" t="s">
        <v>114</v>
      </c>
      <c r="V1531" s="541"/>
    </row>
    <row r="1532" spans="1:22" s="573" customFormat="1" ht="123" customHeight="1" x14ac:dyDescent="0.2">
      <c r="A1532" s="619">
        <f>IF(B1532="","",COUNT('Diário 5º PA'!$A$5:$A$2634)+COUNT('Diário 6º PA'!$A$5:$A$2246)+COUNT('Diário 7º PA'!$A$5:$A$2271)+ROW()-4)</f>
        <v>5478</v>
      </c>
      <c r="B1532" s="620">
        <v>44539</v>
      </c>
      <c r="C1532" s="645">
        <v>44501</v>
      </c>
      <c r="D1532" s="646" t="s">
        <v>104</v>
      </c>
      <c r="E1532" s="646" t="s">
        <v>104</v>
      </c>
      <c r="F1532" s="647">
        <v>2850</v>
      </c>
      <c r="G1532" s="648" t="s">
        <v>564</v>
      </c>
      <c r="H1532" s="646" t="s">
        <v>104</v>
      </c>
      <c r="I1532" s="627" t="s">
        <v>1332</v>
      </c>
      <c r="J1532" s="646" t="s">
        <v>565</v>
      </c>
      <c r="K1532" s="583" t="s">
        <v>991</v>
      </c>
      <c r="L1532" s="583" t="s">
        <v>992</v>
      </c>
      <c r="M1532" s="619" t="s">
        <v>2152</v>
      </c>
      <c r="N1532" s="620">
        <v>44537</v>
      </c>
      <c r="O1532" s="684" t="s">
        <v>5370</v>
      </c>
      <c r="P1532" s="503">
        <f t="shared" si="89"/>
        <v>12</v>
      </c>
      <c r="Q1532" s="503">
        <f t="shared" si="90"/>
        <v>11</v>
      </c>
      <c r="R1532" s="504" t="str">
        <f t="shared" si="91"/>
        <v>Gastos_custeados_por_captação</v>
      </c>
      <c r="S1532" s="504" t="str">
        <f>IF(D1532="","",IF(OR(D1532=Plano!$A$1,D1532=Plano!$B$1),"entrada","saída"))</f>
        <v>saída</v>
      </c>
      <c r="T1532" s="511" t="s">
        <v>994</v>
      </c>
      <c r="U1532" s="511">
        <v>1280</v>
      </c>
      <c r="V1532" s="541"/>
    </row>
    <row r="1533" spans="1:22" s="573" customFormat="1" ht="147" customHeight="1" x14ac:dyDescent="0.2">
      <c r="A1533" s="619">
        <f>IF(B1533="","",COUNT('Diário 5º PA'!$A$5:$A$2634)+COUNT('Diário 6º PA'!$A$5:$A$2246)+COUNT('Diário 7º PA'!$A$5:$A$2271)+ROW()-4)</f>
        <v>5479</v>
      </c>
      <c r="B1533" s="620">
        <v>44539</v>
      </c>
      <c r="C1533" s="645">
        <v>44501</v>
      </c>
      <c r="D1533" s="646" t="s">
        <v>104</v>
      </c>
      <c r="E1533" s="646" t="s">
        <v>104</v>
      </c>
      <c r="F1533" s="647">
        <v>5389.45</v>
      </c>
      <c r="G1533" s="648" t="s">
        <v>570</v>
      </c>
      <c r="H1533" s="646" t="s">
        <v>104</v>
      </c>
      <c r="I1533" s="627" t="s">
        <v>1300</v>
      </c>
      <c r="J1533" s="646" t="s">
        <v>572</v>
      </c>
      <c r="K1533" s="583" t="s">
        <v>991</v>
      </c>
      <c r="L1533" s="583" t="s">
        <v>992</v>
      </c>
      <c r="M1533" s="619" t="s">
        <v>1081</v>
      </c>
      <c r="N1533" s="620">
        <v>44537</v>
      </c>
      <c r="O1533" s="684" t="s">
        <v>5370</v>
      </c>
      <c r="P1533" s="503">
        <f t="shared" si="89"/>
        <v>12</v>
      </c>
      <c r="Q1533" s="503">
        <f t="shared" si="90"/>
        <v>11</v>
      </c>
      <c r="R1533" s="504" t="str">
        <f t="shared" si="91"/>
        <v>Gastos_custeados_por_captação</v>
      </c>
      <c r="S1533" s="504" t="str">
        <f>IF(D1533="","",IF(OR(D1533=Plano!$A$1,D1533=Plano!$B$1),"entrada","saída"))</f>
        <v>saída</v>
      </c>
      <c r="T1533" s="511" t="s">
        <v>1082</v>
      </c>
      <c r="U1533" s="511">
        <v>1339</v>
      </c>
      <c r="V1533" s="541"/>
    </row>
    <row r="1534" spans="1:22" s="573" customFormat="1" ht="66" customHeight="1" x14ac:dyDescent="0.2">
      <c r="A1534" s="619">
        <f>IF(B1534="","",COUNT('Diário 5º PA'!$A$5:$A$2634)+COUNT('Diário 6º PA'!$A$5:$A$2246)+COUNT('Diário 7º PA'!$A$5:$A$2271)+ROW()-4)</f>
        <v>5480</v>
      </c>
      <c r="B1534" s="620">
        <v>44539</v>
      </c>
      <c r="C1534" s="645">
        <v>44470</v>
      </c>
      <c r="D1534" s="646" t="s">
        <v>104</v>
      </c>
      <c r="E1534" s="646" t="s">
        <v>104</v>
      </c>
      <c r="F1534" s="647">
        <v>596</v>
      </c>
      <c r="G1534" s="648" t="s">
        <v>7214</v>
      </c>
      <c r="H1534" s="646" t="s">
        <v>104</v>
      </c>
      <c r="I1534" s="631" t="s">
        <v>465</v>
      </c>
      <c r="J1534" s="548" t="s">
        <v>114</v>
      </c>
      <c r="K1534" s="583" t="s">
        <v>466</v>
      </c>
      <c r="L1534" s="583" t="s">
        <v>467</v>
      </c>
      <c r="M1534" s="653">
        <v>221253700928</v>
      </c>
      <c r="N1534" s="644">
        <v>44539</v>
      </c>
      <c r="O1534" s="684" t="s">
        <v>5370</v>
      </c>
      <c r="P1534" s="503">
        <f t="shared" si="89"/>
        <v>12</v>
      </c>
      <c r="Q1534" s="503">
        <f t="shared" si="90"/>
        <v>10</v>
      </c>
      <c r="R1534" s="504" t="str">
        <f t="shared" si="91"/>
        <v>Gastos_custeados_por_captação</v>
      </c>
      <c r="S1534" s="504" t="str">
        <f>IF(D1534="","",IF(OR(D1534=Plano!$A$1,D1534=Plano!$B$1),"entrada","saída"))</f>
        <v>saída</v>
      </c>
      <c r="T1534" s="511" t="s">
        <v>114</v>
      </c>
      <c r="U1534" s="511" t="s">
        <v>114</v>
      </c>
      <c r="V1534" s="541"/>
    </row>
    <row r="1535" spans="1:22" s="573" customFormat="1" ht="66" customHeight="1" x14ac:dyDescent="0.2">
      <c r="A1535" s="619">
        <f>IF(B1535="","",COUNT('Diário 5º PA'!$A$5:$A$2634)+COUNT('Diário 6º PA'!$A$5:$A$2246)+COUNT('Diário 7º PA'!$A$5:$A$2271)+ROW()-4)</f>
        <v>5481</v>
      </c>
      <c r="B1535" s="620">
        <v>44539</v>
      </c>
      <c r="C1535" s="645">
        <v>44470</v>
      </c>
      <c r="D1535" s="646" t="s">
        <v>104</v>
      </c>
      <c r="E1535" s="646" t="s">
        <v>104</v>
      </c>
      <c r="F1535" s="647">
        <v>75</v>
      </c>
      <c r="G1535" s="648" t="s">
        <v>7225</v>
      </c>
      <c r="H1535" s="646" t="s">
        <v>104</v>
      </c>
      <c r="I1535" s="631" t="s">
        <v>465</v>
      </c>
      <c r="J1535" s="548" t="s">
        <v>114</v>
      </c>
      <c r="K1535" s="583" t="s">
        <v>466</v>
      </c>
      <c r="L1535" s="583" t="s">
        <v>467</v>
      </c>
      <c r="M1535" s="653">
        <v>221253701908</v>
      </c>
      <c r="N1535" s="644">
        <v>44539</v>
      </c>
      <c r="O1535" s="684" t="s">
        <v>5370</v>
      </c>
      <c r="P1535" s="503">
        <f t="shared" ref="P1535:P1543" si="98">IF(B1535=0,0,IF(YEAR(B1535)=$Q$1,MONTH(B1535)-$P$1+1,(YEAR(B1535)-$Q$1)*12-$P$1+1+MONTH(B1535)))</f>
        <v>12</v>
      </c>
      <c r="Q1535" s="503">
        <f t="shared" ref="Q1535:Q1543" si="99">IF(C1535=0,0,IF(YEAR(C1535)=$Q$1,MONTH(C1535)-$P$1+1,(YEAR(C1535)-$Q$1)*12-$P$1+1+MONTH(C1535)))</f>
        <v>10</v>
      </c>
      <c r="R1535" s="504" t="str">
        <f t="shared" ref="R1535:R1543" si="100">SUBSTITUTE(D1535," ","_")</f>
        <v>Gastos_custeados_por_captação</v>
      </c>
      <c r="S1535" s="504" t="str">
        <f>IF(D1535="","",IF(OR(D1535=Plano!$A$1,D1535=Plano!$B$1),"entrada","saída"))</f>
        <v>saída</v>
      </c>
      <c r="T1535" s="511" t="s">
        <v>114</v>
      </c>
      <c r="U1535" s="511" t="s">
        <v>114</v>
      </c>
      <c r="V1535" s="541"/>
    </row>
    <row r="1536" spans="1:22" s="573" customFormat="1" ht="66" customHeight="1" x14ac:dyDescent="0.2">
      <c r="A1536" s="619">
        <f>IF(B1536="","",COUNT('Diário 5º PA'!$A$5:$A$2634)+COUNT('Diário 6º PA'!$A$5:$A$2246)+COUNT('Diário 7º PA'!$A$5:$A$2271)+ROW()-4)</f>
        <v>5482</v>
      </c>
      <c r="B1536" s="620">
        <v>44539</v>
      </c>
      <c r="C1536" s="645">
        <v>44470</v>
      </c>
      <c r="D1536" s="646" t="s">
        <v>104</v>
      </c>
      <c r="E1536" s="646" t="s">
        <v>104</v>
      </c>
      <c r="F1536" s="647">
        <v>75</v>
      </c>
      <c r="G1536" s="648" t="s">
        <v>7226</v>
      </c>
      <c r="H1536" s="646" t="s">
        <v>104</v>
      </c>
      <c r="I1536" s="631" t="s">
        <v>465</v>
      </c>
      <c r="J1536" s="548" t="s">
        <v>114</v>
      </c>
      <c r="K1536" s="583" t="s">
        <v>466</v>
      </c>
      <c r="L1536" s="583" t="s">
        <v>467</v>
      </c>
      <c r="M1536" s="653">
        <v>221253702114</v>
      </c>
      <c r="N1536" s="644">
        <v>44539</v>
      </c>
      <c r="O1536" s="684" t="s">
        <v>5370</v>
      </c>
      <c r="P1536" s="503">
        <f t="shared" si="98"/>
        <v>12</v>
      </c>
      <c r="Q1536" s="503">
        <f t="shared" si="99"/>
        <v>10</v>
      </c>
      <c r="R1536" s="504" t="str">
        <f t="shared" si="100"/>
        <v>Gastos_custeados_por_captação</v>
      </c>
      <c r="S1536" s="504" t="str">
        <f>IF(D1536="","",IF(OR(D1536=Plano!$A$1,D1536=Plano!$B$1),"entrada","saída"))</f>
        <v>saída</v>
      </c>
      <c r="T1536" s="511" t="s">
        <v>114</v>
      </c>
      <c r="U1536" s="511" t="s">
        <v>114</v>
      </c>
      <c r="V1536" s="541"/>
    </row>
    <row r="1537" spans="1:22" s="573" customFormat="1" ht="66" customHeight="1" x14ac:dyDescent="0.2">
      <c r="A1537" s="619">
        <f>IF(B1537="","",COUNT('Diário 5º PA'!$A$5:$A$2634)+COUNT('Diário 6º PA'!$A$5:$A$2246)+COUNT('Diário 7º PA'!$A$5:$A$2271)+ROW()-4)</f>
        <v>5483</v>
      </c>
      <c r="B1537" s="620">
        <v>44539</v>
      </c>
      <c r="C1537" s="645">
        <v>44470</v>
      </c>
      <c r="D1537" s="646" t="s">
        <v>104</v>
      </c>
      <c r="E1537" s="646" t="s">
        <v>104</v>
      </c>
      <c r="F1537" s="647">
        <v>125</v>
      </c>
      <c r="G1537" s="648" t="s">
        <v>7227</v>
      </c>
      <c r="H1537" s="646" t="s">
        <v>104</v>
      </c>
      <c r="I1537" s="631" t="s">
        <v>465</v>
      </c>
      <c r="J1537" s="548" t="s">
        <v>114</v>
      </c>
      <c r="K1537" s="583" t="s">
        <v>466</v>
      </c>
      <c r="L1537" s="583" t="s">
        <v>467</v>
      </c>
      <c r="M1537" s="653">
        <v>221253702467</v>
      </c>
      <c r="N1537" s="644">
        <v>44539</v>
      </c>
      <c r="O1537" s="684" t="s">
        <v>5370</v>
      </c>
      <c r="P1537" s="503">
        <f t="shared" si="98"/>
        <v>12</v>
      </c>
      <c r="Q1537" s="503">
        <f t="shared" si="99"/>
        <v>10</v>
      </c>
      <c r="R1537" s="504" t="str">
        <f t="shared" si="100"/>
        <v>Gastos_custeados_por_captação</v>
      </c>
      <c r="S1537" s="504" t="str">
        <f>IF(D1537="","",IF(OR(D1537=Plano!$A$1,D1537=Plano!$B$1),"entrada","saída"))</f>
        <v>saída</v>
      </c>
      <c r="T1537" s="511" t="s">
        <v>114</v>
      </c>
      <c r="U1537" s="511" t="s">
        <v>114</v>
      </c>
      <c r="V1537" s="541"/>
    </row>
    <row r="1538" spans="1:22" s="573" customFormat="1" ht="66" customHeight="1" x14ac:dyDescent="0.2">
      <c r="A1538" s="619">
        <f>IF(B1538="","",COUNT('Diário 5º PA'!$A$5:$A$2634)+COUNT('Diário 6º PA'!$A$5:$A$2246)+COUNT('Diário 7º PA'!$A$5:$A$2271)+ROW()-4)</f>
        <v>5484</v>
      </c>
      <c r="B1538" s="620">
        <v>44539</v>
      </c>
      <c r="C1538" s="645">
        <v>44470</v>
      </c>
      <c r="D1538" s="646" t="s">
        <v>104</v>
      </c>
      <c r="E1538" s="646" t="s">
        <v>104</v>
      </c>
      <c r="F1538" s="647">
        <v>125</v>
      </c>
      <c r="G1538" s="648" t="s">
        <v>7228</v>
      </c>
      <c r="H1538" s="646" t="s">
        <v>104</v>
      </c>
      <c r="I1538" s="631" t="s">
        <v>465</v>
      </c>
      <c r="J1538" s="548" t="s">
        <v>114</v>
      </c>
      <c r="K1538" s="583" t="s">
        <v>466</v>
      </c>
      <c r="L1538" s="583" t="s">
        <v>467</v>
      </c>
      <c r="M1538" s="653">
        <v>221253702629</v>
      </c>
      <c r="N1538" s="644">
        <v>44539</v>
      </c>
      <c r="O1538" s="684" t="s">
        <v>5370</v>
      </c>
      <c r="P1538" s="503">
        <f t="shared" si="98"/>
        <v>12</v>
      </c>
      <c r="Q1538" s="503">
        <f t="shared" si="99"/>
        <v>10</v>
      </c>
      <c r="R1538" s="504" t="str">
        <f t="shared" si="100"/>
        <v>Gastos_custeados_por_captação</v>
      </c>
      <c r="S1538" s="504" t="str">
        <f>IF(D1538="","",IF(OR(D1538=Plano!$A$1,D1538=Plano!$B$1),"entrada","saída"))</f>
        <v>saída</v>
      </c>
      <c r="T1538" s="511" t="s">
        <v>114</v>
      </c>
      <c r="U1538" s="511" t="s">
        <v>114</v>
      </c>
      <c r="V1538" s="541"/>
    </row>
    <row r="1539" spans="1:22" s="573" customFormat="1" ht="66" customHeight="1" x14ac:dyDescent="0.2">
      <c r="A1539" s="619">
        <f>IF(B1539="","",COUNT('Diário 5º PA'!$A$5:$A$2634)+COUNT('Diário 6º PA'!$A$5:$A$2246)+COUNT('Diário 7º PA'!$A$5:$A$2271)+ROW()-4)</f>
        <v>5485</v>
      </c>
      <c r="B1539" s="620">
        <v>44539</v>
      </c>
      <c r="C1539" s="645">
        <v>44470</v>
      </c>
      <c r="D1539" s="646" t="s">
        <v>104</v>
      </c>
      <c r="E1539" s="646" t="s">
        <v>104</v>
      </c>
      <c r="F1539" s="647">
        <v>110</v>
      </c>
      <c r="G1539" s="648" t="s">
        <v>7229</v>
      </c>
      <c r="H1539" s="646" t="s">
        <v>104</v>
      </c>
      <c r="I1539" s="631" t="s">
        <v>465</v>
      </c>
      <c r="J1539" s="548" t="s">
        <v>114</v>
      </c>
      <c r="K1539" s="583" t="s">
        <v>466</v>
      </c>
      <c r="L1539" s="583" t="s">
        <v>467</v>
      </c>
      <c r="M1539" s="653">
        <v>221253703609</v>
      </c>
      <c r="N1539" s="644">
        <v>44539</v>
      </c>
      <c r="O1539" s="684" t="s">
        <v>5370</v>
      </c>
      <c r="P1539" s="503">
        <f t="shared" si="98"/>
        <v>12</v>
      </c>
      <c r="Q1539" s="503">
        <f t="shared" si="99"/>
        <v>10</v>
      </c>
      <c r="R1539" s="504" t="str">
        <f t="shared" si="100"/>
        <v>Gastos_custeados_por_captação</v>
      </c>
      <c r="S1539" s="504" t="str">
        <f>IF(D1539="","",IF(OR(D1539=Plano!$A$1,D1539=Plano!$B$1),"entrada","saída"))</f>
        <v>saída</v>
      </c>
      <c r="T1539" s="511" t="s">
        <v>114</v>
      </c>
      <c r="U1539" s="511" t="s">
        <v>114</v>
      </c>
      <c r="V1539" s="541"/>
    </row>
    <row r="1540" spans="1:22" s="573" customFormat="1" ht="66" customHeight="1" x14ac:dyDescent="0.2">
      <c r="A1540" s="619">
        <f>IF(B1540="","",COUNT('Diário 5º PA'!$A$5:$A$2634)+COUNT('Diário 6º PA'!$A$5:$A$2246)+COUNT('Diário 7º PA'!$A$5:$A$2271)+ROW()-4)</f>
        <v>5486</v>
      </c>
      <c r="B1540" s="620">
        <v>44539</v>
      </c>
      <c r="C1540" s="645">
        <v>44470</v>
      </c>
      <c r="D1540" s="646" t="s">
        <v>104</v>
      </c>
      <c r="E1540" s="646" t="s">
        <v>104</v>
      </c>
      <c r="F1540" s="647">
        <v>46.23</v>
      </c>
      <c r="G1540" s="648" t="s">
        <v>7230</v>
      </c>
      <c r="H1540" s="646" t="s">
        <v>104</v>
      </c>
      <c r="I1540" s="631" t="s">
        <v>465</v>
      </c>
      <c r="J1540" s="548" t="s">
        <v>114</v>
      </c>
      <c r="K1540" s="583" t="s">
        <v>466</v>
      </c>
      <c r="L1540" s="583" t="s">
        <v>467</v>
      </c>
      <c r="M1540" s="653">
        <v>221253703862</v>
      </c>
      <c r="N1540" s="644">
        <v>44539</v>
      </c>
      <c r="O1540" s="684" t="s">
        <v>5370</v>
      </c>
      <c r="P1540" s="503">
        <f t="shared" si="98"/>
        <v>12</v>
      </c>
      <c r="Q1540" s="503">
        <f t="shared" si="99"/>
        <v>10</v>
      </c>
      <c r="R1540" s="504" t="str">
        <f t="shared" si="100"/>
        <v>Gastos_custeados_por_captação</v>
      </c>
      <c r="S1540" s="504" t="str">
        <f>IF(D1540="","",IF(OR(D1540=Plano!$A$1,D1540=Plano!$B$1),"entrada","saída"))</f>
        <v>saída</v>
      </c>
      <c r="T1540" s="511" t="s">
        <v>114</v>
      </c>
      <c r="U1540" s="511" t="s">
        <v>114</v>
      </c>
      <c r="V1540" s="541"/>
    </row>
    <row r="1541" spans="1:22" s="573" customFormat="1" ht="66" customHeight="1" x14ac:dyDescent="0.2">
      <c r="A1541" s="619">
        <f>IF(B1541="","",COUNT('Diário 5º PA'!$A$5:$A$2634)+COUNT('Diário 6º PA'!$A$5:$A$2246)+COUNT('Diário 7º PA'!$A$5:$A$2271)+ROW()-4)</f>
        <v>5487</v>
      </c>
      <c r="B1541" s="620">
        <v>44539</v>
      </c>
      <c r="C1541" s="645">
        <v>44470</v>
      </c>
      <c r="D1541" s="646" t="s">
        <v>104</v>
      </c>
      <c r="E1541" s="646" t="s">
        <v>104</v>
      </c>
      <c r="F1541" s="647">
        <v>150</v>
      </c>
      <c r="G1541" s="648" t="s">
        <v>7231</v>
      </c>
      <c r="H1541" s="646" t="s">
        <v>104</v>
      </c>
      <c r="I1541" s="631" t="s">
        <v>465</v>
      </c>
      <c r="J1541" s="548" t="s">
        <v>114</v>
      </c>
      <c r="K1541" s="583" t="s">
        <v>466</v>
      </c>
      <c r="L1541" s="583" t="s">
        <v>467</v>
      </c>
      <c r="M1541" s="653">
        <v>221253704320</v>
      </c>
      <c r="N1541" s="644">
        <v>44539</v>
      </c>
      <c r="O1541" s="684" t="s">
        <v>5370</v>
      </c>
      <c r="P1541" s="503">
        <f t="shared" si="98"/>
        <v>12</v>
      </c>
      <c r="Q1541" s="503">
        <f t="shared" si="99"/>
        <v>10</v>
      </c>
      <c r="R1541" s="504" t="str">
        <f t="shared" si="100"/>
        <v>Gastos_custeados_por_captação</v>
      </c>
      <c r="S1541" s="504" t="str">
        <f>IF(D1541="","",IF(OR(D1541=Plano!$A$1,D1541=Plano!$B$1),"entrada","saída"))</f>
        <v>saída</v>
      </c>
      <c r="T1541" s="511" t="s">
        <v>114</v>
      </c>
      <c r="U1541" s="511" t="s">
        <v>114</v>
      </c>
      <c r="V1541" s="541"/>
    </row>
    <row r="1542" spans="1:22" s="573" customFormat="1" ht="66" customHeight="1" x14ac:dyDescent="0.2">
      <c r="A1542" s="619">
        <f>IF(B1542="","",COUNT('Diário 5º PA'!$A$5:$A$2634)+COUNT('Diário 6º PA'!$A$5:$A$2246)+COUNT('Diário 7º PA'!$A$5:$A$2271)+ROW()-4)</f>
        <v>5488</v>
      </c>
      <c r="B1542" s="620">
        <v>44539</v>
      </c>
      <c r="C1542" s="645">
        <v>44470</v>
      </c>
      <c r="D1542" s="646" t="s">
        <v>104</v>
      </c>
      <c r="E1542" s="646" t="s">
        <v>104</v>
      </c>
      <c r="F1542" s="647">
        <v>80</v>
      </c>
      <c r="G1542" s="648" t="s">
        <v>7232</v>
      </c>
      <c r="H1542" s="646" t="s">
        <v>104</v>
      </c>
      <c r="I1542" s="631" t="s">
        <v>465</v>
      </c>
      <c r="J1542" s="548" t="s">
        <v>114</v>
      </c>
      <c r="K1542" s="583" t="s">
        <v>466</v>
      </c>
      <c r="L1542" s="583" t="s">
        <v>467</v>
      </c>
      <c r="M1542" s="653">
        <v>221253704591</v>
      </c>
      <c r="N1542" s="644">
        <v>44539</v>
      </c>
      <c r="O1542" s="684" t="s">
        <v>5370</v>
      </c>
      <c r="P1542" s="503">
        <f t="shared" si="98"/>
        <v>12</v>
      </c>
      <c r="Q1542" s="503">
        <f t="shared" si="99"/>
        <v>10</v>
      </c>
      <c r="R1542" s="504" t="str">
        <f t="shared" si="100"/>
        <v>Gastos_custeados_por_captação</v>
      </c>
      <c r="S1542" s="504" t="str">
        <f>IF(D1542="","",IF(OR(D1542=Plano!$A$1,D1542=Plano!$B$1),"entrada","saída"))</f>
        <v>saída</v>
      </c>
      <c r="T1542" s="511" t="s">
        <v>114</v>
      </c>
      <c r="U1542" s="511" t="s">
        <v>114</v>
      </c>
      <c r="V1542" s="541"/>
    </row>
    <row r="1543" spans="1:22" s="573" customFormat="1" ht="66" customHeight="1" x14ac:dyDescent="0.2">
      <c r="A1543" s="619">
        <f>IF(B1543="","",COUNT('Diário 5º PA'!$A$5:$A$2634)+COUNT('Diário 6º PA'!$A$5:$A$2246)+COUNT('Diário 7º PA'!$A$5:$A$2271)+ROW()-4)</f>
        <v>5489</v>
      </c>
      <c r="B1543" s="620">
        <v>44539</v>
      </c>
      <c r="C1543" s="645">
        <v>44470</v>
      </c>
      <c r="D1543" s="646" t="s">
        <v>104</v>
      </c>
      <c r="E1543" s="646" t="s">
        <v>104</v>
      </c>
      <c r="F1543" s="647">
        <v>59</v>
      </c>
      <c r="G1543" s="648" t="s">
        <v>7233</v>
      </c>
      <c r="H1543" s="646" t="s">
        <v>104</v>
      </c>
      <c r="I1543" s="631" t="s">
        <v>465</v>
      </c>
      <c r="J1543" s="548" t="s">
        <v>114</v>
      </c>
      <c r="K1543" s="583" t="s">
        <v>466</v>
      </c>
      <c r="L1543" s="583" t="s">
        <v>467</v>
      </c>
      <c r="M1543" s="653">
        <v>221253706101</v>
      </c>
      <c r="N1543" s="644">
        <v>44539</v>
      </c>
      <c r="O1543" s="684" t="s">
        <v>5370</v>
      </c>
      <c r="P1543" s="503">
        <f t="shared" si="98"/>
        <v>12</v>
      </c>
      <c r="Q1543" s="503">
        <f t="shared" si="99"/>
        <v>10</v>
      </c>
      <c r="R1543" s="504" t="str">
        <f t="shared" si="100"/>
        <v>Gastos_custeados_por_captação</v>
      </c>
      <c r="S1543" s="504" t="str">
        <f>IF(D1543="","",IF(OR(D1543=Plano!$A$1,D1543=Plano!$B$1),"entrada","saída"))</f>
        <v>saída</v>
      </c>
      <c r="T1543" s="511" t="s">
        <v>114</v>
      </c>
      <c r="U1543" s="511" t="s">
        <v>114</v>
      </c>
      <c r="V1543" s="541"/>
    </row>
    <row r="1544" spans="1:22" s="573" customFormat="1" ht="66" customHeight="1" x14ac:dyDescent="0.2">
      <c r="A1544" s="619">
        <f>IF(B1544="","",COUNT('Diário 5º PA'!$A$5:$A$2634)+COUNT('Diário 6º PA'!$A$5:$A$2246)+COUNT('Diário 7º PA'!$A$5:$A$2271)+ROW()-4)</f>
        <v>5490</v>
      </c>
      <c r="B1544" s="620">
        <v>44539</v>
      </c>
      <c r="C1544" s="645">
        <v>44470</v>
      </c>
      <c r="D1544" s="646" t="s">
        <v>104</v>
      </c>
      <c r="E1544" s="646" t="s">
        <v>104</v>
      </c>
      <c r="F1544" s="622">
        <v>110.55</v>
      </c>
      <c r="G1544" s="648" t="s">
        <v>7219</v>
      </c>
      <c r="H1544" s="646" t="s">
        <v>104</v>
      </c>
      <c r="I1544" s="631" t="s">
        <v>465</v>
      </c>
      <c r="J1544" s="548" t="s">
        <v>114</v>
      </c>
      <c r="K1544" s="583" t="s">
        <v>466</v>
      </c>
      <c r="L1544" s="583" t="s">
        <v>467</v>
      </c>
      <c r="M1544" s="653">
        <v>221253706535</v>
      </c>
      <c r="N1544" s="644">
        <v>44539</v>
      </c>
      <c r="O1544" s="684" t="s">
        <v>5370</v>
      </c>
      <c r="P1544" s="503">
        <f t="shared" ref="P1544:P1549" si="101">IF(B1544=0,0,IF(YEAR(B1544)=$Q$1,MONTH(B1544)-$P$1+1,(YEAR(B1544)-$Q$1)*12-$P$1+1+MONTH(B1544)))</f>
        <v>12</v>
      </c>
      <c r="Q1544" s="503">
        <f t="shared" ref="Q1544:Q1549" si="102">IF(C1544=0,0,IF(YEAR(C1544)=$Q$1,MONTH(C1544)-$P$1+1,(YEAR(C1544)-$Q$1)*12-$P$1+1+MONTH(C1544)))</f>
        <v>10</v>
      </c>
      <c r="R1544" s="504" t="str">
        <f t="shared" ref="R1544:R1549" si="103">SUBSTITUTE(D1544," ","_")</f>
        <v>Gastos_custeados_por_captação</v>
      </c>
      <c r="S1544" s="504" t="str">
        <f>IF(D1544="","",IF(OR(D1544=Plano!$A$1,D1544=Plano!$B$1),"entrada","saída"))</f>
        <v>saída</v>
      </c>
      <c r="T1544" s="511" t="s">
        <v>114</v>
      </c>
      <c r="U1544" s="511" t="s">
        <v>114</v>
      </c>
      <c r="V1544" s="541"/>
    </row>
    <row r="1545" spans="1:22" s="573" customFormat="1" ht="66" customHeight="1" x14ac:dyDescent="0.2">
      <c r="A1545" s="619">
        <f>IF(B1545="","",COUNT('Diário 5º PA'!$A$5:$A$2634)+COUNT('Diário 6º PA'!$A$5:$A$2246)+COUNT('Diário 7º PA'!$A$5:$A$2271)+ROW()-4)</f>
        <v>5491</v>
      </c>
      <c r="B1545" s="620">
        <v>44539</v>
      </c>
      <c r="C1545" s="645">
        <v>44470</v>
      </c>
      <c r="D1545" s="646" t="s">
        <v>104</v>
      </c>
      <c r="E1545" s="646" t="s">
        <v>104</v>
      </c>
      <c r="F1545" s="622">
        <v>55.27</v>
      </c>
      <c r="G1545" s="648" t="s">
        <v>7220</v>
      </c>
      <c r="H1545" s="646" t="s">
        <v>104</v>
      </c>
      <c r="I1545" s="631" t="s">
        <v>465</v>
      </c>
      <c r="J1545" s="548" t="s">
        <v>114</v>
      </c>
      <c r="K1545" s="583" t="s">
        <v>466</v>
      </c>
      <c r="L1545" s="583" t="s">
        <v>467</v>
      </c>
      <c r="M1545" s="653">
        <v>221253707000</v>
      </c>
      <c r="N1545" s="644">
        <v>44539</v>
      </c>
      <c r="O1545" s="684" t="s">
        <v>5370</v>
      </c>
      <c r="P1545" s="503">
        <f t="shared" si="101"/>
        <v>12</v>
      </c>
      <c r="Q1545" s="503">
        <f t="shared" si="102"/>
        <v>10</v>
      </c>
      <c r="R1545" s="504" t="str">
        <f t="shared" si="103"/>
        <v>Gastos_custeados_por_captação</v>
      </c>
      <c r="S1545" s="504" t="str">
        <f>IF(D1545="","",IF(OR(D1545=Plano!$A$1,D1545=Plano!$B$1),"entrada","saída"))</f>
        <v>saída</v>
      </c>
      <c r="T1545" s="511" t="s">
        <v>114</v>
      </c>
      <c r="U1545" s="511" t="s">
        <v>114</v>
      </c>
      <c r="V1545" s="541"/>
    </row>
    <row r="1546" spans="1:22" s="573" customFormat="1" ht="66" customHeight="1" x14ac:dyDescent="0.2">
      <c r="A1546" s="619">
        <f>IF(B1546="","",COUNT('Diário 5º PA'!$A$5:$A$2634)+COUNT('Diário 6º PA'!$A$5:$A$2246)+COUNT('Diário 7º PA'!$A$5:$A$2271)+ROW()-4)</f>
        <v>5492</v>
      </c>
      <c r="B1546" s="620">
        <v>44539</v>
      </c>
      <c r="C1546" s="645">
        <v>44470</v>
      </c>
      <c r="D1546" s="646" t="s">
        <v>104</v>
      </c>
      <c r="E1546" s="646" t="s">
        <v>104</v>
      </c>
      <c r="F1546" s="622">
        <v>120</v>
      </c>
      <c r="G1546" s="648" t="s">
        <v>7234</v>
      </c>
      <c r="H1546" s="646" t="s">
        <v>104</v>
      </c>
      <c r="I1546" s="631" t="s">
        <v>465</v>
      </c>
      <c r="J1546" s="548" t="s">
        <v>114</v>
      </c>
      <c r="K1546" s="583" t="s">
        <v>466</v>
      </c>
      <c r="L1546" s="583" t="s">
        <v>467</v>
      </c>
      <c r="M1546" s="653">
        <v>221253707345</v>
      </c>
      <c r="N1546" s="644">
        <v>44539</v>
      </c>
      <c r="O1546" s="684" t="s">
        <v>5370</v>
      </c>
      <c r="P1546" s="503">
        <f t="shared" si="101"/>
        <v>12</v>
      </c>
      <c r="Q1546" s="503">
        <f t="shared" si="102"/>
        <v>10</v>
      </c>
      <c r="R1546" s="504" t="str">
        <f t="shared" si="103"/>
        <v>Gastos_custeados_por_captação</v>
      </c>
      <c r="S1546" s="504" t="str">
        <f>IF(D1546="","",IF(OR(D1546=Plano!$A$1,D1546=Plano!$B$1),"entrada","saída"))</f>
        <v>saída</v>
      </c>
      <c r="T1546" s="511" t="s">
        <v>114</v>
      </c>
      <c r="U1546" s="511" t="s">
        <v>114</v>
      </c>
      <c r="V1546" s="541"/>
    </row>
    <row r="1547" spans="1:22" s="573" customFormat="1" ht="66" customHeight="1" x14ac:dyDescent="0.2">
      <c r="A1547" s="619">
        <f>IF(B1547="","",COUNT('Diário 5º PA'!$A$5:$A$2634)+COUNT('Diário 6º PA'!$A$5:$A$2246)+COUNT('Diário 7º PA'!$A$5:$A$2271)+ROW()-4)</f>
        <v>5493</v>
      </c>
      <c r="B1547" s="620">
        <v>44539</v>
      </c>
      <c r="C1547" s="621">
        <v>44531</v>
      </c>
      <c r="D1547" s="548" t="s">
        <v>104</v>
      </c>
      <c r="E1547" s="548" t="s">
        <v>104</v>
      </c>
      <c r="F1547" s="622">
        <v>10.45</v>
      </c>
      <c r="G1547" s="623" t="s">
        <v>5451</v>
      </c>
      <c r="H1547" s="548" t="s">
        <v>104</v>
      </c>
      <c r="I1547" s="583" t="s">
        <v>949</v>
      </c>
      <c r="J1547" s="548" t="s">
        <v>950</v>
      </c>
      <c r="K1547" s="583" t="s">
        <v>951</v>
      </c>
      <c r="L1547" s="583" t="s">
        <v>947</v>
      </c>
      <c r="M1547" s="625" t="s">
        <v>114</v>
      </c>
      <c r="N1547" s="620">
        <v>44537</v>
      </c>
      <c r="O1547" s="684" t="s">
        <v>5370</v>
      </c>
      <c r="P1547" s="503">
        <f t="shared" si="101"/>
        <v>12</v>
      </c>
      <c r="Q1547" s="503">
        <f t="shared" si="102"/>
        <v>12</v>
      </c>
      <c r="R1547" s="504" t="str">
        <f t="shared" si="103"/>
        <v>Gastos_custeados_por_captação</v>
      </c>
      <c r="S1547" s="504" t="str">
        <f>IF(D1547="","",IF(OR(D1547=Plano!$A$1,D1547=Plano!$B$1),"entrada","saída"))</f>
        <v>saída</v>
      </c>
      <c r="T1547" s="511" t="s">
        <v>114</v>
      </c>
      <c r="U1547" s="511" t="s">
        <v>114</v>
      </c>
      <c r="V1547" s="541"/>
    </row>
    <row r="1548" spans="1:22" s="573" customFormat="1" ht="66" customHeight="1" x14ac:dyDescent="0.2">
      <c r="A1548" s="619">
        <f>IF(B1548="","",COUNT('Diário 5º PA'!$A$5:$A$2634)+COUNT('Diário 6º PA'!$A$5:$A$2246)+COUNT('Diário 7º PA'!$A$5:$A$2271)+ROW()-4)</f>
        <v>5494</v>
      </c>
      <c r="B1548" s="620">
        <v>44539</v>
      </c>
      <c r="C1548" s="621">
        <v>44531</v>
      </c>
      <c r="D1548" s="548" t="s">
        <v>104</v>
      </c>
      <c r="E1548" s="548" t="s">
        <v>104</v>
      </c>
      <c r="F1548" s="622">
        <v>10.45</v>
      </c>
      <c r="G1548" s="623" t="s">
        <v>5451</v>
      </c>
      <c r="H1548" s="548" t="s">
        <v>104</v>
      </c>
      <c r="I1548" s="583" t="s">
        <v>949</v>
      </c>
      <c r="J1548" s="548" t="s">
        <v>950</v>
      </c>
      <c r="K1548" s="583" t="s">
        <v>951</v>
      </c>
      <c r="L1548" s="583" t="s">
        <v>947</v>
      </c>
      <c r="M1548" s="625" t="s">
        <v>114</v>
      </c>
      <c r="N1548" s="620">
        <v>44537</v>
      </c>
      <c r="O1548" s="684" t="s">
        <v>5370</v>
      </c>
      <c r="P1548" s="503">
        <f t="shared" si="101"/>
        <v>12</v>
      </c>
      <c r="Q1548" s="503">
        <f t="shared" si="102"/>
        <v>12</v>
      </c>
      <c r="R1548" s="504" t="str">
        <f t="shared" si="103"/>
        <v>Gastos_custeados_por_captação</v>
      </c>
      <c r="S1548" s="504" t="str">
        <f>IF(D1548="","",IF(OR(D1548=Plano!$A$1,D1548=Plano!$B$1),"entrada","saída"))</f>
        <v>saída</v>
      </c>
      <c r="T1548" s="511" t="s">
        <v>114</v>
      </c>
      <c r="U1548" s="511" t="s">
        <v>114</v>
      </c>
      <c r="V1548" s="541"/>
    </row>
    <row r="1549" spans="1:22" s="573" customFormat="1" ht="66" customHeight="1" x14ac:dyDescent="0.2">
      <c r="A1549" s="619">
        <f>IF(B1549="","",COUNT('Diário 5º PA'!$A$5:$A$2634)+COUNT('Diário 6º PA'!$A$5:$A$2246)+COUNT('Diário 7º PA'!$A$5:$A$2271)+ROW()-4)</f>
        <v>5495</v>
      </c>
      <c r="B1549" s="620">
        <v>44539</v>
      </c>
      <c r="C1549" s="621">
        <v>44531</v>
      </c>
      <c r="D1549" s="548" t="s">
        <v>104</v>
      </c>
      <c r="E1549" s="548" t="s">
        <v>104</v>
      </c>
      <c r="F1549" s="622">
        <v>10.45</v>
      </c>
      <c r="G1549" s="623" t="s">
        <v>5451</v>
      </c>
      <c r="H1549" s="548" t="s">
        <v>104</v>
      </c>
      <c r="I1549" s="583" t="s">
        <v>949</v>
      </c>
      <c r="J1549" s="548" t="s">
        <v>950</v>
      </c>
      <c r="K1549" s="583" t="s">
        <v>951</v>
      </c>
      <c r="L1549" s="583" t="s">
        <v>947</v>
      </c>
      <c r="M1549" s="625" t="s">
        <v>114</v>
      </c>
      <c r="N1549" s="620">
        <v>44537</v>
      </c>
      <c r="O1549" s="684" t="s">
        <v>5370</v>
      </c>
      <c r="P1549" s="503">
        <f t="shared" si="101"/>
        <v>12</v>
      </c>
      <c r="Q1549" s="503">
        <f t="shared" si="102"/>
        <v>12</v>
      </c>
      <c r="R1549" s="504" t="str">
        <f t="shared" si="103"/>
        <v>Gastos_custeados_por_captação</v>
      </c>
      <c r="S1549" s="504" t="str">
        <f>IF(D1549="","",IF(OR(D1549=Plano!$A$1,D1549=Plano!$B$1),"entrada","saída"))</f>
        <v>saída</v>
      </c>
      <c r="T1549" s="511" t="s">
        <v>114</v>
      </c>
      <c r="U1549" s="511" t="s">
        <v>114</v>
      </c>
      <c r="V1549" s="541"/>
    </row>
    <row r="1550" spans="1:22" ht="50.1" customHeight="1" x14ac:dyDescent="0.2">
      <c r="A1550" s="619">
        <f>IF(B1550="","",COUNT('Diário 5º PA'!$A$5:$A$2634)+COUNT('Diário 6º PA'!$A$5:$A$2246)+COUNT('Diário 7º PA'!$A$5:$A$2271)+ROW()-4)</f>
        <v>5496</v>
      </c>
      <c r="B1550" s="620">
        <v>44539</v>
      </c>
      <c r="C1550" s="624">
        <v>44501</v>
      </c>
      <c r="D1550" s="548" t="s">
        <v>99</v>
      </c>
      <c r="E1550" s="548" t="s">
        <v>208</v>
      </c>
      <c r="F1550" s="622">
        <v>-2643.58</v>
      </c>
      <c r="G1550" s="623" t="s">
        <v>6649</v>
      </c>
      <c r="H1550" s="548" t="s">
        <v>115</v>
      </c>
      <c r="I1550" s="583" t="s">
        <v>983</v>
      </c>
      <c r="J1550" s="548" t="s">
        <v>850</v>
      </c>
      <c r="K1550" s="583" t="s">
        <v>946</v>
      </c>
      <c r="L1550" s="583" t="s">
        <v>947</v>
      </c>
      <c r="M1550" s="619" t="s">
        <v>114</v>
      </c>
      <c r="N1550" s="620">
        <v>44539</v>
      </c>
      <c r="O1550" s="684" t="s">
        <v>67</v>
      </c>
      <c r="P1550" s="503">
        <f t="shared" si="89"/>
        <v>12</v>
      </c>
      <c r="Q1550" s="503">
        <f t="shared" si="90"/>
        <v>11</v>
      </c>
      <c r="R1550" s="504" t="str">
        <f t="shared" si="91"/>
        <v>Gastos_Gerais</v>
      </c>
      <c r="S1550" s="504" t="str">
        <f>IF(D1550="","",IF(OR(D1550=Plano!$A$1,D1550=Plano!$B$1),"entrada","saída"))</f>
        <v>saída</v>
      </c>
      <c r="T1550" s="511" t="s">
        <v>114</v>
      </c>
      <c r="U1550" s="511" t="s">
        <v>114</v>
      </c>
      <c r="V1550" s="541"/>
    </row>
    <row r="1551" spans="1:22" ht="50.1" customHeight="1" x14ac:dyDescent="0.2">
      <c r="A1551" s="619">
        <f>IF(B1551="","",COUNT('Diário 5º PA'!$A$5:$A$2634)+COUNT('Diário 6º PA'!$A$5:$A$2246)+COUNT('Diário 7º PA'!$A$5:$A$2271)+ROW()-4)</f>
        <v>5497</v>
      </c>
      <c r="B1551" s="620">
        <v>44539</v>
      </c>
      <c r="C1551" s="624">
        <v>44501</v>
      </c>
      <c r="D1551" s="548" t="s">
        <v>99</v>
      </c>
      <c r="E1551" s="548" t="s">
        <v>212</v>
      </c>
      <c r="F1551" s="622">
        <v>-447.21</v>
      </c>
      <c r="G1551" s="623" t="s">
        <v>6650</v>
      </c>
      <c r="H1551" s="548" t="s">
        <v>115</v>
      </c>
      <c r="I1551" s="583" t="s">
        <v>983</v>
      </c>
      <c r="J1551" s="548" t="s">
        <v>850</v>
      </c>
      <c r="K1551" s="583" t="s">
        <v>946</v>
      </c>
      <c r="L1551" s="583" t="s">
        <v>947</v>
      </c>
      <c r="M1551" s="619" t="s">
        <v>114</v>
      </c>
      <c r="N1551" s="620">
        <v>44539</v>
      </c>
      <c r="O1551" s="684" t="s">
        <v>67</v>
      </c>
      <c r="P1551" s="503">
        <f t="shared" si="89"/>
        <v>12</v>
      </c>
      <c r="Q1551" s="503">
        <f t="shared" si="90"/>
        <v>11</v>
      </c>
      <c r="R1551" s="504" t="str">
        <f t="shared" si="91"/>
        <v>Gastos_Gerais</v>
      </c>
      <c r="S1551" s="504" t="str">
        <f>IF(D1551="","",IF(OR(D1551=Plano!$A$1,D1551=Plano!$B$1),"entrada","saída"))</f>
        <v>saída</v>
      </c>
      <c r="T1551" s="511" t="s">
        <v>114</v>
      </c>
      <c r="U1551" s="511" t="s">
        <v>114</v>
      </c>
      <c r="V1551" s="541"/>
    </row>
    <row r="1552" spans="1:22" ht="50.1" customHeight="1" x14ac:dyDescent="0.2">
      <c r="A1552" s="619">
        <f>IF(B1552="","",COUNT('Diário 5º PA'!$A$5:$A$2634)+COUNT('Diário 6º PA'!$A$5:$A$2246)+COUNT('Diário 7º PA'!$A$5:$A$2271)+ROW()-4)</f>
        <v>5498</v>
      </c>
      <c r="B1552" s="620">
        <v>44539</v>
      </c>
      <c r="C1552" s="624">
        <v>44470</v>
      </c>
      <c r="D1552" s="548" t="s">
        <v>99</v>
      </c>
      <c r="E1552" s="548" t="s">
        <v>336</v>
      </c>
      <c r="F1552" s="622">
        <v>1600</v>
      </c>
      <c r="G1552" s="623" t="s">
        <v>5728</v>
      </c>
      <c r="H1552" s="548" t="s">
        <v>118</v>
      </c>
      <c r="I1552" s="583" t="s">
        <v>1022</v>
      </c>
      <c r="J1552" s="548" t="s">
        <v>833</v>
      </c>
      <c r="K1552" s="583" t="s">
        <v>1015</v>
      </c>
      <c r="L1552" s="583" t="s">
        <v>992</v>
      </c>
      <c r="M1552" s="619">
        <v>262</v>
      </c>
      <c r="N1552" s="620">
        <v>44536</v>
      </c>
      <c r="O1552" s="684" t="s">
        <v>67</v>
      </c>
      <c r="P1552" s="503">
        <f t="shared" si="89"/>
        <v>12</v>
      </c>
      <c r="Q1552" s="503">
        <f t="shared" si="90"/>
        <v>10</v>
      </c>
      <c r="R1552" s="504" t="str">
        <f t="shared" si="91"/>
        <v>Gastos_Gerais</v>
      </c>
      <c r="S1552" s="504" t="str">
        <f>IF(D1552="","",IF(OR(D1552=Plano!$A$1,D1552=Plano!$B$1),"entrada","saída"))</f>
        <v>saída</v>
      </c>
      <c r="T1552" s="505" t="s">
        <v>994</v>
      </c>
      <c r="U1552" s="505">
        <v>2209</v>
      </c>
      <c r="V1552" s="541"/>
    </row>
    <row r="1553" spans="1:22" ht="50.1" customHeight="1" x14ac:dyDescent="0.2">
      <c r="A1553" s="619">
        <f>IF(B1553="","",COUNT('Diário 5º PA'!$A$5:$A$2634)+COUNT('Diário 6º PA'!$A$5:$A$2246)+COUNT('Diário 7º PA'!$A$5:$A$2271)+ROW()-4)</f>
        <v>5499</v>
      </c>
      <c r="B1553" s="620">
        <v>44539</v>
      </c>
      <c r="C1553" s="624">
        <v>44501</v>
      </c>
      <c r="D1553" s="548" t="s">
        <v>99</v>
      </c>
      <c r="E1553" s="548" t="s">
        <v>216</v>
      </c>
      <c r="F1553" s="622">
        <v>110.05</v>
      </c>
      <c r="G1553" s="623" t="s">
        <v>5742</v>
      </c>
      <c r="H1553" s="548" t="s">
        <v>129</v>
      </c>
      <c r="I1553" s="583" t="s">
        <v>513</v>
      </c>
      <c r="J1553" s="548" t="s">
        <v>514</v>
      </c>
      <c r="K1553" s="583" t="s">
        <v>696</v>
      </c>
      <c r="L1553" s="583" t="s">
        <v>697</v>
      </c>
      <c r="M1553" s="619">
        <v>68157062</v>
      </c>
      <c r="N1553" s="620">
        <v>44518</v>
      </c>
      <c r="O1553" s="684" t="s">
        <v>67</v>
      </c>
      <c r="P1553" s="503">
        <f t="shared" si="89"/>
        <v>12</v>
      </c>
      <c r="Q1553" s="503">
        <f t="shared" si="90"/>
        <v>11</v>
      </c>
      <c r="R1553" s="504" t="str">
        <f t="shared" si="91"/>
        <v>Gastos_Gerais</v>
      </c>
      <c r="S1553" s="504" t="str">
        <f>IF(D1553="","",IF(OR(D1553=Plano!$A$1,D1553=Plano!$B$1),"entrada","saída"))</f>
        <v>saída</v>
      </c>
      <c r="T1553" s="505" t="s">
        <v>114</v>
      </c>
      <c r="U1553" s="505" t="s">
        <v>114</v>
      </c>
      <c r="V1553" s="541"/>
    </row>
    <row r="1554" spans="1:22" ht="50.1" customHeight="1" x14ac:dyDescent="0.2">
      <c r="A1554" s="619">
        <f>IF(B1554="","",COUNT('Diário 5º PA'!$A$5:$A$2634)+COUNT('Diário 6º PA'!$A$5:$A$2246)+COUNT('Diário 7º PA'!$A$5:$A$2271)+ROW()-4)</f>
        <v>5500</v>
      </c>
      <c r="B1554" s="620">
        <v>44539</v>
      </c>
      <c r="C1554" s="624">
        <v>44501</v>
      </c>
      <c r="D1554" s="548" t="s">
        <v>99</v>
      </c>
      <c r="E1554" s="548" t="s">
        <v>208</v>
      </c>
      <c r="F1554" s="622">
        <v>8128.76</v>
      </c>
      <c r="G1554" s="623" t="s">
        <v>5739</v>
      </c>
      <c r="H1554" s="548" t="s">
        <v>115</v>
      </c>
      <c r="I1554" s="583" t="s">
        <v>518</v>
      </c>
      <c r="J1554" s="548" t="s">
        <v>519</v>
      </c>
      <c r="K1554" s="583" t="s">
        <v>560</v>
      </c>
      <c r="L1554" s="583" t="s">
        <v>947</v>
      </c>
      <c r="M1554" s="619">
        <v>12</v>
      </c>
      <c r="N1554" s="620">
        <v>44524</v>
      </c>
      <c r="O1554" s="684" t="s">
        <v>67</v>
      </c>
      <c r="P1554" s="503">
        <f t="shared" si="89"/>
        <v>12</v>
      </c>
      <c r="Q1554" s="503">
        <f t="shared" si="90"/>
        <v>11</v>
      </c>
      <c r="R1554" s="504" t="str">
        <f t="shared" si="91"/>
        <v>Gastos_Gerais</v>
      </c>
      <c r="S1554" s="504" t="str">
        <f>IF(D1554="","",IF(OR(D1554=Plano!$A$1,D1554=Plano!$B$1),"entrada","saída"))</f>
        <v>saída</v>
      </c>
      <c r="T1554" s="511" t="s">
        <v>114</v>
      </c>
      <c r="U1554" s="511" t="s">
        <v>114</v>
      </c>
      <c r="V1554" s="541"/>
    </row>
    <row r="1555" spans="1:22" ht="50.1" customHeight="1" x14ac:dyDescent="0.2">
      <c r="A1555" s="619">
        <f>IF(B1555="","",COUNT('Diário 5º PA'!$A$5:$A$2634)+COUNT('Diário 6º PA'!$A$5:$A$2246)+COUNT('Diário 7º PA'!$A$5:$A$2271)+ROW()-4)</f>
        <v>5501</v>
      </c>
      <c r="B1555" s="620">
        <v>44539</v>
      </c>
      <c r="C1555" s="624">
        <v>44501</v>
      </c>
      <c r="D1555" s="548" t="s">
        <v>99</v>
      </c>
      <c r="E1555" s="548" t="s">
        <v>212</v>
      </c>
      <c r="F1555" s="622">
        <v>1693.33</v>
      </c>
      <c r="G1555" s="623" t="s">
        <v>5723</v>
      </c>
      <c r="H1555" s="548" t="s">
        <v>115</v>
      </c>
      <c r="I1555" s="583" t="s">
        <v>518</v>
      </c>
      <c r="J1555" s="548" t="s">
        <v>519</v>
      </c>
      <c r="K1555" s="583" t="s">
        <v>560</v>
      </c>
      <c r="L1555" s="583" t="s">
        <v>947</v>
      </c>
      <c r="M1555" s="619">
        <v>12</v>
      </c>
      <c r="N1555" s="620">
        <v>44524</v>
      </c>
      <c r="O1555" s="684" t="s">
        <v>67</v>
      </c>
      <c r="P1555" s="503">
        <f t="shared" si="89"/>
        <v>12</v>
      </c>
      <c r="Q1555" s="503">
        <f t="shared" si="90"/>
        <v>11</v>
      </c>
      <c r="R1555" s="504" t="str">
        <f t="shared" si="91"/>
        <v>Gastos_Gerais</v>
      </c>
      <c r="S1555" s="504" t="str">
        <f>IF(D1555="","",IF(OR(D1555=Plano!$A$1,D1555=Plano!$B$1),"entrada","saída"))</f>
        <v>saída</v>
      </c>
      <c r="T1555" s="511" t="s">
        <v>114</v>
      </c>
      <c r="U1555" s="511" t="s">
        <v>114</v>
      </c>
      <c r="V1555" s="541"/>
    </row>
    <row r="1556" spans="1:22" ht="50.1" customHeight="1" x14ac:dyDescent="0.2">
      <c r="A1556" s="619">
        <f>IF(B1556="","",COUNT('Diário 5º PA'!$A$5:$A$2634)+COUNT('Diário 6º PA'!$A$5:$A$2246)+COUNT('Diário 7º PA'!$A$5:$A$2271)+ROW()-4)</f>
        <v>5502</v>
      </c>
      <c r="B1556" s="620">
        <v>44539</v>
      </c>
      <c r="C1556" s="624">
        <v>44501</v>
      </c>
      <c r="D1556" s="548" t="s">
        <v>99</v>
      </c>
      <c r="E1556" s="548" t="s">
        <v>336</v>
      </c>
      <c r="F1556" s="622">
        <v>1150</v>
      </c>
      <c r="G1556" s="623" t="s">
        <v>6269</v>
      </c>
      <c r="H1556" s="548" t="s">
        <v>116</v>
      </c>
      <c r="I1556" s="583" t="s">
        <v>4768</v>
      </c>
      <c r="J1556" s="548" t="s">
        <v>4769</v>
      </c>
      <c r="K1556" s="583" t="s">
        <v>991</v>
      </c>
      <c r="L1556" s="583" t="s">
        <v>992</v>
      </c>
      <c r="M1556" s="619" t="s">
        <v>2429</v>
      </c>
      <c r="N1556" s="620">
        <v>44537</v>
      </c>
      <c r="O1556" s="684" t="s">
        <v>67</v>
      </c>
      <c r="P1556" s="503">
        <f t="shared" si="89"/>
        <v>12</v>
      </c>
      <c r="Q1556" s="503">
        <f t="shared" si="90"/>
        <v>11</v>
      </c>
      <c r="R1556" s="504" t="str">
        <f t="shared" si="91"/>
        <v>Gastos_Gerais</v>
      </c>
      <c r="S1556" s="504" t="str">
        <f>IF(D1556="","",IF(OR(D1556=Plano!$A$1,D1556=Plano!$B$1),"entrada","saída"))</f>
        <v>saída</v>
      </c>
      <c r="T1556" s="505" t="s">
        <v>994</v>
      </c>
      <c r="U1556" s="505">
        <v>2451</v>
      </c>
      <c r="V1556" s="541"/>
    </row>
    <row r="1557" spans="1:22" ht="50.1" customHeight="1" x14ac:dyDescent="0.2">
      <c r="A1557" s="619">
        <f>IF(B1557="","",COUNT('Diário 5º PA'!$A$5:$A$2634)+COUNT('Diário 6º PA'!$A$5:$A$2246)+COUNT('Diário 7º PA'!$A$5:$A$2271)+ROW()-4)</f>
        <v>5503</v>
      </c>
      <c r="B1557" s="620">
        <v>44539</v>
      </c>
      <c r="C1557" s="624">
        <v>44409</v>
      </c>
      <c r="D1557" s="548" t="s">
        <v>99</v>
      </c>
      <c r="E1557" s="548" t="s">
        <v>364</v>
      </c>
      <c r="F1557" s="622">
        <v>240</v>
      </c>
      <c r="G1557" s="623" t="s">
        <v>6209</v>
      </c>
      <c r="H1557" s="548" t="s">
        <v>116</v>
      </c>
      <c r="I1557" s="583" t="s">
        <v>465</v>
      </c>
      <c r="J1557" s="548" t="s">
        <v>114</v>
      </c>
      <c r="K1557" s="583" t="s">
        <v>466</v>
      </c>
      <c r="L1557" s="583" t="s">
        <v>467</v>
      </c>
      <c r="M1557" s="625">
        <v>221253652346</v>
      </c>
      <c r="N1557" s="620">
        <v>44539</v>
      </c>
      <c r="O1557" s="684" t="s">
        <v>67</v>
      </c>
      <c r="P1557" s="503">
        <f t="shared" si="89"/>
        <v>12</v>
      </c>
      <c r="Q1557" s="503">
        <f t="shared" si="90"/>
        <v>8</v>
      </c>
      <c r="R1557" s="504" t="str">
        <f t="shared" si="91"/>
        <v>Gastos_Gerais</v>
      </c>
      <c r="S1557" s="504" t="str">
        <f>IF(D1557="","",IF(OR(D1557=Plano!$A$1,D1557=Plano!$B$1),"entrada","saída"))</f>
        <v>saída</v>
      </c>
      <c r="T1557" s="511" t="s">
        <v>114</v>
      </c>
      <c r="U1557" s="511" t="s">
        <v>114</v>
      </c>
      <c r="V1557" s="541"/>
    </row>
    <row r="1558" spans="1:22" ht="50.1" customHeight="1" x14ac:dyDescent="0.2">
      <c r="A1558" s="619">
        <f>IF(B1558="","",COUNT('Diário 5º PA'!$A$5:$A$2634)+COUNT('Diário 6º PA'!$A$5:$A$2246)+COUNT('Diário 7º PA'!$A$5:$A$2271)+ROW()-4)</f>
        <v>5504</v>
      </c>
      <c r="B1558" s="620">
        <v>44539</v>
      </c>
      <c r="C1558" s="624">
        <v>44470</v>
      </c>
      <c r="D1558" s="548" t="s">
        <v>99</v>
      </c>
      <c r="E1558" s="548" t="s">
        <v>364</v>
      </c>
      <c r="F1558" s="622">
        <v>120</v>
      </c>
      <c r="G1558" s="623" t="s">
        <v>6431</v>
      </c>
      <c r="H1558" s="548" t="s">
        <v>116</v>
      </c>
      <c r="I1558" s="583" t="s">
        <v>465</v>
      </c>
      <c r="J1558" s="548" t="s">
        <v>114</v>
      </c>
      <c r="K1558" s="583" t="s">
        <v>466</v>
      </c>
      <c r="L1558" s="583" t="s">
        <v>467</v>
      </c>
      <c r="M1558" s="625">
        <v>221253653741</v>
      </c>
      <c r="N1558" s="620">
        <v>44539</v>
      </c>
      <c r="O1558" s="684" t="s">
        <v>67</v>
      </c>
      <c r="P1558" s="503">
        <f t="shared" si="89"/>
        <v>12</v>
      </c>
      <c r="Q1558" s="503">
        <f t="shared" si="90"/>
        <v>10</v>
      </c>
      <c r="R1558" s="504" t="str">
        <f t="shared" si="91"/>
        <v>Gastos_Gerais</v>
      </c>
      <c r="S1558" s="504" t="str">
        <f>IF(D1558="","",IF(OR(D1558=Plano!$A$1,D1558=Plano!$B$1),"entrada","saída"))</f>
        <v>saída</v>
      </c>
      <c r="T1558" s="511" t="s">
        <v>114</v>
      </c>
      <c r="U1558" s="511" t="s">
        <v>114</v>
      </c>
      <c r="V1558" s="541"/>
    </row>
    <row r="1559" spans="1:22" ht="50.1" customHeight="1" x14ac:dyDescent="0.2">
      <c r="A1559" s="619">
        <f>IF(B1559="","",COUNT('Diário 5º PA'!$A$5:$A$2634)+COUNT('Diário 6º PA'!$A$5:$A$2246)+COUNT('Diário 7º PA'!$A$5:$A$2271)+ROW()-4)</f>
        <v>5505</v>
      </c>
      <c r="B1559" s="620">
        <v>44539</v>
      </c>
      <c r="C1559" s="624">
        <v>44470</v>
      </c>
      <c r="D1559" s="548" t="s">
        <v>99</v>
      </c>
      <c r="E1559" s="548" t="s">
        <v>358</v>
      </c>
      <c r="F1559" s="622">
        <v>136</v>
      </c>
      <c r="G1559" s="623" t="s">
        <v>6086</v>
      </c>
      <c r="H1559" s="548" t="s">
        <v>131</v>
      </c>
      <c r="I1559" s="583" t="s">
        <v>465</v>
      </c>
      <c r="J1559" s="548" t="s">
        <v>114</v>
      </c>
      <c r="K1559" s="583" t="s">
        <v>466</v>
      </c>
      <c r="L1559" s="583" t="s">
        <v>467</v>
      </c>
      <c r="M1559" s="625">
        <v>221253654209</v>
      </c>
      <c r="N1559" s="620">
        <v>44539</v>
      </c>
      <c r="O1559" s="684" t="s">
        <v>67</v>
      </c>
      <c r="P1559" s="503">
        <f t="shared" si="89"/>
        <v>12</v>
      </c>
      <c r="Q1559" s="503">
        <f t="shared" si="90"/>
        <v>10</v>
      </c>
      <c r="R1559" s="504" t="str">
        <f t="shared" si="91"/>
        <v>Gastos_Gerais</v>
      </c>
      <c r="S1559" s="504" t="str">
        <f>IF(D1559="","",IF(OR(D1559=Plano!$A$1,D1559=Plano!$B$1),"entrada","saída"))</f>
        <v>saída</v>
      </c>
      <c r="T1559" s="511" t="s">
        <v>114</v>
      </c>
      <c r="U1559" s="511" t="s">
        <v>114</v>
      </c>
      <c r="V1559" s="541"/>
    </row>
    <row r="1560" spans="1:22" ht="50.1" customHeight="1" x14ac:dyDescent="0.2">
      <c r="A1560" s="619">
        <f>IF(B1560="","",COUNT('Diário 5º PA'!$A$5:$A$2634)+COUNT('Diário 6º PA'!$A$5:$A$2246)+COUNT('Diário 7º PA'!$A$5:$A$2271)+ROW()-4)</f>
        <v>5506</v>
      </c>
      <c r="B1560" s="620">
        <v>44539</v>
      </c>
      <c r="C1560" s="628">
        <v>44470</v>
      </c>
      <c r="D1560" s="548" t="s">
        <v>99</v>
      </c>
      <c r="E1560" s="548" t="s">
        <v>370</v>
      </c>
      <c r="F1560" s="622">
        <v>62.5</v>
      </c>
      <c r="G1560" s="623" t="s">
        <v>6019</v>
      </c>
      <c r="H1560" s="548" t="s">
        <v>125</v>
      </c>
      <c r="I1560" s="583" t="s">
        <v>465</v>
      </c>
      <c r="J1560" s="548" t="s">
        <v>114</v>
      </c>
      <c r="K1560" s="583" t="s">
        <v>466</v>
      </c>
      <c r="L1560" s="583" t="s">
        <v>467</v>
      </c>
      <c r="M1560" s="625">
        <v>221253654551</v>
      </c>
      <c r="N1560" s="620">
        <v>44539</v>
      </c>
      <c r="O1560" s="684" t="s">
        <v>67</v>
      </c>
      <c r="P1560" s="503">
        <f t="shared" si="89"/>
        <v>12</v>
      </c>
      <c r="Q1560" s="503">
        <f t="shared" si="90"/>
        <v>10</v>
      </c>
      <c r="R1560" s="504" t="str">
        <f t="shared" si="91"/>
        <v>Gastos_Gerais</v>
      </c>
      <c r="S1560" s="504" t="str">
        <f>IF(D1560="","",IF(OR(D1560=Plano!$A$1,D1560=Plano!$B$1),"entrada","saída"))</f>
        <v>saída</v>
      </c>
      <c r="T1560" s="511" t="s">
        <v>114</v>
      </c>
      <c r="U1560" s="511" t="s">
        <v>114</v>
      </c>
      <c r="V1560" s="541"/>
    </row>
    <row r="1561" spans="1:22" ht="50.1" customHeight="1" x14ac:dyDescent="0.2">
      <c r="A1561" s="619">
        <f>IF(B1561="","",COUNT('Diário 5º PA'!$A$5:$A$2634)+COUNT('Diário 6º PA'!$A$5:$A$2246)+COUNT('Diário 7º PA'!$A$5:$A$2271)+ROW()-4)</f>
        <v>5507</v>
      </c>
      <c r="B1561" s="620">
        <v>44539</v>
      </c>
      <c r="C1561" s="628">
        <v>44470</v>
      </c>
      <c r="D1561" s="548" t="s">
        <v>99</v>
      </c>
      <c r="E1561" s="548" t="s">
        <v>336</v>
      </c>
      <c r="F1561" s="622">
        <v>80</v>
      </c>
      <c r="G1561" s="623" t="s">
        <v>6089</v>
      </c>
      <c r="H1561" s="548" t="s">
        <v>118</v>
      </c>
      <c r="I1561" s="583" t="s">
        <v>465</v>
      </c>
      <c r="J1561" s="548" t="s">
        <v>114</v>
      </c>
      <c r="K1561" s="583" t="s">
        <v>466</v>
      </c>
      <c r="L1561" s="583" t="s">
        <v>467</v>
      </c>
      <c r="M1561" s="625">
        <v>221253655108</v>
      </c>
      <c r="N1561" s="620">
        <v>44539</v>
      </c>
      <c r="O1561" s="684" t="s">
        <v>67</v>
      </c>
      <c r="P1561" s="503">
        <f t="shared" si="89"/>
        <v>12</v>
      </c>
      <c r="Q1561" s="503">
        <f t="shared" si="90"/>
        <v>10</v>
      </c>
      <c r="R1561" s="504" t="str">
        <f t="shared" si="91"/>
        <v>Gastos_Gerais</v>
      </c>
      <c r="S1561" s="504" t="str">
        <f>IF(D1561="","",IF(OR(D1561=Plano!$A$1,D1561=Plano!$B$1),"entrada","saída"))</f>
        <v>saída</v>
      </c>
      <c r="T1561" s="511" t="s">
        <v>114</v>
      </c>
      <c r="U1561" s="511" t="s">
        <v>114</v>
      </c>
      <c r="V1561" s="541"/>
    </row>
    <row r="1562" spans="1:22" ht="50.1" customHeight="1" x14ac:dyDescent="0.2">
      <c r="A1562" s="619">
        <f>IF(B1562="","",COUNT('Diário 5º PA'!$A$5:$A$2634)+COUNT('Diário 6º PA'!$A$5:$A$2246)+COUNT('Diário 7º PA'!$A$5:$A$2271)+ROW()-4)</f>
        <v>5508</v>
      </c>
      <c r="B1562" s="620">
        <v>44539</v>
      </c>
      <c r="C1562" s="624">
        <v>44470</v>
      </c>
      <c r="D1562" s="548" t="s">
        <v>99</v>
      </c>
      <c r="E1562" s="548" t="s">
        <v>358</v>
      </c>
      <c r="F1562" s="622">
        <v>120</v>
      </c>
      <c r="G1562" s="623" t="s">
        <v>6093</v>
      </c>
      <c r="H1562" s="548" t="s">
        <v>131</v>
      </c>
      <c r="I1562" s="583" t="s">
        <v>465</v>
      </c>
      <c r="J1562" s="548" t="s">
        <v>114</v>
      </c>
      <c r="K1562" s="583" t="s">
        <v>466</v>
      </c>
      <c r="L1562" s="583" t="s">
        <v>467</v>
      </c>
      <c r="M1562" s="625">
        <v>221253655280</v>
      </c>
      <c r="N1562" s="620">
        <v>44539</v>
      </c>
      <c r="O1562" s="684" t="s">
        <v>67</v>
      </c>
      <c r="P1562" s="503">
        <f t="shared" si="89"/>
        <v>12</v>
      </c>
      <c r="Q1562" s="503">
        <f t="shared" si="90"/>
        <v>10</v>
      </c>
      <c r="R1562" s="504" t="str">
        <f t="shared" si="91"/>
        <v>Gastos_Gerais</v>
      </c>
      <c r="S1562" s="504" t="str">
        <f>IF(D1562="","",IF(OR(D1562=Plano!$A$1,D1562=Plano!$B$1),"entrada","saída"))</f>
        <v>saída</v>
      </c>
      <c r="T1562" s="511" t="s">
        <v>114</v>
      </c>
      <c r="U1562" s="511" t="s">
        <v>114</v>
      </c>
      <c r="V1562" s="541"/>
    </row>
    <row r="1563" spans="1:22" ht="50.1" customHeight="1" x14ac:dyDescent="0.2">
      <c r="A1563" s="619">
        <f>IF(B1563="","",COUNT('Diário 5º PA'!$A$5:$A$2634)+COUNT('Diário 6º PA'!$A$5:$A$2246)+COUNT('Diário 7º PA'!$A$5:$A$2271)+ROW()-4)</f>
        <v>5509</v>
      </c>
      <c r="B1563" s="620">
        <v>44539</v>
      </c>
      <c r="C1563" s="624">
        <v>44470</v>
      </c>
      <c r="D1563" s="548" t="s">
        <v>99</v>
      </c>
      <c r="E1563" s="548" t="s">
        <v>358</v>
      </c>
      <c r="F1563" s="622">
        <v>136</v>
      </c>
      <c r="G1563" s="623" t="s">
        <v>6097</v>
      </c>
      <c r="H1563" s="548" t="s">
        <v>131</v>
      </c>
      <c r="I1563" s="583" t="s">
        <v>465</v>
      </c>
      <c r="J1563" s="548" t="s">
        <v>114</v>
      </c>
      <c r="K1563" s="583" t="s">
        <v>466</v>
      </c>
      <c r="L1563" s="583" t="s">
        <v>467</v>
      </c>
      <c r="M1563" s="625">
        <v>221253656090</v>
      </c>
      <c r="N1563" s="620">
        <v>44539</v>
      </c>
      <c r="O1563" s="684" t="s">
        <v>67</v>
      </c>
      <c r="P1563" s="503">
        <f t="shared" si="89"/>
        <v>12</v>
      </c>
      <c r="Q1563" s="503">
        <f t="shared" si="90"/>
        <v>10</v>
      </c>
      <c r="R1563" s="504" t="str">
        <f t="shared" si="91"/>
        <v>Gastos_Gerais</v>
      </c>
      <c r="S1563" s="504" t="str">
        <f>IF(D1563="","",IF(OR(D1563=Plano!$A$1,D1563=Plano!$B$1),"entrada","saída"))</f>
        <v>saída</v>
      </c>
      <c r="T1563" s="511" t="s">
        <v>114</v>
      </c>
      <c r="U1563" s="511" t="s">
        <v>114</v>
      </c>
      <c r="V1563" s="541"/>
    </row>
    <row r="1564" spans="1:22" ht="50.1" customHeight="1" x14ac:dyDescent="0.2">
      <c r="A1564" s="619">
        <f>IF(B1564="","",COUNT('Diário 5º PA'!$A$5:$A$2634)+COUNT('Diário 6º PA'!$A$5:$A$2246)+COUNT('Diário 7º PA'!$A$5:$A$2271)+ROW()-4)</f>
        <v>5510</v>
      </c>
      <c r="B1564" s="620">
        <v>44539</v>
      </c>
      <c r="C1564" s="624">
        <v>44470</v>
      </c>
      <c r="D1564" s="548" t="s">
        <v>99</v>
      </c>
      <c r="E1564" s="548" t="s">
        <v>330</v>
      </c>
      <c r="F1564" s="622">
        <v>100</v>
      </c>
      <c r="G1564" s="623" t="s">
        <v>6156</v>
      </c>
      <c r="H1564" s="548" t="s">
        <v>125</v>
      </c>
      <c r="I1564" s="583" t="s">
        <v>465</v>
      </c>
      <c r="J1564" s="548" t="s">
        <v>114</v>
      </c>
      <c r="K1564" s="583" t="s">
        <v>466</v>
      </c>
      <c r="L1564" s="583" t="s">
        <v>467</v>
      </c>
      <c r="M1564" s="625">
        <v>221253656333</v>
      </c>
      <c r="N1564" s="620">
        <v>44539</v>
      </c>
      <c r="O1564" s="684" t="s">
        <v>67</v>
      </c>
      <c r="P1564" s="503">
        <f t="shared" si="89"/>
        <v>12</v>
      </c>
      <c r="Q1564" s="503">
        <f t="shared" si="90"/>
        <v>10</v>
      </c>
      <c r="R1564" s="504" t="str">
        <f t="shared" si="91"/>
        <v>Gastos_Gerais</v>
      </c>
      <c r="S1564" s="504" t="str">
        <f>IF(D1564="","",IF(OR(D1564=Plano!$A$1,D1564=Plano!$B$1),"entrada","saída"))</f>
        <v>saída</v>
      </c>
      <c r="T1564" s="511" t="s">
        <v>114</v>
      </c>
      <c r="U1564" s="511" t="s">
        <v>114</v>
      </c>
      <c r="V1564" s="541"/>
    </row>
    <row r="1565" spans="1:22" ht="50.1" customHeight="1" x14ac:dyDescent="0.2">
      <c r="A1565" s="619">
        <f>IF(B1565="","",COUNT('Diário 5º PA'!$A$5:$A$2634)+COUNT('Diário 6º PA'!$A$5:$A$2246)+COUNT('Diário 7º PA'!$A$5:$A$2271)+ROW()-4)</f>
        <v>5511</v>
      </c>
      <c r="B1565" s="620">
        <v>44539</v>
      </c>
      <c r="C1565" s="624">
        <v>44440</v>
      </c>
      <c r="D1565" s="548" t="s">
        <v>99</v>
      </c>
      <c r="E1565" s="548" t="s">
        <v>364</v>
      </c>
      <c r="F1565" s="622">
        <v>125</v>
      </c>
      <c r="G1565" s="623" t="s">
        <v>6181</v>
      </c>
      <c r="H1565" s="548" t="s">
        <v>125</v>
      </c>
      <c r="I1565" s="583" t="s">
        <v>465</v>
      </c>
      <c r="J1565" s="548" t="s">
        <v>114</v>
      </c>
      <c r="K1565" s="583" t="s">
        <v>466</v>
      </c>
      <c r="L1565" s="583" t="s">
        <v>467</v>
      </c>
      <c r="M1565" s="625">
        <v>221253656503</v>
      </c>
      <c r="N1565" s="620">
        <v>44539</v>
      </c>
      <c r="O1565" s="684" t="s">
        <v>67</v>
      </c>
      <c r="P1565" s="503">
        <f t="shared" si="89"/>
        <v>12</v>
      </c>
      <c r="Q1565" s="503">
        <f t="shared" si="90"/>
        <v>9</v>
      </c>
      <c r="R1565" s="504" t="str">
        <f t="shared" si="91"/>
        <v>Gastos_Gerais</v>
      </c>
      <c r="S1565" s="504" t="str">
        <f>IF(D1565="","",IF(OR(D1565=Plano!$A$1,D1565=Plano!$B$1),"entrada","saída"))</f>
        <v>saída</v>
      </c>
      <c r="T1565" s="511" t="s">
        <v>114</v>
      </c>
      <c r="U1565" s="511" t="s">
        <v>114</v>
      </c>
      <c r="V1565" s="541"/>
    </row>
    <row r="1566" spans="1:22" ht="50.1" customHeight="1" x14ac:dyDescent="0.2">
      <c r="A1566" s="619">
        <f>IF(B1566="","",COUNT('Diário 5º PA'!$A$5:$A$2634)+COUNT('Diário 6º PA'!$A$5:$A$2246)+COUNT('Diário 7º PA'!$A$5:$A$2271)+ROW()-4)</f>
        <v>5512</v>
      </c>
      <c r="B1566" s="620">
        <v>44539</v>
      </c>
      <c r="C1566" s="628">
        <v>44470</v>
      </c>
      <c r="D1566" s="548" t="s">
        <v>99</v>
      </c>
      <c r="E1566" s="548" t="s">
        <v>358</v>
      </c>
      <c r="F1566" s="622">
        <v>120</v>
      </c>
      <c r="G1566" s="623" t="s">
        <v>6153</v>
      </c>
      <c r="H1566" s="548" t="s">
        <v>131</v>
      </c>
      <c r="I1566" s="583" t="s">
        <v>465</v>
      </c>
      <c r="J1566" s="548" t="s">
        <v>114</v>
      </c>
      <c r="K1566" s="583" t="s">
        <v>466</v>
      </c>
      <c r="L1566" s="583" t="s">
        <v>467</v>
      </c>
      <c r="M1566" s="625">
        <v>221253656767</v>
      </c>
      <c r="N1566" s="620">
        <v>44539</v>
      </c>
      <c r="O1566" s="684" t="s">
        <v>67</v>
      </c>
      <c r="P1566" s="503">
        <f t="shared" si="89"/>
        <v>12</v>
      </c>
      <c r="Q1566" s="503">
        <f t="shared" si="90"/>
        <v>10</v>
      </c>
      <c r="R1566" s="504" t="str">
        <f t="shared" si="91"/>
        <v>Gastos_Gerais</v>
      </c>
      <c r="S1566" s="504" t="str">
        <f>IF(D1566="","",IF(OR(D1566=Plano!$A$1,D1566=Plano!$B$1),"entrada","saída"))</f>
        <v>saída</v>
      </c>
      <c r="T1566" s="511" t="s">
        <v>114</v>
      </c>
      <c r="U1566" s="511" t="s">
        <v>114</v>
      </c>
      <c r="V1566" s="541"/>
    </row>
    <row r="1567" spans="1:22" ht="50.1" customHeight="1" x14ac:dyDescent="0.2">
      <c r="A1567" s="619">
        <f>IF(B1567="","",COUNT('Diário 5º PA'!$A$5:$A$2634)+COUNT('Diário 6º PA'!$A$5:$A$2246)+COUNT('Diário 7º PA'!$A$5:$A$2271)+ROW()-4)</f>
        <v>5513</v>
      </c>
      <c r="B1567" s="620">
        <v>44539</v>
      </c>
      <c r="C1567" s="624">
        <v>44470</v>
      </c>
      <c r="D1567" s="548" t="s">
        <v>99</v>
      </c>
      <c r="E1567" s="548" t="s">
        <v>340</v>
      </c>
      <c r="F1567" s="622">
        <v>75</v>
      </c>
      <c r="G1567" s="623" t="s">
        <v>6167</v>
      </c>
      <c r="H1567" s="548" t="s">
        <v>125</v>
      </c>
      <c r="I1567" s="583" t="s">
        <v>465</v>
      </c>
      <c r="J1567" s="548" t="s">
        <v>114</v>
      </c>
      <c r="K1567" s="583" t="s">
        <v>466</v>
      </c>
      <c r="L1567" s="583" t="s">
        <v>467</v>
      </c>
      <c r="M1567" s="625">
        <v>221253656929</v>
      </c>
      <c r="N1567" s="620">
        <v>44539</v>
      </c>
      <c r="O1567" s="684" t="s">
        <v>67</v>
      </c>
      <c r="P1567" s="503">
        <f t="shared" si="89"/>
        <v>12</v>
      </c>
      <c r="Q1567" s="503">
        <f t="shared" si="90"/>
        <v>10</v>
      </c>
      <c r="R1567" s="504" t="str">
        <f t="shared" si="91"/>
        <v>Gastos_Gerais</v>
      </c>
      <c r="S1567" s="504" t="str">
        <f>IF(D1567="","",IF(OR(D1567=Plano!$A$1,D1567=Plano!$B$1),"entrada","saída"))</f>
        <v>saída</v>
      </c>
      <c r="T1567" s="511" t="s">
        <v>114</v>
      </c>
      <c r="U1567" s="511" t="s">
        <v>114</v>
      </c>
      <c r="V1567" s="541"/>
    </row>
    <row r="1568" spans="1:22" ht="50.1" customHeight="1" x14ac:dyDescent="0.2">
      <c r="A1568" s="619">
        <f>IF(B1568="","",COUNT('Diário 5º PA'!$A$5:$A$2634)+COUNT('Diário 6º PA'!$A$5:$A$2246)+COUNT('Diário 7º PA'!$A$5:$A$2271)+ROW()-4)</f>
        <v>5514</v>
      </c>
      <c r="B1568" s="620">
        <v>44539</v>
      </c>
      <c r="C1568" s="624">
        <v>44501</v>
      </c>
      <c r="D1568" s="548" t="s">
        <v>99</v>
      </c>
      <c r="E1568" s="548" t="s">
        <v>358</v>
      </c>
      <c r="F1568" s="622">
        <v>40</v>
      </c>
      <c r="G1568" s="623" t="s">
        <v>6239</v>
      </c>
      <c r="H1568" s="548" t="s">
        <v>131</v>
      </c>
      <c r="I1568" s="583" t="s">
        <v>465</v>
      </c>
      <c r="J1568" s="548" t="s">
        <v>114</v>
      </c>
      <c r="K1568" s="583" t="s">
        <v>466</v>
      </c>
      <c r="L1568" s="583" t="s">
        <v>467</v>
      </c>
      <c r="M1568" s="625">
        <v>221253657143</v>
      </c>
      <c r="N1568" s="620">
        <v>44539</v>
      </c>
      <c r="O1568" s="684" t="s">
        <v>67</v>
      </c>
      <c r="P1568" s="503">
        <f t="shared" si="89"/>
        <v>12</v>
      </c>
      <c r="Q1568" s="503">
        <f t="shared" si="90"/>
        <v>11</v>
      </c>
      <c r="R1568" s="504" t="str">
        <f t="shared" si="91"/>
        <v>Gastos_Gerais</v>
      </c>
      <c r="S1568" s="504" t="str">
        <f>IF(D1568="","",IF(OR(D1568=Plano!$A$1,D1568=Plano!$B$1),"entrada","saída"))</f>
        <v>saída</v>
      </c>
      <c r="T1568" s="511" t="s">
        <v>114</v>
      </c>
      <c r="U1568" s="511" t="s">
        <v>114</v>
      </c>
      <c r="V1568" s="541"/>
    </row>
    <row r="1569" spans="1:22" ht="50.1" customHeight="1" x14ac:dyDescent="0.2">
      <c r="A1569" s="619">
        <f>IF(B1569="","",COUNT('Diário 5º PA'!$A$5:$A$2634)+COUNT('Diário 6º PA'!$A$5:$A$2246)+COUNT('Diário 7º PA'!$A$5:$A$2271)+ROW()-4)</f>
        <v>5515</v>
      </c>
      <c r="B1569" s="620">
        <v>44539</v>
      </c>
      <c r="C1569" s="624">
        <v>44470</v>
      </c>
      <c r="D1569" s="548" t="s">
        <v>99</v>
      </c>
      <c r="E1569" s="548" t="s">
        <v>358</v>
      </c>
      <c r="F1569" s="622">
        <v>92</v>
      </c>
      <c r="G1569" s="623" t="s">
        <v>6242</v>
      </c>
      <c r="H1569" s="548" t="s">
        <v>131</v>
      </c>
      <c r="I1569" s="583" t="s">
        <v>465</v>
      </c>
      <c r="J1569" s="548" t="s">
        <v>114</v>
      </c>
      <c r="K1569" s="583" t="s">
        <v>466</v>
      </c>
      <c r="L1569" s="583" t="s">
        <v>467</v>
      </c>
      <c r="M1569" s="625">
        <v>221253657224</v>
      </c>
      <c r="N1569" s="620">
        <v>44539</v>
      </c>
      <c r="O1569" s="684" t="s">
        <v>67</v>
      </c>
      <c r="P1569" s="503">
        <f t="shared" si="89"/>
        <v>12</v>
      </c>
      <c r="Q1569" s="503">
        <f t="shared" si="90"/>
        <v>10</v>
      </c>
      <c r="R1569" s="504" t="str">
        <f t="shared" si="91"/>
        <v>Gastos_Gerais</v>
      </c>
      <c r="S1569" s="504" t="str">
        <f>IF(D1569="","",IF(OR(D1569=Plano!$A$1,D1569=Plano!$B$1),"entrada","saída"))</f>
        <v>saída</v>
      </c>
      <c r="T1569" s="511" t="s">
        <v>114</v>
      </c>
      <c r="U1569" s="511" t="s">
        <v>114</v>
      </c>
      <c r="V1569" s="541"/>
    </row>
    <row r="1570" spans="1:22" ht="50.1" customHeight="1" x14ac:dyDescent="0.2">
      <c r="A1570" s="619">
        <f>IF(B1570="","",COUNT('Diário 5º PA'!$A$5:$A$2634)+COUNT('Diário 6º PA'!$A$5:$A$2246)+COUNT('Diário 7º PA'!$A$5:$A$2271)+ROW()-4)</f>
        <v>5516</v>
      </c>
      <c r="B1570" s="620">
        <v>44539</v>
      </c>
      <c r="C1570" s="624">
        <v>44470</v>
      </c>
      <c r="D1570" s="548" t="s">
        <v>99</v>
      </c>
      <c r="E1570" s="548" t="s">
        <v>358</v>
      </c>
      <c r="F1570" s="622">
        <v>116</v>
      </c>
      <c r="G1570" s="623" t="s">
        <v>6245</v>
      </c>
      <c r="H1570" s="548" t="s">
        <v>131</v>
      </c>
      <c r="I1570" s="583" t="s">
        <v>465</v>
      </c>
      <c r="J1570" s="548" t="s">
        <v>114</v>
      </c>
      <c r="K1570" s="583" t="s">
        <v>466</v>
      </c>
      <c r="L1570" s="583" t="s">
        <v>467</v>
      </c>
      <c r="M1570" s="625">
        <v>221253657305</v>
      </c>
      <c r="N1570" s="620">
        <v>44539</v>
      </c>
      <c r="O1570" s="684" t="s">
        <v>67</v>
      </c>
      <c r="P1570" s="503">
        <f t="shared" ref="P1570:P1639" si="104">IF(B1570=0,0,IF(YEAR(B1570)=$Q$1,MONTH(B1570)-$P$1+1,(YEAR(B1570)-$Q$1)*12-$P$1+1+MONTH(B1570)))</f>
        <v>12</v>
      </c>
      <c r="Q1570" s="503">
        <f t="shared" ref="Q1570:Q1639" si="105">IF(C1570=0,0,IF(YEAR(C1570)=$Q$1,MONTH(C1570)-$P$1+1,(YEAR(C1570)-$Q$1)*12-$P$1+1+MONTH(C1570)))</f>
        <v>10</v>
      </c>
      <c r="R1570" s="504" t="str">
        <f t="shared" ref="R1570:R1639" si="106">SUBSTITUTE(D1570," ","_")</f>
        <v>Gastos_Gerais</v>
      </c>
      <c r="S1570" s="504" t="str">
        <f>IF(D1570="","",IF(OR(D1570=Plano!$A$1,D1570=Plano!$B$1),"entrada","saída"))</f>
        <v>saída</v>
      </c>
      <c r="T1570" s="511" t="s">
        <v>114</v>
      </c>
      <c r="U1570" s="511" t="s">
        <v>114</v>
      </c>
      <c r="V1570" s="541"/>
    </row>
    <row r="1571" spans="1:22" ht="50.1" customHeight="1" x14ac:dyDescent="0.2">
      <c r="A1571" s="619">
        <f>IF(B1571="","",COUNT('Diário 5º PA'!$A$5:$A$2634)+COUNT('Diário 6º PA'!$A$5:$A$2246)+COUNT('Diário 7º PA'!$A$5:$A$2271)+ROW()-4)</f>
        <v>5517</v>
      </c>
      <c r="B1571" s="620">
        <v>44539</v>
      </c>
      <c r="C1571" s="624">
        <v>44470</v>
      </c>
      <c r="D1571" s="548" t="s">
        <v>99</v>
      </c>
      <c r="E1571" s="548" t="s">
        <v>358</v>
      </c>
      <c r="F1571" s="622">
        <v>116</v>
      </c>
      <c r="G1571" s="623" t="s">
        <v>6230</v>
      </c>
      <c r="H1571" s="548" t="s">
        <v>131</v>
      </c>
      <c r="I1571" s="583" t="s">
        <v>465</v>
      </c>
      <c r="J1571" s="548" t="s">
        <v>114</v>
      </c>
      <c r="K1571" s="583" t="s">
        <v>466</v>
      </c>
      <c r="L1571" s="583" t="s">
        <v>467</v>
      </c>
      <c r="M1571" s="625">
        <v>221253657496</v>
      </c>
      <c r="N1571" s="620">
        <v>44539</v>
      </c>
      <c r="O1571" s="684" t="s">
        <v>67</v>
      </c>
      <c r="P1571" s="503">
        <f t="shared" si="104"/>
        <v>12</v>
      </c>
      <c r="Q1571" s="503">
        <f t="shared" si="105"/>
        <v>10</v>
      </c>
      <c r="R1571" s="504" t="str">
        <f t="shared" si="106"/>
        <v>Gastos_Gerais</v>
      </c>
      <c r="S1571" s="504" t="str">
        <f>IF(D1571="","",IF(OR(D1571=Plano!$A$1,D1571=Plano!$B$1),"entrada","saída"))</f>
        <v>saída</v>
      </c>
      <c r="T1571" s="511" t="s">
        <v>114</v>
      </c>
      <c r="U1571" s="511" t="s">
        <v>114</v>
      </c>
      <c r="V1571" s="541"/>
    </row>
    <row r="1572" spans="1:22" ht="50.1" customHeight="1" x14ac:dyDescent="0.2">
      <c r="A1572" s="619">
        <f>IF(B1572="","",COUNT('Diário 5º PA'!$A$5:$A$2634)+COUNT('Diário 6º PA'!$A$5:$A$2246)+COUNT('Diário 7º PA'!$A$5:$A$2271)+ROW()-4)</f>
        <v>5518</v>
      </c>
      <c r="B1572" s="620">
        <v>44539</v>
      </c>
      <c r="C1572" s="624">
        <v>44470</v>
      </c>
      <c r="D1572" s="548" t="s">
        <v>99</v>
      </c>
      <c r="E1572" s="548" t="s">
        <v>358</v>
      </c>
      <c r="F1572" s="622">
        <v>116</v>
      </c>
      <c r="G1572" s="623" t="s">
        <v>6228</v>
      </c>
      <c r="H1572" s="548" t="s">
        <v>131</v>
      </c>
      <c r="I1572" s="583" t="s">
        <v>465</v>
      </c>
      <c r="J1572" s="548" t="s">
        <v>114</v>
      </c>
      <c r="K1572" s="583" t="s">
        <v>466</v>
      </c>
      <c r="L1572" s="583" t="s">
        <v>467</v>
      </c>
      <c r="M1572" s="625">
        <v>221253657739</v>
      </c>
      <c r="N1572" s="620">
        <v>44539</v>
      </c>
      <c r="O1572" s="684" t="s">
        <v>67</v>
      </c>
      <c r="P1572" s="503">
        <f t="shared" si="104"/>
        <v>12</v>
      </c>
      <c r="Q1572" s="503">
        <f t="shared" si="105"/>
        <v>10</v>
      </c>
      <c r="R1572" s="504" t="str">
        <f t="shared" si="106"/>
        <v>Gastos_Gerais</v>
      </c>
      <c r="S1572" s="504" t="str">
        <f>IF(D1572="","",IF(OR(D1572=Plano!$A$1,D1572=Plano!$B$1),"entrada","saída"))</f>
        <v>saída</v>
      </c>
      <c r="T1572" s="511" t="s">
        <v>114</v>
      </c>
      <c r="U1572" s="511" t="s">
        <v>114</v>
      </c>
      <c r="V1572" s="541"/>
    </row>
    <row r="1573" spans="1:22" ht="50.1" customHeight="1" x14ac:dyDescent="0.2">
      <c r="A1573" s="619">
        <f>IF(B1573="","",COUNT('Diário 5º PA'!$A$5:$A$2634)+COUNT('Diário 6º PA'!$A$5:$A$2246)+COUNT('Diário 7º PA'!$A$5:$A$2271)+ROW()-4)</f>
        <v>5519</v>
      </c>
      <c r="B1573" s="620">
        <v>44539</v>
      </c>
      <c r="C1573" s="624">
        <v>44470</v>
      </c>
      <c r="D1573" s="548" t="s">
        <v>99</v>
      </c>
      <c r="E1573" s="548" t="s">
        <v>358</v>
      </c>
      <c r="F1573" s="622">
        <v>132</v>
      </c>
      <c r="G1573" s="623" t="s">
        <v>6247</v>
      </c>
      <c r="H1573" s="548" t="s">
        <v>131</v>
      </c>
      <c r="I1573" s="583" t="s">
        <v>465</v>
      </c>
      <c r="J1573" s="548" t="s">
        <v>114</v>
      </c>
      <c r="K1573" s="583" t="s">
        <v>466</v>
      </c>
      <c r="L1573" s="583" t="s">
        <v>467</v>
      </c>
      <c r="M1573" s="625">
        <v>221253658115</v>
      </c>
      <c r="N1573" s="620">
        <v>44539</v>
      </c>
      <c r="O1573" s="684" t="s">
        <v>67</v>
      </c>
      <c r="P1573" s="503">
        <f t="shared" si="104"/>
        <v>12</v>
      </c>
      <c r="Q1573" s="503">
        <f t="shared" si="105"/>
        <v>10</v>
      </c>
      <c r="R1573" s="504" t="str">
        <f t="shared" si="106"/>
        <v>Gastos_Gerais</v>
      </c>
      <c r="S1573" s="504" t="str">
        <f>IF(D1573="","",IF(OR(D1573=Plano!$A$1,D1573=Plano!$B$1),"entrada","saída"))</f>
        <v>saída</v>
      </c>
      <c r="T1573" s="511" t="s">
        <v>114</v>
      </c>
      <c r="U1573" s="511" t="s">
        <v>114</v>
      </c>
      <c r="V1573" s="541"/>
    </row>
    <row r="1574" spans="1:22" ht="50.1" customHeight="1" x14ac:dyDescent="0.2">
      <c r="A1574" s="619">
        <f>IF(B1574="","",COUNT('Diário 5º PA'!$A$5:$A$2634)+COUNT('Diário 6º PA'!$A$5:$A$2246)+COUNT('Diário 7º PA'!$A$5:$A$2271)+ROW()-4)</f>
        <v>5520</v>
      </c>
      <c r="B1574" s="620">
        <v>44539</v>
      </c>
      <c r="C1574" s="624">
        <v>44470</v>
      </c>
      <c r="D1574" s="548" t="s">
        <v>99</v>
      </c>
      <c r="E1574" s="548" t="s">
        <v>358</v>
      </c>
      <c r="F1574" s="622">
        <v>132</v>
      </c>
      <c r="G1574" s="623" t="s">
        <v>6231</v>
      </c>
      <c r="H1574" s="548" t="s">
        <v>131</v>
      </c>
      <c r="I1574" s="583" t="s">
        <v>465</v>
      </c>
      <c r="J1574" s="548" t="s">
        <v>114</v>
      </c>
      <c r="K1574" s="583" t="s">
        <v>466</v>
      </c>
      <c r="L1574" s="583" t="s">
        <v>467</v>
      </c>
      <c r="M1574" s="625">
        <v>221253658387</v>
      </c>
      <c r="N1574" s="620">
        <v>44539</v>
      </c>
      <c r="O1574" s="684" t="s">
        <v>67</v>
      </c>
      <c r="P1574" s="503">
        <f t="shared" si="104"/>
        <v>12</v>
      </c>
      <c r="Q1574" s="503">
        <f t="shared" si="105"/>
        <v>10</v>
      </c>
      <c r="R1574" s="504" t="str">
        <f t="shared" si="106"/>
        <v>Gastos_Gerais</v>
      </c>
      <c r="S1574" s="504" t="str">
        <f>IF(D1574="","",IF(OR(D1574=Plano!$A$1,D1574=Plano!$B$1),"entrada","saída"))</f>
        <v>saída</v>
      </c>
      <c r="T1574" s="511" t="s">
        <v>114</v>
      </c>
      <c r="U1574" s="511" t="s">
        <v>114</v>
      </c>
      <c r="V1574" s="541"/>
    </row>
    <row r="1575" spans="1:22" ht="50.1" customHeight="1" x14ac:dyDescent="0.2">
      <c r="A1575" s="619">
        <f>IF(B1575="","",COUNT('Diário 5º PA'!$A$5:$A$2634)+COUNT('Diário 6º PA'!$A$5:$A$2246)+COUNT('Diário 7º PA'!$A$5:$A$2271)+ROW()-4)</f>
        <v>5521</v>
      </c>
      <c r="B1575" s="620">
        <v>44539</v>
      </c>
      <c r="C1575" s="624">
        <v>44409</v>
      </c>
      <c r="D1575" s="548" t="s">
        <v>99</v>
      </c>
      <c r="E1575" s="548" t="s">
        <v>336</v>
      </c>
      <c r="F1575" s="622">
        <v>300</v>
      </c>
      <c r="G1575" s="623" t="s">
        <v>6272</v>
      </c>
      <c r="H1575" s="548" t="s">
        <v>116</v>
      </c>
      <c r="I1575" s="583" t="s">
        <v>465</v>
      </c>
      <c r="J1575" s="548" t="s">
        <v>114</v>
      </c>
      <c r="K1575" s="583" t="s">
        <v>466</v>
      </c>
      <c r="L1575" s="583" t="s">
        <v>467</v>
      </c>
      <c r="M1575" s="625">
        <v>221253658549</v>
      </c>
      <c r="N1575" s="620">
        <v>44539</v>
      </c>
      <c r="O1575" s="684" t="s">
        <v>67</v>
      </c>
      <c r="P1575" s="503">
        <f t="shared" si="104"/>
        <v>12</v>
      </c>
      <c r="Q1575" s="503">
        <f t="shared" si="105"/>
        <v>8</v>
      </c>
      <c r="R1575" s="504" t="str">
        <f t="shared" si="106"/>
        <v>Gastos_Gerais</v>
      </c>
      <c r="S1575" s="504" t="str">
        <f>IF(D1575="","",IF(OR(D1575=Plano!$A$1,D1575=Plano!$B$1),"entrada","saída"))</f>
        <v>saída</v>
      </c>
      <c r="T1575" s="511" t="s">
        <v>114</v>
      </c>
      <c r="U1575" s="511" t="s">
        <v>114</v>
      </c>
      <c r="V1575" s="541"/>
    </row>
    <row r="1576" spans="1:22" ht="50.1" customHeight="1" x14ac:dyDescent="0.2">
      <c r="A1576" s="619">
        <f>IF(B1576="","",COUNT('Diário 5º PA'!$A$5:$A$2634)+COUNT('Diário 6º PA'!$A$5:$A$2246)+COUNT('Diário 7º PA'!$A$5:$A$2271)+ROW()-4)</f>
        <v>5522</v>
      </c>
      <c r="B1576" s="620">
        <v>44539</v>
      </c>
      <c r="C1576" s="624">
        <v>44470</v>
      </c>
      <c r="D1576" s="548" t="s">
        <v>99</v>
      </c>
      <c r="E1576" s="548" t="s">
        <v>364</v>
      </c>
      <c r="F1576" s="622">
        <v>300</v>
      </c>
      <c r="G1576" s="623" t="s">
        <v>6319</v>
      </c>
      <c r="H1576" s="548" t="s">
        <v>116</v>
      </c>
      <c r="I1576" s="583" t="s">
        <v>465</v>
      </c>
      <c r="J1576" s="548" t="s">
        <v>114</v>
      </c>
      <c r="K1576" s="583" t="s">
        <v>466</v>
      </c>
      <c r="L1576" s="583" t="s">
        <v>467</v>
      </c>
      <c r="M1576" s="625">
        <v>221253658891</v>
      </c>
      <c r="N1576" s="620">
        <v>44539</v>
      </c>
      <c r="O1576" s="684" t="s">
        <v>67</v>
      </c>
      <c r="P1576" s="503">
        <f t="shared" si="104"/>
        <v>12</v>
      </c>
      <c r="Q1576" s="503">
        <f t="shared" si="105"/>
        <v>10</v>
      </c>
      <c r="R1576" s="504" t="str">
        <f t="shared" si="106"/>
        <v>Gastos_Gerais</v>
      </c>
      <c r="S1576" s="504" t="str">
        <f>IF(D1576="","",IF(OR(D1576=Plano!$A$1,D1576=Plano!$B$1),"entrada","saída"))</f>
        <v>saída</v>
      </c>
      <c r="T1576" s="511" t="s">
        <v>114</v>
      </c>
      <c r="U1576" s="511" t="s">
        <v>114</v>
      </c>
      <c r="V1576" s="541"/>
    </row>
    <row r="1577" spans="1:22" ht="50.1" customHeight="1" x14ac:dyDescent="0.2">
      <c r="A1577" s="619">
        <f>IF(B1577="","",COUNT('Diário 5º PA'!$A$5:$A$2634)+COUNT('Diário 6º PA'!$A$5:$A$2246)+COUNT('Diário 7º PA'!$A$5:$A$2271)+ROW()-4)</f>
        <v>5523</v>
      </c>
      <c r="B1577" s="620">
        <v>44539</v>
      </c>
      <c r="C1577" s="624">
        <v>44470</v>
      </c>
      <c r="D1577" s="548" t="s">
        <v>99</v>
      </c>
      <c r="E1577" s="548" t="s">
        <v>364</v>
      </c>
      <c r="F1577" s="622">
        <v>150</v>
      </c>
      <c r="G1577" s="623" t="s">
        <v>6411</v>
      </c>
      <c r="H1577" s="548" t="s">
        <v>122</v>
      </c>
      <c r="I1577" s="583" t="s">
        <v>465</v>
      </c>
      <c r="J1577" s="548" t="s">
        <v>114</v>
      </c>
      <c r="K1577" s="583" t="s">
        <v>466</v>
      </c>
      <c r="L1577" s="583" t="s">
        <v>467</v>
      </c>
      <c r="M1577" s="625">
        <v>221253659006</v>
      </c>
      <c r="N1577" s="620">
        <v>44539</v>
      </c>
      <c r="O1577" s="684" t="s">
        <v>67</v>
      </c>
      <c r="P1577" s="503">
        <f t="shared" si="104"/>
        <v>12</v>
      </c>
      <c r="Q1577" s="503">
        <f t="shared" si="105"/>
        <v>10</v>
      </c>
      <c r="R1577" s="504" t="str">
        <f t="shared" si="106"/>
        <v>Gastos_Gerais</v>
      </c>
      <c r="S1577" s="504" t="str">
        <f>IF(D1577="","",IF(OR(D1577=Plano!$A$1,D1577=Plano!$B$1),"entrada","saída"))</f>
        <v>saída</v>
      </c>
      <c r="T1577" s="511" t="s">
        <v>114</v>
      </c>
      <c r="U1577" s="511" t="s">
        <v>114</v>
      </c>
      <c r="V1577" s="541"/>
    </row>
    <row r="1578" spans="1:22" ht="50.1" customHeight="1" x14ac:dyDescent="0.2">
      <c r="A1578" s="619">
        <f>IF(B1578="","",COUNT('Diário 5º PA'!$A$5:$A$2634)+COUNT('Diário 6º PA'!$A$5:$A$2246)+COUNT('Diário 7º PA'!$A$5:$A$2271)+ROW()-4)</f>
        <v>5524</v>
      </c>
      <c r="B1578" s="620">
        <v>44539</v>
      </c>
      <c r="C1578" s="624">
        <v>44470</v>
      </c>
      <c r="D1578" s="548" t="s">
        <v>99</v>
      </c>
      <c r="E1578" s="548" t="s">
        <v>236</v>
      </c>
      <c r="F1578" s="622">
        <v>84.42</v>
      </c>
      <c r="G1578" s="623" t="s">
        <v>6108</v>
      </c>
      <c r="H1578" s="548" t="s">
        <v>131</v>
      </c>
      <c r="I1578" s="583" t="s">
        <v>465</v>
      </c>
      <c r="J1578" s="548" t="s">
        <v>114</v>
      </c>
      <c r="K1578" s="583" t="s">
        <v>466</v>
      </c>
      <c r="L1578" s="583" t="s">
        <v>467</v>
      </c>
      <c r="M1578" s="625">
        <v>221253659359</v>
      </c>
      <c r="N1578" s="620">
        <v>44539</v>
      </c>
      <c r="O1578" s="684" t="s">
        <v>67</v>
      </c>
      <c r="P1578" s="503">
        <f t="shared" si="104"/>
        <v>12</v>
      </c>
      <c r="Q1578" s="503">
        <f t="shared" si="105"/>
        <v>10</v>
      </c>
      <c r="R1578" s="504" t="str">
        <f t="shared" si="106"/>
        <v>Gastos_Gerais</v>
      </c>
      <c r="S1578" s="504" t="str">
        <f>IF(D1578="","",IF(OR(D1578=Plano!$A$1,D1578=Plano!$B$1),"entrada","saída"))</f>
        <v>saída</v>
      </c>
      <c r="T1578" s="511" t="s">
        <v>114</v>
      </c>
      <c r="U1578" s="511" t="s">
        <v>114</v>
      </c>
      <c r="V1578" s="541"/>
    </row>
    <row r="1579" spans="1:22" ht="50.1" customHeight="1" x14ac:dyDescent="0.2">
      <c r="A1579" s="619">
        <f>IF(B1579="","",COUNT('Diário 5º PA'!$A$5:$A$2634)+COUNT('Diário 6º PA'!$A$5:$A$2246)+COUNT('Diário 7º PA'!$A$5:$A$2271)+ROW()-4)</f>
        <v>5525</v>
      </c>
      <c r="B1579" s="620">
        <v>44539</v>
      </c>
      <c r="C1579" s="624">
        <v>44409</v>
      </c>
      <c r="D1579" s="548" t="s">
        <v>99</v>
      </c>
      <c r="E1579" s="548" t="s">
        <v>360</v>
      </c>
      <c r="F1579" s="622">
        <v>24.12</v>
      </c>
      <c r="G1579" s="623" t="s">
        <v>6101</v>
      </c>
      <c r="H1579" s="548" t="s">
        <v>116</v>
      </c>
      <c r="I1579" s="583" t="s">
        <v>465</v>
      </c>
      <c r="J1579" s="548" t="s">
        <v>114</v>
      </c>
      <c r="K1579" s="583" t="s">
        <v>466</v>
      </c>
      <c r="L1579" s="583" t="s">
        <v>467</v>
      </c>
      <c r="M1579" s="625">
        <v>221253659944</v>
      </c>
      <c r="N1579" s="620">
        <v>44539</v>
      </c>
      <c r="O1579" s="684" t="s">
        <v>67</v>
      </c>
      <c r="P1579" s="503">
        <f t="shared" si="104"/>
        <v>12</v>
      </c>
      <c r="Q1579" s="503">
        <f t="shared" si="105"/>
        <v>8</v>
      </c>
      <c r="R1579" s="504" t="str">
        <f t="shared" si="106"/>
        <v>Gastos_Gerais</v>
      </c>
      <c r="S1579" s="504" t="str">
        <f>IF(D1579="","",IF(OR(D1579=Plano!$A$1,D1579=Plano!$B$1),"entrada","saída"))</f>
        <v>saída</v>
      </c>
      <c r="T1579" s="511" t="s">
        <v>114</v>
      </c>
      <c r="U1579" s="511" t="s">
        <v>114</v>
      </c>
      <c r="V1579" s="541"/>
    </row>
    <row r="1580" spans="1:22" ht="50.1" customHeight="1" x14ac:dyDescent="0.2">
      <c r="A1580" s="619">
        <f>IF(B1580="","",COUNT('Diário 5º PA'!$A$5:$A$2634)+COUNT('Diário 6º PA'!$A$5:$A$2246)+COUNT('Diário 7º PA'!$A$5:$A$2271)+ROW()-4)</f>
        <v>5526</v>
      </c>
      <c r="B1580" s="620">
        <v>44539</v>
      </c>
      <c r="C1580" s="624">
        <v>44470</v>
      </c>
      <c r="D1580" s="548" t="s">
        <v>99</v>
      </c>
      <c r="E1580" s="548" t="s">
        <v>330</v>
      </c>
      <c r="F1580" s="622">
        <v>374.4</v>
      </c>
      <c r="G1580" s="623" t="s">
        <v>6417</v>
      </c>
      <c r="H1580" s="548" t="s">
        <v>116</v>
      </c>
      <c r="I1580" s="583" t="s">
        <v>465</v>
      </c>
      <c r="J1580" s="548" t="s">
        <v>114</v>
      </c>
      <c r="K1580" s="583" t="s">
        <v>466</v>
      </c>
      <c r="L1580" s="583" t="s">
        <v>467</v>
      </c>
      <c r="M1580" s="625">
        <v>22125662851</v>
      </c>
      <c r="N1580" s="620">
        <v>44539</v>
      </c>
      <c r="O1580" s="684" t="s">
        <v>67</v>
      </c>
      <c r="P1580" s="503">
        <f t="shared" si="104"/>
        <v>12</v>
      </c>
      <c r="Q1580" s="503">
        <f t="shared" si="105"/>
        <v>10</v>
      </c>
      <c r="R1580" s="504" t="str">
        <f t="shared" si="106"/>
        <v>Gastos_Gerais</v>
      </c>
      <c r="S1580" s="504" t="str">
        <f>IF(D1580="","",IF(OR(D1580=Plano!$A$1,D1580=Plano!$B$1),"entrada","saída"))</f>
        <v>saída</v>
      </c>
      <c r="T1580" s="511" t="s">
        <v>114</v>
      </c>
      <c r="U1580" s="511" t="s">
        <v>114</v>
      </c>
      <c r="V1580" s="541"/>
    </row>
    <row r="1581" spans="1:22" ht="50.1" customHeight="1" x14ac:dyDescent="0.2">
      <c r="A1581" s="619">
        <f>IF(B1581="","",COUNT('Diário 5º PA'!$A$5:$A$2634)+COUNT('Diário 6º PA'!$A$5:$A$2246)+COUNT('Diário 7º PA'!$A$5:$A$2271)+ROW()-4)</f>
        <v>5527</v>
      </c>
      <c r="B1581" s="620">
        <v>44539</v>
      </c>
      <c r="C1581" s="624">
        <v>44470</v>
      </c>
      <c r="D1581" s="548" t="s">
        <v>99</v>
      </c>
      <c r="E1581" s="548" t="s">
        <v>364</v>
      </c>
      <c r="F1581" s="622">
        <v>46.6</v>
      </c>
      <c r="G1581" s="623" t="s">
        <v>6657</v>
      </c>
      <c r="H1581" s="548" t="s">
        <v>116</v>
      </c>
      <c r="I1581" s="583" t="s">
        <v>465</v>
      </c>
      <c r="J1581" s="548" t="s">
        <v>114</v>
      </c>
      <c r="K1581" s="583" t="s">
        <v>466</v>
      </c>
      <c r="L1581" s="583" t="s">
        <v>467</v>
      </c>
      <c r="M1581" s="625">
        <v>22125664000</v>
      </c>
      <c r="N1581" s="620">
        <v>44539</v>
      </c>
      <c r="O1581" s="684" t="s">
        <v>67</v>
      </c>
      <c r="P1581" s="503">
        <f t="shared" si="104"/>
        <v>12</v>
      </c>
      <c r="Q1581" s="503">
        <f t="shared" si="105"/>
        <v>10</v>
      </c>
      <c r="R1581" s="504" t="str">
        <f t="shared" si="106"/>
        <v>Gastos_Gerais</v>
      </c>
      <c r="S1581" s="504" t="str">
        <f>IF(D1581="","",IF(OR(D1581=Plano!$A$1,D1581=Plano!$B$1),"entrada","saída"))</f>
        <v>saída</v>
      </c>
      <c r="T1581" s="511" t="s">
        <v>114</v>
      </c>
      <c r="U1581" s="511" t="s">
        <v>114</v>
      </c>
      <c r="V1581" s="541"/>
    </row>
    <row r="1582" spans="1:22" ht="50.1" customHeight="1" x14ac:dyDescent="0.2">
      <c r="A1582" s="619">
        <f>IF(B1582="","",COUNT('Diário 5º PA'!$A$5:$A$2634)+COUNT('Diário 6º PA'!$A$5:$A$2246)+COUNT('Diário 7º PA'!$A$5:$A$2271)+ROW()-4)</f>
        <v>5528</v>
      </c>
      <c r="B1582" s="620">
        <v>44539</v>
      </c>
      <c r="C1582" s="624">
        <v>44470</v>
      </c>
      <c r="D1582" s="548" t="s">
        <v>99</v>
      </c>
      <c r="E1582" s="548" t="s">
        <v>266</v>
      </c>
      <c r="F1582" s="622">
        <v>263.33999999999997</v>
      </c>
      <c r="G1582" s="623" t="s">
        <v>6329</v>
      </c>
      <c r="H1582" s="548" t="s">
        <v>131</v>
      </c>
      <c r="I1582" s="583" t="s">
        <v>465</v>
      </c>
      <c r="J1582" s="548" t="s">
        <v>114</v>
      </c>
      <c r="K1582" s="583" t="s">
        <v>466</v>
      </c>
      <c r="L1582" s="583" t="s">
        <v>467</v>
      </c>
      <c r="M1582" s="625">
        <v>221253664433</v>
      </c>
      <c r="N1582" s="620">
        <v>44539</v>
      </c>
      <c r="O1582" s="684" t="s">
        <v>67</v>
      </c>
      <c r="P1582" s="503">
        <f t="shared" si="104"/>
        <v>12</v>
      </c>
      <c r="Q1582" s="503">
        <f t="shared" si="105"/>
        <v>10</v>
      </c>
      <c r="R1582" s="504" t="str">
        <f t="shared" si="106"/>
        <v>Gastos_Gerais</v>
      </c>
      <c r="S1582" s="504" t="str">
        <f>IF(D1582="","",IF(OR(D1582=Plano!$A$1,D1582=Plano!$B$1),"entrada","saída"))</f>
        <v>saída</v>
      </c>
      <c r="T1582" s="511" t="s">
        <v>114</v>
      </c>
      <c r="U1582" s="511" t="s">
        <v>114</v>
      </c>
      <c r="V1582" s="541"/>
    </row>
    <row r="1583" spans="1:22" ht="50.1" customHeight="1" x14ac:dyDescent="0.2">
      <c r="A1583" s="619">
        <f>IF(B1583="","",COUNT('Diário 5º PA'!$A$5:$A$2634)+COUNT('Diário 6º PA'!$A$5:$A$2246)+COUNT('Diário 7º PA'!$A$5:$A$2271)+ROW()-4)</f>
        <v>5529</v>
      </c>
      <c r="B1583" s="620">
        <v>44539</v>
      </c>
      <c r="C1583" s="624">
        <v>44470</v>
      </c>
      <c r="D1583" s="548" t="s">
        <v>99</v>
      </c>
      <c r="E1583" s="548" t="s">
        <v>244</v>
      </c>
      <c r="F1583" s="622">
        <v>116.58</v>
      </c>
      <c r="G1583" s="623" t="s">
        <v>6327</v>
      </c>
      <c r="H1583" s="548" t="s">
        <v>128</v>
      </c>
      <c r="I1583" s="583" t="s">
        <v>465</v>
      </c>
      <c r="J1583" s="548" t="s">
        <v>114</v>
      </c>
      <c r="K1583" s="583" t="s">
        <v>466</v>
      </c>
      <c r="L1583" s="583" t="s">
        <v>467</v>
      </c>
      <c r="M1583" s="625">
        <v>221253665396</v>
      </c>
      <c r="N1583" s="620">
        <v>44539</v>
      </c>
      <c r="O1583" s="684" t="s">
        <v>67</v>
      </c>
      <c r="P1583" s="503">
        <f t="shared" si="104"/>
        <v>12</v>
      </c>
      <c r="Q1583" s="503">
        <f t="shared" si="105"/>
        <v>10</v>
      </c>
      <c r="R1583" s="504" t="str">
        <f t="shared" si="106"/>
        <v>Gastos_Gerais</v>
      </c>
      <c r="S1583" s="504" t="str">
        <f>IF(D1583="","",IF(OR(D1583=Plano!$A$1,D1583=Plano!$B$1),"entrada","saída"))</f>
        <v>saída</v>
      </c>
      <c r="T1583" s="511" t="s">
        <v>114</v>
      </c>
      <c r="U1583" s="511" t="s">
        <v>114</v>
      </c>
      <c r="V1583" s="541"/>
    </row>
    <row r="1584" spans="1:22" ht="50.1" customHeight="1" x14ac:dyDescent="0.2">
      <c r="A1584" s="619">
        <f>IF(B1584="","",COUNT('Diário 5º PA'!$A$5:$A$2634)+COUNT('Diário 6º PA'!$A$5:$A$2246)+COUNT('Diário 7º PA'!$A$5:$A$2271)+ROW()-4)</f>
        <v>5530</v>
      </c>
      <c r="B1584" s="620">
        <v>44539</v>
      </c>
      <c r="C1584" s="624">
        <v>44501</v>
      </c>
      <c r="D1584" s="548" t="s">
        <v>99</v>
      </c>
      <c r="E1584" s="548" t="s">
        <v>240</v>
      </c>
      <c r="F1584" s="622">
        <v>60.75</v>
      </c>
      <c r="G1584" s="623" t="s">
        <v>6421</v>
      </c>
      <c r="H1584" s="548" t="s">
        <v>115</v>
      </c>
      <c r="I1584" s="583" t="s">
        <v>465</v>
      </c>
      <c r="J1584" s="548" t="s">
        <v>114</v>
      </c>
      <c r="K1584" s="583" t="s">
        <v>466</v>
      </c>
      <c r="L1584" s="583" t="s">
        <v>467</v>
      </c>
      <c r="M1584" s="625">
        <v>221253666053</v>
      </c>
      <c r="N1584" s="620">
        <v>44539</v>
      </c>
      <c r="O1584" s="684" t="s">
        <v>67</v>
      </c>
      <c r="P1584" s="503">
        <f t="shared" si="104"/>
        <v>12</v>
      </c>
      <c r="Q1584" s="503">
        <f t="shared" si="105"/>
        <v>11</v>
      </c>
      <c r="R1584" s="504" t="str">
        <f t="shared" si="106"/>
        <v>Gastos_Gerais</v>
      </c>
      <c r="S1584" s="504" t="str">
        <f>IF(D1584="","",IF(OR(D1584=Plano!$A$1,D1584=Plano!$B$1),"entrada","saída"))</f>
        <v>saída</v>
      </c>
      <c r="T1584" s="511" t="s">
        <v>114</v>
      </c>
      <c r="U1584" s="511" t="s">
        <v>114</v>
      </c>
      <c r="V1584" s="541"/>
    </row>
    <row r="1585" spans="1:22" ht="50.1" customHeight="1" x14ac:dyDescent="0.2">
      <c r="A1585" s="619">
        <f>IF(B1585="","",COUNT('Diário 5º PA'!$A$5:$A$2634)+COUNT('Diário 6º PA'!$A$5:$A$2246)+COUNT('Diário 7º PA'!$A$5:$A$2271)+ROW()-4)</f>
        <v>5531</v>
      </c>
      <c r="B1585" s="620">
        <v>44539</v>
      </c>
      <c r="C1585" s="621">
        <v>44501</v>
      </c>
      <c r="D1585" s="548" t="s">
        <v>99</v>
      </c>
      <c r="E1585" s="548" t="s">
        <v>266</v>
      </c>
      <c r="F1585" s="622">
        <v>9.5399999999999991</v>
      </c>
      <c r="G1585" s="623" t="s">
        <v>6658</v>
      </c>
      <c r="H1585" s="548" t="s">
        <v>115</v>
      </c>
      <c r="I1585" s="583" t="s">
        <v>465</v>
      </c>
      <c r="J1585" s="548" t="s">
        <v>114</v>
      </c>
      <c r="K1585" s="583" t="s">
        <v>466</v>
      </c>
      <c r="L1585" s="583" t="s">
        <v>467</v>
      </c>
      <c r="M1585" s="625">
        <v>221253666304</v>
      </c>
      <c r="N1585" s="620">
        <v>44539</v>
      </c>
      <c r="O1585" s="684" t="s">
        <v>67</v>
      </c>
      <c r="P1585" s="503">
        <f t="shared" si="104"/>
        <v>12</v>
      </c>
      <c r="Q1585" s="503">
        <f t="shared" si="105"/>
        <v>11</v>
      </c>
      <c r="R1585" s="504" t="str">
        <f t="shared" si="106"/>
        <v>Gastos_Gerais</v>
      </c>
      <c r="S1585" s="504" t="str">
        <f>IF(D1585="","",IF(OR(D1585=Plano!$A$1,D1585=Plano!$B$1),"entrada","saída"))</f>
        <v>saída</v>
      </c>
      <c r="T1585" s="511" t="s">
        <v>114</v>
      </c>
      <c r="U1585" s="511" t="s">
        <v>114</v>
      </c>
      <c r="V1585" s="541"/>
    </row>
    <row r="1586" spans="1:22" ht="50.1" customHeight="1" x14ac:dyDescent="0.2">
      <c r="A1586" s="619">
        <f>IF(B1586="","",COUNT('Diário 5º PA'!$A$5:$A$2634)+COUNT('Diário 6º PA'!$A$5:$A$2246)+COUNT('Diário 7º PA'!$A$5:$A$2271)+ROW()-4)</f>
        <v>5532</v>
      </c>
      <c r="B1586" s="620">
        <v>44539</v>
      </c>
      <c r="C1586" s="624">
        <v>44501</v>
      </c>
      <c r="D1586" s="548" t="s">
        <v>88</v>
      </c>
      <c r="E1586" s="548" t="s">
        <v>183</v>
      </c>
      <c r="F1586" s="622">
        <v>14.06</v>
      </c>
      <c r="G1586" s="623" t="s">
        <v>6529</v>
      </c>
      <c r="H1586" s="548" t="s">
        <v>114</v>
      </c>
      <c r="I1586" s="583" t="s">
        <v>465</v>
      </c>
      <c r="J1586" s="548" t="s">
        <v>114</v>
      </c>
      <c r="K1586" s="583" t="s">
        <v>466</v>
      </c>
      <c r="L1586" s="583" t="s">
        <v>467</v>
      </c>
      <c r="M1586" s="625">
        <v>221253667025</v>
      </c>
      <c r="N1586" s="620">
        <v>44539</v>
      </c>
      <c r="O1586" s="684" t="s">
        <v>67</v>
      </c>
      <c r="P1586" s="503">
        <f t="shared" si="104"/>
        <v>12</v>
      </c>
      <c r="Q1586" s="503">
        <f t="shared" si="105"/>
        <v>11</v>
      </c>
      <c r="R1586" s="504" t="str">
        <f t="shared" si="106"/>
        <v>Gastos_com_Pessoal</v>
      </c>
      <c r="S1586" s="504" t="str">
        <f>IF(D1586="","",IF(OR(D1586=Plano!$A$1,D1586=Plano!$B$1),"entrada","saída"))</f>
        <v>saída</v>
      </c>
      <c r="T1586" s="511" t="s">
        <v>114</v>
      </c>
      <c r="U1586" s="511" t="s">
        <v>114</v>
      </c>
      <c r="V1586" s="541"/>
    </row>
    <row r="1587" spans="1:22" ht="50.1" customHeight="1" x14ac:dyDescent="0.2">
      <c r="A1587" s="619">
        <f>IF(B1587="","",COUNT('Diário 5º PA'!$A$5:$A$2634)+COUNT('Diário 6º PA'!$A$5:$A$2246)+COUNT('Diário 7º PA'!$A$5:$A$2271)+ROW()-4)</f>
        <v>5533</v>
      </c>
      <c r="B1587" s="620">
        <v>44539</v>
      </c>
      <c r="C1587" s="624">
        <v>44470</v>
      </c>
      <c r="D1587" s="548" t="s">
        <v>88</v>
      </c>
      <c r="E1587" s="548" t="s">
        <v>90</v>
      </c>
      <c r="F1587" s="622">
        <v>8.48</v>
      </c>
      <c r="G1587" s="623" t="s">
        <v>6659</v>
      </c>
      <c r="H1587" s="548" t="s">
        <v>114</v>
      </c>
      <c r="I1587" s="583" t="s">
        <v>465</v>
      </c>
      <c r="J1587" s="548" t="s">
        <v>114</v>
      </c>
      <c r="K1587" s="583" t="s">
        <v>466</v>
      </c>
      <c r="L1587" s="583" t="s">
        <v>467</v>
      </c>
      <c r="M1587" s="625">
        <v>221253667297</v>
      </c>
      <c r="N1587" s="620">
        <v>44539</v>
      </c>
      <c r="O1587" s="684" t="s">
        <v>67</v>
      </c>
      <c r="P1587" s="503">
        <f t="shared" si="104"/>
        <v>12</v>
      </c>
      <c r="Q1587" s="503">
        <f t="shared" si="105"/>
        <v>10</v>
      </c>
      <c r="R1587" s="504" t="str">
        <f t="shared" si="106"/>
        <v>Gastos_com_Pessoal</v>
      </c>
      <c r="S1587" s="504" t="str">
        <f>IF(D1587="","",IF(OR(D1587=Plano!$A$1,D1587=Plano!$B$1),"entrada","saída"))</f>
        <v>saída</v>
      </c>
      <c r="T1587" s="505" t="s">
        <v>114</v>
      </c>
      <c r="U1587" s="505" t="s">
        <v>114</v>
      </c>
      <c r="V1587" s="541"/>
    </row>
    <row r="1588" spans="1:22" ht="50.1" customHeight="1" x14ac:dyDescent="0.2">
      <c r="A1588" s="619">
        <f>IF(B1588="","",COUNT('Diário 5º PA'!$A$5:$A$2634)+COUNT('Diário 6º PA'!$A$5:$A$2246)+COUNT('Diário 7º PA'!$A$5:$A$2271)+ROW()-4)</f>
        <v>5534</v>
      </c>
      <c r="B1588" s="620">
        <v>44539</v>
      </c>
      <c r="C1588" s="624">
        <v>44531</v>
      </c>
      <c r="D1588" s="548" t="s">
        <v>88</v>
      </c>
      <c r="E1588" s="548" t="s">
        <v>196</v>
      </c>
      <c r="F1588" s="622">
        <v>238.2</v>
      </c>
      <c r="G1588" s="623" t="s">
        <v>6660</v>
      </c>
      <c r="H1588" s="548" t="s">
        <v>114</v>
      </c>
      <c r="I1588" s="583" t="s">
        <v>465</v>
      </c>
      <c r="J1588" s="548" t="s">
        <v>114</v>
      </c>
      <c r="K1588" s="583" t="s">
        <v>466</v>
      </c>
      <c r="L1588" s="583" t="s">
        <v>467</v>
      </c>
      <c r="M1588" s="625">
        <v>201253667882</v>
      </c>
      <c r="N1588" s="620">
        <v>44539</v>
      </c>
      <c r="O1588" s="684" t="s">
        <v>67</v>
      </c>
      <c r="P1588" s="503">
        <f t="shared" si="104"/>
        <v>12</v>
      </c>
      <c r="Q1588" s="503">
        <f t="shared" si="105"/>
        <v>12</v>
      </c>
      <c r="R1588" s="504" t="str">
        <f t="shared" si="106"/>
        <v>Gastos_com_Pessoal</v>
      </c>
      <c r="S1588" s="504" t="str">
        <f>IF(D1588="","",IF(OR(D1588=Plano!$A$1,D1588=Plano!$B$1),"entrada","saída"))</f>
        <v>saída</v>
      </c>
      <c r="T1588" s="505" t="s">
        <v>114</v>
      </c>
      <c r="U1588" s="505" t="s">
        <v>114</v>
      </c>
      <c r="V1588" s="541"/>
    </row>
    <row r="1589" spans="1:22" ht="50.1" customHeight="1" x14ac:dyDescent="0.2">
      <c r="A1589" s="619">
        <f>IF(B1589="","",COUNT('Diário 5º PA'!$A$5:$A$2634)+COUNT('Diário 6º PA'!$A$5:$A$2246)+COUNT('Diário 7º PA'!$A$5:$A$2271)+ROW()-4)</f>
        <v>5535</v>
      </c>
      <c r="B1589" s="620">
        <v>44539</v>
      </c>
      <c r="C1589" s="624">
        <v>44470</v>
      </c>
      <c r="D1589" s="548" t="s">
        <v>99</v>
      </c>
      <c r="E1589" s="548" t="s">
        <v>370</v>
      </c>
      <c r="F1589" s="622">
        <v>101.32</v>
      </c>
      <c r="G1589" s="623" t="s">
        <v>6661</v>
      </c>
      <c r="H1589" s="548" t="s">
        <v>116</v>
      </c>
      <c r="I1589" s="583" t="s">
        <v>465</v>
      </c>
      <c r="J1589" s="548" t="s">
        <v>114</v>
      </c>
      <c r="K1589" s="583" t="s">
        <v>466</v>
      </c>
      <c r="L1589" s="583" t="s">
        <v>467</v>
      </c>
      <c r="M1589" s="625">
        <v>221253668420</v>
      </c>
      <c r="N1589" s="620">
        <v>44539</v>
      </c>
      <c r="O1589" s="684" t="s">
        <v>67</v>
      </c>
      <c r="P1589" s="503">
        <f t="shared" si="104"/>
        <v>12</v>
      </c>
      <c r="Q1589" s="503">
        <f t="shared" si="105"/>
        <v>10</v>
      </c>
      <c r="R1589" s="504" t="str">
        <f t="shared" si="106"/>
        <v>Gastos_Gerais</v>
      </c>
      <c r="S1589" s="504" t="str">
        <f>IF(D1589="","",IF(OR(D1589=Plano!$A$1,D1589=Plano!$B$1),"entrada","saída"))</f>
        <v>saída</v>
      </c>
      <c r="T1589" s="505" t="s">
        <v>114</v>
      </c>
      <c r="U1589" s="505" t="s">
        <v>114</v>
      </c>
      <c r="V1589" s="541"/>
    </row>
    <row r="1590" spans="1:22" ht="50.1" customHeight="1" x14ac:dyDescent="0.2">
      <c r="A1590" s="619">
        <f>IF(B1590="","",COUNT('Diário 5º PA'!$A$5:$A$2634)+COUNT('Diário 6º PA'!$A$5:$A$2246)+COUNT('Diário 7º PA'!$A$5:$A$2271)+ROW()-4)</f>
        <v>5536</v>
      </c>
      <c r="B1590" s="620">
        <v>44539</v>
      </c>
      <c r="C1590" s="624">
        <v>44470</v>
      </c>
      <c r="D1590" s="548" t="s">
        <v>99</v>
      </c>
      <c r="E1590" s="548" t="s">
        <v>370</v>
      </c>
      <c r="F1590" s="622">
        <v>101.32</v>
      </c>
      <c r="G1590" s="623" t="s">
        <v>6064</v>
      </c>
      <c r="H1590" s="548" t="s">
        <v>116</v>
      </c>
      <c r="I1590" s="583" t="s">
        <v>465</v>
      </c>
      <c r="J1590" s="548" t="s">
        <v>114</v>
      </c>
      <c r="K1590" s="583" t="s">
        <v>466</v>
      </c>
      <c r="L1590" s="583" t="s">
        <v>467</v>
      </c>
      <c r="M1590" s="625">
        <v>221253668692</v>
      </c>
      <c r="N1590" s="620">
        <v>44539</v>
      </c>
      <c r="O1590" s="684" t="s">
        <v>67</v>
      </c>
      <c r="P1590" s="503">
        <f t="shared" si="104"/>
        <v>12</v>
      </c>
      <c r="Q1590" s="503">
        <f t="shared" si="105"/>
        <v>10</v>
      </c>
      <c r="R1590" s="504" t="str">
        <f t="shared" si="106"/>
        <v>Gastos_Gerais</v>
      </c>
      <c r="S1590" s="504" t="str">
        <f>IF(D1590="","",IF(OR(D1590=Plano!$A$1,D1590=Plano!$B$1),"entrada","saída"))</f>
        <v>saída</v>
      </c>
      <c r="T1590" s="505" t="s">
        <v>114</v>
      </c>
      <c r="U1590" s="505" t="s">
        <v>114</v>
      </c>
      <c r="V1590" s="541"/>
    </row>
    <row r="1591" spans="1:22" ht="50.1" customHeight="1" x14ac:dyDescent="0.2">
      <c r="A1591" s="619">
        <f>IF(B1591="","",COUNT('Diário 5º PA'!$A$5:$A$2634)+COUNT('Diário 6º PA'!$A$5:$A$2246)+COUNT('Diário 7º PA'!$A$5:$A$2271)+ROW()-4)</f>
        <v>5537</v>
      </c>
      <c r="B1591" s="620">
        <v>44539</v>
      </c>
      <c r="C1591" s="624">
        <v>44470</v>
      </c>
      <c r="D1591" s="548" t="s">
        <v>99</v>
      </c>
      <c r="E1591" s="548" t="s">
        <v>336</v>
      </c>
      <c r="F1591" s="622">
        <v>74.5</v>
      </c>
      <c r="G1591" s="623" t="s">
        <v>6419</v>
      </c>
      <c r="H1591" s="548" t="s">
        <v>116</v>
      </c>
      <c r="I1591" s="583" t="s">
        <v>465</v>
      </c>
      <c r="J1591" s="548" t="s">
        <v>114</v>
      </c>
      <c r="K1591" s="583" t="s">
        <v>466</v>
      </c>
      <c r="L1591" s="583" t="s">
        <v>467</v>
      </c>
      <c r="M1591" s="625">
        <v>221253670166</v>
      </c>
      <c r="N1591" s="620">
        <v>44539</v>
      </c>
      <c r="O1591" s="684" t="s">
        <v>67</v>
      </c>
      <c r="P1591" s="503">
        <f t="shared" si="104"/>
        <v>12</v>
      </c>
      <c r="Q1591" s="503">
        <f t="shared" si="105"/>
        <v>10</v>
      </c>
      <c r="R1591" s="504" t="str">
        <f t="shared" si="106"/>
        <v>Gastos_Gerais</v>
      </c>
      <c r="S1591" s="504" t="str">
        <f>IF(D1591="","",IF(OR(D1591=Plano!$A$1,D1591=Plano!$B$1),"entrada","saída"))</f>
        <v>saída</v>
      </c>
      <c r="T1591" s="505" t="s">
        <v>114</v>
      </c>
      <c r="U1591" s="505" t="s">
        <v>114</v>
      </c>
      <c r="V1591" s="541"/>
    </row>
    <row r="1592" spans="1:22" ht="50.1" customHeight="1" x14ac:dyDescent="0.2">
      <c r="A1592" s="619">
        <f>IF(B1592="","",COUNT('Diário 5º PA'!$A$5:$A$2634)+COUNT('Diário 6º PA'!$A$5:$A$2246)+COUNT('Diário 7º PA'!$A$5:$A$2271)+ROW()-4)</f>
        <v>5538</v>
      </c>
      <c r="B1592" s="620">
        <v>44539</v>
      </c>
      <c r="C1592" s="628">
        <v>44470</v>
      </c>
      <c r="D1592" s="548" t="s">
        <v>99</v>
      </c>
      <c r="E1592" s="548" t="s">
        <v>358</v>
      </c>
      <c r="F1592" s="622">
        <v>120</v>
      </c>
      <c r="G1592" s="623" t="s">
        <v>6170</v>
      </c>
      <c r="H1592" s="548" t="s">
        <v>131</v>
      </c>
      <c r="I1592" s="583" t="s">
        <v>465</v>
      </c>
      <c r="J1592" s="548" t="s">
        <v>114</v>
      </c>
      <c r="K1592" s="583" t="s">
        <v>466</v>
      </c>
      <c r="L1592" s="583" t="s">
        <v>467</v>
      </c>
      <c r="M1592" s="625">
        <v>221253671642</v>
      </c>
      <c r="N1592" s="620">
        <v>44539</v>
      </c>
      <c r="O1592" s="684" t="s">
        <v>67</v>
      </c>
      <c r="P1592" s="503">
        <f t="shared" si="104"/>
        <v>12</v>
      </c>
      <c r="Q1592" s="503">
        <f t="shared" si="105"/>
        <v>10</v>
      </c>
      <c r="R1592" s="504" t="str">
        <f t="shared" si="106"/>
        <v>Gastos_Gerais</v>
      </c>
      <c r="S1592" s="504" t="str">
        <f>IF(D1592="","",IF(OR(D1592=Plano!$A$1,D1592=Plano!$B$1),"entrada","saída"))</f>
        <v>saída</v>
      </c>
      <c r="T1592" s="505" t="s">
        <v>114</v>
      </c>
      <c r="U1592" s="505" t="s">
        <v>114</v>
      </c>
      <c r="V1592" s="541"/>
    </row>
    <row r="1593" spans="1:22" ht="50.1" customHeight="1" x14ac:dyDescent="0.2">
      <c r="A1593" s="619">
        <f>IF(B1593="","",COUNT('Diário 5º PA'!$A$5:$A$2634)+COUNT('Diário 6º PA'!$A$5:$A$2246)+COUNT('Diário 7º PA'!$A$5:$A$2271)+ROW()-4)</f>
        <v>5539</v>
      </c>
      <c r="B1593" s="620">
        <v>44539</v>
      </c>
      <c r="C1593" s="624">
        <v>44440</v>
      </c>
      <c r="D1593" s="548" t="s">
        <v>99</v>
      </c>
      <c r="E1593" s="548" t="s">
        <v>364</v>
      </c>
      <c r="F1593" s="622">
        <v>17.5</v>
      </c>
      <c r="G1593" s="623" t="s">
        <v>6159</v>
      </c>
      <c r="H1593" s="548" t="s">
        <v>125</v>
      </c>
      <c r="I1593" s="583" t="s">
        <v>465</v>
      </c>
      <c r="J1593" s="548" t="s">
        <v>114</v>
      </c>
      <c r="K1593" s="583" t="s">
        <v>466</v>
      </c>
      <c r="L1593" s="583" t="s">
        <v>467</v>
      </c>
      <c r="M1593" s="625">
        <v>221253672029</v>
      </c>
      <c r="N1593" s="620">
        <v>44539</v>
      </c>
      <c r="O1593" s="684" t="s">
        <v>67</v>
      </c>
      <c r="P1593" s="503">
        <f t="shared" si="104"/>
        <v>12</v>
      </c>
      <c r="Q1593" s="503">
        <f t="shared" si="105"/>
        <v>9</v>
      </c>
      <c r="R1593" s="504" t="str">
        <f t="shared" si="106"/>
        <v>Gastos_Gerais</v>
      </c>
      <c r="S1593" s="504" t="str">
        <f>IF(D1593="","",IF(OR(D1593=Plano!$A$1,D1593=Plano!$B$1),"entrada","saída"))</f>
        <v>saída</v>
      </c>
      <c r="T1593" s="505" t="s">
        <v>114</v>
      </c>
      <c r="U1593" s="505" t="s">
        <v>114</v>
      </c>
      <c r="V1593" s="541"/>
    </row>
    <row r="1594" spans="1:22" ht="50.1" customHeight="1" x14ac:dyDescent="0.2">
      <c r="A1594" s="619">
        <f>IF(B1594="","",COUNT('Diário 5º PA'!$A$5:$A$2634)+COUNT('Diário 6º PA'!$A$5:$A$2246)+COUNT('Diário 7º PA'!$A$5:$A$2271)+ROW()-4)</f>
        <v>5540</v>
      </c>
      <c r="B1594" s="620">
        <v>44539</v>
      </c>
      <c r="C1594" s="624">
        <v>44470</v>
      </c>
      <c r="D1594" s="548" t="s">
        <v>99</v>
      </c>
      <c r="E1594" s="548" t="s">
        <v>358</v>
      </c>
      <c r="F1594" s="622">
        <v>132</v>
      </c>
      <c r="G1594" s="623" t="s">
        <v>6250</v>
      </c>
      <c r="H1594" s="548" t="s">
        <v>131</v>
      </c>
      <c r="I1594" s="583" t="s">
        <v>465</v>
      </c>
      <c r="J1594" s="548" t="s">
        <v>114</v>
      </c>
      <c r="K1594" s="583" t="s">
        <v>466</v>
      </c>
      <c r="L1594" s="583" t="s">
        <v>467</v>
      </c>
      <c r="M1594" s="625">
        <v>221253672371</v>
      </c>
      <c r="N1594" s="620">
        <v>44539</v>
      </c>
      <c r="O1594" s="684" t="s">
        <v>67</v>
      </c>
      <c r="P1594" s="503">
        <f t="shared" si="104"/>
        <v>12</v>
      </c>
      <c r="Q1594" s="503">
        <f t="shared" si="105"/>
        <v>10</v>
      </c>
      <c r="R1594" s="504" t="str">
        <f t="shared" si="106"/>
        <v>Gastos_Gerais</v>
      </c>
      <c r="S1594" s="504" t="str">
        <f>IF(D1594="","",IF(OR(D1594=Plano!$A$1,D1594=Plano!$B$1),"entrada","saída"))</f>
        <v>saída</v>
      </c>
      <c r="T1594" s="505" t="s">
        <v>114</v>
      </c>
      <c r="U1594" s="505" t="s">
        <v>114</v>
      </c>
      <c r="V1594" s="541"/>
    </row>
    <row r="1595" spans="1:22" ht="50.1" customHeight="1" x14ac:dyDescent="0.2">
      <c r="A1595" s="619">
        <f>IF(B1595="","",COUNT('Diário 5º PA'!$A$5:$A$2634)+COUNT('Diário 6º PA'!$A$5:$A$2246)+COUNT('Diário 7º PA'!$A$5:$A$2271)+ROW()-4)</f>
        <v>5541</v>
      </c>
      <c r="B1595" s="620">
        <v>44539</v>
      </c>
      <c r="C1595" s="624">
        <v>44470</v>
      </c>
      <c r="D1595" s="548" t="s">
        <v>99</v>
      </c>
      <c r="E1595" s="548" t="s">
        <v>262</v>
      </c>
      <c r="F1595" s="622">
        <v>60</v>
      </c>
      <c r="G1595" s="623" t="s">
        <v>6275</v>
      </c>
      <c r="H1595" s="548" t="s">
        <v>115</v>
      </c>
      <c r="I1595" s="583" t="s">
        <v>465</v>
      </c>
      <c r="J1595" s="548" t="s">
        <v>114</v>
      </c>
      <c r="K1595" s="583" t="s">
        <v>466</v>
      </c>
      <c r="L1595" s="583" t="s">
        <v>467</v>
      </c>
      <c r="M1595" s="625">
        <v>221253672886</v>
      </c>
      <c r="N1595" s="620">
        <v>44539</v>
      </c>
      <c r="O1595" s="684" t="s">
        <v>67</v>
      </c>
      <c r="P1595" s="503">
        <f t="shared" si="104"/>
        <v>12</v>
      </c>
      <c r="Q1595" s="503">
        <f t="shared" si="105"/>
        <v>10</v>
      </c>
      <c r="R1595" s="504" t="str">
        <f t="shared" si="106"/>
        <v>Gastos_Gerais</v>
      </c>
      <c r="S1595" s="504" t="str">
        <f>IF(D1595="","",IF(OR(D1595=Plano!$A$1,D1595=Plano!$B$1),"entrada","saída"))</f>
        <v>saída</v>
      </c>
      <c r="T1595" s="505" t="s">
        <v>114</v>
      </c>
      <c r="U1595" s="505" t="s">
        <v>114</v>
      </c>
      <c r="V1595" s="541"/>
    </row>
    <row r="1596" spans="1:22" ht="50.1" customHeight="1" x14ac:dyDescent="0.2">
      <c r="A1596" s="619">
        <f>IF(B1596="","",COUNT('Diário 5º PA'!$A$5:$A$2634)+COUNT('Diário 6º PA'!$A$5:$A$2246)+COUNT('Diário 7º PA'!$A$5:$A$2271)+ROW()-4)</f>
        <v>5542</v>
      </c>
      <c r="B1596" s="620">
        <v>44539</v>
      </c>
      <c r="C1596" s="624">
        <v>44409</v>
      </c>
      <c r="D1596" s="548" t="s">
        <v>99</v>
      </c>
      <c r="E1596" s="548" t="s">
        <v>364</v>
      </c>
      <c r="F1596" s="622">
        <v>300</v>
      </c>
      <c r="G1596" s="623" t="s">
        <v>6323</v>
      </c>
      <c r="H1596" s="548" t="s">
        <v>116</v>
      </c>
      <c r="I1596" s="583" t="s">
        <v>465</v>
      </c>
      <c r="J1596" s="548" t="s">
        <v>114</v>
      </c>
      <c r="K1596" s="583" t="s">
        <v>466</v>
      </c>
      <c r="L1596" s="583" t="s">
        <v>467</v>
      </c>
      <c r="M1596" s="625">
        <v>221253672967</v>
      </c>
      <c r="N1596" s="620">
        <v>44539</v>
      </c>
      <c r="O1596" s="684" t="s">
        <v>67</v>
      </c>
      <c r="P1596" s="503">
        <f t="shared" si="104"/>
        <v>12</v>
      </c>
      <c r="Q1596" s="503">
        <f t="shared" si="105"/>
        <v>8</v>
      </c>
      <c r="R1596" s="504" t="str">
        <f t="shared" si="106"/>
        <v>Gastos_Gerais</v>
      </c>
      <c r="S1596" s="504" t="str">
        <f>IF(D1596="","",IF(OR(D1596=Plano!$A$1,D1596=Plano!$B$1),"entrada","saída"))</f>
        <v>saída</v>
      </c>
      <c r="T1596" s="505" t="s">
        <v>114</v>
      </c>
      <c r="U1596" s="505" t="s">
        <v>114</v>
      </c>
      <c r="V1596" s="541"/>
    </row>
    <row r="1597" spans="1:22" ht="50.1" customHeight="1" x14ac:dyDescent="0.2">
      <c r="A1597" s="619">
        <f>IF(B1597="","",COUNT('Diário 5º PA'!$A$5:$A$2634)+COUNT('Diário 6º PA'!$A$5:$A$2246)+COUNT('Diário 7º PA'!$A$5:$A$2271)+ROW()-4)</f>
        <v>5543</v>
      </c>
      <c r="B1597" s="620">
        <v>44539</v>
      </c>
      <c r="C1597" s="624">
        <v>44501</v>
      </c>
      <c r="D1597" s="548" t="s">
        <v>99</v>
      </c>
      <c r="E1597" s="548" t="s">
        <v>364</v>
      </c>
      <c r="F1597" s="622">
        <v>25</v>
      </c>
      <c r="G1597" s="623" t="s">
        <v>6385</v>
      </c>
      <c r="H1597" s="548" t="s">
        <v>128</v>
      </c>
      <c r="I1597" s="583" t="s">
        <v>465</v>
      </c>
      <c r="J1597" s="548" t="s">
        <v>114</v>
      </c>
      <c r="K1597" s="583" t="s">
        <v>466</v>
      </c>
      <c r="L1597" s="583" t="s">
        <v>467</v>
      </c>
      <c r="M1597" s="625">
        <v>221253674153</v>
      </c>
      <c r="N1597" s="620">
        <v>44539</v>
      </c>
      <c r="O1597" s="684" t="s">
        <v>67</v>
      </c>
      <c r="P1597" s="503">
        <f t="shared" si="104"/>
        <v>12</v>
      </c>
      <c r="Q1597" s="503">
        <f t="shared" si="105"/>
        <v>11</v>
      </c>
      <c r="R1597" s="504" t="str">
        <f t="shared" si="106"/>
        <v>Gastos_Gerais</v>
      </c>
      <c r="S1597" s="504" t="str">
        <f>IF(D1597="","",IF(OR(D1597=Plano!$A$1,D1597=Plano!$B$1),"entrada","saída"))</f>
        <v>saída</v>
      </c>
      <c r="T1597" s="505" t="s">
        <v>114</v>
      </c>
      <c r="U1597" s="505" t="s">
        <v>114</v>
      </c>
      <c r="V1597" s="541"/>
    </row>
    <row r="1598" spans="1:22" ht="50.1" customHeight="1" x14ac:dyDescent="0.2">
      <c r="A1598" s="619">
        <f>IF(B1598="","",COUNT('Diário 5º PA'!$A$5:$A$2634)+COUNT('Diário 6º PA'!$A$5:$A$2246)+COUNT('Diário 7º PA'!$A$5:$A$2271)+ROW()-4)</f>
        <v>5544</v>
      </c>
      <c r="B1598" s="620">
        <v>44539</v>
      </c>
      <c r="C1598" s="624">
        <v>44501</v>
      </c>
      <c r="D1598" s="548" t="s">
        <v>99</v>
      </c>
      <c r="E1598" s="548" t="s">
        <v>358</v>
      </c>
      <c r="F1598" s="622">
        <v>36</v>
      </c>
      <c r="G1598" s="623" t="s">
        <v>6377</v>
      </c>
      <c r="H1598" s="548" t="s">
        <v>128</v>
      </c>
      <c r="I1598" s="583" t="s">
        <v>465</v>
      </c>
      <c r="J1598" s="548" t="s">
        <v>114</v>
      </c>
      <c r="K1598" s="583" t="s">
        <v>466</v>
      </c>
      <c r="L1598" s="583" t="s">
        <v>467</v>
      </c>
      <c r="M1598" s="625">
        <v>221253674404</v>
      </c>
      <c r="N1598" s="620">
        <v>44539</v>
      </c>
      <c r="O1598" s="684" t="s">
        <v>67</v>
      </c>
      <c r="P1598" s="503">
        <f t="shared" si="104"/>
        <v>12</v>
      </c>
      <c r="Q1598" s="503">
        <f t="shared" si="105"/>
        <v>11</v>
      </c>
      <c r="R1598" s="504" t="str">
        <f t="shared" si="106"/>
        <v>Gastos_Gerais</v>
      </c>
      <c r="S1598" s="504" t="str">
        <f>IF(D1598="","",IF(OR(D1598=Plano!$A$1,D1598=Plano!$B$1),"entrada","saída"))</f>
        <v>saída</v>
      </c>
      <c r="T1598" s="505" t="s">
        <v>114</v>
      </c>
      <c r="U1598" s="505" t="s">
        <v>114</v>
      </c>
      <c r="V1598" s="541"/>
    </row>
    <row r="1599" spans="1:22" ht="50.1" customHeight="1" x14ac:dyDescent="0.2">
      <c r="A1599" s="619">
        <f>IF(B1599="","",COUNT('Diário 5º PA'!$A$5:$A$2634)+COUNT('Diário 6º PA'!$A$5:$A$2246)+COUNT('Diário 7º PA'!$A$5:$A$2271)+ROW()-4)</f>
        <v>5545</v>
      </c>
      <c r="B1599" s="620">
        <v>44539</v>
      </c>
      <c r="C1599" s="624">
        <v>44501</v>
      </c>
      <c r="D1599" s="548" t="s">
        <v>99</v>
      </c>
      <c r="E1599" s="548" t="s">
        <v>358</v>
      </c>
      <c r="F1599" s="622">
        <v>15</v>
      </c>
      <c r="G1599" s="623" t="s">
        <v>6374</v>
      </c>
      <c r="H1599" s="548" t="s">
        <v>128</v>
      </c>
      <c r="I1599" s="583" t="s">
        <v>465</v>
      </c>
      <c r="J1599" s="548" t="s">
        <v>114</v>
      </c>
      <c r="K1599" s="583" t="s">
        <v>466</v>
      </c>
      <c r="L1599" s="583" t="s">
        <v>467</v>
      </c>
      <c r="M1599" s="625">
        <v>221253674587</v>
      </c>
      <c r="N1599" s="620">
        <v>44539</v>
      </c>
      <c r="O1599" s="684" t="s">
        <v>67</v>
      </c>
      <c r="P1599" s="503">
        <f t="shared" si="104"/>
        <v>12</v>
      </c>
      <c r="Q1599" s="503">
        <f t="shared" si="105"/>
        <v>11</v>
      </c>
      <c r="R1599" s="504" t="str">
        <f t="shared" si="106"/>
        <v>Gastos_Gerais</v>
      </c>
      <c r="S1599" s="504" t="str">
        <f>IF(D1599="","",IF(OR(D1599=Plano!$A$1,D1599=Plano!$B$1),"entrada","saída"))</f>
        <v>saída</v>
      </c>
      <c r="T1599" s="505" t="s">
        <v>114</v>
      </c>
      <c r="U1599" s="505" t="s">
        <v>114</v>
      </c>
      <c r="V1599" s="541"/>
    </row>
    <row r="1600" spans="1:22" ht="50.1" customHeight="1" x14ac:dyDescent="0.2">
      <c r="A1600" s="619">
        <f>IF(B1600="","",COUNT('Diário 5º PA'!$A$5:$A$2634)+COUNT('Diário 6º PA'!$A$5:$A$2246)+COUNT('Diário 7º PA'!$A$5:$A$2271)+ROW()-4)</f>
        <v>5546</v>
      </c>
      <c r="B1600" s="620">
        <v>44539</v>
      </c>
      <c r="C1600" s="624">
        <v>44440</v>
      </c>
      <c r="D1600" s="548" t="s">
        <v>99</v>
      </c>
      <c r="E1600" s="548" t="s">
        <v>352</v>
      </c>
      <c r="F1600" s="622">
        <v>86.23</v>
      </c>
      <c r="G1600" s="623" t="s">
        <v>6105</v>
      </c>
      <c r="H1600" s="548" t="s">
        <v>125</v>
      </c>
      <c r="I1600" s="583" t="s">
        <v>465</v>
      </c>
      <c r="J1600" s="548" t="s">
        <v>114</v>
      </c>
      <c r="K1600" s="583" t="s">
        <v>466</v>
      </c>
      <c r="L1600" s="583" t="s">
        <v>467</v>
      </c>
      <c r="M1600" s="625">
        <v>221253675125</v>
      </c>
      <c r="N1600" s="620">
        <v>44539</v>
      </c>
      <c r="O1600" s="684" t="s">
        <v>67</v>
      </c>
      <c r="P1600" s="503">
        <f t="shared" si="104"/>
        <v>12</v>
      </c>
      <c r="Q1600" s="503">
        <f t="shared" si="105"/>
        <v>9</v>
      </c>
      <c r="R1600" s="504" t="str">
        <f t="shared" si="106"/>
        <v>Gastos_Gerais</v>
      </c>
      <c r="S1600" s="504" t="str">
        <f>IF(D1600="","",IF(OR(D1600=Plano!$A$1,D1600=Plano!$B$1),"entrada","saída"))</f>
        <v>saída</v>
      </c>
      <c r="T1600" s="505" t="s">
        <v>114</v>
      </c>
      <c r="U1600" s="505" t="s">
        <v>114</v>
      </c>
      <c r="V1600" s="541"/>
    </row>
    <row r="1601" spans="1:22" ht="50.1" customHeight="1" x14ac:dyDescent="0.2">
      <c r="A1601" s="619">
        <f>IF(B1601="","",COUNT('Diário 5º PA'!$A$5:$A$2634)+COUNT('Diário 6º PA'!$A$5:$A$2246)+COUNT('Diário 7º PA'!$A$5:$A$2271)+ROW()-4)</f>
        <v>5547</v>
      </c>
      <c r="B1601" s="620">
        <v>44539</v>
      </c>
      <c r="C1601" s="624">
        <v>44440</v>
      </c>
      <c r="D1601" s="548" t="s">
        <v>99</v>
      </c>
      <c r="E1601" s="548" t="s">
        <v>352</v>
      </c>
      <c r="F1601" s="622">
        <v>86.23</v>
      </c>
      <c r="G1601" s="623" t="s">
        <v>6104</v>
      </c>
      <c r="H1601" s="548" t="s">
        <v>125</v>
      </c>
      <c r="I1601" s="583" t="s">
        <v>465</v>
      </c>
      <c r="J1601" s="548" t="s">
        <v>114</v>
      </c>
      <c r="K1601" s="583" t="s">
        <v>466</v>
      </c>
      <c r="L1601" s="583" t="s">
        <v>467</v>
      </c>
      <c r="M1601" s="625">
        <v>221253675478</v>
      </c>
      <c r="N1601" s="620">
        <v>44539</v>
      </c>
      <c r="O1601" s="684" t="s">
        <v>67</v>
      </c>
      <c r="P1601" s="503">
        <f t="shared" si="104"/>
        <v>12</v>
      </c>
      <c r="Q1601" s="503">
        <f t="shared" si="105"/>
        <v>9</v>
      </c>
      <c r="R1601" s="504" t="str">
        <f t="shared" si="106"/>
        <v>Gastos_Gerais</v>
      </c>
      <c r="S1601" s="504" t="str">
        <f>IF(D1601="","",IF(OR(D1601=Plano!$A$1,D1601=Plano!$B$1),"entrada","saída"))</f>
        <v>saída</v>
      </c>
      <c r="T1601" s="505" t="s">
        <v>114</v>
      </c>
      <c r="U1601" s="505" t="s">
        <v>114</v>
      </c>
      <c r="V1601" s="541"/>
    </row>
    <row r="1602" spans="1:22" ht="50.1" customHeight="1" x14ac:dyDescent="0.2">
      <c r="A1602" s="619">
        <f>IF(B1602="","",COUNT('Diário 5º PA'!$A$5:$A$2634)+COUNT('Diário 6º PA'!$A$5:$A$2246)+COUNT('Diário 7º PA'!$A$5:$A$2271)+ROW()-4)</f>
        <v>5548</v>
      </c>
      <c r="B1602" s="620">
        <v>44539</v>
      </c>
      <c r="C1602" s="624">
        <v>44501</v>
      </c>
      <c r="D1602" s="548" t="s">
        <v>99</v>
      </c>
      <c r="E1602" s="548" t="s">
        <v>352</v>
      </c>
      <c r="F1602" s="622">
        <v>212.01</v>
      </c>
      <c r="G1602" s="623" t="s">
        <v>6257</v>
      </c>
      <c r="H1602" s="548" t="s">
        <v>131</v>
      </c>
      <c r="I1602" s="583" t="s">
        <v>465</v>
      </c>
      <c r="J1602" s="548" t="s">
        <v>114</v>
      </c>
      <c r="K1602" s="583" t="s">
        <v>466</v>
      </c>
      <c r="L1602" s="583" t="s">
        <v>467</v>
      </c>
      <c r="M1602" s="625">
        <v>221253676105</v>
      </c>
      <c r="N1602" s="620">
        <v>44539</v>
      </c>
      <c r="O1602" s="684" t="s">
        <v>67</v>
      </c>
      <c r="P1602" s="503">
        <f t="shared" si="104"/>
        <v>12</v>
      </c>
      <c r="Q1602" s="503">
        <f t="shared" si="105"/>
        <v>11</v>
      </c>
      <c r="R1602" s="504" t="str">
        <f t="shared" si="106"/>
        <v>Gastos_Gerais</v>
      </c>
      <c r="S1602" s="504" t="str">
        <f>IF(D1602="","",IF(OR(D1602=Plano!$A$1,D1602=Plano!$B$1),"entrada","saída"))</f>
        <v>saída</v>
      </c>
      <c r="T1602" s="505" t="s">
        <v>114</v>
      </c>
      <c r="U1602" s="505" t="s">
        <v>114</v>
      </c>
      <c r="V1602" s="541"/>
    </row>
    <row r="1603" spans="1:22" ht="50.1" customHeight="1" x14ac:dyDescent="0.2">
      <c r="A1603" s="619">
        <f>IF(B1603="","",COUNT('Diário 5º PA'!$A$5:$A$2634)+COUNT('Diário 6º PA'!$A$5:$A$2246)+COUNT('Diário 7º PA'!$A$5:$A$2271)+ROW()-4)</f>
        <v>5549</v>
      </c>
      <c r="B1603" s="620">
        <v>44539</v>
      </c>
      <c r="C1603" s="624">
        <v>44501</v>
      </c>
      <c r="D1603" s="548" t="s">
        <v>99</v>
      </c>
      <c r="E1603" s="548" t="s">
        <v>352</v>
      </c>
      <c r="F1603" s="622">
        <v>51.35</v>
      </c>
      <c r="G1603" s="623" t="s">
        <v>6255</v>
      </c>
      <c r="H1603" s="548" t="s">
        <v>131</v>
      </c>
      <c r="I1603" s="583" t="s">
        <v>465</v>
      </c>
      <c r="J1603" s="548" t="s">
        <v>114</v>
      </c>
      <c r="K1603" s="583" t="s">
        <v>466</v>
      </c>
      <c r="L1603" s="583" t="s">
        <v>467</v>
      </c>
      <c r="M1603" s="625">
        <v>221253676389</v>
      </c>
      <c r="N1603" s="620">
        <v>44539</v>
      </c>
      <c r="O1603" s="684" t="s">
        <v>67</v>
      </c>
      <c r="P1603" s="503">
        <f t="shared" si="104"/>
        <v>12</v>
      </c>
      <c r="Q1603" s="503">
        <f t="shared" si="105"/>
        <v>11</v>
      </c>
      <c r="R1603" s="504" t="str">
        <f t="shared" si="106"/>
        <v>Gastos_Gerais</v>
      </c>
      <c r="S1603" s="504" t="str">
        <f>IF(D1603="","",IF(OR(D1603=Plano!$A$1,D1603=Plano!$B$1),"entrada","saída"))</f>
        <v>saída</v>
      </c>
      <c r="T1603" s="505" t="s">
        <v>114</v>
      </c>
      <c r="U1603" s="505" t="s">
        <v>114</v>
      </c>
      <c r="V1603" s="541"/>
    </row>
    <row r="1604" spans="1:22" ht="50.1" customHeight="1" x14ac:dyDescent="0.2">
      <c r="A1604" s="619">
        <f>IF(B1604="","",COUNT('Diário 5º PA'!$A$5:$A$2634)+COUNT('Diário 6º PA'!$A$5:$A$2246)+COUNT('Diário 7º PA'!$A$5:$A$2271)+ROW()-4)</f>
        <v>5550</v>
      </c>
      <c r="B1604" s="620">
        <v>44539</v>
      </c>
      <c r="C1604" s="624">
        <v>44440</v>
      </c>
      <c r="D1604" s="548" t="s">
        <v>99</v>
      </c>
      <c r="E1604" s="548" t="s">
        <v>226</v>
      </c>
      <c r="F1604" s="622">
        <v>53.79</v>
      </c>
      <c r="G1604" s="623" t="s">
        <v>6254</v>
      </c>
      <c r="H1604" s="548" t="s">
        <v>131</v>
      </c>
      <c r="I1604" s="583" t="s">
        <v>465</v>
      </c>
      <c r="J1604" s="548" t="s">
        <v>114</v>
      </c>
      <c r="K1604" s="583" t="s">
        <v>466</v>
      </c>
      <c r="L1604" s="583" t="s">
        <v>467</v>
      </c>
      <c r="M1604" s="625">
        <v>221253676792</v>
      </c>
      <c r="N1604" s="620">
        <v>44539</v>
      </c>
      <c r="O1604" s="684" t="s">
        <v>67</v>
      </c>
      <c r="P1604" s="503">
        <f t="shared" si="104"/>
        <v>12</v>
      </c>
      <c r="Q1604" s="503">
        <f t="shared" si="105"/>
        <v>9</v>
      </c>
      <c r="R1604" s="504" t="str">
        <f t="shared" si="106"/>
        <v>Gastos_Gerais</v>
      </c>
      <c r="S1604" s="504" t="str">
        <f>IF(D1604="","",IF(OR(D1604=Plano!$A$1,D1604=Plano!$B$1),"entrada","saída"))</f>
        <v>saída</v>
      </c>
      <c r="T1604" s="505" t="s">
        <v>114</v>
      </c>
      <c r="U1604" s="505" t="s">
        <v>114</v>
      </c>
      <c r="V1604" s="541"/>
    </row>
    <row r="1605" spans="1:22" ht="50.1" customHeight="1" x14ac:dyDescent="0.2">
      <c r="A1605" s="619">
        <f>IF(B1605="","",COUNT('Diário 5º PA'!$A$5:$A$2634)+COUNT('Diário 6º PA'!$A$5:$A$2246)+COUNT('Diário 7º PA'!$A$5:$A$2271)+ROW()-4)</f>
        <v>5551</v>
      </c>
      <c r="B1605" s="620">
        <v>44539</v>
      </c>
      <c r="C1605" s="624">
        <v>44470</v>
      </c>
      <c r="D1605" s="548" t="s">
        <v>99</v>
      </c>
      <c r="E1605" s="548" t="s">
        <v>364</v>
      </c>
      <c r="F1605" s="622">
        <v>32.159999999999997</v>
      </c>
      <c r="G1605" s="623" t="s">
        <v>6017</v>
      </c>
      <c r="H1605" s="548" t="s">
        <v>118</v>
      </c>
      <c r="I1605" s="583" t="s">
        <v>465</v>
      </c>
      <c r="J1605" s="548" t="s">
        <v>114</v>
      </c>
      <c r="K1605" s="583" t="s">
        <v>466</v>
      </c>
      <c r="L1605" s="583" t="s">
        <v>467</v>
      </c>
      <c r="M1605" s="625">
        <v>221253677250</v>
      </c>
      <c r="N1605" s="620">
        <v>44539</v>
      </c>
      <c r="O1605" s="684" t="s">
        <v>67</v>
      </c>
      <c r="P1605" s="503">
        <f t="shared" si="104"/>
        <v>12</v>
      </c>
      <c r="Q1605" s="503">
        <f t="shared" si="105"/>
        <v>10</v>
      </c>
      <c r="R1605" s="504" t="str">
        <f t="shared" si="106"/>
        <v>Gastos_Gerais</v>
      </c>
      <c r="S1605" s="504" t="str">
        <f>IF(D1605="","",IF(OR(D1605=Plano!$A$1,D1605=Plano!$B$1),"entrada","saída"))</f>
        <v>saída</v>
      </c>
      <c r="T1605" s="505" t="s">
        <v>114</v>
      </c>
      <c r="U1605" s="505" t="s">
        <v>114</v>
      </c>
      <c r="V1605" s="541"/>
    </row>
    <row r="1606" spans="1:22" ht="50.1" customHeight="1" x14ac:dyDescent="0.2">
      <c r="A1606" s="619">
        <f>IF(B1606="","",COUNT('Diário 5º PA'!$A$5:$A$2634)+COUNT('Diário 6º PA'!$A$5:$A$2246)+COUNT('Diário 7º PA'!$A$5:$A$2271)+ROW()-4)</f>
        <v>5552</v>
      </c>
      <c r="B1606" s="620">
        <v>44539</v>
      </c>
      <c r="C1606" s="624">
        <v>44470</v>
      </c>
      <c r="D1606" s="548" t="s">
        <v>99</v>
      </c>
      <c r="E1606" s="548" t="s">
        <v>364</v>
      </c>
      <c r="F1606" s="622">
        <v>120</v>
      </c>
      <c r="G1606" s="623" t="s">
        <v>6161</v>
      </c>
      <c r="H1606" s="548" t="s">
        <v>131</v>
      </c>
      <c r="I1606" s="583" t="s">
        <v>465</v>
      </c>
      <c r="J1606" s="548" t="s">
        <v>114</v>
      </c>
      <c r="K1606" s="583" t="s">
        <v>466</v>
      </c>
      <c r="L1606" s="583" t="s">
        <v>467</v>
      </c>
      <c r="M1606" s="625">
        <v>221253677500</v>
      </c>
      <c r="N1606" s="620">
        <v>44539</v>
      </c>
      <c r="O1606" s="684" t="s">
        <v>67</v>
      </c>
      <c r="P1606" s="503">
        <f t="shared" si="104"/>
        <v>12</v>
      </c>
      <c r="Q1606" s="503">
        <f t="shared" si="105"/>
        <v>10</v>
      </c>
      <c r="R1606" s="504" t="str">
        <f t="shared" si="106"/>
        <v>Gastos_Gerais</v>
      </c>
      <c r="S1606" s="504" t="str">
        <f>IF(D1606="","",IF(OR(D1606=Plano!$A$1,D1606=Plano!$B$1),"entrada","saída"))</f>
        <v>saída</v>
      </c>
      <c r="T1606" s="505" t="s">
        <v>114</v>
      </c>
      <c r="U1606" s="505" t="s">
        <v>114</v>
      </c>
      <c r="V1606" s="541"/>
    </row>
    <row r="1607" spans="1:22" ht="50.1" customHeight="1" x14ac:dyDescent="0.2">
      <c r="A1607" s="619">
        <f>IF(B1607="","",COUNT('Diário 5º PA'!$A$5:$A$2634)+COUNT('Diário 6º PA'!$A$5:$A$2246)+COUNT('Diário 7º PA'!$A$5:$A$2271)+ROW()-4)</f>
        <v>5553</v>
      </c>
      <c r="B1607" s="620">
        <v>44539</v>
      </c>
      <c r="C1607" s="624">
        <v>44470</v>
      </c>
      <c r="D1607" s="548" t="s">
        <v>99</v>
      </c>
      <c r="E1607" s="548" t="s">
        <v>336</v>
      </c>
      <c r="F1607" s="622">
        <v>69</v>
      </c>
      <c r="G1607" s="623" t="s">
        <v>6110</v>
      </c>
      <c r="H1607" s="548" t="s">
        <v>116</v>
      </c>
      <c r="I1607" s="583" t="s">
        <v>465</v>
      </c>
      <c r="J1607" s="548" t="s">
        <v>114</v>
      </c>
      <c r="K1607" s="583" t="s">
        <v>466</v>
      </c>
      <c r="L1607" s="583" t="s">
        <v>467</v>
      </c>
      <c r="M1607" s="625">
        <v>221253677764</v>
      </c>
      <c r="N1607" s="620">
        <v>44539</v>
      </c>
      <c r="O1607" s="684" t="s">
        <v>67</v>
      </c>
      <c r="P1607" s="503">
        <f t="shared" si="104"/>
        <v>12</v>
      </c>
      <c r="Q1607" s="503">
        <f t="shared" si="105"/>
        <v>10</v>
      </c>
      <c r="R1607" s="504" t="str">
        <f t="shared" si="106"/>
        <v>Gastos_Gerais</v>
      </c>
      <c r="S1607" s="504" t="str">
        <f>IF(D1607="","",IF(OR(D1607=Plano!$A$1,D1607=Plano!$B$1),"entrada","saída"))</f>
        <v>saída</v>
      </c>
      <c r="T1607" s="505" t="s">
        <v>114</v>
      </c>
      <c r="U1607" s="505" t="s">
        <v>114</v>
      </c>
      <c r="V1607" s="541"/>
    </row>
    <row r="1608" spans="1:22" ht="50.1" customHeight="1" x14ac:dyDescent="0.2">
      <c r="A1608" s="619">
        <f>IF(B1608="","",COUNT('Diário 5º PA'!$A$5:$A$2634)+COUNT('Diário 6º PA'!$A$5:$A$2246)+COUNT('Diário 7º PA'!$A$5:$A$2271)+ROW()-4)</f>
        <v>5554</v>
      </c>
      <c r="B1608" s="620">
        <v>44539</v>
      </c>
      <c r="C1608" s="624">
        <v>44501</v>
      </c>
      <c r="D1608" s="548" t="s">
        <v>99</v>
      </c>
      <c r="E1608" s="548" t="s">
        <v>382</v>
      </c>
      <c r="F1608" s="622">
        <v>2.56</v>
      </c>
      <c r="G1608" s="623" t="s">
        <v>6471</v>
      </c>
      <c r="H1608" s="548" t="s">
        <v>116</v>
      </c>
      <c r="I1608" s="583" t="s">
        <v>465</v>
      </c>
      <c r="J1608" s="548" t="s">
        <v>114</v>
      </c>
      <c r="K1608" s="583" t="s">
        <v>466</v>
      </c>
      <c r="L1608" s="583" t="s">
        <v>467</v>
      </c>
      <c r="M1608" s="625">
        <v>221253678140</v>
      </c>
      <c r="N1608" s="620">
        <v>44539</v>
      </c>
      <c r="O1608" s="684" t="s">
        <v>67</v>
      </c>
      <c r="P1608" s="503">
        <f t="shared" si="104"/>
        <v>12</v>
      </c>
      <c r="Q1608" s="503">
        <f t="shared" si="105"/>
        <v>11</v>
      </c>
      <c r="R1608" s="504" t="str">
        <f t="shared" si="106"/>
        <v>Gastos_Gerais</v>
      </c>
      <c r="S1608" s="504" t="str">
        <f>IF(D1608="","",IF(OR(D1608=Plano!$A$1,D1608=Plano!$B$1),"entrada","saída"))</f>
        <v>saída</v>
      </c>
      <c r="T1608" s="505" t="s">
        <v>114</v>
      </c>
      <c r="U1608" s="505" t="s">
        <v>114</v>
      </c>
      <c r="V1608" s="541"/>
    </row>
    <row r="1609" spans="1:22" ht="50.1" customHeight="1" x14ac:dyDescent="0.2">
      <c r="A1609" s="619">
        <f>IF(B1609="","",COUNT('Diário 5º PA'!$A$5:$A$2634)+COUNT('Diário 6º PA'!$A$5:$A$2246)+COUNT('Diário 7º PA'!$A$5:$A$2271)+ROW()-4)</f>
        <v>5555</v>
      </c>
      <c r="B1609" s="620">
        <v>44539</v>
      </c>
      <c r="C1609" s="624">
        <v>44409</v>
      </c>
      <c r="D1609" s="548" t="s">
        <v>99</v>
      </c>
      <c r="E1609" s="548" t="s">
        <v>382</v>
      </c>
      <c r="F1609" s="622">
        <v>10.26</v>
      </c>
      <c r="G1609" s="623" t="s">
        <v>6332</v>
      </c>
      <c r="H1609" s="548" t="s">
        <v>131</v>
      </c>
      <c r="I1609" s="583" t="s">
        <v>465</v>
      </c>
      <c r="J1609" s="548" t="s">
        <v>114</v>
      </c>
      <c r="K1609" s="583" t="s">
        <v>466</v>
      </c>
      <c r="L1609" s="583" t="s">
        <v>467</v>
      </c>
      <c r="M1609" s="625">
        <v>221253678493</v>
      </c>
      <c r="N1609" s="620">
        <v>44539</v>
      </c>
      <c r="O1609" s="684" t="s">
        <v>67</v>
      </c>
      <c r="P1609" s="503">
        <f t="shared" si="104"/>
        <v>12</v>
      </c>
      <c r="Q1609" s="503">
        <f t="shared" si="105"/>
        <v>8</v>
      </c>
      <c r="R1609" s="504" t="str">
        <f t="shared" si="106"/>
        <v>Gastos_Gerais</v>
      </c>
      <c r="S1609" s="504" t="str">
        <f>IF(D1609="","",IF(OR(D1609=Plano!$A$1,D1609=Plano!$B$1),"entrada","saída"))</f>
        <v>saída</v>
      </c>
      <c r="T1609" s="505" t="s">
        <v>114</v>
      </c>
      <c r="U1609" s="505" t="s">
        <v>114</v>
      </c>
      <c r="V1609" s="541"/>
    </row>
    <row r="1610" spans="1:22" ht="50.1" customHeight="1" x14ac:dyDescent="0.2">
      <c r="A1610" s="619">
        <f>IF(B1610="","",COUNT('Diário 5º PA'!$A$5:$A$2634)+COUNT('Diário 6º PA'!$A$5:$A$2246)+COUNT('Diário 7º PA'!$A$5:$A$2271)+ROW()-4)</f>
        <v>5556</v>
      </c>
      <c r="B1610" s="620">
        <v>44539</v>
      </c>
      <c r="C1610" s="624">
        <v>44440</v>
      </c>
      <c r="D1610" s="548" t="s">
        <v>99</v>
      </c>
      <c r="E1610" s="548" t="s">
        <v>382</v>
      </c>
      <c r="F1610" s="622">
        <v>5.37</v>
      </c>
      <c r="G1610" s="623" t="s">
        <v>6662</v>
      </c>
      <c r="H1610" s="548" t="s">
        <v>131</v>
      </c>
      <c r="I1610" s="583" t="s">
        <v>465</v>
      </c>
      <c r="J1610" s="548" t="s">
        <v>114</v>
      </c>
      <c r="K1610" s="583" t="s">
        <v>466</v>
      </c>
      <c r="L1610" s="583" t="s">
        <v>467</v>
      </c>
      <c r="M1610" s="625">
        <v>221253678906</v>
      </c>
      <c r="N1610" s="620">
        <v>44539</v>
      </c>
      <c r="O1610" s="684" t="s">
        <v>67</v>
      </c>
      <c r="P1610" s="503">
        <f t="shared" si="104"/>
        <v>12</v>
      </c>
      <c r="Q1610" s="503">
        <f t="shared" si="105"/>
        <v>9</v>
      </c>
      <c r="R1610" s="504" t="str">
        <f t="shared" si="106"/>
        <v>Gastos_Gerais</v>
      </c>
      <c r="S1610" s="504" t="str">
        <f>IF(D1610="","",IF(OR(D1610=Plano!$A$1,D1610=Plano!$B$1),"entrada","saída"))</f>
        <v>saída</v>
      </c>
      <c r="T1610" s="505" t="s">
        <v>114</v>
      </c>
      <c r="U1610" s="505" t="s">
        <v>114</v>
      </c>
      <c r="V1610" s="541"/>
    </row>
    <row r="1611" spans="1:22" ht="50.1" customHeight="1" x14ac:dyDescent="0.2">
      <c r="A1611" s="619">
        <f>IF(B1611="","",COUNT('Diário 5º PA'!$A$5:$A$2634)+COUNT('Diário 6º PA'!$A$5:$A$2246)+COUNT('Diário 7º PA'!$A$5:$A$2271)+ROW()-4)</f>
        <v>5557</v>
      </c>
      <c r="B1611" s="620">
        <v>44539</v>
      </c>
      <c r="C1611" s="624">
        <v>44501</v>
      </c>
      <c r="D1611" s="548" t="s">
        <v>88</v>
      </c>
      <c r="E1611" s="548" t="s">
        <v>183</v>
      </c>
      <c r="F1611" s="622">
        <v>8.0500000000000007</v>
      </c>
      <c r="G1611" s="623" t="s">
        <v>6527</v>
      </c>
      <c r="H1611" s="548" t="s">
        <v>114</v>
      </c>
      <c r="I1611" s="583" t="s">
        <v>465</v>
      </c>
      <c r="J1611" s="548" t="s">
        <v>114</v>
      </c>
      <c r="K1611" s="583" t="s">
        <v>466</v>
      </c>
      <c r="L1611" s="583" t="s">
        <v>467</v>
      </c>
      <c r="M1611" s="625">
        <v>221253679112</v>
      </c>
      <c r="N1611" s="620">
        <v>44539</v>
      </c>
      <c r="O1611" s="684" t="s">
        <v>67</v>
      </c>
      <c r="P1611" s="503">
        <f t="shared" si="104"/>
        <v>12</v>
      </c>
      <c r="Q1611" s="503">
        <f t="shared" si="105"/>
        <v>11</v>
      </c>
      <c r="R1611" s="504" t="str">
        <f t="shared" si="106"/>
        <v>Gastos_com_Pessoal</v>
      </c>
      <c r="S1611" s="504" t="str">
        <f>IF(D1611="","",IF(OR(D1611=Plano!$A$1,D1611=Plano!$B$1),"entrada","saída"))</f>
        <v>saída</v>
      </c>
      <c r="T1611" s="505" t="s">
        <v>114</v>
      </c>
      <c r="U1611" s="505" t="s">
        <v>114</v>
      </c>
      <c r="V1611" s="541"/>
    </row>
    <row r="1612" spans="1:22" ht="50.1" customHeight="1" x14ac:dyDescent="0.2">
      <c r="A1612" s="619">
        <f>IF(B1612="","",COUNT('Diário 5º PA'!$A$5:$A$2634)+COUNT('Diário 6º PA'!$A$5:$A$2246)+COUNT('Diário 7º PA'!$A$5:$A$2271)+ROW()-4)</f>
        <v>5558</v>
      </c>
      <c r="B1612" s="620">
        <v>44539</v>
      </c>
      <c r="C1612" s="624">
        <v>44501</v>
      </c>
      <c r="D1612" s="548" t="s">
        <v>88</v>
      </c>
      <c r="E1612" s="548" t="s">
        <v>192</v>
      </c>
      <c r="F1612" s="622">
        <v>0.88</v>
      </c>
      <c r="G1612" s="623" t="s">
        <v>6663</v>
      </c>
      <c r="H1612" s="548" t="s">
        <v>114</v>
      </c>
      <c r="I1612" s="583" t="s">
        <v>465</v>
      </c>
      <c r="J1612" s="548" t="s">
        <v>114</v>
      </c>
      <c r="K1612" s="583" t="s">
        <v>466</v>
      </c>
      <c r="L1612" s="583" t="s">
        <v>467</v>
      </c>
      <c r="M1612" s="625">
        <v>221253679627</v>
      </c>
      <c r="N1612" s="620">
        <v>44539</v>
      </c>
      <c r="O1612" s="684" t="s">
        <v>67</v>
      </c>
      <c r="P1612" s="503">
        <f t="shared" si="104"/>
        <v>12</v>
      </c>
      <c r="Q1612" s="503">
        <f t="shared" si="105"/>
        <v>11</v>
      </c>
      <c r="R1612" s="504" t="str">
        <f t="shared" si="106"/>
        <v>Gastos_com_Pessoal</v>
      </c>
      <c r="S1612" s="504" t="str">
        <f>IF(D1612="","",IF(OR(D1612=Plano!$A$1,D1612=Plano!$B$1),"entrada","saída"))</f>
        <v>saída</v>
      </c>
      <c r="T1612" s="505" t="s">
        <v>114</v>
      </c>
      <c r="U1612" s="505" t="s">
        <v>114</v>
      </c>
      <c r="V1612" s="541"/>
    </row>
    <row r="1613" spans="1:22" ht="50.1" customHeight="1" x14ac:dyDescent="0.2">
      <c r="A1613" s="619">
        <f>IF(B1613="","",COUNT('Diário 5º PA'!$A$5:$A$2634)+COUNT('Diário 6º PA'!$A$5:$A$2246)+COUNT('Diário 7º PA'!$A$5:$A$2271)+ROW()-4)</f>
        <v>5559</v>
      </c>
      <c r="B1613" s="620">
        <v>44539</v>
      </c>
      <c r="C1613" s="624">
        <v>44501</v>
      </c>
      <c r="D1613" s="548" t="s">
        <v>88</v>
      </c>
      <c r="E1613" s="548" t="s">
        <v>192</v>
      </c>
      <c r="F1613" s="622">
        <v>0.13</v>
      </c>
      <c r="G1613" s="623" t="s">
        <v>6664</v>
      </c>
      <c r="H1613" s="548" t="s">
        <v>114</v>
      </c>
      <c r="I1613" s="583" t="s">
        <v>465</v>
      </c>
      <c r="J1613" s="548" t="s">
        <v>114</v>
      </c>
      <c r="K1613" s="583" t="s">
        <v>466</v>
      </c>
      <c r="L1613" s="583" t="s">
        <v>467</v>
      </c>
      <c r="M1613" s="625">
        <v>221253680390</v>
      </c>
      <c r="N1613" s="620">
        <v>44539</v>
      </c>
      <c r="O1613" s="684" t="s">
        <v>67</v>
      </c>
      <c r="P1613" s="503">
        <f t="shared" si="104"/>
        <v>12</v>
      </c>
      <c r="Q1613" s="503">
        <f t="shared" si="105"/>
        <v>11</v>
      </c>
      <c r="R1613" s="504" t="str">
        <f t="shared" si="106"/>
        <v>Gastos_com_Pessoal</v>
      </c>
      <c r="S1613" s="504" t="str">
        <f>IF(D1613="","",IF(OR(D1613=Plano!$A$1,D1613=Plano!$B$1),"entrada","saída"))</f>
        <v>saída</v>
      </c>
      <c r="T1613" s="505" t="s">
        <v>114</v>
      </c>
      <c r="U1613" s="505" t="s">
        <v>114</v>
      </c>
      <c r="V1613" s="541"/>
    </row>
    <row r="1614" spans="1:22" ht="50.1" customHeight="1" x14ac:dyDescent="0.2">
      <c r="A1614" s="619">
        <f>IF(B1614="","",COUNT('Diário 5º PA'!$A$5:$A$2634)+COUNT('Diário 6º PA'!$A$5:$A$2246)+COUNT('Diário 7º PA'!$A$5:$A$2271)+ROW()-4)</f>
        <v>5560</v>
      </c>
      <c r="B1614" s="620">
        <v>44539</v>
      </c>
      <c r="C1614" s="624">
        <v>44501</v>
      </c>
      <c r="D1614" s="548" t="s">
        <v>88</v>
      </c>
      <c r="E1614" s="548" t="s">
        <v>192</v>
      </c>
      <c r="F1614" s="622">
        <v>7.0000000000000007E-2</v>
      </c>
      <c r="G1614" s="623" t="s">
        <v>6665</v>
      </c>
      <c r="H1614" s="548" t="s">
        <v>114</v>
      </c>
      <c r="I1614" s="583" t="s">
        <v>465</v>
      </c>
      <c r="J1614" s="548" t="s">
        <v>114</v>
      </c>
      <c r="K1614" s="583" t="s">
        <v>466</v>
      </c>
      <c r="L1614" s="583" t="s">
        <v>467</v>
      </c>
      <c r="M1614" s="625">
        <v>221253680986</v>
      </c>
      <c r="N1614" s="620">
        <v>44539</v>
      </c>
      <c r="O1614" s="684" t="s">
        <v>67</v>
      </c>
      <c r="P1614" s="503">
        <f t="shared" si="104"/>
        <v>12</v>
      </c>
      <c r="Q1614" s="503">
        <f t="shared" si="105"/>
        <v>11</v>
      </c>
      <c r="R1614" s="504" t="str">
        <f t="shared" si="106"/>
        <v>Gastos_com_Pessoal</v>
      </c>
      <c r="S1614" s="504" t="str">
        <f>IF(D1614="","",IF(OR(D1614=Plano!$A$1,D1614=Plano!$B$1),"entrada","saída"))</f>
        <v>saída</v>
      </c>
      <c r="T1614" s="505" t="s">
        <v>114</v>
      </c>
      <c r="U1614" s="505" t="s">
        <v>114</v>
      </c>
      <c r="V1614" s="541"/>
    </row>
    <row r="1615" spans="1:22" ht="50.1" customHeight="1" x14ac:dyDescent="0.2">
      <c r="A1615" s="619">
        <f>IF(B1615="","",COUNT('Diário 5º PA'!$A$5:$A$2634)+COUNT('Diário 6º PA'!$A$5:$A$2246)+COUNT('Diário 7º PA'!$A$5:$A$2271)+ROW()-4)</f>
        <v>5561</v>
      </c>
      <c r="B1615" s="620">
        <v>44539</v>
      </c>
      <c r="C1615" s="624">
        <v>44501</v>
      </c>
      <c r="D1615" s="548" t="s">
        <v>88</v>
      </c>
      <c r="E1615" s="548" t="s">
        <v>192</v>
      </c>
      <c r="F1615" s="622">
        <v>0.1</v>
      </c>
      <c r="G1615" s="623" t="s">
        <v>6666</v>
      </c>
      <c r="H1615" s="548" t="s">
        <v>114</v>
      </c>
      <c r="I1615" s="583" t="s">
        <v>465</v>
      </c>
      <c r="J1615" s="548" t="s">
        <v>114</v>
      </c>
      <c r="K1615" s="583" t="s">
        <v>466</v>
      </c>
      <c r="L1615" s="583" t="s">
        <v>467</v>
      </c>
      <c r="M1615" s="625">
        <v>221253681524</v>
      </c>
      <c r="N1615" s="620">
        <v>44539</v>
      </c>
      <c r="O1615" s="684" t="s">
        <v>67</v>
      </c>
      <c r="P1615" s="503">
        <f t="shared" si="104"/>
        <v>12</v>
      </c>
      <c r="Q1615" s="503">
        <f t="shared" si="105"/>
        <v>11</v>
      </c>
      <c r="R1615" s="504" t="str">
        <f t="shared" si="106"/>
        <v>Gastos_com_Pessoal</v>
      </c>
      <c r="S1615" s="504" t="str">
        <f>IF(D1615="","",IF(OR(D1615=Plano!$A$1,D1615=Plano!$B$1),"entrada","saída"))</f>
        <v>saída</v>
      </c>
      <c r="T1615" s="505" t="s">
        <v>114</v>
      </c>
      <c r="U1615" s="505" t="s">
        <v>114</v>
      </c>
      <c r="V1615" s="541"/>
    </row>
    <row r="1616" spans="1:22" ht="50.1" customHeight="1" x14ac:dyDescent="0.2">
      <c r="A1616" s="619">
        <f>IF(B1616="","",COUNT('Diário 5º PA'!$A$5:$A$2634)+COUNT('Diário 6º PA'!$A$5:$A$2246)+COUNT('Diário 7º PA'!$A$5:$A$2271)+ROW()-4)</f>
        <v>5562</v>
      </c>
      <c r="B1616" s="620">
        <v>44539</v>
      </c>
      <c r="C1616" s="624">
        <v>44501</v>
      </c>
      <c r="D1616" s="548" t="s">
        <v>88</v>
      </c>
      <c r="E1616" s="548" t="s">
        <v>192</v>
      </c>
      <c r="F1616" s="622">
        <v>1.06</v>
      </c>
      <c r="G1616" s="623" t="s">
        <v>6667</v>
      </c>
      <c r="H1616" s="548" t="s">
        <v>114</v>
      </c>
      <c r="I1616" s="583" t="s">
        <v>465</v>
      </c>
      <c r="J1616" s="548" t="s">
        <v>114</v>
      </c>
      <c r="K1616" s="583" t="s">
        <v>466</v>
      </c>
      <c r="L1616" s="583" t="s">
        <v>467</v>
      </c>
      <c r="M1616" s="625">
        <v>221253682768</v>
      </c>
      <c r="N1616" s="620">
        <v>44539</v>
      </c>
      <c r="O1616" s="684" t="s">
        <v>67</v>
      </c>
      <c r="P1616" s="503">
        <f t="shared" si="104"/>
        <v>12</v>
      </c>
      <c r="Q1616" s="503">
        <f t="shared" si="105"/>
        <v>11</v>
      </c>
      <c r="R1616" s="504" t="str">
        <f t="shared" si="106"/>
        <v>Gastos_com_Pessoal</v>
      </c>
      <c r="S1616" s="504" t="str">
        <f>IF(D1616="","",IF(OR(D1616=Plano!$A$1,D1616=Plano!$B$1),"entrada","saída"))</f>
        <v>saída</v>
      </c>
      <c r="T1616" s="505" t="s">
        <v>114</v>
      </c>
      <c r="U1616" s="505" t="s">
        <v>114</v>
      </c>
      <c r="V1616" s="541"/>
    </row>
    <row r="1617" spans="1:22" ht="50.1" customHeight="1" x14ac:dyDescent="0.2">
      <c r="A1617" s="619">
        <f>IF(B1617="","",COUNT('Diário 5º PA'!$A$5:$A$2634)+COUNT('Diário 6º PA'!$A$5:$A$2246)+COUNT('Diário 7º PA'!$A$5:$A$2271)+ROW()-4)</f>
        <v>5563</v>
      </c>
      <c r="B1617" s="620">
        <v>44539</v>
      </c>
      <c r="C1617" s="628">
        <v>44531</v>
      </c>
      <c r="D1617" s="548" t="s">
        <v>99</v>
      </c>
      <c r="E1617" s="548" t="s">
        <v>272</v>
      </c>
      <c r="F1617" s="622">
        <v>10.45</v>
      </c>
      <c r="G1617" s="623" t="s">
        <v>6668</v>
      </c>
      <c r="H1617" s="548" t="s">
        <v>116</v>
      </c>
      <c r="I1617" s="583" t="s">
        <v>949</v>
      </c>
      <c r="J1617" s="548" t="s">
        <v>950</v>
      </c>
      <c r="K1617" s="583" t="s">
        <v>951</v>
      </c>
      <c r="L1617" s="583" t="s">
        <v>947</v>
      </c>
      <c r="M1617" s="625" t="s">
        <v>114</v>
      </c>
      <c r="N1617" s="620">
        <v>44539</v>
      </c>
      <c r="O1617" s="684" t="s">
        <v>67</v>
      </c>
      <c r="P1617" s="503">
        <f t="shared" si="104"/>
        <v>12</v>
      </c>
      <c r="Q1617" s="503">
        <f t="shared" si="105"/>
        <v>12</v>
      </c>
      <c r="R1617" s="504" t="str">
        <f t="shared" si="106"/>
        <v>Gastos_Gerais</v>
      </c>
      <c r="S1617" s="504" t="str">
        <f>IF(D1617="","",IF(OR(D1617=Plano!$A$1,D1617=Plano!$B$1),"entrada","saída"))</f>
        <v>saída</v>
      </c>
      <c r="T1617" s="511" t="s">
        <v>114</v>
      </c>
      <c r="U1617" s="511" t="s">
        <v>114</v>
      </c>
      <c r="V1617" s="541"/>
    </row>
    <row r="1618" spans="1:22" s="558" customFormat="1" ht="50.1" customHeight="1" x14ac:dyDescent="0.2">
      <c r="A1618" s="619">
        <f>IF(B1618="","",COUNT('Diário 5º PA'!$A$5:$A$2634)+COUNT('Diário 6º PA'!$A$5:$A$2246)+COUNT('Diário 7º PA'!$A$5:$A$2271)+ROW()-4)</f>
        <v>5564</v>
      </c>
      <c r="B1618" s="620">
        <v>44539</v>
      </c>
      <c r="C1618" s="628">
        <v>44531</v>
      </c>
      <c r="D1618" s="548" t="s">
        <v>77</v>
      </c>
      <c r="E1618" s="548" t="s">
        <v>147</v>
      </c>
      <c r="F1618" s="622">
        <v>504900</v>
      </c>
      <c r="G1618" s="623" t="s">
        <v>7063</v>
      </c>
      <c r="H1618" s="548" t="s">
        <v>114</v>
      </c>
      <c r="I1618" s="583" t="s">
        <v>983</v>
      </c>
      <c r="J1618" s="548" t="s">
        <v>850</v>
      </c>
      <c r="K1618" s="583" t="s">
        <v>1015</v>
      </c>
      <c r="L1618" s="583" t="s">
        <v>1177</v>
      </c>
      <c r="M1618" s="619" t="s">
        <v>114</v>
      </c>
      <c r="N1618" s="620">
        <v>44539</v>
      </c>
      <c r="O1618" s="684" t="s">
        <v>5377</v>
      </c>
      <c r="P1618" s="503">
        <f t="shared" si="104"/>
        <v>12</v>
      </c>
      <c r="Q1618" s="503">
        <f t="shared" si="105"/>
        <v>12</v>
      </c>
      <c r="R1618" s="504" t="str">
        <f t="shared" si="106"/>
        <v>Receitas</v>
      </c>
      <c r="S1618" s="504" t="str">
        <f>IF(D1618="","",IF(OR(D1618=Plano!$A$1,D1618=Plano!$B$1),"entrada","saída"))</f>
        <v>entrada</v>
      </c>
      <c r="T1618" s="511" t="s">
        <v>114</v>
      </c>
      <c r="U1618" s="511" t="s">
        <v>114</v>
      </c>
      <c r="V1618" s="541"/>
    </row>
    <row r="1619" spans="1:22" s="558" customFormat="1" ht="50.1" customHeight="1" x14ac:dyDescent="0.2">
      <c r="A1619" s="619">
        <f>IF(B1619="","",COUNT('Diário 5º PA'!$A$5:$A$2634)+COUNT('Diário 6º PA'!$A$5:$A$2246)+COUNT('Diário 7º PA'!$A$5:$A$2271)+ROW()-4)</f>
        <v>5565</v>
      </c>
      <c r="B1619" s="620">
        <v>44539</v>
      </c>
      <c r="C1619" s="628">
        <v>44531</v>
      </c>
      <c r="D1619" s="548" t="s">
        <v>77</v>
      </c>
      <c r="E1619" s="548" t="s">
        <v>147</v>
      </c>
      <c r="F1619" s="622">
        <v>89100</v>
      </c>
      <c r="G1619" s="623" t="s">
        <v>7063</v>
      </c>
      <c r="H1619" s="548" t="s">
        <v>114</v>
      </c>
      <c r="I1619" s="583" t="s">
        <v>983</v>
      </c>
      <c r="J1619" s="548" t="s">
        <v>850</v>
      </c>
      <c r="K1619" s="583" t="s">
        <v>1015</v>
      </c>
      <c r="L1619" s="583" t="s">
        <v>1177</v>
      </c>
      <c r="M1619" s="619" t="s">
        <v>114</v>
      </c>
      <c r="N1619" s="620">
        <v>44539</v>
      </c>
      <c r="O1619" s="684" t="s">
        <v>5377</v>
      </c>
      <c r="P1619" s="503">
        <f t="shared" si="104"/>
        <v>12</v>
      </c>
      <c r="Q1619" s="503">
        <f t="shared" si="105"/>
        <v>12</v>
      </c>
      <c r="R1619" s="504" t="str">
        <f t="shared" si="106"/>
        <v>Receitas</v>
      </c>
      <c r="S1619" s="504" t="str">
        <f>IF(D1619="","",IF(OR(D1619=Plano!$A$1,D1619=Plano!$B$1),"entrada","saída"))</f>
        <v>entrada</v>
      </c>
      <c r="T1619" s="511" t="s">
        <v>114</v>
      </c>
      <c r="U1619" s="511" t="s">
        <v>114</v>
      </c>
      <c r="V1619" s="541"/>
    </row>
    <row r="1620" spans="1:22" s="568" customFormat="1" ht="50.1" customHeight="1" x14ac:dyDescent="0.2">
      <c r="A1620" s="619">
        <f>IF(B1620="","",COUNT('Diário 5º PA'!$A$5:$A$2634)+COUNT('Diário 6º PA'!$A$5:$A$2246)+COUNT('Diário 7º PA'!$A$5:$A$2271)+ROW()-4)</f>
        <v>5566</v>
      </c>
      <c r="B1620" s="644">
        <v>44539</v>
      </c>
      <c r="C1620" s="650">
        <v>44470</v>
      </c>
      <c r="D1620" s="651" t="s">
        <v>104</v>
      </c>
      <c r="E1620" s="651" t="s">
        <v>104</v>
      </c>
      <c r="F1620" s="641">
        <v>75</v>
      </c>
      <c r="G1620" s="639" t="s">
        <v>7180</v>
      </c>
      <c r="H1620" s="651" t="s">
        <v>104</v>
      </c>
      <c r="I1620" s="631" t="s">
        <v>465</v>
      </c>
      <c r="J1620" s="651" t="s">
        <v>114</v>
      </c>
      <c r="K1620" s="640" t="s">
        <v>466</v>
      </c>
      <c r="L1620" s="640" t="s">
        <v>467</v>
      </c>
      <c r="M1620" s="652">
        <v>221253642545</v>
      </c>
      <c r="N1620" s="644">
        <v>44539</v>
      </c>
      <c r="O1620" s="685" t="s">
        <v>68</v>
      </c>
      <c r="P1620" s="503">
        <f t="shared" si="104"/>
        <v>12</v>
      </c>
      <c r="Q1620" s="503">
        <f t="shared" si="105"/>
        <v>10</v>
      </c>
      <c r="R1620" s="504" t="str">
        <f t="shared" si="106"/>
        <v>Gastos_custeados_por_captação</v>
      </c>
      <c r="S1620" s="504" t="str">
        <f>IF(D1620="","",IF(OR(D1620=Plano!$A$1,D1620=Plano!$B$1),"entrada","saída"))</f>
        <v>saída</v>
      </c>
      <c r="T1620" s="566" t="s">
        <v>114</v>
      </c>
      <c r="U1620" s="566" t="s">
        <v>114</v>
      </c>
      <c r="V1620" s="541"/>
    </row>
    <row r="1621" spans="1:22" s="569" customFormat="1" ht="50.1" customHeight="1" x14ac:dyDescent="0.2">
      <c r="A1621" s="619">
        <f>IF(B1621="","",COUNT('Diário 5º PA'!$A$5:$A$2634)+COUNT('Diário 6º PA'!$A$5:$A$2246)+COUNT('Diário 7º PA'!$A$5:$A$2271)+ROW()-4)</f>
        <v>5567</v>
      </c>
      <c r="B1621" s="644">
        <v>44539</v>
      </c>
      <c r="C1621" s="624">
        <v>44470</v>
      </c>
      <c r="D1621" s="651" t="s">
        <v>104</v>
      </c>
      <c r="E1621" s="651" t="s">
        <v>104</v>
      </c>
      <c r="F1621" s="622">
        <v>3173.92</v>
      </c>
      <c r="G1621" s="623" t="s">
        <v>7199</v>
      </c>
      <c r="H1621" s="651" t="s">
        <v>104</v>
      </c>
      <c r="I1621" s="583" t="s">
        <v>7198</v>
      </c>
      <c r="J1621" s="548" t="s">
        <v>2139</v>
      </c>
      <c r="K1621" s="583" t="s">
        <v>991</v>
      </c>
      <c r="L1621" s="583" t="s">
        <v>992</v>
      </c>
      <c r="M1621" s="619" t="s">
        <v>7200</v>
      </c>
      <c r="N1621" s="620">
        <v>44511</v>
      </c>
      <c r="O1621" s="684" t="s">
        <v>71</v>
      </c>
      <c r="P1621" s="503">
        <f t="shared" si="104"/>
        <v>12</v>
      </c>
      <c r="Q1621" s="503">
        <f t="shared" si="105"/>
        <v>10</v>
      </c>
      <c r="R1621" s="504" t="str">
        <f t="shared" si="106"/>
        <v>Gastos_custeados_por_captação</v>
      </c>
      <c r="S1621" s="504" t="str">
        <f>IF(D1621="","",IF(OR(D1621=Plano!$A$1,D1621=Plano!$B$1),"entrada","saída"))</f>
        <v>saída</v>
      </c>
      <c r="T1621" s="566" t="s">
        <v>994</v>
      </c>
      <c r="U1621" s="566">
        <v>2298</v>
      </c>
      <c r="V1621" s="541"/>
    </row>
    <row r="1622" spans="1:22" s="569" customFormat="1" ht="50.1" customHeight="1" x14ac:dyDescent="0.2">
      <c r="A1622" s="619">
        <f>IF(B1622="","",COUNT('Diário 5º PA'!$A$5:$A$2634)+COUNT('Diário 6º PA'!$A$5:$A$2246)+COUNT('Diário 7º PA'!$A$5:$A$2271)+ROW()-4)</f>
        <v>5568</v>
      </c>
      <c r="B1622" s="644">
        <v>44539</v>
      </c>
      <c r="C1622" s="645">
        <v>44470</v>
      </c>
      <c r="D1622" s="646" t="s">
        <v>104</v>
      </c>
      <c r="E1622" s="646" t="s">
        <v>104</v>
      </c>
      <c r="F1622" s="647">
        <v>75</v>
      </c>
      <c r="G1622" s="648" t="s">
        <v>7135</v>
      </c>
      <c r="H1622" s="646" t="s">
        <v>104</v>
      </c>
      <c r="I1622" s="631" t="s">
        <v>465</v>
      </c>
      <c r="J1622" s="646" t="s">
        <v>114</v>
      </c>
      <c r="K1622" s="627" t="s">
        <v>466</v>
      </c>
      <c r="L1622" s="627" t="s">
        <v>467</v>
      </c>
      <c r="M1622" s="653">
        <v>221253691082</v>
      </c>
      <c r="N1622" s="620">
        <v>44539</v>
      </c>
      <c r="O1622" s="684" t="s">
        <v>71</v>
      </c>
      <c r="P1622" s="503">
        <f t="shared" si="104"/>
        <v>12</v>
      </c>
      <c r="Q1622" s="503">
        <f t="shared" si="105"/>
        <v>10</v>
      </c>
      <c r="R1622" s="504" t="str">
        <f t="shared" si="106"/>
        <v>Gastos_custeados_por_captação</v>
      </c>
      <c r="S1622" s="504" t="str">
        <f>IF(D1622="","",IF(OR(D1622=Plano!$A$1,D1622=Plano!$B$1),"entrada","saída"))</f>
        <v>saída</v>
      </c>
      <c r="T1622" s="566" t="s">
        <v>114</v>
      </c>
      <c r="U1622" s="566" t="s">
        <v>114</v>
      </c>
      <c r="V1622" s="541"/>
    </row>
    <row r="1623" spans="1:22" s="569" customFormat="1" ht="50.1" customHeight="1" x14ac:dyDescent="0.2">
      <c r="A1623" s="619">
        <f>IF(B1623="","",COUNT('Diário 5º PA'!$A$5:$A$2634)+COUNT('Diário 6º PA'!$A$5:$A$2246)+COUNT('Diário 7º PA'!$A$5:$A$2271)+ROW()-4)</f>
        <v>5569</v>
      </c>
      <c r="B1623" s="644">
        <v>44539</v>
      </c>
      <c r="C1623" s="645">
        <v>44470</v>
      </c>
      <c r="D1623" s="646" t="s">
        <v>104</v>
      </c>
      <c r="E1623" s="646" t="s">
        <v>104</v>
      </c>
      <c r="F1623" s="647">
        <v>157.5</v>
      </c>
      <c r="G1623" s="648" t="s">
        <v>7142</v>
      </c>
      <c r="H1623" s="646" t="s">
        <v>104</v>
      </c>
      <c r="I1623" s="631" t="s">
        <v>465</v>
      </c>
      <c r="J1623" s="646" t="s">
        <v>114</v>
      </c>
      <c r="K1623" s="627" t="s">
        <v>466</v>
      </c>
      <c r="L1623" s="627" t="s">
        <v>467</v>
      </c>
      <c r="M1623" s="653">
        <v>221253691163</v>
      </c>
      <c r="N1623" s="620">
        <v>44539</v>
      </c>
      <c r="O1623" s="684" t="s">
        <v>71</v>
      </c>
      <c r="P1623" s="503">
        <f t="shared" si="104"/>
        <v>12</v>
      </c>
      <c r="Q1623" s="503">
        <f t="shared" si="105"/>
        <v>10</v>
      </c>
      <c r="R1623" s="504" t="str">
        <f t="shared" si="106"/>
        <v>Gastos_custeados_por_captação</v>
      </c>
      <c r="S1623" s="504" t="str">
        <f>IF(D1623="","",IF(OR(D1623=Plano!$A$1,D1623=Plano!$B$1),"entrada","saída"))</f>
        <v>saída</v>
      </c>
      <c r="T1623" s="566" t="s">
        <v>114</v>
      </c>
      <c r="U1623" s="566" t="s">
        <v>114</v>
      </c>
      <c r="V1623" s="541"/>
    </row>
    <row r="1624" spans="1:22" s="569" customFormat="1" ht="50.1" customHeight="1" x14ac:dyDescent="0.2">
      <c r="A1624" s="619">
        <f>IF(B1624="","",COUNT('Diário 5º PA'!$A$5:$A$2634)+COUNT('Diário 6º PA'!$A$5:$A$2246)+COUNT('Diário 7º PA'!$A$5:$A$2271)+ROW()-4)</f>
        <v>5570</v>
      </c>
      <c r="B1624" s="644">
        <v>44539</v>
      </c>
      <c r="C1624" s="645">
        <v>44470</v>
      </c>
      <c r="D1624" s="646" t="s">
        <v>104</v>
      </c>
      <c r="E1624" s="646" t="s">
        <v>104</v>
      </c>
      <c r="F1624" s="647">
        <v>77.180000000000007</v>
      </c>
      <c r="G1624" s="648" t="s">
        <v>7126</v>
      </c>
      <c r="H1624" s="646" t="s">
        <v>104</v>
      </c>
      <c r="I1624" s="631" t="s">
        <v>465</v>
      </c>
      <c r="J1624" s="646" t="s">
        <v>114</v>
      </c>
      <c r="K1624" s="627" t="s">
        <v>466</v>
      </c>
      <c r="L1624" s="627" t="s">
        <v>467</v>
      </c>
      <c r="M1624" s="653">
        <v>221253691830</v>
      </c>
      <c r="N1624" s="620">
        <v>44539</v>
      </c>
      <c r="O1624" s="684" t="s">
        <v>71</v>
      </c>
      <c r="P1624" s="503">
        <f t="shared" si="104"/>
        <v>12</v>
      </c>
      <c r="Q1624" s="503">
        <f t="shared" si="105"/>
        <v>10</v>
      </c>
      <c r="R1624" s="504" t="str">
        <f t="shared" si="106"/>
        <v>Gastos_custeados_por_captação</v>
      </c>
      <c r="S1624" s="504" t="str">
        <f>IF(D1624="","",IF(OR(D1624=Plano!$A$1,D1624=Plano!$B$1),"entrada","saída"))</f>
        <v>saída</v>
      </c>
      <c r="T1624" s="566" t="s">
        <v>114</v>
      </c>
      <c r="U1624" s="566" t="s">
        <v>114</v>
      </c>
      <c r="V1624" s="541"/>
    </row>
    <row r="1625" spans="1:22" s="569" customFormat="1" ht="50.1" customHeight="1" x14ac:dyDescent="0.2">
      <c r="A1625" s="619">
        <f>IF(B1625="","",COUNT('Diário 5º PA'!$A$5:$A$2634)+COUNT('Diário 6º PA'!$A$5:$A$2246)+COUNT('Diário 7º PA'!$A$5:$A$2271)+ROW()-4)</f>
        <v>5571</v>
      </c>
      <c r="B1625" s="644">
        <v>44539</v>
      </c>
      <c r="C1625" s="624">
        <v>44470</v>
      </c>
      <c r="D1625" s="548" t="s">
        <v>104</v>
      </c>
      <c r="E1625" s="548" t="s">
        <v>104</v>
      </c>
      <c r="F1625" s="622">
        <v>150.75</v>
      </c>
      <c r="G1625" s="648" t="s">
        <v>7147</v>
      </c>
      <c r="H1625" s="548" t="s">
        <v>104</v>
      </c>
      <c r="I1625" s="631" t="s">
        <v>465</v>
      </c>
      <c r="J1625" s="646" t="s">
        <v>114</v>
      </c>
      <c r="K1625" s="627" t="s">
        <v>466</v>
      </c>
      <c r="L1625" s="627" t="s">
        <v>467</v>
      </c>
      <c r="M1625" s="653">
        <v>221253692640</v>
      </c>
      <c r="N1625" s="620">
        <v>44539</v>
      </c>
      <c r="O1625" s="684" t="s">
        <v>71</v>
      </c>
      <c r="P1625" s="503">
        <f t="shared" si="104"/>
        <v>12</v>
      </c>
      <c r="Q1625" s="503">
        <f t="shared" si="105"/>
        <v>10</v>
      </c>
      <c r="R1625" s="504" t="str">
        <f t="shared" si="106"/>
        <v>Gastos_custeados_por_captação</v>
      </c>
      <c r="S1625" s="504" t="str">
        <f>IF(D1625="","",IF(OR(D1625=Plano!$A$1,D1625=Plano!$B$1),"entrada","saída"))</f>
        <v>saída</v>
      </c>
      <c r="T1625" s="566" t="s">
        <v>114</v>
      </c>
      <c r="U1625" s="566" t="s">
        <v>114</v>
      </c>
      <c r="V1625" s="541"/>
    </row>
    <row r="1626" spans="1:22" s="569" customFormat="1" ht="50.1" customHeight="1" x14ac:dyDescent="0.2">
      <c r="A1626" s="619">
        <f>IF(B1626="","",COUNT('Diário 5º PA'!$A$5:$A$2634)+COUNT('Diário 6º PA'!$A$5:$A$2246)+COUNT('Diário 7º PA'!$A$5:$A$2271)+ROW()-4)</f>
        <v>5572</v>
      </c>
      <c r="B1626" s="644">
        <v>44539</v>
      </c>
      <c r="C1626" s="624">
        <v>44470</v>
      </c>
      <c r="D1626" s="548" t="s">
        <v>104</v>
      </c>
      <c r="E1626" s="548" t="s">
        <v>104</v>
      </c>
      <c r="F1626" s="622">
        <v>70.349999999999994</v>
      </c>
      <c r="G1626" s="648" t="s">
        <v>7153</v>
      </c>
      <c r="H1626" s="548" t="s">
        <v>104</v>
      </c>
      <c r="I1626" s="631" t="s">
        <v>465</v>
      </c>
      <c r="J1626" s="646" t="s">
        <v>114</v>
      </c>
      <c r="K1626" s="627" t="s">
        <v>466</v>
      </c>
      <c r="L1626" s="627" t="s">
        <v>467</v>
      </c>
      <c r="M1626" s="653">
        <v>221253693298</v>
      </c>
      <c r="N1626" s="620">
        <v>44539</v>
      </c>
      <c r="O1626" s="684" t="s">
        <v>71</v>
      </c>
      <c r="P1626" s="503">
        <f t="shared" si="104"/>
        <v>12</v>
      </c>
      <c r="Q1626" s="503">
        <f t="shared" si="105"/>
        <v>10</v>
      </c>
      <c r="R1626" s="504" t="str">
        <f t="shared" si="106"/>
        <v>Gastos_custeados_por_captação</v>
      </c>
      <c r="S1626" s="504" t="str">
        <f>IF(D1626="","",IF(OR(D1626=Plano!$A$1,D1626=Plano!$B$1),"entrada","saída"))</f>
        <v>saída</v>
      </c>
      <c r="T1626" s="566" t="s">
        <v>114</v>
      </c>
      <c r="U1626" s="566" t="s">
        <v>114</v>
      </c>
      <c r="V1626" s="541"/>
    </row>
    <row r="1627" spans="1:22" s="569" customFormat="1" ht="50.1" customHeight="1" x14ac:dyDescent="0.2">
      <c r="A1627" s="619">
        <f>IF(B1627="","",COUNT('Diário 5º PA'!$A$5:$A$2634)+COUNT('Diário 6º PA'!$A$5:$A$2246)+COUNT('Diário 7º PA'!$A$5:$A$2271)+ROW()-4)</f>
        <v>5573</v>
      </c>
      <c r="B1627" s="644">
        <v>44539</v>
      </c>
      <c r="C1627" s="624">
        <v>44470</v>
      </c>
      <c r="D1627" s="548" t="s">
        <v>104</v>
      </c>
      <c r="E1627" s="548" t="s">
        <v>104</v>
      </c>
      <c r="F1627" s="622">
        <v>100</v>
      </c>
      <c r="G1627" s="648" t="s">
        <v>7157</v>
      </c>
      <c r="H1627" s="548" t="s">
        <v>104</v>
      </c>
      <c r="I1627" s="631" t="s">
        <v>465</v>
      </c>
      <c r="J1627" s="646" t="s">
        <v>114</v>
      </c>
      <c r="K1627" s="627" t="s">
        <v>466</v>
      </c>
      <c r="L1627" s="627" t="s">
        <v>467</v>
      </c>
      <c r="M1627" s="653">
        <v>221253694189</v>
      </c>
      <c r="N1627" s="620">
        <v>44539</v>
      </c>
      <c r="O1627" s="684" t="s">
        <v>71</v>
      </c>
      <c r="P1627" s="503">
        <f t="shared" si="104"/>
        <v>12</v>
      </c>
      <c r="Q1627" s="503">
        <f t="shared" si="105"/>
        <v>10</v>
      </c>
      <c r="R1627" s="504" t="str">
        <f t="shared" si="106"/>
        <v>Gastos_custeados_por_captação</v>
      </c>
      <c r="S1627" s="504" t="str">
        <f>IF(D1627="","",IF(OR(D1627=Plano!$A$1,D1627=Plano!$B$1),"entrada","saída"))</f>
        <v>saída</v>
      </c>
      <c r="T1627" s="566" t="s">
        <v>114</v>
      </c>
      <c r="U1627" s="566" t="s">
        <v>114</v>
      </c>
      <c r="V1627" s="541"/>
    </row>
    <row r="1628" spans="1:22" s="569" customFormat="1" ht="50.1" customHeight="1" x14ac:dyDescent="0.2">
      <c r="A1628" s="619">
        <f>IF(B1628="","",COUNT('Diário 5º PA'!$A$5:$A$2634)+COUNT('Diário 6º PA'!$A$5:$A$2246)+COUNT('Diário 7º PA'!$A$5:$A$2271)+ROW()-4)</f>
        <v>5574</v>
      </c>
      <c r="B1628" s="644">
        <v>44539</v>
      </c>
      <c r="C1628" s="645">
        <v>44470</v>
      </c>
      <c r="D1628" s="646" t="s">
        <v>104</v>
      </c>
      <c r="E1628" s="646" t="s">
        <v>104</v>
      </c>
      <c r="F1628" s="647">
        <v>153.75</v>
      </c>
      <c r="G1628" s="648" t="s">
        <v>7134</v>
      </c>
      <c r="H1628" s="646" t="s">
        <v>104</v>
      </c>
      <c r="I1628" s="631" t="s">
        <v>465</v>
      </c>
      <c r="J1628" s="646" t="s">
        <v>114</v>
      </c>
      <c r="K1628" s="627" t="s">
        <v>466</v>
      </c>
      <c r="L1628" s="627" t="s">
        <v>467</v>
      </c>
      <c r="M1628" s="653">
        <v>221253694855</v>
      </c>
      <c r="N1628" s="620">
        <v>44539</v>
      </c>
      <c r="O1628" s="684" t="s">
        <v>71</v>
      </c>
      <c r="P1628" s="503">
        <f t="shared" si="104"/>
        <v>12</v>
      </c>
      <c r="Q1628" s="503">
        <f t="shared" si="105"/>
        <v>10</v>
      </c>
      <c r="R1628" s="504" t="str">
        <f t="shared" si="106"/>
        <v>Gastos_custeados_por_captação</v>
      </c>
      <c r="S1628" s="504" t="str">
        <f>IF(D1628="","",IF(OR(D1628=Plano!$A$1,D1628=Plano!$B$1),"entrada","saída"))</f>
        <v>saída</v>
      </c>
      <c r="T1628" s="566" t="s">
        <v>114</v>
      </c>
      <c r="U1628" s="566" t="s">
        <v>114</v>
      </c>
      <c r="V1628" s="541"/>
    </row>
    <row r="1629" spans="1:22" s="569" customFormat="1" ht="50.1" customHeight="1" x14ac:dyDescent="0.2">
      <c r="A1629" s="619">
        <f>IF(B1629="","",COUNT('Diário 5º PA'!$A$5:$A$2634)+COUNT('Diário 6º PA'!$A$5:$A$2246)+COUNT('Diário 7º PA'!$A$5:$A$2271)+ROW()-4)</f>
        <v>5575</v>
      </c>
      <c r="B1629" s="644">
        <v>44539</v>
      </c>
      <c r="C1629" s="645">
        <v>44470</v>
      </c>
      <c r="D1629" s="646" t="s">
        <v>104</v>
      </c>
      <c r="E1629" s="646" t="s">
        <v>104</v>
      </c>
      <c r="F1629" s="647">
        <v>71.75</v>
      </c>
      <c r="G1629" s="648" t="s">
        <v>7133</v>
      </c>
      <c r="H1629" s="646" t="s">
        <v>104</v>
      </c>
      <c r="I1629" s="631" t="s">
        <v>465</v>
      </c>
      <c r="J1629" s="646" t="s">
        <v>114</v>
      </c>
      <c r="K1629" s="627" t="s">
        <v>466</v>
      </c>
      <c r="L1629" s="627" t="s">
        <v>467</v>
      </c>
      <c r="M1629" s="653">
        <v>221253695401</v>
      </c>
      <c r="N1629" s="620">
        <v>44539</v>
      </c>
      <c r="O1629" s="684" t="s">
        <v>71</v>
      </c>
      <c r="P1629" s="503">
        <f t="shared" si="104"/>
        <v>12</v>
      </c>
      <c r="Q1629" s="503">
        <f t="shared" si="105"/>
        <v>10</v>
      </c>
      <c r="R1629" s="504" t="str">
        <f t="shared" si="106"/>
        <v>Gastos_custeados_por_captação</v>
      </c>
      <c r="S1629" s="504" t="str">
        <f>IF(D1629="","",IF(OR(D1629=Plano!$A$1,D1629=Plano!$B$1),"entrada","saída"))</f>
        <v>saída</v>
      </c>
      <c r="T1629" s="566" t="s">
        <v>114</v>
      </c>
      <c r="U1629" s="566" t="s">
        <v>114</v>
      </c>
      <c r="V1629" s="541"/>
    </row>
    <row r="1630" spans="1:22" s="569" customFormat="1" ht="50.1" customHeight="1" x14ac:dyDescent="0.2">
      <c r="A1630" s="619">
        <f>IF(B1630="","",COUNT('Diário 5º PA'!$A$5:$A$2634)+COUNT('Diário 6º PA'!$A$5:$A$2246)+COUNT('Diário 7º PA'!$A$5:$A$2271)+ROW()-4)</f>
        <v>5576</v>
      </c>
      <c r="B1630" s="644">
        <v>44539</v>
      </c>
      <c r="C1630" s="645">
        <v>44470</v>
      </c>
      <c r="D1630" s="646" t="s">
        <v>104</v>
      </c>
      <c r="E1630" s="646" t="s">
        <v>104</v>
      </c>
      <c r="F1630" s="692">
        <v>71.75</v>
      </c>
      <c r="G1630" s="648" t="s">
        <v>7141</v>
      </c>
      <c r="H1630" s="646" t="s">
        <v>104</v>
      </c>
      <c r="I1630" s="631" t="s">
        <v>465</v>
      </c>
      <c r="J1630" s="646" t="s">
        <v>114</v>
      </c>
      <c r="K1630" s="627" t="s">
        <v>466</v>
      </c>
      <c r="L1630" s="627" t="s">
        <v>467</v>
      </c>
      <c r="M1630" s="653">
        <v>221253696203</v>
      </c>
      <c r="N1630" s="620">
        <v>44539</v>
      </c>
      <c r="O1630" s="684" t="s">
        <v>71</v>
      </c>
      <c r="P1630" s="503">
        <f t="shared" si="104"/>
        <v>12</v>
      </c>
      <c r="Q1630" s="503">
        <f t="shared" si="105"/>
        <v>10</v>
      </c>
      <c r="R1630" s="504" t="str">
        <f t="shared" si="106"/>
        <v>Gastos_custeados_por_captação</v>
      </c>
      <c r="S1630" s="504" t="str">
        <f>IF(D1630="","",IF(OR(D1630=Plano!$A$1,D1630=Plano!$B$1),"entrada","saída"))</f>
        <v>saída</v>
      </c>
      <c r="T1630" s="566" t="s">
        <v>114</v>
      </c>
      <c r="U1630" s="566" t="s">
        <v>114</v>
      </c>
      <c r="V1630" s="541"/>
    </row>
    <row r="1631" spans="1:22" s="569" customFormat="1" ht="50.1" customHeight="1" x14ac:dyDescent="0.2">
      <c r="A1631" s="649">
        <f>IF(B1631="","",COUNT('Diário 5º PA'!$A$5:$A$2634)+COUNT('Diário 6º PA'!$A$5:$A$2246)+COUNT('Diário 7º PA'!$A$5:$A$2271)+ROW()-4)</f>
        <v>5577</v>
      </c>
      <c r="B1631" s="644">
        <v>44539</v>
      </c>
      <c r="C1631" s="650">
        <v>44470</v>
      </c>
      <c r="D1631" s="651" t="s">
        <v>104</v>
      </c>
      <c r="E1631" s="651" t="s">
        <v>104</v>
      </c>
      <c r="F1631" s="693">
        <v>71.75</v>
      </c>
      <c r="G1631" s="639" t="s">
        <v>7201</v>
      </c>
      <c r="H1631" s="651" t="s">
        <v>104</v>
      </c>
      <c r="I1631" s="631" t="s">
        <v>465</v>
      </c>
      <c r="J1631" s="651" t="s">
        <v>114</v>
      </c>
      <c r="K1631" s="640" t="s">
        <v>466</v>
      </c>
      <c r="L1631" s="640" t="s">
        <v>467</v>
      </c>
      <c r="M1631" s="669">
        <v>221253696718</v>
      </c>
      <c r="N1631" s="644">
        <v>44539</v>
      </c>
      <c r="O1631" s="685" t="s">
        <v>71</v>
      </c>
      <c r="P1631" s="578">
        <f t="shared" si="104"/>
        <v>12</v>
      </c>
      <c r="Q1631" s="578">
        <f t="shared" si="105"/>
        <v>10</v>
      </c>
      <c r="R1631" s="579" t="str">
        <f t="shared" si="106"/>
        <v>Gastos_custeados_por_captação</v>
      </c>
      <c r="S1631" s="579" t="str">
        <f>IF(D1631="","",IF(OR(D1631=Plano!$A$1,D1631=Plano!$B$1),"entrada","saída"))</f>
        <v>saída</v>
      </c>
      <c r="T1631" s="566" t="s">
        <v>114</v>
      </c>
      <c r="U1631" s="566" t="s">
        <v>114</v>
      </c>
      <c r="V1631" s="541"/>
    </row>
    <row r="1632" spans="1:22" s="574" customFormat="1" ht="50.1" customHeight="1" x14ac:dyDescent="0.2">
      <c r="A1632" s="649">
        <f>IF(B1632="","",COUNT('Diário 5º PA'!$A$5:$A$2634)+COUNT('Diário 6º PA'!$A$5:$A$2246)+COUNT('Diário 7º PA'!$A$5:$A$2271)+ROW()-4)</f>
        <v>5578</v>
      </c>
      <c r="B1632" s="644">
        <v>44539</v>
      </c>
      <c r="C1632" s="624">
        <v>44501</v>
      </c>
      <c r="D1632" s="651" t="s">
        <v>104</v>
      </c>
      <c r="E1632" s="651" t="s">
        <v>104</v>
      </c>
      <c r="F1632" s="622">
        <v>300</v>
      </c>
      <c r="G1632" s="623" t="s">
        <v>7251</v>
      </c>
      <c r="H1632" s="651" t="s">
        <v>104</v>
      </c>
      <c r="I1632" s="583" t="s">
        <v>7249</v>
      </c>
      <c r="J1632" s="548" t="s">
        <v>7250</v>
      </c>
      <c r="K1632" s="583" t="s">
        <v>991</v>
      </c>
      <c r="L1632" s="583" t="s">
        <v>1177</v>
      </c>
      <c r="M1632" s="625" t="s">
        <v>114</v>
      </c>
      <c r="N1632" s="620">
        <v>44537</v>
      </c>
      <c r="O1632" s="684" t="s">
        <v>70</v>
      </c>
      <c r="P1632" s="578">
        <f>IF(B1632=0,0,IF(YEAR(B1632)=$Q$1,MONTH(B1632)-$P$1+1,(YEAR(B1632)-$Q$1)*12-$P$1+1+MONTH(B1632)))</f>
        <v>12</v>
      </c>
      <c r="Q1632" s="578">
        <f t="shared" ref="Q1632:Q1633" si="107">IF(C1632=0,0,IF(YEAR(C1632)=$Q$1,MONTH(C1632)-$P$1+1,(YEAR(C1632)-$Q$1)*12-$P$1+1+MONTH(C1632)))</f>
        <v>11</v>
      </c>
      <c r="R1632" s="579" t="str">
        <f t="shared" ref="R1632:R1633" si="108">SUBSTITUTE(D1632," ","_")</f>
        <v>Gastos_custeados_por_captação</v>
      </c>
      <c r="S1632" s="579" t="str">
        <f>IF(D1632="","",IF(OR(D1632=Plano!$A$1,D1632=Plano!$B$1),"entrada","saída"))</f>
        <v>saída</v>
      </c>
      <c r="T1632" s="511" t="s">
        <v>994</v>
      </c>
      <c r="U1632" s="511">
        <v>2385</v>
      </c>
      <c r="V1632" s="541"/>
    </row>
    <row r="1633" spans="1:22" s="574" customFormat="1" ht="50.1" customHeight="1" x14ac:dyDescent="0.2">
      <c r="A1633" s="649">
        <f>IF(B1633="","",COUNT('Diário 5º PA'!$A$5:$A$2634)+COUNT('Diário 6º PA'!$A$5:$A$2246)+COUNT('Diário 7º PA'!$A$5:$A$2271)+ROW()-4)</f>
        <v>5579</v>
      </c>
      <c r="B1633" s="644">
        <v>44539</v>
      </c>
      <c r="C1633" s="621">
        <v>44501</v>
      </c>
      <c r="D1633" s="637" t="s">
        <v>104</v>
      </c>
      <c r="E1633" s="637" t="s">
        <v>104</v>
      </c>
      <c r="F1633" s="655">
        <v>150</v>
      </c>
      <c r="G1633" s="648" t="s">
        <v>7252</v>
      </c>
      <c r="H1633" s="637" t="s">
        <v>104</v>
      </c>
      <c r="I1633" s="631" t="s">
        <v>465</v>
      </c>
      <c r="J1633" s="622" t="s">
        <v>114</v>
      </c>
      <c r="K1633" s="583" t="s">
        <v>466</v>
      </c>
      <c r="L1633" s="635" t="s">
        <v>467</v>
      </c>
      <c r="M1633" s="669">
        <v>221241478613</v>
      </c>
      <c r="N1633" s="644">
        <v>44539</v>
      </c>
      <c r="O1633" s="684" t="s">
        <v>70</v>
      </c>
      <c r="P1633" s="503">
        <f t="shared" ref="P1633" si="109">IF(B1633=0,0,IF(YEAR(B1633)=$Q$1,MONTH(B1633)-$P$1+1,(YEAR(B1633)-$Q$1)*12-$P$1+1+MONTH(B1633)))</f>
        <v>12</v>
      </c>
      <c r="Q1633" s="503">
        <f t="shared" si="107"/>
        <v>11</v>
      </c>
      <c r="R1633" s="504" t="str">
        <f t="shared" si="108"/>
        <v>Gastos_custeados_por_captação</v>
      </c>
      <c r="S1633" s="504" t="str">
        <f>IF(D1633="","",IF(OR(D1633=Plano!$A$1,D1633=Plano!$B$1),"entrada","saída"))</f>
        <v>saída</v>
      </c>
      <c r="T1633" s="511" t="s">
        <v>114</v>
      </c>
      <c r="U1633" s="511" t="s">
        <v>114</v>
      </c>
      <c r="V1633" s="541"/>
    </row>
    <row r="1634" spans="1:22" s="574" customFormat="1" ht="50.1" customHeight="1" x14ac:dyDescent="0.2">
      <c r="A1634" s="619">
        <f>IF(B1634="","",COUNT('Diário 5º PA'!$A$5:$A$2634)+COUNT('Diário 6º PA'!$A$5:$A$2246)+COUNT('Diário 7º PA'!$A$5:$A$2271)+ROW()-4)</f>
        <v>5580</v>
      </c>
      <c r="B1634" s="620">
        <v>44539</v>
      </c>
      <c r="C1634" s="670">
        <v>44440</v>
      </c>
      <c r="D1634" s="646" t="s">
        <v>104</v>
      </c>
      <c r="E1634" s="646" t="s">
        <v>104</v>
      </c>
      <c r="F1634" s="647">
        <v>90</v>
      </c>
      <c r="G1634" s="648" t="s">
        <v>7115</v>
      </c>
      <c r="H1634" s="646" t="s">
        <v>104</v>
      </c>
      <c r="I1634" s="631" t="s">
        <v>465</v>
      </c>
      <c r="J1634" s="622" t="s">
        <v>114</v>
      </c>
      <c r="K1634" s="583" t="s">
        <v>466</v>
      </c>
      <c r="L1634" s="635" t="s">
        <v>467</v>
      </c>
      <c r="M1634" s="625">
        <v>221253717308</v>
      </c>
      <c r="N1634" s="644">
        <v>44539</v>
      </c>
      <c r="O1634" s="684" t="s">
        <v>70</v>
      </c>
      <c r="P1634" s="503">
        <f t="shared" ref="P1634" si="110">IF(B1634=0,0,IF(YEAR(B1634)=$Q$1,MONTH(B1634)-$P$1+1,(YEAR(B1634)-$Q$1)*12-$P$1+1+MONTH(B1634)))</f>
        <v>12</v>
      </c>
      <c r="Q1634" s="503">
        <f t="shared" ref="Q1634" si="111">IF(C1634=0,0,IF(YEAR(C1634)=$Q$1,MONTH(C1634)-$P$1+1,(YEAR(C1634)-$Q$1)*12-$P$1+1+MONTH(C1634)))</f>
        <v>9</v>
      </c>
      <c r="R1634" s="504" t="str">
        <f t="shared" ref="R1634" si="112">SUBSTITUTE(D1634," ","_")</f>
        <v>Gastos_custeados_por_captação</v>
      </c>
      <c r="S1634" s="504" t="str">
        <f>IF(D1634="","",IF(OR(D1634=Plano!$A$1,D1634=Plano!$B$1),"entrada","saída"))</f>
        <v>saída</v>
      </c>
      <c r="T1634" s="511" t="s">
        <v>114</v>
      </c>
      <c r="U1634" s="511" t="s">
        <v>114</v>
      </c>
      <c r="V1634" s="541"/>
    </row>
    <row r="1635" spans="1:22" s="594" customFormat="1" ht="100.5" customHeight="1" x14ac:dyDescent="0.2">
      <c r="A1635" s="619">
        <f>IF(B1635="","",COUNT('Diário 5º PA'!$A$5:$A$2634)+COUNT('Diário 6º PA'!$A$5:$A$2246)+COUNT('Diário 7º PA'!$A$5:$A$2271)+ROW()-4)</f>
        <v>5581</v>
      </c>
      <c r="B1635" s="668">
        <v>44540</v>
      </c>
      <c r="C1635" s="691">
        <v>44470</v>
      </c>
      <c r="D1635" s="646" t="s">
        <v>104</v>
      </c>
      <c r="E1635" s="646" t="s">
        <v>104</v>
      </c>
      <c r="F1635" s="663">
        <v>1567.84</v>
      </c>
      <c r="G1635" s="648" t="s">
        <v>5797</v>
      </c>
      <c r="H1635" s="646" t="s">
        <v>104</v>
      </c>
      <c r="I1635" s="665" t="s">
        <v>7329</v>
      </c>
      <c r="J1635" s="690" t="s">
        <v>5798</v>
      </c>
      <c r="K1635" s="666" t="s">
        <v>991</v>
      </c>
      <c r="L1635" s="666" t="s">
        <v>992</v>
      </c>
      <c r="M1635" s="667" t="s">
        <v>1452</v>
      </c>
      <c r="N1635" s="671">
        <v>44539</v>
      </c>
      <c r="O1635" s="686" t="s">
        <v>68</v>
      </c>
      <c r="P1635" s="503">
        <f t="shared" ref="P1635" si="113">IF(B1635=0,0,IF(YEAR(B1635)=$Q$1,MONTH(B1635)-$P$1+1,(YEAR(B1635)-$Q$1)*12-$P$1+1+MONTH(B1635)))</f>
        <v>12</v>
      </c>
      <c r="Q1635" s="503">
        <f t="shared" ref="Q1635" si="114">IF(C1635=0,0,IF(YEAR(C1635)=$Q$1,MONTH(C1635)-$P$1+1,(YEAR(C1635)-$Q$1)*12-$P$1+1+MONTH(C1635)))</f>
        <v>10</v>
      </c>
      <c r="R1635" s="504" t="str">
        <f t="shared" ref="R1635" si="115">SUBSTITUTE(D1635," ","_")</f>
        <v>Gastos_custeados_por_captação</v>
      </c>
      <c r="S1635" s="504" t="str">
        <f>IF(D1635="","",IF(OR(D1635=Plano!$A$1,D1635=Plano!$B$1),"entrada","saída"))</f>
        <v>saída</v>
      </c>
      <c r="T1635" s="511" t="s">
        <v>994</v>
      </c>
      <c r="U1635" s="511">
        <v>2206</v>
      </c>
      <c r="V1635" s="541"/>
    </row>
    <row r="1636" spans="1:22" s="573" customFormat="1" ht="150.75" customHeight="1" x14ac:dyDescent="0.2">
      <c r="A1636" s="667">
        <f>IF(B1636="","",COUNT('Diário 5º PA'!$A$5:$A$2634)+COUNT('Diário 6º PA'!$A$5:$A$2246)+COUNT('Diário 7º PA'!$A$5:$A$2271)+ROW()-4)</f>
        <v>5582</v>
      </c>
      <c r="B1636" s="668">
        <v>44540</v>
      </c>
      <c r="C1636" s="672">
        <v>44501</v>
      </c>
      <c r="D1636" s="662" t="s">
        <v>104</v>
      </c>
      <c r="E1636" s="662" t="s">
        <v>104</v>
      </c>
      <c r="F1636" s="663">
        <v>2694.72</v>
      </c>
      <c r="G1636" s="664" t="s">
        <v>579</v>
      </c>
      <c r="H1636" s="662" t="s">
        <v>104</v>
      </c>
      <c r="I1636" s="665" t="s">
        <v>1328</v>
      </c>
      <c r="J1636" s="662" t="s">
        <v>581</v>
      </c>
      <c r="K1636" s="666" t="s">
        <v>991</v>
      </c>
      <c r="L1636" s="666" t="s">
        <v>992</v>
      </c>
      <c r="M1636" s="667" t="s">
        <v>7235</v>
      </c>
      <c r="N1636" s="668">
        <v>44539</v>
      </c>
      <c r="O1636" s="686" t="s">
        <v>5370</v>
      </c>
      <c r="P1636" s="575">
        <f t="shared" si="104"/>
        <v>12</v>
      </c>
      <c r="Q1636" s="575">
        <f t="shared" si="105"/>
        <v>11</v>
      </c>
      <c r="R1636" s="576" t="str">
        <f t="shared" si="106"/>
        <v>Gastos_custeados_por_captação</v>
      </c>
      <c r="S1636" s="576" t="str">
        <f>IF(D1636="","",IF(OR(D1636=Plano!$A$1,D1636=Plano!$B$1),"entrada","saída"))</f>
        <v>saída</v>
      </c>
      <c r="T1636" s="577" t="s">
        <v>1059</v>
      </c>
      <c r="U1636" s="577">
        <v>1338</v>
      </c>
      <c r="V1636" s="541"/>
    </row>
    <row r="1637" spans="1:22" s="573" customFormat="1" ht="50.1" customHeight="1" x14ac:dyDescent="0.2">
      <c r="A1637" s="619">
        <f>IF(B1637="","",COUNT('Diário 5º PA'!$A$5:$A$2634)+COUNT('Diário 6º PA'!$A$5:$A$2246)+COUNT('Diário 7º PA'!$A$5:$A$2271)+ROW()-4)</f>
        <v>5583</v>
      </c>
      <c r="B1637" s="620">
        <v>44540</v>
      </c>
      <c r="C1637" s="624">
        <v>44531</v>
      </c>
      <c r="D1637" s="548" t="s">
        <v>104</v>
      </c>
      <c r="E1637" s="548" t="s">
        <v>104</v>
      </c>
      <c r="F1637" s="622">
        <v>153</v>
      </c>
      <c r="G1637" s="623" t="s">
        <v>948</v>
      </c>
      <c r="H1637" s="548" t="s">
        <v>104</v>
      </c>
      <c r="I1637" s="583" t="s">
        <v>949</v>
      </c>
      <c r="J1637" s="548" t="s">
        <v>950</v>
      </c>
      <c r="K1637" s="583" t="s">
        <v>951</v>
      </c>
      <c r="L1637" s="583" t="s">
        <v>947</v>
      </c>
      <c r="M1637" s="625" t="s">
        <v>114</v>
      </c>
      <c r="N1637" s="620">
        <v>44540</v>
      </c>
      <c r="O1637" s="684" t="s">
        <v>5370</v>
      </c>
      <c r="P1637" s="503">
        <f t="shared" ref="P1637" si="116">IF(B1637=0,0,IF(YEAR(B1637)=$Q$1,MONTH(B1637)-$P$1+1,(YEAR(B1637)-$Q$1)*12-$P$1+1+MONTH(B1637)))</f>
        <v>12</v>
      </c>
      <c r="Q1637" s="503">
        <f t="shared" ref="Q1637" si="117">IF(C1637=0,0,IF(YEAR(C1637)=$Q$1,MONTH(C1637)-$P$1+1,(YEAR(C1637)-$Q$1)*12-$P$1+1+MONTH(C1637)))</f>
        <v>12</v>
      </c>
      <c r="R1637" s="504" t="str">
        <f t="shared" ref="R1637" si="118">SUBSTITUTE(D1637," ","_")</f>
        <v>Gastos_custeados_por_captação</v>
      </c>
      <c r="S1637" s="504" t="str">
        <f>IF(D1637="","",IF(OR(D1637=Plano!$A$1,D1637=Plano!$B$1),"entrada","saída"))</f>
        <v>saída</v>
      </c>
      <c r="T1637" s="511" t="s">
        <v>114</v>
      </c>
      <c r="U1637" s="511" t="s">
        <v>114</v>
      </c>
      <c r="V1637" s="541"/>
    </row>
    <row r="1638" spans="1:22" ht="65.25" customHeight="1" x14ac:dyDescent="0.2">
      <c r="A1638" s="619">
        <f>IF(B1638="","",COUNT('Diário 5º PA'!$A$5:$A$2634)+COUNT('Diário 6º PA'!$A$5:$A$2246)+COUNT('Diário 7º PA'!$A$5:$A$2271)+ROW()-4)</f>
        <v>5584</v>
      </c>
      <c r="B1638" s="620">
        <v>44540</v>
      </c>
      <c r="C1638" s="621">
        <v>44501</v>
      </c>
      <c r="D1638" s="548" t="s">
        <v>99</v>
      </c>
      <c r="E1638" s="548" t="s">
        <v>246</v>
      </c>
      <c r="F1638" s="622">
        <v>-158.46</v>
      </c>
      <c r="G1638" s="623" t="s">
        <v>6675</v>
      </c>
      <c r="H1638" s="548" t="s">
        <v>115</v>
      </c>
      <c r="I1638" s="583" t="s">
        <v>983</v>
      </c>
      <c r="J1638" s="548" t="s">
        <v>850</v>
      </c>
      <c r="K1638" s="583" t="s">
        <v>946</v>
      </c>
      <c r="L1638" s="583" t="s">
        <v>947</v>
      </c>
      <c r="M1638" s="619" t="s">
        <v>114</v>
      </c>
      <c r="N1638" s="620">
        <v>44540</v>
      </c>
      <c r="O1638" s="684" t="s">
        <v>67</v>
      </c>
      <c r="P1638" s="503">
        <f t="shared" si="104"/>
        <v>12</v>
      </c>
      <c r="Q1638" s="503">
        <f t="shared" si="105"/>
        <v>11</v>
      </c>
      <c r="R1638" s="504" t="str">
        <f t="shared" si="106"/>
        <v>Gastos_Gerais</v>
      </c>
      <c r="S1638" s="504" t="str">
        <f>IF(D1638="","",IF(OR(D1638=Plano!$A$1,D1638=Plano!$B$1),"entrada","saída"))</f>
        <v>saída</v>
      </c>
      <c r="T1638" s="511" t="s">
        <v>114</v>
      </c>
      <c r="U1638" s="511" t="s">
        <v>114</v>
      </c>
      <c r="V1638" s="541"/>
    </row>
    <row r="1639" spans="1:22" ht="50.1" customHeight="1" x14ac:dyDescent="0.2">
      <c r="A1639" s="619">
        <f>IF(B1639="","",COUNT('Diário 5º PA'!$A$5:$A$2634)+COUNT('Diário 6º PA'!$A$5:$A$2246)+COUNT('Diário 7º PA'!$A$5:$A$2271)+ROW()-4)</f>
        <v>5585</v>
      </c>
      <c r="B1639" s="620">
        <v>44540</v>
      </c>
      <c r="C1639" s="621">
        <v>44501</v>
      </c>
      <c r="D1639" s="548" t="s">
        <v>99</v>
      </c>
      <c r="E1639" s="548" t="s">
        <v>266</v>
      </c>
      <c r="F1639" s="622">
        <v>-69.989999999999995</v>
      </c>
      <c r="G1639" s="623" t="s">
        <v>6165</v>
      </c>
      <c r="H1639" s="548" t="s">
        <v>115</v>
      </c>
      <c r="I1639" s="583" t="s">
        <v>983</v>
      </c>
      <c r="J1639" s="548" t="s">
        <v>850</v>
      </c>
      <c r="K1639" s="583" t="s">
        <v>946</v>
      </c>
      <c r="L1639" s="583" t="s">
        <v>947</v>
      </c>
      <c r="M1639" s="619" t="s">
        <v>114</v>
      </c>
      <c r="N1639" s="620">
        <v>44540</v>
      </c>
      <c r="O1639" s="684" t="s">
        <v>67</v>
      </c>
      <c r="P1639" s="503">
        <f t="shared" si="104"/>
        <v>12</v>
      </c>
      <c r="Q1639" s="503">
        <f t="shared" si="105"/>
        <v>11</v>
      </c>
      <c r="R1639" s="504" t="str">
        <f t="shared" si="106"/>
        <v>Gastos_Gerais</v>
      </c>
      <c r="S1639" s="504" t="str">
        <f>IF(D1639="","",IF(OR(D1639=Plano!$A$1,D1639=Plano!$B$1),"entrada","saída"))</f>
        <v>saída</v>
      </c>
      <c r="T1639" s="511" t="s">
        <v>114</v>
      </c>
      <c r="U1639" s="511" t="s">
        <v>114</v>
      </c>
      <c r="V1639" s="541"/>
    </row>
    <row r="1640" spans="1:22" ht="77.25" customHeight="1" x14ac:dyDescent="0.2">
      <c r="A1640" s="619">
        <f>IF(B1640="","",COUNT('Diário 5º PA'!$A$5:$A$2634)+COUNT('Diário 6º PA'!$A$5:$A$2246)+COUNT('Diário 7º PA'!$A$5:$A$2271)+ROW()-4)</f>
        <v>5586</v>
      </c>
      <c r="B1640" s="620">
        <v>44540</v>
      </c>
      <c r="C1640" s="624">
        <v>44440</v>
      </c>
      <c r="D1640" s="548" t="s">
        <v>99</v>
      </c>
      <c r="E1640" s="548" t="s">
        <v>376</v>
      </c>
      <c r="F1640" s="622">
        <v>1254.4000000000001</v>
      </c>
      <c r="G1640" s="623" t="s">
        <v>5351</v>
      </c>
      <c r="H1640" s="548" t="s">
        <v>131</v>
      </c>
      <c r="I1640" s="583" t="s">
        <v>1057</v>
      </c>
      <c r="J1640" s="548" t="s">
        <v>583</v>
      </c>
      <c r="K1640" s="583" t="s">
        <v>1015</v>
      </c>
      <c r="L1640" s="583" t="s">
        <v>992</v>
      </c>
      <c r="M1640" s="619" t="s">
        <v>3859</v>
      </c>
      <c r="N1640" s="620">
        <v>44532</v>
      </c>
      <c r="O1640" s="684" t="s">
        <v>67</v>
      </c>
      <c r="P1640" s="503">
        <f t="shared" ref="P1640:P1708" si="119">IF(B1640=0,0,IF(YEAR(B1640)=$Q$1,MONTH(B1640)-$P$1+1,(YEAR(B1640)-$Q$1)*12-$P$1+1+MONTH(B1640)))</f>
        <v>12</v>
      </c>
      <c r="Q1640" s="503">
        <f t="shared" ref="Q1640:Q1708" si="120">IF(C1640=0,0,IF(YEAR(C1640)=$Q$1,MONTH(C1640)-$P$1+1,(YEAR(C1640)-$Q$1)*12-$P$1+1+MONTH(C1640)))</f>
        <v>9</v>
      </c>
      <c r="R1640" s="504" t="str">
        <f t="shared" ref="R1640:R1708" si="121">SUBSTITUTE(D1640," ","_")</f>
        <v>Gastos_Gerais</v>
      </c>
      <c r="S1640" s="504" t="str">
        <f>IF(D1640="","",IF(OR(D1640=Plano!$A$1,D1640=Plano!$B$1),"entrada","saída"))</f>
        <v>saída</v>
      </c>
      <c r="T1640" s="505" t="s">
        <v>994</v>
      </c>
      <c r="U1640" s="505">
        <v>2130</v>
      </c>
      <c r="V1640" s="541"/>
    </row>
    <row r="1641" spans="1:22" ht="131.25" customHeight="1" x14ac:dyDescent="0.2">
      <c r="A1641" s="619">
        <f>IF(B1641="","",COUNT('Diário 5º PA'!$A$5:$A$2634)+COUNT('Diário 6º PA'!$A$5:$A$2246)+COUNT('Diário 7º PA'!$A$5:$A$2271)+ROW()-4)</f>
        <v>5587</v>
      </c>
      <c r="B1641" s="620">
        <v>44540</v>
      </c>
      <c r="C1641" s="624">
        <v>44287</v>
      </c>
      <c r="D1641" s="548" t="s">
        <v>99</v>
      </c>
      <c r="E1641" s="548" t="s">
        <v>376</v>
      </c>
      <c r="F1641" s="622">
        <v>548.79999999999995</v>
      </c>
      <c r="G1641" s="623" t="s">
        <v>582</v>
      </c>
      <c r="H1641" s="548" t="s">
        <v>131</v>
      </c>
      <c r="I1641" s="583" t="s">
        <v>1057</v>
      </c>
      <c r="J1641" s="548" t="s">
        <v>583</v>
      </c>
      <c r="K1641" s="583" t="s">
        <v>1015</v>
      </c>
      <c r="L1641" s="583" t="s">
        <v>992</v>
      </c>
      <c r="M1641" s="619" t="s">
        <v>1394</v>
      </c>
      <c r="N1641" s="620">
        <v>44532</v>
      </c>
      <c r="O1641" s="684" t="s">
        <v>67</v>
      </c>
      <c r="P1641" s="503">
        <f t="shared" si="119"/>
        <v>12</v>
      </c>
      <c r="Q1641" s="503">
        <f t="shared" si="120"/>
        <v>4</v>
      </c>
      <c r="R1641" s="504" t="str">
        <f t="shared" si="121"/>
        <v>Gastos_Gerais</v>
      </c>
      <c r="S1641" s="504" t="str">
        <f>IF(D1641="","",IF(OR(D1641=Plano!$A$1,D1641=Plano!$B$1),"entrada","saída"))</f>
        <v>saída</v>
      </c>
      <c r="T1641" s="511" t="s">
        <v>1082</v>
      </c>
      <c r="U1641" s="505">
        <v>1428</v>
      </c>
      <c r="V1641" s="541"/>
    </row>
    <row r="1642" spans="1:22" ht="66" customHeight="1" x14ac:dyDescent="0.2">
      <c r="A1642" s="619">
        <f>IF(B1642="","",COUNT('Diário 5º PA'!$A$5:$A$2634)+COUNT('Diário 6º PA'!$A$5:$A$2246)+COUNT('Diário 7º PA'!$A$5:$A$2271)+ROW()-4)</f>
        <v>5588</v>
      </c>
      <c r="B1642" s="620">
        <v>44540</v>
      </c>
      <c r="C1642" s="624">
        <v>44470</v>
      </c>
      <c r="D1642" s="548" t="s">
        <v>99</v>
      </c>
      <c r="E1642" s="548" t="s">
        <v>336</v>
      </c>
      <c r="F1642" s="622">
        <v>2231</v>
      </c>
      <c r="G1642" s="623" t="s">
        <v>5980</v>
      </c>
      <c r="H1642" s="548" t="s">
        <v>116</v>
      </c>
      <c r="I1642" s="583" t="s">
        <v>1267</v>
      </c>
      <c r="J1642" s="548" t="s">
        <v>859</v>
      </c>
      <c r="K1642" s="583" t="s">
        <v>991</v>
      </c>
      <c r="L1642" s="583" t="s">
        <v>992</v>
      </c>
      <c r="M1642" s="619" t="s">
        <v>6678</v>
      </c>
      <c r="N1642" s="620">
        <v>44538</v>
      </c>
      <c r="O1642" s="684" t="s">
        <v>67</v>
      </c>
      <c r="P1642" s="503">
        <f t="shared" si="119"/>
        <v>12</v>
      </c>
      <c r="Q1642" s="503">
        <f t="shared" si="120"/>
        <v>10</v>
      </c>
      <c r="R1642" s="504" t="str">
        <f t="shared" si="121"/>
        <v>Gastos_Gerais</v>
      </c>
      <c r="S1642" s="504" t="str">
        <f>IF(D1642="","",IF(OR(D1642=Plano!$A$1,D1642=Plano!$B$1),"entrada","saída"))</f>
        <v>saída</v>
      </c>
      <c r="T1642" s="505" t="s">
        <v>994</v>
      </c>
      <c r="U1642" s="505">
        <v>2327</v>
      </c>
      <c r="V1642" s="541"/>
    </row>
    <row r="1643" spans="1:22" ht="116.25" customHeight="1" x14ac:dyDescent="0.2">
      <c r="A1643" s="619">
        <f>IF(B1643="","",COUNT('Diário 5º PA'!$A$5:$A$2634)+COUNT('Diário 6º PA'!$A$5:$A$2246)+COUNT('Diário 7º PA'!$A$5:$A$2271)+ROW()-4)</f>
        <v>5589</v>
      </c>
      <c r="B1643" s="620">
        <v>44540</v>
      </c>
      <c r="C1643" s="624">
        <v>44501</v>
      </c>
      <c r="D1643" s="548" t="s">
        <v>99</v>
      </c>
      <c r="E1643" s="548" t="s">
        <v>246</v>
      </c>
      <c r="F1643" s="622">
        <v>600</v>
      </c>
      <c r="G1643" s="623" t="s">
        <v>1369</v>
      </c>
      <c r="H1643" s="548" t="s">
        <v>115</v>
      </c>
      <c r="I1643" s="583" t="s">
        <v>1370</v>
      </c>
      <c r="J1643" s="548" t="s">
        <v>1371</v>
      </c>
      <c r="K1643" s="583" t="s">
        <v>560</v>
      </c>
      <c r="L1643" s="583" t="s">
        <v>992</v>
      </c>
      <c r="M1643" s="619" t="s">
        <v>6680</v>
      </c>
      <c r="N1643" s="620">
        <v>44533</v>
      </c>
      <c r="O1643" s="684" t="s">
        <v>67</v>
      </c>
      <c r="P1643" s="503">
        <f t="shared" si="119"/>
        <v>12</v>
      </c>
      <c r="Q1643" s="503">
        <f t="shared" si="120"/>
        <v>11</v>
      </c>
      <c r="R1643" s="504" t="str">
        <f t="shared" si="121"/>
        <v>Gastos_Gerais</v>
      </c>
      <c r="S1643" s="504" t="str">
        <f>IF(D1643="","",IF(OR(D1643=Plano!$A$1,D1643=Plano!$B$1),"entrada","saída"))</f>
        <v>saída</v>
      </c>
      <c r="T1643" s="511" t="s">
        <v>1082</v>
      </c>
      <c r="U1643" s="511">
        <v>1144</v>
      </c>
      <c r="V1643" s="541"/>
    </row>
    <row r="1644" spans="1:22" ht="176.25" customHeight="1" x14ac:dyDescent="0.2">
      <c r="A1644" s="619">
        <f>IF(B1644="","",COUNT('Diário 5º PA'!$A$5:$A$2634)+COUNT('Diário 6º PA'!$A$5:$A$2246)+COUNT('Diário 7º PA'!$A$5:$A$2271)+ROW()-4)</f>
        <v>5590</v>
      </c>
      <c r="B1644" s="620">
        <v>44540</v>
      </c>
      <c r="C1644" s="624">
        <v>44501</v>
      </c>
      <c r="D1644" s="548" t="s">
        <v>99</v>
      </c>
      <c r="E1644" s="548" t="s">
        <v>224</v>
      </c>
      <c r="F1644" s="622">
        <v>24.74</v>
      </c>
      <c r="G1644" s="623" t="s">
        <v>642</v>
      </c>
      <c r="H1644" s="548" t="s">
        <v>130</v>
      </c>
      <c r="I1644" s="583" t="s">
        <v>5724</v>
      </c>
      <c r="J1644" s="548" t="s">
        <v>644</v>
      </c>
      <c r="K1644" s="583" t="s">
        <v>560</v>
      </c>
      <c r="L1644" s="583" t="s">
        <v>697</v>
      </c>
      <c r="M1644" s="625">
        <v>2632947</v>
      </c>
      <c r="N1644" s="620">
        <v>44524</v>
      </c>
      <c r="O1644" s="684" t="s">
        <v>67</v>
      </c>
      <c r="P1644" s="503">
        <f t="shared" si="119"/>
        <v>12</v>
      </c>
      <c r="Q1644" s="503">
        <f t="shared" si="120"/>
        <v>11</v>
      </c>
      <c r="R1644" s="504" t="str">
        <f t="shared" si="121"/>
        <v>Gastos_Gerais</v>
      </c>
      <c r="S1644" s="504" t="str">
        <f>IF(D1644="","",IF(OR(D1644=Plano!$A$1,D1644=Plano!$B$1),"entrada","saída"))</f>
        <v>saída</v>
      </c>
      <c r="T1644" s="505" t="s">
        <v>1059</v>
      </c>
      <c r="U1644" s="505">
        <v>277</v>
      </c>
      <c r="V1644" s="541"/>
    </row>
    <row r="1645" spans="1:22" ht="91.5" customHeight="1" x14ac:dyDescent="0.2">
      <c r="A1645" s="619">
        <f>IF(B1645="","",COUNT('Diário 5º PA'!$A$5:$A$2634)+COUNT('Diário 6º PA'!$A$5:$A$2246)+COUNT('Diário 7º PA'!$A$5:$A$2271)+ROW()-4)</f>
        <v>5591</v>
      </c>
      <c r="B1645" s="620">
        <v>44540</v>
      </c>
      <c r="C1645" s="624">
        <v>44501</v>
      </c>
      <c r="D1645" s="548" t="s">
        <v>99</v>
      </c>
      <c r="E1645" s="548" t="s">
        <v>224</v>
      </c>
      <c r="F1645" s="622">
        <v>115.5</v>
      </c>
      <c r="G1645" s="623" t="s">
        <v>843</v>
      </c>
      <c r="H1645" s="548" t="s">
        <v>130</v>
      </c>
      <c r="I1645" s="583" t="s">
        <v>5724</v>
      </c>
      <c r="J1645" s="548" t="s">
        <v>644</v>
      </c>
      <c r="K1645" s="583" t="s">
        <v>560</v>
      </c>
      <c r="L1645" s="583" t="s">
        <v>697</v>
      </c>
      <c r="M1645" s="625">
        <v>2632947</v>
      </c>
      <c r="N1645" s="620">
        <v>44524</v>
      </c>
      <c r="O1645" s="684" t="s">
        <v>67</v>
      </c>
      <c r="P1645" s="503">
        <f t="shared" si="119"/>
        <v>12</v>
      </c>
      <c r="Q1645" s="503">
        <f t="shared" si="120"/>
        <v>11</v>
      </c>
      <c r="R1645" s="504" t="str">
        <f t="shared" si="121"/>
        <v>Gastos_Gerais</v>
      </c>
      <c r="S1645" s="504" t="str">
        <f>IF(D1645="","",IF(OR(D1645=Plano!$A$1,D1645=Plano!$B$1),"entrada","saída"))</f>
        <v>saída</v>
      </c>
      <c r="T1645" s="505" t="s">
        <v>1082</v>
      </c>
      <c r="U1645" s="505">
        <v>1997</v>
      </c>
      <c r="V1645" s="541"/>
    </row>
    <row r="1646" spans="1:22" ht="116.25" customHeight="1" x14ac:dyDescent="0.2">
      <c r="A1646" s="619">
        <f>IF(B1646="","",COUNT('Diário 5º PA'!$A$5:$A$2634)+COUNT('Diário 6º PA'!$A$5:$A$2246)+COUNT('Diário 7º PA'!$A$5:$A$2271)+ROW()-4)</f>
        <v>5592</v>
      </c>
      <c r="B1646" s="620">
        <v>44540</v>
      </c>
      <c r="C1646" s="624">
        <v>44501</v>
      </c>
      <c r="D1646" s="548" t="s">
        <v>99</v>
      </c>
      <c r="E1646" s="548" t="s">
        <v>266</v>
      </c>
      <c r="F1646" s="622">
        <v>255.46</v>
      </c>
      <c r="G1646" s="623" t="s">
        <v>480</v>
      </c>
      <c r="H1646" s="548" t="s">
        <v>115</v>
      </c>
      <c r="I1646" s="583" t="s">
        <v>1372</v>
      </c>
      <c r="J1646" s="548" t="s">
        <v>482</v>
      </c>
      <c r="K1646" s="583" t="s">
        <v>560</v>
      </c>
      <c r="L1646" s="583" t="s">
        <v>992</v>
      </c>
      <c r="M1646" s="619" t="s">
        <v>6681</v>
      </c>
      <c r="N1646" s="620">
        <v>44504</v>
      </c>
      <c r="O1646" s="684" t="s">
        <v>67</v>
      </c>
      <c r="P1646" s="503">
        <f t="shared" si="119"/>
        <v>12</v>
      </c>
      <c r="Q1646" s="503">
        <f t="shared" si="120"/>
        <v>11</v>
      </c>
      <c r="R1646" s="504" t="str">
        <f t="shared" si="121"/>
        <v>Gastos_Gerais</v>
      </c>
      <c r="S1646" s="504" t="str">
        <f>IF(D1646="","",IF(OR(D1646=Plano!$A$1,D1646=Plano!$B$1),"entrada","saída"))</f>
        <v>saída</v>
      </c>
      <c r="T1646" s="511" t="s">
        <v>1059</v>
      </c>
      <c r="U1646" s="511">
        <v>1133</v>
      </c>
      <c r="V1646" s="541"/>
    </row>
    <row r="1647" spans="1:22" ht="86.25" customHeight="1" x14ac:dyDescent="0.2">
      <c r="A1647" s="619">
        <f>IF(B1647="","",COUNT('Diário 5º PA'!$A$5:$A$2634)+COUNT('Diário 6º PA'!$A$5:$A$2246)+COUNT('Diário 7º PA'!$A$5:$A$2271)+ROW()-4)</f>
        <v>5593</v>
      </c>
      <c r="B1647" s="620">
        <v>44540</v>
      </c>
      <c r="C1647" s="628">
        <v>44470</v>
      </c>
      <c r="D1647" s="548" t="s">
        <v>99</v>
      </c>
      <c r="E1647" s="548" t="s">
        <v>382</v>
      </c>
      <c r="F1647" s="622">
        <v>173.63</v>
      </c>
      <c r="G1647" s="623" t="s">
        <v>5700</v>
      </c>
      <c r="H1647" s="548" t="s">
        <v>131</v>
      </c>
      <c r="I1647" s="583" t="s">
        <v>5489</v>
      </c>
      <c r="J1647" s="548" t="s">
        <v>769</v>
      </c>
      <c r="K1647" s="583" t="s">
        <v>991</v>
      </c>
      <c r="L1647" s="583" t="s">
        <v>992</v>
      </c>
      <c r="M1647" s="619" t="s">
        <v>6682</v>
      </c>
      <c r="N1647" s="620">
        <v>44511</v>
      </c>
      <c r="O1647" s="684" t="s">
        <v>67</v>
      </c>
      <c r="P1647" s="503">
        <f t="shared" si="119"/>
        <v>12</v>
      </c>
      <c r="Q1647" s="503">
        <f t="shared" si="120"/>
        <v>10</v>
      </c>
      <c r="R1647" s="504" t="str">
        <f t="shared" si="121"/>
        <v>Gastos_Gerais</v>
      </c>
      <c r="S1647" s="504" t="str">
        <f>IF(D1647="","",IF(OR(D1647=Plano!$A$1,D1647=Plano!$B$1),"entrada","saída"))</f>
        <v>saída</v>
      </c>
      <c r="T1647" s="505" t="s">
        <v>994</v>
      </c>
      <c r="U1647" s="505">
        <v>2252</v>
      </c>
      <c r="V1647" s="541"/>
    </row>
    <row r="1648" spans="1:22" ht="50.1" customHeight="1" x14ac:dyDescent="0.2">
      <c r="A1648" s="619">
        <f>IF(B1648="","",COUNT('Diário 5º PA'!$A$5:$A$2634)+COUNT('Diário 6º PA'!$A$5:$A$2246)+COUNT('Diário 7º PA'!$A$5:$A$2271)+ROW()-4)</f>
        <v>5594</v>
      </c>
      <c r="B1648" s="620">
        <v>44540</v>
      </c>
      <c r="C1648" s="628">
        <v>44531</v>
      </c>
      <c r="D1648" s="548" t="s">
        <v>99</v>
      </c>
      <c r="E1648" s="548" t="s">
        <v>272</v>
      </c>
      <c r="F1648" s="622">
        <v>10.45</v>
      </c>
      <c r="G1648" s="623" t="s">
        <v>6683</v>
      </c>
      <c r="H1648" s="548" t="s">
        <v>116</v>
      </c>
      <c r="I1648" s="583" t="s">
        <v>949</v>
      </c>
      <c r="J1648" s="548" t="s">
        <v>950</v>
      </c>
      <c r="K1648" s="583" t="s">
        <v>951</v>
      </c>
      <c r="L1648" s="583" t="s">
        <v>947</v>
      </c>
      <c r="M1648" s="625" t="s">
        <v>114</v>
      </c>
      <c r="N1648" s="620">
        <v>44540</v>
      </c>
      <c r="O1648" s="684" t="s">
        <v>67</v>
      </c>
      <c r="P1648" s="503">
        <f t="shared" si="119"/>
        <v>12</v>
      </c>
      <c r="Q1648" s="503">
        <f t="shared" si="120"/>
        <v>12</v>
      </c>
      <c r="R1648" s="504" t="str">
        <f t="shared" si="121"/>
        <v>Gastos_Gerais</v>
      </c>
      <c r="S1648" s="504" t="str">
        <f>IF(D1648="","",IF(OR(D1648=Plano!$A$1,D1648=Plano!$B$1),"entrada","saída"))</f>
        <v>saída</v>
      </c>
      <c r="T1648" s="511" t="s">
        <v>114</v>
      </c>
      <c r="U1648" s="511" t="s">
        <v>114</v>
      </c>
      <c r="V1648" s="541"/>
    </row>
    <row r="1649" spans="1:22" ht="50.1" customHeight="1" x14ac:dyDescent="0.2">
      <c r="A1649" s="619">
        <f>IF(B1649="","",COUNT('Diário 5º PA'!$A$5:$A$2634)+COUNT('Diário 6º PA'!$A$5:$A$2246)+COUNT('Diário 7º PA'!$A$5:$A$2271)+ROW()-4)</f>
        <v>5595</v>
      </c>
      <c r="B1649" s="620">
        <v>44540</v>
      </c>
      <c r="C1649" s="628">
        <v>44531</v>
      </c>
      <c r="D1649" s="548" t="s">
        <v>99</v>
      </c>
      <c r="E1649" s="548" t="s">
        <v>272</v>
      </c>
      <c r="F1649" s="622">
        <v>10.45</v>
      </c>
      <c r="G1649" s="623" t="s">
        <v>6684</v>
      </c>
      <c r="H1649" s="548" t="s">
        <v>131</v>
      </c>
      <c r="I1649" s="583" t="s">
        <v>949</v>
      </c>
      <c r="J1649" s="548" t="s">
        <v>950</v>
      </c>
      <c r="K1649" s="583" t="s">
        <v>951</v>
      </c>
      <c r="L1649" s="583" t="s">
        <v>947</v>
      </c>
      <c r="M1649" s="625" t="s">
        <v>114</v>
      </c>
      <c r="N1649" s="620">
        <v>44540</v>
      </c>
      <c r="O1649" s="684" t="s">
        <v>67</v>
      </c>
      <c r="P1649" s="503">
        <f t="shared" si="119"/>
        <v>12</v>
      </c>
      <c r="Q1649" s="503">
        <f t="shared" si="120"/>
        <v>12</v>
      </c>
      <c r="R1649" s="504" t="str">
        <f t="shared" si="121"/>
        <v>Gastos_Gerais</v>
      </c>
      <c r="S1649" s="504" t="str">
        <f>IF(D1649="","",IF(OR(D1649=Plano!$A$1,D1649=Plano!$B$1),"entrada","saída"))</f>
        <v>saída</v>
      </c>
      <c r="T1649" s="511" t="s">
        <v>114</v>
      </c>
      <c r="U1649" s="511" t="s">
        <v>114</v>
      </c>
      <c r="V1649" s="541"/>
    </row>
    <row r="1650" spans="1:22" s="573" customFormat="1" ht="74.25" customHeight="1" x14ac:dyDescent="0.2">
      <c r="A1650" s="619">
        <f>IF(B1650="","",COUNT('Diário 5º PA'!$A$5:$A$2634)+COUNT('Diário 6º PA'!$A$5:$A$2246)+COUNT('Diário 7º PA'!$A$5:$A$2271)+ROW()-4)</f>
        <v>5596</v>
      </c>
      <c r="B1650" s="620">
        <v>44543</v>
      </c>
      <c r="C1650" s="628">
        <v>44501</v>
      </c>
      <c r="D1650" s="646" t="s">
        <v>104</v>
      </c>
      <c r="E1650" s="646" t="s">
        <v>104</v>
      </c>
      <c r="F1650" s="647">
        <v>3634</v>
      </c>
      <c r="G1650" s="648" t="s">
        <v>606</v>
      </c>
      <c r="H1650" s="646" t="s">
        <v>104</v>
      </c>
      <c r="I1650" s="627" t="s">
        <v>2817</v>
      </c>
      <c r="J1650" s="646" t="s">
        <v>608</v>
      </c>
      <c r="K1650" s="583" t="s">
        <v>991</v>
      </c>
      <c r="L1650" s="583" t="s">
        <v>992</v>
      </c>
      <c r="M1650" s="619" t="s">
        <v>5400</v>
      </c>
      <c r="N1650" s="620">
        <v>44539</v>
      </c>
      <c r="O1650" s="684" t="s">
        <v>5370</v>
      </c>
      <c r="P1650" s="503">
        <f t="shared" si="119"/>
        <v>12</v>
      </c>
      <c r="Q1650" s="503">
        <f t="shared" si="120"/>
        <v>11</v>
      </c>
      <c r="R1650" s="504" t="str">
        <f t="shared" si="121"/>
        <v>Gastos_custeados_por_captação</v>
      </c>
      <c r="S1650" s="504" t="str">
        <f>IF(D1650="","",IF(OR(D1650=Plano!$A$1,D1650=Plano!$B$1),"entrada","saída"))</f>
        <v>saída</v>
      </c>
      <c r="T1650" s="511" t="s">
        <v>1082</v>
      </c>
      <c r="U1650" s="511">
        <v>1413</v>
      </c>
      <c r="V1650" s="541"/>
    </row>
    <row r="1651" spans="1:22" s="573" customFormat="1" ht="50.1" customHeight="1" x14ac:dyDescent="0.2">
      <c r="A1651" s="619">
        <f>IF(B1651="","",COUNT('Diário 5º PA'!$A$5:$A$2634)+COUNT('Diário 6º PA'!$A$5:$A$2246)+COUNT('Diário 7º PA'!$A$5:$A$2271)+ROW()-4)</f>
        <v>5597</v>
      </c>
      <c r="B1651" s="620">
        <v>44543</v>
      </c>
      <c r="C1651" s="621">
        <v>44531</v>
      </c>
      <c r="D1651" s="548" t="s">
        <v>104</v>
      </c>
      <c r="E1651" s="548" t="s">
        <v>104</v>
      </c>
      <c r="F1651" s="622">
        <v>10.45</v>
      </c>
      <c r="G1651" s="623" t="s">
        <v>5451</v>
      </c>
      <c r="H1651" s="548" t="s">
        <v>104</v>
      </c>
      <c r="I1651" s="583" t="s">
        <v>949</v>
      </c>
      <c r="J1651" s="548" t="s">
        <v>950</v>
      </c>
      <c r="K1651" s="583" t="s">
        <v>951</v>
      </c>
      <c r="L1651" s="583" t="s">
        <v>947</v>
      </c>
      <c r="M1651" s="625" t="s">
        <v>114</v>
      </c>
      <c r="N1651" s="620">
        <v>44543</v>
      </c>
      <c r="O1651" s="684" t="s">
        <v>5370</v>
      </c>
      <c r="P1651" s="503">
        <f t="shared" si="119"/>
        <v>12</v>
      </c>
      <c r="Q1651" s="503">
        <f t="shared" si="120"/>
        <v>12</v>
      </c>
      <c r="R1651" s="504" t="str">
        <f t="shared" si="121"/>
        <v>Gastos_custeados_por_captação</v>
      </c>
      <c r="S1651" s="504" t="str">
        <f>IF(D1651="","",IF(OR(D1651=Plano!$A$1,D1651=Plano!$B$1),"entrada","saída"))</f>
        <v>saída</v>
      </c>
      <c r="T1651" s="511" t="s">
        <v>114</v>
      </c>
      <c r="U1651" s="511" t="s">
        <v>114</v>
      </c>
      <c r="V1651" s="541"/>
    </row>
    <row r="1652" spans="1:22" ht="50.1" customHeight="1" x14ac:dyDescent="0.2">
      <c r="A1652" s="619">
        <f>IF(B1652="","",COUNT('Diário 5º PA'!$A$5:$A$2634)+COUNT('Diário 6º PA'!$A$5:$A$2246)+COUNT('Diário 7º PA'!$A$5:$A$2271)+ROW()-4)</f>
        <v>5598</v>
      </c>
      <c r="B1652" s="620">
        <v>44543</v>
      </c>
      <c r="C1652" s="628">
        <v>44501</v>
      </c>
      <c r="D1652" s="548" t="s">
        <v>99</v>
      </c>
      <c r="E1652" s="548" t="s">
        <v>306</v>
      </c>
      <c r="F1652" s="622">
        <v>-144.22999999999999</v>
      </c>
      <c r="G1652" s="673" t="s">
        <v>6697</v>
      </c>
      <c r="H1652" s="548" t="s">
        <v>115</v>
      </c>
      <c r="I1652" s="583" t="s">
        <v>983</v>
      </c>
      <c r="J1652" s="548" t="s">
        <v>850</v>
      </c>
      <c r="K1652" s="583" t="s">
        <v>946</v>
      </c>
      <c r="L1652" s="583" t="s">
        <v>947</v>
      </c>
      <c r="M1652" s="619" t="s">
        <v>114</v>
      </c>
      <c r="N1652" s="620">
        <v>44543</v>
      </c>
      <c r="O1652" s="684" t="s">
        <v>67</v>
      </c>
      <c r="P1652" s="503">
        <f t="shared" si="119"/>
        <v>12</v>
      </c>
      <c r="Q1652" s="503">
        <f t="shared" si="120"/>
        <v>11</v>
      </c>
      <c r="R1652" s="504" t="str">
        <f t="shared" si="121"/>
        <v>Gastos_Gerais</v>
      </c>
      <c r="S1652" s="504" t="str">
        <f>IF(D1652="","",IF(OR(D1652=Plano!$A$1,D1652=Plano!$B$1),"entrada","saída"))</f>
        <v>saída</v>
      </c>
      <c r="T1652" s="546" t="s">
        <v>114</v>
      </c>
      <c r="U1652" s="546" t="s">
        <v>114</v>
      </c>
      <c r="V1652" s="541"/>
    </row>
    <row r="1653" spans="1:22" ht="50.1" customHeight="1" x14ac:dyDescent="0.2">
      <c r="A1653" s="619">
        <f>IF(B1653="","",COUNT('Diário 5º PA'!$A$5:$A$2634)+COUNT('Diário 6º PA'!$A$5:$A$2246)+COUNT('Diário 7º PA'!$A$5:$A$2271)+ROW()-4)</f>
        <v>5599</v>
      </c>
      <c r="B1653" s="620">
        <v>44543</v>
      </c>
      <c r="C1653" s="628">
        <v>44501</v>
      </c>
      <c r="D1653" s="548" t="s">
        <v>99</v>
      </c>
      <c r="E1653" s="548" t="s">
        <v>220</v>
      </c>
      <c r="F1653" s="622">
        <v>-116.47</v>
      </c>
      <c r="G1653" s="623" t="s">
        <v>6698</v>
      </c>
      <c r="H1653" s="548" t="s">
        <v>115</v>
      </c>
      <c r="I1653" s="583" t="s">
        <v>983</v>
      </c>
      <c r="J1653" s="548" t="s">
        <v>850</v>
      </c>
      <c r="K1653" s="583" t="s">
        <v>946</v>
      </c>
      <c r="L1653" s="583" t="s">
        <v>947</v>
      </c>
      <c r="M1653" s="619" t="s">
        <v>114</v>
      </c>
      <c r="N1653" s="620">
        <v>44543</v>
      </c>
      <c r="O1653" s="684" t="s">
        <v>67</v>
      </c>
      <c r="P1653" s="503">
        <f t="shared" si="119"/>
        <v>12</v>
      </c>
      <c r="Q1653" s="503">
        <f t="shared" si="120"/>
        <v>11</v>
      </c>
      <c r="R1653" s="504" t="str">
        <f t="shared" si="121"/>
        <v>Gastos_Gerais</v>
      </c>
      <c r="S1653" s="504" t="str">
        <f>IF(D1653="","",IF(OR(D1653=Plano!$A$1,D1653=Plano!$B$1),"entrada","saída"))</f>
        <v>saída</v>
      </c>
      <c r="T1653" s="511" t="s">
        <v>114</v>
      </c>
      <c r="U1653" s="511" t="s">
        <v>114</v>
      </c>
      <c r="V1653" s="541"/>
    </row>
    <row r="1654" spans="1:22" ht="66.75" customHeight="1" x14ac:dyDescent="0.2">
      <c r="A1654" s="619">
        <f>IF(B1654="","",COUNT('Diário 5º PA'!$A$5:$A$2634)+COUNT('Diário 6º PA'!$A$5:$A$2246)+COUNT('Diário 7º PA'!$A$5:$A$2271)+ROW()-4)</f>
        <v>5600</v>
      </c>
      <c r="B1654" s="620">
        <v>44543</v>
      </c>
      <c r="C1654" s="628">
        <v>44501</v>
      </c>
      <c r="D1654" s="548" t="s">
        <v>99</v>
      </c>
      <c r="E1654" s="548" t="s">
        <v>254</v>
      </c>
      <c r="F1654" s="622">
        <v>-132.05000000000001</v>
      </c>
      <c r="G1654" s="623" t="s">
        <v>6699</v>
      </c>
      <c r="H1654" s="548" t="s">
        <v>115</v>
      </c>
      <c r="I1654" s="583" t="s">
        <v>983</v>
      </c>
      <c r="J1654" s="548" t="s">
        <v>850</v>
      </c>
      <c r="K1654" s="583" t="s">
        <v>946</v>
      </c>
      <c r="L1654" s="583" t="s">
        <v>947</v>
      </c>
      <c r="M1654" s="632" t="s">
        <v>114</v>
      </c>
      <c r="N1654" s="620">
        <v>44543</v>
      </c>
      <c r="O1654" s="684" t="s">
        <v>67</v>
      </c>
      <c r="P1654" s="503">
        <f t="shared" si="119"/>
        <v>12</v>
      </c>
      <c r="Q1654" s="503">
        <f t="shared" si="120"/>
        <v>11</v>
      </c>
      <c r="R1654" s="504" t="str">
        <f t="shared" si="121"/>
        <v>Gastos_Gerais</v>
      </c>
      <c r="S1654" s="504" t="str">
        <f>IF(D1654="","",IF(OR(D1654=Plano!$A$1,D1654=Plano!$B$1),"entrada","saída"))</f>
        <v>saída</v>
      </c>
      <c r="T1654" s="511" t="s">
        <v>114</v>
      </c>
      <c r="U1654" s="511" t="s">
        <v>114</v>
      </c>
      <c r="V1654" s="541"/>
    </row>
    <row r="1655" spans="1:22" ht="75" customHeight="1" x14ac:dyDescent="0.2">
      <c r="A1655" s="619">
        <f>IF(B1655="","",COUNT('Diário 5º PA'!$A$5:$A$2634)+COUNT('Diário 6º PA'!$A$5:$A$2246)+COUNT('Diário 7º PA'!$A$5:$A$2271)+ROW()-4)</f>
        <v>5601</v>
      </c>
      <c r="B1655" s="620">
        <v>44543</v>
      </c>
      <c r="C1655" s="624">
        <v>44501</v>
      </c>
      <c r="D1655" s="548" t="s">
        <v>99</v>
      </c>
      <c r="E1655" s="548" t="s">
        <v>364</v>
      </c>
      <c r="F1655" s="622">
        <v>1470</v>
      </c>
      <c r="G1655" s="623" t="s">
        <v>6511</v>
      </c>
      <c r="H1655" s="548" t="s">
        <v>127</v>
      </c>
      <c r="I1655" s="583" t="s">
        <v>6700</v>
      </c>
      <c r="J1655" s="548" t="s">
        <v>6513</v>
      </c>
      <c r="K1655" s="583" t="s">
        <v>1015</v>
      </c>
      <c r="L1655" s="583" t="s">
        <v>1901</v>
      </c>
      <c r="M1655" s="619">
        <v>1486</v>
      </c>
      <c r="N1655" s="620">
        <v>44539</v>
      </c>
      <c r="O1655" s="684" t="s">
        <v>67</v>
      </c>
      <c r="P1655" s="503">
        <f t="shared" si="119"/>
        <v>12</v>
      </c>
      <c r="Q1655" s="503">
        <f t="shared" si="120"/>
        <v>11</v>
      </c>
      <c r="R1655" s="504" t="str">
        <f t="shared" si="121"/>
        <v>Gastos_Gerais</v>
      </c>
      <c r="S1655" s="504" t="str">
        <f>IF(D1655="","",IF(OR(D1655=Plano!$A$1,D1655=Plano!$B$1),"entrada","saída"))</f>
        <v>saída</v>
      </c>
      <c r="T1655" s="505" t="s">
        <v>1059</v>
      </c>
      <c r="U1655" s="505">
        <v>2487</v>
      </c>
      <c r="V1655" s="541"/>
    </row>
    <row r="1656" spans="1:22" ht="84.75" customHeight="1" x14ac:dyDescent="0.2">
      <c r="A1656" s="619">
        <f>IF(B1656="","",COUNT('Diário 5º PA'!$A$5:$A$2634)+COUNT('Diário 6º PA'!$A$5:$A$2246)+COUNT('Diário 7º PA'!$A$5:$A$2271)+ROW()-4)</f>
        <v>5602</v>
      </c>
      <c r="B1656" s="620">
        <v>44543</v>
      </c>
      <c r="C1656" s="624">
        <v>44440</v>
      </c>
      <c r="D1656" s="629" t="s">
        <v>99</v>
      </c>
      <c r="E1656" s="548" t="s">
        <v>358</v>
      </c>
      <c r="F1656" s="622">
        <v>2400</v>
      </c>
      <c r="G1656" s="630" t="s">
        <v>5182</v>
      </c>
      <c r="H1656" s="548" t="s">
        <v>124</v>
      </c>
      <c r="I1656" s="583" t="s">
        <v>5631</v>
      </c>
      <c r="J1656" s="629" t="s">
        <v>5181</v>
      </c>
      <c r="K1656" s="583" t="s">
        <v>1015</v>
      </c>
      <c r="L1656" s="583" t="s">
        <v>992</v>
      </c>
      <c r="M1656" s="619">
        <v>4</v>
      </c>
      <c r="N1656" s="620">
        <v>44540</v>
      </c>
      <c r="O1656" s="684" t="s">
        <v>67</v>
      </c>
      <c r="P1656" s="503">
        <f t="shared" si="119"/>
        <v>12</v>
      </c>
      <c r="Q1656" s="503">
        <f t="shared" si="120"/>
        <v>9</v>
      </c>
      <c r="R1656" s="504" t="str">
        <f t="shared" si="121"/>
        <v>Gastos_Gerais</v>
      </c>
      <c r="S1656" s="504" t="str">
        <f>IF(D1656="","",IF(OR(D1656=Plano!$A$1,D1656=Plano!$B$1),"entrada","saída"))</f>
        <v>saída</v>
      </c>
      <c r="T1656" s="505" t="s">
        <v>994</v>
      </c>
      <c r="U1656" s="505">
        <v>2097</v>
      </c>
      <c r="V1656" s="541"/>
    </row>
    <row r="1657" spans="1:22" ht="44.25" customHeight="1" x14ac:dyDescent="0.2">
      <c r="A1657" s="619">
        <f>IF(B1657="","",COUNT('Diário 5º PA'!$A$5:$A$2634)+COUNT('Diário 6º PA'!$A$5:$A$2246)+COUNT('Diário 7º PA'!$A$5:$A$2271)+ROW()-4)</f>
        <v>5603</v>
      </c>
      <c r="B1657" s="620">
        <v>44543</v>
      </c>
      <c r="C1657" s="624">
        <v>44501</v>
      </c>
      <c r="D1657" s="548" t="s">
        <v>99</v>
      </c>
      <c r="E1657" s="548" t="s">
        <v>306</v>
      </c>
      <c r="F1657" s="622">
        <v>194.89</v>
      </c>
      <c r="G1657" s="623" t="s">
        <v>6703</v>
      </c>
      <c r="H1657" s="548" t="s">
        <v>115</v>
      </c>
      <c r="I1657" s="583" t="s">
        <v>2358</v>
      </c>
      <c r="J1657" s="548" t="s">
        <v>2359</v>
      </c>
      <c r="K1657" s="583" t="s">
        <v>560</v>
      </c>
      <c r="L1657" s="583" t="s">
        <v>992</v>
      </c>
      <c r="M1657" s="619" t="s">
        <v>6704</v>
      </c>
      <c r="N1657" s="620">
        <v>44536</v>
      </c>
      <c r="O1657" s="684" t="s">
        <v>67</v>
      </c>
      <c r="P1657" s="503">
        <f t="shared" si="119"/>
        <v>12</v>
      </c>
      <c r="Q1657" s="503">
        <f t="shared" si="120"/>
        <v>11</v>
      </c>
      <c r="R1657" s="504" t="str">
        <f t="shared" si="121"/>
        <v>Gastos_Gerais</v>
      </c>
      <c r="S1657" s="504" t="str">
        <f>IF(D1657="","",IF(OR(D1657=Plano!$A$1,D1657=Plano!$B$1),"entrada","saída"))</f>
        <v>saída</v>
      </c>
      <c r="T1657" s="556" t="s">
        <v>114</v>
      </c>
      <c r="U1657" s="556" t="s">
        <v>114</v>
      </c>
      <c r="V1657" s="541"/>
    </row>
    <row r="1658" spans="1:22" ht="32.25" customHeight="1" x14ac:dyDescent="0.2">
      <c r="A1658" s="619">
        <f>IF(B1658="","",COUNT('Diário 5º PA'!$A$5:$A$2634)+COUNT('Diário 6º PA'!$A$5:$A$2246)+COUNT('Diário 7º PA'!$A$5:$A$2271)+ROW()-4)</f>
        <v>5604</v>
      </c>
      <c r="B1658" s="620">
        <v>44543</v>
      </c>
      <c r="C1658" s="624">
        <v>44501</v>
      </c>
      <c r="D1658" s="548" t="s">
        <v>99</v>
      </c>
      <c r="E1658" s="548" t="s">
        <v>220</v>
      </c>
      <c r="F1658" s="622">
        <v>441</v>
      </c>
      <c r="G1658" s="623" t="s">
        <v>5734</v>
      </c>
      <c r="H1658" s="548" t="s">
        <v>115</v>
      </c>
      <c r="I1658" s="583" t="s">
        <v>522</v>
      </c>
      <c r="J1658" s="548" t="s">
        <v>523</v>
      </c>
      <c r="K1658" s="583" t="s">
        <v>1375</v>
      </c>
      <c r="L1658" s="583" t="s">
        <v>992</v>
      </c>
      <c r="M1658" s="619" t="s">
        <v>6705</v>
      </c>
      <c r="N1658" s="620">
        <v>44519</v>
      </c>
      <c r="O1658" s="684" t="s">
        <v>67</v>
      </c>
      <c r="P1658" s="503">
        <f t="shared" si="119"/>
        <v>12</v>
      </c>
      <c r="Q1658" s="503">
        <f t="shared" si="120"/>
        <v>11</v>
      </c>
      <c r="R1658" s="504" t="str">
        <f t="shared" si="121"/>
        <v>Gastos_Gerais</v>
      </c>
      <c r="S1658" s="504" t="str">
        <f>IF(D1658="","",IF(OR(D1658=Plano!$A$1,D1658=Plano!$B$1),"entrada","saída"))</f>
        <v>saída</v>
      </c>
      <c r="T1658" s="505" t="s">
        <v>114</v>
      </c>
      <c r="U1658" s="505" t="s">
        <v>114</v>
      </c>
      <c r="V1658" s="541"/>
    </row>
    <row r="1659" spans="1:22" ht="151.5" customHeight="1" x14ac:dyDescent="0.2">
      <c r="A1659" s="619">
        <f>IF(B1659="","",COUNT('Diário 5º PA'!$A$5:$A$2634)+COUNT('Diário 6º PA'!$A$5:$A$2246)+COUNT('Diário 7º PA'!$A$5:$A$2271)+ROW()-4)</f>
        <v>5605</v>
      </c>
      <c r="B1659" s="620">
        <v>44543</v>
      </c>
      <c r="C1659" s="624">
        <v>44501</v>
      </c>
      <c r="D1659" s="548" t="s">
        <v>99</v>
      </c>
      <c r="E1659" s="548" t="s">
        <v>254</v>
      </c>
      <c r="F1659" s="622">
        <v>500</v>
      </c>
      <c r="G1659" s="623" t="s">
        <v>448</v>
      </c>
      <c r="H1659" s="548" t="s">
        <v>115</v>
      </c>
      <c r="I1659" s="583" t="s">
        <v>5832</v>
      </c>
      <c r="J1659" s="548" t="s">
        <v>450</v>
      </c>
      <c r="K1659" s="583" t="s">
        <v>560</v>
      </c>
      <c r="L1659" s="583" t="s">
        <v>697</v>
      </c>
      <c r="M1659" s="619" t="s">
        <v>6706</v>
      </c>
      <c r="N1659" s="620">
        <v>44532</v>
      </c>
      <c r="O1659" s="684" t="s">
        <v>67</v>
      </c>
      <c r="P1659" s="503">
        <f t="shared" si="119"/>
        <v>12</v>
      </c>
      <c r="Q1659" s="503">
        <f t="shared" si="120"/>
        <v>11</v>
      </c>
      <c r="R1659" s="504" t="str">
        <f t="shared" si="121"/>
        <v>Gastos_Gerais</v>
      </c>
      <c r="S1659" s="504" t="str">
        <f>IF(D1659="","",IF(OR(D1659=Plano!$A$1,D1659=Plano!$B$1),"entrada","saída"))</f>
        <v>saída</v>
      </c>
      <c r="T1659" s="505" t="s">
        <v>1082</v>
      </c>
      <c r="U1659" s="505">
        <v>1143</v>
      </c>
      <c r="V1659" s="541"/>
    </row>
    <row r="1660" spans="1:22" s="569" customFormat="1" ht="42.75" customHeight="1" x14ac:dyDescent="0.2">
      <c r="A1660" s="619">
        <f>IF(B1660="","",COUNT('Diário 5º PA'!$A$5:$A$2634)+COUNT('Diário 6º PA'!$A$5:$A$2246)+COUNT('Diário 7º PA'!$A$5:$A$2271)+ROW()-4)</f>
        <v>5606</v>
      </c>
      <c r="B1660" s="620">
        <v>44543</v>
      </c>
      <c r="C1660" s="621">
        <v>44531</v>
      </c>
      <c r="D1660" s="548" t="s">
        <v>104</v>
      </c>
      <c r="E1660" s="548" t="s">
        <v>104</v>
      </c>
      <c r="F1660" s="634">
        <v>-20000</v>
      </c>
      <c r="G1660" s="623" t="s">
        <v>7148</v>
      </c>
      <c r="H1660" s="548" t="s">
        <v>104</v>
      </c>
      <c r="I1660" s="583" t="s">
        <v>2418</v>
      </c>
      <c r="J1660" s="548" t="s">
        <v>850</v>
      </c>
      <c r="K1660" s="583" t="s">
        <v>1015</v>
      </c>
      <c r="L1660" s="583" t="s">
        <v>1177</v>
      </c>
      <c r="M1660" s="625" t="s">
        <v>114</v>
      </c>
      <c r="N1660" s="620">
        <v>44543</v>
      </c>
      <c r="O1660" s="684" t="s">
        <v>71</v>
      </c>
      <c r="P1660" s="503">
        <f t="shared" si="119"/>
        <v>12</v>
      </c>
      <c r="Q1660" s="503">
        <f t="shared" si="120"/>
        <v>12</v>
      </c>
      <c r="R1660" s="504" t="str">
        <f t="shared" si="121"/>
        <v>Gastos_custeados_por_captação</v>
      </c>
      <c r="S1660" s="504" t="str">
        <f>IF(D1660="","",IF(OR(D1660=Plano!$A$1,D1660=Plano!$B$1),"entrada","saída"))</f>
        <v>saída</v>
      </c>
      <c r="T1660" s="511" t="s">
        <v>114</v>
      </c>
      <c r="U1660" s="511" t="s">
        <v>114</v>
      </c>
      <c r="V1660" s="541"/>
    </row>
    <row r="1661" spans="1:22" s="569" customFormat="1" ht="50.25" customHeight="1" x14ac:dyDescent="0.2">
      <c r="A1661" s="619">
        <f>IF(B1661="","",COUNT('Diário 5º PA'!$A$5:$A$2634)+COUNT('Diário 6º PA'!$A$5:$A$2246)+COUNT('Diário 7º PA'!$A$5:$A$2271)+ROW()-4)</f>
        <v>5607</v>
      </c>
      <c r="B1661" s="620">
        <v>44543</v>
      </c>
      <c r="C1661" s="628">
        <v>44501</v>
      </c>
      <c r="D1661" s="548" t="s">
        <v>104</v>
      </c>
      <c r="E1661" s="548" t="s">
        <v>104</v>
      </c>
      <c r="F1661" s="622">
        <v>7349.25</v>
      </c>
      <c r="G1661" s="623" t="s">
        <v>7144</v>
      </c>
      <c r="H1661" s="548" t="s">
        <v>104</v>
      </c>
      <c r="I1661" s="583" t="s">
        <v>7145</v>
      </c>
      <c r="J1661" s="548" t="s">
        <v>7146</v>
      </c>
      <c r="K1661" s="583" t="s">
        <v>991</v>
      </c>
      <c r="L1661" s="583" t="s">
        <v>992</v>
      </c>
      <c r="M1661" s="619" t="s">
        <v>1600</v>
      </c>
      <c r="N1661" s="620">
        <v>44543</v>
      </c>
      <c r="O1661" s="684" t="s">
        <v>71</v>
      </c>
      <c r="P1661" s="503">
        <f t="shared" si="119"/>
        <v>12</v>
      </c>
      <c r="Q1661" s="503">
        <f t="shared" si="120"/>
        <v>11</v>
      </c>
      <c r="R1661" s="504" t="str">
        <f t="shared" si="121"/>
        <v>Gastos_custeados_por_captação</v>
      </c>
      <c r="S1661" s="504" t="str">
        <f>IF(D1661="","",IF(OR(D1661=Plano!$A$1,D1661=Plano!$B$1),"entrada","saída"))</f>
        <v>saída</v>
      </c>
      <c r="T1661" s="511" t="s">
        <v>1059</v>
      </c>
      <c r="U1661" s="511">
        <v>2158</v>
      </c>
      <c r="V1661" s="541"/>
    </row>
    <row r="1662" spans="1:22" s="569" customFormat="1" ht="60.75" customHeight="1" x14ac:dyDescent="0.2">
      <c r="A1662" s="619">
        <f>IF(B1662="","",COUNT('Diário 5º PA'!$A$5:$A$2634)+COUNT('Diário 6º PA'!$A$5:$A$2246)+COUNT('Diário 7º PA'!$A$5:$A$2271)+ROW()-4)</f>
        <v>5608</v>
      </c>
      <c r="B1662" s="620">
        <v>44543</v>
      </c>
      <c r="C1662" s="624">
        <v>44531</v>
      </c>
      <c r="D1662" s="548" t="s">
        <v>104</v>
      </c>
      <c r="E1662" s="548" t="s">
        <v>104</v>
      </c>
      <c r="F1662" s="622">
        <v>10.45</v>
      </c>
      <c r="G1662" s="623" t="s">
        <v>5451</v>
      </c>
      <c r="H1662" s="548" t="s">
        <v>104</v>
      </c>
      <c r="I1662" s="583" t="s">
        <v>949</v>
      </c>
      <c r="J1662" s="548" t="s">
        <v>950</v>
      </c>
      <c r="K1662" s="583" t="s">
        <v>951</v>
      </c>
      <c r="L1662" s="583" t="s">
        <v>947</v>
      </c>
      <c r="M1662" s="625" t="s">
        <v>114</v>
      </c>
      <c r="N1662" s="620">
        <v>44543</v>
      </c>
      <c r="O1662" s="684" t="s">
        <v>71</v>
      </c>
      <c r="P1662" s="503">
        <f t="shared" si="119"/>
        <v>12</v>
      </c>
      <c r="Q1662" s="503">
        <f t="shared" si="120"/>
        <v>12</v>
      </c>
      <c r="R1662" s="504" t="str">
        <f t="shared" si="121"/>
        <v>Gastos_custeados_por_captação</v>
      </c>
      <c r="S1662" s="504" t="str">
        <f>IF(D1662="","",IF(OR(D1662=Plano!$A$1,D1662=Plano!$B$1),"entrada","saída"))</f>
        <v>saída</v>
      </c>
      <c r="T1662" s="505" t="s">
        <v>114</v>
      </c>
      <c r="U1662" s="505" t="s">
        <v>114</v>
      </c>
      <c r="V1662" s="541"/>
    </row>
    <row r="1663" spans="1:22" s="569" customFormat="1" ht="45" customHeight="1" x14ac:dyDescent="0.2">
      <c r="A1663" s="619">
        <f>IF(B1663="","",COUNT('Diário 5º PA'!$A$5:$A$2634)+COUNT('Diário 6º PA'!$A$5:$A$2246)+COUNT('Diário 7º PA'!$A$5:$A$2271)+ROW()-4)</f>
        <v>5609</v>
      </c>
      <c r="B1663" s="620">
        <v>44543</v>
      </c>
      <c r="C1663" s="624">
        <v>44531</v>
      </c>
      <c r="D1663" s="548" t="s">
        <v>104</v>
      </c>
      <c r="E1663" s="548" t="s">
        <v>104</v>
      </c>
      <c r="F1663" s="622">
        <v>153</v>
      </c>
      <c r="G1663" s="623" t="s">
        <v>948</v>
      </c>
      <c r="H1663" s="548" t="s">
        <v>104</v>
      </c>
      <c r="I1663" s="583" t="s">
        <v>949</v>
      </c>
      <c r="J1663" s="548" t="s">
        <v>950</v>
      </c>
      <c r="K1663" s="583" t="s">
        <v>951</v>
      </c>
      <c r="L1663" s="583" t="s">
        <v>947</v>
      </c>
      <c r="M1663" s="625" t="s">
        <v>114</v>
      </c>
      <c r="N1663" s="620">
        <v>44543</v>
      </c>
      <c r="O1663" s="684" t="s">
        <v>71</v>
      </c>
      <c r="P1663" s="503">
        <f t="shared" si="119"/>
        <v>12</v>
      </c>
      <c r="Q1663" s="503">
        <f t="shared" si="120"/>
        <v>12</v>
      </c>
      <c r="R1663" s="504" t="str">
        <f t="shared" si="121"/>
        <v>Gastos_custeados_por_captação</v>
      </c>
      <c r="S1663" s="504" t="str">
        <f>IF(D1663="","",IF(OR(D1663=Plano!$A$1,D1663=Plano!$B$1),"entrada","saída"))</f>
        <v>saída</v>
      </c>
      <c r="T1663" s="505" t="s">
        <v>114</v>
      </c>
      <c r="U1663" s="505" t="s">
        <v>114</v>
      </c>
      <c r="V1663" s="541"/>
    </row>
    <row r="1664" spans="1:22" s="574" customFormat="1" ht="45" customHeight="1" x14ac:dyDescent="0.2">
      <c r="A1664" s="619">
        <f>IF(B1664="","",COUNT('Diário 5º PA'!$A$5:$A$2634)+COUNT('Diário 6º PA'!$A$5:$A$2246)+COUNT('Diário 7º PA'!$A$5:$A$2271)+ROW()-4)</f>
        <v>5610</v>
      </c>
      <c r="B1664" s="620">
        <v>44543</v>
      </c>
      <c r="C1664" s="624">
        <v>44501</v>
      </c>
      <c r="D1664" s="548" t="s">
        <v>104</v>
      </c>
      <c r="E1664" s="548" t="s">
        <v>104</v>
      </c>
      <c r="F1664" s="622">
        <v>300</v>
      </c>
      <c r="G1664" s="623" t="s">
        <v>7253</v>
      </c>
      <c r="H1664" s="548" t="s">
        <v>104</v>
      </c>
      <c r="I1664" s="583" t="s">
        <v>7254</v>
      </c>
      <c r="J1664" s="548" t="s">
        <v>7255</v>
      </c>
      <c r="K1664" s="583" t="s">
        <v>991</v>
      </c>
      <c r="L1664" s="583" t="s">
        <v>1177</v>
      </c>
      <c r="M1664" s="625" t="s">
        <v>114</v>
      </c>
      <c r="N1664" s="620">
        <v>44534</v>
      </c>
      <c r="O1664" s="684" t="s">
        <v>70</v>
      </c>
      <c r="P1664" s="503">
        <f t="shared" ref="P1664" si="122">IF(B1664=0,0,IF(YEAR(B1664)=$Q$1,MONTH(B1664)-$P$1+1,(YEAR(B1664)-$Q$1)*12-$P$1+1+MONTH(B1664)))</f>
        <v>12</v>
      </c>
      <c r="Q1664" s="503">
        <f t="shared" ref="Q1664" si="123">IF(C1664=0,0,IF(YEAR(C1664)=$Q$1,MONTH(C1664)-$P$1+1,(YEAR(C1664)-$Q$1)*12-$P$1+1+MONTH(C1664)))</f>
        <v>11</v>
      </c>
      <c r="R1664" s="504" t="str">
        <f t="shared" ref="R1664" si="124">SUBSTITUTE(D1664," ","_")</f>
        <v>Gastos_custeados_por_captação</v>
      </c>
      <c r="S1664" s="504" t="str">
        <f>IF(D1664="","",IF(OR(D1664=Plano!$A$1,D1664=Plano!$B$1),"entrada","saída"))</f>
        <v>saída</v>
      </c>
      <c r="T1664" s="505" t="s">
        <v>994</v>
      </c>
      <c r="U1664" s="505">
        <v>2383</v>
      </c>
      <c r="V1664" s="541"/>
    </row>
    <row r="1665" spans="1:22" ht="49.5" customHeight="1" x14ac:dyDescent="0.2">
      <c r="A1665" s="619">
        <f>IF(B1665="","",COUNT('Diário 5º PA'!$A$5:$A$2634)+COUNT('Diário 6º PA'!$A$5:$A$2246)+COUNT('Diário 7º PA'!$A$5:$A$2271)+ROW()-4)</f>
        <v>5611</v>
      </c>
      <c r="B1665" s="620">
        <v>44544</v>
      </c>
      <c r="C1665" s="624">
        <v>44501</v>
      </c>
      <c r="D1665" s="548" t="s">
        <v>99</v>
      </c>
      <c r="E1665" s="548" t="s">
        <v>364</v>
      </c>
      <c r="F1665" s="622">
        <v>799.89</v>
      </c>
      <c r="G1665" s="623" t="s">
        <v>6399</v>
      </c>
      <c r="H1665" s="548" t="s">
        <v>124</v>
      </c>
      <c r="I1665" s="583" t="s">
        <v>6709</v>
      </c>
      <c r="J1665" s="548" t="s">
        <v>6400</v>
      </c>
      <c r="K1665" s="583" t="s">
        <v>560</v>
      </c>
      <c r="L1665" s="583" t="s">
        <v>992</v>
      </c>
      <c r="M1665" s="619">
        <v>199703</v>
      </c>
      <c r="N1665" s="620">
        <v>44530</v>
      </c>
      <c r="O1665" s="684" t="s">
        <v>67</v>
      </c>
      <c r="P1665" s="503">
        <f t="shared" si="119"/>
        <v>12</v>
      </c>
      <c r="Q1665" s="503">
        <f t="shared" si="120"/>
        <v>11</v>
      </c>
      <c r="R1665" s="504" t="str">
        <f t="shared" si="121"/>
        <v>Gastos_Gerais</v>
      </c>
      <c r="S1665" s="504" t="str">
        <f>IF(D1665="","",IF(OR(D1665=Plano!$A$1,D1665=Plano!$B$1),"entrada","saída"))</f>
        <v>saída</v>
      </c>
      <c r="T1665" s="505" t="s">
        <v>1011</v>
      </c>
      <c r="U1665" s="505">
        <v>2482</v>
      </c>
      <c r="V1665" s="541"/>
    </row>
    <row r="1666" spans="1:22" ht="60" customHeight="1" x14ac:dyDescent="0.2">
      <c r="A1666" s="619">
        <f>IF(B1666="","",COUNT('Diário 5º PA'!$A$5:$A$2634)+COUNT('Diário 6º PA'!$A$5:$A$2246)+COUNT('Diário 7º PA'!$A$5:$A$2271)+ROW()-4)</f>
        <v>5612</v>
      </c>
      <c r="B1666" s="620">
        <v>44544</v>
      </c>
      <c r="C1666" s="624">
        <v>44501</v>
      </c>
      <c r="D1666" s="548" t="s">
        <v>99</v>
      </c>
      <c r="E1666" s="548" t="s">
        <v>378</v>
      </c>
      <c r="F1666" s="622">
        <v>783.92</v>
      </c>
      <c r="G1666" s="623" t="s">
        <v>6351</v>
      </c>
      <c r="H1666" s="548" t="s">
        <v>122</v>
      </c>
      <c r="I1666" s="583" t="s">
        <v>4590</v>
      </c>
      <c r="J1666" s="548" t="s">
        <v>840</v>
      </c>
      <c r="K1666" s="583" t="s">
        <v>991</v>
      </c>
      <c r="L1666" s="583" t="s">
        <v>992</v>
      </c>
      <c r="M1666" s="619" t="s">
        <v>1407</v>
      </c>
      <c r="N1666" s="620">
        <v>44543</v>
      </c>
      <c r="O1666" s="684" t="s">
        <v>67</v>
      </c>
      <c r="P1666" s="503">
        <f t="shared" si="119"/>
        <v>12</v>
      </c>
      <c r="Q1666" s="503">
        <f t="shared" si="120"/>
        <v>11</v>
      </c>
      <c r="R1666" s="504" t="str">
        <f t="shared" si="121"/>
        <v>Gastos_Gerais</v>
      </c>
      <c r="S1666" s="504" t="str">
        <f>IF(D1666="","",IF(OR(D1666=Plano!$A$1,D1666=Plano!$B$1),"entrada","saída"))</f>
        <v>saída</v>
      </c>
      <c r="T1666" s="505" t="s">
        <v>994</v>
      </c>
      <c r="U1666" s="505">
        <v>2463</v>
      </c>
      <c r="V1666" s="541"/>
    </row>
    <row r="1667" spans="1:22" ht="60.75" customHeight="1" x14ac:dyDescent="0.2">
      <c r="A1667" s="619">
        <f>IF(B1667="","",COUNT('Diário 5º PA'!$A$5:$A$2634)+COUNT('Diário 6º PA'!$A$5:$A$2246)+COUNT('Diário 7º PA'!$A$5:$A$2271)+ROW()-4)</f>
        <v>5613</v>
      </c>
      <c r="B1667" s="620">
        <v>44544</v>
      </c>
      <c r="C1667" s="624">
        <v>44501</v>
      </c>
      <c r="D1667" s="548" t="s">
        <v>99</v>
      </c>
      <c r="E1667" s="548" t="s">
        <v>358</v>
      </c>
      <c r="F1667" s="622">
        <v>430</v>
      </c>
      <c r="G1667" s="623" t="s">
        <v>6224</v>
      </c>
      <c r="H1667" s="548" t="s">
        <v>128</v>
      </c>
      <c r="I1667" s="583" t="s">
        <v>6711</v>
      </c>
      <c r="J1667" s="548" t="s">
        <v>6225</v>
      </c>
      <c r="K1667" s="583" t="s">
        <v>991</v>
      </c>
      <c r="L1667" s="583" t="s">
        <v>1901</v>
      </c>
      <c r="M1667" s="619">
        <v>1468</v>
      </c>
      <c r="N1667" s="620">
        <v>44531</v>
      </c>
      <c r="O1667" s="684" t="s">
        <v>67</v>
      </c>
      <c r="P1667" s="503">
        <f t="shared" si="119"/>
        <v>12</v>
      </c>
      <c r="Q1667" s="503">
        <f t="shared" si="120"/>
        <v>11</v>
      </c>
      <c r="R1667" s="504" t="str">
        <f t="shared" si="121"/>
        <v>Gastos_Gerais</v>
      </c>
      <c r="S1667" s="504" t="str">
        <f>IF(D1667="","",IF(OR(D1667=Plano!$A$1,D1667=Plano!$B$1),"entrada","saída"))</f>
        <v>saída</v>
      </c>
      <c r="T1667" s="505" t="s">
        <v>994</v>
      </c>
      <c r="U1667" s="505">
        <v>2361</v>
      </c>
      <c r="V1667" s="541"/>
    </row>
    <row r="1668" spans="1:22" ht="75.75" customHeight="1" x14ac:dyDescent="0.2">
      <c r="A1668" s="619">
        <f>IF(B1668="","",COUNT('Diário 5º PA'!$A$5:$A$2634)+COUNT('Diário 6º PA'!$A$5:$A$2246)+COUNT('Diário 7º PA'!$A$5:$A$2271)+ROW()-4)</f>
        <v>5614</v>
      </c>
      <c r="B1668" s="620">
        <v>44544</v>
      </c>
      <c r="C1668" s="624">
        <v>44531</v>
      </c>
      <c r="D1668" s="548" t="s">
        <v>99</v>
      </c>
      <c r="E1668" s="548" t="s">
        <v>382</v>
      </c>
      <c r="F1668" s="622">
        <v>676.76</v>
      </c>
      <c r="G1668" s="623" t="s">
        <v>6714</v>
      </c>
      <c r="H1668" s="548" t="s">
        <v>131</v>
      </c>
      <c r="I1668" s="583" t="s">
        <v>1929</v>
      </c>
      <c r="J1668" s="548" t="s">
        <v>444</v>
      </c>
      <c r="K1668" s="583" t="s">
        <v>991</v>
      </c>
      <c r="L1668" s="583" t="s">
        <v>992</v>
      </c>
      <c r="M1668" s="619" t="s">
        <v>6715</v>
      </c>
      <c r="N1668" s="620">
        <v>44543</v>
      </c>
      <c r="O1668" s="684" t="s">
        <v>67</v>
      </c>
      <c r="P1668" s="503">
        <f t="shared" si="119"/>
        <v>12</v>
      </c>
      <c r="Q1668" s="503">
        <f t="shared" si="120"/>
        <v>12</v>
      </c>
      <c r="R1668" s="504" t="str">
        <f t="shared" si="121"/>
        <v>Gastos_Gerais</v>
      </c>
      <c r="S1668" s="504" t="str">
        <f>IF(D1668="","",IF(OR(D1668=Plano!$A$1,D1668=Plano!$B$1),"entrada","saída"))</f>
        <v>saída</v>
      </c>
      <c r="T1668" s="505" t="s">
        <v>1059</v>
      </c>
      <c r="U1668" s="505">
        <v>2532</v>
      </c>
      <c r="V1668" s="541"/>
    </row>
    <row r="1669" spans="1:22" ht="50.1" customHeight="1" x14ac:dyDescent="0.2">
      <c r="A1669" s="619">
        <f>IF(B1669="","",COUNT('Diário 5º PA'!$A$5:$A$2634)+COUNT('Diário 6º PA'!$A$5:$A$2246)+COUNT('Diário 7º PA'!$A$5:$A$2271)+ROW()-4)</f>
        <v>5615</v>
      </c>
      <c r="B1669" s="620">
        <v>44544</v>
      </c>
      <c r="C1669" s="628">
        <v>44531</v>
      </c>
      <c r="D1669" s="548" t="s">
        <v>99</v>
      </c>
      <c r="E1669" s="548" t="s">
        <v>272</v>
      </c>
      <c r="F1669" s="622">
        <v>10.45</v>
      </c>
      <c r="G1669" s="623" t="s">
        <v>6717</v>
      </c>
      <c r="H1669" s="548" t="s">
        <v>122</v>
      </c>
      <c r="I1669" s="583" t="s">
        <v>949</v>
      </c>
      <c r="J1669" s="548" t="s">
        <v>950</v>
      </c>
      <c r="K1669" s="583" t="s">
        <v>951</v>
      </c>
      <c r="L1669" s="583" t="s">
        <v>947</v>
      </c>
      <c r="M1669" s="625" t="s">
        <v>114</v>
      </c>
      <c r="N1669" s="620">
        <v>44544</v>
      </c>
      <c r="O1669" s="684" t="s">
        <v>67</v>
      </c>
      <c r="P1669" s="503">
        <f t="shared" si="119"/>
        <v>12</v>
      </c>
      <c r="Q1669" s="503">
        <f t="shared" si="120"/>
        <v>12</v>
      </c>
      <c r="R1669" s="504" t="str">
        <f t="shared" si="121"/>
        <v>Gastos_Gerais</v>
      </c>
      <c r="S1669" s="504" t="str">
        <f>IF(D1669="","",IF(OR(D1669=Plano!$A$1,D1669=Plano!$B$1),"entrada","saída"))</f>
        <v>saída</v>
      </c>
      <c r="T1669" s="511" t="s">
        <v>114</v>
      </c>
      <c r="U1669" s="511" t="s">
        <v>114</v>
      </c>
      <c r="V1669" s="541"/>
    </row>
    <row r="1670" spans="1:22" ht="50.1" customHeight="1" x14ac:dyDescent="0.2">
      <c r="A1670" s="619">
        <f>IF(B1670="","",COUNT('Diário 5º PA'!$A$5:$A$2634)+COUNT('Diário 6º PA'!$A$5:$A$2246)+COUNT('Diário 7º PA'!$A$5:$A$2271)+ROW()-4)</f>
        <v>5616</v>
      </c>
      <c r="B1670" s="620">
        <v>44544</v>
      </c>
      <c r="C1670" s="628">
        <v>44531</v>
      </c>
      <c r="D1670" s="548" t="s">
        <v>99</v>
      </c>
      <c r="E1670" s="548" t="s">
        <v>272</v>
      </c>
      <c r="F1670" s="622">
        <v>10.45</v>
      </c>
      <c r="G1670" s="623" t="s">
        <v>6718</v>
      </c>
      <c r="H1670" s="548" t="s">
        <v>128</v>
      </c>
      <c r="I1670" s="583" t="s">
        <v>949</v>
      </c>
      <c r="J1670" s="548" t="s">
        <v>950</v>
      </c>
      <c r="K1670" s="583" t="s">
        <v>951</v>
      </c>
      <c r="L1670" s="583" t="s">
        <v>947</v>
      </c>
      <c r="M1670" s="625" t="s">
        <v>114</v>
      </c>
      <c r="N1670" s="620">
        <v>44544</v>
      </c>
      <c r="O1670" s="684" t="s">
        <v>67</v>
      </c>
      <c r="P1670" s="503">
        <f t="shared" si="119"/>
        <v>12</v>
      </c>
      <c r="Q1670" s="503">
        <f t="shared" si="120"/>
        <v>12</v>
      </c>
      <c r="R1670" s="504" t="str">
        <f t="shared" si="121"/>
        <v>Gastos_Gerais</v>
      </c>
      <c r="S1670" s="504" t="str">
        <f>IF(D1670="","",IF(OR(D1670=Plano!$A$1,D1670=Plano!$B$1),"entrada","saída"))</f>
        <v>saída</v>
      </c>
      <c r="T1670" s="511" t="s">
        <v>114</v>
      </c>
      <c r="U1670" s="511" t="s">
        <v>114</v>
      </c>
      <c r="V1670" s="541"/>
    </row>
    <row r="1671" spans="1:22" ht="50.1" customHeight="1" x14ac:dyDescent="0.2">
      <c r="A1671" s="619">
        <f>IF(B1671="","",COUNT('Diário 5º PA'!$A$5:$A$2634)+COUNT('Diário 6º PA'!$A$5:$A$2246)+COUNT('Diário 7º PA'!$A$5:$A$2271)+ROW()-4)</f>
        <v>5617</v>
      </c>
      <c r="B1671" s="620">
        <v>44544</v>
      </c>
      <c r="C1671" s="628">
        <v>44531</v>
      </c>
      <c r="D1671" s="548" t="s">
        <v>99</v>
      </c>
      <c r="E1671" s="548" t="s">
        <v>272</v>
      </c>
      <c r="F1671" s="622">
        <v>10.45</v>
      </c>
      <c r="G1671" s="623" t="s">
        <v>6719</v>
      </c>
      <c r="H1671" s="548" t="s">
        <v>131</v>
      </c>
      <c r="I1671" s="583" t="s">
        <v>949</v>
      </c>
      <c r="J1671" s="548" t="s">
        <v>950</v>
      </c>
      <c r="K1671" s="583" t="s">
        <v>951</v>
      </c>
      <c r="L1671" s="583" t="s">
        <v>947</v>
      </c>
      <c r="M1671" s="625" t="s">
        <v>114</v>
      </c>
      <c r="N1671" s="620">
        <v>44544</v>
      </c>
      <c r="O1671" s="684" t="s">
        <v>67</v>
      </c>
      <c r="P1671" s="503">
        <f t="shared" si="119"/>
        <v>12</v>
      </c>
      <c r="Q1671" s="503">
        <f t="shared" si="120"/>
        <v>12</v>
      </c>
      <c r="R1671" s="504" t="str">
        <f t="shared" si="121"/>
        <v>Gastos_Gerais</v>
      </c>
      <c r="S1671" s="504" t="str">
        <f>IF(D1671="","",IF(OR(D1671=Plano!$A$1,D1671=Plano!$B$1),"entrada","saída"))</f>
        <v>saída</v>
      </c>
      <c r="T1671" s="511" t="s">
        <v>114</v>
      </c>
      <c r="U1671" s="511" t="s">
        <v>114</v>
      </c>
      <c r="V1671" s="541"/>
    </row>
    <row r="1672" spans="1:22" s="569" customFormat="1" ht="135" customHeight="1" x14ac:dyDescent="0.2">
      <c r="A1672" s="619">
        <f>IF(B1672="","",COUNT('Diário 5º PA'!$A$5:$A$2634)+COUNT('Diário 6º PA'!$A$5:$A$2246)+COUNT('Diário 7º PA'!$A$5:$A$2271)+ROW()-4)</f>
        <v>5618</v>
      </c>
      <c r="B1672" s="620">
        <v>44544</v>
      </c>
      <c r="C1672" s="645">
        <v>44501</v>
      </c>
      <c r="D1672" s="646" t="s">
        <v>104</v>
      </c>
      <c r="E1672" s="646" t="s">
        <v>104</v>
      </c>
      <c r="F1672" s="647">
        <v>3342.5</v>
      </c>
      <c r="G1672" s="648" t="s">
        <v>634</v>
      </c>
      <c r="H1672" s="646" t="s">
        <v>104</v>
      </c>
      <c r="I1672" s="627" t="s">
        <v>4529</v>
      </c>
      <c r="J1672" s="646" t="s">
        <v>636</v>
      </c>
      <c r="K1672" s="583" t="s">
        <v>991</v>
      </c>
      <c r="L1672" s="583" t="s">
        <v>992</v>
      </c>
      <c r="M1672" s="619" t="s">
        <v>1296</v>
      </c>
      <c r="N1672" s="620">
        <v>44539</v>
      </c>
      <c r="O1672" s="684" t="s">
        <v>71</v>
      </c>
      <c r="P1672" s="503">
        <f t="shared" si="119"/>
        <v>12</v>
      </c>
      <c r="Q1672" s="503">
        <f t="shared" si="120"/>
        <v>11</v>
      </c>
      <c r="R1672" s="504" t="str">
        <f t="shared" si="121"/>
        <v>Gastos_custeados_por_captação</v>
      </c>
      <c r="S1672" s="504" t="str">
        <f>IF(D1672="","",IF(OR(D1672=Plano!$A$1,D1672=Plano!$B$1),"entrada","saída"))</f>
        <v>saída</v>
      </c>
      <c r="T1672" s="511" t="s">
        <v>1059</v>
      </c>
      <c r="U1672" s="511">
        <v>1457</v>
      </c>
      <c r="V1672" s="541"/>
    </row>
    <row r="1673" spans="1:22" s="569" customFormat="1" ht="50.1" customHeight="1" x14ac:dyDescent="0.2">
      <c r="A1673" s="619">
        <f>IF(B1673="","",COUNT('Diário 5º PA'!$A$5:$A$2634)+COUNT('Diário 6º PA'!$A$5:$A$2246)+COUNT('Diário 7º PA'!$A$5:$A$2271)+ROW()-4)</f>
        <v>5619</v>
      </c>
      <c r="B1673" s="620">
        <v>44544</v>
      </c>
      <c r="C1673" s="624">
        <v>44531</v>
      </c>
      <c r="D1673" s="548" t="s">
        <v>104</v>
      </c>
      <c r="E1673" s="548" t="s">
        <v>104</v>
      </c>
      <c r="F1673" s="622">
        <v>10.45</v>
      </c>
      <c r="G1673" s="623" t="s">
        <v>5451</v>
      </c>
      <c r="H1673" s="548" t="s">
        <v>104</v>
      </c>
      <c r="I1673" s="583" t="s">
        <v>949</v>
      </c>
      <c r="J1673" s="548" t="s">
        <v>950</v>
      </c>
      <c r="K1673" s="583" t="s">
        <v>951</v>
      </c>
      <c r="L1673" s="583" t="s">
        <v>947</v>
      </c>
      <c r="M1673" s="625" t="s">
        <v>114</v>
      </c>
      <c r="N1673" s="620">
        <v>44544</v>
      </c>
      <c r="O1673" s="684" t="s">
        <v>71</v>
      </c>
      <c r="P1673" s="503">
        <f t="shared" si="119"/>
        <v>12</v>
      </c>
      <c r="Q1673" s="503">
        <f t="shared" si="120"/>
        <v>12</v>
      </c>
      <c r="R1673" s="504" t="str">
        <f t="shared" si="121"/>
        <v>Gastos_custeados_por_captação</v>
      </c>
      <c r="S1673" s="504" t="str">
        <f>IF(D1673="","",IF(OR(D1673=Plano!$A$1,D1673=Plano!$B$1),"entrada","saída"))</f>
        <v>saída</v>
      </c>
      <c r="T1673" s="505" t="s">
        <v>114</v>
      </c>
      <c r="U1673" s="505" t="s">
        <v>114</v>
      </c>
      <c r="V1673" s="541"/>
    </row>
    <row r="1674" spans="1:22" s="574" customFormat="1" ht="50.1" customHeight="1" x14ac:dyDescent="0.2">
      <c r="A1674" s="619">
        <f>IF(B1674="","",COUNT('Diário 5º PA'!$A$5:$A$2634)+COUNT('Diário 6º PA'!$A$5:$A$2246)+COUNT('Diário 7º PA'!$A$5:$A$2271)+ROW()-4)</f>
        <v>5620</v>
      </c>
      <c r="B1674" s="620">
        <v>44544</v>
      </c>
      <c r="C1674" s="624">
        <v>44531</v>
      </c>
      <c r="D1674" s="548" t="s">
        <v>104</v>
      </c>
      <c r="E1674" s="548" t="s">
        <v>104</v>
      </c>
      <c r="F1674" s="622">
        <v>500</v>
      </c>
      <c r="G1674" s="623" t="s">
        <v>7258</v>
      </c>
      <c r="H1674" s="548" t="s">
        <v>104</v>
      </c>
      <c r="I1674" s="583" t="s">
        <v>7256</v>
      </c>
      <c r="J1674" s="548" t="s">
        <v>7257</v>
      </c>
      <c r="K1674" s="583" t="s">
        <v>991</v>
      </c>
      <c r="L1674" s="583" t="s">
        <v>1177</v>
      </c>
      <c r="M1674" s="625" t="s">
        <v>114</v>
      </c>
      <c r="N1674" s="620">
        <v>44543</v>
      </c>
      <c r="O1674" s="684" t="s">
        <v>70</v>
      </c>
      <c r="P1674" s="503">
        <f t="shared" ref="P1674" si="125">IF(B1674=0,0,IF(YEAR(B1674)=$Q$1,MONTH(B1674)-$P$1+1,(YEAR(B1674)-$Q$1)*12-$P$1+1+MONTH(B1674)))</f>
        <v>12</v>
      </c>
      <c r="Q1674" s="503">
        <f t="shared" ref="Q1674" si="126">IF(C1674=0,0,IF(YEAR(C1674)=$Q$1,MONTH(C1674)-$P$1+1,(YEAR(C1674)-$Q$1)*12-$P$1+1+MONTH(C1674)))</f>
        <v>12</v>
      </c>
      <c r="R1674" s="504" t="str">
        <f t="shared" ref="R1674" si="127">SUBSTITUTE(D1674," ","_")</f>
        <v>Gastos_custeados_por_captação</v>
      </c>
      <c r="S1674" s="504" t="str">
        <f>IF(D1674="","",IF(OR(D1674=Plano!$A$1,D1674=Plano!$B$1),"entrada","saída"))</f>
        <v>saída</v>
      </c>
      <c r="T1674" s="505" t="s">
        <v>994</v>
      </c>
      <c r="U1674" s="505">
        <v>2389</v>
      </c>
      <c r="V1674" s="541"/>
    </row>
    <row r="1675" spans="1:22" ht="50.1" customHeight="1" x14ac:dyDescent="0.2">
      <c r="A1675" s="619">
        <f>IF(B1675="","",COUNT('Diário 5º PA'!$A$5:$A$2634)+COUNT('Diário 6º PA'!$A$5:$A$2246)+COUNT('Diário 7º PA'!$A$5:$A$2271)+ROW()-4)</f>
        <v>5621</v>
      </c>
      <c r="B1675" s="620">
        <v>44545</v>
      </c>
      <c r="C1675" s="621">
        <v>44531</v>
      </c>
      <c r="D1675" s="548" t="s">
        <v>88</v>
      </c>
      <c r="E1675" s="548" t="s">
        <v>196</v>
      </c>
      <c r="F1675" s="622">
        <v>-237.36</v>
      </c>
      <c r="G1675" s="623" t="s">
        <v>1418</v>
      </c>
      <c r="H1675" s="548" t="s">
        <v>114</v>
      </c>
      <c r="I1675" s="583" t="s">
        <v>983</v>
      </c>
      <c r="J1675" s="548" t="s">
        <v>850</v>
      </c>
      <c r="K1675" s="583" t="s">
        <v>946</v>
      </c>
      <c r="L1675" s="583" t="s">
        <v>947</v>
      </c>
      <c r="M1675" s="632" t="s">
        <v>114</v>
      </c>
      <c r="N1675" s="620">
        <v>44545</v>
      </c>
      <c r="O1675" s="684" t="s">
        <v>67</v>
      </c>
      <c r="P1675" s="503">
        <f t="shared" si="119"/>
        <v>12</v>
      </c>
      <c r="Q1675" s="503">
        <f t="shared" si="120"/>
        <v>12</v>
      </c>
      <c r="R1675" s="504" t="str">
        <f t="shared" si="121"/>
        <v>Gastos_com_Pessoal</v>
      </c>
      <c r="S1675" s="504" t="str">
        <f>IF(D1675="","",IF(OR(D1675=Plano!$A$1,D1675=Plano!$B$1),"entrada","saída"))</f>
        <v>saída</v>
      </c>
      <c r="T1675" s="511" t="s">
        <v>114</v>
      </c>
      <c r="U1675" s="511" t="s">
        <v>114</v>
      </c>
      <c r="V1675" s="541"/>
    </row>
    <row r="1676" spans="1:22" ht="65.25" customHeight="1" x14ac:dyDescent="0.2">
      <c r="A1676" s="619">
        <f>IF(B1676="","",COUNT('Diário 5º PA'!$A$5:$A$2634)+COUNT('Diário 6º PA'!$A$5:$A$2246)+COUNT('Diário 7º PA'!$A$5:$A$2271)+ROW()-4)</f>
        <v>5622</v>
      </c>
      <c r="B1676" s="620">
        <v>44545</v>
      </c>
      <c r="C1676" s="621">
        <v>44470</v>
      </c>
      <c r="D1676" s="548" t="s">
        <v>88</v>
      </c>
      <c r="E1676" s="548" t="s">
        <v>90</v>
      </c>
      <c r="F1676" s="622">
        <v>-174.19</v>
      </c>
      <c r="G1676" s="623" t="s">
        <v>6725</v>
      </c>
      <c r="H1676" s="548" t="s">
        <v>114</v>
      </c>
      <c r="I1676" s="583" t="s">
        <v>983</v>
      </c>
      <c r="J1676" s="548" t="s">
        <v>850</v>
      </c>
      <c r="K1676" s="583" t="s">
        <v>946</v>
      </c>
      <c r="L1676" s="583" t="s">
        <v>947</v>
      </c>
      <c r="M1676" s="632" t="s">
        <v>114</v>
      </c>
      <c r="N1676" s="620">
        <v>44545</v>
      </c>
      <c r="O1676" s="684" t="s">
        <v>67</v>
      </c>
      <c r="P1676" s="503">
        <f t="shared" si="119"/>
        <v>12</v>
      </c>
      <c r="Q1676" s="503">
        <f t="shared" si="120"/>
        <v>10</v>
      </c>
      <c r="R1676" s="504" t="str">
        <f t="shared" si="121"/>
        <v>Gastos_com_Pessoal</v>
      </c>
      <c r="S1676" s="504" t="str">
        <f>IF(D1676="","",IF(OR(D1676=Plano!$A$1,D1676=Plano!$B$1),"entrada","saída"))</f>
        <v>saída</v>
      </c>
      <c r="T1676" s="511" t="s">
        <v>114</v>
      </c>
      <c r="U1676" s="511" t="s">
        <v>114</v>
      </c>
      <c r="V1676" s="541"/>
    </row>
    <row r="1677" spans="1:22" ht="53.25" customHeight="1" x14ac:dyDescent="0.2">
      <c r="A1677" s="619">
        <f>IF(B1677="","",COUNT('Diário 5º PA'!$A$5:$A$2634)+COUNT('Diário 6º PA'!$A$5:$A$2246)+COUNT('Diário 7º PA'!$A$5:$A$2271)+ROW()-4)</f>
        <v>5623</v>
      </c>
      <c r="B1677" s="620">
        <v>44545</v>
      </c>
      <c r="C1677" s="621">
        <v>44531</v>
      </c>
      <c r="D1677" s="548" t="s">
        <v>88</v>
      </c>
      <c r="E1677" s="548" t="s">
        <v>196</v>
      </c>
      <c r="F1677" s="622">
        <v>-3057.06</v>
      </c>
      <c r="G1677" s="623" t="s">
        <v>1419</v>
      </c>
      <c r="H1677" s="548" t="s">
        <v>114</v>
      </c>
      <c r="I1677" s="583" t="s">
        <v>983</v>
      </c>
      <c r="J1677" s="548" t="s">
        <v>850</v>
      </c>
      <c r="K1677" s="583" t="s">
        <v>946</v>
      </c>
      <c r="L1677" s="583" t="s">
        <v>947</v>
      </c>
      <c r="M1677" s="632" t="s">
        <v>114</v>
      </c>
      <c r="N1677" s="620">
        <v>44545</v>
      </c>
      <c r="O1677" s="684" t="s">
        <v>67</v>
      </c>
      <c r="P1677" s="503">
        <f t="shared" si="119"/>
        <v>12</v>
      </c>
      <c r="Q1677" s="503">
        <f t="shared" si="120"/>
        <v>12</v>
      </c>
      <c r="R1677" s="504" t="str">
        <f t="shared" si="121"/>
        <v>Gastos_com_Pessoal</v>
      </c>
      <c r="S1677" s="504" t="str">
        <f>IF(D1677="","",IF(OR(D1677=Plano!$A$1,D1677=Plano!$B$1),"entrada","saída"))</f>
        <v>saída</v>
      </c>
      <c r="T1677" s="511" t="s">
        <v>114</v>
      </c>
      <c r="U1677" s="511" t="s">
        <v>114</v>
      </c>
      <c r="V1677" s="541"/>
    </row>
    <row r="1678" spans="1:22" ht="59.25" customHeight="1" x14ac:dyDescent="0.2">
      <c r="A1678" s="619">
        <f>IF(B1678="","",COUNT('Diário 5º PA'!$A$5:$A$2634)+COUNT('Diário 6º PA'!$A$5:$A$2246)+COUNT('Diário 7º PA'!$A$5:$A$2271)+ROW()-4)</f>
        <v>5624</v>
      </c>
      <c r="B1678" s="620">
        <v>44545</v>
      </c>
      <c r="C1678" s="621">
        <v>44501</v>
      </c>
      <c r="D1678" s="548" t="s">
        <v>99</v>
      </c>
      <c r="E1678" s="548" t="s">
        <v>218</v>
      </c>
      <c r="F1678" s="622">
        <v>-43.11</v>
      </c>
      <c r="G1678" s="623" t="s">
        <v>6728</v>
      </c>
      <c r="H1678" s="548" t="s">
        <v>115</v>
      </c>
      <c r="I1678" s="583" t="s">
        <v>983</v>
      </c>
      <c r="J1678" s="548" t="s">
        <v>850</v>
      </c>
      <c r="K1678" s="583" t="s">
        <v>946</v>
      </c>
      <c r="L1678" s="583" t="s">
        <v>947</v>
      </c>
      <c r="M1678" s="632" t="s">
        <v>114</v>
      </c>
      <c r="N1678" s="620">
        <v>44545</v>
      </c>
      <c r="O1678" s="684" t="s">
        <v>67</v>
      </c>
      <c r="P1678" s="503">
        <f t="shared" si="119"/>
        <v>12</v>
      </c>
      <c r="Q1678" s="503">
        <f t="shared" si="120"/>
        <v>11</v>
      </c>
      <c r="R1678" s="504" t="str">
        <f t="shared" si="121"/>
        <v>Gastos_Gerais</v>
      </c>
      <c r="S1678" s="504" t="str">
        <f>IF(D1678="","",IF(OR(D1678=Plano!$A$1,D1678=Plano!$B$1),"entrada","saída"))</f>
        <v>saída</v>
      </c>
      <c r="T1678" s="511" t="s">
        <v>114</v>
      </c>
      <c r="U1678" s="511" t="s">
        <v>114</v>
      </c>
      <c r="V1678" s="541"/>
    </row>
    <row r="1679" spans="1:22" ht="101.25" customHeight="1" x14ac:dyDescent="0.2">
      <c r="A1679" s="619">
        <f>IF(B1679="","",COUNT('Diário 5º PA'!$A$5:$A$2634)+COUNT('Diário 6º PA'!$A$5:$A$2246)+COUNT('Diário 7º PA'!$A$5:$A$2271)+ROW()-4)</f>
        <v>5625</v>
      </c>
      <c r="B1679" s="620">
        <v>44545</v>
      </c>
      <c r="C1679" s="628">
        <v>44501</v>
      </c>
      <c r="D1679" s="548" t="s">
        <v>99</v>
      </c>
      <c r="E1679" s="548" t="s">
        <v>358</v>
      </c>
      <c r="F1679" s="622">
        <v>2307.9</v>
      </c>
      <c r="G1679" s="623" t="s">
        <v>5530</v>
      </c>
      <c r="H1679" s="548" t="s">
        <v>131</v>
      </c>
      <c r="I1679" s="583" t="s">
        <v>6152</v>
      </c>
      <c r="J1679" s="548" t="s">
        <v>5532</v>
      </c>
      <c r="K1679" s="583" t="s">
        <v>1015</v>
      </c>
      <c r="L1679" s="583" t="s">
        <v>1029</v>
      </c>
      <c r="M1679" s="619">
        <v>1492</v>
      </c>
      <c r="N1679" s="620">
        <v>44544</v>
      </c>
      <c r="O1679" s="684" t="s">
        <v>67</v>
      </c>
      <c r="P1679" s="503">
        <f t="shared" si="119"/>
        <v>12</v>
      </c>
      <c r="Q1679" s="503">
        <f t="shared" si="120"/>
        <v>11</v>
      </c>
      <c r="R1679" s="504" t="str">
        <f t="shared" si="121"/>
        <v>Gastos_Gerais</v>
      </c>
      <c r="S1679" s="504" t="str">
        <f>IF(D1679="","",IF(OR(D1679=Plano!$A$1,D1679=Plano!$B$1),"entrada","saída"))</f>
        <v>saída</v>
      </c>
      <c r="T1679" s="505" t="s">
        <v>1082</v>
      </c>
      <c r="U1679" s="505">
        <v>2168</v>
      </c>
      <c r="V1679" s="541"/>
    </row>
    <row r="1680" spans="1:22" ht="93" customHeight="1" x14ac:dyDescent="0.2">
      <c r="A1680" s="619">
        <f>IF(B1680="","",COUNT('Diário 5º PA'!$A$5:$A$2634)+COUNT('Diário 6º PA'!$A$5:$A$2246)+COUNT('Diário 7º PA'!$A$5:$A$2271)+ROW()-4)</f>
        <v>5626</v>
      </c>
      <c r="B1680" s="620">
        <v>44545</v>
      </c>
      <c r="C1680" s="624">
        <v>44501</v>
      </c>
      <c r="D1680" s="548" t="s">
        <v>99</v>
      </c>
      <c r="E1680" s="548" t="s">
        <v>350</v>
      </c>
      <c r="F1680" s="622">
        <v>2000</v>
      </c>
      <c r="G1680" s="623" t="s">
        <v>6516</v>
      </c>
      <c r="H1680" s="548" t="s">
        <v>131</v>
      </c>
      <c r="I1680" s="583" t="s">
        <v>6732</v>
      </c>
      <c r="J1680" s="548" t="s">
        <v>6517</v>
      </c>
      <c r="K1680" s="583" t="s">
        <v>1015</v>
      </c>
      <c r="L1680" s="583" t="s">
        <v>1177</v>
      </c>
      <c r="M1680" s="619" t="s">
        <v>114</v>
      </c>
      <c r="N1680" s="620">
        <v>44544</v>
      </c>
      <c r="O1680" s="684" t="s">
        <v>67</v>
      </c>
      <c r="P1680" s="503">
        <f t="shared" si="119"/>
        <v>12</v>
      </c>
      <c r="Q1680" s="503">
        <f t="shared" si="120"/>
        <v>11</v>
      </c>
      <c r="R1680" s="504" t="str">
        <f t="shared" si="121"/>
        <v>Gastos_Gerais</v>
      </c>
      <c r="S1680" s="504" t="str">
        <f>IF(D1680="","",IF(OR(D1680=Plano!$A$1,D1680=Plano!$B$1),"entrada","saída"))</f>
        <v>saída</v>
      </c>
      <c r="T1680" s="505" t="s">
        <v>994</v>
      </c>
      <c r="U1680" s="505">
        <v>2524</v>
      </c>
      <c r="V1680" s="541"/>
    </row>
    <row r="1681" spans="1:22" ht="69" customHeight="1" x14ac:dyDescent="0.2">
      <c r="A1681" s="619">
        <f>IF(B1681="","",COUNT('Diário 5º PA'!$A$5:$A$2634)+COUNT('Diário 6º PA'!$A$5:$A$2246)+COUNT('Diário 7º PA'!$A$5:$A$2271)+ROW()-4)</f>
        <v>5627</v>
      </c>
      <c r="B1681" s="620">
        <v>44545</v>
      </c>
      <c r="C1681" s="624">
        <v>44531</v>
      </c>
      <c r="D1681" s="548" t="s">
        <v>99</v>
      </c>
      <c r="E1681" s="548" t="s">
        <v>362</v>
      </c>
      <c r="F1681" s="622">
        <v>105</v>
      </c>
      <c r="G1681" s="623" t="s">
        <v>6688</v>
      </c>
      <c r="H1681" s="548" t="s">
        <v>130</v>
      </c>
      <c r="I1681" s="583" t="s">
        <v>6531</v>
      </c>
      <c r="J1681" s="548" t="s">
        <v>5546</v>
      </c>
      <c r="K1681" s="583" t="s">
        <v>991</v>
      </c>
      <c r="L1681" s="583" t="s">
        <v>992</v>
      </c>
      <c r="M1681" s="619" t="s">
        <v>6733</v>
      </c>
      <c r="N1681" s="620">
        <v>44544</v>
      </c>
      <c r="O1681" s="684" t="s">
        <v>67</v>
      </c>
      <c r="P1681" s="503">
        <f t="shared" si="119"/>
        <v>12</v>
      </c>
      <c r="Q1681" s="503">
        <f t="shared" si="120"/>
        <v>12</v>
      </c>
      <c r="R1681" s="504" t="str">
        <f t="shared" si="121"/>
        <v>Gastos_Gerais</v>
      </c>
      <c r="S1681" s="504" t="str">
        <f>IF(D1681="","",IF(OR(D1681=Plano!$A$1,D1681=Plano!$B$1),"entrada","saída"))</f>
        <v>saída</v>
      </c>
      <c r="T1681" s="505" t="s">
        <v>1011</v>
      </c>
      <c r="U1681" s="505">
        <v>2623</v>
      </c>
      <c r="V1681" s="541"/>
    </row>
    <row r="1682" spans="1:22" ht="153" customHeight="1" x14ac:dyDescent="0.2">
      <c r="A1682" s="619">
        <f>IF(B1682="","",COUNT('Diário 5º PA'!$A$5:$A$2634)+COUNT('Diário 6º PA'!$A$5:$A$2246)+COUNT('Diário 7º PA'!$A$5:$A$2271)+ROW()-4)</f>
        <v>5628</v>
      </c>
      <c r="B1682" s="620">
        <v>44545</v>
      </c>
      <c r="C1682" s="624">
        <v>44470</v>
      </c>
      <c r="D1682" s="548" t="s">
        <v>99</v>
      </c>
      <c r="E1682" s="548" t="s">
        <v>364</v>
      </c>
      <c r="F1682" s="622">
        <v>3200</v>
      </c>
      <c r="G1682" s="623" t="s">
        <v>5792</v>
      </c>
      <c r="H1682" s="548" t="s">
        <v>118</v>
      </c>
      <c r="I1682" s="583" t="s">
        <v>1950</v>
      </c>
      <c r="J1682" s="548" t="s">
        <v>5793</v>
      </c>
      <c r="K1682" s="583" t="s">
        <v>991</v>
      </c>
      <c r="L1682" s="583" t="s">
        <v>992</v>
      </c>
      <c r="M1682" s="619" t="s">
        <v>1049</v>
      </c>
      <c r="N1682" s="620">
        <v>44544</v>
      </c>
      <c r="O1682" s="684" t="s">
        <v>67</v>
      </c>
      <c r="P1682" s="503">
        <f t="shared" si="119"/>
        <v>12</v>
      </c>
      <c r="Q1682" s="503">
        <f t="shared" si="120"/>
        <v>10</v>
      </c>
      <c r="R1682" s="504" t="str">
        <f t="shared" si="121"/>
        <v>Gastos_Gerais</v>
      </c>
      <c r="S1682" s="504" t="str">
        <f>IF(D1682="","",IF(OR(D1682=Plano!$A$1,D1682=Plano!$B$1),"entrada","saída"))</f>
        <v>saída</v>
      </c>
      <c r="T1682" s="505" t="s">
        <v>994</v>
      </c>
      <c r="U1682" s="505">
        <v>2263</v>
      </c>
      <c r="V1682" s="541"/>
    </row>
    <row r="1683" spans="1:22" ht="92.25" customHeight="1" x14ac:dyDescent="0.2">
      <c r="A1683" s="619">
        <f>IF(B1683="","",COUNT('Diário 5º PA'!$A$5:$A$2634)+COUNT('Diário 6º PA'!$A$5:$A$2246)+COUNT('Diário 7º PA'!$A$5:$A$2271)+ROW()-4)</f>
        <v>5629</v>
      </c>
      <c r="B1683" s="620">
        <v>44545</v>
      </c>
      <c r="C1683" s="628">
        <v>44501</v>
      </c>
      <c r="D1683" s="548" t="s">
        <v>99</v>
      </c>
      <c r="E1683" s="548" t="s">
        <v>358</v>
      </c>
      <c r="F1683" s="622">
        <v>2307.9</v>
      </c>
      <c r="G1683" s="623" t="s">
        <v>5549</v>
      </c>
      <c r="H1683" s="548" t="s">
        <v>131</v>
      </c>
      <c r="I1683" s="583" t="s">
        <v>6169</v>
      </c>
      <c r="J1683" s="548" t="s">
        <v>5551</v>
      </c>
      <c r="K1683" s="583" t="s">
        <v>991</v>
      </c>
      <c r="L1683" s="583" t="s">
        <v>1029</v>
      </c>
      <c r="M1683" s="619">
        <v>1493</v>
      </c>
      <c r="N1683" s="620">
        <v>44544</v>
      </c>
      <c r="O1683" s="684" t="s">
        <v>67</v>
      </c>
      <c r="P1683" s="503">
        <f t="shared" si="119"/>
        <v>12</v>
      </c>
      <c r="Q1683" s="503">
        <f t="shared" si="120"/>
        <v>11</v>
      </c>
      <c r="R1683" s="504" t="str">
        <f t="shared" si="121"/>
        <v>Gastos_Gerais</v>
      </c>
      <c r="S1683" s="504" t="str">
        <f>IF(D1683="","",IF(OR(D1683=Plano!$A$1,D1683=Plano!$B$1),"entrada","saída"))</f>
        <v>saída</v>
      </c>
      <c r="T1683" s="505" t="s">
        <v>1082</v>
      </c>
      <c r="U1683" s="505">
        <v>2248</v>
      </c>
      <c r="V1683" s="541"/>
    </row>
    <row r="1684" spans="1:22" ht="66" customHeight="1" x14ac:dyDescent="0.2">
      <c r="A1684" s="619">
        <f>IF(B1684="","",COUNT('Diário 5º PA'!$A$5:$A$2634)+COUNT('Diário 6º PA'!$A$5:$A$2246)+COUNT('Diário 7º PA'!$A$5:$A$2271)+ROW()-4)</f>
        <v>5630</v>
      </c>
      <c r="B1684" s="620">
        <v>44545</v>
      </c>
      <c r="C1684" s="624">
        <v>44501</v>
      </c>
      <c r="D1684" s="548" t="s">
        <v>99</v>
      </c>
      <c r="E1684" s="548" t="s">
        <v>312</v>
      </c>
      <c r="F1684" s="622">
        <v>53.41</v>
      </c>
      <c r="G1684" s="623" t="s">
        <v>439</v>
      </c>
      <c r="H1684" s="548" t="s">
        <v>115</v>
      </c>
      <c r="I1684" s="583" t="s">
        <v>5780</v>
      </c>
      <c r="J1684" s="548" t="s">
        <v>441</v>
      </c>
      <c r="K1684" s="583" t="s">
        <v>560</v>
      </c>
      <c r="L1684" s="583" t="s">
        <v>992</v>
      </c>
      <c r="M1684" s="619">
        <v>3673221</v>
      </c>
      <c r="N1684" s="620">
        <v>44531</v>
      </c>
      <c r="O1684" s="684" t="s">
        <v>67</v>
      </c>
      <c r="P1684" s="503">
        <f t="shared" si="119"/>
        <v>12</v>
      </c>
      <c r="Q1684" s="503">
        <f t="shared" si="120"/>
        <v>11</v>
      </c>
      <c r="R1684" s="504" t="str">
        <f t="shared" si="121"/>
        <v>Gastos_Gerais</v>
      </c>
      <c r="S1684" s="504" t="str">
        <f>IF(D1684="","",IF(OR(D1684=Plano!$A$1,D1684=Plano!$B$1),"entrada","saída"))</f>
        <v>saída</v>
      </c>
      <c r="T1684" s="505" t="s">
        <v>1059</v>
      </c>
      <c r="U1684" s="505">
        <v>1142</v>
      </c>
      <c r="V1684" s="541"/>
    </row>
    <row r="1685" spans="1:22" ht="120" customHeight="1" x14ac:dyDescent="0.2">
      <c r="A1685" s="619">
        <f>IF(B1685="","",COUNT('Diário 5º PA'!$A$5:$A$2634)+COUNT('Diário 6º PA'!$A$5:$A$2246)+COUNT('Diário 7º PA'!$A$5:$A$2271)+ROW()-4)</f>
        <v>5631</v>
      </c>
      <c r="B1685" s="620">
        <v>44545</v>
      </c>
      <c r="C1685" s="621">
        <v>44470</v>
      </c>
      <c r="D1685" s="548" t="s">
        <v>88</v>
      </c>
      <c r="E1685" s="548" t="s">
        <v>196</v>
      </c>
      <c r="F1685" s="622">
        <v>914.08</v>
      </c>
      <c r="G1685" s="623" t="s">
        <v>2410</v>
      </c>
      <c r="H1685" s="548" t="s">
        <v>114</v>
      </c>
      <c r="I1685" s="583" t="s">
        <v>542</v>
      </c>
      <c r="J1685" s="548" t="s">
        <v>543</v>
      </c>
      <c r="K1685" s="583" t="s">
        <v>560</v>
      </c>
      <c r="L1685" s="583" t="s">
        <v>992</v>
      </c>
      <c r="M1685" s="619" t="s">
        <v>6739</v>
      </c>
      <c r="N1685" s="620">
        <v>44504</v>
      </c>
      <c r="O1685" s="684" t="s">
        <v>67</v>
      </c>
      <c r="P1685" s="503">
        <f t="shared" si="119"/>
        <v>12</v>
      </c>
      <c r="Q1685" s="503">
        <f t="shared" si="120"/>
        <v>10</v>
      </c>
      <c r="R1685" s="504" t="str">
        <f t="shared" si="121"/>
        <v>Gastos_com_Pessoal</v>
      </c>
      <c r="S1685" s="504" t="str">
        <f>IF(D1685="","",IF(OR(D1685=Plano!$A$1,D1685=Plano!$B$1),"entrada","saída"))</f>
        <v>saída</v>
      </c>
      <c r="T1685" s="505" t="s">
        <v>114</v>
      </c>
      <c r="U1685" s="505" t="s">
        <v>114</v>
      </c>
      <c r="V1685" s="541"/>
    </row>
    <row r="1686" spans="1:22" ht="114" customHeight="1" x14ac:dyDescent="0.2">
      <c r="A1686" s="619">
        <f>IF(B1686="","",COUNT('Diário 5º PA'!$A$5:$A$2634)+COUNT('Diário 6º PA'!$A$5:$A$2246)+COUNT('Diário 7º PA'!$A$5:$A$2271)+ROW()-4)</f>
        <v>5632</v>
      </c>
      <c r="B1686" s="620">
        <v>44545</v>
      </c>
      <c r="C1686" s="621">
        <v>44531</v>
      </c>
      <c r="D1686" s="548" t="s">
        <v>88</v>
      </c>
      <c r="E1686" s="548" t="s">
        <v>196</v>
      </c>
      <c r="F1686" s="622">
        <v>26228.05</v>
      </c>
      <c r="G1686" s="623" t="s">
        <v>541</v>
      </c>
      <c r="H1686" s="548" t="s">
        <v>114</v>
      </c>
      <c r="I1686" s="583" t="s">
        <v>542</v>
      </c>
      <c r="J1686" s="548" t="s">
        <v>543</v>
      </c>
      <c r="K1686" s="583" t="s">
        <v>560</v>
      </c>
      <c r="L1686" s="583" t="s">
        <v>992</v>
      </c>
      <c r="M1686" s="619" t="s">
        <v>6740</v>
      </c>
      <c r="N1686" s="620">
        <v>44505</v>
      </c>
      <c r="O1686" s="684" t="s">
        <v>67</v>
      </c>
      <c r="P1686" s="503">
        <f t="shared" si="119"/>
        <v>12</v>
      </c>
      <c r="Q1686" s="503">
        <f t="shared" si="120"/>
        <v>12</v>
      </c>
      <c r="R1686" s="504" t="str">
        <f t="shared" si="121"/>
        <v>Gastos_com_Pessoal</v>
      </c>
      <c r="S1686" s="504" t="str">
        <f>IF(D1686="","",IF(OR(D1686=Plano!$A$1,D1686=Plano!$B$1),"entrada","saída"))</f>
        <v>saída</v>
      </c>
      <c r="T1686" s="505" t="s">
        <v>114</v>
      </c>
      <c r="U1686" s="505" t="s">
        <v>114</v>
      </c>
      <c r="V1686" s="541"/>
    </row>
    <row r="1687" spans="1:22" ht="39.75" customHeight="1" x14ac:dyDescent="0.2">
      <c r="A1687" s="619">
        <f>IF(B1687="","",COUNT('Diário 5º PA'!$A$5:$A$2634)+COUNT('Diário 6º PA'!$A$5:$A$2246)+COUNT('Diário 7º PA'!$A$5:$A$2271)+ROW()-4)</f>
        <v>5633</v>
      </c>
      <c r="B1687" s="620">
        <v>44545</v>
      </c>
      <c r="C1687" s="621">
        <v>44531</v>
      </c>
      <c r="D1687" s="548" t="s">
        <v>99</v>
      </c>
      <c r="E1687" s="548" t="s">
        <v>218</v>
      </c>
      <c r="F1687" s="622">
        <v>163.24</v>
      </c>
      <c r="G1687" s="623" t="s">
        <v>6368</v>
      </c>
      <c r="H1687" s="548" t="s">
        <v>115</v>
      </c>
      <c r="I1687" s="583" t="s">
        <v>515</v>
      </c>
      <c r="J1687" s="548" t="s">
        <v>516</v>
      </c>
      <c r="K1687" s="583" t="s">
        <v>700</v>
      </c>
      <c r="L1687" s="583" t="s">
        <v>697</v>
      </c>
      <c r="M1687" s="625" t="s">
        <v>6741</v>
      </c>
      <c r="N1687" s="620">
        <v>44536</v>
      </c>
      <c r="O1687" s="684" t="s">
        <v>67</v>
      </c>
      <c r="P1687" s="503">
        <f t="shared" si="119"/>
        <v>12</v>
      </c>
      <c r="Q1687" s="503">
        <f t="shared" si="120"/>
        <v>12</v>
      </c>
      <c r="R1687" s="504" t="str">
        <f t="shared" si="121"/>
        <v>Gastos_Gerais</v>
      </c>
      <c r="S1687" s="504" t="str">
        <f>IF(D1687="","",IF(OR(D1687=Plano!$A$1,D1687=Plano!$B$1),"entrada","saída"))</f>
        <v>saída</v>
      </c>
      <c r="T1687" s="505" t="s">
        <v>114</v>
      </c>
      <c r="U1687" s="505" t="s">
        <v>114</v>
      </c>
      <c r="V1687" s="541"/>
    </row>
    <row r="1688" spans="1:22" ht="50.1" customHeight="1" x14ac:dyDescent="0.2">
      <c r="A1688" s="619">
        <f>IF(B1688="","",COUNT('Diário 5º PA'!$A$5:$A$2634)+COUNT('Diário 6º PA'!$A$5:$A$2246)+COUNT('Diário 7º PA'!$A$5:$A$2271)+ROW()-4)</f>
        <v>5634</v>
      </c>
      <c r="B1688" s="620">
        <v>44545</v>
      </c>
      <c r="C1688" s="621">
        <v>44531</v>
      </c>
      <c r="D1688" s="548" t="s">
        <v>99</v>
      </c>
      <c r="E1688" s="548" t="s">
        <v>272</v>
      </c>
      <c r="F1688" s="622">
        <v>10.45</v>
      </c>
      <c r="G1688" s="623" t="s">
        <v>6742</v>
      </c>
      <c r="H1688" s="548" t="s">
        <v>130</v>
      </c>
      <c r="I1688" s="583" t="s">
        <v>949</v>
      </c>
      <c r="J1688" s="548" t="s">
        <v>950</v>
      </c>
      <c r="K1688" s="583" t="s">
        <v>951</v>
      </c>
      <c r="L1688" s="583" t="s">
        <v>947</v>
      </c>
      <c r="M1688" s="625" t="s">
        <v>114</v>
      </c>
      <c r="N1688" s="620">
        <v>44545</v>
      </c>
      <c r="O1688" s="684" t="s">
        <v>67</v>
      </c>
      <c r="P1688" s="503">
        <f t="shared" si="119"/>
        <v>12</v>
      </c>
      <c r="Q1688" s="503">
        <f t="shared" si="120"/>
        <v>12</v>
      </c>
      <c r="R1688" s="504" t="str">
        <f t="shared" si="121"/>
        <v>Gastos_Gerais</v>
      </c>
      <c r="S1688" s="504" t="str">
        <f>IF(D1688="","",IF(OR(D1688=Plano!$A$1,D1688=Plano!$B$1),"entrada","saída"))</f>
        <v>saída</v>
      </c>
      <c r="T1688" s="511" t="s">
        <v>114</v>
      </c>
      <c r="U1688" s="511" t="s">
        <v>114</v>
      </c>
      <c r="V1688" s="541"/>
    </row>
    <row r="1689" spans="1:22" ht="50.1" customHeight="1" x14ac:dyDescent="0.2">
      <c r="A1689" s="619">
        <f>IF(B1689="","",COUNT('Diário 5º PA'!$A$5:$A$2634)+COUNT('Diário 6º PA'!$A$5:$A$2246)+COUNT('Diário 7º PA'!$A$5:$A$2271)+ROW()-4)</f>
        <v>5635</v>
      </c>
      <c r="B1689" s="620">
        <v>44545</v>
      </c>
      <c r="C1689" s="621">
        <v>44531</v>
      </c>
      <c r="D1689" s="548" t="s">
        <v>99</v>
      </c>
      <c r="E1689" s="548" t="s">
        <v>272</v>
      </c>
      <c r="F1689" s="622">
        <v>10.45</v>
      </c>
      <c r="G1689" s="623" t="s">
        <v>6743</v>
      </c>
      <c r="H1689" s="548" t="s">
        <v>118</v>
      </c>
      <c r="I1689" s="583" t="s">
        <v>949</v>
      </c>
      <c r="J1689" s="548" t="s">
        <v>950</v>
      </c>
      <c r="K1689" s="583" t="s">
        <v>951</v>
      </c>
      <c r="L1689" s="583" t="s">
        <v>947</v>
      </c>
      <c r="M1689" s="625" t="s">
        <v>114</v>
      </c>
      <c r="N1689" s="620">
        <v>44545</v>
      </c>
      <c r="O1689" s="684" t="s">
        <v>67</v>
      </c>
      <c r="P1689" s="503">
        <f t="shared" si="119"/>
        <v>12</v>
      </c>
      <c r="Q1689" s="503">
        <f t="shared" si="120"/>
        <v>12</v>
      </c>
      <c r="R1689" s="504" t="str">
        <f t="shared" si="121"/>
        <v>Gastos_Gerais</v>
      </c>
      <c r="S1689" s="504" t="str">
        <f>IF(D1689="","",IF(OR(D1689=Plano!$A$1,D1689=Plano!$B$1),"entrada","saída"))</f>
        <v>saída</v>
      </c>
      <c r="T1689" s="511" t="s">
        <v>114</v>
      </c>
      <c r="U1689" s="511" t="s">
        <v>114</v>
      </c>
      <c r="V1689" s="541"/>
    </row>
    <row r="1690" spans="1:22" ht="50.1" customHeight="1" x14ac:dyDescent="0.2">
      <c r="A1690" s="619">
        <f>IF(B1690="","",COUNT('Diário 5º PA'!$A$5:$A$2634)+COUNT('Diário 6º PA'!$A$5:$A$2246)+COUNT('Diário 7º PA'!$A$5:$A$2271)+ROW()-4)</f>
        <v>5636</v>
      </c>
      <c r="B1690" s="620">
        <v>44545</v>
      </c>
      <c r="C1690" s="621">
        <v>44531</v>
      </c>
      <c r="D1690" s="548" t="s">
        <v>99</v>
      </c>
      <c r="E1690" s="548" t="s">
        <v>272</v>
      </c>
      <c r="F1690" s="622">
        <v>10.45</v>
      </c>
      <c r="G1690" s="623" t="s">
        <v>6744</v>
      </c>
      <c r="H1690" s="548" t="s">
        <v>131</v>
      </c>
      <c r="I1690" s="583" t="s">
        <v>949</v>
      </c>
      <c r="J1690" s="548" t="s">
        <v>950</v>
      </c>
      <c r="K1690" s="583" t="s">
        <v>951</v>
      </c>
      <c r="L1690" s="583" t="s">
        <v>947</v>
      </c>
      <c r="M1690" s="625" t="s">
        <v>114</v>
      </c>
      <c r="N1690" s="620">
        <v>44545</v>
      </c>
      <c r="O1690" s="684" t="s">
        <v>67</v>
      </c>
      <c r="P1690" s="503">
        <f t="shared" si="119"/>
        <v>12</v>
      </c>
      <c r="Q1690" s="503">
        <f t="shared" si="120"/>
        <v>12</v>
      </c>
      <c r="R1690" s="504" t="str">
        <f t="shared" si="121"/>
        <v>Gastos_Gerais</v>
      </c>
      <c r="S1690" s="504" t="str">
        <f>IF(D1690="","",IF(OR(D1690=Plano!$A$1,D1690=Plano!$B$1),"entrada","saída"))</f>
        <v>saída</v>
      </c>
      <c r="T1690" s="511" t="s">
        <v>114</v>
      </c>
      <c r="U1690" s="511" t="s">
        <v>114</v>
      </c>
      <c r="V1690" s="541"/>
    </row>
    <row r="1691" spans="1:22" s="574" customFormat="1" ht="50.1" customHeight="1" x14ac:dyDescent="0.2">
      <c r="A1691" s="619">
        <f>IF(B1691="","",COUNT('Diário 5º PA'!$A$5:$A$2634)+COUNT('Diário 6º PA'!$A$5:$A$2246)+COUNT('Diário 7º PA'!$A$5:$A$2271)+ROW()-4)</f>
        <v>5637</v>
      </c>
      <c r="B1691" s="620">
        <v>44545</v>
      </c>
      <c r="C1691" s="621">
        <v>44501</v>
      </c>
      <c r="D1691" s="637" t="s">
        <v>104</v>
      </c>
      <c r="E1691" s="637" t="s">
        <v>104</v>
      </c>
      <c r="F1691" s="655">
        <v>300</v>
      </c>
      <c r="G1691" s="648" t="s">
        <v>7259</v>
      </c>
      <c r="H1691" s="637" t="s">
        <v>104</v>
      </c>
      <c r="I1691" s="627" t="s">
        <v>488</v>
      </c>
      <c r="J1691" s="622" t="s">
        <v>114</v>
      </c>
      <c r="K1691" s="583" t="s">
        <v>466</v>
      </c>
      <c r="L1691" s="635" t="s">
        <v>489</v>
      </c>
      <c r="M1691" s="620" t="s">
        <v>114</v>
      </c>
      <c r="N1691" s="620">
        <v>44545</v>
      </c>
      <c r="O1691" s="684" t="s">
        <v>70</v>
      </c>
      <c r="P1691" s="503">
        <f t="shared" si="119"/>
        <v>12</v>
      </c>
      <c r="Q1691" s="503">
        <f t="shared" si="120"/>
        <v>11</v>
      </c>
      <c r="R1691" s="504" t="str">
        <f t="shared" si="121"/>
        <v>Gastos_custeados_por_captação</v>
      </c>
      <c r="S1691" s="504" t="str">
        <f>IF(D1691="","",IF(OR(D1691=Plano!$A$1,D1691=Plano!$B$1),"entrada","saída"))</f>
        <v>saída</v>
      </c>
      <c r="T1691" s="511" t="s">
        <v>114</v>
      </c>
      <c r="U1691" s="511"/>
      <c r="V1691" s="541"/>
    </row>
    <row r="1692" spans="1:22" ht="50.1" customHeight="1" x14ac:dyDescent="0.2">
      <c r="A1692" s="619">
        <f>IF(B1692="","",COUNT('Diário 5º PA'!$A$5:$A$2634)+COUNT('Diário 6º PA'!$A$5:$A$2246)+COUNT('Diário 7º PA'!$A$5:$A$2271)+ROW()-4)</f>
        <v>5638</v>
      </c>
      <c r="B1692" s="620">
        <v>44546</v>
      </c>
      <c r="C1692" s="624">
        <v>44470</v>
      </c>
      <c r="D1692" s="548" t="s">
        <v>99</v>
      </c>
      <c r="E1692" s="548" t="s">
        <v>376</v>
      </c>
      <c r="F1692" s="622">
        <v>1254.4000000000001</v>
      </c>
      <c r="G1692" s="623" t="s">
        <v>5429</v>
      </c>
      <c r="H1692" s="548" t="s">
        <v>131</v>
      </c>
      <c r="I1692" s="583" t="s">
        <v>1057</v>
      </c>
      <c r="J1692" s="548" t="s">
        <v>583</v>
      </c>
      <c r="K1692" s="583" t="s">
        <v>1015</v>
      </c>
      <c r="L1692" s="583" t="s">
        <v>992</v>
      </c>
      <c r="M1692" s="619" t="s">
        <v>2152</v>
      </c>
      <c r="N1692" s="620">
        <v>44532</v>
      </c>
      <c r="O1692" s="684" t="s">
        <v>67</v>
      </c>
      <c r="P1692" s="503">
        <f t="shared" si="119"/>
        <v>12</v>
      </c>
      <c r="Q1692" s="503">
        <f t="shared" si="120"/>
        <v>10</v>
      </c>
      <c r="R1692" s="504" t="str">
        <f t="shared" si="121"/>
        <v>Gastos_Gerais</v>
      </c>
      <c r="S1692" s="504" t="str">
        <f>IF(D1692="","",IF(OR(D1692=Plano!$A$1,D1692=Plano!$B$1),"entrada","saída"))</f>
        <v>saída</v>
      </c>
      <c r="T1692" s="505" t="s">
        <v>1059</v>
      </c>
      <c r="U1692" s="505">
        <v>2161</v>
      </c>
      <c r="V1692" s="541"/>
    </row>
    <row r="1693" spans="1:22" ht="108.75" customHeight="1" x14ac:dyDescent="0.2">
      <c r="A1693" s="619">
        <f>IF(B1693="","",COUNT('Diário 5º PA'!$A$5:$A$2634)+COUNT('Diário 6º PA'!$A$5:$A$2246)+COUNT('Diário 7º PA'!$A$5:$A$2271)+ROW()-4)</f>
        <v>5639</v>
      </c>
      <c r="B1693" s="620">
        <v>44546</v>
      </c>
      <c r="C1693" s="621">
        <v>44501</v>
      </c>
      <c r="D1693" s="548" t="s">
        <v>99</v>
      </c>
      <c r="E1693" s="548" t="s">
        <v>364</v>
      </c>
      <c r="F1693" s="622">
        <v>650.29</v>
      </c>
      <c r="G1693" s="623" t="s">
        <v>665</v>
      </c>
      <c r="H1693" s="548" t="s">
        <v>127</v>
      </c>
      <c r="I1693" s="583" t="s">
        <v>1432</v>
      </c>
      <c r="J1693" s="548" t="s">
        <v>556</v>
      </c>
      <c r="K1693" s="583" t="s">
        <v>1015</v>
      </c>
      <c r="L1693" s="583" t="s">
        <v>1177</v>
      </c>
      <c r="M1693" s="619" t="s">
        <v>114</v>
      </c>
      <c r="N1693" s="620">
        <v>44546</v>
      </c>
      <c r="O1693" s="684" t="s">
        <v>67</v>
      </c>
      <c r="P1693" s="503">
        <f t="shared" si="119"/>
        <v>12</v>
      </c>
      <c r="Q1693" s="503">
        <f t="shared" si="120"/>
        <v>11</v>
      </c>
      <c r="R1693" s="504" t="str">
        <f t="shared" si="121"/>
        <v>Gastos_Gerais</v>
      </c>
      <c r="S1693" s="504" t="str">
        <f>IF(D1693="","",IF(OR(D1693=Plano!$A$1,D1693=Plano!$B$1),"entrada","saída"))</f>
        <v>saída</v>
      </c>
      <c r="T1693" s="556" t="s">
        <v>994</v>
      </c>
      <c r="U1693" s="556">
        <v>1586</v>
      </c>
      <c r="V1693" s="541"/>
    </row>
    <row r="1694" spans="1:22" ht="95.25" customHeight="1" x14ac:dyDescent="0.2">
      <c r="A1694" s="619">
        <f>IF(B1694="","",COUNT('Diário 5º PA'!$A$5:$A$2634)+COUNT('Diário 6º PA'!$A$5:$A$2246)+COUNT('Diário 7º PA'!$A$5:$A$2271)+ROW()-4)</f>
        <v>5640</v>
      </c>
      <c r="B1694" s="620">
        <v>44546</v>
      </c>
      <c r="C1694" s="624">
        <v>44470</v>
      </c>
      <c r="D1694" s="548" t="s">
        <v>99</v>
      </c>
      <c r="E1694" s="548" t="s">
        <v>364</v>
      </c>
      <c r="F1694" s="622">
        <v>3180.8</v>
      </c>
      <c r="G1694" s="623" t="s">
        <v>5333</v>
      </c>
      <c r="H1694" s="548" t="s">
        <v>131</v>
      </c>
      <c r="I1694" s="583" t="s">
        <v>5904</v>
      </c>
      <c r="J1694" s="548" t="s">
        <v>5334</v>
      </c>
      <c r="K1694" s="583" t="s">
        <v>1015</v>
      </c>
      <c r="L1694" s="583" t="s">
        <v>1029</v>
      </c>
      <c r="M1694" s="619">
        <v>1495</v>
      </c>
      <c r="N1694" s="620">
        <v>44546</v>
      </c>
      <c r="O1694" s="684" t="s">
        <v>67</v>
      </c>
      <c r="P1694" s="503">
        <f t="shared" si="119"/>
        <v>12</v>
      </c>
      <c r="Q1694" s="503">
        <f t="shared" si="120"/>
        <v>10</v>
      </c>
      <c r="R1694" s="504" t="str">
        <f t="shared" si="121"/>
        <v>Gastos_Gerais</v>
      </c>
      <c r="S1694" s="504" t="str">
        <f>IF(D1694="","",IF(OR(D1694=Plano!$A$1,D1694=Plano!$B$1),"entrada","saída"))</f>
        <v>saída</v>
      </c>
      <c r="T1694" s="505" t="s">
        <v>994</v>
      </c>
      <c r="U1694" s="505">
        <v>2114</v>
      </c>
      <c r="V1694" s="541"/>
    </row>
    <row r="1695" spans="1:22" ht="72" customHeight="1" x14ac:dyDescent="0.2">
      <c r="A1695" s="619">
        <f>IF(B1695="","",COUNT('Diário 5º PA'!$A$5:$A$2634)+COUNT('Diário 6º PA'!$A$5:$A$2246)+COUNT('Diário 7º PA'!$A$5:$A$2271)+ROW()-4)</f>
        <v>5641</v>
      </c>
      <c r="B1695" s="620">
        <v>44546</v>
      </c>
      <c r="C1695" s="628">
        <v>44470</v>
      </c>
      <c r="D1695" s="548" t="s">
        <v>99</v>
      </c>
      <c r="E1695" s="548" t="s">
        <v>358</v>
      </c>
      <c r="F1695" s="622">
        <v>1200</v>
      </c>
      <c r="G1695" s="623" t="s">
        <v>5567</v>
      </c>
      <c r="H1695" s="548" t="s">
        <v>122</v>
      </c>
      <c r="I1695" s="583" t="s">
        <v>2938</v>
      </c>
      <c r="J1695" s="548" t="s">
        <v>2939</v>
      </c>
      <c r="K1695" s="583" t="s">
        <v>991</v>
      </c>
      <c r="L1695" s="583" t="s">
        <v>992</v>
      </c>
      <c r="M1695" s="619" t="s">
        <v>1256</v>
      </c>
      <c r="N1695" s="620">
        <v>44545</v>
      </c>
      <c r="O1695" s="684" t="s">
        <v>67</v>
      </c>
      <c r="P1695" s="503">
        <f t="shared" si="119"/>
        <v>12</v>
      </c>
      <c r="Q1695" s="503">
        <f t="shared" si="120"/>
        <v>10</v>
      </c>
      <c r="R1695" s="504" t="str">
        <f t="shared" si="121"/>
        <v>Gastos_Gerais</v>
      </c>
      <c r="S1695" s="504" t="str">
        <f>IF(D1695="","",IF(OR(D1695=Plano!$A$1,D1695=Plano!$B$1),"entrada","saída"))</f>
        <v>saída</v>
      </c>
      <c r="T1695" s="505" t="s">
        <v>994</v>
      </c>
      <c r="U1695" s="505">
        <v>2216</v>
      </c>
      <c r="V1695" s="541"/>
    </row>
    <row r="1696" spans="1:22" ht="78" customHeight="1" x14ac:dyDescent="0.2">
      <c r="A1696" s="619">
        <f>IF(B1696="","",COUNT('Diário 5º PA'!$A$5:$A$2634)+COUNT('Diário 6º PA'!$A$5:$A$2246)+COUNT('Diário 7º PA'!$A$5:$A$2271)+ROW()-4)</f>
        <v>5642</v>
      </c>
      <c r="B1696" s="620">
        <v>44546</v>
      </c>
      <c r="C1696" s="624">
        <v>44501</v>
      </c>
      <c r="D1696" s="548" t="s">
        <v>99</v>
      </c>
      <c r="E1696" s="548" t="s">
        <v>364</v>
      </c>
      <c r="F1696" s="622">
        <v>1038.58</v>
      </c>
      <c r="G1696" s="623" t="s">
        <v>6341</v>
      </c>
      <c r="H1696" s="548" t="s">
        <v>122</v>
      </c>
      <c r="I1696" s="583" t="s">
        <v>6749</v>
      </c>
      <c r="J1696" s="548" t="s">
        <v>6342</v>
      </c>
      <c r="K1696" s="583" t="s">
        <v>991</v>
      </c>
      <c r="L1696" s="583" t="s">
        <v>1029</v>
      </c>
      <c r="M1696" s="619">
        <v>1485</v>
      </c>
      <c r="N1696" s="620">
        <v>44537</v>
      </c>
      <c r="O1696" s="684" t="s">
        <v>67</v>
      </c>
      <c r="P1696" s="503">
        <f t="shared" si="119"/>
        <v>12</v>
      </c>
      <c r="Q1696" s="503">
        <f t="shared" si="120"/>
        <v>11</v>
      </c>
      <c r="R1696" s="504" t="str">
        <f t="shared" si="121"/>
        <v>Gastos_Gerais</v>
      </c>
      <c r="S1696" s="504" t="str">
        <f>IF(D1696="","",IF(OR(D1696=Plano!$A$1,D1696=Plano!$B$1),"entrada","saída"))</f>
        <v>saída</v>
      </c>
      <c r="T1696" s="505" t="s">
        <v>994</v>
      </c>
      <c r="U1696" s="505">
        <v>2460</v>
      </c>
      <c r="V1696" s="541"/>
    </row>
    <row r="1697" spans="1:22" ht="94.5" customHeight="1" x14ac:dyDescent="0.2">
      <c r="A1697" s="619">
        <f>IF(B1697="","",COUNT('Diário 5º PA'!$A$5:$A$2634)+COUNT('Diário 6º PA'!$A$5:$A$2246)+COUNT('Diário 7º PA'!$A$5:$A$2271)+ROW()-4)</f>
        <v>5643</v>
      </c>
      <c r="B1697" s="620">
        <v>44546</v>
      </c>
      <c r="C1697" s="624">
        <v>44501</v>
      </c>
      <c r="D1697" s="548" t="s">
        <v>99</v>
      </c>
      <c r="E1697" s="548" t="s">
        <v>364</v>
      </c>
      <c r="F1697" s="622">
        <v>1000</v>
      </c>
      <c r="G1697" s="623" t="s">
        <v>6364</v>
      </c>
      <c r="H1697" s="548" t="s">
        <v>124</v>
      </c>
      <c r="I1697" s="583" t="s">
        <v>6752</v>
      </c>
      <c r="J1697" s="548" t="s">
        <v>786</v>
      </c>
      <c r="K1697" s="583" t="s">
        <v>560</v>
      </c>
      <c r="L1697" s="583" t="s">
        <v>992</v>
      </c>
      <c r="M1697" s="619">
        <v>7702</v>
      </c>
      <c r="N1697" s="620">
        <v>44526</v>
      </c>
      <c r="O1697" s="684" t="s">
        <v>67</v>
      </c>
      <c r="P1697" s="503">
        <f t="shared" si="119"/>
        <v>12</v>
      </c>
      <c r="Q1697" s="503">
        <f t="shared" si="120"/>
        <v>11</v>
      </c>
      <c r="R1697" s="504" t="str">
        <f t="shared" si="121"/>
        <v>Gastos_Gerais</v>
      </c>
      <c r="S1697" s="504" t="str">
        <f>IF(D1697="","",IF(OR(D1697=Plano!$A$1,D1697=Plano!$B$1),"entrada","saída"))</f>
        <v>saída</v>
      </c>
      <c r="T1697" s="505" t="s">
        <v>1011</v>
      </c>
      <c r="U1697" s="505">
        <v>2481</v>
      </c>
      <c r="V1697" s="541"/>
    </row>
    <row r="1698" spans="1:22" ht="50.1" customHeight="1" x14ac:dyDescent="0.2">
      <c r="A1698" s="619">
        <f>IF(B1698="","",COUNT('Diário 5º PA'!$A$5:$A$2634)+COUNT('Diário 6º PA'!$A$5:$A$2246)+COUNT('Diário 7º PA'!$A$5:$A$2271)+ROW()-4)</f>
        <v>5644</v>
      </c>
      <c r="B1698" s="620">
        <v>44546</v>
      </c>
      <c r="C1698" s="621">
        <v>44531</v>
      </c>
      <c r="D1698" s="548" t="s">
        <v>99</v>
      </c>
      <c r="E1698" s="548" t="s">
        <v>272</v>
      </c>
      <c r="F1698" s="622">
        <v>10.45</v>
      </c>
      <c r="G1698" s="623" t="s">
        <v>6753</v>
      </c>
      <c r="H1698" s="548" t="s">
        <v>122</v>
      </c>
      <c r="I1698" s="583" t="s">
        <v>949</v>
      </c>
      <c r="J1698" s="548" t="s">
        <v>950</v>
      </c>
      <c r="K1698" s="583" t="s">
        <v>951</v>
      </c>
      <c r="L1698" s="583" t="s">
        <v>947</v>
      </c>
      <c r="M1698" s="625" t="s">
        <v>114</v>
      </c>
      <c r="N1698" s="620">
        <v>44546</v>
      </c>
      <c r="O1698" s="684" t="s">
        <v>67</v>
      </c>
      <c r="P1698" s="503">
        <f t="shared" si="119"/>
        <v>12</v>
      </c>
      <c r="Q1698" s="503">
        <f t="shared" si="120"/>
        <v>12</v>
      </c>
      <c r="R1698" s="504" t="str">
        <f t="shared" si="121"/>
        <v>Gastos_Gerais</v>
      </c>
      <c r="S1698" s="504" t="str">
        <f>IF(D1698="","",IF(OR(D1698=Plano!$A$1,D1698=Plano!$B$1),"entrada","saída"))</f>
        <v>saída</v>
      </c>
      <c r="T1698" s="511" t="s">
        <v>114</v>
      </c>
      <c r="U1698" s="511" t="s">
        <v>114</v>
      </c>
      <c r="V1698" s="541"/>
    </row>
    <row r="1699" spans="1:22" ht="50.1" customHeight="1" x14ac:dyDescent="0.2">
      <c r="A1699" s="619">
        <f>IF(B1699="","",COUNT('Diário 5º PA'!$A$5:$A$2634)+COUNT('Diário 6º PA'!$A$5:$A$2246)+COUNT('Diário 7º PA'!$A$5:$A$2271)+ROW()-4)</f>
        <v>5645</v>
      </c>
      <c r="B1699" s="620">
        <v>44546</v>
      </c>
      <c r="C1699" s="621">
        <v>44531</v>
      </c>
      <c r="D1699" s="548" t="s">
        <v>99</v>
      </c>
      <c r="E1699" s="548" t="s">
        <v>272</v>
      </c>
      <c r="F1699" s="622">
        <v>10.45</v>
      </c>
      <c r="G1699" s="623" t="s">
        <v>6754</v>
      </c>
      <c r="H1699" s="548" t="s">
        <v>122</v>
      </c>
      <c r="I1699" s="583" t="s">
        <v>949</v>
      </c>
      <c r="J1699" s="548" t="s">
        <v>950</v>
      </c>
      <c r="K1699" s="583" t="s">
        <v>951</v>
      </c>
      <c r="L1699" s="583" t="s">
        <v>947</v>
      </c>
      <c r="M1699" s="625" t="s">
        <v>114</v>
      </c>
      <c r="N1699" s="620">
        <v>44546</v>
      </c>
      <c r="O1699" s="684" t="s">
        <v>67</v>
      </c>
      <c r="P1699" s="503">
        <f t="shared" si="119"/>
        <v>12</v>
      </c>
      <c r="Q1699" s="503">
        <f t="shared" si="120"/>
        <v>12</v>
      </c>
      <c r="R1699" s="504" t="str">
        <f t="shared" si="121"/>
        <v>Gastos_Gerais</v>
      </c>
      <c r="S1699" s="504" t="str">
        <f>IF(D1699="","",IF(OR(D1699=Plano!$A$1,D1699=Plano!$B$1),"entrada","saída"))</f>
        <v>saída</v>
      </c>
      <c r="T1699" s="511" t="s">
        <v>114</v>
      </c>
      <c r="U1699" s="511" t="s">
        <v>114</v>
      </c>
      <c r="V1699" s="541"/>
    </row>
    <row r="1700" spans="1:22" s="569" customFormat="1" ht="50.1" customHeight="1" x14ac:dyDescent="0.2">
      <c r="A1700" s="619">
        <f>IF(B1700="","",COUNT('Diário 5º PA'!$A$5:$A$2634)+COUNT('Diário 6º PA'!$A$5:$A$2246)+COUNT('Diário 7º PA'!$A$5:$A$2271)+ROW()-4)</f>
        <v>5646</v>
      </c>
      <c r="B1700" s="620">
        <v>44546</v>
      </c>
      <c r="C1700" s="628">
        <v>44501</v>
      </c>
      <c r="D1700" s="651" t="s">
        <v>104</v>
      </c>
      <c r="E1700" s="651" t="s">
        <v>104</v>
      </c>
      <c r="F1700" s="622">
        <v>1900</v>
      </c>
      <c r="G1700" s="623" t="s">
        <v>7154</v>
      </c>
      <c r="H1700" s="651" t="s">
        <v>104</v>
      </c>
      <c r="I1700" s="583" t="s">
        <v>7155</v>
      </c>
      <c r="J1700" s="548" t="s">
        <v>7156</v>
      </c>
      <c r="K1700" s="642" t="s">
        <v>991</v>
      </c>
      <c r="L1700" s="642" t="s">
        <v>992</v>
      </c>
      <c r="M1700" s="619" t="s">
        <v>1608</v>
      </c>
      <c r="N1700" s="620">
        <v>44545</v>
      </c>
      <c r="O1700" s="684" t="s">
        <v>71</v>
      </c>
      <c r="P1700" s="503">
        <f t="shared" si="119"/>
        <v>12</v>
      </c>
      <c r="Q1700" s="503">
        <f t="shared" si="120"/>
        <v>11</v>
      </c>
      <c r="R1700" s="504" t="str">
        <f t="shared" si="121"/>
        <v>Gastos_custeados_por_captação</v>
      </c>
      <c r="S1700" s="504" t="str">
        <f>IF(D1700="","",IF(OR(D1700=Plano!$A$1,D1700=Plano!$B$1),"entrada","saída"))</f>
        <v>saída</v>
      </c>
      <c r="T1700" s="511" t="s">
        <v>1082</v>
      </c>
      <c r="U1700" s="511">
        <v>2240</v>
      </c>
      <c r="V1700" s="541"/>
    </row>
    <row r="1701" spans="1:22" s="569" customFormat="1" ht="50.1" customHeight="1" x14ac:dyDescent="0.2">
      <c r="A1701" s="619">
        <f>IF(B1701="","",COUNT('Diário 5º PA'!$A$5:$A$2634)+COUNT('Diário 6º PA'!$A$5:$A$2246)+COUNT('Diário 7º PA'!$A$5:$A$2271)+ROW()-4)</f>
        <v>5647</v>
      </c>
      <c r="B1701" s="620">
        <v>44546</v>
      </c>
      <c r="C1701" s="628">
        <v>44501</v>
      </c>
      <c r="D1701" s="548" t="s">
        <v>104</v>
      </c>
      <c r="E1701" s="548" t="s">
        <v>104</v>
      </c>
      <c r="F1701" s="622">
        <v>2000</v>
      </c>
      <c r="G1701" s="623" t="s">
        <v>5970</v>
      </c>
      <c r="H1701" s="548" t="s">
        <v>104</v>
      </c>
      <c r="I1701" s="583" t="s">
        <v>5971</v>
      </c>
      <c r="J1701" s="548" t="s">
        <v>5972</v>
      </c>
      <c r="K1701" s="583" t="s">
        <v>1015</v>
      </c>
      <c r="L1701" s="583" t="s">
        <v>992</v>
      </c>
      <c r="M1701" s="619" t="s">
        <v>1045</v>
      </c>
      <c r="N1701" s="620">
        <v>44545</v>
      </c>
      <c r="O1701" s="684" t="s">
        <v>71</v>
      </c>
      <c r="P1701" s="503">
        <f t="shared" si="119"/>
        <v>12</v>
      </c>
      <c r="Q1701" s="503">
        <f t="shared" si="120"/>
        <v>11</v>
      </c>
      <c r="R1701" s="504" t="str">
        <f t="shared" si="121"/>
        <v>Gastos_custeados_por_captação</v>
      </c>
      <c r="S1701" s="504" t="str">
        <f>IF(D1701="","",IF(OR(D1701=Plano!$A$1,D1701=Plano!$B$1),"entrada","saída"))</f>
        <v>saída</v>
      </c>
      <c r="T1701" s="511" t="s">
        <v>1082</v>
      </c>
      <c r="U1701" s="511">
        <v>1648</v>
      </c>
      <c r="V1701" s="541"/>
    </row>
    <row r="1702" spans="1:22" s="569" customFormat="1" ht="50.1" customHeight="1" x14ac:dyDescent="0.2">
      <c r="A1702" s="619">
        <f>IF(B1702="","",COUNT('Diário 5º PA'!$A$5:$A$2634)+COUNT('Diário 6º PA'!$A$5:$A$2246)+COUNT('Diário 7º PA'!$A$5:$A$2271)+ROW()-4)</f>
        <v>5648</v>
      </c>
      <c r="B1702" s="620">
        <v>44546</v>
      </c>
      <c r="C1702" s="621">
        <v>44531</v>
      </c>
      <c r="D1702" s="548" t="s">
        <v>104</v>
      </c>
      <c r="E1702" s="548" t="s">
        <v>104</v>
      </c>
      <c r="F1702" s="622">
        <v>10.45</v>
      </c>
      <c r="G1702" s="623" t="s">
        <v>5451</v>
      </c>
      <c r="H1702" s="548" t="s">
        <v>104</v>
      </c>
      <c r="I1702" s="583" t="s">
        <v>949</v>
      </c>
      <c r="J1702" s="548" t="s">
        <v>950</v>
      </c>
      <c r="K1702" s="583" t="s">
        <v>951</v>
      </c>
      <c r="L1702" s="583" t="s">
        <v>947</v>
      </c>
      <c r="M1702" s="625" t="s">
        <v>114</v>
      </c>
      <c r="N1702" s="620">
        <v>44546</v>
      </c>
      <c r="O1702" s="684" t="s">
        <v>71</v>
      </c>
      <c r="P1702" s="503">
        <f t="shared" si="119"/>
        <v>12</v>
      </c>
      <c r="Q1702" s="503">
        <f t="shared" si="120"/>
        <v>12</v>
      </c>
      <c r="R1702" s="504" t="str">
        <f t="shared" si="121"/>
        <v>Gastos_custeados_por_captação</v>
      </c>
      <c r="S1702" s="504" t="str">
        <f>IF(D1702="","",IF(OR(D1702=Plano!$A$1,D1702=Plano!$B$1),"entrada","saída"))</f>
        <v>saída</v>
      </c>
      <c r="T1702" s="511" t="s">
        <v>114</v>
      </c>
      <c r="U1702" s="511" t="s">
        <v>114</v>
      </c>
      <c r="V1702" s="541"/>
    </row>
    <row r="1703" spans="1:22" s="569" customFormat="1" ht="50.1" customHeight="1" x14ac:dyDescent="0.2">
      <c r="A1703" s="619">
        <f>IF(B1703="","",COUNT('Diário 5º PA'!$A$5:$A$2634)+COUNT('Diário 6º PA'!$A$5:$A$2246)+COUNT('Diário 7º PA'!$A$5:$A$2271)+ROW()-4)</f>
        <v>5649</v>
      </c>
      <c r="B1703" s="620">
        <v>44546</v>
      </c>
      <c r="C1703" s="621">
        <v>44531</v>
      </c>
      <c r="D1703" s="548" t="s">
        <v>104</v>
      </c>
      <c r="E1703" s="548" t="s">
        <v>104</v>
      </c>
      <c r="F1703" s="622">
        <v>10.45</v>
      </c>
      <c r="G1703" s="623" t="s">
        <v>5451</v>
      </c>
      <c r="H1703" s="548" t="s">
        <v>104</v>
      </c>
      <c r="I1703" s="583" t="s">
        <v>949</v>
      </c>
      <c r="J1703" s="548" t="s">
        <v>950</v>
      </c>
      <c r="K1703" s="583" t="s">
        <v>951</v>
      </c>
      <c r="L1703" s="583" t="s">
        <v>947</v>
      </c>
      <c r="M1703" s="625" t="s">
        <v>114</v>
      </c>
      <c r="N1703" s="620">
        <v>44546</v>
      </c>
      <c r="O1703" s="684" t="s">
        <v>71</v>
      </c>
      <c r="P1703" s="503">
        <f t="shared" si="119"/>
        <v>12</v>
      </c>
      <c r="Q1703" s="503">
        <f t="shared" si="120"/>
        <v>12</v>
      </c>
      <c r="R1703" s="504" t="str">
        <f t="shared" si="121"/>
        <v>Gastos_custeados_por_captação</v>
      </c>
      <c r="S1703" s="504" t="str">
        <f>IF(D1703="","",IF(OR(D1703=Plano!$A$1,D1703=Plano!$B$1),"entrada","saída"))</f>
        <v>saída</v>
      </c>
      <c r="T1703" s="511" t="s">
        <v>114</v>
      </c>
      <c r="U1703" s="511" t="s">
        <v>114</v>
      </c>
      <c r="V1703" s="541"/>
    </row>
    <row r="1704" spans="1:22" ht="50.1" customHeight="1" x14ac:dyDescent="0.2">
      <c r="A1704" s="619">
        <f>IF(B1704="","",COUNT('Diário 5º PA'!$A$5:$A$2634)+COUNT('Diário 6º PA'!$A$5:$A$2246)+COUNT('Diário 7º PA'!$A$5:$A$2271)+ROW()-4)</f>
        <v>5650</v>
      </c>
      <c r="B1704" s="620">
        <v>44547</v>
      </c>
      <c r="C1704" s="621">
        <v>44501</v>
      </c>
      <c r="D1704" s="548" t="s">
        <v>99</v>
      </c>
      <c r="E1704" s="548" t="s">
        <v>222</v>
      </c>
      <c r="F1704" s="622">
        <v>-176.12</v>
      </c>
      <c r="G1704" s="623" t="s">
        <v>6760</v>
      </c>
      <c r="H1704" s="548" t="s">
        <v>115</v>
      </c>
      <c r="I1704" s="583" t="s">
        <v>983</v>
      </c>
      <c r="J1704" s="548" t="s">
        <v>850</v>
      </c>
      <c r="K1704" s="583" t="s">
        <v>946</v>
      </c>
      <c r="L1704" s="583" t="s">
        <v>947</v>
      </c>
      <c r="M1704" s="632" t="s">
        <v>114</v>
      </c>
      <c r="N1704" s="620">
        <v>44547</v>
      </c>
      <c r="O1704" s="684" t="s">
        <v>67</v>
      </c>
      <c r="P1704" s="503">
        <f t="shared" si="119"/>
        <v>12</v>
      </c>
      <c r="Q1704" s="503">
        <f t="shared" si="120"/>
        <v>11</v>
      </c>
      <c r="R1704" s="504" t="str">
        <f t="shared" si="121"/>
        <v>Gastos_Gerais</v>
      </c>
      <c r="S1704" s="504" t="str">
        <f>IF(D1704="","",IF(OR(D1704=Plano!$A$1,D1704=Plano!$B$1),"entrada","saída"))</f>
        <v>saída</v>
      </c>
      <c r="T1704" s="511" t="s">
        <v>114</v>
      </c>
      <c r="U1704" s="511" t="s">
        <v>114</v>
      </c>
      <c r="V1704" s="541"/>
    </row>
    <row r="1705" spans="1:22" ht="62.25" customHeight="1" x14ac:dyDescent="0.2">
      <c r="A1705" s="619">
        <f>IF(B1705="","",COUNT('Diário 5º PA'!$A$5:$A$2634)+COUNT('Diário 6º PA'!$A$5:$A$2246)+COUNT('Diário 7º PA'!$A$5:$A$2271)+ROW()-4)</f>
        <v>5651</v>
      </c>
      <c r="B1705" s="620">
        <v>44547</v>
      </c>
      <c r="C1705" s="621">
        <v>44501</v>
      </c>
      <c r="D1705" s="548" t="s">
        <v>99</v>
      </c>
      <c r="E1705" s="548" t="s">
        <v>216</v>
      </c>
      <c r="F1705" s="622">
        <v>-99.16</v>
      </c>
      <c r="G1705" s="623" t="s">
        <v>6761</v>
      </c>
      <c r="H1705" s="548" t="s">
        <v>115</v>
      </c>
      <c r="I1705" s="583" t="s">
        <v>983</v>
      </c>
      <c r="J1705" s="548" t="s">
        <v>850</v>
      </c>
      <c r="K1705" s="583" t="s">
        <v>946</v>
      </c>
      <c r="L1705" s="583" t="s">
        <v>947</v>
      </c>
      <c r="M1705" s="632" t="s">
        <v>114</v>
      </c>
      <c r="N1705" s="620">
        <v>44547</v>
      </c>
      <c r="O1705" s="684" t="s">
        <v>67</v>
      </c>
      <c r="P1705" s="503">
        <f t="shared" si="119"/>
        <v>12</v>
      </c>
      <c r="Q1705" s="503">
        <f t="shared" si="120"/>
        <v>11</v>
      </c>
      <c r="R1705" s="504" t="str">
        <f t="shared" si="121"/>
        <v>Gastos_Gerais</v>
      </c>
      <c r="S1705" s="504" t="str">
        <f>IF(D1705="","",IF(OR(D1705=Plano!$A$1,D1705=Plano!$B$1),"entrada","saída"))</f>
        <v>saída</v>
      </c>
      <c r="T1705" s="511" t="s">
        <v>114</v>
      </c>
      <c r="U1705" s="511" t="s">
        <v>114</v>
      </c>
      <c r="V1705" s="541"/>
    </row>
    <row r="1706" spans="1:22" ht="65.25" customHeight="1" x14ac:dyDescent="0.2">
      <c r="A1706" s="619">
        <f>IF(B1706="","",COUNT('Diário 5º PA'!$A$5:$A$2634)+COUNT('Diário 6º PA'!$A$5:$A$2246)+COUNT('Diário 7º PA'!$A$5:$A$2271)+ROW()-4)</f>
        <v>5652</v>
      </c>
      <c r="B1706" s="620">
        <v>44547</v>
      </c>
      <c r="C1706" s="624">
        <v>44531</v>
      </c>
      <c r="D1706" s="548" t="s">
        <v>99</v>
      </c>
      <c r="E1706" s="548" t="s">
        <v>330</v>
      </c>
      <c r="F1706" s="622">
        <v>840</v>
      </c>
      <c r="G1706" s="623" t="s">
        <v>6673</v>
      </c>
      <c r="H1706" s="548" t="s">
        <v>132</v>
      </c>
      <c r="I1706" s="583" t="s">
        <v>6762</v>
      </c>
      <c r="J1706" s="548" t="s">
        <v>6674</v>
      </c>
      <c r="K1706" s="583" t="s">
        <v>991</v>
      </c>
      <c r="L1706" s="583" t="s">
        <v>1901</v>
      </c>
      <c r="M1706" s="619">
        <v>1499</v>
      </c>
      <c r="N1706" s="620">
        <v>44547</v>
      </c>
      <c r="O1706" s="684" t="s">
        <v>67</v>
      </c>
      <c r="P1706" s="503">
        <f t="shared" si="119"/>
        <v>12</v>
      </c>
      <c r="Q1706" s="503">
        <f t="shared" si="120"/>
        <v>12</v>
      </c>
      <c r="R1706" s="504" t="str">
        <f t="shared" si="121"/>
        <v>Gastos_Gerais</v>
      </c>
      <c r="S1706" s="504" t="str">
        <f>IF(D1706="","",IF(OR(D1706=Plano!$A$1,D1706=Plano!$B$1),"entrada","saída"))</f>
        <v>saída</v>
      </c>
      <c r="T1706" s="505" t="s">
        <v>994</v>
      </c>
      <c r="U1706" s="505">
        <v>2512</v>
      </c>
      <c r="V1706" s="541"/>
    </row>
    <row r="1707" spans="1:22" ht="140.25" customHeight="1" x14ac:dyDescent="0.2">
      <c r="A1707" s="619">
        <f>IF(B1707="","",COUNT('Diário 5º PA'!$A$5:$A$2634)+COUNT('Diário 6º PA'!$A$5:$A$2246)+COUNT('Diário 7º PA'!$A$5:$A$2271)+ROW()-4)</f>
        <v>5653</v>
      </c>
      <c r="B1707" s="620">
        <v>44547</v>
      </c>
      <c r="C1707" s="624">
        <v>44501</v>
      </c>
      <c r="D1707" s="548" t="s">
        <v>99</v>
      </c>
      <c r="E1707" s="548" t="s">
        <v>374</v>
      </c>
      <c r="F1707" s="622">
        <v>500</v>
      </c>
      <c r="G1707" s="623" t="s">
        <v>6514</v>
      </c>
      <c r="H1707" s="548" t="s">
        <v>130</v>
      </c>
      <c r="I1707" s="583" t="s">
        <v>6765</v>
      </c>
      <c r="J1707" s="548" t="s">
        <v>6515</v>
      </c>
      <c r="K1707" s="583" t="s">
        <v>991</v>
      </c>
      <c r="L1707" s="583" t="s">
        <v>992</v>
      </c>
      <c r="M1707" s="619">
        <v>69</v>
      </c>
      <c r="N1707" s="620">
        <v>44533</v>
      </c>
      <c r="O1707" s="684" t="s">
        <v>67</v>
      </c>
      <c r="P1707" s="503">
        <f t="shared" si="119"/>
        <v>12</v>
      </c>
      <c r="Q1707" s="503">
        <f t="shared" si="120"/>
        <v>11</v>
      </c>
      <c r="R1707" s="504" t="str">
        <f t="shared" si="121"/>
        <v>Gastos_Gerais</v>
      </c>
      <c r="S1707" s="504" t="str">
        <f>IF(D1707="","",IF(OR(D1707=Plano!$A$1,D1707=Plano!$B$1),"entrada","saída"))</f>
        <v>saída</v>
      </c>
      <c r="T1707" s="505" t="s">
        <v>994</v>
      </c>
      <c r="U1707" s="505">
        <v>2516</v>
      </c>
      <c r="V1707" s="541"/>
    </row>
    <row r="1708" spans="1:22" ht="67.5" customHeight="1" x14ac:dyDescent="0.2">
      <c r="A1708" s="619">
        <f>IF(B1708="","",COUNT('Diário 5º PA'!$A$5:$A$2634)+COUNT('Diário 6º PA'!$A$5:$A$2246)+COUNT('Diário 7º PA'!$A$5:$A$2271)+ROW()-4)</f>
        <v>5654</v>
      </c>
      <c r="B1708" s="620">
        <v>44547</v>
      </c>
      <c r="C1708" s="624">
        <v>44501</v>
      </c>
      <c r="D1708" s="548" t="s">
        <v>99</v>
      </c>
      <c r="E1708" s="548" t="s">
        <v>358</v>
      </c>
      <c r="F1708" s="622">
        <v>1200</v>
      </c>
      <c r="G1708" s="623" t="s">
        <v>5996</v>
      </c>
      <c r="H1708" s="548" t="s">
        <v>125</v>
      </c>
      <c r="I1708" s="583" t="s">
        <v>6767</v>
      </c>
      <c r="J1708" s="548" t="s">
        <v>5997</v>
      </c>
      <c r="K1708" s="583" t="s">
        <v>991</v>
      </c>
      <c r="L1708" s="583" t="s">
        <v>992</v>
      </c>
      <c r="M1708" s="619" t="s">
        <v>1394</v>
      </c>
      <c r="N1708" s="620">
        <v>44546</v>
      </c>
      <c r="O1708" s="684" t="s">
        <v>67</v>
      </c>
      <c r="P1708" s="503">
        <f t="shared" si="119"/>
        <v>12</v>
      </c>
      <c r="Q1708" s="503">
        <f t="shared" si="120"/>
        <v>11</v>
      </c>
      <c r="R1708" s="504" t="str">
        <f t="shared" si="121"/>
        <v>Gastos_Gerais</v>
      </c>
      <c r="S1708" s="504" t="str">
        <f>IF(D1708="","",IF(OR(D1708=Plano!$A$1,D1708=Plano!$B$1),"entrada","saída"))</f>
        <v>saída</v>
      </c>
      <c r="T1708" s="505" t="s">
        <v>6766</v>
      </c>
      <c r="U1708" s="505">
        <v>2324</v>
      </c>
      <c r="V1708" s="541"/>
    </row>
    <row r="1709" spans="1:22" ht="36.75" customHeight="1" x14ac:dyDescent="0.2">
      <c r="A1709" s="619">
        <f>IF(B1709="","",COUNT('Diário 5º PA'!$A$5:$A$2634)+COUNT('Diário 6º PA'!$A$5:$A$2246)+COUNT('Diário 7º PA'!$A$5:$A$2271)+ROW()-4)</f>
        <v>5655</v>
      </c>
      <c r="B1709" s="620">
        <v>44547</v>
      </c>
      <c r="C1709" s="624">
        <v>44501</v>
      </c>
      <c r="D1709" s="548" t="s">
        <v>99</v>
      </c>
      <c r="E1709" s="548" t="s">
        <v>216</v>
      </c>
      <c r="F1709" s="622">
        <v>375.45</v>
      </c>
      <c r="G1709" s="623" t="s">
        <v>5742</v>
      </c>
      <c r="H1709" s="548" t="s">
        <v>115</v>
      </c>
      <c r="I1709" s="583" t="s">
        <v>513</v>
      </c>
      <c r="J1709" s="548" t="s">
        <v>514</v>
      </c>
      <c r="K1709" s="583" t="s">
        <v>696</v>
      </c>
      <c r="L1709" s="583" t="s">
        <v>697</v>
      </c>
      <c r="M1709" s="619">
        <v>68631503</v>
      </c>
      <c r="N1709" s="620">
        <v>44526</v>
      </c>
      <c r="O1709" s="684" t="s">
        <v>67</v>
      </c>
      <c r="P1709" s="503">
        <f t="shared" ref="P1709:P1794" si="128">IF(B1709=0,0,IF(YEAR(B1709)=$Q$1,MONTH(B1709)-$P$1+1,(YEAR(B1709)-$Q$1)*12-$P$1+1+MONTH(B1709)))</f>
        <v>12</v>
      </c>
      <c r="Q1709" s="503">
        <f t="shared" ref="Q1709:Q1794" si="129">IF(C1709=0,0,IF(YEAR(C1709)=$Q$1,MONTH(C1709)-$P$1+1,(YEAR(C1709)-$Q$1)*12-$P$1+1+MONTH(C1709)))</f>
        <v>11</v>
      </c>
      <c r="R1709" s="504" t="str">
        <f t="shared" ref="R1709:R1794" si="130">SUBSTITUTE(D1709," ","_")</f>
        <v>Gastos_Gerais</v>
      </c>
      <c r="S1709" s="504" t="str">
        <f>IF(D1709="","",IF(OR(D1709=Plano!$A$1,D1709=Plano!$B$1),"entrada","saída"))</f>
        <v>saída</v>
      </c>
      <c r="T1709" s="505" t="s">
        <v>114</v>
      </c>
      <c r="U1709" s="505" t="s">
        <v>114</v>
      </c>
      <c r="V1709" s="541"/>
    </row>
    <row r="1710" spans="1:22" ht="46.5" customHeight="1" x14ac:dyDescent="0.2">
      <c r="A1710" s="619">
        <f>IF(B1710="","",COUNT('Diário 5º PA'!$A$5:$A$2634)+COUNT('Diário 6º PA'!$A$5:$A$2246)+COUNT('Diário 7º PA'!$A$5:$A$2271)+ROW()-4)</f>
        <v>5656</v>
      </c>
      <c r="B1710" s="620">
        <v>44547</v>
      </c>
      <c r="C1710" s="624">
        <v>44531</v>
      </c>
      <c r="D1710" s="548" t="s">
        <v>88</v>
      </c>
      <c r="E1710" s="548" t="s">
        <v>192</v>
      </c>
      <c r="F1710" s="622">
        <v>1545.74</v>
      </c>
      <c r="G1710" s="623" t="s">
        <v>5362</v>
      </c>
      <c r="H1710" s="548" t="s">
        <v>114</v>
      </c>
      <c r="I1710" s="583" t="s">
        <v>5164</v>
      </c>
      <c r="J1710" s="548" t="s">
        <v>3591</v>
      </c>
      <c r="K1710" s="583" t="s">
        <v>991</v>
      </c>
      <c r="L1710" s="583" t="s">
        <v>992</v>
      </c>
      <c r="M1710" s="619" t="s">
        <v>7168</v>
      </c>
      <c r="N1710" s="620">
        <v>44550</v>
      </c>
      <c r="O1710" s="684" t="s">
        <v>67</v>
      </c>
      <c r="P1710" s="503">
        <f t="shared" si="128"/>
        <v>12</v>
      </c>
      <c r="Q1710" s="503">
        <f t="shared" si="129"/>
        <v>12</v>
      </c>
      <c r="R1710" s="504" t="str">
        <f t="shared" si="130"/>
        <v>Gastos_com_Pessoal</v>
      </c>
      <c r="S1710" s="504" t="str">
        <f>IF(D1710="","",IF(OR(D1710=Plano!$A$1,D1710=Plano!$B$1),"entrada","saída"))</f>
        <v>saída</v>
      </c>
      <c r="T1710" s="546" t="s">
        <v>114</v>
      </c>
      <c r="U1710" s="546" t="s">
        <v>114</v>
      </c>
      <c r="V1710" s="541"/>
    </row>
    <row r="1711" spans="1:22" ht="31.5" customHeight="1" x14ac:dyDescent="0.2">
      <c r="A1711" s="619">
        <f>IF(B1711="","",COUNT('Diário 5º PA'!$A$5:$A$2634)+COUNT('Diário 6º PA'!$A$5:$A$2246)+COUNT('Diário 7º PA'!$A$5:$A$2271)+ROW()-4)</f>
        <v>5657</v>
      </c>
      <c r="B1711" s="620">
        <v>44547</v>
      </c>
      <c r="C1711" s="624">
        <v>44531</v>
      </c>
      <c r="D1711" s="548" t="s">
        <v>88</v>
      </c>
      <c r="E1711" s="548" t="s">
        <v>192</v>
      </c>
      <c r="F1711" s="622">
        <v>2747.46</v>
      </c>
      <c r="G1711" s="623" t="s">
        <v>5362</v>
      </c>
      <c r="H1711" s="548" t="s">
        <v>114</v>
      </c>
      <c r="I1711" s="583" t="s">
        <v>1032</v>
      </c>
      <c r="J1711" s="548" t="s">
        <v>1033</v>
      </c>
      <c r="K1711" s="583" t="s">
        <v>560</v>
      </c>
      <c r="L1711" s="583" t="s">
        <v>992</v>
      </c>
      <c r="M1711" s="619" t="s">
        <v>7170</v>
      </c>
      <c r="N1711" s="620">
        <v>44551</v>
      </c>
      <c r="O1711" s="684" t="s">
        <v>67</v>
      </c>
      <c r="P1711" s="503">
        <f t="shared" si="128"/>
        <v>12</v>
      </c>
      <c r="Q1711" s="503">
        <f t="shared" si="129"/>
        <v>12</v>
      </c>
      <c r="R1711" s="504" t="str">
        <f t="shared" si="130"/>
        <v>Gastos_com_Pessoal</v>
      </c>
      <c r="S1711" s="504" t="str">
        <f>IF(D1711="","",IF(OR(D1711=Plano!$A$1,D1711=Plano!$B$1),"entrada","saída"))</f>
        <v>saída</v>
      </c>
      <c r="T1711" s="546" t="s">
        <v>114</v>
      </c>
      <c r="U1711" s="546" t="s">
        <v>114</v>
      </c>
      <c r="V1711" s="541"/>
    </row>
    <row r="1712" spans="1:22" ht="44.25" customHeight="1" x14ac:dyDescent="0.2">
      <c r="A1712" s="619">
        <f>IF(B1712="","",COUNT('Diário 5º PA'!$A$5:$A$2634)+COUNT('Diário 6º PA'!$A$5:$A$2246)+COUNT('Diário 7º PA'!$A$5:$A$2271)+ROW()-4)</f>
        <v>5658</v>
      </c>
      <c r="B1712" s="620">
        <v>44547</v>
      </c>
      <c r="C1712" s="624">
        <v>44501</v>
      </c>
      <c r="D1712" s="548" t="s">
        <v>99</v>
      </c>
      <c r="E1712" s="548" t="s">
        <v>222</v>
      </c>
      <c r="F1712" s="622">
        <v>666.88</v>
      </c>
      <c r="G1712" s="623" t="s">
        <v>524</v>
      </c>
      <c r="H1712" s="548" t="s">
        <v>115</v>
      </c>
      <c r="I1712" s="583" t="s">
        <v>522</v>
      </c>
      <c r="J1712" s="548" t="s">
        <v>523</v>
      </c>
      <c r="K1712" s="583" t="s">
        <v>1375</v>
      </c>
      <c r="L1712" s="583" t="s">
        <v>697</v>
      </c>
      <c r="M1712" s="619" t="s">
        <v>114</v>
      </c>
      <c r="N1712" s="620">
        <v>44531</v>
      </c>
      <c r="O1712" s="684" t="s">
        <v>67</v>
      </c>
      <c r="P1712" s="503">
        <f t="shared" si="128"/>
        <v>12</v>
      </c>
      <c r="Q1712" s="503">
        <f t="shared" si="129"/>
        <v>11</v>
      </c>
      <c r="R1712" s="504" t="str">
        <f t="shared" si="130"/>
        <v>Gastos_Gerais</v>
      </c>
      <c r="S1712" s="504" t="str">
        <f>IF(D1712="","",IF(OR(D1712=Plano!$A$1,D1712=Plano!$B$1),"entrada","saída"))</f>
        <v>saída</v>
      </c>
      <c r="T1712" s="505" t="s">
        <v>114</v>
      </c>
      <c r="U1712" s="505" t="s">
        <v>114</v>
      </c>
      <c r="V1712" s="541"/>
    </row>
    <row r="1713" spans="1:22" ht="50.1" customHeight="1" x14ac:dyDescent="0.2">
      <c r="A1713" s="619">
        <f>IF(B1713="","",COUNT('Diário 5º PA'!$A$5:$A$2634)+COUNT('Diário 6º PA'!$A$5:$A$2246)+COUNT('Diário 7º PA'!$A$5:$A$2271)+ROW()-4)</f>
        <v>5659</v>
      </c>
      <c r="B1713" s="620">
        <v>44547</v>
      </c>
      <c r="C1713" s="621">
        <v>44531</v>
      </c>
      <c r="D1713" s="548" t="s">
        <v>99</v>
      </c>
      <c r="E1713" s="548" t="s">
        <v>272</v>
      </c>
      <c r="F1713" s="622">
        <v>10.45</v>
      </c>
      <c r="G1713" s="623" t="s">
        <v>6769</v>
      </c>
      <c r="H1713" s="548" t="s">
        <v>132</v>
      </c>
      <c r="I1713" s="583" t="s">
        <v>949</v>
      </c>
      <c r="J1713" s="548" t="s">
        <v>950</v>
      </c>
      <c r="K1713" s="583" t="s">
        <v>951</v>
      </c>
      <c r="L1713" s="583" t="s">
        <v>947</v>
      </c>
      <c r="M1713" s="625" t="s">
        <v>114</v>
      </c>
      <c r="N1713" s="620">
        <v>44547</v>
      </c>
      <c r="O1713" s="684" t="s">
        <v>67</v>
      </c>
      <c r="P1713" s="503">
        <f t="shared" si="128"/>
        <v>12</v>
      </c>
      <c r="Q1713" s="503">
        <f t="shared" si="129"/>
        <v>12</v>
      </c>
      <c r="R1713" s="504" t="str">
        <f t="shared" si="130"/>
        <v>Gastos_Gerais</v>
      </c>
      <c r="S1713" s="504" t="str">
        <f>IF(D1713="","",IF(OR(D1713=Plano!$A$1,D1713=Plano!$B$1),"entrada","saída"))</f>
        <v>saída</v>
      </c>
      <c r="T1713" s="511" t="s">
        <v>114</v>
      </c>
      <c r="U1713" s="511" t="s">
        <v>114</v>
      </c>
      <c r="V1713" s="541"/>
    </row>
    <row r="1714" spans="1:22" ht="50.1" customHeight="1" x14ac:dyDescent="0.2">
      <c r="A1714" s="619">
        <f>IF(B1714="","",COUNT('Diário 5º PA'!$A$5:$A$2634)+COUNT('Diário 6º PA'!$A$5:$A$2246)+COUNT('Diário 7º PA'!$A$5:$A$2271)+ROW()-4)</f>
        <v>5660</v>
      </c>
      <c r="B1714" s="620">
        <v>44547</v>
      </c>
      <c r="C1714" s="621">
        <v>44531</v>
      </c>
      <c r="D1714" s="548" t="s">
        <v>99</v>
      </c>
      <c r="E1714" s="548" t="s">
        <v>272</v>
      </c>
      <c r="F1714" s="622">
        <v>10.45</v>
      </c>
      <c r="G1714" s="623" t="s">
        <v>6744</v>
      </c>
      <c r="H1714" s="548" t="s">
        <v>130</v>
      </c>
      <c r="I1714" s="583" t="s">
        <v>949</v>
      </c>
      <c r="J1714" s="548" t="s">
        <v>950</v>
      </c>
      <c r="K1714" s="583" t="s">
        <v>951</v>
      </c>
      <c r="L1714" s="583" t="s">
        <v>947</v>
      </c>
      <c r="M1714" s="625" t="s">
        <v>114</v>
      </c>
      <c r="N1714" s="620">
        <v>44547</v>
      </c>
      <c r="O1714" s="684" t="s">
        <v>67</v>
      </c>
      <c r="P1714" s="503">
        <f t="shared" si="128"/>
        <v>12</v>
      </c>
      <c r="Q1714" s="503">
        <f t="shared" si="129"/>
        <v>12</v>
      </c>
      <c r="R1714" s="504" t="str">
        <f t="shared" si="130"/>
        <v>Gastos_Gerais</v>
      </c>
      <c r="S1714" s="504" t="str">
        <f>IF(D1714="","",IF(OR(D1714=Plano!$A$1,D1714=Plano!$B$1),"entrada","saída"))</f>
        <v>saída</v>
      </c>
      <c r="T1714" s="511" t="s">
        <v>114</v>
      </c>
      <c r="U1714" s="511" t="s">
        <v>114</v>
      </c>
      <c r="V1714" s="541"/>
    </row>
    <row r="1715" spans="1:22" ht="50.1" customHeight="1" x14ac:dyDescent="0.2">
      <c r="A1715" s="619">
        <f>IF(B1715="","",COUNT('Diário 5º PA'!$A$5:$A$2634)+COUNT('Diário 6º PA'!$A$5:$A$2246)+COUNT('Diário 7º PA'!$A$5:$A$2271)+ROW()-4)</f>
        <v>5661</v>
      </c>
      <c r="B1715" s="620">
        <v>44547</v>
      </c>
      <c r="C1715" s="621">
        <v>44531</v>
      </c>
      <c r="D1715" s="548" t="s">
        <v>99</v>
      </c>
      <c r="E1715" s="548" t="s">
        <v>272</v>
      </c>
      <c r="F1715" s="622">
        <v>10.45</v>
      </c>
      <c r="G1715" s="623" t="s">
        <v>6770</v>
      </c>
      <c r="H1715" s="548" t="s">
        <v>125</v>
      </c>
      <c r="I1715" s="583" t="s">
        <v>949</v>
      </c>
      <c r="J1715" s="548" t="s">
        <v>950</v>
      </c>
      <c r="K1715" s="583" t="s">
        <v>951</v>
      </c>
      <c r="L1715" s="583" t="s">
        <v>947</v>
      </c>
      <c r="M1715" s="625" t="s">
        <v>114</v>
      </c>
      <c r="N1715" s="620">
        <v>44547</v>
      </c>
      <c r="O1715" s="684" t="s">
        <v>67</v>
      </c>
      <c r="P1715" s="503">
        <f t="shared" si="128"/>
        <v>12</v>
      </c>
      <c r="Q1715" s="503">
        <f t="shared" si="129"/>
        <v>12</v>
      </c>
      <c r="R1715" s="504" t="str">
        <f t="shared" si="130"/>
        <v>Gastos_Gerais</v>
      </c>
      <c r="S1715" s="504" t="str">
        <f>IF(D1715="","",IF(OR(D1715=Plano!$A$1,D1715=Plano!$B$1),"entrada","saída"))</f>
        <v>saída</v>
      </c>
      <c r="T1715" s="511" t="s">
        <v>114</v>
      </c>
      <c r="U1715" s="511" t="s">
        <v>114</v>
      </c>
      <c r="V1715" s="541"/>
    </row>
    <row r="1716" spans="1:22" ht="50.1" customHeight="1" x14ac:dyDescent="0.2">
      <c r="A1716" s="619">
        <f>IF(B1716="","",COUNT('Diário 5º PA'!$A$5:$A$2634)+COUNT('Diário 6º PA'!$A$5:$A$2246)+COUNT('Diário 7º PA'!$A$5:$A$2271)+ROW()-4)</f>
        <v>5662</v>
      </c>
      <c r="B1716" s="620">
        <v>44547</v>
      </c>
      <c r="C1716" s="621">
        <v>44531</v>
      </c>
      <c r="D1716" s="548" t="s">
        <v>99</v>
      </c>
      <c r="E1716" s="548" t="s">
        <v>272</v>
      </c>
      <c r="F1716" s="622">
        <v>10.45</v>
      </c>
      <c r="G1716" s="623" t="s">
        <v>6768</v>
      </c>
      <c r="H1716" s="548" t="s">
        <v>116</v>
      </c>
      <c r="I1716" s="583" t="s">
        <v>949</v>
      </c>
      <c r="J1716" s="548" t="s">
        <v>950</v>
      </c>
      <c r="K1716" s="583" t="s">
        <v>951</v>
      </c>
      <c r="L1716" s="583" t="s">
        <v>947</v>
      </c>
      <c r="M1716" s="625" t="s">
        <v>114</v>
      </c>
      <c r="N1716" s="620">
        <v>44547</v>
      </c>
      <c r="O1716" s="684" t="s">
        <v>67</v>
      </c>
      <c r="P1716" s="503">
        <f t="shared" si="128"/>
        <v>12</v>
      </c>
      <c r="Q1716" s="503">
        <f t="shared" si="129"/>
        <v>12</v>
      </c>
      <c r="R1716" s="504" t="str">
        <f t="shared" si="130"/>
        <v>Gastos_Gerais</v>
      </c>
      <c r="S1716" s="504" t="str">
        <f>IF(D1716="","",IF(OR(D1716=Plano!$A$1,D1716=Plano!$B$1),"entrada","saída"))</f>
        <v>saída</v>
      </c>
      <c r="T1716" s="511" t="s">
        <v>114</v>
      </c>
      <c r="U1716" s="511" t="s">
        <v>114</v>
      </c>
      <c r="V1716" s="541"/>
    </row>
    <row r="1717" spans="1:22" s="569" customFormat="1" ht="172.5" customHeight="1" x14ac:dyDescent="0.2">
      <c r="A1717" s="619">
        <f>IF(B1717="","",COUNT('Diário 5º PA'!$A$5:$A$2634)+COUNT('Diário 6º PA'!$A$5:$A$2246)+COUNT('Diário 7º PA'!$A$5:$A$2271)+ROW()-4)</f>
        <v>5663</v>
      </c>
      <c r="B1717" s="620">
        <v>44547</v>
      </c>
      <c r="C1717" s="624">
        <v>44501</v>
      </c>
      <c r="D1717" s="548" t="s">
        <v>104</v>
      </c>
      <c r="E1717" s="548" t="s">
        <v>104</v>
      </c>
      <c r="F1717" s="622">
        <v>2058.6</v>
      </c>
      <c r="G1717" s="623" t="s">
        <v>5216</v>
      </c>
      <c r="H1717" s="548" t="s">
        <v>104</v>
      </c>
      <c r="I1717" s="583" t="s">
        <v>1446</v>
      </c>
      <c r="J1717" s="548" t="s">
        <v>660</v>
      </c>
      <c r="K1717" s="583" t="s">
        <v>991</v>
      </c>
      <c r="L1717" s="583" t="s">
        <v>1029</v>
      </c>
      <c r="M1717" s="619">
        <v>1500</v>
      </c>
      <c r="N1717" s="620">
        <v>44547</v>
      </c>
      <c r="O1717" s="684" t="s">
        <v>71</v>
      </c>
      <c r="P1717" s="503">
        <f t="shared" si="128"/>
        <v>12</v>
      </c>
      <c r="Q1717" s="503">
        <f t="shared" si="129"/>
        <v>11</v>
      </c>
      <c r="R1717" s="504" t="str">
        <f t="shared" si="130"/>
        <v>Gastos_custeados_por_captação</v>
      </c>
      <c r="S1717" s="504" t="str">
        <f>IF(D1717="","",IF(OR(D1717=Plano!$A$1,D1717=Plano!$B$1),"entrada","saída"))</f>
        <v>saída</v>
      </c>
      <c r="T1717" s="511" t="s">
        <v>994</v>
      </c>
      <c r="U1717" s="505">
        <v>1559</v>
      </c>
      <c r="V1717" s="541"/>
    </row>
    <row r="1718" spans="1:22" s="569" customFormat="1" ht="50.1" customHeight="1" x14ac:dyDescent="0.2">
      <c r="A1718" s="619">
        <f>IF(B1718="","",COUNT('Diário 5º PA'!$A$5:$A$2634)+COUNT('Diário 6º PA'!$A$5:$A$2246)+COUNT('Diário 7º PA'!$A$5:$A$2271)+ROW()-4)</f>
        <v>5664</v>
      </c>
      <c r="B1718" s="620">
        <v>44547</v>
      </c>
      <c r="C1718" s="621">
        <v>44531</v>
      </c>
      <c r="D1718" s="548" t="s">
        <v>104</v>
      </c>
      <c r="E1718" s="548" t="s">
        <v>104</v>
      </c>
      <c r="F1718" s="622">
        <v>10.45</v>
      </c>
      <c r="G1718" s="623" t="s">
        <v>5451</v>
      </c>
      <c r="H1718" s="548" t="s">
        <v>104</v>
      </c>
      <c r="I1718" s="583" t="s">
        <v>949</v>
      </c>
      <c r="J1718" s="548" t="s">
        <v>950</v>
      </c>
      <c r="K1718" s="583" t="s">
        <v>951</v>
      </c>
      <c r="L1718" s="583" t="s">
        <v>947</v>
      </c>
      <c r="M1718" s="625" t="s">
        <v>114</v>
      </c>
      <c r="N1718" s="620">
        <v>44547</v>
      </c>
      <c r="O1718" s="684" t="s">
        <v>71</v>
      </c>
      <c r="P1718" s="503">
        <f t="shared" si="128"/>
        <v>12</v>
      </c>
      <c r="Q1718" s="503">
        <f t="shared" si="129"/>
        <v>12</v>
      </c>
      <c r="R1718" s="504" t="str">
        <f t="shared" si="130"/>
        <v>Gastos_custeados_por_captação</v>
      </c>
      <c r="S1718" s="504" t="str">
        <f>IF(D1718="","",IF(OR(D1718=Plano!$A$1,D1718=Plano!$B$1),"entrada","saída"))</f>
        <v>saída</v>
      </c>
      <c r="T1718" s="511" t="s">
        <v>114</v>
      </c>
      <c r="U1718" s="511" t="s">
        <v>114</v>
      </c>
      <c r="V1718" s="541"/>
    </row>
    <row r="1719" spans="1:22" s="574" customFormat="1" ht="50.1" customHeight="1" x14ac:dyDescent="0.2">
      <c r="A1719" s="619">
        <f>IF(B1719="","",COUNT('Diário 5º PA'!$A$5:$A$2634)+COUNT('Diário 6º PA'!$A$5:$A$2246)+COUNT('Diário 7º PA'!$A$5:$A$2271)+ROW()-4)</f>
        <v>5665</v>
      </c>
      <c r="B1719" s="620">
        <v>44547</v>
      </c>
      <c r="C1719" s="621">
        <v>44501</v>
      </c>
      <c r="D1719" s="548" t="s">
        <v>104</v>
      </c>
      <c r="E1719" s="548" t="s">
        <v>104</v>
      </c>
      <c r="F1719" s="655">
        <v>3736.13</v>
      </c>
      <c r="G1719" s="648" t="s">
        <v>7274</v>
      </c>
      <c r="H1719" s="548" t="s">
        <v>104</v>
      </c>
      <c r="I1719" s="627" t="s">
        <v>7260</v>
      </c>
      <c r="J1719" s="647" t="s">
        <v>7273</v>
      </c>
      <c r="K1719" s="583" t="s">
        <v>991</v>
      </c>
      <c r="L1719" s="658" t="s">
        <v>1177</v>
      </c>
      <c r="M1719" s="653" t="s">
        <v>114</v>
      </c>
      <c r="N1719" s="656">
        <v>44536</v>
      </c>
      <c r="O1719" s="684" t="s">
        <v>70</v>
      </c>
      <c r="P1719" s="503">
        <f t="shared" ref="P1719:P1731" si="131">IF(B1719=0,0,IF(YEAR(B1719)=$Q$1,MONTH(B1719)-$P$1+1,(YEAR(B1719)-$Q$1)*12-$P$1+1+MONTH(B1719)))</f>
        <v>12</v>
      </c>
      <c r="Q1719" s="503">
        <f t="shared" ref="Q1719:Q1731" si="132">IF(C1719=0,0,IF(YEAR(C1719)=$Q$1,MONTH(C1719)-$P$1+1,(YEAR(C1719)-$Q$1)*12-$P$1+1+MONTH(C1719)))</f>
        <v>11</v>
      </c>
      <c r="R1719" s="504" t="str">
        <f t="shared" ref="R1719:R1731" si="133">SUBSTITUTE(D1719," ","_")</f>
        <v>Gastos_custeados_por_captação</v>
      </c>
      <c r="S1719" s="504" t="str">
        <f>IF(D1719="","",IF(OR(D1719=Plano!$A$1,D1719=Plano!$B$1),"entrada","saída"))</f>
        <v>saída</v>
      </c>
      <c r="T1719" s="511" t="s">
        <v>994</v>
      </c>
      <c r="U1719" s="511">
        <v>2412</v>
      </c>
      <c r="V1719" s="541"/>
    </row>
    <row r="1720" spans="1:22" s="574" customFormat="1" ht="50.1" customHeight="1" x14ac:dyDescent="0.2">
      <c r="A1720" s="619">
        <f>IF(B1720="","",COUNT('Diário 5º PA'!$A$5:$A$2634)+COUNT('Diário 6º PA'!$A$5:$A$2246)+COUNT('Diário 7º PA'!$A$5:$A$2271)+ROW()-4)</f>
        <v>5666</v>
      </c>
      <c r="B1720" s="620">
        <v>44547</v>
      </c>
      <c r="C1720" s="621">
        <v>44501</v>
      </c>
      <c r="D1720" s="548" t="s">
        <v>104</v>
      </c>
      <c r="E1720" s="548" t="s">
        <v>104</v>
      </c>
      <c r="F1720" s="655">
        <v>0.92</v>
      </c>
      <c r="G1720" s="648" t="s">
        <v>7265</v>
      </c>
      <c r="H1720" s="548" t="s">
        <v>104</v>
      </c>
      <c r="I1720" s="627" t="s">
        <v>7116</v>
      </c>
      <c r="J1720" s="548" t="s">
        <v>950</v>
      </c>
      <c r="K1720" s="583" t="s">
        <v>951</v>
      </c>
      <c r="L1720" s="583" t="s">
        <v>947</v>
      </c>
      <c r="M1720" s="625" t="s">
        <v>114</v>
      </c>
      <c r="N1720" s="656">
        <v>44547</v>
      </c>
      <c r="O1720" s="684" t="s">
        <v>70</v>
      </c>
      <c r="P1720" s="503">
        <f t="shared" si="131"/>
        <v>12</v>
      </c>
      <c r="Q1720" s="503">
        <f t="shared" si="132"/>
        <v>11</v>
      </c>
      <c r="R1720" s="504" t="str">
        <f t="shared" si="133"/>
        <v>Gastos_custeados_por_captação</v>
      </c>
      <c r="S1720" s="504" t="str">
        <f>IF(D1720="","",IF(OR(D1720=Plano!$A$1,D1720=Plano!$B$1),"entrada","saída"))</f>
        <v>saída</v>
      </c>
      <c r="T1720" s="511" t="s">
        <v>114</v>
      </c>
      <c r="U1720" s="511" t="s">
        <v>114</v>
      </c>
      <c r="V1720" s="541"/>
    </row>
    <row r="1721" spans="1:22" s="574" customFormat="1" ht="50.1" customHeight="1" x14ac:dyDescent="0.2">
      <c r="A1721" s="619">
        <f>IF(B1721="","",COUNT('Diário 5º PA'!$A$5:$A$2634)+COUNT('Diário 6º PA'!$A$5:$A$2246)+COUNT('Diário 7º PA'!$A$5:$A$2271)+ROW()-4)</f>
        <v>5667</v>
      </c>
      <c r="B1721" s="620">
        <v>44547</v>
      </c>
      <c r="C1721" s="621">
        <v>44501</v>
      </c>
      <c r="D1721" s="548" t="s">
        <v>104</v>
      </c>
      <c r="E1721" s="548" t="s">
        <v>104</v>
      </c>
      <c r="F1721" s="655">
        <v>241.45</v>
      </c>
      <c r="G1721" s="648" t="s">
        <v>7276</v>
      </c>
      <c r="H1721" s="548" t="s">
        <v>104</v>
      </c>
      <c r="I1721" s="627" t="s">
        <v>7261</v>
      </c>
      <c r="J1721" s="548" t="s">
        <v>114</v>
      </c>
      <c r="K1721" s="583" t="s">
        <v>4366</v>
      </c>
      <c r="L1721" s="583" t="s">
        <v>1177</v>
      </c>
      <c r="M1721" s="653" t="s">
        <v>114</v>
      </c>
      <c r="N1721" s="656">
        <v>44546</v>
      </c>
      <c r="O1721" s="684" t="s">
        <v>70</v>
      </c>
      <c r="P1721" s="503">
        <f t="shared" si="131"/>
        <v>12</v>
      </c>
      <c r="Q1721" s="503">
        <f t="shared" si="132"/>
        <v>11</v>
      </c>
      <c r="R1721" s="504" t="str">
        <f t="shared" si="133"/>
        <v>Gastos_custeados_por_captação</v>
      </c>
      <c r="S1721" s="504" t="str">
        <f>IF(D1721="","",IF(OR(D1721=Plano!$A$1,D1721=Plano!$B$1),"entrada","saída"))</f>
        <v>saída</v>
      </c>
      <c r="T1721" s="511" t="s">
        <v>994</v>
      </c>
      <c r="U1721" s="511">
        <v>2393</v>
      </c>
      <c r="V1721" s="541"/>
    </row>
    <row r="1722" spans="1:22" s="574" customFormat="1" ht="50.1" customHeight="1" x14ac:dyDescent="0.2">
      <c r="A1722" s="619">
        <f>IF(B1722="","",COUNT('Diário 5º PA'!$A$5:$A$2634)+COUNT('Diário 6º PA'!$A$5:$A$2246)+COUNT('Diário 7º PA'!$A$5:$A$2271)+ROW()-4)</f>
        <v>5668</v>
      </c>
      <c r="B1722" s="620">
        <v>44547</v>
      </c>
      <c r="C1722" s="621">
        <v>44501</v>
      </c>
      <c r="D1722" s="548" t="s">
        <v>104</v>
      </c>
      <c r="E1722" s="548" t="s">
        <v>104</v>
      </c>
      <c r="F1722" s="655">
        <v>42.84</v>
      </c>
      <c r="G1722" s="623" t="s">
        <v>7266</v>
      </c>
      <c r="H1722" s="548" t="s">
        <v>104</v>
      </c>
      <c r="I1722" s="627" t="s">
        <v>488</v>
      </c>
      <c r="J1722" s="548" t="s">
        <v>114</v>
      </c>
      <c r="K1722" s="583" t="s">
        <v>466</v>
      </c>
      <c r="L1722" s="583" t="s">
        <v>489</v>
      </c>
      <c r="M1722" s="653" t="s">
        <v>114</v>
      </c>
      <c r="N1722" s="656">
        <v>44547</v>
      </c>
      <c r="O1722" s="684" t="s">
        <v>70</v>
      </c>
      <c r="P1722" s="503">
        <f t="shared" si="131"/>
        <v>12</v>
      </c>
      <c r="Q1722" s="503">
        <f t="shared" si="132"/>
        <v>11</v>
      </c>
      <c r="R1722" s="504" t="str">
        <f t="shared" si="133"/>
        <v>Gastos_custeados_por_captação</v>
      </c>
      <c r="S1722" s="504" t="str">
        <f>IF(D1722="","",IF(OR(D1722=Plano!$A$1,D1722=Plano!$B$1),"entrada","saída"))</f>
        <v>saída</v>
      </c>
      <c r="T1722" s="511" t="s">
        <v>114</v>
      </c>
      <c r="U1722" s="511" t="s">
        <v>114</v>
      </c>
      <c r="V1722" s="541"/>
    </row>
    <row r="1723" spans="1:22" s="574" customFormat="1" ht="50.1" customHeight="1" x14ac:dyDescent="0.2">
      <c r="A1723" s="619">
        <f>IF(B1723="","",COUNT('Diário 5º PA'!$A$5:$A$2634)+COUNT('Diário 6º PA'!$A$5:$A$2246)+COUNT('Diário 7º PA'!$A$5:$A$2271)+ROW()-4)</f>
        <v>5669</v>
      </c>
      <c r="B1723" s="620">
        <v>44547</v>
      </c>
      <c r="C1723" s="621">
        <v>44501</v>
      </c>
      <c r="D1723" s="548" t="s">
        <v>104</v>
      </c>
      <c r="E1723" s="548" t="s">
        <v>104</v>
      </c>
      <c r="F1723" s="655">
        <v>1.65</v>
      </c>
      <c r="G1723" s="648" t="s">
        <v>7267</v>
      </c>
      <c r="H1723" s="548" t="s">
        <v>104</v>
      </c>
      <c r="I1723" s="627" t="s">
        <v>7116</v>
      </c>
      <c r="J1723" s="548" t="s">
        <v>950</v>
      </c>
      <c r="K1723" s="583" t="s">
        <v>951</v>
      </c>
      <c r="L1723" s="583" t="s">
        <v>947</v>
      </c>
      <c r="M1723" s="625" t="s">
        <v>114</v>
      </c>
      <c r="N1723" s="656">
        <v>44547</v>
      </c>
      <c r="O1723" s="684" t="s">
        <v>70</v>
      </c>
      <c r="P1723" s="503">
        <f t="shared" si="131"/>
        <v>12</v>
      </c>
      <c r="Q1723" s="503">
        <f t="shared" si="132"/>
        <v>11</v>
      </c>
      <c r="R1723" s="504" t="str">
        <f t="shared" si="133"/>
        <v>Gastos_custeados_por_captação</v>
      </c>
      <c r="S1723" s="504" t="str">
        <f>IF(D1723="","",IF(OR(D1723=Plano!$A$1,D1723=Plano!$B$1),"entrada","saída"))</f>
        <v>saída</v>
      </c>
      <c r="T1723" s="511" t="s">
        <v>114</v>
      </c>
      <c r="U1723" s="511" t="s">
        <v>114</v>
      </c>
      <c r="V1723" s="541"/>
    </row>
    <row r="1724" spans="1:22" s="574" customFormat="1" ht="50.1" customHeight="1" x14ac:dyDescent="0.2">
      <c r="A1724" s="619">
        <f>IF(B1724="","",COUNT('Diário 5º PA'!$A$5:$A$2634)+COUNT('Diário 6º PA'!$A$5:$A$2246)+COUNT('Diário 7º PA'!$A$5:$A$2271)+ROW()-4)</f>
        <v>5670</v>
      </c>
      <c r="B1724" s="620">
        <v>44547</v>
      </c>
      <c r="C1724" s="621">
        <v>44501</v>
      </c>
      <c r="D1724" s="548" t="s">
        <v>104</v>
      </c>
      <c r="E1724" s="548" t="s">
        <v>104</v>
      </c>
      <c r="F1724" s="655">
        <v>434.49</v>
      </c>
      <c r="G1724" s="648" t="s">
        <v>7277</v>
      </c>
      <c r="H1724" s="548" t="s">
        <v>104</v>
      </c>
      <c r="I1724" s="627" t="s">
        <v>7262</v>
      </c>
      <c r="J1724" s="548" t="s">
        <v>114</v>
      </c>
      <c r="K1724" s="583" t="s">
        <v>4366</v>
      </c>
      <c r="L1724" s="583" t="s">
        <v>1177</v>
      </c>
      <c r="M1724" s="653" t="s">
        <v>114</v>
      </c>
      <c r="N1724" s="656">
        <v>44543</v>
      </c>
      <c r="O1724" s="684" t="s">
        <v>70</v>
      </c>
      <c r="P1724" s="503">
        <f t="shared" si="131"/>
        <v>12</v>
      </c>
      <c r="Q1724" s="503">
        <f t="shared" si="132"/>
        <v>11</v>
      </c>
      <c r="R1724" s="504" t="str">
        <f t="shared" si="133"/>
        <v>Gastos_custeados_por_captação</v>
      </c>
      <c r="S1724" s="504" t="str">
        <f>IF(D1724="","",IF(OR(D1724=Plano!$A$1,D1724=Plano!$B$1),"entrada","saída"))</f>
        <v>saída</v>
      </c>
      <c r="T1724" s="511" t="s">
        <v>994</v>
      </c>
      <c r="U1724" s="511">
        <v>2395</v>
      </c>
      <c r="V1724" s="541"/>
    </row>
    <row r="1725" spans="1:22" s="574" customFormat="1" ht="50.1" customHeight="1" x14ac:dyDescent="0.2">
      <c r="A1725" s="619">
        <f>IF(B1725="","",COUNT('Diário 5º PA'!$A$5:$A$2634)+COUNT('Diário 6º PA'!$A$5:$A$2246)+COUNT('Diário 7º PA'!$A$5:$A$2271)+ROW()-4)</f>
        <v>5671</v>
      </c>
      <c r="B1725" s="620">
        <v>44547</v>
      </c>
      <c r="C1725" s="621">
        <v>44501</v>
      </c>
      <c r="D1725" s="548" t="s">
        <v>104</v>
      </c>
      <c r="E1725" s="548" t="s">
        <v>104</v>
      </c>
      <c r="F1725" s="655">
        <v>77.12</v>
      </c>
      <c r="G1725" s="623" t="s">
        <v>7268</v>
      </c>
      <c r="H1725" s="548" t="s">
        <v>104</v>
      </c>
      <c r="I1725" s="627" t="s">
        <v>488</v>
      </c>
      <c r="J1725" s="548" t="s">
        <v>114</v>
      </c>
      <c r="K1725" s="583" t="s">
        <v>466</v>
      </c>
      <c r="L1725" s="583" t="s">
        <v>489</v>
      </c>
      <c r="M1725" s="653" t="s">
        <v>114</v>
      </c>
      <c r="N1725" s="656">
        <v>44547</v>
      </c>
      <c r="O1725" s="684" t="s">
        <v>70</v>
      </c>
      <c r="P1725" s="503">
        <f t="shared" si="131"/>
        <v>12</v>
      </c>
      <c r="Q1725" s="503">
        <f t="shared" si="132"/>
        <v>11</v>
      </c>
      <c r="R1725" s="504" t="str">
        <f t="shared" si="133"/>
        <v>Gastos_custeados_por_captação</v>
      </c>
      <c r="S1725" s="504" t="str">
        <f>IF(D1725="","",IF(OR(D1725=Plano!$A$1,D1725=Plano!$B$1),"entrada","saída"))</f>
        <v>saída</v>
      </c>
      <c r="T1725" s="511" t="s">
        <v>114</v>
      </c>
      <c r="U1725" s="511" t="s">
        <v>114</v>
      </c>
      <c r="V1725" s="541"/>
    </row>
    <row r="1726" spans="1:22" s="574" customFormat="1" ht="50.1" customHeight="1" x14ac:dyDescent="0.2">
      <c r="A1726" s="619">
        <f>IF(B1726="","",COUNT('Diário 5º PA'!$A$5:$A$2634)+COUNT('Diário 6º PA'!$A$5:$A$2246)+COUNT('Diário 7º PA'!$A$5:$A$2271)+ROW()-4)</f>
        <v>5672</v>
      </c>
      <c r="B1726" s="620">
        <v>44547</v>
      </c>
      <c r="C1726" s="621">
        <v>44501</v>
      </c>
      <c r="D1726" s="548" t="s">
        <v>104</v>
      </c>
      <c r="E1726" s="548" t="s">
        <v>104</v>
      </c>
      <c r="F1726" s="655">
        <v>1.65</v>
      </c>
      <c r="G1726" s="648" t="s">
        <v>7269</v>
      </c>
      <c r="H1726" s="548" t="s">
        <v>104</v>
      </c>
      <c r="I1726" s="627" t="s">
        <v>7116</v>
      </c>
      <c r="J1726" s="548" t="s">
        <v>950</v>
      </c>
      <c r="K1726" s="583" t="s">
        <v>951</v>
      </c>
      <c r="L1726" s="583" t="s">
        <v>947</v>
      </c>
      <c r="M1726" s="625" t="s">
        <v>114</v>
      </c>
      <c r="N1726" s="656">
        <v>44547</v>
      </c>
      <c r="O1726" s="684" t="s">
        <v>70</v>
      </c>
      <c r="P1726" s="503">
        <f t="shared" si="131"/>
        <v>12</v>
      </c>
      <c r="Q1726" s="503">
        <f t="shared" si="132"/>
        <v>11</v>
      </c>
      <c r="R1726" s="504" t="str">
        <f t="shared" si="133"/>
        <v>Gastos_custeados_por_captação</v>
      </c>
      <c r="S1726" s="504" t="str">
        <f>IF(D1726="","",IF(OR(D1726=Plano!$A$1,D1726=Plano!$B$1),"entrada","saída"))</f>
        <v>saída</v>
      </c>
      <c r="T1726" s="511" t="s">
        <v>114</v>
      </c>
      <c r="U1726" s="511" t="s">
        <v>114</v>
      </c>
      <c r="V1726" s="541"/>
    </row>
    <row r="1727" spans="1:22" s="574" customFormat="1" ht="50.1" customHeight="1" x14ac:dyDescent="0.2">
      <c r="A1727" s="619">
        <f>IF(B1727="","",COUNT('Diário 5º PA'!$A$5:$A$2634)+COUNT('Diário 6º PA'!$A$5:$A$2246)+COUNT('Diário 7º PA'!$A$5:$A$2271)+ROW()-4)</f>
        <v>5673</v>
      </c>
      <c r="B1727" s="620">
        <v>44547</v>
      </c>
      <c r="C1727" s="621">
        <v>44501</v>
      </c>
      <c r="D1727" s="548" t="s">
        <v>104</v>
      </c>
      <c r="E1727" s="548" t="s">
        <v>104</v>
      </c>
      <c r="F1727" s="655">
        <v>434.45</v>
      </c>
      <c r="G1727" s="648" t="s">
        <v>7278</v>
      </c>
      <c r="H1727" s="548" t="s">
        <v>104</v>
      </c>
      <c r="I1727" s="627" t="s">
        <v>7263</v>
      </c>
      <c r="J1727" s="548" t="s">
        <v>114</v>
      </c>
      <c r="K1727" s="583" t="s">
        <v>4366</v>
      </c>
      <c r="L1727" s="583" t="s">
        <v>1177</v>
      </c>
      <c r="M1727" s="653" t="s">
        <v>114</v>
      </c>
      <c r="N1727" s="656">
        <v>44540</v>
      </c>
      <c r="O1727" s="684" t="s">
        <v>70</v>
      </c>
      <c r="P1727" s="503">
        <f t="shared" si="131"/>
        <v>12</v>
      </c>
      <c r="Q1727" s="503">
        <f t="shared" si="132"/>
        <v>11</v>
      </c>
      <c r="R1727" s="504" t="str">
        <f t="shared" si="133"/>
        <v>Gastos_custeados_por_captação</v>
      </c>
      <c r="S1727" s="504" t="str">
        <f>IF(D1727="","",IF(OR(D1727=Plano!$A$1,D1727=Plano!$B$1),"entrada","saída"))</f>
        <v>saída</v>
      </c>
      <c r="T1727" s="511" t="s">
        <v>994</v>
      </c>
      <c r="U1727" s="511">
        <v>2399</v>
      </c>
      <c r="V1727" s="541"/>
    </row>
    <row r="1728" spans="1:22" s="574" customFormat="1" ht="50.1" customHeight="1" x14ac:dyDescent="0.2">
      <c r="A1728" s="619">
        <f>IF(B1728="","",COUNT('Diário 5º PA'!$A$5:$A$2634)+COUNT('Diário 6º PA'!$A$5:$A$2246)+COUNT('Diário 7º PA'!$A$5:$A$2271)+ROW()-4)</f>
        <v>5674</v>
      </c>
      <c r="B1728" s="620">
        <v>44547</v>
      </c>
      <c r="C1728" s="621">
        <v>44501</v>
      </c>
      <c r="D1728" s="548" t="s">
        <v>104</v>
      </c>
      <c r="E1728" s="548" t="s">
        <v>104</v>
      </c>
      <c r="F1728" s="655">
        <v>77.12</v>
      </c>
      <c r="G1728" s="623" t="s">
        <v>7270</v>
      </c>
      <c r="H1728" s="548" t="s">
        <v>104</v>
      </c>
      <c r="I1728" s="627" t="s">
        <v>488</v>
      </c>
      <c r="J1728" s="548" t="s">
        <v>114</v>
      </c>
      <c r="K1728" s="583" t="s">
        <v>466</v>
      </c>
      <c r="L1728" s="583" t="s">
        <v>489</v>
      </c>
      <c r="M1728" s="653" t="s">
        <v>114</v>
      </c>
      <c r="N1728" s="656">
        <v>44547</v>
      </c>
      <c r="O1728" s="684" t="s">
        <v>70</v>
      </c>
      <c r="P1728" s="503">
        <f t="shared" si="131"/>
        <v>12</v>
      </c>
      <c r="Q1728" s="503">
        <f t="shared" si="132"/>
        <v>11</v>
      </c>
      <c r="R1728" s="504" t="str">
        <f t="shared" si="133"/>
        <v>Gastos_custeados_por_captação</v>
      </c>
      <c r="S1728" s="504" t="str">
        <f>IF(D1728="","",IF(OR(D1728=Plano!$A$1,D1728=Plano!$B$1),"entrada","saída"))</f>
        <v>saída</v>
      </c>
      <c r="T1728" s="511" t="s">
        <v>114</v>
      </c>
      <c r="U1728" s="511" t="s">
        <v>114</v>
      </c>
      <c r="V1728" s="541"/>
    </row>
    <row r="1729" spans="1:22" s="574" customFormat="1" ht="50.1" customHeight="1" x14ac:dyDescent="0.2">
      <c r="A1729" s="619">
        <f>IF(B1729="","",COUNT('Diário 5º PA'!$A$5:$A$2634)+COUNT('Diário 6º PA'!$A$5:$A$2246)+COUNT('Diário 7º PA'!$A$5:$A$2271)+ROW()-4)</f>
        <v>5675</v>
      </c>
      <c r="B1729" s="620">
        <v>44547</v>
      </c>
      <c r="C1729" s="621">
        <v>44501</v>
      </c>
      <c r="D1729" s="548" t="s">
        <v>104</v>
      </c>
      <c r="E1729" s="548" t="s">
        <v>104</v>
      </c>
      <c r="F1729" s="655">
        <v>1.65</v>
      </c>
      <c r="G1729" s="648" t="s">
        <v>7271</v>
      </c>
      <c r="H1729" s="548" t="s">
        <v>104</v>
      </c>
      <c r="I1729" s="627" t="s">
        <v>7116</v>
      </c>
      <c r="J1729" s="548" t="s">
        <v>950</v>
      </c>
      <c r="K1729" s="583" t="s">
        <v>951</v>
      </c>
      <c r="L1729" s="583" t="s">
        <v>947</v>
      </c>
      <c r="M1729" s="625" t="s">
        <v>114</v>
      </c>
      <c r="N1729" s="656">
        <v>44547</v>
      </c>
      <c r="O1729" s="684" t="s">
        <v>70</v>
      </c>
      <c r="P1729" s="503">
        <f t="shared" si="131"/>
        <v>12</v>
      </c>
      <c r="Q1729" s="503">
        <f t="shared" si="132"/>
        <v>11</v>
      </c>
      <c r="R1729" s="504" t="str">
        <f t="shared" si="133"/>
        <v>Gastos_custeados_por_captação</v>
      </c>
      <c r="S1729" s="504" t="str">
        <f>IF(D1729="","",IF(OR(D1729=Plano!$A$1,D1729=Plano!$B$1),"entrada","saída"))</f>
        <v>saída</v>
      </c>
      <c r="T1729" s="511" t="s">
        <v>114</v>
      </c>
      <c r="U1729" s="511" t="s">
        <v>114</v>
      </c>
      <c r="V1729" s="541"/>
    </row>
    <row r="1730" spans="1:22" s="574" customFormat="1" ht="50.1" customHeight="1" x14ac:dyDescent="0.2">
      <c r="A1730" s="619">
        <f>IF(B1730="","",COUNT('Diário 5º PA'!$A$5:$A$2634)+COUNT('Diário 6º PA'!$A$5:$A$2246)+COUNT('Diário 7º PA'!$A$5:$A$2271)+ROW()-4)</f>
        <v>5676</v>
      </c>
      <c r="B1730" s="620">
        <v>44547</v>
      </c>
      <c r="C1730" s="621">
        <v>44501</v>
      </c>
      <c r="D1730" s="548" t="s">
        <v>104</v>
      </c>
      <c r="E1730" s="548" t="s">
        <v>104</v>
      </c>
      <c r="F1730" s="655">
        <v>434.64</v>
      </c>
      <c r="G1730" s="648" t="s">
        <v>7279</v>
      </c>
      <c r="H1730" s="548" t="s">
        <v>104</v>
      </c>
      <c r="I1730" s="627" t="s">
        <v>7264</v>
      </c>
      <c r="J1730" s="548" t="s">
        <v>114</v>
      </c>
      <c r="K1730" s="583" t="s">
        <v>4366</v>
      </c>
      <c r="L1730" s="583" t="s">
        <v>1177</v>
      </c>
      <c r="M1730" s="653" t="s">
        <v>114</v>
      </c>
      <c r="N1730" s="656">
        <v>44540</v>
      </c>
      <c r="O1730" s="684" t="s">
        <v>70</v>
      </c>
      <c r="P1730" s="503">
        <f t="shared" si="131"/>
        <v>12</v>
      </c>
      <c r="Q1730" s="503">
        <f t="shared" si="132"/>
        <v>11</v>
      </c>
      <c r="R1730" s="504" t="str">
        <f t="shared" si="133"/>
        <v>Gastos_custeados_por_captação</v>
      </c>
      <c r="S1730" s="504" t="str">
        <f>IF(D1730="","",IF(OR(D1730=Plano!$A$1,D1730=Plano!$B$1),"entrada","saída"))</f>
        <v>saída</v>
      </c>
      <c r="T1730" s="511" t="s">
        <v>994</v>
      </c>
      <c r="U1730" s="511">
        <v>2409</v>
      </c>
      <c r="V1730" s="541"/>
    </row>
    <row r="1731" spans="1:22" s="574" customFormat="1" ht="50.1" customHeight="1" x14ac:dyDescent="0.2">
      <c r="A1731" s="619">
        <f>IF(B1731="","",COUNT('Diário 5º PA'!$A$5:$A$2634)+COUNT('Diário 6º PA'!$A$5:$A$2246)+COUNT('Diário 7º PA'!$A$5:$A$2271)+ROW()-4)</f>
        <v>5677</v>
      </c>
      <c r="B1731" s="620">
        <v>44547</v>
      </c>
      <c r="C1731" s="621">
        <v>44501</v>
      </c>
      <c r="D1731" s="548" t="s">
        <v>104</v>
      </c>
      <c r="E1731" s="548" t="s">
        <v>104</v>
      </c>
      <c r="F1731" s="655">
        <v>77.12</v>
      </c>
      <c r="G1731" s="623" t="s">
        <v>7272</v>
      </c>
      <c r="H1731" s="548" t="s">
        <v>104</v>
      </c>
      <c r="I1731" s="627" t="s">
        <v>488</v>
      </c>
      <c r="J1731" s="548" t="s">
        <v>114</v>
      </c>
      <c r="K1731" s="583" t="s">
        <v>466</v>
      </c>
      <c r="L1731" s="583" t="s">
        <v>489</v>
      </c>
      <c r="M1731" s="653" t="s">
        <v>114</v>
      </c>
      <c r="N1731" s="656">
        <v>44547</v>
      </c>
      <c r="O1731" s="684" t="s">
        <v>70</v>
      </c>
      <c r="P1731" s="503">
        <f t="shared" si="131"/>
        <v>12</v>
      </c>
      <c r="Q1731" s="503">
        <f t="shared" si="132"/>
        <v>11</v>
      </c>
      <c r="R1731" s="504" t="str">
        <f t="shared" si="133"/>
        <v>Gastos_custeados_por_captação</v>
      </c>
      <c r="S1731" s="504" t="str">
        <f>IF(D1731="","",IF(OR(D1731=Plano!$A$1,D1731=Plano!$B$1),"entrada","saída"))</f>
        <v>saída</v>
      </c>
      <c r="T1731" s="511" t="s">
        <v>114</v>
      </c>
      <c r="U1731" s="511" t="s">
        <v>114</v>
      </c>
      <c r="V1731" s="541"/>
    </row>
    <row r="1732" spans="1:22" s="573" customFormat="1" ht="50.1" customHeight="1" x14ac:dyDescent="0.2">
      <c r="A1732" s="619">
        <f>IF(B1732="","",COUNT('Diário 5º PA'!$A$5:$A$2634)+COUNT('Diário 6º PA'!$A$5:$A$2246)+COUNT('Diário 7º PA'!$A$5:$A$2271)+ROW()-4)</f>
        <v>5678</v>
      </c>
      <c r="B1732" s="620">
        <v>44550</v>
      </c>
      <c r="C1732" s="624">
        <v>44470</v>
      </c>
      <c r="D1732" s="548" t="s">
        <v>104</v>
      </c>
      <c r="E1732" s="548" t="s">
        <v>104</v>
      </c>
      <c r="F1732" s="622">
        <v>465</v>
      </c>
      <c r="G1732" s="623" t="s">
        <v>7423</v>
      </c>
      <c r="H1732" s="548" t="s">
        <v>104</v>
      </c>
      <c r="I1732" s="583" t="s">
        <v>983</v>
      </c>
      <c r="J1732" s="548" t="s">
        <v>850</v>
      </c>
      <c r="K1732" s="583" t="s">
        <v>946</v>
      </c>
      <c r="L1732" s="583" t="s">
        <v>947</v>
      </c>
      <c r="M1732" s="632" t="s">
        <v>114</v>
      </c>
      <c r="N1732" s="620">
        <v>44550</v>
      </c>
      <c r="O1732" s="684" t="s">
        <v>5370</v>
      </c>
      <c r="P1732" s="503">
        <f t="shared" si="128"/>
        <v>12</v>
      </c>
      <c r="Q1732" s="503">
        <f t="shared" si="129"/>
        <v>10</v>
      </c>
      <c r="R1732" s="504" t="str">
        <f t="shared" si="130"/>
        <v>Gastos_custeados_por_captação</v>
      </c>
      <c r="S1732" s="504" t="str">
        <f>IF(D1732="","",IF(OR(D1732=Plano!$A$1,D1732=Plano!$B$1),"entrada","saída"))</f>
        <v>saída</v>
      </c>
      <c r="T1732" s="511" t="s">
        <v>114</v>
      </c>
      <c r="U1732" s="511" t="s">
        <v>114</v>
      </c>
      <c r="V1732" s="541"/>
    </row>
    <row r="1733" spans="1:22" s="573" customFormat="1" ht="50.1" customHeight="1" x14ac:dyDescent="0.2">
      <c r="A1733" s="619">
        <f>IF(B1733="","",COUNT('Diário 5º PA'!$A$5:$A$2634)+COUNT('Diário 6º PA'!$A$5:$A$2246)+COUNT('Diário 7º PA'!$A$5:$A$2271)+ROW()-4)</f>
        <v>5679</v>
      </c>
      <c r="B1733" s="620">
        <v>44550</v>
      </c>
      <c r="C1733" s="624">
        <v>44470</v>
      </c>
      <c r="D1733" s="548" t="s">
        <v>104</v>
      </c>
      <c r="E1733" s="548" t="s">
        <v>104</v>
      </c>
      <c r="F1733" s="622">
        <v>930</v>
      </c>
      <c r="G1733" s="623" t="s">
        <v>7422</v>
      </c>
      <c r="H1733" s="548" t="s">
        <v>104</v>
      </c>
      <c r="I1733" s="583" t="s">
        <v>983</v>
      </c>
      <c r="J1733" s="548" t="s">
        <v>850</v>
      </c>
      <c r="K1733" s="583" t="s">
        <v>946</v>
      </c>
      <c r="L1733" s="583" t="s">
        <v>947</v>
      </c>
      <c r="M1733" s="632" t="s">
        <v>114</v>
      </c>
      <c r="N1733" s="620">
        <v>44550</v>
      </c>
      <c r="O1733" s="684" t="s">
        <v>5370</v>
      </c>
      <c r="P1733" s="503">
        <f t="shared" ref="P1733:P1736" si="134">IF(B1733=0,0,IF(YEAR(B1733)=$Q$1,MONTH(B1733)-$P$1+1,(YEAR(B1733)-$Q$1)*12-$P$1+1+MONTH(B1733)))</f>
        <v>12</v>
      </c>
      <c r="Q1733" s="503">
        <f t="shared" ref="Q1733:Q1736" si="135">IF(C1733=0,0,IF(YEAR(C1733)=$Q$1,MONTH(C1733)-$P$1+1,(YEAR(C1733)-$Q$1)*12-$P$1+1+MONTH(C1733)))</f>
        <v>10</v>
      </c>
      <c r="R1733" s="504" t="str">
        <f t="shared" ref="R1733:R1736" si="136">SUBSTITUTE(D1733," ","_")</f>
        <v>Gastos_custeados_por_captação</v>
      </c>
      <c r="S1733" s="504" t="str">
        <f>IF(D1733="","",IF(OR(D1733=Plano!$A$1,D1733=Plano!$B$1),"entrada","saída"))</f>
        <v>saída</v>
      </c>
      <c r="T1733" s="511" t="s">
        <v>114</v>
      </c>
      <c r="U1733" s="511" t="s">
        <v>114</v>
      </c>
      <c r="V1733" s="541"/>
    </row>
    <row r="1734" spans="1:22" s="573" customFormat="1" ht="50.1" customHeight="1" x14ac:dyDescent="0.2">
      <c r="A1734" s="619">
        <f>IF(B1734="","",COUNT('Diário 5º PA'!$A$5:$A$2634)+COUNT('Diário 6º PA'!$A$5:$A$2246)+COUNT('Diário 7º PA'!$A$5:$A$2271)+ROW()-4)</f>
        <v>5680</v>
      </c>
      <c r="B1734" s="620">
        <v>44550</v>
      </c>
      <c r="C1734" s="624">
        <v>44470</v>
      </c>
      <c r="D1734" s="548" t="s">
        <v>104</v>
      </c>
      <c r="E1734" s="548" t="s">
        <v>104</v>
      </c>
      <c r="F1734" s="622">
        <v>775</v>
      </c>
      <c r="G1734" s="623" t="s">
        <v>7421</v>
      </c>
      <c r="H1734" s="548" t="s">
        <v>104</v>
      </c>
      <c r="I1734" s="583" t="s">
        <v>983</v>
      </c>
      <c r="J1734" s="548" t="s">
        <v>850</v>
      </c>
      <c r="K1734" s="583" t="s">
        <v>946</v>
      </c>
      <c r="L1734" s="583" t="s">
        <v>947</v>
      </c>
      <c r="M1734" s="625" t="s">
        <v>114</v>
      </c>
      <c r="N1734" s="620">
        <v>44550</v>
      </c>
      <c r="O1734" s="684" t="s">
        <v>5370</v>
      </c>
      <c r="P1734" s="503">
        <f t="shared" si="134"/>
        <v>12</v>
      </c>
      <c r="Q1734" s="503">
        <f t="shared" si="135"/>
        <v>10</v>
      </c>
      <c r="R1734" s="504" t="str">
        <f t="shared" si="136"/>
        <v>Gastos_custeados_por_captação</v>
      </c>
      <c r="S1734" s="504" t="str">
        <f>IF(D1734="","",IF(OR(D1734=Plano!$A$1,D1734=Plano!$B$1),"entrada","saída"))</f>
        <v>saída</v>
      </c>
      <c r="T1734" s="511" t="s">
        <v>114</v>
      </c>
      <c r="U1734" s="511" t="s">
        <v>114</v>
      </c>
      <c r="V1734" s="541"/>
    </row>
    <row r="1735" spans="1:22" s="573" customFormat="1" ht="50.1" customHeight="1" x14ac:dyDescent="0.2">
      <c r="A1735" s="619">
        <f>IF(B1735="","",COUNT('Diário 5º PA'!$A$5:$A$2634)+COUNT('Diário 6º PA'!$A$5:$A$2246)+COUNT('Diário 7º PA'!$A$5:$A$2271)+ROW()-4)</f>
        <v>5681</v>
      </c>
      <c r="B1735" s="620">
        <v>44550</v>
      </c>
      <c r="C1735" s="624">
        <v>44470</v>
      </c>
      <c r="D1735" s="548" t="s">
        <v>104</v>
      </c>
      <c r="E1735" s="548" t="s">
        <v>104</v>
      </c>
      <c r="F1735" s="622">
        <v>775</v>
      </c>
      <c r="G1735" s="623" t="s">
        <v>7420</v>
      </c>
      <c r="H1735" s="548" t="s">
        <v>104</v>
      </c>
      <c r="I1735" s="583" t="s">
        <v>983</v>
      </c>
      <c r="J1735" s="548" t="s">
        <v>850</v>
      </c>
      <c r="K1735" s="583" t="s">
        <v>946</v>
      </c>
      <c r="L1735" s="583" t="s">
        <v>947</v>
      </c>
      <c r="M1735" s="625" t="s">
        <v>114</v>
      </c>
      <c r="N1735" s="620">
        <v>44550</v>
      </c>
      <c r="O1735" s="684" t="s">
        <v>5370</v>
      </c>
      <c r="P1735" s="503">
        <f t="shared" si="134"/>
        <v>12</v>
      </c>
      <c r="Q1735" s="503">
        <f t="shared" si="135"/>
        <v>10</v>
      </c>
      <c r="R1735" s="504" t="str">
        <f t="shared" si="136"/>
        <v>Gastos_custeados_por_captação</v>
      </c>
      <c r="S1735" s="504" t="str">
        <f>IF(D1735="","",IF(OR(D1735=Plano!$A$1,D1735=Plano!$B$1),"entrada","saída"))</f>
        <v>saída</v>
      </c>
      <c r="T1735" s="511" t="s">
        <v>114</v>
      </c>
      <c r="U1735" s="511" t="s">
        <v>114</v>
      </c>
      <c r="V1735" s="541"/>
    </row>
    <row r="1736" spans="1:22" s="573" customFormat="1" ht="50.1" customHeight="1" x14ac:dyDescent="0.2">
      <c r="A1736" s="619">
        <f>IF(B1736="","",COUNT('Diário 5º PA'!$A$5:$A$2634)+COUNT('Diário 6º PA'!$A$5:$A$2246)+COUNT('Diário 7º PA'!$A$5:$A$2271)+ROW()-4)</f>
        <v>5682</v>
      </c>
      <c r="B1736" s="620">
        <v>44550</v>
      </c>
      <c r="C1736" s="624">
        <v>44470</v>
      </c>
      <c r="D1736" s="548" t="s">
        <v>104</v>
      </c>
      <c r="E1736" s="548" t="s">
        <v>104</v>
      </c>
      <c r="F1736" s="622">
        <v>186</v>
      </c>
      <c r="G1736" s="623" t="s">
        <v>7236</v>
      </c>
      <c r="H1736" s="548" t="s">
        <v>104</v>
      </c>
      <c r="I1736" s="583" t="s">
        <v>488</v>
      </c>
      <c r="J1736" s="548" t="s">
        <v>114</v>
      </c>
      <c r="K1736" s="583" t="s">
        <v>466</v>
      </c>
      <c r="L1736" s="583" t="s">
        <v>489</v>
      </c>
      <c r="M1736" s="625" t="s">
        <v>114</v>
      </c>
      <c r="N1736" s="620">
        <v>44550</v>
      </c>
      <c r="O1736" s="684" t="s">
        <v>5370</v>
      </c>
      <c r="P1736" s="503">
        <f t="shared" si="134"/>
        <v>12</v>
      </c>
      <c r="Q1736" s="503">
        <f t="shared" si="135"/>
        <v>10</v>
      </c>
      <c r="R1736" s="504" t="str">
        <f t="shared" si="136"/>
        <v>Gastos_custeados_por_captação</v>
      </c>
      <c r="S1736" s="504" t="str">
        <f>IF(D1736="","",IF(OR(D1736=Plano!$A$1,D1736=Plano!$B$1),"entrada","saída"))</f>
        <v>saída</v>
      </c>
      <c r="T1736" s="511" t="s">
        <v>114</v>
      </c>
      <c r="U1736" s="511" t="s">
        <v>114</v>
      </c>
      <c r="V1736" s="541"/>
    </row>
    <row r="1737" spans="1:22" s="573" customFormat="1" ht="50.1" customHeight="1" x14ac:dyDescent="0.2">
      <c r="A1737" s="619">
        <f>IF(B1737="","",COUNT('Diário 5º PA'!$A$5:$A$2634)+COUNT('Diário 6º PA'!$A$5:$A$2246)+COUNT('Diário 7º PA'!$A$5:$A$2271)+ROW()-4)</f>
        <v>5683</v>
      </c>
      <c r="B1737" s="620">
        <v>44550</v>
      </c>
      <c r="C1737" s="624">
        <v>44470</v>
      </c>
      <c r="D1737" s="548" t="s">
        <v>104</v>
      </c>
      <c r="E1737" s="548" t="s">
        <v>104</v>
      </c>
      <c r="F1737" s="622">
        <v>60</v>
      </c>
      <c r="G1737" s="623" t="s">
        <v>7237</v>
      </c>
      <c r="H1737" s="548" t="s">
        <v>104</v>
      </c>
      <c r="I1737" s="583" t="s">
        <v>488</v>
      </c>
      <c r="J1737" s="548" t="s">
        <v>114</v>
      </c>
      <c r="K1737" s="583" t="s">
        <v>466</v>
      </c>
      <c r="L1737" s="583" t="s">
        <v>489</v>
      </c>
      <c r="M1737" s="625" t="s">
        <v>114</v>
      </c>
      <c r="N1737" s="620">
        <v>44550</v>
      </c>
      <c r="O1737" s="684" t="s">
        <v>5370</v>
      </c>
      <c r="P1737" s="503">
        <f t="shared" ref="P1737:P1740" si="137">IF(B1737=0,0,IF(YEAR(B1737)=$Q$1,MONTH(B1737)-$P$1+1,(YEAR(B1737)-$Q$1)*12-$P$1+1+MONTH(B1737)))</f>
        <v>12</v>
      </c>
      <c r="Q1737" s="503">
        <f t="shared" ref="Q1737:Q1740" si="138">IF(C1737=0,0,IF(YEAR(C1737)=$Q$1,MONTH(C1737)-$P$1+1,(YEAR(C1737)-$Q$1)*12-$P$1+1+MONTH(C1737)))</f>
        <v>10</v>
      </c>
      <c r="R1737" s="504" t="str">
        <f t="shared" ref="R1737:R1740" si="139">SUBSTITUTE(D1737," ","_")</f>
        <v>Gastos_custeados_por_captação</v>
      </c>
      <c r="S1737" s="504" t="str">
        <f>IF(D1737="","",IF(OR(D1737=Plano!$A$1,D1737=Plano!$B$1),"entrada","saída"))</f>
        <v>saída</v>
      </c>
      <c r="T1737" s="511" t="s">
        <v>114</v>
      </c>
      <c r="U1737" s="511" t="s">
        <v>114</v>
      </c>
      <c r="V1737" s="541"/>
    </row>
    <row r="1738" spans="1:22" s="573" customFormat="1" ht="50.1" customHeight="1" x14ac:dyDescent="0.2">
      <c r="A1738" s="619">
        <f>IF(B1738="","",COUNT('Diário 5º PA'!$A$5:$A$2634)+COUNT('Diário 6º PA'!$A$5:$A$2246)+COUNT('Diário 7º PA'!$A$5:$A$2271)+ROW()-4)</f>
        <v>5684</v>
      </c>
      <c r="B1738" s="620">
        <v>44550</v>
      </c>
      <c r="C1738" s="624">
        <v>44470</v>
      </c>
      <c r="D1738" s="548" t="s">
        <v>104</v>
      </c>
      <c r="E1738" s="548" t="s">
        <v>104</v>
      </c>
      <c r="F1738" s="622">
        <v>57.45</v>
      </c>
      <c r="G1738" s="623" t="s">
        <v>7238</v>
      </c>
      <c r="H1738" s="548" t="s">
        <v>104</v>
      </c>
      <c r="I1738" s="583" t="s">
        <v>488</v>
      </c>
      <c r="J1738" s="548" t="s">
        <v>114</v>
      </c>
      <c r="K1738" s="583" t="s">
        <v>466</v>
      </c>
      <c r="L1738" s="583" t="s">
        <v>489</v>
      </c>
      <c r="M1738" s="625" t="s">
        <v>114</v>
      </c>
      <c r="N1738" s="620">
        <v>44550</v>
      </c>
      <c r="O1738" s="684" t="s">
        <v>5370</v>
      </c>
      <c r="P1738" s="503">
        <f t="shared" si="137"/>
        <v>12</v>
      </c>
      <c r="Q1738" s="503">
        <f t="shared" si="138"/>
        <v>10</v>
      </c>
      <c r="R1738" s="504" t="str">
        <f t="shared" si="139"/>
        <v>Gastos_custeados_por_captação</v>
      </c>
      <c r="S1738" s="504" t="str">
        <f>IF(D1738="","",IF(OR(D1738=Plano!$A$1,D1738=Plano!$B$1),"entrada","saída"))</f>
        <v>saída</v>
      </c>
      <c r="T1738" s="511" t="s">
        <v>114</v>
      </c>
      <c r="U1738" s="511" t="s">
        <v>114</v>
      </c>
      <c r="V1738" s="541"/>
    </row>
    <row r="1739" spans="1:22" s="573" customFormat="1" ht="50.1" customHeight="1" x14ac:dyDescent="0.2">
      <c r="A1739" s="619">
        <f>IF(B1739="","",COUNT('Diário 5º PA'!$A$5:$A$2634)+COUNT('Diário 6º PA'!$A$5:$A$2246)+COUNT('Diário 7º PA'!$A$5:$A$2271)+ROW()-4)</f>
        <v>5685</v>
      </c>
      <c r="B1739" s="620">
        <v>44550</v>
      </c>
      <c r="C1739" s="624">
        <v>44470</v>
      </c>
      <c r="D1739" s="548" t="s">
        <v>104</v>
      </c>
      <c r="E1739" s="548" t="s">
        <v>104</v>
      </c>
      <c r="F1739" s="622">
        <v>24.08</v>
      </c>
      <c r="G1739" s="623" t="s">
        <v>7239</v>
      </c>
      <c r="H1739" s="548" t="s">
        <v>104</v>
      </c>
      <c r="I1739" s="583" t="s">
        <v>488</v>
      </c>
      <c r="J1739" s="548" t="s">
        <v>114</v>
      </c>
      <c r="K1739" s="583" t="s">
        <v>466</v>
      </c>
      <c r="L1739" s="583" t="s">
        <v>489</v>
      </c>
      <c r="M1739" s="625" t="s">
        <v>114</v>
      </c>
      <c r="N1739" s="620">
        <v>44550</v>
      </c>
      <c r="O1739" s="684" t="s">
        <v>5370</v>
      </c>
      <c r="P1739" s="503">
        <f t="shared" si="137"/>
        <v>12</v>
      </c>
      <c r="Q1739" s="503">
        <f t="shared" si="138"/>
        <v>10</v>
      </c>
      <c r="R1739" s="504" t="str">
        <f t="shared" si="139"/>
        <v>Gastos_custeados_por_captação</v>
      </c>
      <c r="S1739" s="504" t="str">
        <f>IF(D1739="","",IF(OR(D1739=Plano!$A$1,D1739=Plano!$B$1),"entrada","saída"))</f>
        <v>saída</v>
      </c>
      <c r="T1739" s="511" t="s">
        <v>114</v>
      </c>
      <c r="U1739" s="511" t="s">
        <v>114</v>
      </c>
      <c r="V1739" s="541"/>
    </row>
    <row r="1740" spans="1:22" s="573" customFormat="1" ht="50.1" customHeight="1" x14ac:dyDescent="0.2">
      <c r="A1740" s="619">
        <f>IF(B1740="","",COUNT('Diário 5º PA'!$A$5:$A$2634)+COUNT('Diário 6º PA'!$A$5:$A$2246)+COUNT('Diário 7º PA'!$A$5:$A$2271)+ROW()-4)</f>
        <v>5686</v>
      </c>
      <c r="B1740" s="620">
        <v>44550</v>
      </c>
      <c r="C1740" s="624">
        <v>44470</v>
      </c>
      <c r="D1740" s="548" t="s">
        <v>104</v>
      </c>
      <c r="E1740" s="548" t="s">
        <v>104</v>
      </c>
      <c r="F1740" s="622">
        <v>24.08</v>
      </c>
      <c r="G1740" s="623" t="s">
        <v>7240</v>
      </c>
      <c r="H1740" s="548" t="s">
        <v>104</v>
      </c>
      <c r="I1740" s="583" t="s">
        <v>488</v>
      </c>
      <c r="J1740" s="548" t="s">
        <v>114</v>
      </c>
      <c r="K1740" s="583" t="s">
        <v>466</v>
      </c>
      <c r="L1740" s="583" t="s">
        <v>489</v>
      </c>
      <c r="M1740" s="625" t="s">
        <v>114</v>
      </c>
      <c r="N1740" s="620">
        <v>44550</v>
      </c>
      <c r="O1740" s="684" t="s">
        <v>5370</v>
      </c>
      <c r="P1740" s="503">
        <f t="shared" si="137"/>
        <v>12</v>
      </c>
      <c r="Q1740" s="503">
        <f t="shared" si="138"/>
        <v>10</v>
      </c>
      <c r="R1740" s="504" t="str">
        <f t="shared" si="139"/>
        <v>Gastos_custeados_por_captação</v>
      </c>
      <c r="S1740" s="504" t="str">
        <f>IF(D1740="","",IF(OR(D1740=Plano!$A$1,D1740=Plano!$B$1),"entrada","saída"))</f>
        <v>saída</v>
      </c>
      <c r="T1740" s="511" t="s">
        <v>114</v>
      </c>
      <c r="U1740" s="511" t="s">
        <v>114</v>
      </c>
      <c r="V1740" s="541"/>
    </row>
    <row r="1741" spans="1:22" s="538" customFormat="1" ht="50.1" customHeight="1" x14ac:dyDescent="0.2">
      <c r="A1741" s="619">
        <f>IF(B1741="","",COUNT('Diário 5º PA'!$A$5:$A$2634)+COUNT('Diário 6º PA'!$A$5:$A$2246)+COUNT('Diário 7º PA'!$A$5:$A$2271)+ROW()-4)</f>
        <v>5687</v>
      </c>
      <c r="B1741" s="620">
        <v>44550</v>
      </c>
      <c r="C1741" s="621">
        <v>44501</v>
      </c>
      <c r="D1741" s="548" t="s">
        <v>99</v>
      </c>
      <c r="E1741" s="548" t="s">
        <v>330</v>
      </c>
      <c r="F1741" s="622">
        <v>-2325</v>
      </c>
      <c r="G1741" s="623" t="s">
        <v>6775</v>
      </c>
      <c r="H1741" s="548" t="s">
        <v>114</v>
      </c>
      <c r="I1741" s="583" t="s">
        <v>983</v>
      </c>
      <c r="J1741" s="548" t="s">
        <v>850</v>
      </c>
      <c r="K1741" s="583" t="s">
        <v>946</v>
      </c>
      <c r="L1741" s="583" t="s">
        <v>947</v>
      </c>
      <c r="M1741" s="619" t="s">
        <v>114</v>
      </c>
      <c r="N1741" s="620">
        <v>44550</v>
      </c>
      <c r="O1741" s="684" t="s">
        <v>67</v>
      </c>
      <c r="P1741" s="503">
        <f t="shared" si="128"/>
        <v>12</v>
      </c>
      <c r="Q1741" s="503">
        <f t="shared" si="129"/>
        <v>11</v>
      </c>
      <c r="R1741" s="504" t="str">
        <f t="shared" si="130"/>
        <v>Gastos_Gerais</v>
      </c>
      <c r="S1741" s="504" t="str">
        <f>IF(D1741="","",IF(OR(D1741=Plano!$A$1,D1741=Plano!$B$1),"entrada","saída"))</f>
        <v>saída</v>
      </c>
      <c r="T1741" s="511" t="s">
        <v>114</v>
      </c>
      <c r="U1741" s="511" t="s">
        <v>114</v>
      </c>
      <c r="V1741" s="541"/>
    </row>
    <row r="1742" spans="1:22" ht="50.1" customHeight="1" x14ac:dyDescent="0.2">
      <c r="A1742" s="619">
        <f>IF(B1742="","",COUNT('Diário 5º PA'!$A$5:$A$2634)+COUNT('Diário 6º PA'!$A$5:$A$2246)+COUNT('Diário 7º PA'!$A$5:$A$2271)+ROW()-4)</f>
        <v>5688</v>
      </c>
      <c r="B1742" s="620">
        <v>44550</v>
      </c>
      <c r="C1742" s="621">
        <v>44501</v>
      </c>
      <c r="D1742" s="548" t="s">
        <v>99</v>
      </c>
      <c r="E1742" s="548" t="s">
        <v>330</v>
      </c>
      <c r="F1742" s="622">
        <v>-1395</v>
      </c>
      <c r="G1742" s="623" t="s">
        <v>6776</v>
      </c>
      <c r="H1742" s="548" t="s">
        <v>114</v>
      </c>
      <c r="I1742" s="583" t="s">
        <v>983</v>
      </c>
      <c r="J1742" s="548" t="s">
        <v>850</v>
      </c>
      <c r="K1742" s="583" t="s">
        <v>946</v>
      </c>
      <c r="L1742" s="583" t="s">
        <v>947</v>
      </c>
      <c r="M1742" s="619" t="s">
        <v>114</v>
      </c>
      <c r="N1742" s="620">
        <v>44550</v>
      </c>
      <c r="O1742" s="684" t="s">
        <v>67</v>
      </c>
      <c r="P1742" s="503">
        <f t="shared" si="128"/>
        <v>12</v>
      </c>
      <c r="Q1742" s="503">
        <f t="shared" si="129"/>
        <v>11</v>
      </c>
      <c r="R1742" s="504" t="str">
        <f t="shared" si="130"/>
        <v>Gastos_Gerais</v>
      </c>
      <c r="S1742" s="504" t="str">
        <f>IF(D1742="","",IF(OR(D1742=Plano!$A$1,D1742=Plano!$B$1),"entrada","saída"))</f>
        <v>saída</v>
      </c>
      <c r="T1742" s="511" t="s">
        <v>114</v>
      </c>
      <c r="U1742" s="511" t="s">
        <v>114</v>
      </c>
      <c r="V1742" s="541"/>
    </row>
    <row r="1743" spans="1:22" ht="50.1" customHeight="1" x14ac:dyDescent="0.2">
      <c r="A1743" s="619">
        <f>IF(B1743="","",COUNT('Diário 5º PA'!$A$5:$A$2634)+COUNT('Diário 6º PA'!$A$5:$A$2246)+COUNT('Diário 7º PA'!$A$5:$A$2271)+ROW()-4)</f>
        <v>5689</v>
      </c>
      <c r="B1743" s="620">
        <v>44550</v>
      </c>
      <c r="C1743" s="621">
        <v>44501</v>
      </c>
      <c r="D1743" s="548" t="s">
        <v>99</v>
      </c>
      <c r="E1743" s="548" t="s">
        <v>330</v>
      </c>
      <c r="F1743" s="622">
        <v>-775</v>
      </c>
      <c r="G1743" s="623" t="s">
        <v>6777</v>
      </c>
      <c r="H1743" s="548" t="s">
        <v>114</v>
      </c>
      <c r="I1743" s="583" t="s">
        <v>983</v>
      </c>
      <c r="J1743" s="548" t="s">
        <v>850</v>
      </c>
      <c r="K1743" s="583" t="s">
        <v>946</v>
      </c>
      <c r="L1743" s="583" t="s">
        <v>947</v>
      </c>
      <c r="M1743" s="619" t="s">
        <v>114</v>
      </c>
      <c r="N1743" s="620">
        <v>44550</v>
      </c>
      <c r="O1743" s="684" t="s">
        <v>67</v>
      </c>
      <c r="P1743" s="503">
        <f t="shared" si="128"/>
        <v>12</v>
      </c>
      <c r="Q1743" s="503">
        <f t="shared" si="129"/>
        <v>11</v>
      </c>
      <c r="R1743" s="504" t="str">
        <f t="shared" si="130"/>
        <v>Gastos_Gerais</v>
      </c>
      <c r="S1743" s="504" t="str">
        <f>IF(D1743="","",IF(OR(D1743=Plano!$A$1,D1743=Plano!$B$1),"entrada","saída"))</f>
        <v>saída</v>
      </c>
      <c r="T1743" s="511" t="s">
        <v>114</v>
      </c>
      <c r="U1743" s="511" t="s">
        <v>114</v>
      </c>
      <c r="V1743" s="541"/>
    </row>
    <row r="1744" spans="1:22" ht="50.1" customHeight="1" x14ac:dyDescent="0.2">
      <c r="A1744" s="619">
        <f>IF(B1744="","",COUNT('Diário 5º PA'!$A$5:$A$2634)+COUNT('Diário 6º PA'!$A$5:$A$2246)+COUNT('Diário 7º PA'!$A$5:$A$2271)+ROW()-4)</f>
        <v>5690</v>
      </c>
      <c r="B1744" s="620">
        <v>44550</v>
      </c>
      <c r="C1744" s="621">
        <v>44501</v>
      </c>
      <c r="D1744" s="548" t="s">
        <v>99</v>
      </c>
      <c r="E1744" s="548" t="s">
        <v>330</v>
      </c>
      <c r="F1744" s="622">
        <v>-4076.5</v>
      </c>
      <c r="G1744" s="623" t="s">
        <v>6778</v>
      </c>
      <c r="H1744" s="548" t="s">
        <v>114</v>
      </c>
      <c r="I1744" s="583" t="s">
        <v>983</v>
      </c>
      <c r="J1744" s="548" t="s">
        <v>850</v>
      </c>
      <c r="K1744" s="583" t="s">
        <v>946</v>
      </c>
      <c r="L1744" s="583" t="s">
        <v>947</v>
      </c>
      <c r="M1744" s="619" t="s">
        <v>114</v>
      </c>
      <c r="N1744" s="620">
        <v>44550</v>
      </c>
      <c r="O1744" s="684" t="s">
        <v>67</v>
      </c>
      <c r="P1744" s="503">
        <f t="shared" si="128"/>
        <v>12</v>
      </c>
      <c r="Q1744" s="503">
        <f t="shared" si="129"/>
        <v>11</v>
      </c>
      <c r="R1744" s="504" t="str">
        <f t="shared" si="130"/>
        <v>Gastos_Gerais</v>
      </c>
      <c r="S1744" s="504" t="str">
        <f>IF(D1744="","",IF(OR(D1744=Plano!$A$1,D1744=Plano!$B$1),"entrada","saída"))</f>
        <v>saída</v>
      </c>
      <c r="T1744" s="511" t="s">
        <v>114</v>
      </c>
      <c r="U1744" s="511" t="s">
        <v>114</v>
      </c>
      <c r="V1744" s="541"/>
    </row>
    <row r="1745" spans="1:22" s="538" customFormat="1" ht="50.1" customHeight="1" x14ac:dyDescent="0.2">
      <c r="A1745" s="619">
        <f>IF(B1745="","",COUNT('Diário 5º PA'!$A$5:$A$2634)+COUNT('Diário 6º PA'!$A$5:$A$2246)+COUNT('Diário 7º PA'!$A$5:$A$2271)+ROW()-4)</f>
        <v>5691</v>
      </c>
      <c r="B1745" s="620">
        <v>44550</v>
      </c>
      <c r="C1745" s="621">
        <v>44501</v>
      </c>
      <c r="D1745" s="548" t="s">
        <v>99</v>
      </c>
      <c r="E1745" s="548" t="s">
        <v>330</v>
      </c>
      <c r="F1745" s="622">
        <v>-5913.69</v>
      </c>
      <c r="G1745" s="623" t="s">
        <v>6779</v>
      </c>
      <c r="H1745" s="548" t="s">
        <v>114</v>
      </c>
      <c r="I1745" s="583" t="s">
        <v>983</v>
      </c>
      <c r="J1745" s="548" t="s">
        <v>850</v>
      </c>
      <c r="K1745" s="583" t="s">
        <v>946</v>
      </c>
      <c r="L1745" s="583" t="s">
        <v>947</v>
      </c>
      <c r="M1745" s="619" t="s">
        <v>114</v>
      </c>
      <c r="N1745" s="620">
        <v>44550</v>
      </c>
      <c r="O1745" s="684" t="s">
        <v>67</v>
      </c>
      <c r="P1745" s="503">
        <f t="shared" si="128"/>
        <v>12</v>
      </c>
      <c r="Q1745" s="503">
        <f t="shared" si="129"/>
        <v>11</v>
      </c>
      <c r="R1745" s="504" t="str">
        <f t="shared" si="130"/>
        <v>Gastos_Gerais</v>
      </c>
      <c r="S1745" s="504" t="str">
        <f>IF(D1745="","",IF(OR(D1745=Plano!$A$1,D1745=Plano!$B$1),"entrada","saída"))</f>
        <v>saída</v>
      </c>
      <c r="T1745" s="511" t="s">
        <v>114</v>
      </c>
      <c r="U1745" s="511" t="s">
        <v>114</v>
      </c>
      <c r="V1745" s="541"/>
    </row>
    <row r="1746" spans="1:22" ht="50.1" customHeight="1" x14ac:dyDescent="0.2">
      <c r="A1746" s="619">
        <f>IF(B1746="","",COUNT('Diário 5º PA'!$A$5:$A$2634)+COUNT('Diário 6º PA'!$A$5:$A$2246)+COUNT('Diário 7º PA'!$A$5:$A$2271)+ROW()-4)</f>
        <v>5692</v>
      </c>
      <c r="B1746" s="620">
        <v>44550</v>
      </c>
      <c r="C1746" s="624">
        <v>44531</v>
      </c>
      <c r="D1746" s="548" t="s">
        <v>88</v>
      </c>
      <c r="E1746" s="548" t="s">
        <v>175</v>
      </c>
      <c r="F1746" s="622">
        <v>-7686.92</v>
      </c>
      <c r="G1746" s="623" t="s">
        <v>6862</v>
      </c>
      <c r="H1746" s="548" t="s">
        <v>114</v>
      </c>
      <c r="I1746" s="583" t="s">
        <v>983</v>
      </c>
      <c r="J1746" s="548" t="s">
        <v>850</v>
      </c>
      <c r="K1746" s="583" t="s">
        <v>946</v>
      </c>
      <c r="L1746" s="583" t="s">
        <v>947</v>
      </c>
      <c r="M1746" s="619" t="s">
        <v>114</v>
      </c>
      <c r="N1746" s="620">
        <v>44550</v>
      </c>
      <c r="O1746" s="684" t="s">
        <v>67</v>
      </c>
      <c r="P1746" s="503">
        <f t="shared" si="128"/>
        <v>12</v>
      </c>
      <c r="Q1746" s="503">
        <f t="shared" si="129"/>
        <v>12</v>
      </c>
      <c r="R1746" s="504" t="str">
        <f t="shared" si="130"/>
        <v>Gastos_com_Pessoal</v>
      </c>
      <c r="S1746" s="504" t="str">
        <f>IF(D1746="","",IF(OR(D1746=Plano!$A$1,D1746=Plano!$B$1),"entrada","saída"))</f>
        <v>saída</v>
      </c>
      <c r="T1746" s="511" t="s">
        <v>114</v>
      </c>
      <c r="U1746" s="511" t="s">
        <v>114</v>
      </c>
      <c r="V1746" s="541"/>
    </row>
    <row r="1747" spans="1:22" s="538" customFormat="1" ht="50.1" customHeight="1" x14ac:dyDescent="0.2">
      <c r="A1747" s="619">
        <f>IF(B1747="","",COUNT('Diário 5º PA'!$A$5:$A$2634)+COUNT('Diário 6º PA'!$A$5:$A$2246)+COUNT('Diário 7º PA'!$A$5:$A$2271)+ROW()-4)</f>
        <v>5693</v>
      </c>
      <c r="B1747" s="620">
        <v>44550</v>
      </c>
      <c r="C1747" s="621">
        <v>44501</v>
      </c>
      <c r="D1747" s="548" t="s">
        <v>99</v>
      </c>
      <c r="E1747" s="548" t="s">
        <v>224</v>
      </c>
      <c r="F1747" s="622">
        <v>-93.22</v>
      </c>
      <c r="G1747" s="623" t="s">
        <v>6780</v>
      </c>
      <c r="H1747" s="548" t="s">
        <v>115</v>
      </c>
      <c r="I1747" s="583" t="s">
        <v>983</v>
      </c>
      <c r="J1747" s="548" t="s">
        <v>850</v>
      </c>
      <c r="K1747" s="583" t="s">
        <v>946</v>
      </c>
      <c r="L1747" s="583" t="s">
        <v>947</v>
      </c>
      <c r="M1747" s="619" t="s">
        <v>114</v>
      </c>
      <c r="N1747" s="620">
        <v>44550</v>
      </c>
      <c r="O1747" s="684" t="s">
        <v>67</v>
      </c>
      <c r="P1747" s="503">
        <f t="shared" si="128"/>
        <v>12</v>
      </c>
      <c r="Q1747" s="503">
        <f t="shared" si="129"/>
        <v>11</v>
      </c>
      <c r="R1747" s="504" t="str">
        <f t="shared" si="130"/>
        <v>Gastos_Gerais</v>
      </c>
      <c r="S1747" s="504" t="str">
        <f>IF(D1747="","",IF(OR(D1747=Plano!$A$1,D1747=Plano!$B$1),"entrada","saída"))</f>
        <v>saída</v>
      </c>
      <c r="T1747" s="505" t="s">
        <v>114</v>
      </c>
      <c r="U1747" s="505" t="s">
        <v>114</v>
      </c>
      <c r="V1747" s="541"/>
    </row>
    <row r="1748" spans="1:22" ht="50.1" customHeight="1" x14ac:dyDescent="0.2">
      <c r="A1748" s="619">
        <f>IF(B1748="","",COUNT('Diário 5º PA'!$A$5:$A$2634)+COUNT('Diário 6º PA'!$A$5:$A$2246)+COUNT('Diário 7º PA'!$A$5:$A$2271)+ROW()-4)</f>
        <v>5694</v>
      </c>
      <c r="B1748" s="620">
        <v>44550</v>
      </c>
      <c r="C1748" s="621">
        <v>44501</v>
      </c>
      <c r="D1748" s="548" t="s">
        <v>99</v>
      </c>
      <c r="E1748" s="548" t="s">
        <v>330</v>
      </c>
      <c r="F1748" s="622">
        <v>-2027.4</v>
      </c>
      <c r="G1748" s="623" t="s">
        <v>6781</v>
      </c>
      <c r="H1748" s="548" t="s">
        <v>114</v>
      </c>
      <c r="I1748" s="583" t="s">
        <v>983</v>
      </c>
      <c r="J1748" s="548" t="s">
        <v>850</v>
      </c>
      <c r="K1748" s="583" t="s">
        <v>946</v>
      </c>
      <c r="L1748" s="583" t="s">
        <v>947</v>
      </c>
      <c r="M1748" s="619" t="s">
        <v>114</v>
      </c>
      <c r="N1748" s="620">
        <v>44550</v>
      </c>
      <c r="O1748" s="684" t="s">
        <v>67</v>
      </c>
      <c r="P1748" s="503">
        <f t="shared" si="128"/>
        <v>12</v>
      </c>
      <c r="Q1748" s="503">
        <f t="shared" si="129"/>
        <v>11</v>
      </c>
      <c r="R1748" s="504" t="str">
        <f t="shared" si="130"/>
        <v>Gastos_Gerais</v>
      </c>
      <c r="S1748" s="504" t="str">
        <f>IF(D1748="","",IF(OR(D1748=Plano!$A$1,D1748=Plano!$B$1),"entrada","saída"))</f>
        <v>saída</v>
      </c>
      <c r="T1748" s="511" t="s">
        <v>114</v>
      </c>
      <c r="U1748" s="511" t="s">
        <v>114</v>
      </c>
      <c r="V1748" s="541"/>
    </row>
    <row r="1749" spans="1:22" s="538" customFormat="1" ht="50.1" customHeight="1" x14ac:dyDescent="0.2">
      <c r="A1749" s="619">
        <f>IF(B1749="","",COUNT('Diário 5º PA'!$A$5:$A$2634)+COUNT('Diário 6º PA'!$A$5:$A$2246)+COUNT('Diário 7º PA'!$A$5:$A$2271)+ROW()-4)</f>
        <v>5695</v>
      </c>
      <c r="B1749" s="620">
        <v>44550</v>
      </c>
      <c r="C1749" s="621">
        <v>44501</v>
      </c>
      <c r="D1749" s="548" t="s">
        <v>99</v>
      </c>
      <c r="E1749" s="548" t="s">
        <v>330</v>
      </c>
      <c r="F1749" s="622">
        <v>-10874.52</v>
      </c>
      <c r="G1749" s="623" t="s">
        <v>6844</v>
      </c>
      <c r="H1749" s="548" t="s">
        <v>114</v>
      </c>
      <c r="I1749" s="583" t="s">
        <v>983</v>
      </c>
      <c r="J1749" s="548" t="s">
        <v>850</v>
      </c>
      <c r="K1749" s="583" t="s">
        <v>946</v>
      </c>
      <c r="L1749" s="583" t="s">
        <v>947</v>
      </c>
      <c r="M1749" s="619" t="s">
        <v>114</v>
      </c>
      <c r="N1749" s="620">
        <v>44550</v>
      </c>
      <c r="O1749" s="684" t="s">
        <v>67</v>
      </c>
      <c r="P1749" s="503">
        <f t="shared" si="128"/>
        <v>12</v>
      </c>
      <c r="Q1749" s="503">
        <f t="shared" si="129"/>
        <v>11</v>
      </c>
      <c r="R1749" s="504" t="str">
        <f t="shared" si="130"/>
        <v>Gastos_Gerais</v>
      </c>
      <c r="S1749" s="504" t="str">
        <f>IF(D1749="","",IF(OR(D1749=Plano!$A$1,D1749=Plano!$B$1),"entrada","saída"))</f>
        <v>saída</v>
      </c>
      <c r="T1749" s="511" t="s">
        <v>114</v>
      </c>
      <c r="U1749" s="511" t="s">
        <v>114</v>
      </c>
      <c r="V1749" s="541"/>
    </row>
    <row r="1750" spans="1:22" s="538" customFormat="1" ht="50.1" customHeight="1" x14ac:dyDescent="0.2">
      <c r="A1750" s="619">
        <f>IF(B1750="","",COUNT('Diário 5º PA'!$A$5:$A$2634)+COUNT('Diário 6º PA'!$A$5:$A$2246)+COUNT('Diário 7º PA'!$A$5:$A$2271)+ROW()-4)</f>
        <v>5696</v>
      </c>
      <c r="B1750" s="620">
        <v>44550</v>
      </c>
      <c r="C1750" s="621">
        <v>44501</v>
      </c>
      <c r="D1750" s="548" t="s">
        <v>99</v>
      </c>
      <c r="E1750" s="548" t="s">
        <v>330</v>
      </c>
      <c r="F1750" s="622">
        <v>-5205.2</v>
      </c>
      <c r="G1750" s="623" t="s">
        <v>6782</v>
      </c>
      <c r="H1750" s="548" t="s">
        <v>114</v>
      </c>
      <c r="I1750" s="583" t="s">
        <v>983</v>
      </c>
      <c r="J1750" s="548" t="s">
        <v>850</v>
      </c>
      <c r="K1750" s="583" t="s">
        <v>946</v>
      </c>
      <c r="L1750" s="583" t="s">
        <v>947</v>
      </c>
      <c r="M1750" s="619" t="s">
        <v>114</v>
      </c>
      <c r="N1750" s="620">
        <v>44550</v>
      </c>
      <c r="O1750" s="684" t="s">
        <v>67</v>
      </c>
      <c r="P1750" s="503">
        <f t="shared" si="128"/>
        <v>12</v>
      </c>
      <c r="Q1750" s="503">
        <f t="shared" si="129"/>
        <v>11</v>
      </c>
      <c r="R1750" s="504" t="str">
        <f t="shared" si="130"/>
        <v>Gastos_Gerais</v>
      </c>
      <c r="S1750" s="504" t="str">
        <f>IF(D1750="","",IF(OR(D1750=Plano!$A$1,D1750=Plano!$B$1),"entrada","saída"))</f>
        <v>saída</v>
      </c>
      <c r="T1750" s="511" t="s">
        <v>114</v>
      </c>
      <c r="U1750" s="511" t="s">
        <v>114</v>
      </c>
      <c r="V1750" s="541"/>
    </row>
    <row r="1751" spans="1:22" ht="50.1" customHeight="1" x14ac:dyDescent="0.2">
      <c r="A1751" s="619">
        <f>IF(B1751="","",COUNT('Diário 5º PA'!$A$5:$A$2634)+COUNT('Diário 6º PA'!$A$5:$A$2246)+COUNT('Diário 7º PA'!$A$5:$A$2271)+ROW()-4)</f>
        <v>5697</v>
      </c>
      <c r="B1751" s="620">
        <v>44550</v>
      </c>
      <c r="C1751" s="621">
        <v>44501</v>
      </c>
      <c r="D1751" s="548" t="s">
        <v>99</v>
      </c>
      <c r="E1751" s="548" t="s">
        <v>330</v>
      </c>
      <c r="F1751" s="622">
        <v>-1488</v>
      </c>
      <c r="G1751" s="623" t="s">
        <v>6783</v>
      </c>
      <c r="H1751" s="548" t="s">
        <v>114</v>
      </c>
      <c r="I1751" s="583" t="s">
        <v>983</v>
      </c>
      <c r="J1751" s="548" t="s">
        <v>850</v>
      </c>
      <c r="K1751" s="583" t="s">
        <v>946</v>
      </c>
      <c r="L1751" s="583" t="s">
        <v>947</v>
      </c>
      <c r="M1751" s="619" t="s">
        <v>114</v>
      </c>
      <c r="N1751" s="620">
        <v>44550</v>
      </c>
      <c r="O1751" s="684" t="s">
        <v>67</v>
      </c>
      <c r="P1751" s="503">
        <f t="shared" si="128"/>
        <v>12</v>
      </c>
      <c r="Q1751" s="503">
        <f t="shared" si="129"/>
        <v>11</v>
      </c>
      <c r="R1751" s="504" t="str">
        <f t="shared" si="130"/>
        <v>Gastos_Gerais</v>
      </c>
      <c r="S1751" s="504" t="str">
        <f>IF(D1751="","",IF(OR(D1751=Plano!$A$1,D1751=Plano!$B$1),"entrada","saída"))</f>
        <v>saída</v>
      </c>
      <c r="T1751" s="511" t="s">
        <v>114</v>
      </c>
      <c r="U1751" s="511" t="s">
        <v>114</v>
      </c>
      <c r="V1751" s="541"/>
    </row>
    <row r="1752" spans="1:22" ht="50.1" customHeight="1" x14ac:dyDescent="0.2">
      <c r="A1752" s="619">
        <f>IF(B1752="","",COUNT('Diário 5º PA'!$A$5:$A$2634)+COUNT('Diário 6º PA'!$A$5:$A$2246)+COUNT('Diário 7º PA'!$A$5:$A$2271)+ROW()-4)</f>
        <v>5698</v>
      </c>
      <c r="B1752" s="620">
        <v>44550</v>
      </c>
      <c r="C1752" s="621">
        <v>44501</v>
      </c>
      <c r="D1752" s="548" t="s">
        <v>99</v>
      </c>
      <c r="E1752" s="548" t="s">
        <v>330</v>
      </c>
      <c r="F1752" s="622">
        <v>-2396.3000000000002</v>
      </c>
      <c r="G1752" s="623" t="s">
        <v>6784</v>
      </c>
      <c r="H1752" s="548" t="s">
        <v>114</v>
      </c>
      <c r="I1752" s="583" t="s">
        <v>983</v>
      </c>
      <c r="J1752" s="548" t="s">
        <v>850</v>
      </c>
      <c r="K1752" s="583" t="s">
        <v>946</v>
      </c>
      <c r="L1752" s="583" t="s">
        <v>947</v>
      </c>
      <c r="M1752" s="619" t="s">
        <v>114</v>
      </c>
      <c r="N1752" s="620">
        <v>44550</v>
      </c>
      <c r="O1752" s="684" t="s">
        <v>67</v>
      </c>
      <c r="P1752" s="503">
        <f t="shared" si="128"/>
        <v>12</v>
      </c>
      <c r="Q1752" s="503">
        <f t="shared" si="129"/>
        <v>11</v>
      </c>
      <c r="R1752" s="504" t="str">
        <f t="shared" si="130"/>
        <v>Gastos_Gerais</v>
      </c>
      <c r="S1752" s="504" t="str">
        <f>IF(D1752="","",IF(OR(D1752=Plano!$A$1,D1752=Plano!$B$1),"entrada","saída"))</f>
        <v>saída</v>
      </c>
      <c r="T1752" s="511" t="s">
        <v>114</v>
      </c>
      <c r="U1752" s="511" t="s">
        <v>114</v>
      </c>
      <c r="V1752" s="541"/>
    </row>
    <row r="1753" spans="1:22" ht="50.1" customHeight="1" x14ac:dyDescent="0.2">
      <c r="A1753" s="619">
        <f>IF(B1753="","",COUNT('Diário 5º PA'!$A$5:$A$2634)+COUNT('Diário 6º PA'!$A$5:$A$2246)+COUNT('Diário 7º PA'!$A$5:$A$2271)+ROW()-4)</f>
        <v>5699</v>
      </c>
      <c r="B1753" s="620">
        <v>44550</v>
      </c>
      <c r="C1753" s="621">
        <v>44501</v>
      </c>
      <c r="D1753" s="548" t="s">
        <v>88</v>
      </c>
      <c r="E1753" s="548" t="s">
        <v>175</v>
      </c>
      <c r="F1753" s="622">
        <v>-501</v>
      </c>
      <c r="G1753" s="623" t="s">
        <v>6786</v>
      </c>
      <c r="H1753" s="548" t="s">
        <v>114</v>
      </c>
      <c r="I1753" s="583" t="s">
        <v>983</v>
      </c>
      <c r="J1753" s="548" t="s">
        <v>850</v>
      </c>
      <c r="K1753" s="583" t="s">
        <v>946</v>
      </c>
      <c r="L1753" s="583" t="s">
        <v>947</v>
      </c>
      <c r="M1753" s="619" t="s">
        <v>114</v>
      </c>
      <c r="N1753" s="620">
        <v>44550</v>
      </c>
      <c r="O1753" s="684" t="s">
        <v>67</v>
      </c>
      <c r="P1753" s="503">
        <f t="shared" si="128"/>
        <v>12</v>
      </c>
      <c r="Q1753" s="503">
        <f t="shared" si="129"/>
        <v>11</v>
      </c>
      <c r="R1753" s="504" t="str">
        <f t="shared" si="130"/>
        <v>Gastos_com_Pessoal</v>
      </c>
      <c r="S1753" s="504" t="str">
        <f>IF(D1753="","",IF(OR(D1753=Plano!$A$1,D1753=Plano!$B$1),"entrada","saída"))</f>
        <v>saída</v>
      </c>
      <c r="T1753" s="511" t="s">
        <v>114</v>
      </c>
      <c r="U1753" s="511" t="s">
        <v>114</v>
      </c>
      <c r="V1753" s="541"/>
    </row>
    <row r="1754" spans="1:22" s="538" customFormat="1" ht="50.1" customHeight="1" x14ac:dyDescent="0.2">
      <c r="A1754" s="619">
        <f>IF(B1754="","",COUNT('Diário 5º PA'!$A$5:$A$2634)+COUNT('Diário 6º PA'!$A$5:$A$2246)+COUNT('Diário 7º PA'!$A$5:$A$2271)+ROW()-4)</f>
        <v>5700</v>
      </c>
      <c r="B1754" s="620">
        <v>44550</v>
      </c>
      <c r="C1754" s="624">
        <v>44531</v>
      </c>
      <c r="D1754" s="548" t="s">
        <v>99</v>
      </c>
      <c r="E1754" s="548" t="s">
        <v>330</v>
      </c>
      <c r="F1754" s="622">
        <v>-575.51</v>
      </c>
      <c r="G1754" s="623" t="s">
        <v>6785</v>
      </c>
      <c r="H1754" s="548" t="s">
        <v>114</v>
      </c>
      <c r="I1754" s="583" t="s">
        <v>983</v>
      </c>
      <c r="J1754" s="548" t="s">
        <v>850</v>
      </c>
      <c r="K1754" s="583" t="s">
        <v>946</v>
      </c>
      <c r="L1754" s="583" t="s">
        <v>947</v>
      </c>
      <c r="M1754" s="619" t="s">
        <v>114</v>
      </c>
      <c r="N1754" s="620">
        <v>44550</v>
      </c>
      <c r="O1754" s="684" t="s">
        <v>67</v>
      </c>
      <c r="P1754" s="503">
        <f t="shared" si="128"/>
        <v>12</v>
      </c>
      <c r="Q1754" s="503">
        <f t="shared" si="129"/>
        <v>12</v>
      </c>
      <c r="R1754" s="504" t="str">
        <f t="shared" si="130"/>
        <v>Gastos_Gerais</v>
      </c>
      <c r="S1754" s="504" t="str">
        <f>IF(D1754="","",IF(OR(D1754=Plano!$A$1,D1754=Plano!$B$1),"entrada","saída"))</f>
        <v>saída</v>
      </c>
      <c r="T1754" s="511" t="s">
        <v>114</v>
      </c>
      <c r="U1754" s="511" t="s">
        <v>114</v>
      </c>
      <c r="V1754" s="541"/>
    </row>
    <row r="1755" spans="1:22" ht="50.1" customHeight="1" x14ac:dyDescent="0.2">
      <c r="A1755" s="619">
        <f>IF(B1755="","",COUNT('Diário 5º PA'!$A$5:$A$2634)+COUNT('Diário 6º PA'!$A$5:$A$2246)+COUNT('Diário 7º PA'!$A$5:$A$2271)+ROW()-4)</f>
        <v>5701</v>
      </c>
      <c r="B1755" s="620">
        <v>44550</v>
      </c>
      <c r="C1755" s="621">
        <v>44501</v>
      </c>
      <c r="D1755" s="548" t="s">
        <v>99</v>
      </c>
      <c r="E1755" s="548" t="s">
        <v>330</v>
      </c>
      <c r="F1755" s="622">
        <v>-775</v>
      </c>
      <c r="G1755" s="623" t="s">
        <v>6787</v>
      </c>
      <c r="H1755" s="548" t="s">
        <v>114</v>
      </c>
      <c r="I1755" s="583" t="s">
        <v>983</v>
      </c>
      <c r="J1755" s="548" t="s">
        <v>850</v>
      </c>
      <c r="K1755" s="583" t="s">
        <v>946</v>
      </c>
      <c r="L1755" s="583" t="s">
        <v>947</v>
      </c>
      <c r="M1755" s="619" t="s">
        <v>114</v>
      </c>
      <c r="N1755" s="620">
        <v>44550</v>
      </c>
      <c r="O1755" s="684" t="s">
        <v>67</v>
      </c>
      <c r="P1755" s="503">
        <f t="shared" si="128"/>
        <v>12</v>
      </c>
      <c r="Q1755" s="503">
        <f t="shared" si="129"/>
        <v>11</v>
      </c>
      <c r="R1755" s="504" t="str">
        <f t="shared" si="130"/>
        <v>Gastos_Gerais</v>
      </c>
      <c r="S1755" s="504" t="str">
        <f>IF(D1755="","",IF(OR(D1755=Plano!$A$1,D1755=Plano!$B$1),"entrada","saída"))</f>
        <v>saída</v>
      </c>
      <c r="T1755" s="511" t="s">
        <v>114</v>
      </c>
      <c r="U1755" s="511" t="s">
        <v>114</v>
      </c>
      <c r="V1755" s="541"/>
    </row>
    <row r="1756" spans="1:22" ht="50.1" customHeight="1" x14ac:dyDescent="0.2">
      <c r="A1756" s="619">
        <f>IF(B1756="","",COUNT('Diário 5º PA'!$A$5:$A$2634)+COUNT('Diário 6º PA'!$A$5:$A$2246)+COUNT('Diário 7º PA'!$A$5:$A$2271)+ROW()-4)</f>
        <v>5702</v>
      </c>
      <c r="B1756" s="620">
        <v>44550</v>
      </c>
      <c r="C1756" s="624">
        <v>44531</v>
      </c>
      <c r="D1756" s="548" t="s">
        <v>88</v>
      </c>
      <c r="E1756" s="548" t="s">
        <v>175</v>
      </c>
      <c r="F1756" s="622">
        <v>1685.11</v>
      </c>
      <c r="G1756" s="623" t="s">
        <v>6788</v>
      </c>
      <c r="H1756" s="548" t="s">
        <v>114</v>
      </c>
      <c r="I1756" s="583" t="s">
        <v>1221</v>
      </c>
      <c r="J1756" s="548" t="s">
        <v>1222</v>
      </c>
      <c r="K1756" s="583" t="s">
        <v>1015</v>
      </c>
      <c r="L1756" s="583" t="s">
        <v>1183</v>
      </c>
      <c r="M1756" s="619" t="s">
        <v>114</v>
      </c>
      <c r="N1756" s="620">
        <v>44550</v>
      </c>
      <c r="O1756" s="684" t="s">
        <v>67</v>
      </c>
      <c r="P1756" s="503">
        <f t="shared" si="128"/>
        <v>12</v>
      </c>
      <c r="Q1756" s="503">
        <f t="shared" si="129"/>
        <v>12</v>
      </c>
      <c r="R1756" s="504" t="str">
        <f t="shared" si="130"/>
        <v>Gastos_com_Pessoal</v>
      </c>
      <c r="S1756" s="504" t="str">
        <f>IF(D1756="","",IF(OR(D1756=Plano!$A$1,D1756=Plano!$B$1),"entrada","saída"))</f>
        <v>saída</v>
      </c>
      <c r="T1756" s="505" t="s">
        <v>114</v>
      </c>
      <c r="U1756" s="505" t="s">
        <v>114</v>
      </c>
      <c r="V1756" s="541"/>
    </row>
    <row r="1757" spans="1:22" ht="50.1" customHeight="1" x14ac:dyDescent="0.2">
      <c r="A1757" s="619">
        <f>IF(B1757="","",COUNT('Diário 5º PA'!$A$5:$A$2634)+COUNT('Diário 6º PA'!$A$5:$A$2246)+COUNT('Diário 7º PA'!$A$5:$A$2271)+ROW()-4)</f>
        <v>5703</v>
      </c>
      <c r="B1757" s="620">
        <v>44550</v>
      </c>
      <c r="C1757" s="624">
        <v>44531</v>
      </c>
      <c r="D1757" s="548" t="s">
        <v>88</v>
      </c>
      <c r="E1757" s="548" t="s">
        <v>175</v>
      </c>
      <c r="F1757" s="622">
        <v>488</v>
      </c>
      <c r="G1757" s="623" t="s">
        <v>6789</v>
      </c>
      <c r="H1757" s="548" t="s">
        <v>114</v>
      </c>
      <c r="I1757" s="583" t="s">
        <v>1794</v>
      </c>
      <c r="J1757" s="548" t="s">
        <v>1795</v>
      </c>
      <c r="K1757" s="583" t="s">
        <v>1015</v>
      </c>
      <c r="L1757" s="583" t="s">
        <v>1183</v>
      </c>
      <c r="M1757" s="619" t="s">
        <v>114</v>
      </c>
      <c r="N1757" s="620">
        <v>44550</v>
      </c>
      <c r="O1757" s="684" t="s">
        <v>67</v>
      </c>
      <c r="P1757" s="503">
        <f t="shared" si="128"/>
        <v>12</v>
      </c>
      <c r="Q1757" s="503">
        <f t="shared" si="129"/>
        <v>12</v>
      </c>
      <c r="R1757" s="504" t="str">
        <f t="shared" si="130"/>
        <v>Gastos_com_Pessoal</v>
      </c>
      <c r="S1757" s="504" t="str">
        <f>IF(D1757="","",IF(OR(D1757=Plano!$A$1,D1757=Plano!$B$1),"entrada","saída"))</f>
        <v>saída</v>
      </c>
      <c r="T1757" s="505" t="s">
        <v>114</v>
      </c>
      <c r="U1757" s="505" t="s">
        <v>114</v>
      </c>
      <c r="V1757" s="541"/>
    </row>
    <row r="1758" spans="1:22" ht="50.1" customHeight="1" x14ac:dyDescent="0.2">
      <c r="A1758" s="619">
        <f>IF(B1758="","",COUNT('Diário 5º PA'!$A$5:$A$2634)+COUNT('Diário 6º PA'!$A$5:$A$2246)+COUNT('Diário 7º PA'!$A$5:$A$2271)+ROW()-4)</f>
        <v>5704</v>
      </c>
      <c r="B1758" s="620">
        <v>44550</v>
      </c>
      <c r="C1758" s="624">
        <v>44531</v>
      </c>
      <c r="D1758" s="548" t="s">
        <v>88</v>
      </c>
      <c r="E1758" s="548" t="s">
        <v>175</v>
      </c>
      <c r="F1758" s="622">
        <v>529</v>
      </c>
      <c r="G1758" s="623" t="s">
        <v>6790</v>
      </c>
      <c r="H1758" s="548" t="s">
        <v>114</v>
      </c>
      <c r="I1758" s="583" t="s">
        <v>1797</v>
      </c>
      <c r="J1758" s="548" t="s">
        <v>1798</v>
      </c>
      <c r="K1758" s="583" t="s">
        <v>1015</v>
      </c>
      <c r="L1758" s="583" t="s">
        <v>1183</v>
      </c>
      <c r="M1758" s="619" t="s">
        <v>114</v>
      </c>
      <c r="N1758" s="620">
        <v>44550</v>
      </c>
      <c r="O1758" s="684" t="s">
        <v>67</v>
      </c>
      <c r="P1758" s="503">
        <f t="shared" si="128"/>
        <v>12</v>
      </c>
      <c r="Q1758" s="503">
        <f t="shared" si="129"/>
        <v>12</v>
      </c>
      <c r="R1758" s="504" t="str">
        <f t="shared" si="130"/>
        <v>Gastos_com_Pessoal</v>
      </c>
      <c r="S1758" s="504" t="str">
        <f>IF(D1758="","",IF(OR(D1758=Plano!$A$1,D1758=Plano!$B$1),"entrada","saída"))</f>
        <v>saída</v>
      </c>
      <c r="T1758" s="505" t="s">
        <v>114</v>
      </c>
      <c r="U1758" s="505" t="s">
        <v>114</v>
      </c>
      <c r="V1758" s="541"/>
    </row>
    <row r="1759" spans="1:22" ht="50.1" customHeight="1" x14ac:dyDescent="0.2">
      <c r="A1759" s="619">
        <f>IF(B1759="","",COUNT('Diário 5º PA'!$A$5:$A$2634)+COUNT('Diário 6º PA'!$A$5:$A$2246)+COUNT('Diário 7º PA'!$A$5:$A$2271)+ROW()-4)</f>
        <v>5705</v>
      </c>
      <c r="B1759" s="620">
        <v>44550</v>
      </c>
      <c r="C1759" s="624">
        <v>44531</v>
      </c>
      <c r="D1759" s="548" t="s">
        <v>88</v>
      </c>
      <c r="E1759" s="548" t="s">
        <v>175</v>
      </c>
      <c r="F1759" s="622">
        <v>488</v>
      </c>
      <c r="G1759" s="623" t="s">
        <v>6791</v>
      </c>
      <c r="H1759" s="548" t="s">
        <v>114</v>
      </c>
      <c r="I1759" s="583" t="s">
        <v>1799</v>
      </c>
      <c r="J1759" s="548" t="s">
        <v>1800</v>
      </c>
      <c r="K1759" s="583" t="s">
        <v>1015</v>
      </c>
      <c r="L1759" s="583" t="s">
        <v>1183</v>
      </c>
      <c r="M1759" s="619" t="s">
        <v>114</v>
      </c>
      <c r="N1759" s="620">
        <v>44550</v>
      </c>
      <c r="O1759" s="684" t="s">
        <v>67</v>
      </c>
      <c r="P1759" s="503">
        <f t="shared" si="128"/>
        <v>12</v>
      </c>
      <c r="Q1759" s="503">
        <f t="shared" si="129"/>
        <v>12</v>
      </c>
      <c r="R1759" s="504" t="str">
        <f t="shared" si="130"/>
        <v>Gastos_com_Pessoal</v>
      </c>
      <c r="S1759" s="504" t="str">
        <f>IF(D1759="","",IF(OR(D1759=Plano!$A$1,D1759=Plano!$B$1),"entrada","saída"))</f>
        <v>saída</v>
      </c>
      <c r="T1759" s="505" t="s">
        <v>114</v>
      </c>
      <c r="U1759" s="505" t="s">
        <v>114</v>
      </c>
      <c r="V1759" s="541"/>
    </row>
    <row r="1760" spans="1:22" ht="50.1" customHeight="1" x14ac:dyDescent="0.2">
      <c r="A1760" s="619">
        <f>IF(B1760="","",COUNT('Diário 5º PA'!$A$5:$A$2634)+COUNT('Diário 6º PA'!$A$5:$A$2246)+COUNT('Diário 7º PA'!$A$5:$A$2271)+ROW()-4)</f>
        <v>5706</v>
      </c>
      <c r="B1760" s="620">
        <v>44550</v>
      </c>
      <c r="C1760" s="624">
        <v>44531</v>
      </c>
      <c r="D1760" s="548" t="s">
        <v>88</v>
      </c>
      <c r="E1760" s="548" t="s">
        <v>175</v>
      </c>
      <c r="F1760" s="622">
        <v>488</v>
      </c>
      <c r="G1760" s="623" t="s">
        <v>6791</v>
      </c>
      <c r="H1760" s="548" t="s">
        <v>114</v>
      </c>
      <c r="I1760" s="583" t="s">
        <v>1801</v>
      </c>
      <c r="J1760" s="548" t="s">
        <v>1802</v>
      </c>
      <c r="K1760" s="583" t="s">
        <v>1015</v>
      </c>
      <c r="L1760" s="583" t="s">
        <v>1183</v>
      </c>
      <c r="M1760" s="619" t="s">
        <v>114</v>
      </c>
      <c r="N1760" s="620">
        <v>44550</v>
      </c>
      <c r="O1760" s="684" t="s">
        <v>67</v>
      </c>
      <c r="P1760" s="503">
        <f t="shared" si="128"/>
        <v>12</v>
      </c>
      <c r="Q1760" s="503">
        <f t="shared" si="129"/>
        <v>12</v>
      </c>
      <c r="R1760" s="504" t="str">
        <f t="shared" si="130"/>
        <v>Gastos_com_Pessoal</v>
      </c>
      <c r="S1760" s="504" t="str">
        <f>IF(D1760="","",IF(OR(D1760=Plano!$A$1,D1760=Plano!$B$1),"entrada","saída"))</f>
        <v>saída</v>
      </c>
      <c r="T1760" s="505" t="s">
        <v>114</v>
      </c>
      <c r="U1760" s="505" t="s">
        <v>114</v>
      </c>
      <c r="V1760" s="541"/>
    </row>
    <row r="1761" spans="1:22" ht="50.1" customHeight="1" x14ac:dyDescent="0.2">
      <c r="A1761" s="619">
        <f>IF(B1761="","",COUNT('Diário 5º PA'!$A$5:$A$2634)+COUNT('Diário 6º PA'!$A$5:$A$2246)+COUNT('Diário 7º PA'!$A$5:$A$2271)+ROW()-4)</f>
        <v>5707</v>
      </c>
      <c r="B1761" s="620">
        <v>44550</v>
      </c>
      <c r="C1761" s="624">
        <v>44531</v>
      </c>
      <c r="D1761" s="548" t="s">
        <v>88</v>
      </c>
      <c r="E1761" s="548" t="s">
        <v>175</v>
      </c>
      <c r="F1761" s="622">
        <v>488</v>
      </c>
      <c r="G1761" s="623" t="s">
        <v>6789</v>
      </c>
      <c r="H1761" s="548" t="s">
        <v>114</v>
      </c>
      <c r="I1761" s="583" t="s">
        <v>1803</v>
      </c>
      <c r="J1761" s="548" t="s">
        <v>1804</v>
      </c>
      <c r="K1761" s="583" t="s">
        <v>1015</v>
      </c>
      <c r="L1761" s="583" t="s">
        <v>1183</v>
      </c>
      <c r="M1761" s="619" t="s">
        <v>114</v>
      </c>
      <c r="N1761" s="620">
        <v>44550</v>
      </c>
      <c r="O1761" s="684" t="s">
        <v>67</v>
      </c>
      <c r="P1761" s="503">
        <f t="shared" si="128"/>
        <v>12</v>
      </c>
      <c r="Q1761" s="503">
        <f t="shared" si="129"/>
        <v>12</v>
      </c>
      <c r="R1761" s="504" t="str">
        <f t="shared" si="130"/>
        <v>Gastos_com_Pessoal</v>
      </c>
      <c r="S1761" s="504" t="str">
        <f>IF(D1761="","",IF(OR(D1761=Plano!$A$1,D1761=Plano!$B$1),"entrada","saída"))</f>
        <v>saída</v>
      </c>
      <c r="T1761" s="505" t="s">
        <v>114</v>
      </c>
      <c r="U1761" s="505" t="s">
        <v>114</v>
      </c>
      <c r="V1761" s="541"/>
    </row>
    <row r="1762" spans="1:22" ht="50.1" customHeight="1" x14ac:dyDescent="0.2">
      <c r="A1762" s="619">
        <f>IF(B1762="","",COUNT('Diário 5º PA'!$A$5:$A$2634)+COUNT('Diário 6º PA'!$A$5:$A$2246)+COUNT('Diário 7º PA'!$A$5:$A$2271)+ROW()-4)</f>
        <v>5708</v>
      </c>
      <c r="B1762" s="620">
        <v>44550</v>
      </c>
      <c r="C1762" s="624">
        <v>44531</v>
      </c>
      <c r="D1762" s="548" t="s">
        <v>88</v>
      </c>
      <c r="E1762" s="548" t="s">
        <v>175</v>
      </c>
      <c r="F1762" s="622">
        <v>1685.11</v>
      </c>
      <c r="G1762" s="623" t="s">
        <v>6792</v>
      </c>
      <c r="H1762" s="548" t="s">
        <v>114</v>
      </c>
      <c r="I1762" s="583" t="s">
        <v>1224</v>
      </c>
      <c r="J1762" s="548" t="s">
        <v>1225</v>
      </c>
      <c r="K1762" s="583" t="s">
        <v>1015</v>
      </c>
      <c r="L1762" s="583" t="s">
        <v>1347</v>
      </c>
      <c r="M1762" s="619" t="s">
        <v>114</v>
      </c>
      <c r="N1762" s="620">
        <v>44550</v>
      </c>
      <c r="O1762" s="684" t="s">
        <v>67</v>
      </c>
      <c r="P1762" s="503">
        <f t="shared" si="128"/>
        <v>12</v>
      </c>
      <c r="Q1762" s="503">
        <f t="shared" si="129"/>
        <v>12</v>
      </c>
      <c r="R1762" s="504" t="str">
        <f t="shared" si="130"/>
        <v>Gastos_com_Pessoal</v>
      </c>
      <c r="S1762" s="504" t="str">
        <f>IF(D1762="","",IF(OR(D1762=Plano!$A$1,D1762=Plano!$B$1),"entrada","saída"))</f>
        <v>saída</v>
      </c>
      <c r="T1762" s="505" t="s">
        <v>114</v>
      </c>
      <c r="U1762" s="505" t="s">
        <v>114</v>
      </c>
      <c r="V1762" s="541"/>
    </row>
    <row r="1763" spans="1:22" ht="50.1" customHeight="1" x14ac:dyDescent="0.2">
      <c r="A1763" s="619">
        <f>IF(B1763="","",COUNT('Diário 5º PA'!$A$5:$A$2634)+COUNT('Diário 6º PA'!$A$5:$A$2246)+COUNT('Diário 7º PA'!$A$5:$A$2271)+ROW()-4)</f>
        <v>5709</v>
      </c>
      <c r="B1763" s="620">
        <v>44550</v>
      </c>
      <c r="C1763" s="624">
        <v>44531</v>
      </c>
      <c r="D1763" s="548" t="s">
        <v>88</v>
      </c>
      <c r="E1763" s="548" t="s">
        <v>175</v>
      </c>
      <c r="F1763" s="622">
        <v>488</v>
      </c>
      <c r="G1763" s="623" t="s">
        <v>6791</v>
      </c>
      <c r="H1763" s="548" t="s">
        <v>114</v>
      </c>
      <c r="I1763" s="583" t="s">
        <v>1806</v>
      </c>
      <c r="J1763" s="548" t="s">
        <v>1807</v>
      </c>
      <c r="K1763" s="583" t="s">
        <v>1015</v>
      </c>
      <c r="L1763" s="583" t="s">
        <v>1183</v>
      </c>
      <c r="M1763" s="619" t="s">
        <v>114</v>
      </c>
      <c r="N1763" s="620">
        <v>44550</v>
      </c>
      <c r="O1763" s="684" t="s">
        <v>67</v>
      </c>
      <c r="P1763" s="503">
        <f t="shared" si="128"/>
        <v>12</v>
      </c>
      <c r="Q1763" s="503">
        <f t="shared" si="129"/>
        <v>12</v>
      </c>
      <c r="R1763" s="504" t="str">
        <f t="shared" si="130"/>
        <v>Gastos_com_Pessoal</v>
      </c>
      <c r="S1763" s="504" t="str">
        <f>IF(D1763="","",IF(OR(D1763=Plano!$A$1,D1763=Plano!$B$1),"entrada","saída"))</f>
        <v>saída</v>
      </c>
      <c r="T1763" s="505" t="s">
        <v>114</v>
      </c>
      <c r="U1763" s="505" t="s">
        <v>114</v>
      </c>
      <c r="V1763" s="541"/>
    </row>
    <row r="1764" spans="1:22" ht="50.1" customHeight="1" x14ac:dyDescent="0.2">
      <c r="A1764" s="619">
        <f>IF(B1764="","",COUNT('Diário 5º PA'!$A$5:$A$2634)+COUNT('Diário 6º PA'!$A$5:$A$2246)+COUNT('Diário 7º PA'!$A$5:$A$2271)+ROW()-4)</f>
        <v>5710</v>
      </c>
      <c r="B1764" s="620">
        <v>44550</v>
      </c>
      <c r="C1764" s="624">
        <v>44531</v>
      </c>
      <c r="D1764" s="548" t="s">
        <v>88</v>
      </c>
      <c r="E1764" s="548" t="s">
        <v>175</v>
      </c>
      <c r="F1764" s="622">
        <v>718.77</v>
      </c>
      <c r="G1764" s="623" t="s">
        <v>6793</v>
      </c>
      <c r="H1764" s="548" t="s">
        <v>114</v>
      </c>
      <c r="I1764" s="583" t="s">
        <v>1226</v>
      </c>
      <c r="J1764" s="548" t="s">
        <v>1227</v>
      </c>
      <c r="K1764" s="583" t="s">
        <v>1015</v>
      </c>
      <c r="L1764" s="583" t="s">
        <v>1183</v>
      </c>
      <c r="M1764" s="619" t="s">
        <v>114</v>
      </c>
      <c r="N1764" s="620">
        <v>44550</v>
      </c>
      <c r="O1764" s="684" t="s">
        <v>67</v>
      </c>
      <c r="P1764" s="503">
        <f t="shared" si="128"/>
        <v>12</v>
      </c>
      <c r="Q1764" s="503">
        <f t="shared" si="129"/>
        <v>12</v>
      </c>
      <c r="R1764" s="504" t="str">
        <f t="shared" si="130"/>
        <v>Gastos_com_Pessoal</v>
      </c>
      <c r="S1764" s="504" t="str">
        <f>IF(D1764="","",IF(OR(D1764=Plano!$A$1,D1764=Plano!$B$1),"entrada","saída"))</f>
        <v>saída</v>
      </c>
      <c r="T1764" s="505" t="s">
        <v>114</v>
      </c>
      <c r="U1764" s="505" t="s">
        <v>114</v>
      </c>
      <c r="V1764" s="541"/>
    </row>
    <row r="1765" spans="1:22" ht="50.1" customHeight="1" x14ac:dyDescent="0.2">
      <c r="A1765" s="619">
        <f>IF(B1765="","",COUNT('Diário 5º PA'!$A$5:$A$2634)+COUNT('Diário 6º PA'!$A$5:$A$2246)+COUNT('Diário 7º PA'!$A$5:$A$2271)+ROW()-4)</f>
        <v>5711</v>
      </c>
      <c r="B1765" s="620">
        <v>44550</v>
      </c>
      <c r="C1765" s="624">
        <v>44531</v>
      </c>
      <c r="D1765" s="548" t="s">
        <v>88</v>
      </c>
      <c r="E1765" s="548" t="s">
        <v>175</v>
      </c>
      <c r="F1765" s="622">
        <v>407.29</v>
      </c>
      <c r="G1765" s="623" t="s">
        <v>6794</v>
      </c>
      <c r="H1765" s="548" t="s">
        <v>114</v>
      </c>
      <c r="I1765" s="583" t="s">
        <v>2266</v>
      </c>
      <c r="J1765" s="548" t="s">
        <v>2267</v>
      </c>
      <c r="K1765" s="583" t="s">
        <v>1015</v>
      </c>
      <c r="L1765" s="583" t="s">
        <v>1183</v>
      </c>
      <c r="M1765" s="619" t="s">
        <v>114</v>
      </c>
      <c r="N1765" s="620">
        <v>44550</v>
      </c>
      <c r="O1765" s="684" t="s">
        <v>67</v>
      </c>
      <c r="P1765" s="503">
        <f t="shared" si="128"/>
        <v>12</v>
      </c>
      <c r="Q1765" s="503">
        <f t="shared" si="129"/>
        <v>12</v>
      </c>
      <c r="R1765" s="504" t="str">
        <f t="shared" si="130"/>
        <v>Gastos_com_Pessoal</v>
      </c>
      <c r="S1765" s="504" t="str">
        <f>IF(D1765="","",IF(OR(D1765=Plano!$A$1,D1765=Plano!$B$1),"entrada","saída"))</f>
        <v>saída</v>
      </c>
      <c r="T1765" s="505" t="s">
        <v>114</v>
      </c>
      <c r="U1765" s="505" t="s">
        <v>114</v>
      </c>
      <c r="V1765" s="541"/>
    </row>
    <row r="1766" spans="1:22" ht="50.1" customHeight="1" x14ac:dyDescent="0.2">
      <c r="A1766" s="619">
        <f>IF(B1766="","",COUNT('Diário 5º PA'!$A$5:$A$2634)+COUNT('Diário 6º PA'!$A$5:$A$2246)+COUNT('Diário 7º PA'!$A$5:$A$2271)+ROW()-4)</f>
        <v>5712</v>
      </c>
      <c r="B1766" s="620">
        <v>44550</v>
      </c>
      <c r="C1766" s="624">
        <v>44531</v>
      </c>
      <c r="D1766" s="548" t="s">
        <v>88</v>
      </c>
      <c r="E1766" s="548" t="s">
        <v>175</v>
      </c>
      <c r="F1766" s="622">
        <v>488</v>
      </c>
      <c r="G1766" s="623" t="s">
        <v>6791</v>
      </c>
      <c r="H1766" s="548" t="s">
        <v>114</v>
      </c>
      <c r="I1766" s="583" t="s">
        <v>1808</v>
      </c>
      <c r="J1766" s="548" t="s">
        <v>1028</v>
      </c>
      <c r="K1766" s="583" t="s">
        <v>1015</v>
      </c>
      <c r="L1766" s="583" t="s">
        <v>1183</v>
      </c>
      <c r="M1766" s="619" t="s">
        <v>114</v>
      </c>
      <c r="N1766" s="620">
        <v>44550</v>
      </c>
      <c r="O1766" s="684" t="s">
        <v>67</v>
      </c>
      <c r="P1766" s="503">
        <f t="shared" si="128"/>
        <v>12</v>
      </c>
      <c r="Q1766" s="503">
        <f t="shared" si="129"/>
        <v>12</v>
      </c>
      <c r="R1766" s="504" t="str">
        <f t="shared" si="130"/>
        <v>Gastos_com_Pessoal</v>
      </c>
      <c r="S1766" s="504" t="str">
        <f>IF(D1766="","",IF(OR(D1766=Plano!$A$1,D1766=Plano!$B$1),"entrada","saída"))</f>
        <v>saída</v>
      </c>
      <c r="T1766" s="505" t="s">
        <v>114</v>
      </c>
      <c r="U1766" s="505" t="s">
        <v>114</v>
      </c>
      <c r="V1766" s="541"/>
    </row>
    <row r="1767" spans="1:22" ht="50.1" customHeight="1" x14ac:dyDescent="0.2">
      <c r="A1767" s="619">
        <f>IF(B1767="","",COUNT('Diário 5º PA'!$A$5:$A$2634)+COUNT('Diário 6º PA'!$A$5:$A$2246)+COUNT('Diário 7º PA'!$A$5:$A$2271)+ROW()-4)</f>
        <v>5713</v>
      </c>
      <c r="B1767" s="620">
        <v>44550</v>
      </c>
      <c r="C1767" s="624">
        <v>44531</v>
      </c>
      <c r="D1767" s="548" t="s">
        <v>88</v>
      </c>
      <c r="E1767" s="548" t="s">
        <v>175</v>
      </c>
      <c r="F1767" s="622">
        <v>350.63</v>
      </c>
      <c r="G1767" s="623" t="s">
        <v>6795</v>
      </c>
      <c r="H1767" s="548" t="s">
        <v>114</v>
      </c>
      <c r="I1767" s="583" t="s">
        <v>6069</v>
      </c>
      <c r="J1767" s="548" t="s">
        <v>6070</v>
      </c>
      <c r="K1767" s="583" t="s">
        <v>1015</v>
      </c>
      <c r="L1767" s="583" t="s">
        <v>1183</v>
      </c>
      <c r="M1767" s="619" t="s">
        <v>114</v>
      </c>
      <c r="N1767" s="620">
        <v>44550</v>
      </c>
      <c r="O1767" s="684" t="s">
        <v>67</v>
      </c>
      <c r="P1767" s="503">
        <f t="shared" si="128"/>
        <v>12</v>
      </c>
      <c r="Q1767" s="503">
        <f t="shared" si="129"/>
        <v>12</v>
      </c>
      <c r="R1767" s="504" t="str">
        <f t="shared" si="130"/>
        <v>Gastos_com_Pessoal</v>
      </c>
      <c r="S1767" s="504" t="str">
        <f>IF(D1767="","",IF(OR(D1767=Plano!$A$1,D1767=Plano!$B$1),"entrada","saída"))</f>
        <v>saída</v>
      </c>
      <c r="T1767" s="505" t="s">
        <v>114</v>
      </c>
      <c r="U1767" s="505" t="s">
        <v>114</v>
      </c>
      <c r="V1767" s="541"/>
    </row>
    <row r="1768" spans="1:22" ht="50.1" customHeight="1" x14ac:dyDescent="0.2">
      <c r="A1768" s="619">
        <f>IF(B1768="","",COUNT('Diário 5º PA'!$A$5:$A$2634)+COUNT('Diário 6º PA'!$A$5:$A$2246)+COUNT('Diário 7º PA'!$A$5:$A$2271)+ROW()-4)</f>
        <v>5714</v>
      </c>
      <c r="B1768" s="620">
        <v>44550</v>
      </c>
      <c r="C1768" s="624">
        <v>44531</v>
      </c>
      <c r="D1768" s="548" t="s">
        <v>88</v>
      </c>
      <c r="E1768" s="548" t="s">
        <v>175</v>
      </c>
      <c r="F1768" s="622">
        <v>4218</v>
      </c>
      <c r="G1768" s="623" t="s">
        <v>6796</v>
      </c>
      <c r="H1768" s="548" t="s">
        <v>114</v>
      </c>
      <c r="I1768" s="583" t="s">
        <v>1229</v>
      </c>
      <c r="J1768" s="548" t="s">
        <v>1230</v>
      </c>
      <c r="K1768" s="583" t="s">
        <v>1015</v>
      </c>
      <c r="L1768" s="583" t="s">
        <v>1183</v>
      </c>
      <c r="M1768" s="619" t="s">
        <v>114</v>
      </c>
      <c r="N1768" s="620">
        <v>44550</v>
      </c>
      <c r="O1768" s="684" t="s">
        <v>67</v>
      </c>
      <c r="P1768" s="503">
        <f t="shared" si="128"/>
        <v>12</v>
      </c>
      <c r="Q1768" s="503">
        <f t="shared" si="129"/>
        <v>12</v>
      </c>
      <c r="R1768" s="504" t="str">
        <f t="shared" si="130"/>
        <v>Gastos_com_Pessoal</v>
      </c>
      <c r="S1768" s="504" t="str">
        <f>IF(D1768="","",IF(OR(D1768=Plano!$A$1,D1768=Plano!$B$1),"entrada","saída"))</f>
        <v>saída</v>
      </c>
      <c r="T1768" s="505" t="s">
        <v>114</v>
      </c>
      <c r="U1768" s="505" t="s">
        <v>114</v>
      </c>
      <c r="V1768" s="541"/>
    </row>
    <row r="1769" spans="1:22" ht="50.1" customHeight="1" x14ac:dyDescent="0.2">
      <c r="A1769" s="619">
        <f>IF(B1769="","",COUNT('Diário 5º PA'!$A$5:$A$2634)+COUNT('Diário 6º PA'!$A$5:$A$2246)+COUNT('Diário 7º PA'!$A$5:$A$2271)+ROW()-4)</f>
        <v>5715</v>
      </c>
      <c r="B1769" s="620">
        <v>44550</v>
      </c>
      <c r="C1769" s="624">
        <v>44531</v>
      </c>
      <c r="D1769" s="548" t="s">
        <v>88</v>
      </c>
      <c r="E1769" s="548" t="s">
        <v>175</v>
      </c>
      <c r="F1769" s="622">
        <v>488</v>
      </c>
      <c r="G1769" s="623" t="s">
        <v>6791</v>
      </c>
      <c r="H1769" s="548" t="s">
        <v>114</v>
      </c>
      <c r="I1769" s="583" t="s">
        <v>1810</v>
      </c>
      <c r="J1769" s="548" t="s">
        <v>1811</v>
      </c>
      <c r="K1769" s="583" t="s">
        <v>1015</v>
      </c>
      <c r="L1769" s="583" t="s">
        <v>1183</v>
      </c>
      <c r="M1769" s="619" t="s">
        <v>114</v>
      </c>
      <c r="N1769" s="620">
        <v>44550</v>
      </c>
      <c r="O1769" s="684" t="s">
        <v>67</v>
      </c>
      <c r="P1769" s="503">
        <f t="shared" si="128"/>
        <v>12</v>
      </c>
      <c r="Q1769" s="503">
        <f t="shared" si="129"/>
        <v>12</v>
      </c>
      <c r="R1769" s="504" t="str">
        <f t="shared" si="130"/>
        <v>Gastos_com_Pessoal</v>
      </c>
      <c r="S1769" s="504" t="str">
        <f>IF(D1769="","",IF(OR(D1769=Plano!$A$1,D1769=Plano!$B$1),"entrada","saída"))</f>
        <v>saída</v>
      </c>
      <c r="T1769" s="505" t="s">
        <v>114</v>
      </c>
      <c r="U1769" s="505" t="s">
        <v>114</v>
      </c>
      <c r="V1769" s="541"/>
    </row>
    <row r="1770" spans="1:22" ht="50.1" customHeight="1" x14ac:dyDescent="0.2">
      <c r="A1770" s="619">
        <f>IF(B1770="","",COUNT('Diário 5º PA'!$A$5:$A$2634)+COUNT('Diário 6º PA'!$A$5:$A$2246)+COUNT('Diário 7º PA'!$A$5:$A$2271)+ROW()-4)</f>
        <v>5716</v>
      </c>
      <c r="B1770" s="620">
        <v>44550</v>
      </c>
      <c r="C1770" s="624">
        <v>44531</v>
      </c>
      <c r="D1770" s="548" t="s">
        <v>88</v>
      </c>
      <c r="E1770" s="548" t="s">
        <v>175</v>
      </c>
      <c r="F1770" s="622">
        <v>1249.51</v>
      </c>
      <c r="G1770" s="623" t="s">
        <v>6797</v>
      </c>
      <c r="H1770" s="548" t="s">
        <v>114</v>
      </c>
      <c r="I1770" s="583" t="s">
        <v>1232</v>
      </c>
      <c r="J1770" s="548" t="s">
        <v>1233</v>
      </c>
      <c r="K1770" s="583" t="s">
        <v>1015</v>
      </c>
      <c r="L1770" s="583" t="s">
        <v>1183</v>
      </c>
      <c r="M1770" s="619" t="s">
        <v>114</v>
      </c>
      <c r="N1770" s="620">
        <v>44550</v>
      </c>
      <c r="O1770" s="684" t="s">
        <v>67</v>
      </c>
      <c r="P1770" s="503">
        <f t="shared" si="128"/>
        <v>12</v>
      </c>
      <c r="Q1770" s="503">
        <f t="shared" si="129"/>
        <v>12</v>
      </c>
      <c r="R1770" s="504" t="str">
        <f t="shared" si="130"/>
        <v>Gastos_com_Pessoal</v>
      </c>
      <c r="S1770" s="504" t="str">
        <f>IF(D1770="","",IF(OR(D1770=Plano!$A$1,D1770=Plano!$B$1),"entrada","saída"))</f>
        <v>saída</v>
      </c>
      <c r="T1770" s="505" t="s">
        <v>114</v>
      </c>
      <c r="U1770" s="505" t="s">
        <v>114</v>
      </c>
      <c r="V1770" s="541"/>
    </row>
    <row r="1771" spans="1:22" ht="50.1" customHeight="1" x14ac:dyDescent="0.2">
      <c r="A1771" s="619">
        <f>IF(B1771="","",COUNT('Diário 5º PA'!$A$5:$A$2634)+COUNT('Diário 6º PA'!$A$5:$A$2246)+COUNT('Diário 7º PA'!$A$5:$A$2271)+ROW()-4)</f>
        <v>5717</v>
      </c>
      <c r="B1771" s="620">
        <v>44550</v>
      </c>
      <c r="C1771" s="624">
        <v>44531</v>
      </c>
      <c r="D1771" s="548" t="s">
        <v>88</v>
      </c>
      <c r="E1771" s="548" t="s">
        <v>175</v>
      </c>
      <c r="F1771" s="622">
        <v>1546.73</v>
      </c>
      <c r="G1771" s="623" t="s">
        <v>6798</v>
      </c>
      <c r="H1771" s="548" t="s">
        <v>114</v>
      </c>
      <c r="I1771" s="583" t="s">
        <v>1235</v>
      </c>
      <c r="J1771" s="548" t="s">
        <v>1236</v>
      </c>
      <c r="K1771" s="583" t="s">
        <v>1015</v>
      </c>
      <c r="L1771" s="583" t="s">
        <v>1183</v>
      </c>
      <c r="M1771" s="619" t="s">
        <v>114</v>
      </c>
      <c r="N1771" s="620">
        <v>44550</v>
      </c>
      <c r="O1771" s="684" t="s">
        <v>67</v>
      </c>
      <c r="P1771" s="503">
        <f t="shared" si="128"/>
        <v>12</v>
      </c>
      <c r="Q1771" s="503">
        <f t="shared" si="129"/>
        <v>12</v>
      </c>
      <c r="R1771" s="504" t="str">
        <f t="shared" si="130"/>
        <v>Gastos_com_Pessoal</v>
      </c>
      <c r="S1771" s="504" t="str">
        <f>IF(D1771="","",IF(OR(D1771=Plano!$A$1,D1771=Plano!$B$1),"entrada","saída"))</f>
        <v>saída</v>
      </c>
      <c r="T1771" s="505" t="s">
        <v>114</v>
      </c>
      <c r="U1771" s="505" t="s">
        <v>114</v>
      </c>
      <c r="V1771" s="541"/>
    </row>
    <row r="1772" spans="1:22" ht="50.1" customHeight="1" x14ac:dyDescent="0.2">
      <c r="A1772" s="619">
        <f>IF(B1772="","",COUNT('Diário 5º PA'!$A$5:$A$2634)+COUNT('Diário 6º PA'!$A$5:$A$2246)+COUNT('Diário 7º PA'!$A$5:$A$2271)+ROW()-4)</f>
        <v>5718</v>
      </c>
      <c r="B1772" s="620">
        <v>44550</v>
      </c>
      <c r="C1772" s="624">
        <v>44531</v>
      </c>
      <c r="D1772" s="548" t="s">
        <v>88</v>
      </c>
      <c r="E1772" s="548" t="s">
        <v>175</v>
      </c>
      <c r="F1772" s="622">
        <v>3565.65</v>
      </c>
      <c r="G1772" s="623" t="s">
        <v>6799</v>
      </c>
      <c r="H1772" s="548" t="s">
        <v>114</v>
      </c>
      <c r="I1772" s="583" t="s">
        <v>1181</v>
      </c>
      <c r="J1772" s="548" t="s">
        <v>1182</v>
      </c>
      <c r="K1772" s="583" t="s">
        <v>991</v>
      </c>
      <c r="L1772" s="583" t="s">
        <v>1183</v>
      </c>
      <c r="M1772" s="619" t="s">
        <v>114</v>
      </c>
      <c r="N1772" s="620">
        <v>44550</v>
      </c>
      <c r="O1772" s="684" t="s">
        <v>67</v>
      </c>
      <c r="P1772" s="503">
        <f t="shared" si="128"/>
        <v>12</v>
      </c>
      <c r="Q1772" s="503">
        <f t="shared" si="129"/>
        <v>12</v>
      </c>
      <c r="R1772" s="504" t="str">
        <f t="shared" si="130"/>
        <v>Gastos_com_Pessoal</v>
      </c>
      <c r="S1772" s="504" t="str">
        <f>IF(D1772="","",IF(OR(D1772=Plano!$A$1,D1772=Plano!$B$1),"entrada","saída"))</f>
        <v>saída</v>
      </c>
      <c r="T1772" s="505" t="s">
        <v>114</v>
      </c>
      <c r="U1772" s="505" t="s">
        <v>114</v>
      </c>
      <c r="V1772" s="541"/>
    </row>
    <row r="1773" spans="1:22" ht="50.1" customHeight="1" x14ac:dyDescent="0.2">
      <c r="A1773" s="619">
        <f>IF(B1773="","",COUNT('Diário 5º PA'!$A$5:$A$2634)+COUNT('Diário 6º PA'!$A$5:$A$2246)+COUNT('Diário 7º PA'!$A$5:$A$2271)+ROW()-4)</f>
        <v>5719</v>
      </c>
      <c r="B1773" s="620">
        <v>44550</v>
      </c>
      <c r="C1773" s="624">
        <v>44531</v>
      </c>
      <c r="D1773" s="548" t="s">
        <v>88</v>
      </c>
      <c r="E1773" s="548" t="s">
        <v>175</v>
      </c>
      <c r="F1773" s="622">
        <v>488</v>
      </c>
      <c r="G1773" s="623" t="s">
        <v>6789</v>
      </c>
      <c r="H1773" s="548" t="s">
        <v>114</v>
      </c>
      <c r="I1773" s="583" t="s">
        <v>1757</v>
      </c>
      <c r="J1773" s="548" t="s">
        <v>1758</v>
      </c>
      <c r="K1773" s="583" t="s">
        <v>991</v>
      </c>
      <c r="L1773" s="583" t="s">
        <v>1183</v>
      </c>
      <c r="M1773" s="619" t="s">
        <v>114</v>
      </c>
      <c r="N1773" s="620">
        <v>44550</v>
      </c>
      <c r="O1773" s="684" t="s">
        <v>67</v>
      </c>
      <c r="P1773" s="503">
        <f t="shared" si="128"/>
        <v>12</v>
      </c>
      <c r="Q1773" s="503">
        <f t="shared" si="129"/>
        <v>12</v>
      </c>
      <c r="R1773" s="504" t="str">
        <f t="shared" si="130"/>
        <v>Gastos_com_Pessoal</v>
      </c>
      <c r="S1773" s="504" t="str">
        <f>IF(D1773="","",IF(OR(D1773=Plano!$A$1,D1773=Plano!$B$1),"entrada","saída"))</f>
        <v>saída</v>
      </c>
      <c r="T1773" s="505" t="s">
        <v>114</v>
      </c>
      <c r="U1773" s="505" t="s">
        <v>114</v>
      </c>
      <c r="V1773" s="541"/>
    </row>
    <row r="1774" spans="1:22" ht="50.1" customHeight="1" x14ac:dyDescent="0.2">
      <c r="A1774" s="619">
        <f>IF(B1774="","",COUNT('Diário 5º PA'!$A$5:$A$2634)+COUNT('Diário 6º PA'!$A$5:$A$2246)+COUNT('Diário 7º PA'!$A$5:$A$2271)+ROW()-4)</f>
        <v>5720</v>
      </c>
      <c r="B1774" s="620">
        <v>44550</v>
      </c>
      <c r="C1774" s="624">
        <v>44531</v>
      </c>
      <c r="D1774" s="548" t="s">
        <v>88</v>
      </c>
      <c r="E1774" s="548" t="s">
        <v>175</v>
      </c>
      <c r="F1774" s="622">
        <v>350.63</v>
      </c>
      <c r="G1774" s="623" t="s">
        <v>6800</v>
      </c>
      <c r="H1774" s="548" t="s">
        <v>114</v>
      </c>
      <c r="I1774" s="583" t="s">
        <v>6024</v>
      </c>
      <c r="J1774" s="548" t="s">
        <v>6025</v>
      </c>
      <c r="K1774" s="583" t="s">
        <v>991</v>
      </c>
      <c r="L1774" s="583" t="s">
        <v>1183</v>
      </c>
      <c r="M1774" s="619" t="s">
        <v>114</v>
      </c>
      <c r="N1774" s="620">
        <v>44550</v>
      </c>
      <c r="O1774" s="684" t="s">
        <v>67</v>
      </c>
      <c r="P1774" s="503">
        <f t="shared" si="128"/>
        <v>12</v>
      </c>
      <c r="Q1774" s="503">
        <f t="shared" si="129"/>
        <v>12</v>
      </c>
      <c r="R1774" s="504" t="str">
        <f t="shared" si="130"/>
        <v>Gastos_com_Pessoal</v>
      </c>
      <c r="S1774" s="504" t="str">
        <f>IF(D1774="","",IF(OR(D1774=Plano!$A$1,D1774=Plano!$B$1),"entrada","saída"))</f>
        <v>saída</v>
      </c>
      <c r="T1774" s="505" t="s">
        <v>114</v>
      </c>
      <c r="U1774" s="505" t="s">
        <v>114</v>
      </c>
      <c r="V1774" s="541"/>
    </row>
    <row r="1775" spans="1:22" ht="50.1" customHeight="1" x14ac:dyDescent="0.2">
      <c r="A1775" s="619">
        <f>IF(B1775="","",COUNT('Diário 5º PA'!$A$5:$A$2634)+COUNT('Diário 6º PA'!$A$5:$A$2246)+COUNT('Diário 7º PA'!$A$5:$A$2271)+ROW()-4)</f>
        <v>5721</v>
      </c>
      <c r="B1775" s="620">
        <v>44550</v>
      </c>
      <c r="C1775" s="624">
        <v>44531</v>
      </c>
      <c r="D1775" s="548" t="s">
        <v>88</v>
      </c>
      <c r="E1775" s="548" t="s">
        <v>175</v>
      </c>
      <c r="F1775" s="622">
        <v>350.63</v>
      </c>
      <c r="G1775" s="623" t="s">
        <v>6801</v>
      </c>
      <c r="H1775" s="548" t="s">
        <v>114</v>
      </c>
      <c r="I1775" s="583" t="s">
        <v>6026</v>
      </c>
      <c r="J1775" s="548" t="s">
        <v>6027</v>
      </c>
      <c r="K1775" s="583" t="s">
        <v>991</v>
      </c>
      <c r="L1775" s="583" t="s">
        <v>1183</v>
      </c>
      <c r="M1775" s="619" t="s">
        <v>114</v>
      </c>
      <c r="N1775" s="620">
        <v>44550</v>
      </c>
      <c r="O1775" s="684" t="s">
        <v>67</v>
      </c>
      <c r="P1775" s="503">
        <f t="shared" si="128"/>
        <v>12</v>
      </c>
      <c r="Q1775" s="503">
        <f t="shared" si="129"/>
        <v>12</v>
      </c>
      <c r="R1775" s="504" t="str">
        <f t="shared" si="130"/>
        <v>Gastos_com_Pessoal</v>
      </c>
      <c r="S1775" s="504" t="str">
        <f>IF(D1775="","",IF(OR(D1775=Plano!$A$1,D1775=Plano!$B$1),"entrada","saída"))</f>
        <v>saída</v>
      </c>
      <c r="T1775" s="505" t="s">
        <v>114</v>
      </c>
      <c r="U1775" s="505" t="s">
        <v>114</v>
      </c>
      <c r="V1775" s="541"/>
    </row>
    <row r="1776" spans="1:22" ht="50.1" customHeight="1" x14ac:dyDescent="0.2">
      <c r="A1776" s="619">
        <f>IF(B1776="","",COUNT('Diário 5º PA'!$A$5:$A$2634)+COUNT('Diário 6º PA'!$A$5:$A$2246)+COUNT('Diário 7º PA'!$A$5:$A$2271)+ROW()-4)</f>
        <v>5722</v>
      </c>
      <c r="B1776" s="620">
        <v>44550</v>
      </c>
      <c r="C1776" s="624">
        <v>44531</v>
      </c>
      <c r="D1776" s="548" t="s">
        <v>88</v>
      </c>
      <c r="E1776" s="548" t="s">
        <v>175</v>
      </c>
      <c r="F1776" s="622">
        <v>407.29</v>
      </c>
      <c r="G1776" s="623" t="s">
        <v>6802</v>
      </c>
      <c r="H1776" s="548" t="s">
        <v>114</v>
      </c>
      <c r="I1776" s="583" t="s">
        <v>2222</v>
      </c>
      <c r="J1776" s="548" t="s">
        <v>2223</v>
      </c>
      <c r="K1776" s="583" t="s">
        <v>991</v>
      </c>
      <c r="L1776" s="583" t="s">
        <v>1183</v>
      </c>
      <c r="M1776" s="619" t="s">
        <v>114</v>
      </c>
      <c r="N1776" s="620">
        <v>44550</v>
      </c>
      <c r="O1776" s="684" t="s">
        <v>67</v>
      </c>
      <c r="P1776" s="503">
        <f t="shared" si="128"/>
        <v>12</v>
      </c>
      <c r="Q1776" s="503">
        <f t="shared" si="129"/>
        <v>12</v>
      </c>
      <c r="R1776" s="504" t="str">
        <f t="shared" si="130"/>
        <v>Gastos_com_Pessoal</v>
      </c>
      <c r="S1776" s="504" t="str">
        <f>IF(D1776="","",IF(OR(D1776=Plano!$A$1,D1776=Plano!$B$1),"entrada","saída"))</f>
        <v>saída</v>
      </c>
      <c r="T1776" s="505" t="s">
        <v>114</v>
      </c>
      <c r="U1776" s="505" t="s">
        <v>114</v>
      </c>
      <c r="V1776" s="541"/>
    </row>
    <row r="1777" spans="1:22" ht="50.1" customHeight="1" x14ac:dyDescent="0.2">
      <c r="A1777" s="619">
        <f>IF(B1777="","",COUNT('Diário 5º PA'!$A$5:$A$2634)+COUNT('Diário 6º PA'!$A$5:$A$2246)+COUNT('Diário 7º PA'!$A$5:$A$2271)+ROW()-4)</f>
        <v>5723</v>
      </c>
      <c r="B1777" s="620">
        <v>44550</v>
      </c>
      <c r="C1777" s="624">
        <v>44531</v>
      </c>
      <c r="D1777" s="548" t="s">
        <v>88</v>
      </c>
      <c r="E1777" s="548" t="s">
        <v>175</v>
      </c>
      <c r="F1777" s="622">
        <v>1326.47</v>
      </c>
      <c r="G1777" s="623" t="s">
        <v>6803</v>
      </c>
      <c r="H1777" s="548" t="s">
        <v>114</v>
      </c>
      <c r="I1777" s="583" t="s">
        <v>1185</v>
      </c>
      <c r="J1777" s="548" t="s">
        <v>1186</v>
      </c>
      <c r="K1777" s="583" t="s">
        <v>991</v>
      </c>
      <c r="L1777" s="583" t="s">
        <v>1183</v>
      </c>
      <c r="M1777" s="619" t="s">
        <v>114</v>
      </c>
      <c r="N1777" s="620">
        <v>44550</v>
      </c>
      <c r="O1777" s="684" t="s">
        <v>67</v>
      </c>
      <c r="P1777" s="503">
        <f t="shared" si="128"/>
        <v>12</v>
      </c>
      <c r="Q1777" s="503">
        <f t="shared" si="129"/>
        <v>12</v>
      </c>
      <c r="R1777" s="504" t="str">
        <f t="shared" si="130"/>
        <v>Gastos_com_Pessoal</v>
      </c>
      <c r="S1777" s="504" t="str">
        <f>IF(D1777="","",IF(OR(D1777=Plano!$A$1,D1777=Plano!$B$1),"entrada","saída"))</f>
        <v>saída</v>
      </c>
      <c r="T1777" s="505" t="s">
        <v>114</v>
      </c>
      <c r="U1777" s="505" t="s">
        <v>114</v>
      </c>
      <c r="V1777" s="541"/>
    </row>
    <row r="1778" spans="1:22" ht="50.1" customHeight="1" x14ac:dyDescent="0.2">
      <c r="A1778" s="619">
        <f>IF(B1778="","",COUNT('Diário 5º PA'!$A$5:$A$2634)+COUNT('Diário 6º PA'!$A$5:$A$2246)+COUNT('Diário 7º PA'!$A$5:$A$2271)+ROW()-4)</f>
        <v>5724</v>
      </c>
      <c r="B1778" s="620">
        <v>44550</v>
      </c>
      <c r="C1778" s="624">
        <v>44531</v>
      </c>
      <c r="D1778" s="548" t="s">
        <v>88</v>
      </c>
      <c r="E1778" s="548" t="s">
        <v>175</v>
      </c>
      <c r="F1778" s="622">
        <v>597.33000000000004</v>
      </c>
      <c r="G1778" s="623" t="s">
        <v>6804</v>
      </c>
      <c r="H1778" s="548" t="s">
        <v>114</v>
      </c>
      <c r="I1778" s="583" t="s">
        <v>2225</v>
      </c>
      <c r="J1778" s="548" t="s">
        <v>2226</v>
      </c>
      <c r="K1778" s="583" t="s">
        <v>991</v>
      </c>
      <c r="L1778" s="583" t="s">
        <v>1183</v>
      </c>
      <c r="M1778" s="619" t="s">
        <v>114</v>
      </c>
      <c r="N1778" s="620">
        <v>44550</v>
      </c>
      <c r="O1778" s="684" t="s">
        <v>67</v>
      </c>
      <c r="P1778" s="503">
        <f t="shared" si="128"/>
        <v>12</v>
      </c>
      <c r="Q1778" s="503">
        <f t="shared" si="129"/>
        <v>12</v>
      </c>
      <c r="R1778" s="504" t="str">
        <f t="shared" si="130"/>
        <v>Gastos_com_Pessoal</v>
      </c>
      <c r="S1778" s="504" t="str">
        <f>IF(D1778="","",IF(OR(D1778=Plano!$A$1,D1778=Plano!$B$1),"entrada","saída"))</f>
        <v>saída</v>
      </c>
      <c r="T1778" s="505" t="s">
        <v>114</v>
      </c>
      <c r="U1778" s="505" t="s">
        <v>114</v>
      </c>
      <c r="V1778" s="541"/>
    </row>
    <row r="1779" spans="1:22" ht="50.1" customHeight="1" x14ac:dyDescent="0.2">
      <c r="A1779" s="619">
        <f>IF(B1779="","",COUNT('Diário 5º PA'!$A$5:$A$2634)+COUNT('Diário 6º PA'!$A$5:$A$2246)+COUNT('Diário 7º PA'!$A$5:$A$2271)+ROW()-4)</f>
        <v>5725</v>
      </c>
      <c r="B1779" s="620">
        <v>44550</v>
      </c>
      <c r="C1779" s="624">
        <v>44531</v>
      </c>
      <c r="D1779" s="548" t="s">
        <v>88</v>
      </c>
      <c r="E1779" s="548" t="s">
        <v>175</v>
      </c>
      <c r="F1779" s="622">
        <v>407.29</v>
      </c>
      <c r="G1779" s="623" t="s">
        <v>6805</v>
      </c>
      <c r="H1779" s="548" t="s">
        <v>114</v>
      </c>
      <c r="I1779" s="583" t="s">
        <v>2228</v>
      </c>
      <c r="J1779" s="548" t="s">
        <v>2229</v>
      </c>
      <c r="K1779" s="583" t="s">
        <v>991</v>
      </c>
      <c r="L1779" s="583" t="s">
        <v>1183</v>
      </c>
      <c r="M1779" s="619" t="s">
        <v>114</v>
      </c>
      <c r="N1779" s="620">
        <v>44550</v>
      </c>
      <c r="O1779" s="684" t="s">
        <v>67</v>
      </c>
      <c r="P1779" s="503">
        <f t="shared" si="128"/>
        <v>12</v>
      </c>
      <c r="Q1779" s="503">
        <f t="shared" si="129"/>
        <v>12</v>
      </c>
      <c r="R1779" s="504" t="str">
        <f t="shared" si="130"/>
        <v>Gastos_com_Pessoal</v>
      </c>
      <c r="S1779" s="504" t="str">
        <f>IF(D1779="","",IF(OR(D1779=Plano!$A$1,D1779=Plano!$B$1),"entrada","saída"))</f>
        <v>saída</v>
      </c>
      <c r="T1779" s="505" t="s">
        <v>114</v>
      </c>
      <c r="U1779" s="505" t="s">
        <v>114</v>
      </c>
      <c r="V1779" s="541"/>
    </row>
    <row r="1780" spans="1:22" ht="50.1" customHeight="1" x14ac:dyDescent="0.2">
      <c r="A1780" s="619">
        <f>IF(B1780="","",COUNT('Diário 5º PA'!$A$5:$A$2634)+COUNT('Diário 6º PA'!$A$5:$A$2246)+COUNT('Diário 7º PA'!$A$5:$A$2271)+ROW()-4)</f>
        <v>5726</v>
      </c>
      <c r="B1780" s="620">
        <v>44550</v>
      </c>
      <c r="C1780" s="624">
        <v>44531</v>
      </c>
      <c r="D1780" s="548" t="s">
        <v>88</v>
      </c>
      <c r="E1780" s="548" t="s">
        <v>175</v>
      </c>
      <c r="F1780" s="622">
        <v>529</v>
      </c>
      <c r="G1780" s="623" t="s">
        <v>6806</v>
      </c>
      <c r="H1780" s="548" t="s">
        <v>114</v>
      </c>
      <c r="I1780" s="583" t="s">
        <v>1760</v>
      </c>
      <c r="J1780" s="548" t="s">
        <v>1761</v>
      </c>
      <c r="K1780" s="583" t="s">
        <v>991</v>
      </c>
      <c r="L1780" s="583" t="s">
        <v>1183</v>
      </c>
      <c r="M1780" s="619" t="s">
        <v>114</v>
      </c>
      <c r="N1780" s="620">
        <v>44550</v>
      </c>
      <c r="O1780" s="684" t="s">
        <v>67</v>
      </c>
      <c r="P1780" s="503">
        <f t="shared" si="128"/>
        <v>12</v>
      </c>
      <c r="Q1780" s="503">
        <f t="shared" si="129"/>
        <v>12</v>
      </c>
      <c r="R1780" s="504" t="str">
        <f t="shared" si="130"/>
        <v>Gastos_com_Pessoal</v>
      </c>
      <c r="S1780" s="504" t="str">
        <f>IF(D1780="","",IF(OR(D1780=Plano!$A$1,D1780=Plano!$B$1),"entrada","saída"))</f>
        <v>saída</v>
      </c>
      <c r="T1780" s="505" t="s">
        <v>114</v>
      </c>
      <c r="U1780" s="505" t="s">
        <v>114</v>
      </c>
      <c r="V1780" s="541"/>
    </row>
    <row r="1781" spans="1:22" ht="50.1" customHeight="1" x14ac:dyDescent="0.2">
      <c r="A1781" s="619">
        <f>IF(B1781="","",COUNT('Diário 5º PA'!$A$5:$A$2634)+COUNT('Diário 6º PA'!$A$5:$A$2246)+COUNT('Diário 7º PA'!$A$5:$A$2271)+ROW()-4)</f>
        <v>5727</v>
      </c>
      <c r="B1781" s="620">
        <v>44550</v>
      </c>
      <c r="C1781" s="624">
        <v>44531</v>
      </c>
      <c r="D1781" s="548" t="s">
        <v>88</v>
      </c>
      <c r="E1781" s="548" t="s">
        <v>175</v>
      </c>
      <c r="F1781" s="622">
        <v>407.29</v>
      </c>
      <c r="G1781" s="623" t="s">
        <v>6807</v>
      </c>
      <c r="H1781" s="548" t="s">
        <v>114</v>
      </c>
      <c r="I1781" s="583" t="s">
        <v>2232</v>
      </c>
      <c r="J1781" s="548" t="s">
        <v>2229</v>
      </c>
      <c r="K1781" s="583" t="s">
        <v>991</v>
      </c>
      <c r="L1781" s="583" t="s">
        <v>1183</v>
      </c>
      <c r="M1781" s="619" t="s">
        <v>114</v>
      </c>
      <c r="N1781" s="620">
        <v>44550</v>
      </c>
      <c r="O1781" s="684" t="s">
        <v>67</v>
      </c>
      <c r="P1781" s="503">
        <f t="shared" si="128"/>
        <v>12</v>
      </c>
      <c r="Q1781" s="503">
        <f t="shared" si="129"/>
        <v>12</v>
      </c>
      <c r="R1781" s="504" t="str">
        <f t="shared" si="130"/>
        <v>Gastos_com_Pessoal</v>
      </c>
      <c r="S1781" s="504" t="str">
        <f>IF(D1781="","",IF(OR(D1781=Plano!$A$1,D1781=Plano!$B$1),"entrada","saída"))</f>
        <v>saída</v>
      </c>
      <c r="T1781" s="505" t="s">
        <v>114</v>
      </c>
      <c r="U1781" s="505" t="s">
        <v>114</v>
      </c>
      <c r="V1781" s="541"/>
    </row>
    <row r="1782" spans="1:22" ht="50.1" customHeight="1" x14ac:dyDescent="0.2">
      <c r="A1782" s="619">
        <f>IF(B1782="","",COUNT('Diário 5º PA'!$A$5:$A$2634)+COUNT('Diário 6º PA'!$A$5:$A$2246)+COUNT('Diário 7º PA'!$A$5:$A$2271)+ROW()-4)</f>
        <v>5728</v>
      </c>
      <c r="B1782" s="620">
        <v>44550</v>
      </c>
      <c r="C1782" s="624">
        <v>44531</v>
      </c>
      <c r="D1782" s="548" t="s">
        <v>88</v>
      </c>
      <c r="E1782" s="548" t="s">
        <v>175</v>
      </c>
      <c r="F1782" s="622">
        <v>718.77</v>
      </c>
      <c r="G1782" s="623" t="s">
        <v>6808</v>
      </c>
      <c r="H1782" s="548" t="s">
        <v>114</v>
      </c>
      <c r="I1782" s="583" t="s">
        <v>1188</v>
      </c>
      <c r="J1782" s="548" t="s">
        <v>1189</v>
      </c>
      <c r="K1782" s="583" t="s">
        <v>991</v>
      </c>
      <c r="L1782" s="583" t="s">
        <v>1183</v>
      </c>
      <c r="M1782" s="619" t="s">
        <v>114</v>
      </c>
      <c r="N1782" s="620">
        <v>44550</v>
      </c>
      <c r="O1782" s="684" t="s">
        <v>67</v>
      </c>
      <c r="P1782" s="503">
        <f t="shared" si="128"/>
        <v>12</v>
      </c>
      <c r="Q1782" s="503">
        <f t="shared" si="129"/>
        <v>12</v>
      </c>
      <c r="R1782" s="504" t="str">
        <f t="shared" si="130"/>
        <v>Gastos_com_Pessoal</v>
      </c>
      <c r="S1782" s="504" t="str">
        <f>IF(D1782="","",IF(OR(D1782=Plano!$A$1,D1782=Plano!$B$1),"entrada","saída"))</f>
        <v>saída</v>
      </c>
      <c r="T1782" s="505" t="s">
        <v>114</v>
      </c>
      <c r="U1782" s="505" t="s">
        <v>114</v>
      </c>
      <c r="V1782" s="541"/>
    </row>
    <row r="1783" spans="1:22" ht="50.1" customHeight="1" x14ac:dyDescent="0.2">
      <c r="A1783" s="619">
        <f>IF(B1783="","",COUNT('Diário 5º PA'!$A$5:$A$2634)+COUNT('Diário 6º PA'!$A$5:$A$2246)+COUNT('Diário 7º PA'!$A$5:$A$2271)+ROW()-4)</f>
        <v>5729</v>
      </c>
      <c r="B1783" s="620">
        <v>44550</v>
      </c>
      <c r="C1783" s="624">
        <v>44531</v>
      </c>
      <c r="D1783" s="548" t="s">
        <v>88</v>
      </c>
      <c r="E1783" s="548" t="s">
        <v>175</v>
      </c>
      <c r="F1783" s="622">
        <v>350.63</v>
      </c>
      <c r="G1783" s="623" t="s">
        <v>6809</v>
      </c>
      <c r="H1783" s="548" t="s">
        <v>114</v>
      </c>
      <c r="I1783" s="583" t="s">
        <v>6036</v>
      </c>
      <c r="J1783" s="548" t="s">
        <v>6037</v>
      </c>
      <c r="K1783" s="583" t="s">
        <v>991</v>
      </c>
      <c r="L1783" s="583" t="s">
        <v>1183</v>
      </c>
      <c r="M1783" s="619" t="s">
        <v>114</v>
      </c>
      <c r="N1783" s="620">
        <v>44550</v>
      </c>
      <c r="O1783" s="684" t="s">
        <v>67</v>
      </c>
      <c r="P1783" s="503">
        <f t="shared" si="128"/>
        <v>12</v>
      </c>
      <c r="Q1783" s="503">
        <f t="shared" si="129"/>
        <v>12</v>
      </c>
      <c r="R1783" s="504" t="str">
        <f t="shared" si="130"/>
        <v>Gastos_com_Pessoal</v>
      </c>
      <c r="S1783" s="504" t="str">
        <f>IF(D1783="","",IF(OR(D1783=Plano!$A$1,D1783=Plano!$B$1),"entrada","saída"))</f>
        <v>saída</v>
      </c>
      <c r="T1783" s="505" t="s">
        <v>114</v>
      </c>
      <c r="U1783" s="505" t="s">
        <v>114</v>
      </c>
      <c r="V1783" s="541"/>
    </row>
    <row r="1784" spans="1:22" ht="50.1" customHeight="1" x14ac:dyDescent="0.2">
      <c r="A1784" s="619">
        <f>IF(B1784="","",COUNT('Diário 5º PA'!$A$5:$A$2634)+COUNT('Diário 6º PA'!$A$5:$A$2246)+COUNT('Diário 7º PA'!$A$5:$A$2271)+ROW()-4)</f>
        <v>5730</v>
      </c>
      <c r="B1784" s="620">
        <v>44550</v>
      </c>
      <c r="C1784" s="624">
        <v>44531</v>
      </c>
      <c r="D1784" s="548" t="s">
        <v>88</v>
      </c>
      <c r="E1784" s="548" t="s">
        <v>175</v>
      </c>
      <c r="F1784" s="622">
        <v>407.29</v>
      </c>
      <c r="G1784" s="623" t="s">
        <v>6810</v>
      </c>
      <c r="H1784" s="548" t="s">
        <v>114</v>
      </c>
      <c r="I1784" s="583" t="s">
        <v>2235</v>
      </c>
      <c r="J1784" s="548" t="s">
        <v>2236</v>
      </c>
      <c r="K1784" s="583" t="s">
        <v>991</v>
      </c>
      <c r="L1784" s="583" t="s">
        <v>1183</v>
      </c>
      <c r="M1784" s="619" t="s">
        <v>114</v>
      </c>
      <c r="N1784" s="620">
        <v>44550</v>
      </c>
      <c r="O1784" s="684" t="s">
        <v>67</v>
      </c>
      <c r="P1784" s="503">
        <f t="shared" si="128"/>
        <v>12</v>
      </c>
      <c r="Q1784" s="503">
        <f t="shared" si="129"/>
        <v>12</v>
      </c>
      <c r="R1784" s="504" t="str">
        <f t="shared" si="130"/>
        <v>Gastos_com_Pessoal</v>
      </c>
      <c r="S1784" s="504" t="str">
        <f>IF(D1784="","",IF(OR(D1784=Plano!$A$1,D1784=Plano!$B$1),"entrada","saída"))</f>
        <v>saída</v>
      </c>
      <c r="T1784" s="505" t="s">
        <v>114</v>
      </c>
      <c r="U1784" s="505" t="s">
        <v>114</v>
      </c>
      <c r="V1784" s="541"/>
    </row>
    <row r="1785" spans="1:22" ht="50.1" customHeight="1" x14ac:dyDescent="0.2">
      <c r="A1785" s="619">
        <f>IF(B1785="","",COUNT('Diário 5º PA'!$A$5:$A$2634)+COUNT('Diário 6º PA'!$A$5:$A$2246)+COUNT('Diário 7º PA'!$A$5:$A$2271)+ROW()-4)</f>
        <v>5731</v>
      </c>
      <c r="B1785" s="620">
        <v>44550</v>
      </c>
      <c r="C1785" s="624">
        <v>44531</v>
      </c>
      <c r="D1785" s="548" t="s">
        <v>88</v>
      </c>
      <c r="E1785" s="548" t="s">
        <v>175</v>
      </c>
      <c r="F1785" s="622">
        <v>407.29</v>
      </c>
      <c r="G1785" s="623" t="s">
        <v>6811</v>
      </c>
      <c r="H1785" s="548" t="s">
        <v>114</v>
      </c>
      <c r="I1785" s="583" t="s">
        <v>2238</v>
      </c>
      <c r="J1785" s="548" t="s">
        <v>2239</v>
      </c>
      <c r="K1785" s="583" t="s">
        <v>991</v>
      </c>
      <c r="L1785" s="583" t="s">
        <v>1183</v>
      </c>
      <c r="M1785" s="619" t="s">
        <v>114</v>
      </c>
      <c r="N1785" s="620">
        <v>44550</v>
      </c>
      <c r="O1785" s="684" t="s">
        <v>67</v>
      </c>
      <c r="P1785" s="503">
        <f t="shared" si="128"/>
        <v>12</v>
      </c>
      <c r="Q1785" s="503">
        <f t="shared" si="129"/>
        <v>12</v>
      </c>
      <c r="R1785" s="504" t="str">
        <f t="shared" si="130"/>
        <v>Gastos_com_Pessoal</v>
      </c>
      <c r="S1785" s="504" t="str">
        <f>IF(D1785="","",IF(OR(D1785=Plano!$A$1,D1785=Plano!$B$1),"entrada","saída"))</f>
        <v>saída</v>
      </c>
      <c r="T1785" s="505" t="s">
        <v>114</v>
      </c>
      <c r="U1785" s="505" t="s">
        <v>114</v>
      </c>
      <c r="V1785" s="541"/>
    </row>
    <row r="1786" spans="1:22" ht="50.1" customHeight="1" x14ac:dyDescent="0.2">
      <c r="A1786" s="619">
        <f>IF(B1786="","",COUNT('Diário 5º PA'!$A$5:$A$2634)+COUNT('Diário 6º PA'!$A$5:$A$2246)+COUNT('Diário 7º PA'!$A$5:$A$2271)+ROW()-4)</f>
        <v>5732</v>
      </c>
      <c r="B1786" s="620">
        <v>44550</v>
      </c>
      <c r="C1786" s="624">
        <v>44531</v>
      </c>
      <c r="D1786" s="548" t="s">
        <v>88</v>
      </c>
      <c r="E1786" s="548" t="s">
        <v>175</v>
      </c>
      <c r="F1786" s="622">
        <v>546.08000000000004</v>
      </c>
      <c r="G1786" s="623" t="s">
        <v>6812</v>
      </c>
      <c r="H1786" s="548" t="s">
        <v>114</v>
      </c>
      <c r="I1786" s="583" t="s">
        <v>2258</v>
      </c>
      <c r="J1786" s="548" t="s">
        <v>2259</v>
      </c>
      <c r="K1786" s="583" t="s">
        <v>991</v>
      </c>
      <c r="L1786" s="583" t="s">
        <v>1183</v>
      </c>
      <c r="M1786" s="619" t="s">
        <v>114</v>
      </c>
      <c r="N1786" s="620">
        <v>44550</v>
      </c>
      <c r="O1786" s="684" t="s">
        <v>67</v>
      </c>
      <c r="P1786" s="503">
        <f t="shared" si="128"/>
        <v>12</v>
      </c>
      <c r="Q1786" s="503">
        <f t="shared" si="129"/>
        <v>12</v>
      </c>
      <c r="R1786" s="504" t="str">
        <f t="shared" si="130"/>
        <v>Gastos_com_Pessoal</v>
      </c>
      <c r="S1786" s="504" t="str">
        <f>IF(D1786="","",IF(OR(D1786=Plano!$A$1,D1786=Plano!$B$1),"entrada","saída"))</f>
        <v>saída</v>
      </c>
      <c r="T1786" s="505" t="s">
        <v>114</v>
      </c>
      <c r="U1786" s="505" t="s">
        <v>114</v>
      </c>
      <c r="V1786" s="541"/>
    </row>
    <row r="1787" spans="1:22" ht="50.1" customHeight="1" x14ac:dyDescent="0.2">
      <c r="A1787" s="619">
        <f>IF(B1787="","",COUNT('Diário 5º PA'!$A$5:$A$2634)+COUNT('Diário 6º PA'!$A$5:$A$2246)+COUNT('Diário 7º PA'!$A$5:$A$2271)+ROW()-4)</f>
        <v>5733</v>
      </c>
      <c r="B1787" s="620">
        <v>44550</v>
      </c>
      <c r="C1787" s="624">
        <v>44531</v>
      </c>
      <c r="D1787" s="548" t="s">
        <v>88</v>
      </c>
      <c r="E1787" s="548" t="s">
        <v>175</v>
      </c>
      <c r="F1787" s="622">
        <v>488</v>
      </c>
      <c r="G1787" s="623" t="s">
        <v>6813</v>
      </c>
      <c r="H1787" s="548" t="s">
        <v>114</v>
      </c>
      <c r="I1787" s="583" t="s">
        <v>1763</v>
      </c>
      <c r="J1787" s="548" t="s">
        <v>1764</v>
      </c>
      <c r="K1787" s="583" t="s">
        <v>991</v>
      </c>
      <c r="L1787" s="583" t="s">
        <v>1183</v>
      </c>
      <c r="M1787" s="619" t="s">
        <v>114</v>
      </c>
      <c r="N1787" s="620">
        <v>44550</v>
      </c>
      <c r="O1787" s="684" t="s">
        <v>67</v>
      </c>
      <c r="P1787" s="503">
        <f t="shared" si="128"/>
        <v>12</v>
      </c>
      <c r="Q1787" s="503">
        <f t="shared" si="129"/>
        <v>12</v>
      </c>
      <c r="R1787" s="504" t="str">
        <f t="shared" si="130"/>
        <v>Gastos_com_Pessoal</v>
      </c>
      <c r="S1787" s="504" t="str">
        <f>IF(D1787="","",IF(OR(D1787=Plano!$A$1,D1787=Plano!$B$1),"entrada","saída"))</f>
        <v>saída</v>
      </c>
      <c r="T1787" s="505" t="s">
        <v>114</v>
      </c>
      <c r="U1787" s="505" t="s">
        <v>114</v>
      </c>
      <c r="V1787" s="541"/>
    </row>
    <row r="1788" spans="1:22" ht="50.1" customHeight="1" x14ac:dyDescent="0.2">
      <c r="A1788" s="619">
        <f>IF(B1788="","",COUNT('Diário 5º PA'!$A$5:$A$2634)+COUNT('Diário 6º PA'!$A$5:$A$2246)+COUNT('Diário 7º PA'!$A$5:$A$2271)+ROW()-4)</f>
        <v>5734</v>
      </c>
      <c r="B1788" s="620">
        <v>44550</v>
      </c>
      <c r="C1788" s="624">
        <v>44531</v>
      </c>
      <c r="D1788" s="548" t="s">
        <v>88</v>
      </c>
      <c r="E1788" s="548" t="s">
        <v>175</v>
      </c>
      <c r="F1788" s="622">
        <v>3640.05</v>
      </c>
      <c r="G1788" s="623" t="s">
        <v>6814</v>
      </c>
      <c r="H1788" s="548" t="s">
        <v>114</v>
      </c>
      <c r="I1788" s="583" t="s">
        <v>1197</v>
      </c>
      <c r="J1788" s="548" t="s">
        <v>1198</v>
      </c>
      <c r="K1788" s="583" t="s">
        <v>991</v>
      </c>
      <c r="L1788" s="583" t="s">
        <v>1183</v>
      </c>
      <c r="M1788" s="619" t="s">
        <v>114</v>
      </c>
      <c r="N1788" s="620">
        <v>44550</v>
      </c>
      <c r="O1788" s="684" t="s">
        <v>67</v>
      </c>
      <c r="P1788" s="503">
        <f t="shared" si="128"/>
        <v>12</v>
      </c>
      <c r="Q1788" s="503">
        <f t="shared" si="129"/>
        <v>12</v>
      </c>
      <c r="R1788" s="504" t="str">
        <f t="shared" si="130"/>
        <v>Gastos_com_Pessoal</v>
      </c>
      <c r="S1788" s="504" t="str">
        <f>IF(D1788="","",IF(OR(D1788=Plano!$A$1,D1788=Plano!$B$1),"entrada","saída"))</f>
        <v>saída</v>
      </c>
      <c r="T1788" s="505" t="s">
        <v>114</v>
      </c>
      <c r="U1788" s="505" t="s">
        <v>114</v>
      </c>
      <c r="V1788" s="541"/>
    </row>
    <row r="1789" spans="1:22" ht="50.1" customHeight="1" x14ac:dyDescent="0.2">
      <c r="A1789" s="619">
        <f>IF(B1789="","",COUNT('Diário 5º PA'!$A$5:$A$2634)+COUNT('Diário 6º PA'!$A$5:$A$2246)+COUNT('Diário 7º PA'!$A$5:$A$2271)+ROW()-4)</f>
        <v>5735</v>
      </c>
      <c r="B1789" s="620">
        <v>44550</v>
      </c>
      <c r="C1789" s="624">
        <v>44531</v>
      </c>
      <c r="D1789" s="548" t="s">
        <v>88</v>
      </c>
      <c r="E1789" s="548" t="s">
        <v>175</v>
      </c>
      <c r="F1789" s="622">
        <v>488</v>
      </c>
      <c r="G1789" s="623" t="s">
        <v>6813</v>
      </c>
      <c r="H1789" s="548" t="s">
        <v>114</v>
      </c>
      <c r="I1789" s="583" t="s">
        <v>1765</v>
      </c>
      <c r="J1789" s="548" t="s">
        <v>1766</v>
      </c>
      <c r="K1789" s="583" t="s">
        <v>991</v>
      </c>
      <c r="L1789" s="583" t="s">
        <v>1183</v>
      </c>
      <c r="M1789" s="619" t="s">
        <v>114</v>
      </c>
      <c r="N1789" s="620">
        <v>44550</v>
      </c>
      <c r="O1789" s="684" t="s">
        <v>67</v>
      </c>
      <c r="P1789" s="503">
        <f t="shared" si="128"/>
        <v>12</v>
      </c>
      <c r="Q1789" s="503">
        <f t="shared" si="129"/>
        <v>12</v>
      </c>
      <c r="R1789" s="504" t="str">
        <f t="shared" si="130"/>
        <v>Gastos_com_Pessoal</v>
      </c>
      <c r="S1789" s="504" t="str">
        <f>IF(D1789="","",IF(OR(D1789=Plano!$A$1,D1789=Plano!$B$1),"entrada","saída"))</f>
        <v>saída</v>
      </c>
      <c r="T1789" s="505" t="s">
        <v>114</v>
      </c>
      <c r="U1789" s="505" t="s">
        <v>114</v>
      </c>
      <c r="V1789" s="541"/>
    </row>
    <row r="1790" spans="1:22" ht="50.1" customHeight="1" x14ac:dyDescent="0.2">
      <c r="A1790" s="619">
        <f>IF(B1790="","",COUNT('Diário 5º PA'!$A$5:$A$2634)+COUNT('Diário 6º PA'!$A$5:$A$2246)+COUNT('Diário 7º PA'!$A$5:$A$2271)+ROW()-4)</f>
        <v>5736</v>
      </c>
      <c r="B1790" s="620">
        <v>44550</v>
      </c>
      <c r="C1790" s="624">
        <v>44531</v>
      </c>
      <c r="D1790" s="548" t="s">
        <v>88</v>
      </c>
      <c r="E1790" s="548" t="s">
        <v>175</v>
      </c>
      <c r="F1790" s="622">
        <v>407.29</v>
      </c>
      <c r="G1790" s="623" t="s">
        <v>6802</v>
      </c>
      <c r="H1790" s="548" t="s">
        <v>114</v>
      </c>
      <c r="I1790" s="583" t="s">
        <v>2242</v>
      </c>
      <c r="J1790" s="548" t="s">
        <v>2243</v>
      </c>
      <c r="K1790" s="583" t="s">
        <v>991</v>
      </c>
      <c r="L1790" s="583" t="s">
        <v>1183</v>
      </c>
      <c r="M1790" s="619" t="s">
        <v>114</v>
      </c>
      <c r="N1790" s="620">
        <v>44550</v>
      </c>
      <c r="O1790" s="684" t="s">
        <v>67</v>
      </c>
      <c r="P1790" s="503">
        <f t="shared" si="128"/>
        <v>12</v>
      </c>
      <c r="Q1790" s="503">
        <f t="shared" si="129"/>
        <v>12</v>
      </c>
      <c r="R1790" s="504" t="str">
        <f t="shared" si="130"/>
        <v>Gastos_com_Pessoal</v>
      </c>
      <c r="S1790" s="504" t="str">
        <f>IF(D1790="","",IF(OR(D1790=Plano!$A$1,D1790=Plano!$B$1),"entrada","saída"))</f>
        <v>saída</v>
      </c>
      <c r="T1790" s="505" t="s">
        <v>114</v>
      </c>
      <c r="U1790" s="505" t="s">
        <v>114</v>
      </c>
      <c r="V1790" s="541"/>
    </row>
    <row r="1791" spans="1:22" ht="50.1" customHeight="1" x14ac:dyDescent="0.2">
      <c r="A1791" s="619">
        <f>IF(B1791="","",COUNT('Diário 5º PA'!$A$5:$A$2634)+COUNT('Diário 6º PA'!$A$5:$A$2246)+COUNT('Diário 7º PA'!$A$5:$A$2271)+ROW()-4)</f>
        <v>5737</v>
      </c>
      <c r="B1791" s="620">
        <v>44550</v>
      </c>
      <c r="C1791" s="624">
        <v>44531</v>
      </c>
      <c r="D1791" s="548" t="s">
        <v>88</v>
      </c>
      <c r="E1791" s="548" t="s">
        <v>175</v>
      </c>
      <c r="F1791" s="622">
        <v>350.63</v>
      </c>
      <c r="G1791" s="623" t="s">
        <v>6801</v>
      </c>
      <c r="H1791" s="548" t="s">
        <v>114</v>
      </c>
      <c r="I1791" s="583" t="s">
        <v>6042</v>
      </c>
      <c r="J1791" s="548" t="s">
        <v>6043</v>
      </c>
      <c r="K1791" s="583" t="s">
        <v>991</v>
      </c>
      <c r="L1791" s="583" t="s">
        <v>1183</v>
      </c>
      <c r="M1791" s="619" t="s">
        <v>114</v>
      </c>
      <c r="N1791" s="620">
        <v>44550</v>
      </c>
      <c r="O1791" s="684" t="s">
        <v>67</v>
      </c>
      <c r="P1791" s="503">
        <f t="shared" si="128"/>
        <v>12</v>
      </c>
      <c r="Q1791" s="503">
        <f t="shared" si="129"/>
        <v>12</v>
      </c>
      <c r="R1791" s="504" t="str">
        <f t="shared" si="130"/>
        <v>Gastos_com_Pessoal</v>
      </c>
      <c r="S1791" s="504" t="str">
        <f>IF(D1791="","",IF(OR(D1791=Plano!$A$1,D1791=Plano!$B$1),"entrada","saída"))</f>
        <v>saída</v>
      </c>
      <c r="T1791" s="505" t="s">
        <v>114</v>
      </c>
      <c r="U1791" s="505" t="s">
        <v>114</v>
      </c>
      <c r="V1791" s="541"/>
    </row>
    <row r="1792" spans="1:22" ht="50.1" customHeight="1" x14ac:dyDescent="0.2">
      <c r="A1792" s="619">
        <f>IF(B1792="","",COUNT('Diário 5º PA'!$A$5:$A$2634)+COUNT('Diário 6º PA'!$A$5:$A$2246)+COUNT('Diário 7º PA'!$A$5:$A$2271)+ROW()-4)</f>
        <v>5738</v>
      </c>
      <c r="B1792" s="620">
        <v>44550</v>
      </c>
      <c r="C1792" s="624">
        <v>44531</v>
      </c>
      <c r="D1792" s="548" t="s">
        <v>88</v>
      </c>
      <c r="E1792" s="548" t="s">
        <v>175</v>
      </c>
      <c r="F1792" s="622">
        <v>407.29</v>
      </c>
      <c r="G1792" s="623" t="s">
        <v>6802</v>
      </c>
      <c r="H1792" s="548" t="s">
        <v>114</v>
      </c>
      <c r="I1792" s="583" t="s">
        <v>2260</v>
      </c>
      <c r="J1792" s="548" t="s">
        <v>2261</v>
      </c>
      <c r="K1792" s="583" t="s">
        <v>991</v>
      </c>
      <c r="L1792" s="583" t="s">
        <v>1183</v>
      </c>
      <c r="M1792" s="619" t="s">
        <v>114</v>
      </c>
      <c r="N1792" s="620">
        <v>44550</v>
      </c>
      <c r="O1792" s="684" t="s">
        <v>67</v>
      </c>
      <c r="P1792" s="503">
        <f t="shared" si="128"/>
        <v>12</v>
      </c>
      <c r="Q1792" s="503">
        <f t="shared" si="129"/>
        <v>12</v>
      </c>
      <c r="R1792" s="504" t="str">
        <f t="shared" si="130"/>
        <v>Gastos_com_Pessoal</v>
      </c>
      <c r="S1792" s="504" t="str">
        <f>IF(D1792="","",IF(OR(D1792=Plano!$A$1,D1792=Plano!$B$1),"entrada","saída"))</f>
        <v>saída</v>
      </c>
      <c r="T1792" s="505" t="s">
        <v>114</v>
      </c>
      <c r="U1792" s="505" t="s">
        <v>114</v>
      </c>
      <c r="V1792" s="541"/>
    </row>
    <row r="1793" spans="1:22" ht="50.1" customHeight="1" x14ac:dyDescent="0.2">
      <c r="A1793" s="619">
        <f>IF(B1793="","",COUNT('Diário 5º PA'!$A$5:$A$2634)+COUNT('Diário 6º PA'!$A$5:$A$2246)+COUNT('Diário 7º PA'!$A$5:$A$2271)+ROW()-4)</f>
        <v>5739</v>
      </c>
      <c r="B1793" s="620">
        <v>44550</v>
      </c>
      <c r="C1793" s="624">
        <v>44531</v>
      </c>
      <c r="D1793" s="548" t="s">
        <v>88</v>
      </c>
      <c r="E1793" s="548" t="s">
        <v>175</v>
      </c>
      <c r="F1793" s="622">
        <v>1224.57</v>
      </c>
      <c r="G1793" s="623" t="s">
        <v>6815</v>
      </c>
      <c r="H1793" s="548" t="s">
        <v>114</v>
      </c>
      <c r="I1793" s="583" t="s">
        <v>1200</v>
      </c>
      <c r="J1793" s="548" t="s">
        <v>1201</v>
      </c>
      <c r="K1793" s="583" t="s">
        <v>991</v>
      </c>
      <c r="L1793" s="583" t="s">
        <v>1183</v>
      </c>
      <c r="M1793" s="619" t="s">
        <v>114</v>
      </c>
      <c r="N1793" s="620">
        <v>44550</v>
      </c>
      <c r="O1793" s="684" t="s">
        <v>67</v>
      </c>
      <c r="P1793" s="503">
        <f t="shared" si="128"/>
        <v>12</v>
      </c>
      <c r="Q1793" s="503">
        <f t="shared" si="129"/>
        <v>12</v>
      </c>
      <c r="R1793" s="504" t="str">
        <f t="shared" si="130"/>
        <v>Gastos_com_Pessoal</v>
      </c>
      <c r="S1793" s="504" t="str">
        <f>IF(D1793="","",IF(OR(D1793=Plano!$A$1,D1793=Plano!$B$1),"entrada","saída"))</f>
        <v>saída</v>
      </c>
      <c r="T1793" s="505" t="s">
        <v>114</v>
      </c>
      <c r="U1793" s="505" t="s">
        <v>114</v>
      </c>
      <c r="V1793" s="541"/>
    </row>
    <row r="1794" spans="1:22" ht="50.1" customHeight="1" x14ac:dyDescent="0.2">
      <c r="A1794" s="619">
        <f>IF(B1794="","",COUNT('Diário 5º PA'!$A$5:$A$2634)+COUNT('Diário 6º PA'!$A$5:$A$2246)+COUNT('Diário 7º PA'!$A$5:$A$2271)+ROW()-4)</f>
        <v>5740</v>
      </c>
      <c r="B1794" s="620">
        <v>44550</v>
      </c>
      <c r="C1794" s="624">
        <v>44531</v>
      </c>
      <c r="D1794" s="548" t="s">
        <v>88</v>
      </c>
      <c r="E1794" s="548" t="s">
        <v>175</v>
      </c>
      <c r="F1794" s="622">
        <v>488</v>
      </c>
      <c r="G1794" s="623" t="s">
        <v>6813</v>
      </c>
      <c r="H1794" s="548" t="s">
        <v>114</v>
      </c>
      <c r="I1794" s="583" t="s">
        <v>1767</v>
      </c>
      <c r="J1794" s="548" t="s">
        <v>1768</v>
      </c>
      <c r="K1794" s="583" t="s">
        <v>991</v>
      </c>
      <c r="L1794" s="583" t="s">
        <v>1183</v>
      </c>
      <c r="M1794" s="619" t="s">
        <v>114</v>
      </c>
      <c r="N1794" s="620">
        <v>44550</v>
      </c>
      <c r="O1794" s="684" t="s">
        <v>67</v>
      </c>
      <c r="P1794" s="503">
        <f t="shared" si="128"/>
        <v>12</v>
      </c>
      <c r="Q1794" s="503">
        <f t="shared" si="129"/>
        <v>12</v>
      </c>
      <c r="R1794" s="504" t="str">
        <f t="shared" si="130"/>
        <v>Gastos_com_Pessoal</v>
      </c>
      <c r="S1794" s="504" t="str">
        <f>IF(D1794="","",IF(OR(D1794=Plano!$A$1,D1794=Plano!$B$1),"entrada","saída"))</f>
        <v>saída</v>
      </c>
      <c r="T1794" s="505" t="s">
        <v>114</v>
      </c>
      <c r="U1794" s="505" t="s">
        <v>114</v>
      </c>
      <c r="V1794" s="541"/>
    </row>
    <row r="1795" spans="1:22" ht="50.1" customHeight="1" x14ac:dyDescent="0.2">
      <c r="A1795" s="619">
        <f>IF(B1795="","",COUNT('Diário 5º PA'!$A$5:$A$2634)+COUNT('Diário 6º PA'!$A$5:$A$2246)+COUNT('Diário 7º PA'!$A$5:$A$2271)+ROW()-4)</f>
        <v>5741</v>
      </c>
      <c r="B1795" s="620">
        <v>44550</v>
      </c>
      <c r="C1795" s="624">
        <v>44531</v>
      </c>
      <c r="D1795" s="548" t="s">
        <v>88</v>
      </c>
      <c r="E1795" s="548" t="s">
        <v>175</v>
      </c>
      <c r="F1795" s="622">
        <v>488</v>
      </c>
      <c r="G1795" s="623" t="s">
        <v>6813</v>
      </c>
      <c r="H1795" s="548" t="s">
        <v>114</v>
      </c>
      <c r="I1795" s="583" t="s">
        <v>1769</v>
      </c>
      <c r="J1795" s="548" t="s">
        <v>1770</v>
      </c>
      <c r="K1795" s="583" t="s">
        <v>991</v>
      </c>
      <c r="L1795" s="583" t="s">
        <v>1183</v>
      </c>
      <c r="M1795" s="619" t="s">
        <v>114</v>
      </c>
      <c r="N1795" s="620">
        <v>44550</v>
      </c>
      <c r="O1795" s="684" t="s">
        <v>67</v>
      </c>
      <c r="P1795" s="503">
        <f t="shared" ref="P1795:P1858" si="140">IF(B1795=0,0,IF(YEAR(B1795)=$Q$1,MONTH(B1795)-$P$1+1,(YEAR(B1795)-$Q$1)*12-$P$1+1+MONTH(B1795)))</f>
        <v>12</v>
      </c>
      <c r="Q1795" s="503">
        <f t="shared" ref="Q1795:Q1858" si="141">IF(C1795=0,0,IF(YEAR(C1795)=$Q$1,MONTH(C1795)-$P$1+1,(YEAR(C1795)-$Q$1)*12-$P$1+1+MONTH(C1795)))</f>
        <v>12</v>
      </c>
      <c r="R1795" s="504" t="str">
        <f t="shared" ref="R1795:R1858" si="142">SUBSTITUTE(D1795," ","_")</f>
        <v>Gastos_com_Pessoal</v>
      </c>
      <c r="S1795" s="504" t="str">
        <f>IF(D1795="","",IF(OR(D1795=Plano!$A$1,D1795=Plano!$B$1),"entrada","saída"))</f>
        <v>saída</v>
      </c>
      <c r="T1795" s="505" t="s">
        <v>114</v>
      </c>
      <c r="U1795" s="505" t="s">
        <v>114</v>
      </c>
      <c r="V1795" s="541"/>
    </row>
    <row r="1796" spans="1:22" ht="50.1" customHeight="1" x14ac:dyDescent="0.2">
      <c r="A1796" s="619">
        <f>IF(B1796="","",COUNT('Diário 5º PA'!$A$5:$A$2634)+COUNT('Diário 6º PA'!$A$5:$A$2246)+COUNT('Diário 7º PA'!$A$5:$A$2271)+ROW()-4)</f>
        <v>5742</v>
      </c>
      <c r="B1796" s="620">
        <v>44550</v>
      </c>
      <c r="C1796" s="624">
        <v>44531</v>
      </c>
      <c r="D1796" s="548" t="s">
        <v>88</v>
      </c>
      <c r="E1796" s="548" t="s">
        <v>175</v>
      </c>
      <c r="F1796" s="622">
        <v>488</v>
      </c>
      <c r="G1796" s="623" t="s">
        <v>6816</v>
      </c>
      <c r="H1796" s="548" t="s">
        <v>114</v>
      </c>
      <c r="I1796" s="583" t="s">
        <v>1771</v>
      </c>
      <c r="J1796" s="548" t="s">
        <v>1772</v>
      </c>
      <c r="K1796" s="583" t="s">
        <v>991</v>
      </c>
      <c r="L1796" s="583" t="s">
        <v>1183</v>
      </c>
      <c r="M1796" s="619" t="s">
        <v>114</v>
      </c>
      <c r="N1796" s="620">
        <v>44550</v>
      </c>
      <c r="O1796" s="684" t="s">
        <v>67</v>
      </c>
      <c r="P1796" s="503">
        <f t="shared" si="140"/>
        <v>12</v>
      </c>
      <c r="Q1796" s="503">
        <f t="shared" si="141"/>
        <v>12</v>
      </c>
      <c r="R1796" s="504" t="str">
        <f t="shared" si="142"/>
        <v>Gastos_com_Pessoal</v>
      </c>
      <c r="S1796" s="504" t="str">
        <f>IF(D1796="","",IF(OR(D1796=Plano!$A$1,D1796=Plano!$B$1),"entrada","saída"))</f>
        <v>saída</v>
      </c>
      <c r="T1796" s="505" t="s">
        <v>114</v>
      </c>
      <c r="U1796" s="505" t="s">
        <v>114</v>
      </c>
      <c r="V1796" s="541"/>
    </row>
    <row r="1797" spans="1:22" ht="50.1" customHeight="1" x14ac:dyDescent="0.2">
      <c r="A1797" s="619">
        <f>IF(B1797="","",COUNT('Diário 5º PA'!$A$5:$A$2634)+COUNT('Diário 6º PA'!$A$5:$A$2246)+COUNT('Diário 7º PA'!$A$5:$A$2271)+ROW()-4)</f>
        <v>5743</v>
      </c>
      <c r="B1797" s="620">
        <v>44550</v>
      </c>
      <c r="C1797" s="624">
        <v>44531</v>
      </c>
      <c r="D1797" s="548" t="s">
        <v>88</v>
      </c>
      <c r="E1797" s="548" t="s">
        <v>175</v>
      </c>
      <c r="F1797" s="622">
        <v>488</v>
      </c>
      <c r="G1797" s="623" t="s">
        <v>6816</v>
      </c>
      <c r="H1797" s="548" t="s">
        <v>114</v>
      </c>
      <c r="I1797" s="583" t="s">
        <v>1784</v>
      </c>
      <c r="J1797" s="548" t="s">
        <v>1785</v>
      </c>
      <c r="K1797" s="583" t="s">
        <v>991</v>
      </c>
      <c r="L1797" s="583" t="s">
        <v>1183</v>
      </c>
      <c r="M1797" s="619" t="s">
        <v>114</v>
      </c>
      <c r="N1797" s="620">
        <v>44550</v>
      </c>
      <c r="O1797" s="684" t="s">
        <v>67</v>
      </c>
      <c r="P1797" s="503">
        <f t="shared" si="140"/>
        <v>12</v>
      </c>
      <c r="Q1797" s="503">
        <f t="shared" si="141"/>
        <v>12</v>
      </c>
      <c r="R1797" s="504" t="str">
        <f t="shared" si="142"/>
        <v>Gastos_com_Pessoal</v>
      </c>
      <c r="S1797" s="504" t="str">
        <f>IF(D1797="","",IF(OR(D1797=Plano!$A$1,D1797=Plano!$B$1),"entrada","saída"))</f>
        <v>saída</v>
      </c>
      <c r="T1797" s="505" t="s">
        <v>114</v>
      </c>
      <c r="U1797" s="505" t="s">
        <v>114</v>
      </c>
      <c r="V1797" s="541"/>
    </row>
    <row r="1798" spans="1:22" ht="50.1" customHeight="1" x14ac:dyDescent="0.2">
      <c r="A1798" s="619">
        <f>IF(B1798="","",COUNT('Diário 5º PA'!$A$5:$A$2634)+COUNT('Diário 6º PA'!$A$5:$A$2246)+COUNT('Diário 7º PA'!$A$5:$A$2271)+ROW()-4)</f>
        <v>5744</v>
      </c>
      <c r="B1798" s="620">
        <v>44550</v>
      </c>
      <c r="C1798" s="624">
        <v>44531</v>
      </c>
      <c r="D1798" s="548" t="s">
        <v>88</v>
      </c>
      <c r="E1798" s="548" t="s">
        <v>175</v>
      </c>
      <c r="F1798" s="622">
        <v>228.37</v>
      </c>
      <c r="G1798" s="623" t="s">
        <v>6817</v>
      </c>
      <c r="H1798" s="548" t="s">
        <v>114</v>
      </c>
      <c r="I1798" s="583" t="s">
        <v>6047</v>
      </c>
      <c r="J1798" s="548" t="s">
        <v>6048</v>
      </c>
      <c r="K1798" s="583" t="s">
        <v>991</v>
      </c>
      <c r="L1798" s="583" t="s">
        <v>1183</v>
      </c>
      <c r="M1798" s="619" t="s">
        <v>114</v>
      </c>
      <c r="N1798" s="620">
        <v>44550</v>
      </c>
      <c r="O1798" s="684" t="s">
        <v>67</v>
      </c>
      <c r="P1798" s="503">
        <f t="shared" si="140"/>
        <v>12</v>
      </c>
      <c r="Q1798" s="503">
        <f t="shared" si="141"/>
        <v>12</v>
      </c>
      <c r="R1798" s="504" t="str">
        <f t="shared" si="142"/>
        <v>Gastos_com_Pessoal</v>
      </c>
      <c r="S1798" s="504" t="str">
        <f>IF(D1798="","",IF(OR(D1798=Plano!$A$1,D1798=Plano!$B$1),"entrada","saída"))</f>
        <v>saída</v>
      </c>
      <c r="T1798" s="505" t="s">
        <v>114</v>
      </c>
      <c r="U1798" s="505" t="s">
        <v>114</v>
      </c>
      <c r="V1798" s="541"/>
    </row>
    <row r="1799" spans="1:22" ht="50.1" customHeight="1" x14ac:dyDescent="0.2">
      <c r="A1799" s="619">
        <f>IF(B1799="","",COUNT('Diário 5º PA'!$A$5:$A$2634)+COUNT('Diário 6º PA'!$A$5:$A$2246)+COUNT('Diário 7º PA'!$A$5:$A$2271)+ROW()-4)</f>
        <v>5745</v>
      </c>
      <c r="B1799" s="620">
        <v>44550</v>
      </c>
      <c r="C1799" s="624">
        <v>44531</v>
      </c>
      <c r="D1799" s="548" t="s">
        <v>88</v>
      </c>
      <c r="E1799" s="548" t="s">
        <v>175</v>
      </c>
      <c r="F1799" s="622">
        <v>350.63</v>
      </c>
      <c r="G1799" s="623" t="s">
        <v>6818</v>
      </c>
      <c r="H1799" s="548" t="s">
        <v>114</v>
      </c>
      <c r="I1799" s="583" t="s">
        <v>6062</v>
      </c>
      <c r="J1799" s="548" t="s">
        <v>2267</v>
      </c>
      <c r="K1799" s="583" t="s">
        <v>991</v>
      </c>
      <c r="L1799" s="583" t="s">
        <v>1183</v>
      </c>
      <c r="M1799" s="619" t="s">
        <v>114</v>
      </c>
      <c r="N1799" s="620">
        <v>44550</v>
      </c>
      <c r="O1799" s="684" t="s">
        <v>67</v>
      </c>
      <c r="P1799" s="503">
        <f t="shared" si="140"/>
        <v>12</v>
      </c>
      <c r="Q1799" s="503">
        <f t="shared" si="141"/>
        <v>12</v>
      </c>
      <c r="R1799" s="504" t="str">
        <f t="shared" si="142"/>
        <v>Gastos_com_Pessoal</v>
      </c>
      <c r="S1799" s="504" t="str">
        <f>IF(D1799="","",IF(OR(D1799=Plano!$A$1,D1799=Plano!$B$1),"entrada","saída"))</f>
        <v>saída</v>
      </c>
      <c r="T1799" s="505" t="s">
        <v>114</v>
      </c>
      <c r="U1799" s="505" t="s">
        <v>114</v>
      </c>
      <c r="V1799" s="541"/>
    </row>
    <row r="1800" spans="1:22" ht="50.1" customHeight="1" x14ac:dyDescent="0.2">
      <c r="A1800" s="619">
        <f>IF(B1800="","",COUNT('Diário 5º PA'!$A$5:$A$2634)+COUNT('Diário 6º PA'!$A$5:$A$2246)+COUNT('Diário 7º PA'!$A$5:$A$2271)+ROW()-4)</f>
        <v>5746</v>
      </c>
      <c r="B1800" s="620">
        <v>44550</v>
      </c>
      <c r="C1800" s="624">
        <v>44531</v>
      </c>
      <c r="D1800" s="548" t="s">
        <v>88</v>
      </c>
      <c r="E1800" s="548" t="s">
        <v>175</v>
      </c>
      <c r="F1800" s="622">
        <v>407.29</v>
      </c>
      <c r="G1800" s="623" t="s">
        <v>6819</v>
      </c>
      <c r="H1800" s="548" t="s">
        <v>114</v>
      </c>
      <c r="I1800" s="583" t="s">
        <v>2244</v>
      </c>
      <c r="J1800" s="548" t="s">
        <v>2245</v>
      </c>
      <c r="K1800" s="583" t="s">
        <v>991</v>
      </c>
      <c r="L1800" s="583" t="s">
        <v>1183</v>
      </c>
      <c r="M1800" s="619" t="s">
        <v>114</v>
      </c>
      <c r="N1800" s="620">
        <v>44550</v>
      </c>
      <c r="O1800" s="684" t="s">
        <v>67</v>
      </c>
      <c r="P1800" s="503">
        <f t="shared" si="140"/>
        <v>12</v>
      </c>
      <c r="Q1800" s="503">
        <f t="shared" si="141"/>
        <v>12</v>
      </c>
      <c r="R1800" s="504" t="str">
        <f t="shared" si="142"/>
        <v>Gastos_com_Pessoal</v>
      </c>
      <c r="S1800" s="504" t="str">
        <f>IF(D1800="","",IF(OR(D1800=Plano!$A$1,D1800=Plano!$B$1),"entrada","saída"))</f>
        <v>saída</v>
      </c>
      <c r="T1800" s="505" t="s">
        <v>114</v>
      </c>
      <c r="U1800" s="505" t="s">
        <v>114</v>
      </c>
      <c r="V1800" s="541"/>
    </row>
    <row r="1801" spans="1:22" ht="50.1" customHeight="1" x14ac:dyDescent="0.2">
      <c r="A1801" s="619">
        <f>IF(B1801="","",COUNT('Diário 5º PA'!$A$5:$A$2634)+COUNT('Diário 6º PA'!$A$5:$A$2246)+COUNT('Diário 7º PA'!$A$5:$A$2271)+ROW()-4)</f>
        <v>5747</v>
      </c>
      <c r="B1801" s="620">
        <v>44550</v>
      </c>
      <c r="C1801" s="624">
        <v>44531</v>
      </c>
      <c r="D1801" s="548" t="s">
        <v>88</v>
      </c>
      <c r="E1801" s="548" t="s">
        <v>175</v>
      </c>
      <c r="F1801" s="622">
        <v>350.63</v>
      </c>
      <c r="G1801" s="623" t="s">
        <v>6809</v>
      </c>
      <c r="H1801" s="548" t="s">
        <v>114</v>
      </c>
      <c r="I1801" s="583" t="s">
        <v>6049</v>
      </c>
      <c r="J1801" s="548" t="s">
        <v>6050</v>
      </c>
      <c r="K1801" s="583" t="s">
        <v>991</v>
      </c>
      <c r="L1801" s="583" t="s">
        <v>1183</v>
      </c>
      <c r="M1801" s="619" t="s">
        <v>114</v>
      </c>
      <c r="N1801" s="620">
        <v>44550</v>
      </c>
      <c r="O1801" s="684" t="s">
        <v>67</v>
      </c>
      <c r="P1801" s="503">
        <f t="shared" si="140"/>
        <v>12</v>
      </c>
      <c r="Q1801" s="503">
        <f t="shared" si="141"/>
        <v>12</v>
      </c>
      <c r="R1801" s="504" t="str">
        <f t="shared" si="142"/>
        <v>Gastos_com_Pessoal</v>
      </c>
      <c r="S1801" s="504" t="str">
        <f>IF(D1801="","",IF(OR(D1801=Plano!$A$1,D1801=Plano!$B$1),"entrada","saída"))</f>
        <v>saída</v>
      </c>
      <c r="T1801" s="505" t="s">
        <v>114</v>
      </c>
      <c r="U1801" s="505" t="s">
        <v>114</v>
      </c>
      <c r="V1801" s="541"/>
    </row>
    <row r="1802" spans="1:22" ht="50.1" customHeight="1" x14ac:dyDescent="0.2">
      <c r="A1802" s="619">
        <f>IF(B1802="","",COUNT('Diário 5º PA'!$A$5:$A$2634)+COUNT('Diário 6º PA'!$A$5:$A$2246)+COUNT('Diário 7º PA'!$A$5:$A$2271)+ROW()-4)</f>
        <v>5748</v>
      </c>
      <c r="B1802" s="620">
        <v>44550</v>
      </c>
      <c r="C1802" s="624">
        <v>44531</v>
      </c>
      <c r="D1802" s="548" t="s">
        <v>88</v>
      </c>
      <c r="E1802" s="548" t="s">
        <v>175</v>
      </c>
      <c r="F1802" s="622">
        <v>350.63</v>
      </c>
      <c r="G1802" s="623" t="s">
        <v>6809</v>
      </c>
      <c r="H1802" s="548" t="s">
        <v>114</v>
      </c>
      <c r="I1802" s="583" t="s">
        <v>6051</v>
      </c>
      <c r="J1802" s="548" t="s">
        <v>6052</v>
      </c>
      <c r="K1802" s="583" t="s">
        <v>991</v>
      </c>
      <c r="L1802" s="583" t="s">
        <v>1183</v>
      </c>
      <c r="M1802" s="619" t="s">
        <v>114</v>
      </c>
      <c r="N1802" s="620">
        <v>44550</v>
      </c>
      <c r="O1802" s="684" t="s">
        <v>67</v>
      </c>
      <c r="P1802" s="503">
        <f t="shared" si="140"/>
        <v>12</v>
      </c>
      <c r="Q1802" s="503">
        <f t="shared" si="141"/>
        <v>12</v>
      </c>
      <c r="R1802" s="504" t="str">
        <f t="shared" si="142"/>
        <v>Gastos_com_Pessoal</v>
      </c>
      <c r="S1802" s="504" t="str">
        <f>IF(D1802="","",IF(OR(D1802=Plano!$A$1,D1802=Plano!$B$1),"entrada","saída"))</f>
        <v>saída</v>
      </c>
      <c r="T1802" s="505" t="s">
        <v>114</v>
      </c>
      <c r="U1802" s="505" t="s">
        <v>114</v>
      </c>
      <c r="V1802" s="541"/>
    </row>
    <row r="1803" spans="1:22" ht="50.1" customHeight="1" x14ac:dyDescent="0.2">
      <c r="A1803" s="619">
        <f>IF(B1803="","",COUNT('Diário 5º PA'!$A$5:$A$2634)+COUNT('Diário 6º PA'!$A$5:$A$2246)+COUNT('Diário 7º PA'!$A$5:$A$2271)+ROW()-4)</f>
        <v>5749</v>
      </c>
      <c r="B1803" s="620">
        <v>44550</v>
      </c>
      <c r="C1803" s="624">
        <v>44531</v>
      </c>
      <c r="D1803" s="548" t="s">
        <v>88</v>
      </c>
      <c r="E1803" s="548" t="s">
        <v>175</v>
      </c>
      <c r="F1803" s="622">
        <v>350.63</v>
      </c>
      <c r="G1803" s="623" t="s">
        <v>6820</v>
      </c>
      <c r="H1803" s="548" t="s">
        <v>114</v>
      </c>
      <c r="I1803" s="583" t="s">
        <v>6053</v>
      </c>
      <c r="J1803" s="548" t="s">
        <v>6054</v>
      </c>
      <c r="K1803" s="583" t="s">
        <v>991</v>
      </c>
      <c r="L1803" s="583" t="s">
        <v>1183</v>
      </c>
      <c r="M1803" s="619" t="s">
        <v>114</v>
      </c>
      <c r="N1803" s="620">
        <v>44550</v>
      </c>
      <c r="O1803" s="684" t="s">
        <v>67</v>
      </c>
      <c r="P1803" s="503">
        <f t="shared" si="140"/>
        <v>12</v>
      </c>
      <c r="Q1803" s="503">
        <f t="shared" si="141"/>
        <v>12</v>
      </c>
      <c r="R1803" s="504" t="str">
        <f t="shared" si="142"/>
        <v>Gastos_com_Pessoal</v>
      </c>
      <c r="S1803" s="504" t="str">
        <f>IF(D1803="","",IF(OR(D1803=Plano!$A$1,D1803=Plano!$B$1),"entrada","saída"))</f>
        <v>saída</v>
      </c>
      <c r="T1803" s="505" t="s">
        <v>114</v>
      </c>
      <c r="U1803" s="505" t="s">
        <v>114</v>
      </c>
      <c r="V1803" s="541"/>
    </row>
    <row r="1804" spans="1:22" ht="50.1" customHeight="1" x14ac:dyDescent="0.2">
      <c r="A1804" s="619">
        <f>IF(B1804="","",COUNT('Diário 5º PA'!$A$5:$A$2634)+COUNT('Diário 6º PA'!$A$5:$A$2246)+COUNT('Diário 7º PA'!$A$5:$A$2271)+ROW()-4)</f>
        <v>5750</v>
      </c>
      <c r="B1804" s="620">
        <v>44550</v>
      </c>
      <c r="C1804" s="624">
        <v>44531</v>
      </c>
      <c r="D1804" s="548" t="s">
        <v>88</v>
      </c>
      <c r="E1804" s="548" t="s">
        <v>175</v>
      </c>
      <c r="F1804" s="622">
        <v>488</v>
      </c>
      <c r="G1804" s="623" t="s">
        <v>6813</v>
      </c>
      <c r="H1804" s="548" t="s">
        <v>114</v>
      </c>
      <c r="I1804" s="583" t="s">
        <v>1773</v>
      </c>
      <c r="J1804" s="548" t="s">
        <v>1774</v>
      </c>
      <c r="K1804" s="583" t="s">
        <v>991</v>
      </c>
      <c r="L1804" s="583" t="s">
        <v>1183</v>
      </c>
      <c r="M1804" s="619" t="s">
        <v>114</v>
      </c>
      <c r="N1804" s="620">
        <v>44550</v>
      </c>
      <c r="O1804" s="684" t="s">
        <v>67</v>
      </c>
      <c r="P1804" s="503">
        <f t="shared" si="140"/>
        <v>12</v>
      </c>
      <c r="Q1804" s="503">
        <f t="shared" si="141"/>
        <v>12</v>
      </c>
      <c r="R1804" s="504" t="str">
        <f t="shared" si="142"/>
        <v>Gastos_com_Pessoal</v>
      </c>
      <c r="S1804" s="504" t="str">
        <f>IF(D1804="","",IF(OR(D1804=Plano!$A$1,D1804=Plano!$B$1),"entrada","saída"))</f>
        <v>saída</v>
      </c>
      <c r="T1804" s="505" t="s">
        <v>114</v>
      </c>
      <c r="U1804" s="505" t="s">
        <v>114</v>
      </c>
      <c r="V1804" s="541"/>
    </row>
    <row r="1805" spans="1:22" ht="50.1" customHeight="1" x14ac:dyDescent="0.2">
      <c r="A1805" s="619">
        <f>IF(B1805="","",COUNT('Diário 5º PA'!$A$5:$A$2634)+COUNT('Diário 6º PA'!$A$5:$A$2246)+COUNT('Diário 7º PA'!$A$5:$A$2271)+ROW()-4)</f>
        <v>5751</v>
      </c>
      <c r="B1805" s="620">
        <v>44550</v>
      </c>
      <c r="C1805" s="624">
        <v>44531</v>
      </c>
      <c r="D1805" s="548" t="s">
        <v>88</v>
      </c>
      <c r="E1805" s="548" t="s">
        <v>175</v>
      </c>
      <c r="F1805" s="622">
        <v>350.63</v>
      </c>
      <c r="G1805" s="623" t="s">
        <v>6809</v>
      </c>
      <c r="H1805" s="548" t="s">
        <v>114</v>
      </c>
      <c r="I1805" s="583" t="s">
        <v>6055</v>
      </c>
      <c r="J1805" s="548" t="s">
        <v>6056</v>
      </c>
      <c r="K1805" s="583" t="s">
        <v>991</v>
      </c>
      <c r="L1805" s="583" t="s">
        <v>1183</v>
      </c>
      <c r="M1805" s="619" t="s">
        <v>114</v>
      </c>
      <c r="N1805" s="620">
        <v>44550</v>
      </c>
      <c r="O1805" s="684" t="s">
        <v>67</v>
      </c>
      <c r="P1805" s="503">
        <f t="shared" si="140"/>
        <v>12</v>
      </c>
      <c r="Q1805" s="503">
        <f t="shared" si="141"/>
        <v>12</v>
      </c>
      <c r="R1805" s="504" t="str">
        <f t="shared" si="142"/>
        <v>Gastos_com_Pessoal</v>
      </c>
      <c r="S1805" s="504" t="str">
        <f>IF(D1805="","",IF(OR(D1805=Plano!$A$1,D1805=Plano!$B$1),"entrada","saída"))</f>
        <v>saída</v>
      </c>
      <c r="T1805" s="505" t="s">
        <v>114</v>
      </c>
      <c r="U1805" s="505" t="s">
        <v>114</v>
      </c>
      <c r="V1805" s="541"/>
    </row>
    <row r="1806" spans="1:22" ht="50.1" customHeight="1" x14ac:dyDescent="0.2">
      <c r="A1806" s="619">
        <f>IF(B1806="","",COUNT('Diário 5º PA'!$A$5:$A$2634)+COUNT('Diário 6º PA'!$A$5:$A$2246)+COUNT('Diário 7º PA'!$A$5:$A$2271)+ROW()-4)</f>
        <v>5752</v>
      </c>
      <c r="B1806" s="620">
        <v>44550</v>
      </c>
      <c r="C1806" s="624">
        <v>44531</v>
      </c>
      <c r="D1806" s="548" t="s">
        <v>88</v>
      </c>
      <c r="E1806" s="548" t="s">
        <v>175</v>
      </c>
      <c r="F1806" s="622">
        <v>499.07</v>
      </c>
      <c r="G1806" s="623" t="s">
        <v>6821</v>
      </c>
      <c r="H1806" s="548" t="s">
        <v>114</v>
      </c>
      <c r="I1806" s="583" t="s">
        <v>1203</v>
      </c>
      <c r="J1806" s="548" t="s">
        <v>1204</v>
      </c>
      <c r="K1806" s="583" t="s">
        <v>991</v>
      </c>
      <c r="L1806" s="583" t="s">
        <v>1183</v>
      </c>
      <c r="M1806" s="619" t="s">
        <v>114</v>
      </c>
      <c r="N1806" s="620">
        <v>44550</v>
      </c>
      <c r="O1806" s="684" t="s">
        <v>67</v>
      </c>
      <c r="P1806" s="503">
        <f t="shared" si="140"/>
        <v>12</v>
      </c>
      <c r="Q1806" s="503">
        <f t="shared" si="141"/>
        <v>12</v>
      </c>
      <c r="R1806" s="504" t="str">
        <f t="shared" si="142"/>
        <v>Gastos_com_Pessoal</v>
      </c>
      <c r="S1806" s="504" t="str">
        <f>IF(D1806="","",IF(OR(D1806=Plano!$A$1,D1806=Plano!$B$1),"entrada","saída"))</f>
        <v>saída</v>
      </c>
      <c r="T1806" s="505" t="s">
        <v>114</v>
      </c>
      <c r="U1806" s="505" t="s">
        <v>114</v>
      </c>
      <c r="V1806" s="541"/>
    </row>
    <row r="1807" spans="1:22" ht="50.1" customHeight="1" x14ac:dyDescent="0.2">
      <c r="A1807" s="619">
        <f>IF(B1807="","",COUNT('Diário 5º PA'!$A$5:$A$2634)+COUNT('Diário 6º PA'!$A$5:$A$2246)+COUNT('Diário 7º PA'!$A$5:$A$2271)+ROW()-4)</f>
        <v>5753</v>
      </c>
      <c r="B1807" s="620">
        <v>44550</v>
      </c>
      <c r="C1807" s="624">
        <v>44531</v>
      </c>
      <c r="D1807" s="548" t="s">
        <v>88</v>
      </c>
      <c r="E1807" s="548" t="s">
        <v>175</v>
      </c>
      <c r="F1807" s="622">
        <v>382.5</v>
      </c>
      <c r="G1807" s="623" t="s">
        <v>6822</v>
      </c>
      <c r="H1807" s="548" t="s">
        <v>114</v>
      </c>
      <c r="I1807" s="583" t="s">
        <v>1776</v>
      </c>
      <c r="J1807" s="548" t="s">
        <v>1777</v>
      </c>
      <c r="K1807" s="583" t="s">
        <v>991</v>
      </c>
      <c r="L1807" s="583" t="s">
        <v>1183</v>
      </c>
      <c r="M1807" s="619" t="s">
        <v>114</v>
      </c>
      <c r="N1807" s="620">
        <v>44550</v>
      </c>
      <c r="O1807" s="684" t="s">
        <v>67</v>
      </c>
      <c r="P1807" s="503">
        <f t="shared" si="140"/>
        <v>12</v>
      </c>
      <c r="Q1807" s="503">
        <f t="shared" si="141"/>
        <v>12</v>
      </c>
      <c r="R1807" s="504" t="str">
        <f t="shared" si="142"/>
        <v>Gastos_com_Pessoal</v>
      </c>
      <c r="S1807" s="504" t="str">
        <f>IF(D1807="","",IF(OR(D1807=Plano!$A$1,D1807=Plano!$B$1),"entrada","saída"))</f>
        <v>saída</v>
      </c>
      <c r="T1807" s="505" t="s">
        <v>114</v>
      </c>
      <c r="U1807" s="505" t="s">
        <v>114</v>
      </c>
      <c r="V1807" s="541"/>
    </row>
    <row r="1808" spans="1:22" ht="50.1" customHeight="1" x14ac:dyDescent="0.2">
      <c r="A1808" s="619">
        <f>IF(B1808="","",COUNT('Diário 5º PA'!$A$5:$A$2634)+COUNT('Diário 6º PA'!$A$5:$A$2246)+COUNT('Diário 7º PA'!$A$5:$A$2271)+ROW()-4)</f>
        <v>5754</v>
      </c>
      <c r="B1808" s="620">
        <v>44550</v>
      </c>
      <c r="C1808" s="624">
        <v>44531</v>
      </c>
      <c r="D1808" s="548" t="s">
        <v>88</v>
      </c>
      <c r="E1808" s="548" t="s">
        <v>175</v>
      </c>
      <c r="F1808" s="622">
        <v>488</v>
      </c>
      <c r="G1808" s="623" t="s">
        <v>6816</v>
      </c>
      <c r="H1808" s="548" t="s">
        <v>114</v>
      </c>
      <c r="I1808" s="583" t="s">
        <v>1778</v>
      </c>
      <c r="J1808" s="548" t="s">
        <v>1779</v>
      </c>
      <c r="K1808" s="583" t="s">
        <v>991</v>
      </c>
      <c r="L1808" s="583" t="s">
        <v>1183</v>
      </c>
      <c r="M1808" s="619" t="s">
        <v>114</v>
      </c>
      <c r="N1808" s="620">
        <v>44550</v>
      </c>
      <c r="O1808" s="684" t="s">
        <v>67</v>
      </c>
      <c r="P1808" s="503">
        <f t="shared" si="140"/>
        <v>12</v>
      </c>
      <c r="Q1808" s="503">
        <f t="shared" si="141"/>
        <v>12</v>
      </c>
      <c r="R1808" s="504" t="str">
        <f t="shared" si="142"/>
        <v>Gastos_com_Pessoal</v>
      </c>
      <c r="S1808" s="504" t="str">
        <f>IF(D1808="","",IF(OR(D1808=Plano!$A$1,D1808=Plano!$B$1),"entrada","saída"))</f>
        <v>saída</v>
      </c>
      <c r="T1808" s="505" t="s">
        <v>114</v>
      </c>
      <c r="U1808" s="505" t="s">
        <v>114</v>
      </c>
      <c r="V1808" s="541"/>
    </row>
    <row r="1809" spans="1:22" ht="50.1" customHeight="1" x14ac:dyDescent="0.2">
      <c r="A1809" s="619">
        <f>IF(B1809="","",COUNT('Diário 5º PA'!$A$5:$A$2634)+COUNT('Diário 6º PA'!$A$5:$A$2246)+COUNT('Diário 7º PA'!$A$5:$A$2271)+ROW()-4)</f>
        <v>5755</v>
      </c>
      <c r="B1809" s="620">
        <v>44550</v>
      </c>
      <c r="C1809" s="624">
        <v>44531</v>
      </c>
      <c r="D1809" s="548" t="s">
        <v>88</v>
      </c>
      <c r="E1809" s="548" t="s">
        <v>175</v>
      </c>
      <c r="F1809" s="622">
        <v>407.29</v>
      </c>
      <c r="G1809" s="623" t="s">
        <v>6802</v>
      </c>
      <c r="H1809" s="548" t="s">
        <v>114</v>
      </c>
      <c r="I1809" s="583" t="s">
        <v>2248</v>
      </c>
      <c r="J1809" s="548" t="s">
        <v>1781</v>
      </c>
      <c r="K1809" s="583" t="s">
        <v>991</v>
      </c>
      <c r="L1809" s="583" t="s">
        <v>1183</v>
      </c>
      <c r="M1809" s="619" t="s">
        <v>114</v>
      </c>
      <c r="N1809" s="620">
        <v>44550</v>
      </c>
      <c r="O1809" s="684" t="s">
        <v>67</v>
      </c>
      <c r="P1809" s="503">
        <f t="shared" si="140"/>
        <v>12</v>
      </c>
      <c r="Q1809" s="503">
        <f t="shared" si="141"/>
        <v>12</v>
      </c>
      <c r="R1809" s="504" t="str">
        <f t="shared" si="142"/>
        <v>Gastos_com_Pessoal</v>
      </c>
      <c r="S1809" s="504" t="str">
        <f>IF(D1809="","",IF(OR(D1809=Plano!$A$1,D1809=Plano!$B$1),"entrada","saída"))</f>
        <v>saída</v>
      </c>
      <c r="T1809" s="505" t="s">
        <v>114</v>
      </c>
      <c r="U1809" s="505" t="s">
        <v>114</v>
      </c>
      <c r="V1809" s="541"/>
    </row>
    <row r="1810" spans="1:22" ht="50.1" customHeight="1" x14ac:dyDescent="0.2">
      <c r="A1810" s="619">
        <f>IF(B1810="","",COUNT('Diário 5º PA'!$A$5:$A$2634)+COUNT('Diário 6º PA'!$A$5:$A$2246)+COUNT('Diário 7º PA'!$A$5:$A$2271)+ROW()-4)</f>
        <v>5756</v>
      </c>
      <c r="B1810" s="620">
        <v>44550</v>
      </c>
      <c r="C1810" s="624">
        <v>44531</v>
      </c>
      <c r="D1810" s="548" t="s">
        <v>88</v>
      </c>
      <c r="E1810" s="548" t="s">
        <v>175</v>
      </c>
      <c r="F1810" s="622">
        <v>488</v>
      </c>
      <c r="G1810" s="623" t="s">
        <v>6813</v>
      </c>
      <c r="H1810" s="548" t="s">
        <v>114</v>
      </c>
      <c r="I1810" s="583" t="s">
        <v>1780</v>
      </c>
      <c r="J1810" s="548" t="s">
        <v>1781</v>
      </c>
      <c r="K1810" s="583" t="s">
        <v>991</v>
      </c>
      <c r="L1810" s="583" t="s">
        <v>1183</v>
      </c>
      <c r="M1810" s="619" t="s">
        <v>114</v>
      </c>
      <c r="N1810" s="620">
        <v>44550</v>
      </c>
      <c r="O1810" s="684" t="s">
        <v>67</v>
      </c>
      <c r="P1810" s="503">
        <f t="shared" si="140"/>
        <v>12</v>
      </c>
      <c r="Q1810" s="503">
        <f t="shared" si="141"/>
        <v>12</v>
      </c>
      <c r="R1810" s="504" t="str">
        <f t="shared" si="142"/>
        <v>Gastos_com_Pessoal</v>
      </c>
      <c r="S1810" s="504" t="str">
        <f>IF(D1810="","",IF(OR(D1810=Plano!$A$1,D1810=Plano!$B$1),"entrada","saída"))</f>
        <v>saída</v>
      </c>
      <c r="T1810" s="505" t="s">
        <v>114</v>
      </c>
      <c r="U1810" s="505" t="s">
        <v>114</v>
      </c>
      <c r="V1810" s="541"/>
    </row>
    <row r="1811" spans="1:22" ht="50.1" customHeight="1" x14ac:dyDescent="0.2">
      <c r="A1811" s="619">
        <f>IF(B1811="","",COUNT('Diário 5º PA'!$A$5:$A$2634)+COUNT('Diário 6º PA'!$A$5:$A$2246)+COUNT('Diário 7º PA'!$A$5:$A$2271)+ROW()-4)</f>
        <v>5757</v>
      </c>
      <c r="B1811" s="620">
        <v>44550</v>
      </c>
      <c r="C1811" s="624">
        <v>44531</v>
      </c>
      <c r="D1811" s="548" t="s">
        <v>88</v>
      </c>
      <c r="E1811" s="548" t="s">
        <v>175</v>
      </c>
      <c r="F1811" s="622">
        <v>407.29</v>
      </c>
      <c r="G1811" s="623" t="s">
        <v>6823</v>
      </c>
      <c r="H1811" s="548" t="s">
        <v>114</v>
      </c>
      <c r="I1811" s="583" t="s">
        <v>2250</v>
      </c>
      <c r="J1811" s="548" t="s">
        <v>2251</v>
      </c>
      <c r="K1811" s="583" t="s">
        <v>991</v>
      </c>
      <c r="L1811" s="583" t="s">
        <v>1183</v>
      </c>
      <c r="M1811" s="619" t="s">
        <v>114</v>
      </c>
      <c r="N1811" s="620">
        <v>44550</v>
      </c>
      <c r="O1811" s="684" t="s">
        <v>67</v>
      </c>
      <c r="P1811" s="503">
        <f t="shared" si="140"/>
        <v>12</v>
      </c>
      <c r="Q1811" s="503">
        <f t="shared" si="141"/>
        <v>12</v>
      </c>
      <c r="R1811" s="504" t="str">
        <f t="shared" si="142"/>
        <v>Gastos_com_Pessoal</v>
      </c>
      <c r="S1811" s="504" t="str">
        <f>IF(D1811="","",IF(OR(D1811=Plano!$A$1,D1811=Plano!$B$1),"entrada","saída"))</f>
        <v>saída</v>
      </c>
      <c r="T1811" s="505" t="s">
        <v>114</v>
      </c>
      <c r="U1811" s="505" t="s">
        <v>114</v>
      </c>
      <c r="V1811" s="541"/>
    </row>
    <row r="1812" spans="1:22" ht="50.1" customHeight="1" x14ac:dyDescent="0.2">
      <c r="A1812" s="619">
        <f>IF(B1812="","",COUNT('Diário 5º PA'!$A$5:$A$2634)+COUNT('Diário 6º PA'!$A$5:$A$2246)+COUNT('Diário 7º PA'!$A$5:$A$2271)+ROW()-4)</f>
        <v>5758</v>
      </c>
      <c r="B1812" s="620">
        <v>44550</v>
      </c>
      <c r="C1812" s="624">
        <v>44531</v>
      </c>
      <c r="D1812" s="548" t="s">
        <v>88</v>
      </c>
      <c r="E1812" s="548" t="s">
        <v>175</v>
      </c>
      <c r="F1812" s="622">
        <v>488</v>
      </c>
      <c r="G1812" s="623" t="s">
        <v>6816</v>
      </c>
      <c r="H1812" s="548" t="s">
        <v>114</v>
      </c>
      <c r="I1812" s="583" t="s">
        <v>1782</v>
      </c>
      <c r="J1812" s="548" t="s">
        <v>1783</v>
      </c>
      <c r="K1812" s="583" t="s">
        <v>991</v>
      </c>
      <c r="L1812" s="583" t="s">
        <v>1183</v>
      </c>
      <c r="M1812" s="619" t="s">
        <v>114</v>
      </c>
      <c r="N1812" s="620">
        <v>44550</v>
      </c>
      <c r="O1812" s="684" t="s">
        <v>67</v>
      </c>
      <c r="P1812" s="503">
        <f t="shared" si="140"/>
        <v>12</v>
      </c>
      <c r="Q1812" s="503">
        <f t="shared" si="141"/>
        <v>12</v>
      </c>
      <c r="R1812" s="504" t="str">
        <f t="shared" si="142"/>
        <v>Gastos_com_Pessoal</v>
      </c>
      <c r="S1812" s="504" t="str">
        <f>IF(D1812="","",IF(OR(D1812=Plano!$A$1,D1812=Plano!$B$1),"entrada","saída"))</f>
        <v>saída</v>
      </c>
      <c r="T1812" s="505" t="s">
        <v>114</v>
      </c>
      <c r="U1812" s="505" t="s">
        <v>114</v>
      </c>
      <c r="V1812" s="541"/>
    </row>
    <row r="1813" spans="1:22" ht="50.1" customHeight="1" x14ac:dyDescent="0.2">
      <c r="A1813" s="619">
        <f>IF(B1813="","",COUNT('Diário 5º PA'!$A$5:$A$2634)+COUNT('Diário 6º PA'!$A$5:$A$2246)+COUNT('Diário 7º PA'!$A$5:$A$2271)+ROW()-4)</f>
        <v>5759</v>
      </c>
      <c r="B1813" s="620">
        <v>44550</v>
      </c>
      <c r="C1813" s="624">
        <v>44531</v>
      </c>
      <c r="D1813" s="548" t="s">
        <v>88</v>
      </c>
      <c r="E1813" s="548" t="s">
        <v>175</v>
      </c>
      <c r="F1813" s="622">
        <v>718.77</v>
      </c>
      <c r="G1813" s="623" t="s">
        <v>6824</v>
      </c>
      <c r="H1813" s="548" t="s">
        <v>114</v>
      </c>
      <c r="I1813" s="583" t="s">
        <v>1206</v>
      </c>
      <c r="J1813" s="548" t="s">
        <v>1207</v>
      </c>
      <c r="K1813" s="583" t="s">
        <v>991</v>
      </c>
      <c r="L1813" s="583" t="s">
        <v>1183</v>
      </c>
      <c r="M1813" s="619" t="s">
        <v>114</v>
      </c>
      <c r="N1813" s="620">
        <v>44550</v>
      </c>
      <c r="O1813" s="684" t="s">
        <v>67</v>
      </c>
      <c r="P1813" s="503">
        <f t="shared" si="140"/>
        <v>12</v>
      </c>
      <c r="Q1813" s="503">
        <f t="shared" si="141"/>
        <v>12</v>
      </c>
      <c r="R1813" s="504" t="str">
        <f t="shared" si="142"/>
        <v>Gastos_com_Pessoal</v>
      </c>
      <c r="S1813" s="504" t="str">
        <f>IF(D1813="","",IF(OR(D1813=Plano!$A$1,D1813=Plano!$B$1),"entrada","saída"))</f>
        <v>saída</v>
      </c>
      <c r="T1813" s="505" t="s">
        <v>114</v>
      </c>
      <c r="U1813" s="505" t="s">
        <v>114</v>
      </c>
      <c r="V1813" s="541"/>
    </row>
    <row r="1814" spans="1:22" ht="50.1" customHeight="1" x14ac:dyDescent="0.2">
      <c r="A1814" s="619">
        <f>IF(B1814="","",COUNT('Diário 5º PA'!$A$5:$A$2634)+COUNT('Diário 6º PA'!$A$5:$A$2246)+COUNT('Diário 7º PA'!$A$5:$A$2271)+ROW()-4)</f>
        <v>5760</v>
      </c>
      <c r="B1814" s="620">
        <v>44550</v>
      </c>
      <c r="C1814" s="624">
        <v>44440</v>
      </c>
      <c r="D1814" s="548" t="s">
        <v>88</v>
      </c>
      <c r="E1814" s="548" t="s">
        <v>90</v>
      </c>
      <c r="F1814" s="622">
        <v>18.920000000000002</v>
      </c>
      <c r="G1814" s="623" t="s">
        <v>6218</v>
      </c>
      <c r="H1814" s="548" t="s">
        <v>114</v>
      </c>
      <c r="I1814" s="583" t="s">
        <v>488</v>
      </c>
      <c r="J1814" s="548" t="s">
        <v>114</v>
      </c>
      <c r="K1814" s="583" t="s">
        <v>466</v>
      </c>
      <c r="L1814" s="583" t="s">
        <v>489</v>
      </c>
      <c r="M1814" s="619" t="s">
        <v>114</v>
      </c>
      <c r="N1814" s="620">
        <v>44530</v>
      </c>
      <c r="O1814" s="684" t="s">
        <v>67</v>
      </c>
      <c r="P1814" s="503">
        <f t="shared" si="140"/>
        <v>12</v>
      </c>
      <c r="Q1814" s="503">
        <f t="shared" si="141"/>
        <v>9</v>
      </c>
      <c r="R1814" s="504" t="str">
        <f t="shared" si="142"/>
        <v>Gastos_com_Pessoal</v>
      </c>
      <c r="S1814" s="504" t="str">
        <f>IF(D1814="","",IF(OR(D1814=Plano!$A$1,D1814=Plano!$B$1),"entrada","saída"))</f>
        <v>saída</v>
      </c>
      <c r="T1814" s="505" t="s">
        <v>114</v>
      </c>
      <c r="U1814" s="505" t="s">
        <v>114</v>
      </c>
      <c r="V1814" s="541"/>
    </row>
    <row r="1815" spans="1:22" ht="50.1" customHeight="1" x14ac:dyDescent="0.2">
      <c r="A1815" s="619">
        <f>IF(B1815="","",COUNT('Diário 5º PA'!$A$5:$A$2634)+COUNT('Diário 6º PA'!$A$5:$A$2246)+COUNT('Diário 7º PA'!$A$5:$A$2271)+ROW()-4)</f>
        <v>5761</v>
      </c>
      <c r="B1815" s="620">
        <v>44550</v>
      </c>
      <c r="C1815" s="624">
        <v>44470</v>
      </c>
      <c r="D1815" s="548" t="s">
        <v>88</v>
      </c>
      <c r="E1815" s="548" t="s">
        <v>183</v>
      </c>
      <c r="F1815" s="622">
        <v>14.98</v>
      </c>
      <c r="G1815" s="623" t="s">
        <v>6005</v>
      </c>
      <c r="H1815" s="548" t="s">
        <v>114</v>
      </c>
      <c r="I1815" s="583" t="s">
        <v>488</v>
      </c>
      <c r="J1815" s="548" t="s">
        <v>114</v>
      </c>
      <c r="K1815" s="583" t="s">
        <v>466</v>
      </c>
      <c r="L1815" s="583" t="s">
        <v>489</v>
      </c>
      <c r="M1815" s="619" t="s">
        <v>114</v>
      </c>
      <c r="N1815" s="620">
        <v>44530</v>
      </c>
      <c r="O1815" s="684" t="s">
        <v>67</v>
      </c>
      <c r="P1815" s="503">
        <f t="shared" si="140"/>
        <v>12</v>
      </c>
      <c r="Q1815" s="503">
        <f t="shared" si="141"/>
        <v>10</v>
      </c>
      <c r="R1815" s="504" t="str">
        <f t="shared" si="142"/>
        <v>Gastos_com_Pessoal</v>
      </c>
      <c r="S1815" s="504" t="str">
        <f>IF(D1815="","",IF(OR(D1815=Plano!$A$1,D1815=Plano!$B$1),"entrada","saída"))</f>
        <v>saída</v>
      </c>
      <c r="T1815" s="505" t="s">
        <v>114</v>
      </c>
      <c r="U1815" s="505" t="s">
        <v>114</v>
      </c>
      <c r="V1815" s="541"/>
    </row>
    <row r="1816" spans="1:22" ht="50.1" customHeight="1" x14ac:dyDescent="0.2">
      <c r="A1816" s="619">
        <f>IF(B1816="","",COUNT('Diário 5º PA'!$A$5:$A$2634)+COUNT('Diário 6º PA'!$A$5:$A$2246)+COUNT('Diário 7º PA'!$A$5:$A$2271)+ROW()-4)</f>
        <v>5762</v>
      </c>
      <c r="B1816" s="620">
        <v>44550</v>
      </c>
      <c r="C1816" s="624">
        <v>44470</v>
      </c>
      <c r="D1816" s="548" t="s">
        <v>88</v>
      </c>
      <c r="E1816" s="548" t="s">
        <v>183</v>
      </c>
      <c r="F1816" s="622">
        <v>21.79</v>
      </c>
      <c r="G1816" s="623" t="s">
        <v>6003</v>
      </c>
      <c r="H1816" s="548" t="s">
        <v>114</v>
      </c>
      <c r="I1816" s="583" t="s">
        <v>488</v>
      </c>
      <c r="J1816" s="548" t="s">
        <v>114</v>
      </c>
      <c r="K1816" s="583" t="s">
        <v>466</v>
      </c>
      <c r="L1816" s="583" t="s">
        <v>489</v>
      </c>
      <c r="M1816" s="619" t="s">
        <v>114</v>
      </c>
      <c r="N1816" s="620">
        <v>44530</v>
      </c>
      <c r="O1816" s="684" t="s">
        <v>67</v>
      </c>
      <c r="P1816" s="503">
        <f t="shared" si="140"/>
        <v>12</v>
      </c>
      <c r="Q1816" s="503">
        <f t="shared" si="141"/>
        <v>10</v>
      </c>
      <c r="R1816" s="504" t="str">
        <f t="shared" si="142"/>
        <v>Gastos_com_Pessoal</v>
      </c>
      <c r="S1816" s="504" t="str">
        <f>IF(D1816="","",IF(OR(D1816=Plano!$A$1,D1816=Plano!$B$1),"entrada","saída"))</f>
        <v>saída</v>
      </c>
      <c r="T1816" s="505" t="s">
        <v>114</v>
      </c>
      <c r="U1816" s="505" t="s">
        <v>114</v>
      </c>
      <c r="V1816" s="541"/>
    </row>
    <row r="1817" spans="1:22" ht="50.1" customHeight="1" x14ac:dyDescent="0.2">
      <c r="A1817" s="619">
        <f>IF(B1817="","",COUNT('Diário 5º PA'!$A$5:$A$2634)+COUNT('Diário 6º PA'!$A$5:$A$2246)+COUNT('Diário 7º PA'!$A$5:$A$2271)+ROW()-4)</f>
        <v>5763</v>
      </c>
      <c r="B1817" s="620">
        <v>44550</v>
      </c>
      <c r="C1817" s="624">
        <v>44470</v>
      </c>
      <c r="D1817" s="548" t="s">
        <v>99</v>
      </c>
      <c r="E1817" s="548" t="s">
        <v>208</v>
      </c>
      <c r="F1817" s="622">
        <v>1881</v>
      </c>
      <c r="G1817" s="623" t="s">
        <v>517</v>
      </c>
      <c r="H1817" s="548" t="s">
        <v>115</v>
      </c>
      <c r="I1817" s="583" t="s">
        <v>488</v>
      </c>
      <c r="J1817" s="548" t="s">
        <v>114</v>
      </c>
      <c r="K1817" s="583" t="s">
        <v>466</v>
      </c>
      <c r="L1817" s="583" t="s">
        <v>489</v>
      </c>
      <c r="M1817" s="619" t="s">
        <v>114</v>
      </c>
      <c r="N1817" s="620">
        <v>44530</v>
      </c>
      <c r="O1817" s="684" t="s">
        <v>67</v>
      </c>
      <c r="P1817" s="503">
        <f t="shared" si="140"/>
        <v>12</v>
      </c>
      <c r="Q1817" s="503">
        <f t="shared" si="141"/>
        <v>10</v>
      </c>
      <c r="R1817" s="504" t="str">
        <f t="shared" si="142"/>
        <v>Gastos_Gerais</v>
      </c>
      <c r="S1817" s="504" t="str">
        <f>IF(D1817="","",IF(OR(D1817=Plano!$A$1,D1817=Plano!$B$1),"entrada","saída"))</f>
        <v>saída</v>
      </c>
      <c r="T1817" s="505" t="s">
        <v>114</v>
      </c>
      <c r="U1817" s="505" t="s">
        <v>114</v>
      </c>
      <c r="V1817" s="541"/>
    </row>
    <row r="1818" spans="1:22" ht="50.1" customHeight="1" x14ac:dyDescent="0.2">
      <c r="A1818" s="619">
        <f>IF(B1818="","",COUNT('Diário 5º PA'!$A$5:$A$2634)+COUNT('Diário 6º PA'!$A$5:$A$2246)+COUNT('Diário 7º PA'!$A$5:$A$2271)+ROW()-4)</f>
        <v>5764</v>
      </c>
      <c r="B1818" s="620">
        <v>44550</v>
      </c>
      <c r="C1818" s="624">
        <v>44501</v>
      </c>
      <c r="D1818" s="548" t="s">
        <v>99</v>
      </c>
      <c r="E1818" s="548" t="s">
        <v>350</v>
      </c>
      <c r="F1818" s="622">
        <v>140.19999999999999</v>
      </c>
      <c r="G1818" s="623" t="s">
        <v>6410</v>
      </c>
      <c r="H1818" s="548" t="s">
        <v>128</v>
      </c>
      <c r="I1818" s="583" t="s">
        <v>488</v>
      </c>
      <c r="J1818" s="548" t="s">
        <v>114</v>
      </c>
      <c r="K1818" s="583" t="s">
        <v>466</v>
      </c>
      <c r="L1818" s="583" t="s">
        <v>489</v>
      </c>
      <c r="M1818" s="619" t="s">
        <v>114</v>
      </c>
      <c r="N1818" s="620">
        <v>44530</v>
      </c>
      <c r="O1818" s="684" t="s">
        <v>67</v>
      </c>
      <c r="P1818" s="503">
        <f t="shared" si="140"/>
        <v>12</v>
      </c>
      <c r="Q1818" s="503">
        <f t="shared" si="141"/>
        <v>11</v>
      </c>
      <c r="R1818" s="504" t="str">
        <f t="shared" si="142"/>
        <v>Gastos_Gerais</v>
      </c>
      <c r="S1818" s="504" t="str">
        <f>IF(D1818="","",IF(OR(D1818=Plano!$A$1,D1818=Plano!$B$1),"entrada","saída"))</f>
        <v>saída</v>
      </c>
      <c r="T1818" s="505" t="s">
        <v>114</v>
      </c>
      <c r="U1818" s="505" t="s">
        <v>114</v>
      </c>
      <c r="V1818" s="541"/>
    </row>
    <row r="1819" spans="1:22" ht="85.5" customHeight="1" x14ac:dyDescent="0.2">
      <c r="A1819" s="619">
        <f>IF(B1819="","",COUNT('Diário 5º PA'!$A$5:$A$2634)+COUNT('Diário 6º PA'!$A$5:$A$2246)+COUNT('Diário 7º PA'!$A$5:$A$2271)+ROW()-4)</f>
        <v>5765</v>
      </c>
      <c r="B1819" s="620">
        <v>44550</v>
      </c>
      <c r="C1819" s="624">
        <v>44501</v>
      </c>
      <c r="D1819" s="548" t="s">
        <v>99</v>
      </c>
      <c r="E1819" s="548" t="s">
        <v>244</v>
      </c>
      <c r="F1819" s="622">
        <v>2912.16</v>
      </c>
      <c r="G1819" s="623" t="s">
        <v>618</v>
      </c>
      <c r="H1819" s="548" t="s">
        <v>128</v>
      </c>
      <c r="I1819" s="583" t="s">
        <v>1490</v>
      </c>
      <c r="J1819" s="548" t="s">
        <v>615</v>
      </c>
      <c r="K1819" s="583" t="s">
        <v>560</v>
      </c>
      <c r="L1819" s="583" t="s">
        <v>992</v>
      </c>
      <c r="M1819" s="619" t="s">
        <v>6825</v>
      </c>
      <c r="N1819" s="620">
        <v>44536</v>
      </c>
      <c r="O1819" s="684" t="s">
        <v>67</v>
      </c>
      <c r="P1819" s="503">
        <f t="shared" si="140"/>
        <v>12</v>
      </c>
      <c r="Q1819" s="503">
        <f t="shared" si="141"/>
        <v>11</v>
      </c>
      <c r="R1819" s="504" t="str">
        <f t="shared" si="142"/>
        <v>Gastos_Gerais</v>
      </c>
      <c r="S1819" s="504" t="str">
        <f>IF(D1819="","",IF(OR(D1819=Plano!$A$1,D1819=Plano!$B$1),"entrada","saída"))</f>
        <v>saída</v>
      </c>
      <c r="T1819" s="505" t="s">
        <v>1059</v>
      </c>
      <c r="U1819" s="505">
        <v>1501</v>
      </c>
      <c r="V1819" s="541"/>
    </row>
    <row r="1820" spans="1:22" ht="50.1" customHeight="1" x14ac:dyDescent="0.2">
      <c r="A1820" s="619">
        <f>IF(B1820="","",COUNT('Diário 5º PA'!$A$5:$A$2634)+COUNT('Diário 6º PA'!$A$5:$A$2246)+COUNT('Diário 7º PA'!$A$5:$A$2271)+ROW()-4)</f>
        <v>5766</v>
      </c>
      <c r="B1820" s="620">
        <v>44550</v>
      </c>
      <c r="C1820" s="624">
        <v>44501</v>
      </c>
      <c r="D1820" s="548" t="s">
        <v>99</v>
      </c>
      <c r="E1820" s="548" t="s">
        <v>224</v>
      </c>
      <c r="F1820" s="622">
        <v>352.97</v>
      </c>
      <c r="G1820" s="623" t="s">
        <v>5737</v>
      </c>
      <c r="H1820" s="548" t="s">
        <v>115</v>
      </c>
      <c r="I1820" s="583" t="s">
        <v>522</v>
      </c>
      <c r="J1820" s="548" t="s">
        <v>523</v>
      </c>
      <c r="K1820" s="583" t="s">
        <v>1375</v>
      </c>
      <c r="L1820" s="583" t="s">
        <v>697</v>
      </c>
      <c r="M1820" s="619" t="s">
        <v>6827</v>
      </c>
      <c r="N1820" s="620">
        <v>44531</v>
      </c>
      <c r="O1820" s="684" t="s">
        <v>67</v>
      </c>
      <c r="P1820" s="503">
        <f t="shared" si="140"/>
        <v>12</v>
      </c>
      <c r="Q1820" s="503">
        <f t="shared" si="141"/>
        <v>11</v>
      </c>
      <c r="R1820" s="504" t="str">
        <f t="shared" si="142"/>
        <v>Gastos_Gerais</v>
      </c>
      <c r="S1820" s="504" t="str">
        <f>IF(D1820="","",IF(OR(D1820=Plano!$A$1,D1820=Plano!$B$1),"entrada","saída"))</f>
        <v>saída</v>
      </c>
      <c r="T1820" s="505" t="s">
        <v>114</v>
      </c>
      <c r="U1820" s="505" t="s">
        <v>114</v>
      </c>
      <c r="V1820" s="541"/>
    </row>
    <row r="1821" spans="1:22" ht="85.5" customHeight="1" x14ac:dyDescent="0.2">
      <c r="A1821" s="619">
        <f>IF(B1821="","",COUNT('Diário 5º PA'!$A$5:$A$2634)+COUNT('Diário 6º PA'!$A$5:$A$2246)+COUNT('Diário 7º PA'!$A$5:$A$2271)+ROW()-4)</f>
        <v>5767</v>
      </c>
      <c r="B1821" s="620">
        <v>44550</v>
      </c>
      <c r="C1821" s="624">
        <v>44470</v>
      </c>
      <c r="D1821" s="548" t="s">
        <v>99</v>
      </c>
      <c r="E1821" s="548" t="s">
        <v>368</v>
      </c>
      <c r="F1821" s="622">
        <v>4245.51</v>
      </c>
      <c r="G1821" s="623" t="s">
        <v>5366</v>
      </c>
      <c r="H1821" s="548" t="s">
        <v>131</v>
      </c>
      <c r="I1821" s="583" t="s">
        <v>6828</v>
      </c>
      <c r="J1821" s="548" t="s">
        <v>5367</v>
      </c>
      <c r="K1821" s="583" t="s">
        <v>560</v>
      </c>
      <c r="L1821" s="583" t="s">
        <v>6829</v>
      </c>
      <c r="M1821" s="626">
        <v>1711000639</v>
      </c>
      <c r="N1821" s="620">
        <v>44550</v>
      </c>
      <c r="O1821" s="684" t="s">
        <v>67</v>
      </c>
      <c r="P1821" s="503">
        <f t="shared" si="140"/>
        <v>12</v>
      </c>
      <c r="Q1821" s="503">
        <f t="shared" si="141"/>
        <v>10</v>
      </c>
      <c r="R1821" s="504" t="str">
        <f t="shared" si="142"/>
        <v>Gastos_Gerais</v>
      </c>
      <c r="S1821" s="504" t="str">
        <f>IF(D1821="","",IF(OR(D1821=Plano!$A$1,D1821=Plano!$B$1),"entrada","saída"))</f>
        <v>saída</v>
      </c>
      <c r="T1821" s="505" t="s">
        <v>994</v>
      </c>
      <c r="U1821" s="505">
        <v>2117</v>
      </c>
      <c r="V1821" s="541"/>
    </row>
    <row r="1822" spans="1:22" ht="50.1" customHeight="1" x14ac:dyDescent="0.2">
      <c r="A1822" s="619">
        <f>IF(B1822="","",COUNT('Diário 5º PA'!$A$5:$A$2634)+COUNT('Diário 6º PA'!$A$5:$A$2246)+COUNT('Diário 7º PA'!$A$5:$A$2271)+ROW()-4)</f>
        <v>5768</v>
      </c>
      <c r="B1822" s="620">
        <v>44550</v>
      </c>
      <c r="C1822" s="624">
        <v>44470</v>
      </c>
      <c r="D1822" s="548" t="s">
        <v>99</v>
      </c>
      <c r="E1822" s="548" t="s">
        <v>358</v>
      </c>
      <c r="F1822" s="622">
        <v>33.42</v>
      </c>
      <c r="G1822" s="623" t="s">
        <v>6251</v>
      </c>
      <c r="H1822" s="548" t="s">
        <v>131</v>
      </c>
      <c r="I1822" s="583" t="s">
        <v>488</v>
      </c>
      <c r="J1822" s="548" t="s">
        <v>114</v>
      </c>
      <c r="K1822" s="583" t="s">
        <v>466</v>
      </c>
      <c r="L1822" s="583" t="s">
        <v>489</v>
      </c>
      <c r="M1822" s="619" t="s">
        <v>114</v>
      </c>
      <c r="N1822" s="620">
        <v>44530</v>
      </c>
      <c r="O1822" s="684" t="s">
        <v>67</v>
      </c>
      <c r="P1822" s="503">
        <f t="shared" si="140"/>
        <v>12</v>
      </c>
      <c r="Q1822" s="503">
        <f t="shared" si="141"/>
        <v>10</v>
      </c>
      <c r="R1822" s="504" t="str">
        <f t="shared" si="142"/>
        <v>Gastos_Gerais</v>
      </c>
      <c r="S1822" s="504" t="str">
        <f>IF(D1822="","",IF(OR(D1822=Plano!$A$1,D1822=Plano!$B$1),"entrada","saída"))</f>
        <v>saída</v>
      </c>
      <c r="T1822" s="505" t="s">
        <v>114</v>
      </c>
      <c r="U1822" s="505" t="s">
        <v>114</v>
      </c>
      <c r="V1822" s="541"/>
    </row>
    <row r="1823" spans="1:22" ht="50.1" customHeight="1" x14ac:dyDescent="0.2">
      <c r="A1823" s="619">
        <f>IF(B1823="","",COUNT('Diário 5º PA'!$A$5:$A$2634)+COUNT('Diário 6º PA'!$A$5:$A$2246)+COUNT('Diário 7º PA'!$A$5:$A$2271)+ROW()-4)</f>
        <v>5769</v>
      </c>
      <c r="B1823" s="620">
        <v>44550</v>
      </c>
      <c r="C1823" s="628">
        <v>44470</v>
      </c>
      <c r="D1823" s="548" t="s">
        <v>99</v>
      </c>
      <c r="E1823" s="548" t="s">
        <v>358</v>
      </c>
      <c r="F1823" s="622">
        <v>17.399999999999999</v>
      </c>
      <c r="G1823" s="623" t="s">
        <v>6171</v>
      </c>
      <c r="H1823" s="548" t="s">
        <v>131</v>
      </c>
      <c r="I1823" s="583" t="s">
        <v>488</v>
      </c>
      <c r="J1823" s="548" t="s">
        <v>114</v>
      </c>
      <c r="K1823" s="583" t="s">
        <v>466</v>
      </c>
      <c r="L1823" s="583" t="s">
        <v>489</v>
      </c>
      <c r="M1823" s="619" t="s">
        <v>114</v>
      </c>
      <c r="N1823" s="620">
        <v>44530</v>
      </c>
      <c r="O1823" s="684" t="s">
        <v>67</v>
      </c>
      <c r="P1823" s="503">
        <f t="shared" si="140"/>
        <v>12</v>
      </c>
      <c r="Q1823" s="503">
        <f t="shared" si="141"/>
        <v>10</v>
      </c>
      <c r="R1823" s="504" t="str">
        <f t="shared" si="142"/>
        <v>Gastos_Gerais</v>
      </c>
      <c r="S1823" s="504" t="str">
        <f>IF(D1823="","",IF(OR(D1823=Plano!$A$1,D1823=Plano!$B$1),"entrada","saída"))</f>
        <v>saída</v>
      </c>
      <c r="T1823" s="505" t="s">
        <v>114</v>
      </c>
      <c r="U1823" s="505" t="s">
        <v>114</v>
      </c>
      <c r="V1823" s="541"/>
    </row>
    <row r="1824" spans="1:22" ht="50.1" customHeight="1" x14ac:dyDescent="0.2">
      <c r="A1824" s="619">
        <f>IF(B1824="","",COUNT('Diário 5º PA'!$A$5:$A$2634)+COUNT('Diário 6º PA'!$A$5:$A$2246)+COUNT('Diário 7º PA'!$A$5:$A$2271)+ROW()-4)</f>
        <v>5770</v>
      </c>
      <c r="B1824" s="620">
        <v>44550</v>
      </c>
      <c r="C1824" s="624">
        <v>44470</v>
      </c>
      <c r="D1824" s="548" t="s">
        <v>99</v>
      </c>
      <c r="E1824" s="548" t="s">
        <v>262</v>
      </c>
      <c r="F1824" s="622">
        <v>17.399999999999999</v>
      </c>
      <c r="G1824" s="623" t="s">
        <v>6276</v>
      </c>
      <c r="H1824" s="548" t="s">
        <v>115</v>
      </c>
      <c r="I1824" s="583" t="s">
        <v>488</v>
      </c>
      <c r="J1824" s="548" t="s">
        <v>114</v>
      </c>
      <c r="K1824" s="583" t="s">
        <v>466</v>
      </c>
      <c r="L1824" s="583" t="s">
        <v>489</v>
      </c>
      <c r="M1824" s="619" t="s">
        <v>114</v>
      </c>
      <c r="N1824" s="620">
        <v>44530</v>
      </c>
      <c r="O1824" s="684" t="s">
        <v>67</v>
      </c>
      <c r="P1824" s="503">
        <f t="shared" si="140"/>
        <v>12</v>
      </c>
      <c r="Q1824" s="503">
        <f t="shared" si="141"/>
        <v>10</v>
      </c>
      <c r="R1824" s="504" t="str">
        <f t="shared" si="142"/>
        <v>Gastos_Gerais</v>
      </c>
      <c r="S1824" s="504" t="str">
        <f>IF(D1824="","",IF(OR(D1824=Plano!$A$1,D1824=Plano!$B$1),"entrada","saída"))</f>
        <v>saída</v>
      </c>
      <c r="T1824" s="505" t="s">
        <v>114</v>
      </c>
      <c r="U1824" s="505" t="s">
        <v>114</v>
      </c>
      <c r="V1824" s="541"/>
    </row>
    <row r="1825" spans="1:22" ht="50.1" customHeight="1" x14ac:dyDescent="0.2">
      <c r="A1825" s="619">
        <f>IF(B1825="","",COUNT('Diário 5º PA'!$A$5:$A$2634)+COUNT('Diário 6º PA'!$A$5:$A$2246)+COUNT('Diário 7º PA'!$A$5:$A$2271)+ROW()-4)</f>
        <v>5771</v>
      </c>
      <c r="B1825" s="620">
        <v>44550</v>
      </c>
      <c r="C1825" s="624">
        <v>44409</v>
      </c>
      <c r="D1825" s="548" t="s">
        <v>99</v>
      </c>
      <c r="E1825" s="548" t="s">
        <v>364</v>
      </c>
      <c r="F1825" s="622">
        <v>599.14</v>
      </c>
      <c r="G1825" s="623" t="s">
        <v>6324</v>
      </c>
      <c r="H1825" s="548" t="s">
        <v>116</v>
      </c>
      <c r="I1825" s="583" t="s">
        <v>488</v>
      </c>
      <c r="J1825" s="548" t="s">
        <v>114</v>
      </c>
      <c r="K1825" s="583" t="s">
        <v>466</v>
      </c>
      <c r="L1825" s="583" t="s">
        <v>489</v>
      </c>
      <c r="M1825" s="619" t="s">
        <v>114</v>
      </c>
      <c r="N1825" s="620">
        <v>44530</v>
      </c>
      <c r="O1825" s="684" t="s">
        <v>67</v>
      </c>
      <c r="P1825" s="503">
        <f t="shared" si="140"/>
        <v>12</v>
      </c>
      <c r="Q1825" s="503">
        <f t="shared" si="141"/>
        <v>8</v>
      </c>
      <c r="R1825" s="504" t="str">
        <f t="shared" si="142"/>
        <v>Gastos_Gerais</v>
      </c>
      <c r="S1825" s="504" t="str">
        <f>IF(D1825="","",IF(OR(D1825=Plano!$A$1,D1825=Plano!$B$1),"entrada","saída"))</f>
        <v>saída</v>
      </c>
      <c r="T1825" s="505" t="s">
        <v>114</v>
      </c>
      <c r="U1825" s="505" t="s">
        <v>114</v>
      </c>
      <c r="V1825" s="541"/>
    </row>
    <row r="1826" spans="1:22" ht="50.1" customHeight="1" x14ac:dyDescent="0.2">
      <c r="A1826" s="619">
        <f>IF(B1826="","",COUNT('Diário 5º PA'!$A$5:$A$2634)+COUNT('Diário 6º PA'!$A$5:$A$2246)+COUNT('Diário 7º PA'!$A$5:$A$2271)+ROW()-4)</f>
        <v>5772</v>
      </c>
      <c r="B1826" s="620">
        <v>44550</v>
      </c>
      <c r="C1826" s="628">
        <v>44470</v>
      </c>
      <c r="D1826" s="548" t="s">
        <v>99</v>
      </c>
      <c r="E1826" s="548" t="s">
        <v>358</v>
      </c>
      <c r="F1826" s="622">
        <v>17.399999999999999</v>
      </c>
      <c r="G1826" s="623" t="s">
        <v>6154</v>
      </c>
      <c r="H1826" s="548" t="s">
        <v>131</v>
      </c>
      <c r="I1826" s="583" t="s">
        <v>488</v>
      </c>
      <c r="J1826" s="548" t="s">
        <v>114</v>
      </c>
      <c r="K1826" s="583" t="s">
        <v>466</v>
      </c>
      <c r="L1826" s="583" t="s">
        <v>489</v>
      </c>
      <c r="M1826" s="619" t="s">
        <v>114</v>
      </c>
      <c r="N1826" s="620">
        <v>44530</v>
      </c>
      <c r="O1826" s="684" t="s">
        <v>67</v>
      </c>
      <c r="P1826" s="503">
        <f t="shared" si="140"/>
        <v>12</v>
      </c>
      <c r="Q1826" s="503">
        <f t="shared" si="141"/>
        <v>10</v>
      </c>
      <c r="R1826" s="504" t="str">
        <f t="shared" si="142"/>
        <v>Gastos_Gerais</v>
      </c>
      <c r="S1826" s="504" t="str">
        <f>IF(D1826="","",IF(OR(D1826=Plano!$A$1,D1826=Plano!$B$1),"entrada","saída"))</f>
        <v>saída</v>
      </c>
      <c r="T1826" s="505" t="s">
        <v>114</v>
      </c>
      <c r="U1826" s="505" t="s">
        <v>114</v>
      </c>
      <c r="V1826" s="541"/>
    </row>
    <row r="1827" spans="1:22" ht="50.1" customHeight="1" x14ac:dyDescent="0.2">
      <c r="A1827" s="619">
        <f>IF(B1827="","",COUNT('Diário 5º PA'!$A$5:$A$2634)+COUNT('Diário 6º PA'!$A$5:$A$2246)+COUNT('Diário 7º PA'!$A$5:$A$2271)+ROW()-4)</f>
        <v>5773</v>
      </c>
      <c r="B1827" s="620">
        <v>44550</v>
      </c>
      <c r="C1827" s="624">
        <v>44440</v>
      </c>
      <c r="D1827" s="548" t="s">
        <v>99</v>
      </c>
      <c r="E1827" s="548" t="s">
        <v>364</v>
      </c>
      <c r="F1827" s="622">
        <v>24.08</v>
      </c>
      <c r="G1827" s="623" t="s">
        <v>6182</v>
      </c>
      <c r="H1827" s="548" t="s">
        <v>125</v>
      </c>
      <c r="I1827" s="583" t="s">
        <v>488</v>
      </c>
      <c r="J1827" s="548" t="s">
        <v>114</v>
      </c>
      <c r="K1827" s="583" t="s">
        <v>466</v>
      </c>
      <c r="L1827" s="583" t="s">
        <v>489</v>
      </c>
      <c r="M1827" s="619" t="s">
        <v>114</v>
      </c>
      <c r="N1827" s="620">
        <v>44530</v>
      </c>
      <c r="O1827" s="684" t="s">
        <v>67</v>
      </c>
      <c r="P1827" s="503">
        <f t="shared" si="140"/>
        <v>12</v>
      </c>
      <c r="Q1827" s="503">
        <f t="shared" si="141"/>
        <v>9</v>
      </c>
      <c r="R1827" s="504" t="str">
        <f t="shared" si="142"/>
        <v>Gastos_Gerais</v>
      </c>
      <c r="S1827" s="504" t="str">
        <f>IF(D1827="","",IF(OR(D1827=Plano!$A$1,D1827=Plano!$B$1),"entrada","saída"))</f>
        <v>saída</v>
      </c>
      <c r="T1827" s="505" t="s">
        <v>114</v>
      </c>
      <c r="U1827" s="505" t="s">
        <v>114</v>
      </c>
      <c r="V1827" s="541"/>
    </row>
    <row r="1828" spans="1:22" ht="50.1" customHeight="1" x14ac:dyDescent="0.2">
      <c r="A1828" s="619">
        <f>IF(B1828="","",COUNT('Diário 5º PA'!$A$5:$A$2634)+COUNT('Diário 6º PA'!$A$5:$A$2246)+COUNT('Diário 7º PA'!$A$5:$A$2271)+ROW()-4)</f>
        <v>5774</v>
      </c>
      <c r="B1828" s="620">
        <v>44550</v>
      </c>
      <c r="C1828" s="624">
        <v>44470</v>
      </c>
      <c r="D1828" s="548" t="s">
        <v>99</v>
      </c>
      <c r="E1828" s="548" t="s">
        <v>358</v>
      </c>
      <c r="F1828" s="622">
        <v>12.06</v>
      </c>
      <c r="G1828" s="623" t="s">
        <v>6244</v>
      </c>
      <c r="H1828" s="548" t="s">
        <v>131</v>
      </c>
      <c r="I1828" s="583" t="s">
        <v>488</v>
      </c>
      <c r="J1828" s="548" t="s">
        <v>114</v>
      </c>
      <c r="K1828" s="583" t="s">
        <v>466</v>
      </c>
      <c r="L1828" s="583" t="s">
        <v>489</v>
      </c>
      <c r="M1828" s="619" t="s">
        <v>114</v>
      </c>
      <c r="N1828" s="620">
        <v>44530</v>
      </c>
      <c r="O1828" s="684" t="s">
        <v>67</v>
      </c>
      <c r="P1828" s="503">
        <f t="shared" si="140"/>
        <v>12</v>
      </c>
      <c r="Q1828" s="503">
        <f t="shared" si="141"/>
        <v>10</v>
      </c>
      <c r="R1828" s="504" t="str">
        <f t="shared" si="142"/>
        <v>Gastos_Gerais</v>
      </c>
      <c r="S1828" s="504" t="str">
        <f>IF(D1828="","",IF(OR(D1828=Plano!$A$1,D1828=Plano!$B$1),"entrada","saída"))</f>
        <v>saída</v>
      </c>
      <c r="T1828" s="505" t="s">
        <v>114</v>
      </c>
      <c r="U1828" s="505" t="s">
        <v>114</v>
      </c>
      <c r="V1828" s="541"/>
    </row>
    <row r="1829" spans="1:22" ht="50.1" customHeight="1" x14ac:dyDescent="0.2">
      <c r="A1829" s="619">
        <f>IF(B1829="","",COUNT('Diário 5º PA'!$A$5:$A$2634)+COUNT('Diário 6º PA'!$A$5:$A$2246)+COUNT('Diário 7º PA'!$A$5:$A$2271)+ROW()-4)</f>
        <v>5775</v>
      </c>
      <c r="B1829" s="620">
        <v>44550</v>
      </c>
      <c r="C1829" s="624">
        <v>44470</v>
      </c>
      <c r="D1829" s="548" t="s">
        <v>99</v>
      </c>
      <c r="E1829" s="548" t="s">
        <v>358</v>
      </c>
      <c r="F1829" s="622">
        <v>12.06</v>
      </c>
      <c r="G1829" s="623" t="s">
        <v>6830</v>
      </c>
      <c r="H1829" s="548" t="s">
        <v>131</v>
      </c>
      <c r="I1829" s="583" t="s">
        <v>488</v>
      </c>
      <c r="J1829" s="548" t="s">
        <v>114</v>
      </c>
      <c r="K1829" s="583" t="s">
        <v>466</v>
      </c>
      <c r="L1829" s="583" t="s">
        <v>489</v>
      </c>
      <c r="M1829" s="619" t="s">
        <v>114</v>
      </c>
      <c r="N1829" s="620">
        <v>44530</v>
      </c>
      <c r="O1829" s="684" t="s">
        <v>67</v>
      </c>
      <c r="P1829" s="503">
        <f t="shared" si="140"/>
        <v>12</v>
      </c>
      <c r="Q1829" s="503">
        <f t="shared" si="141"/>
        <v>10</v>
      </c>
      <c r="R1829" s="504" t="str">
        <f t="shared" si="142"/>
        <v>Gastos_Gerais</v>
      </c>
      <c r="S1829" s="504" t="str">
        <f>IF(D1829="","",IF(OR(D1829=Plano!$A$1,D1829=Plano!$B$1),"entrada","saída"))</f>
        <v>saída</v>
      </c>
      <c r="T1829" s="505" t="s">
        <v>114</v>
      </c>
      <c r="U1829" s="505" t="s">
        <v>114</v>
      </c>
      <c r="V1829" s="541"/>
    </row>
    <row r="1830" spans="1:22" ht="50.1" customHeight="1" x14ac:dyDescent="0.2">
      <c r="A1830" s="619">
        <f>IF(B1830="","",COUNT('Diário 5º PA'!$A$5:$A$2634)+COUNT('Diário 6º PA'!$A$5:$A$2246)+COUNT('Diário 7º PA'!$A$5:$A$2271)+ROW()-4)</f>
        <v>5776</v>
      </c>
      <c r="B1830" s="620">
        <v>44550</v>
      </c>
      <c r="C1830" s="624">
        <v>44470</v>
      </c>
      <c r="D1830" s="548" t="s">
        <v>99</v>
      </c>
      <c r="E1830" s="548" t="s">
        <v>358</v>
      </c>
      <c r="F1830" s="622">
        <v>33.42</v>
      </c>
      <c r="G1830" s="623" t="s">
        <v>6248</v>
      </c>
      <c r="H1830" s="548" t="s">
        <v>131</v>
      </c>
      <c r="I1830" s="583" t="s">
        <v>488</v>
      </c>
      <c r="J1830" s="548" t="s">
        <v>114</v>
      </c>
      <c r="K1830" s="583" t="s">
        <v>466</v>
      </c>
      <c r="L1830" s="583" t="s">
        <v>489</v>
      </c>
      <c r="M1830" s="619" t="s">
        <v>114</v>
      </c>
      <c r="N1830" s="620">
        <v>44530</v>
      </c>
      <c r="O1830" s="684" t="s">
        <v>67</v>
      </c>
      <c r="P1830" s="503">
        <f t="shared" si="140"/>
        <v>12</v>
      </c>
      <c r="Q1830" s="503">
        <f t="shared" si="141"/>
        <v>10</v>
      </c>
      <c r="R1830" s="504" t="str">
        <f t="shared" si="142"/>
        <v>Gastos_Gerais</v>
      </c>
      <c r="S1830" s="504" t="str">
        <f>IF(D1830="","",IF(OR(D1830=Plano!$A$1,D1830=Plano!$B$1),"entrada","saída"))</f>
        <v>saída</v>
      </c>
      <c r="T1830" s="505" t="s">
        <v>114</v>
      </c>
      <c r="U1830" s="505" t="s">
        <v>114</v>
      </c>
      <c r="V1830" s="541"/>
    </row>
    <row r="1831" spans="1:22" ht="50.1" customHeight="1" x14ac:dyDescent="0.2">
      <c r="A1831" s="619">
        <f>IF(B1831="","",COUNT('Diário 5º PA'!$A$5:$A$2634)+COUNT('Diário 6º PA'!$A$5:$A$2246)+COUNT('Diário 7º PA'!$A$5:$A$2271)+ROW()-4)</f>
        <v>5777</v>
      </c>
      <c r="B1831" s="620">
        <v>44550</v>
      </c>
      <c r="C1831" s="624">
        <v>44470</v>
      </c>
      <c r="D1831" s="548" t="s">
        <v>99</v>
      </c>
      <c r="E1831" s="548" t="s">
        <v>364</v>
      </c>
      <c r="F1831" s="622">
        <v>599.14</v>
      </c>
      <c r="G1831" s="623" t="s">
        <v>6320</v>
      </c>
      <c r="H1831" s="548" t="s">
        <v>116</v>
      </c>
      <c r="I1831" s="583" t="s">
        <v>488</v>
      </c>
      <c r="J1831" s="548" t="s">
        <v>114</v>
      </c>
      <c r="K1831" s="583" t="s">
        <v>466</v>
      </c>
      <c r="L1831" s="583" t="s">
        <v>489</v>
      </c>
      <c r="M1831" s="619" t="s">
        <v>114</v>
      </c>
      <c r="N1831" s="620">
        <v>44530</v>
      </c>
      <c r="O1831" s="684" t="s">
        <v>67</v>
      </c>
      <c r="P1831" s="503">
        <f t="shared" si="140"/>
        <v>12</v>
      </c>
      <c r="Q1831" s="503">
        <f t="shared" si="141"/>
        <v>10</v>
      </c>
      <c r="R1831" s="504" t="str">
        <f t="shared" si="142"/>
        <v>Gastos_Gerais</v>
      </c>
      <c r="S1831" s="504" t="str">
        <f>IF(D1831="","",IF(OR(D1831=Plano!$A$1,D1831=Plano!$B$1),"entrada","saída"))</f>
        <v>saída</v>
      </c>
      <c r="T1831" s="505" t="s">
        <v>114</v>
      </c>
      <c r="U1831" s="505" t="s">
        <v>114</v>
      </c>
      <c r="V1831" s="541"/>
    </row>
    <row r="1832" spans="1:22" s="538" customFormat="1" ht="50.1" customHeight="1" x14ac:dyDescent="0.2">
      <c r="A1832" s="619">
        <f>IF(B1832="","",COUNT('Diário 5º PA'!$A$5:$A$2634)+COUNT('Diário 6º PA'!$A$5:$A$2246)+COUNT('Diário 7º PA'!$A$5:$A$2271)+ROW()-4)</f>
        <v>5778</v>
      </c>
      <c r="B1832" s="620">
        <v>44550</v>
      </c>
      <c r="C1832" s="624">
        <v>44501</v>
      </c>
      <c r="D1832" s="548" t="s">
        <v>99</v>
      </c>
      <c r="E1832" s="548" t="s">
        <v>358</v>
      </c>
      <c r="F1832" s="622">
        <v>55</v>
      </c>
      <c r="G1832" s="623" t="s">
        <v>6240</v>
      </c>
      <c r="H1832" s="548" t="s">
        <v>131</v>
      </c>
      <c r="I1832" s="583" t="s">
        <v>488</v>
      </c>
      <c r="J1832" s="548" t="s">
        <v>114</v>
      </c>
      <c r="K1832" s="583" t="s">
        <v>466</v>
      </c>
      <c r="L1832" s="583" t="s">
        <v>489</v>
      </c>
      <c r="M1832" s="619" t="s">
        <v>114</v>
      </c>
      <c r="N1832" s="620">
        <v>44530</v>
      </c>
      <c r="O1832" s="684" t="s">
        <v>67</v>
      </c>
      <c r="P1832" s="503">
        <f t="shared" si="140"/>
        <v>12</v>
      </c>
      <c r="Q1832" s="503">
        <f t="shared" si="141"/>
        <v>11</v>
      </c>
      <c r="R1832" s="504" t="str">
        <f t="shared" si="142"/>
        <v>Gastos_Gerais</v>
      </c>
      <c r="S1832" s="504" t="str">
        <f>IF(D1832="","",IF(OR(D1832=Plano!$A$1,D1832=Plano!$B$1),"entrada","saída"))</f>
        <v>saída</v>
      </c>
      <c r="T1832" s="505" t="s">
        <v>114</v>
      </c>
      <c r="U1832" s="505" t="s">
        <v>114</v>
      </c>
      <c r="V1832" s="541"/>
    </row>
    <row r="1833" spans="1:22" ht="50.1" customHeight="1" x14ac:dyDescent="0.2">
      <c r="A1833" s="619">
        <f>IF(B1833="","",COUNT('Diário 5º PA'!$A$5:$A$2634)+COUNT('Diário 6º PA'!$A$5:$A$2246)+COUNT('Diário 7º PA'!$A$5:$A$2271)+ROW()-4)</f>
        <v>5779</v>
      </c>
      <c r="B1833" s="620">
        <v>44550</v>
      </c>
      <c r="C1833" s="624">
        <v>44470</v>
      </c>
      <c r="D1833" s="548" t="s">
        <v>99</v>
      </c>
      <c r="E1833" s="548" t="s">
        <v>358</v>
      </c>
      <c r="F1833" s="622">
        <v>17.399999999999999</v>
      </c>
      <c r="G1833" s="623" t="s">
        <v>6094</v>
      </c>
      <c r="H1833" s="548" t="s">
        <v>131</v>
      </c>
      <c r="I1833" s="583" t="s">
        <v>488</v>
      </c>
      <c r="J1833" s="548" t="s">
        <v>114</v>
      </c>
      <c r="K1833" s="583" t="s">
        <v>466</v>
      </c>
      <c r="L1833" s="583" t="s">
        <v>489</v>
      </c>
      <c r="M1833" s="619" t="s">
        <v>114</v>
      </c>
      <c r="N1833" s="620">
        <v>44530</v>
      </c>
      <c r="O1833" s="684" t="s">
        <v>67</v>
      </c>
      <c r="P1833" s="503">
        <f t="shared" si="140"/>
        <v>12</v>
      </c>
      <c r="Q1833" s="503">
        <f t="shared" si="141"/>
        <v>10</v>
      </c>
      <c r="R1833" s="504" t="str">
        <f t="shared" si="142"/>
        <v>Gastos_Gerais</v>
      </c>
      <c r="S1833" s="504" t="str">
        <f>IF(D1833="","",IF(OR(D1833=Plano!$A$1,D1833=Plano!$B$1),"entrada","saída"))</f>
        <v>saída</v>
      </c>
      <c r="T1833" s="505" t="s">
        <v>114</v>
      </c>
      <c r="U1833" s="505" t="s">
        <v>114</v>
      </c>
      <c r="V1833" s="541"/>
    </row>
    <row r="1834" spans="1:22" ht="50.1" customHeight="1" x14ac:dyDescent="0.2">
      <c r="A1834" s="619">
        <f>IF(B1834="","",COUNT('Diário 5º PA'!$A$5:$A$2634)+COUNT('Diário 6º PA'!$A$5:$A$2246)+COUNT('Diário 7º PA'!$A$5:$A$2271)+ROW()-4)</f>
        <v>5780</v>
      </c>
      <c r="B1834" s="620">
        <v>44550</v>
      </c>
      <c r="C1834" s="628">
        <v>44470</v>
      </c>
      <c r="D1834" s="548" t="s">
        <v>99</v>
      </c>
      <c r="E1834" s="548" t="s">
        <v>336</v>
      </c>
      <c r="F1834" s="622">
        <v>147.16</v>
      </c>
      <c r="G1834" s="623" t="s">
        <v>6090</v>
      </c>
      <c r="H1834" s="548" t="s">
        <v>118</v>
      </c>
      <c r="I1834" s="583" t="s">
        <v>488</v>
      </c>
      <c r="J1834" s="548" t="s">
        <v>114</v>
      </c>
      <c r="K1834" s="583" t="s">
        <v>466</v>
      </c>
      <c r="L1834" s="583" t="s">
        <v>489</v>
      </c>
      <c r="M1834" s="619" t="s">
        <v>114</v>
      </c>
      <c r="N1834" s="620">
        <v>44530</v>
      </c>
      <c r="O1834" s="684" t="s">
        <v>67</v>
      </c>
      <c r="P1834" s="503">
        <f t="shared" si="140"/>
        <v>12</v>
      </c>
      <c r="Q1834" s="503">
        <f t="shared" si="141"/>
        <v>10</v>
      </c>
      <c r="R1834" s="504" t="str">
        <f t="shared" si="142"/>
        <v>Gastos_Gerais</v>
      </c>
      <c r="S1834" s="504" t="str">
        <f>IF(D1834="","",IF(OR(D1834=Plano!$A$1,D1834=Plano!$B$1),"entrada","saída"))</f>
        <v>saída</v>
      </c>
      <c r="T1834" s="505" t="s">
        <v>114</v>
      </c>
      <c r="U1834" s="505" t="s">
        <v>114</v>
      </c>
      <c r="V1834" s="541"/>
    </row>
    <row r="1835" spans="1:22" ht="50.1" customHeight="1" x14ac:dyDescent="0.2">
      <c r="A1835" s="619">
        <f>IF(B1835="","",COUNT('Diário 5º PA'!$A$5:$A$2634)+COUNT('Diário 6º PA'!$A$5:$A$2246)+COUNT('Diário 7º PA'!$A$5:$A$2271)+ROW()-4)</f>
        <v>5781</v>
      </c>
      <c r="B1835" s="620">
        <v>44550</v>
      </c>
      <c r="C1835" s="624">
        <v>44409</v>
      </c>
      <c r="D1835" s="548" t="s">
        <v>99</v>
      </c>
      <c r="E1835" s="548" t="s">
        <v>336</v>
      </c>
      <c r="F1835" s="622">
        <v>599.14</v>
      </c>
      <c r="G1835" s="623" t="s">
        <v>6273</v>
      </c>
      <c r="H1835" s="548" t="s">
        <v>116</v>
      </c>
      <c r="I1835" s="583" t="s">
        <v>488</v>
      </c>
      <c r="J1835" s="548" t="s">
        <v>114</v>
      </c>
      <c r="K1835" s="583" t="s">
        <v>466</v>
      </c>
      <c r="L1835" s="583" t="s">
        <v>489</v>
      </c>
      <c r="M1835" s="619" t="s">
        <v>114</v>
      </c>
      <c r="N1835" s="620">
        <v>44530</v>
      </c>
      <c r="O1835" s="684" t="s">
        <v>67</v>
      </c>
      <c r="P1835" s="503">
        <f t="shared" si="140"/>
        <v>12</v>
      </c>
      <c r="Q1835" s="503">
        <f t="shared" si="141"/>
        <v>8</v>
      </c>
      <c r="R1835" s="504" t="str">
        <f t="shared" si="142"/>
        <v>Gastos_Gerais</v>
      </c>
      <c r="S1835" s="504" t="str">
        <f>IF(D1835="","",IF(OR(D1835=Plano!$A$1,D1835=Plano!$B$1),"entrada","saída"))</f>
        <v>saída</v>
      </c>
      <c r="T1835" s="505" t="s">
        <v>114</v>
      </c>
      <c r="U1835" s="505" t="s">
        <v>114</v>
      </c>
      <c r="V1835" s="541"/>
    </row>
    <row r="1836" spans="1:22" ht="50.1" customHeight="1" x14ac:dyDescent="0.2">
      <c r="A1836" s="619">
        <f>IF(B1836="","",COUNT('Diário 5º PA'!$A$5:$A$2634)+COUNT('Diário 6º PA'!$A$5:$A$2246)+COUNT('Diário 7º PA'!$A$5:$A$2271)+ROW()-4)</f>
        <v>5782</v>
      </c>
      <c r="B1836" s="620">
        <v>44550</v>
      </c>
      <c r="C1836" s="624">
        <v>44470</v>
      </c>
      <c r="D1836" s="548" t="s">
        <v>99</v>
      </c>
      <c r="E1836" s="548" t="s">
        <v>358</v>
      </c>
      <c r="F1836" s="622">
        <v>38.76</v>
      </c>
      <c r="G1836" s="623" t="s">
        <v>6098</v>
      </c>
      <c r="H1836" s="548" t="s">
        <v>131</v>
      </c>
      <c r="I1836" s="583" t="s">
        <v>488</v>
      </c>
      <c r="J1836" s="548" t="s">
        <v>114</v>
      </c>
      <c r="K1836" s="583" t="s">
        <v>466</v>
      </c>
      <c r="L1836" s="583" t="s">
        <v>489</v>
      </c>
      <c r="M1836" s="619" t="s">
        <v>114</v>
      </c>
      <c r="N1836" s="620">
        <v>44530</v>
      </c>
      <c r="O1836" s="684" t="s">
        <v>67</v>
      </c>
      <c r="P1836" s="503">
        <f t="shared" si="140"/>
        <v>12</v>
      </c>
      <c r="Q1836" s="503">
        <f t="shared" si="141"/>
        <v>10</v>
      </c>
      <c r="R1836" s="504" t="str">
        <f t="shared" si="142"/>
        <v>Gastos_Gerais</v>
      </c>
      <c r="S1836" s="504" t="str">
        <f>IF(D1836="","",IF(OR(D1836=Plano!$A$1,D1836=Plano!$B$1),"entrada","saída"))</f>
        <v>saída</v>
      </c>
      <c r="T1836" s="505" t="s">
        <v>114</v>
      </c>
      <c r="U1836" s="505" t="s">
        <v>114</v>
      </c>
      <c r="V1836" s="541"/>
    </row>
    <row r="1837" spans="1:22" ht="50.1" customHeight="1" x14ac:dyDescent="0.2">
      <c r="A1837" s="619">
        <f>IF(B1837="","",COUNT('Diário 5º PA'!$A$5:$A$2634)+COUNT('Diário 6º PA'!$A$5:$A$2246)+COUNT('Diário 7º PA'!$A$5:$A$2271)+ROW()-4)</f>
        <v>5783</v>
      </c>
      <c r="B1837" s="620">
        <v>44550</v>
      </c>
      <c r="C1837" s="624">
        <v>44470</v>
      </c>
      <c r="D1837" s="548" t="s">
        <v>99</v>
      </c>
      <c r="E1837" s="548" t="s">
        <v>358</v>
      </c>
      <c r="F1837" s="622">
        <v>33.42</v>
      </c>
      <c r="G1837" s="623" t="s">
        <v>6232</v>
      </c>
      <c r="H1837" s="548" t="s">
        <v>131</v>
      </c>
      <c r="I1837" s="583" t="s">
        <v>488</v>
      </c>
      <c r="J1837" s="548" t="s">
        <v>114</v>
      </c>
      <c r="K1837" s="583" t="s">
        <v>466</v>
      </c>
      <c r="L1837" s="583" t="s">
        <v>489</v>
      </c>
      <c r="M1837" s="619" t="s">
        <v>114</v>
      </c>
      <c r="N1837" s="620">
        <v>44530</v>
      </c>
      <c r="O1837" s="684" t="s">
        <v>67</v>
      </c>
      <c r="P1837" s="503">
        <f t="shared" si="140"/>
        <v>12</v>
      </c>
      <c r="Q1837" s="503">
        <f t="shared" si="141"/>
        <v>10</v>
      </c>
      <c r="R1837" s="504" t="str">
        <f t="shared" si="142"/>
        <v>Gastos_Gerais</v>
      </c>
      <c r="S1837" s="504" t="str">
        <f>IF(D1837="","",IF(OR(D1837=Plano!$A$1,D1837=Plano!$B$1),"entrada","saída"))</f>
        <v>saída</v>
      </c>
      <c r="T1837" s="505" t="s">
        <v>114</v>
      </c>
      <c r="U1837" s="505" t="s">
        <v>114</v>
      </c>
      <c r="V1837" s="541"/>
    </row>
    <row r="1838" spans="1:22" ht="50.1" customHeight="1" x14ac:dyDescent="0.2">
      <c r="A1838" s="619">
        <f>IF(B1838="","",COUNT('Diário 5º PA'!$A$5:$A$2634)+COUNT('Diário 6º PA'!$A$5:$A$2246)+COUNT('Diário 7º PA'!$A$5:$A$2271)+ROW()-4)</f>
        <v>5784</v>
      </c>
      <c r="B1838" s="620">
        <v>44550</v>
      </c>
      <c r="C1838" s="624">
        <v>44470</v>
      </c>
      <c r="D1838" s="548" t="s">
        <v>99</v>
      </c>
      <c r="E1838" s="548" t="s">
        <v>358</v>
      </c>
      <c r="F1838" s="622">
        <v>38.76</v>
      </c>
      <c r="G1838" s="623" t="s">
        <v>6087</v>
      </c>
      <c r="H1838" s="548" t="s">
        <v>131</v>
      </c>
      <c r="I1838" s="583" t="s">
        <v>488</v>
      </c>
      <c r="J1838" s="548" t="s">
        <v>114</v>
      </c>
      <c r="K1838" s="583" t="s">
        <v>466</v>
      </c>
      <c r="L1838" s="583" t="s">
        <v>489</v>
      </c>
      <c r="M1838" s="619" t="s">
        <v>114</v>
      </c>
      <c r="N1838" s="620">
        <v>44530</v>
      </c>
      <c r="O1838" s="684" t="s">
        <v>67</v>
      </c>
      <c r="P1838" s="503">
        <f t="shared" si="140"/>
        <v>12</v>
      </c>
      <c r="Q1838" s="503">
        <f t="shared" si="141"/>
        <v>10</v>
      </c>
      <c r="R1838" s="504" t="str">
        <f t="shared" si="142"/>
        <v>Gastos_Gerais</v>
      </c>
      <c r="S1838" s="504" t="str">
        <f>IF(D1838="","",IF(OR(D1838=Plano!$A$1,D1838=Plano!$B$1),"entrada","saída"))</f>
        <v>saída</v>
      </c>
      <c r="T1838" s="505" t="s">
        <v>114</v>
      </c>
      <c r="U1838" s="505" t="s">
        <v>114</v>
      </c>
      <c r="V1838" s="541"/>
    </row>
    <row r="1839" spans="1:22" ht="50.1" customHeight="1" x14ac:dyDescent="0.2">
      <c r="A1839" s="619">
        <f>IF(B1839="","",COUNT('Diário 5º PA'!$A$5:$A$2634)+COUNT('Diário 6º PA'!$A$5:$A$2246)+COUNT('Diário 7º PA'!$A$5:$A$2271)+ROW()-4)</f>
        <v>5785</v>
      </c>
      <c r="B1839" s="620">
        <v>44550</v>
      </c>
      <c r="C1839" s="624">
        <v>44470</v>
      </c>
      <c r="D1839" s="548" t="s">
        <v>99</v>
      </c>
      <c r="E1839" s="548" t="s">
        <v>358</v>
      </c>
      <c r="F1839" s="622">
        <v>12.06</v>
      </c>
      <c r="G1839" s="623" t="s">
        <v>6229</v>
      </c>
      <c r="H1839" s="548" t="s">
        <v>131</v>
      </c>
      <c r="I1839" s="583" t="s">
        <v>488</v>
      </c>
      <c r="J1839" s="548" t="s">
        <v>114</v>
      </c>
      <c r="K1839" s="583" t="s">
        <v>466</v>
      </c>
      <c r="L1839" s="583" t="s">
        <v>489</v>
      </c>
      <c r="M1839" s="619" t="s">
        <v>114</v>
      </c>
      <c r="N1839" s="620">
        <v>44530</v>
      </c>
      <c r="O1839" s="684" t="s">
        <v>67</v>
      </c>
      <c r="P1839" s="503">
        <f t="shared" si="140"/>
        <v>12</v>
      </c>
      <c r="Q1839" s="503">
        <f t="shared" si="141"/>
        <v>10</v>
      </c>
      <c r="R1839" s="504" t="str">
        <f t="shared" si="142"/>
        <v>Gastos_Gerais</v>
      </c>
      <c r="S1839" s="504" t="str">
        <f>IF(D1839="","",IF(OR(D1839=Plano!$A$1,D1839=Plano!$B$1),"entrada","saída"))</f>
        <v>saída</v>
      </c>
      <c r="T1839" s="505" t="s">
        <v>114</v>
      </c>
      <c r="U1839" s="505" t="s">
        <v>114</v>
      </c>
      <c r="V1839" s="541"/>
    </row>
    <row r="1840" spans="1:22" ht="50.1" customHeight="1" x14ac:dyDescent="0.2">
      <c r="A1840" s="619">
        <f>IF(B1840="","",COUNT('Diário 5º PA'!$A$5:$A$2634)+COUNT('Diário 6º PA'!$A$5:$A$2246)+COUNT('Diário 7º PA'!$A$5:$A$2271)+ROW()-4)</f>
        <v>5786</v>
      </c>
      <c r="B1840" s="620">
        <v>44550</v>
      </c>
      <c r="C1840" s="624">
        <v>44470</v>
      </c>
      <c r="D1840" s="548" t="s">
        <v>99</v>
      </c>
      <c r="E1840" s="548" t="s">
        <v>364</v>
      </c>
      <c r="F1840" s="622">
        <v>57.45</v>
      </c>
      <c r="G1840" s="623" t="s">
        <v>6412</v>
      </c>
      <c r="H1840" s="548" t="s">
        <v>488</v>
      </c>
      <c r="I1840" s="583" t="s">
        <v>488</v>
      </c>
      <c r="J1840" s="548" t="s">
        <v>114</v>
      </c>
      <c r="K1840" s="583" t="s">
        <v>466</v>
      </c>
      <c r="L1840" s="583" t="s">
        <v>489</v>
      </c>
      <c r="M1840" s="619" t="s">
        <v>114</v>
      </c>
      <c r="N1840" s="620">
        <v>44530</v>
      </c>
      <c r="O1840" s="684" t="s">
        <v>67</v>
      </c>
      <c r="P1840" s="503">
        <f t="shared" si="140"/>
        <v>12</v>
      </c>
      <c r="Q1840" s="503">
        <f t="shared" si="141"/>
        <v>10</v>
      </c>
      <c r="R1840" s="504" t="str">
        <f t="shared" si="142"/>
        <v>Gastos_Gerais</v>
      </c>
      <c r="S1840" s="504" t="str">
        <f>IF(D1840="","",IF(OR(D1840=Plano!$A$1,D1840=Plano!$B$1),"entrada","saída"))</f>
        <v>saída</v>
      </c>
      <c r="T1840" s="505" t="s">
        <v>114</v>
      </c>
      <c r="U1840" s="505" t="s">
        <v>114</v>
      </c>
      <c r="V1840" s="541"/>
    </row>
    <row r="1841" spans="1:22" ht="50.1" customHeight="1" x14ac:dyDescent="0.2">
      <c r="A1841" s="619">
        <f>IF(B1841="","",COUNT('Diário 5º PA'!$A$5:$A$2634)+COUNT('Diário 6º PA'!$A$5:$A$2246)+COUNT('Diário 7º PA'!$A$5:$A$2271)+ROW()-4)</f>
        <v>5787</v>
      </c>
      <c r="B1841" s="620">
        <v>44550</v>
      </c>
      <c r="C1841" s="624">
        <v>44531</v>
      </c>
      <c r="D1841" s="548" t="s">
        <v>88</v>
      </c>
      <c r="E1841" s="548" t="s">
        <v>175</v>
      </c>
      <c r="F1841" s="622">
        <v>48983.35</v>
      </c>
      <c r="G1841" s="623" t="s">
        <v>6831</v>
      </c>
      <c r="H1841" s="548" t="s">
        <v>114</v>
      </c>
      <c r="I1841" s="583" t="s">
        <v>530</v>
      </c>
      <c r="J1841" s="548" t="s">
        <v>114</v>
      </c>
      <c r="K1841" s="583" t="s">
        <v>466</v>
      </c>
      <c r="L1841" s="583" t="s">
        <v>547</v>
      </c>
      <c r="M1841" s="619" t="s">
        <v>114</v>
      </c>
      <c r="N1841" s="620">
        <v>44550</v>
      </c>
      <c r="O1841" s="684" t="s">
        <v>67</v>
      </c>
      <c r="P1841" s="503">
        <f t="shared" si="140"/>
        <v>12</v>
      </c>
      <c r="Q1841" s="503">
        <f t="shared" si="141"/>
        <v>12</v>
      </c>
      <c r="R1841" s="504" t="str">
        <f t="shared" si="142"/>
        <v>Gastos_com_Pessoal</v>
      </c>
      <c r="S1841" s="504" t="str">
        <f>IF(D1841="","",IF(OR(D1841=Plano!$A$1,D1841=Plano!$B$1),"entrada","saída"))</f>
        <v>saída</v>
      </c>
      <c r="T1841" s="511" t="s">
        <v>114</v>
      </c>
      <c r="U1841" s="511" t="s">
        <v>114</v>
      </c>
      <c r="V1841" s="541"/>
    </row>
    <row r="1842" spans="1:22" ht="50.1" customHeight="1" x14ac:dyDescent="0.2">
      <c r="A1842" s="619">
        <f>IF(B1842="","",COUNT('Diário 5º PA'!$A$5:$A$2634)+COUNT('Diário 6º PA'!$A$5:$A$2246)+COUNT('Diário 7º PA'!$A$5:$A$2271)+ROW()-4)</f>
        <v>5788</v>
      </c>
      <c r="B1842" s="620">
        <v>44550</v>
      </c>
      <c r="C1842" s="624">
        <v>44531</v>
      </c>
      <c r="D1842" s="548" t="s">
        <v>99</v>
      </c>
      <c r="E1842" s="548" t="s">
        <v>364</v>
      </c>
      <c r="F1842" s="622">
        <v>1470</v>
      </c>
      <c r="G1842" s="623" t="s">
        <v>6611</v>
      </c>
      <c r="H1842" s="548" t="s">
        <v>116</v>
      </c>
      <c r="I1842" s="583" t="s">
        <v>6833</v>
      </c>
      <c r="J1842" s="548" t="s">
        <v>6615</v>
      </c>
      <c r="K1842" s="583" t="s">
        <v>991</v>
      </c>
      <c r="L1842" s="583" t="s">
        <v>1029</v>
      </c>
      <c r="M1842" s="619">
        <v>1496</v>
      </c>
      <c r="N1842" s="620">
        <v>44546</v>
      </c>
      <c r="O1842" s="684" t="s">
        <v>67</v>
      </c>
      <c r="P1842" s="503">
        <f t="shared" si="140"/>
        <v>12</v>
      </c>
      <c r="Q1842" s="503">
        <f t="shared" si="141"/>
        <v>12</v>
      </c>
      <c r="R1842" s="504" t="str">
        <f t="shared" si="142"/>
        <v>Gastos_Gerais</v>
      </c>
      <c r="S1842" s="504" t="str">
        <f>IF(D1842="","",IF(OR(D1842=Plano!$A$1,D1842=Plano!$B$1),"entrada","saída"))</f>
        <v>saída</v>
      </c>
      <c r="T1842" s="505" t="s">
        <v>994</v>
      </c>
      <c r="U1842" s="505">
        <v>2560</v>
      </c>
      <c r="V1842" s="541"/>
    </row>
    <row r="1843" spans="1:22" ht="50.1" customHeight="1" x14ac:dyDescent="0.2">
      <c r="A1843" s="619">
        <f>IF(B1843="","",COUNT('Diário 5º PA'!$A$5:$A$2634)+COUNT('Diário 6º PA'!$A$5:$A$2246)+COUNT('Diário 7º PA'!$A$5:$A$2271)+ROW()-4)</f>
        <v>5789</v>
      </c>
      <c r="B1843" s="620">
        <v>44550</v>
      </c>
      <c r="C1843" s="624">
        <v>44470</v>
      </c>
      <c r="D1843" s="548" t="s">
        <v>88</v>
      </c>
      <c r="E1843" s="548" t="s">
        <v>90</v>
      </c>
      <c r="F1843" s="622">
        <v>11577.16</v>
      </c>
      <c r="G1843" s="623" t="s">
        <v>6010</v>
      </c>
      <c r="H1843" s="548" t="s">
        <v>114</v>
      </c>
      <c r="I1843" s="583" t="s">
        <v>488</v>
      </c>
      <c r="J1843" s="548" t="s">
        <v>114</v>
      </c>
      <c r="K1843" s="583" t="s">
        <v>466</v>
      </c>
      <c r="L1843" s="583" t="s">
        <v>489</v>
      </c>
      <c r="M1843" s="619" t="s">
        <v>114</v>
      </c>
      <c r="N1843" s="620">
        <v>44530</v>
      </c>
      <c r="O1843" s="684" t="s">
        <v>67</v>
      </c>
      <c r="P1843" s="503">
        <f t="shared" si="140"/>
        <v>12</v>
      </c>
      <c r="Q1843" s="503">
        <f t="shared" si="141"/>
        <v>10</v>
      </c>
      <c r="R1843" s="504" t="str">
        <f t="shared" si="142"/>
        <v>Gastos_com_Pessoal</v>
      </c>
      <c r="S1843" s="504" t="str">
        <f>IF(D1843="","",IF(OR(D1843=Plano!$A$1,D1843=Plano!$B$1),"entrada","saída"))</f>
        <v>saída</v>
      </c>
      <c r="T1843" s="546" t="s">
        <v>114</v>
      </c>
      <c r="U1843" s="546" t="s">
        <v>114</v>
      </c>
      <c r="V1843" s="541"/>
    </row>
    <row r="1844" spans="1:22" ht="50.1" customHeight="1" x14ac:dyDescent="0.2">
      <c r="A1844" s="619">
        <f>IF(B1844="","",COUNT('Diário 5º PA'!$A$5:$A$2634)+COUNT('Diário 6º PA'!$A$5:$A$2246)+COUNT('Diário 7º PA'!$A$5:$A$2271)+ROW()-4)</f>
        <v>5790</v>
      </c>
      <c r="B1844" s="620">
        <v>44550</v>
      </c>
      <c r="C1844" s="624">
        <v>44501</v>
      </c>
      <c r="D1844" s="548" t="s">
        <v>88</v>
      </c>
      <c r="E1844" s="548" t="s">
        <v>181</v>
      </c>
      <c r="F1844" s="622">
        <v>502.74</v>
      </c>
      <c r="G1844" s="623" t="s">
        <v>6236</v>
      </c>
      <c r="H1844" s="548" t="s">
        <v>114</v>
      </c>
      <c r="I1844" s="583" t="s">
        <v>488</v>
      </c>
      <c r="J1844" s="548" t="s">
        <v>114</v>
      </c>
      <c r="K1844" s="583" t="s">
        <v>466</v>
      </c>
      <c r="L1844" s="583" t="s">
        <v>489</v>
      </c>
      <c r="M1844" s="619" t="s">
        <v>114</v>
      </c>
      <c r="N1844" s="620">
        <v>44530</v>
      </c>
      <c r="O1844" s="684" t="s">
        <v>67</v>
      </c>
      <c r="P1844" s="503">
        <f t="shared" si="140"/>
        <v>12</v>
      </c>
      <c r="Q1844" s="503">
        <f t="shared" si="141"/>
        <v>11</v>
      </c>
      <c r="R1844" s="504" t="str">
        <f t="shared" si="142"/>
        <v>Gastos_com_Pessoal</v>
      </c>
      <c r="S1844" s="504" t="str">
        <f>IF(D1844="","",IF(OR(D1844=Plano!$A$1,D1844=Plano!$B$1),"entrada","saída"))</f>
        <v>saída</v>
      </c>
      <c r="T1844" s="546" t="s">
        <v>114</v>
      </c>
      <c r="U1844" s="546" t="s">
        <v>114</v>
      </c>
      <c r="V1844" s="541"/>
    </row>
    <row r="1845" spans="1:22" ht="50.1" customHeight="1" x14ac:dyDescent="0.2">
      <c r="A1845" s="619">
        <f>IF(B1845="","",COUNT('Diário 5º PA'!$A$5:$A$2634)+COUNT('Diário 6º PA'!$A$5:$A$2246)+COUNT('Diário 7º PA'!$A$5:$A$2271)+ROW()-4)</f>
        <v>5791</v>
      </c>
      <c r="B1845" s="620">
        <v>44550</v>
      </c>
      <c r="C1845" s="624">
        <v>44501</v>
      </c>
      <c r="D1845" s="548" t="s">
        <v>88</v>
      </c>
      <c r="E1845" s="548" t="s">
        <v>175</v>
      </c>
      <c r="F1845" s="622">
        <v>136.85</v>
      </c>
      <c r="G1845" s="623" t="s">
        <v>6237</v>
      </c>
      <c r="H1845" s="548" t="s">
        <v>114</v>
      </c>
      <c r="I1845" s="583" t="s">
        <v>488</v>
      </c>
      <c r="J1845" s="548" t="s">
        <v>114</v>
      </c>
      <c r="K1845" s="583" t="s">
        <v>466</v>
      </c>
      <c r="L1845" s="583" t="s">
        <v>489</v>
      </c>
      <c r="M1845" s="619" t="s">
        <v>114</v>
      </c>
      <c r="N1845" s="620">
        <v>44530</v>
      </c>
      <c r="O1845" s="684" t="s">
        <v>67</v>
      </c>
      <c r="P1845" s="503">
        <f t="shared" si="140"/>
        <v>12</v>
      </c>
      <c r="Q1845" s="503">
        <f t="shared" si="141"/>
        <v>11</v>
      </c>
      <c r="R1845" s="504" t="str">
        <f t="shared" si="142"/>
        <v>Gastos_com_Pessoal</v>
      </c>
      <c r="S1845" s="504" t="str">
        <f>IF(D1845="","",IF(OR(D1845=Plano!$A$1,D1845=Plano!$B$1),"entrada","saída"))</f>
        <v>saída</v>
      </c>
      <c r="T1845" s="546" t="s">
        <v>114</v>
      </c>
      <c r="U1845" s="546" t="s">
        <v>114</v>
      </c>
      <c r="V1845" s="541"/>
    </row>
    <row r="1846" spans="1:22" ht="50.1" customHeight="1" x14ac:dyDescent="0.2">
      <c r="A1846" s="619">
        <f>IF(B1846="","",COUNT('Diário 5º PA'!$A$5:$A$2634)+COUNT('Diário 6º PA'!$A$5:$A$2246)+COUNT('Diário 7º PA'!$A$5:$A$2271)+ROW()-4)</f>
        <v>5792</v>
      </c>
      <c r="B1846" s="620">
        <v>44550</v>
      </c>
      <c r="C1846" s="624">
        <v>44470</v>
      </c>
      <c r="D1846" s="548" t="s">
        <v>99</v>
      </c>
      <c r="E1846" s="548" t="s">
        <v>266</v>
      </c>
      <c r="F1846" s="622">
        <v>658.35</v>
      </c>
      <c r="G1846" s="623" t="s">
        <v>6330</v>
      </c>
      <c r="H1846" s="548" t="s">
        <v>131</v>
      </c>
      <c r="I1846" s="583" t="s">
        <v>530</v>
      </c>
      <c r="J1846" s="548" t="s">
        <v>114</v>
      </c>
      <c r="K1846" s="583" t="s">
        <v>466</v>
      </c>
      <c r="L1846" s="583" t="s">
        <v>547</v>
      </c>
      <c r="M1846" s="619" t="s">
        <v>114</v>
      </c>
      <c r="N1846" s="620">
        <v>44530</v>
      </c>
      <c r="O1846" s="684" t="s">
        <v>67</v>
      </c>
      <c r="P1846" s="503">
        <f t="shared" si="140"/>
        <v>12</v>
      </c>
      <c r="Q1846" s="503">
        <f t="shared" si="141"/>
        <v>10</v>
      </c>
      <c r="R1846" s="504" t="str">
        <f t="shared" si="142"/>
        <v>Gastos_Gerais</v>
      </c>
      <c r="S1846" s="504" t="str">
        <f>IF(D1846="","",IF(OR(D1846=Plano!$A$1,D1846=Plano!$B$1),"entrada","saída"))</f>
        <v>saída</v>
      </c>
      <c r="T1846" s="546" t="s">
        <v>114</v>
      </c>
      <c r="U1846" s="546" t="s">
        <v>114</v>
      </c>
      <c r="V1846" s="541"/>
    </row>
    <row r="1847" spans="1:22" s="539" customFormat="1" ht="50.1" customHeight="1" x14ac:dyDescent="0.2">
      <c r="A1847" s="619">
        <f>IF(B1847="","",COUNT('Diário 5º PA'!$A$5:$A$2634)+COUNT('Diário 6º PA'!$A$5:$A$2246)+COUNT('Diário 7º PA'!$A$5:$A$2271)+ROW()-4)</f>
        <v>5793</v>
      </c>
      <c r="B1847" s="620">
        <v>44550</v>
      </c>
      <c r="C1847" s="621">
        <v>44501</v>
      </c>
      <c r="D1847" s="548" t="s">
        <v>99</v>
      </c>
      <c r="E1847" s="548" t="s">
        <v>330</v>
      </c>
      <c r="F1847" s="622">
        <v>5205.2</v>
      </c>
      <c r="G1847" s="623" t="s">
        <v>6330</v>
      </c>
      <c r="H1847" s="548" t="s">
        <v>114</v>
      </c>
      <c r="I1847" s="583" t="s">
        <v>530</v>
      </c>
      <c r="J1847" s="548" t="s">
        <v>114</v>
      </c>
      <c r="K1847" s="583" t="s">
        <v>466</v>
      </c>
      <c r="L1847" s="583" t="s">
        <v>547</v>
      </c>
      <c r="M1847" s="619" t="s">
        <v>114</v>
      </c>
      <c r="N1847" s="620">
        <v>44530</v>
      </c>
      <c r="O1847" s="684" t="s">
        <v>67</v>
      </c>
      <c r="P1847" s="503">
        <f t="shared" si="140"/>
        <v>12</v>
      </c>
      <c r="Q1847" s="503">
        <f t="shared" si="141"/>
        <v>11</v>
      </c>
      <c r="R1847" s="504" t="str">
        <f t="shared" si="142"/>
        <v>Gastos_Gerais</v>
      </c>
      <c r="S1847" s="504" t="str">
        <f>IF(D1847="","",IF(OR(D1847=Plano!$A$1,D1847=Plano!$B$1),"entrada","saída"))</f>
        <v>saída</v>
      </c>
      <c r="T1847" s="546" t="s">
        <v>114</v>
      </c>
      <c r="U1847" s="546" t="s">
        <v>114</v>
      </c>
      <c r="V1847" s="541"/>
    </row>
    <row r="1848" spans="1:22" ht="50.1" customHeight="1" x14ac:dyDescent="0.2">
      <c r="A1848" s="619">
        <f>IF(B1848="","",COUNT('Diário 5º PA'!$A$5:$A$2634)+COUNT('Diário 6º PA'!$A$5:$A$2246)+COUNT('Diário 7º PA'!$A$5:$A$2271)+ROW()-4)</f>
        <v>5794</v>
      </c>
      <c r="B1848" s="620">
        <v>44550</v>
      </c>
      <c r="C1848" s="624">
        <v>44470</v>
      </c>
      <c r="D1848" s="548" t="s">
        <v>99</v>
      </c>
      <c r="E1848" s="548" t="s">
        <v>358</v>
      </c>
      <c r="F1848" s="622">
        <v>818.4</v>
      </c>
      <c r="G1848" s="623" t="s">
        <v>6252</v>
      </c>
      <c r="H1848" s="548" t="s">
        <v>131</v>
      </c>
      <c r="I1848" s="583" t="s">
        <v>530</v>
      </c>
      <c r="J1848" s="548" t="s">
        <v>114</v>
      </c>
      <c r="K1848" s="583" t="s">
        <v>466</v>
      </c>
      <c r="L1848" s="583" t="s">
        <v>547</v>
      </c>
      <c r="M1848" s="619" t="s">
        <v>114</v>
      </c>
      <c r="N1848" s="620">
        <v>44530</v>
      </c>
      <c r="O1848" s="684" t="s">
        <v>67</v>
      </c>
      <c r="P1848" s="503">
        <f t="shared" si="140"/>
        <v>12</v>
      </c>
      <c r="Q1848" s="503">
        <f t="shared" si="141"/>
        <v>10</v>
      </c>
      <c r="R1848" s="504" t="str">
        <f t="shared" si="142"/>
        <v>Gastos_Gerais</v>
      </c>
      <c r="S1848" s="504" t="str">
        <f>IF(D1848="","",IF(OR(D1848=Plano!$A$1,D1848=Plano!$B$1),"entrada","saída"))</f>
        <v>saída</v>
      </c>
      <c r="T1848" s="546" t="s">
        <v>114</v>
      </c>
      <c r="U1848" s="546" t="s">
        <v>114</v>
      </c>
      <c r="V1848" s="541"/>
    </row>
    <row r="1849" spans="1:22" ht="50.1" customHeight="1" x14ac:dyDescent="0.2">
      <c r="A1849" s="619">
        <f>IF(B1849="","",COUNT('Diário 5º PA'!$A$5:$A$2634)+COUNT('Diário 6º PA'!$A$5:$A$2246)+COUNT('Diário 7º PA'!$A$5:$A$2271)+ROW()-4)</f>
        <v>5795</v>
      </c>
      <c r="B1849" s="620">
        <v>44550</v>
      </c>
      <c r="C1849" s="624">
        <v>44440</v>
      </c>
      <c r="D1849" s="548" t="s">
        <v>99</v>
      </c>
      <c r="E1849" s="548" t="s">
        <v>364</v>
      </c>
      <c r="F1849" s="622">
        <v>108.5</v>
      </c>
      <c r="G1849" s="623" t="s">
        <v>6160</v>
      </c>
      <c r="H1849" s="548" t="s">
        <v>125</v>
      </c>
      <c r="I1849" s="583" t="s">
        <v>530</v>
      </c>
      <c r="J1849" s="548" t="s">
        <v>114</v>
      </c>
      <c r="K1849" s="583" t="s">
        <v>466</v>
      </c>
      <c r="L1849" s="583" t="s">
        <v>547</v>
      </c>
      <c r="M1849" s="619" t="s">
        <v>114</v>
      </c>
      <c r="N1849" s="620">
        <v>44530</v>
      </c>
      <c r="O1849" s="684" t="s">
        <v>67</v>
      </c>
      <c r="P1849" s="503">
        <f t="shared" si="140"/>
        <v>12</v>
      </c>
      <c r="Q1849" s="503">
        <f t="shared" si="141"/>
        <v>9</v>
      </c>
      <c r="R1849" s="504" t="str">
        <f t="shared" si="142"/>
        <v>Gastos_Gerais</v>
      </c>
      <c r="S1849" s="504" t="str">
        <f>IF(D1849="","",IF(OR(D1849=Plano!$A$1,D1849=Plano!$B$1),"entrada","saída"))</f>
        <v>saída</v>
      </c>
      <c r="T1849" s="546" t="s">
        <v>114</v>
      </c>
      <c r="U1849" s="546" t="s">
        <v>114</v>
      </c>
      <c r="V1849" s="541"/>
    </row>
    <row r="1850" spans="1:22" ht="50.1" customHeight="1" x14ac:dyDescent="0.2">
      <c r="A1850" s="619">
        <f>IF(B1850="","",COUNT('Diário 5º PA'!$A$5:$A$2634)+COUNT('Diário 6º PA'!$A$5:$A$2246)+COUNT('Diário 7º PA'!$A$5:$A$2271)+ROW()-4)</f>
        <v>5796</v>
      </c>
      <c r="B1850" s="620">
        <v>44550</v>
      </c>
      <c r="C1850" s="628">
        <v>44470</v>
      </c>
      <c r="D1850" s="548" t="s">
        <v>99</v>
      </c>
      <c r="E1850" s="548" t="s">
        <v>358</v>
      </c>
      <c r="F1850" s="622">
        <v>744</v>
      </c>
      <c r="G1850" s="623" t="s">
        <v>6172</v>
      </c>
      <c r="H1850" s="548" t="s">
        <v>131</v>
      </c>
      <c r="I1850" s="583" t="s">
        <v>530</v>
      </c>
      <c r="J1850" s="548" t="s">
        <v>114</v>
      </c>
      <c r="K1850" s="583" t="s">
        <v>466</v>
      </c>
      <c r="L1850" s="583" t="s">
        <v>547</v>
      </c>
      <c r="M1850" s="619" t="s">
        <v>114</v>
      </c>
      <c r="N1850" s="620">
        <v>44530</v>
      </c>
      <c r="O1850" s="684" t="s">
        <v>67</v>
      </c>
      <c r="P1850" s="503">
        <f t="shared" si="140"/>
        <v>12</v>
      </c>
      <c r="Q1850" s="503">
        <f t="shared" si="141"/>
        <v>10</v>
      </c>
      <c r="R1850" s="504" t="str">
        <f t="shared" si="142"/>
        <v>Gastos_Gerais</v>
      </c>
      <c r="S1850" s="504" t="str">
        <f>IF(D1850="","",IF(OR(D1850=Plano!$A$1,D1850=Plano!$B$1),"entrada","saída"))</f>
        <v>saída</v>
      </c>
      <c r="T1850" s="546" t="s">
        <v>114</v>
      </c>
      <c r="U1850" s="546" t="s">
        <v>114</v>
      </c>
      <c r="V1850" s="541"/>
    </row>
    <row r="1851" spans="1:22" ht="50.1" customHeight="1" x14ac:dyDescent="0.2">
      <c r="A1851" s="619">
        <f>IF(B1851="","",COUNT('Diário 5º PA'!$A$5:$A$2634)+COUNT('Diário 6º PA'!$A$5:$A$2246)+COUNT('Diário 7º PA'!$A$5:$A$2271)+ROW()-4)</f>
        <v>5797</v>
      </c>
      <c r="B1851" s="620">
        <v>44550</v>
      </c>
      <c r="C1851" s="624">
        <v>44470</v>
      </c>
      <c r="D1851" s="548" t="s">
        <v>99</v>
      </c>
      <c r="E1851" s="548" t="s">
        <v>262</v>
      </c>
      <c r="F1851" s="622">
        <v>744</v>
      </c>
      <c r="G1851" s="623" t="s">
        <v>6277</v>
      </c>
      <c r="H1851" s="548" t="s">
        <v>115</v>
      </c>
      <c r="I1851" s="583" t="s">
        <v>530</v>
      </c>
      <c r="J1851" s="548" t="s">
        <v>114</v>
      </c>
      <c r="K1851" s="583" t="s">
        <v>466</v>
      </c>
      <c r="L1851" s="583" t="s">
        <v>547</v>
      </c>
      <c r="M1851" s="619" t="s">
        <v>114</v>
      </c>
      <c r="N1851" s="620">
        <v>44530</v>
      </c>
      <c r="O1851" s="684" t="s">
        <v>67</v>
      </c>
      <c r="P1851" s="503">
        <f t="shared" si="140"/>
        <v>12</v>
      </c>
      <c r="Q1851" s="503">
        <f t="shared" si="141"/>
        <v>10</v>
      </c>
      <c r="R1851" s="504" t="str">
        <f t="shared" si="142"/>
        <v>Gastos_Gerais</v>
      </c>
      <c r="S1851" s="504" t="str">
        <f>IF(D1851="","",IF(OR(D1851=Plano!$A$1,D1851=Plano!$B$1),"entrada","saída"))</f>
        <v>saída</v>
      </c>
      <c r="T1851" s="546" t="s">
        <v>114</v>
      </c>
      <c r="U1851" s="546" t="s">
        <v>114</v>
      </c>
      <c r="V1851" s="541"/>
    </row>
    <row r="1852" spans="1:22" ht="50.1" customHeight="1" x14ac:dyDescent="0.2">
      <c r="A1852" s="619">
        <f>IF(B1852="","",COUNT('Diário 5º PA'!$A$5:$A$2634)+COUNT('Diário 6º PA'!$A$5:$A$2246)+COUNT('Diário 7º PA'!$A$5:$A$2271)+ROW()-4)</f>
        <v>5798</v>
      </c>
      <c r="B1852" s="620">
        <v>44550</v>
      </c>
      <c r="C1852" s="624">
        <v>44409</v>
      </c>
      <c r="D1852" s="548" t="s">
        <v>99</v>
      </c>
      <c r="E1852" s="548" t="s">
        <v>364</v>
      </c>
      <c r="F1852" s="622">
        <v>1860</v>
      </c>
      <c r="G1852" s="623" t="s">
        <v>6325</v>
      </c>
      <c r="H1852" s="548" t="s">
        <v>116</v>
      </c>
      <c r="I1852" s="583" t="s">
        <v>530</v>
      </c>
      <c r="J1852" s="548" t="s">
        <v>114</v>
      </c>
      <c r="K1852" s="583" t="s">
        <v>466</v>
      </c>
      <c r="L1852" s="583" t="s">
        <v>547</v>
      </c>
      <c r="M1852" s="619" t="s">
        <v>114</v>
      </c>
      <c r="N1852" s="620">
        <v>44530</v>
      </c>
      <c r="O1852" s="684" t="s">
        <v>67</v>
      </c>
      <c r="P1852" s="503">
        <f t="shared" si="140"/>
        <v>12</v>
      </c>
      <c r="Q1852" s="503">
        <f t="shared" si="141"/>
        <v>8</v>
      </c>
      <c r="R1852" s="504" t="str">
        <f t="shared" si="142"/>
        <v>Gastos_Gerais</v>
      </c>
      <c r="S1852" s="504" t="str">
        <f>IF(D1852="","",IF(OR(D1852=Plano!$A$1,D1852=Plano!$B$1),"entrada","saída"))</f>
        <v>saída</v>
      </c>
      <c r="T1852" s="546" t="s">
        <v>114</v>
      </c>
      <c r="U1852" s="546" t="s">
        <v>114</v>
      </c>
      <c r="V1852" s="541"/>
    </row>
    <row r="1853" spans="1:22" ht="50.1" customHeight="1" x14ac:dyDescent="0.2">
      <c r="A1853" s="619">
        <f>IF(B1853="","",COUNT('Diário 5º PA'!$A$5:$A$2634)+COUNT('Diário 6º PA'!$A$5:$A$2246)+COUNT('Diário 7º PA'!$A$5:$A$2271)+ROW()-4)</f>
        <v>5799</v>
      </c>
      <c r="B1853" s="620">
        <v>44550</v>
      </c>
      <c r="C1853" s="628">
        <v>44470</v>
      </c>
      <c r="D1853" s="548" t="s">
        <v>99</v>
      </c>
      <c r="E1853" s="548" t="s">
        <v>358</v>
      </c>
      <c r="F1853" s="622">
        <v>372</v>
      </c>
      <c r="G1853" s="623" t="s">
        <v>6836</v>
      </c>
      <c r="H1853" s="548" t="s">
        <v>123</v>
      </c>
      <c r="I1853" s="583" t="s">
        <v>530</v>
      </c>
      <c r="J1853" s="548" t="s">
        <v>114</v>
      </c>
      <c r="K1853" s="583" t="s">
        <v>466</v>
      </c>
      <c r="L1853" s="583" t="s">
        <v>547</v>
      </c>
      <c r="M1853" s="619" t="s">
        <v>114</v>
      </c>
      <c r="N1853" s="620">
        <v>44530</v>
      </c>
      <c r="O1853" s="684" t="s">
        <v>67</v>
      </c>
      <c r="P1853" s="503">
        <f t="shared" si="140"/>
        <v>12</v>
      </c>
      <c r="Q1853" s="503">
        <f t="shared" si="141"/>
        <v>10</v>
      </c>
      <c r="R1853" s="504" t="str">
        <f t="shared" si="142"/>
        <v>Gastos_Gerais</v>
      </c>
      <c r="S1853" s="504" t="str">
        <f>IF(D1853="","",IF(OR(D1853=Plano!$A$1,D1853=Plano!$B$1),"entrada","saída"))</f>
        <v>saída</v>
      </c>
      <c r="T1853" s="546" t="s">
        <v>114</v>
      </c>
      <c r="U1853" s="546" t="s">
        <v>114</v>
      </c>
      <c r="V1853" s="541"/>
    </row>
    <row r="1854" spans="1:22" ht="50.1" customHeight="1" x14ac:dyDescent="0.2">
      <c r="A1854" s="619">
        <f>IF(B1854="","",COUNT('Diário 5º PA'!$A$5:$A$2634)+COUNT('Diário 6º PA'!$A$5:$A$2246)+COUNT('Diário 7º PA'!$A$5:$A$2271)+ROW()-4)</f>
        <v>5800</v>
      </c>
      <c r="B1854" s="620">
        <v>44550</v>
      </c>
      <c r="C1854" s="624">
        <v>44501</v>
      </c>
      <c r="D1854" s="548" t="s">
        <v>99</v>
      </c>
      <c r="E1854" s="548" t="s">
        <v>358</v>
      </c>
      <c r="F1854" s="622">
        <v>155</v>
      </c>
      <c r="G1854" s="623" t="s">
        <v>6375</v>
      </c>
      <c r="H1854" s="548" t="s">
        <v>128</v>
      </c>
      <c r="I1854" s="583" t="s">
        <v>530</v>
      </c>
      <c r="J1854" s="548" t="s">
        <v>114</v>
      </c>
      <c r="K1854" s="583" t="s">
        <v>466</v>
      </c>
      <c r="L1854" s="583" t="s">
        <v>547</v>
      </c>
      <c r="M1854" s="619" t="s">
        <v>114</v>
      </c>
      <c r="N1854" s="620">
        <v>44530</v>
      </c>
      <c r="O1854" s="684" t="s">
        <v>67</v>
      </c>
      <c r="P1854" s="503">
        <f t="shared" si="140"/>
        <v>12</v>
      </c>
      <c r="Q1854" s="503">
        <f t="shared" si="141"/>
        <v>11</v>
      </c>
      <c r="R1854" s="504" t="str">
        <f t="shared" si="142"/>
        <v>Gastos_Gerais</v>
      </c>
      <c r="S1854" s="504" t="str">
        <f>IF(D1854="","",IF(OR(D1854=Plano!$A$1,D1854=Plano!$B$1),"entrada","saída"))</f>
        <v>saída</v>
      </c>
      <c r="T1854" s="546" t="s">
        <v>114</v>
      </c>
      <c r="U1854" s="546" t="s">
        <v>114</v>
      </c>
      <c r="V1854" s="541"/>
    </row>
    <row r="1855" spans="1:22" ht="50.1" customHeight="1" x14ac:dyDescent="0.2">
      <c r="A1855" s="619">
        <f>IF(B1855="","",COUNT('Diário 5º PA'!$A$5:$A$2634)+COUNT('Diário 6º PA'!$A$5:$A$2246)+COUNT('Diário 7º PA'!$A$5:$A$2271)+ROW()-4)</f>
        <v>5801</v>
      </c>
      <c r="B1855" s="620">
        <v>44550</v>
      </c>
      <c r="C1855" s="624">
        <v>44501</v>
      </c>
      <c r="D1855" s="548" t="s">
        <v>99</v>
      </c>
      <c r="E1855" s="548" t="s">
        <v>364</v>
      </c>
      <c r="F1855" s="622">
        <v>155</v>
      </c>
      <c r="G1855" s="623" t="s">
        <v>6386</v>
      </c>
      <c r="H1855" s="548" t="s">
        <v>128</v>
      </c>
      <c r="I1855" s="583" t="s">
        <v>530</v>
      </c>
      <c r="J1855" s="548" t="s">
        <v>114</v>
      </c>
      <c r="K1855" s="583" t="s">
        <v>466</v>
      </c>
      <c r="L1855" s="583" t="s">
        <v>547</v>
      </c>
      <c r="M1855" s="619" t="s">
        <v>114</v>
      </c>
      <c r="N1855" s="620">
        <v>44530</v>
      </c>
      <c r="O1855" s="684" t="s">
        <v>67</v>
      </c>
      <c r="P1855" s="503">
        <f t="shared" si="140"/>
        <v>12</v>
      </c>
      <c r="Q1855" s="503">
        <f t="shared" si="141"/>
        <v>11</v>
      </c>
      <c r="R1855" s="504" t="str">
        <f t="shared" si="142"/>
        <v>Gastos_Gerais</v>
      </c>
      <c r="S1855" s="504" t="str">
        <f>IF(D1855="","",IF(OR(D1855=Plano!$A$1,D1855=Plano!$B$1),"entrada","saída"))</f>
        <v>saída</v>
      </c>
      <c r="T1855" s="546" t="s">
        <v>114</v>
      </c>
      <c r="U1855" s="546" t="s">
        <v>114</v>
      </c>
      <c r="V1855" s="541"/>
    </row>
    <row r="1856" spans="1:22" ht="50.1" customHeight="1" x14ac:dyDescent="0.2">
      <c r="A1856" s="619">
        <f>IF(B1856="","",COUNT('Diário 5º PA'!$A$5:$A$2634)+COUNT('Diário 6º PA'!$A$5:$A$2246)+COUNT('Diário 7º PA'!$A$5:$A$2271)+ROW()-4)</f>
        <v>5802</v>
      </c>
      <c r="B1856" s="620">
        <v>44550</v>
      </c>
      <c r="C1856" s="624">
        <v>44501</v>
      </c>
      <c r="D1856" s="548" t="s">
        <v>99</v>
      </c>
      <c r="E1856" s="548" t="s">
        <v>358</v>
      </c>
      <c r="F1856" s="622">
        <v>372</v>
      </c>
      <c r="G1856" s="623" t="s">
        <v>6378</v>
      </c>
      <c r="H1856" s="548" t="s">
        <v>128</v>
      </c>
      <c r="I1856" s="583" t="s">
        <v>530</v>
      </c>
      <c r="J1856" s="548" t="s">
        <v>114</v>
      </c>
      <c r="K1856" s="583" t="s">
        <v>466</v>
      </c>
      <c r="L1856" s="583" t="s">
        <v>547</v>
      </c>
      <c r="M1856" s="619" t="s">
        <v>114</v>
      </c>
      <c r="N1856" s="620">
        <v>44530</v>
      </c>
      <c r="O1856" s="684" t="s">
        <v>67</v>
      </c>
      <c r="P1856" s="503">
        <f t="shared" si="140"/>
        <v>12</v>
      </c>
      <c r="Q1856" s="503">
        <f t="shared" si="141"/>
        <v>11</v>
      </c>
      <c r="R1856" s="504" t="str">
        <f t="shared" si="142"/>
        <v>Gastos_Gerais</v>
      </c>
      <c r="S1856" s="504" t="str">
        <f>IF(D1856="","",IF(OR(D1856=Plano!$A$1,D1856=Plano!$B$1),"entrada","saída"))</f>
        <v>saída</v>
      </c>
      <c r="T1856" s="546" t="s">
        <v>114</v>
      </c>
      <c r="U1856" s="546" t="s">
        <v>114</v>
      </c>
      <c r="V1856" s="541"/>
    </row>
    <row r="1857" spans="1:22" ht="50.1" customHeight="1" x14ac:dyDescent="0.2">
      <c r="A1857" s="619">
        <f>IF(B1857="","",COUNT('Diário 5º PA'!$A$5:$A$2634)+COUNT('Diário 6º PA'!$A$5:$A$2246)+COUNT('Diário 7º PA'!$A$5:$A$2271)+ROW()-4)</f>
        <v>5803</v>
      </c>
      <c r="B1857" s="620">
        <v>44550</v>
      </c>
      <c r="C1857" s="628">
        <v>44470</v>
      </c>
      <c r="D1857" s="548" t="s">
        <v>99</v>
      </c>
      <c r="E1857" s="548" t="s">
        <v>358</v>
      </c>
      <c r="F1857" s="622">
        <v>744</v>
      </c>
      <c r="G1857" s="623" t="s">
        <v>6155</v>
      </c>
      <c r="H1857" s="548" t="s">
        <v>131</v>
      </c>
      <c r="I1857" s="583" t="s">
        <v>530</v>
      </c>
      <c r="J1857" s="548" t="s">
        <v>114</v>
      </c>
      <c r="K1857" s="583" t="s">
        <v>466</v>
      </c>
      <c r="L1857" s="583" t="s">
        <v>547</v>
      </c>
      <c r="M1857" s="619" t="s">
        <v>114</v>
      </c>
      <c r="N1857" s="620">
        <v>44530</v>
      </c>
      <c r="O1857" s="684" t="s">
        <v>67</v>
      </c>
      <c r="P1857" s="503">
        <f t="shared" si="140"/>
        <v>12</v>
      </c>
      <c r="Q1857" s="503">
        <f t="shared" si="141"/>
        <v>10</v>
      </c>
      <c r="R1857" s="504" t="str">
        <f t="shared" si="142"/>
        <v>Gastos_Gerais</v>
      </c>
      <c r="S1857" s="504" t="str">
        <f>IF(D1857="","",IF(OR(D1857=Plano!$A$1,D1857=Plano!$B$1),"entrada","saída"))</f>
        <v>saída</v>
      </c>
      <c r="T1857" s="546" t="s">
        <v>114</v>
      </c>
      <c r="U1857" s="546" t="s">
        <v>114</v>
      </c>
      <c r="V1857" s="541"/>
    </row>
    <row r="1858" spans="1:22" ht="50.1" customHeight="1" x14ac:dyDescent="0.2">
      <c r="A1858" s="619">
        <f>IF(B1858="","",COUNT('Diário 5º PA'!$A$5:$A$2634)+COUNT('Diário 6º PA'!$A$5:$A$2246)+COUNT('Diário 7º PA'!$A$5:$A$2271)+ROW()-4)</f>
        <v>5804</v>
      </c>
      <c r="B1858" s="620">
        <v>44550</v>
      </c>
      <c r="C1858" s="624">
        <v>44440</v>
      </c>
      <c r="D1858" s="548" t="s">
        <v>99</v>
      </c>
      <c r="E1858" s="548" t="s">
        <v>364</v>
      </c>
      <c r="F1858" s="622">
        <v>775</v>
      </c>
      <c r="G1858" s="623" t="s">
        <v>6183</v>
      </c>
      <c r="H1858" s="548" t="s">
        <v>125</v>
      </c>
      <c r="I1858" s="583" t="s">
        <v>530</v>
      </c>
      <c r="J1858" s="548" t="s">
        <v>114</v>
      </c>
      <c r="K1858" s="583" t="s">
        <v>466</v>
      </c>
      <c r="L1858" s="583" t="s">
        <v>547</v>
      </c>
      <c r="M1858" s="619" t="s">
        <v>114</v>
      </c>
      <c r="N1858" s="620">
        <v>44530</v>
      </c>
      <c r="O1858" s="684" t="s">
        <v>67</v>
      </c>
      <c r="P1858" s="503">
        <f t="shared" si="140"/>
        <v>12</v>
      </c>
      <c r="Q1858" s="503">
        <f t="shared" si="141"/>
        <v>9</v>
      </c>
      <c r="R1858" s="504" t="str">
        <f t="shared" si="142"/>
        <v>Gastos_Gerais</v>
      </c>
      <c r="S1858" s="504" t="str">
        <f>IF(D1858="","",IF(OR(D1858=Plano!$A$1,D1858=Plano!$B$1),"entrada","saída"))</f>
        <v>saída</v>
      </c>
      <c r="T1858" s="546" t="s">
        <v>114</v>
      </c>
      <c r="U1858" s="546" t="s">
        <v>114</v>
      </c>
      <c r="V1858" s="541"/>
    </row>
    <row r="1859" spans="1:22" ht="50.1" customHeight="1" x14ac:dyDescent="0.2">
      <c r="A1859" s="619">
        <f>IF(B1859="","",COUNT('Diário 5º PA'!$A$5:$A$2634)+COUNT('Diário 6º PA'!$A$5:$A$2246)+COUNT('Diário 7º PA'!$A$5:$A$2271)+ROW()-4)</f>
        <v>5805</v>
      </c>
      <c r="B1859" s="620">
        <v>44550</v>
      </c>
      <c r="C1859" s="624">
        <v>44470</v>
      </c>
      <c r="D1859" s="548" t="s">
        <v>99</v>
      </c>
      <c r="E1859" s="548" t="s">
        <v>358</v>
      </c>
      <c r="F1859" s="622">
        <v>719.2</v>
      </c>
      <c r="G1859" s="623" t="s">
        <v>6246</v>
      </c>
      <c r="H1859" s="548" t="s">
        <v>131</v>
      </c>
      <c r="I1859" s="583" t="s">
        <v>530</v>
      </c>
      <c r="J1859" s="548" t="s">
        <v>114</v>
      </c>
      <c r="K1859" s="583" t="s">
        <v>466</v>
      </c>
      <c r="L1859" s="583" t="s">
        <v>547</v>
      </c>
      <c r="M1859" s="619" t="s">
        <v>114</v>
      </c>
      <c r="N1859" s="620">
        <v>44530</v>
      </c>
      <c r="O1859" s="684" t="s">
        <v>67</v>
      </c>
      <c r="P1859" s="503">
        <f t="shared" ref="P1859:P1922" si="143">IF(B1859=0,0,IF(YEAR(B1859)=$Q$1,MONTH(B1859)-$P$1+1,(YEAR(B1859)-$Q$1)*12-$P$1+1+MONTH(B1859)))</f>
        <v>12</v>
      </c>
      <c r="Q1859" s="503">
        <f t="shared" ref="Q1859:Q1922" si="144">IF(C1859=0,0,IF(YEAR(C1859)=$Q$1,MONTH(C1859)-$P$1+1,(YEAR(C1859)-$Q$1)*12-$P$1+1+MONTH(C1859)))</f>
        <v>10</v>
      </c>
      <c r="R1859" s="504" t="str">
        <f t="shared" ref="R1859:R1922" si="145">SUBSTITUTE(D1859," ","_")</f>
        <v>Gastos_Gerais</v>
      </c>
      <c r="S1859" s="504" t="str">
        <f>IF(D1859="","",IF(OR(D1859=Plano!$A$1,D1859=Plano!$B$1),"entrada","saída"))</f>
        <v>saída</v>
      </c>
      <c r="T1859" s="546" t="s">
        <v>114</v>
      </c>
      <c r="U1859" s="546" t="s">
        <v>114</v>
      </c>
      <c r="V1859" s="541"/>
    </row>
    <row r="1860" spans="1:22" ht="50.1" customHeight="1" x14ac:dyDescent="0.2">
      <c r="A1860" s="619">
        <f>IF(B1860="","",COUNT('Diário 5º PA'!$A$5:$A$2634)+COUNT('Diário 6º PA'!$A$5:$A$2246)+COUNT('Diário 7º PA'!$A$5:$A$2271)+ROW()-4)</f>
        <v>5806</v>
      </c>
      <c r="B1860" s="620">
        <v>44550</v>
      </c>
      <c r="C1860" s="624">
        <v>44409</v>
      </c>
      <c r="D1860" s="548" t="s">
        <v>99</v>
      </c>
      <c r="E1860" s="548" t="s">
        <v>358</v>
      </c>
      <c r="F1860" s="622">
        <v>719.2</v>
      </c>
      <c r="G1860" s="623" t="s">
        <v>5188</v>
      </c>
      <c r="H1860" s="548" t="s">
        <v>131</v>
      </c>
      <c r="I1860" s="583" t="s">
        <v>530</v>
      </c>
      <c r="J1860" s="548" t="s">
        <v>114</v>
      </c>
      <c r="K1860" s="583" t="s">
        <v>466</v>
      </c>
      <c r="L1860" s="583" t="s">
        <v>547</v>
      </c>
      <c r="M1860" s="619" t="s">
        <v>114</v>
      </c>
      <c r="N1860" s="620">
        <v>44530</v>
      </c>
      <c r="O1860" s="684" t="s">
        <v>67</v>
      </c>
      <c r="P1860" s="503">
        <f t="shared" si="143"/>
        <v>12</v>
      </c>
      <c r="Q1860" s="503">
        <f t="shared" si="144"/>
        <v>8</v>
      </c>
      <c r="R1860" s="504" t="str">
        <f t="shared" si="145"/>
        <v>Gastos_Gerais</v>
      </c>
      <c r="S1860" s="504" t="str">
        <f>IF(D1860="","",IF(OR(D1860=Plano!$A$1,D1860=Plano!$B$1),"entrada","saída"))</f>
        <v>saída</v>
      </c>
      <c r="T1860" s="546" t="s">
        <v>114</v>
      </c>
      <c r="U1860" s="546" t="s">
        <v>114</v>
      </c>
      <c r="V1860" s="541"/>
    </row>
    <row r="1861" spans="1:22" ht="50.1" customHeight="1" x14ac:dyDescent="0.2">
      <c r="A1861" s="619">
        <f>IF(B1861="","",COUNT('Diário 5º PA'!$A$5:$A$2634)+COUNT('Diário 6º PA'!$A$5:$A$2246)+COUNT('Diário 7º PA'!$A$5:$A$2271)+ROW()-4)</f>
        <v>5807</v>
      </c>
      <c r="B1861" s="620">
        <v>44550</v>
      </c>
      <c r="C1861" s="624">
        <v>44470</v>
      </c>
      <c r="D1861" s="548" t="s">
        <v>99</v>
      </c>
      <c r="E1861" s="548" t="s">
        <v>358</v>
      </c>
      <c r="F1861" s="622">
        <v>818.4</v>
      </c>
      <c r="G1861" s="623" t="s">
        <v>6249</v>
      </c>
      <c r="H1861" s="548" t="s">
        <v>131</v>
      </c>
      <c r="I1861" s="583" t="s">
        <v>530</v>
      </c>
      <c r="J1861" s="548" t="s">
        <v>114</v>
      </c>
      <c r="K1861" s="583" t="s">
        <v>466</v>
      </c>
      <c r="L1861" s="583" t="s">
        <v>547</v>
      </c>
      <c r="M1861" s="619" t="s">
        <v>114</v>
      </c>
      <c r="N1861" s="620">
        <v>44530</v>
      </c>
      <c r="O1861" s="684" t="s">
        <v>67</v>
      </c>
      <c r="P1861" s="503">
        <f t="shared" si="143"/>
        <v>12</v>
      </c>
      <c r="Q1861" s="503">
        <f t="shared" si="144"/>
        <v>10</v>
      </c>
      <c r="R1861" s="504" t="str">
        <f t="shared" si="145"/>
        <v>Gastos_Gerais</v>
      </c>
      <c r="S1861" s="504" t="str">
        <f>IF(D1861="","",IF(OR(D1861=Plano!$A$1,D1861=Plano!$B$1),"entrada","saída"))</f>
        <v>saída</v>
      </c>
      <c r="T1861" s="546" t="s">
        <v>114</v>
      </c>
      <c r="U1861" s="546" t="s">
        <v>114</v>
      </c>
      <c r="V1861" s="541"/>
    </row>
    <row r="1862" spans="1:22" ht="52.5" customHeight="1" x14ac:dyDescent="0.2">
      <c r="A1862" s="619">
        <f>IF(B1862="","",COUNT('Diário 5º PA'!$A$5:$A$2634)+COUNT('Diário 6º PA'!$A$5:$A$2246)+COUNT('Diário 7º PA'!$A$5:$A$2271)+ROW()-4)</f>
        <v>5808</v>
      </c>
      <c r="B1862" s="620">
        <v>44550</v>
      </c>
      <c r="C1862" s="624">
        <v>44470</v>
      </c>
      <c r="D1862" s="548" t="s">
        <v>99</v>
      </c>
      <c r="E1862" s="548" t="s">
        <v>364</v>
      </c>
      <c r="F1862" s="622">
        <v>1860</v>
      </c>
      <c r="G1862" s="623" t="s">
        <v>6321</v>
      </c>
      <c r="H1862" s="548" t="s">
        <v>116</v>
      </c>
      <c r="I1862" s="583" t="s">
        <v>530</v>
      </c>
      <c r="J1862" s="548" t="s">
        <v>114</v>
      </c>
      <c r="K1862" s="583" t="s">
        <v>466</v>
      </c>
      <c r="L1862" s="583" t="s">
        <v>547</v>
      </c>
      <c r="M1862" s="619" t="s">
        <v>114</v>
      </c>
      <c r="N1862" s="620">
        <v>44530</v>
      </c>
      <c r="O1862" s="684" t="s">
        <v>67</v>
      </c>
      <c r="P1862" s="503">
        <f t="shared" si="143"/>
        <v>12</v>
      </c>
      <c r="Q1862" s="503">
        <f t="shared" si="144"/>
        <v>10</v>
      </c>
      <c r="R1862" s="504" t="str">
        <f t="shared" si="145"/>
        <v>Gastos_Gerais</v>
      </c>
      <c r="S1862" s="504" t="str">
        <f>IF(D1862="","",IF(OR(D1862=Plano!$A$1,D1862=Plano!$B$1),"entrada","saída"))</f>
        <v>saída</v>
      </c>
      <c r="T1862" s="546" t="s">
        <v>114</v>
      </c>
      <c r="U1862" s="546" t="s">
        <v>114</v>
      </c>
      <c r="V1862" s="541"/>
    </row>
    <row r="1863" spans="1:22" ht="63.75" customHeight="1" x14ac:dyDescent="0.2">
      <c r="A1863" s="619">
        <f>IF(B1863="","",COUNT('Diário 5º PA'!$A$5:$A$2634)+COUNT('Diário 6º PA'!$A$5:$A$2246)+COUNT('Diário 7º PA'!$A$5:$A$2271)+ROW()-4)</f>
        <v>5809</v>
      </c>
      <c r="B1863" s="620">
        <v>44550</v>
      </c>
      <c r="C1863" s="624">
        <v>44470</v>
      </c>
      <c r="D1863" s="548" t="s">
        <v>99</v>
      </c>
      <c r="E1863" s="548" t="s">
        <v>340</v>
      </c>
      <c r="F1863" s="622">
        <v>465</v>
      </c>
      <c r="G1863" s="623" t="s">
        <v>6168</v>
      </c>
      <c r="H1863" s="548" t="s">
        <v>125</v>
      </c>
      <c r="I1863" s="583" t="s">
        <v>530</v>
      </c>
      <c r="J1863" s="548" t="s">
        <v>114</v>
      </c>
      <c r="K1863" s="583" t="s">
        <v>466</v>
      </c>
      <c r="L1863" s="583" t="s">
        <v>547</v>
      </c>
      <c r="M1863" s="619" t="s">
        <v>114</v>
      </c>
      <c r="N1863" s="620">
        <v>44530</v>
      </c>
      <c r="O1863" s="684" t="s">
        <v>67</v>
      </c>
      <c r="P1863" s="503">
        <f t="shared" si="143"/>
        <v>12</v>
      </c>
      <c r="Q1863" s="503">
        <f t="shared" si="144"/>
        <v>10</v>
      </c>
      <c r="R1863" s="504" t="str">
        <f t="shared" si="145"/>
        <v>Gastos_Gerais</v>
      </c>
      <c r="S1863" s="504" t="str">
        <f>IF(D1863="","",IF(OR(D1863=Plano!$A$1,D1863=Plano!$B$1),"entrada","saída"))</f>
        <v>saída</v>
      </c>
      <c r="T1863" s="546" t="s">
        <v>114</v>
      </c>
      <c r="U1863" s="546" t="s">
        <v>114</v>
      </c>
      <c r="V1863" s="541"/>
    </row>
    <row r="1864" spans="1:22" ht="50.1" customHeight="1" x14ac:dyDescent="0.2">
      <c r="A1864" s="619">
        <f>IF(B1864="","",COUNT('Diário 5º PA'!$A$5:$A$2634)+COUNT('Diário 6º PA'!$A$5:$A$2246)+COUNT('Diário 7º PA'!$A$5:$A$2271)+ROW()-4)</f>
        <v>5810</v>
      </c>
      <c r="B1864" s="620">
        <v>44550</v>
      </c>
      <c r="C1864" s="624">
        <v>44470</v>
      </c>
      <c r="D1864" s="548" t="s">
        <v>99</v>
      </c>
      <c r="E1864" s="548" t="s">
        <v>358</v>
      </c>
      <c r="F1864" s="622">
        <v>744</v>
      </c>
      <c r="G1864" s="623" t="s">
        <v>6095</v>
      </c>
      <c r="H1864" s="548" t="s">
        <v>131</v>
      </c>
      <c r="I1864" s="583" t="s">
        <v>530</v>
      </c>
      <c r="J1864" s="548" t="s">
        <v>114</v>
      </c>
      <c r="K1864" s="583" t="s">
        <v>466</v>
      </c>
      <c r="L1864" s="583" t="s">
        <v>547</v>
      </c>
      <c r="M1864" s="619" t="s">
        <v>114</v>
      </c>
      <c r="N1864" s="620">
        <v>44530</v>
      </c>
      <c r="O1864" s="684" t="s">
        <v>67</v>
      </c>
      <c r="P1864" s="503">
        <f t="shared" si="143"/>
        <v>12</v>
      </c>
      <c r="Q1864" s="503">
        <f t="shared" si="144"/>
        <v>10</v>
      </c>
      <c r="R1864" s="504" t="str">
        <f t="shared" si="145"/>
        <v>Gastos_Gerais</v>
      </c>
      <c r="S1864" s="504" t="str">
        <f>IF(D1864="","",IF(OR(D1864=Plano!$A$1,D1864=Plano!$B$1),"entrada","saída"))</f>
        <v>saída</v>
      </c>
      <c r="T1864" s="546" t="s">
        <v>114</v>
      </c>
      <c r="U1864" s="546" t="s">
        <v>114</v>
      </c>
      <c r="V1864" s="541"/>
    </row>
    <row r="1865" spans="1:22" ht="50.1" customHeight="1" x14ac:dyDescent="0.2">
      <c r="A1865" s="619">
        <f>IF(B1865="","",COUNT('Diário 5º PA'!$A$5:$A$2634)+COUNT('Diário 6º PA'!$A$5:$A$2246)+COUNT('Diário 7º PA'!$A$5:$A$2271)+ROW()-4)</f>
        <v>5811</v>
      </c>
      <c r="B1865" s="620">
        <v>44550</v>
      </c>
      <c r="C1865" s="624">
        <v>44501</v>
      </c>
      <c r="D1865" s="548" t="s">
        <v>99</v>
      </c>
      <c r="E1865" s="548" t="s">
        <v>358</v>
      </c>
      <c r="F1865" s="622">
        <v>248</v>
      </c>
      <c r="G1865" s="623" t="s">
        <v>6241</v>
      </c>
      <c r="H1865" s="548" t="s">
        <v>131</v>
      </c>
      <c r="I1865" s="583" t="s">
        <v>530</v>
      </c>
      <c r="J1865" s="548" t="s">
        <v>114</v>
      </c>
      <c r="K1865" s="583" t="s">
        <v>466</v>
      </c>
      <c r="L1865" s="583" t="s">
        <v>547</v>
      </c>
      <c r="M1865" s="619" t="s">
        <v>114</v>
      </c>
      <c r="N1865" s="620">
        <v>44530</v>
      </c>
      <c r="O1865" s="684" t="s">
        <v>67</v>
      </c>
      <c r="P1865" s="503">
        <f t="shared" si="143"/>
        <v>12</v>
      </c>
      <c r="Q1865" s="503">
        <f t="shared" si="144"/>
        <v>11</v>
      </c>
      <c r="R1865" s="504" t="str">
        <f t="shared" si="145"/>
        <v>Gastos_Gerais</v>
      </c>
      <c r="S1865" s="504" t="str">
        <f>IF(D1865="","",IF(OR(D1865=Plano!$A$1,D1865=Plano!$B$1),"entrada","saída"))</f>
        <v>saída</v>
      </c>
      <c r="T1865" s="546" t="s">
        <v>114</v>
      </c>
      <c r="U1865" s="546" t="s">
        <v>114</v>
      </c>
      <c r="V1865" s="541"/>
    </row>
    <row r="1866" spans="1:22" ht="50.1" customHeight="1" x14ac:dyDescent="0.2">
      <c r="A1866" s="619">
        <f>IF(B1866="","",COUNT('Diário 5º PA'!$A$5:$A$2634)+COUNT('Diário 6º PA'!$A$5:$A$2246)+COUNT('Diário 7º PA'!$A$5:$A$2271)+ROW()-4)</f>
        <v>5812</v>
      </c>
      <c r="B1866" s="620">
        <v>44550</v>
      </c>
      <c r="C1866" s="628">
        <v>44470</v>
      </c>
      <c r="D1866" s="548" t="s">
        <v>99</v>
      </c>
      <c r="E1866" s="548" t="s">
        <v>370</v>
      </c>
      <c r="F1866" s="622">
        <v>387.5</v>
      </c>
      <c r="G1866" s="623" t="s">
        <v>6020</v>
      </c>
      <c r="H1866" s="548" t="s">
        <v>125</v>
      </c>
      <c r="I1866" s="583" t="s">
        <v>530</v>
      </c>
      <c r="J1866" s="548" t="s">
        <v>114</v>
      </c>
      <c r="K1866" s="583" t="s">
        <v>466</v>
      </c>
      <c r="L1866" s="583" t="s">
        <v>547</v>
      </c>
      <c r="M1866" s="619" t="s">
        <v>114</v>
      </c>
      <c r="N1866" s="620">
        <v>44530</v>
      </c>
      <c r="O1866" s="684" t="s">
        <v>67</v>
      </c>
      <c r="P1866" s="503">
        <f t="shared" si="143"/>
        <v>12</v>
      </c>
      <c r="Q1866" s="503">
        <f t="shared" si="144"/>
        <v>10</v>
      </c>
      <c r="R1866" s="504" t="str">
        <f t="shared" si="145"/>
        <v>Gastos_Gerais</v>
      </c>
      <c r="S1866" s="504" t="str">
        <f>IF(D1866="","",IF(OR(D1866=Plano!$A$1,D1866=Plano!$B$1),"entrada","saída"))</f>
        <v>saída</v>
      </c>
      <c r="T1866" s="546" t="s">
        <v>114</v>
      </c>
      <c r="U1866" s="546" t="s">
        <v>114</v>
      </c>
      <c r="V1866" s="541"/>
    </row>
    <row r="1867" spans="1:22" ht="50.1" customHeight="1" x14ac:dyDescent="0.2">
      <c r="A1867" s="619">
        <f>IF(B1867="","",COUNT('Diário 5º PA'!$A$5:$A$2634)+COUNT('Diário 6º PA'!$A$5:$A$2246)+COUNT('Diário 7º PA'!$A$5:$A$2271)+ROW()-4)</f>
        <v>5813</v>
      </c>
      <c r="B1867" s="620">
        <v>44550</v>
      </c>
      <c r="C1867" s="628">
        <v>44470</v>
      </c>
      <c r="D1867" s="548" t="s">
        <v>99</v>
      </c>
      <c r="E1867" s="548" t="s">
        <v>336</v>
      </c>
      <c r="F1867" s="622">
        <v>669.6</v>
      </c>
      <c r="G1867" s="623" t="s">
        <v>6837</v>
      </c>
      <c r="H1867" s="548" t="s">
        <v>118</v>
      </c>
      <c r="I1867" s="583" t="s">
        <v>530</v>
      </c>
      <c r="J1867" s="548" t="s">
        <v>114</v>
      </c>
      <c r="K1867" s="583" t="s">
        <v>466</v>
      </c>
      <c r="L1867" s="583" t="s">
        <v>547</v>
      </c>
      <c r="M1867" s="619" t="s">
        <v>114</v>
      </c>
      <c r="N1867" s="620">
        <v>44530</v>
      </c>
      <c r="O1867" s="684" t="s">
        <v>67</v>
      </c>
      <c r="P1867" s="503">
        <f t="shared" si="143"/>
        <v>12</v>
      </c>
      <c r="Q1867" s="503">
        <f t="shared" si="144"/>
        <v>10</v>
      </c>
      <c r="R1867" s="504" t="str">
        <f t="shared" si="145"/>
        <v>Gastos_Gerais</v>
      </c>
      <c r="S1867" s="504" t="str">
        <f>IF(D1867="","",IF(OR(D1867=Plano!$A$1,D1867=Plano!$B$1),"entrada","saída"))</f>
        <v>saída</v>
      </c>
      <c r="T1867" s="546" t="s">
        <v>114</v>
      </c>
      <c r="U1867" s="546" t="s">
        <v>114</v>
      </c>
      <c r="V1867" s="541"/>
    </row>
    <row r="1868" spans="1:22" ht="50.1" customHeight="1" x14ac:dyDescent="0.2">
      <c r="A1868" s="619">
        <f>IF(B1868="","",COUNT('Diário 5º PA'!$A$5:$A$2634)+COUNT('Diário 6º PA'!$A$5:$A$2246)+COUNT('Diário 7º PA'!$A$5:$A$2271)+ROW()-4)</f>
        <v>5814</v>
      </c>
      <c r="B1868" s="620">
        <v>44550</v>
      </c>
      <c r="C1868" s="628">
        <v>44470</v>
      </c>
      <c r="D1868" s="548" t="s">
        <v>99</v>
      </c>
      <c r="E1868" s="548" t="s">
        <v>336</v>
      </c>
      <c r="F1868" s="622">
        <v>496</v>
      </c>
      <c r="G1868" s="623" t="s">
        <v>6091</v>
      </c>
      <c r="H1868" s="548" t="s">
        <v>118</v>
      </c>
      <c r="I1868" s="583" t="s">
        <v>530</v>
      </c>
      <c r="J1868" s="548" t="s">
        <v>114</v>
      </c>
      <c r="K1868" s="583" t="s">
        <v>466</v>
      </c>
      <c r="L1868" s="583" t="s">
        <v>547</v>
      </c>
      <c r="M1868" s="619" t="s">
        <v>114</v>
      </c>
      <c r="N1868" s="620">
        <v>44530</v>
      </c>
      <c r="O1868" s="684" t="s">
        <v>67</v>
      </c>
      <c r="P1868" s="503">
        <f t="shared" si="143"/>
        <v>12</v>
      </c>
      <c r="Q1868" s="503">
        <f t="shared" si="144"/>
        <v>10</v>
      </c>
      <c r="R1868" s="504" t="str">
        <f t="shared" si="145"/>
        <v>Gastos_Gerais</v>
      </c>
      <c r="S1868" s="504" t="str">
        <f>IF(D1868="","",IF(OR(D1868=Plano!$A$1,D1868=Plano!$B$1),"entrada","saída"))</f>
        <v>saída</v>
      </c>
      <c r="T1868" s="546" t="s">
        <v>114</v>
      </c>
      <c r="U1868" s="546" t="s">
        <v>114</v>
      </c>
      <c r="V1868" s="541"/>
    </row>
    <row r="1869" spans="1:22" ht="50.1" customHeight="1" x14ac:dyDescent="0.2">
      <c r="A1869" s="619">
        <f>IF(B1869="","",COUNT('Diário 5º PA'!$A$5:$A$2634)+COUNT('Diário 6º PA'!$A$5:$A$2246)+COUNT('Diário 7º PA'!$A$5:$A$2271)+ROW()-4)</f>
        <v>5815</v>
      </c>
      <c r="B1869" s="620">
        <v>44550</v>
      </c>
      <c r="C1869" s="624">
        <v>44409</v>
      </c>
      <c r="D1869" s="548" t="s">
        <v>99</v>
      </c>
      <c r="E1869" s="548" t="s">
        <v>336</v>
      </c>
      <c r="F1869" s="622">
        <v>1860</v>
      </c>
      <c r="G1869" s="623" t="s">
        <v>6274</v>
      </c>
      <c r="H1869" s="548" t="s">
        <v>116</v>
      </c>
      <c r="I1869" s="583" t="s">
        <v>530</v>
      </c>
      <c r="J1869" s="548" t="s">
        <v>114</v>
      </c>
      <c r="K1869" s="583" t="s">
        <v>466</v>
      </c>
      <c r="L1869" s="583" t="s">
        <v>547</v>
      </c>
      <c r="M1869" s="619" t="s">
        <v>114</v>
      </c>
      <c r="N1869" s="620">
        <v>44530</v>
      </c>
      <c r="O1869" s="684" t="s">
        <v>67</v>
      </c>
      <c r="P1869" s="503">
        <f t="shared" si="143"/>
        <v>12</v>
      </c>
      <c r="Q1869" s="503">
        <f t="shared" si="144"/>
        <v>8</v>
      </c>
      <c r="R1869" s="504" t="str">
        <f t="shared" si="145"/>
        <v>Gastos_Gerais</v>
      </c>
      <c r="S1869" s="504" t="str">
        <f>IF(D1869="","",IF(OR(D1869=Plano!$A$1,D1869=Plano!$B$1),"entrada","saída"))</f>
        <v>saída</v>
      </c>
      <c r="T1869" s="546" t="s">
        <v>114</v>
      </c>
      <c r="U1869" s="546" t="s">
        <v>114</v>
      </c>
      <c r="V1869" s="541"/>
    </row>
    <row r="1870" spans="1:22" ht="50.1" customHeight="1" x14ac:dyDescent="0.2">
      <c r="A1870" s="619">
        <f>IF(B1870="","",COUNT('Diário 5º PA'!$A$5:$A$2634)+COUNT('Diário 6º PA'!$A$5:$A$2246)+COUNT('Diário 7º PA'!$A$5:$A$2271)+ROW()-4)</f>
        <v>5816</v>
      </c>
      <c r="B1870" s="620">
        <v>44550</v>
      </c>
      <c r="C1870" s="624">
        <v>44470</v>
      </c>
      <c r="D1870" s="548" t="s">
        <v>99</v>
      </c>
      <c r="E1870" s="548" t="s">
        <v>358</v>
      </c>
      <c r="F1870" s="622">
        <v>570.4</v>
      </c>
      <c r="G1870" s="623" t="s">
        <v>6243</v>
      </c>
      <c r="H1870" s="548" t="s">
        <v>131</v>
      </c>
      <c r="I1870" s="583" t="s">
        <v>530</v>
      </c>
      <c r="J1870" s="548" t="s">
        <v>114</v>
      </c>
      <c r="K1870" s="583" t="s">
        <v>466</v>
      </c>
      <c r="L1870" s="583" t="s">
        <v>547</v>
      </c>
      <c r="M1870" s="619" t="s">
        <v>114</v>
      </c>
      <c r="N1870" s="620">
        <v>44530</v>
      </c>
      <c r="O1870" s="684" t="s">
        <v>67</v>
      </c>
      <c r="P1870" s="503">
        <f t="shared" si="143"/>
        <v>12</v>
      </c>
      <c r="Q1870" s="503">
        <f t="shared" si="144"/>
        <v>10</v>
      </c>
      <c r="R1870" s="504" t="str">
        <f t="shared" si="145"/>
        <v>Gastos_Gerais</v>
      </c>
      <c r="S1870" s="504" t="str">
        <f>IF(D1870="","",IF(OR(D1870=Plano!$A$1,D1870=Plano!$B$1),"entrada","saída"))</f>
        <v>saída</v>
      </c>
      <c r="T1870" s="546" t="s">
        <v>114</v>
      </c>
      <c r="U1870" s="546" t="s">
        <v>114</v>
      </c>
      <c r="V1870" s="541"/>
    </row>
    <row r="1871" spans="1:22" ht="50.1" customHeight="1" x14ac:dyDescent="0.2">
      <c r="A1871" s="619">
        <f>IF(B1871="","",COUNT('Diário 5º PA'!$A$5:$A$2634)+COUNT('Diário 6º PA'!$A$5:$A$2246)+COUNT('Diário 7º PA'!$A$5:$A$2271)+ROW()-4)</f>
        <v>5817</v>
      </c>
      <c r="B1871" s="620">
        <v>44550</v>
      </c>
      <c r="C1871" s="624">
        <v>44470</v>
      </c>
      <c r="D1871" s="548" t="s">
        <v>99</v>
      </c>
      <c r="E1871" s="548" t="s">
        <v>358</v>
      </c>
      <c r="F1871" s="622">
        <v>843.2</v>
      </c>
      <c r="G1871" s="623" t="s">
        <v>6099</v>
      </c>
      <c r="H1871" s="548" t="s">
        <v>131</v>
      </c>
      <c r="I1871" s="583" t="s">
        <v>530</v>
      </c>
      <c r="J1871" s="548" t="s">
        <v>114</v>
      </c>
      <c r="K1871" s="583" t="s">
        <v>466</v>
      </c>
      <c r="L1871" s="583" t="s">
        <v>547</v>
      </c>
      <c r="M1871" s="619" t="s">
        <v>114</v>
      </c>
      <c r="N1871" s="620">
        <v>44530</v>
      </c>
      <c r="O1871" s="684" t="s">
        <v>67</v>
      </c>
      <c r="P1871" s="503">
        <f t="shared" si="143"/>
        <v>12</v>
      </c>
      <c r="Q1871" s="503">
        <f t="shared" si="144"/>
        <v>10</v>
      </c>
      <c r="R1871" s="504" t="str">
        <f t="shared" si="145"/>
        <v>Gastos_Gerais</v>
      </c>
      <c r="S1871" s="504" t="str">
        <f>IF(D1871="","",IF(OR(D1871=Plano!$A$1,D1871=Plano!$B$1),"entrada","saída"))</f>
        <v>saída</v>
      </c>
      <c r="T1871" s="546" t="s">
        <v>114</v>
      </c>
      <c r="U1871" s="546" t="s">
        <v>114</v>
      </c>
      <c r="V1871" s="541"/>
    </row>
    <row r="1872" spans="1:22" ht="50.1" customHeight="1" x14ac:dyDescent="0.2">
      <c r="A1872" s="619">
        <f>IF(B1872="","",COUNT('Diário 5º PA'!$A$5:$A$2634)+COUNT('Diário 6º PA'!$A$5:$A$2246)+COUNT('Diário 7º PA'!$A$5:$A$2271)+ROW()-4)</f>
        <v>5818</v>
      </c>
      <c r="B1872" s="620">
        <v>44550</v>
      </c>
      <c r="C1872" s="624">
        <v>44470</v>
      </c>
      <c r="D1872" s="548" t="s">
        <v>99</v>
      </c>
      <c r="E1872" s="548" t="s">
        <v>330</v>
      </c>
      <c r="F1872" s="622">
        <v>620</v>
      </c>
      <c r="G1872" s="623" t="s">
        <v>6157</v>
      </c>
      <c r="H1872" s="548" t="s">
        <v>125</v>
      </c>
      <c r="I1872" s="583" t="s">
        <v>530</v>
      </c>
      <c r="J1872" s="548" t="s">
        <v>114</v>
      </c>
      <c r="K1872" s="583" t="s">
        <v>466</v>
      </c>
      <c r="L1872" s="583" t="s">
        <v>547</v>
      </c>
      <c r="M1872" s="619" t="s">
        <v>114</v>
      </c>
      <c r="N1872" s="620">
        <v>44530</v>
      </c>
      <c r="O1872" s="684" t="s">
        <v>67</v>
      </c>
      <c r="P1872" s="503">
        <f t="shared" si="143"/>
        <v>12</v>
      </c>
      <c r="Q1872" s="503">
        <f t="shared" si="144"/>
        <v>10</v>
      </c>
      <c r="R1872" s="504" t="str">
        <f t="shared" si="145"/>
        <v>Gastos_Gerais</v>
      </c>
      <c r="S1872" s="504" t="str">
        <f>IF(D1872="","",IF(OR(D1872=Plano!$A$1,D1872=Plano!$B$1),"entrada","saída"))</f>
        <v>saída</v>
      </c>
      <c r="T1872" s="546" t="s">
        <v>114</v>
      </c>
      <c r="U1872" s="546" t="s">
        <v>114</v>
      </c>
      <c r="V1872" s="541"/>
    </row>
    <row r="1873" spans="1:22" ht="50.1" customHeight="1" x14ac:dyDescent="0.2">
      <c r="A1873" s="619">
        <f>IF(B1873="","",COUNT('Diário 5º PA'!$A$5:$A$2634)+COUNT('Diário 6º PA'!$A$5:$A$2246)+COUNT('Diário 7º PA'!$A$5:$A$2271)+ROW()-4)</f>
        <v>5819</v>
      </c>
      <c r="B1873" s="620">
        <v>44550</v>
      </c>
      <c r="C1873" s="624">
        <v>44470</v>
      </c>
      <c r="D1873" s="548" t="s">
        <v>99</v>
      </c>
      <c r="E1873" s="548" t="s">
        <v>358</v>
      </c>
      <c r="F1873" s="622">
        <v>818.4</v>
      </c>
      <c r="G1873" s="623" t="s">
        <v>6233</v>
      </c>
      <c r="H1873" s="548" t="s">
        <v>131</v>
      </c>
      <c r="I1873" s="583" t="s">
        <v>530</v>
      </c>
      <c r="J1873" s="548" t="s">
        <v>114</v>
      </c>
      <c r="K1873" s="583" t="s">
        <v>466</v>
      </c>
      <c r="L1873" s="583" t="s">
        <v>547</v>
      </c>
      <c r="M1873" s="619" t="s">
        <v>114</v>
      </c>
      <c r="N1873" s="620">
        <v>44530</v>
      </c>
      <c r="O1873" s="684" t="s">
        <v>67</v>
      </c>
      <c r="P1873" s="503">
        <f t="shared" si="143"/>
        <v>12</v>
      </c>
      <c r="Q1873" s="503">
        <f t="shared" si="144"/>
        <v>10</v>
      </c>
      <c r="R1873" s="504" t="str">
        <f t="shared" si="145"/>
        <v>Gastos_Gerais</v>
      </c>
      <c r="S1873" s="504" t="str">
        <f>IF(D1873="","",IF(OR(D1873=Plano!$A$1,D1873=Plano!$B$1),"entrada","saída"))</f>
        <v>saída</v>
      </c>
      <c r="T1873" s="546" t="s">
        <v>114</v>
      </c>
      <c r="U1873" s="546" t="s">
        <v>114</v>
      </c>
      <c r="V1873" s="541"/>
    </row>
    <row r="1874" spans="1:22" ht="50.1" customHeight="1" x14ac:dyDescent="0.2">
      <c r="A1874" s="619">
        <f>IF(B1874="","",COUNT('Diário 5º PA'!$A$5:$A$2634)+COUNT('Diário 6º PA'!$A$5:$A$2246)+COUNT('Diário 7º PA'!$A$5:$A$2271)+ROW()-4)</f>
        <v>5820</v>
      </c>
      <c r="B1874" s="620">
        <v>44550</v>
      </c>
      <c r="C1874" s="624">
        <v>44470</v>
      </c>
      <c r="D1874" s="548" t="s">
        <v>99</v>
      </c>
      <c r="E1874" s="548" t="s">
        <v>358</v>
      </c>
      <c r="F1874" s="622">
        <v>843.2</v>
      </c>
      <c r="G1874" s="623" t="s">
        <v>6088</v>
      </c>
      <c r="H1874" s="548" t="s">
        <v>131</v>
      </c>
      <c r="I1874" s="583" t="s">
        <v>530</v>
      </c>
      <c r="J1874" s="548" t="s">
        <v>114</v>
      </c>
      <c r="K1874" s="583" t="s">
        <v>466</v>
      </c>
      <c r="L1874" s="583" t="s">
        <v>547</v>
      </c>
      <c r="M1874" s="619" t="s">
        <v>114</v>
      </c>
      <c r="N1874" s="620">
        <v>44530</v>
      </c>
      <c r="O1874" s="684" t="s">
        <v>67</v>
      </c>
      <c r="P1874" s="503">
        <f t="shared" si="143"/>
        <v>12</v>
      </c>
      <c r="Q1874" s="503">
        <f t="shared" si="144"/>
        <v>10</v>
      </c>
      <c r="R1874" s="504" t="str">
        <f t="shared" si="145"/>
        <v>Gastos_Gerais</v>
      </c>
      <c r="S1874" s="504" t="str">
        <f>IF(D1874="","",IF(OR(D1874=Plano!$A$1,D1874=Plano!$B$1),"entrada","saída"))</f>
        <v>saída</v>
      </c>
      <c r="T1874" s="546" t="s">
        <v>114</v>
      </c>
      <c r="U1874" s="546" t="s">
        <v>114</v>
      </c>
      <c r="V1874" s="541"/>
    </row>
    <row r="1875" spans="1:22" ht="50.1" customHeight="1" x14ac:dyDescent="0.2">
      <c r="A1875" s="619">
        <f>IF(B1875="","",COUNT('Diário 5º PA'!$A$5:$A$2634)+COUNT('Diário 6º PA'!$A$5:$A$2246)+COUNT('Diário 7º PA'!$A$5:$A$2271)+ROW()-4)</f>
        <v>5821</v>
      </c>
      <c r="B1875" s="620">
        <v>44550</v>
      </c>
      <c r="C1875" s="624">
        <v>44470</v>
      </c>
      <c r="D1875" s="548" t="s">
        <v>99</v>
      </c>
      <c r="E1875" s="548" t="s">
        <v>358</v>
      </c>
      <c r="F1875" s="622">
        <v>719.2</v>
      </c>
      <c r="G1875" s="623" t="s">
        <v>6838</v>
      </c>
      <c r="H1875" s="548" t="s">
        <v>131</v>
      </c>
      <c r="I1875" s="583" t="s">
        <v>530</v>
      </c>
      <c r="J1875" s="548" t="s">
        <v>114</v>
      </c>
      <c r="K1875" s="583" t="s">
        <v>466</v>
      </c>
      <c r="L1875" s="583" t="s">
        <v>547</v>
      </c>
      <c r="M1875" s="619" t="s">
        <v>114</v>
      </c>
      <c r="N1875" s="620">
        <v>44530</v>
      </c>
      <c r="O1875" s="684" t="s">
        <v>67</v>
      </c>
      <c r="P1875" s="503">
        <f t="shared" si="143"/>
        <v>12</v>
      </c>
      <c r="Q1875" s="503">
        <f t="shared" si="144"/>
        <v>10</v>
      </c>
      <c r="R1875" s="504" t="str">
        <f t="shared" si="145"/>
        <v>Gastos_Gerais</v>
      </c>
      <c r="S1875" s="504" t="str">
        <f>IF(D1875="","",IF(OR(D1875=Plano!$A$1,D1875=Plano!$B$1),"entrada","saída"))</f>
        <v>saída</v>
      </c>
      <c r="T1875" s="546" t="s">
        <v>114</v>
      </c>
      <c r="U1875" s="546" t="s">
        <v>114</v>
      </c>
      <c r="V1875" s="541"/>
    </row>
    <row r="1876" spans="1:22" ht="50.1" customHeight="1" x14ac:dyDescent="0.2">
      <c r="A1876" s="619">
        <f>IF(B1876="","",COUNT('Diário 5º PA'!$A$5:$A$2634)+COUNT('Diário 6º PA'!$A$5:$A$2246)+COUNT('Diário 7º PA'!$A$5:$A$2271)+ROW()-4)</f>
        <v>5822</v>
      </c>
      <c r="B1876" s="620">
        <v>44550</v>
      </c>
      <c r="C1876" s="624">
        <v>44470</v>
      </c>
      <c r="D1876" s="548" t="s">
        <v>99</v>
      </c>
      <c r="E1876" s="548" t="s">
        <v>364</v>
      </c>
      <c r="F1876" s="622">
        <v>930</v>
      </c>
      <c r="G1876" s="623" t="s">
        <v>6413</v>
      </c>
      <c r="H1876" s="548" t="s">
        <v>122</v>
      </c>
      <c r="I1876" s="583" t="s">
        <v>530</v>
      </c>
      <c r="J1876" s="548" t="s">
        <v>114</v>
      </c>
      <c r="K1876" s="583" t="s">
        <v>466</v>
      </c>
      <c r="L1876" s="583" t="s">
        <v>547</v>
      </c>
      <c r="M1876" s="619" t="s">
        <v>114</v>
      </c>
      <c r="N1876" s="620">
        <v>44530</v>
      </c>
      <c r="O1876" s="684" t="s">
        <v>67</v>
      </c>
      <c r="P1876" s="503">
        <f t="shared" si="143"/>
        <v>12</v>
      </c>
      <c r="Q1876" s="503">
        <f t="shared" si="144"/>
        <v>10</v>
      </c>
      <c r="R1876" s="504" t="str">
        <f t="shared" si="145"/>
        <v>Gastos_Gerais</v>
      </c>
      <c r="S1876" s="504" t="str">
        <f>IF(D1876="","",IF(OR(D1876=Plano!$A$1,D1876=Plano!$B$1),"entrada","saída"))</f>
        <v>saída</v>
      </c>
      <c r="T1876" s="546" t="s">
        <v>114</v>
      </c>
      <c r="U1876" s="546" t="s">
        <v>114</v>
      </c>
      <c r="V1876" s="541"/>
    </row>
    <row r="1877" spans="1:22" ht="50.1" customHeight="1" x14ac:dyDescent="0.2">
      <c r="A1877" s="619">
        <f>IF(B1877="","",COUNT('Diário 5º PA'!$A$5:$A$2634)+COUNT('Diário 6º PA'!$A$5:$A$2246)+COUNT('Diário 7º PA'!$A$5:$A$2271)+ROW()-4)</f>
        <v>5823</v>
      </c>
      <c r="B1877" s="620">
        <v>44550</v>
      </c>
      <c r="C1877" s="624">
        <v>44501</v>
      </c>
      <c r="D1877" s="548" t="s">
        <v>88</v>
      </c>
      <c r="E1877" s="548" t="s">
        <v>90</v>
      </c>
      <c r="F1877" s="622">
        <v>17226.689999999999</v>
      </c>
      <c r="G1877" s="623" t="s">
        <v>6771</v>
      </c>
      <c r="H1877" s="548" t="s">
        <v>114</v>
      </c>
      <c r="I1877" s="583" t="s">
        <v>530</v>
      </c>
      <c r="J1877" s="548" t="s">
        <v>114</v>
      </c>
      <c r="K1877" s="583" t="s">
        <v>466</v>
      </c>
      <c r="L1877" s="583" t="s">
        <v>547</v>
      </c>
      <c r="M1877" s="619" t="s">
        <v>114</v>
      </c>
      <c r="N1877" s="620">
        <v>44530</v>
      </c>
      <c r="O1877" s="684" t="s">
        <v>67</v>
      </c>
      <c r="P1877" s="503">
        <f t="shared" si="143"/>
        <v>12</v>
      </c>
      <c r="Q1877" s="503">
        <f t="shared" si="144"/>
        <v>11</v>
      </c>
      <c r="R1877" s="504" t="str">
        <f t="shared" si="145"/>
        <v>Gastos_com_Pessoal</v>
      </c>
      <c r="S1877" s="504" t="str">
        <f>IF(D1877="","",IF(OR(D1877=Plano!$A$1,D1877=Plano!$B$1),"entrada","saída"))</f>
        <v>saída</v>
      </c>
      <c r="T1877" s="546" t="s">
        <v>114</v>
      </c>
      <c r="U1877" s="546" t="s">
        <v>114</v>
      </c>
      <c r="V1877" s="541"/>
    </row>
    <row r="1878" spans="1:22" ht="50.1" customHeight="1" x14ac:dyDescent="0.2">
      <c r="A1878" s="619">
        <f>IF(B1878="","",COUNT('Diário 5º PA'!$A$5:$A$2634)+COUNT('Diário 6º PA'!$A$5:$A$2246)+COUNT('Diário 7º PA'!$A$5:$A$2271)+ROW()-4)</f>
        <v>5824</v>
      </c>
      <c r="B1878" s="620">
        <v>44550</v>
      </c>
      <c r="C1878" s="624">
        <v>44501</v>
      </c>
      <c r="D1878" s="548" t="s">
        <v>88</v>
      </c>
      <c r="E1878" s="548" t="s">
        <v>167</v>
      </c>
      <c r="F1878" s="622">
        <v>55980.63</v>
      </c>
      <c r="G1878" s="623" t="s">
        <v>6839</v>
      </c>
      <c r="H1878" s="548" t="s">
        <v>114</v>
      </c>
      <c r="I1878" s="583" t="s">
        <v>530</v>
      </c>
      <c r="J1878" s="548" t="s">
        <v>114</v>
      </c>
      <c r="K1878" s="583" t="s">
        <v>466</v>
      </c>
      <c r="L1878" s="583" t="s">
        <v>547</v>
      </c>
      <c r="M1878" s="619" t="s">
        <v>114</v>
      </c>
      <c r="N1878" s="620">
        <v>44530</v>
      </c>
      <c r="O1878" s="684" t="s">
        <v>67</v>
      </c>
      <c r="P1878" s="503">
        <f t="shared" si="143"/>
        <v>12</v>
      </c>
      <c r="Q1878" s="503">
        <f t="shared" si="144"/>
        <v>11</v>
      </c>
      <c r="R1878" s="504" t="str">
        <f t="shared" si="145"/>
        <v>Gastos_com_Pessoal</v>
      </c>
      <c r="S1878" s="504" t="str">
        <f>IF(D1878="","",IF(OR(D1878=Plano!$A$1,D1878=Plano!$B$1),"entrada","saída"))</f>
        <v>saída</v>
      </c>
      <c r="T1878" s="546" t="s">
        <v>114</v>
      </c>
      <c r="U1878" s="546" t="s">
        <v>114</v>
      </c>
      <c r="V1878" s="541"/>
    </row>
    <row r="1879" spans="1:22" s="539" customFormat="1" ht="50.1" customHeight="1" x14ac:dyDescent="0.2">
      <c r="A1879" s="619">
        <f>IF(B1879="","",COUNT('Diário 5º PA'!$A$5:$A$2634)+COUNT('Diário 6º PA'!$A$5:$A$2246)+COUNT('Diário 7º PA'!$A$5:$A$2271)+ROW()-4)</f>
        <v>5825</v>
      </c>
      <c r="B1879" s="620">
        <v>44550</v>
      </c>
      <c r="C1879" s="621">
        <v>44501</v>
      </c>
      <c r="D1879" s="548" t="s">
        <v>99</v>
      </c>
      <c r="E1879" s="548" t="s">
        <v>330</v>
      </c>
      <c r="F1879" s="622">
        <v>10874.52</v>
      </c>
      <c r="G1879" s="623" t="s">
        <v>6863</v>
      </c>
      <c r="H1879" s="548" t="s">
        <v>114</v>
      </c>
      <c r="I1879" s="583" t="s">
        <v>983</v>
      </c>
      <c r="J1879" s="548" t="s">
        <v>850</v>
      </c>
      <c r="K1879" s="583" t="s">
        <v>946</v>
      </c>
      <c r="L1879" s="583" t="s">
        <v>947</v>
      </c>
      <c r="M1879" s="619" t="s">
        <v>114</v>
      </c>
      <c r="N1879" s="620">
        <v>44550</v>
      </c>
      <c r="O1879" s="684" t="s">
        <v>67</v>
      </c>
      <c r="P1879" s="503">
        <f t="shared" si="143"/>
        <v>12</v>
      </c>
      <c r="Q1879" s="503">
        <f t="shared" si="144"/>
        <v>11</v>
      </c>
      <c r="R1879" s="504" t="str">
        <f t="shared" si="145"/>
        <v>Gastos_Gerais</v>
      </c>
      <c r="S1879" s="504" t="str">
        <f>IF(D1879="","",IF(OR(D1879=Plano!$A$1,D1879=Plano!$B$1),"entrada","saída"))</f>
        <v>saída</v>
      </c>
      <c r="T1879" s="511" t="s">
        <v>114</v>
      </c>
      <c r="U1879" s="511" t="s">
        <v>114</v>
      </c>
      <c r="V1879" s="541"/>
    </row>
    <row r="1880" spans="1:22" s="539" customFormat="1" ht="50.1" customHeight="1" x14ac:dyDescent="0.2">
      <c r="A1880" s="619">
        <f>IF(B1880="","",COUNT('Diário 5º PA'!$A$5:$A$2634)+COUNT('Diário 6º PA'!$A$5:$A$2246)+COUNT('Diário 7º PA'!$A$5:$A$2271)+ROW()-4)</f>
        <v>5826</v>
      </c>
      <c r="B1880" s="620">
        <v>44550</v>
      </c>
      <c r="C1880" s="624">
        <v>44531</v>
      </c>
      <c r="D1880" s="548" t="s">
        <v>99</v>
      </c>
      <c r="E1880" s="548" t="s">
        <v>330</v>
      </c>
      <c r="F1880" s="622">
        <v>575.51</v>
      </c>
      <c r="G1880" s="623" t="s">
        <v>6864</v>
      </c>
      <c r="H1880" s="548" t="s">
        <v>114</v>
      </c>
      <c r="I1880" s="583" t="s">
        <v>983</v>
      </c>
      <c r="J1880" s="548" t="s">
        <v>850</v>
      </c>
      <c r="K1880" s="583" t="s">
        <v>946</v>
      </c>
      <c r="L1880" s="583" t="s">
        <v>947</v>
      </c>
      <c r="M1880" s="619" t="s">
        <v>114</v>
      </c>
      <c r="N1880" s="620">
        <v>44550</v>
      </c>
      <c r="O1880" s="684" t="s">
        <v>67</v>
      </c>
      <c r="P1880" s="503">
        <f t="shared" si="143"/>
        <v>12</v>
      </c>
      <c r="Q1880" s="503">
        <f t="shared" si="144"/>
        <v>12</v>
      </c>
      <c r="R1880" s="504" t="str">
        <f t="shared" si="145"/>
        <v>Gastos_Gerais</v>
      </c>
      <c r="S1880" s="504" t="str">
        <f>IF(D1880="","",IF(OR(D1880=Plano!$A$1,D1880=Plano!$B$1),"entrada","saída"))</f>
        <v>saída</v>
      </c>
      <c r="T1880" s="511" t="s">
        <v>114</v>
      </c>
      <c r="U1880" s="511" t="s">
        <v>114</v>
      </c>
      <c r="V1880" s="541"/>
    </row>
    <row r="1881" spans="1:22" ht="50.1" customHeight="1" x14ac:dyDescent="0.2">
      <c r="A1881" s="619">
        <f>IF(B1881="","",COUNT('Diário 5º PA'!$A$5:$A$2634)+COUNT('Diário 6º PA'!$A$5:$A$2246)+COUNT('Diário 7º PA'!$A$5:$A$2271)+ROW()-4)</f>
        <v>5827</v>
      </c>
      <c r="B1881" s="620">
        <v>44550</v>
      </c>
      <c r="C1881" s="621">
        <v>44501</v>
      </c>
      <c r="D1881" s="548" t="s">
        <v>99</v>
      </c>
      <c r="E1881" s="548" t="s">
        <v>330</v>
      </c>
      <c r="F1881" s="622">
        <v>2325</v>
      </c>
      <c r="G1881" s="623" t="s">
        <v>6865</v>
      </c>
      <c r="H1881" s="548" t="s">
        <v>114</v>
      </c>
      <c r="I1881" s="583" t="s">
        <v>530</v>
      </c>
      <c r="J1881" s="548" t="s">
        <v>114</v>
      </c>
      <c r="K1881" s="583" t="s">
        <v>466</v>
      </c>
      <c r="L1881" s="583" t="s">
        <v>547</v>
      </c>
      <c r="M1881" s="619" t="s">
        <v>114</v>
      </c>
      <c r="N1881" s="620">
        <v>44530</v>
      </c>
      <c r="O1881" s="684" t="s">
        <v>67</v>
      </c>
      <c r="P1881" s="503">
        <f t="shared" si="143"/>
        <v>12</v>
      </c>
      <c r="Q1881" s="503">
        <f t="shared" si="144"/>
        <v>11</v>
      </c>
      <c r="R1881" s="504" t="str">
        <f t="shared" si="145"/>
        <v>Gastos_Gerais</v>
      </c>
      <c r="S1881" s="504" t="str">
        <f>IF(D1881="","",IF(OR(D1881=Plano!$A$1,D1881=Plano!$B$1),"entrada","saída"))</f>
        <v>saída</v>
      </c>
      <c r="T1881" s="546" t="s">
        <v>114</v>
      </c>
      <c r="U1881" s="546" t="s">
        <v>114</v>
      </c>
      <c r="V1881" s="541"/>
    </row>
    <row r="1882" spans="1:22" ht="50.1" customHeight="1" x14ac:dyDescent="0.2">
      <c r="A1882" s="619">
        <f>IF(B1882="","",COUNT('Diário 5º PA'!$A$5:$A$2634)+COUNT('Diário 6º PA'!$A$5:$A$2246)+COUNT('Diário 7º PA'!$A$5:$A$2271)+ROW()-4)</f>
        <v>5828</v>
      </c>
      <c r="B1882" s="620">
        <v>44550</v>
      </c>
      <c r="C1882" s="621">
        <v>44501</v>
      </c>
      <c r="D1882" s="548" t="s">
        <v>99</v>
      </c>
      <c r="E1882" s="548" t="s">
        <v>330</v>
      </c>
      <c r="F1882" s="622">
        <v>1395</v>
      </c>
      <c r="G1882" s="623" t="s">
        <v>6866</v>
      </c>
      <c r="H1882" s="548" t="s">
        <v>114</v>
      </c>
      <c r="I1882" s="583" t="s">
        <v>530</v>
      </c>
      <c r="J1882" s="548" t="s">
        <v>114</v>
      </c>
      <c r="K1882" s="583" t="s">
        <v>466</v>
      </c>
      <c r="L1882" s="583" t="s">
        <v>547</v>
      </c>
      <c r="M1882" s="619" t="s">
        <v>114</v>
      </c>
      <c r="N1882" s="620">
        <v>44530</v>
      </c>
      <c r="O1882" s="684" t="s">
        <v>67</v>
      </c>
      <c r="P1882" s="503">
        <f t="shared" si="143"/>
        <v>12</v>
      </c>
      <c r="Q1882" s="503">
        <f t="shared" si="144"/>
        <v>11</v>
      </c>
      <c r="R1882" s="504" t="str">
        <f t="shared" si="145"/>
        <v>Gastos_Gerais</v>
      </c>
      <c r="S1882" s="504" t="str">
        <f>IF(D1882="","",IF(OR(D1882=Plano!$A$1,D1882=Plano!$B$1),"entrada","saída"))</f>
        <v>saída</v>
      </c>
      <c r="T1882" s="546" t="s">
        <v>114</v>
      </c>
      <c r="U1882" s="546" t="s">
        <v>114</v>
      </c>
      <c r="V1882" s="541"/>
    </row>
    <row r="1883" spans="1:22" ht="50.1" customHeight="1" x14ac:dyDescent="0.2">
      <c r="A1883" s="619">
        <f>IF(B1883="","",COUNT('Diário 5º PA'!$A$5:$A$2634)+COUNT('Diário 6º PA'!$A$5:$A$2246)+COUNT('Diário 7º PA'!$A$5:$A$2271)+ROW()-4)</f>
        <v>5829</v>
      </c>
      <c r="B1883" s="620">
        <v>44550</v>
      </c>
      <c r="C1883" s="621">
        <v>44501</v>
      </c>
      <c r="D1883" s="548" t="s">
        <v>99</v>
      </c>
      <c r="E1883" s="548" t="s">
        <v>330</v>
      </c>
      <c r="F1883" s="622">
        <v>775</v>
      </c>
      <c r="G1883" s="623" t="s">
        <v>6867</v>
      </c>
      <c r="H1883" s="548" t="s">
        <v>114</v>
      </c>
      <c r="I1883" s="583" t="s">
        <v>530</v>
      </c>
      <c r="J1883" s="548" t="s">
        <v>114</v>
      </c>
      <c r="K1883" s="583" t="s">
        <v>466</v>
      </c>
      <c r="L1883" s="583" t="s">
        <v>547</v>
      </c>
      <c r="M1883" s="619" t="s">
        <v>114</v>
      </c>
      <c r="N1883" s="620">
        <v>44530</v>
      </c>
      <c r="O1883" s="684" t="s">
        <v>67</v>
      </c>
      <c r="P1883" s="503">
        <f t="shared" si="143"/>
        <v>12</v>
      </c>
      <c r="Q1883" s="503">
        <f t="shared" si="144"/>
        <v>11</v>
      </c>
      <c r="R1883" s="504" t="str">
        <f t="shared" si="145"/>
        <v>Gastos_Gerais</v>
      </c>
      <c r="S1883" s="504" t="str">
        <f>IF(D1883="","",IF(OR(D1883=Plano!$A$1,D1883=Plano!$B$1),"entrada","saída"))</f>
        <v>saída</v>
      </c>
      <c r="T1883" s="546" t="s">
        <v>114</v>
      </c>
      <c r="U1883" s="546" t="s">
        <v>114</v>
      </c>
      <c r="V1883" s="541"/>
    </row>
    <row r="1884" spans="1:22" ht="50.1" customHeight="1" x14ac:dyDescent="0.2">
      <c r="A1884" s="619">
        <f>IF(B1884="","",COUNT('Diário 5º PA'!$A$5:$A$2634)+COUNT('Diário 6º PA'!$A$5:$A$2246)+COUNT('Diário 7º PA'!$A$5:$A$2271)+ROW()-4)</f>
        <v>5830</v>
      </c>
      <c r="B1884" s="620">
        <v>44550</v>
      </c>
      <c r="C1884" s="621">
        <v>44501</v>
      </c>
      <c r="D1884" s="548" t="s">
        <v>99</v>
      </c>
      <c r="E1884" s="548" t="s">
        <v>330</v>
      </c>
      <c r="F1884" s="622">
        <v>4076.5</v>
      </c>
      <c r="G1884" s="623" t="s">
        <v>6868</v>
      </c>
      <c r="H1884" s="548" t="s">
        <v>114</v>
      </c>
      <c r="I1884" s="583" t="s">
        <v>530</v>
      </c>
      <c r="J1884" s="548" t="s">
        <v>114</v>
      </c>
      <c r="K1884" s="583" t="s">
        <v>466</v>
      </c>
      <c r="L1884" s="583" t="s">
        <v>547</v>
      </c>
      <c r="M1884" s="619" t="s">
        <v>114</v>
      </c>
      <c r="N1884" s="620">
        <v>44530</v>
      </c>
      <c r="O1884" s="684" t="s">
        <v>67</v>
      </c>
      <c r="P1884" s="503">
        <f t="shared" si="143"/>
        <v>12</v>
      </c>
      <c r="Q1884" s="503">
        <f t="shared" si="144"/>
        <v>11</v>
      </c>
      <c r="R1884" s="504" t="str">
        <f t="shared" si="145"/>
        <v>Gastos_Gerais</v>
      </c>
      <c r="S1884" s="504" t="str">
        <f>IF(D1884="","",IF(OR(D1884=Plano!$A$1,D1884=Plano!$B$1),"entrada","saída"))</f>
        <v>saída</v>
      </c>
      <c r="T1884" s="546" t="s">
        <v>114</v>
      </c>
      <c r="U1884" s="546" t="s">
        <v>114</v>
      </c>
      <c r="V1884" s="541"/>
    </row>
    <row r="1885" spans="1:22" ht="50.1" customHeight="1" x14ac:dyDescent="0.2">
      <c r="A1885" s="619">
        <f>IF(B1885="","",COUNT('Diário 5º PA'!$A$5:$A$2634)+COUNT('Diário 6º PA'!$A$5:$A$2246)+COUNT('Diário 7º PA'!$A$5:$A$2271)+ROW()-4)</f>
        <v>5831</v>
      </c>
      <c r="B1885" s="620">
        <v>44550</v>
      </c>
      <c r="C1885" s="621">
        <v>44501</v>
      </c>
      <c r="D1885" s="548" t="s">
        <v>99</v>
      </c>
      <c r="E1885" s="548" t="s">
        <v>330</v>
      </c>
      <c r="F1885" s="622">
        <v>5913.69</v>
      </c>
      <c r="G1885" s="623" t="s">
        <v>6869</v>
      </c>
      <c r="H1885" s="548" t="s">
        <v>114</v>
      </c>
      <c r="I1885" s="583" t="s">
        <v>530</v>
      </c>
      <c r="J1885" s="548" t="s">
        <v>114</v>
      </c>
      <c r="K1885" s="583" t="s">
        <v>466</v>
      </c>
      <c r="L1885" s="583" t="s">
        <v>547</v>
      </c>
      <c r="M1885" s="619" t="s">
        <v>114</v>
      </c>
      <c r="N1885" s="620">
        <v>44530</v>
      </c>
      <c r="O1885" s="684" t="s">
        <v>67</v>
      </c>
      <c r="P1885" s="503">
        <f t="shared" si="143"/>
        <v>12</v>
      </c>
      <c r="Q1885" s="503">
        <f t="shared" si="144"/>
        <v>11</v>
      </c>
      <c r="R1885" s="504" t="str">
        <f t="shared" si="145"/>
        <v>Gastos_Gerais</v>
      </c>
      <c r="S1885" s="504" t="str">
        <f>IF(D1885="","",IF(OR(D1885=Plano!$A$1,D1885=Plano!$B$1),"entrada","saída"))</f>
        <v>saída</v>
      </c>
      <c r="T1885" s="546" t="s">
        <v>114</v>
      </c>
      <c r="U1885" s="546" t="s">
        <v>114</v>
      </c>
      <c r="V1885" s="541"/>
    </row>
    <row r="1886" spans="1:22" ht="50.1" customHeight="1" x14ac:dyDescent="0.2">
      <c r="A1886" s="619">
        <f>IF(B1886="","",COUNT('Diário 5º PA'!$A$5:$A$2634)+COUNT('Diário 6º PA'!$A$5:$A$2246)+COUNT('Diário 7º PA'!$A$5:$A$2271)+ROW()-4)</f>
        <v>5832</v>
      </c>
      <c r="B1886" s="620">
        <v>44550</v>
      </c>
      <c r="C1886" s="621">
        <v>44501</v>
      </c>
      <c r="D1886" s="548" t="s">
        <v>99</v>
      </c>
      <c r="E1886" s="548" t="s">
        <v>330</v>
      </c>
      <c r="F1886" s="622">
        <v>2027.4</v>
      </c>
      <c r="G1886" s="623" t="s">
        <v>6870</v>
      </c>
      <c r="H1886" s="548" t="s">
        <v>114</v>
      </c>
      <c r="I1886" s="583" t="s">
        <v>530</v>
      </c>
      <c r="J1886" s="548" t="s">
        <v>114</v>
      </c>
      <c r="K1886" s="583" t="s">
        <v>466</v>
      </c>
      <c r="L1886" s="583" t="s">
        <v>547</v>
      </c>
      <c r="M1886" s="619" t="s">
        <v>114</v>
      </c>
      <c r="N1886" s="620">
        <v>44530</v>
      </c>
      <c r="O1886" s="684" t="s">
        <v>67</v>
      </c>
      <c r="P1886" s="503">
        <f t="shared" si="143"/>
        <v>12</v>
      </c>
      <c r="Q1886" s="503">
        <f t="shared" si="144"/>
        <v>11</v>
      </c>
      <c r="R1886" s="504" t="str">
        <f t="shared" si="145"/>
        <v>Gastos_Gerais</v>
      </c>
      <c r="S1886" s="504" t="str">
        <f>IF(D1886="","",IF(OR(D1886=Plano!$A$1,D1886=Plano!$B$1),"entrada","saída"))</f>
        <v>saída</v>
      </c>
      <c r="T1886" s="546" t="s">
        <v>114</v>
      </c>
      <c r="U1886" s="546" t="s">
        <v>114</v>
      </c>
      <c r="V1886" s="541"/>
    </row>
    <row r="1887" spans="1:22" ht="50.1" customHeight="1" x14ac:dyDescent="0.2">
      <c r="A1887" s="619">
        <f>IF(B1887="","",COUNT('Diário 5º PA'!$A$5:$A$2634)+COUNT('Diário 6º PA'!$A$5:$A$2246)+COUNT('Diário 7º PA'!$A$5:$A$2271)+ROW()-4)</f>
        <v>5833</v>
      </c>
      <c r="B1887" s="620">
        <v>44550</v>
      </c>
      <c r="C1887" s="621">
        <v>44501</v>
      </c>
      <c r="D1887" s="548" t="s">
        <v>99</v>
      </c>
      <c r="E1887" s="548" t="s">
        <v>330</v>
      </c>
      <c r="F1887" s="622">
        <v>1488</v>
      </c>
      <c r="G1887" s="623" t="s">
        <v>6871</v>
      </c>
      <c r="H1887" s="548" t="s">
        <v>114</v>
      </c>
      <c r="I1887" s="583" t="s">
        <v>530</v>
      </c>
      <c r="J1887" s="548" t="s">
        <v>114</v>
      </c>
      <c r="K1887" s="583" t="s">
        <v>466</v>
      </c>
      <c r="L1887" s="583" t="s">
        <v>547</v>
      </c>
      <c r="M1887" s="619" t="s">
        <v>114</v>
      </c>
      <c r="N1887" s="620">
        <v>44530</v>
      </c>
      <c r="O1887" s="684" t="s">
        <v>67</v>
      </c>
      <c r="P1887" s="503">
        <f t="shared" si="143"/>
        <v>12</v>
      </c>
      <c r="Q1887" s="503">
        <f t="shared" si="144"/>
        <v>11</v>
      </c>
      <c r="R1887" s="504" t="str">
        <f t="shared" si="145"/>
        <v>Gastos_Gerais</v>
      </c>
      <c r="S1887" s="504" t="str">
        <f>IF(D1887="","",IF(OR(D1887=Plano!$A$1,D1887=Plano!$B$1),"entrada","saída"))</f>
        <v>saída</v>
      </c>
      <c r="T1887" s="546" t="s">
        <v>114</v>
      </c>
      <c r="U1887" s="546" t="s">
        <v>114</v>
      </c>
      <c r="V1887" s="541"/>
    </row>
    <row r="1888" spans="1:22" ht="50.1" customHeight="1" x14ac:dyDescent="0.2">
      <c r="A1888" s="619">
        <f>IF(B1888="","",COUNT('Diário 5º PA'!$A$5:$A$2634)+COUNT('Diário 6º PA'!$A$5:$A$2246)+COUNT('Diário 7º PA'!$A$5:$A$2271)+ROW()-4)</f>
        <v>5834</v>
      </c>
      <c r="B1888" s="620">
        <v>44550</v>
      </c>
      <c r="C1888" s="621">
        <v>44501</v>
      </c>
      <c r="D1888" s="548" t="s">
        <v>99</v>
      </c>
      <c r="E1888" s="548" t="s">
        <v>330</v>
      </c>
      <c r="F1888" s="622">
        <v>2396.3000000000002</v>
      </c>
      <c r="G1888" s="623" t="s">
        <v>6872</v>
      </c>
      <c r="H1888" s="548" t="s">
        <v>114</v>
      </c>
      <c r="I1888" s="583" t="s">
        <v>530</v>
      </c>
      <c r="J1888" s="548" t="s">
        <v>114</v>
      </c>
      <c r="K1888" s="583" t="s">
        <v>466</v>
      </c>
      <c r="L1888" s="583" t="s">
        <v>547</v>
      </c>
      <c r="M1888" s="619" t="s">
        <v>114</v>
      </c>
      <c r="N1888" s="620">
        <v>44530</v>
      </c>
      <c r="O1888" s="684" t="s">
        <v>67</v>
      </c>
      <c r="P1888" s="503">
        <f t="shared" si="143"/>
        <v>12</v>
      </c>
      <c r="Q1888" s="503">
        <f t="shared" si="144"/>
        <v>11</v>
      </c>
      <c r="R1888" s="504" t="str">
        <f t="shared" si="145"/>
        <v>Gastos_Gerais</v>
      </c>
      <c r="S1888" s="504" t="str">
        <f>IF(D1888="","",IF(OR(D1888=Plano!$A$1,D1888=Plano!$B$1),"entrada","saída"))</f>
        <v>saída</v>
      </c>
      <c r="T1888" s="546" t="s">
        <v>114</v>
      </c>
      <c r="U1888" s="546" t="s">
        <v>114</v>
      </c>
      <c r="V1888" s="541"/>
    </row>
    <row r="1889" spans="1:22" ht="50.1" customHeight="1" x14ac:dyDescent="0.2">
      <c r="A1889" s="619">
        <f>IF(B1889="","",COUNT('Diário 5º PA'!$A$5:$A$2634)+COUNT('Diário 6º PA'!$A$5:$A$2246)+COUNT('Diário 7º PA'!$A$5:$A$2271)+ROW()-4)</f>
        <v>5835</v>
      </c>
      <c r="B1889" s="620">
        <v>44550</v>
      </c>
      <c r="C1889" s="621">
        <v>44501</v>
      </c>
      <c r="D1889" s="548" t="s">
        <v>99</v>
      </c>
      <c r="E1889" s="548" t="s">
        <v>330</v>
      </c>
      <c r="F1889" s="622">
        <f>775</f>
        <v>775</v>
      </c>
      <c r="G1889" s="623" t="s">
        <v>6873</v>
      </c>
      <c r="H1889" s="548" t="s">
        <v>114</v>
      </c>
      <c r="I1889" s="583" t="s">
        <v>530</v>
      </c>
      <c r="J1889" s="548" t="s">
        <v>114</v>
      </c>
      <c r="K1889" s="583" t="s">
        <v>466</v>
      </c>
      <c r="L1889" s="583" t="s">
        <v>547</v>
      </c>
      <c r="M1889" s="619" t="s">
        <v>114</v>
      </c>
      <c r="N1889" s="620">
        <v>44530</v>
      </c>
      <c r="O1889" s="684" t="s">
        <v>67</v>
      </c>
      <c r="P1889" s="503">
        <f t="shared" si="143"/>
        <v>12</v>
      </c>
      <c r="Q1889" s="503">
        <f t="shared" si="144"/>
        <v>11</v>
      </c>
      <c r="R1889" s="504" t="str">
        <f t="shared" si="145"/>
        <v>Gastos_Gerais</v>
      </c>
      <c r="S1889" s="504" t="str">
        <f>IF(D1889="","",IF(OR(D1889=Plano!$A$1,D1889=Plano!$B$1),"entrada","saída"))</f>
        <v>saída</v>
      </c>
      <c r="T1889" s="546" t="s">
        <v>114</v>
      </c>
      <c r="U1889" s="546" t="s">
        <v>114</v>
      </c>
      <c r="V1889" s="541"/>
    </row>
    <row r="1890" spans="1:22" ht="50.1" customHeight="1" x14ac:dyDescent="0.2">
      <c r="A1890" s="619">
        <f>IF(B1890="","",COUNT('Diário 5º PA'!$A$5:$A$2634)+COUNT('Diário 6º PA'!$A$5:$A$2246)+COUNT('Diário 7º PA'!$A$5:$A$2271)+ROW()-4)</f>
        <v>5836</v>
      </c>
      <c r="B1890" s="620">
        <v>44550</v>
      </c>
      <c r="C1890" s="628">
        <v>44531</v>
      </c>
      <c r="D1890" s="548" t="s">
        <v>99</v>
      </c>
      <c r="E1890" s="548" t="s">
        <v>272</v>
      </c>
      <c r="F1890" s="622">
        <v>10.45</v>
      </c>
      <c r="G1890" s="623" t="s">
        <v>6484</v>
      </c>
      <c r="H1890" s="548" t="s">
        <v>114</v>
      </c>
      <c r="I1890" s="583" t="s">
        <v>949</v>
      </c>
      <c r="J1890" s="548" t="s">
        <v>950</v>
      </c>
      <c r="K1890" s="583" t="s">
        <v>951</v>
      </c>
      <c r="L1890" s="583" t="s">
        <v>947</v>
      </c>
      <c r="M1890" s="625" t="s">
        <v>114</v>
      </c>
      <c r="N1890" s="620">
        <v>44550</v>
      </c>
      <c r="O1890" s="684" t="s">
        <v>67</v>
      </c>
      <c r="P1890" s="503">
        <f t="shared" si="143"/>
        <v>12</v>
      </c>
      <c r="Q1890" s="503">
        <f t="shared" si="144"/>
        <v>12</v>
      </c>
      <c r="R1890" s="504" t="str">
        <f t="shared" si="145"/>
        <v>Gastos_Gerais</v>
      </c>
      <c r="S1890" s="504" t="str">
        <f>IF(D1890="","",IF(OR(D1890=Plano!$A$1,D1890=Plano!$B$1),"entrada","saída"))</f>
        <v>saída</v>
      </c>
      <c r="T1890" s="511" t="s">
        <v>114</v>
      </c>
      <c r="U1890" s="511" t="s">
        <v>114</v>
      </c>
      <c r="V1890" s="541"/>
    </row>
    <row r="1891" spans="1:22" ht="50.1" customHeight="1" x14ac:dyDescent="0.2">
      <c r="A1891" s="619">
        <f>IF(B1891="","",COUNT('Diário 5º PA'!$A$5:$A$2634)+COUNT('Diário 6º PA'!$A$5:$A$2246)+COUNT('Diário 7º PA'!$A$5:$A$2271)+ROW()-4)</f>
        <v>5837</v>
      </c>
      <c r="B1891" s="620">
        <v>44550</v>
      </c>
      <c r="C1891" s="628">
        <v>44531</v>
      </c>
      <c r="D1891" s="548" t="s">
        <v>99</v>
      </c>
      <c r="E1891" s="548" t="s">
        <v>272</v>
      </c>
      <c r="F1891" s="622">
        <v>10.45</v>
      </c>
      <c r="G1891" s="623" t="s">
        <v>6485</v>
      </c>
      <c r="H1891" s="548" t="s">
        <v>114</v>
      </c>
      <c r="I1891" s="583" t="s">
        <v>949</v>
      </c>
      <c r="J1891" s="548" t="s">
        <v>950</v>
      </c>
      <c r="K1891" s="583" t="s">
        <v>951</v>
      </c>
      <c r="L1891" s="583" t="s">
        <v>947</v>
      </c>
      <c r="M1891" s="625" t="s">
        <v>114</v>
      </c>
      <c r="N1891" s="620">
        <v>44550</v>
      </c>
      <c r="O1891" s="684" t="s">
        <v>67</v>
      </c>
      <c r="P1891" s="503">
        <f t="shared" si="143"/>
        <v>12</v>
      </c>
      <c r="Q1891" s="503">
        <f t="shared" si="144"/>
        <v>12</v>
      </c>
      <c r="R1891" s="504" t="str">
        <f t="shared" si="145"/>
        <v>Gastos_Gerais</v>
      </c>
      <c r="S1891" s="504" t="str">
        <f>IF(D1891="","",IF(OR(D1891=Plano!$A$1,D1891=Plano!$B$1),"entrada","saída"))</f>
        <v>saída</v>
      </c>
      <c r="T1891" s="511" t="s">
        <v>114</v>
      </c>
      <c r="U1891" s="511" t="s">
        <v>114</v>
      </c>
      <c r="V1891" s="541"/>
    </row>
    <row r="1892" spans="1:22" ht="50.1" customHeight="1" x14ac:dyDescent="0.2">
      <c r="A1892" s="619">
        <f>IF(B1892="","",COUNT('Diário 5º PA'!$A$5:$A$2634)+COUNT('Diário 6º PA'!$A$5:$A$2246)+COUNT('Diário 7º PA'!$A$5:$A$2271)+ROW()-4)</f>
        <v>5838</v>
      </c>
      <c r="B1892" s="620">
        <v>44550</v>
      </c>
      <c r="C1892" s="628">
        <v>44531</v>
      </c>
      <c r="D1892" s="548" t="s">
        <v>99</v>
      </c>
      <c r="E1892" s="548" t="s">
        <v>272</v>
      </c>
      <c r="F1892" s="622">
        <v>10.45</v>
      </c>
      <c r="G1892" s="623" t="s">
        <v>6486</v>
      </c>
      <c r="H1892" s="548" t="s">
        <v>114</v>
      </c>
      <c r="I1892" s="583" t="s">
        <v>949</v>
      </c>
      <c r="J1892" s="548" t="s">
        <v>950</v>
      </c>
      <c r="K1892" s="583" t="s">
        <v>951</v>
      </c>
      <c r="L1892" s="583" t="s">
        <v>947</v>
      </c>
      <c r="M1892" s="625" t="s">
        <v>114</v>
      </c>
      <c r="N1892" s="620">
        <v>44550</v>
      </c>
      <c r="O1892" s="684" t="s">
        <v>67</v>
      </c>
      <c r="P1892" s="503">
        <f t="shared" si="143"/>
        <v>12</v>
      </c>
      <c r="Q1892" s="503">
        <f t="shared" si="144"/>
        <v>12</v>
      </c>
      <c r="R1892" s="504" t="str">
        <f t="shared" si="145"/>
        <v>Gastos_Gerais</v>
      </c>
      <c r="S1892" s="504" t="str">
        <f>IF(D1892="","",IF(OR(D1892=Plano!$A$1,D1892=Plano!$B$1),"entrada","saída"))</f>
        <v>saída</v>
      </c>
      <c r="T1892" s="511" t="s">
        <v>114</v>
      </c>
      <c r="U1892" s="511" t="s">
        <v>114</v>
      </c>
      <c r="V1892" s="541"/>
    </row>
    <row r="1893" spans="1:22" ht="50.1" customHeight="1" x14ac:dyDescent="0.2">
      <c r="A1893" s="619">
        <f>IF(B1893="","",COUNT('Diário 5º PA'!$A$5:$A$2634)+COUNT('Diário 6º PA'!$A$5:$A$2246)+COUNT('Diário 7º PA'!$A$5:$A$2271)+ROW()-4)</f>
        <v>5839</v>
      </c>
      <c r="B1893" s="620">
        <v>44550</v>
      </c>
      <c r="C1893" s="628">
        <v>44531</v>
      </c>
      <c r="D1893" s="548" t="s">
        <v>99</v>
      </c>
      <c r="E1893" s="548" t="s">
        <v>272</v>
      </c>
      <c r="F1893" s="622">
        <v>10.45</v>
      </c>
      <c r="G1893" s="623" t="s">
        <v>6487</v>
      </c>
      <c r="H1893" s="548" t="s">
        <v>114</v>
      </c>
      <c r="I1893" s="583" t="s">
        <v>949</v>
      </c>
      <c r="J1893" s="548" t="s">
        <v>950</v>
      </c>
      <c r="K1893" s="583" t="s">
        <v>951</v>
      </c>
      <c r="L1893" s="583" t="s">
        <v>947</v>
      </c>
      <c r="M1893" s="625" t="s">
        <v>114</v>
      </c>
      <c r="N1893" s="620">
        <v>44550</v>
      </c>
      <c r="O1893" s="684" t="s">
        <v>67</v>
      </c>
      <c r="P1893" s="503">
        <f t="shared" si="143"/>
        <v>12</v>
      </c>
      <c r="Q1893" s="503">
        <f t="shared" si="144"/>
        <v>12</v>
      </c>
      <c r="R1893" s="504" t="str">
        <f t="shared" si="145"/>
        <v>Gastos_Gerais</v>
      </c>
      <c r="S1893" s="504" t="str">
        <f>IF(D1893="","",IF(OR(D1893=Plano!$A$1,D1893=Plano!$B$1),"entrada","saída"))</f>
        <v>saída</v>
      </c>
      <c r="T1893" s="511" t="s">
        <v>114</v>
      </c>
      <c r="U1893" s="511" t="s">
        <v>114</v>
      </c>
      <c r="V1893" s="541"/>
    </row>
    <row r="1894" spans="1:22" ht="50.1" customHeight="1" x14ac:dyDescent="0.2">
      <c r="A1894" s="619">
        <f>IF(B1894="","",COUNT('Diário 5º PA'!$A$5:$A$2634)+COUNT('Diário 6º PA'!$A$5:$A$2246)+COUNT('Diário 7º PA'!$A$5:$A$2271)+ROW()-4)</f>
        <v>5840</v>
      </c>
      <c r="B1894" s="620">
        <v>44550</v>
      </c>
      <c r="C1894" s="628">
        <v>44531</v>
      </c>
      <c r="D1894" s="548" t="s">
        <v>99</v>
      </c>
      <c r="E1894" s="548" t="s">
        <v>272</v>
      </c>
      <c r="F1894" s="622">
        <v>10.45</v>
      </c>
      <c r="G1894" s="623" t="s">
        <v>6488</v>
      </c>
      <c r="H1894" s="548" t="s">
        <v>114</v>
      </c>
      <c r="I1894" s="583" t="s">
        <v>949</v>
      </c>
      <c r="J1894" s="548" t="s">
        <v>950</v>
      </c>
      <c r="K1894" s="583" t="s">
        <v>951</v>
      </c>
      <c r="L1894" s="583" t="s">
        <v>947</v>
      </c>
      <c r="M1894" s="625" t="s">
        <v>114</v>
      </c>
      <c r="N1894" s="620">
        <v>44550</v>
      </c>
      <c r="O1894" s="684" t="s">
        <v>67</v>
      </c>
      <c r="P1894" s="503">
        <f t="shared" si="143"/>
        <v>12</v>
      </c>
      <c r="Q1894" s="503">
        <f t="shared" si="144"/>
        <v>12</v>
      </c>
      <c r="R1894" s="504" t="str">
        <f t="shared" si="145"/>
        <v>Gastos_Gerais</v>
      </c>
      <c r="S1894" s="504" t="str">
        <f>IF(D1894="","",IF(OR(D1894=Plano!$A$1,D1894=Plano!$B$1),"entrada","saída"))</f>
        <v>saída</v>
      </c>
      <c r="T1894" s="511" t="s">
        <v>114</v>
      </c>
      <c r="U1894" s="511" t="s">
        <v>114</v>
      </c>
      <c r="V1894" s="541"/>
    </row>
    <row r="1895" spans="1:22" ht="50.1" customHeight="1" x14ac:dyDescent="0.2">
      <c r="A1895" s="619">
        <f>IF(B1895="","",COUNT('Diário 5º PA'!$A$5:$A$2634)+COUNT('Diário 6º PA'!$A$5:$A$2246)+COUNT('Diário 7º PA'!$A$5:$A$2271)+ROW()-4)</f>
        <v>5841</v>
      </c>
      <c r="B1895" s="620">
        <v>44550</v>
      </c>
      <c r="C1895" s="628">
        <v>44531</v>
      </c>
      <c r="D1895" s="548" t="s">
        <v>99</v>
      </c>
      <c r="E1895" s="548" t="s">
        <v>272</v>
      </c>
      <c r="F1895" s="622">
        <v>10.45</v>
      </c>
      <c r="G1895" s="623" t="s">
        <v>6489</v>
      </c>
      <c r="H1895" s="548" t="s">
        <v>114</v>
      </c>
      <c r="I1895" s="583" t="s">
        <v>949</v>
      </c>
      <c r="J1895" s="548" t="s">
        <v>950</v>
      </c>
      <c r="K1895" s="583" t="s">
        <v>951</v>
      </c>
      <c r="L1895" s="583" t="s">
        <v>947</v>
      </c>
      <c r="M1895" s="625" t="s">
        <v>114</v>
      </c>
      <c r="N1895" s="620">
        <v>44550</v>
      </c>
      <c r="O1895" s="684" t="s">
        <v>67</v>
      </c>
      <c r="P1895" s="503">
        <f t="shared" si="143"/>
        <v>12</v>
      </c>
      <c r="Q1895" s="503">
        <f t="shared" si="144"/>
        <v>12</v>
      </c>
      <c r="R1895" s="504" t="str">
        <f t="shared" si="145"/>
        <v>Gastos_Gerais</v>
      </c>
      <c r="S1895" s="504" t="str">
        <f>IF(D1895="","",IF(OR(D1895=Plano!$A$1,D1895=Plano!$B$1),"entrada","saída"))</f>
        <v>saída</v>
      </c>
      <c r="T1895" s="511" t="s">
        <v>114</v>
      </c>
      <c r="U1895" s="511" t="s">
        <v>114</v>
      </c>
      <c r="V1895" s="541"/>
    </row>
    <row r="1896" spans="1:22" ht="50.1" customHeight="1" x14ac:dyDescent="0.2">
      <c r="A1896" s="619">
        <f>IF(B1896="","",COUNT('Diário 5º PA'!$A$5:$A$2634)+COUNT('Diário 6º PA'!$A$5:$A$2246)+COUNT('Diário 7º PA'!$A$5:$A$2271)+ROW()-4)</f>
        <v>5842</v>
      </c>
      <c r="B1896" s="620">
        <v>44550</v>
      </c>
      <c r="C1896" s="628">
        <v>44531</v>
      </c>
      <c r="D1896" s="548" t="s">
        <v>99</v>
      </c>
      <c r="E1896" s="548" t="s">
        <v>272</v>
      </c>
      <c r="F1896" s="622">
        <v>10.45</v>
      </c>
      <c r="G1896" s="623" t="s">
        <v>6490</v>
      </c>
      <c r="H1896" s="548" t="s">
        <v>114</v>
      </c>
      <c r="I1896" s="583" t="s">
        <v>949</v>
      </c>
      <c r="J1896" s="548" t="s">
        <v>950</v>
      </c>
      <c r="K1896" s="583" t="s">
        <v>951</v>
      </c>
      <c r="L1896" s="583" t="s">
        <v>947</v>
      </c>
      <c r="M1896" s="625" t="s">
        <v>114</v>
      </c>
      <c r="N1896" s="620">
        <v>44550</v>
      </c>
      <c r="O1896" s="684" t="s">
        <v>67</v>
      </c>
      <c r="P1896" s="503">
        <f t="shared" si="143"/>
        <v>12</v>
      </c>
      <c r="Q1896" s="503">
        <f t="shared" si="144"/>
        <v>12</v>
      </c>
      <c r="R1896" s="504" t="str">
        <f t="shared" si="145"/>
        <v>Gastos_Gerais</v>
      </c>
      <c r="S1896" s="504" t="str">
        <f>IF(D1896="","",IF(OR(D1896=Plano!$A$1,D1896=Plano!$B$1),"entrada","saída"))</f>
        <v>saída</v>
      </c>
      <c r="T1896" s="511" t="s">
        <v>114</v>
      </c>
      <c r="U1896" s="511" t="s">
        <v>114</v>
      </c>
      <c r="V1896" s="541"/>
    </row>
    <row r="1897" spans="1:22" ht="50.1" customHeight="1" x14ac:dyDescent="0.2">
      <c r="A1897" s="619">
        <f>IF(B1897="","",COUNT('Diário 5º PA'!$A$5:$A$2634)+COUNT('Diário 6º PA'!$A$5:$A$2246)+COUNT('Diário 7º PA'!$A$5:$A$2271)+ROW()-4)</f>
        <v>5843</v>
      </c>
      <c r="B1897" s="620">
        <v>44550</v>
      </c>
      <c r="C1897" s="628">
        <v>44531</v>
      </c>
      <c r="D1897" s="548" t="s">
        <v>99</v>
      </c>
      <c r="E1897" s="548" t="s">
        <v>272</v>
      </c>
      <c r="F1897" s="622">
        <v>10.45</v>
      </c>
      <c r="G1897" s="623" t="s">
        <v>6489</v>
      </c>
      <c r="H1897" s="548" t="s">
        <v>114</v>
      </c>
      <c r="I1897" s="583" t="s">
        <v>949</v>
      </c>
      <c r="J1897" s="548" t="s">
        <v>950</v>
      </c>
      <c r="K1897" s="583" t="s">
        <v>951</v>
      </c>
      <c r="L1897" s="583" t="s">
        <v>947</v>
      </c>
      <c r="M1897" s="625" t="s">
        <v>114</v>
      </c>
      <c r="N1897" s="620">
        <v>44550</v>
      </c>
      <c r="O1897" s="684" t="s">
        <v>67</v>
      </c>
      <c r="P1897" s="503">
        <f t="shared" si="143"/>
        <v>12</v>
      </c>
      <c r="Q1897" s="503">
        <f t="shared" si="144"/>
        <v>12</v>
      </c>
      <c r="R1897" s="504" t="str">
        <f t="shared" si="145"/>
        <v>Gastos_Gerais</v>
      </c>
      <c r="S1897" s="504" t="str">
        <f>IF(D1897="","",IF(OR(D1897=Plano!$A$1,D1897=Plano!$B$1),"entrada","saída"))</f>
        <v>saída</v>
      </c>
      <c r="T1897" s="511" t="s">
        <v>114</v>
      </c>
      <c r="U1897" s="511" t="s">
        <v>114</v>
      </c>
      <c r="V1897" s="541"/>
    </row>
    <row r="1898" spans="1:22" ht="50.1" customHeight="1" x14ac:dyDescent="0.2">
      <c r="A1898" s="619">
        <f>IF(B1898="","",COUNT('Diário 5º PA'!$A$5:$A$2634)+COUNT('Diário 6º PA'!$A$5:$A$2246)+COUNT('Diário 7º PA'!$A$5:$A$2271)+ROW()-4)</f>
        <v>5844</v>
      </c>
      <c r="B1898" s="620">
        <v>44550</v>
      </c>
      <c r="C1898" s="628">
        <v>44531</v>
      </c>
      <c r="D1898" s="548" t="s">
        <v>99</v>
      </c>
      <c r="E1898" s="548" t="s">
        <v>272</v>
      </c>
      <c r="F1898" s="622">
        <v>10.45</v>
      </c>
      <c r="G1898" s="623" t="s">
        <v>6491</v>
      </c>
      <c r="H1898" s="548" t="s">
        <v>114</v>
      </c>
      <c r="I1898" s="583" t="s">
        <v>949</v>
      </c>
      <c r="J1898" s="548" t="s">
        <v>950</v>
      </c>
      <c r="K1898" s="583" t="s">
        <v>951</v>
      </c>
      <c r="L1898" s="583" t="s">
        <v>947</v>
      </c>
      <c r="M1898" s="625" t="s">
        <v>114</v>
      </c>
      <c r="N1898" s="620">
        <v>44550</v>
      </c>
      <c r="O1898" s="684" t="s">
        <v>67</v>
      </c>
      <c r="P1898" s="503">
        <f t="shared" si="143"/>
        <v>12</v>
      </c>
      <c r="Q1898" s="503">
        <f t="shared" si="144"/>
        <v>12</v>
      </c>
      <c r="R1898" s="504" t="str">
        <f t="shared" si="145"/>
        <v>Gastos_Gerais</v>
      </c>
      <c r="S1898" s="504" t="str">
        <f>IF(D1898="","",IF(OR(D1898=Plano!$A$1,D1898=Plano!$B$1),"entrada","saída"))</f>
        <v>saída</v>
      </c>
      <c r="T1898" s="511" t="s">
        <v>114</v>
      </c>
      <c r="U1898" s="511" t="s">
        <v>114</v>
      </c>
      <c r="V1898" s="541"/>
    </row>
    <row r="1899" spans="1:22" ht="50.1" customHeight="1" x14ac:dyDescent="0.2">
      <c r="A1899" s="619">
        <f>IF(B1899="","",COUNT('Diário 5º PA'!$A$5:$A$2634)+COUNT('Diário 6º PA'!$A$5:$A$2246)+COUNT('Diário 7º PA'!$A$5:$A$2271)+ROW()-4)</f>
        <v>5845</v>
      </c>
      <c r="B1899" s="620">
        <v>44550</v>
      </c>
      <c r="C1899" s="628">
        <v>44531</v>
      </c>
      <c r="D1899" s="548" t="s">
        <v>99</v>
      </c>
      <c r="E1899" s="548" t="s">
        <v>272</v>
      </c>
      <c r="F1899" s="622">
        <v>10.45</v>
      </c>
      <c r="G1899" s="623" t="s">
        <v>6492</v>
      </c>
      <c r="H1899" s="548" t="s">
        <v>114</v>
      </c>
      <c r="I1899" s="583" t="s">
        <v>949</v>
      </c>
      <c r="J1899" s="548" t="s">
        <v>950</v>
      </c>
      <c r="K1899" s="583" t="s">
        <v>951</v>
      </c>
      <c r="L1899" s="583" t="s">
        <v>947</v>
      </c>
      <c r="M1899" s="625" t="s">
        <v>114</v>
      </c>
      <c r="N1899" s="620">
        <v>44550</v>
      </c>
      <c r="O1899" s="684" t="s">
        <v>67</v>
      </c>
      <c r="P1899" s="503">
        <f t="shared" si="143"/>
        <v>12</v>
      </c>
      <c r="Q1899" s="503">
        <f t="shared" si="144"/>
        <v>12</v>
      </c>
      <c r="R1899" s="504" t="str">
        <f t="shared" si="145"/>
        <v>Gastos_Gerais</v>
      </c>
      <c r="S1899" s="504" t="str">
        <f>IF(D1899="","",IF(OR(D1899=Plano!$A$1,D1899=Plano!$B$1),"entrada","saída"))</f>
        <v>saída</v>
      </c>
      <c r="T1899" s="511" t="s">
        <v>114</v>
      </c>
      <c r="U1899" s="511" t="s">
        <v>114</v>
      </c>
      <c r="V1899" s="541"/>
    </row>
    <row r="1900" spans="1:22" ht="50.1" customHeight="1" x14ac:dyDescent="0.2">
      <c r="A1900" s="619">
        <f>IF(B1900="","",COUNT('Diário 5º PA'!$A$5:$A$2634)+COUNT('Diário 6º PA'!$A$5:$A$2246)+COUNT('Diário 7º PA'!$A$5:$A$2271)+ROW()-4)</f>
        <v>5846</v>
      </c>
      <c r="B1900" s="620">
        <v>44550</v>
      </c>
      <c r="C1900" s="628">
        <v>44531</v>
      </c>
      <c r="D1900" s="548" t="s">
        <v>99</v>
      </c>
      <c r="E1900" s="548" t="s">
        <v>272</v>
      </c>
      <c r="F1900" s="622">
        <v>10.45</v>
      </c>
      <c r="G1900" s="623" t="s">
        <v>6493</v>
      </c>
      <c r="H1900" s="548" t="s">
        <v>114</v>
      </c>
      <c r="I1900" s="583" t="s">
        <v>949</v>
      </c>
      <c r="J1900" s="548" t="s">
        <v>950</v>
      </c>
      <c r="K1900" s="583" t="s">
        <v>951</v>
      </c>
      <c r="L1900" s="583" t="s">
        <v>947</v>
      </c>
      <c r="M1900" s="625" t="s">
        <v>114</v>
      </c>
      <c r="N1900" s="620">
        <v>44550</v>
      </c>
      <c r="O1900" s="684" t="s">
        <v>67</v>
      </c>
      <c r="P1900" s="503">
        <f t="shared" si="143"/>
        <v>12</v>
      </c>
      <c r="Q1900" s="503">
        <f t="shared" si="144"/>
        <v>12</v>
      </c>
      <c r="R1900" s="504" t="str">
        <f t="shared" si="145"/>
        <v>Gastos_Gerais</v>
      </c>
      <c r="S1900" s="504" t="str">
        <f>IF(D1900="","",IF(OR(D1900=Plano!$A$1,D1900=Plano!$B$1),"entrada","saída"))</f>
        <v>saída</v>
      </c>
      <c r="T1900" s="511" t="s">
        <v>114</v>
      </c>
      <c r="U1900" s="511" t="s">
        <v>114</v>
      </c>
      <c r="V1900" s="541"/>
    </row>
    <row r="1901" spans="1:22" ht="50.1" customHeight="1" x14ac:dyDescent="0.2">
      <c r="A1901" s="619">
        <f>IF(B1901="","",COUNT('Diário 5º PA'!$A$5:$A$2634)+COUNT('Diário 6º PA'!$A$5:$A$2246)+COUNT('Diário 7º PA'!$A$5:$A$2271)+ROW()-4)</f>
        <v>5847</v>
      </c>
      <c r="B1901" s="620">
        <v>44550</v>
      </c>
      <c r="C1901" s="628">
        <v>44531</v>
      </c>
      <c r="D1901" s="548" t="s">
        <v>99</v>
      </c>
      <c r="E1901" s="548" t="s">
        <v>272</v>
      </c>
      <c r="F1901" s="622">
        <v>10.45</v>
      </c>
      <c r="G1901" s="623" t="s">
        <v>6489</v>
      </c>
      <c r="H1901" s="548" t="s">
        <v>114</v>
      </c>
      <c r="I1901" s="583" t="s">
        <v>949</v>
      </c>
      <c r="J1901" s="548" t="s">
        <v>950</v>
      </c>
      <c r="K1901" s="583" t="s">
        <v>951</v>
      </c>
      <c r="L1901" s="583" t="s">
        <v>947</v>
      </c>
      <c r="M1901" s="625" t="s">
        <v>114</v>
      </c>
      <c r="N1901" s="620">
        <v>44550</v>
      </c>
      <c r="O1901" s="684" t="s">
        <v>67</v>
      </c>
      <c r="P1901" s="503">
        <f t="shared" si="143"/>
        <v>12</v>
      </c>
      <c r="Q1901" s="503">
        <f t="shared" si="144"/>
        <v>12</v>
      </c>
      <c r="R1901" s="504" t="str">
        <f t="shared" si="145"/>
        <v>Gastos_Gerais</v>
      </c>
      <c r="S1901" s="504" t="str">
        <f>IF(D1901="","",IF(OR(D1901=Plano!$A$1,D1901=Plano!$B$1),"entrada","saída"))</f>
        <v>saída</v>
      </c>
      <c r="T1901" s="511" t="s">
        <v>114</v>
      </c>
      <c r="U1901" s="511" t="s">
        <v>114</v>
      </c>
      <c r="V1901" s="541"/>
    </row>
    <row r="1902" spans="1:22" ht="50.1" customHeight="1" x14ac:dyDescent="0.2">
      <c r="A1902" s="619">
        <f>IF(B1902="","",COUNT('Diário 5º PA'!$A$5:$A$2634)+COUNT('Diário 6º PA'!$A$5:$A$2246)+COUNT('Diário 7º PA'!$A$5:$A$2271)+ROW()-4)</f>
        <v>5848</v>
      </c>
      <c r="B1902" s="620">
        <v>44550</v>
      </c>
      <c r="C1902" s="628">
        <v>44531</v>
      </c>
      <c r="D1902" s="548" t="s">
        <v>99</v>
      </c>
      <c r="E1902" s="548" t="s">
        <v>272</v>
      </c>
      <c r="F1902" s="622">
        <v>10.45</v>
      </c>
      <c r="G1902" s="623" t="s">
        <v>6485</v>
      </c>
      <c r="H1902" s="548" t="s">
        <v>114</v>
      </c>
      <c r="I1902" s="583" t="s">
        <v>949</v>
      </c>
      <c r="J1902" s="548" t="s">
        <v>950</v>
      </c>
      <c r="K1902" s="583" t="s">
        <v>951</v>
      </c>
      <c r="L1902" s="583" t="s">
        <v>947</v>
      </c>
      <c r="M1902" s="625" t="s">
        <v>114</v>
      </c>
      <c r="N1902" s="620">
        <v>44550</v>
      </c>
      <c r="O1902" s="684" t="s">
        <v>67</v>
      </c>
      <c r="P1902" s="503">
        <f t="shared" si="143"/>
        <v>12</v>
      </c>
      <c r="Q1902" s="503">
        <f t="shared" si="144"/>
        <v>12</v>
      </c>
      <c r="R1902" s="504" t="str">
        <f t="shared" si="145"/>
        <v>Gastos_Gerais</v>
      </c>
      <c r="S1902" s="504" t="str">
        <f>IF(D1902="","",IF(OR(D1902=Plano!$A$1,D1902=Plano!$B$1),"entrada","saída"))</f>
        <v>saída</v>
      </c>
      <c r="T1902" s="511" t="s">
        <v>114</v>
      </c>
      <c r="U1902" s="511" t="s">
        <v>114</v>
      </c>
      <c r="V1902" s="541"/>
    </row>
    <row r="1903" spans="1:22" ht="50.1" customHeight="1" x14ac:dyDescent="0.2">
      <c r="A1903" s="619">
        <f>IF(B1903="","",COUNT('Diário 5º PA'!$A$5:$A$2634)+COUNT('Diário 6º PA'!$A$5:$A$2246)+COUNT('Diário 7º PA'!$A$5:$A$2271)+ROW()-4)</f>
        <v>5849</v>
      </c>
      <c r="B1903" s="620">
        <v>44550</v>
      </c>
      <c r="C1903" s="628">
        <v>44531</v>
      </c>
      <c r="D1903" s="548" t="s">
        <v>99</v>
      </c>
      <c r="E1903" s="548" t="s">
        <v>272</v>
      </c>
      <c r="F1903" s="622">
        <v>10.45</v>
      </c>
      <c r="G1903" s="623" t="s">
        <v>6494</v>
      </c>
      <c r="H1903" s="548" t="s">
        <v>114</v>
      </c>
      <c r="I1903" s="583" t="s">
        <v>949</v>
      </c>
      <c r="J1903" s="548" t="s">
        <v>950</v>
      </c>
      <c r="K1903" s="583" t="s">
        <v>951</v>
      </c>
      <c r="L1903" s="583" t="s">
        <v>947</v>
      </c>
      <c r="M1903" s="625" t="s">
        <v>114</v>
      </c>
      <c r="N1903" s="620">
        <v>44550</v>
      </c>
      <c r="O1903" s="684" t="s">
        <v>67</v>
      </c>
      <c r="P1903" s="503">
        <f t="shared" si="143"/>
        <v>12</v>
      </c>
      <c r="Q1903" s="503">
        <f t="shared" si="144"/>
        <v>12</v>
      </c>
      <c r="R1903" s="504" t="str">
        <f t="shared" si="145"/>
        <v>Gastos_Gerais</v>
      </c>
      <c r="S1903" s="504" t="str">
        <f>IF(D1903="","",IF(OR(D1903=Plano!$A$1,D1903=Plano!$B$1),"entrada","saída"))</f>
        <v>saída</v>
      </c>
      <c r="T1903" s="511" t="s">
        <v>114</v>
      </c>
      <c r="U1903" s="511" t="s">
        <v>114</v>
      </c>
      <c r="V1903" s="541"/>
    </row>
    <row r="1904" spans="1:22" ht="50.1" customHeight="1" x14ac:dyDescent="0.2">
      <c r="A1904" s="619">
        <f>IF(B1904="","",COUNT('Diário 5º PA'!$A$5:$A$2634)+COUNT('Diário 6º PA'!$A$5:$A$2246)+COUNT('Diário 7º PA'!$A$5:$A$2271)+ROW()-4)</f>
        <v>5850</v>
      </c>
      <c r="B1904" s="620">
        <v>44550</v>
      </c>
      <c r="C1904" s="628">
        <v>44531</v>
      </c>
      <c r="D1904" s="548" t="s">
        <v>99</v>
      </c>
      <c r="E1904" s="548" t="s">
        <v>272</v>
      </c>
      <c r="F1904" s="622">
        <v>10.45</v>
      </c>
      <c r="G1904" s="623" t="s">
        <v>6495</v>
      </c>
      <c r="H1904" s="548" t="s">
        <v>114</v>
      </c>
      <c r="I1904" s="583" t="s">
        <v>949</v>
      </c>
      <c r="J1904" s="548" t="s">
        <v>950</v>
      </c>
      <c r="K1904" s="583" t="s">
        <v>951</v>
      </c>
      <c r="L1904" s="583" t="s">
        <v>947</v>
      </c>
      <c r="M1904" s="625" t="s">
        <v>114</v>
      </c>
      <c r="N1904" s="620">
        <v>44550</v>
      </c>
      <c r="O1904" s="684" t="s">
        <v>67</v>
      </c>
      <c r="P1904" s="503">
        <f t="shared" si="143"/>
        <v>12</v>
      </c>
      <c r="Q1904" s="503">
        <f t="shared" si="144"/>
        <v>12</v>
      </c>
      <c r="R1904" s="504" t="str">
        <f t="shared" si="145"/>
        <v>Gastos_Gerais</v>
      </c>
      <c r="S1904" s="504" t="str">
        <f>IF(D1904="","",IF(OR(D1904=Plano!$A$1,D1904=Plano!$B$1),"entrada","saída"))</f>
        <v>saída</v>
      </c>
      <c r="T1904" s="511" t="s">
        <v>114</v>
      </c>
      <c r="U1904" s="511" t="s">
        <v>114</v>
      </c>
      <c r="V1904" s="541"/>
    </row>
    <row r="1905" spans="1:22" ht="50.1" customHeight="1" x14ac:dyDescent="0.2">
      <c r="A1905" s="619">
        <f>IF(B1905="","",COUNT('Diário 5º PA'!$A$5:$A$2634)+COUNT('Diário 6º PA'!$A$5:$A$2246)+COUNT('Diário 7º PA'!$A$5:$A$2271)+ROW()-4)</f>
        <v>5851</v>
      </c>
      <c r="B1905" s="620">
        <v>44550</v>
      </c>
      <c r="C1905" s="628">
        <v>44531</v>
      </c>
      <c r="D1905" s="548" t="s">
        <v>99</v>
      </c>
      <c r="E1905" s="548" t="s">
        <v>272</v>
      </c>
      <c r="F1905" s="622">
        <v>10.45</v>
      </c>
      <c r="G1905" s="623" t="s">
        <v>6487</v>
      </c>
      <c r="H1905" s="548" t="s">
        <v>114</v>
      </c>
      <c r="I1905" s="583" t="s">
        <v>949</v>
      </c>
      <c r="J1905" s="548" t="s">
        <v>950</v>
      </c>
      <c r="K1905" s="583" t="s">
        <v>951</v>
      </c>
      <c r="L1905" s="583" t="s">
        <v>947</v>
      </c>
      <c r="M1905" s="625" t="s">
        <v>114</v>
      </c>
      <c r="N1905" s="620">
        <v>44550</v>
      </c>
      <c r="O1905" s="684" t="s">
        <v>67</v>
      </c>
      <c r="P1905" s="503">
        <f t="shared" si="143"/>
        <v>12</v>
      </c>
      <c r="Q1905" s="503">
        <f t="shared" si="144"/>
        <v>12</v>
      </c>
      <c r="R1905" s="504" t="str">
        <f t="shared" si="145"/>
        <v>Gastos_Gerais</v>
      </c>
      <c r="S1905" s="504" t="str">
        <f>IF(D1905="","",IF(OR(D1905=Plano!$A$1,D1905=Plano!$B$1),"entrada","saída"))</f>
        <v>saída</v>
      </c>
      <c r="T1905" s="511" t="s">
        <v>114</v>
      </c>
      <c r="U1905" s="511" t="s">
        <v>114</v>
      </c>
      <c r="V1905" s="541"/>
    </row>
    <row r="1906" spans="1:22" ht="50.1" customHeight="1" x14ac:dyDescent="0.2">
      <c r="A1906" s="619">
        <f>IF(B1906="","",COUNT('Diário 5º PA'!$A$5:$A$2634)+COUNT('Diário 6º PA'!$A$5:$A$2246)+COUNT('Diário 7º PA'!$A$5:$A$2271)+ROW()-4)</f>
        <v>5852</v>
      </c>
      <c r="B1906" s="620">
        <v>44550</v>
      </c>
      <c r="C1906" s="628">
        <v>44531</v>
      </c>
      <c r="D1906" s="548" t="s">
        <v>99</v>
      </c>
      <c r="E1906" s="548" t="s">
        <v>272</v>
      </c>
      <c r="F1906" s="622">
        <v>10.45</v>
      </c>
      <c r="G1906" s="623" t="s">
        <v>6489</v>
      </c>
      <c r="H1906" s="548" t="s">
        <v>114</v>
      </c>
      <c r="I1906" s="583" t="s">
        <v>949</v>
      </c>
      <c r="J1906" s="548" t="s">
        <v>950</v>
      </c>
      <c r="K1906" s="583" t="s">
        <v>951</v>
      </c>
      <c r="L1906" s="583" t="s">
        <v>947</v>
      </c>
      <c r="M1906" s="625" t="s">
        <v>114</v>
      </c>
      <c r="N1906" s="620">
        <v>44550</v>
      </c>
      <c r="O1906" s="684" t="s">
        <v>67</v>
      </c>
      <c r="P1906" s="503">
        <f t="shared" si="143"/>
        <v>12</v>
      </c>
      <c r="Q1906" s="503">
        <f t="shared" si="144"/>
        <v>12</v>
      </c>
      <c r="R1906" s="504" t="str">
        <f t="shared" si="145"/>
        <v>Gastos_Gerais</v>
      </c>
      <c r="S1906" s="504" t="str">
        <f>IF(D1906="","",IF(OR(D1906=Plano!$A$1,D1906=Plano!$B$1),"entrada","saída"))</f>
        <v>saída</v>
      </c>
      <c r="T1906" s="511" t="s">
        <v>114</v>
      </c>
      <c r="U1906" s="511" t="s">
        <v>114</v>
      </c>
      <c r="V1906" s="541"/>
    </row>
    <row r="1907" spans="1:22" ht="50.1" customHeight="1" x14ac:dyDescent="0.2">
      <c r="A1907" s="619">
        <f>IF(B1907="","",COUNT('Diário 5º PA'!$A$5:$A$2634)+COUNT('Diário 6º PA'!$A$5:$A$2246)+COUNT('Diário 7º PA'!$A$5:$A$2271)+ROW()-4)</f>
        <v>5853</v>
      </c>
      <c r="B1907" s="620">
        <v>44550</v>
      </c>
      <c r="C1907" s="628">
        <v>44531</v>
      </c>
      <c r="D1907" s="548" t="s">
        <v>99</v>
      </c>
      <c r="E1907" s="548" t="s">
        <v>272</v>
      </c>
      <c r="F1907" s="622">
        <v>10.45</v>
      </c>
      <c r="G1907" s="623" t="s">
        <v>6496</v>
      </c>
      <c r="H1907" s="548" t="s">
        <v>114</v>
      </c>
      <c r="I1907" s="583" t="s">
        <v>949</v>
      </c>
      <c r="J1907" s="548" t="s">
        <v>950</v>
      </c>
      <c r="K1907" s="583" t="s">
        <v>951</v>
      </c>
      <c r="L1907" s="583" t="s">
        <v>947</v>
      </c>
      <c r="M1907" s="625" t="s">
        <v>114</v>
      </c>
      <c r="N1907" s="620">
        <v>44550</v>
      </c>
      <c r="O1907" s="684" t="s">
        <v>67</v>
      </c>
      <c r="P1907" s="503">
        <f t="shared" si="143"/>
        <v>12</v>
      </c>
      <c r="Q1907" s="503">
        <f t="shared" si="144"/>
        <v>12</v>
      </c>
      <c r="R1907" s="504" t="str">
        <f t="shared" si="145"/>
        <v>Gastos_Gerais</v>
      </c>
      <c r="S1907" s="504" t="str">
        <f>IF(D1907="","",IF(OR(D1907=Plano!$A$1,D1907=Plano!$B$1),"entrada","saída"))</f>
        <v>saída</v>
      </c>
      <c r="T1907" s="511" t="s">
        <v>114</v>
      </c>
      <c r="U1907" s="511" t="s">
        <v>114</v>
      </c>
      <c r="V1907" s="541"/>
    </row>
    <row r="1908" spans="1:22" ht="50.1" customHeight="1" x14ac:dyDescent="0.2">
      <c r="A1908" s="619">
        <f>IF(B1908="","",COUNT('Diário 5º PA'!$A$5:$A$2634)+COUNT('Diário 6º PA'!$A$5:$A$2246)+COUNT('Diário 7º PA'!$A$5:$A$2271)+ROW()-4)</f>
        <v>5854</v>
      </c>
      <c r="B1908" s="620">
        <v>44550</v>
      </c>
      <c r="C1908" s="628">
        <v>44531</v>
      </c>
      <c r="D1908" s="548" t="s">
        <v>99</v>
      </c>
      <c r="E1908" s="548" t="s">
        <v>272</v>
      </c>
      <c r="F1908" s="622">
        <v>10.45</v>
      </c>
      <c r="G1908" s="623" t="s">
        <v>6485</v>
      </c>
      <c r="H1908" s="548" t="s">
        <v>114</v>
      </c>
      <c r="I1908" s="583" t="s">
        <v>949</v>
      </c>
      <c r="J1908" s="548" t="s">
        <v>950</v>
      </c>
      <c r="K1908" s="583" t="s">
        <v>951</v>
      </c>
      <c r="L1908" s="583" t="s">
        <v>947</v>
      </c>
      <c r="M1908" s="625" t="s">
        <v>114</v>
      </c>
      <c r="N1908" s="620">
        <v>44550</v>
      </c>
      <c r="O1908" s="684" t="s">
        <v>67</v>
      </c>
      <c r="P1908" s="503">
        <f t="shared" si="143"/>
        <v>12</v>
      </c>
      <c r="Q1908" s="503">
        <f t="shared" si="144"/>
        <v>12</v>
      </c>
      <c r="R1908" s="504" t="str">
        <f t="shared" si="145"/>
        <v>Gastos_Gerais</v>
      </c>
      <c r="S1908" s="504" t="str">
        <f>IF(D1908="","",IF(OR(D1908=Plano!$A$1,D1908=Plano!$B$1),"entrada","saída"))</f>
        <v>saída</v>
      </c>
      <c r="T1908" s="511" t="s">
        <v>114</v>
      </c>
      <c r="U1908" s="511" t="s">
        <v>114</v>
      </c>
      <c r="V1908" s="541"/>
    </row>
    <row r="1909" spans="1:22" ht="50.1" customHeight="1" x14ac:dyDescent="0.2">
      <c r="A1909" s="619">
        <f>IF(B1909="","",COUNT('Diário 5º PA'!$A$5:$A$2634)+COUNT('Diário 6º PA'!$A$5:$A$2246)+COUNT('Diário 7º PA'!$A$5:$A$2271)+ROW()-4)</f>
        <v>5855</v>
      </c>
      <c r="B1909" s="620">
        <v>44550</v>
      </c>
      <c r="C1909" s="628">
        <v>44531</v>
      </c>
      <c r="D1909" s="548" t="s">
        <v>99</v>
      </c>
      <c r="E1909" s="548" t="s">
        <v>272</v>
      </c>
      <c r="F1909" s="622">
        <v>10.45</v>
      </c>
      <c r="G1909" s="623" t="s">
        <v>6485</v>
      </c>
      <c r="H1909" s="548" t="s">
        <v>114</v>
      </c>
      <c r="I1909" s="583" t="s">
        <v>949</v>
      </c>
      <c r="J1909" s="548" t="s">
        <v>950</v>
      </c>
      <c r="K1909" s="583" t="s">
        <v>951</v>
      </c>
      <c r="L1909" s="583" t="s">
        <v>947</v>
      </c>
      <c r="M1909" s="625" t="s">
        <v>114</v>
      </c>
      <c r="N1909" s="620">
        <v>44550</v>
      </c>
      <c r="O1909" s="684" t="s">
        <v>67</v>
      </c>
      <c r="P1909" s="503">
        <f t="shared" si="143"/>
        <v>12</v>
      </c>
      <c r="Q1909" s="503">
        <f t="shared" si="144"/>
        <v>12</v>
      </c>
      <c r="R1909" s="504" t="str">
        <f t="shared" si="145"/>
        <v>Gastos_Gerais</v>
      </c>
      <c r="S1909" s="504" t="str">
        <f>IF(D1909="","",IF(OR(D1909=Plano!$A$1,D1909=Plano!$B$1),"entrada","saída"))</f>
        <v>saída</v>
      </c>
      <c r="T1909" s="511" t="s">
        <v>114</v>
      </c>
      <c r="U1909" s="511" t="s">
        <v>114</v>
      </c>
      <c r="V1909" s="541"/>
    </row>
    <row r="1910" spans="1:22" ht="50.1" customHeight="1" x14ac:dyDescent="0.2">
      <c r="A1910" s="619">
        <f>IF(B1910="","",COUNT('Diário 5º PA'!$A$5:$A$2634)+COUNT('Diário 6º PA'!$A$5:$A$2246)+COUNT('Diário 7º PA'!$A$5:$A$2271)+ROW()-4)</f>
        <v>5856</v>
      </c>
      <c r="B1910" s="620">
        <v>44550</v>
      </c>
      <c r="C1910" s="628">
        <v>44531</v>
      </c>
      <c r="D1910" s="548" t="s">
        <v>99</v>
      </c>
      <c r="E1910" s="548" t="s">
        <v>272</v>
      </c>
      <c r="F1910" s="622">
        <v>10.45</v>
      </c>
      <c r="G1910" s="623" t="s">
        <v>6485</v>
      </c>
      <c r="H1910" s="548" t="s">
        <v>114</v>
      </c>
      <c r="I1910" s="583" t="s">
        <v>949</v>
      </c>
      <c r="J1910" s="548" t="s">
        <v>950</v>
      </c>
      <c r="K1910" s="583" t="s">
        <v>951</v>
      </c>
      <c r="L1910" s="583" t="s">
        <v>947</v>
      </c>
      <c r="M1910" s="625" t="s">
        <v>114</v>
      </c>
      <c r="N1910" s="620">
        <v>44550</v>
      </c>
      <c r="O1910" s="684" t="s">
        <v>67</v>
      </c>
      <c r="P1910" s="503">
        <f t="shared" si="143"/>
        <v>12</v>
      </c>
      <c r="Q1910" s="503">
        <f t="shared" si="144"/>
        <v>12</v>
      </c>
      <c r="R1910" s="504" t="str">
        <f t="shared" si="145"/>
        <v>Gastos_Gerais</v>
      </c>
      <c r="S1910" s="504" t="str">
        <f>IF(D1910="","",IF(OR(D1910=Plano!$A$1,D1910=Plano!$B$1),"entrada","saída"))</f>
        <v>saída</v>
      </c>
      <c r="T1910" s="511" t="s">
        <v>114</v>
      </c>
      <c r="U1910" s="511" t="s">
        <v>114</v>
      </c>
      <c r="V1910" s="541"/>
    </row>
    <row r="1911" spans="1:22" ht="50.1" customHeight="1" x14ac:dyDescent="0.2">
      <c r="A1911" s="619">
        <f>IF(B1911="","",COUNT('Diário 5º PA'!$A$5:$A$2634)+COUNT('Diário 6º PA'!$A$5:$A$2246)+COUNT('Diário 7º PA'!$A$5:$A$2271)+ROW()-4)</f>
        <v>5857</v>
      </c>
      <c r="B1911" s="620">
        <v>44550</v>
      </c>
      <c r="C1911" s="628">
        <v>44531</v>
      </c>
      <c r="D1911" s="548" t="s">
        <v>99</v>
      </c>
      <c r="E1911" s="548" t="s">
        <v>272</v>
      </c>
      <c r="F1911" s="622">
        <v>10.45</v>
      </c>
      <c r="G1911" s="623" t="s">
        <v>6485</v>
      </c>
      <c r="H1911" s="548" t="s">
        <v>114</v>
      </c>
      <c r="I1911" s="583" t="s">
        <v>949</v>
      </c>
      <c r="J1911" s="548" t="s">
        <v>950</v>
      </c>
      <c r="K1911" s="583" t="s">
        <v>951</v>
      </c>
      <c r="L1911" s="583" t="s">
        <v>947</v>
      </c>
      <c r="M1911" s="625" t="s">
        <v>114</v>
      </c>
      <c r="N1911" s="620">
        <v>44550</v>
      </c>
      <c r="O1911" s="684" t="s">
        <v>67</v>
      </c>
      <c r="P1911" s="503">
        <f t="shared" si="143"/>
        <v>12</v>
      </c>
      <c r="Q1911" s="503">
        <f t="shared" si="144"/>
        <v>12</v>
      </c>
      <c r="R1911" s="504" t="str">
        <f t="shared" si="145"/>
        <v>Gastos_Gerais</v>
      </c>
      <c r="S1911" s="504" t="str">
        <f>IF(D1911="","",IF(OR(D1911=Plano!$A$1,D1911=Plano!$B$1),"entrada","saída"))</f>
        <v>saída</v>
      </c>
      <c r="T1911" s="511" t="s">
        <v>114</v>
      </c>
      <c r="U1911" s="511" t="s">
        <v>114</v>
      </c>
      <c r="V1911" s="541"/>
    </row>
    <row r="1912" spans="1:22" ht="50.1" customHeight="1" x14ac:dyDescent="0.2">
      <c r="A1912" s="619">
        <f>IF(B1912="","",COUNT('Diário 5º PA'!$A$5:$A$2634)+COUNT('Diário 6º PA'!$A$5:$A$2246)+COUNT('Diário 7º PA'!$A$5:$A$2271)+ROW()-4)</f>
        <v>5858</v>
      </c>
      <c r="B1912" s="620">
        <v>44550</v>
      </c>
      <c r="C1912" s="628">
        <v>44531</v>
      </c>
      <c r="D1912" s="548" t="s">
        <v>99</v>
      </c>
      <c r="E1912" s="548" t="s">
        <v>272</v>
      </c>
      <c r="F1912" s="622">
        <v>10.45</v>
      </c>
      <c r="G1912" s="623" t="s">
        <v>6487</v>
      </c>
      <c r="H1912" s="548" t="s">
        <v>114</v>
      </c>
      <c r="I1912" s="583" t="s">
        <v>949</v>
      </c>
      <c r="J1912" s="548" t="s">
        <v>950</v>
      </c>
      <c r="K1912" s="583" t="s">
        <v>951</v>
      </c>
      <c r="L1912" s="583" t="s">
        <v>947</v>
      </c>
      <c r="M1912" s="625" t="s">
        <v>114</v>
      </c>
      <c r="N1912" s="620">
        <v>44550</v>
      </c>
      <c r="O1912" s="684" t="s">
        <v>67</v>
      </c>
      <c r="P1912" s="503">
        <f t="shared" si="143"/>
        <v>12</v>
      </c>
      <c r="Q1912" s="503">
        <f t="shared" si="144"/>
        <v>12</v>
      </c>
      <c r="R1912" s="504" t="str">
        <f t="shared" si="145"/>
        <v>Gastos_Gerais</v>
      </c>
      <c r="S1912" s="504" t="str">
        <f>IF(D1912="","",IF(OR(D1912=Plano!$A$1,D1912=Plano!$B$1),"entrada","saída"))</f>
        <v>saída</v>
      </c>
      <c r="T1912" s="511" t="s">
        <v>114</v>
      </c>
      <c r="U1912" s="511" t="s">
        <v>114</v>
      </c>
      <c r="V1912" s="541"/>
    </row>
    <row r="1913" spans="1:22" ht="50.1" customHeight="1" x14ac:dyDescent="0.2">
      <c r="A1913" s="619">
        <f>IF(B1913="","",COUNT('Diário 5º PA'!$A$5:$A$2634)+COUNT('Diário 6º PA'!$A$5:$A$2246)+COUNT('Diário 7º PA'!$A$5:$A$2271)+ROW()-4)</f>
        <v>5859</v>
      </c>
      <c r="B1913" s="620">
        <v>44550</v>
      </c>
      <c r="C1913" s="628">
        <v>44531</v>
      </c>
      <c r="D1913" s="548" t="s">
        <v>99</v>
      </c>
      <c r="E1913" s="548" t="s">
        <v>272</v>
      </c>
      <c r="F1913" s="622">
        <v>10.45</v>
      </c>
      <c r="G1913" s="623" t="s">
        <v>6489</v>
      </c>
      <c r="H1913" s="548" t="s">
        <v>114</v>
      </c>
      <c r="I1913" s="583" t="s">
        <v>949</v>
      </c>
      <c r="J1913" s="548" t="s">
        <v>950</v>
      </c>
      <c r="K1913" s="583" t="s">
        <v>951</v>
      </c>
      <c r="L1913" s="583" t="s">
        <v>947</v>
      </c>
      <c r="M1913" s="625" t="s">
        <v>114</v>
      </c>
      <c r="N1913" s="620">
        <v>44550</v>
      </c>
      <c r="O1913" s="684" t="s">
        <v>67</v>
      </c>
      <c r="P1913" s="503">
        <f t="shared" si="143"/>
        <v>12</v>
      </c>
      <c r="Q1913" s="503">
        <f t="shared" si="144"/>
        <v>12</v>
      </c>
      <c r="R1913" s="504" t="str">
        <f t="shared" si="145"/>
        <v>Gastos_Gerais</v>
      </c>
      <c r="S1913" s="504" t="str">
        <f>IF(D1913="","",IF(OR(D1913=Plano!$A$1,D1913=Plano!$B$1),"entrada","saída"))</f>
        <v>saída</v>
      </c>
      <c r="T1913" s="511" t="s">
        <v>114</v>
      </c>
      <c r="U1913" s="511" t="s">
        <v>114</v>
      </c>
      <c r="V1913" s="541"/>
    </row>
    <row r="1914" spans="1:22" ht="50.1" customHeight="1" x14ac:dyDescent="0.2">
      <c r="A1914" s="619">
        <f>IF(B1914="","",COUNT('Diário 5º PA'!$A$5:$A$2634)+COUNT('Diário 6º PA'!$A$5:$A$2246)+COUNT('Diário 7º PA'!$A$5:$A$2271)+ROW()-4)</f>
        <v>5860</v>
      </c>
      <c r="B1914" s="620">
        <v>44550</v>
      </c>
      <c r="C1914" s="628">
        <v>44531</v>
      </c>
      <c r="D1914" s="548" t="s">
        <v>99</v>
      </c>
      <c r="E1914" s="548" t="s">
        <v>272</v>
      </c>
      <c r="F1914" s="622">
        <v>10.45</v>
      </c>
      <c r="G1914" s="623" t="s">
        <v>6497</v>
      </c>
      <c r="H1914" s="548" t="s">
        <v>114</v>
      </c>
      <c r="I1914" s="583" t="s">
        <v>949</v>
      </c>
      <c r="J1914" s="548" t="s">
        <v>950</v>
      </c>
      <c r="K1914" s="583" t="s">
        <v>951</v>
      </c>
      <c r="L1914" s="583" t="s">
        <v>947</v>
      </c>
      <c r="M1914" s="625" t="s">
        <v>114</v>
      </c>
      <c r="N1914" s="620">
        <v>44550</v>
      </c>
      <c r="O1914" s="684" t="s">
        <v>67</v>
      </c>
      <c r="P1914" s="503">
        <f t="shared" si="143"/>
        <v>12</v>
      </c>
      <c r="Q1914" s="503">
        <f t="shared" si="144"/>
        <v>12</v>
      </c>
      <c r="R1914" s="504" t="str">
        <f t="shared" si="145"/>
        <v>Gastos_Gerais</v>
      </c>
      <c r="S1914" s="504" t="str">
        <f>IF(D1914="","",IF(OR(D1914=Plano!$A$1,D1914=Plano!$B$1),"entrada","saída"))</f>
        <v>saída</v>
      </c>
      <c r="T1914" s="511" t="s">
        <v>114</v>
      </c>
      <c r="U1914" s="511" t="s">
        <v>114</v>
      </c>
      <c r="V1914" s="541"/>
    </row>
    <row r="1915" spans="1:22" ht="50.1" customHeight="1" x14ac:dyDescent="0.2">
      <c r="A1915" s="619">
        <f>IF(B1915="","",COUNT('Diário 5º PA'!$A$5:$A$2634)+COUNT('Diário 6º PA'!$A$5:$A$2246)+COUNT('Diário 7º PA'!$A$5:$A$2271)+ROW()-4)</f>
        <v>5861</v>
      </c>
      <c r="B1915" s="620">
        <v>44550</v>
      </c>
      <c r="C1915" s="628">
        <v>44531</v>
      </c>
      <c r="D1915" s="548" t="s">
        <v>99</v>
      </c>
      <c r="E1915" s="548" t="s">
        <v>272</v>
      </c>
      <c r="F1915" s="622">
        <v>10.45</v>
      </c>
      <c r="G1915" s="623" t="s">
        <v>6498</v>
      </c>
      <c r="H1915" s="548" t="s">
        <v>114</v>
      </c>
      <c r="I1915" s="583" t="s">
        <v>949</v>
      </c>
      <c r="J1915" s="548" t="s">
        <v>950</v>
      </c>
      <c r="K1915" s="583" t="s">
        <v>951</v>
      </c>
      <c r="L1915" s="583" t="s">
        <v>947</v>
      </c>
      <c r="M1915" s="625" t="s">
        <v>114</v>
      </c>
      <c r="N1915" s="620">
        <v>44550</v>
      </c>
      <c r="O1915" s="684" t="s">
        <v>67</v>
      </c>
      <c r="P1915" s="503">
        <f t="shared" si="143"/>
        <v>12</v>
      </c>
      <c r="Q1915" s="503">
        <f t="shared" si="144"/>
        <v>12</v>
      </c>
      <c r="R1915" s="504" t="str">
        <f t="shared" si="145"/>
        <v>Gastos_Gerais</v>
      </c>
      <c r="S1915" s="504" t="str">
        <f>IF(D1915="","",IF(OR(D1915=Plano!$A$1,D1915=Plano!$B$1),"entrada","saída"))</f>
        <v>saída</v>
      </c>
      <c r="T1915" s="511" t="s">
        <v>114</v>
      </c>
      <c r="U1915" s="511" t="s">
        <v>114</v>
      </c>
      <c r="V1915" s="541"/>
    </row>
    <row r="1916" spans="1:22" ht="50.1" customHeight="1" x14ac:dyDescent="0.2">
      <c r="A1916" s="619">
        <f>IF(B1916="","",COUNT('Diário 5º PA'!$A$5:$A$2634)+COUNT('Diário 6º PA'!$A$5:$A$2246)+COUNT('Diário 7º PA'!$A$5:$A$2271)+ROW()-4)</f>
        <v>5862</v>
      </c>
      <c r="B1916" s="620">
        <v>44550</v>
      </c>
      <c r="C1916" s="628">
        <v>44531</v>
      </c>
      <c r="D1916" s="548" t="s">
        <v>99</v>
      </c>
      <c r="E1916" s="548" t="s">
        <v>272</v>
      </c>
      <c r="F1916" s="622">
        <v>10.45</v>
      </c>
      <c r="G1916" s="623" t="s">
        <v>6499</v>
      </c>
      <c r="H1916" s="548" t="s">
        <v>114</v>
      </c>
      <c r="I1916" s="583" t="s">
        <v>949</v>
      </c>
      <c r="J1916" s="548" t="s">
        <v>950</v>
      </c>
      <c r="K1916" s="583" t="s">
        <v>951</v>
      </c>
      <c r="L1916" s="583" t="s">
        <v>947</v>
      </c>
      <c r="M1916" s="625" t="s">
        <v>114</v>
      </c>
      <c r="N1916" s="620">
        <v>44550</v>
      </c>
      <c r="O1916" s="684" t="s">
        <v>67</v>
      </c>
      <c r="P1916" s="503">
        <f t="shared" si="143"/>
        <v>12</v>
      </c>
      <c r="Q1916" s="503">
        <f t="shared" si="144"/>
        <v>12</v>
      </c>
      <c r="R1916" s="504" t="str">
        <f t="shared" si="145"/>
        <v>Gastos_Gerais</v>
      </c>
      <c r="S1916" s="504" t="str">
        <f>IF(D1916="","",IF(OR(D1916=Plano!$A$1,D1916=Plano!$B$1),"entrada","saída"))</f>
        <v>saída</v>
      </c>
      <c r="T1916" s="511" t="s">
        <v>114</v>
      </c>
      <c r="U1916" s="511" t="s">
        <v>114</v>
      </c>
      <c r="V1916" s="541"/>
    </row>
    <row r="1917" spans="1:22" ht="50.1" customHeight="1" x14ac:dyDescent="0.2">
      <c r="A1917" s="619">
        <f>IF(B1917="","",COUNT('Diário 5º PA'!$A$5:$A$2634)+COUNT('Diário 6º PA'!$A$5:$A$2246)+COUNT('Diário 7º PA'!$A$5:$A$2271)+ROW()-4)</f>
        <v>5863</v>
      </c>
      <c r="B1917" s="620">
        <v>44550</v>
      </c>
      <c r="C1917" s="628">
        <v>44531</v>
      </c>
      <c r="D1917" s="548" t="s">
        <v>99</v>
      </c>
      <c r="E1917" s="548" t="s">
        <v>272</v>
      </c>
      <c r="F1917" s="622">
        <v>10.45</v>
      </c>
      <c r="G1917" s="623" t="s">
        <v>6499</v>
      </c>
      <c r="H1917" s="548" t="s">
        <v>114</v>
      </c>
      <c r="I1917" s="583" t="s">
        <v>949</v>
      </c>
      <c r="J1917" s="548" t="s">
        <v>950</v>
      </c>
      <c r="K1917" s="583" t="s">
        <v>951</v>
      </c>
      <c r="L1917" s="583" t="s">
        <v>947</v>
      </c>
      <c r="M1917" s="625" t="s">
        <v>114</v>
      </c>
      <c r="N1917" s="620">
        <v>44550</v>
      </c>
      <c r="O1917" s="684" t="s">
        <v>67</v>
      </c>
      <c r="P1917" s="503">
        <f t="shared" si="143"/>
        <v>12</v>
      </c>
      <c r="Q1917" s="503">
        <f t="shared" si="144"/>
        <v>12</v>
      </c>
      <c r="R1917" s="504" t="str">
        <f t="shared" si="145"/>
        <v>Gastos_Gerais</v>
      </c>
      <c r="S1917" s="504" t="str">
        <f>IF(D1917="","",IF(OR(D1917=Plano!$A$1,D1917=Plano!$B$1),"entrada","saída"))</f>
        <v>saída</v>
      </c>
      <c r="T1917" s="511" t="s">
        <v>114</v>
      </c>
      <c r="U1917" s="511" t="s">
        <v>114</v>
      </c>
      <c r="V1917" s="541"/>
    </row>
    <row r="1918" spans="1:22" ht="50.1" customHeight="1" x14ac:dyDescent="0.2">
      <c r="A1918" s="619">
        <f>IF(B1918="","",COUNT('Diário 5º PA'!$A$5:$A$2634)+COUNT('Diário 6º PA'!$A$5:$A$2246)+COUNT('Diário 7º PA'!$A$5:$A$2271)+ROW()-4)</f>
        <v>5864</v>
      </c>
      <c r="B1918" s="620">
        <v>44550</v>
      </c>
      <c r="C1918" s="628">
        <v>44531</v>
      </c>
      <c r="D1918" s="548" t="s">
        <v>99</v>
      </c>
      <c r="E1918" s="548" t="s">
        <v>272</v>
      </c>
      <c r="F1918" s="622">
        <v>10.45</v>
      </c>
      <c r="G1918" s="623" t="s">
        <v>6489</v>
      </c>
      <c r="H1918" s="548" t="s">
        <v>114</v>
      </c>
      <c r="I1918" s="583" t="s">
        <v>949</v>
      </c>
      <c r="J1918" s="548" t="s">
        <v>950</v>
      </c>
      <c r="K1918" s="583" t="s">
        <v>951</v>
      </c>
      <c r="L1918" s="583" t="s">
        <v>947</v>
      </c>
      <c r="M1918" s="625" t="s">
        <v>114</v>
      </c>
      <c r="N1918" s="620">
        <v>44550</v>
      </c>
      <c r="O1918" s="684" t="s">
        <v>67</v>
      </c>
      <c r="P1918" s="503">
        <f t="shared" si="143"/>
        <v>12</v>
      </c>
      <c r="Q1918" s="503">
        <f t="shared" si="144"/>
        <v>12</v>
      </c>
      <c r="R1918" s="504" t="str">
        <f t="shared" si="145"/>
        <v>Gastos_Gerais</v>
      </c>
      <c r="S1918" s="504" t="str">
        <f>IF(D1918="","",IF(OR(D1918=Plano!$A$1,D1918=Plano!$B$1),"entrada","saída"))</f>
        <v>saída</v>
      </c>
      <c r="T1918" s="511" t="s">
        <v>114</v>
      </c>
      <c r="U1918" s="511" t="s">
        <v>114</v>
      </c>
      <c r="V1918" s="541"/>
    </row>
    <row r="1919" spans="1:22" ht="50.1" customHeight="1" x14ac:dyDescent="0.2">
      <c r="A1919" s="619">
        <f>IF(B1919="","",COUNT('Diário 5º PA'!$A$5:$A$2634)+COUNT('Diário 6º PA'!$A$5:$A$2246)+COUNT('Diário 7º PA'!$A$5:$A$2271)+ROW()-4)</f>
        <v>5865</v>
      </c>
      <c r="B1919" s="620">
        <v>44550</v>
      </c>
      <c r="C1919" s="628">
        <v>44531</v>
      </c>
      <c r="D1919" s="548" t="s">
        <v>99</v>
      </c>
      <c r="E1919" s="548" t="s">
        <v>272</v>
      </c>
      <c r="F1919" s="622">
        <v>10.45</v>
      </c>
      <c r="G1919" s="623" t="s">
        <v>6489</v>
      </c>
      <c r="H1919" s="548" t="s">
        <v>114</v>
      </c>
      <c r="I1919" s="583" t="s">
        <v>949</v>
      </c>
      <c r="J1919" s="548" t="s">
        <v>950</v>
      </c>
      <c r="K1919" s="583" t="s">
        <v>951</v>
      </c>
      <c r="L1919" s="583" t="s">
        <v>947</v>
      </c>
      <c r="M1919" s="625" t="s">
        <v>114</v>
      </c>
      <c r="N1919" s="620">
        <v>44550</v>
      </c>
      <c r="O1919" s="684" t="s">
        <v>67</v>
      </c>
      <c r="P1919" s="503">
        <f t="shared" si="143"/>
        <v>12</v>
      </c>
      <c r="Q1919" s="503">
        <f t="shared" si="144"/>
        <v>12</v>
      </c>
      <c r="R1919" s="504" t="str">
        <f t="shared" si="145"/>
        <v>Gastos_Gerais</v>
      </c>
      <c r="S1919" s="504" t="str">
        <f>IF(D1919="","",IF(OR(D1919=Plano!$A$1,D1919=Plano!$B$1),"entrada","saída"))</f>
        <v>saída</v>
      </c>
      <c r="T1919" s="511" t="s">
        <v>114</v>
      </c>
      <c r="U1919" s="511" t="s">
        <v>114</v>
      </c>
      <c r="V1919" s="541"/>
    </row>
    <row r="1920" spans="1:22" ht="50.1" customHeight="1" x14ac:dyDescent="0.2">
      <c r="A1920" s="619">
        <f>IF(B1920="","",COUNT('Diário 5º PA'!$A$5:$A$2634)+COUNT('Diário 6º PA'!$A$5:$A$2246)+COUNT('Diário 7º PA'!$A$5:$A$2271)+ROW()-4)</f>
        <v>5866</v>
      </c>
      <c r="B1920" s="620">
        <v>44550</v>
      </c>
      <c r="C1920" s="628">
        <v>44531</v>
      </c>
      <c r="D1920" s="548" t="s">
        <v>99</v>
      </c>
      <c r="E1920" s="548" t="s">
        <v>272</v>
      </c>
      <c r="F1920" s="622">
        <v>10.45</v>
      </c>
      <c r="G1920" s="623" t="s">
        <v>6485</v>
      </c>
      <c r="H1920" s="548" t="s">
        <v>114</v>
      </c>
      <c r="I1920" s="583" t="s">
        <v>949</v>
      </c>
      <c r="J1920" s="548" t="s">
        <v>950</v>
      </c>
      <c r="K1920" s="583" t="s">
        <v>951</v>
      </c>
      <c r="L1920" s="583" t="s">
        <v>947</v>
      </c>
      <c r="M1920" s="625" t="s">
        <v>114</v>
      </c>
      <c r="N1920" s="620">
        <v>44550</v>
      </c>
      <c r="O1920" s="684" t="s">
        <v>67</v>
      </c>
      <c r="P1920" s="503">
        <f t="shared" si="143"/>
        <v>12</v>
      </c>
      <c r="Q1920" s="503">
        <f t="shared" si="144"/>
        <v>12</v>
      </c>
      <c r="R1920" s="504" t="str">
        <f t="shared" si="145"/>
        <v>Gastos_Gerais</v>
      </c>
      <c r="S1920" s="504" t="str">
        <f>IF(D1920="","",IF(OR(D1920=Plano!$A$1,D1920=Plano!$B$1),"entrada","saída"))</f>
        <v>saída</v>
      </c>
      <c r="T1920" s="511" t="s">
        <v>114</v>
      </c>
      <c r="U1920" s="511" t="s">
        <v>114</v>
      </c>
      <c r="V1920" s="541"/>
    </row>
    <row r="1921" spans="1:22" ht="50.1" customHeight="1" x14ac:dyDescent="0.2">
      <c r="A1921" s="619">
        <f>IF(B1921="","",COUNT('Diário 5º PA'!$A$5:$A$2634)+COUNT('Diário 6º PA'!$A$5:$A$2246)+COUNT('Diário 7º PA'!$A$5:$A$2271)+ROW()-4)</f>
        <v>5867</v>
      </c>
      <c r="B1921" s="620">
        <v>44550</v>
      </c>
      <c r="C1921" s="628">
        <v>44531</v>
      </c>
      <c r="D1921" s="548" t="s">
        <v>99</v>
      </c>
      <c r="E1921" s="548" t="s">
        <v>272</v>
      </c>
      <c r="F1921" s="622">
        <v>10.45</v>
      </c>
      <c r="G1921" s="623" t="s">
        <v>6500</v>
      </c>
      <c r="H1921" s="548" t="s">
        <v>114</v>
      </c>
      <c r="I1921" s="583" t="s">
        <v>949</v>
      </c>
      <c r="J1921" s="548" t="s">
        <v>950</v>
      </c>
      <c r="K1921" s="583" t="s">
        <v>951</v>
      </c>
      <c r="L1921" s="583" t="s">
        <v>947</v>
      </c>
      <c r="M1921" s="625" t="s">
        <v>114</v>
      </c>
      <c r="N1921" s="620">
        <v>44550</v>
      </c>
      <c r="O1921" s="684" t="s">
        <v>67</v>
      </c>
      <c r="P1921" s="503">
        <f t="shared" si="143"/>
        <v>12</v>
      </c>
      <c r="Q1921" s="503">
        <f t="shared" si="144"/>
        <v>12</v>
      </c>
      <c r="R1921" s="504" t="str">
        <f t="shared" si="145"/>
        <v>Gastos_Gerais</v>
      </c>
      <c r="S1921" s="504" t="str">
        <f>IF(D1921="","",IF(OR(D1921=Plano!$A$1,D1921=Plano!$B$1),"entrada","saída"))</f>
        <v>saída</v>
      </c>
      <c r="T1921" s="511" t="s">
        <v>114</v>
      </c>
      <c r="U1921" s="511" t="s">
        <v>114</v>
      </c>
      <c r="V1921" s="541"/>
    </row>
    <row r="1922" spans="1:22" ht="50.1" customHeight="1" x14ac:dyDescent="0.2">
      <c r="A1922" s="619">
        <f>IF(B1922="","",COUNT('Diário 5º PA'!$A$5:$A$2634)+COUNT('Diário 6º PA'!$A$5:$A$2246)+COUNT('Diário 7º PA'!$A$5:$A$2271)+ROW()-4)</f>
        <v>5868</v>
      </c>
      <c r="B1922" s="620">
        <v>44550</v>
      </c>
      <c r="C1922" s="628">
        <v>44531</v>
      </c>
      <c r="D1922" s="548" t="s">
        <v>99</v>
      </c>
      <c r="E1922" s="548" t="s">
        <v>272</v>
      </c>
      <c r="F1922" s="622">
        <v>10.45</v>
      </c>
      <c r="G1922" s="623" t="s">
        <v>6501</v>
      </c>
      <c r="H1922" s="548" t="s">
        <v>114</v>
      </c>
      <c r="I1922" s="583" t="s">
        <v>949</v>
      </c>
      <c r="J1922" s="548" t="s">
        <v>950</v>
      </c>
      <c r="K1922" s="583" t="s">
        <v>951</v>
      </c>
      <c r="L1922" s="583" t="s">
        <v>947</v>
      </c>
      <c r="M1922" s="625" t="s">
        <v>114</v>
      </c>
      <c r="N1922" s="620">
        <v>44550</v>
      </c>
      <c r="O1922" s="684" t="s">
        <v>67</v>
      </c>
      <c r="P1922" s="503">
        <f t="shared" si="143"/>
        <v>12</v>
      </c>
      <c r="Q1922" s="503">
        <f t="shared" si="144"/>
        <v>12</v>
      </c>
      <c r="R1922" s="504" t="str">
        <f t="shared" si="145"/>
        <v>Gastos_Gerais</v>
      </c>
      <c r="S1922" s="504" t="str">
        <f>IF(D1922="","",IF(OR(D1922=Plano!$A$1,D1922=Plano!$B$1),"entrada","saída"))</f>
        <v>saída</v>
      </c>
      <c r="T1922" s="511" t="s">
        <v>114</v>
      </c>
      <c r="U1922" s="511" t="s">
        <v>114</v>
      </c>
      <c r="V1922" s="541"/>
    </row>
    <row r="1923" spans="1:22" ht="50.1" customHeight="1" x14ac:dyDescent="0.2">
      <c r="A1923" s="619">
        <f>IF(B1923="","",COUNT('Diário 5º PA'!$A$5:$A$2634)+COUNT('Diário 6º PA'!$A$5:$A$2246)+COUNT('Diário 7º PA'!$A$5:$A$2271)+ROW()-4)</f>
        <v>5869</v>
      </c>
      <c r="B1923" s="620">
        <v>44550</v>
      </c>
      <c r="C1923" s="628">
        <v>44531</v>
      </c>
      <c r="D1923" s="548" t="s">
        <v>99</v>
      </c>
      <c r="E1923" s="548" t="s">
        <v>272</v>
      </c>
      <c r="F1923" s="622">
        <v>10.45</v>
      </c>
      <c r="G1923" s="623" t="s">
        <v>6489</v>
      </c>
      <c r="H1923" s="548" t="s">
        <v>114</v>
      </c>
      <c r="I1923" s="583" t="s">
        <v>949</v>
      </c>
      <c r="J1923" s="548" t="s">
        <v>950</v>
      </c>
      <c r="K1923" s="583" t="s">
        <v>951</v>
      </c>
      <c r="L1923" s="583" t="s">
        <v>947</v>
      </c>
      <c r="M1923" s="625" t="s">
        <v>114</v>
      </c>
      <c r="N1923" s="620">
        <v>44550</v>
      </c>
      <c r="O1923" s="684" t="s">
        <v>67</v>
      </c>
      <c r="P1923" s="503">
        <f t="shared" ref="P1923:P2004" si="146">IF(B1923=0,0,IF(YEAR(B1923)=$Q$1,MONTH(B1923)-$P$1+1,(YEAR(B1923)-$Q$1)*12-$P$1+1+MONTH(B1923)))</f>
        <v>12</v>
      </c>
      <c r="Q1923" s="503">
        <f t="shared" ref="Q1923:Q2004" si="147">IF(C1923=0,0,IF(YEAR(C1923)=$Q$1,MONTH(C1923)-$P$1+1,(YEAR(C1923)-$Q$1)*12-$P$1+1+MONTH(C1923)))</f>
        <v>12</v>
      </c>
      <c r="R1923" s="504" t="str">
        <f t="shared" ref="R1923:R2004" si="148">SUBSTITUTE(D1923," ","_")</f>
        <v>Gastos_Gerais</v>
      </c>
      <c r="S1923" s="504" t="str">
        <f>IF(D1923="","",IF(OR(D1923=Plano!$A$1,D1923=Plano!$B$1),"entrada","saída"))</f>
        <v>saída</v>
      </c>
      <c r="T1923" s="511" t="s">
        <v>114</v>
      </c>
      <c r="U1923" s="511" t="s">
        <v>114</v>
      </c>
      <c r="V1923" s="541"/>
    </row>
    <row r="1924" spans="1:22" ht="50.1" customHeight="1" x14ac:dyDescent="0.2">
      <c r="A1924" s="619">
        <f>IF(B1924="","",COUNT('Diário 5º PA'!$A$5:$A$2634)+COUNT('Diário 6º PA'!$A$5:$A$2246)+COUNT('Diário 7º PA'!$A$5:$A$2271)+ROW()-4)</f>
        <v>5870</v>
      </c>
      <c r="B1924" s="620">
        <v>44550</v>
      </c>
      <c r="C1924" s="628">
        <v>44531</v>
      </c>
      <c r="D1924" s="548" t="s">
        <v>99</v>
      </c>
      <c r="E1924" s="548" t="s">
        <v>272</v>
      </c>
      <c r="F1924" s="622">
        <v>10.45</v>
      </c>
      <c r="G1924" s="623" t="s">
        <v>6501</v>
      </c>
      <c r="H1924" s="548" t="s">
        <v>114</v>
      </c>
      <c r="I1924" s="583" t="s">
        <v>949</v>
      </c>
      <c r="J1924" s="548" t="s">
        <v>950</v>
      </c>
      <c r="K1924" s="583" t="s">
        <v>951</v>
      </c>
      <c r="L1924" s="583" t="s">
        <v>947</v>
      </c>
      <c r="M1924" s="625" t="s">
        <v>114</v>
      </c>
      <c r="N1924" s="620">
        <v>44550</v>
      </c>
      <c r="O1924" s="684" t="s">
        <v>67</v>
      </c>
      <c r="P1924" s="503">
        <f t="shared" si="146"/>
        <v>12</v>
      </c>
      <c r="Q1924" s="503">
        <f t="shared" si="147"/>
        <v>12</v>
      </c>
      <c r="R1924" s="504" t="str">
        <f t="shared" si="148"/>
        <v>Gastos_Gerais</v>
      </c>
      <c r="S1924" s="504" t="str">
        <f>IF(D1924="","",IF(OR(D1924=Plano!$A$1,D1924=Plano!$B$1),"entrada","saída"))</f>
        <v>saída</v>
      </c>
      <c r="T1924" s="511" t="s">
        <v>114</v>
      </c>
      <c r="U1924" s="511" t="s">
        <v>114</v>
      </c>
      <c r="V1924" s="541"/>
    </row>
    <row r="1925" spans="1:22" ht="50.1" customHeight="1" x14ac:dyDescent="0.2">
      <c r="A1925" s="619">
        <f>IF(B1925="","",COUNT('Diário 5º PA'!$A$5:$A$2634)+COUNT('Diário 6º PA'!$A$5:$A$2246)+COUNT('Diário 7º PA'!$A$5:$A$2271)+ROW()-4)</f>
        <v>5871</v>
      </c>
      <c r="B1925" s="620">
        <v>44550</v>
      </c>
      <c r="C1925" s="628">
        <v>44531</v>
      </c>
      <c r="D1925" s="548" t="s">
        <v>99</v>
      </c>
      <c r="E1925" s="548" t="s">
        <v>272</v>
      </c>
      <c r="F1925" s="622">
        <v>10.45</v>
      </c>
      <c r="G1925" s="623" t="s">
        <v>6487</v>
      </c>
      <c r="H1925" s="548" t="s">
        <v>114</v>
      </c>
      <c r="I1925" s="583" t="s">
        <v>949</v>
      </c>
      <c r="J1925" s="548" t="s">
        <v>950</v>
      </c>
      <c r="K1925" s="583" t="s">
        <v>951</v>
      </c>
      <c r="L1925" s="583" t="s">
        <v>947</v>
      </c>
      <c r="M1925" s="625" t="s">
        <v>114</v>
      </c>
      <c r="N1925" s="620">
        <v>44550</v>
      </c>
      <c r="O1925" s="684" t="s">
        <v>67</v>
      </c>
      <c r="P1925" s="503">
        <f t="shared" si="146"/>
        <v>12</v>
      </c>
      <c r="Q1925" s="503">
        <f t="shared" si="147"/>
        <v>12</v>
      </c>
      <c r="R1925" s="504" t="str">
        <f t="shared" si="148"/>
        <v>Gastos_Gerais</v>
      </c>
      <c r="S1925" s="504" t="str">
        <f>IF(D1925="","",IF(OR(D1925=Plano!$A$1,D1925=Plano!$B$1),"entrada","saída"))</f>
        <v>saída</v>
      </c>
      <c r="T1925" s="511" t="s">
        <v>114</v>
      </c>
      <c r="U1925" s="511" t="s">
        <v>114</v>
      </c>
      <c r="V1925" s="541"/>
    </row>
    <row r="1926" spans="1:22" ht="50.1" customHeight="1" x14ac:dyDescent="0.2">
      <c r="A1926" s="619">
        <f>IF(B1926="","",COUNT('Diário 5º PA'!$A$5:$A$2634)+COUNT('Diário 6º PA'!$A$5:$A$2246)+COUNT('Diário 7º PA'!$A$5:$A$2271)+ROW()-4)</f>
        <v>5872</v>
      </c>
      <c r="B1926" s="620">
        <v>44550</v>
      </c>
      <c r="C1926" s="628">
        <v>44531</v>
      </c>
      <c r="D1926" s="548" t="s">
        <v>99</v>
      </c>
      <c r="E1926" s="548" t="s">
        <v>272</v>
      </c>
      <c r="F1926" s="622">
        <v>10.45</v>
      </c>
      <c r="G1926" s="623" t="s">
        <v>6077</v>
      </c>
      <c r="H1926" s="548" t="s">
        <v>114</v>
      </c>
      <c r="I1926" s="583" t="s">
        <v>949</v>
      </c>
      <c r="J1926" s="548" t="s">
        <v>950</v>
      </c>
      <c r="K1926" s="583" t="s">
        <v>951</v>
      </c>
      <c r="L1926" s="583" t="s">
        <v>947</v>
      </c>
      <c r="M1926" s="625" t="s">
        <v>114</v>
      </c>
      <c r="N1926" s="620">
        <v>44550</v>
      </c>
      <c r="O1926" s="684" t="s">
        <v>67</v>
      </c>
      <c r="P1926" s="503">
        <f t="shared" si="146"/>
        <v>12</v>
      </c>
      <c r="Q1926" s="503">
        <f t="shared" si="147"/>
        <v>12</v>
      </c>
      <c r="R1926" s="504" t="str">
        <f t="shared" si="148"/>
        <v>Gastos_Gerais</v>
      </c>
      <c r="S1926" s="504" t="str">
        <f>IF(D1926="","",IF(OR(D1926=Plano!$A$1,D1926=Plano!$B$1),"entrada","saída"))</f>
        <v>saída</v>
      </c>
      <c r="T1926" s="511" t="s">
        <v>114</v>
      </c>
      <c r="U1926" s="511" t="s">
        <v>114</v>
      </c>
      <c r="V1926" s="541"/>
    </row>
    <row r="1927" spans="1:22" ht="50.1" customHeight="1" x14ac:dyDescent="0.2">
      <c r="A1927" s="619">
        <f>IF(B1927="","",COUNT('Diário 5º PA'!$A$5:$A$2634)+COUNT('Diário 6º PA'!$A$5:$A$2246)+COUNT('Diário 7º PA'!$A$5:$A$2271)+ROW()-4)</f>
        <v>5873</v>
      </c>
      <c r="B1927" s="620">
        <v>44550</v>
      </c>
      <c r="C1927" s="628">
        <v>44531</v>
      </c>
      <c r="D1927" s="548" t="s">
        <v>99</v>
      </c>
      <c r="E1927" s="548" t="s">
        <v>272</v>
      </c>
      <c r="F1927" s="622">
        <v>10.45</v>
      </c>
      <c r="G1927" s="623" t="s">
        <v>6502</v>
      </c>
      <c r="H1927" s="548" t="s">
        <v>114</v>
      </c>
      <c r="I1927" s="583" t="s">
        <v>949</v>
      </c>
      <c r="J1927" s="548" t="s">
        <v>950</v>
      </c>
      <c r="K1927" s="583" t="s">
        <v>951</v>
      </c>
      <c r="L1927" s="583" t="s">
        <v>947</v>
      </c>
      <c r="M1927" s="625" t="s">
        <v>114</v>
      </c>
      <c r="N1927" s="620">
        <v>44550</v>
      </c>
      <c r="O1927" s="684" t="s">
        <v>67</v>
      </c>
      <c r="P1927" s="503">
        <f t="shared" si="146"/>
        <v>12</v>
      </c>
      <c r="Q1927" s="503">
        <f t="shared" si="147"/>
        <v>12</v>
      </c>
      <c r="R1927" s="504" t="str">
        <f t="shared" si="148"/>
        <v>Gastos_Gerais</v>
      </c>
      <c r="S1927" s="504" t="str">
        <f>IF(D1927="","",IF(OR(D1927=Plano!$A$1,D1927=Plano!$B$1),"entrada","saída"))</f>
        <v>saída</v>
      </c>
      <c r="T1927" s="511" t="s">
        <v>114</v>
      </c>
      <c r="U1927" s="511" t="s">
        <v>114</v>
      </c>
      <c r="V1927" s="541"/>
    </row>
    <row r="1928" spans="1:22" ht="50.1" customHeight="1" x14ac:dyDescent="0.2">
      <c r="A1928" s="619">
        <f>IF(B1928="","",COUNT('Diário 5º PA'!$A$5:$A$2634)+COUNT('Diário 6º PA'!$A$5:$A$2246)+COUNT('Diário 7º PA'!$A$5:$A$2271)+ROW()-4)</f>
        <v>5874</v>
      </c>
      <c r="B1928" s="620">
        <v>44550</v>
      </c>
      <c r="C1928" s="628">
        <v>44531</v>
      </c>
      <c r="D1928" s="548" t="s">
        <v>99</v>
      </c>
      <c r="E1928" s="548" t="s">
        <v>272</v>
      </c>
      <c r="F1928" s="622">
        <v>10.45</v>
      </c>
      <c r="G1928" s="623" t="s">
        <v>6503</v>
      </c>
      <c r="H1928" s="548" t="s">
        <v>114</v>
      </c>
      <c r="I1928" s="583" t="s">
        <v>949</v>
      </c>
      <c r="J1928" s="548" t="s">
        <v>950</v>
      </c>
      <c r="K1928" s="583" t="s">
        <v>951</v>
      </c>
      <c r="L1928" s="583" t="s">
        <v>947</v>
      </c>
      <c r="M1928" s="625" t="s">
        <v>114</v>
      </c>
      <c r="N1928" s="620">
        <v>44550</v>
      </c>
      <c r="O1928" s="684" t="s">
        <v>67</v>
      </c>
      <c r="P1928" s="503">
        <f t="shared" si="146"/>
        <v>12</v>
      </c>
      <c r="Q1928" s="503">
        <f t="shared" si="147"/>
        <v>12</v>
      </c>
      <c r="R1928" s="504" t="str">
        <f t="shared" si="148"/>
        <v>Gastos_Gerais</v>
      </c>
      <c r="S1928" s="504" t="str">
        <f>IF(D1928="","",IF(OR(D1928=Plano!$A$1,D1928=Plano!$B$1),"entrada","saída"))</f>
        <v>saída</v>
      </c>
      <c r="T1928" s="511" t="s">
        <v>114</v>
      </c>
      <c r="U1928" s="511" t="s">
        <v>114</v>
      </c>
      <c r="V1928" s="541"/>
    </row>
    <row r="1929" spans="1:22" ht="50.1" customHeight="1" x14ac:dyDescent="0.2">
      <c r="A1929" s="619">
        <f>IF(B1929="","",COUNT('Diário 5º PA'!$A$5:$A$2634)+COUNT('Diário 6º PA'!$A$5:$A$2246)+COUNT('Diário 7º PA'!$A$5:$A$2271)+ROW()-4)</f>
        <v>5875</v>
      </c>
      <c r="B1929" s="620">
        <v>44550</v>
      </c>
      <c r="C1929" s="628">
        <v>44531</v>
      </c>
      <c r="D1929" s="548" t="s">
        <v>99</v>
      </c>
      <c r="E1929" s="548" t="s">
        <v>272</v>
      </c>
      <c r="F1929" s="622">
        <v>10.45</v>
      </c>
      <c r="G1929" s="623" t="s">
        <v>6504</v>
      </c>
      <c r="H1929" s="548" t="s">
        <v>114</v>
      </c>
      <c r="I1929" s="583" t="s">
        <v>949</v>
      </c>
      <c r="J1929" s="548" t="s">
        <v>950</v>
      </c>
      <c r="K1929" s="583" t="s">
        <v>951</v>
      </c>
      <c r="L1929" s="583" t="s">
        <v>947</v>
      </c>
      <c r="M1929" s="625" t="s">
        <v>114</v>
      </c>
      <c r="N1929" s="620">
        <v>44550</v>
      </c>
      <c r="O1929" s="684" t="s">
        <v>67</v>
      </c>
      <c r="P1929" s="503">
        <f t="shared" si="146"/>
        <v>12</v>
      </c>
      <c r="Q1929" s="503">
        <f t="shared" si="147"/>
        <v>12</v>
      </c>
      <c r="R1929" s="504" t="str">
        <f t="shared" si="148"/>
        <v>Gastos_Gerais</v>
      </c>
      <c r="S1929" s="504" t="str">
        <f>IF(D1929="","",IF(OR(D1929=Plano!$A$1,D1929=Plano!$B$1),"entrada","saída"))</f>
        <v>saída</v>
      </c>
      <c r="T1929" s="511" t="s">
        <v>114</v>
      </c>
      <c r="U1929" s="511" t="s">
        <v>114</v>
      </c>
      <c r="V1929" s="541"/>
    </row>
    <row r="1930" spans="1:22" ht="50.1" customHeight="1" x14ac:dyDescent="0.2">
      <c r="A1930" s="619">
        <f>IF(B1930="","",COUNT('Diário 5º PA'!$A$5:$A$2634)+COUNT('Diário 6º PA'!$A$5:$A$2246)+COUNT('Diário 7º PA'!$A$5:$A$2271)+ROW()-4)</f>
        <v>5876</v>
      </c>
      <c r="B1930" s="620">
        <v>44550</v>
      </c>
      <c r="C1930" s="628">
        <v>44531</v>
      </c>
      <c r="D1930" s="548" t="s">
        <v>99</v>
      </c>
      <c r="E1930" s="548" t="s">
        <v>272</v>
      </c>
      <c r="F1930" s="622">
        <v>10.45</v>
      </c>
      <c r="G1930" s="623" t="s">
        <v>6483</v>
      </c>
      <c r="H1930" s="548" t="s">
        <v>114</v>
      </c>
      <c r="I1930" s="583" t="s">
        <v>949</v>
      </c>
      <c r="J1930" s="548" t="s">
        <v>950</v>
      </c>
      <c r="K1930" s="583" t="s">
        <v>951</v>
      </c>
      <c r="L1930" s="583" t="s">
        <v>947</v>
      </c>
      <c r="M1930" s="625" t="s">
        <v>114</v>
      </c>
      <c r="N1930" s="620">
        <v>44550</v>
      </c>
      <c r="O1930" s="684" t="s">
        <v>67</v>
      </c>
      <c r="P1930" s="503">
        <f t="shared" si="146"/>
        <v>12</v>
      </c>
      <c r="Q1930" s="503">
        <f t="shared" si="147"/>
        <v>12</v>
      </c>
      <c r="R1930" s="504" t="str">
        <f t="shared" si="148"/>
        <v>Gastos_Gerais</v>
      </c>
      <c r="S1930" s="504" t="str">
        <f>IF(D1930="","",IF(OR(D1930=Plano!$A$1,D1930=Plano!$B$1),"entrada","saída"))</f>
        <v>saída</v>
      </c>
      <c r="T1930" s="511" t="s">
        <v>114</v>
      </c>
      <c r="U1930" s="511" t="s">
        <v>114</v>
      </c>
      <c r="V1930" s="541"/>
    </row>
    <row r="1931" spans="1:22" ht="50.1" customHeight="1" x14ac:dyDescent="0.2">
      <c r="A1931" s="619">
        <f>IF(B1931="","",COUNT('Diário 5º PA'!$A$5:$A$2634)+COUNT('Diário 6º PA'!$A$5:$A$2246)+COUNT('Diário 7º PA'!$A$5:$A$2271)+ROW()-4)</f>
        <v>5877</v>
      </c>
      <c r="B1931" s="620">
        <v>44550</v>
      </c>
      <c r="C1931" s="628">
        <v>44531</v>
      </c>
      <c r="D1931" s="548" t="s">
        <v>99</v>
      </c>
      <c r="E1931" s="548" t="s">
        <v>272</v>
      </c>
      <c r="F1931" s="622">
        <v>10.45</v>
      </c>
      <c r="G1931" s="623" t="s">
        <v>6482</v>
      </c>
      <c r="H1931" s="548" t="s">
        <v>114</v>
      </c>
      <c r="I1931" s="583" t="s">
        <v>949</v>
      </c>
      <c r="J1931" s="548" t="s">
        <v>950</v>
      </c>
      <c r="K1931" s="583" t="s">
        <v>951</v>
      </c>
      <c r="L1931" s="583" t="s">
        <v>947</v>
      </c>
      <c r="M1931" s="625" t="s">
        <v>114</v>
      </c>
      <c r="N1931" s="620">
        <v>44550</v>
      </c>
      <c r="O1931" s="684" t="s">
        <v>67</v>
      </c>
      <c r="P1931" s="503">
        <f t="shared" si="146"/>
        <v>12</v>
      </c>
      <c r="Q1931" s="503">
        <f t="shared" si="147"/>
        <v>12</v>
      </c>
      <c r="R1931" s="504" t="str">
        <f t="shared" si="148"/>
        <v>Gastos_Gerais</v>
      </c>
      <c r="S1931" s="504" t="str">
        <f>IF(D1931="","",IF(OR(D1931=Plano!$A$1,D1931=Plano!$B$1),"entrada","saída"))</f>
        <v>saída</v>
      </c>
      <c r="T1931" s="511" t="s">
        <v>114</v>
      </c>
      <c r="U1931" s="511" t="s">
        <v>114</v>
      </c>
      <c r="V1931" s="541"/>
    </row>
    <row r="1932" spans="1:22" ht="50.1" customHeight="1" x14ac:dyDescent="0.2">
      <c r="A1932" s="619">
        <f>IF(B1932="","",COUNT('Diário 5º PA'!$A$5:$A$2634)+COUNT('Diário 6º PA'!$A$5:$A$2246)+COUNT('Diário 7º PA'!$A$5:$A$2271)+ROW()-4)</f>
        <v>5878</v>
      </c>
      <c r="B1932" s="620">
        <v>44550</v>
      </c>
      <c r="C1932" s="628">
        <v>44531</v>
      </c>
      <c r="D1932" s="548" t="s">
        <v>99</v>
      </c>
      <c r="E1932" s="548" t="s">
        <v>272</v>
      </c>
      <c r="F1932" s="622">
        <v>10.45</v>
      </c>
      <c r="G1932" s="623" t="s">
        <v>6482</v>
      </c>
      <c r="H1932" s="548" t="s">
        <v>114</v>
      </c>
      <c r="I1932" s="583" t="s">
        <v>949</v>
      </c>
      <c r="J1932" s="548" t="s">
        <v>950</v>
      </c>
      <c r="K1932" s="583" t="s">
        <v>951</v>
      </c>
      <c r="L1932" s="583" t="s">
        <v>947</v>
      </c>
      <c r="M1932" s="625" t="s">
        <v>114</v>
      </c>
      <c r="N1932" s="620">
        <v>44550</v>
      </c>
      <c r="O1932" s="684" t="s">
        <v>67</v>
      </c>
      <c r="P1932" s="503">
        <f t="shared" si="146"/>
        <v>12</v>
      </c>
      <c r="Q1932" s="503">
        <f t="shared" si="147"/>
        <v>12</v>
      </c>
      <c r="R1932" s="504" t="str">
        <f t="shared" si="148"/>
        <v>Gastos_Gerais</v>
      </c>
      <c r="S1932" s="504" t="str">
        <f>IF(D1932="","",IF(OR(D1932=Plano!$A$1,D1932=Plano!$B$1),"entrada","saída"))</f>
        <v>saída</v>
      </c>
      <c r="T1932" s="511" t="s">
        <v>114</v>
      </c>
      <c r="U1932" s="511" t="s">
        <v>114</v>
      </c>
      <c r="V1932" s="541"/>
    </row>
    <row r="1933" spans="1:22" s="568" customFormat="1" ht="50.1" customHeight="1" x14ac:dyDescent="0.2">
      <c r="A1933" s="619">
        <f>IF(B1933="","",COUNT('Diário 5º PA'!$A$5:$A$2634)+COUNT('Diário 6º PA'!$A$5:$A$2246)+COUNT('Diário 7º PA'!$A$5:$A$2271)+ROW()-4)</f>
        <v>5879</v>
      </c>
      <c r="B1933" s="620">
        <v>44550</v>
      </c>
      <c r="C1933" s="645">
        <v>44470</v>
      </c>
      <c r="D1933" s="646" t="s">
        <v>104</v>
      </c>
      <c r="E1933" s="646" t="s">
        <v>104</v>
      </c>
      <c r="F1933" s="647">
        <v>775</v>
      </c>
      <c r="G1933" s="648" t="s">
        <v>7419</v>
      </c>
      <c r="H1933" s="646" t="s">
        <v>104</v>
      </c>
      <c r="I1933" s="583" t="s">
        <v>983</v>
      </c>
      <c r="J1933" s="548" t="s">
        <v>850</v>
      </c>
      <c r="K1933" s="583" t="s">
        <v>946</v>
      </c>
      <c r="L1933" s="583" t="s">
        <v>947</v>
      </c>
      <c r="M1933" s="625" t="s">
        <v>114</v>
      </c>
      <c r="N1933" s="620">
        <v>44550</v>
      </c>
      <c r="O1933" s="684" t="s">
        <v>68</v>
      </c>
      <c r="P1933" s="503">
        <f t="shared" si="146"/>
        <v>12</v>
      </c>
      <c r="Q1933" s="503">
        <f t="shared" si="147"/>
        <v>10</v>
      </c>
      <c r="R1933" s="504" t="str">
        <f t="shared" si="148"/>
        <v>Gastos_custeados_por_captação</v>
      </c>
      <c r="S1933" s="504" t="str">
        <f>IF(D1933="","",IF(OR(D1933=Plano!$A$1,D1933=Plano!$B$1),"entrada","saída"))</f>
        <v>saída</v>
      </c>
      <c r="T1933" s="511" t="s">
        <v>114</v>
      </c>
      <c r="U1933" s="511" t="s">
        <v>114</v>
      </c>
      <c r="V1933" s="541"/>
    </row>
    <row r="1934" spans="1:22" s="568" customFormat="1" ht="50.1" customHeight="1" x14ac:dyDescent="0.2">
      <c r="A1934" s="619">
        <f>IF(B1934="","",COUNT('Diário 5º PA'!$A$5:$A$2634)+COUNT('Diário 6º PA'!$A$5:$A$2246)+COUNT('Diário 7º PA'!$A$5:$A$2271)+ROW()-4)</f>
        <v>5880</v>
      </c>
      <c r="B1934" s="644">
        <v>44550</v>
      </c>
      <c r="C1934" s="650">
        <v>44470</v>
      </c>
      <c r="D1934" s="651" t="s">
        <v>104</v>
      </c>
      <c r="E1934" s="651" t="s">
        <v>104</v>
      </c>
      <c r="F1934" s="641">
        <v>24.08</v>
      </c>
      <c r="G1934" s="639" t="s">
        <v>7181</v>
      </c>
      <c r="H1934" s="651" t="s">
        <v>104</v>
      </c>
      <c r="I1934" s="640" t="s">
        <v>488</v>
      </c>
      <c r="J1934" s="651" t="s">
        <v>114</v>
      </c>
      <c r="K1934" s="640" t="s">
        <v>466</v>
      </c>
      <c r="L1934" s="640" t="s">
        <v>489</v>
      </c>
      <c r="M1934" s="652" t="s">
        <v>114</v>
      </c>
      <c r="N1934" s="644">
        <v>44550</v>
      </c>
      <c r="O1934" s="685" t="s">
        <v>68</v>
      </c>
      <c r="P1934" s="503">
        <f t="shared" si="146"/>
        <v>12</v>
      </c>
      <c r="Q1934" s="503">
        <f t="shared" si="147"/>
        <v>10</v>
      </c>
      <c r="R1934" s="504" t="str">
        <f t="shared" si="148"/>
        <v>Gastos_custeados_por_captação</v>
      </c>
      <c r="S1934" s="504" t="str">
        <f>IF(D1934="","",IF(OR(D1934=Plano!$A$1,D1934=Plano!$B$1),"entrada","saída"))</f>
        <v>saída</v>
      </c>
      <c r="T1934" s="566" t="s">
        <v>114</v>
      </c>
      <c r="U1934" s="566" t="s">
        <v>114</v>
      </c>
      <c r="V1934" s="541"/>
    </row>
    <row r="1935" spans="1:22" s="569" customFormat="1" ht="50.1" customHeight="1" x14ac:dyDescent="0.2">
      <c r="A1935" s="619">
        <f>IF(B1935="","",COUNT('Diário 5º PA'!$A$5:$A$2634)+COUNT('Diário 6º PA'!$A$5:$A$2246)+COUNT('Diário 7º PA'!$A$5:$A$2271)+ROW()-4)</f>
        <v>5881</v>
      </c>
      <c r="B1935" s="688">
        <v>44550</v>
      </c>
      <c r="C1935" s="645">
        <v>44470</v>
      </c>
      <c r="D1935" s="646" t="s">
        <v>104</v>
      </c>
      <c r="E1935" s="646" t="s">
        <v>104</v>
      </c>
      <c r="F1935" s="647">
        <v>775</v>
      </c>
      <c r="G1935" s="648" t="s">
        <v>7418</v>
      </c>
      <c r="H1935" s="646" t="s">
        <v>104</v>
      </c>
      <c r="I1935" s="583" t="s">
        <v>983</v>
      </c>
      <c r="J1935" s="548" t="s">
        <v>850</v>
      </c>
      <c r="K1935" s="583" t="s">
        <v>946</v>
      </c>
      <c r="L1935" s="583" t="s">
        <v>947</v>
      </c>
      <c r="M1935" s="689" t="s">
        <v>114</v>
      </c>
      <c r="N1935" s="620">
        <v>44550</v>
      </c>
      <c r="O1935" s="684" t="s">
        <v>71</v>
      </c>
      <c r="P1935" s="503">
        <f t="shared" si="146"/>
        <v>12</v>
      </c>
      <c r="Q1935" s="503">
        <f t="shared" si="147"/>
        <v>10</v>
      </c>
      <c r="R1935" s="504" t="str">
        <f t="shared" si="148"/>
        <v>Gastos_custeados_por_captação</v>
      </c>
      <c r="S1935" s="504" t="str">
        <f>IF(D1935="","",IF(OR(D1935=Plano!$A$1,D1935=Plano!$B$1),"entrada","saída"))</f>
        <v>saída</v>
      </c>
      <c r="T1935" s="566" t="s">
        <v>114</v>
      </c>
      <c r="U1935" s="566" t="s">
        <v>114</v>
      </c>
      <c r="V1935" s="541"/>
    </row>
    <row r="1936" spans="1:22" s="569" customFormat="1" ht="50.1" customHeight="1" x14ac:dyDescent="0.2">
      <c r="A1936" s="619">
        <f>IF(B1936="","",COUNT('Diário 5º PA'!$A$5:$A$2634)+COUNT('Diário 6º PA'!$A$5:$A$2246)+COUNT('Diário 7º PA'!$A$5:$A$2271)+ROW()-4)</f>
        <v>5882</v>
      </c>
      <c r="B1936" s="644">
        <v>44550</v>
      </c>
      <c r="C1936" s="645">
        <v>44470</v>
      </c>
      <c r="D1936" s="646" t="s">
        <v>104</v>
      </c>
      <c r="E1936" s="646" t="s">
        <v>104</v>
      </c>
      <c r="F1936" s="647">
        <v>395.25</v>
      </c>
      <c r="G1936" s="648" t="s">
        <v>7139</v>
      </c>
      <c r="H1936" s="646" t="s">
        <v>104</v>
      </c>
      <c r="I1936" s="627" t="s">
        <v>488</v>
      </c>
      <c r="J1936" s="646" t="s">
        <v>114</v>
      </c>
      <c r="K1936" s="627" t="s">
        <v>466</v>
      </c>
      <c r="L1936" s="627" t="s">
        <v>489</v>
      </c>
      <c r="M1936" s="652" t="s">
        <v>114</v>
      </c>
      <c r="N1936" s="644">
        <v>44550</v>
      </c>
      <c r="O1936" s="684" t="s">
        <v>71</v>
      </c>
      <c r="P1936" s="503">
        <f t="shared" si="146"/>
        <v>12</v>
      </c>
      <c r="Q1936" s="503">
        <f t="shared" si="147"/>
        <v>10</v>
      </c>
      <c r="R1936" s="504" t="str">
        <f t="shared" si="148"/>
        <v>Gastos_custeados_por_captação</v>
      </c>
      <c r="S1936" s="504" t="str">
        <f>IF(D1936="","",IF(OR(D1936=Plano!$A$1,D1936=Plano!$B$1),"entrada","saída"))</f>
        <v>saída</v>
      </c>
      <c r="T1936" s="566" t="s">
        <v>114</v>
      </c>
      <c r="U1936" s="566" t="s">
        <v>114</v>
      </c>
      <c r="V1936" s="541"/>
    </row>
    <row r="1937" spans="1:22" s="569" customFormat="1" ht="50.1" customHeight="1" x14ac:dyDescent="0.2">
      <c r="A1937" s="619">
        <f>IF(B1937="","",COUNT('Diário 5º PA'!$A$5:$A$2634)+COUNT('Diário 6º PA'!$A$5:$A$2246)+COUNT('Diário 7º PA'!$A$5:$A$2271)+ROW()-4)</f>
        <v>5883</v>
      </c>
      <c r="B1937" s="644">
        <v>44550</v>
      </c>
      <c r="C1937" s="645">
        <v>44470</v>
      </c>
      <c r="D1937" s="646" t="s">
        <v>104</v>
      </c>
      <c r="E1937" s="646" t="s">
        <v>104</v>
      </c>
      <c r="F1937" s="647">
        <v>24.08</v>
      </c>
      <c r="G1937" s="648" t="s">
        <v>7136</v>
      </c>
      <c r="H1937" s="646" t="s">
        <v>104</v>
      </c>
      <c r="I1937" s="627" t="s">
        <v>488</v>
      </c>
      <c r="J1937" s="646" t="s">
        <v>114</v>
      </c>
      <c r="K1937" s="627" t="s">
        <v>466</v>
      </c>
      <c r="L1937" s="627" t="s">
        <v>489</v>
      </c>
      <c r="M1937" s="652" t="s">
        <v>114</v>
      </c>
      <c r="N1937" s="644">
        <v>44550</v>
      </c>
      <c r="O1937" s="684" t="s">
        <v>71</v>
      </c>
      <c r="P1937" s="503">
        <f t="shared" si="146"/>
        <v>12</v>
      </c>
      <c r="Q1937" s="503">
        <f t="shared" si="147"/>
        <v>10</v>
      </c>
      <c r="R1937" s="504" t="str">
        <f t="shared" si="148"/>
        <v>Gastos_custeados_por_captação</v>
      </c>
      <c r="S1937" s="504" t="str">
        <f>IF(D1937="","",IF(OR(D1937=Plano!$A$1,D1937=Plano!$B$1),"entrada","saída"))</f>
        <v>saída</v>
      </c>
      <c r="T1937" s="566" t="s">
        <v>114</v>
      </c>
      <c r="U1937" s="566" t="s">
        <v>114</v>
      </c>
      <c r="V1937" s="541"/>
    </row>
    <row r="1938" spans="1:22" ht="77.25" customHeight="1" x14ac:dyDescent="0.2">
      <c r="A1938" s="619">
        <f>IF(B1938="","",COUNT('Diário 5º PA'!$A$5:$A$2634)+COUNT('Diário 6º PA'!$A$5:$A$2246)+COUNT('Diário 7º PA'!$A$5:$A$2271)+ROW()-4)</f>
        <v>5884</v>
      </c>
      <c r="B1938" s="620">
        <v>44551</v>
      </c>
      <c r="C1938" s="624">
        <v>44531</v>
      </c>
      <c r="D1938" s="548" t="s">
        <v>99</v>
      </c>
      <c r="E1938" s="548" t="s">
        <v>364</v>
      </c>
      <c r="F1938" s="622">
        <v>1032</v>
      </c>
      <c r="G1938" s="623" t="s">
        <v>6707</v>
      </c>
      <c r="H1938" s="548" t="s">
        <v>128</v>
      </c>
      <c r="I1938" s="583" t="s">
        <v>6845</v>
      </c>
      <c r="J1938" s="548" t="s">
        <v>6708</v>
      </c>
      <c r="K1938" s="583" t="s">
        <v>1015</v>
      </c>
      <c r="L1938" s="583" t="s">
        <v>1029</v>
      </c>
      <c r="M1938" s="619">
        <v>1505</v>
      </c>
      <c r="N1938" s="620">
        <v>44550</v>
      </c>
      <c r="O1938" s="684" t="s">
        <v>67</v>
      </c>
      <c r="P1938" s="503">
        <f t="shared" si="146"/>
        <v>12</v>
      </c>
      <c r="Q1938" s="503">
        <f t="shared" si="147"/>
        <v>12</v>
      </c>
      <c r="R1938" s="504" t="str">
        <f t="shared" si="148"/>
        <v>Gastos_Gerais</v>
      </c>
      <c r="S1938" s="504" t="str">
        <f>IF(D1938="","",IF(OR(D1938=Plano!$A$1,D1938=Plano!$B$1),"entrada","saída"))</f>
        <v>saída</v>
      </c>
      <c r="T1938" s="511" t="s">
        <v>994</v>
      </c>
      <c r="U1938" s="511">
        <v>2356</v>
      </c>
      <c r="V1938" s="541"/>
    </row>
    <row r="1939" spans="1:22" ht="76.5" customHeight="1" x14ac:dyDescent="0.2">
      <c r="A1939" s="619">
        <f>IF(B1939="","",COUNT('Diário 5º PA'!$A$5:$A$2634)+COUNT('Diário 6º PA'!$A$5:$A$2246)+COUNT('Diário 7º PA'!$A$5:$A$2271)+ROW()-4)</f>
        <v>5885</v>
      </c>
      <c r="B1939" s="620">
        <v>44551</v>
      </c>
      <c r="C1939" s="624">
        <v>44531</v>
      </c>
      <c r="D1939" s="548" t="s">
        <v>99</v>
      </c>
      <c r="E1939" s="548" t="s">
        <v>364</v>
      </c>
      <c r="F1939" s="622">
        <v>2375</v>
      </c>
      <c r="G1939" s="623" t="s">
        <v>6734</v>
      </c>
      <c r="H1939" s="548" t="s">
        <v>116</v>
      </c>
      <c r="I1939" s="583" t="s">
        <v>6848</v>
      </c>
      <c r="J1939" s="548" t="s">
        <v>6735</v>
      </c>
      <c r="K1939" s="583" t="s">
        <v>991</v>
      </c>
      <c r="L1939" s="583" t="s">
        <v>992</v>
      </c>
      <c r="M1939" s="619" t="s">
        <v>1305</v>
      </c>
      <c r="N1939" s="620">
        <v>44550</v>
      </c>
      <c r="O1939" s="684" t="s">
        <v>67</v>
      </c>
      <c r="P1939" s="503">
        <f t="shared" si="146"/>
        <v>12</v>
      </c>
      <c r="Q1939" s="503">
        <f t="shared" si="147"/>
        <v>12</v>
      </c>
      <c r="R1939" s="504" t="str">
        <f t="shared" si="148"/>
        <v>Gastos_Gerais</v>
      </c>
      <c r="S1939" s="504" t="str">
        <f>IF(D1939="","",IF(OR(D1939=Plano!$A$1,D1939=Plano!$B$1),"entrada","saída"))</f>
        <v>saída</v>
      </c>
      <c r="T1939" s="505" t="s">
        <v>994</v>
      </c>
      <c r="U1939" s="505">
        <v>2633</v>
      </c>
      <c r="V1939" s="541"/>
    </row>
    <row r="1940" spans="1:22" ht="126.75" customHeight="1" x14ac:dyDescent="0.2">
      <c r="A1940" s="619">
        <f>IF(B1940="","",COUNT('Diário 5º PA'!$A$5:$A$2634)+COUNT('Diário 6º PA'!$A$5:$A$2246)+COUNT('Diário 7º PA'!$A$5:$A$2271)+ROW()-4)</f>
        <v>5886</v>
      </c>
      <c r="B1940" s="620">
        <v>44551</v>
      </c>
      <c r="C1940" s="624">
        <v>44531</v>
      </c>
      <c r="D1940" s="548" t="s">
        <v>99</v>
      </c>
      <c r="E1940" s="548" t="s">
        <v>266</v>
      </c>
      <c r="F1940" s="622">
        <v>5051.34</v>
      </c>
      <c r="G1940" s="623" t="s">
        <v>5178</v>
      </c>
      <c r="H1940" s="548" t="s">
        <v>131</v>
      </c>
      <c r="I1940" s="583" t="s">
        <v>5916</v>
      </c>
      <c r="J1940" s="548" t="s">
        <v>587</v>
      </c>
      <c r="K1940" s="583" t="s">
        <v>991</v>
      </c>
      <c r="L1940" s="583" t="s">
        <v>992</v>
      </c>
      <c r="M1940" s="619" t="s">
        <v>1695</v>
      </c>
      <c r="N1940" s="620">
        <v>44550</v>
      </c>
      <c r="O1940" s="684" t="s">
        <v>67</v>
      </c>
      <c r="P1940" s="503">
        <f t="shared" si="146"/>
        <v>12</v>
      </c>
      <c r="Q1940" s="503">
        <f t="shared" si="147"/>
        <v>12</v>
      </c>
      <c r="R1940" s="504" t="str">
        <f t="shared" si="148"/>
        <v>Gastos_Gerais</v>
      </c>
      <c r="S1940" s="504" t="str">
        <f>IF(D1940="","",IF(OR(D1940=Plano!$A$1,D1940=Plano!$B$1),"entrada","saída"))</f>
        <v>saída</v>
      </c>
      <c r="T1940" s="505" t="s">
        <v>994</v>
      </c>
      <c r="U1940" s="505">
        <v>2083</v>
      </c>
      <c r="V1940" s="541"/>
    </row>
    <row r="1941" spans="1:22" ht="50.1" customHeight="1" x14ac:dyDescent="0.2">
      <c r="A1941" s="619">
        <f>IF(B1941="","",COUNT('Diário 5º PA'!$A$5:$A$2634)+COUNT('Diário 6º PA'!$A$5:$A$2246)+COUNT('Diário 7º PA'!$A$5:$A$2271)+ROW()-4)</f>
        <v>5887</v>
      </c>
      <c r="B1941" s="620">
        <v>44551</v>
      </c>
      <c r="C1941" s="621">
        <v>44531</v>
      </c>
      <c r="D1941" s="548" t="s">
        <v>99</v>
      </c>
      <c r="E1941" s="548" t="s">
        <v>272</v>
      </c>
      <c r="F1941" s="622">
        <v>10.45</v>
      </c>
      <c r="G1941" s="623" t="s">
        <v>6852</v>
      </c>
      <c r="H1941" s="548" t="s">
        <v>116</v>
      </c>
      <c r="I1941" s="583" t="s">
        <v>949</v>
      </c>
      <c r="J1941" s="548" t="s">
        <v>950</v>
      </c>
      <c r="K1941" s="583" t="s">
        <v>951</v>
      </c>
      <c r="L1941" s="583" t="s">
        <v>947</v>
      </c>
      <c r="M1941" s="625" t="s">
        <v>114</v>
      </c>
      <c r="N1941" s="620">
        <v>44551</v>
      </c>
      <c r="O1941" s="684" t="s">
        <v>67</v>
      </c>
      <c r="P1941" s="503">
        <f t="shared" si="146"/>
        <v>12</v>
      </c>
      <c r="Q1941" s="503">
        <f t="shared" si="147"/>
        <v>12</v>
      </c>
      <c r="R1941" s="504" t="str">
        <f t="shared" si="148"/>
        <v>Gastos_Gerais</v>
      </c>
      <c r="S1941" s="504" t="str">
        <f>IF(D1941="","",IF(OR(D1941=Plano!$A$1,D1941=Plano!$B$1),"entrada","saída"))</f>
        <v>saída</v>
      </c>
      <c r="T1941" s="511" t="s">
        <v>114</v>
      </c>
      <c r="U1941" s="511" t="s">
        <v>114</v>
      </c>
      <c r="V1941" s="541"/>
    </row>
    <row r="1942" spans="1:22" ht="50.1" customHeight="1" x14ac:dyDescent="0.2">
      <c r="A1942" s="619">
        <f>IF(B1942="","",COUNT('Diário 5º PA'!$A$5:$A$2634)+COUNT('Diário 6º PA'!$A$5:$A$2246)+COUNT('Diário 7º PA'!$A$5:$A$2271)+ROW()-4)</f>
        <v>5888</v>
      </c>
      <c r="B1942" s="620">
        <v>44551</v>
      </c>
      <c r="C1942" s="621">
        <v>44531</v>
      </c>
      <c r="D1942" s="548" t="s">
        <v>99</v>
      </c>
      <c r="E1942" s="548" t="s">
        <v>272</v>
      </c>
      <c r="F1942" s="622">
        <v>10.45</v>
      </c>
      <c r="G1942" s="623" t="s">
        <v>6853</v>
      </c>
      <c r="H1942" s="548" t="s">
        <v>131</v>
      </c>
      <c r="I1942" s="583" t="s">
        <v>949</v>
      </c>
      <c r="J1942" s="548" t="s">
        <v>950</v>
      </c>
      <c r="K1942" s="583" t="s">
        <v>951</v>
      </c>
      <c r="L1942" s="583" t="s">
        <v>947</v>
      </c>
      <c r="M1942" s="625" t="s">
        <v>114</v>
      </c>
      <c r="N1942" s="620">
        <v>44551</v>
      </c>
      <c r="O1942" s="684" t="s">
        <v>67</v>
      </c>
      <c r="P1942" s="503">
        <f t="shared" si="146"/>
        <v>12</v>
      </c>
      <c r="Q1942" s="503">
        <f t="shared" si="147"/>
        <v>12</v>
      </c>
      <c r="R1942" s="504" t="str">
        <f t="shared" si="148"/>
        <v>Gastos_Gerais</v>
      </c>
      <c r="S1942" s="504" t="str">
        <f>IF(D1942="","",IF(OR(D1942=Plano!$A$1,D1942=Plano!$B$1),"entrada","saída"))</f>
        <v>saída</v>
      </c>
      <c r="T1942" s="511" t="s">
        <v>114</v>
      </c>
      <c r="U1942" s="511" t="s">
        <v>114</v>
      </c>
      <c r="V1942" s="541"/>
    </row>
    <row r="1943" spans="1:22" s="558" customFormat="1" ht="50.1" customHeight="1" x14ac:dyDescent="0.2">
      <c r="A1943" s="619">
        <f>IF(B1943="","",COUNT('Diário 5º PA'!$A$5:$A$2634)+COUNT('Diário 6º PA'!$A$5:$A$2246)+COUNT('Diário 7º PA'!$A$5:$A$2271)+ROW()-4)</f>
        <v>5889</v>
      </c>
      <c r="B1943" s="620">
        <v>44551</v>
      </c>
      <c r="C1943" s="628">
        <v>44531</v>
      </c>
      <c r="D1943" s="548" t="s">
        <v>77</v>
      </c>
      <c r="E1943" s="548" t="s">
        <v>147</v>
      </c>
      <c r="F1943" s="622">
        <v>85000</v>
      </c>
      <c r="G1943" s="623" t="s">
        <v>7064</v>
      </c>
      <c r="H1943" s="548" t="s">
        <v>114</v>
      </c>
      <c r="I1943" s="583" t="s">
        <v>983</v>
      </c>
      <c r="J1943" s="548" t="s">
        <v>850</v>
      </c>
      <c r="K1943" s="583" t="s">
        <v>1015</v>
      </c>
      <c r="L1943" s="583" t="s">
        <v>1177</v>
      </c>
      <c r="M1943" s="619" t="s">
        <v>114</v>
      </c>
      <c r="N1943" s="620">
        <v>44551</v>
      </c>
      <c r="O1943" s="684" t="s">
        <v>5505</v>
      </c>
      <c r="P1943" s="503">
        <f t="shared" si="146"/>
        <v>12</v>
      </c>
      <c r="Q1943" s="503">
        <f t="shared" si="147"/>
        <v>12</v>
      </c>
      <c r="R1943" s="504" t="str">
        <f t="shared" si="148"/>
        <v>Receitas</v>
      </c>
      <c r="S1943" s="504" t="str">
        <f>IF(D1943="","",IF(OR(D1943=Plano!$A$1,D1943=Plano!$B$1),"entrada","saída"))</f>
        <v>entrada</v>
      </c>
      <c r="T1943" s="511" t="s">
        <v>114</v>
      </c>
      <c r="U1943" s="511" t="s">
        <v>114</v>
      </c>
      <c r="V1943" s="541"/>
    </row>
    <row r="1944" spans="1:22" s="558" customFormat="1" ht="50.1" customHeight="1" x14ac:dyDescent="0.2">
      <c r="A1944" s="619">
        <f>IF(B1944="","",COUNT('Diário 5º PA'!$A$5:$A$2634)+COUNT('Diário 6º PA'!$A$5:$A$2246)+COUNT('Diário 7º PA'!$A$5:$A$2271)+ROW()-4)</f>
        <v>5890</v>
      </c>
      <c r="B1944" s="620">
        <v>44551</v>
      </c>
      <c r="C1944" s="628">
        <v>44531</v>
      </c>
      <c r="D1944" s="548" t="s">
        <v>77</v>
      </c>
      <c r="E1944" s="548" t="s">
        <v>147</v>
      </c>
      <c r="F1944" s="622">
        <v>15000</v>
      </c>
      <c r="G1944" s="623" t="s">
        <v>7064</v>
      </c>
      <c r="H1944" s="548" t="s">
        <v>114</v>
      </c>
      <c r="I1944" s="583" t="s">
        <v>983</v>
      </c>
      <c r="J1944" s="548" t="s">
        <v>850</v>
      </c>
      <c r="K1944" s="583" t="s">
        <v>1015</v>
      </c>
      <c r="L1944" s="583" t="s">
        <v>1177</v>
      </c>
      <c r="M1944" s="619" t="s">
        <v>114</v>
      </c>
      <c r="N1944" s="620">
        <v>44551</v>
      </c>
      <c r="O1944" s="684" t="s">
        <v>5505</v>
      </c>
      <c r="P1944" s="503">
        <f t="shared" si="146"/>
        <v>12</v>
      </c>
      <c r="Q1944" s="503">
        <f t="shared" si="147"/>
        <v>12</v>
      </c>
      <c r="R1944" s="504" t="str">
        <f t="shared" si="148"/>
        <v>Receitas</v>
      </c>
      <c r="S1944" s="504" t="str">
        <f>IF(D1944="","",IF(OR(D1944=Plano!$A$1,D1944=Plano!$B$1),"entrada","saída"))</f>
        <v>entrada</v>
      </c>
      <c r="T1944" s="511" t="s">
        <v>114</v>
      </c>
      <c r="U1944" s="511" t="s">
        <v>114</v>
      </c>
      <c r="V1944" s="541"/>
    </row>
    <row r="1945" spans="1:22" ht="93.75" customHeight="1" x14ac:dyDescent="0.2">
      <c r="A1945" s="619">
        <f>IF(B1945="","",COUNT('Diário 5º PA'!$A$5:$A$2634)+COUNT('Diário 6º PA'!$A$5:$A$2246)+COUNT('Diário 7º PA'!$A$5:$A$2271)+ROW()-4)</f>
        <v>5891</v>
      </c>
      <c r="B1945" s="620">
        <v>44552</v>
      </c>
      <c r="C1945" s="624">
        <v>44531</v>
      </c>
      <c r="D1945" s="548" t="s">
        <v>99</v>
      </c>
      <c r="E1945" s="548" t="s">
        <v>358</v>
      </c>
      <c r="F1945" s="622">
        <v>4393.24</v>
      </c>
      <c r="G1945" s="623" t="s">
        <v>6564</v>
      </c>
      <c r="H1945" s="548" t="s">
        <v>118</v>
      </c>
      <c r="I1945" s="583" t="s">
        <v>6877</v>
      </c>
      <c r="J1945" s="548" t="s">
        <v>6565</v>
      </c>
      <c r="K1945" s="583" t="s">
        <v>1015</v>
      </c>
      <c r="L1945" s="583" t="s">
        <v>1029</v>
      </c>
      <c r="M1945" s="619">
        <v>1506</v>
      </c>
      <c r="N1945" s="620">
        <v>44550</v>
      </c>
      <c r="O1945" s="684" t="s">
        <v>67</v>
      </c>
      <c r="P1945" s="503">
        <f t="shared" si="146"/>
        <v>12</v>
      </c>
      <c r="Q1945" s="503">
        <f t="shared" si="147"/>
        <v>12</v>
      </c>
      <c r="R1945" s="504" t="str">
        <f t="shared" si="148"/>
        <v>Gastos_Gerais</v>
      </c>
      <c r="S1945" s="504" t="str">
        <f>IF(D1945="","",IF(OR(D1945=Plano!$A$1,D1945=Plano!$B$1),"entrada","saída"))</f>
        <v>saída</v>
      </c>
      <c r="T1945" s="511" t="s">
        <v>994</v>
      </c>
      <c r="U1945" s="505">
        <v>2351</v>
      </c>
      <c r="V1945" s="541"/>
    </row>
    <row r="1946" spans="1:22" ht="122.25" customHeight="1" x14ac:dyDescent="0.2">
      <c r="A1946" s="619">
        <f>IF(B1946="","",COUNT('Diário 5º PA'!$A$5:$A$2634)+COUNT('Diário 6º PA'!$A$5:$A$2246)+COUNT('Diário 7º PA'!$A$5:$A$2271)+ROW()-4)</f>
        <v>5892</v>
      </c>
      <c r="B1946" s="620">
        <v>44552</v>
      </c>
      <c r="C1946" s="624">
        <v>44470</v>
      </c>
      <c r="D1946" s="548" t="s">
        <v>99</v>
      </c>
      <c r="E1946" s="548" t="s">
        <v>364</v>
      </c>
      <c r="F1946" s="622">
        <v>500</v>
      </c>
      <c r="G1946" s="623" t="s">
        <v>5345</v>
      </c>
      <c r="H1946" s="548" t="s">
        <v>131</v>
      </c>
      <c r="I1946" s="583" t="s">
        <v>5713</v>
      </c>
      <c r="J1946" s="548" t="s">
        <v>5346</v>
      </c>
      <c r="K1946" s="583" t="s">
        <v>1015</v>
      </c>
      <c r="L1946" s="583" t="s">
        <v>992</v>
      </c>
      <c r="M1946" s="619">
        <v>238</v>
      </c>
      <c r="N1946" s="620">
        <v>44551</v>
      </c>
      <c r="O1946" s="684" t="s">
        <v>67</v>
      </c>
      <c r="P1946" s="503">
        <f t="shared" si="146"/>
        <v>12</v>
      </c>
      <c r="Q1946" s="503">
        <f t="shared" si="147"/>
        <v>10</v>
      </c>
      <c r="R1946" s="504" t="str">
        <f t="shared" si="148"/>
        <v>Gastos_Gerais</v>
      </c>
      <c r="S1946" s="504" t="str">
        <f>IF(D1946="","",IF(OR(D1946=Plano!$A$1,D1946=Plano!$B$1),"entrada","saída"))</f>
        <v>saída</v>
      </c>
      <c r="T1946" s="511" t="s">
        <v>994</v>
      </c>
      <c r="U1946" s="505">
        <v>2126</v>
      </c>
      <c r="V1946" s="541"/>
    </row>
    <row r="1947" spans="1:22" ht="88.5" customHeight="1" x14ac:dyDescent="0.2">
      <c r="A1947" s="619">
        <f>IF(B1947="","",COUNT('Diário 5º PA'!$A$5:$A$2634)+COUNT('Diário 6º PA'!$A$5:$A$2246)+COUNT('Diário 7º PA'!$A$5:$A$2271)+ROW()-4)</f>
        <v>5893</v>
      </c>
      <c r="B1947" s="620">
        <v>44552</v>
      </c>
      <c r="C1947" s="624">
        <v>44470</v>
      </c>
      <c r="D1947" s="548" t="s">
        <v>99</v>
      </c>
      <c r="E1947" s="548" t="s">
        <v>358</v>
      </c>
      <c r="F1947" s="622">
        <v>2118.6</v>
      </c>
      <c r="G1947" s="623" t="s">
        <v>5901</v>
      </c>
      <c r="H1947" s="548" t="s">
        <v>127</v>
      </c>
      <c r="I1947" s="583" t="s">
        <v>4241</v>
      </c>
      <c r="J1947" s="548" t="s">
        <v>4242</v>
      </c>
      <c r="K1947" s="583" t="s">
        <v>991</v>
      </c>
      <c r="L1947" s="583" t="s">
        <v>1029</v>
      </c>
      <c r="M1947" s="619">
        <v>1508</v>
      </c>
      <c r="N1947" s="620">
        <v>44551</v>
      </c>
      <c r="O1947" s="684" t="s">
        <v>67</v>
      </c>
      <c r="P1947" s="503">
        <f t="shared" si="146"/>
        <v>12</v>
      </c>
      <c r="Q1947" s="503">
        <f t="shared" si="147"/>
        <v>10</v>
      </c>
      <c r="R1947" s="504" t="str">
        <f t="shared" si="148"/>
        <v>Gastos_Gerais</v>
      </c>
      <c r="S1947" s="504" t="str">
        <f>IF(D1947="","",IF(OR(D1947=Plano!$A$1,D1947=Plano!$B$1),"entrada","saída"))</f>
        <v>saída</v>
      </c>
      <c r="T1947" s="511" t="s">
        <v>994</v>
      </c>
      <c r="U1947" s="505">
        <v>2290</v>
      </c>
      <c r="V1947" s="541"/>
    </row>
    <row r="1948" spans="1:22" ht="104.25" customHeight="1" x14ac:dyDescent="0.2">
      <c r="A1948" s="619">
        <f>IF(B1948="","",COUNT('Diário 5º PA'!$A$5:$A$2634)+COUNT('Diário 6º PA'!$A$5:$A$2246)+COUNT('Diário 7º PA'!$A$5:$A$2271)+ROW()-4)</f>
        <v>5894</v>
      </c>
      <c r="B1948" s="620">
        <v>44552</v>
      </c>
      <c r="C1948" s="624">
        <v>44531</v>
      </c>
      <c r="D1948" s="548" t="s">
        <v>99</v>
      </c>
      <c r="E1948" s="548" t="s">
        <v>364</v>
      </c>
      <c r="F1948" s="622">
        <v>387.4</v>
      </c>
      <c r="G1948" s="623" t="s">
        <v>6755</v>
      </c>
      <c r="H1948" s="548" t="s">
        <v>131</v>
      </c>
      <c r="I1948" s="583" t="s">
        <v>6883</v>
      </c>
      <c r="J1948" s="548" t="s">
        <v>6756</v>
      </c>
      <c r="K1948" s="583" t="s">
        <v>991</v>
      </c>
      <c r="L1948" s="583" t="s">
        <v>992</v>
      </c>
      <c r="M1948" s="619" t="s">
        <v>6884</v>
      </c>
      <c r="N1948" s="620">
        <v>44551</v>
      </c>
      <c r="O1948" s="684" t="s">
        <v>67</v>
      </c>
      <c r="P1948" s="503">
        <f t="shared" si="146"/>
        <v>12</v>
      </c>
      <c r="Q1948" s="503">
        <f t="shared" si="147"/>
        <v>12</v>
      </c>
      <c r="R1948" s="504" t="str">
        <f t="shared" si="148"/>
        <v>Gastos_Gerais</v>
      </c>
      <c r="S1948" s="504" t="str">
        <f>IF(D1948="","",IF(OR(D1948=Plano!$A$1,D1948=Plano!$B$1),"entrada","saída"))</f>
        <v>saída</v>
      </c>
      <c r="T1948" s="511" t="s">
        <v>994</v>
      </c>
      <c r="U1948" s="505">
        <v>2619</v>
      </c>
      <c r="V1948" s="541"/>
    </row>
    <row r="1949" spans="1:22" ht="50.1" customHeight="1" x14ac:dyDescent="0.2">
      <c r="A1949" s="619">
        <f>IF(B1949="","",COUNT('Diário 5º PA'!$A$5:$A$2634)+COUNT('Diário 6º PA'!$A$5:$A$2246)+COUNT('Diário 7º PA'!$A$5:$A$2271)+ROW()-4)</f>
        <v>5895</v>
      </c>
      <c r="B1949" s="620">
        <v>44552</v>
      </c>
      <c r="C1949" s="621">
        <v>44531</v>
      </c>
      <c r="D1949" s="548" t="s">
        <v>99</v>
      </c>
      <c r="E1949" s="548" t="s">
        <v>272</v>
      </c>
      <c r="F1949" s="622">
        <v>10.45</v>
      </c>
      <c r="G1949" s="623" t="s">
        <v>6886</v>
      </c>
      <c r="H1949" s="548" t="s">
        <v>127</v>
      </c>
      <c r="I1949" s="583" t="s">
        <v>949</v>
      </c>
      <c r="J1949" s="548" t="s">
        <v>950</v>
      </c>
      <c r="K1949" s="583" t="s">
        <v>951</v>
      </c>
      <c r="L1949" s="583" t="s">
        <v>947</v>
      </c>
      <c r="M1949" s="625" t="s">
        <v>114</v>
      </c>
      <c r="N1949" s="620">
        <v>44552</v>
      </c>
      <c r="O1949" s="684" t="s">
        <v>67</v>
      </c>
      <c r="P1949" s="503">
        <f t="shared" si="146"/>
        <v>12</v>
      </c>
      <c r="Q1949" s="503">
        <f t="shared" si="147"/>
        <v>12</v>
      </c>
      <c r="R1949" s="504" t="str">
        <f t="shared" si="148"/>
        <v>Gastos_Gerais</v>
      </c>
      <c r="S1949" s="504" t="str">
        <f>IF(D1949="","",IF(OR(D1949=Plano!$A$1,D1949=Plano!$B$1),"entrada","saída"))</f>
        <v>saída</v>
      </c>
      <c r="T1949" s="511" t="s">
        <v>114</v>
      </c>
      <c r="U1949" s="511" t="s">
        <v>114</v>
      </c>
      <c r="V1949" s="541"/>
    </row>
    <row r="1950" spans="1:22" ht="50.1" customHeight="1" x14ac:dyDescent="0.2">
      <c r="A1950" s="619">
        <f>IF(B1950="","",COUNT('Diário 5º PA'!$A$5:$A$2634)+COUNT('Diário 6º PA'!$A$5:$A$2246)+COUNT('Diário 7º PA'!$A$5:$A$2271)+ROW()-4)</f>
        <v>5896</v>
      </c>
      <c r="B1950" s="620">
        <v>44552</v>
      </c>
      <c r="C1950" s="621">
        <v>44531</v>
      </c>
      <c r="D1950" s="548" t="s">
        <v>99</v>
      </c>
      <c r="E1950" s="548" t="s">
        <v>272</v>
      </c>
      <c r="F1950" s="622">
        <v>10.45</v>
      </c>
      <c r="G1950" s="623" t="s">
        <v>6887</v>
      </c>
      <c r="H1950" s="548" t="s">
        <v>131</v>
      </c>
      <c r="I1950" s="583" t="s">
        <v>949</v>
      </c>
      <c r="J1950" s="548" t="s">
        <v>950</v>
      </c>
      <c r="K1950" s="583" t="s">
        <v>951</v>
      </c>
      <c r="L1950" s="583" t="s">
        <v>947</v>
      </c>
      <c r="M1950" s="625" t="s">
        <v>114</v>
      </c>
      <c r="N1950" s="620">
        <v>44552</v>
      </c>
      <c r="O1950" s="684" t="s">
        <v>67</v>
      </c>
      <c r="P1950" s="503">
        <f t="shared" si="146"/>
        <v>12</v>
      </c>
      <c r="Q1950" s="503">
        <f t="shared" si="147"/>
        <v>12</v>
      </c>
      <c r="R1950" s="504" t="str">
        <f t="shared" si="148"/>
        <v>Gastos_Gerais</v>
      </c>
      <c r="S1950" s="504" t="str">
        <f>IF(D1950="","",IF(OR(D1950=Plano!$A$1,D1950=Plano!$B$1),"entrada","saída"))</f>
        <v>saída</v>
      </c>
      <c r="T1950" s="511" t="s">
        <v>114</v>
      </c>
      <c r="U1950" s="511" t="s">
        <v>114</v>
      </c>
      <c r="V1950" s="541"/>
    </row>
    <row r="1951" spans="1:22" s="558" customFormat="1" ht="50.1" customHeight="1" x14ac:dyDescent="0.2">
      <c r="A1951" s="619">
        <f>IF(B1951="","",COUNT('Diário 5º PA'!$A$5:$A$2634)+COUNT('Diário 6º PA'!$A$5:$A$2246)+COUNT('Diário 7º PA'!$A$5:$A$2271)+ROW()-4)</f>
        <v>5897</v>
      </c>
      <c r="B1951" s="620">
        <v>44552</v>
      </c>
      <c r="C1951" s="628">
        <v>44531</v>
      </c>
      <c r="D1951" s="548" t="s">
        <v>77</v>
      </c>
      <c r="E1951" s="548" t="s">
        <v>147</v>
      </c>
      <c r="F1951" s="622">
        <v>724706.94</v>
      </c>
      <c r="G1951" s="623" t="s">
        <v>7061</v>
      </c>
      <c r="H1951" s="548" t="s">
        <v>114</v>
      </c>
      <c r="I1951" s="583" t="s">
        <v>983</v>
      </c>
      <c r="J1951" s="548" t="s">
        <v>850</v>
      </c>
      <c r="K1951" s="583" t="s">
        <v>1015</v>
      </c>
      <c r="L1951" s="583" t="s">
        <v>1177</v>
      </c>
      <c r="M1951" s="619" t="s">
        <v>114</v>
      </c>
      <c r="N1951" s="620">
        <v>44552</v>
      </c>
      <c r="O1951" s="684" t="s">
        <v>70</v>
      </c>
      <c r="P1951" s="503">
        <f t="shared" si="146"/>
        <v>12</v>
      </c>
      <c r="Q1951" s="503">
        <f t="shared" si="147"/>
        <v>12</v>
      </c>
      <c r="R1951" s="504" t="str">
        <f t="shared" si="148"/>
        <v>Receitas</v>
      </c>
      <c r="S1951" s="504" t="str">
        <f>IF(D1951="","",IF(OR(D1951=Plano!$A$1,D1951=Plano!$B$1),"entrada","saída"))</f>
        <v>entrada</v>
      </c>
      <c r="T1951" s="511" t="s">
        <v>114</v>
      </c>
      <c r="U1951" s="511" t="s">
        <v>114</v>
      </c>
      <c r="V1951" s="541"/>
    </row>
    <row r="1952" spans="1:22" s="558" customFormat="1" ht="50.1" customHeight="1" x14ac:dyDescent="0.2">
      <c r="A1952" s="619">
        <f>IF(B1952="","",COUNT('Diário 5º PA'!$A$5:$A$2634)+COUNT('Diário 6º PA'!$A$5:$A$2246)+COUNT('Diário 7º PA'!$A$5:$A$2271)+ROW()-4)</f>
        <v>5898</v>
      </c>
      <c r="B1952" s="620">
        <v>44552</v>
      </c>
      <c r="C1952" s="628">
        <v>44531</v>
      </c>
      <c r="D1952" s="548" t="s">
        <v>77</v>
      </c>
      <c r="E1952" s="548" t="s">
        <v>147</v>
      </c>
      <c r="F1952" s="622">
        <v>127889.46</v>
      </c>
      <c r="G1952" s="623" t="s">
        <v>7061</v>
      </c>
      <c r="H1952" s="548" t="s">
        <v>114</v>
      </c>
      <c r="I1952" s="583" t="s">
        <v>983</v>
      </c>
      <c r="J1952" s="548" t="s">
        <v>850</v>
      </c>
      <c r="K1952" s="583" t="s">
        <v>1015</v>
      </c>
      <c r="L1952" s="583" t="s">
        <v>1177</v>
      </c>
      <c r="M1952" s="619" t="s">
        <v>114</v>
      </c>
      <c r="N1952" s="620">
        <v>44552</v>
      </c>
      <c r="O1952" s="684" t="s">
        <v>70</v>
      </c>
      <c r="P1952" s="503">
        <f t="shared" si="146"/>
        <v>12</v>
      </c>
      <c r="Q1952" s="503">
        <f t="shared" si="147"/>
        <v>12</v>
      </c>
      <c r="R1952" s="504" t="str">
        <f t="shared" si="148"/>
        <v>Receitas</v>
      </c>
      <c r="S1952" s="504" t="str">
        <f>IF(D1952="","",IF(OR(D1952=Plano!$A$1,D1952=Plano!$B$1),"entrada","saída"))</f>
        <v>entrada</v>
      </c>
      <c r="T1952" s="511" t="s">
        <v>114</v>
      </c>
      <c r="U1952" s="511" t="s">
        <v>114</v>
      </c>
      <c r="V1952" s="541"/>
    </row>
    <row r="1953" spans="1:22" s="569" customFormat="1" ht="50.1" customHeight="1" x14ac:dyDescent="0.2">
      <c r="A1953" s="619">
        <f>IF(B1953="","",COUNT('Diário 5º PA'!$A$5:$A$2634)+COUNT('Diário 6º PA'!$A$5:$A$2246)+COUNT('Diário 7º PA'!$A$5:$A$2271)+ROW()-4)</f>
        <v>5899</v>
      </c>
      <c r="B1953" s="620">
        <v>44552</v>
      </c>
      <c r="C1953" s="628">
        <v>44531</v>
      </c>
      <c r="D1953" s="646" t="s">
        <v>104</v>
      </c>
      <c r="E1953" s="646" t="s">
        <v>104</v>
      </c>
      <c r="F1953" s="622">
        <v>139.80000000000001</v>
      </c>
      <c r="G1953" s="623" t="s">
        <v>7208</v>
      </c>
      <c r="H1953" s="548" t="s">
        <v>104</v>
      </c>
      <c r="I1953" s="583" t="s">
        <v>7209</v>
      </c>
      <c r="J1953" s="548" t="s">
        <v>7210</v>
      </c>
      <c r="K1953" s="583" t="s">
        <v>991</v>
      </c>
      <c r="L1953" s="583" t="s">
        <v>992</v>
      </c>
      <c r="M1953" s="619">
        <v>24852</v>
      </c>
      <c r="N1953" s="620">
        <v>44552</v>
      </c>
      <c r="O1953" s="684" t="s">
        <v>71</v>
      </c>
      <c r="P1953" s="503">
        <f t="shared" si="146"/>
        <v>12</v>
      </c>
      <c r="Q1953" s="503">
        <f t="shared" si="147"/>
        <v>12</v>
      </c>
      <c r="R1953" s="504" t="str">
        <f t="shared" si="148"/>
        <v>Gastos_custeados_por_captação</v>
      </c>
      <c r="S1953" s="504" t="str">
        <f>IF(D1953="","",IF(OR(D1953=Plano!$A$1,D1953=Plano!$B$1),"entrada","saída"))</f>
        <v>saída</v>
      </c>
      <c r="T1953" s="511" t="s">
        <v>1417</v>
      </c>
      <c r="U1953" s="511">
        <v>2673</v>
      </c>
      <c r="V1953" s="541"/>
    </row>
    <row r="1954" spans="1:22" s="569" customFormat="1" ht="50.1" customHeight="1" x14ac:dyDescent="0.2">
      <c r="A1954" s="619">
        <f>IF(B1954="","",COUNT('Diário 5º PA'!$A$5:$A$2634)+COUNT('Diário 6º PA'!$A$5:$A$2246)+COUNT('Diário 7º PA'!$A$5:$A$2271)+ROW()-4)</f>
        <v>5900</v>
      </c>
      <c r="B1954" s="620">
        <v>44552</v>
      </c>
      <c r="C1954" s="628">
        <v>44531</v>
      </c>
      <c r="D1954" s="548" t="s">
        <v>104</v>
      </c>
      <c r="E1954" s="548" t="s">
        <v>104</v>
      </c>
      <c r="F1954" s="622">
        <v>10.45</v>
      </c>
      <c r="G1954" s="623" t="s">
        <v>5451</v>
      </c>
      <c r="H1954" s="548" t="s">
        <v>104</v>
      </c>
      <c r="I1954" s="583" t="s">
        <v>949</v>
      </c>
      <c r="J1954" s="548" t="s">
        <v>950</v>
      </c>
      <c r="K1954" s="583" t="s">
        <v>951</v>
      </c>
      <c r="L1954" s="583" t="s">
        <v>947</v>
      </c>
      <c r="M1954" s="625" t="s">
        <v>114</v>
      </c>
      <c r="N1954" s="620">
        <v>44552</v>
      </c>
      <c r="O1954" s="684" t="s">
        <v>71</v>
      </c>
      <c r="P1954" s="503">
        <f t="shared" si="146"/>
        <v>12</v>
      </c>
      <c r="Q1954" s="503">
        <f t="shared" si="147"/>
        <v>12</v>
      </c>
      <c r="R1954" s="504" t="str">
        <f t="shared" si="148"/>
        <v>Gastos_custeados_por_captação</v>
      </c>
      <c r="S1954" s="504" t="str">
        <f>IF(D1954="","",IF(OR(D1954=Plano!$A$1,D1954=Plano!$B$1),"entrada","saída"))</f>
        <v>saída</v>
      </c>
      <c r="T1954" s="511" t="s">
        <v>114</v>
      </c>
      <c r="U1954" s="511" t="s">
        <v>114</v>
      </c>
      <c r="V1954" s="541"/>
    </row>
    <row r="1955" spans="1:22" ht="50.1" customHeight="1" x14ac:dyDescent="0.2">
      <c r="A1955" s="619">
        <f>IF(B1955="","",COUNT('Diário 5º PA'!$A$5:$A$2634)+COUNT('Diário 6º PA'!$A$5:$A$2246)+COUNT('Diário 7º PA'!$A$5:$A$2271)+ROW()-4)</f>
        <v>5901</v>
      </c>
      <c r="B1955" s="620">
        <v>44553</v>
      </c>
      <c r="C1955" s="624">
        <v>44501</v>
      </c>
      <c r="D1955" s="548" t="s">
        <v>99</v>
      </c>
      <c r="E1955" s="548" t="s">
        <v>374</v>
      </c>
      <c r="F1955" s="622">
        <v>-10</v>
      </c>
      <c r="G1955" s="623" t="s">
        <v>7041</v>
      </c>
      <c r="H1955" s="548" t="s">
        <v>130</v>
      </c>
      <c r="I1955" s="583" t="s">
        <v>983</v>
      </c>
      <c r="J1955" s="548" t="s">
        <v>850</v>
      </c>
      <c r="K1955" s="583" t="s">
        <v>7005</v>
      </c>
      <c r="L1955" s="583" t="s">
        <v>947</v>
      </c>
      <c r="M1955" s="619" t="s">
        <v>114</v>
      </c>
      <c r="N1955" s="620">
        <v>44553</v>
      </c>
      <c r="O1955" s="684" t="s">
        <v>67</v>
      </c>
      <c r="P1955" s="503">
        <f t="shared" si="146"/>
        <v>12</v>
      </c>
      <c r="Q1955" s="503">
        <f t="shared" si="147"/>
        <v>11</v>
      </c>
      <c r="R1955" s="504" t="str">
        <f t="shared" si="148"/>
        <v>Gastos_Gerais</v>
      </c>
      <c r="S1955" s="504" t="str">
        <f>IF(D1955="","",IF(OR(D1955=Plano!$A$1,D1955=Plano!$B$1),"entrada","saída"))</f>
        <v>saída</v>
      </c>
      <c r="T1955" s="505" t="s">
        <v>114</v>
      </c>
      <c r="U1955" s="505" t="s">
        <v>114</v>
      </c>
      <c r="V1955" s="541"/>
    </row>
    <row r="1956" spans="1:22" ht="50.1" customHeight="1" x14ac:dyDescent="0.2">
      <c r="A1956" s="619">
        <f>IF(B1956="","",COUNT('Diário 5º PA'!$A$5:$A$2634)+COUNT('Diário 6º PA'!$A$5:$A$2246)+COUNT('Diário 7º PA'!$A$5:$A$2271)+ROW()-4)</f>
        <v>5902</v>
      </c>
      <c r="B1956" s="620">
        <v>44553</v>
      </c>
      <c r="C1956" s="624">
        <v>44531</v>
      </c>
      <c r="D1956" s="548" t="s">
        <v>99</v>
      </c>
      <c r="E1956" s="548" t="s">
        <v>330</v>
      </c>
      <c r="F1956" s="622">
        <v>1600</v>
      </c>
      <c r="G1956" s="623" t="s">
        <v>6568</v>
      </c>
      <c r="H1956" s="548" t="s">
        <v>118</v>
      </c>
      <c r="I1956" s="583" t="s">
        <v>1022</v>
      </c>
      <c r="J1956" s="548" t="s">
        <v>833</v>
      </c>
      <c r="K1956" s="583" t="s">
        <v>1015</v>
      </c>
      <c r="L1956" s="583" t="s">
        <v>1016</v>
      </c>
      <c r="M1956" s="619">
        <v>264</v>
      </c>
      <c r="N1956" s="620">
        <v>44550</v>
      </c>
      <c r="O1956" s="684" t="s">
        <v>67</v>
      </c>
      <c r="P1956" s="503">
        <f t="shared" si="146"/>
        <v>12</v>
      </c>
      <c r="Q1956" s="503">
        <f t="shared" si="147"/>
        <v>12</v>
      </c>
      <c r="R1956" s="504" t="str">
        <f t="shared" si="148"/>
        <v>Gastos_Gerais</v>
      </c>
      <c r="S1956" s="504" t="str">
        <f>IF(D1956="","",IF(OR(D1956=Plano!$A$1,D1956=Plano!$B$1),"entrada","saída"))</f>
        <v>saída</v>
      </c>
      <c r="T1956" s="505" t="s">
        <v>994</v>
      </c>
      <c r="U1956" s="505">
        <v>2503</v>
      </c>
      <c r="V1956" s="541"/>
    </row>
    <row r="1957" spans="1:22" ht="50.1" customHeight="1" x14ac:dyDescent="0.2">
      <c r="A1957" s="619">
        <f>IF(B1957="","",COUNT('Diário 5º PA'!$A$5:$A$2634)+COUNT('Diário 6º PA'!$A$5:$A$2246)+COUNT('Diário 7º PA'!$A$5:$A$2271)+ROW()-4)</f>
        <v>5903</v>
      </c>
      <c r="B1957" s="620">
        <v>44553</v>
      </c>
      <c r="C1957" s="624">
        <v>44501</v>
      </c>
      <c r="D1957" s="548" t="s">
        <v>57</v>
      </c>
      <c r="E1957" s="548" t="s">
        <v>57</v>
      </c>
      <c r="F1957" s="622">
        <v>4728.8900000000003</v>
      </c>
      <c r="G1957" s="623" t="s">
        <v>6510</v>
      </c>
      <c r="H1957" s="548" t="s">
        <v>114</v>
      </c>
      <c r="I1957" s="583" t="s">
        <v>6509</v>
      </c>
      <c r="J1957" s="548" t="s">
        <v>850</v>
      </c>
      <c r="K1957" s="583" t="s">
        <v>946</v>
      </c>
      <c r="L1957" s="583" t="s">
        <v>947</v>
      </c>
      <c r="M1957" s="619" t="s">
        <v>114</v>
      </c>
      <c r="N1957" s="620">
        <v>44553</v>
      </c>
      <c r="O1957" s="684" t="s">
        <v>67</v>
      </c>
      <c r="P1957" s="503">
        <f t="shared" si="146"/>
        <v>12</v>
      </c>
      <c r="Q1957" s="503">
        <f t="shared" si="147"/>
        <v>11</v>
      </c>
      <c r="R1957" s="504" t="str">
        <f t="shared" si="148"/>
        <v>Transferência_para_Reserva_de_Recursos</v>
      </c>
      <c r="S1957" s="504" t="str">
        <f>IF(D1957="","",IF(OR(D1957=Plano!$A$1,D1957=Plano!$B$1),"entrada","saída"))</f>
        <v>saída</v>
      </c>
      <c r="T1957" s="511" t="s">
        <v>114</v>
      </c>
      <c r="U1957" s="511" t="s">
        <v>114</v>
      </c>
      <c r="V1957" s="541"/>
    </row>
    <row r="1958" spans="1:22" ht="50.1" customHeight="1" x14ac:dyDescent="0.2">
      <c r="A1958" s="619">
        <f>IF(B1958="","",COUNT('Diário 5º PA'!$A$5:$A$2634)+COUNT('Diário 6º PA'!$A$5:$A$2246)+COUNT('Diário 7º PA'!$A$5:$A$2271)+ROW()-4)</f>
        <v>5904</v>
      </c>
      <c r="B1958" s="620">
        <v>44553</v>
      </c>
      <c r="C1958" s="621">
        <v>44501</v>
      </c>
      <c r="D1958" s="548" t="s">
        <v>99</v>
      </c>
      <c r="E1958" s="548" t="s">
        <v>364</v>
      </c>
      <c r="F1958" s="622">
        <v>4440.8599999999997</v>
      </c>
      <c r="G1958" s="623" t="s">
        <v>5302</v>
      </c>
      <c r="H1958" s="548" t="s">
        <v>116</v>
      </c>
      <c r="I1958" s="583" t="s">
        <v>5805</v>
      </c>
      <c r="J1958" s="548" t="s">
        <v>5299</v>
      </c>
      <c r="K1958" s="583" t="s">
        <v>1015</v>
      </c>
      <c r="L1958" s="583" t="s">
        <v>1029</v>
      </c>
      <c r="M1958" s="619">
        <v>1504</v>
      </c>
      <c r="N1958" s="620">
        <v>44550</v>
      </c>
      <c r="O1958" s="684" t="s">
        <v>67</v>
      </c>
      <c r="P1958" s="503">
        <f t="shared" si="146"/>
        <v>12</v>
      </c>
      <c r="Q1958" s="503">
        <f t="shared" si="147"/>
        <v>11</v>
      </c>
      <c r="R1958" s="504" t="str">
        <f t="shared" si="148"/>
        <v>Gastos_Gerais</v>
      </c>
      <c r="S1958" s="504" t="str">
        <f>IF(D1958="","",IF(OR(D1958=Plano!$A$1,D1958=Plano!$B$1),"entrada","saída"))</f>
        <v>saída</v>
      </c>
      <c r="T1958" s="505" t="s">
        <v>994</v>
      </c>
      <c r="U1958" s="505">
        <v>1952</v>
      </c>
      <c r="V1958" s="541"/>
    </row>
    <row r="1959" spans="1:22" ht="50.1" customHeight="1" x14ac:dyDescent="0.2">
      <c r="A1959" s="619">
        <f>IF(B1959="","",COUNT('Diário 5º PA'!$A$5:$A$2634)+COUNT('Diário 6º PA'!$A$5:$A$2246)+COUNT('Diário 7º PA'!$A$5:$A$2271)+ROW()-4)</f>
        <v>5905</v>
      </c>
      <c r="B1959" s="620">
        <v>44553</v>
      </c>
      <c r="C1959" s="624">
        <v>44531</v>
      </c>
      <c r="D1959" s="548" t="s">
        <v>88</v>
      </c>
      <c r="E1959" s="548" t="s">
        <v>177</v>
      </c>
      <c r="F1959" s="622">
        <v>3611.68</v>
      </c>
      <c r="G1959" s="623" t="s">
        <v>6999</v>
      </c>
      <c r="H1959" s="548" t="s">
        <v>114</v>
      </c>
      <c r="I1959" s="583" t="s">
        <v>1232</v>
      </c>
      <c r="J1959" s="548" t="s">
        <v>1233</v>
      </c>
      <c r="K1959" s="583" t="s">
        <v>1015</v>
      </c>
      <c r="L1959" s="583" t="s">
        <v>1347</v>
      </c>
      <c r="M1959" s="619" t="s">
        <v>114</v>
      </c>
      <c r="N1959" s="620">
        <v>44554</v>
      </c>
      <c r="O1959" s="684" t="s">
        <v>67</v>
      </c>
      <c r="P1959" s="503">
        <f t="shared" si="146"/>
        <v>12</v>
      </c>
      <c r="Q1959" s="503">
        <f t="shared" si="147"/>
        <v>12</v>
      </c>
      <c r="R1959" s="504" t="str">
        <f t="shared" si="148"/>
        <v>Gastos_com_Pessoal</v>
      </c>
      <c r="S1959" s="504" t="str">
        <f>IF(D1959="","",IF(OR(D1959=Plano!$A$1,D1959=Plano!$B$1),"entrada","saída"))</f>
        <v>saída</v>
      </c>
      <c r="T1959" s="505" t="s">
        <v>114</v>
      </c>
      <c r="U1959" s="505" t="s">
        <v>114</v>
      </c>
      <c r="V1959" s="541"/>
    </row>
    <row r="1960" spans="1:22" ht="87.95" customHeight="1" x14ac:dyDescent="0.2">
      <c r="A1960" s="619">
        <f>IF(B1960="","",COUNT('Diário 5º PA'!$A$5:$A$2634)+COUNT('Diário 6º PA'!$A$5:$A$2246)+COUNT('Diário 7º PA'!$A$5:$A$2271)+ROW()-4)</f>
        <v>5906</v>
      </c>
      <c r="B1960" s="620">
        <v>44553</v>
      </c>
      <c r="C1960" s="624">
        <v>44531</v>
      </c>
      <c r="D1960" s="548" t="s">
        <v>99</v>
      </c>
      <c r="E1960" s="548" t="s">
        <v>364</v>
      </c>
      <c r="F1960" s="622">
        <v>1344</v>
      </c>
      <c r="G1960" s="623" t="s">
        <v>6655</v>
      </c>
      <c r="H1960" s="548" t="s">
        <v>118</v>
      </c>
      <c r="I1960" s="583" t="s">
        <v>7000</v>
      </c>
      <c r="J1960" s="548" t="s">
        <v>6656</v>
      </c>
      <c r="K1960" s="583" t="s">
        <v>991</v>
      </c>
      <c r="L1960" s="583" t="s">
        <v>1029</v>
      </c>
      <c r="M1960" s="619">
        <v>1507</v>
      </c>
      <c r="N1960" s="620">
        <v>44550</v>
      </c>
      <c r="O1960" s="684" t="s">
        <v>67</v>
      </c>
      <c r="P1960" s="503">
        <f t="shared" si="146"/>
        <v>12</v>
      </c>
      <c r="Q1960" s="503">
        <f t="shared" si="147"/>
        <v>12</v>
      </c>
      <c r="R1960" s="504" t="str">
        <f t="shared" si="148"/>
        <v>Gastos_Gerais</v>
      </c>
      <c r="S1960" s="504" t="str">
        <f>IF(D1960="","",IF(OR(D1960=Plano!$A$1,D1960=Plano!$B$1),"entrada","saída"))</f>
        <v>saída</v>
      </c>
      <c r="T1960" s="505" t="s">
        <v>994</v>
      </c>
      <c r="U1960" s="505">
        <v>2602</v>
      </c>
      <c r="V1960" s="541"/>
    </row>
    <row r="1961" spans="1:22" ht="50.1" customHeight="1" x14ac:dyDescent="0.2">
      <c r="A1961" s="619">
        <f>IF(B1961="","",COUNT('Diário 5º PA'!$A$5:$A$2634)+COUNT('Diário 6º PA'!$A$5:$A$2246)+COUNT('Diário 7º PA'!$A$5:$A$2271)+ROW()-4)</f>
        <v>5907</v>
      </c>
      <c r="B1961" s="620">
        <v>44553</v>
      </c>
      <c r="C1961" s="621">
        <v>44531</v>
      </c>
      <c r="D1961" s="548" t="s">
        <v>99</v>
      </c>
      <c r="E1961" s="548" t="s">
        <v>272</v>
      </c>
      <c r="F1961" s="622">
        <v>10.45</v>
      </c>
      <c r="G1961" s="623" t="s">
        <v>7004</v>
      </c>
      <c r="H1961" s="548" t="s">
        <v>118</v>
      </c>
      <c r="I1961" s="583" t="s">
        <v>949</v>
      </c>
      <c r="J1961" s="548" t="s">
        <v>950</v>
      </c>
      <c r="K1961" s="583" t="s">
        <v>951</v>
      </c>
      <c r="L1961" s="583" t="s">
        <v>947</v>
      </c>
      <c r="M1961" s="625" t="s">
        <v>114</v>
      </c>
      <c r="N1961" s="620">
        <v>44553</v>
      </c>
      <c r="O1961" s="684" t="s">
        <v>67</v>
      </c>
      <c r="P1961" s="503">
        <f t="shared" si="146"/>
        <v>12</v>
      </c>
      <c r="Q1961" s="503">
        <f t="shared" si="147"/>
        <v>12</v>
      </c>
      <c r="R1961" s="504" t="str">
        <f t="shared" si="148"/>
        <v>Gastos_Gerais</v>
      </c>
      <c r="S1961" s="504" t="str">
        <f>IF(D1961="","",IF(OR(D1961=Plano!$A$1,D1961=Plano!$B$1),"entrada","saída"))</f>
        <v>saída</v>
      </c>
      <c r="T1961" s="511" t="s">
        <v>114</v>
      </c>
      <c r="U1961" s="511" t="s">
        <v>114</v>
      </c>
      <c r="V1961" s="541"/>
    </row>
    <row r="1962" spans="1:22" ht="50.1" customHeight="1" x14ac:dyDescent="0.2">
      <c r="A1962" s="619">
        <f>IF(B1962="","",COUNT('Diário 5º PA'!$A$5:$A$2634)+COUNT('Diário 6º PA'!$A$5:$A$2246)+COUNT('Diário 7º PA'!$A$5:$A$2271)+ROW()-4)</f>
        <v>5908</v>
      </c>
      <c r="B1962" s="620">
        <v>44553</v>
      </c>
      <c r="C1962" s="621">
        <v>44531</v>
      </c>
      <c r="D1962" s="548" t="s">
        <v>99</v>
      </c>
      <c r="E1962" s="548" t="s">
        <v>272</v>
      </c>
      <c r="F1962" s="622">
        <v>10.45</v>
      </c>
      <c r="G1962" s="623" t="s">
        <v>7003</v>
      </c>
      <c r="H1962" s="548" t="s">
        <v>118</v>
      </c>
      <c r="I1962" s="583" t="s">
        <v>949</v>
      </c>
      <c r="J1962" s="548" t="s">
        <v>950</v>
      </c>
      <c r="K1962" s="583" t="s">
        <v>951</v>
      </c>
      <c r="L1962" s="583" t="s">
        <v>947</v>
      </c>
      <c r="M1962" s="625" t="s">
        <v>114</v>
      </c>
      <c r="N1962" s="620">
        <v>44553</v>
      </c>
      <c r="O1962" s="684" t="s">
        <v>67</v>
      </c>
      <c r="P1962" s="503">
        <f t="shared" si="146"/>
        <v>12</v>
      </c>
      <c r="Q1962" s="503">
        <f t="shared" si="147"/>
        <v>12</v>
      </c>
      <c r="R1962" s="504" t="str">
        <f t="shared" si="148"/>
        <v>Gastos_Gerais</v>
      </c>
      <c r="S1962" s="504" t="str">
        <f>IF(D1962="","",IF(OR(D1962=Plano!$A$1,D1962=Plano!$B$1),"entrada","saída"))</f>
        <v>saída</v>
      </c>
      <c r="T1962" s="511" t="s">
        <v>114</v>
      </c>
      <c r="U1962" s="511" t="s">
        <v>114</v>
      </c>
      <c r="V1962" s="541"/>
    </row>
    <row r="1963" spans="1:22" s="573" customFormat="1" ht="50.1" customHeight="1" x14ac:dyDescent="0.2">
      <c r="A1963" s="619">
        <f>IF(B1963="","",COUNT('Diário 5º PA'!$A$5:$A$2634)+COUNT('Diário 6º PA'!$A$5:$A$2246)+COUNT('Diário 7º PA'!$A$5:$A$2271)+ROW()-4)</f>
        <v>5909</v>
      </c>
      <c r="B1963" s="620">
        <v>44554</v>
      </c>
      <c r="C1963" s="621">
        <v>44501</v>
      </c>
      <c r="D1963" s="637" t="s">
        <v>104</v>
      </c>
      <c r="E1963" s="637" t="s">
        <v>104</v>
      </c>
      <c r="F1963" s="674">
        <v>46.27</v>
      </c>
      <c r="G1963" s="623" t="s">
        <v>7187</v>
      </c>
      <c r="H1963" s="637" t="s">
        <v>104</v>
      </c>
      <c r="I1963" s="640" t="s">
        <v>488</v>
      </c>
      <c r="J1963" s="641" t="s">
        <v>114</v>
      </c>
      <c r="K1963" s="642" t="s">
        <v>466</v>
      </c>
      <c r="L1963" s="643" t="s">
        <v>489</v>
      </c>
      <c r="M1963" s="644" t="s">
        <v>114</v>
      </c>
      <c r="N1963" s="644">
        <v>44554</v>
      </c>
      <c r="O1963" s="685" t="s">
        <v>5370</v>
      </c>
      <c r="P1963" s="503">
        <f t="shared" si="146"/>
        <v>12</v>
      </c>
      <c r="Q1963" s="503">
        <f t="shared" si="147"/>
        <v>11</v>
      </c>
      <c r="R1963" s="504" t="str">
        <f t="shared" si="148"/>
        <v>Gastos_custeados_por_captação</v>
      </c>
      <c r="S1963" s="504" t="str">
        <f>IF(D1963="","",IF(OR(D1963=Plano!$A$1,D1963=Plano!$B$1),"entrada","saída"))</f>
        <v>saída</v>
      </c>
      <c r="T1963" s="566" t="s">
        <v>114</v>
      </c>
      <c r="U1963" s="511" t="s">
        <v>114</v>
      </c>
      <c r="V1963" s="541"/>
    </row>
    <row r="1964" spans="1:22" ht="50.1" customHeight="1" x14ac:dyDescent="0.2">
      <c r="A1964" s="619">
        <f>IF(B1964="","",COUNT('Diário 5º PA'!$A$5:$A$2634)+COUNT('Diário 6º PA'!$A$5:$A$2246)+COUNT('Diário 7º PA'!$A$5:$A$2271)+ROW()-4)</f>
        <v>5910</v>
      </c>
      <c r="B1964" s="620">
        <v>44554</v>
      </c>
      <c r="C1964" s="624">
        <v>44501</v>
      </c>
      <c r="D1964" s="548" t="s">
        <v>99</v>
      </c>
      <c r="E1964" s="548" t="s">
        <v>254</v>
      </c>
      <c r="F1964" s="622">
        <v>-114.88</v>
      </c>
      <c r="G1964" s="623" t="s">
        <v>7008</v>
      </c>
      <c r="H1964" s="548" t="s">
        <v>115</v>
      </c>
      <c r="I1964" s="583" t="s">
        <v>983</v>
      </c>
      <c r="J1964" s="548" t="s">
        <v>850</v>
      </c>
      <c r="K1964" s="583" t="s">
        <v>1069</v>
      </c>
      <c r="L1964" s="583" t="s">
        <v>947</v>
      </c>
      <c r="M1964" s="619" t="s">
        <v>114</v>
      </c>
      <c r="N1964" s="620">
        <v>44554</v>
      </c>
      <c r="O1964" s="684" t="s">
        <v>67</v>
      </c>
      <c r="P1964" s="503">
        <f t="shared" si="146"/>
        <v>12</v>
      </c>
      <c r="Q1964" s="503">
        <f t="shared" si="147"/>
        <v>11</v>
      </c>
      <c r="R1964" s="504" t="str">
        <f t="shared" si="148"/>
        <v>Gastos_Gerais</v>
      </c>
      <c r="S1964" s="504" t="str">
        <f>IF(D1964="","",IF(OR(D1964=Plano!$A$1,D1964=Plano!$B$1),"entrada","saída"))</f>
        <v>saída</v>
      </c>
      <c r="T1964" s="505" t="s">
        <v>114</v>
      </c>
      <c r="U1964" s="505" t="s">
        <v>114</v>
      </c>
      <c r="V1964" s="541"/>
    </row>
    <row r="1965" spans="1:22" ht="148.5" customHeight="1" x14ac:dyDescent="0.2">
      <c r="A1965" s="619">
        <f>IF(B1965="","",COUNT('Diário 5º PA'!$A$5:$A$2634)+COUNT('Diário 6º PA'!$A$5:$A$2246)+COUNT('Diário 7º PA'!$A$5:$A$2271)+ROW()-4)</f>
        <v>5911</v>
      </c>
      <c r="B1965" s="620">
        <v>44554</v>
      </c>
      <c r="C1965" s="624">
        <v>44501</v>
      </c>
      <c r="D1965" s="548" t="s">
        <v>99</v>
      </c>
      <c r="E1965" s="548" t="s">
        <v>254</v>
      </c>
      <c r="F1965" s="622">
        <v>435</v>
      </c>
      <c r="G1965" s="623" t="s">
        <v>445</v>
      </c>
      <c r="H1965" s="548" t="s">
        <v>115</v>
      </c>
      <c r="I1965" s="583" t="s">
        <v>7006</v>
      </c>
      <c r="J1965" s="548" t="s">
        <v>447</v>
      </c>
      <c r="K1965" s="583" t="s">
        <v>991</v>
      </c>
      <c r="L1965" s="583" t="s">
        <v>1378</v>
      </c>
      <c r="M1965" s="619">
        <v>21590</v>
      </c>
      <c r="N1965" s="620">
        <v>44541</v>
      </c>
      <c r="O1965" s="684" t="s">
        <v>67</v>
      </c>
      <c r="P1965" s="503">
        <f t="shared" si="146"/>
        <v>12</v>
      </c>
      <c r="Q1965" s="503">
        <f t="shared" si="147"/>
        <v>11</v>
      </c>
      <c r="R1965" s="504" t="str">
        <f t="shared" si="148"/>
        <v>Gastos_Gerais</v>
      </c>
      <c r="S1965" s="504" t="str">
        <f>IF(D1965="","",IF(OR(D1965=Plano!$A$1,D1965=Plano!$B$1),"entrada","saída"))</f>
        <v>saída</v>
      </c>
      <c r="T1965" s="517" t="s">
        <v>1082</v>
      </c>
      <c r="U1965" s="517">
        <v>1117</v>
      </c>
      <c r="V1965" s="541"/>
    </row>
    <row r="1966" spans="1:22" ht="50.1" customHeight="1" x14ac:dyDescent="0.2">
      <c r="A1966" s="619">
        <f>IF(B1966="","",COUNT('Diário 5º PA'!$A$5:$A$2634)+COUNT('Diário 6º PA'!$A$5:$A$2246)+COUNT('Diário 7º PA'!$A$5:$A$2271)+ROW()-4)</f>
        <v>5912</v>
      </c>
      <c r="B1966" s="620">
        <v>44554</v>
      </c>
      <c r="C1966" s="624">
        <v>44501</v>
      </c>
      <c r="D1966" s="548" t="s">
        <v>99</v>
      </c>
      <c r="E1966" s="548" t="s">
        <v>276</v>
      </c>
      <c r="F1966" s="622">
        <v>430.88</v>
      </c>
      <c r="G1966" s="623" t="s">
        <v>7009</v>
      </c>
      <c r="H1966" s="548" t="s">
        <v>114</v>
      </c>
      <c r="I1966" s="583" t="s">
        <v>488</v>
      </c>
      <c r="J1966" s="548" t="s">
        <v>114</v>
      </c>
      <c r="K1966" s="583" t="s">
        <v>466</v>
      </c>
      <c r="L1966" s="583" t="s">
        <v>489</v>
      </c>
      <c r="M1966" s="619" t="s">
        <v>114</v>
      </c>
      <c r="N1966" s="620">
        <v>44552</v>
      </c>
      <c r="O1966" s="684" t="s">
        <v>67</v>
      </c>
      <c r="P1966" s="503">
        <f t="shared" si="146"/>
        <v>12</v>
      </c>
      <c r="Q1966" s="503">
        <f t="shared" si="147"/>
        <v>11</v>
      </c>
      <c r="R1966" s="504" t="str">
        <f t="shared" si="148"/>
        <v>Gastos_Gerais</v>
      </c>
      <c r="S1966" s="504" t="str">
        <f>IF(D1966="","",IF(OR(D1966=Plano!$A$1,D1966=Plano!$B$1),"entrada","saída"))</f>
        <v>saída</v>
      </c>
      <c r="T1966" s="505" t="s">
        <v>114</v>
      </c>
      <c r="U1966" s="505" t="s">
        <v>114</v>
      </c>
      <c r="V1966" s="541"/>
    </row>
    <row r="1967" spans="1:22" ht="50.1" customHeight="1" x14ac:dyDescent="0.2">
      <c r="A1967" s="619">
        <f>IF(B1967="","",COUNT('Diário 5º PA'!$A$5:$A$2634)+COUNT('Diário 6º PA'!$A$5:$A$2246)+COUNT('Diário 7º PA'!$A$5:$A$2271)+ROW()-4)</f>
        <v>5913</v>
      </c>
      <c r="B1967" s="620">
        <v>44554</v>
      </c>
      <c r="C1967" s="624">
        <v>44501</v>
      </c>
      <c r="D1967" s="548" t="s">
        <v>99</v>
      </c>
      <c r="E1967" s="548" t="s">
        <v>284</v>
      </c>
      <c r="F1967" s="622">
        <v>978.6</v>
      </c>
      <c r="G1967" s="623" t="s">
        <v>6345</v>
      </c>
      <c r="H1967" s="548" t="s">
        <v>129</v>
      </c>
      <c r="I1967" s="583" t="s">
        <v>1415</v>
      </c>
      <c r="J1967" s="548" t="s">
        <v>1416</v>
      </c>
      <c r="K1967" s="583" t="s">
        <v>560</v>
      </c>
      <c r="L1967" s="583" t="s">
        <v>992</v>
      </c>
      <c r="M1967" s="619">
        <v>64544</v>
      </c>
      <c r="N1967" s="620">
        <v>44530</v>
      </c>
      <c r="O1967" s="684" t="s">
        <v>67</v>
      </c>
      <c r="P1967" s="503">
        <f t="shared" si="146"/>
        <v>12</v>
      </c>
      <c r="Q1967" s="503">
        <f t="shared" si="147"/>
        <v>11</v>
      </c>
      <c r="R1967" s="504" t="str">
        <f t="shared" si="148"/>
        <v>Gastos_Gerais</v>
      </c>
      <c r="S1967" s="504" t="str">
        <f>IF(D1967="","",IF(OR(D1967=Plano!$A$1,D1967=Plano!$B$1),"entrada","saída"))</f>
        <v>saída</v>
      </c>
      <c r="T1967" s="505" t="s">
        <v>994</v>
      </c>
      <c r="U1967" s="505">
        <v>2469</v>
      </c>
      <c r="V1967" s="541"/>
    </row>
    <row r="1968" spans="1:22" ht="50.1" customHeight="1" x14ac:dyDescent="0.2">
      <c r="A1968" s="619">
        <f>IF(B1968="","",COUNT('Diário 5º PA'!$A$5:$A$2634)+COUNT('Diário 6º PA'!$A$5:$A$2246)+COUNT('Diário 7º PA'!$A$5:$A$2271)+ROW()-4)</f>
        <v>5914</v>
      </c>
      <c r="B1968" s="620">
        <v>44554</v>
      </c>
      <c r="C1968" s="621">
        <v>44531</v>
      </c>
      <c r="D1968" s="548" t="s">
        <v>99</v>
      </c>
      <c r="E1968" s="548" t="s">
        <v>272</v>
      </c>
      <c r="F1968" s="622">
        <v>10.45</v>
      </c>
      <c r="G1968" s="623" t="s">
        <v>7007</v>
      </c>
      <c r="H1968" s="548" t="s">
        <v>115</v>
      </c>
      <c r="I1968" s="583" t="s">
        <v>949</v>
      </c>
      <c r="J1968" s="548" t="s">
        <v>950</v>
      </c>
      <c r="K1968" s="583" t="s">
        <v>951</v>
      </c>
      <c r="L1968" s="583" t="s">
        <v>947</v>
      </c>
      <c r="M1968" s="625" t="s">
        <v>114</v>
      </c>
      <c r="N1968" s="620">
        <v>44554</v>
      </c>
      <c r="O1968" s="684" t="s">
        <v>67</v>
      </c>
      <c r="P1968" s="503">
        <f t="shared" si="146"/>
        <v>12</v>
      </c>
      <c r="Q1968" s="503">
        <f t="shared" si="147"/>
        <v>12</v>
      </c>
      <c r="R1968" s="504" t="str">
        <f t="shared" si="148"/>
        <v>Gastos_Gerais</v>
      </c>
      <c r="S1968" s="504" t="str">
        <f>IF(D1968="","",IF(OR(D1968=Plano!$A$1,D1968=Plano!$B$1),"entrada","saída"))</f>
        <v>saída</v>
      </c>
      <c r="T1968" s="505" t="s">
        <v>1082</v>
      </c>
      <c r="U1968" s="505">
        <v>1117</v>
      </c>
      <c r="V1968" s="541"/>
    </row>
    <row r="1969" spans="1:22" s="558" customFormat="1" ht="50.1" customHeight="1" x14ac:dyDescent="0.2">
      <c r="A1969" s="619">
        <f>IF(B1969="","",COUNT('Diário 5º PA'!$A$5:$A$2634)+COUNT('Diário 6º PA'!$A$5:$A$2246)+COUNT('Diário 7º PA'!$A$5:$A$2271)+ROW()-4)</f>
        <v>5915</v>
      </c>
      <c r="B1969" s="620">
        <v>44554</v>
      </c>
      <c r="C1969" s="628">
        <v>44531</v>
      </c>
      <c r="D1969" s="548" t="s">
        <v>77</v>
      </c>
      <c r="E1969" s="548" t="s">
        <v>147</v>
      </c>
      <c r="F1969" s="622">
        <v>210341.85</v>
      </c>
      <c r="G1969" s="623" t="s">
        <v>7062</v>
      </c>
      <c r="H1969" s="548" t="s">
        <v>114</v>
      </c>
      <c r="I1969" s="583" t="s">
        <v>983</v>
      </c>
      <c r="J1969" s="548" t="s">
        <v>850</v>
      </c>
      <c r="K1969" s="583" t="s">
        <v>1015</v>
      </c>
      <c r="L1969" s="583" t="s">
        <v>1177</v>
      </c>
      <c r="M1969" s="619" t="s">
        <v>114</v>
      </c>
      <c r="N1969" s="620">
        <v>44554</v>
      </c>
      <c r="O1969" s="684" t="s">
        <v>70</v>
      </c>
      <c r="P1969" s="503">
        <f t="shared" si="146"/>
        <v>12</v>
      </c>
      <c r="Q1969" s="503">
        <f t="shared" si="147"/>
        <v>12</v>
      </c>
      <c r="R1969" s="504" t="str">
        <f t="shared" si="148"/>
        <v>Receitas</v>
      </c>
      <c r="S1969" s="504" t="str">
        <f>IF(D1969="","",IF(OR(D1969=Plano!$A$1,D1969=Plano!$B$1),"entrada","saída"))</f>
        <v>entrada</v>
      </c>
      <c r="T1969" s="511" t="s">
        <v>114</v>
      </c>
      <c r="U1969" s="511" t="s">
        <v>114</v>
      </c>
      <c r="V1969" s="541"/>
    </row>
    <row r="1970" spans="1:22" s="558" customFormat="1" ht="50.1" customHeight="1" x14ac:dyDescent="0.2">
      <c r="A1970" s="619">
        <f>IF(B1970="","",COUNT('Diário 5º PA'!$A$5:$A$2634)+COUNT('Diário 6º PA'!$A$5:$A$2246)+COUNT('Diário 7º PA'!$A$5:$A$2271)+ROW()-4)</f>
        <v>5916</v>
      </c>
      <c r="B1970" s="620">
        <v>44554</v>
      </c>
      <c r="C1970" s="628">
        <v>44531</v>
      </c>
      <c r="D1970" s="548" t="s">
        <v>77</v>
      </c>
      <c r="E1970" s="548" t="s">
        <v>147</v>
      </c>
      <c r="F1970" s="622">
        <v>37119.15</v>
      </c>
      <c r="G1970" s="623" t="s">
        <v>7062</v>
      </c>
      <c r="H1970" s="548" t="s">
        <v>114</v>
      </c>
      <c r="I1970" s="583" t="s">
        <v>983</v>
      </c>
      <c r="J1970" s="548" t="s">
        <v>850</v>
      </c>
      <c r="K1970" s="583" t="s">
        <v>1015</v>
      </c>
      <c r="L1970" s="583" t="s">
        <v>1177</v>
      </c>
      <c r="M1970" s="619" t="s">
        <v>114</v>
      </c>
      <c r="N1970" s="620">
        <v>44554</v>
      </c>
      <c r="O1970" s="684" t="s">
        <v>70</v>
      </c>
      <c r="P1970" s="503">
        <f t="shared" si="146"/>
        <v>12</v>
      </c>
      <c r="Q1970" s="503">
        <f t="shared" si="147"/>
        <v>12</v>
      </c>
      <c r="R1970" s="504" t="str">
        <f t="shared" si="148"/>
        <v>Receitas</v>
      </c>
      <c r="S1970" s="504" t="str">
        <f>IF(D1970="","",IF(OR(D1970=Plano!$A$1,D1970=Plano!$B$1),"entrada","saída"))</f>
        <v>entrada</v>
      </c>
      <c r="T1970" s="511" t="s">
        <v>114</v>
      </c>
      <c r="U1970" s="511" t="s">
        <v>114</v>
      </c>
      <c r="V1970" s="541"/>
    </row>
    <row r="1971" spans="1:22" s="569" customFormat="1" ht="50.1" customHeight="1" x14ac:dyDescent="0.2">
      <c r="A1971" s="619">
        <f>IF(B1971="","",COUNT('Diário 5º PA'!$A$5:$A$2634)+COUNT('Diário 6º PA'!$A$5:$A$2246)+COUNT('Diário 7º PA'!$A$5:$A$2271)+ROW()-4)</f>
        <v>5917</v>
      </c>
      <c r="B1971" s="620">
        <v>44554</v>
      </c>
      <c r="C1971" s="621">
        <v>44501</v>
      </c>
      <c r="D1971" s="548" t="s">
        <v>104</v>
      </c>
      <c r="E1971" s="548" t="s">
        <v>104</v>
      </c>
      <c r="F1971" s="622">
        <v>115.03</v>
      </c>
      <c r="G1971" s="623" t="s">
        <v>7187</v>
      </c>
      <c r="H1971" s="548" t="s">
        <v>104</v>
      </c>
      <c r="I1971" s="583" t="s">
        <v>488</v>
      </c>
      <c r="J1971" s="548" t="s">
        <v>114</v>
      </c>
      <c r="K1971" s="583" t="s">
        <v>466</v>
      </c>
      <c r="L1971" s="583" t="s">
        <v>489</v>
      </c>
      <c r="M1971" s="625" t="s">
        <v>114</v>
      </c>
      <c r="N1971" s="620">
        <v>44554</v>
      </c>
      <c r="O1971" s="684" t="s">
        <v>68</v>
      </c>
      <c r="P1971" s="503">
        <f t="shared" si="146"/>
        <v>12</v>
      </c>
      <c r="Q1971" s="503">
        <f t="shared" si="147"/>
        <v>11</v>
      </c>
      <c r="R1971" s="504" t="str">
        <f t="shared" si="148"/>
        <v>Gastos_custeados_por_captação</v>
      </c>
      <c r="S1971" s="504" t="str">
        <f>IF(D1971="","",IF(OR(D1971=Plano!$A$1,D1971=Plano!$B$1),"entrada","saída"))</f>
        <v>saída</v>
      </c>
      <c r="T1971" s="511" t="s">
        <v>114</v>
      </c>
      <c r="U1971" s="511" t="s">
        <v>114</v>
      </c>
      <c r="V1971" s="541"/>
    </row>
    <row r="1972" spans="1:22" s="574" customFormat="1" ht="50.1" customHeight="1" x14ac:dyDescent="0.2">
      <c r="A1972" s="619">
        <f>IF(B1972="","",COUNT('Diário 5º PA'!$A$5:$A$2634)+COUNT('Diário 6º PA'!$A$5:$A$2246)+COUNT('Diário 7º PA'!$A$5:$A$2271)+ROW()-4)</f>
        <v>5918</v>
      </c>
      <c r="B1972" s="620">
        <v>44554</v>
      </c>
      <c r="C1972" s="621">
        <v>44501</v>
      </c>
      <c r="D1972" s="548" t="s">
        <v>104</v>
      </c>
      <c r="E1972" s="548" t="s">
        <v>104</v>
      </c>
      <c r="F1972" s="622">
        <v>14.07</v>
      </c>
      <c r="G1972" s="623" t="s">
        <v>7187</v>
      </c>
      <c r="H1972" s="548" t="s">
        <v>104</v>
      </c>
      <c r="I1972" s="583" t="s">
        <v>488</v>
      </c>
      <c r="J1972" s="548" t="s">
        <v>114</v>
      </c>
      <c r="K1972" s="583" t="s">
        <v>466</v>
      </c>
      <c r="L1972" s="583" t="s">
        <v>489</v>
      </c>
      <c r="M1972" s="625" t="s">
        <v>114</v>
      </c>
      <c r="N1972" s="620">
        <v>44554</v>
      </c>
      <c r="O1972" s="684" t="s">
        <v>70</v>
      </c>
      <c r="P1972" s="503">
        <f t="shared" ref="P1972" si="149">IF(B1972=0,0,IF(YEAR(B1972)=$Q$1,MONTH(B1972)-$P$1+1,(YEAR(B1972)-$Q$1)*12-$P$1+1+MONTH(B1972)))</f>
        <v>12</v>
      </c>
      <c r="Q1972" s="503">
        <f t="shared" ref="Q1972" si="150">IF(C1972=0,0,IF(YEAR(C1972)=$Q$1,MONTH(C1972)-$P$1+1,(YEAR(C1972)-$Q$1)*12-$P$1+1+MONTH(C1972)))</f>
        <v>11</v>
      </c>
      <c r="R1972" s="504" t="str">
        <f t="shared" ref="R1972" si="151">SUBSTITUTE(D1972," ","_")</f>
        <v>Gastos_custeados_por_captação</v>
      </c>
      <c r="S1972" s="504" t="str">
        <f>IF(D1972="","",IF(OR(D1972=Plano!$A$1,D1972=Plano!$B$1),"entrada","saída"))</f>
        <v>saída</v>
      </c>
      <c r="T1972" s="511" t="s">
        <v>994</v>
      </c>
      <c r="U1972" s="511">
        <v>2250</v>
      </c>
      <c r="V1972" s="541"/>
    </row>
    <row r="1973" spans="1:22" s="574" customFormat="1" ht="50.1" customHeight="1" x14ac:dyDescent="0.2">
      <c r="A1973" s="619">
        <f>IF(B1973="","",COUNT('Diário 5º PA'!$A$5:$A$2634)+COUNT('Diário 6º PA'!$A$5:$A$2246)+COUNT('Diário 7º PA'!$A$5:$A$2271)+ROW()-4)</f>
        <v>5919</v>
      </c>
      <c r="B1973" s="620">
        <v>44554</v>
      </c>
      <c r="C1973" s="621">
        <v>44501</v>
      </c>
      <c r="D1973" s="548" t="s">
        <v>104</v>
      </c>
      <c r="E1973" s="548" t="s">
        <v>104</v>
      </c>
      <c r="F1973" s="622">
        <v>5474.42</v>
      </c>
      <c r="G1973" s="623" t="s">
        <v>7280</v>
      </c>
      <c r="H1973" s="548" t="s">
        <v>104</v>
      </c>
      <c r="I1973" s="583" t="s">
        <v>7281</v>
      </c>
      <c r="J1973" s="548" t="s">
        <v>7282</v>
      </c>
      <c r="K1973" s="583" t="s">
        <v>991</v>
      </c>
      <c r="L1973" s="583" t="s">
        <v>1016</v>
      </c>
      <c r="M1973" s="625">
        <v>966</v>
      </c>
      <c r="N1973" s="620">
        <v>44552</v>
      </c>
      <c r="O1973" s="684" t="s">
        <v>70</v>
      </c>
      <c r="P1973" s="503">
        <f t="shared" ref="P1973" si="152">IF(B1973=0,0,IF(YEAR(B1973)=$Q$1,MONTH(B1973)-$P$1+1,(YEAR(B1973)-$Q$1)*12-$P$1+1+MONTH(B1973)))</f>
        <v>12</v>
      </c>
      <c r="Q1973" s="503">
        <f t="shared" ref="Q1973" si="153">IF(C1973=0,0,IF(YEAR(C1973)=$Q$1,MONTH(C1973)-$P$1+1,(YEAR(C1973)-$Q$1)*12-$P$1+1+MONTH(C1973)))</f>
        <v>11</v>
      </c>
      <c r="R1973" s="504" t="str">
        <f t="shared" ref="R1973" si="154">SUBSTITUTE(D1973," ","_")</f>
        <v>Gastos_custeados_por_captação</v>
      </c>
      <c r="S1973" s="504" t="str">
        <f>IF(D1973="","",IF(OR(D1973=Plano!$A$1,D1973=Plano!$B$1),"entrada","saída"))</f>
        <v>saída</v>
      </c>
      <c r="T1973" s="511" t="s">
        <v>994</v>
      </c>
      <c r="U1973" s="511">
        <v>2250</v>
      </c>
      <c r="V1973" s="541"/>
    </row>
    <row r="1974" spans="1:22" s="573" customFormat="1" ht="50.1" customHeight="1" x14ac:dyDescent="0.2">
      <c r="A1974" s="619">
        <f>IF(B1974="","",COUNT('Diário 5º PA'!$A$5:$A$2634)+COUNT('Diário 6º PA'!$A$5:$A$2246)+COUNT('Diário 7º PA'!$A$5:$A$2271)+ROW()-4)</f>
        <v>5920</v>
      </c>
      <c r="B1974" s="620">
        <v>44557</v>
      </c>
      <c r="C1974" s="621">
        <v>44531</v>
      </c>
      <c r="D1974" s="548" t="s">
        <v>104</v>
      </c>
      <c r="E1974" s="548" t="s">
        <v>104</v>
      </c>
      <c r="F1974" s="634">
        <v>5000</v>
      </c>
      <c r="G1974" s="664" t="s">
        <v>5371</v>
      </c>
      <c r="H1974" s="548" t="s">
        <v>104</v>
      </c>
      <c r="I1974" s="583" t="s">
        <v>2418</v>
      </c>
      <c r="J1974" s="548" t="s">
        <v>850</v>
      </c>
      <c r="K1974" s="583" t="s">
        <v>1015</v>
      </c>
      <c r="L1974" s="583" t="s">
        <v>1177</v>
      </c>
      <c r="M1974" s="625" t="s">
        <v>114</v>
      </c>
      <c r="N1974" s="620">
        <v>44557</v>
      </c>
      <c r="O1974" s="684" t="s">
        <v>5370</v>
      </c>
      <c r="P1974" s="503">
        <f t="shared" si="146"/>
        <v>12</v>
      </c>
      <c r="Q1974" s="503">
        <f t="shared" si="147"/>
        <v>12</v>
      </c>
      <c r="R1974" s="504" t="str">
        <f t="shared" si="148"/>
        <v>Gastos_custeados_por_captação</v>
      </c>
      <c r="S1974" s="504" t="str">
        <f>IF(D1974="","",IF(OR(D1974=Plano!$A$1,D1974=Plano!$B$1),"entrada","saída"))</f>
        <v>saída</v>
      </c>
      <c r="T1974" s="511" t="s">
        <v>114</v>
      </c>
      <c r="U1974" s="511" t="s">
        <v>114</v>
      </c>
      <c r="V1974" s="541"/>
    </row>
    <row r="1975" spans="1:22" s="573" customFormat="1" ht="50.1" customHeight="1" x14ac:dyDescent="0.2">
      <c r="A1975" s="619">
        <f>IF(B1975="","",COUNT('Diário 5º PA'!$A$5:$A$2634)+COUNT('Diário 6º PA'!$A$5:$A$2246)+COUNT('Diário 7º PA'!$A$5:$A$2271)+ROW()-4)</f>
        <v>5921</v>
      </c>
      <c r="B1975" s="620">
        <v>44557</v>
      </c>
      <c r="C1975" s="621">
        <v>44531</v>
      </c>
      <c r="D1975" s="548" t="s">
        <v>104</v>
      </c>
      <c r="E1975" s="548" t="s">
        <v>104</v>
      </c>
      <c r="F1975" s="634">
        <v>4900</v>
      </c>
      <c r="G1975" s="648" t="s">
        <v>6910</v>
      </c>
      <c r="H1975" s="548" t="s">
        <v>104</v>
      </c>
      <c r="I1975" s="583" t="s">
        <v>2418</v>
      </c>
      <c r="J1975" s="548" t="s">
        <v>850</v>
      </c>
      <c r="K1975" s="583" t="s">
        <v>1015</v>
      </c>
      <c r="L1975" s="583" t="s">
        <v>1177</v>
      </c>
      <c r="M1975" s="625" t="s">
        <v>114</v>
      </c>
      <c r="N1975" s="620">
        <v>44557</v>
      </c>
      <c r="O1975" s="684" t="s">
        <v>5370</v>
      </c>
      <c r="P1975" s="503">
        <f t="shared" si="146"/>
        <v>12</v>
      </c>
      <c r="Q1975" s="503">
        <f t="shared" si="147"/>
        <v>12</v>
      </c>
      <c r="R1975" s="504" t="str">
        <f t="shared" si="148"/>
        <v>Gastos_custeados_por_captação</v>
      </c>
      <c r="S1975" s="504" t="str">
        <f>IF(D1975="","",IF(OR(D1975=Plano!$A$1,D1975=Plano!$B$1),"entrada","saída"))</f>
        <v>saída</v>
      </c>
      <c r="T1975" s="511" t="s">
        <v>114</v>
      </c>
      <c r="U1975" s="511" t="s">
        <v>114</v>
      </c>
      <c r="V1975" s="541"/>
    </row>
    <row r="1976" spans="1:22" s="573" customFormat="1" ht="50.1" customHeight="1" x14ac:dyDescent="0.2">
      <c r="A1976" s="619">
        <f>IF(B1976="","",COUNT('Diário 5º PA'!$A$5:$A$2634)+COUNT('Diário 6º PA'!$A$5:$A$2246)+COUNT('Diário 7º PA'!$A$5:$A$2271)+ROW()-4)</f>
        <v>5922</v>
      </c>
      <c r="B1976" s="620">
        <v>44557</v>
      </c>
      <c r="C1976" s="621">
        <v>44531</v>
      </c>
      <c r="D1976" s="548" t="s">
        <v>104</v>
      </c>
      <c r="E1976" s="548" t="s">
        <v>104</v>
      </c>
      <c r="F1976" s="634">
        <v>5550</v>
      </c>
      <c r="G1976" s="648" t="s">
        <v>6911</v>
      </c>
      <c r="H1976" s="548" t="s">
        <v>104</v>
      </c>
      <c r="I1976" s="583" t="s">
        <v>2418</v>
      </c>
      <c r="J1976" s="548" t="s">
        <v>850</v>
      </c>
      <c r="K1976" s="583" t="s">
        <v>1015</v>
      </c>
      <c r="L1976" s="583" t="s">
        <v>1177</v>
      </c>
      <c r="M1976" s="625" t="s">
        <v>114</v>
      </c>
      <c r="N1976" s="620">
        <v>44557</v>
      </c>
      <c r="O1976" s="684" t="s">
        <v>5370</v>
      </c>
      <c r="P1976" s="503">
        <f t="shared" si="146"/>
        <v>12</v>
      </c>
      <c r="Q1976" s="503">
        <f t="shared" si="147"/>
        <v>12</v>
      </c>
      <c r="R1976" s="504" t="str">
        <f t="shared" si="148"/>
        <v>Gastos_custeados_por_captação</v>
      </c>
      <c r="S1976" s="504" t="str">
        <f>IF(D1976="","",IF(OR(D1976=Plano!$A$1,D1976=Plano!$B$1),"entrada","saída"))</f>
        <v>saída</v>
      </c>
      <c r="T1976" s="511" t="s">
        <v>114</v>
      </c>
      <c r="U1976" s="511" t="s">
        <v>114</v>
      </c>
      <c r="V1976" s="541"/>
    </row>
    <row r="1977" spans="1:22" ht="69" customHeight="1" x14ac:dyDescent="0.2">
      <c r="A1977" s="619">
        <f>IF(B1977="","",COUNT('Diário 5º PA'!$A$5:$A$2634)+COUNT('Diário 6º PA'!$A$5:$A$2246)+COUNT('Diário 7º PA'!$A$5:$A$2271)+ROW()-4)</f>
        <v>5923</v>
      </c>
      <c r="B1977" s="620">
        <v>44557</v>
      </c>
      <c r="C1977" s="621">
        <v>44501</v>
      </c>
      <c r="D1977" s="548" t="s">
        <v>99</v>
      </c>
      <c r="E1977" s="548" t="s">
        <v>222</v>
      </c>
      <c r="F1977" s="622">
        <v>-209.93</v>
      </c>
      <c r="G1977" s="623" t="s">
        <v>7012</v>
      </c>
      <c r="H1977" s="548" t="s">
        <v>115</v>
      </c>
      <c r="I1977" s="583" t="s">
        <v>983</v>
      </c>
      <c r="J1977" s="548" t="s">
        <v>850</v>
      </c>
      <c r="K1977" s="583" t="s">
        <v>946</v>
      </c>
      <c r="L1977" s="583" t="s">
        <v>947</v>
      </c>
      <c r="M1977" s="619" t="s">
        <v>114</v>
      </c>
      <c r="N1977" s="620">
        <v>44557</v>
      </c>
      <c r="O1977" s="684" t="s">
        <v>67</v>
      </c>
      <c r="P1977" s="503">
        <f t="shared" si="146"/>
        <v>12</v>
      </c>
      <c r="Q1977" s="503">
        <f t="shared" si="147"/>
        <v>11</v>
      </c>
      <c r="R1977" s="504" t="str">
        <f t="shared" si="148"/>
        <v>Gastos_Gerais</v>
      </c>
      <c r="S1977" s="504" t="str">
        <f>IF(D1977="","",IF(OR(D1977=Plano!$A$1,D1977=Plano!$B$1),"entrada","saída"))</f>
        <v>saída</v>
      </c>
      <c r="T1977" s="546" t="s">
        <v>114</v>
      </c>
      <c r="U1977" s="546" t="s">
        <v>114</v>
      </c>
      <c r="V1977" s="541"/>
    </row>
    <row r="1978" spans="1:22" ht="70.5" customHeight="1" x14ac:dyDescent="0.2">
      <c r="A1978" s="619">
        <f>IF(B1978="","",COUNT('Diário 5º PA'!$A$5:$A$2634)+COUNT('Diário 6º PA'!$A$5:$A$2246)+COUNT('Diário 7º PA'!$A$5:$A$2271)+ROW()-4)</f>
        <v>5924</v>
      </c>
      <c r="B1978" s="620">
        <v>44557</v>
      </c>
      <c r="C1978" s="621">
        <v>44531</v>
      </c>
      <c r="D1978" s="548" t="s">
        <v>99</v>
      </c>
      <c r="E1978" s="548" t="s">
        <v>276</v>
      </c>
      <c r="F1978" s="622">
        <v>-120.63</v>
      </c>
      <c r="G1978" s="623" t="s">
        <v>1618</v>
      </c>
      <c r="H1978" s="548" t="s">
        <v>115</v>
      </c>
      <c r="I1978" s="583" t="s">
        <v>983</v>
      </c>
      <c r="J1978" s="548" t="s">
        <v>850</v>
      </c>
      <c r="K1978" s="583" t="s">
        <v>946</v>
      </c>
      <c r="L1978" s="583" t="s">
        <v>947</v>
      </c>
      <c r="M1978" s="619" t="s">
        <v>114</v>
      </c>
      <c r="N1978" s="620">
        <v>44557</v>
      </c>
      <c r="O1978" s="684" t="s">
        <v>67</v>
      </c>
      <c r="P1978" s="503">
        <f t="shared" si="146"/>
        <v>12</v>
      </c>
      <c r="Q1978" s="503">
        <f t="shared" si="147"/>
        <v>12</v>
      </c>
      <c r="R1978" s="504" t="str">
        <f t="shared" si="148"/>
        <v>Gastos_Gerais</v>
      </c>
      <c r="S1978" s="504" t="str">
        <f>IF(D1978="","",IF(OR(D1978=Plano!$A$1,D1978=Plano!$B$1),"entrada","saída"))</f>
        <v>saída</v>
      </c>
      <c r="T1978" s="546" t="s">
        <v>114</v>
      </c>
      <c r="U1978" s="546" t="s">
        <v>114</v>
      </c>
      <c r="V1978" s="541"/>
    </row>
    <row r="1979" spans="1:22" ht="62.25" customHeight="1" x14ac:dyDescent="0.2">
      <c r="A1979" s="619">
        <f>IF(B1979="","",COUNT('Diário 5º PA'!$A$5:$A$2634)+COUNT('Diário 6º PA'!$A$5:$A$2246)+COUNT('Diário 7º PA'!$A$5:$A$2271)+ROW()-4)</f>
        <v>5925</v>
      </c>
      <c r="B1979" s="620">
        <v>44557</v>
      </c>
      <c r="C1979" s="621">
        <v>44531</v>
      </c>
      <c r="D1979" s="548" t="s">
        <v>99</v>
      </c>
      <c r="E1979" s="548" t="s">
        <v>276</v>
      </c>
      <c r="F1979" s="622">
        <v>456.74</v>
      </c>
      <c r="G1979" s="623" t="s">
        <v>630</v>
      </c>
      <c r="H1979" s="548" t="s">
        <v>115</v>
      </c>
      <c r="I1979" s="583" t="s">
        <v>465</v>
      </c>
      <c r="J1979" s="548" t="s">
        <v>114</v>
      </c>
      <c r="K1979" s="583" t="s">
        <v>466</v>
      </c>
      <c r="L1979" s="583" t="s">
        <v>629</v>
      </c>
      <c r="M1979" s="619" t="s">
        <v>7014</v>
      </c>
      <c r="N1979" s="620">
        <v>44557</v>
      </c>
      <c r="O1979" s="684" t="s">
        <v>67</v>
      </c>
      <c r="P1979" s="503">
        <f t="shared" si="146"/>
        <v>12</v>
      </c>
      <c r="Q1979" s="503">
        <f t="shared" si="147"/>
        <v>12</v>
      </c>
      <c r="R1979" s="504" t="str">
        <f t="shared" si="148"/>
        <v>Gastos_Gerais</v>
      </c>
      <c r="S1979" s="504" t="str">
        <f>IF(D1979="","",IF(OR(D1979=Plano!$A$1,D1979=Plano!$B$1),"entrada","saída"))</f>
        <v>saída</v>
      </c>
      <c r="T1979" s="505" t="s">
        <v>114</v>
      </c>
      <c r="U1979" s="505" t="s">
        <v>114</v>
      </c>
      <c r="V1979" s="541"/>
    </row>
    <row r="1980" spans="1:22" ht="75" customHeight="1" x14ac:dyDescent="0.2">
      <c r="A1980" s="619">
        <f>IF(B1980="","",COUNT('Diário 5º PA'!$A$5:$A$2634)+COUNT('Diário 6º PA'!$A$5:$A$2246)+COUNT('Diário 7º PA'!$A$5:$A$2271)+ROW()-4)</f>
        <v>5926</v>
      </c>
      <c r="B1980" s="620">
        <v>44557</v>
      </c>
      <c r="C1980" s="624">
        <v>44531</v>
      </c>
      <c r="D1980" s="548" t="s">
        <v>99</v>
      </c>
      <c r="E1980" s="548" t="s">
        <v>368</v>
      </c>
      <c r="F1980" s="622">
        <v>2931.88</v>
      </c>
      <c r="G1980" s="623" t="s">
        <v>6720</v>
      </c>
      <c r="H1980" s="548" t="s">
        <v>128</v>
      </c>
      <c r="I1980" s="583" t="s">
        <v>7015</v>
      </c>
      <c r="J1980" s="548" t="s">
        <v>6721</v>
      </c>
      <c r="K1980" s="583" t="s">
        <v>560</v>
      </c>
      <c r="L1980" s="583" t="s">
        <v>6829</v>
      </c>
      <c r="M1980" s="619">
        <v>2121813863</v>
      </c>
      <c r="N1980" s="620">
        <v>44545</v>
      </c>
      <c r="O1980" s="684" t="s">
        <v>67</v>
      </c>
      <c r="P1980" s="503">
        <f t="shared" si="146"/>
        <v>12</v>
      </c>
      <c r="Q1980" s="503">
        <f t="shared" si="147"/>
        <v>12</v>
      </c>
      <c r="R1980" s="504" t="str">
        <f t="shared" si="148"/>
        <v>Gastos_Gerais</v>
      </c>
      <c r="S1980" s="504" t="str">
        <f>IF(D1980="","",IF(OR(D1980=Plano!$A$1,D1980=Plano!$B$1),"entrada","saída"))</f>
        <v>saída</v>
      </c>
      <c r="T1980" s="505" t="s">
        <v>994</v>
      </c>
      <c r="U1980" s="505">
        <v>2630</v>
      </c>
      <c r="V1980" s="541"/>
    </row>
    <row r="1981" spans="1:22" ht="50.1" customHeight="1" x14ac:dyDescent="0.2">
      <c r="A1981" s="619">
        <f>IF(B1981="","",COUNT('Diário 5º PA'!$A$5:$A$2634)+COUNT('Diário 6º PA'!$A$5:$A$2246)+COUNT('Diário 7º PA'!$A$5:$A$2271)+ROW()-4)</f>
        <v>5927</v>
      </c>
      <c r="B1981" s="620">
        <v>44557</v>
      </c>
      <c r="C1981" s="621">
        <v>44501</v>
      </c>
      <c r="D1981" s="548" t="s">
        <v>99</v>
      </c>
      <c r="E1981" s="548" t="s">
        <v>222</v>
      </c>
      <c r="F1981" s="622">
        <v>794.89</v>
      </c>
      <c r="G1981" s="623" t="s">
        <v>7013</v>
      </c>
      <c r="H1981" s="548" t="s">
        <v>115</v>
      </c>
      <c r="I1981" s="583" t="s">
        <v>525</v>
      </c>
      <c r="J1981" s="548" t="s">
        <v>1568</v>
      </c>
      <c r="K1981" s="583" t="s">
        <v>1375</v>
      </c>
      <c r="L1981" s="583" t="s">
        <v>697</v>
      </c>
      <c r="M1981" s="619" t="s">
        <v>114</v>
      </c>
      <c r="N1981" s="620">
        <v>44537</v>
      </c>
      <c r="O1981" s="684" t="s">
        <v>67</v>
      </c>
      <c r="P1981" s="503">
        <f t="shared" si="146"/>
        <v>12</v>
      </c>
      <c r="Q1981" s="503">
        <f t="shared" si="147"/>
        <v>11</v>
      </c>
      <c r="R1981" s="504" t="str">
        <f t="shared" si="148"/>
        <v>Gastos_Gerais</v>
      </c>
      <c r="S1981" s="504" t="str">
        <f>IF(D1981="","",IF(OR(D1981=Plano!$A$1,D1981=Plano!$B$1),"entrada","saída"))</f>
        <v>saída</v>
      </c>
      <c r="T1981" s="546" t="s">
        <v>114</v>
      </c>
      <c r="U1981" s="546" t="s">
        <v>114</v>
      </c>
      <c r="V1981" s="541"/>
    </row>
    <row r="1982" spans="1:22" ht="50.1" customHeight="1" x14ac:dyDescent="0.2">
      <c r="A1982" s="619">
        <f>IF(B1982="","",COUNT('Diário 5º PA'!$A$5:$A$2634)+COUNT('Diário 6º PA'!$A$5:$A$2246)+COUNT('Diário 7º PA'!$A$5:$A$2271)+ROW()-4)</f>
        <v>5928</v>
      </c>
      <c r="B1982" s="620">
        <v>44557</v>
      </c>
      <c r="C1982" s="624">
        <v>44531</v>
      </c>
      <c r="D1982" s="548" t="s">
        <v>99</v>
      </c>
      <c r="E1982" s="548" t="s">
        <v>330</v>
      </c>
      <c r="F1982" s="622">
        <v>342</v>
      </c>
      <c r="G1982" s="623" t="s">
        <v>649</v>
      </c>
      <c r="H1982" s="548" t="s">
        <v>115</v>
      </c>
      <c r="I1982" s="583" t="s">
        <v>1570</v>
      </c>
      <c r="J1982" s="548" t="s">
        <v>646</v>
      </c>
      <c r="K1982" s="583" t="s">
        <v>560</v>
      </c>
      <c r="L1982" s="583" t="s">
        <v>992</v>
      </c>
      <c r="M1982" s="619">
        <v>5467959</v>
      </c>
      <c r="N1982" s="620">
        <v>44559</v>
      </c>
      <c r="O1982" s="684" t="s">
        <v>67</v>
      </c>
      <c r="P1982" s="503">
        <f t="shared" si="146"/>
        <v>12</v>
      </c>
      <c r="Q1982" s="503">
        <f t="shared" si="147"/>
        <v>12</v>
      </c>
      <c r="R1982" s="504" t="str">
        <f t="shared" si="148"/>
        <v>Gastos_Gerais</v>
      </c>
      <c r="S1982" s="504" t="str">
        <f>IF(D1982="","",IF(OR(D1982=Plano!$A$1,D1982=Plano!$B$1),"entrada","saída"))</f>
        <v>saída</v>
      </c>
      <c r="T1982" s="517" t="s">
        <v>994</v>
      </c>
      <c r="U1982" s="505">
        <v>1551</v>
      </c>
      <c r="V1982" s="541"/>
    </row>
    <row r="1983" spans="1:22" s="569" customFormat="1" ht="50.1" customHeight="1" x14ac:dyDescent="0.2">
      <c r="A1983" s="619">
        <f>IF(B1983="","",COUNT('Diário 5º PA'!$A$5:$A$2634)+COUNT('Diário 6º PA'!$A$5:$A$2246)+COUNT('Diário 7º PA'!$A$5:$A$2271)+ROW()-4)</f>
        <v>5929</v>
      </c>
      <c r="B1983" s="620">
        <v>44557</v>
      </c>
      <c r="C1983" s="624">
        <v>44531</v>
      </c>
      <c r="D1983" s="548" t="s">
        <v>104</v>
      </c>
      <c r="E1983" s="548" t="s">
        <v>104</v>
      </c>
      <c r="F1983" s="634">
        <v>-5550</v>
      </c>
      <c r="G1983" s="648" t="s">
        <v>6911</v>
      </c>
      <c r="H1983" s="548" t="s">
        <v>104</v>
      </c>
      <c r="I1983" s="583" t="s">
        <v>2418</v>
      </c>
      <c r="J1983" s="548" t="s">
        <v>850</v>
      </c>
      <c r="K1983" s="583" t="s">
        <v>1015</v>
      </c>
      <c r="L1983" s="583" t="s">
        <v>1177</v>
      </c>
      <c r="M1983" s="625" t="s">
        <v>114</v>
      </c>
      <c r="N1983" s="620">
        <v>44557</v>
      </c>
      <c r="O1983" s="684" t="s">
        <v>71</v>
      </c>
      <c r="P1983" s="503">
        <f t="shared" si="146"/>
        <v>12</v>
      </c>
      <c r="Q1983" s="503">
        <f t="shared" si="147"/>
        <v>12</v>
      </c>
      <c r="R1983" s="504" t="str">
        <f t="shared" si="148"/>
        <v>Gastos_custeados_por_captação</v>
      </c>
      <c r="S1983" s="504" t="str">
        <f>IF(D1983="","",IF(OR(D1983=Plano!$A$1,D1983=Plano!$B$1),"entrada","saída"))</f>
        <v>saída</v>
      </c>
      <c r="T1983" s="511" t="s">
        <v>114</v>
      </c>
      <c r="U1983" s="511" t="s">
        <v>114</v>
      </c>
      <c r="V1983" s="541"/>
    </row>
    <row r="1984" spans="1:22" s="569" customFormat="1" ht="50.1" customHeight="1" x14ac:dyDescent="0.2">
      <c r="A1984" s="619">
        <f>IF(B1984="","",COUNT('Diário 5º PA'!$A$5:$A$2634)+COUNT('Diário 6º PA'!$A$5:$A$2246)+COUNT('Diário 7º PA'!$A$5:$A$2271)+ROW()-4)</f>
        <v>5930</v>
      </c>
      <c r="B1984" s="620">
        <v>44557</v>
      </c>
      <c r="C1984" s="624">
        <v>44531</v>
      </c>
      <c r="D1984" s="548" t="s">
        <v>104</v>
      </c>
      <c r="E1984" s="548" t="s">
        <v>104</v>
      </c>
      <c r="F1984" s="634">
        <v>-4900</v>
      </c>
      <c r="G1984" s="648" t="s">
        <v>6910</v>
      </c>
      <c r="H1984" s="548" t="s">
        <v>104</v>
      </c>
      <c r="I1984" s="583" t="s">
        <v>2418</v>
      </c>
      <c r="J1984" s="548" t="s">
        <v>850</v>
      </c>
      <c r="K1984" s="583" t="s">
        <v>1015</v>
      </c>
      <c r="L1984" s="583" t="s">
        <v>1177</v>
      </c>
      <c r="M1984" s="625" t="s">
        <v>114</v>
      </c>
      <c r="N1984" s="620">
        <v>44557</v>
      </c>
      <c r="O1984" s="684" t="s">
        <v>71</v>
      </c>
      <c r="P1984" s="503">
        <f t="shared" si="146"/>
        <v>12</v>
      </c>
      <c r="Q1984" s="503">
        <f t="shared" si="147"/>
        <v>12</v>
      </c>
      <c r="R1984" s="504" t="str">
        <f t="shared" si="148"/>
        <v>Gastos_custeados_por_captação</v>
      </c>
      <c r="S1984" s="504" t="str">
        <f>IF(D1984="","",IF(OR(D1984=Plano!$A$1,D1984=Plano!$B$1),"entrada","saída"))</f>
        <v>saída</v>
      </c>
      <c r="T1984" s="511" t="s">
        <v>114</v>
      </c>
      <c r="U1984" s="511" t="s">
        <v>114</v>
      </c>
      <c r="V1984" s="541"/>
    </row>
    <row r="1985" spans="1:22" s="569" customFormat="1" ht="50.1" customHeight="1" x14ac:dyDescent="0.2">
      <c r="A1985" s="619">
        <f>IF(B1985="","",COUNT('Diário 5º PA'!$A$5:$A$2634)+COUNT('Diário 6º PA'!$A$5:$A$2246)+COUNT('Diário 7º PA'!$A$5:$A$2271)+ROW()-4)</f>
        <v>5931</v>
      </c>
      <c r="B1985" s="620">
        <v>44557</v>
      </c>
      <c r="C1985" s="624">
        <v>44531</v>
      </c>
      <c r="D1985" s="548" t="s">
        <v>104</v>
      </c>
      <c r="E1985" s="548" t="s">
        <v>104</v>
      </c>
      <c r="F1985" s="634">
        <v>-5000</v>
      </c>
      <c r="G1985" s="648" t="s">
        <v>5371</v>
      </c>
      <c r="H1985" s="548" t="s">
        <v>104</v>
      </c>
      <c r="I1985" s="583" t="s">
        <v>2418</v>
      </c>
      <c r="J1985" s="548" t="s">
        <v>850</v>
      </c>
      <c r="K1985" s="583" t="s">
        <v>1015</v>
      </c>
      <c r="L1985" s="583" t="s">
        <v>1177</v>
      </c>
      <c r="M1985" s="625" t="s">
        <v>114</v>
      </c>
      <c r="N1985" s="620">
        <v>44557</v>
      </c>
      <c r="O1985" s="684" t="s">
        <v>71</v>
      </c>
      <c r="P1985" s="503">
        <f t="shared" si="146"/>
        <v>12</v>
      </c>
      <c r="Q1985" s="503">
        <f t="shared" si="147"/>
        <v>12</v>
      </c>
      <c r="R1985" s="504" t="str">
        <f t="shared" si="148"/>
        <v>Gastos_custeados_por_captação</v>
      </c>
      <c r="S1985" s="504" t="str">
        <f>IF(D1985="","",IF(OR(D1985=Plano!$A$1,D1985=Plano!$B$1),"entrada","saída"))</f>
        <v>saída</v>
      </c>
      <c r="T1985" s="511" t="s">
        <v>114</v>
      </c>
      <c r="U1985" s="511" t="s">
        <v>114</v>
      </c>
      <c r="V1985" s="541"/>
    </row>
    <row r="1986" spans="1:22" s="569" customFormat="1" ht="50.1" customHeight="1" x14ac:dyDescent="0.2">
      <c r="A1986" s="619">
        <f>IF(B1986="","",COUNT('Diário 5º PA'!$A$5:$A$2634)+COUNT('Diário 6º PA'!$A$5:$A$2246)+COUNT('Diário 7º PA'!$A$5:$A$2271)+ROW()-4)</f>
        <v>5932</v>
      </c>
      <c r="B1986" s="620">
        <v>44557</v>
      </c>
      <c r="C1986" s="624">
        <v>44531</v>
      </c>
      <c r="D1986" s="548" t="s">
        <v>104</v>
      </c>
      <c r="E1986" s="548" t="s">
        <v>104</v>
      </c>
      <c r="F1986" s="634">
        <v>-4350</v>
      </c>
      <c r="G1986" s="648" t="s">
        <v>5371</v>
      </c>
      <c r="H1986" s="548" t="s">
        <v>104</v>
      </c>
      <c r="I1986" s="583" t="s">
        <v>2418</v>
      </c>
      <c r="J1986" s="548" t="s">
        <v>850</v>
      </c>
      <c r="K1986" s="583" t="s">
        <v>1015</v>
      </c>
      <c r="L1986" s="583" t="s">
        <v>1177</v>
      </c>
      <c r="M1986" s="625" t="s">
        <v>114</v>
      </c>
      <c r="N1986" s="620">
        <v>44557</v>
      </c>
      <c r="O1986" s="684" t="s">
        <v>71</v>
      </c>
      <c r="P1986" s="503">
        <f t="shared" si="146"/>
        <v>12</v>
      </c>
      <c r="Q1986" s="503">
        <f t="shared" si="147"/>
        <v>12</v>
      </c>
      <c r="R1986" s="504" t="str">
        <f t="shared" si="148"/>
        <v>Gastos_custeados_por_captação</v>
      </c>
      <c r="S1986" s="504" t="str">
        <f>IF(D1986="","",IF(OR(D1986=Plano!$A$1,D1986=Plano!$B$1),"entrada","saída"))</f>
        <v>saída</v>
      </c>
      <c r="T1986" s="511" t="s">
        <v>114</v>
      </c>
      <c r="U1986" s="511" t="s">
        <v>114</v>
      </c>
      <c r="V1986" s="541"/>
    </row>
    <row r="1987" spans="1:22" s="569" customFormat="1" ht="50.1" customHeight="1" x14ac:dyDescent="0.2">
      <c r="A1987" s="619">
        <f>IF(B1987="","",COUNT('Diário 5º PA'!$A$5:$A$2634)+COUNT('Diário 6º PA'!$A$5:$A$2246)+COUNT('Diário 7º PA'!$A$5:$A$2271)+ROW()-4)</f>
        <v>5933</v>
      </c>
      <c r="B1987" s="620">
        <v>44557</v>
      </c>
      <c r="C1987" s="624">
        <v>44531</v>
      </c>
      <c r="D1987" s="548" t="s">
        <v>104</v>
      </c>
      <c r="E1987" s="548" t="s">
        <v>104</v>
      </c>
      <c r="F1987" s="634">
        <v>-4500</v>
      </c>
      <c r="G1987" s="648" t="s">
        <v>5501</v>
      </c>
      <c r="H1987" s="548" t="s">
        <v>104</v>
      </c>
      <c r="I1987" s="583" t="s">
        <v>2418</v>
      </c>
      <c r="J1987" s="548" t="s">
        <v>850</v>
      </c>
      <c r="K1987" s="583" t="s">
        <v>1015</v>
      </c>
      <c r="L1987" s="583" t="s">
        <v>1177</v>
      </c>
      <c r="M1987" s="625" t="s">
        <v>114</v>
      </c>
      <c r="N1987" s="620">
        <v>44557</v>
      </c>
      <c r="O1987" s="684" t="s">
        <v>71</v>
      </c>
      <c r="P1987" s="503">
        <f t="shared" si="146"/>
        <v>12</v>
      </c>
      <c r="Q1987" s="503">
        <f t="shared" si="147"/>
        <v>12</v>
      </c>
      <c r="R1987" s="504" t="str">
        <f t="shared" si="148"/>
        <v>Gastos_custeados_por_captação</v>
      </c>
      <c r="S1987" s="504" t="str">
        <f>IF(D1987="","",IF(OR(D1987=Plano!$A$1,D1987=Plano!$B$1),"entrada","saída"))</f>
        <v>saída</v>
      </c>
      <c r="T1987" s="511" t="s">
        <v>114</v>
      </c>
      <c r="U1987" s="511" t="s">
        <v>114</v>
      </c>
      <c r="V1987" s="541"/>
    </row>
    <row r="1988" spans="1:22" s="569" customFormat="1" ht="50.1" customHeight="1" x14ac:dyDescent="0.2">
      <c r="A1988" s="619">
        <f>IF(B1988="","",COUNT('Diário 5º PA'!$A$5:$A$2634)+COUNT('Diário 6º PA'!$A$5:$A$2246)+COUNT('Diário 7º PA'!$A$5:$A$2271)+ROW()-4)</f>
        <v>5934</v>
      </c>
      <c r="B1988" s="620">
        <v>44557</v>
      </c>
      <c r="C1988" s="624">
        <v>44531</v>
      </c>
      <c r="D1988" s="548" t="s">
        <v>104</v>
      </c>
      <c r="E1988" s="548" t="s">
        <v>104</v>
      </c>
      <c r="F1988" s="675">
        <v>-5000</v>
      </c>
      <c r="G1988" s="639" t="s">
        <v>5371</v>
      </c>
      <c r="H1988" s="548" t="s">
        <v>104</v>
      </c>
      <c r="I1988" s="583" t="s">
        <v>2418</v>
      </c>
      <c r="J1988" s="548" t="s">
        <v>850</v>
      </c>
      <c r="K1988" s="583" t="s">
        <v>1015</v>
      </c>
      <c r="L1988" s="583" t="s">
        <v>1177</v>
      </c>
      <c r="M1988" s="625" t="s">
        <v>114</v>
      </c>
      <c r="N1988" s="620">
        <v>44557</v>
      </c>
      <c r="O1988" s="684" t="s">
        <v>71</v>
      </c>
      <c r="P1988" s="503">
        <f t="shared" si="146"/>
        <v>12</v>
      </c>
      <c r="Q1988" s="503">
        <f t="shared" si="147"/>
        <v>12</v>
      </c>
      <c r="R1988" s="504" t="str">
        <f t="shared" si="148"/>
        <v>Gastos_custeados_por_captação</v>
      </c>
      <c r="S1988" s="504" t="str">
        <f>IF(D1988="","",IF(OR(D1988=Plano!$A$1,D1988=Plano!$B$1),"entrada","saída"))</f>
        <v>saída</v>
      </c>
      <c r="T1988" s="511" t="s">
        <v>114</v>
      </c>
      <c r="U1988" s="511" t="s">
        <v>114</v>
      </c>
      <c r="V1988" s="541"/>
    </row>
    <row r="1989" spans="1:22" s="569" customFormat="1" ht="50.1" customHeight="1" x14ac:dyDescent="0.2">
      <c r="A1989" s="619">
        <f>IF(B1989="","",COUNT('Diário 5º PA'!$A$5:$A$2634)+COUNT('Diário 6º PA'!$A$5:$A$2246)+COUNT('Diário 7º PA'!$A$5:$A$2271)+ROW()-4)</f>
        <v>5935</v>
      </c>
      <c r="B1989" s="620">
        <v>44557</v>
      </c>
      <c r="C1989" s="624">
        <v>44531</v>
      </c>
      <c r="D1989" s="548" t="s">
        <v>104</v>
      </c>
      <c r="E1989" s="548" t="s">
        <v>104</v>
      </c>
      <c r="F1989" s="634">
        <v>1636.81</v>
      </c>
      <c r="G1989" s="623" t="s">
        <v>7211</v>
      </c>
      <c r="H1989" s="676" t="s">
        <v>104</v>
      </c>
      <c r="I1989" s="583" t="s">
        <v>7212</v>
      </c>
      <c r="J1989" s="548" t="s">
        <v>927</v>
      </c>
      <c r="K1989" s="583" t="s">
        <v>1015</v>
      </c>
      <c r="L1989" s="583" t="s">
        <v>992</v>
      </c>
      <c r="M1989" s="625">
        <v>1398</v>
      </c>
      <c r="N1989" s="620">
        <v>44526</v>
      </c>
      <c r="O1989" s="684" t="s">
        <v>71</v>
      </c>
      <c r="P1989" s="503">
        <f t="shared" si="146"/>
        <v>12</v>
      </c>
      <c r="Q1989" s="503">
        <f t="shared" si="147"/>
        <v>12</v>
      </c>
      <c r="R1989" s="504" t="str">
        <f t="shared" si="148"/>
        <v>Gastos_custeados_por_captação</v>
      </c>
      <c r="S1989" s="504" t="str">
        <f>IF(D1989="","",IF(OR(D1989=Plano!$A$1,D1989=Plano!$B$1),"entrada","saída"))</f>
        <v>saída</v>
      </c>
      <c r="T1989" s="511" t="s">
        <v>1417</v>
      </c>
      <c r="U1989" s="505">
        <v>2442</v>
      </c>
      <c r="V1989" s="541"/>
    </row>
    <row r="1990" spans="1:22" s="574" customFormat="1" ht="50.1" customHeight="1" x14ac:dyDescent="0.2">
      <c r="A1990" s="619">
        <f>IF(B1990="","",COUNT('Diário 5º PA'!$A$5:$A$2634)+COUNT('Diário 6º PA'!$A$5:$A$2246)+COUNT('Diário 7º PA'!$A$5:$A$2271)+ROW()-4)</f>
        <v>5936</v>
      </c>
      <c r="B1990" s="620">
        <v>44557</v>
      </c>
      <c r="C1990" s="624">
        <v>44501</v>
      </c>
      <c r="D1990" s="548" t="s">
        <v>104</v>
      </c>
      <c r="E1990" s="548" t="s">
        <v>104</v>
      </c>
      <c r="F1990" s="655">
        <v>0.91</v>
      </c>
      <c r="G1990" s="648" t="s">
        <v>7283</v>
      </c>
      <c r="H1990" s="676" t="s">
        <v>104</v>
      </c>
      <c r="I1990" s="627" t="s">
        <v>7116</v>
      </c>
      <c r="J1990" s="548" t="s">
        <v>950</v>
      </c>
      <c r="K1990" s="583" t="s">
        <v>951</v>
      </c>
      <c r="L1990" s="583" t="s">
        <v>947</v>
      </c>
      <c r="M1990" s="625" t="s">
        <v>114</v>
      </c>
      <c r="N1990" s="656">
        <v>44557</v>
      </c>
      <c r="O1990" s="684" t="s">
        <v>70</v>
      </c>
      <c r="P1990" s="503">
        <f t="shared" ref="P1990" si="155">IF(B1990=0,0,IF(YEAR(B1990)=$Q$1,MONTH(B1990)-$P$1+1,(YEAR(B1990)-$Q$1)*12-$P$1+1+MONTH(B1990)))</f>
        <v>12</v>
      </c>
      <c r="Q1990" s="503">
        <f t="shared" ref="Q1990" si="156">IF(C1990=0,0,IF(YEAR(C1990)=$Q$1,MONTH(C1990)-$P$1+1,(YEAR(C1990)-$Q$1)*12-$P$1+1+MONTH(C1990)))</f>
        <v>11</v>
      </c>
      <c r="R1990" s="580" t="str">
        <f t="shared" ref="R1990" si="157">SUBSTITUTE(D1990," ","_")</f>
        <v>Gastos_custeados_por_captação</v>
      </c>
      <c r="S1990" s="504" t="str">
        <f>IF(D1990="","",IF(OR(D1990=Plano!$A$1,D1990=Plano!$B$1),"entrada","saída"))</f>
        <v>saída</v>
      </c>
      <c r="T1990" s="511" t="s">
        <v>114</v>
      </c>
      <c r="U1990" s="511" t="s">
        <v>114</v>
      </c>
      <c r="V1990" s="541"/>
    </row>
    <row r="1991" spans="1:22" s="574" customFormat="1" ht="50.1" customHeight="1" x14ac:dyDescent="0.2">
      <c r="A1991" s="619">
        <f>IF(B1991="","",COUNT('Diário 5º PA'!$A$5:$A$2634)+COUNT('Diário 6º PA'!$A$5:$A$2246)+COUNT('Diário 7º PA'!$A$5:$A$2271)+ROW()-4)</f>
        <v>5937</v>
      </c>
      <c r="B1991" s="620">
        <v>44557</v>
      </c>
      <c r="C1991" s="624">
        <v>44501</v>
      </c>
      <c r="D1991" s="548" t="s">
        <v>104</v>
      </c>
      <c r="E1991" s="548" t="s">
        <v>104</v>
      </c>
      <c r="F1991" s="655">
        <v>239.91</v>
      </c>
      <c r="G1991" s="648" t="s">
        <v>7292</v>
      </c>
      <c r="H1991" s="676" t="s">
        <v>104</v>
      </c>
      <c r="I1991" s="627" t="s">
        <v>7289</v>
      </c>
      <c r="J1991" s="548" t="s">
        <v>114</v>
      </c>
      <c r="K1991" s="583" t="s">
        <v>4366</v>
      </c>
      <c r="L1991" s="583" t="s">
        <v>1177</v>
      </c>
      <c r="M1991" s="625" t="s">
        <v>114</v>
      </c>
      <c r="N1991" s="656">
        <v>44548</v>
      </c>
      <c r="O1991" s="684" t="s">
        <v>70</v>
      </c>
      <c r="P1991" s="503">
        <f t="shared" ref="P1991:P1998" si="158">IF(B1991=0,0,IF(YEAR(B1991)=$Q$1,MONTH(B1991)-$P$1+1,(YEAR(B1991)-$Q$1)*12-$P$1+1+MONTH(B1991)))</f>
        <v>12</v>
      </c>
      <c r="Q1991" s="503">
        <f t="shared" ref="Q1991:Q1998" si="159">IF(C1991=0,0,IF(YEAR(C1991)=$Q$1,MONTH(C1991)-$P$1+1,(YEAR(C1991)-$Q$1)*12-$P$1+1+MONTH(C1991)))</f>
        <v>11</v>
      </c>
      <c r="R1991" s="580" t="str">
        <f t="shared" ref="R1991:R1998" si="160">SUBSTITUTE(D1991," ","_")</f>
        <v>Gastos_custeados_por_captação</v>
      </c>
      <c r="S1991" s="504" t="str">
        <f>IF(D1991="","",IF(OR(D1991=Plano!$A$1,D1991=Plano!$B$1),"entrada","saída"))</f>
        <v>saída</v>
      </c>
      <c r="T1991" s="511" t="s">
        <v>994</v>
      </c>
      <c r="U1991" s="505">
        <v>2398</v>
      </c>
      <c r="V1991" s="541"/>
    </row>
    <row r="1992" spans="1:22" s="574" customFormat="1" ht="50.1" customHeight="1" x14ac:dyDescent="0.2">
      <c r="A1992" s="619">
        <f>IF(B1992="","",COUNT('Diário 5º PA'!$A$5:$A$2634)+COUNT('Diário 6º PA'!$A$5:$A$2246)+COUNT('Diário 7º PA'!$A$5:$A$2271)+ROW()-4)</f>
        <v>5938</v>
      </c>
      <c r="B1992" s="620">
        <v>44557</v>
      </c>
      <c r="C1992" s="624">
        <v>44501</v>
      </c>
      <c r="D1992" s="548" t="s">
        <v>104</v>
      </c>
      <c r="E1992" s="548" t="s">
        <v>104</v>
      </c>
      <c r="F1992" s="655">
        <v>42.68</v>
      </c>
      <c r="G1992" s="623" t="s">
        <v>7284</v>
      </c>
      <c r="H1992" s="676" t="s">
        <v>104</v>
      </c>
      <c r="I1992" s="627" t="s">
        <v>488</v>
      </c>
      <c r="J1992" s="548" t="s">
        <v>114</v>
      </c>
      <c r="K1992" s="583" t="s">
        <v>466</v>
      </c>
      <c r="L1992" s="583" t="s">
        <v>489</v>
      </c>
      <c r="M1992" s="625" t="s">
        <v>114</v>
      </c>
      <c r="N1992" s="656">
        <v>44557</v>
      </c>
      <c r="O1992" s="684" t="s">
        <v>70</v>
      </c>
      <c r="P1992" s="503">
        <f t="shared" si="158"/>
        <v>12</v>
      </c>
      <c r="Q1992" s="503">
        <f t="shared" si="159"/>
        <v>11</v>
      </c>
      <c r="R1992" s="580" t="str">
        <f t="shared" si="160"/>
        <v>Gastos_custeados_por_captação</v>
      </c>
      <c r="S1992" s="504" t="str">
        <f>IF(D1992="","",IF(OR(D1992=Plano!$A$1,D1992=Plano!$B$1),"entrada","saída"))</f>
        <v>saída</v>
      </c>
      <c r="T1992" s="511" t="s">
        <v>114</v>
      </c>
      <c r="U1992" s="511" t="s">
        <v>114</v>
      </c>
      <c r="V1992" s="541"/>
    </row>
    <row r="1993" spans="1:22" s="574" customFormat="1" ht="50.1" customHeight="1" x14ac:dyDescent="0.2">
      <c r="A1993" s="619">
        <f>IF(B1993="","",COUNT('Diário 5º PA'!$A$5:$A$2634)+COUNT('Diário 6º PA'!$A$5:$A$2246)+COUNT('Diário 7º PA'!$A$5:$A$2271)+ROW()-4)</f>
        <v>5939</v>
      </c>
      <c r="B1993" s="620">
        <v>44557</v>
      </c>
      <c r="C1993" s="624">
        <v>44501</v>
      </c>
      <c r="D1993" s="548" t="s">
        <v>104</v>
      </c>
      <c r="E1993" s="548" t="s">
        <v>104</v>
      </c>
      <c r="F1993" s="655">
        <v>1.64</v>
      </c>
      <c r="G1993" s="648" t="s">
        <v>7285</v>
      </c>
      <c r="H1993" s="676" t="s">
        <v>104</v>
      </c>
      <c r="I1993" s="627" t="s">
        <v>7116</v>
      </c>
      <c r="J1993" s="548" t="s">
        <v>950</v>
      </c>
      <c r="K1993" s="583" t="s">
        <v>951</v>
      </c>
      <c r="L1993" s="583" t="s">
        <v>947</v>
      </c>
      <c r="M1993" s="625" t="s">
        <v>114</v>
      </c>
      <c r="N1993" s="656">
        <v>44557</v>
      </c>
      <c r="O1993" s="684" t="s">
        <v>70</v>
      </c>
      <c r="P1993" s="503">
        <f t="shared" si="158"/>
        <v>12</v>
      </c>
      <c r="Q1993" s="503">
        <f t="shared" si="159"/>
        <v>11</v>
      </c>
      <c r="R1993" s="580" t="str">
        <f t="shared" si="160"/>
        <v>Gastos_custeados_por_captação</v>
      </c>
      <c r="S1993" s="504" t="str">
        <f>IF(D1993="","",IF(OR(D1993=Plano!$A$1,D1993=Plano!$B$1),"entrada","saída"))</f>
        <v>saída</v>
      </c>
      <c r="T1993" s="511" t="s">
        <v>114</v>
      </c>
      <c r="U1993" s="511" t="s">
        <v>114</v>
      </c>
      <c r="V1993" s="541"/>
    </row>
    <row r="1994" spans="1:22" s="574" customFormat="1" ht="50.1" customHeight="1" x14ac:dyDescent="0.2">
      <c r="A1994" s="619">
        <f>IF(B1994="","",COUNT('Diário 5º PA'!$A$5:$A$2634)+COUNT('Diário 6º PA'!$A$5:$A$2246)+COUNT('Diário 7º PA'!$A$5:$A$2271)+ROW()-4)</f>
        <v>5940</v>
      </c>
      <c r="B1994" s="620">
        <v>44557</v>
      </c>
      <c r="C1994" s="624">
        <v>44501</v>
      </c>
      <c r="D1994" s="548" t="s">
        <v>104</v>
      </c>
      <c r="E1994" s="548" t="s">
        <v>104</v>
      </c>
      <c r="F1994" s="655">
        <v>431.75</v>
      </c>
      <c r="G1994" s="648" t="s">
        <v>7293</v>
      </c>
      <c r="H1994" s="676" t="s">
        <v>104</v>
      </c>
      <c r="I1994" s="627" t="s">
        <v>7290</v>
      </c>
      <c r="J1994" s="548" t="s">
        <v>114</v>
      </c>
      <c r="K1994" s="583" t="s">
        <v>4366</v>
      </c>
      <c r="L1994" s="583" t="s">
        <v>1177</v>
      </c>
      <c r="M1994" s="625" t="s">
        <v>114</v>
      </c>
      <c r="N1994" s="656">
        <v>44541</v>
      </c>
      <c r="O1994" s="684" t="s">
        <v>70</v>
      </c>
      <c r="P1994" s="503">
        <f t="shared" si="158"/>
        <v>12</v>
      </c>
      <c r="Q1994" s="503">
        <f t="shared" si="159"/>
        <v>11</v>
      </c>
      <c r="R1994" s="580" t="str">
        <f t="shared" si="160"/>
        <v>Gastos_custeados_por_captação</v>
      </c>
      <c r="S1994" s="504" t="str">
        <f>IF(D1994="","",IF(OR(D1994=Plano!$A$1,D1994=Plano!$B$1),"entrada","saída"))</f>
        <v>saída</v>
      </c>
      <c r="T1994" s="511" t="s">
        <v>994</v>
      </c>
      <c r="U1994" s="505">
        <v>2390</v>
      </c>
      <c r="V1994" s="541"/>
    </row>
    <row r="1995" spans="1:22" s="574" customFormat="1" ht="50.1" customHeight="1" x14ac:dyDescent="0.2">
      <c r="A1995" s="619">
        <f>IF(B1995="","",COUNT('Diário 5º PA'!$A$5:$A$2634)+COUNT('Diário 6º PA'!$A$5:$A$2246)+COUNT('Diário 7º PA'!$A$5:$A$2271)+ROW()-4)</f>
        <v>5941</v>
      </c>
      <c r="B1995" s="620">
        <v>44557</v>
      </c>
      <c r="C1995" s="624">
        <v>44501</v>
      </c>
      <c r="D1995" s="548" t="s">
        <v>104</v>
      </c>
      <c r="E1995" s="548" t="s">
        <v>104</v>
      </c>
      <c r="F1995" s="655">
        <v>76.83</v>
      </c>
      <c r="G1995" s="623" t="s">
        <v>7286</v>
      </c>
      <c r="H1995" s="676" t="s">
        <v>104</v>
      </c>
      <c r="I1995" s="627" t="s">
        <v>488</v>
      </c>
      <c r="J1995" s="548" t="s">
        <v>114</v>
      </c>
      <c r="K1995" s="583" t="s">
        <v>466</v>
      </c>
      <c r="L1995" s="583" t="s">
        <v>489</v>
      </c>
      <c r="M1995" s="625" t="s">
        <v>114</v>
      </c>
      <c r="N1995" s="656">
        <v>44557</v>
      </c>
      <c r="O1995" s="684" t="s">
        <v>70</v>
      </c>
      <c r="P1995" s="503">
        <f t="shared" si="158"/>
        <v>12</v>
      </c>
      <c r="Q1995" s="503">
        <f t="shared" si="159"/>
        <v>11</v>
      </c>
      <c r="R1995" s="580" t="str">
        <f t="shared" si="160"/>
        <v>Gastos_custeados_por_captação</v>
      </c>
      <c r="S1995" s="504" t="str">
        <f>IF(D1995="","",IF(OR(D1995=Plano!$A$1,D1995=Plano!$B$1),"entrada","saída"))</f>
        <v>saída</v>
      </c>
      <c r="T1995" s="511" t="s">
        <v>114</v>
      </c>
      <c r="U1995" s="511" t="s">
        <v>114</v>
      </c>
      <c r="V1995" s="541"/>
    </row>
    <row r="1996" spans="1:22" s="574" customFormat="1" ht="50.1" customHeight="1" x14ac:dyDescent="0.2">
      <c r="A1996" s="619">
        <f>IF(B1996="","",COUNT('Diário 5º PA'!$A$5:$A$2634)+COUNT('Diário 6º PA'!$A$5:$A$2246)+COUNT('Diário 7º PA'!$A$5:$A$2271)+ROW()-4)</f>
        <v>5942</v>
      </c>
      <c r="B1996" s="620">
        <v>44557</v>
      </c>
      <c r="C1996" s="624">
        <v>44501</v>
      </c>
      <c r="D1996" s="548" t="s">
        <v>104</v>
      </c>
      <c r="E1996" s="548" t="s">
        <v>104</v>
      </c>
      <c r="F1996" s="655">
        <v>2.5499999999999998</v>
      </c>
      <c r="G1996" s="648" t="s">
        <v>7287</v>
      </c>
      <c r="H1996" s="676" t="s">
        <v>104</v>
      </c>
      <c r="I1996" s="627" t="s">
        <v>7116</v>
      </c>
      <c r="J1996" s="548" t="s">
        <v>950</v>
      </c>
      <c r="K1996" s="583" t="s">
        <v>951</v>
      </c>
      <c r="L1996" s="583" t="s">
        <v>947</v>
      </c>
      <c r="M1996" s="625" t="s">
        <v>114</v>
      </c>
      <c r="N1996" s="656">
        <v>44557</v>
      </c>
      <c r="O1996" s="684" t="s">
        <v>70</v>
      </c>
      <c r="P1996" s="503">
        <f t="shared" si="158"/>
        <v>12</v>
      </c>
      <c r="Q1996" s="503">
        <f t="shared" si="159"/>
        <v>11</v>
      </c>
      <c r="R1996" s="580" t="str">
        <f t="shared" si="160"/>
        <v>Gastos_custeados_por_captação</v>
      </c>
      <c r="S1996" s="504" t="str">
        <f>IF(D1996="","",IF(OR(D1996=Plano!$A$1,D1996=Plano!$B$1),"entrada","saída"))</f>
        <v>saída</v>
      </c>
      <c r="T1996" s="511" t="s">
        <v>114</v>
      </c>
      <c r="U1996" s="511" t="s">
        <v>114</v>
      </c>
      <c r="V1996" s="541"/>
    </row>
    <row r="1997" spans="1:22" s="574" customFormat="1" ht="65.25" customHeight="1" x14ac:dyDescent="0.2">
      <c r="A1997" s="619">
        <f>IF(B1997="","",COUNT('Diário 5º PA'!$A$5:$A$2634)+COUNT('Diário 6º PA'!$A$5:$A$2246)+COUNT('Diário 7º PA'!$A$5:$A$2271)+ROW()-4)</f>
        <v>5943</v>
      </c>
      <c r="B1997" s="620">
        <v>44557</v>
      </c>
      <c r="C1997" s="624">
        <v>44501</v>
      </c>
      <c r="D1997" s="548" t="s">
        <v>104</v>
      </c>
      <c r="E1997" s="548" t="s">
        <v>104</v>
      </c>
      <c r="F1997" s="655">
        <v>671.74</v>
      </c>
      <c r="G1997" s="648" t="s">
        <v>7294</v>
      </c>
      <c r="H1997" s="676" t="s">
        <v>104</v>
      </c>
      <c r="I1997" s="627" t="s">
        <v>7291</v>
      </c>
      <c r="J1997" s="548" t="s">
        <v>114</v>
      </c>
      <c r="K1997" s="583" t="s">
        <v>4366</v>
      </c>
      <c r="L1997" s="583" t="s">
        <v>1177</v>
      </c>
      <c r="M1997" s="625" t="s">
        <v>114</v>
      </c>
      <c r="N1997" s="656">
        <v>44551</v>
      </c>
      <c r="O1997" s="684" t="s">
        <v>70</v>
      </c>
      <c r="P1997" s="503">
        <f t="shared" si="158"/>
        <v>12</v>
      </c>
      <c r="Q1997" s="503">
        <f t="shared" si="159"/>
        <v>11</v>
      </c>
      <c r="R1997" s="580" t="str">
        <f t="shared" si="160"/>
        <v>Gastos_custeados_por_captação</v>
      </c>
      <c r="S1997" s="504" t="str">
        <f>IF(D1997="","",IF(OR(D1997=Plano!$A$1,D1997=Plano!$B$1),"entrada","saída"))</f>
        <v>saída</v>
      </c>
      <c r="T1997" s="511" t="s">
        <v>994</v>
      </c>
      <c r="U1997" s="505">
        <v>2401</v>
      </c>
      <c r="V1997" s="541"/>
    </row>
    <row r="1998" spans="1:22" s="574" customFormat="1" ht="50.1" customHeight="1" x14ac:dyDescent="0.2">
      <c r="A1998" s="619">
        <f>IF(B1998="","",COUNT('Diário 5º PA'!$A$5:$A$2634)+COUNT('Diário 6º PA'!$A$5:$A$2246)+COUNT('Diário 7º PA'!$A$5:$A$2271)+ROW()-4)</f>
        <v>5944</v>
      </c>
      <c r="B1998" s="620">
        <v>44557</v>
      </c>
      <c r="C1998" s="624">
        <v>44501</v>
      </c>
      <c r="D1998" s="548" t="s">
        <v>104</v>
      </c>
      <c r="E1998" s="548" t="s">
        <v>104</v>
      </c>
      <c r="F1998" s="655">
        <v>119.51</v>
      </c>
      <c r="G1998" s="623" t="s">
        <v>7288</v>
      </c>
      <c r="H1998" s="676" t="s">
        <v>104</v>
      </c>
      <c r="I1998" s="627" t="s">
        <v>488</v>
      </c>
      <c r="J1998" s="548" t="s">
        <v>114</v>
      </c>
      <c r="K1998" s="583" t="s">
        <v>466</v>
      </c>
      <c r="L1998" s="583" t="s">
        <v>489</v>
      </c>
      <c r="M1998" s="625" t="s">
        <v>114</v>
      </c>
      <c r="N1998" s="656">
        <v>44557</v>
      </c>
      <c r="O1998" s="684" t="s">
        <v>70</v>
      </c>
      <c r="P1998" s="503">
        <f t="shared" si="158"/>
        <v>12</v>
      </c>
      <c r="Q1998" s="503">
        <f t="shared" si="159"/>
        <v>11</v>
      </c>
      <c r="R1998" s="580" t="str">
        <f t="shared" si="160"/>
        <v>Gastos_custeados_por_captação</v>
      </c>
      <c r="S1998" s="504" t="str">
        <f>IF(D1998="","",IF(OR(D1998=Plano!$A$1,D1998=Plano!$B$1),"entrada","saída"))</f>
        <v>saída</v>
      </c>
      <c r="T1998" s="511" t="s">
        <v>114</v>
      </c>
      <c r="U1998" s="511" t="s">
        <v>114</v>
      </c>
      <c r="V1998" s="541"/>
    </row>
    <row r="1999" spans="1:22" s="574" customFormat="1" ht="50.1" customHeight="1" x14ac:dyDescent="0.2">
      <c r="A1999" s="619">
        <f>IF(B1999="","",COUNT('Diário 5º PA'!$A$5:$A$2634)+COUNT('Diário 6º PA'!$A$5:$A$2246)+COUNT('Diário 7º PA'!$A$5:$A$2271)+ROW()-4)</f>
        <v>5945</v>
      </c>
      <c r="B1999" s="620">
        <v>44557</v>
      </c>
      <c r="C1999" s="621">
        <v>44531</v>
      </c>
      <c r="D1999" s="548" t="s">
        <v>104</v>
      </c>
      <c r="E1999" s="548" t="s">
        <v>104</v>
      </c>
      <c r="F1999" s="622">
        <v>4350</v>
      </c>
      <c r="G1999" s="623" t="s">
        <v>5502</v>
      </c>
      <c r="H1999" s="548" t="s">
        <v>104</v>
      </c>
      <c r="I1999" s="583" t="s">
        <v>3172</v>
      </c>
      <c r="J1999" s="548" t="s">
        <v>850</v>
      </c>
      <c r="K1999" s="583" t="s">
        <v>946</v>
      </c>
      <c r="L1999" s="583" t="s">
        <v>947</v>
      </c>
      <c r="M1999" s="619" t="s">
        <v>114</v>
      </c>
      <c r="N1999" s="620">
        <v>44557</v>
      </c>
      <c r="O1999" s="684" t="s">
        <v>5377</v>
      </c>
      <c r="P1999" s="503">
        <f t="shared" ref="P1999:P2001" si="161">IF(B1999=0,0,IF(YEAR(B1999)=$Q$1,MONTH(B1999)-$P$1+1,(YEAR(B1999)-$Q$1)*12-$P$1+1+MONTH(B1999)))</f>
        <v>12</v>
      </c>
      <c r="Q1999" s="503">
        <f t="shared" ref="Q1999:Q2001" si="162">IF(C1999=0,0,IF(YEAR(C1999)=$Q$1,MONTH(C1999)-$P$1+1,(YEAR(C1999)-$Q$1)*12-$P$1+1+MONTH(C1999)))</f>
        <v>12</v>
      </c>
      <c r="R1999" s="580" t="str">
        <f t="shared" ref="R1999:R2001" si="163">SUBSTITUTE(D1999," ","_")</f>
        <v>Gastos_custeados_por_captação</v>
      </c>
      <c r="S1999" s="504" t="str">
        <f>IF(D1999="","",IF(OR(D1999=Plano!$A$1,D1999=Plano!$B$1),"entrada","saída"))</f>
        <v>saída</v>
      </c>
      <c r="T1999" s="511" t="s">
        <v>114</v>
      </c>
      <c r="U1999" s="511" t="s">
        <v>114</v>
      </c>
      <c r="V1999" s="541"/>
    </row>
    <row r="2000" spans="1:22" s="574" customFormat="1" ht="50.1" customHeight="1" x14ac:dyDescent="0.2">
      <c r="A2000" s="619">
        <f>IF(B2000="","",COUNT('Diário 5º PA'!$A$5:$A$2634)+COUNT('Diário 6º PA'!$A$5:$A$2246)+COUNT('Diário 7º PA'!$A$5:$A$2271)+ROW()-4)</f>
        <v>5946</v>
      </c>
      <c r="B2000" s="620">
        <v>44557</v>
      </c>
      <c r="C2000" s="621">
        <v>44531</v>
      </c>
      <c r="D2000" s="548" t="s">
        <v>104</v>
      </c>
      <c r="E2000" s="548" t="s">
        <v>104</v>
      </c>
      <c r="F2000" s="622">
        <v>4500</v>
      </c>
      <c r="G2000" s="623" t="s">
        <v>5503</v>
      </c>
      <c r="H2000" s="548" t="s">
        <v>104</v>
      </c>
      <c r="I2000" s="583" t="s">
        <v>3172</v>
      </c>
      <c r="J2000" s="548" t="s">
        <v>850</v>
      </c>
      <c r="K2000" s="583" t="s">
        <v>946</v>
      </c>
      <c r="L2000" s="583" t="s">
        <v>947</v>
      </c>
      <c r="M2000" s="619" t="s">
        <v>114</v>
      </c>
      <c r="N2000" s="620">
        <v>44557</v>
      </c>
      <c r="O2000" s="684" t="s">
        <v>5377</v>
      </c>
      <c r="P2000" s="503">
        <f t="shared" si="161"/>
        <v>12</v>
      </c>
      <c r="Q2000" s="503">
        <f t="shared" si="162"/>
        <v>12</v>
      </c>
      <c r="R2000" s="580" t="str">
        <f t="shared" si="163"/>
        <v>Gastos_custeados_por_captação</v>
      </c>
      <c r="S2000" s="504" t="str">
        <f>IF(D2000="","",IF(OR(D2000=Plano!$A$1,D2000=Plano!$B$1),"entrada","saída"))</f>
        <v>saída</v>
      </c>
      <c r="T2000" s="511" t="s">
        <v>114</v>
      </c>
      <c r="U2000" s="511" t="s">
        <v>114</v>
      </c>
      <c r="V2000" s="541"/>
    </row>
    <row r="2001" spans="1:22" s="574" customFormat="1" ht="50.1" customHeight="1" x14ac:dyDescent="0.2">
      <c r="A2001" s="619">
        <f>IF(B2001="","",COUNT('Diário 5º PA'!$A$5:$A$2634)+COUNT('Diário 6º PA'!$A$5:$A$2246)+COUNT('Diário 7º PA'!$A$5:$A$2271)+ROW()-4)</f>
        <v>5947</v>
      </c>
      <c r="B2001" s="620">
        <v>44557</v>
      </c>
      <c r="C2001" s="621">
        <v>44531</v>
      </c>
      <c r="D2001" s="548" t="s">
        <v>104</v>
      </c>
      <c r="E2001" s="548" t="s">
        <v>104</v>
      </c>
      <c r="F2001" s="622">
        <v>5000</v>
      </c>
      <c r="G2001" s="623" t="s">
        <v>5501</v>
      </c>
      <c r="H2001" s="548" t="s">
        <v>104</v>
      </c>
      <c r="I2001" s="583" t="s">
        <v>3172</v>
      </c>
      <c r="J2001" s="548" t="s">
        <v>850</v>
      </c>
      <c r="K2001" s="583" t="s">
        <v>946</v>
      </c>
      <c r="L2001" s="583" t="s">
        <v>947</v>
      </c>
      <c r="M2001" s="619" t="s">
        <v>114</v>
      </c>
      <c r="N2001" s="620">
        <v>44557</v>
      </c>
      <c r="O2001" s="684" t="s">
        <v>5377</v>
      </c>
      <c r="P2001" s="503">
        <f t="shared" si="161"/>
        <v>12</v>
      </c>
      <c r="Q2001" s="503">
        <f t="shared" si="162"/>
        <v>12</v>
      </c>
      <c r="R2001" s="580" t="str">
        <f t="shared" si="163"/>
        <v>Gastos_custeados_por_captação</v>
      </c>
      <c r="S2001" s="504" t="str">
        <f>IF(D2001="","",IF(OR(D2001=Plano!$A$1,D2001=Plano!$B$1),"entrada","saída"))</f>
        <v>saída</v>
      </c>
      <c r="T2001" s="511" t="s">
        <v>114</v>
      </c>
      <c r="U2001" s="511" t="s">
        <v>114</v>
      </c>
      <c r="V2001" s="541"/>
    </row>
    <row r="2002" spans="1:22" ht="50.1" customHeight="1" x14ac:dyDescent="0.2">
      <c r="A2002" s="619">
        <f>IF(B2002="","",COUNT('Diário 5º PA'!$A$5:$A$2634)+COUNT('Diário 6º PA'!$A$5:$A$2246)+COUNT('Diário 7º PA'!$A$5:$A$2271)+ROW()-4)</f>
        <v>5948</v>
      </c>
      <c r="B2002" s="620">
        <v>44558</v>
      </c>
      <c r="C2002" s="624">
        <v>44501</v>
      </c>
      <c r="D2002" s="548" t="s">
        <v>88</v>
      </c>
      <c r="E2002" s="548" t="s">
        <v>169</v>
      </c>
      <c r="F2002" s="677">
        <v>-14.48</v>
      </c>
      <c r="G2002" s="678" t="s">
        <v>7042</v>
      </c>
      <c r="H2002" s="548" t="s">
        <v>114</v>
      </c>
      <c r="I2002" s="583" t="s">
        <v>488</v>
      </c>
      <c r="J2002" s="548" t="s">
        <v>114</v>
      </c>
      <c r="K2002" s="583" t="s">
        <v>466</v>
      </c>
      <c r="L2002" s="583" t="s">
        <v>489</v>
      </c>
      <c r="M2002" s="619" t="s">
        <v>114</v>
      </c>
      <c r="N2002" s="620">
        <v>44558</v>
      </c>
      <c r="O2002" s="684" t="s">
        <v>67</v>
      </c>
      <c r="P2002" s="503">
        <f t="shared" si="146"/>
        <v>12</v>
      </c>
      <c r="Q2002" s="503">
        <f t="shared" si="147"/>
        <v>11</v>
      </c>
      <c r="R2002" s="580" t="str">
        <f t="shared" si="148"/>
        <v>Gastos_com_Pessoal</v>
      </c>
      <c r="S2002" s="504" t="str">
        <f>IF(D2002="","",IF(OR(D2002=Plano!$A$1,D2002=Plano!$B$1),"entrada","saída"))</f>
        <v>saída</v>
      </c>
      <c r="T2002" s="546" t="s">
        <v>114</v>
      </c>
      <c r="U2002" s="546" t="s">
        <v>114</v>
      </c>
      <c r="V2002" s="541"/>
    </row>
    <row r="2003" spans="1:22" ht="57" customHeight="1" x14ac:dyDescent="0.2">
      <c r="A2003" s="619">
        <f>IF(B2003="","",COUNT('Diário 5º PA'!$A$5:$A$2634)+COUNT('Diário 6º PA'!$A$5:$A$2246)+COUNT('Diário 7º PA'!$A$5:$A$2271)+ROW()-4)</f>
        <v>5949</v>
      </c>
      <c r="B2003" s="620">
        <v>44558</v>
      </c>
      <c r="C2003" s="624">
        <v>44470</v>
      </c>
      <c r="D2003" s="548" t="s">
        <v>99</v>
      </c>
      <c r="E2003" s="548" t="s">
        <v>336</v>
      </c>
      <c r="F2003" s="622">
        <v>30</v>
      </c>
      <c r="G2003" s="623" t="s">
        <v>5547</v>
      </c>
      <c r="H2003" s="548" t="s">
        <v>118</v>
      </c>
      <c r="I2003" s="583" t="s">
        <v>5628</v>
      </c>
      <c r="J2003" s="548" t="s">
        <v>5339</v>
      </c>
      <c r="K2003" s="583" t="s">
        <v>991</v>
      </c>
      <c r="L2003" s="583" t="s">
        <v>1016</v>
      </c>
      <c r="M2003" s="619">
        <v>67</v>
      </c>
      <c r="N2003" s="620">
        <v>44551</v>
      </c>
      <c r="O2003" s="684" t="s">
        <v>67</v>
      </c>
      <c r="P2003" s="503">
        <f t="shared" si="146"/>
        <v>12</v>
      </c>
      <c r="Q2003" s="503">
        <f t="shared" si="147"/>
        <v>10</v>
      </c>
      <c r="R2003" s="580" t="str">
        <f t="shared" si="148"/>
        <v>Gastos_Gerais</v>
      </c>
      <c r="S2003" s="504" t="str">
        <f>IF(D2003="","",IF(OR(D2003=Plano!$A$1,D2003=Plano!$B$1),"entrada","saída"))</f>
        <v>saída</v>
      </c>
      <c r="T2003" s="505" t="s">
        <v>994</v>
      </c>
      <c r="U2003" s="505">
        <v>2238</v>
      </c>
      <c r="V2003" s="541"/>
    </row>
    <row r="2004" spans="1:22" ht="50.1" customHeight="1" x14ac:dyDescent="0.2">
      <c r="A2004" s="619">
        <f>IF(B2004="","",COUNT('Diário 5º PA'!$A$5:$A$2634)+COUNT('Diário 6º PA'!$A$5:$A$2246)+COUNT('Diário 7º PA'!$A$5:$A$2271)+ROW()-4)</f>
        <v>5950</v>
      </c>
      <c r="B2004" s="620">
        <v>44558</v>
      </c>
      <c r="C2004" s="624">
        <v>44531</v>
      </c>
      <c r="D2004" s="548" t="s">
        <v>88</v>
      </c>
      <c r="E2004" s="548" t="s">
        <v>194</v>
      </c>
      <c r="F2004" s="622">
        <v>23152.01</v>
      </c>
      <c r="G2004" s="623" t="s">
        <v>1260</v>
      </c>
      <c r="H2004" s="548" t="s">
        <v>114</v>
      </c>
      <c r="I2004" s="583" t="s">
        <v>532</v>
      </c>
      <c r="J2004" s="548" t="s">
        <v>1261</v>
      </c>
      <c r="K2004" s="583" t="s">
        <v>560</v>
      </c>
      <c r="L2004" s="583" t="s">
        <v>992</v>
      </c>
      <c r="M2004" s="619">
        <v>84265</v>
      </c>
      <c r="N2004" s="620">
        <v>44562</v>
      </c>
      <c r="O2004" s="684" t="s">
        <v>67</v>
      </c>
      <c r="P2004" s="503">
        <f t="shared" si="146"/>
        <v>12</v>
      </c>
      <c r="Q2004" s="503">
        <f t="shared" si="147"/>
        <v>12</v>
      </c>
      <c r="R2004" s="504" t="str">
        <f t="shared" si="148"/>
        <v>Gastos_com_Pessoal</v>
      </c>
      <c r="S2004" s="504" t="str">
        <f>IF(D2004="","",IF(OR(D2004=Plano!$A$1,D2004=Plano!$B$1),"entrada","saída"))</f>
        <v>saída</v>
      </c>
      <c r="T2004" s="546" t="s">
        <v>114</v>
      </c>
      <c r="U2004" s="546" t="s">
        <v>114</v>
      </c>
      <c r="V2004" s="541"/>
    </row>
    <row r="2005" spans="1:22" ht="50.1" customHeight="1" x14ac:dyDescent="0.2">
      <c r="A2005" s="619">
        <f>IF(B2005="","",COUNT('Diário 5º PA'!$A$5:$A$2634)+COUNT('Diário 6º PA'!$A$5:$A$2246)+COUNT('Diário 7º PA'!$A$5:$A$2271)+ROW()-4)</f>
        <v>5951</v>
      </c>
      <c r="B2005" s="620">
        <v>44558</v>
      </c>
      <c r="C2005" s="624">
        <v>44531</v>
      </c>
      <c r="D2005" s="548" t="s">
        <v>88</v>
      </c>
      <c r="E2005" s="548" t="s">
        <v>194</v>
      </c>
      <c r="F2005" s="622">
        <v>3449.2</v>
      </c>
      <c r="G2005" s="623" t="s">
        <v>1609</v>
      </c>
      <c r="H2005" s="548" t="s">
        <v>114</v>
      </c>
      <c r="I2005" s="583" t="s">
        <v>532</v>
      </c>
      <c r="J2005" s="548" t="s">
        <v>1261</v>
      </c>
      <c r="K2005" s="583" t="s">
        <v>560</v>
      </c>
      <c r="L2005" s="583" t="s">
        <v>992</v>
      </c>
      <c r="M2005" s="619">
        <v>98735</v>
      </c>
      <c r="N2005" s="620">
        <v>44562</v>
      </c>
      <c r="O2005" s="684" t="s">
        <v>67</v>
      </c>
      <c r="P2005" s="503">
        <f t="shared" ref="P2005:P2069" si="164">IF(B2005=0,0,IF(YEAR(B2005)=$Q$1,MONTH(B2005)-$P$1+1,(YEAR(B2005)-$Q$1)*12-$P$1+1+MONTH(B2005)))</f>
        <v>12</v>
      </c>
      <c r="Q2005" s="503">
        <f t="shared" ref="Q2005:Q2069" si="165">IF(C2005=0,0,IF(YEAR(C2005)=$Q$1,MONTH(C2005)-$P$1+1,(YEAR(C2005)-$Q$1)*12-$P$1+1+MONTH(C2005)))</f>
        <v>12</v>
      </c>
      <c r="R2005" s="504" t="str">
        <f t="shared" ref="R2005:R2069" si="166">SUBSTITUTE(D2005," ","_")</f>
        <v>Gastos_com_Pessoal</v>
      </c>
      <c r="S2005" s="504" t="str">
        <f>IF(D2005="","",IF(OR(D2005=Plano!$A$1,D2005=Plano!$B$1),"entrada","saída"))</f>
        <v>saída</v>
      </c>
      <c r="T2005" s="546" t="s">
        <v>114</v>
      </c>
      <c r="U2005" s="546" t="s">
        <v>114</v>
      </c>
      <c r="V2005" s="541"/>
    </row>
    <row r="2006" spans="1:22" ht="50.1" customHeight="1" x14ac:dyDescent="0.2">
      <c r="A2006" s="619">
        <f>IF(B2006="","",COUNT('Diário 5º PA'!$A$5:$A$2634)+COUNT('Diário 6º PA'!$A$5:$A$2246)+COUNT('Diário 7º PA'!$A$5:$A$2271)+ROW()-4)</f>
        <v>5952</v>
      </c>
      <c r="B2006" s="620">
        <v>44558</v>
      </c>
      <c r="C2006" s="624">
        <v>44501</v>
      </c>
      <c r="D2006" s="548" t="s">
        <v>88</v>
      </c>
      <c r="E2006" s="548" t="s">
        <v>169</v>
      </c>
      <c r="F2006" s="622">
        <v>2209.8000000000002</v>
      </c>
      <c r="G2006" s="623" t="s">
        <v>7043</v>
      </c>
      <c r="H2006" s="548" t="s">
        <v>114</v>
      </c>
      <c r="I2006" s="583" t="s">
        <v>488</v>
      </c>
      <c r="J2006" s="548" t="s">
        <v>114</v>
      </c>
      <c r="K2006" s="583" t="s">
        <v>466</v>
      </c>
      <c r="L2006" s="583" t="s">
        <v>489</v>
      </c>
      <c r="M2006" s="619" t="s">
        <v>114</v>
      </c>
      <c r="N2006" s="620">
        <v>44558</v>
      </c>
      <c r="O2006" s="684" t="s">
        <v>67</v>
      </c>
      <c r="P2006" s="503">
        <f t="shared" si="164"/>
        <v>12</v>
      </c>
      <c r="Q2006" s="503">
        <f t="shared" si="165"/>
        <v>11</v>
      </c>
      <c r="R2006" s="504" t="str">
        <f t="shared" si="166"/>
        <v>Gastos_com_Pessoal</v>
      </c>
      <c r="S2006" s="504" t="str">
        <f>IF(D2006="","",IF(OR(D2006=Plano!$A$1,D2006=Plano!$B$1),"entrada","saída"))</f>
        <v>saída</v>
      </c>
      <c r="T2006" s="546" t="s">
        <v>114</v>
      </c>
      <c r="U2006" s="546" t="s">
        <v>114</v>
      </c>
      <c r="V2006" s="541"/>
    </row>
    <row r="2007" spans="1:22" ht="50.1" customHeight="1" x14ac:dyDescent="0.2">
      <c r="A2007" s="619">
        <f>IF(B2007="","",COUNT('Diário 5º PA'!$A$5:$A$2634)+COUNT('Diário 6º PA'!$A$5:$A$2246)+COUNT('Diário 7º PA'!$A$5:$A$2271)+ROW()-4)</f>
        <v>5953</v>
      </c>
      <c r="B2007" s="620">
        <v>44558</v>
      </c>
      <c r="C2007" s="628">
        <v>44531</v>
      </c>
      <c r="D2007" s="548" t="s">
        <v>77</v>
      </c>
      <c r="E2007" s="548" t="s">
        <v>147</v>
      </c>
      <c r="F2007" s="622">
        <v>255000</v>
      </c>
      <c r="G2007" s="623" t="s">
        <v>7065</v>
      </c>
      <c r="H2007" s="548" t="s">
        <v>114</v>
      </c>
      <c r="I2007" s="583" t="s">
        <v>983</v>
      </c>
      <c r="J2007" s="548" t="s">
        <v>850</v>
      </c>
      <c r="K2007" s="583" t="s">
        <v>1015</v>
      </c>
      <c r="L2007" s="583" t="s">
        <v>1177</v>
      </c>
      <c r="M2007" s="619" t="s">
        <v>114</v>
      </c>
      <c r="N2007" s="620">
        <v>44558</v>
      </c>
      <c r="O2007" s="684" t="s">
        <v>69</v>
      </c>
      <c r="P2007" s="503">
        <f t="shared" si="164"/>
        <v>12</v>
      </c>
      <c r="Q2007" s="503">
        <f t="shared" si="165"/>
        <v>12</v>
      </c>
      <c r="R2007" s="504" t="str">
        <f t="shared" si="166"/>
        <v>Receitas</v>
      </c>
      <c r="S2007" s="504" t="str">
        <f>IF(D2007="","",IF(OR(D2007=Plano!$A$1,D2007=Plano!$B$1),"entrada","saída"))</f>
        <v>entrada</v>
      </c>
      <c r="T2007" s="511" t="s">
        <v>114</v>
      </c>
      <c r="U2007" s="511" t="s">
        <v>114</v>
      </c>
      <c r="V2007" s="541"/>
    </row>
    <row r="2008" spans="1:22" ht="50.1" customHeight="1" x14ac:dyDescent="0.2">
      <c r="A2008" s="619">
        <f>IF(B2008="","",COUNT('Diário 5º PA'!$A$5:$A$2634)+COUNT('Diário 6º PA'!$A$5:$A$2246)+COUNT('Diário 7º PA'!$A$5:$A$2271)+ROW()-4)</f>
        <v>5954</v>
      </c>
      <c r="B2008" s="620">
        <v>44558</v>
      </c>
      <c r="C2008" s="628">
        <v>44531</v>
      </c>
      <c r="D2008" s="548" t="s">
        <v>77</v>
      </c>
      <c r="E2008" s="548" t="s">
        <v>147</v>
      </c>
      <c r="F2008" s="622">
        <v>45000</v>
      </c>
      <c r="G2008" s="623" t="s">
        <v>7065</v>
      </c>
      <c r="H2008" s="548" t="s">
        <v>114</v>
      </c>
      <c r="I2008" s="583" t="s">
        <v>983</v>
      </c>
      <c r="J2008" s="548" t="s">
        <v>850</v>
      </c>
      <c r="K2008" s="583" t="s">
        <v>1015</v>
      </c>
      <c r="L2008" s="583" t="s">
        <v>1177</v>
      </c>
      <c r="M2008" s="619" t="s">
        <v>114</v>
      </c>
      <c r="N2008" s="620">
        <v>44558</v>
      </c>
      <c r="O2008" s="684" t="s">
        <v>69</v>
      </c>
      <c r="P2008" s="503">
        <f t="shared" si="164"/>
        <v>12</v>
      </c>
      <c r="Q2008" s="503">
        <f t="shared" si="165"/>
        <v>12</v>
      </c>
      <c r="R2008" s="504" t="str">
        <f t="shared" si="166"/>
        <v>Receitas</v>
      </c>
      <c r="S2008" s="504" t="str">
        <f>IF(D2008="","",IF(OR(D2008=Plano!$A$1,D2008=Plano!$B$1),"entrada","saída"))</f>
        <v>entrada</v>
      </c>
      <c r="T2008" s="511" t="s">
        <v>114</v>
      </c>
      <c r="U2008" s="511" t="s">
        <v>114</v>
      </c>
      <c r="V2008" s="541"/>
    </row>
    <row r="2009" spans="1:22" ht="50.1" customHeight="1" x14ac:dyDescent="0.2">
      <c r="A2009" s="619">
        <f>IF(B2009="","",COUNT('Diário 5º PA'!$A$5:$A$2634)+COUNT('Diário 6º PA'!$A$5:$A$2246)+COUNT('Diário 7º PA'!$A$5:$A$2271)+ROW()-4)</f>
        <v>5955</v>
      </c>
      <c r="B2009" s="620">
        <v>44559</v>
      </c>
      <c r="C2009" s="645">
        <v>44501</v>
      </c>
      <c r="D2009" s="646" t="s">
        <v>99</v>
      </c>
      <c r="E2009" s="646" t="s">
        <v>336</v>
      </c>
      <c r="F2009" s="622">
        <v>20.79</v>
      </c>
      <c r="G2009" s="623" t="s">
        <v>7076</v>
      </c>
      <c r="H2009" s="646" t="s">
        <v>132</v>
      </c>
      <c r="I2009" s="583" t="s">
        <v>949</v>
      </c>
      <c r="J2009" s="548" t="s">
        <v>950</v>
      </c>
      <c r="K2009" s="583" t="s">
        <v>951</v>
      </c>
      <c r="L2009" s="583" t="s">
        <v>947</v>
      </c>
      <c r="M2009" s="625" t="s">
        <v>114</v>
      </c>
      <c r="N2009" s="620">
        <v>44559</v>
      </c>
      <c r="O2009" s="684" t="s">
        <v>67</v>
      </c>
      <c r="P2009" s="503">
        <f t="shared" si="164"/>
        <v>12</v>
      </c>
      <c r="Q2009" s="503">
        <f t="shared" si="165"/>
        <v>11</v>
      </c>
      <c r="R2009" s="504" t="str">
        <f t="shared" si="166"/>
        <v>Gastos_Gerais</v>
      </c>
      <c r="S2009" s="504" t="str">
        <f>IF(D2009="","",IF(OR(D2009=Plano!$A$1,D2009=Plano!$B$1),"entrada","saída"))</f>
        <v>saída</v>
      </c>
      <c r="T2009" s="511" t="s">
        <v>114</v>
      </c>
      <c r="U2009" s="505" t="s">
        <v>114</v>
      </c>
      <c r="V2009" s="541"/>
    </row>
    <row r="2010" spans="1:22" ht="111.75" customHeight="1" x14ac:dyDescent="0.2">
      <c r="A2010" s="619">
        <f>IF(B2010="","",COUNT('Diário 5º PA'!$A$5:$A$2634)+COUNT('Diário 6º PA'!$A$5:$A$2246)+COUNT('Diário 7º PA'!$A$5:$A$2271)+ROW()-4)</f>
        <v>5956</v>
      </c>
      <c r="B2010" s="620">
        <v>44559</v>
      </c>
      <c r="C2010" s="645">
        <v>44501</v>
      </c>
      <c r="D2010" s="646" t="s">
        <v>99</v>
      </c>
      <c r="E2010" s="646" t="s">
        <v>336</v>
      </c>
      <c r="F2010" s="647">
        <v>5469.75</v>
      </c>
      <c r="G2010" s="648" t="s">
        <v>6149</v>
      </c>
      <c r="H2010" s="646" t="s">
        <v>132</v>
      </c>
      <c r="I2010" s="627" t="s">
        <v>7075</v>
      </c>
      <c r="J2010" s="548">
        <v>11434676</v>
      </c>
      <c r="K2010" s="583" t="s">
        <v>4366</v>
      </c>
      <c r="L2010" s="583" t="s">
        <v>1177</v>
      </c>
      <c r="M2010" s="625" t="s">
        <v>114</v>
      </c>
      <c r="N2010" s="620">
        <v>44555</v>
      </c>
      <c r="O2010" s="684" t="s">
        <v>67</v>
      </c>
      <c r="P2010" s="503">
        <f t="shared" si="164"/>
        <v>12</v>
      </c>
      <c r="Q2010" s="503">
        <f t="shared" si="165"/>
        <v>11</v>
      </c>
      <c r="R2010" s="504" t="str">
        <f t="shared" si="166"/>
        <v>Gastos_Gerais</v>
      </c>
      <c r="S2010" s="504" t="str">
        <f>IF(D2010="","",IF(OR(D2010=Plano!$A$1,D2010=Plano!$B$1),"entrada","saída"))</f>
        <v>saída</v>
      </c>
      <c r="T2010" s="511" t="s">
        <v>994</v>
      </c>
      <c r="U2010" s="505">
        <v>2380</v>
      </c>
      <c r="V2010" s="541"/>
    </row>
    <row r="2011" spans="1:22" ht="50.1" customHeight="1" x14ac:dyDescent="0.2">
      <c r="A2011" s="619">
        <f>IF(B2011="","",COUNT('Diário 5º PA'!$A$5:$A$2634)+COUNT('Diário 6º PA'!$A$5:$A$2246)+COUNT('Diário 7º PA'!$A$5:$A$2271)+ROW()-4)</f>
        <v>5957</v>
      </c>
      <c r="B2011" s="620">
        <v>44559</v>
      </c>
      <c r="C2011" s="645">
        <v>44501</v>
      </c>
      <c r="D2011" s="646" t="s">
        <v>99</v>
      </c>
      <c r="E2011" s="646" t="s">
        <v>336</v>
      </c>
      <c r="F2011" s="622">
        <v>550</v>
      </c>
      <c r="G2011" s="623" t="s">
        <v>5589</v>
      </c>
      <c r="H2011" s="646" t="s">
        <v>132</v>
      </c>
      <c r="I2011" s="583" t="s">
        <v>949</v>
      </c>
      <c r="J2011" s="548" t="s">
        <v>950</v>
      </c>
      <c r="K2011" s="583" t="s">
        <v>951</v>
      </c>
      <c r="L2011" s="583" t="s">
        <v>947</v>
      </c>
      <c r="M2011" s="625" t="s">
        <v>114</v>
      </c>
      <c r="N2011" s="620">
        <v>44559</v>
      </c>
      <c r="O2011" s="684" t="s">
        <v>67</v>
      </c>
      <c r="P2011" s="503">
        <f t="shared" si="164"/>
        <v>12</v>
      </c>
      <c r="Q2011" s="503">
        <f t="shared" si="165"/>
        <v>11</v>
      </c>
      <c r="R2011" s="504" t="str">
        <f t="shared" si="166"/>
        <v>Gastos_Gerais</v>
      </c>
      <c r="S2011" s="504" t="str">
        <f>IF(D2011="","",IF(OR(D2011=Plano!$A$1,D2011=Plano!$B$1),"entrada","saída"))</f>
        <v>saída</v>
      </c>
      <c r="T2011" s="511" t="s">
        <v>114</v>
      </c>
      <c r="U2011" s="505" t="s">
        <v>114</v>
      </c>
      <c r="V2011" s="541"/>
    </row>
    <row r="2012" spans="1:22" ht="50.1" customHeight="1" x14ac:dyDescent="0.2">
      <c r="A2012" s="619">
        <f>IF(B2012="","",COUNT('Diário 5º PA'!$A$5:$A$2634)+COUNT('Diário 6º PA'!$A$5:$A$2246)+COUNT('Diário 7º PA'!$A$5:$A$2271)+ROW()-4)</f>
        <v>5958</v>
      </c>
      <c r="B2012" s="620">
        <v>44559</v>
      </c>
      <c r="C2012" s="645">
        <v>44501</v>
      </c>
      <c r="D2012" s="646" t="s">
        <v>99</v>
      </c>
      <c r="E2012" s="646" t="s">
        <v>336</v>
      </c>
      <c r="F2012" s="622">
        <v>965.25</v>
      </c>
      <c r="G2012" s="623" t="s">
        <v>7077</v>
      </c>
      <c r="H2012" s="646" t="s">
        <v>132</v>
      </c>
      <c r="I2012" s="583" t="s">
        <v>488</v>
      </c>
      <c r="J2012" s="548" t="s">
        <v>114</v>
      </c>
      <c r="K2012" s="583" t="s">
        <v>466</v>
      </c>
      <c r="L2012" s="583" t="s">
        <v>489</v>
      </c>
      <c r="M2012" s="625" t="s">
        <v>114</v>
      </c>
      <c r="N2012" s="620">
        <v>44559</v>
      </c>
      <c r="O2012" s="684" t="s">
        <v>67</v>
      </c>
      <c r="P2012" s="503">
        <f t="shared" si="164"/>
        <v>12</v>
      </c>
      <c r="Q2012" s="503">
        <f t="shared" si="165"/>
        <v>11</v>
      </c>
      <c r="R2012" s="504" t="str">
        <f t="shared" si="166"/>
        <v>Gastos_Gerais</v>
      </c>
      <c r="S2012" s="504" t="str">
        <f>IF(D2012="","",IF(OR(D2012=Plano!$A$1,D2012=Plano!$B$1),"entrada","saída"))</f>
        <v>saída</v>
      </c>
      <c r="T2012" s="511" t="s">
        <v>114</v>
      </c>
      <c r="U2012" s="505" t="s">
        <v>114</v>
      </c>
      <c r="V2012" s="541"/>
    </row>
    <row r="2013" spans="1:22" ht="50.1" customHeight="1" x14ac:dyDescent="0.2">
      <c r="A2013" s="619">
        <f>IF(B2013="","",COUNT('Diário 5º PA'!$A$5:$A$2634)+COUNT('Diário 6º PA'!$A$5:$A$2246)+COUNT('Diário 7º PA'!$A$5:$A$2271)+ROW()-4)</f>
        <v>5959</v>
      </c>
      <c r="B2013" s="620">
        <v>44559</v>
      </c>
      <c r="C2013" s="645">
        <v>44501</v>
      </c>
      <c r="D2013" s="646" t="s">
        <v>99</v>
      </c>
      <c r="E2013" s="646" t="s">
        <v>336</v>
      </c>
      <c r="F2013" s="622">
        <v>122.85</v>
      </c>
      <c r="G2013" s="623" t="s">
        <v>7079</v>
      </c>
      <c r="H2013" s="646" t="s">
        <v>132</v>
      </c>
      <c r="I2013" s="583" t="s">
        <v>488</v>
      </c>
      <c r="J2013" s="548" t="s">
        <v>114</v>
      </c>
      <c r="K2013" s="583" t="s">
        <v>466</v>
      </c>
      <c r="L2013" s="583" t="s">
        <v>489</v>
      </c>
      <c r="M2013" s="625" t="s">
        <v>114</v>
      </c>
      <c r="N2013" s="620">
        <v>44559</v>
      </c>
      <c r="O2013" s="684" t="s">
        <v>67</v>
      </c>
      <c r="P2013" s="503">
        <f t="shared" si="164"/>
        <v>12</v>
      </c>
      <c r="Q2013" s="503">
        <f t="shared" si="165"/>
        <v>11</v>
      </c>
      <c r="R2013" s="504" t="str">
        <f t="shared" si="166"/>
        <v>Gastos_Gerais</v>
      </c>
      <c r="S2013" s="504" t="str">
        <f>IF(D2013="","",IF(OR(D2013=Plano!$A$1,D2013=Plano!$B$1),"entrada","saída"))</f>
        <v>saída</v>
      </c>
      <c r="T2013" s="511" t="s">
        <v>114</v>
      </c>
      <c r="U2013" s="505" t="s">
        <v>114</v>
      </c>
      <c r="V2013" s="541"/>
    </row>
    <row r="2014" spans="1:22" ht="50.1" customHeight="1" x14ac:dyDescent="0.2">
      <c r="A2014" s="619">
        <f>IF(B2014="","",COUNT('Diário 5º PA'!$A$5:$A$2634)+COUNT('Diário 6º PA'!$A$5:$A$2246)+COUNT('Diário 7º PA'!$A$5:$A$2271)+ROW()-4)</f>
        <v>5960</v>
      </c>
      <c r="B2014" s="620">
        <v>44559</v>
      </c>
      <c r="C2014" s="645">
        <v>44501</v>
      </c>
      <c r="D2014" s="646" t="s">
        <v>99</v>
      </c>
      <c r="E2014" s="646" t="s">
        <v>336</v>
      </c>
      <c r="F2014" s="679">
        <v>565.85</v>
      </c>
      <c r="G2014" s="680" t="s">
        <v>7078</v>
      </c>
      <c r="H2014" s="646" t="s">
        <v>132</v>
      </c>
      <c r="I2014" s="583" t="s">
        <v>488</v>
      </c>
      <c r="J2014" s="548" t="s">
        <v>114</v>
      </c>
      <c r="K2014" s="583" t="s">
        <v>466</v>
      </c>
      <c r="L2014" s="583" t="s">
        <v>489</v>
      </c>
      <c r="M2014" s="625" t="s">
        <v>114</v>
      </c>
      <c r="N2014" s="620">
        <v>44559</v>
      </c>
      <c r="O2014" s="684" t="s">
        <v>67</v>
      </c>
      <c r="P2014" s="503">
        <f t="shared" si="164"/>
        <v>12</v>
      </c>
      <c r="Q2014" s="503">
        <f t="shared" si="165"/>
        <v>11</v>
      </c>
      <c r="R2014" s="504" t="str">
        <f t="shared" si="166"/>
        <v>Gastos_Gerais</v>
      </c>
      <c r="S2014" s="504" t="str">
        <f>IF(D2014="","",IF(OR(D2014=Plano!$A$1,D2014=Plano!$B$1),"entrada","saída"))</f>
        <v>saída</v>
      </c>
      <c r="T2014" s="511" t="s">
        <v>114</v>
      </c>
      <c r="U2014" s="505" t="s">
        <v>114</v>
      </c>
      <c r="V2014" s="541"/>
    </row>
    <row r="2015" spans="1:22" s="569" customFormat="1" ht="50.1" customHeight="1" x14ac:dyDescent="0.2">
      <c r="A2015" s="619">
        <f>IF(B2015="","",COUNT('Diário 5º PA'!$A$5:$A$2634)+COUNT('Diário 6º PA'!$A$5:$A$2246)+COUNT('Diário 7º PA'!$A$5:$A$2271)+ROW()-4)</f>
        <v>5961</v>
      </c>
      <c r="B2015" s="620">
        <v>44559</v>
      </c>
      <c r="C2015" s="624">
        <v>44501</v>
      </c>
      <c r="D2015" s="548" t="s">
        <v>104</v>
      </c>
      <c r="E2015" s="548" t="s">
        <v>104</v>
      </c>
      <c r="F2015" s="622">
        <v>3429.65</v>
      </c>
      <c r="G2015" s="623" t="s">
        <v>7150</v>
      </c>
      <c r="H2015" s="681" t="s">
        <v>104</v>
      </c>
      <c r="I2015" s="583" t="s">
        <v>7151</v>
      </c>
      <c r="J2015" s="548" t="s">
        <v>7152</v>
      </c>
      <c r="K2015" s="583" t="s">
        <v>991</v>
      </c>
      <c r="L2015" s="583" t="s">
        <v>992</v>
      </c>
      <c r="M2015" s="619" t="s">
        <v>1608</v>
      </c>
      <c r="N2015" s="620">
        <v>44543</v>
      </c>
      <c r="O2015" s="684" t="s">
        <v>71</v>
      </c>
      <c r="P2015" s="503">
        <f t="shared" si="164"/>
        <v>12</v>
      </c>
      <c r="Q2015" s="503">
        <f t="shared" si="165"/>
        <v>11</v>
      </c>
      <c r="R2015" s="504" t="str">
        <f t="shared" si="166"/>
        <v>Gastos_custeados_por_captação</v>
      </c>
      <c r="S2015" s="504" t="str">
        <f>IF(D2015="","",IF(OR(D2015=Plano!$A$1,D2015=Plano!$B$1),"entrada","saída"))</f>
        <v>saída</v>
      </c>
      <c r="T2015" s="511" t="s">
        <v>1082</v>
      </c>
      <c r="U2015" s="505">
        <v>1426</v>
      </c>
      <c r="V2015" s="541"/>
    </row>
    <row r="2016" spans="1:22" ht="85.5" customHeight="1" x14ac:dyDescent="0.2">
      <c r="A2016" s="619">
        <f>IF(B2016="","",COUNT('Diário 5º PA'!$A$5:$A$2634)+COUNT('Diário 6º PA'!$A$5:$A$2246)+COUNT('Diário 7º PA'!$A$5:$A$2271)+ROW()-4)</f>
        <v>5962</v>
      </c>
      <c r="B2016" s="620">
        <v>44560</v>
      </c>
      <c r="C2016" s="645">
        <v>44531</v>
      </c>
      <c r="D2016" s="646" t="s">
        <v>99</v>
      </c>
      <c r="E2016" s="646" t="s">
        <v>330</v>
      </c>
      <c r="F2016" s="663">
        <v>241.92</v>
      </c>
      <c r="G2016" s="664" t="s">
        <v>451</v>
      </c>
      <c r="H2016" s="646" t="s">
        <v>115</v>
      </c>
      <c r="I2016" s="665" t="s">
        <v>1640</v>
      </c>
      <c r="J2016" s="646" t="s">
        <v>452</v>
      </c>
      <c r="K2016" s="583" t="s">
        <v>560</v>
      </c>
      <c r="L2016" s="583" t="s">
        <v>992</v>
      </c>
      <c r="M2016" s="619">
        <v>32538</v>
      </c>
      <c r="N2016" s="620">
        <v>44531</v>
      </c>
      <c r="O2016" s="684" t="s">
        <v>67</v>
      </c>
      <c r="P2016" s="503">
        <f t="shared" si="164"/>
        <v>12</v>
      </c>
      <c r="Q2016" s="503">
        <f t="shared" si="165"/>
        <v>12</v>
      </c>
      <c r="R2016" s="504" t="str">
        <f t="shared" si="166"/>
        <v>Gastos_Gerais</v>
      </c>
      <c r="S2016" s="504" t="str">
        <f>IF(D2016="","",IF(OR(D2016=Plano!$A$1,D2016=Plano!$B$1),"entrada","saída"))</f>
        <v>saída</v>
      </c>
      <c r="T2016" s="505" t="s">
        <v>1059</v>
      </c>
      <c r="U2016" s="505">
        <v>1672</v>
      </c>
      <c r="V2016" s="541"/>
    </row>
    <row r="2017" spans="1:22" s="574" customFormat="1" ht="69" customHeight="1" x14ac:dyDescent="0.2">
      <c r="A2017" s="619">
        <f>IF(B2017="","",COUNT('Diário 5º PA'!$A$5:$A$2634)+COUNT('Diário 6º PA'!$A$5:$A$2246)+COUNT('Diário 7º PA'!$A$5:$A$2271)+ROW()-4)</f>
        <v>5963</v>
      </c>
      <c r="B2017" s="620">
        <v>44560</v>
      </c>
      <c r="C2017" s="621">
        <v>44501</v>
      </c>
      <c r="D2017" s="548" t="s">
        <v>104</v>
      </c>
      <c r="E2017" s="548" t="s">
        <v>104</v>
      </c>
      <c r="F2017" s="655">
        <v>-400</v>
      </c>
      <c r="G2017" s="648" t="s">
        <v>7295</v>
      </c>
      <c r="H2017" s="548" t="s">
        <v>104</v>
      </c>
      <c r="I2017" s="583" t="s">
        <v>3172</v>
      </c>
      <c r="J2017" s="548" t="s">
        <v>850</v>
      </c>
      <c r="K2017" s="583" t="s">
        <v>946</v>
      </c>
      <c r="L2017" s="583" t="s">
        <v>947</v>
      </c>
      <c r="M2017" s="619" t="s">
        <v>114</v>
      </c>
      <c r="N2017" s="620">
        <v>44560</v>
      </c>
      <c r="O2017" s="684" t="s">
        <v>5377</v>
      </c>
      <c r="P2017" s="503">
        <f t="shared" si="164"/>
        <v>12</v>
      </c>
      <c r="Q2017" s="503">
        <f t="shared" si="165"/>
        <v>11</v>
      </c>
      <c r="R2017" s="504" t="str">
        <f t="shared" si="166"/>
        <v>Gastos_custeados_por_captação</v>
      </c>
      <c r="S2017" s="504" t="str">
        <f>IF(D2017="","",IF(OR(D2017=Plano!$A$1,D2017=Plano!$B$1),"entrada","saída"))</f>
        <v>saída</v>
      </c>
      <c r="T2017" s="511" t="s">
        <v>114</v>
      </c>
      <c r="U2017" s="511" t="s">
        <v>114</v>
      </c>
      <c r="V2017" s="541"/>
    </row>
    <row r="2018" spans="1:22" ht="51.75" customHeight="1" x14ac:dyDescent="0.2">
      <c r="A2018" s="619">
        <f>IF(B2018="","",COUNT('Diário 5º PA'!$A$5:$A$2634)+COUNT('Diário 6º PA'!$A$5:$A$2246)+COUNT('Diário 7º PA'!$A$5:$A$2271)+ROW()-4)</f>
        <v>5964</v>
      </c>
      <c r="B2018" s="620">
        <v>44561</v>
      </c>
      <c r="C2018" s="621">
        <v>44531</v>
      </c>
      <c r="D2018" s="548" t="s">
        <v>88</v>
      </c>
      <c r="E2018" s="548" t="s">
        <v>177</v>
      </c>
      <c r="F2018" s="622">
        <v>9308.9</v>
      </c>
      <c r="G2018" s="623" t="s">
        <v>1575</v>
      </c>
      <c r="H2018" s="548" t="s">
        <v>114</v>
      </c>
      <c r="I2018" s="583" t="s">
        <v>1181</v>
      </c>
      <c r="J2018" s="548" t="s">
        <v>1182</v>
      </c>
      <c r="K2018" s="583" t="s">
        <v>991</v>
      </c>
      <c r="L2018" s="583" t="s">
        <v>1347</v>
      </c>
      <c r="M2018" s="619" t="s">
        <v>114</v>
      </c>
      <c r="N2018" s="620">
        <v>44561</v>
      </c>
      <c r="O2018" s="684" t="s">
        <v>67</v>
      </c>
      <c r="P2018" s="503">
        <f t="shared" si="164"/>
        <v>12</v>
      </c>
      <c r="Q2018" s="503">
        <f t="shared" si="165"/>
        <v>12</v>
      </c>
      <c r="R2018" s="504" t="str">
        <f t="shared" si="166"/>
        <v>Gastos_com_Pessoal</v>
      </c>
      <c r="S2018" s="504" t="str">
        <f>IF(D2018="","",IF(OR(D2018=Plano!$A$1,D2018=Plano!$B$1),"entrada","saída"))</f>
        <v>saída</v>
      </c>
      <c r="T2018" s="505" t="s">
        <v>114</v>
      </c>
      <c r="U2018" s="505" t="s">
        <v>114</v>
      </c>
      <c r="V2018" s="541"/>
    </row>
    <row r="2019" spans="1:22" ht="42" customHeight="1" x14ac:dyDescent="0.2">
      <c r="A2019" s="619">
        <f>IF(B2019="","",COUNT('Diário 5º PA'!$A$5:$A$2634)+COUNT('Diário 6º PA'!$A$5:$A$2246)+COUNT('Diário 7º PA'!$A$5:$A$2271)+ROW()-4)</f>
        <v>5965</v>
      </c>
      <c r="B2019" s="620">
        <v>44561</v>
      </c>
      <c r="C2019" s="621">
        <v>44531</v>
      </c>
      <c r="D2019" s="548" t="s">
        <v>88</v>
      </c>
      <c r="E2019" s="548" t="s">
        <v>177</v>
      </c>
      <c r="F2019" s="622">
        <v>2034.48</v>
      </c>
      <c r="G2019" s="623" t="s">
        <v>7158</v>
      </c>
      <c r="H2019" s="548" t="s">
        <v>114</v>
      </c>
      <c r="I2019" s="583" t="s">
        <v>1226</v>
      </c>
      <c r="J2019" s="548" t="s">
        <v>1227</v>
      </c>
      <c r="K2019" s="583" t="s">
        <v>1015</v>
      </c>
      <c r="L2019" s="583" t="s">
        <v>1347</v>
      </c>
      <c r="M2019" s="619" t="s">
        <v>114</v>
      </c>
      <c r="N2019" s="620">
        <v>44561</v>
      </c>
      <c r="O2019" s="684" t="s">
        <v>67</v>
      </c>
      <c r="P2019" s="503">
        <f t="shared" si="164"/>
        <v>12</v>
      </c>
      <c r="Q2019" s="503">
        <f t="shared" si="165"/>
        <v>12</v>
      </c>
      <c r="R2019" s="504" t="str">
        <f t="shared" si="166"/>
        <v>Gastos_com_Pessoal</v>
      </c>
      <c r="S2019" s="504" t="str">
        <f>IF(D2019="","",IF(OR(D2019=Plano!$A$1,D2019=Plano!$B$1),"entrada","saída"))</f>
        <v>saída</v>
      </c>
      <c r="T2019" s="505" t="s">
        <v>114</v>
      </c>
      <c r="U2019" s="505" t="s">
        <v>114</v>
      </c>
      <c r="V2019" s="541"/>
    </row>
    <row r="2020" spans="1:22" ht="50.1" customHeight="1" x14ac:dyDescent="0.2">
      <c r="A2020" s="619">
        <f>IF(B2020="","",COUNT('Diário 5º PA'!$A$5:$A$2634)+COUNT('Diário 6º PA'!$A$5:$A$2246)+COUNT('Diário 7º PA'!$A$5:$A$2271)+ROW()-4)</f>
        <v>5966</v>
      </c>
      <c r="B2020" s="620">
        <v>44561</v>
      </c>
      <c r="C2020" s="621">
        <v>44531</v>
      </c>
      <c r="D2020" s="548" t="s">
        <v>85</v>
      </c>
      <c r="E2020" s="548" t="s">
        <v>85</v>
      </c>
      <c r="F2020" s="622">
        <v>10510.86</v>
      </c>
      <c r="G2020" s="623" t="s">
        <v>7159</v>
      </c>
      <c r="H2020" s="548" t="s">
        <v>114</v>
      </c>
      <c r="I2020" s="583" t="s">
        <v>945</v>
      </c>
      <c r="J2020" s="548" t="s">
        <v>850</v>
      </c>
      <c r="K2020" s="583" t="s">
        <v>946</v>
      </c>
      <c r="L2020" s="583" t="s">
        <v>947</v>
      </c>
      <c r="M2020" s="625" t="s">
        <v>114</v>
      </c>
      <c r="N2020" s="620">
        <v>44561</v>
      </c>
      <c r="O2020" s="684" t="s">
        <v>67</v>
      </c>
      <c r="P2020" s="503">
        <f t="shared" si="164"/>
        <v>12</v>
      </c>
      <c r="Q2020" s="503">
        <f t="shared" si="165"/>
        <v>12</v>
      </c>
      <c r="R2020" s="504" t="str">
        <f t="shared" si="166"/>
        <v>Rendimentos_de_Aplicações_Fin.</v>
      </c>
      <c r="S2020" s="504" t="str">
        <f>IF(D2020="","",IF(OR(D2020=Plano!$A$1,D2020=Plano!$B$1),"entrada","saída"))</f>
        <v>entrada</v>
      </c>
      <c r="T2020" s="511" t="s">
        <v>114</v>
      </c>
      <c r="U2020" s="511" t="s">
        <v>114</v>
      </c>
      <c r="V2020" s="541"/>
    </row>
    <row r="2021" spans="1:22" ht="50.1" customHeight="1" x14ac:dyDescent="0.2">
      <c r="A2021" s="619">
        <f>IF(B2021="","",COUNT('Diário 5º PA'!$A$5:$A$2634)+COUNT('Diário 6º PA'!$A$5:$A$2246)+COUNT('Diário 7º PA'!$A$5:$A$2271)+ROW()-4)</f>
        <v>5967</v>
      </c>
      <c r="B2021" s="620">
        <v>44561</v>
      </c>
      <c r="C2021" s="621">
        <v>44531</v>
      </c>
      <c r="D2021" s="548" t="s">
        <v>99</v>
      </c>
      <c r="E2021" s="548" t="s">
        <v>280</v>
      </c>
      <c r="F2021" s="622">
        <v>600.20000000000005</v>
      </c>
      <c r="G2021" s="623" t="s">
        <v>7160</v>
      </c>
      <c r="H2021" s="548" t="s">
        <v>114</v>
      </c>
      <c r="I2021" s="583" t="s">
        <v>488</v>
      </c>
      <c r="J2021" s="548" t="s">
        <v>114</v>
      </c>
      <c r="K2021" s="583" t="s">
        <v>466</v>
      </c>
      <c r="L2021" s="583" t="s">
        <v>489</v>
      </c>
      <c r="M2021" s="619" t="s">
        <v>114</v>
      </c>
      <c r="N2021" s="620">
        <v>44561</v>
      </c>
      <c r="O2021" s="684" t="s">
        <v>67</v>
      </c>
      <c r="P2021" s="503">
        <f t="shared" si="164"/>
        <v>12</v>
      </c>
      <c r="Q2021" s="503">
        <f t="shared" si="165"/>
        <v>12</v>
      </c>
      <c r="R2021" s="504" t="str">
        <f t="shared" si="166"/>
        <v>Gastos_Gerais</v>
      </c>
      <c r="S2021" s="504" t="str">
        <f>IF(D2021="","",IF(OR(D2021=Plano!$A$1,D2021=Plano!$B$1),"entrada","saída"))</f>
        <v>saída</v>
      </c>
      <c r="T2021" s="511" t="s">
        <v>114</v>
      </c>
      <c r="U2021" s="511" t="s">
        <v>114</v>
      </c>
      <c r="V2021" s="541"/>
    </row>
    <row r="2022" spans="1:22" ht="12.75" customHeight="1" x14ac:dyDescent="0.2">
      <c r="A2022" s="493" t="str">
        <f>IF(B2022="","",COUNT('Diário 5º PA'!$A$5:$A$2634)+COUNT('Diário 6º PA'!$A$5:$A$2246)+COUNT('Diário 7º PA'!$A$5:$A$2271)+ROW()-4)</f>
        <v/>
      </c>
      <c r="B2022" s="494"/>
      <c r="C2022" s="507"/>
      <c r="D2022" s="495"/>
      <c r="E2022" s="495"/>
      <c r="F2022" s="496"/>
      <c r="G2022" s="506"/>
      <c r="H2022" s="495"/>
      <c r="I2022" s="581"/>
      <c r="J2022" s="495"/>
      <c r="K2022" s="516"/>
      <c r="L2022" s="581"/>
      <c r="M2022" s="493"/>
      <c r="N2022" s="493"/>
      <c r="O2022" s="498"/>
      <c r="P2022" s="503">
        <f t="shared" si="164"/>
        <v>0</v>
      </c>
      <c r="Q2022" s="503">
        <f t="shared" si="165"/>
        <v>0</v>
      </c>
      <c r="R2022" s="504" t="str">
        <f t="shared" si="166"/>
        <v/>
      </c>
      <c r="S2022" s="504" t="str">
        <f>IF(D2022="","",IF(OR(D2022=Plano!$A$1,D2022=Plano!$B$1),"entrada","saída"))</f>
        <v/>
      </c>
      <c r="T2022" s="505"/>
      <c r="U2022" s="505"/>
      <c r="V2022" s="541"/>
    </row>
    <row r="2023" spans="1:22" ht="12.75" customHeight="1" x14ac:dyDescent="0.2">
      <c r="A2023" s="493" t="str">
        <f>IF(B2023="","",COUNT('Diário 5º PA'!$A$5:$A$2634)+COUNT('Diário 6º PA'!$A$5:$A$2246)+COUNT('Diário 7º PA'!$A$5:$A$2271)+ROW()-4)</f>
        <v/>
      </c>
      <c r="B2023" s="494"/>
      <c r="C2023" s="507"/>
      <c r="D2023" s="495"/>
      <c r="E2023" s="495"/>
      <c r="F2023" s="496"/>
      <c r="G2023" s="506"/>
      <c r="H2023" s="495"/>
      <c r="I2023" s="581"/>
      <c r="J2023" s="495"/>
      <c r="K2023" s="516"/>
      <c r="L2023" s="581"/>
      <c r="M2023" s="493"/>
      <c r="N2023" s="493"/>
      <c r="O2023" s="498"/>
      <c r="P2023" s="503">
        <f t="shared" si="164"/>
        <v>0</v>
      </c>
      <c r="Q2023" s="503">
        <f t="shared" si="165"/>
        <v>0</v>
      </c>
      <c r="R2023" s="504" t="str">
        <f t="shared" si="166"/>
        <v/>
      </c>
      <c r="S2023" s="504" t="str">
        <f>IF(D2023="","",IF(OR(D2023=Plano!$A$1,D2023=Plano!$B$1),"entrada","saída"))</f>
        <v/>
      </c>
      <c r="T2023" s="505"/>
      <c r="U2023" s="505"/>
      <c r="V2023" s="541"/>
    </row>
    <row r="2024" spans="1:22" ht="12.75" customHeight="1" x14ac:dyDescent="0.2">
      <c r="A2024" s="493" t="str">
        <f>IF(B2024="","",COUNT('Diário 5º PA'!$A$5:$A$2634)+COUNT('Diário 6º PA'!$A$5:$A$2246)+COUNT('Diário 7º PA'!$A$5:$A$2271)+ROW()-4)</f>
        <v/>
      </c>
      <c r="B2024" s="494"/>
      <c r="C2024" s="507"/>
      <c r="D2024" s="495"/>
      <c r="E2024" s="495"/>
      <c r="F2024" s="496"/>
      <c r="G2024" s="506"/>
      <c r="H2024" s="495"/>
      <c r="I2024" s="581"/>
      <c r="J2024" s="495"/>
      <c r="K2024" s="516"/>
      <c r="L2024" s="581"/>
      <c r="M2024" s="493"/>
      <c r="N2024" s="493"/>
      <c r="O2024" s="498"/>
      <c r="P2024" s="503">
        <f t="shared" si="164"/>
        <v>0</v>
      </c>
      <c r="Q2024" s="503">
        <f t="shared" si="165"/>
        <v>0</v>
      </c>
      <c r="R2024" s="504" t="str">
        <f t="shared" si="166"/>
        <v/>
      </c>
      <c r="S2024" s="504" t="str">
        <f>IF(D2024="","",IF(OR(D2024=Plano!$A$1,D2024=Plano!$B$1),"entrada","saída"))</f>
        <v/>
      </c>
      <c r="T2024" s="505"/>
      <c r="U2024" s="505"/>
      <c r="V2024" s="541"/>
    </row>
    <row r="2025" spans="1:22" ht="12.75" customHeight="1" x14ac:dyDescent="0.2">
      <c r="A2025" s="493" t="str">
        <f>IF(B2025="","",COUNT('Diário 5º PA'!$A$5:$A$2634)+COUNT('Diário 6º PA'!$A$5:$A$2246)+COUNT('Diário 7º PA'!$A$5:$A$2271)+ROW()-4)</f>
        <v/>
      </c>
      <c r="B2025" s="494"/>
      <c r="C2025" s="507"/>
      <c r="D2025" s="495"/>
      <c r="E2025" s="495"/>
      <c r="F2025" s="496"/>
      <c r="G2025" s="506"/>
      <c r="H2025" s="495"/>
      <c r="I2025" s="581"/>
      <c r="J2025" s="495"/>
      <c r="K2025" s="516"/>
      <c r="L2025" s="581"/>
      <c r="M2025" s="493"/>
      <c r="N2025" s="493"/>
      <c r="O2025" s="498"/>
      <c r="P2025" s="503">
        <f t="shared" si="164"/>
        <v>0</v>
      </c>
      <c r="Q2025" s="503">
        <f t="shared" si="165"/>
        <v>0</v>
      </c>
      <c r="R2025" s="504" t="str">
        <f t="shared" si="166"/>
        <v/>
      </c>
      <c r="S2025" s="504" t="str">
        <f>IF(D2025="","",IF(OR(D2025=Plano!$A$1,D2025=Plano!$B$1),"entrada","saída"))</f>
        <v/>
      </c>
      <c r="T2025" s="505"/>
      <c r="U2025" s="505"/>
      <c r="V2025" s="541"/>
    </row>
    <row r="2026" spans="1:22" ht="12.75" customHeight="1" x14ac:dyDescent="0.2">
      <c r="A2026" s="493" t="str">
        <f>IF(B2026="","",COUNT('Diário 5º PA'!$A$5:$A$2634)+COUNT('Diário 6º PA'!$A$5:$A$2246)+COUNT('Diário 7º PA'!$A$5:$A$2271)+ROW()-4)</f>
        <v/>
      </c>
      <c r="B2026" s="494"/>
      <c r="C2026" s="507"/>
      <c r="D2026" s="495"/>
      <c r="E2026" s="495"/>
      <c r="F2026" s="496"/>
      <c r="G2026" s="506"/>
      <c r="H2026" s="495"/>
      <c r="I2026" s="581"/>
      <c r="J2026" s="495"/>
      <c r="K2026" s="516"/>
      <c r="L2026" s="581"/>
      <c r="M2026" s="493"/>
      <c r="N2026" s="493"/>
      <c r="O2026" s="498"/>
      <c r="P2026" s="503">
        <f t="shared" si="164"/>
        <v>0</v>
      </c>
      <c r="Q2026" s="503">
        <f t="shared" si="165"/>
        <v>0</v>
      </c>
      <c r="R2026" s="504" t="str">
        <f t="shared" si="166"/>
        <v/>
      </c>
      <c r="S2026" s="504" t="str">
        <f>IF(D2026="","",IF(OR(D2026=Plano!$A$1,D2026=Plano!$B$1),"entrada","saída"))</f>
        <v/>
      </c>
      <c r="T2026" s="505"/>
      <c r="U2026" s="505"/>
      <c r="V2026" s="541"/>
    </row>
    <row r="2027" spans="1:22" ht="12.75" customHeight="1" x14ac:dyDescent="0.2">
      <c r="A2027" s="493" t="str">
        <f>IF(B2027="","",COUNT('Diário 5º PA'!$A$5:$A$2634)+COUNT('Diário 6º PA'!$A$5:$A$2246)+COUNT('Diário 7º PA'!$A$5:$A$2271)+ROW()-4)</f>
        <v/>
      </c>
      <c r="B2027" s="494"/>
      <c r="C2027" s="507"/>
      <c r="D2027" s="495"/>
      <c r="E2027" s="495"/>
      <c r="F2027" s="496"/>
      <c r="G2027" s="506"/>
      <c r="H2027" s="495"/>
      <c r="I2027" s="581"/>
      <c r="J2027" s="495"/>
      <c r="K2027" s="516"/>
      <c r="L2027" s="581"/>
      <c r="M2027" s="493"/>
      <c r="N2027" s="493"/>
      <c r="O2027" s="498"/>
      <c r="P2027" s="503">
        <f t="shared" si="164"/>
        <v>0</v>
      </c>
      <c r="Q2027" s="503">
        <f t="shared" si="165"/>
        <v>0</v>
      </c>
      <c r="R2027" s="504" t="str">
        <f t="shared" si="166"/>
        <v/>
      </c>
      <c r="S2027" s="504" t="str">
        <f>IF(D2027="","",IF(OR(D2027=Plano!$A$1,D2027=Plano!$B$1),"entrada","saída"))</f>
        <v/>
      </c>
      <c r="T2027" s="505"/>
      <c r="U2027" s="505"/>
      <c r="V2027" s="541"/>
    </row>
    <row r="2028" spans="1:22" ht="12.75" customHeight="1" x14ac:dyDescent="0.2">
      <c r="A2028" s="493" t="str">
        <f>IF(B2028="","",COUNT('Diário 5º PA'!$A$5:$A$2634)+COUNT('Diário 6º PA'!$A$5:$A$2246)+COUNT('Diário 7º PA'!$A$5:$A$2271)+ROW()-4)</f>
        <v/>
      </c>
      <c r="B2028" s="494"/>
      <c r="C2028" s="507"/>
      <c r="D2028" s="495"/>
      <c r="E2028" s="495"/>
      <c r="F2028" s="496"/>
      <c r="G2028" s="506"/>
      <c r="H2028" s="495"/>
      <c r="I2028" s="581"/>
      <c r="J2028" s="495"/>
      <c r="K2028" s="516"/>
      <c r="L2028" s="581"/>
      <c r="M2028" s="493"/>
      <c r="N2028" s="493"/>
      <c r="O2028" s="498"/>
      <c r="P2028" s="503">
        <f t="shared" si="164"/>
        <v>0</v>
      </c>
      <c r="Q2028" s="503">
        <f t="shared" si="165"/>
        <v>0</v>
      </c>
      <c r="R2028" s="504" t="str">
        <f t="shared" si="166"/>
        <v/>
      </c>
      <c r="S2028" s="504" t="str">
        <f>IF(D2028="","",IF(OR(D2028=Plano!$A$1,D2028=Plano!$B$1),"entrada","saída"))</f>
        <v/>
      </c>
      <c r="T2028" s="505"/>
      <c r="U2028" s="505"/>
      <c r="V2028" s="541"/>
    </row>
    <row r="2029" spans="1:22" ht="12.75" customHeight="1" x14ac:dyDescent="0.2">
      <c r="A2029" s="493" t="str">
        <f>IF(B2029="","",COUNT('Diário 5º PA'!$A$5:$A$2634)+COUNT('Diário 6º PA'!$A$5:$A$2246)+COUNT('Diário 7º PA'!$A$5:$A$2271)+ROW()-4)</f>
        <v/>
      </c>
      <c r="B2029" s="494"/>
      <c r="C2029" s="507"/>
      <c r="D2029" s="495"/>
      <c r="E2029" s="495"/>
      <c r="F2029" s="496"/>
      <c r="G2029" s="506"/>
      <c r="H2029" s="495"/>
      <c r="I2029" s="581"/>
      <c r="J2029" s="495"/>
      <c r="K2029" s="516"/>
      <c r="L2029" s="581"/>
      <c r="M2029" s="493"/>
      <c r="N2029" s="493"/>
      <c r="O2029" s="498"/>
      <c r="P2029" s="503">
        <f t="shared" si="164"/>
        <v>0</v>
      </c>
      <c r="Q2029" s="503">
        <f t="shared" si="165"/>
        <v>0</v>
      </c>
      <c r="R2029" s="504" t="str">
        <f t="shared" si="166"/>
        <v/>
      </c>
      <c r="S2029" s="504" t="str">
        <f>IF(D2029="","",IF(OR(D2029=Plano!$A$1,D2029=Plano!$B$1),"entrada","saída"))</f>
        <v/>
      </c>
      <c r="T2029" s="505"/>
      <c r="U2029" s="505"/>
      <c r="V2029" s="541"/>
    </row>
    <row r="2030" spans="1:22" ht="12.75" customHeight="1" x14ac:dyDescent="0.2">
      <c r="A2030" s="493" t="str">
        <f>IF(B2030="","",COUNT('Diário 5º PA'!$A$5:$A$2634)+COUNT('Diário 6º PA'!$A$5:$A$2246)+COUNT('Diário 7º PA'!$A$5:$A$2271)+ROW()-4)</f>
        <v/>
      </c>
      <c r="B2030" s="494"/>
      <c r="C2030" s="507"/>
      <c r="D2030" s="495"/>
      <c r="E2030" s="495"/>
      <c r="F2030" s="496"/>
      <c r="G2030" s="506"/>
      <c r="H2030" s="495"/>
      <c r="I2030" s="581"/>
      <c r="J2030" s="495"/>
      <c r="K2030" s="516"/>
      <c r="L2030" s="581"/>
      <c r="M2030" s="493"/>
      <c r="N2030" s="493"/>
      <c r="O2030" s="498"/>
      <c r="P2030" s="503">
        <f t="shared" si="164"/>
        <v>0</v>
      </c>
      <c r="Q2030" s="503">
        <f t="shared" si="165"/>
        <v>0</v>
      </c>
      <c r="R2030" s="504" t="str">
        <f t="shared" si="166"/>
        <v/>
      </c>
      <c r="S2030" s="504" t="str">
        <f>IF(D2030="","",IF(OR(D2030=Plano!$A$1,D2030=Plano!$B$1),"entrada","saída"))</f>
        <v/>
      </c>
      <c r="T2030" s="505"/>
      <c r="U2030" s="505"/>
      <c r="V2030" s="541"/>
    </row>
    <row r="2031" spans="1:22" ht="12.75" customHeight="1" x14ac:dyDescent="0.2">
      <c r="A2031" s="493" t="str">
        <f>IF(B2031="","",COUNT('Diário 5º PA'!$A$5:$A$2634)+COUNT('Diário 6º PA'!$A$5:$A$2246)+COUNT('Diário 7º PA'!$A$5:$A$2271)+ROW()-4)</f>
        <v/>
      </c>
      <c r="B2031" s="494"/>
      <c r="C2031" s="507"/>
      <c r="D2031" s="495"/>
      <c r="E2031" s="495"/>
      <c r="F2031" s="496"/>
      <c r="G2031" s="506"/>
      <c r="H2031" s="495"/>
      <c r="I2031" s="581"/>
      <c r="J2031" s="495"/>
      <c r="K2031" s="516"/>
      <c r="L2031" s="581"/>
      <c r="M2031" s="493"/>
      <c r="N2031" s="493"/>
      <c r="O2031" s="498"/>
      <c r="P2031" s="503">
        <f t="shared" si="164"/>
        <v>0</v>
      </c>
      <c r="Q2031" s="503">
        <f t="shared" si="165"/>
        <v>0</v>
      </c>
      <c r="R2031" s="504" t="str">
        <f t="shared" si="166"/>
        <v/>
      </c>
      <c r="S2031" s="504" t="str">
        <f>IF(D2031="","",IF(OR(D2031=Plano!$A$1,D2031=Plano!$B$1),"entrada","saída"))</f>
        <v/>
      </c>
      <c r="T2031" s="505"/>
      <c r="U2031" s="505"/>
      <c r="V2031" s="541"/>
    </row>
    <row r="2032" spans="1:22" ht="12.75" customHeight="1" x14ac:dyDescent="0.2">
      <c r="A2032" s="493" t="str">
        <f>IF(B2032="","",COUNT('Diário 5º PA'!$A$5:$A$2634)+COUNT('Diário 6º PA'!$A$5:$A$2246)+COUNT('Diário 7º PA'!$A$5:$A$2271)+ROW()-4)</f>
        <v/>
      </c>
      <c r="B2032" s="494"/>
      <c r="C2032" s="507"/>
      <c r="D2032" s="495"/>
      <c r="E2032" s="495"/>
      <c r="F2032" s="496"/>
      <c r="G2032" s="506"/>
      <c r="H2032" s="495"/>
      <c r="I2032" s="581"/>
      <c r="J2032" s="495"/>
      <c r="K2032" s="516"/>
      <c r="L2032" s="581"/>
      <c r="M2032" s="493"/>
      <c r="N2032" s="493"/>
      <c r="O2032" s="498"/>
      <c r="P2032" s="503">
        <f t="shared" si="164"/>
        <v>0</v>
      </c>
      <c r="Q2032" s="503">
        <f t="shared" si="165"/>
        <v>0</v>
      </c>
      <c r="R2032" s="504" t="str">
        <f t="shared" si="166"/>
        <v/>
      </c>
      <c r="S2032" s="504" t="str">
        <f>IF(D2032="","",IF(OR(D2032=Plano!$A$1,D2032=Plano!$B$1),"entrada","saída"))</f>
        <v/>
      </c>
      <c r="T2032" s="505"/>
      <c r="U2032" s="505"/>
      <c r="V2032" s="541"/>
    </row>
    <row r="2033" spans="1:22" ht="12.75" customHeight="1" x14ac:dyDescent="0.2">
      <c r="A2033" s="493" t="str">
        <f>IF(B2033="","",COUNT('Diário 5º PA'!$A$5:$A$2634)+COUNT('Diário 6º PA'!$A$5:$A$2246)+COUNT('Diário 7º PA'!$A$5:$A$2271)+ROW()-4)</f>
        <v/>
      </c>
      <c r="B2033" s="494"/>
      <c r="C2033" s="507"/>
      <c r="D2033" s="495"/>
      <c r="E2033" s="495"/>
      <c r="F2033" s="496"/>
      <c r="G2033" s="506"/>
      <c r="H2033" s="495"/>
      <c r="I2033" s="581"/>
      <c r="J2033" s="495"/>
      <c r="K2033" s="516"/>
      <c r="L2033" s="581"/>
      <c r="M2033" s="493"/>
      <c r="N2033" s="493"/>
      <c r="O2033" s="498"/>
      <c r="P2033" s="503">
        <f t="shared" si="164"/>
        <v>0</v>
      </c>
      <c r="Q2033" s="503">
        <f t="shared" si="165"/>
        <v>0</v>
      </c>
      <c r="R2033" s="504" t="str">
        <f t="shared" si="166"/>
        <v/>
      </c>
      <c r="S2033" s="504" t="str">
        <f>IF(D2033="","",IF(OR(D2033=Plano!$A$1,D2033=Plano!$B$1),"entrada","saída"))</f>
        <v/>
      </c>
      <c r="T2033" s="505"/>
      <c r="U2033" s="505"/>
      <c r="V2033" s="541"/>
    </row>
    <row r="2034" spans="1:22" ht="12.75" customHeight="1" x14ac:dyDescent="0.2">
      <c r="A2034" s="493" t="str">
        <f>IF(B2034="","",COUNT('Diário 5º PA'!$A$5:$A$2634)+COUNT('Diário 6º PA'!$A$5:$A$2246)+COUNT('Diário 7º PA'!$A$5:$A$2271)+ROW()-4)</f>
        <v/>
      </c>
      <c r="B2034" s="494"/>
      <c r="C2034" s="507"/>
      <c r="D2034" s="495"/>
      <c r="E2034" s="495"/>
      <c r="F2034" s="496"/>
      <c r="G2034" s="506"/>
      <c r="H2034" s="495"/>
      <c r="I2034" s="581"/>
      <c r="J2034" s="495"/>
      <c r="K2034" s="516"/>
      <c r="L2034" s="581"/>
      <c r="M2034" s="493"/>
      <c r="N2034" s="493"/>
      <c r="O2034" s="498"/>
      <c r="P2034" s="503">
        <f t="shared" si="164"/>
        <v>0</v>
      </c>
      <c r="Q2034" s="503">
        <f t="shared" si="165"/>
        <v>0</v>
      </c>
      <c r="R2034" s="504" t="str">
        <f t="shared" si="166"/>
        <v/>
      </c>
      <c r="S2034" s="504" t="str">
        <f>IF(D2034="","",IF(OR(D2034=Plano!$A$1,D2034=Plano!$B$1),"entrada","saída"))</f>
        <v/>
      </c>
      <c r="T2034" s="505"/>
      <c r="U2034" s="505"/>
      <c r="V2034" s="541"/>
    </row>
    <row r="2035" spans="1:22" ht="12.75" customHeight="1" x14ac:dyDescent="0.2">
      <c r="A2035" s="493" t="str">
        <f>IF(B2035="","",COUNT('Diário 5º PA'!$A$5:$A$2634)+COUNT('Diário 6º PA'!$A$5:$A$2246)+COUNT('Diário 7º PA'!$A$5:$A$2271)+ROW()-4)</f>
        <v/>
      </c>
      <c r="B2035" s="494"/>
      <c r="C2035" s="507"/>
      <c r="D2035" s="495"/>
      <c r="E2035" s="495"/>
      <c r="F2035" s="496"/>
      <c r="G2035" s="506"/>
      <c r="H2035" s="495"/>
      <c r="I2035" s="581"/>
      <c r="J2035" s="495"/>
      <c r="K2035" s="516"/>
      <c r="L2035" s="581"/>
      <c r="M2035" s="493"/>
      <c r="N2035" s="493"/>
      <c r="O2035" s="498"/>
      <c r="P2035" s="503">
        <f t="shared" si="164"/>
        <v>0</v>
      </c>
      <c r="Q2035" s="503">
        <f t="shared" si="165"/>
        <v>0</v>
      </c>
      <c r="R2035" s="504" t="str">
        <f t="shared" si="166"/>
        <v/>
      </c>
      <c r="S2035" s="504" t="str">
        <f>IF(D2035="","",IF(OR(D2035=Plano!$A$1,D2035=Plano!$B$1),"entrada","saída"))</f>
        <v/>
      </c>
      <c r="T2035" s="505"/>
      <c r="U2035" s="505"/>
      <c r="V2035" s="541"/>
    </row>
    <row r="2036" spans="1:22" ht="12.75" customHeight="1" x14ac:dyDescent="0.2">
      <c r="A2036" s="493" t="str">
        <f>IF(B2036="","",COUNT('Diário 5º PA'!$A$5:$A$2634)+COUNT('Diário 6º PA'!$A$5:$A$2246)+COUNT('Diário 7º PA'!$A$5:$A$2271)+ROW()-4)</f>
        <v/>
      </c>
      <c r="B2036" s="494"/>
      <c r="C2036" s="507"/>
      <c r="D2036" s="495"/>
      <c r="E2036" s="495"/>
      <c r="F2036" s="496"/>
      <c r="G2036" s="506"/>
      <c r="H2036" s="495"/>
      <c r="I2036" s="581"/>
      <c r="J2036" s="495"/>
      <c r="K2036" s="516"/>
      <c r="L2036" s="581"/>
      <c r="M2036" s="493"/>
      <c r="N2036" s="493"/>
      <c r="O2036" s="498"/>
      <c r="P2036" s="503">
        <f t="shared" si="164"/>
        <v>0</v>
      </c>
      <c r="Q2036" s="503">
        <f t="shared" si="165"/>
        <v>0</v>
      </c>
      <c r="R2036" s="504" t="str">
        <f t="shared" si="166"/>
        <v/>
      </c>
      <c r="S2036" s="504" t="str">
        <f>IF(D2036="","",IF(OR(D2036=Plano!$A$1,D2036=Plano!$B$1),"entrada","saída"))</f>
        <v/>
      </c>
      <c r="T2036" s="505"/>
      <c r="U2036" s="505"/>
      <c r="V2036" s="541"/>
    </row>
    <row r="2037" spans="1:22" ht="12.75" customHeight="1" x14ac:dyDescent="0.2">
      <c r="A2037" s="493" t="str">
        <f>IF(B2037="","",COUNT('Diário 5º PA'!$A$5:$A$2634)+COUNT('Diário 6º PA'!$A$5:$A$2246)+COUNT('Diário 7º PA'!$A$5:$A$2271)+ROW()-4)</f>
        <v/>
      </c>
      <c r="B2037" s="494"/>
      <c r="C2037" s="507"/>
      <c r="D2037" s="495"/>
      <c r="E2037" s="495"/>
      <c r="F2037" s="496"/>
      <c r="G2037" s="506"/>
      <c r="H2037" s="495"/>
      <c r="I2037" s="581"/>
      <c r="J2037" s="495"/>
      <c r="K2037" s="516"/>
      <c r="L2037" s="581"/>
      <c r="M2037" s="493"/>
      <c r="N2037" s="493"/>
      <c r="O2037" s="498"/>
      <c r="P2037" s="503">
        <f t="shared" si="164"/>
        <v>0</v>
      </c>
      <c r="Q2037" s="503">
        <f t="shared" si="165"/>
        <v>0</v>
      </c>
      <c r="R2037" s="504" t="str">
        <f t="shared" si="166"/>
        <v/>
      </c>
      <c r="S2037" s="504" t="str">
        <f>IF(D2037="","",IF(OR(D2037=Plano!$A$1,D2037=Plano!$B$1),"entrada","saída"))</f>
        <v/>
      </c>
      <c r="T2037" s="505"/>
      <c r="U2037" s="505"/>
      <c r="V2037" s="541"/>
    </row>
    <row r="2038" spans="1:22" ht="12.75" customHeight="1" x14ac:dyDescent="0.2">
      <c r="A2038" s="493" t="str">
        <f>IF(B2038="","",COUNT('Diário 5º PA'!$A$5:$A$2634)+COUNT('Diário 6º PA'!$A$5:$A$2246)+COUNT('Diário 7º PA'!$A$5:$A$2271)+ROW()-4)</f>
        <v/>
      </c>
      <c r="B2038" s="494"/>
      <c r="C2038" s="507"/>
      <c r="D2038" s="495"/>
      <c r="E2038" s="495"/>
      <c r="F2038" s="496"/>
      <c r="G2038" s="506"/>
      <c r="H2038" s="495"/>
      <c r="I2038" s="581"/>
      <c r="J2038" s="495"/>
      <c r="K2038" s="516"/>
      <c r="L2038" s="581"/>
      <c r="M2038" s="493"/>
      <c r="N2038" s="493"/>
      <c r="O2038" s="498"/>
      <c r="P2038" s="503">
        <f t="shared" si="164"/>
        <v>0</v>
      </c>
      <c r="Q2038" s="503">
        <f t="shared" si="165"/>
        <v>0</v>
      </c>
      <c r="R2038" s="504" t="str">
        <f t="shared" si="166"/>
        <v/>
      </c>
      <c r="S2038" s="504" t="str">
        <f>IF(D2038="","",IF(OR(D2038=Plano!$A$1,D2038=Plano!$B$1),"entrada","saída"))</f>
        <v/>
      </c>
      <c r="T2038" s="505"/>
      <c r="U2038" s="505"/>
      <c r="V2038" s="541"/>
    </row>
    <row r="2039" spans="1:22" ht="12.75" customHeight="1" x14ac:dyDescent="0.2">
      <c r="A2039" s="493" t="str">
        <f>IF(B2039="","",COUNT('Diário 5º PA'!$A$5:$A$2634)+COUNT('Diário 6º PA'!$A$5:$A$2246)+COUNT('Diário 7º PA'!$A$5:$A$2271)+ROW()-4)</f>
        <v/>
      </c>
      <c r="B2039" s="494"/>
      <c r="C2039" s="507"/>
      <c r="D2039" s="495"/>
      <c r="E2039" s="495"/>
      <c r="F2039" s="496"/>
      <c r="G2039" s="506"/>
      <c r="H2039" s="495"/>
      <c r="I2039" s="581"/>
      <c r="J2039" s="495"/>
      <c r="K2039" s="516"/>
      <c r="L2039" s="581"/>
      <c r="M2039" s="493"/>
      <c r="N2039" s="493"/>
      <c r="O2039" s="498"/>
      <c r="P2039" s="503">
        <f t="shared" si="164"/>
        <v>0</v>
      </c>
      <c r="Q2039" s="503">
        <f t="shared" si="165"/>
        <v>0</v>
      </c>
      <c r="R2039" s="504" t="str">
        <f t="shared" si="166"/>
        <v/>
      </c>
      <c r="S2039" s="504" t="str">
        <f>IF(D2039="","",IF(OR(D2039=Plano!$A$1,D2039=Plano!$B$1),"entrada","saída"))</f>
        <v/>
      </c>
      <c r="T2039" s="505"/>
      <c r="U2039" s="505"/>
      <c r="V2039" s="541"/>
    </row>
    <row r="2040" spans="1:22" ht="12.75" customHeight="1" x14ac:dyDescent="0.2">
      <c r="A2040" s="493" t="str">
        <f>IF(B2040="","",COUNT('Diário 5º PA'!$A$5:$A$2634)+COUNT('Diário 6º PA'!$A$5:$A$2246)+COUNT('Diário 7º PA'!$A$5:$A$2271)+ROW()-4)</f>
        <v/>
      </c>
      <c r="B2040" s="494"/>
      <c r="C2040" s="507"/>
      <c r="D2040" s="495"/>
      <c r="E2040" s="495"/>
      <c r="F2040" s="496"/>
      <c r="G2040" s="506"/>
      <c r="H2040" s="495"/>
      <c r="I2040" s="581"/>
      <c r="J2040" s="495"/>
      <c r="K2040" s="516"/>
      <c r="L2040" s="581"/>
      <c r="M2040" s="493"/>
      <c r="N2040" s="493"/>
      <c r="O2040" s="498"/>
      <c r="P2040" s="503">
        <f t="shared" si="164"/>
        <v>0</v>
      </c>
      <c r="Q2040" s="503">
        <f t="shared" si="165"/>
        <v>0</v>
      </c>
      <c r="R2040" s="504" t="str">
        <f t="shared" si="166"/>
        <v/>
      </c>
      <c r="S2040" s="504" t="str">
        <f>IF(D2040="","",IF(OR(D2040=Plano!$A$1,D2040=Plano!$B$1),"entrada","saída"))</f>
        <v/>
      </c>
      <c r="T2040" s="505"/>
      <c r="U2040" s="505"/>
      <c r="V2040" s="541"/>
    </row>
    <row r="2041" spans="1:22" ht="12.75" customHeight="1" x14ac:dyDescent="0.2">
      <c r="A2041" s="493" t="str">
        <f>IF(B2041="","",COUNT('Diário 5º PA'!$A$5:$A$2634)+COUNT('Diário 6º PA'!$A$5:$A$2246)+COUNT('Diário 7º PA'!$A$5:$A$2271)+ROW()-4)</f>
        <v/>
      </c>
      <c r="B2041" s="494"/>
      <c r="C2041" s="507"/>
      <c r="D2041" s="495"/>
      <c r="E2041" s="495"/>
      <c r="F2041" s="496"/>
      <c r="G2041" s="506"/>
      <c r="H2041" s="495"/>
      <c r="I2041" s="581"/>
      <c r="J2041" s="495"/>
      <c r="K2041" s="516"/>
      <c r="L2041" s="581"/>
      <c r="M2041" s="493"/>
      <c r="N2041" s="493"/>
      <c r="O2041" s="498"/>
      <c r="P2041" s="503">
        <f t="shared" si="164"/>
        <v>0</v>
      </c>
      <c r="Q2041" s="503">
        <f t="shared" si="165"/>
        <v>0</v>
      </c>
      <c r="R2041" s="504" t="str">
        <f t="shared" si="166"/>
        <v/>
      </c>
      <c r="S2041" s="504" t="str">
        <f>IF(D2041="","",IF(OR(D2041=Plano!$A$1,D2041=Plano!$B$1),"entrada","saída"))</f>
        <v/>
      </c>
      <c r="T2041" s="505"/>
      <c r="U2041" s="505"/>
      <c r="V2041" s="541"/>
    </row>
    <row r="2042" spans="1:22" ht="12.75" customHeight="1" x14ac:dyDescent="0.2">
      <c r="A2042" s="493" t="str">
        <f>IF(B2042="","",COUNT('Diário 5º PA'!$A$5:$A$2634)+COUNT('Diário 6º PA'!$A$5:$A$2246)+COUNT('Diário 7º PA'!$A$5:$A$2271)+ROW()-4)</f>
        <v/>
      </c>
      <c r="B2042" s="494"/>
      <c r="C2042" s="507"/>
      <c r="D2042" s="495"/>
      <c r="E2042" s="495"/>
      <c r="F2042" s="496"/>
      <c r="G2042" s="506"/>
      <c r="H2042" s="495"/>
      <c r="I2042" s="581"/>
      <c r="J2042" s="495"/>
      <c r="K2042" s="516"/>
      <c r="L2042" s="581"/>
      <c r="M2042" s="493"/>
      <c r="N2042" s="493"/>
      <c r="O2042" s="498"/>
      <c r="P2042" s="503">
        <f t="shared" si="164"/>
        <v>0</v>
      </c>
      <c r="Q2042" s="503">
        <f t="shared" si="165"/>
        <v>0</v>
      </c>
      <c r="R2042" s="504" t="str">
        <f t="shared" si="166"/>
        <v/>
      </c>
      <c r="S2042" s="504" t="str">
        <f>IF(D2042="","",IF(OR(D2042=Plano!$A$1,D2042=Plano!$B$1),"entrada","saída"))</f>
        <v/>
      </c>
      <c r="T2042" s="505"/>
      <c r="U2042" s="505"/>
      <c r="V2042" s="541"/>
    </row>
    <row r="2043" spans="1:22" ht="12.75" customHeight="1" x14ac:dyDescent="0.2">
      <c r="A2043" s="493" t="str">
        <f>IF(B2043="","",COUNT('Diário 5º PA'!$A$5:$A$2634)+COUNT('Diário 6º PA'!$A$5:$A$2246)+COUNT('Diário 7º PA'!$A$5:$A$2271)+ROW()-4)</f>
        <v/>
      </c>
      <c r="B2043" s="494"/>
      <c r="C2043" s="507"/>
      <c r="D2043" s="495"/>
      <c r="E2043" s="495"/>
      <c r="F2043" s="496"/>
      <c r="G2043" s="506"/>
      <c r="H2043" s="495"/>
      <c r="I2043" s="581"/>
      <c r="J2043" s="495"/>
      <c r="K2043" s="516"/>
      <c r="L2043" s="581"/>
      <c r="M2043" s="493"/>
      <c r="N2043" s="493"/>
      <c r="O2043" s="498"/>
      <c r="P2043" s="503">
        <f t="shared" si="164"/>
        <v>0</v>
      </c>
      <c r="Q2043" s="503">
        <f t="shared" si="165"/>
        <v>0</v>
      </c>
      <c r="R2043" s="504" t="str">
        <f t="shared" si="166"/>
        <v/>
      </c>
      <c r="S2043" s="504" t="str">
        <f>IF(D2043="","",IF(OR(D2043=Plano!$A$1,D2043=Plano!$B$1),"entrada","saída"))</f>
        <v/>
      </c>
      <c r="T2043" s="505"/>
      <c r="U2043" s="505"/>
      <c r="V2043" s="541"/>
    </row>
    <row r="2044" spans="1:22" ht="12.75" customHeight="1" x14ac:dyDescent="0.2">
      <c r="A2044" s="493" t="str">
        <f>IF(B2044="","",COUNT('Diário 5º PA'!$A$5:$A$2634)+COUNT('Diário 6º PA'!$A$5:$A$2246)+COUNT('Diário 7º PA'!$A$5:$A$2271)+ROW()-4)</f>
        <v/>
      </c>
      <c r="B2044" s="494"/>
      <c r="C2044" s="507"/>
      <c r="D2044" s="495"/>
      <c r="E2044" s="495"/>
      <c r="F2044" s="496"/>
      <c r="G2044" s="506"/>
      <c r="H2044" s="495"/>
      <c r="I2044" s="581"/>
      <c r="J2044" s="495"/>
      <c r="K2044" s="516"/>
      <c r="L2044" s="581"/>
      <c r="M2044" s="493"/>
      <c r="N2044" s="493"/>
      <c r="O2044" s="498"/>
      <c r="P2044" s="503">
        <f t="shared" si="164"/>
        <v>0</v>
      </c>
      <c r="Q2044" s="503">
        <f t="shared" si="165"/>
        <v>0</v>
      </c>
      <c r="R2044" s="504" t="str">
        <f t="shared" si="166"/>
        <v/>
      </c>
      <c r="S2044" s="504" t="str">
        <f>IF(D2044="","",IF(OR(D2044=Plano!$A$1,D2044=Plano!$B$1),"entrada","saída"))</f>
        <v/>
      </c>
      <c r="T2044" s="505"/>
      <c r="U2044" s="505"/>
      <c r="V2044" s="541"/>
    </row>
    <row r="2045" spans="1:22" ht="12.75" customHeight="1" x14ac:dyDescent="0.2">
      <c r="A2045" s="493" t="str">
        <f>IF(B2045="","",COUNT('Diário 5º PA'!$A$5:$A$2634)+COUNT('Diário 6º PA'!$A$5:$A$2246)+COUNT('Diário 7º PA'!$A$5:$A$2271)+ROW()-4)</f>
        <v/>
      </c>
      <c r="B2045" s="494"/>
      <c r="C2045" s="507"/>
      <c r="D2045" s="495"/>
      <c r="E2045" s="495"/>
      <c r="F2045" s="496"/>
      <c r="G2045" s="506"/>
      <c r="H2045" s="495"/>
      <c r="I2045" s="581"/>
      <c r="J2045" s="495"/>
      <c r="K2045" s="516"/>
      <c r="L2045" s="581"/>
      <c r="M2045" s="493"/>
      <c r="N2045" s="493"/>
      <c r="O2045" s="498"/>
      <c r="P2045" s="503">
        <f t="shared" si="164"/>
        <v>0</v>
      </c>
      <c r="Q2045" s="503">
        <f t="shared" si="165"/>
        <v>0</v>
      </c>
      <c r="R2045" s="504" t="str">
        <f t="shared" si="166"/>
        <v/>
      </c>
      <c r="S2045" s="504" t="str">
        <f>IF(D2045="","",IF(OR(D2045=Plano!$A$1,D2045=Plano!$B$1),"entrada","saída"))</f>
        <v/>
      </c>
      <c r="T2045" s="505"/>
      <c r="U2045" s="505"/>
      <c r="V2045" s="541"/>
    </row>
    <row r="2046" spans="1:22" ht="12.75" customHeight="1" x14ac:dyDescent="0.2">
      <c r="A2046" s="493" t="str">
        <f>IF(B2046="","",COUNT('Diário 5º PA'!$A$5:$A$2634)+COUNT('Diário 6º PA'!$A$5:$A$2246)+COUNT('Diário 7º PA'!$A$5:$A$2271)+ROW()-4)</f>
        <v/>
      </c>
      <c r="B2046" s="494"/>
      <c r="C2046" s="507"/>
      <c r="D2046" s="495"/>
      <c r="E2046" s="495"/>
      <c r="F2046" s="496"/>
      <c r="G2046" s="506"/>
      <c r="H2046" s="495"/>
      <c r="I2046" s="581"/>
      <c r="J2046" s="495"/>
      <c r="K2046" s="516"/>
      <c r="L2046" s="581"/>
      <c r="M2046" s="493"/>
      <c r="N2046" s="493"/>
      <c r="O2046" s="498"/>
      <c r="P2046" s="503">
        <f t="shared" si="164"/>
        <v>0</v>
      </c>
      <c r="Q2046" s="503">
        <f t="shared" si="165"/>
        <v>0</v>
      </c>
      <c r="R2046" s="504" t="str">
        <f t="shared" si="166"/>
        <v/>
      </c>
      <c r="S2046" s="504" t="str">
        <f>IF(D2046="","",IF(OR(D2046=Plano!$A$1,D2046=Plano!$B$1),"entrada","saída"))</f>
        <v/>
      </c>
      <c r="T2046" s="505"/>
      <c r="U2046" s="505"/>
      <c r="V2046" s="541"/>
    </row>
    <row r="2047" spans="1:22" ht="12.75" customHeight="1" x14ac:dyDescent="0.2">
      <c r="A2047" s="493" t="str">
        <f>IF(B2047="","",COUNT('Diário 5º PA'!$A$5:$A$2634)+COUNT('Diário 6º PA'!$A$5:$A$2246)+COUNT('Diário 7º PA'!$A$5:$A$2271)+ROW()-4)</f>
        <v/>
      </c>
      <c r="B2047" s="494"/>
      <c r="C2047" s="507"/>
      <c r="D2047" s="495"/>
      <c r="E2047" s="495"/>
      <c r="F2047" s="496"/>
      <c r="G2047" s="506"/>
      <c r="H2047" s="495"/>
      <c r="I2047" s="581"/>
      <c r="J2047" s="495"/>
      <c r="K2047" s="516"/>
      <c r="L2047" s="581"/>
      <c r="M2047" s="493"/>
      <c r="N2047" s="493"/>
      <c r="O2047" s="498"/>
      <c r="P2047" s="503">
        <f t="shared" si="164"/>
        <v>0</v>
      </c>
      <c r="Q2047" s="503">
        <f t="shared" si="165"/>
        <v>0</v>
      </c>
      <c r="R2047" s="504" t="str">
        <f t="shared" si="166"/>
        <v/>
      </c>
      <c r="S2047" s="504" t="str">
        <f>IF(D2047="","",IF(OR(D2047=Plano!$A$1,D2047=Plano!$B$1),"entrada","saída"))</f>
        <v/>
      </c>
      <c r="T2047" s="505"/>
      <c r="U2047" s="505"/>
      <c r="V2047" s="541"/>
    </row>
    <row r="2048" spans="1:22" ht="12.75" customHeight="1" x14ac:dyDescent="0.2">
      <c r="A2048" s="493" t="str">
        <f>IF(B2048="","",COUNT('Diário 5º PA'!$A$5:$A$2634)+COUNT('Diário 6º PA'!$A$5:$A$2246)+COUNT('Diário 7º PA'!$A$5:$A$2271)+ROW()-4)</f>
        <v/>
      </c>
      <c r="B2048" s="494"/>
      <c r="C2048" s="507"/>
      <c r="D2048" s="495"/>
      <c r="E2048" s="495"/>
      <c r="F2048" s="496"/>
      <c r="G2048" s="506"/>
      <c r="H2048" s="495"/>
      <c r="I2048" s="581"/>
      <c r="J2048" s="495"/>
      <c r="K2048" s="516"/>
      <c r="L2048" s="581"/>
      <c r="M2048" s="493"/>
      <c r="N2048" s="493"/>
      <c r="O2048" s="498"/>
      <c r="P2048" s="503">
        <f t="shared" si="164"/>
        <v>0</v>
      </c>
      <c r="Q2048" s="503">
        <f t="shared" si="165"/>
        <v>0</v>
      </c>
      <c r="R2048" s="504" t="str">
        <f t="shared" si="166"/>
        <v/>
      </c>
      <c r="S2048" s="504" t="str">
        <f>IF(D2048="","",IF(OR(D2048=Plano!$A$1,D2048=Plano!$B$1),"entrada","saída"))</f>
        <v/>
      </c>
      <c r="T2048" s="505"/>
      <c r="U2048" s="505"/>
      <c r="V2048" s="541"/>
    </row>
    <row r="2049" spans="1:22" ht="12.75" customHeight="1" x14ac:dyDescent="0.2">
      <c r="A2049" s="493" t="str">
        <f>IF(B2049="","",COUNT('Diário 5º PA'!$A$5:$A$2634)+COUNT('Diário 6º PA'!$A$5:$A$2246)+COUNT('Diário 7º PA'!$A$5:$A$2271)+ROW()-4)</f>
        <v/>
      </c>
      <c r="B2049" s="494"/>
      <c r="C2049" s="507"/>
      <c r="D2049" s="495"/>
      <c r="E2049" s="495"/>
      <c r="F2049" s="496"/>
      <c r="G2049" s="506"/>
      <c r="H2049" s="495"/>
      <c r="I2049" s="581"/>
      <c r="J2049" s="495"/>
      <c r="K2049" s="516"/>
      <c r="L2049" s="581"/>
      <c r="M2049" s="493"/>
      <c r="N2049" s="493"/>
      <c r="O2049" s="498"/>
      <c r="P2049" s="503">
        <f t="shared" si="164"/>
        <v>0</v>
      </c>
      <c r="Q2049" s="503">
        <f t="shared" si="165"/>
        <v>0</v>
      </c>
      <c r="R2049" s="504" t="str">
        <f t="shared" si="166"/>
        <v/>
      </c>
      <c r="S2049" s="504" t="str">
        <f>IF(D2049="","",IF(OR(D2049=Plano!$A$1,D2049=Plano!$B$1),"entrada","saída"))</f>
        <v/>
      </c>
      <c r="T2049" s="505"/>
      <c r="U2049" s="505"/>
      <c r="V2049" s="541"/>
    </row>
    <row r="2050" spans="1:22" ht="12.75" customHeight="1" x14ac:dyDescent="0.2">
      <c r="A2050" s="493" t="str">
        <f>IF(B2050="","",COUNT('Diário 5º PA'!$A$5:$A$2634)+COUNT('Diário 6º PA'!$A$5:$A$2246)+COUNT('Diário 7º PA'!$A$5:$A$2271)+ROW()-4)</f>
        <v/>
      </c>
      <c r="B2050" s="494"/>
      <c r="C2050" s="507"/>
      <c r="D2050" s="495"/>
      <c r="E2050" s="495"/>
      <c r="F2050" s="496"/>
      <c r="G2050" s="506"/>
      <c r="H2050" s="495"/>
      <c r="I2050" s="581"/>
      <c r="J2050" s="495"/>
      <c r="K2050" s="516"/>
      <c r="L2050" s="581"/>
      <c r="M2050" s="493"/>
      <c r="N2050" s="493"/>
      <c r="O2050" s="498"/>
      <c r="P2050" s="503">
        <f t="shared" si="164"/>
        <v>0</v>
      </c>
      <c r="Q2050" s="503">
        <f t="shared" si="165"/>
        <v>0</v>
      </c>
      <c r="R2050" s="504" t="str">
        <f t="shared" si="166"/>
        <v/>
      </c>
      <c r="S2050" s="504" t="str">
        <f>IF(D2050="","",IF(OR(D2050=Plano!$A$1,D2050=Plano!$B$1),"entrada","saída"))</f>
        <v/>
      </c>
      <c r="T2050" s="505"/>
      <c r="U2050" s="505"/>
      <c r="V2050" s="541"/>
    </row>
    <row r="2051" spans="1:22" ht="12.75" customHeight="1" x14ac:dyDescent="0.2">
      <c r="A2051" s="493" t="str">
        <f>IF(B2051="","",COUNT('Diário 5º PA'!$A$5:$A$2634)+COUNT('Diário 6º PA'!$A$5:$A$2246)+COUNT('Diário 7º PA'!$A$5:$A$2271)+ROW()-4)</f>
        <v/>
      </c>
      <c r="B2051" s="494"/>
      <c r="C2051" s="507"/>
      <c r="D2051" s="495"/>
      <c r="E2051" s="495"/>
      <c r="F2051" s="496"/>
      <c r="G2051" s="506"/>
      <c r="H2051" s="495"/>
      <c r="I2051" s="581"/>
      <c r="J2051" s="495"/>
      <c r="K2051" s="516"/>
      <c r="L2051" s="581"/>
      <c r="M2051" s="493"/>
      <c r="N2051" s="493"/>
      <c r="O2051" s="498"/>
      <c r="P2051" s="503">
        <f t="shared" si="164"/>
        <v>0</v>
      </c>
      <c r="Q2051" s="503">
        <f t="shared" si="165"/>
        <v>0</v>
      </c>
      <c r="R2051" s="504" t="str">
        <f t="shared" si="166"/>
        <v/>
      </c>
      <c r="S2051" s="504" t="str">
        <f>IF(D2051="","",IF(OR(D2051=Plano!$A$1,D2051=Plano!$B$1),"entrada","saída"))</f>
        <v/>
      </c>
      <c r="T2051" s="505"/>
      <c r="U2051" s="505"/>
      <c r="V2051" s="541"/>
    </row>
    <row r="2052" spans="1:22" ht="12.75" customHeight="1" x14ac:dyDescent="0.2">
      <c r="A2052" s="493" t="str">
        <f>IF(B2052="","",COUNT('Diário 5º PA'!$A$5:$A$2634)+COUNT('Diário 6º PA'!$A$5:$A$2246)+COUNT('Diário 7º PA'!$A$5:$A$2271)+ROW()-4)</f>
        <v/>
      </c>
      <c r="B2052" s="494"/>
      <c r="C2052" s="507"/>
      <c r="D2052" s="495"/>
      <c r="E2052" s="495"/>
      <c r="F2052" s="496"/>
      <c r="G2052" s="506"/>
      <c r="H2052" s="495"/>
      <c r="I2052" s="581"/>
      <c r="J2052" s="495"/>
      <c r="K2052" s="516"/>
      <c r="L2052" s="581"/>
      <c r="M2052" s="493"/>
      <c r="N2052" s="493"/>
      <c r="O2052" s="498"/>
      <c r="P2052" s="503">
        <f t="shared" si="164"/>
        <v>0</v>
      </c>
      <c r="Q2052" s="503">
        <f t="shared" si="165"/>
        <v>0</v>
      </c>
      <c r="R2052" s="504" t="str">
        <f t="shared" si="166"/>
        <v/>
      </c>
      <c r="S2052" s="504" t="str">
        <f>IF(D2052="","",IF(OR(D2052=Plano!$A$1,D2052=Plano!$B$1),"entrada","saída"))</f>
        <v/>
      </c>
      <c r="T2052" s="505"/>
      <c r="U2052" s="505"/>
      <c r="V2052" s="541"/>
    </row>
    <row r="2053" spans="1:22" ht="12.75" customHeight="1" x14ac:dyDescent="0.2">
      <c r="A2053" s="493" t="str">
        <f>IF(B2053="","",COUNT('Diário 5º PA'!$A$5:$A$2634)+COUNT('Diário 6º PA'!$A$5:$A$2246)+COUNT('Diário 7º PA'!$A$5:$A$2271)+ROW()-4)</f>
        <v/>
      </c>
      <c r="B2053" s="494"/>
      <c r="C2053" s="507"/>
      <c r="D2053" s="495"/>
      <c r="E2053" s="495"/>
      <c r="F2053" s="496"/>
      <c r="G2053" s="506"/>
      <c r="H2053" s="495"/>
      <c r="I2053" s="581"/>
      <c r="J2053" s="495"/>
      <c r="K2053" s="516"/>
      <c r="L2053" s="581"/>
      <c r="M2053" s="493"/>
      <c r="N2053" s="493"/>
      <c r="O2053" s="498"/>
      <c r="P2053" s="503">
        <f t="shared" si="164"/>
        <v>0</v>
      </c>
      <c r="Q2053" s="503">
        <f t="shared" si="165"/>
        <v>0</v>
      </c>
      <c r="R2053" s="504" t="str">
        <f t="shared" si="166"/>
        <v/>
      </c>
      <c r="S2053" s="504" t="str">
        <f>IF(D2053="","",IF(OR(D2053=Plano!$A$1,D2053=Plano!$B$1),"entrada","saída"))</f>
        <v/>
      </c>
      <c r="T2053" s="505"/>
      <c r="U2053" s="505"/>
      <c r="V2053" s="541"/>
    </row>
    <row r="2054" spans="1:22" ht="12.75" customHeight="1" x14ac:dyDescent="0.2">
      <c r="A2054" s="493" t="str">
        <f>IF(B2054="","",COUNT('Diário 5º PA'!$A$5:$A$2634)+COUNT('Diário 6º PA'!$A$5:$A$2246)+COUNT('Diário 7º PA'!$A$5:$A$2271)+ROW()-4)</f>
        <v/>
      </c>
      <c r="B2054" s="494"/>
      <c r="C2054" s="507"/>
      <c r="D2054" s="495"/>
      <c r="E2054" s="495"/>
      <c r="F2054" s="496"/>
      <c r="G2054" s="506"/>
      <c r="H2054" s="495"/>
      <c r="I2054" s="581"/>
      <c r="J2054" s="495"/>
      <c r="K2054" s="516"/>
      <c r="L2054" s="581"/>
      <c r="M2054" s="493"/>
      <c r="N2054" s="493"/>
      <c r="O2054" s="498"/>
      <c r="P2054" s="503">
        <f t="shared" si="164"/>
        <v>0</v>
      </c>
      <c r="Q2054" s="503">
        <f t="shared" si="165"/>
        <v>0</v>
      </c>
      <c r="R2054" s="504" t="str">
        <f t="shared" si="166"/>
        <v/>
      </c>
      <c r="S2054" s="504" t="str">
        <f>IF(D2054="","",IF(OR(D2054=Plano!$A$1,D2054=Plano!$B$1),"entrada","saída"))</f>
        <v/>
      </c>
      <c r="T2054" s="505"/>
      <c r="U2054" s="505"/>
      <c r="V2054" s="541"/>
    </row>
    <row r="2055" spans="1:22" ht="12.75" customHeight="1" x14ac:dyDescent="0.2">
      <c r="A2055" s="493" t="str">
        <f>IF(B2055="","",COUNT('Diário 5º PA'!$A$5:$A$2634)+COUNT('Diário 6º PA'!$A$5:$A$2246)+COUNT('Diário 7º PA'!$A$5:$A$2271)+ROW()-4)</f>
        <v/>
      </c>
      <c r="B2055" s="494"/>
      <c r="C2055" s="507"/>
      <c r="D2055" s="495"/>
      <c r="E2055" s="495"/>
      <c r="F2055" s="496"/>
      <c r="G2055" s="506"/>
      <c r="H2055" s="495"/>
      <c r="I2055" s="581"/>
      <c r="J2055" s="495"/>
      <c r="K2055" s="516"/>
      <c r="L2055" s="581"/>
      <c r="M2055" s="493"/>
      <c r="N2055" s="493"/>
      <c r="O2055" s="498"/>
      <c r="P2055" s="503">
        <f t="shared" si="164"/>
        <v>0</v>
      </c>
      <c r="Q2055" s="503">
        <f t="shared" si="165"/>
        <v>0</v>
      </c>
      <c r="R2055" s="504" t="str">
        <f t="shared" si="166"/>
        <v/>
      </c>
      <c r="S2055" s="504" t="str">
        <f>IF(D2055="","",IF(OR(D2055=Plano!$A$1,D2055=Plano!$B$1),"entrada","saída"))</f>
        <v/>
      </c>
      <c r="T2055" s="505"/>
      <c r="U2055" s="505"/>
      <c r="V2055" s="541"/>
    </row>
    <row r="2056" spans="1:22" ht="12.75" customHeight="1" x14ac:dyDescent="0.2">
      <c r="A2056" s="493" t="str">
        <f>IF(B2056="","",COUNT('Diário 5º PA'!$A$5:$A$2634)+COUNT('Diário 6º PA'!$A$5:$A$2246)+COUNT('Diário 7º PA'!$A$5:$A$2271)+ROW()-4)</f>
        <v/>
      </c>
      <c r="B2056" s="494"/>
      <c r="C2056" s="507"/>
      <c r="D2056" s="495"/>
      <c r="E2056" s="495"/>
      <c r="F2056" s="496"/>
      <c r="G2056" s="506"/>
      <c r="H2056" s="495"/>
      <c r="I2056" s="581"/>
      <c r="J2056" s="495"/>
      <c r="K2056" s="516"/>
      <c r="L2056" s="581"/>
      <c r="M2056" s="493"/>
      <c r="N2056" s="493"/>
      <c r="O2056" s="498"/>
      <c r="P2056" s="503">
        <f t="shared" si="164"/>
        <v>0</v>
      </c>
      <c r="Q2056" s="503">
        <f t="shared" si="165"/>
        <v>0</v>
      </c>
      <c r="R2056" s="504" t="str">
        <f t="shared" si="166"/>
        <v/>
      </c>
      <c r="S2056" s="504" t="str">
        <f>IF(D2056="","",IF(OR(D2056=Plano!$A$1,D2056=Plano!$B$1),"entrada","saída"))</f>
        <v/>
      </c>
      <c r="T2056" s="505"/>
      <c r="U2056" s="505"/>
      <c r="V2056" s="541"/>
    </row>
    <row r="2057" spans="1:22" ht="12.75" customHeight="1" x14ac:dyDescent="0.2">
      <c r="A2057" s="493" t="str">
        <f>IF(B2057="","",COUNT('Diário 5º PA'!$A$5:$A$2634)+COUNT('Diário 6º PA'!$A$5:$A$2246)+COUNT('Diário 7º PA'!$A$5:$A$2271)+ROW()-4)</f>
        <v/>
      </c>
      <c r="B2057" s="494"/>
      <c r="C2057" s="507"/>
      <c r="D2057" s="495"/>
      <c r="E2057" s="495"/>
      <c r="F2057" s="496"/>
      <c r="G2057" s="506"/>
      <c r="H2057" s="495"/>
      <c r="I2057" s="581"/>
      <c r="J2057" s="495"/>
      <c r="K2057" s="516"/>
      <c r="L2057" s="581"/>
      <c r="M2057" s="493"/>
      <c r="N2057" s="493"/>
      <c r="O2057" s="498"/>
      <c r="P2057" s="503">
        <f t="shared" si="164"/>
        <v>0</v>
      </c>
      <c r="Q2057" s="503">
        <f t="shared" si="165"/>
        <v>0</v>
      </c>
      <c r="R2057" s="504" t="str">
        <f t="shared" si="166"/>
        <v/>
      </c>
      <c r="S2057" s="504" t="str">
        <f>IF(D2057="","",IF(OR(D2057=Plano!$A$1,D2057=Plano!$B$1),"entrada","saída"))</f>
        <v/>
      </c>
      <c r="T2057" s="505"/>
      <c r="U2057" s="505"/>
      <c r="V2057" s="541"/>
    </row>
    <row r="2058" spans="1:22" ht="12.75" customHeight="1" x14ac:dyDescent="0.2">
      <c r="A2058" s="493" t="str">
        <f>IF(B2058="","",COUNT('Diário 5º PA'!$A$5:$A$2634)+COUNT('Diário 6º PA'!$A$5:$A$2246)+COUNT('Diário 7º PA'!$A$5:$A$2271)+ROW()-4)</f>
        <v/>
      </c>
      <c r="B2058" s="494"/>
      <c r="C2058" s="507"/>
      <c r="D2058" s="495"/>
      <c r="E2058" s="495"/>
      <c r="F2058" s="496"/>
      <c r="G2058" s="506"/>
      <c r="H2058" s="495"/>
      <c r="I2058" s="581"/>
      <c r="J2058" s="495"/>
      <c r="K2058" s="516"/>
      <c r="L2058" s="581"/>
      <c r="M2058" s="493"/>
      <c r="N2058" s="493"/>
      <c r="O2058" s="498"/>
      <c r="P2058" s="503">
        <f t="shared" si="164"/>
        <v>0</v>
      </c>
      <c r="Q2058" s="503">
        <f t="shared" si="165"/>
        <v>0</v>
      </c>
      <c r="R2058" s="504" t="str">
        <f t="shared" si="166"/>
        <v/>
      </c>
      <c r="S2058" s="504" t="str">
        <f>IF(D2058="","",IF(OR(D2058=Plano!$A$1,D2058=Plano!$B$1),"entrada","saída"))</f>
        <v/>
      </c>
      <c r="T2058" s="505"/>
      <c r="U2058" s="505"/>
      <c r="V2058" s="541"/>
    </row>
    <row r="2059" spans="1:22" ht="12.75" customHeight="1" x14ac:dyDescent="0.2">
      <c r="A2059" s="493" t="str">
        <f>IF(B2059="","",COUNT('Diário 5º PA'!$A$5:$A$2634)+COUNT('Diário 6º PA'!$A$5:$A$2246)+COUNT('Diário 7º PA'!$A$5:$A$2271)+ROW()-4)</f>
        <v/>
      </c>
      <c r="B2059" s="494"/>
      <c r="C2059" s="507"/>
      <c r="D2059" s="495"/>
      <c r="E2059" s="495"/>
      <c r="F2059" s="496"/>
      <c r="G2059" s="506"/>
      <c r="H2059" s="495"/>
      <c r="I2059" s="581"/>
      <c r="J2059" s="495"/>
      <c r="K2059" s="516"/>
      <c r="L2059" s="581"/>
      <c r="M2059" s="493"/>
      <c r="N2059" s="493"/>
      <c r="O2059" s="498"/>
      <c r="P2059" s="503">
        <f t="shared" si="164"/>
        <v>0</v>
      </c>
      <c r="Q2059" s="503">
        <f t="shared" si="165"/>
        <v>0</v>
      </c>
      <c r="R2059" s="504" t="str">
        <f t="shared" si="166"/>
        <v/>
      </c>
      <c r="S2059" s="504" t="str">
        <f>IF(D2059="","",IF(OR(D2059=Plano!$A$1,D2059=Plano!$B$1),"entrada","saída"))</f>
        <v/>
      </c>
      <c r="T2059" s="505"/>
      <c r="U2059" s="505"/>
      <c r="V2059" s="541"/>
    </row>
    <row r="2060" spans="1:22" ht="12.75" customHeight="1" x14ac:dyDescent="0.2">
      <c r="A2060" s="493" t="str">
        <f>IF(B2060="","",COUNT('Diário 5º PA'!$A$5:$A$2634)+COUNT('Diário 6º PA'!$A$5:$A$2246)+COUNT('Diário 7º PA'!$A$5:$A$2271)+ROW()-4)</f>
        <v/>
      </c>
      <c r="B2060" s="494"/>
      <c r="C2060" s="507"/>
      <c r="D2060" s="495"/>
      <c r="E2060" s="495"/>
      <c r="F2060" s="496"/>
      <c r="G2060" s="506"/>
      <c r="H2060" s="495"/>
      <c r="I2060" s="581"/>
      <c r="J2060" s="495"/>
      <c r="K2060" s="516"/>
      <c r="L2060" s="581"/>
      <c r="M2060" s="493"/>
      <c r="N2060" s="493"/>
      <c r="O2060" s="498"/>
      <c r="P2060" s="503">
        <f t="shared" si="164"/>
        <v>0</v>
      </c>
      <c r="Q2060" s="503">
        <f t="shared" si="165"/>
        <v>0</v>
      </c>
      <c r="R2060" s="504" t="str">
        <f t="shared" si="166"/>
        <v/>
      </c>
      <c r="S2060" s="504" t="str">
        <f>IF(D2060="","",IF(OR(D2060=Plano!$A$1,D2060=Plano!$B$1),"entrada","saída"))</f>
        <v/>
      </c>
      <c r="T2060" s="505"/>
      <c r="U2060" s="505"/>
      <c r="V2060" s="541"/>
    </row>
    <row r="2061" spans="1:22" ht="12.75" customHeight="1" x14ac:dyDescent="0.2">
      <c r="A2061" s="493" t="str">
        <f>IF(B2061="","",COUNT('Diário 5º PA'!$A$5:$A$2634)+COUNT('Diário 6º PA'!$A$5:$A$2246)+COUNT('Diário 7º PA'!$A$5:$A$2271)+ROW()-4)</f>
        <v/>
      </c>
      <c r="B2061" s="494"/>
      <c r="C2061" s="507"/>
      <c r="D2061" s="495"/>
      <c r="E2061" s="495"/>
      <c r="F2061" s="496"/>
      <c r="G2061" s="506"/>
      <c r="H2061" s="495"/>
      <c r="I2061" s="581"/>
      <c r="J2061" s="495"/>
      <c r="K2061" s="516"/>
      <c r="L2061" s="581"/>
      <c r="M2061" s="493"/>
      <c r="N2061" s="493"/>
      <c r="O2061" s="498"/>
      <c r="P2061" s="503">
        <f t="shared" si="164"/>
        <v>0</v>
      </c>
      <c r="Q2061" s="503">
        <f t="shared" si="165"/>
        <v>0</v>
      </c>
      <c r="R2061" s="504" t="str">
        <f t="shared" si="166"/>
        <v/>
      </c>
      <c r="S2061" s="504" t="str">
        <f>IF(D2061="","",IF(OR(D2061=Plano!$A$1,D2061=Plano!$B$1),"entrada","saída"))</f>
        <v/>
      </c>
      <c r="T2061" s="505"/>
      <c r="U2061" s="505"/>
      <c r="V2061" s="541"/>
    </row>
    <row r="2062" spans="1:22" ht="12.75" customHeight="1" x14ac:dyDescent="0.2">
      <c r="A2062" s="493" t="str">
        <f>IF(B2062="","",COUNT('Diário 5º PA'!$A$5:$A$2634)+COUNT('Diário 6º PA'!$A$5:$A$2246)+COUNT('Diário 7º PA'!$A$5:$A$2271)+ROW()-4)</f>
        <v/>
      </c>
      <c r="B2062" s="494"/>
      <c r="C2062" s="507"/>
      <c r="D2062" s="495"/>
      <c r="E2062" s="495"/>
      <c r="F2062" s="496"/>
      <c r="G2062" s="506"/>
      <c r="H2062" s="495"/>
      <c r="I2062" s="581"/>
      <c r="J2062" s="495"/>
      <c r="K2062" s="516"/>
      <c r="L2062" s="581"/>
      <c r="M2062" s="493"/>
      <c r="N2062" s="493"/>
      <c r="O2062" s="498"/>
      <c r="P2062" s="503">
        <f t="shared" si="164"/>
        <v>0</v>
      </c>
      <c r="Q2062" s="503">
        <f t="shared" si="165"/>
        <v>0</v>
      </c>
      <c r="R2062" s="504" t="str">
        <f t="shared" si="166"/>
        <v/>
      </c>
      <c r="S2062" s="504" t="str">
        <f>IF(D2062="","",IF(OR(D2062=Plano!$A$1,D2062=Plano!$B$1),"entrada","saída"))</f>
        <v/>
      </c>
      <c r="T2062" s="505"/>
      <c r="U2062" s="505"/>
      <c r="V2062" s="541"/>
    </row>
    <row r="2063" spans="1:22" ht="12.75" customHeight="1" x14ac:dyDescent="0.2">
      <c r="A2063" s="493" t="str">
        <f>IF(B2063="","",COUNT('Diário 5º PA'!$A$5:$A$2634)+COUNT('Diário 6º PA'!$A$5:$A$2246)+COUNT('Diário 7º PA'!$A$5:$A$2271)+ROW()-4)</f>
        <v/>
      </c>
      <c r="B2063" s="494"/>
      <c r="C2063" s="507"/>
      <c r="D2063" s="495"/>
      <c r="E2063" s="495"/>
      <c r="F2063" s="496"/>
      <c r="G2063" s="506"/>
      <c r="H2063" s="495"/>
      <c r="I2063" s="581"/>
      <c r="J2063" s="495"/>
      <c r="K2063" s="516"/>
      <c r="L2063" s="581"/>
      <c r="M2063" s="493"/>
      <c r="N2063" s="493"/>
      <c r="O2063" s="498"/>
      <c r="P2063" s="503">
        <f t="shared" si="164"/>
        <v>0</v>
      </c>
      <c r="Q2063" s="503">
        <f t="shared" si="165"/>
        <v>0</v>
      </c>
      <c r="R2063" s="504" t="str">
        <f t="shared" si="166"/>
        <v/>
      </c>
      <c r="S2063" s="504" t="str">
        <f>IF(D2063="","",IF(OR(D2063=Plano!$A$1,D2063=Plano!$B$1),"entrada","saída"))</f>
        <v/>
      </c>
      <c r="T2063" s="505"/>
      <c r="U2063" s="505"/>
      <c r="V2063" s="541"/>
    </row>
    <row r="2064" spans="1:22" ht="12.75" customHeight="1" x14ac:dyDescent="0.2">
      <c r="A2064" s="493" t="str">
        <f>IF(B2064="","",COUNT('Diário 5º PA'!$A$5:$A$2634)+COUNT('Diário 6º PA'!$A$5:$A$2246)+COUNT('Diário 7º PA'!$A$5:$A$2271)+ROW()-4)</f>
        <v/>
      </c>
      <c r="B2064" s="494"/>
      <c r="C2064" s="507"/>
      <c r="D2064" s="495"/>
      <c r="E2064" s="495"/>
      <c r="F2064" s="496"/>
      <c r="G2064" s="506"/>
      <c r="H2064" s="495"/>
      <c r="I2064" s="581"/>
      <c r="J2064" s="495"/>
      <c r="K2064" s="516"/>
      <c r="L2064" s="581"/>
      <c r="M2064" s="493"/>
      <c r="N2064" s="493"/>
      <c r="O2064" s="498"/>
      <c r="P2064" s="503">
        <f t="shared" si="164"/>
        <v>0</v>
      </c>
      <c r="Q2064" s="503">
        <f t="shared" si="165"/>
        <v>0</v>
      </c>
      <c r="R2064" s="504" t="str">
        <f t="shared" si="166"/>
        <v/>
      </c>
      <c r="S2064" s="504" t="str">
        <f>IF(D2064="","",IF(OR(D2064=Plano!$A$1,D2064=Plano!$B$1),"entrada","saída"))</f>
        <v/>
      </c>
      <c r="T2064" s="505"/>
      <c r="U2064" s="505"/>
      <c r="V2064" s="541"/>
    </row>
    <row r="2065" spans="1:22" ht="12.75" customHeight="1" x14ac:dyDescent="0.2">
      <c r="A2065" s="493" t="str">
        <f>IF(B2065="","",COUNT('Diário 5º PA'!$A$5:$A$2634)+COUNT('Diário 6º PA'!$A$5:$A$2246)+COUNT('Diário 7º PA'!$A$5:$A$2271)+ROW()-4)</f>
        <v/>
      </c>
      <c r="B2065" s="494"/>
      <c r="C2065" s="507"/>
      <c r="D2065" s="495"/>
      <c r="E2065" s="495"/>
      <c r="F2065" s="496"/>
      <c r="G2065" s="506"/>
      <c r="H2065" s="495"/>
      <c r="I2065" s="581"/>
      <c r="J2065" s="495"/>
      <c r="K2065" s="516"/>
      <c r="L2065" s="581"/>
      <c r="M2065" s="493"/>
      <c r="N2065" s="493"/>
      <c r="O2065" s="498"/>
      <c r="P2065" s="503">
        <f t="shared" si="164"/>
        <v>0</v>
      </c>
      <c r="Q2065" s="503">
        <f t="shared" si="165"/>
        <v>0</v>
      </c>
      <c r="R2065" s="504" t="str">
        <f t="shared" si="166"/>
        <v/>
      </c>
      <c r="S2065" s="504" t="str">
        <f>IF(D2065="","",IF(OR(D2065=Plano!$A$1,D2065=Plano!$B$1),"entrada","saída"))</f>
        <v/>
      </c>
      <c r="T2065" s="505"/>
      <c r="U2065" s="505"/>
      <c r="V2065" s="541"/>
    </row>
    <row r="2066" spans="1:22" ht="12.75" customHeight="1" x14ac:dyDescent="0.2">
      <c r="A2066" s="493" t="str">
        <f>IF(B2066="","",COUNT('Diário 5º PA'!$A$5:$A$2634)+COUNT('Diário 6º PA'!$A$5:$A$2246)+COUNT('Diário 7º PA'!$A$5:$A$2271)+ROW()-4)</f>
        <v/>
      </c>
      <c r="B2066" s="494"/>
      <c r="C2066" s="507"/>
      <c r="D2066" s="495"/>
      <c r="E2066" s="495"/>
      <c r="F2066" s="496"/>
      <c r="G2066" s="506"/>
      <c r="H2066" s="495"/>
      <c r="I2066" s="581"/>
      <c r="J2066" s="495"/>
      <c r="K2066" s="516"/>
      <c r="L2066" s="581"/>
      <c r="M2066" s="493"/>
      <c r="N2066" s="493"/>
      <c r="O2066" s="498"/>
      <c r="P2066" s="503">
        <f t="shared" si="164"/>
        <v>0</v>
      </c>
      <c r="Q2066" s="503">
        <f t="shared" si="165"/>
        <v>0</v>
      </c>
      <c r="R2066" s="504" t="str">
        <f t="shared" si="166"/>
        <v/>
      </c>
      <c r="S2066" s="504" t="str">
        <f>IF(D2066="","",IF(OR(D2066=Plano!$A$1,D2066=Plano!$B$1),"entrada","saída"))</f>
        <v/>
      </c>
      <c r="T2066" s="505"/>
      <c r="U2066" s="505"/>
      <c r="V2066" s="541"/>
    </row>
    <row r="2067" spans="1:22" ht="12.75" customHeight="1" x14ac:dyDescent="0.2">
      <c r="A2067" s="493" t="str">
        <f>IF(B2067="","",COUNT('Diário 5º PA'!$A$5:$A$2634)+COUNT('Diário 6º PA'!$A$5:$A$2246)+COUNT('Diário 7º PA'!$A$5:$A$2271)+ROW()-4)</f>
        <v/>
      </c>
      <c r="B2067" s="494"/>
      <c r="C2067" s="507"/>
      <c r="D2067" s="495"/>
      <c r="E2067" s="495"/>
      <c r="F2067" s="496"/>
      <c r="G2067" s="506"/>
      <c r="H2067" s="495"/>
      <c r="I2067" s="581"/>
      <c r="J2067" s="495"/>
      <c r="K2067" s="516"/>
      <c r="L2067" s="581"/>
      <c r="M2067" s="493"/>
      <c r="N2067" s="493"/>
      <c r="O2067" s="498"/>
      <c r="P2067" s="503">
        <f t="shared" si="164"/>
        <v>0</v>
      </c>
      <c r="Q2067" s="503">
        <f t="shared" si="165"/>
        <v>0</v>
      </c>
      <c r="R2067" s="504" t="str">
        <f t="shared" si="166"/>
        <v/>
      </c>
      <c r="S2067" s="504" t="str">
        <f>IF(D2067="","",IF(OR(D2067=Plano!$A$1,D2067=Plano!$B$1),"entrada","saída"))</f>
        <v/>
      </c>
      <c r="T2067" s="505"/>
      <c r="U2067" s="505"/>
      <c r="V2067" s="541"/>
    </row>
    <row r="2068" spans="1:22" ht="12.75" customHeight="1" x14ac:dyDescent="0.2">
      <c r="A2068" s="493" t="str">
        <f>IF(B2068="","",COUNT('Diário 5º PA'!$A$5:$A$2634)+COUNT('Diário 6º PA'!$A$5:$A$2246)+COUNT('Diário 7º PA'!$A$5:$A$2271)+ROW()-4)</f>
        <v/>
      </c>
      <c r="B2068" s="494"/>
      <c r="C2068" s="507"/>
      <c r="D2068" s="495"/>
      <c r="E2068" s="495"/>
      <c r="F2068" s="496"/>
      <c r="G2068" s="506"/>
      <c r="H2068" s="495"/>
      <c r="I2068" s="581"/>
      <c r="J2068" s="495"/>
      <c r="K2068" s="516"/>
      <c r="L2068" s="581"/>
      <c r="M2068" s="493"/>
      <c r="N2068" s="493"/>
      <c r="O2068" s="498"/>
      <c r="P2068" s="503">
        <f t="shared" si="164"/>
        <v>0</v>
      </c>
      <c r="Q2068" s="503">
        <f t="shared" si="165"/>
        <v>0</v>
      </c>
      <c r="R2068" s="504" t="str">
        <f t="shared" si="166"/>
        <v/>
      </c>
      <c r="S2068" s="504" t="str">
        <f>IF(D2068="","",IF(OR(D2068=Plano!$A$1,D2068=Plano!$B$1),"entrada","saída"))</f>
        <v/>
      </c>
      <c r="T2068" s="505"/>
      <c r="U2068" s="505"/>
      <c r="V2068" s="541"/>
    </row>
    <row r="2069" spans="1:22" ht="12.75" customHeight="1" x14ac:dyDescent="0.2">
      <c r="A2069" s="493" t="str">
        <f>IF(B2069="","",COUNT('Diário 5º PA'!$A$5:$A$2634)+COUNT('Diário 6º PA'!$A$5:$A$2246)+COUNT('Diário 7º PA'!$A$5:$A$2271)+ROW()-4)</f>
        <v/>
      </c>
      <c r="B2069" s="494"/>
      <c r="C2069" s="507"/>
      <c r="D2069" s="495"/>
      <c r="E2069" s="495"/>
      <c r="F2069" s="496"/>
      <c r="G2069" s="506"/>
      <c r="H2069" s="495"/>
      <c r="I2069" s="581"/>
      <c r="J2069" s="495"/>
      <c r="K2069" s="516"/>
      <c r="L2069" s="581"/>
      <c r="M2069" s="493"/>
      <c r="N2069" s="493"/>
      <c r="O2069" s="498"/>
      <c r="P2069" s="503">
        <f t="shared" si="164"/>
        <v>0</v>
      </c>
      <c r="Q2069" s="503">
        <f t="shared" si="165"/>
        <v>0</v>
      </c>
      <c r="R2069" s="504" t="str">
        <f t="shared" si="166"/>
        <v/>
      </c>
      <c r="S2069" s="504" t="str">
        <f>IF(D2069="","",IF(OR(D2069=Plano!$A$1,D2069=Plano!$B$1),"entrada","saída"))</f>
        <v/>
      </c>
      <c r="T2069" s="505"/>
      <c r="U2069" s="505"/>
      <c r="V2069" s="541"/>
    </row>
    <row r="2070" spans="1:22" ht="12.75" customHeight="1" x14ac:dyDescent="0.2">
      <c r="A2070" s="493" t="str">
        <f>IF(B2070="","",COUNT('Diário 5º PA'!$A$5:$A$2634)+COUNT('Diário 6º PA'!$A$5:$A$2246)+COUNT('Diário 7º PA'!$A$5:$A$2271)+ROW()-4)</f>
        <v/>
      </c>
      <c r="B2070" s="494"/>
      <c r="C2070" s="507"/>
      <c r="D2070" s="495"/>
      <c r="E2070" s="495"/>
      <c r="F2070" s="496"/>
      <c r="G2070" s="506"/>
      <c r="H2070" s="495"/>
      <c r="I2070" s="581"/>
      <c r="J2070" s="495"/>
      <c r="K2070" s="516"/>
      <c r="L2070" s="581"/>
      <c r="M2070" s="493"/>
      <c r="N2070" s="493"/>
      <c r="O2070" s="498"/>
      <c r="P2070" s="503">
        <f t="shared" ref="P2070:P2133" si="167">IF(B2070=0,0,IF(YEAR(B2070)=$Q$1,MONTH(B2070)-$P$1+1,(YEAR(B2070)-$Q$1)*12-$P$1+1+MONTH(B2070)))</f>
        <v>0</v>
      </c>
      <c r="Q2070" s="503">
        <f t="shared" ref="Q2070:Q2133" si="168">IF(C2070=0,0,IF(YEAR(C2070)=$Q$1,MONTH(C2070)-$P$1+1,(YEAR(C2070)-$Q$1)*12-$P$1+1+MONTH(C2070)))</f>
        <v>0</v>
      </c>
      <c r="R2070" s="504" t="str">
        <f t="shared" ref="R2070:R2133" si="169">SUBSTITUTE(D2070," ","_")</f>
        <v/>
      </c>
      <c r="S2070" s="504" t="str">
        <f>IF(D2070="","",IF(OR(D2070=Plano!$A$1,D2070=Plano!$B$1),"entrada","saída"))</f>
        <v/>
      </c>
      <c r="T2070" s="505"/>
      <c r="U2070" s="505"/>
      <c r="V2070" s="541"/>
    </row>
    <row r="2071" spans="1:22" ht="12.75" customHeight="1" x14ac:dyDescent="0.2">
      <c r="A2071" s="493" t="str">
        <f>IF(B2071="","",COUNT('Diário 5º PA'!$A$5:$A$2634)+COUNT('Diário 6º PA'!$A$5:$A$2246)+COUNT('Diário 7º PA'!$A$5:$A$2271)+ROW()-4)</f>
        <v/>
      </c>
      <c r="B2071" s="494"/>
      <c r="C2071" s="507"/>
      <c r="D2071" s="495"/>
      <c r="E2071" s="495"/>
      <c r="F2071" s="496"/>
      <c r="G2071" s="506"/>
      <c r="H2071" s="495"/>
      <c r="I2071" s="581"/>
      <c r="J2071" s="495"/>
      <c r="K2071" s="516"/>
      <c r="L2071" s="581"/>
      <c r="M2071" s="493"/>
      <c r="N2071" s="493"/>
      <c r="O2071" s="498"/>
      <c r="P2071" s="503">
        <f t="shared" si="167"/>
        <v>0</v>
      </c>
      <c r="Q2071" s="503">
        <f t="shared" si="168"/>
        <v>0</v>
      </c>
      <c r="R2071" s="504" t="str">
        <f t="shared" si="169"/>
        <v/>
      </c>
      <c r="S2071" s="504" t="str">
        <f>IF(D2071="","",IF(OR(D2071=Plano!$A$1,D2071=Plano!$B$1),"entrada","saída"))</f>
        <v/>
      </c>
      <c r="T2071" s="505"/>
      <c r="U2071" s="505"/>
      <c r="V2071" s="541"/>
    </row>
    <row r="2072" spans="1:22" ht="12.75" customHeight="1" x14ac:dyDescent="0.2">
      <c r="A2072" s="493" t="str">
        <f>IF(B2072="","",COUNT('Diário 5º PA'!$A$5:$A$2634)+COUNT('Diário 6º PA'!$A$5:$A$2246)+COUNT('Diário 7º PA'!$A$5:$A$2271)+ROW()-4)</f>
        <v/>
      </c>
      <c r="B2072" s="494"/>
      <c r="C2072" s="507"/>
      <c r="D2072" s="495"/>
      <c r="E2072" s="495"/>
      <c r="F2072" s="496"/>
      <c r="G2072" s="506"/>
      <c r="H2072" s="495"/>
      <c r="I2072" s="581"/>
      <c r="J2072" s="495"/>
      <c r="K2072" s="516"/>
      <c r="L2072" s="581"/>
      <c r="M2072" s="493"/>
      <c r="N2072" s="493"/>
      <c r="O2072" s="498"/>
      <c r="P2072" s="503">
        <f t="shared" si="167"/>
        <v>0</v>
      </c>
      <c r="Q2072" s="503">
        <f t="shared" si="168"/>
        <v>0</v>
      </c>
      <c r="R2072" s="504" t="str">
        <f t="shared" si="169"/>
        <v/>
      </c>
      <c r="S2072" s="504" t="str">
        <f>IF(D2072="","",IF(OR(D2072=Plano!$A$1,D2072=Plano!$B$1),"entrada","saída"))</f>
        <v/>
      </c>
      <c r="T2072" s="505"/>
      <c r="U2072" s="505"/>
      <c r="V2072" s="541"/>
    </row>
    <row r="2073" spans="1:22" ht="12.75" customHeight="1" x14ac:dyDescent="0.2">
      <c r="A2073" s="493" t="str">
        <f>IF(B2073="","",COUNT('Diário 5º PA'!$A$5:$A$2634)+COUNT('Diário 6º PA'!$A$5:$A$2246)+COUNT('Diário 7º PA'!$A$5:$A$2271)+ROW()-4)</f>
        <v/>
      </c>
      <c r="B2073" s="494"/>
      <c r="C2073" s="507"/>
      <c r="D2073" s="495"/>
      <c r="E2073" s="495"/>
      <c r="F2073" s="496"/>
      <c r="G2073" s="506"/>
      <c r="H2073" s="495"/>
      <c r="I2073" s="581"/>
      <c r="J2073" s="495"/>
      <c r="K2073" s="516"/>
      <c r="L2073" s="581"/>
      <c r="M2073" s="493"/>
      <c r="N2073" s="493"/>
      <c r="O2073" s="498"/>
      <c r="P2073" s="503">
        <f t="shared" si="167"/>
        <v>0</v>
      </c>
      <c r="Q2073" s="503">
        <f t="shared" si="168"/>
        <v>0</v>
      </c>
      <c r="R2073" s="504" t="str">
        <f t="shared" si="169"/>
        <v/>
      </c>
      <c r="S2073" s="504" t="str">
        <f>IF(D2073="","",IF(OR(D2073=Plano!$A$1,D2073=Plano!$B$1),"entrada","saída"))</f>
        <v/>
      </c>
      <c r="T2073" s="505"/>
      <c r="U2073" s="505"/>
      <c r="V2073" s="541"/>
    </row>
    <row r="2074" spans="1:22" ht="12.75" customHeight="1" x14ac:dyDescent="0.2">
      <c r="A2074" s="493" t="str">
        <f>IF(B2074="","",COUNT('Diário 5º PA'!$A$5:$A$2634)+COUNT('Diário 6º PA'!$A$5:$A$2246)+COUNT('Diário 7º PA'!$A$5:$A$2271)+ROW()-4)</f>
        <v/>
      </c>
      <c r="B2074" s="494"/>
      <c r="C2074" s="507"/>
      <c r="D2074" s="495"/>
      <c r="E2074" s="495"/>
      <c r="F2074" s="496"/>
      <c r="G2074" s="506"/>
      <c r="H2074" s="495"/>
      <c r="I2074" s="581"/>
      <c r="J2074" s="495"/>
      <c r="K2074" s="516"/>
      <c r="L2074" s="581"/>
      <c r="M2074" s="493"/>
      <c r="N2074" s="493"/>
      <c r="O2074" s="498"/>
      <c r="P2074" s="503">
        <f t="shared" si="167"/>
        <v>0</v>
      </c>
      <c r="Q2074" s="503">
        <f t="shared" si="168"/>
        <v>0</v>
      </c>
      <c r="R2074" s="504" t="str">
        <f t="shared" si="169"/>
        <v/>
      </c>
      <c r="S2074" s="504" t="str">
        <f>IF(D2074="","",IF(OR(D2074=Plano!$A$1,D2074=Plano!$B$1),"entrada","saída"))</f>
        <v/>
      </c>
      <c r="T2074" s="505"/>
      <c r="U2074" s="505"/>
      <c r="V2074" s="541"/>
    </row>
    <row r="2075" spans="1:22" ht="12.75" customHeight="1" x14ac:dyDescent="0.2">
      <c r="A2075" s="493" t="str">
        <f>IF(B2075="","",COUNT('Diário 5º PA'!$A$5:$A$2634)+COUNT('Diário 6º PA'!$A$5:$A$2246)+COUNT('Diário 7º PA'!$A$5:$A$2271)+ROW()-4)</f>
        <v/>
      </c>
      <c r="B2075" s="494"/>
      <c r="C2075" s="507"/>
      <c r="D2075" s="495"/>
      <c r="E2075" s="495"/>
      <c r="F2075" s="496"/>
      <c r="G2075" s="506"/>
      <c r="H2075" s="495"/>
      <c r="I2075" s="581"/>
      <c r="J2075" s="495"/>
      <c r="K2075" s="516"/>
      <c r="L2075" s="581"/>
      <c r="M2075" s="493"/>
      <c r="N2075" s="493"/>
      <c r="O2075" s="498"/>
      <c r="P2075" s="503">
        <f t="shared" si="167"/>
        <v>0</v>
      </c>
      <c r="Q2075" s="503">
        <f t="shared" si="168"/>
        <v>0</v>
      </c>
      <c r="R2075" s="504" t="str">
        <f t="shared" si="169"/>
        <v/>
      </c>
      <c r="S2075" s="504" t="str">
        <f>IF(D2075="","",IF(OR(D2075=Plano!$A$1,D2075=Plano!$B$1),"entrada","saída"))</f>
        <v/>
      </c>
      <c r="T2075" s="505"/>
      <c r="U2075" s="505"/>
      <c r="V2075" s="541"/>
    </row>
    <row r="2076" spans="1:22" ht="12.75" customHeight="1" x14ac:dyDescent="0.2">
      <c r="A2076" s="493" t="str">
        <f>IF(B2076="","",COUNT('Diário 5º PA'!$A$5:$A$2634)+COUNT('Diário 6º PA'!$A$5:$A$2246)+COUNT('Diário 7º PA'!$A$5:$A$2271)+ROW()-4)</f>
        <v/>
      </c>
      <c r="B2076" s="494"/>
      <c r="C2076" s="507"/>
      <c r="D2076" s="495"/>
      <c r="E2076" s="495"/>
      <c r="F2076" s="496"/>
      <c r="G2076" s="506"/>
      <c r="H2076" s="495"/>
      <c r="I2076" s="581"/>
      <c r="J2076" s="495"/>
      <c r="K2076" s="516"/>
      <c r="L2076" s="581"/>
      <c r="M2076" s="493"/>
      <c r="N2076" s="493"/>
      <c r="O2076" s="498"/>
      <c r="P2076" s="503">
        <f t="shared" si="167"/>
        <v>0</v>
      </c>
      <c r="Q2076" s="503">
        <f t="shared" si="168"/>
        <v>0</v>
      </c>
      <c r="R2076" s="504" t="str">
        <f t="shared" si="169"/>
        <v/>
      </c>
      <c r="S2076" s="504" t="str">
        <f>IF(D2076="","",IF(OR(D2076=Plano!$A$1,D2076=Plano!$B$1),"entrada","saída"))</f>
        <v/>
      </c>
      <c r="T2076" s="505"/>
      <c r="U2076" s="505"/>
      <c r="V2076" s="541"/>
    </row>
    <row r="2077" spans="1:22" ht="12.75" customHeight="1" x14ac:dyDescent="0.2">
      <c r="A2077" s="493" t="str">
        <f>IF(B2077="","",COUNT('Diário 5º PA'!$A$5:$A$2634)+COUNT('Diário 6º PA'!$A$5:$A$2246)+COUNT('Diário 7º PA'!$A$5:$A$2271)+ROW()-4)</f>
        <v/>
      </c>
      <c r="B2077" s="494"/>
      <c r="C2077" s="507"/>
      <c r="D2077" s="495"/>
      <c r="E2077" s="495"/>
      <c r="F2077" s="496"/>
      <c r="G2077" s="506"/>
      <c r="H2077" s="495"/>
      <c r="I2077" s="581"/>
      <c r="J2077" s="495"/>
      <c r="K2077" s="516"/>
      <c r="L2077" s="581"/>
      <c r="M2077" s="493"/>
      <c r="N2077" s="493"/>
      <c r="O2077" s="498"/>
      <c r="P2077" s="503">
        <f t="shared" si="167"/>
        <v>0</v>
      </c>
      <c r="Q2077" s="503">
        <f t="shared" si="168"/>
        <v>0</v>
      </c>
      <c r="R2077" s="504" t="str">
        <f t="shared" si="169"/>
        <v/>
      </c>
      <c r="S2077" s="504" t="str">
        <f>IF(D2077="","",IF(OR(D2077=Plano!$A$1,D2077=Plano!$B$1),"entrada","saída"))</f>
        <v/>
      </c>
      <c r="T2077" s="505"/>
      <c r="U2077" s="505"/>
      <c r="V2077" s="541"/>
    </row>
    <row r="2078" spans="1:22" ht="12.75" customHeight="1" x14ac:dyDescent="0.2">
      <c r="A2078" s="493" t="str">
        <f>IF(B2078="","",COUNT('Diário 5º PA'!$A$5:$A$2634)+COUNT('Diário 6º PA'!$A$5:$A$2246)+COUNT('Diário 7º PA'!$A$5:$A$2271)+ROW()-4)</f>
        <v/>
      </c>
      <c r="B2078" s="494"/>
      <c r="C2078" s="507"/>
      <c r="D2078" s="495"/>
      <c r="E2078" s="495"/>
      <c r="F2078" s="496"/>
      <c r="G2078" s="506"/>
      <c r="H2078" s="495"/>
      <c r="I2078" s="581"/>
      <c r="J2078" s="495"/>
      <c r="K2078" s="516"/>
      <c r="L2078" s="581"/>
      <c r="M2078" s="493"/>
      <c r="N2078" s="493"/>
      <c r="O2078" s="498"/>
      <c r="P2078" s="503">
        <f t="shared" si="167"/>
        <v>0</v>
      </c>
      <c r="Q2078" s="503">
        <f t="shared" si="168"/>
        <v>0</v>
      </c>
      <c r="R2078" s="504" t="str">
        <f t="shared" si="169"/>
        <v/>
      </c>
      <c r="S2078" s="504" t="str">
        <f>IF(D2078="","",IF(OR(D2078=Plano!$A$1,D2078=Plano!$B$1),"entrada","saída"))</f>
        <v/>
      </c>
      <c r="T2078" s="505"/>
      <c r="U2078" s="505"/>
      <c r="V2078" s="541"/>
    </row>
    <row r="2079" spans="1:22" ht="12.75" customHeight="1" x14ac:dyDescent="0.2">
      <c r="A2079" s="493" t="str">
        <f>IF(B2079="","",COUNT('Diário 5º PA'!$A$5:$A$2634)+COUNT('Diário 6º PA'!$A$5:$A$2246)+COUNT('Diário 7º PA'!$A$5:$A$2271)+ROW()-4)</f>
        <v/>
      </c>
      <c r="B2079" s="494"/>
      <c r="C2079" s="507"/>
      <c r="D2079" s="495"/>
      <c r="E2079" s="495"/>
      <c r="F2079" s="496"/>
      <c r="G2079" s="506"/>
      <c r="H2079" s="495"/>
      <c r="I2079" s="581"/>
      <c r="J2079" s="495"/>
      <c r="K2079" s="516"/>
      <c r="L2079" s="581"/>
      <c r="M2079" s="493"/>
      <c r="N2079" s="493"/>
      <c r="O2079" s="498"/>
      <c r="P2079" s="503">
        <f t="shared" si="167"/>
        <v>0</v>
      </c>
      <c r="Q2079" s="503">
        <f t="shared" si="168"/>
        <v>0</v>
      </c>
      <c r="R2079" s="504" t="str">
        <f t="shared" si="169"/>
        <v/>
      </c>
      <c r="S2079" s="504" t="str">
        <f>IF(D2079="","",IF(OR(D2079=Plano!$A$1,D2079=Plano!$B$1),"entrada","saída"))</f>
        <v/>
      </c>
      <c r="T2079" s="505"/>
      <c r="U2079" s="505"/>
      <c r="V2079" s="541"/>
    </row>
    <row r="2080" spans="1:22" ht="12.75" customHeight="1" x14ac:dyDescent="0.2">
      <c r="A2080" s="493" t="str">
        <f>IF(B2080="","",COUNT('Diário 5º PA'!$A$5:$A$2634)+COUNT('Diário 6º PA'!$A$5:$A$2246)+COUNT('Diário 7º PA'!$A$5:$A$2271)+ROW()-4)</f>
        <v/>
      </c>
      <c r="B2080" s="494"/>
      <c r="C2080" s="507"/>
      <c r="D2080" s="495"/>
      <c r="E2080" s="495"/>
      <c r="F2080" s="496"/>
      <c r="G2080" s="506"/>
      <c r="H2080" s="495"/>
      <c r="I2080" s="581"/>
      <c r="J2080" s="495"/>
      <c r="K2080" s="516"/>
      <c r="L2080" s="581"/>
      <c r="M2080" s="493"/>
      <c r="N2080" s="493"/>
      <c r="O2080" s="498"/>
      <c r="P2080" s="503">
        <f t="shared" si="167"/>
        <v>0</v>
      </c>
      <c r="Q2080" s="503">
        <f t="shared" si="168"/>
        <v>0</v>
      </c>
      <c r="R2080" s="504" t="str">
        <f t="shared" si="169"/>
        <v/>
      </c>
      <c r="S2080" s="504" t="str">
        <f>IF(D2080="","",IF(OR(D2080=Plano!$A$1,D2080=Plano!$B$1),"entrada","saída"))</f>
        <v/>
      </c>
      <c r="T2080" s="505"/>
      <c r="U2080" s="505"/>
      <c r="V2080" s="541"/>
    </row>
    <row r="2081" spans="1:22" ht="12.75" customHeight="1" x14ac:dyDescent="0.2">
      <c r="A2081" s="493" t="str">
        <f>IF(B2081="","",COUNT('Diário 5º PA'!$A$5:$A$2634)+COUNT('Diário 6º PA'!$A$5:$A$2246)+COUNT('Diário 7º PA'!$A$5:$A$2271)+ROW()-4)</f>
        <v/>
      </c>
      <c r="B2081" s="494"/>
      <c r="C2081" s="507"/>
      <c r="D2081" s="495"/>
      <c r="E2081" s="495"/>
      <c r="F2081" s="496"/>
      <c r="G2081" s="506"/>
      <c r="H2081" s="495"/>
      <c r="I2081" s="581"/>
      <c r="J2081" s="495"/>
      <c r="K2081" s="516"/>
      <c r="L2081" s="581"/>
      <c r="M2081" s="493"/>
      <c r="N2081" s="493"/>
      <c r="O2081" s="498"/>
      <c r="P2081" s="503">
        <f t="shared" si="167"/>
        <v>0</v>
      </c>
      <c r="Q2081" s="503">
        <f t="shared" si="168"/>
        <v>0</v>
      </c>
      <c r="R2081" s="504" t="str">
        <f t="shared" si="169"/>
        <v/>
      </c>
      <c r="S2081" s="504" t="str">
        <f>IF(D2081="","",IF(OR(D2081=Plano!$A$1,D2081=Plano!$B$1),"entrada","saída"))</f>
        <v/>
      </c>
      <c r="T2081" s="505"/>
      <c r="U2081" s="505"/>
      <c r="V2081" s="541"/>
    </row>
    <row r="2082" spans="1:22" ht="12.75" customHeight="1" x14ac:dyDescent="0.2">
      <c r="A2082" s="493" t="str">
        <f>IF(B2082="","",COUNT('Diário 5º PA'!$A$5:$A$2634)+COUNT('Diário 6º PA'!$A$5:$A$2246)+COUNT('Diário 7º PA'!$A$5:$A$2271)+ROW()-4)</f>
        <v/>
      </c>
      <c r="B2082" s="494"/>
      <c r="C2082" s="507"/>
      <c r="D2082" s="495"/>
      <c r="E2082" s="495"/>
      <c r="F2082" s="496"/>
      <c r="G2082" s="506"/>
      <c r="H2082" s="495"/>
      <c r="I2082" s="581"/>
      <c r="J2082" s="495"/>
      <c r="K2082" s="516"/>
      <c r="L2082" s="581"/>
      <c r="M2082" s="493"/>
      <c r="N2082" s="493"/>
      <c r="O2082" s="498"/>
      <c r="P2082" s="503">
        <f t="shared" si="167"/>
        <v>0</v>
      </c>
      <c r="Q2082" s="503">
        <f t="shared" si="168"/>
        <v>0</v>
      </c>
      <c r="R2082" s="504" t="str">
        <f t="shared" si="169"/>
        <v/>
      </c>
      <c r="S2082" s="504" t="str">
        <f>IF(D2082="","",IF(OR(D2082=Plano!$A$1,D2082=Plano!$B$1),"entrada","saída"))</f>
        <v/>
      </c>
      <c r="T2082" s="505"/>
      <c r="U2082" s="505"/>
      <c r="V2082" s="541"/>
    </row>
    <row r="2083" spans="1:22" ht="12.75" customHeight="1" x14ac:dyDescent="0.2">
      <c r="A2083" s="493" t="str">
        <f>IF(B2083="","",COUNT('Diário 5º PA'!$A$5:$A$2634)+COUNT('Diário 6º PA'!$A$5:$A$2246)+COUNT('Diário 7º PA'!$A$5:$A$2271)+ROW()-4)</f>
        <v/>
      </c>
      <c r="B2083" s="494"/>
      <c r="C2083" s="507"/>
      <c r="D2083" s="495"/>
      <c r="E2083" s="495"/>
      <c r="F2083" s="496"/>
      <c r="G2083" s="506"/>
      <c r="H2083" s="495"/>
      <c r="I2083" s="581"/>
      <c r="J2083" s="495"/>
      <c r="K2083" s="516"/>
      <c r="L2083" s="581"/>
      <c r="M2083" s="493"/>
      <c r="N2083" s="493"/>
      <c r="O2083" s="498"/>
      <c r="P2083" s="503">
        <f t="shared" si="167"/>
        <v>0</v>
      </c>
      <c r="Q2083" s="503">
        <f t="shared" si="168"/>
        <v>0</v>
      </c>
      <c r="R2083" s="504" t="str">
        <f t="shared" si="169"/>
        <v/>
      </c>
      <c r="S2083" s="504" t="str">
        <f>IF(D2083="","",IF(OR(D2083=Plano!$A$1,D2083=Plano!$B$1),"entrada","saída"))</f>
        <v/>
      </c>
      <c r="T2083" s="505"/>
      <c r="U2083" s="505"/>
      <c r="V2083" s="541"/>
    </row>
    <row r="2084" spans="1:22" ht="12.75" customHeight="1" x14ac:dyDescent="0.2">
      <c r="A2084" s="493" t="str">
        <f>IF(B2084="","",COUNT('Diário 5º PA'!$A$5:$A$2634)+COUNT('Diário 6º PA'!$A$5:$A$2246)+COUNT('Diário 7º PA'!$A$5:$A$2271)+ROW()-4)</f>
        <v/>
      </c>
      <c r="B2084" s="494"/>
      <c r="C2084" s="507"/>
      <c r="D2084" s="495"/>
      <c r="E2084" s="495"/>
      <c r="F2084" s="496"/>
      <c r="G2084" s="506"/>
      <c r="H2084" s="495"/>
      <c r="I2084" s="581"/>
      <c r="J2084" s="495"/>
      <c r="K2084" s="516"/>
      <c r="L2084" s="581"/>
      <c r="M2084" s="493"/>
      <c r="N2084" s="493"/>
      <c r="O2084" s="498"/>
      <c r="P2084" s="503">
        <f t="shared" si="167"/>
        <v>0</v>
      </c>
      <c r="Q2084" s="503">
        <f t="shared" si="168"/>
        <v>0</v>
      </c>
      <c r="R2084" s="504" t="str">
        <f t="shared" si="169"/>
        <v/>
      </c>
      <c r="S2084" s="504" t="str">
        <f>IF(D2084="","",IF(OR(D2084=Plano!$A$1,D2084=Plano!$B$1),"entrada","saída"))</f>
        <v/>
      </c>
      <c r="T2084" s="505"/>
      <c r="U2084" s="505"/>
      <c r="V2084" s="541"/>
    </row>
    <row r="2085" spans="1:22" ht="12.75" customHeight="1" x14ac:dyDescent="0.2">
      <c r="A2085" s="493" t="str">
        <f>IF(B2085="","",COUNT('Diário 5º PA'!$A$5:$A$2634)+COUNT('Diário 6º PA'!$A$5:$A$2246)+COUNT('Diário 7º PA'!$A$5:$A$2271)+ROW()-4)</f>
        <v/>
      </c>
      <c r="B2085" s="494"/>
      <c r="C2085" s="507"/>
      <c r="D2085" s="495"/>
      <c r="E2085" s="495"/>
      <c r="F2085" s="496"/>
      <c r="G2085" s="506"/>
      <c r="H2085" s="495"/>
      <c r="I2085" s="581"/>
      <c r="J2085" s="495"/>
      <c r="K2085" s="516"/>
      <c r="L2085" s="581"/>
      <c r="M2085" s="493"/>
      <c r="N2085" s="493"/>
      <c r="O2085" s="498"/>
      <c r="P2085" s="503">
        <f t="shared" si="167"/>
        <v>0</v>
      </c>
      <c r="Q2085" s="503">
        <f t="shared" si="168"/>
        <v>0</v>
      </c>
      <c r="R2085" s="504" t="str">
        <f t="shared" si="169"/>
        <v/>
      </c>
      <c r="S2085" s="504" t="str">
        <f>IF(D2085="","",IF(OR(D2085=Plano!$A$1,D2085=Plano!$B$1),"entrada","saída"))</f>
        <v/>
      </c>
      <c r="T2085" s="505"/>
      <c r="U2085" s="505"/>
      <c r="V2085" s="541"/>
    </row>
    <row r="2086" spans="1:22" ht="12.75" customHeight="1" x14ac:dyDescent="0.2">
      <c r="A2086" s="493" t="str">
        <f>IF(B2086="","",COUNT('Diário 5º PA'!$A$5:$A$2634)+COUNT('Diário 6º PA'!$A$5:$A$2246)+COUNT('Diário 7º PA'!$A$5:$A$2271)+ROW()-4)</f>
        <v/>
      </c>
      <c r="B2086" s="494"/>
      <c r="C2086" s="507"/>
      <c r="D2086" s="495"/>
      <c r="E2086" s="495"/>
      <c r="F2086" s="496"/>
      <c r="G2086" s="506"/>
      <c r="H2086" s="495"/>
      <c r="I2086" s="581"/>
      <c r="J2086" s="495"/>
      <c r="K2086" s="516"/>
      <c r="L2086" s="581"/>
      <c r="M2086" s="493"/>
      <c r="N2086" s="493"/>
      <c r="O2086" s="498"/>
      <c r="P2086" s="503">
        <f t="shared" si="167"/>
        <v>0</v>
      </c>
      <c r="Q2086" s="503">
        <f t="shared" si="168"/>
        <v>0</v>
      </c>
      <c r="R2086" s="504" t="str">
        <f t="shared" si="169"/>
        <v/>
      </c>
      <c r="S2086" s="504" t="str">
        <f>IF(D2086="","",IF(OR(D2086=Plano!$A$1,D2086=Plano!$B$1),"entrada","saída"))</f>
        <v/>
      </c>
      <c r="T2086" s="505"/>
      <c r="U2086" s="505"/>
      <c r="V2086" s="541"/>
    </row>
    <row r="2087" spans="1:22" ht="12.75" customHeight="1" x14ac:dyDescent="0.2">
      <c r="A2087" s="493" t="str">
        <f>IF(B2087="","",COUNT('Diário 5º PA'!$A$5:$A$2634)+COUNT('Diário 6º PA'!$A$5:$A$2246)+COUNT('Diário 7º PA'!$A$5:$A$2271)+ROW()-4)</f>
        <v/>
      </c>
      <c r="B2087" s="494"/>
      <c r="C2087" s="507"/>
      <c r="D2087" s="495"/>
      <c r="E2087" s="495"/>
      <c r="F2087" s="496"/>
      <c r="G2087" s="506"/>
      <c r="H2087" s="495"/>
      <c r="I2087" s="581"/>
      <c r="J2087" s="495"/>
      <c r="K2087" s="516"/>
      <c r="L2087" s="581"/>
      <c r="M2087" s="493"/>
      <c r="N2087" s="493"/>
      <c r="O2087" s="498"/>
      <c r="P2087" s="503">
        <f t="shared" si="167"/>
        <v>0</v>
      </c>
      <c r="Q2087" s="503">
        <f t="shared" si="168"/>
        <v>0</v>
      </c>
      <c r="R2087" s="504" t="str">
        <f t="shared" si="169"/>
        <v/>
      </c>
      <c r="S2087" s="504" t="str">
        <f>IF(D2087="","",IF(OR(D2087=Plano!$A$1,D2087=Plano!$B$1),"entrada","saída"))</f>
        <v/>
      </c>
      <c r="T2087" s="505"/>
      <c r="U2087" s="505"/>
      <c r="V2087" s="541"/>
    </row>
    <row r="2088" spans="1:22" ht="12.75" customHeight="1" x14ac:dyDescent="0.2">
      <c r="A2088" s="493" t="str">
        <f>IF(B2088="","",COUNT('Diário 5º PA'!$A$5:$A$2634)+COUNT('Diário 6º PA'!$A$5:$A$2246)+COUNT('Diário 7º PA'!$A$5:$A$2271)+ROW()-4)</f>
        <v/>
      </c>
      <c r="B2088" s="494"/>
      <c r="C2088" s="507"/>
      <c r="D2088" s="495"/>
      <c r="E2088" s="495"/>
      <c r="F2088" s="496"/>
      <c r="G2088" s="506"/>
      <c r="H2088" s="495"/>
      <c r="I2088" s="581"/>
      <c r="J2088" s="495"/>
      <c r="K2088" s="516"/>
      <c r="L2088" s="581"/>
      <c r="M2088" s="493"/>
      <c r="N2088" s="493"/>
      <c r="O2088" s="498"/>
      <c r="P2088" s="503">
        <f t="shared" si="167"/>
        <v>0</v>
      </c>
      <c r="Q2088" s="503">
        <f t="shared" si="168"/>
        <v>0</v>
      </c>
      <c r="R2088" s="504" t="str">
        <f t="shared" si="169"/>
        <v/>
      </c>
      <c r="S2088" s="504" t="str">
        <f>IF(D2088="","",IF(OR(D2088=Plano!$A$1,D2088=Plano!$B$1),"entrada","saída"))</f>
        <v/>
      </c>
      <c r="T2088" s="505"/>
      <c r="U2088" s="505"/>
      <c r="V2088" s="541"/>
    </row>
    <row r="2089" spans="1:22" ht="12.75" customHeight="1" x14ac:dyDescent="0.2">
      <c r="A2089" s="493" t="str">
        <f>IF(B2089="","",COUNT('Diário 5º PA'!$A$5:$A$2634)+COUNT('Diário 6º PA'!$A$5:$A$2246)+COUNT('Diário 7º PA'!$A$5:$A$2271)+ROW()-4)</f>
        <v/>
      </c>
      <c r="B2089" s="494"/>
      <c r="C2089" s="507"/>
      <c r="D2089" s="495"/>
      <c r="E2089" s="495"/>
      <c r="F2089" s="496"/>
      <c r="G2089" s="506"/>
      <c r="H2089" s="495"/>
      <c r="I2089" s="581"/>
      <c r="J2089" s="495"/>
      <c r="K2089" s="516"/>
      <c r="L2089" s="581"/>
      <c r="M2089" s="493"/>
      <c r="N2089" s="493"/>
      <c r="O2089" s="498"/>
      <c r="P2089" s="503">
        <f t="shared" si="167"/>
        <v>0</v>
      </c>
      <c r="Q2089" s="503">
        <f t="shared" si="168"/>
        <v>0</v>
      </c>
      <c r="R2089" s="504" t="str">
        <f t="shared" si="169"/>
        <v/>
      </c>
      <c r="S2089" s="504" t="str">
        <f>IF(D2089="","",IF(OR(D2089=Plano!$A$1,D2089=Plano!$B$1),"entrada","saída"))</f>
        <v/>
      </c>
      <c r="T2089" s="505"/>
      <c r="U2089" s="505"/>
      <c r="V2089" s="541"/>
    </row>
    <row r="2090" spans="1:22" ht="12.75" customHeight="1" x14ac:dyDescent="0.2">
      <c r="A2090" s="493" t="str">
        <f>IF(B2090="","",COUNT('Diário 5º PA'!$A$5:$A$2634)+COUNT('Diário 6º PA'!$A$5:$A$2246)+COUNT('Diário 7º PA'!$A$5:$A$2271)+ROW()-4)</f>
        <v/>
      </c>
      <c r="B2090" s="494"/>
      <c r="C2090" s="507"/>
      <c r="D2090" s="495"/>
      <c r="E2090" s="495"/>
      <c r="F2090" s="496"/>
      <c r="G2090" s="506"/>
      <c r="H2090" s="495"/>
      <c r="I2090" s="581"/>
      <c r="J2090" s="495"/>
      <c r="K2090" s="516"/>
      <c r="L2090" s="581"/>
      <c r="M2090" s="493"/>
      <c r="N2090" s="493"/>
      <c r="O2090" s="498"/>
      <c r="P2090" s="503">
        <f t="shared" si="167"/>
        <v>0</v>
      </c>
      <c r="Q2090" s="503">
        <f t="shared" si="168"/>
        <v>0</v>
      </c>
      <c r="R2090" s="504" t="str">
        <f t="shared" si="169"/>
        <v/>
      </c>
      <c r="S2090" s="504" t="str">
        <f>IF(D2090="","",IF(OR(D2090=Plano!$A$1,D2090=Plano!$B$1),"entrada","saída"))</f>
        <v/>
      </c>
      <c r="T2090" s="505"/>
      <c r="U2090" s="505"/>
      <c r="V2090" s="541"/>
    </row>
    <row r="2091" spans="1:22" ht="12.75" customHeight="1" x14ac:dyDescent="0.2">
      <c r="A2091" s="493" t="str">
        <f>IF(B2091="","",COUNT('Diário 5º PA'!$A$5:$A$2634)+COUNT('Diário 6º PA'!$A$5:$A$2246)+COUNT('Diário 7º PA'!$A$5:$A$2271)+ROW()-4)</f>
        <v/>
      </c>
      <c r="B2091" s="494"/>
      <c r="C2091" s="507"/>
      <c r="D2091" s="495"/>
      <c r="E2091" s="495"/>
      <c r="F2091" s="496"/>
      <c r="G2091" s="506"/>
      <c r="H2091" s="495"/>
      <c r="I2091" s="581"/>
      <c r="J2091" s="495"/>
      <c r="K2091" s="516"/>
      <c r="L2091" s="581"/>
      <c r="M2091" s="493"/>
      <c r="N2091" s="493"/>
      <c r="O2091" s="498"/>
      <c r="P2091" s="503">
        <f t="shared" si="167"/>
        <v>0</v>
      </c>
      <c r="Q2091" s="503">
        <f t="shared" si="168"/>
        <v>0</v>
      </c>
      <c r="R2091" s="504" t="str">
        <f t="shared" si="169"/>
        <v/>
      </c>
      <c r="S2091" s="504" t="str">
        <f>IF(D2091="","",IF(OR(D2091=Plano!$A$1,D2091=Plano!$B$1),"entrada","saída"))</f>
        <v/>
      </c>
      <c r="T2091" s="505"/>
      <c r="U2091" s="505"/>
      <c r="V2091" s="541"/>
    </row>
    <row r="2092" spans="1:22" ht="12.75" customHeight="1" x14ac:dyDescent="0.2">
      <c r="A2092" s="493" t="str">
        <f>IF(B2092="","",COUNT('Diário 5º PA'!$A$5:$A$2634)+COUNT('Diário 6º PA'!$A$5:$A$2246)+COUNT('Diário 7º PA'!$A$5:$A$2271)+ROW()-4)</f>
        <v/>
      </c>
      <c r="B2092" s="494"/>
      <c r="C2092" s="507"/>
      <c r="D2092" s="495"/>
      <c r="E2092" s="495"/>
      <c r="F2092" s="496"/>
      <c r="G2092" s="506"/>
      <c r="H2092" s="495"/>
      <c r="I2092" s="581"/>
      <c r="J2092" s="495"/>
      <c r="K2092" s="516"/>
      <c r="L2092" s="581"/>
      <c r="M2092" s="493"/>
      <c r="N2092" s="493"/>
      <c r="O2092" s="498"/>
      <c r="P2092" s="503">
        <f t="shared" si="167"/>
        <v>0</v>
      </c>
      <c r="Q2092" s="503">
        <f t="shared" si="168"/>
        <v>0</v>
      </c>
      <c r="R2092" s="504" t="str">
        <f t="shared" si="169"/>
        <v/>
      </c>
      <c r="S2092" s="504" t="str">
        <f>IF(D2092="","",IF(OR(D2092=Plano!$A$1,D2092=Plano!$B$1),"entrada","saída"))</f>
        <v/>
      </c>
      <c r="T2092" s="505"/>
      <c r="U2092" s="505"/>
      <c r="V2092" s="541"/>
    </row>
    <row r="2093" spans="1:22" ht="12.75" customHeight="1" x14ac:dyDescent="0.2">
      <c r="A2093" s="493" t="str">
        <f>IF(B2093="","",COUNT('Diário 5º PA'!$A$5:$A$2634)+COUNT('Diário 6º PA'!$A$5:$A$2246)+COUNT('Diário 7º PA'!$A$5:$A$2271)+ROW()-4)</f>
        <v/>
      </c>
      <c r="B2093" s="494"/>
      <c r="C2093" s="507"/>
      <c r="D2093" s="495"/>
      <c r="E2093" s="495"/>
      <c r="F2093" s="496"/>
      <c r="G2093" s="506"/>
      <c r="H2093" s="495"/>
      <c r="I2093" s="581"/>
      <c r="J2093" s="495"/>
      <c r="K2093" s="516"/>
      <c r="L2093" s="581"/>
      <c r="M2093" s="493"/>
      <c r="N2093" s="493"/>
      <c r="O2093" s="498"/>
      <c r="P2093" s="503">
        <f t="shared" si="167"/>
        <v>0</v>
      </c>
      <c r="Q2093" s="503">
        <f t="shared" si="168"/>
        <v>0</v>
      </c>
      <c r="R2093" s="504" t="str">
        <f t="shared" si="169"/>
        <v/>
      </c>
      <c r="S2093" s="504" t="str">
        <f>IF(D2093="","",IF(OR(D2093=Plano!$A$1,D2093=Plano!$B$1),"entrada","saída"))</f>
        <v/>
      </c>
      <c r="T2093" s="505"/>
      <c r="U2093" s="505"/>
      <c r="V2093" s="541"/>
    </row>
    <row r="2094" spans="1:22" ht="12.75" customHeight="1" x14ac:dyDescent="0.2">
      <c r="A2094" s="493" t="str">
        <f>IF(B2094="","",COUNT('Diário 5º PA'!$A$5:$A$2634)+COUNT('Diário 6º PA'!$A$5:$A$2246)+COUNT('Diário 7º PA'!$A$5:$A$2271)+ROW()-4)</f>
        <v/>
      </c>
      <c r="B2094" s="494"/>
      <c r="C2094" s="507"/>
      <c r="D2094" s="495"/>
      <c r="E2094" s="495"/>
      <c r="F2094" s="496"/>
      <c r="G2094" s="506"/>
      <c r="H2094" s="495"/>
      <c r="I2094" s="581"/>
      <c r="J2094" s="495"/>
      <c r="K2094" s="516"/>
      <c r="L2094" s="581"/>
      <c r="M2094" s="493"/>
      <c r="N2094" s="493"/>
      <c r="O2094" s="498"/>
      <c r="P2094" s="503">
        <f t="shared" si="167"/>
        <v>0</v>
      </c>
      <c r="Q2094" s="503">
        <f t="shared" si="168"/>
        <v>0</v>
      </c>
      <c r="R2094" s="504" t="str">
        <f t="shared" si="169"/>
        <v/>
      </c>
      <c r="S2094" s="504" t="str">
        <f>IF(D2094="","",IF(OR(D2094=Plano!$A$1,D2094=Plano!$B$1),"entrada","saída"))</f>
        <v/>
      </c>
      <c r="T2094" s="505"/>
      <c r="U2094" s="505"/>
      <c r="V2094" s="541"/>
    </row>
    <row r="2095" spans="1:22" ht="12.75" customHeight="1" x14ac:dyDescent="0.2">
      <c r="A2095" s="493" t="str">
        <f>IF(B2095="","",COUNT('Diário 5º PA'!$A$5:$A$2634)+COUNT('Diário 6º PA'!$A$5:$A$2246)+COUNT('Diário 7º PA'!$A$5:$A$2271)+ROW()-4)</f>
        <v/>
      </c>
      <c r="B2095" s="494"/>
      <c r="C2095" s="507"/>
      <c r="D2095" s="495"/>
      <c r="E2095" s="495"/>
      <c r="F2095" s="496"/>
      <c r="G2095" s="506"/>
      <c r="H2095" s="495"/>
      <c r="I2095" s="581"/>
      <c r="J2095" s="495"/>
      <c r="K2095" s="516"/>
      <c r="L2095" s="581"/>
      <c r="M2095" s="493"/>
      <c r="N2095" s="493"/>
      <c r="O2095" s="498"/>
      <c r="P2095" s="503">
        <f t="shared" si="167"/>
        <v>0</v>
      </c>
      <c r="Q2095" s="503">
        <f t="shared" si="168"/>
        <v>0</v>
      </c>
      <c r="R2095" s="504" t="str">
        <f t="shared" si="169"/>
        <v/>
      </c>
      <c r="S2095" s="504" t="str">
        <f>IF(D2095="","",IF(OR(D2095=Plano!$A$1,D2095=Plano!$B$1),"entrada","saída"))</f>
        <v/>
      </c>
      <c r="T2095" s="505"/>
      <c r="U2095" s="505"/>
      <c r="V2095" s="541"/>
    </row>
    <row r="2096" spans="1:22" ht="12.75" customHeight="1" x14ac:dyDescent="0.2">
      <c r="A2096" s="493" t="str">
        <f>IF(B2096="","",COUNT('Diário 5º PA'!$A$5:$A$2634)+COUNT('Diário 6º PA'!$A$5:$A$2246)+COUNT('Diário 7º PA'!$A$5:$A$2271)+ROW()-4)</f>
        <v/>
      </c>
      <c r="B2096" s="494"/>
      <c r="C2096" s="507"/>
      <c r="D2096" s="495"/>
      <c r="E2096" s="495"/>
      <c r="F2096" s="496"/>
      <c r="G2096" s="506"/>
      <c r="H2096" s="495"/>
      <c r="I2096" s="581"/>
      <c r="J2096" s="495"/>
      <c r="K2096" s="516"/>
      <c r="L2096" s="581"/>
      <c r="M2096" s="493"/>
      <c r="N2096" s="493"/>
      <c r="O2096" s="498"/>
      <c r="P2096" s="503">
        <f t="shared" si="167"/>
        <v>0</v>
      </c>
      <c r="Q2096" s="503">
        <f t="shared" si="168"/>
        <v>0</v>
      </c>
      <c r="R2096" s="504" t="str">
        <f t="shared" si="169"/>
        <v/>
      </c>
      <c r="S2096" s="504" t="str">
        <f>IF(D2096="","",IF(OR(D2096=Plano!$A$1,D2096=Plano!$B$1),"entrada","saída"))</f>
        <v/>
      </c>
      <c r="T2096" s="505"/>
      <c r="U2096" s="505"/>
      <c r="V2096" s="541"/>
    </row>
    <row r="2097" spans="1:22" ht="12.75" customHeight="1" x14ac:dyDescent="0.2">
      <c r="A2097" s="493" t="str">
        <f>IF(B2097="","",COUNT('Diário 5º PA'!$A$5:$A$2634)+COUNT('Diário 6º PA'!$A$5:$A$2246)+COUNT('Diário 7º PA'!$A$5:$A$2271)+ROW()-4)</f>
        <v/>
      </c>
      <c r="B2097" s="494"/>
      <c r="C2097" s="507"/>
      <c r="D2097" s="495"/>
      <c r="E2097" s="495"/>
      <c r="F2097" s="496"/>
      <c r="G2097" s="506"/>
      <c r="H2097" s="495"/>
      <c r="I2097" s="581"/>
      <c r="J2097" s="495"/>
      <c r="K2097" s="516"/>
      <c r="L2097" s="581"/>
      <c r="M2097" s="493"/>
      <c r="N2097" s="493"/>
      <c r="O2097" s="498"/>
      <c r="P2097" s="503">
        <f t="shared" si="167"/>
        <v>0</v>
      </c>
      <c r="Q2097" s="503">
        <f t="shared" si="168"/>
        <v>0</v>
      </c>
      <c r="R2097" s="504" t="str">
        <f t="shared" si="169"/>
        <v/>
      </c>
      <c r="S2097" s="504" t="str">
        <f>IF(D2097="","",IF(OR(D2097=Plano!$A$1,D2097=Plano!$B$1),"entrada","saída"))</f>
        <v/>
      </c>
      <c r="T2097" s="505"/>
      <c r="U2097" s="505"/>
      <c r="V2097" s="541"/>
    </row>
    <row r="2098" spans="1:22" ht="12.75" customHeight="1" x14ac:dyDescent="0.2">
      <c r="A2098" s="493" t="str">
        <f>IF(B2098="","",COUNT('Diário 5º PA'!$A$5:$A$2634)+COUNT('Diário 6º PA'!$A$5:$A$2246)+COUNT('Diário 7º PA'!$A$5:$A$2271)+ROW()-4)</f>
        <v/>
      </c>
      <c r="B2098" s="494"/>
      <c r="C2098" s="507"/>
      <c r="D2098" s="495"/>
      <c r="E2098" s="495"/>
      <c r="F2098" s="496"/>
      <c r="G2098" s="506"/>
      <c r="H2098" s="495"/>
      <c r="I2098" s="581"/>
      <c r="J2098" s="495"/>
      <c r="K2098" s="516"/>
      <c r="L2098" s="581"/>
      <c r="M2098" s="493"/>
      <c r="N2098" s="493"/>
      <c r="O2098" s="498"/>
      <c r="P2098" s="503">
        <f t="shared" si="167"/>
        <v>0</v>
      </c>
      <c r="Q2098" s="503">
        <f t="shared" si="168"/>
        <v>0</v>
      </c>
      <c r="R2098" s="504" t="str">
        <f t="shared" si="169"/>
        <v/>
      </c>
      <c r="S2098" s="504" t="str">
        <f>IF(D2098="","",IF(OR(D2098=Plano!$A$1,D2098=Plano!$B$1),"entrada","saída"))</f>
        <v/>
      </c>
      <c r="T2098" s="505"/>
      <c r="U2098" s="505"/>
      <c r="V2098" s="541"/>
    </row>
    <row r="2099" spans="1:22" ht="12.75" customHeight="1" x14ac:dyDescent="0.2">
      <c r="A2099" s="493" t="str">
        <f>IF(B2099="","",COUNT('Diário 5º PA'!$A$5:$A$2634)+COUNT('Diário 6º PA'!$A$5:$A$2246)+COUNT('Diário 7º PA'!$A$5:$A$2271)+ROW()-4)</f>
        <v/>
      </c>
      <c r="B2099" s="494"/>
      <c r="C2099" s="507"/>
      <c r="D2099" s="495"/>
      <c r="E2099" s="495"/>
      <c r="F2099" s="496"/>
      <c r="G2099" s="506"/>
      <c r="H2099" s="495"/>
      <c r="I2099" s="581"/>
      <c r="J2099" s="495"/>
      <c r="K2099" s="516"/>
      <c r="L2099" s="581"/>
      <c r="M2099" s="493"/>
      <c r="N2099" s="493"/>
      <c r="O2099" s="498"/>
      <c r="P2099" s="503">
        <f t="shared" si="167"/>
        <v>0</v>
      </c>
      <c r="Q2099" s="503">
        <f t="shared" si="168"/>
        <v>0</v>
      </c>
      <c r="R2099" s="504" t="str">
        <f t="shared" si="169"/>
        <v/>
      </c>
      <c r="S2099" s="504" t="str">
        <f>IF(D2099="","",IF(OR(D2099=Plano!$A$1,D2099=Plano!$B$1),"entrada","saída"))</f>
        <v/>
      </c>
      <c r="T2099" s="505"/>
      <c r="U2099" s="505"/>
      <c r="V2099" s="541"/>
    </row>
    <row r="2100" spans="1:22" ht="12.75" customHeight="1" x14ac:dyDescent="0.2">
      <c r="A2100" s="493" t="str">
        <f>IF(B2100="","",COUNT('Diário 5º PA'!$A$5:$A$2634)+COUNT('Diário 6º PA'!$A$5:$A$2246)+COUNT('Diário 7º PA'!$A$5:$A$2271)+ROW()-4)</f>
        <v/>
      </c>
      <c r="B2100" s="494"/>
      <c r="C2100" s="507"/>
      <c r="D2100" s="495"/>
      <c r="E2100" s="495"/>
      <c r="F2100" s="496"/>
      <c r="G2100" s="506"/>
      <c r="H2100" s="495"/>
      <c r="I2100" s="581"/>
      <c r="J2100" s="495"/>
      <c r="K2100" s="516"/>
      <c r="L2100" s="581"/>
      <c r="M2100" s="493"/>
      <c r="N2100" s="493"/>
      <c r="O2100" s="498"/>
      <c r="P2100" s="503">
        <f t="shared" si="167"/>
        <v>0</v>
      </c>
      <c r="Q2100" s="503">
        <f t="shared" si="168"/>
        <v>0</v>
      </c>
      <c r="R2100" s="504" t="str">
        <f t="shared" si="169"/>
        <v/>
      </c>
      <c r="S2100" s="504" t="str">
        <f>IF(D2100="","",IF(OR(D2100=Plano!$A$1,D2100=Plano!$B$1),"entrada","saída"))</f>
        <v/>
      </c>
      <c r="T2100" s="505"/>
      <c r="U2100" s="505"/>
      <c r="V2100" s="541"/>
    </row>
    <row r="2101" spans="1:22" ht="12.75" customHeight="1" x14ac:dyDescent="0.2">
      <c r="A2101" s="493" t="str">
        <f>IF(B2101="","",COUNT('Diário 5º PA'!$A$5:$A$2634)+COUNT('Diário 6º PA'!$A$5:$A$2246)+COUNT('Diário 7º PA'!$A$5:$A$2271)+ROW()-4)</f>
        <v/>
      </c>
      <c r="B2101" s="494"/>
      <c r="C2101" s="507"/>
      <c r="D2101" s="495"/>
      <c r="E2101" s="495"/>
      <c r="F2101" s="496"/>
      <c r="G2101" s="506"/>
      <c r="H2101" s="495"/>
      <c r="I2101" s="581"/>
      <c r="J2101" s="495"/>
      <c r="K2101" s="516"/>
      <c r="L2101" s="581"/>
      <c r="M2101" s="493"/>
      <c r="N2101" s="493"/>
      <c r="O2101" s="498"/>
      <c r="P2101" s="503">
        <f t="shared" si="167"/>
        <v>0</v>
      </c>
      <c r="Q2101" s="503">
        <f t="shared" si="168"/>
        <v>0</v>
      </c>
      <c r="R2101" s="504" t="str">
        <f t="shared" si="169"/>
        <v/>
      </c>
      <c r="S2101" s="504" t="str">
        <f>IF(D2101="","",IF(OR(D2101=Plano!$A$1,D2101=Plano!$B$1),"entrada","saída"))</f>
        <v/>
      </c>
      <c r="T2101" s="505"/>
      <c r="U2101" s="505"/>
      <c r="V2101" s="541"/>
    </row>
    <row r="2102" spans="1:22" ht="12.75" customHeight="1" x14ac:dyDescent="0.2">
      <c r="A2102" s="493" t="str">
        <f>IF(B2102="","",COUNT('Diário 5º PA'!$A$5:$A$2634)+COUNT('Diário 6º PA'!$A$5:$A$2246)+COUNT('Diário 7º PA'!$A$5:$A$2271)+ROW()-4)</f>
        <v/>
      </c>
      <c r="B2102" s="494"/>
      <c r="C2102" s="507"/>
      <c r="D2102" s="495"/>
      <c r="E2102" s="495"/>
      <c r="F2102" s="496"/>
      <c r="G2102" s="506"/>
      <c r="H2102" s="495"/>
      <c r="I2102" s="581"/>
      <c r="J2102" s="495"/>
      <c r="K2102" s="516"/>
      <c r="L2102" s="581"/>
      <c r="M2102" s="493"/>
      <c r="N2102" s="493"/>
      <c r="O2102" s="498"/>
      <c r="P2102" s="503">
        <f t="shared" si="167"/>
        <v>0</v>
      </c>
      <c r="Q2102" s="503">
        <f t="shared" si="168"/>
        <v>0</v>
      </c>
      <c r="R2102" s="504" t="str">
        <f t="shared" si="169"/>
        <v/>
      </c>
      <c r="S2102" s="504" t="str">
        <f>IF(D2102="","",IF(OR(D2102=Plano!$A$1,D2102=Plano!$B$1),"entrada","saída"))</f>
        <v/>
      </c>
      <c r="T2102" s="505"/>
      <c r="U2102" s="505"/>
      <c r="V2102" s="541"/>
    </row>
    <row r="2103" spans="1:22" ht="12.75" customHeight="1" x14ac:dyDescent="0.2">
      <c r="A2103" s="493" t="str">
        <f>IF(B2103="","",COUNT('Diário 5º PA'!$A$5:$A$2634)+COUNT('Diário 6º PA'!$A$5:$A$2246)+COUNT('Diário 7º PA'!$A$5:$A$2271)+ROW()-4)</f>
        <v/>
      </c>
      <c r="B2103" s="494"/>
      <c r="C2103" s="507"/>
      <c r="D2103" s="495"/>
      <c r="E2103" s="495"/>
      <c r="F2103" s="496"/>
      <c r="G2103" s="506"/>
      <c r="H2103" s="495"/>
      <c r="I2103" s="581"/>
      <c r="J2103" s="495"/>
      <c r="K2103" s="516"/>
      <c r="L2103" s="581"/>
      <c r="M2103" s="493"/>
      <c r="N2103" s="493"/>
      <c r="O2103" s="498"/>
      <c r="P2103" s="503">
        <f t="shared" si="167"/>
        <v>0</v>
      </c>
      <c r="Q2103" s="503">
        <f t="shared" si="168"/>
        <v>0</v>
      </c>
      <c r="R2103" s="504" t="str">
        <f t="shared" si="169"/>
        <v/>
      </c>
      <c r="S2103" s="504" t="str">
        <f>IF(D2103="","",IF(OR(D2103=Plano!$A$1,D2103=Plano!$B$1),"entrada","saída"))</f>
        <v/>
      </c>
      <c r="T2103" s="505"/>
      <c r="U2103" s="505"/>
      <c r="V2103" s="541"/>
    </row>
    <row r="2104" spans="1:22" ht="12.75" customHeight="1" x14ac:dyDescent="0.2">
      <c r="A2104" s="493" t="str">
        <f>IF(B2104="","",COUNT('Diário 5º PA'!$A$5:$A$2634)+COUNT('Diário 6º PA'!$A$5:$A$2246)+COUNT('Diário 7º PA'!$A$5:$A$2271)+ROW()-4)</f>
        <v/>
      </c>
      <c r="B2104" s="494"/>
      <c r="C2104" s="507"/>
      <c r="D2104" s="495"/>
      <c r="E2104" s="495"/>
      <c r="F2104" s="496"/>
      <c r="G2104" s="506"/>
      <c r="H2104" s="495"/>
      <c r="I2104" s="581"/>
      <c r="J2104" s="495"/>
      <c r="K2104" s="516"/>
      <c r="L2104" s="581"/>
      <c r="M2104" s="493"/>
      <c r="N2104" s="493"/>
      <c r="O2104" s="498"/>
      <c r="P2104" s="503">
        <f t="shared" si="167"/>
        <v>0</v>
      </c>
      <c r="Q2104" s="503">
        <f t="shared" si="168"/>
        <v>0</v>
      </c>
      <c r="R2104" s="504" t="str">
        <f t="shared" si="169"/>
        <v/>
      </c>
      <c r="S2104" s="504" t="str">
        <f>IF(D2104="","",IF(OR(D2104=Plano!$A$1,D2104=Plano!$B$1),"entrada","saída"))</f>
        <v/>
      </c>
      <c r="T2104" s="505"/>
      <c r="U2104" s="505"/>
      <c r="V2104" s="541"/>
    </row>
    <row r="2105" spans="1:22" ht="12.75" customHeight="1" x14ac:dyDescent="0.2">
      <c r="A2105" s="493" t="str">
        <f>IF(B2105="","",COUNT('Diário 5º PA'!$A$5:$A$2634)+COUNT('Diário 6º PA'!$A$5:$A$2246)+COUNT('Diário 7º PA'!$A$5:$A$2271)+ROW()-4)</f>
        <v/>
      </c>
      <c r="B2105" s="494"/>
      <c r="C2105" s="507"/>
      <c r="D2105" s="495"/>
      <c r="E2105" s="495"/>
      <c r="F2105" s="496"/>
      <c r="G2105" s="506"/>
      <c r="H2105" s="495"/>
      <c r="I2105" s="581"/>
      <c r="J2105" s="495"/>
      <c r="K2105" s="516"/>
      <c r="L2105" s="581"/>
      <c r="M2105" s="493"/>
      <c r="N2105" s="493"/>
      <c r="O2105" s="498"/>
      <c r="P2105" s="503">
        <f t="shared" si="167"/>
        <v>0</v>
      </c>
      <c r="Q2105" s="503">
        <f t="shared" si="168"/>
        <v>0</v>
      </c>
      <c r="R2105" s="504" t="str">
        <f t="shared" si="169"/>
        <v/>
      </c>
      <c r="S2105" s="504" t="str">
        <f>IF(D2105="","",IF(OR(D2105=Plano!$A$1,D2105=Plano!$B$1),"entrada","saída"))</f>
        <v/>
      </c>
      <c r="T2105" s="505"/>
      <c r="U2105" s="505"/>
      <c r="V2105" s="541"/>
    </row>
    <row r="2106" spans="1:22" ht="12.75" customHeight="1" x14ac:dyDescent="0.2">
      <c r="A2106" s="493" t="str">
        <f>IF(B2106="","",COUNT('Diário 5º PA'!$A$5:$A$2634)+COUNT('Diário 6º PA'!$A$5:$A$2246)+COUNT('Diário 7º PA'!$A$5:$A$2271)+ROW()-4)</f>
        <v/>
      </c>
      <c r="B2106" s="494"/>
      <c r="C2106" s="507"/>
      <c r="D2106" s="495"/>
      <c r="E2106" s="495"/>
      <c r="F2106" s="496"/>
      <c r="G2106" s="506"/>
      <c r="H2106" s="495"/>
      <c r="I2106" s="581"/>
      <c r="J2106" s="495"/>
      <c r="K2106" s="516"/>
      <c r="L2106" s="581"/>
      <c r="M2106" s="493"/>
      <c r="N2106" s="493"/>
      <c r="O2106" s="498"/>
      <c r="P2106" s="503">
        <f t="shared" si="167"/>
        <v>0</v>
      </c>
      <c r="Q2106" s="503">
        <f t="shared" si="168"/>
        <v>0</v>
      </c>
      <c r="R2106" s="504" t="str">
        <f t="shared" si="169"/>
        <v/>
      </c>
      <c r="S2106" s="504" t="str">
        <f>IF(D2106="","",IF(OR(D2106=Plano!$A$1,D2106=Plano!$B$1),"entrada","saída"))</f>
        <v/>
      </c>
      <c r="T2106" s="505"/>
      <c r="U2106" s="505"/>
      <c r="V2106" s="541"/>
    </row>
    <row r="2107" spans="1:22" ht="12.75" customHeight="1" x14ac:dyDescent="0.2">
      <c r="A2107" s="493" t="str">
        <f>IF(B2107="","",COUNT('Diário 5º PA'!$A$5:$A$2634)+COUNT('Diário 6º PA'!$A$5:$A$2246)+COUNT('Diário 7º PA'!$A$5:$A$2271)+ROW()-4)</f>
        <v/>
      </c>
      <c r="B2107" s="494"/>
      <c r="C2107" s="507"/>
      <c r="D2107" s="495"/>
      <c r="E2107" s="495"/>
      <c r="F2107" s="496"/>
      <c r="G2107" s="506"/>
      <c r="H2107" s="495"/>
      <c r="I2107" s="581"/>
      <c r="J2107" s="495"/>
      <c r="K2107" s="516"/>
      <c r="L2107" s="581"/>
      <c r="M2107" s="493"/>
      <c r="N2107" s="493"/>
      <c r="O2107" s="498"/>
      <c r="P2107" s="503">
        <f t="shared" si="167"/>
        <v>0</v>
      </c>
      <c r="Q2107" s="503">
        <f t="shared" si="168"/>
        <v>0</v>
      </c>
      <c r="R2107" s="504" t="str">
        <f t="shared" si="169"/>
        <v/>
      </c>
      <c r="S2107" s="504" t="str">
        <f>IF(D2107="","",IF(OR(D2107=Plano!$A$1,D2107=Plano!$B$1),"entrada","saída"))</f>
        <v/>
      </c>
      <c r="T2107" s="505"/>
      <c r="U2107" s="505"/>
      <c r="V2107" s="541"/>
    </row>
    <row r="2108" spans="1:22" ht="12.75" customHeight="1" x14ac:dyDescent="0.2">
      <c r="A2108" s="493" t="str">
        <f>IF(B2108="","",COUNT('Diário 5º PA'!$A$5:$A$2634)+COUNT('Diário 6º PA'!$A$5:$A$2246)+COUNT('Diário 7º PA'!$A$5:$A$2271)+ROW()-4)</f>
        <v/>
      </c>
      <c r="B2108" s="494"/>
      <c r="C2108" s="507"/>
      <c r="D2108" s="495"/>
      <c r="E2108" s="495"/>
      <c r="F2108" s="496"/>
      <c r="G2108" s="506"/>
      <c r="H2108" s="495"/>
      <c r="I2108" s="581"/>
      <c r="J2108" s="495"/>
      <c r="K2108" s="516"/>
      <c r="L2108" s="581"/>
      <c r="M2108" s="493"/>
      <c r="N2108" s="493"/>
      <c r="O2108" s="498"/>
      <c r="P2108" s="503">
        <f t="shared" si="167"/>
        <v>0</v>
      </c>
      <c r="Q2108" s="503">
        <f t="shared" si="168"/>
        <v>0</v>
      </c>
      <c r="R2108" s="504" t="str">
        <f t="shared" si="169"/>
        <v/>
      </c>
      <c r="S2108" s="504" t="str">
        <f>IF(D2108="","",IF(OR(D2108=Plano!$A$1,D2108=Plano!$B$1),"entrada","saída"))</f>
        <v/>
      </c>
      <c r="T2108" s="505"/>
      <c r="U2108" s="505"/>
      <c r="V2108" s="541"/>
    </row>
    <row r="2109" spans="1:22" ht="12.75" customHeight="1" x14ac:dyDescent="0.2">
      <c r="A2109" s="493" t="str">
        <f>IF(B2109="","",COUNT('Diário 5º PA'!$A$5:$A$2634)+COUNT('Diário 6º PA'!$A$5:$A$2246)+COUNT('Diário 7º PA'!$A$5:$A$2271)+ROW()-4)</f>
        <v/>
      </c>
      <c r="B2109" s="494"/>
      <c r="C2109" s="507"/>
      <c r="D2109" s="495"/>
      <c r="E2109" s="495"/>
      <c r="F2109" s="496"/>
      <c r="G2109" s="506"/>
      <c r="H2109" s="495"/>
      <c r="I2109" s="581"/>
      <c r="J2109" s="495"/>
      <c r="K2109" s="516"/>
      <c r="L2109" s="581"/>
      <c r="M2109" s="493"/>
      <c r="N2109" s="493"/>
      <c r="O2109" s="498"/>
      <c r="P2109" s="503">
        <f t="shared" si="167"/>
        <v>0</v>
      </c>
      <c r="Q2109" s="503">
        <f t="shared" si="168"/>
        <v>0</v>
      </c>
      <c r="R2109" s="504" t="str">
        <f t="shared" si="169"/>
        <v/>
      </c>
      <c r="S2109" s="504" t="str">
        <f>IF(D2109="","",IF(OR(D2109=Plano!$A$1,D2109=Plano!$B$1),"entrada","saída"))</f>
        <v/>
      </c>
      <c r="T2109" s="505"/>
      <c r="U2109" s="505"/>
      <c r="V2109" s="541"/>
    </row>
    <row r="2110" spans="1:22" ht="12.75" customHeight="1" x14ac:dyDescent="0.2">
      <c r="A2110" s="493" t="str">
        <f>IF(B2110="","",COUNT('Diário 5º PA'!$A$5:$A$2634)+COUNT('Diário 6º PA'!$A$5:$A$2246)+COUNT('Diário 7º PA'!$A$5:$A$2271)+ROW()-4)</f>
        <v/>
      </c>
      <c r="B2110" s="494"/>
      <c r="C2110" s="507"/>
      <c r="D2110" s="495"/>
      <c r="E2110" s="495"/>
      <c r="F2110" s="496"/>
      <c r="G2110" s="506"/>
      <c r="H2110" s="495"/>
      <c r="I2110" s="581"/>
      <c r="J2110" s="495"/>
      <c r="K2110" s="516"/>
      <c r="L2110" s="581"/>
      <c r="M2110" s="493"/>
      <c r="N2110" s="493"/>
      <c r="O2110" s="498"/>
      <c r="P2110" s="503">
        <f t="shared" si="167"/>
        <v>0</v>
      </c>
      <c r="Q2110" s="503">
        <f t="shared" si="168"/>
        <v>0</v>
      </c>
      <c r="R2110" s="504" t="str">
        <f t="shared" si="169"/>
        <v/>
      </c>
      <c r="S2110" s="504" t="str">
        <f>IF(D2110="","",IF(OR(D2110=Plano!$A$1,D2110=Plano!$B$1),"entrada","saída"))</f>
        <v/>
      </c>
      <c r="T2110" s="505"/>
      <c r="U2110" s="505"/>
      <c r="V2110" s="541"/>
    </row>
    <row r="2111" spans="1:22" ht="12.75" customHeight="1" x14ac:dyDescent="0.2">
      <c r="A2111" s="493" t="str">
        <f>IF(B2111="","",COUNT('Diário 5º PA'!$A$5:$A$2634)+COUNT('Diário 6º PA'!$A$5:$A$2246)+COUNT('Diário 7º PA'!$A$5:$A$2271)+ROW()-4)</f>
        <v/>
      </c>
      <c r="B2111" s="494"/>
      <c r="C2111" s="507"/>
      <c r="D2111" s="495"/>
      <c r="E2111" s="495"/>
      <c r="F2111" s="496"/>
      <c r="G2111" s="506"/>
      <c r="H2111" s="495"/>
      <c r="I2111" s="581"/>
      <c r="J2111" s="495"/>
      <c r="K2111" s="516"/>
      <c r="L2111" s="581"/>
      <c r="M2111" s="493"/>
      <c r="N2111" s="493"/>
      <c r="O2111" s="498"/>
      <c r="P2111" s="503">
        <f t="shared" si="167"/>
        <v>0</v>
      </c>
      <c r="Q2111" s="503">
        <f t="shared" si="168"/>
        <v>0</v>
      </c>
      <c r="R2111" s="504" t="str">
        <f t="shared" si="169"/>
        <v/>
      </c>
      <c r="S2111" s="504" t="str">
        <f>IF(D2111="","",IF(OR(D2111=Plano!$A$1,D2111=Plano!$B$1),"entrada","saída"))</f>
        <v/>
      </c>
      <c r="T2111" s="505"/>
      <c r="U2111" s="505"/>
      <c r="V2111" s="541"/>
    </row>
    <row r="2112" spans="1:22" ht="12.75" customHeight="1" x14ac:dyDescent="0.2">
      <c r="A2112" s="493" t="str">
        <f>IF(B2112="","",COUNT('Diário 5º PA'!$A$5:$A$2634)+COUNT('Diário 6º PA'!$A$5:$A$2246)+COUNT('Diário 7º PA'!$A$5:$A$2271)+ROW()-4)</f>
        <v/>
      </c>
      <c r="B2112" s="494"/>
      <c r="C2112" s="507"/>
      <c r="D2112" s="495"/>
      <c r="E2112" s="495"/>
      <c r="F2112" s="496"/>
      <c r="G2112" s="506"/>
      <c r="H2112" s="495"/>
      <c r="I2112" s="581"/>
      <c r="J2112" s="495"/>
      <c r="K2112" s="516"/>
      <c r="L2112" s="581"/>
      <c r="M2112" s="493"/>
      <c r="N2112" s="493"/>
      <c r="O2112" s="498"/>
      <c r="P2112" s="503">
        <f t="shared" si="167"/>
        <v>0</v>
      </c>
      <c r="Q2112" s="503">
        <f t="shared" si="168"/>
        <v>0</v>
      </c>
      <c r="R2112" s="504" t="str">
        <f t="shared" si="169"/>
        <v/>
      </c>
      <c r="S2112" s="504" t="str">
        <f>IF(D2112="","",IF(OR(D2112=Plano!$A$1,D2112=Plano!$B$1),"entrada","saída"))</f>
        <v/>
      </c>
      <c r="T2112" s="505"/>
      <c r="U2112" s="505"/>
      <c r="V2112" s="541"/>
    </row>
    <row r="2113" spans="1:22" ht="12.75" customHeight="1" x14ac:dyDescent="0.2">
      <c r="A2113" s="493" t="str">
        <f>IF(B2113="","",COUNT('Diário 5º PA'!$A$5:$A$2634)+COUNT('Diário 6º PA'!$A$5:$A$2246)+COUNT('Diário 7º PA'!$A$5:$A$2271)+ROW()-4)</f>
        <v/>
      </c>
      <c r="B2113" s="494"/>
      <c r="C2113" s="507"/>
      <c r="D2113" s="495"/>
      <c r="E2113" s="495"/>
      <c r="F2113" s="496"/>
      <c r="G2113" s="506"/>
      <c r="H2113" s="495"/>
      <c r="I2113" s="581"/>
      <c r="J2113" s="495"/>
      <c r="K2113" s="516"/>
      <c r="L2113" s="581"/>
      <c r="M2113" s="493"/>
      <c r="N2113" s="493"/>
      <c r="O2113" s="498"/>
      <c r="P2113" s="503">
        <f t="shared" si="167"/>
        <v>0</v>
      </c>
      <c r="Q2113" s="503">
        <f t="shared" si="168"/>
        <v>0</v>
      </c>
      <c r="R2113" s="504" t="str">
        <f t="shared" si="169"/>
        <v/>
      </c>
      <c r="S2113" s="504" t="str">
        <f>IF(D2113="","",IF(OR(D2113=Plano!$A$1,D2113=Plano!$B$1),"entrada","saída"))</f>
        <v/>
      </c>
      <c r="T2113" s="505"/>
      <c r="U2113" s="505"/>
      <c r="V2113" s="541"/>
    </row>
    <row r="2114" spans="1:22" ht="12.75" customHeight="1" x14ac:dyDescent="0.2">
      <c r="A2114" s="493" t="str">
        <f>IF(B2114="","",COUNT('Diário 5º PA'!$A$5:$A$2634)+COUNT('Diário 6º PA'!$A$5:$A$2246)+COUNT('Diário 7º PA'!$A$5:$A$2271)+ROW()-4)</f>
        <v/>
      </c>
      <c r="B2114" s="494"/>
      <c r="C2114" s="507"/>
      <c r="D2114" s="495"/>
      <c r="E2114" s="495"/>
      <c r="F2114" s="496"/>
      <c r="G2114" s="506"/>
      <c r="H2114" s="495"/>
      <c r="I2114" s="581"/>
      <c r="J2114" s="495"/>
      <c r="K2114" s="516"/>
      <c r="L2114" s="581"/>
      <c r="M2114" s="493"/>
      <c r="N2114" s="493"/>
      <c r="O2114" s="498"/>
      <c r="P2114" s="503">
        <f t="shared" si="167"/>
        <v>0</v>
      </c>
      <c r="Q2114" s="503">
        <f t="shared" si="168"/>
        <v>0</v>
      </c>
      <c r="R2114" s="504" t="str">
        <f t="shared" si="169"/>
        <v/>
      </c>
      <c r="S2114" s="504" t="str">
        <f>IF(D2114="","",IF(OR(D2114=Plano!$A$1,D2114=Plano!$B$1),"entrada","saída"))</f>
        <v/>
      </c>
      <c r="T2114" s="505"/>
      <c r="U2114" s="505"/>
      <c r="V2114" s="541"/>
    </row>
    <row r="2115" spans="1:22" ht="12.75" customHeight="1" x14ac:dyDescent="0.2">
      <c r="A2115" s="493" t="str">
        <f>IF(B2115="","",COUNT('Diário 5º PA'!$A$5:$A$2634)+COUNT('Diário 6º PA'!$A$5:$A$2246)+COUNT('Diário 7º PA'!$A$5:$A$2271)+ROW()-4)</f>
        <v/>
      </c>
      <c r="B2115" s="494"/>
      <c r="C2115" s="507"/>
      <c r="D2115" s="495"/>
      <c r="E2115" s="495"/>
      <c r="F2115" s="496"/>
      <c r="G2115" s="506"/>
      <c r="H2115" s="495"/>
      <c r="I2115" s="581"/>
      <c r="J2115" s="495"/>
      <c r="K2115" s="516"/>
      <c r="L2115" s="581"/>
      <c r="M2115" s="493"/>
      <c r="N2115" s="493"/>
      <c r="O2115" s="498"/>
      <c r="P2115" s="503">
        <f t="shared" si="167"/>
        <v>0</v>
      </c>
      <c r="Q2115" s="503">
        <f t="shared" si="168"/>
        <v>0</v>
      </c>
      <c r="R2115" s="504" t="str">
        <f t="shared" si="169"/>
        <v/>
      </c>
      <c r="S2115" s="504" t="str">
        <f>IF(D2115="","",IF(OR(D2115=Plano!$A$1,D2115=Plano!$B$1),"entrada","saída"))</f>
        <v/>
      </c>
      <c r="T2115" s="505"/>
      <c r="U2115" s="505"/>
      <c r="V2115" s="541"/>
    </row>
    <row r="2116" spans="1:22" ht="12.75" customHeight="1" x14ac:dyDescent="0.2">
      <c r="A2116" s="493" t="str">
        <f>IF(B2116="","",COUNT('Diário 5º PA'!$A$5:$A$2634)+COUNT('Diário 6º PA'!$A$5:$A$2246)+COUNT('Diário 7º PA'!$A$5:$A$2271)+ROW()-4)</f>
        <v/>
      </c>
      <c r="B2116" s="494"/>
      <c r="C2116" s="507"/>
      <c r="D2116" s="495"/>
      <c r="E2116" s="495"/>
      <c r="F2116" s="496"/>
      <c r="G2116" s="506"/>
      <c r="H2116" s="495"/>
      <c r="I2116" s="581"/>
      <c r="J2116" s="495"/>
      <c r="K2116" s="516"/>
      <c r="L2116" s="581"/>
      <c r="M2116" s="493"/>
      <c r="N2116" s="493"/>
      <c r="O2116" s="498"/>
      <c r="P2116" s="503">
        <f t="shared" si="167"/>
        <v>0</v>
      </c>
      <c r="Q2116" s="503">
        <f t="shared" si="168"/>
        <v>0</v>
      </c>
      <c r="R2116" s="504" t="str">
        <f t="shared" si="169"/>
        <v/>
      </c>
      <c r="S2116" s="504" t="str">
        <f>IF(D2116="","",IF(OR(D2116=Plano!$A$1,D2116=Plano!$B$1),"entrada","saída"))</f>
        <v/>
      </c>
      <c r="T2116" s="505"/>
      <c r="U2116" s="505"/>
      <c r="V2116" s="541"/>
    </row>
    <row r="2117" spans="1:22" ht="12.75" customHeight="1" x14ac:dyDescent="0.2">
      <c r="A2117" s="493" t="str">
        <f>IF(B2117="","",COUNT('Diário 5º PA'!$A$5:$A$2634)+COUNT('Diário 6º PA'!$A$5:$A$2246)+COUNT('Diário 7º PA'!$A$5:$A$2271)+ROW()-4)</f>
        <v/>
      </c>
      <c r="B2117" s="494"/>
      <c r="C2117" s="507"/>
      <c r="D2117" s="495"/>
      <c r="E2117" s="495"/>
      <c r="F2117" s="496"/>
      <c r="G2117" s="506"/>
      <c r="H2117" s="495"/>
      <c r="I2117" s="581"/>
      <c r="J2117" s="495"/>
      <c r="K2117" s="516"/>
      <c r="L2117" s="581"/>
      <c r="M2117" s="493"/>
      <c r="N2117" s="493"/>
      <c r="O2117" s="498"/>
      <c r="P2117" s="503">
        <f t="shared" si="167"/>
        <v>0</v>
      </c>
      <c r="Q2117" s="503">
        <f t="shared" si="168"/>
        <v>0</v>
      </c>
      <c r="R2117" s="504" t="str">
        <f t="shared" si="169"/>
        <v/>
      </c>
      <c r="S2117" s="504" t="str">
        <f>IF(D2117="","",IF(OR(D2117=Plano!$A$1,D2117=Plano!$B$1),"entrada","saída"))</f>
        <v/>
      </c>
      <c r="T2117" s="505"/>
      <c r="U2117" s="505"/>
      <c r="V2117" s="541"/>
    </row>
    <row r="2118" spans="1:22" ht="12.75" customHeight="1" x14ac:dyDescent="0.2">
      <c r="A2118" s="493" t="str">
        <f>IF(B2118="","",COUNT('Diário 5º PA'!$A$5:$A$2634)+COUNT('Diário 6º PA'!$A$5:$A$2246)+COUNT('Diário 7º PA'!$A$5:$A$2271)+ROW()-4)</f>
        <v/>
      </c>
      <c r="B2118" s="494"/>
      <c r="C2118" s="507"/>
      <c r="D2118" s="495"/>
      <c r="E2118" s="495"/>
      <c r="F2118" s="496"/>
      <c r="G2118" s="506"/>
      <c r="H2118" s="495"/>
      <c r="I2118" s="581"/>
      <c r="J2118" s="495"/>
      <c r="K2118" s="516"/>
      <c r="L2118" s="581"/>
      <c r="M2118" s="493"/>
      <c r="N2118" s="493"/>
      <c r="O2118" s="498"/>
      <c r="P2118" s="503">
        <f t="shared" si="167"/>
        <v>0</v>
      </c>
      <c r="Q2118" s="503">
        <f t="shared" si="168"/>
        <v>0</v>
      </c>
      <c r="R2118" s="504" t="str">
        <f t="shared" si="169"/>
        <v/>
      </c>
      <c r="S2118" s="504" t="str">
        <f>IF(D2118="","",IF(OR(D2118=Plano!$A$1,D2118=Plano!$B$1),"entrada","saída"))</f>
        <v/>
      </c>
      <c r="T2118" s="505"/>
      <c r="U2118" s="505"/>
      <c r="V2118" s="541"/>
    </row>
    <row r="2119" spans="1:22" ht="12.75" customHeight="1" x14ac:dyDescent="0.2">
      <c r="A2119" s="493" t="str">
        <f>IF(B2119="","",COUNT('Diário 5º PA'!$A$5:$A$2634)+COUNT('Diário 6º PA'!$A$5:$A$2246)+COUNT('Diário 7º PA'!$A$5:$A$2271)+ROW()-4)</f>
        <v/>
      </c>
      <c r="B2119" s="494"/>
      <c r="C2119" s="507"/>
      <c r="D2119" s="495"/>
      <c r="E2119" s="495"/>
      <c r="F2119" s="496"/>
      <c r="G2119" s="506"/>
      <c r="H2119" s="495"/>
      <c r="I2119" s="581"/>
      <c r="J2119" s="495"/>
      <c r="K2119" s="516"/>
      <c r="L2119" s="581"/>
      <c r="M2119" s="493"/>
      <c r="N2119" s="493"/>
      <c r="O2119" s="498"/>
      <c r="P2119" s="503">
        <f t="shared" si="167"/>
        <v>0</v>
      </c>
      <c r="Q2119" s="503">
        <f t="shared" si="168"/>
        <v>0</v>
      </c>
      <c r="R2119" s="504" t="str">
        <f t="shared" si="169"/>
        <v/>
      </c>
      <c r="S2119" s="504" t="str">
        <f>IF(D2119="","",IF(OR(D2119=Plano!$A$1,D2119=Plano!$B$1),"entrada","saída"))</f>
        <v/>
      </c>
      <c r="T2119" s="505"/>
      <c r="U2119" s="505"/>
      <c r="V2119" s="541"/>
    </row>
    <row r="2120" spans="1:22" ht="12.75" customHeight="1" x14ac:dyDescent="0.2">
      <c r="A2120" s="493" t="str">
        <f>IF(B2120="","",COUNT('Diário 5º PA'!$A$5:$A$2634)+COUNT('Diário 6º PA'!$A$5:$A$2246)+COUNT('Diário 7º PA'!$A$5:$A$2271)+ROW()-4)</f>
        <v/>
      </c>
      <c r="B2120" s="494"/>
      <c r="C2120" s="507"/>
      <c r="D2120" s="495"/>
      <c r="E2120" s="495"/>
      <c r="F2120" s="496"/>
      <c r="G2120" s="506"/>
      <c r="H2120" s="495"/>
      <c r="I2120" s="581"/>
      <c r="J2120" s="495"/>
      <c r="K2120" s="516"/>
      <c r="L2120" s="581"/>
      <c r="M2120" s="493"/>
      <c r="N2120" s="493"/>
      <c r="O2120" s="498"/>
      <c r="P2120" s="503">
        <f t="shared" si="167"/>
        <v>0</v>
      </c>
      <c r="Q2120" s="503">
        <f t="shared" si="168"/>
        <v>0</v>
      </c>
      <c r="R2120" s="504" t="str">
        <f t="shared" si="169"/>
        <v/>
      </c>
      <c r="S2120" s="504" t="str">
        <f>IF(D2120="","",IF(OR(D2120=Plano!$A$1,D2120=Plano!$B$1),"entrada","saída"))</f>
        <v/>
      </c>
      <c r="T2120" s="505"/>
      <c r="U2120" s="505"/>
      <c r="V2120" s="541"/>
    </row>
    <row r="2121" spans="1:22" ht="12.75" customHeight="1" x14ac:dyDescent="0.2">
      <c r="A2121" s="493" t="str">
        <f>IF(B2121="","",COUNT('Diário 5º PA'!$A$5:$A$2634)+COUNT('Diário 6º PA'!$A$5:$A$2246)+COUNT('Diário 7º PA'!$A$5:$A$2271)+ROW()-4)</f>
        <v/>
      </c>
      <c r="B2121" s="494"/>
      <c r="C2121" s="507"/>
      <c r="D2121" s="495"/>
      <c r="E2121" s="495"/>
      <c r="F2121" s="496"/>
      <c r="G2121" s="506"/>
      <c r="H2121" s="495"/>
      <c r="I2121" s="581"/>
      <c r="J2121" s="495"/>
      <c r="K2121" s="516"/>
      <c r="L2121" s="581"/>
      <c r="M2121" s="493"/>
      <c r="N2121" s="493"/>
      <c r="O2121" s="498"/>
      <c r="P2121" s="503">
        <f t="shared" si="167"/>
        <v>0</v>
      </c>
      <c r="Q2121" s="503">
        <f t="shared" si="168"/>
        <v>0</v>
      </c>
      <c r="R2121" s="504" t="str">
        <f t="shared" si="169"/>
        <v/>
      </c>
      <c r="S2121" s="504" t="str">
        <f>IF(D2121="","",IF(OR(D2121=Plano!$A$1,D2121=Plano!$B$1),"entrada","saída"))</f>
        <v/>
      </c>
      <c r="T2121" s="505"/>
      <c r="U2121" s="505"/>
      <c r="V2121" s="541"/>
    </row>
    <row r="2122" spans="1:22" ht="12.75" customHeight="1" x14ac:dyDescent="0.2">
      <c r="A2122" s="493" t="str">
        <f>IF(B2122="","",COUNT('Diário 5º PA'!$A$5:$A$2634)+COUNT('Diário 6º PA'!$A$5:$A$2246)+COUNT('Diário 7º PA'!$A$5:$A$2271)+ROW()-4)</f>
        <v/>
      </c>
      <c r="B2122" s="494"/>
      <c r="C2122" s="507"/>
      <c r="D2122" s="495"/>
      <c r="E2122" s="495"/>
      <c r="F2122" s="496"/>
      <c r="G2122" s="506"/>
      <c r="H2122" s="495"/>
      <c r="I2122" s="581"/>
      <c r="J2122" s="495"/>
      <c r="K2122" s="516"/>
      <c r="L2122" s="581"/>
      <c r="M2122" s="493"/>
      <c r="N2122" s="493"/>
      <c r="O2122" s="498"/>
      <c r="P2122" s="503">
        <f t="shared" si="167"/>
        <v>0</v>
      </c>
      <c r="Q2122" s="503">
        <f t="shared" si="168"/>
        <v>0</v>
      </c>
      <c r="R2122" s="504" t="str">
        <f t="shared" si="169"/>
        <v/>
      </c>
      <c r="S2122" s="504" t="str">
        <f>IF(D2122="","",IF(OR(D2122=Plano!$A$1,D2122=Plano!$B$1),"entrada","saída"))</f>
        <v/>
      </c>
      <c r="T2122" s="505"/>
      <c r="U2122" s="505"/>
      <c r="V2122" s="541"/>
    </row>
    <row r="2123" spans="1:22" ht="12.75" customHeight="1" x14ac:dyDescent="0.2">
      <c r="A2123" s="493" t="str">
        <f>IF(B2123="","",COUNT('Diário 5º PA'!$A$5:$A$2634)+COUNT('Diário 6º PA'!$A$5:$A$2246)+COUNT('Diário 7º PA'!$A$5:$A$2271)+ROW()-4)</f>
        <v/>
      </c>
      <c r="B2123" s="494"/>
      <c r="C2123" s="507"/>
      <c r="D2123" s="495"/>
      <c r="E2123" s="495"/>
      <c r="F2123" s="496"/>
      <c r="G2123" s="506"/>
      <c r="H2123" s="495"/>
      <c r="I2123" s="581"/>
      <c r="J2123" s="495"/>
      <c r="K2123" s="516"/>
      <c r="L2123" s="581"/>
      <c r="M2123" s="493"/>
      <c r="N2123" s="493"/>
      <c r="O2123" s="498"/>
      <c r="P2123" s="503">
        <f t="shared" si="167"/>
        <v>0</v>
      </c>
      <c r="Q2123" s="503">
        <f t="shared" si="168"/>
        <v>0</v>
      </c>
      <c r="R2123" s="504" t="str">
        <f t="shared" si="169"/>
        <v/>
      </c>
      <c r="S2123" s="504" t="str">
        <f>IF(D2123="","",IF(OR(D2123=Plano!$A$1,D2123=Plano!$B$1),"entrada","saída"))</f>
        <v/>
      </c>
      <c r="T2123" s="505"/>
      <c r="U2123" s="505"/>
      <c r="V2123" s="541"/>
    </row>
    <row r="2124" spans="1:22" ht="12.75" customHeight="1" x14ac:dyDescent="0.2">
      <c r="A2124" s="493" t="str">
        <f>IF(B2124="","",COUNT('Diário 5º PA'!$A$5:$A$2634)+COUNT('Diário 6º PA'!$A$5:$A$2246)+COUNT('Diário 7º PA'!$A$5:$A$2271)+ROW()-4)</f>
        <v/>
      </c>
      <c r="B2124" s="494"/>
      <c r="C2124" s="507"/>
      <c r="D2124" s="495"/>
      <c r="E2124" s="495"/>
      <c r="F2124" s="496"/>
      <c r="G2124" s="506"/>
      <c r="H2124" s="495"/>
      <c r="I2124" s="581"/>
      <c r="J2124" s="495"/>
      <c r="K2124" s="516"/>
      <c r="L2124" s="581"/>
      <c r="M2124" s="493"/>
      <c r="N2124" s="493"/>
      <c r="O2124" s="498"/>
      <c r="P2124" s="503">
        <f t="shared" si="167"/>
        <v>0</v>
      </c>
      <c r="Q2124" s="503">
        <f t="shared" si="168"/>
        <v>0</v>
      </c>
      <c r="R2124" s="504" t="str">
        <f t="shared" si="169"/>
        <v/>
      </c>
      <c r="S2124" s="504" t="str">
        <f>IF(D2124="","",IF(OR(D2124=Plano!$A$1,D2124=Plano!$B$1),"entrada","saída"))</f>
        <v/>
      </c>
      <c r="T2124" s="505"/>
      <c r="U2124" s="505"/>
      <c r="V2124" s="541"/>
    </row>
    <row r="2125" spans="1:22" ht="12.75" customHeight="1" x14ac:dyDescent="0.2">
      <c r="A2125" s="493" t="str">
        <f>IF(B2125="","",COUNT('Diário 5º PA'!$A$5:$A$2634)+COUNT('Diário 6º PA'!$A$5:$A$2246)+COUNT('Diário 7º PA'!$A$5:$A$2271)+ROW()-4)</f>
        <v/>
      </c>
      <c r="B2125" s="494"/>
      <c r="C2125" s="507"/>
      <c r="D2125" s="495"/>
      <c r="E2125" s="495"/>
      <c r="F2125" s="496"/>
      <c r="G2125" s="506"/>
      <c r="H2125" s="495"/>
      <c r="I2125" s="581"/>
      <c r="J2125" s="495"/>
      <c r="K2125" s="516"/>
      <c r="L2125" s="581"/>
      <c r="M2125" s="493"/>
      <c r="N2125" s="493"/>
      <c r="O2125" s="498"/>
      <c r="P2125" s="503">
        <f t="shared" si="167"/>
        <v>0</v>
      </c>
      <c r="Q2125" s="503">
        <f t="shared" si="168"/>
        <v>0</v>
      </c>
      <c r="R2125" s="504" t="str">
        <f t="shared" si="169"/>
        <v/>
      </c>
      <c r="S2125" s="504" t="str">
        <f>IF(D2125="","",IF(OR(D2125=Plano!$A$1,D2125=Plano!$B$1),"entrada","saída"))</f>
        <v/>
      </c>
      <c r="T2125" s="505"/>
      <c r="U2125" s="505"/>
      <c r="V2125" s="541"/>
    </row>
    <row r="2126" spans="1:22" ht="12.75" customHeight="1" x14ac:dyDescent="0.2">
      <c r="A2126" s="493" t="str">
        <f>IF(B2126="","",COUNT('Diário 5º PA'!$A$5:$A$2634)+COUNT('Diário 6º PA'!$A$5:$A$2246)+COUNT('Diário 7º PA'!$A$5:$A$2271)+ROW()-4)</f>
        <v/>
      </c>
      <c r="B2126" s="494"/>
      <c r="C2126" s="507"/>
      <c r="D2126" s="495"/>
      <c r="E2126" s="495"/>
      <c r="F2126" s="496"/>
      <c r="G2126" s="495"/>
      <c r="H2126" s="495"/>
      <c r="I2126" s="581"/>
      <c r="J2126" s="495"/>
      <c r="K2126" s="516"/>
      <c r="L2126" s="581"/>
      <c r="M2126" s="493"/>
      <c r="N2126" s="493"/>
      <c r="O2126" s="498"/>
      <c r="P2126" s="503">
        <f t="shared" si="167"/>
        <v>0</v>
      </c>
      <c r="Q2126" s="503">
        <f t="shared" si="168"/>
        <v>0</v>
      </c>
      <c r="R2126" s="504" t="str">
        <f t="shared" si="169"/>
        <v/>
      </c>
      <c r="S2126" s="504" t="str">
        <f>IF(D2126="","",IF(OR(D2126=Plano!$A$1,D2126=Plano!$B$1),"entrada","saída"))</f>
        <v/>
      </c>
      <c r="T2126" s="505"/>
      <c r="U2126" s="505"/>
      <c r="V2126" s="541"/>
    </row>
    <row r="2127" spans="1:22" ht="12.75" customHeight="1" x14ac:dyDescent="0.2">
      <c r="A2127" s="493" t="str">
        <f>IF(B2127="","",COUNT('Diário 5º PA'!$A$5:$A$2634)+COUNT('Diário 6º PA'!$A$5:$A$2246)+COUNT('Diário 7º PA'!$A$5:$A$2271)+ROW()-4)</f>
        <v/>
      </c>
      <c r="B2127" s="494"/>
      <c r="C2127" s="507"/>
      <c r="D2127" s="495"/>
      <c r="E2127" s="495"/>
      <c r="F2127" s="496"/>
      <c r="G2127" s="495"/>
      <c r="H2127" s="495"/>
      <c r="I2127" s="581"/>
      <c r="J2127" s="495"/>
      <c r="K2127" s="516"/>
      <c r="L2127" s="581"/>
      <c r="M2127" s="493"/>
      <c r="N2127" s="493"/>
      <c r="O2127" s="498"/>
      <c r="P2127" s="503">
        <f t="shared" si="167"/>
        <v>0</v>
      </c>
      <c r="Q2127" s="503">
        <f t="shared" si="168"/>
        <v>0</v>
      </c>
      <c r="R2127" s="504" t="str">
        <f t="shared" si="169"/>
        <v/>
      </c>
      <c r="S2127" s="504" t="str">
        <f>IF(D2127="","",IF(OR(D2127=Plano!$A$1,D2127=Plano!$B$1),"entrada","saída"))</f>
        <v/>
      </c>
      <c r="T2127" s="505"/>
      <c r="U2127" s="505"/>
      <c r="V2127" s="541"/>
    </row>
    <row r="2128" spans="1:22" ht="12.75" customHeight="1" x14ac:dyDescent="0.2">
      <c r="A2128" s="493" t="str">
        <f>IF(B2128="","",COUNT('Diário 5º PA'!$A$5:$A$2634)+COUNT('Diário 6º PA'!$A$5:$A$2246)+COUNT('Diário 7º PA'!$A$5:$A$2271)+ROW()-4)</f>
        <v/>
      </c>
      <c r="B2128" s="494"/>
      <c r="C2128" s="507"/>
      <c r="D2128" s="495"/>
      <c r="E2128" s="495"/>
      <c r="F2128" s="496"/>
      <c r="G2128" s="495"/>
      <c r="H2128" s="495"/>
      <c r="I2128" s="581"/>
      <c r="J2128" s="495"/>
      <c r="K2128" s="516"/>
      <c r="L2128" s="581"/>
      <c r="M2128" s="493"/>
      <c r="N2128" s="493"/>
      <c r="O2128" s="498"/>
      <c r="P2128" s="503">
        <f t="shared" si="167"/>
        <v>0</v>
      </c>
      <c r="Q2128" s="503">
        <f t="shared" si="168"/>
        <v>0</v>
      </c>
      <c r="R2128" s="504" t="str">
        <f t="shared" si="169"/>
        <v/>
      </c>
      <c r="S2128" s="504" t="str">
        <f>IF(D2128="","",IF(OR(D2128=Plano!$A$1,D2128=Plano!$B$1),"entrada","saída"))</f>
        <v/>
      </c>
      <c r="T2128" s="505"/>
      <c r="U2128" s="505"/>
      <c r="V2128" s="541"/>
    </row>
    <row r="2129" spans="1:22" ht="12.75" customHeight="1" x14ac:dyDescent="0.2">
      <c r="A2129" s="493" t="str">
        <f>IF(B2129="","",COUNT('Diário 5º PA'!$A$5:$A$2634)+COUNT('Diário 6º PA'!$A$5:$A$2246)+COUNT('Diário 7º PA'!$A$5:$A$2271)+ROW()-4)</f>
        <v/>
      </c>
      <c r="B2129" s="494"/>
      <c r="C2129" s="507"/>
      <c r="D2129" s="495"/>
      <c r="E2129" s="495"/>
      <c r="F2129" s="496"/>
      <c r="G2129" s="495"/>
      <c r="H2129" s="495"/>
      <c r="I2129" s="581"/>
      <c r="J2129" s="495"/>
      <c r="K2129" s="516"/>
      <c r="L2129" s="581"/>
      <c r="M2129" s="493"/>
      <c r="N2129" s="493"/>
      <c r="O2129" s="498"/>
      <c r="P2129" s="503">
        <f t="shared" si="167"/>
        <v>0</v>
      </c>
      <c r="Q2129" s="503">
        <f t="shared" si="168"/>
        <v>0</v>
      </c>
      <c r="R2129" s="504" t="str">
        <f t="shared" si="169"/>
        <v/>
      </c>
      <c r="S2129" s="504" t="str">
        <f>IF(D2129="","",IF(OR(D2129=Plano!$A$1,D2129=Plano!$B$1),"entrada","saída"))</f>
        <v/>
      </c>
      <c r="T2129" s="505"/>
      <c r="U2129" s="505"/>
      <c r="V2129" s="541"/>
    </row>
    <row r="2130" spans="1:22" ht="12.75" customHeight="1" x14ac:dyDescent="0.2">
      <c r="A2130" s="493" t="str">
        <f>IF(B2130="","",COUNT('Diário 5º PA'!$A$5:$A$2634)+COUNT('Diário 6º PA'!$A$5:$A$2246)+COUNT('Diário 7º PA'!$A$5:$A$2271)+ROW()-4)</f>
        <v/>
      </c>
      <c r="B2130" s="494"/>
      <c r="C2130" s="507"/>
      <c r="D2130" s="495"/>
      <c r="E2130" s="495"/>
      <c r="F2130" s="496"/>
      <c r="G2130" s="495"/>
      <c r="H2130" s="495"/>
      <c r="I2130" s="581"/>
      <c r="J2130" s="495"/>
      <c r="K2130" s="516"/>
      <c r="L2130" s="581"/>
      <c r="M2130" s="493"/>
      <c r="N2130" s="493"/>
      <c r="O2130" s="498"/>
      <c r="P2130" s="503">
        <f t="shared" si="167"/>
        <v>0</v>
      </c>
      <c r="Q2130" s="503">
        <f t="shared" si="168"/>
        <v>0</v>
      </c>
      <c r="R2130" s="504" t="str">
        <f t="shared" si="169"/>
        <v/>
      </c>
      <c r="S2130" s="504" t="str">
        <f>IF(D2130="","",IF(OR(D2130=Plano!$A$1,D2130=Plano!$B$1),"entrada","saída"))</f>
        <v/>
      </c>
      <c r="T2130" s="505"/>
      <c r="U2130" s="505"/>
      <c r="V2130" s="541"/>
    </row>
    <row r="2131" spans="1:22" ht="12.75" customHeight="1" x14ac:dyDescent="0.2">
      <c r="A2131" s="493" t="str">
        <f>IF(B2131="","",COUNT('Diário 5º PA'!$A$5:$A$2634)+COUNT('Diário 6º PA'!$A$5:$A$2246)+COUNT('Diário 7º PA'!$A$5:$A$2271)+ROW()-4)</f>
        <v/>
      </c>
      <c r="B2131" s="494"/>
      <c r="C2131" s="507"/>
      <c r="D2131" s="495"/>
      <c r="E2131" s="495"/>
      <c r="F2131" s="496"/>
      <c r="G2131" s="495"/>
      <c r="H2131" s="495"/>
      <c r="I2131" s="581"/>
      <c r="J2131" s="495"/>
      <c r="K2131" s="516"/>
      <c r="L2131" s="581"/>
      <c r="M2131" s="493"/>
      <c r="N2131" s="493"/>
      <c r="O2131" s="498"/>
      <c r="P2131" s="503">
        <f t="shared" si="167"/>
        <v>0</v>
      </c>
      <c r="Q2131" s="503">
        <f t="shared" si="168"/>
        <v>0</v>
      </c>
      <c r="R2131" s="504" t="str">
        <f t="shared" si="169"/>
        <v/>
      </c>
      <c r="S2131" s="504" t="str">
        <f>IF(D2131="","",IF(OR(D2131=Plano!$A$1,D2131=Plano!$B$1),"entrada","saída"))</f>
        <v/>
      </c>
      <c r="T2131" s="505"/>
      <c r="U2131" s="505"/>
      <c r="V2131" s="541"/>
    </row>
    <row r="2132" spans="1:22" ht="12.75" customHeight="1" x14ac:dyDescent="0.2">
      <c r="A2132" s="493" t="str">
        <f>IF(B2132="","",COUNT('Diário 5º PA'!$A$5:$A$2634)+COUNT('Diário 6º PA'!$A$5:$A$2246)+COUNT('Diário 7º PA'!$A$5:$A$2271)+ROW()-4)</f>
        <v/>
      </c>
      <c r="B2132" s="494"/>
      <c r="C2132" s="507"/>
      <c r="D2132" s="495"/>
      <c r="E2132" s="495"/>
      <c r="F2132" s="496"/>
      <c r="G2132" s="495"/>
      <c r="H2132" s="495"/>
      <c r="I2132" s="581"/>
      <c r="J2132" s="495"/>
      <c r="K2132" s="516"/>
      <c r="L2132" s="581"/>
      <c r="M2132" s="493"/>
      <c r="N2132" s="493"/>
      <c r="O2132" s="498"/>
      <c r="P2132" s="503">
        <f t="shared" si="167"/>
        <v>0</v>
      </c>
      <c r="Q2132" s="503">
        <f t="shared" si="168"/>
        <v>0</v>
      </c>
      <c r="R2132" s="504" t="str">
        <f t="shared" si="169"/>
        <v/>
      </c>
      <c r="S2132" s="504" t="str">
        <f>IF(D2132="","",IF(OR(D2132=Plano!$A$1,D2132=Plano!$B$1),"entrada","saída"))</f>
        <v/>
      </c>
      <c r="T2132" s="505"/>
      <c r="U2132" s="505"/>
      <c r="V2132" s="541"/>
    </row>
    <row r="2133" spans="1:22" ht="12.75" customHeight="1" x14ac:dyDescent="0.2">
      <c r="A2133" s="493" t="str">
        <f>IF(B2133="","",COUNT('Diário 5º PA'!$A$5:$A$2634)+COUNT('Diário 6º PA'!$A$5:$A$2246)+COUNT('Diário 7º PA'!$A$5:$A$2271)+ROW()-4)</f>
        <v/>
      </c>
      <c r="B2133" s="494"/>
      <c r="C2133" s="507"/>
      <c r="D2133" s="495"/>
      <c r="E2133" s="495"/>
      <c r="F2133" s="496"/>
      <c r="G2133" s="495"/>
      <c r="H2133" s="495"/>
      <c r="I2133" s="581"/>
      <c r="J2133" s="495"/>
      <c r="K2133" s="516"/>
      <c r="L2133" s="581"/>
      <c r="M2133" s="493"/>
      <c r="N2133" s="493"/>
      <c r="O2133" s="498"/>
      <c r="P2133" s="503">
        <f t="shared" si="167"/>
        <v>0</v>
      </c>
      <c r="Q2133" s="503">
        <f t="shared" si="168"/>
        <v>0</v>
      </c>
      <c r="R2133" s="504" t="str">
        <f t="shared" si="169"/>
        <v/>
      </c>
      <c r="S2133" s="504" t="str">
        <f>IF(D2133="","",IF(OR(D2133=Plano!$A$1,D2133=Plano!$B$1),"entrada","saída"))</f>
        <v/>
      </c>
      <c r="T2133" s="505"/>
      <c r="U2133" s="505"/>
      <c r="V2133" s="541"/>
    </row>
    <row r="2134" spans="1:22" ht="12.75" customHeight="1" x14ac:dyDescent="0.2">
      <c r="A2134" s="493" t="str">
        <f>IF(B2134="","",COUNT('Diário 5º PA'!$A$5:$A$2634)+COUNT('Diário 6º PA'!$A$5:$A$2246)+COUNT('Diário 7º PA'!$A$5:$A$2271)+ROW()-4)</f>
        <v/>
      </c>
      <c r="B2134" s="494"/>
      <c r="C2134" s="507"/>
      <c r="D2134" s="495"/>
      <c r="E2134" s="495"/>
      <c r="F2134" s="496"/>
      <c r="G2134" s="495"/>
      <c r="H2134" s="495"/>
      <c r="I2134" s="581"/>
      <c r="J2134" s="495"/>
      <c r="K2134" s="516"/>
      <c r="L2134" s="581"/>
      <c r="M2134" s="493"/>
      <c r="N2134" s="493"/>
      <c r="O2134" s="498"/>
      <c r="P2134" s="503">
        <f t="shared" ref="P2134:P2197" si="170">IF(B2134=0,0,IF(YEAR(B2134)=$Q$1,MONTH(B2134)-$P$1+1,(YEAR(B2134)-$Q$1)*12-$P$1+1+MONTH(B2134)))</f>
        <v>0</v>
      </c>
      <c r="Q2134" s="503">
        <f t="shared" ref="Q2134:Q2197" si="171">IF(C2134=0,0,IF(YEAR(C2134)=$Q$1,MONTH(C2134)-$P$1+1,(YEAR(C2134)-$Q$1)*12-$P$1+1+MONTH(C2134)))</f>
        <v>0</v>
      </c>
      <c r="R2134" s="504" t="str">
        <f t="shared" ref="R2134:R2197" si="172">SUBSTITUTE(D2134," ","_")</f>
        <v/>
      </c>
      <c r="S2134" s="504" t="str">
        <f>IF(D2134="","",IF(OR(D2134=Plano!$A$1,D2134=Plano!$B$1),"entrada","saída"))</f>
        <v/>
      </c>
      <c r="T2134" s="505"/>
      <c r="U2134" s="505"/>
      <c r="V2134" s="541"/>
    </row>
    <row r="2135" spans="1:22" ht="12.75" customHeight="1" x14ac:dyDescent="0.2">
      <c r="A2135" s="493" t="str">
        <f>IF(B2135="","",COUNT('Diário 5º PA'!$A$5:$A$2634)+COUNT('Diário 6º PA'!$A$5:$A$2246)+COUNT('Diário 7º PA'!$A$5:$A$2271)+ROW()-4)</f>
        <v/>
      </c>
      <c r="B2135" s="494"/>
      <c r="C2135" s="507"/>
      <c r="D2135" s="495"/>
      <c r="E2135" s="495"/>
      <c r="F2135" s="496"/>
      <c r="G2135" s="495"/>
      <c r="H2135" s="495"/>
      <c r="I2135" s="581"/>
      <c r="J2135" s="495"/>
      <c r="K2135" s="516"/>
      <c r="L2135" s="581"/>
      <c r="M2135" s="493"/>
      <c r="N2135" s="493"/>
      <c r="O2135" s="498"/>
      <c r="P2135" s="503">
        <f t="shared" si="170"/>
        <v>0</v>
      </c>
      <c r="Q2135" s="503">
        <f t="shared" si="171"/>
        <v>0</v>
      </c>
      <c r="R2135" s="504" t="str">
        <f t="shared" si="172"/>
        <v/>
      </c>
      <c r="S2135" s="504" t="str">
        <f>IF(D2135="","",IF(OR(D2135=Plano!$A$1,D2135=Plano!$B$1),"entrada","saída"))</f>
        <v/>
      </c>
      <c r="T2135" s="505"/>
      <c r="U2135" s="505"/>
      <c r="V2135" s="541"/>
    </row>
    <row r="2136" spans="1:22" ht="12.75" customHeight="1" x14ac:dyDescent="0.2">
      <c r="A2136" s="493" t="str">
        <f>IF(B2136="","",COUNT('Diário 5º PA'!$A$5:$A$2634)+COUNT('Diário 6º PA'!$A$5:$A$2246)+COUNT('Diário 7º PA'!$A$5:$A$2271)+ROW()-4)</f>
        <v/>
      </c>
      <c r="B2136" s="494"/>
      <c r="C2136" s="507"/>
      <c r="D2136" s="495"/>
      <c r="E2136" s="495"/>
      <c r="F2136" s="496"/>
      <c r="G2136" s="495"/>
      <c r="H2136" s="495"/>
      <c r="I2136" s="581"/>
      <c r="J2136" s="495"/>
      <c r="K2136" s="516"/>
      <c r="L2136" s="581"/>
      <c r="M2136" s="493"/>
      <c r="N2136" s="493"/>
      <c r="O2136" s="498"/>
      <c r="P2136" s="503">
        <f t="shared" si="170"/>
        <v>0</v>
      </c>
      <c r="Q2136" s="503">
        <f t="shared" si="171"/>
        <v>0</v>
      </c>
      <c r="R2136" s="504" t="str">
        <f t="shared" si="172"/>
        <v/>
      </c>
      <c r="S2136" s="504" t="str">
        <f>IF(D2136="","",IF(OR(D2136=Plano!$A$1,D2136=Plano!$B$1),"entrada","saída"))</f>
        <v/>
      </c>
      <c r="T2136" s="505"/>
      <c r="U2136" s="505"/>
      <c r="V2136" s="541"/>
    </row>
    <row r="2137" spans="1:22" ht="12.75" customHeight="1" x14ac:dyDescent="0.2">
      <c r="A2137" s="493" t="str">
        <f>IF(B2137="","",COUNT('Diário 5º PA'!$A$5:$A$2634)+COUNT('Diário 6º PA'!$A$5:$A$2246)+COUNT('Diário 7º PA'!$A$5:$A$2271)+ROW()-4)</f>
        <v/>
      </c>
      <c r="B2137" s="494"/>
      <c r="C2137" s="507"/>
      <c r="D2137" s="495"/>
      <c r="E2137" s="495"/>
      <c r="F2137" s="496"/>
      <c r="G2137" s="495"/>
      <c r="H2137" s="495"/>
      <c r="I2137" s="581"/>
      <c r="J2137" s="495"/>
      <c r="K2137" s="516"/>
      <c r="L2137" s="581"/>
      <c r="M2137" s="493"/>
      <c r="N2137" s="493"/>
      <c r="O2137" s="498"/>
      <c r="P2137" s="503">
        <f t="shared" si="170"/>
        <v>0</v>
      </c>
      <c r="Q2137" s="503">
        <f t="shared" si="171"/>
        <v>0</v>
      </c>
      <c r="R2137" s="504" t="str">
        <f t="shared" si="172"/>
        <v/>
      </c>
      <c r="S2137" s="504" t="str">
        <f>IF(D2137="","",IF(OR(D2137=Plano!$A$1,D2137=Plano!$B$1),"entrada","saída"))</f>
        <v/>
      </c>
      <c r="T2137" s="505"/>
      <c r="U2137" s="505"/>
      <c r="V2137" s="541"/>
    </row>
    <row r="2138" spans="1:22" ht="12.75" customHeight="1" x14ac:dyDescent="0.2">
      <c r="A2138" s="493" t="str">
        <f>IF(B2138="","",COUNT('Diário 5º PA'!$A$5:$A$2634)+COUNT('Diário 6º PA'!$A$5:$A$2246)+COUNT('Diário 7º PA'!$A$5:$A$2271)+ROW()-4)</f>
        <v/>
      </c>
      <c r="B2138" s="494"/>
      <c r="C2138" s="507"/>
      <c r="D2138" s="495"/>
      <c r="E2138" s="495"/>
      <c r="F2138" s="496"/>
      <c r="G2138" s="495"/>
      <c r="H2138" s="495"/>
      <c r="I2138" s="581"/>
      <c r="J2138" s="495"/>
      <c r="K2138" s="516"/>
      <c r="L2138" s="581"/>
      <c r="M2138" s="493"/>
      <c r="N2138" s="493"/>
      <c r="O2138" s="498"/>
      <c r="P2138" s="503">
        <f t="shared" si="170"/>
        <v>0</v>
      </c>
      <c r="Q2138" s="503">
        <f t="shared" si="171"/>
        <v>0</v>
      </c>
      <c r="R2138" s="504" t="str">
        <f t="shared" si="172"/>
        <v/>
      </c>
      <c r="S2138" s="504" t="str">
        <f>IF(D2138="","",IF(OR(D2138=Plano!$A$1,D2138=Plano!$B$1),"entrada","saída"))</f>
        <v/>
      </c>
      <c r="T2138" s="505"/>
      <c r="U2138" s="505"/>
      <c r="V2138" s="541"/>
    </row>
    <row r="2139" spans="1:22" ht="12.75" customHeight="1" x14ac:dyDescent="0.2">
      <c r="A2139" s="493" t="str">
        <f>IF(B2139="","",COUNT('Diário 5º PA'!$A$5:$A$2634)+COUNT('Diário 6º PA'!$A$5:$A$2246)+COUNT('Diário 7º PA'!$A$5:$A$2271)+ROW()-4)</f>
        <v/>
      </c>
      <c r="B2139" s="494"/>
      <c r="C2139" s="507"/>
      <c r="D2139" s="495"/>
      <c r="E2139" s="495"/>
      <c r="F2139" s="496"/>
      <c r="G2139" s="495"/>
      <c r="H2139" s="495"/>
      <c r="I2139" s="581"/>
      <c r="J2139" s="495"/>
      <c r="K2139" s="516"/>
      <c r="L2139" s="581"/>
      <c r="M2139" s="493"/>
      <c r="N2139" s="493"/>
      <c r="O2139" s="498"/>
      <c r="P2139" s="503">
        <f t="shared" si="170"/>
        <v>0</v>
      </c>
      <c r="Q2139" s="503">
        <f t="shared" si="171"/>
        <v>0</v>
      </c>
      <c r="R2139" s="504" t="str">
        <f t="shared" si="172"/>
        <v/>
      </c>
      <c r="S2139" s="504" t="str">
        <f>IF(D2139="","",IF(OR(D2139=Plano!$A$1,D2139=Plano!$B$1),"entrada","saída"))</f>
        <v/>
      </c>
      <c r="T2139" s="505"/>
      <c r="U2139" s="505"/>
      <c r="V2139" s="541"/>
    </row>
    <row r="2140" spans="1:22" ht="12.75" customHeight="1" x14ac:dyDescent="0.2">
      <c r="A2140" s="493" t="str">
        <f>IF(B2140="","",COUNT('Diário 5º PA'!$A$5:$A$2634)+COUNT('Diário 6º PA'!$A$5:$A$2246)+COUNT('Diário 7º PA'!$A$5:$A$2271)+ROW()-4)</f>
        <v/>
      </c>
      <c r="B2140" s="494"/>
      <c r="C2140" s="507"/>
      <c r="D2140" s="495"/>
      <c r="E2140" s="495"/>
      <c r="F2140" s="496"/>
      <c r="G2140" s="495"/>
      <c r="H2140" s="495"/>
      <c r="I2140" s="581"/>
      <c r="J2140" s="495"/>
      <c r="K2140" s="516"/>
      <c r="L2140" s="581"/>
      <c r="M2140" s="493"/>
      <c r="N2140" s="493"/>
      <c r="O2140" s="498"/>
      <c r="P2140" s="503">
        <f t="shared" si="170"/>
        <v>0</v>
      </c>
      <c r="Q2140" s="503">
        <f t="shared" si="171"/>
        <v>0</v>
      </c>
      <c r="R2140" s="504" t="str">
        <f t="shared" si="172"/>
        <v/>
      </c>
      <c r="S2140" s="504" t="str">
        <f>IF(D2140="","",IF(OR(D2140=Plano!$A$1,D2140=Plano!$B$1),"entrada","saída"))</f>
        <v/>
      </c>
      <c r="T2140" s="505"/>
      <c r="U2140" s="505"/>
      <c r="V2140" s="541"/>
    </row>
    <row r="2141" spans="1:22" ht="12.75" customHeight="1" x14ac:dyDescent="0.2">
      <c r="A2141" s="493" t="str">
        <f>IF(B2141="","",COUNT('Diário 5º PA'!$A$5:$A$2634)+COUNT('Diário 6º PA'!$A$5:$A$2246)+COUNT('Diário 7º PA'!$A$5:$A$2271)+ROW()-4)</f>
        <v/>
      </c>
      <c r="B2141" s="494"/>
      <c r="C2141" s="507"/>
      <c r="D2141" s="495"/>
      <c r="E2141" s="495"/>
      <c r="F2141" s="496"/>
      <c r="G2141" s="495"/>
      <c r="H2141" s="495"/>
      <c r="I2141" s="581"/>
      <c r="J2141" s="495"/>
      <c r="K2141" s="516"/>
      <c r="L2141" s="581"/>
      <c r="M2141" s="493"/>
      <c r="N2141" s="493"/>
      <c r="O2141" s="498"/>
      <c r="P2141" s="503">
        <f t="shared" si="170"/>
        <v>0</v>
      </c>
      <c r="Q2141" s="503">
        <f t="shared" si="171"/>
        <v>0</v>
      </c>
      <c r="R2141" s="504" t="str">
        <f t="shared" si="172"/>
        <v/>
      </c>
      <c r="S2141" s="504" t="str">
        <f>IF(D2141="","",IF(OR(D2141=Plano!$A$1,D2141=Plano!$B$1),"entrada","saída"))</f>
        <v/>
      </c>
      <c r="T2141" s="505"/>
      <c r="U2141" s="505"/>
      <c r="V2141" s="541"/>
    </row>
    <row r="2142" spans="1:22" ht="12.75" customHeight="1" x14ac:dyDescent="0.2">
      <c r="A2142" s="493" t="str">
        <f>IF(B2142="","",COUNT('Diário 5º PA'!$A$5:$A$2634)+COUNT('Diário 6º PA'!$A$5:$A$2246)+COUNT('Diário 7º PA'!$A$5:$A$2271)+ROW()-4)</f>
        <v/>
      </c>
      <c r="B2142" s="494"/>
      <c r="C2142" s="507"/>
      <c r="D2142" s="495"/>
      <c r="E2142" s="495"/>
      <c r="F2142" s="496"/>
      <c r="G2142" s="495"/>
      <c r="H2142" s="495"/>
      <c r="I2142" s="581"/>
      <c r="J2142" s="495"/>
      <c r="K2142" s="516"/>
      <c r="L2142" s="581"/>
      <c r="M2142" s="493"/>
      <c r="N2142" s="493"/>
      <c r="O2142" s="498"/>
      <c r="P2142" s="503">
        <f t="shared" si="170"/>
        <v>0</v>
      </c>
      <c r="Q2142" s="503">
        <f t="shared" si="171"/>
        <v>0</v>
      </c>
      <c r="R2142" s="504" t="str">
        <f t="shared" si="172"/>
        <v/>
      </c>
      <c r="S2142" s="504" t="str">
        <f>IF(D2142="","",IF(OR(D2142=Plano!$A$1,D2142=Plano!$B$1),"entrada","saída"))</f>
        <v/>
      </c>
      <c r="T2142" s="505"/>
      <c r="U2142" s="505"/>
      <c r="V2142" s="541"/>
    </row>
    <row r="2143" spans="1:22" ht="12.75" customHeight="1" x14ac:dyDescent="0.2">
      <c r="A2143" s="493" t="str">
        <f>IF(B2143="","",COUNT('Diário 5º PA'!$A$5:$A$2634)+COUNT('Diário 6º PA'!$A$5:$A$2246)+COUNT('Diário 7º PA'!$A$5:$A$2271)+ROW()-4)</f>
        <v/>
      </c>
      <c r="B2143" s="494"/>
      <c r="C2143" s="507"/>
      <c r="D2143" s="495"/>
      <c r="E2143" s="495"/>
      <c r="F2143" s="496"/>
      <c r="G2143" s="495"/>
      <c r="H2143" s="495"/>
      <c r="I2143" s="581"/>
      <c r="J2143" s="495"/>
      <c r="K2143" s="516"/>
      <c r="L2143" s="581"/>
      <c r="M2143" s="493"/>
      <c r="N2143" s="493"/>
      <c r="O2143" s="498"/>
      <c r="P2143" s="503">
        <f t="shared" si="170"/>
        <v>0</v>
      </c>
      <c r="Q2143" s="503">
        <f t="shared" si="171"/>
        <v>0</v>
      </c>
      <c r="R2143" s="504" t="str">
        <f t="shared" si="172"/>
        <v/>
      </c>
      <c r="S2143" s="504" t="str">
        <f>IF(D2143="","",IF(OR(D2143=Plano!$A$1,D2143=Plano!$B$1),"entrada","saída"))</f>
        <v/>
      </c>
      <c r="T2143" s="505"/>
      <c r="U2143" s="505"/>
      <c r="V2143" s="541"/>
    </row>
    <row r="2144" spans="1:22" ht="12.75" customHeight="1" x14ac:dyDescent="0.2">
      <c r="A2144" s="493" t="str">
        <f>IF(B2144="","",COUNT('Diário 5º PA'!$A$5:$A$2634)+COUNT('Diário 6º PA'!$A$5:$A$2246)+COUNT('Diário 7º PA'!$A$5:$A$2271)+ROW()-4)</f>
        <v/>
      </c>
      <c r="B2144" s="494"/>
      <c r="C2144" s="507"/>
      <c r="D2144" s="495"/>
      <c r="E2144" s="495"/>
      <c r="F2144" s="496"/>
      <c r="G2144" s="495"/>
      <c r="H2144" s="495"/>
      <c r="I2144" s="581"/>
      <c r="J2144" s="495"/>
      <c r="K2144" s="516"/>
      <c r="L2144" s="581"/>
      <c r="M2144" s="493"/>
      <c r="N2144" s="493"/>
      <c r="O2144" s="498"/>
      <c r="P2144" s="503">
        <f t="shared" si="170"/>
        <v>0</v>
      </c>
      <c r="Q2144" s="503">
        <f t="shared" si="171"/>
        <v>0</v>
      </c>
      <c r="R2144" s="504" t="str">
        <f t="shared" si="172"/>
        <v/>
      </c>
      <c r="S2144" s="504" t="str">
        <f>IF(D2144="","",IF(OR(D2144=Plano!$A$1,D2144=Plano!$B$1),"entrada","saída"))</f>
        <v/>
      </c>
      <c r="T2144" s="505"/>
      <c r="U2144" s="505"/>
      <c r="V2144" s="541"/>
    </row>
    <row r="2145" spans="1:22" ht="12.75" customHeight="1" x14ac:dyDescent="0.2">
      <c r="A2145" s="493" t="str">
        <f>IF(B2145="","",COUNT('Diário 5º PA'!$A$5:$A$2634)+COUNT('Diário 6º PA'!$A$5:$A$2246)+COUNT('Diário 7º PA'!$A$5:$A$2271)+ROW()-4)</f>
        <v/>
      </c>
      <c r="B2145" s="494"/>
      <c r="C2145" s="507"/>
      <c r="D2145" s="495"/>
      <c r="E2145" s="495"/>
      <c r="F2145" s="496"/>
      <c r="G2145" s="495"/>
      <c r="H2145" s="495"/>
      <c r="I2145" s="581"/>
      <c r="J2145" s="495"/>
      <c r="K2145" s="516"/>
      <c r="L2145" s="581"/>
      <c r="M2145" s="493"/>
      <c r="N2145" s="493"/>
      <c r="O2145" s="498"/>
      <c r="P2145" s="503">
        <f t="shared" si="170"/>
        <v>0</v>
      </c>
      <c r="Q2145" s="503">
        <f t="shared" si="171"/>
        <v>0</v>
      </c>
      <c r="R2145" s="504" t="str">
        <f t="shared" si="172"/>
        <v/>
      </c>
      <c r="S2145" s="504" t="str">
        <f>IF(D2145="","",IF(OR(D2145=Plano!$A$1,D2145=Plano!$B$1),"entrada","saída"))</f>
        <v/>
      </c>
      <c r="T2145" s="505"/>
      <c r="U2145" s="505"/>
      <c r="V2145" s="541"/>
    </row>
    <row r="2146" spans="1:22" ht="12.75" customHeight="1" x14ac:dyDescent="0.2">
      <c r="A2146" s="493" t="str">
        <f>IF(B2146="","",COUNT('Diário 5º PA'!$A$5:$A$2634)+COUNT('Diário 6º PA'!$A$5:$A$2246)+COUNT('Diário 7º PA'!$A$5:$A$2271)+ROW()-4)</f>
        <v/>
      </c>
      <c r="B2146" s="494"/>
      <c r="C2146" s="507"/>
      <c r="D2146" s="495"/>
      <c r="E2146" s="495"/>
      <c r="F2146" s="496"/>
      <c r="G2146" s="495"/>
      <c r="H2146" s="495"/>
      <c r="I2146" s="581"/>
      <c r="J2146" s="495"/>
      <c r="K2146" s="516"/>
      <c r="L2146" s="581"/>
      <c r="M2146" s="493"/>
      <c r="N2146" s="493"/>
      <c r="O2146" s="498"/>
      <c r="P2146" s="503">
        <f t="shared" si="170"/>
        <v>0</v>
      </c>
      <c r="Q2146" s="503">
        <f t="shared" si="171"/>
        <v>0</v>
      </c>
      <c r="R2146" s="504" t="str">
        <f t="shared" si="172"/>
        <v/>
      </c>
      <c r="S2146" s="504" t="str">
        <f>IF(D2146="","",IF(OR(D2146=Plano!$A$1,D2146=Plano!$B$1),"entrada","saída"))</f>
        <v/>
      </c>
      <c r="T2146" s="505"/>
      <c r="U2146" s="505"/>
      <c r="V2146" s="541"/>
    </row>
    <row r="2147" spans="1:22" ht="12.75" customHeight="1" x14ac:dyDescent="0.2">
      <c r="A2147" s="493" t="str">
        <f>IF(B2147="","",COUNT('Diário 5º PA'!$A$5:$A$2634)+COUNT('Diário 6º PA'!$A$5:$A$2246)+COUNT('Diário 7º PA'!$A$5:$A$2271)+ROW()-4)</f>
        <v/>
      </c>
      <c r="B2147" s="494"/>
      <c r="C2147" s="507"/>
      <c r="D2147" s="495"/>
      <c r="E2147" s="495"/>
      <c r="F2147" s="496"/>
      <c r="G2147" s="495"/>
      <c r="H2147" s="495"/>
      <c r="I2147" s="581"/>
      <c r="J2147" s="495"/>
      <c r="K2147" s="516"/>
      <c r="L2147" s="581"/>
      <c r="M2147" s="493"/>
      <c r="N2147" s="493"/>
      <c r="O2147" s="498"/>
      <c r="P2147" s="503">
        <f t="shared" si="170"/>
        <v>0</v>
      </c>
      <c r="Q2147" s="503">
        <f t="shared" si="171"/>
        <v>0</v>
      </c>
      <c r="R2147" s="504" t="str">
        <f t="shared" si="172"/>
        <v/>
      </c>
      <c r="S2147" s="504" t="str">
        <f>IF(D2147="","",IF(OR(D2147=Plano!$A$1,D2147=Plano!$B$1),"entrada","saída"))</f>
        <v/>
      </c>
      <c r="T2147" s="505"/>
      <c r="U2147" s="505"/>
      <c r="V2147" s="541"/>
    </row>
    <row r="2148" spans="1:22" ht="12.75" customHeight="1" x14ac:dyDescent="0.2">
      <c r="A2148" s="493" t="str">
        <f>IF(B2148="","",COUNT('Diário 5º PA'!$A$5:$A$2634)+COUNT('Diário 6º PA'!$A$5:$A$2246)+COUNT('Diário 7º PA'!$A$5:$A$2271)+ROW()-4)</f>
        <v/>
      </c>
      <c r="B2148" s="494"/>
      <c r="C2148" s="507"/>
      <c r="D2148" s="495"/>
      <c r="E2148" s="495"/>
      <c r="F2148" s="496"/>
      <c r="G2148" s="495"/>
      <c r="H2148" s="495"/>
      <c r="I2148" s="581"/>
      <c r="J2148" s="495"/>
      <c r="K2148" s="516"/>
      <c r="L2148" s="581"/>
      <c r="M2148" s="493"/>
      <c r="N2148" s="493"/>
      <c r="O2148" s="498"/>
      <c r="P2148" s="503">
        <f t="shared" si="170"/>
        <v>0</v>
      </c>
      <c r="Q2148" s="503">
        <f t="shared" si="171"/>
        <v>0</v>
      </c>
      <c r="R2148" s="504" t="str">
        <f t="shared" si="172"/>
        <v/>
      </c>
      <c r="S2148" s="504" t="str">
        <f>IF(D2148="","",IF(OR(D2148=Plano!$A$1,D2148=Plano!$B$1),"entrada","saída"))</f>
        <v/>
      </c>
      <c r="T2148" s="505"/>
      <c r="U2148" s="505"/>
      <c r="V2148" s="541"/>
    </row>
    <row r="2149" spans="1:22" ht="12.75" customHeight="1" x14ac:dyDescent="0.2">
      <c r="A2149" s="493" t="str">
        <f>IF(B2149="","",COUNT('Diário 5º PA'!$A$5:$A$2634)+COUNT('Diário 6º PA'!$A$5:$A$2246)+COUNT('Diário 7º PA'!$A$5:$A$2271)+ROW()-4)</f>
        <v/>
      </c>
      <c r="B2149" s="494"/>
      <c r="C2149" s="507"/>
      <c r="D2149" s="495"/>
      <c r="E2149" s="495"/>
      <c r="F2149" s="496"/>
      <c r="G2149" s="495"/>
      <c r="H2149" s="495"/>
      <c r="I2149" s="581"/>
      <c r="J2149" s="495"/>
      <c r="K2149" s="516"/>
      <c r="L2149" s="581"/>
      <c r="M2149" s="493"/>
      <c r="N2149" s="493"/>
      <c r="O2149" s="498"/>
      <c r="P2149" s="503">
        <f t="shared" si="170"/>
        <v>0</v>
      </c>
      <c r="Q2149" s="503">
        <f t="shared" si="171"/>
        <v>0</v>
      </c>
      <c r="R2149" s="504" t="str">
        <f t="shared" si="172"/>
        <v/>
      </c>
      <c r="S2149" s="504" t="str">
        <f>IF(D2149="","",IF(OR(D2149=Plano!$A$1,D2149=Plano!$B$1),"entrada","saída"))</f>
        <v/>
      </c>
      <c r="T2149" s="505"/>
      <c r="U2149" s="505"/>
      <c r="V2149" s="541"/>
    </row>
    <row r="2150" spans="1:22" ht="12.75" customHeight="1" x14ac:dyDescent="0.2">
      <c r="A2150" s="493" t="str">
        <f>IF(B2150="","",COUNT('Diário 5º PA'!$A$5:$A$2634)+COUNT('Diário 6º PA'!$A$5:$A$2246)+COUNT('Diário 7º PA'!$A$5:$A$2271)+ROW()-4)</f>
        <v/>
      </c>
      <c r="B2150" s="494"/>
      <c r="C2150" s="507"/>
      <c r="D2150" s="495"/>
      <c r="E2150" s="495"/>
      <c r="F2150" s="496"/>
      <c r="G2150" s="495"/>
      <c r="H2150" s="495"/>
      <c r="I2150" s="581"/>
      <c r="J2150" s="495"/>
      <c r="K2150" s="516"/>
      <c r="L2150" s="581"/>
      <c r="M2150" s="493"/>
      <c r="N2150" s="493"/>
      <c r="O2150" s="498"/>
      <c r="P2150" s="503">
        <f t="shared" si="170"/>
        <v>0</v>
      </c>
      <c r="Q2150" s="503">
        <f t="shared" si="171"/>
        <v>0</v>
      </c>
      <c r="R2150" s="504" t="str">
        <f t="shared" si="172"/>
        <v/>
      </c>
      <c r="S2150" s="504" t="str">
        <f>IF(D2150="","",IF(OR(D2150=Plano!$A$1,D2150=Plano!$B$1),"entrada","saída"))</f>
        <v/>
      </c>
      <c r="T2150" s="505"/>
      <c r="U2150" s="505"/>
      <c r="V2150" s="541"/>
    </row>
    <row r="2151" spans="1:22" ht="12.75" customHeight="1" x14ac:dyDescent="0.2">
      <c r="A2151" s="493" t="str">
        <f>IF(B2151="","",COUNT('Diário 5º PA'!$A$5:$A$2634)+COUNT('Diário 6º PA'!$A$5:$A$2246)+COUNT('Diário 7º PA'!$A$5:$A$2271)+ROW()-4)</f>
        <v/>
      </c>
      <c r="B2151" s="494"/>
      <c r="C2151" s="507"/>
      <c r="D2151" s="495"/>
      <c r="E2151" s="495"/>
      <c r="F2151" s="496"/>
      <c r="G2151" s="495"/>
      <c r="H2151" s="495"/>
      <c r="I2151" s="581"/>
      <c r="J2151" s="495"/>
      <c r="K2151" s="516"/>
      <c r="L2151" s="581"/>
      <c r="M2151" s="493"/>
      <c r="N2151" s="493"/>
      <c r="O2151" s="498"/>
      <c r="P2151" s="503">
        <f t="shared" si="170"/>
        <v>0</v>
      </c>
      <c r="Q2151" s="503">
        <f t="shared" si="171"/>
        <v>0</v>
      </c>
      <c r="R2151" s="504" t="str">
        <f t="shared" si="172"/>
        <v/>
      </c>
      <c r="S2151" s="504" t="str">
        <f>IF(D2151="","",IF(OR(D2151=Plano!$A$1,D2151=Plano!$B$1),"entrada","saída"))</f>
        <v/>
      </c>
      <c r="T2151" s="505"/>
      <c r="U2151" s="505"/>
      <c r="V2151" s="541"/>
    </row>
    <row r="2152" spans="1:22" ht="12.75" customHeight="1" x14ac:dyDescent="0.2">
      <c r="A2152" s="493" t="str">
        <f>IF(B2152="","",COUNT('Diário 5º PA'!$A$5:$A$2634)+COUNT('Diário 6º PA'!$A$5:$A$2246)+COUNT('Diário 7º PA'!$A$5:$A$2271)+ROW()-4)</f>
        <v/>
      </c>
      <c r="B2152" s="494"/>
      <c r="C2152" s="507"/>
      <c r="D2152" s="495"/>
      <c r="E2152" s="495"/>
      <c r="F2152" s="496"/>
      <c r="G2152" s="495"/>
      <c r="H2152" s="495"/>
      <c r="I2152" s="581"/>
      <c r="J2152" s="495"/>
      <c r="K2152" s="516"/>
      <c r="L2152" s="581"/>
      <c r="M2152" s="493"/>
      <c r="N2152" s="493"/>
      <c r="O2152" s="498"/>
      <c r="P2152" s="503">
        <f t="shared" si="170"/>
        <v>0</v>
      </c>
      <c r="Q2152" s="503">
        <f t="shared" si="171"/>
        <v>0</v>
      </c>
      <c r="R2152" s="504" t="str">
        <f t="shared" si="172"/>
        <v/>
      </c>
      <c r="S2152" s="504" t="str">
        <f>IF(D2152="","",IF(OR(D2152=Plano!$A$1,D2152=Plano!$B$1),"entrada","saída"))</f>
        <v/>
      </c>
      <c r="T2152" s="505"/>
      <c r="U2152" s="505"/>
      <c r="V2152" s="541"/>
    </row>
    <row r="2153" spans="1:22" ht="12.75" customHeight="1" x14ac:dyDescent="0.2">
      <c r="A2153" s="493" t="str">
        <f>IF(B2153="","",COUNT('Diário 5º PA'!$A$5:$A$2634)+COUNT('Diário 6º PA'!$A$5:$A$2246)+COUNT('Diário 7º PA'!$A$5:$A$2271)+ROW()-4)</f>
        <v/>
      </c>
      <c r="B2153" s="494"/>
      <c r="C2153" s="507"/>
      <c r="D2153" s="495"/>
      <c r="E2153" s="495"/>
      <c r="F2153" s="496"/>
      <c r="G2153" s="495"/>
      <c r="H2153" s="495"/>
      <c r="I2153" s="581"/>
      <c r="J2153" s="495"/>
      <c r="K2153" s="516"/>
      <c r="L2153" s="581"/>
      <c r="M2153" s="493"/>
      <c r="N2153" s="493"/>
      <c r="O2153" s="498"/>
      <c r="P2153" s="503">
        <f t="shared" si="170"/>
        <v>0</v>
      </c>
      <c r="Q2153" s="503">
        <f t="shared" si="171"/>
        <v>0</v>
      </c>
      <c r="R2153" s="504" t="str">
        <f t="shared" si="172"/>
        <v/>
      </c>
      <c r="S2153" s="504" t="str">
        <f>IF(D2153="","",IF(OR(D2153=Plano!$A$1,D2153=Plano!$B$1),"entrada","saída"))</f>
        <v/>
      </c>
      <c r="T2153" s="505"/>
      <c r="U2153" s="505"/>
      <c r="V2153" s="541"/>
    </row>
    <row r="2154" spans="1:22" ht="12.75" customHeight="1" x14ac:dyDescent="0.2">
      <c r="A2154" s="493" t="str">
        <f>IF(B2154="","",COUNT('Diário 5º PA'!$A$5:$A$2634)+COUNT('Diário 6º PA'!$A$5:$A$2246)+COUNT('Diário 7º PA'!$A$5:$A$2271)+ROW()-4)</f>
        <v/>
      </c>
      <c r="B2154" s="494"/>
      <c r="C2154" s="507"/>
      <c r="D2154" s="495"/>
      <c r="E2154" s="495"/>
      <c r="F2154" s="496"/>
      <c r="G2154" s="495"/>
      <c r="H2154" s="495"/>
      <c r="I2154" s="581"/>
      <c r="J2154" s="495"/>
      <c r="K2154" s="516"/>
      <c r="L2154" s="581"/>
      <c r="M2154" s="493"/>
      <c r="N2154" s="493"/>
      <c r="O2154" s="498"/>
      <c r="P2154" s="503">
        <f t="shared" si="170"/>
        <v>0</v>
      </c>
      <c r="Q2154" s="503">
        <f t="shared" si="171"/>
        <v>0</v>
      </c>
      <c r="R2154" s="504" t="str">
        <f t="shared" si="172"/>
        <v/>
      </c>
      <c r="S2154" s="504" t="str">
        <f>IF(D2154="","",IF(OR(D2154=Plano!$A$1,D2154=Plano!$B$1),"entrada","saída"))</f>
        <v/>
      </c>
      <c r="T2154" s="505"/>
      <c r="U2154" s="505"/>
      <c r="V2154" s="541"/>
    </row>
    <row r="2155" spans="1:22" ht="12.75" customHeight="1" x14ac:dyDescent="0.2">
      <c r="A2155" s="493" t="str">
        <f>IF(B2155="","",COUNT('Diário 5º PA'!$A$5:$A$2634)+COUNT('Diário 6º PA'!$A$5:$A$2246)+COUNT('Diário 7º PA'!$A$5:$A$2271)+ROW()-4)</f>
        <v/>
      </c>
      <c r="B2155" s="494"/>
      <c r="C2155" s="507"/>
      <c r="D2155" s="495"/>
      <c r="E2155" s="495"/>
      <c r="F2155" s="496"/>
      <c r="G2155" s="495"/>
      <c r="H2155" s="495"/>
      <c r="I2155" s="581"/>
      <c r="J2155" s="495"/>
      <c r="K2155" s="516"/>
      <c r="L2155" s="581"/>
      <c r="M2155" s="493"/>
      <c r="N2155" s="493"/>
      <c r="O2155" s="498"/>
      <c r="P2155" s="503">
        <f t="shared" si="170"/>
        <v>0</v>
      </c>
      <c r="Q2155" s="503">
        <f t="shared" si="171"/>
        <v>0</v>
      </c>
      <c r="R2155" s="504" t="str">
        <f t="shared" si="172"/>
        <v/>
      </c>
      <c r="S2155" s="504" t="str">
        <f>IF(D2155="","",IF(OR(D2155=Plano!$A$1,D2155=Plano!$B$1),"entrada","saída"))</f>
        <v/>
      </c>
      <c r="T2155" s="505"/>
      <c r="U2155" s="505"/>
      <c r="V2155" s="541"/>
    </row>
    <row r="2156" spans="1:22" ht="12.75" customHeight="1" x14ac:dyDescent="0.2">
      <c r="A2156" s="493" t="str">
        <f>IF(B2156="","",COUNT('Diário 5º PA'!$A$5:$A$2634)+COUNT('Diário 6º PA'!$A$5:$A$2246)+COUNT('Diário 7º PA'!$A$5:$A$2271)+ROW()-4)</f>
        <v/>
      </c>
      <c r="B2156" s="494"/>
      <c r="C2156" s="507"/>
      <c r="D2156" s="495"/>
      <c r="E2156" s="495"/>
      <c r="F2156" s="496"/>
      <c r="G2156" s="495"/>
      <c r="H2156" s="495"/>
      <c r="I2156" s="581"/>
      <c r="J2156" s="495"/>
      <c r="K2156" s="516"/>
      <c r="L2156" s="581"/>
      <c r="M2156" s="493"/>
      <c r="N2156" s="493"/>
      <c r="O2156" s="498"/>
      <c r="P2156" s="503">
        <f t="shared" si="170"/>
        <v>0</v>
      </c>
      <c r="Q2156" s="503">
        <f t="shared" si="171"/>
        <v>0</v>
      </c>
      <c r="R2156" s="504" t="str">
        <f t="shared" si="172"/>
        <v/>
      </c>
      <c r="S2156" s="504" t="str">
        <f>IF(D2156="","",IF(OR(D2156=Plano!$A$1,D2156=Plano!$B$1),"entrada","saída"))</f>
        <v/>
      </c>
      <c r="T2156" s="505"/>
      <c r="U2156" s="505"/>
      <c r="V2156" s="541"/>
    </row>
    <row r="2157" spans="1:22" ht="12.75" customHeight="1" x14ac:dyDescent="0.2">
      <c r="A2157" s="493" t="str">
        <f>IF(B2157="","",COUNT('Diário 5º PA'!$A$5:$A$2634)+COUNT('Diário 6º PA'!$A$5:$A$2246)+COUNT('Diário 7º PA'!$A$5:$A$2271)+ROW()-4)</f>
        <v/>
      </c>
      <c r="B2157" s="494"/>
      <c r="C2157" s="507"/>
      <c r="D2157" s="495"/>
      <c r="E2157" s="495"/>
      <c r="F2157" s="496"/>
      <c r="G2157" s="495"/>
      <c r="H2157" s="495"/>
      <c r="I2157" s="581"/>
      <c r="J2157" s="495"/>
      <c r="K2157" s="516"/>
      <c r="L2157" s="581"/>
      <c r="M2157" s="493"/>
      <c r="N2157" s="493"/>
      <c r="O2157" s="498"/>
      <c r="P2157" s="503">
        <f t="shared" si="170"/>
        <v>0</v>
      </c>
      <c r="Q2157" s="503">
        <f t="shared" si="171"/>
        <v>0</v>
      </c>
      <c r="R2157" s="504" t="str">
        <f t="shared" si="172"/>
        <v/>
      </c>
      <c r="S2157" s="504" t="str">
        <f>IF(D2157="","",IF(OR(D2157=Plano!$A$1,D2157=Plano!$B$1),"entrada","saída"))</f>
        <v/>
      </c>
      <c r="T2157" s="505"/>
      <c r="U2157" s="505"/>
      <c r="V2157" s="541"/>
    </row>
    <row r="2158" spans="1:22" ht="12.75" customHeight="1" x14ac:dyDescent="0.2">
      <c r="A2158" s="493" t="str">
        <f>IF(B2158="","",COUNT('Diário 5º PA'!$A$5:$A$2634)+COUNT('Diário 6º PA'!$A$5:$A$2246)+COUNT('Diário 7º PA'!$A$5:$A$2271)+ROW()-4)</f>
        <v/>
      </c>
      <c r="B2158" s="494"/>
      <c r="C2158" s="507"/>
      <c r="D2158" s="495"/>
      <c r="E2158" s="495"/>
      <c r="F2158" s="496"/>
      <c r="G2158" s="495"/>
      <c r="H2158" s="495"/>
      <c r="I2158" s="581"/>
      <c r="J2158" s="495"/>
      <c r="K2158" s="516"/>
      <c r="L2158" s="581"/>
      <c r="M2158" s="493"/>
      <c r="N2158" s="493"/>
      <c r="O2158" s="498"/>
      <c r="P2158" s="503">
        <f t="shared" si="170"/>
        <v>0</v>
      </c>
      <c r="Q2158" s="503">
        <f t="shared" si="171"/>
        <v>0</v>
      </c>
      <c r="R2158" s="504" t="str">
        <f t="shared" si="172"/>
        <v/>
      </c>
      <c r="S2158" s="504" t="str">
        <f>IF(D2158="","",IF(OR(D2158=Plano!$A$1,D2158=Plano!$B$1),"entrada","saída"))</f>
        <v/>
      </c>
      <c r="T2158" s="505"/>
      <c r="U2158" s="505"/>
      <c r="V2158" s="541"/>
    </row>
    <row r="2159" spans="1:22" ht="12.75" customHeight="1" x14ac:dyDescent="0.2">
      <c r="A2159" s="493" t="str">
        <f>IF(B2159="","",COUNT('Diário 5º PA'!$A$5:$A$2634)+COUNT('Diário 6º PA'!$A$5:$A$2246)+COUNT('Diário 7º PA'!$A$5:$A$2271)+ROW()-4)</f>
        <v/>
      </c>
      <c r="B2159" s="494"/>
      <c r="C2159" s="507"/>
      <c r="D2159" s="495"/>
      <c r="E2159" s="495"/>
      <c r="F2159" s="496"/>
      <c r="G2159" s="495"/>
      <c r="H2159" s="495"/>
      <c r="I2159" s="581"/>
      <c r="J2159" s="495"/>
      <c r="K2159" s="516"/>
      <c r="L2159" s="581"/>
      <c r="M2159" s="493"/>
      <c r="N2159" s="493"/>
      <c r="O2159" s="498"/>
      <c r="P2159" s="503">
        <f t="shared" si="170"/>
        <v>0</v>
      </c>
      <c r="Q2159" s="503">
        <f t="shared" si="171"/>
        <v>0</v>
      </c>
      <c r="R2159" s="504" t="str">
        <f t="shared" si="172"/>
        <v/>
      </c>
      <c r="S2159" s="504" t="str">
        <f>IF(D2159="","",IF(OR(D2159=Plano!$A$1,D2159=Plano!$B$1),"entrada","saída"))</f>
        <v/>
      </c>
      <c r="T2159" s="505"/>
      <c r="U2159" s="505"/>
      <c r="V2159" s="541"/>
    </row>
    <row r="2160" spans="1:22" ht="12.75" customHeight="1" x14ac:dyDescent="0.2">
      <c r="A2160" s="493" t="str">
        <f>IF(B2160="","",COUNT('Diário 5º PA'!$A$5:$A$2634)+COUNT('Diário 6º PA'!$A$5:$A$2246)+COUNT('Diário 7º PA'!$A$5:$A$2271)+ROW()-4)</f>
        <v/>
      </c>
      <c r="B2160" s="494"/>
      <c r="C2160" s="507"/>
      <c r="D2160" s="495"/>
      <c r="E2160" s="495"/>
      <c r="F2160" s="496"/>
      <c r="G2160" s="495"/>
      <c r="H2160" s="495"/>
      <c r="I2160" s="581"/>
      <c r="J2160" s="495"/>
      <c r="K2160" s="516"/>
      <c r="L2160" s="581"/>
      <c r="M2160" s="493"/>
      <c r="N2160" s="493"/>
      <c r="O2160" s="498"/>
      <c r="P2160" s="503">
        <f t="shared" si="170"/>
        <v>0</v>
      </c>
      <c r="Q2160" s="503">
        <f t="shared" si="171"/>
        <v>0</v>
      </c>
      <c r="R2160" s="504" t="str">
        <f t="shared" si="172"/>
        <v/>
      </c>
      <c r="S2160" s="504" t="str">
        <f>IF(D2160="","",IF(OR(D2160=Plano!$A$1,D2160=Plano!$B$1),"entrada","saída"))</f>
        <v/>
      </c>
      <c r="T2160" s="505"/>
      <c r="U2160" s="505"/>
      <c r="V2160" s="541"/>
    </row>
    <row r="2161" spans="1:22" ht="12.75" customHeight="1" x14ac:dyDescent="0.2">
      <c r="A2161" s="493" t="str">
        <f>IF(B2161="","",COUNT('Diário 5º PA'!$A$5:$A$2634)+COUNT('Diário 6º PA'!$A$5:$A$2246)+COUNT('Diário 7º PA'!$A$5:$A$2271)+ROW()-4)</f>
        <v/>
      </c>
      <c r="B2161" s="494"/>
      <c r="C2161" s="507"/>
      <c r="D2161" s="495"/>
      <c r="E2161" s="495"/>
      <c r="F2161" s="496"/>
      <c r="G2161" s="495"/>
      <c r="H2161" s="495"/>
      <c r="I2161" s="581"/>
      <c r="J2161" s="495"/>
      <c r="K2161" s="516"/>
      <c r="L2161" s="581"/>
      <c r="M2161" s="493"/>
      <c r="N2161" s="493"/>
      <c r="O2161" s="498"/>
      <c r="P2161" s="503">
        <f t="shared" si="170"/>
        <v>0</v>
      </c>
      <c r="Q2161" s="503">
        <f t="shared" si="171"/>
        <v>0</v>
      </c>
      <c r="R2161" s="504" t="str">
        <f t="shared" si="172"/>
        <v/>
      </c>
      <c r="S2161" s="504" t="str">
        <f>IF(D2161="","",IF(OR(D2161=Plano!$A$1,D2161=Plano!$B$1),"entrada","saída"))</f>
        <v/>
      </c>
      <c r="T2161" s="505"/>
      <c r="U2161" s="505"/>
      <c r="V2161" s="541"/>
    </row>
    <row r="2162" spans="1:22" ht="12.75" customHeight="1" x14ac:dyDescent="0.2">
      <c r="A2162" s="493" t="str">
        <f>IF(B2162="","",COUNT('Diário 5º PA'!$A$5:$A$2634)+COUNT('Diário 6º PA'!$A$5:$A$2246)+COUNT('Diário 7º PA'!$A$5:$A$2271)+ROW()-4)</f>
        <v/>
      </c>
      <c r="B2162" s="494"/>
      <c r="C2162" s="507"/>
      <c r="D2162" s="495"/>
      <c r="E2162" s="495"/>
      <c r="F2162" s="496"/>
      <c r="G2162" s="495"/>
      <c r="H2162" s="495"/>
      <c r="I2162" s="581"/>
      <c r="J2162" s="495"/>
      <c r="K2162" s="516"/>
      <c r="L2162" s="581"/>
      <c r="M2162" s="493"/>
      <c r="N2162" s="493"/>
      <c r="O2162" s="498"/>
      <c r="P2162" s="503">
        <f t="shared" si="170"/>
        <v>0</v>
      </c>
      <c r="Q2162" s="503">
        <f t="shared" si="171"/>
        <v>0</v>
      </c>
      <c r="R2162" s="504" t="str">
        <f t="shared" si="172"/>
        <v/>
      </c>
      <c r="S2162" s="504" t="str">
        <f>IF(D2162="","",IF(OR(D2162=Plano!$A$1,D2162=Plano!$B$1),"entrada","saída"))</f>
        <v/>
      </c>
      <c r="T2162" s="505"/>
      <c r="U2162" s="505"/>
      <c r="V2162" s="541"/>
    </row>
    <row r="2163" spans="1:22" ht="12.75" customHeight="1" x14ac:dyDescent="0.2">
      <c r="A2163" s="493" t="str">
        <f>IF(B2163="","",COUNT('Diário 5º PA'!$A$5:$A$2634)+COUNT('Diário 6º PA'!$A$5:$A$2246)+COUNT('Diário 7º PA'!$A$5:$A$2271)+ROW()-4)</f>
        <v/>
      </c>
      <c r="B2163" s="494"/>
      <c r="C2163" s="507"/>
      <c r="D2163" s="495"/>
      <c r="E2163" s="495"/>
      <c r="F2163" s="496"/>
      <c r="G2163" s="495"/>
      <c r="H2163" s="495"/>
      <c r="I2163" s="581"/>
      <c r="J2163" s="495"/>
      <c r="K2163" s="516"/>
      <c r="L2163" s="581"/>
      <c r="M2163" s="493"/>
      <c r="N2163" s="493"/>
      <c r="O2163" s="498"/>
      <c r="P2163" s="503">
        <f t="shared" si="170"/>
        <v>0</v>
      </c>
      <c r="Q2163" s="503">
        <f t="shared" si="171"/>
        <v>0</v>
      </c>
      <c r="R2163" s="504" t="str">
        <f t="shared" si="172"/>
        <v/>
      </c>
      <c r="S2163" s="504" t="str">
        <f>IF(D2163="","",IF(OR(D2163=Plano!$A$1,D2163=Plano!$B$1),"entrada","saída"))</f>
        <v/>
      </c>
      <c r="T2163" s="505"/>
      <c r="U2163" s="505"/>
      <c r="V2163" s="541"/>
    </row>
    <row r="2164" spans="1:22" ht="12.75" customHeight="1" x14ac:dyDescent="0.2">
      <c r="A2164" s="493" t="str">
        <f>IF(B2164="","",COUNT('Diário 5º PA'!$A$5:$A$2634)+COUNT('Diário 6º PA'!$A$5:$A$2246)+COUNT('Diário 7º PA'!$A$5:$A$2271)+ROW()-4)</f>
        <v/>
      </c>
      <c r="B2164" s="494"/>
      <c r="C2164" s="507"/>
      <c r="D2164" s="495"/>
      <c r="E2164" s="495"/>
      <c r="F2164" s="496"/>
      <c r="G2164" s="495"/>
      <c r="H2164" s="495"/>
      <c r="I2164" s="581"/>
      <c r="J2164" s="495"/>
      <c r="K2164" s="516"/>
      <c r="L2164" s="581"/>
      <c r="M2164" s="493"/>
      <c r="N2164" s="493"/>
      <c r="O2164" s="498"/>
      <c r="P2164" s="503">
        <f t="shared" si="170"/>
        <v>0</v>
      </c>
      <c r="Q2164" s="503">
        <f t="shared" si="171"/>
        <v>0</v>
      </c>
      <c r="R2164" s="504" t="str">
        <f t="shared" si="172"/>
        <v/>
      </c>
      <c r="S2164" s="504" t="str">
        <f>IF(D2164="","",IF(OR(D2164=Plano!$A$1,D2164=Plano!$B$1),"entrada","saída"))</f>
        <v/>
      </c>
      <c r="T2164" s="505"/>
      <c r="U2164" s="505"/>
      <c r="V2164" s="541"/>
    </row>
    <row r="2165" spans="1:22" ht="12.75" customHeight="1" x14ac:dyDescent="0.2">
      <c r="A2165" s="493" t="str">
        <f>IF(B2165="","",COUNT('Diário 5º PA'!$A$5:$A$2634)+COUNT('Diário 6º PA'!$A$5:$A$2246)+COUNT('Diário 7º PA'!$A$5:$A$2271)+ROW()-4)</f>
        <v/>
      </c>
      <c r="B2165" s="494"/>
      <c r="C2165" s="507"/>
      <c r="D2165" s="495"/>
      <c r="E2165" s="495"/>
      <c r="F2165" s="496"/>
      <c r="G2165" s="495"/>
      <c r="H2165" s="495"/>
      <c r="I2165" s="581"/>
      <c r="J2165" s="495"/>
      <c r="K2165" s="516"/>
      <c r="L2165" s="581"/>
      <c r="M2165" s="493"/>
      <c r="N2165" s="493"/>
      <c r="O2165" s="498"/>
      <c r="P2165" s="503">
        <f t="shared" si="170"/>
        <v>0</v>
      </c>
      <c r="Q2165" s="503">
        <f t="shared" si="171"/>
        <v>0</v>
      </c>
      <c r="R2165" s="504" t="str">
        <f t="shared" si="172"/>
        <v/>
      </c>
      <c r="S2165" s="504" t="str">
        <f>IF(D2165="","",IF(OR(D2165=Plano!$A$1,D2165=Plano!$B$1),"entrada","saída"))</f>
        <v/>
      </c>
      <c r="T2165" s="505"/>
      <c r="U2165" s="505"/>
      <c r="V2165" s="541"/>
    </row>
    <row r="2166" spans="1:22" ht="12.75" customHeight="1" x14ac:dyDescent="0.2">
      <c r="A2166" s="493" t="str">
        <f>IF(B2166="","",COUNT('Diário 5º PA'!$A$5:$A$2634)+COUNT('Diário 6º PA'!$A$5:$A$2246)+COUNT('Diário 7º PA'!$A$5:$A$2271)+ROW()-4)</f>
        <v/>
      </c>
      <c r="B2166" s="494"/>
      <c r="C2166" s="507"/>
      <c r="D2166" s="495"/>
      <c r="E2166" s="495"/>
      <c r="F2166" s="496"/>
      <c r="G2166" s="495"/>
      <c r="H2166" s="495"/>
      <c r="I2166" s="581"/>
      <c r="J2166" s="495"/>
      <c r="K2166" s="516"/>
      <c r="L2166" s="581"/>
      <c r="M2166" s="493"/>
      <c r="N2166" s="493"/>
      <c r="O2166" s="498"/>
      <c r="P2166" s="503">
        <f t="shared" si="170"/>
        <v>0</v>
      </c>
      <c r="Q2166" s="503">
        <f t="shared" si="171"/>
        <v>0</v>
      </c>
      <c r="R2166" s="504" t="str">
        <f t="shared" si="172"/>
        <v/>
      </c>
      <c r="S2166" s="504" t="str">
        <f>IF(D2166="","",IF(OR(D2166=Plano!$A$1,D2166=Plano!$B$1),"entrada","saída"))</f>
        <v/>
      </c>
      <c r="T2166" s="505"/>
      <c r="U2166" s="505"/>
      <c r="V2166" s="541"/>
    </row>
    <row r="2167" spans="1:22" ht="12.75" customHeight="1" x14ac:dyDescent="0.2">
      <c r="A2167" s="493" t="str">
        <f>IF(B2167="","",COUNT('Diário 5º PA'!$A$5:$A$2634)+COUNT('Diário 6º PA'!$A$5:$A$2246)+COUNT('Diário 7º PA'!$A$5:$A$2271)+ROW()-4)</f>
        <v/>
      </c>
      <c r="B2167" s="494"/>
      <c r="C2167" s="507"/>
      <c r="D2167" s="495"/>
      <c r="E2167" s="495"/>
      <c r="F2167" s="496"/>
      <c r="G2167" s="495"/>
      <c r="H2167" s="495"/>
      <c r="I2167" s="581"/>
      <c r="J2167" s="495"/>
      <c r="K2167" s="516"/>
      <c r="L2167" s="581"/>
      <c r="M2167" s="493"/>
      <c r="N2167" s="493"/>
      <c r="O2167" s="498"/>
      <c r="P2167" s="503">
        <f t="shared" si="170"/>
        <v>0</v>
      </c>
      <c r="Q2167" s="503">
        <f t="shared" si="171"/>
        <v>0</v>
      </c>
      <c r="R2167" s="504" t="str">
        <f t="shared" si="172"/>
        <v/>
      </c>
      <c r="S2167" s="504" t="str">
        <f>IF(D2167="","",IF(OR(D2167=Plano!$A$1,D2167=Plano!$B$1),"entrada","saída"))</f>
        <v/>
      </c>
      <c r="T2167" s="505"/>
      <c r="U2167" s="505"/>
      <c r="V2167" s="541"/>
    </row>
    <row r="2168" spans="1:22" ht="12.75" customHeight="1" x14ac:dyDescent="0.2">
      <c r="A2168" s="493" t="str">
        <f>IF(B2168="","",COUNT('Diário 5º PA'!$A$5:$A$2634)+COUNT('Diário 6º PA'!$A$5:$A$2246)+COUNT('Diário 7º PA'!$A$5:$A$2271)+ROW()-4)</f>
        <v/>
      </c>
      <c r="B2168" s="494"/>
      <c r="C2168" s="507"/>
      <c r="D2168" s="495"/>
      <c r="E2168" s="495"/>
      <c r="F2168" s="496"/>
      <c r="G2168" s="495"/>
      <c r="H2168" s="495"/>
      <c r="I2168" s="581"/>
      <c r="J2168" s="495"/>
      <c r="K2168" s="516"/>
      <c r="L2168" s="581"/>
      <c r="M2168" s="493"/>
      <c r="N2168" s="493"/>
      <c r="O2168" s="498"/>
      <c r="P2168" s="503">
        <f t="shared" si="170"/>
        <v>0</v>
      </c>
      <c r="Q2168" s="503">
        <f t="shared" si="171"/>
        <v>0</v>
      </c>
      <c r="R2168" s="504" t="str">
        <f t="shared" si="172"/>
        <v/>
      </c>
      <c r="S2168" s="504" t="str">
        <f>IF(D2168="","",IF(OR(D2168=Plano!$A$1,D2168=Plano!$B$1),"entrada","saída"))</f>
        <v/>
      </c>
      <c r="T2168" s="505"/>
      <c r="U2168" s="505"/>
      <c r="V2168" s="541"/>
    </row>
    <row r="2169" spans="1:22" ht="12.75" customHeight="1" x14ac:dyDescent="0.2">
      <c r="A2169" s="493" t="str">
        <f>IF(B2169="","",COUNT('Diário 5º PA'!$A$5:$A$2634)+COUNT('Diário 6º PA'!$A$5:$A$2246)+COUNT('Diário 7º PA'!$A$5:$A$2271)+ROW()-4)</f>
        <v/>
      </c>
      <c r="B2169" s="494"/>
      <c r="C2169" s="507"/>
      <c r="D2169" s="495"/>
      <c r="E2169" s="495"/>
      <c r="F2169" s="496"/>
      <c r="G2169" s="495"/>
      <c r="H2169" s="495"/>
      <c r="I2169" s="581"/>
      <c r="J2169" s="495"/>
      <c r="K2169" s="516"/>
      <c r="L2169" s="581"/>
      <c r="M2169" s="493"/>
      <c r="N2169" s="493"/>
      <c r="O2169" s="498"/>
      <c r="P2169" s="503">
        <f t="shared" si="170"/>
        <v>0</v>
      </c>
      <c r="Q2169" s="503">
        <f t="shared" si="171"/>
        <v>0</v>
      </c>
      <c r="R2169" s="504" t="str">
        <f t="shared" si="172"/>
        <v/>
      </c>
      <c r="S2169" s="504" t="str">
        <f>IF(D2169="","",IF(OR(D2169=Plano!$A$1,D2169=Plano!$B$1),"entrada","saída"))</f>
        <v/>
      </c>
      <c r="T2169" s="505"/>
      <c r="U2169" s="505"/>
      <c r="V2169" s="541"/>
    </row>
    <row r="2170" spans="1:22" ht="12.75" customHeight="1" x14ac:dyDescent="0.2">
      <c r="A2170" s="493" t="str">
        <f>IF(B2170="","",COUNT('Diário 5º PA'!$A$5:$A$2634)+COUNT('Diário 6º PA'!$A$5:$A$2246)+COUNT('Diário 7º PA'!$A$5:$A$2271)+ROW()-4)</f>
        <v/>
      </c>
      <c r="B2170" s="494"/>
      <c r="C2170" s="507"/>
      <c r="D2170" s="495"/>
      <c r="E2170" s="495"/>
      <c r="F2170" s="496"/>
      <c r="G2170" s="495"/>
      <c r="H2170" s="495"/>
      <c r="I2170" s="581"/>
      <c r="J2170" s="495"/>
      <c r="K2170" s="516"/>
      <c r="L2170" s="581"/>
      <c r="M2170" s="493"/>
      <c r="N2170" s="493"/>
      <c r="O2170" s="498"/>
      <c r="P2170" s="503">
        <f t="shared" si="170"/>
        <v>0</v>
      </c>
      <c r="Q2170" s="503">
        <f t="shared" si="171"/>
        <v>0</v>
      </c>
      <c r="R2170" s="504" t="str">
        <f t="shared" si="172"/>
        <v/>
      </c>
      <c r="S2170" s="504" t="str">
        <f>IF(D2170="","",IF(OR(D2170=Plano!$A$1,D2170=Plano!$B$1),"entrada","saída"))</f>
        <v/>
      </c>
      <c r="T2170" s="505"/>
      <c r="U2170" s="505"/>
      <c r="V2170" s="541"/>
    </row>
    <row r="2171" spans="1:22" ht="12.75" customHeight="1" x14ac:dyDescent="0.2">
      <c r="A2171" s="493" t="str">
        <f>IF(B2171="","",COUNT('Diário 5º PA'!$A$5:$A$2634)+COUNT('Diário 6º PA'!$A$5:$A$2246)+COUNT('Diário 7º PA'!$A$5:$A$2271)+ROW()-4)</f>
        <v/>
      </c>
      <c r="B2171" s="494"/>
      <c r="C2171" s="507"/>
      <c r="D2171" s="495"/>
      <c r="E2171" s="495"/>
      <c r="F2171" s="496"/>
      <c r="G2171" s="495"/>
      <c r="H2171" s="495"/>
      <c r="I2171" s="581"/>
      <c r="J2171" s="495"/>
      <c r="K2171" s="516"/>
      <c r="L2171" s="581"/>
      <c r="M2171" s="493"/>
      <c r="N2171" s="493"/>
      <c r="O2171" s="498"/>
      <c r="P2171" s="503">
        <f t="shared" si="170"/>
        <v>0</v>
      </c>
      <c r="Q2171" s="503">
        <f t="shared" si="171"/>
        <v>0</v>
      </c>
      <c r="R2171" s="504" t="str">
        <f t="shared" si="172"/>
        <v/>
      </c>
      <c r="S2171" s="504" t="str">
        <f>IF(D2171="","",IF(OR(D2171=Plano!$A$1,D2171=Plano!$B$1),"entrada","saída"))</f>
        <v/>
      </c>
      <c r="T2171" s="505"/>
      <c r="U2171" s="505"/>
      <c r="V2171" s="541"/>
    </row>
    <row r="2172" spans="1:22" ht="12.75" customHeight="1" x14ac:dyDescent="0.2">
      <c r="A2172" s="493" t="str">
        <f>IF(B2172="","",COUNT('Diário 5º PA'!$A$5:$A$2634)+COUNT('Diário 6º PA'!$A$5:$A$2246)+COUNT('Diário 7º PA'!$A$5:$A$2271)+ROW()-4)</f>
        <v/>
      </c>
      <c r="B2172" s="494"/>
      <c r="C2172" s="507"/>
      <c r="D2172" s="495"/>
      <c r="E2172" s="495"/>
      <c r="F2172" s="496"/>
      <c r="G2172" s="495"/>
      <c r="H2172" s="495"/>
      <c r="I2172" s="581"/>
      <c r="J2172" s="495"/>
      <c r="K2172" s="516"/>
      <c r="L2172" s="581"/>
      <c r="M2172" s="493"/>
      <c r="N2172" s="493"/>
      <c r="O2172" s="498"/>
      <c r="P2172" s="503">
        <f t="shared" si="170"/>
        <v>0</v>
      </c>
      <c r="Q2172" s="503">
        <f t="shared" si="171"/>
        <v>0</v>
      </c>
      <c r="R2172" s="504" t="str">
        <f t="shared" si="172"/>
        <v/>
      </c>
      <c r="S2172" s="504" t="str">
        <f>IF(D2172="","",IF(OR(D2172=Plano!$A$1,D2172=Plano!$B$1),"entrada","saída"))</f>
        <v/>
      </c>
      <c r="T2172" s="505"/>
      <c r="U2172" s="505"/>
      <c r="V2172" s="541"/>
    </row>
    <row r="2173" spans="1:22" ht="12.75" customHeight="1" x14ac:dyDescent="0.2">
      <c r="A2173" s="493" t="str">
        <f>IF(B2173="","",COUNT('Diário 5º PA'!$A$5:$A$2634)+COUNT('Diário 6º PA'!$A$5:$A$2246)+COUNT('Diário 7º PA'!$A$5:$A$2271)+ROW()-4)</f>
        <v/>
      </c>
      <c r="B2173" s="494"/>
      <c r="C2173" s="507"/>
      <c r="D2173" s="495"/>
      <c r="E2173" s="495"/>
      <c r="F2173" s="496"/>
      <c r="G2173" s="495"/>
      <c r="H2173" s="495"/>
      <c r="I2173" s="581"/>
      <c r="J2173" s="495"/>
      <c r="K2173" s="516"/>
      <c r="L2173" s="581"/>
      <c r="M2173" s="493"/>
      <c r="N2173" s="493"/>
      <c r="O2173" s="498"/>
      <c r="P2173" s="503">
        <f t="shared" si="170"/>
        <v>0</v>
      </c>
      <c r="Q2173" s="503">
        <f t="shared" si="171"/>
        <v>0</v>
      </c>
      <c r="R2173" s="504" t="str">
        <f t="shared" si="172"/>
        <v/>
      </c>
      <c r="S2173" s="504" t="str">
        <f>IF(D2173="","",IF(OR(D2173=Plano!$A$1,D2173=Plano!$B$1),"entrada","saída"))</f>
        <v/>
      </c>
      <c r="T2173" s="505"/>
      <c r="U2173" s="505"/>
      <c r="V2173" s="541"/>
    </row>
    <row r="2174" spans="1:22" ht="12.75" customHeight="1" x14ac:dyDescent="0.2">
      <c r="A2174" s="493" t="str">
        <f>IF(B2174="","",COUNT('Diário 5º PA'!$A$5:$A$2634)+COUNT('Diário 6º PA'!$A$5:$A$2246)+COUNT('Diário 7º PA'!$A$5:$A$2271)+ROW()-4)</f>
        <v/>
      </c>
      <c r="B2174" s="494"/>
      <c r="C2174" s="507"/>
      <c r="D2174" s="495"/>
      <c r="E2174" s="495"/>
      <c r="F2174" s="496"/>
      <c r="G2174" s="495"/>
      <c r="H2174" s="495"/>
      <c r="I2174" s="581"/>
      <c r="J2174" s="495"/>
      <c r="K2174" s="516"/>
      <c r="L2174" s="581"/>
      <c r="M2174" s="493"/>
      <c r="N2174" s="493"/>
      <c r="O2174" s="498"/>
      <c r="P2174" s="503">
        <f t="shared" si="170"/>
        <v>0</v>
      </c>
      <c r="Q2174" s="503">
        <f t="shared" si="171"/>
        <v>0</v>
      </c>
      <c r="R2174" s="504" t="str">
        <f t="shared" si="172"/>
        <v/>
      </c>
      <c r="S2174" s="504" t="str">
        <f>IF(D2174="","",IF(OR(D2174=Plano!$A$1,D2174=Plano!$B$1),"entrada","saída"))</f>
        <v/>
      </c>
      <c r="T2174" s="505"/>
      <c r="U2174" s="505"/>
      <c r="V2174" s="541"/>
    </row>
    <row r="2175" spans="1:22" ht="12.75" customHeight="1" x14ac:dyDescent="0.2">
      <c r="A2175" s="493" t="str">
        <f>IF(B2175="","",COUNT('Diário 5º PA'!$A$5:$A$2634)+COUNT('Diário 6º PA'!$A$5:$A$2246)+COUNT('Diário 7º PA'!$A$5:$A$2271)+ROW()-4)</f>
        <v/>
      </c>
      <c r="B2175" s="494"/>
      <c r="C2175" s="507"/>
      <c r="D2175" s="495"/>
      <c r="E2175" s="495"/>
      <c r="F2175" s="496"/>
      <c r="G2175" s="495"/>
      <c r="H2175" s="495"/>
      <c r="I2175" s="581"/>
      <c r="J2175" s="495"/>
      <c r="K2175" s="516"/>
      <c r="L2175" s="581"/>
      <c r="M2175" s="493"/>
      <c r="N2175" s="493"/>
      <c r="O2175" s="498"/>
      <c r="P2175" s="503">
        <f t="shared" si="170"/>
        <v>0</v>
      </c>
      <c r="Q2175" s="503">
        <f t="shared" si="171"/>
        <v>0</v>
      </c>
      <c r="R2175" s="504" t="str">
        <f t="shared" si="172"/>
        <v/>
      </c>
      <c r="S2175" s="504" t="str">
        <f>IF(D2175="","",IF(OR(D2175=Plano!$A$1,D2175=Plano!$B$1),"entrada","saída"))</f>
        <v/>
      </c>
      <c r="T2175" s="505"/>
      <c r="U2175" s="505"/>
      <c r="V2175" s="541"/>
    </row>
    <row r="2176" spans="1:22" ht="12.75" customHeight="1" x14ac:dyDescent="0.2">
      <c r="A2176" s="493" t="str">
        <f>IF(B2176="","",COUNT('Diário 5º PA'!$A$5:$A$2634)+COUNT('Diário 6º PA'!$A$5:$A$2246)+COUNT('Diário 7º PA'!$A$5:$A$2271)+ROW()-4)</f>
        <v/>
      </c>
      <c r="B2176" s="494"/>
      <c r="C2176" s="507"/>
      <c r="D2176" s="495"/>
      <c r="E2176" s="495"/>
      <c r="F2176" s="496"/>
      <c r="G2176" s="495"/>
      <c r="H2176" s="495"/>
      <c r="I2176" s="581"/>
      <c r="J2176" s="495"/>
      <c r="K2176" s="516"/>
      <c r="L2176" s="581"/>
      <c r="M2176" s="493"/>
      <c r="N2176" s="493"/>
      <c r="O2176" s="498"/>
      <c r="P2176" s="503">
        <f t="shared" si="170"/>
        <v>0</v>
      </c>
      <c r="Q2176" s="503">
        <f t="shared" si="171"/>
        <v>0</v>
      </c>
      <c r="R2176" s="504" t="str">
        <f t="shared" si="172"/>
        <v/>
      </c>
      <c r="S2176" s="504" t="str">
        <f>IF(D2176="","",IF(OR(D2176=Plano!$A$1,D2176=Plano!$B$1),"entrada","saída"))</f>
        <v/>
      </c>
      <c r="T2176" s="505"/>
      <c r="U2176" s="505"/>
      <c r="V2176" s="541"/>
    </row>
    <row r="2177" spans="1:22" ht="12.75" customHeight="1" x14ac:dyDescent="0.2">
      <c r="A2177" s="493" t="str">
        <f>IF(B2177="","",COUNT('Diário 5º PA'!$A$5:$A$2634)+COUNT('Diário 6º PA'!$A$5:$A$2246)+COUNT('Diário 7º PA'!$A$5:$A$2271)+ROW()-4)</f>
        <v/>
      </c>
      <c r="B2177" s="494"/>
      <c r="C2177" s="507"/>
      <c r="D2177" s="495"/>
      <c r="E2177" s="495"/>
      <c r="F2177" s="496"/>
      <c r="G2177" s="495"/>
      <c r="H2177" s="495"/>
      <c r="I2177" s="581"/>
      <c r="J2177" s="495"/>
      <c r="K2177" s="516"/>
      <c r="L2177" s="581"/>
      <c r="M2177" s="493"/>
      <c r="N2177" s="493"/>
      <c r="O2177" s="498"/>
      <c r="P2177" s="503">
        <f t="shared" si="170"/>
        <v>0</v>
      </c>
      <c r="Q2177" s="503">
        <f t="shared" si="171"/>
        <v>0</v>
      </c>
      <c r="R2177" s="504" t="str">
        <f t="shared" si="172"/>
        <v/>
      </c>
      <c r="S2177" s="504" t="str">
        <f>IF(D2177="","",IF(OR(D2177=Plano!$A$1,D2177=Plano!$B$1),"entrada","saída"))</f>
        <v/>
      </c>
      <c r="T2177" s="505"/>
      <c r="U2177" s="505"/>
      <c r="V2177" s="541"/>
    </row>
    <row r="2178" spans="1:22" ht="12.75" customHeight="1" x14ac:dyDescent="0.2">
      <c r="A2178" s="493" t="str">
        <f>IF(B2178="","",COUNT('Diário 5º PA'!$A$5:$A$2634)+COUNT('Diário 6º PA'!$A$5:$A$2246)+COUNT('Diário 7º PA'!$A$5:$A$2271)+ROW()-4)</f>
        <v/>
      </c>
      <c r="B2178" s="494"/>
      <c r="C2178" s="507"/>
      <c r="D2178" s="495"/>
      <c r="E2178" s="495"/>
      <c r="F2178" s="496"/>
      <c r="G2178" s="495"/>
      <c r="H2178" s="495"/>
      <c r="I2178" s="581"/>
      <c r="J2178" s="495"/>
      <c r="K2178" s="516"/>
      <c r="L2178" s="581"/>
      <c r="M2178" s="493"/>
      <c r="N2178" s="493"/>
      <c r="O2178" s="498"/>
      <c r="P2178" s="503">
        <f t="shared" si="170"/>
        <v>0</v>
      </c>
      <c r="Q2178" s="503">
        <f t="shared" si="171"/>
        <v>0</v>
      </c>
      <c r="R2178" s="504" t="str">
        <f t="shared" si="172"/>
        <v/>
      </c>
      <c r="S2178" s="504" t="str">
        <f>IF(D2178="","",IF(OR(D2178=Plano!$A$1,D2178=Plano!$B$1),"entrada","saída"))</f>
        <v/>
      </c>
      <c r="T2178" s="505"/>
      <c r="U2178" s="505"/>
      <c r="V2178" s="541"/>
    </row>
    <row r="2179" spans="1:22" ht="12.75" customHeight="1" x14ac:dyDescent="0.2">
      <c r="A2179" s="493" t="str">
        <f>IF(B2179="","",COUNT('Diário 5º PA'!$A$5:$A$2634)+COUNT('Diário 6º PA'!$A$5:$A$2246)+COUNT('Diário 7º PA'!$A$5:$A$2271)+ROW()-4)</f>
        <v/>
      </c>
      <c r="B2179" s="494"/>
      <c r="C2179" s="507"/>
      <c r="D2179" s="495"/>
      <c r="E2179" s="495"/>
      <c r="F2179" s="496"/>
      <c r="G2179" s="495"/>
      <c r="H2179" s="495"/>
      <c r="I2179" s="581"/>
      <c r="J2179" s="495"/>
      <c r="K2179" s="516"/>
      <c r="L2179" s="581"/>
      <c r="M2179" s="493"/>
      <c r="N2179" s="493"/>
      <c r="O2179" s="498"/>
      <c r="P2179" s="503">
        <f t="shared" si="170"/>
        <v>0</v>
      </c>
      <c r="Q2179" s="503">
        <f t="shared" si="171"/>
        <v>0</v>
      </c>
      <c r="R2179" s="504" t="str">
        <f t="shared" si="172"/>
        <v/>
      </c>
      <c r="S2179" s="504" t="str">
        <f>IF(D2179="","",IF(OR(D2179=Plano!$A$1,D2179=Plano!$B$1),"entrada","saída"))</f>
        <v/>
      </c>
      <c r="T2179" s="505"/>
      <c r="U2179" s="505"/>
      <c r="V2179" s="541"/>
    </row>
    <row r="2180" spans="1:22" ht="12.75" customHeight="1" x14ac:dyDescent="0.2">
      <c r="A2180" s="493" t="str">
        <f>IF(B2180="","",COUNT('Diário 5º PA'!$A$5:$A$2634)+COUNT('Diário 6º PA'!$A$5:$A$2246)+COUNT('Diário 7º PA'!$A$5:$A$2271)+ROW()-4)</f>
        <v/>
      </c>
      <c r="B2180" s="494"/>
      <c r="C2180" s="507"/>
      <c r="D2180" s="495"/>
      <c r="E2180" s="495"/>
      <c r="F2180" s="496"/>
      <c r="G2180" s="495"/>
      <c r="H2180" s="495"/>
      <c r="I2180" s="581"/>
      <c r="J2180" s="495"/>
      <c r="K2180" s="516"/>
      <c r="L2180" s="581"/>
      <c r="M2180" s="493"/>
      <c r="N2180" s="493"/>
      <c r="O2180" s="498"/>
      <c r="P2180" s="503">
        <f t="shared" si="170"/>
        <v>0</v>
      </c>
      <c r="Q2180" s="503">
        <f t="shared" si="171"/>
        <v>0</v>
      </c>
      <c r="R2180" s="504" t="str">
        <f t="shared" si="172"/>
        <v/>
      </c>
      <c r="S2180" s="504" t="str">
        <f>IF(D2180="","",IF(OR(D2180=Plano!$A$1,D2180=Plano!$B$1),"entrada","saída"))</f>
        <v/>
      </c>
      <c r="T2180" s="505"/>
      <c r="U2180" s="505"/>
      <c r="V2180" s="541"/>
    </row>
    <row r="2181" spans="1:22" ht="12.75" customHeight="1" x14ac:dyDescent="0.2">
      <c r="A2181" s="493" t="str">
        <f>IF(B2181="","",COUNT('Diário 5º PA'!$A$5:$A$2634)+COUNT('Diário 6º PA'!$A$5:$A$2246)+COUNT('Diário 7º PA'!$A$5:$A$2271)+ROW()-4)</f>
        <v/>
      </c>
      <c r="B2181" s="494"/>
      <c r="C2181" s="507"/>
      <c r="D2181" s="495"/>
      <c r="E2181" s="495"/>
      <c r="F2181" s="496"/>
      <c r="G2181" s="495"/>
      <c r="H2181" s="495"/>
      <c r="I2181" s="581"/>
      <c r="J2181" s="495"/>
      <c r="K2181" s="516"/>
      <c r="L2181" s="581"/>
      <c r="M2181" s="493"/>
      <c r="N2181" s="493"/>
      <c r="O2181" s="498"/>
      <c r="P2181" s="503">
        <f t="shared" si="170"/>
        <v>0</v>
      </c>
      <c r="Q2181" s="503">
        <f t="shared" si="171"/>
        <v>0</v>
      </c>
      <c r="R2181" s="504" t="str">
        <f t="shared" si="172"/>
        <v/>
      </c>
      <c r="S2181" s="504" t="str">
        <f>IF(D2181="","",IF(OR(D2181=Plano!$A$1,D2181=Plano!$B$1),"entrada","saída"))</f>
        <v/>
      </c>
      <c r="T2181" s="505"/>
      <c r="U2181" s="505"/>
      <c r="V2181" s="541"/>
    </row>
    <row r="2182" spans="1:22" ht="12.75" customHeight="1" x14ac:dyDescent="0.2">
      <c r="A2182" s="493" t="str">
        <f>IF(B2182="","",COUNT('Diário 5º PA'!$A$5:$A$2634)+COUNT('Diário 6º PA'!$A$5:$A$2246)+COUNT('Diário 7º PA'!$A$5:$A$2271)+ROW()-4)</f>
        <v/>
      </c>
      <c r="B2182" s="494"/>
      <c r="C2182" s="507"/>
      <c r="D2182" s="495"/>
      <c r="E2182" s="495"/>
      <c r="F2182" s="496"/>
      <c r="G2182" s="495"/>
      <c r="H2182" s="495"/>
      <c r="I2182" s="581"/>
      <c r="J2182" s="495"/>
      <c r="K2182" s="516"/>
      <c r="L2182" s="581"/>
      <c r="M2182" s="493"/>
      <c r="N2182" s="493"/>
      <c r="O2182" s="498"/>
      <c r="P2182" s="503">
        <f t="shared" si="170"/>
        <v>0</v>
      </c>
      <c r="Q2182" s="503">
        <f t="shared" si="171"/>
        <v>0</v>
      </c>
      <c r="R2182" s="504" t="str">
        <f t="shared" si="172"/>
        <v/>
      </c>
      <c r="S2182" s="504" t="str">
        <f>IF(D2182="","",IF(OR(D2182=Plano!$A$1,D2182=Plano!$B$1),"entrada","saída"))</f>
        <v/>
      </c>
      <c r="T2182" s="505"/>
      <c r="U2182" s="505"/>
      <c r="V2182" s="541"/>
    </row>
    <row r="2183" spans="1:22" ht="12.75" customHeight="1" x14ac:dyDescent="0.2">
      <c r="A2183" s="493" t="str">
        <f>IF(B2183="","",COUNT('Diário 5º PA'!$A$5:$A$2634)+COUNT('Diário 6º PA'!$A$5:$A$2246)+COUNT('Diário 7º PA'!$A$5:$A$2271)+ROW()-4)</f>
        <v/>
      </c>
      <c r="B2183" s="494"/>
      <c r="C2183" s="507"/>
      <c r="D2183" s="495"/>
      <c r="E2183" s="495"/>
      <c r="F2183" s="496"/>
      <c r="G2183" s="495"/>
      <c r="H2183" s="495"/>
      <c r="I2183" s="581"/>
      <c r="J2183" s="495"/>
      <c r="K2183" s="516"/>
      <c r="L2183" s="581"/>
      <c r="M2183" s="493"/>
      <c r="N2183" s="493"/>
      <c r="O2183" s="498"/>
      <c r="P2183" s="503">
        <f t="shared" si="170"/>
        <v>0</v>
      </c>
      <c r="Q2183" s="503">
        <f t="shared" si="171"/>
        <v>0</v>
      </c>
      <c r="R2183" s="504" t="str">
        <f t="shared" si="172"/>
        <v/>
      </c>
      <c r="S2183" s="504" t="str">
        <f>IF(D2183="","",IF(OR(D2183=Plano!$A$1,D2183=Plano!$B$1),"entrada","saída"))</f>
        <v/>
      </c>
      <c r="T2183" s="505"/>
      <c r="U2183" s="505"/>
      <c r="V2183" s="541"/>
    </row>
    <row r="2184" spans="1:22" ht="12.75" customHeight="1" x14ac:dyDescent="0.2">
      <c r="A2184" s="493" t="str">
        <f>IF(B2184="","",COUNT('Diário 5º PA'!$A$5:$A$2634)+COUNT('Diário 6º PA'!$A$5:$A$2246)+COUNT('Diário 7º PA'!$A$5:$A$2271)+ROW()-4)</f>
        <v/>
      </c>
      <c r="B2184" s="494"/>
      <c r="C2184" s="507"/>
      <c r="D2184" s="495"/>
      <c r="E2184" s="495"/>
      <c r="F2184" s="496"/>
      <c r="G2184" s="495"/>
      <c r="H2184" s="495"/>
      <c r="I2184" s="581"/>
      <c r="J2184" s="495"/>
      <c r="K2184" s="516"/>
      <c r="L2184" s="581"/>
      <c r="M2184" s="493"/>
      <c r="N2184" s="493"/>
      <c r="O2184" s="498"/>
      <c r="P2184" s="503">
        <f t="shared" si="170"/>
        <v>0</v>
      </c>
      <c r="Q2184" s="503">
        <f t="shared" si="171"/>
        <v>0</v>
      </c>
      <c r="R2184" s="504" t="str">
        <f t="shared" si="172"/>
        <v/>
      </c>
      <c r="S2184" s="504" t="str">
        <f>IF(D2184="","",IF(OR(D2184=Plano!$A$1,D2184=Plano!$B$1),"entrada","saída"))</f>
        <v/>
      </c>
      <c r="T2184" s="505"/>
      <c r="U2184" s="505"/>
      <c r="V2184" s="541"/>
    </row>
    <row r="2185" spans="1:22" ht="12.75" customHeight="1" x14ac:dyDescent="0.2">
      <c r="A2185" s="493" t="str">
        <f>IF(B2185="","",COUNT('Diário 5º PA'!$A$5:$A$2634)+COUNT('Diário 6º PA'!$A$5:$A$2246)+COUNT('Diário 7º PA'!$A$5:$A$2271)+ROW()-4)</f>
        <v/>
      </c>
      <c r="B2185" s="494"/>
      <c r="C2185" s="507"/>
      <c r="D2185" s="495"/>
      <c r="E2185" s="495"/>
      <c r="F2185" s="496"/>
      <c r="G2185" s="495"/>
      <c r="H2185" s="495"/>
      <c r="I2185" s="581"/>
      <c r="J2185" s="495"/>
      <c r="K2185" s="516"/>
      <c r="L2185" s="581"/>
      <c r="M2185" s="493"/>
      <c r="N2185" s="493"/>
      <c r="O2185" s="498"/>
      <c r="P2185" s="503">
        <f t="shared" si="170"/>
        <v>0</v>
      </c>
      <c r="Q2185" s="503">
        <f t="shared" si="171"/>
        <v>0</v>
      </c>
      <c r="R2185" s="504" t="str">
        <f t="shared" si="172"/>
        <v/>
      </c>
      <c r="S2185" s="504" t="str">
        <f>IF(D2185="","",IF(OR(D2185=Plano!$A$1,D2185=Plano!$B$1),"entrada","saída"))</f>
        <v/>
      </c>
      <c r="T2185" s="505"/>
      <c r="U2185" s="505"/>
      <c r="V2185" s="541"/>
    </row>
    <row r="2186" spans="1:22" ht="12.75" customHeight="1" x14ac:dyDescent="0.2">
      <c r="A2186" s="493" t="str">
        <f>IF(B2186="","",COUNT('Diário 5º PA'!$A$5:$A$2634)+COUNT('Diário 6º PA'!$A$5:$A$2246)+COUNT('Diário 7º PA'!$A$5:$A$2271)+ROW()-4)</f>
        <v/>
      </c>
      <c r="B2186" s="494"/>
      <c r="C2186" s="507"/>
      <c r="D2186" s="495"/>
      <c r="E2186" s="495"/>
      <c r="F2186" s="496"/>
      <c r="G2186" s="495"/>
      <c r="H2186" s="495"/>
      <c r="I2186" s="581"/>
      <c r="J2186" s="495"/>
      <c r="K2186" s="516"/>
      <c r="L2186" s="581"/>
      <c r="M2186" s="493"/>
      <c r="N2186" s="493"/>
      <c r="O2186" s="498"/>
      <c r="P2186" s="503">
        <f t="shared" si="170"/>
        <v>0</v>
      </c>
      <c r="Q2186" s="503">
        <f t="shared" si="171"/>
        <v>0</v>
      </c>
      <c r="R2186" s="504" t="str">
        <f t="shared" si="172"/>
        <v/>
      </c>
      <c r="S2186" s="504" t="str">
        <f>IF(D2186="","",IF(OR(D2186=Plano!$A$1,D2186=Plano!$B$1),"entrada","saída"))</f>
        <v/>
      </c>
      <c r="T2186" s="505"/>
      <c r="U2186" s="505"/>
      <c r="V2186" s="541"/>
    </row>
    <row r="2187" spans="1:22" ht="12.75" customHeight="1" x14ac:dyDescent="0.2">
      <c r="A2187" s="493" t="str">
        <f>IF(B2187="","",COUNT('Diário 5º PA'!$A$5:$A$2634)+COUNT('Diário 6º PA'!$A$5:$A$2246)+COUNT('Diário 7º PA'!$A$5:$A$2271)+ROW()-4)</f>
        <v/>
      </c>
      <c r="B2187" s="494"/>
      <c r="C2187" s="507"/>
      <c r="D2187" s="495"/>
      <c r="E2187" s="495"/>
      <c r="F2187" s="496"/>
      <c r="G2187" s="495"/>
      <c r="H2187" s="495"/>
      <c r="I2187" s="581"/>
      <c r="J2187" s="495"/>
      <c r="K2187" s="516"/>
      <c r="L2187" s="581"/>
      <c r="M2187" s="493"/>
      <c r="N2187" s="493"/>
      <c r="O2187" s="498"/>
      <c r="P2187" s="503">
        <f t="shared" si="170"/>
        <v>0</v>
      </c>
      <c r="Q2187" s="503">
        <f t="shared" si="171"/>
        <v>0</v>
      </c>
      <c r="R2187" s="504" t="str">
        <f t="shared" si="172"/>
        <v/>
      </c>
      <c r="S2187" s="504" t="str">
        <f>IF(D2187="","",IF(OR(D2187=Plano!$A$1,D2187=Plano!$B$1),"entrada","saída"))</f>
        <v/>
      </c>
      <c r="T2187" s="505"/>
      <c r="U2187" s="505"/>
      <c r="V2187" s="541"/>
    </row>
    <row r="2188" spans="1:22" ht="12.75" customHeight="1" x14ac:dyDescent="0.2">
      <c r="A2188" s="493" t="str">
        <f>IF(B2188="","",COUNT('Diário 5º PA'!$A$5:$A$2634)+COUNT('Diário 6º PA'!$A$5:$A$2246)+COUNT('Diário 7º PA'!$A$5:$A$2271)+ROW()-4)</f>
        <v/>
      </c>
      <c r="B2188" s="494"/>
      <c r="C2188" s="507"/>
      <c r="D2188" s="495"/>
      <c r="E2188" s="495"/>
      <c r="F2188" s="496"/>
      <c r="G2188" s="495"/>
      <c r="H2188" s="495"/>
      <c r="I2188" s="581"/>
      <c r="J2188" s="495"/>
      <c r="K2188" s="516"/>
      <c r="L2188" s="581"/>
      <c r="M2188" s="493"/>
      <c r="N2188" s="493"/>
      <c r="O2188" s="498"/>
      <c r="P2188" s="503">
        <f t="shared" si="170"/>
        <v>0</v>
      </c>
      <c r="Q2188" s="503">
        <f t="shared" si="171"/>
        <v>0</v>
      </c>
      <c r="R2188" s="504" t="str">
        <f t="shared" si="172"/>
        <v/>
      </c>
      <c r="S2188" s="504" t="str">
        <f>IF(D2188="","",IF(OR(D2188=Plano!$A$1,D2188=Plano!$B$1),"entrada","saída"))</f>
        <v/>
      </c>
      <c r="T2188" s="505"/>
      <c r="U2188" s="505"/>
      <c r="V2188" s="541"/>
    </row>
    <row r="2189" spans="1:22" ht="12.75" customHeight="1" x14ac:dyDescent="0.2">
      <c r="A2189" s="493" t="str">
        <f>IF(B2189="","",COUNT('Diário 5º PA'!$A$5:$A$2634)+COUNT('Diário 6º PA'!$A$5:$A$2246)+COUNT('Diário 7º PA'!$A$5:$A$2271)+ROW()-4)</f>
        <v/>
      </c>
      <c r="B2189" s="494"/>
      <c r="C2189" s="507"/>
      <c r="D2189" s="495"/>
      <c r="E2189" s="495"/>
      <c r="F2189" s="496"/>
      <c r="G2189" s="495"/>
      <c r="H2189" s="495"/>
      <c r="I2189" s="581"/>
      <c r="J2189" s="495"/>
      <c r="K2189" s="516"/>
      <c r="L2189" s="581"/>
      <c r="M2189" s="493"/>
      <c r="N2189" s="493"/>
      <c r="O2189" s="498"/>
      <c r="P2189" s="503">
        <f t="shared" si="170"/>
        <v>0</v>
      </c>
      <c r="Q2189" s="503">
        <f t="shared" si="171"/>
        <v>0</v>
      </c>
      <c r="R2189" s="504" t="str">
        <f t="shared" si="172"/>
        <v/>
      </c>
      <c r="S2189" s="504" t="str">
        <f>IF(D2189="","",IF(OR(D2189=Plano!$A$1,D2189=Plano!$B$1),"entrada","saída"))</f>
        <v/>
      </c>
      <c r="T2189" s="505"/>
      <c r="U2189" s="505"/>
      <c r="V2189" s="541"/>
    </row>
    <row r="2190" spans="1:22" ht="12.75" customHeight="1" x14ac:dyDescent="0.2">
      <c r="A2190" s="493" t="str">
        <f>IF(B2190="","",COUNT('Diário 5º PA'!$A$5:$A$2634)+COUNT('Diário 6º PA'!$A$5:$A$2246)+COUNT('Diário 7º PA'!$A$5:$A$2271)+ROW()-4)</f>
        <v/>
      </c>
      <c r="B2190" s="494"/>
      <c r="C2190" s="507"/>
      <c r="D2190" s="495"/>
      <c r="E2190" s="495"/>
      <c r="F2190" s="496"/>
      <c r="G2190" s="495"/>
      <c r="H2190" s="495"/>
      <c r="I2190" s="581"/>
      <c r="J2190" s="495"/>
      <c r="K2190" s="516"/>
      <c r="L2190" s="581"/>
      <c r="M2190" s="493"/>
      <c r="N2190" s="493"/>
      <c r="O2190" s="498"/>
      <c r="P2190" s="503">
        <f t="shared" si="170"/>
        <v>0</v>
      </c>
      <c r="Q2190" s="503">
        <f t="shared" si="171"/>
        <v>0</v>
      </c>
      <c r="R2190" s="504" t="str">
        <f t="shared" si="172"/>
        <v/>
      </c>
      <c r="S2190" s="504" t="str">
        <f>IF(D2190="","",IF(OR(D2190=Plano!$A$1,D2190=Plano!$B$1),"entrada","saída"))</f>
        <v/>
      </c>
      <c r="T2190" s="505"/>
      <c r="U2190" s="505"/>
      <c r="V2190" s="541"/>
    </row>
    <row r="2191" spans="1:22" ht="12.75" customHeight="1" x14ac:dyDescent="0.2">
      <c r="A2191" s="493" t="str">
        <f>IF(B2191="","",COUNT('Diário 5º PA'!$A$5:$A$2634)+COUNT('Diário 6º PA'!$A$5:$A$2246)+COUNT('Diário 7º PA'!$A$5:$A$2271)+ROW()-4)</f>
        <v/>
      </c>
      <c r="B2191" s="494"/>
      <c r="C2191" s="507"/>
      <c r="D2191" s="495"/>
      <c r="E2191" s="495"/>
      <c r="F2191" s="496"/>
      <c r="G2191" s="495"/>
      <c r="H2191" s="495"/>
      <c r="I2191" s="581"/>
      <c r="J2191" s="495"/>
      <c r="K2191" s="516"/>
      <c r="L2191" s="581"/>
      <c r="M2191" s="493"/>
      <c r="N2191" s="493"/>
      <c r="O2191" s="498"/>
      <c r="P2191" s="503">
        <f t="shared" si="170"/>
        <v>0</v>
      </c>
      <c r="Q2191" s="503">
        <f t="shared" si="171"/>
        <v>0</v>
      </c>
      <c r="R2191" s="504" t="str">
        <f t="shared" si="172"/>
        <v/>
      </c>
      <c r="S2191" s="504" t="str">
        <f>IF(D2191="","",IF(OR(D2191=Plano!$A$1,D2191=Plano!$B$1),"entrada","saída"))</f>
        <v/>
      </c>
      <c r="T2191" s="505"/>
      <c r="U2191" s="505"/>
      <c r="V2191" s="541"/>
    </row>
    <row r="2192" spans="1:22" ht="12.75" customHeight="1" x14ac:dyDescent="0.2">
      <c r="A2192" s="493" t="str">
        <f>IF(B2192="","",COUNT('Diário 5º PA'!$A$5:$A$2634)+COUNT('Diário 6º PA'!$A$5:$A$2246)+COUNT('Diário 7º PA'!$A$5:$A$2271)+ROW()-4)</f>
        <v/>
      </c>
      <c r="B2192" s="494"/>
      <c r="C2192" s="507"/>
      <c r="D2192" s="495"/>
      <c r="E2192" s="495"/>
      <c r="F2192" s="496"/>
      <c r="G2192" s="495"/>
      <c r="H2192" s="495"/>
      <c r="I2192" s="581"/>
      <c r="J2192" s="495"/>
      <c r="K2192" s="516"/>
      <c r="L2192" s="581"/>
      <c r="M2192" s="493"/>
      <c r="N2192" s="493"/>
      <c r="O2192" s="498"/>
      <c r="P2192" s="503">
        <f t="shared" si="170"/>
        <v>0</v>
      </c>
      <c r="Q2192" s="503">
        <f t="shared" si="171"/>
        <v>0</v>
      </c>
      <c r="R2192" s="504" t="str">
        <f t="shared" si="172"/>
        <v/>
      </c>
      <c r="S2192" s="504" t="str">
        <f>IF(D2192="","",IF(OR(D2192=Plano!$A$1,D2192=Plano!$B$1),"entrada","saída"))</f>
        <v/>
      </c>
      <c r="T2192" s="505"/>
      <c r="U2192" s="505"/>
      <c r="V2192" s="541"/>
    </row>
    <row r="2193" spans="1:22" ht="12.75" customHeight="1" x14ac:dyDescent="0.2">
      <c r="A2193" s="493" t="str">
        <f>IF(B2193="","",COUNT('Diário 5º PA'!$A$5:$A$2634)+COUNT('Diário 6º PA'!$A$5:$A$2246)+COUNT('Diário 7º PA'!$A$5:$A$2271)+ROW()-4)</f>
        <v/>
      </c>
      <c r="B2193" s="494"/>
      <c r="C2193" s="507"/>
      <c r="D2193" s="495"/>
      <c r="E2193" s="495"/>
      <c r="F2193" s="496"/>
      <c r="G2193" s="495"/>
      <c r="H2193" s="495"/>
      <c r="I2193" s="581"/>
      <c r="J2193" s="495"/>
      <c r="K2193" s="516"/>
      <c r="L2193" s="581"/>
      <c r="M2193" s="493"/>
      <c r="N2193" s="493"/>
      <c r="O2193" s="498"/>
      <c r="P2193" s="503">
        <f t="shared" si="170"/>
        <v>0</v>
      </c>
      <c r="Q2193" s="503">
        <f t="shared" si="171"/>
        <v>0</v>
      </c>
      <c r="R2193" s="504" t="str">
        <f t="shared" si="172"/>
        <v/>
      </c>
      <c r="S2193" s="504" t="str">
        <f>IF(D2193="","",IF(OR(D2193=Plano!$A$1,D2193=Plano!$B$1),"entrada","saída"))</f>
        <v/>
      </c>
      <c r="T2193" s="505"/>
      <c r="U2193" s="505"/>
      <c r="V2193" s="541"/>
    </row>
    <row r="2194" spans="1:22" ht="12.75" customHeight="1" x14ac:dyDescent="0.2">
      <c r="A2194" s="493" t="str">
        <f>IF(B2194="","",COUNT('Diário 5º PA'!$A$5:$A$2634)+COUNT('Diário 6º PA'!$A$5:$A$2246)+COUNT('Diário 7º PA'!$A$5:$A$2271)+ROW()-4)</f>
        <v/>
      </c>
      <c r="B2194" s="494"/>
      <c r="C2194" s="507"/>
      <c r="D2194" s="495"/>
      <c r="E2194" s="495"/>
      <c r="F2194" s="496"/>
      <c r="G2194" s="495"/>
      <c r="H2194" s="495"/>
      <c r="I2194" s="581"/>
      <c r="J2194" s="495"/>
      <c r="K2194" s="516"/>
      <c r="L2194" s="581"/>
      <c r="M2194" s="493"/>
      <c r="N2194" s="493"/>
      <c r="O2194" s="498"/>
      <c r="P2194" s="503">
        <f t="shared" si="170"/>
        <v>0</v>
      </c>
      <c r="Q2194" s="503">
        <f t="shared" si="171"/>
        <v>0</v>
      </c>
      <c r="R2194" s="504" t="str">
        <f t="shared" si="172"/>
        <v/>
      </c>
      <c r="S2194" s="504" t="str">
        <f>IF(D2194="","",IF(OR(D2194=Plano!$A$1,D2194=Plano!$B$1),"entrada","saída"))</f>
        <v/>
      </c>
      <c r="T2194" s="505"/>
      <c r="U2194" s="505"/>
      <c r="V2194" s="541"/>
    </row>
    <row r="2195" spans="1:22" ht="12.75" customHeight="1" x14ac:dyDescent="0.2">
      <c r="A2195" s="493" t="str">
        <f>IF(B2195="","",COUNT('Diário 5º PA'!$A$5:$A$2634)+COUNT('Diário 6º PA'!$A$5:$A$2246)+COUNT('Diário 7º PA'!$A$5:$A$2271)+ROW()-4)</f>
        <v/>
      </c>
      <c r="B2195" s="494"/>
      <c r="C2195" s="507"/>
      <c r="D2195" s="495"/>
      <c r="E2195" s="495"/>
      <c r="F2195" s="496"/>
      <c r="G2195" s="495"/>
      <c r="H2195" s="495"/>
      <c r="I2195" s="581"/>
      <c r="J2195" s="495"/>
      <c r="K2195" s="516"/>
      <c r="L2195" s="581"/>
      <c r="M2195" s="493"/>
      <c r="N2195" s="493"/>
      <c r="O2195" s="498"/>
      <c r="P2195" s="503">
        <f t="shared" si="170"/>
        <v>0</v>
      </c>
      <c r="Q2195" s="503">
        <f t="shared" si="171"/>
        <v>0</v>
      </c>
      <c r="R2195" s="504" t="str">
        <f t="shared" si="172"/>
        <v/>
      </c>
      <c r="S2195" s="504" t="str">
        <f>IF(D2195="","",IF(OR(D2195=Plano!$A$1,D2195=Plano!$B$1),"entrada","saída"))</f>
        <v/>
      </c>
      <c r="T2195" s="505"/>
      <c r="U2195" s="505"/>
      <c r="V2195" s="541"/>
    </row>
    <row r="2196" spans="1:22" ht="12.75" customHeight="1" x14ac:dyDescent="0.2">
      <c r="A2196" s="493" t="str">
        <f>IF(B2196="","",COUNT('Diário 5º PA'!$A$5:$A$2634)+COUNT('Diário 6º PA'!$A$5:$A$2246)+COUNT('Diário 7º PA'!$A$5:$A$2271)+ROW()-4)</f>
        <v/>
      </c>
      <c r="B2196" s="494"/>
      <c r="C2196" s="507"/>
      <c r="D2196" s="495"/>
      <c r="E2196" s="495"/>
      <c r="F2196" s="496"/>
      <c r="G2196" s="495"/>
      <c r="H2196" s="495"/>
      <c r="I2196" s="581"/>
      <c r="J2196" s="495"/>
      <c r="K2196" s="516"/>
      <c r="L2196" s="581"/>
      <c r="M2196" s="493"/>
      <c r="N2196" s="493"/>
      <c r="O2196" s="498"/>
      <c r="P2196" s="503">
        <f t="shared" si="170"/>
        <v>0</v>
      </c>
      <c r="Q2196" s="503">
        <f t="shared" si="171"/>
        <v>0</v>
      </c>
      <c r="R2196" s="504" t="str">
        <f t="shared" si="172"/>
        <v/>
      </c>
      <c r="S2196" s="504" t="str">
        <f>IF(D2196="","",IF(OR(D2196=Plano!$A$1,D2196=Plano!$B$1),"entrada","saída"))</f>
        <v/>
      </c>
      <c r="T2196" s="505"/>
      <c r="U2196" s="505"/>
      <c r="V2196" s="541"/>
    </row>
    <row r="2197" spans="1:22" ht="12.75" customHeight="1" x14ac:dyDescent="0.2">
      <c r="A2197" s="493" t="str">
        <f>IF(B2197="","",COUNT('Diário 5º PA'!$A$5:$A$2634)+COUNT('Diário 6º PA'!$A$5:$A$2246)+COUNT('Diário 7º PA'!$A$5:$A$2271)+ROW()-4)</f>
        <v/>
      </c>
      <c r="B2197" s="494"/>
      <c r="C2197" s="507"/>
      <c r="D2197" s="495"/>
      <c r="E2197" s="495"/>
      <c r="F2197" s="496"/>
      <c r="G2197" s="495"/>
      <c r="H2197" s="495"/>
      <c r="I2197" s="581"/>
      <c r="J2197" s="495"/>
      <c r="K2197" s="516"/>
      <c r="L2197" s="581"/>
      <c r="M2197" s="493"/>
      <c r="N2197" s="493"/>
      <c r="O2197" s="498"/>
      <c r="P2197" s="503">
        <f t="shared" si="170"/>
        <v>0</v>
      </c>
      <c r="Q2197" s="503">
        <f t="shared" si="171"/>
        <v>0</v>
      </c>
      <c r="R2197" s="504" t="str">
        <f t="shared" si="172"/>
        <v/>
      </c>
      <c r="S2197" s="504" t="str">
        <f>IF(D2197="","",IF(OR(D2197=Plano!$A$1,D2197=Plano!$B$1),"entrada","saída"))</f>
        <v/>
      </c>
      <c r="T2197" s="505"/>
      <c r="U2197" s="505"/>
      <c r="V2197" s="541"/>
    </row>
    <row r="2198" spans="1:22" ht="12.75" customHeight="1" x14ac:dyDescent="0.2">
      <c r="A2198" s="493" t="str">
        <f>IF(B2198="","",COUNT('Diário 5º PA'!$A$5:$A$2634)+COUNT('Diário 6º PA'!$A$5:$A$2246)+COUNT('Diário 7º PA'!$A$5:$A$2271)+ROW()-4)</f>
        <v/>
      </c>
      <c r="B2198" s="494"/>
      <c r="C2198" s="507"/>
      <c r="D2198" s="495"/>
      <c r="E2198" s="495"/>
      <c r="F2198" s="496"/>
      <c r="G2198" s="495"/>
      <c r="H2198" s="495"/>
      <c r="I2198" s="581"/>
      <c r="J2198" s="495"/>
      <c r="K2198" s="516"/>
      <c r="L2198" s="581"/>
      <c r="M2198" s="493"/>
      <c r="N2198" s="493"/>
      <c r="O2198" s="498"/>
      <c r="P2198" s="503">
        <f t="shared" ref="P2198:P2261" si="173">IF(B2198=0,0,IF(YEAR(B2198)=$Q$1,MONTH(B2198)-$P$1+1,(YEAR(B2198)-$Q$1)*12-$P$1+1+MONTH(B2198)))</f>
        <v>0</v>
      </c>
      <c r="Q2198" s="503">
        <f t="shared" ref="Q2198:Q2261" si="174">IF(C2198=0,0,IF(YEAR(C2198)=$Q$1,MONTH(C2198)-$P$1+1,(YEAR(C2198)-$Q$1)*12-$P$1+1+MONTH(C2198)))</f>
        <v>0</v>
      </c>
      <c r="R2198" s="504" t="str">
        <f t="shared" ref="R2198:R2261" si="175">SUBSTITUTE(D2198," ","_")</f>
        <v/>
      </c>
      <c r="S2198" s="504" t="str">
        <f>IF(D2198="","",IF(OR(D2198=Plano!$A$1,D2198=Plano!$B$1),"entrada","saída"))</f>
        <v/>
      </c>
      <c r="T2198" s="505"/>
      <c r="U2198" s="505"/>
      <c r="V2198" s="541"/>
    </row>
    <row r="2199" spans="1:22" ht="12.75" customHeight="1" x14ac:dyDescent="0.2">
      <c r="A2199" s="493" t="str">
        <f>IF(B2199="","",COUNT('Diário 5º PA'!$A$5:$A$2634)+COUNT('Diário 6º PA'!$A$5:$A$2246)+COUNT('Diário 7º PA'!$A$5:$A$2271)+ROW()-4)</f>
        <v/>
      </c>
      <c r="B2199" s="494"/>
      <c r="C2199" s="507"/>
      <c r="D2199" s="495"/>
      <c r="E2199" s="495"/>
      <c r="F2199" s="496"/>
      <c r="G2199" s="495"/>
      <c r="H2199" s="495"/>
      <c r="I2199" s="581"/>
      <c r="J2199" s="495"/>
      <c r="K2199" s="516"/>
      <c r="L2199" s="581"/>
      <c r="M2199" s="493"/>
      <c r="N2199" s="493"/>
      <c r="O2199" s="498"/>
      <c r="P2199" s="503">
        <f t="shared" si="173"/>
        <v>0</v>
      </c>
      <c r="Q2199" s="503">
        <f t="shared" si="174"/>
        <v>0</v>
      </c>
      <c r="R2199" s="504" t="str">
        <f t="shared" si="175"/>
        <v/>
      </c>
      <c r="S2199" s="504" t="str">
        <f>IF(D2199="","",IF(OR(D2199=Plano!$A$1,D2199=Plano!$B$1),"entrada","saída"))</f>
        <v/>
      </c>
      <c r="T2199" s="505"/>
      <c r="U2199" s="505"/>
      <c r="V2199" s="541"/>
    </row>
    <row r="2200" spans="1:22" ht="12.75" customHeight="1" x14ac:dyDescent="0.2">
      <c r="A2200" s="493" t="str">
        <f>IF(B2200="","",COUNT('Diário 5º PA'!$A$5:$A$2634)+COUNT('Diário 6º PA'!$A$5:$A$2246)+COUNT('Diário 7º PA'!$A$5:$A$2271)+ROW()-4)</f>
        <v/>
      </c>
      <c r="B2200" s="494"/>
      <c r="C2200" s="507"/>
      <c r="D2200" s="495"/>
      <c r="E2200" s="495"/>
      <c r="F2200" s="496"/>
      <c r="G2200" s="495"/>
      <c r="H2200" s="495"/>
      <c r="I2200" s="581"/>
      <c r="J2200" s="495"/>
      <c r="K2200" s="516"/>
      <c r="L2200" s="581"/>
      <c r="M2200" s="493"/>
      <c r="N2200" s="493"/>
      <c r="O2200" s="498"/>
      <c r="P2200" s="503">
        <f t="shared" si="173"/>
        <v>0</v>
      </c>
      <c r="Q2200" s="503">
        <f t="shared" si="174"/>
        <v>0</v>
      </c>
      <c r="R2200" s="504" t="str">
        <f t="shared" si="175"/>
        <v/>
      </c>
      <c r="S2200" s="504" t="str">
        <f>IF(D2200="","",IF(OR(D2200=Plano!$A$1,D2200=Plano!$B$1),"entrada","saída"))</f>
        <v/>
      </c>
      <c r="T2200" s="505"/>
      <c r="U2200" s="505"/>
      <c r="V2200" s="541"/>
    </row>
    <row r="2201" spans="1:22" ht="12.75" customHeight="1" x14ac:dyDescent="0.2">
      <c r="A2201" s="493" t="str">
        <f>IF(B2201="","",COUNT('Diário 5º PA'!$A$5:$A$2634)+COUNT('Diário 6º PA'!$A$5:$A$2246)+COUNT('Diário 7º PA'!$A$5:$A$2271)+ROW()-4)</f>
        <v/>
      </c>
      <c r="B2201" s="494"/>
      <c r="C2201" s="507"/>
      <c r="D2201" s="495"/>
      <c r="E2201" s="495"/>
      <c r="F2201" s="496"/>
      <c r="G2201" s="495"/>
      <c r="H2201" s="495"/>
      <c r="I2201" s="581"/>
      <c r="J2201" s="495"/>
      <c r="K2201" s="516"/>
      <c r="L2201" s="581"/>
      <c r="M2201" s="493"/>
      <c r="N2201" s="493"/>
      <c r="O2201" s="498"/>
      <c r="P2201" s="503">
        <f t="shared" si="173"/>
        <v>0</v>
      </c>
      <c r="Q2201" s="503">
        <f t="shared" si="174"/>
        <v>0</v>
      </c>
      <c r="R2201" s="504" t="str">
        <f t="shared" si="175"/>
        <v/>
      </c>
      <c r="S2201" s="504" t="str">
        <f>IF(D2201="","",IF(OR(D2201=Plano!$A$1,D2201=Plano!$B$1),"entrada","saída"))</f>
        <v/>
      </c>
      <c r="T2201" s="505"/>
      <c r="U2201" s="505"/>
      <c r="V2201" s="541"/>
    </row>
    <row r="2202" spans="1:22" ht="12.75" customHeight="1" x14ac:dyDescent="0.2">
      <c r="A2202" s="493" t="str">
        <f>IF(B2202="","",COUNT('Diário 5º PA'!$A$5:$A$2634)+COUNT('Diário 6º PA'!$A$5:$A$2246)+COUNT('Diário 7º PA'!$A$5:$A$2271)+ROW()-4)</f>
        <v/>
      </c>
      <c r="B2202" s="494"/>
      <c r="C2202" s="507"/>
      <c r="D2202" s="495"/>
      <c r="E2202" s="495"/>
      <c r="F2202" s="496"/>
      <c r="G2202" s="495"/>
      <c r="H2202" s="495"/>
      <c r="I2202" s="581"/>
      <c r="J2202" s="495"/>
      <c r="K2202" s="516"/>
      <c r="L2202" s="581"/>
      <c r="M2202" s="493"/>
      <c r="N2202" s="493"/>
      <c r="O2202" s="498"/>
      <c r="P2202" s="503">
        <f t="shared" si="173"/>
        <v>0</v>
      </c>
      <c r="Q2202" s="503">
        <f t="shared" si="174"/>
        <v>0</v>
      </c>
      <c r="R2202" s="504" t="str">
        <f t="shared" si="175"/>
        <v/>
      </c>
      <c r="S2202" s="504" t="str">
        <f>IF(D2202="","",IF(OR(D2202=Plano!$A$1,D2202=Plano!$B$1),"entrada","saída"))</f>
        <v/>
      </c>
      <c r="T2202" s="505"/>
      <c r="U2202" s="505"/>
      <c r="V2202" s="541"/>
    </row>
    <row r="2203" spans="1:22" ht="12.75" customHeight="1" x14ac:dyDescent="0.2">
      <c r="A2203" s="493" t="str">
        <f>IF(B2203="","",COUNT('Diário 5º PA'!$A$5:$A$2634)+COUNT('Diário 6º PA'!$A$5:$A$2246)+COUNT('Diário 7º PA'!$A$5:$A$2271)+ROW()-4)</f>
        <v/>
      </c>
      <c r="B2203" s="494"/>
      <c r="C2203" s="507"/>
      <c r="D2203" s="495"/>
      <c r="E2203" s="495"/>
      <c r="F2203" s="496"/>
      <c r="G2203" s="495"/>
      <c r="H2203" s="495"/>
      <c r="I2203" s="581"/>
      <c r="J2203" s="495"/>
      <c r="K2203" s="516"/>
      <c r="L2203" s="581"/>
      <c r="M2203" s="493"/>
      <c r="N2203" s="493"/>
      <c r="O2203" s="498"/>
      <c r="P2203" s="503">
        <f t="shared" si="173"/>
        <v>0</v>
      </c>
      <c r="Q2203" s="503">
        <f t="shared" si="174"/>
        <v>0</v>
      </c>
      <c r="R2203" s="504" t="str">
        <f t="shared" si="175"/>
        <v/>
      </c>
      <c r="S2203" s="504" t="str">
        <f>IF(D2203="","",IF(OR(D2203=Plano!$A$1,D2203=Plano!$B$1),"entrada","saída"))</f>
        <v/>
      </c>
      <c r="T2203" s="505"/>
      <c r="U2203" s="505"/>
      <c r="V2203" s="541"/>
    </row>
    <row r="2204" spans="1:22" ht="12.75" customHeight="1" x14ac:dyDescent="0.2">
      <c r="A2204" s="493" t="str">
        <f>IF(B2204="","",COUNT('Diário 5º PA'!$A$5:$A$2634)+COUNT('Diário 6º PA'!$A$5:$A$2246)+COUNT('Diário 7º PA'!$A$5:$A$2271)+ROW()-4)</f>
        <v/>
      </c>
      <c r="B2204" s="494"/>
      <c r="C2204" s="507"/>
      <c r="D2204" s="495"/>
      <c r="E2204" s="495"/>
      <c r="F2204" s="496"/>
      <c r="G2204" s="495"/>
      <c r="H2204" s="495"/>
      <c r="I2204" s="581"/>
      <c r="J2204" s="495"/>
      <c r="K2204" s="516"/>
      <c r="L2204" s="581"/>
      <c r="M2204" s="493"/>
      <c r="N2204" s="493"/>
      <c r="O2204" s="498"/>
      <c r="P2204" s="503">
        <f t="shared" si="173"/>
        <v>0</v>
      </c>
      <c r="Q2204" s="503">
        <f t="shared" si="174"/>
        <v>0</v>
      </c>
      <c r="R2204" s="504" t="str">
        <f t="shared" si="175"/>
        <v/>
      </c>
      <c r="S2204" s="504" t="str">
        <f>IF(D2204="","",IF(OR(D2204=Plano!$A$1,D2204=Plano!$B$1),"entrada","saída"))</f>
        <v/>
      </c>
      <c r="T2204" s="505"/>
      <c r="U2204" s="505"/>
      <c r="V2204" s="541"/>
    </row>
    <row r="2205" spans="1:22" ht="12.75" customHeight="1" x14ac:dyDescent="0.2">
      <c r="A2205" s="493" t="str">
        <f>IF(B2205="","",COUNT('Diário 5º PA'!$A$5:$A$2634)+COUNT('Diário 6º PA'!$A$5:$A$2246)+COUNT('Diário 7º PA'!$A$5:$A$2271)+ROW()-4)</f>
        <v/>
      </c>
      <c r="B2205" s="494"/>
      <c r="C2205" s="507"/>
      <c r="D2205" s="495"/>
      <c r="E2205" s="495"/>
      <c r="F2205" s="496"/>
      <c r="G2205" s="495"/>
      <c r="H2205" s="495"/>
      <c r="I2205" s="581"/>
      <c r="J2205" s="495"/>
      <c r="K2205" s="516"/>
      <c r="L2205" s="581"/>
      <c r="M2205" s="493"/>
      <c r="N2205" s="493"/>
      <c r="O2205" s="498"/>
      <c r="P2205" s="503">
        <f t="shared" si="173"/>
        <v>0</v>
      </c>
      <c r="Q2205" s="503">
        <f t="shared" si="174"/>
        <v>0</v>
      </c>
      <c r="R2205" s="504" t="str">
        <f t="shared" si="175"/>
        <v/>
      </c>
      <c r="S2205" s="504" t="str">
        <f>IF(D2205="","",IF(OR(D2205=Plano!$A$1,D2205=Plano!$B$1),"entrada","saída"))</f>
        <v/>
      </c>
      <c r="T2205" s="505"/>
      <c r="U2205" s="505"/>
      <c r="V2205" s="541"/>
    </row>
    <row r="2206" spans="1:22" ht="12.75" customHeight="1" x14ac:dyDescent="0.2">
      <c r="A2206" s="493" t="str">
        <f>IF(B2206="","",COUNT('Diário 5º PA'!$A$5:$A$2634)+COUNT('Diário 6º PA'!$A$5:$A$2246)+COUNT('Diário 7º PA'!$A$5:$A$2271)+ROW()-4)</f>
        <v/>
      </c>
      <c r="B2206" s="494"/>
      <c r="C2206" s="507"/>
      <c r="D2206" s="495"/>
      <c r="E2206" s="495"/>
      <c r="F2206" s="496"/>
      <c r="G2206" s="495"/>
      <c r="H2206" s="495"/>
      <c r="I2206" s="581"/>
      <c r="J2206" s="495"/>
      <c r="K2206" s="516"/>
      <c r="L2206" s="581"/>
      <c r="M2206" s="493"/>
      <c r="N2206" s="493"/>
      <c r="O2206" s="498"/>
      <c r="P2206" s="503">
        <f t="shared" si="173"/>
        <v>0</v>
      </c>
      <c r="Q2206" s="503">
        <f t="shared" si="174"/>
        <v>0</v>
      </c>
      <c r="R2206" s="504" t="str">
        <f t="shared" si="175"/>
        <v/>
      </c>
      <c r="S2206" s="504" t="str">
        <f>IF(D2206="","",IF(OR(D2206=Plano!$A$1,D2206=Plano!$B$1),"entrada","saída"))</f>
        <v/>
      </c>
      <c r="T2206" s="505"/>
      <c r="U2206" s="505"/>
      <c r="V2206" s="541"/>
    </row>
    <row r="2207" spans="1:22" ht="12.75" customHeight="1" x14ac:dyDescent="0.2">
      <c r="A2207" s="493" t="str">
        <f>IF(B2207="","",COUNT('Diário 5º PA'!$A$5:$A$2634)+COUNT('Diário 6º PA'!$A$5:$A$2246)+COUNT('Diário 7º PA'!$A$5:$A$2271)+ROW()-4)</f>
        <v/>
      </c>
      <c r="B2207" s="494"/>
      <c r="C2207" s="507"/>
      <c r="D2207" s="495"/>
      <c r="E2207" s="495"/>
      <c r="F2207" s="496"/>
      <c r="G2207" s="495"/>
      <c r="H2207" s="495"/>
      <c r="I2207" s="581"/>
      <c r="J2207" s="495"/>
      <c r="K2207" s="516"/>
      <c r="L2207" s="581"/>
      <c r="M2207" s="493"/>
      <c r="N2207" s="493"/>
      <c r="O2207" s="498"/>
      <c r="P2207" s="503">
        <f t="shared" si="173"/>
        <v>0</v>
      </c>
      <c r="Q2207" s="503">
        <f t="shared" si="174"/>
        <v>0</v>
      </c>
      <c r="R2207" s="504" t="str">
        <f t="shared" si="175"/>
        <v/>
      </c>
      <c r="S2207" s="504" t="str">
        <f>IF(D2207="","",IF(OR(D2207=Plano!$A$1,D2207=Plano!$B$1),"entrada","saída"))</f>
        <v/>
      </c>
      <c r="T2207" s="505"/>
      <c r="U2207" s="505"/>
      <c r="V2207" s="541"/>
    </row>
    <row r="2208" spans="1:22" ht="12.75" customHeight="1" x14ac:dyDescent="0.2">
      <c r="A2208" s="493" t="str">
        <f>IF(B2208="","",COUNT('Diário 5º PA'!$A$5:$A$2634)+COUNT('Diário 6º PA'!$A$5:$A$2246)+COUNT('Diário 7º PA'!$A$5:$A$2271)+ROW()-4)</f>
        <v/>
      </c>
      <c r="B2208" s="494"/>
      <c r="C2208" s="507"/>
      <c r="D2208" s="495"/>
      <c r="E2208" s="495"/>
      <c r="F2208" s="496"/>
      <c r="G2208" s="495"/>
      <c r="H2208" s="495"/>
      <c r="I2208" s="581"/>
      <c r="J2208" s="495"/>
      <c r="K2208" s="516"/>
      <c r="L2208" s="581"/>
      <c r="M2208" s="493"/>
      <c r="N2208" s="493"/>
      <c r="O2208" s="498"/>
      <c r="P2208" s="503">
        <f t="shared" si="173"/>
        <v>0</v>
      </c>
      <c r="Q2208" s="503">
        <f t="shared" si="174"/>
        <v>0</v>
      </c>
      <c r="R2208" s="504" t="str">
        <f t="shared" si="175"/>
        <v/>
      </c>
      <c r="S2208" s="504" t="str">
        <f>IF(D2208="","",IF(OR(D2208=Plano!$A$1,D2208=Plano!$B$1),"entrada","saída"))</f>
        <v/>
      </c>
      <c r="T2208" s="505"/>
      <c r="U2208" s="505"/>
      <c r="V2208" s="541"/>
    </row>
    <row r="2209" spans="1:22" ht="12.75" customHeight="1" x14ac:dyDescent="0.2">
      <c r="A2209" s="493" t="str">
        <f>IF(B2209="","",COUNT('Diário 5º PA'!$A$5:$A$2634)+COUNT('Diário 6º PA'!$A$5:$A$2246)+COUNT('Diário 7º PA'!$A$5:$A$2271)+ROW()-4)</f>
        <v/>
      </c>
      <c r="B2209" s="494"/>
      <c r="C2209" s="507"/>
      <c r="D2209" s="495"/>
      <c r="E2209" s="495"/>
      <c r="F2209" s="496"/>
      <c r="G2209" s="495"/>
      <c r="H2209" s="495"/>
      <c r="I2209" s="581"/>
      <c r="J2209" s="495"/>
      <c r="K2209" s="516"/>
      <c r="L2209" s="581"/>
      <c r="M2209" s="493"/>
      <c r="N2209" s="493"/>
      <c r="O2209" s="498"/>
      <c r="P2209" s="503">
        <f t="shared" si="173"/>
        <v>0</v>
      </c>
      <c r="Q2209" s="503">
        <f t="shared" si="174"/>
        <v>0</v>
      </c>
      <c r="R2209" s="504" t="str">
        <f t="shared" si="175"/>
        <v/>
      </c>
      <c r="S2209" s="504" t="str">
        <f>IF(D2209="","",IF(OR(D2209=Plano!$A$1,D2209=Plano!$B$1),"entrada","saída"))</f>
        <v/>
      </c>
      <c r="T2209" s="505"/>
      <c r="U2209" s="505"/>
      <c r="V2209" s="541"/>
    </row>
    <row r="2210" spans="1:22" ht="12.75" customHeight="1" x14ac:dyDescent="0.2">
      <c r="A2210" s="493" t="str">
        <f>IF(B2210="","",COUNT('Diário 5º PA'!$A$5:$A$2634)+COUNT('Diário 6º PA'!$A$5:$A$2246)+COUNT('Diário 7º PA'!$A$5:$A$2271)+ROW()-4)</f>
        <v/>
      </c>
      <c r="B2210" s="494"/>
      <c r="C2210" s="507"/>
      <c r="D2210" s="495"/>
      <c r="E2210" s="495"/>
      <c r="F2210" s="496"/>
      <c r="G2210" s="495"/>
      <c r="H2210" s="495"/>
      <c r="I2210" s="581"/>
      <c r="J2210" s="495"/>
      <c r="K2210" s="516"/>
      <c r="L2210" s="581"/>
      <c r="M2210" s="493"/>
      <c r="N2210" s="493"/>
      <c r="O2210" s="498"/>
      <c r="P2210" s="503">
        <f t="shared" si="173"/>
        <v>0</v>
      </c>
      <c r="Q2210" s="503">
        <f t="shared" si="174"/>
        <v>0</v>
      </c>
      <c r="R2210" s="504" t="str">
        <f t="shared" si="175"/>
        <v/>
      </c>
      <c r="S2210" s="504" t="str">
        <f>IF(D2210="","",IF(OR(D2210=Plano!$A$1,D2210=Plano!$B$1),"entrada","saída"))</f>
        <v/>
      </c>
      <c r="T2210" s="505"/>
      <c r="U2210" s="505"/>
      <c r="V2210" s="541"/>
    </row>
    <row r="2211" spans="1:22" ht="12.75" customHeight="1" x14ac:dyDescent="0.2">
      <c r="A2211" s="493" t="str">
        <f>IF(B2211="","",COUNT('Diário 5º PA'!$A$5:$A$2634)+COUNT('Diário 6º PA'!$A$5:$A$2246)+COUNT('Diário 7º PA'!$A$5:$A$2271)+ROW()-4)</f>
        <v/>
      </c>
      <c r="B2211" s="494"/>
      <c r="C2211" s="507"/>
      <c r="D2211" s="495"/>
      <c r="E2211" s="495"/>
      <c r="F2211" s="496"/>
      <c r="G2211" s="495"/>
      <c r="H2211" s="495"/>
      <c r="I2211" s="581"/>
      <c r="J2211" s="495"/>
      <c r="K2211" s="516"/>
      <c r="L2211" s="581"/>
      <c r="M2211" s="493"/>
      <c r="N2211" s="493"/>
      <c r="O2211" s="498"/>
      <c r="P2211" s="503">
        <f t="shared" si="173"/>
        <v>0</v>
      </c>
      <c r="Q2211" s="503">
        <f t="shared" si="174"/>
        <v>0</v>
      </c>
      <c r="R2211" s="504" t="str">
        <f t="shared" si="175"/>
        <v/>
      </c>
      <c r="S2211" s="504" t="str">
        <f>IF(D2211="","",IF(OR(D2211=Plano!$A$1,D2211=Plano!$B$1),"entrada","saída"))</f>
        <v/>
      </c>
      <c r="T2211" s="505"/>
      <c r="U2211" s="505"/>
      <c r="V2211" s="541"/>
    </row>
    <row r="2212" spans="1:22" ht="12.75" customHeight="1" x14ac:dyDescent="0.2">
      <c r="A2212" s="493" t="str">
        <f>IF(B2212="","",COUNT('Diário 5º PA'!$A$5:$A$2634)+COUNT('Diário 6º PA'!$A$5:$A$2246)+COUNT('Diário 7º PA'!$A$5:$A$2271)+ROW()-4)</f>
        <v/>
      </c>
      <c r="B2212" s="494"/>
      <c r="C2212" s="507"/>
      <c r="D2212" s="495"/>
      <c r="E2212" s="495"/>
      <c r="F2212" s="496"/>
      <c r="G2212" s="495"/>
      <c r="H2212" s="495"/>
      <c r="I2212" s="581"/>
      <c r="J2212" s="495"/>
      <c r="K2212" s="516"/>
      <c r="L2212" s="581"/>
      <c r="M2212" s="493"/>
      <c r="N2212" s="493"/>
      <c r="O2212" s="498"/>
      <c r="P2212" s="503">
        <f t="shared" si="173"/>
        <v>0</v>
      </c>
      <c r="Q2212" s="503">
        <f t="shared" si="174"/>
        <v>0</v>
      </c>
      <c r="R2212" s="504" t="str">
        <f t="shared" si="175"/>
        <v/>
      </c>
      <c r="S2212" s="504" t="str">
        <f>IF(D2212="","",IF(OR(D2212=Plano!$A$1,D2212=Plano!$B$1),"entrada","saída"))</f>
        <v/>
      </c>
      <c r="T2212" s="505"/>
      <c r="U2212" s="505"/>
      <c r="V2212" s="541"/>
    </row>
    <row r="2213" spans="1:22" ht="12.75" customHeight="1" x14ac:dyDescent="0.2">
      <c r="A2213" s="493" t="str">
        <f>IF(B2213="","",COUNT('Diário 5º PA'!$A$5:$A$2634)+COUNT('Diário 6º PA'!$A$5:$A$2246)+COUNT('Diário 7º PA'!$A$5:$A$2271)+ROW()-4)</f>
        <v/>
      </c>
      <c r="B2213" s="494"/>
      <c r="C2213" s="507"/>
      <c r="D2213" s="495"/>
      <c r="E2213" s="495"/>
      <c r="F2213" s="496"/>
      <c r="G2213" s="495"/>
      <c r="H2213" s="495"/>
      <c r="I2213" s="581"/>
      <c r="J2213" s="495"/>
      <c r="K2213" s="516"/>
      <c r="L2213" s="581"/>
      <c r="M2213" s="493"/>
      <c r="N2213" s="493"/>
      <c r="O2213" s="498"/>
      <c r="P2213" s="503">
        <f t="shared" si="173"/>
        <v>0</v>
      </c>
      <c r="Q2213" s="503">
        <f t="shared" si="174"/>
        <v>0</v>
      </c>
      <c r="R2213" s="504" t="str">
        <f t="shared" si="175"/>
        <v/>
      </c>
      <c r="S2213" s="504" t="str">
        <f>IF(D2213="","",IF(OR(D2213=Plano!$A$1,D2213=Plano!$B$1),"entrada","saída"))</f>
        <v/>
      </c>
      <c r="T2213" s="505"/>
      <c r="U2213" s="505"/>
      <c r="V2213" s="541"/>
    </row>
    <row r="2214" spans="1:22" ht="12.75" customHeight="1" x14ac:dyDescent="0.2">
      <c r="A2214" s="493" t="str">
        <f>IF(B2214="","",COUNT('Diário 5º PA'!$A$5:$A$2634)+COUNT('Diário 6º PA'!$A$5:$A$2246)+COUNT('Diário 7º PA'!$A$5:$A$2271)+ROW()-4)</f>
        <v/>
      </c>
      <c r="B2214" s="494"/>
      <c r="C2214" s="507"/>
      <c r="D2214" s="495"/>
      <c r="E2214" s="495"/>
      <c r="F2214" s="496"/>
      <c r="G2214" s="495"/>
      <c r="H2214" s="495"/>
      <c r="I2214" s="581"/>
      <c r="J2214" s="495"/>
      <c r="K2214" s="516"/>
      <c r="L2214" s="581"/>
      <c r="M2214" s="493"/>
      <c r="N2214" s="493"/>
      <c r="O2214" s="498"/>
      <c r="P2214" s="503">
        <f t="shared" si="173"/>
        <v>0</v>
      </c>
      <c r="Q2214" s="503">
        <f t="shared" si="174"/>
        <v>0</v>
      </c>
      <c r="R2214" s="504" t="str">
        <f t="shared" si="175"/>
        <v/>
      </c>
      <c r="S2214" s="504" t="str">
        <f>IF(D2214="","",IF(OR(D2214=Plano!$A$1,D2214=Plano!$B$1),"entrada","saída"))</f>
        <v/>
      </c>
      <c r="T2214" s="505"/>
      <c r="U2214" s="505"/>
      <c r="V2214" s="541"/>
    </row>
    <row r="2215" spans="1:22" ht="12.75" customHeight="1" x14ac:dyDescent="0.2">
      <c r="A2215" s="493" t="str">
        <f>IF(B2215="","",COUNT('Diário 5º PA'!$A$5:$A$2634)+COUNT('Diário 6º PA'!$A$5:$A$2246)+COUNT('Diário 7º PA'!$A$5:$A$2271)+ROW()-4)</f>
        <v/>
      </c>
      <c r="B2215" s="494"/>
      <c r="C2215" s="507"/>
      <c r="D2215" s="495"/>
      <c r="E2215" s="495"/>
      <c r="F2215" s="496"/>
      <c r="G2215" s="495"/>
      <c r="H2215" s="495"/>
      <c r="I2215" s="581"/>
      <c r="J2215" s="495"/>
      <c r="K2215" s="516"/>
      <c r="L2215" s="581"/>
      <c r="M2215" s="493"/>
      <c r="N2215" s="493"/>
      <c r="O2215" s="498"/>
      <c r="P2215" s="503">
        <f t="shared" si="173"/>
        <v>0</v>
      </c>
      <c r="Q2215" s="503">
        <f t="shared" si="174"/>
        <v>0</v>
      </c>
      <c r="R2215" s="504" t="str">
        <f t="shared" si="175"/>
        <v/>
      </c>
      <c r="S2215" s="504" t="str">
        <f>IF(D2215="","",IF(OR(D2215=Plano!$A$1,D2215=Plano!$B$1),"entrada","saída"))</f>
        <v/>
      </c>
      <c r="T2215" s="505"/>
      <c r="U2215" s="505"/>
      <c r="V2215" s="541"/>
    </row>
    <row r="2216" spans="1:22" ht="12.75" customHeight="1" x14ac:dyDescent="0.2">
      <c r="A2216" s="493" t="str">
        <f>IF(B2216="","",COUNT('Diário 5º PA'!$A$5:$A$2634)+COUNT('Diário 6º PA'!$A$5:$A$2246)+COUNT('Diário 7º PA'!$A$5:$A$2271)+ROW()-4)</f>
        <v/>
      </c>
      <c r="B2216" s="494"/>
      <c r="C2216" s="507"/>
      <c r="D2216" s="495"/>
      <c r="E2216" s="495"/>
      <c r="F2216" s="496"/>
      <c r="G2216" s="495"/>
      <c r="H2216" s="495"/>
      <c r="I2216" s="581"/>
      <c r="J2216" s="495"/>
      <c r="K2216" s="516"/>
      <c r="L2216" s="581"/>
      <c r="M2216" s="493"/>
      <c r="N2216" s="493"/>
      <c r="O2216" s="498"/>
      <c r="P2216" s="503">
        <f t="shared" si="173"/>
        <v>0</v>
      </c>
      <c r="Q2216" s="503">
        <f t="shared" si="174"/>
        <v>0</v>
      </c>
      <c r="R2216" s="504" t="str">
        <f t="shared" si="175"/>
        <v/>
      </c>
      <c r="S2216" s="504" t="str">
        <f>IF(D2216="","",IF(OR(D2216=Plano!$A$1,D2216=Plano!$B$1),"entrada","saída"))</f>
        <v/>
      </c>
      <c r="T2216" s="505"/>
      <c r="U2216" s="505"/>
      <c r="V2216" s="541"/>
    </row>
    <row r="2217" spans="1:22" ht="12.75" customHeight="1" x14ac:dyDescent="0.2">
      <c r="A2217" s="493" t="str">
        <f>IF(B2217="","",COUNT('Diário 5º PA'!$A$5:$A$2634)+COUNT('Diário 6º PA'!$A$5:$A$2246)+COUNT('Diário 7º PA'!$A$5:$A$2271)+ROW()-4)</f>
        <v/>
      </c>
      <c r="B2217" s="494"/>
      <c r="C2217" s="507"/>
      <c r="D2217" s="495"/>
      <c r="E2217" s="495"/>
      <c r="F2217" s="496"/>
      <c r="G2217" s="495"/>
      <c r="H2217" s="495"/>
      <c r="I2217" s="581"/>
      <c r="J2217" s="495"/>
      <c r="K2217" s="516"/>
      <c r="L2217" s="581"/>
      <c r="M2217" s="493"/>
      <c r="N2217" s="493"/>
      <c r="O2217" s="498"/>
      <c r="P2217" s="503">
        <f t="shared" si="173"/>
        <v>0</v>
      </c>
      <c r="Q2217" s="503">
        <f t="shared" si="174"/>
        <v>0</v>
      </c>
      <c r="R2217" s="504" t="str">
        <f t="shared" si="175"/>
        <v/>
      </c>
      <c r="S2217" s="504" t="str">
        <f>IF(D2217="","",IF(OR(D2217=Plano!$A$1,D2217=Plano!$B$1),"entrada","saída"))</f>
        <v/>
      </c>
      <c r="T2217" s="505"/>
      <c r="U2217" s="505"/>
      <c r="V2217" s="541"/>
    </row>
    <row r="2218" spans="1:22" ht="12.75" customHeight="1" x14ac:dyDescent="0.2">
      <c r="A2218" s="493" t="str">
        <f>IF(B2218="","",COUNT('Diário 5º PA'!$A$5:$A$2634)+COUNT('Diário 6º PA'!$A$5:$A$2246)+COUNT('Diário 7º PA'!$A$5:$A$2271)+ROW()-4)</f>
        <v/>
      </c>
      <c r="B2218" s="494"/>
      <c r="C2218" s="507"/>
      <c r="D2218" s="495"/>
      <c r="E2218" s="495"/>
      <c r="F2218" s="496"/>
      <c r="G2218" s="495"/>
      <c r="H2218" s="495"/>
      <c r="I2218" s="581"/>
      <c r="J2218" s="495"/>
      <c r="K2218" s="516"/>
      <c r="L2218" s="581"/>
      <c r="M2218" s="493"/>
      <c r="N2218" s="493"/>
      <c r="O2218" s="498"/>
      <c r="P2218" s="503">
        <f t="shared" si="173"/>
        <v>0</v>
      </c>
      <c r="Q2218" s="503">
        <f t="shared" si="174"/>
        <v>0</v>
      </c>
      <c r="R2218" s="504" t="str">
        <f t="shared" si="175"/>
        <v/>
      </c>
      <c r="S2218" s="504" t="str">
        <f>IF(D2218="","",IF(OR(D2218=Plano!$A$1,D2218=Plano!$B$1),"entrada","saída"))</f>
        <v/>
      </c>
      <c r="T2218" s="505"/>
      <c r="U2218" s="505"/>
      <c r="V2218" s="541"/>
    </row>
    <row r="2219" spans="1:22" ht="12.75" customHeight="1" x14ac:dyDescent="0.2">
      <c r="A2219" s="493" t="str">
        <f>IF(B2219="","",COUNT('Diário 5º PA'!$A$5:$A$2634)+COUNT('Diário 6º PA'!$A$5:$A$2246)+COUNT('Diário 7º PA'!$A$5:$A$2271)+ROW()-4)</f>
        <v/>
      </c>
      <c r="B2219" s="494"/>
      <c r="C2219" s="507"/>
      <c r="D2219" s="495"/>
      <c r="E2219" s="495"/>
      <c r="F2219" s="496"/>
      <c r="G2219" s="495"/>
      <c r="H2219" s="495"/>
      <c r="I2219" s="581"/>
      <c r="J2219" s="495"/>
      <c r="K2219" s="516"/>
      <c r="L2219" s="581"/>
      <c r="M2219" s="493"/>
      <c r="N2219" s="493"/>
      <c r="O2219" s="498"/>
      <c r="P2219" s="503">
        <f t="shared" si="173"/>
        <v>0</v>
      </c>
      <c r="Q2219" s="503">
        <f t="shared" si="174"/>
        <v>0</v>
      </c>
      <c r="R2219" s="504" t="str">
        <f t="shared" si="175"/>
        <v/>
      </c>
      <c r="S2219" s="504" t="str">
        <f>IF(D2219="","",IF(OR(D2219=Plano!$A$1,D2219=Plano!$B$1),"entrada","saída"))</f>
        <v/>
      </c>
      <c r="T2219" s="505"/>
      <c r="U2219" s="505"/>
      <c r="V2219" s="541"/>
    </row>
    <row r="2220" spans="1:22" ht="12.75" customHeight="1" x14ac:dyDescent="0.2">
      <c r="A2220" s="493" t="str">
        <f>IF(B2220="","",COUNT('Diário 5º PA'!$A$5:$A$2634)+COUNT('Diário 6º PA'!$A$5:$A$2246)+COUNT('Diário 7º PA'!$A$5:$A$2271)+ROW()-4)</f>
        <v/>
      </c>
      <c r="B2220" s="494"/>
      <c r="C2220" s="507"/>
      <c r="D2220" s="495"/>
      <c r="E2220" s="495"/>
      <c r="F2220" s="496"/>
      <c r="G2220" s="495"/>
      <c r="H2220" s="495"/>
      <c r="I2220" s="581"/>
      <c r="J2220" s="495"/>
      <c r="K2220" s="516"/>
      <c r="L2220" s="581"/>
      <c r="M2220" s="493"/>
      <c r="N2220" s="493"/>
      <c r="O2220" s="498"/>
      <c r="P2220" s="503">
        <f t="shared" si="173"/>
        <v>0</v>
      </c>
      <c r="Q2220" s="503">
        <f t="shared" si="174"/>
        <v>0</v>
      </c>
      <c r="R2220" s="504" t="str">
        <f t="shared" si="175"/>
        <v/>
      </c>
      <c r="S2220" s="504" t="str">
        <f>IF(D2220="","",IF(OR(D2220=Plano!$A$1,D2220=Plano!$B$1),"entrada","saída"))</f>
        <v/>
      </c>
      <c r="T2220" s="505"/>
      <c r="U2220" s="505"/>
      <c r="V2220" s="541"/>
    </row>
    <row r="2221" spans="1:22" ht="12.75" customHeight="1" x14ac:dyDescent="0.2">
      <c r="A2221" s="493" t="str">
        <f>IF(B2221="","",COUNT('Diário 5º PA'!$A$5:$A$2634)+COUNT('Diário 6º PA'!$A$5:$A$2246)+COUNT('Diário 7º PA'!$A$5:$A$2271)+ROW()-4)</f>
        <v/>
      </c>
      <c r="B2221" s="494"/>
      <c r="C2221" s="507"/>
      <c r="D2221" s="495"/>
      <c r="E2221" s="495"/>
      <c r="F2221" s="496"/>
      <c r="G2221" s="495"/>
      <c r="H2221" s="495"/>
      <c r="I2221" s="581"/>
      <c r="J2221" s="495"/>
      <c r="K2221" s="516"/>
      <c r="L2221" s="581"/>
      <c r="M2221" s="493"/>
      <c r="N2221" s="493"/>
      <c r="O2221" s="498"/>
      <c r="P2221" s="503">
        <f t="shared" si="173"/>
        <v>0</v>
      </c>
      <c r="Q2221" s="503">
        <f t="shared" si="174"/>
        <v>0</v>
      </c>
      <c r="R2221" s="504" t="str">
        <f t="shared" si="175"/>
        <v/>
      </c>
      <c r="S2221" s="504" t="str">
        <f>IF(D2221="","",IF(OR(D2221=Plano!$A$1,D2221=Plano!$B$1),"entrada","saída"))</f>
        <v/>
      </c>
      <c r="T2221" s="505"/>
      <c r="U2221" s="505"/>
      <c r="V2221" s="541"/>
    </row>
    <row r="2222" spans="1:22" ht="12.75" customHeight="1" x14ac:dyDescent="0.2">
      <c r="A2222" s="493" t="str">
        <f>IF(B2222="","",COUNT('Diário 5º PA'!$A$5:$A$2634)+COUNT('Diário 6º PA'!$A$5:$A$2246)+COUNT('Diário 7º PA'!$A$5:$A$2271)+ROW()-4)</f>
        <v/>
      </c>
      <c r="B2222" s="494"/>
      <c r="C2222" s="507"/>
      <c r="D2222" s="495"/>
      <c r="E2222" s="495"/>
      <c r="F2222" s="496"/>
      <c r="G2222" s="495"/>
      <c r="H2222" s="495"/>
      <c r="I2222" s="581"/>
      <c r="J2222" s="495"/>
      <c r="K2222" s="516"/>
      <c r="L2222" s="581"/>
      <c r="M2222" s="493"/>
      <c r="N2222" s="493"/>
      <c r="O2222" s="498"/>
      <c r="P2222" s="503">
        <f t="shared" si="173"/>
        <v>0</v>
      </c>
      <c r="Q2222" s="503">
        <f t="shared" si="174"/>
        <v>0</v>
      </c>
      <c r="R2222" s="504" t="str">
        <f t="shared" si="175"/>
        <v/>
      </c>
      <c r="S2222" s="504" t="str">
        <f>IF(D2222="","",IF(OR(D2222=Plano!$A$1,D2222=Plano!$B$1),"entrada","saída"))</f>
        <v/>
      </c>
      <c r="T2222" s="505"/>
      <c r="U2222" s="505"/>
      <c r="V2222" s="541"/>
    </row>
    <row r="2223" spans="1:22" ht="12.75" customHeight="1" x14ac:dyDescent="0.2">
      <c r="A2223" s="493" t="str">
        <f>IF(B2223="","",COUNT('Diário 5º PA'!$A$5:$A$2634)+COUNT('Diário 6º PA'!$A$5:$A$2246)+COUNT('Diário 7º PA'!$A$5:$A$2271)+ROW()-4)</f>
        <v/>
      </c>
      <c r="B2223" s="494"/>
      <c r="C2223" s="507"/>
      <c r="D2223" s="495"/>
      <c r="E2223" s="495"/>
      <c r="F2223" s="496"/>
      <c r="G2223" s="495"/>
      <c r="H2223" s="495"/>
      <c r="I2223" s="581"/>
      <c r="J2223" s="495"/>
      <c r="K2223" s="516"/>
      <c r="L2223" s="581"/>
      <c r="M2223" s="493"/>
      <c r="N2223" s="493"/>
      <c r="O2223" s="498"/>
      <c r="P2223" s="503">
        <f t="shared" si="173"/>
        <v>0</v>
      </c>
      <c r="Q2223" s="503">
        <f t="shared" si="174"/>
        <v>0</v>
      </c>
      <c r="R2223" s="504" t="str">
        <f t="shared" si="175"/>
        <v/>
      </c>
      <c r="S2223" s="504" t="str">
        <f>IF(D2223="","",IF(OR(D2223=Plano!$A$1,D2223=Plano!$B$1),"entrada","saída"))</f>
        <v/>
      </c>
      <c r="T2223" s="505"/>
      <c r="U2223" s="505"/>
      <c r="V2223" s="541"/>
    </row>
    <row r="2224" spans="1:22" ht="12.75" customHeight="1" x14ac:dyDescent="0.2">
      <c r="A2224" s="493" t="str">
        <f>IF(B2224="","",COUNT('Diário 5º PA'!$A$5:$A$2634)+COUNT('Diário 6º PA'!$A$5:$A$2246)+COUNT('Diário 7º PA'!$A$5:$A$2271)+ROW()-4)</f>
        <v/>
      </c>
      <c r="B2224" s="494"/>
      <c r="C2224" s="507"/>
      <c r="D2224" s="495"/>
      <c r="E2224" s="495"/>
      <c r="F2224" s="496"/>
      <c r="G2224" s="495"/>
      <c r="H2224" s="495"/>
      <c r="I2224" s="581"/>
      <c r="J2224" s="495"/>
      <c r="K2224" s="516"/>
      <c r="L2224" s="581"/>
      <c r="M2224" s="493"/>
      <c r="N2224" s="493"/>
      <c r="O2224" s="498"/>
      <c r="P2224" s="503">
        <f t="shared" si="173"/>
        <v>0</v>
      </c>
      <c r="Q2224" s="503">
        <f t="shared" si="174"/>
        <v>0</v>
      </c>
      <c r="R2224" s="504" t="str">
        <f t="shared" si="175"/>
        <v/>
      </c>
      <c r="S2224" s="504" t="str">
        <f>IF(D2224="","",IF(OR(D2224=Plano!$A$1,D2224=Plano!$B$1),"entrada","saída"))</f>
        <v/>
      </c>
      <c r="T2224" s="505"/>
      <c r="U2224" s="505"/>
      <c r="V2224" s="541"/>
    </row>
    <row r="2225" spans="1:22" ht="12.75" customHeight="1" x14ac:dyDescent="0.2">
      <c r="A2225" s="493" t="str">
        <f>IF(B2225="","",COUNT('Diário 5º PA'!$A$5:$A$2634)+COUNT('Diário 6º PA'!$A$5:$A$2246)+COUNT('Diário 7º PA'!$A$5:$A$2271)+ROW()-4)</f>
        <v/>
      </c>
      <c r="B2225" s="494"/>
      <c r="C2225" s="507"/>
      <c r="D2225" s="495"/>
      <c r="E2225" s="495"/>
      <c r="F2225" s="496"/>
      <c r="G2225" s="495"/>
      <c r="H2225" s="495"/>
      <c r="I2225" s="581"/>
      <c r="J2225" s="495"/>
      <c r="K2225" s="516"/>
      <c r="L2225" s="581"/>
      <c r="M2225" s="493"/>
      <c r="N2225" s="493"/>
      <c r="O2225" s="498"/>
      <c r="P2225" s="503">
        <f t="shared" si="173"/>
        <v>0</v>
      </c>
      <c r="Q2225" s="503">
        <f t="shared" si="174"/>
        <v>0</v>
      </c>
      <c r="R2225" s="504" t="str">
        <f t="shared" si="175"/>
        <v/>
      </c>
      <c r="S2225" s="504" t="str">
        <f>IF(D2225="","",IF(OR(D2225=Plano!$A$1,D2225=Plano!$B$1),"entrada","saída"))</f>
        <v/>
      </c>
      <c r="T2225" s="505"/>
      <c r="U2225" s="505"/>
      <c r="V2225" s="541"/>
    </row>
    <row r="2226" spans="1:22" ht="12.75" customHeight="1" x14ac:dyDescent="0.2">
      <c r="A2226" s="493" t="str">
        <f>IF(B2226="","",COUNT('Diário 5º PA'!$A$5:$A$2634)+COUNT('Diário 6º PA'!$A$5:$A$2246)+COUNT('Diário 7º PA'!$A$5:$A$2271)+ROW()-4)</f>
        <v/>
      </c>
      <c r="B2226" s="494"/>
      <c r="C2226" s="507"/>
      <c r="D2226" s="495"/>
      <c r="E2226" s="495"/>
      <c r="F2226" s="496"/>
      <c r="G2226" s="495"/>
      <c r="H2226" s="495"/>
      <c r="I2226" s="581"/>
      <c r="J2226" s="495"/>
      <c r="K2226" s="516"/>
      <c r="L2226" s="581"/>
      <c r="M2226" s="493"/>
      <c r="N2226" s="493"/>
      <c r="O2226" s="498"/>
      <c r="P2226" s="503">
        <f t="shared" si="173"/>
        <v>0</v>
      </c>
      <c r="Q2226" s="503">
        <f t="shared" si="174"/>
        <v>0</v>
      </c>
      <c r="R2226" s="504" t="str">
        <f t="shared" si="175"/>
        <v/>
      </c>
      <c r="S2226" s="504" t="str">
        <f>IF(D2226="","",IF(OR(D2226=Plano!$A$1,D2226=Plano!$B$1),"entrada","saída"))</f>
        <v/>
      </c>
      <c r="T2226" s="505"/>
      <c r="U2226" s="505"/>
      <c r="V2226" s="541"/>
    </row>
    <row r="2227" spans="1:22" ht="12.75" customHeight="1" x14ac:dyDescent="0.2">
      <c r="A2227" s="493" t="str">
        <f>IF(B2227="","",COUNT('Diário 5º PA'!$A$5:$A$2634)+COUNT('Diário 6º PA'!$A$5:$A$2246)+COUNT('Diário 7º PA'!$A$5:$A$2271)+ROW()-4)</f>
        <v/>
      </c>
      <c r="B2227" s="494"/>
      <c r="C2227" s="507"/>
      <c r="D2227" s="495"/>
      <c r="E2227" s="495"/>
      <c r="F2227" s="496"/>
      <c r="G2227" s="495"/>
      <c r="H2227" s="495"/>
      <c r="I2227" s="581"/>
      <c r="J2227" s="495"/>
      <c r="K2227" s="516"/>
      <c r="L2227" s="581"/>
      <c r="M2227" s="493"/>
      <c r="N2227" s="493"/>
      <c r="O2227" s="498"/>
      <c r="P2227" s="503">
        <f t="shared" si="173"/>
        <v>0</v>
      </c>
      <c r="Q2227" s="503">
        <f t="shared" si="174"/>
        <v>0</v>
      </c>
      <c r="R2227" s="504" t="str">
        <f t="shared" si="175"/>
        <v/>
      </c>
      <c r="S2227" s="504" t="str">
        <f>IF(D2227="","",IF(OR(D2227=Plano!$A$1,D2227=Plano!$B$1),"entrada","saída"))</f>
        <v/>
      </c>
      <c r="T2227" s="505"/>
      <c r="U2227" s="505"/>
      <c r="V2227" s="541"/>
    </row>
    <row r="2228" spans="1:22" ht="12.75" customHeight="1" x14ac:dyDescent="0.2">
      <c r="A2228" s="493" t="str">
        <f>IF(B2228="","",COUNT('Diário 5º PA'!$A$5:$A$2634)+COUNT('Diário 6º PA'!$A$5:$A$2246)+COUNT('Diário 7º PA'!$A$5:$A$2271)+ROW()-4)</f>
        <v/>
      </c>
      <c r="B2228" s="494"/>
      <c r="C2228" s="507"/>
      <c r="D2228" s="495"/>
      <c r="E2228" s="495"/>
      <c r="F2228" s="496"/>
      <c r="G2228" s="495"/>
      <c r="H2228" s="495"/>
      <c r="I2228" s="581"/>
      <c r="J2228" s="495"/>
      <c r="K2228" s="516"/>
      <c r="L2228" s="581"/>
      <c r="M2228" s="493"/>
      <c r="N2228" s="493"/>
      <c r="O2228" s="498"/>
      <c r="P2228" s="503">
        <f t="shared" si="173"/>
        <v>0</v>
      </c>
      <c r="Q2228" s="503">
        <f t="shared" si="174"/>
        <v>0</v>
      </c>
      <c r="R2228" s="504" t="str">
        <f t="shared" si="175"/>
        <v/>
      </c>
      <c r="S2228" s="504" t="str">
        <f>IF(D2228="","",IF(OR(D2228=Plano!$A$1,D2228=Plano!$B$1),"entrada","saída"))</f>
        <v/>
      </c>
      <c r="T2228" s="505"/>
      <c r="U2228" s="505"/>
      <c r="V2228" s="541"/>
    </row>
    <row r="2229" spans="1:22" ht="12.75" customHeight="1" x14ac:dyDescent="0.2">
      <c r="A2229" s="493" t="str">
        <f>IF(B2229="","",COUNT('Diário 5º PA'!$A$5:$A$2634)+COUNT('Diário 6º PA'!$A$5:$A$2246)+COUNT('Diário 7º PA'!$A$5:$A$2271)+ROW()-4)</f>
        <v/>
      </c>
      <c r="B2229" s="494"/>
      <c r="C2229" s="507"/>
      <c r="D2229" s="495"/>
      <c r="E2229" s="495"/>
      <c r="F2229" s="496"/>
      <c r="G2229" s="495"/>
      <c r="H2229" s="495"/>
      <c r="I2229" s="581"/>
      <c r="J2229" s="495"/>
      <c r="K2229" s="516"/>
      <c r="L2229" s="581"/>
      <c r="M2229" s="493"/>
      <c r="N2229" s="493"/>
      <c r="O2229" s="498"/>
      <c r="P2229" s="503">
        <f t="shared" si="173"/>
        <v>0</v>
      </c>
      <c r="Q2229" s="503">
        <f t="shared" si="174"/>
        <v>0</v>
      </c>
      <c r="R2229" s="504" t="str">
        <f t="shared" si="175"/>
        <v/>
      </c>
      <c r="S2229" s="504" t="str">
        <f>IF(D2229="","",IF(OR(D2229=Plano!$A$1,D2229=Plano!$B$1),"entrada","saída"))</f>
        <v/>
      </c>
      <c r="T2229" s="505"/>
      <c r="U2229" s="505"/>
      <c r="V2229" s="541"/>
    </row>
    <row r="2230" spans="1:22" ht="12.75" customHeight="1" x14ac:dyDescent="0.2">
      <c r="A2230" s="493" t="str">
        <f>IF(B2230="","",COUNT('Diário 5º PA'!$A$5:$A$2634)+COUNT('Diário 6º PA'!$A$5:$A$2246)+COUNT('Diário 7º PA'!$A$5:$A$2271)+ROW()-4)</f>
        <v/>
      </c>
      <c r="B2230" s="494"/>
      <c r="C2230" s="507"/>
      <c r="D2230" s="495"/>
      <c r="E2230" s="495"/>
      <c r="F2230" s="496"/>
      <c r="G2230" s="495"/>
      <c r="H2230" s="495"/>
      <c r="I2230" s="581"/>
      <c r="J2230" s="495"/>
      <c r="K2230" s="516"/>
      <c r="L2230" s="581"/>
      <c r="M2230" s="493"/>
      <c r="N2230" s="493"/>
      <c r="O2230" s="498"/>
      <c r="P2230" s="503">
        <f t="shared" si="173"/>
        <v>0</v>
      </c>
      <c r="Q2230" s="503">
        <f t="shared" si="174"/>
        <v>0</v>
      </c>
      <c r="R2230" s="504" t="str">
        <f t="shared" si="175"/>
        <v/>
      </c>
      <c r="S2230" s="504" t="str">
        <f>IF(D2230="","",IF(OR(D2230=Plano!$A$1,D2230=Plano!$B$1),"entrada","saída"))</f>
        <v/>
      </c>
      <c r="T2230" s="505"/>
      <c r="U2230" s="505"/>
      <c r="V2230" s="541"/>
    </row>
    <row r="2231" spans="1:22" ht="12.75" customHeight="1" x14ac:dyDescent="0.2">
      <c r="A2231" s="493" t="str">
        <f>IF(B2231="","",COUNT('Diário 5º PA'!$A$5:$A$2634)+COUNT('Diário 6º PA'!$A$5:$A$2246)+COUNT('Diário 7º PA'!$A$5:$A$2271)+ROW()-4)</f>
        <v/>
      </c>
      <c r="B2231" s="494"/>
      <c r="C2231" s="507"/>
      <c r="D2231" s="495"/>
      <c r="E2231" s="495"/>
      <c r="F2231" s="496"/>
      <c r="G2231" s="495"/>
      <c r="H2231" s="495"/>
      <c r="I2231" s="581"/>
      <c r="J2231" s="495"/>
      <c r="K2231" s="516"/>
      <c r="L2231" s="581"/>
      <c r="M2231" s="493"/>
      <c r="N2231" s="493"/>
      <c r="O2231" s="498"/>
      <c r="P2231" s="503">
        <f t="shared" si="173"/>
        <v>0</v>
      </c>
      <c r="Q2231" s="503">
        <f t="shared" si="174"/>
        <v>0</v>
      </c>
      <c r="R2231" s="504" t="str">
        <f t="shared" si="175"/>
        <v/>
      </c>
      <c r="S2231" s="504" t="str">
        <f>IF(D2231="","",IF(OR(D2231=Plano!$A$1,D2231=Plano!$B$1),"entrada","saída"))</f>
        <v/>
      </c>
      <c r="T2231" s="505"/>
      <c r="U2231" s="505"/>
      <c r="V2231" s="541"/>
    </row>
    <row r="2232" spans="1:22" ht="12.75" customHeight="1" x14ac:dyDescent="0.2">
      <c r="A2232" s="493" t="str">
        <f>IF(B2232="","",COUNT('Diário 5º PA'!$A$5:$A$2634)+COUNT('Diário 6º PA'!$A$5:$A$2246)+COUNT('Diário 7º PA'!$A$5:$A$2271)+ROW()-4)</f>
        <v/>
      </c>
      <c r="B2232" s="494"/>
      <c r="C2232" s="507"/>
      <c r="D2232" s="495"/>
      <c r="E2232" s="495"/>
      <c r="F2232" s="496"/>
      <c r="G2232" s="495"/>
      <c r="H2232" s="495"/>
      <c r="I2232" s="581"/>
      <c r="J2232" s="495"/>
      <c r="K2232" s="516"/>
      <c r="L2232" s="581"/>
      <c r="M2232" s="493"/>
      <c r="N2232" s="493"/>
      <c r="O2232" s="498"/>
      <c r="P2232" s="503">
        <f t="shared" si="173"/>
        <v>0</v>
      </c>
      <c r="Q2232" s="503">
        <f t="shared" si="174"/>
        <v>0</v>
      </c>
      <c r="R2232" s="504" t="str">
        <f t="shared" si="175"/>
        <v/>
      </c>
      <c r="S2232" s="504" t="str">
        <f>IF(D2232="","",IF(OR(D2232=Plano!$A$1,D2232=Plano!$B$1),"entrada","saída"))</f>
        <v/>
      </c>
      <c r="T2232" s="505"/>
      <c r="U2232" s="505"/>
      <c r="V2232" s="541"/>
    </row>
    <row r="2233" spans="1:22" ht="12.75" customHeight="1" x14ac:dyDescent="0.2">
      <c r="A2233" s="493" t="str">
        <f>IF(B2233="","",COUNT('Diário 5º PA'!$A$5:$A$2634)+COUNT('Diário 6º PA'!$A$5:$A$2246)+COUNT('Diário 7º PA'!$A$5:$A$2271)+ROW()-4)</f>
        <v/>
      </c>
      <c r="B2233" s="494"/>
      <c r="C2233" s="507"/>
      <c r="D2233" s="495"/>
      <c r="E2233" s="495"/>
      <c r="F2233" s="496"/>
      <c r="G2233" s="495"/>
      <c r="H2233" s="495"/>
      <c r="I2233" s="581"/>
      <c r="J2233" s="495"/>
      <c r="K2233" s="516"/>
      <c r="L2233" s="581"/>
      <c r="M2233" s="493"/>
      <c r="N2233" s="493"/>
      <c r="O2233" s="498"/>
      <c r="P2233" s="503">
        <f t="shared" si="173"/>
        <v>0</v>
      </c>
      <c r="Q2233" s="503">
        <f t="shared" si="174"/>
        <v>0</v>
      </c>
      <c r="R2233" s="504" t="str">
        <f t="shared" si="175"/>
        <v/>
      </c>
      <c r="S2233" s="504" t="str">
        <f>IF(D2233="","",IF(OR(D2233=Plano!$A$1,D2233=Plano!$B$1),"entrada","saída"))</f>
        <v/>
      </c>
      <c r="T2233" s="505"/>
      <c r="U2233" s="505"/>
      <c r="V2233" s="541"/>
    </row>
    <row r="2234" spans="1:22" ht="12.75" customHeight="1" x14ac:dyDescent="0.2">
      <c r="A2234" s="493" t="str">
        <f>IF(B2234="","",COUNT('Diário 5º PA'!$A$5:$A$2634)+COUNT('Diário 6º PA'!$A$5:$A$2246)+COUNT('Diário 7º PA'!$A$5:$A$2271)+ROW()-4)</f>
        <v/>
      </c>
      <c r="B2234" s="494"/>
      <c r="C2234" s="507"/>
      <c r="D2234" s="495"/>
      <c r="E2234" s="495"/>
      <c r="F2234" s="496"/>
      <c r="G2234" s="495"/>
      <c r="H2234" s="495"/>
      <c r="I2234" s="581"/>
      <c r="J2234" s="495"/>
      <c r="K2234" s="516"/>
      <c r="L2234" s="581"/>
      <c r="M2234" s="493"/>
      <c r="N2234" s="493"/>
      <c r="O2234" s="498"/>
      <c r="P2234" s="503">
        <f t="shared" si="173"/>
        <v>0</v>
      </c>
      <c r="Q2234" s="503">
        <f t="shared" si="174"/>
        <v>0</v>
      </c>
      <c r="R2234" s="504" t="str">
        <f t="shared" si="175"/>
        <v/>
      </c>
      <c r="S2234" s="504" t="str">
        <f>IF(D2234="","",IF(OR(D2234=Plano!$A$1,D2234=Plano!$B$1),"entrada","saída"))</f>
        <v/>
      </c>
      <c r="T2234" s="505"/>
      <c r="U2234" s="505"/>
      <c r="V2234" s="541"/>
    </row>
    <row r="2235" spans="1:22" ht="12.75" customHeight="1" x14ac:dyDescent="0.2">
      <c r="A2235" s="493" t="str">
        <f>IF(B2235="","",COUNT('Diário 5º PA'!$A$5:$A$2634)+COUNT('Diário 6º PA'!$A$5:$A$2246)+COUNT('Diário 7º PA'!$A$5:$A$2271)+ROW()-4)</f>
        <v/>
      </c>
      <c r="B2235" s="494"/>
      <c r="C2235" s="507"/>
      <c r="D2235" s="495"/>
      <c r="E2235" s="495"/>
      <c r="F2235" s="496"/>
      <c r="G2235" s="495"/>
      <c r="H2235" s="495"/>
      <c r="I2235" s="581"/>
      <c r="J2235" s="495"/>
      <c r="K2235" s="516"/>
      <c r="L2235" s="581"/>
      <c r="M2235" s="493"/>
      <c r="N2235" s="493"/>
      <c r="O2235" s="498"/>
      <c r="P2235" s="503">
        <f t="shared" si="173"/>
        <v>0</v>
      </c>
      <c r="Q2235" s="503">
        <f t="shared" si="174"/>
        <v>0</v>
      </c>
      <c r="R2235" s="504" t="str">
        <f t="shared" si="175"/>
        <v/>
      </c>
      <c r="S2235" s="504" t="str">
        <f>IF(D2235="","",IF(OR(D2235=Plano!$A$1,D2235=Plano!$B$1),"entrada","saída"))</f>
        <v/>
      </c>
      <c r="T2235" s="505"/>
      <c r="U2235" s="505"/>
      <c r="V2235" s="541"/>
    </row>
    <row r="2236" spans="1:22" ht="12.75" customHeight="1" x14ac:dyDescent="0.2">
      <c r="A2236" s="493" t="str">
        <f>IF(B2236="","",COUNT('Diário 5º PA'!$A$5:$A$2634)+COUNT('Diário 6º PA'!$A$5:$A$2246)+COUNT('Diário 7º PA'!$A$5:$A$2271)+ROW()-4)</f>
        <v/>
      </c>
      <c r="B2236" s="494"/>
      <c r="C2236" s="507"/>
      <c r="D2236" s="495"/>
      <c r="E2236" s="495"/>
      <c r="F2236" s="496"/>
      <c r="G2236" s="495"/>
      <c r="H2236" s="495"/>
      <c r="I2236" s="581"/>
      <c r="J2236" s="495"/>
      <c r="K2236" s="516"/>
      <c r="L2236" s="581"/>
      <c r="M2236" s="493"/>
      <c r="N2236" s="493"/>
      <c r="O2236" s="498"/>
      <c r="P2236" s="503">
        <f t="shared" si="173"/>
        <v>0</v>
      </c>
      <c r="Q2236" s="503">
        <f t="shared" si="174"/>
        <v>0</v>
      </c>
      <c r="R2236" s="504" t="str">
        <f t="shared" si="175"/>
        <v/>
      </c>
      <c r="S2236" s="504" t="str">
        <f>IF(D2236="","",IF(OR(D2236=Plano!$A$1,D2236=Plano!$B$1),"entrada","saída"))</f>
        <v/>
      </c>
      <c r="T2236" s="505"/>
      <c r="U2236" s="505"/>
      <c r="V2236" s="541"/>
    </row>
    <row r="2237" spans="1:22" ht="12.75" customHeight="1" x14ac:dyDescent="0.2">
      <c r="A2237" s="493" t="str">
        <f>IF(B2237="","",COUNT('Diário 5º PA'!$A$5:$A$2634)+COUNT('Diário 6º PA'!$A$5:$A$2246)+COUNT('Diário 7º PA'!$A$5:$A$2271)+ROW()-4)</f>
        <v/>
      </c>
      <c r="B2237" s="494"/>
      <c r="C2237" s="507"/>
      <c r="D2237" s="495"/>
      <c r="E2237" s="495"/>
      <c r="F2237" s="496"/>
      <c r="G2237" s="495"/>
      <c r="H2237" s="495"/>
      <c r="I2237" s="581"/>
      <c r="J2237" s="495"/>
      <c r="K2237" s="516"/>
      <c r="L2237" s="581"/>
      <c r="M2237" s="493"/>
      <c r="N2237" s="493"/>
      <c r="O2237" s="498"/>
      <c r="P2237" s="503">
        <f t="shared" si="173"/>
        <v>0</v>
      </c>
      <c r="Q2237" s="503">
        <f t="shared" si="174"/>
        <v>0</v>
      </c>
      <c r="R2237" s="504" t="str">
        <f t="shared" si="175"/>
        <v/>
      </c>
      <c r="S2237" s="504" t="str">
        <f>IF(D2237="","",IF(OR(D2237=Plano!$A$1,D2237=Plano!$B$1),"entrada","saída"))</f>
        <v/>
      </c>
      <c r="T2237" s="505"/>
      <c r="U2237" s="505"/>
      <c r="V2237" s="541"/>
    </row>
    <row r="2238" spans="1:22" ht="12.75" customHeight="1" x14ac:dyDescent="0.2">
      <c r="A2238" s="493" t="str">
        <f>IF(B2238="","",COUNT('Diário 5º PA'!$A$5:$A$2634)+COUNT('Diário 6º PA'!$A$5:$A$2246)+COUNT('Diário 7º PA'!$A$5:$A$2271)+ROW()-4)</f>
        <v/>
      </c>
      <c r="B2238" s="494"/>
      <c r="C2238" s="507"/>
      <c r="D2238" s="495"/>
      <c r="E2238" s="495"/>
      <c r="F2238" s="496"/>
      <c r="G2238" s="495"/>
      <c r="H2238" s="495"/>
      <c r="I2238" s="581"/>
      <c r="J2238" s="495"/>
      <c r="K2238" s="516"/>
      <c r="L2238" s="581"/>
      <c r="M2238" s="493"/>
      <c r="N2238" s="493"/>
      <c r="O2238" s="498"/>
      <c r="P2238" s="503">
        <f t="shared" si="173"/>
        <v>0</v>
      </c>
      <c r="Q2238" s="503">
        <f t="shared" si="174"/>
        <v>0</v>
      </c>
      <c r="R2238" s="504" t="str">
        <f t="shared" si="175"/>
        <v/>
      </c>
      <c r="S2238" s="504" t="str">
        <f>IF(D2238="","",IF(OR(D2238=Plano!$A$1,D2238=Plano!$B$1),"entrada","saída"))</f>
        <v/>
      </c>
      <c r="T2238" s="505"/>
      <c r="U2238" s="505"/>
      <c r="V2238" s="541"/>
    </row>
    <row r="2239" spans="1:22" ht="12.75" customHeight="1" x14ac:dyDescent="0.2">
      <c r="A2239" s="493" t="str">
        <f>IF(B2239="","",COUNT('Diário 5º PA'!$A$5:$A$2634)+COUNT('Diário 6º PA'!$A$5:$A$2246)+COUNT('Diário 7º PA'!$A$5:$A$2271)+ROW()-4)</f>
        <v/>
      </c>
      <c r="B2239" s="494"/>
      <c r="C2239" s="507"/>
      <c r="D2239" s="495"/>
      <c r="E2239" s="495"/>
      <c r="F2239" s="496"/>
      <c r="G2239" s="495"/>
      <c r="H2239" s="495"/>
      <c r="I2239" s="581"/>
      <c r="J2239" s="495"/>
      <c r="K2239" s="516"/>
      <c r="L2239" s="581"/>
      <c r="M2239" s="493"/>
      <c r="N2239" s="493"/>
      <c r="O2239" s="498"/>
      <c r="P2239" s="503">
        <f t="shared" si="173"/>
        <v>0</v>
      </c>
      <c r="Q2239" s="503">
        <f t="shared" si="174"/>
        <v>0</v>
      </c>
      <c r="R2239" s="504" t="str">
        <f t="shared" si="175"/>
        <v/>
      </c>
      <c r="S2239" s="504" t="str">
        <f>IF(D2239="","",IF(OR(D2239=Plano!$A$1,D2239=Plano!$B$1),"entrada","saída"))</f>
        <v/>
      </c>
      <c r="T2239" s="505"/>
      <c r="U2239" s="505"/>
      <c r="V2239" s="541"/>
    </row>
    <row r="2240" spans="1:22" ht="12.75" customHeight="1" x14ac:dyDescent="0.2">
      <c r="A2240" s="493" t="str">
        <f>IF(B2240="","",COUNT('Diário 5º PA'!$A$5:$A$2634)+COUNT('Diário 6º PA'!$A$5:$A$2246)+COUNT('Diário 7º PA'!$A$5:$A$2271)+ROW()-4)</f>
        <v/>
      </c>
      <c r="B2240" s="494"/>
      <c r="C2240" s="507"/>
      <c r="D2240" s="495"/>
      <c r="E2240" s="495"/>
      <c r="F2240" s="496"/>
      <c r="G2240" s="495"/>
      <c r="H2240" s="495"/>
      <c r="I2240" s="581"/>
      <c r="J2240" s="495"/>
      <c r="K2240" s="516"/>
      <c r="L2240" s="581"/>
      <c r="M2240" s="493"/>
      <c r="N2240" s="493"/>
      <c r="O2240" s="498"/>
      <c r="P2240" s="503">
        <f t="shared" si="173"/>
        <v>0</v>
      </c>
      <c r="Q2240" s="503">
        <f t="shared" si="174"/>
        <v>0</v>
      </c>
      <c r="R2240" s="504" t="str">
        <f t="shared" si="175"/>
        <v/>
      </c>
      <c r="S2240" s="504" t="str">
        <f>IF(D2240="","",IF(OR(D2240=Plano!$A$1,D2240=Plano!$B$1),"entrada","saída"))</f>
        <v/>
      </c>
      <c r="T2240" s="505"/>
      <c r="U2240" s="505"/>
      <c r="V2240" s="541"/>
    </row>
    <row r="2241" spans="1:22" ht="12.75" customHeight="1" x14ac:dyDescent="0.2">
      <c r="A2241" s="493" t="str">
        <f>IF(B2241="","",COUNT('Diário 5º PA'!$A$5:$A$2634)+COUNT('Diário 6º PA'!$A$5:$A$2246)+COUNT('Diário 7º PA'!$A$5:$A$2271)+ROW()-4)</f>
        <v/>
      </c>
      <c r="B2241" s="494"/>
      <c r="C2241" s="507"/>
      <c r="D2241" s="495"/>
      <c r="E2241" s="495"/>
      <c r="F2241" s="496"/>
      <c r="G2241" s="495"/>
      <c r="H2241" s="495"/>
      <c r="I2241" s="581"/>
      <c r="J2241" s="495"/>
      <c r="K2241" s="516"/>
      <c r="L2241" s="581"/>
      <c r="M2241" s="493"/>
      <c r="N2241" s="493"/>
      <c r="O2241" s="498"/>
      <c r="P2241" s="503">
        <f t="shared" si="173"/>
        <v>0</v>
      </c>
      <c r="Q2241" s="503">
        <f t="shared" si="174"/>
        <v>0</v>
      </c>
      <c r="R2241" s="504" t="str">
        <f t="shared" si="175"/>
        <v/>
      </c>
      <c r="S2241" s="504" t="str">
        <f>IF(D2241="","",IF(OR(D2241=Plano!$A$1,D2241=Plano!$B$1),"entrada","saída"))</f>
        <v/>
      </c>
      <c r="T2241" s="505"/>
      <c r="U2241" s="505"/>
      <c r="V2241" s="541"/>
    </row>
    <row r="2242" spans="1:22" ht="12.75" customHeight="1" x14ac:dyDescent="0.2">
      <c r="A2242" s="493" t="str">
        <f>IF(B2242="","",COUNT('Diário 5º PA'!$A$5:$A$2634)+COUNT('Diário 6º PA'!$A$5:$A$2246)+COUNT('Diário 7º PA'!$A$5:$A$2271)+ROW()-4)</f>
        <v/>
      </c>
      <c r="B2242" s="494"/>
      <c r="C2242" s="507"/>
      <c r="D2242" s="495"/>
      <c r="E2242" s="495"/>
      <c r="F2242" s="496"/>
      <c r="G2242" s="495"/>
      <c r="H2242" s="495"/>
      <c r="I2242" s="581"/>
      <c r="J2242" s="495"/>
      <c r="K2242" s="516"/>
      <c r="L2242" s="581"/>
      <c r="M2242" s="493"/>
      <c r="N2242" s="493"/>
      <c r="O2242" s="498"/>
      <c r="P2242" s="503">
        <f t="shared" si="173"/>
        <v>0</v>
      </c>
      <c r="Q2242" s="503">
        <f t="shared" si="174"/>
        <v>0</v>
      </c>
      <c r="R2242" s="504" t="str">
        <f t="shared" si="175"/>
        <v/>
      </c>
      <c r="S2242" s="504" t="str">
        <f>IF(D2242="","",IF(OR(D2242=Plano!$A$1,D2242=Plano!$B$1),"entrada","saída"))</f>
        <v/>
      </c>
      <c r="T2242" s="505"/>
      <c r="U2242" s="505"/>
      <c r="V2242" s="541"/>
    </row>
    <row r="2243" spans="1:22" ht="12.75" customHeight="1" x14ac:dyDescent="0.2">
      <c r="A2243" s="493" t="str">
        <f>IF(B2243="","",COUNT('Diário 5º PA'!$A$5:$A$2634)+COUNT('Diário 6º PA'!$A$5:$A$2246)+COUNT('Diário 7º PA'!$A$5:$A$2271)+ROW()-4)</f>
        <v/>
      </c>
      <c r="B2243" s="494"/>
      <c r="C2243" s="507"/>
      <c r="D2243" s="495"/>
      <c r="E2243" s="495"/>
      <c r="F2243" s="496"/>
      <c r="G2243" s="495"/>
      <c r="H2243" s="495"/>
      <c r="I2243" s="581"/>
      <c r="J2243" s="495"/>
      <c r="K2243" s="516"/>
      <c r="L2243" s="581"/>
      <c r="M2243" s="493"/>
      <c r="N2243" s="493"/>
      <c r="O2243" s="498"/>
      <c r="P2243" s="503">
        <f t="shared" si="173"/>
        <v>0</v>
      </c>
      <c r="Q2243" s="503">
        <f t="shared" si="174"/>
        <v>0</v>
      </c>
      <c r="R2243" s="504" t="str">
        <f t="shared" si="175"/>
        <v/>
      </c>
      <c r="S2243" s="504" t="str">
        <f>IF(D2243="","",IF(OR(D2243=Plano!$A$1,D2243=Plano!$B$1),"entrada","saída"))</f>
        <v/>
      </c>
      <c r="T2243" s="505"/>
      <c r="U2243" s="505"/>
      <c r="V2243" s="541"/>
    </row>
    <row r="2244" spans="1:22" ht="12.75" customHeight="1" x14ac:dyDescent="0.2">
      <c r="A2244" s="493" t="str">
        <f>IF(B2244="","",COUNT('Diário 5º PA'!$A$5:$A$2634)+COUNT('Diário 6º PA'!$A$5:$A$2246)+COUNT('Diário 7º PA'!$A$5:$A$2271)+ROW()-4)</f>
        <v/>
      </c>
      <c r="B2244" s="494"/>
      <c r="C2244" s="507"/>
      <c r="D2244" s="495"/>
      <c r="E2244" s="495"/>
      <c r="F2244" s="496"/>
      <c r="G2244" s="495"/>
      <c r="H2244" s="495"/>
      <c r="I2244" s="581"/>
      <c r="J2244" s="495"/>
      <c r="K2244" s="516"/>
      <c r="L2244" s="581"/>
      <c r="M2244" s="493"/>
      <c r="N2244" s="493"/>
      <c r="O2244" s="498"/>
      <c r="P2244" s="503">
        <f t="shared" si="173"/>
        <v>0</v>
      </c>
      <c r="Q2244" s="503">
        <f t="shared" si="174"/>
        <v>0</v>
      </c>
      <c r="R2244" s="504" t="str">
        <f t="shared" si="175"/>
        <v/>
      </c>
      <c r="S2244" s="504" t="str">
        <f>IF(D2244="","",IF(OR(D2244=Plano!$A$1,D2244=Plano!$B$1),"entrada","saída"))</f>
        <v/>
      </c>
      <c r="T2244" s="505"/>
      <c r="U2244" s="505"/>
      <c r="V2244" s="541"/>
    </row>
    <row r="2245" spans="1:22" ht="12.75" customHeight="1" x14ac:dyDescent="0.2">
      <c r="A2245" s="493" t="str">
        <f>IF(B2245="","",COUNT('Diário 5º PA'!$A$5:$A$2634)+COUNT('Diário 6º PA'!$A$5:$A$2246)+COUNT('Diário 7º PA'!$A$5:$A$2271)+ROW()-4)</f>
        <v/>
      </c>
      <c r="B2245" s="494"/>
      <c r="C2245" s="507"/>
      <c r="D2245" s="495"/>
      <c r="E2245" s="495"/>
      <c r="F2245" s="496"/>
      <c r="G2245" s="495"/>
      <c r="H2245" s="495"/>
      <c r="I2245" s="581"/>
      <c r="J2245" s="495"/>
      <c r="K2245" s="516"/>
      <c r="L2245" s="581"/>
      <c r="M2245" s="493"/>
      <c r="N2245" s="493"/>
      <c r="O2245" s="498"/>
      <c r="P2245" s="503">
        <f t="shared" si="173"/>
        <v>0</v>
      </c>
      <c r="Q2245" s="503">
        <f t="shared" si="174"/>
        <v>0</v>
      </c>
      <c r="R2245" s="504" t="str">
        <f t="shared" si="175"/>
        <v/>
      </c>
      <c r="S2245" s="504" t="str">
        <f>IF(D2245="","",IF(OR(D2245=Plano!$A$1,D2245=Plano!$B$1),"entrada","saída"))</f>
        <v/>
      </c>
      <c r="T2245" s="505"/>
      <c r="U2245" s="505"/>
      <c r="V2245" s="541"/>
    </row>
    <row r="2246" spans="1:22" ht="12.75" customHeight="1" x14ac:dyDescent="0.2">
      <c r="A2246" s="493" t="str">
        <f>IF(B2246="","",COUNT('Diário 5º PA'!$A$5:$A$2634)+COUNT('Diário 6º PA'!$A$5:$A$2246)+COUNT('Diário 7º PA'!$A$5:$A$2271)+ROW()-4)</f>
        <v/>
      </c>
      <c r="B2246" s="494"/>
      <c r="C2246" s="507"/>
      <c r="D2246" s="495"/>
      <c r="E2246" s="495"/>
      <c r="F2246" s="496"/>
      <c r="G2246" s="495"/>
      <c r="H2246" s="495"/>
      <c r="I2246" s="581"/>
      <c r="J2246" s="495"/>
      <c r="K2246" s="516"/>
      <c r="L2246" s="581"/>
      <c r="M2246" s="493"/>
      <c r="N2246" s="493"/>
      <c r="O2246" s="498"/>
      <c r="P2246" s="503">
        <f t="shared" si="173"/>
        <v>0</v>
      </c>
      <c r="Q2246" s="503">
        <f t="shared" si="174"/>
        <v>0</v>
      </c>
      <c r="R2246" s="504" t="str">
        <f t="shared" si="175"/>
        <v/>
      </c>
      <c r="S2246" s="504" t="str">
        <f>IF(D2246="","",IF(OR(D2246=Plano!$A$1,D2246=Plano!$B$1),"entrada","saída"))</f>
        <v/>
      </c>
      <c r="T2246" s="505"/>
      <c r="U2246" s="505"/>
      <c r="V2246" s="541"/>
    </row>
    <row r="2247" spans="1:22" ht="12.75" customHeight="1" x14ac:dyDescent="0.2">
      <c r="A2247" s="493" t="str">
        <f>IF(B2247="","",COUNT('Diário 5º PA'!$A$5:$A$2634)+COUNT('Diário 6º PA'!$A$5:$A$2246)+COUNT('Diário 7º PA'!$A$5:$A$2271)+ROW()-4)</f>
        <v/>
      </c>
      <c r="B2247" s="494"/>
      <c r="C2247" s="507"/>
      <c r="D2247" s="495"/>
      <c r="E2247" s="495"/>
      <c r="F2247" s="496"/>
      <c r="G2247" s="495"/>
      <c r="H2247" s="495"/>
      <c r="I2247" s="581"/>
      <c r="J2247" s="495"/>
      <c r="K2247" s="516"/>
      <c r="L2247" s="581"/>
      <c r="M2247" s="493"/>
      <c r="N2247" s="493"/>
      <c r="O2247" s="498"/>
      <c r="P2247" s="503">
        <f t="shared" si="173"/>
        <v>0</v>
      </c>
      <c r="Q2247" s="503">
        <f t="shared" si="174"/>
        <v>0</v>
      </c>
      <c r="R2247" s="504" t="str">
        <f t="shared" si="175"/>
        <v/>
      </c>
      <c r="S2247" s="504" t="str">
        <f>IF(D2247="","",IF(OR(D2247=Plano!$A$1,D2247=Plano!$B$1),"entrada","saída"))</f>
        <v/>
      </c>
      <c r="T2247" s="505"/>
      <c r="U2247" s="505"/>
      <c r="V2247" s="541"/>
    </row>
    <row r="2248" spans="1:22" ht="12.75" customHeight="1" x14ac:dyDescent="0.2">
      <c r="A2248" s="493" t="str">
        <f>IF(B2248="","",COUNT('Diário 5º PA'!$A$5:$A$2634)+COUNT('Diário 6º PA'!$A$5:$A$2246)+COUNT('Diário 7º PA'!$A$5:$A$2271)+ROW()-4)</f>
        <v/>
      </c>
      <c r="B2248" s="494"/>
      <c r="C2248" s="507"/>
      <c r="D2248" s="495"/>
      <c r="E2248" s="495"/>
      <c r="F2248" s="496"/>
      <c r="G2248" s="495"/>
      <c r="H2248" s="495"/>
      <c r="I2248" s="581"/>
      <c r="J2248" s="495"/>
      <c r="K2248" s="516"/>
      <c r="L2248" s="581"/>
      <c r="M2248" s="493"/>
      <c r="N2248" s="493"/>
      <c r="O2248" s="498"/>
      <c r="P2248" s="503">
        <f t="shared" si="173"/>
        <v>0</v>
      </c>
      <c r="Q2248" s="503">
        <f t="shared" si="174"/>
        <v>0</v>
      </c>
      <c r="R2248" s="504" t="str">
        <f t="shared" si="175"/>
        <v/>
      </c>
      <c r="S2248" s="504" t="str">
        <f>IF(D2248="","",IF(OR(D2248=Plano!$A$1,D2248=Plano!$B$1),"entrada","saída"))</f>
        <v/>
      </c>
      <c r="T2248" s="505"/>
      <c r="U2248" s="505"/>
      <c r="V2248" s="541"/>
    </row>
    <row r="2249" spans="1:22" ht="12.75" customHeight="1" x14ac:dyDescent="0.2">
      <c r="A2249" s="493" t="str">
        <f>IF(B2249="","",COUNT('Diário 5º PA'!$A$5:$A$2634)+COUNT('Diário 6º PA'!$A$5:$A$2246)+COUNT('Diário 7º PA'!$A$5:$A$2271)+ROW()-4)</f>
        <v/>
      </c>
      <c r="B2249" s="494"/>
      <c r="C2249" s="507"/>
      <c r="D2249" s="495"/>
      <c r="E2249" s="495"/>
      <c r="F2249" s="496"/>
      <c r="G2249" s="495"/>
      <c r="H2249" s="495"/>
      <c r="I2249" s="581"/>
      <c r="J2249" s="495"/>
      <c r="K2249" s="516"/>
      <c r="L2249" s="581"/>
      <c r="M2249" s="493"/>
      <c r="N2249" s="493"/>
      <c r="O2249" s="498"/>
      <c r="P2249" s="503">
        <f t="shared" si="173"/>
        <v>0</v>
      </c>
      <c r="Q2249" s="503">
        <f t="shared" si="174"/>
        <v>0</v>
      </c>
      <c r="R2249" s="504" t="str">
        <f t="shared" si="175"/>
        <v/>
      </c>
      <c r="S2249" s="504" t="str">
        <f>IF(D2249="","",IF(OR(D2249=Plano!$A$1,D2249=Plano!$B$1),"entrada","saída"))</f>
        <v/>
      </c>
      <c r="T2249" s="505"/>
      <c r="U2249" s="505"/>
      <c r="V2249" s="541"/>
    </row>
    <row r="2250" spans="1:22" ht="12.75" customHeight="1" x14ac:dyDescent="0.2">
      <c r="A2250" s="493" t="str">
        <f>IF(B2250="","",COUNT('Diário 5º PA'!$A$5:$A$2634)+COUNT('Diário 6º PA'!$A$5:$A$2246)+COUNT('Diário 7º PA'!$A$5:$A$2271)+ROW()-4)</f>
        <v/>
      </c>
      <c r="B2250" s="494"/>
      <c r="C2250" s="507"/>
      <c r="D2250" s="495"/>
      <c r="E2250" s="495"/>
      <c r="F2250" s="496"/>
      <c r="G2250" s="495"/>
      <c r="H2250" s="495"/>
      <c r="I2250" s="581"/>
      <c r="J2250" s="495"/>
      <c r="K2250" s="516"/>
      <c r="L2250" s="581"/>
      <c r="M2250" s="493"/>
      <c r="N2250" s="493"/>
      <c r="O2250" s="498"/>
      <c r="P2250" s="503">
        <f t="shared" si="173"/>
        <v>0</v>
      </c>
      <c r="Q2250" s="503">
        <f t="shared" si="174"/>
        <v>0</v>
      </c>
      <c r="R2250" s="504" t="str">
        <f t="shared" si="175"/>
        <v/>
      </c>
      <c r="S2250" s="504" t="str">
        <f>IF(D2250="","",IF(OR(D2250=Plano!$A$1,D2250=Plano!$B$1),"entrada","saída"))</f>
        <v/>
      </c>
      <c r="T2250" s="505"/>
      <c r="U2250" s="505"/>
      <c r="V2250" s="541"/>
    </row>
    <row r="2251" spans="1:22" ht="12.75" customHeight="1" x14ac:dyDescent="0.2">
      <c r="A2251" s="493" t="str">
        <f>IF(B2251="","",COUNT('Diário 5º PA'!$A$5:$A$2634)+COUNT('Diário 6º PA'!$A$5:$A$2246)+COUNT('Diário 7º PA'!$A$5:$A$2271)+ROW()-4)</f>
        <v/>
      </c>
      <c r="B2251" s="494"/>
      <c r="C2251" s="507"/>
      <c r="D2251" s="495"/>
      <c r="E2251" s="495"/>
      <c r="F2251" s="496"/>
      <c r="G2251" s="495"/>
      <c r="H2251" s="495"/>
      <c r="I2251" s="581"/>
      <c r="J2251" s="495"/>
      <c r="K2251" s="516"/>
      <c r="L2251" s="581"/>
      <c r="M2251" s="493"/>
      <c r="N2251" s="493"/>
      <c r="O2251" s="498"/>
      <c r="P2251" s="503">
        <f t="shared" si="173"/>
        <v>0</v>
      </c>
      <c r="Q2251" s="503">
        <f t="shared" si="174"/>
        <v>0</v>
      </c>
      <c r="R2251" s="504" t="str">
        <f t="shared" si="175"/>
        <v/>
      </c>
      <c r="S2251" s="504" t="str">
        <f>IF(D2251="","",IF(OR(D2251=Plano!$A$1,D2251=Plano!$B$1),"entrada","saída"))</f>
        <v/>
      </c>
      <c r="T2251" s="505"/>
      <c r="U2251" s="505"/>
      <c r="V2251" s="541"/>
    </row>
    <row r="2252" spans="1:22" ht="12.75" customHeight="1" x14ac:dyDescent="0.2">
      <c r="A2252" s="493" t="str">
        <f>IF(B2252="","",COUNT('Diário 5º PA'!$A$5:$A$2634)+COUNT('Diário 6º PA'!$A$5:$A$2246)+COUNT('Diário 7º PA'!$A$5:$A$2271)+ROW()-4)</f>
        <v/>
      </c>
      <c r="B2252" s="494"/>
      <c r="C2252" s="507"/>
      <c r="D2252" s="495"/>
      <c r="E2252" s="495"/>
      <c r="F2252" s="496"/>
      <c r="G2252" s="495"/>
      <c r="H2252" s="495"/>
      <c r="I2252" s="581"/>
      <c r="J2252" s="495"/>
      <c r="K2252" s="516"/>
      <c r="L2252" s="581"/>
      <c r="M2252" s="493"/>
      <c r="N2252" s="493"/>
      <c r="O2252" s="498"/>
      <c r="P2252" s="503">
        <f t="shared" si="173"/>
        <v>0</v>
      </c>
      <c r="Q2252" s="503">
        <f t="shared" si="174"/>
        <v>0</v>
      </c>
      <c r="R2252" s="504" t="str">
        <f t="shared" si="175"/>
        <v/>
      </c>
      <c r="S2252" s="504" t="str">
        <f>IF(D2252="","",IF(OR(D2252=Plano!$A$1,D2252=Plano!$B$1),"entrada","saída"))</f>
        <v/>
      </c>
      <c r="T2252" s="505"/>
      <c r="U2252" s="505"/>
      <c r="V2252" s="541"/>
    </row>
    <row r="2253" spans="1:22" ht="12.75" customHeight="1" x14ac:dyDescent="0.2">
      <c r="A2253" s="493" t="str">
        <f>IF(B2253="","",COUNT('Diário 5º PA'!$A$5:$A$2634)+COUNT('Diário 6º PA'!$A$5:$A$2246)+COUNT('Diário 7º PA'!$A$5:$A$2271)+ROW()-4)</f>
        <v/>
      </c>
      <c r="B2253" s="494"/>
      <c r="C2253" s="507"/>
      <c r="D2253" s="495"/>
      <c r="E2253" s="495"/>
      <c r="F2253" s="496"/>
      <c r="G2253" s="495"/>
      <c r="H2253" s="495"/>
      <c r="I2253" s="581"/>
      <c r="J2253" s="495"/>
      <c r="K2253" s="516"/>
      <c r="L2253" s="581"/>
      <c r="M2253" s="493"/>
      <c r="N2253" s="493"/>
      <c r="O2253" s="498"/>
      <c r="P2253" s="503">
        <f t="shared" si="173"/>
        <v>0</v>
      </c>
      <c r="Q2253" s="503">
        <f t="shared" si="174"/>
        <v>0</v>
      </c>
      <c r="R2253" s="504" t="str">
        <f t="shared" si="175"/>
        <v/>
      </c>
      <c r="S2253" s="504" t="str">
        <f>IF(D2253="","",IF(OR(D2253=Plano!$A$1,D2253=Plano!$B$1),"entrada","saída"))</f>
        <v/>
      </c>
      <c r="T2253" s="505"/>
      <c r="U2253" s="505"/>
      <c r="V2253" s="541"/>
    </row>
    <row r="2254" spans="1:22" ht="12.75" customHeight="1" x14ac:dyDescent="0.2">
      <c r="A2254" s="493" t="str">
        <f>IF(B2254="","",COUNT('Diário 5º PA'!$A$5:$A$2634)+COUNT('Diário 6º PA'!$A$5:$A$2246)+COUNT('Diário 7º PA'!$A$5:$A$2271)+ROW()-4)</f>
        <v/>
      </c>
      <c r="B2254" s="494"/>
      <c r="C2254" s="507"/>
      <c r="D2254" s="495"/>
      <c r="E2254" s="495"/>
      <c r="F2254" s="496"/>
      <c r="G2254" s="495"/>
      <c r="H2254" s="495"/>
      <c r="I2254" s="581"/>
      <c r="J2254" s="495"/>
      <c r="K2254" s="516"/>
      <c r="L2254" s="581"/>
      <c r="M2254" s="493"/>
      <c r="N2254" s="493"/>
      <c r="O2254" s="498"/>
      <c r="P2254" s="503">
        <f t="shared" si="173"/>
        <v>0</v>
      </c>
      <c r="Q2254" s="503">
        <f t="shared" si="174"/>
        <v>0</v>
      </c>
      <c r="R2254" s="504" t="str">
        <f t="shared" si="175"/>
        <v/>
      </c>
      <c r="S2254" s="504" t="str">
        <f>IF(D2254="","",IF(OR(D2254=Plano!$A$1,D2254=Plano!$B$1),"entrada","saída"))</f>
        <v/>
      </c>
      <c r="T2254" s="505"/>
      <c r="U2254" s="505"/>
      <c r="V2254" s="541"/>
    </row>
    <row r="2255" spans="1:22" ht="12.75" customHeight="1" x14ac:dyDescent="0.2">
      <c r="A2255" s="493" t="str">
        <f>IF(B2255="","",COUNT('Diário 5º PA'!$A$5:$A$2634)+COUNT('Diário 6º PA'!$A$5:$A$2246)+COUNT('Diário 7º PA'!$A$5:$A$2271)+ROW()-4)</f>
        <v/>
      </c>
      <c r="B2255" s="494"/>
      <c r="C2255" s="507"/>
      <c r="D2255" s="495"/>
      <c r="E2255" s="495"/>
      <c r="F2255" s="496"/>
      <c r="G2255" s="495"/>
      <c r="H2255" s="495"/>
      <c r="I2255" s="581"/>
      <c r="J2255" s="495"/>
      <c r="K2255" s="516"/>
      <c r="L2255" s="581"/>
      <c r="M2255" s="493"/>
      <c r="N2255" s="493"/>
      <c r="O2255" s="498"/>
      <c r="P2255" s="503">
        <f t="shared" si="173"/>
        <v>0</v>
      </c>
      <c r="Q2255" s="503">
        <f t="shared" si="174"/>
        <v>0</v>
      </c>
      <c r="R2255" s="504" t="str">
        <f t="shared" si="175"/>
        <v/>
      </c>
      <c r="S2255" s="504" t="str">
        <f>IF(D2255="","",IF(OR(D2255=Plano!$A$1,D2255=Plano!$B$1),"entrada","saída"))</f>
        <v/>
      </c>
      <c r="T2255" s="505"/>
      <c r="U2255" s="505"/>
      <c r="V2255" s="541"/>
    </row>
    <row r="2256" spans="1:22" ht="12.75" customHeight="1" x14ac:dyDescent="0.2">
      <c r="A2256" s="493" t="str">
        <f>IF(B2256="","",COUNT('Diário 5º PA'!$A$5:$A$2634)+COUNT('Diário 6º PA'!$A$5:$A$2246)+COUNT('Diário 7º PA'!$A$5:$A$2271)+ROW()-4)</f>
        <v/>
      </c>
      <c r="B2256" s="494"/>
      <c r="C2256" s="507"/>
      <c r="D2256" s="495"/>
      <c r="E2256" s="495"/>
      <c r="F2256" s="496"/>
      <c r="G2256" s="495"/>
      <c r="H2256" s="495"/>
      <c r="I2256" s="581"/>
      <c r="J2256" s="495"/>
      <c r="K2256" s="516"/>
      <c r="L2256" s="581"/>
      <c r="M2256" s="493"/>
      <c r="N2256" s="493"/>
      <c r="O2256" s="498"/>
      <c r="P2256" s="503">
        <f t="shared" si="173"/>
        <v>0</v>
      </c>
      <c r="Q2256" s="503">
        <f t="shared" si="174"/>
        <v>0</v>
      </c>
      <c r="R2256" s="504" t="str">
        <f t="shared" si="175"/>
        <v/>
      </c>
      <c r="S2256" s="504" t="str">
        <f>IF(D2256="","",IF(OR(D2256=Plano!$A$1,D2256=Plano!$B$1),"entrada","saída"))</f>
        <v/>
      </c>
      <c r="T2256" s="505"/>
      <c r="U2256" s="505"/>
      <c r="V2256" s="541"/>
    </row>
    <row r="2257" spans="1:22" ht="12.75" customHeight="1" x14ac:dyDescent="0.2">
      <c r="A2257" s="493" t="str">
        <f>IF(B2257="","",COUNT('Diário 5º PA'!$A$5:$A$2634)+COUNT('Diário 6º PA'!$A$5:$A$2246)+COUNT('Diário 7º PA'!$A$5:$A$2271)+ROW()-4)</f>
        <v/>
      </c>
      <c r="B2257" s="494"/>
      <c r="C2257" s="507"/>
      <c r="D2257" s="495"/>
      <c r="E2257" s="495"/>
      <c r="F2257" s="496"/>
      <c r="G2257" s="495"/>
      <c r="H2257" s="495"/>
      <c r="I2257" s="581"/>
      <c r="J2257" s="495"/>
      <c r="K2257" s="516"/>
      <c r="L2257" s="581"/>
      <c r="M2257" s="493"/>
      <c r="N2257" s="493"/>
      <c r="O2257" s="498"/>
      <c r="P2257" s="503">
        <f t="shared" si="173"/>
        <v>0</v>
      </c>
      <c r="Q2257" s="503">
        <f t="shared" si="174"/>
        <v>0</v>
      </c>
      <c r="R2257" s="504" t="str">
        <f t="shared" si="175"/>
        <v/>
      </c>
      <c r="S2257" s="504" t="str">
        <f>IF(D2257="","",IF(OR(D2257=Plano!$A$1,D2257=Plano!$B$1),"entrada","saída"))</f>
        <v/>
      </c>
      <c r="T2257" s="505"/>
      <c r="U2257" s="505"/>
      <c r="V2257" s="541"/>
    </row>
    <row r="2258" spans="1:22" ht="12.75" customHeight="1" x14ac:dyDescent="0.2">
      <c r="A2258" s="493" t="str">
        <f>IF(B2258="","",COUNT('Diário 5º PA'!$A$5:$A$2634)+COUNT('Diário 6º PA'!$A$5:$A$2246)+COUNT('Diário 7º PA'!$A$5:$A$2271)+ROW()-4)</f>
        <v/>
      </c>
      <c r="B2258" s="494"/>
      <c r="C2258" s="507"/>
      <c r="D2258" s="495"/>
      <c r="E2258" s="495"/>
      <c r="F2258" s="496"/>
      <c r="G2258" s="495"/>
      <c r="H2258" s="495"/>
      <c r="I2258" s="581"/>
      <c r="J2258" s="495"/>
      <c r="K2258" s="516"/>
      <c r="L2258" s="581"/>
      <c r="M2258" s="493"/>
      <c r="N2258" s="493"/>
      <c r="O2258" s="498"/>
      <c r="P2258" s="503">
        <f t="shared" si="173"/>
        <v>0</v>
      </c>
      <c r="Q2258" s="503">
        <f t="shared" si="174"/>
        <v>0</v>
      </c>
      <c r="R2258" s="504" t="str">
        <f t="shared" si="175"/>
        <v/>
      </c>
      <c r="S2258" s="504" t="str">
        <f>IF(D2258="","",IF(OR(D2258=Plano!$A$1,D2258=Plano!$B$1),"entrada","saída"))</f>
        <v/>
      </c>
      <c r="T2258" s="505"/>
      <c r="U2258" s="505"/>
      <c r="V2258" s="541"/>
    </row>
    <row r="2259" spans="1:22" ht="12.75" customHeight="1" x14ac:dyDescent="0.2">
      <c r="A2259" s="493" t="str">
        <f>IF(B2259="","",COUNT('Diário 5º PA'!$A$5:$A$2634)+COUNT('Diário 6º PA'!$A$5:$A$2246)+COUNT('Diário 7º PA'!$A$5:$A$2271)+ROW()-4)</f>
        <v/>
      </c>
      <c r="B2259" s="494"/>
      <c r="C2259" s="507"/>
      <c r="D2259" s="495"/>
      <c r="E2259" s="495"/>
      <c r="F2259" s="496"/>
      <c r="G2259" s="495"/>
      <c r="H2259" s="495"/>
      <c r="I2259" s="581"/>
      <c r="J2259" s="495"/>
      <c r="K2259" s="516"/>
      <c r="L2259" s="581"/>
      <c r="M2259" s="493"/>
      <c r="N2259" s="493"/>
      <c r="O2259" s="498"/>
      <c r="P2259" s="503">
        <f t="shared" si="173"/>
        <v>0</v>
      </c>
      <c r="Q2259" s="503">
        <f t="shared" si="174"/>
        <v>0</v>
      </c>
      <c r="R2259" s="504" t="str">
        <f t="shared" si="175"/>
        <v/>
      </c>
      <c r="S2259" s="504" t="str">
        <f>IF(D2259="","",IF(OR(D2259=Plano!$A$1,D2259=Plano!$B$1),"entrada","saída"))</f>
        <v/>
      </c>
      <c r="T2259" s="505"/>
      <c r="U2259" s="505"/>
      <c r="V2259" s="541"/>
    </row>
    <row r="2260" spans="1:22" ht="12.75" customHeight="1" x14ac:dyDescent="0.2">
      <c r="A2260" s="493" t="str">
        <f>IF(B2260="","",COUNT('Diário 5º PA'!$A$5:$A$2634)+COUNT('Diário 6º PA'!$A$5:$A$2246)+COUNT('Diário 7º PA'!$A$5:$A$2271)+ROW()-4)</f>
        <v/>
      </c>
      <c r="B2260" s="494"/>
      <c r="C2260" s="507"/>
      <c r="D2260" s="495"/>
      <c r="E2260" s="495"/>
      <c r="F2260" s="496"/>
      <c r="G2260" s="495"/>
      <c r="H2260" s="495"/>
      <c r="I2260" s="581"/>
      <c r="J2260" s="495"/>
      <c r="K2260" s="516"/>
      <c r="L2260" s="581"/>
      <c r="M2260" s="493"/>
      <c r="N2260" s="493"/>
      <c r="O2260" s="498"/>
      <c r="P2260" s="503">
        <f t="shared" si="173"/>
        <v>0</v>
      </c>
      <c r="Q2260" s="503">
        <f t="shared" si="174"/>
        <v>0</v>
      </c>
      <c r="R2260" s="504" t="str">
        <f t="shared" si="175"/>
        <v/>
      </c>
      <c r="S2260" s="504" t="str">
        <f>IF(D2260="","",IF(OR(D2260=Plano!$A$1,D2260=Plano!$B$1),"entrada","saída"))</f>
        <v/>
      </c>
      <c r="T2260" s="505"/>
      <c r="U2260" s="505"/>
      <c r="V2260" s="541"/>
    </row>
    <row r="2261" spans="1:22" ht="12.75" customHeight="1" x14ac:dyDescent="0.2">
      <c r="A2261" s="493" t="str">
        <f>IF(B2261="","",COUNT('Diário 5º PA'!$A$5:$A$2634)+COUNT('Diário 6º PA'!$A$5:$A$2246)+COUNT('Diário 7º PA'!$A$5:$A$2271)+ROW()-4)</f>
        <v/>
      </c>
      <c r="B2261" s="494"/>
      <c r="C2261" s="507"/>
      <c r="D2261" s="495"/>
      <c r="E2261" s="495"/>
      <c r="F2261" s="496"/>
      <c r="G2261" s="495"/>
      <c r="H2261" s="495"/>
      <c r="I2261" s="581"/>
      <c r="J2261" s="495"/>
      <c r="K2261" s="516"/>
      <c r="L2261" s="581"/>
      <c r="M2261" s="493"/>
      <c r="N2261" s="493"/>
      <c r="O2261" s="498"/>
      <c r="P2261" s="503">
        <f t="shared" si="173"/>
        <v>0</v>
      </c>
      <c r="Q2261" s="503">
        <f t="shared" si="174"/>
        <v>0</v>
      </c>
      <c r="R2261" s="504" t="str">
        <f t="shared" si="175"/>
        <v/>
      </c>
      <c r="S2261" s="504" t="str">
        <f>IF(D2261="","",IF(OR(D2261=Plano!$A$1,D2261=Plano!$B$1),"entrada","saída"))</f>
        <v/>
      </c>
      <c r="T2261" s="505"/>
      <c r="U2261" s="505"/>
      <c r="V2261" s="541"/>
    </row>
    <row r="2262" spans="1:22" ht="12.75" customHeight="1" x14ac:dyDescent="0.2">
      <c r="A2262" s="493" t="str">
        <f>IF(B2262="","",COUNT('Diário 5º PA'!$A$5:$A$2634)+COUNT('Diário 6º PA'!$A$5:$A$2246)+COUNT('Diário 7º PA'!$A$5:$A$2271)+ROW()-4)</f>
        <v/>
      </c>
      <c r="B2262" s="494"/>
      <c r="C2262" s="507"/>
      <c r="D2262" s="495"/>
      <c r="E2262" s="495"/>
      <c r="F2262" s="496"/>
      <c r="G2262" s="495"/>
      <c r="H2262" s="495"/>
      <c r="I2262" s="581"/>
      <c r="J2262" s="495"/>
      <c r="K2262" s="516"/>
      <c r="L2262" s="581"/>
      <c r="M2262" s="493"/>
      <c r="N2262" s="493"/>
      <c r="O2262" s="498"/>
      <c r="P2262" s="503">
        <f t="shared" ref="P2262:P2325" si="176">IF(B2262=0,0,IF(YEAR(B2262)=$Q$1,MONTH(B2262)-$P$1+1,(YEAR(B2262)-$Q$1)*12-$P$1+1+MONTH(B2262)))</f>
        <v>0</v>
      </c>
      <c r="Q2262" s="503">
        <f t="shared" ref="Q2262:Q2325" si="177">IF(C2262=0,0,IF(YEAR(C2262)=$Q$1,MONTH(C2262)-$P$1+1,(YEAR(C2262)-$Q$1)*12-$P$1+1+MONTH(C2262)))</f>
        <v>0</v>
      </c>
      <c r="R2262" s="504" t="str">
        <f t="shared" ref="R2262:R2325" si="178">SUBSTITUTE(D2262," ","_")</f>
        <v/>
      </c>
      <c r="S2262" s="504" t="str">
        <f>IF(D2262="","",IF(OR(D2262=Plano!$A$1,D2262=Plano!$B$1),"entrada","saída"))</f>
        <v/>
      </c>
      <c r="T2262" s="505"/>
      <c r="U2262" s="505"/>
      <c r="V2262" s="541"/>
    </row>
    <row r="2263" spans="1:22" ht="12.75" customHeight="1" x14ac:dyDescent="0.2">
      <c r="A2263" s="493" t="str">
        <f>IF(B2263="","",COUNT('Diário 5º PA'!$A$5:$A$2634)+COUNT('Diário 6º PA'!$A$5:$A$2246)+COUNT('Diário 7º PA'!$A$5:$A$2271)+ROW()-4)</f>
        <v/>
      </c>
      <c r="B2263" s="494"/>
      <c r="C2263" s="507"/>
      <c r="D2263" s="495"/>
      <c r="E2263" s="495"/>
      <c r="F2263" s="496"/>
      <c r="G2263" s="495"/>
      <c r="H2263" s="495"/>
      <c r="I2263" s="581"/>
      <c r="J2263" s="495"/>
      <c r="K2263" s="516"/>
      <c r="L2263" s="581"/>
      <c r="M2263" s="493"/>
      <c r="N2263" s="493"/>
      <c r="O2263" s="498"/>
      <c r="P2263" s="503">
        <f t="shared" si="176"/>
        <v>0</v>
      </c>
      <c r="Q2263" s="503">
        <f t="shared" si="177"/>
        <v>0</v>
      </c>
      <c r="R2263" s="504" t="str">
        <f t="shared" si="178"/>
        <v/>
      </c>
      <c r="S2263" s="504" t="str">
        <f>IF(D2263="","",IF(OR(D2263=Plano!$A$1,D2263=Plano!$B$1),"entrada","saída"))</f>
        <v/>
      </c>
      <c r="T2263" s="505"/>
      <c r="U2263" s="505"/>
      <c r="V2263" s="541"/>
    </row>
    <row r="2264" spans="1:22" ht="12.75" customHeight="1" x14ac:dyDescent="0.2">
      <c r="A2264" s="493" t="str">
        <f>IF(B2264="","",COUNT('Diário 5º PA'!$A$5:$A$2634)+COUNT('Diário 6º PA'!$A$5:$A$2246)+COUNT('Diário 7º PA'!$A$5:$A$2271)+ROW()-4)</f>
        <v/>
      </c>
      <c r="B2264" s="494"/>
      <c r="C2264" s="507"/>
      <c r="D2264" s="495"/>
      <c r="E2264" s="495"/>
      <c r="F2264" s="496"/>
      <c r="G2264" s="495"/>
      <c r="H2264" s="495"/>
      <c r="I2264" s="581"/>
      <c r="J2264" s="495"/>
      <c r="K2264" s="516"/>
      <c r="L2264" s="581"/>
      <c r="M2264" s="493"/>
      <c r="N2264" s="493"/>
      <c r="O2264" s="498"/>
      <c r="P2264" s="503">
        <f t="shared" si="176"/>
        <v>0</v>
      </c>
      <c r="Q2264" s="503">
        <f t="shared" si="177"/>
        <v>0</v>
      </c>
      <c r="R2264" s="504" t="str">
        <f t="shared" si="178"/>
        <v/>
      </c>
      <c r="S2264" s="504" t="str">
        <f>IF(D2264="","",IF(OR(D2264=Plano!$A$1,D2264=Plano!$B$1),"entrada","saída"))</f>
        <v/>
      </c>
      <c r="T2264" s="505"/>
      <c r="U2264" s="505"/>
      <c r="V2264" s="541"/>
    </row>
    <row r="2265" spans="1:22" ht="12.75" customHeight="1" x14ac:dyDescent="0.2">
      <c r="A2265" s="493" t="str">
        <f>IF(B2265="","",COUNT('Diário 5º PA'!$A$5:$A$2634)+COUNT('Diário 6º PA'!$A$5:$A$2246)+COUNT('Diário 7º PA'!$A$5:$A$2271)+ROW()-4)</f>
        <v/>
      </c>
      <c r="B2265" s="494"/>
      <c r="C2265" s="507"/>
      <c r="D2265" s="495"/>
      <c r="E2265" s="495"/>
      <c r="F2265" s="496"/>
      <c r="G2265" s="495"/>
      <c r="H2265" s="495"/>
      <c r="I2265" s="581"/>
      <c r="J2265" s="495"/>
      <c r="K2265" s="516"/>
      <c r="L2265" s="581"/>
      <c r="M2265" s="493"/>
      <c r="N2265" s="493"/>
      <c r="O2265" s="498"/>
      <c r="P2265" s="503">
        <f t="shared" si="176"/>
        <v>0</v>
      </c>
      <c r="Q2265" s="503">
        <f t="shared" si="177"/>
        <v>0</v>
      </c>
      <c r="R2265" s="504" t="str">
        <f t="shared" si="178"/>
        <v/>
      </c>
      <c r="S2265" s="504" t="str">
        <f>IF(D2265="","",IF(OR(D2265=Plano!$A$1,D2265=Plano!$B$1),"entrada","saída"))</f>
        <v/>
      </c>
      <c r="T2265" s="505"/>
      <c r="U2265" s="505"/>
      <c r="V2265" s="541"/>
    </row>
    <row r="2266" spans="1:22" ht="12.75" customHeight="1" x14ac:dyDescent="0.2">
      <c r="A2266" s="493" t="str">
        <f>IF(B2266="","",COUNT('Diário 5º PA'!$A$5:$A$2634)+COUNT('Diário 6º PA'!$A$5:$A$2246)+COUNT('Diário 7º PA'!$A$5:$A$2271)+ROW()-4)</f>
        <v/>
      </c>
      <c r="B2266" s="494"/>
      <c r="C2266" s="507"/>
      <c r="D2266" s="495"/>
      <c r="E2266" s="495"/>
      <c r="F2266" s="496"/>
      <c r="G2266" s="495"/>
      <c r="H2266" s="495"/>
      <c r="I2266" s="581"/>
      <c r="J2266" s="495"/>
      <c r="K2266" s="516"/>
      <c r="L2266" s="581"/>
      <c r="M2266" s="493"/>
      <c r="N2266" s="493"/>
      <c r="O2266" s="498"/>
      <c r="P2266" s="503">
        <f t="shared" si="176"/>
        <v>0</v>
      </c>
      <c r="Q2266" s="503">
        <f t="shared" si="177"/>
        <v>0</v>
      </c>
      <c r="R2266" s="504" t="str">
        <f t="shared" si="178"/>
        <v/>
      </c>
      <c r="S2266" s="504" t="str">
        <f>IF(D2266="","",IF(OR(D2266=Plano!$A$1,D2266=Plano!$B$1),"entrada","saída"))</f>
        <v/>
      </c>
      <c r="T2266" s="505"/>
      <c r="U2266" s="505"/>
      <c r="V2266" s="541"/>
    </row>
    <row r="2267" spans="1:22" ht="12.75" customHeight="1" x14ac:dyDescent="0.2">
      <c r="A2267" s="493" t="str">
        <f>IF(B2267="","",COUNT('Diário 5º PA'!$A$5:$A$2634)+COUNT('Diário 6º PA'!$A$5:$A$2246)+COUNT('Diário 7º PA'!$A$5:$A$2271)+ROW()-4)</f>
        <v/>
      </c>
      <c r="B2267" s="494"/>
      <c r="C2267" s="507"/>
      <c r="D2267" s="495"/>
      <c r="E2267" s="495"/>
      <c r="F2267" s="496"/>
      <c r="G2267" s="495"/>
      <c r="H2267" s="495"/>
      <c r="I2267" s="581"/>
      <c r="J2267" s="495"/>
      <c r="K2267" s="516"/>
      <c r="L2267" s="581"/>
      <c r="M2267" s="493"/>
      <c r="N2267" s="493"/>
      <c r="O2267" s="498"/>
      <c r="P2267" s="503">
        <f t="shared" si="176"/>
        <v>0</v>
      </c>
      <c r="Q2267" s="503">
        <f t="shared" si="177"/>
        <v>0</v>
      </c>
      <c r="R2267" s="504" t="str">
        <f t="shared" si="178"/>
        <v/>
      </c>
      <c r="S2267" s="504" t="str">
        <f>IF(D2267="","",IF(OR(D2267=Plano!$A$1,D2267=Plano!$B$1),"entrada","saída"))</f>
        <v/>
      </c>
      <c r="T2267" s="505"/>
      <c r="U2267" s="505"/>
      <c r="V2267" s="541"/>
    </row>
    <row r="2268" spans="1:22" ht="12.75" customHeight="1" x14ac:dyDescent="0.2">
      <c r="A2268" s="493" t="str">
        <f>IF(B2268="","",COUNT('Diário 5º PA'!$A$5:$A$2634)+COUNT('Diário 6º PA'!$A$5:$A$2246)+COUNT('Diário 7º PA'!$A$5:$A$2271)+ROW()-4)</f>
        <v/>
      </c>
      <c r="B2268" s="494"/>
      <c r="C2268" s="507"/>
      <c r="D2268" s="495"/>
      <c r="E2268" s="495"/>
      <c r="F2268" s="496"/>
      <c r="G2268" s="495"/>
      <c r="H2268" s="495"/>
      <c r="I2268" s="581"/>
      <c r="J2268" s="495"/>
      <c r="K2268" s="516"/>
      <c r="L2268" s="581"/>
      <c r="M2268" s="493"/>
      <c r="N2268" s="493"/>
      <c r="O2268" s="498"/>
      <c r="P2268" s="503">
        <f t="shared" si="176"/>
        <v>0</v>
      </c>
      <c r="Q2268" s="503">
        <f t="shared" si="177"/>
        <v>0</v>
      </c>
      <c r="R2268" s="504" t="str">
        <f t="shared" si="178"/>
        <v/>
      </c>
      <c r="S2268" s="504" t="str">
        <f>IF(D2268="","",IF(OR(D2268=Plano!$A$1,D2268=Plano!$B$1),"entrada","saída"))</f>
        <v/>
      </c>
      <c r="T2268" s="505"/>
      <c r="U2268" s="505"/>
      <c r="V2268" s="541"/>
    </row>
    <row r="2269" spans="1:22" ht="12.75" customHeight="1" x14ac:dyDescent="0.2">
      <c r="A2269" s="493" t="str">
        <f>IF(B2269="","",COUNT('Diário 5º PA'!$A$5:$A$2634)+COUNT('Diário 6º PA'!$A$5:$A$2246)+COUNT('Diário 7º PA'!$A$5:$A$2271)+ROW()-4)</f>
        <v/>
      </c>
      <c r="B2269" s="494"/>
      <c r="C2269" s="507"/>
      <c r="D2269" s="495"/>
      <c r="E2269" s="495"/>
      <c r="F2269" s="496"/>
      <c r="G2269" s="495"/>
      <c r="H2269" s="495"/>
      <c r="I2269" s="581"/>
      <c r="J2269" s="495"/>
      <c r="K2269" s="516"/>
      <c r="L2269" s="581"/>
      <c r="M2269" s="493"/>
      <c r="N2269" s="493"/>
      <c r="O2269" s="498"/>
      <c r="P2269" s="503">
        <f t="shared" si="176"/>
        <v>0</v>
      </c>
      <c r="Q2269" s="503">
        <f t="shared" si="177"/>
        <v>0</v>
      </c>
      <c r="R2269" s="504" t="str">
        <f t="shared" si="178"/>
        <v/>
      </c>
      <c r="S2269" s="504" t="str">
        <f>IF(D2269="","",IF(OR(D2269=Plano!$A$1,D2269=Plano!$B$1),"entrada","saída"))</f>
        <v/>
      </c>
      <c r="T2269" s="505"/>
      <c r="U2269" s="505"/>
      <c r="V2269" s="541"/>
    </row>
    <row r="2270" spans="1:22" ht="12.75" customHeight="1" x14ac:dyDescent="0.2">
      <c r="A2270" s="493" t="str">
        <f>IF(B2270="","",COUNT('Diário 5º PA'!$A$5:$A$2634)+COUNT('Diário 6º PA'!$A$5:$A$2246)+COUNT('Diário 7º PA'!$A$5:$A$2271)+ROW()-4)</f>
        <v/>
      </c>
      <c r="B2270" s="494"/>
      <c r="C2270" s="507"/>
      <c r="D2270" s="495"/>
      <c r="E2270" s="495"/>
      <c r="F2270" s="496"/>
      <c r="G2270" s="495"/>
      <c r="H2270" s="495"/>
      <c r="I2270" s="581"/>
      <c r="J2270" s="495"/>
      <c r="K2270" s="516"/>
      <c r="L2270" s="581"/>
      <c r="M2270" s="493"/>
      <c r="N2270" s="493"/>
      <c r="O2270" s="498"/>
      <c r="P2270" s="503">
        <f t="shared" si="176"/>
        <v>0</v>
      </c>
      <c r="Q2270" s="503">
        <f t="shared" si="177"/>
        <v>0</v>
      </c>
      <c r="R2270" s="504" t="str">
        <f t="shared" si="178"/>
        <v/>
      </c>
      <c r="S2270" s="504" t="str">
        <f>IF(D2270="","",IF(OR(D2270=Plano!$A$1,D2270=Plano!$B$1),"entrada","saída"))</f>
        <v/>
      </c>
      <c r="T2270" s="505"/>
      <c r="U2270" s="505"/>
      <c r="V2270" s="541"/>
    </row>
    <row r="2271" spans="1:22" ht="12.75" customHeight="1" x14ac:dyDescent="0.2">
      <c r="A2271" s="493" t="str">
        <f>IF(B2271="","",COUNT('Diário 5º PA'!$A$5:$A$2634)+COUNT('Diário 6º PA'!$A$5:$A$2246)+COUNT('Diário 7º PA'!$A$5:$A$2271)+ROW()-4)</f>
        <v/>
      </c>
      <c r="B2271" s="494"/>
      <c r="C2271" s="507"/>
      <c r="D2271" s="495"/>
      <c r="E2271" s="495"/>
      <c r="F2271" s="496"/>
      <c r="G2271" s="495"/>
      <c r="H2271" s="495"/>
      <c r="I2271" s="581"/>
      <c r="J2271" s="495"/>
      <c r="K2271" s="516"/>
      <c r="L2271" s="581"/>
      <c r="M2271" s="493"/>
      <c r="N2271" s="493"/>
      <c r="O2271" s="498"/>
      <c r="P2271" s="503">
        <f t="shared" si="176"/>
        <v>0</v>
      </c>
      <c r="Q2271" s="503">
        <f t="shared" si="177"/>
        <v>0</v>
      </c>
      <c r="R2271" s="504" t="str">
        <f t="shared" si="178"/>
        <v/>
      </c>
      <c r="S2271" s="504" t="str">
        <f>IF(D2271="","",IF(OR(D2271=Plano!$A$1,D2271=Plano!$B$1),"entrada","saída"))</f>
        <v/>
      </c>
      <c r="T2271" s="505"/>
      <c r="U2271" s="505"/>
      <c r="V2271" s="541"/>
    </row>
    <row r="2272" spans="1:22" ht="12.75" customHeight="1" x14ac:dyDescent="0.2">
      <c r="A2272" s="493" t="str">
        <f>IF(B2272="","",COUNT('Diário 5º PA'!$A$5:$A$2634)+COUNT('Diário 6º PA'!$A$5:$A$2246)+COUNT('Diário 7º PA'!$A$5:$A$2271)+ROW()-4)</f>
        <v/>
      </c>
      <c r="B2272" s="494"/>
      <c r="C2272" s="507"/>
      <c r="D2272" s="495"/>
      <c r="E2272" s="495"/>
      <c r="F2272" s="496"/>
      <c r="G2272" s="495"/>
      <c r="H2272" s="495"/>
      <c r="I2272" s="581"/>
      <c r="J2272" s="495"/>
      <c r="K2272" s="516"/>
      <c r="L2272" s="581"/>
      <c r="M2272" s="493"/>
      <c r="N2272" s="493"/>
      <c r="O2272" s="498"/>
      <c r="P2272" s="503">
        <f t="shared" si="176"/>
        <v>0</v>
      </c>
      <c r="Q2272" s="503">
        <f t="shared" si="177"/>
        <v>0</v>
      </c>
      <c r="R2272" s="504" t="str">
        <f t="shared" si="178"/>
        <v/>
      </c>
      <c r="S2272" s="504" t="str">
        <f>IF(D2272="","",IF(OR(D2272=Plano!$A$1,D2272=Plano!$B$1),"entrada","saída"))</f>
        <v/>
      </c>
      <c r="T2272" s="505"/>
      <c r="U2272" s="505"/>
      <c r="V2272" s="541"/>
    </row>
    <row r="2273" spans="1:22" ht="12.75" customHeight="1" x14ac:dyDescent="0.2">
      <c r="A2273" s="493" t="str">
        <f>IF(B2273="","",COUNT('Diário 5º PA'!$A$5:$A$2634)+COUNT('Diário 6º PA'!$A$5:$A$2246)+COUNT('Diário 7º PA'!$A$5:$A$2271)+ROW()-4)</f>
        <v/>
      </c>
      <c r="B2273" s="494"/>
      <c r="C2273" s="507"/>
      <c r="D2273" s="495"/>
      <c r="E2273" s="495"/>
      <c r="F2273" s="496"/>
      <c r="G2273" s="495"/>
      <c r="H2273" s="495"/>
      <c r="I2273" s="581"/>
      <c r="J2273" s="495"/>
      <c r="K2273" s="516"/>
      <c r="L2273" s="581"/>
      <c r="M2273" s="493"/>
      <c r="N2273" s="493"/>
      <c r="O2273" s="498"/>
      <c r="P2273" s="503">
        <f t="shared" si="176"/>
        <v>0</v>
      </c>
      <c r="Q2273" s="503">
        <f t="shared" si="177"/>
        <v>0</v>
      </c>
      <c r="R2273" s="504" t="str">
        <f t="shared" si="178"/>
        <v/>
      </c>
      <c r="S2273" s="504" t="str">
        <f>IF(D2273="","",IF(OR(D2273=Plano!$A$1,D2273=Plano!$B$1),"entrada","saída"))</f>
        <v/>
      </c>
      <c r="T2273" s="505"/>
      <c r="U2273" s="505"/>
      <c r="V2273" s="541"/>
    </row>
    <row r="2274" spans="1:22" ht="12.75" customHeight="1" x14ac:dyDescent="0.2">
      <c r="A2274" s="493" t="str">
        <f>IF(B2274="","",COUNT('Diário 5º PA'!$A$5:$A$2634)+COUNT('Diário 6º PA'!$A$5:$A$2246)+COUNT('Diário 7º PA'!$A$5:$A$2271)+ROW()-4)</f>
        <v/>
      </c>
      <c r="B2274" s="494"/>
      <c r="C2274" s="507"/>
      <c r="D2274" s="495"/>
      <c r="E2274" s="495"/>
      <c r="F2274" s="496"/>
      <c r="G2274" s="495"/>
      <c r="H2274" s="495"/>
      <c r="I2274" s="581"/>
      <c r="J2274" s="495"/>
      <c r="K2274" s="516"/>
      <c r="L2274" s="581"/>
      <c r="M2274" s="493"/>
      <c r="N2274" s="493"/>
      <c r="O2274" s="498"/>
      <c r="P2274" s="503">
        <f t="shared" si="176"/>
        <v>0</v>
      </c>
      <c r="Q2274" s="503">
        <f t="shared" si="177"/>
        <v>0</v>
      </c>
      <c r="R2274" s="504" t="str">
        <f t="shared" si="178"/>
        <v/>
      </c>
      <c r="S2274" s="504" t="str">
        <f>IF(D2274="","",IF(OR(D2274=Plano!$A$1,D2274=Plano!$B$1),"entrada","saída"))</f>
        <v/>
      </c>
      <c r="T2274" s="505"/>
      <c r="U2274" s="505"/>
      <c r="V2274" s="541"/>
    </row>
    <row r="2275" spans="1:22" ht="12.75" customHeight="1" x14ac:dyDescent="0.2">
      <c r="A2275" s="493" t="str">
        <f>IF(B2275="","",COUNT('Diário 5º PA'!$A$5:$A$2634)+COUNT('Diário 6º PA'!$A$5:$A$2246)+COUNT('Diário 7º PA'!$A$5:$A$2271)+ROW()-4)</f>
        <v/>
      </c>
      <c r="B2275" s="494"/>
      <c r="C2275" s="507"/>
      <c r="D2275" s="495"/>
      <c r="E2275" s="495"/>
      <c r="F2275" s="496"/>
      <c r="G2275" s="495"/>
      <c r="H2275" s="495"/>
      <c r="I2275" s="581"/>
      <c r="J2275" s="495"/>
      <c r="K2275" s="516"/>
      <c r="L2275" s="581"/>
      <c r="M2275" s="493"/>
      <c r="N2275" s="493"/>
      <c r="O2275" s="498"/>
      <c r="P2275" s="503">
        <f t="shared" si="176"/>
        <v>0</v>
      </c>
      <c r="Q2275" s="503">
        <f t="shared" si="177"/>
        <v>0</v>
      </c>
      <c r="R2275" s="504" t="str">
        <f t="shared" si="178"/>
        <v/>
      </c>
      <c r="S2275" s="504" t="str">
        <f>IF(D2275="","",IF(OR(D2275=Plano!$A$1,D2275=Plano!$B$1),"entrada","saída"))</f>
        <v/>
      </c>
      <c r="T2275" s="505"/>
      <c r="U2275" s="505"/>
      <c r="V2275" s="541"/>
    </row>
    <row r="2276" spans="1:22" ht="12.75" customHeight="1" x14ac:dyDescent="0.2">
      <c r="A2276" s="493" t="str">
        <f>IF(B2276="","",COUNT('Diário 5º PA'!$A$5:$A$2634)+COUNT('Diário 6º PA'!$A$5:$A$2246)+COUNT('Diário 7º PA'!$A$5:$A$2271)+ROW()-4)</f>
        <v/>
      </c>
      <c r="B2276" s="494"/>
      <c r="C2276" s="507"/>
      <c r="D2276" s="495"/>
      <c r="E2276" s="495"/>
      <c r="F2276" s="496"/>
      <c r="G2276" s="495"/>
      <c r="H2276" s="495"/>
      <c r="I2276" s="581"/>
      <c r="J2276" s="495"/>
      <c r="K2276" s="516"/>
      <c r="L2276" s="581"/>
      <c r="M2276" s="493"/>
      <c r="N2276" s="493"/>
      <c r="O2276" s="498"/>
      <c r="P2276" s="503">
        <f t="shared" si="176"/>
        <v>0</v>
      </c>
      <c r="Q2276" s="503">
        <f t="shared" si="177"/>
        <v>0</v>
      </c>
      <c r="R2276" s="504" t="str">
        <f t="shared" si="178"/>
        <v/>
      </c>
      <c r="S2276" s="504" t="str">
        <f>IF(D2276="","",IF(OR(D2276=Plano!$A$1,D2276=Plano!$B$1),"entrada","saída"))</f>
        <v/>
      </c>
      <c r="T2276" s="505"/>
      <c r="U2276" s="505"/>
      <c r="V2276" s="541"/>
    </row>
    <row r="2277" spans="1:22" ht="12.75" customHeight="1" x14ac:dyDescent="0.2">
      <c r="A2277" s="493" t="str">
        <f>IF(B2277="","",COUNT('Diário 5º PA'!$A$5:$A$2634)+COUNT('Diário 6º PA'!$A$5:$A$2246)+COUNT('Diário 7º PA'!$A$5:$A$2271)+ROW()-4)</f>
        <v/>
      </c>
      <c r="B2277" s="494"/>
      <c r="C2277" s="507"/>
      <c r="D2277" s="495"/>
      <c r="E2277" s="495"/>
      <c r="F2277" s="496"/>
      <c r="G2277" s="495"/>
      <c r="H2277" s="495"/>
      <c r="I2277" s="581"/>
      <c r="J2277" s="495"/>
      <c r="K2277" s="516"/>
      <c r="L2277" s="581"/>
      <c r="M2277" s="493"/>
      <c r="N2277" s="493"/>
      <c r="O2277" s="498"/>
      <c r="P2277" s="503">
        <f t="shared" si="176"/>
        <v>0</v>
      </c>
      <c r="Q2277" s="503">
        <f t="shared" si="177"/>
        <v>0</v>
      </c>
      <c r="R2277" s="504" t="str">
        <f t="shared" si="178"/>
        <v/>
      </c>
      <c r="S2277" s="504" t="str">
        <f>IF(D2277="","",IF(OR(D2277=Plano!$A$1,D2277=Plano!$B$1),"entrada","saída"))</f>
        <v/>
      </c>
      <c r="T2277" s="505"/>
      <c r="U2277" s="505"/>
      <c r="V2277" s="541"/>
    </row>
    <row r="2278" spans="1:22" ht="12.75" customHeight="1" x14ac:dyDescent="0.2">
      <c r="A2278" s="493" t="str">
        <f>IF(B2278="","",COUNT('Diário 5º PA'!$A$5:$A$2634)+COUNT('Diário 6º PA'!$A$5:$A$2246)+COUNT('Diário 7º PA'!$A$5:$A$2271)+ROW()-4)</f>
        <v/>
      </c>
      <c r="B2278" s="494"/>
      <c r="C2278" s="507"/>
      <c r="D2278" s="495"/>
      <c r="E2278" s="495"/>
      <c r="F2278" s="496"/>
      <c r="G2278" s="495"/>
      <c r="H2278" s="495"/>
      <c r="I2278" s="581"/>
      <c r="J2278" s="495"/>
      <c r="K2278" s="516"/>
      <c r="L2278" s="581"/>
      <c r="M2278" s="493"/>
      <c r="N2278" s="493"/>
      <c r="O2278" s="498"/>
      <c r="P2278" s="503">
        <f t="shared" si="176"/>
        <v>0</v>
      </c>
      <c r="Q2278" s="503">
        <f t="shared" si="177"/>
        <v>0</v>
      </c>
      <c r="R2278" s="504" t="str">
        <f t="shared" si="178"/>
        <v/>
      </c>
      <c r="S2278" s="504" t="str">
        <f>IF(D2278="","",IF(OR(D2278=Plano!$A$1,D2278=Plano!$B$1),"entrada","saída"))</f>
        <v/>
      </c>
      <c r="T2278" s="505"/>
      <c r="U2278" s="505"/>
      <c r="V2278" s="541"/>
    </row>
    <row r="2279" spans="1:22" ht="12.75" customHeight="1" x14ac:dyDescent="0.2">
      <c r="A2279" s="493" t="str">
        <f>IF(B2279="","",COUNT('Diário 5º PA'!$A$5:$A$2634)+COUNT('Diário 6º PA'!$A$5:$A$2246)+COUNT('Diário 7º PA'!$A$5:$A$2271)+ROW()-4)</f>
        <v/>
      </c>
      <c r="B2279" s="494"/>
      <c r="C2279" s="507"/>
      <c r="D2279" s="495"/>
      <c r="E2279" s="495"/>
      <c r="F2279" s="496"/>
      <c r="G2279" s="495"/>
      <c r="H2279" s="495"/>
      <c r="I2279" s="581"/>
      <c r="J2279" s="495"/>
      <c r="K2279" s="516"/>
      <c r="L2279" s="581"/>
      <c r="M2279" s="493"/>
      <c r="N2279" s="493"/>
      <c r="O2279" s="498"/>
      <c r="P2279" s="503">
        <f t="shared" si="176"/>
        <v>0</v>
      </c>
      <c r="Q2279" s="503">
        <f t="shared" si="177"/>
        <v>0</v>
      </c>
      <c r="R2279" s="504" t="str">
        <f t="shared" si="178"/>
        <v/>
      </c>
      <c r="S2279" s="504" t="str">
        <f>IF(D2279="","",IF(OR(D2279=Plano!$A$1,D2279=Plano!$B$1),"entrada","saída"))</f>
        <v/>
      </c>
      <c r="T2279" s="505"/>
      <c r="U2279" s="505"/>
      <c r="V2279" s="541"/>
    </row>
    <row r="2280" spans="1:22" ht="12.75" customHeight="1" x14ac:dyDescent="0.2">
      <c r="A2280" s="493" t="str">
        <f>IF(B2280="","",COUNT('Diário 5º PA'!$A$5:$A$2634)+COUNT('Diário 6º PA'!$A$5:$A$2246)+COUNT('Diário 7º PA'!$A$5:$A$2271)+ROW()-4)</f>
        <v/>
      </c>
      <c r="B2280" s="494"/>
      <c r="C2280" s="507"/>
      <c r="D2280" s="495"/>
      <c r="E2280" s="495"/>
      <c r="F2280" s="496"/>
      <c r="G2280" s="495"/>
      <c r="H2280" s="495"/>
      <c r="I2280" s="581"/>
      <c r="J2280" s="495"/>
      <c r="K2280" s="516"/>
      <c r="L2280" s="581"/>
      <c r="M2280" s="493"/>
      <c r="N2280" s="493"/>
      <c r="O2280" s="498"/>
      <c r="P2280" s="503">
        <f t="shared" si="176"/>
        <v>0</v>
      </c>
      <c r="Q2280" s="503">
        <f t="shared" si="177"/>
        <v>0</v>
      </c>
      <c r="R2280" s="504" t="str">
        <f t="shared" si="178"/>
        <v/>
      </c>
      <c r="S2280" s="504" t="str">
        <f>IF(D2280="","",IF(OR(D2280=Plano!$A$1,D2280=Plano!$B$1),"entrada","saída"))</f>
        <v/>
      </c>
      <c r="T2280" s="505"/>
      <c r="U2280" s="505"/>
      <c r="V2280" s="541"/>
    </row>
    <row r="2281" spans="1:22" ht="12.75" customHeight="1" x14ac:dyDescent="0.2">
      <c r="A2281" s="493" t="str">
        <f>IF(B2281="","",COUNT('Diário 5º PA'!$A$5:$A$2634)+COUNT('Diário 6º PA'!$A$5:$A$2246)+COUNT('Diário 7º PA'!$A$5:$A$2271)+ROW()-4)</f>
        <v/>
      </c>
      <c r="B2281" s="494"/>
      <c r="C2281" s="507"/>
      <c r="D2281" s="495"/>
      <c r="E2281" s="495"/>
      <c r="F2281" s="496"/>
      <c r="G2281" s="495"/>
      <c r="H2281" s="495"/>
      <c r="I2281" s="581"/>
      <c r="J2281" s="495"/>
      <c r="K2281" s="516"/>
      <c r="L2281" s="581"/>
      <c r="M2281" s="493"/>
      <c r="N2281" s="493"/>
      <c r="O2281" s="498"/>
      <c r="P2281" s="503">
        <f t="shared" si="176"/>
        <v>0</v>
      </c>
      <c r="Q2281" s="503">
        <f t="shared" si="177"/>
        <v>0</v>
      </c>
      <c r="R2281" s="504" t="str">
        <f t="shared" si="178"/>
        <v/>
      </c>
      <c r="S2281" s="504" t="str">
        <f>IF(D2281="","",IF(OR(D2281=Plano!$A$1,D2281=Plano!$B$1),"entrada","saída"))</f>
        <v/>
      </c>
      <c r="T2281" s="505"/>
      <c r="U2281" s="505"/>
      <c r="V2281" s="541"/>
    </row>
    <row r="2282" spans="1:22" ht="12.75" customHeight="1" x14ac:dyDescent="0.2">
      <c r="A2282" s="493" t="str">
        <f>IF(B2282="","",COUNT('Diário 5º PA'!$A$5:$A$2634)+COUNT('Diário 6º PA'!$A$5:$A$2246)+COUNT('Diário 7º PA'!$A$5:$A$2271)+ROW()-4)</f>
        <v/>
      </c>
      <c r="B2282" s="494"/>
      <c r="C2282" s="507"/>
      <c r="D2282" s="495"/>
      <c r="E2282" s="495"/>
      <c r="F2282" s="496"/>
      <c r="G2282" s="495"/>
      <c r="H2282" s="495"/>
      <c r="I2282" s="581"/>
      <c r="J2282" s="495"/>
      <c r="K2282" s="516"/>
      <c r="L2282" s="581"/>
      <c r="M2282" s="493"/>
      <c r="N2282" s="493"/>
      <c r="O2282" s="498"/>
      <c r="P2282" s="503">
        <f t="shared" si="176"/>
        <v>0</v>
      </c>
      <c r="Q2282" s="503">
        <f t="shared" si="177"/>
        <v>0</v>
      </c>
      <c r="R2282" s="504" t="str">
        <f t="shared" si="178"/>
        <v/>
      </c>
      <c r="S2282" s="504" t="str">
        <f>IF(D2282="","",IF(OR(D2282=Plano!$A$1,D2282=Plano!$B$1),"entrada","saída"))</f>
        <v/>
      </c>
      <c r="T2282" s="505"/>
      <c r="U2282" s="505"/>
      <c r="V2282" s="541"/>
    </row>
    <row r="2283" spans="1:22" ht="12.75" customHeight="1" x14ac:dyDescent="0.2">
      <c r="A2283" s="493" t="str">
        <f>IF(B2283="","",COUNT('Diário 5º PA'!$A$5:$A$2634)+COUNT('Diário 6º PA'!$A$5:$A$2246)+COUNT('Diário 7º PA'!$A$5:$A$2271)+ROW()-4)</f>
        <v/>
      </c>
      <c r="B2283" s="494"/>
      <c r="C2283" s="507"/>
      <c r="D2283" s="495"/>
      <c r="E2283" s="495"/>
      <c r="F2283" s="496"/>
      <c r="G2283" s="495"/>
      <c r="H2283" s="495"/>
      <c r="I2283" s="581"/>
      <c r="J2283" s="495"/>
      <c r="K2283" s="516"/>
      <c r="L2283" s="581"/>
      <c r="M2283" s="493"/>
      <c r="N2283" s="493"/>
      <c r="O2283" s="498"/>
      <c r="P2283" s="503">
        <f t="shared" si="176"/>
        <v>0</v>
      </c>
      <c r="Q2283" s="503">
        <f t="shared" si="177"/>
        <v>0</v>
      </c>
      <c r="R2283" s="504" t="str">
        <f t="shared" si="178"/>
        <v/>
      </c>
      <c r="S2283" s="504" t="str">
        <f>IF(D2283="","",IF(OR(D2283=Plano!$A$1,D2283=Plano!$B$1),"entrada","saída"))</f>
        <v/>
      </c>
      <c r="T2283" s="505"/>
      <c r="U2283" s="505"/>
      <c r="V2283" s="541"/>
    </row>
    <row r="2284" spans="1:22" ht="12.75" customHeight="1" x14ac:dyDescent="0.2">
      <c r="A2284" s="493" t="str">
        <f>IF(B2284="","",COUNT('Diário 5º PA'!$A$5:$A$2634)+COUNT('Diário 6º PA'!$A$5:$A$2246)+COUNT('Diário 7º PA'!$A$5:$A$2271)+ROW()-4)</f>
        <v/>
      </c>
      <c r="B2284" s="494"/>
      <c r="C2284" s="507"/>
      <c r="D2284" s="495"/>
      <c r="E2284" s="495"/>
      <c r="F2284" s="496"/>
      <c r="G2284" s="495"/>
      <c r="H2284" s="495"/>
      <c r="I2284" s="581"/>
      <c r="J2284" s="495"/>
      <c r="K2284" s="516"/>
      <c r="L2284" s="581"/>
      <c r="M2284" s="493"/>
      <c r="N2284" s="493"/>
      <c r="O2284" s="498"/>
      <c r="P2284" s="503">
        <f t="shared" si="176"/>
        <v>0</v>
      </c>
      <c r="Q2284" s="503">
        <f t="shared" si="177"/>
        <v>0</v>
      </c>
      <c r="R2284" s="504" t="str">
        <f t="shared" si="178"/>
        <v/>
      </c>
      <c r="S2284" s="504" t="str">
        <f>IF(D2284="","",IF(OR(D2284=Plano!$A$1,D2284=Plano!$B$1),"entrada","saída"))</f>
        <v/>
      </c>
      <c r="T2284" s="505"/>
      <c r="U2284" s="505"/>
      <c r="V2284" s="541"/>
    </row>
    <row r="2285" spans="1:22" ht="12.75" customHeight="1" x14ac:dyDescent="0.2">
      <c r="A2285" s="493" t="str">
        <f>IF(B2285="","",COUNT('Diário 5º PA'!$A$5:$A$2634)+COUNT('Diário 6º PA'!$A$5:$A$2246)+COUNT('Diário 7º PA'!$A$5:$A$2271)+ROW()-4)</f>
        <v/>
      </c>
      <c r="B2285" s="494"/>
      <c r="C2285" s="507"/>
      <c r="D2285" s="495"/>
      <c r="E2285" s="495"/>
      <c r="F2285" s="496"/>
      <c r="G2285" s="495"/>
      <c r="H2285" s="495"/>
      <c r="I2285" s="581"/>
      <c r="J2285" s="495"/>
      <c r="K2285" s="516"/>
      <c r="L2285" s="581"/>
      <c r="M2285" s="493"/>
      <c r="N2285" s="493"/>
      <c r="O2285" s="498"/>
      <c r="P2285" s="503">
        <f t="shared" si="176"/>
        <v>0</v>
      </c>
      <c r="Q2285" s="503">
        <f t="shared" si="177"/>
        <v>0</v>
      </c>
      <c r="R2285" s="504" t="str">
        <f t="shared" si="178"/>
        <v/>
      </c>
      <c r="S2285" s="504" t="str">
        <f>IF(D2285="","",IF(OR(D2285=Plano!$A$1,D2285=Plano!$B$1),"entrada","saída"))</f>
        <v/>
      </c>
      <c r="T2285" s="505"/>
      <c r="U2285" s="505"/>
      <c r="V2285" s="541"/>
    </row>
    <row r="2286" spans="1:22" ht="12.75" customHeight="1" x14ac:dyDescent="0.2">
      <c r="A2286" s="493" t="str">
        <f>IF(B2286="","",COUNT('Diário 5º PA'!$A$5:$A$2634)+COUNT('Diário 6º PA'!$A$5:$A$2246)+COUNT('Diário 7º PA'!$A$5:$A$2271)+ROW()-4)</f>
        <v/>
      </c>
      <c r="B2286" s="494"/>
      <c r="C2286" s="507"/>
      <c r="D2286" s="495"/>
      <c r="E2286" s="495"/>
      <c r="F2286" s="496"/>
      <c r="G2286" s="495"/>
      <c r="H2286" s="495"/>
      <c r="I2286" s="581"/>
      <c r="J2286" s="495"/>
      <c r="K2286" s="516"/>
      <c r="L2286" s="581"/>
      <c r="M2286" s="493"/>
      <c r="N2286" s="493"/>
      <c r="O2286" s="498"/>
      <c r="P2286" s="503">
        <f t="shared" si="176"/>
        <v>0</v>
      </c>
      <c r="Q2286" s="503">
        <f t="shared" si="177"/>
        <v>0</v>
      </c>
      <c r="R2286" s="504" t="str">
        <f t="shared" si="178"/>
        <v/>
      </c>
      <c r="S2286" s="504" t="str">
        <f>IF(D2286="","",IF(OR(D2286=Plano!$A$1,D2286=Plano!$B$1),"entrada","saída"))</f>
        <v/>
      </c>
      <c r="T2286" s="505"/>
      <c r="U2286" s="505"/>
      <c r="V2286" s="541"/>
    </row>
    <row r="2287" spans="1:22" ht="12.75" customHeight="1" x14ac:dyDescent="0.2">
      <c r="A2287" s="493" t="str">
        <f>IF(B2287="","",COUNT('Diário 5º PA'!$A$5:$A$2634)+COUNT('Diário 6º PA'!$A$5:$A$2246)+COUNT('Diário 7º PA'!$A$5:$A$2271)+ROW()-4)</f>
        <v/>
      </c>
      <c r="B2287" s="494"/>
      <c r="C2287" s="507"/>
      <c r="D2287" s="495"/>
      <c r="E2287" s="495"/>
      <c r="F2287" s="496"/>
      <c r="G2287" s="495"/>
      <c r="H2287" s="495"/>
      <c r="I2287" s="581"/>
      <c r="J2287" s="495"/>
      <c r="K2287" s="516"/>
      <c r="L2287" s="581"/>
      <c r="M2287" s="493"/>
      <c r="N2287" s="493"/>
      <c r="O2287" s="498"/>
      <c r="P2287" s="503">
        <f t="shared" si="176"/>
        <v>0</v>
      </c>
      <c r="Q2287" s="503">
        <f t="shared" si="177"/>
        <v>0</v>
      </c>
      <c r="R2287" s="504" t="str">
        <f t="shared" si="178"/>
        <v/>
      </c>
      <c r="S2287" s="504" t="str">
        <f>IF(D2287="","",IF(OR(D2287=Plano!$A$1,D2287=Plano!$B$1),"entrada","saída"))</f>
        <v/>
      </c>
      <c r="T2287" s="505"/>
      <c r="U2287" s="505"/>
      <c r="V2287" s="541"/>
    </row>
    <row r="2288" spans="1:22" ht="12.75" customHeight="1" x14ac:dyDescent="0.2">
      <c r="A2288" s="493" t="str">
        <f>IF(B2288="","",COUNT('Diário 5º PA'!$A$5:$A$2634)+COUNT('Diário 6º PA'!$A$5:$A$2246)+COUNT('Diário 7º PA'!$A$5:$A$2271)+ROW()-4)</f>
        <v/>
      </c>
      <c r="B2288" s="494"/>
      <c r="C2288" s="507"/>
      <c r="D2288" s="495"/>
      <c r="E2288" s="495"/>
      <c r="F2288" s="496"/>
      <c r="G2288" s="495"/>
      <c r="H2288" s="495"/>
      <c r="I2288" s="581"/>
      <c r="J2288" s="495"/>
      <c r="K2288" s="516"/>
      <c r="L2288" s="581"/>
      <c r="M2288" s="493"/>
      <c r="N2288" s="493"/>
      <c r="O2288" s="498"/>
      <c r="P2288" s="503">
        <f t="shared" si="176"/>
        <v>0</v>
      </c>
      <c r="Q2288" s="503">
        <f t="shared" si="177"/>
        <v>0</v>
      </c>
      <c r="R2288" s="504" t="str">
        <f t="shared" si="178"/>
        <v/>
      </c>
      <c r="S2288" s="504" t="str">
        <f>IF(D2288="","",IF(OR(D2288=Plano!$A$1,D2288=Plano!$B$1),"entrada","saída"))</f>
        <v/>
      </c>
      <c r="T2288" s="505"/>
      <c r="U2288" s="505"/>
      <c r="V2288" s="541"/>
    </row>
    <row r="2289" spans="1:22" ht="12.75" customHeight="1" x14ac:dyDescent="0.2">
      <c r="A2289" s="493" t="str">
        <f>IF(B2289="","",COUNT('Diário 5º PA'!$A$5:$A$2634)+COUNT('Diário 6º PA'!$A$5:$A$2246)+COUNT('Diário 7º PA'!$A$5:$A$2271)+ROW()-4)</f>
        <v/>
      </c>
      <c r="B2289" s="494"/>
      <c r="C2289" s="507"/>
      <c r="D2289" s="495"/>
      <c r="E2289" s="495"/>
      <c r="F2289" s="496"/>
      <c r="G2289" s="495"/>
      <c r="H2289" s="495"/>
      <c r="I2289" s="581"/>
      <c r="J2289" s="495"/>
      <c r="K2289" s="516"/>
      <c r="L2289" s="581"/>
      <c r="M2289" s="493"/>
      <c r="N2289" s="493"/>
      <c r="O2289" s="498"/>
      <c r="P2289" s="503">
        <f t="shared" si="176"/>
        <v>0</v>
      </c>
      <c r="Q2289" s="503">
        <f t="shared" si="177"/>
        <v>0</v>
      </c>
      <c r="R2289" s="504" t="str">
        <f t="shared" si="178"/>
        <v/>
      </c>
      <c r="S2289" s="504" t="str">
        <f>IF(D2289="","",IF(OR(D2289=Plano!$A$1,D2289=Plano!$B$1),"entrada","saída"))</f>
        <v/>
      </c>
      <c r="T2289" s="505"/>
      <c r="U2289" s="505"/>
      <c r="V2289" s="541"/>
    </row>
    <row r="2290" spans="1:22" ht="12.75" customHeight="1" x14ac:dyDescent="0.2">
      <c r="A2290" s="493" t="str">
        <f>IF(B2290="","",COUNT('Diário 5º PA'!$A$5:$A$2634)+COUNT('Diário 6º PA'!$A$5:$A$2246)+COUNT('Diário 7º PA'!$A$5:$A$2271)+ROW()-4)</f>
        <v/>
      </c>
      <c r="B2290" s="494"/>
      <c r="C2290" s="507"/>
      <c r="D2290" s="495"/>
      <c r="E2290" s="495"/>
      <c r="F2290" s="496"/>
      <c r="G2290" s="495"/>
      <c r="H2290" s="495"/>
      <c r="I2290" s="581"/>
      <c r="J2290" s="495"/>
      <c r="K2290" s="516"/>
      <c r="L2290" s="581"/>
      <c r="M2290" s="493"/>
      <c r="N2290" s="493"/>
      <c r="O2290" s="498"/>
      <c r="P2290" s="503">
        <f t="shared" si="176"/>
        <v>0</v>
      </c>
      <c r="Q2290" s="503">
        <f t="shared" si="177"/>
        <v>0</v>
      </c>
      <c r="R2290" s="504" t="str">
        <f t="shared" si="178"/>
        <v/>
      </c>
      <c r="S2290" s="504" t="str">
        <f>IF(D2290="","",IF(OR(D2290=Plano!$A$1,D2290=Plano!$B$1),"entrada","saída"))</f>
        <v/>
      </c>
      <c r="T2290" s="505"/>
      <c r="U2290" s="505"/>
      <c r="V2290" s="541"/>
    </row>
    <row r="2291" spans="1:22" ht="12.75" customHeight="1" x14ac:dyDescent="0.2">
      <c r="A2291" s="493" t="str">
        <f>IF(B2291="","",COUNT('Diário 5º PA'!$A$5:$A$2634)+COUNT('Diário 6º PA'!$A$5:$A$2246)+COUNT('Diário 7º PA'!$A$5:$A$2271)+ROW()-4)</f>
        <v/>
      </c>
      <c r="B2291" s="494"/>
      <c r="C2291" s="507"/>
      <c r="D2291" s="495"/>
      <c r="E2291" s="495"/>
      <c r="F2291" s="496"/>
      <c r="G2291" s="495"/>
      <c r="H2291" s="495"/>
      <c r="I2291" s="581"/>
      <c r="J2291" s="495"/>
      <c r="K2291" s="516"/>
      <c r="L2291" s="581"/>
      <c r="M2291" s="493"/>
      <c r="N2291" s="493"/>
      <c r="O2291" s="498"/>
      <c r="P2291" s="503">
        <f t="shared" si="176"/>
        <v>0</v>
      </c>
      <c r="Q2291" s="503">
        <f t="shared" si="177"/>
        <v>0</v>
      </c>
      <c r="R2291" s="504" t="str">
        <f t="shared" si="178"/>
        <v/>
      </c>
      <c r="S2291" s="504" t="str">
        <f>IF(D2291="","",IF(OR(D2291=Plano!$A$1,D2291=Plano!$B$1),"entrada","saída"))</f>
        <v/>
      </c>
      <c r="T2291" s="505"/>
      <c r="U2291" s="505"/>
      <c r="V2291" s="541"/>
    </row>
    <row r="2292" spans="1:22" ht="12.75" customHeight="1" x14ac:dyDescent="0.2">
      <c r="A2292" s="493" t="str">
        <f>IF(B2292="","",COUNT('Diário 5º PA'!$A$5:$A$2634)+COUNT('Diário 6º PA'!$A$5:$A$2246)+COUNT('Diário 7º PA'!$A$5:$A$2271)+ROW()-4)</f>
        <v/>
      </c>
      <c r="B2292" s="494"/>
      <c r="C2292" s="507"/>
      <c r="D2292" s="495"/>
      <c r="E2292" s="495"/>
      <c r="F2292" s="496"/>
      <c r="G2292" s="495"/>
      <c r="H2292" s="495"/>
      <c r="I2292" s="581"/>
      <c r="J2292" s="495"/>
      <c r="K2292" s="516"/>
      <c r="L2292" s="581"/>
      <c r="M2292" s="493"/>
      <c r="N2292" s="493"/>
      <c r="O2292" s="498"/>
      <c r="P2292" s="503">
        <f t="shared" si="176"/>
        <v>0</v>
      </c>
      <c r="Q2292" s="503">
        <f t="shared" si="177"/>
        <v>0</v>
      </c>
      <c r="R2292" s="504" t="str">
        <f t="shared" si="178"/>
        <v/>
      </c>
      <c r="S2292" s="504" t="str">
        <f>IF(D2292="","",IF(OR(D2292=Plano!$A$1,D2292=Plano!$B$1),"entrada","saída"))</f>
        <v/>
      </c>
      <c r="T2292" s="505"/>
      <c r="U2292" s="505"/>
      <c r="V2292" s="541"/>
    </row>
    <row r="2293" spans="1:22" ht="12.75" customHeight="1" x14ac:dyDescent="0.2">
      <c r="A2293" s="493" t="str">
        <f>IF(B2293="","",COUNT('Diário 5º PA'!$A$5:$A$2634)+COUNT('Diário 6º PA'!$A$5:$A$2246)+COUNT('Diário 7º PA'!$A$5:$A$2271)+ROW()-4)</f>
        <v/>
      </c>
      <c r="B2293" s="494"/>
      <c r="C2293" s="507"/>
      <c r="D2293" s="495"/>
      <c r="E2293" s="495"/>
      <c r="F2293" s="496"/>
      <c r="G2293" s="495"/>
      <c r="H2293" s="495"/>
      <c r="I2293" s="581"/>
      <c r="J2293" s="495"/>
      <c r="K2293" s="516"/>
      <c r="L2293" s="581"/>
      <c r="M2293" s="493"/>
      <c r="N2293" s="493"/>
      <c r="O2293" s="498"/>
      <c r="P2293" s="503">
        <f t="shared" si="176"/>
        <v>0</v>
      </c>
      <c r="Q2293" s="503">
        <f t="shared" si="177"/>
        <v>0</v>
      </c>
      <c r="R2293" s="504" t="str">
        <f t="shared" si="178"/>
        <v/>
      </c>
      <c r="S2293" s="504" t="str">
        <f>IF(D2293="","",IF(OR(D2293=Plano!$A$1,D2293=Plano!$B$1),"entrada","saída"))</f>
        <v/>
      </c>
      <c r="T2293" s="505"/>
      <c r="U2293" s="505"/>
      <c r="V2293" s="541"/>
    </row>
    <row r="2294" spans="1:22" ht="12.75" customHeight="1" x14ac:dyDescent="0.2">
      <c r="A2294" s="493" t="str">
        <f>IF(B2294="","",COUNT('Diário 5º PA'!$A$5:$A$2634)+COUNT('Diário 6º PA'!$A$5:$A$2246)+COUNT('Diário 7º PA'!$A$5:$A$2271)+ROW()-4)</f>
        <v/>
      </c>
      <c r="B2294" s="494"/>
      <c r="C2294" s="507"/>
      <c r="D2294" s="495"/>
      <c r="E2294" s="495"/>
      <c r="F2294" s="496"/>
      <c r="G2294" s="495"/>
      <c r="H2294" s="495"/>
      <c r="I2294" s="581"/>
      <c r="J2294" s="495"/>
      <c r="K2294" s="516"/>
      <c r="L2294" s="581"/>
      <c r="M2294" s="493"/>
      <c r="N2294" s="493"/>
      <c r="O2294" s="498"/>
      <c r="P2294" s="503">
        <f t="shared" si="176"/>
        <v>0</v>
      </c>
      <c r="Q2294" s="503">
        <f t="shared" si="177"/>
        <v>0</v>
      </c>
      <c r="R2294" s="504" t="str">
        <f t="shared" si="178"/>
        <v/>
      </c>
      <c r="S2294" s="504" t="str">
        <f>IF(D2294="","",IF(OR(D2294=Plano!$A$1,D2294=Plano!$B$1),"entrada","saída"))</f>
        <v/>
      </c>
      <c r="T2294" s="505"/>
      <c r="U2294" s="505"/>
      <c r="V2294" s="541"/>
    </row>
    <row r="2295" spans="1:22" ht="12.75" customHeight="1" x14ac:dyDescent="0.2">
      <c r="A2295" s="493" t="str">
        <f>IF(B2295="","",COUNT('Diário 5º PA'!$A$5:$A$2634)+COUNT('Diário 6º PA'!$A$5:$A$2246)+COUNT('Diário 7º PA'!$A$5:$A$2271)+ROW()-4)</f>
        <v/>
      </c>
      <c r="B2295" s="494"/>
      <c r="C2295" s="507"/>
      <c r="D2295" s="495"/>
      <c r="E2295" s="495"/>
      <c r="F2295" s="496"/>
      <c r="G2295" s="495"/>
      <c r="H2295" s="495"/>
      <c r="I2295" s="581"/>
      <c r="J2295" s="495"/>
      <c r="K2295" s="516"/>
      <c r="L2295" s="581"/>
      <c r="M2295" s="493"/>
      <c r="N2295" s="493"/>
      <c r="O2295" s="498"/>
      <c r="P2295" s="503">
        <f t="shared" si="176"/>
        <v>0</v>
      </c>
      <c r="Q2295" s="503">
        <f t="shared" si="177"/>
        <v>0</v>
      </c>
      <c r="R2295" s="504" t="str">
        <f t="shared" si="178"/>
        <v/>
      </c>
      <c r="S2295" s="504" t="str">
        <f>IF(D2295="","",IF(OR(D2295=Plano!$A$1,D2295=Plano!$B$1),"entrada","saída"))</f>
        <v/>
      </c>
      <c r="T2295" s="505"/>
      <c r="U2295" s="505"/>
      <c r="V2295" s="541"/>
    </row>
    <row r="2296" spans="1:22" ht="12.75" customHeight="1" x14ac:dyDescent="0.2">
      <c r="A2296" s="493" t="str">
        <f>IF(B2296="","",COUNT('Diário 5º PA'!$A$5:$A$2634)+COUNT('Diário 6º PA'!$A$5:$A$2246)+COUNT('Diário 7º PA'!$A$5:$A$2271)+ROW()-4)</f>
        <v/>
      </c>
      <c r="B2296" s="494"/>
      <c r="C2296" s="507"/>
      <c r="D2296" s="495"/>
      <c r="E2296" s="495"/>
      <c r="F2296" s="496"/>
      <c r="G2296" s="495"/>
      <c r="H2296" s="495"/>
      <c r="I2296" s="581"/>
      <c r="J2296" s="495"/>
      <c r="K2296" s="516"/>
      <c r="L2296" s="581"/>
      <c r="M2296" s="493"/>
      <c r="N2296" s="493"/>
      <c r="O2296" s="498"/>
      <c r="P2296" s="503">
        <f t="shared" si="176"/>
        <v>0</v>
      </c>
      <c r="Q2296" s="503">
        <f t="shared" si="177"/>
        <v>0</v>
      </c>
      <c r="R2296" s="504" t="str">
        <f t="shared" si="178"/>
        <v/>
      </c>
      <c r="S2296" s="504" t="str">
        <f>IF(D2296="","",IF(OR(D2296=Plano!$A$1,D2296=Plano!$B$1),"entrada","saída"))</f>
        <v/>
      </c>
      <c r="T2296" s="505"/>
      <c r="U2296" s="505"/>
      <c r="V2296" s="541"/>
    </row>
    <row r="2297" spans="1:22" ht="12.75" customHeight="1" x14ac:dyDescent="0.2">
      <c r="A2297" s="493" t="str">
        <f>IF(B2297="","",COUNT('Diário 5º PA'!$A$5:$A$2634)+COUNT('Diário 6º PA'!$A$5:$A$2246)+COUNT('Diário 7º PA'!$A$5:$A$2271)+ROW()-4)</f>
        <v/>
      </c>
      <c r="B2297" s="494"/>
      <c r="C2297" s="507"/>
      <c r="D2297" s="495"/>
      <c r="E2297" s="495"/>
      <c r="F2297" s="496"/>
      <c r="G2297" s="495"/>
      <c r="H2297" s="495"/>
      <c r="I2297" s="581"/>
      <c r="J2297" s="495"/>
      <c r="K2297" s="516"/>
      <c r="L2297" s="581"/>
      <c r="M2297" s="493"/>
      <c r="N2297" s="493"/>
      <c r="O2297" s="498"/>
      <c r="P2297" s="503">
        <f t="shared" si="176"/>
        <v>0</v>
      </c>
      <c r="Q2297" s="503">
        <f t="shared" si="177"/>
        <v>0</v>
      </c>
      <c r="R2297" s="504" t="str">
        <f t="shared" si="178"/>
        <v/>
      </c>
      <c r="S2297" s="504" t="str">
        <f>IF(D2297="","",IF(OR(D2297=Plano!$A$1,D2297=Plano!$B$1),"entrada","saída"))</f>
        <v/>
      </c>
      <c r="T2297" s="505"/>
      <c r="U2297" s="505"/>
      <c r="V2297" s="541"/>
    </row>
    <row r="2298" spans="1:22" ht="12.75" customHeight="1" x14ac:dyDescent="0.2">
      <c r="A2298" s="493" t="str">
        <f>IF(B2298="","",COUNT('Diário 5º PA'!$A$5:$A$2634)+COUNT('Diário 6º PA'!$A$5:$A$2246)+COUNT('Diário 7º PA'!$A$5:$A$2271)+ROW()-4)</f>
        <v/>
      </c>
      <c r="B2298" s="494"/>
      <c r="C2298" s="507"/>
      <c r="D2298" s="495"/>
      <c r="E2298" s="495"/>
      <c r="F2298" s="496"/>
      <c r="G2298" s="495"/>
      <c r="H2298" s="495"/>
      <c r="I2298" s="581"/>
      <c r="J2298" s="495"/>
      <c r="K2298" s="516"/>
      <c r="L2298" s="581"/>
      <c r="M2298" s="493"/>
      <c r="N2298" s="493"/>
      <c r="O2298" s="498"/>
      <c r="P2298" s="503">
        <f t="shared" si="176"/>
        <v>0</v>
      </c>
      <c r="Q2298" s="503">
        <f t="shared" si="177"/>
        <v>0</v>
      </c>
      <c r="R2298" s="504" t="str">
        <f t="shared" si="178"/>
        <v/>
      </c>
      <c r="S2298" s="504" t="str">
        <f>IF(D2298="","",IF(OR(D2298=Plano!$A$1,D2298=Plano!$B$1),"entrada","saída"))</f>
        <v/>
      </c>
      <c r="T2298" s="505"/>
      <c r="U2298" s="505"/>
      <c r="V2298" s="541"/>
    </row>
    <row r="2299" spans="1:22" ht="12.75" customHeight="1" x14ac:dyDescent="0.2">
      <c r="A2299" s="493" t="str">
        <f>IF(B2299="","",COUNT('Diário 5º PA'!$A$5:$A$2634)+COUNT('Diário 6º PA'!$A$5:$A$2246)+COUNT('Diário 7º PA'!$A$5:$A$2271)+ROW()-4)</f>
        <v/>
      </c>
      <c r="B2299" s="494"/>
      <c r="C2299" s="507"/>
      <c r="D2299" s="495"/>
      <c r="E2299" s="495"/>
      <c r="F2299" s="496"/>
      <c r="G2299" s="495"/>
      <c r="H2299" s="495"/>
      <c r="I2299" s="581"/>
      <c r="J2299" s="495"/>
      <c r="K2299" s="516"/>
      <c r="L2299" s="581"/>
      <c r="M2299" s="493"/>
      <c r="N2299" s="493"/>
      <c r="O2299" s="498"/>
      <c r="P2299" s="503">
        <f t="shared" si="176"/>
        <v>0</v>
      </c>
      <c r="Q2299" s="503">
        <f t="shared" si="177"/>
        <v>0</v>
      </c>
      <c r="R2299" s="504" t="str">
        <f t="shared" si="178"/>
        <v/>
      </c>
      <c r="S2299" s="504" t="str">
        <f>IF(D2299="","",IF(OR(D2299=Plano!$A$1,D2299=Plano!$B$1),"entrada","saída"))</f>
        <v/>
      </c>
      <c r="T2299" s="505"/>
      <c r="U2299" s="505"/>
      <c r="V2299" s="541"/>
    </row>
    <row r="2300" spans="1:22" ht="12.75" customHeight="1" x14ac:dyDescent="0.2">
      <c r="A2300" s="493" t="str">
        <f>IF(B2300="","",COUNT('Diário 5º PA'!$A$5:$A$2634)+COUNT('Diário 6º PA'!$A$5:$A$2246)+COUNT('Diário 7º PA'!$A$5:$A$2271)+ROW()-4)</f>
        <v/>
      </c>
      <c r="B2300" s="494"/>
      <c r="C2300" s="507"/>
      <c r="D2300" s="495"/>
      <c r="E2300" s="495"/>
      <c r="F2300" s="496"/>
      <c r="G2300" s="495"/>
      <c r="H2300" s="495"/>
      <c r="I2300" s="581"/>
      <c r="J2300" s="495"/>
      <c r="K2300" s="516"/>
      <c r="L2300" s="581"/>
      <c r="M2300" s="493"/>
      <c r="N2300" s="493"/>
      <c r="O2300" s="498"/>
      <c r="P2300" s="503">
        <f t="shared" si="176"/>
        <v>0</v>
      </c>
      <c r="Q2300" s="503">
        <f t="shared" si="177"/>
        <v>0</v>
      </c>
      <c r="R2300" s="504" t="str">
        <f t="shared" si="178"/>
        <v/>
      </c>
      <c r="S2300" s="504" t="str">
        <f>IF(D2300="","",IF(OR(D2300=Plano!$A$1,D2300=Plano!$B$1),"entrada","saída"))</f>
        <v/>
      </c>
      <c r="T2300" s="505"/>
      <c r="U2300" s="505"/>
      <c r="V2300" s="541"/>
    </row>
    <row r="2301" spans="1:22" ht="12.75" customHeight="1" x14ac:dyDescent="0.2">
      <c r="A2301" s="493" t="str">
        <f>IF(B2301="","",COUNT('Diário 5º PA'!$A$5:$A$2634)+COUNT('Diário 6º PA'!$A$5:$A$2246)+COUNT('Diário 7º PA'!$A$5:$A$2271)+ROW()-4)</f>
        <v/>
      </c>
      <c r="B2301" s="494"/>
      <c r="C2301" s="507"/>
      <c r="D2301" s="495"/>
      <c r="E2301" s="495"/>
      <c r="F2301" s="496"/>
      <c r="G2301" s="495"/>
      <c r="H2301" s="495"/>
      <c r="I2301" s="581"/>
      <c r="J2301" s="495"/>
      <c r="K2301" s="516"/>
      <c r="L2301" s="581"/>
      <c r="M2301" s="493"/>
      <c r="N2301" s="493"/>
      <c r="O2301" s="498"/>
      <c r="P2301" s="503">
        <f t="shared" si="176"/>
        <v>0</v>
      </c>
      <c r="Q2301" s="503">
        <f t="shared" si="177"/>
        <v>0</v>
      </c>
      <c r="R2301" s="504" t="str">
        <f t="shared" si="178"/>
        <v/>
      </c>
      <c r="S2301" s="504" t="str">
        <f>IF(D2301="","",IF(OR(D2301=Plano!$A$1,D2301=Plano!$B$1),"entrada","saída"))</f>
        <v/>
      </c>
      <c r="T2301" s="505"/>
      <c r="U2301" s="505"/>
      <c r="V2301" s="541"/>
    </row>
    <row r="2302" spans="1:22" ht="12.75" customHeight="1" x14ac:dyDescent="0.2">
      <c r="A2302" s="493" t="str">
        <f>IF(B2302="","",COUNT('Diário 5º PA'!$A$5:$A$2634)+COUNT('Diário 6º PA'!$A$5:$A$2246)+COUNT('Diário 7º PA'!$A$5:$A$2271)+ROW()-4)</f>
        <v/>
      </c>
      <c r="B2302" s="494"/>
      <c r="C2302" s="507"/>
      <c r="D2302" s="495"/>
      <c r="E2302" s="495"/>
      <c r="F2302" s="496"/>
      <c r="G2302" s="495"/>
      <c r="H2302" s="495"/>
      <c r="I2302" s="581"/>
      <c r="J2302" s="495"/>
      <c r="K2302" s="516"/>
      <c r="L2302" s="581"/>
      <c r="M2302" s="493"/>
      <c r="N2302" s="493"/>
      <c r="O2302" s="498"/>
      <c r="P2302" s="503">
        <f t="shared" si="176"/>
        <v>0</v>
      </c>
      <c r="Q2302" s="503">
        <f t="shared" si="177"/>
        <v>0</v>
      </c>
      <c r="R2302" s="504" t="str">
        <f t="shared" si="178"/>
        <v/>
      </c>
      <c r="S2302" s="504" t="str">
        <f>IF(D2302="","",IF(OR(D2302=Plano!$A$1,D2302=Plano!$B$1),"entrada","saída"))</f>
        <v/>
      </c>
      <c r="T2302" s="505"/>
      <c r="U2302" s="505"/>
      <c r="V2302" s="541"/>
    </row>
    <row r="2303" spans="1:22" ht="12.75" customHeight="1" x14ac:dyDescent="0.2">
      <c r="A2303" s="493" t="str">
        <f>IF(B2303="","",COUNT('Diário 5º PA'!$A$5:$A$2634)+COUNT('Diário 6º PA'!$A$5:$A$2246)+COUNT('Diário 7º PA'!$A$5:$A$2271)+ROW()-4)</f>
        <v/>
      </c>
      <c r="B2303" s="494"/>
      <c r="C2303" s="507"/>
      <c r="D2303" s="495"/>
      <c r="E2303" s="495"/>
      <c r="F2303" s="496"/>
      <c r="G2303" s="495"/>
      <c r="H2303" s="495"/>
      <c r="I2303" s="581"/>
      <c r="J2303" s="495"/>
      <c r="K2303" s="516"/>
      <c r="L2303" s="581"/>
      <c r="M2303" s="493"/>
      <c r="N2303" s="493"/>
      <c r="O2303" s="498"/>
      <c r="P2303" s="503">
        <f t="shared" si="176"/>
        <v>0</v>
      </c>
      <c r="Q2303" s="503">
        <f t="shared" si="177"/>
        <v>0</v>
      </c>
      <c r="R2303" s="504" t="str">
        <f t="shared" si="178"/>
        <v/>
      </c>
      <c r="S2303" s="504" t="str">
        <f>IF(D2303="","",IF(OR(D2303=Plano!$A$1,D2303=Plano!$B$1),"entrada","saída"))</f>
        <v/>
      </c>
      <c r="T2303" s="505"/>
      <c r="U2303" s="505"/>
      <c r="V2303" s="541"/>
    </row>
    <row r="2304" spans="1:22" ht="12.75" customHeight="1" x14ac:dyDescent="0.2">
      <c r="A2304" s="493" t="str">
        <f>IF(B2304="","",COUNT('Diário 5º PA'!$A$5:$A$2634)+COUNT('Diário 6º PA'!$A$5:$A$2246)+COUNT('Diário 7º PA'!$A$5:$A$2271)+ROW()-4)</f>
        <v/>
      </c>
      <c r="B2304" s="494"/>
      <c r="C2304" s="507"/>
      <c r="D2304" s="495"/>
      <c r="E2304" s="495"/>
      <c r="F2304" s="496"/>
      <c r="G2304" s="495"/>
      <c r="H2304" s="495"/>
      <c r="I2304" s="581"/>
      <c r="J2304" s="495"/>
      <c r="K2304" s="516"/>
      <c r="L2304" s="581"/>
      <c r="M2304" s="493"/>
      <c r="N2304" s="493"/>
      <c r="O2304" s="498"/>
      <c r="P2304" s="503">
        <f t="shared" si="176"/>
        <v>0</v>
      </c>
      <c r="Q2304" s="503">
        <f t="shared" si="177"/>
        <v>0</v>
      </c>
      <c r="R2304" s="504" t="str">
        <f t="shared" si="178"/>
        <v/>
      </c>
      <c r="S2304" s="504" t="str">
        <f>IF(D2304="","",IF(OR(D2304=Plano!$A$1,D2304=Plano!$B$1),"entrada","saída"))</f>
        <v/>
      </c>
      <c r="T2304" s="505"/>
      <c r="U2304" s="505"/>
      <c r="V2304" s="541"/>
    </row>
    <row r="2305" spans="1:22" ht="12.75" customHeight="1" x14ac:dyDescent="0.2">
      <c r="A2305" s="493" t="str">
        <f>IF(B2305="","",COUNT('Diário 5º PA'!$A$5:$A$2634)+COUNT('Diário 6º PA'!$A$5:$A$2246)+COUNT('Diário 7º PA'!$A$5:$A$2271)+ROW()-4)</f>
        <v/>
      </c>
      <c r="B2305" s="494"/>
      <c r="C2305" s="507"/>
      <c r="D2305" s="495"/>
      <c r="E2305" s="495"/>
      <c r="F2305" s="496"/>
      <c r="G2305" s="495"/>
      <c r="H2305" s="495"/>
      <c r="I2305" s="581"/>
      <c r="J2305" s="495"/>
      <c r="K2305" s="516"/>
      <c r="L2305" s="581"/>
      <c r="M2305" s="493"/>
      <c r="N2305" s="493"/>
      <c r="O2305" s="498"/>
      <c r="P2305" s="503">
        <f t="shared" si="176"/>
        <v>0</v>
      </c>
      <c r="Q2305" s="503">
        <f t="shared" si="177"/>
        <v>0</v>
      </c>
      <c r="R2305" s="504" t="str">
        <f t="shared" si="178"/>
        <v/>
      </c>
      <c r="S2305" s="504" t="str">
        <f>IF(D2305="","",IF(OR(D2305=Plano!$A$1,D2305=Plano!$B$1),"entrada","saída"))</f>
        <v/>
      </c>
      <c r="T2305" s="505"/>
      <c r="U2305" s="505"/>
      <c r="V2305" s="541"/>
    </row>
    <row r="2306" spans="1:22" ht="12.75" customHeight="1" x14ac:dyDescent="0.2">
      <c r="A2306" s="493" t="str">
        <f>IF(B2306="","",COUNT('Diário 5º PA'!$A$5:$A$2634)+COUNT('Diário 6º PA'!$A$5:$A$2246)+COUNT('Diário 7º PA'!$A$5:$A$2271)+ROW()-4)</f>
        <v/>
      </c>
      <c r="B2306" s="494"/>
      <c r="C2306" s="507"/>
      <c r="D2306" s="495"/>
      <c r="E2306" s="495"/>
      <c r="F2306" s="496"/>
      <c r="G2306" s="495"/>
      <c r="H2306" s="495"/>
      <c r="I2306" s="581"/>
      <c r="J2306" s="495"/>
      <c r="K2306" s="516"/>
      <c r="L2306" s="581"/>
      <c r="M2306" s="493"/>
      <c r="N2306" s="493"/>
      <c r="O2306" s="498"/>
      <c r="P2306" s="503">
        <f t="shared" si="176"/>
        <v>0</v>
      </c>
      <c r="Q2306" s="503">
        <f t="shared" si="177"/>
        <v>0</v>
      </c>
      <c r="R2306" s="504" t="str">
        <f t="shared" si="178"/>
        <v/>
      </c>
      <c r="S2306" s="504" t="str">
        <f>IF(D2306="","",IF(OR(D2306=Plano!$A$1,D2306=Plano!$B$1),"entrada","saída"))</f>
        <v/>
      </c>
      <c r="T2306" s="505"/>
      <c r="U2306" s="505"/>
      <c r="V2306" s="541"/>
    </row>
    <row r="2307" spans="1:22" ht="12.75" customHeight="1" x14ac:dyDescent="0.2">
      <c r="A2307" s="493" t="str">
        <f>IF(B2307="","",COUNT('Diário 5º PA'!$A$5:$A$2634)+COUNT('Diário 6º PA'!$A$5:$A$2246)+COUNT('Diário 7º PA'!$A$5:$A$2271)+ROW()-4)</f>
        <v/>
      </c>
      <c r="B2307" s="494"/>
      <c r="C2307" s="507"/>
      <c r="D2307" s="495"/>
      <c r="E2307" s="495"/>
      <c r="F2307" s="496"/>
      <c r="G2307" s="495"/>
      <c r="H2307" s="495"/>
      <c r="I2307" s="581"/>
      <c r="J2307" s="495"/>
      <c r="K2307" s="516"/>
      <c r="L2307" s="581"/>
      <c r="M2307" s="493"/>
      <c r="N2307" s="493"/>
      <c r="O2307" s="498"/>
      <c r="P2307" s="503">
        <f t="shared" si="176"/>
        <v>0</v>
      </c>
      <c r="Q2307" s="503">
        <f t="shared" si="177"/>
        <v>0</v>
      </c>
      <c r="R2307" s="504" t="str">
        <f t="shared" si="178"/>
        <v/>
      </c>
      <c r="S2307" s="504" t="str">
        <f>IF(D2307="","",IF(OR(D2307=Plano!$A$1,D2307=Plano!$B$1),"entrada","saída"))</f>
        <v/>
      </c>
      <c r="T2307" s="505"/>
      <c r="U2307" s="505"/>
      <c r="V2307" s="541"/>
    </row>
    <row r="2308" spans="1:22" ht="12.75" customHeight="1" x14ac:dyDescent="0.2">
      <c r="A2308" s="493" t="str">
        <f>IF(B2308="","",COUNT('Diário 5º PA'!$A$5:$A$2634)+COUNT('Diário 6º PA'!$A$5:$A$2246)+COUNT('Diário 7º PA'!$A$5:$A$2271)+ROW()-4)</f>
        <v/>
      </c>
      <c r="B2308" s="494"/>
      <c r="C2308" s="507"/>
      <c r="D2308" s="495"/>
      <c r="E2308" s="495"/>
      <c r="F2308" s="496"/>
      <c r="G2308" s="495"/>
      <c r="H2308" s="495"/>
      <c r="I2308" s="581"/>
      <c r="J2308" s="495"/>
      <c r="K2308" s="516"/>
      <c r="L2308" s="581"/>
      <c r="M2308" s="493"/>
      <c r="N2308" s="493"/>
      <c r="O2308" s="498"/>
      <c r="P2308" s="503">
        <f t="shared" si="176"/>
        <v>0</v>
      </c>
      <c r="Q2308" s="503">
        <f t="shared" si="177"/>
        <v>0</v>
      </c>
      <c r="R2308" s="504" t="str">
        <f t="shared" si="178"/>
        <v/>
      </c>
      <c r="S2308" s="504" t="str">
        <f>IF(D2308="","",IF(OR(D2308=Plano!$A$1,D2308=Plano!$B$1),"entrada","saída"))</f>
        <v/>
      </c>
      <c r="T2308" s="505"/>
      <c r="U2308" s="505"/>
      <c r="V2308" s="541"/>
    </row>
    <row r="2309" spans="1:22" ht="12.75" customHeight="1" x14ac:dyDescent="0.2">
      <c r="A2309" s="493" t="str">
        <f>IF(B2309="","",COUNT('Diário 5º PA'!$A$5:$A$2634)+COUNT('Diário 6º PA'!$A$5:$A$2246)+COUNT('Diário 7º PA'!$A$5:$A$2271)+ROW()-4)</f>
        <v/>
      </c>
      <c r="B2309" s="494"/>
      <c r="C2309" s="507"/>
      <c r="D2309" s="495"/>
      <c r="E2309" s="495"/>
      <c r="F2309" s="496"/>
      <c r="G2309" s="495"/>
      <c r="H2309" s="495"/>
      <c r="I2309" s="581"/>
      <c r="J2309" s="495"/>
      <c r="K2309" s="516"/>
      <c r="L2309" s="581"/>
      <c r="M2309" s="493"/>
      <c r="N2309" s="493"/>
      <c r="O2309" s="498"/>
      <c r="P2309" s="503">
        <f t="shared" si="176"/>
        <v>0</v>
      </c>
      <c r="Q2309" s="503">
        <f t="shared" si="177"/>
        <v>0</v>
      </c>
      <c r="R2309" s="504" t="str">
        <f t="shared" si="178"/>
        <v/>
      </c>
      <c r="S2309" s="504" t="str">
        <f>IF(D2309="","",IF(OR(D2309=Plano!$A$1,D2309=Plano!$B$1),"entrada","saída"))</f>
        <v/>
      </c>
      <c r="T2309" s="505"/>
      <c r="U2309" s="505"/>
      <c r="V2309" s="541"/>
    </row>
    <row r="2310" spans="1:22" ht="12.75" customHeight="1" x14ac:dyDescent="0.2">
      <c r="A2310" s="493" t="str">
        <f>IF(B2310="","",COUNT('Diário 5º PA'!$A$5:$A$2634)+COUNT('Diário 6º PA'!$A$5:$A$2246)+COUNT('Diário 7º PA'!$A$5:$A$2271)+ROW()-4)</f>
        <v/>
      </c>
      <c r="B2310" s="494"/>
      <c r="C2310" s="507"/>
      <c r="D2310" s="495"/>
      <c r="E2310" s="495"/>
      <c r="F2310" s="496"/>
      <c r="G2310" s="495"/>
      <c r="H2310" s="495"/>
      <c r="I2310" s="581"/>
      <c r="J2310" s="495"/>
      <c r="K2310" s="516"/>
      <c r="L2310" s="581"/>
      <c r="M2310" s="493"/>
      <c r="N2310" s="493"/>
      <c r="O2310" s="498"/>
      <c r="P2310" s="503">
        <f t="shared" si="176"/>
        <v>0</v>
      </c>
      <c r="Q2310" s="503">
        <f t="shared" si="177"/>
        <v>0</v>
      </c>
      <c r="R2310" s="504" t="str">
        <f t="shared" si="178"/>
        <v/>
      </c>
      <c r="S2310" s="504" t="str">
        <f>IF(D2310="","",IF(OR(D2310=Plano!$A$1,D2310=Plano!$B$1),"entrada","saída"))</f>
        <v/>
      </c>
      <c r="T2310" s="505"/>
      <c r="U2310" s="505"/>
      <c r="V2310" s="541"/>
    </row>
    <row r="2311" spans="1:22" ht="12.75" customHeight="1" x14ac:dyDescent="0.2">
      <c r="A2311" s="493" t="str">
        <f>IF(B2311="","",COUNT('Diário 5º PA'!$A$5:$A$2634)+COUNT('Diário 6º PA'!$A$5:$A$2246)+COUNT('Diário 7º PA'!$A$5:$A$2271)+ROW()-4)</f>
        <v/>
      </c>
      <c r="B2311" s="494"/>
      <c r="C2311" s="507"/>
      <c r="D2311" s="495"/>
      <c r="E2311" s="495"/>
      <c r="F2311" s="496"/>
      <c r="G2311" s="495"/>
      <c r="H2311" s="495"/>
      <c r="I2311" s="581"/>
      <c r="J2311" s="495"/>
      <c r="K2311" s="516"/>
      <c r="L2311" s="581"/>
      <c r="M2311" s="493"/>
      <c r="N2311" s="493"/>
      <c r="O2311" s="498"/>
      <c r="P2311" s="503">
        <f t="shared" si="176"/>
        <v>0</v>
      </c>
      <c r="Q2311" s="503">
        <f t="shared" si="177"/>
        <v>0</v>
      </c>
      <c r="R2311" s="504" t="str">
        <f t="shared" si="178"/>
        <v/>
      </c>
      <c r="S2311" s="504" t="str">
        <f>IF(D2311="","",IF(OR(D2311=Plano!$A$1,D2311=Plano!$B$1),"entrada","saída"))</f>
        <v/>
      </c>
      <c r="T2311" s="505"/>
      <c r="U2311" s="505"/>
      <c r="V2311" s="541"/>
    </row>
    <row r="2312" spans="1:22" ht="12.75" customHeight="1" x14ac:dyDescent="0.2">
      <c r="A2312" s="493" t="str">
        <f>IF(B2312="","",COUNT('Diário 5º PA'!$A$5:$A$2634)+COUNT('Diário 6º PA'!$A$5:$A$2246)+COUNT('Diário 7º PA'!$A$5:$A$2271)+ROW()-4)</f>
        <v/>
      </c>
      <c r="B2312" s="494"/>
      <c r="C2312" s="507"/>
      <c r="D2312" s="495"/>
      <c r="E2312" s="495"/>
      <c r="F2312" s="496"/>
      <c r="G2312" s="495"/>
      <c r="H2312" s="495"/>
      <c r="I2312" s="581"/>
      <c r="J2312" s="495"/>
      <c r="K2312" s="516"/>
      <c r="L2312" s="581"/>
      <c r="M2312" s="493"/>
      <c r="N2312" s="493"/>
      <c r="O2312" s="498"/>
      <c r="P2312" s="503">
        <f t="shared" si="176"/>
        <v>0</v>
      </c>
      <c r="Q2312" s="503">
        <f t="shared" si="177"/>
        <v>0</v>
      </c>
      <c r="R2312" s="504" t="str">
        <f t="shared" si="178"/>
        <v/>
      </c>
      <c r="S2312" s="504" t="str">
        <f>IF(D2312="","",IF(OR(D2312=Plano!$A$1,D2312=Plano!$B$1),"entrada","saída"))</f>
        <v/>
      </c>
      <c r="T2312" s="505"/>
      <c r="U2312" s="505"/>
      <c r="V2312" s="541"/>
    </row>
    <row r="2313" spans="1:22" ht="12.75" customHeight="1" x14ac:dyDescent="0.2">
      <c r="A2313" s="493" t="str">
        <f>IF(B2313="","",COUNT('Diário 5º PA'!$A$5:$A$2634)+COUNT('Diário 6º PA'!$A$5:$A$2246)+COUNT('Diário 7º PA'!$A$5:$A$2271)+ROW()-4)</f>
        <v/>
      </c>
      <c r="B2313" s="494"/>
      <c r="C2313" s="507"/>
      <c r="D2313" s="495"/>
      <c r="E2313" s="495"/>
      <c r="F2313" s="496"/>
      <c r="G2313" s="495"/>
      <c r="H2313" s="495"/>
      <c r="I2313" s="581"/>
      <c r="J2313" s="495"/>
      <c r="K2313" s="516"/>
      <c r="L2313" s="581"/>
      <c r="M2313" s="493"/>
      <c r="N2313" s="493"/>
      <c r="O2313" s="498"/>
      <c r="P2313" s="503">
        <f t="shared" si="176"/>
        <v>0</v>
      </c>
      <c r="Q2313" s="503">
        <f t="shared" si="177"/>
        <v>0</v>
      </c>
      <c r="R2313" s="504" t="str">
        <f t="shared" si="178"/>
        <v/>
      </c>
      <c r="S2313" s="504" t="str">
        <f>IF(D2313="","",IF(OR(D2313=Plano!$A$1,D2313=Plano!$B$1),"entrada","saída"))</f>
        <v/>
      </c>
      <c r="T2313" s="505"/>
      <c r="U2313" s="505"/>
      <c r="V2313" s="541"/>
    </row>
    <row r="2314" spans="1:22" ht="12.75" customHeight="1" x14ac:dyDescent="0.2">
      <c r="A2314" s="493" t="str">
        <f>IF(B2314="","",COUNT('Diário 5º PA'!$A$5:$A$2634)+COUNT('Diário 6º PA'!$A$5:$A$2246)+COUNT('Diário 7º PA'!$A$5:$A$2271)+ROW()-4)</f>
        <v/>
      </c>
      <c r="B2314" s="494"/>
      <c r="C2314" s="507"/>
      <c r="D2314" s="495"/>
      <c r="E2314" s="495"/>
      <c r="F2314" s="496"/>
      <c r="G2314" s="495"/>
      <c r="H2314" s="495"/>
      <c r="I2314" s="581"/>
      <c r="J2314" s="495"/>
      <c r="K2314" s="516"/>
      <c r="L2314" s="581"/>
      <c r="M2314" s="493"/>
      <c r="N2314" s="493"/>
      <c r="O2314" s="498"/>
      <c r="P2314" s="503">
        <f t="shared" si="176"/>
        <v>0</v>
      </c>
      <c r="Q2314" s="503">
        <f t="shared" si="177"/>
        <v>0</v>
      </c>
      <c r="R2314" s="504" t="str">
        <f t="shared" si="178"/>
        <v/>
      </c>
      <c r="S2314" s="504" t="str">
        <f>IF(D2314="","",IF(OR(D2314=Plano!$A$1,D2314=Plano!$B$1),"entrada","saída"))</f>
        <v/>
      </c>
      <c r="T2314" s="505"/>
      <c r="U2314" s="505"/>
      <c r="V2314" s="541"/>
    </row>
    <row r="2315" spans="1:22" ht="12.75" customHeight="1" x14ac:dyDescent="0.2">
      <c r="A2315" s="493" t="str">
        <f>IF(B2315="","",COUNT('Diário 5º PA'!$A$5:$A$2634)+COUNT('Diário 6º PA'!$A$5:$A$2246)+COUNT('Diário 7º PA'!$A$5:$A$2271)+ROW()-4)</f>
        <v/>
      </c>
      <c r="B2315" s="494"/>
      <c r="C2315" s="507"/>
      <c r="D2315" s="495"/>
      <c r="E2315" s="495"/>
      <c r="F2315" s="496"/>
      <c r="G2315" s="495"/>
      <c r="H2315" s="495"/>
      <c r="I2315" s="581"/>
      <c r="J2315" s="495"/>
      <c r="K2315" s="516"/>
      <c r="L2315" s="581"/>
      <c r="M2315" s="493"/>
      <c r="N2315" s="493"/>
      <c r="O2315" s="498"/>
      <c r="P2315" s="503">
        <f t="shared" si="176"/>
        <v>0</v>
      </c>
      <c r="Q2315" s="503">
        <f t="shared" si="177"/>
        <v>0</v>
      </c>
      <c r="R2315" s="504" t="str">
        <f t="shared" si="178"/>
        <v/>
      </c>
      <c r="S2315" s="504" t="str">
        <f>IF(D2315="","",IF(OR(D2315=Plano!$A$1,D2315=Plano!$B$1),"entrada","saída"))</f>
        <v/>
      </c>
      <c r="T2315" s="505"/>
      <c r="U2315" s="505"/>
      <c r="V2315" s="541"/>
    </row>
    <row r="2316" spans="1:22" ht="12.75" customHeight="1" x14ac:dyDescent="0.2">
      <c r="A2316" s="493" t="str">
        <f>IF(B2316="","",COUNT('Diário 5º PA'!$A$5:$A$2634)+COUNT('Diário 6º PA'!$A$5:$A$2246)+COUNT('Diário 7º PA'!$A$5:$A$2271)+ROW()-4)</f>
        <v/>
      </c>
      <c r="B2316" s="494"/>
      <c r="C2316" s="507"/>
      <c r="D2316" s="495"/>
      <c r="E2316" s="495"/>
      <c r="F2316" s="496"/>
      <c r="G2316" s="495"/>
      <c r="H2316" s="495"/>
      <c r="I2316" s="581"/>
      <c r="J2316" s="495"/>
      <c r="K2316" s="516"/>
      <c r="L2316" s="581"/>
      <c r="M2316" s="493"/>
      <c r="N2316" s="493"/>
      <c r="O2316" s="498"/>
      <c r="P2316" s="503">
        <f t="shared" si="176"/>
        <v>0</v>
      </c>
      <c r="Q2316" s="503">
        <f t="shared" si="177"/>
        <v>0</v>
      </c>
      <c r="R2316" s="504" t="str">
        <f t="shared" si="178"/>
        <v/>
      </c>
      <c r="S2316" s="504" t="str">
        <f>IF(D2316="","",IF(OR(D2316=Plano!$A$1,D2316=Plano!$B$1),"entrada","saída"))</f>
        <v/>
      </c>
      <c r="T2316" s="505"/>
      <c r="U2316" s="505"/>
      <c r="V2316" s="541"/>
    </row>
    <row r="2317" spans="1:22" ht="12.75" customHeight="1" x14ac:dyDescent="0.2">
      <c r="A2317" s="493" t="str">
        <f>IF(B2317="","",COUNT('Diário 5º PA'!$A$5:$A$2634)+COUNT('Diário 6º PA'!$A$5:$A$2246)+COUNT('Diário 7º PA'!$A$5:$A$2271)+ROW()-4)</f>
        <v/>
      </c>
      <c r="B2317" s="494"/>
      <c r="C2317" s="507"/>
      <c r="D2317" s="495"/>
      <c r="E2317" s="495"/>
      <c r="F2317" s="496"/>
      <c r="G2317" s="495"/>
      <c r="H2317" s="495"/>
      <c r="I2317" s="581"/>
      <c r="J2317" s="495"/>
      <c r="K2317" s="516"/>
      <c r="L2317" s="581"/>
      <c r="M2317" s="493"/>
      <c r="N2317" s="493"/>
      <c r="O2317" s="498"/>
      <c r="P2317" s="503">
        <f t="shared" si="176"/>
        <v>0</v>
      </c>
      <c r="Q2317" s="503">
        <f t="shared" si="177"/>
        <v>0</v>
      </c>
      <c r="R2317" s="504" t="str">
        <f t="shared" si="178"/>
        <v/>
      </c>
      <c r="S2317" s="504" t="str">
        <f>IF(D2317="","",IF(OR(D2317=Plano!$A$1,D2317=Plano!$B$1),"entrada","saída"))</f>
        <v/>
      </c>
      <c r="T2317" s="505"/>
      <c r="U2317" s="505"/>
      <c r="V2317" s="541"/>
    </row>
    <row r="2318" spans="1:22" ht="12.75" customHeight="1" x14ac:dyDescent="0.2">
      <c r="A2318" s="493" t="str">
        <f>IF(B2318="","",COUNT('Diário 5º PA'!$A$5:$A$2634)+COUNT('Diário 6º PA'!$A$5:$A$2246)+COUNT('Diário 7º PA'!$A$5:$A$2271)+ROW()-4)</f>
        <v/>
      </c>
      <c r="B2318" s="494"/>
      <c r="C2318" s="507"/>
      <c r="D2318" s="495"/>
      <c r="E2318" s="495"/>
      <c r="F2318" s="496"/>
      <c r="G2318" s="495"/>
      <c r="H2318" s="495"/>
      <c r="I2318" s="581"/>
      <c r="J2318" s="495"/>
      <c r="K2318" s="516"/>
      <c r="L2318" s="581"/>
      <c r="M2318" s="493"/>
      <c r="N2318" s="493"/>
      <c r="O2318" s="498"/>
      <c r="P2318" s="503">
        <f t="shared" si="176"/>
        <v>0</v>
      </c>
      <c r="Q2318" s="503">
        <f t="shared" si="177"/>
        <v>0</v>
      </c>
      <c r="R2318" s="504" t="str">
        <f t="shared" si="178"/>
        <v/>
      </c>
      <c r="S2318" s="504" t="str">
        <f>IF(D2318="","",IF(OR(D2318=Plano!$A$1,D2318=Plano!$B$1),"entrada","saída"))</f>
        <v/>
      </c>
      <c r="T2318" s="505"/>
      <c r="U2318" s="505"/>
      <c r="V2318" s="541"/>
    </row>
    <row r="2319" spans="1:22" ht="12.75" customHeight="1" x14ac:dyDescent="0.2">
      <c r="A2319" s="493" t="str">
        <f>IF(B2319="","",COUNT('Diário 5º PA'!$A$5:$A$2634)+COUNT('Diário 6º PA'!$A$5:$A$2246)+COUNT('Diário 7º PA'!$A$5:$A$2271)+ROW()-4)</f>
        <v/>
      </c>
      <c r="B2319" s="494"/>
      <c r="C2319" s="507"/>
      <c r="D2319" s="495"/>
      <c r="E2319" s="495"/>
      <c r="F2319" s="496"/>
      <c r="G2319" s="495"/>
      <c r="H2319" s="495"/>
      <c r="I2319" s="581"/>
      <c r="J2319" s="495"/>
      <c r="K2319" s="516"/>
      <c r="L2319" s="581"/>
      <c r="M2319" s="493"/>
      <c r="N2319" s="493"/>
      <c r="O2319" s="498"/>
      <c r="P2319" s="503">
        <f t="shared" si="176"/>
        <v>0</v>
      </c>
      <c r="Q2319" s="503">
        <f t="shared" si="177"/>
        <v>0</v>
      </c>
      <c r="R2319" s="504" t="str">
        <f t="shared" si="178"/>
        <v/>
      </c>
      <c r="S2319" s="504" t="str">
        <f>IF(D2319="","",IF(OR(D2319=Plano!$A$1,D2319=Plano!$B$1),"entrada","saída"))</f>
        <v/>
      </c>
      <c r="T2319" s="505"/>
      <c r="U2319" s="505"/>
      <c r="V2319" s="541"/>
    </row>
    <row r="2320" spans="1:22" ht="12.75" customHeight="1" x14ac:dyDescent="0.2">
      <c r="A2320" s="493" t="str">
        <f>IF(B2320="","",COUNT('Diário 5º PA'!$A$5:$A$2634)+COUNT('Diário 6º PA'!$A$5:$A$2246)+COUNT('Diário 7º PA'!$A$5:$A$2271)+ROW()-4)</f>
        <v/>
      </c>
      <c r="B2320" s="494"/>
      <c r="C2320" s="507"/>
      <c r="D2320" s="495"/>
      <c r="E2320" s="495"/>
      <c r="F2320" s="496"/>
      <c r="G2320" s="495"/>
      <c r="H2320" s="495"/>
      <c r="I2320" s="581"/>
      <c r="J2320" s="495"/>
      <c r="K2320" s="516"/>
      <c r="L2320" s="581"/>
      <c r="M2320" s="493"/>
      <c r="N2320" s="493"/>
      <c r="O2320" s="498"/>
      <c r="P2320" s="503">
        <f t="shared" si="176"/>
        <v>0</v>
      </c>
      <c r="Q2320" s="503">
        <f t="shared" si="177"/>
        <v>0</v>
      </c>
      <c r="R2320" s="504" t="str">
        <f t="shared" si="178"/>
        <v/>
      </c>
      <c r="S2320" s="504" t="str">
        <f>IF(D2320="","",IF(OR(D2320=Plano!$A$1,D2320=Plano!$B$1),"entrada","saída"))</f>
        <v/>
      </c>
      <c r="T2320" s="505"/>
      <c r="U2320" s="505"/>
      <c r="V2320" s="541"/>
    </row>
    <row r="2321" spans="1:22" ht="12.75" customHeight="1" x14ac:dyDescent="0.2">
      <c r="A2321" s="493" t="str">
        <f>IF(B2321="","",COUNT('Diário 5º PA'!$A$5:$A$2634)+COUNT('Diário 6º PA'!$A$5:$A$2246)+COUNT('Diário 7º PA'!$A$5:$A$2271)+ROW()-4)</f>
        <v/>
      </c>
      <c r="B2321" s="494"/>
      <c r="C2321" s="507"/>
      <c r="D2321" s="495"/>
      <c r="E2321" s="495"/>
      <c r="F2321" s="496"/>
      <c r="G2321" s="495"/>
      <c r="H2321" s="495"/>
      <c r="I2321" s="581"/>
      <c r="J2321" s="495"/>
      <c r="K2321" s="516"/>
      <c r="L2321" s="581"/>
      <c r="M2321" s="493"/>
      <c r="N2321" s="493"/>
      <c r="O2321" s="498"/>
      <c r="P2321" s="503">
        <f t="shared" si="176"/>
        <v>0</v>
      </c>
      <c r="Q2321" s="503">
        <f t="shared" si="177"/>
        <v>0</v>
      </c>
      <c r="R2321" s="504" t="str">
        <f t="shared" si="178"/>
        <v/>
      </c>
      <c r="S2321" s="504" t="str">
        <f>IF(D2321="","",IF(OR(D2321=Plano!$A$1,D2321=Plano!$B$1),"entrada","saída"))</f>
        <v/>
      </c>
      <c r="T2321" s="505"/>
      <c r="U2321" s="505"/>
      <c r="V2321" s="541"/>
    </row>
    <row r="2322" spans="1:22" ht="12.75" customHeight="1" x14ac:dyDescent="0.2">
      <c r="A2322" s="493" t="str">
        <f>IF(B2322="","",COUNT('Diário 5º PA'!$A$5:$A$2634)+COUNT('Diário 6º PA'!$A$5:$A$2246)+COUNT('Diário 7º PA'!$A$5:$A$2271)+ROW()-4)</f>
        <v/>
      </c>
      <c r="B2322" s="494"/>
      <c r="C2322" s="507"/>
      <c r="D2322" s="495"/>
      <c r="E2322" s="495"/>
      <c r="F2322" s="496"/>
      <c r="G2322" s="495"/>
      <c r="H2322" s="495"/>
      <c r="I2322" s="581"/>
      <c r="J2322" s="495"/>
      <c r="K2322" s="516"/>
      <c r="L2322" s="581"/>
      <c r="M2322" s="493"/>
      <c r="N2322" s="493"/>
      <c r="O2322" s="498"/>
      <c r="P2322" s="503">
        <f t="shared" si="176"/>
        <v>0</v>
      </c>
      <c r="Q2322" s="503">
        <f t="shared" si="177"/>
        <v>0</v>
      </c>
      <c r="R2322" s="504" t="str">
        <f t="shared" si="178"/>
        <v/>
      </c>
      <c r="S2322" s="504" t="str">
        <f>IF(D2322="","",IF(OR(D2322=Plano!$A$1,D2322=Plano!$B$1),"entrada","saída"))</f>
        <v/>
      </c>
      <c r="T2322" s="505"/>
      <c r="U2322" s="505"/>
      <c r="V2322" s="541"/>
    </row>
    <row r="2323" spans="1:22" ht="12.75" customHeight="1" x14ac:dyDescent="0.2">
      <c r="A2323" s="493" t="str">
        <f>IF(B2323="","",COUNT('Diário 5º PA'!$A$5:$A$2634)+COUNT('Diário 6º PA'!$A$5:$A$2246)+COUNT('Diário 7º PA'!$A$5:$A$2271)+ROW()-4)</f>
        <v/>
      </c>
      <c r="B2323" s="494"/>
      <c r="C2323" s="507"/>
      <c r="D2323" s="495"/>
      <c r="E2323" s="495"/>
      <c r="F2323" s="496"/>
      <c r="G2323" s="495"/>
      <c r="H2323" s="495"/>
      <c r="I2323" s="581"/>
      <c r="J2323" s="495"/>
      <c r="K2323" s="516"/>
      <c r="L2323" s="581"/>
      <c r="M2323" s="493"/>
      <c r="N2323" s="493"/>
      <c r="O2323" s="498"/>
      <c r="P2323" s="503">
        <f t="shared" si="176"/>
        <v>0</v>
      </c>
      <c r="Q2323" s="503">
        <f t="shared" si="177"/>
        <v>0</v>
      </c>
      <c r="R2323" s="504" t="str">
        <f t="shared" si="178"/>
        <v/>
      </c>
      <c r="S2323" s="504" t="str">
        <f>IF(D2323="","",IF(OR(D2323=Plano!$A$1,D2323=Plano!$B$1),"entrada","saída"))</f>
        <v/>
      </c>
      <c r="T2323" s="505"/>
      <c r="U2323" s="505"/>
      <c r="V2323" s="541"/>
    </row>
    <row r="2324" spans="1:22" ht="12.75" customHeight="1" x14ac:dyDescent="0.2">
      <c r="A2324" s="493" t="str">
        <f>IF(B2324="","",COUNT('Diário 5º PA'!$A$5:$A$2634)+COUNT('Diário 6º PA'!$A$5:$A$2246)+COUNT('Diário 7º PA'!$A$5:$A$2271)+ROW()-4)</f>
        <v/>
      </c>
      <c r="B2324" s="494"/>
      <c r="C2324" s="507"/>
      <c r="D2324" s="495"/>
      <c r="E2324" s="495"/>
      <c r="F2324" s="496"/>
      <c r="G2324" s="495"/>
      <c r="H2324" s="495"/>
      <c r="I2324" s="581"/>
      <c r="J2324" s="495"/>
      <c r="K2324" s="516"/>
      <c r="L2324" s="581"/>
      <c r="M2324" s="493"/>
      <c r="N2324" s="493"/>
      <c r="O2324" s="498"/>
      <c r="P2324" s="503">
        <f t="shared" si="176"/>
        <v>0</v>
      </c>
      <c r="Q2324" s="503">
        <f t="shared" si="177"/>
        <v>0</v>
      </c>
      <c r="R2324" s="504" t="str">
        <f t="shared" si="178"/>
        <v/>
      </c>
      <c r="S2324" s="504" t="str">
        <f>IF(D2324="","",IF(OR(D2324=Plano!$A$1,D2324=Plano!$B$1),"entrada","saída"))</f>
        <v/>
      </c>
      <c r="T2324" s="505"/>
      <c r="U2324" s="505"/>
      <c r="V2324" s="541"/>
    </row>
    <row r="2325" spans="1:22" ht="12.75" customHeight="1" x14ac:dyDescent="0.2">
      <c r="A2325" s="493" t="str">
        <f>IF(B2325="","",COUNT('Diário 5º PA'!$A$5:$A$2634)+COUNT('Diário 6º PA'!$A$5:$A$2246)+COUNT('Diário 7º PA'!$A$5:$A$2271)+ROW()-4)</f>
        <v/>
      </c>
      <c r="B2325" s="494"/>
      <c r="C2325" s="507"/>
      <c r="D2325" s="495"/>
      <c r="E2325" s="495"/>
      <c r="F2325" s="496"/>
      <c r="G2325" s="495"/>
      <c r="H2325" s="495"/>
      <c r="I2325" s="581"/>
      <c r="J2325" s="495"/>
      <c r="K2325" s="516"/>
      <c r="L2325" s="581"/>
      <c r="M2325" s="493"/>
      <c r="N2325" s="493"/>
      <c r="O2325" s="498"/>
      <c r="P2325" s="503">
        <f t="shared" si="176"/>
        <v>0</v>
      </c>
      <c r="Q2325" s="503">
        <f t="shared" si="177"/>
        <v>0</v>
      </c>
      <c r="R2325" s="504" t="str">
        <f t="shared" si="178"/>
        <v/>
      </c>
      <c r="S2325" s="504" t="str">
        <f>IF(D2325="","",IF(OR(D2325=Plano!$A$1,D2325=Plano!$B$1),"entrada","saída"))</f>
        <v/>
      </c>
      <c r="T2325" s="505"/>
      <c r="U2325" s="505"/>
      <c r="V2325" s="541"/>
    </row>
    <row r="2326" spans="1:22" ht="12.75" customHeight="1" x14ac:dyDescent="0.2">
      <c r="A2326" s="493" t="str">
        <f>IF(B2326="","",COUNT('Diário 5º PA'!$A$5:$A$2634)+COUNT('Diário 6º PA'!$A$5:$A$2246)+COUNT('Diário 7º PA'!$A$5:$A$2271)+ROW()-4)</f>
        <v/>
      </c>
      <c r="B2326" s="494"/>
      <c r="C2326" s="507"/>
      <c r="D2326" s="495"/>
      <c r="E2326" s="495"/>
      <c r="F2326" s="496"/>
      <c r="G2326" s="495"/>
      <c r="H2326" s="495"/>
      <c r="I2326" s="581"/>
      <c r="J2326" s="495"/>
      <c r="K2326" s="516"/>
      <c r="L2326" s="581"/>
      <c r="M2326" s="493"/>
      <c r="N2326" s="493"/>
      <c r="O2326" s="498"/>
      <c r="P2326" s="503">
        <f t="shared" ref="P2326:P2389" si="179">IF(B2326=0,0,IF(YEAR(B2326)=$Q$1,MONTH(B2326)-$P$1+1,(YEAR(B2326)-$Q$1)*12-$P$1+1+MONTH(B2326)))</f>
        <v>0</v>
      </c>
      <c r="Q2326" s="503">
        <f t="shared" ref="Q2326:Q2389" si="180">IF(C2326=0,0,IF(YEAR(C2326)=$Q$1,MONTH(C2326)-$P$1+1,(YEAR(C2326)-$Q$1)*12-$P$1+1+MONTH(C2326)))</f>
        <v>0</v>
      </c>
      <c r="R2326" s="504" t="str">
        <f t="shared" ref="R2326:R2389" si="181">SUBSTITUTE(D2326," ","_")</f>
        <v/>
      </c>
      <c r="S2326" s="504" t="str">
        <f>IF(D2326="","",IF(OR(D2326=Plano!$A$1,D2326=Plano!$B$1),"entrada","saída"))</f>
        <v/>
      </c>
      <c r="T2326" s="505"/>
      <c r="U2326" s="505"/>
      <c r="V2326" s="541"/>
    </row>
    <row r="2327" spans="1:22" ht="12.75" customHeight="1" x14ac:dyDescent="0.2">
      <c r="A2327" s="493" t="str">
        <f>IF(B2327="","",COUNT('Diário 5º PA'!$A$5:$A$2634)+COUNT('Diário 6º PA'!$A$5:$A$2246)+COUNT('Diário 7º PA'!$A$5:$A$2271)+ROW()-4)</f>
        <v/>
      </c>
      <c r="B2327" s="494"/>
      <c r="C2327" s="507"/>
      <c r="D2327" s="495"/>
      <c r="E2327" s="495"/>
      <c r="F2327" s="496"/>
      <c r="G2327" s="495"/>
      <c r="H2327" s="495"/>
      <c r="I2327" s="581"/>
      <c r="J2327" s="495"/>
      <c r="K2327" s="516"/>
      <c r="L2327" s="581"/>
      <c r="M2327" s="493"/>
      <c r="N2327" s="493"/>
      <c r="O2327" s="498"/>
      <c r="P2327" s="503">
        <f t="shared" si="179"/>
        <v>0</v>
      </c>
      <c r="Q2327" s="503">
        <f t="shared" si="180"/>
        <v>0</v>
      </c>
      <c r="R2327" s="504" t="str">
        <f t="shared" si="181"/>
        <v/>
      </c>
      <c r="S2327" s="504" t="str">
        <f>IF(D2327="","",IF(OR(D2327=Plano!$A$1,D2327=Plano!$B$1),"entrada","saída"))</f>
        <v/>
      </c>
      <c r="T2327" s="505"/>
      <c r="U2327" s="505"/>
      <c r="V2327" s="541"/>
    </row>
    <row r="2328" spans="1:22" ht="12.75" customHeight="1" x14ac:dyDescent="0.2">
      <c r="A2328" s="493" t="str">
        <f>IF(B2328="","",COUNT('Diário 5º PA'!$A$5:$A$2634)+COUNT('Diário 6º PA'!$A$5:$A$2246)+COUNT('Diário 7º PA'!$A$5:$A$2271)+ROW()-4)</f>
        <v/>
      </c>
      <c r="B2328" s="494"/>
      <c r="C2328" s="507"/>
      <c r="D2328" s="495"/>
      <c r="E2328" s="495"/>
      <c r="F2328" s="496"/>
      <c r="G2328" s="495"/>
      <c r="H2328" s="495"/>
      <c r="I2328" s="581"/>
      <c r="J2328" s="495"/>
      <c r="K2328" s="516"/>
      <c r="L2328" s="581"/>
      <c r="M2328" s="493"/>
      <c r="N2328" s="493"/>
      <c r="O2328" s="498"/>
      <c r="P2328" s="503">
        <f t="shared" si="179"/>
        <v>0</v>
      </c>
      <c r="Q2328" s="503">
        <f t="shared" si="180"/>
        <v>0</v>
      </c>
      <c r="R2328" s="504" t="str">
        <f t="shared" si="181"/>
        <v/>
      </c>
      <c r="S2328" s="504" t="str">
        <f>IF(D2328="","",IF(OR(D2328=Plano!$A$1,D2328=Plano!$B$1),"entrada","saída"))</f>
        <v/>
      </c>
      <c r="T2328" s="505"/>
      <c r="U2328" s="505"/>
      <c r="V2328" s="541"/>
    </row>
    <row r="2329" spans="1:22" ht="12.75" customHeight="1" x14ac:dyDescent="0.2">
      <c r="A2329" s="493" t="str">
        <f>IF(B2329="","",COUNT('Diário 5º PA'!$A$5:$A$2634)+COUNT('Diário 6º PA'!$A$5:$A$2246)+COUNT('Diário 7º PA'!$A$5:$A$2271)+ROW()-4)</f>
        <v/>
      </c>
      <c r="B2329" s="494"/>
      <c r="C2329" s="507"/>
      <c r="D2329" s="495"/>
      <c r="E2329" s="495"/>
      <c r="F2329" s="496"/>
      <c r="G2329" s="495"/>
      <c r="H2329" s="495"/>
      <c r="I2329" s="581"/>
      <c r="J2329" s="495"/>
      <c r="K2329" s="516"/>
      <c r="L2329" s="581"/>
      <c r="M2329" s="493"/>
      <c r="N2329" s="493"/>
      <c r="O2329" s="498"/>
      <c r="P2329" s="503">
        <f t="shared" si="179"/>
        <v>0</v>
      </c>
      <c r="Q2329" s="503">
        <f t="shared" si="180"/>
        <v>0</v>
      </c>
      <c r="R2329" s="504" t="str">
        <f t="shared" si="181"/>
        <v/>
      </c>
      <c r="S2329" s="504" t="str">
        <f>IF(D2329="","",IF(OR(D2329=Plano!$A$1,D2329=Plano!$B$1),"entrada","saída"))</f>
        <v/>
      </c>
      <c r="T2329" s="505"/>
      <c r="U2329" s="505"/>
      <c r="V2329" s="541"/>
    </row>
    <row r="2330" spans="1:22" ht="12.75" customHeight="1" x14ac:dyDescent="0.2">
      <c r="A2330" s="493" t="str">
        <f>IF(B2330="","",COUNT('Diário 5º PA'!$A$5:$A$2634)+COUNT('Diário 6º PA'!$A$5:$A$2246)+COUNT('Diário 7º PA'!$A$5:$A$2271)+ROW()-4)</f>
        <v/>
      </c>
      <c r="B2330" s="494"/>
      <c r="C2330" s="507"/>
      <c r="D2330" s="495"/>
      <c r="E2330" s="495"/>
      <c r="F2330" s="496"/>
      <c r="G2330" s="495"/>
      <c r="H2330" s="495"/>
      <c r="I2330" s="581"/>
      <c r="J2330" s="495"/>
      <c r="K2330" s="516"/>
      <c r="L2330" s="581"/>
      <c r="M2330" s="493"/>
      <c r="N2330" s="493"/>
      <c r="O2330" s="498"/>
      <c r="P2330" s="503">
        <f t="shared" si="179"/>
        <v>0</v>
      </c>
      <c r="Q2330" s="503">
        <f t="shared" si="180"/>
        <v>0</v>
      </c>
      <c r="R2330" s="504" t="str">
        <f t="shared" si="181"/>
        <v/>
      </c>
      <c r="S2330" s="504" t="str">
        <f>IF(D2330="","",IF(OR(D2330=Plano!$A$1,D2330=Plano!$B$1),"entrada","saída"))</f>
        <v/>
      </c>
      <c r="T2330" s="505"/>
      <c r="U2330" s="505"/>
      <c r="V2330" s="541"/>
    </row>
    <row r="2331" spans="1:22" ht="12.75" customHeight="1" x14ac:dyDescent="0.2">
      <c r="A2331" s="493" t="str">
        <f>IF(B2331="","",COUNT('Diário 5º PA'!$A$5:$A$2634)+COUNT('Diário 6º PA'!$A$5:$A$2246)+COUNT('Diário 7º PA'!$A$5:$A$2271)+ROW()-4)</f>
        <v/>
      </c>
      <c r="B2331" s="494"/>
      <c r="C2331" s="507"/>
      <c r="D2331" s="495"/>
      <c r="E2331" s="495"/>
      <c r="F2331" s="496"/>
      <c r="G2331" s="495"/>
      <c r="H2331" s="495"/>
      <c r="I2331" s="581"/>
      <c r="J2331" s="495"/>
      <c r="K2331" s="516"/>
      <c r="L2331" s="581"/>
      <c r="M2331" s="493"/>
      <c r="N2331" s="493"/>
      <c r="O2331" s="498"/>
      <c r="P2331" s="503">
        <f t="shared" si="179"/>
        <v>0</v>
      </c>
      <c r="Q2331" s="503">
        <f t="shared" si="180"/>
        <v>0</v>
      </c>
      <c r="R2331" s="504" t="str">
        <f t="shared" si="181"/>
        <v/>
      </c>
      <c r="S2331" s="504" t="str">
        <f>IF(D2331="","",IF(OR(D2331=Plano!$A$1,D2331=Plano!$B$1),"entrada","saída"))</f>
        <v/>
      </c>
      <c r="T2331" s="505"/>
      <c r="U2331" s="505"/>
      <c r="V2331" s="541"/>
    </row>
    <row r="2332" spans="1:22" ht="12.75" customHeight="1" x14ac:dyDescent="0.2">
      <c r="A2332" s="493" t="str">
        <f>IF(B2332="","",COUNT('Diário 5º PA'!$A$5:$A$2634)+COUNT('Diário 6º PA'!$A$5:$A$2246)+COUNT('Diário 7º PA'!$A$5:$A$2271)+ROW()-4)</f>
        <v/>
      </c>
      <c r="B2332" s="494"/>
      <c r="C2332" s="507"/>
      <c r="D2332" s="495"/>
      <c r="E2332" s="495"/>
      <c r="F2332" s="496"/>
      <c r="G2332" s="495"/>
      <c r="H2332" s="495"/>
      <c r="I2332" s="581"/>
      <c r="J2332" s="495"/>
      <c r="K2332" s="516"/>
      <c r="L2332" s="581"/>
      <c r="M2332" s="493"/>
      <c r="N2332" s="493"/>
      <c r="O2332" s="498"/>
      <c r="P2332" s="503">
        <f t="shared" si="179"/>
        <v>0</v>
      </c>
      <c r="Q2332" s="503">
        <f t="shared" si="180"/>
        <v>0</v>
      </c>
      <c r="R2332" s="504" t="str">
        <f t="shared" si="181"/>
        <v/>
      </c>
      <c r="S2332" s="504" t="str">
        <f>IF(D2332="","",IF(OR(D2332=Plano!$A$1,D2332=Plano!$B$1),"entrada","saída"))</f>
        <v/>
      </c>
      <c r="T2332" s="505"/>
      <c r="U2332" s="505"/>
      <c r="V2332" s="541"/>
    </row>
    <row r="2333" spans="1:22" ht="12.75" customHeight="1" x14ac:dyDescent="0.2">
      <c r="A2333" s="493" t="str">
        <f>IF(B2333="","",COUNT('Diário 5º PA'!$A$5:$A$2634)+COUNT('Diário 6º PA'!$A$5:$A$2246)+COUNT('Diário 7º PA'!$A$5:$A$2271)+ROW()-4)</f>
        <v/>
      </c>
      <c r="B2333" s="494"/>
      <c r="C2333" s="507"/>
      <c r="D2333" s="495"/>
      <c r="E2333" s="495"/>
      <c r="F2333" s="496"/>
      <c r="G2333" s="495"/>
      <c r="H2333" s="495"/>
      <c r="I2333" s="581"/>
      <c r="J2333" s="495"/>
      <c r="K2333" s="516"/>
      <c r="L2333" s="581"/>
      <c r="M2333" s="493"/>
      <c r="N2333" s="493"/>
      <c r="O2333" s="498"/>
      <c r="P2333" s="503">
        <f t="shared" si="179"/>
        <v>0</v>
      </c>
      <c r="Q2333" s="503">
        <f t="shared" si="180"/>
        <v>0</v>
      </c>
      <c r="R2333" s="504" t="str">
        <f t="shared" si="181"/>
        <v/>
      </c>
      <c r="S2333" s="504" t="str">
        <f>IF(D2333="","",IF(OR(D2333=Plano!$A$1,D2333=Plano!$B$1),"entrada","saída"))</f>
        <v/>
      </c>
      <c r="T2333" s="505"/>
      <c r="U2333" s="505"/>
      <c r="V2333" s="541"/>
    </row>
    <row r="2334" spans="1:22" ht="12.75" customHeight="1" x14ac:dyDescent="0.2">
      <c r="A2334" s="493" t="str">
        <f>IF(B2334="","",COUNT('Diário 5º PA'!$A$5:$A$2634)+COUNT('Diário 6º PA'!$A$5:$A$2246)+COUNT('Diário 7º PA'!$A$5:$A$2271)+ROW()-4)</f>
        <v/>
      </c>
      <c r="B2334" s="494"/>
      <c r="C2334" s="507"/>
      <c r="D2334" s="495"/>
      <c r="E2334" s="495"/>
      <c r="F2334" s="496"/>
      <c r="G2334" s="495"/>
      <c r="H2334" s="495"/>
      <c r="I2334" s="581"/>
      <c r="J2334" s="495"/>
      <c r="K2334" s="516"/>
      <c r="L2334" s="581"/>
      <c r="M2334" s="493"/>
      <c r="N2334" s="493"/>
      <c r="O2334" s="498"/>
      <c r="P2334" s="503">
        <f t="shared" si="179"/>
        <v>0</v>
      </c>
      <c r="Q2334" s="503">
        <f t="shared" si="180"/>
        <v>0</v>
      </c>
      <c r="R2334" s="504" t="str">
        <f t="shared" si="181"/>
        <v/>
      </c>
      <c r="S2334" s="504" t="str">
        <f>IF(D2334="","",IF(OR(D2334=Plano!$A$1,D2334=Plano!$B$1),"entrada","saída"))</f>
        <v/>
      </c>
      <c r="T2334" s="505"/>
      <c r="U2334" s="505"/>
      <c r="V2334" s="541"/>
    </row>
    <row r="2335" spans="1:22" ht="12.75" customHeight="1" x14ac:dyDescent="0.2">
      <c r="A2335" s="493" t="str">
        <f>IF(B2335="","",COUNT('Diário 5º PA'!$A$5:$A$2634)+COUNT('Diário 6º PA'!$A$5:$A$2246)+COUNT('Diário 7º PA'!$A$5:$A$2271)+ROW()-4)</f>
        <v/>
      </c>
      <c r="B2335" s="494"/>
      <c r="C2335" s="507"/>
      <c r="D2335" s="495"/>
      <c r="E2335" s="495"/>
      <c r="F2335" s="496"/>
      <c r="G2335" s="495"/>
      <c r="H2335" s="495"/>
      <c r="I2335" s="581"/>
      <c r="J2335" s="495"/>
      <c r="K2335" s="516"/>
      <c r="L2335" s="581"/>
      <c r="M2335" s="493"/>
      <c r="N2335" s="493"/>
      <c r="O2335" s="498"/>
      <c r="P2335" s="503">
        <f t="shared" si="179"/>
        <v>0</v>
      </c>
      <c r="Q2335" s="503">
        <f t="shared" si="180"/>
        <v>0</v>
      </c>
      <c r="R2335" s="504" t="str">
        <f t="shared" si="181"/>
        <v/>
      </c>
      <c r="S2335" s="504" t="str">
        <f>IF(D2335="","",IF(OR(D2335=Plano!$A$1,D2335=Plano!$B$1),"entrada","saída"))</f>
        <v/>
      </c>
      <c r="T2335" s="505"/>
      <c r="U2335" s="505"/>
      <c r="V2335" s="541"/>
    </row>
    <row r="2336" spans="1:22" ht="12.75" customHeight="1" x14ac:dyDescent="0.2">
      <c r="A2336" s="493" t="str">
        <f>IF(B2336="","",COUNT('Diário 5º PA'!$A$5:$A$2634)+COUNT('Diário 6º PA'!$A$5:$A$2246)+COUNT('Diário 7º PA'!$A$5:$A$2271)+ROW()-4)</f>
        <v/>
      </c>
      <c r="B2336" s="494"/>
      <c r="C2336" s="507"/>
      <c r="D2336" s="495"/>
      <c r="E2336" s="495"/>
      <c r="F2336" s="496"/>
      <c r="G2336" s="495"/>
      <c r="H2336" s="495"/>
      <c r="I2336" s="581"/>
      <c r="J2336" s="495"/>
      <c r="K2336" s="516"/>
      <c r="L2336" s="581"/>
      <c r="M2336" s="493"/>
      <c r="N2336" s="493"/>
      <c r="O2336" s="498"/>
      <c r="P2336" s="503">
        <f t="shared" si="179"/>
        <v>0</v>
      </c>
      <c r="Q2336" s="503">
        <f t="shared" si="180"/>
        <v>0</v>
      </c>
      <c r="R2336" s="504" t="str">
        <f t="shared" si="181"/>
        <v/>
      </c>
      <c r="S2336" s="504" t="str">
        <f>IF(D2336="","",IF(OR(D2336=Plano!$A$1,D2336=Plano!$B$1),"entrada","saída"))</f>
        <v/>
      </c>
      <c r="T2336" s="505"/>
      <c r="U2336" s="505"/>
      <c r="V2336" s="541"/>
    </row>
    <row r="2337" spans="1:22" ht="12.75" customHeight="1" x14ac:dyDescent="0.2">
      <c r="A2337" s="493" t="str">
        <f>IF(B2337="","",COUNT('Diário 5º PA'!$A$5:$A$2634)+COUNT('Diário 6º PA'!$A$5:$A$2246)+COUNT('Diário 7º PA'!$A$5:$A$2271)+ROW()-4)</f>
        <v/>
      </c>
      <c r="B2337" s="494"/>
      <c r="C2337" s="507"/>
      <c r="D2337" s="495"/>
      <c r="E2337" s="495"/>
      <c r="F2337" s="496"/>
      <c r="G2337" s="495"/>
      <c r="H2337" s="495"/>
      <c r="I2337" s="581"/>
      <c r="J2337" s="495"/>
      <c r="K2337" s="516"/>
      <c r="L2337" s="581"/>
      <c r="M2337" s="493"/>
      <c r="N2337" s="493"/>
      <c r="O2337" s="498"/>
      <c r="P2337" s="503">
        <f t="shared" si="179"/>
        <v>0</v>
      </c>
      <c r="Q2337" s="503">
        <f t="shared" si="180"/>
        <v>0</v>
      </c>
      <c r="R2337" s="504" t="str">
        <f t="shared" si="181"/>
        <v/>
      </c>
      <c r="S2337" s="504" t="str">
        <f>IF(D2337="","",IF(OR(D2337=Plano!$A$1,D2337=Plano!$B$1),"entrada","saída"))</f>
        <v/>
      </c>
      <c r="T2337" s="505"/>
      <c r="U2337" s="505"/>
      <c r="V2337" s="541"/>
    </row>
    <row r="2338" spans="1:22" ht="12.75" customHeight="1" x14ac:dyDescent="0.2">
      <c r="A2338" s="493" t="str">
        <f>IF(B2338="","",COUNT('Diário 5º PA'!$A$5:$A$2634)+COUNT('Diário 6º PA'!$A$5:$A$2246)+COUNT('Diário 7º PA'!$A$5:$A$2271)+ROW()-4)</f>
        <v/>
      </c>
      <c r="B2338" s="494"/>
      <c r="C2338" s="507"/>
      <c r="D2338" s="495"/>
      <c r="E2338" s="495"/>
      <c r="F2338" s="496"/>
      <c r="G2338" s="495"/>
      <c r="H2338" s="495"/>
      <c r="I2338" s="581"/>
      <c r="J2338" s="495"/>
      <c r="K2338" s="516"/>
      <c r="L2338" s="581"/>
      <c r="M2338" s="493"/>
      <c r="N2338" s="493"/>
      <c r="O2338" s="498"/>
      <c r="P2338" s="503">
        <f t="shared" si="179"/>
        <v>0</v>
      </c>
      <c r="Q2338" s="503">
        <f t="shared" si="180"/>
        <v>0</v>
      </c>
      <c r="R2338" s="504" t="str">
        <f t="shared" si="181"/>
        <v/>
      </c>
      <c r="S2338" s="504" t="str">
        <f>IF(D2338="","",IF(OR(D2338=Plano!$A$1,D2338=Plano!$B$1),"entrada","saída"))</f>
        <v/>
      </c>
      <c r="T2338" s="557"/>
      <c r="U2338" s="557"/>
      <c r="V2338" s="541"/>
    </row>
    <row r="2339" spans="1:22" ht="12.75" customHeight="1" x14ac:dyDescent="0.2">
      <c r="A2339" s="493" t="str">
        <f>IF(B2339="","",COUNT('Diário 5º PA'!$A$5:$A$2634)+COUNT('Diário 6º PA'!$A$5:$A$2246)+COUNT('Diário 7º PA'!$A$5:$A$2271)+ROW()-4)</f>
        <v/>
      </c>
      <c r="B2339" s="494"/>
      <c r="C2339" s="507"/>
      <c r="D2339" s="495"/>
      <c r="E2339" s="495"/>
      <c r="F2339" s="496"/>
      <c r="G2339" s="495"/>
      <c r="H2339" s="495"/>
      <c r="I2339" s="581"/>
      <c r="J2339" s="495"/>
      <c r="K2339" s="516"/>
      <c r="L2339" s="581"/>
      <c r="M2339" s="493"/>
      <c r="N2339" s="493"/>
      <c r="O2339" s="498"/>
      <c r="P2339" s="503">
        <f t="shared" si="179"/>
        <v>0</v>
      </c>
      <c r="Q2339" s="503">
        <f t="shared" si="180"/>
        <v>0</v>
      </c>
      <c r="R2339" s="504" t="str">
        <f t="shared" si="181"/>
        <v/>
      </c>
      <c r="S2339" s="504" t="str">
        <f>IF(D2339="","",IF(OR(D2339=Plano!$A$1,D2339=Plano!$B$1),"entrada","saída"))</f>
        <v/>
      </c>
      <c r="T2339" s="557"/>
      <c r="U2339" s="557"/>
      <c r="V2339" s="541"/>
    </row>
    <row r="2340" spans="1:22" ht="12.75" customHeight="1" x14ac:dyDescent="0.2">
      <c r="A2340" s="493" t="str">
        <f>IF(B2340="","",COUNT('Diário 5º PA'!$A$5:$A$2634)+COUNT('Diário 6º PA'!$A$5:$A$2246)+COUNT('Diário 7º PA'!$A$5:$A$2271)+ROW()-4)</f>
        <v/>
      </c>
      <c r="B2340" s="494"/>
      <c r="C2340" s="507"/>
      <c r="D2340" s="495"/>
      <c r="E2340" s="495"/>
      <c r="F2340" s="496"/>
      <c r="G2340" s="495"/>
      <c r="H2340" s="495"/>
      <c r="I2340" s="581"/>
      <c r="J2340" s="495"/>
      <c r="K2340" s="516"/>
      <c r="L2340" s="581"/>
      <c r="M2340" s="493"/>
      <c r="N2340" s="493"/>
      <c r="O2340" s="498"/>
      <c r="P2340" s="503">
        <f t="shared" si="179"/>
        <v>0</v>
      </c>
      <c r="Q2340" s="503">
        <f t="shared" si="180"/>
        <v>0</v>
      </c>
      <c r="R2340" s="504" t="str">
        <f t="shared" si="181"/>
        <v/>
      </c>
      <c r="S2340" s="504" t="str">
        <f>IF(D2340="","",IF(OR(D2340=Plano!$A$1,D2340=Plano!$B$1),"entrada","saída"))</f>
        <v/>
      </c>
      <c r="T2340" s="557"/>
      <c r="U2340" s="557"/>
      <c r="V2340" s="541"/>
    </row>
    <row r="2341" spans="1:22" ht="12.75" customHeight="1" x14ac:dyDescent="0.2">
      <c r="A2341" s="493" t="str">
        <f>IF(B2341="","",COUNT('Diário 5º PA'!$A$5:$A$2634)+COUNT('Diário 6º PA'!$A$5:$A$2246)+COUNT('Diário 7º PA'!$A$5:$A$2271)+ROW()-4)</f>
        <v/>
      </c>
      <c r="B2341" s="494"/>
      <c r="C2341" s="507"/>
      <c r="D2341" s="495"/>
      <c r="E2341" s="495"/>
      <c r="F2341" s="496"/>
      <c r="G2341" s="495"/>
      <c r="H2341" s="495"/>
      <c r="I2341" s="581"/>
      <c r="J2341" s="495"/>
      <c r="K2341" s="516"/>
      <c r="L2341" s="581"/>
      <c r="M2341" s="493"/>
      <c r="N2341" s="493"/>
      <c r="O2341" s="498"/>
      <c r="P2341" s="503">
        <f t="shared" si="179"/>
        <v>0</v>
      </c>
      <c r="Q2341" s="503">
        <f t="shared" si="180"/>
        <v>0</v>
      </c>
      <c r="R2341" s="504" t="str">
        <f t="shared" si="181"/>
        <v/>
      </c>
      <c r="S2341" s="504" t="str">
        <f>IF(D2341="","",IF(OR(D2341=Plano!$A$1,D2341=Plano!$B$1),"entrada","saída"))</f>
        <v/>
      </c>
      <c r="T2341" s="557"/>
      <c r="U2341" s="557"/>
      <c r="V2341" s="541"/>
    </row>
    <row r="2342" spans="1:22" ht="12.75" customHeight="1" x14ac:dyDescent="0.2">
      <c r="A2342" s="493" t="str">
        <f>IF(B2342="","",COUNT('Diário 5º PA'!$A$5:$A$2634)+COUNT('Diário 6º PA'!$A$5:$A$2246)+COUNT('Diário 7º PA'!$A$5:$A$2271)+ROW()-4)</f>
        <v/>
      </c>
      <c r="B2342" s="494"/>
      <c r="C2342" s="507"/>
      <c r="D2342" s="495"/>
      <c r="E2342" s="495"/>
      <c r="F2342" s="496"/>
      <c r="G2342" s="495"/>
      <c r="H2342" s="495"/>
      <c r="I2342" s="581"/>
      <c r="J2342" s="495"/>
      <c r="K2342" s="516"/>
      <c r="L2342" s="581"/>
      <c r="M2342" s="493"/>
      <c r="N2342" s="493"/>
      <c r="O2342" s="498"/>
      <c r="P2342" s="503">
        <f t="shared" si="179"/>
        <v>0</v>
      </c>
      <c r="Q2342" s="503">
        <f t="shared" si="180"/>
        <v>0</v>
      </c>
      <c r="R2342" s="504" t="str">
        <f t="shared" si="181"/>
        <v/>
      </c>
      <c r="S2342" s="504" t="str">
        <f>IF(D2342="","",IF(OR(D2342=Plano!$A$1,D2342=Plano!$B$1),"entrada","saída"))</f>
        <v/>
      </c>
      <c r="T2342" s="557"/>
      <c r="U2342" s="557"/>
      <c r="V2342" s="541"/>
    </row>
    <row r="2343" spans="1:22" ht="12.75" customHeight="1" x14ac:dyDescent="0.2">
      <c r="A2343" s="493" t="str">
        <f>IF(B2343="","",COUNT('Diário 5º PA'!$A$5:$A$2634)+COUNT('Diário 6º PA'!$A$5:$A$2246)+COUNT('Diário 7º PA'!$A$5:$A$2271)+ROW()-4)</f>
        <v/>
      </c>
      <c r="B2343" s="494"/>
      <c r="C2343" s="507"/>
      <c r="D2343" s="495"/>
      <c r="E2343" s="495"/>
      <c r="F2343" s="496"/>
      <c r="G2343" s="495"/>
      <c r="H2343" s="495"/>
      <c r="I2343" s="581"/>
      <c r="J2343" s="495"/>
      <c r="K2343" s="516"/>
      <c r="L2343" s="581"/>
      <c r="M2343" s="493"/>
      <c r="N2343" s="493"/>
      <c r="O2343" s="498"/>
      <c r="P2343" s="503">
        <f t="shared" si="179"/>
        <v>0</v>
      </c>
      <c r="Q2343" s="503">
        <f t="shared" si="180"/>
        <v>0</v>
      </c>
      <c r="R2343" s="504" t="str">
        <f t="shared" si="181"/>
        <v/>
      </c>
      <c r="S2343" s="504" t="str">
        <f>IF(D2343="","",IF(OR(D2343=Plano!$A$1,D2343=Plano!$B$1),"entrada","saída"))</f>
        <v/>
      </c>
      <c r="T2343" s="557"/>
      <c r="U2343" s="557"/>
      <c r="V2343" s="541"/>
    </row>
    <row r="2344" spans="1:22" ht="12.75" customHeight="1" x14ac:dyDescent="0.2">
      <c r="A2344" s="493" t="str">
        <f>IF(B2344="","",COUNT('Diário 5º PA'!$A$5:$A$2634)+COUNT('Diário 6º PA'!$A$5:$A$2246)+COUNT('Diário 7º PA'!$A$5:$A$2271)+ROW()-4)</f>
        <v/>
      </c>
      <c r="B2344" s="494"/>
      <c r="C2344" s="507"/>
      <c r="D2344" s="495"/>
      <c r="E2344" s="495"/>
      <c r="F2344" s="496"/>
      <c r="G2344" s="495"/>
      <c r="H2344" s="495"/>
      <c r="I2344" s="581"/>
      <c r="J2344" s="495"/>
      <c r="K2344" s="516"/>
      <c r="L2344" s="581"/>
      <c r="M2344" s="493"/>
      <c r="N2344" s="493"/>
      <c r="O2344" s="498"/>
      <c r="P2344" s="503">
        <f t="shared" si="179"/>
        <v>0</v>
      </c>
      <c r="Q2344" s="503">
        <f t="shared" si="180"/>
        <v>0</v>
      </c>
      <c r="R2344" s="504" t="str">
        <f t="shared" si="181"/>
        <v/>
      </c>
      <c r="S2344" s="504" t="str">
        <f>IF(D2344="","",IF(OR(D2344=Plano!$A$1,D2344=Plano!$B$1),"entrada","saída"))</f>
        <v/>
      </c>
      <c r="T2344" s="557"/>
      <c r="U2344" s="557"/>
      <c r="V2344" s="541"/>
    </row>
    <row r="2345" spans="1:22" ht="12.75" customHeight="1" x14ac:dyDescent="0.2">
      <c r="A2345" s="493" t="str">
        <f>IF(B2345="","",COUNT('Diário 5º PA'!$A$5:$A$2634)+COUNT('Diário 6º PA'!$A$5:$A$2246)+COUNT('Diário 7º PA'!$A$5:$A$2271)+ROW()-4)</f>
        <v/>
      </c>
      <c r="B2345" s="494"/>
      <c r="C2345" s="507"/>
      <c r="D2345" s="495"/>
      <c r="E2345" s="495"/>
      <c r="F2345" s="496"/>
      <c r="G2345" s="495"/>
      <c r="H2345" s="495"/>
      <c r="I2345" s="581"/>
      <c r="J2345" s="495"/>
      <c r="K2345" s="516"/>
      <c r="L2345" s="581"/>
      <c r="M2345" s="493"/>
      <c r="N2345" s="493"/>
      <c r="O2345" s="498"/>
      <c r="P2345" s="503">
        <f t="shared" si="179"/>
        <v>0</v>
      </c>
      <c r="Q2345" s="503">
        <f t="shared" si="180"/>
        <v>0</v>
      </c>
      <c r="R2345" s="504" t="str">
        <f t="shared" si="181"/>
        <v/>
      </c>
      <c r="S2345" s="504" t="str">
        <f>IF(D2345="","",IF(OR(D2345=Plano!$A$1,D2345=Plano!$B$1),"entrada","saída"))</f>
        <v/>
      </c>
      <c r="T2345" s="557"/>
      <c r="U2345" s="557"/>
      <c r="V2345" s="541"/>
    </row>
    <row r="2346" spans="1:22" ht="12.75" customHeight="1" x14ac:dyDescent="0.2">
      <c r="A2346" s="493" t="str">
        <f>IF(B2346="","",COUNT('Diário 5º PA'!$A$5:$A$2634)+COUNT('Diário 6º PA'!$A$5:$A$2246)+COUNT('Diário 7º PA'!$A$5:$A$2271)+ROW()-4)</f>
        <v/>
      </c>
      <c r="B2346" s="494"/>
      <c r="C2346" s="507"/>
      <c r="D2346" s="495"/>
      <c r="E2346" s="495"/>
      <c r="F2346" s="496"/>
      <c r="G2346" s="495"/>
      <c r="H2346" s="495"/>
      <c r="I2346" s="581"/>
      <c r="J2346" s="495"/>
      <c r="K2346" s="516"/>
      <c r="L2346" s="581"/>
      <c r="M2346" s="493"/>
      <c r="N2346" s="493"/>
      <c r="O2346" s="498"/>
      <c r="P2346" s="503">
        <f t="shared" si="179"/>
        <v>0</v>
      </c>
      <c r="Q2346" s="503">
        <f t="shared" si="180"/>
        <v>0</v>
      </c>
      <c r="R2346" s="504" t="str">
        <f t="shared" si="181"/>
        <v/>
      </c>
      <c r="S2346" s="504" t="str">
        <f>IF(D2346="","",IF(OR(D2346=Plano!$A$1,D2346=Plano!$B$1),"entrada","saída"))</f>
        <v/>
      </c>
      <c r="T2346" s="557"/>
      <c r="U2346" s="557"/>
      <c r="V2346" s="541"/>
    </row>
    <row r="2347" spans="1:22" ht="12.75" customHeight="1" x14ac:dyDescent="0.2">
      <c r="A2347" s="493" t="str">
        <f>IF(B2347="","",COUNT('Diário 5º PA'!$A$5:$A$2634)+COUNT('Diário 6º PA'!$A$5:$A$2246)+COUNT('Diário 7º PA'!$A$5:$A$2271)+ROW()-4)</f>
        <v/>
      </c>
      <c r="B2347" s="494"/>
      <c r="C2347" s="507"/>
      <c r="D2347" s="495"/>
      <c r="E2347" s="495"/>
      <c r="F2347" s="496"/>
      <c r="G2347" s="495"/>
      <c r="H2347" s="495"/>
      <c r="I2347" s="581"/>
      <c r="J2347" s="495"/>
      <c r="K2347" s="516"/>
      <c r="L2347" s="581"/>
      <c r="M2347" s="493"/>
      <c r="N2347" s="493"/>
      <c r="O2347" s="498"/>
      <c r="P2347" s="503">
        <f t="shared" si="179"/>
        <v>0</v>
      </c>
      <c r="Q2347" s="503">
        <f t="shared" si="180"/>
        <v>0</v>
      </c>
      <c r="R2347" s="504" t="str">
        <f t="shared" si="181"/>
        <v/>
      </c>
      <c r="S2347" s="504" t="str">
        <f>IF(D2347="","",IF(OR(D2347=Plano!$A$1,D2347=Plano!$B$1),"entrada","saída"))</f>
        <v/>
      </c>
      <c r="T2347" s="557"/>
      <c r="U2347" s="557"/>
      <c r="V2347" s="541"/>
    </row>
    <row r="2348" spans="1:22" ht="12.75" customHeight="1" x14ac:dyDescent="0.2">
      <c r="A2348" s="493" t="str">
        <f>IF(B2348="","",COUNT('Diário 5º PA'!$A$5:$A$2634)+COUNT('Diário 6º PA'!$A$5:$A$2246)+COUNT('Diário 7º PA'!$A$5:$A$2271)+ROW()-4)</f>
        <v/>
      </c>
      <c r="B2348" s="494"/>
      <c r="C2348" s="507"/>
      <c r="D2348" s="495"/>
      <c r="E2348" s="495"/>
      <c r="F2348" s="496"/>
      <c r="G2348" s="495"/>
      <c r="H2348" s="495"/>
      <c r="I2348" s="581"/>
      <c r="J2348" s="495"/>
      <c r="K2348" s="516"/>
      <c r="L2348" s="581"/>
      <c r="M2348" s="493"/>
      <c r="N2348" s="493"/>
      <c r="O2348" s="498"/>
      <c r="P2348" s="503">
        <f t="shared" si="179"/>
        <v>0</v>
      </c>
      <c r="Q2348" s="503">
        <f t="shared" si="180"/>
        <v>0</v>
      </c>
      <c r="R2348" s="504" t="str">
        <f t="shared" si="181"/>
        <v/>
      </c>
      <c r="S2348" s="504" t="str">
        <f>IF(D2348="","",IF(OR(D2348=Plano!$A$1,D2348=Plano!$B$1),"entrada","saída"))</f>
        <v/>
      </c>
      <c r="T2348" s="557"/>
      <c r="U2348" s="557"/>
      <c r="V2348" s="541"/>
    </row>
    <row r="2349" spans="1:22" ht="12.75" customHeight="1" x14ac:dyDescent="0.2">
      <c r="A2349" s="493" t="str">
        <f>IF(B2349="","",COUNT('Diário 5º PA'!$A$5:$A$2634)+COUNT('Diário 6º PA'!$A$5:$A$2246)+COUNT('Diário 7º PA'!$A$5:$A$2271)+ROW()-4)</f>
        <v/>
      </c>
      <c r="B2349" s="494"/>
      <c r="C2349" s="507"/>
      <c r="D2349" s="495"/>
      <c r="E2349" s="495"/>
      <c r="F2349" s="496"/>
      <c r="G2349" s="495"/>
      <c r="H2349" s="495"/>
      <c r="I2349" s="581"/>
      <c r="J2349" s="495"/>
      <c r="K2349" s="516"/>
      <c r="L2349" s="581"/>
      <c r="M2349" s="493"/>
      <c r="N2349" s="493"/>
      <c r="O2349" s="498"/>
      <c r="P2349" s="503">
        <f t="shared" si="179"/>
        <v>0</v>
      </c>
      <c r="Q2349" s="503">
        <f t="shared" si="180"/>
        <v>0</v>
      </c>
      <c r="R2349" s="504" t="str">
        <f t="shared" si="181"/>
        <v/>
      </c>
      <c r="S2349" s="504" t="str">
        <f>IF(D2349="","",IF(OR(D2349=Plano!$A$1,D2349=Plano!$B$1),"entrada","saída"))</f>
        <v/>
      </c>
      <c r="T2349" s="557"/>
      <c r="U2349" s="557"/>
      <c r="V2349" s="541"/>
    </row>
    <row r="2350" spans="1:22" ht="12.75" customHeight="1" x14ac:dyDescent="0.2">
      <c r="A2350" s="493" t="str">
        <f>IF(B2350="","",COUNT('Diário 5º PA'!$A$5:$A$2634)+COUNT('Diário 6º PA'!$A$5:$A$2246)+COUNT('Diário 7º PA'!$A$5:$A$2271)+ROW()-4)</f>
        <v/>
      </c>
      <c r="B2350" s="494"/>
      <c r="C2350" s="507"/>
      <c r="D2350" s="495"/>
      <c r="E2350" s="495"/>
      <c r="F2350" s="496"/>
      <c r="G2350" s="495"/>
      <c r="H2350" s="495"/>
      <c r="I2350" s="581"/>
      <c r="J2350" s="495"/>
      <c r="K2350" s="516"/>
      <c r="L2350" s="581"/>
      <c r="M2350" s="493"/>
      <c r="N2350" s="493"/>
      <c r="O2350" s="498"/>
      <c r="P2350" s="503">
        <f t="shared" si="179"/>
        <v>0</v>
      </c>
      <c r="Q2350" s="503">
        <f t="shared" si="180"/>
        <v>0</v>
      </c>
      <c r="R2350" s="504" t="str">
        <f t="shared" si="181"/>
        <v/>
      </c>
      <c r="S2350" s="504" t="str">
        <f>IF(D2350="","",IF(OR(D2350=Plano!$A$1,D2350=Plano!$B$1),"entrada","saída"))</f>
        <v/>
      </c>
      <c r="T2350" s="557"/>
      <c r="U2350" s="557"/>
      <c r="V2350" s="541"/>
    </row>
    <row r="2351" spans="1:22" ht="12.75" customHeight="1" x14ac:dyDescent="0.2">
      <c r="A2351" s="493" t="str">
        <f>IF(B2351="","",COUNT('Diário 5º PA'!$A$5:$A$2634)+COUNT('Diário 6º PA'!$A$5:$A$2246)+COUNT('Diário 7º PA'!$A$5:$A$2271)+ROW()-4)</f>
        <v/>
      </c>
      <c r="B2351" s="494"/>
      <c r="C2351" s="507"/>
      <c r="D2351" s="495"/>
      <c r="E2351" s="495"/>
      <c r="F2351" s="496"/>
      <c r="G2351" s="495"/>
      <c r="H2351" s="495"/>
      <c r="I2351" s="581"/>
      <c r="J2351" s="495"/>
      <c r="K2351" s="516"/>
      <c r="L2351" s="581"/>
      <c r="M2351" s="493"/>
      <c r="N2351" s="493"/>
      <c r="O2351" s="498"/>
      <c r="P2351" s="503">
        <f t="shared" si="179"/>
        <v>0</v>
      </c>
      <c r="Q2351" s="503">
        <f t="shared" si="180"/>
        <v>0</v>
      </c>
      <c r="R2351" s="504" t="str">
        <f t="shared" si="181"/>
        <v/>
      </c>
      <c r="S2351" s="504" t="str">
        <f>IF(D2351="","",IF(OR(D2351=Plano!$A$1,D2351=Plano!$B$1),"entrada","saída"))</f>
        <v/>
      </c>
      <c r="T2351" s="557"/>
      <c r="U2351" s="557"/>
      <c r="V2351" s="541"/>
    </row>
    <row r="2352" spans="1:22" ht="12.75" customHeight="1" x14ac:dyDescent="0.2">
      <c r="A2352" s="493" t="str">
        <f>IF(B2352="","",COUNT('Diário 5º PA'!$A$5:$A$2634)+COUNT('Diário 6º PA'!$A$5:$A$2246)+COUNT('Diário 7º PA'!$A$5:$A$2271)+ROW()-4)</f>
        <v/>
      </c>
      <c r="B2352" s="494"/>
      <c r="C2352" s="507"/>
      <c r="D2352" s="495"/>
      <c r="E2352" s="495"/>
      <c r="F2352" s="496"/>
      <c r="G2352" s="495"/>
      <c r="H2352" s="495"/>
      <c r="I2352" s="581"/>
      <c r="J2352" s="495"/>
      <c r="K2352" s="516"/>
      <c r="L2352" s="581"/>
      <c r="M2352" s="493"/>
      <c r="N2352" s="493"/>
      <c r="O2352" s="498"/>
      <c r="P2352" s="503">
        <f t="shared" si="179"/>
        <v>0</v>
      </c>
      <c r="Q2352" s="503">
        <f t="shared" si="180"/>
        <v>0</v>
      </c>
      <c r="R2352" s="504" t="str">
        <f t="shared" si="181"/>
        <v/>
      </c>
      <c r="S2352" s="504" t="str">
        <f>IF(D2352="","",IF(OR(D2352=Plano!$A$1,D2352=Plano!$B$1),"entrada","saída"))</f>
        <v/>
      </c>
      <c r="T2352" s="557"/>
      <c r="U2352" s="557"/>
      <c r="V2352" s="541"/>
    </row>
    <row r="2353" spans="1:22" ht="12.75" customHeight="1" x14ac:dyDescent="0.2">
      <c r="A2353" s="493" t="str">
        <f>IF(B2353="","",COUNT('Diário 5º PA'!$A$5:$A$2634)+COUNT('Diário 6º PA'!$A$5:$A$2246)+COUNT('Diário 7º PA'!$A$5:$A$2271)+ROW()-4)</f>
        <v/>
      </c>
      <c r="B2353" s="494"/>
      <c r="C2353" s="507"/>
      <c r="D2353" s="495"/>
      <c r="E2353" s="495"/>
      <c r="F2353" s="496"/>
      <c r="G2353" s="495"/>
      <c r="H2353" s="495"/>
      <c r="I2353" s="581"/>
      <c r="J2353" s="495"/>
      <c r="K2353" s="516"/>
      <c r="L2353" s="581"/>
      <c r="M2353" s="493"/>
      <c r="N2353" s="493"/>
      <c r="O2353" s="498"/>
      <c r="P2353" s="503">
        <f t="shared" si="179"/>
        <v>0</v>
      </c>
      <c r="Q2353" s="503">
        <f t="shared" si="180"/>
        <v>0</v>
      </c>
      <c r="R2353" s="504" t="str">
        <f t="shared" si="181"/>
        <v/>
      </c>
      <c r="S2353" s="504" t="str">
        <f>IF(D2353="","",IF(OR(D2353=Plano!$A$1,D2353=Plano!$B$1),"entrada","saída"))</f>
        <v/>
      </c>
      <c r="T2353" s="557"/>
      <c r="U2353" s="557"/>
      <c r="V2353" s="541"/>
    </row>
    <row r="2354" spans="1:22" ht="12.75" customHeight="1" x14ac:dyDescent="0.2">
      <c r="A2354" s="493" t="str">
        <f>IF(B2354="","",COUNT('Diário 5º PA'!$A$5:$A$2634)+COUNT('Diário 6º PA'!$A$5:$A$2246)+COUNT('Diário 7º PA'!$A$5:$A$2271)+ROW()-4)</f>
        <v/>
      </c>
      <c r="B2354" s="494"/>
      <c r="C2354" s="507"/>
      <c r="D2354" s="495"/>
      <c r="E2354" s="495"/>
      <c r="F2354" s="496"/>
      <c r="G2354" s="495"/>
      <c r="H2354" s="495"/>
      <c r="I2354" s="581"/>
      <c r="J2354" s="495"/>
      <c r="K2354" s="516"/>
      <c r="L2354" s="581"/>
      <c r="M2354" s="493"/>
      <c r="N2354" s="493"/>
      <c r="O2354" s="498"/>
      <c r="P2354" s="503">
        <f t="shared" si="179"/>
        <v>0</v>
      </c>
      <c r="Q2354" s="503">
        <f t="shared" si="180"/>
        <v>0</v>
      </c>
      <c r="R2354" s="504" t="str">
        <f t="shared" si="181"/>
        <v/>
      </c>
      <c r="S2354" s="504" t="str">
        <f>IF(D2354="","",IF(OR(D2354=Plano!$A$1,D2354=Plano!$B$1),"entrada","saída"))</f>
        <v/>
      </c>
      <c r="T2354" s="557"/>
      <c r="U2354" s="557"/>
      <c r="V2354" s="541"/>
    </row>
    <row r="2355" spans="1:22" ht="12.75" customHeight="1" x14ac:dyDescent="0.2">
      <c r="A2355" s="493" t="str">
        <f>IF(B2355="","",COUNT('Diário 5º PA'!$A$5:$A$2634)+COUNT('Diário 6º PA'!$A$5:$A$2246)+COUNT('Diário 7º PA'!$A$5:$A$2271)+ROW()-4)</f>
        <v/>
      </c>
      <c r="B2355" s="494"/>
      <c r="C2355" s="507"/>
      <c r="D2355" s="495"/>
      <c r="E2355" s="495"/>
      <c r="F2355" s="496"/>
      <c r="G2355" s="495"/>
      <c r="H2355" s="495"/>
      <c r="I2355" s="581"/>
      <c r="J2355" s="495"/>
      <c r="K2355" s="516"/>
      <c r="L2355" s="581"/>
      <c r="M2355" s="493"/>
      <c r="N2355" s="493"/>
      <c r="O2355" s="498"/>
      <c r="P2355" s="503">
        <f t="shared" si="179"/>
        <v>0</v>
      </c>
      <c r="Q2355" s="503">
        <f t="shared" si="180"/>
        <v>0</v>
      </c>
      <c r="R2355" s="504" t="str">
        <f t="shared" si="181"/>
        <v/>
      </c>
      <c r="S2355" s="504" t="str">
        <f>IF(D2355="","",IF(OR(D2355=Plano!$A$1,D2355=Plano!$B$1),"entrada","saída"))</f>
        <v/>
      </c>
      <c r="T2355" s="557"/>
      <c r="U2355" s="557"/>
      <c r="V2355" s="541"/>
    </row>
    <row r="2356" spans="1:22" ht="12.75" customHeight="1" x14ac:dyDescent="0.2">
      <c r="A2356" s="493" t="str">
        <f>IF(B2356="","",COUNT('Diário 5º PA'!$A$5:$A$2634)+COUNT('Diário 6º PA'!$A$5:$A$2246)+COUNT('Diário 7º PA'!$A$5:$A$2271)+ROW()-4)</f>
        <v/>
      </c>
      <c r="B2356" s="494"/>
      <c r="C2356" s="507"/>
      <c r="D2356" s="495"/>
      <c r="E2356" s="495"/>
      <c r="F2356" s="496"/>
      <c r="G2356" s="495"/>
      <c r="H2356" s="495"/>
      <c r="I2356" s="581"/>
      <c r="J2356" s="495"/>
      <c r="K2356" s="516"/>
      <c r="L2356" s="581"/>
      <c r="M2356" s="493"/>
      <c r="N2356" s="493"/>
      <c r="O2356" s="498"/>
      <c r="P2356" s="503">
        <f t="shared" si="179"/>
        <v>0</v>
      </c>
      <c r="Q2356" s="503">
        <f t="shared" si="180"/>
        <v>0</v>
      </c>
      <c r="R2356" s="504" t="str">
        <f t="shared" si="181"/>
        <v/>
      </c>
      <c r="S2356" s="504" t="str">
        <f>IF(D2356="","",IF(OR(D2356=Plano!$A$1,D2356=Plano!$B$1),"entrada","saída"))</f>
        <v/>
      </c>
      <c r="T2356" s="557"/>
      <c r="U2356" s="557"/>
      <c r="V2356" s="541"/>
    </row>
    <row r="2357" spans="1:22" ht="12.75" customHeight="1" x14ac:dyDescent="0.2">
      <c r="A2357" s="493" t="str">
        <f>IF(B2357="","",COUNT('Diário 5º PA'!$A$5:$A$2634)+COUNT('Diário 6º PA'!$A$5:$A$2246)+COUNT('Diário 7º PA'!$A$5:$A$2271)+ROW()-4)</f>
        <v/>
      </c>
      <c r="B2357" s="494"/>
      <c r="C2357" s="507"/>
      <c r="D2357" s="495"/>
      <c r="E2357" s="495"/>
      <c r="F2357" s="496"/>
      <c r="G2357" s="495"/>
      <c r="H2357" s="495"/>
      <c r="I2357" s="581"/>
      <c r="J2357" s="495"/>
      <c r="K2357" s="516"/>
      <c r="L2357" s="581"/>
      <c r="M2357" s="493"/>
      <c r="N2357" s="493"/>
      <c r="O2357" s="498"/>
      <c r="P2357" s="503">
        <f t="shared" si="179"/>
        <v>0</v>
      </c>
      <c r="Q2357" s="503">
        <f t="shared" si="180"/>
        <v>0</v>
      </c>
      <c r="R2357" s="504" t="str">
        <f t="shared" si="181"/>
        <v/>
      </c>
      <c r="S2357" s="504" t="str">
        <f>IF(D2357="","",IF(OR(D2357=Plano!$A$1,D2357=Plano!$B$1),"entrada","saída"))</f>
        <v/>
      </c>
      <c r="T2357" s="557"/>
      <c r="U2357" s="557"/>
      <c r="V2357" s="541"/>
    </row>
    <row r="2358" spans="1:22" ht="12.75" customHeight="1" x14ac:dyDescent="0.2">
      <c r="A2358" s="493" t="str">
        <f>IF(B2358="","",COUNT('Diário 5º PA'!$A$5:$A$2634)+COUNT('Diário 6º PA'!$A$5:$A$2246)+COUNT('Diário 7º PA'!$A$5:$A$2271)+ROW()-4)</f>
        <v/>
      </c>
      <c r="B2358" s="494"/>
      <c r="C2358" s="507"/>
      <c r="D2358" s="495"/>
      <c r="E2358" s="495"/>
      <c r="F2358" s="496"/>
      <c r="G2358" s="495"/>
      <c r="H2358" s="495"/>
      <c r="I2358" s="581"/>
      <c r="J2358" s="495"/>
      <c r="K2358" s="516"/>
      <c r="L2358" s="581"/>
      <c r="M2358" s="493"/>
      <c r="N2358" s="493"/>
      <c r="O2358" s="498"/>
      <c r="P2358" s="503">
        <f t="shared" si="179"/>
        <v>0</v>
      </c>
      <c r="Q2358" s="503">
        <f t="shared" si="180"/>
        <v>0</v>
      </c>
      <c r="R2358" s="504" t="str">
        <f t="shared" si="181"/>
        <v/>
      </c>
      <c r="S2358" s="504" t="str">
        <f>IF(D2358="","",IF(OR(D2358=Plano!$A$1,D2358=Plano!$B$1),"entrada","saída"))</f>
        <v/>
      </c>
      <c r="T2358" s="557"/>
      <c r="U2358" s="557"/>
      <c r="V2358" s="541"/>
    </row>
    <row r="2359" spans="1:22" ht="12.75" customHeight="1" x14ac:dyDescent="0.2">
      <c r="A2359" s="493" t="str">
        <f>IF(B2359="","",COUNT('Diário 5º PA'!$A$5:$A$2634)+COUNT('Diário 6º PA'!$A$5:$A$2246)+COUNT('Diário 7º PA'!$A$5:$A$2271)+ROW()-4)</f>
        <v/>
      </c>
      <c r="B2359" s="494"/>
      <c r="C2359" s="507"/>
      <c r="D2359" s="495"/>
      <c r="E2359" s="495"/>
      <c r="F2359" s="496"/>
      <c r="G2359" s="495"/>
      <c r="H2359" s="495"/>
      <c r="I2359" s="581"/>
      <c r="J2359" s="495"/>
      <c r="K2359" s="516"/>
      <c r="L2359" s="581"/>
      <c r="M2359" s="493"/>
      <c r="N2359" s="493"/>
      <c r="O2359" s="498"/>
      <c r="P2359" s="503">
        <f t="shared" si="179"/>
        <v>0</v>
      </c>
      <c r="Q2359" s="503">
        <f t="shared" si="180"/>
        <v>0</v>
      </c>
      <c r="R2359" s="504" t="str">
        <f t="shared" si="181"/>
        <v/>
      </c>
      <c r="S2359" s="504" t="str">
        <f>IF(D2359="","",IF(OR(D2359=Plano!$A$1,D2359=Plano!$B$1),"entrada","saída"))</f>
        <v/>
      </c>
      <c r="T2359" s="557"/>
      <c r="U2359" s="557"/>
      <c r="V2359" s="541"/>
    </row>
    <row r="2360" spans="1:22" ht="12.75" customHeight="1" x14ac:dyDescent="0.2">
      <c r="A2360" s="493" t="str">
        <f>IF(B2360="","",COUNT('Diário 5º PA'!$A$5:$A$2634)+COUNT('Diário 6º PA'!$A$5:$A$2246)+COUNT('Diário 7º PA'!$A$5:$A$2271)+ROW()-4)</f>
        <v/>
      </c>
      <c r="B2360" s="494"/>
      <c r="C2360" s="507"/>
      <c r="D2360" s="495"/>
      <c r="E2360" s="495"/>
      <c r="F2360" s="496"/>
      <c r="G2360" s="495"/>
      <c r="H2360" s="495"/>
      <c r="I2360" s="581"/>
      <c r="J2360" s="495"/>
      <c r="K2360" s="516"/>
      <c r="L2360" s="581"/>
      <c r="M2360" s="493"/>
      <c r="N2360" s="493"/>
      <c r="O2360" s="498"/>
      <c r="P2360" s="503">
        <f t="shared" si="179"/>
        <v>0</v>
      </c>
      <c r="Q2360" s="503">
        <f t="shared" si="180"/>
        <v>0</v>
      </c>
      <c r="R2360" s="504" t="str">
        <f t="shared" si="181"/>
        <v/>
      </c>
      <c r="S2360" s="504" t="str">
        <f>IF(D2360="","",IF(OR(D2360=Plano!$A$1,D2360=Plano!$B$1),"entrada","saída"))</f>
        <v/>
      </c>
      <c r="T2360" s="557"/>
      <c r="U2360" s="557"/>
      <c r="V2360" s="541"/>
    </row>
    <row r="2361" spans="1:22" ht="12.75" customHeight="1" x14ac:dyDescent="0.2">
      <c r="A2361" s="493" t="str">
        <f>IF(B2361="","",COUNT('Diário 5º PA'!$A$5:$A$2634)+COUNT('Diário 6º PA'!$A$5:$A$2246)+COUNT('Diário 7º PA'!$A$5:$A$2271)+ROW()-4)</f>
        <v/>
      </c>
      <c r="B2361" s="494"/>
      <c r="C2361" s="507"/>
      <c r="D2361" s="495"/>
      <c r="E2361" s="495"/>
      <c r="F2361" s="496"/>
      <c r="G2361" s="495"/>
      <c r="H2361" s="495"/>
      <c r="I2361" s="581"/>
      <c r="J2361" s="495"/>
      <c r="K2361" s="516"/>
      <c r="L2361" s="581"/>
      <c r="M2361" s="493"/>
      <c r="N2361" s="493"/>
      <c r="O2361" s="498"/>
      <c r="P2361" s="503">
        <f t="shared" si="179"/>
        <v>0</v>
      </c>
      <c r="Q2361" s="503">
        <f t="shared" si="180"/>
        <v>0</v>
      </c>
      <c r="R2361" s="504" t="str">
        <f t="shared" si="181"/>
        <v/>
      </c>
      <c r="S2361" s="504" t="str">
        <f>IF(D2361="","",IF(OR(D2361=Plano!$A$1,D2361=Plano!$B$1),"entrada","saída"))</f>
        <v/>
      </c>
      <c r="T2361" s="557"/>
      <c r="U2361" s="557"/>
      <c r="V2361" s="541"/>
    </row>
    <row r="2362" spans="1:22" ht="12.75" customHeight="1" x14ac:dyDescent="0.2">
      <c r="A2362" s="493" t="str">
        <f>IF(B2362="","",COUNT('Diário 5º PA'!$A$5:$A$2634)+COUNT('Diário 6º PA'!$A$5:$A$2246)+COUNT('Diário 7º PA'!$A$5:$A$2271)+ROW()-4)</f>
        <v/>
      </c>
      <c r="B2362" s="494"/>
      <c r="C2362" s="507"/>
      <c r="D2362" s="495"/>
      <c r="E2362" s="495"/>
      <c r="F2362" s="496"/>
      <c r="G2362" s="495"/>
      <c r="H2362" s="495"/>
      <c r="I2362" s="581"/>
      <c r="J2362" s="495"/>
      <c r="K2362" s="516"/>
      <c r="L2362" s="581"/>
      <c r="M2362" s="493"/>
      <c r="N2362" s="493"/>
      <c r="O2362" s="498"/>
      <c r="P2362" s="503">
        <f t="shared" si="179"/>
        <v>0</v>
      </c>
      <c r="Q2362" s="503">
        <f t="shared" si="180"/>
        <v>0</v>
      </c>
      <c r="R2362" s="504" t="str">
        <f t="shared" si="181"/>
        <v/>
      </c>
      <c r="S2362" s="504" t="str">
        <f>IF(D2362="","",IF(OR(D2362=Plano!$A$1,D2362=Plano!$B$1),"entrada","saída"))</f>
        <v/>
      </c>
      <c r="T2362" s="557"/>
      <c r="U2362" s="557"/>
      <c r="V2362" s="541"/>
    </row>
    <row r="2363" spans="1:22" ht="12.75" customHeight="1" x14ac:dyDescent="0.2">
      <c r="A2363" s="493" t="str">
        <f>IF(B2363="","",COUNT('Diário 5º PA'!$A$5:$A$2634)+COUNT('Diário 6º PA'!$A$5:$A$2246)+COUNT('Diário 7º PA'!$A$5:$A$2271)+ROW()-4)</f>
        <v/>
      </c>
      <c r="B2363" s="494"/>
      <c r="C2363" s="507"/>
      <c r="D2363" s="495"/>
      <c r="E2363" s="495"/>
      <c r="F2363" s="496"/>
      <c r="G2363" s="495"/>
      <c r="H2363" s="495"/>
      <c r="I2363" s="581"/>
      <c r="J2363" s="495"/>
      <c r="K2363" s="516"/>
      <c r="L2363" s="581"/>
      <c r="M2363" s="493"/>
      <c r="N2363" s="493"/>
      <c r="O2363" s="498"/>
      <c r="P2363" s="503">
        <f t="shared" si="179"/>
        <v>0</v>
      </c>
      <c r="Q2363" s="503">
        <f t="shared" si="180"/>
        <v>0</v>
      </c>
      <c r="R2363" s="504" t="str">
        <f t="shared" si="181"/>
        <v/>
      </c>
      <c r="S2363" s="504" t="str">
        <f>IF(D2363="","",IF(OR(D2363=Plano!$A$1,D2363=Plano!$B$1),"entrada","saída"))</f>
        <v/>
      </c>
      <c r="T2363" s="557"/>
      <c r="U2363" s="557"/>
      <c r="V2363" s="541"/>
    </row>
    <row r="2364" spans="1:22" ht="12.75" customHeight="1" x14ac:dyDescent="0.2">
      <c r="A2364" s="493" t="str">
        <f>IF(B2364="","",COUNT('Diário 5º PA'!$A$5:$A$2634)+COUNT('Diário 6º PA'!$A$5:$A$2246)+COUNT('Diário 7º PA'!$A$5:$A$2271)+ROW()-4)</f>
        <v/>
      </c>
      <c r="B2364" s="494"/>
      <c r="C2364" s="507"/>
      <c r="D2364" s="495"/>
      <c r="E2364" s="495"/>
      <c r="F2364" s="496"/>
      <c r="G2364" s="495"/>
      <c r="H2364" s="495"/>
      <c r="I2364" s="581"/>
      <c r="J2364" s="495"/>
      <c r="K2364" s="516"/>
      <c r="L2364" s="581"/>
      <c r="M2364" s="493"/>
      <c r="N2364" s="493"/>
      <c r="O2364" s="498"/>
      <c r="P2364" s="503">
        <f t="shared" si="179"/>
        <v>0</v>
      </c>
      <c r="Q2364" s="503">
        <f t="shared" si="180"/>
        <v>0</v>
      </c>
      <c r="R2364" s="504" t="str">
        <f t="shared" si="181"/>
        <v/>
      </c>
      <c r="S2364" s="504" t="str">
        <f>IF(D2364="","",IF(OR(D2364=Plano!$A$1,D2364=Plano!$B$1),"entrada","saída"))</f>
        <v/>
      </c>
      <c r="T2364" s="557"/>
      <c r="U2364" s="557"/>
      <c r="V2364" s="541"/>
    </row>
    <row r="2365" spans="1:22" ht="12.75" customHeight="1" x14ac:dyDescent="0.2">
      <c r="A2365" s="493" t="str">
        <f>IF(B2365="","",COUNT('Diário 5º PA'!$A$5:$A$2634)+COUNT('Diário 6º PA'!$A$5:$A$2246)+COUNT('Diário 7º PA'!$A$5:$A$2271)+ROW()-4)</f>
        <v/>
      </c>
      <c r="B2365" s="494"/>
      <c r="C2365" s="507"/>
      <c r="D2365" s="495"/>
      <c r="E2365" s="495"/>
      <c r="F2365" s="496"/>
      <c r="G2365" s="495"/>
      <c r="H2365" s="495"/>
      <c r="I2365" s="581"/>
      <c r="J2365" s="495"/>
      <c r="K2365" s="516"/>
      <c r="L2365" s="581"/>
      <c r="M2365" s="493"/>
      <c r="N2365" s="493"/>
      <c r="O2365" s="498"/>
      <c r="P2365" s="503">
        <f t="shared" si="179"/>
        <v>0</v>
      </c>
      <c r="Q2365" s="503">
        <f t="shared" si="180"/>
        <v>0</v>
      </c>
      <c r="R2365" s="504" t="str">
        <f t="shared" si="181"/>
        <v/>
      </c>
      <c r="S2365" s="504" t="str">
        <f>IF(D2365="","",IF(OR(D2365=Plano!$A$1,D2365=Plano!$B$1),"entrada","saída"))</f>
        <v/>
      </c>
      <c r="T2365" s="557"/>
      <c r="U2365" s="557"/>
      <c r="V2365" s="541"/>
    </row>
    <row r="2366" spans="1:22" ht="12.75" customHeight="1" x14ac:dyDescent="0.2">
      <c r="A2366" s="493" t="str">
        <f>IF(B2366="","",COUNT('Diário 5º PA'!$A$5:$A$2634)+COUNT('Diário 6º PA'!$A$5:$A$2246)+COUNT('Diário 7º PA'!$A$5:$A$2271)+ROW()-4)</f>
        <v/>
      </c>
      <c r="B2366" s="494"/>
      <c r="C2366" s="507"/>
      <c r="D2366" s="495"/>
      <c r="E2366" s="495"/>
      <c r="F2366" s="496"/>
      <c r="G2366" s="495"/>
      <c r="H2366" s="495"/>
      <c r="I2366" s="581"/>
      <c r="J2366" s="495"/>
      <c r="K2366" s="516"/>
      <c r="L2366" s="581"/>
      <c r="M2366" s="493"/>
      <c r="N2366" s="493"/>
      <c r="O2366" s="498"/>
      <c r="P2366" s="503">
        <f t="shared" si="179"/>
        <v>0</v>
      </c>
      <c r="Q2366" s="503">
        <f t="shared" si="180"/>
        <v>0</v>
      </c>
      <c r="R2366" s="504" t="str">
        <f t="shared" si="181"/>
        <v/>
      </c>
      <c r="S2366" s="504" t="str">
        <f>IF(D2366="","",IF(OR(D2366=Plano!$A$1,D2366=Plano!$B$1),"entrada","saída"))</f>
        <v/>
      </c>
      <c r="T2366" s="557"/>
      <c r="U2366" s="557"/>
      <c r="V2366" s="541"/>
    </row>
    <row r="2367" spans="1:22" ht="12.75" customHeight="1" x14ac:dyDescent="0.2">
      <c r="A2367" s="493" t="str">
        <f>IF(B2367="","",COUNT('Diário 5º PA'!$A$5:$A$2634)+COUNT('Diário 6º PA'!$A$5:$A$2246)+COUNT('Diário 7º PA'!$A$5:$A$2271)+ROW()-4)</f>
        <v/>
      </c>
      <c r="B2367" s="494"/>
      <c r="C2367" s="507"/>
      <c r="D2367" s="495"/>
      <c r="E2367" s="495"/>
      <c r="F2367" s="496"/>
      <c r="G2367" s="495"/>
      <c r="H2367" s="495"/>
      <c r="I2367" s="581"/>
      <c r="J2367" s="495"/>
      <c r="K2367" s="516"/>
      <c r="L2367" s="581"/>
      <c r="M2367" s="493"/>
      <c r="N2367" s="493"/>
      <c r="O2367" s="498"/>
      <c r="P2367" s="503">
        <f t="shared" si="179"/>
        <v>0</v>
      </c>
      <c r="Q2367" s="503">
        <f t="shared" si="180"/>
        <v>0</v>
      </c>
      <c r="R2367" s="504" t="str">
        <f t="shared" si="181"/>
        <v/>
      </c>
      <c r="S2367" s="504" t="str">
        <f>IF(D2367="","",IF(OR(D2367=Plano!$A$1,D2367=Plano!$B$1),"entrada","saída"))</f>
        <v/>
      </c>
      <c r="T2367" s="557"/>
      <c r="U2367" s="557"/>
      <c r="V2367" s="541"/>
    </row>
    <row r="2368" spans="1:22" ht="12.75" customHeight="1" x14ac:dyDescent="0.2">
      <c r="A2368" s="493" t="str">
        <f>IF(B2368="","",COUNT('Diário 5º PA'!$A$5:$A$2634)+COUNT('Diário 6º PA'!$A$5:$A$2246)+COUNT('Diário 7º PA'!$A$5:$A$2271)+ROW()-4)</f>
        <v/>
      </c>
      <c r="B2368" s="494"/>
      <c r="C2368" s="507"/>
      <c r="D2368" s="495"/>
      <c r="E2368" s="495"/>
      <c r="F2368" s="496"/>
      <c r="G2368" s="495"/>
      <c r="H2368" s="495"/>
      <c r="I2368" s="581"/>
      <c r="J2368" s="495"/>
      <c r="K2368" s="516"/>
      <c r="L2368" s="581"/>
      <c r="M2368" s="493"/>
      <c r="N2368" s="493"/>
      <c r="O2368" s="498"/>
      <c r="P2368" s="503">
        <f t="shared" si="179"/>
        <v>0</v>
      </c>
      <c r="Q2368" s="503">
        <f t="shared" si="180"/>
        <v>0</v>
      </c>
      <c r="R2368" s="504" t="str">
        <f t="shared" si="181"/>
        <v/>
      </c>
      <c r="S2368" s="504" t="str">
        <f>IF(D2368="","",IF(OR(D2368=Plano!$A$1,D2368=Plano!$B$1),"entrada","saída"))</f>
        <v/>
      </c>
      <c r="T2368" s="557"/>
      <c r="U2368" s="557"/>
      <c r="V2368" s="541"/>
    </row>
    <row r="2369" spans="1:22" ht="12.75" customHeight="1" x14ac:dyDescent="0.2">
      <c r="A2369" s="493" t="str">
        <f>IF(B2369="","",COUNT('Diário 5º PA'!$A$5:$A$2634)+COUNT('Diário 6º PA'!$A$5:$A$2246)+COUNT('Diário 7º PA'!$A$5:$A$2271)+ROW()-4)</f>
        <v/>
      </c>
      <c r="B2369" s="494"/>
      <c r="C2369" s="507"/>
      <c r="D2369" s="495"/>
      <c r="E2369" s="495"/>
      <c r="F2369" s="496"/>
      <c r="G2369" s="495"/>
      <c r="H2369" s="495"/>
      <c r="I2369" s="581"/>
      <c r="J2369" s="495"/>
      <c r="K2369" s="516"/>
      <c r="L2369" s="581"/>
      <c r="M2369" s="493"/>
      <c r="N2369" s="493"/>
      <c r="O2369" s="498"/>
      <c r="P2369" s="503">
        <f t="shared" si="179"/>
        <v>0</v>
      </c>
      <c r="Q2369" s="503">
        <f t="shared" si="180"/>
        <v>0</v>
      </c>
      <c r="R2369" s="504" t="str">
        <f t="shared" si="181"/>
        <v/>
      </c>
      <c r="S2369" s="504" t="str">
        <f>IF(D2369="","",IF(OR(D2369=Plano!$A$1,D2369=Plano!$B$1),"entrada","saída"))</f>
        <v/>
      </c>
      <c r="T2369" s="557"/>
      <c r="U2369" s="557"/>
      <c r="V2369" s="541"/>
    </row>
    <row r="2370" spans="1:22" ht="12.75" customHeight="1" x14ac:dyDescent="0.2">
      <c r="A2370" s="493" t="str">
        <f>IF(B2370="","",COUNT('Diário 5º PA'!$A$5:$A$2634)+COUNT('Diário 6º PA'!$A$5:$A$2246)+COUNT('Diário 7º PA'!$A$5:$A$2271)+ROW()-4)</f>
        <v/>
      </c>
      <c r="B2370" s="494"/>
      <c r="C2370" s="507"/>
      <c r="D2370" s="495"/>
      <c r="E2370" s="495"/>
      <c r="F2370" s="496"/>
      <c r="G2370" s="495"/>
      <c r="H2370" s="495"/>
      <c r="I2370" s="581"/>
      <c r="J2370" s="495"/>
      <c r="K2370" s="516"/>
      <c r="L2370" s="581"/>
      <c r="M2370" s="493"/>
      <c r="N2370" s="493"/>
      <c r="O2370" s="498"/>
      <c r="P2370" s="503">
        <f t="shared" si="179"/>
        <v>0</v>
      </c>
      <c r="Q2370" s="503">
        <f t="shared" si="180"/>
        <v>0</v>
      </c>
      <c r="R2370" s="504" t="str">
        <f t="shared" si="181"/>
        <v/>
      </c>
      <c r="S2370" s="504" t="str">
        <f>IF(D2370="","",IF(OR(D2370=Plano!$A$1,D2370=Plano!$B$1),"entrada","saída"))</f>
        <v/>
      </c>
      <c r="T2370" s="557"/>
      <c r="U2370" s="557"/>
      <c r="V2370" s="541"/>
    </row>
    <row r="2371" spans="1:22" ht="12.75" customHeight="1" x14ac:dyDescent="0.2">
      <c r="A2371" s="493" t="str">
        <f>IF(B2371="","",COUNT('Diário 5º PA'!$A$5:$A$2634)+COUNT('Diário 6º PA'!$A$5:$A$2246)+COUNT('Diário 7º PA'!$A$5:$A$2271)+ROW()-4)</f>
        <v/>
      </c>
      <c r="B2371" s="494"/>
      <c r="C2371" s="507"/>
      <c r="D2371" s="495"/>
      <c r="E2371" s="495"/>
      <c r="F2371" s="496"/>
      <c r="G2371" s="495"/>
      <c r="H2371" s="495"/>
      <c r="I2371" s="581"/>
      <c r="J2371" s="495"/>
      <c r="K2371" s="516"/>
      <c r="L2371" s="581"/>
      <c r="M2371" s="493"/>
      <c r="N2371" s="493"/>
      <c r="O2371" s="498"/>
      <c r="P2371" s="503">
        <f t="shared" si="179"/>
        <v>0</v>
      </c>
      <c r="Q2371" s="503">
        <f t="shared" si="180"/>
        <v>0</v>
      </c>
      <c r="R2371" s="504" t="str">
        <f t="shared" si="181"/>
        <v/>
      </c>
      <c r="S2371" s="504" t="str">
        <f>IF(D2371="","",IF(OR(D2371=Plano!$A$1,D2371=Plano!$B$1),"entrada","saída"))</f>
        <v/>
      </c>
      <c r="T2371" s="557"/>
      <c r="U2371" s="557"/>
      <c r="V2371" s="541"/>
    </row>
    <row r="2372" spans="1:22" ht="12.75" customHeight="1" x14ac:dyDescent="0.2">
      <c r="A2372" s="493" t="str">
        <f>IF(B2372="","",COUNT('Diário 5º PA'!$A$5:$A$2634)+COUNT('Diário 6º PA'!$A$5:$A$2246)+COUNT('Diário 7º PA'!$A$5:$A$2271)+ROW()-4)</f>
        <v/>
      </c>
      <c r="B2372" s="494"/>
      <c r="C2372" s="507"/>
      <c r="D2372" s="495"/>
      <c r="E2372" s="495"/>
      <c r="F2372" s="496"/>
      <c r="G2372" s="495"/>
      <c r="H2372" s="495"/>
      <c r="I2372" s="581"/>
      <c r="J2372" s="495"/>
      <c r="K2372" s="516"/>
      <c r="L2372" s="581"/>
      <c r="M2372" s="493"/>
      <c r="N2372" s="493"/>
      <c r="O2372" s="498"/>
      <c r="P2372" s="503">
        <f t="shared" si="179"/>
        <v>0</v>
      </c>
      <c r="Q2372" s="503">
        <f t="shared" si="180"/>
        <v>0</v>
      </c>
      <c r="R2372" s="504" t="str">
        <f t="shared" si="181"/>
        <v/>
      </c>
      <c r="S2372" s="504" t="str">
        <f>IF(D2372="","",IF(OR(D2372=Plano!$A$1,D2372=Plano!$B$1),"entrada","saída"))</f>
        <v/>
      </c>
      <c r="T2372" s="557"/>
      <c r="U2372" s="557"/>
      <c r="V2372" s="541"/>
    </row>
    <row r="2373" spans="1:22" ht="12.75" customHeight="1" x14ac:dyDescent="0.2">
      <c r="A2373" s="493" t="str">
        <f>IF(B2373="","",COUNT('Diário 5º PA'!$A$5:$A$2634)+COUNT('Diário 6º PA'!$A$5:$A$2246)+COUNT('Diário 7º PA'!$A$5:$A$2271)+ROW()-4)</f>
        <v/>
      </c>
      <c r="B2373" s="494"/>
      <c r="C2373" s="507"/>
      <c r="D2373" s="495"/>
      <c r="E2373" s="495"/>
      <c r="F2373" s="496"/>
      <c r="G2373" s="495"/>
      <c r="H2373" s="495"/>
      <c r="I2373" s="581"/>
      <c r="J2373" s="495"/>
      <c r="K2373" s="516"/>
      <c r="L2373" s="581"/>
      <c r="M2373" s="493"/>
      <c r="N2373" s="493"/>
      <c r="O2373" s="498"/>
      <c r="P2373" s="503">
        <f t="shared" si="179"/>
        <v>0</v>
      </c>
      <c r="Q2373" s="503">
        <f t="shared" si="180"/>
        <v>0</v>
      </c>
      <c r="R2373" s="504" t="str">
        <f t="shared" si="181"/>
        <v/>
      </c>
      <c r="S2373" s="504" t="str">
        <f>IF(D2373="","",IF(OR(D2373=Plano!$A$1,D2373=Plano!$B$1),"entrada","saída"))</f>
        <v/>
      </c>
      <c r="T2373" s="557"/>
      <c r="U2373" s="557"/>
      <c r="V2373" s="541"/>
    </row>
    <row r="2374" spans="1:22" ht="12.75" customHeight="1" x14ac:dyDescent="0.2">
      <c r="A2374" s="493" t="str">
        <f>IF(B2374="","",COUNT('Diário 5º PA'!$A$5:$A$2634)+COUNT('Diário 6º PA'!$A$5:$A$2246)+COUNT('Diário 7º PA'!$A$5:$A$2271)+ROW()-4)</f>
        <v/>
      </c>
      <c r="B2374" s="494"/>
      <c r="C2374" s="507"/>
      <c r="D2374" s="495"/>
      <c r="E2374" s="495"/>
      <c r="F2374" s="496"/>
      <c r="G2374" s="495"/>
      <c r="H2374" s="495"/>
      <c r="I2374" s="581"/>
      <c r="J2374" s="495"/>
      <c r="K2374" s="516"/>
      <c r="L2374" s="581"/>
      <c r="M2374" s="493"/>
      <c r="N2374" s="493"/>
      <c r="O2374" s="498"/>
      <c r="P2374" s="503">
        <f t="shared" si="179"/>
        <v>0</v>
      </c>
      <c r="Q2374" s="503">
        <f t="shared" si="180"/>
        <v>0</v>
      </c>
      <c r="R2374" s="504" t="str">
        <f t="shared" si="181"/>
        <v/>
      </c>
      <c r="S2374" s="504" t="str">
        <f>IF(D2374="","",IF(OR(D2374=Plano!$A$1,D2374=Plano!$B$1),"entrada","saída"))</f>
        <v/>
      </c>
      <c r="T2374" s="557"/>
      <c r="U2374" s="557"/>
      <c r="V2374" s="541"/>
    </row>
    <row r="2375" spans="1:22" ht="12.75" customHeight="1" x14ac:dyDescent="0.2">
      <c r="A2375" s="493" t="str">
        <f>IF(B2375="","",COUNT('Diário 5º PA'!$A$5:$A$2634)+COUNT('Diário 6º PA'!$A$5:$A$2246)+COUNT('Diário 7º PA'!$A$5:$A$2271)+ROW()-4)</f>
        <v/>
      </c>
      <c r="B2375" s="494"/>
      <c r="C2375" s="507"/>
      <c r="D2375" s="495"/>
      <c r="E2375" s="495"/>
      <c r="F2375" s="496"/>
      <c r="G2375" s="495"/>
      <c r="H2375" s="495"/>
      <c r="I2375" s="581"/>
      <c r="J2375" s="495"/>
      <c r="K2375" s="516"/>
      <c r="L2375" s="581"/>
      <c r="M2375" s="493"/>
      <c r="N2375" s="493"/>
      <c r="O2375" s="498"/>
      <c r="P2375" s="503">
        <f t="shared" si="179"/>
        <v>0</v>
      </c>
      <c r="Q2375" s="503">
        <f t="shared" si="180"/>
        <v>0</v>
      </c>
      <c r="R2375" s="504" t="str">
        <f t="shared" si="181"/>
        <v/>
      </c>
      <c r="S2375" s="504" t="str">
        <f>IF(D2375="","",IF(OR(D2375=Plano!$A$1,D2375=Plano!$B$1),"entrada","saída"))</f>
        <v/>
      </c>
      <c r="T2375" s="557"/>
      <c r="U2375" s="557"/>
      <c r="V2375" s="541"/>
    </row>
    <row r="2376" spans="1:22" ht="12.75" customHeight="1" x14ac:dyDescent="0.2">
      <c r="A2376" s="493" t="str">
        <f>IF(B2376="","",COUNT('Diário 5º PA'!$A$5:$A$2634)+COUNT('Diário 6º PA'!$A$5:$A$2246)+COUNT('Diário 7º PA'!$A$5:$A$2271)+ROW()-4)</f>
        <v/>
      </c>
      <c r="B2376" s="494"/>
      <c r="C2376" s="507"/>
      <c r="D2376" s="495"/>
      <c r="E2376" s="495"/>
      <c r="F2376" s="496"/>
      <c r="G2376" s="495"/>
      <c r="H2376" s="495"/>
      <c r="I2376" s="581"/>
      <c r="J2376" s="495"/>
      <c r="K2376" s="516"/>
      <c r="L2376" s="581"/>
      <c r="M2376" s="493"/>
      <c r="N2376" s="493"/>
      <c r="O2376" s="498"/>
      <c r="P2376" s="503">
        <f t="shared" si="179"/>
        <v>0</v>
      </c>
      <c r="Q2376" s="503">
        <f t="shared" si="180"/>
        <v>0</v>
      </c>
      <c r="R2376" s="504" t="str">
        <f t="shared" si="181"/>
        <v/>
      </c>
      <c r="S2376" s="504" t="str">
        <f>IF(D2376="","",IF(OR(D2376=Plano!$A$1,D2376=Plano!$B$1),"entrada","saída"))</f>
        <v/>
      </c>
      <c r="T2376" s="557"/>
      <c r="U2376" s="557"/>
      <c r="V2376" s="541"/>
    </row>
    <row r="2377" spans="1:22" ht="12.75" customHeight="1" x14ac:dyDescent="0.2">
      <c r="A2377" s="493" t="str">
        <f>IF(B2377="","",COUNT('Diário 5º PA'!$A$5:$A$2634)+COUNT('Diário 6º PA'!$A$5:$A$2246)+COUNT('Diário 7º PA'!$A$5:$A$2271)+ROW()-4)</f>
        <v/>
      </c>
      <c r="B2377" s="494"/>
      <c r="C2377" s="507"/>
      <c r="D2377" s="495"/>
      <c r="E2377" s="495"/>
      <c r="F2377" s="496"/>
      <c r="G2377" s="495"/>
      <c r="H2377" s="495"/>
      <c r="I2377" s="581"/>
      <c r="J2377" s="495"/>
      <c r="K2377" s="516"/>
      <c r="L2377" s="581"/>
      <c r="M2377" s="493"/>
      <c r="N2377" s="493"/>
      <c r="O2377" s="498"/>
      <c r="P2377" s="503">
        <f t="shared" si="179"/>
        <v>0</v>
      </c>
      <c r="Q2377" s="503">
        <f t="shared" si="180"/>
        <v>0</v>
      </c>
      <c r="R2377" s="504" t="str">
        <f t="shared" si="181"/>
        <v/>
      </c>
      <c r="S2377" s="504" t="str">
        <f>IF(D2377="","",IF(OR(D2377=Plano!$A$1,D2377=Plano!$B$1),"entrada","saída"))</f>
        <v/>
      </c>
      <c r="T2377" s="557"/>
      <c r="U2377" s="557"/>
      <c r="V2377" s="541"/>
    </row>
    <row r="2378" spans="1:22" ht="12.75" customHeight="1" x14ac:dyDescent="0.2">
      <c r="A2378" s="493" t="str">
        <f>IF(B2378="","",COUNT('Diário 5º PA'!$A$5:$A$2634)+COUNT('Diário 6º PA'!$A$5:$A$2246)+COUNT('Diário 7º PA'!$A$5:$A$2271)+ROW()-4)</f>
        <v/>
      </c>
      <c r="B2378" s="494"/>
      <c r="C2378" s="507"/>
      <c r="D2378" s="495"/>
      <c r="E2378" s="495"/>
      <c r="F2378" s="496"/>
      <c r="G2378" s="495"/>
      <c r="H2378" s="495"/>
      <c r="I2378" s="581"/>
      <c r="J2378" s="495"/>
      <c r="K2378" s="516"/>
      <c r="L2378" s="581"/>
      <c r="M2378" s="493"/>
      <c r="N2378" s="493"/>
      <c r="O2378" s="498"/>
      <c r="P2378" s="503">
        <f t="shared" si="179"/>
        <v>0</v>
      </c>
      <c r="Q2378" s="503">
        <f t="shared" si="180"/>
        <v>0</v>
      </c>
      <c r="R2378" s="504" t="str">
        <f t="shared" si="181"/>
        <v/>
      </c>
      <c r="S2378" s="504" t="str">
        <f>IF(D2378="","",IF(OR(D2378=Plano!$A$1,D2378=Plano!$B$1),"entrada","saída"))</f>
        <v/>
      </c>
      <c r="T2378" s="557"/>
      <c r="U2378" s="557"/>
      <c r="V2378" s="541"/>
    </row>
    <row r="2379" spans="1:22" ht="12.75" customHeight="1" x14ac:dyDescent="0.2">
      <c r="A2379" s="493" t="str">
        <f>IF(B2379="","",COUNT('Diário 5º PA'!$A$5:$A$2634)+COUNT('Diário 6º PA'!$A$5:$A$2246)+COUNT('Diário 7º PA'!$A$5:$A$2271)+ROW()-4)</f>
        <v/>
      </c>
      <c r="B2379" s="494"/>
      <c r="C2379" s="507"/>
      <c r="D2379" s="495"/>
      <c r="E2379" s="495"/>
      <c r="F2379" s="496"/>
      <c r="G2379" s="495"/>
      <c r="H2379" s="495"/>
      <c r="I2379" s="581"/>
      <c r="J2379" s="495"/>
      <c r="K2379" s="516"/>
      <c r="L2379" s="581"/>
      <c r="M2379" s="493"/>
      <c r="N2379" s="493"/>
      <c r="O2379" s="498"/>
      <c r="P2379" s="503">
        <f t="shared" si="179"/>
        <v>0</v>
      </c>
      <c r="Q2379" s="503">
        <f t="shared" si="180"/>
        <v>0</v>
      </c>
      <c r="R2379" s="504" t="str">
        <f t="shared" si="181"/>
        <v/>
      </c>
      <c r="S2379" s="504" t="str">
        <f>IF(D2379="","",IF(OR(D2379=Plano!$A$1,D2379=Plano!$B$1),"entrada","saída"))</f>
        <v/>
      </c>
      <c r="T2379" s="557"/>
      <c r="U2379" s="557"/>
      <c r="V2379" s="541"/>
    </row>
    <row r="2380" spans="1:22" ht="12.75" customHeight="1" x14ac:dyDescent="0.2">
      <c r="A2380" s="493" t="str">
        <f>IF(B2380="","",COUNT('Diário 5º PA'!$A$5:$A$2634)+COUNT('Diário 6º PA'!$A$5:$A$2246)+COUNT('Diário 7º PA'!$A$5:$A$2271)+ROW()-4)</f>
        <v/>
      </c>
      <c r="B2380" s="494"/>
      <c r="C2380" s="507"/>
      <c r="D2380" s="495"/>
      <c r="E2380" s="495"/>
      <c r="F2380" s="496"/>
      <c r="G2380" s="495"/>
      <c r="H2380" s="495"/>
      <c r="I2380" s="581"/>
      <c r="J2380" s="495"/>
      <c r="K2380" s="516"/>
      <c r="L2380" s="581"/>
      <c r="M2380" s="493"/>
      <c r="N2380" s="493"/>
      <c r="O2380" s="498"/>
      <c r="P2380" s="503">
        <f t="shared" si="179"/>
        <v>0</v>
      </c>
      <c r="Q2380" s="503">
        <f t="shared" si="180"/>
        <v>0</v>
      </c>
      <c r="R2380" s="504" t="str">
        <f t="shared" si="181"/>
        <v/>
      </c>
      <c r="S2380" s="504" t="str">
        <f>IF(D2380="","",IF(OR(D2380=Plano!$A$1,D2380=Plano!$B$1),"entrada","saída"))</f>
        <v/>
      </c>
      <c r="T2380" s="557"/>
      <c r="U2380" s="557"/>
      <c r="V2380" s="541"/>
    </row>
    <row r="2381" spans="1:22" ht="12.75" customHeight="1" x14ac:dyDescent="0.2">
      <c r="A2381" s="493" t="str">
        <f>IF(B2381="","",COUNT('Diário 5º PA'!$A$5:$A$2634)+COUNT('Diário 6º PA'!$A$5:$A$2246)+COUNT('Diário 7º PA'!$A$5:$A$2271)+ROW()-4)</f>
        <v/>
      </c>
      <c r="B2381" s="494"/>
      <c r="C2381" s="507"/>
      <c r="D2381" s="495"/>
      <c r="E2381" s="495"/>
      <c r="F2381" s="496"/>
      <c r="G2381" s="495"/>
      <c r="H2381" s="495"/>
      <c r="I2381" s="581"/>
      <c r="J2381" s="495"/>
      <c r="K2381" s="516"/>
      <c r="L2381" s="581"/>
      <c r="M2381" s="493"/>
      <c r="N2381" s="493"/>
      <c r="O2381" s="498"/>
      <c r="P2381" s="503">
        <f t="shared" si="179"/>
        <v>0</v>
      </c>
      <c r="Q2381" s="503">
        <f t="shared" si="180"/>
        <v>0</v>
      </c>
      <c r="R2381" s="504" t="str">
        <f t="shared" si="181"/>
        <v/>
      </c>
      <c r="S2381" s="504" t="str">
        <f>IF(D2381="","",IF(OR(D2381=Plano!$A$1,D2381=Plano!$B$1),"entrada","saída"))</f>
        <v/>
      </c>
      <c r="T2381" s="557"/>
      <c r="U2381" s="557"/>
      <c r="V2381" s="541"/>
    </row>
    <row r="2382" spans="1:22" ht="12.75" customHeight="1" x14ac:dyDescent="0.2">
      <c r="A2382" s="493" t="str">
        <f>IF(B2382="","",COUNT('Diário 5º PA'!$A$5:$A$2634)+COUNT('Diário 6º PA'!$A$5:$A$2246)+COUNT('Diário 7º PA'!$A$5:$A$2271)+ROW()-4)</f>
        <v/>
      </c>
      <c r="B2382" s="494"/>
      <c r="C2382" s="507"/>
      <c r="D2382" s="495"/>
      <c r="E2382" s="495"/>
      <c r="F2382" s="496"/>
      <c r="G2382" s="495"/>
      <c r="H2382" s="495"/>
      <c r="I2382" s="581"/>
      <c r="J2382" s="495"/>
      <c r="K2382" s="516"/>
      <c r="L2382" s="581"/>
      <c r="M2382" s="493"/>
      <c r="N2382" s="493"/>
      <c r="O2382" s="498"/>
      <c r="P2382" s="503">
        <f t="shared" si="179"/>
        <v>0</v>
      </c>
      <c r="Q2382" s="503">
        <f t="shared" si="180"/>
        <v>0</v>
      </c>
      <c r="R2382" s="504" t="str">
        <f t="shared" si="181"/>
        <v/>
      </c>
      <c r="S2382" s="504" t="str">
        <f>IF(D2382="","",IF(OR(D2382=Plano!$A$1,D2382=Plano!$B$1),"entrada","saída"))</f>
        <v/>
      </c>
      <c r="T2382" s="557"/>
      <c r="U2382" s="557"/>
      <c r="V2382" s="541"/>
    </row>
    <row r="2383" spans="1:22" ht="12.75" customHeight="1" x14ac:dyDescent="0.2">
      <c r="A2383" s="493" t="str">
        <f>IF(B2383="","",COUNT('Diário 5º PA'!$A$5:$A$2634)+COUNT('Diário 6º PA'!$A$5:$A$2246)+COUNT('Diário 7º PA'!$A$5:$A$2271)+ROW()-4)</f>
        <v/>
      </c>
      <c r="B2383" s="494"/>
      <c r="C2383" s="507"/>
      <c r="D2383" s="495"/>
      <c r="E2383" s="495"/>
      <c r="F2383" s="496"/>
      <c r="G2383" s="495"/>
      <c r="H2383" s="495"/>
      <c r="I2383" s="581"/>
      <c r="J2383" s="495"/>
      <c r="K2383" s="516"/>
      <c r="L2383" s="581"/>
      <c r="M2383" s="493"/>
      <c r="N2383" s="493"/>
      <c r="O2383" s="498"/>
      <c r="P2383" s="503">
        <f t="shared" si="179"/>
        <v>0</v>
      </c>
      <c r="Q2383" s="503">
        <f t="shared" si="180"/>
        <v>0</v>
      </c>
      <c r="R2383" s="504" t="str">
        <f t="shared" si="181"/>
        <v/>
      </c>
      <c r="S2383" s="504" t="str">
        <f>IF(D2383="","",IF(OR(D2383=Plano!$A$1,D2383=Plano!$B$1),"entrada","saída"))</f>
        <v/>
      </c>
      <c r="T2383" s="557"/>
      <c r="U2383" s="557"/>
      <c r="V2383" s="541"/>
    </row>
    <row r="2384" spans="1:22" ht="12.75" customHeight="1" x14ac:dyDescent="0.2">
      <c r="A2384" s="493" t="str">
        <f>IF(B2384="","",COUNT('Diário 5º PA'!$A$5:$A$2634)+COUNT('Diário 6º PA'!$A$5:$A$2246)+COUNT('Diário 7º PA'!$A$5:$A$2271)+ROW()-4)</f>
        <v/>
      </c>
      <c r="B2384" s="494"/>
      <c r="C2384" s="507"/>
      <c r="D2384" s="495"/>
      <c r="E2384" s="495"/>
      <c r="F2384" s="496"/>
      <c r="G2384" s="495"/>
      <c r="H2384" s="495"/>
      <c r="I2384" s="581"/>
      <c r="J2384" s="495"/>
      <c r="K2384" s="516"/>
      <c r="L2384" s="581"/>
      <c r="M2384" s="493"/>
      <c r="N2384" s="493"/>
      <c r="O2384" s="498"/>
      <c r="P2384" s="503">
        <f t="shared" si="179"/>
        <v>0</v>
      </c>
      <c r="Q2384" s="503">
        <f t="shared" si="180"/>
        <v>0</v>
      </c>
      <c r="R2384" s="504" t="str">
        <f t="shared" si="181"/>
        <v/>
      </c>
      <c r="S2384" s="504" t="str">
        <f>IF(D2384="","",IF(OR(D2384=Plano!$A$1,D2384=Plano!$B$1),"entrada","saída"))</f>
        <v/>
      </c>
      <c r="T2384" s="557"/>
      <c r="U2384" s="557"/>
      <c r="V2384" s="541"/>
    </row>
    <row r="2385" spans="1:22" ht="12.75" customHeight="1" x14ac:dyDescent="0.2">
      <c r="A2385" s="493" t="str">
        <f>IF(B2385="","",COUNT('Diário 5º PA'!$A$5:$A$2634)+COUNT('Diário 6º PA'!$A$5:$A$2246)+COUNT('Diário 7º PA'!$A$5:$A$2271)+ROW()-4)</f>
        <v/>
      </c>
      <c r="B2385" s="494"/>
      <c r="C2385" s="507"/>
      <c r="D2385" s="495"/>
      <c r="E2385" s="495"/>
      <c r="F2385" s="496"/>
      <c r="G2385" s="495"/>
      <c r="H2385" s="495"/>
      <c r="I2385" s="581"/>
      <c r="J2385" s="495"/>
      <c r="K2385" s="516"/>
      <c r="L2385" s="581"/>
      <c r="M2385" s="493"/>
      <c r="N2385" s="493"/>
      <c r="O2385" s="498"/>
      <c r="P2385" s="503">
        <f t="shared" si="179"/>
        <v>0</v>
      </c>
      <c r="Q2385" s="503">
        <f t="shared" si="180"/>
        <v>0</v>
      </c>
      <c r="R2385" s="504" t="str">
        <f t="shared" si="181"/>
        <v/>
      </c>
      <c r="S2385" s="504" t="str">
        <f>IF(D2385="","",IF(OR(D2385=Plano!$A$1,D2385=Plano!$B$1),"entrada","saída"))</f>
        <v/>
      </c>
      <c r="T2385" s="557"/>
      <c r="U2385" s="557"/>
      <c r="V2385" s="541"/>
    </row>
    <row r="2386" spans="1:22" ht="12.75" customHeight="1" x14ac:dyDescent="0.2">
      <c r="A2386" s="493" t="str">
        <f>IF(B2386="","",COUNT('Diário 5º PA'!$A$5:$A$2634)+COUNT('Diário 6º PA'!$A$5:$A$2246)+COUNT('Diário 7º PA'!$A$5:$A$2271)+ROW()-4)</f>
        <v/>
      </c>
      <c r="B2386" s="494"/>
      <c r="C2386" s="507"/>
      <c r="D2386" s="495"/>
      <c r="E2386" s="495"/>
      <c r="F2386" s="496"/>
      <c r="G2386" s="495"/>
      <c r="H2386" s="495"/>
      <c r="I2386" s="581"/>
      <c r="J2386" s="495"/>
      <c r="K2386" s="516"/>
      <c r="L2386" s="581"/>
      <c r="M2386" s="493"/>
      <c r="N2386" s="493"/>
      <c r="O2386" s="498"/>
      <c r="P2386" s="503">
        <f t="shared" si="179"/>
        <v>0</v>
      </c>
      <c r="Q2386" s="503">
        <f t="shared" si="180"/>
        <v>0</v>
      </c>
      <c r="R2386" s="504" t="str">
        <f t="shared" si="181"/>
        <v/>
      </c>
      <c r="S2386" s="504" t="str">
        <f>IF(D2386="","",IF(OR(D2386=Plano!$A$1,D2386=Plano!$B$1),"entrada","saída"))</f>
        <v/>
      </c>
      <c r="T2386" s="557"/>
      <c r="U2386" s="557"/>
      <c r="V2386" s="541"/>
    </row>
    <row r="2387" spans="1:22" ht="12.75" customHeight="1" x14ac:dyDescent="0.2">
      <c r="A2387" s="493" t="str">
        <f>IF(B2387="","",COUNT('Diário 5º PA'!$A$5:$A$2634)+COUNT('Diário 6º PA'!$A$5:$A$2246)+COUNT('Diário 7º PA'!$A$5:$A$2271)+ROW()-4)</f>
        <v/>
      </c>
      <c r="B2387" s="494"/>
      <c r="C2387" s="507"/>
      <c r="D2387" s="495"/>
      <c r="E2387" s="495"/>
      <c r="F2387" s="496"/>
      <c r="G2387" s="495"/>
      <c r="H2387" s="495"/>
      <c r="I2387" s="581"/>
      <c r="J2387" s="495"/>
      <c r="K2387" s="516"/>
      <c r="L2387" s="581"/>
      <c r="M2387" s="493"/>
      <c r="N2387" s="493"/>
      <c r="O2387" s="498"/>
      <c r="P2387" s="503">
        <f t="shared" si="179"/>
        <v>0</v>
      </c>
      <c r="Q2387" s="503">
        <f t="shared" si="180"/>
        <v>0</v>
      </c>
      <c r="R2387" s="504" t="str">
        <f t="shared" si="181"/>
        <v/>
      </c>
      <c r="S2387" s="504" t="str">
        <f>IF(D2387="","",IF(OR(D2387=Plano!$A$1,D2387=Plano!$B$1),"entrada","saída"))</f>
        <v/>
      </c>
      <c r="T2387" s="557"/>
      <c r="U2387" s="557"/>
      <c r="V2387" s="541"/>
    </row>
    <row r="2388" spans="1:22" ht="12.75" customHeight="1" x14ac:dyDescent="0.2">
      <c r="A2388" s="493" t="str">
        <f>IF(B2388="","",COUNT('Diário 5º PA'!$A$5:$A$2634)+COUNT('Diário 6º PA'!$A$5:$A$2246)+COUNT('Diário 7º PA'!$A$5:$A$2271)+ROW()-4)</f>
        <v/>
      </c>
      <c r="B2388" s="494"/>
      <c r="C2388" s="507"/>
      <c r="D2388" s="495"/>
      <c r="E2388" s="495"/>
      <c r="F2388" s="496"/>
      <c r="G2388" s="495"/>
      <c r="H2388" s="495"/>
      <c r="I2388" s="581"/>
      <c r="J2388" s="495"/>
      <c r="K2388" s="516"/>
      <c r="L2388" s="581"/>
      <c r="M2388" s="493"/>
      <c r="N2388" s="493"/>
      <c r="O2388" s="498"/>
      <c r="P2388" s="503">
        <f t="shared" si="179"/>
        <v>0</v>
      </c>
      <c r="Q2388" s="503">
        <f t="shared" si="180"/>
        <v>0</v>
      </c>
      <c r="R2388" s="504" t="str">
        <f t="shared" si="181"/>
        <v/>
      </c>
      <c r="S2388" s="504" t="str">
        <f>IF(D2388="","",IF(OR(D2388=Plano!$A$1,D2388=Plano!$B$1),"entrada","saída"))</f>
        <v/>
      </c>
      <c r="T2388" s="557"/>
      <c r="U2388" s="557"/>
      <c r="V2388" s="541"/>
    </row>
    <row r="2389" spans="1:22" ht="12.75" customHeight="1" x14ac:dyDescent="0.2">
      <c r="A2389" s="493" t="str">
        <f>IF(B2389="","",COUNT('Diário 5º PA'!$A$5:$A$2634)+COUNT('Diário 6º PA'!$A$5:$A$2246)+COUNT('Diário 7º PA'!$A$5:$A$2271)+ROW()-4)</f>
        <v/>
      </c>
      <c r="B2389" s="494"/>
      <c r="C2389" s="507"/>
      <c r="D2389" s="495"/>
      <c r="E2389" s="495"/>
      <c r="F2389" s="496"/>
      <c r="G2389" s="495"/>
      <c r="H2389" s="495"/>
      <c r="I2389" s="581"/>
      <c r="J2389" s="495"/>
      <c r="K2389" s="516"/>
      <c r="L2389" s="581"/>
      <c r="M2389" s="493"/>
      <c r="N2389" s="493"/>
      <c r="O2389" s="498"/>
      <c r="P2389" s="503">
        <f t="shared" si="179"/>
        <v>0</v>
      </c>
      <c r="Q2389" s="503">
        <f t="shared" si="180"/>
        <v>0</v>
      </c>
      <c r="R2389" s="504" t="str">
        <f t="shared" si="181"/>
        <v/>
      </c>
      <c r="S2389" s="504" t="str">
        <f>IF(D2389="","",IF(OR(D2389=Plano!$A$1,D2389=Plano!$B$1),"entrada","saída"))</f>
        <v/>
      </c>
      <c r="T2389" s="557"/>
      <c r="U2389" s="557"/>
      <c r="V2389" s="541"/>
    </row>
    <row r="2390" spans="1:22" ht="12.75" customHeight="1" x14ac:dyDescent="0.2">
      <c r="A2390" s="493" t="str">
        <f>IF(B2390="","",COUNT('Diário 5º PA'!$A$5:$A$2634)+COUNT('Diário 6º PA'!$A$5:$A$2246)+COUNT('Diário 7º PA'!$A$5:$A$2271)+ROW()-4)</f>
        <v/>
      </c>
      <c r="B2390" s="494"/>
      <c r="C2390" s="507"/>
      <c r="D2390" s="495"/>
      <c r="E2390" s="495"/>
      <c r="F2390" s="496"/>
      <c r="G2390" s="495"/>
      <c r="H2390" s="495"/>
      <c r="I2390" s="581"/>
      <c r="J2390" s="495"/>
      <c r="K2390" s="516"/>
      <c r="L2390" s="581"/>
      <c r="M2390" s="493"/>
      <c r="N2390" s="493"/>
      <c r="O2390" s="498"/>
      <c r="P2390" s="503">
        <f t="shared" ref="P2390:P2453" si="182">IF(B2390=0,0,IF(YEAR(B2390)=$Q$1,MONTH(B2390)-$P$1+1,(YEAR(B2390)-$Q$1)*12-$P$1+1+MONTH(B2390)))</f>
        <v>0</v>
      </c>
      <c r="Q2390" s="503">
        <f t="shared" ref="Q2390:Q2453" si="183">IF(C2390=0,0,IF(YEAR(C2390)=$Q$1,MONTH(C2390)-$P$1+1,(YEAR(C2390)-$Q$1)*12-$P$1+1+MONTH(C2390)))</f>
        <v>0</v>
      </c>
      <c r="R2390" s="504" t="str">
        <f t="shared" ref="R2390:R2453" si="184">SUBSTITUTE(D2390," ","_")</f>
        <v/>
      </c>
      <c r="S2390" s="504" t="str">
        <f>IF(D2390="","",IF(OR(D2390=Plano!$A$1,D2390=Plano!$B$1),"entrada","saída"))</f>
        <v/>
      </c>
      <c r="T2390" s="557"/>
      <c r="U2390" s="557"/>
      <c r="V2390" s="541"/>
    </row>
    <row r="2391" spans="1:22" ht="12.75" customHeight="1" x14ac:dyDescent="0.2">
      <c r="A2391" s="493" t="str">
        <f>IF(B2391="","",COUNT('Diário 5º PA'!$A$5:$A$2634)+COUNT('Diário 6º PA'!$A$5:$A$2246)+COUNT('Diário 7º PA'!$A$5:$A$2271)+ROW()-4)</f>
        <v/>
      </c>
      <c r="B2391" s="494"/>
      <c r="C2391" s="507"/>
      <c r="D2391" s="495"/>
      <c r="E2391" s="495"/>
      <c r="F2391" s="496"/>
      <c r="G2391" s="495"/>
      <c r="H2391" s="495"/>
      <c r="I2391" s="581"/>
      <c r="J2391" s="495"/>
      <c r="K2391" s="516"/>
      <c r="L2391" s="581"/>
      <c r="M2391" s="493"/>
      <c r="N2391" s="493"/>
      <c r="O2391" s="498"/>
      <c r="P2391" s="503">
        <f t="shared" si="182"/>
        <v>0</v>
      </c>
      <c r="Q2391" s="503">
        <f t="shared" si="183"/>
        <v>0</v>
      </c>
      <c r="R2391" s="504" t="str">
        <f t="shared" si="184"/>
        <v/>
      </c>
      <c r="S2391" s="504" t="str">
        <f>IF(D2391="","",IF(OR(D2391=Plano!$A$1,D2391=Plano!$B$1),"entrada","saída"))</f>
        <v/>
      </c>
      <c r="T2391" s="557"/>
      <c r="U2391" s="557"/>
      <c r="V2391" s="541"/>
    </row>
    <row r="2392" spans="1:22" ht="12.75" customHeight="1" x14ac:dyDescent="0.2">
      <c r="A2392" s="493" t="str">
        <f>IF(B2392="","",COUNT('Diário 5º PA'!$A$5:$A$2634)+COUNT('Diário 6º PA'!$A$5:$A$2246)+COUNT('Diário 7º PA'!$A$5:$A$2271)+ROW()-4)</f>
        <v/>
      </c>
      <c r="B2392" s="494"/>
      <c r="C2392" s="507"/>
      <c r="D2392" s="495"/>
      <c r="E2392" s="495"/>
      <c r="F2392" s="496"/>
      <c r="G2392" s="495"/>
      <c r="H2392" s="495"/>
      <c r="I2392" s="581"/>
      <c r="J2392" s="495"/>
      <c r="K2392" s="516"/>
      <c r="L2392" s="581"/>
      <c r="M2392" s="493"/>
      <c r="N2392" s="493"/>
      <c r="O2392" s="498"/>
      <c r="P2392" s="503">
        <f t="shared" si="182"/>
        <v>0</v>
      </c>
      <c r="Q2392" s="503">
        <f t="shared" si="183"/>
        <v>0</v>
      </c>
      <c r="R2392" s="504" t="str">
        <f t="shared" si="184"/>
        <v/>
      </c>
      <c r="S2392" s="504" t="str">
        <f>IF(D2392="","",IF(OR(D2392=Plano!$A$1,D2392=Plano!$B$1),"entrada","saída"))</f>
        <v/>
      </c>
      <c r="T2392" s="557"/>
      <c r="U2392" s="557"/>
      <c r="V2392" s="541"/>
    </row>
    <row r="2393" spans="1:22" ht="12.75" customHeight="1" x14ac:dyDescent="0.2">
      <c r="A2393" s="493" t="str">
        <f>IF(B2393="","",COUNT('Diário 5º PA'!$A$5:$A$2634)+COUNT('Diário 6º PA'!$A$5:$A$2246)+COUNT('Diário 7º PA'!$A$5:$A$2271)+ROW()-4)</f>
        <v/>
      </c>
      <c r="B2393" s="494"/>
      <c r="C2393" s="507"/>
      <c r="D2393" s="495"/>
      <c r="E2393" s="495"/>
      <c r="F2393" s="496"/>
      <c r="G2393" s="495"/>
      <c r="H2393" s="495"/>
      <c r="I2393" s="581"/>
      <c r="J2393" s="495"/>
      <c r="K2393" s="516"/>
      <c r="L2393" s="581"/>
      <c r="M2393" s="493"/>
      <c r="N2393" s="493"/>
      <c r="O2393" s="498"/>
      <c r="P2393" s="503">
        <f t="shared" si="182"/>
        <v>0</v>
      </c>
      <c r="Q2393" s="503">
        <f t="shared" si="183"/>
        <v>0</v>
      </c>
      <c r="R2393" s="504" t="str">
        <f t="shared" si="184"/>
        <v/>
      </c>
      <c r="S2393" s="504" t="str">
        <f>IF(D2393="","",IF(OR(D2393=Plano!$A$1,D2393=Plano!$B$1),"entrada","saída"))</f>
        <v/>
      </c>
      <c r="T2393" s="557"/>
      <c r="U2393" s="557"/>
      <c r="V2393" s="541"/>
    </row>
    <row r="2394" spans="1:22" ht="12.75" customHeight="1" x14ac:dyDescent="0.2">
      <c r="A2394" s="493" t="str">
        <f>IF(B2394="","",COUNT('Diário 5º PA'!$A$5:$A$2634)+COUNT('Diário 6º PA'!$A$5:$A$2246)+COUNT('Diário 7º PA'!$A$5:$A$2271)+ROW()-4)</f>
        <v/>
      </c>
      <c r="B2394" s="494"/>
      <c r="C2394" s="507"/>
      <c r="D2394" s="495"/>
      <c r="E2394" s="495"/>
      <c r="F2394" s="496"/>
      <c r="G2394" s="495"/>
      <c r="H2394" s="495"/>
      <c r="I2394" s="581"/>
      <c r="J2394" s="495"/>
      <c r="K2394" s="516"/>
      <c r="L2394" s="581"/>
      <c r="M2394" s="493"/>
      <c r="N2394" s="493"/>
      <c r="O2394" s="498"/>
      <c r="P2394" s="503">
        <f t="shared" si="182"/>
        <v>0</v>
      </c>
      <c r="Q2394" s="503">
        <f t="shared" si="183"/>
        <v>0</v>
      </c>
      <c r="R2394" s="504" t="str">
        <f t="shared" si="184"/>
        <v/>
      </c>
      <c r="S2394" s="504" t="str">
        <f>IF(D2394="","",IF(OR(D2394=Plano!$A$1,D2394=Plano!$B$1),"entrada","saída"))</f>
        <v/>
      </c>
      <c r="T2394" s="557"/>
      <c r="U2394" s="557"/>
      <c r="V2394" s="541"/>
    </row>
    <row r="2395" spans="1:22" ht="12.75" customHeight="1" x14ac:dyDescent="0.2">
      <c r="A2395" s="493" t="str">
        <f>IF(B2395="","",COUNT('Diário 5º PA'!$A$5:$A$2634)+COUNT('Diário 6º PA'!$A$5:$A$2246)+COUNT('Diário 7º PA'!$A$5:$A$2271)+ROW()-4)</f>
        <v/>
      </c>
      <c r="B2395" s="494"/>
      <c r="C2395" s="507"/>
      <c r="D2395" s="495"/>
      <c r="E2395" s="495"/>
      <c r="F2395" s="496"/>
      <c r="G2395" s="495"/>
      <c r="H2395" s="495"/>
      <c r="I2395" s="581"/>
      <c r="J2395" s="495"/>
      <c r="K2395" s="516"/>
      <c r="L2395" s="581"/>
      <c r="M2395" s="493"/>
      <c r="N2395" s="493"/>
      <c r="O2395" s="498"/>
      <c r="P2395" s="503">
        <f t="shared" si="182"/>
        <v>0</v>
      </c>
      <c r="Q2395" s="503">
        <f t="shared" si="183"/>
        <v>0</v>
      </c>
      <c r="R2395" s="504" t="str">
        <f t="shared" si="184"/>
        <v/>
      </c>
      <c r="S2395" s="504" t="str">
        <f>IF(D2395="","",IF(OR(D2395=Plano!$A$1,D2395=Plano!$B$1),"entrada","saída"))</f>
        <v/>
      </c>
      <c r="T2395" s="557"/>
      <c r="U2395" s="557"/>
      <c r="V2395" s="541"/>
    </row>
    <row r="2396" spans="1:22" ht="12.75" customHeight="1" x14ac:dyDescent="0.2">
      <c r="A2396" s="493" t="str">
        <f>IF(B2396="","",COUNT('Diário 5º PA'!$A$5:$A$2634)+COUNT('Diário 6º PA'!$A$5:$A$2246)+COUNT('Diário 7º PA'!$A$5:$A$2271)+ROW()-4)</f>
        <v/>
      </c>
      <c r="B2396" s="494"/>
      <c r="C2396" s="507"/>
      <c r="D2396" s="495"/>
      <c r="E2396" s="495"/>
      <c r="F2396" s="496"/>
      <c r="G2396" s="495"/>
      <c r="H2396" s="495"/>
      <c r="I2396" s="581"/>
      <c r="J2396" s="495"/>
      <c r="K2396" s="516"/>
      <c r="L2396" s="581"/>
      <c r="M2396" s="493"/>
      <c r="N2396" s="493"/>
      <c r="O2396" s="498"/>
      <c r="P2396" s="503">
        <f t="shared" si="182"/>
        <v>0</v>
      </c>
      <c r="Q2396" s="503">
        <f t="shared" si="183"/>
        <v>0</v>
      </c>
      <c r="R2396" s="504" t="str">
        <f t="shared" si="184"/>
        <v/>
      </c>
      <c r="S2396" s="504" t="str">
        <f>IF(D2396="","",IF(OR(D2396=Plano!$A$1,D2396=Plano!$B$1),"entrada","saída"))</f>
        <v/>
      </c>
      <c r="T2396" s="557"/>
      <c r="U2396" s="557"/>
      <c r="V2396" s="541"/>
    </row>
    <row r="2397" spans="1:22" ht="12.75" customHeight="1" x14ac:dyDescent="0.2">
      <c r="A2397" s="493" t="str">
        <f>IF(B2397="","",COUNT('Diário 5º PA'!$A$5:$A$2634)+COUNT('Diário 6º PA'!$A$5:$A$2246)+COUNT('Diário 7º PA'!$A$5:$A$2271)+ROW()-4)</f>
        <v/>
      </c>
      <c r="B2397" s="494"/>
      <c r="C2397" s="507"/>
      <c r="D2397" s="495"/>
      <c r="E2397" s="495"/>
      <c r="F2397" s="496"/>
      <c r="G2397" s="495"/>
      <c r="H2397" s="495"/>
      <c r="I2397" s="581"/>
      <c r="J2397" s="495"/>
      <c r="K2397" s="516"/>
      <c r="L2397" s="581"/>
      <c r="M2397" s="493"/>
      <c r="N2397" s="493"/>
      <c r="O2397" s="498"/>
      <c r="P2397" s="503">
        <f t="shared" si="182"/>
        <v>0</v>
      </c>
      <c r="Q2397" s="503">
        <f t="shared" si="183"/>
        <v>0</v>
      </c>
      <c r="R2397" s="504" t="str">
        <f t="shared" si="184"/>
        <v/>
      </c>
      <c r="S2397" s="504" t="str">
        <f>IF(D2397="","",IF(OR(D2397=Plano!$A$1,D2397=Plano!$B$1),"entrada","saída"))</f>
        <v/>
      </c>
      <c r="T2397" s="557"/>
      <c r="U2397" s="557"/>
      <c r="V2397" s="541"/>
    </row>
    <row r="2398" spans="1:22" ht="12.75" customHeight="1" x14ac:dyDescent="0.2">
      <c r="A2398" s="493" t="str">
        <f>IF(B2398="","",COUNT('Diário 5º PA'!$A$5:$A$2634)+COUNT('Diário 6º PA'!$A$5:$A$2246)+COUNT('Diário 7º PA'!$A$5:$A$2271)+ROW()-4)</f>
        <v/>
      </c>
      <c r="B2398" s="494"/>
      <c r="C2398" s="507"/>
      <c r="D2398" s="495"/>
      <c r="E2398" s="495"/>
      <c r="F2398" s="496"/>
      <c r="G2398" s="495"/>
      <c r="H2398" s="495"/>
      <c r="I2398" s="581"/>
      <c r="J2398" s="495"/>
      <c r="K2398" s="516"/>
      <c r="L2398" s="581"/>
      <c r="M2398" s="493"/>
      <c r="N2398" s="493"/>
      <c r="O2398" s="498"/>
      <c r="P2398" s="503">
        <f t="shared" si="182"/>
        <v>0</v>
      </c>
      <c r="Q2398" s="503">
        <f t="shared" si="183"/>
        <v>0</v>
      </c>
      <c r="R2398" s="504" t="str">
        <f t="shared" si="184"/>
        <v/>
      </c>
      <c r="S2398" s="504" t="str">
        <f>IF(D2398="","",IF(OR(D2398=Plano!$A$1,D2398=Plano!$B$1),"entrada","saída"))</f>
        <v/>
      </c>
      <c r="T2398" s="557"/>
      <c r="U2398" s="557"/>
      <c r="V2398" s="541"/>
    </row>
    <row r="2399" spans="1:22" ht="12.75" customHeight="1" x14ac:dyDescent="0.2">
      <c r="A2399" s="493" t="str">
        <f>IF(B2399="","",COUNT('Diário 5º PA'!$A$5:$A$2634)+COUNT('Diário 6º PA'!$A$5:$A$2246)+COUNT('Diário 7º PA'!$A$5:$A$2271)+ROW()-4)</f>
        <v/>
      </c>
      <c r="B2399" s="494"/>
      <c r="C2399" s="507"/>
      <c r="D2399" s="495"/>
      <c r="E2399" s="495"/>
      <c r="F2399" s="496"/>
      <c r="G2399" s="495"/>
      <c r="H2399" s="495"/>
      <c r="I2399" s="581"/>
      <c r="J2399" s="495"/>
      <c r="K2399" s="516"/>
      <c r="L2399" s="581"/>
      <c r="M2399" s="493"/>
      <c r="N2399" s="493"/>
      <c r="O2399" s="498"/>
      <c r="P2399" s="503">
        <f t="shared" si="182"/>
        <v>0</v>
      </c>
      <c r="Q2399" s="503">
        <f t="shared" si="183"/>
        <v>0</v>
      </c>
      <c r="R2399" s="504" t="str">
        <f t="shared" si="184"/>
        <v/>
      </c>
      <c r="S2399" s="504" t="str">
        <f>IF(D2399="","",IF(OR(D2399=Plano!$A$1,D2399=Plano!$B$1),"entrada","saída"))</f>
        <v/>
      </c>
      <c r="T2399" s="557"/>
      <c r="U2399" s="557"/>
      <c r="V2399" s="541"/>
    </row>
    <row r="2400" spans="1:22" ht="12.75" customHeight="1" x14ac:dyDescent="0.2">
      <c r="A2400" s="493" t="str">
        <f>IF(B2400="","",COUNT('Diário 5º PA'!$A$5:$A$2634)+COUNT('Diário 6º PA'!$A$5:$A$2246)+COUNT('Diário 7º PA'!$A$5:$A$2271)+ROW()-4)</f>
        <v/>
      </c>
      <c r="B2400" s="494"/>
      <c r="C2400" s="507"/>
      <c r="D2400" s="495"/>
      <c r="E2400" s="495"/>
      <c r="F2400" s="496"/>
      <c r="G2400" s="495"/>
      <c r="H2400" s="495"/>
      <c r="I2400" s="581"/>
      <c r="J2400" s="495"/>
      <c r="K2400" s="516"/>
      <c r="L2400" s="581"/>
      <c r="M2400" s="493"/>
      <c r="N2400" s="493"/>
      <c r="O2400" s="498"/>
      <c r="P2400" s="503">
        <f t="shared" si="182"/>
        <v>0</v>
      </c>
      <c r="Q2400" s="503">
        <f t="shared" si="183"/>
        <v>0</v>
      </c>
      <c r="R2400" s="504" t="str">
        <f t="shared" si="184"/>
        <v/>
      </c>
      <c r="S2400" s="504" t="str">
        <f>IF(D2400="","",IF(OR(D2400=Plano!$A$1,D2400=Plano!$B$1),"entrada","saída"))</f>
        <v/>
      </c>
      <c r="T2400" s="557"/>
      <c r="U2400" s="557"/>
      <c r="V2400" s="541"/>
    </row>
    <row r="2401" spans="1:22" ht="12.75" customHeight="1" x14ac:dyDescent="0.2">
      <c r="A2401" s="493" t="str">
        <f>IF(B2401="","",COUNT('Diário 5º PA'!$A$5:$A$2634)+COUNT('Diário 6º PA'!$A$5:$A$2246)+COUNT('Diário 7º PA'!$A$5:$A$2271)+ROW()-4)</f>
        <v/>
      </c>
      <c r="B2401" s="494"/>
      <c r="C2401" s="507"/>
      <c r="D2401" s="495"/>
      <c r="E2401" s="495"/>
      <c r="F2401" s="496"/>
      <c r="G2401" s="495"/>
      <c r="H2401" s="495"/>
      <c r="I2401" s="581"/>
      <c r="J2401" s="495"/>
      <c r="K2401" s="516"/>
      <c r="L2401" s="581"/>
      <c r="M2401" s="493"/>
      <c r="N2401" s="493"/>
      <c r="O2401" s="498"/>
      <c r="P2401" s="503">
        <f t="shared" si="182"/>
        <v>0</v>
      </c>
      <c r="Q2401" s="503">
        <f t="shared" si="183"/>
        <v>0</v>
      </c>
      <c r="R2401" s="504" t="str">
        <f t="shared" si="184"/>
        <v/>
      </c>
      <c r="S2401" s="504" t="str">
        <f>IF(D2401="","",IF(OR(D2401=Plano!$A$1,D2401=Plano!$B$1),"entrada","saída"))</f>
        <v/>
      </c>
      <c r="T2401" s="557"/>
      <c r="U2401" s="557"/>
      <c r="V2401" s="541"/>
    </row>
    <row r="2402" spans="1:22" ht="12.75" customHeight="1" x14ac:dyDescent="0.2">
      <c r="A2402" s="493" t="str">
        <f>IF(B2402="","",COUNT('Diário 5º PA'!$A$5:$A$2634)+COUNT('Diário 6º PA'!$A$5:$A$2246)+COUNT('Diário 7º PA'!$A$5:$A$2271)+ROW()-4)</f>
        <v/>
      </c>
      <c r="B2402" s="494"/>
      <c r="C2402" s="507"/>
      <c r="D2402" s="495"/>
      <c r="E2402" s="495"/>
      <c r="F2402" s="496"/>
      <c r="G2402" s="495"/>
      <c r="H2402" s="495"/>
      <c r="I2402" s="581"/>
      <c r="J2402" s="495"/>
      <c r="K2402" s="516"/>
      <c r="L2402" s="581"/>
      <c r="M2402" s="493"/>
      <c r="N2402" s="493"/>
      <c r="O2402" s="498"/>
      <c r="P2402" s="503">
        <f t="shared" si="182"/>
        <v>0</v>
      </c>
      <c r="Q2402" s="503">
        <f t="shared" si="183"/>
        <v>0</v>
      </c>
      <c r="R2402" s="504" t="str">
        <f t="shared" si="184"/>
        <v/>
      </c>
      <c r="S2402" s="504" t="str">
        <f>IF(D2402="","",IF(OR(D2402=Plano!$A$1,D2402=Plano!$B$1),"entrada","saída"))</f>
        <v/>
      </c>
      <c r="T2402" s="557"/>
      <c r="U2402" s="557"/>
      <c r="V2402" s="541"/>
    </row>
    <row r="2403" spans="1:22" ht="12.75" customHeight="1" x14ac:dyDescent="0.2">
      <c r="A2403" s="493" t="str">
        <f>IF(B2403="","",COUNT('Diário 5º PA'!$A$5:$A$2634)+COUNT('Diário 6º PA'!$A$5:$A$2246)+COUNT('Diário 7º PA'!$A$5:$A$2271)+ROW()-4)</f>
        <v/>
      </c>
      <c r="B2403" s="494"/>
      <c r="C2403" s="507"/>
      <c r="D2403" s="495"/>
      <c r="E2403" s="495"/>
      <c r="F2403" s="496"/>
      <c r="G2403" s="495"/>
      <c r="H2403" s="495"/>
      <c r="I2403" s="581"/>
      <c r="J2403" s="495"/>
      <c r="K2403" s="516"/>
      <c r="L2403" s="581"/>
      <c r="M2403" s="493"/>
      <c r="N2403" s="493"/>
      <c r="O2403" s="498"/>
      <c r="P2403" s="503">
        <f t="shared" si="182"/>
        <v>0</v>
      </c>
      <c r="Q2403" s="503">
        <f t="shared" si="183"/>
        <v>0</v>
      </c>
      <c r="R2403" s="504" t="str">
        <f t="shared" si="184"/>
        <v/>
      </c>
      <c r="S2403" s="504" t="str">
        <f>IF(D2403="","",IF(OR(D2403=Plano!$A$1,D2403=Plano!$B$1),"entrada","saída"))</f>
        <v/>
      </c>
      <c r="T2403" s="557"/>
      <c r="U2403" s="557"/>
      <c r="V2403" s="541"/>
    </row>
    <row r="2404" spans="1:22" ht="12.75" customHeight="1" x14ac:dyDescent="0.2">
      <c r="A2404" s="493" t="str">
        <f>IF(B2404="","",COUNT('Diário 5º PA'!$A$5:$A$2634)+COUNT('Diário 6º PA'!$A$5:$A$2246)+COUNT('Diário 7º PA'!$A$5:$A$2271)+ROW()-4)</f>
        <v/>
      </c>
      <c r="B2404" s="494"/>
      <c r="C2404" s="507"/>
      <c r="D2404" s="495"/>
      <c r="E2404" s="495"/>
      <c r="F2404" s="496"/>
      <c r="G2404" s="495"/>
      <c r="H2404" s="495"/>
      <c r="I2404" s="581"/>
      <c r="J2404" s="495"/>
      <c r="K2404" s="516"/>
      <c r="L2404" s="581"/>
      <c r="M2404" s="493"/>
      <c r="N2404" s="493"/>
      <c r="O2404" s="498"/>
      <c r="P2404" s="503">
        <f t="shared" si="182"/>
        <v>0</v>
      </c>
      <c r="Q2404" s="503">
        <f t="shared" si="183"/>
        <v>0</v>
      </c>
      <c r="R2404" s="504" t="str">
        <f t="shared" si="184"/>
        <v/>
      </c>
      <c r="S2404" s="504" t="str">
        <f>IF(D2404="","",IF(OR(D2404=Plano!$A$1,D2404=Plano!$B$1),"entrada","saída"))</f>
        <v/>
      </c>
      <c r="T2404" s="557"/>
      <c r="U2404" s="557"/>
      <c r="V2404" s="541"/>
    </row>
    <row r="2405" spans="1:22" ht="12.75" customHeight="1" x14ac:dyDescent="0.2">
      <c r="A2405" s="493" t="str">
        <f>IF(B2405="","",COUNT('Diário 5º PA'!$A$5:$A$2634)+COUNT('Diário 6º PA'!$A$5:$A$2246)+COUNT('Diário 7º PA'!$A$5:$A$2271)+ROW()-4)</f>
        <v/>
      </c>
      <c r="B2405" s="494"/>
      <c r="C2405" s="507"/>
      <c r="D2405" s="495"/>
      <c r="E2405" s="495"/>
      <c r="F2405" s="496"/>
      <c r="G2405" s="495"/>
      <c r="H2405" s="495"/>
      <c r="I2405" s="581"/>
      <c r="J2405" s="495"/>
      <c r="K2405" s="516"/>
      <c r="L2405" s="581"/>
      <c r="M2405" s="493"/>
      <c r="N2405" s="493"/>
      <c r="O2405" s="498"/>
      <c r="P2405" s="503">
        <f t="shared" si="182"/>
        <v>0</v>
      </c>
      <c r="Q2405" s="503">
        <f t="shared" si="183"/>
        <v>0</v>
      </c>
      <c r="R2405" s="504" t="str">
        <f t="shared" si="184"/>
        <v/>
      </c>
      <c r="S2405" s="504" t="str">
        <f>IF(D2405="","",IF(OR(D2405=Plano!$A$1,D2405=Plano!$B$1),"entrada","saída"))</f>
        <v/>
      </c>
      <c r="T2405" s="557"/>
      <c r="U2405" s="557"/>
      <c r="V2405" s="541"/>
    </row>
    <row r="2406" spans="1:22" ht="12.75" customHeight="1" x14ac:dyDescent="0.2">
      <c r="A2406" s="493" t="str">
        <f>IF(B2406="","",COUNT('Diário 5º PA'!$A$5:$A$2634)+COUNT('Diário 6º PA'!$A$5:$A$2246)+COUNT('Diário 7º PA'!$A$5:$A$2271)+ROW()-4)</f>
        <v/>
      </c>
      <c r="B2406" s="494"/>
      <c r="C2406" s="507"/>
      <c r="D2406" s="495"/>
      <c r="E2406" s="495"/>
      <c r="F2406" s="496"/>
      <c r="G2406" s="495"/>
      <c r="H2406" s="495"/>
      <c r="I2406" s="581"/>
      <c r="J2406" s="495"/>
      <c r="K2406" s="516"/>
      <c r="L2406" s="581"/>
      <c r="M2406" s="493"/>
      <c r="N2406" s="493"/>
      <c r="O2406" s="498"/>
      <c r="P2406" s="503">
        <f t="shared" si="182"/>
        <v>0</v>
      </c>
      <c r="Q2406" s="503">
        <f t="shared" si="183"/>
        <v>0</v>
      </c>
      <c r="R2406" s="504" t="str">
        <f t="shared" si="184"/>
        <v/>
      </c>
      <c r="S2406" s="504" t="str">
        <f>IF(D2406="","",IF(OR(D2406=Plano!$A$1,D2406=Plano!$B$1),"entrada","saída"))</f>
        <v/>
      </c>
      <c r="T2406" s="557"/>
      <c r="U2406" s="557"/>
      <c r="V2406" s="541"/>
    </row>
    <row r="2407" spans="1:22" ht="12.75" customHeight="1" x14ac:dyDescent="0.2">
      <c r="A2407" s="493" t="str">
        <f>IF(B2407="","",COUNT('Diário 5º PA'!$A$5:$A$2634)+COUNT('Diário 6º PA'!$A$5:$A$2246)+COUNT('Diário 7º PA'!$A$5:$A$2271)+ROW()-4)</f>
        <v/>
      </c>
      <c r="B2407" s="494"/>
      <c r="C2407" s="507"/>
      <c r="D2407" s="495"/>
      <c r="E2407" s="495"/>
      <c r="F2407" s="496"/>
      <c r="G2407" s="495"/>
      <c r="H2407" s="495"/>
      <c r="I2407" s="581"/>
      <c r="J2407" s="495"/>
      <c r="K2407" s="516"/>
      <c r="L2407" s="581"/>
      <c r="M2407" s="493"/>
      <c r="N2407" s="493"/>
      <c r="O2407" s="498"/>
      <c r="P2407" s="503">
        <f t="shared" si="182"/>
        <v>0</v>
      </c>
      <c r="Q2407" s="503">
        <f t="shared" si="183"/>
        <v>0</v>
      </c>
      <c r="R2407" s="504" t="str">
        <f t="shared" si="184"/>
        <v/>
      </c>
      <c r="S2407" s="504" t="str">
        <f>IF(D2407="","",IF(OR(D2407=Plano!$A$1,D2407=Plano!$B$1),"entrada","saída"))</f>
        <v/>
      </c>
      <c r="T2407" s="557"/>
      <c r="U2407" s="557"/>
      <c r="V2407" s="541"/>
    </row>
    <row r="2408" spans="1:22" ht="12.75" customHeight="1" x14ac:dyDescent="0.2">
      <c r="A2408" s="493" t="str">
        <f>IF(B2408="","",COUNT('Diário 5º PA'!$A$5:$A$2634)+COUNT('Diário 6º PA'!$A$5:$A$2246)+COUNT('Diário 7º PA'!$A$5:$A$2271)+ROW()-4)</f>
        <v/>
      </c>
      <c r="B2408" s="494"/>
      <c r="C2408" s="507"/>
      <c r="D2408" s="495"/>
      <c r="E2408" s="495"/>
      <c r="F2408" s="496"/>
      <c r="G2408" s="495"/>
      <c r="H2408" s="495"/>
      <c r="I2408" s="581"/>
      <c r="J2408" s="495"/>
      <c r="K2408" s="516"/>
      <c r="L2408" s="581"/>
      <c r="M2408" s="493"/>
      <c r="N2408" s="493"/>
      <c r="O2408" s="498"/>
      <c r="P2408" s="503">
        <f t="shared" si="182"/>
        <v>0</v>
      </c>
      <c r="Q2408" s="503">
        <f t="shared" si="183"/>
        <v>0</v>
      </c>
      <c r="R2408" s="504" t="str">
        <f t="shared" si="184"/>
        <v/>
      </c>
      <c r="S2408" s="504" t="str">
        <f>IF(D2408="","",IF(OR(D2408=Plano!$A$1,D2408=Plano!$B$1),"entrada","saída"))</f>
        <v/>
      </c>
      <c r="T2408" s="557"/>
      <c r="U2408" s="557"/>
      <c r="V2408" s="541"/>
    </row>
    <row r="2409" spans="1:22" ht="12.75" customHeight="1" x14ac:dyDescent="0.2">
      <c r="A2409" s="493" t="str">
        <f>IF(B2409="","",COUNT('Diário 5º PA'!$A$5:$A$2634)+COUNT('Diário 6º PA'!$A$5:$A$2246)+COUNT('Diário 7º PA'!$A$5:$A$2271)+ROW()-4)</f>
        <v/>
      </c>
      <c r="B2409" s="494"/>
      <c r="C2409" s="507"/>
      <c r="D2409" s="495"/>
      <c r="E2409" s="495"/>
      <c r="F2409" s="496"/>
      <c r="G2409" s="495"/>
      <c r="H2409" s="495"/>
      <c r="I2409" s="581"/>
      <c r="J2409" s="495"/>
      <c r="K2409" s="516"/>
      <c r="L2409" s="581"/>
      <c r="M2409" s="493"/>
      <c r="N2409" s="493"/>
      <c r="O2409" s="498"/>
      <c r="P2409" s="503">
        <f t="shared" si="182"/>
        <v>0</v>
      </c>
      <c r="Q2409" s="503">
        <f t="shared" si="183"/>
        <v>0</v>
      </c>
      <c r="R2409" s="504" t="str">
        <f t="shared" si="184"/>
        <v/>
      </c>
      <c r="S2409" s="504" t="str">
        <f>IF(D2409="","",IF(OR(D2409=Plano!$A$1,D2409=Plano!$B$1),"entrada","saída"))</f>
        <v/>
      </c>
      <c r="T2409" s="557"/>
      <c r="U2409" s="557"/>
      <c r="V2409" s="541"/>
    </row>
    <row r="2410" spans="1:22" ht="12.75" customHeight="1" x14ac:dyDescent="0.2">
      <c r="A2410" s="493" t="str">
        <f>IF(B2410="","",COUNT('Diário 5º PA'!$A$5:$A$2634)+COUNT('Diário 6º PA'!$A$5:$A$2246)+COUNT('Diário 7º PA'!$A$5:$A$2271)+ROW()-4)</f>
        <v/>
      </c>
      <c r="B2410" s="494"/>
      <c r="C2410" s="507"/>
      <c r="D2410" s="495"/>
      <c r="E2410" s="495"/>
      <c r="F2410" s="496"/>
      <c r="G2410" s="495"/>
      <c r="H2410" s="495"/>
      <c r="I2410" s="581"/>
      <c r="J2410" s="495"/>
      <c r="K2410" s="516"/>
      <c r="L2410" s="581"/>
      <c r="M2410" s="493"/>
      <c r="N2410" s="493"/>
      <c r="O2410" s="498"/>
      <c r="P2410" s="503">
        <f t="shared" si="182"/>
        <v>0</v>
      </c>
      <c r="Q2410" s="503">
        <f t="shared" si="183"/>
        <v>0</v>
      </c>
      <c r="R2410" s="504" t="str">
        <f t="shared" si="184"/>
        <v/>
      </c>
      <c r="S2410" s="504" t="str">
        <f>IF(D2410="","",IF(OR(D2410=Plano!$A$1,D2410=Plano!$B$1),"entrada","saída"))</f>
        <v/>
      </c>
      <c r="T2410" s="557"/>
      <c r="U2410" s="557"/>
      <c r="V2410" s="541"/>
    </row>
    <row r="2411" spans="1:22" ht="12.75" customHeight="1" x14ac:dyDescent="0.2">
      <c r="A2411" s="493" t="str">
        <f>IF(B2411="","",COUNT('Diário 5º PA'!$A$5:$A$2634)+COUNT('Diário 6º PA'!$A$5:$A$2246)+COUNT('Diário 7º PA'!$A$5:$A$2271)+ROW()-4)</f>
        <v/>
      </c>
      <c r="B2411" s="494"/>
      <c r="C2411" s="507"/>
      <c r="D2411" s="495"/>
      <c r="E2411" s="495"/>
      <c r="F2411" s="496"/>
      <c r="G2411" s="495"/>
      <c r="H2411" s="495"/>
      <c r="I2411" s="581"/>
      <c r="J2411" s="495"/>
      <c r="K2411" s="516"/>
      <c r="L2411" s="581"/>
      <c r="M2411" s="493"/>
      <c r="N2411" s="493"/>
      <c r="O2411" s="498"/>
      <c r="P2411" s="503">
        <f t="shared" si="182"/>
        <v>0</v>
      </c>
      <c r="Q2411" s="503">
        <f t="shared" si="183"/>
        <v>0</v>
      </c>
      <c r="R2411" s="504" t="str">
        <f t="shared" si="184"/>
        <v/>
      </c>
      <c r="S2411" s="504" t="str">
        <f>IF(D2411="","",IF(OR(D2411=Plano!$A$1,D2411=Plano!$B$1),"entrada","saída"))</f>
        <v/>
      </c>
      <c r="T2411" s="557"/>
      <c r="U2411" s="557"/>
      <c r="V2411" s="541"/>
    </row>
    <row r="2412" spans="1:22" ht="12.75" customHeight="1" x14ac:dyDescent="0.2">
      <c r="A2412" s="493" t="str">
        <f>IF(B2412="","",COUNT('Diário 5º PA'!$A$5:$A$2634)+COUNT('Diário 6º PA'!$A$5:$A$2246)+COUNT('Diário 7º PA'!$A$5:$A$2271)+ROW()-4)</f>
        <v/>
      </c>
      <c r="B2412" s="494"/>
      <c r="C2412" s="507"/>
      <c r="D2412" s="495"/>
      <c r="E2412" s="495"/>
      <c r="F2412" s="496"/>
      <c r="G2412" s="495"/>
      <c r="H2412" s="495"/>
      <c r="I2412" s="581"/>
      <c r="J2412" s="495"/>
      <c r="K2412" s="516"/>
      <c r="L2412" s="581"/>
      <c r="M2412" s="493"/>
      <c r="N2412" s="493"/>
      <c r="O2412" s="498"/>
      <c r="P2412" s="503">
        <f t="shared" si="182"/>
        <v>0</v>
      </c>
      <c r="Q2412" s="503">
        <f t="shared" si="183"/>
        <v>0</v>
      </c>
      <c r="R2412" s="504" t="str">
        <f t="shared" si="184"/>
        <v/>
      </c>
      <c r="S2412" s="504" t="str">
        <f>IF(D2412="","",IF(OR(D2412=Plano!$A$1,D2412=Plano!$B$1),"entrada","saída"))</f>
        <v/>
      </c>
      <c r="T2412" s="557"/>
      <c r="U2412" s="557"/>
      <c r="V2412" s="541"/>
    </row>
    <row r="2413" spans="1:22" ht="12.75" customHeight="1" x14ac:dyDescent="0.2">
      <c r="A2413" s="493" t="str">
        <f>IF(B2413="","",COUNT('Diário 5º PA'!$A$5:$A$2634)+COUNT('Diário 6º PA'!$A$5:$A$2246)+COUNT('Diário 7º PA'!$A$5:$A$2271)+ROW()-4)</f>
        <v/>
      </c>
      <c r="B2413" s="494"/>
      <c r="C2413" s="507"/>
      <c r="D2413" s="495"/>
      <c r="E2413" s="495"/>
      <c r="F2413" s="496"/>
      <c r="G2413" s="495"/>
      <c r="H2413" s="495"/>
      <c r="I2413" s="581"/>
      <c r="J2413" s="495"/>
      <c r="K2413" s="516"/>
      <c r="L2413" s="581"/>
      <c r="M2413" s="493"/>
      <c r="N2413" s="493"/>
      <c r="O2413" s="498"/>
      <c r="P2413" s="503">
        <f t="shared" si="182"/>
        <v>0</v>
      </c>
      <c r="Q2413" s="503">
        <f t="shared" si="183"/>
        <v>0</v>
      </c>
      <c r="R2413" s="504" t="str">
        <f t="shared" si="184"/>
        <v/>
      </c>
      <c r="S2413" s="504" t="str">
        <f>IF(D2413="","",IF(OR(D2413=Plano!$A$1,D2413=Plano!$B$1),"entrada","saída"))</f>
        <v/>
      </c>
      <c r="T2413" s="557"/>
      <c r="U2413" s="557"/>
      <c r="V2413" s="541"/>
    </row>
    <row r="2414" spans="1:22" ht="12.75" customHeight="1" x14ac:dyDescent="0.2">
      <c r="A2414" s="493" t="str">
        <f>IF(B2414="","",COUNT('Diário 5º PA'!$A$5:$A$2634)+COUNT('Diário 6º PA'!$A$5:$A$2246)+COUNT('Diário 7º PA'!$A$5:$A$2271)+ROW()-4)</f>
        <v/>
      </c>
      <c r="B2414" s="494"/>
      <c r="C2414" s="507"/>
      <c r="D2414" s="495"/>
      <c r="E2414" s="495"/>
      <c r="F2414" s="496"/>
      <c r="G2414" s="495"/>
      <c r="H2414" s="495"/>
      <c r="I2414" s="581"/>
      <c r="J2414" s="495"/>
      <c r="K2414" s="516"/>
      <c r="L2414" s="581"/>
      <c r="M2414" s="493"/>
      <c r="N2414" s="493"/>
      <c r="O2414" s="498"/>
      <c r="P2414" s="503">
        <f t="shared" si="182"/>
        <v>0</v>
      </c>
      <c r="Q2414" s="503">
        <f t="shared" si="183"/>
        <v>0</v>
      </c>
      <c r="R2414" s="504" t="str">
        <f t="shared" si="184"/>
        <v/>
      </c>
      <c r="S2414" s="504" t="str">
        <f>IF(D2414="","",IF(OR(D2414=Plano!$A$1,D2414=Plano!$B$1),"entrada","saída"))</f>
        <v/>
      </c>
      <c r="T2414" s="557"/>
      <c r="U2414" s="557"/>
      <c r="V2414" s="541"/>
    </row>
    <row r="2415" spans="1:22" ht="12.75" customHeight="1" x14ac:dyDescent="0.2">
      <c r="A2415" s="493" t="str">
        <f>IF(B2415="","",COUNT('Diário 5º PA'!$A$5:$A$2634)+COUNT('Diário 6º PA'!$A$5:$A$2246)+COUNT('Diário 7º PA'!$A$5:$A$2271)+ROW()-4)</f>
        <v/>
      </c>
      <c r="B2415" s="494"/>
      <c r="C2415" s="507"/>
      <c r="D2415" s="495"/>
      <c r="E2415" s="495"/>
      <c r="F2415" s="496"/>
      <c r="G2415" s="495"/>
      <c r="H2415" s="495"/>
      <c r="I2415" s="581"/>
      <c r="J2415" s="495"/>
      <c r="K2415" s="516"/>
      <c r="L2415" s="581"/>
      <c r="M2415" s="493"/>
      <c r="N2415" s="493"/>
      <c r="O2415" s="498"/>
      <c r="P2415" s="503">
        <f t="shared" si="182"/>
        <v>0</v>
      </c>
      <c r="Q2415" s="503">
        <f t="shared" si="183"/>
        <v>0</v>
      </c>
      <c r="R2415" s="504" t="str">
        <f t="shared" si="184"/>
        <v/>
      </c>
      <c r="S2415" s="504" t="str">
        <f>IF(D2415="","",IF(OR(D2415=Plano!$A$1,D2415=Plano!$B$1),"entrada","saída"))</f>
        <v/>
      </c>
      <c r="T2415" s="557"/>
      <c r="U2415" s="557"/>
      <c r="V2415" s="541"/>
    </row>
    <row r="2416" spans="1:22" ht="12.75" customHeight="1" x14ac:dyDescent="0.2">
      <c r="A2416" s="493" t="str">
        <f>IF(B2416="","",COUNT('Diário 5º PA'!$A$5:$A$2634)+COUNT('Diário 6º PA'!$A$5:$A$2246)+COUNT('Diário 7º PA'!$A$5:$A$2271)+ROW()-4)</f>
        <v/>
      </c>
      <c r="B2416" s="494"/>
      <c r="C2416" s="507"/>
      <c r="D2416" s="495"/>
      <c r="E2416" s="495"/>
      <c r="F2416" s="496"/>
      <c r="G2416" s="495"/>
      <c r="H2416" s="495"/>
      <c r="I2416" s="581"/>
      <c r="J2416" s="495"/>
      <c r="K2416" s="516"/>
      <c r="L2416" s="581"/>
      <c r="M2416" s="493"/>
      <c r="N2416" s="493"/>
      <c r="O2416" s="498"/>
      <c r="P2416" s="503">
        <f t="shared" si="182"/>
        <v>0</v>
      </c>
      <c r="Q2416" s="503">
        <f t="shared" si="183"/>
        <v>0</v>
      </c>
      <c r="R2416" s="504" t="str">
        <f t="shared" si="184"/>
        <v/>
      </c>
      <c r="S2416" s="504" t="str">
        <f>IF(D2416="","",IF(OR(D2416=Plano!$A$1,D2416=Plano!$B$1),"entrada","saída"))</f>
        <v/>
      </c>
      <c r="T2416" s="557"/>
      <c r="U2416" s="557"/>
      <c r="V2416" s="541"/>
    </row>
    <row r="2417" spans="1:22" ht="12.75" customHeight="1" x14ac:dyDescent="0.2">
      <c r="A2417" s="493" t="str">
        <f>IF(B2417="","",COUNT('Diário 5º PA'!$A$5:$A$2634)+COUNT('Diário 6º PA'!$A$5:$A$2246)+COUNT('Diário 7º PA'!$A$5:$A$2271)+ROW()-4)</f>
        <v/>
      </c>
      <c r="B2417" s="494"/>
      <c r="C2417" s="507"/>
      <c r="D2417" s="495"/>
      <c r="E2417" s="495"/>
      <c r="F2417" s="496"/>
      <c r="G2417" s="495"/>
      <c r="H2417" s="495"/>
      <c r="I2417" s="581"/>
      <c r="J2417" s="495"/>
      <c r="K2417" s="516"/>
      <c r="L2417" s="581"/>
      <c r="M2417" s="493"/>
      <c r="N2417" s="493"/>
      <c r="O2417" s="498"/>
      <c r="P2417" s="503">
        <f t="shared" si="182"/>
        <v>0</v>
      </c>
      <c r="Q2417" s="503">
        <f t="shared" si="183"/>
        <v>0</v>
      </c>
      <c r="R2417" s="504" t="str">
        <f t="shared" si="184"/>
        <v/>
      </c>
      <c r="S2417" s="504" t="str">
        <f>IF(D2417="","",IF(OR(D2417=Plano!$A$1,D2417=Plano!$B$1),"entrada","saída"))</f>
        <v/>
      </c>
      <c r="T2417" s="557"/>
      <c r="U2417" s="557"/>
      <c r="V2417" s="541"/>
    </row>
    <row r="2418" spans="1:22" ht="12.75" customHeight="1" x14ac:dyDescent="0.2">
      <c r="A2418" s="493" t="str">
        <f>IF(B2418="","",COUNT('Diário 5º PA'!$A$5:$A$2634)+COUNT('Diário 6º PA'!$A$5:$A$2246)+COUNT('Diário 7º PA'!$A$5:$A$2271)+ROW()-4)</f>
        <v/>
      </c>
      <c r="B2418" s="494"/>
      <c r="C2418" s="507"/>
      <c r="D2418" s="495"/>
      <c r="E2418" s="495"/>
      <c r="F2418" s="496"/>
      <c r="G2418" s="495"/>
      <c r="H2418" s="495"/>
      <c r="I2418" s="581"/>
      <c r="J2418" s="495"/>
      <c r="K2418" s="516"/>
      <c r="L2418" s="581"/>
      <c r="M2418" s="493"/>
      <c r="N2418" s="493"/>
      <c r="O2418" s="498"/>
      <c r="P2418" s="503">
        <f t="shared" si="182"/>
        <v>0</v>
      </c>
      <c r="Q2418" s="503">
        <f t="shared" si="183"/>
        <v>0</v>
      </c>
      <c r="R2418" s="504" t="str">
        <f t="shared" si="184"/>
        <v/>
      </c>
      <c r="S2418" s="504" t="str">
        <f>IF(D2418="","",IF(OR(D2418=Plano!$A$1,D2418=Plano!$B$1),"entrada","saída"))</f>
        <v/>
      </c>
      <c r="T2418" s="557"/>
      <c r="U2418" s="557"/>
      <c r="V2418" s="541"/>
    </row>
    <row r="2419" spans="1:22" ht="12.75" customHeight="1" x14ac:dyDescent="0.2">
      <c r="A2419" s="493" t="str">
        <f>IF(B2419="","",COUNT('Diário 5º PA'!$A$5:$A$2634)+COUNT('Diário 6º PA'!$A$5:$A$2246)+COUNT('Diário 7º PA'!$A$5:$A$2271)+ROW()-4)</f>
        <v/>
      </c>
      <c r="B2419" s="494"/>
      <c r="C2419" s="507"/>
      <c r="D2419" s="495"/>
      <c r="E2419" s="495"/>
      <c r="F2419" s="496"/>
      <c r="G2419" s="495"/>
      <c r="H2419" s="495"/>
      <c r="I2419" s="581"/>
      <c r="J2419" s="495"/>
      <c r="K2419" s="516"/>
      <c r="L2419" s="581"/>
      <c r="M2419" s="493"/>
      <c r="N2419" s="493"/>
      <c r="O2419" s="498"/>
      <c r="P2419" s="503">
        <f t="shared" si="182"/>
        <v>0</v>
      </c>
      <c r="Q2419" s="503">
        <f t="shared" si="183"/>
        <v>0</v>
      </c>
      <c r="R2419" s="504" t="str">
        <f t="shared" si="184"/>
        <v/>
      </c>
      <c r="S2419" s="504" t="str">
        <f>IF(D2419="","",IF(OR(D2419=Plano!$A$1,D2419=Plano!$B$1),"entrada","saída"))</f>
        <v/>
      </c>
      <c r="T2419" s="557"/>
      <c r="U2419" s="557"/>
      <c r="V2419" s="541"/>
    </row>
    <row r="2420" spans="1:22" ht="12.75" customHeight="1" x14ac:dyDescent="0.2">
      <c r="A2420" s="493" t="str">
        <f>IF(B2420="","",COUNT('Diário 5º PA'!$A$5:$A$2634)+COUNT('Diário 6º PA'!$A$5:$A$2246)+COUNT('Diário 7º PA'!$A$5:$A$2271)+ROW()-4)</f>
        <v/>
      </c>
      <c r="B2420" s="494"/>
      <c r="C2420" s="507"/>
      <c r="D2420" s="495"/>
      <c r="E2420" s="495"/>
      <c r="F2420" s="496"/>
      <c r="G2420" s="495"/>
      <c r="H2420" s="495"/>
      <c r="I2420" s="581"/>
      <c r="J2420" s="495"/>
      <c r="K2420" s="516"/>
      <c r="L2420" s="581"/>
      <c r="M2420" s="493"/>
      <c r="N2420" s="493"/>
      <c r="O2420" s="498"/>
      <c r="P2420" s="503">
        <f t="shared" si="182"/>
        <v>0</v>
      </c>
      <c r="Q2420" s="503">
        <f t="shared" si="183"/>
        <v>0</v>
      </c>
      <c r="R2420" s="504" t="str">
        <f t="shared" si="184"/>
        <v/>
      </c>
      <c r="S2420" s="504" t="str">
        <f>IF(D2420="","",IF(OR(D2420=Plano!$A$1,D2420=Plano!$B$1),"entrada","saída"))</f>
        <v/>
      </c>
      <c r="T2420" s="557"/>
      <c r="U2420" s="557"/>
      <c r="V2420" s="541"/>
    </row>
    <row r="2421" spans="1:22" ht="12.75" customHeight="1" x14ac:dyDescent="0.2">
      <c r="A2421" s="493" t="str">
        <f>IF(B2421="","",COUNT('Diário 5º PA'!$A$5:$A$2634)+COUNT('Diário 6º PA'!$A$5:$A$2246)+COUNT('Diário 7º PA'!$A$5:$A$2271)+ROW()-4)</f>
        <v/>
      </c>
      <c r="B2421" s="494"/>
      <c r="C2421" s="507"/>
      <c r="D2421" s="495"/>
      <c r="E2421" s="495"/>
      <c r="F2421" s="496"/>
      <c r="G2421" s="495"/>
      <c r="H2421" s="495"/>
      <c r="I2421" s="581"/>
      <c r="J2421" s="495"/>
      <c r="K2421" s="516"/>
      <c r="L2421" s="581"/>
      <c r="M2421" s="493"/>
      <c r="N2421" s="493"/>
      <c r="O2421" s="498"/>
      <c r="P2421" s="503">
        <f t="shared" si="182"/>
        <v>0</v>
      </c>
      <c r="Q2421" s="503">
        <f t="shared" si="183"/>
        <v>0</v>
      </c>
      <c r="R2421" s="504" t="str">
        <f t="shared" si="184"/>
        <v/>
      </c>
      <c r="S2421" s="504" t="str">
        <f>IF(D2421="","",IF(OR(D2421=Plano!$A$1,D2421=Plano!$B$1),"entrada","saída"))</f>
        <v/>
      </c>
      <c r="T2421" s="557"/>
      <c r="U2421" s="557"/>
      <c r="V2421" s="541"/>
    </row>
    <row r="2422" spans="1:22" ht="12.75" customHeight="1" x14ac:dyDescent="0.2">
      <c r="A2422" s="493" t="str">
        <f>IF(B2422="","",COUNT('Diário 5º PA'!$A$5:$A$2634)+COUNT('Diário 6º PA'!$A$5:$A$2246)+COUNT('Diário 7º PA'!$A$5:$A$2271)+ROW()-4)</f>
        <v/>
      </c>
      <c r="B2422" s="494"/>
      <c r="C2422" s="507"/>
      <c r="D2422" s="495"/>
      <c r="E2422" s="495"/>
      <c r="F2422" s="496"/>
      <c r="G2422" s="495"/>
      <c r="H2422" s="495"/>
      <c r="I2422" s="581"/>
      <c r="J2422" s="495"/>
      <c r="K2422" s="516"/>
      <c r="L2422" s="581"/>
      <c r="M2422" s="493"/>
      <c r="N2422" s="493"/>
      <c r="O2422" s="498"/>
      <c r="P2422" s="503">
        <f t="shared" si="182"/>
        <v>0</v>
      </c>
      <c r="Q2422" s="503">
        <f t="shared" si="183"/>
        <v>0</v>
      </c>
      <c r="R2422" s="504" t="str">
        <f t="shared" si="184"/>
        <v/>
      </c>
      <c r="S2422" s="504" t="str">
        <f>IF(D2422="","",IF(OR(D2422=Plano!$A$1,D2422=Plano!$B$1),"entrada","saída"))</f>
        <v/>
      </c>
      <c r="T2422" s="557"/>
      <c r="U2422" s="557"/>
      <c r="V2422" s="541"/>
    </row>
    <row r="2423" spans="1:22" ht="12.75" customHeight="1" x14ac:dyDescent="0.2">
      <c r="A2423" s="493" t="str">
        <f>IF(B2423="","",COUNT('Diário 5º PA'!$A$5:$A$2634)+COUNT('Diário 6º PA'!$A$5:$A$2246)+COUNT('Diário 7º PA'!$A$5:$A$2271)+ROW()-4)</f>
        <v/>
      </c>
      <c r="B2423" s="494"/>
      <c r="C2423" s="507"/>
      <c r="D2423" s="495"/>
      <c r="E2423" s="495"/>
      <c r="F2423" s="496"/>
      <c r="G2423" s="495"/>
      <c r="H2423" s="495"/>
      <c r="I2423" s="581"/>
      <c r="J2423" s="495"/>
      <c r="K2423" s="516"/>
      <c r="L2423" s="581"/>
      <c r="M2423" s="493"/>
      <c r="N2423" s="493"/>
      <c r="O2423" s="498"/>
      <c r="P2423" s="503">
        <f t="shared" si="182"/>
        <v>0</v>
      </c>
      <c r="Q2423" s="503">
        <f t="shared" si="183"/>
        <v>0</v>
      </c>
      <c r="R2423" s="504" t="str">
        <f t="shared" si="184"/>
        <v/>
      </c>
      <c r="S2423" s="504" t="str">
        <f>IF(D2423="","",IF(OR(D2423=Plano!$A$1,D2423=Plano!$B$1),"entrada","saída"))</f>
        <v/>
      </c>
      <c r="T2423" s="557"/>
      <c r="U2423" s="557"/>
      <c r="V2423" s="541"/>
    </row>
    <row r="2424" spans="1:22" ht="12.75" customHeight="1" x14ac:dyDescent="0.2">
      <c r="A2424" s="493" t="str">
        <f>IF(B2424="","",COUNT('Diário 5º PA'!$A$5:$A$2634)+COUNT('Diário 6º PA'!$A$5:$A$2246)+COUNT('Diário 7º PA'!$A$5:$A$2271)+ROW()-4)</f>
        <v/>
      </c>
      <c r="B2424" s="494"/>
      <c r="C2424" s="507"/>
      <c r="D2424" s="495"/>
      <c r="E2424" s="495"/>
      <c r="F2424" s="496"/>
      <c r="G2424" s="495"/>
      <c r="H2424" s="495"/>
      <c r="I2424" s="581"/>
      <c r="J2424" s="495"/>
      <c r="K2424" s="516"/>
      <c r="L2424" s="581"/>
      <c r="M2424" s="493"/>
      <c r="N2424" s="493"/>
      <c r="O2424" s="498"/>
      <c r="P2424" s="503">
        <f t="shared" si="182"/>
        <v>0</v>
      </c>
      <c r="Q2424" s="503">
        <f t="shared" si="183"/>
        <v>0</v>
      </c>
      <c r="R2424" s="504" t="str">
        <f t="shared" si="184"/>
        <v/>
      </c>
      <c r="S2424" s="504" t="str">
        <f>IF(D2424="","",IF(OR(D2424=Plano!$A$1,D2424=Plano!$B$1),"entrada","saída"))</f>
        <v/>
      </c>
      <c r="T2424" s="557"/>
      <c r="U2424" s="557"/>
      <c r="V2424" s="541"/>
    </row>
    <row r="2425" spans="1:22" ht="12.75" customHeight="1" x14ac:dyDescent="0.2">
      <c r="A2425" s="493" t="str">
        <f>IF(B2425="","",COUNT('Diário 5º PA'!$A$5:$A$2634)+COUNT('Diário 6º PA'!$A$5:$A$2246)+COUNT('Diário 7º PA'!$A$5:$A$2271)+ROW()-4)</f>
        <v/>
      </c>
      <c r="B2425" s="494"/>
      <c r="C2425" s="507"/>
      <c r="D2425" s="495"/>
      <c r="E2425" s="495"/>
      <c r="F2425" s="496"/>
      <c r="G2425" s="495"/>
      <c r="H2425" s="495"/>
      <c r="I2425" s="581"/>
      <c r="J2425" s="495"/>
      <c r="K2425" s="516"/>
      <c r="L2425" s="581"/>
      <c r="M2425" s="493"/>
      <c r="N2425" s="493"/>
      <c r="O2425" s="498"/>
      <c r="P2425" s="503">
        <f t="shared" si="182"/>
        <v>0</v>
      </c>
      <c r="Q2425" s="503">
        <f t="shared" si="183"/>
        <v>0</v>
      </c>
      <c r="R2425" s="504" t="str">
        <f t="shared" si="184"/>
        <v/>
      </c>
      <c r="S2425" s="504" t="str">
        <f>IF(D2425="","",IF(OR(D2425=Plano!$A$1,D2425=Plano!$B$1),"entrada","saída"))</f>
        <v/>
      </c>
      <c r="T2425" s="557"/>
      <c r="U2425" s="557"/>
      <c r="V2425" s="541"/>
    </row>
    <row r="2426" spans="1:22" ht="12.75" customHeight="1" x14ac:dyDescent="0.2">
      <c r="A2426" s="493" t="str">
        <f>IF(B2426="","",COUNT('Diário 5º PA'!$A$5:$A$2634)+COUNT('Diário 6º PA'!$A$5:$A$2246)+COUNT('Diário 7º PA'!$A$5:$A$2271)+ROW()-4)</f>
        <v/>
      </c>
      <c r="B2426" s="494"/>
      <c r="C2426" s="507"/>
      <c r="D2426" s="495"/>
      <c r="E2426" s="495"/>
      <c r="F2426" s="496"/>
      <c r="G2426" s="495"/>
      <c r="H2426" s="495"/>
      <c r="I2426" s="581"/>
      <c r="J2426" s="495"/>
      <c r="K2426" s="516"/>
      <c r="L2426" s="581"/>
      <c r="M2426" s="493"/>
      <c r="N2426" s="493"/>
      <c r="O2426" s="498"/>
      <c r="P2426" s="503">
        <f t="shared" si="182"/>
        <v>0</v>
      </c>
      <c r="Q2426" s="503">
        <f t="shared" si="183"/>
        <v>0</v>
      </c>
      <c r="R2426" s="504" t="str">
        <f t="shared" si="184"/>
        <v/>
      </c>
      <c r="S2426" s="504" t="str">
        <f>IF(D2426="","",IF(OR(D2426=Plano!$A$1,D2426=Plano!$B$1),"entrada","saída"))</f>
        <v/>
      </c>
      <c r="T2426" s="557"/>
      <c r="U2426" s="557"/>
      <c r="V2426" s="541"/>
    </row>
    <row r="2427" spans="1:22" ht="12.75" customHeight="1" x14ac:dyDescent="0.2">
      <c r="A2427" s="493" t="str">
        <f>IF(B2427="","",COUNT('Diário 5º PA'!$A$5:$A$2634)+COUNT('Diário 6º PA'!$A$5:$A$2246)+COUNT('Diário 7º PA'!$A$5:$A$2271)+ROW()-4)</f>
        <v/>
      </c>
      <c r="B2427" s="494"/>
      <c r="C2427" s="507"/>
      <c r="D2427" s="495"/>
      <c r="E2427" s="495"/>
      <c r="F2427" s="496"/>
      <c r="G2427" s="495"/>
      <c r="H2427" s="495"/>
      <c r="I2427" s="581"/>
      <c r="J2427" s="495"/>
      <c r="K2427" s="516"/>
      <c r="L2427" s="581"/>
      <c r="M2427" s="493"/>
      <c r="N2427" s="493"/>
      <c r="O2427" s="498"/>
      <c r="P2427" s="503">
        <f t="shared" si="182"/>
        <v>0</v>
      </c>
      <c r="Q2427" s="503">
        <f t="shared" si="183"/>
        <v>0</v>
      </c>
      <c r="R2427" s="504" t="str">
        <f t="shared" si="184"/>
        <v/>
      </c>
      <c r="S2427" s="504" t="str">
        <f>IF(D2427="","",IF(OR(D2427=Plano!$A$1,D2427=Plano!$B$1),"entrada","saída"))</f>
        <v/>
      </c>
      <c r="T2427" s="557"/>
      <c r="U2427" s="557"/>
      <c r="V2427" s="541"/>
    </row>
    <row r="2428" spans="1:22" ht="12.75" customHeight="1" x14ac:dyDescent="0.2">
      <c r="A2428" s="493" t="str">
        <f>IF(B2428="","",COUNT('Diário 5º PA'!$A$5:$A$2634)+COUNT('Diário 6º PA'!$A$5:$A$2246)+COUNT('Diário 7º PA'!$A$5:$A$2271)+ROW()-4)</f>
        <v/>
      </c>
      <c r="B2428" s="494"/>
      <c r="C2428" s="507"/>
      <c r="D2428" s="495"/>
      <c r="E2428" s="495"/>
      <c r="F2428" s="496"/>
      <c r="G2428" s="495"/>
      <c r="H2428" s="495"/>
      <c r="I2428" s="581"/>
      <c r="J2428" s="495"/>
      <c r="K2428" s="516"/>
      <c r="L2428" s="581"/>
      <c r="M2428" s="493"/>
      <c r="N2428" s="493"/>
      <c r="O2428" s="498"/>
      <c r="P2428" s="503">
        <f t="shared" si="182"/>
        <v>0</v>
      </c>
      <c r="Q2428" s="503">
        <f t="shared" si="183"/>
        <v>0</v>
      </c>
      <c r="R2428" s="504" t="str">
        <f t="shared" si="184"/>
        <v/>
      </c>
      <c r="S2428" s="504" t="str">
        <f>IF(D2428="","",IF(OR(D2428=Plano!$A$1,D2428=Plano!$B$1),"entrada","saída"))</f>
        <v/>
      </c>
      <c r="T2428" s="557"/>
      <c r="U2428" s="557"/>
      <c r="V2428" s="541"/>
    </row>
    <row r="2429" spans="1:22" ht="12.75" customHeight="1" x14ac:dyDescent="0.2">
      <c r="A2429" s="493" t="str">
        <f>IF(B2429="","",COUNT('Diário 5º PA'!$A$5:$A$2634)+COUNT('Diário 6º PA'!$A$5:$A$2246)+COUNT('Diário 7º PA'!$A$5:$A$2271)+ROW()-4)</f>
        <v/>
      </c>
      <c r="B2429" s="494"/>
      <c r="C2429" s="507"/>
      <c r="D2429" s="495"/>
      <c r="E2429" s="495"/>
      <c r="F2429" s="496"/>
      <c r="G2429" s="495"/>
      <c r="H2429" s="495"/>
      <c r="I2429" s="581"/>
      <c r="J2429" s="495"/>
      <c r="K2429" s="516"/>
      <c r="L2429" s="581"/>
      <c r="M2429" s="493"/>
      <c r="N2429" s="493"/>
      <c r="O2429" s="498"/>
      <c r="P2429" s="503">
        <f t="shared" si="182"/>
        <v>0</v>
      </c>
      <c r="Q2429" s="503">
        <f t="shared" si="183"/>
        <v>0</v>
      </c>
      <c r="R2429" s="504" t="str">
        <f t="shared" si="184"/>
        <v/>
      </c>
      <c r="S2429" s="504" t="str">
        <f>IF(D2429="","",IF(OR(D2429=Plano!$A$1,D2429=Plano!$B$1),"entrada","saída"))</f>
        <v/>
      </c>
      <c r="T2429" s="557"/>
      <c r="U2429" s="557"/>
      <c r="V2429" s="541"/>
    </row>
    <row r="2430" spans="1:22" ht="12.75" customHeight="1" x14ac:dyDescent="0.2">
      <c r="A2430" s="493" t="str">
        <f>IF(B2430="","",COUNT('Diário 5º PA'!$A$5:$A$2634)+COUNT('Diário 6º PA'!$A$5:$A$2246)+COUNT('Diário 7º PA'!$A$5:$A$2271)+ROW()-4)</f>
        <v/>
      </c>
      <c r="B2430" s="494"/>
      <c r="C2430" s="507"/>
      <c r="D2430" s="495"/>
      <c r="E2430" s="495"/>
      <c r="F2430" s="496"/>
      <c r="G2430" s="495"/>
      <c r="H2430" s="495"/>
      <c r="I2430" s="581"/>
      <c r="J2430" s="495"/>
      <c r="K2430" s="516"/>
      <c r="L2430" s="581"/>
      <c r="M2430" s="493"/>
      <c r="N2430" s="493"/>
      <c r="O2430" s="498"/>
      <c r="P2430" s="503">
        <f t="shared" si="182"/>
        <v>0</v>
      </c>
      <c r="Q2430" s="503">
        <f t="shared" si="183"/>
        <v>0</v>
      </c>
      <c r="R2430" s="504" t="str">
        <f t="shared" si="184"/>
        <v/>
      </c>
      <c r="S2430" s="504" t="str">
        <f>IF(D2430="","",IF(OR(D2430=Plano!$A$1,D2430=Plano!$B$1),"entrada","saída"))</f>
        <v/>
      </c>
      <c r="T2430" s="557"/>
      <c r="U2430" s="557"/>
      <c r="V2430" s="541"/>
    </row>
    <row r="2431" spans="1:22" ht="12.75" customHeight="1" x14ac:dyDescent="0.2">
      <c r="A2431" s="493" t="str">
        <f>IF(B2431="","",COUNT('Diário 5º PA'!$A$5:$A$2634)+COUNT('Diário 6º PA'!$A$5:$A$2246)+COUNT('Diário 7º PA'!$A$5:$A$2271)+ROW()-4)</f>
        <v/>
      </c>
      <c r="B2431" s="494"/>
      <c r="C2431" s="507"/>
      <c r="D2431" s="495"/>
      <c r="E2431" s="495"/>
      <c r="F2431" s="496"/>
      <c r="G2431" s="495"/>
      <c r="H2431" s="495"/>
      <c r="I2431" s="581"/>
      <c r="J2431" s="495"/>
      <c r="K2431" s="516"/>
      <c r="L2431" s="581"/>
      <c r="M2431" s="493"/>
      <c r="N2431" s="493"/>
      <c r="O2431" s="498"/>
      <c r="P2431" s="503">
        <f t="shared" si="182"/>
        <v>0</v>
      </c>
      <c r="Q2431" s="503">
        <f t="shared" si="183"/>
        <v>0</v>
      </c>
      <c r="R2431" s="504" t="str">
        <f t="shared" si="184"/>
        <v/>
      </c>
      <c r="S2431" s="504" t="str">
        <f>IF(D2431="","",IF(OR(D2431=Plano!$A$1,D2431=Plano!$B$1),"entrada","saída"))</f>
        <v/>
      </c>
      <c r="T2431" s="557"/>
      <c r="U2431" s="557"/>
      <c r="V2431" s="541"/>
    </row>
    <row r="2432" spans="1:22" ht="12.75" customHeight="1" x14ac:dyDescent="0.2">
      <c r="A2432" s="289" t="str">
        <f>IF(B2432="","",COUNT('Diário 5º PA'!$A$5:$A$2634)+COUNT('Diário 6º PA'!$A$5:$A$2246)+COUNT('Diário 7º PA'!$A$5:$A$2271)+ROW()-4)</f>
        <v/>
      </c>
      <c r="B2432" s="290"/>
      <c r="C2432" s="508"/>
      <c r="D2432" s="291"/>
      <c r="E2432" s="291"/>
      <c r="F2432" s="292"/>
      <c r="G2432" s="291"/>
      <c r="H2432" s="291"/>
      <c r="I2432" s="584"/>
      <c r="J2432" s="291"/>
      <c r="K2432" s="587"/>
      <c r="L2432" s="584"/>
      <c r="M2432" s="289"/>
      <c r="N2432" s="289"/>
      <c r="O2432" s="358"/>
      <c r="P2432" s="503">
        <f t="shared" si="182"/>
        <v>0</v>
      </c>
      <c r="Q2432" s="503">
        <f t="shared" si="183"/>
        <v>0</v>
      </c>
      <c r="R2432" s="504" t="str">
        <f t="shared" si="184"/>
        <v/>
      </c>
      <c r="S2432" s="504" t="str">
        <f>IF(D2432="","",IF(OR(D2432=Plano!$A$1,D2432=Plano!$B$1),"entrada","saída"))</f>
        <v/>
      </c>
      <c r="T2432" s="590"/>
      <c r="U2432" s="590"/>
    </row>
    <row r="2433" spans="1:19" ht="12.75" customHeight="1" x14ac:dyDescent="0.2">
      <c r="A2433" s="289" t="str">
        <f>IF(B2433="","",COUNT('Diário 5º PA'!$A$5:$A$2634)+COUNT('Diário 6º PA'!$A$5:$A$2246)+COUNT('Diário 7º PA'!$A$5:$A$2271)+ROW()-4)</f>
        <v/>
      </c>
      <c r="B2433" s="290"/>
      <c r="C2433" s="508"/>
      <c r="D2433" s="291"/>
      <c r="E2433" s="291"/>
      <c r="F2433" s="292"/>
      <c r="G2433" s="291"/>
      <c r="H2433" s="291"/>
      <c r="I2433" s="584"/>
      <c r="J2433" s="291"/>
      <c r="K2433" s="587"/>
      <c r="L2433" s="584"/>
      <c r="M2433" s="289"/>
      <c r="N2433" s="289"/>
      <c r="O2433" s="358"/>
      <c r="P2433" s="503">
        <f t="shared" si="182"/>
        <v>0</v>
      </c>
      <c r="Q2433" s="503">
        <f t="shared" si="183"/>
        <v>0</v>
      </c>
      <c r="R2433" s="504" t="str">
        <f t="shared" si="184"/>
        <v/>
      </c>
      <c r="S2433" s="504" t="str">
        <f>IF(D2433="","",IF(OR(D2433=Plano!$A$1,D2433=Plano!$B$1),"entrada","saída"))</f>
        <v/>
      </c>
    </row>
    <row r="2434" spans="1:19" ht="12.75" customHeight="1" x14ac:dyDescent="0.2">
      <c r="A2434" s="289" t="str">
        <f>IF(B2434="","",COUNT('Diário 5º PA'!$A$5:$A$2634)+COUNT('Diário 6º PA'!$A$5:$A$2246)+COUNT('Diário 7º PA'!$A$5:$A$2271)+ROW()-4)</f>
        <v/>
      </c>
      <c r="B2434" s="290"/>
      <c r="C2434" s="508"/>
      <c r="D2434" s="291"/>
      <c r="E2434" s="291"/>
      <c r="F2434" s="292"/>
      <c r="G2434" s="291"/>
      <c r="H2434" s="291"/>
      <c r="I2434" s="584"/>
      <c r="J2434" s="291"/>
      <c r="K2434" s="587"/>
      <c r="L2434" s="584"/>
      <c r="M2434" s="289"/>
      <c r="N2434" s="289"/>
      <c r="O2434" s="358"/>
      <c r="P2434" s="503">
        <f t="shared" si="182"/>
        <v>0</v>
      </c>
      <c r="Q2434" s="503">
        <f t="shared" si="183"/>
        <v>0</v>
      </c>
      <c r="R2434" s="504" t="str">
        <f t="shared" si="184"/>
        <v/>
      </c>
      <c r="S2434" s="504" t="str">
        <f>IF(D2434="","",IF(OR(D2434=Plano!$A$1,D2434=Plano!$B$1),"entrada","saída"))</f>
        <v/>
      </c>
    </row>
    <row r="2435" spans="1:19" ht="12.75" customHeight="1" x14ac:dyDescent="0.2">
      <c r="A2435" s="289" t="str">
        <f>IF(B2435="","",COUNT('Diário 5º PA'!$A$5:$A$2634)+COUNT('Diário 6º PA'!$A$5:$A$2246)+COUNT('Diário 7º PA'!$A$5:$A$2271)+ROW()-4)</f>
        <v/>
      </c>
      <c r="B2435" s="290"/>
      <c r="C2435" s="508"/>
      <c r="D2435" s="291"/>
      <c r="E2435" s="291"/>
      <c r="F2435" s="292"/>
      <c r="G2435" s="291"/>
      <c r="H2435" s="291"/>
      <c r="I2435" s="584"/>
      <c r="J2435" s="291"/>
      <c r="K2435" s="587"/>
      <c r="L2435" s="584"/>
      <c r="M2435" s="289"/>
      <c r="N2435" s="289"/>
      <c r="O2435" s="358"/>
      <c r="P2435" s="503">
        <f t="shared" si="182"/>
        <v>0</v>
      </c>
      <c r="Q2435" s="503">
        <f t="shared" si="183"/>
        <v>0</v>
      </c>
      <c r="R2435" s="504" t="str">
        <f t="shared" si="184"/>
        <v/>
      </c>
      <c r="S2435" s="504" t="str">
        <f>IF(D2435="","",IF(OR(D2435=Plano!$A$1,D2435=Plano!$B$1),"entrada","saída"))</f>
        <v/>
      </c>
    </row>
    <row r="2436" spans="1:19" ht="12.75" customHeight="1" x14ac:dyDescent="0.2">
      <c r="A2436" s="289" t="str">
        <f>IF(B2436="","",COUNT('Diário 5º PA'!$A$5:$A$2634)+COUNT('Diário 6º PA'!$A$5:$A$2246)+COUNT('Diário 7º PA'!$A$5:$A$2271)+ROW()-4)</f>
        <v/>
      </c>
      <c r="B2436" s="290"/>
      <c r="C2436" s="508"/>
      <c r="D2436" s="291"/>
      <c r="E2436" s="291"/>
      <c r="F2436" s="292"/>
      <c r="G2436" s="291"/>
      <c r="H2436" s="291"/>
      <c r="I2436" s="584"/>
      <c r="J2436" s="291"/>
      <c r="K2436" s="587"/>
      <c r="L2436" s="584"/>
      <c r="M2436" s="289"/>
      <c r="N2436" s="289"/>
      <c r="O2436" s="358"/>
      <c r="P2436" s="503">
        <f t="shared" si="182"/>
        <v>0</v>
      </c>
      <c r="Q2436" s="503">
        <f t="shared" si="183"/>
        <v>0</v>
      </c>
      <c r="R2436" s="504" t="str">
        <f t="shared" si="184"/>
        <v/>
      </c>
      <c r="S2436" s="504" t="str">
        <f>IF(D2436="","",IF(OR(D2436=Plano!$A$1,D2436=Plano!$B$1),"entrada","saída"))</f>
        <v/>
      </c>
    </row>
    <row r="2437" spans="1:19" ht="12.75" customHeight="1" x14ac:dyDescent="0.2">
      <c r="A2437" s="289" t="str">
        <f>IF(B2437="","",COUNT('Diário 5º PA'!$A$5:$A$2634)+COUNT('Diário 6º PA'!$A$5:$A$2246)+COUNT('Diário 7º PA'!$A$5:$A$2271)+ROW()-4)</f>
        <v/>
      </c>
      <c r="B2437" s="290"/>
      <c r="C2437" s="508"/>
      <c r="D2437" s="291"/>
      <c r="E2437" s="291"/>
      <c r="F2437" s="292"/>
      <c r="G2437" s="291"/>
      <c r="H2437" s="291"/>
      <c r="I2437" s="584"/>
      <c r="J2437" s="291"/>
      <c r="K2437" s="587"/>
      <c r="L2437" s="584"/>
      <c r="M2437" s="289"/>
      <c r="N2437" s="289"/>
      <c r="O2437" s="358"/>
      <c r="P2437" s="503">
        <f t="shared" si="182"/>
        <v>0</v>
      </c>
      <c r="Q2437" s="503">
        <f t="shared" si="183"/>
        <v>0</v>
      </c>
      <c r="R2437" s="504" t="str">
        <f t="shared" si="184"/>
        <v/>
      </c>
      <c r="S2437" s="504" t="str">
        <f>IF(D2437="","",IF(OR(D2437=Plano!$A$1,D2437=Plano!$B$1),"entrada","saída"))</f>
        <v/>
      </c>
    </row>
    <row r="2438" spans="1:19" ht="12.75" customHeight="1" x14ac:dyDescent="0.2">
      <c r="A2438" s="289" t="str">
        <f>IF(B2438="","",COUNT('Diário 5º PA'!$A$5:$A$2634)+COUNT('Diário 6º PA'!$A$5:$A$2246)+COUNT('Diário 7º PA'!$A$5:$A$2271)+ROW()-4)</f>
        <v/>
      </c>
      <c r="B2438" s="290"/>
      <c r="C2438" s="508"/>
      <c r="D2438" s="291"/>
      <c r="E2438" s="291"/>
      <c r="F2438" s="292"/>
      <c r="G2438" s="291"/>
      <c r="H2438" s="291"/>
      <c r="I2438" s="584"/>
      <c r="J2438" s="291"/>
      <c r="K2438" s="587"/>
      <c r="L2438" s="584"/>
      <c r="M2438" s="289"/>
      <c r="N2438" s="289"/>
      <c r="O2438" s="358"/>
      <c r="P2438" s="503">
        <f t="shared" si="182"/>
        <v>0</v>
      </c>
      <c r="Q2438" s="503">
        <f t="shared" si="183"/>
        <v>0</v>
      </c>
      <c r="R2438" s="504" t="str">
        <f t="shared" si="184"/>
        <v/>
      </c>
      <c r="S2438" s="504" t="str">
        <f>IF(D2438="","",IF(OR(D2438=Plano!$A$1,D2438=Plano!$B$1),"entrada","saída"))</f>
        <v/>
      </c>
    </row>
    <row r="2439" spans="1:19" ht="12.75" customHeight="1" x14ac:dyDescent="0.2">
      <c r="A2439" s="289" t="str">
        <f>IF(B2439="","",COUNT('Diário 5º PA'!$A$5:$A$2634)+COUNT('Diário 6º PA'!$A$5:$A$2246)+COUNT('Diário 7º PA'!$A$5:$A$2271)+ROW()-4)</f>
        <v/>
      </c>
      <c r="B2439" s="290"/>
      <c r="C2439" s="508"/>
      <c r="D2439" s="291"/>
      <c r="E2439" s="291"/>
      <c r="F2439" s="292"/>
      <c r="G2439" s="291"/>
      <c r="H2439" s="291"/>
      <c r="I2439" s="584"/>
      <c r="J2439" s="291"/>
      <c r="K2439" s="587"/>
      <c r="L2439" s="584"/>
      <c r="M2439" s="289"/>
      <c r="N2439" s="289"/>
      <c r="O2439" s="358"/>
      <c r="P2439" s="503">
        <f t="shared" si="182"/>
        <v>0</v>
      </c>
      <c r="Q2439" s="503">
        <f t="shared" si="183"/>
        <v>0</v>
      </c>
      <c r="R2439" s="504" t="str">
        <f t="shared" si="184"/>
        <v/>
      </c>
      <c r="S2439" s="504" t="str">
        <f>IF(D2439="","",IF(OR(D2439=Plano!$A$1,D2439=Plano!$B$1),"entrada","saída"))</f>
        <v/>
      </c>
    </row>
    <row r="2440" spans="1:19" ht="12.75" customHeight="1" x14ac:dyDescent="0.2">
      <c r="A2440" s="289" t="str">
        <f>IF(B2440="","",COUNT('Diário 5º PA'!$A$5:$A$2634)+COUNT('Diário 6º PA'!$A$5:$A$2246)+COUNT('Diário 7º PA'!$A$5:$A$2271)+ROW()-4)</f>
        <v/>
      </c>
      <c r="B2440" s="290"/>
      <c r="C2440" s="508"/>
      <c r="D2440" s="291"/>
      <c r="E2440" s="291"/>
      <c r="F2440" s="292"/>
      <c r="G2440" s="291"/>
      <c r="H2440" s="291"/>
      <c r="I2440" s="584"/>
      <c r="J2440" s="291"/>
      <c r="K2440" s="587"/>
      <c r="L2440" s="584"/>
      <c r="M2440" s="289"/>
      <c r="N2440" s="289"/>
      <c r="O2440" s="358"/>
      <c r="P2440" s="503">
        <f t="shared" si="182"/>
        <v>0</v>
      </c>
      <c r="Q2440" s="503">
        <f t="shared" si="183"/>
        <v>0</v>
      </c>
      <c r="R2440" s="504" t="str">
        <f t="shared" si="184"/>
        <v/>
      </c>
      <c r="S2440" s="504" t="str">
        <f>IF(D2440="","",IF(OR(D2440=Plano!$A$1,D2440=Plano!$B$1),"entrada","saída"))</f>
        <v/>
      </c>
    </row>
    <row r="2441" spans="1:19" ht="12.75" customHeight="1" x14ac:dyDescent="0.2">
      <c r="A2441" s="289" t="str">
        <f>IF(B2441="","",COUNT('Diário 5º PA'!$A$5:$A$2634)+COUNT('Diário 6º PA'!$A$5:$A$2246)+COUNT('Diário 7º PA'!$A$5:$A$2271)+ROW()-4)</f>
        <v/>
      </c>
      <c r="B2441" s="290"/>
      <c r="C2441" s="508"/>
      <c r="D2441" s="291"/>
      <c r="E2441" s="291"/>
      <c r="F2441" s="292"/>
      <c r="G2441" s="291"/>
      <c r="H2441" s="291"/>
      <c r="I2441" s="584"/>
      <c r="J2441" s="291"/>
      <c r="K2441" s="587"/>
      <c r="L2441" s="584"/>
      <c r="M2441" s="289"/>
      <c r="N2441" s="289"/>
      <c r="O2441" s="358"/>
      <c r="P2441" s="503">
        <f t="shared" si="182"/>
        <v>0</v>
      </c>
      <c r="Q2441" s="503">
        <f t="shared" si="183"/>
        <v>0</v>
      </c>
      <c r="R2441" s="504" t="str">
        <f t="shared" si="184"/>
        <v/>
      </c>
      <c r="S2441" s="504" t="str">
        <f>IF(D2441="","",IF(OR(D2441=Plano!$A$1,D2441=Plano!$B$1),"entrada","saída"))</f>
        <v/>
      </c>
    </row>
    <row r="2442" spans="1:19" ht="12.75" customHeight="1" x14ac:dyDescent="0.2">
      <c r="A2442" s="289" t="str">
        <f>IF(B2442="","",COUNT('Diário 5º PA'!$A$5:$A$2634)+COUNT('Diário 6º PA'!$A$5:$A$2246)+COUNT('Diário 7º PA'!$A$5:$A$2271)+ROW()-4)</f>
        <v/>
      </c>
      <c r="B2442" s="290"/>
      <c r="C2442" s="508"/>
      <c r="D2442" s="291"/>
      <c r="E2442" s="291"/>
      <c r="F2442" s="292"/>
      <c r="G2442" s="291"/>
      <c r="H2442" s="291"/>
      <c r="I2442" s="584"/>
      <c r="J2442" s="291"/>
      <c r="K2442" s="587"/>
      <c r="L2442" s="584"/>
      <c r="M2442" s="289"/>
      <c r="N2442" s="289"/>
      <c r="O2442" s="358"/>
      <c r="P2442" s="503">
        <f t="shared" si="182"/>
        <v>0</v>
      </c>
      <c r="Q2442" s="503">
        <f t="shared" si="183"/>
        <v>0</v>
      </c>
      <c r="R2442" s="504" t="str">
        <f t="shared" si="184"/>
        <v/>
      </c>
      <c r="S2442" s="504" t="str">
        <f>IF(D2442="","",IF(OR(D2442=Plano!$A$1,D2442=Plano!$B$1),"entrada","saída"))</f>
        <v/>
      </c>
    </row>
    <row r="2443" spans="1:19" ht="12.75" customHeight="1" x14ac:dyDescent="0.2">
      <c r="A2443" s="289" t="str">
        <f>IF(B2443="","",COUNT('Diário 5º PA'!$A$5:$A$2634)+COUNT('Diário 6º PA'!$A$5:$A$2246)+COUNT('Diário 7º PA'!$A$5:$A$2271)+ROW()-4)</f>
        <v/>
      </c>
      <c r="B2443" s="290"/>
      <c r="C2443" s="508"/>
      <c r="D2443" s="291"/>
      <c r="E2443" s="291"/>
      <c r="F2443" s="292"/>
      <c r="G2443" s="291"/>
      <c r="H2443" s="291"/>
      <c r="I2443" s="584"/>
      <c r="J2443" s="291"/>
      <c r="K2443" s="587"/>
      <c r="L2443" s="584"/>
      <c r="M2443" s="289"/>
      <c r="N2443" s="289"/>
      <c r="O2443" s="358"/>
      <c r="P2443" s="503">
        <f t="shared" si="182"/>
        <v>0</v>
      </c>
      <c r="Q2443" s="503">
        <f t="shared" si="183"/>
        <v>0</v>
      </c>
      <c r="R2443" s="504" t="str">
        <f t="shared" si="184"/>
        <v/>
      </c>
      <c r="S2443" s="504" t="str">
        <f>IF(D2443="","",IF(OR(D2443=Plano!$A$1,D2443=Plano!$B$1),"entrada","saída"))</f>
        <v/>
      </c>
    </row>
    <row r="2444" spans="1:19" ht="12.75" customHeight="1" x14ac:dyDescent="0.2">
      <c r="A2444" s="289" t="str">
        <f>IF(B2444="","",COUNT('Diário 5º PA'!$A$5:$A$2634)+COUNT('Diário 6º PA'!$A$5:$A$2246)+COUNT('Diário 7º PA'!$A$5:$A$2271)+ROW()-4)</f>
        <v/>
      </c>
      <c r="B2444" s="290"/>
      <c r="C2444" s="508"/>
      <c r="D2444" s="291"/>
      <c r="E2444" s="291"/>
      <c r="F2444" s="292"/>
      <c r="G2444" s="291"/>
      <c r="H2444" s="291"/>
      <c r="I2444" s="584"/>
      <c r="J2444" s="291"/>
      <c r="K2444" s="587"/>
      <c r="L2444" s="584"/>
      <c r="M2444" s="289"/>
      <c r="N2444" s="289"/>
      <c r="O2444" s="358"/>
      <c r="P2444" s="503">
        <f t="shared" si="182"/>
        <v>0</v>
      </c>
      <c r="Q2444" s="503">
        <f t="shared" si="183"/>
        <v>0</v>
      </c>
      <c r="R2444" s="504" t="str">
        <f t="shared" si="184"/>
        <v/>
      </c>
      <c r="S2444" s="504" t="str">
        <f>IF(D2444="","",IF(OR(D2444=Plano!$A$1,D2444=Plano!$B$1),"entrada","saída"))</f>
        <v/>
      </c>
    </row>
    <row r="2445" spans="1:19" ht="12.75" customHeight="1" x14ac:dyDescent="0.2">
      <c r="A2445" s="289" t="str">
        <f>IF(B2445="","",COUNT('Diário 5º PA'!$A$5:$A$2634)+COUNT('Diário 6º PA'!$A$5:$A$2246)+COUNT('Diário 7º PA'!$A$5:$A$2271)+ROW()-4)</f>
        <v/>
      </c>
      <c r="B2445" s="290"/>
      <c r="C2445" s="508"/>
      <c r="D2445" s="291"/>
      <c r="E2445" s="291"/>
      <c r="F2445" s="292"/>
      <c r="G2445" s="291"/>
      <c r="H2445" s="291"/>
      <c r="I2445" s="584"/>
      <c r="J2445" s="291"/>
      <c r="K2445" s="587"/>
      <c r="L2445" s="584"/>
      <c r="M2445" s="289"/>
      <c r="N2445" s="289"/>
      <c r="O2445" s="358"/>
      <c r="P2445" s="503">
        <f t="shared" si="182"/>
        <v>0</v>
      </c>
      <c r="Q2445" s="503">
        <f t="shared" si="183"/>
        <v>0</v>
      </c>
      <c r="R2445" s="504" t="str">
        <f t="shared" si="184"/>
        <v/>
      </c>
      <c r="S2445" s="504" t="str">
        <f>IF(D2445="","",IF(OR(D2445=Plano!$A$1,D2445=Plano!$B$1),"entrada","saída"))</f>
        <v/>
      </c>
    </row>
    <row r="2446" spans="1:19" ht="12.75" customHeight="1" x14ac:dyDescent="0.2">
      <c r="A2446" s="289" t="str">
        <f>IF(B2446="","",COUNT('Diário 5º PA'!$A$5:$A$2634)+COUNT('Diário 6º PA'!$A$5:$A$2246)+COUNT('Diário 7º PA'!$A$5:$A$2271)+ROW()-4)</f>
        <v/>
      </c>
      <c r="B2446" s="290"/>
      <c r="C2446" s="508"/>
      <c r="D2446" s="291"/>
      <c r="E2446" s="291"/>
      <c r="F2446" s="292"/>
      <c r="G2446" s="291"/>
      <c r="H2446" s="291"/>
      <c r="I2446" s="584"/>
      <c r="J2446" s="291"/>
      <c r="K2446" s="587"/>
      <c r="L2446" s="584"/>
      <c r="M2446" s="289"/>
      <c r="N2446" s="289"/>
      <c r="O2446" s="358"/>
      <c r="P2446" s="503">
        <f t="shared" si="182"/>
        <v>0</v>
      </c>
      <c r="Q2446" s="503">
        <f t="shared" si="183"/>
        <v>0</v>
      </c>
      <c r="R2446" s="504" t="str">
        <f t="shared" si="184"/>
        <v/>
      </c>
      <c r="S2446" s="504" t="str">
        <f>IF(D2446="","",IF(OR(D2446=Plano!$A$1,D2446=Plano!$B$1),"entrada","saída"))</f>
        <v/>
      </c>
    </row>
    <row r="2447" spans="1:19" ht="12.75" customHeight="1" x14ac:dyDescent="0.2">
      <c r="A2447" s="289" t="str">
        <f>IF(B2447="","",COUNT('Diário 5º PA'!$A$5:$A$2634)+COUNT('Diário 6º PA'!$A$5:$A$2246)+COUNT('Diário 7º PA'!$A$5:$A$2271)+ROW()-4)</f>
        <v/>
      </c>
      <c r="B2447" s="290"/>
      <c r="C2447" s="508"/>
      <c r="D2447" s="291"/>
      <c r="E2447" s="291"/>
      <c r="F2447" s="292"/>
      <c r="G2447" s="291"/>
      <c r="H2447" s="291"/>
      <c r="I2447" s="584"/>
      <c r="J2447" s="291"/>
      <c r="K2447" s="587"/>
      <c r="L2447" s="584"/>
      <c r="M2447" s="289"/>
      <c r="N2447" s="289"/>
      <c r="O2447" s="358"/>
      <c r="P2447" s="503">
        <f t="shared" si="182"/>
        <v>0</v>
      </c>
      <c r="Q2447" s="503">
        <f t="shared" si="183"/>
        <v>0</v>
      </c>
      <c r="R2447" s="504" t="str">
        <f t="shared" si="184"/>
        <v/>
      </c>
      <c r="S2447" s="504" t="str">
        <f>IF(D2447="","",IF(OR(D2447=Plano!$A$1,D2447=Plano!$B$1),"entrada","saída"))</f>
        <v/>
      </c>
    </row>
    <row r="2448" spans="1:19" ht="12.75" customHeight="1" x14ac:dyDescent="0.2">
      <c r="A2448" s="289" t="str">
        <f>IF(B2448="","",COUNT('Diário 5º PA'!$A$5:$A$2634)+COUNT('Diário 6º PA'!$A$5:$A$2246)+COUNT('Diário 7º PA'!$A$5:$A$2271)+ROW()-4)</f>
        <v/>
      </c>
      <c r="B2448" s="290"/>
      <c r="C2448" s="508"/>
      <c r="D2448" s="291"/>
      <c r="E2448" s="291"/>
      <c r="F2448" s="292"/>
      <c r="G2448" s="291"/>
      <c r="H2448" s="291"/>
      <c r="I2448" s="584"/>
      <c r="J2448" s="291"/>
      <c r="K2448" s="587"/>
      <c r="L2448" s="584"/>
      <c r="M2448" s="289"/>
      <c r="N2448" s="289"/>
      <c r="O2448" s="358"/>
      <c r="P2448" s="503">
        <f t="shared" si="182"/>
        <v>0</v>
      </c>
      <c r="Q2448" s="503">
        <f t="shared" si="183"/>
        <v>0</v>
      </c>
      <c r="R2448" s="504" t="str">
        <f t="shared" si="184"/>
        <v/>
      </c>
      <c r="S2448" s="504" t="str">
        <f>IF(D2448="","",IF(OR(D2448=Plano!$A$1,D2448=Plano!$B$1),"entrada","saída"))</f>
        <v/>
      </c>
    </row>
    <row r="2449" spans="1:19" ht="12.75" customHeight="1" x14ac:dyDescent="0.2">
      <c r="A2449" s="289" t="str">
        <f>IF(B2449="","",COUNT('Diário 5º PA'!$A$5:$A$2634)+COUNT('Diário 6º PA'!$A$5:$A$2246)+COUNT('Diário 7º PA'!$A$5:$A$2271)+ROW()-4)</f>
        <v/>
      </c>
      <c r="B2449" s="290"/>
      <c r="C2449" s="508"/>
      <c r="D2449" s="291"/>
      <c r="E2449" s="291"/>
      <c r="F2449" s="292"/>
      <c r="G2449" s="291"/>
      <c r="H2449" s="291"/>
      <c r="I2449" s="584"/>
      <c r="J2449" s="291"/>
      <c r="K2449" s="587"/>
      <c r="L2449" s="584"/>
      <c r="M2449" s="289"/>
      <c r="N2449" s="289"/>
      <c r="O2449" s="358"/>
      <c r="P2449" s="503">
        <f t="shared" si="182"/>
        <v>0</v>
      </c>
      <c r="Q2449" s="503">
        <f t="shared" si="183"/>
        <v>0</v>
      </c>
      <c r="R2449" s="504" t="str">
        <f t="shared" si="184"/>
        <v/>
      </c>
      <c r="S2449" s="504" t="str">
        <f>IF(D2449="","",IF(OR(D2449=Plano!$A$1,D2449=Plano!$B$1),"entrada","saída"))</f>
        <v/>
      </c>
    </row>
    <row r="2450" spans="1:19" ht="12.75" customHeight="1" x14ac:dyDescent="0.2">
      <c r="A2450" s="289" t="str">
        <f>IF(B2450="","",COUNT('Diário 5º PA'!$A$5:$A$2634)+COUNT('Diário 6º PA'!$A$5:$A$2246)+COUNT('Diário 7º PA'!$A$5:$A$2271)+ROW()-4)</f>
        <v/>
      </c>
      <c r="B2450" s="290"/>
      <c r="C2450" s="508"/>
      <c r="D2450" s="291"/>
      <c r="E2450" s="291"/>
      <c r="F2450" s="292"/>
      <c r="G2450" s="291"/>
      <c r="H2450" s="291"/>
      <c r="I2450" s="584"/>
      <c r="J2450" s="291"/>
      <c r="K2450" s="587"/>
      <c r="L2450" s="584"/>
      <c r="M2450" s="289"/>
      <c r="N2450" s="289"/>
      <c r="O2450" s="358"/>
      <c r="P2450" s="503">
        <f t="shared" si="182"/>
        <v>0</v>
      </c>
      <c r="Q2450" s="503">
        <f t="shared" si="183"/>
        <v>0</v>
      </c>
      <c r="R2450" s="504" t="str">
        <f t="shared" si="184"/>
        <v/>
      </c>
      <c r="S2450" s="504" t="str">
        <f>IF(D2450="","",IF(OR(D2450=Plano!$A$1,D2450=Plano!$B$1),"entrada","saída"))</f>
        <v/>
      </c>
    </row>
    <row r="2451" spans="1:19" ht="12.75" customHeight="1" x14ac:dyDescent="0.2">
      <c r="A2451" s="289" t="str">
        <f>IF(B2451="","",COUNT('Diário 5º PA'!$A$5:$A$2634)+COUNT('Diário 6º PA'!$A$5:$A$2246)+COUNT('Diário 7º PA'!$A$5:$A$2271)+ROW()-4)</f>
        <v/>
      </c>
      <c r="B2451" s="290"/>
      <c r="C2451" s="508"/>
      <c r="D2451" s="291"/>
      <c r="E2451" s="291"/>
      <c r="F2451" s="292"/>
      <c r="G2451" s="291"/>
      <c r="H2451" s="291"/>
      <c r="I2451" s="584"/>
      <c r="J2451" s="291"/>
      <c r="K2451" s="587"/>
      <c r="L2451" s="584"/>
      <c r="M2451" s="289"/>
      <c r="N2451" s="289"/>
      <c r="O2451" s="358"/>
      <c r="P2451" s="503">
        <f t="shared" si="182"/>
        <v>0</v>
      </c>
      <c r="Q2451" s="503">
        <f t="shared" si="183"/>
        <v>0</v>
      </c>
      <c r="R2451" s="504" t="str">
        <f t="shared" si="184"/>
        <v/>
      </c>
      <c r="S2451" s="504" t="str">
        <f>IF(D2451="","",IF(OR(D2451=Plano!$A$1,D2451=Plano!$B$1),"entrada","saída"))</f>
        <v/>
      </c>
    </row>
    <row r="2452" spans="1:19" ht="12.75" customHeight="1" x14ac:dyDescent="0.2">
      <c r="A2452" s="289" t="str">
        <f>IF(B2452="","",COUNT('Diário 5º PA'!$A$5:$A$2634)+COUNT('Diário 6º PA'!$A$5:$A$2246)+COUNT('Diário 7º PA'!$A$5:$A$2271)+ROW()-4)</f>
        <v/>
      </c>
      <c r="B2452" s="290"/>
      <c r="C2452" s="508"/>
      <c r="D2452" s="291"/>
      <c r="E2452" s="291"/>
      <c r="F2452" s="292"/>
      <c r="G2452" s="291"/>
      <c r="H2452" s="291"/>
      <c r="I2452" s="584"/>
      <c r="J2452" s="291"/>
      <c r="K2452" s="587"/>
      <c r="L2452" s="584"/>
      <c r="M2452" s="289"/>
      <c r="N2452" s="289"/>
      <c r="O2452" s="358"/>
      <c r="P2452" s="503">
        <f t="shared" si="182"/>
        <v>0</v>
      </c>
      <c r="Q2452" s="503">
        <f t="shared" si="183"/>
        <v>0</v>
      </c>
      <c r="R2452" s="504" t="str">
        <f t="shared" si="184"/>
        <v/>
      </c>
      <c r="S2452" s="504" t="str">
        <f>IF(D2452="","",IF(OR(D2452=Plano!$A$1,D2452=Plano!$B$1),"entrada","saída"))</f>
        <v/>
      </c>
    </row>
    <row r="2453" spans="1:19" ht="12.75" customHeight="1" x14ac:dyDescent="0.2">
      <c r="A2453" s="289" t="str">
        <f>IF(B2453="","",COUNT('Diário 5º PA'!$A$5:$A$2634)+COUNT('Diário 6º PA'!$A$5:$A$2246)+COUNT('Diário 7º PA'!$A$5:$A$2271)+ROW()-4)</f>
        <v/>
      </c>
      <c r="B2453" s="290"/>
      <c r="C2453" s="508"/>
      <c r="D2453" s="291"/>
      <c r="E2453" s="291"/>
      <c r="F2453" s="292"/>
      <c r="G2453" s="291"/>
      <c r="H2453" s="291"/>
      <c r="I2453" s="584"/>
      <c r="J2453" s="291"/>
      <c r="K2453" s="587"/>
      <c r="L2453" s="584"/>
      <c r="M2453" s="289"/>
      <c r="N2453" s="289"/>
      <c r="O2453" s="358"/>
      <c r="P2453" s="503">
        <f t="shared" si="182"/>
        <v>0</v>
      </c>
      <c r="Q2453" s="503">
        <f t="shared" si="183"/>
        <v>0</v>
      </c>
      <c r="R2453" s="504" t="str">
        <f t="shared" si="184"/>
        <v/>
      </c>
      <c r="S2453" s="504" t="str">
        <f>IF(D2453="","",IF(OR(D2453=Plano!$A$1,D2453=Plano!$B$1),"entrada","saída"))</f>
        <v/>
      </c>
    </row>
    <row r="2454" spans="1:19" ht="12.75" customHeight="1" x14ac:dyDescent="0.2">
      <c r="A2454" s="289" t="str">
        <f>IF(B2454="","",COUNT('Diário 5º PA'!$A$5:$A$2634)+COUNT('Diário 6º PA'!$A$5:$A$2246)+COUNT('Diário 7º PA'!$A$5:$A$2271)+ROW()-4)</f>
        <v/>
      </c>
      <c r="B2454" s="290"/>
      <c r="C2454" s="508"/>
      <c r="D2454" s="291"/>
      <c r="E2454" s="291"/>
      <c r="F2454" s="292"/>
      <c r="G2454" s="291"/>
      <c r="H2454" s="291"/>
      <c r="I2454" s="584"/>
      <c r="J2454" s="291"/>
      <c r="K2454" s="587"/>
      <c r="L2454" s="584"/>
      <c r="M2454" s="289"/>
      <c r="N2454" s="289"/>
      <c r="O2454" s="358"/>
      <c r="P2454" s="503">
        <f t="shared" ref="P2454:P2478" si="185">IF(B2454=0,0,IF(YEAR(B2454)=$Q$1,MONTH(B2454)-$P$1+1,(YEAR(B2454)-$Q$1)*12-$P$1+1+MONTH(B2454)))</f>
        <v>0</v>
      </c>
      <c r="Q2454" s="503">
        <f t="shared" ref="Q2454:Q2478" si="186">IF(C2454=0,0,IF(YEAR(C2454)=$Q$1,MONTH(C2454)-$P$1+1,(YEAR(C2454)-$Q$1)*12-$P$1+1+MONTH(C2454)))</f>
        <v>0</v>
      </c>
      <c r="R2454" s="504" t="str">
        <f t="shared" ref="R2454:R2478" si="187">SUBSTITUTE(D2454," ","_")</f>
        <v/>
      </c>
      <c r="S2454" s="504" t="str">
        <f>IF(D2454="","",IF(OR(D2454=Plano!$A$1,D2454=Plano!$B$1),"entrada","saída"))</f>
        <v/>
      </c>
    </row>
    <row r="2455" spans="1:19" ht="12.75" customHeight="1" x14ac:dyDescent="0.2">
      <c r="A2455" s="289" t="str">
        <f>IF(B2455="","",COUNT('Diário 5º PA'!$A$5:$A$2634)+COUNT('Diário 6º PA'!$A$5:$A$2246)+COUNT('Diário 7º PA'!$A$5:$A$2271)+ROW()-4)</f>
        <v/>
      </c>
      <c r="B2455" s="290"/>
      <c r="C2455" s="508"/>
      <c r="D2455" s="291"/>
      <c r="E2455" s="291"/>
      <c r="F2455" s="292"/>
      <c r="G2455" s="291"/>
      <c r="H2455" s="291"/>
      <c r="I2455" s="584"/>
      <c r="J2455" s="291"/>
      <c r="K2455" s="587"/>
      <c r="L2455" s="584"/>
      <c r="M2455" s="289"/>
      <c r="N2455" s="289"/>
      <c r="O2455" s="358"/>
      <c r="P2455" s="503">
        <f t="shared" si="185"/>
        <v>0</v>
      </c>
      <c r="Q2455" s="503">
        <f t="shared" si="186"/>
        <v>0</v>
      </c>
      <c r="R2455" s="504" t="str">
        <f t="shared" si="187"/>
        <v/>
      </c>
      <c r="S2455" s="504" t="str">
        <f>IF(D2455="","",IF(OR(D2455=Plano!$A$1,D2455=Plano!$B$1),"entrada","saída"))</f>
        <v/>
      </c>
    </row>
    <row r="2456" spans="1:19" ht="12.75" customHeight="1" x14ac:dyDescent="0.2">
      <c r="A2456" s="289" t="str">
        <f>IF(B2456="","",COUNT('Diário 5º PA'!$A$5:$A$2634)+COUNT('Diário 6º PA'!$A$5:$A$2246)+COUNT('Diário 7º PA'!$A$5:$A$2271)+ROW()-4)</f>
        <v/>
      </c>
      <c r="B2456" s="290"/>
      <c r="C2456" s="508"/>
      <c r="D2456" s="291"/>
      <c r="E2456" s="291"/>
      <c r="F2456" s="292"/>
      <c r="G2456" s="291"/>
      <c r="H2456" s="291"/>
      <c r="I2456" s="584"/>
      <c r="J2456" s="291"/>
      <c r="K2456" s="587"/>
      <c r="L2456" s="584"/>
      <c r="M2456" s="289"/>
      <c r="N2456" s="289"/>
      <c r="O2456" s="358"/>
      <c r="P2456" s="503">
        <f t="shared" si="185"/>
        <v>0</v>
      </c>
      <c r="Q2456" s="503">
        <f t="shared" si="186"/>
        <v>0</v>
      </c>
      <c r="R2456" s="504" t="str">
        <f t="shared" si="187"/>
        <v/>
      </c>
      <c r="S2456" s="504" t="str">
        <f>IF(D2456="","",IF(OR(D2456=Plano!$A$1,D2456=Plano!$B$1),"entrada","saída"))</f>
        <v/>
      </c>
    </row>
    <row r="2457" spans="1:19" ht="12.75" customHeight="1" x14ac:dyDescent="0.2">
      <c r="A2457" s="289" t="str">
        <f>IF(B2457="","",COUNT('Diário 5º PA'!$A$5:$A$2634)+COUNT('Diário 6º PA'!$A$5:$A$2246)+COUNT('Diário 7º PA'!$A$5:$A$2271)+ROW()-4)</f>
        <v/>
      </c>
      <c r="B2457" s="290"/>
      <c r="C2457" s="508"/>
      <c r="D2457" s="291"/>
      <c r="E2457" s="291"/>
      <c r="F2457" s="292"/>
      <c r="G2457" s="291"/>
      <c r="H2457" s="291"/>
      <c r="I2457" s="584"/>
      <c r="J2457" s="291"/>
      <c r="K2457" s="587"/>
      <c r="L2457" s="584"/>
      <c r="M2457" s="289"/>
      <c r="N2457" s="289"/>
      <c r="O2457" s="358"/>
      <c r="P2457" s="503">
        <f t="shared" si="185"/>
        <v>0</v>
      </c>
      <c r="Q2457" s="503">
        <f t="shared" si="186"/>
        <v>0</v>
      </c>
      <c r="R2457" s="504" t="str">
        <f t="shared" si="187"/>
        <v/>
      </c>
      <c r="S2457" s="504" t="str">
        <f>IF(D2457="","",IF(OR(D2457=Plano!$A$1,D2457=Plano!$B$1),"entrada","saída"))</f>
        <v/>
      </c>
    </row>
    <row r="2458" spans="1:19" ht="12.75" customHeight="1" x14ac:dyDescent="0.2">
      <c r="A2458" s="289" t="str">
        <f>IF(B2458="","",COUNT('Diário 5º PA'!$A$5:$A$2634)+COUNT('Diário 6º PA'!$A$5:$A$2246)+COUNT('Diário 7º PA'!$A$5:$A$2271)+ROW()-4)</f>
        <v/>
      </c>
      <c r="B2458" s="290"/>
      <c r="C2458" s="508"/>
      <c r="D2458" s="291"/>
      <c r="E2458" s="291"/>
      <c r="F2458" s="292"/>
      <c r="G2458" s="291"/>
      <c r="H2458" s="291"/>
      <c r="I2458" s="584"/>
      <c r="J2458" s="291"/>
      <c r="K2458" s="587"/>
      <c r="L2458" s="584"/>
      <c r="M2458" s="289"/>
      <c r="N2458" s="289"/>
      <c r="O2458" s="358"/>
      <c r="P2458" s="503">
        <f t="shared" si="185"/>
        <v>0</v>
      </c>
      <c r="Q2458" s="503">
        <f t="shared" si="186"/>
        <v>0</v>
      </c>
      <c r="R2458" s="504" t="str">
        <f t="shared" si="187"/>
        <v/>
      </c>
      <c r="S2458" s="504" t="str">
        <f>IF(D2458="","",IF(OR(D2458=Plano!$A$1,D2458=Plano!$B$1),"entrada","saída"))</f>
        <v/>
      </c>
    </row>
    <row r="2459" spans="1:19" ht="12.75" customHeight="1" x14ac:dyDescent="0.2">
      <c r="A2459" s="289" t="str">
        <f>IF(B2459="","",COUNT('Diário 5º PA'!$A$5:$A$2634)+COUNT('Diário 6º PA'!$A$5:$A$2246)+COUNT('Diário 7º PA'!$A$5:$A$2271)+ROW()-4)</f>
        <v/>
      </c>
      <c r="B2459" s="290"/>
      <c r="C2459" s="508"/>
      <c r="D2459" s="291"/>
      <c r="E2459" s="291"/>
      <c r="F2459" s="292"/>
      <c r="G2459" s="291"/>
      <c r="H2459" s="291"/>
      <c r="I2459" s="584"/>
      <c r="J2459" s="291"/>
      <c r="K2459" s="587"/>
      <c r="L2459" s="584"/>
      <c r="M2459" s="289"/>
      <c r="N2459" s="289"/>
      <c r="O2459" s="358"/>
      <c r="P2459" s="503">
        <f t="shared" si="185"/>
        <v>0</v>
      </c>
      <c r="Q2459" s="503">
        <f t="shared" si="186"/>
        <v>0</v>
      </c>
      <c r="R2459" s="504" t="str">
        <f t="shared" si="187"/>
        <v/>
      </c>
      <c r="S2459" s="504" t="str">
        <f>IF(D2459="","",IF(OR(D2459=Plano!$A$1,D2459=Plano!$B$1),"entrada","saída"))</f>
        <v/>
      </c>
    </row>
    <row r="2460" spans="1:19" ht="12.75" customHeight="1" x14ac:dyDescent="0.2">
      <c r="A2460" s="289" t="str">
        <f>IF(B2460="","",COUNT('Diário 5º PA'!$A$5:$A$2634)+COUNT('Diário 6º PA'!$A$5:$A$2246)+COUNT('Diário 7º PA'!$A$5:$A$2271)+ROW()-4)</f>
        <v/>
      </c>
      <c r="B2460" s="290"/>
      <c r="C2460" s="508"/>
      <c r="D2460" s="291"/>
      <c r="E2460" s="291"/>
      <c r="F2460" s="292"/>
      <c r="G2460" s="291"/>
      <c r="H2460" s="291"/>
      <c r="I2460" s="584"/>
      <c r="J2460" s="291"/>
      <c r="K2460" s="587"/>
      <c r="L2460" s="584"/>
      <c r="M2460" s="289"/>
      <c r="N2460" s="289"/>
      <c r="O2460" s="358"/>
      <c r="P2460" s="503">
        <f t="shared" si="185"/>
        <v>0</v>
      </c>
      <c r="Q2460" s="503">
        <f t="shared" si="186"/>
        <v>0</v>
      </c>
      <c r="R2460" s="504" t="str">
        <f t="shared" si="187"/>
        <v/>
      </c>
      <c r="S2460" s="504" t="str">
        <f>IF(D2460="","",IF(OR(D2460=Plano!$A$1,D2460=Plano!$B$1),"entrada","saída"))</f>
        <v/>
      </c>
    </row>
    <row r="2461" spans="1:19" ht="12.75" customHeight="1" x14ac:dyDescent="0.2">
      <c r="A2461" s="289" t="str">
        <f>IF(B2461="","",COUNT('Diário 5º PA'!$A$5:$A$2634)+COUNT('Diário 6º PA'!$A$5:$A$2246)+COUNT('Diário 7º PA'!$A$5:$A$2271)+ROW()-4)</f>
        <v/>
      </c>
      <c r="B2461" s="290"/>
      <c r="C2461" s="508"/>
      <c r="D2461" s="291"/>
      <c r="E2461" s="291"/>
      <c r="F2461" s="292"/>
      <c r="G2461" s="291"/>
      <c r="H2461" s="291"/>
      <c r="I2461" s="584"/>
      <c r="J2461" s="291"/>
      <c r="K2461" s="587"/>
      <c r="L2461" s="584"/>
      <c r="M2461" s="289"/>
      <c r="N2461" s="289"/>
      <c r="O2461" s="358"/>
      <c r="P2461" s="503">
        <f t="shared" si="185"/>
        <v>0</v>
      </c>
      <c r="Q2461" s="503">
        <f t="shared" si="186"/>
        <v>0</v>
      </c>
      <c r="R2461" s="504" t="str">
        <f t="shared" si="187"/>
        <v/>
      </c>
      <c r="S2461" s="504" t="str">
        <f>IF(D2461="","",IF(OR(D2461=Plano!$A$1,D2461=Plano!$B$1),"entrada","saída"))</f>
        <v/>
      </c>
    </row>
    <row r="2462" spans="1:19" ht="12.75" customHeight="1" x14ac:dyDescent="0.2">
      <c r="A2462" s="289" t="str">
        <f>IF(B2462="","",COUNT('Diário 5º PA'!$A$5:$A$2634)+COUNT('Diário 6º PA'!$A$5:$A$2246)+COUNT('Diário 7º PA'!$A$5:$A$2271)+ROW()-4)</f>
        <v/>
      </c>
      <c r="B2462" s="290"/>
      <c r="C2462" s="508"/>
      <c r="D2462" s="291"/>
      <c r="E2462" s="291"/>
      <c r="F2462" s="292"/>
      <c r="G2462" s="291"/>
      <c r="H2462" s="291"/>
      <c r="I2462" s="584"/>
      <c r="J2462" s="291"/>
      <c r="K2462" s="587"/>
      <c r="L2462" s="584"/>
      <c r="M2462" s="289"/>
      <c r="N2462" s="289"/>
      <c r="O2462" s="358"/>
      <c r="P2462" s="503">
        <f t="shared" si="185"/>
        <v>0</v>
      </c>
      <c r="Q2462" s="503">
        <f t="shared" si="186"/>
        <v>0</v>
      </c>
      <c r="R2462" s="504" t="str">
        <f t="shared" si="187"/>
        <v/>
      </c>
      <c r="S2462" s="504" t="str">
        <f>IF(D2462="","",IF(OR(D2462=Plano!$A$1,D2462=Plano!$B$1),"entrada","saída"))</f>
        <v/>
      </c>
    </row>
    <row r="2463" spans="1:19" ht="12.75" customHeight="1" x14ac:dyDescent="0.2">
      <c r="A2463" s="289" t="str">
        <f>IF(B2463="","",COUNT('Diário 5º PA'!$A$5:$A$2634)+COUNT('Diário 6º PA'!$A$5:$A$2246)+COUNT('Diário 7º PA'!$A$5:$A$2271)+ROW()-4)</f>
        <v/>
      </c>
      <c r="B2463" s="290"/>
      <c r="C2463" s="508"/>
      <c r="D2463" s="291"/>
      <c r="E2463" s="291"/>
      <c r="F2463" s="292"/>
      <c r="G2463" s="291"/>
      <c r="H2463" s="291"/>
      <c r="I2463" s="584"/>
      <c r="J2463" s="291"/>
      <c r="K2463" s="587"/>
      <c r="L2463" s="584"/>
      <c r="M2463" s="289"/>
      <c r="N2463" s="289"/>
      <c r="O2463" s="358"/>
      <c r="P2463" s="503">
        <f t="shared" si="185"/>
        <v>0</v>
      </c>
      <c r="Q2463" s="503">
        <f t="shared" si="186"/>
        <v>0</v>
      </c>
      <c r="R2463" s="504" t="str">
        <f t="shared" si="187"/>
        <v/>
      </c>
      <c r="S2463" s="504" t="str">
        <f>IF(D2463="","",IF(OR(D2463=Plano!$A$1,D2463=Plano!$B$1),"entrada","saída"))</f>
        <v/>
      </c>
    </row>
    <row r="2464" spans="1:19" ht="12.75" customHeight="1" x14ac:dyDescent="0.2">
      <c r="A2464" s="289" t="str">
        <f>IF(B2464="","",COUNT('Diário 5º PA'!$A$5:$A$2634)+COUNT('Diário 6º PA'!$A$5:$A$2246)+COUNT('Diário 7º PA'!$A$5:$A$2271)+ROW()-4)</f>
        <v/>
      </c>
      <c r="B2464" s="290"/>
      <c r="C2464" s="508"/>
      <c r="D2464" s="291"/>
      <c r="E2464" s="291"/>
      <c r="F2464" s="292"/>
      <c r="G2464" s="291"/>
      <c r="H2464" s="291"/>
      <c r="I2464" s="584"/>
      <c r="J2464" s="291"/>
      <c r="K2464" s="587"/>
      <c r="L2464" s="584"/>
      <c r="M2464" s="289"/>
      <c r="N2464" s="289"/>
      <c r="O2464" s="358"/>
      <c r="P2464" s="503">
        <f t="shared" si="185"/>
        <v>0</v>
      </c>
      <c r="Q2464" s="503">
        <f t="shared" si="186"/>
        <v>0</v>
      </c>
      <c r="R2464" s="504" t="str">
        <f t="shared" si="187"/>
        <v/>
      </c>
      <c r="S2464" s="504" t="str">
        <f>IF(D2464="","",IF(OR(D2464=Plano!$A$1,D2464=Plano!$B$1),"entrada","saída"))</f>
        <v/>
      </c>
    </row>
    <row r="2465" spans="1:19" ht="12.75" customHeight="1" x14ac:dyDescent="0.2">
      <c r="A2465" s="289" t="str">
        <f>IF(B2465="","",COUNT('Diário 5º PA'!$A$5:$A$2634)+COUNT('Diário 6º PA'!$A$5:$A$2246)+COUNT('Diário 7º PA'!$A$5:$A$2271)+ROW()-4)</f>
        <v/>
      </c>
      <c r="B2465" s="290"/>
      <c r="C2465" s="508"/>
      <c r="D2465" s="291"/>
      <c r="E2465" s="291"/>
      <c r="F2465" s="292"/>
      <c r="G2465" s="291"/>
      <c r="H2465" s="291"/>
      <c r="I2465" s="584"/>
      <c r="J2465" s="291"/>
      <c r="K2465" s="587"/>
      <c r="L2465" s="584"/>
      <c r="M2465" s="289"/>
      <c r="N2465" s="289"/>
      <c r="O2465" s="358"/>
      <c r="P2465" s="503">
        <f t="shared" si="185"/>
        <v>0</v>
      </c>
      <c r="Q2465" s="503">
        <f t="shared" si="186"/>
        <v>0</v>
      </c>
      <c r="R2465" s="504" t="str">
        <f t="shared" si="187"/>
        <v/>
      </c>
      <c r="S2465" s="504" t="str">
        <f>IF(D2465="","",IF(OR(D2465=Plano!$A$1,D2465=Plano!$B$1),"entrada","saída"))</f>
        <v/>
      </c>
    </row>
    <row r="2466" spans="1:19" ht="12.75" customHeight="1" x14ac:dyDescent="0.2">
      <c r="A2466" s="289" t="str">
        <f>IF(B2466="","",COUNT('Diário 5º PA'!$A$5:$A$2634)+COUNT('Diário 6º PA'!$A$5:$A$2246)+COUNT('Diário 7º PA'!$A$5:$A$2271)+ROW()-4)</f>
        <v/>
      </c>
      <c r="B2466" s="290"/>
      <c r="C2466" s="508"/>
      <c r="D2466" s="291"/>
      <c r="E2466" s="291"/>
      <c r="F2466" s="292"/>
      <c r="G2466" s="291"/>
      <c r="H2466" s="291"/>
      <c r="I2466" s="584"/>
      <c r="J2466" s="291"/>
      <c r="K2466" s="587"/>
      <c r="L2466" s="584"/>
      <c r="M2466" s="289"/>
      <c r="N2466" s="289"/>
      <c r="O2466" s="358"/>
      <c r="P2466" s="503">
        <f t="shared" si="185"/>
        <v>0</v>
      </c>
      <c r="Q2466" s="503">
        <f t="shared" si="186"/>
        <v>0</v>
      </c>
      <c r="R2466" s="504" t="str">
        <f t="shared" si="187"/>
        <v/>
      </c>
      <c r="S2466" s="504" t="str">
        <f>IF(D2466="","",IF(OR(D2466=Plano!$A$1,D2466=Plano!$B$1),"entrada","saída"))</f>
        <v/>
      </c>
    </row>
    <row r="2467" spans="1:19" ht="12.75" customHeight="1" x14ac:dyDescent="0.2">
      <c r="A2467" s="289" t="str">
        <f>IF(B2467="","",COUNT('Diário 5º PA'!$A$5:$A$2634)+COUNT('Diário 6º PA'!$A$5:$A$2246)+COUNT('Diário 7º PA'!$A$5:$A$2271)+ROW()-4)</f>
        <v/>
      </c>
      <c r="B2467" s="290"/>
      <c r="C2467" s="508"/>
      <c r="D2467" s="291"/>
      <c r="E2467" s="291"/>
      <c r="F2467" s="292"/>
      <c r="G2467" s="291"/>
      <c r="H2467" s="291"/>
      <c r="I2467" s="584"/>
      <c r="J2467" s="291"/>
      <c r="K2467" s="587"/>
      <c r="L2467" s="584"/>
      <c r="M2467" s="289"/>
      <c r="N2467" s="289"/>
      <c r="O2467" s="358"/>
      <c r="P2467" s="503">
        <f t="shared" si="185"/>
        <v>0</v>
      </c>
      <c r="Q2467" s="503">
        <f t="shared" si="186"/>
        <v>0</v>
      </c>
      <c r="R2467" s="504" t="str">
        <f t="shared" si="187"/>
        <v/>
      </c>
      <c r="S2467" s="504" t="str">
        <f>IF(D2467="","",IF(OR(D2467=Plano!$A$1,D2467=Plano!$B$1),"entrada","saída"))</f>
        <v/>
      </c>
    </row>
    <row r="2468" spans="1:19" ht="12.75" customHeight="1" x14ac:dyDescent="0.2">
      <c r="A2468" s="289" t="str">
        <f>IF(B2468="","",COUNT('Diário 5º PA'!$A$5:$A$2634)+COUNT('Diário 6º PA'!$A$5:$A$2246)+COUNT('Diário 7º PA'!$A$5:$A$2271)+ROW()-4)</f>
        <v/>
      </c>
      <c r="B2468" s="290"/>
      <c r="C2468" s="508"/>
      <c r="D2468" s="291"/>
      <c r="E2468" s="291"/>
      <c r="F2468" s="292"/>
      <c r="G2468" s="291"/>
      <c r="H2468" s="291"/>
      <c r="I2468" s="584"/>
      <c r="J2468" s="291"/>
      <c r="K2468" s="587"/>
      <c r="L2468" s="584"/>
      <c r="M2468" s="289"/>
      <c r="N2468" s="289"/>
      <c r="O2468" s="358"/>
      <c r="P2468" s="503">
        <f t="shared" si="185"/>
        <v>0</v>
      </c>
      <c r="Q2468" s="503">
        <f t="shared" si="186"/>
        <v>0</v>
      </c>
      <c r="R2468" s="504" t="str">
        <f t="shared" si="187"/>
        <v/>
      </c>
      <c r="S2468" s="504" t="str">
        <f>IF(D2468="","",IF(OR(D2468=Plano!$A$1,D2468=Plano!$B$1),"entrada","saída"))</f>
        <v/>
      </c>
    </row>
    <row r="2469" spans="1:19" ht="12.75" customHeight="1" x14ac:dyDescent="0.2">
      <c r="A2469" s="289" t="str">
        <f>IF(B2469="","",COUNT('Diário 5º PA'!$A$5:$A$2634)+COUNT('Diário 6º PA'!$A$5:$A$2246)+COUNT('Diário 7º PA'!$A$5:$A$2271)+ROW()-4)</f>
        <v/>
      </c>
      <c r="B2469" s="290"/>
      <c r="C2469" s="508"/>
      <c r="D2469" s="291"/>
      <c r="E2469" s="291"/>
      <c r="F2469" s="292"/>
      <c r="G2469" s="291"/>
      <c r="H2469" s="291"/>
      <c r="I2469" s="584"/>
      <c r="J2469" s="291"/>
      <c r="K2469" s="587"/>
      <c r="L2469" s="584"/>
      <c r="M2469" s="289"/>
      <c r="N2469" s="289"/>
      <c r="O2469" s="358"/>
      <c r="P2469" s="503">
        <f t="shared" si="185"/>
        <v>0</v>
      </c>
      <c r="Q2469" s="503">
        <f t="shared" si="186"/>
        <v>0</v>
      </c>
      <c r="R2469" s="504" t="str">
        <f t="shared" si="187"/>
        <v/>
      </c>
      <c r="S2469" s="504" t="str">
        <f>IF(D2469="","",IF(OR(D2469=Plano!$A$1,D2469=Plano!$B$1),"entrada","saída"))</f>
        <v/>
      </c>
    </row>
    <row r="2470" spans="1:19" ht="12.75" customHeight="1" x14ac:dyDescent="0.2">
      <c r="A2470" s="289" t="str">
        <f>IF(B2470="","",COUNT('Diário 5º PA'!$A$5:$A$2634)+COUNT('Diário 6º PA'!$A$5:$A$2246)+COUNT('Diário 7º PA'!$A$5:$A$2271)+ROW()-4)</f>
        <v/>
      </c>
      <c r="B2470" s="290"/>
      <c r="C2470" s="508"/>
      <c r="D2470" s="291"/>
      <c r="E2470" s="291"/>
      <c r="F2470" s="292"/>
      <c r="G2470" s="291"/>
      <c r="H2470" s="291"/>
      <c r="I2470" s="584"/>
      <c r="J2470" s="291"/>
      <c r="K2470" s="587"/>
      <c r="L2470" s="584"/>
      <c r="M2470" s="289"/>
      <c r="N2470" s="289"/>
      <c r="O2470" s="358"/>
      <c r="P2470" s="503">
        <f t="shared" si="185"/>
        <v>0</v>
      </c>
      <c r="Q2470" s="503">
        <f t="shared" si="186"/>
        <v>0</v>
      </c>
      <c r="R2470" s="504" t="str">
        <f t="shared" si="187"/>
        <v/>
      </c>
      <c r="S2470" s="504" t="str">
        <f>IF(D2470="","",IF(OR(D2470=Plano!$A$1,D2470=Plano!$B$1),"entrada","saída"))</f>
        <v/>
      </c>
    </row>
    <row r="2471" spans="1:19" ht="12.75" customHeight="1" x14ac:dyDescent="0.2">
      <c r="A2471" s="289" t="str">
        <f>IF(B2471="","",COUNT('Diário 5º PA'!$A$5:$A$2634)+COUNT('Diário 6º PA'!$A$5:$A$2246)+COUNT('Diário 7º PA'!$A$5:$A$2271)+ROW()-4)</f>
        <v/>
      </c>
      <c r="B2471" s="290"/>
      <c r="C2471" s="508"/>
      <c r="D2471" s="291"/>
      <c r="E2471" s="291"/>
      <c r="F2471" s="292"/>
      <c r="G2471" s="291"/>
      <c r="H2471" s="291"/>
      <c r="I2471" s="584"/>
      <c r="J2471" s="291"/>
      <c r="K2471" s="587"/>
      <c r="L2471" s="584"/>
      <c r="M2471" s="289"/>
      <c r="N2471" s="289"/>
      <c r="O2471" s="358"/>
      <c r="P2471" s="503">
        <f t="shared" si="185"/>
        <v>0</v>
      </c>
      <c r="Q2471" s="503">
        <f t="shared" si="186"/>
        <v>0</v>
      </c>
      <c r="R2471" s="504" t="str">
        <f t="shared" si="187"/>
        <v/>
      </c>
      <c r="S2471" s="504" t="str">
        <f>IF(D2471="","",IF(OR(D2471=Plano!$A$1,D2471=Plano!$B$1),"entrada","saída"))</f>
        <v/>
      </c>
    </row>
    <row r="2472" spans="1:19" ht="12.75" customHeight="1" x14ac:dyDescent="0.2">
      <c r="A2472" s="289" t="str">
        <f>IF(B2472="","",COUNT('Diário 5º PA'!$A$5:$A$2634)+COUNT('Diário 6º PA'!$A$5:$A$2246)+COUNT('Diário 7º PA'!$A$5:$A$2271)+ROW()-4)</f>
        <v/>
      </c>
      <c r="B2472" s="290"/>
      <c r="C2472" s="508"/>
      <c r="D2472" s="291"/>
      <c r="E2472" s="291"/>
      <c r="F2472" s="292"/>
      <c r="G2472" s="291"/>
      <c r="H2472" s="291"/>
      <c r="I2472" s="584"/>
      <c r="J2472" s="291"/>
      <c r="K2472" s="587"/>
      <c r="L2472" s="584"/>
      <c r="M2472" s="289"/>
      <c r="N2472" s="289"/>
      <c r="O2472" s="358"/>
      <c r="P2472" s="503">
        <f t="shared" si="185"/>
        <v>0</v>
      </c>
      <c r="Q2472" s="503">
        <f t="shared" si="186"/>
        <v>0</v>
      </c>
      <c r="R2472" s="504" t="str">
        <f t="shared" si="187"/>
        <v/>
      </c>
      <c r="S2472" s="504" t="str">
        <f>IF(D2472="","",IF(OR(D2472=Plano!$A$1,D2472=Plano!$B$1),"entrada","saída"))</f>
        <v/>
      </c>
    </row>
    <row r="2473" spans="1:19" ht="12.75" customHeight="1" x14ac:dyDescent="0.2">
      <c r="A2473" s="289" t="str">
        <f>IF(B2473="","",COUNT('Diário 5º PA'!$A$5:$A$2634)+COUNT('Diário 6º PA'!$A$5:$A$2246)+COUNT('Diário 7º PA'!$A$5:$A$2271)+ROW()-4)</f>
        <v/>
      </c>
      <c r="B2473" s="290"/>
      <c r="C2473" s="508"/>
      <c r="D2473" s="291"/>
      <c r="E2473" s="291"/>
      <c r="F2473" s="292"/>
      <c r="G2473" s="291"/>
      <c r="H2473" s="291"/>
      <c r="I2473" s="584"/>
      <c r="J2473" s="291"/>
      <c r="K2473" s="587"/>
      <c r="L2473" s="584"/>
      <c r="M2473" s="289"/>
      <c r="N2473" s="289"/>
      <c r="O2473" s="358"/>
      <c r="P2473" s="503">
        <f t="shared" si="185"/>
        <v>0</v>
      </c>
      <c r="Q2473" s="503">
        <f t="shared" si="186"/>
        <v>0</v>
      </c>
      <c r="R2473" s="504" t="str">
        <f t="shared" si="187"/>
        <v/>
      </c>
      <c r="S2473" s="504" t="str">
        <f>IF(D2473="","",IF(OR(D2473=Plano!$A$1,D2473=Plano!$B$1),"entrada","saída"))</f>
        <v/>
      </c>
    </row>
    <row r="2474" spans="1:19" ht="12.75" customHeight="1" x14ac:dyDescent="0.2">
      <c r="A2474" s="289" t="str">
        <f>IF(B2474="","",COUNT('Diário 5º PA'!$A$5:$A$2634)+COUNT('Diário 6º PA'!$A$5:$A$2246)+COUNT('Diário 7º PA'!$A$5:$A$2271)+ROW()-4)</f>
        <v/>
      </c>
      <c r="B2474" s="290"/>
      <c r="C2474" s="508"/>
      <c r="D2474" s="291"/>
      <c r="E2474" s="291"/>
      <c r="F2474" s="292"/>
      <c r="G2474" s="291"/>
      <c r="H2474" s="291"/>
      <c r="I2474" s="584"/>
      <c r="J2474" s="291"/>
      <c r="K2474" s="587"/>
      <c r="L2474" s="584"/>
      <c r="M2474" s="289"/>
      <c r="N2474" s="289"/>
      <c r="O2474" s="358"/>
      <c r="P2474" s="503">
        <f t="shared" si="185"/>
        <v>0</v>
      </c>
      <c r="Q2474" s="503">
        <f t="shared" si="186"/>
        <v>0</v>
      </c>
      <c r="R2474" s="504" t="str">
        <f t="shared" si="187"/>
        <v/>
      </c>
      <c r="S2474" s="504" t="str">
        <f>IF(D2474="","",IF(OR(D2474=Plano!$A$1,D2474=Plano!$B$1),"entrada","saída"))</f>
        <v/>
      </c>
    </row>
    <row r="2475" spans="1:19" ht="12.75" customHeight="1" x14ac:dyDescent="0.2">
      <c r="A2475" s="289" t="str">
        <f>IF(B2475="","",COUNT('Diário 5º PA'!$A$5:$A$2634)+COUNT('Diário 6º PA'!$A$5:$A$2246)+COUNT('Diário 7º PA'!$A$5:$A$2271)+ROW()-4)</f>
        <v/>
      </c>
      <c r="B2475" s="290"/>
      <c r="C2475" s="508"/>
      <c r="D2475" s="291"/>
      <c r="E2475" s="291"/>
      <c r="F2475" s="292"/>
      <c r="G2475" s="291"/>
      <c r="H2475" s="291"/>
      <c r="I2475" s="584"/>
      <c r="J2475" s="291"/>
      <c r="K2475" s="587"/>
      <c r="L2475" s="584"/>
      <c r="M2475" s="289"/>
      <c r="N2475" s="289"/>
      <c r="O2475" s="358"/>
      <c r="P2475" s="503">
        <f t="shared" si="185"/>
        <v>0</v>
      </c>
      <c r="Q2475" s="503">
        <f t="shared" si="186"/>
        <v>0</v>
      </c>
      <c r="R2475" s="504" t="str">
        <f t="shared" si="187"/>
        <v/>
      </c>
      <c r="S2475" s="504" t="str">
        <f>IF(D2475="","",IF(OR(D2475=Plano!$A$1,D2475=Plano!$B$1),"entrada","saída"))</f>
        <v/>
      </c>
    </row>
    <row r="2476" spans="1:19" ht="12.75" customHeight="1" x14ac:dyDescent="0.2">
      <c r="A2476" s="289" t="str">
        <f>IF(B2476="","",COUNT('Diário 5º PA'!$A$5:$A$2634)+COUNT('Diário 6º PA'!$A$5:$A$2246)+COUNT('Diário 7º PA'!$A$5:$A$2271)+ROW()-4)</f>
        <v/>
      </c>
      <c r="B2476" s="290"/>
      <c r="C2476" s="508"/>
      <c r="D2476" s="291"/>
      <c r="E2476" s="291"/>
      <c r="F2476" s="292"/>
      <c r="G2476" s="291"/>
      <c r="H2476" s="291"/>
      <c r="I2476" s="584"/>
      <c r="J2476" s="291"/>
      <c r="K2476" s="587"/>
      <c r="L2476" s="584"/>
      <c r="M2476" s="289"/>
      <c r="N2476" s="289"/>
      <c r="O2476" s="358"/>
      <c r="P2476" s="503">
        <f t="shared" si="185"/>
        <v>0</v>
      </c>
      <c r="Q2476" s="503">
        <f t="shared" si="186"/>
        <v>0</v>
      </c>
      <c r="R2476" s="504" t="str">
        <f t="shared" si="187"/>
        <v/>
      </c>
      <c r="S2476" s="504" t="str">
        <f>IF(D2476="","",IF(OR(D2476=Plano!$A$1,D2476=Plano!$B$1),"entrada","saída"))</f>
        <v/>
      </c>
    </row>
    <row r="2477" spans="1:19" ht="12.75" customHeight="1" x14ac:dyDescent="0.2">
      <c r="A2477" s="289" t="str">
        <f>IF(B2477="","",COUNT('Diário 5º PA'!$A$5:$A$2634)+COUNT('Diário 6º PA'!$A$5:$A$2246)+COUNT('Diário 7º PA'!$A$5:$A$2271)+ROW()-4)</f>
        <v/>
      </c>
      <c r="B2477" s="290"/>
      <c r="C2477" s="508"/>
      <c r="D2477" s="291"/>
      <c r="E2477" s="291"/>
      <c r="F2477" s="292"/>
      <c r="G2477" s="291"/>
      <c r="H2477" s="291"/>
      <c r="I2477" s="584"/>
      <c r="J2477" s="291"/>
      <c r="K2477" s="587"/>
      <c r="L2477" s="584"/>
      <c r="M2477" s="289"/>
      <c r="N2477" s="289"/>
      <c r="O2477" s="358"/>
      <c r="P2477" s="503">
        <f t="shared" si="185"/>
        <v>0</v>
      </c>
      <c r="Q2477" s="503">
        <f t="shared" si="186"/>
        <v>0</v>
      </c>
      <c r="R2477" s="504" t="str">
        <f t="shared" si="187"/>
        <v/>
      </c>
      <c r="S2477" s="504" t="str">
        <f>IF(D2477="","",IF(OR(D2477=Plano!$A$1,D2477=Plano!$B$1),"entrada","saída"))</f>
        <v/>
      </c>
    </row>
    <row r="2478" spans="1:19" ht="12.75" customHeight="1" x14ac:dyDescent="0.2">
      <c r="A2478" s="289" t="str">
        <f>IF(B2478="","",COUNT('Diário 5º PA'!$A$5:$A$2634)+COUNT('Diário 6º PA'!$A$5:$A$2246)+COUNT('Diário 7º PA'!$A$5:$A$2271)+ROW()-4)</f>
        <v/>
      </c>
      <c r="B2478" s="290"/>
      <c r="C2478" s="508"/>
      <c r="D2478" s="291"/>
      <c r="E2478" s="291"/>
      <c r="F2478" s="292"/>
      <c r="G2478" s="291"/>
      <c r="H2478" s="291"/>
      <c r="I2478" s="584"/>
      <c r="J2478" s="291"/>
      <c r="K2478" s="587"/>
      <c r="L2478" s="584"/>
      <c r="M2478" s="289"/>
      <c r="N2478" s="289"/>
      <c r="O2478" s="358"/>
      <c r="P2478" s="503">
        <f t="shared" si="185"/>
        <v>0</v>
      </c>
      <c r="Q2478" s="503">
        <f t="shared" si="186"/>
        <v>0</v>
      </c>
      <c r="R2478" s="504" t="str">
        <f t="shared" si="187"/>
        <v/>
      </c>
      <c r="S2478" s="504" t="str">
        <f>IF(D2478="","",IF(OR(D2478=Plano!$A$1,D2478=Plano!$B$1),"entrada","saída"))</f>
        <v/>
      </c>
    </row>
    <row r="2479" spans="1:19" ht="12.75" customHeight="1" x14ac:dyDescent="0.2">
      <c r="A2479" s="289" t="str">
        <f>IF(B2479="","",COUNT('Diário 5º PA'!$A$5:$A$2634)+COUNT('Diário 6º PA'!$A$5:$A$2246)+COUNT('Diário 7º PA'!$A$5:$A$2271)+ROW()-4)</f>
        <v/>
      </c>
      <c r="B2479" s="290"/>
      <c r="C2479" s="508"/>
      <c r="D2479" s="291"/>
      <c r="E2479" s="291"/>
      <c r="F2479" s="292"/>
      <c r="G2479" s="291"/>
      <c r="H2479" s="291"/>
      <c r="I2479" s="584"/>
      <c r="J2479" s="291"/>
      <c r="K2479" s="587"/>
      <c r="L2479" s="584"/>
      <c r="M2479" s="289"/>
      <c r="N2479" s="289"/>
      <c r="O2479" s="358"/>
      <c r="P2479" s="503">
        <f t="shared" ref="P2479:P2487" si="188">IF(B2479=0,0,IF(YEAR(B2479)=$Q$1,MONTH(B2479)-$P$1+1,(YEAR(B2479)-$Q$1)*12-$P$1+1+MONTH(B2479)))</f>
        <v>0</v>
      </c>
      <c r="Q2479" s="503">
        <f t="shared" ref="Q2479:Q2487" si="189">IF(C2479=0,0,IF(YEAR(C2479)=$Q$1,MONTH(C2479)-$P$1+1,(YEAR(C2479)-$Q$1)*12-$P$1+1+MONTH(C2479)))</f>
        <v>0</v>
      </c>
      <c r="R2479" s="504" t="str">
        <f t="shared" ref="R2479:R2487" si="190">SUBSTITUTE(D2479," ","_")</f>
        <v/>
      </c>
      <c r="S2479" s="504" t="str">
        <f>IF(D2479="","",IF(OR(D2479=Plano!$A$1,D2479=Plano!$B$1),"entrada","saída"))</f>
        <v/>
      </c>
    </row>
    <row r="2480" spans="1:19" ht="12.75" customHeight="1" x14ac:dyDescent="0.2">
      <c r="A2480" s="289" t="str">
        <f>IF(B2480="","",COUNT('Diário 5º PA'!$A$5:$A$2634)+COUNT('Diário 6º PA'!$A$5:$A$2246)+COUNT('Diário 7º PA'!$A$5:$A$2271)+ROW()-4)</f>
        <v/>
      </c>
      <c r="B2480" s="290"/>
      <c r="C2480" s="508"/>
      <c r="D2480" s="291"/>
      <c r="E2480" s="291"/>
      <c r="F2480" s="292"/>
      <c r="G2480" s="291"/>
      <c r="H2480" s="291"/>
      <c r="I2480" s="584"/>
      <c r="J2480" s="291"/>
      <c r="K2480" s="587"/>
      <c r="L2480" s="584"/>
      <c r="M2480" s="289"/>
      <c r="N2480" s="289"/>
      <c r="O2480" s="358"/>
      <c r="P2480" s="503">
        <f t="shared" si="188"/>
        <v>0</v>
      </c>
      <c r="Q2480" s="503">
        <f t="shared" si="189"/>
        <v>0</v>
      </c>
      <c r="R2480" s="504" t="str">
        <f t="shared" si="190"/>
        <v/>
      </c>
      <c r="S2480" s="504" t="str">
        <f>IF(D2480="","",IF(OR(D2480=Plano!$A$1,D2480=Plano!$B$1),"entrada","saída"))</f>
        <v/>
      </c>
    </row>
    <row r="2481" spans="1:19" ht="12.75" customHeight="1" x14ac:dyDescent="0.2">
      <c r="A2481" s="289" t="str">
        <f>IF(B2481="","",COUNT('Diário 5º PA'!$A$5:$A$2634)+COUNT('Diário 6º PA'!$A$5:$A$2246)+COUNT('Diário 7º PA'!$A$5:$A$2271)+ROW()-4)</f>
        <v/>
      </c>
      <c r="B2481" s="290"/>
      <c r="C2481" s="508"/>
      <c r="D2481" s="291"/>
      <c r="E2481" s="291"/>
      <c r="F2481" s="292"/>
      <c r="G2481" s="291"/>
      <c r="H2481" s="291"/>
      <c r="I2481" s="584"/>
      <c r="J2481" s="291"/>
      <c r="K2481" s="587"/>
      <c r="L2481" s="584"/>
      <c r="M2481" s="289"/>
      <c r="N2481" s="289"/>
      <c r="O2481" s="358"/>
      <c r="P2481" s="503">
        <f t="shared" si="188"/>
        <v>0</v>
      </c>
      <c r="Q2481" s="503">
        <f t="shared" si="189"/>
        <v>0</v>
      </c>
      <c r="R2481" s="504" t="str">
        <f t="shared" si="190"/>
        <v/>
      </c>
      <c r="S2481" s="504" t="str">
        <f>IF(D2481="","",IF(OR(D2481=Plano!$A$1,D2481=Plano!$B$1),"entrada","saída"))</f>
        <v/>
      </c>
    </row>
    <row r="2482" spans="1:19" ht="12.75" customHeight="1" x14ac:dyDescent="0.2">
      <c r="A2482" s="289" t="str">
        <f>IF(B2482="","",COUNT('Diário 5º PA'!$A$5:$A$2634)+COUNT('Diário 6º PA'!$A$5:$A$2246)+COUNT('Diário 7º PA'!$A$5:$A$2271)+ROW()-4)</f>
        <v/>
      </c>
      <c r="B2482" s="290"/>
      <c r="C2482" s="508"/>
      <c r="D2482" s="291"/>
      <c r="E2482" s="291"/>
      <c r="F2482" s="292"/>
      <c r="G2482" s="291"/>
      <c r="H2482" s="291"/>
      <c r="I2482" s="584"/>
      <c r="J2482" s="291"/>
      <c r="K2482" s="587"/>
      <c r="L2482" s="584"/>
      <c r="M2482" s="289"/>
      <c r="N2482" s="289"/>
      <c r="O2482" s="358"/>
      <c r="P2482" s="503">
        <f t="shared" si="188"/>
        <v>0</v>
      </c>
      <c r="Q2482" s="503">
        <f t="shared" si="189"/>
        <v>0</v>
      </c>
      <c r="R2482" s="504" t="str">
        <f t="shared" si="190"/>
        <v/>
      </c>
      <c r="S2482" s="504" t="str">
        <f>IF(D2482="","",IF(OR(D2482=Plano!$A$1,D2482=Plano!$B$1),"entrada","saída"))</f>
        <v/>
      </c>
    </row>
    <row r="2483" spans="1:19" ht="12.75" customHeight="1" x14ac:dyDescent="0.2">
      <c r="A2483" s="289" t="str">
        <f>IF(B2483="","",COUNT('Diário 5º PA'!$A$5:$A$2634)+COUNT('Diário 6º PA'!$A$5:$A$2246)+COUNT('Diário 7º PA'!$A$5:$A$2271)+ROW()-4)</f>
        <v/>
      </c>
      <c r="B2483" s="290"/>
      <c r="C2483" s="508"/>
      <c r="D2483" s="291"/>
      <c r="E2483" s="291"/>
      <c r="F2483" s="292"/>
      <c r="G2483" s="291"/>
      <c r="H2483" s="291"/>
      <c r="I2483" s="584"/>
      <c r="J2483" s="291"/>
      <c r="K2483" s="587"/>
      <c r="L2483" s="584"/>
      <c r="M2483" s="289"/>
      <c r="N2483" s="289"/>
      <c r="O2483" s="358"/>
      <c r="P2483" s="503">
        <f t="shared" si="188"/>
        <v>0</v>
      </c>
      <c r="Q2483" s="503">
        <f t="shared" si="189"/>
        <v>0</v>
      </c>
      <c r="R2483" s="504" t="str">
        <f t="shared" si="190"/>
        <v/>
      </c>
      <c r="S2483" s="504" t="str">
        <f>IF(D2483="","",IF(OR(D2483=Plano!$A$1,D2483=Plano!$B$1),"entrada","saída"))</f>
        <v/>
      </c>
    </row>
    <row r="2484" spans="1:19" ht="12.75" customHeight="1" x14ac:dyDescent="0.2">
      <c r="A2484" s="289" t="str">
        <f>IF(B2484="","",COUNT('Diário 5º PA'!$A$5:$A$2634)+COUNT('Diário 6º PA'!$A$5:$A$2246)+COUNT('Diário 7º PA'!$A$5:$A$2271)+ROW()-4)</f>
        <v/>
      </c>
      <c r="B2484" s="290"/>
      <c r="C2484" s="508"/>
      <c r="D2484" s="291"/>
      <c r="E2484" s="291"/>
      <c r="F2484" s="292"/>
      <c r="G2484" s="291"/>
      <c r="H2484" s="291"/>
      <c r="I2484" s="584"/>
      <c r="J2484" s="291"/>
      <c r="K2484" s="587"/>
      <c r="L2484" s="584"/>
      <c r="M2484" s="289"/>
      <c r="N2484" s="289"/>
      <c r="O2484" s="358"/>
      <c r="P2484" s="503">
        <f t="shared" si="188"/>
        <v>0</v>
      </c>
      <c r="Q2484" s="503">
        <f t="shared" si="189"/>
        <v>0</v>
      </c>
      <c r="R2484" s="504" t="str">
        <f t="shared" si="190"/>
        <v/>
      </c>
      <c r="S2484" s="504" t="str">
        <f>IF(D2484="","",IF(OR(D2484=Plano!$A$1,D2484=Plano!$B$1),"entrada","saída"))</f>
        <v/>
      </c>
    </row>
    <row r="2485" spans="1:19" ht="12.75" customHeight="1" x14ac:dyDescent="0.2">
      <c r="A2485" s="289" t="str">
        <f>IF(B2485="","",COUNT('Diário 5º PA'!$A$5:$A$2634)+COUNT('Diário 6º PA'!$A$5:$A$2246)+COUNT('Diário 7º PA'!$A$5:$A$2271)+ROW()-4)</f>
        <v/>
      </c>
      <c r="B2485" s="290"/>
      <c r="C2485" s="508"/>
      <c r="D2485" s="291"/>
      <c r="E2485" s="291"/>
      <c r="F2485" s="292"/>
      <c r="G2485" s="291"/>
      <c r="H2485" s="291"/>
      <c r="I2485" s="584"/>
      <c r="J2485" s="291"/>
      <c r="K2485" s="587"/>
      <c r="L2485" s="584"/>
      <c r="M2485" s="289"/>
      <c r="N2485" s="289"/>
      <c r="O2485" s="358"/>
      <c r="P2485" s="503">
        <f t="shared" si="188"/>
        <v>0</v>
      </c>
      <c r="Q2485" s="503">
        <f t="shared" si="189"/>
        <v>0</v>
      </c>
      <c r="R2485" s="504" t="str">
        <f t="shared" si="190"/>
        <v/>
      </c>
      <c r="S2485" s="504" t="str">
        <f>IF(D2485="","",IF(OR(D2485=Plano!$A$1,D2485=Plano!$B$1),"entrada","saída"))</f>
        <v/>
      </c>
    </row>
    <row r="2486" spans="1:19" ht="12.75" customHeight="1" x14ac:dyDescent="0.2">
      <c r="A2486" s="289" t="str">
        <f>IF(B2486="","",COUNT('Diário 5º PA'!$A$5:$A$2634)+COUNT('Diário 6º PA'!$A$5:$A$2246)+COUNT('Diário 7º PA'!$A$5:$A$2271)+ROW()-4)</f>
        <v/>
      </c>
      <c r="B2486" s="290"/>
      <c r="C2486" s="508"/>
      <c r="D2486" s="291"/>
      <c r="E2486" s="291"/>
      <c r="F2486" s="292"/>
      <c r="G2486" s="291"/>
      <c r="H2486" s="291"/>
      <c r="I2486" s="584"/>
      <c r="J2486" s="291"/>
      <c r="K2486" s="587"/>
      <c r="L2486" s="584"/>
      <c r="M2486" s="289"/>
      <c r="N2486" s="289"/>
      <c r="O2486" s="358"/>
      <c r="P2486" s="503">
        <f t="shared" si="188"/>
        <v>0</v>
      </c>
      <c r="Q2486" s="503">
        <f t="shared" si="189"/>
        <v>0</v>
      </c>
      <c r="R2486" s="504" t="str">
        <f t="shared" si="190"/>
        <v/>
      </c>
      <c r="S2486" s="504" t="str">
        <f>IF(D2486="","",IF(OR(D2486=Plano!$A$1,D2486=Plano!$B$1),"entrada","saída"))</f>
        <v/>
      </c>
    </row>
    <row r="2487" spans="1:19" ht="12.75" customHeight="1" x14ac:dyDescent="0.2">
      <c r="A2487" s="289" t="str">
        <f>IF(B2487="","",COUNT('Diário 5º PA'!$A$5:$A$2634)+COUNT('Diário 6º PA'!$A$5:$A$2246)+COUNT('Diário 7º PA'!$A$5:$A$2271)+ROW()-4)</f>
        <v/>
      </c>
      <c r="B2487" s="290"/>
      <c r="C2487" s="508"/>
      <c r="D2487" s="291"/>
      <c r="E2487" s="291"/>
      <c r="F2487" s="292"/>
      <c r="G2487" s="291"/>
      <c r="H2487" s="291"/>
      <c r="I2487" s="584"/>
      <c r="J2487" s="291"/>
      <c r="K2487" s="587"/>
      <c r="L2487" s="584"/>
      <c r="M2487" s="289"/>
      <c r="N2487" s="290"/>
      <c r="O2487" s="358"/>
      <c r="P2487" s="503">
        <f t="shared" si="188"/>
        <v>0</v>
      </c>
      <c r="Q2487" s="503">
        <f t="shared" si="189"/>
        <v>0</v>
      </c>
      <c r="R2487" s="504" t="str">
        <f t="shared" si="190"/>
        <v/>
      </c>
      <c r="S2487" s="504" t="str">
        <f>IF(D2487="","",IF(OR(D2487=Plano!$A$1,D2487=Plano!$B$1),"entrada","saída"))</f>
        <v/>
      </c>
    </row>
    <row r="2488" spans="1:19" ht="12.75" customHeight="1" x14ac:dyDescent="0.2">
      <c r="A2488" s="289" t="str">
        <f>IF(B2488="","",COUNT('Diário 5º PA'!$A$5:$A$2634)+COUNT('Diário 6º PA'!$A$5:$A$2246)+COUNT('Diário 7º PA'!$A$5:$A$2271)+ROW()-4)</f>
        <v/>
      </c>
      <c r="B2488" s="359"/>
      <c r="C2488" s="509"/>
      <c r="D2488" s="361"/>
      <c r="E2488" s="361"/>
      <c r="F2488" s="362"/>
      <c r="G2488" s="361"/>
      <c r="H2488" s="361"/>
      <c r="I2488" s="585"/>
      <c r="J2488" s="361"/>
      <c r="K2488" s="588"/>
      <c r="L2488" s="585"/>
      <c r="M2488" s="288"/>
      <c r="N2488" s="359"/>
      <c r="O2488" s="358"/>
      <c r="P2488" s="280">
        <f t="shared" ref="P2488:Q2488" si="191">IF(B2488=0,0,IF(YEAR(B2488)=$Q$1,MONTH(B2488)-$P$1+1,(YEAR(B2488)-$Q$1)*12-$P$1+1+MONTH(B2488)))</f>
        <v>0</v>
      </c>
      <c r="Q2488" s="280">
        <f t="shared" si="191"/>
        <v>0</v>
      </c>
      <c r="R2488" s="356" t="e">
        <f>#N/A</f>
        <v>#N/A</v>
      </c>
      <c r="S2488" s="269" t="str">
        <f>IF(D2488="","",IF(OR(D2488=Plano!$A$1,D2488=Plano!$B$1),"entrada","saída"))</f>
        <v/>
      </c>
    </row>
  </sheetData>
  <autoFilter ref="A4:U2488"/>
  <mergeCells count="3">
    <mergeCell ref="A1:N1"/>
    <mergeCell ref="A2:N2"/>
    <mergeCell ref="A3:N3"/>
  </mergeCells>
  <dataValidations count="17">
    <dataValidation type="date" allowBlank="1" showErrorMessage="1" sqref="N5:N9 C5:C9 C13:C15 N16 N18 C33 C35:C36 C60 C68:C78 N80:N82 N85 C80:C82 C85 N88:N125 C88:C125 C129 C132 C351:C352 N191 C191:C192 C183:C185 N215:N272 C208:C213 C40 C334:C335 N194:N213 N356:N362 C356:C361 C364:C365 C384:C387 C410 N423 C414:C419 C482 C503 N506:N515 C517:C519 C526 C545:C547 C550 C552:C554 C43:C48 C279:C281 C194:C200 N369:N381 C376:C381 C485:C490 C395:C406 N578:N579 C581 N582:N589 C583:C589 N591 N627:N630 N622:N625 C767:C769 B774:C775 C779 N634:N677 C633:C677 C785:C786 C805 C810 C822:C823 C832 C904:C906 C923:C924 N933:N937 B928:C932 B1661:B2001 C943:C944 N942:N944 C948 C953:C961 N949:N961 C963:C964 C976:C977 N982:N983 C982:C985 C1008 N995:N1008 C1021:C1030 N1032 N1014:N1030 C1039 C1051:C1059 N1051:N1118 C1078 C1081 N1125 C1129 C1152:C1154 C1159:C1162 C1166 N2006:N2015 N1190 C1196:C1209 C761:C765 N1227:N1268 C1269 C1365:C1372 C1390:C1400 N1402:N1406 C1402:C1406 C1408:C1449 N1408:N1450 N1617:N1639 C1505:C1512 N1515:N1516 N1519:N1520 C1517:C1521 N1523:N1528 C1525:C1528 C1560:C1561 C1566 C1585 C1592 C1501:C1503 C1675:C1679 N1669:N1678 C1683 C1685:C1691 N1693 N1688:N1691 C1693 C1695 C1949:C1954 C29:C31 N24:N31 C1755 N1820:N1821 C1823 C1826 C1834 N1841 C1850 C1853 C1857 C1866:C1868 C1647:C1654 C1747:C1753 C1847 C1881:C1932 N1879:N1880 C1879 C1718:C1731 N940 C1941:C1944 C1981 N134:N185 C134:C176 C203:C204 C342:C349 N395:N406 C494:C499 N485:N499 C492 C528:C535 C299 C316:C327 N279:N323 N330:N332 C330:C332 C369:C373 C505:C515 N913:N924 N43:N78 N593:N617 C557:C574 N557:N575 C1958 N1949:N1954 C1961:C1963 C591:C620 B2002:C2002 N1941:N1944 N1890:N1938 C1287:C1331 N1130:N1136 N528:N543 C1638:C1639 N1169:N1174 C2006:C2008 N1196:N1209 C1146:C1150 N1140:N1145 N1148:N1154 N1179:N1181 C696:C739 B2003:B2488 C950:C951 N974:N977 C972:C973 N972 C1018:C1019 C1169:C1178 C2017:C2488 C1617:C1619 C537:C543 C1454:C1499 C1547:C1549 N1660:N1664 B1660:C1660 N1983:N2002 C1661 C1669:C1671 N1698:N1705 C1698:C1705 C1713:C1716 N1713:N1716 C622:C630 N680:N764 C882 B776:B927 N1212:N1224 C1211:C1224 N786:N905 N1271:N1347 N1352:N1356 N1718:N1813 N1365:N1400 C1531 N1530:N1551 C1338:C1347 N1648:N1654 N1969:N1976 C1741:C1745 C1968:C1979 N1454:N1513 C1633:C1636 N2017:N2021 C1999:C2001 B933:B1659 C24:C27 B5:B773 N342:N352">
      <formula1>40544</formula1>
      <formula2>44561</formula2>
    </dataValidation>
    <dataValidation type="list" allowBlank="1" showErrorMessage="1" sqref="E5:E9 E13:E15 E33 E35:E36 E273:E275 E212 E80:E82 E85 E88:E125 E129 E132 E60 E191 E485:E489 E244:E245 E264 E270:E271 E40 E68:E78 E505:E515 E334 E194:E200 E356:E361 E364:E365 E183:E185 E385:E387 E351:E352 E465 E425 E437:E438 E316:E328 E423 E517:E519 E521 E395:E405 E545:E547 E43:E48 E279:E281 E376:E379 E330:E332 E1878:E1932 E576:E577 E622:E625 E494:E499 E627:E630 E677 E877:E884 E634:E675 E785:E786 E825 E832 E837:E839 E774:E775 E908:E909 E904:E905 E926 E928:E931 E1271:E1331 E939 E933 E941:E944 E963:E964 E967:E968 E976:E977 E982:E985 E953:E959 E923:E924 E1051:E1059 E1061 E1125 E1118 E995:E1006 E1152:E1154 E1159:E1160 E1162 E1166 E1140 E1188:E1189 E1021:E1030 E1196:E1203 E1227:E1269 E1211:E1212 E2017:E2488 E1390:E1400 E1402:E1406 E1408:E1449 E1954 E1516:E1517 E1519:E1521 E1525:E1528 E1550:E1551 E1553:E1555 E1585 E1587:E1588 E1941:E1944 E1643:E1644 E1646 E1532 E1658 E1661 E1966:E1973 E29:E31 E1675:E1678 E1820 E1841 E1638:E1639 E1847 E1698:E1705 E1365:E1372 E557:E574 E134:E176 E492 E528:E535 E591:E596 E613:E620 E369:E373 E414:E419 E1130:E1133 E1741:E1813 E583:E589 E1956:E1959 E1094:E1095 E537:E543 E1169:E1178 E841:E866 E913:E916 E1146:E1150 E680:E739 E948:E951 E1014:E1019 E1617:E1619 E1454:E1498 E1625:E1627 E1669:E1671 E1652:E1654 E1949:E1952 E1961:E1964 E2002:E2008 E757:E764 E1338:E1347 E1353:E1356 E1383:E1385 E1504:E1512 E1648:E1649 E1685:E1691 E1709:E1731 E1977:E1982 E1633:E1635 E24:E27 E342:E349">
      <formula1>INDIRECT($R5)</formula1>
    </dataValidation>
    <dataValidation type="list" allowBlank="1" showErrorMessage="1" sqref="H326 H595:H596 H630 H592 H785 H832 H858 H924 H928 H1021:H1030 H1051:H1059 H1179 H1330:H1331 H1585 H1646 H1741:H1746 H1748:H1755 H1879:H1889 H2020:H2488">
      <formula1>VinculoPT</formula1>
    </dataValidation>
    <dataValidation type="list" allowBlank="1" showErrorMessage="1" sqref="E10:E12 E32 E34 E37:E39 E41:E42 E79 E83:E84 E86:E87 E126:E128 E130:E131 E133 E192:E193 E276:E278 E246:E263 E265:E269 E272 E186:E190 E213:E243 E16:E23 E333 E335:E341 E353:E355 E362:E363 E366:E368 E380:E384 E388:E394 E406:E413 E424 E426:E436 E439:E464 E420:E422 E516 E520 E522:E527 E544 E548:E556 E282:E283 E49:E52 E177:E182 E490:E491 E500:E504 E575 E578:E582 E590 E621 E885:E903 E631:E633 E676 E678:E679 E765:E773 E776:E784 E787:E824 E826:E831 E833:E836 E840 E906:E907 E910:E912 E925 E932 E927 E940 E945:E947 E960:E962 E965:E966 E917:E922 E978:E981 E986:E994 E1007:E1013 E1031:E1050 E1060 E1062:E1093 E1119:E1124 E1126:E1129 E1155:E1158 E1161 E1163:E1165 E1167:E1168 E1179:E1187 E1190:E1195 E748:E756 E1270 E1955 E1983:E2001 E1401 E1407 E1450:E1453 E1513:E1515 E1518 E1522:E1524 E1386:E1389 E1552 E1556:E1584 E1586 E1679:E1684 E1640:E1642 E1645 E1647 E1655:E1657 E1533:E1549 E1589:E1616 E1692:E1697 E374:E375 E28 E1706:E1708 E1814:E1819 E1821:E1840 E1842:E1846 E1848:E1877 E1945:E1948 E54:E59 E1965 E329 E350 E493 E536 E201:E211 E285:E305 E61:E67 E307:E315 E466:E484 E1960 E597:E612 E1213:E1226 E1020 E1134:E1139 E952 E1672:E1674 E1204:E1210 E1332:E1337 E1102:E1117 E1141:E1145 E1151 E740:E746 E867:E870 E626 E969:E975 E1096:E1098 E1100 E934:E938 E1974:E1976 E1373:E1377 E1357:E1364 E1620:E1621 E1623:E1624 E1659:E1660 E1636:E1637 E1662:E1668 E1933:E1934 E1936 E1938:E1940 E1953 E872:E876 E1348:E1352 E1379:E1382 E1529:E1531 E1499:E1503 E1650:E1651 E1732:E1740 E1628:E1632 E2009:E2016">
      <formula1>INDIRECT($Q10)</formula1>
    </dataValidation>
    <dataValidation type="list" allowBlank="1" showErrorMessage="1" sqref="H272 H245 H265 H40 H774 H1521 H1586 H1611:H1616">
      <formula1>$B$6:$B$16</formula1>
    </dataValidation>
    <dataValidation type="list" allowBlank="1" showErrorMessage="1" sqref="H118:H119 H327 H322:H323 H666:H667 H923 H956 H968 H1261:H1262 H1442:H1443 H1516 H1638:H1639 H1643 H1806:H1807">
      <formula1>$B$6:$B$32</formula1>
    </dataValidation>
    <dataValidation type="list" allowBlank="1" showErrorMessage="1" sqref="H324:H325 H833:H834 H908:H909 H1554:H1555">
      <formula1>$B$6:$B$20</formula1>
    </dataValidation>
    <dataValidation type="list" allowBlank="1" showErrorMessage="1" sqref="H386:H387 H425 H546 H514:H515 H517:H519 H521 H528 H543 H465 H575:H577 H984:H985 H1061 H1125 H1152:H1154 H1159:H1160 H1162 H1166 H1170 H1878 H1188:H1189 H1389 H1712 H1820 H1180 H2002 H2004:H2006">
      <formula1>$B$6:$B$31</formula1>
    </dataValidation>
    <dataValidation type="list" allowBlank="1" showErrorMessage="1" sqref="H459 H461 H463">
      <formula1>$B$6:$B$22</formula1>
    </dataValidation>
    <dataValidation type="list" allowBlank="1" showErrorMessage="1" sqref="H505 H1710:H1711 H545 H547 H775 H929:H931 H1211 H1269 H1652 H511">
      <formula1>$B$6:$B$33</formula1>
    </dataValidation>
    <dataValidation type="list" allowBlank="1" showErrorMessage="1" sqref="E53 E871 E1099 E1101 E1622 E1935 E1937">
      <formula1>INDIRECT(#REF!)</formula1>
    </dataValidation>
    <dataValidation type="list" allowBlank="1" showErrorMessage="1" sqref="E284">
      <formula1>INDIRECT($Q283)</formula1>
    </dataValidation>
    <dataValidation type="list" allowBlank="1" showErrorMessage="1" sqref="H1046:H1048">
      <formula1>$B$6:$B$18</formula1>
    </dataValidation>
    <dataValidation type="list" allowBlank="1" showErrorMessage="1" sqref="H1814:H1817">
      <formula1>$B$6:$B$14</formula1>
    </dataValidation>
    <dataValidation type="list" allowBlank="1" showErrorMessage="1" sqref="D306:E306 D5:D305 D307:D2488">
      <formula1>Categorias</formula1>
    </dataValidation>
    <dataValidation type="list" allowBlank="1" showErrorMessage="1" sqref="E747 E1378">
      <formula1>INDIRECT($Q744)</formula1>
    </dataValidation>
    <dataValidation type="list" allowBlank="1" showErrorMessage="1" sqref="O5:O2488">
      <formula1>Contas</formula1>
    </dataValidation>
  </dataValidations>
  <hyperlinks>
    <hyperlink ref="I362" r:id="rId1" display="Processo 2059 - Filmes De Minas Ltda"/>
  </hyperlinks>
  <pageMargins left="0.59055118110236227" right="0.59055118110236227" top="0.59055118110236227" bottom="0.59055118110236227" header="0" footer="0"/>
  <pageSetup paperSize="9" scale="50" fitToHeight="0" pageOrder="overThenDown" orientation="landscape" r:id="rId2"/>
  <extLst>
    <ext xmlns:x14="http://schemas.microsoft.com/office/spreadsheetml/2009/9/main" uri="{CCE6A557-97BC-4b89-ADB6-D9C93CAAB3DF}">
      <x14:dataValidations xmlns:xm="http://schemas.microsoft.com/office/excel/2006/main" count="1">
        <x14:dataValidation type="list" allowBlank="1" showErrorMessage="1">
          <x14:formula1>
            <xm:f>'Gasto das Atividades'!$B$6:$B$28</xm:f>
          </x14:formula1>
          <xm:sqref>H512:H513 H246:H264 H266:H271 H578:H591 H426:H458 H460 H462 H464 H506:H510 H516 H520 H522:H527 H544 H593:H594 H1653:H1709 H776:H784 H631:H665 H786:H831 H835:H857 H2003 H925:H927 H932:H955 H957:H967 H597:H629 H910:H922 H1031:H1045 H1049:H1050 H1060 H1212:H1260 H273:H321 H986:H1020 H1167:H1169 H1161 H1163:H1165 H1155:H1158 H1181:H1187 H1890:H2001 H1190:H1210 H1263:H1268 H1270:H1329 H1390:H1441 H1062:H1124 H1517:H1520 H1332:H1388 H1556:H1584 H1587:H1610 H1647:H1651 H1640:H1642 H1644:H1645 H1444:H1515 H1522:H1553 H41:H117 H120:H244 H2007:H2019 H1747 H1756:H1805 H1808:H1813 H1818:H1819 H1821:H1839 H1841:H1877 H466:H504 H388:H424 H529:H542 H548:H574 H859:H907 H969:H983 H1713:H1740 H668:H773 H1126:H1151 H1171:H1178 H1617:H1637 H5:H39 H328:H385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000"/>
  <sheetViews>
    <sheetView workbookViewId="0">
      <pane ySplit="4" topLeftCell="A5" activePane="bottomLeft" state="frozen"/>
      <selection pane="bottomLeft" activeCell="D32" sqref="D32"/>
    </sheetView>
  </sheetViews>
  <sheetFormatPr defaultColWidth="14.42578125" defaultRowHeight="15" customHeight="1" x14ac:dyDescent="0.2"/>
  <cols>
    <col min="1" max="1" width="4.140625" customWidth="1"/>
    <col min="2" max="2" width="11" customWidth="1"/>
    <col min="3" max="3" width="23.5703125" customWidth="1"/>
    <col min="4" max="4" width="12.85546875" customWidth="1"/>
    <col min="5" max="5" width="39.140625" customWidth="1"/>
    <col min="6" max="6" width="23.85546875" customWidth="1"/>
    <col min="7" max="7" width="19.28515625" customWidth="1"/>
    <col min="8" max="8" width="17.28515625" customWidth="1"/>
    <col min="9" max="9" width="14.7109375" customWidth="1"/>
    <col min="11" max="11" width="13" customWidth="1"/>
    <col min="12" max="12" width="9.140625" hidden="1" customWidth="1"/>
    <col min="13" max="26" width="9.140625" customWidth="1"/>
  </cols>
  <sheetData>
    <row r="1" spans="1:26" ht="31.5" customHeight="1" x14ac:dyDescent="0.2">
      <c r="A1" s="709" t="str">
        <f>Capa!A1</f>
        <v>Contrato de Gestão nº. 05/20 celebrado entre a Fundação Clóvis Salgado e a Associação Pró-Cultura e Promoção das Artes</v>
      </c>
      <c r="B1" s="695"/>
      <c r="C1" s="695"/>
      <c r="D1" s="695"/>
      <c r="E1" s="695"/>
      <c r="F1" s="695"/>
      <c r="G1" s="695"/>
      <c r="H1" s="695"/>
      <c r="I1" s="695"/>
      <c r="J1" s="695"/>
      <c r="K1" s="696"/>
      <c r="L1" s="268">
        <f>MONTH(Resumo!C5)</f>
        <v>1</v>
      </c>
      <c r="M1" s="269"/>
      <c r="N1" s="269"/>
      <c r="O1" s="269"/>
      <c r="P1" s="269"/>
      <c r="Q1" s="269"/>
      <c r="R1" s="269"/>
      <c r="S1" s="269"/>
      <c r="T1" s="269"/>
      <c r="U1" s="269"/>
      <c r="V1" s="269"/>
      <c r="W1" s="269"/>
      <c r="X1" s="269"/>
      <c r="Y1" s="269"/>
      <c r="Z1" s="269"/>
    </row>
    <row r="2" spans="1:26" ht="19.5" customHeight="1" x14ac:dyDescent="0.2">
      <c r="A2" s="709" t="str">
        <f>Capa!A3</f>
        <v>8º Relatório Gerencial Financeiro</v>
      </c>
      <c r="B2" s="695"/>
      <c r="C2" s="695"/>
      <c r="D2" s="695"/>
      <c r="E2" s="695"/>
      <c r="F2" s="695"/>
      <c r="G2" s="695"/>
      <c r="H2" s="695"/>
      <c r="I2" s="695"/>
      <c r="J2" s="695"/>
      <c r="K2" s="696"/>
      <c r="L2" s="270"/>
      <c r="M2" s="269"/>
      <c r="N2" s="269"/>
      <c r="O2" s="269"/>
      <c r="P2" s="269"/>
      <c r="Q2" s="269"/>
      <c r="R2" s="269"/>
      <c r="S2" s="269"/>
      <c r="T2" s="269"/>
      <c r="U2" s="269"/>
      <c r="V2" s="269"/>
      <c r="W2" s="269"/>
      <c r="X2" s="269"/>
      <c r="Y2" s="269"/>
      <c r="Z2" s="269"/>
    </row>
    <row r="3" spans="1:26" ht="19.5" customHeight="1" x14ac:dyDescent="0.2">
      <c r="A3" s="747" t="s">
        <v>937</v>
      </c>
      <c r="B3" s="711"/>
      <c r="C3" s="711"/>
      <c r="D3" s="711"/>
      <c r="E3" s="711"/>
      <c r="F3" s="711"/>
      <c r="G3" s="711"/>
      <c r="H3" s="711"/>
      <c r="I3" s="711"/>
      <c r="J3" s="711"/>
      <c r="K3" s="712"/>
      <c r="L3" s="271"/>
      <c r="M3" s="269"/>
      <c r="N3" s="269"/>
      <c r="O3" s="269"/>
      <c r="P3" s="269"/>
      <c r="Q3" s="269"/>
      <c r="R3" s="269"/>
      <c r="S3" s="269"/>
      <c r="T3" s="269"/>
      <c r="U3" s="269"/>
      <c r="V3" s="269"/>
      <c r="W3" s="269"/>
      <c r="X3" s="269"/>
      <c r="Y3" s="269"/>
      <c r="Z3" s="269"/>
    </row>
    <row r="4" spans="1:26" ht="50.25" customHeight="1" x14ac:dyDescent="0.2">
      <c r="A4" s="272" t="s">
        <v>938</v>
      </c>
      <c r="B4" s="272" t="s">
        <v>939</v>
      </c>
      <c r="C4" s="273" t="s">
        <v>419</v>
      </c>
      <c r="D4" s="273" t="s">
        <v>940</v>
      </c>
      <c r="E4" s="273" t="s">
        <v>421</v>
      </c>
      <c r="F4" s="274" t="s">
        <v>423</v>
      </c>
      <c r="G4" s="273" t="s">
        <v>941</v>
      </c>
      <c r="H4" s="273" t="s">
        <v>425</v>
      </c>
      <c r="I4" s="274" t="s">
        <v>942</v>
      </c>
      <c r="J4" s="273" t="s">
        <v>427</v>
      </c>
      <c r="K4" s="273" t="s">
        <v>428</v>
      </c>
      <c r="L4" s="275" t="s">
        <v>943</v>
      </c>
      <c r="M4" s="276"/>
      <c r="N4" s="276"/>
      <c r="O4" s="276"/>
      <c r="P4" s="276"/>
      <c r="Q4" s="276"/>
      <c r="R4" s="276"/>
      <c r="S4" s="276"/>
      <c r="T4" s="276"/>
      <c r="U4" s="276"/>
      <c r="V4" s="276"/>
      <c r="W4" s="276"/>
      <c r="X4" s="276"/>
      <c r="Y4" s="276"/>
      <c r="Z4" s="276"/>
    </row>
    <row r="5" spans="1:26" ht="48" hidden="1" customHeight="1" x14ac:dyDescent="0.2">
      <c r="A5" s="277">
        <v>1</v>
      </c>
      <c r="B5" s="278">
        <v>44221</v>
      </c>
      <c r="C5" s="255" t="s">
        <v>57</v>
      </c>
      <c r="D5" s="258">
        <v>870.43</v>
      </c>
      <c r="E5" s="255" t="s">
        <v>944</v>
      </c>
      <c r="F5" s="250" t="s">
        <v>945</v>
      </c>
      <c r="G5" s="255" t="s">
        <v>850</v>
      </c>
      <c r="H5" s="255" t="s">
        <v>946</v>
      </c>
      <c r="I5" s="250" t="s">
        <v>947</v>
      </c>
      <c r="J5" s="279" t="s">
        <v>114</v>
      </c>
      <c r="K5" s="278">
        <v>44221</v>
      </c>
      <c r="L5" s="280">
        <f t="shared" ref="L5:L54" si="0">IF(B5=0,0,MONTH(B5)-$L$1+1)</f>
        <v>1</v>
      </c>
      <c r="M5" s="269"/>
      <c r="N5" s="269"/>
      <c r="O5" s="269"/>
      <c r="P5" s="269"/>
      <c r="Q5" s="269"/>
      <c r="R5" s="269"/>
      <c r="S5" s="269"/>
      <c r="T5" s="269"/>
      <c r="U5" s="269"/>
      <c r="V5" s="269"/>
      <c r="W5" s="269"/>
      <c r="X5" s="269"/>
      <c r="Y5" s="269"/>
      <c r="Z5" s="269"/>
    </row>
    <row r="6" spans="1:26" ht="48" hidden="1" customHeight="1" x14ac:dyDescent="0.2">
      <c r="A6" s="277">
        <v>2</v>
      </c>
      <c r="B6" s="278">
        <v>44221</v>
      </c>
      <c r="C6" s="255" t="s">
        <v>59</v>
      </c>
      <c r="D6" s="258">
        <v>153</v>
      </c>
      <c r="E6" s="255" t="s">
        <v>948</v>
      </c>
      <c r="F6" s="281" t="s">
        <v>949</v>
      </c>
      <c r="G6" s="282" t="s">
        <v>950</v>
      </c>
      <c r="H6" s="282" t="s">
        <v>951</v>
      </c>
      <c r="I6" s="281" t="s">
        <v>947</v>
      </c>
      <c r="J6" s="283" t="s">
        <v>114</v>
      </c>
      <c r="K6" s="278">
        <v>44221</v>
      </c>
      <c r="L6" s="280">
        <f t="shared" si="0"/>
        <v>1</v>
      </c>
      <c r="M6" s="269"/>
      <c r="N6" s="269"/>
      <c r="O6" s="269"/>
      <c r="P6" s="269"/>
      <c r="Q6" s="269"/>
      <c r="R6" s="269"/>
      <c r="S6" s="269"/>
      <c r="T6" s="269"/>
      <c r="U6" s="269"/>
      <c r="V6" s="269"/>
      <c r="W6" s="269"/>
      <c r="X6" s="269"/>
      <c r="Y6" s="269"/>
      <c r="Z6" s="269"/>
    </row>
    <row r="7" spans="1:26" ht="48" hidden="1" customHeight="1" x14ac:dyDescent="0.2">
      <c r="A7" s="277">
        <v>3</v>
      </c>
      <c r="B7" s="278">
        <v>44227</v>
      </c>
      <c r="C7" s="255" t="s">
        <v>58</v>
      </c>
      <c r="D7" s="258">
        <v>4.43</v>
      </c>
      <c r="E7" s="255" t="s">
        <v>952</v>
      </c>
      <c r="F7" s="250" t="s">
        <v>945</v>
      </c>
      <c r="G7" s="255" t="s">
        <v>850</v>
      </c>
      <c r="H7" s="255" t="s">
        <v>946</v>
      </c>
      <c r="I7" s="250" t="s">
        <v>947</v>
      </c>
      <c r="J7" s="279" t="s">
        <v>114</v>
      </c>
      <c r="K7" s="278">
        <v>44227</v>
      </c>
      <c r="L7" s="280">
        <f t="shared" si="0"/>
        <v>1</v>
      </c>
      <c r="M7" s="269"/>
      <c r="N7" s="269"/>
      <c r="O7" s="269"/>
      <c r="P7" s="269"/>
      <c r="Q7" s="269"/>
      <c r="R7" s="269"/>
      <c r="S7" s="269"/>
      <c r="T7" s="269"/>
      <c r="U7" s="269"/>
      <c r="V7" s="269"/>
      <c r="W7" s="269"/>
      <c r="X7" s="269"/>
      <c r="Y7" s="269"/>
      <c r="Z7" s="269"/>
    </row>
    <row r="8" spans="1:26" ht="48" hidden="1" customHeight="1" x14ac:dyDescent="0.2">
      <c r="A8" s="277">
        <v>4</v>
      </c>
      <c r="B8" s="278">
        <v>44252</v>
      </c>
      <c r="C8" s="255" t="s">
        <v>57</v>
      </c>
      <c r="D8" s="258">
        <v>415.84</v>
      </c>
      <c r="E8" s="255" t="s">
        <v>953</v>
      </c>
      <c r="F8" s="250" t="s">
        <v>945</v>
      </c>
      <c r="G8" s="255" t="s">
        <v>850</v>
      </c>
      <c r="H8" s="255" t="s">
        <v>946</v>
      </c>
      <c r="I8" s="250" t="s">
        <v>947</v>
      </c>
      <c r="J8" s="279" t="s">
        <v>114</v>
      </c>
      <c r="K8" s="278">
        <v>44252</v>
      </c>
      <c r="L8" s="280">
        <f t="shared" si="0"/>
        <v>2</v>
      </c>
      <c r="M8" s="269"/>
      <c r="N8" s="269"/>
      <c r="O8" s="269"/>
      <c r="P8" s="269"/>
      <c r="Q8" s="269"/>
      <c r="R8" s="269"/>
      <c r="S8" s="269"/>
      <c r="T8" s="269"/>
      <c r="U8" s="269"/>
      <c r="V8" s="269"/>
      <c r="W8" s="269"/>
      <c r="X8" s="269"/>
      <c r="Y8" s="269"/>
      <c r="Z8" s="269"/>
    </row>
    <row r="9" spans="1:26" ht="48" hidden="1" customHeight="1" x14ac:dyDescent="0.2">
      <c r="A9" s="277">
        <v>5</v>
      </c>
      <c r="B9" s="278">
        <v>44252</v>
      </c>
      <c r="C9" s="255" t="s">
        <v>59</v>
      </c>
      <c r="D9" s="258">
        <v>153</v>
      </c>
      <c r="E9" s="255" t="s">
        <v>948</v>
      </c>
      <c r="F9" s="281" t="s">
        <v>949</v>
      </c>
      <c r="G9" s="282" t="s">
        <v>950</v>
      </c>
      <c r="H9" s="282" t="s">
        <v>951</v>
      </c>
      <c r="I9" s="281" t="s">
        <v>947</v>
      </c>
      <c r="J9" s="283" t="s">
        <v>114</v>
      </c>
      <c r="K9" s="278">
        <v>44252</v>
      </c>
      <c r="L9" s="280">
        <f t="shared" si="0"/>
        <v>2</v>
      </c>
      <c r="M9" s="269"/>
      <c r="N9" s="269"/>
      <c r="O9" s="269"/>
      <c r="P9" s="269"/>
      <c r="Q9" s="269"/>
      <c r="R9" s="269"/>
      <c r="S9" s="269"/>
      <c r="T9" s="269"/>
      <c r="U9" s="269"/>
      <c r="V9" s="269"/>
      <c r="W9" s="269"/>
      <c r="X9" s="269"/>
      <c r="Y9" s="269"/>
      <c r="Z9" s="269"/>
    </row>
    <row r="10" spans="1:26" ht="48" hidden="1" customHeight="1" x14ac:dyDescent="0.2">
      <c r="A10" s="284">
        <v>6</v>
      </c>
      <c r="B10" s="285">
        <v>44253</v>
      </c>
      <c r="C10" s="282" t="s">
        <v>58</v>
      </c>
      <c r="D10" s="286">
        <v>2.48</v>
      </c>
      <c r="E10" s="282" t="s">
        <v>954</v>
      </c>
      <c r="F10" s="281" t="s">
        <v>945</v>
      </c>
      <c r="G10" s="282" t="s">
        <v>850</v>
      </c>
      <c r="H10" s="282" t="s">
        <v>946</v>
      </c>
      <c r="I10" s="281" t="s">
        <v>947</v>
      </c>
      <c r="J10" s="283" t="s">
        <v>114</v>
      </c>
      <c r="K10" s="285">
        <v>44253</v>
      </c>
      <c r="L10" s="280">
        <f t="shared" si="0"/>
        <v>2</v>
      </c>
      <c r="M10" s="269"/>
      <c r="N10" s="269"/>
      <c r="O10" s="269"/>
      <c r="P10" s="269"/>
      <c r="Q10" s="269"/>
      <c r="R10" s="269"/>
      <c r="S10" s="269"/>
      <c r="T10" s="269"/>
      <c r="U10" s="269"/>
      <c r="V10" s="269"/>
      <c r="W10" s="269"/>
      <c r="X10" s="269"/>
      <c r="Y10" s="269"/>
      <c r="Z10" s="269"/>
    </row>
    <row r="11" spans="1:26" ht="48" hidden="1" customHeight="1" x14ac:dyDescent="0.2">
      <c r="A11" s="277">
        <v>7</v>
      </c>
      <c r="B11" s="278">
        <v>44286</v>
      </c>
      <c r="C11" s="255" t="s">
        <v>58</v>
      </c>
      <c r="D11" s="258">
        <v>7.66</v>
      </c>
      <c r="E11" s="255" t="s">
        <v>955</v>
      </c>
      <c r="F11" s="250" t="s">
        <v>945</v>
      </c>
      <c r="G11" s="255" t="s">
        <v>850</v>
      </c>
      <c r="H11" s="255" t="s">
        <v>946</v>
      </c>
      <c r="I11" s="250" t="s">
        <v>947</v>
      </c>
      <c r="J11" s="279" t="s">
        <v>114</v>
      </c>
      <c r="K11" s="278">
        <v>44286</v>
      </c>
      <c r="L11" s="287">
        <f t="shared" si="0"/>
        <v>3</v>
      </c>
      <c r="M11" s="269"/>
      <c r="N11" s="269"/>
      <c r="O11" s="269"/>
      <c r="P11" s="269"/>
      <c r="Q11" s="269"/>
      <c r="R11" s="269"/>
      <c r="S11" s="269"/>
      <c r="T11" s="269"/>
      <c r="U11" s="269"/>
      <c r="V11" s="269"/>
      <c r="W11" s="269"/>
      <c r="X11" s="269"/>
      <c r="Y11" s="269"/>
      <c r="Z11" s="269"/>
    </row>
    <row r="12" spans="1:26" ht="48" hidden="1" customHeight="1" x14ac:dyDescent="0.2">
      <c r="A12" s="288">
        <v>8</v>
      </c>
      <c r="B12" s="278">
        <v>44287</v>
      </c>
      <c r="C12" s="255" t="s">
        <v>57</v>
      </c>
      <c r="D12" s="258">
        <v>217.01</v>
      </c>
      <c r="E12" s="255" t="s">
        <v>956</v>
      </c>
      <c r="F12" s="250" t="s">
        <v>945</v>
      </c>
      <c r="G12" s="255" t="s">
        <v>850</v>
      </c>
      <c r="H12" s="255" t="s">
        <v>946</v>
      </c>
      <c r="I12" s="250" t="s">
        <v>947</v>
      </c>
      <c r="J12" s="279" t="s">
        <v>114</v>
      </c>
      <c r="K12" s="278">
        <v>44287</v>
      </c>
      <c r="L12" s="280">
        <f t="shared" si="0"/>
        <v>4</v>
      </c>
      <c r="M12" s="269"/>
      <c r="N12" s="269"/>
      <c r="O12" s="269"/>
      <c r="P12" s="269"/>
      <c r="Q12" s="269"/>
      <c r="R12" s="269"/>
      <c r="S12" s="269"/>
      <c r="T12" s="269"/>
      <c r="U12" s="269"/>
      <c r="V12" s="269"/>
      <c r="W12" s="269"/>
      <c r="X12" s="269"/>
      <c r="Y12" s="269"/>
      <c r="Z12" s="269"/>
    </row>
    <row r="13" spans="1:26" ht="38.25" hidden="1" customHeight="1" x14ac:dyDescent="0.2">
      <c r="A13" s="277">
        <v>9</v>
      </c>
      <c r="B13" s="278">
        <v>44287</v>
      </c>
      <c r="C13" s="255" t="s">
        <v>59</v>
      </c>
      <c r="D13" s="258">
        <v>153</v>
      </c>
      <c r="E13" s="255" t="s">
        <v>948</v>
      </c>
      <c r="F13" s="281" t="s">
        <v>949</v>
      </c>
      <c r="G13" s="282" t="s">
        <v>950</v>
      </c>
      <c r="H13" s="282" t="s">
        <v>951</v>
      </c>
      <c r="I13" s="281" t="s">
        <v>947</v>
      </c>
      <c r="J13" s="283" t="s">
        <v>114</v>
      </c>
      <c r="K13" s="278">
        <v>44287</v>
      </c>
      <c r="L13" s="280">
        <f t="shared" si="0"/>
        <v>4</v>
      </c>
      <c r="M13" s="269"/>
      <c r="N13" s="269"/>
      <c r="O13" s="269"/>
      <c r="P13" s="269"/>
      <c r="Q13" s="269"/>
      <c r="R13" s="269"/>
      <c r="S13" s="269"/>
      <c r="T13" s="269"/>
      <c r="U13" s="269"/>
      <c r="V13" s="269"/>
      <c r="W13" s="269"/>
      <c r="X13" s="269"/>
      <c r="Y13" s="269"/>
      <c r="Z13" s="269"/>
    </row>
    <row r="14" spans="1:26" ht="33" hidden="1" customHeight="1" x14ac:dyDescent="0.2">
      <c r="A14" s="277">
        <v>10</v>
      </c>
      <c r="B14" s="278">
        <v>44312</v>
      </c>
      <c r="C14" s="255" t="s">
        <v>57</v>
      </c>
      <c r="D14" s="258">
        <v>283.61</v>
      </c>
      <c r="E14" s="255" t="s">
        <v>957</v>
      </c>
      <c r="F14" s="250" t="s">
        <v>945</v>
      </c>
      <c r="G14" s="255" t="s">
        <v>850</v>
      </c>
      <c r="H14" s="255" t="s">
        <v>946</v>
      </c>
      <c r="I14" s="250" t="s">
        <v>947</v>
      </c>
      <c r="J14" s="279" t="s">
        <v>114</v>
      </c>
      <c r="K14" s="278">
        <v>44312</v>
      </c>
      <c r="L14" s="280">
        <f t="shared" si="0"/>
        <v>4</v>
      </c>
      <c r="M14" s="269"/>
      <c r="N14" s="269"/>
      <c r="O14" s="269"/>
      <c r="P14" s="269"/>
      <c r="Q14" s="269"/>
      <c r="R14" s="269"/>
      <c r="S14" s="269"/>
      <c r="T14" s="269"/>
      <c r="U14" s="269"/>
      <c r="V14" s="269"/>
      <c r="W14" s="269"/>
      <c r="X14" s="269"/>
      <c r="Y14" s="269"/>
      <c r="Z14" s="269"/>
    </row>
    <row r="15" spans="1:26" ht="36" hidden="1" customHeight="1" x14ac:dyDescent="0.2">
      <c r="A15" s="277">
        <v>11</v>
      </c>
      <c r="B15" s="278">
        <v>44312</v>
      </c>
      <c r="C15" s="255" t="s">
        <v>59</v>
      </c>
      <c r="D15" s="258">
        <v>153</v>
      </c>
      <c r="E15" s="255" t="s">
        <v>948</v>
      </c>
      <c r="F15" s="281" t="s">
        <v>949</v>
      </c>
      <c r="G15" s="282" t="s">
        <v>950</v>
      </c>
      <c r="H15" s="282" t="s">
        <v>951</v>
      </c>
      <c r="I15" s="281" t="s">
        <v>947</v>
      </c>
      <c r="J15" s="283" t="s">
        <v>114</v>
      </c>
      <c r="K15" s="278">
        <v>44312</v>
      </c>
      <c r="L15" s="280">
        <f t="shared" si="0"/>
        <v>4</v>
      </c>
      <c r="M15" s="269"/>
      <c r="N15" s="269"/>
      <c r="O15" s="269"/>
      <c r="P15" s="269"/>
      <c r="Q15" s="269"/>
      <c r="R15" s="269"/>
      <c r="S15" s="269"/>
      <c r="T15" s="269"/>
      <c r="U15" s="269"/>
      <c r="V15" s="269"/>
      <c r="W15" s="269"/>
      <c r="X15" s="269"/>
      <c r="Y15" s="269"/>
      <c r="Z15" s="269"/>
    </row>
    <row r="16" spans="1:26" ht="48.75" hidden="1" customHeight="1" x14ac:dyDescent="0.2">
      <c r="A16" s="277">
        <v>12</v>
      </c>
      <c r="B16" s="278">
        <v>44316</v>
      </c>
      <c r="C16" s="255" t="s">
        <v>58</v>
      </c>
      <c r="D16" s="258">
        <v>7.46</v>
      </c>
      <c r="E16" s="255" t="s">
        <v>958</v>
      </c>
      <c r="F16" s="250" t="s">
        <v>945</v>
      </c>
      <c r="G16" s="255" t="s">
        <v>850</v>
      </c>
      <c r="H16" s="255" t="s">
        <v>946</v>
      </c>
      <c r="I16" s="250" t="s">
        <v>947</v>
      </c>
      <c r="J16" s="279" t="s">
        <v>114</v>
      </c>
      <c r="K16" s="278">
        <v>44316</v>
      </c>
      <c r="L16" s="280">
        <f t="shared" si="0"/>
        <v>4</v>
      </c>
      <c r="M16" s="269"/>
      <c r="N16" s="269"/>
      <c r="O16" s="269"/>
      <c r="P16" s="269"/>
      <c r="Q16" s="269"/>
      <c r="R16" s="269"/>
      <c r="S16" s="269"/>
      <c r="T16" s="269"/>
      <c r="U16" s="269"/>
      <c r="V16" s="269"/>
      <c r="W16" s="269"/>
      <c r="X16" s="269"/>
      <c r="Y16" s="269"/>
      <c r="Z16" s="269"/>
    </row>
    <row r="17" spans="1:26" ht="54" hidden="1" customHeight="1" x14ac:dyDescent="0.2">
      <c r="A17" s="277">
        <v>13</v>
      </c>
      <c r="B17" s="278">
        <v>44341</v>
      </c>
      <c r="C17" s="255" t="s">
        <v>57</v>
      </c>
      <c r="D17" s="258">
        <v>1729.05</v>
      </c>
      <c r="E17" s="255" t="s">
        <v>959</v>
      </c>
      <c r="F17" s="250" t="s">
        <v>945</v>
      </c>
      <c r="G17" s="255" t="s">
        <v>850</v>
      </c>
      <c r="H17" s="255" t="s">
        <v>946</v>
      </c>
      <c r="I17" s="250" t="s">
        <v>947</v>
      </c>
      <c r="J17" s="279" t="s">
        <v>114</v>
      </c>
      <c r="K17" s="278">
        <v>44341</v>
      </c>
      <c r="L17" s="280">
        <f t="shared" si="0"/>
        <v>5</v>
      </c>
      <c r="M17" s="269"/>
      <c r="N17" s="269"/>
      <c r="O17" s="269"/>
      <c r="P17" s="269"/>
      <c r="Q17" s="269"/>
      <c r="R17" s="269"/>
      <c r="S17" s="269"/>
      <c r="T17" s="269"/>
      <c r="U17" s="269"/>
      <c r="V17" s="269"/>
      <c r="W17" s="269"/>
      <c r="X17" s="269"/>
      <c r="Y17" s="269"/>
      <c r="Z17" s="269"/>
    </row>
    <row r="18" spans="1:26" ht="31.5" hidden="1" customHeight="1" x14ac:dyDescent="0.2">
      <c r="A18" s="277">
        <v>14</v>
      </c>
      <c r="B18" s="278">
        <v>44341</v>
      </c>
      <c r="C18" s="255" t="s">
        <v>59</v>
      </c>
      <c r="D18" s="258">
        <v>153</v>
      </c>
      <c r="E18" s="255" t="s">
        <v>948</v>
      </c>
      <c r="F18" s="281" t="s">
        <v>949</v>
      </c>
      <c r="G18" s="282" t="s">
        <v>950</v>
      </c>
      <c r="H18" s="282" t="s">
        <v>951</v>
      </c>
      <c r="I18" s="281" t="s">
        <v>947</v>
      </c>
      <c r="J18" s="283" t="s">
        <v>114</v>
      </c>
      <c r="K18" s="278">
        <v>44341</v>
      </c>
      <c r="L18" s="280">
        <f t="shared" si="0"/>
        <v>5</v>
      </c>
      <c r="M18" s="269"/>
      <c r="N18" s="269"/>
      <c r="O18" s="269"/>
      <c r="P18" s="269"/>
      <c r="Q18" s="269"/>
      <c r="R18" s="269"/>
      <c r="S18" s="269"/>
      <c r="T18" s="269"/>
      <c r="U18" s="269"/>
      <c r="V18" s="269"/>
      <c r="W18" s="269"/>
      <c r="X18" s="269"/>
      <c r="Y18" s="269"/>
      <c r="Z18" s="269"/>
    </row>
    <row r="19" spans="1:26" ht="51.75" hidden="1" customHeight="1" x14ac:dyDescent="0.2">
      <c r="A19" s="277">
        <v>15</v>
      </c>
      <c r="B19" s="278">
        <v>44347</v>
      </c>
      <c r="C19" s="255" t="s">
        <v>58</v>
      </c>
      <c r="D19" s="258">
        <v>4.93</v>
      </c>
      <c r="E19" s="255" t="s">
        <v>960</v>
      </c>
      <c r="F19" s="250" t="s">
        <v>945</v>
      </c>
      <c r="G19" s="255" t="s">
        <v>850</v>
      </c>
      <c r="H19" s="255" t="s">
        <v>946</v>
      </c>
      <c r="I19" s="250" t="s">
        <v>947</v>
      </c>
      <c r="J19" s="279" t="s">
        <v>114</v>
      </c>
      <c r="K19" s="278">
        <v>44347</v>
      </c>
      <c r="L19" s="280">
        <f t="shared" si="0"/>
        <v>5</v>
      </c>
      <c r="M19" s="269"/>
      <c r="N19" s="269"/>
      <c r="O19" s="269"/>
      <c r="P19" s="269"/>
      <c r="Q19" s="269"/>
      <c r="R19" s="269"/>
      <c r="S19" s="269"/>
      <c r="T19" s="269"/>
      <c r="U19" s="269"/>
      <c r="V19" s="269"/>
      <c r="W19" s="269"/>
      <c r="X19" s="269"/>
      <c r="Y19" s="269"/>
      <c r="Z19" s="269"/>
    </row>
    <row r="20" spans="1:26" ht="54" hidden="1" customHeight="1" x14ac:dyDescent="0.2">
      <c r="A20" s="277">
        <v>16</v>
      </c>
      <c r="B20" s="278">
        <v>44377</v>
      </c>
      <c r="C20" s="255" t="s">
        <v>57</v>
      </c>
      <c r="D20" s="258">
        <v>2066.9699999999998</v>
      </c>
      <c r="E20" s="255" t="s">
        <v>961</v>
      </c>
      <c r="F20" s="250" t="s">
        <v>945</v>
      </c>
      <c r="G20" s="255" t="s">
        <v>850</v>
      </c>
      <c r="H20" s="255" t="s">
        <v>946</v>
      </c>
      <c r="I20" s="250" t="s">
        <v>947</v>
      </c>
      <c r="J20" s="279" t="s">
        <v>114</v>
      </c>
      <c r="K20" s="278">
        <v>44377</v>
      </c>
      <c r="L20" s="280">
        <f t="shared" si="0"/>
        <v>6</v>
      </c>
      <c r="M20" s="269"/>
      <c r="N20" s="269"/>
      <c r="O20" s="269"/>
      <c r="P20" s="269"/>
      <c r="Q20" s="269"/>
      <c r="R20" s="269"/>
      <c r="S20" s="269"/>
      <c r="T20" s="269"/>
      <c r="U20" s="269"/>
      <c r="V20" s="269"/>
      <c r="W20" s="269"/>
      <c r="X20" s="269"/>
      <c r="Y20" s="269"/>
      <c r="Z20" s="269"/>
    </row>
    <row r="21" spans="1:26" ht="27.75" hidden="1" customHeight="1" x14ac:dyDescent="0.2">
      <c r="A21" s="277">
        <v>17</v>
      </c>
      <c r="B21" s="278">
        <v>44377</v>
      </c>
      <c r="C21" s="255" t="s">
        <v>59</v>
      </c>
      <c r="D21" s="258">
        <v>153</v>
      </c>
      <c r="E21" s="255" t="s">
        <v>948</v>
      </c>
      <c r="F21" s="281" t="s">
        <v>949</v>
      </c>
      <c r="G21" s="282" t="s">
        <v>950</v>
      </c>
      <c r="H21" s="282" t="s">
        <v>951</v>
      </c>
      <c r="I21" s="281" t="s">
        <v>947</v>
      </c>
      <c r="J21" s="283" t="s">
        <v>114</v>
      </c>
      <c r="K21" s="278">
        <v>44377</v>
      </c>
      <c r="L21" s="280">
        <f t="shared" si="0"/>
        <v>6</v>
      </c>
      <c r="M21" s="269"/>
      <c r="N21" s="269"/>
      <c r="O21" s="269"/>
      <c r="P21" s="269"/>
      <c r="Q21" s="269"/>
      <c r="R21" s="269"/>
      <c r="S21" s="269"/>
      <c r="T21" s="269"/>
      <c r="U21" s="269"/>
      <c r="V21" s="269"/>
      <c r="W21" s="269"/>
      <c r="X21" s="269"/>
      <c r="Y21" s="269"/>
      <c r="Z21" s="269"/>
    </row>
    <row r="22" spans="1:26" ht="52.5" hidden="1" customHeight="1" x14ac:dyDescent="0.2">
      <c r="A22" s="277">
        <v>18</v>
      </c>
      <c r="B22" s="278">
        <v>44377</v>
      </c>
      <c r="C22" s="255" t="s">
        <v>58</v>
      </c>
      <c r="D22" s="258">
        <v>19.28</v>
      </c>
      <c r="E22" s="255" t="s">
        <v>962</v>
      </c>
      <c r="F22" s="250" t="s">
        <v>945</v>
      </c>
      <c r="G22" s="255" t="s">
        <v>850</v>
      </c>
      <c r="H22" s="255" t="s">
        <v>946</v>
      </c>
      <c r="I22" s="250" t="s">
        <v>947</v>
      </c>
      <c r="J22" s="279" t="s">
        <v>114</v>
      </c>
      <c r="K22" s="278">
        <v>44377</v>
      </c>
      <c r="L22" s="280">
        <f t="shared" si="0"/>
        <v>6</v>
      </c>
      <c r="M22" s="269"/>
      <c r="N22" s="269"/>
      <c r="O22" s="269"/>
      <c r="P22" s="269"/>
      <c r="Q22" s="269"/>
      <c r="R22" s="269"/>
      <c r="S22" s="269"/>
      <c r="T22" s="269"/>
      <c r="U22" s="269"/>
      <c r="V22" s="269"/>
      <c r="W22" s="269"/>
      <c r="X22" s="269"/>
      <c r="Y22" s="269"/>
      <c r="Z22" s="269"/>
    </row>
    <row r="23" spans="1:26" ht="69.75" hidden="1" customHeight="1" x14ac:dyDescent="0.2">
      <c r="A23" s="277">
        <v>19</v>
      </c>
      <c r="B23" s="278">
        <v>44400</v>
      </c>
      <c r="C23" s="255" t="s">
        <v>57</v>
      </c>
      <c r="D23" s="258">
        <v>4805.9399999999996</v>
      </c>
      <c r="E23" s="255" t="s">
        <v>963</v>
      </c>
      <c r="F23" s="250" t="s">
        <v>945</v>
      </c>
      <c r="G23" s="255" t="s">
        <v>850</v>
      </c>
      <c r="H23" s="255" t="s">
        <v>946</v>
      </c>
      <c r="I23" s="250" t="s">
        <v>947</v>
      </c>
      <c r="J23" s="279" t="s">
        <v>114</v>
      </c>
      <c r="K23" s="278">
        <v>44400</v>
      </c>
      <c r="L23" s="280">
        <f t="shared" si="0"/>
        <v>7</v>
      </c>
      <c r="M23" s="269"/>
      <c r="N23" s="269"/>
      <c r="O23" s="269"/>
      <c r="P23" s="269"/>
      <c r="Q23" s="269"/>
      <c r="R23" s="269"/>
      <c r="S23" s="269"/>
      <c r="T23" s="269"/>
      <c r="U23" s="269"/>
      <c r="V23" s="269"/>
      <c r="W23" s="269"/>
      <c r="X23" s="269"/>
      <c r="Y23" s="269"/>
      <c r="Z23" s="269"/>
    </row>
    <row r="24" spans="1:26" ht="33" hidden="1" customHeight="1" x14ac:dyDescent="0.2">
      <c r="A24" s="277">
        <v>20</v>
      </c>
      <c r="B24" s="278">
        <v>44400</v>
      </c>
      <c r="C24" s="255" t="s">
        <v>59</v>
      </c>
      <c r="D24" s="258">
        <v>153</v>
      </c>
      <c r="E24" s="255" t="s">
        <v>948</v>
      </c>
      <c r="F24" s="281" t="s">
        <v>949</v>
      </c>
      <c r="G24" s="282" t="s">
        <v>950</v>
      </c>
      <c r="H24" s="282" t="s">
        <v>951</v>
      </c>
      <c r="I24" s="281" t="s">
        <v>947</v>
      </c>
      <c r="J24" s="283" t="s">
        <v>114</v>
      </c>
      <c r="K24" s="278">
        <v>44400</v>
      </c>
      <c r="L24" s="280">
        <f t="shared" si="0"/>
        <v>7</v>
      </c>
      <c r="M24" s="269"/>
      <c r="N24" s="269"/>
      <c r="O24" s="269"/>
      <c r="P24" s="269"/>
      <c r="Q24" s="269"/>
      <c r="R24" s="269"/>
      <c r="S24" s="269"/>
      <c r="T24" s="269"/>
      <c r="U24" s="269"/>
      <c r="V24" s="269"/>
      <c r="W24" s="269"/>
      <c r="X24" s="269"/>
      <c r="Y24" s="269"/>
      <c r="Z24" s="269"/>
    </row>
    <row r="25" spans="1:26" ht="50.25" hidden="1" customHeight="1" x14ac:dyDescent="0.2">
      <c r="A25" s="277">
        <v>21</v>
      </c>
      <c r="B25" s="278">
        <v>44407</v>
      </c>
      <c r="C25" s="255" t="s">
        <v>58</v>
      </c>
      <c r="D25" s="258">
        <v>32.36</v>
      </c>
      <c r="E25" s="255" t="s">
        <v>964</v>
      </c>
      <c r="F25" s="250" t="s">
        <v>945</v>
      </c>
      <c r="G25" s="255" t="s">
        <v>850</v>
      </c>
      <c r="H25" s="255" t="s">
        <v>946</v>
      </c>
      <c r="I25" s="250" t="s">
        <v>947</v>
      </c>
      <c r="J25" s="279" t="s">
        <v>114</v>
      </c>
      <c r="K25" s="278">
        <v>44407</v>
      </c>
      <c r="L25" s="280">
        <f t="shared" si="0"/>
        <v>7</v>
      </c>
      <c r="M25" s="269"/>
      <c r="N25" s="269"/>
      <c r="O25" s="269"/>
      <c r="P25" s="269"/>
      <c r="Q25" s="269"/>
      <c r="R25" s="269"/>
      <c r="S25" s="269"/>
      <c r="T25" s="269"/>
      <c r="U25" s="269"/>
      <c r="V25" s="269"/>
      <c r="W25" s="269"/>
      <c r="X25" s="269"/>
      <c r="Y25" s="269"/>
      <c r="Z25" s="269"/>
    </row>
    <row r="26" spans="1:26" ht="58.5" hidden="1" customHeight="1" x14ac:dyDescent="0.2">
      <c r="A26" s="277">
        <v>22</v>
      </c>
      <c r="B26" s="278">
        <v>44433</v>
      </c>
      <c r="C26" s="255" t="s">
        <v>57</v>
      </c>
      <c r="D26" s="258">
        <v>5188.67</v>
      </c>
      <c r="E26" s="255" t="s">
        <v>965</v>
      </c>
      <c r="F26" s="250" t="s">
        <v>945</v>
      </c>
      <c r="G26" s="255" t="s">
        <v>850</v>
      </c>
      <c r="H26" s="255" t="s">
        <v>946</v>
      </c>
      <c r="I26" s="250" t="s">
        <v>947</v>
      </c>
      <c r="J26" s="279" t="s">
        <v>114</v>
      </c>
      <c r="K26" s="278">
        <v>44433</v>
      </c>
      <c r="L26" s="280">
        <f t="shared" si="0"/>
        <v>8</v>
      </c>
      <c r="M26" s="269"/>
      <c r="N26" s="269"/>
      <c r="O26" s="269"/>
      <c r="P26" s="269"/>
      <c r="Q26" s="269"/>
      <c r="R26" s="269"/>
      <c r="S26" s="269"/>
      <c r="T26" s="269"/>
      <c r="U26" s="269"/>
      <c r="V26" s="269"/>
      <c r="W26" s="269"/>
      <c r="X26" s="269"/>
      <c r="Y26" s="269"/>
      <c r="Z26" s="269"/>
    </row>
    <row r="27" spans="1:26" ht="34.5" hidden="1" customHeight="1" x14ac:dyDescent="0.2">
      <c r="A27" s="277">
        <v>23</v>
      </c>
      <c r="B27" s="278">
        <v>44433</v>
      </c>
      <c r="C27" s="255" t="s">
        <v>59</v>
      </c>
      <c r="D27" s="258">
        <v>153</v>
      </c>
      <c r="E27" s="255" t="s">
        <v>948</v>
      </c>
      <c r="F27" s="281" t="s">
        <v>949</v>
      </c>
      <c r="G27" s="282" t="s">
        <v>950</v>
      </c>
      <c r="H27" s="282" t="s">
        <v>951</v>
      </c>
      <c r="I27" s="281" t="s">
        <v>947</v>
      </c>
      <c r="J27" s="283" t="s">
        <v>114</v>
      </c>
      <c r="K27" s="278">
        <v>44433</v>
      </c>
      <c r="L27" s="280">
        <f t="shared" si="0"/>
        <v>8</v>
      </c>
      <c r="M27" s="269"/>
      <c r="N27" s="269"/>
      <c r="O27" s="269"/>
      <c r="P27" s="269"/>
      <c r="Q27" s="269"/>
      <c r="R27" s="269"/>
      <c r="S27" s="269"/>
      <c r="T27" s="269"/>
      <c r="U27" s="269"/>
      <c r="V27" s="269"/>
      <c r="W27" s="269"/>
      <c r="X27" s="269"/>
      <c r="Y27" s="269"/>
      <c r="Z27" s="269"/>
    </row>
    <row r="28" spans="1:26" ht="54" hidden="1" customHeight="1" x14ac:dyDescent="0.2">
      <c r="A28" s="277">
        <v>24</v>
      </c>
      <c r="B28" s="278">
        <v>44439</v>
      </c>
      <c r="C28" s="255" t="s">
        <v>58</v>
      </c>
      <c r="D28" s="258">
        <v>54.48</v>
      </c>
      <c r="E28" s="255" t="s">
        <v>966</v>
      </c>
      <c r="F28" s="250" t="s">
        <v>945</v>
      </c>
      <c r="G28" s="255" t="s">
        <v>850</v>
      </c>
      <c r="H28" s="255" t="s">
        <v>946</v>
      </c>
      <c r="I28" s="250" t="s">
        <v>947</v>
      </c>
      <c r="J28" s="279" t="s">
        <v>114</v>
      </c>
      <c r="K28" s="278">
        <v>44439</v>
      </c>
      <c r="L28" s="280">
        <f t="shared" si="0"/>
        <v>8</v>
      </c>
      <c r="M28" s="269"/>
      <c r="N28" s="269"/>
      <c r="O28" s="269"/>
      <c r="P28" s="269"/>
      <c r="Q28" s="269"/>
      <c r="R28" s="269"/>
      <c r="S28" s="269"/>
      <c r="T28" s="269"/>
      <c r="U28" s="269"/>
      <c r="V28" s="269"/>
      <c r="W28" s="269"/>
      <c r="X28" s="269"/>
      <c r="Y28" s="269"/>
      <c r="Z28" s="269"/>
    </row>
    <row r="29" spans="1:26" ht="54" hidden="1" customHeight="1" x14ac:dyDescent="0.2">
      <c r="A29" s="277">
        <v>25</v>
      </c>
      <c r="B29" s="278">
        <v>44463</v>
      </c>
      <c r="C29" s="255" t="s">
        <v>57</v>
      </c>
      <c r="D29" s="258">
        <v>6051.96</v>
      </c>
      <c r="E29" s="255" t="s">
        <v>5360</v>
      </c>
      <c r="F29" s="250" t="s">
        <v>945</v>
      </c>
      <c r="G29" s="255" t="s">
        <v>850</v>
      </c>
      <c r="H29" s="255" t="s">
        <v>946</v>
      </c>
      <c r="I29" s="250" t="s">
        <v>947</v>
      </c>
      <c r="J29" s="279" t="s">
        <v>114</v>
      </c>
      <c r="K29" s="278">
        <v>44463</v>
      </c>
      <c r="L29" s="280">
        <f t="shared" si="0"/>
        <v>9</v>
      </c>
      <c r="M29" s="269"/>
      <c r="N29" s="269"/>
      <c r="O29" s="269"/>
      <c r="P29" s="269"/>
      <c r="Q29" s="269"/>
      <c r="R29" s="269"/>
      <c r="S29" s="269"/>
      <c r="T29" s="269"/>
      <c r="U29" s="269"/>
      <c r="V29" s="269"/>
      <c r="W29" s="269"/>
      <c r="X29" s="269"/>
      <c r="Y29" s="269"/>
      <c r="Z29" s="269"/>
    </row>
    <row r="30" spans="1:26" ht="36.75" hidden="1" customHeight="1" x14ac:dyDescent="0.2">
      <c r="A30" s="277">
        <v>26</v>
      </c>
      <c r="B30" s="278">
        <v>44463</v>
      </c>
      <c r="C30" s="255" t="s">
        <v>59</v>
      </c>
      <c r="D30" s="258">
        <v>153</v>
      </c>
      <c r="E30" s="255" t="s">
        <v>948</v>
      </c>
      <c r="F30" s="281" t="s">
        <v>949</v>
      </c>
      <c r="G30" s="282" t="s">
        <v>950</v>
      </c>
      <c r="H30" s="282" t="s">
        <v>951</v>
      </c>
      <c r="I30" s="281" t="s">
        <v>947</v>
      </c>
      <c r="J30" s="283" t="s">
        <v>114</v>
      </c>
      <c r="K30" s="278">
        <v>44463</v>
      </c>
      <c r="L30" s="280">
        <f t="shared" si="0"/>
        <v>9</v>
      </c>
      <c r="M30" s="269"/>
      <c r="N30" s="269"/>
      <c r="O30" s="269"/>
      <c r="P30" s="269"/>
      <c r="Q30" s="269"/>
      <c r="R30" s="269"/>
      <c r="S30" s="269"/>
      <c r="T30" s="269"/>
      <c r="U30" s="269"/>
      <c r="V30" s="269"/>
      <c r="W30" s="269"/>
      <c r="X30" s="269"/>
      <c r="Y30" s="269"/>
      <c r="Z30" s="269"/>
    </row>
    <row r="31" spans="1:26" ht="54" hidden="1" customHeight="1" x14ac:dyDescent="0.2">
      <c r="A31" s="277">
        <v>27</v>
      </c>
      <c r="B31" s="278">
        <v>44469</v>
      </c>
      <c r="C31" s="255" t="s">
        <v>58</v>
      </c>
      <c r="D31" s="258">
        <v>79.959999999999994</v>
      </c>
      <c r="E31" s="255" t="s">
        <v>5361</v>
      </c>
      <c r="F31" s="250" t="s">
        <v>945</v>
      </c>
      <c r="G31" s="255" t="s">
        <v>850</v>
      </c>
      <c r="H31" s="255" t="s">
        <v>946</v>
      </c>
      <c r="I31" s="250" t="s">
        <v>947</v>
      </c>
      <c r="J31" s="279" t="s">
        <v>114</v>
      </c>
      <c r="K31" s="278">
        <v>44469</v>
      </c>
      <c r="L31" s="280">
        <f t="shared" si="0"/>
        <v>9</v>
      </c>
      <c r="M31" s="269"/>
      <c r="N31" s="269"/>
      <c r="O31" s="269"/>
      <c r="P31" s="269"/>
      <c r="Q31" s="269"/>
      <c r="R31" s="269"/>
      <c r="S31" s="269"/>
      <c r="T31" s="269"/>
      <c r="U31" s="269"/>
      <c r="V31" s="269"/>
      <c r="W31" s="269"/>
      <c r="X31" s="269"/>
      <c r="Y31" s="269"/>
      <c r="Z31" s="269"/>
    </row>
    <row r="32" spans="1:26" ht="48.75" customHeight="1" x14ac:dyDescent="0.2">
      <c r="A32" s="277">
        <v>28</v>
      </c>
      <c r="B32" s="278">
        <v>44494</v>
      </c>
      <c r="C32" s="255" t="s">
        <v>57</v>
      </c>
      <c r="D32" s="258">
        <v>6839.26</v>
      </c>
      <c r="E32" s="255" t="s">
        <v>5992</v>
      </c>
      <c r="F32" s="250" t="s">
        <v>945</v>
      </c>
      <c r="G32" s="255" t="s">
        <v>850</v>
      </c>
      <c r="H32" s="255" t="s">
        <v>946</v>
      </c>
      <c r="I32" s="250" t="s">
        <v>947</v>
      </c>
      <c r="J32" s="279" t="s">
        <v>114</v>
      </c>
      <c r="K32" s="278">
        <v>44494</v>
      </c>
      <c r="L32" s="280">
        <f t="shared" si="0"/>
        <v>10</v>
      </c>
      <c r="M32" s="269"/>
      <c r="N32" s="269"/>
      <c r="O32" s="269"/>
      <c r="P32" s="269"/>
      <c r="Q32" s="269"/>
      <c r="R32" s="269"/>
      <c r="S32" s="269"/>
      <c r="T32" s="269"/>
      <c r="U32" s="269"/>
      <c r="V32" s="269"/>
      <c r="W32" s="269"/>
      <c r="X32" s="269"/>
      <c r="Y32" s="269"/>
      <c r="Z32" s="269"/>
    </row>
    <row r="33" spans="1:26" ht="39.75" customHeight="1" x14ac:dyDescent="0.2">
      <c r="A33" s="277">
        <v>29</v>
      </c>
      <c r="B33" s="278">
        <v>44494</v>
      </c>
      <c r="C33" s="255" t="s">
        <v>59</v>
      </c>
      <c r="D33" s="258">
        <v>153</v>
      </c>
      <c r="E33" s="255" t="s">
        <v>948</v>
      </c>
      <c r="F33" s="281" t="s">
        <v>949</v>
      </c>
      <c r="G33" s="282" t="s">
        <v>950</v>
      </c>
      <c r="H33" s="282" t="s">
        <v>951</v>
      </c>
      <c r="I33" s="281" t="s">
        <v>947</v>
      </c>
      <c r="J33" s="283" t="s">
        <v>114</v>
      </c>
      <c r="K33" s="278">
        <v>44494</v>
      </c>
      <c r="L33" s="280">
        <f t="shared" si="0"/>
        <v>10</v>
      </c>
      <c r="M33" s="269"/>
      <c r="N33" s="269"/>
      <c r="O33" s="269"/>
      <c r="P33" s="269"/>
      <c r="Q33" s="269"/>
      <c r="R33" s="269"/>
      <c r="S33" s="269"/>
      <c r="T33" s="269"/>
      <c r="U33" s="269"/>
      <c r="V33" s="269"/>
      <c r="W33" s="269"/>
      <c r="X33" s="269"/>
      <c r="Y33" s="269"/>
      <c r="Z33" s="269"/>
    </row>
    <row r="34" spans="1:26" ht="33.75" customHeight="1" x14ac:dyDescent="0.2">
      <c r="A34" s="277">
        <v>30</v>
      </c>
      <c r="B34" s="278">
        <v>44498</v>
      </c>
      <c r="C34" s="255" t="s">
        <v>58</v>
      </c>
      <c r="D34" s="258">
        <v>112.68</v>
      </c>
      <c r="E34" s="255" t="s">
        <v>5993</v>
      </c>
      <c r="F34" s="250" t="s">
        <v>945</v>
      </c>
      <c r="G34" s="255" t="s">
        <v>850</v>
      </c>
      <c r="H34" s="255" t="s">
        <v>946</v>
      </c>
      <c r="I34" s="250" t="s">
        <v>947</v>
      </c>
      <c r="J34" s="279" t="s">
        <v>114</v>
      </c>
      <c r="K34" s="278">
        <v>44498</v>
      </c>
      <c r="L34" s="280">
        <f t="shared" si="0"/>
        <v>10</v>
      </c>
      <c r="M34" s="269"/>
      <c r="N34" s="269"/>
      <c r="O34" s="269"/>
      <c r="P34" s="269"/>
      <c r="Q34" s="269"/>
      <c r="R34" s="269"/>
      <c r="S34" s="269"/>
      <c r="T34" s="269"/>
      <c r="U34" s="269"/>
      <c r="V34" s="269"/>
      <c r="W34" s="269"/>
      <c r="X34" s="269"/>
      <c r="Y34" s="269"/>
      <c r="Z34" s="269"/>
    </row>
    <row r="35" spans="1:26" ht="48.75" customHeight="1" x14ac:dyDescent="0.2">
      <c r="A35" s="277">
        <v>31</v>
      </c>
      <c r="B35" s="278">
        <v>44525</v>
      </c>
      <c r="C35" s="255" t="s">
        <v>57</v>
      </c>
      <c r="D35" s="258">
        <v>5851.24</v>
      </c>
      <c r="E35" s="255" t="s">
        <v>6507</v>
      </c>
      <c r="F35" s="250" t="s">
        <v>945</v>
      </c>
      <c r="G35" s="255" t="s">
        <v>850</v>
      </c>
      <c r="H35" s="255" t="s">
        <v>946</v>
      </c>
      <c r="I35" s="250" t="s">
        <v>947</v>
      </c>
      <c r="J35" s="279" t="s">
        <v>114</v>
      </c>
      <c r="K35" s="278">
        <v>44525</v>
      </c>
      <c r="L35" s="280">
        <f t="shared" si="0"/>
        <v>11</v>
      </c>
      <c r="M35" s="269"/>
      <c r="N35" s="269"/>
      <c r="O35" s="269"/>
      <c r="P35" s="269"/>
      <c r="Q35" s="269"/>
      <c r="R35" s="269"/>
      <c r="S35" s="269"/>
      <c r="T35" s="269"/>
      <c r="U35" s="269"/>
      <c r="V35" s="269"/>
      <c r="W35" s="269"/>
      <c r="X35" s="269"/>
      <c r="Y35" s="269"/>
      <c r="Z35" s="269"/>
    </row>
    <row r="36" spans="1:26" ht="45.75" customHeight="1" x14ac:dyDescent="0.2">
      <c r="A36" s="277">
        <v>32</v>
      </c>
      <c r="B36" s="278">
        <v>44525</v>
      </c>
      <c r="C36" s="255" t="s">
        <v>59</v>
      </c>
      <c r="D36" s="258">
        <v>153</v>
      </c>
      <c r="E36" s="255" t="s">
        <v>948</v>
      </c>
      <c r="F36" s="281" t="s">
        <v>949</v>
      </c>
      <c r="G36" s="282" t="s">
        <v>950</v>
      </c>
      <c r="H36" s="282" t="s">
        <v>951</v>
      </c>
      <c r="I36" s="281" t="s">
        <v>947</v>
      </c>
      <c r="J36" s="283" t="s">
        <v>114</v>
      </c>
      <c r="K36" s="278">
        <v>44525</v>
      </c>
      <c r="L36" s="280">
        <f t="shared" si="0"/>
        <v>11</v>
      </c>
      <c r="M36" s="269"/>
      <c r="N36" s="269"/>
      <c r="O36" s="269"/>
      <c r="P36" s="269"/>
      <c r="Q36" s="269"/>
      <c r="R36" s="269"/>
      <c r="S36" s="269"/>
      <c r="T36" s="269"/>
      <c r="U36" s="269"/>
      <c r="V36" s="269"/>
      <c r="W36" s="269"/>
      <c r="X36" s="269"/>
      <c r="Y36" s="269"/>
      <c r="Z36" s="269"/>
    </row>
    <row r="37" spans="1:26" ht="54.75" customHeight="1" x14ac:dyDescent="0.2">
      <c r="A37" s="277">
        <v>33</v>
      </c>
      <c r="B37" s="278">
        <v>44529</v>
      </c>
      <c r="C37" s="255" t="s">
        <v>58</v>
      </c>
      <c r="D37" s="258">
        <v>75.760000000000005</v>
      </c>
      <c r="E37" s="255" t="s">
        <v>6508</v>
      </c>
      <c r="F37" s="250" t="s">
        <v>945</v>
      </c>
      <c r="G37" s="255" t="s">
        <v>850</v>
      </c>
      <c r="H37" s="255" t="s">
        <v>946</v>
      </c>
      <c r="I37" s="250" t="s">
        <v>947</v>
      </c>
      <c r="J37" s="279" t="s">
        <v>114</v>
      </c>
      <c r="K37" s="278">
        <v>44529</v>
      </c>
      <c r="L37" s="280">
        <f t="shared" si="0"/>
        <v>11</v>
      </c>
      <c r="M37" s="269"/>
      <c r="N37" s="269"/>
      <c r="O37" s="269"/>
      <c r="P37" s="269"/>
      <c r="Q37" s="269"/>
      <c r="R37" s="269"/>
      <c r="S37" s="269"/>
      <c r="T37" s="269"/>
      <c r="U37" s="269"/>
      <c r="V37" s="269"/>
      <c r="W37" s="269"/>
      <c r="X37" s="269"/>
      <c r="Y37" s="269"/>
      <c r="Z37" s="269"/>
    </row>
    <row r="38" spans="1:26" ht="50.1" customHeight="1" x14ac:dyDescent="0.2">
      <c r="A38" s="277">
        <v>34</v>
      </c>
      <c r="B38" s="278">
        <v>44553</v>
      </c>
      <c r="C38" s="255" t="s">
        <v>57</v>
      </c>
      <c r="D38" s="496">
        <v>4728.8900000000003</v>
      </c>
      <c r="E38" s="452" t="s">
        <v>6510</v>
      </c>
      <c r="F38" s="250" t="s">
        <v>945</v>
      </c>
      <c r="G38" s="255" t="s">
        <v>850</v>
      </c>
      <c r="H38" s="255" t="s">
        <v>946</v>
      </c>
      <c r="I38" s="250" t="s">
        <v>947</v>
      </c>
      <c r="J38" s="279" t="s">
        <v>114</v>
      </c>
      <c r="K38" s="278">
        <v>44553</v>
      </c>
      <c r="L38" s="280">
        <f t="shared" si="0"/>
        <v>12</v>
      </c>
      <c r="M38" s="269"/>
      <c r="N38" s="269"/>
      <c r="O38" s="269"/>
      <c r="P38" s="269"/>
      <c r="Q38" s="269"/>
      <c r="R38" s="269"/>
      <c r="S38" s="269"/>
      <c r="T38" s="269"/>
      <c r="U38" s="269"/>
      <c r="V38" s="269"/>
      <c r="W38" s="269"/>
      <c r="X38" s="269"/>
      <c r="Y38" s="269"/>
      <c r="Z38" s="269"/>
    </row>
    <row r="39" spans="1:26" ht="47.25" customHeight="1" x14ac:dyDescent="0.2">
      <c r="A39" s="277">
        <v>35</v>
      </c>
      <c r="B39" s="278">
        <v>44553</v>
      </c>
      <c r="C39" s="255" t="s">
        <v>59</v>
      </c>
      <c r="D39" s="258">
        <v>153</v>
      </c>
      <c r="E39" s="255" t="s">
        <v>948</v>
      </c>
      <c r="F39" s="281" t="s">
        <v>949</v>
      </c>
      <c r="G39" s="282" t="s">
        <v>950</v>
      </c>
      <c r="H39" s="282" t="s">
        <v>951</v>
      </c>
      <c r="I39" s="281" t="s">
        <v>947</v>
      </c>
      <c r="J39" s="283" t="s">
        <v>114</v>
      </c>
      <c r="K39" s="278">
        <v>44553</v>
      </c>
      <c r="L39" s="280">
        <f t="shared" si="0"/>
        <v>12</v>
      </c>
      <c r="M39" s="269"/>
      <c r="N39" s="269"/>
      <c r="O39" s="269"/>
      <c r="P39" s="269"/>
      <c r="Q39" s="269"/>
      <c r="R39" s="269"/>
      <c r="S39" s="269"/>
      <c r="T39" s="269"/>
      <c r="U39" s="269"/>
      <c r="V39" s="269"/>
      <c r="W39" s="269"/>
      <c r="X39" s="269"/>
      <c r="Y39" s="269"/>
      <c r="Z39" s="269"/>
    </row>
    <row r="40" spans="1:26" ht="50.25" customHeight="1" x14ac:dyDescent="0.2">
      <c r="A40" s="277">
        <v>36</v>
      </c>
      <c r="B40" s="278">
        <v>44561</v>
      </c>
      <c r="C40" s="255" t="s">
        <v>58</v>
      </c>
      <c r="D40" s="258">
        <v>264.25</v>
      </c>
      <c r="E40" s="255" t="s">
        <v>7161</v>
      </c>
      <c r="F40" s="250" t="s">
        <v>945</v>
      </c>
      <c r="G40" s="255" t="s">
        <v>850</v>
      </c>
      <c r="H40" s="255" t="s">
        <v>946</v>
      </c>
      <c r="I40" s="250" t="s">
        <v>947</v>
      </c>
      <c r="J40" s="279" t="s">
        <v>114</v>
      </c>
      <c r="K40" s="278">
        <v>44561</v>
      </c>
      <c r="L40" s="280">
        <f t="shared" si="0"/>
        <v>12</v>
      </c>
      <c r="M40" s="269"/>
      <c r="N40" s="269"/>
      <c r="O40" s="269"/>
      <c r="P40" s="269"/>
      <c r="Q40" s="269"/>
      <c r="R40" s="269"/>
      <c r="S40" s="269"/>
      <c r="T40" s="269"/>
      <c r="U40" s="269"/>
      <c r="V40" s="269"/>
      <c r="W40" s="269"/>
      <c r="X40" s="269"/>
      <c r="Y40" s="269"/>
      <c r="Z40" s="269"/>
    </row>
    <row r="41" spans="1:26" ht="12.75" hidden="1" customHeight="1" x14ac:dyDescent="0.2">
      <c r="A41" s="277">
        <v>37</v>
      </c>
      <c r="B41" s="278"/>
      <c r="C41" s="255"/>
      <c r="D41" s="258"/>
      <c r="E41" s="255"/>
      <c r="F41" s="250"/>
      <c r="G41" s="255"/>
      <c r="H41" s="255"/>
      <c r="I41" s="250"/>
      <c r="J41" s="255"/>
      <c r="K41" s="277"/>
      <c r="L41" s="280">
        <f t="shared" si="0"/>
        <v>0</v>
      </c>
      <c r="M41" s="269"/>
      <c r="N41" s="269"/>
      <c r="O41" s="269"/>
      <c r="P41" s="269"/>
      <c r="Q41" s="269"/>
      <c r="R41" s="269"/>
      <c r="S41" s="269"/>
      <c r="T41" s="269"/>
      <c r="U41" s="269"/>
      <c r="V41" s="269"/>
      <c r="W41" s="269"/>
      <c r="X41" s="269"/>
      <c r="Y41" s="269"/>
      <c r="Z41" s="269"/>
    </row>
    <row r="42" spans="1:26" ht="12.75" hidden="1" customHeight="1" x14ac:dyDescent="0.2">
      <c r="A42" s="277">
        <v>38</v>
      </c>
      <c r="B42" s="278"/>
      <c r="C42" s="255"/>
      <c r="D42" s="258"/>
      <c r="E42" s="255"/>
      <c r="F42" s="250"/>
      <c r="G42" s="255"/>
      <c r="H42" s="255"/>
      <c r="I42" s="250"/>
      <c r="J42" s="255"/>
      <c r="K42" s="277"/>
      <c r="L42" s="280">
        <f t="shared" si="0"/>
        <v>0</v>
      </c>
      <c r="M42" s="269"/>
      <c r="N42" s="269"/>
      <c r="O42" s="269"/>
      <c r="P42" s="269"/>
      <c r="Q42" s="269"/>
      <c r="R42" s="269"/>
      <c r="S42" s="269"/>
      <c r="T42" s="269"/>
      <c r="U42" s="269"/>
      <c r="V42" s="269"/>
      <c r="W42" s="269"/>
      <c r="X42" s="269"/>
      <c r="Y42" s="269"/>
      <c r="Z42" s="269"/>
    </row>
    <row r="43" spans="1:26" ht="12.75" hidden="1" customHeight="1" x14ac:dyDescent="0.2">
      <c r="A43" s="289">
        <v>39</v>
      </c>
      <c r="B43" s="290"/>
      <c r="C43" s="291"/>
      <c r="D43" s="292"/>
      <c r="E43" s="291"/>
      <c r="F43" s="293"/>
      <c r="G43" s="291"/>
      <c r="H43" s="291"/>
      <c r="I43" s="293"/>
      <c r="J43" s="291"/>
      <c r="K43" s="289"/>
      <c r="L43" s="280">
        <f t="shared" si="0"/>
        <v>0</v>
      </c>
      <c r="M43" s="269"/>
      <c r="N43" s="269"/>
      <c r="O43" s="269"/>
      <c r="P43" s="269"/>
      <c r="Q43" s="269"/>
      <c r="R43" s="269"/>
      <c r="S43" s="269"/>
      <c r="T43" s="269"/>
      <c r="U43" s="269"/>
      <c r="V43" s="269"/>
      <c r="W43" s="269"/>
      <c r="X43" s="269"/>
      <c r="Y43" s="269"/>
      <c r="Z43" s="269"/>
    </row>
    <row r="44" spans="1:26" ht="12.75" hidden="1" customHeight="1" x14ac:dyDescent="0.2">
      <c r="A44" s="289">
        <v>40</v>
      </c>
      <c r="B44" s="290"/>
      <c r="C44" s="291"/>
      <c r="D44" s="292"/>
      <c r="E44" s="291"/>
      <c r="F44" s="293"/>
      <c r="G44" s="291"/>
      <c r="H44" s="291"/>
      <c r="I44" s="293"/>
      <c r="J44" s="291"/>
      <c r="K44" s="289"/>
      <c r="L44" s="280">
        <f t="shared" si="0"/>
        <v>0</v>
      </c>
      <c r="M44" s="269"/>
      <c r="N44" s="269"/>
      <c r="O44" s="269"/>
      <c r="P44" s="269"/>
      <c r="Q44" s="269"/>
      <c r="R44" s="269"/>
      <c r="S44" s="269"/>
      <c r="T44" s="269"/>
      <c r="U44" s="269"/>
      <c r="V44" s="269"/>
      <c r="W44" s="269"/>
      <c r="X44" s="269"/>
      <c r="Y44" s="269"/>
      <c r="Z44" s="269"/>
    </row>
    <row r="45" spans="1:26" ht="12.75" hidden="1" customHeight="1" x14ac:dyDescent="0.2">
      <c r="A45" s="289">
        <v>41</v>
      </c>
      <c r="B45" s="290"/>
      <c r="C45" s="291"/>
      <c r="D45" s="292"/>
      <c r="E45" s="291"/>
      <c r="F45" s="293"/>
      <c r="G45" s="291"/>
      <c r="H45" s="291"/>
      <c r="I45" s="293"/>
      <c r="J45" s="291"/>
      <c r="K45" s="289"/>
      <c r="L45" s="280">
        <f t="shared" si="0"/>
        <v>0</v>
      </c>
      <c r="M45" s="269"/>
      <c r="N45" s="269"/>
      <c r="O45" s="269"/>
      <c r="P45" s="269"/>
      <c r="Q45" s="269"/>
      <c r="R45" s="269"/>
      <c r="S45" s="269"/>
      <c r="T45" s="269"/>
      <c r="U45" s="269"/>
      <c r="V45" s="269"/>
      <c r="W45" s="269"/>
      <c r="X45" s="269"/>
      <c r="Y45" s="269"/>
      <c r="Z45" s="269"/>
    </row>
    <row r="46" spans="1:26" ht="12.75" hidden="1" customHeight="1" x14ac:dyDescent="0.2">
      <c r="A46" s="289">
        <v>42</v>
      </c>
      <c r="B46" s="290"/>
      <c r="C46" s="291"/>
      <c r="D46" s="292"/>
      <c r="E46" s="291"/>
      <c r="F46" s="293"/>
      <c r="G46" s="291"/>
      <c r="H46" s="291"/>
      <c r="I46" s="293"/>
      <c r="J46" s="291"/>
      <c r="K46" s="289"/>
      <c r="L46" s="280">
        <f t="shared" si="0"/>
        <v>0</v>
      </c>
      <c r="M46" s="269"/>
      <c r="N46" s="269"/>
      <c r="O46" s="269"/>
      <c r="P46" s="269"/>
      <c r="Q46" s="269"/>
      <c r="R46" s="269"/>
      <c r="S46" s="269"/>
      <c r="T46" s="269"/>
      <c r="U46" s="269"/>
      <c r="V46" s="269"/>
      <c r="W46" s="269"/>
      <c r="X46" s="269"/>
      <c r="Y46" s="269"/>
      <c r="Z46" s="269"/>
    </row>
    <row r="47" spans="1:26" ht="12.75" hidden="1" customHeight="1" x14ac:dyDescent="0.2">
      <c r="A47" s="289">
        <v>43</v>
      </c>
      <c r="B47" s="290"/>
      <c r="C47" s="291"/>
      <c r="D47" s="292"/>
      <c r="E47" s="291"/>
      <c r="F47" s="293"/>
      <c r="G47" s="291"/>
      <c r="H47" s="291"/>
      <c r="I47" s="293"/>
      <c r="J47" s="291"/>
      <c r="K47" s="289"/>
      <c r="L47" s="280">
        <f t="shared" si="0"/>
        <v>0</v>
      </c>
      <c r="M47" s="269"/>
      <c r="N47" s="269"/>
      <c r="O47" s="269"/>
      <c r="P47" s="269"/>
      <c r="Q47" s="269"/>
      <c r="R47" s="269"/>
      <c r="S47" s="269"/>
      <c r="T47" s="269"/>
      <c r="U47" s="269"/>
      <c r="V47" s="269"/>
      <c r="W47" s="269"/>
      <c r="X47" s="269"/>
      <c r="Y47" s="269"/>
      <c r="Z47" s="269"/>
    </row>
    <row r="48" spans="1:26" ht="12.75" hidden="1" customHeight="1" x14ac:dyDescent="0.2">
      <c r="A48" s="289">
        <v>44</v>
      </c>
      <c r="B48" s="290"/>
      <c r="C48" s="291"/>
      <c r="D48" s="292"/>
      <c r="E48" s="291"/>
      <c r="F48" s="293"/>
      <c r="G48" s="291"/>
      <c r="H48" s="291"/>
      <c r="I48" s="293"/>
      <c r="J48" s="291"/>
      <c r="K48" s="289"/>
      <c r="L48" s="280">
        <f t="shared" si="0"/>
        <v>0</v>
      </c>
      <c r="M48" s="269"/>
      <c r="N48" s="269"/>
      <c r="O48" s="269"/>
      <c r="P48" s="269"/>
      <c r="Q48" s="269"/>
      <c r="R48" s="269"/>
      <c r="S48" s="269"/>
      <c r="T48" s="269"/>
      <c r="U48" s="269"/>
      <c r="V48" s="269"/>
      <c r="W48" s="269"/>
      <c r="X48" s="269"/>
      <c r="Y48" s="269"/>
      <c r="Z48" s="269"/>
    </row>
    <row r="49" spans="1:26" ht="12.75" hidden="1" customHeight="1" x14ac:dyDescent="0.2">
      <c r="A49" s="289">
        <v>45</v>
      </c>
      <c r="B49" s="290"/>
      <c r="C49" s="291"/>
      <c r="D49" s="292"/>
      <c r="E49" s="291"/>
      <c r="F49" s="293"/>
      <c r="G49" s="291"/>
      <c r="H49" s="291"/>
      <c r="I49" s="293"/>
      <c r="J49" s="291"/>
      <c r="K49" s="289"/>
      <c r="L49" s="280">
        <f t="shared" si="0"/>
        <v>0</v>
      </c>
      <c r="M49" s="269"/>
      <c r="N49" s="269"/>
      <c r="O49" s="269"/>
      <c r="P49" s="269"/>
      <c r="Q49" s="269"/>
      <c r="R49" s="269"/>
      <c r="S49" s="269"/>
      <c r="T49" s="269"/>
      <c r="U49" s="269"/>
      <c r="V49" s="269"/>
      <c r="W49" s="269"/>
      <c r="X49" s="269"/>
      <c r="Y49" s="269"/>
      <c r="Z49" s="269"/>
    </row>
    <row r="50" spans="1:26" ht="12.75" hidden="1" customHeight="1" x14ac:dyDescent="0.2">
      <c r="A50" s="289">
        <v>46</v>
      </c>
      <c r="B50" s="290"/>
      <c r="C50" s="291"/>
      <c r="D50" s="292"/>
      <c r="E50" s="291"/>
      <c r="F50" s="293"/>
      <c r="G50" s="291"/>
      <c r="H50" s="291"/>
      <c r="I50" s="293"/>
      <c r="J50" s="291"/>
      <c r="K50" s="289"/>
      <c r="L50" s="280">
        <f t="shared" si="0"/>
        <v>0</v>
      </c>
      <c r="M50" s="269"/>
      <c r="N50" s="269"/>
      <c r="O50" s="269"/>
      <c r="P50" s="269"/>
      <c r="Q50" s="269"/>
      <c r="R50" s="269"/>
      <c r="S50" s="269"/>
      <c r="T50" s="269"/>
      <c r="U50" s="269"/>
      <c r="V50" s="269"/>
      <c r="W50" s="269"/>
      <c r="X50" s="269"/>
      <c r="Y50" s="269"/>
      <c r="Z50" s="269"/>
    </row>
    <row r="51" spans="1:26" ht="12.75" hidden="1" customHeight="1" x14ac:dyDescent="0.2">
      <c r="A51" s="289">
        <v>47</v>
      </c>
      <c r="B51" s="290"/>
      <c r="C51" s="291"/>
      <c r="D51" s="292"/>
      <c r="E51" s="291"/>
      <c r="F51" s="293"/>
      <c r="G51" s="291"/>
      <c r="H51" s="291"/>
      <c r="I51" s="293"/>
      <c r="J51" s="291"/>
      <c r="K51" s="289"/>
      <c r="L51" s="280">
        <f t="shared" si="0"/>
        <v>0</v>
      </c>
      <c r="M51" s="269"/>
      <c r="N51" s="269"/>
      <c r="O51" s="269"/>
      <c r="P51" s="269"/>
      <c r="Q51" s="269"/>
      <c r="R51" s="269"/>
      <c r="S51" s="269"/>
      <c r="T51" s="269"/>
      <c r="U51" s="269"/>
      <c r="V51" s="269"/>
      <c r="W51" s="269"/>
      <c r="X51" s="269"/>
      <c r="Y51" s="269"/>
      <c r="Z51" s="269"/>
    </row>
    <row r="52" spans="1:26" ht="12.75" hidden="1" customHeight="1" x14ac:dyDescent="0.2">
      <c r="A52" s="289">
        <v>48</v>
      </c>
      <c r="B52" s="290"/>
      <c r="C52" s="291"/>
      <c r="D52" s="292"/>
      <c r="E52" s="291"/>
      <c r="F52" s="293"/>
      <c r="G52" s="291"/>
      <c r="H52" s="291"/>
      <c r="I52" s="293"/>
      <c r="J52" s="291"/>
      <c r="K52" s="289"/>
      <c r="L52" s="280">
        <f t="shared" si="0"/>
        <v>0</v>
      </c>
      <c r="M52" s="269"/>
      <c r="N52" s="269"/>
      <c r="O52" s="269"/>
      <c r="P52" s="269"/>
      <c r="Q52" s="269"/>
      <c r="R52" s="269"/>
      <c r="S52" s="269"/>
      <c r="T52" s="269"/>
      <c r="U52" s="269"/>
      <c r="V52" s="269"/>
      <c r="W52" s="269"/>
      <c r="X52" s="269"/>
      <c r="Y52" s="269"/>
      <c r="Z52" s="269"/>
    </row>
    <row r="53" spans="1:26" ht="12.75" hidden="1" customHeight="1" x14ac:dyDescent="0.2">
      <c r="A53" s="289">
        <v>49</v>
      </c>
      <c r="B53" s="290"/>
      <c r="C53" s="291"/>
      <c r="D53" s="292"/>
      <c r="E53" s="291"/>
      <c r="F53" s="293"/>
      <c r="G53" s="291"/>
      <c r="H53" s="291"/>
      <c r="I53" s="293"/>
      <c r="J53" s="291"/>
      <c r="K53" s="289"/>
      <c r="L53" s="280">
        <f t="shared" si="0"/>
        <v>0</v>
      </c>
      <c r="M53" s="269"/>
      <c r="N53" s="269"/>
      <c r="O53" s="269"/>
      <c r="P53" s="269"/>
      <c r="Q53" s="269"/>
      <c r="R53" s="269"/>
      <c r="S53" s="269"/>
      <c r="T53" s="269"/>
      <c r="U53" s="269"/>
      <c r="V53" s="269"/>
      <c r="W53" s="269"/>
      <c r="X53" s="269"/>
      <c r="Y53" s="269"/>
      <c r="Z53" s="269"/>
    </row>
    <row r="54" spans="1:26" ht="12.75" hidden="1" customHeight="1" x14ac:dyDescent="0.2">
      <c r="A54" s="289">
        <v>50</v>
      </c>
      <c r="B54" s="290"/>
      <c r="C54" s="291"/>
      <c r="D54" s="292"/>
      <c r="E54" s="291"/>
      <c r="F54" s="293"/>
      <c r="G54" s="291"/>
      <c r="H54" s="291"/>
      <c r="I54" s="293"/>
      <c r="J54" s="291"/>
      <c r="K54" s="289"/>
      <c r="L54" s="280">
        <f t="shared" si="0"/>
        <v>0</v>
      </c>
      <c r="M54" s="269"/>
      <c r="N54" s="269"/>
      <c r="O54" s="269"/>
      <c r="P54" s="269"/>
      <c r="Q54" s="269"/>
      <c r="R54" s="269"/>
      <c r="S54" s="269"/>
      <c r="T54" s="269"/>
      <c r="U54" s="269"/>
      <c r="V54" s="269"/>
      <c r="W54" s="269"/>
      <c r="X54" s="269"/>
      <c r="Y54" s="269"/>
      <c r="Z54" s="269"/>
    </row>
    <row r="55" spans="1:26" ht="12.75" hidden="1" customHeight="1" x14ac:dyDescent="0.2">
      <c r="A55" s="268"/>
      <c r="B55" s="268"/>
      <c r="C55" s="294"/>
      <c r="D55" s="295"/>
      <c r="E55" s="296"/>
      <c r="F55" s="297"/>
      <c r="G55" s="296"/>
      <c r="H55" s="296"/>
      <c r="I55" s="297"/>
      <c r="J55" s="296"/>
      <c r="K55" s="295"/>
      <c r="L55" s="298"/>
      <c r="M55" s="269"/>
      <c r="N55" s="269"/>
      <c r="O55" s="269"/>
      <c r="P55" s="269"/>
      <c r="Q55" s="269"/>
      <c r="R55" s="269"/>
      <c r="S55" s="269"/>
      <c r="T55" s="269"/>
      <c r="U55" s="269"/>
      <c r="V55" s="269"/>
      <c r="W55" s="269"/>
      <c r="X55" s="269"/>
      <c r="Y55" s="269"/>
      <c r="Z55" s="269"/>
    </row>
    <row r="56" spans="1:26" ht="12.75" hidden="1" customHeight="1" x14ac:dyDescent="0.2">
      <c r="A56" s="268"/>
      <c r="B56" s="268"/>
      <c r="C56" s="294"/>
      <c r="D56" s="295"/>
      <c r="E56" s="296"/>
      <c r="F56" s="297"/>
      <c r="G56" s="296"/>
      <c r="H56" s="296"/>
      <c r="I56" s="297"/>
      <c r="J56" s="296"/>
      <c r="K56" s="295"/>
      <c r="L56" s="298"/>
      <c r="M56" s="269"/>
      <c r="N56" s="269"/>
      <c r="O56" s="269"/>
      <c r="P56" s="269"/>
      <c r="Q56" s="269"/>
      <c r="R56" s="269"/>
      <c r="S56" s="269"/>
      <c r="T56" s="269"/>
      <c r="U56" s="269"/>
      <c r="V56" s="269"/>
      <c r="W56" s="269"/>
      <c r="X56" s="269"/>
      <c r="Y56" s="269"/>
      <c r="Z56" s="269"/>
    </row>
    <row r="57" spans="1:26" ht="12.75" hidden="1" customHeight="1" x14ac:dyDescent="0.2">
      <c r="A57" s="268"/>
      <c r="B57" s="268"/>
      <c r="C57" s="294"/>
      <c r="D57" s="295"/>
      <c r="E57" s="296"/>
      <c r="F57" s="297"/>
      <c r="G57" s="296"/>
      <c r="H57" s="296"/>
      <c r="I57" s="297"/>
      <c r="J57" s="296"/>
      <c r="K57" s="295"/>
      <c r="L57" s="298"/>
      <c r="M57" s="269"/>
      <c r="N57" s="269"/>
      <c r="O57" s="269"/>
      <c r="P57" s="269"/>
      <c r="Q57" s="269"/>
      <c r="R57" s="269"/>
      <c r="S57" s="269"/>
      <c r="T57" s="269"/>
      <c r="U57" s="269"/>
      <c r="V57" s="269"/>
      <c r="W57" s="269"/>
      <c r="X57" s="269"/>
      <c r="Y57" s="269"/>
      <c r="Z57" s="269"/>
    </row>
    <row r="58" spans="1:26" ht="12.75" hidden="1" customHeight="1" x14ac:dyDescent="0.2">
      <c r="A58" s="268"/>
      <c r="B58" s="268"/>
      <c r="C58" s="294"/>
      <c r="D58" s="295"/>
      <c r="E58" s="296"/>
      <c r="F58" s="297"/>
      <c r="G58" s="296"/>
      <c r="H58" s="296"/>
      <c r="I58" s="297"/>
      <c r="J58" s="296"/>
      <c r="K58" s="295"/>
      <c r="L58" s="298"/>
      <c r="M58" s="269"/>
      <c r="N58" s="269"/>
      <c r="O58" s="269"/>
      <c r="P58" s="269"/>
      <c r="Q58" s="269"/>
      <c r="R58" s="269"/>
      <c r="S58" s="269"/>
      <c r="T58" s="269"/>
      <c r="U58" s="269"/>
      <c r="V58" s="269"/>
      <c r="W58" s="269"/>
      <c r="X58" s="269"/>
      <c r="Y58" s="269"/>
      <c r="Z58" s="269"/>
    </row>
    <row r="59" spans="1:26" ht="12.75" hidden="1" customHeight="1" x14ac:dyDescent="0.2">
      <c r="A59" s="268"/>
      <c r="B59" s="268"/>
      <c r="C59" s="294"/>
      <c r="D59" s="295"/>
      <c r="E59" s="296"/>
      <c r="F59" s="297"/>
      <c r="G59" s="296"/>
      <c r="H59" s="296"/>
      <c r="I59" s="297"/>
      <c r="J59" s="296"/>
      <c r="K59" s="295"/>
      <c r="L59" s="298"/>
      <c r="M59" s="269"/>
      <c r="N59" s="269"/>
      <c r="O59" s="269"/>
      <c r="P59" s="269"/>
      <c r="Q59" s="269"/>
      <c r="R59" s="269"/>
      <c r="S59" s="269"/>
      <c r="T59" s="269"/>
      <c r="U59" s="269"/>
      <c r="V59" s="269"/>
      <c r="W59" s="269"/>
      <c r="X59" s="269"/>
      <c r="Y59" s="269"/>
      <c r="Z59" s="269"/>
    </row>
    <row r="60" spans="1:26" ht="12.75" hidden="1" customHeight="1" x14ac:dyDescent="0.2">
      <c r="A60" s="268"/>
      <c r="B60" s="268"/>
      <c r="C60" s="294"/>
      <c r="D60" s="295"/>
      <c r="E60" s="296"/>
      <c r="F60" s="297"/>
      <c r="G60" s="296"/>
      <c r="H60" s="296"/>
      <c r="I60" s="297"/>
      <c r="J60" s="296"/>
      <c r="K60" s="295"/>
      <c r="L60" s="298"/>
      <c r="M60" s="269"/>
      <c r="N60" s="269"/>
      <c r="O60" s="269"/>
      <c r="P60" s="269"/>
      <c r="Q60" s="269"/>
      <c r="R60" s="269"/>
      <c r="S60" s="269"/>
      <c r="T60" s="269"/>
      <c r="U60" s="269"/>
      <c r="V60" s="269"/>
      <c r="W60" s="269"/>
      <c r="X60" s="269"/>
      <c r="Y60" s="269"/>
      <c r="Z60" s="269"/>
    </row>
    <row r="61" spans="1:26" ht="12.75" hidden="1" customHeight="1" x14ac:dyDescent="0.2">
      <c r="A61" s="268"/>
      <c r="B61" s="268"/>
      <c r="C61" s="294"/>
      <c r="D61" s="295"/>
      <c r="E61" s="296"/>
      <c r="F61" s="297"/>
      <c r="G61" s="296"/>
      <c r="H61" s="296"/>
      <c r="I61" s="297"/>
      <c r="J61" s="296"/>
      <c r="K61" s="295"/>
      <c r="L61" s="298"/>
      <c r="M61" s="269"/>
      <c r="N61" s="269"/>
      <c r="O61" s="269"/>
      <c r="P61" s="269"/>
      <c r="Q61" s="269"/>
      <c r="R61" s="269"/>
      <c r="S61" s="269"/>
      <c r="T61" s="269"/>
      <c r="U61" s="269"/>
      <c r="V61" s="269"/>
      <c r="W61" s="269"/>
      <c r="X61" s="269"/>
      <c r="Y61" s="269"/>
      <c r="Z61" s="269"/>
    </row>
    <row r="62" spans="1:26" ht="12.75" hidden="1" customHeight="1" x14ac:dyDescent="0.2">
      <c r="A62" s="268"/>
      <c r="B62" s="268"/>
      <c r="C62" s="294"/>
      <c r="D62" s="295"/>
      <c r="E62" s="296"/>
      <c r="F62" s="297"/>
      <c r="G62" s="296"/>
      <c r="H62" s="296"/>
      <c r="I62" s="297"/>
      <c r="J62" s="296"/>
      <c r="K62" s="295"/>
      <c r="L62" s="298"/>
      <c r="M62" s="269"/>
      <c r="N62" s="269"/>
      <c r="O62" s="269"/>
      <c r="P62" s="269"/>
      <c r="Q62" s="269"/>
      <c r="R62" s="269"/>
      <c r="S62" s="269"/>
      <c r="T62" s="269"/>
      <c r="U62" s="269"/>
      <c r="V62" s="269"/>
      <c r="W62" s="269"/>
      <c r="X62" s="269"/>
      <c r="Y62" s="269"/>
      <c r="Z62" s="269"/>
    </row>
    <row r="63" spans="1:26" ht="12.75" hidden="1" customHeight="1" x14ac:dyDescent="0.2">
      <c r="A63" s="268"/>
      <c r="B63" s="268"/>
      <c r="C63" s="294"/>
      <c r="D63" s="295"/>
      <c r="E63" s="296"/>
      <c r="F63" s="297"/>
      <c r="G63" s="296"/>
      <c r="H63" s="296"/>
      <c r="I63" s="297"/>
      <c r="J63" s="296"/>
      <c r="K63" s="295"/>
      <c r="L63" s="298"/>
      <c r="M63" s="269"/>
      <c r="N63" s="269"/>
      <c r="O63" s="269"/>
      <c r="P63" s="269"/>
      <c r="Q63" s="269"/>
      <c r="R63" s="269"/>
      <c r="S63" s="269"/>
      <c r="T63" s="269"/>
      <c r="U63" s="269"/>
      <c r="V63" s="269"/>
      <c r="W63" s="269"/>
      <c r="X63" s="269"/>
      <c r="Y63" s="269"/>
      <c r="Z63" s="269"/>
    </row>
    <row r="64" spans="1:26" ht="12.75" hidden="1" customHeight="1" x14ac:dyDescent="0.2">
      <c r="A64" s="268"/>
      <c r="B64" s="268"/>
      <c r="C64" s="294"/>
      <c r="D64" s="295"/>
      <c r="E64" s="296"/>
      <c r="F64" s="297"/>
      <c r="G64" s="296"/>
      <c r="H64" s="296"/>
      <c r="I64" s="297"/>
      <c r="J64" s="296"/>
      <c r="K64" s="295"/>
      <c r="L64" s="298"/>
      <c r="M64" s="269"/>
      <c r="N64" s="269"/>
      <c r="O64" s="269"/>
      <c r="P64" s="269"/>
      <c r="Q64" s="269"/>
      <c r="R64" s="269"/>
      <c r="S64" s="269"/>
      <c r="T64" s="269"/>
      <c r="U64" s="269"/>
      <c r="V64" s="269"/>
      <c r="W64" s="269"/>
      <c r="X64" s="269"/>
      <c r="Y64" s="269"/>
      <c r="Z64" s="269"/>
    </row>
    <row r="65" spans="1:26" ht="12.75" hidden="1" customHeight="1" x14ac:dyDescent="0.2">
      <c r="A65" s="268"/>
      <c r="B65" s="268"/>
      <c r="C65" s="294"/>
      <c r="D65" s="295"/>
      <c r="E65" s="296"/>
      <c r="F65" s="297"/>
      <c r="G65" s="296"/>
      <c r="H65" s="296"/>
      <c r="I65" s="297"/>
      <c r="J65" s="296"/>
      <c r="K65" s="295"/>
      <c r="L65" s="298"/>
      <c r="M65" s="269"/>
      <c r="N65" s="269"/>
      <c r="O65" s="269"/>
      <c r="P65" s="269"/>
      <c r="Q65" s="269"/>
      <c r="R65" s="269"/>
      <c r="S65" s="269"/>
      <c r="T65" s="269"/>
      <c r="U65" s="269"/>
      <c r="V65" s="269"/>
      <c r="W65" s="269"/>
      <c r="X65" s="269"/>
      <c r="Y65" s="269"/>
      <c r="Z65" s="269"/>
    </row>
    <row r="66" spans="1:26" ht="12.75" hidden="1" customHeight="1" x14ac:dyDescent="0.2">
      <c r="A66" s="268"/>
      <c r="B66" s="268"/>
      <c r="C66" s="294"/>
      <c r="D66" s="295"/>
      <c r="E66" s="296"/>
      <c r="F66" s="297"/>
      <c r="G66" s="296"/>
      <c r="H66" s="296"/>
      <c r="I66" s="297"/>
      <c r="J66" s="296"/>
      <c r="K66" s="295"/>
      <c r="L66" s="298"/>
      <c r="M66" s="269"/>
      <c r="N66" s="269"/>
      <c r="O66" s="269"/>
      <c r="P66" s="269"/>
      <c r="Q66" s="269"/>
      <c r="R66" s="269"/>
      <c r="S66" s="269"/>
      <c r="T66" s="269"/>
      <c r="U66" s="269"/>
      <c r="V66" s="269"/>
      <c r="W66" s="269"/>
      <c r="X66" s="269"/>
      <c r="Y66" s="269"/>
      <c r="Z66" s="269"/>
    </row>
    <row r="67" spans="1:26" ht="12.75" hidden="1" customHeight="1" x14ac:dyDescent="0.2">
      <c r="A67" s="268"/>
      <c r="B67" s="268"/>
      <c r="C67" s="294"/>
      <c r="D67" s="295"/>
      <c r="E67" s="296"/>
      <c r="F67" s="297"/>
      <c r="G67" s="296"/>
      <c r="H67" s="296"/>
      <c r="I67" s="297"/>
      <c r="J67" s="296"/>
      <c r="K67" s="295"/>
      <c r="L67" s="298"/>
      <c r="M67" s="269"/>
      <c r="N67" s="269"/>
      <c r="O67" s="269"/>
      <c r="P67" s="269"/>
      <c r="Q67" s="269"/>
      <c r="R67" s="269"/>
      <c r="S67" s="269"/>
      <c r="T67" s="269"/>
      <c r="U67" s="269"/>
      <c r="V67" s="269"/>
      <c r="W67" s="269"/>
      <c r="X67" s="269"/>
      <c r="Y67" s="269"/>
      <c r="Z67" s="269"/>
    </row>
    <row r="68" spans="1:26" ht="12.75" hidden="1" customHeight="1" x14ac:dyDescent="0.2">
      <c r="A68" s="268"/>
      <c r="B68" s="268"/>
      <c r="C68" s="294"/>
      <c r="D68" s="295"/>
      <c r="E68" s="296"/>
      <c r="F68" s="297"/>
      <c r="G68" s="296"/>
      <c r="H68" s="296"/>
      <c r="I68" s="297"/>
      <c r="J68" s="296"/>
      <c r="K68" s="295"/>
      <c r="L68" s="298"/>
      <c r="M68" s="269"/>
      <c r="N68" s="269"/>
      <c r="O68" s="269"/>
      <c r="P68" s="269"/>
      <c r="Q68" s="269"/>
      <c r="R68" s="269"/>
      <c r="S68" s="269"/>
      <c r="T68" s="269"/>
      <c r="U68" s="269"/>
      <c r="V68" s="269"/>
      <c r="W68" s="269"/>
      <c r="X68" s="269"/>
      <c r="Y68" s="269"/>
      <c r="Z68" s="269"/>
    </row>
    <row r="69" spans="1:26" ht="12.75" hidden="1" customHeight="1" x14ac:dyDescent="0.2">
      <c r="A69" s="268"/>
      <c r="B69" s="268"/>
      <c r="C69" s="294"/>
      <c r="D69" s="295"/>
      <c r="E69" s="296"/>
      <c r="F69" s="297"/>
      <c r="G69" s="296"/>
      <c r="H69" s="296"/>
      <c r="I69" s="297"/>
      <c r="J69" s="296"/>
      <c r="K69" s="295"/>
      <c r="L69" s="298"/>
      <c r="M69" s="269"/>
      <c r="N69" s="269"/>
      <c r="O69" s="269"/>
      <c r="P69" s="269"/>
      <c r="Q69" s="269"/>
      <c r="R69" s="269"/>
      <c r="S69" s="269"/>
      <c r="T69" s="269"/>
      <c r="U69" s="269"/>
      <c r="V69" s="269"/>
      <c r="W69" s="269"/>
      <c r="X69" s="269"/>
      <c r="Y69" s="269"/>
      <c r="Z69" s="269"/>
    </row>
    <row r="70" spans="1:26" ht="12.75" hidden="1" customHeight="1" x14ac:dyDescent="0.2">
      <c r="A70" s="268"/>
      <c r="B70" s="268"/>
      <c r="C70" s="294"/>
      <c r="D70" s="295"/>
      <c r="E70" s="296"/>
      <c r="F70" s="297"/>
      <c r="G70" s="296"/>
      <c r="H70" s="296"/>
      <c r="I70" s="297"/>
      <c r="J70" s="296"/>
      <c r="K70" s="295"/>
      <c r="L70" s="298"/>
      <c r="M70" s="269"/>
      <c r="N70" s="269"/>
      <c r="O70" s="269"/>
      <c r="P70" s="269"/>
      <c r="Q70" s="269"/>
      <c r="R70" s="269"/>
      <c r="S70" s="269"/>
      <c r="T70" s="269"/>
      <c r="U70" s="269"/>
      <c r="V70" s="269"/>
      <c r="W70" s="269"/>
      <c r="X70" s="269"/>
      <c r="Y70" s="269"/>
      <c r="Z70" s="269"/>
    </row>
    <row r="71" spans="1:26" ht="12.75" hidden="1" customHeight="1" x14ac:dyDescent="0.2">
      <c r="A71" s="268"/>
      <c r="B71" s="268"/>
      <c r="C71" s="294"/>
      <c r="D71" s="295"/>
      <c r="E71" s="296"/>
      <c r="F71" s="297"/>
      <c r="G71" s="296"/>
      <c r="H71" s="296"/>
      <c r="I71" s="297"/>
      <c r="J71" s="296"/>
      <c r="K71" s="295"/>
      <c r="L71" s="298"/>
      <c r="M71" s="269"/>
      <c r="N71" s="269"/>
      <c r="O71" s="269"/>
      <c r="P71" s="269"/>
      <c r="Q71" s="269"/>
      <c r="R71" s="269"/>
      <c r="S71" s="269"/>
      <c r="T71" s="269"/>
      <c r="U71" s="269"/>
      <c r="V71" s="269"/>
      <c r="W71" s="269"/>
      <c r="X71" s="269"/>
      <c r="Y71" s="269"/>
      <c r="Z71" s="269"/>
    </row>
    <row r="72" spans="1:26" ht="12.75" hidden="1" customHeight="1" x14ac:dyDescent="0.2">
      <c r="A72" s="268"/>
      <c r="B72" s="268"/>
      <c r="C72" s="294"/>
      <c r="D72" s="295"/>
      <c r="E72" s="296"/>
      <c r="F72" s="297"/>
      <c r="G72" s="296"/>
      <c r="H72" s="296"/>
      <c r="I72" s="297"/>
      <c r="J72" s="296"/>
      <c r="K72" s="295"/>
      <c r="L72" s="298"/>
      <c r="M72" s="269"/>
      <c r="N72" s="269"/>
      <c r="O72" s="269"/>
      <c r="P72" s="269"/>
      <c r="Q72" s="269"/>
      <c r="R72" s="269"/>
      <c r="S72" s="269"/>
      <c r="T72" s="269"/>
      <c r="U72" s="269"/>
      <c r="V72" s="269"/>
      <c r="W72" s="269"/>
      <c r="X72" s="269"/>
      <c r="Y72" s="269"/>
      <c r="Z72" s="269"/>
    </row>
    <row r="73" spans="1:26" ht="12.75" hidden="1" customHeight="1" x14ac:dyDescent="0.2">
      <c r="A73" s="268"/>
      <c r="B73" s="268"/>
      <c r="C73" s="294"/>
      <c r="D73" s="295"/>
      <c r="E73" s="296"/>
      <c r="F73" s="297"/>
      <c r="G73" s="296"/>
      <c r="H73" s="296"/>
      <c r="I73" s="297"/>
      <c r="J73" s="296"/>
      <c r="K73" s="295"/>
      <c r="L73" s="298"/>
      <c r="M73" s="269"/>
      <c r="N73" s="269"/>
      <c r="O73" s="269"/>
      <c r="P73" s="269"/>
      <c r="Q73" s="269"/>
      <c r="R73" s="269"/>
      <c r="S73" s="269"/>
      <c r="T73" s="269"/>
      <c r="U73" s="269"/>
      <c r="V73" s="269"/>
      <c r="W73" s="269"/>
      <c r="X73" s="269"/>
      <c r="Y73" s="269"/>
      <c r="Z73" s="269"/>
    </row>
    <row r="74" spans="1:26" ht="12.75" hidden="1" customHeight="1" x14ac:dyDescent="0.2">
      <c r="A74" s="268"/>
      <c r="B74" s="268"/>
      <c r="C74" s="294"/>
      <c r="D74" s="295"/>
      <c r="E74" s="296"/>
      <c r="F74" s="297"/>
      <c r="G74" s="296"/>
      <c r="H74" s="296"/>
      <c r="I74" s="297"/>
      <c r="J74" s="296"/>
      <c r="K74" s="295"/>
      <c r="L74" s="298"/>
      <c r="M74" s="269"/>
      <c r="N74" s="269"/>
      <c r="O74" s="269"/>
      <c r="P74" s="269"/>
      <c r="Q74" s="269"/>
      <c r="R74" s="269"/>
      <c r="S74" s="269"/>
      <c r="T74" s="269"/>
      <c r="U74" s="269"/>
      <c r="V74" s="269"/>
      <c r="W74" s="269"/>
      <c r="X74" s="269"/>
      <c r="Y74" s="269"/>
      <c r="Z74" s="269"/>
    </row>
    <row r="75" spans="1:26" ht="12.75" hidden="1" customHeight="1" x14ac:dyDescent="0.2">
      <c r="A75" s="268"/>
      <c r="B75" s="268"/>
      <c r="C75" s="294"/>
      <c r="D75" s="295"/>
      <c r="E75" s="296"/>
      <c r="F75" s="297"/>
      <c r="G75" s="296"/>
      <c r="H75" s="296"/>
      <c r="I75" s="297"/>
      <c r="J75" s="296"/>
      <c r="K75" s="295"/>
      <c r="L75" s="298"/>
      <c r="M75" s="269"/>
      <c r="N75" s="269"/>
      <c r="O75" s="269"/>
      <c r="P75" s="269"/>
      <c r="Q75" s="269"/>
      <c r="R75" s="269"/>
      <c r="S75" s="269"/>
      <c r="T75" s="269"/>
      <c r="U75" s="269"/>
      <c r="V75" s="269"/>
      <c r="W75" s="269"/>
      <c r="X75" s="269"/>
      <c r="Y75" s="269"/>
      <c r="Z75" s="269"/>
    </row>
    <row r="76" spans="1:26" ht="12.75" hidden="1" customHeight="1" x14ac:dyDescent="0.2">
      <c r="A76" s="268"/>
      <c r="B76" s="268"/>
      <c r="C76" s="294"/>
      <c r="D76" s="295"/>
      <c r="E76" s="296"/>
      <c r="F76" s="297"/>
      <c r="G76" s="296"/>
      <c r="H76" s="296"/>
      <c r="I76" s="297"/>
      <c r="J76" s="296"/>
      <c r="K76" s="295"/>
      <c r="L76" s="298"/>
      <c r="M76" s="269"/>
      <c r="N76" s="269"/>
      <c r="O76" s="269"/>
      <c r="P76" s="269"/>
      <c r="Q76" s="269"/>
      <c r="R76" s="269"/>
      <c r="S76" s="269"/>
      <c r="T76" s="269"/>
      <c r="U76" s="269"/>
      <c r="V76" s="269"/>
      <c r="W76" s="269"/>
      <c r="X76" s="269"/>
      <c r="Y76" s="269"/>
      <c r="Z76" s="269"/>
    </row>
    <row r="77" spans="1:26" ht="12.75" hidden="1" customHeight="1" x14ac:dyDescent="0.2">
      <c r="A77" s="268"/>
      <c r="B77" s="268"/>
      <c r="C77" s="294"/>
      <c r="D77" s="295"/>
      <c r="E77" s="296"/>
      <c r="F77" s="297"/>
      <c r="G77" s="296"/>
      <c r="H77" s="296"/>
      <c r="I77" s="297"/>
      <c r="J77" s="296"/>
      <c r="K77" s="295"/>
      <c r="L77" s="298"/>
      <c r="M77" s="269"/>
      <c r="N77" s="269"/>
      <c r="O77" s="269"/>
      <c r="P77" s="269"/>
      <c r="Q77" s="269"/>
      <c r="R77" s="269"/>
      <c r="S77" s="269"/>
      <c r="T77" s="269"/>
      <c r="U77" s="269"/>
      <c r="V77" s="269"/>
      <c r="W77" s="269"/>
      <c r="X77" s="269"/>
      <c r="Y77" s="269"/>
      <c r="Z77" s="269"/>
    </row>
    <row r="78" spans="1:26" ht="12.75" hidden="1" customHeight="1" x14ac:dyDescent="0.2">
      <c r="A78" s="268"/>
      <c r="B78" s="268"/>
      <c r="C78" s="294"/>
      <c r="D78" s="295"/>
      <c r="E78" s="296"/>
      <c r="F78" s="297"/>
      <c r="G78" s="296"/>
      <c r="H78" s="296"/>
      <c r="I78" s="297"/>
      <c r="J78" s="296"/>
      <c r="K78" s="295"/>
      <c r="L78" s="298"/>
      <c r="M78" s="269"/>
      <c r="N78" s="269"/>
      <c r="O78" s="269"/>
      <c r="P78" s="269"/>
      <c r="Q78" s="269"/>
      <c r="R78" s="269"/>
      <c r="S78" s="269"/>
      <c r="T78" s="269"/>
      <c r="U78" s="269"/>
      <c r="V78" s="269"/>
      <c r="W78" s="269"/>
      <c r="X78" s="269"/>
      <c r="Y78" s="269"/>
      <c r="Z78" s="269"/>
    </row>
    <row r="79" spans="1:26" ht="12.75" hidden="1" customHeight="1" x14ac:dyDescent="0.2">
      <c r="A79" s="268"/>
      <c r="B79" s="268"/>
      <c r="C79" s="294"/>
      <c r="D79" s="295"/>
      <c r="E79" s="296"/>
      <c r="F79" s="297"/>
      <c r="G79" s="296"/>
      <c r="H79" s="296"/>
      <c r="I79" s="297"/>
      <c r="J79" s="296"/>
      <c r="K79" s="295"/>
      <c r="L79" s="298"/>
      <c r="M79" s="269"/>
      <c r="N79" s="269"/>
      <c r="O79" s="269"/>
      <c r="P79" s="269"/>
      <c r="Q79" s="269"/>
      <c r="R79" s="269"/>
      <c r="S79" s="269"/>
      <c r="T79" s="269"/>
      <c r="U79" s="269"/>
      <c r="V79" s="269"/>
      <c r="W79" s="269"/>
      <c r="X79" s="269"/>
      <c r="Y79" s="269"/>
      <c r="Z79" s="269"/>
    </row>
    <row r="80" spans="1:26" ht="12.75" hidden="1" customHeight="1" x14ac:dyDescent="0.2">
      <c r="A80" s="268"/>
      <c r="B80" s="268"/>
      <c r="C80" s="294"/>
      <c r="D80" s="295"/>
      <c r="E80" s="296"/>
      <c r="F80" s="297"/>
      <c r="G80" s="296"/>
      <c r="H80" s="296"/>
      <c r="I80" s="297"/>
      <c r="J80" s="296"/>
      <c r="K80" s="295"/>
      <c r="L80" s="298"/>
      <c r="M80" s="269"/>
      <c r="N80" s="269"/>
      <c r="O80" s="269"/>
      <c r="P80" s="269"/>
      <c r="Q80" s="269"/>
      <c r="R80" s="269"/>
      <c r="S80" s="269"/>
      <c r="T80" s="269"/>
      <c r="U80" s="269"/>
      <c r="V80" s="269"/>
      <c r="W80" s="269"/>
      <c r="X80" s="269"/>
      <c r="Y80" s="269"/>
      <c r="Z80" s="269"/>
    </row>
    <row r="81" spans="1:26" ht="12.75" hidden="1" customHeight="1" x14ac:dyDescent="0.2">
      <c r="A81" s="268"/>
      <c r="B81" s="268"/>
      <c r="C81" s="294"/>
      <c r="D81" s="295"/>
      <c r="E81" s="296"/>
      <c r="F81" s="297"/>
      <c r="G81" s="296"/>
      <c r="H81" s="296"/>
      <c r="I81" s="297"/>
      <c r="J81" s="296"/>
      <c r="K81" s="295"/>
      <c r="L81" s="298"/>
      <c r="M81" s="269"/>
      <c r="N81" s="269"/>
      <c r="O81" s="269"/>
      <c r="P81" s="269"/>
      <c r="Q81" s="269"/>
      <c r="R81" s="269"/>
      <c r="S81" s="269"/>
      <c r="T81" s="269"/>
      <c r="U81" s="269"/>
      <c r="V81" s="269"/>
      <c r="W81" s="269"/>
      <c r="X81" s="269"/>
      <c r="Y81" s="269"/>
      <c r="Z81" s="269"/>
    </row>
    <row r="82" spans="1:26" ht="12.75" customHeight="1" x14ac:dyDescent="0.2">
      <c r="A82" s="268"/>
      <c r="B82" s="268"/>
      <c r="C82" s="294"/>
      <c r="D82" s="295"/>
      <c r="E82" s="296"/>
      <c r="F82" s="297"/>
      <c r="G82" s="296"/>
      <c r="H82" s="296"/>
      <c r="I82" s="297"/>
      <c r="J82" s="296"/>
      <c r="K82" s="295"/>
      <c r="L82" s="298"/>
      <c r="M82" s="269"/>
      <c r="N82" s="269"/>
      <c r="O82" s="269"/>
      <c r="P82" s="269"/>
      <c r="Q82" s="269"/>
      <c r="R82" s="269"/>
      <c r="S82" s="269"/>
      <c r="T82" s="269"/>
      <c r="U82" s="269"/>
      <c r="V82" s="269"/>
      <c r="W82" s="269"/>
      <c r="X82" s="269"/>
      <c r="Y82" s="269"/>
      <c r="Z82" s="269"/>
    </row>
    <row r="83" spans="1:26" ht="12.75" customHeight="1" x14ac:dyDescent="0.2">
      <c r="A83" s="268"/>
      <c r="B83" s="268"/>
      <c r="C83" s="294"/>
      <c r="D83" s="295"/>
      <c r="E83" s="296"/>
      <c r="F83" s="297"/>
      <c r="G83" s="296"/>
      <c r="H83" s="296"/>
      <c r="I83" s="297"/>
      <c r="J83" s="296"/>
      <c r="K83" s="295"/>
      <c r="L83" s="298"/>
      <c r="M83" s="269"/>
      <c r="N83" s="269"/>
      <c r="O83" s="269"/>
      <c r="P83" s="269"/>
      <c r="Q83" s="269"/>
      <c r="R83" s="269"/>
      <c r="S83" s="269"/>
      <c r="T83" s="269"/>
      <c r="U83" s="269"/>
      <c r="V83" s="269"/>
      <c r="W83" s="269"/>
      <c r="X83" s="269"/>
      <c r="Y83" s="269"/>
      <c r="Z83" s="269"/>
    </row>
    <row r="84" spans="1:26" ht="12.75" customHeight="1" x14ac:dyDescent="0.2">
      <c r="A84" s="268"/>
      <c r="B84" s="268"/>
      <c r="C84" s="294"/>
      <c r="D84" s="295"/>
      <c r="E84" s="296"/>
      <c r="F84" s="297"/>
      <c r="G84" s="296"/>
      <c r="H84" s="296"/>
      <c r="I84" s="297"/>
      <c r="J84" s="296"/>
      <c r="K84" s="295"/>
      <c r="L84" s="298"/>
      <c r="M84" s="269"/>
      <c r="N84" s="269"/>
      <c r="O84" s="269"/>
      <c r="P84" s="269"/>
      <c r="Q84" s="269"/>
      <c r="R84" s="269"/>
      <c r="S84" s="269"/>
      <c r="T84" s="269"/>
      <c r="U84" s="269"/>
      <c r="V84" s="269"/>
      <c r="W84" s="269"/>
      <c r="X84" s="269"/>
      <c r="Y84" s="269"/>
      <c r="Z84" s="269"/>
    </row>
    <row r="85" spans="1:26" ht="12.75" customHeight="1" x14ac:dyDescent="0.2">
      <c r="A85" s="268"/>
      <c r="B85" s="268"/>
      <c r="C85" s="294"/>
      <c r="D85" s="295"/>
      <c r="E85" s="296"/>
      <c r="F85" s="297"/>
      <c r="G85" s="296"/>
      <c r="H85" s="296"/>
      <c r="I85" s="297"/>
      <c r="J85" s="296"/>
      <c r="K85" s="295"/>
      <c r="L85" s="298"/>
      <c r="M85" s="269"/>
      <c r="N85" s="269"/>
      <c r="O85" s="269"/>
      <c r="P85" s="269"/>
      <c r="Q85" s="269"/>
      <c r="R85" s="269"/>
      <c r="S85" s="269"/>
      <c r="T85" s="269"/>
      <c r="U85" s="269"/>
      <c r="V85" s="269"/>
      <c r="W85" s="269"/>
      <c r="X85" s="269"/>
      <c r="Y85" s="269"/>
      <c r="Z85" s="269"/>
    </row>
    <row r="86" spans="1:26" ht="12.75" customHeight="1" x14ac:dyDescent="0.2">
      <c r="A86" s="268"/>
      <c r="B86" s="268"/>
      <c r="C86" s="294"/>
      <c r="D86" s="295"/>
      <c r="E86" s="296"/>
      <c r="F86" s="297"/>
      <c r="G86" s="296"/>
      <c r="H86" s="296"/>
      <c r="I86" s="297"/>
      <c r="J86" s="296"/>
      <c r="K86" s="295"/>
      <c r="L86" s="298"/>
      <c r="M86" s="269"/>
      <c r="N86" s="269"/>
      <c r="O86" s="269"/>
      <c r="P86" s="269"/>
      <c r="Q86" s="269"/>
      <c r="R86" s="269"/>
      <c r="S86" s="269"/>
      <c r="T86" s="269"/>
      <c r="U86" s="269"/>
      <c r="V86" s="269"/>
      <c r="W86" s="269"/>
      <c r="X86" s="269"/>
      <c r="Y86" s="269"/>
      <c r="Z86" s="269"/>
    </row>
    <row r="87" spans="1:26" ht="12.75" customHeight="1" x14ac:dyDescent="0.2">
      <c r="A87" s="268"/>
      <c r="B87" s="268"/>
      <c r="C87" s="294"/>
      <c r="D87" s="295"/>
      <c r="E87" s="296"/>
      <c r="F87" s="297"/>
      <c r="G87" s="296"/>
      <c r="H87" s="296"/>
      <c r="I87" s="297"/>
      <c r="J87" s="296"/>
      <c r="K87" s="295"/>
      <c r="L87" s="298"/>
      <c r="M87" s="269"/>
      <c r="N87" s="269"/>
      <c r="O87" s="269"/>
      <c r="P87" s="269"/>
      <c r="Q87" s="269"/>
      <c r="R87" s="269"/>
      <c r="S87" s="269"/>
      <c r="T87" s="269"/>
      <c r="U87" s="269"/>
      <c r="V87" s="269"/>
      <c r="W87" s="269"/>
      <c r="X87" s="269"/>
      <c r="Y87" s="269"/>
      <c r="Z87" s="269"/>
    </row>
    <row r="88" spans="1:26" ht="12.75" customHeight="1" x14ac:dyDescent="0.2">
      <c r="A88" s="268"/>
      <c r="B88" s="268"/>
      <c r="C88" s="294"/>
      <c r="D88" s="295"/>
      <c r="E88" s="296"/>
      <c r="F88" s="297"/>
      <c r="G88" s="296"/>
      <c r="H88" s="296"/>
      <c r="I88" s="297"/>
      <c r="J88" s="296"/>
      <c r="K88" s="295"/>
      <c r="L88" s="298"/>
      <c r="M88" s="269"/>
      <c r="N88" s="269"/>
      <c r="O88" s="269"/>
      <c r="P88" s="269"/>
      <c r="Q88" s="269"/>
      <c r="R88" s="269"/>
      <c r="S88" s="269"/>
      <c r="T88" s="269"/>
      <c r="U88" s="269"/>
      <c r="V88" s="269"/>
      <c r="W88" s="269"/>
      <c r="X88" s="269"/>
      <c r="Y88" s="269"/>
      <c r="Z88" s="269"/>
    </row>
    <row r="89" spans="1:26" ht="12.75" customHeight="1" x14ac:dyDescent="0.2">
      <c r="A89" s="268"/>
      <c r="B89" s="268"/>
      <c r="C89" s="294"/>
      <c r="D89" s="295"/>
      <c r="E89" s="296"/>
      <c r="F89" s="297"/>
      <c r="G89" s="296"/>
      <c r="H89" s="296"/>
      <c r="I89" s="297"/>
      <c r="J89" s="296"/>
      <c r="K89" s="295"/>
      <c r="L89" s="298"/>
      <c r="M89" s="269"/>
      <c r="N89" s="269"/>
      <c r="O89" s="269"/>
      <c r="P89" s="269"/>
      <c r="Q89" s="269"/>
      <c r="R89" s="269"/>
      <c r="S89" s="269"/>
      <c r="T89" s="269"/>
      <c r="U89" s="269"/>
      <c r="V89" s="269"/>
      <c r="W89" s="269"/>
      <c r="X89" s="269"/>
      <c r="Y89" s="269"/>
      <c r="Z89" s="269"/>
    </row>
    <row r="90" spans="1:26" ht="12.75" customHeight="1" x14ac:dyDescent="0.2">
      <c r="A90" s="268"/>
      <c r="B90" s="268"/>
      <c r="C90" s="294"/>
      <c r="D90" s="295"/>
      <c r="E90" s="296"/>
      <c r="F90" s="297"/>
      <c r="G90" s="296"/>
      <c r="H90" s="296"/>
      <c r="I90" s="297"/>
      <c r="J90" s="296"/>
      <c r="K90" s="295"/>
      <c r="L90" s="298"/>
      <c r="M90" s="269"/>
      <c r="N90" s="269"/>
      <c r="O90" s="269"/>
      <c r="P90" s="269"/>
      <c r="Q90" s="269"/>
      <c r="R90" s="269"/>
      <c r="S90" s="269"/>
      <c r="T90" s="269"/>
      <c r="U90" s="269"/>
      <c r="V90" s="269"/>
      <c r="W90" s="269"/>
      <c r="X90" s="269"/>
      <c r="Y90" s="269"/>
      <c r="Z90" s="269"/>
    </row>
    <row r="91" spans="1:26" ht="12.75" customHeight="1" x14ac:dyDescent="0.2">
      <c r="A91" s="268"/>
      <c r="B91" s="268"/>
      <c r="C91" s="294"/>
      <c r="D91" s="295"/>
      <c r="E91" s="296"/>
      <c r="F91" s="297"/>
      <c r="G91" s="296"/>
      <c r="H91" s="296"/>
      <c r="I91" s="297"/>
      <c r="J91" s="296"/>
      <c r="K91" s="295"/>
      <c r="L91" s="298"/>
      <c r="M91" s="269"/>
      <c r="N91" s="269"/>
      <c r="O91" s="269"/>
      <c r="P91" s="269"/>
      <c r="Q91" s="269"/>
      <c r="R91" s="269"/>
      <c r="S91" s="269"/>
      <c r="T91" s="269"/>
      <c r="U91" s="269"/>
      <c r="V91" s="269"/>
      <c r="W91" s="269"/>
      <c r="X91" s="269"/>
      <c r="Y91" s="269"/>
      <c r="Z91" s="269"/>
    </row>
    <row r="92" spans="1:26" ht="12.75" customHeight="1" x14ac:dyDescent="0.2">
      <c r="A92" s="268"/>
      <c r="B92" s="268"/>
      <c r="C92" s="294"/>
      <c r="D92" s="295"/>
      <c r="E92" s="296"/>
      <c r="F92" s="297"/>
      <c r="G92" s="296"/>
      <c r="H92" s="296"/>
      <c r="I92" s="297"/>
      <c r="J92" s="296"/>
      <c r="K92" s="295"/>
      <c r="L92" s="298"/>
      <c r="M92" s="269"/>
      <c r="N92" s="269"/>
      <c r="O92" s="269"/>
      <c r="P92" s="269"/>
      <c r="Q92" s="269"/>
      <c r="R92" s="269"/>
      <c r="S92" s="269"/>
      <c r="T92" s="269"/>
      <c r="U92" s="269"/>
      <c r="V92" s="269"/>
      <c r="W92" s="269"/>
      <c r="X92" s="269"/>
      <c r="Y92" s="269"/>
      <c r="Z92" s="269"/>
    </row>
    <row r="93" spans="1:26" ht="12.75" customHeight="1" x14ac:dyDescent="0.2">
      <c r="A93" s="268"/>
      <c r="B93" s="268"/>
      <c r="C93" s="294"/>
      <c r="D93" s="295"/>
      <c r="E93" s="296"/>
      <c r="F93" s="297"/>
      <c r="G93" s="296"/>
      <c r="H93" s="296"/>
      <c r="I93" s="297"/>
      <c r="J93" s="296"/>
      <c r="K93" s="295"/>
      <c r="L93" s="298"/>
      <c r="M93" s="269"/>
      <c r="N93" s="269"/>
      <c r="O93" s="269"/>
      <c r="P93" s="269"/>
      <c r="Q93" s="269"/>
      <c r="R93" s="269"/>
      <c r="S93" s="269"/>
      <c r="T93" s="269"/>
      <c r="U93" s="269"/>
      <c r="V93" s="269"/>
      <c r="W93" s="269"/>
      <c r="X93" s="269"/>
      <c r="Y93" s="269"/>
      <c r="Z93" s="269"/>
    </row>
    <row r="94" spans="1:26" ht="12.75" customHeight="1" x14ac:dyDescent="0.2">
      <c r="A94" s="268"/>
      <c r="B94" s="268"/>
      <c r="C94" s="294"/>
      <c r="D94" s="295"/>
      <c r="E94" s="296"/>
      <c r="F94" s="297"/>
      <c r="G94" s="296"/>
      <c r="H94" s="296"/>
      <c r="I94" s="297"/>
      <c r="J94" s="296"/>
      <c r="K94" s="295"/>
      <c r="L94" s="298"/>
      <c r="M94" s="269"/>
      <c r="N94" s="269"/>
      <c r="O94" s="269"/>
      <c r="P94" s="269"/>
      <c r="Q94" s="269"/>
      <c r="R94" s="269"/>
      <c r="S94" s="269"/>
      <c r="T94" s="269"/>
      <c r="U94" s="269"/>
      <c r="V94" s="269"/>
      <c r="W94" s="269"/>
      <c r="X94" s="269"/>
      <c r="Y94" s="269"/>
      <c r="Z94" s="269"/>
    </row>
    <row r="95" spans="1:26" ht="12.75" customHeight="1" x14ac:dyDescent="0.2">
      <c r="A95" s="268"/>
      <c r="B95" s="268"/>
      <c r="C95" s="294"/>
      <c r="D95" s="295"/>
      <c r="E95" s="296"/>
      <c r="F95" s="297"/>
      <c r="G95" s="296"/>
      <c r="H95" s="296"/>
      <c r="I95" s="297"/>
      <c r="J95" s="296"/>
      <c r="K95" s="295"/>
      <c r="L95" s="298"/>
      <c r="M95" s="269"/>
      <c r="N95" s="269"/>
      <c r="O95" s="269"/>
      <c r="P95" s="269"/>
      <c r="Q95" s="269"/>
      <c r="R95" s="269"/>
      <c r="S95" s="269"/>
      <c r="T95" s="269"/>
      <c r="U95" s="269"/>
      <c r="V95" s="269"/>
      <c r="W95" s="269"/>
      <c r="X95" s="269"/>
      <c r="Y95" s="269"/>
      <c r="Z95" s="269"/>
    </row>
    <row r="96" spans="1:26" ht="12.75" customHeight="1" x14ac:dyDescent="0.2">
      <c r="A96" s="268"/>
      <c r="B96" s="268"/>
      <c r="C96" s="294"/>
      <c r="D96" s="295"/>
      <c r="E96" s="296"/>
      <c r="F96" s="297"/>
      <c r="G96" s="296"/>
      <c r="H96" s="296"/>
      <c r="I96" s="297"/>
      <c r="J96" s="296"/>
      <c r="K96" s="295"/>
      <c r="L96" s="298"/>
      <c r="M96" s="269"/>
      <c r="N96" s="269"/>
      <c r="O96" s="269"/>
      <c r="P96" s="269"/>
      <c r="Q96" s="269"/>
      <c r="R96" s="269"/>
      <c r="S96" s="269"/>
      <c r="T96" s="269"/>
      <c r="U96" s="269"/>
      <c r="V96" s="269"/>
      <c r="W96" s="269"/>
      <c r="X96" s="269"/>
      <c r="Y96" s="269"/>
      <c r="Z96" s="269"/>
    </row>
    <row r="97" spans="1:26" ht="12.75" customHeight="1" x14ac:dyDescent="0.2">
      <c r="A97" s="268"/>
      <c r="B97" s="268"/>
      <c r="C97" s="294"/>
      <c r="D97" s="295"/>
      <c r="E97" s="296"/>
      <c r="F97" s="297"/>
      <c r="G97" s="296"/>
      <c r="H97" s="296"/>
      <c r="I97" s="297"/>
      <c r="J97" s="296"/>
      <c r="K97" s="295"/>
      <c r="L97" s="298"/>
      <c r="M97" s="269"/>
      <c r="N97" s="269"/>
      <c r="O97" s="269"/>
      <c r="P97" s="269"/>
      <c r="Q97" s="269"/>
      <c r="R97" s="269"/>
      <c r="S97" s="269"/>
      <c r="T97" s="269"/>
      <c r="U97" s="269"/>
      <c r="V97" s="269"/>
      <c r="W97" s="269"/>
      <c r="X97" s="269"/>
      <c r="Y97" s="269"/>
      <c r="Z97" s="269"/>
    </row>
    <row r="98" spans="1:26" ht="12.75" customHeight="1" x14ac:dyDescent="0.2">
      <c r="A98" s="268"/>
      <c r="B98" s="268"/>
      <c r="C98" s="294"/>
      <c r="D98" s="295"/>
      <c r="E98" s="296"/>
      <c r="F98" s="297"/>
      <c r="G98" s="296"/>
      <c r="H98" s="296"/>
      <c r="I98" s="297"/>
      <c r="J98" s="296"/>
      <c r="K98" s="295"/>
      <c r="L98" s="298"/>
      <c r="M98" s="269"/>
      <c r="N98" s="269"/>
      <c r="O98" s="269"/>
      <c r="P98" s="269"/>
      <c r="Q98" s="269"/>
      <c r="R98" s="269"/>
      <c r="S98" s="269"/>
      <c r="T98" s="269"/>
      <c r="U98" s="269"/>
      <c r="V98" s="269"/>
      <c r="W98" s="269"/>
      <c r="X98" s="269"/>
      <c r="Y98" s="269"/>
      <c r="Z98" s="269"/>
    </row>
    <row r="99" spans="1:26" ht="12.75" customHeight="1" x14ac:dyDescent="0.2">
      <c r="A99" s="268"/>
      <c r="B99" s="268"/>
      <c r="C99" s="294"/>
      <c r="D99" s="295"/>
      <c r="E99" s="296"/>
      <c r="F99" s="297"/>
      <c r="G99" s="296"/>
      <c r="H99" s="296"/>
      <c r="I99" s="297"/>
      <c r="J99" s="296"/>
      <c r="K99" s="295"/>
      <c r="L99" s="298"/>
      <c r="M99" s="269"/>
      <c r="N99" s="269"/>
      <c r="O99" s="269"/>
      <c r="P99" s="269"/>
      <c r="Q99" s="269"/>
      <c r="R99" s="269"/>
      <c r="S99" s="269"/>
      <c r="T99" s="269"/>
      <c r="U99" s="269"/>
      <c r="V99" s="269"/>
      <c r="W99" s="269"/>
      <c r="X99" s="269"/>
      <c r="Y99" s="269"/>
      <c r="Z99" s="269"/>
    </row>
    <row r="100" spans="1:26" ht="12.75" customHeight="1" x14ac:dyDescent="0.2">
      <c r="A100" s="268"/>
      <c r="B100" s="268"/>
      <c r="C100" s="294"/>
      <c r="D100" s="295"/>
      <c r="E100" s="296"/>
      <c r="F100" s="297"/>
      <c r="G100" s="296"/>
      <c r="H100" s="296"/>
      <c r="I100" s="297"/>
      <c r="J100" s="296"/>
      <c r="K100" s="295"/>
      <c r="L100" s="298"/>
      <c r="M100" s="269"/>
      <c r="N100" s="269"/>
      <c r="O100" s="269"/>
      <c r="P100" s="269"/>
      <c r="Q100" s="269"/>
      <c r="R100" s="269"/>
      <c r="S100" s="269"/>
      <c r="T100" s="269"/>
      <c r="U100" s="269"/>
      <c r="V100" s="269"/>
      <c r="W100" s="269"/>
      <c r="X100" s="269"/>
      <c r="Y100" s="269"/>
      <c r="Z100" s="269"/>
    </row>
    <row r="101" spans="1:26" ht="12.75" customHeight="1" x14ac:dyDescent="0.2">
      <c r="A101" s="268"/>
      <c r="B101" s="268"/>
      <c r="C101" s="294"/>
      <c r="D101" s="295"/>
      <c r="E101" s="296"/>
      <c r="F101" s="297"/>
      <c r="G101" s="296"/>
      <c r="H101" s="296"/>
      <c r="I101" s="297"/>
      <c r="J101" s="296"/>
      <c r="K101" s="295"/>
      <c r="L101" s="298"/>
      <c r="M101" s="269"/>
      <c r="N101" s="269"/>
      <c r="O101" s="269"/>
      <c r="P101" s="269"/>
      <c r="Q101" s="269"/>
      <c r="R101" s="269"/>
      <c r="S101" s="269"/>
      <c r="T101" s="269"/>
      <c r="U101" s="269"/>
      <c r="V101" s="269"/>
      <c r="W101" s="269"/>
      <c r="X101" s="269"/>
      <c r="Y101" s="269"/>
      <c r="Z101" s="269"/>
    </row>
    <row r="102" spans="1:26" ht="12.75" customHeight="1" x14ac:dyDescent="0.2">
      <c r="A102" s="268"/>
      <c r="B102" s="268"/>
      <c r="C102" s="294"/>
      <c r="D102" s="295"/>
      <c r="E102" s="296"/>
      <c r="F102" s="297"/>
      <c r="G102" s="296"/>
      <c r="H102" s="296"/>
      <c r="I102" s="297"/>
      <c r="J102" s="296"/>
      <c r="K102" s="295"/>
      <c r="L102" s="298"/>
      <c r="M102" s="269"/>
      <c r="N102" s="269"/>
      <c r="O102" s="269"/>
      <c r="P102" s="269"/>
      <c r="Q102" s="269"/>
      <c r="R102" s="269"/>
      <c r="S102" s="269"/>
      <c r="T102" s="269"/>
      <c r="U102" s="269"/>
      <c r="V102" s="269"/>
      <c r="W102" s="269"/>
      <c r="X102" s="269"/>
      <c r="Y102" s="269"/>
      <c r="Z102" s="269"/>
    </row>
    <row r="103" spans="1:26" ht="12.75" customHeight="1" x14ac:dyDescent="0.2">
      <c r="A103" s="268"/>
      <c r="B103" s="268"/>
      <c r="C103" s="294"/>
      <c r="D103" s="295"/>
      <c r="E103" s="296"/>
      <c r="F103" s="297"/>
      <c r="G103" s="296"/>
      <c r="H103" s="296"/>
      <c r="I103" s="297"/>
      <c r="J103" s="296"/>
      <c r="K103" s="295"/>
      <c r="L103" s="298"/>
      <c r="M103" s="269"/>
      <c r="N103" s="269"/>
      <c r="O103" s="269"/>
      <c r="P103" s="269"/>
      <c r="Q103" s="269"/>
      <c r="R103" s="269"/>
      <c r="S103" s="269"/>
      <c r="T103" s="269"/>
      <c r="U103" s="269"/>
      <c r="V103" s="269"/>
      <c r="W103" s="269"/>
      <c r="X103" s="269"/>
      <c r="Y103" s="269"/>
      <c r="Z103" s="269"/>
    </row>
    <row r="104" spans="1:26" ht="12.75" customHeight="1" x14ac:dyDescent="0.2">
      <c r="A104" s="268"/>
      <c r="B104" s="268"/>
      <c r="C104" s="294"/>
      <c r="D104" s="295"/>
      <c r="E104" s="296"/>
      <c r="F104" s="297"/>
      <c r="G104" s="296"/>
      <c r="H104" s="296"/>
      <c r="I104" s="297"/>
      <c r="J104" s="296"/>
      <c r="K104" s="295"/>
      <c r="L104" s="298"/>
      <c r="M104" s="269"/>
      <c r="N104" s="269"/>
      <c r="O104" s="269"/>
      <c r="P104" s="269"/>
      <c r="Q104" s="269"/>
      <c r="R104" s="269"/>
      <c r="S104" s="269"/>
      <c r="T104" s="269"/>
      <c r="U104" s="269"/>
      <c r="V104" s="269"/>
      <c r="W104" s="269"/>
      <c r="X104" s="269"/>
      <c r="Y104" s="269"/>
      <c r="Z104" s="269"/>
    </row>
    <row r="105" spans="1:26" ht="12.75" customHeight="1" x14ac:dyDescent="0.2">
      <c r="A105" s="268"/>
      <c r="B105" s="268"/>
      <c r="C105" s="294"/>
      <c r="D105" s="295"/>
      <c r="E105" s="296"/>
      <c r="F105" s="297"/>
      <c r="G105" s="296"/>
      <c r="H105" s="296"/>
      <c r="I105" s="297"/>
      <c r="J105" s="296"/>
      <c r="K105" s="295"/>
      <c r="L105" s="298"/>
      <c r="M105" s="269"/>
      <c r="N105" s="269"/>
      <c r="O105" s="269"/>
      <c r="P105" s="269"/>
      <c r="Q105" s="269"/>
      <c r="R105" s="269"/>
      <c r="S105" s="269"/>
      <c r="T105" s="269"/>
      <c r="U105" s="269"/>
      <c r="V105" s="269"/>
      <c r="W105" s="269"/>
      <c r="X105" s="269"/>
      <c r="Y105" s="269"/>
      <c r="Z105" s="269"/>
    </row>
    <row r="106" spans="1:26" ht="12.75" customHeight="1" x14ac:dyDescent="0.2">
      <c r="A106" s="268"/>
      <c r="B106" s="268"/>
      <c r="C106" s="294"/>
      <c r="D106" s="295"/>
      <c r="E106" s="296"/>
      <c r="F106" s="297"/>
      <c r="G106" s="296"/>
      <c r="H106" s="296"/>
      <c r="I106" s="297"/>
      <c r="J106" s="296"/>
      <c r="K106" s="295"/>
      <c r="L106" s="298"/>
      <c r="M106" s="269"/>
      <c r="N106" s="269"/>
      <c r="O106" s="269"/>
      <c r="P106" s="269"/>
      <c r="Q106" s="269"/>
      <c r="R106" s="269"/>
      <c r="S106" s="269"/>
      <c r="T106" s="269"/>
      <c r="U106" s="269"/>
      <c r="V106" s="269"/>
      <c r="W106" s="269"/>
      <c r="X106" s="269"/>
      <c r="Y106" s="269"/>
      <c r="Z106" s="269"/>
    </row>
    <row r="107" spans="1:26" ht="12.75" customHeight="1" x14ac:dyDescent="0.2">
      <c r="A107" s="268"/>
      <c r="B107" s="268"/>
      <c r="C107" s="294"/>
      <c r="D107" s="295"/>
      <c r="E107" s="296"/>
      <c r="F107" s="297"/>
      <c r="G107" s="296"/>
      <c r="H107" s="296"/>
      <c r="I107" s="297"/>
      <c r="J107" s="296"/>
      <c r="K107" s="295"/>
      <c r="L107" s="298"/>
      <c r="M107" s="269"/>
      <c r="N107" s="269"/>
      <c r="O107" s="269"/>
      <c r="P107" s="269"/>
      <c r="Q107" s="269"/>
      <c r="R107" s="269"/>
      <c r="S107" s="269"/>
      <c r="T107" s="269"/>
      <c r="U107" s="269"/>
      <c r="V107" s="269"/>
      <c r="W107" s="269"/>
      <c r="X107" s="269"/>
      <c r="Y107" s="269"/>
      <c r="Z107" s="269"/>
    </row>
    <row r="108" spans="1:26" ht="12.75" customHeight="1" x14ac:dyDescent="0.2">
      <c r="A108" s="268"/>
      <c r="B108" s="268"/>
      <c r="C108" s="294"/>
      <c r="D108" s="295"/>
      <c r="E108" s="296"/>
      <c r="F108" s="297"/>
      <c r="G108" s="296"/>
      <c r="H108" s="296"/>
      <c r="I108" s="297"/>
      <c r="J108" s="296"/>
      <c r="K108" s="295"/>
      <c r="L108" s="298"/>
      <c r="M108" s="269"/>
      <c r="N108" s="269"/>
      <c r="O108" s="269"/>
      <c r="P108" s="269"/>
      <c r="Q108" s="269"/>
      <c r="R108" s="269"/>
      <c r="S108" s="269"/>
      <c r="T108" s="269"/>
      <c r="U108" s="269"/>
      <c r="V108" s="269"/>
      <c r="W108" s="269"/>
      <c r="X108" s="269"/>
      <c r="Y108" s="269"/>
      <c r="Z108" s="269"/>
    </row>
    <row r="109" spans="1:26" ht="12.75" customHeight="1" x14ac:dyDescent="0.2">
      <c r="A109" s="268"/>
      <c r="B109" s="268"/>
      <c r="C109" s="294"/>
      <c r="D109" s="295"/>
      <c r="E109" s="296"/>
      <c r="F109" s="297"/>
      <c r="G109" s="296"/>
      <c r="H109" s="296"/>
      <c r="I109" s="297"/>
      <c r="J109" s="296"/>
      <c r="K109" s="295"/>
      <c r="L109" s="298"/>
      <c r="M109" s="269"/>
      <c r="N109" s="269"/>
      <c r="O109" s="269"/>
      <c r="P109" s="269"/>
      <c r="Q109" s="269"/>
      <c r="R109" s="269"/>
      <c r="S109" s="269"/>
      <c r="T109" s="269"/>
      <c r="U109" s="269"/>
      <c r="V109" s="269"/>
      <c r="W109" s="269"/>
      <c r="X109" s="269"/>
      <c r="Y109" s="269"/>
      <c r="Z109" s="269"/>
    </row>
    <row r="110" spans="1:26" ht="12.75" customHeight="1" x14ac:dyDescent="0.2">
      <c r="A110" s="268"/>
      <c r="B110" s="268"/>
      <c r="C110" s="294"/>
      <c r="D110" s="295"/>
      <c r="E110" s="296"/>
      <c r="F110" s="297"/>
      <c r="G110" s="296"/>
      <c r="H110" s="296"/>
      <c r="I110" s="297"/>
      <c r="J110" s="296"/>
      <c r="K110" s="295"/>
      <c r="L110" s="298"/>
      <c r="M110" s="269"/>
      <c r="N110" s="269"/>
      <c r="O110" s="269"/>
      <c r="P110" s="269"/>
      <c r="Q110" s="269"/>
      <c r="R110" s="269"/>
      <c r="S110" s="269"/>
      <c r="T110" s="269"/>
      <c r="U110" s="269"/>
      <c r="V110" s="269"/>
      <c r="W110" s="269"/>
      <c r="X110" s="269"/>
      <c r="Y110" s="269"/>
      <c r="Z110" s="269"/>
    </row>
    <row r="111" spans="1:26" ht="12.75" customHeight="1" x14ac:dyDescent="0.2">
      <c r="A111" s="268"/>
      <c r="B111" s="268"/>
      <c r="C111" s="294"/>
      <c r="D111" s="295"/>
      <c r="E111" s="296"/>
      <c r="F111" s="297"/>
      <c r="G111" s="296"/>
      <c r="H111" s="296"/>
      <c r="I111" s="297"/>
      <c r="J111" s="296"/>
      <c r="K111" s="295"/>
      <c r="L111" s="298"/>
      <c r="M111" s="269"/>
      <c r="N111" s="269"/>
      <c r="O111" s="269"/>
      <c r="P111" s="269"/>
      <c r="Q111" s="269"/>
      <c r="R111" s="269"/>
      <c r="S111" s="269"/>
      <c r="T111" s="269"/>
      <c r="U111" s="269"/>
      <c r="V111" s="269"/>
      <c r="W111" s="269"/>
      <c r="X111" s="269"/>
      <c r="Y111" s="269"/>
      <c r="Z111" s="269"/>
    </row>
    <row r="112" spans="1:26" ht="12.75" customHeight="1" x14ac:dyDescent="0.2">
      <c r="A112" s="268"/>
      <c r="B112" s="268"/>
      <c r="C112" s="294"/>
      <c r="D112" s="295"/>
      <c r="E112" s="296"/>
      <c r="F112" s="297"/>
      <c r="G112" s="296"/>
      <c r="H112" s="296"/>
      <c r="I112" s="297"/>
      <c r="J112" s="296"/>
      <c r="K112" s="295"/>
      <c r="L112" s="298"/>
      <c r="M112" s="269"/>
      <c r="N112" s="269"/>
      <c r="O112" s="269"/>
      <c r="P112" s="269"/>
      <c r="Q112" s="269"/>
      <c r="R112" s="269"/>
      <c r="S112" s="269"/>
      <c r="T112" s="269"/>
      <c r="U112" s="269"/>
      <c r="V112" s="269"/>
      <c r="W112" s="269"/>
      <c r="X112" s="269"/>
      <c r="Y112" s="269"/>
      <c r="Z112" s="269"/>
    </row>
    <row r="113" spans="1:26" ht="12.75" customHeight="1" x14ac:dyDescent="0.2">
      <c r="A113" s="268"/>
      <c r="B113" s="268"/>
      <c r="C113" s="294"/>
      <c r="D113" s="295"/>
      <c r="E113" s="296"/>
      <c r="F113" s="297"/>
      <c r="G113" s="296"/>
      <c r="H113" s="296"/>
      <c r="I113" s="297"/>
      <c r="J113" s="296"/>
      <c r="K113" s="295"/>
      <c r="L113" s="298"/>
      <c r="M113" s="269"/>
      <c r="N113" s="269"/>
      <c r="O113" s="269"/>
      <c r="P113" s="269"/>
      <c r="Q113" s="269"/>
      <c r="R113" s="269"/>
      <c r="S113" s="269"/>
      <c r="T113" s="269"/>
      <c r="U113" s="269"/>
      <c r="V113" s="269"/>
      <c r="W113" s="269"/>
      <c r="X113" s="269"/>
      <c r="Y113" s="269"/>
      <c r="Z113" s="269"/>
    </row>
    <row r="114" spans="1:26" ht="12.75" customHeight="1" x14ac:dyDescent="0.2">
      <c r="A114" s="268"/>
      <c r="B114" s="268"/>
      <c r="C114" s="294"/>
      <c r="D114" s="295"/>
      <c r="E114" s="296"/>
      <c r="F114" s="297"/>
      <c r="G114" s="296"/>
      <c r="H114" s="296"/>
      <c r="I114" s="297"/>
      <c r="J114" s="296"/>
      <c r="K114" s="295"/>
      <c r="L114" s="298"/>
      <c r="M114" s="269"/>
      <c r="N114" s="269"/>
      <c r="O114" s="269"/>
      <c r="P114" s="269"/>
      <c r="Q114" s="269"/>
      <c r="R114" s="269"/>
      <c r="S114" s="269"/>
      <c r="T114" s="269"/>
      <c r="U114" s="269"/>
      <c r="V114" s="269"/>
      <c r="W114" s="269"/>
      <c r="X114" s="269"/>
      <c r="Y114" s="269"/>
      <c r="Z114" s="269"/>
    </row>
    <row r="115" spans="1:26" ht="12.75" customHeight="1" x14ac:dyDescent="0.2">
      <c r="A115" s="268"/>
      <c r="B115" s="268"/>
      <c r="C115" s="294"/>
      <c r="D115" s="295"/>
      <c r="E115" s="296"/>
      <c r="F115" s="297"/>
      <c r="G115" s="296"/>
      <c r="H115" s="296"/>
      <c r="I115" s="297"/>
      <c r="J115" s="296"/>
      <c r="K115" s="295"/>
      <c r="L115" s="298"/>
      <c r="M115" s="269"/>
      <c r="N115" s="269"/>
      <c r="O115" s="269"/>
      <c r="P115" s="269"/>
      <c r="Q115" s="269"/>
      <c r="R115" s="269"/>
      <c r="S115" s="269"/>
      <c r="T115" s="269"/>
      <c r="U115" s="269"/>
      <c r="V115" s="269"/>
      <c r="W115" s="269"/>
      <c r="X115" s="269"/>
      <c r="Y115" s="269"/>
      <c r="Z115" s="269"/>
    </row>
    <row r="116" spans="1:26" ht="12.75" customHeight="1" x14ac:dyDescent="0.2">
      <c r="A116" s="268"/>
      <c r="B116" s="268"/>
      <c r="C116" s="294"/>
      <c r="D116" s="295"/>
      <c r="E116" s="296"/>
      <c r="F116" s="297"/>
      <c r="G116" s="296"/>
      <c r="H116" s="296"/>
      <c r="I116" s="297"/>
      <c r="J116" s="296"/>
      <c r="K116" s="295"/>
      <c r="L116" s="298"/>
      <c r="M116" s="269"/>
      <c r="N116" s="269"/>
      <c r="O116" s="269"/>
      <c r="P116" s="269"/>
      <c r="Q116" s="269"/>
      <c r="R116" s="269"/>
      <c r="S116" s="269"/>
      <c r="T116" s="269"/>
      <c r="U116" s="269"/>
      <c r="V116" s="269"/>
      <c r="W116" s="269"/>
      <c r="X116" s="269"/>
      <c r="Y116" s="269"/>
      <c r="Z116" s="269"/>
    </row>
    <row r="117" spans="1:26" ht="12.75" customHeight="1" x14ac:dyDescent="0.2">
      <c r="A117" s="268"/>
      <c r="B117" s="268"/>
      <c r="C117" s="294"/>
      <c r="D117" s="295"/>
      <c r="E117" s="296"/>
      <c r="F117" s="297"/>
      <c r="G117" s="296"/>
      <c r="H117" s="296"/>
      <c r="I117" s="297"/>
      <c r="J117" s="296"/>
      <c r="K117" s="295"/>
      <c r="L117" s="298"/>
      <c r="M117" s="269"/>
      <c r="N117" s="269"/>
      <c r="O117" s="269"/>
      <c r="P117" s="269"/>
      <c r="Q117" s="269"/>
      <c r="R117" s="269"/>
      <c r="S117" s="269"/>
      <c r="T117" s="269"/>
      <c r="U117" s="269"/>
      <c r="V117" s="269"/>
      <c r="W117" s="269"/>
      <c r="X117" s="269"/>
      <c r="Y117" s="269"/>
      <c r="Z117" s="269"/>
    </row>
    <row r="118" spans="1:26" ht="12.75" customHeight="1" x14ac:dyDescent="0.2">
      <c r="A118" s="268"/>
      <c r="B118" s="268"/>
      <c r="C118" s="294"/>
      <c r="D118" s="295"/>
      <c r="E118" s="296"/>
      <c r="F118" s="297"/>
      <c r="G118" s="296"/>
      <c r="H118" s="296"/>
      <c r="I118" s="297"/>
      <c r="J118" s="296"/>
      <c r="K118" s="295"/>
      <c r="L118" s="298"/>
      <c r="M118" s="269"/>
      <c r="N118" s="269"/>
      <c r="O118" s="269"/>
      <c r="P118" s="269"/>
      <c r="Q118" s="269"/>
      <c r="R118" s="269"/>
      <c r="S118" s="269"/>
      <c r="T118" s="269"/>
      <c r="U118" s="269"/>
      <c r="V118" s="269"/>
      <c r="W118" s="269"/>
      <c r="X118" s="269"/>
      <c r="Y118" s="269"/>
      <c r="Z118" s="269"/>
    </row>
    <row r="119" spans="1:26" ht="12.75" customHeight="1" x14ac:dyDescent="0.2">
      <c r="A119" s="268"/>
      <c r="B119" s="268"/>
      <c r="C119" s="294"/>
      <c r="D119" s="295"/>
      <c r="E119" s="296"/>
      <c r="F119" s="297"/>
      <c r="G119" s="296"/>
      <c r="H119" s="296"/>
      <c r="I119" s="297"/>
      <c r="J119" s="296"/>
      <c r="K119" s="295"/>
      <c r="L119" s="298"/>
      <c r="M119" s="269"/>
      <c r="N119" s="269"/>
      <c r="O119" s="269"/>
      <c r="P119" s="269"/>
      <c r="Q119" s="269"/>
      <c r="R119" s="269"/>
      <c r="S119" s="269"/>
      <c r="T119" s="269"/>
      <c r="U119" s="269"/>
      <c r="V119" s="269"/>
      <c r="W119" s="269"/>
      <c r="X119" s="269"/>
      <c r="Y119" s="269"/>
      <c r="Z119" s="269"/>
    </row>
    <row r="120" spans="1:26" ht="12.75" customHeight="1" x14ac:dyDescent="0.2">
      <c r="A120" s="268"/>
      <c r="B120" s="268"/>
      <c r="C120" s="294"/>
      <c r="D120" s="295"/>
      <c r="E120" s="296"/>
      <c r="F120" s="297"/>
      <c r="G120" s="296"/>
      <c r="H120" s="296"/>
      <c r="I120" s="297"/>
      <c r="J120" s="296"/>
      <c r="K120" s="295"/>
      <c r="L120" s="298"/>
      <c r="M120" s="269"/>
      <c r="N120" s="269"/>
      <c r="O120" s="269"/>
      <c r="P120" s="269"/>
      <c r="Q120" s="269"/>
      <c r="R120" s="269"/>
      <c r="S120" s="269"/>
      <c r="T120" s="269"/>
      <c r="U120" s="269"/>
      <c r="V120" s="269"/>
      <c r="W120" s="269"/>
      <c r="X120" s="269"/>
      <c r="Y120" s="269"/>
      <c r="Z120" s="269"/>
    </row>
    <row r="121" spans="1:26" ht="12.75" customHeight="1" x14ac:dyDescent="0.2">
      <c r="A121" s="268"/>
      <c r="B121" s="268"/>
      <c r="C121" s="294"/>
      <c r="D121" s="295"/>
      <c r="E121" s="296"/>
      <c r="F121" s="297"/>
      <c r="G121" s="296"/>
      <c r="H121" s="296"/>
      <c r="I121" s="297"/>
      <c r="J121" s="296"/>
      <c r="K121" s="295"/>
      <c r="L121" s="298"/>
      <c r="M121" s="269"/>
      <c r="N121" s="269"/>
      <c r="O121" s="269"/>
      <c r="P121" s="269"/>
      <c r="Q121" s="269"/>
      <c r="R121" s="269"/>
      <c r="S121" s="269"/>
      <c r="T121" s="269"/>
      <c r="U121" s="269"/>
      <c r="V121" s="269"/>
      <c r="W121" s="269"/>
      <c r="X121" s="269"/>
      <c r="Y121" s="269"/>
      <c r="Z121" s="269"/>
    </row>
    <row r="122" spans="1:26" ht="12.75" customHeight="1" x14ac:dyDescent="0.2">
      <c r="A122" s="268"/>
      <c r="B122" s="268"/>
      <c r="C122" s="294"/>
      <c r="D122" s="295"/>
      <c r="E122" s="296"/>
      <c r="F122" s="297"/>
      <c r="G122" s="296"/>
      <c r="H122" s="296"/>
      <c r="I122" s="297"/>
      <c r="J122" s="296"/>
      <c r="K122" s="295"/>
      <c r="L122" s="298"/>
      <c r="M122" s="269"/>
      <c r="N122" s="269"/>
      <c r="O122" s="269"/>
      <c r="P122" s="269"/>
      <c r="Q122" s="269"/>
      <c r="R122" s="269"/>
      <c r="S122" s="269"/>
      <c r="T122" s="269"/>
      <c r="U122" s="269"/>
      <c r="V122" s="269"/>
      <c r="W122" s="269"/>
      <c r="X122" s="269"/>
      <c r="Y122" s="269"/>
      <c r="Z122" s="269"/>
    </row>
    <row r="123" spans="1:26" ht="12.75" customHeight="1" x14ac:dyDescent="0.2">
      <c r="A123" s="268"/>
      <c r="B123" s="268"/>
      <c r="C123" s="294"/>
      <c r="D123" s="295"/>
      <c r="E123" s="296"/>
      <c r="F123" s="297"/>
      <c r="G123" s="296"/>
      <c r="H123" s="296"/>
      <c r="I123" s="297"/>
      <c r="J123" s="296"/>
      <c r="K123" s="295"/>
      <c r="L123" s="298"/>
      <c r="M123" s="269"/>
      <c r="N123" s="269"/>
      <c r="O123" s="269"/>
      <c r="P123" s="269"/>
      <c r="Q123" s="269"/>
      <c r="R123" s="269"/>
      <c r="S123" s="269"/>
      <c r="T123" s="269"/>
      <c r="U123" s="269"/>
      <c r="V123" s="269"/>
      <c r="W123" s="269"/>
      <c r="X123" s="269"/>
      <c r="Y123" s="269"/>
      <c r="Z123" s="269"/>
    </row>
    <row r="124" spans="1:26" ht="12.75" customHeight="1" x14ac:dyDescent="0.2">
      <c r="A124" s="268"/>
      <c r="B124" s="268"/>
      <c r="C124" s="294"/>
      <c r="D124" s="295"/>
      <c r="E124" s="296"/>
      <c r="F124" s="297"/>
      <c r="G124" s="296"/>
      <c r="H124" s="296"/>
      <c r="I124" s="297"/>
      <c r="J124" s="296"/>
      <c r="K124" s="295"/>
      <c r="L124" s="298"/>
      <c r="M124" s="269"/>
      <c r="N124" s="269"/>
      <c r="O124" s="269"/>
      <c r="P124" s="269"/>
      <c r="Q124" s="269"/>
      <c r="R124" s="269"/>
      <c r="S124" s="269"/>
      <c r="T124" s="269"/>
      <c r="U124" s="269"/>
      <c r="V124" s="269"/>
      <c r="W124" s="269"/>
      <c r="X124" s="269"/>
      <c r="Y124" s="269"/>
      <c r="Z124" s="269"/>
    </row>
    <row r="125" spans="1:26" ht="12.75" customHeight="1" x14ac:dyDescent="0.2">
      <c r="A125" s="268"/>
      <c r="B125" s="268"/>
      <c r="C125" s="294"/>
      <c r="D125" s="295"/>
      <c r="E125" s="296"/>
      <c r="F125" s="297"/>
      <c r="G125" s="296"/>
      <c r="H125" s="296"/>
      <c r="I125" s="297"/>
      <c r="J125" s="296"/>
      <c r="K125" s="295"/>
      <c r="L125" s="298"/>
      <c r="M125" s="269"/>
      <c r="N125" s="269"/>
      <c r="O125" s="269"/>
      <c r="P125" s="269"/>
      <c r="Q125" s="269"/>
      <c r="R125" s="269"/>
      <c r="S125" s="269"/>
      <c r="T125" s="269"/>
      <c r="U125" s="269"/>
      <c r="V125" s="269"/>
      <c r="W125" s="269"/>
      <c r="X125" s="269"/>
      <c r="Y125" s="269"/>
      <c r="Z125" s="269"/>
    </row>
    <row r="126" spans="1:26" ht="12.75" customHeight="1" x14ac:dyDescent="0.2">
      <c r="A126" s="268"/>
      <c r="B126" s="268"/>
      <c r="C126" s="294"/>
      <c r="D126" s="295"/>
      <c r="E126" s="296"/>
      <c r="F126" s="297"/>
      <c r="G126" s="296"/>
      <c r="H126" s="296"/>
      <c r="I126" s="297"/>
      <c r="J126" s="296"/>
      <c r="K126" s="295"/>
      <c r="L126" s="298"/>
      <c r="M126" s="269"/>
      <c r="N126" s="269"/>
      <c r="O126" s="269"/>
      <c r="P126" s="269"/>
      <c r="Q126" s="269"/>
      <c r="R126" s="269"/>
      <c r="S126" s="269"/>
      <c r="T126" s="269"/>
      <c r="U126" s="269"/>
      <c r="V126" s="269"/>
      <c r="W126" s="269"/>
      <c r="X126" s="269"/>
      <c r="Y126" s="269"/>
      <c r="Z126" s="269"/>
    </row>
    <row r="127" spans="1:26" ht="12.75" customHeight="1" x14ac:dyDescent="0.2">
      <c r="A127" s="268"/>
      <c r="B127" s="268"/>
      <c r="C127" s="294"/>
      <c r="D127" s="295"/>
      <c r="E127" s="296"/>
      <c r="F127" s="297"/>
      <c r="G127" s="296"/>
      <c r="H127" s="296"/>
      <c r="I127" s="297"/>
      <c r="J127" s="296"/>
      <c r="K127" s="295"/>
      <c r="L127" s="298"/>
      <c r="M127" s="269"/>
      <c r="N127" s="269"/>
      <c r="O127" s="269"/>
      <c r="P127" s="269"/>
      <c r="Q127" s="269"/>
      <c r="R127" s="269"/>
      <c r="S127" s="269"/>
      <c r="T127" s="269"/>
      <c r="U127" s="269"/>
      <c r="V127" s="269"/>
      <c r="W127" s="269"/>
      <c r="X127" s="269"/>
      <c r="Y127" s="269"/>
      <c r="Z127" s="269"/>
    </row>
    <row r="128" spans="1:26" ht="12.75" customHeight="1" x14ac:dyDescent="0.2">
      <c r="A128" s="268"/>
      <c r="B128" s="268"/>
      <c r="C128" s="294"/>
      <c r="D128" s="295"/>
      <c r="E128" s="296"/>
      <c r="F128" s="297"/>
      <c r="G128" s="296"/>
      <c r="H128" s="296"/>
      <c r="I128" s="297"/>
      <c r="J128" s="296"/>
      <c r="K128" s="295"/>
      <c r="L128" s="298"/>
      <c r="M128" s="269"/>
      <c r="N128" s="269"/>
      <c r="O128" s="269"/>
      <c r="P128" s="269"/>
      <c r="Q128" s="269"/>
      <c r="R128" s="269"/>
      <c r="S128" s="269"/>
      <c r="T128" s="269"/>
      <c r="U128" s="269"/>
      <c r="V128" s="269"/>
      <c r="W128" s="269"/>
      <c r="X128" s="269"/>
      <c r="Y128" s="269"/>
      <c r="Z128" s="269"/>
    </row>
    <row r="129" spans="1:26" ht="12.75" customHeight="1" x14ac:dyDescent="0.2">
      <c r="A129" s="268"/>
      <c r="B129" s="268"/>
      <c r="C129" s="294"/>
      <c r="D129" s="295"/>
      <c r="E129" s="296"/>
      <c r="F129" s="297"/>
      <c r="G129" s="296"/>
      <c r="H129" s="296"/>
      <c r="I129" s="297"/>
      <c r="J129" s="296"/>
      <c r="K129" s="295"/>
      <c r="L129" s="298"/>
      <c r="M129" s="269"/>
      <c r="N129" s="269"/>
      <c r="O129" s="269"/>
      <c r="P129" s="269"/>
      <c r="Q129" s="269"/>
      <c r="R129" s="269"/>
      <c r="S129" s="269"/>
      <c r="T129" s="269"/>
      <c r="U129" s="269"/>
      <c r="V129" s="269"/>
      <c r="W129" s="269"/>
      <c r="X129" s="269"/>
      <c r="Y129" s="269"/>
      <c r="Z129" s="269"/>
    </row>
    <row r="130" spans="1:26" ht="12.75" customHeight="1" x14ac:dyDescent="0.2">
      <c r="A130" s="268"/>
      <c r="B130" s="268"/>
      <c r="C130" s="294"/>
      <c r="D130" s="295"/>
      <c r="E130" s="296"/>
      <c r="F130" s="297"/>
      <c r="G130" s="296"/>
      <c r="H130" s="296"/>
      <c r="I130" s="297"/>
      <c r="J130" s="296"/>
      <c r="K130" s="295"/>
      <c r="L130" s="298"/>
      <c r="M130" s="269"/>
      <c r="N130" s="269"/>
      <c r="O130" s="269"/>
      <c r="P130" s="269"/>
      <c r="Q130" s="269"/>
      <c r="R130" s="269"/>
      <c r="S130" s="269"/>
      <c r="T130" s="269"/>
      <c r="U130" s="269"/>
      <c r="V130" s="269"/>
      <c r="W130" s="269"/>
      <c r="X130" s="269"/>
      <c r="Y130" s="269"/>
      <c r="Z130" s="269"/>
    </row>
    <row r="131" spans="1:26" ht="12.75" customHeight="1" x14ac:dyDescent="0.2">
      <c r="A131" s="268"/>
      <c r="B131" s="268"/>
      <c r="C131" s="294"/>
      <c r="D131" s="295"/>
      <c r="E131" s="296"/>
      <c r="F131" s="297"/>
      <c r="G131" s="296"/>
      <c r="H131" s="296"/>
      <c r="I131" s="297"/>
      <c r="J131" s="296"/>
      <c r="K131" s="295"/>
      <c r="L131" s="298"/>
      <c r="M131" s="269"/>
      <c r="N131" s="269"/>
      <c r="O131" s="269"/>
      <c r="P131" s="269"/>
      <c r="Q131" s="269"/>
      <c r="R131" s="269"/>
      <c r="S131" s="269"/>
      <c r="T131" s="269"/>
      <c r="U131" s="269"/>
      <c r="V131" s="269"/>
      <c r="W131" s="269"/>
      <c r="X131" s="269"/>
      <c r="Y131" s="269"/>
      <c r="Z131" s="269"/>
    </row>
    <row r="132" spans="1:26" ht="12.75" customHeight="1" x14ac:dyDescent="0.2">
      <c r="A132" s="268"/>
      <c r="B132" s="268"/>
      <c r="C132" s="294"/>
      <c r="D132" s="295"/>
      <c r="E132" s="296"/>
      <c r="F132" s="297"/>
      <c r="G132" s="296"/>
      <c r="H132" s="296"/>
      <c r="I132" s="297"/>
      <c r="J132" s="296"/>
      <c r="K132" s="295"/>
      <c r="L132" s="298"/>
      <c r="M132" s="269"/>
      <c r="N132" s="269"/>
      <c r="O132" s="269"/>
      <c r="P132" s="269"/>
      <c r="Q132" s="269"/>
      <c r="R132" s="269"/>
      <c r="S132" s="269"/>
      <c r="T132" s="269"/>
      <c r="U132" s="269"/>
      <c r="V132" s="269"/>
      <c r="W132" s="269"/>
      <c r="X132" s="269"/>
      <c r="Y132" s="269"/>
      <c r="Z132" s="269"/>
    </row>
    <row r="133" spans="1:26" ht="12.75" customHeight="1" x14ac:dyDescent="0.2">
      <c r="A133" s="268"/>
      <c r="B133" s="268"/>
      <c r="C133" s="294"/>
      <c r="D133" s="295"/>
      <c r="E133" s="296"/>
      <c r="F133" s="297"/>
      <c r="G133" s="296"/>
      <c r="H133" s="296"/>
      <c r="I133" s="297"/>
      <c r="J133" s="296"/>
      <c r="K133" s="295"/>
      <c r="L133" s="298"/>
      <c r="M133" s="269"/>
      <c r="N133" s="269"/>
      <c r="O133" s="269"/>
      <c r="P133" s="269"/>
      <c r="Q133" s="269"/>
      <c r="R133" s="269"/>
      <c r="S133" s="269"/>
      <c r="T133" s="269"/>
      <c r="U133" s="269"/>
      <c r="V133" s="269"/>
      <c r="W133" s="269"/>
      <c r="X133" s="269"/>
      <c r="Y133" s="269"/>
      <c r="Z133" s="269"/>
    </row>
    <row r="134" spans="1:26" ht="12.75" customHeight="1" x14ac:dyDescent="0.2">
      <c r="A134" s="268"/>
      <c r="B134" s="268"/>
      <c r="C134" s="294"/>
      <c r="D134" s="295"/>
      <c r="E134" s="296"/>
      <c r="F134" s="297"/>
      <c r="G134" s="296"/>
      <c r="H134" s="296"/>
      <c r="I134" s="297"/>
      <c r="J134" s="296"/>
      <c r="K134" s="295"/>
      <c r="L134" s="298"/>
      <c r="M134" s="269"/>
      <c r="N134" s="269"/>
      <c r="O134" s="269"/>
      <c r="P134" s="269"/>
      <c r="Q134" s="269"/>
      <c r="R134" s="269"/>
      <c r="S134" s="269"/>
      <c r="T134" s="269"/>
      <c r="U134" s="269"/>
      <c r="V134" s="269"/>
      <c r="W134" s="269"/>
      <c r="X134" s="269"/>
      <c r="Y134" s="269"/>
      <c r="Z134" s="269"/>
    </row>
    <row r="135" spans="1:26" ht="12.75" customHeight="1" x14ac:dyDescent="0.2">
      <c r="A135" s="268"/>
      <c r="B135" s="268"/>
      <c r="C135" s="294"/>
      <c r="D135" s="295"/>
      <c r="E135" s="296"/>
      <c r="F135" s="297"/>
      <c r="G135" s="296"/>
      <c r="H135" s="296"/>
      <c r="I135" s="297"/>
      <c r="J135" s="296"/>
      <c r="K135" s="295"/>
      <c r="L135" s="298"/>
      <c r="M135" s="269"/>
      <c r="N135" s="269"/>
      <c r="O135" s="269"/>
      <c r="P135" s="269"/>
      <c r="Q135" s="269"/>
      <c r="R135" s="269"/>
      <c r="S135" s="269"/>
      <c r="T135" s="269"/>
      <c r="U135" s="269"/>
      <c r="V135" s="269"/>
      <c r="W135" s="269"/>
      <c r="X135" s="269"/>
      <c r="Y135" s="269"/>
      <c r="Z135" s="269"/>
    </row>
    <row r="136" spans="1:26" ht="12.75" customHeight="1" x14ac:dyDescent="0.2">
      <c r="A136" s="268"/>
      <c r="B136" s="268"/>
      <c r="C136" s="294"/>
      <c r="D136" s="295"/>
      <c r="E136" s="296"/>
      <c r="F136" s="297"/>
      <c r="G136" s="296"/>
      <c r="H136" s="296"/>
      <c r="I136" s="297"/>
      <c r="J136" s="296"/>
      <c r="K136" s="295"/>
      <c r="L136" s="298"/>
      <c r="M136" s="269"/>
      <c r="N136" s="269"/>
      <c r="O136" s="269"/>
      <c r="P136" s="269"/>
      <c r="Q136" s="269"/>
      <c r="R136" s="269"/>
      <c r="S136" s="269"/>
      <c r="T136" s="269"/>
      <c r="U136" s="269"/>
      <c r="V136" s="269"/>
      <c r="W136" s="269"/>
      <c r="X136" s="269"/>
      <c r="Y136" s="269"/>
      <c r="Z136" s="269"/>
    </row>
    <row r="137" spans="1:26" ht="12.75" customHeight="1" x14ac:dyDescent="0.2">
      <c r="A137" s="268"/>
      <c r="B137" s="268"/>
      <c r="C137" s="294"/>
      <c r="D137" s="295"/>
      <c r="E137" s="296"/>
      <c r="F137" s="297"/>
      <c r="G137" s="296"/>
      <c r="H137" s="296"/>
      <c r="I137" s="297"/>
      <c r="J137" s="296"/>
      <c r="K137" s="295"/>
      <c r="L137" s="298"/>
      <c r="M137" s="269"/>
      <c r="N137" s="269"/>
      <c r="O137" s="269"/>
      <c r="P137" s="269"/>
      <c r="Q137" s="269"/>
      <c r="R137" s="269"/>
      <c r="S137" s="269"/>
      <c r="T137" s="269"/>
      <c r="U137" s="269"/>
      <c r="V137" s="269"/>
      <c r="W137" s="269"/>
      <c r="X137" s="269"/>
      <c r="Y137" s="269"/>
      <c r="Z137" s="269"/>
    </row>
    <row r="138" spans="1:26" ht="12.75" customHeight="1" x14ac:dyDescent="0.2">
      <c r="A138" s="268"/>
      <c r="B138" s="268"/>
      <c r="C138" s="294"/>
      <c r="D138" s="295"/>
      <c r="E138" s="296"/>
      <c r="F138" s="297"/>
      <c r="G138" s="296"/>
      <c r="H138" s="296"/>
      <c r="I138" s="297"/>
      <c r="J138" s="296"/>
      <c r="K138" s="295"/>
      <c r="L138" s="298"/>
      <c r="M138" s="269"/>
      <c r="N138" s="269"/>
      <c r="O138" s="269"/>
      <c r="P138" s="269"/>
      <c r="Q138" s="269"/>
      <c r="R138" s="269"/>
      <c r="S138" s="269"/>
      <c r="T138" s="269"/>
      <c r="U138" s="269"/>
      <c r="V138" s="269"/>
      <c r="W138" s="269"/>
      <c r="X138" s="269"/>
      <c r="Y138" s="269"/>
      <c r="Z138" s="269"/>
    </row>
    <row r="139" spans="1:26" ht="12.75" customHeight="1" x14ac:dyDescent="0.2">
      <c r="A139" s="268"/>
      <c r="B139" s="268"/>
      <c r="C139" s="294"/>
      <c r="D139" s="295"/>
      <c r="E139" s="296"/>
      <c r="F139" s="297"/>
      <c r="G139" s="296"/>
      <c r="H139" s="296"/>
      <c r="I139" s="297"/>
      <c r="J139" s="296"/>
      <c r="K139" s="295"/>
      <c r="L139" s="298"/>
      <c r="M139" s="269"/>
      <c r="N139" s="269"/>
      <c r="O139" s="269"/>
      <c r="P139" s="269"/>
      <c r="Q139" s="269"/>
      <c r="R139" s="269"/>
      <c r="S139" s="269"/>
      <c r="T139" s="269"/>
      <c r="U139" s="269"/>
      <c r="V139" s="269"/>
      <c r="W139" s="269"/>
      <c r="X139" s="269"/>
      <c r="Y139" s="269"/>
      <c r="Z139" s="269"/>
    </row>
    <row r="140" spans="1:26" ht="12.75" customHeight="1" x14ac:dyDescent="0.2">
      <c r="A140" s="268"/>
      <c r="B140" s="268"/>
      <c r="C140" s="294"/>
      <c r="D140" s="295"/>
      <c r="E140" s="296"/>
      <c r="F140" s="297"/>
      <c r="G140" s="296"/>
      <c r="H140" s="296"/>
      <c r="I140" s="297"/>
      <c r="J140" s="296"/>
      <c r="K140" s="295"/>
      <c r="L140" s="298"/>
      <c r="M140" s="269"/>
      <c r="N140" s="269"/>
      <c r="O140" s="269"/>
      <c r="P140" s="269"/>
      <c r="Q140" s="269"/>
      <c r="R140" s="269"/>
      <c r="S140" s="269"/>
      <c r="T140" s="269"/>
      <c r="U140" s="269"/>
      <c r="V140" s="269"/>
      <c r="W140" s="269"/>
      <c r="X140" s="269"/>
      <c r="Y140" s="269"/>
      <c r="Z140" s="269"/>
    </row>
    <row r="141" spans="1:26" ht="12.75" customHeight="1" x14ac:dyDescent="0.2">
      <c r="A141" s="268"/>
      <c r="B141" s="268"/>
      <c r="C141" s="294"/>
      <c r="D141" s="295"/>
      <c r="E141" s="296"/>
      <c r="F141" s="297"/>
      <c r="G141" s="296"/>
      <c r="H141" s="296"/>
      <c r="I141" s="297"/>
      <c r="J141" s="296"/>
      <c r="K141" s="295"/>
      <c r="L141" s="298"/>
      <c r="M141" s="269"/>
      <c r="N141" s="269"/>
      <c r="O141" s="269"/>
      <c r="P141" s="269"/>
      <c r="Q141" s="269"/>
      <c r="R141" s="269"/>
      <c r="S141" s="269"/>
      <c r="T141" s="269"/>
      <c r="U141" s="269"/>
      <c r="V141" s="269"/>
      <c r="W141" s="269"/>
      <c r="X141" s="269"/>
      <c r="Y141" s="269"/>
      <c r="Z141" s="269"/>
    </row>
    <row r="142" spans="1:26" ht="12.75" customHeight="1" x14ac:dyDescent="0.2">
      <c r="A142" s="268"/>
      <c r="B142" s="268"/>
      <c r="C142" s="294"/>
      <c r="D142" s="295"/>
      <c r="E142" s="296"/>
      <c r="F142" s="297"/>
      <c r="G142" s="296"/>
      <c r="H142" s="296"/>
      <c r="I142" s="297"/>
      <c r="J142" s="296"/>
      <c r="K142" s="295"/>
      <c r="L142" s="298"/>
      <c r="M142" s="269"/>
      <c r="N142" s="269"/>
      <c r="O142" s="269"/>
      <c r="P142" s="269"/>
      <c r="Q142" s="269"/>
      <c r="R142" s="269"/>
      <c r="S142" s="269"/>
      <c r="T142" s="269"/>
      <c r="U142" s="269"/>
      <c r="V142" s="269"/>
      <c r="W142" s="269"/>
      <c r="X142" s="269"/>
      <c r="Y142" s="269"/>
      <c r="Z142" s="269"/>
    </row>
    <row r="143" spans="1:26" ht="12.75" customHeight="1" x14ac:dyDescent="0.2">
      <c r="A143" s="268"/>
      <c r="B143" s="268"/>
      <c r="C143" s="294"/>
      <c r="D143" s="295"/>
      <c r="E143" s="296"/>
      <c r="F143" s="297"/>
      <c r="G143" s="296"/>
      <c r="H143" s="296"/>
      <c r="I143" s="297"/>
      <c r="J143" s="296"/>
      <c r="K143" s="295"/>
      <c r="L143" s="298"/>
      <c r="M143" s="269"/>
      <c r="N143" s="269"/>
      <c r="O143" s="269"/>
      <c r="P143" s="269"/>
      <c r="Q143" s="269"/>
      <c r="R143" s="269"/>
      <c r="S143" s="269"/>
      <c r="T143" s="269"/>
      <c r="U143" s="269"/>
      <c r="V143" s="269"/>
      <c r="W143" s="269"/>
      <c r="X143" s="269"/>
      <c r="Y143" s="269"/>
      <c r="Z143" s="269"/>
    </row>
    <row r="144" spans="1:26" ht="12.75" customHeight="1" x14ac:dyDescent="0.2">
      <c r="A144" s="268"/>
      <c r="B144" s="268"/>
      <c r="C144" s="294"/>
      <c r="D144" s="295"/>
      <c r="E144" s="296"/>
      <c r="F144" s="297"/>
      <c r="G144" s="296"/>
      <c r="H144" s="296"/>
      <c r="I144" s="297"/>
      <c r="J144" s="296"/>
      <c r="K144" s="295"/>
      <c r="L144" s="298"/>
      <c r="M144" s="269"/>
      <c r="N144" s="269"/>
      <c r="O144" s="269"/>
      <c r="P144" s="269"/>
      <c r="Q144" s="269"/>
      <c r="R144" s="269"/>
      <c r="S144" s="269"/>
      <c r="T144" s="269"/>
      <c r="U144" s="269"/>
      <c r="V144" s="269"/>
      <c r="W144" s="269"/>
      <c r="X144" s="269"/>
      <c r="Y144" s="269"/>
      <c r="Z144" s="269"/>
    </row>
    <row r="145" spans="1:26" ht="12.75" customHeight="1" x14ac:dyDescent="0.2">
      <c r="A145" s="268"/>
      <c r="B145" s="268"/>
      <c r="C145" s="294"/>
      <c r="D145" s="295"/>
      <c r="E145" s="296"/>
      <c r="F145" s="297"/>
      <c r="G145" s="296"/>
      <c r="H145" s="296"/>
      <c r="I145" s="297"/>
      <c r="J145" s="296"/>
      <c r="K145" s="295"/>
      <c r="L145" s="298"/>
      <c r="M145" s="269"/>
      <c r="N145" s="269"/>
      <c r="O145" s="269"/>
      <c r="P145" s="269"/>
      <c r="Q145" s="269"/>
      <c r="R145" s="269"/>
      <c r="S145" s="269"/>
      <c r="T145" s="269"/>
      <c r="U145" s="269"/>
      <c r="V145" s="269"/>
      <c r="W145" s="269"/>
      <c r="X145" s="269"/>
      <c r="Y145" s="269"/>
      <c r="Z145" s="269"/>
    </row>
    <row r="146" spans="1:26" ht="12.75" customHeight="1" x14ac:dyDescent="0.2">
      <c r="A146" s="268"/>
      <c r="B146" s="268"/>
      <c r="C146" s="294"/>
      <c r="D146" s="295"/>
      <c r="E146" s="296"/>
      <c r="F146" s="297"/>
      <c r="G146" s="296"/>
      <c r="H146" s="296"/>
      <c r="I146" s="297"/>
      <c r="J146" s="296"/>
      <c r="K146" s="295"/>
      <c r="L146" s="298"/>
      <c r="M146" s="269"/>
      <c r="N146" s="269"/>
      <c r="O146" s="269"/>
      <c r="P146" s="269"/>
      <c r="Q146" s="269"/>
      <c r="R146" s="269"/>
      <c r="S146" s="269"/>
      <c r="T146" s="269"/>
      <c r="U146" s="269"/>
      <c r="V146" s="269"/>
      <c r="W146" s="269"/>
      <c r="X146" s="269"/>
      <c r="Y146" s="269"/>
      <c r="Z146" s="269"/>
    </row>
    <row r="147" spans="1:26" ht="12.75" customHeight="1" x14ac:dyDescent="0.2">
      <c r="A147" s="268"/>
      <c r="B147" s="268"/>
      <c r="C147" s="294"/>
      <c r="D147" s="295"/>
      <c r="E147" s="296"/>
      <c r="F147" s="297"/>
      <c r="G147" s="296"/>
      <c r="H147" s="296"/>
      <c r="I147" s="297"/>
      <c r="J147" s="296"/>
      <c r="K147" s="295"/>
      <c r="L147" s="298"/>
      <c r="M147" s="269"/>
      <c r="N147" s="269"/>
      <c r="O147" s="269"/>
      <c r="P147" s="269"/>
      <c r="Q147" s="269"/>
      <c r="R147" s="269"/>
      <c r="S147" s="269"/>
      <c r="T147" s="269"/>
      <c r="U147" s="269"/>
      <c r="V147" s="269"/>
      <c r="W147" s="269"/>
      <c r="X147" s="269"/>
      <c r="Y147" s="269"/>
      <c r="Z147" s="269"/>
    </row>
    <row r="148" spans="1:26" ht="12.75" customHeight="1" x14ac:dyDescent="0.2">
      <c r="A148" s="268"/>
      <c r="B148" s="268"/>
      <c r="C148" s="294"/>
      <c r="D148" s="295"/>
      <c r="E148" s="296"/>
      <c r="F148" s="297"/>
      <c r="G148" s="296"/>
      <c r="H148" s="296"/>
      <c r="I148" s="297"/>
      <c r="J148" s="296"/>
      <c r="K148" s="295"/>
      <c r="L148" s="298"/>
      <c r="M148" s="269"/>
      <c r="N148" s="269"/>
      <c r="O148" s="269"/>
      <c r="P148" s="269"/>
      <c r="Q148" s="269"/>
      <c r="R148" s="269"/>
      <c r="S148" s="269"/>
      <c r="T148" s="269"/>
      <c r="U148" s="269"/>
      <c r="V148" s="269"/>
      <c r="W148" s="269"/>
      <c r="X148" s="269"/>
      <c r="Y148" s="269"/>
      <c r="Z148" s="269"/>
    </row>
    <row r="149" spans="1:26" ht="12.75" customHeight="1" x14ac:dyDescent="0.2">
      <c r="A149" s="268"/>
      <c r="B149" s="268"/>
      <c r="C149" s="294"/>
      <c r="D149" s="295"/>
      <c r="E149" s="296"/>
      <c r="F149" s="297"/>
      <c r="G149" s="296"/>
      <c r="H149" s="296"/>
      <c r="I149" s="297"/>
      <c r="J149" s="296"/>
      <c r="K149" s="295"/>
      <c r="L149" s="298"/>
      <c r="M149" s="269"/>
      <c r="N149" s="269"/>
      <c r="O149" s="269"/>
      <c r="P149" s="269"/>
      <c r="Q149" s="269"/>
      <c r="R149" s="269"/>
      <c r="S149" s="269"/>
      <c r="T149" s="269"/>
      <c r="U149" s="269"/>
      <c r="V149" s="269"/>
      <c r="W149" s="269"/>
      <c r="X149" s="269"/>
      <c r="Y149" s="269"/>
      <c r="Z149" s="269"/>
    </row>
    <row r="150" spans="1:26" ht="12.75" customHeight="1" x14ac:dyDescent="0.2">
      <c r="A150" s="268"/>
      <c r="B150" s="268"/>
      <c r="C150" s="294"/>
      <c r="D150" s="295"/>
      <c r="E150" s="296"/>
      <c r="F150" s="297"/>
      <c r="G150" s="296"/>
      <c r="H150" s="296"/>
      <c r="I150" s="297"/>
      <c r="J150" s="296"/>
      <c r="K150" s="295"/>
      <c r="L150" s="298"/>
      <c r="M150" s="269"/>
      <c r="N150" s="269"/>
      <c r="O150" s="269"/>
      <c r="P150" s="269"/>
      <c r="Q150" s="269"/>
      <c r="R150" s="269"/>
      <c r="S150" s="269"/>
      <c r="T150" s="269"/>
      <c r="U150" s="269"/>
      <c r="V150" s="269"/>
      <c r="W150" s="269"/>
      <c r="X150" s="269"/>
      <c r="Y150" s="269"/>
      <c r="Z150" s="269"/>
    </row>
    <row r="151" spans="1:26" ht="12.75" customHeight="1" x14ac:dyDescent="0.2">
      <c r="A151" s="268"/>
      <c r="B151" s="268"/>
      <c r="C151" s="294"/>
      <c r="D151" s="295"/>
      <c r="E151" s="296"/>
      <c r="F151" s="297"/>
      <c r="G151" s="296"/>
      <c r="H151" s="296"/>
      <c r="I151" s="297"/>
      <c r="J151" s="296"/>
      <c r="K151" s="295"/>
      <c r="L151" s="298"/>
      <c r="M151" s="269"/>
      <c r="N151" s="269"/>
      <c r="O151" s="269"/>
      <c r="P151" s="269"/>
      <c r="Q151" s="269"/>
      <c r="R151" s="269"/>
      <c r="S151" s="269"/>
      <c r="T151" s="269"/>
      <c r="U151" s="269"/>
      <c r="V151" s="269"/>
      <c r="W151" s="269"/>
      <c r="X151" s="269"/>
      <c r="Y151" s="269"/>
      <c r="Z151" s="269"/>
    </row>
    <row r="152" spans="1:26" ht="12.75" customHeight="1" x14ac:dyDescent="0.2">
      <c r="A152" s="268"/>
      <c r="B152" s="268"/>
      <c r="C152" s="294"/>
      <c r="D152" s="295"/>
      <c r="E152" s="296"/>
      <c r="F152" s="297"/>
      <c r="G152" s="296"/>
      <c r="H152" s="296"/>
      <c r="I152" s="297"/>
      <c r="J152" s="296"/>
      <c r="K152" s="295"/>
      <c r="L152" s="298"/>
      <c r="M152" s="269"/>
      <c r="N152" s="269"/>
      <c r="O152" s="269"/>
      <c r="P152" s="269"/>
      <c r="Q152" s="269"/>
      <c r="R152" s="269"/>
      <c r="S152" s="269"/>
      <c r="T152" s="269"/>
      <c r="U152" s="269"/>
      <c r="V152" s="269"/>
      <c r="W152" s="269"/>
      <c r="X152" s="269"/>
      <c r="Y152" s="269"/>
      <c r="Z152" s="269"/>
    </row>
    <row r="153" spans="1:26" ht="12.75" customHeight="1" x14ac:dyDescent="0.2">
      <c r="A153" s="268"/>
      <c r="B153" s="268"/>
      <c r="C153" s="294"/>
      <c r="D153" s="295"/>
      <c r="E153" s="296"/>
      <c r="F153" s="297"/>
      <c r="G153" s="296"/>
      <c r="H153" s="296"/>
      <c r="I153" s="297"/>
      <c r="J153" s="296"/>
      <c r="K153" s="295"/>
      <c r="L153" s="298"/>
      <c r="M153" s="269"/>
      <c r="N153" s="269"/>
      <c r="O153" s="269"/>
      <c r="P153" s="269"/>
      <c r="Q153" s="269"/>
      <c r="R153" s="269"/>
      <c r="S153" s="269"/>
      <c r="T153" s="269"/>
      <c r="U153" s="269"/>
      <c r="V153" s="269"/>
      <c r="W153" s="269"/>
      <c r="X153" s="269"/>
      <c r="Y153" s="269"/>
      <c r="Z153" s="269"/>
    </row>
    <row r="154" spans="1:26" ht="12.75" customHeight="1" x14ac:dyDescent="0.2">
      <c r="A154" s="268"/>
      <c r="B154" s="268"/>
      <c r="C154" s="294"/>
      <c r="D154" s="295"/>
      <c r="E154" s="296"/>
      <c r="F154" s="297"/>
      <c r="G154" s="296"/>
      <c r="H154" s="296"/>
      <c r="I154" s="297"/>
      <c r="J154" s="296"/>
      <c r="K154" s="295"/>
      <c r="L154" s="298"/>
      <c r="M154" s="269"/>
      <c r="N154" s="269"/>
      <c r="O154" s="269"/>
      <c r="P154" s="269"/>
      <c r="Q154" s="269"/>
      <c r="R154" s="269"/>
      <c r="S154" s="269"/>
      <c r="T154" s="269"/>
      <c r="U154" s="269"/>
      <c r="V154" s="269"/>
      <c r="W154" s="269"/>
      <c r="X154" s="269"/>
      <c r="Y154" s="269"/>
      <c r="Z154" s="269"/>
    </row>
    <row r="155" spans="1:26" ht="12.75" customHeight="1" x14ac:dyDescent="0.2">
      <c r="A155" s="268"/>
      <c r="B155" s="268"/>
      <c r="C155" s="294"/>
      <c r="D155" s="295"/>
      <c r="E155" s="296"/>
      <c r="F155" s="297"/>
      <c r="G155" s="296"/>
      <c r="H155" s="296"/>
      <c r="I155" s="297"/>
      <c r="J155" s="296"/>
      <c r="K155" s="295"/>
      <c r="L155" s="298"/>
      <c r="M155" s="269"/>
      <c r="N155" s="269"/>
      <c r="O155" s="269"/>
      <c r="P155" s="269"/>
      <c r="Q155" s="269"/>
      <c r="R155" s="269"/>
      <c r="S155" s="269"/>
      <c r="T155" s="269"/>
      <c r="U155" s="269"/>
      <c r="V155" s="269"/>
      <c r="W155" s="269"/>
      <c r="X155" s="269"/>
      <c r="Y155" s="269"/>
      <c r="Z155" s="269"/>
    </row>
    <row r="156" spans="1:26" ht="12.75" customHeight="1" x14ac:dyDescent="0.2">
      <c r="A156" s="268"/>
      <c r="B156" s="268"/>
      <c r="C156" s="294"/>
      <c r="D156" s="295"/>
      <c r="E156" s="296"/>
      <c r="F156" s="297"/>
      <c r="G156" s="296"/>
      <c r="H156" s="296"/>
      <c r="I156" s="297"/>
      <c r="J156" s="296"/>
      <c r="K156" s="295"/>
      <c r="L156" s="298"/>
      <c r="M156" s="269"/>
      <c r="N156" s="269"/>
      <c r="O156" s="269"/>
      <c r="P156" s="269"/>
      <c r="Q156" s="269"/>
      <c r="R156" s="269"/>
      <c r="S156" s="269"/>
      <c r="T156" s="269"/>
      <c r="U156" s="269"/>
      <c r="V156" s="269"/>
      <c r="W156" s="269"/>
      <c r="X156" s="269"/>
      <c r="Y156" s="269"/>
      <c r="Z156" s="269"/>
    </row>
    <row r="157" spans="1:26" ht="12.75" customHeight="1" x14ac:dyDescent="0.2">
      <c r="A157" s="268"/>
      <c r="B157" s="268"/>
      <c r="C157" s="294"/>
      <c r="D157" s="295"/>
      <c r="E157" s="296"/>
      <c r="F157" s="297"/>
      <c r="G157" s="296"/>
      <c r="H157" s="296"/>
      <c r="I157" s="297"/>
      <c r="J157" s="296"/>
      <c r="K157" s="295"/>
      <c r="L157" s="298"/>
      <c r="M157" s="269"/>
      <c r="N157" s="269"/>
      <c r="O157" s="269"/>
      <c r="P157" s="269"/>
      <c r="Q157" s="269"/>
      <c r="R157" s="269"/>
      <c r="S157" s="269"/>
      <c r="T157" s="269"/>
      <c r="U157" s="269"/>
      <c r="V157" s="269"/>
      <c r="W157" s="269"/>
      <c r="X157" s="269"/>
      <c r="Y157" s="269"/>
      <c r="Z157" s="269"/>
    </row>
    <row r="158" spans="1:26" ht="12.75" customHeight="1" x14ac:dyDescent="0.2">
      <c r="A158" s="268"/>
      <c r="B158" s="268"/>
      <c r="C158" s="294"/>
      <c r="D158" s="295"/>
      <c r="E158" s="296"/>
      <c r="F158" s="297"/>
      <c r="G158" s="296"/>
      <c r="H158" s="296"/>
      <c r="I158" s="297"/>
      <c r="J158" s="296"/>
      <c r="K158" s="295"/>
      <c r="L158" s="298"/>
      <c r="M158" s="269"/>
      <c r="N158" s="269"/>
      <c r="O158" s="269"/>
      <c r="P158" s="269"/>
      <c r="Q158" s="269"/>
      <c r="R158" s="269"/>
      <c r="S158" s="269"/>
      <c r="T158" s="269"/>
      <c r="U158" s="269"/>
      <c r="V158" s="269"/>
      <c r="W158" s="269"/>
      <c r="X158" s="269"/>
      <c r="Y158" s="269"/>
      <c r="Z158" s="269"/>
    </row>
    <row r="159" spans="1:26" ht="12.75" customHeight="1" x14ac:dyDescent="0.2">
      <c r="A159" s="268"/>
      <c r="B159" s="268"/>
      <c r="C159" s="294"/>
      <c r="D159" s="295"/>
      <c r="E159" s="296"/>
      <c r="F159" s="297"/>
      <c r="G159" s="296"/>
      <c r="H159" s="296"/>
      <c r="I159" s="297"/>
      <c r="J159" s="296"/>
      <c r="K159" s="295"/>
      <c r="L159" s="298"/>
      <c r="M159" s="269"/>
      <c r="N159" s="269"/>
      <c r="O159" s="269"/>
      <c r="P159" s="269"/>
      <c r="Q159" s="269"/>
      <c r="R159" s="269"/>
      <c r="S159" s="269"/>
      <c r="T159" s="269"/>
      <c r="U159" s="269"/>
      <c r="V159" s="269"/>
      <c r="W159" s="269"/>
      <c r="X159" s="269"/>
      <c r="Y159" s="269"/>
      <c r="Z159" s="269"/>
    </row>
    <row r="160" spans="1:26" ht="12.75" customHeight="1" x14ac:dyDescent="0.2">
      <c r="A160" s="268"/>
      <c r="B160" s="268"/>
      <c r="C160" s="294"/>
      <c r="D160" s="295"/>
      <c r="E160" s="296"/>
      <c r="F160" s="297"/>
      <c r="G160" s="296"/>
      <c r="H160" s="296"/>
      <c r="I160" s="297"/>
      <c r="J160" s="296"/>
      <c r="K160" s="295"/>
      <c r="L160" s="298"/>
      <c r="M160" s="269"/>
      <c r="N160" s="269"/>
      <c r="O160" s="269"/>
      <c r="P160" s="269"/>
      <c r="Q160" s="269"/>
      <c r="R160" s="269"/>
      <c r="S160" s="269"/>
      <c r="T160" s="269"/>
      <c r="U160" s="269"/>
      <c r="V160" s="269"/>
      <c r="W160" s="269"/>
      <c r="X160" s="269"/>
      <c r="Y160" s="269"/>
      <c r="Z160" s="269"/>
    </row>
    <row r="161" spans="1:26" ht="12.75" customHeight="1" x14ac:dyDescent="0.2">
      <c r="A161" s="268"/>
      <c r="B161" s="268"/>
      <c r="C161" s="294"/>
      <c r="D161" s="295"/>
      <c r="E161" s="296"/>
      <c r="F161" s="297"/>
      <c r="G161" s="296"/>
      <c r="H161" s="296"/>
      <c r="I161" s="297"/>
      <c r="J161" s="296"/>
      <c r="K161" s="295"/>
      <c r="L161" s="298"/>
      <c r="M161" s="269"/>
      <c r="N161" s="269"/>
      <c r="O161" s="269"/>
      <c r="P161" s="269"/>
      <c r="Q161" s="269"/>
      <c r="R161" s="269"/>
      <c r="S161" s="269"/>
      <c r="T161" s="269"/>
      <c r="U161" s="269"/>
      <c r="V161" s="269"/>
      <c r="W161" s="269"/>
      <c r="X161" s="269"/>
      <c r="Y161" s="269"/>
      <c r="Z161" s="269"/>
    </row>
    <row r="162" spans="1:26" ht="12.75" customHeight="1" x14ac:dyDescent="0.2">
      <c r="A162" s="268"/>
      <c r="B162" s="268"/>
      <c r="C162" s="294"/>
      <c r="D162" s="295"/>
      <c r="E162" s="296"/>
      <c r="F162" s="297"/>
      <c r="G162" s="296"/>
      <c r="H162" s="296"/>
      <c r="I162" s="297"/>
      <c r="J162" s="296"/>
      <c r="K162" s="295"/>
      <c r="L162" s="298"/>
      <c r="M162" s="269"/>
      <c r="N162" s="269"/>
      <c r="O162" s="269"/>
      <c r="P162" s="269"/>
      <c r="Q162" s="269"/>
      <c r="R162" s="269"/>
      <c r="S162" s="269"/>
      <c r="T162" s="269"/>
      <c r="U162" s="269"/>
      <c r="V162" s="269"/>
      <c r="W162" s="269"/>
      <c r="X162" s="269"/>
      <c r="Y162" s="269"/>
      <c r="Z162" s="269"/>
    </row>
    <row r="163" spans="1:26" ht="12.75" customHeight="1" x14ac:dyDescent="0.2">
      <c r="A163" s="268"/>
      <c r="B163" s="268"/>
      <c r="C163" s="294"/>
      <c r="D163" s="295"/>
      <c r="E163" s="296"/>
      <c r="F163" s="297"/>
      <c r="G163" s="296"/>
      <c r="H163" s="296"/>
      <c r="I163" s="297"/>
      <c r="J163" s="296"/>
      <c r="K163" s="295"/>
      <c r="L163" s="298"/>
      <c r="M163" s="269"/>
      <c r="N163" s="269"/>
      <c r="O163" s="269"/>
      <c r="P163" s="269"/>
      <c r="Q163" s="269"/>
      <c r="R163" s="269"/>
      <c r="S163" s="269"/>
      <c r="T163" s="269"/>
      <c r="U163" s="269"/>
      <c r="V163" s="269"/>
      <c r="W163" s="269"/>
      <c r="X163" s="269"/>
      <c r="Y163" s="269"/>
      <c r="Z163" s="269"/>
    </row>
    <row r="164" spans="1:26" ht="12.75" customHeight="1" x14ac:dyDescent="0.2">
      <c r="A164" s="268"/>
      <c r="B164" s="268"/>
      <c r="C164" s="294"/>
      <c r="D164" s="295"/>
      <c r="E164" s="296"/>
      <c r="F164" s="297"/>
      <c r="G164" s="296"/>
      <c r="H164" s="296"/>
      <c r="I164" s="297"/>
      <c r="J164" s="296"/>
      <c r="K164" s="295"/>
      <c r="L164" s="298"/>
      <c r="M164" s="269"/>
      <c r="N164" s="269"/>
      <c r="O164" s="269"/>
      <c r="P164" s="269"/>
      <c r="Q164" s="269"/>
      <c r="R164" s="269"/>
      <c r="S164" s="269"/>
      <c r="T164" s="269"/>
      <c r="U164" s="269"/>
      <c r="V164" s="269"/>
      <c r="W164" s="269"/>
      <c r="X164" s="269"/>
      <c r="Y164" s="269"/>
      <c r="Z164" s="269"/>
    </row>
    <row r="165" spans="1:26" ht="12.75" customHeight="1" x14ac:dyDescent="0.2">
      <c r="A165" s="268"/>
      <c r="B165" s="268"/>
      <c r="C165" s="294"/>
      <c r="D165" s="295"/>
      <c r="E165" s="296"/>
      <c r="F165" s="297"/>
      <c r="G165" s="296"/>
      <c r="H165" s="296"/>
      <c r="I165" s="297"/>
      <c r="J165" s="296"/>
      <c r="K165" s="295"/>
      <c r="L165" s="298"/>
      <c r="M165" s="269"/>
      <c r="N165" s="269"/>
      <c r="O165" s="269"/>
      <c r="P165" s="269"/>
      <c r="Q165" s="269"/>
      <c r="R165" s="269"/>
      <c r="S165" s="269"/>
      <c r="T165" s="269"/>
      <c r="U165" s="269"/>
      <c r="V165" s="269"/>
      <c r="W165" s="269"/>
      <c r="X165" s="269"/>
      <c r="Y165" s="269"/>
      <c r="Z165" s="269"/>
    </row>
    <row r="166" spans="1:26" ht="12.75" customHeight="1" x14ac:dyDescent="0.2">
      <c r="A166" s="268"/>
      <c r="B166" s="268"/>
      <c r="C166" s="294"/>
      <c r="D166" s="295"/>
      <c r="E166" s="296"/>
      <c r="F166" s="297"/>
      <c r="G166" s="296"/>
      <c r="H166" s="296"/>
      <c r="I166" s="297"/>
      <c r="J166" s="296"/>
      <c r="K166" s="295"/>
      <c r="L166" s="298"/>
      <c r="M166" s="269"/>
      <c r="N166" s="269"/>
      <c r="O166" s="269"/>
      <c r="P166" s="269"/>
      <c r="Q166" s="269"/>
      <c r="R166" s="269"/>
      <c r="S166" s="269"/>
      <c r="T166" s="269"/>
      <c r="U166" s="269"/>
      <c r="V166" s="269"/>
      <c r="W166" s="269"/>
      <c r="X166" s="269"/>
      <c r="Y166" s="269"/>
      <c r="Z166" s="269"/>
    </row>
    <row r="167" spans="1:26" ht="12.75" customHeight="1" x14ac:dyDescent="0.2">
      <c r="A167" s="268"/>
      <c r="B167" s="268"/>
      <c r="C167" s="294"/>
      <c r="D167" s="295"/>
      <c r="E167" s="296"/>
      <c r="F167" s="297"/>
      <c r="G167" s="296"/>
      <c r="H167" s="296"/>
      <c r="I167" s="297"/>
      <c r="J167" s="296"/>
      <c r="K167" s="295"/>
      <c r="L167" s="298"/>
      <c r="M167" s="269"/>
      <c r="N167" s="269"/>
      <c r="O167" s="269"/>
      <c r="P167" s="269"/>
      <c r="Q167" s="269"/>
      <c r="R167" s="269"/>
      <c r="S167" s="269"/>
      <c r="T167" s="269"/>
      <c r="U167" s="269"/>
      <c r="V167" s="269"/>
      <c r="W167" s="269"/>
      <c r="X167" s="269"/>
      <c r="Y167" s="269"/>
      <c r="Z167" s="269"/>
    </row>
    <row r="168" spans="1:26" ht="12.75" customHeight="1" x14ac:dyDescent="0.2">
      <c r="A168" s="268"/>
      <c r="B168" s="268"/>
      <c r="C168" s="294"/>
      <c r="D168" s="295"/>
      <c r="E168" s="296"/>
      <c r="F168" s="297"/>
      <c r="G168" s="296"/>
      <c r="H168" s="296"/>
      <c r="I168" s="297"/>
      <c r="J168" s="296"/>
      <c r="K168" s="295"/>
      <c r="L168" s="298"/>
      <c r="M168" s="269"/>
      <c r="N168" s="269"/>
      <c r="O168" s="269"/>
      <c r="P168" s="269"/>
      <c r="Q168" s="269"/>
      <c r="R168" s="269"/>
      <c r="S168" s="269"/>
      <c r="T168" s="269"/>
      <c r="U168" s="269"/>
      <c r="V168" s="269"/>
      <c r="W168" s="269"/>
      <c r="X168" s="269"/>
      <c r="Y168" s="269"/>
      <c r="Z168" s="269"/>
    </row>
    <row r="169" spans="1:26" ht="12.75" customHeight="1" x14ac:dyDescent="0.2">
      <c r="A169" s="268"/>
      <c r="B169" s="268"/>
      <c r="C169" s="294"/>
      <c r="D169" s="295"/>
      <c r="E169" s="296"/>
      <c r="F169" s="297"/>
      <c r="G169" s="296"/>
      <c r="H169" s="296"/>
      <c r="I169" s="297"/>
      <c r="J169" s="296"/>
      <c r="K169" s="295"/>
      <c r="L169" s="298"/>
      <c r="M169" s="269"/>
      <c r="N169" s="269"/>
      <c r="O169" s="269"/>
      <c r="P169" s="269"/>
      <c r="Q169" s="269"/>
      <c r="R169" s="269"/>
      <c r="S169" s="269"/>
      <c r="T169" s="269"/>
      <c r="U169" s="269"/>
      <c r="V169" s="269"/>
      <c r="W169" s="269"/>
      <c r="X169" s="269"/>
      <c r="Y169" s="269"/>
      <c r="Z169" s="269"/>
    </row>
    <row r="170" spans="1:26" ht="12.75" customHeight="1" x14ac:dyDescent="0.2">
      <c r="A170" s="268"/>
      <c r="B170" s="268"/>
      <c r="C170" s="294"/>
      <c r="D170" s="295"/>
      <c r="E170" s="296"/>
      <c r="F170" s="297"/>
      <c r="G170" s="296"/>
      <c r="H170" s="296"/>
      <c r="I170" s="297"/>
      <c r="J170" s="296"/>
      <c r="K170" s="295"/>
      <c r="L170" s="298"/>
      <c r="M170" s="269"/>
      <c r="N170" s="269"/>
      <c r="O170" s="269"/>
      <c r="P170" s="269"/>
      <c r="Q170" s="269"/>
      <c r="R170" s="269"/>
      <c r="S170" s="269"/>
      <c r="T170" s="269"/>
      <c r="U170" s="269"/>
      <c r="V170" s="269"/>
      <c r="W170" s="269"/>
      <c r="X170" s="269"/>
      <c r="Y170" s="269"/>
      <c r="Z170" s="269"/>
    </row>
    <row r="171" spans="1:26" ht="12.75" customHeight="1" x14ac:dyDescent="0.2">
      <c r="A171" s="268"/>
      <c r="B171" s="268"/>
      <c r="C171" s="294"/>
      <c r="D171" s="295"/>
      <c r="E171" s="296"/>
      <c r="F171" s="297"/>
      <c r="G171" s="296"/>
      <c r="H171" s="296"/>
      <c r="I171" s="297"/>
      <c r="J171" s="296"/>
      <c r="K171" s="295"/>
      <c r="L171" s="298"/>
      <c r="M171" s="269"/>
      <c r="N171" s="269"/>
      <c r="O171" s="269"/>
      <c r="P171" s="269"/>
      <c r="Q171" s="269"/>
      <c r="R171" s="269"/>
      <c r="S171" s="269"/>
      <c r="T171" s="269"/>
      <c r="U171" s="269"/>
      <c r="V171" s="269"/>
      <c r="W171" s="269"/>
      <c r="X171" s="269"/>
      <c r="Y171" s="269"/>
      <c r="Z171" s="269"/>
    </row>
    <row r="172" spans="1:26" ht="12.75" customHeight="1" x14ac:dyDescent="0.2">
      <c r="A172" s="268"/>
      <c r="B172" s="268"/>
      <c r="C172" s="294"/>
      <c r="D172" s="295"/>
      <c r="E172" s="296"/>
      <c r="F172" s="297"/>
      <c r="G172" s="296"/>
      <c r="H172" s="296"/>
      <c r="I172" s="297"/>
      <c r="J172" s="296"/>
      <c r="K172" s="295"/>
      <c r="L172" s="298"/>
      <c r="M172" s="269"/>
      <c r="N172" s="269"/>
      <c r="O172" s="269"/>
      <c r="P172" s="269"/>
      <c r="Q172" s="269"/>
      <c r="R172" s="269"/>
      <c r="S172" s="269"/>
      <c r="T172" s="269"/>
      <c r="U172" s="269"/>
      <c r="V172" s="269"/>
      <c r="W172" s="269"/>
      <c r="X172" s="269"/>
      <c r="Y172" s="269"/>
      <c r="Z172" s="269"/>
    </row>
    <row r="173" spans="1:26" ht="12.75" customHeight="1" x14ac:dyDescent="0.2">
      <c r="A173" s="268"/>
      <c r="B173" s="268"/>
      <c r="C173" s="294"/>
      <c r="D173" s="295"/>
      <c r="E173" s="296"/>
      <c r="F173" s="297"/>
      <c r="G173" s="296"/>
      <c r="H173" s="296"/>
      <c r="I173" s="297"/>
      <c r="J173" s="296"/>
      <c r="K173" s="295"/>
      <c r="L173" s="298"/>
      <c r="M173" s="269"/>
      <c r="N173" s="269"/>
      <c r="O173" s="269"/>
      <c r="P173" s="269"/>
      <c r="Q173" s="269"/>
      <c r="R173" s="269"/>
      <c r="S173" s="269"/>
      <c r="T173" s="269"/>
      <c r="U173" s="269"/>
      <c r="V173" s="269"/>
      <c r="W173" s="269"/>
      <c r="X173" s="269"/>
      <c r="Y173" s="269"/>
      <c r="Z173" s="269"/>
    </row>
    <row r="174" spans="1:26" ht="12.75" customHeight="1" x14ac:dyDescent="0.2">
      <c r="A174" s="268"/>
      <c r="B174" s="268"/>
      <c r="C174" s="294"/>
      <c r="D174" s="295"/>
      <c r="E174" s="296"/>
      <c r="F174" s="297"/>
      <c r="G174" s="296"/>
      <c r="H174" s="296"/>
      <c r="I174" s="297"/>
      <c r="J174" s="296"/>
      <c r="K174" s="295"/>
      <c r="L174" s="298"/>
      <c r="M174" s="269"/>
      <c r="N174" s="269"/>
      <c r="O174" s="269"/>
      <c r="P174" s="269"/>
      <c r="Q174" s="269"/>
      <c r="R174" s="269"/>
      <c r="S174" s="269"/>
      <c r="T174" s="269"/>
      <c r="U174" s="269"/>
      <c r="V174" s="269"/>
      <c r="W174" s="269"/>
      <c r="X174" s="269"/>
      <c r="Y174" s="269"/>
      <c r="Z174" s="269"/>
    </row>
    <row r="175" spans="1:26" ht="12.75" customHeight="1" x14ac:dyDescent="0.2">
      <c r="A175" s="268"/>
      <c r="B175" s="268"/>
      <c r="C175" s="294"/>
      <c r="D175" s="295"/>
      <c r="E175" s="296"/>
      <c r="F175" s="297"/>
      <c r="G175" s="296"/>
      <c r="H175" s="296"/>
      <c r="I175" s="297"/>
      <c r="J175" s="296"/>
      <c r="K175" s="295"/>
      <c r="L175" s="298"/>
      <c r="M175" s="269"/>
      <c r="N175" s="269"/>
      <c r="O175" s="269"/>
      <c r="P175" s="269"/>
      <c r="Q175" s="269"/>
      <c r="R175" s="269"/>
      <c r="S175" s="269"/>
      <c r="T175" s="269"/>
      <c r="U175" s="269"/>
      <c r="V175" s="269"/>
      <c r="W175" s="269"/>
      <c r="X175" s="269"/>
      <c r="Y175" s="269"/>
      <c r="Z175" s="269"/>
    </row>
    <row r="176" spans="1:26" ht="12.75" customHeight="1" x14ac:dyDescent="0.2">
      <c r="A176" s="268"/>
      <c r="B176" s="268"/>
      <c r="C176" s="294"/>
      <c r="D176" s="295"/>
      <c r="E176" s="296"/>
      <c r="F176" s="297"/>
      <c r="G176" s="296"/>
      <c r="H176" s="296"/>
      <c r="I176" s="297"/>
      <c r="J176" s="296"/>
      <c r="K176" s="295"/>
      <c r="L176" s="298"/>
      <c r="M176" s="269"/>
      <c r="N176" s="269"/>
      <c r="O176" s="269"/>
      <c r="P176" s="269"/>
      <c r="Q176" s="269"/>
      <c r="R176" s="269"/>
      <c r="S176" s="269"/>
      <c r="T176" s="269"/>
      <c r="U176" s="269"/>
      <c r="V176" s="269"/>
      <c r="W176" s="269"/>
      <c r="X176" s="269"/>
      <c r="Y176" s="269"/>
      <c r="Z176" s="269"/>
    </row>
    <row r="177" spans="1:26" ht="12.75" customHeight="1" x14ac:dyDescent="0.2">
      <c r="A177" s="268"/>
      <c r="B177" s="268"/>
      <c r="C177" s="294"/>
      <c r="D177" s="295"/>
      <c r="E177" s="296"/>
      <c r="F177" s="297"/>
      <c r="G177" s="296"/>
      <c r="H177" s="296"/>
      <c r="I177" s="297"/>
      <c r="J177" s="296"/>
      <c r="K177" s="295"/>
      <c r="L177" s="298"/>
      <c r="M177" s="269"/>
      <c r="N177" s="269"/>
      <c r="O177" s="269"/>
      <c r="P177" s="269"/>
      <c r="Q177" s="269"/>
      <c r="R177" s="269"/>
      <c r="S177" s="269"/>
      <c r="T177" s="269"/>
      <c r="U177" s="269"/>
      <c r="V177" s="269"/>
      <c r="W177" s="269"/>
      <c r="X177" s="269"/>
      <c r="Y177" s="269"/>
      <c r="Z177" s="269"/>
    </row>
    <row r="178" spans="1:26" ht="12.75" customHeight="1" x14ac:dyDescent="0.2">
      <c r="A178" s="268"/>
      <c r="B178" s="268"/>
      <c r="C178" s="294"/>
      <c r="D178" s="295"/>
      <c r="E178" s="296"/>
      <c r="F178" s="297"/>
      <c r="G178" s="296"/>
      <c r="H178" s="296"/>
      <c r="I178" s="297"/>
      <c r="J178" s="296"/>
      <c r="K178" s="295"/>
      <c r="L178" s="298"/>
      <c r="M178" s="269"/>
      <c r="N178" s="269"/>
      <c r="O178" s="269"/>
      <c r="P178" s="269"/>
      <c r="Q178" s="269"/>
      <c r="R178" s="269"/>
      <c r="S178" s="269"/>
      <c r="T178" s="269"/>
      <c r="U178" s="269"/>
      <c r="V178" s="269"/>
      <c r="W178" s="269"/>
      <c r="X178" s="269"/>
      <c r="Y178" s="269"/>
      <c r="Z178" s="269"/>
    </row>
    <row r="179" spans="1:26" ht="12.75" customHeight="1" x14ac:dyDescent="0.2">
      <c r="A179" s="268"/>
      <c r="B179" s="268"/>
      <c r="C179" s="294"/>
      <c r="D179" s="295"/>
      <c r="E179" s="296"/>
      <c r="F179" s="297"/>
      <c r="G179" s="296"/>
      <c r="H179" s="296"/>
      <c r="I179" s="297"/>
      <c r="J179" s="296"/>
      <c r="K179" s="295"/>
      <c r="L179" s="298"/>
      <c r="M179" s="269"/>
      <c r="N179" s="269"/>
      <c r="O179" s="269"/>
      <c r="P179" s="269"/>
      <c r="Q179" s="269"/>
      <c r="R179" s="269"/>
      <c r="S179" s="269"/>
      <c r="T179" s="269"/>
      <c r="U179" s="269"/>
      <c r="V179" s="269"/>
      <c r="W179" s="269"/>
      <c r="X179" s="269"/>
      <c r="Y179" s="269"/>
      <c r="Z179" s="269"/>
    </row>
    <row r="180" spans="1:26" ht="12.75" customHeight="1" x14ac:dyDescent="0.2">
      <c r="A180" s="268"/>
      <c r="B180" s="268"/>
      <c r="C180" s="294"/>
      <c r="D180" s="295"/>
      <c r="E180" s="296"/>
      <c r="F180" s="297"/>
      <c r="G180" s="296"/>
      <c r="H180" s="296"/>
      <c r="I180" s="297"/>
      <c r="J180" s="296"/>
      <c r="K180" s="295"/>
      <c r="L180" s="298"/>
      <c r="M180" s="269"/>
      <c r="N180" s="269"/>
      <c r="O180" s="269"/>
      <c r="P180" s="269"/>
      <c r="Q180" s="269"/>
      <c r="R180" s="269"/>
      <c r="S180" s="269"/>
      <c r="T180" s="269"/>
      <c r="U180" s="269"/>
      <c r="V180" s="269"/>
      <c r="W180" s="269"/>
      <c r="X180" s="269"/>
      <c r="Y180" s="269"/>
      <c r="Z180" s="269"/>
    </row>
    <row r="181" spans="1:26" ht="12.75" customHeight="1" x14ac:dyDescent="0.2">
      <c r="A181" s="268"/>
      <c r="B181" s="268"/>
      <c r="C181" s="294"/>
      <c r="D181" s="295"/>
      <c r="E181" s="296"/>
      <c r="F181" s="297"/>
      <c r="G181" s="296"/>
      <c r="H181" s="296"/>
      <c r="I181" s="297"/>
      <c r="J181" s="296"/>
      <c r="K181" s="295"/>
      <c r="L181" s="298"/>
      <c r="M181" s="269"/>
      <c r="N181" s="269"/>
      <c r="O181" s="269"/>
      <c r="P181" s="269"/>
      <c r="Q181" s="269"/>
      <c r="R181" s="269"/>
      <c r="S181" s="269"/>
      <c r="T181" s="269"/>
      <c r="U181" s="269"/>
      <c r="V181" s="269"/>
      <c r="W181" s="269"/>
      <c r="X181" s="269"/>
      <c r="Y181" s="269"/>
      <c r="Z181" s="269"/>
    </row>
    <row r="182" spans="1:26" ht="12.75" customHeight="1" x14ac:dyDescent="0.2">
      <c r="A182" s="268"/>
      <c r="B182" s="268"/>
      <c r="C182" s="294"/>
      <c r="D182" s="295"/>
      <c r="E182" s="296"/>
      <c r="F182" s="297"/>
      <c r="G182" s="296"/>
      <c r="H182" s="296"/>
      <c r="I182" s="297"/>
      <c r="J182" s="296"/>
      <c r="K182" s="295"/>
      <c r="L182" s="298"/>
      <c r="M182" s="269"/>
      <c r="N182" s="269"/>
      <c r="O182" s="269"/>
      <c r="P182" s="269"/>
      <c r="Q182" s="269"/>
      <c r="R182" s="269"/>
      <c r="S182" s="269"/>
      <c r="T182" s="269"/>
      <c r="U182" s="269"/>
      <c r="V182" s="269"/>
      <c r="W182" s="269"/>
      <c r="X182" s="269"/>
      <c r="Y182" s="269"/>
      <c r="Z182" s="269"/>
    </row>
    <row r="183" spans="1:26" ht="12.75" customHeight="1" x14ac:dyDescent="0.2">
      <c r="A183" s="268"/>
      <c r="B183" s="268"/>
      <c r="C183" s="294"/>
      <c r="D183" s="295"/>
      <c r="E183" s="296"/>
      <c r="F183" s="297"/>
      <c r="G183" s="296"/>
      <c r="H183" s="296"/>
      <c r="I183" s="297"/>
      <c r="J183" s="296"/>
      <c r="K183" s="295"/>
      <c r="L183" s="298"/>
      <c r="M183" s="269"/>
      <c r="N183" s="269"/>
      <c r="O183" s="269"/>
      <c r="P183" s="269"/>
      <c r="Q183" s="269"/>
      <c r="R183" s="269"/>
      <c r="S183" s="269"/>
      <c r="T183" s="269"/>
      <c r="U183" s="269"/>
      <c r="V183" s="269"/>
      <c r="W183" s="269"/>
      <c r="X183" s="269"/>
      <c r="Y183" s="269"/>
      <c r="Z183" s="269"/>
    </row>
    <row r="184" spans="1:26" ht="12.75" customHeight="1" x14ac:dyDescent="0.2">
      <c r="A184" s="268"/>
      <c r="B184" s="268"/>
      <c r="C184" s="294"/>
      <c r="D184" s="295"/>
      <c r="E184" s="296"/>
      <c r="F184" s="297"/>
      <c r="G184" s="296"/>
      <c r="H184" s="296"/>
      <c r="I184" s="297"/>
      <c r="J184" s="296"/>
      <c r="K184" s="295"/>
      <c r="L184" s="298"/>
      <c r="M184" s="269"/>
      <c r="N184" s="269"/>
      <c r="O184" s="269"/>
      <c r="P184" s="269"/>
      <c r="Q184" s="269"/>
      <c r="R184" s="269"/>
      <c r="S184" s="269"/>
      <c r="T184" s="269"/>
      <c r="U184" s="269"/>
      <c r="V184" s="269"/>
      <c r="W184" s="269"/>
      <c r="X184" s="269"/>
      <c r="Y184" s="269"/>
      <c r="Z184" s="269"/>
    </row>
    <row r="185" spans="1:26" ht="12.75" customHeight="1" x14ac:dyDescent="0.2">
      <c r="A185" s="268"/>
      <c r="B185" s="268"/>
      <c r="C185" s="294"/>
      <c r="D185" s="295"/>
      <c r="E185" s="296"/>
      <c r="F185" s="297"/>
      <c r="G185" s="296"/>
      <c r="H185" s="296"/>
      <c r="I185" s="297"/>
      <c r="J185" s="296"/>
      <c r="K185" s="295"/>
      <c r="L185" s="298"/>
      <c r="M185" s="269"/>
      <c r="N185" s="269"/>
      <c r="O185" s="269"/>
      <c r="P185" s="269"/>
      <c r="Q185" s="269"/>
      <c r="R185" s="269"/>
      <c r="S185" s="269"/>
      <c r="T185" s="269"/>
      <c r="U185" s="269"/>
      <c r="V185" s="269"/>
      <c r="W185" s="269"/>
      <c r="X185" s="269"/>
      <c r="Y185" s="269"/>
      <c r="Z185" s="269"/>
    </row>
    <row r="186" spans="1:26" ht="12.75" customHeight="1" x14ac:dyDescent="0.2">
      <c r="A186" s="268"/>
      <c r="B186" s="268"/>
      <c r="C186" s="294"/>
      <c r="D186" s="295"/>
      <c r="E186" s="296"/>
      <c r="F186" s="297"/>
      <c r="G186" s="296"/>
      <c r="H186" s="296"/>
      <c r="I186" s="297"/>
      <c r="J186" s="296"/>
      <c r="K186" s="295"/>
      <c r="L186" s="298"/>
      <c r="M186" s="269"/>
      <c r="N186" s="269"/>
      <c r="O186" s="269"/>
      <c r="P186" s="269"/>
      <c r="Q186" s="269"/>
      <c r="R186" s="269"/>
      <c r="S186" s="269"/>
      <c r="T186" s="269"/>
      <c r="U186" s="269"/>
      <c r="V186" s="269"/>
      <c r="W186" s="269"/>
      <c r="X186" s="269"/>
      <c r="Y186" s="269"/>
      <c r="Z186" s="269"/>
    </row>
    <row r="187" spans="1:26" ht="12.75" customHeight="1" x14ac:dyDescent="0.2">
      <c r="A187" s="268"/>
      <c r="B187" s="268"/>
      <c r="C187" s="294"/>
      <c r="D187" s="295"/>
      <c r="E187" s="296"/>
      <c r="F187" s="297"/>
      <c r="G187" s="296"/>
      <c r="H187" s="296"/>
      <c r="I187" s="297"/>
      <c r="J187" s="296"/>
      <c r="K187" s="295"/>
      <c r="L187" s="298"/>
      <c r="M187" s="269"/>
      <c r="N187" s="269"/>
      <c r="O187" s="269"/>
      <c r="P187" s="269"/>
      <c r="Q187" s="269"/>
      <c r="R187" s="269"/>
      <c r="S187" s="269"/>
      <c r="T187" s="269"/>
      <c r="U187" s="269"/>
      <c r="V187" s="269"/>
      <c r="W187" s="269"/>
      <c r="X187" s="269"/>
      <c r="Y187" s="269"/>
      <c r="Z187" s="269"/>
    </row>
    <row r="188" spans="1:26" ht="12.75" customHeight="1" x14ac:dyDescent="0.2">
      <c r="A188" s="268"/>
      <c r="B188" s="268"/>
      <c r="C188" s="294"/>
      <c r="D188" s="295"/>
      <c r="E188" s="296"/>
      <c r="F188" s="297"/>
      <c r="G188" s="296"/>
      <c r="H188" s="296"/>
      <c r="I188" s="297"/>
      <c r="J188" s="296"/>
      <c r="K188" s="295"/>
      <c r="L188" s="298"/>
      <c r="M188" s="269"/>
      <c r="N188" s="269"/>
      <c r="O188" s="269"/>
      <c r="P188" s="269"/>
      <c r="Q188" s="269"/>
      <c r="R188" s="269"/>
      <c r="S188" s="269"/>
      <c r="T188" s="269"/>
      <c r="U188" s="269"/>
      <c r="V188" s="269"/>
      <c r="W188" s="269"/>
      <c r="X188" s="269"/>
      <c r="Y188" s="269"/>
      <c r="Z188" s="269"/>
    </row>
    <row r="189" spans="1:26" ht="12.75" customHeight="1" x14ac:dyDescent="0.2">
      <c r="A189" s="268"/>
      <c r="B189" s="268"/>
      <c r="C189" s="294"/>
      <c r="D189" s="295"/>
      <c r="E189" s="296"/>
      <c r="F189" s="297"/>
      <c r="G189" s="296"/>
      <c r="H189" s="296"/>
      <c r="I189" s="297"/>
      <c r="J189" s="296"/>
      <c r="K189" s="295"/>
      <c r="L189" s="298"/>
      <c r="M189" s="269"/>
      <c r="N189" s="269"/>
      <c r="O189" s="269"/>
      <c r="P189" s="269"/>
      <c r="Q189" s="269"/>
      <c r="R189" s="269"/>
      <c r="S189" s="269"/>
      <c r="T189" s="269"/>
      <c r="U189" s="269"/>
      <c r="V189" s="269"/>
      <c r="W189" s="269"/>
      <c r="X189" s="269"/>
      <c r="Y189" s="269"/>
      <c r="Z189" s="269"/>
    </row>
    <row r="190" spans="1:26" ht="12.75" customHeight="1" x14ac:dyDescent="0.2">
      <c r="A190" s="268"/>
      <c r="B190" s="268"/>
      <c r="C190" s="294"/>
      <c r="D190" s="295"/>
      <c r="E190" s="296"/>
      <c r="F190" s="297"/>
      <c r="G190" s="296"/>
      <c r="H190" s="296"/>
      <c r="I190" s="297"/>
      <c r="J190" s="296"/>
      <c r="K190" s="295"/>
      <c r="L190" s="298"/>
      <c r="M190" s="269"/>
      <c r="N190" s="269"/>
      <c r="O190" s="269"/>
      <c r="P190" s="269"/>
      <c r="Q190" s="269"/>
      <c r="R190" s="269"/>
      <c r="S190" s="269"/>
      <c r="T190" s="269"/>
      <c r="U190" s="269"/>
      <c r="V190" s="269"/>
      <c r="W190" s="269"/>
      <c r="X190" s="269"/>
      <c r="Y190" s="269"/>
      <c r="Z190" s="269"/>
    </row>
    <row r="191" spans="1:26" ht="12.75" customHeight="1" x14ac:dyDescent="0.2">
      <c r="A191" s="268"/>
      <c r="B191" s="268"/>
      <c r="C191" s="294"/>
      <c r="D191" s="295"/>
      <c r="E191" s="296"/>
      <c r="F191" s="297"/>
      <c r="G191" s="296"/>
      <c r="H191" s="296"/>
      <c r="I191" s="297"/>
      <c r="J191" s="296"/>
      <c r="K191" s="295"/>
      <c r="L191" s="298"/>
      <c r="M191" s="269"/>
      <c r="N191" s="269"/>
      <c r="O191" s="269"/>
      <c r="P191" s="269"/>
      <c r="Q191" s="269"/>
      <c r="R191" s="269"/>
      <c r="S191" s="269"/>
      <c r="T191" s="269"/>
      <c r="U191" s="269"/>
      <c r="V191" s="269"/>
      <c r="W191" s="269"/>
      <c r="X191" s="269"/>
      <c r="Y191" s="269"/>
      <c r="Z191" s="269"/>
    </row>
    <row r="192" spans="1:26" ht="12.75" customHeight="1" x14ac:dyDescent="0.2">
      <c r="A192" s="268"/>
      <c r="B192" s="268"/>
      <c r="C192" s="294"/>
      <c r="D192" s="295"/>
      <c r="E192" s="296"/>
      <c r="F192" s="297"/>
      <c r="G192" s="296"/>
      <c r="H192" s="296"/>
      <c r="I192" s="297"/>
      <c r="J192" s="296"/>
      <c r="K192" s="295"/>
      <c r="L192" s="298"/>
      <c r="M192" s="269"/>
      <c r="N192" s="269"/>
      <c r="O192" s="269"/>
      <c r="P192" s="269"/>
      <c r="Q192" s="269"/>
      <c r="R192" s="269"/>
      <c r="S192" s="269"/>
      <c r="T192" s="269"/>
      <c r="U192" s="269"/>
      <c r="V192" s="269"/>
      <c r="W192" s="269"/>
      <c r="X192" s="269"/>
      <c r="Y192" s="269"/>
      <c r="Z192" s="269"/>
    </row>
    <row r="193" spans="1:26" ht="12.75" customHeight="1" x14ac:dyDescent="0.2">
      <c r="A193" s="268"/>
      <c r="B193" s="268"/>
      <c r="C193" s="294"/>
      <c r="D193" s="295"/>
      <c r="E193" s="296"/>
      <c r="F193" s="297"/>
      <c r="G193" s="296"/>
      <c r="H193" s="296"/>
      <c r="I193" s="297"/>
      <c r="J193" s="296"/>
      <c r="K193" s="295"/>
      <c r="L193" s="298"/>
      <c r="M193" s="269"/>
      <c r="N193" s="269"/>
      <c r="O193" s="269"/>
      <c r="P193" s="269"/>
      <c r="Q193" s="269"/>
      <c r="R193" s="269"/>
      <c r="S193" s="269"/>
      <c r="T193" s="269"/>
      <c r="U193" s="269"/>
      <c r="V193" s="269"/>
      <c r="W193" s="269"/>
      <c r="X193" s="269"/>
      <c r="Y193" s="269"/>
      <c r="Z193" s="269"/>
    </row>
    <row r="194" spans="1:26" ht="12.75" customHeight="1" x14ac:dyDescent="0.2">
      <c r="A194" s="268"/>
      <c r="B194" s="268"/>
      <c r="C194" s="294"/>
      <c r="D194" s="295"/>
      <c r="E194" s="296"/>
      <c r="F194" s="297"/>
      <c r="G194" s="296"/>
      <c r="H194" s="296"/>
      <c r="I194" s="297"/>
      <c r="J194" s="296"/>
      <c r="K194" s="295"/>
      <c r="L194" s="298"/>
      <c r="M194" s="269"/>
      <c r="N194" s="269"/>
      <c r="O194" s="269"/>
      <c r="P194" s="269"/>
      <c r="Q194" s="269"/>
      <c r="R194" s="269"/>
      <c r="S194" s="269"/>
      <c r="T194" s="269"/>
      <c r="U194" s="269"/>
      <c r="V194" s="269"/>
      <c r="W194" s="269"/>
      <c r="X194" s="269"/>
      <c r="Y194" s="269"/>
      <c r="Z194" s="269"/>
    </row>
    <row r="195" spans="1:26" ht="12.75" customHeight="1" x14ac:dyDescent="0.2">
      <c r="A195" s="268"/>
      <c r="B195" s="268"/>
      <c r="C195" s="294"/>
      <c r="D195" s="295"/>
      <c r="E195" s="296"/>
      <c r="F195" s="297"/>
      <c r="G195" s="296"/>
      <c r="H195" s="296"/>
      <c r="I195" s="297"/>
      <c r="J195" s="296"/>
      <c r="K195" s="295"/>
      <c r="L195" s="298"/>
      <c r="M195" s="269"/>
      <c r="N195" s="269"/>
      <c r="O195" s="269"/>
      <c r="P195" s="269"/>
      <c r="Q195" s="269"/>
      <c r="R195" s="269"/>
      <c r="S195" s="269"/>
      <c r="T195" s="269"/>
      <c r="U195" s="269"/>
      <c r="V195" s="269"/>
      <c r="W195" s="269"/>
      <c r="X195" s="269"/>
      <c r="Y195" s="269"/>
      <c r="Z195" s="269"/>
    </row>
    <row r="196" spans="1:26" ht="12.75" customHeight="1" x14ac:dyDescent="0.2">
      <c r="A196" s="268"/>
      <c r="B196" s="268"/>
      <c r="C196" s="294"/>
      <c r="D196" s="295"/>
      <c r="E196" s="296"/>
      <c r="F196" s="297"/>
      <c r="G196" s="296"/>
      <c r="H196" s="296"/>
      <c r="I196" s="297"/>
      <c r="J196" s="296"/>
      <c r="K196" s="295"/>
      <c r="L196" s="298"/>
      <c r="M196" s="269"/>
      <c r="N196" s="269"/>
      <c r="O196" s="269"/>
      <c r="P196" s="269"/>
      <c r="Q196" s="269"/>
      <c r="R196" s="269"/>
      <c r="S196" s="269"/>
      <c r="T196" s="269"/>
      <c r="U196" s="269"/>
      <c r="V196" s="269"/>
      <c r="W196" s="269"/>
      <c r="X196" s="269"/>
      <c r="Y196" s="269"/>
      <c r="Z196" s="269"/>
    </row>
    <row r="197" spans="1:26" ht="12.75" customHeight="1" x14ac:dyDescent="0.2">
      <c r="A197" s="268"/>
      <c r="B197" s="268"/>
      <c r="C197" s="294"/>
      <c r="D197" s="295"/>
      <c r="E197" s="296"/>
      <c r="F197" s="297"/>
      <c r="G197" s="296"/>
      <c r="H197" s="296"/>
      <c r="I197" s="297"/>
      <c r="J197" s="296"/>
      <c r="K197" s="295"/>
      <c r="L197" s="298"/>
      <c r="M197" s="269"/>
      <c r="N197" s="269"/>
      <c r="O197" s="269"/>
      <c r="P197" s="269"/>
      <c r="Q197" s="269"/>
      <c r="R197" s="269"/>
      <c r="S197" s="269"/>
      <c r="T197" s="269"/>
      <c r="U197" s="269"/>
      <c r="V197" s="269"/>
      <c r="W197" s="269"/>
      <c r="X197" s="269"/>
      <c r="Y197" s="269"/>
      <c r="Z197" s="269"/>
    </row>
    <row r="198" spans="1:26" ht="12.75" customHeight="1" x14ac:dyDescent="0.2">
      <c r="A198" s="268"/>
      <c r="B198" s="268"/>
      <c r="C198" s="294"/>
      <c r="D198" s="295"/>
      <c r="E198" s="296"/>
      <c r="F198" s="297"/>
      <c r="G198" s="296"/>
      <c r="H198" s="296"/>
      <c r="I198" s="297"/>
      <c r="J198" s="296"/>
      <c r="K198" s="295"/>
      <c r="L198" s="298"/>
      <c r="M198" s="269"/>
      <c r="N198" s="269"/>
      <c r="O198" s="269"/>
      <c r="P198" s="269"/>
      <c r="Q198" s="269"/>
      <c r="R198" s="269"/>
      <c r="S198" s="269"/>
      <c r="T198" s="269"/>
      <c r="U198" s="269"/>
      <c r="V198" s="269"/>
      <c r="W198" s="269"/>
      <c r="X198" s="269"/>
      <c r="Y198" s="269"/>
      <c r="Z198" s="269"/>
    </row>
    <row r="199" spans="1:26" ht="12.75" customHeight="1" x14ac:dyDescent="0.2">
      <c r="A199" s="268"/>
      <c r="B199" s="268"/>
      <c r="C199" s="294"/>
      <c r="D199" s="295"/>
      <c r="E199" s="296"/>
      <c r="F199" s="297"/>
      <c r="G199" s="296"/>
      <c r="H199" s="296"/>
      <c r="I199" s="297"/>
      <c r="J199" s="296"/>
      <c r="K199" s="295"/>
      <c r="L199" s="298"/>
      <c r="M199" s="269"/>
      <c r="N199" s="269"/>
      <c r="O199" s="269"/>
      <c r="P199" s="269"/>
      <c r="Q199" s="269"/>
      <c r="R199" s="269"/>
      <c r="S199" s="269"/>
      <c r="T199" s="269"/>
      <c r="U199" s="269"/>
      <c r="V199" s="269"/>
      <c r="W199" s="269"/>
      <c r="X199" s="269"/>
      <c r="Y199" s="269"/>
      <c r="Z199" s="269"/>
    </row>
    <row r="200" spans="1:26" ht="12.75" customHeight="1" x14ac:dyDescent="0.2">
      <c r="A200" s="268"/>
      <c r="B200" s="268"/>
      <c r="C200" s="294"/>
      <c r="D200" s="295"/>
      <c r="E200" s="296"/>
      <c r="F200" s="297"/>
      <c r="G200" s="296"/>
      <c r="H200" s="296"/>
      <c r="I200" s="297"/>
      <c r="J200" s="296"/>
      <c r="K200" s="295"/>
      <c r="L200" s="298"/>
      <c r="M200" s="269"/>
      <c r="N200" s="269"/>
      <c r="O200" s="269"/>
      <c r="P200" s="269"/>
      <c r="Q200" s="269"/>
      <c r="R200" s="269"/>
      <c r="S200" s="269"/>
      <c r="T200" s="269"/>
      <c r="U200" s="269"/>
      <c r="V200" s="269"/>
      <c r="W200" s="269"/>
      <c r="X200" s="269"/>
      <c r="Y200" s="269"/>
      <c r="Z200" s="269"/>
    </row>
    <row r="201" spans="1:26" ht="12.75" customHeight="1" x14ac:dyDescent="0.2">
      <c r="A201" s="268"/>
      <c r="B201" s="268"/>
      <c r="C201" s="294"/>
      <c r="D201" s="295"/>
      <c r="E201" s="296"/>
      <c r="F201" s="297"/>
      <c r="G201" s="296"/>
      <c r="H201" s="296"/>
      <c r="I201" s="297"/>
      <c r="J201" s="296"/>
      <c r="K201" s="295"/>
      <c r="L201" s="298"/>
      <c r="M201" s="269"/>
      <c r="N201" s="269"/>
      <c r="O201" s="269"/>
      <c r="P201" s="269"/>
      <c r="Q201" s="269"/>
      <c r="R201" s="269"/>
      <c r="S201" s="269"/>
      <c r="T201" s="269"/>
      <c r="U201" s="269"/>
      <c r="V201" s="269"/>
      <c r="W201" s="269"/>
      <c r="X201" s="269"/>
      <c r="Y201" s="269"/>
      <c r="Z201" s="269"/>
    </row>
    <row r="202" spans="1:26" ht="12.75" customHeight="1" x14ac:dyDescent="0.2">
      <c r="A202" s="268"/>
      <c r="B202" s="268"/>
      <c r="C202" s="294"/>
      <c r="D202" s="295"/>
      <c r="E202" s="296"/>
      <c r="F202" s="297"/>
      <c r="G202" s="296"/>
      <c r="H202" s="296"/>
      <c r="I202" s="297"/>
      <c r="J202" s="296"/>
      <c r="K202" s="295"/>
      <c r="L202" s="298"/>
      <c r="M202" s="269"/>
      <c r="N202" s="269"/>
      <c r="O202" s="269"/>
      <c r="P202" s="269"/>
      <c r="Q202" s="269"/>
      <c r="R202" s="269"/>
      <c r="S202" s="269"/>
      <c r="T202" s="269"/>
      <c r="U202" s="269"/>
      <c r="V202" s="269"/>
      <c r="W202" s="269"/>
      <c r="X202" s="269"/>
      <c r="Y202" s="269"/>
      <c r="Z202" s="269"/>
    </row>
    <row r="203" spans="1:26" ht="12.75" customHeight="1" x14ac:dyDescent="0.2">
      <c r="A203" s="268"/>
      <c r="B203" s="268"/>
      <c r="C203" s="294"/>
      <c r="D203" s="295"/>
      <c r="E203" s="296"/>
      <c r="F203" s="297"/>
      <c r="G203" s="296"/>
      <c r="H203" s="296"/>
      <c r="I203" s="297"/>
      <c r="J203" s="296"/>
      <c r="K203" s="295"/>
      <c r="L203" s="298"/>
      <c r="M203" s="269"/>
      <c r="N203" s="269"/>
      <c r="O203" s="269"/>
      <c r="P203" s="269"/>
      <c r="Q203" s="269"/>
      <c r="R203" s="269"/>
      <c r="S203" s="269"/>
      <c r="T203" s="269"/>
      <c r="U203" s="269"/>
      <c r="V203" s="269"/>
      <c r="W203" s="269"/>
      <c r="X203" s="269"/>
      <c r="Y203" s="269"/>
      <c r="Z203" s="269"/>
    </row>
    <row r="204" spans="1:26" ht="12.75" customHeight="1" x14ac:dyDescent="0.2">
      <c r="A204" s="268"/>
      <c r="B204" s="268"/>
      <c r="C204" s="294"/>
      <c r="D204" s="295"/>
      <c r="E204" s="296"/>
      <c r="F204" s="297"/>
      <c r="G204" s="296"/>
      <c r="H204" s="296"/>
      <c r="I204" s="297"/>
      <c r="J204" s="296"/>
      <c r="K204" s="295"/>
      <c r="L204" s="298"/>
      <c r="M204" s="269"/>
      <c r="N204" s="269"/>
      <c r="O204" s="269"/>
      <c r="P204" s="269"/>
      <c r="Q204" s="269"/>
      <c r="R204" s="269"/>
      <c r="S204" s="269"/>
      <c r="T204" s="269"/>
      <c r="U204" s="269"/>
      <c r="V204" s="269"/>
      <c r="W204" s="269"/>
      <c r="X204" s="269"/>
      <c r="Y204" s="269"/>
      <c r="Z204" s="269"/>
    </row>
    <row r="205" spans="1:26" ht="12.75" customHeight="1" x14ac:dyDescent="0.2">
      <c r="A205" s="268"/>
      <c r="B205" s="268"/>
      <c r="C205" s="294"/>
      <c r="D205" s="295"/>
      <c r="E205" s="296"/>
      <c r="F205" s="297"/>
      <c r="G205" s="296"/>
      <c r="H205" s="296"/>
      <c r="I205" s="297"/>
      <c r="J205" s="296"/>
      <c r="K205" s="295"/>
      <c r="L205" s="298"/>
      <c r="M205" s="269"/>
      <c r="N205" s="269"/>
      <c r="O205" s="269"/>
      <c r="P205" s="269"/>
      <c r="Q205" s="269"/>
      <c r="R205" s="269"/>
      <c r="S205" s="269"/>
      <c r="T205" s="269"/>
      <c r="U205" s="269"/>
      <c r="V205" s="269"/>
      <c r="W205" s="269"/>
      <c r="X205" s="269"/>
      <c r="Y205" s="269"/>
      <c r="Z205" s="269"/>
    </row>
    <row r="206" spans="1:26" ht="12.75" customHeight="1" x14ac:dyDescent="0.2">
      <c r="A206" s="268"/>
      <c r="B206" s="268"/>
      <c r="C206" s="294"/>
      <c r="D206" s="295"/>
      <c r="E206" s="296"/>
      <c r="F206" s="297"/>
      <c r="G206" s="296"/>
      <c r="H206" s="296"/>
      <c r="I206" s="297"/>
      <c r="J206" s="296"/>
      <c r="K206" s="295"/>
      <c r="L206" s="298"/>
      <c r="M206" s="269"/>
      <c r="N206" s="269"/>
      <c r="O206" s="269"/>
      <c r="P206" s="269"/>
      <c r="Q206" s="269"/>
      <c r="R206" s="269"/>
      <c r="S206" s="269"/>
      <c r="T206" s="269"/>
      <c r="U206" s="269"/>
      <c r="V206" s="269"/>
      <c r="W206" s="269"/>
      <c r="X206" s="269"/>
      <c r="Y206" s="269"/>
      <c r="Z206" s="269"/>
    </row>
    <row r="207" spans="1:26" ht="12.75" customHeight="1" x14ac:dyDescent="0.2">
      <c r="A207" s="268"/>
      <c r="B207" s="268"/>
      <c r="C207" s="294"/>
      <c r="D207" s="295"/>
      <c r="E207" s="296"/>
      <c r="F207" s="297"/>
      <c r="G207" s="296"/>
      <c r="H207" s="296"/>
      <c r="I207" s="297"/>
      <c r="J207" s="296"/>
      <c r="K207" s="295"/>
      <c r="L207" s="298"/>
      <c r="M207" s="269"/>
      <c r="N207" s="269"/>
      <c r="O207" s="269"/>
      <c r="P207" s="269"/>
      <c r="Q207" s="269"/>
      <c r="R207" s="269"/>
      <c r="S207" s="269"/>
      <c r="T207" s="269"/>
      <c r="U207" s="269"/>
      <c r="V207" s="269"/>
      <c r="W207" s="269"/>
      <c r="X207" s="269"/>
      <c r="Y207" s="269"/>
      <c r="Z207" s="269"/>
    </row>
    <row r="208" spans="1:26" ht="12.75" customHeight="1" x14ac:dyDescent="0.2">
      <c r="A208" s="268"/>
      <c r="B208" s="268"/>
      <c r="C208" s="294"/>
      <c r="D208" s="295"/>
      <c r="E208" s="296"/>
      <c r="F208" s="297"/>
      <c r="G208" s="296"/>
      <c r="H208" s="296"/>
      <c r="I208" s="297"/>
      <c r="J208" s="296"/>
      <c r="K208" s="295"/>
      <c r="L208" s="298"/>
      <c r="M208" s="269"/>
      <c r="N208" s="269"/>
      <c r="O208" s="269"/>
      <c r="P208" s="269"/>
      <c r="Q208" s="269"/>
      <c r="R208" s="269"/>
      <c r="S208" s="269"/>
      <c r="T208" s="269"/>
      <c r="U208" s="269"/>
      <c r="V208" s="269"/>
      <c r="W208" s="269"/>
      <c r="X208" s="269"/>
      <c r="Y208" s="269"/>
      <c r="Z208" s="269"/>
    </row>
    <row r="209" spans="1:26" ht="12.75" customHeight="1" x14ac:dyDescent="0.2">
      <c r="A209" s="268"/>
      <c r="B209" s="268"/>
      <c r="C209" s="294"/>
      <c r="D209" s="295"/>
      <c r="E209" s="296"/>
      <c r="F209" s="297"/>
      <c r="G209" s="296"/>
      <c r="H209" s="296"/>
      <c r="I209" s="297"/>
      <c r="J209" s="296"/>
      <c r="K209" s="295"/>
      <c r="L209" s="298"/>
      <c r="M209" s="269"/>
      <c r="N209" s="269"/>
      <c r="O209" s="269"/>
      <c r="P209" s="269"/>
      <c r="Q209" s="269"/>
      <c r="R209" s="269"/>
      <c r="S209" s="269"/>
      <c r="T209" s="269"/>
      <c r="U209" s="269"/>
      <c r="V209" s="269"/>
      <c r="W209" s="269"/>
      <c r="X209" s="269"/>
      <c r="Y209" s="269"/>
      <c r="Z209" s="269"/>
    </row>
    <row r="210" spans="1:26" ht="12.75" customHeight="1" x14ac:dyDescent="0.2">
      <c r="A210" s="268"/>
      <c r="B210" s="268"/>
      <c r="C210" s="294"/>
      <c r="D210" s="295"/>
      <c r="E210" s="296"/>
      <c r="F210" s="297"/>
      <c r="G210" s="296"/>
      <c r="H210" s="296"/>
      <c r="I210" s="297"/>
      <c r="J210" s="296"/>
      <c r="K210" s="295"/>
      <c r="L210" s="298"/>
      <c r="M210" s="269"/>
      <c r="N210" s="269"/>
      <c r="O210" s="269"/>
      <c r="P210" s="269"/>
      <c r="Q210" s="269"/>
      <c r="R210" s="269"/>
      <c r="S210" s="269"/>
      <c r="T210" s="269"/>
      <c r="U210" s="269"/>
      <c r="V210" s="269"/>
      <c r="W210" s="269"/>
      <c r="X210" s="269"/>
      <c r="Y210" s="269"/>
      <c r="Z210" s="269"/>
    </row>
    <row r="211" spans="1:26" ht="12.75" customHeight="1" x14ac:dyDescent="0.2">
      <c r="A211" s="268"/>
      <c r="B211" s="268"/>
      <c r="C211" s="294"/>
      <c r="D211" s="295"/>
      <c r="E211" s="296"/>
      <c r="F211" s="297"/>
      <c r="G211" s="296"/>
      <c r="H211" s="296"/>
      <c r="I211" s="297"/>
      <c r="J211" s="296"/>
      <c r="K211" s="295"/>
      <c r="L211" s="298"/>
      <c r="M211" s="269"/>
      <c r="N211" s="269"/>
      <c r="O211" s="269"/>
      <c r="P211" s="269"/>
      <c r="Q211" s="269"/>
      <c r="R211" s="269"/>
      <c r="S211" s="269"/>
      <c r="T211" s="269"/>
      <c r="U211" s="269"/>
      <c r="V211" s="269"/>
      <c r="W211" s="269"/>
      <c r="X211" s="269"/>
      <c r="Y211" s="269"/>
      <c r="Z211" s="269"/>
    </row>
    <row r="212" spans="1:26" ht="12.75" customHeight="1" x14ac:dyDescent="0.2">
      <c r="A212" s="268"/>
      <c r="B212" s="268"/>
      <c r="C212" s="294"/>
      <c r="D212" s="295"/>
      <c r="E212" s="296"/>
      <c r="F212" s="297"/>
      <c r="G212" s="296"/>
      <c r="H212" s="296"/>
      <c r="I212" s="297"/>
      <c r="J212" s="296"/>
      <c r="K212" s="295"/>
      <c r="L212" s="298"/>
      <c r="M212" s="269"/>
      <c r="N212" s="269"/>
      <c r="O212" s="269"/>
      <c r="P212" s="269"/>
      <c r="Q212" s="269"/>
      <c r="R212" s="269"/>
      <c r="S212" s="269"/>
      <c r="T212" s="269"/>
      <c r="U212" s="269"/>
      <c r="V212" s="269"/>
      <c r="W212" s="269"/>
      <c r="X212" s="269"/>
      <c r="Y212" s="269"/>
      <c r="Z212" s="269"/>
    </row>
    <row r="213" spans="1:26" ht="12.75" customHeight="1" x14ac:dyDescent="0.2">
      <c r="A213" s="268"/>
      <c r="B213" s="268"/>
      <c r="C213" s="294"/>
      <c r="D213" s="295"/>
      <c r="E213" s="296"/>
      <c r="F213" s="297"/>
      <c r="G213" s="296"/>
      <c r="H213" s="296"/>
      <c r="I213" s="297"/>
      <c r="J213" s="296"/>
      <c r="K213" s="295"/>
      <c r="L213" s="298"/>
      <c r="M213" s="269"/>
      <c r="N213" s="269"/>
      <c r="O213" s="269"/>
      <c r="P213" s="269"/>
      <c r="Q213" s="269"/>
      <c r="R213" s="269"/>
      <c r="S213" s="269"/>
      <c r="T213" s="269"/>
      <c r="U213" s="269"/>
      <c r="V213" s="269"/>
      <c r="W213" s="269"/>
      <c r="X213" s="269"/>
      <c r="Y213" s="269"/>
      <c r="Z213" s="269"/>
    </row>
    <row r="214" spans="1:26" ht="12.75" customHeight="1" x14ac:dyDescent="0.2">
      <c r="A214" s="268"/>
      <c r="B214" s="268"/>
      <c r="C214" s="294"/>
      <c r="D214" s="295"/>
      <c r="E214" s="296"/>
      <c r="F214" s="297"/>
      <c r="G214" s="296"/>
      <c r="H214" s="296"/>
      <c r="I214" s="297"/>
      <c r="J214" s="296"/>
      <c r="K214" s="295"/>
      <c r="L214" s="298"/>
      <c r="M214" s="269"/>
      <c r="N214" s="269"/>
      <c r="O214" s="269"/>
      <c r="P214" s="269"/>
      <c r="Q214" s="269"/>
      <c r="R214" s="269"/>
      <c r="S214" s="269"/>
      <c r="T214" s="269"/>
      <c r="U214" s="269"/>
      <c r="V214" s="269"/>
      <c r="W214" s="269"/>
      <c r="X214" s="269"/>
      <c r="Y214" s="269"/>
      <c r="Z214" s="269"/>
    </row>
    <row r="215" spans="1:26" ht="12.75" customHeight="1" x14ac:dyDescent="0.2">
      <c r="A215" s="268"/>
      <c r="B215" s="268"/>
      <c r="C215" s="294"/>
      <c r="D215" s="295"/>
      <c r="E215" s="296"/>
      <c r="F215" s="297"/>
      <c r="G215" s="296"/>
      <c r="H215" s="296"/>
      <c r="I215" s="297"/>
      <c r="J215" s="296"/>
      <c r="K215" s="295"/>
      <c r="L215" s="298"/>
      <c r="M215" s="269"/>
      <c r="N215" s="269"/>
      <c r="O215" s="269"/>
      <c r="P215" s="269"/>
      <c r="Q215" s="269"/>
      <c r="R215" s="269"/>
      <c r="S215" s="269"/>
      <c r="T215" s="269"/>
      <c r="U215" s="269"/>
      <c r="V215" s="269"/>
      <c r="W215" s="269"/>
      <c r="X215" s="269"/>
      <c r="Y215" s="269"/>
      <c r="Z215" s="269"/>
    </row>
    <row r="216" spans="1:26" ht="12.75" customHeight="1" x14ac:dyDescent="0.2">
      <c r="A216" s="268"/>
      <c r="B216" s="268"/>
      <c r="C216" s="294"/>
      <c r="D216" s="295"/>
      <c r="E216" s="296"/>
      <c r="F216" s="297"/>
      <c r="G216" s="296"/>
      <c r="H216" s="296"/>
      <c r="I216" s="297"/>
      <c r="J216" s="296"/>
      <c r="K216" s="295"/>
      <c r="L216" s="298"/>
      <c r="M216" s="269"/>
      <c r="N216" s="269"/>
      <c r="O216" s="269"/>
      <c r="P216" s="269"/>
      <c r="Q216" s="269"/>
      <c r="R216" s="269"/>
      <c r="S216" s="269"/>
      <c r="T216" s="269"/>
      <c r="U216" s="269"/>
      <c r="V216" s="269"/>
      <c r="W216" s="269"/>
      <c r="X216" s="269"/>
      <c r="Y216" s="269"/>
      <c r="Z216" s="269"/>
    </row>
    <row r="217" spans="1:26" ht="12.75" customHeight="1" x14ac:dyDescent="0.2">
      <c r="A217" s="268"/>
      <c r="B217" s="268"/>
      <c r="C217" s="294"/>
      <c r="D217" s="295"/>
      <c r="E217" s="296"/>
      <c r="F217" s="297"/>
      <c r="G217" s="296"/>
      <c r="H217" s="296"/>
      <c r="I217" s="297"/>
      <c r="J217" s="296"/>
      <c r="K217" s="295"/>
      <c r="L217" s="298"/>
      <c r="M217" s="269"/>
      <c r="N217" s="269"/>
      <c r="O217" s="269"/>
      <c r="P217" s="269"/>
      <c r="Q217" s="269"/>
      <c r="R217" s="269"/>
      <c r="S217" s="269"/>
      <c r="T217" s="269"/>
      <c r="U217" s="269"/>
      <c r="V217" s="269"/>
      <c r="W217" s="269"/>
      <c r="X217" s="269"/>
      <c r="Y217" s="269"/>
      <c r="Z217" s="269"/>
    </row>
    <row r="218" spans="1:26" ht="12.75" customHeight="1" x14ac:dyDescent="0.2">
      <c r="A218" s="268"/>
      <c r="B218" s="268"/>
      <c r="C218" s="294"/>
      <c r="D218" s="295"/>
      <c r="E218" s="296"/>
      <c r="F218" s="297"/>
      <c r="G218" s="296"/>
      <c r="H218" s="296"/>
      <c r="I218" s="297"/>
      <c r="J218" s="296"/>
      <c r="K218" s="295"/>
      <c r="L218" s="298"/>
      <c r="M218" s="269"/>
      <c r="N218" s="269"/>
      <c r="O218" s="269"/>
      <c r="P218" s="269"/>
      <c r="Q218" s="269"/>
      <c r="R218" s="269"/>
      <c r="S218" s="269"/>
      <c r="T218" s="269"/>
      <c r="U218" s="269"/>
      <c r="V218" s="269"/>
      <c r="W218" s="269"/>
      <c r="X218" s="269"/>
      <c r="Y218" s="269"/>
      <c r="Z218" s="269"/>
    </row>
    <row r="219" spans="1:26" ht="12.75" customHeight="1" x14ac:dyDescent="0.2">
      <c r="A219" s="268"/>
      <c r="B219" s="268"/>
      <c r="C219" s="294"/>
      <c r="D219" s="295"/>
      <c r="E219" s="296"/>
      <c r="F219" s="297"/>
      <c r="G219" s="296"/>
      <c r="H219" s="296"/>
      <c r="I219" s="297"/>
      <c r="J219" s="296"/>
      <c r="K219" s="295"/>
      <c r="L219" s="298"/>
      <c r="M219" s="269"/>
      <c r="N219" s="269"/>
      <c r="O219" s="269"/>
      <c r="P219" s="269"/>
      <c r="Q219" s="269"/>
      <c r="R219" s="269"/>
      <c r="S219" s="269"/>
      <c r="T219" s="269"/>
      <c r="U219" s="269"/>
      <c r="V219" s="269"/>
      <c r="W219" s="269"/>
      <c r="X219" s="269"/>
      <c r="Y219" s="269"/>
      <c r="Z219" s="269"/>
    </row>
    <row r="220" spans="1:26" ht="12.75" customHeight="1" x14ac:dyDescent="0.2">
      <c r="A220" s="268"/>
      <c r="B220" s="268"/>
      <c r="C220" s="294"/>
      <c r="D220" s="295"/>
      <c r="E220" s="296"/>
      <c r="F220" s="297"/>
      <c r="G220" s="296"/>
      <c r="H220" s="296"/>
      <c r="I220" s="297"/>
      <c r="J220" s="296"/>
      <c r="K220" s="295"/>
      <c r="L220" s="298"/>
      <c r="M220" s="269"/>
      <c r="N220" s="269"/>
      <c r="O220" s="269"/>
      <c r="P220" s="269"/>
      <c r="Q220" s="269"/>
      <c r="R220" s="269"/>
      <c r="S220" s="269"/>
      <c r="T220" s="269"/>
      <c r="U220" s="269"/>
      <c r="V220" s="269"/>
      <c r="W220" s="269"/>
      <c r="X220" s="269"/>
      <c r="Y220" s="269"/>
      <c r="Z220" s="269"/>
    </row>
    <row r="221" spans="1:26" ht="12.75" customHeight="1" x14ac:dyDescent="0.2">
      <c r="A221" s="268"/>
      <c r="B221" s="268"/>
      <c r="C221" s="294"/>
      <c r="D221" s="295"/>
      <c r="E221" s="296"/>
      <c r="F221" s="297"/>
      <c r="G221" s="296"/>
      <c r="H221" s="296"/>
      <c r="I221" s="297"/>
      <c r="J221" s="296"/>
      <c r="K221" s="295"/>
      <c r="L221" s="298"/>
      <c r="M221" s="269"/>
      <c r="N221" s="269"/>
      <c r="O221" s="269"/>
      <c r="P221" s="269"/>
      <c r="Q221" s="269"/>
      <c r="R221" s="269"/>
      <c r="S221" s="269"/>
      <c r="T221" s="269"/>
      <c r="U221" s="269"/>
      <c r="V221" s="269"/>
      <c r="W221" s="269"/>
      <c r="X221" s="269"/>
      <c r="Y221" s="269"/>
      <c r="Z221" s="269"/>
    </row>
    <row r="222" spans="1:26" ht="12.75" customHeight="1" x14ac:dyDescent="0.2">
      <c r="A222" s="268"/>
      <c r="B222" s="268"/>
      <c r="C222" s="294"/>
      <c r="D222" s="295"/>
      <c r="E222" s="296"/>
      <c r="F222" s="297"/>
      <c r="G222" s="296"/>
      <c r="H222" s="296"/>
      <c r="I222" s="297"/>
      <c r="J222" s="296"/>
      <c r="K222" s="295"/>
      <c r="L222" s="298"/>
      <c r="M222" s="269"/>
      <c r="N222" s="269"/>
      <c r="O222" s="269"/>
      <c r="P222" s="269"/>
      <c r="Q222" s="269"/>
      <c r="R222" s="269"/>
      <c r="S222" s="269"/>
      <c r="T222" s="269"/>
      <c r="U222" s="269"/>
      <c r="V222" s="269"/>
      <c r="W222" s="269"/>
      <c r="X222" s="269"/>
      <c r="Y222" s="269"/>
      <c r="Z222" s="269"/>
    </row>
    <row r="223" spans="1:26" ht="12.75" customHeight="1" x14ac:dyDescent="0.2">
      <c r="A223" s="268"/>
      <c r="B223" s="268"/>
      <c r="C223" s="294"/>
      <c r="D223" s="295"/>
      <c r="E223" s="296"/>
      <c r="F223" s="297"/>
      <c r="G223" s="296"/>
      <c r="H223" s="296"/>
      <c r="I223" s="297"/>
      <c r="J223" s="296"/>
      <c r="K223" s="295"/>
      <c r="L223" s="298"/>
      <c r="M223" s="269"/>
      <c r="N223" s="269"/>
      <c r="O223" s="269"/>
      <c r="P223" s="269"/>
      <c r="Q223" s="269"/>
      <c r="R223" s="269"/>
      <c r="S223" s="269"/>
      <c r="T223" s="269"/>
      <c r="U223" s="269"/>
      <c r="V223" s="269"/>
      <c r="W223" s="269"/>
      <c r="X223" s="269"/>
      <c r="Y223" s="269"/>
      <c r="Z223" s="269"/>
    </row>
    <row r="224" spans="1:26" ht="12.75" customHeight="1" x14ac:dyDescent="0.2">
      <c r="A224" s="268"/>
      <c r="B224" s="268"/>
      <c r="C224" s="294"/>
      <c r="D224" s="295"/>
      <c r="E224" s="296"/>
      <c r="F224" s="297"/>
      <c r="G224" s="296"/>
      <c r="H224" s="296"/>
      <c r="I224" s="297"/>
      <c r="J224" s="296"/>
      <c r="K224" s="295"/>
      <c r="L224" s="298"/>
      <c r="M224" s="269"/>
      <c r="N224" s="269"/>
      <c r="O224" s="269"/>
      <c r="P224" s="269"/>
      <c r="Q224" s="269"/>
      <c r="R224" s="269"/>
      <c r="S224" s="269"/>
      <c r="T224" s="269"/>
      <c r="U224" s="269"/>
      <c r="V224" s="269"/>
      <c r="W224" s="269"/>
      <c r="X224" s="269"/>
      <c r="Y224" s="269"/>
      <c r="Z224" s="269"/>
    </row>
    <row r="225" spans="1:26" ht="12.75" customHeight="1" x14ac:dyDescent="0.2">
      <c r="A225" s="268"/>
      <c r="B225" s="268"/>
      <c r="C225" s="294"/>
      <c r="D225" s="295"/>
      <c r="E225" s="296"/>
      <c r="F225" s="297"/>
      <c r="G225" s="296"/>
      <c r="H225" s="296"/>
      <c r="I225" s="297"/>
      <c r="J225" s="296"/>
      <c r="K225" s="295"/>
      <c r="L225" s="298"/>
      <c r="M225" s="269"/>
      <c r="N225" s="269"/>
      <c r="O225" s="269"/>
      <c r="P225" s="269"/>
      <c r="Q225" s="269"/>
      <c r="R225" s="269"/>
      <c r="S225" s="269"/>
      <c r="T225" s="269"/>
      <c r="U225" s="269"/>
      <c r="V225" s="269"/>
      <c r="W225" s="269"/>
      <c r="X225" s="269"/>
      <c r="Y225" s="269"/>
      <c r="Z225" s="269"/>
    </row>
    <row r="226" spans="1:26" ht="12.75" customHeight="1" x14ac:dyDescent="0.2">
      <c r="A226" s="268"/>
      <c r="B226" s="268"/>
      <c r="C226" s="294"/>
      <c r="D226" s="295"/>
      <c r="E226" s="296"/>
      <c r="F226" s="297"/>
      <c r="G226" s="296"/>
      <c r="H226" s="296"/>
      <c r="I226" s="297"/>
      <c r="J226" s="296"/>
      <c r="K226" s="295"/>
      <c r="L226" s="298"/>
      <c r="M226" s="269"/>
      <c r="N226" s="269"/>
      <c r="O226" s="269"/>
      <c r="P226" s="269"/>
      <c r="Q226" s="269"/>
      <c r="R226" s="269"/>
      <c r="S226" s="269"/>
      <c r="T226" s="269"/>
      <c r="U226" s="269"/>
      <c r="V226" s="269"/>
      <c r="W226" s="269"/>
      <c r="X226" s="269"/>
      <c r="Y226" s="269"/>
      <c r="Z226" s="269"/>
    </row>
    <row r="227" spans="1:26" ht="12.75" customHeight="1" x14ac:dyDescent="0.2">
      <c r="A227" s="268"/>
      <c r="B227" s="268"/>
      <c r="C227" s="294"/>
      <c r="D227" s="295"/>
      <c r="E227" s="296"/>
      <c r="F227" s="297"/>
      <c r="G227" s="296"/>
      <c r="H227" s="296"/>
      <c r="I227" s="297"/>
      <c r="J227" s="296"/>
      <c r="K227" s="295"/>
      <c r="L227" s="298"/>
      <c r="M227" s="269"/>
      <c r="N227" s="269"/>
      <c r="O227" s="269"/>
      <c r="P227" s="269"/>
      <c r="Q227" s="269"/>
      <c r="R227" s="269"/>
      <c r="S227" s="269"/>
      <c r="T227" s="269"/>
      <c r="U227" s="269"/>
      <c r="V227" s="269"/>
      <c r="W227" s="269"/>
      <c r="X227" s="269"/>
      <c r="Y227" s="269"/>
      <c r="Z227" s="269"/>
    </row>
    <row r="228" spans="1:26" ht="12.75" customHeight="1" x14ac:dyDescent="0.2">
      <c r="A228" s="268"/>
      <c r="B228" s="268"/>
      <c r="C228" s="294"/>
      <c r="D228" s="295"/>
      <c r="E228" s="296"/>
      <c r="F228" s="297"/>
      <c r="G228" s="296"/>
      <c r="H228" s="296"/>
      <c r="I228" s="297"/>
      <c r="J228" s="296"/>
      <c r="K228" s="295"/>
      <c r="L228" s="298"/>
      <c r="M228" s="269"/>
      <c r="N228" s="269"/>
      <c r="O228" s="269"/>
      <c r="P228" s="269"/>
      <c r="Q228" s="269"/>
      <c r="R228" s="269"/>
      <c r="S228" s="269"/>
      <c r="T228" s="269"/>
      <c r="U228" s="269"/>
      <c r="V228" s="269"/>
      <c r="W228" s="269"/>
      <c r="X228" s="269"/>
      <c r="Y228" s="269"/>
      <c r="Z228" s="269"/>
    </row>
    <row r="229" spans="1:26" ht="12.75" customHeight="1" x14ac:dyDescent="0.2">
      <c r="A229" s="268"/>
      <c r="B229" s="268"/>
      <c r="C229" s="294"/>
      <c r="D229" s="295"/>
      <c r="E229" s="296"/>
      <c r="F229" s="297"/>
      <c r="G229" s="296"/>
      <c r="H229" s="296"/>
      <c r="I229" s="297"/>
      <c r="J229" s="296"/>
      <c r="K229" s="295"/>
      <c r="L229" s="298"/>
      <c r="M229" s="269"/>
      <c r="N229" s="269"/>
      <c r="O229" s="269"/>
      <c r="P229" s="269"/>
      <c r="Q229" s="269"/>
      <c r="R229" s="269"/>
      <c r="S229" s="269"/>
      <c r="T229" s="269"/>
      <c r="U229" s="269"/>
      <c r="V229" s="269"/>
      <c r="W229" s="269"/>
      <c r="X229" s="269"/>
      <c r="Y229" s="269"/>
      <c r="Z229" s="269"/>
    </row>
    <row r="230" spans="1:26" ht="12.75" customHeight="1" x14ac:dyDescent="0.2">
      <c r="A230" s="268"/>
      <c r="B230" s="268"/>
      <c r="C230" s="294"/>
      <c r="D230" s="295"/>
      <c r="E230" s="296"/>
      <c r="F230" s="297"/>
      <c r="G230" s="296"/>
      <c r="H230" s="296"/>
      <c r="I230" s="297"/>
      <c r="J230" s="296"/>
      <c r="K230" s="295"/>
      <c r="L230" s="298"/>
      <c r="M230" s="269"/>
      <c r="N230" s="269"/>
      <c r="O230" s="269"/>
      <c r="P230" s="269"/>
      <c r="Q230" s="269"/>
      <c r="R230" s="269"/>
      <c r="S230" s="269"/>
      <c r="T230" s="269"/>
      <c r="U230" s="269"/>
      <c r="V230" s="269"/>
      <c r="W230" s="269"/>
      <c r="X230" s="269"/>
      <c r="Y230" s="269"/>
      <c r="Z230" s="269"/>
    </row>
    <row r="231" spans="1:26" ht="12.75" customHeight="1" x14ac:dyDescent="0.2">
      <c r="A231" s="268"/>
      <c r="B231" s="268"/>
      <c r="C231" s="294"/>
      <c r="D231" s="295"/>
      <c r="E231" s="296"/>
      <c r="F231" s="297"/>
      <c r="G231" s="296"/>
      <c r="H231" s="296"/>
      <c r="I231" s="297"/>
      <c r="J231" s="296"/>
      <c r="K231" s="295"/>
      <c r="L231" s="298"/>
      <c r="M231" s="269"/>
      <c r="N231" s="269"/>
      <c r="O231" s="269"/>
      <c r="P231" s="269"/>
      <c r="Q231" s="269"/>
      <c r="R231" s="269"/>
      <c r="S231" s="269"/>
      <c r="T231" s="269"/>
      <c r="U231" s="269"/>
      <c r="V231" s="269"/>
      <c r="W231" s="269"/>
      <c r="X231" s="269"/>
      <c r="Y231" s="269"/>
      <c r="Z231" s="269"/>
    </row>
    <row r="232" spans="1:26" ht="12.75" customHeight="1" x14ac:dyDescent="0.2">
      <c r="A232" s="268"/>
      <c r="B232" s="268"/>
      <c r="C232" s="294"/>
      <c r="D232" s="295"/>
      <c r="E232" s="296"/>
      <c r="F232" s="297"/>
      <c r="G232" s="296"/>
      <c r="H232" s="296"/>
      <c r="I232" s="297"/>
      <c r="J232" s="296"/>
      <c r="K232" s="295"/>
      <c r="L232" s="298"/>
      <c r="M232" s="269"/>
      <c r="N232" s="269"/>
      <c r="O232" s="269"/>
      <c r="P232" s="269"/>
      <c r="Q232" s="269"/>
      <c r="R232" s="269"/>
      <c r="S232" s="269"/>
      <c r="T232" s="269"/>
      <c r="U232" s="269"/>
      <c r="V232" s="269"/>
      <c r="W232" s="269"/>
      <c r="X232" s="269"/>
      <c r="Y232" s="269"/>
      <c r="Z232" s="269"/>
    </row>
    <row r="233" spans="1:26" ht="12.75" customHeight="1" x14ac:dyDescent="0.2">
      <c r="A233" s="268"/>
      <c r="B233" s="268"/>
      <c r="C233" s="294"/>
      <c r="D233" s="295"/>
      <c r="E233" s="296"/>
      <c r="F233" s="297"/>
      <c r="G233" s="296"/>
      <c r="H233" s="296"/>
      <c r="I233" s="297"/>
      <c r="J233" s="296"/>
      <c r="K233" s="295"/>
      <c r="L233" s="298"/>
      <c r="M233" s="269"/>
      <c r="N233" s="269"/>
      <c r="O233" s="269"/>
      <c r="P233" s="269"/>
      <c r="Q233" s="269"/>
      <c r="R233" s="269"/>
      <c r="S233" s="269"/>
      <c r="T233" s="269"/>
      <c r="U233" s="269"/>
      <c r="V233" s="269"/>
      <c r="W233" s="269"/>
      <c r="X233" s="269"/>
      <c r="Y233" s="269"/>
      <c r="Z233" s="269"/>
    </row>
    <row r="234" spans="1:26" ht="12.75" customHeight="1" x14ac:dyDescent="0.2">
      <c r="A234" s="268"/>
      <c r="B234" s="268"/>
      <c r="C234" s="294"/>
      <c r="D234" s="295"/>
      <c r="E234" s="296"/>
      <c r="F234" s="297"/>
      <c r="G234" s="296"/>
      <c r="H234" s="296"/>
      <c r="I234" s="297"/>
      <c r="J234" s="296"/>
      <c r="K234" s="295"/>
      <c r="L234" s="298"/>
      <c r="M234" s="269"/>
      <c r="N234" s="269"/>
      <c r="O234" s="269"/>
      <c r="P234" s="269"/>
      <c r="Q234" s="269"/>
      <c r="R234" s="269"/>
      <c r="S234" s="269"/>
      <c r="T234" s="269"/>
      <c r="U234" s="269"/>
      <c r="V234" s="269"/>
      <c r="W234" s="269"/>
      <c r="X234" s="269"/>
      <c r="Y234" s="269"/>
      <c r="Z234" s="269"/>
    </row>
    <row r="235" spans="1:26" ht="12.75" customHeight="1" x14ac:dyDescent="0.2">
      <c r="A235" s="268"/>
      <c r="B235" s="268"/>
      <c r="C235" s="294"/>
      <c r="D235" s="295"/>
      <c r="E235" s="296"/>
      <c r="F235" s="297"/>
      <c r="G235" s="296"/>
      <c r="H235" s="296"/>
      <c r="I235" s="297"/>
      <c r="J235" s="296"/>
      <c r="K235" s="295"/>
      <c r="L235" s="298"/>
      <c r="M235" s="269"/>
      <c r="N235" s="269"/>
      <c r="O235" s="269"/>
      <c r="P235" s="269"/>
      <c r="Q235" s="269"/>
      <c r="R235" s="269"/>
      <c r="S235" s="269"/>
      <c r="T235" s="269"/>
      <c r="U235" s="269"/>
      <c r="V235" s="269"/>
      <c r="W235" s="269"/>
      <c r="X235" s="269"/>
      <c r="Y235" s="269"/>
      <c r="Z235" s="269"/>
    </row>
    <row r="236" spans="1:26" ht="12.75" customHeight="1" x14ac:dyDescent="0.2">
      <c r="A236" s="268"/>
      <c r="B236" s="268"/>
      <c r="C236" s="294"/>
      <c r="D236" s="295"/>
      <c r="E236" s="296"/>
      <c r="F236" s="297"/>
      <c r="G236" s="296"/>
      <c r="H236" s="296"/>
      <c r="I236" s="297"/>
      <c r="J236" s="296"/>
      <c r="K236" s="295"/>
      <c r="L236" s="298"/>
      <c r="M236" s="269"/>
      <c r="N236" s="269"/>
      <c r="O236" s="269"/>
      <c r="P236" s="269"/>
      <c r="Q236" s="269"/>
      <c r="R236" s="269"/>
      <c r="S236" s="269"/>
      <c r="T236" s="269"/>
      <c r="U236" s="269"/>
      <c r="V236" s="269"/>
      <c r="W236" s="269"/>
      <c r="X236" s="269"/>
      <c r="Y236" s="269"/>
      <c r="Z236" s="269"/>
    </row>
    <row r="237" spans="1:26" ht="12.75" customHeight="1" x14ac:dyDescent="0.2">
      <c r="A237" s="268"/>
      <c r="B237" s="268"/>
      <c r="C237" s="294"/>
      <c r="D237" s="295"/>
      <c r="E237" s="296"/>
      <c r="F237" s="297"/>
      <c r="G237" s="296"/>
      <c r="H237" s="296"/>
      <c r="I237" s="297"/>
      <c r="J237" s="296"/>
      <c r="K237" s="295"/>
      <c r="L237" s="298"/>
      <c r="M237" s="269"/>
      <c r="N237" s="269"/>
      <c r="O237" s="269"/>
      <c r="P237" s="269"/>
      <c r="Q237" s="269"/>
      <c r="R237" s="269"/>
      <c r="S237" s="269"/>
      <c r="T237" s="269"/>
      <c r="U237" s="269"/>
      <c r="V237" s="269"/>
      <c r="W237" s="269"/>
      <c r="X237" s="269"/>
      <c r="Y237" s="269"/>
      <c r="Z237" s="269"/>
    </row>
    <row r="238" spans="1:26" ht="12.75" customHeight="1" x14ac:dyDescent="0.2">
      <c r="A238" s="268"/>
      <c r="B238" s="268"/>
      <c r="C238" s="294"/>
      <c r="D238" s="295"/>
      <c r="E238" s="296"/>
      <c r="F238" s="297"/>
      <c r="G238" s="296"/>
      <c r="H238" s="296"/>
      <c r="I238" s="297"/>
      <c r="J238" s="296"/>
      <c r="K238" s="295"/>
      <c r="L238" s="298"/>
      <c r="M238" s="269"/>
      <c r="N238" s="269"/>
      <c r="O238" s="269"/>
      <c r="P238" s="269"/>
      <c r="Q238" s="269"/>
      <c r="R238" s="269"/>
      <c r="S238" s="269"/>
      <c r="T238" s="269"/>
      <c r="U238" s="269"/>
      <c r="V238" s="269"/>
      <c r="W238" s="269"/>
      <c r="X238" s="269"/>
      <c r="Y238" s="269"/>
      <c r="Z238" s="269"/>
    </row>
    <row r="239" spans="1:26" ht="12.75" customHeight="1" x14ac:dyDescent="0.2">
      <c r="A239" s="268"/>
      <c r="B239" s="268"/>
      <c r="C239" s="294"/>
      <c r="D239" s="295"/>
      <c r="E239" s="296"/>
      <c r="F239" s="297"/>
      <c r="G239" s="296"/>
      <c r="H239" s="296"/>
      <c r="I239" s="297"/>
      <c r="J239" s="296"/>
      <c r="K239" s="295"/>
      <c r="L239" s="298"/>
      <c r="M239" s="269"/>
      <c r="N239" s="269"/>
      <c r="O239" s="269"/>
      <c r="P239" s="269"/>
      <c r="Q239" s="269"/>
      <c r="R239" s="269"/>
      <c r="S239" s="269"/>
      <c r="T239" s="269"/>
      <c r="U239" s="269"/>
      <c r="V239" s="269"/>
      <c r="W239" s="269"/>
      <c r="X239" s="269"/>
      <c r="Y239" s="269"/>
      <c r="Z239" s="269"/>
    </row>
    <row r="240" spans="1:26" ht="12.75" customHeight="1" x14ac:dyDescent="0.2">
      <c r="A240" s="268"/>
      <c r="B240" s="268"/>
      <c r="C240" s="294"/>
      <c r="D240" s="295"/>
      <c r="E240" s="296"/>
      <c r="F240" s="297"/>
      <c r="G240" s="296"/>
      <c r="H240" s="296"/>
      <c r="I240" s="297"/>
      <c r="J240" s="296"/>
      <c r="K240" s="295"/>
      <c r="L240" s="298"/>
      <c r="M240" s="269"/>
      <c r="N240" s="269"/>
      <c r="O240" s="269"/>
      <c r="P240" s="269"/>
      <c r="Q240" s="269"/>
      <c r="R240" s="269"/>
      <c r="S240" s="269"/>
      <c r="T240" s="269"/>
      <c r="U240" s="269"/>
      <c r="V240" s="269"/>
      <c r="W240" s="269"/>
      <c r="X240" s="269"/>
      <c r="Y240" s="269"/>
      <c r="Z240" s="269"/>
    </row>
    <row r="241" spans="1:26" ht="12.75" customHeight="1" x14ac:dyDescent="0.2">
      <c r="A241" s="268"/>
      <c r="B241" s="268"/>
      <c r="C241" s="294"/>
      <c r="D241" s="295"/>
      <c r="E241" s="296"/>
      <c r="F241" s="297"/>
      <c r="G241" s="296"/>
      <c r="H241" s="296"/>
      <c r="I241" s="297"/>
      <c r="J241" s="296"/>
      <c r="K241" s="295"/>
      <c r="L241" s="298"/>
      <c r="M241" s="269"/>
      <c r="N241" s="269"/>
      <c r="O241" s="269"/>
      <c r="P241" s="269"/>
      <c r="Q241" s="269"/>
      <c r="R241" s="269"/>
      <c r="S241" s="269"/>
      <c r="T241" s="269"/>
      <c r="U241" s="269"/>
      <c r="V241" s="269"/>
      <c r="W241" s="269"/>
      <c r="X241" s="269"/>
      <c r="Y241" s="269"/>
      <c r="Z241" s="269"/>
    </row>
    <row r="242" spans="1:26" ht="12.75" customHeight="1" x14ac:dyDescent="0.2">
      <c r="A242" s="268"/>
      <c r="B242" s="268"/>
      <c r="C242" s="294"/>
      <c r="D242" s="295"/>
      <c r="E242" s="296"/>
      <c r="F242" s="297"/>
      <c r="G242" s="296"/>
      <c r="H242" s="296"/>
      <c r="I242" s="297"/>
      <c r="J242" s="296"/>
      <c r="K242" s="295"/>
      <c r="L242" s="298"/>
      <c r="M242" s="269"/>
      <c r="N242" s="269"/>
      <c r="O242" s="269"/>
      <c r="P242" s="269"/>
      <c r="Q242" s="269"/>
      <c r="R242" s="269"/>
      <c r="S242" s="269"/>
      <c r="T242" s="269"/>
      <c r="U242" s="269"/>
      <c r="V242" s="269"/>
      <c r="W242" s="269"/>
      <c r="X242" s="269"/>
      <c r="Y242" s="269"/>
      <c r="Z242" s="269"/>
    </row>
    <row r="243" spans="1:26" ht="12.75" customHeight="1" x14ac:dyDescent="0.2">
      <c r="A243" s="268"/>
      <c r="B243" s="268"/>
      <c r="C243" s="294"/>
      <c r="D243" s="295"/>
      <c r="E243" s="296"/>
      <c r="F243" s="297"/>
      <c r="G243" s="296"/>
      <c r="H243" s="296"/>
      <c r="I243" s="297"/>
      <c r="J243" s="296"/>
      <c r="K243" s="295"/>
      <c r="L243" s="298"/>
      <c r="M243" s="269"/>
      <c r="N243" s="269"/>
      <c r="O243" s="269"/>
      <c r="P243" s="269"/>
      <c r="Q243" s="269"/>
      <c r="R243" s="269"/>
      <c r="S243" s="269"/>
      <c r="T243" s="269"/>
      <c r="U243" s="269"/>
      <c r="V243" s="269"/>
      <c r="W243" s="269"/>
      <c r="X243" s="269"/>
      <c r="Y243" s="269"/>
      <c r="Z243" s="269"/>
    </row>
    <row r="244" spans="1:26" ht="12.75" customHeight="1" x14ac:dyDescent="0.2">
      <c r="A244" s="268"/>
      <c r="B244" s="268"/>
      <c r="C244" s="294"/>
      <c r="D244" s="295"/>
      <c r="E244" s="296"/>
      <c r="F244" s="297"/>
      <c r="G244" s="296"/>
      <c r="H244" s="296"/>
      <c r="I244" s="297"/>
      <c r="J244" s="296"/>
      <c r="K244" s="295"/>
      <c r="L244" s="298"/>
      <c r="M244" s="269"/>
      <c r="N244" s="269"/>
      <c r="O244" s="269"/>
      <c r="P244" s="269"/>
      <c r="Q244" s="269"/>
      <c r="R244" s="269"/>
      <c r="S244" s="269"/>
      <c r="T244" s="269"/>
      <c r="U244" s="269"/>
      <c r="V244" s="269"/>
      <c r="W244" s="269"/>
      <c r="X244" s="269"/>
      <c r="Y244" s="269"/>
      <c r="Z244" s="269"/>
    </row>
    <row r="245" spans="1:26" ht="12.75" customHeight="1" x14ac:dyDescent="0.2">
      <c r="A245" s="268"/>
      <c r="B245" s="268"/>
      <c r="C245" s="294"/>
      <c r="D245" s="295"/>
      <c r="E245" s="296"/>
      <c r="F245" s="297"/>
      <c r="G245" s="296"/>
      <c r="H245" s="296"/>
      <c r="I245" s="297"/>
      <c r="J245" s="296"/>
      <c r="K245" s="295"/>
      <c r="L245" s="298"/>
      <c r="M245" s="269"/>
      <c r="N245" s="269"/>
      <c r="O245" s="269"/>
      <c r="P245" s="269"/>
      <c r="Q245" s="269"/>
      <c r="R245" s="269"/>
      <c r="S245" s="269"/>
      <c r="T245" s="269"/>
      <c r="U245" s="269"/>
      <c r="V245" s="269"/>
      <c r="W245" s="269"/>
      <c r="X245" s="269"/>
      <c r="Y245" s="269"/>
      <c r="Z245" s="269"/>
    </row>
    <row r="246" spans="1:26" ht="12.75" customHeight="1" x14ac:dyDescent="0.2">
      <c r="A246" s="268"/>
      <c r="B246" s="268"/>
      <c r="C246" s="294"/>
      <c r="D246" s="295"/>
      <c r="E246" s="296"/>
      <c r="F246" s="297"/>
      <c r="G246" s="296"/>
      <c r="H246" s="296"/>
      <c r="I246" s="297"/>
      <c r="J246" s="296"/>
      <c r="K246" s="295"/>
      <c r="L246" s="298"/>
      <c r="M246" s="269"/>
      <c r="N246" s="269"/>
      <c r="O246" s="269"/>
      <c r="P246" s="269"/>
      <c r="Q246" s="269"/>
      <c r="R246" s="269"/>
      <c r="S246" s="269"/>
      <c r="T246" s="269"/>
      <c r="U246" s="269"/>
      <c r="V246" s="269"/>
      <c r="W246" s="269"/>
      <c r="X246" s="269"/>
      <c r="Y246" s="269"/>
      <c r="Z246" s="269"/>
    </row>
    <row r="247" spans="1:26" ht="12.75" customHeight="1" x14ac:dyDescent="0.2">
      <c r="A247" s="268"/>
      <c r="B247" s="268"/>
      <c r="C247" s="294"/>
      <c r="D247" s="295"/>
      <c r="E247" s="296"/>
      <c r="F247" s="297"/>
      <c r="G247" s="296"/>
      <c r="H247" s="296"/>
      <c r="I247" s="297"/>
      <c r="J247" s="296"/>
      <c r="K247" s="295"/>
      <c r="L247" s="298"/>
      <c r="M247" s="269"/>
      <c r="N247" s="269"/>
      <c r="O247" s="269"/>
      <c r="P247" s="269"/>
      <c r="Q247" s="269"/>
      <c r="R247" s="269"/>
      <c r="S247" s="269"/>
      <c r="T247" s="269"/>
      <c r="U247" s="269"/>
      <c r="V247" s="269"/>
      <c r="W247" s="269"/>
      <c r="X247" s="269"/>
      <c r="Y247" s="269"/>
      <c r="Z247" s="269"/>
    </row>
    <row r="248" spans="1:26" ht="12.75" customHeight="1" x14ac:dyDescent="0.2">
      <c r="A248" s="268"/>
      <c r="B248" s="268"/>
      <c r="C248" s="294"/>
      <c r="D248" s="295"/>
      <c r="E248" s="296"/>
      <c r="F248" s="297"/>
      <c r="G248" s="296"/>
      <c r="H248" s="296"/>
      <c r="I248" s="297"/>
      <c r="J248" s="296"/>
      <c r="K248" s="295"/>
      <c r="L248" s="298"/>
      <c r="M248" s="269"/>
      <c r="N248" s="269"/>
      <c r="O248" s="269"/>
      <c r="P248" s="269"/>
      <c r="Q248" s="269"/>
      <c r="R248" s="269"/>
      <c r="S248" s="269"/>
      <c r="T248" s="269"/>
      <c r="U248" s="269"/>
      <c r="V248" s="269"/>
      <c r="W248" s="269"/>
      <c r="X248" s="269"/>
      <c r="Y248" s="269"/>
      <c r="Z248" s="269"/>
    </row>
    <row r="249" spans="1:26" ht="12.75" customHeight="1" x14ac:dyDescent="0.2">
      <c r="A249" s="268"/>
      <c r="B249" s="268"/>
      <c r="C249" s="294"/>
      <c r="D249" s="295"/>
      <c r="E249" s="296"/>
      <c r="F249" s="297"/>
      <c r="G249" s="296"/>
      <c r="H249" s="296"/>
      <c r="I249" s="297"/>
      <c r="J249" s="296"/>
      <c r="K249" s="295"/>
      <c r="L249" s="298"/>
      <c r="M249" s="269"/>
      <c r="N249" s="269"/>
      <c r="O249" s="269"/>
      <c r="P249" s="269"/>
      <c r="Q249" s="269"/>
      <c r="R249" s="269"/>
      <c r="S249" s="269"/>
      <c r="T249" s="269"/>
      <c r="U249" s="269"/>
      <c r="V249" s="269"/>
      <c r="W249" s="269"/>
      <c r="X249" s="269"/>
      <c r="Y249" s="269"/>
      <c r="Z249" s="269"/>
    </row>
    <row r="250" spans="1:26" ht="12.75" customHeight="1" x14ac:dyDescent="0.2">
      <c r="A250" s="268"/>
      <c r="B250" s="268"/>
      <c r="C250" s="294"/>
      <c r="D250" s="295"/>
      <c r="E250" s="296"/>
      <c r="F250" s="297"/>
      <c r="G250" s="296"/>
      <c r="H250" s="296"/>
      <c r="I250" s="297"/>
      <c r="J250" s="296"/>
      <c r="K250" s="295"/>
      <c r="L250" s="298"/>
      <c r="M250" s="269"/>
      <c r="N250" s="269"/>
      <c r="O250" s="269"/>
      <c r="P250" s="269"/>
      <c r="Q250" s="269"/>
      <c r="R250" s="269"/>
      <c r="S250" s="269"/>
      <c r="T250" s="269"/>
      <c r="U250" s="269"/>
      <c r="V250" s="269"/>
      <c r="W250" s="269"/>
      <c r="X250" s="269"/>
      <c r="Y250" s="269"/>
      <c r="Z250" s="269"/>
    </row>
    <row r="251" spans="1:26" ht="12.75" customHeight="1" x14ac:dyDescent="0.2">
      <c r="A251" s="268"/>
      <c r="B251" s="268"/>
      <c r="C251" s="294"/>
      <c r="D251" s="295"/>
      <c r="E251" s="296"/>
      <c r="F251" s="297"/>
      <c r="G251" s="296"/>
      <c r="H251" s="296"/>
      <c r="I251" s="297"/>
      <c r="J251" s="296"/>
      <c r="K251" s="295"/>
      <c r="L251" s="298"/>
      <c r="M251" s="269"/>
      <c r="N251" s="269"/>
      <c r="O251" s="269"/>
      <c r="P251" s="269"/>
      <c r="Q251" s="269"/>
      <c r="R251" s="269"/>
      <c r="S251" s="269"/>
      <c r="T251" s="269"/>
      <c r="U251" s="269"/>
      <c r="V251" s="269"/>
      <c r="W251" s="269"/>
      <c r="X251" s="269"/>
      <c r="Y251" s="269"/>
      <c r="Z251" s="269"/>
    </row>
    <row r="252" spans="1:26" ht="12.75" customHeight="1" x14ac:dyDescent="0.2">
      <c r="A252" s="268"/>
      <c r="B252" s="268"/>
      <c r="C252" s="294"/>
      <c r="D252" s="295"/>
      <c r="E252" s="296"/>
      <c r="F252" s="297"/>
      <c r="G252" s="296"/>
      <c r="H252" s="296"/>
      <c r="I252" s="297"/>
      <c r="J252" s="296"/>
      <c r="K252" s="295"/>
      <c r="L252" s="298"/>
      <c r="M252" s="269"/>
      <c r="N252" s="269"/>
      <c r="O252" s="269"/>
      <c r="P252" s="269"/>
      <c r="Q252" s="269"/>
      <c r="R252" s="269"/>
      <c r="S252" s="269"/>
      <c r="T252" s="269"/>
      <c r="U252" s="269"/>
      <c r="V252" s="269"/>
      <c r="W252" s="269"/>
      <c r="X252" s="269"/>
      <c r="Y252" s="269"/>
      <c r="Z252" s="269"/>
    </row>
    <row r="253" spans="1:26" ht="12.75" customHeight="1" x14ac:dyDescent="0.2">
      <c r="A253" s="268"/>
      <c r="B253" s="268"/>
      <c r="C253" s="294"/>
      <c r="D253" s="295"/>
      <c r="E253" s="296"/>
      <c r="F253" s="297"/>
      <c r="G253" s="296"/>
      <c r="H253" s="296"/>
      <c r="I253" s="297"/>
      <c r="J253" s="296"/>
      <c r="K253" s="295"/>
      <c r="L253" s="298"/>
      <c r="M253" s="269"/>
      <c r="N253" s="269"/>
      <c r="O253" s="269"/>
      <c r="P253" s="269"/>
      <c r="Q253" s="269"/>
      <c r="R253" s="269"/>
      <c r="S253" s="269"/>
      <c r="T253" s="269"/>
      <c r="U253" s="269"/>
      <c r="V253" s="269"/>
      <c r="W253" s="269"/>
      <c r="X253" s="269"/>
      <c r="Y253" s="269"/>
      <c r="Z253" s="269"/>
    </row>
    <row r="254" spans="1:26" ht="12.75" customHeight="1" x14ac:dyDescent="0.2">
      <c r="A254" s="268"/>
      <c r="B254" s="268"/>
      <c r="C254" s="294"/>
      <c r="D254" s="295"/>
      <c r="E254" s="296"/>
      <c r="F254" s="297"/>
      <c r="G254" s="296"/>
      <c r="H254" s="296"/>
      <c r="I254" s="297"/>
      <c r="J254" s="296"/>
      <c r="K254" s="295"/>
      <c r="L254" s="298"/>
      <c r="M254" s="269"/>
      <c r="N254" s="269"/>
      <c r="O254" s="269"/>
      <c r="P254" s="269"/>
      <c r="Q254" s="269"/>
      <c r="R254" s="269"/>
      <c r="S254" s="269"/>
      <c r="T254" s="269"/>
      <c r="U254" s="269"/>
      <c r="V254" s="269"/>
      <c r="W254" s="269"/>
      <c r="X254" s="269"/>
      <c r="Y254" s="269"/>
      <c r="Z254" s="269"/>
    </row>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4:K54">
    <filterColumn colId="1">
      <filters>
        <dateGroupItem year="2021" month="10" dateTimeGrouping="month"/>
        <dateGroupItem year="2021" month="11" dateTimeGrouping="month"/>
        <dateGroupItem year="2021" month="12" dateTimeGrouping="month"/>
      </filters>
    </filterColumn>
    <sortState ref="A4:K54">
      <sortCondition ref="A4:A54"/>
    </sortState>
  </autoFilter>
  <mergeCells count="3">
    <mergeCell ref="A1:K1"/>
    <mergeCell ref="A2:K2"/>
    <mergeCell ref="A3:K3"/>
  </mergeCells>
  <dataValidations count="2">
    <dataValidation type="date" allowBlank="1" showErrorMessage="1" sqref="K5:K6 K12:K15 B5:B37 K17:K37 B40 K40">
      <formula1>40544</formula1>
      <formula2>44561</formula2>
    </dataValidation>
    <dataValidation type="list" allowBlank="1" showErrorMessage="1" sqref="C5:C54">
      <formula1>Reserva</formula1>
    </dataValidation>
  </dataValidations>
  <pageMargins left="0.59055118110236227" right="0.59055118110236227" top="0.59055118110236227" bottom="0.59055118110236227" header="0" footer="0"/>
  <pageSetup paperSize="9" scale="70" fitToHeight="0" pageOrder="overThenDown"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workbookViewId="0"/>
  </sheetViews>
  <sheetFormatPr defaultColWidth="14.42578125" defaultRowHeight="15" customHeight="1" x14ac:dyDescent="0.2"/>
  <cols>
    <col min="1" max="1" width="8.7109375" customWidth="1"/>
    <col min="2" max="2" width="44.28515625" customWidth="1"/>
    <col min="3" max="3" width="11.42578125" customWidth="1"/>
    <col min="4" max="4" width="17.7109375" customWidth="1"/>
    <col min="5" max="6" width="12.5703125" customWidth="1"/>
  </cols>
  <sheetData>
    <row r="1" spans="2:6" ht="12.75" customHeight="1" x14ac:dyDescent="0.2"/>
    <row r="2" spans="2:6" ht="12.75" customHeight="1" x14ac:dyDescent="0.2">
      <c r="B2" s="427" t="s">
        <v>5147</v>
      </c>
    </row>
    <row r="3" spans="2:6" ht="12.75" customHeight="1" x14ac:dyDescent="0.2">
      <c r="C3" s="427" t="s">
        <v>5148</v>
      </c>
      <c r="D3" s="427" t="s">
        <v>5149</v>
      </c>
      <c r="E3" s="427" t="s">
        <v>5150</v>
      </c>
    </row>
    <row r="4" spans="2:6" ht="12.75" customHeight="1" x14ac:dyDescent="0.2">
      <c r="B4" s="427" t="str">
        <f>Resumo!B42</f>
        <v>16121-7 - Contrato de Gestão</v>
      </c>
      <c r="C4" s="428">
        <f>SUM(SUMIFS('Diário 5º PA'!$F$5:$F$2634,'Diário 5º PA'!$O$5:$O$2634,B4,'Diário 5º PA'!$S$5:$S$2634,"entrada"),
SUMIFS('Diário 6º PA'!$F$5:$F$2246,'Diário 6º PA'!$O$5:$O$2246,B4,'Diário 6º PA'!$S$5:$S$2246,"entrada"),
SUMIFS('Diário 7º PA'!$F$5:$F$2271,'Diário 7º PA'!$O$5:$O$2271,B4,'Diário 7º PA'!$S$5:$S$2271,"entrada"),
SUMIFS('Diário 8º PA'!$F$5:$F$2488,'Diário 8º PA'!$O$5:$O$2488,B4,'Diário 8º PA'!$S$5:$S$2488,"entrada"))</f>
        <v>6254073.3300000001</v>
      </c>
      <c r="D4" s="428">
        <f>SUM(SUMIFS('Diário 5º PA'!$F$5:$F$2634,'Diário 5º PA'!$O$5:$O$2634,B4,'Diário 5º PA'!$S$5:$S$2634,"saída"),
SUMIFS('Diário 6º PA'!$F$5:$F$2246,'Diário 6º PA'!$O$5:$O$2246,B4,'Diário 6º PA'!$S$5:$S$2246,"saída"),
SUMIFS('Diário 7º PA'!$F$5:$F$2271,'Diário 7º PA'!$O$5:$O$2271,B4,'Diário 7º PA'!$S$5:$S$2271,"saída"),
SUMIFS('Diário 8º PA'!$F$5:$F$2488,'Diário 8º PA'!$O$5:$O$2488,B4,'Diário 8º PA'!$S$5:$S$2488,"saída"))</f>
        <v>5688588.8189999741</v>
      </c>
      <c r="E4" s="428">
        <f t="shared" ref="E4:E9" si="0">C4-D4</f>
        <v>565484.51100002602</v>
      </c>
      <c r="F4" s="428"/>
    </row>
    <row r="5" spans="2:6" ht="12.75" customHeight="1" x14ac:dyDescent="0.2">
      <c r="B5" s="427" t="str">
        <f>Resumo!B45</f>
        <v>15556-x - Manutenção das Atividades Corpo Artísticos Pronac: 18.5397</v>
      </c>
      <c r="C5" s="428">
        <f>SUM(SUMIFS('Diário 5º PA'!$F$5:$F$2634,'Diário 5º PA'!$O$5:$O$2634,B5,'Diário 5º PA'!$S$5:$S$2634,"entrada"),
SUMIFS('Diário 6º PA'!$F$5:$F$2246,'Diário 6º PA'!$O$5:$O$2246,B5,'Diário 6º PA'!$S$5:$S$2246,"entrada"),
SUMIFS('Diário 7º PA'!$F$5:$F$2271,'Diário 7º PA'!$O$5:$O$2271,B5,'Diário 7º PA'!$S$5:$S$2271,"entrada"),
SUMIFS('Diário 8º PA'!$F$5:$F$2488,'Diário 8º PA'!$O$5:$O$2488,B5,'Diário 8º PA'!$S$5:$S$2488,"entrada"))</f>
        <v>0</v>
      </c>
      <c r="D5" s="428">
        <f>SUM(SUMIFS('Diário 5º PA'!$F$5:$F$2634,'Diário 5º PA'!$O$5:$O$2634,B5,'Diário 5º PA'!$S$5:$S$2634,"saída"),
SUMIFS('Diário 6º PA'!$F$5:$F$2246,'Diário 6º PA'!$O$5:$O$2246,B5,'Diário 6º PA'!$S$5:$S$2246,"saída"),
SUMIFS('Diário 7º PA'!$F$5:$F$2271,'Diário 7º PA'!$O$5:$O$2271,B5,'Diário 7º PA'!$S$5:$S$2271,"saída"),
SUMIFS('Diário 8º PA'!$F$5:$F$2488,'Diário 8º PA'!$O$5:$O$2488,B5,'Diário 8º PA'!$S$5:$S$2488,"saída"))</f>
        <v>549156.95000000007</v>
      </c>
      <c r="E5" s="428">
        <f t="shared" si="0"/>
        <v>-549156.95000000007</v>
      </c>
      <c r="F5" s="428"/>
    </row>
    <row r="6" spans="2:6" ht="12.75" customHeight="1" x14ac:dyDescent="0.2">
      <c r="B6" s="427" t="str">
        <f>Resumo!B46</f>
        <v>16375-9 - Programa de Artes Visuais da Fundação Clóvis Salgado Pronac: 17.7912</v>
      </c>
      <c r="C6" s="428">
        <f>SUM(SUMIFS('Diário 5º PA'!$F$5:$F$2634,'Diário 5º PA'!$O$5:$O$2634,B6,'Diário 5º PA'!$S$5:$S$2634,"entrada"),
SUMIFS('Diário 6º PA'!$F$5:$F$2246,'Diário 6º PA'!$O$5:$O$2246,B6,'Diário 6º PA'!$S$5:$S$2246,"entrada"),
SUMIFS('Diário 7º PA'!$F$5:$F$2271,'Diário 7º PA'!$O$5:$O$2271,B6,'Diário 7º PA'!$S$5:$S$2271,"entrada"),
SUMIFS('Diário 8º PA'!$F$5:$F$2488,'Diário 8º PA'!$O$5:$O$2488,B6,'Diário 8º PA'!$S$5:$S$2488,"entrada"))</f>
        <v>1300025.04</v>
      </c>
      <c r="D6" s="428">
        <f>SUM(SUMIFS('Diário 5º PA'!$F$5:$F$2634,'Diário 5º PA'!$O$5:$O$2634,B6,'Diário 5º PA'!$S$5:$S$2634,"saída"),
SUMIFS('Diário 6º PA'!$F$5:$F$2246,'Diário 6º PA'!$O$5:$O$2246,B6,'Diário 6º PA'!$S$5:$S$2246,"saída"),
SUMIFS('Diário 7º PA'!$F$5:$F$2271,'Diário 7º PA'!$O$5:$O$2271,B6,'Diário 7º PA'!$S$5:$S$2271,"saída"),
SUMIFS('Diário 8º PA'!$F$5:$F$2488,'Diário 8º PA'!$O$5:$O$2488,B6,'Diário 8º PA'!$S$5:$S$2488,"saída"))</f>
        <v>326504.33999999997</v>
      </c>
      <c r="E6" s="428">
        <f t="shared" si="0"/>
        <v>973520.70000000007</v>
      </c>
      <c r="F6" s="428"/>
    </row>
    <row r="7" spans="2:6" ht="12.75" customHeight="1" x14ac:dyDescent="0.2">
      <c r="B7" s="427" t="str">
        <f>Resumo!B47</f>
        <v>16185-3 - Cine Humberto Mauro - Programação e Fomento 2018 Pronac: 17.8919</v>
      </c>
      <c r="C7" s="428">
        <f>SUM(SUMIFS('Diário 5º PA'!$F$5:$F$2634,'Diário 5º PA'!$O$5:$O$2634,B7,'Diário 5º PA'!$S$5:$S$2634,"entrada"),
SUMIFS('Diário 6º PA'!$F$5:$F$2246,'Diário 6º PA'!$O$5:$O$2246,B7,'Diário 6º PA'!$S$5:$S$2246,"entrada"),
SUMIFS('Diário 7º PA'!$F$5:$F$2271,'Diário 7º PA'!$O$5:$O$2271,B7,'Diário 7º PA'!$S$5:$S$2271,"entrada"),
SUMIFS('Diário 8º PA'!$F$5:$F$2488,'Diário 8º PA'!$O$5:$O$2488,B7,'Diário 8º PA'!$S$5:$S$2488,"entrada"))</f>
        <v>1104057.3999999999</v>
      </c>
      <c r="D7" s="428">
        <f>SUM(SUMIFS('Diário 5º PA'!$F$5:$F$2634,'Diário 5º PA'!$O$5:$O$2634,B7,'Diário 5º PA'!$S$5:$S$2634,"saída"),
SUMIFS('Diário 6º PA'!$F$5:$F$2246,'Diário 6º PA'!$O$5:$O$2246,B7,'Diário 6º PA'!$S$5:$S$2246,"saída"),
SUMIFS('Diário 7º PA'!$F$5:$F$2271,'Diário 7º PA'!$O$5:$O$2271,B7,'Diário 7º PA'!$S$5:$S$2271,"saída"),
SUMIFS('Diário 8º PA'!$F$5:$F$2488,'Diário 8º PA'!$O$5:$O$2488,B7,'Diário 8º PA'!$S$5:$S$2488,"saída"))</f>
        <v>363919.5</v>
      </c>
      <c r="E7" s="428">
        <f t="shared" si="0"/>
        <v>740137.89999999991</v>
      </c>
      <c r="F7" s="428"/>
    </row>
    <row r="8" spans="2:6" ht="12.75" customHeight="1" x14ac:dyDescent="0.2">
      <c r="B8" s="427" t="str">
        <f>Resumo!B49</f>
        <v>16376-7 - Cinquentenário Operístico da Fundação Clóvis Salgado - Pronac: 20.3579</v>
      </c>
      <c r="C8" s="428">
        <f>SUM(SUMIFS('Diário 5º PA'!$F$5:$F$2634,'Diário 5º PA'!$O$5:$O$2634,B8,'Diário 5º PA'!$S$5:$S$2634,"entrada"),
SUMIFS('Diário 6º PA'!$F$5:$F$2246,'Diário 6º PA'!$O$5:$O$2246,B8,'Diário 6º PA'!$S$5:$S$2246,"entrada"),
SUMIFS('Diário 7º PA'!$F$5:$F$2271,'Diário 7º PA'!$O$5:$O$2271,B8,'Diário 7º PA'!$S$5:$S$2271,"entrada"),
SUMIFS('Diário 8º PA'!$F$5:$F$2488,'Diário 8º PA'!$O$5:$O$2488,B8,'Diário 8º PA'!$S$5:$S$2488,"entrada"))</f>
        <v>2593000</v>
      </c>
      <c r="D8" s="428">
        <f>SUM(SUMIFS('Diário 5º PA'!$F$5:$F$2634,'Diário 5º PA'!$O$5:$O$2634,B8,'Diário 5º PA'!$S$5:$S$2634,"saída"),
SUMIFS('Diário 6º PA'!$F$5:$F$2246,'Diário 6º PA'!$O$5:$O$2246,B8,'Diário 6º PA'!$S$5:$S$2246,"saída"),
SUMIFS('Diário 7º PA'!$F$5:$F$2271,'Diário 7º PA'!$O$5:$O$2271,B8,'Diário 7º PA'!$S$5:$S$2271,"saída"),
SUMIFS('Diário 8º PA'!$F$5:$F$2488,'Diário 8º PA'!$O$5:$O$2488,B8,'Diário 8º PA'!$S$5:$S$2488,"saída"))</f>
        <v>124380.52</v>
      </c>
      <c r="E8" s="428">
        <f t="shared" si="0"/>
        <v>2468619.48</v>
      </c>
      <c r="F8" s="428"/>
    </row>
    <row r="9" spans="2:6" ht="12.75" customHeight="1" x14ac:dyDescent="0.2">
      <c r="B9" s="427" t="str">
        <f>Resumo!B50</f>
        <v>16517-4 - Área Meio - Projetos Meta do Contrato de Gestão</v>
      </c>
      <c r="C9" s="428">
        <f>SUM(SUMIFS('Diário 5º PA'!$F$5:$F$2634,'Diário 5º PA'!$O$5:$O$2634,B9,'Diário 5º PA'!$S$5:$S$2634,"entrada"),
SUMIFS('Diário 6º PA'!$F$5:$F$2246,'Diário 6º PA'!$O$5:$O$2246,B9,'Diário 6º PA'!$S$5:$S$2246,"entrada"),
SUMIFS('Diário 7º PA'!$F$5:$F$2271,'Diário 7º PA'!$O$5:$O$2271,B9,'Diário 7º PA'!$S$5:$S$2271,"entrada"),
SUMIFS('Diário 8º PA'!$F$5:$F$2488,'Diário 8º PA'!$O$5:$O$2488,B9,'Diário 8º PA'!$S$5:$S$2488,"entrada"))</f>
        <v>0</v>
      </c>
      <c r="D9" s="428">
        <f>SUM(SUMIFS('Diário 5º PA'!$F$5:$F$2634,'Diário 5º PA'!$O$5:$O$2634,B9,'Diário 5º PA'!$S$5:$S$2634,"saída"),
SUMIFS('Diário 6º PA'!$F$5:$F$2246,'Diário 6º PA'!$O$5:$O$2246,B9,'Diário 6º PA'!$S$5:$S$2246,"saída"),
SUMIFS('Diário 7º PA'!$F$5:$F$2271,'Diário 7º PA'!$O$5:$O$2271,B9,'Diário 7º PA'!$S$5:$S$2271,"saída"),
SUMIFS('Diário 8º PA'!$F$5:$F$2488,'Diário 8º PA'!$O$5:$O$2488,B9,'Diário 8º PA'!$S$5:$S$2488,"saída"))</f>
        <v>-27394.069999999992</v>
      </c>
      <c r="E9" s="428">
        <f t="shared" si="0"/>
        <v>27394.069999999992</v>
      </c>
      <c r="F9" s="428"/>
    </row>
    <row r="10" spans="2:6" ht="12.75" customHeight="1" x14ac:dyDescent="0.2">
      <c r="B10" s="427" t="s">
        <v>5151</v>
      </c>
      <c r="C10" s="428"/>
      <c r="D10" s="428"/>
      <c r="E10" s="428">
        <f>SUM(E4:E9)</f>
        <v>4225999.7110000262</v>
      </c>
      <c r="F10" s="428">
        <f>Resumo!$N$13</f>
        <v>6776491.0310000032</v>
      </c>
    </row>
    <row r="11" spans="2:6" ht="12.75" customHeight="1" x14ac:dyDescent="0.2"/>
    <row r="12" spans="2:6" ht="12.75" customHeight="1" x14ac:dyDescent="0.2"/>
    <row r="13" spans="2:6" ht="12.75" customHeight="1" x14ac:dyDescent="0.2"/>
    <row r="14" spans="2:6" ht="12.75" customHeight="1" x14ac:dyDescent="0.2"/>
    <row r="15" spans="2:6" ht="12.75" customHeight="1" x14ac:dyDescent="0.2"/>
    <row r="16" spans="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511811024" right="0.511811024" top="0.78740157499999996" bottom="0.78740157499999996"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showGridLines="0" workbookViewId="0">
      <selection activeCell="D6" sqref="D6"/>
    </sheetView>
  </sheetViews>
  <sheetFormatPr defaultColWidth="14.42578125" defaultRowHeight="15" customHeight="1" x14ac:dyDescent="0.2"/>
  <cols>
    <col min="1" max="1" width="135.28515625" customWidth="1"/>
    <col min="2" max="21" width="8.7109375" customWidth="1"/>
  </cols>
  <sheetData>
    <row r="1" spans="1:21" ht="12.75" customHeight="1" x14ac:dyDescent="0.2">
      <c r="A1" s="429" t="s">
        <v>5152</v>
      </c>
      <c r="B1" s="13"/>
      <c r="C1" s="13"/>
      <c r="D1" s="13"/>
      <c r="E1" s="13"/>
      <c r="F1" s="13"/>
      <c r="G1" s="13"/>
      <c r="H1" s="13"/>
      <c r="I1" s="13"/>
      <c r="J1" s="13"/>
      <c r="K1" s="13"/>
      <c r="L1" s="13"/>
      <c r="M1" s="13"/>
      <c r="N1" s="13"/>
      <c r="O1" s="13"/>
      <c r="P1" s="13"/>
      <c r="Q1" s="13"/>
      <c r="R1" s="13"/>
      <c r="S1" s="13"/>
      <c r="T1" s="13"/>
      <c r="U1" s="13"/>
    </row>
    <row r="2" spans="1:21" ht="39" customHeight="1" x14ac:dyDescent="0.2">
      <c r="A2" s="430"/>
      <c r="B2" s="13"/>
      <c r="C2" s="13"/>
      <c r="D2" s="13"/>
      <c r="E2" s="13"/>
      <c r="F2" s="13"/>
      <c r="G2" s="13"/>
      <c r="H2" s="13"/>
      <c r="I2" s="13"/>
      <c r="J2" s="13"/>
      <c r="K2" s="13"/>
      <c r="L2" s="13"/>
      <c r="M2" s="13"/>
      <c r="N2" s="13"/>
      <c r="O2" s="13"/>
      <c r="P2" s="13"/>
      <c r="Q2" s="13"/>
      <c r="R2" s="13"/>
      <c r="S2" s="13"/>
      <c r="T2" s="13"/>
      <c r="U2" s="13"/>
    </row>
    <row r="3" spans="1:21" ht="12.75" customHeight="1" x14ac:dyDescent="0.2">
      <c r="A3" s="431" t="str">
        <f>"Declaro, para todos os fins, que são verídicas todas as informações contidas neste relatório do "&amp;Capa!A1</f>
        <v>Declaro, para todos os fins, que são verídicas todas as informações contidas neste relatório do Contrato de Gestão nº. 05/20 celebrado entre a Fundação Clóvis Salgado e a Associação Pró-Cultura e Promoção das Artes</v>
      </c>
      <c r="B3" s="13"/>
      <c r="C3" s="13"/>
      <c r="D3" s="13"/>
      <c r="E3" s="13"/>
      <c r="F3" s="13"/>
      <c r="G3" s="13"/>
      <c r="H3" s="13"/>
      <c r="I3" s="13"/>
      <c r="J3" s="13"/>
      <c r="K3" s="13"/>
      <c r="L3" s="13"/>
      <c r="M3" s="13"/>
      <c r="N3" s="13"/>
      <c r="O3" s="13"/>
      <c r="P3" s="13"/>
      <c r="Q3" s="13"/>
      <c r="R3" s="13"/>
      <c r="S3" s="13"/>
      <c r="T3" s="13"/>
      <c r="U3" s="13"/>
    </row>
    <row r="4" spans="1:21" ht="46.5" customHeight="1" x14ac:dyDescent="0.2">
      <c r="A4" s="432" t="s">
        <v>5153</v>
      </c>
      <c r="B4" s="13"/>
      <c r="C4" s="13"/>
      <c r="D4" s="13"/>
      <c r="E4" s="13"/>
      <c r="F4" s="13"/>
      <c r="G4" s="13"/>
      <c r="H4" s="13"/>
      <c r="I4" s="13"/>
      <c r="J4" s="13"/>
      <c r="K4" s="13"/>
      <c r="L4" s="13"/>
      <c r="M4" s="13"/>
      <c r="N4" s="13"/>
      <c r="O4" s="13"/>
      <c r="P4" s="13"/>
      <c r="Q4" s="13"/>
      <c r="R4" s="13"/>
      <c r="S4" s="13"/>
      <c r="T4" s="13"/>
      <c r="U4" s="13"/>
    </row>
    <row r="5" spans="1:21" ht="12.75" customHeight="1" x14ac:dyDescent="0.2">
      <c r="A5" s="432" t="s">
        <v>1229</v>
      </c>
      <c r="B5" s="13"/>
      <c r="C5" s="13"/>
      <c r="D5" s="13"/>
      <c r="E5" s="13"/>
      <c r="F5" s="13"/>
      <c r="G5" s="13"/>
      <c r="H5" s="13"/>
      <c r="I5" s="13"/>
      <c r="J5" s="13"/>
      <c r="K5" s="13"/>
      <c r="L5" s="13"/>
      <c r="M5" s="13"/>
      <c r="N5" s="13"/>
      <c r="O5" s="13"/>
      <c r="P5" s="13"/>
      <c r="Q5" s="13"/>
      <c r="R5" s="13"/>
      <c r="S5" s="13"/>
      <c r="T5" s="13"/>
      <c r="U5" s="13"/>
    </row>
    <row r="6" spans="1:21" ht="12.75" customHeight="1" x14ac:dyDescent="0.2">
      <c r="A6" s="432" t="s">
        <v>5154</v>
      </c>
      <c r="B6" s="13"/>
      <c r="C6" s="13"/>
      <c r="D6" s="13"/>
      <c r="E6" s="13"/>
      <c r="F6" s="13"/>
      <c r="G6" s="13"/>
      <c r="H6" s="13"/>
      <c r="I6" s="13"/>
      <c r="J6" s="13"/>
      <c r="K6" s="13"/>
      <c r="L6" s="13"/>
      <c r="M6" s="13"/>
      <c r="N6" s="13"/>
      <c r="O6" s="13"/>
      <c r="P6" s="13"/>
      <c r="Q6" s="13"/>
      <c r="R6" s="13"/>
      <c r="S6" s="13"/>
      <c r="T6" s="13"/>
      <c r="U6" s="13"/>
    </row>
    <row r="7" spans="1:21" ht="12.75" customHeight="1" x14ac:dyDescent="0.2">
      <c r="A7" s="432" t="s">
        <v>5155</v>
      </c>
      <c r="B7" s="13"/>
      <c r="C7" s="13"/>
      <c r="D7" s="13"/>
      <c r="E7" s="13"/>
      <c r="F7" s="13"/>
      <c r="G7" s="13"/>
      <c r="H7" s="13"/>
      <c r="I7" s="13"/>
      <c r="J7" s="13"/>
      <c r="K7" s="13"/>
      <c r="L7" s="13"/>
      <c r="M7" s="13"/>
      <c r="N7" s="13"/>
      <c r="O7" s="13"/>
      <c r="P7" s="13"/>
      <c r="Q7" s="13"/>
      <c r="R7" s="13"/>
      <c r="S7" s="13"/>
      <c r="T7" s="13"/>
      <c r="U7" s="13"/>
    </row>
    <row r="8" spans="1:21" ht="12.75" customHeight="1" x14ac:dyDescent="0.2">
      <c r="A8" s="433"/>
      <c r="B8" s="13"/>
      <c r="C8" s="13"/>
      <c r="D8" s="13"/>
      <c r="E8" s="13"/>
      <c r="F8" s="13"/>
      <c r="G8" s="13"/>
      <c r="H8" s="13"/>
      <c r="I8" s="13"/>
      <c r="J8" s="13"/>
      <c r="K8" s="13"/>
      <c r="L8" s="13"/>
      <c r="M8" s="13"/>
      <c r="N8" s="13"/>
      <c r="O8" s="13"/>
      <c r="P8" s="13"/>
      <c r="Q8" s="13"/>
      <c r="R8" s="13"/>
      <c r="S8" s="13"/>
      <c r="T8" s="13"/>
      <c r="U8" s="13"/>
    </row>
    <row r="9" spans="1:21" ht="12.75" customHeight="1" x14ac:dyDescent="0.2">
      <c r="A9" s="432" t="s">
        <v>7437</v>
      </c>
      <c r="B9" s="13"/>
      <c r="C9" s="13"/>
      <c r="D9" s="13"/>
      <c r="E9" s="13"/>
      <c r="F9" s="13"/>
      <c r="G9" s="13"/>
      <c r="H9" s="13"/>
      <c r="I9" s="13"/>
      <c r="J9" s="13"/>
      <c r="K9" s="13"/>
      <c r="L9" s="13"/>
      <c r="M9" s="13"/>
      <c r="N9" s="13"/>
      <c r="O9" s="13"/>
      <c r="P9" s="13"/>
      <c r="Q9" s="13"/>
      <c r="R9" s="13"/>
      <c r="S9" s="13"/>
      <c r="T9" s="13"/>
      <c r="U9" s="13"/>
    </row>
    <row r="10" spans="1:21" ht="48.75" customHeight="1" x14ac:dyDescent="0.2">
      <c r="A10" s="432"/>
      <c r="B10" s="13"/>
      <c r="C10" s="13"/>
      <c r="D10" s="13"/>
      <c r="E10" s="13"/>
      <c r="F10" s="13"/>
      <c r="G10" s="13"/>
      <c r="H10" s="13"/>
      <c r="I10" s="13"/>
      <c r="J10" s="13"/>
      <c r="K10" s="13"/>
      <c r="L10" s="13"/>
      <c r="M10" s="13"/>
      <c r="N10" s="13"/>
      <c r="O10" s="13"/>
      <c r="P10" s="13"/>
      <c r="Q10" s="13"/>
      <c r="R10" s="13"/>
      <c r="S10" s="13"/>
      <c r="T10" s="13"/>
      <c r="U10" s="13"/>
    </row>
    <row r="11" spans="1:21" ht="12.75" customHeight="1" x14ac:dyDescent="0.2">
      <c r="A11" s="13"/>
      <c r="B11" s="13"/>
      <c r="C11" s="13"/>
      <c r="D11" s="13"/>
      <c r="E11" s="13"/>
      <c r="F11" s="13"/>
      <c r="G11" s="13"/>
      <c r="H11" s="13"/>
      <c r="I11" s="13"/>
      <c r="J11" s="13"/>
      <c r="K11" s="13"/>
      <c r="L11" s="13"/>
      <c r="M11" s="13"/>
      <c r="N11" s="13"/>
      <c r="O11" s="13"/>
      <c r="P11" s="13"/>
      <c r="Q11" s="13"/>
      <c r="R11" s="13"/>
      <c r="S11" s="13"/>
      <c r="T11" s="13"/>
      <c r="U11" s="13"/>
    </row>
    <row r="12" spans="1:21" ht="9.75" customHeight="1" x14ac:dyDescent="0.2">
      <c r="A12" s="13"/>
      <c r="B12" s="13"/>
      <c r="C12" s="13"/>
      <c r="D12" s="13"/>
      <c r="E12" s="13"/>
      <c r="F12" s="13"/>
      <c r="G12" s="13"/>
      <c r="H12" s="13"/>
      <c r="I12" s="13"/>
      <c r="J12" s="13"/>
      <c r="K12" s="13"/>
      <c r="L12" s="13"/>
      <c r="M12" s="13"/>
      <c r="N12" s="13"/>
      <c r="O12" s="13"/>
      <c r="P12" s="13"/>
      <c r="Q12" s="13"/>
      <c r="R12" s="13"/>
      <c r="S12" s="13"/>
      <c r="T12" s="13"/>
      <c r="U12" s="13"/>
    </row>
    <row r="13" spans="1:21" ht="12.75" customHeight="1" x14ac:dyDescent="0.2"/>
    <row r="14" spans="1:21" ht="12.75" customHeight="1" x14ac:dyDescent="0.2"/>
    <row r="15" spans="1:21" ht="12.75" customHeight="1" x14ac:dyDescent="0.2"/>
    <row r="16" spans="1:2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511811024" right="0.511811024" top="0.78740157499999996" bottom="0.7874015749999999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4.42578125" defaultRowHeight="15" customHeight="1" x14ac:dyDescent="0.2"/>
  <cols>
    <col min="1" max="1" width="47.85546875" customWidth="1"/>
    <col min="2" max="2" width="26.28515625" customWidth="1"/>
    <col min="3" max="3" width="29.5703125" customWidth="1"/>
    <col min="4" max="4" width="31.42578125" customWidth="1"/>
    <col min="5" max="6" width="31" customWidth="1"/>
    <col min="7" max="7" width="27.7109375" customWidth="1"/>
    <col min="8" max="8" width="10.140625" customWidth="1"/>
    <col min="9" max="9" width="15.140625" customWidth="1"/>
    <col min="10" max="10" width="2.7109375" customWidth="1"/>
    <col min="11" max="11" width="9.140625" customWidth="1"/>
    <col min="12" max="14" width="13.28515625" customWidth="1"/>
    <col min="15" max="15" width="0.7109375" customWidth="1"/>
    <col min="16" max="16" width="10.28515625" customWidth="1"/>
    <col min="17" max="17" width="13.28515625" customWidth="1"/>
    <col min="18" max="18" width="5.85546875" customWidth="1"/>
    <col min="19" max="26" width="9.140625" customWidth="1"/>
  </cols>
  <sheetData>
    <row r="1" spans="1:26" ht="35.25" customHeight="1" x14ac:dyDescent="0.2">
      <c r="A1" s="434" t="s">
        <v>77</v>
      </c>
      <c r="B1" s="434" t="s">
        <v>85</v>
      </c>
      <c r="C1" s="434" t="s">
        <v>88</v>
      </c>
      <c r="D1" s="434" t="s">
        <v>99</v>
      </c>
      <c r="E1" s="434" t="s">
        <v>101</v>
      </c>
      <c r="F1" s="434" t="s">
        <v>57</v>
      </c>
      <c r="G1" s="434" t="s">
        <v>104</v>
      </c>
      <c r="H1" s="435"/>
      <c r="I1" s="435"/>
      <c r="J1" s="436"/>
      <c r="K1" s="435"/>
      <c r="L1" s="435"/>
      <c r="M1" s="435"/>
      <c r="N1" s="435"/>
      <c r="O1" s="435"/>
      <c r="P1" s="435"/>
      <c r="Q1" s="435"/>
      <c r="R1" s="435"/>
      <c r="S1" s="435"/>
      <c r="T1" s="436"/>
      <c r="U1" s="436"/>
      <c r="V1" s="436"/>
      <c r="W1" s="436"/>
      <c r="X1" s="436"/>
      <c r="Y1" s="436"/>
      <c r="Z1" s="436"/>
    </row>
    <row r="2" spans="1:26" ht="12.75" customHeight="1" x14ac:dyDescent="0.2">
      <c r="A2" s="437" t="s">
        <v>79</v>
      </c>
      <c r="B2" s="297"/>
      <c r="C2" s="437" t="s">
        <v>90</v>
      </c>
      <c r="D2" s="437" t="s">
        <v>208</v>
      </c>
      <c r="E2" s="437" t="s">
        <v>389</v>
      </c>
      <c r="F2" s="437" t="s">
        <v>58</v>
      </c>
      <c r="G2" s="437" t="s">
        <v>104</v>
      </c>
      <c r="H2" s="435"/>
      <c r="I2" s="435"/>
      <c r="J2" s="435"/>
      <c r="K2" s="435"/>
      <c r="L2" s="435"/>
      <c r="M2" s="435"/>
      <c r="N2" s="435"/>
      <c r="O2" s="435"/>
      <c r="P2" s="435"/>
      <c r="Q2" s="435"/>
      <c r="R2" s="435"/>
      <c r="S2" s="435"/>
      <c r="T2" s="435"/>
      <c r="U2" s="435"/>
      <c r="V2" s="435"/>
      <c r="W2" s="435"/>
      <c r="X2" s="435"/>
      <c r="Y2" s="435"/>
      <c r="Z2" s="435"/>
    </row>
    <row r="3" spans="1:26" ht="12.75" customHeight="1" x14ac:dyDescent="0.2">
      <c r="A3" s="437" t="s">
        <v>147</v>
      </c>
      <c r="B3" s="297"/>
      <c r="C3" s="437" t="s">
        <v>153</v>
      </c>
      <c r="D3" s="437" t="s">
        <v>210</v>
      </c>
      <c r="E3" s="437" t="s">
        <v>391</v>
      </c>
      <c r="F3" s="437" t="s">
        <v>59</v>
      </c>
      <c r="G3" s="435"/>
      <c r="H3" s="435"/>
      <c r="I3" s="435"/>
      <c r="J3" s="435"/>
      <c r="K3" s="435"/>
      <c r="L3" s="435"/>
      <c r="M3" s="435"/>
      <c r="N3" s="435"/>
      <c r="O3" s="435"/>
      <c r="P3" s="435"/>
      <c r="Q3" s="435"/>
      <c r="R3" s="435"/>
      <c r="S3" s="435"/>
      <c r="T3" s="435"/>
      <c r="U3" s="435"/>
      <c r="V3" s="435"/>
      <c r="W3" s="435"/>
      <c r="X3" s="435"/>
      <c r="Y3" s="435"/>
      <c r="Z3" s="435"/>
    </row>
    <row r="4" spans="1:26" ht="12.75" customHeight="1" x14ac:dyDescent="0.2">
      <c r="A4" s="437" t="s">
        <v>83</v>
      </c>
      <c r="B4" s="297"/>
      <c r="C4" s="437" t="s">
        <v>155</v>
      </c>
      <c r="D4" s="437" t="s">
        <v>212</v>
      </c>
      <c r="E4" s="437" t="s">
        <v>393</v>
      </c>
      <c r="F4" s="435"/>
      <c r="G4" s="435"/>
      <c r="H4" s="435"/>
      <c r="I4" s="435"/>
      <c r="J4" s="435"/>
      <c r="K4" s="435"/>
      <c r="L4" s="435"/>
      <c r="M4" s="435"/>
      <c r="N4" s="435"/>
      <c r="O4" s="435"/>
      <c r="P4" s="435"/>
      <c r="Q4" s="435"/>
      <c r="R4" s="435"/>
      <c r="S4" s="435"/>
      <c r="T4" s="435"/>
      <c r="U4" s="435"/>
      <c r="V4" s="435"/>
      <c r="W4" s="435"/>
      <c r="X4" s="435"/>
      <c r="Y4" s="435"/>
      <c r="Z4" s="435"/>
    </row>
    <row r="5" spans="1:26" ht="28.5" customHeight="1" x14ac:dyDescent="0.2">
      <c r="A5" s="297"/>
      <c r="B5" s="435"/>
      <c r="C5" s="437" t="s">
        <v>157</v>
      </c>
      <c r="D5" s="437" t="s">
        <v>214</v>
      </c>
      <c r="E5" s="437" t="s">
        <v>395</v>
      </c>
      <c r="F5" s="438"/>
      <c r="G5" s="435"/>
      <c r="H5" s="435"/>
      <c r="I5" s="435"/>
      <c r="J5" s="435"/>
      <c r="K5" s="435"/>
      <c r="L5" s="435"/>
      <c r="M5" s="435"/>
      <c r="N5" s="435"/>
      <c r="O5" s="435"/>
      <c r="P5" s="435"/>
      <c r="Q5" s="435"/>
      <c r="R5" s="435"/>
      <c r="S5" s="435"/>
      <c r="T5" s="435"/>
      <c r="U5" s="435"/>
      <c r="V5" s="435"/>
      <c r="W5" s="435"/>
      <c r="X5" s="435"/>
      <c r="Y5" s="435"/>
      <c r="Z5" s="435"/>
    </row>
    <row r="6" spans="1:26" ht="12.75" customHeight="1" x14ac:dyDescent="0.2">
      <c r="A6" s="297"/>
      <c r="B6" s="297"/>
      <c r="C6" s="437" t="s">
        <v>159</v>
      </c>
      <c r="D6" s="437" t="s">
        <v>216</v>
      </c>
      <c r="E6" s="437" t="s">
        <v>397</v>
      </c>
      <c r="F6" s="438"/>
      <c r="G6" s="435"/>
      <c r="H6" s="435"/>
      <c r="I6" s="435"/>
      <c r="J6" s="435"/>
      <c r="K6" s="435"/>
      <c r="L6" s="435"/>
      <c r="M6" s="435"/>
      <c r="N6" s="435"/>
      <c r="O6" s="435"/>
      <c r="P6" s="435"/>
      <c r="Q6" s="435"/>
      <c r="R6" s="435"/>
      <c r="S6" s="435"/>
      <c r="T6" s="435"/>
      <c r="U6" s="435"/>
      <c r="V6" s="435"/>
      <c r="W6" s="435"/>
      <c r="X6" s="435"/>
      <c r="Y6" s="435"/>
      <c r="Z6" s="435"/>
    </row>
    <row r="7" spans="1:26" ht="12.75" customHeight="1" x14ac:dyDescent="0.2">
      <c r="A7" s="297"/>
      <c r="B7" s="297"/>
      <c r="C7" s="437" t="s">
        <v>162</v>
      </c>
      <c r="D7" s="437" t="s">
        <v>218</v>
      </c>
      <c r="E7" s="437" t="s">
        <v>399</v>
      </c>
      <c r="F7" s="438"/>
      <c r="G7" s="435"/>
      <c r="H7" s="435"/>
      <c r="I7" s="435"/>
      <c r="J7" s="435"/>
      <c r="K7" s="435"/>
      <c r="L7" s="435"/>
      <c r="M7" s="435"/>
      <c r="N7" s="435"/>
      <c r="O7" s="435"/>
      <c r="P7" s="435"/>
      <c r="Q7" s="435"/>
      <c r="R7" s="435"/>
      <c r="S7" s="435"/>
      <c r="T7" s="435"/>
      <c r="U7" s="435"/>
      <c r="V7" s="435"/>
      <c r="W7" s="435"/>
      <c r="X7" s="435"/>
      <c r="Y7" s="435"/>
      <c r="Z7" s="435"/>
    </row>
    <row r="8" spans="1:26" ht="12.75" customHeight="1" x14ac:dyDescent="0.2">
      <c r="A8" s="297"/>
      <c r="B8" s="297"/>
      <c r="C8" s="437" t="s">
        <v>164</v>
      </c>
      <c r="D8" s="437" t="s">
        <v>220</v>
      </c>
      <c r="E8" s="437" t="s">
        <v>401</v>
      </c>
      <c r="F8" s="438"/>
      <c r="G8" s="435"/>
      <c r="H8" s="435"/>
      <c r="I8" s="435"/>
      <c r="J8" s="435"/>
      <c r="K8" s="435"/>
      <c r="L8" s="435"/>
      <c r="M8" s="435"/>
      <c r="N8" s="435"/>
      <c r="O8" s="435"/>
      <c r="P8" s="435"/>
      <c r="Q8" s="435"/>
      <c r="R8" s="435"/>
      <c r="S8" s="435"/>
      <c r="T8" s="435"/>
      <c r="U8" s="435"/>
      <c r="V8" s="435"/>
      <c r="W8" s="435"/>
      <c r="X8" s="435"/>
      <c r="Y8" s="435"/>
      <c r="Z8" s="435"/>
    </row>
    <row r="9" spans="1:26" ht="12.75" customHeight="1" x14ac:dyDescent="0.2">
      <c r="A9" s="297"/>
      <c r="B9" s="297"/>
      <c r="C9" s="437" t="s">
        <v>167</v>
      </c>
      <c r="D9" s="437" t="s">
        <v>222</v>
      </c>
      <c r="E9" s="437" t="s">
        <v>403</v>
      </c>
      <c r="F9" s="438"/>
      <c r="G9" s="435"/>
      <c r="H9" s="435"/>
      <c r="I9" s="435"/>
      <c r="J9" s="435"/>
      <c r="K9" s="435"/>
      <c r="L9" s="435"/>
      <c r="M9" s="435"/>
      <c r="N9" s="435"/>
      <c r="O9" s="435"/>
      <c r="P9" s="435"/>
      <c r="Q9" s="435"/>
      <c r="R9" s="435"/>
      <c r="S9" s="435"/>
      <c r="T9" s="435"/>
      <c r="U9" s="435"/>
      <c r="V9" s="435"/>
      <c r="W9" s="435"/>
      <c r="X9" s="435"/>
      <c r="Y9" s="435"/>
      <c r="Z9" s="435"/>
    </row>
    <row r="10" spans="1:26" ht="12.75" customHeight="1" x14ac:dyDescent="0.2">
      <c r="A10" s="297"/>
      <c r="B10" s="297"/>
      <c r="C10" s="437" t="s">
        <v>169</v>
      </c>
      <c r="D10" s="437" t="s">
        <v>224</v>
      </c>
      <c r="E10" s="437" t="s">
        <v>405</v>
      </c>
      <c r="F10" s="438"/>
      <c r="G10" s="435"/>
      <c r="H10" s="435"/>
      <c r="I10" s="435"/>
      <c r="J10" s="435"/>
      <c r="K10" s="435"/>
      <c r="L10" s="435"/>
      <c r="M10" s="435"/>
      <c r="N10" s="435"/>
      <c r="O10" s="435"/>
      <c r="P10" s="435"/>
      <c r="Q10" s="435"/>
      <c r="R10" s="435"/>
      <c r="S10" s="435"/>
      <c r="T10" s="435"/>
      <c r="U10" s="435"/>
      <c r="V10" s="435"/>
      <c r="W10" s="435"/>
      <c r="X10" s="435"/>
      <c r="Y10" s="435"/>
      <c r="Z10" s="435"/>
    </row>
    <row r="11" spans="1:26" ht="12.75" customHeight="1" x14ac:dyDescent="0.2">
      <c r="A11" s="297"/>
      <c r="B11" s="297"/>
      <c r="C11" s="437" t="s">
        <v>171</v>
      </c>
      <c r="D11" s="437" t="s">
        <v>226</v>
      </c>
      <c r="E11" s="437" t="s">
        <v>407</v>
      </c>
      <c r="F11" s="438"/>
      <c r="G11" s="435"/>
      <c r="H11" s="435"/>
      <c r="I11" s="435"/>
      <c r="J11" s="435"/>
      <c r="K11" s="435"/>
      <c r="L11" s="435"/>
      <c r="M11" s="435"/>
      <c r="N11" s="435"/>
      <c r="O11" s="435"/>
      <c r="P11" s="435"/>
      <c r="Q11" s="435"/>
      <c r="R11" s="435"/>
      <c r="S11" s="435"/>
      <c r="T11" s="435"/>
      <c r="U11" s="435"/>
      <c r="V11" s="435"/>
      <c r="W11" s="435"/>
      <c r="X11" s="435"/>
      <c r="Y11" s="435"/>
      <c r="Z11" s="435"/>
    </row>
    <row r="12" spans="1:26" ht="12.75" customHeight="1" x14ac:dyDescent="0.2">
      <c r="A12" s="297"/>
      <c r="B12" s="297"/>
      <c r="C12" s="437" t="s">
        <v>173</v>
      </c>
      <c r="D12" s="437" t="s">
        <v>228</v>
      </c>
      <c r="E12" s="437" t="s">
        <v>409</v>
      </c>
      <c r="F12" s="438"/>
      <c r="G12" s="435"/>
      <c r="H12" s="435"/>
      <c r="I12" s="435"/>
      <c r="J12" s="435"/>
      <c r="K12" s="435"/>
      <c r="L12" s="435"/>
      <c r="M12" s="435"/>
      <c r="N12" s="435"/>
      <c r="O12" s="435"/>
      <c r="P12" s="435"/>
      <c r="Q12" s="435"/>
      <c r="R12" s="435"/>
      <c r="S12" s="435"/>
      <c r="T12" s="435"/>
      <c r="U12" s="435"/>
      <c r="V12" s="435"/>
      <c r="W12" s="435"/>
      <c r="X12" s="435"/>
      <c r="Y12" s="435"/>
      <c r="Z12" s="435"/>
    </row>
    <row r="13" spans="1:26" ht="12.75" customHeight="1" x14ac:dyDescent="0.2">
      <c r="A13" s="297"/>
      <c r="B13" s="297"/>
      <c r="C13" s="437" t="s">
        <v>175</v>
      </c>
      <c r="D13" s="437" t="s">
        <v>230</v>
      </c>
      <c r="E13" s="437" t="s">
        <v>411</v>
      </c>
      <c r="F13" s="438"/>
      <c r="G13" s="435"/>
      <c r="H13" s="435"/>
      <c r="I13" s="435"/>
      <c r="J13" s="435"/>
      <c r="K13" s="435"/>
      <c r="L13" s="435"/>
      <c r="M13" s="435"/>
      <c r="N13" s="435"/>
      <c r="O13" s="435"/>
      <c r="P13" s="435"/>
      <c r="Q13" s="435"/>
      <c r="R13" s="435"/>
      <c r="S13" s="435"/>
      <c r="T13" s="435"/>
      <c r="U13" s="435"/>
      <c r="V13" s="435"/>
      <c r="W13" s="435"/>
      <c r="X13" s="435"/>
      <c r="Y13" s="435"/>
      <c r="Z13" s="435"/>
    </row>
    <row r="14" spans="1:26" ht="12.75" customHeight="1" x14ac:dyDescent="0.2">
      <c r="A14" s="297"/>
      <c r="B14" s="297"/>
      <c r="C14" s="437" t="s">
        <v>177</v>
      </c>
      <c r="D14" s="437" t="s">
        <v>232</v>
      </c>
      <c r="E14" s="437" t="s">
        <v>413</v>
      </c>
      <c r="F14" s="438"/>
      <c r="G14" s="435"/>
      <c r="H14" s="435"/>
      <c r="I14" s="435"/>
      <c r="J14" s="435"/>
      <c r="K14" s="435"/>
      <c r="L14" s="435"/>
      <c r="M14" s="435"/>
      <c r="N14" s="435"/>
      <c r="O14" s="435"/>
      <c r="P14" s="435"/>
      <c r="Q14" s="435"/>
      <c r="R14" s="435"/>
      <c r="S14" s="435"/>
      <c r="T14" s="435"/>
      <c r="U14" s="435"/>
      <c r="V14" s="435"/>
      <c r="W14" s="435"/>
      <c r="X14" s="435"/>
      <c r="Y14" s="435"/>
      <c r="Z14" s="435"/>
    </row>
    <row r="15" spans="1:26" ht="12.75" customHeight="1" x14ac:dyDescent="0.2">
      <c r="A15" s="297"/>
      <c r="B15" s="297"/>
      <c r="C15" s="437" t="s">
        <v>179</v>
      </c>
      <c r="D15" s="437" t="s">
        <v>234</v>
      </c>
      <c r="E15" s="297"/>
      <c r="F15" s="438"/>
      <c r="G15" s="435"/>
      <c r="H15" s="435"/>
      <c r="I15" s="435"/>
      <c r="J15" s="435"/>
      <c r="K15" s="435"/>
      <c r="L15" s="435"/>
      <c r="M15" s="435"/>
      <c r="N15" s="435"/>
      <c r="O15" s="435"/>
      <c r="P15" s="435"/>
      <c r="Q15" s="435"/>
      <c r="R15" s="435"/>
      <c r="S15" s="435"/>
      <c r="T15" s="435"/>
      <c r="U15" s="435"/>
      <c r="V15" s="435"/>
      <c r="W15" s="435"/>
      <c r="X15" s="435"/>
      <c r="Y15" s="435"/>
      <c r="Z15" s="435"/>
    </row>
    <row r="16" spans="1:26" ht="12.75" customHeight="1" x14ac:dyDescent="0.2">
      <c r="A16" s="297"/>
      <c r="B16" s="297"/>
      <c r="C16" s="437" t="s">
        <v>181</v>
      </c>
      <c r="D16" s="437" t="s">
        <v>236</v>
      </c>
      <c r="E16" s="297"/>
      <c r="F16" s="297"/>
      <c r="G16" s="435"/>
      <c r="H16" s="435"/>
      <c r="I16" s="435"/>
      <c r="J16" s="435"/>
      <c r="K16" s="435"/>
      <c r="L16" s="435"/>
      <c r="M16" s="435"/>
      <c r="N16" s="435"/>
      <c r="O16" s="435"/>
      <c r="P16" s="435"/>
      <c r="Q16" s="435"/>
      <c r="R16" s="435"/>
      <c r="S16" s="435"/>
      <c r="T16" s="435"/>
      <c r="U16" s="435"/>
      <c r="V16" s="435"/>
      <c r="W16" s="435"/>
      <c r="X16" s="435"/>
      <c r="Y16" s="435"/>
      <c r="Z16" s="435"/>
    </row>
    <row r="17" spans="1:26" ht="12.75" customHeight="1" x14ac:dyDescent="0.2">
      <c r="A17" s="297"/>
      <c r="B17" s="297"/>
      <c r="C17" s="437" t="s">
        <v>183</v>
      </c>
      <c r="D17" s="437" t="s">
        <v>238</v>
      </c>
      <c r="E17" s="297"/>
      <c r="F17" s="297"/>
      <c r="G17" s="435"/>
      <c r="H17" s="435"/>
      <c r="I17" s="435"/>
      <c r="J17" s="435"/>
      <c r="K17" s="435"/>
      <c r="L17" s="435"/>
      <c r="M17" s="435"/>
      <c r="N17" s="435"/>
      <c r="O17" s="435"/>
      <c r="P17" s="435"/>
      <c r="Q17" s="435"/>
      <c r="R17" s="435"/>
      <c r="S17" s="435"/>
      <c r="T17" s="435"/>
      <c r="U17" s="435"/>
      <c r="V17" s="435"/>
      <c r="W17" s="435"/>
      <c r="X17" s="435"/>
      <c r="Y17" s="435"/>
      <c r="Z17" s="435"/>
    </row>
    <row r="18" spans="1:26" ht="12.75" customHeight="1" x14ac:dyDescent="0.2">
      <c r="A18" s="297"/>
      <c r="B18" s="297"/>
      <c r="C18" s="437" t="s">
        <v>185</v>
      </c>
      <c r="D18" s="437" t="s">
        <v>240</v>
      </c>
      <c r="E18" s="297"/>
      <c r="F18" s="297"/>
      <c r="G18" s="435"/>
      <c r="H18" s="435"/>
      <c r="I18" s="435"/>
      <c r="J18" s="435"/>
      <c r="K18" s="435"/>
      <c r="L18" s="435"/>
      <c r="M18" s="435"/>
      <c r="N18" s="435"/>
      <c r="O18" s="435"/>
      <c r="P18" s="435"/>
      <c r="Q18" s="435"/>
      <c r="R18" s="435"/>
      <c r="S18" s="435"/>
      <c r="T18" s="435"/>
      <c r="U18" s="435"/>
      <c r="V18" s="435"/>
      <c r="W18" s="435"/>
      <c r="X18" s="435"/>
      <c r="Y18" s="435"/>
      <c r="Z18" s="435"/>
    </row>
    <row r="19" spans="1:26" ht="12.75" customHeight="1" x14ac:dyDescent="0.2">
      <c r="A19" s="297"/>
      <c r="B19" s="297"/>
      <c r="C19" s="437" t="s">
        <v>187</v>
      </c>
      <c r="D19" s="437" t="s">
        <v>242</v>
      </c>
      <c r="E19" s="297"/>
      <c r="F19" s="297"/>
      <c r="G19" s="435"/>
      <c r="H19" s="435"/>
      <c r="I19" s="435"/>
      <c r="J19" s="435"/>
      <c r="K19" s="435"/>
      <c r="L19" s="435"/>
      <c r="M19" s="435"/>
      <c r="N19" s="435"/>
      <c r="O19" s="435"/>
      <c r="P19" s="435"/>
      <c r="Q19" s="435"/>
      <c r="R19" s="435"/>
      <c r="S19" s="435"/>
      <c r="T19" s="435"/>
      <c r="U19" s="435"/>
      <c r="V19" s="435"/>
      <c r="W19" s="435"/>
      <c r="X19" s="435"/>
      <c r="Y19" s="435"/>
      <c r="Z19" s="435"/>
    </row>
    <row r="20" spans="1:26" ht="12.75" customHeight="1" x14ac:dyDescent="0.2">
      <c r="A20" s="297"/>
      <c r="B20" s="297"/>
      <c r="C20" s="437" t="s">
        <v>189</v>
      </c>
      <c r="D20" s="437" t="s">
        <v>244</v>
      </c>
      <c r="E20" s="297"/>
      <c r="F20" s="297"/>
      <c r="G20" s="435"/>
      <c r="H20" s="435"/>
      <c r="I20" s="435"/>
      <c r="J20" s="435"/>
      <c r="K20" s="435"/>
      <c r="L20" s="435"/>
      <c r="M20" s="435"/>
      <c r="N20" s="435"/>
      <c r="O20" s="435"/>
      <c r="P20" s="435"/>
      <c r="Q20" s="435"/>
      <c r="R20" s="435"/>
      <c r="S20" s="435"/>
      <c r="T20" s="435"/>
      <c r="U20" s="435"/>
      <c r="V20" s="435"/>
      <c r="W20" s="435"/>
      <c r="X20" s="435"/>
      <c r="Y20" s="435"/>
      <c r="Z20" s="435"/>
    </row>
    <row r="21" spans="1:26" ht="12.75" customHeight="1" x14ac:dyDescent="0.2">
      <c r="A21" s="297"/>
      <c r="B21" s="297"/>
      <c r="C21" s="437" t="s">
        <v>192</v>
      </c>
      <c r="D21" s="437" t="s">
        <v>246</v>
      </c>
      <c r="E21" s="297"/>
      <c r="F21" s="297"/>
      <c r="G21" s="435"/>
      <c r="H21" s="435"/>
      <c r="I21" s="435"/>
      <c r="J21" s="435"/>
      <c r="K21" s="435"/>
      <c r="L21" s="435"/>
      <c r="M21" s="435"/>
      <c r="N21" s="435"/>
      <c r="O21" s="435"/>
      <c r="P21" s="435"/>
      <c r="Q21" s="435"/>
      <c r="R21" s="435"/>
      <c r="S21" s="435"/>
      <c r="T21" s="435"/>
      <c r="U21" s="435"/>
      <c r="V21" s="435"/>
      <c r="W21" s="435"/>
      <c r="X21" s="435"/>
      <c r="Y21" s="435"/>
      <c r="Z21" s="435"/>
    </row>
    <row r="22" spans="1:26" ht="12.75" customHeight="1" x14ac:dyDescent="0.2">
      <c r="A22" s="297"/>
      <c r="B22" s="297"/>
      <c r="C22" s="437" t="s">
        <v>194</v>
      </c>
      <c r="D22" s="437" t="s">
        <v>248</v>
      </c>
      <c r="E22" s="297"/>
      <c r="F22" s="297"/>
      <c r="G22" s="435"/>
      <c r="H22" s="435"/>
      <c r="I22" s="435"/>
      <c r="J22" s="435"/>
      <c r="K22" s="435"/>
      <c r="L22" s="435"/>
      <c r="M22" s="435"/>
      <c r="N22" s="435"/>
      <c r="O22" s="435"/>
      <c r="P22" s="435"/>
      <c r="Q22" s="435"/>
      <c r="R22" s="435"/>
      <c r="S22" s="435"/>
      <c r="T22" s="435"/>
      <c r="U22" s="435"/>
      <c r="V22" s="435"/>
      <c r="W22" s="435"/>
      <c r="X22" s="435"/>
      <c r="Y22" s="435"/>
      <c r="Z22" s="435"/>
    </row>
    <row r="23" spans="1:26" ht="12.75" customHeight="1" x14ac:dyDescent="0.2">
      <c r="A23" s="297"/>
      <c r="B23" s="297"/>
      <c r="C23" s="437" t="s">
        <v>196</v>
      </c>
      <c r="D23" s="437" t="s">
        <v>250</v>
      </c>
      <c r="E23" s="297"/>
      <c r="F23" s="297"/>
      <c r="G23" s="435"/>
      <c r="H23" s="435"/>
      <c r="I23" s="435"/>
      <c r="J23" s="435"/>
      <c r="K23" s="435"/>
      <c r="L23" s="435"/>
      <c r="M23" s="435"/>
      <c r="N23" s="435"/>
      <c r="O23" s="435"/>
      <c r="P23" s="435"/>
      <c r="Q23" s="435"/>
      <c r="R23" s="435"/>
      <c r="S23" s="435"/>
      <c r="T23" s="435"/>
      <c r="U23" s="435"/>
      <c r="V23" s="435"/>
      <c r="W23" s="435"/>
      <c r="X23" s="435"/>
      <c r="Y23" s="435"/>
      <c r="Z23" s="435"/>
    </row>
    <row r="24" spans="1:26" ht="12.75" customHeight="1" x14ac:dyDescent="0.2">
      <c r="A24" s="297"/>
      <c r="B24" s="297"/>
      <c r="C24" s="437" t="s">
        <v>198</v>
      </c>
      <c r="D24" s="437" t="s">
        <v>252</v>
      </c>
      <c r="E24" s="297"/>
      <c r="F24" s="297"/>
      <c r="G24" s="435"/>
      <c r="H24" s="435"/>
      <c r="I24" s="435"/>
      <c r="J24" s="435"/>
      <c r="K24" s="435"/>
      <c r="L24" s="435"/>
      <c r="M24" s="435"/>
      <c r="N24" s="435"/>
      <c r="O24" s="435"/>
      <c r="P24" s="435"/>
      <c r="Q24" s="435"/>
      <c r="R24" s="435"/>
      <c r="S24" s="435"/>
      <c r="T24" s="435"/>
      <c r="U24" s="435"/>
      <c r="V24" s="435"/>
      <c r="W24" s="435"/>
      <c r="X24" s="435"/>
      <c r="Y24" s="435"/>
      <c r="Z24" s="435"/>
    </row>
    <row r="25" spans="1:26" ht="12.75" customHeight="1" x14ac:dyDescent="0.2">
      <c r="A25" s="297"/>
      <c r="B25" s="297"/>
      <c r="C25" s="437" t="s">
        <v>200</v>
      </c>
      <c r="D25" s="437" t="s">
        <v>254</v>
      </c>
      <c r="E25" s="297"/>
      <c r="F25" s="297"/>
      <c r="G25" s="435"/>
      <c r="H25" s="435"/>
      <c r="I25" s="435"/>
      <c r="J25" s="435"/>
      <c r="K25" s="435"/>
      <c r="L25" s="435"/>
      <c r="M25" s="435"/>
      <c r="N25" s="435"/>
      <c r="O25" s="435"/>
      <c r="P25" s="435"/>
      <c r="Q25" s="435"/>
      <c r="R25" s="435"/>
      <c r="S25" s="435"/>
      <c r="T25" s="435"/>
      <c r="U25" s="435"/>
      <c r="V25" s="435"/>
      <c r="W25" s="435"/>
      <c r="X25" s="435"/>
      <c r="Y25" s="435"/>
      <c r="Z25" s="435"/>
    </row>
    <row r="26" spans="1:26" ht="12.75" customHeight="1" x14ac:dyDescent="0.2">
      <c r="A26" s="297"/>
      <c r="B26" s="297"/>
      <c r="C26" s="437" t="s">
        <v>202</v>
      </c>
      <c r="D26" s="437" t="s">
        <v>256</v>
      </c>
      <c r="E26" s="297"/>
      <c r="F26" s="297"/>
      <c r="G26" s="435"/>
      <c r="H26" s="435"/>
      <c r="I26" s="435"/>
      <c r="J26" s="435"/>
      <c r="K26" s="435"/>
      <c r="L26" s="435"/>
      <c r="M26" s="435"/>
      <c r="N26" s="435"/>
      <c r="O26" s="435"/>
      <c r="P26" s="435"/>
      <c r="Q26" s="435"/>
      <c r="R26" s="435"/>
      <c r="S26" s="435"/>
      <c r="T26" s="435"/>
      <c r="U26" s="435"/>
      <c r="V26" s="435"/>
      <c r="W26" s="435"/>
      <c r="X26" s="435"/>
      <c r="Y26" s="435"/>
      <c r="Z26" s="435"/>
    </row>
    <row r="27" spans="1:26" ht="12.75" customHeight="1" x14ac:dyDescent="0.2">
      <c r="A27" s="297"/>
      <c r="B27" s="297"/>
      <c r="C27" s="437" t="s">
        <v>204</v>
      </c>
      <c r="D27" s="437" t="s">
        <v>258</v>
      </c>
      <c r="E27" s="297"/>
      <c r="F27" s="297"/>
      <c r="G27" s="435"/>
      <c r="H27" s="435"/>
      <c r="I27" s="435"/>
      <c r="J27" s="435"/>
      <c r="K27" s="435"/>
      <c r="L27" s="435"/>
      <c r="M27" s="435"/>
      <c r="N27" s="435"/>
      <c r="O27" s="435"/>
      <c r="P27" s="435"/>
      <c r="Q27" s="435"/>
      <c r="R27" s="435"/>
      <c r="S27" s="435"/>
      <c r="T27" s="435"/>
      <c r="U27" s="435"/>
      <c r="V27" s="435"/>
      <c r="W27" s="435"/>
      <c r="X27" s="435"/>
      <c r="Y27" s="435"/>
      <c r="Z27" s="435"/>
    </row>
    <row r="28" spans="1:26" ht="12.75" customHeight="1" x14ac:dyDescent="0.2">
      <c r="A28" s="297"/>
      <c r="B28" s="297"/>
      <c r="C28" s="297"/>
      <c r="D28" s="437" t="s">
        <v>260</v>
      </c>
      <c r="E28" s="297"/>
      <c r="F28" s="297"/>
      <c r="G28" s="435"/>
      <c r="H28" s="435"/>
      <c r="I28" s="435"/>
      <c r="J28" s="435"/>
      <c r="K28" s="435"/>
      <c r="L28" s="435"/>
      <c r="M28" s="435"/>
      <c r="N28" s="435"/>
      <c r="O28" s="435"/>
      <c r="P28" s="435"/>
      <c r="Q28" s="435"/>
      <c r="R28" s="435"/>
      <c r="S28" s="435"/>
      <c r="T28" s="435"/>
      <c r="U28" s="435"/>
      <c r="V28" s="435"/>
      <c r="W28" s="435"/>
      <c r="X28" s="435"/>
      <c r="Y28" s="435"/>
      <c r="Z28" s="435"/>
    </row>
    <row r="29" spans="1:26" ht="12.75" customHeight="1" x14ac:dyDescent="0.2">
      <c r="A29" s="297"/>
      <c r="B29" s="297"/>
      <c r="C29" s="297"/>
      <c r="D29" s="437" t="s">
        <v>262</v>
      </c>
      <c r="E29" s="297"/>
      <c r="F29" s="297"/>
      <c r="G29" s="435"/>
      <c r="H29" s="435"/>
      <c r="I29" s="435"/>
      <c r="J29" s="435"/>
      <c r="K29" s="435"/>
      <c r="L29" s="435"/>
      <c r="M29" s="435"/>
      <c r="N29" s="435"/>
      <c r="O29" s="435"/>
      <c r="P29" s="435"/>
      <c r="Q29" s="435"/>
      <c r="R29" s="435"/>
      <c r="S29" s="435"/>
      <c r="T29" s="435"/>
      <c r="U29" s="435"/>
      <c r="V29" s="435"/>
      <c r="W29" s="435"/>
      <c r="X29" s="435"/>
      <c r="Y29" s="435"/>
      <c r="Z29" s="435"/>
    </row>
    <row r="30" spans="1:26" ht="12.75" customHeight="1" x14ac:dyDescent="0.2">
      <c r="A30" s="297"/>
      <c r="B30" s="297"/>
      <c r="C30" s="297"/>
      <c r="D30" s="437" t="s">
        <v>264</v>
      </c>
      <c r="E30" s="297"/>
      <c r="F30" s="297"/>
      <c r="G30" s="435"/>
      <c r="H30" s="435"/>
      <c r="I30" s="435"/>
      <c r="J30" s="435"/>
      <c r="K30" s="435"/>
      <c r="L30" s="435"/>
      <c r="M30" s="435"/>
      <c r="N30" s="435"/>
      <c r="O30" s="435"/>
      <c r="P30" s="435"/>
      <c r="Q30" s="435"/>
      <c r="R30" s="435"/>
      <c r="S30" s="435"/>
      <c r="T30" s="435"/>
      <c r="U30" s="435"/>
      <c r="V30" s="435"/>
      <c r="W30" s="435"/>
      <c r="X30" s="435"/>
      <c r="Y30" s="435"/>
      <c r="Z30" s="435"/>
    </row>
    <row r="31" spans="1:26" ht="12.75" customHeight="1" x14ac:dyDescent="0.2">
      <c r="A31" s="297"/>
      <c r="B31" s="297"/>
      <c r="C31" s="297"/>
      <c r="D31" s="437" t="s">
        <v>266</v>
      </c>
      <c r="E31" s="297"/>
      <c r="F31" s="297"/>
      <c r="G31" s="435"/>
      <c r="H31" s="435"/>
      <c r="I31" s="435"/>
      <c r="J31" s="435"/>
      <c r="K31" s="435"/>
      <c r="L31" s="435"/>
      <c r="M31" s="435"/>
      <c r="N31" s="435"/>
      <c r="O31" s="435"/>
      <c r="P31" s="435"/>
      <c r="Q31" s="435"/>
      <c r="R31" s="435"/>
      <c r="S31" s="435"/>
      <c r="T31" s="435"/>
      <c r="U31" s="435"/>
      <c r="V31" s="435"/>
      <c r="W31" s="435"/>
      <c r="X31" s="435"/>
      <c r="Y31" s="435"/>
      <c r="Z31" s="435"/>
    </row>
    <row r="32" spans="1:26" ht="12.75" customHeight="1" x14ac:dyDescent="0.2">
      <c r="A32" s="297"/>
      <c r="B32" s="297"/>
      <c r="C32" s="297"/>
      <c r="D32" s="437" t="s">
        <v>268</v>
      </c>
      <c r="E32" s="297"/>
      <c r="F32" s="297"/>
      <c r="G32" s="435"/>
      <c r="H32" s="435"/>
      <c r="I32" s="435"/>
      <c r="J32" s="435"/>
      <c r="K32" s="435"/>
      <c r="L32" s="435"/>
      <c r="M32" s="435"/>
      <c r="N32" s="435"/>
      <c r="O32" s="435"/>
      <c r="P32" s="435"/>
      <c r="Q32" s="435"/>
      <c r="R32" s="435"/>
      <c r="S32" s="435"/>
      <c r="T32" s="435"/>
      <c r="U32" s="435"/>
      <c r="V32" s="435"/>
      <c r="W32" s="435"/>
      <c r="X32" s="435"/>
      <c r="Y32" s="435"/>
      <c r="Z32" s="435"/>
    </row>
    <row r="33" spans="1:26" ht="12.75" customHeight="1" x14ac:dyDescent="0.2">
      <c r="A33" s="297"/>
      <c r="B33" s="297"/>
      <c r="C33" s="297"/>
      <c r="D33" s="437" t="s">
        <v>270</v>
      </c>
      <c r="E33" s="297"/>
      <c r="F33" s="297"/>
      <c r="G33" s="435"/>
      <c r="H33" s="435"/>
      <c r="I33" s="435"/>
      <c r="J33" s="435"/>
      <c r="K33" s="435"/>
      <c r="L33" s="435"/>
      <c r="M33" s="435"/>
      <c r="N33" s="435"/>
      <c r="O33" s="435"/>
      <c r="P33" s="435"/>
      <c r="Q33" s="435"/>
      <c r="R33" s="435"/>
      <c r="S33" s="435"/>
      <c r="T33" s="435"/>
      <c r="U33" s="435"/>
      <c r="V33" s="435"/>
      <c r="W33" s="435"/>
      <c r="X33" s="435"/>
      <c r="Y33" s="435"/>
      <c r="Z33" s="435"/>
    </row>
    <row r="34" spans="1:26" ht="12.75" customHeight="1" x14ac:dyDescent="0.2">
      <c r="A34" s="297"/>
      <c r="B34" s="297"/>
      <c r="C34" s="297"/>
      <c r="D34" s="437" t="s">
        <v>272</v>
      </c>
      <c r="E34" s="297"/>
      <c r="F34" s="297"/>
      <c r="G34" s="435"/>
      <c r="H34" s="435"/>
      <c r="I34" s="435"/>
      <c r="J34" s="435"/>
      <c r="K34" s="435"/>
      <c r="L34" s="435"/>
      <c r="M34" s="435"/>
      <c r="N34" s="435"/>
      <c r="O34" s="435"/>
      <c r="P34" s="435"/>
      <c r="Q34" s="435"/>
      <c r="R34" s="435"/>
      <c r="S34" s="435"/>
      <c r="T34" s="435"/>
      <c r="U34" s="435"/>
      <c r="V34" s="435"/>
      <c r="W34" s="435"/>
      <c r="X34" s="435"/>
      <c r="Y34" s="435"/>
      <c r="Z34" s="435"/>
    </row>
    <row r="35" spans="1:26" ht="12.75" customHeight="1" x14ac:dyDescent="0.2">
      <c r="A35" s="297"/>
      <c r="B35" s="297"/>
      <c r="C35" s="297"/>
      <c r="D35" s="437" t="s">
        <v>274</v>
      </c>
      <c r="E35" s="297"/>
      <c r="F35" s="297"/>
      <c r="G35" s="435"/>
      <c r="H35" s="435"/>
      <c r="I35" s="435"/>
      <c r="J35" s="435"/>
      <c r="K35" s="435"/>
      <c r="L35" s="435"/>
      <c r="M35" s="435"/>
      <c r="N35" s="435"/>
      <c r="O35" s="435"/>
      <c r="P35" s="435"/>
      <c r="Q35" s="435"/>
      <c r="R35" s="435"/>
      <c r="S35" s="435"/>
      <c r="T35" s="435"/>
      <c r="U35" s="435"/>
      <c r="V35" s="435"/>
      <c r="W35" s="435"/>
      <c r="X35" s="435"/>
      <c r="Y35" s="435"/>
      <c r="Z35" s="435"/>
    </row>
    <row r="36" spans="1:26" ht="12.75" customHeight="1" x14ac:dyDescent="0.2">
      <c r="A36" s="297"/>
      <c r="B36" s="297"/>
      <c r="C36" s="297"/>
      <c r="D36" s="437" t="s">
        <v>276</v>
      </c>
      <c r="E36" s="297"/>
      <c r="F36" s="297"/>
      <c r="G36" s="435"/>
      <c r="H36" s="435"/>
      <c r="I36" s="435"/>
      <c r="J36" s="435"/>
      <c r="K36" s="435"/>
      <c r="L36" s="435"/>
      <c r="M36" s="435"/>
      <c r="N36" s="435"/>
      <c r="O36" s="435"/>
      <c r="P36" s="435"/>
      <c r="Q36" s="435"/>
      <c r="R36" s="435"/>
      <c r="S36" s="435"/>
      <c r="T36" s="435"/>
      <c r="U36" s="435"/>
      <c r="V36" s="435"/>
      <c r="W36" s="435"/>
      <c r="X36" s="435"/>
      <c r="Y36" s="435"/>
      <c r="Z36" s="435"/>
    </row>
    <row r="37" spans="1:26" ht="12.75" customHeight="1" x14ac:dyDescent="0.2">
      <c r="A37" s="297"/>
      <c r="B37" s="297"/>
      <c r="C37" s="297"/>
      <c r="D37" s="437" t="s">
        <v>278</v>
      </c>
      <c r="E37" s="297"/>
      <c r="F37" s="297"/>
      <c r="G37" s="435"/>
      <c r="H37" s="435"/>
      <c r="I37" s="435"/>
      <c r="J37" s="435"/>
      <c r="K37" s="435"/>
      <c r="L37" s="435"/>
      <c r="M37" s="435"/>
      <c r="N37" s="435"/>
      <c r="O37" s="435"/>
      <c r="P37" s="435"/>
      <c r="Q37" s="435"/>
      <c r="R37" s="435"/>
      <c r="S37" s="435"/>
      <c r="T37" s="435"/>
      <c r="U37" s="435"/>
      <c r="V37" s="435"/>
      <c r="W37" s="435"/>
      <c r="X37" s="435"/>
      <c r="Y37" s="435"/>
      <c r="Z37" s="435"/>
    </row>
    <row r="38" spans="1:26" ht="12.75" customHeight="1" x14ac:dyDescent="0.2">
      <c r="A38" s="297"/>
      <c r="B38" s="297"/>
      <c r="C38" s="297"/>
      <c r="D38" s="437" t="s">
        <v>280</v>
      </c>
      <c r="E38" s="297"/>
      <c r="F38" s="297"/>
      <c r="G38" s="435"/>
      <c r="H38" s="435"/>
      <c r="I38" s="435"/>
      <c r="J38" s="435"/>
      <c r="K38" s="435"/>
      <c r="L38" s="435"/>
      <c r="M38" s="435"/>
      <c r="N38" s="435"/>
      <c r="O38" s="435"/>
      <c r="P38" s="435"/>
      <c r="Q38" s="435"/>
      <c r="R38" s="435"/>
      <c r="S38" s="435"/>
      <c r="T38" s="435"/>
      <c r="U38" s="435"/>
      <c r="V38" s="435"/>
      <c r="W38" s="435"/>
      <c r="X38" s="435"/>
      <c r="Y38" s="435"/>
      <c r="Z38" s="435"/>
    </row>
    <row r="39" spans="1:26" ht="12.75" customHeight="1" x14ac:dyDescent="0.2">
      <c r="A39" s="297"/>
      <c r="B39" s="297"/>
      <c r="C39" s="297"/>
      <c r="D39" s="437" t="s">
        <v>282</v>
      </c>
      <c r="E39" s="297"/>
      <c r="F39" s="297"/>
      <c r="G39" s="435"/>
      <c r="H39" s="435"/>
      <c r="I39" s="435"/>
      <c r="J39" s="435"/>
      <c r="K39" s="435"/>
      <c r="L39" s="435"/>
      <c r="M39" s="435"/>
      <c r="N39" s="435"/>
      <c r="O39" s="435"/>
      <c r="P39" s="435"/>
      <c r="Q39" s="435"/>
      <c r="R39" s="435"/>
      <c r="S39" s="435"/>
      <c r="T39" s="435"/>
      <c r="U39" s="435"/>
      <c r="V39" s="435"/>
      <c r="W39" s="435"/>
      <c r="X39" s="435"/>
      <c r="Y39" s="435"/>
      <c r="Z39" s="435"/>
    </row>
    <row r="40" spans="1:26" ht="12.75" customHeight="1" x14ac:dyDescent="0.2">
      <c r="A40" s="297"/>
      <c r="B40" s="297"/>
      <c r="C40" s="297"/>
      <c r="D40" s="437" t="s">
        <v>284</v>
      </c>
      <c r="E40" s="297"/>
      <c r="F40" s="297"/>
      <c r="G40" s="435"/>
      <c r="H40" s="435"/>
      <c r="I40" s="435"/>
      <c r="J40" s="435"/>
      <c r="K40" s="435"/>
      <c r="L40" s="435"/>
      <c r="M40" s="435"/>
      <c r="N40" s="435"/>
      <c r="O40" s="435"/>
      <c r="P40" s="435"/>
      <c r="Q40" s="435"/>
      <c r="R40" s="435"/>
      <c r="S40" s="435"/>
      <c r="T40" s="435"/>
      <c r="U40" s="435"/>
      <c r="V40" s="435"/>
      <c r="W40" s="435"/>
      <c r="X40" s="435"/>
      <c r="Y40" s="435"/>
      <c r="Z40" s="435"/>
    </row>
    <row r="41" spans="1:26" ht="12.75" customHeight="1" x14ac:dyDescent="0.2">
      <c r="A41" s="297"/>
      <c r="B41" s="297"/>
      <c r="C41" s="297"/>
      <c r="D41" s="437" t="s">
        <v>286</v>
      </c>
      <c r="E41" s="297"/>
      <c r="F41" s="297"/>
      <c r="G41" s="435"/>
      <c r="H41" s="435"/>
      <c r="I41" s="435"/>
      <c r="J41" s="435"/>
      <c r="K41" s="435"/>
      <c r="L41" s="435"/>
      <c r="M41" s="435"/>
      <c r="N41" s="435"/>
      <c r="O41" s="435"/>
      <c r="P41" s="435"/>
      <c r="Q41" s="435"/>
      <c r="R41" s="435"/>
      <c r="S41" s="435"/>
      <c r="T41" s="435"/>
      <c r="U41" s="435"/>
      <c r="V41" s="435"/>
      <c r="W41" s="435"/>
      <c r="X41" s="435"/>
      <c r="Y41" s="435"/>
      <c r="Z41" s="435"/>
    </row>
    <row r="42" spans="1:26" ht="12.75" customHeight="1" x14ac:dyDescent="0.2">
      <c r="A42" s="297"/>
      <c r="B42" s="297"/>
      <c r="C42" s="297"/>
      <c r="D42" s="437" t="s">
        <v>288</v>
      </c>
      <c r="E42" s="297"/>
      <c r="F42" s="297"/>
      <c r="G42" s="435"/>
      <c r="H42" s="435"/>
      <c r="I42" s="435"/>
      <c r="J42" s="435"/>
      <c r="K42" s="435"/>
      <c r="L42" s="435"/>
      <c r="M42" s="435"/>
      <c r="N42" s="435"/>
      <c r="O42" s="435"/>
      <c r="P42" s="435"/>
      <c r="Q42" s="435"/>
      <c r="R42" s="435"/>
      <c r="S42" s="435"/>
      <c r="T42" s="435"/>
      <c r="U42" s="435"/>
      <c r="V42" s="435"/>
      <c r="W42" s="435"/>
      <c r="X42" s="435"/>
      <c r="Y42" s="435"/>
      <c r="Z42" s="435"/>
    </row>
    <row r="43" spans="1:26" ht="12.75" customHeight="1" x14ac:dyDescent="0.2">
      <c r="A43" s="297"/>
      <c r="B43" s="297"/>
      <c r="C43" s="297"/>
      <c r="D43" s="437" t="s">
        <v>290</v>
      </c>
      <c r="E43" s="297"/>
      <c r="F43" s="297"/>
      <c r="G43" s="435"/>
      <c r="H43" s="435"/>
      <c r="I43" s="435"/>
      <c r="J43" s="435"/>
      <c r="K43" s="435"/>
      <c r="L43" s="435"/>
      <c r="M43" s="435"/>
      <c r="N43" s="435"/>
      <c r="O43" s="435"/>
      <c r="P43" s="435"/>
      <c r="Q43" s="435"/>
      <c r="R43" s="435"/>
      <c r="S43" s="435"/>
      <c r="T43" s="435"/>
      <c r="U43" s="435"/>
      <c r="V43" s="435"/>
      <c r="W43" s="435"/>
      <c r="X43" s="435"/>
      <c r="Y43" s="435"/>
      <c r="Z43" s="435"/>
    </row>
    <row r="44" spans="1:26" ht="12.75" customHeight="1" x14ac:dyDescent="0.2">
      <c r="A44" s="297"/>
      <c r="B44" s="297"/>
      <c r="C44" s="297"/>
      <c r="D44" s="437" t="s">
        <v>292</v>
      </c>
      <c r="E44" s="297"/>
      <c r="F44" s="297"/>
      <c r="G44" s="435"/>
      <c r="H44" s="435"/>
      <c r="I44" s="435"/>
      <c r="J44" s="435"/>
      <c r="K44" s="435"/>
      <c r="L44" s="435"/>
      <c r="M44" s="435"/>
      <c r="N44" s="435"/>
      <c r="O44" s="435"/>
      <c r="P44" s="435"/>
      <c r="Q44" s="435"/>
      <c r="R44" s="435"/>
      <c r="S44" s="435"/>
      <c r="T44" s="435"/>
      <c r="U44" s="435"/>
      <c r="V44" s="435"/>
      <c r="W44" s="435"/>
      <c r="X44" s="435"/>
      <c r="Y44" s="435"/>
      <c r="Z44" s="435"/>
    </row>
    <row r="45" spans="1:26" ht="12.75" customHeight="1" x14ac:dyDescent="0.2">
      <c r="A45" s="297"/>
      <c r="B45" s="297"/>
      <c r="C45" s="297"/>
      <c r="D45" s="437" t="s">
        <v>294</v>
      </c>
      <c r="E45" s="297"/>
      <c r="F45" s="297"/>
      <c r="G45" s="435"/>
      <c r="H45" s="435"/>
      <c r="I45" s="435"/>
      <c r="J45" s="435"/>
      <c r="K45" s="435"/>
      <c r="L45" s="435"/>
      <c r="M45" s="435"/>
      <c r="N45" s="435"/>
      <c r="O45" s="435"/>
      <c r="P45" s="435"/>
      <c r="Q45" s="435"/>
      <c r="R45" s="435"/>
      <c r="S45" s="435"/>
      <c r="T45" s="435"/>
      <c r="U45" s="435"/>
      <c r="V45" s="435"/>
      <c r="W45" s="435"/>
      <c r="X45" s="435"/>
      <c r="Y45" s="435"/>
      <c r="Z45" s="435"/>
    </row>
    <row r="46" spans="1:26" ht="12.75" customHeight="1" x14ac:dyDescent="0.2">
      <c r="A46" s="297"/>
      <c r="B46" s="297"/>
      <c r="C46" s="297"/>
      <c r="D46" s="437" t="s">
        <v>296</v>
      </c>
      <c r="E46" s="297"/>
      <c r="F46" s="297"/>
      <c r="G46" s="435"/>
      <c r="H46" s="435"/>
      <c r="I46" s="435"/>
      <c r="J46" s="435"/>
      <c r="K46" s="435"/>
      <c r="L46" s="435"/>
      <c r="M46" s="435"/>
      <c r="N46" s="435"/>
      <c r="O46" s="435"/>
      <c r="P46" s="435"/>
      <c r="Q46" s="435"/>
      <c r="R46" s="435"/>
      <c r="S46" s="435"/>
      <c r="T46" s="435"/>
      <c r="U46" s="435"/>
      <c r="V46" s="435"/>
      <c r="W46" s="435"/>
      <c r="X46" s="435"/>
      <c r="Y46" s="435"/>
      <c r="Z46" s="435"/>
    </row>
    <row r="47" spans="1:26" ht="12.75" customHeight="1" x14ac:dyDescent="0.2">
      <c r="A47" s="297"/>
      <c r="B47" s="297"/>
      <c r="C47" s="297"/>
      <c r="D47" s="437" t="s">
        <v>298</v>
      </c>
      <c r="E47" s="297"/>
      <c r="F47" s="297"/>
      <c r="G47" s="435"/>
      <c r="H47" s="435"/>
      <c r="I47" s="435"/>
      <c r="J47" s="435"/>
      <c r="K47" s="435"/>
      <c r="L47" s="435"/>
      <c r="M47" s="435"/>
      <c r="N47" s="435"/>
      <c r="O47" s="435"/>
      <c r="P47" s="435"/>
      <c r="Q47" s="435"/>
      <c r="R47" s="435"/>
      <c r="S47" s="435"/>
      <c r="T47" s="435"/>
      <c r="U47" s="435"/>
      <c r="V47" s="435"/>
      <c r="W47" s="435"/>
      <c r="X47" s="435"/>
      <c r="Y47" s="435"/>
      <c r="Z47" s="435"/>
    </row>
    <row r="48" spans="1:26" ht="12.75" customHeight="1" x14ac:dyDescent="0.2">
      <c r="A48" s="297"/>
      <c r="B48" s="297"/>
      <c r="C48" s="297"/>
      <c r="D48" s="437" t="s">
        <v>300</v>
      </c>
      <c r="E48" s="297"/>
      <c r="F48" s="297"/>
      <c r="G48" s="435"/>
      <c r="H48" s="435"/>
      <c r="I48" s="435"/>
      <c r="J48" s="435"/>
      <c r="K48" s="435"/>
      <c r="L48" s="435"/>
      <c r="M48" s="435"/>
      <c r="N48" s="435"/>
      <c r="O48" s="435"/>
      <c r="P48" s="435"/>
      <c r="Q48" s="435"/>
      <c r="R48" s="435"/>
      <c r="S48" s="435"/>
      <c r="T48" s="435"/>
      <c r="U48" s="435"/>
      <c r="V48" s="435"/>
      <c r="W48" s="435"/>
      <c r="X48" s="435"/>
      <c r="Y48" s="435"/>
      <c r="Z48" s="435"/>
    </row>
    <row r="49" spans="1:26" ht="12.75" customHeight="1" x14ac:dyDescent="0.2">
      <c r="A49" s="297"/>
      <c r="B49" s="297"/>
      <c r="C49" s="297"/>
      <c r="D49" s="437" t="s">
        <v>302</v>
      </c>
      <c r="E49" s="297"/>
      <c r="F49" s="297"/>
      <c r="G49" s="435"/>
      <c r="H49" s="435"/>
      <c r="I49" s="435"/>
      <c r="J49" s="435"/>
      <c r="K49" s="435"/>
      <c r="L49" s="435"/>
      <c r="M49" s="435"/>
      <c r="N49" s="435"/>
      <c r="O49" s="435"/>
      <c r="P49" s="435"/>
      <c r="Q49" s="435"/>
      <c r="R49" s="435"/>
      <c r="S49" s="435"/>
      <c r="T49" s="435"/>
      <c r="U49" s="435"/>
      <c r="V49" s="435"/>
      <c r="W49" s="435"/>
      <c r="X49" s="435"/>
      <c r="Y49" s="435"/>
      <c r="Z49" s="435"/>
    </row>
    <row r="50" spans="1:26" ht="12.75" customHeight="1" x14ac:dyDescent="0.2">
      <c r="A50" s="297"/>
      <c r="B50" s="297"/>
      <c r="C50" s="297"/>
      <c r="D50" s="437" t="s">
        <v>304</v>
      </c>
      <c r="E50" s="297"/>
      <c r="F50" s="297"/>
      <c r="G50" s="435"/>
      <c r="H50" s="435"/>
      <c r="I50" s="435"/>
      <c r="J50" s="435"/>
      <c r="K50" s="435"/>
      <c r="L50" s="435"/>
      <c r="M50" s="435"/>
      <c r="N50" s="435"/>
      <c r="O50" s="435"/>
      <c r="P50" s="435"/>
      <c r="Q50" s="435"/>
      <c r="R50" s="435"/>
      <c r="S50" s="435"/>
      <c r="T50" s="435"/>
      <c r="U50" s="435"/>
      <c r="V50" s="435"/>
      <c r="W50" s="435"/>
      <c r="X50" s="435"/>
      <c r="Y50" s="435"/>
      <c r="Z50" s="435"/>
    </row>
    <row r="51" spans="1:26" ht="12.75" customHeight="1" x14ac:dyDescent="0.2">
      <c r="A51" s="297"/>
      <c r="B51" s="297"/>
      <c r="C51" s="297"/>
      <c r="D51" s="437" t="s">
        <v>306</v>
      </c>
      <c r="E51" s="297"/>
      <c r="F51" s="297"/>
      <c r="G51" s="435"/>
      <c r="H51" s="435"/>
      <c r="I51" s="435"/>
      <c r="J51" s="435"/>
      <c r="K51" s="435"/>
      <c r="L51" s="435"/>
      <c r="M51" s="435"/>
      <c r="N51" s="435"/>
      <c r="O51" s="435"/>
      <c r="P51" s="435"/>
      <c r="Q51" s="435"/>
      <c r="R51" s="435"/>
      <c r="S51" s="435"/>
      <c r="T51" s="435"/>
      <c r="U51" s="435"/>
      <c r="V51" s="435"/>
      <c r="W51" s="435"/>
      <c r="X51" s="435"/>
      <c r="Y51" s="435"/>
      <c r="Z51" s="435"/>
    </row>
    <row r="52" spans="1:26" ht="12.75" customHeight="1" x14ac:dyDescent="0.2">
      <c r="A52" s="297"/>
      <c r="B52" s="297"/>
      <c r="C52" s="297"/>
      <c r="D52" s="437" t="s">
        <v>308</v>
      </c>
      <c r="E52" s="297"/>
      <c r="F52" s="297"/>
      <c r="G52" s="435"/>
      <c r="H52" s="435"/>
      <c r="I52" s="435"/>
      <c r="J52" s="435"/>
      <c r="K52" s="435"/>
      <c r="L52" s="435"/>
      <c r="M52" s="435"/>
      <c r="N52" s="435"/>
      <c r="O52" s="435"/>
      <c r="P52" s="435"/>
      <c r="Q52" s="435"/>
      <c r="R52" s="435"/>
      <c r="S52" s="435"/>
      <c r="T52" s="435"/>
      <c r="U52" s="435"/>
      <c r="V52" s="435"/>
      <c r="W52" s="435"/>
      <c r="X52" s="435"/>
      <c r="Y52" s="435"/>
      <c r="Z52" s="435"/>
    </row>
    <row r="53" spans="1:26" ht="12.75" customHeight="1" x14ac:dyDescent="0.2">
      <c r="A53" s="297"/>
      <c r="B53" s="297"/>
      <c r="C53" s="297"/>
      <c r="D53" s="437" t="s">
        <v>310</v>
      </c>
      <c r="E53" s="297"/>
      <c r="F53" s="297"/>
      <c r="G53" s="435"/>
      <c r="H53" s="435"/>
      <c r="I53" s="435"/>
      <c r="J53" s="435"/>
      <c r="K53" s="435"/>
      <c r="L53" s="435"/>
      <c r="M53" s="435"/>
      <c r="N53" s="435"/>
      <c r="O53" s="435"/>
      <c r="P53" s="435"/>
      <c r="Q53" s="435"/>
      <c r="R53" s="435"/>
      <c r="S53" s="435"/>
      <c r="T53" s="435"/>
      <c r="U53" s="435"/>
      <c r="V53" s="435"/>
      <c r="W53" s="435"/>
      <c r="X53" s="435"/>
      <c r="Y53" s="435"/>
      <c r="Z53" s="435"/>
    </row>
    <row r="54" spans="1:26" ht="12.75" customHeight="1" x14ac:dyDescent="0.2">
      <c r="A54" s="297"/>
      <c r="B54" s="297"/>
      <c r="C54" s="297"/>
      <c r="D54" s="437" t="s">
        <v>312</v>
      </c>
      <c r="E54" s="297"/>
      <c r="F54" s="297"/>
      <c r="G54" s="435"/>
      <c r="H54" s="435"/>
      <c r="I54" s="435"/>
      <c r="J54" s="435"/>
      <c r="K54" s="435"/>
      <c r="L54" s="435"/>
      <c r="M54" s="435"/>
      <c r="N54" s="435"/>
      <c r="O54" s="435"/>
      <c r="P54" s="435"/>
      <c r="Q54" s="435"/>
      <c r="R54" s="435"/>
      <c r="S54" s="435"/>
      <c r="T54" s="435"/>
      <c r="U54" s="435"/>
      <c r="V54" s="435"/>
      <c r="W54" s="435"/>
      <c r="X54" s="435"/>
      <c r="Y54" s="435"/>
      <c r="Z54" s="435"/>
    </row>
    <row r="55" spans="1:26" ht="12.75" customHeight="1" x14ac:dyDescent="0.2">
      <c r="A55" s="297"/>
      <c r="B55" s="297"/>
      <c r="C55" s="297"/>
      <c r="D55" s="437" t="s">
        <v>314</v>
      </c>
      <c r="E55" s="297"/>
      <c r="F55" s="297"/>
      <c r="G55" s="435"/>
      <c r="H55" s="435"/>
      <c r="I55" s="435"/>
      <c r="J55" s="435"/>
      <c r="K55" s="435"/>
      <c r="L55" s="435"/>
      <c r="M55" s="435"/>
      <c r="N55" s="435"/>
      <c r="O55" s="435"/>
      <c r="P55" s="435"/>
      <c r="Q55" s="435"/>
      <c r="R55" s="435"/>
      <c r="S55" s="435"/>
      <c r="T55" s="435"/>
      <c r="U55" s="435"/>
      <c r="V55" s="435"/>
      <c r="W55" s="435"/>
      <c r="X55" s="435"/>
      <c r="Y55" s="435"/>
      <c r="Z55" s="435"/>
    </row>
    <row r="56" spans="1:26" ht="12.75" customHeight="1" x14ac:dyDescent="0.2">
      <c r="A56" s="297"/>
      <c r="B56" s="297"/>
      <c r="C56" s="297"/>
      <c r="D56" s="437" t="s">
        <v>316</v>
      </c>
      <c r="E56" s="297"/>
      <c r="F56" s="297"/>
      <c r="G56" s="435"/>
      <c r="H56" s="435"/>
      <c r="I56" s="435"/>
      <c r="J56" s="435"/>
      <c r="K56" s="435"/>
      <c r="L56" s="435"/>
      <c r="M56" s="435"/>
      <c r="N56" s="435"/>
      <c r="O56" s="435"/>
      <c r="P56" s="435"/>
      <c r="Q56" s="435"/>
      <c r="R56" s="435"/>
      <c r="S56" s="435"/>
      <c r="T56" s="435"/>
      <c r="U56" s="435"/>
      <c r="V56" s="435"/>
      <c r="W56" s="435"/>
      <c r="X56" s="435"/>
      <c r="Y56" s="435"/>
      <c r="Z56" s="435"/>
    </row>
    <row r="57" spans="1:26" ht="12.75" customHeight="1" x14ac:dyDescent="0.2">
      <c r="A57" s="297"/>
      <c r="B57" s="297"/>
      <c r="C57" s="297"/>
      <c r="D57" s="437" t="s">
        <v>318</v>
      </c>
      <c r="E57" s="297"/>
      <c r="F57" s="297"/>
      <c r="G57" s="435"/>
      <c r="H57" s="435"/>
      <c r="I57" s="435"/>
      <c r="J57" s="435"/>
      <c r="K57" s="435"/>
      <c r="L57" s="435"/>
      <c r="M57" s="435"/>
      <c r="N57" s="435"/>
      <c r="O57" s="435"/>
      <c r="P57" s="435"/>
      <c r="Q57" s="435"/>
      <c r="R57" s="435"/>
      <c r="S57" s="435"/>
      <c r="T57" s="435"/>
      <c r="U57" s="435"/>
      <c r="V57" s="435"/>
      <c r="W57" s="435"/>
      <c r="X57" s="435"/>
      <c r="Y57" s="435"/>
      <c r="Z57" s="435"/>
    </row>
    <row r="58" spans="1:26" ht="12.75" customHeight="1" x14ac:dyDescent="0.2">
      <c r="A58" s="297"/>
      <c r="B58" s="297"/>
      <c r="C58" s="297"/>
      <c r="D58" s="437" t="s">
        <v>320</v>
      </c>
      <c r="E58" s="297"/>
      <c r="F58" s="297"/>
      <c r="G58" s="435"/>
      <c r="H58" s="435"/>
      <c r="I58" s="435"/>
      <c r="J58" s="435"/>
      <c r="K58" s="435"/>
      <c r="L58" s="435"/>
      <c r="M58" s="435"/>
      <c r="N58" s="435"/>
      <c r="O58" s="435"/>
      <c r="P58" s="435"/>
      <c r="Q58" s="435"/>
      <c r="R58" s="435"/>
      <c r="S58" s="435"/>
      <c r="T58" s="435"/>
      <c r="U58" s="435"/>
      <c r="V58" s="435"/>
      <c r="W58" s="435"/>
      <c r="X58" s="435"/>
      <c r="Y58" s="435"/>
      <c r="Z58" s="435"/>
    </row>
    <row r="59" spans="1:26" ht="12.75" customHeight="1" x14ac:dyDescent="0.2">
      <c r="A59" s="297"/>
      <c r="B59" s="297"/>
      <c r="C59" s="297"/>
      <c r="D59" s="437" t="s">
        <v>322</v>
      </c>
      <c r="E59" s="297"/>
      <c r="F59" s="297"/>
      <c r="G59" s="435"/>
      <c r="H59" s="435"/>
      <c r="I59" s="435"/>
      <c r="J59" s="435"/>
      <c r="K59" s="435"/>
      <c r="L59" s="435"/>
      <c r="M59" s="435"/>
      <c r="N59" s="435"/>
      <c r="O59" s="435"/>
      <c r="P59" s="435"/>
      <c r="Q59" s="435"/>
      <c r="R59" s="435"/>
      <c r="S59" s="435"/>
      <c r="T59" s="435"/>
      <c r="U59" s="435"/>
      <c r="V59" s="435"/>
      <c r="W59" s="435"/>
      <c r="X59" s="435"/>
      <c r="Y59" s="435"/>
      <c r="Z59" s="435"/>
    </row>
    <row r="60" spans="1:26" ht="12.75" customHeight="1" x14ac:dyDescent="0.2">
      <c r="A60" s="297"/>
      <c r="B60" s="297"/>
      <c r="C60" s="297"/>
      <c r="D60" s="437" t="s">
        <v>324</v>
      </c>
      <c r="E60" s="297"/>
      <c r="F60" s="297"/>
      <c r="G60" s="435"/>
      <c r="H60" s="435"/>
      <c r="I60" s="435"/>
      <c r="J60" s="435"/>
      <c r="K60" s="435"/>
      <c r="L60" s="435"/>
      <c r="M60" s="435"/>
      <c r="N60" s="435"/>
      <c r="O60" s="435"/>
      <c r="P60" s="435"/>
      <c r="Q60" s="435"/>
      <c r="R60" s="435"/>
      <c r="S60" s="435"/>
      <c r="T60" s="435"/>
      <c r="U60" s="435"/>
      <c r="V60" s="435"/>
      <c r="W60" s="435"/>
      <c r="X60" s="435"/>
      <c r="Y60" s="435"/>
      <c r="Z60" s="435"/>
    </row>
    <row r="61" spans="1:26" ht="12.75" customHeight="1" x14ac:dyDescent="0.2">
      <c r="A61" s="297"/>
      <c r="B61" s="297"/>
      <c r="C61" s="297"/>
      <c r="D61" s="437" t="s">
        <v>326</v>
      </c>
      <c r="E61" s="297"/>
      <c r="F61" s="297"/>
      <c r="G61" s="435"/>
      <c r="H61" s="435"/>
      <c r="I61" s="435"/>
      <c r="J61" s="435"/>
      <c r="K61" s="435"/>
      <c r="L61" s="435"/>
      <c r="M61" s="435"/>
      <c r="N61" s="435"/>
      <c r="O61" s="435"/>
      <c r="P61" s="435"/>
      <c r="Q61" s="435"/>
      <c r="R61" s="435"/>
      <c r="S61" s="435"/>
      <c r="T61" s="435"/>
      <c r="U61" s="435"/>
      <c r="V61" s="435"/>
      <c r="W61" s="435"/>
      <c r="X61" s="435"/>
      <c r="Y61" s="435"/>
      <c r="Z61" s="435"/>
    </row>
    <row r="62" spans="1:26" ht="12.75" customHeight="1" x14ac:dyDescent="0.2">
      <c r="A62" s="297"/>
      <c r="B62" s="297"/>
      <c r="C62" s="297"/>
      <c r="D62" s="437" t="s">
        <v>328</v>
      </c>
      <c r="E62" s="297"/>
      <c r="F62" s="297"/>
      <c r="G62" s="435"/>
      <c r="H62" s="435"/>
      <c r="I62" s="435"/>
      <c r="J62" s="435"/>
      <c r="K62" s="435"/>
      <c r="L62" s="435"/>
      <c r="M62" s="435"/>
      <c r="N62" s="435"/>
      <c r="O62" s="435"/>
      <c r="P62" s="435"/>
      <c r="Q62" s="435"/>
      <c r="R62" s="435"/>
      <c r="S62" s="435"/>
      <c r="T62" s="435"/>
      <c r="U62" s="435"/>
      <c r="V62" s="435"/>
      <c r="W62" s="435"/>
      <c r="X62" s="435"/>
      <c r="Y62" s="435"/>
      <c r="Z62" s="435"/>
    </row>
    <row r="63" spans="1:26" ht="12.75" customHeight="1" x14ac:dyDescent="0.2">
      <c r="A63" s="297"/>
      <c r="B63" s="297"/>
      <c r="C63" s="297"/>
      <c r="D63" s="437" t="s">
        <v>330</v>
      </c>
      <c r="E63" s="297"/>
      <c r="F63" s="297"/>
      <c r="G63" s="435"/>
      <c r="H63" s="435"/>
      <c r="I63" s="435"/>
      <c r="J63" s="435"/>
      <c r="K63" s="435"/>
      <c r="L63" s="435"/>
      <c r="M63" s="435"/>
      <c r="N63" s="435"/>
      <c r="O63" s="435"/>
      <c r="P63" s="435"/>
      <c r="Q63" s="435"/>
      <c r="R63" s="435"/>
      <c r="S63" s="435"/>
      <c r="T63" s="435"/>
      <c r="U63" s="435"/>
      <c r="V63" s="435"/>
      <c r="W63" s="435"/>
      <c r="X63" s="435"/>
      <c r="Y63" s="435"/>
      <c r="Z63" s="435"/>
    </row>
    <row r="64" spans="1:26" ht="12.75" customHeight="1" x14ac:dyDescent="0.2">
      <c r="A64" s="297"/>
      <c r="B64" s="297"/>
      <c r="C64" s="297"/>
      <c r="D64" s="437" t="s">
        <v>332</v>
      </c>
      <c r="E64" s="297"/>
      <c r="F64" s="297"/>
      <c r="G64" s="435"/>
      <c r="H64" s="435"/>
      <c r="I64" s="435"/>
      <c r="J64" s="435"/>
      <c r="K64" s="435"/>
      <c r="L64" s="435"/>
      <c r="M64" s="435"/>
      <c r="N64" s="435"/>
      <c r="O64" s="435"/>
      <c r="P64" s="435"/>
      <c r="Q64" s="435"/>
      <c r="R64" s="435"/>
      <c r="S64" s="435"/>
      <c r="T64" s="435"/>
      <c r="U64" s="435"/>
      <c r="V64" s="435"/>
      <c r="W64" s="435"/>
      <c r="X64" s="435"/>
      <c r="Y64" s="435"/>
      <c r="Z64" s="435"/>
    </row>
    <row r="65" spans="1:26" ht="12.75" customHeight="1" x14ac:dyDescent="0.2">
      <c r="A65" s="297"/>
      <c r="B65" s="297"/>
      <c r="C65" s="297"/>
      <c r="D65" s="437" t="s">
        <v>334</v>
      </c>
      <c r="E65" s="297"/>
      <c r="F65" s="297"/>
      <c r="G65" s="435"/>
      <c r="H65" s="435"/>
      <c r="I65" s="435"/>
      <c r="J65" s="435"/>
      <c r="K65" s="435"/>
      <c r="L65" s="435"/>
      <c r="M65" s="435"/>
      <c r="N65" s="435"/>
      <c r="O65" s="435"/>
      <c r="P65" s="435"/>
      <c r="Q65" s="435"/>
      <c r="R65" s="435"/>
      <c r="S65" s="435"/>
      <c r="T65" s="435"/>
      <c r="U65" s="435"/>
      <c r="V65" s="435"/>
      <c r="W65" s="435"/>
      <c r="X65" s="435"/>
      <c r="Y65" s="435"/>
      <c r="Z65" s="435"/>
    </row>
    <row r="66" spans="1:26" ht="12.75" customHeight="1" x14ac:dyDescent="0.2">
      <c r="A66" s="297"/>
      <c r="B66" s="297"/>
      <c r="C66" s="297"/>
      <c r="D66" s="437" t="s">
        <v>336</v>
      </c>
      <c r="E66" s="297"/>
      <c r="F66" s="297"/>
      <c r="G66" s="435"/>
      <c r="H66" s="435"/>
      <c r="I66" s="435"/>
      <c r="J66" s="435"/>
      <c r="K66" s="435"/>
      <c r="L66" s="435"/>
      <c r="M66" s="435"/>
      <c r="N66" s="435"/>
      <c r="O66" s="435"/>
      <c r="P66" s="435"/>
      <c r="Q66" s="435"/>
      <c r="R66" s="435"/>
      <c r="S66" s="435"/>
      <c r="T66" s="435"/>
      <c r="U66" s="435"/>
      <c r="V66" s="435"/>
      <c r="W66" s="435"/>
      <c r="X66" s="435"/>
      <c r="Y66" s="435"/>
      <c r="Z66" s="435"/>
    </row>
    <row r="67" spans="1:26" ht="12.75" customHeight="1" x14ac:dyDescent="0.2">
      <c r="A67" s="297"/>
      <c r="B67" s="297"/>
      <c r="C67" s="297"/>
      <c r="D67" s="437" t="s">
        <v>338</v>
      </c>
      <c r="E67" s="297"/>
      <c r="F67" s="297"/>
      <c r="G67" s="435"/>
      <c r="H67" s="435"/>
      <c r="I67" s="435"/>
      <c r="J67" s="435"/>
      <c r="K67" s="435"/>
      <c r="L67" s="435"/>
      <c r="M67" s="435"/>
      <c r="N67" s="435"/>
      <c r="O67" s="435"/>
      <c r="P67" s="435"/>
      <c r="Q67" s="435"/>
      <c r="R67" s="435"/>
      <c r="S67" s="435"/>
      <c r="T67" s="435"/>
      <c r="U67" s="435"/>
      <c r="V67" s="435"/>
      <c r="W67" s="435"/>
      <c r="X67" s="435"/>
      <c r="Y67" s="435"/>
      <c r="Z67" s="435"/>
    </row>
    <row r="68" spans="1:26" ht="12.75" customHeight="1" x14ac:dyDescent="0.2">
      <c r="A68" s="297"/>
      <c r="B68" s="297"/>
      <c r="C68" s="297"/>
      <c r="D68" s="437" t="s">
        <v>340</v>
      </c>
      <c r="E68" s="297"/>
      <c r="F68" s="297"/>
      <c r="G68" s="435"/>
      <c r="H68" s="435"/>
      <c r="I68" s="435"/>
      <c r="J68" s="435"/>
      <c r="K68" s="435"/>
      <c r="L68" s="435"/>
      <c r="M68" s="435"/>
      <c r="N68" s="435"/>
      <c r="O68" s="435"/>
      <c r="P68" s="435"/>
      <c r="Q68" s="435"/>
      <c r="R68" s="435"/>
      <c r="S68" s="435"/>
      <c r="T68" s="435"/>
      <c r="U68" s="435"/>
      <c r="V68" s="435"/>
      <c r="W68" s="435"/>
      <c r="X68" s="435"/>
      <c r="Y68" s="435"/>
      <c r="Z68" s="435"/>
    </row>
    <row r="69" spans="1:26" ht="12.75" customHeight="1" x14ac:dyDescent="0.2">
      <c r="A69" s="297"/>
      <c r="B69" s="297"/>
      <c r="C69" s="297"/>
      <c r="D69" s="437" t="s">
        <v>342</v>
      </c>
      <c r="E69" s="297"/>
      <c r="F69" s="297"/>
      <c r="G69" s="435"/>
      <c r="H69" s="435"/>
      <c r="I69" s="435"/>
      <c r="J69" s="435"/>
      <c r="K69" s="435"/>
      <c r="L69" s="435"/>
      <c r="M69" s="435"/>
      <c r="N69" s="435"/>
      <c r="O69" s="435"/>
      <c r="P69" s="435"/>
      <c r="Q69" s="435"/>
      <c r="R69" s="435"/>
      <c r="S69" s="435"/>
      <c r="T69" s="435"/>
      <c r="U69" s="435"/>
      <c r="V69" s="435"/>
      <c r="W69" s="435"/>
      <c r="X69" s="435"/>
      <c r="Y69" s="435"/>
      <c r="Z69" s="435"/>
    </row>
    <row r="70" spans="1:26" ht="12.75" customHeight="1" x14ac:dyDescent="0.2">
      <c r="A70" s="297"/>
      <c r="B70" s="297"/>
      <c r="C70" s="297"/>
      <c r="D70" s="437" t="s">
        <v>344</v>
      </c>
      <c r="E70" s="297"/>
      <c r="F70" s="297"/>
      <c r="G70" s="435"/>
      <c r="H70" s="435"/>
      <c r="I70" s="435"/>
      <c r="J70" s="435"/>
      <c r="K70" s="435"/>
      <c r="L70" s="435"/>
      <c r="M70" s="435"/>
      <c r="N70" s="435"/>
      <c r="O70" s="435"/>
      <c r="P70" s="435"/>
      <c r="Q70" s="435"/>
      <c r="R70" s="435"/>
      <c r="S70" s="435"/>
      <c r="T70" s="435"/>
      <c r="U70" s="435"/>
      <c r="V70" s="435"/>
      <c r="W70" s="435"/>
      <c r="X70" s="435"/>
      <c r="Y70" s="435"/>
      <c r="Z70" s="435"/>
    </row>
    <row r="71" spans="1:26" ht="12.75" customHeight="1" x14ac:dyDescent="0.2">
      <c r="A71" s="297"/>
      <c r="B71" s="297"/>
      <c r="C71" s="297"/>
      <c r="D71" s="437" t="s">
        <v>346</v>
      </c>
      <c r="E71" s="297"/>
      <c r="F71" s="297"/>
      <c r="G71" s="435"/>
      <c r="H71" s="435"/>
      <c r="I71" s="435"/>
      <c r="J71" s="435"/>
      <c r="K71" s="435"/>
      <c r="L71" s="435"/>
      <c r="M71" s="435"/>
      <c r="N71" s="435"/>
      <c r="O71" s="435"/>
      <c r="P71" s="435"/>
      <c r="Q71" s="435"/>
      <c r="R71" s="435"/>
      <c r="S71" s="435"/>
      <c r="T71" s="435"/>
      <c r="U71" s="435"/>
      <c r="V71" s="435"/>
      <c r="W71" s="435"/>
      <c r="X71" s="435"/>
      <c r="Y71" s="435"/>
      <c r="Z71" s="435"/>
    </row>
    <row r="72" spans="1:26" ht="12.75" customHeight="1" x14ac:dyDescent="0.2">
      <c r="A72" s="297"/>
      <c r="B72" s="297"/>
      <c r="C72" s="297"/>
      <c r="D72" s="437" t="s">
        <v>348</v>
      </c>
      <c r="E72" s="297"/>
      <c r="F72" s="297"/>
      <c r="G72" s="435"/>
      <c r="H72" s="435"/>
      <c r="I72" s="435"/>
      <c r="J72" s="435"/>
      <c r="K72" s="435"/>
      <c r="L72" s="435"/>
      <c r="M72" s="435"/>
      <c r="N72" s="435"/>
      <c r="O72" s="435"/>
      <c r="P72" s="435"/>
      <c r="Q72" s="435"/>
      <c r="R72" s="435"/>
      <c r="S72" s="435"/>
      <c r="T72" s="435"/>
      <c r="U72" s="435"/>
      <c r="V72" s="435"/>
      <c r="W72" s="435"/>
      <c r="X72" s="435"/>
      <c r="Y72" s="435"/>
      <c r="Z72" s="435"/>
    </row>
    <row r="73" spans="1:26" ht="12.75" customHeight="1" x14ac:dyDescent="0.2">
      <c r="A73" s="297"/>
      <c r="B73" s="297"/>
      <c r="C73" s="297"/>
      <c r="D73" s="437" t="s">
        <v>350</v>
      </c>
      <c r="E73" s="297"/>
      <c r="F73" s="297"/>
      <c r="G73" s="435"/>
      <c r="H73" s="435"/>
      <c r="I73" s="435"/>
      <c r="J73" s="435"/>
      <c r="K73" s="435"/>
      <c r="L73" s="435"/>
      <c r="M73" s="435"/>
      <c r="N73" s="435"/>
      <c r="O73" s="435"/>
      <c r="P73" s="435"/>
      <c r="Q73" s="435"/>
      <c r="R73" s="435"/>
      <c r="S73" s="435"/>
      <c r="T73" s="435"/>
      <c r="U73" s="435"/>
      <c r="V73" s="435"/>
      <c r="W73" s="435"/>
      <c r="X73" s="435"/>
      <c r="Y73" s="435"/>
      <c r="Z73" s="435"/>
    </row>
    <row r="74" spans="1:26" ht="12.75" customHeight="1" x14ac:dyDescent="0.2">
      <c r="A74" s="297"/>
      <c r="B74" s="297"/>
      <c r="C74" s="297"/>
      <c r="D74" s="437" t="s">
        <v>352</v>
      </c>
      <c r="E74" s="297"/>
      <c r="F74" s="297"/>
      <c r="G74" s="435"/>
      <c r="H74" s="435"/>
      <c r="I74" s="435"/>
      <c r="J74" s="435"/>
      <c r="K74" s="435"/>
      <c r="L74" s="435"/>
      <c r="M74" s="435"/>
      <c r="N74" s="435"/>
      <c r="O74" s="435"/>
      <c r="P74" s="435"/>
      <c r="Q74" s="435"/>
      <c r="R74" s="435"/>
      <c r="S74" s="435"/>
      <c r="T74" s="435"/>
      <c r="U74" s="435"/>
      <c r="V74" s="435"/>
      <c r="W74" s="435"/>
      <c r="X74" s="435"/>
      <c r="Y74" s="435"/>
      <c r="Z74" s="435"/>
    </row>
    <row r="75" spans="1:26" ht="12.75" customHeight="1" x14ac:dyDescent="0.2">
      <c r="A75" s="297"/>
      <c r="B75" s="297"/>
      <c r="C75" s="297"/>
      <c r="D75" s="437" t="s">
        <v>354</v>
      </c>
      <c r="E75" s="297"/>
      <c r="F75" s="297"/>
      <c r="G75" s="435"/>
      <c r="H75" s="435"/>
      <c r="I75" s="435"/>
      <c r="J75" s="435"/>
      <c r="K75" s="435"/>
      <c r="L75" s="435"/>
      <c r="M75" s="435"/>
      <c r="N75" s="435"/>
      <c r="O75" s="435"/>
      <c r="P75" s="435"/>
      <c r="Q75" s="435"/>
      <c r="R75" s="435"/>
      <c r="S75" s="435"/>
      <c r="T75" s="435"/>
      <c r="U75" s="435"/>
      <c r="V75" s="435"/>
      <c r="W75" s="435"/>
      <c r="X75" s="435"/>
      <c r="Y75" s="435"/>
      <c r="Z75" s="435"/>
    </row>
    <row r="76" spans="1:26" ht="12.75" customHeight="1" x14ac:dyDescent="0.2">
      <c r="A76" s="297"/>
      <c r="B76" s="297"/>
      <c r="C76" s="297"/>
      <c r="D76" s="437" t="s">
        <v>356</v>
      </c>
      <c r="E76" s="297"/>
      <c r="F76" s="297"/>
      <c r="G76" s="435"/>
      <c r="H76" s="435"/>
      <c r="I76" s="435"/>
      <c r="J76" s="435"/>
      <c r="K76" s="435"/>
      <c r="L76" s="435"/>
      <c r="M76" s="435"/>
      <c r="N76" s="435"/>
      <c r="O76" s="435"/>
      <c r="P76" s="435"/>
      <c r="Q76" s="435"/>
      <c r="R76" s="435"/>
      <c r="S76" s="435"/>
      <c r="T76" s="435"/>
      <c r="U76" s="435"/>
      <c r="V76" s="435"/>
      <c r="W76" s="435"/>
      <c r="X76" s="435"/>
      <c r="Y76" s="435"/>
      <c r="Z76" s="435"/>
    </row>
    <row r="77" spans="1:26" ht="12.75" customHeight="1" x14ac:dyDescent="0.2">
      <c r="A77" s="297"/>
      <c r="B77" s="297"/>
      <c r="C77" s="297"/>
      <c r="D77" s="437" t="s">
        <v>358</v>
      </c>
      <c r="E77" s="297"/>
      <c r="F77" s="297"/>
      <c r="G77" s="435"/>
      <c r="H77" s="435"/>
      <c r="I77" s="435"/>
      <c r="J77" s="435"/>
      <c r="K77" s="435"/>
      <c r="L77" s="435"/>
      <c r="M77" s="435"/>
      <c r="N77" s="435"/>
      <c r="O77" s="435"/>
      <c r="P77" s="435"/>
      <c r="Q77" s="435"/>
      <c r="R77" s="435"/>
      <c r="S77" s="435"/>
      <c r="T77" s="435"/>
      <c r="U77" s="435"/>
      <c r="V77" s="435"/>
      <c r="W77" s="435"/>
      <c r="X77" s="435"/>
      <c r="Y77" s="435"/>
      <c r="Z77" s="435"/>
    </row>
    <row r="78" spans="1:26" ht="12.75" customHeight="1" x14ac:dyDescent="0.2">
      <c r="A78" s="297"/>
      <c r="B78" s="297"/>
      <c r="C78" s="297"/>
      <c r="D78" s="437" t="s">
        <v>360</v>
      </c>
      <c r="E78" s="297"/>
      <c r="F78" s="297"/>
      <c r="G78" s="435"/>
      <c r="H78" s="435"/>
      <c r="I78" s="435"/>
      <c r="J78" s="435"/>
      <c r="K78" s="435"/>
      <c r="L78" s="435"/>
      <c r="M78" s="435"/>
      <c r="N78" s="435"/>
      <c r="O78" s="435"/>
      <c r="P78" s="435"/>
      <c r="Q78" s="435"/>
      <c r="R78" s="435"/>
      <c r="S78" s="435"/>
      <c r="T78" s="435"/>
      <c r="U78" s="435"/>
      <c r="V78" s="435"/>
      <c r="W78" s="435"/>
      <c r="X78" s="435"/>
      <c r="Y78" s="435"/>
      <c r="Z78" s="435"/>
    </row>
    <row r="79" spans="1:26" ht="12.75" customHeight="1" x14ac:dyDescent="0.2">
      <c r="A79" s="297"/>
      <c r="B79" s="297"/>
      <c r="C79" s="297"/>
      <c r="D79" s="437" t="s">
        <v>362</v>
      </c>
      <c r="E79" s="297"/>
      <c r="F79" s="297"/>
      <c r="G79" s="435"/>
      <c r="H79" s="435"/>
      <c r="I79" s="435"/>
      <c r="J79" s="435"/>
      <c r="K79" s="435"/>
      <c r="L79" s="435"/>
      <c r="M79" s="435"/>
      <c r="N79" s="435"/>
      <c r="O79" s="435"/>
      <c r="P79" s="435"/>
      <c r="Q79" s="435"/>
      <c r="R79" s="435"/>
      <c r="S79" s="435"/>
      <c r="T79" s="435"/>
      <c r="U79" s="435"/>
      <c r="V79" s="435"/>
      <c r="W79" s="435"/>
      <c r="X79" s="435"/>
      <c r="Y79" s="435"/>
      <c r="Z79" s="435"/>
    </row>
    <row r="80" spans="1:26" ht="12.75" customHeight="1" x14ac:dyDescent="0.2">
      <c r="A80" s="297"/>
      <c r="B80" s="297"/>
      <c r="C80" s="297"/>
      <c r="D80" s="437" t="s">
        <v>364</v>
      </c>
      <c r="E80" s="297"/>
      <c r="F80" s="297"/>
      <c r="G80" s="435"/>
      <c r="H80" s="435"/>
      <c r="I80" s="435"/>
      <c r="J80" s="435"/>
      <c r="K80" s="435"/>
      <c r="L80" s="435"/>
      <c r="M80" s="435"/>
      <c r="N80" s="435"/>
      <c r="O80" s="435"/>
      <c r="P80" s="435"/>
      <c r="Q80" s="435"/>
      <c r="R80" s="435"/>
      <c r="S80" s="435"/>
      <c r="T80" s="435"/>
      <c r="U80" s="435"/>
      <c r="V80" s="435"/>
      <c r="W80" s="435"/>
      <c r="X80" s="435"/>
      <c r="Y80" s="435"/>
      <c r="Z80" s="435"/>
    </row>
    <row r="81" spans="1:26" ht="12.75" customHeight="1" x14ac:dyDescent="0.2">
      <c r="A81" s="297"/>
      <c r="B81" s="297"/>
      <c r="C81" s="297"/>
      <c r="D81" s="437" t="s">
        <v>366</v>
      </c>
      <c r="E81" s="297"/>
      <c r="F81" s="297"/>
      <c r="G81" s="435"/>
      <c r="H81" s="435"/>
      <c r="I81" s="435"/>
      <c r="J81" s="435"/>
      <c r="K81" s="435"/>
      <c r="L81" s="435"/>
      <c r="M81" s="435"/>
      <c r="N81" s="435"/>
      <c r="O81" s="435"/>
      <c r="P81" s="435"/>
      <c r="Q81" s="435"/>
      <c r="R81" s="435"/>
      <c r="S81" s="435"/>
      <c r="T81" s="435"/>
      <c r="U81" s="435"/>
      <c r="V81" s="435"/>
      <c r="W81" s="435"/>
      <c r="X81" s="435"/>
      <c r="Y81" s="435"/>
      <c r="Z81" s="435"/>
    </row>
    <row r="82" spans="1:26" ht="12.75" customHeight="1" x14ac:dyDescent="0.2">
      <c r="A82" s="297"/>
      <c r="B82" s="297"/>
      <c r="C82" s="297"/>
      <c r="D82" s="437" t="s">
        <v>368</v>
      </c>
      <c r="E82" s="297"/>
      <c r="F82" s="297"/>
      <c r="G82" s="435"/>
      <c r="H82" s="435"/>
      <c r="I82" s="435"/>
      <c r="J82" s="435"/>
      <c r="K82" s="435"/>
      <c r="L82" s="435"/>
      <c r="M82" s="435"/>
      <c r="N82" s="435"/>
      <c r="O82" s="435"/>
      <c r="P82" s="435"/>
      <c r="Q82" s="435"/>
      <c r="R82" s="435"/>
      <c r="S82" s="435"/>
      <c r="T82" s="435"/>
      <c r="U82" s="435"/>
      <c r="V82" s="435"/>
      <c r="W82" s="435"/>
      <c r="X82" s="435"/>
      <c r="Y82" s="435"/>
      <c r="Z82" s="435"/>
    </row>
    <row r="83" spans="1:26" ht="12.75" customHeight="1" x14ac:dyDescent="0.2">
      <c r="A83" s="297"/>
      <c r="B83" s="297"/>
      <c r="C83" s="297"/>
      <c r="D83" s="437" t="s">
        <v>370</v>
      </c>
      <c r="E83" s="297"/>
      <c r="F83" s="297"/>
      <c r="G83" s="435"/>
      <c r="H83" s="435"/>
      <c r="I83" s="435"/>
      <c r="J83" s="435"/>
      <c r="K83" s="435"/>
      <c r="L83" s="435"/>
      <c r="M83" s="435"/>
      <c r="N83" s="435"/>
      <c r="O83" s="435"/>
      <c r="P83" s="435"/>
      <c r="Q83" s="435"/>
      <c r="R83" s="435"/>
      <c r="S83" s="435"/>
      <c r="T83" s="435"/>
      <c r="U83" s="435"/>
      <c r="V83" s="435"/>
      <c r="W83" s="435"/>
      <c r="X83" s="435"/>
      <c r="Y83" s="435"/>
      <c r="Z83" s="435"/>
    </row>
    <row r="84" spans="1:26" ht="12.75" customHeight="1" x14ac:dyDescent="0.2">
      <c r="A84" s="297"/>
      <c r="B84" s="297"/>
      <c r="C84" s="297"/>
      <c r="D84" s="437" t="s">
        <v>372</v>
      </c>
      <c r="E84" s="297"/>
      <c r="F84" s="297"/>
      <c r="G84" s="435"/>
      <c r="H84" s="435"/>
      <c r="I84" s="435"/>
      <c r="J84" s="435"/>
      <c r="K84" s="435"/>
      <c r="L84" s="435"/>
      <c r="M84" s="435"/>
      <c r="N84" s="435"/>
      <c r="O84" s="435"/>
      <c r="P84" s="435"/>
      <c r="Q84" s="435"/>
      <c r="R84" s="435"/>
      <c r="S84" s="435"/>
      <c r="T84" s="435"/>
      <c r="U84" s="435"/>
      <c r="V84" s="435"/>
      <c r="W84" s="435"/>
      <c r="X84" s="435"/>
      <c r="Y84" s="435"/>
      <c r="Z84" s="435"/>
    </row>
    <row r="85" spans="1:26" ht="12.75" customHeight="1" x14ac:dyDescent="0.2">
      <c r="A85" s="297"/>
      <c r="B85" s="297"/>
      <c r="C85" s="297"/>
      <c r="D85" s="437" t="s">
        <v>374</v>
      </c>
      <c r="E85" s="297"/>
      <c r="F85" s="297"/>
      <c r="G85" s="435"/>
      <c r="H85" s="435"/>
      <c r="I85" s="435"/>
      <c r="J85" s="435"/>
      <c r="K85" s="435"/>
      <c r="L85" s="435"/>
      <c r="M85" s="435"/>
      <c r="N85" s="435"/>
      <c r="O85" s="435"/>
      <c r="P85" s="435"/>
      <c r="Q85" s="435"/>
      <c r="R85" s="435"/>
      <c r="S85" s="435"/>
      <c r="T85" s="435"/>
      <c r="U85" s="435"/>
      <c r="V85" s="435"/>
      <c r="W85" s="435"/>
      <c r="X85" s="435"/>
      <c r="Y85" s="435"/>
      <c r="Z85" s="435"/>
    </row>
    <row r="86" spans="1:26" ht="12.75" customHeight="1" x14ac:dyDescent="0.2">
      <c r="A86" s="297"/>
      <c r="B86" s="297"/>
      <c r="C86" s="297"/>
      <c r="D86" s="437" t="s">
        <v>376</v>
      </c>
      <c r="E86" s="297"/>
      <c r="F86" s="297"/>
      <c r="G86" s="435"/>
      <c r="H86" s="435"/>
      <c r="I86" s="435"/>
      <c r="J86" s="435"/>
      <c r="K86" s="435"/>
      <c r="L86" s="435"/>
      <c r="M86" s="435"/>
      <c r="N86" s="435"/>
      <c r="O86" s="435"/>
      <c r="P86" s="435"/>
      <c r="Q86" s="435"/>
      <c r="R86" s="435"/>
      <c r="S86" s="435"/>
      <c r="T86" s="435"/>
      <c r="U86" s="435"/>
      <c r="V86" s="435"/>
      <c r="W86" s="435"/>
      <c r="X86" s="435"/>
      <c r="Y86" s="435"/>
      <c r="Z86" s="435"/>
    </row>
    <row r="87" spans="1:26" ht="12.75" customHeight="1" x14ac:dyDescent="0.2">
      <c r="A87" s="297"/>
      <c r="B87" s="297"/>
      <c r="C87" s="297"/>
      <c r="D87" s="437" t="s">
        <v>378</v>
      </c>
      <c r="E87" s="297"/>
      <c r="F87" s="297"/>
      <c r="G87" s="435"/>
      <c r="H87" s="435"/>
      <c r="I87" s="435"/>
      <c r="J87" s="435"/>
      <c r="K87" s="435"/>
      <c r="L87" s="435"/>
      <c r="M87" s="435"/>
      <c r="N87" s="435"/>
      <c r="O87" s="435"/>
      <c r="P87" s="435"/>
      <c r="Q87" s="435"/>
      <c r="R87" s="435"/>
      <c r="S87" s="435"/>
      <c r="T87" s="435"/>
      <c r="U87" s="435"/>
      <c r="V87" s="435"/>
      <c r="W87" s="435"/>
      <c r="X87" s="435"/>
      <c r="Y87" s="435"/>
      <c r="Z87" s="435"/>
    </row>
    <row r="88" spans="1:26" ht="12.75" customHeight="1" x14ac:dyDescent="0.2">
      <c r="A88" s="297"/>
      <c r="B88" s="297"/>
      <c r="C88" s="297"/>
      <c r="D88" s="437" t="s">
        <v>380</v>
      </c>
      <c r="E88" s="297"/>
      <c r="F88" s="297"/>
      <c r="G88" s="435"/>
      <c r="H88" s="435"/>
      <c r="I88" s="435"/>
      <c r="J88" s="435"/>
      <c r="K88" s="435"/>
      <c r="L88" s="435"/>
      <c r="M88" s="435"/>
      <c r="N88" s="435"/>
      <c r="O88" s="435"/>
      <c r="P88" s="435"/>
      <c r="Q88" s="435"/>
      <c r="R88" s="435"/>
      <c r="S88" s="435"/>
      <c r="T88" s="435"/>
      <c r="U88" s="435"/>
      <c r="V88" s="435"/>
      <c r="W88" s="435"/>
      <c r="X88" s="435"/>
      <c r="Y88" s="435"/>
      <c r="Z88" s="435"/>
    </row>
    <row r="89" spans="1:26" ht="12.75" customHeight="1" x14ac:dyDescent="0.2">
      <c r="A89" s="297"/>
      <c r="B89" s="297"/>
      <c r="C89" s="297"/>
      <c r="D89" s="437" t="s">
        <v>382</v>
      </c>
      <c r="E89" s="297"/>
      <c r="F89" s="297"/>
      <c r="G89" s="435"/>
      <c r="H89" s="435"/>
      <c r="I89" s="435"/>
      <c r="J89" s="435"/>
      <c r="K89" s="435"/>
      <c r="L89" s="435"/>
      <c r="M89" s="435"/>
      <c r="N89" s="435"/>
      <c r="O89" s="435"/>
      <c r="P89" s="435"/>
      <c r="Q89" s="435"/>
      <c r="R89" s="435"/>
      <c r="S89" s="435"/>
      <c r="T89" s="435"/>
      <c r="U89" s="435"/>
      <c r="V89" s="435"/>
      <c r="W89" s="435"/>
      <c r="X89" s="435"/>
      <c r="Y89" s="435"/>
      <c r="Z89" s="435"/>
    </row>
    <row r="90" spans="1:26" ht="12.75" customHeight="1" x14ac:dyDescent="0.2">
      <c r="A90" s="297"/>
      <c r="B90" s="297"/>
      <c r="C90" s="297"/>
      <c r="D90" s="437" t="s">
        <v>384</v>
      </c>
      <c r="E90" s="297"/>
      <c r="F90" s="297"/>
      <c r="G90" s="435"/>
      <c r="H90" s="435"/>
      <c r="I90" s="435"/>
      <c r="J90" s="435"/>
      <c r="K90" s="435"/>
      <c r="L90" s="435"/>
      <c r="M90" s="435"/>
      <c r="N90" s="435"/>
      <c r="O90" s="435"/>
      <c r="P90" s="435"/>
      <c r="Q90" s="435"/>
      <c r="R90" s="435"/>
      <c r="S90" s="435"/>
      <c r="T90" s="435"/>
      <c r="U90" s="435"/>
      <c r="V90" s="435"/>
      <c r="W90" s="435"/>
      <c r="X90" s="435"/>
      <c r="Y90" s="435"/>
      <c r="Z90" s="435"/>
    </row>
    <row r="91" spans="1:26" ht="12.75" customHeight="1" x14ac:dyDescent="0.2">
      <c r="A91" s="297"/>
      <c r="B91" s="297"/>
      <c r="C91" s="435"/>
      <c r="D91" s="437" t="s">
        <v>386</v>
      </c>
      <c r="E91" s="297"/>
      <c r="F91" s="297"/>
      <c r="G91" s="435"/>
      <c r="H91" s="435"/>
      <c r="I91" s="435"/>
      <c r="J91" s="435"/>
      <c r="K91" s="435"/>
      <c r="L91" s="435"/>
      <c r="M91" s="435"/>
      <c r="N91" s="435"/>
      <c r="O91" s="435"/>
      <c r="P91" s="435"/>
      <c r="Q91" s="435"/>
      <c r="R91" s="435"/>
      <c r="S91" s="435"/>
      <c r="T91" s="435"/>
      <c r="U91" s="435"/>
      <c r="V91" s="435"/>
      <c r="W91" s="435"/>
      <c r="X91" s="435"/>
      <c r="Y91" s="435"/>
      <c r="Z91" s="435"/>
    </row>
    <row r="92" spans="1:26" ht="12.75" customHeight="1" x14ac:dyDescent="0.2">
      <c r="A92" s="435"/>
      <c r="B92" s="435"/>
      <c r="C92" s="435"/>
      <c r="D92" s="435"/>
      <c r="E92" s="435"/>
      <c r="F92" s="297"/>
      <c r="G92" s="435"/>
      <c r="H92" s="435"/>
      <c r="I92" s="435"/>
      <c r="J92" s="435"/>
      <c r="K92" s="435"/>
      <c r="L92" s="435"/>
      <c r="M92" s="435"/>
      <c r="N92" s="435"/>
      <c r="O92" s="435"/>
      <c r="P92" s="435"/>
      <c r="Q92" s="435"/>
      <c r="R92" s="435"/>
      <c r="S92" s="435"/>
      <c r="T92" s="435"/>
      <c r="U92" s="435"/>
      <c r="V92" s="435"/>
      <c r="W92" s="435"/>
      <c r="X92" s="435"/>
      <c r="Y92" s="435"/>
      <c r="Z92" s="435"/>
    </row>
    <row r="93" spans="1:26" ht="12.75" customHeight="1" x14ac:dyDescent="0.2">
      <c r="A93" s="435"/>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row>
    <row r="94" spans="1:26" ht="12.75" customHeight="1" x14ac:dyDescent="0.2">
      <c r="A94" s="435"/>
      <c r="B94" s="435"/>
      <c r="C94" s="435"/>
      <c r="D94" s="435"/>
      <c r="E94" s="435"/>
      <c r="F94" s="435"/>
      <c r="G94" s="435"/>
      <c r="H94" s="435"/>
      <c r="I94" s="435"/>
      <c r="J94" s="435"/>
      <c r="K94" s="435"/>
      <c r="L94" s="435"/>
      <c r="M94" s="435"/>
      <c r="N94" s="435"/>
      <c r="O94" s="435"/>
      <c r="P94" s="435"/>
      <c r="Q94" s="435"/>
      <c r="R94" s="435"/>
      <c r="S94" s="435"/>
      <c r="T94" s="435"/>
      <c r="U94" s="435"/>
      <c r="V94" s="435"/>
      <c r="W94" s="435"/>
      <c r="X94" s="435"/>
      <c r="Y94" s="435"/>
      <c r="Z94" s="435"/>
    </row>
    <row r="95" spans="1:26" ht="12.75" customHeight="1" x14ac:dyDescent="0.2">
      <c r="A95" s="435"/>
      <c r="B95" s="435"/>
      <c r="C95" s="435"/>
      <c r="D95" s="435"/>
      <c r="E95" s="435"/>
      <c r="F95" s="435"/>
      <c r="G95" s="435"/>
      <c r="H95" s="435"/>
      <c r="I95" s="435"/>
      <c r="J95" s="435"/>
      <c r="K95" s="435"/>
      <c r="L95" s="435"/>
      <c r="M95" s="435"/>
      <c r="N95" s="435"/>
      <c r="O95" s="435"/>
      <c r="P95" s="435"/>
      <c r="Q95" s="435"/>
      <c r="R95" s="435"/>
      <c r="S95" s="435"/>
      <c r="T95" s="435"/>
      <c r="U95" s="435"/>
      <c r="V95" s="435"/>
      <c r="W95" s="435"/>
      <c r="X95" s="435"/>
      <c r="Y95" s="435"/>
      <c r="Z95" s="435"/>
    </row>
    <row r="96" spans="1:26" ht="12.75" customHeight="1" x14ac:dyDescent="0.2">
      <c r="A96" s="435"/>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row>
    <row r="97" spans="1:26" ht="12.75" customHeight="1" x14ac:dyDescent="0.2">
      <c r="A97" s="435"/>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row>
    <row r="98" spans="1:26" ht="12.75" customHeight="1" x14ac:dyDescent="0.2">
      <c r="A98" s="435"/>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row>
    <row r="99" spans="1:26" ht="12.75" customHeight="1" x14ac:dyDescent="0.2">
      <c r="A99" s="435"/>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row>
    <row r="100" spans="1:26" ht="12.75" customHeight="1" x14ac:dyDescent="0.2">
      <c r="A100" s="435"/>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row>
    <row r="101" spans="1:26" ht="12.75" customHeight="1" x14ac:dyDescent="0.2">
      <c r="A101" s="435"/>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row>
    <row r="102" spans="1:26" ht="12.75" customHeight="1" x14ac:dyDescent="0.2">
      <c r="A102" s="435"/>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row>
    <row r="103" spans="1:26" ht="12.75" customHeight="1" x14ac:dyDescent="0.2">
      <c r="A103" s="435"/>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row>
    <row r="104" spans="1:26" ht="12.75" customHeight="1" x14ac:dyDescent="0.2">
      <c r="A104" s="435"/>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row>
    <row r="105" spans="1:26" ht="12.75" customHeight="1" x14ac:dyDescent="0.2">
      <c r="A105" s="435"/>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row>
    <row r="106" spans="1:26" ht="12.75" customHeight="1" x14ac:dyDescent="0.2">
      <c r="A106" s="435"/>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row>
    <row r="107" spans="1:26" ht="12.75" customHeight="1" x14ac:dyDescent="0.2">
      <c r="A107" s="435"/>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row>
    <row r="108" spans="1:26" ht="12.75" customHeight="1" x14ac:dyDescent="0.2">
      <c r="A108" s="435"/>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row>
    <row r="109" spans="1:26" ht="12.75" customHeight="1" x14ac:dyDescent="0.2">
      <c r="A109" s="435"/>
      <c r="B109" s="435"/>
      <c r="C109" s="435"/>
      <c r="D109" s="435"/>
      <c r="E109" s="435"/>
      <c r="F109" s="435"/>
      <c r="G109" s="435"/>
      <c r="H109" s="435"/>
      <c r="I109" s="435"/>
      <c r="J109" s="435"/>
      <c r="K109" s="435"/>
      <c r="L109" s="435"/>
      <c r="M109" s="435"/>
      <c r="N109" s="435"/>
      <c r="O109" s="435"/>
      <c r="P109" s="435"/>
      <c r="Q109" s="435"/>
      <c r="R109" s="435"/>
      <c r="S109" s="435"/>
      <c r="T109" s="435"/>
      <c r="U109" s="435"/>
      <c r="V109" s="435"/>
      <c r="W109" s="435"/>
      <c r="X109" s="435"/>
      <c r="Y109" s="435"/>
      <c r="Z109" s="435"/>
    </row>
    <row r="110" spans="1:26" ht="12.75" customHeight="1" x14ac:dyDescent="0.2">
      <c r="A110" s="435"/>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row>
    <row r="111" spans="1:26" ht="12.75" customHeight="1" x14ac:dyDescent="0.2">
      <c r="A111" s="435"/>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row>
    <row r="112" spans="1:26" ht="12.75" customHeight="1" x14ac:dyDescent="0.2">
      <c r="A112" s="435"/>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row>
    <row r="113" spans="1:26" ht="12.75" customHeight="1" x14ac:dyDescent="0.2">
      <c r="A113" s="435"/>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row>
    <row r="114" spans="1:26" ht="12.75" customHeight="1" x14ac:dyDescent="0.2">
      <c r="A114" s="435"/>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row>
    <row r="115" spans="1:26" ht="12.75" customHeight="1" x14ac:dyDescent="0.2">
      <c r="A115" s="435"/>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row>
    <row r="116" spans="1:26" ht="12.75" customHeight="1" x14ac:dyDescent="0.2">
      <c r="A116" s="435"/>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row>
    <row r="117" spans="1:26" ht="12.75" customHeight="1" x14ac:dyDescent="0.2">
      <c r="A117" s="435"/>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row>
    <row r="118" spans="1:26" ht="12.75" customHeight="1" x14ac:dyDescent="0.2">
      <c r="A118" s="435"/>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row>
    <row r="119" spans="1:26" ht="12.75" customHeight="1" x14ac:dyDescent="0.2">
      <c r="A119" s="435"/>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row>
    <row r="120" spans="1:26" ht="12.75" customHeight="1" x14ac:dyDescent="0.2">
      <c r="A120" s="435"/>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row>
    <row r="121" spans="1:26" ht="12.75" customHeight="1" x14ac:dyDescent="0.2">
      <c r="A121" s="435"/>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row>
    <row r="122" spans="1:26" ht="12.75" customHeight="1" x14ac:dyDescent="0.2">
      <c r="A122" s="435"/>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row>
    <row r="123" spans="1:26" ht="12.75" customHeight="1" x14ac:dyDescent="0.2">
      <c r="A123" s="435"/>
      <c r="B123" s="435"/>
      <c r="C123" s="435"/>
      <c r="D123" s="435"/>
      <c r="E123" s="435"/>
      <c r="F123" s="435"/>
      <c r="G123" s="435"/>
      <c r="H123" s="435"/>
      <c r="I123" s="435"/>
      <c r="J123" s="435"/>
      <c r="K123" s="435"/>
      <c r="L123" s="435"/>
      <c r="M123" s="435"/>
      <c r="N123" s="435"/>
      <c r="O123" s="435"/>
      <c r="P123" s="435"/>
      <c r="Q123" s="435"/>
      <c r="R123" s="435"/>
      <c r="S123" s="435"/>
      <c r="T123" s="435"/>
      <c r="U123" s="435"/>
      <c r="V123" s="435"/>
      <c r="W123" s="435"/>
      <c r="X123" s="435"/>
      <c r="Y123" s="435"/>
      <c r="Z123" s="435"/>
    </row>
    <row r="124" spans="1:26" ht="12.75" customHeight="1" x14ac:dyDescent="0.2">
      <c r="A124" s="435"/>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row>
    <row r="125" spans="1:26" ht="12.75" customHeight="1" x14ac:dyDescent="0.2">
      <c r="A125" s="435"/>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row>
    <row r="126" spans="1:26" ht="12.75" customHeight="1" x14ac:dyDescent="0.2">
      <c r="A126" s="435"/>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row>
    <row r="127" spans="1:26" ht="12.75" customHeight="1" x14ac:dyDescent="0.2">
      <c r="A127" s="435"/>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row>
    <row r="128" spans="1:26" ht="12.75" customHeight="1" x14ac:dyDescent="0.2">
      <c r="A128" s="435"/>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row>
    <row r="129" spans="1:26" ht="12.75" customHeight="1" x14ac:dyDescent="0.2">
      <c r="A129" s="435"/>
      <c r="B129" s="435"/>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5"/>
    </row>
    <row r="130" spans="1:26" ht="12.75" customHeight="1" x14ac:dyDescent="0.2">
      <c r="A130" s="435"/>
      <c r="B130" s="435"/>
      <c r="C130" s="435"/>
      <c r="D130" s="435"/>
      <c r="E130" s="435"/>
      <c r="F130" s="435"/>
      <c r="G130" s="435"/>
      <c r="H130" s="435"/>
      <c r="I130" s="435"/>
      <c r="J130" s="435"/>
      <c r="K130" s="435"/>
      <c r="L130" s="435"/>
      <c r="M130" s="435"/>
      <c r="N130" s="435"/>
      <c r="O130" s="435"/>
      <c r="P130" s="435"/>
      <c r="Q130" s="435"/>
      <c r="R130" s="435"/>
      <c r="S130" s="435"/>
      <c r="T130" s="435"/>
      <c r="U130" s="435"/>
      <c r="V130" s="435"/>
      <c r="W130" s="435"/>
      <c r="X130" s="435"/>
      <c r="Y130" s="435"/>
      <c r="Z130" s="435"/>
    </row>
    <row r="131" spans="1:26" ht="12.75" customHeight="1" x14ac:dyDescent="0.2">
      <c r="A131" s="435"/>
      <c r="B131" s="435"/>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5"/>
      <c r="Y131" s="435"/>
      <c r="Z131" s="435"/>
    </row>
    <row r="132" spans="1:26" ht="12.75" customHeight="1" x14ac:dyDescent="0.2">
      <c r="A132" s="435"/>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row>
    <row r="133" spans="1:26" ht="12.75" customHeight="1" x14ac:dyDescent="0.2">
      <c r="A133" s="435"/>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row>
    <row r="134" spans="1:26" ht="12.75" customHeight="1" x14ac:dyDescent="0.2">
      <c r="A134" s="435"/>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row>
    <row r="135" spans="1:26" ht="12.75" customHeight="1" x14ac:dyDescent="0.2">
      <c r="A135" s="435"/>
      <c r="B135" s="435"/>
      <c r="C135" s="435"/>
      <c r="D135" s="435"/>
      <c r="E135" s="435"/>
      <c r="F135" s="435"/>
      <c r="G135" s="435"/>
      <c r="H135" s="435"/>
      <c r="I135" s="435"/>
      <c r="J135" s="435"/>
      <c r="K135" s="435"/>
      <c r="L135" s="435"/>
      <c r="M135" s="435"/>
      <c r="N135" s="435"/>
      <c r="O135" s="435"/>
      <c r="P135" s="435"/>
      <c r="Q135" s="435"/>
      <c r="R135" s="435"/>
      <c r="S135" s="435"/>
      <c r="T135" s="435"/>
      <c r="U135" s="435"/>
      <c r="V135" s="435"/>
      <c r="W135" s="435"/>
      <c r="X135" s="435"/>
      <c r="Y135" s="435"/>
      <c r="Z135" s="435"/>
    </row>
    <row r="136" spans="1:26" ht="12.75" customHeight="1" x14ac:dyDescent="0.2">
      <c r="A136" s="435"/>
      <c r="B136" s="435"/>
      <c r="C136" s="435"/>
      <c r="D136" s="435"/>
      <c r="E136" s="435"/>
      <c r="F136" s="435"/>
      <c r="G136" s="435"/>
      <c r="H136" s="435"/>
      <c r="I136" s="435"/>
      <c r="J136" s="435"/>
      <c r="K136" s="435"/>
      <c r="L136" s="435"/>
      <c r="M136" s="435"/>
      <c r="N136" s="435"/>
      <c r="O136" s="435"/>
      <c r="P136" s="435"/>
      <c r="Q136" s="435"/>
      <c r="R136" s="435"/>
      <c r="S136" s="435"/>
      <c r="T136" s="435"/>
      <c r="U136" s="435"/>
      <c r="V136" s="435"/>
      <c r="W136" s="435"/>
      <c r="X136" s="435"/>
      <c r="Y136" s="435"/>
      <c r="Z136" s="435"/>
    </row>
    <row r="137" spans="1:26" ht="12.75" customHeight="1" x14ac:dyDescent="0.2">
      <c r="A137" s="435"/>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row>
    <row r="138" spans="1:26" ht="12.75" customHeight="1" x14ac:dyDescent="0.2">
      <c r="A138" s="435"/>
      <c r="B138" s="435"/>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row>
    <row r="139" spans="1:26" ht="12.75" customHeight="1" x14ac:dyDescent="0.2">
      <c r="A139" s="435"/>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row>
    <row r="140" spans="1:26" ht="12.75" customHeight="1" x14ac:dyDescent="0.2">
      <c r="A140" s="435"/>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row>
    <row r="141" spans="1:26" ht="12.75" customHeight="1" x14ac:dyDescent="0.2">
      <c r="A141" s="435"/>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row>
    <row r="142" spans="1:26" ht="12.75" customHeight="1" x14ac:dyDescent="0.2">
      <c r="A142" s="435"/>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row>
    <row r="143" spans="1:26" ht="12.75" customHeight="1" x14ac:dyDescent="0.2">
      <c r="A143" s="435"/>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row>
    <row r="144" spans="1:26" ht="12.75" customHeight="1" x14ac:dyDescent="0.2">
      <c r="A144" s="435"/>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row>
    <row r="145" spans="1:26" ht="12.75" customHeight="1" x14ac:dyDescent="0.2">
      <c r="A145" s="435"/>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row>
    <row r="146" spans="1:26" ht="12.75" customHeight="1" x14ac:dyDescent="0.2">
      <c r="A146" s="435"/>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row>
    <row r="147" spans="1:26" ht="12.75" customHeight="1" x14ac:dyDescent="0.2">
      <c r="A147" s="435"/>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row>
    <row r="148" spans="1:26" ht="12.75" customHeight="1" x14ac:dyDescent="0.2">
      <c r="A148" s="435"/>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row>
    <row r="149" spans="1:26" ht="12.75" customHeight="1" x14ac:dyDescent="0.2">
      <c r="A149" s="435"/>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row>
    <row r="150" spans="1:26" ht="12.75" customHeight="1" x14ac:dyDescent="0.2">
      <c r="A150" s="435"/>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row>
    <row r="151" spans="1:26" ht="12.75" customHeight="1" x14ac:dyDescent="0.2">
      <c r="A151" s="435"/>
      <c r="B151" s="435"/>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5"/>
      <c r="Y151" s="435"/>
      <c r="Z151" s="435"/>
    </row>
    <row r="152" spans="1:26" ht="12.75" customHeight="1" x14ac:dyDescent="0.2">
      <c r="A152" s="435"/>
      <c r="B152" s="435"/>
      <c r="C152" s="435"/>
      <c r="D152" s="435"/>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row>
    <row r="153" spans="1:26" ht="12.75" customHeight="1" x14ac:dyDescent="0.2">
      <c r="A153" s="435"/>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row>
    <row r="154" spans="1:26" ht="12.75" customHeight="1" x14ac:dyDescent="0.2">
      <c r="A154" s="435"/>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row>
    <row r="155" spans="1:26" ht="12.75" customHeight="1" x14ac:dyDescent="0.2">
      <c r="A155" s="435"/>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row>
    <row r="156" spans="1:26" ht="12.75" customHeight="1" x14ac:dyDescent="0.2">
      <c r="A156" s="435"/>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row>
    <row r="157" spans="1:26" ht="12.75" customHeight="1" x14ac:dyDescent="0.2">
      <c r="A157" s="435"/>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row>
    <row r="158" spans="1:26" ht="12.75" customHeight="1" x14ac:dyDescent="0.2">
      <c r="A158" s="435"/>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row>
    <row r="159" spans="1:26" ht="12.75" customHeight="1" x14ac:dyDescent="0.2">
      <c r="A159" s="435"/>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row>
    <row r="160" spans="1:26" ht="12.75" customHeight="1" x14ac:dyDescent="0.2">
      <c r="A160" s="435"/>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row>
    <row r="161" spans="1:26" ht="12.75" customHeight="1" x14ac:dyDescent="0.2">
      <c r="A161" s="435"/>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row>
    <row r="162" spans="1:26" ht="12.75" customHeight="1" x14ac:dyDescent="0.2">
      <c r="A162" s="435"/>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row>
    <row r="163" spans="1:26" ht="12.75" customHeight="1" x14ac:dyDescent="0.2">
      <c r="A163" s="435"/>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row>
    <row r="164" spans="1:26" ht="12.75" customHeight="1" x14ac:dyDescent="0.2">
      <c r="A164" s="435"/>
      <c r="B164" s="435"/>
      <c r="C164" s="435"/>
      <c r="D164" s="435"/>
      <c r="E164" s="435"/>
      <c r="F164" s="435"/>
      <c r="G164" s="435"/>
      <c r="H164" s="435"/>
      <c r="I164" s="435"/>
      <c r="J164" s="435"/>
      <c r="K164" s="435"/>
      <c r="L164" s="435"/>
      <c r="M164" s="435"/>
      <c r="N164" s="435"/>
      <c r="O164" s="435"/>
      <c r="P164" s="435"/>
      <c r="Q164" s="435"/>
      <c r="R164" s="435"/>
      <c r="S164" s="435"/>
      <c r="T164" s="435"/>
      <c r="U164" s="435"/>
      <c r="V164" s="435"/>
      <c r="W164" s="435"/>
      <c r="X164" s="435"/>
      <c r="Y164" s="435"/>
      <c r="Z164" s="435"/>
    </row>
    <row r="165" spans="1:26" ht="12.75" customHeight="1" x14ac:dyDescent="0.2">
      <c r="A165" s="435"/>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row>
    <row r="166" spans="1:26" ht="12.75" customHeight="1" x14ac:dyDescent="0.2">
      <c r="A166" s="435"/>
      <c r="B166" s="435"/>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row>
    <row r="167" spans="1:26" ht="12.75" customHeight="1" x14ac:dyDescent="0.2">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row>
    <row r="168" spans="1:26" ht="12.75" customHeight="1" x14ac:dyDescent="0.2">
      <c r="A168" s="435"/>
      <c r="B168" s="435"/>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row>
    <row r="169" spans="1:26" ht="12.75" customHeight="1" x14ac:dyDescent="0.2">
      <c r="A169" s="435"/>
      <c r="B169" s="435"/>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row>
    <row r="170" spans="1:26" ht="12.75" customHeight="1" x14ac:dyDescent="0.2">
      <c r="A170" s="435"/>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row>
    <row r="171" spans="1:26" ht="12.75" customHeight="1" x14ac:dyDescent="0.2">
      <c r="A171" s="435"/>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row>
    <row r="172" spans="1:26" ht="12.75" customHeight="1" x14ac:dyDescent="0.2">
      <c r="A172" s="435"/>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row>
    <row r="173" spans="1:26" ht="12.75" customHeight="1" x14ac:dyDescent="0.2">
      <c r="A173" s="435"/>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row>
    <row r="174" spans="1:26" ht="12.75" customHeight="1" x14ac:dyDescent="0.2">
      <c r="A174" s="435"/>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row>
    <row r="175" spans="1:26" ht="12.75" customHeight="1" x14ac:dyDescent="0.2">
      <c r="A175" s="435"/>
      <c r="B175" s="435"/>
      <c r="C175" s="435"/>
      <c r="D175" s="435"/>
      <c r="E175" s="435"/>
      <c r="F175" s="435"/>
      <c r="G175" s="435"/>
      <c r="H175" s="435"/>
      <c r="I175" s="435"/>
      <c r="J175" s="435"/>
      <c r="K175" s="435"/>
      <c r="L175" s="435"/>
      <c r="M175" s="435"/>
      <c r="N175" s="435"/>
      <c r="O175" s="435"/>
      <c r="P175" s="435"/>
      <c r="Q175" s="435"/>
      <c r="R175" s="435"/>
      <c r="S175" s="435"/>
      <c r="T175" s="435"/>
      <c r="U175" s="435"/>
      <c r="V175" s="435"/>
      <c r="W175" s="435"/>
      <c r="X175" s="435"/>
      <c r="Y175" s="435"/>
      <c r="Z175" s="435"/>
    </row>
    <row r="176" spans="1:26" ht="12.75" customHeight="1" x14ac:dyDescent="0.2">
      <c r="A176" s="435"/>
      <c r="B176" s="435"/>
      <c r="C176" s="435"/>
      <c r="D176" s="435"/>
      <c r="E176" s="435"/>
      <c r="F176" s="435"/>
      <c r="G176" s="435"/>
      <c r="H176" s="435"/>
      <c r="I176" s="435"/>
      <c r="J176" s="435"/>
      <c r="K176" s="435"/>
      <c r="L176" s="435"/>
      <c r="M176" s="435"/>
      <c r="N176" s="435"/>
      <c r="O176" s="435"/>
      <c r="P176" s="435"/>
      <c r="Q176" s="435"/>
      <c r="R176" s="435"/>
      <c r="S176" s="435"/>
      <c r="T176" s="435"/>
      <c r="U176" s="435"/>
      <c r="V176" s="435"/>
      <c r="W176" s="435"/>
      <c r="X176" s="435"/>
      <c r="Y176" s="435"/>
      <c r="Z176" s="435"/>
    </row>
    <row r="177" spans="1:26" ht="12.75" customHeight="1" x14ac:dyDescent="0.2">
      <c r="A177" s="435"/>
      <c r="B177" s="435"/>
      <c r="C177" s="435"/>
      <c r="D177" s="435"/>
      <c r="E177" s="435"/>
      <c r="F177" s="435"/>
      <c r="G177" s="435"/>
      <c r="H177" s="435"/>
      <c r="I177" s="435"/>
      <c r="J177" s="435"/>
      <c r="K177" s="435"/>
      <c r="L177" s="435"/>
      <c r="M177" s="435"/>
      <c r="N177" s="435"/>
      <c r="O177" s="435"/>
      <c r="P177" s="435"/>
      <c r="Q177" s="435"/>
      <c r="R177" s="435"/>
      <c r="S177" s="435"/>
      <c r="T177" s="435"/>
      <c r="U177" s="435"/>
      <c r="V177" s="435"/>
      <c r="W177" s="435"/>
      <c r="X177" s="435"/>
      <c r="Y177" s="435"/>
      <c r="Z177" s="435"/>
    </row>
    <row r="178" spans="1:26" ht="12.75" customHeight="1" x14ac:dyDescent="0.2">
      <c r="A178" s="435"/>
      <c r="B178" s="435"/>
      <c r="C178" s="435"/>
      <c r="D178" s="435"/>
      <c r="E178" s="435"/>
      <c r="F178" s="435"/>
      <c r="G178" s="435"/>
      <c r="H178" s="435"/>
      <c r="I178" s="435"/>
      <c r="J178" s="435"/>
      <c r="K178" s="435"/>
      <c r="L178" s="435"/>
      <c r="M178" s="435"/>
      <c r="N178" s="435"/>
      <c r="O178" s="435"/>
      <c r="P178" s="435"/>
      <c r="Q178" s="435"/>
      <c r="R178" s="435"/>
      <c r="S178" s="435"/>
      <c r="T178" s="435"/>
      <c r="U178" s="435"/>
      <c r="V178" s="435"/>
      <c r="W178" s="435"/>
      <c r="X178" s="435"/>
      <c r="Y178" s="435"/>
      <c r="Z178" s="435"/>
    </row>
    <row r="179" spans="1:26" ht="12.75" customHeight="1" x14ac:dyDescent="0.2">
      <c r="A179" s="435"/>
      <c r="B179" s="435"/>
      <c r="C179" s="435"/>
      <c r="D179" s="435"/>
      <c r="E179" s="435"/>
      <c r="F179" s="435"/>
      <c r="G179" s="435"/>
      <c r="H179" s="435"/>
      <c r="I179" s="435"/>
      <c r="J179" s="435"/>
      <c r="K179" s="435"/>
      <c r="L179" s="435"/>
      <c r="M179" s="435"/>
      <c r="N179" s="435"/>
      <c r="O179" s="435"/>
      <c r="P179" s="435"/>
      <c r="Q179" s="435"/>
      <c r="R179" s="435"/>
      <c r="S179" s="435"/>
      <c r="T179" s="435"/>
      <c r="U179" s="435"/>
      <c r="V179" s="435"/>
      <c r="W179" s="435"/>
      <c r="X179" s="435"/>
      <c r="Y179" s="435"/>
      <c r="Z179" s="435"/>
    </row>
    <row r="180" spans="1:26" ht="12.75" customHeight="1" x14ac:dyDescent="0.2">
      <c r="A180" s="435"/>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row>
    <row r="181" spans="1:26" ht="12.75" customHeight="1" x14ac:dyDescent="0.2">
      <c r="A181" s="435"/>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row>
    <row r="182" spans="1:26" ht="12.75" customHeight="1" x14ac:dyDescent="0.2">
      <c r="A182" s="435"/>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row>
    <row r="183" spans="1:26" ht="12.75" customHeight="1" x14ac:dyDescent="0.2">
      <c r="A183" s="435"/>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row>
    <row r="184" spans="1:26" ht="12.75" customHeight="1" x14ac:dyDescent="0.2">
      <c r="A184" s="435"/>
      <c r="B184" s="435"/>
      <c r="C184" s="435"/>
      <c r="D184" s="435"/>
      <c r="E184" s="435"/>
      <c r="F184" s="435"/>
      <c r="G184" s="435"/>
      <c r="H184" s="435"/>
      <c r="I184" s="435"/>
      <c r="J184" s="435"/>
      <c r="K184" s="435"/>
      <c r="L184" s="435"/>
      <c r="M184" s="435"/>
      <c r="N184" s="435"/>
      <c r="O184" s="435"/>
      <c r="P184" s="435"/>
      <c r="Q184" s="435"/>
      <c r="R184" s="435"/>
      <c r="S184" s="435"/>
      <c r="T184" s="435"/>
      <c r="U184" s="435"/>
      <c r="V184" s="435"/>
      <c r="W184" s="435"/>
      <c r="X184" s="435"/>
      <c r="Y184" s="435"/>
      <c r="Z184" s="435"/>
    </row>
    <row r="185" spans="1:26" ht="12.75" customHeight="1" x14ac:dyDescent="0.2">
      <c r="A185" s="435"/>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row>
    <row r="186" spans="1:26" ht="12.75" customHeight="1" x14ac:dyDescent="0.2">
      <c r="A186" s="435"/>
      <c r="B186" s="435"/>
      <c r="C186" s="435"/>
      <c r="D186" s="435"/>
      <c r="E186" s="435"/>
      <c r="F186" s="435"/>
      <c r="G186" s="435"/>
      <c r="H186" s="435"/>
      <c r="I186" s="435"/>
      <c r="J186" s="435"/>
      <c r="K186" s="435"/>
      <c r="L186" s="435"/>
      <c r="M186" s="435"/>
      <c r="N186" s="435"/>
      <c r="O186" s="435"/>
      <c r="P186" s="435"/>
      <c r="Q186" s="435"/>
      <c r="R186" s="435"/>
      <c r="S186" s="435"/>
      <c r="T186" s="435"/>
      <c r="U186" s="435"/>
      <c r="V186" s="435"/>
      <c r="W186" s="435"/>
      <c r="X186" s="435"/>
      <c r="Y186" s="435"/>
      <c r="Z186" s="435"/>
    </row>
    <row r="187" spans="1:26" ht="12.75" customHeight="1" x14ac:dyDescent="0.2">
      <c r="A187" s="435"/>
      <c r="B187" s="435"/>
      <c r="C187" s="435"/>
      <c r="D187" s="435"/>
      <c r="E187" s="435"/>
      <c r="F187" s="435"/>
      <c r="G187" s="435"/>
      <c r="H187" s="435"/>
      <c r="I187" s="435"/>
      <c r="J187" s="435"/>
      <c r="K187" s="435"/>
      <c r="L187" s="435"/>
      <c r="M187" s="435"/>
      <c r="N187" s="435"/>
      <c r="O187" s="435"/>
      <c r="P187" s="435"/>
      <c r="Q187" s="435"/>
      <c r="R187" s="435"/>
      <c r="S187" s="435"/>
      <c r="T187" s="435"/>
      <c r="U187" s="435"/>
      <c r="V187" s="435"/>
      <c r="W187" s="435"/>
      <c r="X187" s="435"/>
      <c r="Y187" s="435"/>
      <c r="Z187" s="435"/>
    </row>
    <row r="188" spans="1:26" ht="12.75" customHeight="1" x14ac:dyDescent="0.2">
      <c r="A188" s="435"/>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row>
    <row r="189" spans="1:26" ht="12.75" customHeight="1" x14ac:dyDescent="0.2">
      <c r="A189" s="435"/>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row>
    <row r="190" spans="1:26" ht="12.75" customHeight="1" x14ac:dyDescent="0.2">
      <c r="A190" s="435"/>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row>
    <row r="191" spans="1:26" ht="12.75" customHeight="1" x14ac:dyDescent="0.2">
      <c r="A191" s="435"/>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row>
    <row r="192" spans="1:26" ht="12.75" customHeight="1" x14ac:dyDescent="0.2">
      <c r="A192" s="435"/>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row>
    <row r="193" spans="1:26" ht="12.75" customHeight="1" x14ac:dyDescent="0.2">
      <c r="A193" s="435"/>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row>
    <row r="194" spans="1:26" ht="12.75" customHeight="1" x14ac:dyDescent="0.2">
      <c r="A194" s="435"/>
      <c r="B194" s="435"/>
      <c r="C194" s="435"/>
      <c r="D194" s="435"/>
      <c r="E194" s="435"/>
      <c r="F194" s="435"/>
      <c r="G194" s="435"/>
      <c r="H194" s="435"/>
      <c r="I194" s="435"/>
      <c r="J194" s="435"/>
      <c r="K194" s="435"/>
      <c r="L194" s="435"/>
      <c r="M194" s="435"/>
      <c r="N194" s="435"/>
      <c r="O194" s="435"/>
      <c r="P194" s="435"/>
      <c r="Q194" s="435"/>
      <c r="R194" s="435"/>
      <c r="S194" s="435"/>
      <c r="T194" s="435"/>
      <c r="U194" s="435"/>
      <c r="V194" s="435"/>
      <c r="W194" s="435"/>
      <c r="X194" s="435"/>
      <c r="Y194" s="435"/>
      <c r="Z194" s="435"/>
    </row>
    <row r="195" spans="1:26" ht="12.75" customHeight="1" x14ac:dyDescent="0.2">
      <c r="A195" s="435"/>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row>
    <row r="196" spans="1:26" ht="12.75" customHeight="1" x14ac:dyDescent="0.2">
      <c r="A196" s="435"/>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row>
    <row r="197" spans="1:26" ht="12.75" customHeight="1" x14ac:dyDescent="0.2">
      <c r="A197" s="435"/>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row>
    <row r="198" spans="1:26" ht="12.75" customHeight="1" x14ac:dyDescent="0.2">
      <c r="A198" s="435"/>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row>
    <row r="199" spans="1:26" ht="12.75" customHeight="1" x14ac:dyDescent="0.2">
      <c r="A199" s="435"/>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row>
    <row r="200" spans="1:26" ht="12.75" customHeight="1" x14ac:dyDescent="0.2">
      <c r="A200" s="435"/>
      <c r="B200" s="435"/>
      <c r="C200" s="435"/>
      <c r="D200" s="435"/>
      <c r="E200" s="435"/>
      <c r="F200" s="435"/>
      <c r="G200" s="435"/>
      <c r="H200" s="435"/>
      <c r="I200" s="435"/>
      <c r="J200" s="435"/>
      <c r="K200" s="435"/>
      <c r="L200" s="435"/>
      <c r="M200" s="435"/>
      <c r="N200" s="435"/>
      <c r="O200" s="435"/>
      <c r="P200" s="435"/>
      <c r="Q200" s="435"/>
      <c r="R200" s="435"/>
      <c r="S200" s="435"/>
      <c r="T200" s="435"/>
      <c r="U200" s="435"/>
      <c r="V200" s="435"/>
      <c r="W200" s="435"/>
      <c r="X200" s="435"/>
      <c r="Y200" s="435"/>
      <c r="Z200" s="435"/>
    </row>
    <row r="201" spans="1:26" ht="12.75" customHeight="1" x14ac:dyDescent="0.2">
      <c r="A201" s="435"/>
      <c r="B201" s="435"/>
      <c r="C201" s="435"/>
      <c r="D201" s="435"/>
      <c r="E201" s="435"/>
      <c r="F201" s="435"/>
      <c r="G201" s="435"/>
      <c r="H201" s="435"/>
      <c r="I201" s="435"/>
      <c r="J201" s="435"/>
      <c r="K201" s="435"/>
      <c r="L201" s="435"/>
      <c r="M201" s="435"/>
      <c r="N201" s="435"/>
      <c r="O201" s="435"/>
      <c r="P201" s="435"/>
      <c r="Q201" s="435"/>
      <c r="R201" s="435"/>
      <c r="S201" s="435"/>
      <c r="T201" s="435"/>
      <c r="U201" s="435"/>
      <c r="V201" s="435"/>
      <c r="W201" s="435"/>
      <c r="X201" s="435"/>
      <c r="Y201" s="435"/>
      <c r="Z201" s="435"/>
    </row>
    <row r="202" spans="1:26" ht="12.75" customHeight="1" x14ac:dyDescent="0.2">
      <c r="A202" s="435"/>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row>
    <row r="203" spans="1:26" ht="12.75" customHeight="1" x14ac:dyDescent="0.2">
      <c r="A203" s="435"/>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row>
    <row r="204" spans="1:26" ht="12.75" customHeight="1" x14ac:dyDescent="0.2">
      <c r="A204" s="435"/>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row>
    <row r="205" spans="1:26" ht="12.75" customHeight="1" x14ac:dyDescent="0.2">
      <c r="A205" s="435"/>
      <c r="B205" s="435"/>
      <c r="C205" s="435"/>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row>
    <row r="206" spans="1:26" ht="12.75" customHeight="1" x14ac:dyDescent="0.2">
      <c r="A206" s="435"/>
      <c r="B206" s="435"/>
      <c r="C206" s="435"/>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row>
    <row r="207" spans="1:26" ht="12.75" customHeight="1" x14ac:dyDescent="0.2">
      <c r="A207" s="435"/>
      <c r="B207" s="435"/>
      <c r="C207" s="435"/>
      <c r="D207" s="435"/>
      <c r="E207" s="435"/>
      <c r="F207" s="435"/>
      <c r="G207" s="435"/>
      <c r="H207" s="435"/>
      <c r="I207" s="435"/>
      <c r="J207" s="435"/>
      <c r="K207" s="435"/>
      <c r="L207" s="435"/>
      <c r="M207" s="435"/>
      <c r="N207" s="435"/>
      <c r="O207" s="435"/>
      <c r="P207" s="435"/>
      <c r="Q207" s="435"/>
      <c r="R207" s="435"/>
      <c r="S207" s="435"/>
      <c r="T207" s="435"/>
      <c r="U207" s="435"/>
      <c r="V207" s="435"/>
      <c r="W207" s="435"/>
      <c r="X207" s="435"/>
      <c r="Y207" s="435"/>
      <c r="Z207" s="435"/>
    </row>
    <row r="208" spans="1:26" ht="12.75" customHeight="1" x14ac:dyDescent="0.2">
      <c r="A208" s="435"/>
      <c r="B208" s="435"/>
      <c r="C208" s="435"/>
      <c r="D208" s="435"/>
      <c r="E208" s="435"/>
      <c r="F208" s="435"/>
      <c r="G208" s="435"/>
      <c r="H208" s="435"/>
      <c r="I208" s="435"/>
      <c r="J208" s="435"/>
      <c r="K208" s="435"/>
      <c r="L208" s="435"/>
      <c r="M208" s="435"/>
      <c r="N208" s="435"/>
      <c r="O208" s="435"/>
      <c r="P208" s="435"/>
      <c r="Q208" s="435"/>
      <c r="R208" s="435"/>
      <c r="S208" s="435"/>
      <c r="T208" s="435"/>
      <c r="U208" s="435"/>
      <c r="V208" s="435"/>
      <c r="W208" s="435"/>
      <c r="X208" s="435"/>
      <c r="Y208" s="435"/>
      <c r="Z208" s="435"/>
    </row>
    <row r="209" spans="1:26" ht="12.75" customHeight="1" x14ac:dyDescent="0.2">
      <c r="A209" s="435"/>
      <c r="B209" s="435"/>
      <c r="C209" s="435"/>
      <c r="D209" s="435"/>
      <c r="E209" s="435"/>
      <c r="F209" s="435"/>
      <c r="G209" s="435"/>
      <c r="H209" s="435"/>
      <c r="I209" s="435"/>
      <c r="J209" s="435"/>
      <c r="K209" s="435"/>
      <c r="L209" s="435"/>
      <c r="M209" s="435"/>
      <c r="N209" s="435"/>
      <c r="O209" s="435"/>
      <c r="P209" s="435"/>
      <c r="Q209" s="435"/>
      <c r="R209" s="435"/>
      <c r="S209" s="435"/>
      <c r="T209" s="435"/>
      <c r="U209" s="435"/>
      <c r="V209" s="435"/>
      <c r="W209" s="435"/>
      <c r="X209" s="435"/>
      <c r="Y209" s="435"/>
      <c r="Z209" s="435"/>
    </row>
    <row r="210" spans="1:26" ht="12.75" customHeight="1" x14ac:dyDescent="0.2">
      <c r="A210" s="435"/>
      <c r="B210" s="435"/>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row>
    <row r="211" spans="1:26" ht="12.75" customHeight="1" x14ac:dyDescent="0.2">
      <c r="A211" s="435"/>
      <c r="B211" s="435"/>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row>
    <row r="212" spans="1:26" ht="12.75" customHeight="1" x14ac:dyDescent="0.2">
      <c r="A212" s="435"/>
      <c r="B212" s="435"/>
      <c r="C212" s="435"/>
      <c r="D212" s="435"/>
      <c r="E212" s="435"/>
      <c r="F212" s="435"/>
      <c r="G212" s="435"/>
      <c r="H212" s="435"/>
      <c r="I212" s="435"/>
      <c r="J212" s="435"/>
      <c r="K212" s="435"/>
      <c r="L212" s="435"/>
      <c r="M212" s="435"/>
      <c r="N212" s="435"/>
      <c r="O212" s="435"/>
      <c r="P212" s="435"/>
      <c r="Q212" s="435"/>
      <c r="R212" s="435"/>
      <c r="S212" s="435"/>
      <c r="T212" s="435"/>
      <c r="U212" s="435"/>
      <c r="V212" s="435"/>
      <c r="W212" s="435"/>
      <c r="X212" s="435"/>
      <c r="Y212" s="435"/>
      <c r="Z212" s="435"/>
    </row>
    <row r="213" spans="1:26" ht="12.75" customHeight="1" x14ac:dyDescent="0.2">
      <c r="A213" s="435"/>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row>
    <row r="214" spans="1:26" ht="12.75" customHeight="1" x14ac:dyDescent="0.2">
      <c r="A214" s="435"/>
      <c r="B214" s="435"/>
      <c r="C214" s="435"/>
      <c r="D214" s="435"/>
      <c r="E214" s="435"/>
      <c r="F214" s="435"/>
      <c r="G214" s="435"/>
      <c r="H214" s="435"/>
      <c r="I214" s="435"/>
      <c r="J214" s="435"/>
      <c r="K214" s="435"/>
      <c r="L214" s="435"/>
      <c r="M214" s="435"/>
      <c r="N214" s="435"/>
      <c r="O214" s="435"/>
      <c r="P214" s="435"/>
      <c r="Q214" s="435"/>
      <c r="R214" s="435"/>
      <c r="S214" s="435"/>
      <c r="T214" s="435"/>
      <c r="U214" s="435"/>
      <c r="V214" s="435"/>
      <c r="W214" s="435"/>
      <c r="X214" s="435"/>
      <c r="Y214" s="435"/>
      <c r="Z214" s="435"/>
    </row>
    <row r="215" spans="1:26" ht="12.75" customHeight="1" x14ac:dyDescent="0.2">
      <c r="A215" s="435"/>
      <c r="B215" s="435"/>
      <c r="C215" s="435"/>
      <c r="D215" s="435"/>
      <c r="E215" s="435"/>
      <c r="F215" s="435"/>
      <c r="G215" s="435"/>
      <c r="H215" s="435"/>
      <c r="I215" s="435"/>
      <c r="J215" s="435"/>
      <c r="K215" s="435"/>
      <c r="L215" s="435"/>
      <c r="M215" s="435"/>
      <c r="N215" s="435"/>
      <c r="O215" s="435"/>
      <c r="P215" s="435"/>
      <c r="Q215" s="435"/>
      <c r="R215" s="435"/>
      <c r="S215" s="435"/>
      <c r="T215" s="435"/>
      <c r="U215" s="435"/>
      <c r="V215" s="435"/>
      <c r="W215" s="435"/>
      <c r="X215" s="435"/>
      <c r="Y215" s="435"/>
      <c r="Z215" s="435"/>
    </row>
    <row r="216" spans="1:26" ht="12.75" customHeight="1" x14ac:dyDescent="0.2">
      <c r="A216" s="435"/>
      <c r="B216" s="435"/>
      <c r="C216" s="435"/>
      <c r="D216" s="435"/>
      <c r="E216" s="435"/>
      <c r="F216" s="435"/>
      <c r="G216" s="435"/>
      <c r="H216" s="435"/>
      <c r="I216" s="435"/>
      <c r="J216" s="435"/>
      <c r="K216" s="435"/>
      <c r="L216" s="435"/>
      <c r="M216" s="435"/>
      <c r="N216" s="435"/>
      <c r="O216" s="435"/>
      <c r="P216" s="435"/>
      <c r="Q216" s="435"/>
      <c r="R216" s="435"/>
      <c r="S216" s="435"/>
      <c r="T216" s="435"/>
      <c r="U216" s="435"/>
      <c r="V216" s="435"/>
      <c r="W216" s="435"/>
      <c r="X216" s="435"/>
      <c r="Y216" s="435"/>
      <c r="Z216" s="435"/>
    </row>
    <row r="217" spans="1:26" ht="12.75" customHeight="1" x14ac:dyDescent="0.2">
      <c r="A217" s="435"/>
      <c r="B217" s="435"/>
      <c r="C217" s="435"/>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row>
    <row r="218" spans="1:26" ht="12.75" customHeight="1" x14ac:dyDescent="0.2">
      <c r="A218" s="435"/>
      <c r="B218" s="435"/>
      <c r="C218" s="435"/>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row>
    <row r="219" spans="1:26" ht="12.75" customHeight="1" x14ac:dyDescent="0.2">
      <c r="A219" s="435"/>
      <c r="B219" s="435"/>
      <c r="C219" s="435"/>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row>
    <row r="220" spans="1:26" ht="12.75" customHeight="1" x14ac:dyDescent="0.2">
      <c r="A220" s="435"/>
      <c r="B220" s="435"/>
      <c r="C220" s="435"/>
      <c r="D220" s="435"/>
      <c r="E220" s="435"/>
      <c r="F220" s="435"/>
      <c r="G220" s="435"/>
      <c r="H220" s="435"/>
      <c r="I220" s="435"/>
      <c r="J220" s="435"/>
      <c r="K220" s="435"/>
      <c r="L220" s="435"/>
      <c r="M220" s="435"/>
      <c r="N220" s="435"/>
      <c r="O220" s="435"/>
      <c r="P220" s="435"/>
      <c r="Q220" s="435"/>
      <c r="R220" s="435"/>
      <c r="S220" s="435"/>
      <c r="T220" s="435"/>
      <c r="U220" s="435"/>
      <c r="V220" s="435"/>
      <c r="W220" s="435"/>
      <c r="X220" s="435"/>
      <c r="Y220" s="435"/>
      <c r="Z220" s="435"/>
    </row>
    <row r="221" spans="1:26" ht="12.75" customHeight="1" x14ac:dyDescent="0.2">
      <c r="A221" s="435"/>
      <c r="B221" s="435"/>
      <c r="C221" s="435"/>
      <c r="D221" s="435"/>
      <c r="E221" s="435"/>
      <c r="F221" s="435"/>
      <c r="G221" s="435"/>
      <c r="H221" s="435"/>
      <c r="I221" s="435"/>
      <c r="J221" s="435"/>
      <c r="K221" s="435"/>
      <c r="L221" s="435"/>
      <c r="M221" s="435"/>
      <c r="N221" s="435"/>
      <c r="O221" s="435"/>
      <c r="P221" s="435"/>
      <c r="Q221" s="435"/>
      <c r="R221" s="435"/>
      <c r="S221" s="435"/>
      <c r="T221" s="435"/>
      <c r="U221" s="435"/>
      <c r="V221" s="435"/>
      <c r="W221" s="435"/>
      <c r="X221" s="435"/>
      <c r="Y221" s="435"/>
      <c r="Z221" s="435"/>
    </row>
    <row r="222" spans="1:26" ht="12.75" customHeight="1" x14ac:dyDescent="0.2">
      <c r="A222" s="435"/>
      <c r="B222" s="435"/>
      <c r="C222" s="435"/>
      <c r="D222" s="435"/>
      <c r="E222" s="435"/>
      <c r="F222" s="435"/>
      <c r="G222" s="435"/>
      <c r="H222" s="435"/>
      <c r="I222" s="435"/>
      <c r="J222" s="435"/>
      <c r="K222" s="435"/>
      <c r="L222" s="435"/>
      <c r="M222" s="435"/>
      <c r="N222" s="435"/>
      <c r="O222" s="435"/>
      <c r="P222" s="435"/>
      <c r="Q222" s="435"/>
      <c r="R222" s="435"/>
      <c r="S222" s="435"/>
      <c r="T222" s="435"/>
      <c r="U222" s="435"/>
      <c r="V222" s="435"/>
      <c r="W222" s="435"/>
      <c r="X222" s="435"/>
      <c r="Y222" s="435"/>
      <c r="Z222" s="435"/>
    </row>
    <row r="223" spans="1:26" ht="12.75" customHeight="1" x14ac:dyDescent="0.2">
      <c r="A223" s="435"/>
      <c r="B223" s="435"/>
      <c r="C223" s="435"/>
      <c r="D223" s="435"/>
      <c r="E223" s="435"/>
      <c r="F223" s="435"/>
      <c r="G223" s="435"/>
      <c r="H223" s="435"/>
      <c r="I223" s="435"/>
      <c r="J223" s="435"/>
      <c r="K223" s="435"/>
      <c r="L223" s="435"/>
      <c r="M223" s="435"/>
      <c r="N223" s="435"/>
      <c r="O223" s="435"/>
      <c r="P223" s="435"/>
      <c r="Q223" s="435"/>
      <c r="R223" s="435"/>
      <c r="S223" s="435"/>
      <c r="T223" s="435"/>
      <c r="U223" s="435"/>
      <c r="V223" s="435"/>
      <c r="W223" s="435"/>
      <c r="X223" s="435"/>
      <c r="Y223" s="435"/>
      <c r="Z223" s="435"/>
    </row>
    <row r="224" spans="1:26" ht="12.75" customHeight="1" x14ac:dyDescent="0.2">
      <c r="A224" s="435"/>
      <c r="B224" s="435"/>
      <c r="C224" s="435"/>
      <c r="D224" s="435"/>
      <c r="E224" s="435"/>
      <c r="F224" s="435"/>
      <c r="G224" s="435"/>
      <c r="H224" s="435"/>
      <c r="I224" s="435"/>
      <c r="J224" s="435"/>
      <c r="K224" s="435"/>
      <c r="L224" s="435"/>
      <c r="M224" s="435"/>
      <c r="N224" s="435"/>
      <c r="O224" s="435"/>
      <c r="P224" s="435"/>
      <c r="Q224" s="435"/>
      <c r="R224" s="435"/>
      <c r="S224" s="435"/>
      <c r="T224" s="435"/>
      <c r="U224" s="435"/>
      <c r="V224" s="435"/>
      <c r="W224" s="435"/>
      <c r="X224" s="435"/>
      <c r="Y224" s="435"/>
      <c r="Z224" s="435"/>
    </row>
    <row r="225" spans="1:26" ht="12.75" customHeight="1" x14ac:dyDescent="0.2">
      <c r="A225" s="435"/>
      <c r="B225" s="435"/>
      <c r="C225" s="435"/>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row>
    <row r="226" spans="1:26" ht="12.75" customHeight="1" x14ac:dyDescent="0.2">
      <c r="A226" s="435"/>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row>
    <row r="227" spans="1:26" ht="12.75" customHeight="1" x14ac:dyDescent="0.2">
      <c r="A227" s="435"/>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row>
    <row r="228" spans="1:26" ht="12.75" customHeight="1" x14ac:dyDescent="0.2">
      <c r="A228" s="435"/>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row>
    <row r="229" spans="1:26" ht="12.75" customHeight="1" x14ac:dyDescent="0.2">
      <c r="A229" s="435"/>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row>
    <row r="230" spans="1:26" ht="12.75" customHeight="1" x14ac:dyDescent="0.2">
      <c r="A230" s="435"/>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row>
    <row r="231" spans="1:26" ht="12.75" customHeight="1" x14ac:dyDescent="0.2">
      <c r="A231" s="435"/>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row>
    <row r="232" spans="1:26" ht="12.75" customHeight="1" x14ac:dyDescent="0.2">
      <c r="A232" s="435"/>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row>
    <row r="233" spans="1:26" ht="12.75" customHeight="1" x14ac:dyDescent="0.2">
      <c r="A233" s="435"/>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row>
    <row r="234" spans="1:26" ht="12.75" customHeight="1" x14ac:dyDescent="0.2">
      <c r="A234" s="435"/>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row>
    <row r="235" spans="1:26" ht="12.75" customHeight="1" x14ac:dyDescent="0.2">
      <c r="A235" s="435"/>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row>
    <row r="236" spans="1:26" ht="12.75" customHeight="1" x14ac:dyDescent="0.2">
      <c r="A236" s="435"/>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row>
    <row r="237" spans="1:26" ht="12.75" customHeight="1" x14ac:dyDescent="0.2">
      <c r="A237" s="435"/>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row>
    <row r="238" spans="1:26" ht="12.75" customHeight="1" x14ac:dyDescent="0.2">
      <c r="A238" s="435"/>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row>
    <row r="239" spans="1:26" ht="12.75" customHeight="1" x14ac:dyDescent="0.2">
      <c r="A239" s="435"/>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row>
    <row r="240" spans="1:26" ht="12.75" customHeight="1" x14ac:dyDescent="0.2">
      <c r="A240" s="435"/>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row>
    <row r="241" spans="1:26" ht="12.75" customHeight="1" x14ac:dyDescent="0.2">
      <c r="A241" s="435"/>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row>
    <row r="242" spans="1:26" ht="12.75" customHeight="1" x14ac:dyDescent="0.2">
      <c r="A242" s="435"/>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row>
    <row r="243" spans="1:26" ht="12.75" customHeight="1" x14ac:dyDescent="0.2">
      <c r="A243" s="435"/>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row>
    <row r="244" spans="1:26" ht="12.75" customHeight="1" x14ac:dyDescent="0.2">
      <c r="A244" s="435"/>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row>
    <row r="245" spans="1:26" ht="12.75" customHeight="1" x14ac:dyDescent="0.2">
      <c r="A245" s="435"/>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row>
    <row r="246" spans="1:26" ht="12.75" customHeight="1" x14ac:dyDescent="0.2">
      <c r="A246" s="435"/>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row>
    <row r="247" spans="1:26" ht="12.75" customHeight="1" x14ac:dyDescent="0.2">
      <c r="A247" s="435"/>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row>
    <row r="248" spans="1:26" ht="12.75" customHeight="1" x14ac:dyDescent="0.2">
      <c r="A248" s="435"/>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row>
    <row r="249" spans="1:26" ht="12.75" customHeight="1" x14ac:dyDescent="0.2">
      <c r="A249" s="435"/>
      <c r="B249" s="435"/>
      <c r="C249" s="435"/>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row>
    <row r="250" spans="1:26" ht="12.75" customHeight="1" x14ac:dyDescent="0.2">
      <c r="A250" s="435"/>
      <c r="B250" s="435"/>
      <c r="C250" s="435"/>
      <c r="D250" s="435"/>
      <c r="E250" s="435"/>
      <c r="F250" s="435"/>
      <c r="G250" s="435"/>
      <c r="H250" s="435"/>
      <c r="I250" s="435"/>
      <c r="J250" s="435"/>
      <c r="K250" s="435"/>
      <c r="L250" s="435"/>
      <c r="M250" s="435"/>
      <c r="N250" s="435"/>
      <c r="O250" s="435"/>
      <c r="P250" s="435"/>
      <c r="Q250" s="435"/>
      <c r="R250" s="435"/>
      <c r="S250" s="435"/>
      <c r="T250" s="435"/>
      <c r="U250" s="435"/>
      <c r="V250" s="435"/>
      <c r="W250" s="435"/>
      <c r="X250" s="435"/>
      <c r="Y250" s="435"/>
      <c r="Z250" s="435"/>
    </row>
    <row r="251" spans="1:26" ht="12.75" customHeight="1" x14ac:dyDescent="0.2">
      <c r="A251" s="435"/>
      <c r="B251" s="435"/>
      <c r="C251" s="435"/>
      <c r="D251" s="435"/>
      <c r="E251" s="435"/>
      <c r="F251" s="435"/>
      <c r="G251" s="435"/>
      <c r="H251" s="435"/>
      <c r="I251" s="435"/>
      <c r="J251" s="435"/>
      <c r="K251" s="435"/>
      <c r="L251" s="435"/>
      <c r="M251" s="435"/>
      <c r="N251" s="435"/>
      <c r="O251" s="435"/>
      <c r="P251" s="435"/>
      <c r="Q251" s="435"/>
      <c r="R251" s="435"/>
      <c r="S251" s="435"/>
      <c r="T251" s="435"/>
      <c r="U251" s="435"/>
      <c r="V251" s="435"/>
      <c r="W251" s="435"/>
      <c r="X251" s="435"/>
      <c r="Y251" s="435"/>
      <c r="Z251" s="435"/>
    </row>
    <row r="252" spans="1:26" ht="12.75" customHeight="1" x14ac:dyDescent="0.2">
      <c r="A252" s="435"/>
      <c r="B252" s="435"/>
      <c r="C252" s="435"/>
      <c r="D252" s="435"/>
      <c r="E252" s="435"/>
      <c r="F252" s="435"/>
      <c r="G252" s="435"/>
      <c r="H252" s="435"/>
      <c r="I252" s="435"/>
      <c r="J252" s="435"/>
      <c r="K252" s="435"/>
      <c r="L252" s="435"/>
      <c r="M252" s="435"/>
      <c r="N252" s="435"/>
      <c r="O252" s="435"/>
      <c r="P252" s="435"/>
      <c r="Q252" s="435"/>
      <c r="R252" s="435"/>
      <c r="S252" s="435"/>
      <c r="T252" s="435"/>
      <c r="U252" s="435"/>
      <c r="V252" s="435"/>
      <c r="W252" s="435"/>
      <c r="X252" s="435"/>
      <c r="Y252" s="435"/>
      <c r="Z252" s="435"/>
    </row>
    <row r="253" spans="1:26" ht="12.75" customHeight="1" x14ac:dyDescent="0.2">
      <c r="A253" s="435"/>
      <c r="B253" s="435"/>
      <c r="C253" s="435"/>
      <c r="D253" s="435"/>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row>
    <row r="254" spans="1:26" ht="12.75" customHeight="1" x14ac:dyDescent="0.2">
      <c r="A254" s="435"/>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row>
    <row r="255" spans="1:26" ht="12.75" customHeight="1" x14ac:dyDescent="0.2">
      <c r="A255" s="435"/>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row>
    <row r="256" spans="1:26" ht="12.75" customHeight="1" x14ac:dyDescent="0.2">
      <c r="A256" s="435"/>
      <c r="B256" s="435"/>
      <c r="C256" s="435"/>
      <c r="D256" s="435"/>
      <c r="E256" s="435"/>
      <c r="F256" s="435"/>
      <c r="G256" s="435"/>
      <c r="H256" s="435"/>
      <c r="I256" s="435"/>
      <c r="J256" s="435"/>
      <c r="K256" s="435"/>
      <c r="L256" s="435"/>
      <c r="M256" s="435"/>
      <c r="N256" s="435"/>
      <c r="O256" s="435"/>
      <c r="P256" s="435"/>
      <c r="Q256" s="435"/>
      <c r="R256" s="435"/>
      <c r="S256" s="435"/>
      <c r="T256" s="435"/>
      <c r="U256" s="435"/>
      <c r="V256" s="435"/>
      <c r="W256" s="435"/>
      <c r="X256" s="435"/>
      <c r="Y256" s="435"/>
      <c r="Z256" s="435"/>
    </row>
    <row r="257" spans="1:26" ht="12.75" customHeight="1" x14ac:dyDescent="0.2">
      <c r="A257" s="435"/>
      <c r="B257" s="435"/>
      <c r="C257" s="435"/>
      <c r="D257" s="435"/>
      <c r="E257" s="435"/>
      <c r="F257" s="435"/>
      <c r="G257" s="435"/>
      <c r="H257" s="435"/>
      <c r="I257" s="435"/>
      <c r="J257" s="435"/>
      <c r="K257" s="435"/>
      <c r="L257" s="435"/>
      <c r="M257" s="435"/>
      <c r="N257" s="435"/>
      <c r="O257" s="435"/>
      <c r="P257" s="435"/>
      <c r="Q257" s="435"/>
      <c r="R257" s="435"/>
      <c r="S257" s="435"/>
      <c r="T257" s="435"/>
      <c r="U257" s="435"/>
      <c r="V257" s="435"/>
      <c r="W257" s="435"/>
      <c r="X257" s="435"/>
      <c r="Y257" s="435"/>
      <c r="Z257" s="435"/>
    </row>
    <row r="258" spans="1:26" ht="12.75" customHeight="1" x14ac:dyDescent="0.2">
      <c r="A258" s="435"/>
      <c r="B258" s="435"/>
      <c r="C258" s="435"/>
      <c r="D258" s="435"/>
      <c r="E258" s="435"/>
      <c r="F258" s="435"/>
      <c r="G258" s="435"/>
      <c r="H258" s="435"/>
      <c r="I258" s="435"/>
      <c r="J258" s="435"/>
      <c r="K258" s="435"/>
      <c r="L258" s="435"/>
      <c r="M258" s="435"/>
      <c r="N258" s="435"/>
      <c r="O258" s="435"/>
      <c r="P258" s="435"/>
      <c r="Q258" s="435"/>
      <c r="R258" s="435"/>
      <c r="S258" s="435"/>
      <c r="T258" s="435"/>
      <c r="U258" s="435"/>
      <c r="V258" s="435"/>
      <c r="W258" s="435"/>
      <c r="X258" s="435"/>
      <c r="Y258" s="435"/>
      <c r="Z258" s="435"/>
    </row>
    <row r="259" spans="1:26" ht="12.75" customHeight="1" x14ac:dyDescent="0.2">
      <c r="A259" s="435"/>
      <c r="B259" s="435"/>
      <c r="C259" s="435"/>
      <c r="D259" s="435"/>
      <c r="E259" s="435"/>
      <c r="F259" s="435"/>
      <c r="G259" s="435"/>
      <c r="H259" s="435"/>
      <c r="I259" s="435"/>
      <c r="J259" s="435"/>
      <c r="K259" s="435"/>
      <c r="L259" s="435"/>
      <c r="M259" s="435"/>
      <c r="N259" s="435"/>
      <c r="O259" s="435"/>
      <c r="P259" s="435"/>
      <c r="Q259" s="435"/>
      <c r="R259" s="435"/>
      <c r="S259" s="435"/>
      <c r="T259" s="435"/>
      <c r="U259" s="435"/>
      <c r="V259" s="435"/>
      <c r="W259" s="435"/>
      <c r="X259" s="435"/>
      <c r="Y259" s="435"/>
      <c r="Z259" s="435"/>
    </row>
    <row r="260" spans="1:26" ht="12.75" customHeight="1" x14ac:dyDescent="0.2">
      <c r="A260" s="435"/>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row>
    <row r="261" spans="1:26" ht="12.75" customHeight="1" x14ac:dyDescent="0.2">
      <c r="A261" s="435"/>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row>
    <row r="262" spans="1:26" ht="12.75" customHeight="1" x14ac:dyDescent="0.2">
      <c r="A262" s="435"/>
      <c r="B262" s="435"/>
      <c r="C262" s="435"/>
      <c r="D262" s="435"/>
      <c r="E262" s="435"/>
      <c r="F262" s="435"/>
      <c r="G262" s="435"/>
      <c r="H262" s="435"/>
      <c r="I262" s="435"/>
      <c r="J262" s="435"/>
      <c r="K262" s="435"/>
      <c r="L262" s="435"/>
      <c r="M262" s="435"/>
      <c r="N262" s="435"/>
      <c r="O262" s="435"/>
      <c r="P262" s="435"/>
      <c r="Q262" s="435"/>
      <c r="R262" s="435"/>
      <c r="S262" s="435"/>
      <c r="T262" s="435"/>
      <c r="U262" s="435"/>
      <c r="V262" s="435"/>
      <c r="W262" s="435"/>
      <c r="X262" s="435"/>
      <c r="Y262" s="435"/>
      <c r="Z262" s="435"/>
    </row>
    <row r="263" spans="1:26" ht="12.75" customHeight="1" x14ac:dyDescent="0.2">
      <c r="A263" s="435"/>
      <c r="B263" s="435"/>
      <c r="C263" s="435"/>
      <c r="D263" s="435"/>
      <c r="E263" s="435"/>
      <c r="F263" s="435"/>
      <c r="G263" s="435"/>
      <c r="H263" s="435"/>
      <c r="I263" s="435"/>
      <c r="J263" s="435"/>
      <c r="K263" s="435"/>
      <c r="L263" s="435"/>
      <c r="M263" s="435"/>
      <c r="N263" s="435"/>
      <c r="O263" s="435"/>
      <c r="P263" s="435"/>
      <c r="Q263" s="435"/>
      <c r="R263" s="435"/>
      <c r="S263" s="435"/>
      <c r="T263" s="435"/>
      <c r="U263" s="435"/>
      <c r="V263" s="435"/>
      <c r="W263" s="435"/>
      <c r="X263" s="435"/>
      <c r="Y263" s="435"/>
      <c r="Z263" s="435"/>
    </row>
    <row r="264" spans="1:26" ht="12.75" customHeight="1" x14ac:dyDescent="0.2">
      <c r="A264" s="435"/>
      <c r="B264" s="435"/>
      <c r="C264" s="435"/>
      <c r="D264" s="435"/>
      <c r="E264" s="435"/>
      <c r="F264" s="435"/>
      <c r="G264" s="435"/>
      <c r="H264" s="435"/>
      <c r="I264" s="435"/>
      <c r="J264" s="435"/>
      <c r="K264" s="435"/>
      <c r="L264" s="435"/>
      <c r="M264" s="435"/>
      <c r="N264" s="435"/>
      <c r="O264" s="435"/>
      <c r="P264" s="435"/>
      <c r="Q264" s="435"/>
      <c r="R264" s="435"/>
      <c r="S264" s="435"/>
      <c r="T264" s="435"/>
      <c r="U264" s="435"/>
      <c r="V264" s="435"/>
      <c r="W264" s="435"/>
      <c r="X264" s="435"/>
      <c r="Y264" s="435"/>
      <c r="Z264" s="435"/>
    </row>
    <row r="265" spans="1:26" ht="12.75" customHeight="1" x14ac:dyDescent="0.2">
      <c r="A265" s="435"/>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row>
    <row r="266" spans="1:26" ht="12.75" customHeight="1" x14ac:dyDescent="0.2">
      <c r="A266" s="435"/>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row>
    <row r="267" spans="1:26" ht="12.75" customHeight="1" x14ac:dyDescent="0.2">
      <c r="A267" s="435"/>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row>
    <row r="268" spans="1:26" ht="12.75" customHeight="1" x14ac:dyDescent="0.2">
      <c r="A268" s="435"/>
      <c r="B268" s="435"/>
      <c r="C268" s="435"/>
      <c r="D268" s="435"/>
      <c r="E268" s="435"/>
      <c r="F268" s="435"/>
      <c r="G268" s="435"/>
      <c r="H268" s="435"/>
      <c r="I268" s="435"/>
      <c r="J268" s="435"/>
      <c r="K268" s="435"/>
      <c r="L268" s="435"/>
      <c r="M268" s="435"/>
      <c r="N268" s="435"/>
      <c r="O268" s="435"/>
      <c r="P268" s="435"/>
      <c r="Q268" s="435"/>
      <c r="R268" s="435"/>
      <c r="S268" s="435"/>
      <c r="T268" s="435"/>
      <c r="U268" s="435"/>
      <c r="V268" s="435"/>
      <c r="W268" s="435"/>
      <c r="X268" s="435"/>
      <c r="Y268" s="435"/>
      <c r="Z268" s="435"/>
    </row>
    <row r="269" spans="1:26" ht="12.75" customHeight="1" x14ac:dyDescent="0.2">
      <c r="A269" s="435"/>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row>
    <row r="270" spans="1:26" ht="12.75" customHeight="1" x14ac:dyDescent="0.2">
      <c r="A270" s="435"/>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row>
    <row r="271" spans="1:26" ht="12.75" customHeight="1" x14ac:dyDescent="0.2">
      <c r="A271" s="435"/>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row>
    <row r="272" spans="1:26" ht="12.75" customHeight="1" x14ac:dyDescent="0.2">
      <c r="A272" s="435"/>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row>
    <row r="273" spans="1:26" ht="12.75" customHeight="1" x14ac:dyDescent="0.2">
      <c r="A273" s="435"/>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row>
    <row r="274" spans="1:26" ht="12.75" customHeight="1" x14ac:dyDescent="0.2">
      <c r="A274" s="435"/>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row>
    <row r="275" spans="1:26" ht="12.75" customHeight="1" x14ac:dyDescent="0.2">
      <c r="A275" s="435"/>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row>
    <row r="276" spans="1:26" ht="12.75" customHeight="1" x14ac:dyDescent="0.2">
      <c r="A276" s="435"/>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row>
    <row r="277" spans="1:26" ht="12.75" customHeight="1" x14ac:dyDescent="0.2">
      <c r="A277" s="435"/>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row>
    <row r="278" spans="1:26" ht="12.75" customHeight="1" x14ac:dyDescent="0.2">
      <c r="A278" s="435"/>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row>
    <row r="279" spans="1:26" ht="12.75" customHeight="1" x14ac:dyDescent="0.2">
      <c r="A279" s="435"/>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row>
    <row r="280" spans="1:26" ht="12.75" customHeight="1" x14ac:dyDescent="0.2">
      <c r="A280" s="435"/>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row>
    <row r="281" spans="1:26" ht="12.75" customHeight="1" x14ac:dyDescent="0.2">
      <c r="A281" s="435"/>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row>
    <row r="282" spans="1:26" ht="12.75" customHeight="1" x14ac:dyDescent="0.2">
      <c r="A282" s="435"/>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row>
    <row r="283" spans="1:26" ht="12.75" customHeight="1" x14ac:dyDescent="0.2">
      <c r="A283" s="435"/>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row>
    <row r="284" spans="1:26" ht="12.75" customHeight="1" x14ac:dyDescent="0.2">
      <c r="A284" s="435"/>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row>
    <row r="285" spans="1:26" ht="12.75" customHeight="1" x14ac:dyDescent="0.2">
      <c r="A285" s="435"/>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row>
    <row r="286" spans="1:26" ht="12.75" customHeight="1" x14ac:dyDescent="0.2">
      <c r="A286" s="435"/>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row>
    <row r="287" spans="1:26" ht="12.75" customHeight="1" x14ac:dyDescent="0.2">
      <c r="A287" s="435"/>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row>
    <row r="288" spans="1:26" ht="12.75" customHeight="1" x14ac:dyDescent="0.2">
      <c r="A288" s="435"/>
      <c r="B288" s="435"/>
      <c r="C288" s="435"/>
      <c r="D288" s="435"/>
      <c r="E288" s="435"/>
      <c r="F288" s="435"/>
      <c r="G288" s="435"/>
      <c r="H288" s="435"/>
      <c r="I288" s="435"/>
      <c r="J288" s="435"/>
      <c r="K288" s="435"/>
      <c r="L288" s="435"/>
      <c r="M288" s="435"/>
      <c r="N288" s="435"/>
      <c r="O288" s="435"/>
      <c r="P288" s="435"/>
      <c r="Q288" s="435"/>
      <c r="R288" s="435"/>
      <c r="S288" s="435"/>
      <c r="T288" s="435"/>
      <c r="U288" s="435"/>
      <c r="V288" s="435"/>
      <c r="W288" s="435"/>
      <c r="X288" s="435"/>
      <c r="Y288" s="435"/>
      <c r="Z288" s="435"/>
    </row>
    <row r="289" spans="1:26" ht="12.75" customHeight="1" x14ac:dyDescent="0.2">
      <c r="A289" s="435"/>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row>
    <row r="290" spans="1:26" ht="12.75" customHeight="1" x14ac:dyDescent="0.2">
      <c r="A290" s="435"/>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row>
    <row r="291" spans="1:26" ht="12.75" customHeight="1" x14ac:dyDescent="0.2">
      <c r="A291" s="435"/>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row>
    <row r="292" spans="1:26" ht="15.75" customHeight="1" x14ac:dyDescent="0.2"/>
    <row r="293" spans="1:26" ht="15.75" customHeight="1" x14ac:dyDescent="0.2"/>
    <row r="294" spans="1:26" ht="15.75" customHeight="1" x14ac:dyDescent="0.2"/>
    <row r="295" spans="1:26" ht="15.75" customHeight="1" x14ac:dyDescent="0.2"/>
    <row r="296" spans="1:26" ht="15.75" customHeight="1" x14ac:dyDescent="0.2"/>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topLeftCell="A7" workbookViewId="0">
      <selection activeCell="L7" sqref="L7"/>
    </sheetView>
  </sheetViews>
  <sheetFormatPr defaultColWidth="14.42578125" defaultRowHeight="15" customHeight="1" x14ac:dyDescent="0.2"/>
  <cols>
    <col min="1" max="1" width="95.28515625" customWidth="1"/>
    <col min="2" max="2" width="18.28515625" hidden="1" customWidth="1"/>
    <col min="3" max="8" width="9.140625" hidden="1" customWidth="1"/>
    <col min="9" max="22" width="8.7109375" customWidth="1"/>
  </cols>
  <sheetData>
    <row r="1" spans="1:22" ht="37.5" customHeight="1" x14ac:dyDescent="0.2">
      <c r="A1" s="12" t="str">
        <f>Capa!A1</f>
        <v>Contrato de Gestão nº. 05/20 celebrado entre a Fundação Clóvis Salgado e a Associação Pró-Cultura e Promoção das Artes</v>
      </c>
      <c r="B1" s="694" t="str">
        <f>Capa!A1</f>
        <v>Contrato de Gestão nº. 05/20 celebrado entre a Fundação Clóvis Salgado e a Associação Pró-Cultura e Promoção das Artes</v>
      </c>
      <c r="C1" s="695"/>
      <c r="D1" s="695"/>
      <c r="E1" s="695"/>
      <c r="F1" s="695"/>
      <c r="G1" s="695"/>
      <c r="H1" s="696"/>
      <c r="I1" s="13"/>
      <c r="J1" s="13"/>
      <c r="K1" s="13"/>
      <c r="L1" s="13"/>
      <c r="M1" s="13"/>
      <c r="N1" s="13"/>
      <c r="O1" s="13"/>
      <c r="P1" s="13"/>
      <c r="Q1" s="13"/>
      <c r="R1" s="13"/>
      <c r="S1" s="13"/>
      <c r="T1" s="13"/>
      <c r="U1" s="13"/>
      <c r="V1" s="13"/>
    </row>
    <row r="2" spans="1:22" ht="24" customHeight="1" x14ac:dyDescent="0.2">
      <c r="A2" s="14" t="str">
        <f>Capa!A3</f>
        <v>8º Relatório Gerencial Financeiro</v>
      </c>
      <c r="B2" s="697" t="str">
        <f>Capa!A3</f>
        <v>8º Relatório Gerencial Financeiro</v>
      </c>
      <c r="C2" s="695"/>
      <c r="D2" s="695"/>
      <c r="E2" s="695"/>
      <c r="F2" s="695"/>
      <c r="G2" s="695"/>
      <c r="H2" s="696"/>
      <c r="I2" s="13"/>
      <c r="J2" s="13"/>
      <c r="K2" s="13"/>
      <c r="L2" s="13"/>
      <c r="M2" s="13"/>
      <c r="N2" s="13"/>
      <c r="O2" s="13"/>
      <c r="P2" s="13"/>
      <c r="Q2" s="13"/>
      <c r="R2" s="13"/>
      <c r="S2" s="13"/>
      <c r="T2" s="13"/>
      <c r="U2" s="13"/>
      <c r="V2" s="13"/>
    </row>
    <row r="3" spans="1:22" ht="24" customHeight="1" x14ac:dyDescent="0.2">
      <c r="A3" s="14" t="s">
        <v>8</v>
      </c>
      <c r="B3" s="14"/>
      <c r="C3" s="14"/>
      <c r="D3" s="14"/>
      <c r="E3" s="14"/>
      <c r="F3" s="14"/>
      <c r="G3" s="14"/>
      <c r="H3" s="14"/>
      <c r="I3" s="13"/>
      <c r="J3" s="13"/>
      <c r="K3" s="13"/>
      <c r="L3" s="13"/>
      <c r="M3" s="13"/>
      <c r="N3" s="13"/>
      <c r="O3" s="13"/>
      <c r="P3" s="13"/>
      <c r="Q3" s="13"/>
      <c r="R3" s="13"/>
      <c r="S3" s="13"/>
      <c r="T3" s="13"/>
      <c r="U3" s="13"/>
      <c r="V3" s="13"/>
    </row>
    <row r="4" spans="1:22" ht="354" customHeight="1" x14ac:dyDescent="0.2">
      <c r="A4" s="15" t="s">
        <v>7417</v>
      </c>
    </row>
    <row r="5" spans="1:22" ht="29.25" customHeight="1" x14ac:dyDescent="0.2">
      <c r="A5" s="16"/>
    </row>
    <row r="6" spans="1:22" ht="184.5" customHeight="1" x14ac:dyDescent="0.2">
      <c r="A6" s="16"/>
    </row>
    <row r="7" spans="1:22" ht="244.5" customHeight="1" x14ac:dyDescent="0.2">
      <c r="A7" s="17"/>
    </row>
    <row r="8" spans="1:22" ht="244.5" customHeight="1" x14ac:dyDescent="0.2">
      <c r="A8" s="17"/>
    </row>
    <row r="9" spans="1:22" ht="244.5" customHeight="1" x14ac:dyDescent="0.2">
      <c r="A9" s="17"/>
    </row>
    <row r="10" spans="1:22" ht="244.5" customHeight="1" x14ac:dyDescent="0.2">
      <c r="A10" s="17"/>
    </row>
    <row r="11" spans="1:22" ht="244.5" customHeight="1" x14ac:dyDescent="0.2">
      <c r="A11" s="17"/>
    </row>
    <row r="12" spans="1:22" ht="244.5" customHeight="1" x14ac:dyDescent="0.2">
      <c r="A12" s="17"/>
    </row>
    <row r="13" spans="1:22" ht="244.5" customHeight="1" x14ac:dyDescent="0.2">
      <c r="A13" s="17"/>
    </row>
    <row r="14" spans="1:22" ht="244.5" customHeight="1" x14ac:dyDescent="0.2">
      <c r="A14" s="17"/>
    </row>
    <row r="15" spans="1:22" ht="244.5" customHeight="1" x14ac:dyDescent="0.2">
      <c r="A15" s="17"/>
    </row>
    <row r="16" spans="1:22" ht="244.5" customHeight="1" x14ac:dyDescent="0.2">
      <c r="A16" s="17"/>
    </row>
    <row r="17" spans="1:1" ht="244.5" customHeight="1" x14ac:dyDescent="0.2">
      <c r="A17" s="17"/>
    </row>
    <row r="18" spans="1:1" ht="244.5" customHeight="1" x14ac:dyDescent="0.2">
      <c r="A18" s="17"/>
    </row>
    <row r="19" spans="1:1" ht="244.5" customHeight="1" x14ac:dyDescent="0.2">
      <c r="A19" s="17"/>
    </row>
    <row r="20" spans="1:1" ht="244.5" customHeight="1" x14ac:dyDescent="0.2">
      <c r="A20" s="17"/>
    </row>
    <row r="21" spans="1:1" ht="244.5" customHeight="1" x14ac:dyDescent="0.2">
      <c r="A21" s="17"/>
    </row>
    <row r="22" spans="1:1" ht="244.5" customHeight="1" x14ac:dyDescent="0.2">
      <c r="A22" s="17"/>
    </row>
    <row r="23" spans="1:1" ht="244.5" customHeight="1" x14ac:dyDescent="0.2">
      <c r="A23" s="17"/>
    </row>
    <row r="24" spans="1:1" ht="244.5" customHeight="1" x14ac:dyDescent="0.2">
      <c r="A24" s="17"/>
    </row>
    <row r="25" spans="1:1" ht="244.5" customHeight="1" x14ac:dyDescent="0.2">
      <c r="A25" s="17"/>
    </row>
    <row r="26" spans="1:1" ht="244.5" customHeight="1" x14ac:dyDescent="0.2">
      <c r="A26" s="17"/>
    </row>
    <row r="27" spans="1:1" ht="244.5" customHeight="1" x14ac:dyDescent="0.2">
      <c r="A27" s="17"/>
    </row>
    <row r="28" spans="1:1" ht="244.5" customHeight="1" x14ac:dyDescent="0.2">
      <c r="A28" s="17"/>
    </row>
    <row r="29" spans="1:1" ht="244.5" customHeight="1" x14ac:dyDescent="0.2">
      <c r="A29" s="17"/>
    </row>
    <row r="30" spans="1:1" ht="244.5" customHeight="1" x14ac:dyDescent="0.2">
      <c r="A30" s="17"/>
    </row>
    <row r="31" spans="1:1" ht="244.5" customHeight="1" x14ac:dyDescent="0.2">
      <c r="A31" s="17"/>
    </row>
    <row r="32" spans="1:1" ht="244.5" customHeight="1" x14ac:dyDescent="0.2">
      <c r="A32" s="17"/>
    </row>
    <row r="33" spans="1:1" ht="244.5" customHeight="1" x14ac:dyDescent="0.2">
      <c r="A33" s="17"/>
    </row>
    <row r="34" spans="1:1" ht="244.5" customHeight="1" x14ac:dyDescent="0.2">
      <c r="A34" s="17"/>
    </row>
    <row r="35" spans="1:1" ht="244.5" customHeight="1" x14ac:dyDescent="0.2">
      <c r="A35" s="17"/>
    </row>
    <row r="36" spans="1:1" ht="244.5" customHeight="1" x14ac:dyDescent="0.2">
      <c r="A36" s="17"/>
    </row>
    <row r="37" spans="1:1" ht="244.5" customHeight="1" x14ac:dyDescent="0.2">
      <c r="A37" s="17"/>
    </row>
    <row r="38" spans="1:1" ht="244.5" customHeight="1" x14ac:dyDescent="0.2">
      <c r="A38" s="17"/>
    </row>
    <row r="39" spans="1:1" ht="244.5" customHeight="1" x14ac:dyDescent="0.2">
      <c r="A39" s="17"/>
    </row>
    <row r="40" spans="1:1" ht="244.5" customHeight="1" x14ac:dyDescent="0.2">
      <c r="A40" s="17"/>
    </row>
    <row r="41" spans="1:1" ht="244.5" customHeight="1" x14ac:dyDescent="0.2">
      <c r="A41" s="17"/>
    </row>
    <row r="42" spans="1:1" ht="244.5" customHeight="1" x14ac:dyDescent="0.2">
      <c r="A42" s="17"/>
    </row>
    <row r="43" spans="1:1" ht="244.5" customHeight="1" x14ac:dyDescent="0.2">
      <c r="A43" s="17"/>
    </row>
    <row r="44" spans="1:1" ht="244.5" customHeight="1" x14ac:dyDescent="0.2">
      <c r="A44" s="17"/>
    </row>
    <row r="45" spans="1:1" ht="244.5" customHeight="1" x14ac:dyDescent="0.2">
      <c r="A45" s="17"/>
    </row>
    <row r="46" spans="1:1" ht="244.5" customHeight="1" x14ac:dyDescent="0.2">
      <c r="A46" s="17"/>
    </row>
    <row r="47" spans="1:1" ht="244.5" customHeight="1" x14ac:dyDescent="0.2">
      <c r="A47" s="17"/>
    </row>
    <row r="48" spans="1:1" ht="244.5" customHeight="1" x14ac:dyDescent="0.2">
      <c r="A48" s="17"/>
    </row>
    <row r="49" spans="1:1" ht="12.75" customHeight="1" x14ac:dyDescent="0.2">
      <c r="A49" s="17"/>
    </row>
    <row r="50" spans="1:1" ht="12.75" customHeight="1" x14ac:dyDescent="0.2">
      <c r="A50" s="17"/>
    </row>
    <row r="51" spans="1:1" ht="12.75" customHeight="1" x14ac:dyDescent="0.2">
      <c r="A51" s="17"/>
    </row>
    <row r="52" spans="1:1" ht="12.75" customHeight="1" x14ac:dyDescent="0.2">
      <c r="A52" s="17"/>
    </row>
    <row r="53" spans="1:1" ht="12.75" customHeight="1" x14ac:dyDescent="0.2">
      <c r="A53" s="17"/>
    </row>
    <row r="54" spans="1:1" ht="12.75" customHeight="1" x14ac:dyDescent="0.2">
      <c r="A54" s="17"/>
    </row>
    <row r="55" spans="1:1" ht="12.75" customHeight="1" x14ac:dyDescent="0.2">
      <c r="A55" s="17"/>
    </row>
    <row r="56" spans="1:1" ht="12.75" customHeight="1" x14ac:dyDescent="0.2">
      <c r="A56" s="17"/>
    </row>
    <row r="57" spans="1:1" ht="12.75" customHeight="1" x14ac:dyDescent="0.2">
      <c r="A57" s="17"/>
    </row>
    <row r="58" spans="1:1" ht="12.75" customHeight="1" x14ac:dyDescent="0.2">
      <c r="A58" s="17"/>
    </row>
    <row r="59" spans="1:1" ht="12.75" customHeight="1" x14ac:dyDescent="0.2">
      <c r="A59" s="17"/>
    </row>
    <row r="60" spans="1:1" ht="12.75" customHeight="1" x14ac:dyDescent="0.2">
      <c r="A60" s="17"/>
    </row>
    <row r="61" spans="1:1" ht="12.75" customHeight="1" x14ac:dyDescent="0.2">
      <c r="A61" s="17"/>
    </row>
    <row r="62" spans="1:1" ht="12.75" customHeight="1" x14ac:dyDescent="0.2">
      <c r="A62" s="17"/>
    </row>
    <row r="63" spans="1:1" ht="12.75" customHeight="1" x14ac:dyDescent="0.2">
      <c r="A63" s="17"/>
    </row>
    <row r="64" spans="1:1" ht="12.75" customHeight="1" x14ac:dyDescent="0.2">
      <c r="A64" s="17"/>
    </row>
    <row r="65" spans="1:1" ht="12.75" customHeight="1" x14ac:dyDescent="0.2">
      <c r="A65" s="17"/>
    </row>
    <row r="66" spans="1:1" ht="12.75" customHeight="1" x14ac:dyDescent="0.2">
      <c r="A66" s="17"/>
    </row>
    <row r="67" spans="1:1" ht="12.75" customHeight="1" x14ac:dyDescent="0.2">
      <c r="A67" s="17"/>
    </row>
    <row r="68" spans="1:1" ht="12.75" customHeight="1" x14ac:dyDescent="0.2">
      <c r="A68" s="17"/>
    </row>
    <row r="69" spans="1:1" ht="12.75" customHeight="1" x14ac:dyDescent="0.2">
      <c r="A69" s="17"/>
    </row>
    <row r="70" spans="1:1" ht="12.75" customHeight="1" x14ac:dyDescent="0.2">
      <c r="A70" s="17"/>
    </row>
    <row r="71" spans="1:1" ht="12.75" customHeight="1" x14ac:dyDescent="0.2">
      <c r="A71" s="17"/>
    </row>
    <row r="72" spans="1:1" ht="12.75" customHeight="1" x14ac:dyDescent="0.2">
      <c r="A72" s="17"/>
    </row>
    <row r="73" spans="1:1" ht="12.75" customHeight="1" x14ac:dyDescent="0.2">
      <c r="A73" s="17"/>
    </row>
    <row r="74" spans="1:1" ht="12.75" customHeight="1" x14ac:dyDescent="0.2">
      <c r="A74" s="17"/>
    </row>
    <row r="75" spans="1:1" ht="12.75" customHeight="1" x14ac:dyDescent="0.2">
      <c r="A75" s="17"/>
    </row>
    <row r="76" spans="1:1" ht="12.75" customHeight="1" x14ac:dyDescent="0.2">
      <c r="A76" s="17"/>
    </row>
    <row r="77" spans="1:1" ht="12.75" customHeight="1" x14ac:dyDescent="0.2">
      <c r="A77" s="17"/>
    </row>
    <row r="78" spans="1:1" ht="12.75" customHeight="1" x14ac:dyDescent="0.2">
      <c r="A78" s="17"/>
    </row>
    <row r="79" spans="1:1" ht="12.75" customHeight="1" x14ac:dyDescent="0.2">
      <c r="A79" s="17"/>
    </row>
    <row r="80" spans="1:1" ht="12.75" customHeight="1" x14ac:dyDescent="0.2">
      <c r="A80" s="17"/>
    </row>
    <row r="81" spans="1:1" ht="12.75" customHeight="1" x14ac:dyDescent="0.2">
      <c r="A81" s="17"/>
    </row>
    <row r="82" spans="1:1" ht="12.75" customHeight="1" x14ac:dyDescent="0.2">
      <c r="A82" s="17"/>
    </row>
    <row r="83" spans="1:1" ht="12.75" customHeight="1" x14ac:dyDescent="0.2">
      <c r="A83" s="17"/>
    </row>
    <row r="84" spans="1:1" ht="12.75" customHeight="1" x14ac:dyDescent="0.2">
      <c r="A84" s="17"/>
    </row>
    <row r="85" spans="1:1" ht="12.75" customHeight="1" x14ac:dyDescent="0.2">
      <c r="A85" s="17"/>
    </row>
    <row r="86" spans="1:1" ht="12.75" customHeight="1" x14ac:dyDescent="0.2">
      <c r="A86" s="17"/>
    </row>
    <row r="87" spans="1:1" ht="12.75" customHeight="1" x14ac:dyDescent="0.2">
      <c r="A87" s="17"/>
    </row>
    <row r="88" spans="1:1" ht="12.75" customHeight="1" x14ac:dyDescent="0.2">
      <c r="A88" s="17"/>
    </row>
    <row r="89" spans="1:1" ht="12.75" customHeight="1" x14ac:dyDescent="0.2">
      <c r="A89" s="17"/>
    </row>
    <row r="90" spans="1:1" ht="12.75" customHeight="1" x14ac:dyDescent="0.2">
      <c r="A90" s="17"/>
    </row>
    <row r="91" spans="1:1" ht="12.75" customHeight="1" x14ac:dyDescent="0.2">
      <c r="A91" s="17"/>
    </row>
    <row r="92" spans="1:1" ht="12.75" customHeight="1" x14ac:dyDescent="0.2">
      <c r="A92" s="17"/>
    </row>
    <row r="93" spans="1:1" ht="12.75" customHeight="1" x14ac:dyDescent="0.2">
      <c r="A93" s="17"/>
    </row>
    <row r="94" spans="1:1" ht="12.75" customHeight="1" x14ac:dyDescent="0.2">
      <c r="A94" s="17"/>
    </row>
    <row r="95" spans="1:1" ht="12.75" customHeight="1" x14ac:dyDescent="0.2">
      <c r="A95" s="17"/>
    </row>
    <row r="96" spans="1:1" ht="12.75" customHeight="1" x14ac:dyDescent="0.2">
      <c r="A96" s="17"/>
    </row>
    <row r="97" spans="1:1" ht="12.75" customHeight="1" x14ac:dyDescent="0.2">
      <c r="A97" s="17"/>
    </row>
    <row r="98" spans="1:1" ht="12.75" customHeight="1" x14ac:dyDescent="0.2">
      <c r="A98" s="17"/>
    </row>
    <row r="99" spans="1:1" ht="12.75" customHeight="1" x14ac:dyDescent="0.2">
      <c r="A99" s="17"/>
    </row>
    <row r="100" spans="1:1" ht="12.75" customHeight="1" x14ac:dyDescent="0.2">
      <c r="A100" s="17"/>
    </row>
    <row r="101" spans="1:1" ht="12.75" customHeight="1" x14ac:dyDescent="0.2">
      <c r="A101" s="17"/>
    </row>
    <row r="102" spans="1:1" ht="12.75" customHeight="1" x14ac:dyDescent="0.2">
      <c r="A102" s="17"/>
    </row>
    <row r="103" spans="1:1" ht="12.75" customHeight="1" x14ac:dyDescent="0.2">
      <c r="A103" s="17"/>
    </row>
    <row r="104" spans="1:1" ht="12.75" customHeight="1" x14ac:dyDescent="0.2">
      <c r="A104" s="17"/>
    </row>
    <row r="105" spans="1:1" ht="12.75" customHeight="1" x14ac:dyDescent="0.2">
      <c r="A105" s="17"/>
    </row>
    <row r="106" spans="1:1" ht="12.75" customHeight="1" x14ac:dyDescent="0.2">
      <c r="A106" s="17"/>
    </row>
    <row r="107" spans="1:1" ht="12.75" customHeight="1" x14ac:dyDescent="0.2">
      <c r="A107" s="17"/>
    </row>
    <row r="108" spans="1:1" ht="12.75" customHeight="1" x14ac:dyDescent="0.2">
      <c r="A108" s="17"/>
    </row>
    <row r="109" spans="1:1" ht="12.75" customHeight="1" x14ac:dyDescent="0.2">
      <c r="A109" s="17"/>
    </row>
    <row r="110" spans="1:1" ht="12.75" customHeight="1" x14ac:dyDescent="0.2">
      <c r="A110" s="17"/>
    </row>
    <row r="111" spans="1:1" ht="12.75" customHeight="1" x14ac:dyDescent="0.2">
      <c r="A111" s="17"/>
    </row>
    <row r="112" spans="1:1" ht="12.75" customHeight="1" x14ac:dyDescent="0.2">
      <c r="A112" s="17"/>
    </row>
    <row r="113" spans="1:1" ht="12.75" customHeight="1" x14ac:dyDescent="0.2">
      <c r="A113" s="17"/>
    </row>
    <row r="114" spans="1:1" ht="12.75" customHeight="1" x14ac:dyDescent="0.2">
      <c r="A114" s="17"/>
    </row>
    <row r="115" spans="1:1" ht="12.75" customHeight="1" x14ac:dyDescent="0.2">
      <c r="A115" s="17"/>
    </row>
    <row r="116" spans="1:1" ht="12.75" customHeight="1" x14ac:dyDescent="0.2">
      <c r="A116" s="17"/>
    </row>
    <row r="117" spans="1:1" ht="12.75" customHeight="1" x14ac:dyDescent="0.2">
      <c r="A117" s="17"/>
    </row>
    <row r="118" spans="1:1" ht="12.75" customHeight="1" x14ac:dyDescent="0.2">
      <c r="A118" s="17"/>
    </row>
    <row r="119" spans="1:1" ht="12.75" customHeight="1" x14ac:dyDescent="0.2">
      <c r="A119" s="17"/>
    </row>
    <row r="120" spans="1:1" ht="12.75" customHeight="1" x14ac:dyDescent="0.2">
      <c r="A120" s="17"/>
    </row>
    <row r="121" spans="1:1" ht="12.75" customHeight="1" x14ac:dyDescent="0.2">
      <c r="A121" s="17"/>
    </row>
    <row r="122" spans="1:1" ht="12.75" customHeight="1" x14ac:dyDescent="0.2">
      <c r="A122" s="17"/>
    </row>
    <row r="123" spans="1:1" ht="12.75" customHeight="1" x14ac:dyDescent="0.2">
      <c r="A123" s="17"/>
    </row>
    <row r="124" spans="1:1" ht="12.75" customHeight="1" x14ac:dyDescent="0.2">
      <c r="A124" s="17"/>
    </row>
    <row r="125" spans="1:1" ht="12.75" customHeight="1" x14ac:dyDescent="0.2">
      <c r="A125" s="17"/>
    </row>
    <row r="126" spans="1:1" ht="12.75" customHeight="1" x14ac:dyDescent="0.2">
      <c r="A126" s="17"/>
    </row>
    <row r="127" spans="1:1" ht="12.75" customHeight="1" x14ac:dyDescent="0.2">
      <c r="A127" s="17"/>
    </row>
    <row r="128" spans="1:1" ht="12.75" customHeight="1" x14ac:dyDescent="0.2">
      <c r="A128" s="17"/>
    </row>
    <row r="129" spans="1:1" ht="12.75" customHeight="1" x14ac:dyDescent="0.2">
      <c r="A129" s="17"/>
    </row>
    <row r="130" spans="1:1" ht="12.75" customHeight="1" x14ac:dyDescent="0.2">
      <c r="A130" s="17"/>
    </row>
    <row r="131" spans="1:1" ht="12.75" customHeight="1" x14ac:dyDescent="0.2">
      <c r="A131" s="17"/>
    </row>
    <row r="132" spans="1:1" ht="12.75" customHeight="1" x14ac:dyDescent="0.2">
      <c r="A132" s="17"/>
    </row>
    <row r="133" spans="1:1" ht="12.75" customHeight="1" x14ac:dyDescent="0.2">
      <c r="A133" s="17"/>
    </row>
    <row r="134" spans="1:1" ht="12.75" customHeight="1" x14ac:dyDescent="0.2">
      <c r="A134" s="17"/>
    </row>
    <row r="135" spans="1:1" ht="12.75" customHeight="1" x14ac:dyDescent="0.2">
      <c r="A135" s="17"/>
    </row>
    <row r="136" spans="1:1" ht="12.75" customHeight="1" x14ac:dyDescent="0.2">
      <c r="A136" s="17"/>
    </row>
    <row r="137" spans="1:1" ht="12.75" customHeight="1" x14ac:dyDescent="0.2">
      <c r="A137" s="17"/>
    </row>
    <row r="138" spans="1:1" ht="12.75" customHeight="1" x14ac:dyDescent="0.2">
      <c r="A138" s="17"/>
    </row>
    <row r="139" spans="1:1" ht="12.75" customHeight="1" x14ac:dyDescent="0.2">
      <c r="A139" s="17"/>
    </row>
    <row r="140" spans="1:1" ht="12.75" customHeight="1" x14ac:dyDescent="0.2">
      <c r="A140" s="17"/>
    </row>
    <row r="141" spans="1:1" ht="12.75" customHeight="1" x14ac:dyDescent="0.2">
      <c r="A141" s="17"/>
    </row>
    <row r="142" spans="1:1" ht="12.75" customHeight="1" x14ac:dyDescent="0.2">
      <c r="A142" s="17"/>
    </row>
    <row r="143" spans="1:1" ht="12.75" customHeight="1" x14ac:dyDescent="0.2">
      <c r="A143" s="17"/>
    </row>
    <row r="144" spans="1:1" ht="12.75" customHeight="1" x14ac:dyDescent="0.2">
      <c r="A144" s="17"/>
    </row>
    <row r="145" spans="1:1" ht="12.75" customHeight="1" x14ac:dyDescent="0.2">
      <c r="A145" s="17"/>
    </row>
    <row r="146" spans="1:1" ht="12.75" customHeight="1" x14ac:dyDescent="0.2">
      <c r="A146" s="17"/>
    </row>
    <row r="147" spans="1:1" ht="12.75" customHeight="1" x14ac:dyDescent="0.2">
      <c r="A147" s="17"/>
    </row>
    <row r="148" spans="1:1" ht="12.75" customHeight="1" x14ac:dyDescent="0.2">
      <c r="A148" s="17"/>
    </row>
    <row r="149" spans="1:1" ht="12.75" customHeight="1" x14ac:dyDescent="0.2">
      <c r="A149" s="17"/>
    </row>
    <row r="150" spans="1:1" ht="12.75" customHeight="1" x14ac:dyDescent="0.2">
      <c r="A150" s="17"/>
    </row>
    <row r="151" spans="1:1" ht="12.75" customHeight="1" x14ac:dyDescent="0.2">
      <c r="A151" s="17"/>
    </row>
    <row r="152" spans="1:1" ht="12.75" customHeight="1" x14ac:dyDescent="0.2">
      <c r="A152" s="17"/>
    </row>
    <row r="153" spans="1:1" ht="12.75" customHeight="1" x14ac:dyDescent="0.2">
      <c r="A153" s="17"/>
    </row>
    <row r="154" spans="1:1" ht="12.75" customHeight="1" x14ac:dyDescent="0.2">
      <c r="A154" s="17"/>
    </row>
    <row r="155" spans="1:1" ht="12.75" customHeight="1" x14ac:dyDescent="0.2">
      <c r="A155" s="17"/>
    </row>
    <row r="156" spans="1:1" ht="12.75" customHeight="1" x14ac:dyDescent="0.2">
      <c r="A156" s="17"/>
    </row>
    <row r="157" spans="1:1" ht="12.75" customHeight="1" x14ac:dyDescent="0.2">
      <c r="A157" s="17"/>
    </row>
    <row r="158" spans="1:1" ht="12.75" customHeight="1" x14ac:dyDescent="0.2">
      <c r="A158" s="17"/>
    </row>
    <row r="159" spans="1:1" ht="12.75" customHeight="1" x14ac:dyDescent="0.2">
      <c r="A159" s="17"/>
    </row>
    <row r="160" spans="1:1" ht="12.75" customHeight="1" x14ac:dyDescent="0.2">
      <c r="A160" s="17"/>
    </row>
    <row r="161" spans="1:1" ht="12.75" customHeight="1" x14ac:dyDescent="0.2">
      <c r="A161" s="17"/>
    </row>
    <row r="162" spans="1:1" ht="12.75" customHeight="1" x14ac:dyDescent="0.2">
      <c r="A162" s="17"/>
    </row>
    <row r="163" spans="1:1" ht="12.75" customHeight="1" x14ac:dyDescent="0.2">
      <c r="A163" s="17"/>
    </row>
    <row r="164" spans="1:1" ht="12.75" customHeight="1" x14ac:dyDescent="0.2">
      <c r="A164" s="17"/>
    </row>
    <row r="165" spans="1:1" ht="12.75" customHeight="1" x14ac:dyDescent="0.2">
      <c r="A165" s="17"/>
    </row>
    <row r="166" spans="1:1" ht="12.75" customHeight="1" x14ac:dyDescent="0.2">
      <c r="A166" s="17"/>
    </row>
    <row r="167" spans="1:1" ht="12.75" customHeight="1" x14ac:dyDescent="0.2">
      <c r="A167" s="17"/>
    </row>
    <row r="168" spans="1:1" ht="12.75" customHeight="1" x14ac:dyDescent="0.2">
      <c r="A168" s="17"/>
    </row>
    <row r="169" spans="1:1" ht="12.75" customHeight="1" x14ac:dyDescent="0.2">
      <c r="A169" s="17"/>
    </row>
    <row r="170" spans="1:1" ht="12.75" customHeight="1" x14ac:dyDescent="0.2">
      <c r="A170" s="17"/>
    </row>
    <row r="171" spans="1:1" ht="12.75" customHeight="1" x14ac:dyDescent="0.2">
      <c r="A171" s="17"/>
    </row>
    <row r="172" spans="1:1" ht="12.75" customHeight="1" x14ac:dyDescent="0.2">
      <c r="A172" s="17"/>
    </row>
    <row r="173" spans="1:1" ht="12.75" customHeight="1" x14ac:dyDescent="0.2">
      <c r="A173" s="17"/>
    </row>
    <row r="174" spans="1:1" ht="12.75" customHeight="1" x14ac:dyDescent="0.2">
      <c r="A174" s="17"/>
    </row>
    <row r="175" spans="1:1" ht="12.75" customHeight="1" x14ac:dyDescent="0.2">
      <c r="A175" s="17"/>
    </row>
    <row r="176" spans="1:1" ht="12.75" customHeight="1" x14ac:dyDescent="0.2">
      <c r="A176" s="17"/>
    </row>
    <row r="177" spans="1:1" ht="12.75" customHeight="1" x14ac:dyDescent="0.2">
      <c r="A177" s="17"/>
    </row>
    <row r="178" spans="1:1" ht="12.75" customHeight="1" x14ac:dyDescent="0.2">
      <c r="A178" s="17"/>
    </row>
    <row r="179" spans="1:1" ht="12.75" customHeight="1" x14ac:dyDescent="0.2">
      <c r="A179" s="17"/>
    </row>
    <row r="180" spans="1:1" ht="12.75" customHeight="1" x14ac:dyDescent="0.2">
      <c r="A180" s="17"/>
    </row>
    <row r="181" spans="1:1" ht="12.75" customHeight="1" x14ac:dyDescent="0.2">
      <c r="A181" s="17"/>
    </row>
    <row r="182" spans="1:1" ht="12.75" customHeight="1" x14ac:dyDescent="0.2">
      <c r="A182" s="17"/>
    </row>
    <row r="183" spans="1:1" ht="12.75" customHeight="1" x14ac:dyDescent="0.2">
      <c r="A183" s="17"/>
    </row>
    <row r="184" spans="1:1" ht="12.75" customHeight="1" x14ac:dyDescent="0.2">
      <c r="A184" s="17"/>
    </row>
    <row r="185" spans="1:1" ht="12.75" customHeight="1" x14ac:dyDescent="0.2">
      <c r="A185" s="17"/>
    </row>
    <row r="186" spans="1:1" ht="12.75" customHeight="1" x14ac:dyDescent="0.2">
      <c r="A186" s="17"/>
    </row>
    <row r="187" spans="1:1" ht="12.75" customHeight="1" x14ac:dyDescent="0.2">
      <c r="A187" s="17"/>
    </row>
    <row r="188" spans="1:1" ht="12.75" customHeight="1" x14ac:dyDescent="0.2">
      <c r="A188" s="17"/>
    </row>
    <row r="189" spans="1:1" ht="12.75" customHeight="1" x14ac:dyDescent="0.2">
      <c r="A189" s="17"/>
    </row>
    <row r="190" spans="1:1" ht="12.75" customHeight="1" x14ac:dyDescent="0.2">
      <c r="A190" s="17"/>
    </row>
    <row r="191" spans="1:1" ht="12.75" customHeight="1" x14ac:dyDescent="0.2">
      <c r="A191" s="17"/>
    </row>
    <row r="192" spans="1:1" ht="12.75" customHeight="1" x14ac:dyDescent="0.2">
      <c r="A192" s="17"/>
    </row>
    <row r="193" spans="1:1" ht="12.75" customHeight="1" x14ac:dyDescent="0.2">
      <c r="A193" s="17"/>
    </row>
    <row r="194" spans="1:1" ht="12.75" customHeight="1" x14ac:dyDescent="0.2">
      <c r="A194" s="17"/>
    </row>
    <row r="195" spans="1:1" ht="12.75" customHeight="1" x14ac:dyDescent="0.2">
      <c r="A195" s="17"/>
    </row>
    <row r="196" spans="1:1" ht="12.75" customHeight="1" x14ac:dyDescent="0.2">
      <c r="A196" s="17"/>
    </row>
    <row r="197" spans="1:1" ht="12.75" customHeight="1" x14ac:dyDescent="0.2">
      <c r="A197" s="17"/>
    </row>
    <row r="198" spans="1:1" ht="12.75" customHeight="1" x14ac:dyDescent="0.2">
      <c r="A198" s="17"/>
    </row>
    <row r="199" spans="1:1" ht="12.75" customHeight="1" x14ac:dyDescent="0.2">
      <c r="A199" s="17"/>
    </row>
    <row r="200" spans="1:1" ht="12.75" customHeight="1" x14ac:dyDescent="0.2">
      <c r="A200" s="17"/>
    </row>
    <row r="201" spans="1:1" ht="12.75" customHeight="1" x14ac:dyDescent="0.2">
      <c r="A201" s="17"/>
    </row>
    <row r="202" spans="1:1" ht="12.75" customHeight="1" x14ac:dyDescent="0.2">
      <c r="A202" s="17"/>
    </row>
    <row r="203" spans="1:1" ht="12.75" customHeight="1" x14ac:dyDescent="0.2">
      <c r="A203" s="17"/>
    </row>
    <row r="204" spans="1:1" ht="12.75" customHeight="1" x14ac:dyDescent="0.2">
      <c r="A204" s="17"/>
    </row>
    <row r="205" spans="1:1" ht="12.75" customHeight="1" x14ac:dyDescent="0.2">
      <c r="A205" s="17"/>
    </row>
    <row r="206" spans="1:1" ht="12.75" customHeight="1" x14ac:dyDescent="0.2">
      <c r="A206" s="17"/>
    </row>
    <row r="207" spans="1:1" ht="12.75" customHeight="1" x14ac:dyDescent="0.2">
      <c r="A207" s="17"/>
    </row>
    <row r="208" spans="1:1" ht="12.75" customHeight="1" x14ac:dyDescent="0.2">
      <c r="A208" s="17"/>
    </row>
    <row r="209" spans="1:1" ht="12.75" customHeight="1" x14ac:dyDescent="0.2">
      <c r="A209" s="17"/>
    </row>
    <row r="210" spans="1:1" ht="12.75" customHeight="1" x14ac:dyDescent="0.2">
      <c r="A210" s="17"/>
    </row>
    <row r="211" spans="1:1" ht="12.75" customHeight="1" x14ac:dyDescent="0.2">
      <c r="A211" s="17"/>
    </row>
    <row r="212" spans="1:1" ht="12.75" customHeight="1" x14ac:dyDescent="0.2">
      <c r="A212" s="17"/>
    </row>
    <row r="213" spans="1:1" ht="12.75" customHeight="1" x14ac:dyDescent="0.2">
      <c r="A213" s="17"/>
    </row>
    <row r="214" spans="1:1" ht="12.75" customHeight="1" x14ac:dyDescent="0.2">
      <c r="A214" s="17"/>
    </row>
    <row r="215" spans="1:1" ht="12.75" customHeight="1" x14ac:dyDescent="0.2">
      <c r="A215" s="17"/>
    </row>
    <row r="216" spans="1:1" ht="12.75" customHeight="1" x14ac:dyDescent="0.2">
      <c r="A216" s="17"/>
    </row>
    <row r="217" spans="1:1" ht="12.75" customHeight="1" x14ac:dyDescent="0.2">
      <c r="A217" s="17"/>
    </row>
    <row r="218" spans="1:1" ht="12.75" customHeight="1" x14ac:dyDescent="0.2">
      <c r="A218" s="17"/>
    </row>
    <row r="219" spans="1:1" ht="12.75" customHeight="1" x14ac:dyDescent="0.2">
      <c r="A219" s="17"/>
    </row>
    <row r="220" spans="1:1" ht="12.75" customHeight="1" x14ac:dyDescent="0.2">
      <c r="A220" s="17"/>
    </row>
    <row r="221" spans="1:1" ht="15.75" customHeight="1" x14ac:dyDescent="0.2"/>
    <row r="222" spans="1:1" ht="15.75" customHeight="1" x14ac:dyDescent="0.2"/>
    <row r="223" spans="1:1" ht="15.75" customHeight="1" x14ac:dyDescent="0.2"/>
    <row r="224" spans="1: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1:H1"/>
    <mergeCell ref="B2:H2"/>
  </mergeCells>
  <pageMargins left="0.51181102362204722" right="3.937007874015748E-2" top="0.78740157480314965" bottom="0.78740157480314965" header="0" footer="0"/>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topLeftCell="A7" zoomScale="86" zoomScaleNormal="86" workbookViewId="0">
      <selection activeCell="K34" sqref="K34"/>
    </sheetView>
  </sheetViews>
  <sheetFormatPr defaultColWidth="14.42578125" defaultRowHeight="15" customHeight="1" x14ac:dyDescent="0.2"/>
  <cols>
    <col min="1" max="1" width="4.7109375" customWidth="1"/>
    <col min="2" max="2" width="78.140625" customWidth="1"/>
    <col min="3" max="3" width="13.7109375" customWidth="1"/>
    <col min="4" max="14" width="15.42578125" customWidth="1"/>
    <col min="15" max="15" width="16" customWidth="1"/>
    <col min="16" max="26" width="9.140625" customWidth="1"/>
  </cols>
  <sheetData>
    <row r="1" spans="1:26" ht="51" customHeight="1" x14ac:dyDescent="0.2">
      <c r="A1" s="694"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6"/>
      <c r="O1" s="13"/>
      <c r="P1" s="13"/>
      <c r="Q1" s="13"/>
      <c r="R1" s="13"/>
      <c r="S1" s="13"/>
      <c r="T1" s="13"/>
      <c r="U1" s="13"/>
      <c r="V1" s="13"/>
      <c r="W1" s="13"/>
      <c r="X1" s="13"/>
      <c r="Y1" s="13"/>
      <c r="Z1" s="13"/>
    </row>
    <row r="2" spans="1:26" ht="24" customHeight="1" x14ac:dyDescent="0.2">
      <c r="A2" s="697" t="str">
        <f>Capa!A3</f>
        <v>8º Relatório Gerencial Financeiro</v>
      </c>
      <c r="B2" s="695"/>
      <c r="C2" s="695"/>
      <c r="D2" s="695"/>
      <c r="E2" s="695"/>
      <c r="F2" s="695"/>
      <c r="G2" s="695"/>
      <c r="H2" s="695"/>
      <c r="I2" s="695"/>
      <c r="J2" s="695"/>
      <c r="K2" s="695"/>
      <c r="L2" s="695"/>
      <c r="M2" s="695"/>
      <c r="N2" s="696"/>
      <c r="O2" s="13"/>
      <c r="P2" s="13"/>
      <c r="Q2" s="13"/>
      <c r="R2" s="13"/>
      <c r="S2" s="13"/>
      <c r="T2" s="13"/>
      <c r="U2" s="13"/>
      <c r="V2" s="13"/>
      <c r="W2" s="13"/>
      <c r="X2" s="13"/>
      <c r="Y2" s="13"/>
      <c r="Z2" s="13"/>
    </row>
    <row r="3" spans="1:26" ht="25.5" customHeight="1" x14ac:dyDescent="0.2">
      <c r="A3" s="701" t="s">
        <v>9</v>
      </c>
      <c r="B3" s="695"/>
      <c r="C3" s="695"/>
      <c r="D3" s="695"/>
      <c r="E3" s="695"/>
      <c r="F3" s="695"/>
      <c r="G3" s="695"/>
      <c r="H3" s="695"/>
      <c r="I3" s="695"/>
      <c r="J3" s="695"/>
      <c r="K3" s="695"/>
      <c r="L3" s="695"/>
      <c r="M3" s="695"/>
      <c r="N3" s="696"/>
      <c r="O3" s="13"/>
      <c r="P3" s="13"/>
      <c r="Q3" s="13"/>
      <c r="R3" s="13"/>
      <c r="S3" s="13"/>
      <c r="T3" s="13"/>
      <c r="U3" s="13"/>
      <c r="V3" s="13"/>
      <c r="W3" s="13"/>
      <c r="X3" s="13"/>
      <c r="Y3" s="13"/>
      <c r="Z3" s="13"/>
    </row>
    <row r="4" spans="1:26" ht="24" customHeight="1" x14ac:dyDescent="0.2">
      <c r="A4" s="18"/>
      <c r="B4" s="702"/>
      <c r="C4" s="19" t="s">
        <v>10</v>
      </c>
      <c r="D4" s="19" t="s">
        <v>11</v>
      </c>
      <c r="E4" s="19" t="s">
        <v>12</v>
      </c>
      <c r="F4" s="19" t="s">
        <v>13</v>
      </c>
      <c r="G4" s="19" t="s">
        <v>14</v>
      </c>
      <c r="H4" s="19" t="s">
        <v>15</v>
      </c>
      <c r="I4" s="19" t="s">
        <v>16</v>
      </c>
      <c r="J4" s="19" t="s">
        <v>17</v>
      </c>
      <c r="K4" s="19" t="s">
        <v>18</v>
      </c>
      <c r="L4" s="19" t="s">
        <v>19</v>
      </c>
      <c r="M4" s="19" t="s">
        <v>20</v>
      </c>
      <c r="N4" s="19" t="s">
        <v>21</v>
      </c>
      <c r="O4" s="13"/>
      <c r="P4" s="13"/>
      <c r="Q4" s="13"/>
      <c r="R4" s="13"/>
      <c r="S4" s="13"/>
      <c r="T4" s="13"/>
      <c r="U4" s="13"/>
      <c r="V4" s="13"/>
      <c r="W4" s="13"/>
      <c r="X4" s="13"/>
      <c r="Y4" s="13"/>
      <c r="Z4" s="13"/>
    </row>
    <row r="5" spans="1:26" ht="12.75" customHeight="1" x14ac:dyDescent="0.2">
      <c r="A5" s="18"/>
      <c r="B5" s="703"/>
      <c r="C5" s="20">
        <v>44197</v>
      </c>
      <c r="D5" s="20">
        <v>44228</v>
      </c>
      <c r="E5" s="20">
        <v>44256</v>
      </c>
      <c r="F5" s="20">
        <v>44287</v>
      </c>
      <c r="G5" s="20">
        <v>44317</v>
      </c>
      <c r="H5" s="20">
        <v>44348</v>
      </c>
      <c r="I5" s="20">
        <v>44378</v>
      </c>
      <c r="J5" s="20">
        <v>44409</v>
      </c>
      <c r="K5" s="20">
        <v>44440</v>
      </c>
      <c r="L5" s="20">
        <v>44470</v>
      </c>
      <c r="M5" s="20">
        <v>44501</v>
      </c>
      <c r="N5" s="20">
        <v>44531</v>
      </c>
      <c r="O5" s="13"/>
      <c r="P5" s="13"/>
      <c r="Q5" s="13"/>
      <c r="R5" s="13"/>
      <c r="S5" s="13"/>
      <c r="T5" s="13"/>
      <c r="U5" s="13"/>
      <c r="V5" s="13"/>
      <c r="W5" s="13"/>
      <c r="X5" s="13"/>
      <c r="Y5" s="13"/>
      <c r="Z5" s="13"/>
    </row>
    <row r="6" spans="1:26" ht="12.75" customHeight="1" x14ac:dyDescent="0.2">
      <c r="A6" s="18"/>
      <c r="B6" s="703"/>
      <c r="C6" s="21" t="s">
        <v>22</v>
      </c>
      <c r="D6" s="21" t="s">
        <v>22</v>
      </c>
      <c r="E6" s="21" t="s">
        <v>22</v>
      </c>
      <c r="F6" s="21" t="s">
        <v>22</v>
      </c>
      <c r="G6" s="21" t="s">
        <v>22</v>
      </c>
      <c r="H6" s="21" t="s">
        <v>22</v>
      </c>
      <c r="I6" s="21" t="s">
        <v>22</v>
      </c>
      <c r="J6" s="21" t="s">
        <v>22</v>
      </c>
      <c r="K6" s="21" t="s">
        <v>22</v>
      </c>
      <c r="L6" s="21" t="s">
        <v>22</v>
      </c>
      <c r="M6" s="21" t="s">
        <v>22</v>
      </c>
      <c r="N6" s="21" t="s">
        <v>22</v>
      </c>
      <c r="O6" s="13"/>
      <c r="P6" s="13"/>
      <c r="Q6" s="13"/>
      <c r="R6" s="13"/>
      <c r="S6" s="13"/>
      <c r="T6" s="13"/>
      <c r="U6" s="13"/>
      <c r="V6" s="13"/>
      <c r="W6" s="13"/>
      <c r="X6" s="13"/>
      <c r="Y6" s="13"/>
      <c r="Z6" s="13"/>
    </row>
    <row r="7" spans="1:26" ht="26.25" customHeight="1" x14ac:dyDescent="0.2">
      <c r="A7" s="18"/>
      <c r="B7" s="704"/>
      <c r="C7" s="22">
        <v>44227</v>
      </c>
      <c r="D7" s="22">
        <v>44255</v>
      </c>
      <c r="E7" s="22">
        <v>44286</v>
      </c>
      <c r="F7" s="22">
        <v>44316</v>
      </c>
      <c r="G7" s="22">
        <v>44347</v>
      </c>
      <c r="H7" s="22">
        <v>44377</v>
      </c>
      <c r="I7" s="22">
        <v>44408</v>
      </c>
      <c r="J7" s="22">
        <v>44439</v>
      </c>
      <c r="K7" s="22">
        <v>44469</v>
      </c>
      <c r="L7" s="22">
        <v>44500</v>
      </c>
      <c r="M7" s="22">
        <v>44530</v>
      </c>
      <c r="N7" s="22">
        <v>44561</v>
      </c>
      <c r="O7" s="13"/>
      <c r="P7" s="13"/>
      <c r="Q7" s="13"/>
      <c r="R7" s="13"/>
      <c r="S7" s="13"/>
      <c r="T7" s="13"/>
      <c r="U7" s="13"/>
      <c r="V7" s="13"/>
      <c r="W7" s="13"/>
      <c r="X7" s="13"/>
      <c r="Y7" s="13"/>
      <c r="Z7" s="13"/>
    </row>
    <row r="8" spans="1:26" ht="42" customHeight="1" x14ac:dyDescent="0.2">
      <c r="A8" s="23" t="s">
        <v>23</v>
      </c>
      <c r="B8" s="24" t="s">
        <v>24</v>
      </c>
      <c r="C8" s="25">
        <f>3551529.38</f>
        <v>3551529.38</v>
      </c>
      <c r="D8" s="25">
        <f>'Analítico Cx.'!D10</f>
        <v>3566307.21</v>
      </c>
      <c r="E8" s="25">
        <f>'Analítico Cx.'!E10</f>
        <v>3113552.46</v>
      </c>
      <c r="F8" s="25">
        <f>'Analítico Cx.'!F10</f>
        <v>2586909.2000000002</v>
      </c>
      <c r="G8" s="25">
        <f>'Analítico Cx.'!G10</f>
        <v>3904931.4310000008</v>
      </c>
      <c r="H8" s="25">
        <f>'Analítico Cx.'!H10</f>
        <v>3943095.7910000007</v>
      </c>
      <c r="I8" s="25">
        <f>'Analítico Cx.'!I10</f>
        <v>4140912.8910000008</v>
      </c>
      <c r="J8" s="25">
        <f>'Analítico Cx.'!J10</f>
        <v>3604146.3310000012</v>
      </c>
      <c r="K8" s="25">
        <f>'Analítico Cx.'!K10</f>
        <v>4396409.6210000012</v>
      </c>
      <c r="L8" s="25">
        <f>'Analítico Cx.'!L10</f>
        <v>4062431.791000003</v>
      </c>
      <c r="M8" s="25">
        <f>'Analítico Cx.'!M10</f>
        <v>4421988.3910000026</v>
      </c>
      <c r="N8" s="25">
        <f>'Analítico Cx.'!N10</f>
        <v>5431470.6110000033</v>
      </c>
      <c r="O8" s="13"/>
      <c r="P8" s="13"/>
      <c r="Q8" s="13"/>
      <c r="R8" s="13"/>
      <c r="S8" s="13"/>
      <c r="T8" s="13"/>
      <c r="U8" s="13"/>
      <c r="V8" s="13"/>
      <c r="W8" s="13"/>
      <c r="X8" s="13"/>
      <c r="Y8" s="13"/>
      <c r="Z8" s="13"/>
    </row>
    <row r="9" spans="1:26" ht="12.75" customHeight="1" x14ac:dyDescent="0.2">
      <c r="A9" s="23"/>
      <c r="B9" s="26"/>
      <c r="C9" s="27"/>
      <c r="D9" s="27"/>
      <c r="E9" s="27"/>
      <c r="F9" s="27"/>
      <c r="G9" s="27"/>
      <c r="H9" s="27"/>
      <c r="I9" s="27"/>
      <c r="J9" s="27"/>
      <c r="K9" s="27"/>
      <c r="L9" s="27"/>
      <c r="M9" s="27"/>
      <c r="N9" s="27"/>
      <c r="O9" s="13"/>
      <c r="P9" s="13"/>
      <c r="Q9" s="13"/>
      <c r="R9" s="13"/>
      <c r="S9" s="13"/>
      <c r="T9" s="13"/>
      <c r="U9" s="13"/>
      <c r="V9" s="13"/>
      <c r="W9" s="13"/>
      <c r="X9" s="13"/>
      <c r="Y9" s="13"/>
      <c r="Z9" s="13"/>
    </row>
    <row r="10" spans="1:26" ht="24" customHeight="1" x14ac:dyDescent="0.2">
      <c r="A10" s="23" t="s">
        <v>25</v>
      </c>
      <c r="B10" s="28" t="s">
        <v>26</v>
      </c>
      <c r="C10" s="29">
        <f>'Analítico Cx.'!C18</f>
        <v>700938.2</v>
      </c>
      <c r="D10" s="29">
        <f>'Analítico Cx.'!D18</f>
        <v>298.95999999999998</v>
      </c>
      <c r="E10" s="29">
        <f>'Analítico Cx.'!E18</f>
        <v>389.71</v>
      </c>
      <c r="F10" s="29">
        <f>'Analítico Cx.'!F18</f>
        <v>1859353.85</v>
      </c>
      <c r="G10" s="29">
        <f>'Analítico Cx.'!G18</f>
        <v>603380.59</v>
      </c>
      <c r="H10" s="29">
        <f>'Analítico Cx.'!H18</f>
        <v>777266.65</v>
      </c>
      <c r="I10" s="29">
        <f>'Analítico Cx.'!I18</f>
        <v>10915.41</v>
      </c>
      <c r="J10" s="29">
        <f>'Analítico Cx.'!J18</f>
        <v>1516315.71</v>
      </c>
      <c r="K10" s="29">
        <f>'Analítico Cx.'!K18</f>
        <v>1857436.8800000001</v>
      </c>
      <c r="L10" s="29">
        <f>'Analítico Cx.'!L18</f>
        <v>1141658.55</v>
      </c>
      <c r="M10" s="29">
        <f>'Analítico Cx.'!M18</f>
        <v>2077402.9700000002</v>
      </c>
      <c r="N10" s="29">
        <f>'Analítico Cx.'!N18</f>
        <v>2104568.2599999998</v>
      </c>
      <c r="O10" s="13"/>
      <c r="P10" s="13"/>
      <c r="Q10" s="13"/>
      <c r="R10" s="13"/>
      <c r="S10" s="13"/>
      <c r="T10" s="13"/>
      <c r="U10" s="13"/>
      <c r="V10" s="13"/>
      <c r="W10" s="13"/>
      <c r="X10" s="13"/>
      <c r="Y10" s="13"/>
      <c r="Z10" s="13"/>
    </row>
    <row r="11" spans="1:26" ht="24" customHeight="1" x14ac:dyDescent="0.2">
      <c r="A11" s="23" t="s">
        <v>27</v>
      </c>
      <c r="B11" s="30" t="s">
        <v>28</v>
      </c>
      <c r="C11" s="31">
        <f>'Analítico Cx.'!C166</f>
        <v>686160.36999999988</v>
      </c>
      <c r="D11" s="31">
        <f>'Analítico Cx.'!D166</f>
        <v>453053.71000000008</v>
      </c>
      <c r="E11" s="31">
        <f>'Analítico Cx.'!E166</f>
        <v>527032.97</v>
      </c>
      <c r="F11" s="31">
        <f>'Analítico Cx.'!F166</f>
        <v>541331.61900000006</v>
      </c>
      <c r="G11" s="31">
        <f>'Analítico Cx.'!G166</f>
        <v>565216.22999999986</v>
      </c>
      <c r="H11" s="31">
        <f>'Analítico Cx.'!H166</f>
        <v>579449.54999999993</v>
      </c>
      <c r="I11" s="31">
        <f>'Analítico Cx.'!I166</f>
        <v>547681.97</v>
      </c>
      <c r="J11" s="31">
        <f>'Analítico Cx.'!J166</f>
        <v>724052.42000000016</v>
      </c>
      <c r="K11" s="31">
        <f>'Analítico Cx.'!K166</f>
        <v>2191414.7099999981</v>
      </c>
      <c r="L11" s="31">
        <f>'Analítico Cx.'!L166</f>
        <v>782101.95000000019</v>
      </c>
      <c r="M11" s="31">
        <f>'Analítico Cx.'!M166</f>
        <v>1067920.7500000002</v>
      </c>
      <c r="N11" s="31">
        <f>'Analítico Cx.'!N166</f>
        <v>759547.83999999985</v>
      </c>
      <c r="O11" s="13"/>
      <c r="P11" s="13"/>
      <c r="Q11" s="13"/>
      <c r="R11" s="13"/>
      <c r="S11" s="13"/>
      <c r="T11" s="13"/>
      <c r="U11" s="13"/>
      <c r="V11" s="13"/>
      <c r="W11" s="13"/>
      <c r="X11" s="13"/>
      <c r="Y11" s="13"/>
      <c r="Z11" s="13"/>
    </row>
    <row r="12" spans="1:26" ht="12.75" customHeight="1" x14ac:dyDescent="0.2">
      <c r="A12" s="23"/>
      <c r="B12" s="32"/>
      <c r="C12" s="33"/>
      <c r="D12" s="33"/>
      <c r="E12" s="33"/>
      <c r="F12" s="33"/>
      <c r="G12" s="33"/>
      <c r="H12" s="33"/>
      <c r="I12" s="33"/>
      <c r="J12" s="33"/>
      <c r="K12" s="33"/>
      <c r="L12" s="33"/>
      <c r="M12" s="33"/>
      <c r="N12" s="33"/>
      <c r="O12" s="13"/>
      <c r="P12" s="13"/>
      <c r="Q12" s="13"/>
      <c r="R12" s="13"/>
      <c r="S12" s="13"/>
      <c r="T12" s="13"/>
      <c r="U12" s="13"/>
      <c r="V12" s="13"/>
      <c r="W12" s="13"/>
      <c r="X12" s="13"/>
      <c r="Y12" s="13"/>
      <c r="Z12" s="13"/>
    </row>
    <row r="13" spans="1:26" ht="24" customHeight="1" x14ac:dyDescent="0.2">
      <c r="A13" s="23" t="s">
        <v>29</v>
      </c>
      <c r="B13" s="24" t="s">
        <v>30</v>
      </c>
      <c r="C13" s="25">
        <f t="shared" ref="C13:N13" si="0">C8+C10-C11</f>
        <v>3566307.21</v>
      </c>
      <c r="D13" s="25">
        <f t="shared" si="0"/>
        <v>3113552.46</v>
      </c>
      <c r="E13" s="25">
        <f t="shared" si="0"/>
        <v>2586909.2000000002</v>
      </c>
      <c r="F13" s="25">
        <f t="shared" si="0"/>
        <v>3904931.4310000008</v>
      </c>
      <c r="G13" s="25">
        <f t="shared" si="0"/>
        <v>3943095.7910000007</v>
      </c>
      <c r="H13" s="25">
        <f t="shared" si="0"/>
        <v>4140912.8910000008</v>
      </c>
      <c r="I13" s="25">
        <f t="shared" si="0"/>
        <v>3604146.3310000012</v>
      </c>
      <c r="J13" s="25">
        <f t="shared" si="0"/>
        <v>4396409.6210000012</v>
      </c>
      <c r="K13" s="25">
        <f t="shared" si="0"/>
        <v>4062431.791000003</v>
      </c>
      <c r="L13" s="25">
        <f t="shared" si="0"/>
        <v>4421988.3910000026</v>
      </c>
      <c r="M13" s="25">
        <f t="shared" si="0"/>
        <v>5431470.6110000033</v>
      </c>
      <c r="N13" s="25">
        <f t="shared" si="0"/>
        <v>6776491.0310000032</v>
      </c>
      <c r="O13" s="13"/>
      <c r="P13" s="13"/>
      <c r="Q13" s="13"/>
      <c r="R13" s="13"/>
      <c r="S13" s="13"/>
      <c r="T13" s="13"/>
      <c r="U13" s="13"/>
      <c r="V13" s="13"/>
      <c r="W13" s="13"/>
      <c r="X13" s="13"/>
      <c r="Y13" s="13"/>
      <c r="Z13" s="13"/>
    </row>
    <row r="14" spans="1:26" ht="12.75" customHeight="1" x14ac:dyDescent="0.2">
      <c r="A14" s="23"/>
      <c r="B14" s="32"/>
      <c r="C14" s="33"/>
      <c r="D14" s="33"/>
      <c r="E14" s="33"/>
      <c r="F14" s="33"/>
      <c r="G14" s="33"/>
      <c r="H14" s="33"/>
      <c r="I14" s="13"/>
      <c r="J14" s="13"/>
      <c r="K14" s="13"/>
      <c r="L14" s="13"/>
      <c r="M14" s="13"/>
      <c r="N14" s="13"/>
      <c r="O14" s="13"/>
      <c r="P14" s="13"/>
      <c r="Q14" s="13"/>
      <c r="R14" s="13"/>
      <c r="S14" s="13"/>
      <c r="T14" s="13"/>
      <c r="U14" s="13"/>
      <c r="V14" s="13"/>
      <c r="W14" s="13"/>
      <c r="X14" s="13"/>
      <c r="Y14" s="13"/>
      <c r="Z14" s="13"/>
    </row>
    <row r="15" spans="1:26" ht="24" customHeight="1" x14ac:dyDescent="0.2">
      <c r="A15" s="23" t="s">
        <v>31</v>
      </c>
      <c r="B15" s="24" t="s">
        <v>32</v>
      </c>
      <c r="C15" s="25">
        <v>0</v>
      </c>
      <c r="D15" s="33"/>
      <c r="E15" s="33"/>
      <c r="F15" s="33"/>
      <c r="G15" s="33"/>
      <c r="H15" s="33"/>
      <c r="I15" s="13"/>
      <c r="J15" s="13"/>
      <c r="K15" s="13"/>
      <c r="L15" s="13"/>
      <c r="M15" s="13"/>
      <c r="N15" s="13"/>
      <c r="O15" s="13"/>
      <c r="P15" s="13"/>
      <c r="Q15" s="13"/>
      <c r="R15" s="13"/>
      <c r="S15" s="13"/>
      <c r="T15" s="13"/>
      <c r="U15" s="13"/>
      <c r="V15" s="13"/>
      <c r="W15" s="13"/>
      <c r="X15" s="13"/>
      <c r="Y15" s="13"/>
      <c r="Z15" s="13"/>
    </row>
    <row r="16" spans="1:26" ht="24" customHeight="1" x14ac:dyDescent="0.2">
      <c r="A16" s="23" t="s">
        <v>33</v>
      </c>
      <c r="B16" s="24" t="s">
        <v>34</v>
      </c>
      <c r="C16" s="25">
        <f>C15+SUM('Saldo Contas'!E5:E9)</f>
        <v>3660515.1999999997</v>
      </c>
      <c r="D16" s="33"/>
      <c r="E16" s="33"/>
      <c r="F16" s="33"/>
      <c r="G16" s="33"/>
      <c r="H16" s="33"/>
      <c r="I16" s="13"/>
      <c r="J16" s="13"/>
      <c r="K16" s="13"/>
      <c r="L16" s="13"/>
      <c r="M16" s="13"/>
      <c r="N16" s="13"/>
      <c r="O16" s="13"/>
      <c r="P16" s="13"/>
      <c r="Q16" s="13"/>
      <c r="R16" s="13"/>
      <c r="S16" s="13"/>
      <c r="T16" s="13"/>
      <c r="U16" s="13"/>
      <c r="V16" s="13"/>
      <c r="W16" s="13"/>
      <c r="X16" s="13"/>
      <c r="Y16" s="13"/>
      <c r="Z16" s="13"/>
    </row>
    <row r="17" spans="1:26" ht="24" customHeight="1" x14ac:dyDescent="0.2">
      <c r="A17" s="23" t="s">
        <v>35</v>
      </c>
      <c r="B17" s="24" t="s">
        <v>36</v>
      </c>
      <c r="C17" s="25">
        <f>'Prov. Pessoal'!N39</f>
        <v>499175.1775697422</v>
      </c>
      <c r="D17" s="33"/>
      <c r="E17" s="33"/>
      <c r="F17" s="33"/>
      <c r="G17" s="33"/>
      <c r="H17" s="33"/>
      <c r="I17" s="13"/>
      <c r="J17" s="13"/>
      <c r="K17" s="13"/>
      <c r="L17" s="13"/>
      <c r="M17" s="13"/>
      <c r="N17" s="13"/>
      <c r="O17" s="13"/>
      <c r="P17" s="13"/>
      <c r="Q17" s="13"/>
      <c r="R17" s="13"/>
      <c r="S17" s="13"/>
      <c r="T17" s="13"/>
      <c r="U17" s="13"/>
      <c r="V17" s="13"/>
      <c r="W17" s="13"/>
      <c r="X17" s="13"/>
      <c r="Y17" s="13"/>
      <c r="Z17" s="13"/>
    </row>
    <row r="18" spans="1:26" ht="24" customHeight="1" x14ac:dyDescent="0.2">
      <c r="A18" s="23" t="s">
        <v>37</v>
      </c>
      <c r="B18" s="24" t="s">
        <v>38</v>
      </c>
      <c r="C18" s="25">
        <f>'Comp.'!E316</f>
        <v>1523148.44</v>
      </c>
      <c r="D18" s="33"/>
      <c r="E18" s="33"/>
      <c r="F18" s="33"/>
      <c r="G18" s="33"/>
      <c r="H18" s="33"/>
      <c r="I18" s="13"/>
      <c r="J18" s="13"/>
      <c r="K18" s="13"/>
      <c r="L18" s="13"/>
      <c r="M18" s="13"/>
      <c r="N18" s="13"/>
      <c r="O18" s="13"/>
      <c r="P18" s="13"/>
      <c r="Q18" s="13"/>
      <c r="R18" s="13"/>
      <c r="S18" s="13"/>
      <c r="T18" s="13"/>
      <c r="U18" s="13"/>
      <c r="V18" s="13"/>
      <c r="W18" s="13"/>
      <c r="X18" s="13"/>
      <c r="Y18" s="13"/>
      <c r="Z18" s="13"/>
    </row>
    <row r="19" spans="1:26" ht="24" customHeight="1" x14ac:dyDescent="0.2">
      <c r="A19" s="23" t="s">
        <v>39</v>
      </c>
      <c r="B19" s="24" t="s">
        <v>40</v>
      </c>
      <c r="C19" s="25">
        <f>N13-C17-C18</f>
        <v>4754167.4134302605</v>
      </c>
      <c r="D19" s="33"/>
      <c r="E19" s="33"/>
      <c r="F19" s="33"/>
      <c r="G19" s="33"/>
      <c r="H19" s="33"/>
      <c r="I19" s="13"/>
      <c r="J19" s="13"/>
      <c r="K19" s="13"/>
      <c r="L19" s="13"/>
      <c r="M19" s="13"/>
      <c r="N19" s="13"/>
      <c r="O19" s="13"/>
      <c r="P19" s="13"/>
      <c r="Q19" s="13"/>
      <c r="R19" s="13"/>
      <c r="S19" s="13"/>
      <c r="T19" s="13"/>
      <c r="U19" s="13"/>
      <c r="V19" s="13"/>
      <c r="W19" s="13"/>
      <c r="X19" s="13"/>
      <c r="Y19" s="13"/>
      <c r="Z19" s="13"/>
    </row>
    <row r="20" spans="1:26" ht="12.75" customHeight="1" x14ac:dyDescent="0.2">
      <c r="A20" s="18"/>
      <c r="B20" s="13"/>
      <c r="C20" s="34"/>
      <c r="D20" s="34"/>
      <c r="E20" s="34"/>
      <c r="F20" s="34"/>
      <c r="G20" s="34"/>
      <c r="H20" s="34"/>
      <c r="I20" s="13"/>
      <c r="J20" s="13"/>
      <c r="K20" s="13"/>
      <c r="L20" s="13"/>
      <c r="M20" s="13"/>
      <c r="N20" s="13"/>
      <c r="O20" s="13"/>
      <c r="P20" s="13"/>
      <c r="Q20" s="13"/>
      <c r="R20" s="13"/>
      <c r="S20" s="13"/>
      <c r="T20" s="13"/>
      <c r="U20" s="13"/>
      <c r="V20" s="13"/>
      <c r="W20" s="13"/>
      <c r="X20" s="13"/>
      <c r="Y20" s="13"/>
      <c r="Z20" s="13"/>
    </row>
    <row r="21" spans="1:26" ht="12.75" customHeight="1" x14ac:dyDescent="0.2">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24" customHeight="1" x14ac:dyDescent="0.2">
      <c r="A22" s="13"/>
      <c r="B22" s="701" t="s">
        <v>41</v>
      </c>
      <c r="C22" s="695"/>
      <c r="D22" s="695"/>
      <c r="E22" s="695"/>
      <c r="F22" s="696"/>
      <c r="G22" s="35"/>
      <c r="H22" s="35"/>
      <c r="I22" s="13"/>
      <c r="J22" s="13"/>
      <c r="K22" s="13"/>
      <c r="L22" s="13"/>
      <c r="M22" s="13"/>
      <c r="N22" s="13"/>
      <c r="O22" s="13"/>
      <c r="P22" s="13"/>
      <c r="Q22" s="13"/>
      <c r="R22" s="13"/>
      <c r="S22" s="13"/>
      <c r="T22" s="13"/>
      <c r="U22" s="13"/>
      <c r="V22" s="13"/>
      <c r="W22" s="13"/>
      <c r="X22" s="13"/>
      <c r="Y22" s="13"/>
      <c r="Z22" s="13"/>
    </row>
    <row r="23" spans="1:26" ht="24" customHeight="1" x14ac:dyDescent="0.2">
      <c r="A23" s="13"/>
      <c r="B23" s="23"/>
      <c r="C23" s="23" t="s">
        <v>42</v>
      </c>
      <c r="D23" s="23" t="s">
        <v>43</v>
      </c>
      <c r="E23" s="23" t="s">
        <v>44</v>
      </c>
      <c r="F23" s="23" t="s">
        <v>45</v>
      </c>
      <c r="G23" s="35"/>
      <c r="H23" s="35"/>
      <c r="I23" s="13"/>
      <c r="J23" s="13"/>
      <c r="K23" s="13"/>
      <c r="L23" s="13"/>
      <c r="M23" s="13"/>
      <c r="N23" s="13"/>
      <c r="O23" s="13"/>
      <c r="P23" s="13"/>
      <c r="Q23" s="13"/>
      <c r="R23" s="13"/>
      <c r="S23" s="13"/>
      <c r="T23" s="13"/>
      <c r="U23" s="13"/>
      <c r="V23" s="13"/>
      <c r="W23" s="13"/>
      <c r="X23" s="13"/>
      <c r="Y23" s="13"/>
      <c r="Z23" s="13"/>
    </row>
    <row r="24" spans="1:26" ht="24" customHeight="1" x14ac:dyDescent="0.2">
      <c r="A24" s="13"/>
      <c r="B24" s="36" t="s">
        <v>46</v>
      </c>
      <c r="C24" s="37">
        <f>C51</f>
        <v>0</v>
      </c>
      <c r="D24" s="37">
        <f>F51</f>
        <v>0</v>
      </c>
      <c r="E24" s="37">
        <f>I51</f>
        <v>0</v>
      </c>
      <c r="F24" s="37">
        <f>L51</f>
        <v>0</v>
      </c>
      <c r="G24" s="38"/>
      <c r="H24" s="38"/>
      <c r="I24" s="13"/>
      <c r="J24" s="13"/>
      <c r="K24" s="13"/>
      <c r="L24" s="13"/>
      <c r="M24" s="13"/>
      <c r="N24" s="13"/>
      <c r="O24" s="13"/>
      <c r="P24" s="13"/>
      <c r="Q24" s="13"/>
      <c r="R24" s="13"/>
      <c r="S24" s="13"/>
      <c r="T24" s="13"/>
      <c r="U24" s="13"/>
      <c r="V24" s="13"/>
      <c r="W24" s="13"/>
      <c r="X24" s="13"/>
      <c r="Y24" s="13"/>
      <c r="Z24" s="13"/>
    </row>
    <row r="25" spans="1:26" ht="24" customHeight="1" x14ac:dyDescent="0.2">
      <c r="A25" s="13"/>
      <c r="B25" s="36" t="s">
        <v>47</v>
      </c>
      <c r="C25" s="37">
        <f>SUM(D51:E51)</f>
        <v>2586909.1999999997</v>
      </c>
      <c r="D25" s="37">
        <f>SUM(G51:H51)</f>
        <v>4140912.89</v>
      </c>
      <c r="E25" s="37">
        <f>SUM(J51:K51)</f>
        <v>4062431.7900000005</v>
      </c>
      <c r="F25" s="37">
        <f>SUM(M51:N51)</f>
        <v>6776491.0300000012</v>
      </c>
      <c r="G25" s="38"/>
      <c r="H25" s="38"/>
      <c r="I25" s="13"/>
      <c r="J25" s="13"/>
      <c r="K25" s="13"/>
      <c r="L25" s="13"/>
      <c r="M25" s="13"/>
      <c r="N25" s="13"/>
      <c r="O25" s="13"/>
      <c r="P25" s="13"/>
      <c r="Q25" s="13"/>
      <c r="R25" s="13"/>
      <c r="S25" s="13"/>
      <c r="T25" s="13"/>
      <c r="U25" s="13"/>
      <c r="V25" s="13"/>
      <c r="W25" s="13"/>
      <c r="X25" s="13"/>
      <c r="Y25" s="13"/>
      <c r="Z25" s="13"/>
    </row>
    <row r="26" spans="1:26" ht="24" customHeight="1" x14ac:dyDescent="0.2">
      <c r="A26" s="13"/>
      <c r="B26" s="36" t="s">
        <v>48</v>
      </c>
      <c r="C26" s="37">
        <v>0</v>
      </c>
      <c r="D26" s="37">
        <v>0</v>
      </c>
      <c r="E26" s="37">
        <v>0</v>
      </c>
      <c r="F26" s="37">
        <v>0</v>
      </c>
      <c r="G26" s="38"/>
      <c r="H26" s="38"/>
      <c r="I26" s="13"/>
      <c r="J26" s="13"/>
      <c r="K26" s="13"/>
      <c r="L26" s="13"/>
      <c r="M26" s="13"/>
      <c r="N26" s="13"/>
      <c r="O26" s="13"/>
      <c r="P26" s="13"/>
      <c r="Q26" s="13"/>
      <c r="R26" s="13"/>
      <c r="S26" s="13"/>
      <c r="T26" s="13"/>
      <c r="U26" s="13"/>
      <c r="V26" s="13"/>
      <c r="W26" s="13"/>
      <c r="X26" s="13"/>
      <c r="Y26" s="13"/>
      <c r="Z26" s="13"/>
    </row>
    <row r="27" spans="1:26" ht="24" customHeight="1" x14ac:dyDescent="0.2">
      <c r="A27" s="23" t="s">
        <v>49</v>
      </c>
      <c r="B27" s="39" t="s">
        <v>50</v>
      </c>
      <c r="C27" s="40">
        <f t="shared" ref="C27:F27" si="1">SUM(C24:C26)</f>
        <v>2586909.1999999997</v>
      </c>
      <c r="D27" s="40">
        <f t="shared" si="1"/>
        <v>4140912.89</v>
      </c>
      <c r="E27" s="40">
        <f t="shared" si="1"/>
        <v>4062431.7900000005</v>
      </c>
      <c r="F27" s="40">
        <f t="shared" si="1"/>
        <v>6776491.0300000012</v>
      </c>
      <c r="G27" s="38"/>
      <c r="H27" s="38"/>
      <c r="I27" s="13"/>
      <c r="J27" s="13"/>
      <c r="K27" s="13"/>
      <c r="L27" s="13"/>
      <c r="M27" s="13"/>
      <c r="N27" s="13"/>
      <c r="O27" s="13"/>
      <c r="P27" s="13"/>
      <c r="Q27" s="13"/>
      <c r="R27" s="13"/>
      <c r="S27" s="13"/>
      <c r="T27" s="13"/>
      <c r="U27" s="13"/>
      <c r="V27" s="13"/>
      <c r="W27" s="13"/>
      <c r="X27" s="13"/>
      <c r="Y27" s="13"/>
      <c r="Z27" s="13"/>
    </row>
    <row r="28" spans="1:26" ht="12.75" customHeight="1" x14ac:dyDescent="0.2">
      <c r="A28" s="13"/>
      <c r="B28" s="32"/>
      <c r="C28" s="41"/>
      <c r="D28" s="41"/>
      <c r="E28" s="41"/>
      <c r="F28" s="41"/>
      <c r="G28" s="38"/>
      <c r="H28" s="38"/>
      <c r="I28" s="13"/>
      <c r="J28" s="13"/>
      <c r="K28" s="13"/>
      <c r="L28" s="13"/>
      <c r="M28" s="13"/>
      <c r="N28" s="13"/>
      <c r="O28" s="13"/>
      <c r="P28" s="13"/>
      <c r="Q28" s="13"/>
      <c r="R28" s="13"/>
      <c r="S28" s="13"/>
      <c r="T28" s="13"/>
      <c r="U28" s="13"/>
      <c r="V28" s="13"/>
      <c r="W28" s="13"/>
      <c r="X28" s="13"/>
      <c r="Y28" s="13"/>
      <c r="Z28" s="13"/>
    </row>
    <row r="29" spans="1:26" ht="24" customHeight="1" x14ac:dyDescent="0.2">
      <c r="A29" s="23" t="s">
        <v>51</v>
      </c>
      <c r="B29" s="39" t="s">
        <v>52</v>
      </c>
      <c r="C29" s="42">
        <f>E13-C27</f>
        <v>0</v>
      </c>
      <c r="D29" s="42">
        <f>H13-D27</f>
        <v>1.0000006295740604E-3</v>
      </c>
      <c r="E29" s="42">
        <f>K13-E27</f>
        <v>1.0000024922192097E-3</v>
      </c>
      <c r="F29" s="42">
        <f>N13-F27</f>
        <v>1.0000020265579224E-3</v>
      </c>
      <c r="G29" s="38"/>
      <c r="H29" s="38"/>
      <c r="I29" s="13"/>
      <c r="J29" s="13" t="s">
        <v>53</v>
      </c>
      <c r="K29" s="13"/>
      <c r="L29" s="13"/>
      <c r="M29" s="13"/>
      <c r="N29" s="13"/>
      <c r="O29" s="13"/>
      <c r="P29" s="13"/>
      <c r="Q29" s="13"/>
      <c r="R29" s="13"/>
      <c r="S29" s="13"/>
      <c r="T29" s="13"/>
      <c r="U29" s="13"/>
      <c r="V29" s="13"/>
      <c r="W29" s="13"/>
      <c r="X29" s="13"/>
      <c r="Y29" s="13"/>
      <c r="Z29" s="13"/>
    </row>
    <row r="30" spans="1:26" ht="12.75" customHeight="1"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2.75" customHeight="1"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24.75" customHeight="1" x14ac:dyDescent="0.2">
      <c r="A32" s="13"/>
      <c r="B32" s="698" t="s">
        <v>54</v>
      </c>
      <c r="C32" s="700"/>
      <c r="D32" s="13"/>
      <c r="E32" s="13"/>
      <c r="F32" s="13"/>
      <c r="G32" s="13" t="s">
        <v>55</v>
      </c>
      <c r="H32" s="13"/>
      <c r="I32" s="13"/>
      <c r="J32" s="13"/>
      <c r="K32" s="13"/>
      <c r="L32" s="13"/>
      <c r="M32" s="13"/>
      <c r="N32" s="13"/>
      <c r="O32" s="13"/>
      <c r="P32" s="13"/>
      <c r="Q32" s="13"/>
      <c r="R32" s="13"/>
      <c r="S32" s="13"/>
      <c r="T32" s="13"/>
      <c r="U32" s="13"/>
      <c r="V32" s="13"/>
      <c r="W32" s="13"/>
      <c r="X32" s="13"/>
      <c r="Y32" s="13"/>
      <c r="Z32" s="13"/>
    </row>
    <row r="33" spans="1:26" ht="24.75" customHeight="1" x14ac:dyDescent="0.2">
      <c r="A33" s="13"/>
      <c r="B33" s="28" t="s">
        <v>56</v>
      </c>
      <c r="C33" s="43">
        <f>5334.84</f>
        <v>5334.84</v>
      </c>
      <c r="D33" s="13"/>
      <c r="E33" s="13"/>
      <c r="F33" s="13"/>
      <c r="G33" s="13"/>
      <c r="H33" s="13"/>
      <c r="I33" s="13"/>
      <c r="J33" s="13"/>
      <c r="K33" s="13"/>
      <c r="L33" s="13"/>
      <c r="M33" s="13"/>
      <c r="N33" s="13"/>
      <c r="O33" s="13"/>
      <c r="P33" s="13"/>
      <c r="Q33" s="13"/>
      <c r="R33" s="13"/>
      <c r="S33" s="13"/>
      <c r="T33" s="13"/>
      <c r="U33" s="13"/>
      <c r="V33" s="13"/>
      <c r="W33" s="13"/>
      <c r="X33" s="13"/>
      <c r="Y33" s="13"/>
      <c r="Z33" s="13"/>
    </row>
    <row r="34" spans="1:26" ht="24.75" customHeight="1" x14ac:dyDescent="0.2">
      <c r="A34" s="13"/>
      <c r="B34" s="44" t="s">
        <v>57</v>
      </c>
      <c r="C34" s="37">
        <f>SUMPRODUCT(-(Reserva!$C$5:$C$54=Resumo!$B34),-(Reserva!$D$5:$D$54))</f>
        <v>39048.869999999995</v>
      </c>
      <c r="D34" s="13"/>
      <c r="E34" s="13"/>
      <c r="F34" s="13"/>
      <c r="G34" s="13"/>
      <c r="H34" s="13"/>
      <c r="I34" s="13"/>
      <c r="J34" s="13"/>
      <c r="K34" s="13"/>
      <c r="L34" s="13"/>
      <c r="M34" s="13"/>
      <c r="N34" s="13"/>
      <c r="O34" s="13"/>
      <c r="P34" s="13"/>
      <c r="Q34" s="13"/>
      <c r="R34" s="13"/>
      <c r="S34" s="13"/>
      <c r="T34" s="13"/>
      <c r="U34" s="13"/>
      <c r="V34" s="13"/>
      <c r="W34" s="13"/>
      <c r="X34" s="13"/>
      <c r="Y34" s="13"/>
      <c r="Z34" s="13"/>
    </row>
    <row r="35" spans="1:26" ht="12.75" customHeight="1" x14ac:dyDescent="0.2">
      <c r="A35" s="13"/>
      <c r="B35" s="45" t="s">
        <v>58</v>
      </c>
      <c r="C35" s="37">
        <f>SUMPRODUCT(-(Reserva!$C$5:$C$54=Resumo!$B35),-(Reserva!$D$5:$D$54))</f>
        <v>665.73</v>
      </c>
      <c r="D35" s="13"/>
      <c r="E35" s="13"/>
      <c r="F35" s="13"/>
      <c r="G35" s="13"/>
      <c r="H35" s="13"/>
      <c r="I35" s="13"/>
      <c r="J35" s="13"/>
      <c r="K35" s="13"/>
      <c r="L35" s="13"/>
      <c r="M35" s="13"/>
      <c r="N35" s="13"/>
      <c r="O35" s="13"/>
      <c r="P35" s="13"/>
      <c r="Q35" s="13"/>
      <c r="R35" s="13"/>
      <c r="S35" s="13"/>
      <c r="T35" s="13"/>
      <c r="U35" s="13"/>
      <c r="V35" s="13"/>
      <c r="W35" s="13"/>
      <c r="X35" s="13"/>
      <c r="Y35" s="13"/>
      <c r="Z35" s="13"/>
    </row>
    <row r="36" spans="1:26" ht="24.75" customHeight="1" x14ac:dyDescent="0.2">
      <c r="A36" s="13"/>
      <c r="B36" s="44" t="s">
        <v>59</v>
      </c>
      <c r="C36" s="37">
        <f>SUMPRODUCT(-(Reserva!$C$5:$C$54=Resumo!$B36),-(Reserva!$D$5:$D$54))</f>
        <v>1836</v>
      </c>
      <c r="D36" s="13"/>
      <c r="E36" s="13"/>
      <c r="F36" s="13"/>
      <c r="G36" s="13"/>
      <c r="H36" s="13"/>
      <c r="I36" s="13"/>
      <c r="J36" s="13"/>
      <c r="K36" s="13"/>
      <c r="L36" s="13"/>
      <c r="M36" s="13"/>
      <c r="N36" s="13"/>
      <c r="O36" s="13"/>
      <c r="P36" s="13"/>
      <c r="Q36" s="13"/>
      <c r="R36" s="13"/>
      <c r="S36" s="13"/>
      <c r="T36" s="13"/>
      <c r="U36" s="13"/>
      <c r="V36" s="13"/>
      <c r="W36" s="13"/>
      <c r="X36" s="13"/>
      <c r="Y36" s="13"/>
      <c r="Z36" s="13"/>
    </row>
    <row r="37" spans="1:26" ht="24.75" customHeight="1" x14ac:dyDescent="0.2">
      <c r="A37" s="13"/>
      <c r="B37" s="30" t="s">
        <v>60</v>
      </c>
      <c r="C37" s="40">
        <f>C33+C34+C35-C36</f>
        <v>43213.439999999995</v>
      </c>
      <c r="D37" s="13"/>
      <c r="E37" s="13"/>
      <c r="F37" s="13"/>
      <c r="G37" s="13"/>
      <c r="H37" s="13"/>
      <c r="I37" s="13"/>
      <c r="J37" s="13"/>
      <c r="K37" s="13"/>
      <c r="L37" s="13"/>
      <c r="M37" s="13"/>
      <c r="N37" s="13"/>
      <c r="O37" s="13"/>
      <c r="P37" s="13"/>
      <c r="Q37" s="13"/>
      <c r="R37" s="13"/>
      <c r="S37" s="13"/>
      <c r="T37" s="13"/>
      <c r="U37" s="13"/>
      <c r="V37" s="13"/>
      <c r="W37" s="13"/>
      <c r="X37" s="13"/>
      <c r="Y37" s="13"/>
      <c r="Z37" s="13"/>
    </row>
    <row r="38" spans="1:26" ht="12.75"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2.75" customHeight="1" x14ac:dyDescent="0.2">
      <c r="A39" s="13"/>
      <c r="B39" s="701" t="s">
        <v>61</v>
      </c>
      <c r="C39" s="695"/>
      <c r="D39" s="695"/>
      <c r="E39" s="695"/>
      <c r="F39" s="695"/>
      <c r="G39" s="695"/>
      <c r="H39" s="695"/>
      <c r="I39" s="695"/>
      <c r="J39" s="695"/>
      <c r="K39" s="695"/>
      <c r="L39" s="695"/>
      <c r="M39" s="695"/>
      <c r="N39" s="695"/>
      <c r="O39" s="696"/>
      <c r="P39" s="13"/>
      <c r="Q39" s="13"/>
      <c r="R39" s="13"/>
      <c r="S39" s="13"/>
      <c r="T39" s="13"/>
      <c r="U39" s="13"/>
      <c r="V39" s="13"/>
      <c r="W39" s="13"/>
      <c r="X39" s="13"/>
      <c r="Y39" s="13"/>
      <c r="Z39" s="13"/>
    </row>
    <row r="40" spans="1:26" ht="12.75" customHeight="1" x14ac:dyDescent="0.2">
      <c r="A40" s="13"/>
      <c r="B40" s="46"/>
      <c r="C40" s="698" t="s">
        <v>42</v>
      </c>
      <c r="D40" s="699"/>
      <c r="E40" s="700"/>
      <c r="F40" s="698" t="s">
        <v>43</v>
      </c>
      <c r="G40" s="699"/>
      <c r="H40" s="700"/>
      <c r="I40" s="698" t="s">
        <v>44</v>
      </c>
      <c r="J40" s="699"/>
      <c r="K40" s="700"/>
      <c r="L40" s="698" t="s">
        <v>45</v>
      </c>
      <c r="M40" s="699"/>
      <c r="N40" s="700"/>
      <c r="O40" s="13"/>
      <c r="P40" s="13"/>
      <c r="Q40" s="13"/>
      <c r="R40" s="13"/>
      <c r="S40" s="13"/>
      <c r="T40" s="13"/>
      <c r="U40" s="13"/>
      <c r="V40" s="13"/>
      <c r="W40" s="13"/>
      <c r="X40" s="13"/>
      <c r="Y40" s="13"/>
      <c r="Z40" s="13"/>
    </row>
    <row r="41" spans="1:26" ht="12.75" customHeight="1" x14ac:dyDescent="0.2">
      <c r="A41" s="13"/>
      <c r="B41" s="47" t="s">
        <v>62</v>
      </c>
      <c r="C41" s="48" t="s">
        <v>63</v>
      </c>
      <c r="D41" s="49" t="s">
        <v>64</v>
      </c>
      <c r="E41" s="49" t="s">
        <v>65</v>
      </c>
      <c r="F41" s="49" t="s">
        <v>63</v>
      </c>
      <c r="G41" s="49" t="s">
        <v>64</v>
      </c>
      <c r="H41" s="49" t="s">
        <v>65</v>
      </c>
      <c r="I41" s="49" t="s">
        <v>63</v>
      </c>
      <c r="J41" s="49" t="s">
        <v>64</v>
      </c>
      <c r="K41" s="49" t="s">
        <v>65</v>
      </c>
      <c r="L41" s="48" t="s">
        <v>63</v>
      </c>
      <c r="M41" s="49" t="s">
        <v>64</v>
      </c>
      <c r="N41" s="50" t="s">
        <v>65</v>
      </c>
      <c r="O41" s="13"/>
      <c r="P41" s="13"/>
      <c r="Q41" s="13"/>
      <c r="R41" s="13"/>
      <c r="S41" s="13"/>
      <c r="T41" s="13"/>
      <c r="U41" s="13"/>
      <c r="V41" s="13"/>
      <c r="W41" s="13"/>
      <c r="X41" s="13"/>
      <c r="Y41" s="13"/>
      <c r="Z41" s="13"/>
    </row>
    <row r="42" spans="1:26" ht="12.75" customHeight="1" x14ac:dyDescent="0.2">
      <c r="A42" s="13"/>
      <c r="B42" s="51" t="s">
        <v>67</v>
      </c>
      <c r="C42" s="53"/>
      <c r="D42" s="52">
        <f>10120.55</f>
        <v>10120.549999999999</v>
      </c>
      <c r="E42" s="53">
        <f>341213.25</f>
        <v>341213.25</v>
      </c>
      <c r="F42" s="54"/>
      <c r="G42" s="52">
        <f>2010796.74</f>
        <v>2010796.74</v>
      </c>
      <c r="H42" s="53">
        <f>369820.42</f>
        <v>369820.42</v>
      </c>
      <c r="I42" s="55"/>
      <c r="J42" s="441">
        <f>1567518.87</f>
        <v>1567518.87</v>
      </c>
      <c r="K42" s="53">
        <f>520235.14</f>
        <v>520235.14</v>
      </c>
      <c r="L42" s="55">
        <v>0</v>
      </c>
      <c r="M42" s="441">
        <f>731843.12</f>
        <v>731843.12</v>
      </c>
      <c r="N42" s="53">
        <f>597554.42</f>
        <v>597554.42000000004</v>
      </c>
      <c r="O42" s="13"/>
      <c r="P42" s="13"/>
      <c r="Q42" s="13"/>
      <c r="R42" s="13"/>
      <c r="S42" s="13"/>
      <c r="T42" s="13"/>
      <c r="U42" s="13"/>
      <c r="V42" s="13"/>
      <c r="W42" s="13"/>
      <c r="X42" s="13"/>
      <c r="Y42" s="13"/>
      <c r="Z42" s="13"/>
    </row>
    <row r="43" spans="1:26" s="469" customFormat="1" ht="12.75" customHeight="1" x14ac:dyDescent="0.2">
      <c r="A43" s="471"/>
      <c r="B43" s="472" t="s">
        <v>7241</v>
      </c>
      <c r="C43" s="53"/>
      <c r="D43" s="483" t="s">
        <v>5527</v>
      </c>
      <c r="E43" s="53">
        <v>0</v>
      </c>
      <c r="F43" s="473"/>
      <c r="G43" s="483" t="s">
        <v>5527</v>
      </c>
      <c r="H43" s="53">
        <v>0</v>
      </c>
      <c r="I43" s="55"/>
      <c r="J43" s="474">
        <f>356000-47533.15</f>
        <v>308466.84999999998</v>
      </c>
      <c r="K43" s="53"/>
      <c r="L43" s="55"/>
      <c r="M43" s="474">
        <f>356000-47533.15-25254.11-18939.8-3555.62-8470.57-6389.9-2785.81-4172.74-1507.84-15450-82159.92-3920-2537.55-5389.45-2000-2000-19404-1260-2075.92-2075.92-10.45-10.45-10.45-2253.77-10.45-2850-5389.45-596-75-75-125-125-110-46.23-150-80-59-110.55-55.27-120-10.45-10.45-10.45-2694.72-153-3634-10.45-465-930-775-775-186-60-57.45-24.08-24.08-46.27-5000-4900-5550+4271.18</f>
        <v>65810.410000000062</v>
      </c>
      <c r="N43" s="53"/>
      <c r="O43" s="13"/>
      <c r="P43" s="471"/>
      <c r="Q43" s="471"/>
      <c r="R43" s="471"/>
      <c r="S43" s="471"/>
      <c r="T43" s="471"/>
      <c r="U43" s="471"/>
      <c r="V43" s="471"/>
      <c r="W43" s="471"/>
      <c r="X43" s="471"/>
      <c r="Y43" s="471"/>
      <c r="Z43" s="471"/>
    </row>
    <row r="44" spans="1:26" s="470" customFormat="1" ht="12.75" customHeight="1" x14ac:dyDescent="0.2">
      <c r="A44" s="471"/>
      <c r="B44" s="472" t="s">
        <v>5377</v>
      </c>
      <c r="C44" s="53"/>
      <c r="D44" s="483" t="s">
        <v>5527</v>
      </c>
      <c r="E44" s="53">
        <v>0</v>
      </c>
      <c r="F44" s="473"/>
      <c r="G44" s="483" t="s">
        <v>5527</v>
      </c>
      <c r="H44" s="53"/>
      <c r="I44" s="55"/>
      <c r="J44" s="474">
        <f>314769.97-3634-6594.18-68282.75-2830.25-23536.9-2572.42-7849.65-31365.64-19404-21004.27-5559.9-5140.03-6339.17-1423.45-58131.45-18311.27-1256.33-1112.56-26625.14</f>
        <v>3796.6099999999969</v>
      </c>
      <c r="K44" s="53"/>
      <c r="L44" s="55"/>
      <c r="M44" s="474">
        <f>314769.97-3634-6594.18-68282.75-2830.25-23536.9-2572.42-7849.65-31365.64-19404-21004.27-5559.9-5140.03-6339.17-1423.45-58131.45-18311.27-1256.33-1112.56-26625.14+134000-4998.58-4053.7-153-1444.95-12502.68-2497.53-92.78-13850-7844.34-3668-8215.11-69426.85+594000-130562.2-21601.14-1145.82-2742.7-13850+8841.65-2387.35-13850+400</f>
        <v>426151.52999999997</v>
      </c>
      <c r="N44" s="53"/>
      <c r="O44" s="13"/>
      <c r="P44" s="471"/>
      <c r="Q44" s="471"/>
      <c r="R44" s="471"/>
      <c r="S44" s="471"/>
      <c r="T44" s="471"/>
      <c r="U44" s="471"/>
      <c r="V44" s="471"/>
      <c r="W44" s="471"/>
      <c r="X44" s="471"/>
      <c r="Y44" s="471"/>
      <c r="Z44" s="471"/>
    </row>
    <row r="45" spans="1:26" ht="12.75" customHeight="1" x14ac:dyDescent="0.2">
      <c r="A45" s="13"/>
      <c r="B45" s="56" t="s">
        <v>68</v>
      </c>
      <c r="C45" s="52">
        <v>0</v>
      </c>
      <c r="D45" s="52">
        <f>563956.22-35.76-132.5-150-50-125-75-77.18-90-60-1680-3540-3762.82-1045-4656.96-840-3540-2910-2500-840-1000-139.7-3611.5-2125.92-2075.92-8000-300-1250-2462.55-2500-1140-1045-143.04-100-50-50-75-125-77.18-90-1075-1050-2910-500-1000-24.08-24.08-775-775-620-310-310-139.32-300-2300-2300-2300-2300-2300-2300-19404-2300-2300-2300-2300-2300-2300-2300-2300-2300-2300-800-1967.27-1344-2075.92-2300-2300-2000-2300-3880-57.45-1705-2231-2300-300-150-62.5-37.5-90-2075.92-2125.92-3201-3201-3201-3201-3201-3201-3201-3201-3201-2300-2300-2300-2300-569.6-3201-2300-2300</f>
        <v>368986.63</v>
      </c>
      <c r="E45" s="53">
        <v>0</v>
      </c>
      <c r="F45" s="55"/>
      <c r="G45" s="52">
        <f>368986.63-122983.03-2300-4435.37-2500-28604-16075.92-22098.11-40240-2300-4600-5501-4600-2300-3616.97-28604-20026.76-2300-5420.97</f>
        <v>50480.500000000015</v>
      </c>
      <c r="H45" s="53">
        <v>0</v>
      </c>
      <c r="I45" s="55"/>
      <c r="J45" s="52">
        <f>368986.63-122983.03-2300-4435.37-2500-28604-16075.92-22098.11-40240-2300-4600-5501-4600-2300-3616.97-28604-20026.76-2300-5420.97-7622.84-2397.24-6701.84-200-1598.16-2125.92-1798.16</f>
        <v>28036.340000000015</v>
      </c>
      <c r="K45" s="53">
        <v>0</v>
      </c>
      <c r="L45" s="55">
        <v>0</v>
      </c>
      <c r="M45" s="52">
        <f>368986.63-122983.03-2300-4435.37-2500-28604-16075.92-22098.11-40240-2300-4600-5501-4600-2300-3616.97-28604-20026.76-2300-5420.97-7622.84-2397.24-6701.84-200-1598.16-2125.92-1798.16-3000-3000-5669.23-1567.84</f>
        <v>14799.270000000015</v>
      </c>
      <c r="N45" s="53">
        <v>0</v>
      </c>
      <c r="O45" s="13"/>
      <c r="P45" s="13"/>
      <c r="Q45" s="13"/>
      <c r="R45" s="13"/>
      <c r="S45" s="13"/>
      <c r="T45" s="13"/>
      <c r="U45" s="13"/>
      <c r="V45" s="13"/>
      <c r="W45" s="13"/>
      <c r="X45" s="13"/>
      <c r="Y45" s="13"/>
      <c r="Z45" s="13"/>
    </row>
    <row r="46" spans="1:26" ht="12.75" customHeight="1" x14ac:dyDescent="0.2">
      <c r="A46" s="13"/>
      <c r="B46" s="56" t="s">
        <v>69</v>
      </c>
      <c r="C46" s="52">
        <v>0</v>
      </c>
      <c r="D46" s="52">
        <f>325909-2650.92-3325-3222.29-125-736.09-13889.72-6290-11670.86-2250-630-3738.26-2075.92-165.69+1.08-2000-2075.92-2075.92-1045-1045-162.5-60-125-100-100-300-50-50-73.35-125-175-166-150-40.2-8780.8-1512-164.61-620-1007.5-775-620-310-620-310-454.77-775-1860-21.87-24.08-599.14-79.08-24.08-629.14-442.2-4488.75-3912-216-1100-1350-2075.92-4488.75-125-125-179.2-236.25-88-27.86-17.8-600-2125.92-500-3500-175-16250-3000-16250-63-952.56-952.56-48.16-1550-24570.89-10700-6000-500-1400+256.59</f>
        <v>138280.14000000016</v>
      </c>
      <c r="E46" s="53">
        <v>0</v>
      </c>
      <c r="F46" s="55"/>
      <c r="G46" s="52">
        <f>63706.74-5930.83-2115.78</f>
        <v>55660.13</v>
      </c>
      <c r="H46" s="53">
        <v>0</v>
      </c>
      <c r="I46" s="55"/>
      <c r="J46" s="52">
        <f>63706.74-5930.83-2115.78-7390.4-2200.92-915.08-21737.83-269.16-12509.8-6239.18+1075.2+2000+116+25.04-7614</f>
        <v>0</v>
      </c>
      <c r="K46" s="53">
        <v>0</v>
      </c>
      <c r="L46" s="55">
        <v>0</v>
      </c>
      <c r="M46" s="52">
        <f>63706.74-5930.83-2115.78-7390.4-2200.92-915.08-21737.83-269.16-12509.8-6239.18+1075.2+2000+116+25.04-7614-2552.62+1000000+2733.45+300000</f>
        <v>1300180.83</v>
      </c>
      <c r="N46" s="53">
        <v>0</v>
      </c>
      <c r="O46" s="13"/>
      <c r="P46" s="13"/>
      <c r="Q46" s="13"/>
      <c r="R46" s="13"/>
      <c r="S46" s="13"/>
      <c r="T46" s="13"/>
      <c r="U46" s="13"/>
      <c r="V46" s="13"/>
      <c r="W46" s="13"/>
      <c r="X46" s="13"/>
      <c r="Y46" s="13"/>
      <c r="Z46" s="13"/>
    </row>
    <row r="47" spans="1:26" ht="12.75" customHeight="1" x14ac:dyDescent="0.2">
      <c r="A47" s="13"/>
      <c r="B47" s="56" t="s">
        <v>70</v>
      </c>
      <c r="C47" s="52">
        <v>0</v>
      </c>
      <c r="D47" s="52">
        <f>404000-7349.25-5000-3834.88-2827.55-5879.4-4900-3834.88-979.9-420-5000-29397-3500-3500-2940.8-420-16.7-3000-5000-420-3429.65-175-250-250-25-25-25-175-25-100-150.75-20.1-120.6-603-6859.3-3403.75-18324.13-955.14-5890-95.2-2827.55-10290-2396.83-11.96-5250-4000-4000-4000-3500-4000-4000-3500-3500-3500-3500-70.35-140.7-96.25-210-375.87-53.16-420</f>
        <v>215235.34999999998</v>
      </c>
      <c r="E47" s="53">
        <v>0</v>
      </c>
      <c r="F47" s="55">
        <v>0</v>
      </c>
      <c r="G47" s="52">
        <f>215235.35-17075.92-4494.36-840-5571.25-10175.92-175-336-336-6543.32-672-1614.72-2788.59-6120.87-1574.08-13.37+4000</f>
        <v>160903.95000000001</v>
      </c>
      <c r="H47" s="53">
        <v>0</v>
      </c>
      <c r="I47" s="55"/>
      <c r="J47" s="52">
        <f>215235.35-17075.92-4494.36-840-5571.25-10175.92-175-336-336-6543.32-672-1614.72-2788.59-6120.87-1574.08-13.37+4000-14585.86-12435.66-18249.17-1464-379.21-11504.22</f>
        <v>102285.83000000002</v>
      </c>
      <c r="K47" s="53">
        <v>0</v>
      </c>
      <c r="L47" s="55">
        <v>0</v>
      </c>
      <c r="M47" s="52">
        <f>215235.35-17075.92-4494.36-840-5571.25-10175.92-175-336-336-6543.32-672-1614.72-2788.59-6120.87-1574.08-13.37+4000-14585.86-12435.66-18249.17-1464-379.21-11504.22-32596.47+852596.4+247461-939.3-9592.32-15077.24</f>
        <v>1144137.8999999999</v>
      </c>
      <c r="N47" s="53">
        <v>0</v>
      </c>
      <c r="O47" s="13"/>
      <c r="P47" s="13"/>
      <c r="Q47" s="13"/>
      <c r="R47" s="13"/>
      <c r="S47" s="13"/>
      <c r="T47" s="13"/>
      <c r="U47" s="13"/>
      <c r="V47" s="13"/>
      <c r="W47" s="13"/>
      <c r="X47" s="13"/>
      <c r="Y47" s="13"/>
      <c r="Z47" s="13"/>
    </row>
    <row r="48" spans="1:26" s="487" customFormat="1" ht="12.75" customHeight="1" x14ac:dyDescent="0.2">
      <c r="A48" s="471"/>
      <c r="B48" s="488" t="s">
        <v>5552</v>
      </c>
      <c r="C48" s="52">
        <v>0</v>
      </c>
      <c r="D48" s="52">
        <v>1493000</v>
      </c>
      <c r="E48" s="53"/>
      <c r="F48" s="55"/>
      <c r="G48" s="52">
        <v>1493000</v>
      </c>
      <c r="H48" s="53"/>
      <c r="I48" s="55"/>
      <c r="J48" s="489"/>
      <c r="K48" s="53"/>
      <c r="L48" s="55"/>
      <c r="M48" s="489"/>
      <c r="N48" s="53"/>
      <c r="O48" s="13"/>
      <c r="P48" s="471"/>
      <c r="Q48" s="471"/>
      <c r="R48" s="471"/>
      <c r="S48" s="471"/>
      <c r="T48" s="471"/>
      <c r="U48" s="471"/>
      <c r="V48" s="471"/>
      <c r="W48" s="471"/>
      <c r="X48" s="471"/>
      <c r="Y48" s="471"/>
      <c r="Z48" s="471"/>
    </row>
    <row r="49" spans="1:26" ht="12.75" customHeight="1" x14ac:dyDescent="0.2">
      <c r="A49" s="13"/>
      <c r="B49" s="56" t="s">
        <v>5505</v>
      </c>
      <c r="C49" s="52">
        <v>0</v>
      </c>
      <c r="D49" s="490" t="s">
        <v>5527</v>
      </c>
      <c r="E49" s="53">
        <v>0</v>
      </c>
      <c r="F49" s="55">
        <v>0</v>
      </c>
      <c r="G49" s="490" t="s">
        <v>5527</v>
      </c>
      <c r="H49" s="53">
        <v>0</v>
      </c>
      <c r="I49" s="55">
        <v>0</v>
      </c>
      <c r="J49" s="52">
        <v>1493000</v>
      </c>
      <c r="K49" s="53">
        <v>0</v>
      </c>
      <c r="L49" s="55">
        <v>0</v>
      </c>
      <c r="M49" s="52">
        <f>1493000+1000000-5125.92-13414.42-73012.08-9370.55-23457.55+100000</f>
        <v>2468619.4800000004</v>
      </c>
      <c r="N49" s="53">
        <v>0</v>
      </c>
      <c r="O49" s="13"/>
      <c r="P49" s="13"/>
      <c r="Q49" s="13"/>
      <c r="R49" s="13"/>
      <c r="S49" s="13"/>
      <c r="T49" s="13"/>
      <c r="U49" s="13"/>
      <c r="V49" s="13"/>
      <c r="W49" s="13"/>
      <c r="X49" s="13"/>
      <c r="Y49" s="13"/>
      <c r="Z49" s="13"/>
    </row>
    <row r="50" spans="1:26" ht="12.75" customHeight="1" x14ac:dyDescent="0.2">
      <c r="A50" s="13"/>
      <c r="B50" s="56" t="s">
        <v>71</v>
      </c>
      <c r="C50" s="52">
        <v>0</v>
      </c>
      <c r="D50" s="52">
        <f>37500-3840-3762.82-3840-2000-1720-1045-1045-10.45-10.45-153</f>
        <v>20073.28</v>
      </c>
      <c r="E50" s="53">
        <v>0</v>
      </c>
      <c r="F50" s="55">
        <v>0</v>
      </c>
      <c r="G50" s="52">
        <f>20073.28-22558.74+15000-153-620-405.92-10.45+8100-8817.44-437.18-1928.28-2815.56-2360-2815.56</f>
        <v>251.14999999999736</v>
      </c>
      <c r="H50" s="53">
        <v>0</v>
      </c>
      <c r="I50" s="55">
        <v>0</v>
      </c>
      <c r="J50" s="52">
        <f>20073.28-22558.74+15000-153-620-405.92-10.45+8100-8817.44-437.18-1928.28-2815.56-2360-2815.56-153-141.57+39300-164.43</f>
        <v>39092.149999999994</v>
      </c>
      <c r="K50" s="53">
        <v>0</v>
      </c>
      <c r="L50" s="55">
        <v>0</v>
      </c>
      <c r="M50" s="52">
        <f>20073.28-22558.74+15000-153-620-405.92-10.45+8100-8817.44-437.18-1928.28-2815.56-2360-2815.56-153-141.57+39300-164.43-13568.74-14377.3+49300-42872.74-10031.84-7359.7+20000-2163.45-3440.1-3147.03+29300-27021.14-5665.25-2510.45-4404.03+20000-18200.18+29300-5066.46+230.33</f>
        <v>27394.070000000003</v>
      </c>
      <c r="N50" s="53">
        <v>0</v>
      </c>
      <c r="O50" s="13"/>
      <c r="P50" s="13"/>
      <c r="Q50" s="13"/>
      <c r="R50" s="13"/>
      <c r="S50" s="13"/>
      <c r="T50" s="13"/>
      <c r="U50" s="13"/>
      <c r="V50" s="13"/>
      <c r="W50" s="13"/>
      <c r="X50" s="13"/>
      <c r="Y50" s="13"/>
      <c r="Z50" s="13"/>
    </row>
    <row r="51" spans="1:26" ht="12.75" customHeight="1" x14ac:dyDescent="0.2">
      <c r="A51" s="13"/>
      <c r="B51" s="57" t="s">
        <v>66</v>
      </c>
      <c r="C51" s="58">
        <f t="shared" ref="C51:N51" si="2">SUM(C42:C50)</f>
        <v>0</v>
      </c>
      <c r="D51" s="58">
        <f t="shared" si="2"/>
        <v>2245695.9499999997</v>
      </c>
      <c r="E51" s="58">
        <f t="shared" si="2"/>
        <v>341213.25</v>
      </c>
      <c r="F51" s="58">
        <f t="shared" si="2"/>
        <v>0</v>
      </c>
      <c r="G51" s="58">
        <f t="shared" si="2"/>
        <v>3771092.47</v>
      </c>
      <c r="H51" s="58">
        <f t="shared" si="2"/>
        <v>369820.42</v>
      </c>
      <c r="I51" s="58">
        <f t="shared" si="2"/>
        <v>0</v>
      </c>
      <c r="J51" s="58">
        <f t="shared" si="2"/>
        <v>3542196.6500000004</v>
      </c>
      <c r="K51" s="58">
        <f t="shared" si="2"/>
        <v>520235.14</v>
      </c>
      <c r="L51" s="58">
        <f t="shared" si="2"/>
        <v>0</v>
      </c>
      <c r="M51" s="58">
        <f t="shared" si="2"/>
        <v>6178936.6100000013</v>
      </c>
      <c r="N51" s="58">
        <f t="shared" si="2"/>
        <v>597554.42000000004</v>
      </c>
      <c r="O51" s="13"/>
      <c r="P51" s="13"/>
      <c r="Q51" s="13"/>
      <c r="R51" s="13"/>
      <c r="S51" s="13"/>
      <c r="T51" s="13"/>
      <c r="U51" s="13"/>
      <c r="V51" s="13"/>
      <c r="W51" s="13"/>
      <c r="X51" s="13"/>
      <c r="Y51" s="13"/>
      <c r="Z51" s="13"/>
    </row>
    <row r="52" spans="1:26" ht="12.75" customHeight="1" x14ac:dyDescent="0.2">
      <c r="A52" s="13"/>
      <c r="B52" s="13"/>
      <c r="C52" s="59"/>
      <c r="D52" s="59"/>
      <c r="E52" s="59"/>
      <c r="F52" s="13"/>
      <c r="G52" s="13"/>
      <c r="H52" s="13"/>
      <c r="I52" s="13"/>
      <c r="J52" s="13"/>
      <c r="K52" s="13"/>
      <c r="L52" s="13"/>
      <c r="M52" s="13"/>
      <c r="N52" s="13"/>
      <c r="O52" s="13"/>
      <c r="P52" s="13"/>
      <c r="Q52" s="13"/>
      <c r="R52" s="13"/>
      <c r="S52" s="13"/>
      <c r="T52" s="13"/>
      <c r="U52" s="13"/>
      <c r="V52" s="13"/>
      <c r="W52" s="13"/>
      <c r="X52" s="13"/>
      <c r="Y52" s="13"/>
      <c r="Z52" s="13"/>
    </row>
    <row r="53" spans="1:26" ht="12.7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2.7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2.7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2.75"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2.7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2.75"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2.75"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2.75"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2.75"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2.75"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2.75"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2.75"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2.75"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2.7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2.75" customHeight="1"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2.7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2.75" customHeight="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sheetData>
  <mergeCells count="11">
    <mergeCell ref="C40:E40"/>
    <mergeCell ref="F40:H40"/>
    <mergeCell ref="I40:K40"/>
    <mergeCell ref="L40:N40"/>
    <mergeCell ref="A1:N1"/>
    <mergeCell ref="A2:N2"/>
    <mergeCell ref="A3:N3"/>
    <mergeCell ref="B4:B7"/>
    <mergeCell ref="B22:F22"/>
    <mergeCell ref="B32:C32"/>
    <mergeCell ref="B39:O39"/>
  </mergeCells>
  <pageMargins left="0.19685039370078741" right="0.19685039370078741" top="0.59055118110236227" bottom="0.59055118110236227" header="0" footer="0"/>
  <pageSetup paperSize="9" scale="51"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showGridLines="0" topLeftCell="A25" zoomScale="110" zoomScaleNormal="110" workbookViewId="0">
      <selection activeCell="D28" sqref="D28"/>
    </sheetView>
  </sheetViews>
  <sheetFormatPr defaultColWidth="14.42578125" defaultRowHeight="15" customHeight="1" x14ac:dyDescent="0.2"/>
  <cols>
    <col min="1" max="1" width="3.42578125" customWidth="1"/>
    <col min="2" max="2" width="15" customWidth="1"/>
    <col min="3" max="14" width="12.5703125" customWidth="1"/>
    <col min="15" max="15" width="12.85546875" customWidth="1"/>
    <col min="16" max="16" width="2.42578125" customWidth="1"/>
    <col min="17" max="17" width="12.5703125" customWidth="1"/>
    <col min="18" max="18" width="14.140625" customWidth="1"/>
    <col min="19" max="22" width="12.5703125" customWidth="1"/>
    <col min="23" max="23" width="12" customWidth="1"/>
    <col min="24" max="24" width="2.28515625" customWidth="1"/>
    <col min="25" max="25" width="10.7109375" customWidth="1"/>
    <col min="26" max="26" width="13" customWidth="1"/>
  </cols>
  <sheetData>
    <row r="1" spans="1:26" ht="30.75" customHeight="1" x14ac:dyDescent="0.2">
      <c r="A1" s="709"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5"/>
      <c r="O1" s="696"/>
      <c r="P1" s="60"/>
      <c r="Q1" s="60"/>
      <c r="R1" s="60"/>
      <c r="S1" s="60"/>
      <c r="T1" s="60"/>
      <c r="U1" s="60"/>
      <c r="V1" s="60"/>
      <c r="W1" s="60"/>
      <c r="X1" s="60"/>
      <c r="Y1" s="60"/>
      <c r="Z1" s="60"/>
    </row>
    <row r="2" spans="1:26" ht="18" customHeight="1" x14ac:dyDescent="0.2">
      <c r="A2" s="709" t="str">
        <f>Capa!A3</f>
        <v>8º Relatório Gerencial Financeiro</v>
      </c>
      <c r="B2" s="695"/>
      <c r="C2" s="695"/>
      <c r="D2" s="695"/>
      <c r="E2" s="695"/>
      <c r="F2" s="695"/>
      <c r="G2" s="695"/>
      <c r="H2" s="695"/>
      <c r="I2" s="695"/>
      <c r="J2" s="695"/>
      <c r="K2" s="695"/>
      <c r="L2" s="695"/>
      <c r="M2" s="695"/>
      <c r="N2" s="695"/>
      <c r="O2" s="696"/>
      <c r="P2" s="60"/>
      <c r="Q2" s="60"/>
      <c r="R2" s="60"/>
      <c r="S2" s="60"/>
      <c r="T2" s="60"/>
      <c r="U2" s="60"/>
      <c r="V2" s="60"/>
      <c r="W2" s="60"/>
      <c r="X2" s="60"/>
      <c r="Y2" s="60"/>
      <c r="Z2" s="60"/>
    </row>
    <row r="3" spans="1:26" ht="18" customHeight="1" x14ac:dyDescent="0.2">
      <c r="A3" s="710" t="s">
        <v>72</v>
      </c>
      <c r="B3" s="711"/>
      <c r="C3" s="711"/>
      <c r="D3" s="711"/>
      <c r="E3" s="711"/>
      <c r="F3" s="711"/>
      <c r="G3" s="711"/>
      <c r="H3" s="711"/>
      <c r="I3" s="711"/>
      <c r="J3" s="711"/>
      <c r="K3" s="711"/>
      <c r="L3" s="711"/>
      <c r="M3" s="711"/>
      <c r="N3" s="711"/>
      <c r="O3" s="712"/>
      <c r="P3" s="61"/>
      <c r="Q3" s="61"/>
      <c r="R3" s="61"/>
      <c r="S3" s="61"/>
      <c r="T3" s="61"/>
      <c r="U3" s="61"/>
      <c r="V3" s="61"/>
      <c r="W3" s="61"/>
      <c r="X3" s="61"/>
      <c r="Y3" s="61"/>
      <c r="Z3" s="61"/>
    </row>
    <row r="4" spans="1:26" ht="16.5" customHeight="1" x14ac:dyDescent="0.2">
      <c r="A4" s="62"/>
      <c r="B4" s="62"/>
      <c r="C4" s="713" t="s">
        <v>73</v>
      </c>
      <c r="D4" s="714"/>
      <c r="E4" s="714"/>
      <c r="F4" s="714"/>
      <c r="G4" s="714"/>
      <c r="H4" s="714"/>
      <c r="I4" s="714"/>
      <c r="J4" s="714"/>
      <c r="K4" s="714"/>
      <c r="L4" s="714"/>
      <c r="M4" s="714"/>
      <c r="N4" s="714"/>
      <c r="O4" s="706"/>
      <c r="P4" s="63"/>
      <c r="Q4" s="63"/>
      <c r="R4" s="63"/>
      <c r="S4" s="63"/>
      <c r="T4" s="63"/>
      <c r="U4" s="63"/>
      <c r="V4" s="63"/>
      <c r="W4" s="63"/>
      <c r="X4" s="63"/>
      <c r="Y4" s="63"/>
      <c r="Z4" s="63"/>
    </row>
    <row r="5" spans="1:26" ht="12" customHeight="1" x14ac:dyDescent="0.2">
      <c r="A5" s="715">
        <v>1</v>
      </c>
      <c r="B5" s="717" t="s">
        <v>74</v>
      </c>
      <c r="C5" s="64" t="str">
        <f>Resumo!C4</f>
        <v>Mês 1</v>
      </c>
      <c r="D5" s="64" t="str">
        <f>Resumo!D4</f>
        <v>Mês 2</v>
      </c>
      <c r="E5" s="64" t="str">
        <f>Resumo!E4</f>
        <v>Mês 3</v>
      </c>
      <c r="F5" s="64" t="str">
        <f>Resumo!F4</f>
        <v>Mês 4</v>
      </c>
      <c r="G5" s="64" t="str">
        <f>Resumo!G4</f>
        <v>Mês 5</v>
      </c>
      <c r="H5" s="64" t="str">
        <f>Resumo!H4</f>
        <v>Mês 6</v>
      </c>
      <c r="I5" s="64" t="str">
        <f>Resumo!I4</f>
        <v>Mês 7</v>
      </c>
      <c r="J5" s="64" t="str">
        <f>Resumo!J4</f>
        <v>Mês 8</v>
      </c>
      <c r="K5" s="64" t="str">
        <f>Resumo!K4</f>
        <v>Mês 9</v>
      </c>
      <c r="L5" s="64" t="str">
        <f>Resumo!L4</f>
        <v>Mês 10</v>
      </c>
      <c r="M5" s="64" t="str">
        <f>Resumo!M4</f>
        <v>Mês 11</v>
      </c>
      <c r="N5" s="64" t="str">
        <f>Resumo!N4</f>
        <v>Mês 12</v>
      </c>
      <c r="O5" s="718" t="s">
        <v>75</v>
      </c>
      <c r="P5" s="63"/>
      <c r="Q5" s="63"/>
      <c r="R5" s="63"/>
      <c r="S5" s="63"/>
      <c r="T5" s="63"/>
      <c r="U5" s="63"/>
      <c r="V5" s="63"/>
      <c r="W5" s="63"/>
      <c r="X5" s="63"/>
      <c r="Y5" s="63"/>
      <c r="Z5" s="63"/>
    </row>
    <row r="6" spans="1:26" ht="18" customHeight="1" x14ac:dyDescent="0.2">
      <c r="A6" s="703"/>
      <c r="B6" s="703"/>
      <c r="C6" s="65">
        <f>Resumo!C5</f>
        <v>44197</v>
      </c>
      <c r="D6" s="65">
        <f>Resumo!D5</f>
        <v>44228</v>
      </c>
      <c r="E6" s="65">
        <f>Resumo!E5</f>
        <v>44256</v>
      </c>
      <c r="F6" s="65">
        <f>Resumo!F5</f>
        <v>44287</v>
      </c>
      <c r="G6" s="65">
        <f>Resumo!G5</f>
        <v>44317</v>
      </c>
      <c r="H6" s="65">
        <f>Resumo!H5</f>
        <v>44348</v>
      </c>
      <c r="I6" s="65">
        <f>Resumo!I5</f>
        <v>44378</v>
      </c>
      <c r="J6" s="65">
        <f>Resumo!J5</f>
        <v>44409</v>
      </c>
      <c r="K6" s="65">
        <f>Resumo!K5</f>
        <v>44440</v>
      </c>
      <c r="L6" s="65">
        <f>Resumo!L5</f>
        <v>44470</v>
      </c>
      <c r="M6" s="65">
        <f>Resumo!M5</f>
        <v>44501</v>
      </c>
      <c r="N6" s="65">
        <f>Resumo!N5</f>
        <v>44531</v>
      </c>
      <c r="O6" s="703"/>
      <c r="P6" s="63"/>
      <c r="Q6" s="63"/>
      <c r="R6" s="63"/>
      <c r="S6" s="63"/>
      <c r="T6" s="63"/>
      <c r="U6" s="63"/>
      <c r="V6" s="63"/>
      <c r="W6" s="63"/>
      <c r="X6" s="63"/>
      <c r="Y6" s="63"/>
      <c r="Z6" s="63"/>
    </row>
    <row r="7" spans="1:26" ht="12.75" customHeight="1" x14ac:dyDescent="0.2">
      <c r="A7" s="703"/>
      <c r="B7" s="703"/>
      <c r="C7" s="66" t="str">
        <f>Resumo!C6</f>
        <v>a</v>
      </c>
      <c r="D7" s="66" t="str">
        <f>Resumo!D6</f>
        <v>a</v>
      </c>
      <c r="E7" s="66" t="str">
        <f>Resumo!E6</f>
        <v>a</v>
      </c>
      <c r="F7" s="66" t="str">
        <f>Resumo!F6</f>
        <v>a</v>
      </c>
      <c r="G7" s="66" t="str">
        <f>Resumo!G6</f>
        <v>a</v>
      </c>
      <c r="H7" s="66" t="str">
        <f>Resumo!H6</f>
        <v>a</v>
      </c>
      <c r="I7" s="66" t="str">
        <f>Resumo!I6</f>
        <v>a</v>
      </c>
      <c r="J7" s="66" t="str">
        <f>Resumo!J6</f>
        <v>a</v>
      </c>
      <c r="K7" s="66" t="str">
        <f>Resumo!K6</f>
        <v>a</v>
      </c>
      <c r="L7" s="66" t="str">
        <f>Resumo!L6</f>
        <v>a</v>
      </c>
      <c r="M7" s="66" t="str">
        <f>Resumo!M6</f>
        <v>a</v>
      </c>
      <c r="N7" s="66" t="str">
        <f>Resumo!N6</f>
        <v>a</v>
      </c>
      <c r="O7" s="703"/>
      <c r="P7" s="63"/>
      <c r="Q7" s="63"/>
      <c r="R7" s="63"/>
      <c r="S7" s="63"/>
      <c r="T7" s="63"/>
      <c r="U7" s="63"/>
      <c r="V7" s="63"/>
      <c r="W7" s="63"/>
      <c r="X7" s="63"/>
      <c r="Y7" s="63"/>
      <c r="Z7" s="63"/>
    </row>
    <row r="8" spans="1:26" ht="12" customHeight="1" x14ac:dyDescent="0.2">
      <c r="A8" s="716"/>
      <c r="B8" s="716"/>
      <c r="C8" s="67">
        <f>Resumo!C7</f>
        <v>44227</v>
      </c>
      <c r="D8" s="67">
        <f>Resumo!D7</f>
        <v>44255</v>
      </c>
      <c r="E8" s="67">
        <f>Resumo!E7</f>
        <v>44286</v>
      </c>
      <c r="F8" s="67">
        <f>Resumo!F7</f>
        <v>44316</v>
      </c>
      <c r="G8" s="67">
        <f>Resumo!G7</f>
        <v>44347</v>
      </c>
      <c r="H8" s="67">
        <f>Resumo!H7</f>
        <v>44377</v>
      </c>
      <c r="I8" s="67">
        <f>Resumo!I7</f>
        <v>44408</v>
      </c>
      <c r="J8" s="67">
        <f>Resumo!J7</f>
        <v>44439</v>
      </c>
      <c r="K8" s="67">
        <f>Resumo!K7</f>
        <v>44469</v>
      </c>
      <c r="L8" s="67">
        <f>Resumo!L7</f>
        <v>44500</v>
      </c>
      <c r="M8" s="67">
        <f>Resumo!M7</f>
        <v>44530</v>
      </c>
      <c r="N8" s="67">
        <f>Resumo!N7</f>
        <v>44561</v>
      </c>
      <c r="O8" s="716"/>
      <c r="P8" s="68"/>
      <c r="Q8" s="69"/>
      <c r="R8" s="69"/>
      <c r="S8" s="69"/>
      <c r="T8" s="70"/>
      <c r="U8" s="69"/>
      <c r="V8" s="69"/>
      <c r="W8" s="69"/>
      <c r="X8" s="69"/>
      <c r="Y8" s="69"/>
      <c r="Z8" s="69"/>
    </row>
    <row r="9" spans="1:26" ht="30" customHeight="1" x14ac:dyDescent="0.2">
      <c r="A9" s="71" t="s">
        <v>76</v>
      </c>
      <c r="B9" s="72" t="s">
        <v>77</v>
      </c>
      <c r="C9" s="73"/>
      <c r="D9" s="73"/>
      <c r="E9" s="73"/>
      <c r="F9" s="73"/>
      <c r="G9" s="73"/>
      <c r="H9" s="73"/>
      <c r="I9" s="73"/>
      <c r="J9" s="73"/>
      <c r="K9" s="73"/>
      <c r="L9" s="73"/>
      <c r="M9" s="73"/>
      <c r="N9" s="73"/>
      <c r="O9" s="74"/>
      <c r="P9" s="68"/>
      <c r="Q9" s="69"/>
      <c r="R9" s="69"/>
      <c r="S9" s="69"/>
      <c r="T9" s="70"/>
      <c r="U9" s="69"/>
      <c r="V9" s="69"/>
      <c r="W9" s="69"/>
      <c r="X9" s="69"/>
      <c r="Y9" s="69"/>
      <c r="Z9" s="69"/>
    </row>
    <row r="10" spans="1:26" ht="30" customHeight="1" x14ac:dyDescent="0.2">
      <c r="A10" s="71" t="s">
        <v>78</v>
      </c>
      <c r="B10" s="72" t="s">
        <v>79</v>
      </c>
      <c r="C10" s="73">
        <v>0</v>
      </c>
      <c r="D10" s="73">
        <v>1857482.2252077435</v>
      </c>
      <c r="E10" s="73">
        <v>0</v>
      </c>
      <c r="F10" s="73">
        <v>0</v>
      </c>
      <c r="G10" s="73">
        <v>1368108.6814770608</v>
      </c>
      <c r="H10" s="73">
        <v>0</v>
      </c>
      <c r="I10" s="73">
        <v>0</v>
      </c>
      <c r="J10" s="73">
        <v>1194737.1000000001</v>
      </c>
      <c r="K10" s="73">
        <v>0</v>
      </c>
      <c r="L10" s="73">
        <v>0</v>
      </c>
      <c r="M10" s="73">
        <v>1066238.8700000001</v>
      </c>
      <c r="N10" s="73">
        <v>0</v>
      </c>
      <c r="O10" s="75">
        <f t="shared" ref="O10:O14" si="0">SUM(C10:N10)</f>
        <v>5486566.8766848044</v>
      </c>
      <c r="P10" s="68"/>
      <c r="Q10" s="69"/>
      <c r="R10" s="69"/>
      <c r="S10" s="69"/>
      <c r="T10" s="70"/>
      <c r="U10" s="69"/>
      <c r="V10" s="69"/>
      <c r="W10" s="69"/>
      <c r="X10" s="69"/>
      <c r="Y10" s="69"/>
      <c r="Z10" s="69"/>
    </row>
    <row r="11" spans="1:26" ht="30" customHeight="1" x14ac:dyDescent="0.2">
      <c r="A11" s="71" t="s">
        <v>80</v>
      </c>
      <c r="B11" s="72" t="s">
        <v>81</v>
      </c>
      <c r="C11" s="73"/>
      <c r="D11" s="73"/>
      <c r="E11" s="73"/>
      <c r="F11" s="73"/>
      <c r="G11" s="73"/>
      <c r="H11" s="73"/>
      <c r="I11" s="73"/>
      <c r="J11" s="73"/>
      <c r="K11" s="73"/>
      <c r="L11" s="73"/>
      <c r="M11" s="73"/>
      <c r="N11" s="73">
        <v>4900000</v>
      </c>
      <c r="O11" s="75">
        <f t="shared" si="0"/>
        <v>4900000</v>
      </c>
      <c r="P11" s="68"/>
      <c r="Q11" s="69"/>
      <c r="R11" s="69"/>
      <c r="S11" s="69"/>
      <c r="T11" s="70"/>
      <c r="U11" s="69"/>
      <c r="V11" s="69"/>
      <c r="W11" s="69"/>
      <c r="X11" s="69"/>
      <c r="Y11" s="69"/>
      <c r="Z11" s="69"/>
    </row>
    <row r="12" spans="1:26" ht="30" customHeight="1" x14ac:dyDescent="0.2">
      <c r="A12" s="71" t="s">
        <v>82</v>
      </c>
      <c r="B12" s="72" t="s">
        <v>83</v>
      </c>
      <c r="C12" s="76">
        <v>0</v>
      </c>
      <c r="D12" s="76">
        <v>0</v>
      </c>
      <c r="E12" s="76">
        <v>0</v>
      </c>
      <c r="F12" s="76">
        <v>0</v>
      </c>
      <c r="G12" s="76">
        <v>0</v>
      </c>
      <c r="H12" s="76">
        <v>0</v>
      </c>
      <c r="I12" s="76">
        <v>0</v>
      </c>
      <c r="J12" s="76">
        <v>0</v>
      </c>
      <c r="K12" s="76">
        <v>0</v>
      </c>
      <c r="L12" s="76">
        <v>0</v>
      </c>
      <c r="M12" s="76">
        <v>0</v>
      </c>
      <c r="N12" s="76">
        <v>0</v>
      </c>
      <c r="O12" s="75">
        <f t="shared" si="0"/>
        <v>0</v>
      </c>
      <c r="P12" s="68"/>
      <c r="Q12" s="69"/>
      <c r="R12" s="69"/>
      <c r="S12" s="69"/>
      <c r="T12" s="70"/>
      <c r="U12" s="69"/>
      <c r="V12" s="69"/>
      <c r="W12" s="69"/>
      <c r="X12" s="69"/>
      <c r="Y12" s="69"/>
      <c r="Z12" s="69"/>
    </row>
    <row r="13" spans="1:26" ht="30" customHeight="1" x14ac:dyDescent="0.2">
      <c r="A13" s="77" t="s">
        <v>84</v>
      </c>
      <c r="B13" s="78" t="s">
        <v>85</v>
      </c>
      <c r="C13" s="73">
        <v>0</v>
      </c>
      <c r="D13" s="73">
        <v>0</v>
      </c>
      <c r="E13" s="73">
        <v>0</v>
      </c>
      <c r="F13" s="73">
        <v>0</v>
      </c>
      <c r="G13" s="73">
        <v>0</v>
      </c>
      <c r="H13" s="73">
        <v>0</v>
      </c>
      <c r="I13" s="73">
        <v>0</v>
      </c>
      <c r="J13" s="73">
        <v>0</v>
      </c>
      <c r="K13" s="73">
        <v>0</v>
      </c>
      <c r="L13" s="73">
        <v>0</v>
      </c>
      <c r="M13" s="73">
        <v>0</v>
      </c>
      <c r="N13" s="73">
        <v>0</v>
      </c>
      <c r="O13" s="79">
        <f t="shared" si="0"/>
        <v>0</v>
      </c>
      <c r="P13" s="68"/>
      <c r="Q13" s="69"/>
      <c r="R13" s="69"/>
      <c r="S13" s="69"/>
      <c r="T13" s="70"/>
      <c r="U13" s="69"/>
      <c r="V13" s="69"/>
      <c r="W13" s="69"/>
      <c r="X13" s="69"/>
      <c r="Y13" s="69"/>
      <c r="Z13" s="69"/>
    </row>
    <row r="14" spans="1:26" ht="30" customHeight="1" x14ac:dyDescent="0.2">
      <c r="A14" s="705" t="s">
        <v>86</v>
      </c>
      <c r="B14" s="706"/>
      <c r="C14" s="80">
        <f t="shared" ref="C14:N14" si="1">SUM(C10:C13)</f>
        <v>0</v>
      </c>
      <c r="D14" s="80">
        <f t="shared" si="1"/>
        <v>1857482.2252077435</v>
      </c>
      <c r="E14" s="80">
        <f t="shared" si="1"/>
        <v>0</v>
      </c>
      <c r="F14" s="80">
        <f t="shared" si="1"/>
        <v>0</v>
      </c>
      <c r="G14" s="80">
        <f t="shared" si="1"/>
        <v>1368108.6814770608</v>
      </c>
      <c r="H14" s="80">
        <f t="shared" si="1"/>
        <v>0</v>
      </c>
      <c r="I14" s="80">
        <f t="shared" si="1"/>
        <v>0</v>
      </c>
      <c r="J14" s="80">
        <f t="shared" si="1"/>
        <v>1194737.1000000001</v>
      </c>
      <c r="K14" s="80">
        <f t="shared" si="1"/>
        <v>0</v>
      </c>
      <c r="L14" s="80">
        <f t="shared" si="1"/>
        <v>0</v>
      </c>
      <c r="M14" s="80">
        <f t="shared" si="1"/>
        <v>1066238.8700000001</v>
      </c>
      <c r="N14" s="80">
        <f t="shared" si="1"/>
        <v>4900000</v>
      </c>
      <c r="O14" s="75">
        <f t="shared" si="0"/>
        <v>10386566.876684804</v>
      </c>
      <c r="P14" s="68"/>
      <c r="Q14" s="69"/>
      <c r="R14" s="69"/>
      <c r="S14" s="69"/>
      <c r="T14" s="70"/>
      <c r="U14" s="69"/>
      <c r="V14" s="69"/>
      <c r="W14" s="69"/>
      <c r="X14" s="69"/>
      <c r="Y14" s="69"/>
      <c r="Z14" s="69"/>
    </row>
    <row r="15" spans="1:26" ht="12" customHeight="1" x14ac:dyDescent="0.2">
      <c r="A15" s="81"/>
      <c r="B15" s="82"/>
      <c r="C15" s="83"/>
      <c r="D15" s="83"/>
      <c r="E15" s="83"/>
      <c r="F15" s="83"/>
      <c r="G15" s="83"/>
      <c r="H15" s="83"/>
      <c r="I15" s="83"/>
      <c r="J15" s="83"/>
      <c r="K15" s="83"/>
      <c r="L15" s="83"/>
      <c r="M15" s="83"/>
      <c r="N15" s="83"/>
      <c r="O15" s="83"/>
      <c r="P15" s="63"/>
      <c r="Q15" s="63"/>
      <c r="R15" s="63"/>
      <c r="S15" s="63"/>
      <c r="T15" s="63"/>
      <c r="U15" s="63"/>
      <c r="V15" s="63"/>
      <c r="W15" s="63"/>
      <c r="X15" s="63"/>
      <c r="Y15" s="63"/>
      <c r="Z15" s="63"/>
    </row>
    <row r="16" spans="1:26" ht="24" customHeight="1" x14ac:dyDescent="0.2">
      <c r="A16" s="84">
        <v>2</v>
      </c>
      <c r="B16" s="85" t="s">
        <v>87</v>
      </c>
      <c r="C16" s="86" t="str">
        <f t="shared" ref="C16:O16" si="2">C5</f>
        <v>Mês 1</v>
      </c>
      <c r="D16" s="86" t="str">
        <f t="shared" si="2"/>
        <v>Mês 2</v>
      </c>
      <c r="E16" s="86" t="str">
        <f t="shared" si="2"/>
        <v>Mês 3</v>
      </c>
      <c r="F16" s="86" t="str">
        <f t="shared" si="2"/>
        <v>Mês 4</v>
      </c>
      <c r="G16" s="86" t="str">
        <f t="shared" si="2"/>
        <v>Mês 5</v>
      </c>
      <c r="H16" s="86" t="str">
        <f t="shared" si="2"/>
        <v>Mês 6</v>
      </c>
      <c r="I16" s="86" t="str">
        <f t="shared" si="2"/>
        <v>Mês 7</v>
      </c>
      <c r="J16" s="86" t="str">
        <f t="shared" si="2"/>
        <v>Mês 8</v>
      </c>
      <c r="K16" s="86" t="str">
        <f t="shared" si="2"/>
        <v>Mês 9</v>
      </c>
      <c r="L16" s="86" t="str">
        <f t="shared" si="2"/>
        <v>Mês 10</v>
      </c>
      <c r="M16" s="86" t="str">
        <f t="shared" si="2"/>
        <v>Mês 11</v>
      </c>
      <c r="N16" s="86" t="str">
        <f t="shared" si="2"/>
        <v>Mês 12</v>
      </c>
      <c r="O16" s="87" t="str">
        <f t="shared" si="2"/>
        <v>TOTAL</v>
      </c>
      <c r="P16" s="68"/>
      <c r="Q16" s="69"/>
      <c r="R16" s="69"/>
      <c r="S16" s="69"/>
      <c r="T16" s="70"/>
      <c r="U16" s="69"/>
      <c r="V16" s="69"/>
      <c r="W16" s="69"/>
      <c r="X16" s="69"/>
      <c r="Y16" s="69"/>
      <c r="Z16" s="69"/>
    </row>
    <row r="17" spans="1:26" ht="30" customHeight="1" x14ac:dyDescent="0.2">
      <c r="A17" s="71" t="s">
        <v>84</v>
      </c>
      <c r="B17" s="72" t="s">
        <v>88</v>
      </c>
      <c r="C17" s="88"/>
      <c r="D17" s="88"/>
      <c r="E17" s="88"/>
      <c r="F17" s="88"/>
      <c r="G17" s="88"/>
      <c r="H17" s="88"/>
      <c r="I17" s="88"/>
      <c r="J17" s="88"/>
      <c r="K17" s="88"/>
      <c r="L17" s="88"/>
      <c r="M17" s="88"/>
      <c r="N17" s="88"/>
      <c r="O17" s="88"/>
      <c r="P17" s="68"/>
      <c r="Q17" s="69"/>
      <c r="R17" s="69"/>
      <c r="S17" s="69"/>
      <c r="T17" s="70"/>
      <c r="U17" s="69"/>
      <c r="V17" s="69"/>
      <c r="W17" s="69"/>
      <c r="X17" s="69"/>
      <c r="Y17" s="69"/>
      <c r="Z17" s="69"/>
    </row>
    <row r="18" spans="1:26" ht="30" customHeight="1" x14ac:dyDescent="0.2">
      <c r="A18" s="89" t="s">
        <v>89</v>
      </c>
      <c r="B18" s="72" t="s">
        <v>90</v>
      </c>
      <c r="C18" s="90">
        <v>87292.263100000011</v>
      </c>
      <c r="D18" s="90">
        <v>87292.263100000011</v>
      </c>
      <c r="E18" s="90">
        <v>87292.263100000011</v>
      </c>
      <c r="F18" s="90">
        <v>87292.263100000011</v>
      </c>
      <c r="G18" s="90">
        <v>92792.380700000023</v>
      </c>
      <c r="H18" s="90">
        <v>131892.38070000004</v>
      </c>
      <c r="I18" s="90">
        <v>138692.38070000004</v>
      </c>
      <c r="J18" s="90">
        <v>168592.38070000004</v>
      </c>
      <c r="K18" s="90">
        <v>227992.38</v>
      </c>
      <c r="L18" s="90">
        <f>227992.3807-200000</f>
        <v>27992.380700000009</v>
      </c>
      <c r="M18" s="90">
        <f>227992.3807-200000</f>
        <v>27992.380700000009</v>
      </c>
      <c r="N18" s="90">
        <f>227992.3807-150000</f>
        <v>77992.380700000009</v>
      </c>
      <c r="O18" s="75">
        <f t="shared" ref="O18:O27" si="3">SUM(C18:N18)</f>
        <v>1243108.0973000005</v>
      </c>
      <c r="P18" s="68"/>
      <c r="Q18" s="69"/>
      <c r="R18" s="69"/>
      <c r="S18" s="69"/>
      <c r="T18" s="70"/>
      <c r="U18" s="69"/>
      <c r="V18" s="69"/>
      <c r="W18" s="69"/>
      <c r="X18" s="69"/>
      <c r="Y18" s="69"/>
      <c r="Z18" s="69"/>
    </row>
    <row r="19" spans="1:26" ht="30" customHeight="1" x14ac:dyDescent="0.2">
      <c r="A19" s="89" t="s">
        <v>91</v>
      </c>
      <c r="B19" s="72" t="s">
        <v>92</v>
      </c>
      <c r="C19" s="90">
        <v>0</v>
      </c>
      <c r="D19" s="90">
        <v>0</v>
      </c>
      <c r="E19" s="90">
        <v>0</v>
      </c>
      <c r="F19" s="90">
        <v>0</v>
      </c>
      <c r="G19" s="90">
        <v>0</v>
      </c>
      <c r="H19" s="90">
        <v>0</v>
      </c>
      <c r="I19" s="90">
        <v>0</v>
      </c>
      <c r="J19" s="90">
        <v>0</v>
      </c>
      <c r="K19" s="90">
        <v>0</v>
      </c>
      <c r="L19" s="90">
        <v>0</v>
      </c>
      <c r="M19" s="90">
        <v>0</v>
      </c>
      <c r="N19" s="90">
        <v>0</v>
      </c>
      <c r="O19" s="75">
        <f t="shared" si="3"/>
        <v>0</v>
      </c>
      <c r="P19" s="68"/>
      <c r="Q19" s="69"/>
      <c r="R19" s="69"/>
      <c r="S19" s="69"/>
      <c r="T19" s="70"/>
      <c r="U19" s="69"/>
      <c r="V19" s="69"/>
      <c r="W19" s="69"/>
      <c r="X19" s="69"/>
      <c r="Y19" s="69"/>
      <c r="Z19" s="69"/>
    </row>
    <row r="20" spans="1:26" ht="30" customHeight="1" x14ac:dyDescent="0.2">
      <c r="A20" s="89" t="s">
        <v>93</v>
      </c>
      <c r="B20" s="72" t="s">
        <v>94</v>
      </c>
      <c r="C20" s="90">
        <v>50884.115032041664</v>
      </c>
      <c r="D20" s="90">
        <v>50884.115032041664</v>
      </c>
      <c r="E20" s="90">
        <v>50884.115032041664</v>
      </c>
      <c r="F20" s="90">
        <v>50884.115032041664</v>
      </c>
      <c r="G20" s="90">
        <v>61822.923641375004</v>
      </c>
      <c r="H20" s="90">
        <v>87873.298641375019</v>
      </c>
      <c r="I20" s="90">
        <v>92403.798641375019</v>
      </c>
      <c r="J20" s="90">
        <v>112324.67364137503</v>
      </c>
      <c r="K20" s="90">
        <v>151899.923641375</v>
      </c>
      <c r="L20" s="90">
        <v>151899.923641375</v>
      </c>
      <c r="M20" s="90">
        <v>151899.923641375</v>
      </c>
      <c r="N20" s="90">
        <v>151899.923641375</v>
      </c>
      <c r="O20" s="75">
        <f t="shared" si="3"/>
        <v>1165560.8492591667</v>
      </c>
      <c r="P20" s="68"/>
      <c r="Q20" s="69"/>
      <c r="R20" s="69"/>
      <c r="S20" s="69"/>
      <c r="T20" s="70"/>
      <c r="U20" s="69"/>
      <c r="V20" s="69"/>
      <c r="W20" s="69"/>
      <c r="X20" s="69"/>
      <c r="Y20" s="69"/>
      <c r="Z20" s="69"/>
    </row>
    <row r="21" spans="1:26" ht="30" customHeight="1" x14ac:dyDescent="0.2">
      <c r="A21" s="89" t="s">
        <v>95</v>
      </c>
      <c r="B21" s="72" t="s">
        <v>96</v>
      </c>
      <c r="C21" s="90">
        <v>13972.08</v>
      </c>
      <c r="D21" s="90">
        <v>13972.08</v>
      </c>
      <c r="E21" s="90">
        <v>13972.08</v>
      </c>
      <c r="F21" s="90">
        <v>13972.08</v>
      </c>
      <c r="G21" s="90">
        <v>14978.401399999999</v>
      </c>
      <c r="H21" s="90">
        <v>32280.933399999998</v>
      </c>
      <c r="I21" s="90">
        <v>35376.321400000001</v>
      </c>
      <c r="J21" s="90">
        <v>48607.669399999992</v>
      </c>
      <c r="K21" s="90">
        <v>66927.997399999993</v>
      </c>
      <c r="L21" s="90">
        <v>66927.997399999993</v>
      </c>
      <c r="M21" s="90">
        <v>66927.997399999993</v>
      </c>
      <c r="N21" s="90">
        <v>66927.997399999993</v>
      </c>
      <c r="O21" s="75">
        <f t="shared" si="3"/>
        <v>454843.6351999999</v>
      </c>
      <c r="P21" s="68"/>
      <c r="Q21" s="69"/>
      <c r="R21" s="69"/>
      <c r="S21" s="69"/>
      <c r="T21" s="70"/>
      <c r="U21" s="69"/>
      <c r="V21" s="69"/>
      <c r="W21" s="69"/>
      <c r="X21" s="69"/>
      <c r="Y21" s="69"/>
      <c r="Z21" s="69"/>
    </row>
    <row r="22" spans="1:26" ht="12.75" customHeight="1" x14ac:dyDescent="0.2">
      <c r="A22" s="707" t="s">
        <v>97</v>
      </c>
      <c r="B22" s="708"/>
      <c r="C22" s="91">
        <f t="shared" ref="C22:N22" si="4">SUM(C18:C21)</f>
        <v>152148.45813204165</v>
      </c>
      <c r="D22" s="91">
        <f t="shared" si="4"/>
        <v>152148.45813204165</v>
      </c>
      <c r="E22" s="91">
        <f t="shared" si="4"/>
        <v>152148.45813204165</v>
      </c>
      <c r="F22" s="91">
        <f t="shared" si="4"/>
        <v>152148.45813204165</v>
      </c>
      <c r="G22" s="91">
        <f t="shared" si="4"/>
        <v>169593.70574137502</v>
      </c>
      <c r="H22" s="91">
        <f t="shared" si="4"/>
        <v>252046.61274137508</v>
      </c>
      <c r="I22" s="91">
        <f t="shared" si="4"/>
        <v>266472.50074137509</v>
      </c>
      <c r="J22" s="91">
        <f t="shared" si="4"/>
        <v>329524.72374137508</v>
      </c>
      <c r="K22" s="91">
        <f t="shared" si="4"/>
        <v>446820.30104137503</v>
      </c>
      <c r="L22" s="91">
        <f t="shared" si="4"/>
        <v>246820.30174137501</v>
      </c>
      <c r="M22" s="91">
        <f t="shared" si="4"/>
        <v>246820.30174137501</v>
      </c>
      <c r="N22" s="91">
        <f t="shared" si="4"/>
        <v>296820.30174137501</v>
      </c>
      <c r="O22" s="91">
        <f t="shared" si="3"/>
        <v>2863512.5817591674</v>
      </c>
      <c r="P22" s="68"/>
      <c r="Q22" s="69"/>
      <c r="R22" s="69"/>
      <c r="S22" s="69"/>
      <c r="T22" s="70"/>
      <c r="U22" s="69"/>
      <c r="V22" s="69"/>
      <c r="W22" s="69"/>
      <c r="X22" s="69"/>
      <c r="Y22" s="69"/>
      <c r="Z22" s="69"/>
    </row>
    <row r="23" spans="1:26" ht="30" customHeight="1" x14ac:dyDescent="0.2">
      <c r="A23" s="71" t="s">
        <v>98</v>
      </c>
      <c r="B23" s="72" t="s">
        <v>99</v>
      </c>
      <c r="C23" s="90">
        <v>296252.97473834211</v>
      </c>
      <c r="D23" s="90">
        <v>304252.97473834211</v>
      </c>
      <c r="E23" s="90">
        <v>319852.97473834211</v>
      </c>
      <c r="F23" s="90">
        <v>328529.46846455114</v>
      </c>
      <c r="G23" s="90">
        <v>325701.25321102183</v>
      </c>
      <c r="H23" s="90">
        <v>185221.65952095689</v>
      </c>
      <c r="I23" s="90">
        <v>169072.94952095687</v>
      </c>
      <c r="J23" s="90">
        <v>169605.07452046714</v>
      </c>
      <c r="K23" s="90">
        <v>114449.88420050427</v>
      </c>
      <c r="L23" s="90">
        <f>114449.884200504+200000</f>
        <v>314449.88420050399</v>
      </c>
      <c r="M23" s="90">
        <f>106599.884200504+200000</f>
        <v>306599.88420050399</v>
      </c>
      <c r="N23" s="90">
        <f>65998.3851+150000</f>
        <v>215998.38510000001</v>
      </c>
      <c r="O23" s="75">
        <f t="shared" si="3"/>
        <v>3049987.3671544925</v>
      </c>
      <c r="P23" s="68"/>
      <c r="Q23" s="69"/>
      <c r="R23" s="69"/>
      <c r="S23" s="69"/>
      <c r="T23" s="70"/>
      <c r="U23" s="69"/>
      <c r="V23" s="69"/>
      <c r="W23" s="69"/>
      <c r="X23" s="69"/>
      <c r="Y23" s="69"/>
      <c r="Z23" s="69"/>
    </row>
    <row r="24" spans="1:26" ht="30" customHeight="1" x14ac:dyDescent="0.2">
      <c r="A24" s="71" t="s">
        <v>100</v>
      </c>
      <c r="B24" s="72" t="s">
        <v>101</v>
      </c>
      <c r="C24" s="90">
        <v>0</v>
      </c>
      <c r="D24" s="90">
        <v>0</v>
      </c>
      <c r="E24" s="90">
        <v>0</v>
      </c>
      <c r="F24" s="90">
        <v>0</v>
      </c>
      <c r="G24" s="90">
        <v>0</v>
      </c>
      <c r="H24" s="90">
        <v>0</v>
      </c>
      <c r="I24" s="90">
        <v>0</v>
      </c>
      <c r="J24" s="90">
        <v>0</v>
      </c>
      <c r="K24" s="90">
        <v>0</v>
      </c>
      <c r="L24" s="90">
        <v>0</v>
      </c>
      <c r="M24" s="90">
        <v>0</v>
      </c>
      <c r="N24" s="90">
        <v>0</v>
      </c>
      <c r="O24" s="75">
        <f t="shared" si="3"/>
        <v>0</v>
      </c>
      <c r="P24" s="68"/>
      <c r="Q24" s="69"/>
      <c r="R24" s="69"/>
      <c r="S24" s="69"/>
      <c r="T24" s="70"/>
      <c r="U24" s="69"/>
      <c r="V24" s="69"/>
      <c r="W24" s="69"/>
      <c r="X24" s="69"/>
      <c r="Y24" s="69"/>
      <c r="Z24" s="69"/>
    </row>
    <row r="25" spans="1:26" ht="30" customHeight="1" x14ac:dyDescent="0.2">
      <c r="A25" s="92" t="s">
        <v>102</v>
      </c>
      <c r="B25" s="93" t="s">
        <v>57</v>
      </c>
      <c r="C25" s="94">
        <v>0</v>
      </c>
      <c r="D25" s="94">
        <v>0</v>
      </c>
      <c r="E25" s="94">
        <v>0</v>
      </c>
      <c r="F25" s="94">
        <v>0</v>
      </c>
      <c r="G25" s="94">
        <v>0</v>
      </c>
      <c r="H25" s="94">
        <v>0</v>
      </c>
      <c r="I25" s="94">
        <v>0</v>
      </c>
      <c r="J25" s="94">
        <v>0</v>
      </c>
      <c r="K25" s="94">
        <v>0</v>
      </c>
      <c r="L25" s="94">
        <v>0</v>
      </c>
      <c r="M25" s="94">
        <v>0</v>
      </c>
      <c r="N25" s="94">
        <v>0</v>
      </c>
      <c r="O25" s="95">
        <f t="shared" si="3"/>
        <v>0</v>
      </c>
      <c r="P25" s="68"/>
      <c r="Q25" s="69"/>
      <c r="R25" s="69"/>
      <c r="S25" s="69"/>
      <c r="T25" s="70"/>
      <c r="U25" s="69"/>
      <c r="V25" s="69"/>
      <c r="W25" s="69"/>
      <c r="X25" s="69"/>
      <c r="Y25" s="69"/>
      <c r="Z25" s="69"/>
    </row>
    <row r="26" spans="1:26" ht="30" customHeight="1" x14ac:dyDescent="0.2">
      <c r="A26" s="77" t="s">
        <v>103</v>
      </c>
      <c r="B26" s="78" t="s">
        <v>104</v>
      </c>
      <c r="C26" s="94">
        <v>0</v>
      </c>
      <c r="D26" s="94">
        <v>0</v>
      </c>
      <c r="E26" s="94">
        <v>0</v>
      </c>
      <c r="F26" s="94">
        <v>0</v>
      </c>
      <c r="G26" s="94">
        <v>0</v>
      </c>
      <c r="H26" s="94">
        <v>0</v>
      </c>
      <c r="I26" s="94">
        <v>0</v>
      </c>
      <c r="J26" s="94">
        <v>0</v>
      </c>
      <c r="K26" s="94">
        <v>0</v>
      </c>
      <c r="L26" s="94">
        <v>0</v>
      </c>
      <c r="M26" s="94">
        <v>0</v>
      </c>
      <c r="N26" s="94">
        <v>4900000</v>
      </c>
      <c r="O26" s="95">
        <f t="shared" si="3"/>
        <v>4900000</v>
      </c>
      <c r="P26" s="68"/>
      <c r="Q26" s="69"/>
      <c r="R26" s="69"/>
      <c r="S26" s="69"/>
      <c r="T26" s="70"/>
      <c r="U26" s="69"/>
      <c r="V26" s="69"/>
      <c r="W26" s="69"/>
      <c r="X26" s="69"/>
      <c r="Y26" s="69"/>
      <c r="Z26" s="69"/>
    </row>
    <row r="27" spans="1:26" ht="30" customHeight="1" thickBot="1" x14ac:dyDescent="0.25">
      <c r="A27" s="96" t="s">
        <v>105</v>
      </c>
      <c r="B27" s="97"/>
      <c r="C27" s="80">
        <f t="shared" ref="C27:N27" si="5">SUM(C22:C25)</f>
        <v>448401.43287038372</v>
      </c>
      <c r="D27" s="80">
        <f t="shared" si="5"/>
        <v>456401.43287038372</v>
      </c>
      <c r="E27" s="80">
        <f t="shared" si="5"/>
        <v>472001.43287038372</v>
      </c>
      <c r="F27" s="80">
        <f t="shared" si="5"/>
        <v>480677.92659659276</v>
      </c>
      <c r="G27" s="80">
        <f t="shared" si="5"/>
        <v>495294.95895239688</v>
      </c>
      <c r="H27" s="80">
        <f t="shared" si="5"/>
        <v>437268.27226233197</v>
      </c>
      <c r="I27" s="80">
        <f t="shared" si="5"/>
        <v>435545.45026233199</v>
      </c>
      <c r="J27" s="80">
        <f t="shared" si="5"/>
        <v>499129.79826184222</v>
      </c>
      <c r="K27" s="80">
        <f t="shared" si="5"/>
        <v>561270.18524187931</v>
      </c>
      <c r="L27" s="80">
        <f t="shared" si="5"/>
        <v>561270.18594187894</v>
      </c>
      <c r="M27" s="80">
        <f t="shared" si="5"/>
        <v>553420.18594187894</v>
      </c>
      <c r="N27" s="80">
        <f t="shared" si="5"/>
        <v>512818.68684137502</v>
      </c>
      <c r="O27" s="80">
        <f t="shared" si="3"/>
        <v>5913499.948913658</v>
      </c>
      <c r="P27" s="68"/>
      <c r="Q27" s="69"/>
      <c r="R27" s="69"/>
      <c r="S27" s="69"/>
      <c r="T27" s="70"/>
      <c r="U27" s="69"/>
      <c r="V27" s="69"/>
      <c r="W27" s="69"/>
      <c r="X27" s="69"/>
      <c r="Y27" s="69"/>
      <c r="Z27" s="69"/>
    </row>
    <row r="28" spans="1:26" s="594" customFormat="1" ht="30" customHeight="1" x14ac:dyDescent="0.2">
      <c r="A28" s="615"/>
      <c r="B28" s="615"/>
      <c r="C28" s="615"/>
      <c r="D28" s="615"/>
      <c r="E28" s="615"/>
      <c r="F28" s="615"/>
      <c r="G28" s="615"/>
      <c r="H28" s="615"/>
      <c r="I28" s="615"/>
      <c r="J28" s="615"/>
      <c r="K28" s="615"/>
      <c r="L28" s="615"/>
      <c r="M28" s="615"/>
      <c r="N28" s="615"/>
      <c r="O28" s="615"/>
      <c r="P28" s="68"/>
      <c r="Q28" s="69"/>
      <c r="R28" s="69"/>
      <c r="S28" s="69"/>
      <c r="T28" s="70"/>
      <c r="U28" s="69"/>
      <c r="V28" s="69"/>
      <c r="W28" s="69"/>
      <c r="X28" s="69"/>
      <c r="Y28" s="69"/>
      <c r="Z28" s="69"/>
    </row>
    <row r="29" spans="1:26" s="594" customFormat="1" ht="30" customHeight="1" x14ac:dyDescent="0.2">
      <c r="A29" s="615"/>
      <c r="B29" s="615"/>
      <c r="C29" s="615"/>
      <c r="D29" s="615"/>
      <c r="E29" s="615"/>
      <c r="F29" s="615"/>
      <c r="G29" s="615"/>
      <c r="H29" s="615"/>
      <c r="I29" s="615"/>
      <c r="J29" s="615"/>
      <c r="K29" s="615"/>
      <c r="L29" s="615"/>
      <c r="M29" s="615"/>
      <c r="N29" s="615"/>
      <c r="O29" s="615"/>
      <c r="P29" s="68"/>
      <c r="Q29" s="69"/>
      <c r="R29" s="69"/>
      <c r="S29" s="69"/>
      <c r="T29" s="70"/>
      <c r="U29" s="69"/>
      <c r="V29" s="69"/>
      <c r="W29" s="69"/>
      <c r="X29" s="69"/>
      <c r="Y29" s="69"/>
      <c r="Z29" s="69"/>
    </row>
    <row r="30" spans="1:26" s="594" customFormat="1" ht="30" customHeight="1" thickBot="1" x14ac:dyDescent="0.25">
      <c r="A30" s="615"/>
      <c r="B30" s="615"/>
      <c r="C30" s="615"/>
      <c r="D30" s="615"/>
      <c r="E30" s="615"/>
      <c r="F30" s="615"/>
      <c r="G30" s="615"/>
      <c r="H30" s="615"/>
      <c r="I30" s="615"/>
      <c r="J30" s="615"/>
      <c r="K30" s="615"/>
      <c r="L30" s="615"/>
      <c r="M30" s="615"/>
      <c r="N30" s="615"/>
      <c r="O30" s="615"/>
      <c r="P30" s="68"/>
      <c r="Q30" s="69"/>
      <c r="R30" s="69"/>
      <c r="S30" s="69"/>
      <c r="T30" s="70"/>
      <c r="U30" s="69"/>
      <c r="V30" s="69"/>
      <c r="W30" s="69"/>
      <c r="X30" s="69"/>
      <c r="Y30" s="69"/>
      <c r="Z30" s="69"/>
    </row>
    <row r="31" spans="1:26" ht="22.5" customHeight="1" thickBot="1" x14ac:dyDescent="0.25">
      <c r="A31" s="98"/>
      <c r="B31" s="99"/>
      <c r="C31" s="75"/>
      <c r="D31" s="75"/>
      <c r="E31" s="75"/>
      <c r="F31" s="75"/>
      <c r="G31" s="75"/>
      <c r="H31" s="75"/>
      <c r="I31" s="75"/>
      <c r="J31" s="75"/>
      <c r="K31" s="75"/>
      <c r="L31" s="75"/>
      <c r="M31" s="75"/>
      <c r="N31" s="75"/>
      <c r="O31" s="75"/>
      <c r="P31" s="75"/>
      <c r="Q31" s="75"/>
      <c r="R31" s="75"/>
      <c r="S31" s="75"/>
      <c r="T31" s="75"/>
      <c r="U31" s="75"/>
      <c r="V31" s="75"/>
      <c r="W31" s="75"/>
      <c r="X31" s="75"/>
      <c r="Y31" s="100"/>
      <c r="Z31" s="75"/>
    </row>
    <row r="32" spans="1:26" ht="12.75" customHeight="1" thickBot="1" x14ac:dyDescent="0.25">
      <c r="A32" s="101"/>
      <c r="B32" s="102"/>
      <c r="C32" s="713" t="s">
        <v>106</v>
      </c>
      <c r="D32" s="714"/>
      <c r="E32" s="714"/>
      <c r="F32" s="714"/>
      <c r="G32" s="714"/>
      <c r="H32" s="714"/>
      <c r="I32" s="714"/>
      <c r="J32" s="714"/>
      <c r="K32" s="714"/>
      <c r="L32" s="714"/>
      <c r="M32" s="714"/>
      <c r="N32" s="714"/>
      <c r="O32" s="706"/>
      <c r="P32" s="103"/>
      <c r="Q32" s="719" t="s">
        <v>107</v>
      </c>
      <c r="R32" s="719" t="s">
        <v>108</v>
      </c>
      <c r="S32" s="75"/>
      <c r="T32" s="75"/>
      <c r="U32" s="75"/>
      <c r="V32" s="75"/>
      <c r="W32" s="75"/>
      <c r="X32" s="75"/>
      <c r="Y32" s="100"/>
      <c r="Z32" s="75"/>
    </row>
    <row r="33" spans="1:26" ht="12.75" customHeight="1" x14ac:dyDescent="0.2">
      <c r="A33" s="720">
        <v>1</v>
      </c>
      <c r="B33" s="721" t="s">
        <v>74</v>
      </c>
      <c r="C33" s="64" t="str">
        <f>Resumo!C4</f>
        <v>Mês 1</v>
      </c>
      <c r="D33" s="64" t="str">
        <f>Resumo!D4</f>
        <v>Mês 2</v>
      </c>
      <c r="E33" s="64" t="str">
        <f>Resumo!E4</f>
        <v>Mês 3</v>
      </c>
      <c r="F33" s="64" t="str">
        <f>Resumo!F4</f>
        <v>Mês 4</v>
      </c>
      <c r="G33" s="64" t="str">
        <f>Resumo!G4</f>
        <v>Mês 5</v>
      </c>
      <c r="H33" s="64" t="str">
        <f>Resumo!H4</f>
        <v>Mês 6</v>
      </c>
      <c r="I33" s="64" t="str">
        <f>Resumo!I4</f>
        <v>Mês 7</v>
      </c>
      <c r="J33" s="64" t="str">
        <f>Resumo!J4</f>
        <v>Mês 8</v>
      </c>
      <c r="K33" s="64" t="str">
        <f>Resumo!K4</f>
        <v>Mês 9</v>
      </c>
      <c r="L33" s="64" t="str">
        <f>Resumo!L4</f>
        <v>Mês 10</v>
      </c>
      <c r="M33" s="64" t="str">
        <f>Resumo!M4</f>
        <v>Mês 11</v>
      </c>
      <c r="N33" s="64" t="str">
        <f>Resumo!N4</f>
        <v>Mês 12</v>
      </c>
      <c r="O33" s="718" t="s">
        <v>75</v>
      </c>
      <c r="P33" s="74"/>
      <c r="Q33" s="703"/>
      <c r="R33" s="703"/>
      <c r="S33" s="69"/>
      <c r="T33" s="69"/>
      <c r="U33" s="69"/>
      <c r="V33" s="69"/>
      <c r="W33" s="69"/>
      <c r="X33" s="69"/>
      <c r="Y33" s="69"/>
      <c r="Z33" s="69"/>
    </row>
    <row r="34" spans="1:26" ht="12.75" customHeight="1" x14ac:dyDescent="0.2">
      <c r="A34" s="703"/>
      <c r="B34" s="722"/>
      <c r="C34" s="65">
        <f>Resumo!C5</f>
        <v>44197</v>
      </c>
      <c r="D34" s="65">
        <f>Resumo!D5</f>
        <v>44228</v>
      </c>
      <c r="E34" s="65">
        <f>Resumo!E5</f>
        <v>44256</v>
      </c>
      <c r="F34" s="65">
        <f>Resumo!F5</f>
        <v>44287</v>
      </c>
      <c r="G34" s="65">
        <f>Resumo!G5</f>
        <v>44317</v>
      </c>
      <c r="H34" s="65">
        <f>Resumo!H5</f>
        <v>44348</v>
      </c>
      <c r="I34" s="65">
        <f>Resumo!I5</f>
        <v>44378</v>
      </c>
      <c r="J34" s="65">
        <f>Resumo!J5</f>
        <v>44409</v>
      </c>
      <c r="K34" s="65">
        <f>Resumo!K5</f>
        <v>44440</v>
      </c>
      <c r="L34" s="65">
        <f>Resumo!L5</f>
        <v>44470</v>
      </c>
      <c r="M34" s="65">
        <f>Resumo!M5</f>
        <v>44501</v>
      </c>
      <c r="N34" s="65">
        <f>Resumo!N5</f>
        <v>44531</v>
      </c>
      <c r="O34" s="703"/>
      <c r="P34" s="74"/>
      <c r="Q34" s="703"/>
      <c r="R34" s="703"/>
      <c r="S34" s="69"/>
      <c r="T34" s="69"/>
      <c r="U34" s="69"/>
      <c r="V34" s="69"/>
      <c r="W34" s="69"/>
      <c r="X34" s="69"/>
      <c r="Y34" s="69"/>
      <c r="Z34" s="69"/>
    </row>
    <row r="35" spans="1:26" ht="12.75" customHeight="1" x14ac:dyDescent="0.2">
      <c r="A35" s="703"/>
      <c r="B35" s="722"/>
      <c r="C35" s="66" t="str">
        <f>Resumo!C6</f>
        <v>a</v>
      </c>
      <c r="D35" s="66" t="str">
        <f>Resumo!D6</f>
        <v>a</v>
      </c>
      <c r="E35" s="66" t="str">
        <f>Resumo!E6</f>
        <v>a</v>
      </c>
      <c r="F35" s="66" t="str">
        <f>Resumo!F6</f>
        <v>a</v>
      </c>
      <c r="G35" s="66" t="str">
        <f>Resumo!G6</f>
        <v>a</v>
      </c>
      <c r="H35" s="66" t="str">
        <f>Resumo!H6</f>
        <v>a</v>
      </c>
      <c r="I35" s="66" t="str">
        <f>Resumo!I6</f>
        <v>a</v>
      </c>
      <c r="J35" s="66" t="str">
        <f>Resumo!J6</f>
        <v>a</v>
      </c>
      <c r="K35" s="66" t="str">
        <f>Resumo!K6</f>
        <v>a</v>
      </c>
      <c r="L35" s="66" t="str">
        <f>Resumo!L6</f>
        <v>a</v>
      </c>
      <c r="M35" s="66" t="str">
        <f>Resumo!M6</f>
        <v>a</v>
      </c>
      <c r="N35" s="66" t="str">
        <f>Resumo!N6</f>
        <v>a</v>
      </c>
      <c r="O35" s="703"/>
      <c r="P35" s="74"/>
      <c r="Q35" s="703"/>
      <c r="R35" s="703"/>
      <c r="S35" s="69"/>
      <c r="T35" s="69"/>
      <c r="U35" s="69"/>
      <c r="V35" s="69"/>
      <c r="W35" s="69"/>
      <c r="X35" s="69"/>
      <c r="Y35" s="69"/>
      <c r="Z35" s="69"/>
    </row>
    <row r="36" spans="1:26" ht="24" customHeight="1" x14ac:dyDescent="0.2">
      <c r="A36" s="716"/>
      <c r="B36" s="723"/>
      <c r="C36" s="67">
        <f>Resumo!C7</f>
        <v>44227</v>
      </c>
      <c r="D36" s="67">
        <f>Resumo!D7</f>
        <v>44255</v>
      </c>
      <c r="E36" s="67">
        <f>Resumo!E7</f>
        <v>44286</v>
      </c>
      <c r="F36" s="67">
        <f>Resumo!F7</f>
        <v>44316</v>
      </c>
      <c r="G36" s="67">
        <f>Resumo!G7</f>
        <v>44347</v>
      </c>
      <c r="H36" s="67">
        <f>Resumo!H7</f>
        <v>44377</v>
      </c>
      <c r="I36" s="67">
        <f>Resumo!I7</f>
        <v>44408</v>
      </c>
      <c r="J36" s="67">
        <f>Resumo!J7</f>
        <v>44439</v>
      </c>
      <c r="K36" s="67">
        <f>Resumo!K7</f>
        <v>44469</v>
      </c>
      <c r="L36" s="67">
        <f>Resumo!L7</f>
        <v>44500</v>
      </c>
      <c r="M36" s="67">
        <f>Resumo!M7</f>
        <v>44530</v>
      </c>
      <c r="N36" s="67">
        <f>Resumo!N7</f>
        <v>44561</v>
      </c>
      <c r="O36" s="716"/>
      <c r="P36" s="74"/>
      <c r="Q36" s="716"/>
      <c r="R36" s="716"/>
      <c r="S36" s="104"/>
      <c r="T36" s="105"/>
      <c r="U36" s="63"/>
      <c r="V36" s="63"/>
      <c r="W36" s="63"/>
      <c r="X36" s="63"/>
      <c r="Y36" s="63"/>
      <c r="Z36" s="63"/>
    </row>
    <row r="37" spans="1:26" ht="39" customHeight="1" x14ac:dyDescent="0.2">
      <c r="A37" s="71" t="s">
        <v>76</v>
      </c>
      <c r="B37" s="72" t="s">
        <v>77</v>
      </c>
      <c r="C37" s="73"/>
      <c r="D37" s="73"/>
      <c r="E37" s="73"/>
      <c r="F37" s="73"/>
      <c r="G37" s="73"/>
      <c r="H37" s="73"/>
      <c r="I37" s="73"/>
      <c r="J37" s="73"/>
      <c r="K37" s="73"/>
      <c r="L37" s="73"/>
      <c r="M37" s="73"/>
      <c r="N37" s="73"/>
      <c r="O37" s="73"/>
      <c r="P37" s="73"/>
      <c r="Q37" s="74"/>
      <c r="R37" s="74"/>
      <c r="S37" s="69"/>
      <c r="T37" s="70"/>
      <c r="U37" s="69"/>
      <c r="V37" s="69"/>
      <c r="W37" s="69"/>
      <c r="X37" s="69"/>
      <c r="Y37" s="69"/>
      <c r="Z37" s="69"/>
    </row>
    <row r="38" spans="1:26" ht="30" customHeight="1" x14ac:dyDescent="0.2">
      <c r="A38" s="71" t="s">
        <v>78</v>
      </c>
      <c r="B38" s="72" t="s">
        <v>79</v>
      </c>
      <c r="C38" s="73">
        <f>'Analítico Cp.'!C11</f>
        <v>0</v>
      </c>
      <c r="D38" s="73">
        <f>'Analítico Cp.'!D11</f>
        <v>1857482.23</v>
      </c>
      <c r="E38" s="73">
        <f>'Analítico Cp.'!E11</f>
        <v>0</v>
      </c>
      <c r="F38" s="73">
        <f>'Analítico Cp.'!F11</f>
        <v>0</v>
      </c>
      <c r="G38" s="73">
        <f>'Analítico Cp.'!G11</f>
        <v>1368108.6800000002</v>
      </c>
      <c r="H38" s="73">
        <f>'Analítico Cp.'!H11</f>
        <v>0</v>
      </c>
      <c r="I38" s="73">
        <f>'Analítico Cp.'!I11</f>
        <v>0</v>
      </c>
      <c r="J38" s="73">
        <f>'Analítico Cp.'!J11</f>
        <v>1194737.1000000001</v>
      </c>
      <c r="K38" s="73">
        <f>'Analítico Cp.'!K11</f>
        <v>0</v>
      </c>
      <c r="L38" s="73">
        <f>'Analítico Cp.'!L11</f>
        <v>0</v>
      </c>
      <c r="M38" s="73">
        <f>'Analítico Cp.'!M11</f>
        <v>1066238.8700000001</v>
      </c>
      <c r="N38" s="73">
        <f>'Analítico Cp.'!N11</f>
        <v>0</v>
      </c>
      <c r="O38" s="75">
        <f t="shared" ref="O38:O42" si="6">SUM(C38:N38)</f>
        <v>5486566.8799999999</v>
      </c>
      <c r="P38" s="73"/>
      <c r="Q38" s="106">
        <f>IF(O10=0,"-",O38/O10)</f>
        <v>1.0000000006042387</v>
      </c>
      <c r="R38" s="73">
        <f>O10-O38</f>
        <v>-3.3151954412460327E-3</v>
      </c>
      <c r="S38" s="15"/>
      <c r="T38" s="70"/>
      <c r="U38" s="69"/>
      <c r="V38" s="69"/>
      <c r="W38" s="69"/>
      <c r="X38" s="69"/>
      <c r="Y38" s="69"/>
      <c r="Z38" s="69"/>
    </row>
    <row r="39" spans="1:26" ht="30" customHeight="1" x14ac:dyDescent="0.2">
      <c r="A39" s="71" t="s">
        <v>80</v>
      </c>
      <c r="B39" s="72" t="s">
        <v>81</v>
      </c>
      <c r="C39" s="73">
        <f>'Analítico Cp.'!C12</f>
        <v>0</v>
      </c>
      <c r="D39" s="73">
        <f>'Analítico Cp.'!D12</f>
        <v>0</v>
      </c>
      <c r="E39" s="73">
        <f>'Analítico Cp.'!E12</f>
        <v>0</v>
      </c>
      <c r="F39" s="73">
        <f>'Analítico Cp.'!F12</f>
        <v>0</v>
      </c>
      <c r="G39" s="73">
        <f>'Analítico Cp.'!G12</f>
        <v>0</v>
      </c>
      <c r="H39" s="73">
        <f>'Analítico Cp.'!H12</f>
        <v>4000</v>
      </c>
      <c r="I39" s="73">
        <f>'Analítico Cp.'!I12</f>
        <v>0</v>
      </c>
      <c r="J39" s="73">
        <f>'Analítico Cp.'!J12</f>
        <v>0</v>
      </c>
      <c r="K39" s="73">
        <f>'Analítico Cp.'!K12</f>
        <v>2163795.0099999998</v>
      </c>
      <c r="L39" s="73">
        <f>'Analítico Cp.'!L12</f>
        <v>1134000</v>
      </c>
      <c r="M39" s="73">
        <f>'Analítico Cp.'!M12</f>
        <v>1000000</v>
      </c>
      <c r="N39" s="73">
        <f>'Analítico Cp.'!N12</f>
        <v>2094057.4</v>
      </c>
      <c r="O39" s="75">
        <f t="shared" si="6"/>
        <v>6395852.4100000001</v>
      </c>
      <c r="P39" s="73"/>
      <c r="Q39" s="106">
        <f>IF(O11=0,"-",O39/O11)</f>
        <v>1.3052760020408163</v>
      </c>
      <c r="R39" s="73">
        <f>O11-O39</f>
        <v>-1495852.4100000001</v>
      </c>
      <c r="S39" s="15"/>
      <c r="T39" s="70"/>
      <c r="U39" s="69"/>
      <c r="V39" s="69"/>
      <c r="W39" s="69"/>
      <c r="X39" s="69"/>
      <c r="Y39" s="69"/>
      <c r="Z39" s="69"/>
    </row>
    <row r="40" spans="1:26" ht="20.25" customHeight="1" x14ac:dyDescent="0.2">
      <c r="A40" s="71" t="s">
        <v>82</v>
      </c>
      <c r="B40" s="72" t="s">
        <v>83</v>
      </c>
      <c r="C40" s="76">
        <f>'Analítico Cp.'!C13</f>
        <v>0</v>
      </c>
      <c r="D40" s="76">
        <f>'Analítico Cp.'!D13</f>
        <v>0</v>
      </c>
      <c r="E40" s="76">
        <f>'Analítico Cp.'!E13</f>
        <v>0</v>
      </c>
      <c r="F40" s="76">
        <f>'Analítico Cp.'!F13</f>
        <v>0</v>
      </c>
      <c r="G40" s="76">
        <f>'Analítico Cp.'!G13</f>
        <v>0</v>
      </c>
      <c r="H40" s="76">
        <f>'Analítico Cp.'!H13</f>
        <v>0</v>
      </c>
      <c r="I40" s="76">
        <f>'Analítico Cp.'!I13</f>
        <v>5040</v>
      </c>
      <c r="J40" s="76">
        <f>'Analítico Cp.'!J13</f>
        <v>0</v>
      </c>
      <c r="K40" s="76">
        <f>'Analítico Cp.'!K13</f>
        <v>0</v>
      </c>
      <c r="L40" s="76">
        <f>'Analítico Cp.'!L13</f>
        <v>560</v>
      </c>
      <c r="M40" s="76">
        <f>'Analítico Cp.'!M13</f>
        <v>0</v>
      </c>
      <c r="N40" s="76">
        <f>'Analítico Cp.'!N13</f>
        <v>0</v>
      </c>
      <c r="O40" s="107">
        <f t="shared" si="6"/>
        <v>5600</v>
      </c>
      <c r="P40" s="73"/>
      <c r="Q40" s="108" t="str">
        <f>IF(O12=0,"-",O40/O12)</f>
        <v>-</v>
      </c>
      <c r="R40" s="76">
        <f>O12-O40</f>
        <v>-5600</v>
      </c>
      <c r="S40" s="69"/>
      <c r="T40" s="70"/>
      <c r="U40" s="69"/>
      <c r="V40" s="69"/>
      <c r="W40" s="69"/>
      <c r="X40" s="69"/>
      <c r="Y40" s="69"/>
      <c r="Z40" s="69"/>
    </row>
    <row r="41" spans="1:26" ht="30" customHeight="1" x14ac:dyDescent="0.2">
      <c r="A41" s="77" t="s">
        <v>84</v>
      </c>
      <c r="B41" s="78" t="s">
        <v>85</v>
      </c>
      <c r="C41" s="73">
        <f>'Analítico Cp.'!C14</f>
        <v>578.86</v>
      </c>
      <c r="D41" s="73">
        <f>'Analítico Cp.'!D14</f>
        <v>298.95999999999998</v>
      </c>
      <c r="E41" s="73">
        <f>'Analítico Cp.'!E14</f>
        <v>389.71</v>
      </c>
      <c r="F41" s="73">
        <f>'Analítico Cp.'!F14</f>
        <v>1871.62</v>
      </c>
      <c r="G41" s="73">
        <f>'Analítico Cp.'!G14</f>
        <v>3380.59</v>
      </c>
      <c r="H41" s="73">
        <f>'Analítico Cp.'!H14</f>
        <v>5157.97</v>
      </c>
      <c r="I41" s="73">
        <f>'Analítico Cp.'!I14</f>
        <v>5875.41</v>
      </c>
      <c r="J41" s="73">
        <f>'Analítico Cp.'!J14</f>
        <v>6808.64</v>
      </c>
      <c r="K41" s="73">
        <f>'Analítico Cp.'!K14</f>
        <v>8411.84</v>
      </c>
      <c r="L41" s="73">
        <f>'Analítico Cp.'!L14</f>
        <v>7658.55</v>
      </c>
      <c r="M41" s="73">
        <f>'Analítico Cp.'!M14</f>
        <v>10604.1</v>
      </c>
      <c r="N41" s="73">
        <f>'Analítico Cp.'!N14</f>
        <v>10510.86</v>
      </c>
      <c r="O41" s="75">
        <f t="shared" si="6"/>
        <v>61547.11</v>
      </c>
      <c r="P41" s="73"/>
      <c r="Q41" s="106" t="str">
        <f>IF(O13=0,"-",O41/O13)</f>
        <v>-</v>
      </c>
      <c r="R41" s="73">
        <f>O13-O41</f>
        <v>-61547.11</v>
      </c>
      <c r="S41" s="69"/>
      <c r="T41" s="70"/>
      <c r="U41" s="69"/>
      <c r="V41" s="69"/>
      <c r="W41" s="69"/>
      <c r="X41" s="69"/>
      <c r="Y41" s="69"/>
      <c r="Z41" s="69"/>
    </row>
    <row r="42" spans="1:26" ht="30" customHeight="1" x14ac:dyDescent="0.2">
      <c r="A42" s="705" t="s">
        <v>86</v>
      </c>
      <c r="B42" s="706"/>
      <c r="C42" s="80">
        <f t="shared" ref="C42:N42" si="7">SUM(C38:C41)</f>
        <v>578.86</v>
      </c>
      <c r="D42" s="80">
        <f t="shared" si="7"/>
        <v>1857781.19</v>
      </c>
      <c r="E42" s="80">
        <f t="shared" si="7"/>
        <v>389.71</v>
      </c>
      <c r="F42" s="80">
        <f t="shared" si="7"/>
        <v>1871.62</v>
      </c>
      <c r="G42" s="80">
        <f t="shared" si="7"/>
        <v>1371489.2700000003</v>
      </c>
      <c r="H42" s="80">
        <f t="shared" si="7"/>
        <v>9157.9700000000012</v>
      </c>
      <c r="I42" s="80">
        <f t="shared" si="7"/>
        <v>10915.41</v>
      </c>
      <c r="J42" s="80">
        <f t="shared" si="7"/>
        <v>1201545.74</v>
      </c>
      <c r="K42" s="80">
        <f t="shared" si="7"/>
        <v>2172206.8499999996</v>
      </c>
      <c r="L42" s="80">
        <f t="shared" si="7"/>
        <v>1142218.55</v>
      </c>
      <c r="M42" s="80">
        <f t="shared" si="7"/>
        <v>2076842.9700000002</v>
      </c>
      <c r="N42" s="80">
        <f t="shared" si="7"/>
        <v>2104568.2599999998</v>
      </c>
      <c r="O42" s="80">
        <f t="shared" si="6"/>
        <v>11949566.4</v>
      </c>
      <c r="P42" s="75"/>
      <c r="Q42" s="109">
        <f>IF(O14=0,"-",O42/O14)</f>
        <v>1.1504827862634508</v>
      </c>
      <c r="R42" s="80">
        <f>O14-O42</f>
        <v>-1562999.5233151969</v>
      </c>
      <c r="S42" s="69"/>
      <c r="T42" s="70"/>
      <c r="U42" s="69"/>
      <c r="V42" s="69"/>
      <c r="W42" s="69"/>
      <c r="X42" s="69"/>
      <c r="Y42" s="69"/>
      <c r="Z42" s="69"/>
    </row>
    <row r="43" spans="1:26" ht="12" customHeight="1" x14ac:dyDescent="0.2">
      <c r="A43" s="81"/>
      <c r="B43" s="82"/>
      <c r="C43" s="83"/>
      <c r="D43" s="83"/>
      <c r="E43" s="83"/>
      <c r="F43" s="83"/>
      <c r="G43" s="83"/>
      <c r="H43" s="83"/>
      <c r="I43" s="83"/>
      <c r="J43" s="83"/>
      <c r="K43" s="83"/>
      <c r="L43" s="83"/>
      <c r="M43" s="83"/>
      <c r="N43" s="83"/>
      <c r="O43" s="83"/>
      <c r="P43" s="110"/>
      <c r="Q43" s="83"/>
      <c r="R43" s="83"/>
      <c r="S43" s="69"/>
      <c r="T43" s="70"/>
      <c r="U43" s="69"/>
      <c r="V43" s="69"/>
      <c r="W43" s="69"/>
      <c r="X43" s="69"/>
      <c r="Y43" s="69"/>
      <c r="Z43" s="69"/>
    </row>
    <row r="44" spans="1:26" ht="30" customHeight="1" x14ac:dyDescent="0.2">
      <c r="A44" s="84">
        <v>2</v>
      </c>
      <c r="B44" s="85" t="s">
        <v>87</v>
      </c>
      <c r="C44" s="86" t="str">
        <f t="shared" ref="C44:O44" si="8">C33</f>
        <v>Mês 1</v>
      </c>
      <c r="D44" s="86" t="str">
        <f t="shared" si="8"/>
        <v>Mês 2</v>
      </c>
      <c r="E44" s="86" t="str">
        <f t="shared" si="8"/>
        <v>Mês 3</v>
      </c>
      <c r="F44" s="86" t="str">
        <f t="shared" si="8"/>
        <v>Mês 4</v>
      </c>
      <c r="G44" s="86" t="str">
        <f t="shared" si="8"/>
        <v>Mês 5</v>
      </c>
      <c r="H44" s="86" t="str">
        <f t="shared" si="8"/>
        <v>Mês 6</v>
      </c>
      <c r="I44" s="86" t="str">
        <f t="shared" si="8"/>
        <v>Mês 7</v>
      </c>
      <c r="J44" s="86" t="str">
        <f t="shared" si="8"/>
        <v>Mês 8</v>
      </c>
      <c r="K44" s="86" t="str">
        <f t="shared" si="8"/>
        <v>Mês 9</v>
      </c>
      <c r="L44" s="86" t="str">
        <f t="shared" si="8"/>
        <v>Mês 10</v>
      </c>
      <c r="M44" s="86" t="str">
        <f t="shared" si="8"/>
        <v>Mês 11</v>
      </c>
      <c r="N44" s="86" t="str">
        <f t="shared" si="8"/>
        <v>Mês 12</v>
      </c>
      <c r="O44" s="86" t="str">
        <f t="shared" si="8"/>
        <v>TOTAL</v>
      </c>
      <c r="P44" s="64"/>
      <c r="Q44" s="87" t="str">
        <f t="shared" ref="Q44:R44" si="9">Q32</f>
        <v>Realizado
(/) Previsto</v>
      </c>
      <c r="R44" s="87" t="str">
        <f t="shared" si="9"/>
        <v>Previsto
(-) Realizado</v>
      </c>
      <c r="S44" s="63"/>
      <c r="T44" s="111"/>
      <c r="U44" s="63"/>
      <c r="V44" s="63"/>
      <c r="W44" s="63"/>
      <c r="X44" s="63"/>
      <c r="Y44" s="63"/>
      <c r="Z44" s="63"/>
    </row>
    <row r="45" spans="1:26" ht="21" customHeight="1" x14ac:dyDescent="0.2">
      <c r="A45" s="71" t="s">
        <v>84</v>
      </c>
      <c r="B45" s="72" t="s">
        <v>88</v>
      </c>
      <c r="C45" s="88"/>
      <c r="D45" s="88"/>
      <c r="E45" s="88"/>
      <c r="F45" s="88"/>
      <c r="G45" s="88"/>
      <c r="H45" s="88"/>
      <c r="I45" s="88"/>
      <c r="J45" s="88"/>
      <c r="K45" s="88"/>
      <c r="L45" s="88"/>
      <c r="M45" s="88"/>
      <c r="N45" s="88"/>
      <c r="O45" s="88"/>
      <c r="P45" s="88"/>
      <c r="Q45" s="88"/>
      <c r="R45" s="88"/>
      <c r="S45" s="69"/>
      <c r="T45" s="70"/>
      <c r="U45" s="69"/>
      <c r="V45" s="69"/>
      <c r="W45" s="69"/>
      <c r="X45" s="69"/>
      <c r="Y45" s="69"/>
      <c r="Z45" s="69"/>
    </row>
    <row r="46" spans="1:26" ht="30" customHeight="1" x14ac:dyDescent="0.2">
      <c r="A46" s="89" t="s">
        <v>89</v>
      </c>
      <c r="B46" s="72" t="s">
        <v>90</v>
      </c>
      <c r="C46" s="73">
        <f>'Analítico Cp.'!C25</f>
        <v>64889.54</v>
      </c>
      <c r="D46" s="73">
        <f>'Analítico Cp.'!D25</f>
        <v>80949.789999999994</v>
      </c>
      <c r="E46" s="73">
        <f>'Analítico Cp.'!E25</f>
        <v>81215.559999999983</v>
      </c>
      <c r="F46" s="73">
        <f>'Analítico Cp.'!F25</f>
        <v>79743.62</v>
      </c>
      <c r="G46" s="73">
        <f>'Analítico Cp.'!G25</f>
        <v>82285.289999999994</v>
      </c>
      <c r="H46" s="73">
        <f>'Analítico Cp.'!H25</f>
        <v>86174.99</v>
      </c>
      <c r="I46" s="73">
        <f>'Analítico Cp.'!I25</f>
        <v>115844.59000000008</v>
      </c>
      <c r="J46" s="73">
        <f>'Analítico Cp.'!J25</f>
        <v>157051.48000000007</v>
      </c>
      <c r="K46" s="73">
        <f>'Analítico Cp.'!K25</f>
        <v>159017.69000000003</v>
      </c>
      <c r="L46" s="73">
        <f>'Analítico Cp.'!L25</f>
        <v>186292.10000000006</v>
      </c>
      <c r="M46" s="73">
        <f>'Analítico Cp.'!M25</f>
        <v>210719.53000000003</v>
      </c>
      <c r="N46" s="73">
        <f>'Analítico Cp.'!N25</f>
        <v>192276.21</v>
      </c>
      <c r="O46" s="75">
        <f t="shared" ref="O46:O55" si="10">SUM(C46:N46)</f>
        <v>1496460.3900000001</v>
      </c>
      <c r="P46" s="73"/>
      <c r="Q46" s="112">
        <f t="shared" ref="Q46:Q55" si="11">IF(O18=0,"-",O46/O18)</f>
        <v>1.2038055204131277</v>
      </c>
      <c r="R46" s="73">
        <f t="shared" ref="R46:R55" si="12">O18-O46</f>
        <v>-253352.29269999964</v>
      </c>
      <c r="S46" s="69"/>
      <c r="T46" s="70"/>
      <c r="U46" s="69"/>
      <c r="V46" s="69"/>
      <c r="W46" s="69"/>
      <c r="X46" s="69"/>
      <c r="Y46" s="69"/>
      <c r="Z46" s="69"/>
    </row>
    <row r="47" spans="1:26" ht="30" customHeight="1" x14ac:dyDescent="0.2">
      <c r="A47" s="89" t="s">
        <v>91</v>
      </c>
      <c r="B47" s="72" t="s">
        <v>92</v>
      </c>
      <c r="C47" s="73">
        <f>'Analítico Cp.'!C29</f>
        <v>0</v>
      </c>
      <c r="D47" s="73">
        <f>'Analítico Cp.'!D29</f>
        <v>0</v>
      </c>
      <c r="E47" s="73">
        <f>'Analítico Cp.'!E29</f>
        <v>0</v>
      </c>
      <c r="F47" s="73">
        <f>'Analítico Cp.'!F29</f>
        <v>0</v>
      </c>
      <c r="G47" s="73">
        <f>'Analítico Cp.'!G29</f>
        <v>0</v>
      </c>
      <c r="H47" s="73">
        <f>'Analítico Cp.'!H29</f>
        <v>0</v>
      </c>
      <c r="I47" s="73">
        <f>'Analítico Cp.'!I29</f>
        <v>0</v>
      </c>
      <c r="J47" s="73">
        <f>'Analítico Cp.'!J29</f>
        <v>0</v>
      </c>
      <c r="K47" s="73">
        <f>'Analítico Cp.'!K29</f>
        <v>0</v>
      </c>
      <c r="L47" s="73">
        <f>'Analítico Cp.'!L29</f>
        <v>0</v>
      </c>
      <c r="M47" s="73">
        <f>'Analítico Cp.'!M29</f>
        <v>0</v>
      </c>
      <c r="N47" s="73">
        <f>'Analítico Cp.'!N29</f>
        <v>0</v>
      </c>
      <c r="O47" s="75">
        <f t="shared" si="10"/>
        <v>0</v>
      </c>
      <c r="P47" s="73"/>
      <c r="Q47" s="112" t="str">
        <f t="shared" si="11"/>
        <v>-</v>
      </c>
      <c r="R47" s="73">
        <f t="shared" si="12"/>
        <v>0</v>
      </c>
      <c r="S47" s="69"/>
      <c r="T47" s="70"/>
      <c r="U47" s="69"/>
      <c r="V47" s="69"/>
      <c r="W47" s="69"/>
      <c r="X47" s="69"/>
      <c r="Y47" s="69"/>
      <c r="Z47" s="69"/>
    </row>
    <row r="48" spans="1:26" ht="30" customHeight="1" x14ac:dyDescent="0.2">
      <c r="A48" s="89" t="s">
        <v>93</v>
      </c>
      <c r="B48" s="72" t="s">
        <v>94</v>
      </c>
      <c r="C48" s="73">
        <f>'Analítico Cp.'!C43</f>
        <v>51608.343261800444</v>
      </c>
      <c r="D48" s="73">
        <f>'Analítico Cp.'!D43</f>
        <v>61934.141942263741</v>
      </c>
      <c r="E48" s="73">
        <f>'Analítico Cp.'!E43</f>
        <v>51167.54970084579</v>
      </c>
      <c r="F48" s="73">
        <f>'Analítico Cp.'!F43</f>
        <v>52325.507434179082</v>
      </c>
      <c r="G48" s="73">
        <f>'Analítico Cp.'!G43</f>
        <v>55207.072651464412</v>
      </c>
      <c r="H48" s="73">
        <f>'Analítico Cp.'!H43</f>
        <v>60927.280487500044</v>
      </c>
      <c r="I48" s="73">
        <f>'Analítico Cp.'!I43</f>
        <v>81399.225907979955</v>
      </c>
      <c r="J48" s="73">
        <f>'Analítico Cp.'!J43</f>
        <v>102889.95845171624</v>
      </c>
      <c r="K48" s="73">
        <f>'Analítico Cp.'!K43</f>
        <v>103983.52756973462</v>
      </c>
      <c r="L48" s="73">
        <f>'Analítico Cp.'!L43</f>
        <v>128423.12541686792</v>
      </c>
      <c r="M48" s="73">
        <f>'Analítico Cp.'!M43</f>
        <v>121689.5785700054</v>
      </c>
      <c r="N48" s="73">
        <f>'Analítico Cp.'!N43</f>
        <v>128860.29617538443</v>
      </c>
      <c r="O48" s="75">
        <f t="shared" si="10"/>
        <v>1000415.607569742</v>
      </c>
      <c r="P48" s="73"/>
      <c r="Q48" s="112">
        <f t="shared" si="11"/>
        <v>0.85831263825102611</v>
      </c>
      <c r="R48" s="73">
        <f t="shared" si="12"/>
        <v>165145.24168942473</v>
      </c>
      <c r="S48" s="69"/>
      <c r="T48" s="70"/>
      <c r="U48" s="69"/>
      <c r="V48" s="69"/>
      <c r="W48" s="69"/>
      <c r="X48" s="69"/>
      <c r="Y48" s="69"/>
      <c r="Z48" s="69"/>
    </row>
    <row r="49" spans="1:26" ht="21" customHeight="1" x14ac:dyDescent="0.2">
      <c r="A49" s="89" t="s">
        <v>95</v>
      </c>
      <c r="B49" s="72" t="s">
        <v>96</v>
      </c>
      <c r="C49" s="73">
        <f>'Analítico Cp.'!C52</f>
        <v>13794.710000000001</v>
      </c>
      <c r="D49" s="73">
        <f>'Analítico Cp.'!D52</f>
        <v>14402.880000000001</v>
      </c>
      <c r="E49" s="73">
        <f>'Analítico Cp.'!E52</f>
        <v>14748.599999999999</v>
      </c>
      <c r="F49" s="73">
        <f>'Analítico Cp.'!F52</f>
        <v>14234.279999999999</v>
      </c>
      <c r="G49" s="73">
        <f>'Analítico Cp.'!G52</f>
        <v>14285.749999999998</v>
      </c>
      <c r="H49" s="73">
        <f>'Analítico Cp.'!H52</f>
        <v>15068.66</v>
      </c>
      <c r="I49" s="73">
        <f>'Analítico Cp.'!I52</f>
        <v>31503.530000000002</v>
      </c>
      <c r="J49" s="73">
        <f>'Analítico Cp.'!J52</f>
        <v>34017.98000000001</v>
      </c>
      <c r="K49" s="73">
        <f>'Analítico Cp.'!K52</f>
        <v>42465.58</v>
      </c>
      <c r="L49" s="73">
        <f>'Analítico Cp.'!L52</f>
        <v>54420.24</v>
      </c>
      <c r="M49" s="73">
        <f>'Analítico Cp.'!M52</f>
        <v>55588.909999999996</v>
      </c>
      <c r="N49" s="73">
        <f>'Analítico Cp.'!N52</f>
        <v>55437.159999999996</v>
      </c>
      <c r="O49" s="75">
        <f t="shared" si="10"/>
        <v>359968.27999999997</v>
      </c>
      <c r="P49" s="73"/>
      <c r="Q49" s="112">
        <f t="shared" si="11"/>
        <v>0.79141105237565401</v>
      </c>
      <c r="R49" s="73">
        <f t="shared" si="12"/>
        <v>94875.355199999933</v>
      </c>
      <c r="S49" s="69"/>
      <c r="T49" s="70"/>
      <c r="U49" s="69"/>
      <c r="V49" s="69"/>
      <c r="W49" s="69"/>
      <c r="X49" s="69"/>
      <c r="Y49" s="69"/>
      <c r="Z49" s="69"/>
    </row>
    <row r="50" spans="1:26" ht="30" customHeight="1" x14ac:dyDescent="0.2">
      <c r="A50" s="707" t="s">
        <v>97</v>
      </c>
      <c r="B50" s="708"/>
      <c r="C50" s="91">
        <f t="shared" ref="C50:N50" si="13">SUM(C46:C49)</f>
        <v>130292.59326180046</v>
      </c>
      <c r="D50" s="91">
        <f t="shared" si="13"/>
        <v>157286.81194226374</v>
      </c>
      <c r="E50" s="91">
        <f t="shared" si="13"/>
        <v>147131.70970084579</v>
      </c>
      <c r="F50" s="91">
        <f t="shared" si="13"/>
        <v>146303.40743417907</v>
      </c>
      <c r="G50" s="91">
        <f t="shared" si="13"/>
        <v>151778.11265146441</v>
      </c>
      <c r="H50" s="91">
        <f t="shared" si="13"/>
        <v>162170.93048750007</v>
      </c>
      <c r="I50" s="91">
        <f t="shared" si="13"/>
        <v>228747.34590798002</v>
      </c>
      <c r="J50" s="91">
        <f t="shared" si="13"/>
        <v>293959.41845171631</v>
      </c>
      <c r="K50" s="91">
        <f t="shared" si="13"/>
        <v>305466.79756973468</v>
      </c>
      <c r="L50" s="91">
        <f t="shared" si="13"/>
        <v>369135.46541686798</v>
      </c>
      <c r="M50" s="91">
        <f t="shared" si="13"/>
        <v>387998.01857000537</v>
      </c>
      <c r="N50" s="91">
        <f t="shared" si="13"/>
        <v>376573.66617538437</v>
      </c>
      <c r="O50" s="91">
        <f t="shared" si="10"/>
        <v>2856844.2775697424</v>
      </c>
      <c r="P50" s="75"/>
      <c r="Q50" s="113">
        <f t="shared" si="11"/>
        <v>0.99767128517894332</v>
      </c>
      <c r="R50" s="114">
        <f t="shared" si="12"/>
        <v>6668.3041894249618</v>
      </c>
      <c r="S50" s="69"/>
      <c r="T50" s="70"/>
      <c r="U50" s="69"/>
      <c r="V50" s="69"/>
      <c r="W50" s="69"/>
      <c r="X50" s="69"/>
      <c r="Y50" s="69"/>
      <c r="Z50" s="69"/>
    </row>
    <row r="51" spans="1:26" ht="30" customHeight="1" x14ac:dyDescent="0.2">
      <c r="A51" s="71" t="s">
        <v>98</v>
      </c>
      <c r="B51" s="72" t="s">
        <v>99</v>
      </c>
      <c r="C51" s="73">
        <f>'Analítico Cp.'!C145</f>
        <v>167571.92999999996</v>
      </c>
      <c r="D51" s="73">
        <f>'Analítico Cp.'!D145</f>
        <v>165826.86000000002</v>
      </c>
      <c r="E51" s="73">
        <f>'Analítico Cp.'!E145</f>
        <v>155470.86900000001</v>
      </c>
      <c r="F51" s="73">
        <f>'Analítico Cp.'!F145</f>
        <v>256655.88</v>
      </c>
      <c r="G51" s="73">
        <f>'Analítico Cp.'!G145</f>
        <v>282232.11999999994</v>
      </c>
      <c r="H51" s="73">
        <f>'Analítico Cp.'!H145</f>
        <v>397692.97000000003</v>
      </c>
      <c r="I51" s="73">
        <f>'Analítico Cp.'!I145</f>
        <v>286842.91000000003</v>
      </c>
      <c r="J51" s="73">
        <f>'Analítico Cp.'!J145</f>
        <v>346431.08</v>
      </c>
      <c r="K51" s="73">
        <f>'Analítico Cp.'!K145</f>
        <v>171699.64</v>
      </c>
      <c r="L51" s="73">
        <f>'Analítico Cp.'!L145</f>
        <v>281585.82</v>
      </c>
      <c r="M51" s="73">
        <f>'Analítico Cp.'!M145</f>
        <v>228870.64</v>
      </c>
      <c r="N51" s="73">
        <f>'Analítico Cp.'!N145</f>
        <v>178579.34000000003</v>
      </c>
      <c r="O51" s="75">
        <f t="shared" si="10"/>
        <v>2919460.0589999999</v>
      </c>
      <c r="P51" s="73"/>
      <c r="Q51" s="112">
        <f t="shared" si="11"/>
        <v>0.95720398400329476</v>
      </c>
      <c r="R51" s="73">
        <f t="shared" si="12"/>
        <v>130527.30815449264</v>
      </c>
      <c r="S51" s="69"/>
      <c r="T51" s="70"/>
      <c r="U51" s="69"/>
      <c r="V51" s="69"/>
      <c r="W51" s="69"/>
      <c r="X51" s="69"/>
      <c r="Y51" s="69"/>
      <c r="Z51" s="69"/>
    </row>
    <row r="52" spans="1:26" ht="30" customHeight="1" x14ac:dyDescent="0.2">
      <c r="A52" s="71" t="s">
        <v>100</v>
      </c>
      <c r="B52" s="72" t="s">
        <v>101</v>
      </c>
      <c r="C52" s="90">
        <f>'Analítico Cp.'!C160</f>
        <v>11188.82</v>
      </c>
      <c r="D52" s="90">
        <f>'Analítico Cp.'!D160</f>
        <v>1462.8</v>
      </c>
      <c r="E52" s="90">
        <f>'Analítico Cp.'!E160</f>
        <v>0</v>
      </c>
      <c r="F52" s="90">
        <f>'Analítico Cp.'!F160</f>
        <v>0</v>
      </c>
      <c r="G52" s="90">
        <f>'Analítico Cp.'!G160</f>
        <v>0</v>
      </c>
      <c r="H52" s="90">
        <f>'Analítico Cp.'!H160</f>
        <v>0</v>
      </c>
      <c r="I52" s="90">
        <f>'Analítico Cp.'!I160</f>
        <v>0</v>
      </c>
      <c r="J52" s="90">
        <f>'Analítico Cp.'!J160</f>
        <v>0</v>
      </c>
      <c r="K52" s="90">
        <f>'Analítico Cp.'!K160</f>
        <v>0</v>
      </c>
      <c r="L52" s="90">
        <f>'Analítico Cp.'!L160</f>
        <v>0</v>
      </c>
      <c r="M52" s="90">
        <f>'Analítico Cp.'!M160</f>
        <v>0</v>
      </c>
      <c r="N52" s="90">
        <f>'Analítico Cp.'!N160</f>
        <v>0</v>
      </c>
      <c r="O52" s="75">
        <f t="shared" si="10"/>
        <v>12651.619999999999</v>
      </c>
      <c r="P52" s="73"/>
      <c r="Q52" s="112" t="str">
        <f t="shared" si="11"/>
        <v>-</v>
      </c>
      <c r="R52" s="73">
        <f t="shared" si="12"/>
        <v>-12651.619999999999</v>
      </c>
      <c r="S52" s="69"/>
      <c r="T52" s="70"/>
      <c r="U52" s="69"/>
      <c r="V52" s="69"/>
      <c r="W52" s="69"/>
      <c r="X52" s="69"/>
      <c r="Y52" s="69"/>
      <c r="Z52" s="69"/>
    </row>
    <row r="53" spans="1:26" ht="30" customHeight="1" x14ac:dyDescent="0.2">
      <c r="A53" s="92" t="s">
        <v>102</v>
      </c>
      <c r="B53" s="93" t="s">
        <v>57</v>
      </c>
      <c r="C53" s="94">
        <f>'Analítico Cp.'!C161</f>
        <v>415.84</v>
      </c>
      <c r="D53" s="94">
        <f>'Analítico Cp.'!D161</f>
        <v>217.01</v>
      </c>
      <c r="E53" s="94">
        <f>'Analítico Cp.'!E161</f>
        <v>283.61</v>
      </c>
      <c r="F53" s="94">
        <f>'Analítico Cp.'!F161</f>
        <v>1729.05</v>
      </c>
      <c r="G53" s="94">
        <f>'Analítico Cp.'!G161</f>
        <v>2066.9699999999998</v>
      </c>
      <c r="H53" s="94">
        <f>'Analítico Cp.'!H161</f>
        <v>4805.9399999999996</v>
      </c>
      <c r="I53" s="94">
        <f>'Analítico Cp.'!I161</f>
        <v>5188.67</v>
      </c>
      <c r="J53" s="94">
        <f>'Analítico Cp.'!J161</f>
        <v>6051.96</v>
      </c>
      <c r="K53" s="94">
        <f>'Analítico Cp.'!K161</f>
        <v>6839.26</v>
      </c>
      <c r="L53" s="94">
        <f>'Analítico Cp.'!L161</f>
        <v>5851.24</v>
      </c>
      <c r="M53" s="94">
        <f>'Analítico Cp.'!M161</f>
        <v>4728.8900000000003</v>
      </c>
      <c r="N53" s="94">
        <f>'Analítico Cp.'!N161</f>
        <v>9479.66</v>
      </c>
      <c r="O53" s="95">
        <f t="shared" si="10"/>
        <v>47658.099999999991</v>
      </c>
      <c r="P53" s="73"/>
      <c r="Q53" s="115" t="str">
        <f t="shared" si="11"/>
        <v>-</v>
      </c>
      <c r="R53" s="116">
        <f t="shared" si="12"/>
        <v>-47658.099999999991</v>
      </c>
      <c r="S53" s="69"/>
      <c r="T53" s="69"/>
      <c r="U53" s="69"/>
      <c r="V53" s="69"/>
      <c r="W53" s="69"/>
      <c r="X53" s="69"/>
      <c r="Y53" s="69"/>
      <c r="Z53" s="69"/>
    </row>
    <row r="54" spans="1:26" ht="30" customHeight="1" x14ac:dyDescent="0.2">
      <c r="A54" s="77" t="s">
        <v>103</v>
      </c>
      <c r="B54" s="93" t="s">
        <v>104</v>
      </c>
      <c r="C54" s="117">
        <f>'Analítico Cp.'!C162</f>
        <v>62146.950000000004</v>
      </c>
      <c r="D54" s="117">
        <f>'Analítico Cp.'!D162</f>
        <v>233574.92000000004</v>
      </c>
      <c r="E54" s="117">
        <f>'Analítico Cp.'!E162</f>
        <v>220764.69999999998</v>
      </c>
      <c r="F54" s="117">
        <f>'Analítico Cp.'!F162</f>
        <v>208318.5199999999</v>
      </c>
      <c r="G54" s="117">
        <f>'Analítico Cp.'!G162</f>
        <v>89821.36</v>
      </c>
      <c r="H54" s="117">
        <f>'Analítico Cp.'!H162</f>
        <v>48271.810000000012</v>
      </c>
      <c r="I54" s="117">
        <f>'Analítico Cp.'!I162</f>
        <v>238889.64999999991</v>
      </c>
      <c r="J54" s="117">
        <f>'Analítico Cp.'!J162</f>
        <v>452317.05000000005</v>
      </c>
      <c r="K54" s="611">
        <f>'Analítico Cp.'!K162</f>
        <v>1672804.7099999993</v>
      </c>
      <c r="L54" s="117">
        <f>'Analítico Cp.'!L162</f>
        <v>262946.81</v>
      </c>
      <c r="M54" s="117">
        <f>'Analítico Cp.'!M162</f>
        <v>138992.13999999998</v>
      </c>
      <c r="N54" s="117">
        <f>'Analítico Cp.'!N162</f>
        <v>229517.96</v>
      </c>
      <c r="O54" s="79">
        <f t="shared" si="10"/>
        <v>3858366.5799999991</v>
      </c>
      <c r="P54" s="73"/>
      <c r="Q54" s="118">
        <f t="shared" si="11"/>
        <v>0.78742175102040801</v>
      </c>
      <c r="R54" s="119">
        <f t="shared" si="12"/>
        <v>1041633.4200000009</v>
      </c>
      <c r="S54" s="69"/>
      <c r="T54" s="69"/>
      <c r="U54" s="69"/>
      <c r="V54" s="69"/>
      <c r="W54" s="69"/>
      <c r="X54" s="69"/>
      <c r="Y54" s="69"/>
      <c r="Z54" s="69"/>
    </row>
    <row r="55" spans="1:26" ht="30" customHeight="1" x14ac:dyDescent="0.2">
      <c r="A55" s="96" t="s">
        <v>105</v>
      </c>
      <c r="B55" s="97"/>
      <c r="C55" s="80">
        <f t="shared" ref="C55:N55" si="14">SUM(C50:C53)</f>
        <v>309469.18326180044</v>
      </c>
      <c r="D55" s="80">
        <f t="shared" si="14"/>
        <v>324793.48194226372</v>
      </c>
      <c r="E55" s="80">
        <f t="shared" si="14"/>
        <v>302886.18870084581</v>
      </c>
      <c r="F55" s="80">
        <f t="shared" si="14"/>
        <v>404688.33743417909</v>
      </c>
      <c r="G55" s="80">
        <f t="shared" si="14"/>
        <v>436077.20265146432</v>
      </c>
      <c r="H55" s="80">
        <f t="shared" si="14"/>
        <v>564669.84048750007</v>
      </c>
      <c r="I55" s="80">
        <f t="shared" si="14"/>
        <v>520778.92590798001</v>
      </c>
      <c r="J55" s="80">
        <f t="shared" si="14"/>
        <v>646442.45845171623</v>
      </c>
      <c r="K55" s="80">
        <f t="shared" si="14"/>
        <v>484005.69756973471</v>
      </c>
      <c r="L55" s="80">
        <f t="shared" si="14"/>
        <v>656572.52541686804</v>
      </c>
      <c r="M55" s="80">
        <f t="shared" si="14"/>
        <v>621597.54857000534</v>
      </c>
      <c r="N55" s="80">
        <f t="shared" si="14"/>
        <v>564632.66617538442</v>
      </c>
      <c r="O55" s="80">
        <f t="shared" si="10"/>
        <v>5836614.056569742</v>
      </c>
      <c r="P55" s="75"/>
      <c r="Q55" s="109">
        <f t="shared" si="11"/>
        <v>0.98699824249460921</v>
      </c>
      <c r="R55" s="80">
        <f t="shared" si="12"/>
        <v>76885.892343915999</v>
      </c>
      <c r="S55" s="69"/>
      <c r="T55" s="69"/>
      <c r="U55" s="69"/>
      <c r="V55" s="69"/>
      <c r="W55" s="69"/>
      <c r="X55" s="69"/>
      <c r="Y55" s="69"/>
      <c r="Z55" s="69"/>
    </row>
    <row r="56" spans="1:26" ht="30" customHeight="1" x14ac:dyDescent="0.2">
      <c r="A56" s="120"/>
      <c r="B56" s="120"/>
      <c r="C56" s="120"/>
      <c r="D56" s="120"/>
      <c r="E56" s="120"/>
      <c r="F56" s="120"/>
      <c r="G56" s="120"/>
      <c r="H56" s="120"/>
      <c r="I56" s="120"/>
      <c r="J56" s="120"/>
      <c r="K56" s="120"/>
      <c r="L56" s="120"/>
      <c r="M56" s="120"/>
      <c r="N56" s="120"/>
      <c r="O56" s="120"/>
      <c r="P56" s="120"/>
      <c r="Q56" s="69"/>
      <c r="R56" s="69"/>
      <c r="S56" s="69"/>
      <c r="T56" s="69"/>
      <c r="U56" s="69"/>
      <c r="V56" s="69"/>
      <c r="W56" s="69"/>
      <c r="X56" s="69"/>
      <c r="Y56" s="69"/>
      <c r="Z56" s="69"/>
    </row>
    <row r="57" spans="1:26" ht="30" customHeight="1" x14ac:dyDescent="0.2">
      <c r="A57" s="120"/>
      <c r="B57" s="120"/>
      <c r="C57" s="120"/>
      <c r="D57" s="120"/>
      <c r="E57" s="120"/>
      <c r="F57" s="120"/>
      <c r="G57" s="120"/>
      <c r="H57" s="120"/>
      <c r="I57" s="120"/>
      <c r="J57" s="120"/>
      <c r="K57" s="120"/>
      <c r="L57" s="120"/>
      <c r="M57" s="120"/>
      <c r="N57" s="120"/>
      <c r="O57" s="120"/>
      <c r="P57" s="120"/>
      <c r="Q57" s="69"/>
      <c r="R57" s="69"/>
      <c r="S57" s="69"/>
      <c r="T57" s="69"/>
      <c r="U57" s="69"/>
      <c r="V57" s="69"/>
      <c r="W57" s="69"/>
      <c r="X57" s="69"/>
      <c r="Y57" s="69"/>
      <c r="Z57" s="69"/>
    </row>
    <row r="58" spans="1:26" ht="46.5" customHeight="1" x14ac:dyDescent="0.2">
      <c r="A58" s="120"/>
      <c r="B58" s="120"/>
      <c r="C58" s="120"/>
      <c r="D58" s="120"/>
      <c r="E58" s="120"/>
      <c r="F58" s="120"/>
      <c r="G58" s="120"/>
      <c r="H58" s="120"/>
      <c r="I58" s="120"/>
      <c r="J58" s="120"/>
      <c r="K58" s="120"/>
      <c r="L58" s="120"/>
      <c r="M58" s="120"/>
      <c r="N58" s="120"/>
      <c r="O58" s="120"/>
      <c r="P58" s="120"/>
      <c r="Q58" s="69"/>
      <c r="R58" s="69"/>
      <c r="S58" s="69"/>
      <c r="T58" s="69"/>
      <c r="U58" s="69"/>
      <c r="V58" s="69"/>
      <c r="W58" s="69"/>
      <c r="X58" s="69"/>
      <c r="Y58" s="69"/>
      <c r="Z58" s="69"/>
    </row>
    <row r="59" spans="1:26" ht="30" customHeight="1" x14ac:dyDescent="0.2">
      <c r="A59" s="120"/>
      <c r="B59" s="120"/>
      <c r="C59" s="120"/>
      <c r="D59" s="120"/>
      <c r="E59" s="120"/>
      <c r="F59" s="120"/>
      <c r="G59" s="120"/>
      <c r="H59" s="120"/>
      <c r="I59" s="120"/>
      <c r="J59" s="120"/>
      <c r="K59" s="120"/>
      <c r="L59" s="120"/>
      <c r="M59" s="120"/>
      <c r="N59" s="120"/>
      <c r="O59" s="120"/>
      <c r="P59" s="120"/>
      <c r="Q59" s="69"/>
      <c r="R59" s="69"/>
      <c r="S59" s="69"/>
      <c r="T59" s="69"/>
      <c r="U59" s="69"/>
      <c r="V59" s="69"/>
      <c r="W59" s="69"/>
      <c r="X59" s="69"/>
      <c r="Y59" s="69"/>
      <c r="Z59" s="69"/>
    </row>
    <row r="60" spans="1:26" ht="30" customHeight="1" x14ac:dyDescent="0.2">
      <c r="A60" s="120"/>
      <c r="B60" s="120"/>
      <c r="C60" s="120"/>
      <c r="D60" s="120"/>
      <c r="E60" s="120"/>
      <c r="F60" s="120"/>
      <c r="G60" s="120"/>
      <c r="H60" s="120"/>
      <c r="I60" s="120"/>
      <c r="J60" s="120"/>
      <c r="K60" s="120"/>
      <c r="L60" s="120"/>
      <c r="M60" s="120"/>
      <c r="N60" s="120"/>
      <c r="O60" s="120"/>
      <c r="P60" s="120"/>
      <c r="Q60" s="69"/>
      <c r="R60" s="69"/>
      <c r="S60" s="69"/>
      <c r="T60" s="69"/>
      <c r="U60" s="69"/>
      <c r="V60" s="69"/>
      <c r="W60" s="69"/>
      <c r="X60" s="69"/>
      <c r="Y60" s="69"/>
      <c r="Z60" s="69"/>
    </row>
    <row r="61" spans="1:26" ht="30" customHeight="1" x14ac:dyDescent="0.2">
      <c r="A61" s="69"/>
      <c r="B61" s="69"/>
      <c r="C61" s="69"/>
      <c r="D61" s="69"/>
      <c r="E61" s="69"/>
      <c r="F61" s="69"/>
      <c r="G61" s="69"/>
      <c r="H61" s="69"/>
      <c r="I61" s="69"/>
      <c r="J61" s="69"/>
      <c r="K61" s="69"/>
      <c r="L61" s="69"/>
      <c r="M61" s="69"/>
      <c r="N61" s="69"/>
      <c r="O61" s="120"/>
      <c r="P61" s="120"/>
      <c r="Q61" s="69"/>
      <c r="R61" s="69"/>
      <c r="S61" s="69"/>
      <c r="T61" s="69"/>
      <c r="U61" s="69"/>
      <c r="V61" s="69"/>
      <c r="W61" s="69"/>
      <c r="X61" s="69"/>
      <c r="Y61" s="69"/>
      <c r="Z61" s="69"/>
    </row>
    <row r="62" spans="1:26" ht="30" customHeight="1" x14ac:dyDescent="0.2">
      <c r="A62" s="69"/>
      <c r="B62" s="69"/>
      <c r="C62" s="69"/>
      <c r="D62" s="69"/>
      <c r="E62" s="69"/>
      <c r="F62" s="69"/>
      <c r="G62" s="69"/>
      <c r="H62" s="69"/>
      <c r="I62" s="69"/>
      <c r="J62" s="69"/>
      <c r="K62" s="69"/>
      <c r="L62" s="69"/>
      <c r="M62" s="69"/>
      <c r="N62" s="69"/>
      <c r="O62" s="68"/>
      <c r="P62" s="68"/>
      <c r="Q62" s="69"/>
      <c r="R62" s="69"/>
      <c r="S62" s="69"/>
      <c r="T62" s="70"/>
      <c r="U62" s="69"/>
      <c r="V62" s="69"/>
      <c r="W62" s="69"/>
      <c r="X62" s="69"/>
      <c r="Y62" s="69"/>
      <c r="Z62" s="69"/>
    </row>
    <row r="63" spans="1:26" ht="30" customHeight="1" x14ac:dyDescent="0.2">
      <c r="A63" s="69"/>
      <c r="B63" s="69"/>
      <c r="C63" s="69"/>
      <c r="D63" s="69"/>
      <c r="E63" s="69"/>
      <c r="F63" s="69"/>
      <c r="G63" s="69"/>
      <c r="H63" s="69"/>
      <c r="I63" s="69"/>
      <c r="J63" s="69"/>
      <c r="K63" s="69"/>
      <c r="L63" s="69"/>
      <c r="M63" s="69"/>
      <c r="N63" s="69"/>
      <c r="O63" s="68"/>
      <c r="P63" s="68"/>
      <c r="Q63" s="69"/>
      <c r="R63" s="69"/>
      <c r="S63" s="69"/>
      <c r="T63" s="70"/>
      <c r="U63" s="69"/>
      <c r="V63" s="69"/>
      <c r="W63" s="69"/>
      <c r="X63" s="69"/>
      <c r="Y63" s="69"/>
      <c r="Z63" s="69"/>
    </row>
    <row r="64" spans="1:26" ht="30" customHeight="1" x14ac:dyDescent="0.2">
      <c r="A64" s="69"/>
      <c r="B64" s="69"/>
      <c r="C64" s="69"/>
      <c r="D64" s="69"/>
      <c r="E64" s="69"/>
      <c r="F64" s="69"/>
      <c r="G64" s="69"/>
      <c r="H64" s="69"/>
      <c r="I64" s="69"/>
      <c r="J64" s="69"/>
      <c r="K64" s="69"/>
      <c r="L64" s="69"/>
      <c r="M64" s="69"/>
      <c r="N64" s="69"/>
      <c r="O64" s="68"/>
      <c r="P64" s="68"/>
      <c r="Q64" s="69"/>
      <c r="R64" s="69"/>
      <c r="S64" s="69"/>
      <c r="T64" s="70"/>
      <c r="U64" s="69"/>
      <c r="V64" s="69"/>
      <c r="W64" s="69"/>
      <c r="X64" s="69"/>
      <c r="Y64" s="69"/>
      <c r="Z64" s="69"/>
    </row>
    <row r="65" spans="1:26" ht="30" customHeight="1" x14ac:dyDescent="0.2">
      <c r="A65" s="69"/>
      <c r="B65" s="69"/>
      <c r="C65" s="69"/>
      <c r="D65" s="69"/>
      <c r="E65" s="69"/>
      <c r="F65" s="69"/>
      <c r="G65" s="69"/>
      <c r="H65" s="69"/>
      <c r="I65" s="69"/>
      <c r="J65" s="69"/>
      <c r="K65" s="69"/>
      <c r="L65" s="69"/>
      <c r="M65" s="69"/>
      <c r="N65" s="69"/>
      <c r="O65" s="68"/>
      <c r="P65" s="68"/>
      <c r="Q65" s="69"/>
      <c r="R65" s="69"/>
      <c r="S65" s="69"/>
      <c r="T65" s="70"/>
      <c r="U65" s="69"/>
      <c r="V65" s="69"/>
      <c r="W65" s="69"/>
      <c r="X65" s="69"/>
      <c r="Y65" s="69"/>
      <c r="Z65" s="69"/>
    </row>
    <row r="66" spans="1:26" ht="30" customHeight="1" x14ac:dyDescent="0.2">
      <c r="A66" s="69"/>
      <c r="B66" s="69"/>
      <c r="C66" s="69"/>
      <c r="D66" s="69"/>
      <c r="E66" s="69"/>
      <c r="F66" s="69"/>
      <c r="G66" s="69"/>
      <c r="H66" s="69"/>
      <c r="I66" s="69"/>
      <c r="J66" s="69"/>
      <c r="K66" s="69"/>
      <c r="L66" s="69"/>
      <c r="M66" s="69"/>
      <c r="N66" s="69"/>
      <c r="O66" s="68"/>
      <c r="P66" s="68"/>
      <c r="Q66" s="69"/>
      <c r="R66" s="69"/>
      <c r="S66" s="69"/>
      <c r="T66" s="70"/>
      <c r="U66" s="69"/>
      <c r="V66" s="69"/>
      <c r="W66" s="69"/>
      <c r="X66" s="69"/>
      <c r="Y66" s="69"/>
      <c r="Z66" s="69"/>
    </row>
    <row r="67" spans="1:26" ht="30" customHeight="1" x14ac:dyDescent="0.2">
      <c r="A67" s="69"/>
      <c r="B67" s="69"/>
      <c r="C67" s="69"/>
      <c r="D67" s="69"/>
      <c r="E67" s="69"/>
      <c r="F67" s="69"/>
      <c r="G67" s="69"/>
      <c r="H67" s="69"/>
      <c r="I67" s="69"/>
      <c r="J67" s="69"/>
      <c r="K67" s="69"/>
      <c r="L67" s="69"/>
      <c r="M67" s="69"/>
      <c r="N67" s="69"/>
      <c r="O67" s="68"/>
      <c r="P67" s="68"/>
      <c r="Q67" s="69"/>
      <c r="R67" s="69"/>
      <c r="S67" s="69"/>
      <c r="T67" s="70"/>
      <c r="U67" s="69"/>
      <c r="V67" s="69"/>
      <c r="W67" s="69"/>
      <c r="X67" s="69"/>
      <c r="Y67" s="69"/>
      <c r="Z67" s="69"/>
    </row>
    <row r="68" spans="1:26" ht="30" customHeight="1" x14ac:dyDescent="0.2">
      <c r="A68" s="69"/>
      <c r="B68" s="69"/>
      <c r="C68" s="69"/>
      <c r="D68" s="69"/>
      <c r="E68" s="69"/>
      <c r="F68" s="69"/>
      <c r="G68" s="69"/>
      <c r="H68" s="69"/>
      <c r="I68" s="69"/>
      <c r="J68" s="69"/>
      <c r="K68" s="69"/>
      <c r="L68" s="69"/>
      <c r="M68" s="69"/>
      <c r="N68" s="69"/>
      <c r="O68" s="68"/>
      <c r="P68" s="68"/>
      <c r="Q68" s="69"/>
      <c r="R68" s="69"/>
      <c r="S68" s="69"/>
      <c r="T68" s="70"/>
      <c r="U68" s="69"/>
      <c r="V68" s="69"/>
      <c r="W68" s="69"/>
      <c r="X68" s="69"/>
      <c r="Y68" s="69"/>
      <c r="Z68" s="69"/>
    </row>
    <row r="69" spans="1:26" ht="30" customHeight="1" x14ac:dyDescent="0.2">
      <c r="A69" s="69"/>
      <c r="B69" s="69"/>
      <c r="C69" s="69"/>
      <c r="D69" s="69"/>
      <c r="E69" s="69"/>
      <c r="F69" s="69"/>
      <c r="G69" s="69"/>
      <c r="H69" s="69"/>
      <c r="I69" s="69"/>
      <c r="J69" s="69"/>
      <c r="K69" s="69"/>
      <c r="L69" s="69"/>
      <c r="M69" s="69"/>
      <c r="N69" s="69"/>
      <c r="O69" s="68"/>
      <c r="P69" s="68"/>
      <c r="Q69" s="69"/>
      <c r="R69" s="69"/>
      <c r="S69" s="69"/>
      <c r="T69" s="70"/>
      <c r="U69" s="69"/>
      <c r="V69" s="69"/>
      <c r="W69" s="69"/>
      <c r="X69" s="69"/>
      <c r="Y69" s="69"/>
      <c r="Z69" s="69"/>
    </row>
    <row r="70" spans="1:26" ht="30" customHeight="1" x14ac:dyDescent="0.2">
      <c r="A70" s="69"/>
      <c r="B70" s="69"/>
      <c r="C70" s="69"/>
      <c r="D70" s="69"/>
      <c r="E70" s="69"/>
      <c r="F70" s="69"/>
      <c r="G70" s="69"/>
      <c r="H70" s="69"/>
      <c r="I70" s="69"/>
      <c r="J70" s="69"/>
      <c r="K70" s="69"/>
      <c r="L70" s="69"/>
      <c r="M70" s="69"/>
      <c r="N70" s="69"/>
      <c r="O70" s="68"/>
      <c r="P70" s="68"/>
      <c r="Q70" s="69"/>
      <c r="R70" s="69"/>
      <c r="S70" s="69"/>
      <c r="T70" s="70"/>
      <c r="U70" s="69"/>
      <c r="V70" s="69"/>
      <c r="W70" s="69"/>
      <c r="X70" s="69"/>
      <c r="Y70" s="69"/>
      <c r="Z70" s="69"/>
    </row>
    <row r="71" spans="1:26" ht="30" customHeight="1" x14ac:dyDescent="0.2">
      <c r="A71" s="69"/>
      <c r="B71" s="69"/>
      <c r="C71" s="69"/>
      <c r="D71" s="69"/>
      <c r="E71" s="69"/>
      <c r="F71" s="69"/>
      <c r="G71" s="69"/>
      <c r="H71" s="69"/>
      <c r="I71" s="69"/>
      <c r="J71" s="69"/>
      <c r="K71" s="69"/>
      <c r="L71" s="69"/>
      <c r="M71" s="69"/>
      <c r="N71" s="69"/>
      <c r="O71" s="68"/>
      <c r="P71" s="68"/>
      <c r="Q71" s="69"/>
      <c r="R71" s="69"/>
      <c r="S71" s="69"/>
      <c r="T71" s="70"/>
      <c r="U71" s="69"/>
      <c r="V71" s="69"/>
      <c r="W71" s="69"/>
      <c r="X71" s="69"/>
      <c r="Y71" s="69"/>
      <c r="Z71" s="69"/>
    </row>
    <row r="72" spans="1:26" ht="30" customHeight="1" x14ac:dyDescent="0.2">
      <c r="A72" s="69"/>
      <c r="B72" s="69"/>
      <c r="C72" s="69"/>
      <c r="D72" s="69"/>
      <c r="E72" s="69"/>
      <c r="F72" s="69"/>
      <c r="G72" s="69"/>
      <c r="H72" s="69"/>
      <c r="I72" s="69"/>
      <c r="J72" s="69"/>
      <c r="K72" s="69"/>
      <c r="L72" s="69"/>
      <c r="M72" s="69"/>
      <c r="N72" s="69"/>
      <c r="O72" s="68"/>
      <c r="P72" s="68"/>
      <c r="Q72" s="69"/>
      <c r="R72" s="69"/>
      <c r="S72" s="69"/>
      <c r="T72" s="70"/>
      <c r="U72" s="69"/>
      <c r="V72" s="69"/>
      <c r="W72" s="69"/>
      <c r="X72" s="69"/>
      <c r="Y72" s="69"/>
      <c r="Z72" s="69"/>
    </row>
    <row r="73" spans="1:26" ht="30" customHeight="1" x14ac:dyDescent="0.2">
      <c r="A73" s="69"/>
      <c r="B73" s="69"/>
      <c r="C73" s="69"/>
      <c r="D73" s="69"/>
      <c r="E73" s="69"/>
      <c r="F73" s="69"/>
      <c r="G73" s="69"/>
      <c r="H73" s="69"/>
      <c r="I73" s="69"/>
      <c r="J73" s="69"/>
      <c r="K73" s="69"/>
      <c r="L73" s="69"/>
      <c r="M73" s="69"/>
      <c r="N73" s="69"/>
      <c r="O73" s="68"/>
      <c r="P73" s="68"/>
      <c r="Q73" s="69"/>
      <c r="R73" s="69"/>
      <c r="S73" s="69"/>
      <c r="T73" s="70"/>
      <c r="U73" s="69"/>
      <c r="V73" s="69"/>
      <c r="W73" s="69"/>
      <c r="X73" s="69"/>
      <c r="Y73" s="69"/>
      <c r="Z73" s="69"/>
    </row>
    <row r="74" spans="1:26" ht="30" customHeight="1" x14ac:dyDescent="0.2">
      <c r="A74" s="69"/>
      <c r="B74" s="69"/>
      <c r="C74" s="69"/>
      <c r="D74" s="69"/>
      <c r="E74" s="69"/>
      <c r="F74" s="69"/>
      <c r="G74" s="69"/>
      <c r="H74" s="69"/>
      <c r="I74" s="69"/>
      <c r="J74" s="69"/>
      <c r="K74" s="69"/>
      <c r="L74" s="69"/>
      <c r="M74" s="69"/>
      <c r="N74" s="69"/>
      <c r="O74" s="68"/>
      <c r="P74" s="68"/>
      <c r="Q74" s="69"/>
      <c r="R74" s="69"/>
      <c r="S74" s="69"/>
      <c r="T74" s="70"/>
      <c r="U74" s="69"/>
      <c r="V74" s="69"/>
      <c r="W74" s="69"/>
      <c r="X74" s="69"/>
      <c r="Y74" s="69"/>
      <c r="Z74" s="69"/>
    </row>
    <row r="75" spans="1:26" ht="30" customHeight="1" x14ac:dyDescent="0.2">
      <c r="A75" s="69"/>
      <c r="B75" s="69"/>
      <c r="C75" s="69"/>
      <c r="D75" s="69"/>
      <c r="E75" s="69"/>
      <c r="F75" s="69"/>
      <c r="G75" s="69"/>
      <c r="H75" s="69"/>
      <c r="I75" s="69"/>
      <c r="J75" s="69"/>
      <c r="K75" s="69"/>
      <c r="L75" s="69"/>
      <c r="M75" s="69"/>
      <c r="N75" s="69"/>
      <c r="O75" s="68"/>
      <c r="P75" s="68"/>
      <c r="Q75" s="69"/>
      <c r="R75" s="69"/>
      <c r="S75" s="69"/>
      <c r="T75" s="70"/>
      <c r="U75" s="69"/>
      <c r="V75" s="69"/>
      <c r="W75" s="69"/>
      <c r="X75" s="69"/>
      <c r="Y75" s="69"/>
      <c r="Z75" s="69"/>
    </row>
    <row r="76" spans="1:26" ht="30" customHeight="1" x14ac:dyDescent="0.2">
      <c r="A76" s="69"/>
      <c r="B76" s="69"/>
      <c r="C76" s="69"/>
      <c r="D76" s="69"/>
      <c r="E76" s="69"/>
      <c r="F76" s="69"/>
      <c r="G76" s="69"/>
      <c r="H76" s="69"/>
      <c r="I76" s="69"/>
      <c r="J76" s="69"/>
      <c r="K76" s="69"/>
      <c r="L76" s="69"/>
      <c r="M76" s="69"/>
      <c r="N76" s="69"/>
      <c r="O76" s="68"/>
      <c r="P76" s="68"/>
      <c r="Q76" s="69"/>
      <c r="R76" s="69"/>
      <c r="S76" s="69"/>
      <c r="T76" s="70"/>
      <c r="U76" s="69"/>
      <c r="V76" s="69"/>
      <c r="W76" s="69"/>
      <c r="X76" s="69"/>
      <c r="Y76" s="69"/>
      <c r="Z76" s="69"/>
    </row>
    <row r="77" spans="1:26" ht="30" customHeight="1" x14ac:dyDescent="0.2">
      <c r="A77" s="69"/>
      <c r="B77" s="69"/>
      <c r="C77" s="69"/>
      <c r="D77" s="69"/>
      <c r="E77" s="69"/>
      <c r="F77" s="69"/>
      <c r="G77" s="69"/>
      <c r="H77" s="69"/>
      <c r="I77" s="69"/>
      <c r="J77" s="69"/>
      <c r="K77" s="69"/>
      <c r="L77" s="69"/>
      <c r="M77" s="69"/>
      <c r="N77" s="69"/>
      <c r="O77" s="68"/>
      <c r="P77" s="68"/>
      <c r="Q77" s="69"/>
      <c r="R77" s="69"/>
      <c r="S77" s="69"/>
      <c r="T77" s="70"/>
      <c r="U77" s="69"/>
      <c r="V77" s="69"/>
      <c r="W77" s="69"/>
      <c r="X77" s="69"/>
      <c r="Y77" s="69"/>
      <c r="Z77" s="69"/>
    </row>
    <row r="78" spans="1:26" ht="30" customHeight="1" x14ac:dyDescent="0.2">
      <c r="A78" s="69"/>
      <c r="B78" s="69"/>
      <c r="C78" s="69"/>
      <c r="D78" s="69"/>
      <c r="E78" s="69"/>
      <c r="F78" s="69"/>
      <c r="G78" s="69"/>
      <c r="H78" s="69"/>
      <c r="I78" s="69"/>
      <c r="J78" s="69"/>
      <c r="K78" s="69"/>
      <c r="L78" s="69"/>
      <c r="M78" s="69"/>
      <c r="N78" s="69"/>
      <c r="O78" s="68"/>
      <c r="P78" s="68"/>
      <c r="Q78" s="69"/>
      <c r="R78" s="69"/>
      <c r="S78" s="69"/>
      <c r="T78" s="70"/>
      <c r="U78" s="69"/>
      <c r="V78" s="69"/>
      <c r="W78" s="69"/>
      <c r="X78" s="69"/>
      <c r="Y78" s="69"/>
      <c r="Z78" s="69"/>
    </row>
    <row r="79" spans="1:26" ht="30" customHeight="1" x14ac:dyDescent="0.2">
      <c r="A79" s="69"/>
      <c r="B79" s="69"/>
      <c r="C79" s="69"/>
      <c r="D79" s="69"/>
      <c r="E79" s="69"/>
      <c r="F79" s="69"/>
      <c r="G79" s="69"/>
      <c r="H79" s="69"/>
      <c r="I79" s="69"/>
      <c r="J79" s="69"/>
      <c r="K79" s="69"/>
      <c r="L79" s="69"/>
      <c r="M79" s="69"/>
      <c r="N79" s="69"/>
      <c r="O79" s="68"/>
      <c r="P79" s="68"/>
      <c r="Q79" s="69"/>
      <c r="R79" s="69"/>
      <c r="S79" s="69"/>
      <c r="T79" s="70"/>
      <c r="U79" s="69"/>
      <c r="V79" s="69"/>
      <c r="W79" s="69"/>
      <c r="X79" s="69"/>
      <c r="Y79" s="69"/>
      <c r="Z79" s="69"/>
    </row>
    <row r="80" spans="1:26" ht="30" customHeight="1" x14ac:dyDescent="0.2">
      <c r="A80" s="69"/>
      <c r="B80" s="69"/>
      <c r="C80" s="69"/>
      <c r="D80" s="69"/>
      <c r="E80" s="69"/>
      <c r="F80" s="69"/>
      <c r="G80" s="69"/>
      <c r="H80" s="69"/>
      <c r="I80" s="69"/>
      <c r="J80" s="69"/>
      <c r="K80" s="69"/>
      <c r="L80" s="69"/>
      <c r="M80" s="69"/>
      <c r="N80" s="69"/>
      <c r="O80" s="68"/>
      <c r="P80" s="68"/>
      <c r="Q80" s="69"/>
      <c r="R80" s="69"/>
      <c r="S80" s="69"/>
      <c r="T80" s="70"/>
      <c r="U80" s="69"/>
      <c r="V80" s="69"/>
      <c r="W80" s="69"/>
      <c r="X80" s="69"/>
      <c r="Y80" s="69"/>
      <c r="Z80" s="69"/>
    </row>
    <row r="81" spans="1:26" ht="30" customHeight="1" x14ac:dyDescent="0.2">
      <c r="A81" s="69"/>
      <c r="B81" s="69"/>
      <c r="C81" s="69"/>
      <c r="D81" s="69"/>
      <c r="E81" s="69"/>
      <c r="F81" s="69"/>
      <c r="G81" s="69"/>
      <c r="H81" s="69"/>
      <c r="I81" s="69"/>
      <c r="J81" s="69"/>
      <c r="K81" s="69"/>
      <c r="L81" s="69"/>
      <c r="M81" s="69"/>
      <c r="N81" s="69"/>
      <c r="O81" s="68"/>
      <c r="P81" s="68"/>
      <c r="Q81" s="69"/>
      <c r="R81" s="69"/>
      <c r="S81" s="69"/>
      <c r="T81" s="70"/>
      <c r="U81" s="69"/>
      <c r="V81" s="69"/>
      <c r="W81" s="69"/>
      <c r="X81" s="69"/>
      <c r="Y81" s="69"/>
      <c r="Z81" s="69"/>
    </row>
    <row r="82" spans="1:26" ht="30" customHeight="1" x14ac:dyDescent="0.2">
      <c r="A82" s="69"/>
      <c r="B82" s="69"/>
      <c r="C82" s="69"/>
      <c r="D82" s="69"/>
      <c r="E82" s="69"/>
      <c r="F82" s="69"/>
      <c r="G82" s="69"/>
      <c r="H82" s="69"/>
      <c r="I82" s="69"/>
      <c r="J82" s="69"/>
      <c r="K82" s="69"/>
      <c r="L82" s="69"/>
      <c r="M82" s="69"/>
      <c r="N82" s="69"/>
      <c r="O82" s="68"/>
      <c r="P82" s="68"/>
      <c r="Q82" s="69"/>
      <c r="R82" s="69"/>
      <c r="S82" s="69"/>
      <c r="T82" s="70"/>
      <c r="U82" s="69"/>
      <c r="V82" s="69"/>
      <c r="W82" s="69"/>
      <c r="X82" s="69"/>
      <c r="Y82" s="69"/>
      <c r="Z82" s="69"/>
    </row>
    <row r="83" spans="1:26" ht="30" customHeight="1" x14ac:dyDescent="0.2">
      <c r="A83" s="69"/>
      <c r="B83" s="69"/>
      <c r="C83" s="69"/>
      <c r="D83" s="69"/>
      <c r="E83" s="69"/>
      <c r="F83" s="69"/>
      <c r="G83" s="69"/>
      <c r="H83" s="69"/>
      <c r="I83" s="69"/>
      <c r="J83" s="69"/>
      <c r="K83" s="69"/>
      <c r="L83" s="69"/>
      <c r="M83" s="69"/>
      <c r="N83" s="69"/>
      <c r="O83" s="68"/>
      <c r="P83" s="68"/>
      <c r="Q83" s="69"/>
      <c r="R83" s="69"/>
      <c r="S83" s="69"/>
      <c r="T83" s="70"/>
      <c r="U83" s="69"/>
      <c r="V83" s="69"/>
      <c r="W83" s="69"/>
      <c r="X83" s="69"/>
      <c r="Y83" s="69"/>
      <c r="Z83" s="69"/>
    </row>
    <row r="84" spans="1:26" ht="30" customHeight="1" x14ac:dyDescent="0.2">
      <c r="A84" s="69"/>
      <c r="B84" s="69"/>
      <c r="C84" s="69"/>
      <c r="D84" s="69"/>
      <c r="E84" s="69"/>
      <c r="F84" s="69"/>
      <c r="G84" s="69"/>
      <c r="H84" s="69"/>
      <c r="I84" s="69"/>
      <c r="J84" s="69"/>
      <c r="K84" s="69"/>
      <c r="L84" s="69"/>
      <c r="M84" s="69"/>
      <c r="N84" s="69"/>
      <c r="O84" s="68"/>
      <c r="P84" s="68"/>
      <c r="Q84" s="69"/>
      <c r="R84" s="69"/>
      <c r="S84" s="69"/>
      <c r="T84" s="70"/>
      <c r="U84" s="69"/>
      <c r="V84" s="69"/>
      <c r="W84" s="69"/>
      <c r="X84" s="69"/>
      <c r="Y84" s="69"/>
      <c r="Z84" s="69"/>
    </row>
    <row r="85" spans="1:26" ht="30" customHeight="1" x14ac:dyDescent="0.2">
      <c r="A85" s="69"/>
      <c r="B85" s="69"/>
      <c r="C85" s="69"/>
      <c r="D85" s="69"/>
      <c r="E85" s="69"/>
      <c r="F85" s="69"/>
      <c r="G85" s="69"/>
      <c r="H85" s="69"/>
      <c r="I85" s="69"/>
      <c r="J85" s="69"/>
      <c r="K85" s="69"/>
      <c r="L85" s="69"/>
      <c r="M85" s="69"/>
      <c r="N85" s="69"/>
      <c r="O85" s="68"/>
      <c r="P85" s="68"/>
      <c r="Q85" s="69"/>
      <c r="R85" s="69"/>
      <c r="S85" s="69"/>
      <c r="T85" s="70"/>
      <c r="U85" s="69"/>
      <c r="V85" s="69"/>
      <c r="W85" s="69"/>
      <c r="X85" s="69"/>
      <c r="Y85" s="69"/>
      <c r="Z85" s="69"/>
    </row>
    <row r="86" spans="1:26" ht="30" customHeight="1" x14ac:dyDescent="0.2">
      <c r="A86" s="69"/>
      <c r="B86" s="69"/>
      <c r="C86" s="69"/>
      <c r="D86" s="69"/>
      <c r="E86" s="69"/>
      <c r="F86" s="69"/>
      <c r="G86" s="69"/>
      <c r="H86" s="69"/>
      <c r="I86" s="69"/>
      <c r="J86" s="69"/>
      <c r="K86" s="69"/>
      <c r="L86" s="69"/>
      <c r="M86" s="69"/>
      <c r="N86" s="69"/>
      <c r="O86" s="68"/>
      <c r="P86" s="68"/>
      <c r="Q86" s="69"/>
      <c r="R86" s="69"/>
      <c r="S86" s="69"/>
      <c r="T86" s="70"/>
      <c r="U86" s="69"/>
      <c r="V86" s="69"/>
      <c r="W86" s="69"/>
      <c r="X86" s="69"/>
      <c r="Y86" s="69"/>
      <c r="Z86" s="69"/>
    </row>
    <row r="87" spans="1:26" ht="30" customHeight="1" x14ac:dyDescent="0.2">
      <c r="A87" s="69"/>
      <c r="B87" s="69"/>
      <c r="C87" s="69"/>
      <c r="D87" s="69"/>
      <c r="E87" s="69"/>
      <c r="F87" s="69"/>
      <c r="G87" s="69"/>
      <c r="H87" s="69"/>
      <c r="I87" s="69"/>
      <c r="J87" s="69"/>
      <c r="K87" s="69"/>
      <c r="L87" s="69"/>
      <c r="M87" s="69"/>
      <c r="N87" s="69"/>
      <c r="O87" s="68"/>
      <c r="P87" s="68"/>
      <c r="Q87" s="69"/>
      <c r="R87" s="69"/>
      <c r="S87" s="69"/>
      <c r="T87" s="70"/>
      <c r="U87" s="69"/>
      <c r="V87" s="69"/>
      <c r="W87" s="69"/>
      <c r="X87" s="69"/>
      <c r="Y87" s="69"/>
      <c r="Z87" s="69"/>
    </row>
    <row r="88" spans="1:26" ht="30" customHeight="1" x14ac:dyDescent="0.2">
      <c r="A88" s="69"/>
      <c r="B88" s="69"/>
      <c r="C88" s="69"/>
      <c r="D88" s="69"/>
      <c r="E88" s="69"/>
      <c r="F88" s="69"/>
      <c r="G88" s="69"/>
      <c r="H88" s="69"/>
      <c r="I88" s="69"/>
      <c r="J88" s="69"/>
      <c r="K88" s="69"/>
      <c r="L88" s="69"/>
      <c r="M88" s="69"/>
      <c r="N88" s="69"/>
      <c r="O88" s="68"/>
      <c r="P88" s="68"/>
      <c r="Q88" s="69"/>
      <c r="R88" s="69"/>
      <c r="S88" s="69"/>
      <c r="T88" s="70"/>
      <c r="U88" s="69"/>
      <c r="V88" s="69"/>
      <c r="W88" s="69"/>
      <c r="X88" s="69"/>
      <c r="Y88" s="69"/>
      <c r="Z88" s="69"/>
    </row>
    <row r="89" spans="1:26" ht="30" customHeight="1" x14ac:dyDescent="0.2">
      <c r="A89" s="69"/>
      <c r="B89" s="69"/>
      <c r="C89" s="69"/>
      <c r="D89" s="69"/>
      <c r="E89" s="69"/>
      <c r="F89" s="69"/>
      <c r="G89" s="69"/>
      <c r="H89" s="69"/>
      <c r="I89" s="69"/>
      <c r="J89" s="69"/>
      <c r="K89" s="69"/>
      <c r="L89" s="69"/>
      <c r="M89" s="69"/>
      <c r="N89" s="69"/>
      <c r="O89" s="68"/>
      <c r="P89" s="68"/>
      <c r="Q89" s="69"/>
      <c r="R89" s="69"/>
      <c r="S89" s="69"/>
      <c r="T89" s="70"/>
      <c r="U89" s="69"/>
      <c r="V89" s="69"/>
      <c r="W89" s="69"/>
      <c r="X89" s="69"/>
      <c r="Y89" s="69"/>
      <c r="Z89" s="69"/>
    </row>
    <row r="90" spans="1:26" ht="30" customHeight="1" x14ac:dyDescent="0.2">
      <c r="A90" s="69"/>
      <c r="B90" s="69"/>
      <c r="C90" s="69"/>
      <c r="D90" s="69"/>
      <c r="E90" s="69"/>
      <c r="F90" s="69"/>
      <c r="G90" s="69"/>
      <c r="H90" s="69"/>
      <c r="I90" s="69"/>
      <c r="J90" s="69"/>
      <c r="K90" s="69"/>
      <c r="L90" s="69"/>
      <c r="M90" s="69"/>
      <c r="N90" s="69"/>
      <c r="O90" s="68"/>
      <c r="P90" s="68"/>
      <c r="Q90" s="69"/>
      <c r="R90" s="69"/>
      <c r="S90" s="69"/>
      <c r="T90" s="70"/>
      <c r="U90" s="69"/>
      <c r="V90" s="69"/>
      <c r="W90" s="69"/>
      <c r="X90" s="69"/>
      <c r="Y90" s="69"/>
      <c r="Z90" s="69"/>
    </row>
    <row r="91" spans="1:26" ht="30" customHeight="1" x14ac:dyDescent="0.2">
      <c r="A91" s="69"/>
      <c r="B91" s="69"/>
      <c r="C91" s="69"/>
      <c r="D91" s="69"/>
      <c r="E91" s="69"/>
      <c r="F91" s="69"/>
      <c r="G91" s="69"/>
      <c r="H91" s="69"/>
      <c r="I91" s="69"/>
      <c r="J91" s="69"/>
      <c r="K91" s="69"/>
      <c r="L91" s="69"/>
      <c r="M91" s="69"/>
      <c r="N91" s="69"/>
      <c r="O91" s="68"/>
      <c r="P91" s="68"/>
      <c r="Q91" s="69"/>
      <c r="R91" s="69"/>
      <c r="S91" s="69"/>
      <c r="T91" s="70"/>
      <c r="U91" s="69"/>
      <c r="V91" s="69"/>
      <c r="W91" s="69"/>
      <c r="X91" s="69"/>
      <c r="Y91" s="69"/>
      <c r="Z91" s="69"/>
    </row>
    <row r="92" spans="1:26" ht="30" customHeight="1" x14ac:dyDescent="0.2">
      <c r="A92" s="69"/>
      <c r="B92" s="69"/>
      <c r="C92" s="69"/>
      <c r="D92" s="69"/>
      <c r="E92" s="69"/>
      <c r="F92" s="69"/>
      <c r="G92" s="69"/>
      <c r="H92" s="69"/>
      <c r="I92" s="69"/>
      <c r="J92" s="69"/>
      <c r="K92" s="69"/>
      <c r="L92" s="69"/>
      <c r="M92" s="69"/>
      <c r="N92" s="69"/>
      <c r="O92" s="68"/>
      <c r="P92" s="68"/>
      <c r="Q92" s="69"/>
      <c r="R92" s="69"/>
      <c r="S92" s="69"/>
      <c r="T92" s="70"/>
      <c r="U92" s="69"/>
      <c r="V92" s="69"/>
      <c r="W92" s="69"/>
      <c r="X92" s="69"/>
      <c r="Y92" s="69"/>
      <c r="Z92" s="69"/>
    </row>
    <row r="93" spans="1:26" ht="30" customHeight="1" x14ac:dyDescent="0.2">
      <c r="A93" s="69"/>
      <c r="B93" s="69"/>
      <c r="C93" s="69"/>
      <c r="D93" s="69"/>
      <c r="E93" s="69"/>
      <c r="F93" s="69"/>
      <c r="G93" s="69"/>
      <c r="H93" s="69"/>
      <c r="I93" s="69"/>
      <c r="J93" s="69"/>
      <c r="K93" s="69"/>
      <c r="L93" s="69"/>
      <c r="M93" s="69"/>
      <c r="N93" s="69"/>
      <c r="O93" s="68"/>
      <c r="P93" s="68"/>
      <c r="Q93" s="69"/>
      <c r="R93" s="69"/>
      <c r="S93" s="69"/>
      <c r="T93" s="70"/>
      <c r="U93" s="69"/>
      <c r="V93" s="69"/>
      <c r="W93" s="69"/>
      <c r="X93" s="69"/>
      <c r="Y93" s="69"/>
      <c r="Z93" s="69"/>
    </row>
    <row r="94" spans="1:26" ht="30" customHeight="1" x14ac:dyDescent="0.2">
      <c r="A94" s="69"/>
      <c r="B94" s="69"/>
      <c r="C94" s="69"/>
      <c r="D94" s="69"/>
      <c r="E94" s="69"/>
      <c r="F94" s="69"/>
      <c r="G94" s="69"/>
      <c r="H94" s="69"/>
      <c r="I94" s="69"/>
      <c r="J94" s="69"/>
      <c r="K94" s="69"/>
      <c r="L94" s="69"/>
      <c r="M94" s="69"/>
      <c r="N94" s="69"/>
      <c r="O94" s="68"/>
      <c r="P94" s="68"/>
      <c r="Q94" s="69"/>
      <c r="R94" s="69"/>
      <c r="S94" s="69"/>
      <c r="T94" s="70"/>
      <c r="U94" s="69"/>
      <c r="V94" s="69"/>
      <c r="W94" s="69"/>
      <c r="X94" s="69"/>
      <c r="Y94" s="69"/>
      <c r="Z94" s="69"/>
    </row>
    <row r="95" spans="1:26" ht="30" customHeight="1" x14ac:dyDescent="0.2">
      <c r="A95" s="69"/>
      <c r="B95" s="69"/>
      <c r="C95" s="69"/>
      <c r="D95" s="69"/>
      <c r="E95" s="69"/>
      <c r="F95" s="69"/>
      <c r="G95" s="69"/>
      <c r="H95" s="69"/>
      <c r="I95" s="69"/>
      <c r="J95" s="69"/>
      <c r="K95" s="69"/>
      <c r="L95" s="69"/>
      <c r="M95" s="69"/>
      <c r="N95" s="69"/>
      <c r="O95" s="68"/>
      <c r="P95" s="68"/>
      <c r="Q95" s="69"/>
      <c r="R95" s="69"/>
      <c r="S95" s="69"/>
      <c r="T95" s="70"/>
      <c r="U95" s="69"/>
      <c r="V95" s="69"/>
      <c r="W95" s="69"/>
      <c r="X95" s="69"/>
      <c r="Y95" s="69"/>
      <c r="Z95" s="69"/>
    </row>
    <row r="96" spans="1:26" ht="30" customHeight="1" x14ac:dyDescent="0.2">
      <c r="A96" s="69"/>
      <c r="B96" s="69"/>
      <c r="C96" s="69"/>
      <c r="D96" s="69"/>
      <c r="E96" s="69"/>
      <c r="F96" s="69"/>
      <c r="G96" s="69"/>
      <c r="H96" s="69"/>
      <c r="I96" s="69"/>
      <c r="J96" s="69"/>
      <c r="K96" s="69"/>
      <c r="L96" s="69"/>
      <c r="M96" s="69"/>
      <c r="N96" s="69"/>
      <c r="O96" s="68"/>
      <c r="P96" s="68"/>
      <c r="Q96" s="69"/>
      <c r="R96" s="69"/>
      <c r="S96" s="69"/>
      <c r="T96" s="70"/>
      <c r="U96" s="69"/>
      <c r="V96" s="69"/>
      <c r="W96" s="69"/>
      <c r="X96" s="69"/>
      <c r="Y96" s="69"/>
      <c r="Z96" s="69"/>
    </row>
    <row r="97" spans="1:26" ht="30" customHeight="1" x14ac:dyDescent="0.2">
      <c r="A97" s="69"/>
      <c r="B97" s="69"/>
      <c r="C97" s="69"/>
      <c r="D97" s="69"/>
      <c r="E97" s="69"/>
      <c r="F97" s="69"/>
      <c r="G97" s="69"/>
      <c r="H97" s="69"/>
      <c r="I97" s="69"/>
      <c r="J97" s="69"/>
      <c r="K97" s="69"/>
      <c r="L97" s="69"/>
      <c r="M97" s="69"/>
      <c r="N97" s="69"/>
      <c r="O97" s="68"/>
      <c r="P97" s="68"/>
      <c r="Q97" s="69"/>
      <c r="R97" s="69"/>
      <c r="S97" s="69"/>
      <c r="T97" s="70"/>
      <c r="U97" s="69"/>
      <c r="V97" s="69"/>
      <c r="W97" s="69"/>
      <c r="X97" s="69"/>
      <c r="Y97" s="69"/>
      <c r="Z97" s="69"/>
    </row>
    <row r="98" spans="1:26" ht="30" customHeight="1" x14ac:dyDescent="0.2">
      <c r="A98" s="69"/>
      <c r="B98" s="69"/>
      <c r="C98" s="69"/>
      <c r="D98" s="69"/>
      <c r="E98" s="69"/>
      <c r="F98" s="69"/>
      <c r="G98" s="69"/>
      <c r="H98" s="69"/>
      <c r="I98" s="69"/>
      <c r="J98" s="69"/>
      <c r="K98" s="69"/>
      <c r="L98" s="69"/>
      <c r="M98" s="69"/>
      <c r="N98" s="69"/>
      <c r="O98" s="68"/>
      <c r="P98" s="68"/>
      <c r="Q98" s="69"/>
      <c r="R98" s="69"/>
      <c r="S98" s="69"/>
      <c r="T98" s="70"/>
      <c r="U98" s="69"/>
      <c r="V98" s="69"/>
      <c r="W98" s="69"/>
      <c r="X98" s="69"/>
      <c r="Y98" s="69"/>
      <c r="Z98" s="69"/>
    </row>
    <row r="99" spans="1:26" ht="30" customHeight="1" x14ac:dyDescent="0.2">
      <c r="A99" s="69"/>
      <c r="B99" s="69"/>
      <c r="C99" s="69"/>
      <c r="D99" s="69"/>
      <c r="E99" s="69"/>
      <c r="F99" s="69"/>
      <c r="G99" s="69"/>
      <c r="H99" s="69"/>
      <c r="I99" s="69"/>
      <c r="J99" s="69"/>
      <c r="K99" s="69"/>
      <c r="L99" s="69"/>
      <c r="M99" s="69"/>
      <c r="N99" s="69"/>
      <c r="O99" s="68"/>
      <c r="P99" s="68"/>
      <c r="Q99" s="69"/>
      <c r="R99" s="69"/>
      <c r="S99" s="69"/>
      <c r="T99" s="70"/>
      <c r="U99" s="69"/>
      <c r="V99" s="69"/>
      <c r="W99" s="69"/>
      <c r="X99" s="69"/>
      <c r="Y99" s="69"/>
      <c r="Z99" s="69"/>
    </row>
    <row r="100" spans="1:26" ht="30" customHeight="1" x14ac:dyDescent="0.2">
      <c r="A100" s="69"/>
      <c r="B100" s="69"/>
      <c r="C100" s="69"/>
      <c r="D100" s="69"/>
      <c r="E100" s="69"/>
      <c r="F100" s="69"/>
      <c r="G100" s="69"/>
      <c r="H100" s="69"/>
      <c r="I100" s="69"/>
      <c r="J100" s="69"/>
      <c r="K100" s="69"/>
      <c r="L100" s="69"/>
      <c r="M100" s="69"/>
      <c r="N100" s="69"/>
      <c r="O100" s="68"/>
      <c r="P100" s="68"/>
      <c r="Q100" s="69"/>
      <c r="R100" s="69"/>
      <c r="S100" s="69"/>
      <c r="T100" s="70"/>
      <c r="U100" s="69"/>
      <c r="V100" s="69"/>
      <c r="W100" s="69"/>
      <c r="X100" s="69"/>
      <c r="Y100" s="69"/>
      <c r="Z100" s="69"/>
    </row>
    <row r="101" spans="1:26" ht="30" customHeight="1" x14ac:dyDescent="0.2">
      <c r="A101" s="69"/>
      <c r="B101" s="69"/>
      <c r="C101" s="69"/>
      <c r="D101" s="69"/>
      <c r="E101" s="69"/>
      <c r="F101" s="69"/>
      <c r="G101" s="69"/>
      <c r="H101" s="69"/>
      <c r="I101" s="69"/>
      <c r="J101" s="69"/>
      <c r="K101" s="69"/>
      <c r="L101" s="69"/>
      <c r="M101" s="69"/>
      <c r="N101" s="69"/>
      <c r="O101" s="68"/>
      <c r="P101" s="68"/>
      <c r="Q101" s="69"/>
      <c r="R101" s="69"/>
      <c r="S101" s="69"/>
      <c r="T101" s="70"/>
      <c r="U101" s="69"/>
      <c r="V101" s="69"/>
      <c r="W101" s="69"/>
      <c r="X101" s="69"/>
      <c r="Y101" s="69"/>
      <c r="Z101" s="69"/>
    </row>
    <row r="102" spans="1:26" ht="30" customHeight="1" x14ac:dyDescent="0.2">
      <c r="A102" s="69"/>
      <c r="B102" s="69"/>
      <c r="C102" s="69"/>
      <c r="D102" s="69"/>
      <c r="E102" s="69"/>
      <c r="F102" s="69"/>
      <c r="G102" s="69"/>
      <c r="H102" s="69"/>
      <c r="I102" s="69"/>
      <c r="J102" s="69"/>
      <c r="K102" s="69"/>
      <c r="L102" s="69"/>
      <c r="M102" s="69"/>
      <c r="N102" s="69"/>
      <c r="O102" s="68"/>
      <c r="P102" s="68"/>
      <c r="Q102" s="69"/>
      <c r="R102" s="69"/>
      <c r="S102" s="69"/>
      <c r="T102" s="70"/>
      <c r="U102" s="69"/>
      <c r="V102" s="69"/>
      <c r="W102" s="69"/>
      <c r="X102" s="69"/>
      <c r="Y102" s="69"/>
      <c r="Z102" s="69"/>
    </row>
    <row r="103" spans="1:26" ht="30" customHeight="1" x14ac:dyDescent="0.2">
      <c r="A103" s="69"/>
      <c r="B103" s="69"/>
      <c r="C103" s="69"/>
      <c r="D103" s="69"/>
      <c r="E103" s="69"/>
      <c r="F103" s="69"/>
      <c r="G103" s="69"/>
      <c r="H103" s="69"/>
      <c r="I103" s="69"/>
      <c r="J103" s="69"/>
      <c r="K103" s="69"/>
      <c r="L103" s="69"/>
      <c r="M103" s="69"/>
      <c r="N103" s="69"/>
      <c r="O103" s="68"/>
      <c r="P103" s="68"/>
      <c r="Q103" s="69"/>
      <c r="R103" s="69"/>
      <c r="S103" s="69"/>
      <c r="T103" s="70"/>
      <c r="U103" s="69"/>
      <c r="V103" s="69"/>
      <c r="W103" s="69"/>
      <c r="X103" s="69"/>
      <c r="Y103" s="69"/>
      <c r="Z103" s="69"/>
    </row>
    <row r="104" spans="1:26" ht="30" customHeight="1" x14ac:dyDescent="0.2">
      <c r="A104" s="69"/>
      <c r="B104" s="69"/>
      <c r="C104" s="69"/>
      <c r="D104" s="69"/>
      <c r="E104" s="69"/>
      <c r="F104" s="69"/>
      <c r="G104" s="69"/>
      <c r="H104" s="69"/>
      <c r="I104" s="69"/>
      <c r="J104" s="69"/>
      <c r="K104" s="69"/>
      <c r="L104" s="69"/>
      <c r="M104" s="69"/>
      <c r="N104" s="69"/>
      <c r="O104" s="68"/>
      <c r="P104" s="68"/>
      <c r="Q104" s="69"/>
      <c r="R104" s="69"/>
      <c r="S104" s="69"/>
      <c r="T104" s="70"/>
      <c r="U104" s="69"/>
      <c r="V104" s="69"/>
      <c r="W104" s="69"/>
      <c r="X104" s="69"/>
      <c r="Y104" s="69"/>
      <c r="Z104" s="69"/>
    </row>
    <row r="105" spans="1:26" ht="30" customHeight="1" x14ac:dyDescent="0.2">
      <c r="A105" s="69"/>
      <c r="B105" s="69"/>
      <c r="C105" s="69"/>
      <c r="D105" s="69"/>
      <c r="E105" s="69"/>
      <c r="F105" s="69"/>
      <c r="G105" s="69"/>
      <c r="H105" s="69"/>
      <c r="I105" s="69"/>
      <c r="J105" s="69"/>
      <c r="K105" s="69"/>
      <c r="L105" s="69"/>
      <c r="M105" s="69"/>
      <c r="N105" s="69"/>
      <c r="O105" s="68"/>
      <c r="P105" s="68"/>
      <c r="Q105" s="69"/>
      <c r="R105" s="69"/>
      <c r="S105" s="69"/>
      <c r="T105" s="70"/>
      <c r="U105" s="69"/>
      <c r="V105" s="69"/>
      <c r="W105" s="69"/>
      <c r="X105" s="69"/>
      <c r="Y105" s="69"/>
      <c r="Z105" s="69"/>
    </row>
    <row r="106" spans="1:26" ht="30" customHeight="1" x14ac:dyDescent="0.2">
      <c r="A106" s="69"/>
      <c r="B106" s="69"/>
      <c r="C106" s="69"/>
      <c r="D106" s="69"/>
      <c r="E106" s="69"/>
      <c r="F106" s="69"/>
      <c r="G106" s="69"/>
      <c r="H106" s="69"/>
      <c r="I106" s="69"/>
      <c r="J106" s="69"/>
      <c r="K106" s="69"/>
      <c r="L106" s="69"/>
      <c r="M106" s="69"/>
      <c r="N106" s="69"/>
      <c r="O106" s="68"/>
      <c r="P106" s="68"/>
      <c r="Q106" s="69"/>
      <c r="R106" s="69"/>
      <c r="S106" s="69"/>
      <c r="T106" s="70"/>
      <c r="U106" s="69"/>
      <c r="V106" s="69"/>
      <c r="W106" s="69"/>
      <c r="X106" s="69"/>
      <c r="Y106" s="69"/>
      <c r="Z106" s="69"/>
    </row>
    <row r="107" spans="1:26" ht="30" customHeight="1" x14ac:dyDescent="0.2">
      <c r="A107" s="69"/>
      <c r="B107" s="69"/>
      <c r="C107" s="69"/>
      <c r="D107" s="69"/>
      <c r="E107" s="69"/>
      <c r="F107" s="69"/>
      <c r="G107" s="69"/>
      <c r="H107" s="69"/>
      <c r="I107" s="69"/>
      <c r="J107" s="69"/>
      <c r="K107" s="69"/>
      <c r="L107" s="69"/>
      <c r="M107" s="69"/>
      <c r="N107" s="69"/>
      <c r="O107" s="68"/>
      <c r="P107" s="68"/>
      <c r="Q107" s="69"/>
      <c r="R107" s="69"/>
      <c r="S107" s="69"/>
      <c r="T107" s="70"/>
      <c r="U107" s="69"/>
      <c r="V107" s="69"/>
      <c r="W107" s="69"/>
      <c r="X107" s="69"/>
      <c r="Y107" s="69"/>
      <c r="Z107" s="69"/>
    </row>
    <row r="108" spans="1:26" ht="30" customHeight="1" x14ac:dyDescent="0.2">
      <c r="A108" s="69"/>
      <c r="B108" s="69"/>
      <c r="C108" s="69"/>
      <c r="D108" s="69"/>
      <c r="E108" s="69"/>
      <c r="F108" s="69"/>
      <c r="G108" s="69"/>
      <c r="H108" s="69"/>
      <c r="I108" s="69"/>
      <c r="J108" s="69"/>
      <c r="K108" s="69"/>
      <c r="L108" s="69"/>
      <c r="M108" s="69"/>
      <c r="N108" s="69"/>
      <c r="O108" s="68"/>
      <c r="P108" s="68"/>
      <c r="Q108" s="69"/>
      <c r="R108" s="69"/>
      <c r="S108" s="69"/>
      <c r="T108" s="70"/>
      <c r="U108" s="69"/>
      <c r="V108" s="69"/>
      <c r="W108" s="69"/>
      <c r="X108" s="69"/>
      <c r="Y108" s="69"/>
      <c r="Z108" s="69"/>
    </row>
    <row r="109" spans="1:26" ht="30" customHeight="1" x14ac:dyDescent="0.2">
      <c r="A109" s="69"/>
      <c r="B109" s="69"/>
      <c r="C109" s="69"/>
      <c r="D109" s="69"/>
      <c r="E109" s="69"/>
      <c r="F109" s="69"/>
      <c r="G109" s="69"/>
      <c r="H109" s="69"/>
      <c r="I109" s="69"/>
      <c r="J109" s="69"/>
      <c r="K109" s="69"/>
      <c r="L109" s="69"/>
      <c r="M109" s="69"/>
      <c r="N109" s="69"/>
      <c r="O109" s="68"/>
      <c r="P109" s="68"/>
      <c r="Q109" s="69"/>
      <c r="R109" s="69"/>
      <c r="S109" s="69"/>
      <c r="T109" s="70"/>
      <c r="U109" s="69"/>
      <c r="V109" s="69"/>
      <c r="W109" s="69"/>
      <c r="X109" s="69"/>
      <c r="Y109" s="69"/>
      <c r="Z109" s="69"/>
    </row>
    <row r="110" spans="1:26" ht="30" customHeight="1" x14ac:dyDescent="0.2">
      <c r="A110" s="69"/>
      <c r="B110" s="69"/>
      <c r="C110" s="69"/>
      <c r="D110" s="69"/>
      <c r="E110" s="69"/>
      <c r="F110" s="69"/>
      <c r="G110" s="69"/>
      <c r="H110" s="69"/>
      <c r="I110" s="69"/>
      <c r="J110" s="69"/>
      <c r="K110" s="69"/>
      <c r="L110" s="69"/>
      <c r="M110" s="69"/>
      <c r="N110" s="69"/>
      <c r="O110" s="68"/>
      <c r="P110" s="68"/>
      <c r="Q110" s="69"/>
      <c r="R110" s="69"/>
      <c r="S110" s="69"/>
      <c r="T110" s="70"/>
      <c r="U110" s="69"/>
      <c r="V110" s="69"/>
      <c r="W110" s="69"/>
      <c r="X110" s="69"/>
      <c r="Y110" s="69"/>
      <c r="Z110" s="69"/>
    </row>
    <row r="111" spans="1:26" ht="30" customHeight="1" x14ac:dyDescent="0.2">
      <c r="A111" s="69"/>
      <c r="B111" s="69"/>
      <c r="C111" s="69"/>
      <c r="D111" s="69"/>
      <c r="E111" s="69"/>
      <c r="F111" s="69"/>
      <c r="G111" s="69"/>
      <c r="H111" s="69"/>
      <c r="I111" s="69"/>
      <c r="J111" s="69"/>
      <c r="K111" s="69"/>
      <c r="L111" s="69"/>
      <c r="M111" s="69"/>
      <c r="N111" s="69"/>
      <c r="O111" s="68"/>
      <c r="P111" s="68"/>
      <c r="Q111" s="69"/>
      <c r="R111" s="69"/>
      <c r="S111" s="69"/>
      <c r="T111" s="70"/>
      <c r="U111" s="69"/>
      <c r="V111" s="69"/>
      <c r="W111" s="69"/>
      <c r="X111" s="69"/>
      <c r="Y111" s="69"/>
      <c r="Z111" s="69"/>
    </row>
    <row r="112" spans="1:26" ht="30" customHeight="1" x14ac:dyDescent="0.2">
      <c r="A112" s="69"/>
      <c r="B112" s="69"/>
      <c r="C112" s="69"/>
      <c r="D112" s="69"/>
      <c r="E112" s="69"/>
      <c r="F112" s="69"/>
      <c r="G112" s="69"/>
      <c r="H112" s="69"/>
      <c r="I112" s="69"/>
      <c r="J112" s="69"/>
      <c r="K112" s="69"/>
      <c r="L112" s="69"/>
      <c r="M112" s="69"/>
      <c r="N112" s="69"/>
      <c r="O112" s="68"/>
      <c r="P112" s="68"/>
      <c r="Q112" s="69"/>
      <c r="R112" s="69"/>
      <c r="S112" s="69"/>
      <c r="T112" s="70"/>
      <c r="U112" s="69"/>
      <c r="V112" s="69"/>
      <c r="W112" s="69"/>
      <c r="X112" s="69"/>
      <c r="Y112" s="69"/>
      <c r="Z112" s="69"/>
    </row>
    <row r="113" spans="1:26" ht="30" customHeight="1" x14ac:dyDescent="0.2">
      <c r="A113" s="69"/>
      <c r="B113" s="69"/>
      <c r="C113" s="69"/>
      <c r="D113" s="69"/>
      <c r="E113" s="69"/>
      <c r="F113" s="69"/>
      <c r="G113" s="69"/>
      <c r="H113" s="69"/>
      <c r="I113" s="69"/>
      <c r="J113" s="69"/>
      <c r="K113" s="69"/>
      <c r="L113" s="69"/>
      <c r="M113" s="69"/>
      <c r="N113" s="69"/>
      <c r="O113" s="68"/>
      <c r="P113" s="68"/>
      <c r="Q113" s="69"/>
      <c r="R113" s="69"/>
      <c r="S113" s="69"/>
      <c r="T113" s="70"/>
      <c r="U113" s="69"/>
      <c r="V113" s="69"/>
      <c r="W113" s="69"/>
      <c r="X113" s="69"/>
      <c r="Y113" s="69"/>
      <c r="Z113" s="69"/>
    </row>
    <row r="114" spans="1:26" ht="30" customHeight="1" x14ac:dyDescent="0.2">
      <c r="A114" s="69"/>
      <c r="B114" s="69"/>
      <c r="C114" s="69"/>
      <c r="D114" s="69"/>
      <c r="E114" s="69"/>
      <c r="F114" s="69"/>
      <c r="G114" s="69"/>
      <c r="H114" s="69"/>
      <c r="I114" s="69"/>
      <c r="J114" s="69"/>
      <c r="K114" s="69"/>
      <c r="L114" s="69"/>
      <c r="M114" s="69"/>
      <c r="N114" s="69"/>
      <c r="O114" s="68"/>
      <c r="P114" s="68"/>
      <c r="Q114" s="69"/>
      <c r="R114" s="69"/>
      <c r="S114" s="69"/>
      <c r="T114" s="70"/>
      <c r="U114" s="69"/>
      <c r="V114" s="69"/>
      <c r="W114" s="69"/>
      <c r="X114" s="69"/>
      <c r="Y114" s="69"/>
      <c r="Z114" s="69"/>
    </row>
    <row r="115" spans="1:26" ht="30" customHeight="1" x14ac:dyDescent="0.2">
      <c r="A115" s="69"/>
      <c r="B115" s="69"/>
      <c r="C115" s="69"/>
      <c r="D115" s="69"/>
      <c r="E115" s="69"/>
      <c r="F115" s="69"/>
      <c r="G115" s="69"/>
      <c r="H115" s="69"/>
      <c r="I115" s="69"/>
      <c r="J115" s="69"/>
      <c r="K115" s="69"/>
      <c r="L115" s="69"/>
      <c r="M115" s="69"/>
      <c r="N115" s="69"/>
      <c r="O115" s="68"/>
      <c r="P115" s="68"/>
      <c r="Q115" s="69"/>
      <c r="R115" s="69"/>
      <c r="S115" s="69"/>
      <c r="T115" s="70"/>
      <c r="U115" s="69"/>
      <c r="V115" s="69"/>
      <c r="W115" s="69"/>
      <c r="X115" s="69"/>
      <c r="Y115" s="69"/>
      <c r="Z115" s="69"/>
    </row>
    <row r="116" spans="1:26" ht="30" customHeight="1" x14ac:dyDescent="0.2">
      <c r="A116" s="69"/>
      <c r="B116" s="69"/>
      <c r="C116" s="69"/>
      <c r="D116" s="69"/>
      <c r="E116" s="69"/>
      <c r="F116" s="69"/>
      <c r="G116" s="69"/>
      <c r="H116" s="69"/>
      <c r="I116" s="69"/>
      <c r="J116" s="69"/>
      <c r="K116" s="69"/>
      <c r="L116" s="69"/>
      <c r="M116" s="69"/>
      <c r="N116" s="69"/>
      <c r="O116" s="68"/>
      <c r="P116" s="68"/>
      <c r="Q116" s="69"/>
      <c r="R116" s="69"/>
      <c r="S116" s="69"/>
      <c r="T116" s="70"/>
      <c r="U116" s="69"/>
      <c r="V116" s="69"/>
      <c r="W116" s="69"/>
      <c r="X116" s="69"/>
      <c r="Y116" s="69"/>
      <c r="Z116" s="69"/>
    </row>
    <row r="117" spans="1:26" ht="30" customHeight="1" x14ac:dyDescent="0.2">
      <c r="A117" s="69"/>
      <c r="B117" s="69"/>
      <c r="C117" s="69"/>
      <c r="D117" s="69"/>
      <c r="E117" s="69"/>
      <c r="F117" s="69"/>
      <c r="G117" s="69"/>
      <c r="H117" s="69"/>
      <c r="I117" s="69"/>
      <c r="J117" s="69"/>
      <c r="K117" s="69"/>
      <c r="L117" s="69"/>
      <c r="M117" s="69"/>
      <c r="N117" s="69"/>
      <c r="O117" s="68"/>
      <c r="P117" s="68"/>
      <c r="Q117" s="69"/>
      <c r="R117" s="69"/>
      <c r="S117" s="69"/>
      <c r="T117" s="70"/>
      <c r="U117" s="69"/>
      <c r="V117" s="69"/>
      <c r="W117" s="69"/>
      <c r="X117" s="69"/>
      <c r="Y117" s="69"/>
      <c r="Z117" s="69"/>
    </row>
    <row r="118" spans="1:26" ht="30" customHeight="1" x14ac:dyDescent="0.2">
      <c r="A118" s="69"/>
      <c r="B118" s="69"/>
      <c r="C118" s="69"/>
      <c r="D118" s="69"/>
      <c r="E118" s="69"/>
      <c r="F118" s="69"/>
      <c r="G118" s="69"/>
      <c r="H118" s="69"/>
      <c r="I118" s="69"/>
      <c r="J118" s="69"/>
      <c r="K118" s="69"/>
      <c r="L118" s="69"/>
      <c r="M118" s="69"/>
      <c r="N118" s="69"/>
      <c r="O118" s="68"/>
      <c r="P118" s="68"/>
      <c r="Q118" s="69"/>
      <c r="R118" s="69"/>
      <c r="S118" s="69"/>
      <c r="T118" s="70"/>
      <c r="U118" s="69"/>
      <c r="V118" s="69"/>
      <c r="W118" s="69"/>
      <c r="X118" s="69"/>
      <c r="Y118" s="69"/>
      <c r="Z118" s="69"/>
    </row>
    <row r="119" spans="1:26" ht="30" customHeight="1" x14ac:dyDescent="0.2">
      <c r="A119" s="69"/>
      <c r="B119" s="69"/>
      <c r="C119" s="69"/>
      <c r="D119" s="69"/>
      <c r="E119" s="69"/>
      <c r="F119" s="69"/>
      <c r="G119" s="69"/>
      <c r="H119" s="69"/>
      <c r="I119" s="69"/>
      <c r="J119" s="69"/>
      <c r="K119" s="69"/>
      <c r="L119" s="69"/>
      <c r="M119" s="69"/>
      <c r="N119" s="69"/>
      <c r="O119" s="68"/>
      <c r="P119" s="68"/>
      <c r="Q119" s="69"/>
      <c r="R119" s="69"/>
      <c r="S119" s="69"/>
      <c r="T119" s="70"/>
      <c r="U119" s="69"/>
      <c r="V119" s="69"/>
      <c r="W119" s="69"/>
      <c r="X119" s="69"/>
      <c r="Y119" s="69"/>
      <c r="Z119" s="69"/>
    </row>
    <row r="120" spans="1:26" ht="30" customHeight="1" x14ac:dyDescent="0.2">
      <c r="A120" s="69"/>
      <c r="B120" s="69"/>
      <c r="C120" s="69"/>
      <c r="D120" s="69"/>
      <c r="E120" s="69"/>
      <c r="F120" s="69"/>
      <c r="G120" s="69"/>
      <c r="H120" s="69"/>
      <c r="I120" s="69"/>
      <c r="J120" s="69"/>
      <c r="K120" s="69"/>
      <c r="L120" s="69"/>
      <c r="M120" s="69"/>
      <c r="N120" s="69"/>
      <c r="O120" s="68"/>
      <c r="P120" s="68"/>
      <c r="Q120" s="69"/>
      <c r="R120" s="69"/>
      <c r="S120" s="69"/>
      <c r="T120" s="70"/>
      <c r="U120" s="69"/>
      <c r="V120" s="69"/>
      <c r="W120" s="69"/>
      <c r="X120" s="69"/>
      <c r="Y120" s="69"/>
      <c r="Z120" s="69"/>
    </row>
    <row r="121" spans="1:26" ht="30" customHeight="1" x14ac:dyDescent="0.2">
      <c r="A121" s="69"/>
      <c r="B121" s="69"/>
      <c r="C121" s="69"/>
      <c r="D121" s="69"/>
      <c r="E121" s="69"/>
      <c r="F121" s="69"/>
      <c r="G121" s="69"/>
      <c r="H121" s="69"/>
      <c r="I121" s="69"/>
      <c r="J121" s="69"/>
      <c r="K121" s="69"/>
      <c r="L121" s="69"/>
      <c r="M121" s="69"/>
      <c r="N121" s="69"/>
      <c r="O121" s="68"/>
      <c r="P121" s="68"/>
      <c r="Q121" s="69"/>
      <c r="R121" s="69"/>
      <c r="S121" s="69"/>
      <c r="T121" s="70"/>
      <c r="U121" s="69"/>
      <c r="V121" s="69"/>
      <c r="W121" s="69"/>
      <c r="X121" s="69"/>
      <c r="Y121" s="69"/>
      <c r="Z121" s="69"/>
    </row>
    <row r="122" spans="1:26" ht="30" customHeight="1" x14ac:dyDescent="0.2">
      <c r="A122" s="69"/>
      <c r="B122" s="69"/>
      <c r="C122" s="69"/>
      <c r="D122" s="69"/>
      <c r="E122" s="69"/>
      <c r="F122" s="69"/>
      <c r="G122" s="69"/>
      <c r="H122" s="69"/>
      <c r="I122" s="69"/>
      <c r="J122" s="69"/>
      <c r="K122" s="69"/>
      <c r="L122" s="69"/>
      <c r="M122" s="69"/>
      <c r="N122" s="69"/>
      <c r="O122" s="68"/>
      <c r="P122" s="68"/>
      <c r="Q122" s="69"/>
      <c r="R122" s="69"/>
      <c r="S122" s="69"/>
      <c r="T122" s="70"/>
      <c r="U122" s="69"/>
      <c r="V122" s="69"/>
      <c r="W122" s="69"/>
      <c r="X122" s="69"/>
      <c r="Y122" s="69"/>
      <c r="Z122" s="69"/>
    </row>
    <row r="123" spans="1:26" ht="30" customHeight="1" x14ac:dyDescent="0.2">
      <c r="A123" s="69"/>
      <c r="B123" s="69"/>
      <c r="C123" s="69"/>
      <c r="D123" s="69"/>
      <c r="E123" s="69"/>
      <c r="F123" s="69"/>
      <c r="G123" s="69"/>
      <c r="H123" s="69"/>
      <c r="I123" s="69"/>
      <c r="J123" s="69"/>
      <c r="K123" s="69"/>
      <c r="L123" s="69"/>
      <c r="M123" s="69"/>
      <c r="N123" s="69"/>
      <c r="O123" s="68"/>
      <c r="P123" s="68"/>
      <c r="Q123" s="69"/>
      <c r="R123" s="69"/>
      <c r="S123" s="69"/>
      <c r="T123" s="70"/>
      <c r="U123" s="69"/>
      <c r="V123" s="69"/>
      <c r="W123" s="69"/>
      <c r="X123" s="69"/>
      <c r="Y123" s="69"/>
      <c r="Z123" s="69"/>
    </row>
    <row r="124" spans="1:26" ht="30" customHeight="1" x14ac:dyDescent="0.2">
      <c r="A124" s="69"/>
      <c r="B124" s="69"/>
      <c r="C124" s="69"/>
      <c r="D124" s="69"/>
      <c r="E124" s="69"/>
      <c r="F124" s="69"/>
      <c r="G124" s="69"/>
      <c r="H124" s="69"/>
      <c r="I124" s="69"/>
      <c r="J124" s="69"/>
      <c r="K124" s="69"/>
      <c r="L124" s="69"/>
      <c r="M124" s="69"/>
      <c r="N124" s="69"/>
      <c r="O124" s="68"/>
      <c r="P124" s="68"/>
      <c r="Q124" s="69"/>
      <c r="R124" s="69"/>
      <c r="S124" s="69"/>
      <c r="T124" s="70"/>
      <c r="U124" s="69"/>
      <c r="V124" s="69"/>
      <c r="W124" s="69"/>
      <c r="X124" s="69"/>
      <c r="Y124" s="69"/>
      <c r="Z124" s="69"/>
    </row>
    <row r="125" spans="1:26" ht="30" customHeight="1" x14ac:dyDescent="0.2">
      <c r="A125" s="69"/>
      <c r="B125" s="69"/>
      <c r="C125" s="69"/>
      <c r="D125" s="69"/>
      <c r="E125" s="69"/>
      <c r="F125" s="69"/>
      <c r="G125" s="69"/>
      <c r="H125" s="69"/>
      <c r="I125" s="69"/>
      <c r="J125" s="69"/>
      <c r="K125" s="69"/>
      <c r="L125" s="69"/>
      <c r="M125" s="69"/>
      <c r="N125" s="69"/>
      <c r="O125" s="68"/>
      <c r="P125" s="68"/>
      <c r="Q125" s="69"/>
      <c r="R125" s="69"/>
      <c r="S125" s="69"/>
      <c r="T125" s="70"/>
      <c r="U125" s="69"/>
      <c r="V125" s="69"/>
      <c r="W125" s="69"/>
      <c r="X125" s="69"/>
      <c r="Y125" s="69"/>
      <c r="Z125" s="69"/>
    </row>
    <row r="126" spans="1:26" ht="30" customHeight="1" x14ac:dyDescent="0.2">
      <c r="A126" s="69"/>
      <c r="B126" s="69"/>
      <c r="C126" s="69"/>
      <c r="D126" s="69"/>
      <c r="E126" s="69"/>
      <c r="F126" s="69"/>
      <c r="G126" s="69"/>
      <c r="H126" s="69"/>
      <c r="I126" s="69"/>
      <c r="J126" s="69"/>
      <c r="K126" s="69"/>
      <c r="L126" s="69"/>
      <c r="M126" s="69"/>
      <c r="N126" s="69"/>
      <c r="O126" s="68"/>
      <c r="P126" s="68"/>
      <c r="Q126" s="69"/>
      <c r="R126" s="69"/>
      <c r="S126" s="69"/>
      <c r="T126" s="70"/>
      <c r="U126" s="69"/>
      <c r="V126" s="69"/>
      <c r="W126" s="69"/>
      <c r="X126" s="69"/>
      <c r="Y126" s="69"/>
      <c r="Z126" s="69"/>
    </row>
    <row r="127" spans="1:26" ht="30" customHeight="1" x14ac:dyDescent="0.2">
      <c r="A127" s="69"/>
      <c r="B127" s="69"/>
      <c r="C127" s="69"/>
      <c r="D127" s="69"/>
      <c r="E127" s="69"/>
      <c r="F127" s="69"/>
      <c r="G127" s="69"/>
      <c r="H127" s="69"/>
      <c r="I127" s="69"/>
      <c r="J127" s="69"/>
      <c r="K127" s="69"/>
      <c r="L127" s="69"/>
      <c r="M127" s="69"/>
      <c r="N127" s="69"/>
      <c r="O127" s="68"/>
      <c r="P127" s="68"/>
      <c r="Q127" s="69"/>
      <c r="R127" s="69"/>
      <c r="S127" s="69"/>
      <c r="T127" s="70"/>
      <c r="U127" s="69"/>
      <c r="V127" s="69"/>
      <c r="W127" s="69"/>
      <c r="X127" s="69"/>
      <c r="Y127" s="69"/>
      <c r="Z127" s="69"/>
    </row>
    <row r="128" spans="1:26" ht="30" customHeight="1" x14ac:dyDescent="0.2">
      <c r="A128" s="69"/>
      <c r="B128" s="69"/>
      <c r="C128" s="69"/>
      <c r="D128" s="69"/>
      <c r="E128" s="69"/>
      <c r="F128" s="69"/>
      <c r="G128" s="69"/>
      <c r="H128" s="69"/>
      <c r="I128" s="69"/>
      <c r="J128" s="69"/>
      <c r="K128" s="69"/>
      <c r="L128" s="69"/>
      <c r="M128" s="69"/>
      <c r="N128" s="69"/>
      <c r="O128" s="68"/>
      <c r="P128" s="68"/>
      <c r="Q128" s="69"/>
      <c r="R128" s="69"/>
      <c r="S128" s="69"/>
      <c r="T128" s="70"/>
      <c r="U128" s="69"/>
      <c r="V128" s="69"/>
      <c r="W128" s="69"/>
      <c r="X128" s="69"/>
      <c r="Y128" s="69"/>
      <c r="Z128" s="69"/>
    </row>
    <row r="129" spans="1:26" ht="30" customHeight="1" x14ac:dyDescent="0.2">
      <c r="A129" s="69"/>
      <c r="B129" s="69"/>
      <c r="C129" s="69"/>
      <c r="D129" s="69"/>
      <c r="E129" s="69"/>
      <c r="F129" s="69"/>
      <c r="G129" s="69"/>
      <c r="H129" s="69"/>
      <c r="I129" s="69"/>
      <c r="J129" s="69"/>
      <c r="K129" s="69"/>
      <c r="L129" s="69"/>
      <c r="M129" s="69"/>
      <c r="N129" s="69"/>
      <c r="O129" s="68"/>
      <c r="P129" s="68"/>
      <c r="Q129" s="69"/>
      <c r="R129" s="69"/>
      <c r="S129" s="69"/>
      <c r="T129" s="70"/>
      <c r="U129" s="69"/>
      <c r="V129" s="69"/>
      <c r="W129" s="69"/>
      <c r="X129" s="69"/>
      <c r="Y129" s="69"/>
      <c r="Z129" s="69"/>
    </row>
    <row r="130" spans="1:26" ht="30" customHeight="1" x14ac:dyDescent="0.2">
      <c r="A130" s="69"/>
      <c r="B130" s="69"/>
      <c r="C130" s="69"/>
      <c r="D130" s="69"/>
      <c r="E130" s="69"/>
      <c r="F130" s="69"/>
      <c r="G130" s="69"/>
      <c r="H130" s="69"/>
      <c r="I130" s="69"/>
      <c r="J130" s="69"/>
      <c r="K130" s="69"/>
      <c r="L130" s="69"/>
      <c r="M130" s="69"/>
      <c r="N130" s="69"/>
      <c r="O130" s="68"/>
      <c r="P130" s="68"/>
      <c r="Q130" s="69"/>
      <c r="R130" s="69"/>
      <c r="S130" s="69"/>
      <c r="T130" s="70"/>
      <c r="U130" s="69"/>
      <c r="V130" s="69"/>
      <c r="W130" s="69"/>
      <c r="X130" s="69"/>
      <c r="Y130" s="69"/>
      <c r="Z130" s="69"/>
    </row>
    <row r="131" spans="1:26" ht="30" customHeight="1" x14ac:dyDescent="0.2">
      <c r="A131" s="69"/>
      <c r="B131" s="69"/>
      <c r="C131" s="69"/>
      <c r="D131" s="69"/>
      <c r="E131" s="69"/>
      <c r="F131" s="69"/>
      <c r="G131" s="69"/>
      <c r="H131" s="69"/>
      <c r="I131" s="69"/>
      <c r="J131" s="69"/>
      <c r="K131" s="69"/>
      <c r="L131" s="69"/>
      <c r="M131" s="69"/>
      <c r="N131" s="69"/>
      <c r="O131" s="68"/>
      <c r="P131" s="68"/>
      <c r="Q131" s="69"/>
      <c r="R131" s="69"/>
      <c r="S131" s="69"/>
      <c r="T131" s="70"/>
      <c r="U131" s="69"/>
      <c r="V131" s="69"/>
      <c r="W131" s="69"/>
      <c r="X131" s="69"/>
      <c r="Y131" s="69"/>
      <c r="Z131" s="69"/>
    </row>
    <row r="132" spans="1:26" ht="30" customHeight="1" x14ac:dyDescent="0.2">
      <c r="A132" s="69"/>
      <c r="B132" s="69"/>
      <c r="C132" s="69"/>
      <c r="D132" s="69"/>
      <c r="E132" s="69"/>
      <c r="F132" s="69"/>
      <c r="G132" s="69"/>
      <c r="H132" s="69"/>
      <c r="I132" s="69"/>
      <c r="J132" s="69"/>
      <c r="K132" s="69"/>
      <c r="L132" s="69"/>
      <c r="M132" s="69"/>
      <c r="N132" s="69"/>
      <c r="O132" s="68"/>
      <c r="P132" s="68"/>
      <c r="Q132" s="69"/>
      <c r="R132" s="69"/>
      <c r="S132" s="69"/>
      <c r="T132" s="70"/>
      <c r="U132" s="69"/>
      <c r="V132" s="69"/>
      <c r="W132" s="69"/>
      <c r="X132" s="69"/>
      <c r="Y132" s="69"/>
      <c r="Z132" s="69"/>
    </row>
    <row r="133" spans="1:26" ht="30" customHeight="1" x14ac:dyDescent="0.2">
      <c r="A133" s="69"/>
      <c r="B133" s="69"/>
      <c r="C133" s="69"/>
      <c r="D133" s="69"/>
      <c r="E133" s="69"/>
      <c r="F133" s="69"/>
      <c r="G133" s="69"/>
      <c r="H133" s="69"/>
      <c r="I133" s="69"/>
      <c r="J133" s="69"/>
      <c r="K133" s="69"/>
      <c r="L133" s="69"/>
      <c r="M133" s="69"/>
      <c r="N133" s="69"/>
      <c r="O133" s="68"/>
      <c r="P133" s="68"/>
      <c r="Q133" s="69"/>
      <c r="R133" s="69"/>
      <c r="S133" s="69"/>
      <c r="T133" s="70"/>
      <c r="U133" s="69"/>
      <c r="V133" s="69"/>
      <c r="W133" s="69"/>
      <c r="X133" s="69"/>
      <c r="Y133" s="69"/>
      <c r="Z133" s="69"/>
    </row>
    <row r="134" spans="1:26" ht="30" customHeight="1" x14ac:dyDescent="0.2">
      <c r="A134" s="69"/>
      <c r="B134" s="69"/>
      <c r="C134" s="69"/>
      <c r="D134" s="69"/>
      <c r="E134" s="69"/>
      <c r="F134" s="69"/>
      <c r="G134" s="69"/>
      <c r="H134" s="69"/>
      <c r="I134" s="69"/>
      <c r="J134" s="69"/>
      <c r="K134" s="69"/>
      <c r="L134" s="69"/>
      <c r="M134" s="69"/>
      <c r="N134" s="69"/>
      <c r="O134" s="68"/>
      <c r="P134" s="68"/>
      <c r="Q134" s="69"/>
      <c r="R134" s="69"/>
      <c r="S134" s="69"/>
      <c r="T134" s="70"/>
      <c r="U134" s="69"/>
      <c r="V134" s="69"/>
      <c r="W134" s="69"/>
      <c r="X134" s="69"/>
      <c r="Y134" s="69"/>
      <c r="Z134" s="69"/>
    </row>
    <row r="135" spans="1:26" ht="30" customHeight="1" x14ac:dyDescent="0.2">
      <c r="A135" s="69"/>
      <c r="B135" s="69"/>
      <c r="C135" s="69"/>
      <c r="D135" s="69"/>
      <c r="E135" s="69"/>
      <c r="F135" s="69"/>
      <c r="G135" s="69"/>
      <c r="H135" s="69"/>
      <c r="I135" s="69"/>
      <c r="J135" s="69"/>
      <c r="K135" s="69"/>
      <c r="L135" s="69"/>
      <c r="M135" s="69"/>
      <c r="N135" s="69"/>
      <c r="O135" s="68"/>
      <c r="P135" s="68"/>
      <c r="Q135" s="69"/>
      <c r="R135" s="69"/>
      <c r="S135" s="69"/>
      <c r="T135" s="70"/>
      <c r="U135" s="69"/>
      <c r="V135" s="69"/>
      <c r="W135" s="69"/>
      <c r="X135" s="69"/>
      <c r="Y135" s="69"/>
      <c r="Z135" s="69"/>
    </row>
    <row r="136" spans="1:26" ht="30" customHeight="1" x14ac:dyDescent="0.2">
      <c r="A136" s="69"/>
      <c r="B136" s="69"/>
      <c r="C136" s="69"/>
      <c r="D136" s="69"/>
      <c r="E136" s="69"/>
      <c r="F136" s="69"/>
      <c r="G136" s="69"/>
      <c r="H136" s="69"/>
      <c r="I136" s="69"/>
      <c r="J136" s="69"/>
      <c r="K136" s="69"/>
      <c r="L136" s="69"/>
      <c r="M136" s="69"/>
      <c r="N136" s="69"/>
      <c r="O136" s="68"/>
      <c r="P136" s="68"/>
      <c r="Q136" s="69"/>
      <c r="R136" s="69"/>
      <c r="S136" s="69"/>
      <c r="T136" s="70"/>
      <c r="U136" s="69"/>
      <c r="V136" s="69"/>
      <c r="W136" s="69"/>
      <c r="X136" s="69"/>
      <c r="Y136" s="69"/>
      <c r="Z136" s="69"/>
    </row>
    <row r="137" spans="1:26" ht="30" customHeight="1" x14ac:dyDescent="0.2">
      <c r="A137" s="69"/>
      <c r="B137" s="69"/>
      <c r="C137" s="69"/>
      <c r="D137" s="69"/>
      <c r="E137" s="69"/>
      <c r="F137" s="69"/>
      <c r="G137" s="69"/>
      <c r="H137" s="69"/>
      <c r="I137" s="69"/>
      <c r="J137" s="69"/>
      <c r="K137" s="69"/>
      <c r="L137" s="69"/>
      <c r="M137" s="69"/>
      <c r="N137" s="69"/>
      <c r="O137" s="68"/>
      <c r="P137" s="68"/>
      <c r="Q137" s="69"/>
      <c r="R137" s="69"/>
      <c r="S137" s="69"/>
      <c r="T137" s="70"/>
      <c r="U137" s="69"/>
      <c r="V137" s="69"/>
      <c r="W137" s="69"/>
      <c r="X137" s="69"/>
      <c r="Y137" s="69"/>
      <c r="Z137" s="69"/>
    </row>
    <row r="138" spans="1:26" ht="30" customHeight="1" x14ac:dyDescent="0.2">
      <c r="A138" s="69"/>
      <c r="B138" s="69"/>
      <c r="C138" s="69"/>
      <c r="D138" s="69"/>
      <c r="E138" s="69"/>
      <c r="F138" s="69"/>
      <c r="G138" s="69"/>
      <c r="H138" s="69"/>
      <c r="I138" s="69"/>
      <c r="J138" s="69"/>
      <c r="K138" s="69"/>
      <c r="L138" s="69"/>
      <c r="M138" s="69"/>
      <c r="N138" s="69"/>
      <c r="O138" s="68"/>
      <c r="P138" s="68"/>
      <c r="Q138" s="69"/>
      <c r="R138" s="69"/>
      <c r="S138" s="69"/>
      <c r="T138" s="70"/>
      <c r="U138" s="69"/>
      <c r="V138" s="69"/>
      <c r="W138" s="69"/>
      <c r="X138" s="69"/>
      <c r="Y138" s="69"/>
      <c r="Z138" s="69"/>
    </row>
    <row r="139" spans="1:26" ht="30" customHeight="1" x14ac:dyDescent="0.2">
      <c r="A139" s="69"/>
      <c r="B139" s="69"/>
      <c r="C139" s="69"/>
      <c r="D139" s="69"/>
      <c r="E139" s="69"/>
      <c r="F139" s="69"/>
      <c r="G139" s="69"/>
      <c r="H139" s="69"/>
      <c r="I139" s="69"/>
      <c r="J139" s="69"/>
      <c r="K139" s="69"/>
      <c r="L139" s="69"/>
      <c r="M139" s="69"/>
      <c r="N139" s="69"/>
      <c r="O139" s="68"/>
      <c r="P139" s="68"/>
      <c r="Q139" s="69"/>
      <c r="R139" s="69"/>
      <c r="S139" s="69"/>
      <c r="T139" s="70"/>
      <c r="U139" s="69"/>
      <c r="V139" s="69"/>
      <c r="W139" s="69"/>
      <c r="X139" s="69"/>
      <c r="Y139" s="69"/>
      <c r="Z139" s="69"/>
    </row>
    <row r="140" spans="1:26" ht="30" customHeight="1" x14ac:dyDescent="0.2">
      <c r="A140" s="69"/>
      <c r="B140" s="69"/>
      <c r="C140" s="69"/>
      <c r="D140" s="69"/>
      <c r="E140" s="69"/>
      <c r="F140" s="69"/>
      <c r="G140" s="69"/>
      <c r="H140" s="69"/>
      <c r="I140" s="69"/>
      <c r="J140" s="69"/>
      <c r="K140" s="69"/>
      <c r="L140" s="69"/>
      <c r="M140" s="69"/>
      <c r="N140" s="69"/>
      <c r="O140" s="68"/>
      <c r="P140" s="68"/>
      <c r="Q140" s="69"/>
      <c r="R140" s="69"/>
      <c r="S140" s="69"/>
      <c r="T140" s="70"/>
      <c r="U140" s="69"/>
      <c r="V140" s="69"/>
      <c r="W140" s="69"/>
      <c r="X140" s="69"/>
      <c r="Y140" s="69"/>
      <c r="Z140" s="69"/>
    </row>
    <row r="141" spans="1:26" ht="30" customHeight="1" x14ac:dyDescent="0.2">
      <c r="A141" s="69"/>
      <c r="B141" s="69"/>
      <c r="C141" s="69"/>
      <c r="D141" s="69"/>
      <c r="E141" s="69"/>
      <c r="F141" s="69"/>
      <c r="G141" s="69"/>
      <c r="H141" s="69"/>
      <c r="I141" s="69"/>
      <c r="J141" s="69"/>
      <c r="K141" s="69"/>
      <c r="L141" s="69"/>
      <c r="M141" s="69"/>
      <c r="N141" s="69"/>
      <c r="O141" s="68"/>
      <c r="P141" s="68"/>
      <c r="Q141" s="69"/>
      <c r="R141" s="69"/>
      <c r="S141" s="69"/>
      <c r="T141" s="70"/>
      <c r="U141" s="69"/>
      <c r="V141" s="69"/>
      <c r="W141" s="69"/>
      <c r="X141" s="69"/>
      <c r="Y141" s="69"/>
      <c r="Z141" s="69"/>
    </row>
    <row r="142" spans="1:26" ht="30" customHeight="1" x14ac:dyDescent="0.2">
      <c r="A142" s="69"/>
      <c r="B142" s="69"/>
      <c r="C142" s="69"/>
      <c r="D142" s="69"/>
      <c r="E142" s="69"/>
      <c r="F142" s="69"/>
      <c r="G142" s="69"/>
      <c r="H142" s="69"/>
      <c r="I142" s="69"/>
      <c r="J142" s="69"/>
      <c r="K142" s="69"/>
      <c r="L142" s="69"/>
      <c r="M142" s="69"/>
      <c r="N142" s="69"/>
      <c r="O142" s="68"/>
      <c r="P142" s="68"/>
      <c r="Q142" s="69"/>
      <c r="R142" s="69"/>
      <c r="S142" s="69"/>
      <c r="T142" s="70"/>
      <c r="U142" s="69"/>
      <c r="V142" s="69"/>
      <c r="W142" s="69"/>
      <c r="X142" s="69"/>
      <c r="Y142" s="69"/>
      <c r="Z142" s="69"/>
    </row>
    <row r="143" spans="1:26" ht="30" customHeight="1" x14ac:dyDescent="0.2">
      <c r="A143" s="69"/>
      <c r="B143" s="69"/>
      <c r="C143" s="69"/>
      <c r="D143" s="69"/>
      <c r="E143" s="69"/>
      <c r="F143" s="69"/>
      <c r="G143" s="69"/>
      <c r="H143" s="69"/>
      <c r="I143" s="69"/>
      <c r="J143" s="69"/>
      <c r="K143" s="69"/>
      <c r="L143" s="69"/>
      <c r="M143" s="69"/>
      <c r="N143" s="69"/>
      <c r="O143" s="68"/>
      <c r="P143" s="68"/>
      <c r="Q143" s="69"/>
      <c r="R143" s="69"/>
      <c r="S143" s="69"/>
      <c r="T143" s="70"/>
      <c r="U143" s="69"/>
      <c r="V143" s="69"/>
      <c r="W143" s="69"/>
      <c r="X143" s="69"/>
      <c r="Y143" s="69"/>
      <c r="Z143" s="69"/>
    </row>
    <row r="144" spans="1:26" ht="30" customHeight="1" x14ac:dyDescent="0.2">
      <c r="A144" s="69"/>
      <c r="B144" s="69"/>
      <c r="C144" s="69"/>
      <c r="D144" s="69"/>
      <c r="E144" s="69"/>
      <c r="F144" s="69"/>
      <c r="G144" s="69"/>
      <c r="H144" s="69"/>
      <c r="I144" s="69"/>
      <c r="J144" s="69"/>
      <c r="K144" s="69"/>
      <c r="L144" s="69"/>
      <c r="M144" s="69"/>
      <c r="N144" s="69"/>
      <c r="O144" s="68"/>
      <c r="P144" s="68"/>
      <c r="Q144" s="69"/>
      <c r="R144" s="69"/>
      <c r="S144" s="69"/>
      <c r="T144" s="70"/>
      <c r="U144" s="69"/>
      <c r="V144" s="69"/>
      <c r="W144" s="69"/>
      <c r="X144" s="69"/>
      <c r="Y144" s="69"/>
      <c r="Z144" s="69"/>
    </row>
    <row r="145" spans="1:26" ht="30" customHeight="1" x14ac:dyDescent="0.2">
      <c r="A145" s="69"/>
      <c r="B145" s="69"/>
      <c r="C145" s="69"/>
      <c r="D145" s="69"/>
      <c r="E145" s="69"/>
      <c r="F145" s="69"/>
      <c r="G145" s="69"/>
      <c r="H145" s="69"/>
      <c r="I145" s="69"/>
      <c r="J145" s="69"/>
      <c r="K145" s="69"/>
      <c r="L145" s="69"/>
      <c r="M145" s="69"/>
      <c r="N145" s="69"/>
      <c r="O145" s="68"/>
      <c r="P145" s="68"/>
      <c r="Q145" s="69"/>
      <c r="R145" s="69"/>
      <c r="S145" s="69"/>
      <c r="T145" s="70"/>
      <c r="U145" s="69"/>
      <c r="V145" s="69"/>
      <c r="W145" s="69"/>
      <c r="X145" s="69"/>
      <c r="Y145" s="69"/>
      <c r="Z145" s="69"/>
    </row>
    <row r="146" spans="1:26" ht="30" customHeight="1" x14ac:dyDescent="0.2">
      <c r="A146" s="69"/>
      <c r="B146" s="69"/>
      <c r="C146" s="69"/>
      <c r="D146" s="69"/>
      <c r="E146" s="69"/>
      <c r="F146" s="69"/>
      <c r="G146" s="69"/>
      <c r="H146" s="69"/>
      <c r="I146" s="69"/>
      <c r="J146" s="69"/>
      <c r="K146" s="69"/>
      <c r="L146" s="69"/>
      <c r="M146" s="69"/>
      <c r="N146" s="69"/>
      <c r="O146" s="68"/>
      <c r="P146" s="68"/>
      <c r="Q146" s="69"/>
      <c r="R146" s="69"/>
      <c r="S146" s="69"/>
      <c r="T146" s="70"/>
      <c r="U146" s="69"/>
      <c r="V146" s="69"/>
      <c r="W146" s="69"/>
      <c r="X146" s="69"/>
      <c r="Y146" s="69"/>
      <c r="Z146" s="69"/>
    </row>
    <row r="147" spans="1:26" ht="30" customHeight="1" x14ac:dyDescent="0.2">
      <c r="A147" s="69"/>
      <c r="B147" s="69"/>
      <c r="C147" s="69"/>
      <c r="D147" s="69"/>
      <c r="E147" s="69"/>
      <c r="F147" s="69"/>
      <c r="G147" s="69"/>
      <c r="H147" s="69"/>
      <c r="I147" s="69"/>
      <c r="J147" s="69"/>
      <c r="K147" s="69"/>
      <c r="L147" s="69"/>
      <c r="M147" s="69"/>
      <c r="N147" s="69"/>
      <c r="O147" s="68"/>
      <c r="P147" s="68"/>
      <c r="Q147" s="69"/>
      <c r="R147" s="69"/>
      <c r="S147" s="69"/>
      <c r="T147" s="70"/>
      <c r="U147" s="69"/>
      <c r="V147" s="69"/>
      <c r="W147" s="69"/>
      <c r="X147" s="69"/>
      <c r="Y147" s="69"/>
      <c r="Z147" s="69"/>
    </row>
    <row r="148" spans="1:26" ht="30" customHeight="1" x14ac:dyDescent="0.2">
      <c r="A148" s="69"/>
      <c r="B148" s="69"/>
      <c r="C148" s="69"/>
      <c r="D148" s="69"/>
      <c r="E148" s="69"/>
      <c r="F148" s="69"/>
      <c r="G148" s="69"/>
      <c r="H148" s="69"/>
      <c r="I148" s="69"/>
      <c r="J148" s="69"/>
      <c r="K148" s="69"/>
      <c r="L148" s="69"/>
      <c r="M148" s="69"/>
      <c r="N148" s="69"/>
      <c r="O148" s="68"/>
      <c r="P148" s="68"/>
      <c r="Q148" s="69"/>
      <c r="R148" s="69"/>
      <c r="S148" s="69"/>
      <c r="T148" s="70"/>
      <c r="U148" s="69"/>
      <c r="V148" s="69"/>
      <c r="W148" s="69"/>
      <c r="X148" s="69"/>
      <c r="Y148" s="69"/>
      <c r="Z148" s="69"/>
    </row>
    <row r="149" spans="1:26" ht="30" customHeight="1" x14ac:dyDescent="0.2">
      <c r="A149" s="69"/>
      <c r="B149" s="69"/>
      <c r="C149" s="69"/>
      <c r="D149" s="69"/>
      <c r="E149" s="69"/>
      <c r="F149" s="69"/>
      <c r="G149" s="69"/>
      <c r="H149" s="69"/>
      <c r="I149" s="69"/>
      <c r="J149" s="69"/>
      <c r="K149" s="69"/>
      <c r="L149" s="69"/>
      <c r="M149" s="69"/>
      <c r="N149" s="69"/>
      <c r="O149" s="68"/>
      <c r="P149" s="68"/>
      <c r="Q149" s="69"/>
      <c r="R149" s="69"/>
      <c r="S149" s="69"/>
      <c r="T149" s="70"/>
      <c r="U149" s="69"/>
      <c r="V149" s="69"/>
      <c r="W149" s="69"/>
      <c r="X149" s="69"/>
      <c r="Y149" s="69"/>
      <c r="Z149" s="69"/>
    </row>
    <row r="150" spans="1:26" ht="30" customHeight="1" x14ac:dyDescent="0.2">
      <c r="A150" s="69"/>
      <c r="B150" s="69"/>
      <c r="C150" s="69"/>
      <c r="D150" s="69"/>
      <c r="E150" s="69"/>
      <c r="F150" s="69"/>
      <c r="G150" s="69"/>
      <c r="H150" s="69"/>
      <c r="I150" s="69"/>
      <c r="J150" s="69"/>
      <c r="K150" s="69"/>
      <c r="L150" s="69"/>
      <c r="M150" s="69"/>
      <c r="N150" s="69"/>
      <c r="O150" s="68"/>
      <c r="P150" s="68"/>
      <c r="Q150" s="69"/>
      <c r="R150" s="69"/>
      <c r="S150" s="69"/>
      <c r="T150" s="70"/>
      <c r="U150" s="69"/>
      <c r="V150" s="69"/>
      <c r="W150" s="69"/>
      <c r="X150" s="69"/>
      <c r="Y150" s="69"/>
      <c r="Z150" s="69"/>
    </row>
    <row r="151" spans="1:26" ht="30" customHeight="1" x14ac:dyDescent="0.2">
      <c r="A151" s="69"/>
      <c r="B151" s="69"/>
      <c r="C151" s="69"/>
      <c r="D151" s="69"/>
      <c r="E151" s="69"/>
      <c r="F151" s="69"/>
      <c r="G151" s="69"/>
      <c r="H151" s="69"/>
      <c r="I151" s="69"/>
      <c r="J151" s="69"/>
      <c r="K151" s="69"/>
      <c r="L151" s="69"/>
      <c r="M151" s="69"/>
      <c r="N151" s="69"/>
      <c r="O151" s="68"/>
      <c r="P151" s="68"/>
      <c r="Q151" s="69"/>
      <c r="R151" s="69"/>
      <c r="S151" s="69"/>
      <c r="T151" s="70"/>
      <c r="U151" s="69"/>
      <c r="V151" s="69"/>
      <c r="W151" s="69"/>
      <c r="X151" s="69"/>
      <c r="Y151" s="69"/>
      <c r="Z151" s="69"/>
    </row>
    <row r="152" spans="1:26" ht="30" customHeight="1" x14ac:dyDescent="0.2">
      <c r="A152" s="69"/>
      <c r="B152" s="69"/>
      <c r="C152" s="69"/>
      <c r="D152" s="69"/>
      <c r="E152" s="69"/>
      <c r="F152" s="69"/>
      <c r="G152" s="69"/>
      <c r="H152" s="69"/>
      <c r="I152" s="69"/>
      <c r="J152" s="69"/>
      <c r="K152" s="69"/>
      <c r="L152" s="69"/>
      <c r="M152" s="69"/>
      <c r="N152" s="69"/>
      <c r="O152" s="68"/>
      <c r="P152" s="68"/>
      <c r="Q152" s="69"/>
      <c r="R152" s="69"/>
      <c r="S152" s="69"/>
      <c r="T152" s="70"/>
      <c r="U152" s="69"/>
      <c r="V152" s="69"/>
      <c r="W152" s="69"/>
      <c r="X152" s="69"/>
      <c r="Y152" s="69"/>
      <c r="Z152" s="69"/>
    </row>
    <row r="153" spans="1:26" ht="30" customHeight="1" x14ac:dyDescent="0.2">
      <c r="A153" s="69"/>
      <c r="B153" s="69"/>
      <c r="C153" s="69"/>
      <c r="D153" s="69"/>
      <c r="E153" s="69"/>
      <c r="F153" s="69"/>
      <c r="G153" s="69"/>
      <c r="H153" s="69"/>
      <c r="I153" s="69"/>
      <c r="J153" s="69"/>
      <c r="K153" s="69"/>
      <c r="L153" s="69"/>
      <c r="M153" s="69"/>
      <c r="N153" s="69"/>
      <c r="O153" s="68"/>
      <c r="P153" s="68"/>
      <c r="Q153" s="69"/>
      <c r="R153" s="69"/>
      <c r="S153" s="69"/>
      <c r="T153" s="70"/>
      <c r="U153" s="69"/>
      <c r="V153" s="69"/>
      <c r="W153" s="69"/>
      <c r="X153" s="69"/>
      <c r="Y153" s="69"/>
      <c r="Z153" s="69"/>
    </row>
    <row r="154" spans="1:26" ht="30" customHeight="1" x14ac:dyDescent="0.2">
      <c r="A154" s="69"/>
      <c r="B154" s="69"/>
      <c r="C154" s="69"/>
      <c r="D154" s="69"/>
      <c r="E154" s="69"/>
      <c r="F154" s="69"/>
      <c r="G154" s="69"/>
      <c r="H154" s="69"/>
      <c r="I154" s="69"/>
      <c r="J154" s="69"/>
      <c r="K154" s="69"/>
      <c r="L154" s="69"/>
      <c r="M154" s="69"/>
      <c r="N154" s="69"/>
      <c r="O154" s="68"/>
      <c r="P154" s="68"/>
      <c r="Q154" s="69"/>
      <c r="R154" s="69"/>
      <c r="S154" s="69"/>
      <c r="T154" s="70"/>
      <c r="U154" s="69"/>
      <c r="V154" s="69"/>
      <c r="W154" s="69"/>
      <c r="X154" s="69"/>
      <c r="Y154" s="69"/>
      <c r="Z154" s="69"/>
    </row>
    <row r="155" spans="1:26" ht="30" customHeight="1" x14ac:dyDescent="0.2">
      <c r="A155" s="69"/>
      <c r="B155" s="69"/>
      <c r="C155" s="69"/>
      <c r="D155" s="69"/>
      <c r="E155" s="69"/>
      <c r="F155" s="69"/>
      <c r="G155" s="69"/>
      <c r="H155" s="69"/>
      <c r="I155" s="69"/>
      <c r="J155" s="69"/>
      <c r="K155" s="69"/>
      <c r="L155" s="69"/>
      <c r="M155" s="69"/>
      <c r="N155" s="69"/>
      <c r="O155" s="68"/>
      <c r="P155" s="68"/>
      <c r="Q155" s="69"/>
      <c r="R155" s="69"/>
      <c r="S155" s="69"/>
      <c r="T155" s="70"/>
      <c r="U155" s="69"/>
      <c r="V155" s="69"/>
      <c r="W155" s="69"/>
      <c r="X155" s="69"/>
      <c r="Y155" s="69"/>
      <c r="Z155" s="69"/>
    </row>
    <row r="156" spans="1:26" ht="30" customHeight="1" x14ac:dyDescent="0.2">
      <c r="A156" s="69"/>
      <c r="B156" s="69"/>
      <c r="C156" s="69"/>
      <c r="D156" s="69"/>
      <c r="E156" s="69"/>
      <c r="F156" s="69"/>
      <c r="G156" s="69"/>
      <c r="H156" s="69"/>
      <c r="I156" s="69"/>
      <c r="J156" s="69"/>
      <c r="K156" s="69"/>
      <c r="L156" s="69"/>
      <c r="M156" s="69"/>
      <c r="N156" s="69"/>
      <c r="O156" s="68"/>
      <c r="P156" s="68"/>
      <c r="Q156" s="69"/>
      <c r="R156" s="69"/>
      <c r="S156" s="69"/>
      <c r="T156" s="70"/>
      <c r="U156" s="69"/>
      <c r="V156" s="69"/>
      <c r="W156" s="69"/>
      <c r="X156" s="69"/>
      <c r="Y156" s="69"/>
      <c r="Z156" s="69"/>
    </row>
    <row r="157" spans="1:26" ht="30" customHeight="1" x14ac:dyDescent="0.2">
      <c r="A157" s="69"/>
      <c r="B157" s="69"/>
      <c r="C157" s="69"/>
      <c r="D157" s="69"/>
      <c r="E157" s="69"/>
      <c r="F157" s="69"/>
      <c r="G157" s="69"/>
      <c r="H157" s="69"/>
      <c r="I157" s="69"/>
      <c r="J157" s="69"/>
      <c r="K157" s="69"/>
      <c r="L157" s="69"/>
      <c r="M157" s="69"/>
      <c r="N157" s="69"/>
      <c r="O157" s="68"/>
      <c r="P157" s="68"/>
      <c r="Q157" s="69"/>
      <c r="R157" s="69"/>
      <c r="S157" s="69"/>
      <c r="T157" s="70"/>
      <c r="U157" s="69"/>
      <c r="V157" s="69"/>
      <c r="W157" s="69"/>
      <c r="X157" s="69"/>
      <c r="Y157" s="69"/>
      <c r="Z157" s="69"/>
    </row>
    <row r="158" spans="1:26" ht="30" customHeight="1" x14ac:dyDescent="0.2">
      <c r="A158" s="69"/>
      <c r="B158" s="69"/>
      <c r="C158" s="69"/>
      <c r="D158" s="69"/>
      <c r="E158" s="69"/>
      <c r="F158" s="69"/>
      <c r="G158" s="69"/>
      <c r="H158" s="69"/>
      <c r="I158" s="69"/>
      <c r="J158" s="69"/>
      <c r="K158" s="69"/>
      <c r="L158" s="69"/>
      <c r="M158" s="69"/>
      <c r="N158" s="69"/>
      <c r="O158" s="68"/>
      <c r="P158" s="68"/>
      <c r="Q158" s="69"/>
      <c r="R158" s="69"/>
      <c r="S158" s="69"/>
      <c r="T158" s="70"/>
      <c r="U158" s="69"/>
      <c r="V158" s="69"/>
      <c r="W158" s="69"/>
      <c r="X158" s="69"/>
      <c r="Y158" s="69"/>
      <c r="Z158" s="69"/>
    </row>
    <row r="159" spans="1:26" ht="30" customHeight="1" x14ac:dyDescent="0.2">
      <c r="A159" s="69"/>
      <c r="B159" s="69"/>
      <c r="C159" s="69"/>
      <c r="D159" s="69"/>
      <c r="E159" s="69"/>
      <c r="F159" s="69"/>
      <c r="G159" s="69"/>
      <c r="H159" s="69"/>
      <c r="I159" s="69"/>
      <c r="J159" s="69"/>
      <c r="K159" s="69"/>
      <c r="L159" s="69"/>
      <c r="M159" s="69"/>
      <c r="N159" s="69"/>
      <c r="O159" s="68"/>
      <c r="P159" s="68"/>
      <c r="Q159" s="69"/>
      <c r="R159" s="69"/>
      <c r="S159" s="69"/>
      <c r="T159" s="70"/>
      <c r="U159" s="69"/>
      <c r="V159" s="69"/>
      <c r="W159" s="69"/>
      <c r="X159" s="69"/>
      <c r="Y159" s="69"/>
      <c r="Z159" s="69"/>
    </row>
    <row r="160" spans="1:26" ht="30" customHeight="1" x14ac:dyDescent="0.2">
      <c r="A160" s="69"/>
      <c r="B160" s="69"/>
      <c r="C160" s="69"/>
      <c r="D160" s="69"/>
      <c r="E160" s="69"/>
      <c r="F160" s="69"/>
      <c r="G160" s="69"/>
      <c r="H160" s="69"/>
      <c r="I160" s="69"/>
      <c r="J160" s="69"/>
      <c r="K160" s="69"/>
      <c r="L160" s="69"/>
      <c r="M160" s="69"/>
      <c r="N160" s="69"/>
      <c r="O160" s="68"/>
      <c r="P160" s="68"/>
      <c r="Q160" s="69"/>
      <c r="R160" s="69"/>
      <c r="S160" s="69"/>
      <c r="T160" s="70"/>
      <c r="U160" s="69"/>
      <c r="V160" s="69"/>
      <c r="W160" s="69"/>
      <c r="X160" s="69"/>
      <c r="Y160" s="69"/>
      <c r="Z160" s="69"/>
    </row>
    <row r="161" spans="1:26" ht="30" customHeight="1" x14ac:dyDescent="0.2">
      <c r="A161" s="69"/>
      <c r="B161" s="69"/>
      <c r="C161" s="69"/>
      <c r="D161" s="69"/>
      <c r="E161" s="69"/>
      <c r="F161" s="69"/>
      <c r="G161" s="69"/>
      <c r="H161" s="69"/>
      <c r="I161" s="69"/>
      <c r="J161" s="69"/>
      <c r="K161" s="69"/>
      <c r="L161" s="69"/>
      <c r="M161" s="69"/>
      <c r="N161" s="69"/>
      <c r="O161" s="68"/>
      <c r="P161" s="68"/>
      <c r="Q161" s="69"/>
      <c r="R161" s="69"/>
      <c r="S161" s="69"/>
      <c r="T161" s="70"/>
      <c r="U161" s="69"/>
      <c r="V161" s="69"/>
      <c r="W161" s="69"/>
      <c r="X161" s="69"/>
      <c r="Y161" s="69"/>
      <c r="Z161" s="69"/>
    </row>
    <row r="162" spans="1:26" ht="30" customHeight="1" x14ac:dyDescent="0.2">
      <c r="A162" s="69"/>
      <c r="B162" s="69"/>
      <c r="C162" s="69"/>
      <c r="D162" s="69"/>
      <c r="E162" s="69"/>
      <c r="F162" s="69"/>
      <c r="G162" s="69"/>
      <c r="H162" s="69"/>
      <c r="I162" s="69"/>
      <c r="J162" s="69"/>
      <c r="K162" s="69"/>
      <c r="L162" s="69"/>
      <c r="M162" s="69"/>
      <c r="N162" s="69"/>
      <c r="O162" s="68"/>
      <c r="P162" s="68"/>
      <c r="Q162" s="69"/>
      <c r="R162" s="69"/>
      <c r="S162" s="69"/>
      <c r="T162" s="70"/>
      <c r="U162" s="69"/>
      <c r="V162" s="69"/>
      <c r="W162" s="69"/>
      <c r="X162" s="69"/>
      <c r="Y162" s="69"/>
      <c r="Z162" s="69"/>
    </row>
    <row r="163" spans="1:26" ht="30" customHeight="1" x14ac:dyDescent="0.2">
      <c r="A163" s="69"/>
      <c r="B163" s="69"/>
      <c r="C163" s="69"/>
      <c r="D163" s="69"/>
      <c r="E163" s="69"/>
      <c r="F163" s="69"/>
      <c r="G163" s="69"/>
      <c r="H163" s="69"/>
      <c r="I163" s="69"/>
      <c r="J163" s="69"/>
      <c r="K163" s="69"/>
      <c r="L163" s="69"/>
      <c r="M163" s="69"/>
      <c r="N163" s="69"/>
      <c r="O163" s="68"/>
      <c r="P163" s="68"/>
      <c r="Q163" s="69"/>
      <c r="R163" s="69"/>
      <c r="S163" s="69"/>
      <c r="T163" s="70"/>
      <c r="U163" s="69"/>
      <c r="V163" s="69"/>
      <c r="W163" s="69"/>
      <c r="X163" s="69"/>
      <c r="Y163" s="69"/>
      <c r="Z163" s="69"/>
    </row>
    <row r="164" spans="1:26" ht="30" customHeight="1" x14ac:dyDescent="0.2">
      <c r="A164" s="69"/>
      <c r="B164" s="69"/>
      <c r="C164" s="69"/>
      <c r="D164" s="69"/>
      <c r="E164" s="69"/>
      <c r="F164" s="69"/>
      <c r="G164" s="69"/>
      <c r="H164" s="69"/>
      <c r="I164" s="69"/>
      <c r="J164" s="69"/>
      <c r="K164" s="69"/>
      <c r="L164" s="69"/>
      <c r="M164" s="69"/>
      <c r="N164" s="69"/>
      <c r="O164" s="68"/>
      <c r="P164" s="68"/>
      <c r="Q164" s="69"/>
      <c r="R164" s="69"/>
      <c r="S164" s="69"/>
      <c r="T164" s="70"/>
      <c r="U164" s="69"/>
      <c r="V164" s="69"/>
      <c r="W164" s="69"/>
      <c r="X164" s="69"/>
      <c r="Y164" s="69"/>
      <c r="Z164" s="69"/>
    </row>
    <row r="165" spans="1:26" ht="30" customHeight="1" x14ac:dyDescent="0.2">
      <c r="A165" s="69"/>
      <c r="B165" s="69"/>
      <c r="C165" s="69"/>
      <c r="D165" s="69"/>
      <c r="E165" s="69"/>
      <c r="F165" s="69"/>
      <c r="G165" s="69"/>
      <c r="H165" s="69"/>
      <c r="I165" s="69"/>
      <c r="J165" s="69"/>
      <c r="K165" s="69"/>
      <c r="L165" s="69"/>
      <c r="M165" s="69"/>
      <c r="N165" s="69"/>
      <c r="O165" s="68"/>
      <c r="P165" s="68"/>
      <c r="Q165" s="69"/>
      <c r="R165" s="69"/>
      <c r="S165" s="69"/>
      <c r="T165" s="70"/>
      <c r="U165" s="69"/>
      <c r="V165" s="69"/>
      <c r="W165" s="69"/>
      <c r="X165" s="69"/>
      <c r="Y165" s="69"/>
      <c r="Z165" s="69"/>
    </row>
    <row r="166" spans="1:26" ht="30" customHeight="1" x14ac:dyDescent="0.2">
      <c r="A166" s="69"/>
      <c r="B166" s="69"/>
      <c r="C166" s="69"/>
      <c r="D166" s="69"/>
      <c r="E166" s="69"/>
      <c r="F166" s="69"/>
      <c r="G166" s="69"/>
      <c r="H166" s="69"/>
      <c r="I166" s="69"/>
      <c r="J166" s="69"/>
      <c r="K166" s="69"/>
      <c r="L166" s="69"/>
      <c r="M166" s="69"/>
      <c r="N166" s="69"/>
      <c r="O166" s="68"/>
      <c r="P166" s="68"/>
      <c r="Q166" s="69"/>
      <c r="R166" s="69"/>
      <c r="S166" s="69"/>
      <c r="T166" s="70"/>
      <c r="U166" s="69"/>
      <c r="V166" s="69"/>
      <c r="W166" s="69"/>
      <c r="X166" s="69"/>
      <c r="Y166" s="69"/>
      <c r="Z166" s="69"/>
    </row>
    <row r="167" spans="1:26" ht="30" customHeight="1" x14ac:dyDescent="0.2">
      <c r="A167" s="69"/>
      <c r="B167" s="69"/>
      <c r="C167" s="69"/>
      <c r="D167" s="69"/>
      <c r="E167" s="69"/>
      <c r="F167" s="69"/>
      <c r="G167" s="69"/>
      <c r="H167" s="69"/>
      <c r="I167" s="69"/>
      <c r="J167" s="69"/>
      <c r="K167" s="69"/>
      <c r="L167" s="69"/>
      <c r="M167" s="69"/>
      <c r="N167" s="69"/>
      <c r="O167" s="68"/>
      <c r="P167" s="68"/>
      <c r="Q167" s="69"/>
      <c r="R167" s="69"/>
      <c r="S167" s="69"/>
      <c r="T167" s="70"/>
      <c r="U167" s="69"/>
      <c r="V167" s="69"/>
      <c r="W167" s="69"/>
      <c r="X167" s="69"/>
      <c r="Y167" s="69"/>
      <c r="Z167" s="69"/>
    </row>
    <row r="168" spans="1:26" ht="30" customHeight="1" x14ac:dyDescent="0.2">
      <c r="A168" s="69"/>
      <c r="B168" s="69"/>
      <c r="C168" s="69"/>
      <c r="D168" s="69"/>
      <c r="E168" s="69"/>
      <c r="F168" s="69"/>
      <c r="G168" s="69"/>
      <c r="H168" s="69"/>
      <c r="I168" s="69"/>
      <c r="J168" s="69"/>
      <c r="K168" s="69"/>
      <c r="L168" s="69"/>
      <c r="M168" s="69"/>
      <c r="N168" s="69"/>
      <c r="O168" s="68"/>
      <c r="P168" s="68"/>
      <c r="Q168" s="69"/>
      <c r="R168" s="69"/>
      <c r="S168" s="69"/>
      <c r="T168" s="70"/>
      <c r="U168" s="69"/>
      <c r="V168" s="69"/>
      <c r="W168" s="69"/>
      <c r="X168" s="69"/>
      <c r="Y168" s="69"/>
      <c r="Z168" s="69"/>
    </row>
    <row r="169" spans="1:26" ht="30" customHeight="1" x14ac:dyDescent="0.2">
      <c r="A169" s="69"/>
      <c r="B169" s="69"/>
      <c r="C169" s="69"/>
      <c r="D169" s="69"/>
      <c r="E169" s="69"/>
      <c r="F169" s="69"/>
      <c r="G169" s="69"/>
      <c r="H169" s="69"/>
      <c r="I169" s="69"/>
      <c r="J169" s="69"/>
      <c r="K169" s="69"/>
      <c r="L169" s="69"/>
      <c r="M169" s="69"/>
      <c r="N169" s="69"/>
      <c r="O169" s="68"/>
      <c r="P169" s="68"/>
      <c r="Q169" s="69"/>
      <c r="R169" s="69"/>
      <c r="S169" s="69"/>
      <c r="T169" s="70"/>
      <c r="U169" s="69"/>
      <c r="V169" s="69"/>
      <c r="W169" s="69"/>
      <c r="X169" s="69"/>
      <c r="Y169" s="69"/>
      <c r="Z169" s="69"/>
    </row>
    <row r="170" spans="1:26" ht="30" customHeight="1" x14ac:dyDescent="0.2">
      <c r="A170" s="69"/>
      <c r="B170" s="69"/>
      <c r="C170" s="69"/>
      <c r="D170" s="69"/>
      <c r="E170" s="69"/>
      <c r="F170" s="69"/>
      <c r="G170" s="69"/>
      <c r="H170" s="69"/>
      <c r="I170" s="69"/>
      <c r="J170" s="69"/>
      <c r="K170" s="69"/>
      <c r="L170" s="69"/>
      <c r="M170" s="69"/>
      <c r="N170" s="69"/>
      <c r="O170" s="68"/>
      <c r="P170" s="68"/>
      <c r="Q170" s="69"/>
      <c r="R170" s="69"/>
      <c r="S170" s="69"/>
      <c r="T170" s="70"/>
      <c r="U170" s="69"/>
      <c r="V170" s="69"/>
      <c r="W170" s="69"/>
      <c r="X170" s="69"/>
      <c r="Y170" s="69"/>
      <c r="Z170" s="69"/>
    </row>
    <row r="171" spans="1:26" ht="30" customHeight="1" x14ac:dyDescent="0.2">
      <c r="A171" s="69"/>
      <c r="B171" s="69"/>
      <c r="C171" s="69"/>
      <c r="D171" s="69"/>
      <c r="E171" s="69"/>
      <c r="F171" s="69"/>
      <c r="G171" s="69"/>
      <c r="H171" s="69"/>
      <c r="I171" s="69"/>
      <c r="J171" s="69"/>
      <c r="K171" s="69"/>
      <c r="L171" s="69"/>
      <c r="M171" s="69"/>
      <c r="N171" s="69"/>
      <c r="O171" s="68"/>
      <c r="P171" s="68"/>
      <c r="Q171" s="69"/>
      <c r="R171" s="69"/>
      <c r="S171" s="69"/>
      <c r="T171" s="70"/>
      <c r="U171" s="69"/>
      <c r="V171" s="69"/>
      <c r="W171" s="69"/>
      <c r="X171" s="69"/>
      <c r="Y171" s="69"/>
      <c r="Z171" s="69"/>
    </row>
    <row r="172" spans="1:26" ht="30" customHeight="1" x14ac:dyDescent="0.2">
      <c r="A172" s="69"/>
      <c r="B172" s="69"/>
      <c r="C172" s="69"/>
      <c r="D172" s="69"/>
      <c r="E172" s="69"/>
      <c r="F172" s="69"/>
      <c r="G172" s="69"/>
      <c r="H172" s="69"/>
      <c r="I172" s="69"/>
      <c r="J172" s="69"/>
      <c r="K172" s="69"/>
      <c r="L172" s="69"/>
      <c r="M172" s="69"/>
      <c r="N172" s="69"/>
      <c r="O172" s="68"/>
      <c r="P172" s="68"/>
      <c r="Q172" s="69"/>
      <c r="R172" s="69"/>
      <c r="S172" s="69"/>
      <c r="T172" s="70"/>
      <c r="U172" s="69"/>
      <c r="V172" s="69"/>
      <c r="W172" s="69"/>
      <c r="X172" s="69"/>
      <c r="Y172" s="69"/>
      <c r="Z172" s="69"/>
    </row>
    <row r="173" spans="1:26" ht="30" customHeight="1" x14ac:dyDescent="0.2">
      <c r="A173" s="69"/>
      <c r="B173" s="69"/>
      <c r="C173" s="69"/>
      <c r="D173" s="69"/>
      <c r="E173" s="69"/>
      <c r="F173" s="69"/>
      <c r="G173" s="69"/>
      <c r="H173" s="69"/>
      <c r="I173" s="69"/>
      <c r="J173" s="69"/>
      <c r="K173" s="69"/>
      <c r="L173" s="69"/>
      <c r="M173" s="69"/>
      <c r="N173" s="69"/>
      <c r="O173" s="68"/>
      <c r="P173" s="68"/>
      <c r="Q173" s="69"/>
      <c r="R173" s="69"/>
      <c r="S173" s="69"/>
      <c r="T173" s="70"/>
      <c r="U173" s="69"/>
      <c r="V173" s="69"/>
      <c r="W173" s="69"/>
      <c r="X173" s="69"/>
      <c r="Y173" s="69"/>
      <c r="Z173" s="69"/>
    </row>
    <row r="174" spans="1:26" ht="30" customHeight="1" x14ac:dyDescent="0.2">
      <c r="A174" s="69"/>
      <c r="B174" s="69"/>
      <c r="C174" s="69"/>
      <c r="D174" s="69"/>
      <c r="E174" s="69"/>
      <c r="F174" s="69"/>
      <c r="G174" s="69"/>
      <c r="H174" s="69"/>
      <c r="I174" s="69"/>
      <c r="J174" s="69"/>
      <c r="K174" s="69"/>
      <c r="L174" s="69"/>
      <c r="M174" s="69"/>
      <c r="N174" s="69"/>
      <c r="O174" s="68"/>
      <c r="P174" s="68"/>
      <c r="Q174" s="69"/>
      <c r="R174" s="69"/>
      <c r="S174" s="69"/>
      <c r="T174" s="70"/>
      <c r="U174" s="69"/>
      <c r="V174" s="69"/>
      <c r="W174" s="69"/>
      <c r="X174" s="69"/>
      <c r="Y174" s="69"/>
      <c r="Z174" s="69"/>
    </row>
    <row r="175" spans="1:26" ht="30" customHeight="1" x14ac:dyDescent="0.2">
      <c r="A175" s="69"/>
      <c r="B175" s="69"/>
      <c r="C175" s="69"/>
      <c r="D175" s="69"/>
      <c r="E175" s="69"/>
      <c r="F175" s="69"/>
      <c r="G175" s="69"/>
      <c r="H175" s="69"/>
      <c r="I175" s="69"/>
      <c r="J175" s="69"/>
      <c r="K175" s="69"/>
      <c r="L175" s="69"/>
      <c r="M175" s="69"/>
      <c r="N175" s="69"/>
      <c r="O175" s="68"/>
      <c r="P175" s="68"/>
      <c r="Q175" s="69"/>
      <c r="R175" s="69"/>
      <c r="S175" s="69"/>
      <c r="T175" s="70"/>
      <c r="U175" s="69"/>
      <c r="V175" s="69"/>
      <c r="W175" s="69"/>
      <c r="X175" s="69"/>
      <c r="Y175" s="69"/>
      <c r="Z175" s="69"/>
    </row>
    <row r="176" spans="1:26" ht="30" customHeight="1" x14ac:dyDescent="0.2">
      <c r="A176" s="69"/>
      <c r="B176" s="69"/>
      <c r="C176" s="69"/>
      <c r="D176" s="69"/>
      <c r="E176" s="69"/>
      <c r="F176" s="69"/>
      <c r="G176" s="69"/>
      <c r="H176" s="69"/>
      <c r="I176" s="69"/>
      <c r="J176" s="69"/>
      <c r="K176" s="69"/>
      <c r="L176" s="69"/>
      <c r="M176" s="69"/>
      <c r="N176" s="69"/>
      <c r="O176" s="68"/>
      <c r="P176" s="68"/>
      <c r="Q176" s="69"/>
      <c r="R176" s="69"/>
      <c r="S176" s="69"/>
      <c r="T176" s="70"/>
      <c r="U176" s="69"/>
      <c r="V176" s="69"/>
      <c r="W176" s="69"/>
      <c r="X176" s="69"/>
      <c r="Y176" s="69"/>
      <c r="Z176" s="69"/>
    </row>
    <row r="177" spans="1:26" ht="30" customHeight="1" x14ac:dyDescent="0.2">
      <c r="A177" s="69"/>
      <c r="B177" s="69"/>
      <c r="C177" s="69"/>
      <c r="D177" s="69"/>
      <c r="E177" s="69"/>
      <c r="F177" s="69"/>
      <c r="G177" s="69"/>
      <c r="H177" s="69"/>
      <c r="I177" s="69"/>
      <c r="J177" s="69"/>
      <c r="K177" s="69"/>
      <c r="L177" s="69"/>
      <c r="M177" s="69"/>
      <c r="N177" s="69"/>
      <c r="O177" s="68"/>
      <c r="P177" s="68"/>
      <c r="Q177" s="69"/>
      <c r="R177" s="69"/>
      <c r="S177" s="69"/>
      <c r="T177" s="70"/>
      <c r="U177" s="69"/>
      <c r="V177" s="69"/>
      <c r="W177" s="69"/>
      <c r="X177" s="69"/>
      <c r="Y177" s="69"/>
      <c r="Z177" s="69"/>
    </row>
    <row r="178" spans="1:26" ht="30" customHeight="1" x14ac:dyDescent="0.2">
      <c r="A178" s="69"/>
      <c r="B178" s="69"/>
      <c r="C178" s="69"/>
      <c r="D178" s="69"/>
      <c r="E178" s="69"/>
      <c r="F178" s="69"/>
      <c r="G178" s="69"/>
      <c r="H178" s="69"/>
      <c r="I178" s="69"/>
      <c r="J178" s="69"/>
      <c r="K178" s="69"/>
      <c r="L178" s="69"/>
      <c r="M178" s="69"/>
      <c r="N178" s="69"/>
      <c r="O178" s="68"/>
      <c r="P178" s="68"/>
      <c r="Q178" s="69"/>
      <c r="R178" s="69"/>
      <c r="S178" s="69"/>
      <c r="T178" s="70"/>
      <c r="U178" s="69"/>
      <c r="V178" s="69"/>
      <c r="W178" s="69"/>
      <c r="X178" s="69"/>
      <c r="Y178" s="69"/>
      <c r="Z178" s="69"/>
    </row>
    <row r="179" spans="1:26" ht="30" customHeight="1" x14ac:dyDescent="0.2">
      <c r="A179" s="69"/>
      <c r="B179" s="69"/>
      <c r="C179" s="69"/>
      <c r="D179" s="69"/>
      <c r="E179" s="69"/>
      <c r="F179" s="69"/>
      <c r="G179" s="69"/>
      <c r="H179" s="69"/>
      <c r="I179" s="69"/>
      <c r="J179" s="69"/>
      <c r="K179" s="69"/>
      <c r="L179" s="69"/>
      <c r="M179" s="69"/>
      <c r="N179" s="69"/>
      <c r="O179" s="68"/>
      <c r="P179" s="68"/>
      <c r="Q179" s="69"/>
      <c r="R179" s="69"/>
      <c r="S179" s="69"/>
      <c r="T179" s="70"/>
      <c r="U179" s="69"/>
      <c r="V179" s="69"/>
      <c r="W179" s="69"/>
      <c r="X179" s="69"/>
      <c r="Y179" s="69"/>
      <c r="Z179" s="69"/>
    </row>
    <row r="180" spans="1:26" ht="30" customHeight="1" x14ac:dyDescent="0.2">
      <c r="A180" s="69"/>
      <c r="B180" s="69"/>
      <c r="C180" s="69"/>
      <c r="D180" s="69"/>
      <c r="E180" s="69"/>
      <c r="F180" s="69"/>
      <c r="G180" s="69"/>
      <c r="H180" s="69"/>
      <c r="I180" s="69"/>
      <c r="J180" s="69"/>
      <c r="K180" s="69"/>
      <c r="L180" s="69"/>
      <c r="M180" s="69"/>
      <c r="N180" s="69"/>
      <c r="O180" s="68"/>
      <c r="P180" s="68"/>
      <c r="Q180" s="69"/>
      <c r="R180" s="69"/>
      <c r="S180" s="69"/>
      <c r="T180" s="70"/>
      <c r="U180" s="69"/>
      <c r="V180" s="69"/>
      <c r="W180" s="69"/>
      <c r="X180" s="69"/>
      <c r="Y180" s="69"/>
      <c r="Z180" s="69"/>
    </row>
    <row r="181" spans="1:26" ht="30" customHeight="1" x14ac:dyDescent="0.2">
      <c r="A181" s="69"/>
      <c r="B181" s="69"/>
      <c r="C181" s="69"/>
      <c r="D181" s="69"/>
      <c r="E181" s="69"/>
      <c r="F181" s="69"/>
      <c r="G181" s="69"/>
      <c r="H181" s="69"/>
      <c r="I181" s="69"/>
      <c r="J181" s="69"/>
      <c r="K181" s="69"/>
      <c r="L181" s="69"/>
      <c r="M181" s="69"/>
      <c r="N181" s="69"/>
      <c r="O181" s="68"/>
      <c r="P181" s="68"/>
      <c r="Q181" s="69"/>
      <c r="R181" s="69"/>
      <c r="S181" s="69"/>
      <c r="T181" s="70"/>
      <c r="U181" s="69"/>
      <c r="V181" s="69"/>
      <c r="W181" s="69"/>
      <c r="X181" s="69"/>
      <c r="Y181" s="69"/>
      <c r="Z181" s="69"/>
    </row>
    <row r="182" spans="1:26" ht="30" customHeight="1" x14ac:dyDescent="0.2">
      <c r="A182" s="69"/>
      <c r="B182" s="69"/>
      <c r="C182" s="69"/>
      <c r="D182" s="69"/>
      <c r="E182" s="69"/>
      <c r="F182" s="69"/>
      <c r="G182" s="69"/>
      <c r="H182" s="69"/>
      <c r="I182" s="69"/>
      <c r="J182" s="69"/>
      <c r="K182" s="69"/>
      <c r="L182" s="69"/>
      <c r="M182" s="69"/>
      <c r="N182" s="69"/>
      <c r="O182" s="68"/>
      <c r="P182" s="68"/>
      <c r="Q182" s="69"/>
      <c r="R182" s="69"/>
      <c r="S182" s="69"/>
      <c r="T182" s="70"/>
      <c r="U182" s="69"/>
      <c r="V182" s="69"/>
      <c r="W182" s="69"/>
      <c r="X182" s="69"/>
      <c r="Y182" s="69"/>
      <c r="Z182" s="69"/>
    </row>
    <row r="183" spans="1:26" ht="30" customHeight="1" x14ac:dyDescent="0.2">
      <c r="A183" s="69"/>
      <c r="B183" s="69"/>
      <c r="C183" s="69"/>
      <c r="D183" s="69"/>
      <c r="E183" s="69"/>
      <c r="F183" s="69"/>
      <c r="G183" s="69"/>
      <c r="H183" s="69"/>
      <c r="I183" s="69"/>
      <c r="J183" s="69"/>
      <c r="K183" s="69"/>
      <c r="L183" s="69"/>
      <c r="M183" s="69"/>
      <c r="N183" s="69"/>
      <c r="O183" s="68"/>
      <c r="P183" s="68"/>
      <c r="Q183" s="69"/>
      <c r="R183" s="69"/>
      <c r="S183" s="69"/>
      <c r="T183" s="70"/>
      <c r="U183" s="69"/>
      <c r="V183" s="69"/>
      <c r="W183" s="69"/>
      <c r="X183" s="69"/>
      <c r="Y183" s="69"/>
      <c r="Z183" s="69"/>
    </row>
    <row r="184" spans="1:26" ht="30" customHeight="1" x14ac:dyDescent="0.2">
      <c r="A184" s="69"/>
      <c r="B184" s="69"/>
      <c r="C184" s="69"/>
      <c r="D184" s="69"/>
      <c r="E184" s="69"/>
      <c r="F184" s="69"/>
      <c r="G184" s="69"/>
      <c r="H184" s="69"/>
      <c r="I184" s="69"/>
      <c r="J184" s="69"/>
      <c r="K184" s="69"/>
      <c r="L184" s="69"/>
      <c r="M184" s="69"/>
      <c r="N184" s="69"/>
      <c r="O184" s="68"/>
      <c r="P184" s="68"/>
      <c r="Q184" s="69"/>
      <c r="R184" s="69"/>
      <c r="S184" s="69"/>
      <c r="T184" s="70"/>
      <c r="U184" s="69"/>
      <c r="V184" s="69"/>
      <c r="W184" s="69"/>
      <c r="X184" s="69"/>
      <c r="Y184" s="69"/>
      <c r="Z184" s="69"/>
    </row>
    <row r="185" spans="1:26" ht="30" customHeight="1" x14ac:dyDescent="0.2">
      <c r="A185" s="69"/>
      <c r="B185" s="69"/>
      <c r="C185" s="69"/>
      <c r="D185" s="69"/>
      <c r="E185" s="69"/>
      <c r="F185" s="69"/>
      <c r="G185" s="69"/>
      <c r="H185" s="69"/>
      <c r="I185" s="69"/>
      <c r="J185" s="69"/>
      <c r="K185" s="69"/>
      <c r="L185" s="69"/>
      <c r="M185" s="69"/>
      <c r="N185" s="69"/>
      <c r="O185" s="68"/>
      <c r="P185" s="68"/>
      <c r="Q185" s="69"/>
      <c r="R185" s="69"/>
      <c r="S185" s="69"/>
      <c r="T185" s="70"/>
      <c r="U185" s="69"/>
      <c r="V185" s="69"/>
      <c r="W185" s="69"/>
      <c r="X185" s="69"/>
      <c r="Y185" s="69"/>
      <c r="Z185" s="69"/>
    </row>
    <row r="186" spans="1:26" ht="30" customHeight="1" x14ac:dyDescent="0.2">
      <c r="A186" s="69"/>
      <c r="B186" s="69"/>
      <c r="C186" s="69"/>
      <c r="D186" s="69"/>
      <c r="E186" s="69"/>
      <c r="F186" s="69"/>
      <c r="G186" s="69"/>
      <c r="H186" s="69"/>
      <c r="I186" s="69"/>
      <c r="J186" s="69"/>
      <c r="K186" s="69"/>
      <c r="L186" s="69"/>
      <c r="M186" s="69"/>
      <c r="N186" s="69"/>
      <c r="O186" s="68"/>
      <c r="P186" s="68"/>
      <c r="Q186" s="69"/>
      <c r="R186" s="69"/>
      <c r="S186" s="69"/>
      <c r="T186" s="70"/>
      <c r="U186" s="69"/>
      <c r="V186" s="69"/>
      <c r="W186" s="69"/>
      <c r="X186" s="69"/>
      <c r="Y186" s="69"/>
      <c r="Z186" s="69"/>
    </row>
    <row r="187" spans="1:26" ht="30" customHeight="1" x14ac:dyDescent="0.2">
      <c r="A187" s="69"/>
      <c r="B187" s="69"/>
      <c r="C187" s="69"/>
      <c r="D187" s="69"/>
      <c r="E187" s="69"/>
      <c r="F187" s="69"/>
      <c r="G187" s="69"/>
      <c r="H187" s="69"/>
      <c r="I187" s="69"/>
      <c r="J187" s="69"/>
      <c r="K187" s="69"/>
      <c r="L187" s="69"/>
      <c r="M187" s="69"/>
      <c r="N187" s="69"/>
      <c r="O187" s="68"/>
      <c r="P187" s="68"/>
      <c r="Q187" s="69"/>
      <c r="R187" s="69"/>
      <c r="S187" s="69"/>
      <c r="T187" s="70"/>
      <c r="U187" s="69"/>
      <c r="V187" s="69"/>
      <c r="W187" s="69"/>
      <c r="X187" s="69"/>
      <c r="Y187" s="69"/>
      <c r="Z187" s="69"/>
    </row>
    <row r="188" spans="1:26" ht="30" customHeight="1" x14ac:dyDescent="0.2">
      <c r="A188" s="69"/>
      <c r="B188" s="69"/>
      <c r="C188" s="69"/>
      <c r="D188" s="69"/>
      <c r="E188" s="69"/>
      <c r="F188" s="69"/>
      <c r="G188" s="69"/>
      <c r="H188" s="69"/>
      <c r="I188" s="69"/>
      <c r="J188" s="69"/>
      <c r="K188" s="69"/>
      <c r="L188" s="69"/>
      <c r="M188" s="69"/>
      <c r="N188" s="69"/>
      <c r="O188" s="68"/>
      <c r="P188" s="68"/>
      <c r="Q188" s="69"/>
      <c r="R188" s="69"/>
      <c r="S188" s="69"/>
      <c r="T188" s="70"/>
      <c r="U188" s="69"/>
      <c r="V188" s="69"/>
      <c r="W188" s="69"/>
      <c r="X188" s="69"/>
      <c r="Y188" s="69"/>
      <c r="Z188" s="69"/>
    </row>
    <row r="189" spans="1:26" ht="30" customHeight="1" x14ac:dyDescent="0.2">
      <c r="A189" s="69"/>
      <c r="B189" s="69"/>
      <c r="C189" s="69"/>
      <c r="D189" s="69"/>
      <c r="E189" s="69"/>
      <c r="F189" s="69"/>
      <c r="G189" s="69"/>
      <c r="H189" s="69"/>
      <c r="I189" s="69"/>
      <c r="J189" s="69"/>
      <c r="K189" s="69"/>
      <c r="L189" s="69"/>
      <c r="M189" s="69"/>
      <c r="N189" s="69"/>
      <c r="O189" s="68"/>
      <c r="P189" s="68"/>
      <c r="Q189" s="69"/>
      <c r="R189" s="69"/>
      <c r="S189" s="69"/>
      <c r="T189" s="70"/>
      <c r="U189" s="69"/>
      <c r="V189" s="69"/>
      <c r="W189" s="69"/>
      <c r="X189" s="69"/>
      <c r="Y189" s="69"/>
      <c r="Z189" s="69"/>
    </row>
    <row r="190" spans="1:26" ht="30" customHeight="1" x14ac:dyDescent="0.2">
      <c r="A190" s="69"/>
      <c r="B190" s="69"/>
      <c r="C190" s="69"/>
      <c r="D190" s="69"/>
      <c r="E190" s="69"/>
      <c r="F190" s="69"/>
      <c r="G190" s="69"/>
      <c r="H190" s="69"/>
      <c r="I190" s="69"/>
      <c r="J190" s="69"/>
      <c r="K190" s="69"/>
      <c r="L190" s="69"/>
      <c r="M190" s="69"/>
      <c r="N190" s="69"/>
      <c r="O190" s="68"/>
      <c r="P190" s="68"/>
      <c r="Q190" s="69"/>
      <c r="R190" s="69"/>
      <c r="S190" s="69"/>
      <c r="T190" s="70"/>
      <c r="U190" s="69"/>
      <c r="V190" s="69"/>
      <c r="W190" s="69"/>
      <c r="X190" s="69"/>
      <c r="Y190" s="69"/>
      <c r="Z190" s="69"/>
    </row>
    <row r="191" spans="1:26" ht="30" customHeight="1" x14ac:dyDescent="0.2">
      <c r="A191" s="69"/>
      <c r="B191" s="69"/>
      <c r="C191" s="69"/>
      <c r="D191" s="69"/>
      <c r="E191" s="69"/>
      <c r="F191" s="69"/>
      <c r="G191" s="69"/>
      <c r="H191" s="69"/>
      <c r="I191" s="69"/>
      <c r="J191" s="69"/>
      <c r="K191" s="69"/>
      <c r="L191" s="69"/>
      <c r="M191" s="69"/>
      <c r="N191" s="69"/>
      <c r="O191" s="68"/>
      <c r="P191" s="68"/>
      <c r="Q191" s="69"/>
      <c r="R191" s="69"/>
      <c r="S191" s="69"/>
      <c r="T191" s="70"/>
      <c r="U191" s="69"/>
      <c r="V191" s="69"/>
      <c r="W191" s="69"/>
      <c r="X191" s="69"/>
      <c r="Y191" s="69"/>
      <c r="Z191" s="69"/>
    </row>
    <row r="192" spans="1:26" ht="30" customHeight="1" x14ac:dyDescent="0.2">
      <c r="A192" s="69"/>
      <c r="B192" s="69"/>
      <c r="C192" s="69"/>
      <c r="D192" s="69"/>
      <c r="E192" s="69"/>
      <c r="F192" s="69"/>
      <c r="G192" s="69"/>
      <c r="H192" s="69"/>
      <c r="I192" s="69"/>
      <c r="J192" s="69"/>
      <c r="K192" s="69"/>
      <c r="L192" s="69"/>
      <c r="M192" s="69"/>
      <c r="N192" s="69"/>
      <c r="O192" s="68"/>
      <c r="P192" s="68"/>
      <c r="Q192" s="69"/>
      <c r="R192" s="69"/>
      <c r="S192" s="69"/>
      <c r="T192" s="70"/>
      <c r="U192" s="69"/>
      <c r="V192" s="69"/>
      <c r="W192" s="69"/>
      <c r="X192" s="69"/>
      <c r="Y192" s="69"/>
      <c r="Z192" s="69"/>
    </row>
    <row r="193" spans="1:26" ht="30" customHeight="1" x14ac:dyDescent="0.2">
      <c r="A193" s="69"/>
      <c r="B193" s="69"/>
      <c r="C193" s="69"/>
      <c r="D193" s="69"/>
      <c r="E193" s="69"/>
      <c r="F193" s="69"/>
      <c r="G193" s="69"/>
      <c r="H193" s="69"/>
      <c r="I193" s="69"/>
      <c r="J193" s="69"/>
      <c r="K193" s="69"/>
      <c r="L193" s="69"/>
      <c r="M193" s="69"/>
      <c r="N193" s="69"/>
      <c r="O193" s="68"/>
      <c r="P193" s="68"/>
      <c r="Q193" s="69"/>
      <c r="R193" s="69"/>
      <c r="S193" s="69"/>
      <c r="T193" s="70"/>
      <c r="U193" s="69"/>
      <c r="V193" s="69"/>
      <c r="W193" s="69"/>
      <c r="X193" s="69"/>
      <c r="Y193" s="69"/>
      <c r="Z193" s="69"/>
    </row>
    <row r="194" spans="1:26" ht="30" customHeight="1" x14ac:dyDescent="0.2">
      <c r="A194" s="69"/>
      <c r="B194" s="69"/>
      <c r="C194" s="69"/>
      <c r="D194" s="69"/>
      <c r="E194" s="69"/>
      <c r="F194" s="69"/>
      <c r="G194" s="69"/>
      <c r="H194" s="69"/>
      <c r="I194" s="69"/>
      <c r="J194" s="69"/>
      <c r="K194" s="69"/>
      <c r="L194" s="69"/>
      <c r="M194" s="69"/>
      <c r="N194" s="69"/>
      <c r="O194" s="68"/>
      <c r="P194" s="68"/>
      <c r="Q194" s="69"/>
      <c r="R194" s="69"/>
      <c r="S194" s="69"/>
      <c r="T194" s="70"/>
      <c r="U194" s="69"/>
      <c r="V194" s="69"/>
      <c r="W194" s="69"/>
      <c r="X194" s="69"/>
      <c r="Y194" s="69"/>
      <c r="Z194" s="69"/>
    </row>
    <row r="195" spans="1:26" ht="30" customHeight="1" x14ac:dyDescent="0.2">
      <c r="A195" s="69"/>
      <c r="B195" s="69"/>
      <c r="C195" s="69"/>
      <c r="D195" s="69"/>
      <c r="E195" s="69"/>
      <c r="F195" s="69"/>
      <c r="G195" s="69"/>
      <c r="H195" s="69"/>
      <c r="I195" s="69"/>
      <c r="J195" s="69"/>
      <c r="K195" s="69"/>
      <c r="L195" s="69"/>
      <c r="M195" s="69"/>
      <c r="N195" s="69"/>
      <c r="O195" s="68"/>
      <c r="P195" s="68"/>
      <c r="Q195" s="69"/>
      <c r="R195" s="69"/>
      <c r="S195" s="69"/>
      <c r="T195" s="70"/>
      <c r="U195" s="69"/>
      <c r="V195" s="69"/>
      <c r="W195" s="69"/>
      <c r="X195" s="69"/>
      <c r="Y195" s="69"/>
      <c r="Z195" s="69"/>
    </row>
    <row r="196" spans="1:26" ht="30" customHeight="1" x14ac:dyDescent="0.2">
      <c r="A196" s="69"/>
      <c r="B196" s="69"/>
      <c r="C196" s="69"/>
      <c r="D196" s="69"/>
      <c r="E196" s="69"/>
      <c r="F196" s="69"/>
      <c r="G196" s="69"/>
      <c r="H196" s="69"/>
      <c r="I196" s="69"/>
      <c r="J196" s="69"/>
      <c r="K196" s="69"/>
      <c r="L196" s="69"/>
      <c r="M196" s="69"/>
      <c r="N196" s="69"/>
      <c r="O196" s="68"/>
      <c r="P196" s="68"/>
      <c r="Q196" s="69"/>
      <c r="R196" s="69"/>
      <c r="S196" s="69"/>
      <c r="T196" s="70"/>
      <c r="U196" s="69"/>
      <c r="V196" s="69"/>
      <c r="W196" s="69"/>
      <c r="X196" s="69"/>
      <c r="Y196" s="69"/>
      <c r="Z196" s="69"/>
    </row>
    <row r="197" spans="1:26" ht="30" customHeight="1" x14ac:dyDescent="0.2">
      <c r="A197" s="69"/>
      <c r="B197" s="69"/>
      <c r="C197" s="69"/>
      <c r="D197" s="69"/>
      <c r="E197" s="69"/>
      <c r="F197" s="69"/>
      <c r="G197" s="69"/>
      <c r="H197" s="69"/>
      <c r="I197" s="69"/>
      <c r="J197" s="69"/>
      <c r="K197" s="69"/>
      <c r="L197" s="69"/>
      <c r="M197" s="69"/>
      <c r="N197" s="69"/>
      <c r="O197" s="68"/>
      <c r="P197" s="68"/>
      <c r="Q197" s="69"/>
      <c r="R197" s="69"/>
      <c r="S197" s="69"/>
      <c r="T197" s="70"/>
      <c r="U197" s="69"/>
      <c r="V197" s="69"/>
      <c r="W197" s="69"/>
      <c r="X197" s="69"/>
      <c r="Y197" s="69"/>
      <c r="Z197" s="69"/>
    </row>
    <row r="198" spans="1:26" ht="30" customHeight="1" x14ac:dyDescent="0.2">
      <c r="A198" s="69"/>
      <c r="B198" s="69"/>
      <c r="C198" s="69"/>
      <c r="D198" s="69"/>
      <c r="E198" s="69"/>
      <c r="F198" s="69"/>
      <c r="G198" s="69"/>
      <c r="H198" s="69"/>
      <c r="I198" s="69"/>
      <c r="J198" s="69"/>
      <c r="K198" s="69"/>
      <c r="L198" s="69"/>
      <c r="M198" s="69"/>
      <c r="N198" s="69"/>
      <c r="O198" s="68"/>
      <c r="P198" s="68"/>
      <c r="Q198" s="69"/>
      <c r="R198" s="69"/>
      <c r="S198" s="69"/>
      <c r="T198" s="70"/>
      <c r="U198" s="69"/>
      <c r="V198" s="69"/>
      <c r="W198" s="69"/>
      <c r="X198" s="69"/>
      <c r="Y198" s="69"/>
      <c r="Z198" s="69"/>
    </row>
    <row r="199" spans="1:26" ht="30" customHeight="1" x14ac:dyDescent="0.2">
      <c r="A199" s="69"/>
      <c r="B199" s="69"/>
      <c r="C199" s="69"/>
      <c r="D199" s="69"/>
      <c r="E199" s="69"/>
      <c r="F199" s="69"/>
      <c r="G199" s="69"/>
      <c r="H199" s="69"/>
      <c r="I199" s="69"/>
      <c r="J199" s="69"/>
      <c r="K199" s="69"/>
      <c r="L199" s="69"/>
      <c r="M199" s="69"/>
      <c r="N199" s="69"/>
      <c r="O199" s="68"/>
      <c r="P199" s="68"/>
      <c r="Q199" s="69"/>
      <c r="R199" s="69"/>
      <c r="S199" s="69"/>
      <c r="T199" s="70"/>
      <c r="U199" s="69"/>
      <c r="V199" s="69"/>
      <c r="W199" s="69"/>
      <c r="X199" s="69"/>
      <c r="Y199" s="69"/>
      <c r="Z199" s="69"/>
    </row>
    <row r="200" spans="1:26" ht="30" customHeight="1" x14ac:dyDescent="0.2">
      <c r="A200" s="69"/>
      <c r="B200" s="69"/>
      <c r="C200" s="69"/>
      <c r="D200" s="69"/>
      <c r="E200" s="69"/>
      <c r="F200" s="69"/>
      <c r="G200" s="69"/>
      <c r="H200" s="69"/>
      <c r="I200" s="69"/>
      <c r="J200" s="69"/>
      <c r="K200" s="69"/>
      <c r="L200" s="69"/>
      <c r="M200" s="69"/>
      <c r="N200" s="69"/>
      <c r="O200" s="68"/>
      <c r="P200" s="68"/>
      <c r="Q200" s="69"/>
      <c r="R200" s="69"/>
      <c r="S200" s="69"/>
      <c r="T200" s="70"/>
      <c r="U200" s="69"/>
      <c r="V200" s="69"/>
      <c r="W200" s="69"/>
      <c r="X200" s="69"/>
      <c r="Y200" s="69"/>
      <c r="Z200" s="69"/>
    </row>
    <row r="201" spans="1:26" ht="30" customHeight="1" x14ac:dyDescent="0.2">
      <c r="A201" s="69"/>
      <c r="B201" s="69"/>
      <c r="C201" s="69"/>
      <c r="D201" s="69"/>
      <c r="E201" s="69"/>
      <c r="F201" s="69"/>
      <c r="G201" s="69"/>
      <c r="H201" s="69"/>
      <c r="I201" s="69"/>
      <c r="J201" s="69"/>
      <c r="K201" s="69"/>
      <c r="L201" s="69"/>
      <c r="M201" s="69"/>
      <c r="N201" s="69"/>
      <c r="O201" s="68"/>
      <c r="P201" s="68"/>
      <c r="Q201" s="69"/>
      <c r="R201" s="69"/>
      <c r="S201" s="69"/>
      <c r="T201" s="70"/>
      <c r="U201" s="69"/>
      <c r="V201" s="69"/>
      <c r="W201" s="69"/>
      <c r="X201" s="69"/>
      <c r="Y201" s="69"/>
      <c r="Z201" s="69"/>
    </row>
    <row r="202" spans="1:26" ht="30" customHeight="1" x14ac:dyDescent="0.2">
      <c r="A202" s="69"/>
      <c r="B202" s="69"/>
      <c r="C202" s="69"/>
      <c r="D202" s="69"/>
      <c r="E202" s="69"/>
      <c r="F202" s="69"/>
      <c r="G202" s="69"/>
      <c r="H202" s="69"/>
      <c r="I202" s="69"/>
      <c r="J202" s="69"/>
      <c r="K202" s="69"/>
      <c r="L202" s="69"/>
      <c r="M202" s="69"/>
      <c r="N202" s="69"/>
      <c r="O202" s="68"/>
      <c r="P202" s="68"/>
      <c r="Q202" s="69"/>
      <c r="R202" s="69"/>
      <c r="S202" s="69"/>
      <c r="T202" s="70"/>
      <c r="U202" s="69"/>
      <c r="V202" s="69"/>
      <c r="W202" s="69"/>
      <c r="X202" s="69"/>
      <c r="Y202" s="69"/>
      <c r="Z202" s="69"/>
    </row>
    <row r="203" spans="1:26" ht="30" customHeight="1" x14ac:dyDescent="0.2">
      <c r="A203" s="69"/>
      <c r="B203" s="69"/>
      <c r="C203" s="69"/>
      <c r="D203" s="69"/>
      <c r="E203" s="69"/>
      <c r="F203" s="69"/>
      <c r="G203" s="69"/>
      <c r="H203" s="69"/>
      <c r="I203" s="69"/>
      <c r="J203" s="69"/>
      <c r="K203" s="69"/>
      <c r="L203" s="69"/>
      <c r="M203" s="69"/>
      <c r="N203" s="69"/>
      <c r="O203" s="68"/>
      <c r="P203" s="68"/>
      <c r="Q203" s="69"/>
      <c r="R203" s="69"/>
      <c r="S203" s="69"/>
      <c r="T203" s="70"/>
      <c r="U203" s="69"/>
      <c r="V203" s="69"/>
      <c r="W203" s="69"/>
      <c r="X203" s="69"/>
      <c r="Y203" s="69"/>
      <c r="Z203" s="69"/>
    </row>
    <row r="204" spans="1:26" ht="30" customHeight="1" x14ac:dyDescent="0.2">
      <c r="A204" s="69"/>
      <c r="B204" s="69"/>
      <c r="C204" s="69"/>
      <c r="D204" s="69"/>
      <c r="E204" s="69"/>
      <c r="F204" s="69"/>
      <c r="G204" s="69"/>
      <c r="H204" s="69"/>
      <c r="I204" s="69"/>
      <c r="J204" s="69"/>
      <c r="K204" s="69"/>
      <c r="L204" s="69"/>
      <c r="M204" s="69"/>
      <c r="N204" s="69"/>
      <c r="O204" s="68"/>
      <c r="P204" s="68"/>
      <c r="Q204" s="69"/>
      <c r="R204" s="69"/>
      <c r="S204" s="69"/>
      <c r="T204" s="70"/>
      <c r="U204" s="69"/>
      <c r="V204" s="69"/>
      <c r="W204" s="69"/>
      <c r="X204" s="69"/>
      <c r="Y204" s="69"/>
      <c r="Z204" s="69"/>
    </row>
    <row r="205" spans="1:26" ht="30" customHeight="1" x14ac:dyDescent="0.2">
      <c r="A205" s="69"/>
      <c r="B205" s="69"/>
      <c r="C205" s="69"/>
      <c r="D205" s="69"/>
      <c r="E205" s="69"/>
      <c r="F205" s="69"/>
      <c r="G205" s="69"/>
      <c r="H205" s="69"/>
      <c r="I205" s="69"/>
      <c r="J205" s="69"/>
      <c r="K205" s="69"/>
      <c r="L205" s="69"/>
      <c r="M205" s="69"/>
      <c r="N205" s="69"/>
      <c r="O205" s="68"/>
      <c r="P205" s="68"/>
      <c r="Q205" s="69"/>
      <c r="R205" s="69"/>
      <c r="S205" s="69"/>
      <c r="T205" s="70"/>
      <c r="U205" s="69"/>
      <c r="V205" s="69"/>
      <c r="W205" s="69"/>
      <c r="X205" s="69"/>
      <c r="Y205" s="69"/>
      <c r="Z205" s="69"/>
    </row>
    <row r="206" spans="1:26" ht="30" customHeight="1" x14ac:dyDescent="0.2">
      <c r="A206" s="69"/>
      <c r="B206" s="69"/>
      <c r="C206" s="69"/>
      <c r="D206" s="69"/>
      <c r="E206" s="69"/>
      <c r="F206" s="69"/>
      <c r="G206" s="69"/>
      <c r="H206" s="69"/>
      <c r="I206" s="69"/>
      <c r="J206" s="69"/>
      <c r="K206" s="69"/>
      <c r="L206" s="69"/>
      <c r="M206" s="69"/>
      <c r="N206" s="69"/>
      <c r="O206" s="68"/>
      <c r="P206" s="68"/>
      <c r="Q206" s="69"/>
      <c r="R206" s="69"/>
      <c r="S206" s="69"/>
      <c r="T206" s="70"/>
      <c r="U206" s="69"/>
      <c r="V206" s="69"/>
      <c r="W206" s="69"/>
      <c r="X206" s="69"/>
      <c r="Y206" s="69"/>
      <c r="Z206" s="69"/>
    </row>
    <row r="207" spans="1:26" ht="30" customHeight="1" x14ac:dyDescent="0.2">
      <c r="A207" s="69"/>
      <c r="B207" s="69"/>
      <c r="C207" s="69"/>
      <c r="D207" s="69"/>
      <c r="E207" s="69"/>
      <c r="F207" s="69"/>
      <c r="G207" s="69"/>
      <c r="H207" s="69"/>
      <c r="I207" s="69"/>
      <c r="J207" s="69"/>
      <c r="K207" s="69"/>
      <c r="L207" s="69"/>
      <c r="M207" s="69"/>
      <c r="N207" s="69"/>
      <c r="O207" s="68"/>
      <c r="P207" s="68"/>
      <c r="Q207" s="69"/>
      <c r="R207" s="69"/>
      <c r="S207" s="69"/>
      <c r="T207" s="70"/>
      <c r="U207" s="69"/>
      <c r="V207" s="69"/>
      <c r="W207" s="69"/>
      <c r="X207" s="69"/>
      <c r="Y207" s="69"/>
      <c r="Z207" s="69"/>
    </row>
    <row r="208" spans="1:26" ht="30" customHeight="1" x14ac:dyDescent="0.2">
      <c r="A208" s="69"/>
      <c r="B208" s="69"/>
      <c r="C208" s="69"/>
      <c r="D208" s="69"/>
      <c r="E208" s="69"/>
      <c r="F208" s="69"/>
      <c r="G208" s="69"/>
      <c r="H208" s="69"/>
      <c r="I208" s="69"/>
      <c r="J208" s="69"/>
      <c r="K208" s="69"/>
      <c r="L208" s="69"/>
      <c r="M208" s="69"/>
      <c r="N208" s="69"/>
      <c r="O208" s="68"/>
      <c r="P208" s="68"/>
      <c r="Q208" s="69"/>
      <c r="R208" s="69"/>
      <c r="S208" s="69"/>
      <c r="T208" s="70"/>
      <c r="U208" s="69"/>
      <c r="V208" s="69"/>
      <c r="W208" s="69"/>
      <c r="X208" s="69"/>
      <c r="Y208" s="69"/>
      <c r="Z208" s="69"/>
    </row>
    <row r="209" spans="1:26" ht="30" customHeight="1" x14ac:dyDescent="0.2">
      <c r="A209" s="69"/>
      <c r="B209" s="69"/>
      <c r="C209" s="69"/>
      <c r="D209" s="69"/>
      <c r="E209" s="69"/>
      <c r="F209" s="69"/>
      <c r="G209" s="69"/>
      <c r="H209" s="69"/>
      <c r="I209" s="69"/>
      <c r="J209" s="69"/>
      <c r="K209" s="69"/>
      <c r="L209" s="69"/>
      <c r="M209" s="69"/>
      <c r="N209" s="69"/>
      <c r="O209" s="68"/>
      <c r="P209" s="68"/>
      <c r="Q209" s="69"/>
      <c r="R209" s="69"/>
      <c r="S209" s="69"/>
      <c r="T209" s="70"/>
      <c r="U209" s="69"/>
      <c r="V209" s="69"/>
      <c r="W209" s="69"/>
      <c r="X209" s="69"/>
      <c r="Y209" s="69"/>
      <c r="Z209" s="69"/>
    </row>
    <row r="210" spans="1:26" ht="30" customHeight="1" x14ac:dyDescent="0.2">
      <c r="A210" s="69"/>
      <c r="B210" s="69"/>
      <c r="C210" s="69"/>
      <c r="D210" s="69"/>
      <c r="E210" s="69"/>
      <c r="F210" s="69"/>
      <c r="G210" s="69"/>
      <c r="H210" s="69"/>
      <c r="I210" s="69"/>
      <c r="J210" s="69"/>
      <c r="K210" s="69"/>
      <c r="L210" s="69"/>
      <c r="M210" s="69"/>
      <c r="N210" s="69"/>
      <c r="O210" s="68"/>
      <c r="P210" s="68"/>
      <c r="Q210" s="69"/>
      <c r="R210" s="69"/>
      <c r="S210" s="69"/>
      <c r="T210" s="70"/>
      <c r="U210" s="69"/>
      <c r="V210" s="69"/>
      <c r="W210" s="69"/>
      <c r="X210" s="69"/>
      <c r="Y210" s="69"/>
      <c r="Z210" s="69"/>
    </row>
    <row r="211" spans="1:26" ht="30" customHeight="1" x14ac:dyDescent="0.2">
      <c r="A211" s="69"/>
      <c r="B211" s="69"/>
      <c r="C211" s="69"/>
      <c r="D211" s="69"/>
      <c r="E211" s="69"/>
      <c r="F211" s="69"/>
      <c r="G211" s="69"/>
      <c r="H211" s="69"/>
      <c r="I211" s="69"/>
      <c r="J211" s="69"/>
      <c r="K211" s="69"/>
      <c r="L211" s="69"/>
      <c r="M211" s="69"/>
      <c r="N211" s="69"/>
      <c r="O211" s="68"/>
      <c r="P211" s="68"/>
      <c r="Q211" s="69"/>
      <c r="R211" s="69"/>
      <c r="S211" s="69"/>
      <c r="T211" s="70"/>
      <c r="U211" s="69"/>
      <c r="V211" s="69"/>
      <c r="W211" s="69"/>
      <c r="X211" s="69"/>
      <c r="Y211" s="69"/>
      <c r="Z211" s="69"/>
    </row>
    <row r="212" spans="1:26" ht="30" customHeight="1" x14ac:dyDescent="0.2">
      <c r="A212" s="69"/>
      <c r="B212" s="69"/>
      <c r="C212" s="69"/>
      <c r="D212" s="69"/>
      <c r="E212" s="69"/>
      <c r="F212" s="69"/>
      <c r="G212" s="69"/>
      <c r="H212" s="69"/>
      <c r="I212" s="69"/>
      <c r="J212" s="69"/>
      <c r="K212" s="69"/>
      <c r="L212" s="69"/>
      <c r="M212" s="69"/>
      <c r="N212" s="69"/>
      <c r="O212" s="68"/>
      <c r="P212" s="68"/>
      <c r="Q212" s="69"/>
      <c r="R212" s="69"/>
      <c r="S212" s="69"/>
      <c r="T212" s="70"/>
      <c r="U212" s="69"/>
      <c r="V212" s="69"/>
      <c r="W212" s="69"/>
      <c r="X212" s="69"/>
      <c r="Y212" s="69"/>
      <c r="Z212" s="69"/>
    </row>
    <row r="213" spans="1:26" ht="30" customHeight="1" x14ac:dyDescent="0.2">
      <c r="A213" s="69"/>
      <c r="B213" s="69"/>
      <c r="C213" s="69"/>
      <c r="D213" s="69"/>
      <c r="E213" s="69"/>
      <c r="F213" s="69"/>
      <c r="G213" s="69"/>
      <c r="H213" s="69"/>
      <c r="I213" s="69"/>
      <c r="J213" s="69"/>
      <c r="K213" s="69"/>
      <c r="L213" s="69"/>
      <c r="M213" s="69"/>
      <c r="N213" s="69"/>
      <c r="O213" s="68"/>
      <c r="P213" s="68"/>
      <c r="Q213" s="69"/>
      <c r="R213" s="69"/>
      <c r="S213" s="69"/>
      <c r="T213" s="70"/>
      <c r="U213" s="69"/>
      <c r="V213" s="69"/>
      <c r="W213" s="69"/>
      <c r="X213" s="69"/>
      <c r="Y213" s="69"/>
      <c r="Z213" s="69"/>
    </row>
    <row r="214" spans="1:26" ht="30" customHeight="1" x14ac:dyDescent="0.2">
      <c r="A214" s="69"/>
      <c r="B214" s="69"/>
      <c r="C214" s="69"/>
      <c r="D214" s="69"/>
      <c r="E214" s="69"/>
      <c r="F214" s="69"/>
      <c r="G214" s="69"/>
      <c r="H214" s="69"/>
      <c r="I214" s="69"/>
      <c r="J214" s="69"/>
      <c r="K214" s="69"/>
      <c r="L214" s="69"/>
      <c r="M214" s="69"/>
      <c r="N214" s="69"/>
      <c r="O214" s="68"/>
      <c r="P214" s="68"/>
      <c r="Q214" s="69"/>
      <c r="R214" s="69"/>
      <c r="S214" s="69"/>
      <c r="T214" s="70"/>
      <c r="U214" s="69"/>
      <c r="V214" s="69"/>
      <c r="W214" s="69"/>
      <c r="X214" s="69"/>
      <c r="Y214" s="69"/>
      <c r="Z214" s="69"/>
    </row>
    <row r="215" spans="1:26" ht="30" customHeight="1" x14ac:dyDescent="0.2">
      <c r="A215" s="69"/>
      <c r="B215" s="69"/>
      <c r="C215" s="69"/>
      <c r="D215" s="69"/>
      <c r="E215" s="69"/>
      <c r="F215" s="69"/>
      <c r="G215" s="69"/>
      <c r="H215" s="69"/>
      <c r="I215" s="69"/>
      <c r="J215" s="69"/>
      <c r="K215" s="69"/>
      <c r="L215" s="69"/>
      <c r="M215" s="69"/>
      <c r="N215" s="69"/>
      <c r="O215" s="68"/>
      <c r="P215" s="68"/>
      <c r="Q215" s="69"/>
      <c r="R215" s="69"/>
      <c r="S215" s="69"/>
      <c r="T215" s="70"/>
      <c r="U215" s="69"/>
      <c r="V215" s="69"/>
      <c r="W215" s="69"/>
      <c r="X215" s="69"/>
      <c r="Y215" s="69"/>
      <c r="Z215" s="69"/>
    </row>
    <row r="216" spans="1:26" ht="30" customHeight="1" x14ac:dyDescent="0.2">
      <c r="A216" s="69"/>
      <c r="B216" s="69"/>
      <c r="C216" s="69"/>
      <c r="D216" s="69"/>
      <c r="E216" s="69"/>
      <c r="F216" s="69"/>
      <c r="G216" s="69"/>
      <c r="H216" s="69"/>
      <c r="I216" s="69"/>
      <c r="J216" s="69"/>
      <c r="K216" s="69"/>
      <c r="L216" s="69"/>
      <c r="M216" s="69"/>
      <c r="N216" s="69"/>
      <c r="O216" s="68"/>
      <c r="P216" s="68"/>
      <c r="Q216" s="69"/>
      <c r="R216" s="69"/>
      <c r="S216" s="69"/>
      <c r="T216" s="70"/>
      <c r="U216" s="69"/>
      <c r="V216" s="69"/>
      <c r="W216" s="69"/>
      <c r="X216" s="69"/>
      <c r="Y216" s="69"/>
      <c r="Z216" s="69"/>
    </row>
    <row r="217" spans="1:26" ht="30" customHeight="1" x14ac:dyDescent="0.2">
      <c r="A217" s="69"/>
      <c r="B217" s="69"/>
      <c r="C217" s="69"/>
      <c r="D217" s="69"/>
      <c r="E217" s="69"/>
      <c r="F217" s="69"/>
      <c r="G217" s="69"/>
      <c r="H217" s="69"/>
      <c r="I217" s="69"/>
      <c r="J217" s="69"/>
      <c r="K217" s="69"/>
      <c r="L217" s="69"/>
      <c r="M217" s="69"/>
      <c r="N217" s="69"/>
      <c r="O217" s="68"/>
      <c r="P217" s="68"/>
      <c r="Q217" s="69"/>
      <c r="R217" s="69"/>
      <c r="S217" s="69"/>
      <c r="T217" s="70"/>
      <c r="U217" s="69"/>
      <c r="V217" s="69"/>
      <c r="W217" s="69"/>
      <c r="X217" s="69"/>
      <c r="Y217" s="69"/>
      <c r="Z217" s="69"/>
    </row>
    <row r="218" spans="1:26" ht="30" customHeight="1" x14ac:dyDescent="0.2">
      <c r="A218" s="69"/>
      <c r="B218" s="69"/>
      <c r="C218" s="69"/>
      <c r="D218" s="69"/>
      <c r="E218" s="69"/>
      <c r="F218" s="69"/>
      <c r="G218" s="69"/>
      <c r="H218" s="69"/>
      <c r="I218" s="69"/>
      <c r="J218" s="69"/>
      <c r="K218" s="69"/>
      <c r="L218" s="69"/>
      <c r="M218" s="69"/>
      <c r="N218" s="69"/>
      <c r="O218" s="68"/>
      <c r="P218" s="68"/>
      <c r="Q218" s="69"/>
      <c r="R218" s="69"/>
      <c r="S218" s="69"/>
      <c r="T218" s="70"/>
      <c r="U218" s="69"/>
      <c r="V218" s="69"/>
      <c r="W218" s="69"/>
      <c r="X218" s="69"/>
      <c r="Y218" s="69"/>
      <c r="Z218" s="69"/>
    </row>
    <row r="219" spans="1:26" ht="30" customHeight="1" x14ac:dyDescent="0.2">
      <c r="A219" s="69"/>
      <c r="B219" s="69"/>
      <c r="C219" s="69"/>
      <c r="D219" s="69"/>
      <c r="E219" s="69"/>
      <c r="F219" s="69"/>
      <c r="G219" s="69"/>
      <c r="H219" s="69"/>
      <c r="I219" s="69"/>
      <c r="J219" s="69"/>
      <c r="K219" s="69"/>
      <c r="L219" s="69"/>
      <c r="M219" s="69"/>
      <c r="N219" s="69"/>
      <c r="O219" s="68"/>
      <c r="P219" s="68"/>
      <c r="Q219" s="69"/>
      <c r="R219" s="69"/>
      <c r="S219" s="69"/>
      <c r="T219" s="70"/>
      <c r="U219" s="69"/>
      <c r="V219" s="69"/>
      <c r="W219" s="69"/>
      <c r="X219" s="69"/>
      <c r="Y219" s="69"/>
      <c r="Z219" s="69"/>
    </row>
    <row r="220" spans="1:26" ht="30" customHeight="1" x14ac:dyDescent="0.2">
      <c r="A220" s="69"/>
      <c r="B220" s="69"/>
      <c r="C220" s="69"/>
      <c r="D220" s="69"/>
      <c r="E220" s="69"/>
      <c r="F220" s="69"/>
      <c r="G220" s="69"/>
      <c r="H220" s="69"/>
      <c r="I220" s="69"/>
      <c r="J220" s="69"/>
      <c r="K220" s="69"/>
      <c r="L220" s="69"/>
      <c r="M220" s="69"/>
      <c r="N220" s="69"/>
      <c r="O220" s="68"/>
      <c r="P220" s="68"/>
      <c r="Q220" s="69"/>
      <c r="R220" s="69"/>
      <c r="S220" s="69"/>
      <c r="T220" s="70"/>
      <c r="U220" s="69"/>
      <c r="V220" s="69"/>
      <c r="W220" s="69"/>
      <c r="X220" s="69"/>
      <c r="Y220" s="69"/>
      <c r="Z220" s="69"/>
    </row>
    <row r="221" spans="1:26" ht="30" customHeight="1" x14ac:dyDescent="0.2">
      <c r="A221" s="69"/>
      <c r="B221" s="69"/>
      <c r="C221" s="69"/>
      <c r="D221" s="69"/>
      <c r="E221" s="69"/>
      <c r="F221" s="69"/>
      <c r="G221" s="69"/>
      <c r="H221" s="69"/>
      <c r="I221" s="69"/>
      <c r="J221" s="69"/>
      <c r="K221" s="69"/>
      <c r="L221" s="69"/>
      <c r="M221" s="69"/>
      <c r="N221" s="69"/>
      <c r="O221" s="68"/>
      <c r="P221" s="68"/>
      <c r="Q221" s="69"/>
      <c r="R221" s="69"/>
      <c r="S221" s="69"/>
      <c r="T221" s="70"/>
      <c r="U221" s="69"/>
      <c r="V221" s="69"/>
      <c r="W221" s="69"/>
      <c r="X221" s="69"/>
      <c r="Y221" s="69"/>
      <c r="Z221" s="69"/>
    </row>
    <row r="222" spans="1:26" ht="30" customHeight="1" x14ac:dyDescent="0.2">
      <c r="A222" s="69"/>
      <c r="B222" s="69"/>
      <c r="C222" s="69"/>
      <c r="D222" s="69"/>
      <c r="E222" s="69"/>
      <c r="F222" s="69"/>
      <c r="G222" s="69"/>
      <c r="H222" s="69"/>
      <c r="I222" s="69"/>
      <c r="J222" s="69"/>
      <c r="K222" s="69"/>
      <c r="L222" s="69"/>
      <c r="M222" s="69"/>
      <c r="N222" s="69"/>
      <c r="O222" s="68"/>
      <c r="P222" s="68"/>
      <c r="Q222" s="69"/>
      <c r="R222" s="69"/>
      <c r="S222" s="69"/>
      <c r="T222" s="70"/>
      <c r="U222" s="69"/>
      <c r="V222" s="69"/>
      <c r="W222" s="69"/>
      <c r="X222" s="69"/>
      <c r="Y222" s="69"/>
      <c r="Z222" s="69"/>
    </row>
    <row r="223" spans="1:26" ht="30" customHeight="1" x14ac:dyDescent="0.2">
      <c r="A223" s="69"/>
      <c r="B223" s="69"/>
      <c r="C223" s="69"/>
      <c r="D223" s="69"/>
      <c r="E223" s="69"/>
      <c r="F223" s="69"/>
      <c r="G223" s="69"/>
      <c r="H223" s="69"/>
      <c r="I223" s="69"/>
      <c r="J223" s="69"/>
      <c r="K223" s="69"/>
      <c r="L223" s="69"/>
      <c r="M223" s="69"/>
      <c r="N223" s="69"/>
      <c r="O223" s="68"/>
      <c r="P223" s="68"/>
      <c r="Q223" s="69"/>
      <c r="R223" s="69"/>
      <c r="S223" s="69"/>
      <c r="T223" s="70"/>
      <c r="U223" s="69"/>
      <c r="V223" s="69"/>
      <c r="W223" s="69"/>
      <c r="X223" s="69"/>
      <c r="Y223" s="69"/>
      <c r="Z223" s="69"/>
    </row>
    <row r="224" spans="1:26" ht="30" customHeight="1" x14ac:dyDescent="0.2">
      <c r="A224" s="69"/>
      <c r="B224" s="69"/>
      <c r="C224" s="69"/>
      <c r="D224" s="69"/>
      <c r="E224" s="69"/>
      <c r="F224" s="69"/>
      <c r="G224" s="69"/>
      <c r="H224" s="69"/>
      <c r="I224" s="69"/>
      <c r="J224" s="69"/>
      <c r="K224" s="69"/>
      <c r="L224" s="69"/>
      <c r="M224" s="69"/>
      <c r="N224" s="69"/>
      <c r="O224" s="68"/>
      <c r="P224" s="68"/>
      <c r="Q224" s="69"/>
      <c r="R224" s="69"/>
      <c r="S224" s="69"/>
      <c r="T224" s="70"/>
      <c r="U224" s="69"/>
      <c r="V224" s="69"/>
      <c r="W224" s="69"/>
      <c r="X224" s="69"/>
      <c r="Y224" s="69"/>
      <c r="Z224" s="69"/>
    </row>
    <row r="225" spans="1:26" ht="30" customHeight="1" x14ac:dyDescent="0.2">
      <c r="A225" s="69"/>
      <c r="B225" s="69"/>
      <c r="C225" s="69"/>
      <c r="D225" s="69"/>
      <c r="E225" s="69"/>
      <c r="F225" s="69"/>
      <c r="G225" s="69"/>
      <c r="H225" s="69"/>
      <c r="I225" s="69"/>
      <c r="J225" s="69"/>
      <c r="K225" s="69"/>
      <c r="L225" s="69"/>
      <c r="M225" s="69"/>
      <c r="N225" s="69"/>
      <c r="O225" s="68"/>
      <c r="P225" s="68"/>
      <c r="Q225" s="69"/>
      <c r="R225" s="69"/>
      <c r="S225" s="69"/>
      <c r="T225" s="70"/>
      <c r="U225" s="69"/>
      <c r="V225" s="69"/>
      <c r="W225" s="69"/>
      <c r="X225" s="69"/>
      <c r="Y225" s="69"/>
      <c r="Z225" s="69"/>
    </row>
    <row r="226" spans="1:26" ht="30" customHeight="1" x14ac:dyDescent="0.2">
      <c r="A226" s="69"/>
      <c r="B226" s="69"/>
      <c r="C226" s="69"/>
      <c r="D226" s="69"/>
      <c r="E226" s="69"/>
      <c r="F226" s="69"/>
      <c r="G226" s="69"/>
      <c r="H226" s="69"/>
      <c r="I226" s="69"/>
      <c r="J226" s="69"/>
      <c r="K226" s="69"/>
      <c r="L226" s="69"/>
      <c r="M226" s="69"/>
      <c r="N226" s="69"/>
      <c r="O226" s="68"/>
      <c r="P226" s="68"/>
      <c r="Q226" s="69"/>
      <c r="R226" s="69"/>
      <c r="S226" s="69"/>
      <c r="T226" s="70"/>
      <c r="U226" s="69"/>
      <c r="V226" s="69"/>
      <c r="W226" s="69"/>
      <c r="X226" s="69"/>
      <c r="Y226" s="69"/>
      <c r="Z226" s="69"/>
    </row>
    <row r="227" spans="1:26" ht="30" customHeight="1" x14ac:dyDescent="0.2">
      <c r="A227" s="69"/>
      <c r="B227" s="69"/>
      <c r="C227" s="69"/>
      <c r="D227" s="69"/>
      <c r="E227" s="69"/>
      <c r="F227" s="69"/>
      <c r="G227" s="69"/>
      <c r="H227" s="69"/>
      <c r="I227" s="69"/>
      <c r="J227" s="69"/>
      <c r="K227" s="69"/>
      <c r="L227" s="69"/>
      <c r="M227" s="69"/>
      <c r="N227" s="69"/>
      <c r="O227" s="68"/>
      <c r="P227" s="68"/>
      <c r="Q227" s="69"/>
      <c r="R227" s="69"/>
      <c r="S227" s="69"/>
      <c r="T227" s="70"/>
      <c r="U227" s="69"/>
      <c r="V227" s="69"/>
      <c r="W227" s="69"/>
      <c r="X227" s="69"/>
      <c r="Y227" s="69"/>
      <c r="Z227" s="69"/>
    </row>
    <row r="228" spans="1:26" ht="30" customHeight="1" x14ac:dyDescent="0.2">
      <c r="A228" s="69"/>
      <c r="B228" s="69"/>
      <c r="C228" s="69"/>
      <c r="D228" s="69"/>
      <c r="E228" s="69"/>
      <c r="F228" s="69"/>
      <c r="G228" s="69"/>
      <c r="H228" s="69"/>
      <c r="I228" s="69"/>
      <c r="J228" s="69"/>
      <c r="K228" s="69"/>
      <c r="L228" s="69"/>
      <c r="M228" s="69"/>
      <c r="N228" s="69"/>
      <c r="O228" s="68"/>
      <c r="P228" s="68"/>
      <c r="Q228" s="69"/>
      <c r="R228" s="69"/>
      <c r="S228" s="69"/>
      <c r="T228" s="70"/>
      <c r="U228" s="69"/>
      <c r="V228" s="69"/>
      <c r="W228" s="69"/>
      <c r="X228" s="69"/>
      <c r="Y228" s="69"/>
      <c r="Z228" s="69"/>
    </row>
    <row r="229" spans="1:26" ht="30" customHeight="1" x14ac:dyDescent="0.2">
      <c r="A229" s="69"/>
      <c r="B229" s="69"/>
      <c r="C229" s="69"/>
      <c r="D229" s="69"/>
      <c r="E229" s="69"/>
      <c r="F229" s="69"/>
      <c r="G229" s="69"/>
      <c r="H229" s="69"/>
      <c r="I229" s="69"/>
      <c r="J229" s="69"/>
      <c r="K229" s="69"/>
      <c r="L229" s="69"/>
      <c r="M229" s="69"/>
      <c r="N229" s="69"/>
      <c r="O229" s="68"/>
      <c r="P229" s="68"/>
      <c r="Q229" s="69"/>
      <c r="R229" s="69"/>
      <c r="S229" s="69"/>
      <c r="T229" s="70"/>
      <c r="U229" s="69"/>
      <c r="V229" s="69"/>
      <c r="W229" s="69"/>
      <c r="X229" s="69"/>
      <c r="Y229" s="69"/>
      <c r="Z229" s="69"/>
    </row>
    <row r="230" spans="1:26" ht="30" customHeight="1" x14ac:dyDescent="0.2">
      <c r="A230" s="69"/>
      <c r="B230" s="69"/>
      <c r="C230" s="69"/>
      <c r="D230" s="69"/>
      <c r="E230" s="69"/>
      <c r="F230" s="69"/>
      <c r="G230" s="69"/>
      <c r="H230" s="69"/>
      <c r="I230" s="69"/>
      <c r="J230" s="69"/>
      <c r="K230" s="69"/>
      <c r="L230" s="69"/>
      <c r="M230" s="69"/>
      <c r="N230" s="69"/>
      <c r="O230" s="68"/>
      <c r="P230" s="68"/>
      <c r="Q230" s="69"/>
      <c r="R230" s="69"/>
      <c r="S230" s="69"/>
      <c r="T230" s="70"/>
      <c r="U230" s="69"/>
      <c r="V230" s="69"/>
      <c r="W230" s="69"/>
      <c r="X230" s="69"/>
      <c r="Y230" s="69"/>
      <c r="Z230" s="69"/>
    </row>
    <row r="231" spans="1:26" ht="30" customHeight="1" x14ac:dyDescent="0.2">
      <c r="A231" s="69"/>
      <c r="B231" s="69"/>
      <c r="C231" s="69"/>
      <c r="D231" s="69"/>
      <c r="E231" s="69"/>
      <c r="F231" s="69"/>
      <c r="G231" s="69"/>
      <c r="H231" s="69"/>
      <c r="I231" s="69"/>
      <c r="J231" s="69"/>
      <c r="K231" s="69"/>
      <c r="L231" s="69"/>
      <c r="M231" s="69"/>
      <c r="N231" s="69"/>
      <c r="O231" s="68"/>
      <c r="P231" s="68"/>
      <c r="Q231" s="69"/>
      <c r="R231" s="69"/>
      <c r="S231" s="69"/>
      <c r="T231" s="70"/>
      <c r="U231" s="69"/>
      <c r="V231" s="69"/>
      <c r="W231" s="69"/>
      <c r="X231" s="69"/>
      <c r="Y231" s="69"/>
      <c r="Z231" s="69"/>
    </row>
    <row r="232" spans="1:26" ht="30" customHeight="1" x14ac:dyDescent="0.2">
      <c r="A232" s="69"/>
      <c r="B232" s="69"/>
      <c r="C232" s="69"/>
      <c r="D232" s="69"/>
      <c r="E232" s="69"/>
      <c r="F232" s="69"/>
      <c r="G232" s="69"/>
      <c r="H232" s="69"/>
      <c r="I232" s="69"/>
      <c r="J232" s="69"/>
      <c r="K232" s="69"/>
      <c r="L232" s="69"/>
      <c r="M232" s="69"/>
      <c r="N232" s="69"/>
      <c r="O232" s="68"/>
      <c r="P232" s="68"/>
      <c r="Q232" s="69"/>
      <c r="R232" s="69"/>
      <c r="S232" s="69"/>
      <c r="T232" s="70"/>
      <c r="U232" s="69"/>
      <c r="V232" s="69"/>
      <c r="W232" s="69"/>
      <c r="X232" s="69"/>
      <c r="Y232" s="69"/>
      <c r="Z232" s="69"/>
    </row>
    <row r="233" spans="1:26" ht="30" customHeight="1" x14ac:dyDescent="0.2">
      <c r="A233" s="69"/>
      <c r="B233" s="69"/>
      <c r="C233" s="69"/>
      <c r="D233" s="69"/>
      <c r="E233" s="69"/>
      <c r="F233" s="69"/>
      <c r="G233" s="69"/>
      <c r="H233" s="69"/>
      <c r="I233" s="69"/>
      <c r="J233" s="69"/>
      <c r="K233" s="69"/>
      <c r="L233" s="69"/>
      <c r="M233" s="69"/>
      <c r="N233" s="69"/>
      <c r="O233" s="68"/>
      <c r="P233" s="68"/>
      <c r="Q233" s="69"/>
      <c r="R233" s="69"/>
      <c r="S233" s="69"/>
      <c r="T233" s="70"/>
      <c r="U233" s="69"/>
      <c r="V233" s="69"/>
      <c r="W233" s="69"/>
      <c r="X233" s="69"/>
      <c r="Y233" s="69"/>
      <c r="Z233" s="69"/>
    </row>
    <row r="234" spans="1:26" ht="30" customHeight="1" x14ac:dyDescent="0.2">
      <c r="A234" s="69"/>
      <c r="B234" s="69"/>
      <c r="C234" s="69"/>
      <c r="D234" s="69"/>
      <c r="E234" s="69"/>
      <c r="F234" s="69"/>
      <c r="G234" s="69"/>
      <c r="H234" s="69"/>
      <c r="I234" s="69"/>
      <c r="J234" s="69"/>
      <c r="K234" s="69"/>
      <c r="L234" s="69"/>
      <c r="M234" s="69"/>
      <c r="N234" s="69"/>
      <c r="O234" s="68"/>
      <c r="P234" s="68"/>
      <c r="Q234" s="69"/>
      <c r="R234" s="69"/>
      <c r="S234" s="69"/>
      <c r="T234" s="70"/>
      <c r="U234" s="69"/>
      <c r="V234" s="69"/>
      <c r="W234" s="69"/>
      <c r="X234" s="69"/>
      <c r="Y234" s="69"/>
      <c r="Z234" s="69"/>
    </row>
    <row r="235" spans="1:26" ht="30" customHeight="1" x14ac:dyDescent="0.2">
      <c r="A235" s="69"/>
      <c r="B235" s="69"/>
      <c r="C235" s="69"/>
      <c r="D235" s="69"/>
      <c r="E235" s="69"/>
      <c r="F235" s="69"/>
      <c r="G235" s="69"/>
      <c r="H235" s="69"/>
      <c r="I235" s="69"/>
      <c r="J235" s="69"/>
      <c r="K235" s="69"/>
      <c r="L235" s="69"/>
      <c r="M235" s="69"/>
      <c r="N235" s="69"/>
      <c r="O235" s="68"/>
      <c r="P235" s="68"/>
      <c r="Q235" s="69"/>
      <c r="R235" s="69"/>
      <c r="S235" s="69"/>
      <c r="T235" s="70"/>
      <c r="U235" s="69"/>
      <c r="V235" s="69"/>
      <c r="W235" s="69"/>
      <c r="X235" s="69"/>
      <c r="Y235" s="69"/>
      <c r="Z235" s="69"/>
    </row>
    <row r="236" spans="1:26" ht="30" customHeight="1" x14ac:dyDescent="0.2">
      <c r="A236" s="69"/>
      <c r="B236" s="69"/>
      <c r="C236" s="69"/>
      <c r="D236" s="69"/>
      <c r="E236" s="69"/>
      <c r="F236" s="69"/>
      <c r="G236" s="69"/>
      <c r="H236" s="69"/>
      <c r="I236" s="69"/>
      <c r="J236" s="69"/>
      <c r="K236" s="69"/>
      <c r="L236" s="69"/>
      <c r="M236" s="69"/>
      <c r="N236" s="69"/>
      <c r="O236" s="68"/>
      <c r="P236" s="68"/>
      <c r="Q236" s="69"/>
      <c r="R236" s="69"/>
      <c r="S236" s="69"/>
      <c r="T236" s="70"/>
      <c r="U236" s="69"/>
      <c r="V236" s="69"/>
      <c r="W236" s="69"/>
      <c r="X236" s="69"/>
      <c r="Y236" s="69"/>
      <c r="Z236" s="69"/>
    </row>
    <row r="237" spans="1:26" ht="30" customHeight="1" x14ac:dyDescent="0.2">
      <c r="A237" s="69"/>
      <c r="B237" s="69"/>
      <c r="C237" s="69"/>
      <c r="D237" s="69"/>
      <c r="E237" s="69"/>
      <c r="F237" s="69"/>
      <c r="G237" s="69"/>
      <c r="H237" s="69"/>
      <c r="I237" s="69"/>
      <c r="J237" s="69"/>
      <c r="K237" s="69"/>
      <c r="L237" s="69"/>
      <c r="M237" s="69"/>
      <c r="N237" s="69"/>
      <c r="O237" s="68"/>
      <c r="P237" s="68"/>
      <c r="Q237" s="69"/>
      <c r="R237" s="69"/>
      <c r="S237" s="69"/>
      <c r="T237" s="70"/>
      <c r="U237" s="69"/>
      <c r="V237" s="69"/>
      <c r="W237" s="69"/>
      <c r="X237" s="69"/>
      <c r="Y237" s="69"/>
      <c r="Z237" s="69"/>
    </row>
    <row r="238" spans="1:26" ht="30" customHeight="1" x14ac:dyDescent="0.2">
      <c r="A238" s="69"/>
      <c r="B238" s="69"/>
      <c r="C238" s="69"/>
      <c r="D238" s="69"/>
      <c r="E238" s="69"/>
      <c r="F238" s="69"/>
      <c r="G238" s="69"/>
      <c r="H238" s="69"/>
      <c r="I238" s="69"/>
      <c r="J238" s="69"/>
      <c r="K238" s="69"/>
      <c r="L238" s="69"/>
      <c r="M238" s="69"/>
      <c r="N238" s="69"/>
      <c r="O238" s="68"/>
      <c r="P238" s="68"/>
      <c r="Q238" s="69"/>
      <c r="R238" s="69"/>
      <c r="S238" s="69"/>
      <c r="T238" s="70"/>
      <c r="U238" s="69"/>
      <c r="V238" s="69"/>
      <c r="W238" s="69"/>
      <c r="X238" s="69"/>
      <c r="Y238" s="69"/>
      <c r="Z238" s="69"/>
    </row>
    <row r="239" spans="1:26" ht="30" customHeight="1" x14ac:dyDescent="0.2">
      <c r="A239" s="69"/>
      <c r="B239" s="69"/>
      <c r="C239" s="69"/>
      <c r="D239" s="69"/>
      <c r="E239" s="69"/>
      <c r="F239" s="69"/>
      <c r="G239" s="69"/>
      <c r="H239" s="69"/>
      <c r="I239" s="69"/>
      <c r="J239" s="69"/>
      <c r="K239" s="69"/>
      <c r="L239" s="69"/>
      <c r="M239" s="69"/>
      <c r="N239" s="69"/>
      <c r="O239" s="68"/>
      <c r="P239" s="68"/>
      <c r="Q239" s="69"/>
      <c r="R239" s="69"/>
      <c r="S239" s="69"/>
      <c r="T239" s="70"/>
      <c r="U239" s="69"/>
      <c r="V239" s="69"/>
      <c r="W239" s="69"/>
      <c r="X239" s="69"/>
      <c r="Y239" s="69"/>
      <c r="Z239" s="69"/>
    </row>
    <row r="240" spans="1:26" ht="30" customHeight="1" x14ac:dyDescent="0.2">
      <c r="A240" s="69"/>
      <c r="B240" s="69"/>
      <c r="C240" s="69"/>
      <c r="D240" s="69"/>
      <c r="E240" s="69"/>
      <c r="F240" s="69"/>
      <c r="G240" s="69"/>
      <c r="H240" s="69"/>
      <c r="I240" s="69"/>
      <c r="J240" s="69"/>
      <c r="K240" s="69"/>
      <c r="L240" s="69"/>
      <c r="M240" s="69"/>
      <c r="N240" s="69"/>
      <c r="O240" s="68"/>
      <c r="P240" s="68"/>
      <c r="Q240" s="69"/>
      <c r="R240" s="69"/>
      <c r="S240" s="69"/>
      <c r="T240" s="70"/>
      <c r="U240" s="69"/>
      <c r="V240" s="69"/>
      <c r="W240" s="69"/>
      <c r="X240" s="69"/>
      <c r="Y240" s="69"/>
      <c r="Z240" s="69"/>
    </row>
    <row r="241" spans="1:26" ht="30" customHeight="1" x14ac:dyDescent="0.2">
      <c r="A241" s="69"/>
      <c r="B241" s="69"/>
      <c r="C241" s="69"/>
      <c r="D241" s="69"/>
      <c r="E241" s="69"/>
      <c r="F241" s="69"/>
      <c r="G241" s="69"/>
      <c r="H241" s="69"/>
      <c r="I241" s="69"/>
      <c r="J241" s="69"/>
      <c r="K241" s="69"/>
      <c r="L241" s="69"/>
      <c r="M241" s="69"/>
      <c r="N241" s="69"/>
      <c r="O241" s="68"/>
      <c r="P241" s="68"/>
      <c r="Q241" s="69"/>
      <c r="R241" s="69"/>
      <c r="S241" s="69"/>
      <c r="T241" s="70"/>
      <c r="U241" s="69"/>
      <c r="V241" s="69"/>
      <c r="W241" s="69"/>
      <c r="X241" s="69"/>
      <c r="Y241" s="69"/>
      <c r="Z241" s="69"/>
    </row>
    <row r="242" spans="1:26" ht="30" customHeight="1" x14ac:dyDescent="0.2">
      <c r="A242" s="69"/>
      <c r="B242" s="69"/>
      <c r="C242" s="69"/>
      <c r="D242" s="69"/>
      <c r="E242" s="69"/>
      <c r="F242" s="69"/>
      <c r="G242" s="69"/>
      <c r="H242" s="69"/>
      <c r="I242" s="69"/>
      <c r="J242" s="69"/>
      <c r="K242" s="69"/>
      <c r="L242" s="69"/>
      <c r="M242" s="69"/>
      <c r="N242" s="69"/>
      <c r="O242" s="68"/>
      <c r="P242" s="68"/>
      <c r="Q242" s="69"/>
      <c r="R242" s="69"/>
      <c r="S242" s="69"/>
      <c r="T242" s="70"/>
      <c r="U242" s="69"/>
      <c r="V242" s="69"/>
      <c r="W242" s="69"/>
      <c r="X242" s="69"/>
      <c r="Y242" s="69"/>
      <c r="Z242" s="69"/>
    </row>
    <row r="243" spans="1:26" ht="30" customHeight="1" x14ac:dyDescent="0.2">
      <c r="A243" s="69"/>
      <c r="B243" s="69"/>
      <c r="C243" s="69"/>
      <c r="D243" s="69"/>
      <c r="E243" s="69"/>
      <c r="F243" s="69"/>
      <c r="G243" s="69"/>
      <c r="H243" s="69"/>
      <c r="I243" s="69"/>
      <c r="J243" s="69"/>
      <c r="K243" s="69"/>
      <c r="L243" s="69"/>
      <c r="M243" s="69"/>
      <c r="N243" s="69"/>
      <c r="O243" s="68"/>
      <c r="P243" s="68"/>
      <c r="Q243" s="69"/>
      <c r="R243" s="69"/>
      <c r="S243" s="69"/>
      <c r="T243" s="70"/>
      <c r="U243" s="69"/>
      <c r="V243" s="69"/>
      <c r="W243" s="69"/>
      <c r="X243" s="69"/>
      <c r="Y243" s="69"/>
      <c r="Z243" s="69"/>
    </row>
    <row r="244" spans="1:26" ht="30" customHeight="1" x14ac:dyDescent="0.2">
      <c r="A244" s="69"/>
      <c r="B244" s="69"/>
      <c r="C244" s="69"/>
      <c r="D244" s="69"/>
      <c r="E244" s="69"/>
      <c r="F244" s="69"/>
      <c r="G244" s="69"/>
      <c r="H244" s="69"/>
      <c r="I244" s="69"/>
      <c r="J244" s="69"/>
      <c r="K244" s="69"/>
      <c r="L244" s="69"/>
      <c r="M244" s="69"/>
      <c r="N244" s="69"/>
      <c r="O244" s="68"/>
      <c r="P244" s="68"/>
      <c r="Q244" s="69"/>
      <c r="R244" s="69"/>
      <c r="S244" s="69"/>
      <c r="T244" s="70"/>
      <c r="U244" s="69"/>
      <c r="V244" s="69"/>
      <c r="W244" s="69"/>
      <c r="X244" s="69"/>
      <c r="Y244" s="69"/>
      <c r="Z244" s="69"/>
    </row>
    <row r="245" spans="1:26" ht="30" customHeight="1" x14ac:dyDescent="0.2">
      <c r="A245" s="69"/>
      <c r="B245" s="69"/>
      <c r="C245" s="69"/>
      <c r="D245" s="69"/>
      <c r="E245" s="69"/>
      <c r="F245" s="69"/>
      <c r="G245" s="69"/>
      <c r="H245" s="69"/>
      <c r="I245" s="69"/>
      <c r="J245" s="69"/>
      <c r="K245" s="69"/>
      <c r="L245" s="69"/>
      <c r="M245" s="69"/>
      <c r="N245" s="69"/>
      <c r="O245" s="68"/>
      <c r="P245" s="68"/>
      <c r="Q245" s="69"/>
      <c r="R245" s="69"/>
      <c r="S245" s="69"/>
      <c r="T245" s="70"/>
      <c r="U245" s="69"/>
      <c r="V245" s="69"/>
      <c r="W245" s="69"/>
      <c r="X245" s="69"/>
      <c r="Y245" s="69"/>
      <c r="Z245" s="69"/>
    </row>
    <row r="246" spans="1:26" ht="30" customHeight="1" x14ac:dyDescent="0.2">
      <c r="A246" s="69"/>
      <c r="B246" s="69"/>
      <c r="C246" s="69"/>
      <c r="D246" s="69"/>
      <c r="E246" s="69"/>
      <c r="F246" s="69"/>
      <c r="G246" s="69"/>
      <c r="H246" s="69"/>
      <c r="I246" s="69"/>
      <c r="J246" s="69"/>
      <c r="K246" s="69"/>
      <c r="L246" s="69"/>
      <c r="M246" s="69"/>
      <c r="N246" s="69"/>
      <c r="O246" s="68"/>
      <c r="P246" s="68"/>
      <c r="Q246" s="69"/>
      <c r="R246" s="69"/>
      <c r="S246" s="69"/>
      <c r="T246" s="70"/>
      <c r="U246" s="69"/>
      <c r="V246" s="69"/>
      <c r="W246" s="69"/>
      <c r="X246" s="69"/>
      <c r="Y246" s="69"/>
      <c r="Z246" s="69"/>
    </row>
    <row r="247" spans="1:26" ht="30" customHeight="1" x14ac:dyDescent="0.2">
      <c r="A247" s="69"/>
      <c r="B247" s="69"/>
      <c r="C247" s="69"/>
      <c r="D247" s="69"/>
      <c r="E247" s="69"/>
      <c r="F247" s="69"/>
      <c r="G247" s="69"/>
      <c r="H247" s="69"/>
      <c r="I247" s="69"/>
      <c r="J247" s="69"/>
      <c r="K247" s="69"/>
      <c r="L247" s="69"/>
      <c r="M247" s="69"/>
      <c r="N247" s="69"/>
      <c r="O247" s="68"/>
      <c r="P247" s="68"/>
      <c r="Q247" s="69"/>
      <c r="R247" s="69"/>
      <c r="S247" s="69"/>
      <c r="T247" s="70"/>
      <c r="U247" s="69"/>
      <c r="V247" s="69"/>
      <c r="W247" s="69"/>
      <c r="X247" s="69"/>
      <c r="Y247" s="69"/>
      <c r="Z247" s="69"/>
    </row>
    <row r="248" spans="1:26" ht="30" customHeight="1" x14ac:dyDescent="0.2">
      <c r="A248" s="69"/>
      <c r="B248" s="69"/>
      <c r="C248" s="69"/>
      <c r="D248" s="69"/>
      <c r="E248" s="69"/>
      <c r="F248" s="69"/>
      <c r="G248" s="69"/>
      <c r="H248" s="69"/>
      <c r="I248" s="69"/>
      <c r="J248" s="69"/>
      <c r="K248" s="69"/>
      <c r="L248" s="69"/>
      <c r="M248" s="69"/>
      <c r="N248" s="69"/>
      <c r="O248" s="68"/>
      <c r="P248" s="68"/>
      <c r="Q248" s="69"/>
      <c r="R248" s="69"/>
      <c r="S248" s="69"/>
      <c r="T248" s="70"/>
      <c r="U248" s="69"/>
      <c r="V248" s="69"/>
      <c r="W248" s="69"/>
      <c r="X248" s="69"/>
      <c r="Y248" s="69"/>
      <c r="Z248" s="69"/>
    </row>
    <row r="249" spans="1:26" ht="30" customHeight="1" x14ac:dyDescent="0.2">
      <c r="A249" s="69"/>
      <c r="B249" s="69"/>
      <c r="C249" s="69"/>
      <c r="D249" s="69"/>
      <c r="E249" s="69"/>
      <c r="F249" s="69"/>
      <c r="G249" s="69"/>
      <c r="H249" s="69"/>
      <c r="I249" s="69"/>
      <c r="J249" s="69"/>
      <c r="K249" s="69"/>
      <c r="L249" s="69"/>
      <c r="M249" s="69"/>
      <c r="N249" s="69"/>
      <c r="O249" s="68"/>
      <c r="P249" s="68"/>
      <c r="Q249" s="69"/>
      <c r="R249" s="69"/>
      <c r="S249" s="69"/>
      <c r="T249" s="70"/>
      <c r="U249" s="69"/>
      <c r="V249" s="69"/>
      <c r="W249" s="69"/>
      <c r="X249" s="69"/>
      <c r="Y249" s="69"/>
      <c r="Z249" s="69"/>
    </row>
    <row r="250" spans="1:26" ht="30" customHeight="1" x14ac:dyDescent="0.2">
      <c r="A250" s="69"/>
      <c r="B250" s="69"/>
      <c r="C250" s="69"/>
      <c r="D250" s="69"/>
      <c r="E250" s="69"/>
      <c r="F250" s="69"/>
      <c r="G250" s="69"/>
      <c r="H250" s="69"/>
      <c r="I250" s="69"/>
      <c r="J250" s="69"/>
      <c r="K250" s="69"/>
      <c r="L250" s="69"/>
      <c r="M250" s="69"/>
      <c r="N250" s="69"/>
      <c r="O250" s="68"/>
      <c r="P250" s="68"/>
      <c r="Q250" s="69"/>
      <c r="R250" s="69"/>
      <c r="S250" s="69"/>
      <c r="T250" s="70"/>
      <c r="U250" s="69"/>
      <c r="V250" s="69"/>
      <c r="W250" s="69"/>
      <c r="X250" s="69"/>
      <c r="Y250" s="69"/>
      <c r="Z250" s="69"/>
    </row>
    <row r="251" spans="1:26" ht="30" customHeight="1" x14ac:dyDescent="0.2">
      <c r="A251" s="69"/>
      <c r="B251" s="69"/>
      <c r="C251" s="69"/>
      <c r="D251" s="69"/>
      <c r="E251" s="69"/>
      <c r="F251" s="69"/>
      <c r="G251" s="69"/>
      <c r="H251" s="69"/>
      <c r="I251" s="69"/>
      <c r="J251" s="69"/>
      <c r="K251" s="69"/>
      <c r="L251" s="69"/>
      <c r="M251" s="69"/>
      <c r="N251" s="69"/>
      <c r="O251" s="68"/>
      <c r="P251" s="68"/>
      <c r="Q251" s="69"/>
      <c r="R251" s="69"/>
      <c r="S251" s="69"/>
      <c r="T251" s="70"/>
      <c r="U251" s="69"/>
      <c r="V251" s="69"/>
      <c r="W251" s="69"/>
      <c r="X251" s="69"/>
      <c r="Y251" s="69"/>
      <c r="Z251" s="69"/>
    </row>
    <row r="252" spans="1:26" ht="30" customHeight="1" x14ac:dyDescent="0.2">
      <c r="A252" s="69"/>
      <c r="B252" s="69"/>
      <c r="C252" s="69"/>
      <c r="D252" s="69"/>
      <c r="E252" s="69"/>
      <c r="F252" s="69"/>
      <c r="G252" s="69"/>
      <c r="H252" s="69"/>
      <c r="I252" s="69"/>
      <c r="J252" s="69"/>
      <c r="K252" s="69"/>
      <c r="L252" s="69"/>
      <c r="M252" s="69"/>
      <c r="N252" s="69"/>
      <c r="O252" s="68"/>
      <c r="P252" s="68"/>
      <c r="Q252" s="69"/>
      <c r="R252" s="69"/>
      <c r="S252" s="69"/>
      <c r="T252" s="70"/>
      <c r="U252" s="69"/>
      <c r="V252" s="69"/>
      <c r="W252" s="69"/>
      <c r="X252" s="69"/>
      <c r="Y252" s="69"/>
      <c r="Z252" s="69"/>
    </row>
    <row r="253" spans="1:26" ht="30" customHeight="1" x14ac:dyDescent="0.2">
      <c r="A253" s="69"/>
      <c r="B253" s="69"/>
      <c r="C253" s="69"/>
      <c r="D253" s="69"/>
      <c r="E253" s="69"/>
      <c r="F253" s="69"/>
      <c r="G253" s="69"/>
      <c r="H253" s="69"/>
      <c r="I253" s="69"/>
      <c r="J253" s="69"/>
      <c r="K253" s="69"/>
      <c r="L253" s="69"/>
      <c r="M253" s="69"/>
      <c r="N253" s="69"/>
      <c r="O253" s="68"/>
      <c r="P253" s="68"/>
      <c r="Q253" s="69"/>
      <c r="R253" s="69"/>
      <c r="S253" s="69"/>
      <c r="T253" s="70"/>
      <c r="U253" s="69"/>
      <c r="V253" s="69"/>
      <c r="W253" s="69"/>
      <c r="X253" s="69"/>
      <c r="Y253" s="69"/>
      <c r="Z253" s="69"/>
    </row>
    <row r="254" spans="1:26" ht="30" customHeight="1" x14ac:dyDescent="0.2">
      <c r="A254" s="69"/>
      <c r="B254" s="69"/>
      <c r="C254" s="69"/>
      <c r="D254" s="69"/>
      <c r="E254" s="69"/>
      <c r="F254" s="69"/>
      <c r="G254" s="69"/>
      <c r="H254" s="69"/>
      <c r="I254" s="69"/>
      <c r="J254" s="69"/>
      <c r="K254" s="69"/>
      <c r="L254" s="69"/>
      <c r="M254" s="69"/>
      <c r="N254" s="69"/>
      <c r="O254" s="68"/>
      <c r="P254" s="68"/>
      <c r="Q254" s="69"/>
      <c r="R254" s="69"/>
      <c r="S254" s="69"/>
      <c r="T254" s="70"/>
      <c r="U254" s="69"/>
      <c r="V254" s="69"/>
      <c r="W254" s="69"/>
      <c r="X254" s="69"/>
      <c r="Y254" s="69"/>
      <c r="Z254" s="69"/>
    </row>
    <row r="255" spans="1:26" ht="30" customHeight="1" x14ac:dyDescent="0.2">
      <c r="A255" s="69"/>
      <c r="B255" s="69"/>
      <c r="C255" s="69"/>
      <c r="D255" s="69"/>
      <c r="E255" s="69"/>
      <c r="F255" s="69"/>
      <c r="G255" s="69"/>
      <c r="H255" s="69"/>
      <c r="I255" s="69"/>
      <c r="J255" s="69"/>
      <c r="K255" s="69"/>
      <c r="L255" s="69"/>
      <c r="M255" s="69"/>
      <c r="N255" s="69"/>
      <c r="O255" s="68"/>
      <c r="P255" s="68"/>
      <c r="Q255" s="69"/>
      <c r="R255" s="69"/>
      <c r="S255" s="69"/>
      <c r="T255" s="70"/>
      <c r="U255" s="69"/>
      <c r="V255" s="69"/>
      <c r="W255" s="69"/>
      <c r="X255" s="69"/>
      <c r="Y255" s="69"/>
      <c r="Z255" s="69"/>
    </row>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sheetData>
  <mergeCells count="17">
    <mergeCell ref="Q32:Q36"/>
    <mergeCell ref="R32:R36"/>
    <mergeCell ref="A33:A36"/>
    <mergeCell ref="O33:O36"/>
    <mergeCell ref="B33:B36"/>
    <mergeCell ref="A42:B42"/>
    <mergeCell ref="A50:B50"/>
    <mergeCell ref="A14:B14"/>
    <mergeCell ref="A22:B22"/>
    <mergeCell ref="A1:O1"/>
    <mergeCell ref="A2:O2"/>
    <mergeCell ref="A3:O3"/>
    <mergeCell ref="C4:O4"/>
    <mergeCell ref="A5:A8"/>
    <mergeCell ref="B5:B8"/>
    <mergeCell ref="O5:O8"/>
    <mergeCell ref="C32:O32"/>
  </mergeCells>
  <pageMargins left="0.19685039370078741" right="0.19685039370078741" top="0.59055118110236227" bottom="0.59055118110236227" header="0" footer="0"/>
  <pageSetup paperSize="9" scale="69" fitToHeight="0"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19" activePane="bottomRight" state="frozen"/>
      <selection pane="topRight" activeCell="B1" sqref="B1"/>
      <selection pane="bottomLeft" activeCell="A7" sqref="A7"/>
      <selection pane="bottomRight" activeCell="D28" sqref="D28"/>
    </sheetView>
  </sheetViews>
  <sheetFormatPr defaultColWidth="14.42578125" defaultRowHeight="15" customHeight="1" x14ac:dyDescent="0.2"/>
  <cols>
    <col min="1" max="1" width="4.7109375" customWidth="1"/>
    <col min="2" max="2" width="49.42578125" customWidth="1"/>
    <col min="3" max="3" width="15" customWidth="1"/>
    <col min="4" max="4" width="13.5703125" customWidth="1"/>
    <col min="5" max="6" width="15" customWidth="1"/>
    <col min="7" max="7" width="3.5703125" customWidth="1"/>
    <col min="8" max="26" width="9.140625" customWidth="1"/>
  </cols>
  <sheetData>
    <row r="1" spans="1:26" ht="33.75" customHeight="1" x14ac:dyDescent="0.2">
      <c r="A1" s="725" t="str">
        <f>Capa!A1</f>
        <v>Contrato de Gestão nº. 05/20 celebrado entre a Fundação Clóvis Salgado e a Associação Pró-Cultura e Promoção das Artes</v>
      </c>
      <c r="B1" s="695"/>
      <c r="C1" s="695"/>
      <c r="D1" s="695"/>
      <c r="E1" s="695"/>
      <c r="F1" s="695"/>
      <c r="G1" s="695"/>
      <c r="H1" s="696"/>
      <c r="I1" s="2"/>
      <c r="J1" s="2"/>
      <c r="K1" s="2"/>
      <c r="L1" s="2"/>
      <c r="M1" s="2"/>
      <c r="N1" s="2"/>
      <c r="O1" s="2"/>
      <c r="P1" s="2"/>
      <c r="Q1" s="2"/>
      <c r="R1" s="2"/>
      <c r="S1" s="2"/>
      <c r="T1" s="2"/>
      <c r="U1" s="2"/>
      <c r="V1" s="2"/>
      <c r="W1" s="2"/>
      <c r="X1" s="2"/>
      <c r="Y1" s="2"/>
      <c r="Z1" s="2"/>
    </row>
    <row r="2" spans="1:26" ht="21" customHeight="1" x14ac:dyDescent="0.2">
      <c r="A2" s="725" t="str">
        <f>Capa!A3</f>
        <v>8º Relatório Gerencial Financeiro</v>
      </c>
      <c r="B2" s="695"/>
      <c r="C2" s="695"/>
      <c r="D2" s="695"/>
      <c r="E2" s="695"/>
      <c r="F2" s="695"/>
      <c r="G2" s="695"/>
      <c r="H2" s="696"/>
      <c r="I2" s="2"/>
      <c r="J2" s="2"/>
      <c r="K2" s="2"/>
      <c r="L2" s="2"/>
      <c r="M2" s="2"/>
      <c r="N2" s="2"/>
      <c r="O2" s="2"/>
      <c r="P2" s="2"/>
      <c r="Q2" s="2"/>
      <c r="R2" s="2"/>
      <c r="S2" s="2"/>
      <c r="T2" s="2"/>
      <c r="U2" s="2"/>
      <c r="V2" s="2"/>
      <c r="W2" s="2"/>
      <c r="X2" s="2"/>
      <c r="Y2" s="2"/>
      <c r="Z2" s="2"/>
    </row>
    <row r="3" spans="1:26" ht="15.75" customHeight="1" x14ac:dyDescent="0.2">
      <c r="A3" s="725" t="s">
        <v>109</v>
      </c>
      <c r="B3" s="695"/>
      <c r="C3" s="695"/>
      <c r="D3" s="695"/>
      <c r="E3" s="695"/>
      <c r="F3" s="695"/>
      <c r="G3" s="695"/>
      <c r="H3" s="696"/>
      <c r="I3" s="2"/>
      <c r="J3" s="2"/>
      <c r="K3" s="2"/>
      <c r="L3" s="2"/>
      <c r="M3" s="2"/>
      <c r="N3" s="2"/>
      <c r="O3" s="2"/>
      <c r="P3" s="2"/>
      <c r="Q3" s="2"/>
      <c r="R3" s="2"/>
      <c r="S3" s="2"/>
      <c r="T3" s="2"/>
      <c r="U3" s="2"/>
      <c r="V3" s="2"/>
      <c r="W3" s="2"/>
      <c r="X3" s="2"/>
      <c r="Y3" s="2"/>
      <c r="Z3" s="2"/>
    </row>
    <row r="4" spans="1:26" ht="15.75" customHeight="1" x14ac:dyDescent="0.2">
      <c r="A4" s="726" t="s">
        <v>110</v>
      </c>
      <c r="B4" s="727" t="s">
        <v>111</v>
      </c>
      <c r="C4" s="121" t="s">
        <v>73</v>
      </c>
      <c r="D4" s="729" t="s">
        <v>106</v>
      </c>
      <c r="E4" s="714"/>
      <c r="F4" s="706"/>
      <c r="G4" s="2"/>
      <c r="H4" s="730" t="s">
        <v>107</v>
      </c>
      <c r="I4" s="2"/>
      <c r="J4" s="2"/>
      <c r="K4" s="2"/>
      <c r="L4" s="2"/>
      <c r="M4" s="2"/>
      <c r="N4" s="2"/>
      <c r="O4" s="2"/>
      <c r="P4" s="2"/>
      <c r="Q4" s="2"/>
      <c r="R4" s="2"/>
      <c r="S4" s="2"/>
      <c r="T4" s="2"/>
      <c r="U4" s="2"/>
      <c r="V4" s="2"/>
      <c r="W4" s="2"/>
      <c r="X4" s="2"/>
      <c r="Y4" s="2"/>
      <c r="Z4" s="2"/>
    </row>
    <row r="5" spans="1:26" ht="48" customHeight="1" x14ac:dyDescent="0.2">
      <c r="A5" s="716"/>
      <c r="B5" s="728"/>
      <c r="C5" s="122" t="s">
        <v>112</v>
      </c>
      <c r="D5" s="123" t="s">
        <v>113</v>
      </c>
      <c r="E5" s="124" t="str">
        <f>Capa!A3</f>
        <v>8º Relatório Gerencial Financeiro</v>
      </c>
      <c r="F5" s="125" t="s">
        <v>66</v>
      </c>
      <c r="G5" s="2"/>
      <c r="H5" s="703"/>
      <c r="I5" s="2"/>
      <c r="J5" s="2"/>
      <c r="K5" s="2"/>
      <c r="L5" s="2"/>
      <c r="M5" s="2"/>
      <c r="N5" s="2"/>
      <c r="O5" s="2"/>
      <c r="P5" s="2"/>
      <c r="Q5" s="2"/>
      <c r="R5" s="2"/>
      <c r="S5" s="2"/>
      <c r="T5" s="2"/>
      <c r="U5" s="2"/>
      <c r="V5" s="2"/>
      <c r="W5" s="2"/>
      <c r="X5" s="2"/>
      <c r="Y5" s="2"/>
      <c r="Z5" s="2"/>
    </row>
    <row r="6" spans="1:26" ht="12.75" hidden="1" customHeight="1" x14ac:dyDescent="0.2">
      <c r="A6" s="126"/>
      <c r="B6" s="127" t="s">
        <v>114</v>
      </c>
      <c r="C6" s="122"/>
      <c r="D6" s="123"/>
      <c r="E6" s="128"/>
      <c r="F6" s="125"/>
      <c r="G6" s="2"/>
      <c r="H6" s="716"/>
      <c r="I6" s="2"/>
      <c r="J6" s="2"/>
      <c r="K6" s="2"/>
      <c r="L6" s="2"/>
      <c r="M6" s="2"/>
      <c r="N6" s="2"/>
      <c r="O6" s="2"/>
      <c r="P6" s="2"/>
      <c r="Q6" s="2"/>
      <c r="R6" s="2"/>
      <c r="S6" s="2"/>
      <c r="T6" s="2"/>
      <c r="U6" s="2"/>
      <c r="V6" s="2"/>
      <c r="W6" s="2"/>
      <c r="X6" s="2"/>
      <c r="Y6" s="2"/>
      <c r="Z6" s="2"/>
    </row>
    <row r="7" spans="1:26" ht="19.5" customHeight="1" x14ac:dyDescent="0.2">
      <c r="A7" s="129">
        <v>1</v>
      </c>
      <c r="B7" s="130" t="s">
        <v>115</v>
      </c>
      <c r="C7" s="131">
        <v>430118.86</v>
      </c>
      <c r="D7" s="132">
        <f t="array" ref="D7">IF($E$5 = "5º Relatório Gerencial Financeiro",0,
IF($E$5 = "6º Relatório Gerencial Financeiro",SUMPRODUCT(-('Diário 5º PA'!$H$5:$H$2635='Gasto das Atividades'!B7),-('Diário 5º PA'!$F$5:$F$2635)),
IF($E$5 = "7º Relatório Gerencial Financeiro",SUMPRODUCT(-('Diário 5º PA'!$H$5:$H$2635='Gasto das Atividades'!B7),-('Diário 5º PA'!$F$5:$F$2635))+SUMPRODUCT(-('Diário 6º PA'!$H$5:$H$2246='Gasto das Atividades'!B7),-('Diário 6º PA'!$F$5:$F$2246)),
IF($E$5 = "8º Relatório Gerencial Financeiro",SUMPRODUCT(-('Diário 5º PA'!$H$5:$H$2635='Gasto das Atividades'!B7),-('Diário 5º PA'!$F$5:$F$2635))+SUMPRODUCT(-('Diário 6º PA'!$H$5:$H$2246='Gasto das Atividades'!B7),-('Diário 6º PA'!$F$5:$F$2246))+SUMPRODUCT(-('Diário 7º PA'!$H$5:$H$2273='Gasto das Atividades'!B7),-('Diário 7º PA'!$F$5:$F$2273))))))</f>
        <v>345841.90899999987</v>
      </c>
      <c r="E7" s="133">
        <f t="array" ref="E7">IF($E$5 = "5º Relatório Gerencial Financeiro",SUMPRODUCT(-('Diário 5º PA'!$H$5:$H$2636='Gasto das Atividades'!B7),-('Diário 5º PA'!$F$5:$F$2636)),
IF($E$5 = "6º Relatório Gerencial Financeiro",SUMPRODUCT(-('Diário 6º PA'!$H$5:$H$2248='Gasto das Atividades'!B7),-('Diário 6º PA'!$F$5:$F$2248)),
IF($E$5 = "7º Relatório Gerencial Financeiro",SUMPRODUCT(-('Diário 7º PA'!$H$5:$H$2273='Gasto das Atividades'!B7),-('Diário 7º PA'!$F$5:$F$2273)),
IF($E$5 = "8º Relatório Gerencial Financeiro",SUMPRODUCT(-('Diário 8º PA'!$H$5:$H$2490='Gasto das Atividades'!B7),-('Diário 8º PA'!$F$5:$F$2490))))))
+SUMPRODUCT(-('Comp.'!$G$5:$G$313='Gasto das Atividades'!B7),-('Comp.'!$R$5:'Comp.'!$R$313&gt;=1),('Comp.'!$E$5:$E$313))</f>
        <v>133985.51999999999</v>
      </c>
      <c r="F7" s="131">
        <f t="shared" ref="F7:F37" si="0">D7+E7</f>
        <v>479827.42899999989</v>
      </c>
      <c r="G7" s="2"/>
      <c r="H7" s="134">
        <f t="shared" ref="H7:H37" si="1">IF(OR(F7=0,C7=0),"-",F7/C7)</f>
        <v>1.1155693777296813</v>
      </c>
      <c r="I7" s="2"/>
      <c r="J7" s="2"/>
      <c r="K7" s="2"/>
      <c r="L7" s="2"/>
      <c r="M7" s="2"/>
      <c r="N7" s="2"/>
      <c r="O7" s="2"/>
      <c r="P7" s="2"/>
      <c r="Q7" s="2"/>
      <c r="R7" s="2"/>
      <c r="S7" s="2"/>
      <c r="T7" s="2"/>
      <c r="U7" s="2"/>
      <c r="V7" s="2"/>
      <c r="W7" s="2"/>
      <c r="X7" s="2"/>
      <c r="Y7" s="2"/>
      <c r="Z7" s="2"/>
    </row>
    <row r="8" spans="1:26" ht="33.75" customHeight="1" x14ac:dyDescent="0.2">
      <c r="A8" s="135">
        <v>2</v>
      </c>
      <c r="B8" s="136" t="s">
        <v>116</v>
      </c>
      <c r="C8" s="137">
        <v>263554.18</v>
      </c>
      <c r="D8" s="138">
        <f t="array" ref="D8">IF($E$5 = "5º Relatório Gerencial Financeiro",0,
IF($E$5 = "6º Relatório Gerencial Financeiro",SUMPRODUCT(-('Diário 5º PA'!$H$5:$H$2635='Gasto das Atividades'!B8),-('Diário 5º PA'!$F$5:$F$2635)),
IF($E$5 = "7º Relatório Gerencial Financeiro",SUMPRODUCT(-('Diário 5º PA'!$H$5:$H$2635='Gasto das Atividades'!B8),-('Diário 5º PA'!$F$5:$F$2635))+SUMPRODUCT(-('Diário 6º PA'!$H$5:$H$2246='Gasto das Atividades'!B8),-('Diário 6º PA'!$F$5:$F$2246)),
IF($E$5 = "8º Relatório Gerencial Financeiro",SUMPRODUCT(-('Diário 5º PA'!$H$5:$H$2635='Gasto das Atividades'!B8),-('Diário 5º PA'!$F$5:$F$2635))+SUMPRODUCT(-('Diário 6º PA'!$H$5:$H$2246='Gasto das Atividades'!B8),-('Diário 6º PA'!$F$5:$F$2246))+SUMPRODUCT(-('Diário 7º PA'!$H$5:$H$2273='Gasto das Atividades'!B8),-('Diário 7º PA'!$F$5:$F$2273))))))</f>
        <v>293691.7799999998</v>
      </c>
      <c r="E8" s="139">
        <f t="array" ref="E8">IF($E$5 = "5º Relatório Gerencial Financeiro",SUMPRODUCT(-('Diário 5º PA'!$H$5:$H$2636='Gasto das Atividades'!B8),-('Diário 5º PA'!$F$5:$F$2636)),
IF($E$5 = "6º Relatório Gerencial Financeiro",SUMPRODUCT(-('Diário 6º PA'!$H$5:$H$2248='Gasto das Atividades'!B8),-('Diário 6º PA'!$F$5:$F$2248)),
IF($E$5 = "7º Relatório Gerencial Financeiro",SUMPRODUCT(-('Diário 7º PA'!$H$5:$H$2273='Gasto das Atividades'!B8),-('Diário 7º PA'!$F$5:$F$2273)),
IF($E$5 = "8º Relatório Gerencial Financeiro",SUMPRODUCT(-('Diário 8º PA'!$H$5:$H$2490='Gasto das Atividades'!B8),-('Diário 8º PA'!$F$5:$F$2490))))))
+SUMPRODUCT(-('Comp.'!$G$5:$G$313='Gasto das Atividades'!B8),-('Comp.'!$R$5:'Comp.'!$R$313&gt;=1),('Comp.'!$E$5:$E$313))</f>
        <v>199907.4200000001</v>
      </c>
      <c r="F8" s="137">
        <f t="shared" si="0"/>
        <v>493599.1999999999</v>
      </c>
      <c r="G8" s="2"/>
      <c r="H8" s="140">
        <f t="shared" si="1"/>
        <v>1.8728566551287478</v>
      </c>
      <c r="I8" s="2"/>
      <c r="J8" s="2"/>
      <c r="K8" s="2"/>
      <c r="L8" s="2"/>
      <c r="M8" s="2"/>
      <c r="N8" s="2"/>
      <c r="O8" s="2"/>
      <c r="P8" s="2"/>
      <c r="Q8" s="2"/>
      <c r="R8" s="2"/>
      <c r="S8" s="2"/>
      <c r="T8" s="2"/>
      <c r="U8" s="2"/>
      <c r="V8" s="2"/>
      <c r="W8" s="2"/>
      <c r="X8" s="2"/>
      <c r="Y8" s="2"/>
      <c r="Z8" s="2"/>
    </row>
    <row r="9" spans="1:26" ht="27.75" customHeight="1" x14ac:dyDescent="0.2">
      <c r="A9" s="135">
        <v>3</v>
      </c>
      <c r="B9" s="136" t="s">
        <v>117</v>
      </c>
      <c r="C9" s="137">
        <v>169324.76</v>
      </c>
      <c r="D9" s="138">
        <f t="array" ref="D9">IF($E$5 = "5º Relatório Gerencial Financeiro",0,
IF($E$5 = "6º Relatório Gerencial Financeiro",SUMPRODUCT(-('Diário 5º PA'!$H$5:$H$2635='Gasto das Atividades'!B9),-('Diário 5º PA'!$F$5:$F$2635)),
IF($E$5 = "7º Relatório Gerencial Financeiro",SUMPRODUCT(-('Diário 5º PA'!$H$5:$H$2635='Gasto das Atividades'!B9),-('Diário 5º PA'!$F$5:$F$2635))+SUMPRODUCT(-('Diário 6º PA'!$H$5:$H$2246='Gasto das Atividades'!B9),-('Diário 6º PA'!$F$5:$F$2246)),
IF($E$5 = "8º Relatório Gerencial Financeiro",SUMPRODUCT(-('Diário 5º PA'!$H$5:$H$2635='Gasto das Atividades'!B9),-('Diário 5º PA'!$F$5:$F$2635))+SUMPRODUCT(-('Diário 6º PA'!$H$5:$H$2246='Gasto das Atividades'!B9),-('Diário 6º PA'!$F$5:$F$2246))+SUMPRODUCT(-('Diário 7º PA'!$H$5:$H$2273='Gasto das Atividades'!B9),-('Diário 7º PA'!$F$5:$F$2273))))))</f>
        <v>74834.030000000028</v>
      </c>
      <c r="E9" s="139">
        <f t="array" ref="E9">IF($E$5 = "5º Relatório Gerencial Financeiro",SUMPRODUCT(-('Diário 5º PA'!$H$5:$H$2636='Gasto das Atividades'!B9),-('Diário 5º PA'!$F$5:$F$2636)),
IF($E$5 = "6º Relatório Gerencial Financeiro",SUMPRODUCT(-('Diário 6º PA'!$H$5:$H$2248='Gasto das Atividades'!B9),-('Diário 6º PA'!$F$5:$F$2248)),
IF($E$5 = "7º Relatório Gerencial Financeiro",SUMPRODUCT(-('Diário 7º PA'!$H$5:$H$2273='Gasto das Atividades'!B9),-('Diário 7º PA'!$F$5:$F$2273)),
IF($E$5 = "8º Relatório Gerencial Financeiro",SUMPRODUCT(-('Diário 8º PA'!$H$5:$H$2490='Gasto das Atividades'!B9),-('Diário 8º PA'!$F$5:$F$2490))))))
+SUMPRODUCT(-('Comp.'!$G$5:$G$313='Gasto das Atividades'!B9),-('Comp.'!$R$5:'Comp.'!$R$313&gt;=1),('Comp.'!$E$5:$E$313))</f>
        <v>3410.45</v>
      </c>
      <c r="F9" s="137">
        <f t="shared" si="0"/>
        <v>78244.480000000025</v>
      </c>
      <c r="G9" s="2"/>
      <c r="H9" s="140">
        <f t="shared" si="1"/>
        <v>0.46209709672702337</v>
      </c>
      <c r="I9" s="2"/>
      <c r="J9" s="2"/>
      <c r="K9" s="2"/>
      <c r="L9" s="2"/>
      <c r="M9" s="2"/>
      <c r="N9" s="2"/>
      <c r="O9" s="2"/>
      <c r="P9" s="2"/>
      <c r="Q9" s="2"/>
      <c r="R9" s="2"/>
      <c r="S9" s="2"/>
      <c r="T9" s="2"/>
      <c r="U9" s="2"/>
      <c r="V9" s="2"/>
      <c r="W9" s="2"/>
      <c r="X9" s="2"/>
      <c r="Y9" s="2"/>
      <c r="Z9" s="2"/>
    </row>
    <row r="10" spans="1:26" ht="28.5" customHeight="1" x14ac:dyDescent="0.2">
      <c r="A10" s="135">
        <v>4</v>
      </c>
      <c r="B10" s="136" t="s">
        <v>118</v>
      </c>
      <c r="C10" s="137">
        <v>186847.39</v>
      </c>
      <c r="D10" s="138">
        <f t="array" ref="D10">IF($E$5 = "5º Relatório Gerencial Financeiro",0,
IF($E$5 = "6º Relatório Gerencial Financeiro",SUMPRODUCT(-('Diário 5º PA'!$H$5:$H$2635='Gasto das Atividades'!B10),-('Diário 5º PA'!$F$5:$F$2635)),
IF($E$5 = "7º Relatório Gerencial Financeiro",SUMPRODUCT(-('Diário 5º PA'!$H$5:$H$2635='Gasto das Atividades'!B10),-('Diário 5º PA'!$F$5:$F$2635))+SUMPRODUCT(-('Diário 6º PA'!$H$5:$H$2246='Gasto das Atividades'!B10),-('Diário 6º PA'!$F$5:$F$2246)),
IF($E$5 = "8º Relatório Gerencial Financeiro",SUMPRODUCT(-('Diário 5º PA'!$H$5:$H$2635='Gasto das Atividades'!B10),-('Diário 5º PA'!$F$5:$F$2635))+SUMPRODUCT(-('Diário 6º PA'!$H$5:$H$2246='Gasto das Atividades'!B10),-('Diário 6º PA'!$F$5:$F$2246))+SUMPRODUCT(-('Diário 7º PA'!$H$5:$H$2273='Gasto das Atividades'!B10),-('Diário 7º PA'!$F$5:$F$2273))))))</f>
        <v>193058.58999999985</v>
      </c>
      <c r="E10" s="139">
        <f t="array" ref="E10">IF($E$5 = "5º Relatório Gerencial Financeiro",SUMPRODUCT(-('Diário 5º PA'!$H$5:$H$2636='Gasto das Atividades'!B10),-('Diário 5º PA'!$F$5:$F$2636)),
IF($E$5 = "6º Relatório Gerencial Financeiro",SUMPRODUCT(-('Diário 6º PA'!$H$5:$H$2248='Gasto das Atividades'!B10),-('Diário 6º PA'!$F$5:$F$2248)),
IF($E$5 = "7º Relatório Gerencial Financeiro",SUMPRODUCT(-('Diário 7º PA'!$H$5:$H$2273='Gasto das Atividades'!B10),-('Diário 7º PA'!$F$5:$F$2273)),
IF($E$5 = "8º Relatório Gerencial Financeiro",SUMPRODUCT(-('Diário 8º PA'!$H$5:$H$2490='Gasto das Atividades'!B10),-('Diário 8º PA'!$F$5:$F$2490))))))
+SUMPRODUCT(-('Comp.'!$G$5:$G$313='Gasto das Atividades'!B10),-('Comp.'!$R$5:'Comp.'!$R$313&gt;=1),('Comp.'!$E$5:$E$313))</f>
        <v>45261.659999999989</v>
      </c>
      <c r="F10" s="137">
        <f t="shared" si="0"/>
        <v>238320.24999999983</v>
      </c>
      <c r="G10" s="2"/>
      <c r="H10" s="140">
        <f t="shared" si="1"/>
        <v>1.2754807546415274</v>
      </c>
      <c r="I10" s="2"/>
      <c r="J10" s="2"/>
      <c r="K10" s="2"/>
      <c r="L10" s="2"/>
      <c r="M10" s="2"/>
      <c r="N10" s="2"/>
      <c r="O10" s="2"/>
      <c r="P10" s="2"/>
      <c r="Q10" s="2"/>
      <c r="R10" s="2"/>
      <c r="S10" s="2"/>
      <c r="T10" s="2"/>
      <c r="U10" s="2"/>
      <c r="V10" s="2"/>
      <c r="W10" s="2"/>
      <c r="X10" s="2"/>
      <c r="Y10" s="2"/>
      <c r="Z10" s="2"/>
    </row>
    <row r="11" spans="1:26" ht="21.75" customHeight="1" x14ac:dyDescent="0.2">
      <c r="A11" s="135">
        <v>5</v>
      </c>
      <c r="B11" s="136" t="s">
        <v>119</v>
      </c>
      <c r="C11" s="137">
        <v>31460.65</v>
      </c>
      <c r="D11" s="138">
        <f t="array" ref="D11">IF($E$5 = "5º Relatório Gerencial Financeiro",0,
IF($E$5 = "6º Relatório Gerencial Financeiro",SUMPRODUCT(-('Diário 5º PA'!$H$5:$H$2635='Gasto das Atividades'!B11),-('Diário 5º PA'!$F$5:$F$2635)),
IF($E$5 = "7º Relatório Gerencial Financeiro",SUMPRODUCT(-('Diário 5º PA'!$H$5:$H$2635='Gasto das Atividades'!B11),-('Diário 5º PA'!$F$5:$F$2635))+SUMPRODUCT(-('Diário 6º PA'!$H$5:$H$2246='Gasto das Atividades'!B11),-('Diário 6º PA'!$F$5:$F$2246)),
IF($E$5 = "8º Relatório Gerencial Financeiro",SUMPRODUCT(-('Diário 5º PA'!$H$5:$H$2635='Gasto das Atividades'!B11),-('Diário 5º PA'!$F$5:$F$2635))+SUMPRODUCT(-('Diário 6º PA'!$H$5:$H$2246='Gasto das Atividades'!B11),-('Diário 6º PA'!$F$5:$F$2246))+SUMPRODUCT(-('Diário 7º PA'!$H$5:$H$2273='Gasto das Atividades'!B11),-('Diário 7º PA'!$F$5:$F$2273))))))</f>
        <v>0</v>
      </c>
      <c r="E11" s="139">
        <f t="array" ref="E11">IF($E$5 = "5º Relatório Gerencial Financeiro",SUMPRODUCT(-('Diário 5º PA'!$H$5:$H$2636='Gasto das Atividades'!B11),-('Diário 5º PA'!$F$5:$F$2636)),
IF($E$5 = "6º Relatório Gerencial Financeiro",SUMPRODUCT(-('Diário 6º PA'!$H$5:$H$2248='Gasto das Atividades'!B11),-('Diário 6º PA'!$F$5:$F$2248)),
IF($E$5 = "7º Relatório Gerencial Financeiro",SUMPRODUCT(-('Diário 7º PA'!$H$5:$H$2273='Gasto das Atividades'!B11),-('Diário 7º PA'!$F$5:$F$2273)),
IF($E$5 = "8º Relatório Gerencial Financeiro",SUMPRODUCT(-('Diário 8º PA'!$H$5:$H$2490='Gasto das Atividades'!B11),-('Diário 8º PA'!$F$5:$F$2490))))))
+SUMPRODUCT(-('Comp.'!$G$5:$G$313='Gasto das Atividades'!B11),-('Comp.'!$R$5:'Comp.'!$R$313&gt;=1),('Comp.'!$E$5:$E$313))</f>
        <v>0</v>
      </c>
      <c r="F11" s="137">
        <f t="shared" si="0"/>
        <v>0</v>
      </c>
      <c r="G11" s="2"/>
      <c r="H11" s="140" t="str">
        <f t="shared" si="1"/>
        <v>-</v>
      </c>
      <c r="I11" s="2"/>
      <c r="J11" s="2"/>
      <c r="K11" s="2"/>
      <c r="L11" s="2"/>
      <c r="M11" s="2"/>
      <c r="N11" s="2"/>
      <c r="O11" s="2"/>
      <c r="P11" s="2"/>
      <c r="Q11" s="2"/>
      <c r="R11" s="2"/>
      <c r="S11" s="2"/>
      <c r="T11" s="2"/>
      <c r="U11" s="2"/>
      <c r="V11" s="2"/>
      <c r="W11" s="2"/>
      <c r="X11" s="2"/>
      <c r="Y11" s="2"/>
      <c r="Z11" s="2"/>
    </row>
    <row r="12" spans="1:26" ht="20.25" customHeight="1" x14ac:dyDescent="0.2">
      <c r="A12" s="135">
        <v>6</v>
      </c>
      <c r="B12" s="136" t="s">
        <v>120</v>
      </c>
      <c r="C12" s="137">
        <v>37455.199999999997</v>
      </c>
      <c r="D12" s="138">
        <f t="array" ref="D12">IF($E$5 = "5º Relatório Gerencial Financeiro",0,
IF($E$5 = "6º Relatório Gerencial Financeiro",SUMPRODUCT(-('Diário 5º PA'!$H$5:$H$2635='Gasto das Atividades'!B12),-('Diário 5º PA'!$F$5:$F$2635)),
IF($E$5 = "7º Relatório Gerencial Financeiro",SUMPRODUCT(-('Diário 5º PA'!$H$5:$H$2635='Gasto das Atividades'!B12),-('Diário 5º PA'!$F$5:$F$2635))+SUMPRODUCT(-('Diário 6º PA'!$H$5:$H$2246='Gasto das Atividades'!B12),-('Diário 6º PA'!$F$5:$F$2246)),
IF($E$5 = "8º Relatório Gerencial Financeiro",SUMPRODUCT(-('Diário 5º PA'!$H$5:$H$2635='Gasto das Atividades'!B12),-('Diário 5º PA'!$F$5:$F$2635))+SUMPRODUCT(-('Diário 6º PA'!$H$5:$H$2246='Gasto das Atividades'!B12),-('Diário 6º PA'!$F$5:$F$2246))+SUMPRODUCT(-('Diário 7º PA'!$H$5:$H$2273='Gasto das Atividades'!B12),-('Diário 7º PA'!$F$5:$F$2273))))))</f>
        <v>0</v>
      </c>
      <c r="E12" s="139">
        <f t="array" ref="E12">IF($E$5 = "5º Relatório Gerencial Financeiro",SUMPRODUCT(-('Diário 5º PA'!$H$5:$H$2636='Gasto das Atividades'!B12),-('Diário 5º PA'!$F$5:$F$2636)),
IF($E$5 = "6º Relatório Gerencial Financeiro",SUMPRODUCT(-('Diário 6º PA'!$H$5:$H$2248='Gasto das Atividades'!B12),-('Diário 6º PA'!$F$5:$F$2248)),
IF($E$5 = "7º Relatório Gerencial Financeiro",SUMPRODUCT(-('Diário 7º PA'!$H$5:$H$2273='Gasto das Atividades'!B12),-('Diário 7º PA'!$F$5:$F$2273)),
IF($E$5 = "8º Relatório Gerencial Financeiro",SUMPRODUCT(-('Diário 8º PA'!$H$5:$H$2490='Gasto das Atividades'!B12),-('Diário 8º PA'!$F$5:$F$2490))))))
+SUMPRODUCT(-('Comp.'!$G$5:$G$313='Gasto das Atividades'!B12),-('Comp.'!$R$5:'Comp.'!$R$313&gt;=1),('Comp.'!$E$5:$E$313))</f>
        <v>0</v>
      </c>
      <c r="F12" s="137">
        <f t="shared" si="0"/>
        <v>0</v>
      </c>
      <c r="G12" s="2"/>
      <c r="H12" s="140" t="str">
        <f t="shared" si="1"/>
        <v>-</v>
      </c>
      <c r="I12" s="2"/>
      <c r="J12" s="2"/>
      <c r="K12" s="2"/>
      <c r="L12" s="2"/>
      <c r="M12" s="2"/>
      <c r="N12" s="2"/>
      <c r="O12" s="2"/>
      <c r="P12" s="2"/>
      <c r="Q12" s="2"/>
      <c r="R12" s="2"/>
      <c r="S12" s="2"/>
      <c r="T12" s="2"/>
      <c r="U12" s="2"/>
      <c r="V12" s="2"/>
      <c r="W12" s="2"/>
      <c r="X12" s="2"/>
      <c r="Y12" s="2"/>
      <c r="Z12" s="2"/>
    </row>
    <row r="13" spans="1:26" ht="20.25" customHeight="1" x14ac:dyDescent="0.2">
      <c r="A13" s="135">
        <v>7</v>
      </c>
      <c r="B13" s="141" t="s">
        <v>121</v>
      </c>
      <c r="C13" s="137">
        <v>60328.51</v>
      </c>
      <c r="D13" s="138">
        <f t="array" ref="D13">IF($E$5 = "5º Relatório Gerencial Financeiro",0,
IF($E$5 = "6º Relatório Gerencial Financeiro",SUMPRODUCT(-('Diário 5º PA'!$H$5:$H$2635='Gasto das Atividades'!B13),-('Diário 5º PA'!$F$5:$F$2635)),
IF($E$5 = "7º Relatório Gerencial Financeiro",SUMPRODUCT(-('Diário 5º PA'!$H$5:$H$2635='Gasto das Atividades'!B13),-('Diário 5º PA'!$F$5:$F$2635))+SUMPRODUCT(-('Diário 6º PA'!$H$5:$H$2246='Gasto das Atividades'!B13),-('Diário 6º PA'!$F$5:$F$2246)),
IF($E$5 = "8º Relatório Gerencial Financeiro",SUMPRODUCT(-('Diário 5º PA'!$H$5:$H$2635='Gasto das Atividades'!B13),-('Diário 5º PA'!$F$5:$F$2635))+SUMPRODUCT(-('Diário 6º PA'!$H$5:$H$2246='Gasto das Atividades'!B13),-('Diário 6º PA'!$F$5:$F$2246))+SUMPRODUCT(-('Diário 7º PA'!$H$5:$H$2273='Gasto das Atividades'!B13),-('Diário 7º PA'!$F$5:$F$2273))))))</f>
        <v>0</v>
      </c>
      <c r="E13" s="139">
        <f t="array" ref="E13">IF($E$5 = "5º Relatório Gerencial Financeiro",SUMPRODUCT(-('Diário 5º PA'!$H$5:$H$2636='Gasto das Atividades'!B13),-('Diário 5º PA'!$F$5:$F$2636)),
IF($E$5 = "6º Relatório Gerencial Financeiro",SUMPRODUCT(-('Diário 6º PA'!$H$5:$H$2248='Gasto das Atividades'!B13),-('Diário 6º PA'!$F$5:$F$2248)),
IF($E$5 = "7º Relatório Gerencial Financeiro",SUMPRODUCT(-('Diário 7º PA'!$H$5:$H$2273='Gasto das Atividades'!B13),-('Diário 7º PA'!$F$5:$F$2273)),
IF($E$5 = "8º Relatório Gerencial Financeiro",SUMPRODUCT(-('Diário 8º PA'!$H$5:$H$2490='Gasto das Atividades'!B13),-('Diário 8º PA'!$F$5:$F$2490))))))
+SUMPRODUCT(-('Comp.'!$G$5:$G$313='Gasto das Atividades'!B13),-('Comp.'!$R$5:'Comp.'!$R$313&gt;=1),('Comp.'!$E$5:$E$313))</f>
        <v>0</v>
      </c>
      <c r="F13" s="137">
        <f t="shared" si="0"/>
        <v>0</v>
      </c>
      <c r="G13" s="2"/>
      <c r="H13" s="140" t="str">
        <f t="shared" si="1"/>
        <v>-</v>
      </c>
      <c r="I13" s="2"/>
      <c r="J13" s="2"/>
      <c r="K13" s="2"/>
      <c r="L13" s="2"/>
      <c r="M13" s="2"/>
      <c r="N13" s="2"/>
      <c r="O13" s="2"/>
      <c r="P13" s="2"/>
      <c r="Q13" s="2"/>
      <c r="R13" s="2"/>
      <c r="S13" s="2"/>
      <c r="T13" s="2"/>
      <c r="U13" s="2"/>
      <c r="V13" s="2"/>
      <c r="W13" s="2"/>
      <c r="X13" s="2"/>
      <c r="Y13" s="2"/>
      <c r="Z13" s="2"/>
    </row>
    <row r="14" spans="1:26" ht="25.5" customHeight="1" x14ac:dyDescent="0.2">
      <c r="A14" s="135">
        <v>8</v>
      </c>
      <c r="B14" s="136" t="s">
        <v>122</v>
      </c>
      <c r="C14" s="137">
        <v>31932.94</v>
      </c>
      <c r="D14" s="138">
        <f t="array" ref="D14">IF($E$5 = "5º Relatório Gerencial Financeiro",0,
IF($E$5 = "6º Relatório Gerencial Financeiro",SUMPRODUCT(-('Diário 5º PA'!$H$5:$H$2635='Gasto das Atividades'!B14),-('Diário 5º PA'!$F$5:$F$2635)),
IF($E$5 = "7º Relatório Gerencial Financeiro",SUMPRODUCT(-('Diário 5º PA'!$H$5:$H$2635='Gasto das Atividades'!B14),-('Diário 5º PA'!$F$5:$F$2635))+SUMPRODUCT(-('Diário 6º PA'!$H$5:$H$2246='Gasto das Atividades'!B14),-('Diário 6º PA'!$F$5:$F$2246)),
IF($E$5 = "8º Relatório Gerencial Financeiro",SUMPRODUCT(-('Diário 5º PA'!$H$5:$H$2635='Gasto das Atividades'!B14),-('Diário 5º PA'!$F$5:$F$2635))+SUMPRODUCT(-('Diário 6º PA'!$H$5:$H$2246='Gasto das Atividades'!B14),-('Diário 6º PA'!$F$5:$F$2246))+SUMPRODUCT(-('Diário 7º PA'!$H$5:$H$2273='Gasto das Atividades'!B14),-('Diário 7º PA'!$F$5:$F$2273))))))</f>
        <v>25400.090000000004</v>
      </c>
      <c r="E14" s="139">
        <f t="array" ref="E14">IF($E$5 = "5º Relatório Gerencial Financeiro",SUMPRODUCT(-('Diário 5º PA'!$H$5:$H$2636='Gasto das Atividades'!B14),-('Diário 5º PA'!$F$5:$F$2636)),
IF($E$5 = "6º Relatório Gerencial Financeiro",SUMPRODUCT(-('Diário 6º PA'!$H$5:$H$2248='Gasto das Atividades'!B14),-('Diário 6º PA'!$F$5:$F$2248)),
IF($E$5 = "7º Relatório Gerencial Financeiro",SUMPRODUCT(-('Diário 7º PA'!$H$5:$H$2273='Gasto das Atividades'!B14),-('Diário 7º PA'!$F$5:$F$2273)),
IF($E$5 = "8º Relatório Gerencial Financeiro",SUMPRODUCT(-('Diário 8º PA'!$H$5:$H$2490='Gasto das Atividades'!B14),-('Diário 8º PA'!$F$5:$F$2490))))))
+SUMPRODUCT(-('Comp.'!$G$5:$G$313='Gasto das Atividades'!B14),-('Comp.'!$R$5:'Comp.'!$R$313&gt;=1),('Comp.'!$E$5:$E$313))</f>
        <v>36011.300000000003</v>
      </c>
      <c r="F14" s="137">
        <f t="shared" si="0"/>
        <v>61411.390000000007</v>
      </c>
      <c r="G14" s="2"/>
      <c r="H14" s="140">
        <f t="shared" si="1"/>
        <v>1.923136109609701</v>
      </c>
      <c r="I14" s="2"/>
      <c r="J14" s="2"/>
      <c r="K14" s="2"/>
      <c r="L14" s="2"/>
      <c r="M14" s="2"/>
      <c r="N14" s="2"/>
      <c r="O14" s="2"/>
      <c r="P14" s="2"/>
      <c r="Q14" s="2"/>
      <c r="R14" s="2"/>
      <c r="S14" s="2"/>
      <c r="T14" s="2"/>
      <c r="U14" s="2"/>
      <c r="V14" s="2"/>
      <c r="W14" s="2"/>
      <c r="X14" s="2"/>
      <c r="Y14" s="2"/>
      <c r="Z14" s="2"/>
    </row>
    <row r="15" spans="1:26" ht="28.5" customHeight="1" x14ac:dyDescent="0.2">
      <c r="A15" s="135">
        <v>9</v>
      </c>
      <c r="B15" s="136" t="s">
        <v>123</v>
      </c>
      <c r="C15" s="137">
        <v>57932.94</v>
      </c>
      <c r="D15" s="138">
        <f t="array" ref="D15">IF($E$5 = "5º Relatório Gerencial Financeiro",0,
IF($E$5 = "6º Relatório Gerencial Financeiro",SUMPRODUCT(-('Diário 5º PA'!$H$5:$H$2635='Gasto das Atividades'!B15),-('Diário 5º PA'!$F$5:$F$2635)),
IF($E$5 = "7º Relatório Gerencial Financeiro",SUMPRODUCT(-('Diário 5º PA'!$H$5:$H$2635='Gasto das Atividades'!B15),-('Diário 5º PA'!$F$5:$F$2635))+SUMPRODUCT(-('Diário 6º PA'!$H$5:$H$2246='Gasto das Atividades'!B15),-('Diário 6º PA'!$F$5:$F$2246)),
IF($E$5 = "8º Relatório Gerencial Financeiro",SUMPRODUCT(-('Diário 5º PA'!$H$5:$H$2635='Gasto das Atividades'!B15),-('Diário 5º PA'!$F$5:$F$2635))+SUMPRODUCT(-('Diário 6º PA'!$H$5:$H$2246='Gasto das Atividades'!B15),-('Diário 6º PA'!$F$5:$F$2246))+SUMPRODUCT(-('Diário 7º PA'!$H$5:$H$2273='Gasto das Atividades'!B15),-('Diário 7º PA'!$F$5:$F$2273))))))</f>
        <v>65661.25</v>
      </c>
      <c r="E15" s="139">
        <f t="array" ref="E15">IF($E$5 = "5º Relatório Gerencial Financeiro",SUMPRODUCT(-('Diário 5º PA'!$H$5:$H$2636='Gasto das Atividades'!B15),-('Diário 5º PA'!$F$5:$F$2636)),
IF($E$5 = "6º Relatório Gerencial Financeiro",SUMPRODUCT(-('Diário 6º PA'!$H$5:$H$2248='Gasto das Atividades'!B15),-('Diário 6º PA'!$F$5:$F$2248)),
IF($E$5 = "7º Relatório Gerencial Financeiro",SUMPRODUCT(-('Diário 7º PA'!$H$5:$H$2273='Gasto das Atividades'!B15),-('Diário 7º PA'!$F$5:$F$2273)),
IF($E$5 = "8º Relatório Gerencial Financeiro",SUMPRODUCT(-('Diário 8º PA'!$H$5:$H$2490='Gasto das Atividades'!B15),-('Diário 8º PA'!$F$5:$F$2490))))))
+SUMPRODUCT(-('Comp.'!$G$5:$G$313='Gasto das Atividades'!B15),-('Comp.'!$R$5:'Comp.'!$R$313&gt;=1),('Comp.'!$E$5:$E$313))</f>
        <v>9467.619999999999</v>
      </c>
      <c r="F15" s="137">
        <f t="shared" si="0"/>
        <v>75128.87</v>
      </c>
      <c r="G15" s="2"/>
      <c r="H15" s="140">
        <f t="shared" si="1"/>
        <v>1.296824742538528</v>
      </c>
      <c r="I15" s="2"/>
      <c r="J15" s="2"/>
      <c r="K15" s="2"/>
      <c r="L15" s="2"/>
      <c r="M15" s="2"/>
      <c r="N15" s="2"/>
      <c r="O15" s="2"/>
      <c r="P15" s="2"/>
      <c r="Q15" s="2"/>
      <c r="R15" s="2"/>
      <c r="S15" s="2"/>
      <c r="T15" s="2"/>
      <c r="U15" s="2"/>
      <c r="V15" s="2"/>
      <c r="W15" s="2"/>
      <c r="X15" s="2"/>
      <c r="Y15" s="2"/>
      <c r="Z15" s="2"/>
    </row>
    <row r="16" spans="1:26" ht="24" customHeight="1" x14ac:dyDescent="0.2">
      <c r="A16" s="135">
        <v>10</v>
      </c>
      <c r="B16" s="136" t="s">
        <v>124</v>
      </c>
      <c r="C16" s="137">
        <v>49132.94</v>
      </c>
      <c r="D16" s="138">
        <f t="array" ref="D16">IF($E$5 = "5º Relatório Gerencial Financeiro",0,
IF($E$5 = "6º Relatório Gerencial Financeiro",SUMPRODUCT(-('Diário 5º PA'!$H$5:$H$2635='Gasto das Atividades'!B16),-('Diário 5º PA'!$F$5:$F$2635)),
IF($E$5 = "7º Relatório Gerencial Financeiro",SUMPRODUCT(-('Diário 5º PA'!$H$5:$H$2635='Gasto das Atividades'!B16),-('Diário 5º PA'!$F$5:$F$2635))+SUMPRODUCT(-('Diário 6º PA'!$H$5:$H$2246='Gasto das Atividades'!B16),-('Diário 6º PA'!$F$5:$F$2246)),
IF($E$5 = "8º Relatório Gerencial Financeiro",SUMPRODUCT(-('Diário 5º PA'!$H$5:$H$2635='Gasto das Atividades'!B16),-('Diário 5º PA'!$F$5:$F$2635))+SUMPRODUCT(-('Diário 6º PA'!$H$5:$H$2246='Gasto das Atividades'!B16),-('Diário 6º PA'!$F$5:$F$2246))+SUMPRODUCT(-('Diário 7º PA'!$H$5:$H$2273='Gasto das Atividades'!B16),-('Diário 7º PA'!$F$5:$F$2273))))))</f>
        <v>57005.500000000015</v>
      </c>
      <c r="E16" s="139">
        <f t="array" ref="E16">IF($E$5 = "5º Relatório Gerencial Financeiro",SUMPRODUCT(-('Diário 5º PA'!$H$5:$H$2636='Gasto das Atividades'!B16),-('Diário 5º PA'!$F$5:$F$2636)),
IF($E$5 = "6º Relatório Gerencial Financeiro",SUMPRODUCT(-('Diário 6º PA'!$H$5:$H$2248='Gasto das Atividades'!B16),-('Diário 6º PA'!$F$5:$F$2248)),
IF($E$5 = "7º Relatório Gerencial Financeiro",SUMPRODUCT(-('Diário 7º PA'!$H$5:$H$2273='Gasto das Atividades'!B16),-('Diário 7º PA'!$F$5:$F$2273)),
IF($E$5 = "8º Relatório Gerencial Financeiro",SUMPRODUCT(-('Diário 8º PA'!$H$5:$H$2490='Gasto das Atividades'!B16),-('Diário 8º PA'!$F$5:$F$2490))))))
+SUMPRODUCT(-('Comp.'!$G$5:$G$313='Gasto das Atividades'!B16),-('Comp.'!$R$5:'Comp.'!$R$313&gt;=1),('Comp.'!$E$5:$E$313))</f>
        <v>20781.690000000002</v>
      </c>
      <c r="F16" s="137">
        <f t="shared" si="0"/>
        <v>77787.190000000017</v>
      </c>
      <c r="G16" s="2"/>
      <c r="H16" s="140">
        <f t="shared" si="1"/>
        <v>1.5831983593898515</v>
      </c>
      <c r="I16" s="2"/>
      <c r="J16" s="2"/>
      <c r="K16" s="2"/>
      <c r="L16" s="2"/>
      <c r="M16" s="2"/>
      <c r="N16" s="2"/>
      <c r="O16" s="2"/>
      <c r="P16" s="2"/>
      <c r="Q16" s="2"/>
      <c r="R16" s="2"/>
      <c r="S16" s="2"/>
      <c r="T16" s="2"/>
      <c r="U16" s="2"/>
      <c r="V16" s="2"/>
      <c r="W16" s="2"/>
      <c r="X16" s="2"/>
      <c r="Y16" s="2"/>
      <c r="Z16" s="2"/>
    </row>
    <row r="17" spans="1:26" ht="21" customHeight="1" x14ac:dyDescent="0.2">
      <c r="A17" s="135">
        <v>11</v>
      </c>
      <c r="B17" s="136" t="s">
        <v>125</v>
      </c>
      <c r="C17" s="137">
        <v>59932.94</v>
      </c>
      <c r="D17" s="138">
        <f t="array" ref="D17">IF($E$5 = "5º Relatório Gerencial Financeiro",0,
IF($E$5 = "6º Relatório Gerencial Financeiro",SUMPRODUCT(-('Diário 5º PA'!$H$5:$H$2635='Gasto das Atividades'!B17),-('Diário 5º PA'!$F$5:$F$2635)),
IF($E$5 = "7º Relatório Gerencial Financeiro",SUMPRODUCT(-('Diário 5º PA'!$H$5:$H$2635='Gasto das Atividades'!B17),-('Diário 5º PA'!$F$5:$F$2635))+SUMPRODUCT(-('Diário 6º PA'!$H$5:$H$2246='Gasto das Atividades'!B17),-('Diário 6º PA'!$F$5:$F$2246)),
IF($E$5 = "8º Relatório Gerencial Financeiro",SUMPRODUCT(-('Diário 5º PA'!$H$5:$H$2635='Gasto das Atividades'!B17),-('Diário 5º PA'!$F$5:$F$2635))+SUMPRODUCT(-('Diário 6º PA'!$H$5:$H$2246='Gasto das Atividades'!B17),-('Diário 6º PA'!$F$5:$F$2246))+SUMPRODUCT(-('Diário 7º PA'!$H$5:$H$2273='Gasto das Atividades'!B17),-('Diário 7º PA'!$F$5:$F$2273))))))</f>
        <v>230769.18999999989</v>
      </c>
      <c r="E17" s="139">
        <f t="array" ref="E17">IF($E$5 = "5º Relatório Gerencial Financeiro",SUMPRODUCT(-('Diário 5º PA'!$H$5:$H$2636='Gasto das Atividades'!B17),-('Diário 5º PA'!$F$5:$F$2636)),
IF($E$5 = "6º Relatório Gerencial Financeiro",SUMPRODUCT(-('Diário 6º PA'!$H$5:$H$2248='Gasto das Atividades'!B17),-('Diário 6º PA'!$F$5:$F$2248)),
IF($E$5 = "7º Relatório Gerencial Financeiro",SUMPRODUCT(-('Diário 7º PA'!$H$5:$H$2273='Gasto das Atividades'!B17),-('Diário 7º PA'!$F$5:$F$2273)),
IF($E$5 = "8º Relatório Gerencial Financeiro",SUMPRODUCT(-('Diário 8º PA'!$H$5:$H$2490='Gasto das Atividades'!B17),-('Diário 8º PA'!$F$5:$F$2490))))))
+SUMPRODUCT(-('Comp.'!$G$5:$G$313='Gasto das Atividades'!B17),-('Comp.'!$R$5:'Comp.'!$R$313&gt;=1),('Comp.'!$E$5:$E$313))</f>
        <v>51192.23</v>
      </c>
      <c r="F17" s="137">
        <f t="shared" si="0"/>
        <v>281961.41999999987</v>
      </c>
      <c r="G17" s="2"/>
      <c r="H17" s="140">
        <f t="shared" si="1"/>
        <v>4.7046151915791192</v>
      </c>
      <c r="I17" s="2"/>
      <c r="J17" s="2"/>
      <c r="K17" s="2"/>
      <c r="L17" s="2"/>
      <c r="M17" s="2"/>
      <c r="N17" s="2"/>
      <c r="O17" s="2"/>
      <c r="P17" s="2"/>
      <c r="Q17" s="2"/>
      <c r="R17" s="2"/>
      <c r="S17" s="2"/>
      <c r="T17" s="2"/>
      <c r="U17" s="2"/>
      <c r="V17" s="2"/>
      <c r="W17" s="2"/>
      <c r="X17" s="2"/>
      <c r="Y17" s="2"/>
      <c r="Z17" s="2"/>
    </row>
    <row r="18" spans="1:26" ht="25.5" customHeight="1" x14ac:dyDescent="0.2">
      <c r="A18" s="135">
        <v>12</v>
      </c>
      <c r="B18" s="136" t="s">
        <v>126</v>
      </c>
      <c r="C18" s="137">
        <v>62932.94</v>
      </c>
      <c r="D18" s="138">
        <f t="array" ref="D18">IF($E$5 = "5º Relatório Gerencial Financeiro",0,
IF($E$5 = "6º Relatório Gerencial Financeiro",SUMPRODUCT(-('Diário 5º PA'!$H$5:$H$2635='Gasto das Atividades'!B18),-('Diário 5º PA'!$F$5:$F$2635)),
IF($E$5 = "7º Relatório Gerencial Financeiro",SUMPRODUCT(-('Diário 5º PA'!$H$5:$H$2635='Gasto das Atividades'!B18),-('Diário 5º PA'!$F$5:$F$2635))+SUMPRODUCT(-('Diário 6º PA'!$H$5:$H$2246='Gasto das Atividades'!B18),-('Diário 6º PA'!$F$5:$F$2246)),
IF($E$5 = "8º Relatório Gerencial Financeiro",SUMPRODUCT(-('Diário 5º PA'!$H$5:$H$2635='Gasto das Atividades'!B18),-('Diário 5º PA'!$F$5:$F$2635))+SUMPRODUCT(-('Diário 6º PA'!$H$5:$H$2246='Gasto das Atividades'!B18),-('Diário 6º PA'!$F$5:$F$2246))+SUMPRODUCT(-('Diário 7º PA'!$H$5:$H$2273='Gasto das Atividades'!B18),-('Diário 7º PA'!$F$5:$F$2273))))))</f>
        <v>28905.100000000002</v>
      </c>
      <c r="E18" s="139">
        <f t="array" ref="E18">IF($E$5 = "5º Relatório Gerencial Financeiro",SUMPRODUCT(-('Diário 5º PA'!$H$5:$H$2636='Gasto das Atividades'!B18),-('Diário 5º PA'!$F$5:$F$2636)),
IF($E$5 = "6º Relatório Gerencial Financeiro",SUMPRODUCT(-('Diário 6º PA'!$H$5:$H$2248='Gasto das Atividades'!B18),-('Diário 6º PA'!$F$5:$F$2248)),
IF($E$5 = "7º Relatório Gerencial Financeiro",SUMPRODUCT(-('Diário 7º PA'!$H$5:$H$2273='Gasto das Atividades'!B18),-('Diário 7º PA'!$F$5:$F$2273)),
IF($E$5 = "8º Relatório Gerencial Financeiro",SUMPRODUCT(-('Diário 8º PA'!$H$5:$H$2490='Gasto das Atividades'!B18),-('Diário 8º PA'!$F$5:$F$2490))))))
+SUMPRODUCT(-('Comp.'!$G$5:$G$313='Gasto das Atividades'!B18),-('Comp.'!$R$5:'Comp.'!$R$313&gt;=1),('Comp.'!$E$5:$E$313))</f>
        <v>4777.3999999999996</v>
      </c>
      <c r="F18" s="137">
        <f t="shared" si="0"/>
        <v>33682.5</v>
      </c>
      <c r="G18" s="2"/>
      <c r="H18" s="140">
        <f t="shared" si="1"/>
        <v>0.53521256118020222</v>
      </c>
      <c r="I18" s="2"/>
      <c r="J18" s="2"/>
      <c r="K18" s="2"/>
      <c r="L18" s="2"/>
      <c r="M18" s="2"/>
      <c r="N18" s="2"/>
      <c r="O18" s="2"/>
      <c r="P18" s="2"/>
      <c r="Q18" s="2"/>
      <c r="R18" s="2"/>
      <c r="S18" s="2"/>
      <c r="T18" s="2"/>
      <c r="U18" s="2"/>
      <c r="V18" s="2"/>
      <c r="W18" s="2"/>
      <c r="X18" s="2"/>
      <c r="Y18" s="2"/>
      <c r="Z18" s="2"/>
    </row>
    <row r="19" spans="1:26" ht="29.25" customHeight="1" x14ac:dyDescent="0.2">
      <c r="A19" s="135">
        <v>13</v>
      </c>
      <c r="B19" s="136" t="s">
        <v>127</v>
      </c>
      <c r="C19" s="137">
        <v>26332.94</v>
      </c>
      <c r="D19" s="138">
        <f t="array" ref="D19">IF($E$5 = "5º Relatório Gerencial Financeiro",0,
IF($E$5 = "6º Relatório Gerencial Financeiro",SUMPRODUCT(-('Diário 5º PA'!$H$5:$H$2635='Gasto das Atividades'!B19),-('Diário 5º PA'!$F$5:$F$2635)),
IF($E$5 = "7º Relatório Gerencial Financeiro",SUMPRODUCT(-('Diário 5º PA'!$H$5:$H$2635='Gasto das Atividades'!B19),-('Diário 5º PA'!$F$5:$F$2635))+SUMPRODUCT(-('Diário 6º PA'!$H$5:$H$2246='Gasto das Atividades'!B19),-('Diário 6º PA'!$F$5:$F$2246)),
IF($E$5 = "8º Relatório Gerencial Financeiro",SUMPRODUCT(-('Diário 5º PA'!$H$5:$H$2635='Gasto das Atividades'!B19),-('Diário 5º PA'!$F$5:$F$2635))+SUMPRODUCT(-('Diário 6º PA'!$H$5:$H$2246='Gasto das Atividades'!B19),-('Diário 6º PA'!$F$5:$F$2246))+SUMPRODUCT(-('Diário 7º PA'!$H$5:$H$2273='Gasto das Atividades'!B19),-('Diário 7º PA'!$F$5:$F$2273))))))</f>
        <v>26983.030000000002</v>
      </c>
      <c r="E19" s="139">
        <f t="array" ref="E19">IF($E$5 = "5º Relatório Gerencial Financeiro",SUMPRODUCT(-('Diário 5º PA'!$H$5:$H$2636='Gasto das Atividades'!B19),-('Diário 5º PA'!$F$5:$F$2636)),
IF($E$5 = "6º Relatório Gerencial Financeiro",SUMPRODUCT(-('Diário 6º PA'!$H$5:$H$2248='Gasto das Atividades'!B19),-('Diário 6º PA'!$F$5:$F$2248)),
IF($E$5 = "7º Relatório Gerencial Financeiro",SUMPRODUCT(-('Diário 7º PA'!$H$5:$H$2273='Gasto das Atividades'!B19),-('Diário 7º PA'!$F$5:$F$2273)),
IF($E$5 = "8º Relatório Gerencial Financeiro",SUMPRODUCT(-('Diário 8º PA'!$H$5:$H$2490='Gasto das Atividades'!B19),-('Diário 8º PA'!$F$5:$F$2490))))))
+SUMPRODUCT(-('Comp.'!$G$5:$G$313='Gasto das Atividades'!B19),-('Comp.'!$R$5:'Comp.'!$R$313&gt;=1),('Comp.'!$E$5:$E$313))</f>
        <v>24866.260000000002</v>
      </c>
      <c r="F19" s="137">
        <f t="shared" si="0"/>
        <v>51849.290000000008</v>
      </c>
      <c r="G19" s="2"/>
      <c r="H19" s="140">
        <f t="shared" si="1"/>
        <v>1.9689897899740785</v>
      </c>
      <c r="I19" s="2"/>
      <c r="J19" s="2"/>
      <c r="K19" s="2"/>
      <c r="L19" s="2"/>
      <c r="M19" s="2"/>
      <c r="N19" s="2"/>
      <c r="O19" s="2"/>
      <c r="P19" s="2"/>
      <c r="Q19" s="2"/>
      <c r="R19" s="2"/>
      <c r="S19" s="2"/>
      <c r="T19" s="2"/>
      <c r="U19" s="2"/>
      <c r="V19" s="2"/>
      <c r="W19" s="2"/>
      <c r="X19" s="2"/>
      <c r="Y19" s="2"/>
      <c r="Z19" s="2"/>
    </row>
    <row r="20" spans="1:26" ht="21" customHeight="1" x14ac:dyDescent="0.2">
      <c r="A20" s="135">
        <v>14</v>
      </c>
      <c r="B20" s="136" t="s">
        <v>128</v>
      </c>
      <c r="C20" s="137">
        <v>38932.94</v>
      </c>
      <c r="D20" s="138">
        <f t="array" ref="D20">IF($E$5 = "5º Relatório Gerencial Financeiro",0,
IF($E$5 = "6º Relatório Gerencial Financeiro",SUMPRODUCT(-('Diário 5º PA'!$H$5:$H$2635='Gasto das Atividades'!B20),-('Diário 5º PA'!$F$5:$F$2635)),
IF($E$5 = "7º Relatório Gerencial Financeiro",SUMPRODUCT(-('Diário 5º PA'!$H$5:$H$2635='Gasto das Atividades'!B20),-('Diário 5º PA'!$F$5:$F$2635))+SUMPRODUCT(-('Diário 6º PA'!$H$5:$H$2246='Gasto das Atividades'!B20),-('Diário 6º PA'!$F$5:$F$2246)),
IF($E$5 = "8º Relatório Gerencial Financeiro",SUMPRODUCT(-('Diário 5º PA'!$H$5:$H$2635='Gasto das Atividades'!B20),-('Diário 5º PA'!$F$5:$F$2635))+SUMPRODUCT(-('Diário 6º PA'!$H$5:$H$2246='Gasto das Atividades'!B20),-('Diário 6º PA'!$F$5:$F$2246))+SUMPRODUCT(-('Diário 7º PA'!$H$5:$H$2273='Gasto das Atividades'!B20),-('Diário 7º PA'!$F$5:$F$2273))))))</f>
        <v>59736.87</v>
      </c>
      <c r="E20" s="139">
        <f t="array" ref="E20">IF($E$5 = "5º Relatório Gerencial Financeiro",SUMPRODUCT(-('Diário 5º PA'!$H$5:$H$2636='Gasto das Atividades'!B20),-('Diário 5º PA'!$F$5:$F$2636)),
IF($E$5 = "6º Relatório Gerencial Financeiro",SUMPRODUCT(-('Diário 6º PA'!$H$5:$H$2248='Gasto das Atividades'!B20),-('Diário 6º PA'!$F$5:$F$2248)),
IF($E$5 = "7º Relatório Gerencial Financeiro",SUMPRODUCT(-('Diário 7º PA'!$H$5:$H$2273='Gasto das Atividades'!B20),-('Diário 7º PA'!$F$5:$F$2273)),
IF($E$5 = "8º Relatório Gerencial Financeiro",SUMPRODUCT(-('Diário 8º PA'!$H$5:$H$2490='Gasto das Atividades'!B20),-('Diário 8º PA'!$F$5:$F$2490))))))
+SUMPRODUCT(-('Comp.'!$G$5:$G$313='Gasto das Atividades'!B20),-('Comp.'!$R$5:'Comp.'!$R$313&gt;=1),('Comp.'!$E$5:$E$313))</f>
        <v>67045.22</v>
      </c>
      <c r="F20" s="137">
        <f t="shared" si="0"/>
        <v>126782.09</v>
      </c>
      <c r="G20" s="2"/>
      <c r="H20" s="140">
        <f t="shared" si="1"/>
        <v>3.2564221967310969</v>
      </c>
      <c r="I20" s="2"/>
      <c r="J20" s="2"/>
      <c r="K20" s="2"/>
      <c r="L20" s="2"/>
      <c r="M20" s="2"/>
      <c r="N20" s="2"/>
      <c r="O20" s="2"/>
      <c r="P20" s="2"/>
      <c r="Q20" s="2"/>
      <c r="R20" s="2"/>
      <c r="S20" s="2"/>
      <c r="T20" s="2"/>
      <c r="U20" s="2"/>
      <c r="V20" s="2"/>
      <c r="W20" s="2"/>
      <c r="X20" s="2"/>
      <c r="Y20" s="2"/>
      <c r="Z20" s="2"/>
    </row>
    <row r="21" spans="1:26" ht="17.25" customHeight="1" x14ac:dyDescent="0.2">
      <c r="A21" s="135">
        <v>15</v>
      </c>
      <c r="B21" s="136" t="s">
        <v>129</v>
      </c>
      <c r="C21" s="137">
        <v>219861.48</v>
      </c>
      <c r="D21" s="138">
        <f t="array" ref="D21">IF($E$5 = "5º Relatório Gerencial Financeiro",0,
IF($E$5 = "6º Relatório Gerencial Financeiro",SUMPRODUCT(-('Diário 5º PA'!$H$5:$H$2635='Gasto das Atividades'!B21),-('Diário 5º PA'!$F$5:$F$2635)),
IF($E$5 = "7º Relatório Gerencial Financeiro",SUMPRODUCT(-('Diário 5º PA'!$H$5:$H$2635='Gasto das Atividades'!B21),-('Diário 5º PA'!$F$5:$F$2635))+SUMPRODUCT(-('Diário 6º PA'!$H$5:$H$2246='Gasto das Atividades'!B21),-('Diário 6º PA'!$F$5:$F$2246)),
IF($E$5 = "8º Relatório Gerencial Financeiro",SUMPRODUCT(-('Diário 5º PA'!$H$5:$H$2635='Gasto das Atividades'!B21),-('Diário 5º PA'!$F$5:$F$2635))+SUMPRODUCT(-('Diário 6º PA'!$H$5:$H$2246='Gasto das Atividades'!B21),-('Diário 6º PA'!$F$5:$F$2246))+SUMPRODUCT(-('Diário 7º PA'!$H$5:$H$2273='Gasto das Atividades'!B21),-('Diário 7º PA'!$F$5:$F$2273))))))</f>
        <v>265516.68</v>
      </c>
      <c r="E21" s="139">
        <f t="array" ref="E21">IF($E$5 = "5º Relatório Gerencial Financeiro",SUMPRODUCT(-('Diário 5º PA'!$H$5:$H$2636='Gasto das Atividades'!B21),-('Diário 5º PA'!$F$5:$F$2636)),
IF($E$5 = "6º Relatório Gerencial Financeiro",SUMPRODUCT(-('Diário 6º PA'!$H$5:$H$2248='Gasto das Atividades'!B21),-('Diário 6º PA'!$F$5:$F$2248)),
IF($E$5 = "7º Relatório Gerencial Financeiro",SUMPRODUCT(-('Diário 7º PA'!$H$5:$H$2273='Gasto das Atividades'!B21),-('Diário 7º PA'!$F$5:$F$2273)),
IF($E$5 = "8º Relatório Gerencial Financeiro",SUMPRODUCT(-('Diário 8º PA'!$H$5:$H$2490='Gasto das Atividades'!B21),-('Diário 8º PA'!$F$5:$F$2490))))))
+SUMPRODUCT(-('Comp.'!$G$5:$G$313='Gasto das Atividades'!B21),-('Comp.'!$R$5:'Comp.'!$R$313&gt;=1),('Comp.'!$E$5:$E$313))</f>
        <v>126076.70000000001</v>
      </c>
      <c r="F21" s="137">
        <f t="shared" si="0"/>
        <v>391593.38</v>
      </c>
      <c r="G21" s="2"/>
      <c r="H21" s="140">
        <f t="shared" si="1"/>
        <v>1.7810913489711795</v>
      </c>
      <c r="I21" s="2"/>
      <c r="J21" s="2"/>
      <c r="K21" s="2"/>
      <c r="L21" s="2"/>
      <c r="M21" s="2"/>
      <c r="N21" s="2"/>
      <c r="O21" s="2"/>
      <c r="P21" s="2"/>
      <c r="Q21" s="2"/>
      <c r="R21" s="2"/>
      <c r="S21" s="2"/>
      <c r="T21" s="2"/>
      <c r="U21" s="2"/>
      <c r="V21" s="2"/>
      <c r="W21" s="2"/>
      <c r="X21" s="2"/>
      <c r="Y21" s="2"/>
      <c r="Z21" s="2"/>
    </row>
    <row r="22" spans="1:26" ht="12.75" customHeight="1" x14ac:dyDescent="0.2">
      <c r="A22" s="135">
        <v>16</v>
      </c>
      <c r="B22" s="136" t="s">
        <v>130</v>
      </c>
      <c r="C22" s="137">
        <v>50000</v>
      </c>
      <c r="D22" s="138">
        <f t="array" ref="D22">IF($E$5 = "5º Relatório Gerencial Financeiro",0,
IF($E$5 = "6º Relatório Gerencial Financeiro",SUMPRODUCT(-('Diário 5º PA'!$H$5:$H$2635='Gasto das Atividades'!B22),-('Diário 5º PA'!$F$5:$F$2635)),
IF($E$5 = "7º Relatório Gerencial Financeiro",SUMPRODUCT(-('Diário 5º PA'!$H$5:$H$2635='Gasto das Atividades'!B22),-('Diário 5º PA'!$F$5:$F$2635))+SUMPRODUCT(-('Diário 6º PA'!$H$5:$H$2246='Gasto das Atividades'!B22),-('Diário 6º PA'!$F$5:$F$2246)),
IF($E$5 = "8º Relatório Gerencial Financeiro",SUMPRODUCT(-('Diário 5º PA'!$H$5:$H$2635='Gasto das Atividades'!B22),-('Diário 5º PA'!$F$5:$F$2635))+SUMPRODUCT(-('Diário 6º PA'!$H$5:$H$2246='Gasto das Atividades'!B22),-('Diário 6º PA'!$F$5:$F$2246))+SUMPRODUCT(-('Diário 7º PA'!$H$5:$H$2273='Gasto das Atividades'!B22),-('Diário 7º PA'!$F$5:$F$2273))))))</f>
        <v>4198.1299999999992</v>
      </c>
      <c r="E22" s="139">
        <f t="array" ref="E22">IF($E$5 = "5º Relatório Gerencial Financeiro",SUMPRODUCT(-('Diário 5º PA'!$H$5:$H$2636='Gasto das Atividades'!B22),-('Diário 5º PA'!$F$5:$F$2636)),
IF($E$5 = "6º Relatório Gerencial Financeiro",SUMPRODUCT(-('Diário 6º PA'!$H$5:$H$2248='Gasto das Atividades'!B22),-('Diário 6º PA'!$F$5:$F$2248)),
IF($E$5 = "7º Relatório Gerencial Financeiro",SUMPRODUCT(-('Diário 7º PA'!$H$5:$H$2273='Gasto das Atividades'!B22),-('Diário 7º PA'!$F$5:$F$2273)),
IF($E$5 = "8º Relatório Gerencial Financeiro",SUMPRODUCT(-('Diário 8º PA'!$H$5:$H$2490='Gasto das Atividades'!B22),-('Diário 8º PA'!$F$5:$F$2490))))))
+SUMPRODUCT(-('Comp.'!$G$5:$G$313='Gasto das Atividades'!B22),-('Comp.'!$R$5:'Comp.'!$R$313&gt;=1),('Comp.'!$E$5:$E$313))</f>
        <v>3979.3600000000006</v>
      </c>
      <c r="F22" s="137">
        <f t="shared" si="0"/>
        <v>8177.49</v>
      </c>
      <c r="G22" s="2"/>
      <c r="H22" s="140">
        <f t="shared" si="1"/>
        <v>0.1635498</v>
      </c>
      <c r="I22" s="2"/>
      <c r="J22" s="2"/>
      <c r="K22" s="2"/>
      <c r="L22" s="2"/>
      <c r="M22" s="2"/>
      <c r="N22" s="2"/>
      <c r="O22" s="2"/>
      <c r="P22" s="2"/>
      <c r="Q22" s="2"/>
      <c r="R22" s="2"/>
      <c r="S22" s="2"/>
      <c r="T22" s="2"/>
      <c r="U22" s="2"/>
      <c r="V22" s="2"/>
      <c r="W22" s="2"/>
      <c r="X22" s="2"/>
      <c r="Y22" s="2"/>
      <c r="Z22" s="2"/>
    </row>
    <row r="23" spans="1:26" ht="12.75" customHeight="1" x14ac:dyDescent="0.2">
      <c r="A23" s="135">
        <v>17</v>
      </c>
      <c r="B23" s="136" t="s">
        <v>131</v>
      </c>
      <c r="C23" s="137">
        <v>383850.31</v>
      </c>
      <c r="D23" s="138">
        <f t="array" ref="D23">IF($E$5 = "5º Relatório Gerencial Financeiro",0,
IF($E$5 = "6º Relatório Gerencial Financeiro",SUMPRODUCT(-('Diário 5º PA'!$H$5:$H$2635='Gasto das Atividades'!B23),-('Diário 5º PA'!$F$5:$F$2635)),
IF($E$5 = "7º Relatório Gerencial Financeiro",SUMPRODUCT(-('Diário 5º PA'!$H$5:$H$2635='Gasto das Atividades'!B23),-('Diário 5º PA'!$F$5:$F$2635))+SUMPRODUCT(-('Diário 6º PA'!$H$5:$H$2246='Gasto das Atividades'!B23),-('Diário 6º PA'!$F$5:$F$2246)),
IF($E$5 = "8º Relatório Gerencial Financeiro",SUMPRODUCT(-('Diário 5º PA'!$H$5:$H$2635='Gasto das Atividades'!B23),-('Diário 5º PA'!$F$5:$F$2635))+SUMPRODUCT(-('Diário 6º PA'!$H$5:$H$2246='Gasto das Atividades'!B23),-('Diário 6º PA'!$F$5:$F$2246))+SUMPRODUCT(-('Diário 7º PA'!$H$5:$H$2273='Gasto das Atividades'!B23),-('Diário 7º PA'!$F$5:$F$2273))))))</f>
        <v>468623.62000000011</v>
      </c>
      <c r="E23" s="139">
        <f t="array" ref="E23">IF($E$5 = "5º Relatório Gerencial Financeiro",SUMPRODUCT(-('Diário 5º PA'!$H$5:$H$2636='Gasto das Atividades'!B23),-('Diário 5º PA'!$F$5:$F$2636)),
IF($E$5 = "6º Relatório Gerencial Financeiro",SUMPRODUCT(-('Diário 6º PA'!$H$5:$H$2248='Gasto das Atividades'!B23),-('Diário 6º PA'!$F$5:$F$2248)),
IF($E$5 = "7º Relatório Gerencial Financeiro",SUMPRODUCT(-('Diário 7º PA'!$H$5:$H$2273='Gasto das Atividades'!B23),-('Diário 7º PA'!$F$5:$F$2273)),
IF($E$5 = "8º Relatório Gerencial Financeiro",SUMPRODUCT(-('Diário 8º PA'!$H$5:$H$2490='Gasto das Atividades'!B23),-('Diário 8º PA'!$F$5:$F$2490))))))
+SUMPRODUCT(-('Comp.'!$G$5:$G$313='Gasto das Atividades'!B23),-('Comp.'!$R$5:'Comp.'!$R$313&gt;=1),('Comp.'!$E$5:$E$313))</f>
        <v>218172.66999999995</v>
      </c>
      <c r="F23" s="137">
        <f t="shared" si="0"/>
        <v>686796.29</v>
      </c>
      <c r="G23" s="2"/>
      <c r="H23" s="140">
        <f t="shared" si="1"/>
        <v>1.7892294785433416</v>
      </c>
      <c r="I23" s="2"/>
      <c r="J23" s="2"/>
      <c r="K23" s="2"/>
      <c r="L23" s="2"/>
      <c r="M23" s="2"/>
      <c r="N23" s="2"/>
      <c r="O23" s="2"/>
      <c r="P23" s="2"/>
      <c r="Q23" s="2"/>
      <c r="R23" s="2"/>
      <c r="S23" s="2"/>
      <c r="T23" s="2"/>
      <c r="U23" s="2"/>
      <c r="V23" s="2"/>
      <c r="W23" s="2"/>
      <c r="X23" s="2"/>
      <c r="Y23" s="2"/>
      <c r="Z23" s="2"/>
    </row>
    <row r="24" spans="1:26" ht="12.75" customHeight="1" x14ac:dyDescent="0.2">
      <c r="A24" s="135">
        <v>18</v>
      </c>
      <c r="B24" s="136" t="s">
        <v>132</v>
      </c>
      <c r="C24" s="137">
        <v>328686.19</v>
      </c>
      <c r="D24" s="138">
        <f t="array" ref="D24">IF($E$5 = "5º Relatório Gerencial Financeiro",0,
IF($E$5 = "6º Relatório Gerencial Financeiro",SUMPRODUCT(-('Diário 5º PA'!$H$5:$H$2635='Gasto das Atividades'!B24),-('Diário 5º PA'!$F$5:$F$2635)),
IF($E$5 = "7º Relatório Gerencial Financeiro",SUMPRODUCT(-('Diário 5º PA'!$H$5:$H$2635='Gasto das Atividades'!B24),-('Diário 5º PA'!$F$5:$F$2635))+SUMPRODUCT(-('Diário 6º PA'!$H$5:$H$2246='Gasto das Atividades'!B24),-('Diário 6º PA'!$F$5:$F$2246)),
IF($E$5 = "8º Relatório Gerencial Financeiro",SUMPRODUCT(-('Diário 5º PA'!$H$5:$H$2635='Gasto das Atividades'!B24),-('Diário 5º PA'!$F$5:$F$2635))+SUMPRODUCT(-('Diário 6º PA'!$H$5:$H$2246='Gasto das Atividades'!B24),-('Diário 6º PA'!$F$5:$F$2246))+SUMPRODUCT(-('Diário 7º PA'!$H$5:$H$2273='Gasto das Atividades'!B24),-('Diário 7º PA'!$F$5:$F$2273))))))</f>
        <v>195875.58999999994</v>
      </c>
      <c r="E24" s="139">
        <f t="array" ref="E24">IF($E$5 = "5º Relatório Gerencial Financeiro",SUMPRODUCT(-('Diário 5º PA'!$H$5:$H$2636='Gasto das Atividades'!B24),-('Diário 5º PA'!$F$5:$F$2636)),
IF($E$5 = "6º Relatório Gerencial Financeiro",SUMPRODUCT(-('Diário 6º PA'!$H$5:$H$2248='Gasto das Atividades'!B24),-('Diário 6º PA'!$F$5:$F$2248)),
IF($E$5 = "7º Relatório Gerencial Financeiro",SUMPRODUCT(-('Diário 7º PA'!$H$5:$H$2273='Gasto das Atividades'!B24),-('Diário 7º PA'!$F$5:$F$2273)),
IF($E$5 = "8º Relatório Gerencial Financeiro",SUMPRODUCT(-('Diário 8º PA'!$H$5:$H$2490='Gasto das Atividades'!B24),-('Diário 8º PA'!$F$5:$F$2490))))))
+SUMPRODUCT(-('Comp.'!$G$5:$G$313='Gasto das Atividades'!B24),-('Comp.'!$R$5:'Comp.'!$R$313&gt;=1),('Comp.'!$E$5:$E$313))</f>
        <v>31615.86</v>
      </c>
      <c r="F24" s="137">
        <f t="shared" si="0"/>
        <v>227491.44999999995</v>
      </c>
      <c r="G24" s="2"/>
      <c r="H24" s="140">
        <f t="shared" si="1"/>
        <v>0.69212354191090275</v>
      </c>
      <c r="I24" s="2"/>
      <c r="J24" s="2"/>
      <c r="K24" s="2"/>
      <c r="L24" s="2"/>
      <c r="M24" s="2"/>
      <c r="N24" s="2"/>
      <c r="O24" s="2"/>
      <c r="P24" s="2"/>
      <c r="Q24" s="2"/>
      <c r="R24" s="2"/>
      <c r="S24" s="2"/>
      <c r="T24" s="2"/>
      <c r="U24" s="2"/>
      <c r="V24" s="2"/>
      <c r="W24" s="2"/>
      <c r="X24" s="2"/>
      <c r="Y24" s="2"/>
      <c r="Z24" s="2"/>
    </row>
    <row r="25" spans="1:26" ht="12.75" customHeight="1" x14ac:dyDescent="0.2">
      <c r="A25" s="135">
        <v>19</v>
      </c>
      <c r="B25" s="136" t="s">
        <v>133</v>
      </c>
      <c r="C25" s="137">
        <v>11369.25</v>
      </c>
      <c r="D25" s="138">
        <f t="array" ref="D25">IF($E$5 = "5º Relatório Gerencial Financeiro",0,
IF($E$5 = "6º Relatório Gerencial Financeiro",SUMPRODUCT(-('Diário 5º PA'!$H$5:$H$2635='Gasto das Atividades'!B25),-('Diário 5º PA'!$F$5:$F$2635)),
IF($E$5 = "7º Relatório Gerencial Financeiro",SUMPRODUCT(-('Diário 5º PA'!$H$5:$H$2635='Gasto das Atividades'!B25),-('Diário 5º PA'!$F$5:$F$2635))+SUMPRODUCT(-('Diário 6º PA'!$H$5:$H$2246='Gasto das Atividades'!B25),-('Diário 6º PA'!$F$5:$F$2246)),
IF($E$5 = "8º Relatório Gerencial Financeiro",SUMPRODUCT(-('Diário 5º PA'!$H$5:$H$2635='Gasto das Atividades'!B25),-('Diário 5º PA'!$F$5:$F$2635))+SUMPRODUCT(-('Diário 6º PA'!$H$5:$H$2246='Gasto das Atividades'!B25),-('Diário 6º PA'!$F$5:$F$2246))+SUMPRODUCT(-('Diário 7º PA'!$H$5:$H$2273='Gasto das Atividades'!B25),-('Diário 7º PA'!$F$5:$F$2273))))))</f>
        <v>15146.300000000003</v>
      </c>
      <c r="E25" s="139">
        <f t="array" ref="E25">IF($E$5 = "5º Relatório Gerencial Financeiro",SUMPRODUCT(-('Diário 5º PA'!$H$5:$H$2636='Gasto das Atividades'!B25),-('Diário 5º PA'!$F$5:$F$2636)),
IF($E$5 = "6º Relatório Gerencial Financeiro",SUMPRODUCT(-('Diário 6º PA'!$H$5:$H$2248='Gasto das Atividades'!B25),-('Diário 6º PA'!$F$5:$F$2248)),
IF($E$5 = "7º Relatório Gerencial Financeiro",SUMPRODUCT(-('Diário 7º PA'!$H$5:$H$2273='Gasto das Atividades'!B25),-('Diário 7º PA'!$F$5:$F$2273)),
IF($E$5 = "8º Relatório Gerencial Financeiro",SUMPRODUCT(-('Diário 8º PA'!$H$5:$H$2490='Gasto das Atividades'!B25),-('Diário 8º PA'!$F$5:$F$2490))))))
+SUMPRODUCT(-('Comp.'!$G$5:$G$313='Gasto das Atividades'!B25),-('Comp.'!$R$5:'Comp.'!$R$313&gt;=1),('Comp.'!$E$5:$E$313))</f>
        <v>500</v>
      </c>
      <c r="F25" s="137">
        <f t="shared" si="0"/>
        <v>15646.300000000003</v>
      </c>
      <c r="G25" s="2"/>
      <c r="H25" s="140">
        <f t="shared" si="1"/>
        <v>1.3761945598874159</v>
      </c>
      <c r="I25" s="2"/>
      <c r="J25" s="2"/>
      <c r="K25" s="2"/>
      <c r="L25" s="2"/>
      <c r="M25" s="2"/>
      <c r="N25" s="2"/>
      <c r="O25" s="2"/>
      <c r="P25" s="2"/>
      <c r="Q25" s="2"/>
      <c r="R25" s="2"/>
      <c r="S25" s="2"/>
      <c r="T25" s="2"/>
      <c r="U25" s="2"/>
      <c r="V25" s="2"/>
      <c r="W25" s="2"/>
      <c r="X25" s="2"/>
      <c r="Y25" s="2"/>
      <c r="Z25" s="2"/>
    </row>
    <row r="26" spans="1:26" ht="15.75" customHeight="1" x14ac:dyDescent="0.2">
      <c r="A26" s="135">
        <v>20</v>
      </c>
      <c r="B26" s="136" t="s">
        <v>104</v>
      </c>
      <c r="C26" s="137">
        <v>4900000</v>
      </c>
      <c r="D26" s="138">
        <f t="array" ref="D26">IF($E$5 = "5º Relatório Gerencial Financeiro",0,
IF($E$5 = "6º Relatório Gerencial Financeiro",SUMPRODUCT(-('Diário 5º PA'!$H$5:$H$2635='Gasto das Atividades'!B26),-('Diário 5º PA'!$F$5:$F$2635)),
IF($E$5 = "7º Relatório Gerencial Financeiro",SUMPRODUCT(-('Diário 5º PA'!$H$5:$H$2635='Gasto das Atividades'!B26),-('Diário 5º PA'!$F$5:$F$2635))+SUMPRODUCT(-('Diário 6º PA'!$H$5:$H$2246='Gasto das Atividades'!B26),-('Diário 6º PA'!$F$5:$F$2246)),
IF($E$5 = "8º Relatório Gerencial Financeiro",SUMPRODUCT(-('Diário 5º PA'!$H$5:$H$2635='Gasto das Atividades'!B26),-('Diário 5º PA'!$F$5:$F$2635))+SUMPRODUCT(-('Diário 6º PA'!$H$5:$H$2246='Gasto das Atividades'!B26),-('Diário 6º PA'!$F$5:$F$2246))+SUMPRODUCT(-('Diário 7º PA'!$H$5:$H$2273='Gasto das Atividades'!B26),-('Diário 7º PA'!$F$5:$F$2273))))))</f>
        <v>2980007.4899999988</v>
      </c>
      <c r="E26" s="139">
        <f t="array" ref="E26">IF($E$5 = "5º Relatório Gerencial Financeiro",SUMPRODUCT(-('Diário 5º PA'!$H$5:$H$2636='Gasto das Atividades'!B26),-('Diário 5º PA'!$F$5:$F$2636)),
IF($E$5 = "6º Relatório Gerencial Financeiro",SUMPRODUCT(-('Diário 6º PA'!$H$5:$H$2248='Gasto das Atividades'!B26),-('Diário 6º PA'!$F$5:$F$2248)),
IF($E$5 = "7º Relatório Gerencial Financeiro",SUMPRODUCT(-('Diário 7º PA'!$H$5:$H$2273='Gasto das Atividades'!B26),-('Diário 7º PA'!$F$5:$F$2273)),
IF($E$5 = "8º Relatório Gerencial Financeiro",SUMPRODUCT(-('Diário 8º PA'!$H$5:$H$2490='Gasto das Atividades'!B26),-('Diário 8º PA'!$F$5:$F$2490))))))
+SUMPRODUCT(-('Comp.'!$G$5:$G$313='Gasto das Atividades'!B26),-('Comp.'!$R$5:'Comp.'!$R$313&gt;=1),('Comp.'!$E$5:$E$313))</f>
        <v>1139334.9999999991</v>
      </c>
      <c r="F26" s="137">
        <f t="shared" si="0"/>
        <v>4119342.4899999979</v>
      </c>
      <c r="G26" s="2"/>
      <c r="H26" s="140">
        <f t="shared" si="1"/>
        <v>0.84068214081632608</v>
      </c>
      <c r="I26" s="2"/>
      <c r="J26" s="2"/>
      <c r="K26" s="2"/>
      <c r="L26" s="2"/>
      <c r="M26" s="2"/>
      <c r="N26" s="2"/>
      <c r="O26" s="2"/>
      <c r="P26" s="2"/>
      <c r="Q26" s="2"/>
      <c r="R26" s="2"/>
      <c r="S26" s="2"/>
      <c r="T26" s="2"/>
      <c r="U26" s="2"/>
      <c r="V26" s="2"/>
      <c r="W26" s="2"/>
      <c r="X26" s="2"/>
      <c r="Y26" s="2"/>
      <c r="Z26" s="2"/>
    </row>
    <row r="27" spans="1:26" ht="12.75" customHeight="1" x14ac:dyDescent="0.2">
      <c r="A27" s="135">
        <v>21</v>
      </c>
      <c r="B27" s="136" t="s">
        <v>134</v>
      </c>
      <c r="C27" s="137">
        <v>0</v>
      </c>
      <c r="D27" s="138">
        <f t="array" ref="D27">IF($E$5 = "5º Relatório Gerencial Financeiro",0,
IF($E$5 = "6º Relatório Gerencial Financeiro",SUMPRODUCT(-('Diário 5º PA'!$H$5:$H$2635='Gasto das Atividades'!B27),-('Diário 5º PA'!$F$5:$F$2635)),
IF($E$5 = "7º Relatório Gerencial Financeiro",SUMPRODUCT(-('Diário 5º PA'!$H$5:$H$2635='Gasto das Atividades'!B27),-('Diário 5º PA'!$F$5:$F$2635))+SUMPRODUCT(-('Diário 6º PA'!$H$5:$H$2246='Gasto das Atividades'!B27),-('Diário 6º PA'!$F$5:$F$2246)),
IF($E$5 = "8º Relatório Gerencial Financeiro",SUMPRODUCT(-('Diário 5º PA'!$H$5:$H$2635='Gasto das Atividades'!B27),-('Diário 5º PA'!$F$5:$F$2635))+SUMPRODUCT(-('Diário 6º PA'!$H$5:$H$2246='Gasto das Atividades'!B27),-('Diário 6º PA'!$F$5:$F$2246))+SUMPRODUCT(-('Diário 7º PA'!$H$5:$H$2273='Gasto das Atividades'!B27),-('Diário 7º PA'!$F$5:$F$2273))))))</f>
        <v>924.07999999999993</v>
      </c>
      <c r="E27" s="139">
        <f t="array" ref="E27">IF($E$5 = "5º Relatório Gerencial Financeiro",SUMPRODUCT(-('Diário 5º PA'!$H$5:$H$2636='Gasto das Atividades'!B27),-('Diário 5º PA'!$F$5:$F$2636)),
IF($E$5 = "6º Relatório Gerencial Financeiro",SUMPRODUCT(-('Diário 6º PA'!$H$5:$H$2248='Gasto das Atividades'!B27),-('Diário 6º PA'!$F$5:$F$2248)),
IF($E$5 = "7º Relatório Gerencial Financeiro",SUMPRODUCT(-('Diário 7º PA'!$H$5:$H$2273='Gasto das Atividades'!B27),-('Diário 7º PA'!$F$5:$F$2273)),
IF($E$5 = "8º Relatório Gerencial Financeiro",SUMPRODUCT(-('Diário 8º PA'!$H$5:$H$2490='Gasto das Atividades'!B27),-('Diário 8º PA'!$F$5:$F$2490))))))
+SUMPRODUCT(-('Comp.'!$G$5:$G$313='Gasto das Atividades'!B27),-('Comp.'!$R$5:'Comp.'!$R$313&gt;=1),('Comp.'!$E$5:$E$313))</f>
        <v>0</v>
      </c>
      <c r="F27" s="137">
        <f t="shared" si="0"/>
        <v>924.07999999999993</v>
      </c>
      <c r="G27" s="2"/>
      <c r="H27" s="140" t="str">
        <f t="shared" si="1"/>
        <v>-</v>
      </c>
      <c r="I27" s="2"/>
      <c r="J27" s="2"/>
      <c r="K27" s="2"/>
      <c r="L27" s="2"/>
      <c r="M27" s="2"/>
      <c r="N27" s="2"/>
      <c r="O27" s="2"/>
      <c r="P27" s="2"/>
      <c r="Q27" s="2"/>
      <c r="R27" s="2"/>
      <c r="S27" s="2"/>
      <c r="T27" s="2"/>
      <c r="U27" s="2"/>
      <c r="V27" s="2"/>
      <c r="W27" s="2"/>
      <c r="X27" s="2"/>
      <c r="Y27" s="2"/>
      <c r="Z27" s="2"/>
    </row>
    <row r="28" spans="1:26" ht="29.25" customHeight="1" x14ac:dyDescent="0.2">
      <c r="A28" s="135">
        <v>22</v>
      </c>
      <c r="B28" s="136" t="s">
        <v>135</v>
      </c>
      <c r="C28" s="137">
        <v>0</v>
      </c>
      <c r="D28" s="138">
        <f t="array" ref="D28">IF($E$5 = "5º Relatório Gerencial Financeiro",0,
IF($E$5 = "6º Relatório Gerencial Financeiro",SUMPRODUCT(-('Diário 5º PA'!$H$5:$H$2635='Gasto das Atividades'!B28),-('Diário 5º PA'!$F$5:$F$2635)),
IF($E$5 = "7º Relatório Gerencial Financeiro",SUMPRODUCT(-('Diário 5º PA'!$H$5:$H$2635='Gasto das Atividades'!B28),-('Diário 5º PA'!$F$5:$F$2635))+SUMPRODUCT(-('Diário 6º PA'!$H$5:$H$2246='Gasto das Atividades'!B28),-('Diário 6º PA'!$F$5:$F$2246)),
IF($E$5 = "8º Relatório Gerencial Financeiro",SUMPRODUCT(-('Diário 5º PA'!$H$5:$H$2635='Gasto das Atividades'!B28),-('Diário 5º PA'!$F$5:$F$2635))+SUMPRODUCT(-('Diário 6º PA'!$H$5:$H$2246='Gasto das Atividades'!B28),-('Diário 6º PA'!$F$5:$F$2246))+SUMPRODUCT(-('Diário 7º PA'!$H$5:$H$2273='Gasto das Atividades'!B28),-('Diário 7º PA'!$F$5:$F$2273))))))</f>
        <v>0</v>
      </c>
      <c r="E28" s="139">
        <f t="array" ref="E28">IF($E$5 = "5º Relatório Gerencial Financeiro",SUMPRODUCT(-('Diário 5º PA'!$H$5:$H$2636='Gasto das Atividades'!B28),-('Diário 5º PA'!$F$5:$F$2636)),
IF($E$5 = "6º Relatório Gerencial Financeiro",SUMPRODUCT(-('Diário 6º PA'!$H$5:$H$2248='Gasto das Atividades'!B28),-('Diário 6º PA'!$F$5:$F$2248)),
IF($E$5 = "7º Relatório Gerencial Financeiro",SUMPRODUCT(-('Diário 7º PA'!$H$5:$H$2273='Gasto das Atividades'!B28),-('Diário 7º PA'!$F$5:$F$2273)),
IF($E$5 = "8º Relatório Gerencial Financeiro",SUMPRODUCT(-('Diário 8º PA'!$H$5:$H$2490='Gasto das Atividades'!B28),-('Diário 8º PA'!$F$5:$F$2490))))))
+SUMPRODUCT(-('Comp.'!$G$5:$G$313='Gasto das Atividades'!B28),-('Comp.'!$R$5:'Comp.'!$R$313&gt;=1),('Comp.'!$E$5:$E$313))</f>
        <v>1220.9000000000001</v>
      </c>
      <c r="F28" s="137">
        <f t="shared" si="0"/>
        <v>1220.9000000000001</v>
      </c>
      <c r="G28" s="2"/>
      <c r="H28" s="140" t="str">
        <f t="shared" si="1"/>
        <v>-</v>
      </c>
      <c r="I28" s="2"/>
      <c r="J28" s="2"/>
      <c r="K28" s="2"/>
      <c r="L28" s="2"/>
      <c r="M28" s="2"/>
      <c r="N28" s="2"/>
      <c r="O28" s="2"/>
      <c r="P28" s="2"/>
      <c r="Q28" s="2"/>
      <c r="R28" s="2"/>
      <c r="S28" s="2"/>
      <c r="T28" s="2"/>
      <c r="U28" s="2"/>
      <c r="V28" s="2"/>
      <c r="W28" s="2"/>
      <c r="X28" s="2"/>
      <c r="Y28" s="2"/>
      <c r="Z28" s="2"/>
    </row>
    <row r="29" spans="1:26" ht="12.75" hidden="1" customHeight="1" x14ac:dyDescent="0.2">
      <c r="A29" s="135">
        <v>23</v>
      </c>
      <c r="B29" s="136"/>
      <c r="C29" s="137">
        <v>0</v>
      </c>
      <c r="D29" s="138">
        <f t="array" ref="D29">IF($E$5 = "5º Relatório Gerencial Financeiro",0,
IF($E$5 = "6º Relatório Gerencial Financeiro",SUMPRODUCT(-('Diário 5º PA'!$H$5:$H$2635='Gasto das Atividades'!B29),-('Diário 5º PA'!$F$5:$F$2635)),
IF($E$5 = "7º Relatório Gerencial Financeiro",SUMPRODUCT(-('Diário 5º PA'!$H$5:$H$2635='Gasto das Atividades'!B29),-('Diário 5º PA'!$F$5:$F$2635))+SUMPRODUCT(-('Diário 6º PA'!$H$5:$H$2246='Gasto das Atividades'!B29),-('Diário 6º PA'!$F$5:$F$2246)),
IF($E$5 = "8º Relatório Gerencial Financeiro",SUMPRODUCT(-('Diário 5º PA'!$H$5:$H$2635='Gasto das Atividades'!B29),-('Diário 5º PA'!$F$5:$F$2635))+SUMPRODUCT(-('Diário 6º PA'!$H$5:$H$2246='Gasto das Atividades'!B29),-('Diário 6º PA'!$F$5:$F$2246))+SUMPRODUCT(-('Diário 7º PA'!$H$5:$H$2273='Gasto das Atividades'!B29),-('Diário 7º PA'!$F$5:$F$2273))))))</f>
        <v>0</v>
      </c>
      <c r="E29" s="139">
        <f t="array" ref="E29">IF($E$5 = "5º Relatório Gerencial Financeiro",SUMPRODUCT(-('Diário 5º PA'!$H$5:$H$2636='Gasto das Atividades'!B29),-('Diário 5º PA'!$F$5:$F$2636)),
IF($E$5 = "6º Relatório Gerencial Financeiro",SUMPRODUCT(-('Diário 6º PA'!$H$5:$H$2248='Gasto das Atividades'!B29),-('Diário 6º PA'!$F$5:$F$2248)),
IF($E$5 = "7º Relatório Gerencial Financeiro",SUMPRODUCT(-('Diário 7º PA'!$H$5:$H$2273='Gasto das Atividades'!B29),-('Diário 7º PA'!$F$5:$F$2273)),
IF($E$5 = "8º Relatório Gerencial Financeiro",SUMPRODUCT(-('Diário 8º PA'!$H$5:$H$2490='Gasto das Atividades'!B29),-('Diário 8º PA'!$F$5:$F$2490))))))
+SUMPRODUCT(-('Comp.'!$G$5:$G$313='Gasto das Atividades'!B29),-('Comp.'!$R$5:'Comp.'!$R$313&gt;=1),('Comp.'!$E$5:$E$313))</f>
        <v>0</v>
      </c>
      <c r="F29" s="137">
        <f t="shared" si="0"/>
        <v>0</v>
      </c>
      <c r="G29" s="2"/>
      <c r="H29" s="140" t="str">
        <f t="shared" si="1"/>
        <v>-</v>
      </c>
      <c r="I29" s="2"/>
      <c r="J29" s="2"/>
      <c r="K29" s="2"/>
      <c r="L29" s="2"/>
      <c r="M29" s="2"/>
      <c r="N29" s="2"/>
      <c r="O29" s="2"/>
      <c r="P29" s="2"/>
      <c r="Q29" s="2"/>
      <c r="R29" s="2"/>
      <c r="S29" s="2"/>
      <c r="T29" s="2"/>
      <c r="U29" s="2"/>
      <c r="V29" s="2"/>
      <c r="W29" s="2"/>
      <c r="X29" s="2"/>
      <c r="Y29" s="2"/>
      <c r="Z29" s="2"/>
    </row>
    <row r="30" spans="1:26" ht="12.75" hidden="1" customHeight="1" x14ac:dyDescent="0.2">
      <c r="A30" s="135">
        <v>24</v>
      </c>
      <c r="B30" s="136"/>
      <c r="C30" s="137">
        <v>0</v>
      </c>
      <c r="D30" s="138">
        <f t="array" ref="D30">IF($E$5 = "5º Relatório Gerencial Financeiro",0,
IF($E$5 = "6º Relatório Gerencial Financeiro",SUMPRODUCT(-('Diário 5º PA'!$H$5:$H$2635='Gasto das Atividades'!B30),-('Diário 5º PA'!$F$5:$F$2635)),
IF($E$5 = "7º Relatório Gerencial Financeiro",SUMPRODUCT(-('Diário 5º PA'!$H$5:$H$2635='Gasto das Atividades'!B30),-('Diário 5º PA'!$F$5:$F$2635))+SUMPRODUCT(-('Diário 6º PA'!$H$5:$H$2246='Gasto das Atividades'!B30),-('Diário 6º PA'!$F$5:$F$2246)),
IF($E$5 = "8º Relatório Gerencial Financeiro",SUMPRODUCT(-('Diário 5º PA'!$H$5:$H$2635='Gasto das Atividades'!B30),-('Diário 5º PA'!$F$5:$F$2635))+SUMPRODUCT(-('Diário 6º PA'!$H$5:$H$2246='Gasto das Atividades'!B30),-('Diário 6º PA'!$F$5:$F$2246))+SUMPRODUCT(-('Diário 7º PA'!$H$5:$H$2273='Gasto das Atividades'!B30),-('Diário 7º PA'!$F$5:$F$2273))))))</f>
        <v>0</v>
      </c>
      <c r="E30" s="139">
        <f t="array" ref="E30">IF($E$5 = "5º Relatório Gerencial Financeiro",SUMPRODUCT(-('Diário 5º PA'!$H$5:$H$2636='Gasto das Atividades'!B30),-('Diário 5º PA'!$F$5:$F$2636)),
IF($E$5 = "6º Relatório Gerencial Financeiro",SUMPRODUCT(-('Diário 6º PA'!$H$5:$H$2248='Gasto das Atividades'!B30),-('Diário 6º PA'!$F$5:$F$2248)),
IF($E$5 = "7º Relatório Gerencial Financeiro",SUMPRODUCT(-('Diário 7º PA'!$H$5:$H$2273='Gasto das Atividades'!B30),-('Diário 7º PA'!$F$5:$F$2273)),
IF($E$5 = "8º Relatório Gerencial Financeiro",SUMPRODUCT(-('Diário 8º PA'!$H$5:$H$2490='Gasto das Atividades'!B30),-('Diário 8º PA'!$F$5:$F$2490))))))
+SUMPRODUCT(-('Comp.'!$G$5:$G$313='Gasto das Atividades'!B30),-('Comp.'!$R$5:'Comp.'!$R$313&gt;=1),('Comp.'!$E$5:$E$313))</f>
        <v>0</v>
      </c>
      <c r="F30" s="137">
        <f t="shared" si="0"/>
        <v>0</v>
      </c>
      <c r="G30" s="2"/>
      <c r="H30" s="140" t="str">
        <f t="shared" si="1"/>
        <v>-</v>
      </c>
      <c r="I30" s="2"/>
      <c r="J30" s="2"/>
      <c r="K30" s="2"/>
      <c r="L30" s="2"/>
      <c r="M30" s="2"/>
      <c r="N30" s="2"/>
      <c r="O30" s="2"/>
      <c r="P30" s="2"/>
      <c r="Q30" s="2"/>
      <c r="R30" s="2"/>
      <c r="S30" s="2"/>
      <c r="T30" s="2"/>
      <c r="U30" s="2"/>
      <c r="V30" s="2"/>
      <c r="W30" s="2"/>
      <c r="X30" s="2"/>
      <c r="Y30" s="2"/>
      <c r="Z30" s="2"/>
    </row>
    <row r="31" spans="1:26" ht="12.75" hidden="1" customHeight="1" x14ac:dyDescent="0.2">
      <c r="A31" s="135">
        <v>25</v>
      </c>
      <c r="B31" s="136"/>
      <c r="C31" s="137">
        <v>0</v>
      </c>
      <c r="D31" s="138">
        <f t="array" ref="D31">IF($E$5 = "5º Relatório Gerencial Financeiro",0,
IF($E$5 = "6º Relatório Gerencial Financeiro",SUMPRODUCT(-('Diário 5º PA'!$H$5:$H$2635='Gasto das Atividades'!B31),-('Diário 5º PA'!$F$5:$F$2635)),
IF($E$5 = "7º Relatório Gerencial Financeiro",SUMPRODUCT(-('Diário 5º PA'!$H$5:$H$2635='Gasto das Atividades'!B31),-('Diário 5º PA'!$F$5:$F$2635))+SUMPRODUCT(-('Diário 6º PA'!$H$5:$H$2246='Gasto das Atividades'!B31),-('Diário 6º PA'!$F$5:$F$2246)),
IF($E$5 = "8º Relatório Gerencial Financeiro",SUMPRODUCT(-('Diário 5º PA'!$H$5:$H$2635='Gasto das Atividades'!B31),-('Diário 5º PA'!$F$5:$F$2635))+SUMPRODUCT(-('Diário 6º PA'!$H$5:$H$2246='Gasto das Atividades'!B31),-('Diário 6º PA'!$F$5:$F$2246))+SUMPRODUCT(-('Diário 7º PA'!$H$5:$H$2273='Gasto das Atividades'!B31),-('Diário 7º PA'!$F$5:$F$2273))))))</f>
        <v>0</v>
      </c>
      <c r="E31" s="139">
        <f t="array" ref="E31">IF($E$5 = "5º Relatório Gerencial Financeiro",SUMPRODUCT(-('Diário 5º PA'!$H$5:$H$2636='Gasto das Atividades'!B31),-('Diário 5º PA'!$F$5:$F$2636)),
IF($E$5 = "6º Relatório Gerencial Financeiro",SUMPRODUCT(-('Diário 6º PA'!$H$5:$H$2248='Gasto das Atividades'!B31),-('Diário 6º PA'!$F$5:$F$2248)),
IF($E$5 = "7º Relatório Gerencial Financeiro",SUMPRODUCT(-('Diário 7º PA'!$H$5:$H$2273='Gasto das Atividades'!B31),-('Diário 7º PA'!$F$5:$F$2273)),
IF($E$5 = "8º Relatório Gerencial Financeiro",SUMPRODUCT(-('Diário 8º PA'!$H$5:$H$2490='Gasto das Atividades'!B31),-('Diário 8º PA'!$F$5:$F$2490))))))
+SUMPRODUCT(-('Comp.'!$G$5:$G$313='Gasto das Atividades'!B31),-('Comp.'!$R$5:'Comp.'!$R$313&gt;=1),('Comp.'!$E$5:$E$313))</f>
        <v>0</v>
      </c>
      <c r="F31" s="137">
        <f t="shared" si="0"/>
        <v>0</v>
      </c>
      <c r="G31" s="2"/>
      <c r="H31" s="140" t="str">
        <f t="shared" si="1"/>
        <v>-</v>
      </c>
      <c r="I31" s="2"/>
      <c r="J31" s="2"/>
      <c r="K31" s="2"/>
      <c r="L31" s="2"/>
      <c r="M31" s="2"/>
      <c r="N31" s="2"/>
      <c r="O31" s="2"/>
      <c r="P31" s="2"/>
      <c r="Q31" s="2"/>
      <c r="R31" s="2"/>
      <c r="S31" s="2"/>
      <c r="T31" s="2"/>
      <c r="U31" s="2"/>
      <c r="V31" s="2"/>
      <c r="W31" s="2"/>
      <c r="X31" s="2"/>
      <c r="Y31" s="2"/>
      <c r="Z31" s="2"/>
    </row>
    <row r="32" spans="1:26" ht="12.75" hidden="1" customHeight="1" x14ac:dyDescent="0.2">
      <c r="A32" s="135">
        <v>26</v>
      </c>
      <c r="B32" s="136"/>
      <c r="C32" s="137">
        <v>0</v>
      </c>
      <c r="D32" s="138">
        <f t="array" ref="D32">IF($E$5 = "5º Relatório Gerencial Financeiro",0,
IF($E$5 = "6º Relatório Gerencial Financeiro",SUMPRODUCT(-('Diário 5º PA'!$H$5:$H$2635='Gasto das Atividades'!B32),-('Diário 5º PA'!$F$5:$F$2635)),
IF($E$5 = "7º Relatório Gerencial Financeiro",SUMPRODUCT(-('Diário 5º PA'!$H$5:$H$2635='Gasto das Atividades'!B32),-('Diário 5º PA'!$F$5:$F$2635))+SUMPRODUCT(-('Diário 6º PA'!$H$5:$H$2246='Gasto das Atividades'!B32),-('Diário 6º PA'!$F$5:$F$2246)),
IF($E$5 = "8º Relatório Gerencial Financeiro",SUMPRODUCT(-('Diário 5º PA'!$H$5:$H$2635='Gasto das Atividades'!B32),-('Diário 5º PA'!$F$5:$F$2635))+SUMPRODUCT(-('Diário 6º PA'!$H$5:$H$2246='Gasto das Atividades'!B32),-('Diário 6º PA'!$F$5:$F$2246))+SUMPRODUCT(-('Diário 7º PA'!$H$5:$H$2273='Gasto das Atividades'!B32),-('Diário 7º PA'!$F$5:$F$2273))))))</f>
        <v>0</v>
      </c>
      <c r="E32" s="139">
        <f t="array" ref="E32">IF($E$5 = "5º Relatório Gerencial Financeiro",SUMPRODUCT(-('Diário 5º PA'!$H$5:$H$2636='Gasto das Atividades'!B32),-('Diário 5º PA'!$F$5:$F$2636)),
IF($E$5 = "6º Relatório Gerencial Financeiro",SUMPRODUCT(-('Diário 6º PA'!$H$5:$H$2248='Gasto das Atividades'!B32),-('Diário 6º PA'!$F$5:$F$2248)),
IF($E$5 = "7º Relatório Gerencial Financeiro",SUMPRODUCT(-('Diário 7º PA'!$H$5:$H$2273='Gasto das Atividades'!B32),-('Diário 7º PA'!$F$5:$F$2273)),
IF($E$5 = "8º Relatório Gerencial Financeiro",SUMPRODUCT(-('Diário 8º PA'!$H$5:$H$2490='Gasto das Atividades'!B32),-('Diário 8º PA'!$F$5:$F$2490))))))
+SUMPRODUCT(-('Comp.'!$G$5:$G$313='Gasto das Atividades'!B32),-('Comp.'!$R$5:'Comp.'!$R$313&gt;=1),('Comp.'!$E$5:$E$313))</f>
        <v>0</v>
      </c>
      <c r="F32" s="137">
        <f t="shared" si="0"/>
        <v>0</v>
      </c>
      <c r="G32" s="2"/>
      <c r="H32" s="140" t="str">
        <f t="shared" si="1"/>
        <v>-</v>
      </c>
      <c r="I32" s="2"/>
      <c r="J32" s="2"/>
      <c r="K32" s="2"/>
      <c r="L32" s="2"/>
      <c r="M32" s="2"/>
      <c r="N32" s="2"/>
      <c r="O32" s="2"/>
      <c r="P32" s="2"/>
      <c r="Q32" s="2"/>
      <c r="R32" s="2"/>
      <c r="S32" s="2"/>
      <c r="T32" s="2"/>
      <c r="U32" s="2"/>
      <c r="V32" s="2"/>
      <c r="W32" s="2"/>
      <c r="X32" s="2"/>
      <c r="Y32" s="2"/>
      <c r="Z32" s="2"/>
    </row>
    <row r="33" spans="1:26" ht="12.75" hidden="1" customHeight="1" x14ac:dyDescent="0.2">
      <c r="A33" s="135">
        <v>27</v>
      </c>
      <c r="B33" s="136"/>
      <c r="C33" s="137">
        <v>0</v>
      </c>
      <c r="D33" s="138">
        <f t="array" ref="D33">IF($E$5 = "5º Relatório Gerencial Financeiro",0,
IF($E$5 = "6º Relatório Gerencial Financeiro",SUMPRODUCT(-('Diário 5º PA'!$H$5:$H$2635='Gasto das Atividades'!B33),-('Diário 5º PA'!$F$5:$F$2635)),
IF($E$5 = "7º Relatório Gerencial Financeiro",SUMPRODUCT(-('Diário 5º PA'!$H$5:$H$2635='Gasto das Atividades'!B33),-('Diário 5º PA'!$F$5:$F$2635))+SUMPRODUCT(-('Diário 6º PA'!$H$5:$H$2246='Gasto das Atividades'!B33),-('Diário 6º PA'!$F$5:$F$2246)),
IF($E$5 = "8º Relatório Gerencial Financeiro",SUMPRODUCT(-('Diário 5º PA'!$H$5:$H$2635='Gasto das Atividades'!B33),-('Diário 5º PA'!$F$5:$F$2635))+SUMPRODUCT(-('Diário 6º PA'!$H$5:$H$2246='Gasto das Atividades'!B33),-('Diário 6º PA'!$F$5:$F$2246))+SUMPRODUCT(-('Diário 7º PA'!$H$5:$H$2273='Gasto das Atividades'!B33),-('Diário 7º PA'!$F$5:$F$2273))))))</f>
        <v>0</v>
      </c>
      <c r="E33" s="139">
        <f t="array" ref="E33">IF($E$5 = "5º Relatório Gerencial Financeiro",SUMPRODUCT(-('Diário 5º PA'!$H$5:$H$2636='Gasto das Atividades'!B33),-('Diário 5º PA'!$F$5:$F$2636)),
IF($E$5 = "6º Relatório Gerencial Financeiro",SUMPRODUCT(-('Diário 6º PA'!$H$5:$H$2248='Gasto das Atividades'!B33),-('Diário 6º PA'!$F$5:$F$2248)),
IF($E$5 = "7º Relatório Gerencial Financeiro",SUMPRODUCT(-('Diário 7º PA'!$H$5:$H$2273='Gasto das Atividades'!B33),-('Diário 7º PA'!$F$5:$F$2273)),
IF($E$5 = "8º Relatório Gerencial Financeiro",SUMPRODUCT(-('Diário 8º PA'!$H$5:$H$2490='Gasto das Atividades'!B33),-('Diário 8º PA'!$F$5:$F$2490))))))
+SUMPRODUCT(-('Comp.'!$G$5:$G$313='Gasto das Atividades'!B33),-('Comp.'!$R$5:'Comp.'!$R$313&gt;=1),('Comp.'!$E$5:$E$313))</f>
        <v>0</v>
      </c>
      <c r="F33" s="137">
        <f t="shared" si="0"/>
        <v>0</v>
      </c>
      <c r="G33" s="2"/>
      <c r="H33" s="140" t="str">
        <f t="shared" si="1"/>
        <v>-</v>
      </c>
      <c r="I33" s="2"/>
      <c r="J33" s="2"/>
      <c r="K33" s="2"/>
      <c r="L33" s="2"/>
      <c r="M33" s="2"/>
      <c r="N33" s="2"/>
      <c r="O33" s="2"/>
      <c r="P33" s="2"/>
      <c r="Q33" s="2"/>
      <c r="R33" s="2"/>
      <c r="S33" s="2"/>
      <c r="T33" s="2"/>
      <c r="U33" s="2"/>
      <c r="V33" s="2"/>
      <c r="W33" s="2"/>
      <c r="X33" s="2"/>
      <c r="Y33" s="2"/>
      <c r="Z33" s="2"/>
    </row>
    <row r="34" spans="1:26" ht="12.75" hidden="1" customHeight="1" x14ac:dyDescent="0.2">
      <c r="A34" s="135">
        <v>28</v>
      </c>
      <c r="B34" s="136"/>
      <c r="C34" s="137">
        <v>0</v>
      </c>
      <c r="D34" s="138">
        <f t="array" ref="D34">IF($E$5 = "5º Relatório Gerencial Financeiro",0,
IF($E$5 = "6º Relatório Gerencial Financeiro",SUMPRODUCT(-('Diário 5º PA'!$H$5:$H$2635='Gasto das Atividades'!B34),-('Diário 5º PA'!$F$5:$F$2635)),
IF($E$5 = "7º Relatório Gerencial Financeiro",SUMPRODUCT(-('Diário 5º PA'!$H$5:$H$2635='Gasto das Atividades'!B34),-('Diário 5º PA'!$F$5:$F$2635))+SUMPRODUCT(-('Diário 6º PA'!$H$5:$H$2246='Gasto das Atividades'!B34),-('Diário 6º PA'!$F$5:$F$2246)),
IF($E$5 = "8º Relatório Gerencial Financeiro",SUMPRODUCT(-('Diário 5º PA'!$H$5:$H$2635='Gasto das Atividades'!B34),-('Diário 5º PA'!$F$5:$F$2635))+SUMPRODUCT(-('Diário 6º PA'!$H$5:$H$2246='Gasto das Atividades'!B34),-('Diário 6º PA'!$F$5:$F$2246))+SUMPRODUCT(-('Diário 7º PA'!$H$5:$H$2273='Gasto das Atividades'!B34),-('Diário 7º PA'!$F$5:$F$2273))))))</f>
        <v>0</v>
      </c>
      <c r="E34" s="139">
        <f t="array" ref="E34">IF($E$5 = "5º Relatório Gerencial Financeiro",SUMPRODUCT(-('Diário 5º PA'!$H$5:$H$2636='Gasto das Atividades'!B34),-('Diário 5º PA'!$F$5:$F$2636)),
IF($E$5 = "6º Relatório Gerencial Financeiro",SUMPRODUCT(-('Diário 6º PA'!$H$5:$H$2248='Gasto das Atividades'!B34),-('Diário 6º PA'!$F$5:$F$2248)),
IF($E$5 = "7º Relatório Gerencial Financeiro",SUMPRODUCT(-('Diário 7º PA'!$H$5:$H$2273='Gasto das Atividades'!B34),-('Diário 7º PA'!$F$5:$F$2273)),
IF($E$5 = "8º Relatório Gerencial Financeiro",SUMPRODUCT(-('Diário 8º PA'!$H$5:$H$2490='Gasto das Atividades'!B34),-('Diário 8º PA'!$F$5:$F$2490))))))
+SUMPRODUCT(-('Comp.'!$G$5:$G$313='Gasto das Atividades'!B34),-('Comp.'!$R$5:'Comp.'!$R$313&gt;=1),('Comp.'!$E$5:$E$313))</f>
        <v>0</v>
      </c>
      <c r="F34" s="137">
        <f t="shared" si="0"/>
        <v>0</v>
      </c>
      <c r="G34" s="2"/>
      <c r="H34" s="140" t="str">
        <f t="shared" si="1"/>
        <v>-</v>
      </c>
      <c r="I34" s="2"/>
      <c r="J34" s="2"/>
      <c r="K34" s="2"/>
      <c r="L34" s="2"/>
      <c r="M34" s="2"/>
      <c r="N34" s="2"/>
      <c r="O34" s="2"/>
      <c r="P34" s="2"/>
      <c r="Q34" s="2"/>
      <c r="R34" s="2"/>
      <c r="S34" s="2"/>
      <c r="T34" s="2"/>
      <c r="U34" s="2"/>
      <c r="V34" s="2"/>
      <c r="W34" s="2"/>
      <c r="X34" s="2"/>
      <c r="Y34" s="2"/>
      <c r="Z34" s="2"/>
    </row>
    <row r="35" spans="1:26" ht="12.75" hidden="1" customHeight="1" x14ac:dyDescent="0.2">
      <c r="A35" s="135">
        <v>29</v>
      </c>
      <c r="B35" s="136"/>
      <c r="C35" s="137">
        <v>0</v>
      </c>
      <c r="D35" s="138">
        <f t="array" ref="D35">IF($E$5 = "5º Relatório Gerencial Financeiro",0,
IF($E$5 = "6º Relatório Gerencial Financeiro",SUMPRODUCT(-('Diário 5º PA'!$H$5:$H$2635='Gasto das Atividades'!B35),-('Diário 5º PA'!$F$5:$F$2635)),
IF($E$5 = "7º Relatório Gerencial Financeiro",SUMPRODUCT(-('Diário 5º PA'!$H$5:$H$2635='Gasto das Atividades'!B35),-('Diário 5º PA'!$F$5:$F$2635))+SUMPRODUCT(-('Diário 6º PA'!$H$5:$H$2246='Gasto das Atividades'!B35),-('Diário 6º PA'!$F$5:$F$2246)),
IF($E$5 = "8º Relatório Gerencial Financeiro",SUMPRODUCT(-('Diário 5º PA'!$H$5:$H$2635='Gasto das Atividades'!B35),-('Diário 5º PA'!$F$5:$F$2635))+SUMPRODUCT(-('Diário 6º PA'!$H$5:$H$2246='Gasto das Atividades'!B35),-('Diário 6º PA'!$F$5:$F$2246))+SUMPRODUCT(-('Diário 7º PA'!$H$5:$H$2273='Gasto das Atividades'!B35),-('Diário 7º PA'!$F$5:$F$2273))))))</f>
        <v>0</v>
      </c>
      <c r="E35" s="139">
        <f t="array" ref="E35">IF($E$5 = "5º Relatório Gerencial Financeiro",SUMPRODUCT(-('Diário 5º PA'!$H$5:$H$2636='Gasto das Atividades'!B35),-('Diário 5º PA'!$F$5:$F$2636)),
IF($E$5 = "6º Relatório Gerencial Financeiro",SUMPRODUCT(-('Diário 6º PA'!$H$5:$H$2248='Gasto das Atividades'!B35),-('Diário 6º PA'!$F$5:$F$2248)),
IF($E$5 = "7º Relatório Gerencial Financeiro",SUMPRODUCT(-('Diário 7º PA'!$H$5:$H$2273='Gasto das Atividades'!B35),-('Diário 7º PA'!$F$5:$F$2273)),
IF($E$5 = "8º Relatório Gerencial Financeiro",SUMPRODUCT(-('Diário 8º PA'!$H$5:$H$2490='Gasto das Atividades'!B35),-('Diário 8º PA'!$F$5:$F$2490))))))
+SUMPRODUCT(-('Comp.'!$G$5:$G$313='Gasto das Atividades'!B35),-('Comp.'!$R$5:'Comp.'!$R$313&gt;=1),('Comp.'!$E$5:$E$313))</f>
        <v>0</v>
      </c>
      <c r="F35" s="137">
        <f t="shared" si="0"/>
        <v>0</v>
      </c>
      <c r="G35" s="2"/>
      <c r="H35" s="140" t="str">
        <f t="shared" si="1"/>
        <v>-</v>
      </c>
      <c r="I35" s="2"/>
      <c r="J35" s="2"/>
      <c r="K35" s="2"/>
      <c r="L35" s="2"/>
      <c r="M35" s="2"/>
      <c r="N35" s="2"/>
      <c r="O35" s="2"/>
      <c r="P35" s="2"/>
      <c r="Q35" s="2"/>
      <c r="R35" s="2"/>
      <c r="S35" s="2"/>
      <c r="T35" s="2"/>
      <c r="U35" s="2"/>
      <c r="V35" s="2"/>
      <c r="W35" s="2"/>
      <c r="X35" s="2"/>
      <c r="Y35" s="2"/>
      <c r="Z35" s="2"/>
    </row>
    <row r="36" spans="1:26" ht="12.75" hidden="1" customHeight="1" x14ac:dyDescent="0.2">
      <c r="A36" s="135">
        <v>30</v>
      </c>
      <c r="B36" s="136"/>
      <c r="C36" s="137">
        <v>0</v>
      </c>
      <c r="D36" s="138">
        <f t="array" ref="D36">IF($E$5 = "5º Relatório Gerencial Financeiro",0,
IF($E$5 = "6º Relatório Gerencial Financeiro",SUMPRODUCT(-('Diário 5º PA'!$H$5:$H$2635='Gasto das Atividades'!B36),-('Diário 5º PA'!$F$5:$F$2635)),
IF($E$5 = "7º Relatório Gerencial Financeiro",SUMPRODUCT(-('Diário 5º PA'!$H$5:$H$2635='Gasto das Atividades'!B36),-('Diário 5º PA'!$F$5:$F$2635))+SUMPRODUCT(-('Diário 6º PA'!$H$5:$H$2246='Gasto das Atividades'!B36),-('Diário 6º PA'!$F$5:$F$2246)),
IF($E$5 = "8º Relatório Gerencial Financeiro",SUMPRODUCT(-('Diário 5º PA'!$H$5:$H$2635='Gasto das Atividades'!B36),-('Diário 5º PA'!$F$5:$F$2635))+SUMPRODUCT(-('Diário 6º PA'!$H$5:$H$2246='Gasto das Atividades'!B36),-('Diário 6º PA'!$F$5:$F$2246))+SUMPRODUCT(-('Diário 7º PA'!$H$5:$H$2273='Gasto das Atividades'!B36),-('Diário 7º PA'!$F$5:$F$2273))))))</f>
        <v>0</v>
      </c>
      <c r="E36" s="139">
        <f t="array" ref="E36">IF($E$5 = "5º Relatório Gerencial Financeiro",SUMPRODUCT(-('Diário 5º PA'!$H$5:$H$2636='Gasto das Atividades'!B36),-('Diário 5º PA'!$F$5:$F$2636)),
IF($E$5 = "6º Relatório Gerencial Financeiro",SUMPRODUCT(-('Diário 6º PA'!$H$5:$H$2248='Gasto das Atividades'!B36),-('Diário 6º PA'!$F$5:$F$2248)),
IF($E$5 = "7º Relatório Gerencial Financeiro",SUMPRODUCT(-('Diário 7º PA'!$H$5:$H$2273='Gasto das Atividades'!B36),-('Diário 7º PA'!$F$5:$F$2273)),
IF($E$5 = "8º Relatório Gerencial Financeiro",SUMPRODUCT(-('Diário 8º PA'!$H$5:$H$2490='Gasto das Atividades'!B36),-('Diário 8º PA'!$F$5:$F$2490))))))
+SUMPRODUCT(-('Comp.'!$G$5:$G$313='Gasto das Atividades'!B36),-('Comp.'!$R$5:'Comp.'!$R$313&gt;=1),('Comp.'!$E$5:$E$313))</f>
        <v>0</v>
      </c>
      <c r="F36" s="137">
        <f t="shared" si="0"/>
        <v>0</v>
      </c>
      <c r="G36" s="2"/>
      <c r="H36" s="140" t="str">
        <f t="shared" si="1"/>
        <v>-</v>
      </c>
      <c r="I36" s="2"/>
      <c r="J36" s="2"/>
      <c r="K36" s="2"/>
      <c r="L36" s="2"/>
      <c r="M36" s="2"/>
      <c r="N36" s="2"/>
      <c r="O36" s="2"/>
      <c r="P36" s="2"/>
      <c r="Q36" s="2"/>
      <c r="R36" s="2"/>
      <c r="S36" s="2"/>
      <c r="T36" s="2"/>
      <c r="U36" s="2"/>
      <c r="V36" s="2"/>
      <c r="W36" s="2"/>
      <c r="X36" s="2"/>
      <c r="Y36" s="2"/>
      <c r="Z36" s="2"/>
    </row>
    <row r="37" spans="1:26" ht="13.5" hidden="1" customHeight="1" x14ac:dyDescent="0.2">
      <c r="A37" s="142">
        <v>31</v>
      </c>
      <c r="B37" s="136"/>
      <c r="C37" s="143">
        <v>0</v>
      </c>
      <c r="D37" s="138">
        <f t="array" ref="D37">IF($E$5 = "5º Relatório Gerencial Financeiro",0,
IF($E$5 = "6º Relatório Gerencial Financeiro",SUMPRODUCT(-('Diário 5º PA'!$H$5:$H$2635='Gasto das Atividades'!B37),-('Diário 5º PA'!$F$5:$F$2635)),
IF($E$5 = "7º Relatório Gerencial Financeiro",SUMPRODUCT(-('Diário 5º PA'!$H$5:$H$2635='Gasto das Atividades'!B37),-('Diário 5º PA'!$F$5:$F$2635))+SUMPRODUCT(-('Diário 6º PA'!$H$5:$H$2246='Gasto das Atividades'!B37),-('Diário 6º PA'!$F$5:$F$2246)),
IF($E$5 = "8º Relatório Gerencial Financeiro",SUMPRODUCT(-('Diário 5º PA'!$H$5:$H$2635='Gasto das Atividades'!B37),-('Diário 5º PA'!$F$5:$F$2635))+SUMPRODUCT(-('Diário 6º PA'!$H$5:$H$2246='Gasto das Atividades'!B37),-('Diário 6º PA'!$F$5:$F$2246))+SUMPRODUCT(-('Diário 7º PA'!$H$5:$H$2273='Gasto das Atividades'!B37),-('Diário 7º PA'!$F$5:$F$2273))))))</f>
        <v>0</v>
      </c>
      <c r="E37" s="139">
        <f t="array" ref="E37">IF($E$5 = "5º Relatório Gerencial Financeiro",SUMPRODUCT(-('Diário 5º PA'!$H$5:$H$2636='Gasto das Atividades'!B37),-('Diário 5º PA'!$F$5:$F$2636)),
IF($E$5 = "6º Relatório Gerencial Financeiro",SUMPRODUCT(-('Diário 6º PA'!$H$5:$H$2248='Gasto das Atividades'!B37),-('Diário 6º PA'!$F$5:$F$2248)),
IF($E$5 = "7º Relatório Gerencial Financeiro",SUMPRODUCT(-('Diário 7º PA'!$H$5:$H$2273='Gasto das Atividades'!B37),-('Diário 7º PA'!$F$5:$F$2273)),
IF($E$5 = "8º Relatório Gerencial Financeiro",SUMPRODUCT(-('Diário 8º PA'!$H$5:$H$2490='Gasto das Atividades'!B37),-('Diário 8º PA'!$F$5:$F$2490))))))
+SUMPRODUCT(-('Comp.'!$G$5:$G$313='Gasto das Atividades'!B37),-('Comp.'!$R$5:'Comp.'!$R$313&gt;=1),('Comp.'!$E$5:$E$313))</f>
        <v>0</v>
      </c>
      <c r="F37" s="143">
        <f t="shared" si="0"/>
        <v>0</v>
      </c>
      <c r="G37" s="2"/>
      <c r="H37" s="144" t="str">
        <f t="shared" si="1"/>
        <v>-</v>
      </c>
      <c r="I37" s="2"/>
      <c r="J37" s="2"/>
      <c r="K37" s="2"/>
      <c r="L37" s="2"/>
      <c r="M37" s="2"/>
      <c r="N37" s="2"/>
      <c r="O37" s="2"/>
      <c r="P37" s="2"/>
      <c r="Q37" s="2"/>
      <c r="R37" s="2"/>
      <c r="S37" s="2"/>
      <c r="T37" s="2"/>
      <c r="U37" s="2"/>
      <c r="V37" s="2"/>
      <c r="W37" s="2"/>
      <c r="X37" s="2"/>
      <c r="Y37" s="2"/>
      <c r="Z37" s="2"/>
    </row>
    <row r="38" spans="1:26" ht="12.75" customHeight="1" x14ac:dyDescent="0.2">
      <c r="A38" s="145"/>
      <c r="B38" s="146" t="s">
        <v>66</v>
      </c>
      <c r="C38" s="147">
        <f t="shared" ref="C38:F38" si="2">SUM(C7:C37)</f>
        <v>7399987.3599999994</v>
      </c>
      <c r="D38" s="148">
        <f t="shared" si="2"/>
        <v>5332179.2289999984</v>
      </c>
      <c r="E38" s="149">
        <f t="shared" si="2"/>
        <v>2117607.2599999988</v>
      </c>
      <c r="F38" s="150">
        <f t="shared" si="2"/>
        <v>7449786.4889999982</v>
      </c>
      <c r="G38" s="2"/>
      <c r="H38" s="2"/>
      <c r="I38" s="2"/>
      <c r="J38" s="2"/>
      <c r="K38" s="2"/>
      <c r="L38" s="2"/>
      <c r="M38" s="2"/>
      <c r="N38" s="2"/>
      <c r="O38" s="2"/>
      <c r="P38" s="2"/>
      <c r="Q38" s="2"/>
      <c r="R38" s="2"/>
      <c r="S38" s="2"/>
      <c r="T38" s="2"/>
      <c r="U38" s="2"/>
      <c r="V38" s="2"/>
      <c r="W38" s="2"/>
      <c r="X38" s="2"/>
      <c r="Y38" s="2"/>
      <c r="Z38" s="2"/>
    </row>
    <row r="39" spans="1:26" ht="12.75" customHeight="1" x14ac:dyDescent="0.2">
      <c r="A39" s="151"/>
      <c r="B39" s="151"/>
      <c r="C39" s="2"/>
      <c r="D39" s="2"/>
      <c r="E39" s="2"/>
      <c r="F39" s="2"/>
      <c r="G39" s="2"/>
      <c r="H39" s="2"/>
      <c r="I39" s="2"/>
      <c r="J39" s="2"/>
      <c r="K39" s="2"/>
      <c r="L39" s="2"/>
      <c r="M39" s="2"/>
      <c r="N39" s="2"/>
      <c r="O39" s="2"/>
      <c r="P39" s="2"/>
      <c r="Q39" s="2"/>
      <c r="R39" s="2"/>
      <c r="S39" s="2"/>
      <c r="T39" s="2"/>
      <c r="U39" s="2"/>
      <c r="V39" s="2"/>
      <c r="W39" s="2"/>
      <c r="X39" s="2"/>
      <c r="Y39" s="2"/>
      <c r="Z39" s="2"/>
    </row>
    <row r="40" spans="1:26" ht="13.5" hidden="1" customHeight="1" x14ac:dyDescent="0.25">
      <c r="A40" s="2"/>
      <c r="B40" s="724" t="s">
        <v>136</v>
      </c>
      <c r="C40" s="712"/>
      <c r="D40" s="2"/>
      <c r="E40" s="2"/>
      <c r="F40" s="2"/>
      <c r="G40" s="2"/>
      <c r="H40" s="2"/>
      <c r="I40" s="2"/>
      <c r="J40" s="2"/>
      <c r="K40" s="2"/>
      <c r="L40" s="2"/>
      <c r="M40" s="2"/>
      <c r="N40" s="2"/>
      <c r="O40" s="2"/>
      <c r="P40" s="2"/>
      <c r="Q40" s="2"/>
      <c r="R40" s="2"/>
      <c r="S40" s="2"/>
      <c r="T40" s="2"/>
      <c r="U40" s="2"/>
      <c r="V40" s="2"/>
      <c r="W40" s="2"/>
      <c r="X40" s="2"/>
      <c r="Y40" s="2"/>
      <c r="Z40" s="2"/>
    </row>
    <row r="41" spans="1:26" ht="12.75" hidden="1" customHeight="1" x14ac:dyDescent="0.2">
      <c r="A41" s="2"/>
      <c r="B41" s="152" t="s">
        <v>137</v>
      </c>
      <c r="C41" s="153" t="s">
        <v>138</v>
      </c>
      <c r="D41" s="153" t="s">
        <v>112</v>
      </c>
      <c r="E41" s="2"/>
      <c r="F41" s="2"/>
      <c r="G41" s="2"/>
      <c r="H41" s="2"/>
      <c r="I41" s="2"/>
      <c r="J41" s="2"/>
      <c r="K41" s="2"/>
      <c r="L41" s="2"/>
      <c r="M41" s="2"/>
      <c r="N41" s="2"/>
      <c r="O41" s="2"/>
      <c r="P41" s="2"/>
      <c r="Q41" s="2"/>
      <c r="R41" s="2"/>
      <c r="S41" s="2"/>
      <c r="T41" s="2"/>
      <c r="U41" s="2"/>
      <c r="V41" s="2"/>
      <c r="W41" s="2"/>
      <c r="X41" s="2"/>
      <c r="Y41" s="2"/>
      <c r="Z41" s="2"/>
    </row>
    <row r="42" spans="1:26" ht="12.75" hidden="1" customHeight="1" x14ac:dyDescent="0.2">
      <c r="A42" s="2"/>
      <c r="B42" s="154" t="s">
        <v>139</v>
      </c>
      <c r="C42" s="155">
        <v>0</v>
      </c>
      <c r="D42" s="156">
        <f>Comparativo!$O$50*C42</f>
        <v>0</v>
      </c>
      <c r="E42" s="2"/>
      <c r="F42" s="2"/>
      <c r="G42" s="2"/>
      <c r="H42" s="2"/>
      <c r="I42" s="2"/>
      <c r="J42" s="2"/>
      <c r="K42" s="2"/>
      <c r="L42" s="2"/>
      <c r="M42" s="2"/>
      <c r="N42" s="2"/>
      <c r="O42" s="2"/>
      <c r="P42" s="2"/>
      <c r="Q42" s="2"/>
      <c r="R42" s="2"/>
      <c r="S42" s="2"/>
      <c r="T42" s="2"/>
      <c r="U42" s="2"/>
      <c r="V42" s="2"/>
      <c r="W42" s="2"/>
      <c r="X42" s="2"/>
      <c r="Y42" s="2"/>
      <c r="Z42" s="2"/>
    </row>
    <row r="43" spans="1:26" ht="13.5" hidden="1" customHeight="1" x14ac:dyDescent="0.2">
      <c r="A43" s="2"/>
      <c r="B43" s="157" t="s">
        <v>140</v>
      </c>
      <c r="C43" s="158">
        <v>0</v>
      </c>
      <c r="D43" s="159">
        <f>Comparativo!$O$50*C43</f>
        <v>0</v>
      </c>
      <c r="E43" s="2"/>
      <c r="F43" s="2"/>
      <c r="G43" s="2"/>
      <c r="H43" s="2"/>
      <c r="I43" s="2"/>
      <c r="J43" s="2"/>
      <c r="K43" s="2"/>
      <c r="L43" s="2"/>
      <c r="M43" s="2"/>
      <c r="N43" s="2"/>
      <c r="O43" s="2"/>
      <c r="P43" s="2"/>
      <c r="Q43" s="2"/>
      <c r="R43" s="2"/>
      <c r="S43" s="2"/>
      <c r="T43" s="2"/>
      <c r="U43" s="2"/>
      <c r="V43" s="2"/>
      <c r="W43" s="2"/>
      <c r="X43" s="2"/>
      <c r="Y43" s="2"/>
      <c r="Z43" s="2"/>
    </row>
    <row r="44" spans="1:26" ht="12.75" hidden="1"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hidden="1" customHeight="1" x14ac:dyDescent="0.25">
      <c r="A45" s="2"/>
      <c r="B45" s="724" t="s">
        <v>141</v>
      </c>
      <c r="C45" s="712"/>
      <c r="D45" s="2"/>
      <c r="E45" s="2"/>
      <c r="F45" s="2"/>
      <c r="G45" s="2"/>
      <c r="H45" s="2"/>
      <c r="I45" s="2"/>
      <c r="J45" s="2"/>
      <c r="K45" s="2"/>
      <c r="L45" s="2"/>
      <c r="M45" s="2"/>
      <c r="N45" s="2"/>
      <c r="O45" s="2"/>
      <c r="P45" s="2"/>
      <c r="Q45" s="2"/>
      <c r="R45" s="2"/>
      <c r="S45" s="2"/>
      <c r="T45" s="2"/>
      <c r="U45" s="2"/>
      <c r="V45" s="2"/>
      <c r="W45" s="2"/>
      <c r="X45" s="2"/>
      <c r="Y45" s="2"/>
      <c r="Z45" s="2"/>
    </row>
    <row r="46" spans="1:26" ht="12.75" hidden="1" customHeight="1" x14ac:dyDescent="0.2">
      <c r="A46" s="2"/>
      <c r="B46" s="152" t="s">
        <v>137</v>
      </c>
      <c r="C46" s="153" t="s">
        <v>112</v>
      </c>
      <c r="D46" s="2"/>
      <c r="E46" s="2"/>
      <c r="F46" s="2"/>
      <c r="G46" s="2"/>
      <c r="H46" s="2"/>
      <c r="I46" s="2"/>
      <c r="J46" s="2"/>
      <c r="K46" s="2"/>
      <c r="L46" s="2"/>
      <c r="M46" s="2"/>
      <c r="N46" s="2"/>
      <c r="O46" s="2"/>
      <c r="P46" s="2"/>
      <c r="Q46" s="2"/>
      <c r="R46" s="2"/>
      <c r="S46" s="2"/>
      <c r="T46" s="2"/>
      <c r="U46" s="2"/>
      <c r="V46" s="2"/>
      <c r="W46" s="2"/>
      <c r="X46" s="2"/>
      <c r="Y46" s="2"/>
      <c r="Z46" s="2"/>
    </row>
    <row r="47" spans="1:26" ht="12.75" hidden="1" customHeight="1" x14ac:dyDescent="0.2">
      <c r="A47" s="2"/>
      <c r="B47" s="154" t="s">
        <v>139</v>
      </c>
      <c r="C47" s="156">
        <f>D42+F7</f>
        <v>479827.42899999989</v>
      </c>
      <c r="D47" s="2"/>
      <c r="E47" s="2"/>
      <c r="F47" s="2"/>
      <c r="G47" s="2"/>
      <c r="H47" s="2"/>
      <c r="I47" s="2"/>
      <c r="J47" s="2"/>
      <c r="K47" s="2"/>
      <c r="L47" s="2"/>
      <c r="M47" s="2"/>
      <c r="N47" s="2"/>
      <c r="O47" s="2"/>
      <c r="P47" s="2"/>
      <c r="Q47" s="2"/>
      <c r="R47" s="2"/>
      <c r="S47" s="2"/>
      <c r="T47" s="2"/>
      <c r="U47" s="2"/>
      <c r="V47" s="2"/>
      <c r="W47" s="2"/>
      <c r="X47" s="2"/>
      <c r="Y47" s="2"/>
      <c r="Z47" s="2"/>
    </row>
    <row r="48" spans="1:26" ht="12.75" hidden="1" customHeight="1" x14ac:dyDescent="0.2">
      <c r="A48" s="2"/>
      <c r="B48" s="157" t="s">
        <v>140</v>
      </c>
      <c r="C48" s="159">
        <f>D43+SUM(F8:F37)</f>
        <v>6969959.0599999987</v>
      </c>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B40:C40"/>
    <mergeCell ref="B45:C45"/>
    <mergeCell ref="A1:H1"/>
    <mergeCell ref="A2:H2"/>
    <mergeCell ref="A3:H3"/>
    <mergeCell ref="A4:A5"/>
    <mergeCell ref="B4:B5"/>
    <mergeCell ref="D4:F4"/>
    <mergeCell ref="H4:H6"/>
  </mergeCells>
  <pageMargins left="0.19685039370078741" right="0.19685039370078741" top="0.59055118110236227" bottom="0.59055118110236227" header="0" footer="0"/>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pane xSplit="2" ySplit="7" topLeftCell="C161" activePane="bottomRight" state="frozen"/>
      <selection pane="topRight" activeCell="C1" sqref="C1"/>
      <selection pane="bottomLeft" activeCell="A8" sqref="A8"/>
      <selection pane="bottomRight" activeCell="A2" sqref="A2:P167"/>
    </sheetView>
  </sheetViews>
  <sheetFormatPr defaultColWidth="14.42578125" defaultRowHeight="15" customHeight="1" x14ac:dyDescent="0.2"/>
  <cols>
    <col min="1" max="1" width="7.28515625" customWidth="1"/>
    <col min="2" max="2" width="25" customWidth="1"/>
    <col min="3" max="14" width="12.42578125" customWidth="1"/>
    <col min="15" max="15" width="13.42578125" customWidth="1"/>
    <col min="16" max="16" width="12" customWidth="1"/>
    <col min="17" max="26" width="9.140625" customWidth="1"/>
  </cols>
  <sheetData>
    <row r="1" spans="1:26" ht="12.75" hidden="1" customHeight="1" x14ac:dyDescent="0.2">
      <c r="A1" s="160"/>
      <c r="B1" s="161" t="s">
        <v>142</v>
      </c>
      <c r="C1" s="162">
        <v>1</v>
      </c>
      <c r="D1" s="162">
        <v>2</v>
      </c>
      <c r="E1" s="162">
        <v>3</v>
      </c>
      <c r="F1" s="162">
        <v>4</v>
      </c>
      <c r="G1" s="162">
        <v>5</v>
      </c>
      <c r="H1" s="162">
        <v>6</v>
      </c>
      <c r="I1" s="162">
        <v>7</v>
      </c>
      <c r="J1" s="162">
        <v>8</v>
      </c>
      <c r="K1" s="162">
        <v>9</v>
      </c>
      <c r="L1" s="162">
        <v>10</v>
      </c>
      <c r="M1" s="162">
        <v>11</v>
      </c>
      <c r="N1" s="162">
        <v>12</v>
      </c>
      <c r="O1" s="160"/>
      <c r="P1" s="34"/>
      <c r="Q1" s="34"/>
      <c r="R1" s="34"/>
      <c r="S1" s="34"/>
      <c r="T1" s="34"/>
      <c r="U1" s="34"/>
      <c r="V1" s="34"/>
      <c r="W1" s="34"/>
      <c r="X1" s="34"/>
      <c r="Y1" s="34"/>
      <c r="Z1" s="34"/>
    </row>
    <row r="2" spans="1:26" ht="54.75" customHeight="1" x14ac:dyDescent="0.2">
      <c r="A2" s="694" t="str">
        <f>Capa!A1</f>
        <v>Contrato de Gestão nº. 05/20 celebrado entre a Fundação Clóvis Salgado e a Associação Pró-Cultura e Promoção das Artes</v>
      </c>
      <c r="B2" s="695"/>
      <c r="C2" s="695"/>
      <c r="D2" s="695"/>
      <c r="E2" s="695"/>
      <c r="F2" s="695"/>
      <c r="G2" s="695"/>
      <c r="H2" s="695"/>
      <c r="I2" s="695"/>
      <c r="J2" s="695"/>
      <c r="K2" s="695"/>
      <c r="L2" s="695"/>
      <c r="M2" s="695"/>
      <c r="N2" s="695"/>
      <c r="O2" s="695"/>
      <c r="P2" s="696"/>
      <c r="Q2" s="34"/>
      <c r="R2" s="34"/>
      <c r="S2" s="34"/>
      <c r="T2" s="34"/>
      <c r="U2" s="34"/>
      <c r="V2" s="34"/>
      <c r="W2" s="34"/>
      <c r="X2" s="34"/>
      <c r="Y2" s="34"/>
      <c r="Z2" s="34"/>
    </row>
    <row r="3" spans="1:26" ht="21.75" customHeight="1" x14ac:dyDescent="0.2">
      <c r="A3" s="694" t="str">
        <f>Capa!A3</f>
        <v>8º Relatório Gerencial Financeiro</v>
      </c>
      <c r="B3" s="695"/>
      <c r="C3" s="695"/>
      <c r="D3" s="695"/>
      <c r="E3" s="695"/>
      <c r="F3" s="695"/>
      <c r="G3" s="695"/>
      <c r="H3" s="695"/>
      <c r="I3" s="695"/>
      <c r="J3" s="695"/>
      <c r="K3" s="695"/>
      <c r="L3" s="695"/>
      <c r="M3" s="695"/>
      <c r="N3" s="695"/>
      <c r="O3" s="695"/>
      <c r="P3" s="696"/>
      <c r="Q3" s="34"/>
      <c r="R3" s="34"/>
      <c r="S3" s="34"/>
      <c r="T3" s="34"/>
      <c r="U3" s="34"/>
      <c r="V3" s="34"/>
      <c r="W3" s="34"/>
      <c r="X3" s="34"/>
      <c r="Y3" s="34"/>
      <c r="Z3" s="34"/>
    </row>
    <row r="4" spans="1:26" ht="21" customHeight="1" x14ac:dyDescent="0.2">
      <c r="A4" s="731" t="s">
        <v>143</v>
      </c>
      <c r="B4" s="711"/>
      <c r="C4" s="711"/>
      <c r="D4" s="711"/>
      <c r="E4" s="711"/>
      <c r="F4" s="711"/>
      <c r="G4" s="711"/>
      <c r="H4" s="711"/>
      <c r="I4" s="711"/>
      <c r="J4" s="711"/>
      <c r="K4" s="711"/>
      <c r="L4" s="711"/>
      <c r="M4" s="711"/>
      <c r="N4" s="711"/>
      <c r="O4" s="711"/>
      <c r="P4" s="712"/>
      <c r="Q4" s="34"/>
      <c r="R4" s="34"/>
      <c r="S4" s="34"/>
      <c r="T4" s="34"/>
      <c r="U4" s="34"/>
      <c r="V4" s="34"/>
      <c r="W4" s="34"/>
      <c r="X4" s="34"/>
      <c r="Y4" s="34"/>
      <c r="Z4" s="34"/>
    </row>
    <row r="5" spans="1:26" ht="16.5" customHeight="1" x14ac:dyDescent="0.2">
      <c r="A5" s="163"/>
      <c r="B5" s="163"/>
      <c r="C5" s="164" t="str">
        <f>Resumo!C4</f>
        <v>Mês 1</v>
      </c>
      <c r="D5" s="164" t="str">
        <f>Resumo!D4</f>
        <v>Mês 2</v>
      </c>
      <c r="E5" s="164" t="str">
        <f>Resumo!E4</f>
        <v>Mês 3</v>
      </c>
      <c r="F5" s="164" t="str">
        <f>Resumo!F4</f>
        <v>Mês 4</v>
      </c>
      <c r="G5" s="164" t="str">
        <f>Resumo!G4</f>
        <v>Mês 5</v>
      </c>
      <c r="H5" s="164" t="str">
        <f>Resumo!H4</f>
        <v>Mês 6</v>
      </c>
      <c r="I5" s="164" t="str">
        <f>Resumo!I4</f>
        <v>Mês 7</v>
      </c>
      <c r="J5" s="164" t="str">
        <f>Resumo!J4</f>
        <v>Mês 8</v>
      </c>
      <c r="K5" s="164" t="str">
        <f>Resumo!K4</f>
        <v>Mês 9</v>
      </c>
      <c r="L5" s="164" t="str">
        <f>Resumo!L4</f>
        <v>Mês 10</v>
      </c>
      <c r="M5" s="164" t="str">
        <f>Resumo!M4</f>
        <v>Mês 11</v>
      </c>
      <c r="N5" s="164" t="str">
        <f>Resumo!N4</f>
        <v>Mês 12</v>
      </c>
      <c r="O5" s="732" t="s">
        <v>75</v>
      </c>
      <c r="P5" s="733" t="s">
        <v>144</v>
      </c>
      <c r="Q5" s="34"/>
      <c r="R5" s="34"/>
      <c r="S5" s="34"/>
      <c r="T5" s="34"/>
      <c r="U5" s="34"/>
      <c r="V5" s="34"/>
      <c r="W5" s="34"/>
      <c r="X5" s="34"/>
      <c r="Y5" s="34"/>
      <c r="Z5" s="34"/>
    </row>
    <row r="6" spans="1:26" ht="24.75" customHeight="1" x14ac:dyDescent="0.2">
      <c r="A6" s="23"/>
      <c r="B6" s="23"/>
      <c r="C6" s="165">
        <f>Resumo!C5</f>
        <v>44197</v>
      </c>
      <c r="D6" s="165">
        <f>Resumo!D5</f>
        <v>44228</v>
      </c>
      <c r="E6" s="165">
        <f>Resumo!E5</f>
        <v>44256</v>
      </c>
      <c r="F6" s="165">
        <f>Resumo!F5</f>
        <v>44287</v>
      </c>
      <c r="G6" s="165">
        <f>Resumo!G5</f>
        <v>44317</v>
      </c>
      <c r="H6" s="165">
        <f>Resumo!H5</f>
        <v>44348</v>
      </c>
      <c r="I6" s="165">
        <f>Resumo!I5</f>
        <v>44378</v>
      </c>
      <c r="J6" s="165">
        <f>Resumo!J5</f>
        <v>44409</v>
      </c>
      <c r="K6" s="165">
        <f>Resumo!K5</f>
        <v>44440</v>
      </c>
      <c r="L6" s="165">
        <f>Resumo!L5</f>
        <v>44470</v>
      </c>
      <c r="M6" s="165">
        <f>Resumo!M5</f>
        <v>44501</v>
      </c>
      <c r="N6" s="165">
        <f>Resumo!N5</f>
        <v>44531</v>
      </c>
      <c r="O6" s="703"/>
      <c r="P6" s="703"/>
      <c r="Q6" s="34"/>
      <c r="R6" s="34"/>
      <c r="S6" s="34"/>
      <c r="T6" s="34"/>
      <c r="U6" s="34"/>
      <c r="V6" s="34"/>
      <c r="W6" s="34"/>
      <c r="X6" s="34"/>
      <c r="Y6" s="34"/>
      <c r="Z6" s="34"/>
    </row>
    <row r="7" spans="1:26" ht="12.75" customHeight="1" x14ac:dyDescent="0.2">
      <c r="A7" s="23"/>
      <c r="B7" s="23"/>
      <c r="C7" s="166" t="str">
        <f>Resumo!C6</f>
        <v>a</v>
      </c>
      <c r="D7" s="166" t="str">
        <f>Resumo!D6</f>
        <v>a</v>
      </c>
      <c r="E7" s="166" t="str">
        <f>Resumo!E6</f>
        <v>a</v>
      </c>
      <c r="F7" s="166" t="str">
        <f>Resumo!F6</f>
        <v>a</v>
      </c>
      <c r="G7" s="166" t="str">
        <f>Resumo!G6</f>
        <v>a</v>
      </c>
      <c r="H7" s="166" t="str">
        <f>Resumo!H6</f>
        <v>a</v>
      </c>
      <c r="I7" s="166" t="str">
        <f>Resumo!I6</f>
        <v>a</v>
      </c>
      <c r="J7" s="166" t="str">
        <f>Resumo!J6</f>
        <v>a</v>
      </c>
      <c r="K7" s="166" t="str">
        <f>Resumo!K6</f>
        <v>a</v>
      </c>
      <c r="L7" s="166" t="str">
        <f>Resumo!L6</f>
        <v>a</v>
      </c>
      <c r="M7" s="166" t="str">
        <f>Resumo!M6</f>
        <v>a</v>
      </c>
      <c r="N7" s="166" t="str">
        <f>Resumo!N6</f>
        <v>a</v>
      </c>
      <c r="O7" s="703"/>
      <c r="P7" s="703"/>
      <c r="Q7" s="34"/>
      <c r="R7" s="34"/>
      <c r="S7" s="34"/>
      <c r="T7" s="34"/>
      <c r="U7" s="34"/>
      <c r="V7" s="34"/>
      <c r="W7" s="34"/>
      <c r="X7" s="34"/>
      <c r="Y7" s="34"/>
      <c r="Z7" s="34"/>
    </row>
    <row r="8" spans="1:26" ht="12.75" customHeight="1" x14ac:dyDescent="0.2">
      <c r="A8" s="167"/>
      <c r="B8" s="167"/>
      <c r="C8" s="168">
        <f>Resumo!C7</f>
        <v>44227</v>
      </c>
      <c r="D8" s="168">
        <f>Resumo!D7</f>
        <v>44255</v>
      </c>
      <c r="E8" s="168">
        <f>Resumo!E7</f>
        <v>44286</v>
      </c>
      <c r="F8" s="168">
        <f>Resumo!F7</f>
        <v>44316</v>
      </c>
      <c r="G8" s="168">
        <f>Resumo!G7</f>
        <v>44347</v>
      </c>
      <c r="H8" s="168">
        <f>Resumo!H7</f>
        <v>44377</v>
      </c>
      <c r="I8" s="168">
        <f>Resumo!I7</f>
        <v>44408</v>
      </c>
      <c r="J8" s="168">
        <f>Resumo!J7</f>
        <v>44439</v>
      </c>
      <c r="K8" s="168">
        <f>Resumo!K7</f>
        <v>44469</v>
      </c>
      <c r="L8" s="168">
        <f>Resumo!L7</f>
        <v>44500</v>
      </c>
      <c r="M8" s="168">
        <f>Resumo!M7</f>
        <v>44530</v>
      </c>
      <c r="N8" s="168">
        <f>Resumo!N7</f>
        <v>44561</v>
      </c>
      <c r="O8" s="716"/>
      <c r="P8" s="716"/>
      <c r="Q8" s="34"/>
      <c r="R8" s="34"/>
      <c r="S8" s="34"/>
      <c r="T8" s="34"/>
      <c r="U8" s="34"/>
      <c r="V8" s="34"/>
      <c r="W8" s="34"/>
      <c r="X8" s="34"/>
      <c r="Y8" s="34"/>
      <c r="Z8" s="34"/>
    </row>
    <row r="9" spans="1:26" ht="23.25" customHeight="1" x14ac:dyDescent="0.2">
      <c r="A9" s="169"/>
      <c r="B9" s="81"/>
      <c r="C9" s="170"/>
      <c r="D9" s="170"/>
      <c r="E9" s="170"/>
      <c r="F9" s="170"/>
      <c r="G9" s="170"/>
      <c r="H9" s="170"/>
      <c r="I9" s="171"/>
      <c r="J9" s="171"/>
      <c r="K9" s="171"/>
      <c r="L9" s="171"/>
      <c r="M9" s="171"/>
      <c r="N9" s="171"/>
      <c r="O9" s="171"/>
      <c r="P9" s="34"/>
      <c r="Q9" s="34"/>
      <c r="R9" s="34"/>
      <c r="S9" s="34"/>
      <c r="T9" s="34"/>
      <c r="U9" s="34"/>
      <c r="V9" s="34"/>
      <c r="W9" s="34"/>
      <c r="X9" s="34"/>
      <c r="Y9" s="34"/>
      <c r="Z9" s="34"/>
    </row>
    <row r="10" spans="1:26" ht="23.25" customHeight="1" x14ac:dyDescent="0.2">
      <c r="A10" s="96" t="s">
        <v>145</v>
      </c>
      <c r="B10" s="172" t="s">
        <v>146</v>
      </c>
      <c r="C10" s="173">
        <f>Resumo!C8</f>
        <v>3551529.38</v>
      </c>
      <c r="D10" s="173">
        <f t="shared" ref="D10:N10" si="0">C10+C18-C166</f>
        <v>3566307.21</v>
      </c>
      <c r="E10" s="173">
        <f t="shared" si="0"/>
        <v>3113552.46</v>
      </c>
      <c r="F10" s="173">
        <f t="shared" si="0"/>
        <v>2586909.2000000002</v>
      </c>
      <c r="G10" s="173">
        <f t="shared" si="0"/>
        <v>3904931.4310000008</v>
      </c>
      <c r="H10" s="173">
        <f t="shared" si="0"/>
        <v>3943095.7910000007</v>
      </c>
      <c r="I10" s="173">
        <f t="shared" si="0"/>
        <v>4140912.8910000008</v>
      </c>
      <c r="J10" s="173">
        <f t="shared" si="0"/>
        <v>3604146.3310000012</v>
      </c>
      <c r="K10" s="173">
        <f t="shared" si="0"/>
        <v>4396409.6210000012</v>
      </c>
      <c r="L10" s="173">
        <f t="shared" si="0"/>
        <v>4062431.791000003</v>
      </c>
      <c r="M10" s="173">
        <f t="shared" si="0"/>
        <v>4421988.3910000026</v>
      </c>
      <c r="N10" s="173">
        <f t="shared" si="0"/>
        <v>5431470.6110000033</v>
      </c>
      <c r="O10" s="174">
        <f>SUM(C10:N10)</f>
        <v>46723685.10800001</v>
      </c>
      <c r="P10" s="175">
        <f>IF($O$18=0,0,O10/$O$18)</f>
        <v>3.693593628004967</v>
      </c>
      <c r="Q10" s="34"/>
      <c r="R10" s="34"/>
      <c r="S10" s="34"/>
      <c r="T10" s="34"/>
      <c r="U10" s="34"/>
      <c r="V10" s="34"/>
      <c r="W10" s="34"/>
      <c r="X10" s="34"/>
      <c r="Y10" s="34"/>
      <c r="Z10" s="34"/>
    </row>
    <row r="11" spans="1:26" ht="23.25" customHeight="1" x14ac:dyDescent="0.2">
      <c r="A11" s="23"/>
      <c r="B11" s="23"/>
      <c r="C11" s="176"/>
      <c r="D11" s="176"/>
      <c r="E11" s="176"/>
      <c r="F11" s="176"/>
      <c r="G11" s="176"/>
      <c r="H11" s="176"/>
      <c r="I11" s="176"/>
      <c r="J11" s="176"/>
      <c r="K11" s="176"/>
      <c r="L11" s="176"/>
      <c r="M11" s="176"/>
      <c r="N11" s="176"/>
      <c r="O11" s="177"/>
      <c r="P11" s="34"/>
      <c r="Q11" s="34"/>
      <c r="R11" s="34"/>
      <c r="S11" s="34"/>
      <c r="T11" s="34"/>
      <c r="U11" s="34"/>
      <c r="V11" s="34"/>
      <c r="W11" s="34"/>
      <c r="X11" s="34"/>
      <c r="Y11" s="34"/>
      <c r="Z11" s="34"/>
    </row>
    <row r="12" spans="1:26" ht="23.25" customHeight="1" x14ac:dyDescent="0.2">
      <c r="A12" s="178">
        <v>1</v>
      </c>
      <c r="B12" s="178" t="s">
        <v>74</v>
      </c>
      <c r="C12" s="179"/>
      <c r="D12" s="179"/>
      <c r="E12" s="179"/>
      <c r="F12" s="179"/>
      <c r="G12" s="179"/>
      <c r="H12" s="179"/>
      <c r="I12" s="179"/>
      <c r="J12" s="179"/>
      <c r="K12" s="179"/>
      <c r="L12" s="179"/>
      <c r="M12" s="179"/>
      <c r="N12" s="179"/>
      <c r="O12" s="179"/>
      <c r="P12" s="180"/>
      <c r="Q12" s="34"/>
      <c r="R12" s="34"/>
      <c r="S12" s="34"/>
      <c r="T12" s="34"/>
      <c r="U12" s="34"/>
      <c r="V12" s="34"/>
      <c r="W12" s="34"/>
      <c r="X12" s="34"/>
      <c r="Y12" s="34"/>
      <c r="Z12" s="34"/>
    </row>
    <row r="13" spans="1:26" ht="23.25" customHeight="1" x14ac:dyDescent="0.2">
      <c r="A13" s="181" t="s">
        <v>76</v>
      </c>
      <c r="B13" s="181" t="s">
        <v>77</v>
      </c>
      <c r="C13" s="182"/>
      <c r="D13" s="182"/>
      <c r="E13" s="182"/>
      <c r="F13" s="182"/>
      <c r="G13" s="182"/>
      <c r="H13" s="182"/>
      <c r="I13" s="182"/>
      <c r="J13" s="182"/>
      <c r="K13" s="182"/>
      <c r="L13" s="182"/>
      <c r="M13" s="182"/>
      <c r="N13" s="182"/>
      <c r="O13" s="182"/>
      <c r="P13" s="183"/>
      <c r="Q13" s="34"/>
      <c r="R13" s="34"/>
      <c r="S13" s="34"/>
      <c r="T13" s="34"/>
      <c r="U13" s="34"/>
      <c r="V13" s="34"/>
      <c r="W13" s="34"/>
      <c r="X13" s="34"/>
      <c r="Y13" s="34"/>
      <c r="Z13" s="34"/>
    </row>
    <row r="14" spans="1:26" ht="23.25" customHeight="1" x14ac:dyDescent="0.2">
      <c r="A14" s="184" t="s">
        <v>78</v>
      </c>
      <c r="B14" s="72" t="s">
        <v>79</v>
      </c>
      <c r="C14" s="185">
        <f>SUMPRODUCT(-('Diário 5º PA'!$E$5:$E$2634='Analítico Cx.'!$B14),-('Diário 5º PA'!$P$5:$P$2634=C$1),('Diário 5º PA'!$F$5:$F$2634))+
SUMPRODUCT(-('Diário 6º PA'!$E$5:$E$2246='Analítico Cx.'!$B14),-('Diário 6º PA'!$P$5:$P$2246=C$1),('Diário 6º PA'!$F$5:$F$2246))+
SUMPRODUCT(-('Diário 7º PA'!$E$5:$E$2271='Analítico Cx.'!$B14),-('Diário 7º PA'!$P$5:$P$2271=C$1),('Diário 7º PA'!$F$5:$F$2271))+
SUMPRODUCT(-('Diário 8º PA'!$E$5:$E$2488='Analítico Cx.'!$B14),-('Diário 8º PA'!$P$5:$P$2488=C$1),('Diário 8º PA'!$F$5:$F$2488))</f>
        <v>700359.34</v>
      </c>
      <c r="D14" s="185">
        <f>SUMPRODUCT(-('Diário 5º PA'!$E$5:$E$2634='Analítico Cx.'!$B14),-('Diário 5º PA'!$P$5:$P$2634=D$1),('Diário 5º PA'!$F$5:$F$2634))+
SUMPRODUCT(-('Diário 6º PA'!$E$5:$E$2246='Analítico Cx.'!$B14),-('Diário 6º PA'!$P$5:$P$2246=D$1),('Diário 6º PA'!$F$5:$F$2246))+
SUMPRODUCT(-('Diário 7º PA'!$E$5:$E$2271='Analítico Cx.'!$B14),-('Diário 7º PA'!$P$5:$P$2271=D$1),('Diário 7º PA'!$F$5:$F$2271))+
SUMPRODUCT(-('Diário 8º PA'!$E$5:$E$2488='Analítico Cx.'!$B14),-('Diário 8º PA'!$P$5:$P$2488=D$1),('Diário 8º PA'!$F$5:$F$2488))</f>
        <v>0</v>
      </c>
      <c r="E14" s="185">
        <f>SUMPRODUCT(-('Diário 5º PA'!$E$5:$E$2634='Analítico Cx.'!$B14),-('Diário 5º PA'!$P$5:$P$2634=E$1),('Diário 5º PA'!$F$5:$F$2634))+
SUMPRODUCT(-('Diário 6º PA'!$E$5:$E$2246='Analítico Cx.'!$B14),-('Diário 6º PA'!$P$5:$P$2246=E$1),('Diário 6º PA'!$F$5:$F$2246))+
SUMPRODUCT(-('Diário 7º PA'!$E$5:$E$2271='Analítico Cx.'!$B14),-('Diário 7º PA'!$P$5:$P$2271=E$1),('Diário 7º PA'!$F$5:$F$2271))+
SUMPRODUCT(-('Diário 8º PA'!$E$5:$E$2488='Analítico Cx.'!$B14),-('Diário 8º PA'!$P$5:$P$2488=E$1),('Diário 8º PA'!$F$5:$F$2488))</f>
        <v>0</v>
      </c>
      <c r="F14" s="185">
        <f>SUMPRODUCT(-('Diário 5º PA'!$E$5:$E$2634='Analítico Cx.'!$B14),-('Diário 5º PA'!$P$5:$P$2634=F$1),('Diário 5º PA'!$F$5:$F$2634))+
SUMPRODUCT(-('Diário 6º PA'!$E$5:$E$2246='Analítico Cx.'!$B14),-('Diário 6º PA'!$P$5:$P$2246=F$1),('Diário 6º PA'!$F$5:$F$2246))+
SUMPRODUCT(-('Diário 7º PA'!$E$5:$E$2271='Analítico Cx.'!$B14),-('Diário 7º PA'!$P$5:$P$2271=F$1),('Diário 7º PA'!$F$5:$F$2271))+
SUMPRODUCT(-('Diário 8º PA'!$E$5:$E$2488='Analítico Cx.'!$B14),-('Diário 8º PA'!$P$5:$P$2488=F$1),('Diário 8º PA'!$F$5:$F$2488))</f>
        <v>1857482.23</v>
      </c>
      <c r="G14" s="185">
        <f>SUMPRODUCT(-('Diário 5º PA'!$E$5:$E$2634='Analítico Cx.'!$B14),-('Diário 5º PA'!$P$5:$P$2634=G$1),('Diário 5º PA'!$F$5:$F$2634))+
SUMPRODUCT(-('Diário 6º PA'!$E$5:$E$2246='Analítico Cx.'!$B14),-('Diário 6º PA'!$P$5:$P$2246=G$1),('Diário 6º PA'!$F$5:$F$2246))+
SUMPRODUCT(-('Diário 7º PA'!$E$5:$E$2271='Analítico Cx.'!$B14),-('Diário 7º PA'!$P$5:$P$2271=G$1),('Diário 7º PA'!$F$5:$F$2271))+
SUMPRODUCT(-('Diário 8º PA'!$E$5:$E$2488='Analítico Cx.'!$B14),-('Diário 8º PA'!$P$5:$P$2488=G$1),('Diário 8º PA'!$F$5:$F$2488))</f>
        <v>600000</v>
      </c>
      <c r="H14" s="185">
        <f>SUMPRODUCT(-('Diário 5º PA'!$E$5:$E$2634='Analítico Cx.'!$B14),-('Diário 5º PA'!$P$5:$P$2634=H$1),('Diário 5º PA'!$F$5:$F$2634))+
SUMPRODUCT(-('Diário 6º PA'!$E$5:$E$2246='Analítico Cx.'!$B14),-('Diário 6º PA'!$P$5:$P$2246=H$1),('Diário 6º PA'!$F$5:$F$2246))+
SUMPRODUCT(-('Diário 7º PA'!$E$5:$E$2271='Analítico Cx.'!$B14),-('Diário 7º PA'!$P$5:$P$2271=H$1),('Diário 7º PA'!$F$5:$F$2271))+
SUMPRODUCT(-('Diário 8º PA'!$E$5:$E$2488='Analítico Cx.'!$B14),-('Diário 8º PA'!$P$5:$P$2488=H$1),('Diário 8º PA'!$F$5:$F$2488))</f>
        <v>768108.68</v>
      </c>
      <c r="I14" s="185">
        <f>SUMPRODUCT(-('Diário 5º PA'!$E$5:$E$2634='Analítico Cx.'!$B14),-('Diário 5º PA'!$P$5:$P$2634=I$1),('Diário 5º PA'!$F$5:$F$2634))+
SUMPRODUCT(-('Diário 6º PA'!$E$5:$E$2246='Analítico Cx.'!$B14),-('Diário 6º PA'!$P$5:$P$2246=I$1),('Diário 6º PA'!$F$5:$F$2246))+
SUMPRODUCT(-('Diário 7º PA'!$E$5:$E$2271='Analítico Cx.'!$B14),-('Diário 7º PA'!$P$5:$P$2271=I$1),('Diário 7º PA'!$F$5:$F$2271))+
SUMPRODUCT(-('Diário 8º PA'!$E$5:$E$2488='Analítico Cx.'!$B14),-('Diário 8º PA'!$P$5:$P$2488=I$1),('Diário 8º PA'!$F$5:$F$2488))</f>
        <v>0</v>
      </c>
      <c r="J14" s="185">
        <f>SUMPRODUCT(-('Diário 5º PA'!$E$5:$E$2634='Analítico Cx.'!$B14),-('Diário 5º PA'!$P$5:$P$2634=J$1),('Diário 5º PA'!$F$5:$F$2634))+
SUMPRODUCT(-('Diário 6º PA'!$E$5:$E$2246='Analítico Cx.'!$B14),-('Diário 6º PA'!$P$5:$P$2246=J$1),('Diário 6º PA'!$F$5:$F$2246))+
SUMPRODUCT(-('Diário 7º PA'!$E$5:$E$2271='Analítico Cx.'!$B14),-('Diário 7º PA'!$P$5:$P$2271=J$1),('Diário 7º PA'!$F$5:$F$2271))+
SUMPRODUCT(-('Diário 8º PA'!$E$5:$E$2488='Analítico Cx.'!$B14),-('Diário 8º PA'!$P$5:$P$2488=J$1),('Diário 8º PA'!$F$5:$F$2488))</f>
        <v>1194737.1000000001</v>
      </c>
      <c r="K14" s="185">
        <f>SUMPRODUCT(-('Diário 5º PA'!$E$5:$E$2634='Analítico Cx.'!$B14),-('Diário 5º PA'!$P$5:$P$2634=K$1),('Diário 5º PA'!$F$5:$F$2634))+
SUMPRODUCT(-('Diário 6º PA'!$E$5:$E$2246='Analítico Cx.'!$B14),-('Diário 6º PA'!$P$5:$P$2246=K$1),('Diário 6º PA'!$F$5:$F$2246))+
SUMPRODUCT(-('Diário 7º PA'!$E$5:$E$2271='Analítico Cx.'!$B14),-('Diário 7º PA'!$P$5:$P$2271=K$1),('Diário 7º PA'!$F$5:$F$2271))+
SUMPRODUCT(-('Diário 8º PA'!$E$5:$E$2488='Analítico Cx.'!$B14),-('Diário 8º PA'!$P$5:$P$2488=K$1),('Diário 8º PA'!$F$5:$F$2488))</f>
        <v>0</v>
      </c>
      <c r="L14" s="185">
        <f>SUMPRODUCT(-('Diário 5º PA'!$E$5:$E$2634='Analítico Cx.'!$B14),-('Diário 5º PA'!$P$5:$P$2634=L$1),('Diário 5º PA'!$F$5:$F$2634))+
SUMPRODUCT(-('Diário 6º PA'!$E$5:$E$2246='Analítico Cx.'!$B14),-('Diário 6º PA'!$P$5:$P$2246=L$1),('Diário 6º PA'!$F$5:$F$2246))+
SUMPRODUCT(-('Diário 7º PA'!$E$5:$E$2271='Analítico Cx.'!$B14),-('Diário 7º PA'!$P$5:$P$2271=L$1),('Diário 7º PA'!$F$5:$F$2271))+
SUMPRODUCT(-('Diário 8º PA'!$E$5:$E$2488='Analítico Cx.'!$B14),-('Diário 8º PA'!$P$5:$P$2488=L$1),('Diário 8º PA'!$F$5:$F$2488))</f>
        <v>0</v>
      </c>
      <c r="M14" s="185">
        <f>SUMPRODUCT(-('Diário 5º PA'!$E$5:$E$2634='Analítico Cx.'!$B14),-('Diário 5º PA'!$P$5:$P$2634=M$1),('Diário 5º PA'!$F$5:$F$2634))+
SUMPRODUCT(-('Diário 6º PA'!$E$5:$E$2246='Analítico Cx.'!$B14),-('Diário 6º PA'!$P$5:$P$2246=M$1),('Diário 6º PA'!$F$5:$F$2246))+
SUMPRODUCT(-('Diário 7º PA'!$E$5:$E$2271='Analítico Cx.'!$B14),-('Diário 7º PA'!$P$5:$P$2271=M$1),('Diário 7º PA'!$F$5:$F$2271))+
SUMPRODUCT(-('Diário 8º PA'!$E$5:$E$2488='Analítico Cx.'!$B14),-('Diário 8º PA'!$P$5:$P$2488=M$1),('Diário 8º PA'!$F$5:$F$2488))</f>
        <v>1066238.8700000001</v>
      </c>
      <c r="N14" s="185">
        <f>SUMPRODUCT(-('Diário 5º PA'!$E$5:$E$2634='Analítico Cx.'!$B14),-('Diário 5º PA'!$P$5:$P$2634=N$1),('Diário 5º PA'!$F$5:$F$2634))+
SUMPRODUCT(-('Diário 6º PA'!$E$5:$E$2246='Analítico Cx.'!$B14),-('Diário 6º PA'!$P$5:$P$2246=N$1),('Diário 6º PA'!$F$5:$F$2246))+
SUMPRODUCT(-('Diário 7º PA'!$E$5:$E$2271='Analítico Cx.'!$B14),-('Diário 7º PA'!$P$5:$P$2271=N$1),('Diário 7º PA'!$F$5:$F$2271))+
SUMPRODUCT(-('Diário 8º PA'!$E$5:$E$2488='Analítico Cx.'!$B14),-('Diário 8º PA'!$P$5:$P$2488=N$1),('Diário 8º PA'!$F$5:$F$2488))</f>
        <v>0</v>
      </c>
      <c r="O14" s="186">
        <f t="shared" ref="O14:O17" si="1">SUM(C14:N14)</f>
        <v>6186926.2199999997</v>
      </c>
      <c r="P14" s="187">
        <f t="shared" ref="P14:P18" si="2">IF($O$18=0,0,O14/$O$18)</f>
        <v>0.48908794780007936</v>
      </c>
      <c r="Q14" s="34"/>
      <c r="R14" s="34"/>
      <c r="S14" s="34"/>
      <c r="T14" s="34"/>
      <c r="U14" s="34"/>
      <c r="V14" s="34"/>
      <c r="W14" s="34"/>
      <c r="X14" s="34"/>
      <c r="Y14" s="34"/>
      <c r="Z14" s="34"/>
    </row>
    <row r="15" spans="1:26" ht="23.25" customHeight="1" x14ac:dyDescent="0.2">
      <c r="A15" s="184" t="s">
        <v>80</v>
      </c>
      <c r="B15" s="72" t="s">
        <v>147</v>
      </c>
      <c r="C15" s="185">
        <f>SUMPRODUCT(-('Diário 5º PA'!$E$5:$E$2634='Analítico Cx.'!$B15),-('Diário 5º PA'!$P$5:$P$2634=C$1),('Diário 5º PA'!$F$5:$F$2634))+
SUMPRODUCT(-('Diário 6º PA'!$E$5:$E$2246='Analítico Cx.'!$B15),-('Diário 6º PA'!$P$5:$P$2246=C$1),('Diário 6º PA'!$F$5:$F$2246))+
SUMPRODUCT(-('Diário 7º PA'!$E$5:$E$2271='Analítico Cx.'!$B15),-('Diário 7º PA'!$P$5:$P$2271=C$1),('Diário 7º PA'!$F$5:$F$2271))+
SUMPRODUCT(-('Diário 8º PA'!$E$5:$E$2488='Analítico Cx.'!$B15),-('Diário 8º PA'!$P$5:$P$2488=C$1),('Diário 8º PA'!$F$5:$F$2488))</f>
        <v>0</v>
      </c>
      <c r="D15" s="185">
        <f>SUMPRODUCT(-('Diário 5º PA'!$E$5:$E$2634='Analítico Cx.'!$B15),-('Diário 5º PA'!$P$5:$P$2634=D$1),('Diário 5º PA'!$F$5:$F$2634))+
SUMPRODUCT(-('Diário 6º PA'!$E$5:$E$2246='Analítico Cx.'!$B15),-('Diário 6º PA'!$P$5:$P$2246=D$1),('Diário 6º PA'!$F$5:$F$2246))+
SUMPRODUCT(-('Diário 7º PA'!$E$5:$E$2271='Analítico Cx.'!$B15),-('Diário 7º PA'!$P$5:$P$2271=D$1),('Diário 7º PA'!$F$5:$F$2271))+
SUMPRODUCT(-('Diário 8º PA'!$E$5:$E$2488='Analítico Cx.'!$B15),-('Diário 8º PA'!$P$5:$P$2488=D$1),('Diário 8º PA'!$F$5:$F$2488))</f>
        <v>0</v>
      </c>
      <c r="E15" s="185">
        <f>SUMPRODUCT(-('Diário 5º PA'!$E$5:$E$2634='Analítico Cx.'!$B15),-('Diário 5º PA'!$P$5:$P$2634=E$1),('Diário 5º PA'!$F$5:$F$2634))+
SUMPRODUCT(-('Diário 6º PA'!$E$5:$E$2246='Analítico Cx.'!$B15),-('Diário 6º PA'!$P$5:$P$2246=E$1),('Diário 6º PA'!$F$5:$F$2246))+
SUMPRODUCT(-('Diário 7º PA'!$E$5:$E$2271='Analítico Cx.'!$B15),-('Diário 7º PA'!$P$5:$P$2271=E$1),('Diário 7º PA'!$F$5:$F$2271))+
SUMPRODUCT(-('Diário 8º PA'!$E$5:$E$2488='Analítico Cx.'!$B15),-('Diário 8º PA'!$P$5:$P$2488=E$1),('Diário 8º PA'!$F$5:$F$2488))</f>
        <v>0</v>
      </c>
      <c r="F15" s="185">
        <f>SUMPRODUCT(-('Diário 5º PA'!$E$5:$E$2634='Analítico Cx.'!$B15),-('Diário 5º PA'!$P$5:$P$2634=F$1),('Diário 5º PA'!$F$5:$F$2634))+
SUMPRODUCT(-('Diário 6º PA'!$E$5:$E$2246='Analítico Cx.'!$B15),-('Diário 6º PA'!$P$5:$P$2246=F$1),('Diário 6º PA'!$F$5:$F$2246))+
SUMPRODUCT(-('Diário 7º PA'!$E$5:$E$2271='Analítico Cx.'!$B15),-('Diário 7º PA'!$P$5:$P$2271=F$1),('Diário 7º PA'!$F$5:$F$2271))+
SUMPRODUCT(-('Diário 8º PA'!$E$5:$E$2488='Analítico Cx.'!$B15),-('Diário 8º PA'!$P$5:$P$2488=F$1),('Diário 8º PA'!$F$5:$F$2488))</f>
        <v>0</v>
      </c>
      <c r="G15" s="185">
        <f>SUMPRODUCT(-('Diário 5º PA'!$E$5:$E$2634='Analítico Cx.'!$B15),-('Diário 5º PA'!$P$5:$P$2634=G$1),('Diário 5º PA'!$F$5:$F$2634))+
SUMPRODUCT(-('Diário 6º PA'!$E$5:$E$2246='Analítico Cx.'!$B15),-('Diário 6º PA'!$P$5:$P$2246=G$1),('Diário 6º PA'!$F$5:$F$2246))+
SUMPRODUCT(-('Diário 7º PA'!$E$5:$E$2271='Analítico Cx.'!$B15),-('Diário 7º PA'!$P$5:$P$2271=G$1),('Diário 7º PA'!$F$5:$F$2271))+
SUMPRODUCT(-('Diário 8º PA'!$E$5:$E$2488='Analítico Cx.'!$B15),-('Diário 8º PA'!$P$5:$P$2488=G$1),('Diário 8º PA'!$F$5:$F$2488))</f>
        <v>0</v>
      </c>
      <c r="H15" s="185">
        <f>SUMPRODUCT(-('Diário 5º PA'!$E$5:$E$2634='Analítico Cx.'!$B15),-('Diário 5º PA'!$P$5:$P$2634=H$1),('Diário 5º PA'!$F$5:$F$2634))+
SUMPRODUCT(-('Diário 6º PA'!$E$5:$E$2246='Analítico Cx.'!$B15),-('Diário 6º PA'!$P$5:$P$2246=H$1),('Diário 6º PA'!$F$5:$F$2246))+
SUMPRODUCT(-('Diário 7º PA'!$E$5:$E$2271='Analítico Cx.'!$B15),-('Diário 7º PA'!$P$5:$P$2271=H$1),('Diário 7º PA'!$F$5:$F$2271))+
SUMPRODUCT(-('Diário 8º PA'!$E$5:$E$2488='Analítico Cx.'!$B15),-('Diário 8º PA'!$P$5:$P$2488=H$1),('Diário 8º PA'!$F$5:$F$2488))</f>
        <v>4000</v>
      </c>
      <c r="I15" s="185">
        <f>SUMPRODUCT(-('Diário 5º PA'!$E$5:$E$2634='Analítico Cx.'!$B15),-('Diário 5º PA'!$P$5:$P$2634=I$1),('Diário 5º PA'!$F$5:$F$2634))+
SUMPRODUCT(-('Diário 6º PA'!$E$5:$E$2246='Analítico Cx.'!$B15),-('Diário 6º PA'!$P$5:$P$2246=I$1),('Diário 6º PA'!$F$5:$F$2246))+
SUMPRODUCT(-('Diário 7º PA'!$E$5:$E$2271='Analítico Cx.'!$B15),-('Diário 7º PA'!$P$5:$P$2271=I$1),('Diário 7º PA'!$F$5:$F$2271))+
SUMPRODUCT(-('Diário 8º PA'!$E$5:$E$2488='Analítico Cx.'!$B15),-('Diário 8º PA'!$P$5:$P$2488=I$1),('Diário 8º PA'!$F$5:$F$2488))</f>
        <v>0</v>
      </c>
      <c r="J15" s="185">
        <f>SUMPRODUCT(-('Diário 5º PA'!$E$5:$E$2634='Analítico Cx.'!$B15),-('Diário 5º PA'!$P$5:$P$2634=J$1),('Diário 5º PA'!$F$5:$F$2634))+
SUMPRODUCT(-('Diário 6º PA'!$E$5:$E$2246='Analítico Cx.'!$B15),-('Diário 6º PA'!$P$5:$P$2246=J$1),('Diário 6º PA'!$F$5:$F$2246))+
SUMPRODUCT(-('Diário 7º PA'!$E$5:$E$2271='Analítico Cx.'!$B15),-('Diário 7º PA'!$P$5:$P$2271=J$1),('Diário 7º PA'!$F$5:$F$2271))+
SUMPRODUCT(-('Diário 8º PA'!$E$5:$E$2488='Analítico Cx.'!$B15),-('Diário 8º PA'!$P$5:$P$2488=J$1),('Diário 8º PA'!$F$5:$F$2488))</f>
        <v>314769.96999999997</v>
      </c>
      <c r="K15" s="185">
        <f>SUMPRODUCT(-('Diário 5º PA'!$E$5:$E$2634='Analítico Cx.'!$B15),-('Diário 5º PA'!$P$5:$P$2634=K$1),('Diário 5º PA'!$F$5:$F$2634))+
SUMPRODUCT(-('Diário 6º PA'!$E$5:$E$2246='Analítico Cx.'!$B15),-('Diário 6º PA'!$P$5:$P$2246=K$1),('Diário 6º PA'!$F$5:$F$2246))+
SUMPRODUCT(-('Diário 7º PA'!$E$5:$E$2271='Analítico Cx.'!$B15),-('Diário 7º PA'!$P$5:$P$2271=K$1),('Diário 7º PA'!$F$5:$F$2271))+
SUMPRODUCT(-('Diário 8º PA'!$E$5:$E$2488='Analítico Cx.'!$B15),-('Diário 8º PA'!$P$5:$P$2488=K$1),('Diário 8º PA'!$F$5:$F$2488))</f>
        <v>1849025.04</v>
      </c>
      <c r="L15" s="185">
        <f>SUMPRODUCT(-('Diário 5º PA'!$E$5:$E$2634='Analítico Cx.'!$B15),-('Diário 5º PA'!$P$5:$P$2634=L$1),('Diário 5º PA'!$F$5:$F$2634))+
SUMPRODUCT(-('Diário 6º PA'!$E$5:$E$2246='Analítico Cx.'!$B15),-('Diário 6º PA'!$P$5:$P$2246=L$1),('Diário 6º PA'!$F$5:$F$2246))+
SUMPRODUCT(-('Diário 7º PA'!$E$5:$E$2271='Analítico Cx.'!$B15),-('Diário 7º PA'!$P$5:$P$2271=L$1),('Diário 7º PA'!$F$5:$F$2271))+
SUMPRODUCT(-('Diário 8º PA'!$E$5:$E$2488='Analítico Cx.'!$B15),-('Diário 8º PA'!$P$5:$P$2488=L$1),('Diário 8º PA'!$F$5:$F$2488))</f>
        <v>1134000</v>
      </c>
      <c r="M15" s="185">
        <f>SUMPRODUCT(-('Diário 5º PA'!$E$5:$E$2634='Analítico Cx.'!$B15),-('Diário 5º PA'!$P$5:$P$2634=M$1),('Diário 5º PA'!$F$5:$F$2634))+
SUMPRODUCT(-('Diário 6º PA'!$E$5:$E$2246='Analítico Cx.'!$B15),-('Diário 6º PA'!$P$5:$P$2246=M$1),('Diário 6º PA'!$F$5:$F$2246))+
SUMPRODUCT(-('Diário 7º PA'!$E$5:$E$2271='Analítico Cx.'!$B15),-('Diário 7º PA'!$P$5:$P$2271=M$1),('Diário 7º PA'!$F$5:$F$2271))+
SUMPRODUCT(-('Diário 8º PA'!$E$5:$E$2488='Analítico Cx.'!$B15),-('Diário 8º PA'!$P$5:$P$2488=M$1),('Diário 8º PA'!$F$5:$F$2488))</f>
        <v>1000000</v>
      </c>
      <c r="N15" s="185">
        <f>SUMPRODUCT(-('Diário 5º PA'!$E$5:$E$2634='Analítico Cx.'!$B15),-('Diário 5º PA'!$P$5:$P$2634=N$1),('Diário 5º PA'!$F$5:$F$2634))+
SUMPRODUCT(-('Diário 6º PA'!$E$5:$E$2246='Analítico Cx.'!$B15),-('Diário 6º PA'!$P$5:$P$2246=N$1),('Diário 6º PA'!$F$5:$F$2246))+
SUMPRODUCT(-('Diário 7º PA'!$E$5:$E$2271='Analítico Cx.'!$B15),-('Diário 7º PA'!$P$5:$P$2271=N$1),('Diário 7º PA'!$F$5:$F$2271))+
SUMPRODUCT(-('Diário 8º PA'!$E$5:$E$2488='Analítico Cx.'!$B15),-('Diário 8º PA'!$P$5:$P$2488=N$1),('Diário 8º PA'!$F$5:$F$2488))</f>
        <v>2094057.4</v>
      </c>
      <c r="O15" s="186">
        <f t="shared" si="1"/>
        <v>6395852.4100000001</v>
      </c>
      <c r="P15" s="187">
        <f t="shared" si="2"/>
        <v>0.50560394910270845</v>
      </c>
      <c r="Q15" s="34"/>
      <c r="R15" s="34"/>
      <c r="S15" s="34"/>
      <c r="T15" s="34"/>
      <c r="U15" s="34"/>
      <c r="V15" s="34"/>
      <c r="W15" s="34"/>
      <c r="X15" s="34"/>
      <c r="Y15" s="34"/>
      <c r="Z15" s="34"/>
    </row>
    <row r="16" spans="1:26" ht="23.25" customHeight="1" x14ac:dyDescent="0.2">
      <c r="A16" s="184" t="s">
        <v>82</v>
      </c>
      <c r="B16" s="72" t="s">
        <v>83</v>
      </c>
      <c r="C16" s="185">
        <f>SUMPRODUCT(-('Diário 5º PA'!$E$5:$E$2634='Analítico Cx.'!$B16),-('Diário 5º PA'!$P$5:$P$2634=C$1),('Diário 5º PA'!$F$5:$F$2634))+
SUMPRODUCT(-('Diário 6º PA'!$E$5:$E$2246='Analítico Cx.'!$B16),-('Diário 6º PA'!$P$5:$P$2246=C$1),('Diário 6º PA'!$F$5:$F$2246))+
SUMPRODUCT(-('Diário 7º PA'!$E$5:$E$2271='Analítico Cx.'!$B16),-('Diário 7º PA'!$P$5:$P$2271=C$1),('Diário 7º PA'!$F$5:$F$2271))+
SUMPRODUCT(-('Diário 8º PA'!$E$5:$E$2488='Analítico Cx.'!$B16),-('Diário 8º PA'!$P$5:$P$2488=C$1),('Diário 8º PA'!$F$5:$F$2488))</f>
        <v>0</v>
      </c>
      <c r="D16" s="185">
        <f>SUMPRODUCT(-('Diário 5º PA'!$E$5:$E$2634='Analítico Cx.'!$B16),-('Diário 5º PA'!$P$5:$P$2634=D$1),('Diário 5º PA'!$F$5:$F$2634))+
SUMPRODUCT(-('Diário 6º PA'!$E$5:$E$2246='Analítico Cx.'!$B16),-('Diário 6º PA'!$P$5:$P$2246=D$1),('Diário 6º PA'!$F$5:$F$2246))+
SUMPRODUCT(-('Diário 7º PA'!$E$5:$E$2271='Analítico Cx.'!$B16),-('Diário 7º PA'!$P$5:$P$2271=D$1),('Diário 7º PA'!$F$5:$F$2271))+
SUMPRODUCT(-('Diário 8º PA'!$E$5:$E$2488='Analítico Cx.'!$B16),-('Diário 8º PA'!$P$5:$P$2488=D$1),('Diário 8º PA'!$F$5:$F$2488))</f>
        <v>0</v>
      </c>
      <c r="E16" s="185">
        <f>SUMPRODUCT(-('Diário 5º PA'!$E$5:$E$2634='Analítico Cx.'!$B16),-('Diário 5º PA'!$P$5:$P$2634=E$1),('Diário 5º PA'!$F$5:$F$2634))+
SUMPRODUCT(-('Diário 6º PA'!$E$5:$E$2246='Analítico Cx.'!$B16),-('Diário 6º PA'!$P$5:$P$2246=E$1),('Diário 6º PA'!$F$5:$F$2246))+
SUMPRODUCT(-('Diário 7º PA'!$E$5:$E$2271='Analítico Cx.'!$B16),-('Diário 7º PA'!$P$5:$P$2271=E$1),('Diário 7º PA'!$F$5:$F$2271))+
SUMPRODUCT(-('Diário 8º PA'!$E$5:$E$2488='Analítico Cx.'!$B16),-('Diário 8º PA'!$P$5:$P$2488=E$1),('Diário 8º PA'!$F$5:$F$2488))</f>
        <v>0</v>
      </c>
      <c r="F16" s="185">
        <f>SUMPRODUCT(-('Diário 5º PA'!$E$5:$E$2634='Analítico Cx.'!$B16),-('Diário 5º PA'!$P$5:$P$2634=F$1),('Diário 5º PA'!$F$5:$F$2634))+
SUMPRODUCT(-('Diário 6º PA'!$E$5:$E$2246='Analítico Cx.'!$B16),-('Diário 6º PA'!$P$5:$P$2246=F$1),('Diário 6º PA'!$F$5:$F$2246))+
SUMPRODUCT(-('Diário 7º PA'!$E$5:$E$2271='Analítico Cx.'!$B16),-('Diário 7º PA'!$P$5:$P$2271=F$1),('Diário 7º PA'!$F$5:$F$2271))+
SUMPRODUCT(-('Diário 8º PA'!$E$5:$E$2488='Analítico Cx.'!$B16),-('Diário 8º PA'!$P$5:$P$2488=F$1),('Diário 8º PA'!$F$5:$F$2488))</f>
        <v>0</v>
      </c>
      <c r="G16" s="185">
        <f>SUMPRODUCT(-('Diário 5º PA'!$E$5:$E$2634='Analítico Cx.'!$B16),-('Diário 5º PA'!$P$5:$P$2634=G$1),('Diário 5º PA'!$F$5:$F$2634))+
SUMPRODUCT(-('Diário 6º PA'!$E$5:$E$2246='Analítico Cx.'!$B16),-('Diário 6º PA'!$P$5:$P$2246=G$1),('Diário 6º PA'!$F$5:$F$2246))+
SUMPRODUCT(-('Diário 7º PA'!$E$5:$E$2271='Analítico Cx.'!$B16),-('Diário 7º PA'!$P$5:$P$2271=G$1),('Diário 7º PA'!$F$5:$F$2271))+
SUMPRODUCT(-('Diário 8º PA'!$E$5:$E$2488='Analítico Cx.'!$B16),-('Diário 8º PA'!$P$5:$P$2488=G$1),('Diário 8º PA'!$F$5:$F$2488))</f>
        <v>0</v>
      </c>
      <c r="H16" s="185">
        <f>SUMPRODUCT(-('Diário 5º PA'!$E$5:$E$2634='Analítico Cx.'!$B16),-('Diário 5º PA'!$P$5:$P$2634=H$1),('Diário 5º PA'!$F$5:$F$2634))+
SUMPRODUCT(-('Diário 6º PA'!$E$5:$E$2246='Analítico Cx.'!$B16),-('Diário 6º PA'!$P$5:$P$2246=H$1),('Diário 6º PA'!$F$5:$F$2246))+
SUMPRODUCT(-('Diário 7º PA'!$E$5:$E$2271='Analítico Cx.'!$B16),-('Diário 7º PA'!$P$5:$P$2271=H$1),('Diário 7º PA'!$F$5:$F$2271))+
SUMPRODUCT(-('Diário 8º PA'!$E$5:$E$2488='Analítico Cx.'!$B16),-('Diário 8º PA'!$P$5:$P$2488=H$1),('Diário 8º PA'!$F$5:$F$2488))</f>
        <v>0</v>
      </c>
      <c r="I16" s="185">
        <f>SUMPRODUCT(-('Diário 5º PA'!$E$5:$E$2634='Analítico Cx.'!$B16),-('Diário 5º PA'!$P$5:$P$2634=I$1),('Diário 5º PA'!$F$5:$F$2634))+
SUMPRODUCT(-('Diário 6º PA'!$E$5:$E$2246='Analítico Cx.'!$B16),-('Diário 6º PA'!$P$5:$P$2246=I$1),('Diário 6º PA'!$F$5:$F$2246))+
SUMPRODUCT(-('Diário 7º PA'!$E$5:$E$2271='Analítico Cx.'!$B16),-('Diário 7º PA'!$P$5:$P$2271=I$1),('Diário 7º PA'!$F$5:$F$2271))+
SUMPRODUCT(-('Diário 8º PA'!$E$5:$E$2488='Analítico Cx.'!$B16),-('Diário 8º PA'!$P$5:$P$2488=I$1),('Diário 8º PA'!$F$5:$F$2488))</f>
        <v>5040</v>
      </c>
      <c r="J16" s="185">
        <f>SUMPRODUCT(-('Diário 5º PA'!$E$5:$E$2634='Analítico Cx.'!$B16),-('Diário 5º PA'!$P$5:$P$2634=J$1),('Diário 5º PA'!$F$5:$F$2634))+
SUMPRODUCT(-('Diário 6º PA'!$E$5:$E$2246='Analítico Cx.'!$B16),-('Diário 6º PA'!$P$5:$P$2246=J$1),('Diário 6º PA'!$F$5:$F$2246))+
SUMPRODUCT(-('Diário 7º PA'!$E$5:$E$2271='Analítico Cx.'!$B16),-('Diário 7º PA'!$P$5:$P$2271=J$1),('Diário 7º PA'!$F$5:$F$2271))+
SUMPRODUCT(-('Diário 8º PA'!$E$5:$E$2488='Analítico Cx.'!$B16),-('Diário 8º PA'!$P$5:$P$2488=J$1),('Diário 8º PA'!$F$5:$F$2488))</f>
        <v>0</v>
      </c>
      <c r="K16" s="185">
        <f>SUMPRODUCT(-('Diário 5º PA'!$E$5:$E$2634='Analítico Cx.'!$B16),-('Diário 5º PA'!$P$5:$P$2634=K$1),('Diário 5º PA'!$F$5:$F$2634))+
SUMPRODUCT(-('Diário 6º PA'!$E$5:$E$2246='Analítico Cx.'!$B16),-('Diário 6º PA'!$P$5:$P$2246=K$1),('Diário 6º PA'!$F$5:$F$2246))+
SUMPRODUCT(-('Diário 7º PA'!$E$5:$E$2271='Analítico Cx.'!$B16),-('Diário 7º PA'!$P$5:$P$2271=K$1),('Diário 7º PA'!$F$5:$F$2271))+
SUMPRODUCT(-('Diário 8º PA'!$E$5:$E$2488='Analítico Cx.'!$B16),-('Diário 8º PA'!$P$5:$P$2488=K$1),('Diário 8º PA'!$F$5:$F$2488))</f>
        <v>0</v>
      </c>
      <c r="L16" s="185">
        <f>SUMPRODUCT(-('Diário 5º PA'!$E$5:$E$2634='Analítico Cx.'!$B16),-('Diário 5º PA'!$P$5:$P$2634=L$1),('Diário 5º PA'!$F$5:$F$2634))+
SUMPRODUCT(-('Diário 6º PA'!$E$5:$E$2246='Analítico Cx.'!$B16),-('Diário 6º PA'!$P$5:$P$2246=L$1),('Diário 6º PA'!$F$5:$F$2246))+
SUMPRODUCT(-('Diário 7º PA'!$E$5:$E$2271='Analítico Cx.'!$B16),-('Diário 7º PA'!$P$5:$P$2271=L$1),('Diário 7º PA'!$F$5:$F$2271))+
SUMPRODUCT(-('Diário 8º PA'!$E$5:$E$2488='Analítico Cx.'!$B16),-('Diário 8º PA'!$P$5:$P$2488=L$1),('Diário 8º PA'!$F$5:$F$2488))</f>
        <v>0</v>
      </c>
      <c r="M16" s="185">
        <f>SUMPRODUCT(-('Diário 5º PA'!$E$5:$E$2634='Analítico Cx.'!$B16),-('Diário 5º PA'!$P$5:$P$2634=M$1),('Diário 5º PA'!$F$5:$F$2634))+
SUMPRODUCT(-('Diário 6º PA'!$E$5:$E$2246='Analítico Cx.'!$B16),-('Diário 6º PA'!$P$5:$P$2246=M$1),('Diário 6º PA'!$F$5:$F$2246))+
SUMPRODUCT(-('Diário 7º PA'!$E$5:$E$2271='Analítico Cx.'!$B16),-('Diário 7º PA'!$P$5:$P$2271=M$1),('Diário 7º PA'!$F$5:$F$2271))+
SUMPRODUCT(-('Diário 8º PA'!$E$5:$E$2488='Analítico Cx.'!$B16),-('Diário 8º PA'!$P$5:$P$2488=M$1),('Diário 8º PA'!$F$5:$F$2488))</f>
        <v>560</v>
      </c>
      <c r="N16" s="185">
        <f>SUMPRODUCT(-('Diário 5º PA'!$E$5:$E$2634='Analítico Cx.'!$B16),-('Diário 5º PA'!$P$5:$P$2634=N$1),('Diário 5º PA'!$F$5:$F$2634))+
SUMPRODUCT(-('Diário 6º PA'!$E$5:$E$2246='Analítico Cx.'!$B16),-('Diário 6º PA'!$P$5:$P$2246=N$1),('Diário 6º PA'!$F$5:$F$2246))+
SUMPRODUCT(-('Diário 7º PA'!$E$5:$E$2271='Analítico Cx.'!$B16),-('Diário 7º PA'!$P$5:$P$2271=N$1),('Diário 7º PA'!$F$5:$F$2271))+
SUMPRODUCT(-('Diário 8º PA'!$E$5:$E$2488='Analítico Cx.'!$B16),-('Diário 8º PA'!$P$5:$P$2488=N$1),('Diário 8º PA'!$F$5:$F$2488))</f>
        <v>0</v>
      </c>
      <c r="O16" s="186">
        <f t="shared" si="1"/>
        <v>5600</v>
      </c>
      <c r="P16" s="187">
        <f t="shared" si="2"/>
        <v>4.426903457853817E-4</v>
      </c>
      <c r="Q16" s="34"/>
      <c r="R16" s="34"/>
      <c r="S16" s="34"/>
      <c r="T16" s="34"/>
      <c r="U16" s="34"/>
      <c r="V16" s="34"/>
      <c r="W16" s="34"/>
      <c r="X16" s="34"/>
      <c r="Y16" s="34"/>
      <c r="Z16" s="34"/>
    </row>
    <row r="17" spans="1:26" ht="23.25" customHeight="1" x14ac:dyDescent="0.2">
      <c r="A17" s="188" t="s">
        <v>148</v>
      </c>
      <c r="B17" s="189" t="s">
        <v>85</v>
      </c>
      <c r="C17" s="190">
        <f>SUMPRODUCT(-('Diário 5º PA'!$E$5:$E$2634='Analítico Cx.'!$B17),-('Diário 5º PA'!$P$5:$P$2634=C$1),('Diário 5º PA'!$F$5:$F$2634))+
SUMPRODUCT(-('Diário 6º PA'!$E$5:$E$2246='Analítico Cx.'!$B17),-('Diário 6º PA'!$P$5:$P$2246=C$1),('Diário 6º PA'!$F$5:$F$2246))+
SUMPRODUCT(-('Diário 7º PA'!$E$5:$E$2271='Analítico Cx.'!$B17),-('Diário 7º PA'!$P$5:$P$2271=C$1),('Diário 7º PA'!$F$5:$F$2271))+
SUMPRODUCT(-('Diário 8º PA'!$E$5:$E$2488='Analítico Cx.'!$B17),-('Diário 8º PA'!$P$5:$P$2488=C$1),('Diário 8º PA'!$F$5:$F$2488))</f>
        <v>578.86</v>
      </c>
      <c r="D17" s="190">
        <f>SUMPRODUCT(-('Diário 5º PA'!$E$5:$E$2634='Analítico Cx.'!$B17),-('Diário 5º PA'!$P$5:$P$2634=D$1),('Diário 5º PA'!$F$5:$F$2634))+
SUMPRODUCT(-('Diário 6º PA'!$E$5:$E$2246='Analítico Cx.'!$B17),-('Diário 6º PA'!$P$5:$P$2246=D$1),('Diário 6º PA'!$F$5:$F$2246))+
SUMPRODUCT(-('Diário 7º PA'!$E$5:$E$2271='Analítico Cx.'!$B17),-('Diário 7º PA'!$P$5:$P$2271=D$1),('Diário 7º PA'!$F$5:$F$2271))+
SUMPRODUCT(-('Diário 8º PA'!$E$5:$E$2488='Analítico Cx.'!$B17),-('Diário 8º PA'!$P$5:$P$2488=D$1),('Diário 8º PA'!$F$5:$F$2488))</f>
        <v>298.95999999999998</v>
      </c>
      <c r="E17" s="190">
        <f>SUMPRODUCT(-('Diário 5º PA'!$E$5:$E$2634='Analítico Cx.'!$B17),-('Diário 5º PA'!$P$5:$P$2634=E$1),('Diário 5º PA'!$F$5:$F$2634))+
SUMPRODUCT(-('Diário 6º PA'!$E$5:$E$2246='Analítico Cx.'!$B17),-('Diário 6º PA'!$P$5:$P$2246=E$1),('Diário 6º PA'!$F$5:$F$2246))+
SUMPRODUCT(-('Diário 7º PA'!$E$5:$E$2271='Analítico Cx.'!$B17),-('Diário 7º PA'!$P$5:$P$2271=E$1),('Diário 7º PA'!$F$5:$F$2271))+
SUMPRODUCT(-('Diário 8º PA'!$E$5:$E$2488='Analítico Cx.'!$B17),-('Diário 8º PA'!$P$5:$P$2488=E$1),('Diário 8º PA'!$F$5:$F$2488))</f>
        <v>389.71</v>
      </c>
      <c r="F17" s="190">
        <f>SUMPRODUCT(-('Diário 5º PA'!$E$5:$E$2634='Analítico Cx.'!$B17),-('Diário 5º PA'!$P$5:$P$2634=F$1),('Diário 5º PA'!$F$5:$F$2634))+
SUMPRODUCT(-('Diário 6º PA'!$E$5:$E$2246='Analítico Cx.'!$B17),-('Diário 6º PA'!$P$5:$P$2246=F$1),('Diário 6º PA'!$F$5:$F$2246))+
SUMPRODUCT(-('Diário 7º PA'!$E$5:$E$2271='Analítico Cx.'!$B17),-('Diário 7º PA'!$P$5:$P$2271=F$1),('Diário 7º PA'!$F$5:$F$2271))+
SUMPRODUCT(-('Diário 8º PA'!$E$5:$E$2488='Analítico Cx.'!$B17),-('Diário 8º PA'!$P$5:$P$2488=F$1),('Diário 8º PA'!$F$5:$F$2488))</f>
        <v>1871.62</v>
      </c>
      <c r="G17" s="190">
        <f>SUMPRODUCT(-('Diário 5º PA'!$E$5:$E$2634='Analítico Cx.'!$B17),-('Diário 5º PA'!$P$5:$P$2634=G$1),('Diário 5º PA'!$F$5:$F$2634))+
SUMPRODUCT(-('Diário 6º PA'!$E$5:$E$2246='Analítico Cx.'!$B17),-('Diário 6º PA'!$P$5:$P$2246=G$1),('Diário 6º PA'!$F$5:$F$2246))+
SUMPRODUCT(-('Diário 7º PA'!$E$5:$E$2271='Analítico Cx.'!$B17),-('Diário 7º PA'!$P$5:$P$2271=G$1),('Diário 7º PA'!$F$5:$F$2271))+
SUMPRODUCT(-('Diário 8º PA'!$E$5:$E$2488='Analítico Cx.'!$B17),-('Diário 8º PA'!$P$5:$P$2488=G$1),('Diário 8º PA'!$F$5:$F$2488))</f>
        <v>3380.59</v>
      </c>
      <c r="H17" s="190">
        <f>SUMPRODUCT(-('Diário 5º PA'!$E$5:$E$2634='Analítico Cx.'!$B17),-('Diário 5º PA'!$P$5:$P$2634=H$1),('Diário 5º PA'!$F$5:$F$2634))+
SUMPRODUCT(-('Diário 6º PA'!$E$5:$E$2246='Analítico Cx.'!$B17),-('Diário 6º PA'!$P$5:$P$2246=H$1),('Diário 6º PA'!$F$5:$F$2246))+
SUMPRODUCT(-('Diário 7º PA'!$E$5:$E$2271='Analítico Cx.'!$B17),-('Diário 7º PA'!$P$5:$P$2271=H$1),('Diário 7º PA'!$F$5:$F$2271))+
SUMPRODUCT(-('Diário 8º PA'!$E$5:$E$2488='Analítico Cx.'!$B17),-('Diário 8º PA'!$P$5:$P$2488=H$1),('Diário 8º PA'!$F$5:$F$2488))</f>
        <v>5157.97</v>
      </c>
      <c r="I17" s="190">
        <f>SUMPRODUCT(-('Diário 5º PA'!$E$5:$E$2634='Analítico Cx.'!$B17),-('Diário 5º PA'!$P$5:$P$2634=I$1),('Diário 5º PA'!$F$5:$F$2634))+
SUMPRODUCT(-('Diário 6º PA'!$E$5:$E$2246='Analítico Cx.'!$B17),-('Diário 6º PA'!$P$5:$P$2246=I$1),('Diário 6º PA'!$F$5:$F$2246))+
SUMPRODUCT(-('Diário 7º PA'!$E$5:$E$2271='Analítico Cx.'!$B17),-('Diário 7º PA'!$P$5:$P$2271=I$1),('Diário 7º PA'!$F$5:$F$2271))+
SUMPRODUCT(-('Diário 8º PA'!$E$5:$E$2488='Analítico Cx.'!$B17),-('Diário 8º PA'!$P$5:$P$2488=I$1),('Diário 8º PA'!$F$5:$F$2488))</f>
        <v>5875.41</v>
      </c>
      <c r="J17" s="190">
        <f>SUMPRODUCT(-('Diário 5º PA'!$E$5:$E$2634='Analítico Cx.'!$B17),-('Diário 5º PA'!$P$5:$P$2634=J$1),('Diário 5º PA'!$F$5:$F$2634))+
SUMPRODUCT(-('Diário 6º PA'!$E$5:$E$2246='Analítico Cx.'!$B17),-('Diário 6º PA'!$P$5:$P$2246=J$1),('Diário 6º PA'!$F$5:$F$2246))+
SUMPRODUCT(-('Diário 7º PA'!$E$5:$E$2271='Analítico Cx.'!$B17),-('Diário 7º PA'!$P$5:$P$2271=J$1),('Diário 7º PA'!$F$5:$F$2271))+
SUMPRODUCT(-('Diário 8º PA'!$E$5:$E$2488='Analítico Cx.'!$B17),-('Diário 8º PA'!$P$5:$P$2488=J$1),('Diário 8º PA'!$F$5:$F$2488))</f>
        <v>6808.64</v>
      </c>
      <c r="K17" s="190">
        <f>SUMPRODUCT(-('Diário 5º PA'!$E$5:$E$2634='Analítico Cx.'!$B17),-('Diário 5º PA'!$P$5:$P$2634=K$1),('Diário 5º PA'!$F$5:$F$2634))+
SUMPRODUCT(-('Diário 6º PA'!$E$5:$E$2246='Analítico Cx.'!$B17),-('Diário 6º PA'!$P$5:$P$2246=K$1),('Diário 6º PA'!$F$5:$F$2246))+
SUMPRODUCT(-('Diário 7º PA'!$E$5:$E$2271='Analítico Cx.'!$B17),-('Diário 7º PA'!$P$5:$P$2271=K$1),('Diário 7º PA'!$F$5:$F$2271))+
SUMPRODUCT(-('Diário 8º PA'!$E$5:$E$2488='Analítico Cx.'!$B17),-('Diário 8º PA'!$P$5:$P$2488=K$1),('Diário 8º PA'!$F$5:$F$2488))</f>
        <v>8411.84</v>
      </c>
      <c r="L17" s="190">
        <f>SUMPRODUCT(-('Diário 5º PA'!$E$5:$E$2634='Analítico Cx.'!$B17),-('Diário 5º PA'!$P$5:$P$2634=L$1),('Diário 5º PA'!$F$5:$F$2634))+
SUMPRODUCT(-('Diário 6º PA'!$E$5:$E$2246='Analítico Cx.'!$B17),-('Diário 6º PA'!$P$5:$P$2246=L$1),('Diário 6º PA'!$F$5:$F$2246))+
SUMPRODUCT(-('Diário 7º PA'!$E$5:$E$2271='Analítico Cx.'!$B17),-('Diário 7º PA'!$P$5:$P$2271=L$1),('Diário 7º PA'!$F$5:$F$2271))+
SUMPRODUCT(-('Diário 8º PA'!$E$5:$E$2488='Analítico Cx.'!$B17),-('Diário 8º PA'!$P$5:$P$2488=L$1),('Diário 8º PA'!$F$5:$F$2488))</f>
        <v>7658.55</v>
      </c>
      <c r="M17" s="190">
        <f>SUMPRODUCT(-('Diário 5º PA'!$E$5:$E$2634='Analítico Cx.'!$B17),-('Diário 5º PA'!$P$5:$P$2634=M$1),('Diário 5º PA'!$F$5:$F$2634))+
SUMPRODUCT(-('Diário 6º PA'!$E$5:$E$2246='Analítico Cx.'!$B17),-('Diário 6º PA'!$P$5:$P$2246=M$1),('Diário 6º PA'!$F$5:$F$2246))+
SUMPRODUCT(-('Diário 7º PA'!$E$5:$E$2271='Analítico Cx.'!$B17),-('Diário 7º PA'!$P$5:$P$2271=M$1),('Diário 7º PA'!$F$5:$F$2271))+
SUMPRODUCT(-('Diário 8º PA'!$E$5:$E$2488='Analítico Cx.'!$B17),-('Diário 8º PA'!$P$5:$P$2488=M$1),('Diário 8º PA'!$F$5:$F$2488))</f>
        <v>10604.1</v>
      </c>
      <c r="N17" s="190">
        <f>SUMPRODUCT(-('Diário 5º PA'!$E$5:$E$2634='Analítico Cx.'!$B17),-('Diário 5º PA'!$P$5:$P$2634=N$1),('Diário 5º PA'!$F$5:$F$2634))+
SUMPRODUCT(-('Diário 6º PA'!$E$5:$E$2246='Analítico Cx.'!$B17),-('Diário 6º PA'!$P$5:$P$2246=N$1),('Diário 6º PA'!$F$5:$F$2246))+
SUMPRODUCT(-('Diário 7º PA'!$E$5:$E$2271='Analítico Cx.'!$B17),-('Diário 7º PA'!$P$5:$P$2271=N$1),('Diário 7º PA'!$F$5:$F$2271))+
SUMPRODUCT(-('Diário 8º PA'!$E$5:$E$2488='Analítico Cx.'!$B17),-('Diário 8º PA'!$P$5:$P$2488=N$1),('Diário 8º PA'!$F$5:$F$2488))</f>
        <v>10510.86</v>
      </c>
      <c r="O17" s="191">
        <f t="shared" si="1"/>
        <v>61547.11</v>
      </c>
      <c r="P17" s="192">
        <f t="shared" si="2"/>
        <v>4.8654127514269506E-3</v>
      </c>
      <c r="Q17" s="34"/>
      <c r="R17" s="34"/>
      <c r="S17" s="34"/>
      <c r="T17" s="34"/>
      <c r="U17" s="34"/>
      <c r="V17" s="34"/>
      <c r="W17" s="34"/>
      <c r="X17" s="34"/>
      <c r="Y17" s="34"/>
      <c r="Z17" s="34"/>
    </row>
    <row r="18" spans="1:26" ht="23.25" customHeight="1" x14ac:dyDescent="0.2">
      <c r="A18" s="81" t="s">
        <v>149</v>
      </c>
      <c r="B18" s="193"/>
      <c r="C18" s="174">
        <f t="shared" ref="C18:O18" si="3">SUBTOTAL(109,C14:C17)</f>
        <v>700938.2</v>
      </c>
      <c r="D18" s="174">
        <f t="shared" si="3"/>
        <v>298.95999999999998</v>
      </c>
      <c r="E18" s="174">
        <f t="shared" si="3"/>
        <v>389.71</v>
      </c>
      <c r="F18" s="174">
        <f t="shared" si="3"/>
        <v>1859353.85</v>
      </c>
      <c r="G18" s="174">
        <f t="shared" si="3"/>
        <v>603380.59</v>
      </c>
      <c r="H18" s="174">
        <f t="shared" si="3"/>
        <v>777266.65</v>
      </c>
      <c r="I18" s="174">
        <f t="shared" si="3"/>
        <v>10915.41</v>
      </c>
      <c r="J18" s="174">
        <f t="shared" si="3"/>
        <v>1516315.71</v>
      </c>
      <c r="K18" s="174">
        <f t="shared" si="3"/>
        <v>1857436.8800000001</v>
      </c>
      <c r="L18" s="174">
        <f t="shared" si="3"/>
        <v>1141658.55</v>
      </c>
      <c r="M18" s="174">
        <f t="shared" si="3"/>
        <v>2077402.9700000002</v>
      </c>
      <c r="N18" s="174">
        <f t="shared" si="3"/>
        <v>2104568.2599999998</v>
      </c>
      <c r="O18" s="174">
        <f t="shared" si="3"/>
        <v>12649925.739999998</v>
      </c>
      <c r="P18" s="194">
        <f t="shared" si="2"/>
        <v>1</v>
      </c>
      <c r="Q18" s="34"/>
      <c r="R18" s="34"/>
      <c r="S18" s="34"/>
      <c r="T18" s="34"/>
      <c r="U18" s="34"/>
      <c r="V18" s="34"/>
      <c r="W18" s="34"/>
      <c r="X18" s="34"/>
      <c r="Y18" s="34"/>
      <c r="Z18" s="34"/>
    </row>
    <row r="19" spans="1:26" ht="23.25" customHeight="1" x14ac:dyDescent="0.2">
      <c r="A19" s="195"/>
      <c r="B19" s="85"/>
      <c r="C19" s="196"/>
      <c r="D19" s="196"/>
      <c r="E19" s="196"/>
      <c r="F19" s="196"/>
      <c r="G19" s="196"/>
      <c r="H19" s="196"/>
      <c r="I19" s="196"/>
      <c r="J19" s="196"/>
      <c r="K19" s="196"/>
      <c r="L19" s="196"/>
      <c r="M19" s="196"/>
      <c r="N19" s="196"/>
      <c r="O19" s="196"/>
      <c r="P19" s="34"/>
      <c r="Q19" s="34"/>
      <c r="R19" s="34"/>
      <c r="S19" s="34"/>
      <c r="T19" s="34"/>
      <c r="U19" s="34"/>
      <c r="V19" s="34"/>
      <c r="W19" s="34"/>
      <c r="X19" s="34"/>
      <c r="Y19" s="34"/>
      <c r="Z19" s="34"/>
    </row>
    <row r="20" spans="1:26" ht="23.25" customHeight="1" x14ac:dyDescent="0.2">
      <c r="A20" s="197">
        <v>2</v>
      </c>
      <c r="B20" s="85" t="s">
        <v>87</v>
      </c>
      <c r="C20" s="179"/>
      <c r="D20" s="179"/>
      <c r="E20" s="179"/>
      <c r="F20" s="179"/>
      <c r="G20" s="179"/>
      <c r="H20" s="179"/>
      <c r="I20" s="179"/>
      <c r="J20" s="179"/>
      <c r="K20" s="179"/>
      <c r="L20" s="179"/>
      <c r="M20" s="179"/>
      <c r="N20" s="179"/>
      <c r="O20" s="179"/>
      <c r="P20" s="179"/>
      <c r="Q20" s="34"/>
      <c r="R20" s="34"/>
      <c r="S20" s="34"/>
      <c r="T20" s="34"/>
      <c r="U20" s="34"/>
      <c r="V20" s="34"/>
      <c r="W20" s="34"/>
      <c r="X20" s="34"/>
      <c r="Y20" s="34"/>
      <c r="Z20" s="34"/>
    </row>
    <row r="21" spans="1:26" ht="23.25" customHeight="1" x14ac:dyDescent="0.2">
      <c r="A21" s="181" t="s">
        <v>84</v>
      </c>
      <c r="B21" s="198" t="s">
        <v>88</v>
      </c>
      <c r="C21" s="171"/>
      <c r="D21" s="171"/>
      <c r="E21" s="171"/>
      <c r="F21" s="171"/>
      <c r="G21" s="171"/>
      <c r="H21" s="171"/>
      <c r="I21" s="171"/>
      <c r="J21" s="171"/>
      <c r="K21" s="171"/>
      <c r="L21" s="171"/>
      <c r="M21" s="171"/>
      <c r="N21" s="171"/>
      <c r="O21" s="171"/>
      <c r="P21" s="199"/>
      <c r="Q21" s="34"/>
      <c r="R21" s="34"/>
      <c r="S21" s="34"/>
      <c r="T21" s="34"/>
      <c r="U21" s="34"/>
      <c r="V21" s="34"/>
      <c r="W21" s="34"/>
      <c r="X21" s="34"/>
      <c r="Y21" s="34"/>
      <c r="Z21" s="34"/>
    </row>
    <row r="22" spans="1:26" ht="23.25" customHeight="1" x14ac:dyDescent="0.2">
      <c r="A22" s="200" t="s">
        <v>89</v>
      </c>
      <c r="B22" s="201" t="s">
        <v>150</v>
      </c>
      <c r="C22" s="182"/>
      <c r="D22" s="182"/>
      <c r="E22" s="182"/>
      <c r="F22" s="182"/>
      <c r="G22" s="182"/>
      <c r="H22" s="182"/>
      <c r="I22" s="182"/>
      <c r="J22" s="182"/>
      <c r="K22" s="182"/>
      <c r="L22" s="182"/>
      <c r="M22" s="182"/>
      <c r="N22" s="182"/>
      <c r="O22" s="182"/>
      <c r="P22" s="202"/>
      <c r="Q22" s="34"/>
      <c r="R22" s="34"/>
      <c r="S22" s="34"/>
      <c r="T22" s="34"/>
      <c r="U22" s="34"/>
      <c r="V22" s="34"/>
      <c r="W22" s="34"/>
      <c r="X22" s="34"/>
      <c r="Y22" s="34"/>
      <c r="Z22" s="34"/>
    </row>
    <row r="23" spans="1:26" ht="23.25" customHeight="1" x14ac:dyDescent="0.2">
      <c r="A23" s="203" t="s">
        <v>151</v>
      </c>
      <c r="B23" s="72" t="s">
        <v>90</v>
      </c>
      <c r="C23" s="185">
        <f>SUMPRODUCT(-('Diário 5º PA'!$E$5:$E$2634='Analítico Cx.'!$B23),-('Diário 5º PA'!$P$5:$P$2634=C$1),('Diário 5º PA'!$F$5:$F$2634))+
SUMPRODUCT(-('Diário 6º PA'!$E$5:$E$2246='Analítico Cx.'!$B23),-('Diário 6º PA'!$P$5:$P$2246=C$1),('Diário 6º PA'!$F$5:$F$2246))+
SUMPRODUCT(-('Diário 7º PA'!$E$5:$E$2271='Analítico Cx.'!$B23),-('Diário 7º PA'!$P$5:$P$2271=C$1),('Diário 7º PA'!$F$5:$F$2271))+
SUMPRODUCT(-('Diário 8º PA'!$E$5:$E$2488='Analítico Cx.'!$B23),-('Diário 8º PA'!$P$5:$P$2488=C$1),('Diário 8º PA'!$F$5:$F$2488))</f>
        <v>82933.699999999983</v>
      </c>
      <c r="D23" s="185">
        <f>SUMPRODUCT(-('Diário 5º PA'!$E$5:$E$2634='Analítico Cx.'!$B23),-('Diário 5º PA'!$P$5:$P$2634=D$1),('Diário 5º PA'!$F$5:$F$2634))+
SUMPRODUCT(-('Diário 6º PA'!$E$5:$E$2246='Analítico Cx.'!$B23),-('Diário 6º PA'!$P$5:$P$2246=D$1),('Diário 6º PA'!$F$5:$F$2246))+
SUMPRODUCT(-('Diário 7º PA'!$E$5:$E$2271='Analítico Cx.'!$B23),-('Diário 7º PA'!$P$5:$P$2271=D$1),('Diário 7º PA'!$F$5:$F$2271))+
SUMPRODUCT(-('Diário 8º PA'!$E$5:$E$2488='Analítico Cx.'!$B23),-('Diário 8º PA'!$P$5:$P$2488=D$1),('Diário 8º PA'!$F$5:$F$2488))</f>
        <v>70383.929999999993</v>
      </c>
      <c r="E23" s="185">
        <f>SUMPRODUCT(-('Diário 5º PA'!$E$5:$E$2634='Analítico Cx.'!$B23),-('Diário 5º PA'!$P$5:$P$2634=E$1),('Diário 5º PA'!$F$5:$F$2634))+
SUMPRODUCT(-('Diário 6º PA'!$E$5:$E$2246='Analítico Cx.'!$B23),-('Diário 6º PA'!$P$5:$P$2246=E$1),('Diário 6º PA'!$F$5:$F$2246))+
SUMPRODUCT(-('Diário 7º PA'!$E$5:$E$2271='Analítico Cx.'!$B23),-('Diário 7º PA'!$P$5:$P$2271=E$1),('Diário 7º PA'!$F$5:$F$2271))+
SUMPRODUCT(-('Diário 8º PA'!$E$5:$E$2488='Analítico Cx.'!$B23),-('Diário 8º PA'!$P$5:$P$2488=E$1),('Diário 8º PA'!$F$5:$F$2488))</f>
        <v>75617.36</v>
      </c>
      <c r="F23" s="185">
        <f>SUMPRODUCT(-('Diário 5º PA'!$E$5:$E$2634='Analítico Cx.'!$B23),-('Diário 5º PA'!$P$5:$P$2634=F$1),('Diário 5º PA'!$F$5:$F$2634))+
SUMPRODUCT(-('Diário 6º PA'!$E$5:$E$2246='Analítico Cx.'!$B23),-('Diário 6º PA'!$P$5:$P$2246=F$1),('Diário 6º PA'!$F$5:$F$2246))+
SUMPRODUCT(-('Diário 7º PA'!$E$5:$E$2271='Analítico Cx.'!$B23),-('Diário 7º PA'!$P$5:$P$2271=F$1),('Diário 7º PA'!$F$5:$F$2271))+
SUMPRODUCT(-('Diário 8º PA'!$E$5:$E$2488='Analítico Cx.'!$B23),-('Diário 8º PA'!$P$5:$P$2488=F$1),('Diário 8º PA'!$F$5:$F$2488))</f>
        <v>80966.919999999984</v>
      </c>
      <c r="G23" s="185">
        <f>SUMPRODUCT(-('Diário 5º PA'!$E$5:$E$2634='Analítico Cx.'!$B23),-('Diário 5º PA'!$P$5:$P$2634=G$1),('Diário 5º PA'!$F$5:$F$2634))+
SUMPRODUCT(-('Diário 6º PA'!$E$5:$E$2246='Analítico Cx.'!$B23),-('Diário 6º PA'!$P$5:$P$2246=G$1),('Diário 6º PA'!$F$5:$F$2246))+
SUMPRODUCT(-('Diário 7º PA'!$E$5:$E$2271='Analítico Cx.'!$B23),-('Diário 7º PA'!$P$5:$P$2271=G$1),('Diário 7º PA'!$F$5:$F$2271))+
SUMPRODUCT(-('Diário 8º PA'!$E$5:$E$2488='Analítico Cx.'!$B23),-('Diário 8º PA'!$P$5:$P$2488=G$1),('Diário 8º PA'!$F$5:$F$2488))</f>
        <v>81373.52</v>
      </c>
      <c r="H23" s="185">
        <f>SUMPRODUCT(-('Diário 5º PA'!$E$5:$E$2634='Analítico Cx.'!$B23),-('Diário 5º PA'!$P$5:$P$2634=H$1),('Diário 5º PA'!$F$5:$F$2634))+
SUMPRODUCT(-('Diário 6º PA'!$E$5:$E$2246='Analítico Cx.'!$B23),-('Diário 6º PA'!$P$5:$P$2246=H$1),('Diário 6º PA'!$F$5:$F$2246))+
SUMPRODUCT(-('Diário 7º PA'!$E$5:$E$2271='Analítico Cx.'!$B23),-('Diário 7º PA'!$P$5:$P$2271=H$1),('Diário 7º PA'!$F$5:$F$2271))+
SUMPRODUCT(-('Diário 8º PA'!$E$5:$E$2488='Analítico Cx.'!$B23),-('Diário 8º PA'!$P$5:$P$2488=H$1),('Diário 8º PA'!$F$5:$F$2488))</f>
        <v>81484.509999999995</v>
      </c>
      <c r="I23" s="185">
        <f>SUMPRODUCT(-('Diário 5º PA'!$E$5:$E$2634='Analítico Cx.'!$B23),-('Diário 5º PA'!$P$5:$P$2634=I$1),('Diário 5º PA'!$F$5:$F$2634))+
SUMPRODUCT(-('Diário 6º PA'!$E$5:$E$2246='Analítico Cx.'!$B23),-('Diário 6º PA'!$P$5:$P$2246=I$1),('Diário 6º PA'!$F$5:$F$2246))+
SUMPRODUCT(-('Diário 7º PA'!$E$5:$E$2271='Analítico Cx.'!$B23),-('Diário 7º PA'!$P$5:$P$2271=I$1),('Diário 7º PA'!$F$5:$F$2271))+
SUMPRODUCT(-('Diário 8º PA'!$E$5:$E$2488='Analítico Cx.'!$B23),-('Diário 8º PA'!$P$5:$P$2488=I$1),('Diário 8º PA'!$F$5:$F$2488))</f>
        <v>85165.38</v>
      </c>
      <c r="J23" s="185">
        <f>SUMPRODUCT(-('Diário 5º PA'!$E$5:$E$2634='Analítico Cx.'!$B23),-('Diário 5º PA'!$P$5:$P$2634=J$1),('Diário 5º PA'!$F$5:$F$2634))+
SUMPRODUCT(-('Diário 6º PA'!$E$5:$E$2246='Analítico Cx.'!$B23),-('Diário 6º PA'!$P$5:$P$2246=J$1),('Diário 6º PA'!$F$5:$F$2246))+
SUMPRODUCT(-('Diário 7º PA'!$E$5:$E$2271='Analítico Cx.'!$B23),-('Diário 7º PA'!$P$5:$P$2271=J$1),('Diário 7º PA'!$F$5:$F$2271))+
SUMPRODUCT(-('Diário 8º PA'!$E$5:$E$2488='Analítico Cx.'!$B23),-('Diário 8º PA'!$P$5:$P$2488=J$1),('Diário 8º PA'!$F$5:$F$2488))</f>
        <v>116699.43000000007</v>
      </c>
      <c r="K23" s="185">
        <f>SUMPRODUCT(-('Diário 5º PA'!$E$5:$E$2634='Analítico Cx.'!$B23),-('Diário 5º PA'!$P$5:$P$2634=K$1),('Diário 5º PA'!$F$5:$F$2634))+
SUMPRODUCT(-('Diário 6º PA'!$E$5:$E$2246='Analítico Cx.'!$B23),-('Diário 6º PA'!$P$5:$P$2246=K$1),('Diário 6º PA'!$F$5:$F$2246))+
SUMPRODUCT(-('Diário 7º PA'!$E$5:$E$2271='Analítico Cx.'!$B23),-('Diário 7º PA'!$P$5:$P$2271=K$1),('Diário 7º PA'!$F$5:$F$2271))+
SUMPRODUCT(-('Diário 8º PA'!$E$5:$E$2488='Analítico Cx.'!$B23),-('Diário 8º PA'!$P$5:$P$2488=K$1),('Diário 8º PA'!$F$5:$F$2488))</f>
        <v>156845.15000000005</v>
      </c>
      <c r="L23" s="185">
        <f>SUMPRODUCT(-('Diário 5º PA'!$E$5:$E$2634='Analítico Cx.'!$B23),-('Diário 5º PA'!$P$5:$P$2634=L$1),('Diário 5º PA'!$F$5:$F$2634))+
SUMPRODUCT(-('Diário 6º PA'!$E$5:$E$2246='Analítico Cx.'!$B23),-('Diário 6º PA'!$P$5:$P$2246=L$1),('Diário 6º PA'!$F$5:$F$2246))+
SUMPRODUCT(-('Diário 7º PA'!$E$5:$E$2271='Analítico Cx.'!$B23),-('Diário 7º PA'!$P$5:$P$2271=L$1),('Diário 7º PA'!$F$5:$F$2271))+
SUMPRODUCT(-('Diário 8º PA'!$E$5:$E$2488='Analítico Cx.'!$B23),-('Diário 8º PA'!$P$5:$P$2488=L$1),('Diário 8º PA'!$F$5:$F$2488))</f>
        <v>158725.89000000004</v>
      </c>
      <c r="M23" s="185">
        <f>SUMPRODUCT(-('Diário 5º PA'!$E$5:$E$2634='Analítico Cx.'!$B23),-('Diário 5º PA'!$P$5:$P$2634=M$1),('Diário 5º PA'!$F$5:$F$2634))+
SUMPRODUCT(-('Diário 6º PA'!$E$5:$E$2246='Analítico Cx.'!$B23),-('Diário 6º PA'!$P$5:$P$2246=M$1),('Diário 6º PA'!$F$5:$F$2246))+
SUMPRODUCT(-('Diário 7º PA'!$E$5:$E$2271='Analítico Cx.'!$B23),-('Diário 7º PA'!$P$5:$P$2271=M$1),('Diário 7º PA'!$F$5:$F$2271))+
SUMPRODUCT(-('Diário 8º PA'!$E$5:$E$2488='Analítico Cx.'!$B23),-('Diário 8º PA'!$P$5:$P$2488=M$1),('Diário 8º PA'!$F$5:$F$2488))</f>
        <v>185455.60000000003</v>
      </c>
      <c r="N23" s="185">
        <f>SUMPRODUCT(-('Diário 5º PA'!$E$5:$E$2634='Analítico Cx.'!$B23),-('Diário 5º PA'!$P$5:$P$2634=N$1),('Diário 5º PA'!$F$5:$F$2634))+
SUMPRODUCT(-('Diário 6º PA'!$E$5:$E$2246='Analítico Cx.'!$B23),-('Diário 6º PA'!$P$5:$P$2246=N$1),('Diário 6º PA'!$F$5:$F$2246))+
SUMPRODUCT(-('Diário 7º PA'!$E$5:$E$2271='Analítico Cx.'!$B23),-('Diário 7º PA'!$P$5:$P$2271=N$1),('Diário 7º PA'!$F$5:$F$2271))+
SUMPRODUCT(-('Diário 8º PA'!$E$5:$E$2488='Analítico Cx.'!$B23),-('Diário 8º PA'!$P$5:$P$2488=N$1),('Diário 8º PA'!$F$5:$F$2488))</f>
        <v>204686.48000000007</v>
      </c>
      <c r="O23" s="186">
        <f t="shared" ref="O23:O27" si="4">SUM(C23:N23)</f>
        <v>1380337.87</v>
      </c>
      <c r="P23" s="187">
        <f t="shared" ref="P23:P28" si="5">IF($O$166=0,0,O23/$O$166)</f>
        <v>0.14645550444176347</v>
      </c>
      <c r="Q23" s="34"/>
      <c r="R23" s="34"/>
      <c r="S23" s="34"/>
      <c r="T23" s="34"/>
      <c r="U23" s="34"/>
      <c r="V23" s="34"/>
      <c r="W23" s="34"/>
      <c r="X23" s="34"/>
      <c r="Y23" s="34"/>
      <c r="Z23" s="34"/>
    </row>
    <row r="24" spans="1:26" ht="23.25" customHeight="1" x14ac:dyDescent="0.2">
      <c r="A24" s="203" t="s">
        <v>152</v>
      </c>
      <c r="B24" s="204" t="s">
        <v>153</v>
      </c>
      <c r="C24" s="185">
        <f>SUMPRODUCT(-('Diário 5º PA'!$E$5:$E$2634='Analítico Cx.'!$B24),-('Diário 5º PA'!$P$5:$P$2634=C$1),('Diário 5º PA'!$F$5:$F$2634))+
SUMPRODUCT(-('Diário 6º PA'!$E$5:$E$2246='Analítico Cx.'!$B24),-('Diário 6º PA'!$P$5:$P$2246=C$1),('Diário 6º PA'!$F$5:$F$2246))+
SUMPRODUCT(-('Diário 7º PA'!$E$5:$E$2271='Analítico Cx.'!$B24),-('Diário 7º PA'!$P$5:$P$2271=C$1),('Diário 7º PA'!$F$5:$F$2271))+
SUMPRODUCT(-('Diário 8º PA'!$E$5:$E$2488='Analítico Cx.'!$B24),-('Diário 8º PA'!$P$5:$P$2488=C$1),('Diário 8º PA'!$F$5:$F$2488))</f>
        <v>0</v>
      </c>
      <c r="D24" s="185">
        <f>SUMPRODUCT(-('Diário 5º PA'!$E$5:$E$2634='Analítico Cx.'!$B24),-('Diário 5º PA'!$P$5:$P$2634=D$1),('Diário 5º PA'!$F$5:$F$2634))+
SUMPRODUCT(-('Diário 6º PA'!$E$5:$E$2246='Analítico Cx.'!$B24),-('Diário 6º PA'!$P$5:$P$2246=D$1),('Diário 6º PA'!$F$5:$F$2246))+
SUMPRODUCT(-('Diário 7º PA'!$E$5:$E$2271='Analítico Cx.'!$B24),-('Diário 7º PA'!$P$5:$P$2271=D$1),('Diário 7º PA'!$F$5:$F$2271))+
SUMPRODUCT(-('Diário 8º PA'!$E$5:$E$2488='Analítico Cx.'!$B24),-('Diário 8º PA'!$P$5:$P$2488=D$1),('Diário 8º PA'!$F$5:$F$2488))</f>
        <v>0</v>
      </c>
      <c r="E24" s="185">
        <f>SUMPRODUCT(-('Diário 5º PA'!$E$5:$E$2634='Analítico Cx.'!$B24),-('Diário 5º PA'!$P$5:$P$2634=E$1),('Diário 5º PA'!$F$5:$F$2634))+
SUMPRODUCT(-('Diário 6º PA'!$E$5:$E$2246='Analítico Cx.'!$B24),-('Diário 6º PA'!$P$5:$P$2246=E$1),('Diário 6º PA'!$F$5:$F$2246))+
SUMPRODUCT(-('Diário 7º PA'!$E$5:$E$2271='Analítico Cx.'!$B24),-('Diário 7º PA'!$P$5:$P$2271=E$1),('Diário 7º PA'!$F$5:$F$2271))+
SUMPRODUCT(-('Diário 8º PA'!$E$5:$E$2488='Analítico Cx.'!$B24),-('Diário 8º PA'!$P$5:$P$2488=E$1),('Diário 8º PA'!$F$5:$F$2488))</f>
        <v>0</v>
      </c>
      <c r="F24" s="185">
        <f>SUMPRODUCT(-('Diário 5º PA'!$E$5:$E$2634='Analítico Cx.'!$B24),-('Diário 5º PA'!$P$5:$P$2634=F$1),('Diário 5º PA'!$F$5:$F$2634))+
SUMPRODUCT(-('Diário 6º PA'!$E$5:$E$2246='Analítico Cx.'!$B24),-('Diário 6º PA'!$P$5:$P$2246=F$1),('Diário 6º PA'!$F$5:$F$2246))+
SUMPRODUCT(-('Diário 7º PA'!$E$5:$E$2271='Analítico Cx.'!$B24),-('Diário 7º PA'!$P$5:$P$2271=F$1),('Diário 7º PA'!$F$5:$F$2271))+
SUMPRODUCT(-('Diário 8º PA'!$E$5:$E$2488='Analítico Cx.'!$B24),-('Diário 8º PA'!$P$5:$P$2488=F$1),('Diário 8º PA'!$F$5:$F$2488))</f>
        <v>0</v>
      </c>
      <c r="G24" s="185">
        <f>SUMPRODUCT(-('Diário 5º PA'!$E$5:$E$2634='Analítico Cx.'!$B24),-('Diário 5º PA'!$P$5:$P$2634=G$1),('Diário 5º PA'!$F$5:$F$2634))+
SUMPRODUCT(-('Diário 6º PA'!$E$5:$E$2246='Analítico Cx.'!$B24),-('Diário 6º PA'!$P$5:$P$2246=G$1),('Diário 6º PA'!$F$5:$F$2246))+
SUMPRODUCT(-('Diário 7º PA'!$E$5:$E$2271='Analítico Cx.'!$B24),-('Diário 7º PA'!$P$5:$P$2271=G$1),('Diário 7º PA'!$F$5:$F$2271))+
SUMPRODUCT(-('Diário 8º PA'!$E$5:$E$2488='Analítico Cx.'!$B24),-('Diário 8º PA'!$P$5:$P$2488=G$1),('Diário 8º PA'!$F$5:$F$2488))</f>
        <v>0</v>
      </c>
      <c r="H24" s="185">
        <f>SUMPRODUCT(-('Diário 5º PA'!$E$5:$E$2634='Analítico Cx.'!$B24),-('Diário 5º PA'!$P$5:$P$2634=H$1),('Diário 5º PA'!$F$5:$F$2634))+
SUMPRODUCT(-('Diário 6º PA'!$E$5:$E$2246='Analítico Cx.'!$B24),-('Diário 6º PA'!$P$5:$P$2246=H$1),('Diário 6º PA'!$F$5:$F$2246))+
SUMPRODUCT(-('Diário 7º PA'!$E$5:$E$2271='Analítico Cx.'!$B24),-('Diário 7º PA'!$P$5:$P$2271=H$1),('Diário 7º PA'!$F$5:$F$2271))+
SUMPRODUCT(-('Diário 8º PA'!$E$5:$E$2488='Analítico Cx.'!$B24),-('Diário 8º PA'!$P$5:$P$2488=H$1),('Diário 8º PA'!$F$5:$F$2488))</f>
        <v>0</v>
      </c>
      <c r="I24" s="185">
        <f>SUMPRODUCT(-('Diário 5º PA'!$E$5:$E$2634='Analítico Cx.'!$B24),-('Diário 5º PA'!$P$5:$P$2634=I$1),('Diário 5º PA'!$F$5:$F$2634))+
SUMPRODUCT(-('Diário 6º PA'!$E$5:$E$2246='Analítico Cx.'!$B24),-('Diário 6º PA'!$P$5:$P$2246=I$1),('Diário 6º PA'!$F$5:$F$2246))+
SUMPRODUCT(-('Diário 7º PA'!$E$5:$E$2271='Analítico Cx.'!$B24),-('Diário 7º PA'!$P$5:$P$2271=I$1),('Diário 7º PA'!$F$5:$F$2271))+
SUMPRODUCT(-('Diário 8º PA'!$E$5:$E$2488='Analítico Cx.'!$B24),-('Diário 8º PA'!$P$5:$P$2488=I$1),('Diário 8º PA'!$F$5:$F$2488))</f>
        <v>0</v>
      </c>
      <c r="J24" s="185">
        <f>SUMPRODUCT(-('Diário 5º PA'!$E$5:$E$2634='Analítico Cx.'!$B24),-('Diário 5º PA'!$P$5:$P$2634=J$1),('Diário 5º PA'!$F$5:$F$2634))+
SUMPRODUCT(-('Diário 6º PA'!$E$5:$E$2246='Analítico Cx.'!$B24),-('Diário 6º PA'!$P$5:$P$2246=J$1),('Diário 6º PA'!$F$5:$F$2246))+
SUMPRODUCT(-('Diário 7º PA'!$E$5:$E$2271='Analítico Cx.'!$B24),-('Diário 7º PA'!$P$5:$P$2271=J$1),('Diário 7º PA'!$F$5:$F$2271))+
SUMPRODUCT(-('Diário 8º PA'!$E$5:$E$2488='Analítico Cx.'!$B24),-('Diário 8º PA'!$P$5:$P$2488=J$1),('Diário 8º PA'!$F$5:$F$2488))</f>
        <v>0</v>
      </c>
      <c r="K24" s="185">
        <f>SUMPRODUCT(-('Diário 5º PA'!$E$5:$E$2634='Analítico Cx.'!$B24),-('Diário 5º PA'!$P$5:$P$2634=K$1),('Diário 5º PA'!$F$5:$F$2634))+
SUMPRODUCT(-('Diário 6º PA'!$E$5:$E$2246='Analítico Cx.'!$B24),-('Diário 6º PA'!$P$5:$P$2246=K$1),('Diário 6º PA'!$F$5:$F$2246))+
SUMPRODUCT(-('Diário 7º PA'!$E$5:$E$2271='Analítico Cx.'!$B24),-('Diário 7º PA'!$P$5:$P$2271=K$1),('Diário 7º PA'!$F$5:$F$2271))+
SUMPRODUCT(-('Diário 8º PA'!$E$5:$E$2488='Analítico Cx.'!$B24),-('Diário 8º PA'!$P$5:$P$2488=K$1),('Diário 8º PA'!$F$5:$F$2488))</f>
        <v>0</v>
      </c>
      <c r="L24" s="185">
        <f>SUMPRODUCT(-('Diário 5º PA'!$E$5:$E$2634='Analítico Cx.'!$B24),-('Diário 5º PA'!$P$5:$P$2634=L$1),('Diário 5º PA'!$F$5:$F$2634))+
SUMPRODUCT(-('Diário 6º PA'!$E$5:$E$2246='Analítico Cx.'!$B24),-('Diário 6º PA'!$P$5:$P$2246=L$1),('Diário 6º PA'!$F$5:$F$2246))+
SUMPRODUCT(-('Diário 7º PA'!$E$5:$E$2271='Analítico Cx.'!$B24),-('Diário 7º PA'!$P$5:$P$2271=L$1),('Diário 7º PA'!$F$5:$F$2271))+
SUMPRODUCT(-('Diário 8º PA'!$E$5:$E$2488='Analítico Cx.'!$B24),-('Diário 8º PA'!$P$5:$P$2488=L$1),('Diário 8º PA'!$F$5:$F$2488))</f>
        <v>0</v>
      </c>
      <c r="M24" s="185">
        <f>SUMPRODUCT(-('Diário 5º PA'!$E$5:$E$2634='Analítico Cx.'!$B24),-('Diário 5º PA'!$P$5:$P$2634=M$1),('Diário 5º PA'!$F$5:$F$2634))+
SUMPRODUCT(-('Diário 6º PA'!$E$5:$E$2246='Analítico Cx.'!$B24),-('Diário 6º PA'!$P$5:$P$2246=M$1),('Diário 6º PA'!$F$5:$F$2246))+
SUMPRODUCT(-('Diário 7º PA'!$E$5:$E$2271='Analítico Cx.'!$B24),-('Diário 7º PA'!$P$5:$P$2271=M$1),('Diário 7º PA'!$F$5:$F$2271))+
SUMPRODUCT(-('Diário 8º PA'!$E$5:$E$2488='Analítico Cx.'!$B24),-('Diário 8º PA'!$P$5:$P$2488=M$1),('Diário 8º PA'!$F$5:$F$2488))</f>
        <v>0</v>
      </c>
      <c r="N24" s="185">
        <f>SUMPRODUCT(-('Diário 5º PA'!$E$5:$E$2634='Analítico Cx.'!$B24),-('Diário 5º PA'!$P$5:$P$2634=N$1),('Diário 5º PA'!$F$5:$F$2634))+
SUMPRODUCT(-('Diário 6º PA'!$E$5:$E$2246='Analítico Cx.'!$B24),-('Diário 6º PA'!$P$5:$P$2246=N$1),('Diário 6º PA'!$F$5:$F$2246))+
SUMPRODUCT(-('Diário 7º PA'!$E$5:$E$2271='Analítico Cx.'!$B24),-('Diário 7º PA'!$P$5:$P$2271=N$1),('Diário 7º PA'!$F$5:$F$2271))+
SUMPRODUCT(-('Diário 8º PA'!$E$5:$E$2488='Analítico Cx.'!$B24),-('Diário 8º PA'!$P$5:$P$2488=N$1),('Diário 8º PA'!$F$5:$F$2488))</f>
        <v>0</v>
      </c>
      <c r="O24" s="186">
        <f t="shared" si="4"/>
        <v>0</v>
      </c>
      <c r="P24" s="187">
        <f t="shared" si="5"/>
        <v>0</v>
      </c>
      <c r="Q24" s="34"/>
      <c r="R24" s="34"/>
      <c r="S24" s="34"/>
      <c r="T24" s="34"/>
      <c r="U24" s="34"/>
      <c r="V24" s="34"/>
      <c r="W24" s="34"/>
      <c r="X24" s="34"/>
      <c r="Y24" s="34"/>
      <c r="Z24" s="34"/>
    </row>
    <row r="25" spans="1:26" ht="23.25" customHeight="1" x14ac:dyDescent="0.2">
      <c r="A25" s="203" t="s">
        <v>154</v>
      </c>
      <c r="B25" s="204" t="s">
        <v>155</v>
      </c>
      <c r="C25" s="185">
        <f>SUMPRODUCT(-('Diário 5º PA'!$E$5:$E$2634='Analítico Cx.'!$B25),-('Diário 5º PA'!$P$5:$P$2634=C$1),('Diário 5º PA'!$F$5:$F$2634))+
SUMPRODUCT(-('Diário 6º PA'!$E$5:$E$2246='Analítico Cx.'!$B25),-('Diário 6º PA'!$P$5:$P$2246=C$1),('Diário 6º PA'!$F$5:$F$2246))+
SUMPRODUCT(-('Diário 7º PA'!$E$5:$E$2271='Analítico Cx.'!$B25),-('Diário 7º PA'!$P$5:$P$2271=C$1),('Diário 7º PA'!$F$5:$F$2271))+
SUMPRODUCT(-('Diário 8º PA'!$E$5:$E$2488='Analítico Cx.'!$B25),-('Diário 8º PA'!$P$5:$P$2488=C$1),('Diário 8º PA'!$F$5:$F$2488))</f>
        <v>0</v>
      </c>
      <c r="D25" s="185">
        <f>SUMPRODUCT(-('Diário 5º PA'!$E$5:$E$2634='Analítico Cx.'!$B25),-('Diário 5º PA'!$P$5:$P$2634=D$1),('Diário 5º PA'!$F$5:$F$2634))+
SUMPRODUCT(-('Diário 6º PA'!$E$5:$E$2246='Analítico Cx.'!$B25),-('Diário 6º PA'!$P$5:$P$2246=D$1),('Diário 6º PA'!$F$5:$F$2246))+
SUMPRODUCT(-('Diário 7º PA'!$E$5:$E$2271='Analítico Cx.'!$B25),-('Diário 7º PA'!$P$5:$P$2271=D$1),('Diário 7º PA'!$F$5:$F$2271))+
SUMPRODUCT(-('Diário 8º PA'!$E$5:$E$2488='Analítico Cx.'!$B25),-('Diário 8º PA'!$P$5:$P$2488=D$1),('Diário 8º PA'!$F$5:$F$2488))</f>
        <v>0</v>
      </c>
      <c r="E25" s="185">
        <f>SUMPRODUCT(-('Diário 5º PA'!$E$5:$E$2634='Analítico Cx.'!$B25),-('Diário 5º PA'!$P$5:$P$2634=E$1),('Diário 5º PA'!$F$5:$F$2634))+
SUMPRODUCT(-('Diário 6º PA'!$E$5:$E$2246='Analítico Cx.'!$B25),-('Diário 6º PA'!$P$5:$P$2246=E$1),('Diário 6º PA'!$F$5:$F$2246))+
SUMPRODUCT(-('Diário 7º PA'!$E$5:$E$2271='Analítico Cx.'!$B25),-('Diário 7º PA'!$P$5:$P$2271=E$1),('Diário 7º PA'!$F$5:$F$2271))+
SUMPRODUCT(-('Diário 8º PA'!$E$5:$E$2488='Analítico Cx.'!$B25),-('Diário 8º PA'!$P$5:$P$2488=E$1),('Diário 8º PA'!$F$5:$F$2488))</f>
        <v>0</v>
      </c>
      <c r="F25" s="185">
        <f>SUMPRODUCT(-('Diário 5º PA'!$E$5:$E$2634='Analítico Cx.'!$B25),-('Diário 5º PA'!$P$5:$P$2634=F$1),('Diário 5º PA'!$F$5:$F$2634))+
SUMPRODUCT(-('Diário 6º PA'!$E$5:$E$2246='Analítico Cx.'!$B25),-('Diário 6º PA'!$P$5:$P$2246=F$1),('Diário 6º PA'!$F$5:$F$2246))+
SUMPRODUCT(-('Diário 7º PA'!$E$5:$E$2271='Analítico Cx.'!$B25),-('Diário 7º PA'!$P$5:$P$2271=F$1),('Diário 7º PA'!$F$5:$F$2271))+
SUMPRODUCT(-('Diário 8º PA'!$E$5:$E$2488='Analítico Cx.'!$B25),-('Diário 8º PA'!$P$5:$P$2488=F$1),('Diário 8º PA'!$F$5:$F$2488))</f>
        <v>0</v>
      </c>
      <c r="G25" s="185">
        <f>SUMPRODUCT(-('Diário 5º PA'!$E$5:$E$2634='Analítico Cx.'!$B25),-('Diário 5º PA'!$P$5:$P$2634=G$1),('Diário 5º PA'!$F$5:$F$2634))+
SUMPRODUCT(-('Diário 6º PA'!$E$5:$E$2246='Analítico Cx.'!$B25),-('Diário 6º PA'!$P$5:$P$2246=G$1),('Diário 6º PA'!$F$5:$F$2246))+
SUMPRODUCT(-('Diário 7º PA'!$E$5:$E$2271='Analítico Cx.'!$B25),-('Diário 7º PA'!$P$5:$P$2271=G$1),('Diário 7º PA'!$F$5:$F$2271))+
SUMPRODUCT(-('Diário 8º PA'!$E$5:$E$2488='Analítico Cx.'!$B25),-('Diário 8º PA'!$P$5:$P$2488=G$1),('Diário 8º PA'!$F$5:$F$2488))</f>
        <v>0</v>
      </c>
      <c r="H25" s="185">
        <f>SUMPRODUCT(-('Diário 5º PA'!$E$5:$E$2634='Analítico Cx.'!$B25),-('Diário 5º PA'!$P$5:$P$2634=H$1),('Diário 5º PA'!$F$5:$F$2634))+
SUMPRODUCT(-('Diário 6º PA'!$E$5:$E$2246='Analítico Cx.'!$B25),-('Diário 6º PA'!$P$5:$P$2246=H$1),('Diário 6º PA'!$F$5:$F$2246))+
SUMPRODUCT(-('Diário 7º PA'!$E$5:$E$2271='Analítico Cx.'!$B25),-('Diário 7º PA'!$P$5:$P$2271=H$1),('Diário 7º PA'!$F$5:$F$2271))+
SUMPRODUCT(-('Diário 8º PA'!$E$5:$E$2488='Analítico Cx.'!$B25),-('Diário 8º PA'!$P$5:$P$2488=H$1),('Diário 8º PA'!$F$5:$F$2488))</f>
        <v>0</v>
      </c>
      <c r="I25" s="185">
        <f>SUMPRODUCT(-('Diário 5º PA'!$E$5:$E$2634='Analítico Cx.'!$B25),-('Diário 5º PA'!$P$5:$P$2634=I$1),('Diário 5º PA'!$F$5:$F$2634))+
SUMPRODUCT(-('Diário 6º PA'!$E$5:$E$2246='Analítico Cx.'!$B25),-('Diário 6º PA'!$P$5:$P$2246=I$1),('Diário 6º PA'!$F$5:$F$2246))+
SUMPRODUCT(-('Diário 7º PA'!$E$5:$E$2271='Analítico Cx.'!$B25),-('Diário 7º PA'!$P$5:$P$2271=I$1),('Diário 7º PA'!$F$5:$F$2271))+
SUMPRODUCT(-('Diário 8º PA'!$E$5:$E$2488='Analítico Cx.'!$B25),-('Diário 8º PA'!$P$5:$P$2488=I$1),('Diário 8º PA'!$F$5:$F$2488))</f>
        <v>0</v>
      </c>
      <c r="J25" s="185">
        <f>SUMPRODUCT(-('Diário 5º PA'!$E$5:$E$2634='Analítico Cx.'!$B25),-('Diário 5º PA'!$P$5:$P$2634=J$1),('Diário 5º PA'!$F$5:$F$2634))+
SUMPRODUCT(-('Diário 6º PA'!$E$5:$E$2246='Analítico Cx.'!$B25),-('Diário 6º PA'!$P$5:$P$2246=J$1),('Diário 6º PA'!$F$5:$F$2246))+
SUMPRODUCT(-('Diário 7º PA'!$E$5:$E$2271='Analítico Cx.'!$B25),-('Diário 7º PA'!$P$5:$P$2271=J$1),('Diário 7º PA'!$F$5:$F$2271))+
SUMPRODUCT(-('Diário 8º PA'!$E$5:$E$2488='Analítico Cx.'!$B25),-('Diário 8º PA'!$P$5:$P$2488=J$1),('Diário 8º PA'!$F$5:$F$2488))</f>
        <v>0</v>
      </c>
      <c r="K25" s="185">
        <f>SUMPRODUCT(-('Diário 5º PA'!$E$5:$E$2634='Analítico Cx.'!$B25),-('Diário 5º PA'!$P$5:$P$2634=K$1),('Diário 5º PA'!$F$5:$F$2634))+
SUMPRODUCT(-('Diário 6º PA'!$E$5:$E$2246='Analítico Cx.'!$B25),-('Diário 6º PA'!$P$5:$P$2246=K$1),('Diário 6º PA'!$F$5:$F$2246))+
SUMPRODUCT(-('Diário 7º PA'!$E$5:$E$2271='Analítico Cx.'!$B25),-('Diário 7º PA'!$P$5:$P$2271=K$1),('Diário 7º PA'!$F$5:$F$2271))+
SUMPRODUCT(-('Diário 8º PA'!$E$5:$E$2488='Analítico Cx.'!$B25),-('Diário 8º PA'!$P$5:$P$2488=K$1),('Diário 8º PA'!$F$5:$F$2488))</f>
        <v>0</v>
      </c>
      <c r="L25" s="185">
        <f>SUMPRODUCT(-('Diário 5º PA'!$E$5:$E$2634='Analítico Cx.'!$B25),-('Diário 5º PA'!$P$5:$P$2634=L$1),('Diário 5º PA'!$F$5:$F$2634))+
SUMPRODUCT(-('Diário 6º PA'!$E$5:$E$2246='Analítico Cx.'!$B25),-('Diário 6º PA'!$P$5:$P$2246=L$1),('Diário 6º PA'!$F$5:$F$2246))+
SUMPRODUCT(-('Diário 7º PA'!$E$5:$E$2271='Analítico Cx.'!$B25),-('Diário 7º PA'!$P$5:$P$2271=L$1),('Diário 7º PA'!$F$5:$F$2271))+
SUMPRODUCT(-('Diário 8º PA'!$E$5:$E$2488='Analítico Cx.'!$B25),-('Diário 8º PA'!$P$5:$P$2488=L$1),('Diário 8º PA'!$F$5:$F$2488))</f>
        <v>0</v>
      </c>
      <c r="M25" s="185">
        <f>SUMPRODUCT(-('Diário 5º PA'!$E$5:$E$2634='Analítico Cx.'!$B25),-('Diário 5º PA'!$P$5:$P$2634=M$1),('Diário 5º PA'!$F$5:$F$2634))+
SUMPRODUCT(-('Diário 6º PA'!$E$5:$E$2246='Analítico Cx.'!$B25),-('Diário 6º PA'!$P$5:$P$2246=M$1),('Diário 6º PA'!$F$5:$F$2246))+
SUMPRODUCT(-('Diário 7º PA'!$E$5:$E$2271='Analítico Cx.'!$B25),-('Diário 7º PA'!$P$5:$P$2271=M$1),('Diário 7º PA'!$F$5:$F$2271))+
SUMPRODUCT(-('Diário 8º PA'!$E$5:$E$2488='Analítico Cx.'!$B25),-('Diário 8º PA'!$P$5:$P$2488=M$1),('Diário 8º PA'!$F$5:$F$2488))</f>
        <v>0</v>
      </c>
      <c r="N25" s="185">
        <f>SUMPRODUCT(-('Diário 5º PA'!$E$5:$E$2634='Analítico Cx.'!$B25),-('Diário 5º PA'!$P$5:$P$2634=N$1),('Diário 5º PA'!$F$5:$F$2634))+
SUMPRODUCT(-('Diário 6º PA'!$E$5:$E$2246='Analítico Cx.'!$B25),-('Diário 6º PA'!$P$5:$P$2246=N$1),('Diário 6º PA'!$F$5:$F$2246))+
SUMPRODUCT(-('Diário 7º PA'!$E$5:$E$2271='Analítico Cx.'!$B25),-('Diário 7º PA'!$P$5:$P$2271=N$1),('Diário 7º PA'!$F$5:$F$2271))+
SUMPRODUCT(-('Diário 8º PA'!$E$5:$E$2488='Analítico Cx.'!$B25),-('Diário 8º PA'!$P$5:$P$2488=N$1),('Diário 8º PA'!$F$5:$F$2488))</f>
        <v>0</v>
      </c>
      <c r="O25" s="186">
        <f t="shared" si="4"/>
        <v>0</v>
      </c>
      <c r="P25" s="187">
        <f t="shared" si="5"/>
        <v>0</v>
      </c>
      <c r="Q25" s="34"/>
      <c r="R25" s="34"/>
      <c r="S25" s="34"/>
      <c r="T25" s="34"/>
      <c r="U25" s="34"/>
      <c r="V25" s="34"/>
      <c r="W25" s="34"/>
      <c r="X25" s="34"/>
      <c r="Y25" s="34"/>
      <c r="Z25" s="34"/>
    </row>
    <row r="26" spans="1:26" ht="23.25" customHeight="1" x14ac:dyDescent="0.2">
      <c r="A26" s="203" t="s">
        <v>156</v>
      </c>
      <c r="B26" s="204" t="s">
        <v>157</v>
      </c>
      <c r="C26" s="185">
        <f>SUMPRODUCT(-('Diário 5º PA'!$E$5:$E$2634='Analítico Cx.'!$B26),-('Diário 5º PA'!$P$5:$P$2634=C$1),('Diário 5º PA'!$F$5:$F$2634))+
SUMPRODUCT(-('Diário 6º PA'!$E$5:$E$2246='Analítico Cx.'!$B26),-('Diário 6º PA'!$P$5:$P$2246=C$1),('Diário 6º PA'!$F$5:$F$2246))+
SUMPRODUCT(-('Diário 7º PA'!$E$5:$E$2271='Analítico Cx.'!$B26),-('Diário 7º PA'!$P$5:$P$2271=C$1),('Diário 7º PA'!$F$5:$F$2271))+
SUMPRODUCT(-('Diário 8º PA'!$E$5:$E$2488='Analítico Cx.'!$B26),-('Diário 8º PA'!$P$5:$P$2488=C$1),('Diário 8º PA'!$F$5:$F$2488))</f>
        <v>0</v>
      </c>
      <c r="D26" s="185">
        <f>SUMPRODUCT(-('Diário 5º PA'!$E$5:$E$2634='Analítico Cx.'!$B26),-('Diário 5º PA'!$P$5:$P$2634=D$1),('Diário 5º PA'!$F$5:$F$2634))+
SUMPRODUCT(-('Diário 6º PA'!$E$5:$E$2246='Analítico Cx.'!$B26),-('Diário 6º PA'!$P$5:$P$2246=D$1),('Diário 6º PA'!$F$5:$F$2246))+
SUMPRODUCT(-('Diário 7º PA'!$E$5:$E$2271='Analítico Cx.'!$B26),-('Diário 7º PA'!$P$5:$P$2271=D$1),('Diário 7º PA'!$F$5:$F$2271))+
SUMPRODUCT(-('Diário 8º PA'!$E$5:$E$2488='Analítico Cx.'!$B26),-('Diário 8º PA'!$P$5:$P$2488=D$1),('Diário 8º PA'!$F$5:$F$2488))</f>
        <v>0</v>
      </c>
      <c r="E26" s="185">
        <f>SUMPRODUCT(-('Diário 5º PA'!$E$5:$E$2634='Analítico Cx.'!$B26),-('Diário 5º PA'!$P$5:$P$2634=E$1),('Diário 5º PA'!$F$5:$F$2634))+
SUMPRODUCT(-('Diário 6º PA'!$E$5:$E$2246='Analítico Cx.'!$B26),-('Diário 6º PA'!$P$5:$P$2246=E$1),('Diário 6º PA'!$F$5:$F$2246))+
SUMPRODUCT(-('Diário 7º PA'!$E$5:$E$2271='Analítico Cx.'!$B26),-('Diário 7º PA'!$P$5:$P$2271=E$1),('Diário 7º PA'!$F$5:$F$2271))+
SUMPRODUCT(-('Diário 8º PA'!$E$5:$E$2488='Analítico Cx.'!$B26),-('Diário 8º PA'!$P$5:$P$2488=E$1),('Diário 8º PA'!$F$5:$F$2488))</f>
        <v>0</v>
      </c>
      <c r="F26" s="185">
        <f>SUMPRODUCT(-('Diário 5º PA'!$E$5:$E$2634='Analítico Cx.'!$B26),-('Diário 5º PA'!$P$5:$P$2634=F$1),('Diário 5º PA'!$F$5:$F$2634))+
SUMPRODUCT(-('Diário 6º PA'!$E$5:$E$2246='Analítico Cx.'!$B26),-('Diário 6º PA'!$P$5:$P$2246=F$1),('Diário 6º PA'!$F$5:$F$2246))+
SUMPRODUCT(-('Diário 7º PA'!$E$5:$E$2271='Analítico Cx.'!$B26),-('Diário 7º PA'!$P$5:$P$2271=F$1),('Diário 7º PA'!$F$5:$F$2271))+
SUMPRODUCT(-('Diário 8º PA'!$E$5:$E$2488='Analítico Cx.'!$B26),-('Diário 8º PA'!$P$5:$P$2488=F$1),('Diário 8º PA'!$F$5:$F$2488))</f>
        <v>0</v>
      </c>
      <c r="G26" s="185">
        <f>SUMPRODUCT(-('Diário 5º PA'!$E$5:$E$2634='Analítico Cx.'!$B26),-('Diário 5º PA'!$P$5:$P$2634=G$1),('Diário 5º PA'!$F$5:$F$2634))+
SUMPRODUCT(-('Diário 6º PA'!$E$5:$E$2246='Analítico Cx.'!$B26),-('Diário 6º PA'!$P$5:$P$2246=G$1),('Diário 6º PA'!$F$5:$F$2246))+
SUMPRODUCT(-('Diário 7º PA'!$E$5:$E$2271='Analítico Cx.'!$B26),-('Diário 7º PA'!$P$5:$P$2271=G$1),('Diário 7º PA'!$F$5:$F$2271))+
SUMPRODUCT(-('Diário 8º PA'!$E$5:$E$2488='Analítico Cx.'!$B26),-('Diário 8º PA'!$P$5:$P$2488=G$1),('Diário 8º PA'!$F$5:$F$2488))</f>
        <v>0</v>
      </c>
      <c r="H26" s="185">
        <f>SUMPRODUCT(-('Diário 5º PA'!$E$5:$E$2634='Analítico Cx.'!$B26),-('Diário 5º PA'!$P$5:$P$2634=H$1),('Diário 5º PA'!$F$5:$F$2634))+
SUMPRODUCT(-('Diário 6º PA'!$E$5:$E$2246='Analítico Cx.'!$B26),-('Diário 6º PA'!$P$5:$P$2246=H$1),('Diário 6º PA'!$F$5:$F$2246))+
SUMPRODUCT(-('Diário 7º PA'!$E$5:$E$2271='Analítico Cx.'!$B26),-('Diário 7º PA'!$P$5:$P$2271=H$1),('Diário 7º PA'!$F$5:$F$2271))+
SUMPRODUCT(-('Diário 8º PA'!$E$5:$E$2488='Analítico Cx.'!$B26),-('Diário 8º PA'!$P$5:$P$2488=H$1),('Diário 8º PA'!$F$5:$F$2488))</f>
        <v>0</v>
      </c>
      <c r="I26" s="185">
        <f>SUMPRODUCT(-('Diário 5º PA'!$E$5:$E$2634='Analítico Cx.'!$B26),-('Diário 5º PA'!$P$5:$P$2634=I$1),('Diário 5º PA'!$F$5:$F$2634))+
SUMPRODUCT(-('Diário 6º PA'!$E$5:$E$2246='Analítico Cx.'!$B26),-('Diário 6º PA'!$P$5:$P$2246=I$1),('Diário 6º PA'!$F$5:$F$2246))+
SUMPRODUCT(-('Diário 7º PA'!$E$5:$E$2271='Analítico Cx.'!$B26),-('Diário 7º PA'!$P$5:$P$2271=I$1),('Diário 7º PA'!$F$5:$F$2271))+
SUMPRODUCT(-('Diário 8º PA'!$E$5:$E$2488='Analítico Cx.'!$B26),-('Diário 8º PA'!$P$5:$P$2488=I$1),('Diário 8º PA'!$F$5:$F$2488))</f>
        <v>0</v>
      </c>
      <c r="J26" s="185">
        <f>SUMPRODUCT(-('Diário 5º PA'!$E$5:$E$2634='Analítico Cx.'!$B26),-('Diário 5º PA'!$P$5:$P$2634=J$1),('Diário 5º PA'!$F$5:$F$2634))+
SUMPRODUCT(-('Diário 6º PA'!$E$5:$E$2246='Analítico Cx.'!$B26),-('Diário 6º PA'!$P$5:$P$2246=J$1),('Diário 6º PA'!$F$5:$F$2246))+
SUMPRODUCT(-('Diário 7º PA'!$E$5:$E$2271='Analítico Cx.'!$B26),-('Diário 7º PA'!$P$5:$P$2271=J$1),('Diário 7º PA'!$F$5:$F$2271))+
SUMPRODUCT(-('Diário 8º PA'!$E$5:$E$2488='Analítico Cx.'!$B26),-('Diário 8º PA'!$P$5:$P$2488=J$1),('Diário 8º PA'!$F$5:$F$2488))</f>
        <v>0</v>
      </c>
      <c r="K26" s="185">
        <f>SUMPRODUCT(-('Diário 5º PA'!$E$5:$E$2634='Analítico Cx.'!$B26),-('Diário 5º PA'!$P$5:$P$2634=K$1),('Diário 5º PA'!$F$5:$F$2634))+
SUMPRODUCT(-('Diário 6º PA'!$E$5:$E$2246='Analítico Cx.'!$B26),-('Diário 6º PA'!$P$5:$P$2246=K$1),('Diário 6º PA'!$F$5:$F$2246))+
SUMPRODUCT(-('Diário 7º PA'!$E$5:$E$2271='Analítico Cx.'!$B26),-('Diário 7º PA'!$P$5:$P$2271=K$1),('Diário 7º PA'!$F$5:$F$2271))+
SUMPRODUCT(-('Diário 8º PA'!$E$5:$E$2488='Analítico Cx.'!$B26),-('Diário 8º PA'!$P$5:$P$2488=K$1),('Diário 8º PA'!$F$5:$F$2488))</f>
        <v>0</v>
      </c>
      <c r="L26" s="185">
        <f>SUMPRODUCT(-('Diário 5º PA'!$E$5:$E$2634='Analítico Cx.'!$B26),-('Diário 5º PA'!$P$5:$P$2634=L$1),('Diário 5º PA'!$F$5:$F$2634))+
SUMPRODUCT(-('Diário 6º PA'!$E$5:$E$2246='Analítico Cx.'!$B26),-('Diário 6º PA'!$P$5:$P$2246=L$1),('Diário 6º PA'!$F$5:$F$2246))+
SUMPRODUCT(-('Diário 7º PA'!$E$5:$E$2271='Analítico Cx.'!$B26),-('Diário 7º PA'!$P$5:$P$2271=L$1),('Diário 7º PA'!$F$5:$F$2271))+
SUMPRODUCT(-('Diário 8º PA'!$E$5:$E$2488='Analítico Cx.'!$B26),-('Diário 8º PA'!$P$5:$P$2488=L$1),('Diário 8º PA'!$F$5:$F$2488))</f>
        <v>0</v>
      </c>
      <c r="M26" s="185">
        <f>SUMPRODUCT(-('Diário 5º PA'!$E$5:$E$2634='Analítico Cx.'!$B26),-('Diário 5º PA'!$P$5:$P$2634=M$1),('Diário 5º PA'!$F$5:$F$2634))+
SUMPRODUCT(-('Diário 6º PA'!$E$5:$E$2246='Analítico Cx.'!$B26),-('Diário 6º PA'!$P$5:$P$2246=M$1),('Diário 6º PA'!$F$5:$F$2246))+
SUMPRODUCT(-('Diário 7º PA'!$E$5:$E$2271='Analítico Cx.'!$B26),-('Diário 7º PA'!$P$5:$P$2271=M$1),('Diário 7º PA'!$F$5:$F$2271))+
SUMPRODUCT(-('Diário 8º PA'!$E$5:$E$2488='Analítico Cx.'!$B26),-('Diário 8º PA'!$P$5:$P$2488=M$1),('Diário 8º PA'!$F$5:$F$2488))</f>
        <v>0</v>
      </c>
      <c r="N26" s="185">
        <f>SUMPRODUCT(-('Diário 5º PA'!$E$5:$E$2634='Analítico Cx.'!$B26),-('Diário 5º PA'!$P$5:$P$2634=N$1),('Diário 5º PA'!$F$5:$F$2634))+
SUMPRODUCT(-('Diário 6º PA'!$E$5:$E$2246='Analítico Cx.'!$B26),-('Diário 6º PA'!$P$5:$P$2246=N$1),('Diário 6º PA'!$F$5:$F$2246))+
SUMPRODUCT(-('Diário 7º PA'!$E$5:$E$2271='Analítico Cx.'!$B26),-('Diário 7º PA'!$P$5:$P$2271=N$1),('Diário 7º PA'!$F$5:$F$2271))+
SUMPRODUCT(-('Diário 8º PA'!$E$5:$E$2488='Analítico Cx.'!$B26),-('Diário 8º PA'!$P$5:$P$2488=N$1),('Diário 8º PA'!$F$5:$F$2488))</f>
        <v>0</v>
      </c>
      <c r="O26" s="186">
        <f t="shared" si="4"/>
        <v>0</v>
      </c>
      <c r="P26" s="187">
        <f t="shared" si="5"/>
        <v>0</v>
      </c>
      <c r="Q26" s="34"/>
      <c r="R26" s="34"/>
      <c r="S26" s="34"/>
      <c r="T26" s="34"/>
      <c r="U26" s="34"/>
      <c r="V26" s="34"/>
      <c r="W26" s="34"/>
      <c r="X26" s="34"/>
      <c r="Y26" s="34"/>
      <c r="Z26" s="34"/>
    </row>
    <row r="27" spans="1:26" ht="23.25" customHeight="1" x14ac:dyDescent="0.2">
      <c r="A27" s="203" t="s">
        <v>158</v>
      </c>
      <c r="B27" s="204" t="s">
        <v>159</v>
      </c>
      <c r="C27" s="185">
        <f>SUMPRODUCT(-('Diário 5º PA'!$E$5:$E$2634='Analítico Cx.'!$B27),-('Diário 5º PA'!$P$5:$P$2634=C$1),('Diário 5º PA'!$F$5:$F$2634))+
SUMPRODUCT(-('Diário 6º PA'!$E$5:$E$2246='Analítico Cx.'!$B27),-('Diário 6º PA'!$P$5:$P$2246=C$1),('Diário 6º PA'!$F$5:$F$2246))+
SUMPRODUCT(-('Diário 7º PA'!$E$5:$E$2271='Analítico Cx.'!$B27),-('Diário 7º PA'!$P$5:$P$2271=C$1),('Diário 7º PA'!$F$5:$F$2271))+
SUMPRODUCT(-('Diário 8º PA'!$E$5:$E$2488='Analítico Cx.'!$B27),-('Diário 8º PA'!$P$5:$P$2488=C$1),('Diário 8º PA'!$F$5:$F$2488))</f>
        <v>0</v>
      </c>
      <c r="D27" s="185">
        <f>SUMPRODUCT(-('Diário 5º PA'!$E$5:$E$2634='Analítico Cx.'!$B27),-('Diário 5º PA'!$P$5:$P$2634=D$1),('Diário 5º PA'!$F$5:$F$2634))+
SUMPRODUCT(-('Diário 6º PA'!$E$5:$E$2246='Analítico Cx.'!$B27),-('Diário 6º PA'!$P$5:$P$2246=D$1),('Diário 6º PA'!$F$5:$F$2246))+
SUMPRODUCT(-('Diário 7º PA'!$E$5:$E$2271='Analítico Cx.'!$B27),-('Diário 7º PA'!$P$5:$P$2271=D$1),('Diário 7º PA'!$F$5:$F$2271))+
SUMPRODUCT(-('Diário 8º PA'!$E$5:$E$2488='Analítico Cx.'!$B27),-('Diário 8º PA'!$P$5:$P$2488=D$1),('Diário 8º PA'!$F$5:$F$2488))</f>
        <v>0</v>
      </c>
      <c r="E27" s="185">
        <f>SUMPRODUCT(-('Diário 5º PA'!$E$5:$E$2634='Analítico Cx.'!$B27),-('Diário 5º PA'!$P$5:$P$2634=E$1),('Diário 5º PA'!$F$5:$F$2634))+
SUMPRODUCT(-('Diário 6º PA'!$E$5:$E$2246='Analítico Cx.'!$B27),-('Diário 6º PA'!$P$5:$P$2246=E$1),('Diário 6º PA'!$F$5:$F$2246))+
SUMPRODUCT(-('Diário 7º PA'!$E$5:$E$2271='Analítico Cx.'!$B27),-('Diário 7º PA'!$P$5:$P$2271=E$1),('Diário 7º PA'!$F$5:$F$2271))+
SUMPRODUCT(-('Diário 8º PA'!$E$5:$E$2488='Analítico Cx.'!$B27),-('Diário 8º PA'!$P$5:$P$2488=E$1),('Diário 8º PA'!$F$5:$F$2488))</f>
        <v>0</v>
      </c>
      <c r="F27" s="185">
        <f>SUMPRODUCT(-('Diário 5º PA'!$E$5:$E$2634='Analítico Cx.'!$B27),-('Diário 5º PA'!$P$5:$P$2634=F$1),('Diário 5º PA'!$F$5:$F$2634))+
SUMPRODUCT(-('Diário 6º PA'!$E$5:$E$2246='Analítico Cx.'!$B27),-('Diário 6º PA'!$P$5:$P$2246=F$1),('Diário 6º PA'!$F$5:$F$2246))+
SUMPRODUCT(-('Diário 7º PA'!$E$5:$E$2271='Analítico Cx.'!$B27),-('Diário 7º PA'!$P$5:$P$2271=F$1),('Diário 7º PA'!$F$5:$F$2271))+
SUMPRODUCT(-('Diário 8º PA'!$E$5:$E$2488='Analítico Cx.'!$B27),-('Diário 8º PA'!$P$5:$P$2488=F$1),('Diário 8º PA'!$F$5:$F$2488))</f>
        <v>0</v>
      </c>
      <c r="G27" s="185">
        <f>SUMPRODUCT(-('Diário 5º PA'!$E$5:$E$2634='Analítico Cx.'!$B27),-('Diário 5º PA'!$P$5:$P$2634=G$1),('Diário 5º PA'!$F$5:$F$2634))+
SUMPRODUCT(-('Diário 6º PA'!$E$5:$E$2246='Analítico Cx.'!$B27),-('Diário 6º PA'!$P$5:$P$2246=G$1),('Diário 6º PA'!$F$5:$F$2246))+
SUMPRODUCT(-('Diário 7º PA'!$E$5:$E$2271='Analítico Cx.'!$B27),-('Diário 7º PA'!$P$5:$P$2271=G$1),('Diário 7º PA'!$F$5:$F$2271))+
SUMPRODUCT(-('Diário 8º PA'!$E$5:$E$2488='Analítico Cx.'!$B27),-('Diário 8º PA'!$P$5:$P$2488=G$1),('Diário 8º PA'!$F$5:$F$2488))</f>
        <v>0</v>
      </c>
      <c r="H27" s="185">
        <f>SUMPRODUCT(-('Diário 5º PA'!$E$5:$E$2634='Analítico Cx.'!$B27),-('Diário 5º PA'!$P$5:$P$2634=H$1),('Diário 5º PA'!$F$5:$F$2634))+
SUMPRODUCT(-('Diário 6º PA'!$E$5:$E$2246='Analítico Cx.'!$B27),-('Diário 6º PA'!$P$5:$P$2246=H$1),('Diário 6º PA'!$F$5:$F$2246))+
SUMPRODUCT(-('Diário 7º PA'!$E$5:$E$2271='Analítico Cx.'!$B27),-('Diário 7º PA'!$P$5:$P$2271=H$1),('Diário 7º PA'!$F$5:$F$2271))+
SUMPRODUCT(-('Diário 8º PA'!$E$5:$E$2488='Analítico Cx.'!$B27),-('Diário 8º PA'!$P$5:$P$2488=H$1),('Diário 8º PA'!$F$5:$F$2488))</f>
        <v>0</v>
      </c>
      <c r="I27" s="185">
        <f>SUMPRODUCT(-('Diário 5º PA'!$E$5:$E$2634='Analítico Cx.'!$B27),-('Diário 5º PA'!$P$5:$P$2634=I$1),('Diário 5º PA'!$F$5:$F$2634))+
SUMPRODUCT(-('Diário 6º PA'!$E$5:$E$2246='Analítico Cx.'!$B27),-('Diário 6º PA'!$P$5:$P$2246=I$1),('Diário 6º PA'!$F$5:$F$2246))+
SUMPRODUCT(-('Diário 7º PA'!$E$5:$E$2271='Analítico Cx.'!$B27),-('Diário 7º PA'!$P$5:$P$2271=I$1),('Diário 7º PA'!$F$5:$F$2271))+
SUMPRODUCT(-('Diário 8º PA'!$E$5:$E$2488='Analítico Cx.'!$B27),-('Diário 8º PA'!$P$5:$P$2488=I$1),('Diário 8º PA'!$F$5:$F$2488))</f>
        <v>0</v>
      </c>
      <c r="J27" s="185">
        <f>SUMPRODUCT(-('Diário 5º PA'!$E$5:$E$2634='Analítico Cx.'!$B27),-('Diário 5º PA'!$P$5:$P$2634=J$1),('Diário 5º PA'!$F$5:$F$2634))+
SUMPRODUCT(-('Diário 6º PA'!$E$5:$E$2246='Analítico Cx.'!$B27),-('Diário 6º PA'!$P$5:$P$2246=J$1),('Diário 6º PA'!$F$5:$F$2246))+
SUMPRODUCT(-('Diário 7º PA'!$E$5:$E$2271='Analítico Cx.'!$B27),-('Diário 7º PA'!$P$5:$P$2271=J$1),('Diário 7º PA'!$F$5:$F$2271))+
SUMPRODUCT(-('Diário 8º PA'!$E$5:$E$2488='Analítico Cx.'!$B27),-('Diário 8º PA'!$P$5:$P$2488=J$1),('Diário 8º PA'!$F$5:$F$2488))</f>
        <v>0</v>
      </c>
      <c r="K27" s="185">
        <f>SUMPRODUCT(-('Diário 5º PA'!$E$5:$E$2634='Analítico Cx.'!$B27),-('Diário 5º PA'!$P$5:$P$2634=K$1),('Diário 5º PA'!$F$5:$F$2634))+
SUMPRODUCT(-('Diário 6º PA'!$E$5:$E$2246='Analítico Cx.'!$B27),-('Diário 6º PA'!$P$5:$P$2246=K$1),('Diário 6º PA'!$F$5:$F$2246))+
SUMPRODUCT(-('Diário 7º PA'!$E$5:$E$2271='Analítico Cx.'!$B27),-('Diário 7º PA'!$P$5:$P$2271=K$1),('Diário 7º PA'!$F$5:$F$2271))+
SUMPRODUCT(-('Diário 8º PA'!$E$5:$E$2488='Analítico Cx.'!$B27),-('Diário 8º PA'!$P$5:$P$2488=K$1),('Diário 8º PA'!$F$5:$F$2488))</f>
        <v>0</v>
      </c>
      <c r="L27" s="185">
        <f>SUMPRODUCT(-('Diário 5º PA'!$E$5:$E$2634='Analítico Cx.'!$B27),-('Diário 5º PA'!$P$5:$P$2634=L$1),('Diário 5º PA'!$F$5:$F$2634))+
SUMPRODUCT(-('Diário 6º PA'!$E$5:$E$2246='Analítico Cx.'!$B27),-('Diário 6º PA'!$P$5:$P$2246=L$1),('Diário 6º PA'!$F$5:$F$2246))+
SUMPRODUCT(-('Diário 7º PA'!$E$5:$E$2271='Analítico Cx.'!$B27),-('Diário 7º PA'!$P$5:$P$2271=L$1),('Diário 7º PA'!$F$5:$F$2271))+
SUMPRODUCT(-('Diário 8º PA'!$E$5:$E$2488='Analítico Cx.'!$B27),-('Diário 8º PA'!$P$5:$P$2488=L$1),('Diário 8º PA'!$F$5:$F$2488))</f>
        <v>0</v>
      </c>
      <c r="M27" s="185">
        <f>SUMPRODUCT(-('Diário 5º PA'!$E$5:$E$2634='Analítico Cx.'!$B27),-('Diário 5º PA'!$P$5:$P$2634=M$1),('Diário 5º PA'!$F$5:$F$2634))+
SUMPRODUCT(-('Diário 6º PA'!$E$5:$E$2246='Analítico Cx.'!$B27),-('Diário 6º PA'!$P$5:$P$2246=M$1),('Diário 6º PA'!$F$5:$F$2246))+
SUMPRODUCT(-('Diário 7º PA'!$E$5:$E$2271='Analítico Cx.'!$B27),-('Diário 7º PA'!$P$5:$P$2271=M$1),('Diário 7º PA'!$F$5:$F$2271))+
SUMPRODUCT(-('Diário 8º PA'!$E$5:$E$2488='Analítico Cx.'!$B27),-('Diário 8º PA'!$P$5:$P$2488=M$1),('Diário 8º PA'!$F$5:$F$2488))</f>
        <v>0</v>
      </c>
      <c r="N27" s="185">
        <f>SUMPRODUCT(-('Diário 5º PA'!$E$5:$E$2634='Analítico Cx.'!$B27),-('Diário 5º PA'!$P$5:$P$2634=N$1),('Diário 5º PA'!$F$5:$F$2634))+
SUMPRODUCT(-('Diário 6º PA'!$E$5:$E$2246='Analítico Cx.'!$B27),-('Diário 6º PA'!$P$5:$P$2246=N$1),('Diário 6º PA'!$F$5:$F$2246))+
SUMPRODUCT(-('Diário 7º PA'!$E$5:$E$2271='Analítico Cx.'!$B27),-('Diário 7º PA'!$P$5:$P$2271=N$1),('Diário 7º PA'!$F$5:$F$2271))+
SUMPRODUCT(-('Diário 8º PA'!$E$5:$E$2488='Analítico Cx.'!$B27),-('Diário 8º PA'!$P$5:$P$2488=N$1),('Diário 8º PA'!$F$5:$F$2488))</f>
        <v>0</v>
      </c>
      <c r="O27" s="186">
        <f t="shared" si="4"/>
        <v>0</v>
      </c>
      <c r="P27" s="187">
        <f t="shared" si="5"/>
        <v>0</v>
      </c>
      <c r="Q27" s="34"/>
      <c r="R27" s="34"/>
      <c r="S27" s="34"/>
      <c r="T27" s="34"/>
      <c r="U27" s="34"/>
      <c r="V27" s="34"/>
      <c r="W27" s="34"/>
      <c r="X27" s="34"/>
      <c r="Y27" s="34"/>
      <c r="Z27" s="34"/>
    </row>
    <row r="28" spans="1:26" ht="23.25" customHeight="1" x14ac:dyDescent="0.2">
      <c r="A28" s="205"/>
      <c r="B28" s="206" t="s">
        <v>160</v>
      </c>
      <c r="C28" s="207">
        <f t="shared" ref="C28:O28" si="6">SUBTOTAL(109,C23:C27)</f>
        <v>82933.699999999983</v>
      </c>
      <c r="D28" s="207">
        <f t="shared" si="6"/>
        <v>70383.929999999993</v>
      </c>
      <c r="E28" s="207">
        <f t="shared" si="6"/>
        <v>75617.36</v>
      </c>
      <c r="F28" s="207">
        <f t="shared" si="6"/>
        <v>80966.919999999984</v>
      </c>
      <c r="G28" s="207">
        <f t="shared" si="6"/>
        <v>81373.52</v>
      </c>
      <c r="H28" s="207">
        <f t="shared" si="6"/>
        <v>81484.509999999995</v>
      </c>
      <c r="I28" s="207">
        <f t="shared" si="6"/>
        <v>85165.38</v>
      </c>
      <c r="J28" s="207">
        <f t="shared" si="6"/>
        <v>116699.43000000007</v>
      </c>
      <c r="K28" s="207">
        <f t="shared" si="6"/>
        <v>156845.15000000005</v>
      </c>
      <c r="L28" s="207">
        <f t="shared" si="6"/>
        <v>158725.89000000004</v>
      </c>
      <c r="M28" s="207">
        <f t="shared" si="6"/>
        <v>185455.60000000003</v>
      </c>
      <c r="N28" s="207">
        <f t="shared" si="6"/>
        <v>204686.48000000007</v>
      </c>
      <c r="O28" s="207">
        <f t="shared" si="6"/>
        <v>1380337.87</v>
      </c>
      <c r="P28" s="208">
        <f t="shared" si="5"/>
        <v>0.14645550444176347</v>
      </c>
      <c r="Q28" s="34"/>
      <c r="R28" s="34"/>
      <c r="S28" s="34"/>
      <c r="T28" s="34"/>
      <c r="U28" s="34"/>
      <c r="V28" s="34"/>
      <c r="W28" s="34"/>
      <c r="X28" s="34"/>
      <c r="Y28" s="34"/>
      <c r="Z28" s="34"/>
    </row>
    <row r="29" spans="1:26" ht="23.25" customHeight="1" x14ac:dyDescent="0.2">
      <c r="A29" s="209" t="s">
        <v>91</v>
      </c>
      <c r="B29" s="210" t="s">
        <v>92</v>
      </c>
      <c r="C29" s="211"/>
      <c r="D29" s="211"/>
      <c r="E29" s="211"/>
      <c r="F29" s="211"/>
      <c r="G29" s="211"/>
      <c r="H29" s="211"/>
      <c r="I29" s="211"/>
      <c r="J29" s="211"/>
      <c r="K29" s="211"/>
      <c r="L29" s="211"/>
      <c r="M29" s="211"/>
      <c r="N29" s="211"/>
      <c r="O29" s="211"/>
      <c r="P29" s="212"/>
      <c r="Q29" s="213"/>
      <c r="R29" s="213"/>
      <c r="S29" s="213"/>
      <c r="T29" s="213"/>
      <c r="U29" s="213"/>
      <c r="V29" s="213"/>
      <c r="W29" s="213"/>
      <c r="X29" s="213"/>
      <c r="Y29" s="213"/>
      <c r="Z29" s="213"/>
    </row>
    <row r="30" spans="1:26" ht="23.25" customHeight="1" x14ac:dyDescent="0.2">
      <c r="A30" s="203" t="s">
        <v>161</v>
      </c>
      <c r="B30" s="72" t="s">
        <v>162</v>
      </c>
      <c r="C30" s="185">
        <f>SUMPRODUCT(-('Diário 5º PA'!$E$5:$E$2634='Analítico Cx.'!$B30),-('Diário 5º PA'!$P$5:$P$2634=C$1),('Diário 5º PA'!$F$5:$F$2634))+
SUMPRODUCT(-('Diário 6º PA'!$E$5:$E$2246='Analítico Cx.'!$B30),-('Diário 6º PA'!$P$5:$P$2246=C$1),('Diário 6º PA'!$F$5:$F$2246))+
SUMPRODUCT(-('Diário 7º PA'!$E$5:$E$2271='Analítico Cx.'!$B30),-('Diário 7º PA'!$P$5:$P$2271=C$1),('Diário 7º PA'!$F$5:$F$2271))+
SUMPRODUCT(-('Diário 8º PA'!$E$5:$E$2488='Analítico Cx.'!$B30),-('Diário 8º PA'!$P$5:$P$2488=C$1),('Diário 8º PA'!$F$5:$F$2488))</f>
        <v>0</v>
      </c>
      <c r="D30" s="185">
        <f>SUMPRODUCT(-('Diário 5º PA'!$E$5:$E$2634='Analítico Cx.'!$B30),-('Diário 5º PA'!$P$5:$P$2634=D$1),('Diário 5º PA'!$F$5:$F$2634))+
SUMPRODUCT(-('Diário 6º PA'!$E$5:$E$2246='Analítico Cx.'!$B30),-('Diário 6º PA'!$P$5:$P$2246=D$1),('Diário 6º PA'!$F$5:$F$2246))+
SUMPRODUCT(-('Diário 7º PA'!$E$5:$E$2271='Analítico Cx.'!$B30),-('Diário 7º PA'!$P$5:$P$2271=D$1),('Diário 7º PA'!$F$5:$F$2271))+
SUMPRODUCT(-('Diário 8º PA'!$E$5:$E$2488='Analítico Cx.'!$B30),-('Diário 8º PA'!$P$5:$P$2488=D$1),('Diário 8º PA'!$F$5:$F$2488))</f>
        <v>0</v>
      </c>
      <c r="E30" s="185">
        <f>SUMPRODUCT(-('Diário 5º PA'!$E$5:$E$2634='Analítico Cx.'!$B30),-('Diário 5º PA'!$P$5:$P$2634=E$1),('Diário 5º PA'!$F$5:$F$2634))+
SUMPRODUCT(-('Diário 6º PA'!$E$5:$E$2246='Analítico Cx.'!$B30),-('Diário 6º PA'!$P$5:$P$2246=E$1),('Diário 6º PA'!$F$5:$F$2246))+
SUMPRODUCT(-('Diário 7º PA'!$E$5:$E$2271='Analítico Cx.'!$B30),-('Diário 7º PA'!$P$5:$P$2271=E$1),('Diário 7º PA'!$F$5:$F$2271))+
SUMPRODUCT(-('Diário 8º PA'!$E$5:$E$2488='Analítico Cx.'!$B30),-('Diário 8º PA'!$P$5:$P$2488=E$1),('Diário 8º PA'!$F$5:$F$2488))</f>
        <v>0</v>
      </c>
      <c r="F30" s="185">
        <f>SUMPRODUCT(-('Diário 5º PA'!$E$5:$E$2634='Analítico Cx.'!$B30),-('Diário 5º PA'!$P$5:$P$2634=F$1),('Diário 5º PA'!$F$5:$F$2634))+
SUMPRODUCT(-('Diário 6º PA'!$E$5:$E$2246='Analítico Cx.'!$B30),-('Diário 6º PA'!$P$5:$P$2246=F$1),('Diário 6º PA'!$F$5:$F$2246))+
SUMPRODUCT(-('Diário 7º PA'!$E$5:$E$2271='Analítico Cx.'!$B30),-('Diário 7º PA'!$P$5:$P$2271=F$1),('Diário 7º PA'!$F$5:$F$2271))+
SUMPRODUCT(-('Diário 8º PA'!$E$5:$E$2488='Analítico Cx.'!$B30),-('Diário 8º PA'!$P$5:$P$2488=F$1),('Diário 8º PA'!$F$5:$F$2488))</f>
        <v>0</v>
      </c>
      <c r="G30" s="185">
        <f>SUMPRODUCT(-('Diário 5º PA'!$E$5:$E$2634='Analítico Cx.'!$B30),-('Diário 5º PA'!$P$5:$P$2634=G$1),('Diário 5º PA'!$F$5:$F$2634))+
SUMPRODUCT(-('Diário 6º PA'!$E$5:$E$2246='Analítico Cx.'!$B30),-('Diário 6º PA'!$P$5:$P$2246=G$1),('Diário 6º PA'!$F$5:$F$2246))+
SUMPRODUCT(-('Diário 7º PA'!$E$5:$E$2271='Analítico Cx.'!$B30),-('Diário 7º PA'!$P$5:$P$2271=G$1),('Diário 7º PA'!$F$5:$F$2271))+
SUMPRODUCT(-('Diário 8º PA'!$E$5:$E$2488='Analítico Cx.'!$B30),-('Diário 8º PA'!$P$5:$P$2488=G$1),('Diário 8º PA'!$F$5:$F$2488))</f>
        <v>0</v>
      </c>
      <c r="H30" s="185">
        <f>SUMPRODUCT(-('Diário 5º PA'!$E$5:$E$2634='Analítico Cx.'!$B30),-('Diário 5º PA'!$P$5:$P$2634=H$1),('Diário 5º PA'!$F$5:$F$2634))+
SUMPRODUCT(-('Diário 6º PA'!$E$5:$E$2246='Analítico Cx.'!$B30),-('Diário 6º PA'!$P$5:$P$2246=H$1),('Diário 6º PA'!$F$5:$F$2246))+
SUMPRODUCT(-('Diário 7º PA'!$E$5:$E$2271='Analítico Cx.'!$B30),-('Diário 7º PA'!$P$5:$P$2271=H$1),('Diário 7º PA'!$F$5:$F$2271))+
SUMPRODUCT(-('Diário 8º PA'!$E$5:$E$2488='Analítico Cx.'!$B30),-('Diário 8º PA'!$P$5:$P$2488=H$1),('Diário 8º PA'!$F$5:$F$2488))</f>
        <v>0</v>
      </c>
      <c r="I30" s="185">
        <f>SUMPRODUCT(-('Diário 5º PA'!$E$5:$E$2634='Analítico Cx.'!$B30),-('Diário 5º PA'!$P$5:$P$2634=I$1),('Diário 5º PA'!$F$5:$F$2634))+
SUMPRODUCT(-('Diário 6º PA'!$E$5:$E$2246='Analítico Cx.'!$B30),-('Diário 6º PA'!$P$5:$P$2246=I$1),('Diário 6º PA'!$F$5:$F$2246))+
SUMPRODUCT(-('Diário 7º PA'!$E$5:$E$2271='Analítico Cx.'!$B30),-('Diário 7º PA'!$P$5:$P$2271=I$1),('Diário 7º PA'!$F$5:$F$2271))+
SUMPRODUCT(-('Diário 8º PA'!$E$5:$E$2488='Analítico Cx.'!$B30),-('Diário 8º PA'!$P$5:$P$2488=I$1),('Diário 8º PA'!$F$5:$F$2488))</f>
        <v>0</v>
      </c>
      <c r="J30" s="185">
        <f>SUMPRODUCT(-('Diário 5º PA'!$E$5:$E$2634='Analítico Cx.'!$B30),-('Diário 5º PA'!$P$5:$P$2634=J$1),('Diário 5º PA'!$F$5:$F$2634))+
SUMPRODUCT(-('Diário 6º PA'!$E$5:$E$2246='Analítico Cx.'!$B30),-('Diário 6º PA'!$P$5:$P$2246=J$1),('Diário 6º PA'!$F$5:$F$2246))+
SUMPRODUCT(-('Diário 7º PA'!$E$5:$E$2271='Analítico Cx.'!$B30),-('Diário 7º PA'!$P$5:$P$2271=J$1),('Diário 7º PA'!$F$5:$F$2271))+
SUMPRODUCT(-('Diário 8º PA'!$E$5:$E$2488='Analítico Cx.'!$B30),-('Diário 8º PA'!$P$5:$P$2488=J$1),('Diário 8º PA'!$F$5:$F$2488))</f>
        <v>0</v>
      </c>
      <c r="K30" s="185">
        <f>SUMPRODUCT(-('Diário 5º PA'!$E$5:$E$2634='Analítico Cx.'!$B30),-('Diário 5º PA'!$P$5:$P$2634=K$1),('Diário 5º PA'!$F$5:$F$2634))+
SUMPRODUCT(-('Diário 6º PA'!$E$5:$E$2246='Analítico Cx.'!$B30),-('Diário 6º PA'!$P$5:$P$2246=K$1),('Diário 6º PA'!$F$5:$F$2246))+
SUMPRODUCT(-('Diário 7º PA'!$E$5:$E$2271='Analítico Cx.'!$B30),-('Diário 7º PA'!$P$5:$P$2271=K$1),('Diário 7º PA'!$F$5:$F$2271))+
SUMPRODUCT(-('Diário 8º PA'!$E$5:$E$2488='Analítico Cx.'!$B30),-('Diário 8º PA'!$P$5:$P$2488=K$1),('Diário 8º PA'!$F$5:$F$2488))</f>
        <v>0</v>
      </c>
      <c r="L30" s="185">
        <f>SUMPRODUCT(-('Diário 5º PA'!$E$5:$E$2634='Analítico Cx.'!$B30),-('Diário 5º PA'!$P$5:$P$2634=L$1),('Diário 5º PA'!$F$5:$F$2634))+
SUMPRODUCT(-('Diário 6º PA'!$E$5:$E$2246='Analítico Cx.'!$B30),-('Diário 6º PA'!$P$5:$P$2246=L$1),('Diário 6º PA'!$F$5:$F$2246))+
SUMPRODUCT(-('Diário 7º PA'!$E$5:$E$2271='Analítico Cx.'!$B30),-('Diário 7º PA'!$P$5:$P$2271=L$1),('Diário 7º PA'!$F$5:$F$2271))+
SUMPRODUCT(-('Diário 8º PA'!$E$5:$E$2488='Analítico Cx.'!$B30),-('Diário 8º PA'!$P$5:$P$2488=L$1),('Diário 8º PA'!$F$5:$F$2488))</f>
        <v>0</v>
      </c>
      <c r="M30" s="185">
        <f>SUMPRODUCT(-('Diário 5º PA'!$E$5:$E$2634='Analítico Cx.'!$B30),-('Diário 5º PA'!$P$5:$P$2634=M$1),('Diário 5º PA'!$F$5:$F$2634))+
SUMPRODUCT(-('Diário 6º PA'!$E$5:$E$2246='Analítico Cx.'!$B30),-('Diário 6º PA'!$P$5:$P$2246=M$1),('Diário 6º PA'!$F$5:$F$2246))+
SUMPRODUCT(-('Diário 7º PA'!$E$5:$E$2271='Analítico Cx.'!$B30),-('Diário 7º PA'!$P$5:$P$2271=M$1),('Diário 7º PA'!$F$5:$F$2271))+
SUMPRODUCT(-('Diário 8º PA'!$E$5:$E$2488='Analítico Cx.'!$B30),-('Diário 8º PA'!$P$5:$P$2488=M$1),('Diário 8º PA'!$F$5:$F$2488))</f>
        <v>0</v>
      </c>
      <c r="N30" s="185">
        <f>SUMPRODUCT(-('Diário 5º PA'!$E$5:$E$2634='Analítico Cx.'!$B30),-('Diário 5º PA'!$P$5:$P$2634=N$1),('Diário 5º PA'!$F$5:$F$2634))+
SUMPRODUCT(-('Diário 6º PA'!$E$5:$E$2246='Analítico Cx.'!$B30),-('Diário 6º PA'!$P$5:$P$2246=N$1),('Diário 6º PA'!$F$5:$F$2246))+
SUMPRODUCT(-('Diário 7º PA'!$E$5:$E$2271='Analítico Cx.'!$B30),-('Diário 7º PA'!$P$5:$P$2271=N$1),('Diário 7º PA'!$F$5:$F$2271))+
SUMPRODUCT(-('Diário 8º PA'!$E$5:$E$2488='Analítico Cx.'!$B30),-('Diário 8º PA'!$P$5:$P$2488=N$1),('Diário 8º PA'!$F$5:$F$2488))</f>
        <v>0</v>
      </c>
      <c r="O30" s="186">
        <f t="shared" ref="O30:O31" si="7">SUM(C30:N30)</f>
        <v>0</v>
      </c>
      <c r="P30" s="187">
        <f t="shared" ref="P30:P32" si="8">IF($O$166=0,0,O30/$O$166)</f>
        <v>0</v>
      </c>
      <c r="Q30" s="34"/>
      <c r="R30" s="34"/>
      <c r="S30" s="34"/>
      <c r="T30" s="34"/>
      <c r="U30" s="34"/>
      <c r="V30" s="34"/>
      <c r="W30" s="34"/>
      <c r="X30" s="34"/>
      <c r="Y30" s="34"/>
      <c r="Z30" s="34"/>
    </row>
    <row r="31" spans="1:26" ht="23.25" customHeight="1" x14ac:dyDescent="0.2">
      <c r="A31" s="203" t="s">
        <v>163</v>
      </c>
      <c r="B31" s="72" t="s">
        <v>164</v>
      </c>
      <c r="C31" s="185">
        <f>SUMPRODUCT(-('Diário 5º PA'!$E$5:$E$2634='Analítico Cx.'!$B31),-('Diário 5º PA'!$P$5:$P$2634=C$1),('Diário 5º PA'!$F$5:$F$2634))+
SUMPRODUCT(-('Diário 6º PA'!$E$5:$E$2246='Analítico Cx.'!$B31),-('Diário 6º PA'!$P$5:$P$2246=C$1),('Diário 6º PA'!$F$5:$F$2246))+
SUMPRODUCT(-('Diário 7º PA'!$E$5:$E$2271='Analítico Cx.'!$B31),-('Diário 7º PA'!$P$5:$P$2271=C$1),('Diário 7º PA'!$F$5:$F$2271))+
SUMPRODUCT(-('Diário 8º PA'!$E$5:$E$2488='Analítico Cx.'!$B31),-('Diário 8º PA'!$P$5:$P$2488=C$1),('Diário 8º PA'!$F$5:$F$2488))</f>
        <v>0</v>
      </c>
      <c r="D31" s="185">
        <f>SUMPRODUCT(-('Diário 5º PA'!$E$5:$E$2634='Analítico Cx.'!$B31),-('Diário 5º PA'!$P$5:$P$2634=D$1),('Diário 5º PA'!$F$5:$F$2634))+
SUMPRODUCT(-('Diário 6º PA'!$E$5:$E$2246='Analítico Cx.'!$B31),-('Diário 6º PA'!$P$5:$P$2246=D$1),('Diário 6º PA'!$F$5:$F$2246))+
SUMPRODUCT(-('Diário 7º PA'!$E$5:$E$2271='Analítico Cx.'!$B31),-('Diário 7º PA'!$P$5:$P$2271=D$1),('Diário 7º PA'!$F$5:$F$2271))+
SUMPRODUCT(-('Diário 8º PA'!$E$5:$E$2488='Analítico Cx.'!$B31),-('Diário 8º PA'!$P$5:$P$2488=D$1),('Diário 8º PA'!$F$5:$F$2488))</f>
        <v>0</v>
      </c>
      <c r="E31" s="185">
        <f>SUMPRODUCT(-('Diário 5º PA'!$E$5:$E$2634='Analítico Cx.'!$B31),-('Diário 5º PA'!$P$5:$P$2634=E$1),('Diário 5º PA'!$F$5:$F$2634))+
SUMPRODUCT(-('Diário 6º PA'!$E$5:$E$2246='Analítico Cx.'!$B31),-('Diário 6º PA'!$P$5:$P$2246=E$1),('Diário 6º PA'!$F$5:$F$2246))+
SUMPRODUCT(-('Diário 7º PA'!$E$5:$E$2271='Analítico Cx.'!$B31),-('Diário 7º PA'!$P$5:$P$2271=E$1),('Diário 7º PA'!$F$5:$F$2271))+
SUMPRODUCT(-('Diário 8º PA'!$E$5:$E$2488='Analítico Cx.'!$B31),-('Diário 8º PA'!$P$5:$P$2488=E$1),('Diário 8º PA'!$F$5:$F$2488))</f>
        <v>0</v>
      </c>
      <c r="F31" s="185">
        <f>SUMPRODUCT(-('Diário 5º PA'!$E$5:$E$2634='Analítico Cx.'!$B31),-('Diário 5º PA'!$P$5:$P$2634=F$1),('Diário 5º PA'!$F$5:$F$2634))+
SUMPRODUCT(-('Diário 6º PA'!$E$5:$E$2246='Analítico Cx.'!$B31),-('Diário 6º PA'!$P$5:$P$2246=F$1),('Diário 6º PA'!$F$5:$F$2246))+
SUMPRODUCT(-('Diário 7º PA'!$E$5:$E$2271='Analítico Cx.'!$B31),-('Diário 7º PA'!$P$5:$P$2271=F$1),('Diário 7º PA'!$F$5:$F$2271))+
SUMPRODUCT(-('Diário 8º PA'!$E$5:$E$2488='Analítico Cx.'!$B31),-('Diário 8º PA'!$P$5:$P$2488=F$1),('Diário 8º PA'!$F$5:$F$2488))</f>
        <v>0</v>
      </c>
      <c r="G31" s="185">
        <f>SUMPRODUCT(-('Diário 5º PA'!$E$5:$E$2634='Analítico Cx.'!$B31),-('Diário 5º PA'!$P$5:$P$2634=G$1),('Diário 5º PA'!$F$5:$F$2634))+
SUMPRODUCT(-('Diário 6º PA'!$E$5:$E$2246='Analítico Cx.'!$B31),-('Diário 6º PA'!$P$5:$P$2246=G$1),('Diário 6º PA'!$F$5:$F$2246))+
SUMPRODUCT(-('Diário 7º PA'!$E$5:$E$2271='Analítico Cx.'!$B31),-('Diário 7º PA'!$P$5:$P$2271=G$1),('Diário 7º PA'!$F$5:$F$2271))+
SUMPRODUCT(-('Diário 8º PA'!$E$5:$E$2488='Analítico Cx.'!$B31),-('Diário 8º PA'!$P$5:$P$2488=G$1),('Diário 8º PA'!$F$5:$F$2488))</f>
        <v>0</v>
      </c>
      <c r="H31" s="185">
        <f>SUMPRODUCT(-('Diário 5º PA'!$E$5:$E$2634='Analítico Cx.'!$B31),-('Diário 5º PA'!$P$5:$P$2634=H$1),('Diário 5º PA'!$F$5:$F$2634))+
SUMPRODUCT(-('Diário 6º PA'!$E$5:$E$2246='Analítico Cx.'!$B31),-('Diário 6º PA'!$P$5:$P$2246=H$1),('Diário 6º PA'!$F$5:$F$2246))+
SUMPRODUCT(-('Diário 7º PA'!$E$5:$E$2271='Analítico Cx.'!$B31),-('Diário 7º PA'!$P$5:$P$2271=H$1),('Diário 7º PA'!$F$5:$F$2271))+
SUMPRODUCT(-('Diário 8º PA'!$E$5:$E$2488='Analítico Cx.'!$B31),-('Diário 8º PA'!$P$5:$P$2488=H$1),('Diário 8º PA'!$F$5:$F$2488))</f>
        <v>0</v>
      </c>
      <c r="I31" s="185">
        <f>SUMPRODUCT(-('Diário 5º PA'!$E$5:$E$2634='Analítico Cx.'!$B31),-('Diário 5º PA'!$P$5:$P$2634=I$1),('Diário 5º PA'!$F$5:$F$2634))+
SUMPRODUCT(-('Diário 6º PA'!$E$5:$E$2246='Analítico Cx.'!$B31),-('Diário 6º PA'!$P$5:$P$2246=I$1),('Diário 6º PA'!$F$5:$F$2246))+
SUMPRODUCT(-('Diário 7º PA'!$E$5:$E$2271='Analítico Cx.'!$B31),-('Diário 7º PA'!$P$5:$P$2271=I$1),('Diário 7º PA'!$F$5:$F$2271))+
SUMPRODUCT(-('Diário 8º PA'!$E$5:$E$2488='Analítico Cx.'!$B31),-('Diário 8º PA'!$P$5:$P$2488=I$1),('Diário 8º PA'!$F$5:$F$2488))</f>
        <v>0</v>
      </c>
      <c r="J31" s="185">
        <f>SUMPRODUCT(-('Diário 5º PA'!$E$5:$E$2634='Analítico Cx.'!$B31),-('Diário 5º PA'!$P$5:$P$2634=J$1),('Diário 5º PA'!$F$5:$F$2634))+
SUMPRODUCT(-('Diário 6º PA'!$E$5:$E$2246='Analítico Cx.'!$B31),-('Diário 6º PA'!$P$5:$P$2246=J$1),('Diário 6º PA'!$F$5:$F$2246))+
SUMPRODUCT(-('Diário 7º PA'!$E$5:$E$2271='Analítico Cx.'!$B31),-('Diário 7º PA'!$P$5:$P$2271=J$1),('Diário 7º PA'!$F$5:$F$2271))+
SUMPRODUCT(-('Diário 8º PA'!$E$5:$E$2488='Analítico Cx.'!$B31),-('Diário 8º PA'!$P$5:$P$2488=J$1),('Diário 8º PA'!$F$5:$F$2488))</f>
        <v>0</v>
      </c>
      <c r="K31" s="185">
        <f>SUMPRODUCT(-('Diário 5º PA'!$E$5:$E$2634='Analítico Cx.'!$B31),-('Diário 5º PA'!$P$5:$P$2634=K$1),('Diário 5º PA'!$F$5:$F$2634))+
SUMPRODUCT(-('Diário 6º PA'!$E$5:$E$2246='Analítico Cx.'!$B31),-('Diário 6º PA'!$P$5:$P$2246=K$1),('Diário 6º PA'!$F$5:$F$2246))+
SUMPRODUCT(-('Diário 7º PA'!$E$5:$E$2271='Analítico Cx.'!$B31),-('Diário 7º PA'!$P$5:$P$2271=K$1),('Diário 7º PA'!$F$5:$F$2271))+
SUMPRODUCT(-('Diário 8º PA'!$E$5:$E$2488='Analítico Cx.'!$B31),-('Diário 8º PA'!$P$5:$P$2488=K$1),('Diário 8º PA'!$F$5:$F$2488))</f>
        <v>0</v>
      </c>
      <c r="L31" s="185">
        <f>SUMPRODUCT(-('Diário 5º PA'!$E$5:$E$2634='Analítico Cx.'!$B31),-('Diário 5º PA'!$P$5:$P$2634=L$1),('Diário 5º PA'!$F$5:$F$2634))+
SUMPRODUCT(-('Diário 6º PA'!$E$5:$E$2246='Analítico Cx.'!$B31),-('Diário 6º PA'!$P$5:$P$2246=L$1),('Diário 6º PA'!$F$5:$F$2246))+
SUMPRODUCT(-('Diário 7º PA'!$E$5:$E$2271='Analítico Cx.'!$B31),-('Diário 7º PA'!$P$5:$P$2271=L$1),('Diário 7º PA'!$F$5:$F$2271))+
SUMPRODUCT(-('Diário 8º PA'!$E$5:$E$2488='Analítico Cx.'!$B31),-('Diário 8º PA'!$P$5:$P$2488=L$1),('Diário 8º PA'!$F$5:$F$2488))</f>
        <v>0</v>
      </c>
      <c r="M31" s="185">
        <f>SUMPRODUCT(-('Diário 5º PA'!$E$5:$E$2634='Analítico Cx.'!$B31),-('Diário 5º PA'!$P$5:$P$2634=M$1),('Diário 5º PA'!$F$5:$F$2634))+
SUMPRODUCT(-('Diário 6º PA'!$E$5:$E$2246='Analítico Cx.'!$B31),-('Diário 6º PA'!$P$5:$P$2246=M$1),('Diário 6º PA'!$F$5:$F$2246))+
SUMPRODUCT(-('Diário 7º PA'!$E$5:$E$2271='Analítico Cx.'!$B31),-('Diário 7º PA'!$P$5:$P$2271=M$1),('Diário 7º PA'!$F$5:$F$2271))+
SUMPRODUCT(-('Diário 8º PA'!$E$5:$E$2488='Analítico Cx.'!$B31),-('Diário 8º PA'!$P$5:$P$2488=M$1),('Diário 8º PA'!$F$5:$F$2488))</f>
        <v>0</v>
      </c>
      <c r="N31" s="185">
        <f>SUMPRODUCT(-('Diário 5º PA'!$E$5:$E$2634='Analítico Cx.'!$B31),-('Diário 5º PA'!$P$5:$P$2634=N$1),('Diário 5º PA'!$F$5:$F$2634))+
SUMPRODUCT(-('Diário 6º PA'!$E$5:$E$2246='Analítico Cx.'!$B31),-('Diário 6º PA'!$P$5:$P$2246=N$1),('Diário 6º PA'!$F$5:$F$2246))+
SUMPRODUCT(-('Diário 7º PA'!$E$5:$E$2271='Analítico Cx.'!$B31),-('Diário 7º PA'!$P$5:$P$2271=N$1),('Diário 7º PA'!$F$5:$F$2271))+
SUMPRODUCT(-('Diário 8º PA'!$E$5:$E$2488='Analítico Cx.'!$B31),-('Diário 8º PA'!$P$5:$P$2488=N$1),('Diário 8º PA'!$F$5:$F$2488))</f>
        <v>0</v>
      </c>
      <c r="O31" s="186">
        <f t="shared" si="7"/>
        <v>0</v>
      </c>
      <c r="P31" s="187">
        <f t="shared" si="8"/>
        <v>0</v>
      </c>
      <c r="Q31" s="34"/>
      <c r="R31" s="34"/>
      <c r="S31" s="34"/>
      <c r="T31" s="34"/>
      <c r="U31" s="34"/>
      <c r="V31" s="34"/>
      <c r="W31" s="34"/>
      <c r="X31" s="34"/>
      <c r="Y31" s="34"/>
      <c r="Z31" s="34"/>
    </row>
    <row r="32" spans="1:26" ht="23.25" customHeight="1" x14ac:dyDescent="0.2">
      <c r="A32" s="205"/>
      <c r="B32" s="206" t="s">
        <v>165</v>
      </c>
      <c r="C32" s="207">
        <f t="shared" ref="C32:O32" si="9">SUBTOTAL(109,C30:C31)</f>
        <v>0</v>
      </c>
      <c r="D32" s="207">
        <f t="shared" si="9"/>
        <v>0</v>
      </c>
      <c r="E32" s="207">
        <f t="shared" si="9"/>
        <v>0</v>
      </c>
      <c r="F32" s="207">
        <f t="shared" si="9"/>
        <v>0</v>
      </c>
      <c r="G32" s="207">
        <f t="shared" si="9"/>
        <v>0</v>
      </c>
      <c r="H32" s="207">
        <f t="shared" si="9"/>
        <v>0</v>
      </c>
      <c r="I32" s="207">
        <f t="shared" si="9"/>
        <v>0</v>
      </c>
      <c r="J32" s="207">
        <f t="shared" si="9"/>
        <v>0</v>
      </c>
      <c r="K32" s="207">
        <f t="shared" si="9"/>
        <v>0</v>
      </c>
      <c r="L32" s="207">
        <f t="shared" si="9"/>
        <v>0</v>
      </c>
      <c r="M32" s="207">
        <f t="shared" si="9"/>
        <v>0</v>
      </c>
      <c r="N32" s="207">
        <f t="shared" si="9"/>
        <v>0</v>
      </c>
      <c r="O32" s="207">
        <f t="shared" si="9"/>
        <v>0</v>
      </c>
      <c r="P32" s="208">
        <f t="shared" si="8"/>
        <v>0</v>
      </c>
      <c r="Q32" s="34"/>
      <c r="R32" s="34"/>
      <c r="S32" s="34"/>
      <c r="T32" s="34"/>
      <c r="U32" s="34"/>
      <c r="V32" s="34"/>
      <c r="W32" s="34"/>
      <c r="X32" s="34"/>
      <c r="Y32" s="34"/>
      <c r="Z32" s="34"/>
    </row>
    <row r="33" spans="1:26" ht="23.25" customHeight="1" x14ac:dyDescent="0.2">
      <c r="A33" s="181" t="s">
        <v>93</v>
      </c>
      <c r="B33" s="201" t="s">
        <v>94</v>
      </c>
      <c r="C33" s="211"/>
      <c r="D33" s="211"/>
      <c r="E33" s="211"/>
      <c r="F33" s="211"/>
      <c r="G33" s="211"/>
      <c r="H33" s="211"/>
      <c r="I33" s="211"/>
      <c r="J33" s="211"/>
      <c r="K33" s="211"/>
      <c r="L33" s="211"/>
      <c r="M33" s="211"/>
      <c r="N33" s="211"/>
      <c r="O33" s="211"/>
      <c r="P33" s="212"/>
      <c r="Q33" s="34"/>
      <c r="R33" s="34"/>
      <c r="S33" s="34"/>
      <c r="T33" s="34"/>
      <c r="U33" s="34"/>
      <c r="V33" s="34"/>
      <c r="W33" s="34"/>
      <c r="X33" s="34"/>
      <c r="Y33" s="34"/>
      <c r="Z33" s="34"/>
    </row>
    <row r="34" spans="1:26" ht="23.25" customHeight="1" x14ac:dyDescent="0.2">
      <c r="A34" s="203" t="s">
        <v>166</v>
      </c>
      <c r="B34" s="72" t="s">
        <v>167</v>
      </c>
      <c r="C34" s="185">
        <f>SUMPRODUCT(-('Diário 5º PA'!$E$5:$E$2634='Analítico Cx.'!$B34),-('Diário 5º PA'!$P$5:$P$2634=C$1),('Diário 5º PA'!$F$5:$F$2634))+
SUMPRODUCT(-('Diário 6º PA'!$E$5:$E$2246='Analítico Cx.'!$B34),-('Diário 6º PA'!$P$5:$P$2246=C$1),('Diário 6º PA'!$F$5:$F$2246))+
SUMPRODUCT(-('Diário 7º PA'!$E$5:$E$2271='Analítico Cx.'!$B34),-('Diário 7º PA'!$P$5:$P$2271=C$1),('Diário 7º PA'!$F$5:$F$2271))+
SUMPRODUCT(-('Diário 8º PA'!$E$5:$E$2488='Analítico Cx.'!$B34),-('Diário 8º PA'!$P$5:$P$2488=C$1),('Diário 8º PA'!$F$5:$F$2488))</f>
        <v>22440.22</v>
      </c>
      <c r="D34" s="185">
        <f>SUMPRODUCT(-('Diário 5º PA'!$E$5:$E$2634='Analítico Cx.'!$B34),-('Diário 5º PA'!$P$5:$P$2634=D$1),('Diário 5º PA'!$F$5:$F$2634))+
SUMPRODUCT(-('Diário 6º PA'!$E$5:$E$2246='Analítico Cx.'!$B34),-('Diário 6º PA'!$P$5:$P$2246=D$1),('Diário 6º PA'!$F$5:$F$2246))+
SUMPRODUCT(-('Diário 7º PA'!$E$5:$E$2271='Analítico Cx.'!$B34),-('Diário 7º PA'!$P$5:$P$2271=D$1),('Diário 7º PA'!$F$5:$F$2271))+
SUMPRODUCT(-('Diário 8º PA'!$E$5:$E$2488='Analítico Cx.'!$B34),-('Diário 8º PA'!$P$5:$P$2488=D$1),('Diário 8º PA'!$F$5:$F$2488))</f>
        <v>24059.07</v>
      </c>
      <c r="E34" s="185">
        <f>SUMPRODUCT(-('Diário 5º PA'!$E$5:$E$2634='Analítico Cx.'!$B34),-('Diário 5º PA'!$P$5:$P$2634=E$1),('Diário 5º PA'!$F$5:$F$2634))+
SUMPRODUCT(-('Diário 6º PA'!$E$5:$E$2246='Analítico Cx.'!$B34),-('Diário 6º PA'!$P$5:$P$2246=E$1),('Diário 6º PA'!$F$5:$F$2246))+
SUMPRODUCT(-('Diário 7º PA'!$E$5:$E$2271='Analítico Cx.'!$B34),-('Diário 7º PA'!$P$5:$P$2271=E$1),('Diário 7º PA'!$F$5:$F$2271))+
SUMPRODUCT(-('Diário 8º PA'!$E$5:$E$2488='Analítico Cx.'!$B34),-('Diário 8º PA'!$P$5:$P$2488=E$1),('Diário 8º PA'!$F$5:$F$2488))</f>
        <v>22863.15</v>
      </c>
      <c r="F34" s="185">
        <f>SUMPRODUCT(-('Diário 5º PA'!$E$5:$E$2634='Analítico Cx.'!$B34),-('Diário 5º PA'!$P$5:$P$2634=F$1),('Diário 5º PA'!$F$5:$F$2634))+
SUMPRODUCT(-('Diário 6º PA'!$E$5:$E$2246='Analítico Cx.'!$B34),-('Diário 6º PA'!$P$5:$P$2246=F$1),('Diário 6º PA'!$F$5:$F$2246))+
SUMPRODUCT(-('Diário 7º PA'!$E$5:$E$2271='Analítico Cx.'!$B34),-('Diário 7º PA'!$P$5:$P$2271=F$1),('Diário 7º PA'!$F$5:$F$2271))+
SUMPRODUCT(-('Diário 8º PA'!$E$5:$E$2488='Analítico Cx.'!$B34),-('Diário 8º PA'!$P$5:$P$2488=F$1),('Diário 8º PA'!$F$5:$F$2488))</f>
        <v>22598.71</v>
      </c>
      <c r="G34" s="185">
        <f>SUMPRODUCT(-('Diário 5º PA'!$E$5:$E$2634='Analítico Cx.'!$B34),-('Diário 5º PA'!$P$5:$P$2634=G$1),('Diário 5º PA'!$F$5:$F$2634))+
SUMPRODUCT(-('Diário 6º PA'!$E$5:$E$2246='Analítico Cx.'!$B34),-('Diário 6º PA'!$P$5:$P$2246=G$1),('Diário 6º PA'!$F$5:$F$2246))+
SUMPRODUCT(-('Diário 7º PA'!$E$5:$E$2271='Analítico Cx.'!$B34),-('Diário 7º PA'!$P$5:$P$2271=G$1),('Diário 7º PA'!$F$5:$F$2271))+
SUMPRODUCT(-('Diário 8º PA'!$E$5:$E$2488='Analítico Cx.'!$B34),-('Diário 8º PA'!$P$5:$P$2488=G$1),('Diário 8º PA'!$F$5:$F$2488))</f>
        <v>22670.79</v>
      </c>
      <c r="H34" s="185">
        <f>SUMPRODUCT(-('Diário 5º PA'!$E$5:$E$2634='Analítico Cx.'!$B34),-('Diário 5º PA'!$P$5:$P$2634=H$1),('Diário 5º PA'!$F$5:$F$2634))+
SUMPRODUCT(-('Diário 6º PA'!$E$5:$E$2246='Analítico Cx.'!$B34),-('Diário 6º PA'!$P$5:$P$2246=H$1),('Diário 6º PA'!$F$5:$F$2246))+
SUMPRODUCT(-('Diário 7º PA'!$E$5:$E$2271='Analítico Cx.'!$B34),-('Diário 7º PA'!$P$5:$P$2271=H$1),('Diário 7º PA'!$F$5:$F$2271))+
SUMPRODUCT(-('Diário 8º PA'!$E$5:$E$2488='Analítico Cx.'!$B34),-('Diário 8º PA'!$P$5:$P$2488=H$1),('Diário 8º PA'!$F$5:$F$2488))</f>
        <v>22459.73</v>
      </c>
      <c r="I34" s="185">
        <f>SUMPRODUCT(-('Diário 5º PA'!$E$5:$E$2634='Analítico Cx.'!$B34),-('Diário 5º PA'!$P$5:$P$2634=I$1),('Diário 5º PA'!$F$5:$F$2634))+
SUMPRODUCT(-('Diário 6º PA'!$E$5:$E$2246='Analítico Cx.'!$B34),-('Diário 6º PA'!$P$5:$P$2246=I$1),('Diário 6º PA'!$F$5:$F$2246))+
SUMPRODUCT(-('Diário 7º PA'!$E$5:$E$2271='Analítico Cx.'!$B34),-('Diário 7º PA'!$P$5:$P$2271=I$1),('Diário 7º PA'!$F$5:$F$2271))+
SUMPRODUCT(-('Diário 8º PA'!$E$5:$E$2488='Analítico Cx.'!$B34),-('Diário 8º PA'!$P$5:$P$2488=I$1),('Diário 8º PA'!$F$5:$F$2488))</f>
        <v>22763.200000000001</v>
      </c>
      <c r="J34" s="185">
        <f>SUMPRODUCT(-('Diário 5º PA'!$E$5:$E$2634='Analítico Cx.'!$B34),-('Diário 5º PA'!$P$5:$P$2634=J$1),('Diário 5º PA'!$F$5:$F$2634))+
SUMPRODUCT(-('Diário 6º PA'!$E$5:$E$2246='Analítico Cx.'!$B34),-('Diário 6º PA'!$P$5:$P$2246=J$1),('Diário 6º PA'!$F$5:$F$2246))+
SUMPRODUCT(-('Diário 7º PA'!$E$5:$E$2271='Analítico Cx.'!$B34),-('Diário 7º PA'!$P$5:$P$2271=J$1),('Diário 7º PA'!$F$5:$F$2271))+
SUMPRODUCT(-('Diário 8º PA'!$E$5:$E$2488='Analítico Cx.'!$B34),-('Diário 8º PA'!$P$5:$P$2488=J$1),('Diário 8º PA'!$F$5:$F$2488))</f>
        <v>31633.4</v>
      </c>
      <c r="K34" s="185">
        <f>SUMPRODUCT(-('Diário 5º PA'!$E$5:$E$2634='Analítico Cx.'!$B34),-('Diário 5º PA'!$P$5:$P$2634=K$1),('Diário 5º PA'!$F$5:$F$2634))+
SUMPRODUCT(-('Diário 6º PA'!$E$5:$E$2246='Analítico Cx.'!$B34),-('Diário 6º PA'!$P$5:$P$2246=K$1),('Diário 6º PA'!$F$5:$F$2246))+
SUMPRODUCT(-('Diário 7º PA'!$E$5:$E$2271='Analítico Cx.'!$B34),-('Diário 7º PA'!$P$5:$P$2271=K$1),('Diário 7º PA'!$F$5:$F$2271))+
SUMPRODUCT(-('Diário 8º PA'!$E$5:$E$2488='Analítico Cx.'!$B34),-('Diário 8º PA'!$P$5:$P$2488=K$1),('Diário 8º PA'!$F$5:$F$2488))</f>
        <v>41129.050000000003</v>
      </c>
      <c r="L34" s="185">
        <f>SUMPRODUCT(-('Diário 5º PA'!$E$5:$E$2634='Analítico Cx.'!$B34),-('Diário 5º PA'!$P$5:$P$2634=L$1),('Diário 5º PA'!$F$5:$F$2634))+
SUMPRODUCT(-('Diário 6º PA'!$E$5:$E$2246='Analítico Cx.'!$B34),-('Diário 6º PA'!$P$5:$P$2246=L$1),('Diário 6º PA'!$F$5:$F$2246))+
SUMPRODUCT(-('Diário 7º PA'!$E$5:$E$2271='Analítico Cx.'!$B34),-('Diário 7º PA'!$P$5:$P$2271=L$1),('Diário 7º PA'!$F$5:$F$2271))+
SUMPRODUCT(-('Diário 8º PA'!$E$5:$E$2488='Analítico Cx.'!$B34),-('Diário 8º PA'!$P$5:$P$2488=L$1),('Diário 8º PA'!$F$5:$F$2488))</f>
        <v>41994.239999999998</v>
      </c>
      <c r="M34" s="185">
        <f>SUMPRODUCT(-('Diário 5º PA'!$E$5:$E$2634='Analítico Cx.'!$B34),-('Diário 5º PA'!$P$5:$P$2634=M$1),('Diário 5º PA'!$F$5:$F$2634))+
SUMPRODUCT(-('Diário 6º PA'!$E$5:$E$2246='Analítico Cx.'!$B34),-('Diário 6º PA'!$P$5:$P$2246=M$1),('Diário 6º PA'!$F$5:$F$2246))+
SUMPRODUCT(-('Diário 7º PA'!$E$5:$E$2271='Analítico Cx.'!$B34),-('Diário 7º PA'!$P$5:$P$2271=M$1),('Diário 7º PA'!$F$5:$F$2271))+
SUMPRODUCT(-('Diário 8º PA'!$E$5:$E$2488='Analítico Cx.'!$B34),-('Diário 8º PA'!$P$5:$P$2488=M$1),('Diário 8º PA'!$F$5:$F$2488))</f>
        <v>48754.239999999998</v>
      </c>
      <c r="N34" s="185">
        <f>SUMPRODUCT(-('Diário 5º PA'!$E$5:$E$2634='Analítico Cx.'!$B34),-('Diário 5º PA'!$P$5:$P$2634=N$1),('Diário 5º PA'!$F$5:$F$2634))+
SUMPRODUCT(-('Diário 6º PA'!$E$5:$E$2246='Analítico Cx.'!$B34),-('Diário 6º PA'!$P$5:$P$2246=N$1),('Diário 6º PA'!$F$5:$F$2246))+
SUMPRODUCT(-('Diário 7º PA'!$E$5:$E$2271='Analítico Cx.'!$B34),-('Diário 7º PA'!$P$5:$P$2271=N$1),('Diário 7º PA'!$F$5:$F$2271))+
SUMPRODUCT(-('Diário 8º PA'!$E$5:$E$2488='Analítico Cx.'!$B34),-('Diário 8º PA'!$P$5:$P$2488=N$1),('Diário 8º PA'!$F$5:$F$2488))</f>
        <v>55980.63</v>
      </c>
      <c r="O34" s="186">
        <f t="shared" ref="O34:O45" si="10">SUM(C34:N34)</f>
        <v>379346.43</v>
      </c>
      <c r="P34" s="187">
        <f t="shared" ref="P34:P56" si="11">IF($O$166=0,0,O34/$O$166)</f>
        <v>4.0249111446773615E-2</v>
      </c>
      <c r="Q34" s="34"/>
      <c r="R34" s="34"/>
      <c r="S34" s="34"/>
      <c r="T34" s="34"/>
      <c r="U34" s="34"/>
      <c r="V34" s="34"/>
      <c r="W34" s="34"/>
      <c r="X34" s="34"/>
      <c r="Y34" s="34"/>
      <c r="Z34" s="34"/>
    </row>
    <row r="35" spans="1:26" ht="23.25" customHeight="1" x14ac:dyDescent="0.2">
      <c r="A35" s="203" t="s">
        <v>168</v>
      </c>
      <c r="B35" s="72" t="s">
        <v>169</v>
      </c>
      <c r="C35" s="185">
        <f>SUMPRODUCT(-('Diário 5º PA'!$E$5:$E$2634='Analítico Cx.'!$B35),-('Diário 5º PA'!$P$5:$P$2634=C$1),('Diário 5º PA'!$F$5:$F$2634))+
SUMPRODUCT(-('Diário 6º PA'!$E$5:$E$2246='Analítico Cx.'!$B35),-('Diário 6º PA'!$P$5:$P$2246=C$1),('Diário 6º PA'!$F$5:$F$2246))+
SUMPRODUCT(-('Diário 7º PA'!$E$5:$E$2271='Analítico Cx.'!$B35),-('Diário 7º PA'!$P$5:$P$2271=C$1),('Diário 7º PA'!$F$5:$F$2271))+
SUMPRODUCT(-('Diário 8º PA'!$E$5:$E$2488='Analítico Cx.'!$B35),-('Diário 8º PA'!$P$5:$P$2488=C$1),('Diário 8º PA'!$F$5:$F$2488))</f>
        <v>881.92</v>
      </c>
      <c r="D35" s="185">
        <f>SUMPRODUCT(-('Diário 5º PA'!$E$5:$E$2634='Analítico Cx.'!$B35),-('Diário 5º PA'!$P$5:$P$2634=D$1),('Diário 5º PA'!$F$5:$F$2634))+
SUMPRODUCT(-('Diário 6º PA'!$E$5:$E$2246='Analítico Cx.'!$B35),-('Diário 6º PA'!$P$5:$P$2246=D$1),('Diário 6º PA'!$F$5:$F$2246))+
SUMPRODUCT(-('Diário 7º PA'!$E$5:$E$2271='Analítico Cx.'!$B35),-('Diário 7º PA'!$P$5:$P$2271=D$1),('Diário 7º PA'!$F$5:$F$2271))+
SUMPRODUCT(-('Diário 8º PA'!$E$5:$E$2488='Analítico Cx.'!$B35),-('Diário 8º PA'!$P$5:$P$2488=D$1),('Diário 8º PA'!$F$5:$F$2488))</f>
        <v>945.5</v>
      </c>
      <c r="E35" s="185">
        <f>SUMPRODUCT(-('Diário 5º PA'!$E$5:$E$2634='Analítico Cx.'!$B35),-('Diário 5º PA'!$P$5:$P$2634=E$1),('Diário 5º PA'!$F$5:$F$2634))+
SUMPRODUCT(-('Diário 6º PA'!$E$5:$E$2246='Analítico Cx.'!$B35),-('Diário 6º PA'!$P$5:$P$2246=E$1),('Diário 6º PA'!$F$5:$F$2246))+
SUMPRODUCT(-('Diário 7º PA'!$E$5:$E$2271='Analítico Cx.'!$B35),-('Diário 7º PA'!$P$5:$P$2271=E$1),('Diário 7º PA'!$F$5:$F$2271))+
SUMPRODUCT(-('Diário 8º PA'!$E$5:$E$2488='Analítico Cx.'!$B35),-('Diário 8º PA'!$P$5:$P$2488=E$1),('Diário 8º PA'!$F$5:$F$2488))</f>
        <v>898.61</v>
      </c>
      <c r="F35" s="185">
        <f>SUMPRODUCT(-('Diário 5º PA'!$E$5:$E$2634='Analítico Cx.'!$B35),-('Diário 5º PA'!$P$5:$P$2634=F$1),('Diário 5º PA'!$F$5:$F$2634))+
SUMPRODUCT(-('Diário 6º PA'!$E$5:$E$2246='Analítico Cx.'!$B35),-('Diário 6º PA'!$P$5:$P$2246=F$1),('Diário 6º PA'!$F$5:$F$2246))+
SUMPRODUCT(-('Diário 7º PA'!$E$5:$E$2271='Analítico Cx.'!$B35),-('Diário 7º PA'!$P$5:$P$2271=F$1),('Diário 7º PA'!$F$5:$F$2271))+
SUMPRODUCT(-('Diário 8º PA'!$E$5:$E$2488='Analítico Cx.'!$B35),-('Diário 8º PA'!$P$5:$P$2488=F$1),('Diário 8º PA'!$F$5:$F$2488))</f>
        <v>888.24</v>
      </c>
      <c r="G35" s="185">
        <f>SUMPRODUCT(-('Diário 5º PA'!$E$5:$E$2634='Analítico Cx.'!$B35),-('Diário 5º PA'!$P$5:$P$2634=G$1),('Diário 5º PA'!$F$5:$F$2634))+
SUMPRODUCT(-('Diário 6º PA'!$E$5:$E$2246='Analítico Cx.'!$B35),-('Diário 6º PA'!$P$5:$P$2246=G$1),('Diário 6º PA'!$F$5:$F$2246))+
SUMPRODUCT(-('Diário 7º PA'!$E$5:$E$2271='Analítico Cx.'!$B35),-('Diário 7º PA'!$P$5:$P$2271=G$1),('Diário 7º PA'!$F$5:$F$2271))+
SUMPRODUCT(-('Diário 8º PA'!$E$5:$E$2488='Analítico Cx.'!$B35),-('Diário 8º PA'!$P$5:$P$2488=G$1),('Diário 8º PA'!$F$5:$F$2488))</f>
        <v>891.84</v>
      </c>
      <c r="H35" s="185">
        <f>SUMPRODUCT(-('Diário 5º PA'!$E$5:$E$2634='Analítico Cx.'!$B35),-('Diário 5º PA'!$P$5:$P$2634=H$1),('Diário 5º PA'!$F$5:$F$2634))+
SUMPRODUCT(-('Diário 6º PA'!$E$5:$E$2246='Analítico Cx.'!$B35),-('Diário 6º PA'!$P$5:$P$2246=H$1),('Diário 6º PA'!$F$5:$F$2246))+
SUMPRODUCT(-('Diário 7º PA'!$E$5:$E$2271='Analítico Cx.'!$B35),-('Diário 7º PA'!$P$5:$P$2271=H$1),('Diário 7º PA'!$F$5:$F$2271))+
SUMPRODUCT(-('Diário 8º PA'!$E$5:$E$2488='Analítico Cx.'!$B35),-('Diário 8º PA'!$P$5:$P$2488=H$1),('Diário 8º PA'!$F$5:$F$2488))</f>
        <v>882.78</v>
      </c>
      <c r="I35" s="185">
        <f>SUMPRODUCT(-('Diário 5º PA'!$E$5:$E$2634='Analítico Cx.'!$B35),-('Diário 5º PA'!$P$5:$P$2634=I$1),('Diário 5º PA'!$F$5:$F$2634))+
SUMPRODUCT(-('Diário 6º PA'!$E$5:$E$2246='Analítico Cx.'!$B35),-('Diário 6º PA'!$P$5:$P$2246=I$1),('Diário 6º PA'!$F$5:$F$2246))+
SUMPRODUCT(-('Diário 7º PA'!$E$5:$E$2271='Analítico Cx.'!$B35),-('Diário 7º PA'!$P$5:$P$2271=I$1),('Diário 7º PA'!$F$5:$F$2271))+
SUMPRODUCT(-('Diário 8º PA'!$E$5:$E$2488='Analítico Cx.'!$B35),-('Diário 8º PA'!$P$5:$P$2488=I$1),('Diário 8º PA'!$F$5:$F$2488))</f>
        <v>894.69</v>
      </c>
      <c r="J35" s="185">
        <f>SUMPRODUCT(-('Diário 5º PA'!$E$5:$E$2634='Analítico Cx.'!$B35),-('Diário 5º PA'!$P$5:$P$2634=J$1),('Diário 5º PA'!$F$5:$F$2634))+
SUMPRODUCT(-('Diário 6º PA'!$E$5:$E$2246='Analítico Cx.'!$B35),-('Diário 6º PA'!$P$5:$P$2246=J$1),('Diário 6º PA'!$F$5:$F$2246))+
SUMPRODUCT(-('Diário 7º PA'!$E$5:$E$2271='Analítico Cx.'!$B35),-('Diário 7º PA'!$P$5:$P$2271=J$1),('Diário 7º PA'!$F$5:$F$2271))+
SUMPRODUCT(-('Diário 8º PA'!$E$5:$E$2488='Analítico Cx.'!$B35),-('Diário 8º PA'!$P$5:$P$2488=J$1),('Diário 8º PA'!$F$5:$F$2488))</f>
        <v>1242.54</v>
      </c>
      <c r="K35" s="185">
        <f>SUMPRODUCT(-('Diário 5º PA'!$E$5:$E$2634='Analítico Cx.'!$B35),-('Diário 5º PA'!$P$5:$P$2634=K$1),('Diário 5º PA'!$F$5:$F$2634))+
SUMPRODUCT(-('Diário 6º PA'!$E$5:$E$2246='Analítico Cx.'!$B35),-('Diário 6º PA'!$P$5:$P$2246=K$1),('Diário 6º PA'!$F$5:$F$2246))+
SUMPRODUCT(-('Diário 7º PA'!$E$5:$E$2271='Analítico Cx.'!$B35),-('Diário 7º PA'!$P$5:$P$2271=K$1),('Diário 7º PA'!$F$5:$F$2271))+
SUMPRODUCT(-('Diário 8º PA'!$E$5:$E$2488='Analítico Cx.'!$B35),-('Diário 8º PA'!$P$5:$P$2488=K$1),('Diário 8º PA'!$F$5:$F$2488))</f>
        <v>1614.92</v>
      </c>
      <c r="L35" s="185">
        <f>SUMPRODUCT(-('Diário 5º PA'!$E$5:$E$2634='Analítico Cx.'!$B35),-('Diário 5º PA'!$P$5:$P$2634=L$1),('Diário 5º PA'!$F$5:$F$2634))+
SUMPRODUCT(-('Diário 6º PA'!$E$5:$E$2246='Analítico Cx.'!$B35),-('Diário 6º PA'!$P$5:$P$2246=L$1),('Diário 6º PA'!$F$5:$F$2246))+
SUMPRODUCT(-('Diário 7º PA'!$E$5:$E$2271='Analítico Cx.'!$B35),-('Diário 7º PA'!$P$5:$P$2271=L$1),('Diário 7º PA'!$F$5:$F$2271))+
SUMPRODUCT(-('Diário 8º PA'!$E$5:$E$2488='Analítico Cx.'!$B35),-('Diário 8º PA'!$P$5:$P$2488=L$1),('Diário 8º PA'!$F$5:$F$2488))</f>
        <v>3297.68</v>
      </c>
      <c r="M35" s="185">
        <f>SUMPRODUCT(-('Diário 5º PA'!$E$5:$E$2634='Analítico Cx.'!$B35),-('Diário 5º PA'!$P$5:$P$2634=M$1),('Diário 5º PA'!$F$5:$F$2634))+
SUMPRODUCT(-('Diário 6º PA'!$E$5:$E$2246='Analítico Cx.'!$B35),-('Diário 6º PA'!$P$5:$P$2246=M$1),('Diário 6º PA'!$F$5:$F$2246))+
SUMPRODUCT(-('Diário 7º PA'!$E$5:$E$2271='Analítico Cx.'!$B35),-('Diário 7º PA'!$P$5:$P$2271=M$1),('Diário 7º PA'!$F$5:$F$2271))+
SUMPRODUCT(-('Diário 8º PA'!$E$5:$E$2488='Analítico Cx.'!$B35),-('Diário 8º PA'!$P$5:$P$2488=M$1),('Diário 8º PA'!$F$5:$F$2488))</f>
        <v>248.61</v>
      </c>
      <c r="N35" s="185">
        <f>SUMPRODUCT(-('Diário 5º PA'!$E$5:$E$2634='Analítico Cx.'!$B35),-('Diário 5º PA'!$P$5:$P$2634=N$1),('Diário 5º PA'!$F$5:$F$2634))+
SUMPRODUCT(-('Diário 6º PA'!$E$5:$E$2246='Analítico Cx.'!$B35),-('Diário 6º PA'!$P$5:$P$2246=N$1),('Diário 6º PA'!$F$5:$F$2246))+
SUMPRODUCT(-('Diário 7º PA'!$E$5:$E$2271='Analítico Cx.'!$B35),-('Diário 7º PA'!$P$5:$P$2271=N$1),('Diário 7º PA'!$F$5:$F$2271))+
SUMPRODUCT(-('Diário 8º PA'!$E$5:$E$2488='Analítico Cx.'!$B35),-('Diário 8º PA'!$P$5:$P$2488=N$1),('Diário 8º PA'!$F$5:$F$2488))</f>
        <v>2195.3200000000002</v>
      </c>
      <c r="O35" s="186">
        <f t="shared" si="10"/>
        <v>14882.650000000001</v>
      </c>
      <c r="P35" s="187">
        <f t="shared" si="11"/>
        <v>1.5790670244961193E-3</v>
      </c>
      <c r="Q35" s="34"/>
      <c r="R35" s="34"/>
      <c r="S35" s="34"/>
      <c r="T35" s="34"/>
      <c r="U35" s="34"/>
      <c r="V35" s="34"/>
      <c r="W35" s="34"/>
      <c r="X35" s="34"/>
      <c r="Y35" s="34"/>
      <c r="Z35" s="34"/>
    </row>
    <row r="36" spans="1:26" ht="23.25" customHeight="1" x14ac:dyDescent="0.2">
      <c r="A36" s="203" t="s">
        <v>170</v>
      </c>
      <c r="B36" s="72" t="s">
        <v>171</v>
      </c>
      <c r="C36" s="185">
        <f>SUMPRODUCT(-('Diário 5º PA'!$E$5:$E$2634='Analítico Cx.'!$B36),-('Diário 5º PA'!$P$5:$P$2634=C$1),('Diário 5º PA'!$F$5:$F$2634))+
SUMPRODUCT(-('Diário 6º PA'!$E$5:$E$2246='Analítico Cx.'!$B36),-('Diário 6º PA'!$P$5:$P$2246=C$1),('Diário 6º PA'!$F$5:$F$2246))+
SUMPRODUCT(-('Diário 7º PA'!$E$5:$E$2271='Analítico Cx.'!$B36),-('Diário 7º PA'!$P$5:$P$2271=C$1),('Diário 7º PA'!$F$5:$F$2271))+
SUMPRODUCT(-('Diário 8º PA'!$E$5:$E$2488='Analítico Cx.'!$B36),-('Diário 8º PA'!$P$5:$P$2488=C$1),('Diário 8º PA'!$F$5:$F$2488))</f>
        <v>7055.33</v>
      </c>
      <c r="D36" s="185">
        <f>SUMPRODUCT(-('Diário 5º PA'!$E$5:$E$2634='Analítico Cx.'!$B36),-('Diário 5º PA'!$P$5:$P$2634=D$1),('Diário 5º PA'!$F$5:$F$2634))+
SUMPRODUCT(-('Diário 6º PA'!$E$5:$E$2246='Analítico Cx.'!$B36),-('Diário 6º PA'!$P$5:$P$2246=D$1),('Diário 6º PA'!$F$5:$F$2246))+
SUMPRODUCT(-('Diário 7º PA'!$E$5:$E$2271='Analítico Cx.'!$B36),-('Diário 7º PA'!$P$5:$P$2271=D$1),('Diário 7º PA'!$F$5:$F$2271))+
SUMPRODUCT(-('Diário 8º PA'!$E$5:$E$2488='Analítico Cx.'!$B36),-('Diário 8º PA'!$P$5:$P$2488=D$1),('Diário 8º PA'!$F$5:$F$2488))</f>
        <v>7564.0300000000007</v>
      </c>
      <c r="E36" s="185">
        <f>SUMPRODUCT(-('Diário 5º PA'!$E$5:$E$2634='Analítico Cx.'!$B36),-('Diário 5º PA'!$P$5:$P$2634=E$1),('Diário 5º PA'!$F$5:$F$2634))+
SUMPRODUCT(-('Diário 6º PA'!$E$5:$E$2246='Analítico Cx.'!$B36),-('Diário 6º PA'!$P$5:$P$2246=E$1),('Diário 6º PA'!$F$5:$F$2246))+
SUMPRODUCT(-('Diário 7º PA'!$E$5:$E$2271='Analítico Cx.'!$B36),-('Diário 7º PA'!$P$5:$P$2271=E$1),('Diário 7º PA'!$F$5:$F$2271))+
SUMPRODUCT(-('Diário 8º PA'!$E$5:$E$2488='Analítico Cx.'!$B36),-('Diário 8º PA'!$P$5:$P$2488=E$1),('Diário 8º PA'!$F$5:$F$2488))</f>
        <v>6737.43</v>
      </c>
      <c r="F36" s="185">
        <f>SUMPRODUCT(-('Diário 5º PA'!$E$5:$E$2634='Analítico Cx.'!$B36),-('Diário 5º PA'!$P$5:$P$2634=F$1),('Diário 5º PA'!$F$5:$F$2634))+
SUMPRODUCT(-('Diário 6º PA'!$E$5:$E$2246='Analítico Cx.'!$B36),-('Diário 6º PA'!$P$5:$P$2246=F$1),('Diário 6º PA'!$F$5:$F$2246))+
SUMPRODUCT(-('Diário 7º PA'!$E$5:$E$2271='Analítico Cx.'!$B36),-('Diário 7º PA'!$P$5:$P$2271=F$1),('Diário 7º PA'!$F$5:$F$2271))+
SUMPRODUCT(-('Diário 8º PA'!$E$5:$E$2488='Analítico Cx.'!$B36),-('Diário 8º PA'!$P$5:$P$2488=F$1),('Diário 8º PA'!$F$5:$F$2488))</f>
        <v>7105.880000000001</v>
      </c>
      <c r="G36" s="185">
        <f>SUMPRODUCT(-('Diário 5º PA'!$E$5:$E$2634='Analítico Cx.'!$B36),-('Diário 5º PA'!$P$5:$P$2634=G$1),('Diário 5º PA'!$F$5:$F$2634))+
SUMPRODUCT(-('Diário 6º PA'!$E$5:$E$2246='Analítico Cx.'!$B36),-('Diário 6º PA'!$P$5:$P$2246=G$1),('Diário 6º PA'!$F$5:$F$2246))+
SUMPRODUCT(-('Diário 7º PA'!$E$5:$E$2271='Analítico Cx.'!$B36),-('Diário 7º PA'!$P$5:$P$2271=G$1),('Diário 7º PA'!$F$5:$F$2271))+
SUMPRODUCT(-('Diário 8º PA'!$E$5:$E$2488='Analítico Cx.'!$B36),-('Diário 8º PA'!$P$5:$P$2488=G$1),('Diário 8º PA'!$F$5:$F$2488))</f>
        <v>7134.72</v>
      </c>
      <c r="H36" s="185">
        <f>SUMPRODUCT(-('Diário 5º PA'!$E$5:$E$2634='Analítico Cx.'!$B36),-('Diário 5º PA'!$P$5:$P$2634=H$1),('Diário 5º PA'!$F$5:$F$2634))+
SUMPRODUCT(-('Diário 6º PA'!$E$5:$E$2246='Analítico Cx.'!$B36),-('Diário 6º PA'!$P$5:$P$2246=H$1),('Diário 6º PA'!$F$5:$F$2246))+
SUMPRODUCT(-('Diário 7º PA'!$E$5:$E$2271='Analítico Cx.'!$B36),-('Diário 7º PA'!$P$5:$P$2271=H$1),('Diário 7º PA'!$F$5:$F$2271))+
SUMPRODUCT(-('Diário 8º PA'!$E$5:$E$2488='Analítico Cx.'!$B36),-('Diário 8º PA'!$P$5:$P$2488=H$1),('Diário 8º PA'!$F$5:$F$2488))</f>
        <v>7062.2799999999988</v>
      </c>
      <c r="I36" s="185">
        <f>SUMPRODUCT(-('Diário 5º PA'!$E$5:$E$2634='Analítico Cx.'!$B36),-('Diário 5º PA'!$P$5:$P$2634=I$1),('Diário 5º PA'!$F$5:$F$2634))+
SUMPRODUCT(-('Diário 6º PA'!$E$5:$E$2246='Analítico Cx.'!$B36),-('Diário 6º PA'!$P$5:$P$2246=I$1),('Diário 6º PA'!$F$5:$F$2246))+
SUMPRODUCT(-('Diário 7º PA'!$E$5:$E$2271='Analítico Cx.'!$B36),-('Diário 7º PA'!$P$5:$P$2271=I$1),('Diário 7º PA'!$F$5:$F$2271))+
SUMPRODUCT(-('Diário 8º PA'!$E$5:$E$2488='Analítico Cx.'!$B36),-('Diário 8º PA'!$P$5:$P$2488=I$1),('Diário 8º PA'!$F$5:$F$2488))</f>
        <v>6885.5800000000008</v>
      </c>
      <c r="J36" s="185">
        <f>SUMPRODUCT(-('Diário 5º PA'!$E$5:$E$2634='Analítico Cx.'!$B36),-('Diário 5º PA'!$P$5:$P$2634=J$1),('Diário 5º PA'!$F$5:$F$2634))+
SUMPRODUCT(-('Diário 6º PA'!$E$5:$E$2246='Analítico Cx.'!$B36),-('Diário 6º PA'!$P$5:$P$2246=J$1),('Diário 6º PA'!$F$5:$F$2246))+
SUMPRODUCT(-('Diário 7º PA'!$E$5:$E$2271='Analítico Cx.'!$B36),-('Diário 7º PA'!$P$5:$P$2271=J$1),('Diário 7º PA'!$F$5:$F$2271))+
SUMPRODUCT(-('Diário 8º PA'!$E$5:$E$2488='Analítico Cx.'!$B36),-('Diário 8º PA'!$P$5:$P$2488=J$1),('Diário 8º PA'!$F$5:$F$2488))</f>
        <v>9691.3799999999992</v>
      </c>
      <c r="K36" s="185">
        <f>SUMPRODUCT(-('Diário 5º PA'!$E$5:$E$2634='Analítico Cx.'!$B36),-('Diário 5º PA'!$P$5:$P$2634=K$1),('Diário 5º PA'!$F$5:$F$2634))+
SUMPRODUCT(-('Diário 6º PA'!$E$5:$E$2246='Analítico Cx.'!$B36),-('Diário 6º PA'!$P$5:$P$2246=K$1),('Diário 6º PA'!$F$5:$F$2246))+
SUMPRODUCT(-('Diário 7º PA'!$E$5:$E$2271='Analítico Cx.'!$B36),-('Diário 7º PA'!$P$5:$P$2271=K$1),('Diário 7º PA'!$F$5:$F$2271))+
SUMPRODUCT(-('Diário 8º PA'!$E$5:$E$2488='Analítico Cx.'!$B36),-('Diário 8º PA'!$P$5:$P$2488=K$1),('Diário 8º PA'!$F$5:$F$2488))</f>
        <v>12919.32</v>
      </c>
      <c r="L36" s="185">
        <f>SUMPRODUCT(-('Diário 5º PA'!$E$5:$E$2634='Analítico Cx.'!$B36),-('Diário 5º PA'!$P$5:$P$2634=L$1),('Diário 5º PA'!$F$5:$F$2634))+
SUMPRODUCT(-('Diário 6º PA'!$E$5:$E$2246='Analítico Cx.'!$B36),-('Diário 6º PA'!$P$5:$P$2246=L$1),('Diário 6º PA'!$F$5:$F$2246))+
SUMPRODUCT(-('Diário 7º PA'!$E$5:$E$2271='Analítico Cx.'!$B36),-('Diário 7º PA'!$P$5:$P$2271=L$1),('Diário 7º PA'!$F$5:$F$2271))+
SUMPRODUCT(-('Diário 8º PA'!$E$5:$E$2488='Analítico Cx.'!$B36),-('Diário 8º PA'!$P$5:$P$2488=L$1),('Diário 8º PA'!$F$5:$F$2488))</f>
        <v>13190.75</v>
      </c>
      <c r="M36" s="185">
        <f>SUMPRODUCT(-('Diário 5º PA'!$E$5:$E$2634='Analítico Cx.'!$B36),-('Diário 5º PA'!$P$5:$P$2634=M$1),('Diário 5º PA'!$F$5:$F$2634))+
SUMPRODUCT(-('Diário 6º PA'!$E$5:$E$2246='Analítico Cx.'!$B36),-('Diário 6º PA'!$P$5:$P$2246=M$1),('Diário 6º PA'!$F$5:$F$2246))+
SUMPRODUCT(-('Diário 7º PA'!$E$5:$E$2271='Analítico Cx.'!$B36),-('Diário 7º PA'!$P$5:$P$2271=M$1),('Diário 7º PA'!$F$5:$F$2271))+
SUMPRODUCT(-('Diário 8º PA'!$E$5:$E$2488='Analítico Cx.'!$B36),-('Diário 8º PA'!$P$5:$P$2488=M$1),('Diário 8º PA'!$F$5:$F$2488))</f>
        <v>15311.54</v>
      </c>
      <c r="N36" s="185">
        <f>SUMPRODUCT(-('Diário 5º PA'!$E$5:$E$2634='Analítico Cx.'!$B36),-('Diário 5º PA'!$P$5:$P$2634=N$1),('Diário 5º PA'!$F$5:$F$2634))+
SUMPRODUCT(-('Diário 6º PA'!$E$5:$E$2246='Analítico Cx.'!$B36),-('Diário 6º PA'!$P$5:$P$2246=N$1),('Diário 6º PA'!$F$5:$F$2246))+
SUMPRODUCT(-('Diário 7º PA'!$E$5:$E$2271='Analítico Cx.'!$B36),-('Diário 7º PA'!$P$5:$P$2271=N$1),('Diário 7º PA'!$F$5:$F$2271))+
SUMPRODUCT(-('Diário 8º PA'!$E$5:$E$2488='Analítico Cx.'!$B36),-('Diário 8º PA'!$P$5:$P$2488=N$1),('Diário 8º PA'!$F$5:$F$2488))</f>
        <v>17097.75</v>
      </c>
      <c r="O36" s="186">
        <f t="shared" si="10"/>
        <v>117755.98999999999</v>
      </c>
      <c r="P36" s="187">
        <f t="shared" si="11"/>
        <v>1.2494051848689229E-2</v>
      </c>
      <c r="Q36" s="34"/>
      <c r="R36" s="34"/>
      <c r="S36" s="34"/>
      <c r="T36" s="34"/>
      <c r="U36" s="34"/>
      <c r="V36" s="34"/>
      <c r="W36" s="34"/>
      <c r="X36" s="34"/>
      <c r="Y36" s="34"/>
      <c r="Z36" s="34"/>
    </row>
    <row r="37" spans="1:26" ht="23.25" customHeight="1" x14ac:dyDescent="0.2">
      <c r="A37" s="203" t="s">
        <v>172</v>
      </c>
      <c r="B37" s="72" t="s">
        <v>173</v>
      </c>
      <c r="C37" s="185">
        <f>SUMPRODUCT(-('Diário 5º PA'!$E$5:$E$2634='Analítico Cx.'!$B37),-('Diário 5º PA'!$P$5:$P$2634=C$1),('Diário 5º PA'!$F$5:$F$2634))+
SUMPRODUCT(-('Diário 6º PA'!$E$5:$E$2246='Analítico Cx.'!$B37),-('Diário 6º PA'!$P$5:$P$2246=C$1),('Diário 6º PA'!$F$5:$F$2246))+
SUMPRODUCT(-('Diário 7º PA'!$E$5:$E$2271='Analítico Cx.'!$B37),-('Diário 7º PA'!$P$5:$P$2271=C$1),('Diário 7º PA'!$F$5:$F$2271))+
SUMPRODUCT(-('Diário 8º PA'!$E$5:$E$2488='Analítico Cx.'!$B37),-('Diário 8º PA'!$P$5:$P$2488=C$1),('Diário 8º PA'!$F$5:$F$2488))</f>
        <v>0</v>
      </c>
      <c r="D37" s="185">
        <f>SUMPRODUCT(-('Diário 5º PA'!$E$5:$E$2634='Analítico Cx.'!$B37),-('Diário 5º PA'!$P$5:$P$2634=D$1),('Diário 5º PA'!$F$5:$F$2634))+
SUMPRODUCT(-('Diário 6º PA'!$E$5:$E$2246='Analítico Cx.'!$B37),-('Diário 6º PA'!$P$5:$P$2246=D$1),('Diário 6º PA'!$F$5:$F$2246))+
SUMPRODUCT(-('Diário 7º PA'!$E$5:$E$2271='Analítico Cx.'!$B37),-('Diário 7º PA'!$P$5:$P$2271=D$1),('Diário 7º PA'!$F$5:$F$2271))+
SUMPRODUCT(-('Diário 8º PA'!$E$5:$E$2488='Analítico Cx.'!$B37),-('Diário 8º PA'!$P$5:$P$2488=D$1),('Diário 8º PA'!$F$5:$F$2488))</f>
        <v>2805.96</v>
      </c>
      <c r="E37" s="185">
        <f>SUMPRODUCT(-('Diário 5º PA'!$E$5:$E$2634='Analítico Cx.'!$B37),-('Diário 5º PA'!$P$5:$P$2634=E$1),('Diário 5º PA'!$F$5:$F$2634))+
SUMPRODUCT(-('Diário 6º PA'!$E$5:$E$2246='Analítico Cx.'!$B37),-('Diário 6º PA'!$P$5:$P$2246=E$1),('Diário 6º PA'!$F$5:$F$2246))+
SUMPRODUCT(-('Diário 7º PA'!$E$5:$E$2271='Analítico Cx.'!$B37),-('Diário 7º PA'!$P$5:$P$2271=E$1),('Diário 7º PA'!$F$5:$F$2271))+
SUMPRODUCT(-('Diário 8º PA'!$E$5:$E$2488='Analítico Cx.'!$B37),-('Diário 8º PA'!$P$5:$P$2488=E$1),('Diário 8º PA'!$F$5:$F$2488))</f>
        <v>0</v>
      </c>
      <c r="F37" s="185">
        <f>SUMPRODUCT(-('Diário 5º PA'!$E$5:$E$2634='Analítico Cx.'!$B37),-('Diário 5º PA'!$P$5:$P$2634=F$1),('Diário 5º PA'!$F$5:$F$2634))+
SUMPRODUCT(-('Diário 6º PA'!$E$5:$E$2246='Analítico Cx.'!$B37),-('Diário 6º PA'!$P$5:$P$2246=F$1),('Diário 6º PA'!$F$5:$F$2246))+
SUMPRODUCT(-('Diário 7º PA'!$E$5:$E$2271='Analítico Cx.'!$B37),-('Diário 7º PA'!$P$5:$P$2271=F$1),('Diário 7º PA'!$F$5:$F$2271))+
SUMPRODUCT(-('Diário 8º PA'!$E$5:$E$2488='Analítico Cx.'!$B37),-('Diário 8º PA'!$P$5:$P$2488=F$1),('Diário 8º PA'!$F$5:$F$2488))</f>
        <v>0</v>
      </c>
      <c r="G37" s="185">
        <f>SUMPRODUCT(-('Diário 5º PA'!$E$5:$E$2634='Analítico Cx.'!$B37),-('Diário 5º PA'!$P$5:$P$2634=G$1),('Diário 5º PA'!$F$5:$F$2634))+
SUMPRODUCT(-('Diário 6º PA'!$E$5:$E$2246='Analítico Cx.'!$B37),-('Diário 6º PA'!$P$5:$P$2246=G$1),('Diário 6º PA'!$F$5:$F$2246))+
SUMPRODUCT(-('Diário 7º PA'!$E$5:$E$2271='Analítico Cx.'!$B37),-('Diário 7º PA'!$P$5:$P$2271=G$1),('Diário 7º PA'!$F$5:$F$2271))+
SUMPRODUCT(-('Diário 8º PA'!$E$5:$E$2488='Analítico Cx.'!$B37),-('Diário 8º PA'!$P$5:$P$2488=G$1),('Diário 8º PA'!$F$5:$F$2488))</f>
        <v>0</v>
      </c>
      <c r="H37" s="185">
        <f>SUMPRODUCT(-('Diário 5º PA'!$E$5:$E$2634='Analítico Cx.'!$B37),-('Diário 5º PA'!$P$5:$P$2634=H$1),('Diário 5º PA'!$F$5:$F$2634))+
SUMPRODUCT(-('Diário 6º PA'!$E$5:$E$2246='Analítico Cx.'!$B37),-('Diário 6º PA'!$P$5:$P$2246=H$1),('Diário 6º PA'!$F$5:$F$2246))+
SUMPRODUCT(-('Diário 7º PA'!$E$5:$E$2271='Analítico Cx.'!$B37),-('Diário 7º PA'!$P$5:$P$2271=H$1),('Diário 7º PA'!$F$5:$F$2271))+
SUMPRODUCT(-('Diário 8º PA'!$E$5:$E$2488='Analítico Cx.'!$B37),-('Diário 8º PA'!$P$5:$P$2488=H$1),('Diário 8º PA'!$F$5:$F$2488))</f>
        <v>3308.4</v>
      </c>
      <c r="I37" s="185">
        <f>SUMPRODUCT(-('Diário 5º PA'!$E$5:$E$2634='Analítico Cx.'!$B37),-('Diário 5º PA'!$P$5:$P$2634=I$1),('Diário 5º PA'!$F$5:$F$2634))+
SUMPRODUCT(-('Diário 6º PA'!$E$5:$E$2246='Analítico Cx.'!$B37),-('Diário 6º PA'!$P$5:$P$2246=I$1),('Diário 6º PA'!$F$5:$F$2246))+
SUMPRODUCT(-('Diário 7º PA'!$E$5:$E$2271='Analítico Cx.'!$B37),-('Diário 7º PA'!$P$5:$P$2271=I$1),('Diário 7º PA'!$F$5:$F$2271))+
SUMPRODUCT(-('Diário 8º PA'!$E$5:$E$2488='Analítico Cx.'!$B37),-('Diário 8º PA'!$P$5:$P$2488=I$1),('Diário 8º PA'!$F$5:$F$2488))</f>
        <v>2052.6999999999998</v>
      </c>
      <c r="J37" s="185">
        <f>SUMPRODUCT(-('Diário 5º PA'!$E$5:$E$2634='Analítico Cx.'!$B37),-('Diário 5º PA'!$P$5:$P$2634=J$1),('Diário 5º PA'!$F$5:$F$2634))+
SUMPRODUCT(-('Diário 6º PA'!$E$5:$E$2246='Analítico Cx.'!$B37),-('Diário 6º PA'!$P$5:$P$2246=J$1),('Diário 6º PA'!$F$5:$F$2246))+
SUMPRODUCT(-('Diário 7º PA'!$E$5:$E$2271='Analítico Cx.'!$B37),-('Diário 7º PA'!$P$5:$P$2271=J$1),('Diário 7º PA'!$F$5:$F$2271))+
SUMPRODUCT(-('Diário 8º PA'!$E$5:$E$2488='Analítico Cx.'!$B37),-('Diário 8º PA'!$P$5:$P$2488=J$1),('Diário 8º PA'!$F$5:$F$2488))</f>
        <v>0</v>
      </c>
      <c r="K37" s="185">
        <f>SUMPRODUCT(-('Diário 5º PA'!$E$5:$E$2634='Analítico Cx.'!$B37),-('Diário 5º PA'!$P$5:$P$2634=K$1),('Diário 5º PA'!$F$5:$F$2634))+
SUMPRODUCT(-('Diário 6º PA'!$E$5:$E$2246='Analítico Cx.'!$B37),-('Diário 6º PA'!$P$5:$P$2246=K$1),('Diário 6º PA'!$F$5:$F$2246))+
SUMPRODUCT(-('Diário 7º PA'!$E$5:$E$2271='Analítico Cx.'!$B37),-('Diário 7º PA'!$P$5:$P$2271=K$1),('Diário 7º PA'!$F$5:$F$2271))+
SUMPRODUCT(-('Diário 8º PA'!$E$5:$E$2488='Analítico Cx.'!$B37),-('Diário 8º PA'!$P$5:$P$2488=K$1),('Diário 8º PA'!$F$5:$F$2488))</f>
        <v>0</v>
      </c>
      <c r="L37" s="185">
        <f>SUMPRODUCT(-('Diário 5º PA'!$E$5:$E$2634='Analítico Cx.'!$B37),-('Diário 5º PA'!$P$5:$P$2634=L$1),('Diário 5º PA'!$F$5:$F$2634))+
SUMPRODUCT(-('Diário 6º PA'!$E$5:$E$2246='Analítico Cx.'!$B37),-('Diário 6º PA'!$P$5:$P$2246=L$1),('Diário 6º PA'!$F$5:$F$2246))+
SUMPRODUCT(-('Diário 7º PA'!$E$5:$E$2271='Analítico Cx.'!$B37),-('Diário 7º PA'!$P$5:$P$2271=L$1),('Diário 7º PA'!$F$5:$F$2271))+
SUMPRODUCT(-('Diário 8º PA'!$E$5:$E$2488='Analítico Cx.'!$B37),-('Diário 8º PA'!$P$5:$P$2488=L$1),('Diário 8º PA'!$F$5:$F$2488))</f>
        <v>0</v>
      </c>
      <c r="M37" s="185">
        <f>SUMPRODUCT(-('Diário 5º PA'!$E$5:$E$2634='Analítico Cx.'!$B37),-('Diário 5º PA'!$P$5:$P$2634=M$1),('Diário 5º PA'!$F$5:$F$2634))+
SUMPRODUCT(-('Diário 6º PA'!$E$5:$E$2246='Analítico Cx.'!$B37),-('Diário 6º PA'!$P$5:$P$2246=M$1),('Diário 6º PA'!$F$5:$F$2246))+
SUMPRODUCT(-('Diário 7º PA'!$E$5:$E$2271='Analítico Cx.'!$B37),-('Diário 7º PA'!$P$5:$P$2271=M$1),('Diário 7º PA'!$F$5:$F$2271))+
SUMPRODUCT(-('Diário 8º PA'!$E$5:$E$2488='Analítico Cx.'!$B37),-('Diário 8º PA'!$P$5:$P$2488=M$1),('Diário 8º PA'!$F$5:$F$2488))</f>
        <v>6592.44</v>
      </c>
      <c r="N37" s="185">
        <f>SUMPRODUCT(-('Diário 5º PA'!$E$5:$E$2634='Analítico Cx.'!$B37),-('Diário 5º PA'!$P$5:$P$2634=N$1),('Diário 5º PA'!$F$5:$F$2634))+
SUMPRODUCT(-('Diário 6º PA'!$E$5:$E$2246='Analítico Cx.'!$B37),-('Diário 6º PA'!$P$5:$P$2246=N$1),('Diário 6º PA'!$F$5:$F$2246))+
SUMPRODUCT(-('Diário 7º PA'!$E$5:$E$2271='Analítico Cx.'!$B37),-('Diário 7º PA'!$P$5:$P$2271=N$1),('Diário 7º PA'!$F$5:$F$2271))+
SUMPRODUCT(-('Diário 8º PA'!$E$5:$E$2488='Analítico Cx.'!$B37),-('Diário 8º PA'!$P$5:$P$2488=N$1),('Diário 8º PA'!$F$5:$F$2488))</f>
        <v>0</v>
      </c>
      <c r="O37" s="186">
        <f t="shared" si="10"/>
        <v>14759.5</v>
      </c>
      <c r="P37" s="187">
        <f t="shared" si="11"/>
        <v>1.5660006617135033E-3</v>
      </c>
      <c r="Q37" s="34"/>
      <c r="R37" s="34"/>
      <c r="S37" s="34"/>
      <c r="T37" s="34"/>
      <c r="U37" s="34"/>
      <c r="V37" s="34"/>
      <c r="W37" s="34"/>
      <c r="X37" s="34"/>
      <c r="Y37" s="34"/>
      <c r="Z37" s="34"/>
    </row>
    <row r="38" spans="1:26" ht="23.25" customHeight="1" x14ac:dyDescent="0.2">
      <c r="A38" s="203" t="s">
        <v>174</v>
      </c>
      <c r="B38" s="72" t="s">
        <v>175</v>
      </c>
      <c r="C38" s="185">
        <f>SUMPRODUCT(-('Diário 5º PA'!$E$5:$E$2634='Analítico Cx.'!$B38),-('Diário 5º PA'!$P$5:$P$2634=C$1),('Diário 5º PA'!$F$5:$F$2634))+
SUMPRODUCT(-('Diário 6º PA'!$E$5:$E$2246='Analítico Cx.'!$B38),-('Diário 6º PA'!$P$5:$P$2246=C$1),('Diário 6º PA'!$F$5:$F$2246))+
SUMPRODUCT(-('Diário 7º PA'!$E$5:$E$2271='Analítico Cx.'!$B38),-('Diário 7º PA'!$P$5:$P$2271=C$1),('Diário 7º PA'!$F$5:$F$2271))+
SUMPRODUCT(-('Diário 8º PA'!$E$5:$E$2488='Analítico Cx.'!$B38),-('Diário 8º PA'!$P$5:$P$2488=C$1),('Diário 8º PA'!$F$5:$F$2488))</f>
        <v>13634.51</v>
      </c>
      <c r="D38" s="185">
        <f>SUMPRODUCT(-('Diário 5º PA'!$E$5:$E$2634='Analítico Cx.'!$B38),-('Diário 5º PA'!$P$5:$P$2634=D$1),('Diário 5º PA'!$F$5:$F$2634))+
SUMPRODUCT(-('Diário 6º PA'!$E$5:$E$2246='Analítico Cx.'!$B38),-('Diário 6º PA'!$P$5:$P$2246=D$1),('Diário 6º PA'!$F$5:$F$2246))+
SUMPRODUCT(-('Diário 7º PA'!$E$5:$E$2271='Analítico Cx.'!$B38),-('Diário 7º PA'!$P$5:$P$2271=D$1),('Diário 7º PA'!$F$5:$F$2271))+
SUMPRODUCT(-('Diário 8º PA'!$E$5:$E$2488='Analítico Cx.'!$B38),-('Diário 8º PA'!$P$5:$P$2488=D$1),('Diário 8º PA'!$F$5:$F$2488))</f>
        <v>0</v>
      </c>
      <c r="E38" s="185">
        <f>SUMPRODUCT(-('Diário 5º PA'!$E$5:$E$2634='Analítico Cx.'!$B38),-('Diário 5º PA'!$P$5:$P$2634=E$1),('Diário 5º PA'!$F$5:$F$2634))+
SUMPRODUCT(-('Diário 6º PA'!$E$5:$E$2246='Analítico Cx.'!$B38),-('Diário 6º PA'!$P$5:$P$2246=E$1),('Diário 6º PA'!$F$5:$F$2246))+
SUMPRODUCT(-('Diário 7º PA'!$E$5:$E$2271='Analítico Cx.'!$B38),-('Diário 7º PA'!$P$5:$P$2271=E$1),('Diário 7º PA'!$F$5:$F$2271))+
SUMPRODUCT(-('Diário 8º PA'!$E$5:$E$2488='Analítico Cx.'!$B38),-('Diário 8º PA'!$P$5:$P$2488=E$1),('Diário 8º PA'!$F$5:$F$2488))</f>
        <v>0</v>
      </c>
      <c r="F38" s="185">
        <f>SUMPRODUCT(-('Diário 5º PA'!$E$5:$E$2634='Analítico Cx.'!$B38),-('Diário 5º PA'!$P$5:$P$2634=F$1),('Diário 5º PA'!$F$5:$F$2634))+
SUMPRODUCT(-('Diário 6º PA'!$E$5:$E$2246='Analítico Cx.'!$B38),-('Diário 6º PA'!$P$5:$P$2246=F$1),('Diário 6º PA'!$F$5:$F$2246))+
SUMPRODUCT(-('Diário 7º PA'!$E$5:$E$2271='Analítico Cx.'!$B38),-('Diário 7º PA'!$P$5:$P$2271=F$1),('Diário 7º PA'!$F$5:$F$2271))+
SUMPRODUCT(-('Diário 8º PA'!$E$5:$E$2488='Analítico Cx.'!$B38),-('Diário 8º PA'!$P$5:$P$2488=F$1),('Diário 8º PA'!$F$5:$F$2488))</f>
        <v>0</v>
      </c>
      <c r="G38" s="185">
        <f>SUMPRODUCT(-('Diário 5º PA'!$E$5:$E$2634='Analítico Cx.'!$B38),-('Diário 5º PA'!$P$5:$P$2634=G$1),('Diário 5º PA'!$F$5:$F$2634))+
SUMPRODUCT(-('Diário 6º PA'!$E$5:$E$2246='Analítico Cx.'!$B38),-('Diário 6º PA'!$P$5:$P$2246=G$1),('Diário 6º PA'!$F$5:$F$2246))+
SUMPRODUCT(-('Diário 7º PA'!$E$5:$E$2271='Analítico Cx.'!$B38),-('Diário 7º PA'!$P$5:$P$2271=G$1),('Diário 7º PA'!$F$5:$F$2271))+
SUMPRODUCT(-('Diário 8º PA'!$E$5:$E$2488='Analítico Cx.'!$B38),-('Diário 8º PA'!$P$5:$P$2488=G$1),('Diário 8º PA'!$F$5:$F$2488))</f>
        <v>0</v>
      </c>
      <c r="H38" s="185">
        <f>SUMPRODUCT(-('Diário 5º PA'!$E$5:$E$2634='Analítico Cx.'!$B38),-('Diário 5º PA'!$P$5:$P$2634=H$1),('Diário 5º PA'!$F$5:$F$2634))+
SUMPRODUCT(-('Diário 6º PA'!$E$5:$E$2246='Analítico Cx.'!$B38),-('Diário 6º PA'!$P$5:$P$2246=H$1),('Diário 6º PA'!$F$5:$F$2246))+
SUMPRODUCT(-('Diário 7º PA'!$E$5:$E$2271='Analítico Cx.'!$B38),-('Diário 7º PA'!$P$5:$P$2271=H$1),('Diário 7º PA'!$F$5:$F$2271))+
SUMPRODUCT(-('Diário 8º PA'!$E$5:$E$2488='Analítico Cx.'!$B38),-('Diário 8º PA'!$P$5:$P$2488=H$1),('Diário 8º PA'!$F$5:$F$2488))</f>
        <v>0</v>
      </c>
      <c r="I38" s="185">
        <f>SUMPRODUCT(-('Diário 5º PA'!$E$5:$E$2634='Analítico Cx.'!$B38),-('Diário 5º PA'!$P$5:$P$2634=I$1),('Diário 5º PA'!$F$5:$F$2634))+
SUMPRODUCT(-('Diário 6º PA'!$E$5:$E$2246='Analítico Cx.'!$B38),-('Diário 6º PA'!$P$5:$P$2246=I$1),('Diário 6º PA'!$F$5:$F$2246))+
SUMPRODUCT(-('Diário 7º PA'!$E$5:$E$2271='Analítico Cx.'!$B38),-('Diário 7º PA'!$P$5:$P$2271=I$1),('Diário 7º PA'!$F$5:$F$2271))+
SUMPRODUCT(-('Diário 8º PA'!$E$5:$E$2488='Analítico Cx.'!$B38),-('Diário 8º PA'!$P$5:$P$2488=I$1),('Diário 8º PA'!$F$5:$F$2488))</f>
        <v>0</v>
      </c>
      <c r="J38" s="185">
        <f>SUMPRODUCT(-('Diário 5º PA'!$E$5:$E$2634='Analítico Cx.'!$B38),-('Diário 5º PA'!$P$5:$P$2634=J$1),('Diário 5º PA'!$F$5:$F$2634))+
SUMPRODUCT(-('Diário 6º PA'!$E$5:$E$2246='Analítico Cx.'!$B38),-('Diário 6º PA'!$P$5:$P$2246=J$1),('Diário 6º PA'!$F$5:$F$2246))+
SUMPRODUCT(-('Diário 7º PA'!$E$5:$E$2271='Analítico Cx.'!$B38),-('Diário 7º PA'!$P$5:$P$2271=J$1),('Diário 7º PA'!$F$5:$F$2271))+
SUMPRODUCT(-('Diário 8º PA'!$E$5:$E$2488='Analítico Cx.'!$B38),-('Diário 8º PA'!$P$5:$P$2488=J$1),('Diário 8º PA'!$F$5:$F$2488))</f>
        <v>0</v>
      </c>
      <c r="K38" s="185">
        <f>SUMPRODUCT(-('Diário 5º PA'!$E$5:$E$2634='Analítico Cx.'!$B38),-('Diário 5º PA'!$P$5:$P$2634=K$1),('Diário 5º PA'!$F$5:$F$2634))+
SUMPRODUCT(-('Diário 6º PA'!$E$5:$E$2246='Analítico Cx.'!$B38),-('Diário 6º PA'!$P$5:$P$2246=K$1),('Diário 6º PA'!$F$5:$F$2246))+
SUMPRODUCT(-('Diário 7º PA'!$E$5:$E$2271='Analítico Cx.'!$B38),-('Diário 7º PA'!$P$5:$P$2271=K$1),('Diário 7º PA'!$F$5:$F$2271))+
SUMPRODUCT(-('Diário 8º PA'!$E$5:$E$2488='Analítico Cx.'!$B38),-('Diário 8º PA'!$P$5:$P$2488=K$1),('Diário 8º PA'!$F$5:$F$2488))</f>
        <v>0</v>
      </c>
      <c r="L38" s="185">
        <f>SUMPRODUCT(-('Diário 5º PA'!$E$5:$E$2634='Analítico Cx.'!$B38),-('Diário 5º PA'!$P$5:$P$2634=L$1),('Diário 5º PA'!$F$5:$F$2634))+
SUMPRODUCT(-('Diário 6º PA'!$E$5:$E$2246='Analítico Cx.'!$B38),-('Diário 6º PA'!$P$5:$P$2246=L$1),('Diário 6º PA'!$F$5:$F$2246))+
SUMPRODUCT(-('Diário 7º PA'!$E$5:$E$2271='Analítico Cx.'!$B38),-('Diário 7º PA'!$P$5:$P$2271=L$1),('Diário 7º PA'!$F$5:$F$2271))+
SUMPRODUCT(-('Diário 8º PA'!$E$5:$E$2488='Analítico Cx.'!$B38),-('Diário 8º PA'!$P$5:$P$2488=L$1),('Diário 8º PA'!$F$5:$F$2488))</f>
        <v>0</v>
      </c>
      <c r="M38" s="185">
        <f>SUMPRODUCT(-('Diário 5º PA'!$E$5:$E$2634='Analítico Cx.'!$B38),-('Diário 5º PA'!$P$5:$P$2634=M$1),('Diário 5º PA'!$F$5:$F$2634))+
SUMPRODUCT(-('Diário 6º PA'!$E$5:$E$2246='Analítico Cx.'!$B38),-('Diário 6º PA'!$P$5:$P$2246=M$1),('Diário 6º PA'!$F$5:$F$2246))+
SUMPRODUCT(-('Diário 7º PA'!$E$5:$E$2271='Analítico Cx.'!$B38),-('Diário 7º PA'!$P$5:$P$2271=M$1),('Diário 7º PA'!$F$5:$F$2271))+
SUMPRODUCT(-('Diário 8º PA'!$E$5:$E$2488='Analítico Cx.'!$B38),-('Diário 8º PA'!$P$5:$P$2488=M$1),('Diário 8º PA'!$F$5:$F$2488))</f>
        <v>62267.299999999988</v>
      </c>
      <c r="N38" s="185">
        <f>SUMPRODUCT(-('Diário 5º PA'!$E$5:$E$2634='Analítico Cx.'!$B38),-('Diário 5º PA'!$P$5:$P$2634=N$1),('Diário 5º PA'!$F$5:$F$2634))+
SUMPRODUCT(-('Diário 6º PA'!$E$5:$E$2246='Analítico Cx.'!$B38),-('Diário 6º PA'!$P$5:$P$2246=N$1),('Diário 6º PA'!$F$5:$F$2246))+
SUMPRODUCT(-('Diário 7º PA'!$E$5:$E$2271='Analítico Cx.'!$B38),-('Diário 7º PA'!$P$5:$P$2271=N$1),('Diário 7º PA'!$F$5:$F$2271))+
SUMPRODUCT(-('Diário 8º PA'!$E$5:$E$2488='Analítico Cx.'!$B38),-('Diário 8º PA'!$P$5:$P$2488=N$1),('Diário 8º PA'!$F$5:$F$2488))</f>
        <v>88292.96</v>
      </c>
      <c r="O38" s="186">
        <f t="shared" si="10"/>
        <v>164194.76999999999</v>
      </c>
      <c r="P38" s="187">
        <f t="shared" si="11"/>
        <v>1.7421262134211624E-2</v>
      </c>
      <c r="Q38" s="34"/>
      <c r="R38" s="34"/>
      <c r="S38" s="34"/>
      <c r="T38" s="34"/>
      <c r="U38" s="34"/>
      <c r="V38" s="34"/>
      <c r="W38" s="34"/>
      <c r="X38" s="34"/>
      <c r="Y38" s="34"/>
      <c r="Z38" s="34"/>
    </row>
    <row r="39" spans="1:26" ht="23.25" customHeight="1" x14ac:dyDescent="0.2">
      <c r="A39" s="203" t="s">
        <v>176</v>
      </c>
      <c r="B39" s="72" t="s">
        <v>177</v>
      </c>
      <c r="C39" s="185">
        <f>SUMPRODUCT(-('Diário 5º PA'!$E$5:$E$2634='Analítico Cx.'!$B39),-('Diário 5º PA'!$P$5:$P$2634=C$1),('Diário 5º PA'!$F$5:$F$2634))+
SUMPRODUCT(-('Diário 6º PA'!$E$5:$E$2246='Analítico Cx.'!$B39),-('Diário 6º PA'!$P$5:$P$2246=C$1),('Diário 6º PA'!$F$5:$F$2246))+
SUMPRODUCT(-('Diário 7º PA'!$E$5:$E$2271='Analítico Cx.'!$B39),-('Diário 7º PA'!$P$5:$P$2271=C$1),('Diário 7º PA'!$F$5:$F$2271))+
SUMPRODUCT(-('Diário 8º PA'!$E$5:$E$2488='Analítico Cx.'!$B39),-('Diário 8º PA'!$P$5:$P$2488=C$1),('Diário 8º PA'!$F$5:$F$2488))</f>
        <v>11627.57</v>
      </c>
      <c r="D39" s="185">
        <f>SUMPRODUCT(-('Diário 5º PA'!$E$5:$E$2634='Analítico Cx.'!$B39),-('Diário 5º PA'!$P$5:$P$2634=D$1),('Diário 5º PA'!$F$5:$F$2634))+
SUMPRODUCT(-('Diário 6º PA'!$E$5:$E$2246='Analítico Cx.'!$B39),-('Diário 6º PA'!$P$5:$P$2246=D$1),('Diário 6º PA'!$F$5:$F$2246))+
SUMPRODUCT(-('Diário 7º PA'!$E$5:$E$2271='Analítico Cx.'!$B39),-('Diário 7º PA'!$P$5:$P$2271=D$1),('Diário 7º PA'!$F$5:$F$2271))+
SUMPRODUCT(-('Diário 8º PA'!$E$5:$E$2488='Analítico Cx.'!$B39),-('Diário 8º PA'!$P$5:$P$2488=D$1),('Diário 8º PA'!$F$5:$F$2488))</f>
        <v>8347.9500000000007</v>
      </c>
      <c r="E39" s="185">
        <f>SUMPRODUCT(-('Diário 5º PA'!$E$5:$E$2634='Analítico Cx.'!$B39),-('Diário 5º PA'!$P$5:$P$2634=E$1),('Diário 5º PA'!$F$5:$F$2634))+
SUMPRODUCT(-('Diário 6º PA'!$E$5:$E$2246='Analítico Cx.'!$B39),-('Diário 6º PA'!$P$5:$P$2246=E$1),('Diário 6º PA'!$F$5:$F$2246))+
SUMPRODUCT(-('Diário 7º PA'!$E$5:$E$2271='Analítico Cx.'!$B39),-('Diário 7º PA'!$P$5:$P$2271=E$1),('Diário 7º PA'!$F$5:$F$2271))+
SUMPRODUCT(-('Diário 8º PA'!$E$5:$E$2488='Analítico Cx.'!$B39),-('Diário 8º PA'!$P$5:$P$2488=E$1),('Diário 8º PA'!$F$5:$F$2488))</f>
        <v>4124.21</v>
      </c>
      <c r="F39" s="185">
        <f>SUMPRODUCT(-('Diário 5º PA'!$E$5:$E$2634='Analítico Cx.'!$B39),-('Diário 5º PA'!$P$5:$P$2634=F$1),('Diário 5º PA'!$F$5:$F$2634))+
SUMPRODUCT(-('Diário 6º PA'!$E$5:$E$2246='Analítico Cx.'!$B39),-('Diário 6º PA'!$P$5:$P$2246=F$1),('Diário 6º PA'!$F$5:$F$2246))+
SUMPRODUCT(-('Diário 7º PA'!$E$5:$E$2271='Analítico Cx.'!$B39),-('Diário 7º PA'!$P$5:$P$2271=F$1),('Diário 7º PA'!$F$5:$F$2271))+
SUMPRODUCT(-('Diário 8º PA'!$E$5:$E$2488='Analítico Cx.'!$B39),-('Diário 8º PA'!$P$5:$P$2488=F$1),('Diário 8º PA'!$F$5:$F$2488))</f>
        <v>7062.09</v>
      </c>
      <c r="G39" s="185">
        <f>SUMPRODUCT(-('Diário 5º PA'!$E$5:$E$2634='Analítico Cx.'!$B39),-('Diário 5º PA'!$P$5:$P$2634=G$1),('Diário 5º PA'!$F$5:$F$2634))+
SUMPRODUCT(-('Diário 6º PA'!$E$5:$E$2246='Analítico Cx.'!$B39),-('Diário 6º PA'!$P$5:$P$2246=G$1),('Diário 6º PA'!$F$5:$F$2246))+
SUMPRODUCT(-('Diário 7º PA'!$E$5:$E$2271='Analítico Cx.'!$B39),-('Diário 7º PA'!$P$5:$P$2271=G$1),('Diário 7º PA'!$F$5:$F$2271))+
SUMPRODUCT(-('Diário 8º PA'!$E$5:$E$2488='Analítico Cx.'!$B39),-('Diário 8º PA'!$P$5:$P$2488=G$1),('Diário 8º PA'!$F$5:$F$2488))</f>
        <v>6327.53</v>
      </c>
      <c r="H39" s="185">
        <f>SUMPRODUCT(-('Diário 5º PA'!$E$5:$E$2634='Analítico Cx.'!$B39),-('Diário 5º PA'!$P$5:$P$2634=H$1),('Diário 5º PA'!$F$5:$F$2634))+
SUMPRODUCT(-('Diário 6º PA'!$E$5:$E$2246='Analítico Cx.'!$B39),-('Diário 6º PA'!$P$5:$P$2246=H$1),('Diário 6º PA'!$F$5:$F$2246))+
SUMPRODUCT(-('Diário 7º PA'!$E$5:$E$2271='Analítico Cx.'!$B39),-('Diário 7º PA'!$P$5:$P$2271=H$1),('Diário 7º PA'!$F$5:$F$2271))+
SUMPRODUCT(-('Diário 8º PA'!$E$5:$E$2488='Analítico Cx.'!$B39),-('Diário 8º PA'!$P$5:$P$2488=H$1),('Diário 8º PA'!$F$5:$F$2488))</f>
        <v>622.39</v>
      </c>
      <c r="I39" s="185">
        <f>SUMPRODUCT(-('Diário 5º PA'!$E$5:$E$2634='Analítico Cx.'!$B39),-('Diário 5º PA'!$P$5:$P$2634=I$1),('Diário 5º PA'!$F$5:$F$2634))+
SUMPRODUCT(-('Diário 6º PA'!$E$5:$E$2246='Analítico Cx.'!$B39),-('Diário 6º PA'!$P$5:$P$2246=I$1),('Diário 6º PA'!$F$5:$F$2246))+
SUMPRODUCT(-('Diário 7º PA'!$E$5:$E$2271='Analítico Cx.'!$B39),-('Diário 7º PA'!$P$5:$P$2271=I$1),('Diário 7º PA'!$F$5:$F$2271))+
SUMPRODUCT(-('Diário 8º PA'!$E$5:$E$2488='Analítico Cx.'!$B39),-('Diário 8º PA'!$P$5:$P$2488=I$1),('Diário 8º PA'!$F$5:$F$2488))</f>
        <v>7081.9000000000005</v>
      </c>
      <c r="J39" s="185">
        <f>SUMPRODUCT(-('Diário 5º PA'!$E$5:$E$2634='Analítico Cx.'!$B39),-('Diário 5º PA'!$P$5:$P$2634=J$1),('Diário 5º PA'!$F$5:$F$2634))+
SUMPRODUCT(-('Diário 6º PA'!$E$5:$E$2246='Analítico Cx.'!$B39),-('Diário 6º PA'!$P$5:$P$2246=J$1),('Diário 6º PA'!$F$5:$F$2246))+
SUMPRODUCT(-('Diário 7º PA'!$E$5:$E$2271='Analítico Cx.'!$B39),-('Diário 7º PA'!$P$5:$P$2271=J$1),('Diário 7º PA'!$F$5:$F$2271))+
SUMPRODUCT(-('Diário 8º PA'!$E$5:$E$2488='Analítico Cx.'!$B39),-('Diário 8º PA'!$P$5:$P$2488=J$1),('Diário 8º PA'!$F$5:$F$2488))</f>
        <v>620.02</v>
      </c>
      <c r="K39" s="185">
        <f>SUMPRODUCT(-('Diário 5º PA'!$E$5:$E$2634='Analítico Cx.'!$B39),-('Diário 5º PA'!$P$5:$P$2634=K$1),('Diário 5º PA'!$F$5:$F$2634))+
SUMPRODUCT(-('Diário 6º PA'!$E$5:$E$2246='Analítico Cx.'!$B39),-('Diário 6º PA'!$P$5:$P$2246=K$1),('Diário 6º PA'!$F$5:$F$2246))+
SUMPRODUCT(-('Diário 7º PA'!$E$5:$E$2271='Analítico Cx.'!$B39),-('Diário 7º PA'!$P$5:$P$2271=K$1),('Diário 7º PA'!$F$5:$F$2271))+
SUMPRODUCT(-('Diário 8º PA'!$E$5:$E$2488='Analítico Cx.'!$B39),-('Diário 8º PA'!$P$5:$P$2488=K$1),('Diário 8º PA'!$F$5:$F$2488))</f>
        <v>4558.68</v>
      </c>
      <c r="L39" s="185">
        <f>SUMPRODUCT(-('Diário 5º PA'!$E$5:$E$2634='Analítico Cx.'!$B39),-('Diário 5º PA'!$P$5:$P$2634=L$1),('Diário 5º PA'!$F$5:$F$2634))+
SUMPRODUCT(-('Diário 6º PA'!$E$5:$E$2246='Analítico Cx.'!$B39),-('Diário 6º PA'!$P$5:$P$2246=L$1),('Diário 6º PA'!$F$5:$F$2246))+
SUMPRODUCT(-('Diário 7º PA'!$E$5:$E$2271='Analítico Cx.'!$B39),-('Diário 7º PA'!$P$5:$P$2271=L$1),('Diário 7º PA'!$F$5:$F$2271))+
SUMPRODUCT(-('Diário 8º PA'!$E$5:$E$2488='Analítico Cx.'!$B39),-('Diário 8º PA'!$P$5:$P$2488=L$1),('Diário 8º PA'!$F$5:$F$2488))</f>
        <v>141.52000000000001</v>
      </c>
      <c r="M39" s="185">
        <f>SUMPRODUCT(-('Diário 5º PA'!$E$5:$E$2634='Analítico Cx.'!$B39),-('Diário 5º PA'!$P$5:$P$2634=M$1),('Diário 5º PA'!$F$5:$F$2634))+
SUMPRODUCT(-('Diário 6º PA'!$E$5:$E$2246='Analítico Cx.'!$B39),-('Diário 6º PA'!$P$5:$P$2246=M$1),('Diário 6º PA'!$F$5:$F$2246))+
SUMPRODUCT(-('Diário 7º PA'!$E$5:$E$2271='Analítico Cx.'!$B39),-('Diário 7º PA'!$P$5:$P$2271=M$1),('Diário 7º PA'!$F$5:$F$2271))+
SUMPRODUCT(-('Diário 8º PA'!$E$5:$E$2488='Analítico Cx.'!$B39),-('Diário 8º PA'!$P$5:$P$2488=M$1),('Diário 8º PA'!$F$5:$F$2488))</f>
        <v>0</v>
      </c>
      <c r="N39" s="185">
        <f>SUMPRODUCT(-('Diário 5º PA'!$E$5:$E$2634='Analítico Cx.'!$B39),-('Diário 5º PA'!$P$5:$P$2634=N$1),('Diário 5º PA'!$F$5:$F$2634))+
SUMPRODUCT(-('Diário 6º PA'!$E$5:$E$2246='Analítico Cx.'!$B39),-('Diário 6º PA'!$P$5:$P$2246=N$1),('Diário 6º PA'!$F$5:$F$2246))+
SUMPRODUCT(-('Diário 7º PA'!$E$5:$E$2271='Analítico Cx.'!$B39),-('Diário 7º PA'!$P$5:$P$2271=N$1),('Diário 7º PA'!$F$5:$F$2271))+
SUMPRODUCT(-('Diário 8º PA'!$E$5:$E$2488='Analítico Cx.'!$B39),-('Diário 8º PA'!$P$5:$P$2488=N$1),('Diário 8º PA'!$F$5:$F$2488))</f>
        <v>15657.47</v>
      </c>
      <c r="O39" s="186">
        <f t="shared" si="10"/>
        <v>66171.329999999987</v>
      </c>
      <c r="P39" s="187">
        <f t="shared" si="11"/>
        <v>7.0208575200015298E-3</v>
      </c>
      <c r="Q39" s="34"/>
      <c r="R39" s="34"/>
      <c r="S39" s="34"/>
      <c r="T39" s="34"/>
      <c r="U39" s="34"/>
      <c r="V39" s="34"/>
      <c r="W39" s="34"/>
      <c r="X39" s="34"/>
      <c r="Y39" s="34"/>
      <c r="Z39" s="34"/>
    </row>
    <row r="40" spans="1:26" ht="23.25" customHeight="1" x14ac:dyDescent="0.2">
      <c r="A40" s="203" t="s">
        <v>178</v>
      </c>
      <c r="B40" s="72" t="s">
        <v>179</v>
      </c>
      <c r="C40" s="185">
        <f>SUMPRODUCT(-('Diário 5º PA'!$E$5:$E$2634='Analítico Cx.'!$B40),-('Diário 5º PA'!$P$5:$P$2634=C$1),('Diário 5º PA'!$F$5:$F$2634))+
SUMPRODUCT(-('Diário 6º PA'!$E$5:$E$2246='Analítico Cx.'!$B40),-('Diário 6º PA'!$P$5:$P$2246=C$1),('Diário 6º PA'!$F$5:$F$2246))+
SUMPRODUCT(-('Diário 7º PA'!$E$5:$E$2271='Analítico Cx.'!$B40),-('Diário 7º PA'!$P$5:$P$2271=C$1),('Diário 7º PA'!$F$5:$F$2271))+
SUMPRODUCT(-('Diário 8º PA'!$E$5:$E$2488='Analítico Cx.'!$B40),-('Diário 8º PA'!$P$5:$P$2488=C$1),('Diário 8º PA'!$F$5:$F$2488))</f>
        <v>0</v>
      </c>
      <c r="D40" s="185">
        <f>SUMPRODUCT(-('Diário 5º PA'!$E$5:$E$2634='Analítico Cx.'!$B40),-('Diário 5º PA'!$P$5:$P$2634=D$1),('Diário 5º PA'!$F$5:$F$2634))+
SUMPRODUCT(-('Diário 6º PA'!$E$5:$E$2246='Analítico Cx.'!$B40),-('Diário 6º PA'!$P$5:$P$2246=D$1),('Diário 6º PA'!$F$5:$F$2246))+
SUMPRODUCT(-('Diário 7º PA'!$E$5:$E$2271='Analítico Cx.'!$B40),-('Diário 7º PA'!$P$5:$P$2271=D$1),('Diário 7º PA'!$F$5:$F$2271))+
SUMPRODUCT(-('Diário 8º PA'!$E$5:$E$2488='Analítico Cx.'!$B40),-('Diário 8º PA'!$P$5:$P$2488=D$1),('Diário 8º PA'!$F$5:$F$2488))</f>
        <v>0</v>
      </c>
      <c r="E40" s="185">
        <f>SUMPRODUCT(-('Diário 5º PA'!$E$5:$E$2634='Analítico Cx.'!$B40),-('Diário 5º PA'!$P$5:$P$2634=E$1),('Diário 5º PA'!$F$5:$F$2634))+
SUMPRODUCT(-('Diário 6º PA'!$E$5:$E$2246='Analítico Cx.'!$B40),-('Diário 6º PA'!$P$5:$P$2246=E$1),('Diário 6º PA'!$F$5:$F$2246))+
SUMPRODUCT(-('Diário 7º PA'!$E$5:$E$2271='Analítico Cx.'!$B40),-('Diário 7º PA'!$P$5:$P$2271=E$1),('Diário 7º PA'!$F$5:$F$2271))+
SUMPRODUCT(-('Diário 8º PA'!$E$5:$E$2488='Analítico Cx.'!$B40),-('Diário 8º PA'!$P$5:$P$2488=E$1),('Diário 8º PA'!$F$5:$F$2488))</f>
        <v>0</v>
      </c>
      <c r="F40" s="185">
        <f>SUMPRODUCT(-('Diário 5º PA'!$E$5:$E$2634='Analítico Cx.'!$B40),-('Diário 5º PA'!$P$5:$P$2634=F$1),('Diário 5º PA'!$F$5:$F$2634))+
SUMPRODUCT(-('Diário 6º PA'!$E$5:$E$2246='Analítico Cx.'!$B40),-('Diário 6º PA'!$P$5:$P$2246=F$1),('Diário 6º PA'!$F$5:$F$2246))+
SUMPRODUCT(-('Diário 7º PA'!$E$5:$E$2271='Analítico Cx.'!$B40),-('Diário 7º PA'!$P$5:$P$2271=F$1),('Diário 7º PA'!$F$5:$F$2271))+
SUMPRODUCT(-('Diário 8º PA'!$E$5:$E$2488='Analítico Cx.'!$B40),-('Diário 8º PA'!$P$5:$P$2488=F$1),('Diário 8º PA'!$F$5:$F$2488))</f>
        <v>0</v>
      </c>
      <c r="G40" s="185">
        <f>SUMPRODUCT(-('Diário 5º PA'!$E$5:$E$2634='Analítico Cx.'!$B40),-('Diário 5º PA'!$P$5:$P$2634=G$1),('Diário 5º PA'!$F$5:$F$2634))+
SUMPRODUCT(-('Diário 6º PA'!$E$5:$E$2246='Analítico Cx.'!$B40),-('Diário 6º PA'!$P$5:$P$2246=G$1),('Diário 6º PA'!$F$5:$F$2246))+
SUMPRODUCT(-('Diário 7º PA'!$E$5:$E$2271='Analítico Cx.'!$B40),-('Diário 7º PA'!$P$5:$P$2271=G$1),('Diário 7º PA'!$F$5:$F$2271))+
SUMPRODUCT(-('Diário 8º PA'!$E$5:$E$2488='Analítico Cx.'!$B40),-('Diário 8º PA'!$P$5:$P$2488=G$1),('Diário 8º PA'!$F$5:$F$2488))</f>
        <v>0</v>
      </c>
      <c r="H40" s="185">
        <f>SUMPRODUCT(-('Diário 5º PA'!$E$5:$E$2634='Analítico Cx.'!$B40),-('Diário 5º PA'!$P$5:$P$2634=H$1),('Diário 5º PA'!$F$5:$F$2634))+
SUMPRODUCT(-('Diário 6º PA'!$E$5:$E$2246='Analítico Cx.'!$B40),-('Diário 6º PA'!$P$5:$P$2246=H$1),('Diário 6º PA'!$F$5:$F$2246))+
SUMPRODUCT(-('Diário 7º PA'!$E$5:$E$2271='Analítico Cx.'!$B40),-('Diário 7º PA'!$P$5:$P$2271=H$1),('Diário 7º PA'!$F$5:$F$2271))+
SUMPRODUCT(-('Diário 8º PA'!$E$5:$E$2488='Analítico Cx.'!$B40),-('Diário 8º PA'!$P$5:$P$2488=H$1),('Diário 8º PA'!$F$5:$F$2488))</f>
        <v>0</v>
      </c>
      <c r="I40" s="185">
        <f>SUMPRODUCT(-('Diário 5º PA'!$E$5:$E$2634='Analítico Cx.'!$B40),-('Diário 5º PA'!$P$5:$P$2634=I$1),('Diário 5º PA'!$F$5:$F$2634))+
SUMPRODUCT(-('Diário 6º PA'!$E$5:$E$2246='Analítico Cx.'!$B40),-('Diário 6º PA'!$P$5:$P$2246=I$1),('Diário 6º PA'!$F$5:$F$2246))+
SUMPRODUCT(-('Diário 7º PA'!$E$5:$E$2271='Analítico Cx.'!$B40),-('Diário 7º PA'!$P$5:$P$2271=I$1),('Diário 7º PA'!$F$5:$F$2271))+
SUMPRODUCT(-('Diário 8º PA'!$E$5:$E$2488='Analítico Cx.'!$B40),-('Diário 8º PA'!$P$5:$P$2488=I$1),('Diário 8º PA'!$F$5:$F$2488))</f>
        <v>0</v>
      </c>
      <c r="J40" s="185">
        <f>SUMPRODUCT(-('Diário 5º PA'!$E$5:$E$2634='Analítico Cx.'!$B40),-('Diário 5º PA'!$P$5:$P$2634=J$1),('Diário 5º PA'!$F$5:$F$2634))+
SUMPRODUCT(-('Diário 6º PA'!$E$5:$E$2246='Analítico Cx.'!$B40),-('Diário 6º PA'!$P$5:$P$2246=J$1),('Diário 6º PA'!$F$5:$F$2246))+
SUMPRODUCT(-('Diário 7º PA'!$E$5:$E$2271='Analítico Cx.'!$B40),-('Diário 7º PA'!$P$5:$P$2271=J$1),('Diário 7º PA'!$F$5:$F$2271))+
SUMPRODUCT(-('Diário 8º PA'!$E$5:$E$2488='Analítico Cx.'!$B40),-('Diário 8º PA'!$P$5:$P$2488=J$1),('Diário 8º PA'!$F$5:$F$2488))</f>
        <v>0</v>
      </c>
      <c r="K40" s="185">
        <f>SUMPRODUCT(-('Diário 5º PA'!$E$5:$E$2634='Analítico Cx.'!$B40),-('Diário 5º PA'!$P$5:$P$2634=K$1),('Diário 5º PA'!$F$5:$F$2634))+
SUMPRODUCT(-('Diário 6º PA'!$E$5:$E$2246='Analítico Cx.'!$B40),-('Diário 6º PA'!$P$5:$P$2246=K$1),('Diário 6º PA'!$F$5:$F$2246))+
SUMPRODUCT(-('Diário 7º PA'!$E$5:$E$2271='Analítico Cx.'!$B40),-('Diário 7º PA'!$P$5:$P$2271=K$1),('Diário 7º PA'!$F$5:$F$2271))+
SUMPRODUCT(-('Diário 8º PA'!$E$5:$E$2488='Analítico Cx.'!$B40),-('Diário 8º PA'!$P$5:$P$2488=K$1),('Diário 8º PA'!$F$5:$F$2488))</f>
        <v>0</v>
      </c>
      <c r="L40" s="185">
        <f>SUMPRODUCT(-('Diário 5º PA'!$E$5:$E$2634='Analítico Cx.'!$B40),-('Diário 5º PA'!$P$5:$P$2634=L$1),('Diário 5º PA'!$F$5:$F$2634))+
SUMPRODUCT(-('Diário 6º PA'!$E$5:$E$2246='Analítico Cx.'!$B40),-('Diário 6º PA'!$P$5:$P$2246=L$1),('Diário 6º PA'!$F$5:$F$2246))+
SUMPRODUCT(-('Diário 7º PA'!$E$5:$E$2271='Analítico Cx.'!$B40),-('Diário 7º PA'!$P$5:$P$2271=L$1),('Diário 7º PA'!$F$5:$F$2271))+
SUMPRODUCT(-('Diário 8º PA'!$E$5:$E$2488='Analítico Cx.'!$B40),-('Diário 8º PA'!$P$5:$P$2488=L$1),('Diário 8º PA'!$F$5:$F$2488))</f>
        <v>0</v>
      </c>
      <c r="M40" s="185">
        <f>SUMPRODUCT(-('Diário 5º PA'!$E$5:$E$2634='Analítico Cx.'!$B40),-('Diário 5º PA'!$P$5:$P$2634=M$1),('Diário 5º PA'!$F$5:$F$2634))+
SUMPRODUCT(-('Diário 6º PA'!$E$5:$E$2246='Analítico Cx.'!$B40),-('Diário 6º PA'!$P$5:$P$2246=M$1),('Diário 6º PA'!$F$5:$F$2246))+
SUMPRODUCT(-('Diário 7º PA'!$E$5:$E$2271='Analítico Cx.'!$B40),-('Diário 7º PA'!$P$5:$P$2271=M$1),('Diário 7º PA'!$F$5:$F$2271))+
SUMPRODUCT(-('Diário 8º PA'!$E$5:$E$2488='Analítico Cx.'!$B40),-('Diário 8º PA'!$P$5:$P$2488=M$1),('Diário 8º PA'!$F$5:$F$2488))</f>
        <v>0</v>
      </c>
      <c r="N40" s="185">
        <f>SUMPRODUCT(-('Diário 5º PA'!$E$5:$E$2634='Analítico Cx.'!$B40),-('Diário 5º PA'!$P$5:$P$2634=N$1),('Diário 5º PA'!$F$5:$F$2634))+
SUMPRODUCT(-('Diário 6º PA'!$E$5:$E$2246='Analítico Cx.'!$B40),-('Diário 6º PA'!$P$5:$P$2246=N$1),('Diário 6º PA'!$F$5:$F$2246))+
SUMPRODUCT(-('Diário 7º PA'!$E$5:$E$2271='Analítico Cx.'!$B40),-('Diário 7º PA'!$P$5:$P$2271=N$1),('Diário 7º PA'!$F$5:$F$2271))+
SUMPRODUCT(-('Diário 8º PA'!$E$5:$E$2488='Analítico Cx.'!$B40),-('Diário 8º PA'!$P$5:$P$2488=N$1),('Diário 8º PA'!$F$5:$F$2488))</f>
        <v>0</v>
      </c>
      <c r="O40" s="186">
        <f t="shared" si="10"/>
        <v>0</v>
      </c>
      <c r="P40" s="187">
        <f t="shared" si="11"/>
        <v>0</v>
      </c>
      <c r="Q40" s="34"/>
      <c r="R40" s="34"/>
      <c r="S40" s="34"/>
      <c r="T40" s="34"/>
      <c r="U40" s="34"/>
      <c r="V40" s="34"/>
      <c r="W40" s="34"/>
      <c r="X40" s="34"/>
      <c r="Y40" s="34"/>
      <c r="Z40" s="34"/>
    </row>
    <row r="41" spans="1:26" ht="23.25" customHeight="1" x14ac:dyDescent="0.2">
      <c r="A41" s="203" t="s">
        <v>180</v>
      </c>
      <c r="B41" s="72" t="s">
        <v>181</v>
      </c>
      <c r="C41" s="185">
        <f>SUMPRODUCT(-('Diário 5º PA'!$E$5:$E$2634='Analítico Cx.'!$B41),-('Diário 5º PA'!$P$5:$P$2634=C$1),('Diário 5º PA'!$F$5:$F$2634))+
SUMPRODUCT(-('Diário 6º PA'!$E$5:$E$2246='Analítico Cx.'!$B41),-('Diário 6º PA'!$P$5:$P$2246=C$1),('Diário 6º PA'!$F$5:$F$2246))+
SUMPRODUCT(-('Diário 7º PA'!$E$5:$E$2271='Analítico Cx.'!$B41),-('Diário 7º PA'!$P$5:$P$2271=C$1),('Diário 7º PA'!$F$5:$F$2271))+
SUMPRODUCT(-('Diário 8º PA'!$E$5:$E$2488='Analítico Cx.'!$B41),-('Diário 8º PA'!$P$5:$P$2488=C$1),('Diário 8º PA'!$F$5:$F$2488))</f>
        <v>0</v>
      </c>
      <c r="D41" s="185">
        <f>SUMPRODUCT(-('Diário 5º PA'!$E$5:$E$2634='Analítico Cx.'!$B41),-('Diário 5º PA'!$P$5:$P$2634=D$1),('Diário 5º PA'!$F$5:$F$2634))+
SUMPRODUCT(-('Diário 6º PA'!$E$5:$E$2246='Analítico Cx.'!$B41),-('Diário 6º PA'!$P$5:$P$2246=D$1),('Diário 6º PA'!$F$5:$F$2246))+
SUMPRODUCT(-('Diário 7º PA'!$E$5:$E$2271='Analítico Cx.'!$B41),-('Diário 7º PA'!$P$5:$P$2271=D$1),('Diário 7º PA'!$F$5:$F$2271))+
SUMPRODUCT(-('Diário 8º PA'!$E$5:$E$2488='Analítico Cx.'!$B41),-('Diário 8º PA'!$P$5:$P$2488=D$1),('Diário 8º PA'!$F$5:$F$2488))</f>
        <v>12004.77</v>
      </c>
      <c r="E41" s="185">
        <f>SUMPRODUCT(-('Diário 5º PA'!$E$5:$E$2634='Analítico Cx.'!$B41),-('Diário 5º PA'!$P$5:$P$2634=E$1),('Diário 5º PA'!$F$5:$F$2634))+
SUMPRODUCT(-('Diário 6º PA'!$E$5:$E$2246='Analítico Cx.'!$B41),-('Diário 6º PA'!$P$5:$P$2246=E$1),('Diário 6º PA'!$F$5:$F$2246))+
SUMPRODUCT(-('Diário 7º PA'!$E$5:$E$2271='Analítico Cx.'!$B41),-('Diário 7º PA'!$P$5:$P$2271=E$1),('Diário 7º PA'!$F$5:$F$2271))+
SUMPRODUCT(-('Diário 8º PA'!$E$5:$E$2488='Analítico Cx.'!$B41),-('Diário 8º PA'!$P$5:$P$2488=E$1),('Diário 8º PA'!$F$5:$F$2488))</f>
        <v>68.89</v>
      </c>
      <c r="F41" s="185">
        <f>SUMPRODUCT(-('Diário 5º PA'!$E$5:$E$2634='Analítico Cx.'!$B41),-('Diário 5º PA'!$P$5:$P$2634=F$1),('Diário 5º PA'!$F$5:$F$2634))+
SUMPRODUCT(-('Diário 6º PA'!$E$5:$E$2246='Analítico Cx.'!$B41),-('Diário 6º PA'!$P$5:$P$2246=F$1),('Diário 6º PA'!$F$5:$F$2246))+
SUMPRODUCT(-('Diário 7º PA'!$E$5:$E$2271='Analítico Cx.'!$B41),-('Diário 7º PA'!$P$5:$P$2271=F$1),('Diário 7º PA'!$F$5:$F$2271))+
SUMPRODUCT(-('Diário 8º PA'!$E$5:$E$2488='Analítico Cx.'!$B41),-('Diário 8º PA'!$P$5:$P$2488=F$1),('Diário 8º PA'!$F$5:$F$2488))</f>
        <v>0</v>
      </c>
      <c r="G41" s="185">
        <f>SUMPRODUCT(-('Diário 5º PA'!$E$5:$E$2634='Analítico Cx.'!$B41),-('Diário 5º PA'!$P$5:$P$2634=G$1),('Diário 5º PA'!$F$5:$F$2634))+
SUMPRODUCT(-('Diário 6º PA'!$E$5:$E$2246='Analítico Cx.'!$B41),-('Diário 6º PA'!$P$5:$P$2246=G$1),('Diário 6º PA'!$F$5:$F$2246))+
SUMPRODUCT(-('Diário 7º PA'!$E$5:$E$2271='Analítico Cx.'!$B41),-('Diário 7º PA'!$P$5:$P$2271=G$1),('Diário 7º PA'!$F$5:$F$2271))+
SUMPRODUCT(-('Diário 8º PA'!$E$5:$E$2488='Analítico Cx.'!$B41),-('Diário 8º PA'!$P$5:$P$2488=G$1),('Diário 8º PA'!$F$5:$F$2488))</f>
        <v>0</v>
      </c>
      <c r="H41" s="185">
        <f>SUMPRODUCT(-('Diário 5º PA'!$E$5:$E$2634='Analítico Cx.'!$B41),-('Diário 5º PA'!$P$5:$P$2634=H$1),('Diário 5º PA'!$F$5:$F$2634))+
SUMPRODUCT(-('Diário 6º PA'!$E$5:$E$2246='Analítico Cx.'!$B41),-('Diário 6º PA'!$P$5:$P$2246=H$1),('Diário 6º PA'!$F$5:$F$2246))+
SUMPRODUCT(-('Diário 7º PA'!$E$5:$E$2271='Analítico Cx.'!$B41),-('Diário 7º PA'!$P$5:$P$2271=H$1),('Diário 7º PA'!$F$5:$F$2271))+
SUMPRODUCT(-('Diário 8º PA'!$E$5:$E$2488='Analítico Cx.'!$B41),-('Diário 8º PA'!$P$5:$P$2488=H$1),('Diário 8º PA'!$F$5:$F$2488))</f>
        <v>8951.9699999999993</v>
      </c>
      <c r="I41" s="185">
        <f>SUMPRODUCT(-('Diário 5º PA'!$E$5:$E$2634='Analítico Cx.'!$B41),-('Diário 5º PA'!$P$5:$P$2634=I$1),('Diário 5º PA'!$F$5:$F$2634))+
SUMPRODUCT(-('Diário 6º PA'!$E$5:$E$2246='Analítico Cx.'!$B41),-('Diário 6º PA'!$P$5:$P$2246=I$1),('Diário 6º PA'!$F$5:$F$2246))+
SUMPRODUCT(-('Diário 7º PA'!$E$5:$E$2271='Analítico Cx.'!$B41),-('Diário 7º PA'!$P$5:$P$2271=I$1),('Diário 7º PA'!$F$5:$F$2271))+
SUMPRODUCT(-('Diário 8º PA'!$E$5:$E$2488='Analítico Cx.'!$B41),-('Diário 8º PA'!$P$5:$P$2488=I$1),('Diário 8º PA'!$F$5:$F$2488))</f>
        <v>8714.0500000000011</v>
      </c>
      <c r="J41" s="185">
        <f>SUMPRODUCT(-('Diário 5º PA'!$E$5:$E$2634='Analítico Cx.'!$B41),-('Diário 5º PA'!$P$5:$P$2634=J$1),('Diário 5º PA'!$F$5:$F$2634))+
SUMPRODUCT(-('Diário 6º PA'!$E$5:$E$2246='Analítico Cx.'!$B41),-('Diário 6º PA'!$P$5:$P$2246=J$1),('Diário 6º PA'!$F$5:$F$2246))+
SUMPRODUCT(-('Diário 7º PA'!$E$5:$E$2271='Analítico Cx.'!$B41),-('Diário 7º PA'!$P$5:$P$2271=J$1),('Diário 7º PA'!$F$5:$F$2271))+
SUMPRODUCT(-('Diário 8º PA'!$E$5:$E$2488='Analítico Cx.'!$B41),-('Diário 8º PA'!$P$5:$P$2488=J$1),('Diário 8º PA'!$F$5:$F$2488))</f>
        <v>135.74</v>
      </c>
      <c r="K41" s="185">
        <f>SUMPRODUCT(-('Diário 5º PA'!$E$5:$E$2634='Analítico Cx.'!$B41),-('Diário 5º PA'!$P$5:$P$2634=K$1),('Diário 5º PA'!$F$5:$F$2634))+
SUMPRODUCT(-('Diário 6º PA'!$E$5:$E$2246='Analítico Cx.'!$B41),-('Diário 6º PA'!$P$5:$P$2246=K$1),('Diário 6º PA'!$F$5:$F$2246))+
SUMPRODUCT(-('Diário 7º PA'!$E$5:$E$2271='Analítico Cx.'!$B41),-('Diário 7º PA'!$P$5:$P$2271=K$1),('Diário 7º PA'!$F$5:$F$2271))+
SUMPRODUCT(-('Diário 8º PA'!$E$5:$E$2488='Analítico Cx.'!$B41),-('Diário 8º PA'!$P$5:$P$2488=K$1),('Diário 8º PA'!$F$5:$F$2488))</f>
        <v>0</v>
      </c>
      <c r="L41" s="185">
        <f>SUMPRODUCT(-('Diário 5º PA'!$E$5:$E$2634='Analítico Cx.'!$B41),-('Diário 5º PA'!$P$5:$P$2634=L$1),('Diário 5º PA'!$F$5:$F$2634))+
SUMPRODUCT(-('Diário 6º PA'!$E$5:$E$2246='Analítico Cx.'!$B41),-('Diário 6º PA'!$P$5:$P$2246=L$1),('Diário 6º PA'!$F$5:$F$2246))+
SUMPRODUCT(-('Diário 7º PA'!$E$5:$E$2271='Analítico Cx.'!$B41),-('Diário 7º PA'!$P$5:$P$2271=L$1),('Diário 7º PA'!$F$5:$F$2271))+
SUMPRODUCT(-('Diário 8º PA'!$E$5:$E$2488='Analítico Cx.'!$B41),-('Diário 8º PA'!$P$5:$P$2488=L$1),('Diário 8º PA'!$F$5:$F$2488))</f>
        <v>0</v>
      </c>
      <c r="M41" s="185">
        <f>SUMPRODUCT(-('Diário 5º PA'!$E$5:$E$2634='Analítico Cx.'!$B41),-('Diário 5º PA'!$P$5:$P$2634=M$1),('Diário 5º PA'!$F$5:$F$2634))+
SUMPRODUCT(-('Diário 6º PA'!$E$5:$E$2246='Analítico Cx.'!$B41),-('Diário 6º PA'!$P$5:$P$2246=M$1),('Diário 6º PA'!$F$5:$F$2246))+
SUMPRODUCT(-('Diário 7º PA'!$E$5:$E$2271='Analítico Cx.'!$B41),-('Diário 7º PA'!$P$5:$P$2271=M$1),('Diário 7º PA'!$F$5:$F$2271))+
SUMPRODUCT(-('Diário 8º PA'!$E$5:$E$2488='Analítico Cx.'!$B41),-('Diário 8º PA'!$P$5:$P$2488=M$1),('Diário 8º PA'!$F$5:$F$2488))</f>
        <v>19808.47</v>
      </c>
      <c r="N41" s="185">
        <f>SUMPRODUCT(-('Diário 5º PA'!$E$5:$E$2634='Analítico Cx.'!$B41),-('Diário 5º PA'!$P$5:$P$2634=N$1),('Diário 5º PA'!$F$5:$F$2634))+
SUMPRODUCT(-('Diário 6º PA'!$E$5:$E$2246='Analítico Cx.'!$B41),-('Diário 6º PA'!$P$5:$P$2246=N$1),('Diário 6º PA'!$F$5:$F$2246))+
SUMPRODUCT(-('Diário 7º PA'!$E$5:$E$2271='Analítico Cx.'!$B41),-('Diário 7º PA'!$P$5:$P$2271=N$1),('Diário 7º PA'!$F$5:$F$2271))+
SUMPRODUCT(-('Diário 8º PA'!$E$5:$E$2488='Analítico Cx.'!$B41),-('Diário 8º PA'!$P$5:$P$2488=N$1),('Diário 8º PA'!$F$5:$F$2488))</f>
        <v>502.74</v>
      </c>
      <c r="O41" s="186">
        <f t="shared" si="10"/>
        <v>50186.63</v>
      </c>
      <c r="P41" s="187">
        <f t="shared" si="11"/>
        <v>5.3248616680220033E-3</v>
      </c>
      <c r="Q41" s="34"/>
      <c r="R41" s="34"/>
      <c r="S41" s="34"/>
      <c r="T41" s="34"/>
      <c r="U41" s="34"/>
      <c r="V41" s="34"/>
      <c r="W41" s="34"/>
      <c r="X41" s="34"/>
      <c r="Y41" s="34"/>
      <c r="Z41" s="34"/>
    </row>
    <row r="42" spans="1:26" ht="23.25" customHeight="1" x14ac:dyDescent="0.2">
      <c r="A42" s="203" t="s">
        <v>182</v>
      </c>
      <c r="B42" s="72" t="s">
        <v>183</v>
      </c>
      <c r="C42" s="185">
        <f>SUMPRODUCT(-('Diário 5º PA'!$E$5:$E$2634='Analítico Cx.'!$B42),-('Diário 5º PA'!$P$5:$P$2634=C$1),('Diário 5º PA'!$F$5:$F$2634))+
SUMPRODUCT(-('Diário 6º PA'!$E$5:$E$2246='Analítico Cx.'!$B42),-('Diário 6º PA'!$P$5:$P$2246=C$1),('Diário 6º PA'!$F$5:$F$2246))+
SUMPRODUCT(-('Diário 7º PA'!$E$5:$E$2271='Analítico Cx.'!$B42),-('Diário 7º PA'!$P$5:$P$2271=C$1),('Diário 7º PA'!$F$5:$F$2271))+
SUMPRODUCT(-('Diário 8º PA'!$E$5:$E$2488='Analítico Cx.'!$B42),-('Diário 8º PA'!$P$5:$P$2488=C$1),('Diário 8º PA'!$F$5:$F$2488))</f>
        <v>178.23999999999998</v>
      </c>
      <c r="D42" s="185">
        <f>SUMPRODUCT(-('Diário 5º PA'!$E$5:$E$2634='Analítico Cx.'!$B42),-('Diário 5º PA'!$P$5:$P$2634=D$1),('Diário 5º PA'!$F$5:$F$2634))+
SUMPRODUCT(-('Diário 6º PA'!$E$5:$E$2246='Analítico Cx.'!$B42),-('Diário 6º PA'!$P$5:$P$2246=D$1),('Diário 6º PA'!$F$5:$F$2246))+
SUMPRODUCT(-('Diário 7º PA'!$E$5:$E$2271='Analítico Cx.'!$B42),-('Diário 7º PA'!$P$5:$P$2271=D$1),('Diário 7º PA'!$F$5:$F$2271))+
SUMPRODUCT(-('Diário 8º PA'!$E$5:$E$2488='Analítico Cx.'!$B42),-('Diário 8º PA'!$P$5:$P$2488=D$1),('Diário 8º PA'!$F$5:$F$2488))</f>
        <v>221.92</v>
      </c>
      <c r="E42" s="185">
        <f>SUMPRODUCT(-('Diário 5º PA'!$E$5:$E$2634='Analítico Cx.'!$B42),-('Diário 5º PA'!$P$5:$P$2634=E$1),('Diário 5º PA'!$F$5:$F$2634))+
SUMPRODUCT(-('Diário 6º PA'!$E$5:$E$2246='Analítico Cx.'!$B42),-('Diário 6º PA'!$P$5:$P$2246=E$1),('Diário 6º PA'!$F$5:$F$2246))+
SUMPRODUCT(-('Diário 7º PA'!$E$5:$E$2271='Analítico Cx.'!$B42),-('Diário 7º PA'!$P$5:$P$2271=E$1),('Diário 7º PA'!$F$5:$F$2271))+
SUMPRODUCT(-('Diário 8º PA'!$E$5:$E$2488='Analítico Cx.'!$B42),-('Diário 8º PA'!$P$5:$P$2488=E$1),('Diário 8º PA'!$F$5:$F$2488))</f>
        <v>221.92</v>
      </c>
      <c r="F42" s="185">
        <f>SUMPRODUCT(-('Diário 5º PA'!$E$5:$E$2634='Analítico Cx.'!$B42),-('Diário 5º PA'!$P$5:$P$2634=F$1),('Diário 5º PA'!$F$5:$F$2634))+
SUMPRODUCT(-('Diário 6º PA'!$E$5:$E$2246='Analítico Cx.'!$B42),-('Diário 6º PA'!$P$5:$P$2246=F$1),('Diário 6º PA'!$F$5:$F$2246))+
SUMPRODUCT(-('Diário 7º PA'!$E$5:$E$2271='Analítico Cx.'!$B42),-('Diário 7º PA'!$P$5:$P$2271=F$1),('Diário 7º PA'!$F$5:$F$2271))+
SUMPRODUCT(-('Diário 8º PA'!$E$5:$E$2488='Analítico Cx.'!$B42),-('Diário 8º PA'!$P$5:$P$2488=F$1),('Diário 8º PA'!$F$5:$F$2488))</f>
        <v>221.92</v>
      </c>
      <c r="G42" s="185">
        <f>SUMPRODUCT(-('Diário 5º PA'!$E$5:$E$2634='Analítico Cx.'!$B42),-('Diário 5º PA'!$P$5:$P$2634=G$1),('Diário 5º PA'!$F$5:$F$2634))+
SUMPRODUCT(-('Diário 6º PA'!$E$5:$E$2246='Analítico Cx.'!$B42),-('Diário 6º PA'!$P$5:$P$2246=G$1),('Diário 6º PA'!$F$5:$F$2246))+
SUMPRODUCT(-('Diário 7º PA'!$E$5:$E$2271='Analítico Cx.'!$B42),-('Diário 7º PA'!$P$5:$P$2271=G$1),('Diário 7º PA'!$F$5:$F$2271))+
SUMPRODUCT(-('Diário 8º PA'!$E$5:$E$2488='Analítico Cx.'!$B42),-('Diário 8º PA'!$P$5:$P$2488=G$1),('Diário 8º PA'!$F$5:$F$2488))</f>
        <v>221.92</v>
      </c>
      <c r="H42" s="185">
        <f>SUMPRODUCT(-('Diário 5º PA'!$E$5:$E$2634='Analítico Cx.'!$B42),-('Diário 5º PA'!$P$5:$P$2634=H$1),('Diário 5º PA'!$F$5:$F$2634))+
SUMPRODUCT(-('Diário 6º PA'!$E$5:$E$2246='Analítico Cx.'!$B42),-('Diário 6º PA'!$P$5:$P$2246=H$1),('Diário 6º PA'!$F$5:$F$2246))+
SUMPRODUCT(-('Diário 7º PA'!$E$5:$E$2271='Analítico Cx.'!$B42),-('Diário 7º PA'!$P$5:$P$2271=H$1),('Diário 7º PA'!$F$5:$F$2271))+
SUMPRODUCT(-('Diário 8º PA'!$E$5:$E$2488='Analítico Cx.'!$B42),-('Diário 8º PA'!$P$5:$P$2488=H$1),('Diário 8º PA'!$F$5:$F$2488))</f>
        <v>221.92</v>
      </c>
      <c r="I42" s="185">
        <f>SUMPRODUCT(-('Diário 5º PA'!$E$5:$E$2634='Analítico Cx.'!$B42),-('Diário 5º PA'!$P$5:$P$2634=I$1),('Diário 5º PA'!$F$5:$F$2634))+
SUMPRODUCT(-('Diário 6º PA'!$E$5:$E$2246='Analítico Cx.'!$B42),-('Diário 6º PA'!$P$5:$P$2246=I$1),('Diário 6º PA'!$F$5:$F$2246))+
SUMPRODUCT(-('Diário 7º PA'!$E$5:$E$2271='Analítico Cx.'!$B42),-('Diário 7º PA'!$P$5:$P$2271=I$1),('Diário 7º PA'!$F$5:$F$2271))+
SUMPRODUCT(-('Diário 8º PA'!$E$5:$E$2488='Analítico Cx.'!$B42),-('Diário 8º PA'!$P$5:$P$2488=I$1),('Diário 8º PA'!$F$5:$F$2488))</f>
        <v>208.04999999999998</v>
      </c>
      <c r="J42" s="185">
        <f>SUMPRODUCT(-('Diário 5º PA'!$E$5:$E$2634='Analítico Cx.'!$B42),-('Diário 5º PA'!$P$5:$P$2634=J$1),('Diário 5º PA'!$F$5:$F$2634))+
SUMPRODUCT(-('Diário 6º PA'!$E$5:$E$2246='Analítico Cx.'!$B42),-('Diário 6º PA'!$P$5:$P$2246=J$1),('Diário 6º PA'!$F$5:$F$2246))+
SUMPRODUCT(-('Diário 7º PA'!$E$5:$E$2271='Analítico Cx.'!$B42),-('Diário 7º PA'!$P$5:$P$2271=J$1),('Diário 7º PA'!$F$5:$F$2271))+
SUMPRODUCT(-('Diário 8º PA'!$E$5:$E$2488='Analítico Cx.'!$B42),-('Diário 8º PA'!$P$5:$P$2488=J$1),('Diário 8º PA'!$F$5:$F$2488))</f>
        <v>221.92000000000002</v>
      </c>
      <c r="K42" s="185">
        <f>SUMPRODUCT(-('Diário 5º PA'!$E$5:$E$2634='Analítico Cx.'!$B42),-('Diário 5º PA'!$P$5:$P$2634=K$1),('Diário 5º PA'!$F$5:$F$2634))+
SUMPRODUCT(-('Diário 6º PA'!$E$5:$E$2246='Analítico Cx.'!$B42),-('Diário 6º PA'!$P$5:$P$2246=K$1),('Diário 6º PA'!$F$5:$F$2246))+
SUMPRODUCT(-('Diário 7º PA'!$E$5:$E$2271='Analítico Cx.'!$B42),-('Diário 7º PA'!$P$5:$P$2271=K$1),('Diário 7º PA'!$F$5:$F$2271))+
SUMPRODUCT(-('Diário 8º PA'!$E$5:$E$2488='Analítico Cx.'!$B42),-('Diário 8º PA'!$P$5:$P$2488=K$1),('Diário 8º PA'!$F$5:$F$2488))</f>
        <v>484.17000000000007</v>
      </c>
      <c r="L42" s="185">
        <f>SUMPRODUCT(-('Diário 5º PA'!$E$5:$E$2634='Analítico Cx.'!$B42),-('Diário 5º PA'!$P$5:$P$2634=L$1),('Diário 5º PA'!$F$5:$F$2634))+
SUMPRODUCT(-('Diário 6º PA'!$E$5:$E$2246='Analítico Cx.'!$B42),-('Diário 6º PA'!$P$5:$P$2246=L$1),('Diário 6º PA'!$F$5:$F$2246))+
SUMPRODUCT(-('Diário 7º PA'!$E$5:$E$2271='Analítico Cx.'!$B42),-('Diário 7º PA'!$P$5:$P$2271=L$1),('Diário 7º PA'!$F$5:$F$2271))+
SUMPRODUCT(-('Diário 8º PA'!$E$5:$E$2488='Analítico Cx.'!$B42),-('Diário 8º PA'!$P$5:$P$2488=L$1),('Diário 8º PA'!$F$5:$F$2488))</f>
        <v>686.41</v>
      </c>
      <c r="M42" s="185">
        <f>SUMPRODUCT(-('Diário 5º PA'!$E$5:$E$2634='Analítico Cx.'!$B42),-('Diário 5º PA'!$P$5:$P$2634=M$1),('Diário 5º PA'!$F$5:$F$2634))+
SUMPRODUCT(-('Diário 6º PA'!$E$5:$E$2246='Analítico Cx.'!$B42),-('Diário 6º PA'!$P$5:$P$2246=M$1),('Diário 6º PA'!$F$5:$F$2246))+
SUMPRODUCT(-('Diário 7º PA'!$E$5:$E$2271='Analítico Cx.'!$B42),-('Diário 7º PA'!$P$5:$P$2271=M$1),('Diário 7º PA'!$F$5:$F$2271))+
SUMPRODUCT(-('Diário 8º PA'!$E$5:$E$2488='Analítico Cx.'!$B42),-('Diário 8º PA'!$P$5:$P$2488=M$1),('Diário 8º PA'!$F$5:$F$2488))</f>
        <v>678.96999999999991</v>
      </c>
      <c r="N42" s="185">
        <f>SUMPRODUCT(-('Diário 5º PA'!$E$5:$E$2634='Analítico Cx.'!$B42),-('Diário 5º PA'!$P$5:$P$2634=N$1),('Diário 5º PA'!$F$5:$F$2634))+
SUMPRODUCT(-('Diário 6º PA'!$E$5:$E$2246='Analítico Cx.'!$B42),-('Diário 6º PA'!$P$5:$P$2246=N$1),('Diário 6º PA'!$F$5:$F$2246))+
SUMPRODUCT(-('Diário 7º PA'!$E$5:$E$2271='Analítico Cx.'!$B42),-('Diário 7º PA'!$P$5:$P$2271=N$1),('Diário 7º PA'!$F$5:$F$2271))+
SUMPRODUCT(-('Diário 8º PA'!$E$5:$E$2488='Analítico Cx.'!$B42),-('Diário 8º PA'!$P$5:$P$2488=N$1),('Diário 8º PA'!$F$5:$F$2488))</f>
        <v>679.62999999999988</v>
      </c>
      <c r="O42" s="186">
        <f t="shared" si="10"/>
        <v>4246.99</v>
      </c>
      <c r="P42" s="187">
        <f t="shared" si="11"/>
        <v>4.5061073547820936E-4</v>
      </c>
      <c r="Q42" s="34"/>
      <c r="R42" s="34"/>
      <c r="S42" s="34"/>
      <c r="T42" s="34"/>
      <c r="U42" s="34"/>
      <c r="V42" s="34"/>
      <c r="W42" s="34"/>
      <c r="X42" s="34"/>
      <c r="Y42" s="34"/>
      <c r="Z42" s="34"/>
    </row>
    <row r="43" spans="1:26" ht="23.25" customHeight="1" x14ac:dyDescent="0.2">
      <c r="A43" s="203" t="s">
        <v>184</v>
      </c>
      <c r="B43" s="72" t="s">
        <v>185</v>
      </c>
      <c r="C43" s="185">
        <f>SUMPRODUCT(-('Diário 5º PA'!$E$5:$E$2634='Analítico Cx.'!$B43),-('Diário 5º PA'!$P$5:$P$2634=C$1),('Diário 5º PA'!$F$5:$F$2634))+
SUMPRODUCT(-('Diário 6º PA'!$E$5:$E$2246='Analítico Cx.'!$B43),-('Diário 6º PA'!$P$5:$P$2246=C$1),('Diário 6º PA'!$F$5:$F$2246))+
SUMPRODUCT(-('Diário 7º PA'!$E$5:$E$2271='Analítico Cx.'!$B43),-('Diário 7º PA'!$P$5:$P$2271=C$1),('Diário 7º PA'!$F$5:$F$2271))+
SUMPRODUCT(-('Diário 8º PA'!$E$5:$E$2488='Analítico Cx.'!$B43),-('Diário 8º PA'!$P$5:$P$2488=C$1),('Diário 8º PA'!$F$5:$F$2488))</f>
        <v>0</v>
      </c>
      <c r="D43" s="185">
        <f>SUMPRODUCT(-('Diário 5º PA'!$E$5:$E$2634='Analítico Cx.'!$B43),-('Diário 5º PA'!$P$5:$P$2634=D$1),('Diário 5º PA'!$F$5:$F$2634))+
SUMPRODUCT(-('Diário 6º PA'!$E$5:$E$2246='Analítico Cx.'!$B43),-('Diário 6º PA'!$P$5:$P$2246=D$1),('Diário 6º PA'!$F$5:$F$2246))+
SUMPRODUCT(-('Diário 7º PA'!$E$5:$E$2271='Analítico Cx.'!$B43),-('Diário 7º PA'!$P$5:$P$2271=D$1),('Diário 7º PA'!$F$5:$F$2271))+
SUMPRODUCT(-('Diário 8º PA'!$E$5:$E$2488='Analítico Cx.'!$B43),-('Diário 8º PA'!$P$5:$P$2488=D$1),('Diário 8º PA'!$F$5:$F$2488))</f>
        <v>0</v>
      </c>
      <c r="E43" s="185">
        <f>SUMPRODUCT(-('Diário 5º PA'!$E$5:$E$2634='Analítico Cx.'!$B43),-('Diário 5º PA'!$P$5:$P$2634=E$1),('Diário 5º PA'!$F$5:$F$2634))+
SUMPRODUCT(-('Diário 6º PA'!$E$5:$E$2246='Analítico Cx.'!$B43),-('Diário 6º PA'!$P$5:$P$2246=E$1),('Diário 6º PA'!$F$5:$F$2246))+
SUMPRODUCT(-('Diário 7º PA'!$E$5:$E$2271='Analítico Cx.'!$B43),-('Diário 7º PA'!$P$5:$P$2271=E$1),('Diário 7º PA'!$F$5:$F$2271))+
SUMPRODUCT(-('Diário 8º PA'!$E$5:$E$2488='Analítico Cx.'!$B43),-('Diário 8º PA'!$P$5:$P$2488=E$1),('Diário 8º PA'!$F$5:$F$2488))</f>
        <v>0</v>
      </c>
      <c r="F43" s="185">
        <f>SUMPRODUCT(-('Diário 5º PA'!$E$5:$E$2634='Analítico Cx.'!$B43),-('Diário 5º PA'!$P$5:$P$2634=F$1),('Diário 5º PA'!$F$5:$F$2634))+
SUMPRODUCT(-('Diário 6º PA'!$E$5:$E$2246='Analítico Cx.'!$B43),-('Diário 6º PA'!$P$5:$P$2246=F$1),('Diário 6º PA'!$F$5:$F$2246))+
SUMPRODUCT(-('Diário 7º PA'!$E$5:$E$2271='Analítico Cx.'!$B43),-('Diário 7º PA'!$P$5:$P$2271=F$1),('Diário 7º PA'!$F$5:$F$2271))+
SUMPRODUCT(-('Diário 8º PA'!$E$5:$E$2488='Analítico Cx.'!$B43),-('Diário 8º PA'!$P$5:$P$2488=F$1),('Diário 8º PA'!$F$5:$F$2488))</f>
        <v>0</v>
      </c>
      <c r="G43" s="185">
        <f>SUMPRODUCT(-('Diário 5º PA'!$E$5:$E$2634='Analítico Cx.'!$B43),-('Diário 5º PA'!$P$5:$P$2634=G$1),('Diário 5º PA'!$F$5:$F$2634))+
SUMPRODUCT(-('Diário 6º PA'!$E$5:$E$2246='Analítico Cx.'!$B43),-('Diário 6º PA'!$P$5:$P$2246=G$1),('Diário 6º PA'!$F$5:$F$2246))+
SUMPRODUCT(-('Diário 7º PA'!$E$5:$E$2271='Analítico Cx.'!$B43),-('Diário 7º PA'!$P$5:$P$2271=G$1),('Diário 7º PA'!$F$5:$F$2271))+
SUMPRODUCT(-('Diário 8º PA'!$E$5:$E$2488='Analítico Cx.'!$B43),-('Diário 8º PA'!$P$5:$P$2488=G$1),('Diário 8º PA'!$F$5:$F$2488))</f>
        <v>0</v>
      </c>
      <c r="H43" s="185">
        <f>SUMPRODUCT(-('Diário 5º PA'!$E$5:$E$2634='Analítico Cx.'!$B43),-('Diário 5º PA'!$P$5:$P$2634=H$1),('Diário 5º PA'!$F$5:$F$2634))+
SUMPRODUCT(-('Diário 6º PA'!$E$5:$E$2246='Analítico Cx.'!$B43),-('Diário 6º PA'!$P$5:$P$2246=H$1),('Diário 6º PA'!$F$5:$F$2246))+
SUMPRODUCT(-('Diário 7º PA'!$E$5:$E$2271='Analítico Cx.'!$B43),-('Diário 7º PA'!$P$5:$P$2271=H$1),('Diário 7º PA'!$F$5:$F$2271))+
SUMPRODUCT(-('Diário 8º PA'!$E$5:$E$2488='Analítico Cx.'!$B43),-('Diário 8º PA'!$P$5:$P$2488=H$1),('Diário 8º PA'!$F$5:$F$2488))</f>
        <v>0</v>
      </c>
      <c r="I43" s="185">
        <f>SUMPRODUCT(-('Diário 5º PA'!$E$5:$E$2634='Analítico Cx.'!$B43),-('Diário 5º PA'!$P$5:$P$2634=I$1),('Diário 5º PA'!$F$5:$F$2634))+
SUMPRODUCT(-('Diário 6º PA'!$E$5:$E$2246='Analítico Cx.'!$B43),-('Diário 6º PA'!$P$5:$P$2246=I$1),('Diário 6º PA'!$F$5:$F$2246))+
SUMPRODUCT(-('Diário 7º PA'!$E$5:$E$2271='Analítico Cx.'!$B43),-('Diário 7º PA'!$P$5:$P$2271=I$1),('Diário 7º PA'!$F$5:$F$2271))+
SUMPRODUCT(-('Diário 8º PA'!$E$5:$E$2488='Analítico Cx.'!$B43),-('Diário 8º PA'!$P$5:$P$2488=I$1),('Diário 8º PA'!$F$5:$F$2488))</f>
        <v>0</v>
      </c>
      <c r="J43" s="185">
        <f>SUMPRODUCT(-('Diário 5º PA'!$E$5:$E$2634='Analítico Cx.'!$B43),-('Diário 5º PA'!$P$5:$P$2634=J$1),('Diário 5º PA'!$F$5:$F$2634))+
SUMPRODUCT(-('Diário 6º PA'!$E$5:$E$2246='Analítico Cx.'!$B43),-('Diário 6º PA'!$P$5:$P$2246=J$1),('Diário 6º PA'!$F$5:$F$2246))+
SUMPRODUCT(-('Diário 7º PA'!$E$5:$E$2271='Analítico Cx.'!$B43),-('Diário 7º PA'!$P$5:$P$2271=J$1),('Diário 7º PA'!$F$5:$F$2271))+
SUMPRODUCT(-('Diário 8º PA'!$E$5:$E$2488='Analítico Cx.'!$B43),-('Diário 8º PA'!$P$5:$P$2488=J$1),('Diário 8º PA'!$F$5:$F$2488))</f>
        <v>0</v>
      </c>
      <c r="K43" s="185">
        <f>SUMPRODUCT(-('Diário 5º PA'!$E$5:$E$2634='Analítico Cx.'!$B43),-('Diário 5º PA'!$P$5:$P$2634=K$1),('Diário 5º PA'!$F$5:$F$2634))+
SUMPRODUCT(-('Diário 6º PA'!$E$5:$E$2246='Analítico Cx.'!$B43),-('Diário 6º PA'!$P$5:$P$2246=K$1),('Diário 6º PA'!$F$5:$F$2246))+
SUMPRODUCT(-('Diário 7º PA'!$E$5:$E$2271='Analítico Cx.'!$B43),-('Diário 7º PA'!$P$5:$P$2271=K$1),('Diário 7º PA'!$F$5:$F$2271))+
SUMPRODUCT(-('Diário 8º PA'!$E$5:$E$2488='Analítico Cx.'!$B43),-('Diário 8º PA'!$P$5:$P$2488=K$1),('Diário 8º PA'!$F$5:$F$2488))</f>
        <v>0</v>
      </c>
      <c r="L43" s="185">
        <f>SUMPRODUCT(-('Diário 5º PA'!$E$5:$E$2634='Analítico Cx.'!$B43),-('Diário 5º PA'!$P$5:$P$2634=L$1),('Diário 5º PA'!$F$5:$F$2634))+
SUMPRODUCT(-('Diário 6º PA'!$E$5:$E$2246='Analítico Cx.'!$B43),-('Diário 6º PA'!$P$5:$P$2246=L$1),('Diário 6º PA'!$F$5:$F$2246))+
SUMPRODUCT(-('Diário 7º PA'!$E$5:$E$2271='Analítico Cx.'!$B43),-('Diário 7º PA'!$P$5:$P$2271=L$1),('Diário 7º PA'!$F$5:$F$2271))+
SUMPRODUCT(-('Diário 8º PA'!$E$5:$E$2488='Analítico Cx.'!$B43),-('Diário 8º PA'!$P$5:$P$2488=L$1),('Diário 8º PA'!$F$5:$F$2488))</f>
        <v>0</v>
      </c>
      <c r="M43" s="185">
        <f>SUMPRODUCT(-('Diário 5º PA'!$E$5:$E$2634='Analítico Cx.'!$B43),-('Diário 5º PA'!$P$5:$P$2634=M$1),('Diário 5º PA'!$F$5:$F$2634))+
SUMPRODUCT(-('Diário 6º PA'!$E$5:$E$2246='Analítico Cx.'!$B43),-('Diário 6º PA'!$P$5:$P$2246=M$1),('Diário 6º PA'!$F$5:$F$2246))+
SUMPRODUCT(-('Diário 7º PA'!$E$5:$E$2271='Analítico Cx.'!$B43),-('Diário 7º PA'!$P$5:$P$2271=M$1),('Diário 7º PA'!$F$5:$F$2271))+
SUMPRODUCT(-('Diário 8º PA'!$E$5:$E$2488='Analítico Cx.'!$B43),-('Diário 8º PA'!$P$5:$P$2488=M$1),('Diário 8º PA'!$F$5:$F$2488))</f>
        <v>0</v>
      </c>
      <c r="N43" s="185">
        <f>SUMPRODUCT(-('Diário 5º PA'!$E$5:$E$2634='Analítico Cx.'!$B43),-('Diário 5º PA'!$P$5:$P$2634=N$1),('Diário 5º PA'!$F$5:$F$2634))+
SUMPRODUCT(-('Diário 6º PA'!$E$5:$E$2246='Analítico Cx.'!$B43),-('Diário 6º PA'!$P$5:$P$2246=N$1),('Diário 6º PA'!$F$5:$F$2246))+
SUMPRODUCT(-('Diário 7º PA'!$E$5:$E$2271='Analítico Cx.'!$B43),-('Diário 7º PA'!$P$5:$P$2271=N$1),('Diário 7º PA'!$F$5:$F$2271))+
SUMPRODUCT(-('Diário 8º PA'!$E$5:$E$2488='Analítico Cx.'!$B43),-('Diário 8º PA'!$P$5:$P$2488=N$1),('Diário 8º PA'!$F$5:$F$2488))</f>
        <v>0</v>
      </c>
      <c r="O43" s="186">
        <f t="shared" si="10"/>
        <v>0</v>
      </c>
      <c r="P43" s="187">
        <f t="shared" si="11"/>
        <v>0</v>
      </c>
      <c r="Q43" s="34"/>
      <c r="R43" s="34"/>
      <c r="S43" s="34"/>
      <c r="T43" s="34"/>
      <c r="U43" s="34"/>
      <c r="V43" s="34"/>
      <c r="W43" s="34"/>
      <c r="X43" s="34"/>
      <c r="Y43" s="34"/>
      <c r="Z43" s="34"/>
    </row>
    <row r="44" spans="1:26" ht="23.25" customHeight="1" x14ac:dyDescent="0.2">
      <c r="A44" s="203" t="s">
        <v>186</v>
      </c>
      <c r="B44" s="72" t="s">
        <v>187</v>
      </c>
      <c r="C44" s="185">
        <f>SUMPRODUCT(-('Diário 5º PA'!$E$5:$E$2634='Analítico Cx.'!$B44),-('Diário 5º PA'!$P$5:$P$2634=C$1),('Diário 5º PA'!$F$5:$F$2634))+
SUMPRODUCT(-('Diário 6º PA'!$E$5:$E$2246='Analítico Cx.'!$B44),-('Diário 6º PA'!$P$5:$P$2246=C$1),('Diário 6º PA'!$F$5:$F$2246))+
SUMPRODUCT(-('Diário 7º PA'!$E$5:$E$2271='Analítico Cx.'!$B44),-('Diário 7º PA'!$P$5:$P$2271=C$1),('Diário 7º PA'!$F$5:$F$2271))+
SUMPRODUCT(-('Diário 8º PA'!$E$5:$E$2488='Analítico Cx.'!$B44),-('Diário 8º PA'!$P$5:$P$2488=C$1),('Diário 8º PA'!$F$5:$F$2488))</f>
        <v>0</v>
      </c>
      <c r="D44" s="185">
        <f>SUMPRODUCT(-('Diário 5º PA'!$E$5:$E$2634='Analítico Cx.'!$B44),-('Diário 5º PA'!$P$5:$P$2634=D$1),('Diário 5º PA'!$F$5:$F$2634))+
SUMPRODUCT(-('Diário 6º PA'!$E$5:$E$2246='Analítico Cx.'!$B44),-('Diário 6º PA'!$P$5:$P$2246=D$1),('Diário 6º PA'!$F$5:$F$2246))+
SUMPRODUCT(-('Diário 7º PA'!$E$5:$E$2271='Analítico Cx.'!$B44),-('Diário 7º PA'!$P$5:$P$2271=D$1),('Diário 7º PA'!$F$5:$F$2271))+
SUMPRODUCT(-('Diário 8º PA'!$E$5:$E$2488='Analítico Cx.'!$B44),-('Diário 8º PA'!$P$5:$P$2488=D$1),('Diário 8º PA'!$F$5:$F$2488))</f>
        <v>0</v>
      </c>
      <c r="E44" s="185">
        <f>SUMPRODUCT(-('Diário 5º PA'!$E$5:$E$2634='Analítico Cx.'!$B44),-('Diário 5º PA'!$P$5:$P$2634=E$1),('Diário 5º PA'!$F$5:$F$2634))+
SUMPRODUCT(-('Diário 6º PA'!$E$5:$E$2246='Analítico Cx.'!$B44),-('Diário 6º PA'!$P$5:$P$2246=E$1),('Diário 6º PA'!$F$5:$F$2246))+
SUMPRODUCT(-('Diário 7º PA'!$E$5:$E$2271='Analítico Cx.'!$B44),-('Diário 7º PA'!$P$5:$P$2271=E$1),('Diário 7º PA'!$F$5:$F$2271))+
SUMPRODUCT(-('Diário 8º PA'!$E$5:$E$2488='Analítico Cx.'!$B44),-('Diário 8º PA'!$P$5:$P$2488=E$1),('Diário 8º PA'!$F$5:$F$2488))</f>
        <v>0</v>
      </c>
      <c r="F44" s="185">
        <f>SUMPRODUCT(-('Diário 5º PA'!$E$5:$E$2634='Analítico Cx.'!$B44),-('Diário 5º PA'!$P$5:$P$2634=F$1),('Diário 5º PA'!$F$5:$F$2634))+
SUMPRODUCT(-('Diário 6º PA'!$E$5:$E$2246='Analítico Cx.'!$B44),-('Diário 6º PA'!$P$5:$P$2246=F$1),('Diário 6º PA'!$F$5:$F$2246))+
SUMPRODUCT(-('Diário 7º PA'!$E$5:$E$2271='Analítico Cx.'!$B44),-('Diário 7º PA'!$P$5:$P$2271=F$1),('Diário 7º PA'!$F$5:$F$2271))+
SUMPRODUCT(-('Diário 8º PA'!$E$5:$E$2488='Analítico Cx.'!$B44),-('Diário 8º PA'!$P$5:$P$2488=F$1),('Diário 8º PA'!$F$5:$F$2488))</f>
        <v>0</v>
      </c>
      <c r="G44" s="185">
        <f>SUMPRODUCT(-('Diário 5º PA'!$E$5:$E$2634='Analítico Cx.'!$B44),-('Diário 5º PA'!$P$5:$P$2634=G$1),('Diário 5º PA'!$F$5:$F$2634))+
SUMPRODUCT(-('Diário 6º PA'!$E$5:$E$2246='Analítico Cx.'!$B44),-('Diário 6º PA'!$P$5:$P$2246=G$1),('Diário 6º PA'!$F$5:$F$2246))+
SUMPRODUCT(-('Diário 7º PA'!$E$5:$E$2271='Analítico Cx.'!$B44),-('Diário 7º PA'!$P$5:$P$2271=G$1),('Diário 7º PA'!$F$5:$F$2271))+
SUMPRODUCT(-('Diário 8º PA'!$E$5:$E$2488='Analítico Cx.'!$B44),-('Diário 8º PA'!$P$5:$P$2488=G$1),('Diário 8º PA'!$F$5:$F$2488))</f>
        <v>0</v>
      </c>
      <c r="H44" s="185">
        <f>SUMPRODUCT(-('Diário 5º PA'!$E$5:$E$2634='Analítico Cx.'!$B44),-('Diário 5º PA'!$P$5:$P$2634=H$1),('Diário 5º PA'!$F$5:$F$2634))+
SUMPRODUCT(-('Diário 6º PA'!$E$5:$E$2246='Analítico Cx.'!$B44),-('Diário 6º PA'!$P$5:$P$2246=H$1),('Diário 6º PA'!$F$5:$F$2246))+
SUMPRODUCT(-('Diário 7º PA'!$E$5:$E$2271='Analítico Cx.'!$B44),-('Diário 7º PA'!$P$5:$P$2271=H$1),('Diário 7º PA'!$F$5:$F$2271))+
SUMPRODUCT(-('Diário 8º PA'!$E$5:$E$2488='Analítico Cx.'!$B44),-('Diário 8º PA'!$P$5:$P$2488=H$1),('Diário 8º PA'!$F$5:$F$2488))</f>
        <v>0</v>
      </c>
      <c r="I44" s="185">
        <f>SUMPRODUCT(-('Diário 5º PA'!$E$5:$E$2634='Analítico Cx.'!$B44),-('Diário 5º PA'!$P$5:$P$2634=I$1),('Diário 5º PA'!$F$5:$F$2634))+
SUMPRODUCT(-('Diário 6º PA'!$E$5:$E$2246='Analítico Cx.'!$B44),-('Diário 6º PA'!$P$5:$P$2246=I$1),('Diário 6º PA'!$F$5:$F$2246))+
SUMPRODUCT(-('Diário 7º PA'!$E$5:$E$2271='Analítico Cx.'!$B44),-('Diário 7º PA'!$P$5:$P$2271=I$1),('Diário 7º PA'!$F$5:$F$2271))+
SUMPRODUCT(-('Diário 8º PA'!$E$5:$E$2488='Analítico Cx.'!$B44),-('Diário 8º PA'!$P$5:$P$2488=I$1),('Diário 8º PA'!$F$5:$F$2488))</f>
        <v>0</v>
      </c>
      <c r="J44" s="185">
        <f>SUMPRODUCT(-('Diário 5º PA'!$E$5:$E$2634='Analítico Cx.'!$B44),-('Diário 5º PA'!$P$5:$P$2634=J$1),('Diário 5º PA'!$F$5:$F$2634))+
SUMPRODUCT(-('Diário 6º PA'!$E$5:$E$2246='Analítico Cx.'!$B44),-('Diário 6º PA'!$P$5:$P$2246=J$1),('Diário 6º PA'!$F$5:$F$2246))+
SUMPRODUCT(-('Diário 7º PA'!$E$5:$E$2271='Analítico Cx.'!$B44),-('Diário 7º PA'!$P$5:$P$2271=J$1),('Diário 7º PA'!$F$5:$F$2271))+
SUMPRODUCT(-('Diário 8º PA'!$E$5:$E$2488='Analítico Cx.'!$B44),-('Diário 8º PA'!$P$5:$P$2488=J$1),('Diário 8º PA'!$F$5:$F$2488))</f>
        <v>0</v>
      </c>
      <c r="K44" s="185">
        <f>SUMPRODUCT(-('Diário 5º PA'!$E$5:$E$2634='Analítico Cx.'!$B44),-('Diário 5º PA'!$P$5:$P$2634=K$1),('Diário 5º PA'!$F$5:$F$2634))+
SUMPRODUCT(-('Diário 6º PA'!$E$5:$E$2246='Analítico Cx.'!$B44),-('Diário 6º PA'!$P$5:$P$2246=K$1),('Diário 6º PA'!$F$5:$F$2246))+
SUMPRODUCT(-('Diário 7º PA'!$E$5:$E$2271='Analítico Cx.'!$B44),-('Diário 7º PA'!$P$5:$P$2271=K$1),('Diário 7º PA'!$F$5:$F$2271))+
SUMPRODUCT(-('Diário 8º PA'!$E$5:$E$2488='Analítico Cx.'!$B44),-('Diário 8º PA'!$P$5:$P$2488=K$1),('Diário 8º PA'!$F$5:$F$2488))</f>
        <v>0</v>
      </c>
      <c r="L44" s="185">
        <f>SUMPRODUCT(-('Diário 5º PA'!$E$5:$E$2634='Analítico Cx.'!$B44),-('Diário 5º PA'!$P$5:$P$2634=L$1),('Diário 5º PA'!$F$5:$F$2634))+
SUMPRODUCT(-('Diário 6º PA'!$E$5:$E$2246='Analítico Cx.'!$B44),-('Diário 6º PA'!$P$5:$P$2246=L$1),('Diário 6º PA'!$F$5:$F$2246))+
SUMPRODUCT(-('Diário 7º PA'!$E$5:$E$2271='Analítico Cx.'!$B44),-('Diário 7º PA'!$P$5:$P$2271=L$1),('Diário 7º PA'!$F$5:$F$2271))+
SUMPRODUCT(-('Diário 8º PA'!$E$5:$E$2488='Analítico Cx.'!$B44),-('Diário 8º PA'!$P$5:$P$2488=L$1),('Diário 8º PA'!$F$5:$F$2488))</f>
        <v>0</v>
      </c>
      <c r="M44" s="185">
        <f>SUMPRODUCT(-('Diário 5º PA'!$E$5:$E$2634='Analítico Cx.'!$B44),-('Diário 5º PA'!$P$5:$P$2634=M$1),('Diário 5º PA'!$F$5:$F$2634))+
SUMPRODUCT(-('Diário 6º PA'!$E$5:$E$2246='Analítico Cx.'!$B44),-('Diário 6º PA'!$P$5:$P$2246=M$1),('Diário 6º PA'!$F$5:$F$2246))+
SUMPRODUCT(-('Diário 7º PA'!$E$5:$E$2271='Analítico Cx.'!$B44),-('Diário 7º PA'!$P$5:$P$2271=M$1),('Diário 7º PA'!$F$5:$F$2271))+
SUMPRODUCT(-('Diário 8º PA'!$E$5:$E$2488='Analítico Cx.'!$B44),-('Diário 8º PA'!$P$5:$P$2488=M$1),('Diário 8º PA'!$F$5:$F$2488))</f>
        <v>0</v>
      </c>
      <c r="N44" s="185">
        <f>SUMPRODUCT(-('Diário 5º PA'!$E$5:$E$2634='Analítico Cx.'!$B44),-('Diário 5º PA'!$P$5:$P$2634=N$1),('Diário 5º PA'!$F$5:$F$2634))+
SUMPRODUCT(-('Diário 6º PA'!$E$5:$E$2246='Analítico Cx.'!$B44),-('Diário 6º PA'!$P$5:$P$2246=N$1),('Diário 6º PA'!$F$5:$F$2246))+
SUMPRODUCT(-('Diário 7º PA'!$E$5:$E$2271='Analítico Cx.'!$B44),-('Diário 7º PA'!$P$5:$P$2271=N$1),('Diário 7º PA'!$F$5:$F$2271))+
SUMPRODUCT(-('Diário 8º PA'!$E$5:$E$2488='Analítico Cx.'!$B44),-('Diário 8º PA'!$P$5:$P$2488=N$1),('Diário 8º PA'!$F$5:$F$2488))</f>
        <v>0</v>
      </c>
      <c r="O44" s="186">
        <f t="shared" si="10"/>
        <v>0</v>
      </c>
      <c r="P44" s="187">
        <f t="shared" si="11"/>
        <v>0</v>
      </c>
      <c r="Q44" s="34"/>
      <c r="R44" s="34"/>
      <c r="S44" s="34"/>
      <c r="T44" s="34"/>
      <c r="U44" s="34"/>
      <c r="V44" s="34"/>
      <c r="W44" s="34"/>
      <c r="X44" s="34"/>
      <c r="Y44" s="34"/>
      <c r="Z44" s="34"/>
    </row>
    <row r="45" spans="1:26" ht="23.25" customHeight="1" x14ac:dyDescent="0.2">
      <c r="A45" s="203" t="s">
        <v>188</v>
      </c>
      <c r="B45" s="204" t="s">
        <v>189</v>
      </c>
      <c r="C45" s="185">
        <f>SUMPRODUCT(-('Diário 5º PA'!$E$5:$E$2634='Analítico Cx.'!$B45),-('Diário 5º PA'!$P$5:$P$2634=C$1),('Diário 5º PA'!$F$5:$F$2634))+
SUMPRODUCT(-('Diário 6º PA'!$E$5:$E$2246='Analítico Cx.'!$B45),-('Diário 6º PA'!$P$5:$P$2246=C$1),('Diário 6º PA'!$F$5:$F$2246))+
SUMPRODUCT(-('Diário 7º PA'!$E$5:$E$2271='Analítico Cx.'!$B45),-('Diário 7º PA'!$P$5:$P$2271=C$1),('Diário 7º PA'!$F$5:$F$2271))+
SUMPRODUCT(-('Diário 8º PA'!$E$5:$E$2488='Analítico Cx.'!$B45),-('Diário 8º PA'!$P$5:$P$2488=C$1),('Diário 8º PA'!$F$5:$F$2488))</f>
        <v>0</v>
      </c>
      <c r="D45" s="185">
        <f>SUMPRODUCT(-('Diário 5º PA'!$E$5:$E$2634='Analítico Cx.'!$B45),-('Diário 5º PA'!$P$5:$P$2634=D$1),('Diário 5º PA'!$F$5:$F$2634))+
SUMPRODUCT(-('Diário 6º PA'!$E$5:$E$2246='Analítico Cx.'!$B45),-('Diário 6º PA'!$P$5:$P$2246=D$1),('Diário 6º PA'!$F$5:$F$2246))+
SUMPRODUCT(-('Diário 7º PA'!$E$5:$E$2271='Analítico Cx.'!$B45),-('Diário 7º PA'!$P$5:$P$2271=D$1),('Diário 7º PA'!$F$5:$F$2271))+
SUMPRODUCT(-('Diário 8º PA'!$E$5:$E$2488='Analítico Cx.'!$B45),-('Diário 8º PA'!$P$5:$P$2488=D$1),('Diário 8º PA'!$F$5:$F$2488))</f>
        <v>0</v>
      </c>
      <c r="E45" s="185">
        <f>SUMPRODUCT(-('Diário 5º PA'!$E$5:$E$2634='Analítico Cx.'!$B45),-('Diário 5º PA'!$P$5:$P$2634=E$1),('Diário 5º PA'!$F$5:$F$2634))+
SUMPRODUCT(-('Diário 6º PA'!$E$5:$E$2246='Analítico Cx.'!$B45),-('Diário 6º PA'!$P$5:$P$2246=E$1),('Diário 6º PA'!$F$5:$F$2246))+
SUMPRODUCT(-('Diário 7º PA'!$E$5:$E$2271='Analítico Cx.'!$B45),-('Diário 7º PA'!$P$5:$P$2271=E$1),('Diário 7º PA'!$F$5:$F$2271))+
SUMPRODUCT(-('Diário 8º PA'!$E$5:$E$2488='Analítico Cx.'!$B45),-('Diário 8º PA'!$P$5:$P$2488=E$1),('Diário 8º PA'!$F$5:$F$2488))</f>
        <v>0</v>
      </c>
      <c r="F45" s="185">
        <f>SUMPRODUCT(-('Diário 5º PA'!$E$5:$E$2634='Analítico Cx.'!$B45),-('Diário 5º PA'!$P$5:$P$2634=F$1),('Diário 5º PA'!$F$5:$F$2634))+
SUMPRODUCT(-('Diário 6º PA'!$E$5:$E$2246='Analítico Cx.'!$B45),-('Diário 6º PA'!$P$5:$P$2246=F$1),('Diário 6º PA'!$F$5:$F$2246))+
SUMPRODUCT(-('Diário 7º PA'!$E$5:$E$2271='Analítico Cx.'!$B45),-('Diário 7º PA'!$P$5:$P$2271=F$1),('Diário 7º PA'!$F$5:$F$2271))+
SUMPRODUCT(-('Diário 8º PA'!$E$5:$E$2488='Analítico Cx.'!$B45),-('Diário 8º PA'!$P$5:$P$2488=F$1),('Diário 8º PA'!$F$5:$F$2488))</f>
        <v>0</v>
      </c>
      <c r="G45" s="185">
        <f>SUMPRODUCT(-('Diário 5º PA'!$E$5:$E$2634='Analítico Cx.'!$B45),-('Diário 5º PA'!$P$5:$P$2634=G$1),('Diário 5º PA'!$F$5:$F$2634))+
SUMPRODUCT(-('Diário 6º PA'!$E$5:$E$2246='Analítico Cx.'!$B45),-('Diário 6º PA'!$P$5:$P$2246=G$1),('Diário 6º PA'!$F$5:$F$2246))+
SUMPRODUCT(-('Diário 7º PA'!$E$5:$E$2271='Analítico Cx.'!$B45),-('Diário 7º PA'!$P$5:$P$2271=G$1),('Diário 7º PA'!$F$5:$F$2271))+
SUMPRODUCT(-('Diário 8º PA'!$E$5:$E$2488='Analítico Cx.'!$B45),-('Diário 8º PA'!$P$5:$P$2488=G$1),('Diário 8º PA'!$F$5:$F$2488))</f>
        <v>0</v>
      </c>
      <c r="H45" s="185">
        <f>SUMPRODUCT(-('Diário 5º PA'!$E$5:$E$2634='Analítico Cx.'!$B45),-('Diário 5º PA'!$P$5:$P$2634=H$1),('Diário 5º PA'!$F$5:$F$2634))+
SUMPRODUCT(-('Diário 6º PA'!$E$5:$E$2246='Analítico Cx.'!$B45),-('Diário 6º PA'!$P$5:$P$2246=H$1),('Diário 6º PA'!$F$5:$F$2246))+
SUMPRODUCT(-('Diário 7º PA'!$E$5:$E$2271='Analítico Cx.'!$B45),-('Diário 7º PA'!$P$5:$P$2271=H$1),('Diário 7º PA'!$F$5:$F$2271))+
SUMPRODUCT(-('Diário 8º PA'!$E$5:$E$2488='Analítico Cx.'!$B45),-('Diário 8º PA'!$P$5:$P$2488=H$1),('Diário 8º PA'!$F$5:$F$2488))</f>
        <v>0</v>
      </c>
      <c r="I45" s="185">
        <f>SUMPRODUCT(-('Diário 5º PA'!$E$5:$E$2634='Analítico Cx.'!$B45),-('Diário 5º PA'!$P$5:$P$2634=I$1),('Diário 5º PA'!$F$5:$F$2634))+
SUMPRODUCT(-('Diário 6º PA'!$E$5:$E$2246='Analítico Cx.'!$B45),-('Diário 6º PA'!$P$5:$P$2246=I$1),('Diário 6º PA'!$F$5:$F$2246))+
SUMPRODUCT(-('Diário 7º PA'!$E$5:$E$2271='Analítico Cx.'!$B45),-('Diário 7º PA'!$P$5:$P$2271=I$1),('Diário 7º PA'!$F$5:$F$2271))+
SUMPRODUCT(-('Diário 8º PA'!$E$5:$E$2488='Analítico Cx.'!$B45),-('Diário 8º PA'!$P$5:$P$2488=I$1),('Diário 8º PA'!$F$5:$F$2488))</f>
        <v>0</v>
      </c>
      <c r="J45" s="185">
        <f>SUMPRODUCT(-('Diário 5º PA'!$E$5:$E$2634='Analítico Cx.'!$B45),-('Diário 5º PA'!$P$5:$P$2634=J$1),('Diário 5º PA'!$F$5:$F$2634))+
SUMPRODUCT(-('Diário 6º PA'!$E$5:$E$2246='Analítico Cx.'!$B45),-('Diário 6º PA'!$P$5:$P$2246=J$1),('Diário 6º PA'!$F$5:$F$2246))+
SUMPRODUCT(-('Diário 7º PA'!$E$5:$E$2271='Analítico Cx.'!$B45),-('Diário 7º PA'!$P$5:$P$2271=J$1),('Diário 7º PA'!$F$5:$F$2271))+
SUMPRODUCT(-('Diário 8º PA'!$E$5:$E$2488='Analítico Cx.'!$B45),-('Diário 8º PA'!$P$5:$P$2488=J$1),('Diário 8º PA'!$F$5:$F$2488))</f>
        <v>0</v>
      </c>
      <c r="K45" s="185">
        <f>SUMPRODUCT(-('Diário 5º PA'!$E$5:$E$2634='Analítico Cx.'!$B45),-('Diário 5º PA'!$P$5:$P$2634=K$1),('Diário 5º PA'!$F$5:$F$2634))+
SUMPRODUCT(-('Diário 6º PA'!$E$5:$E$2246='Analítico Cx.'!$B45),-('Diário 6º PA'!$P$5:$P$2246=K$1),('Diário 6º PA'!$F$5:$F$2246))+
SUMPRODUCT(-('Diário 7º PA'!$E$5:$E$2271='Analítico Cx.'!$B45),-('Diário 7º PA'!$P$5:$P$2271=K$1),('Diário 7º PA'!$F$5:$F$2271))+
SUMPRODUCT(-('Diário 8º PA'!$E$5:$E$2488='Analítico Cx.'!$B45),-('Diário 8º PA'!$P$5:$P$2488=K$1),('Diário 8º PA'!$F$5:$F$2488))</f>
        <v>0</v>
      </c>
      <c r="L45" s="185">
        <f>SUMPRODUCT(-('Diário 5º PA'!$E$5:$E$2634='Analítico Cx.'!$B45),-('Diário 5º PA'!$P$5:$P$2634=L$1),('Diário 5º PA'!$F$5:$F$2634))+
SUMPRODUCT(-('Diário 6º PA'!$E$5:$E$2246='Analítico Cx.'!$B45),-('Diário 6º PA'!$P$5:$P$2246=L$1),('Diário 6º PA'!$F$5:$F$2246))+
SUMPRODUCT(-('Diário 7º PA'!$E$5:$E$2271='Analítico Cx.'!$B45),-('Diário 7º PA'!$P$5:$P$2271=L$1),('Diário 7º PA'!$F$5:$F$2271))+
SUMPRODUCT(-('Diário 8º PA'!$E$5:$E$2488='Analítico Cx.'!$B45),-('Diário 8º PA'!$P$5:$P$2488=L$1),('Diário 8º PA'!$F$5:$F$2488))</f>
        <v>0</v>
      </c>
      <c r="M45" s="185">
        <f>SUMPRODUCT(-('Diário 5º PA'!$E$5:$E$2634='Analítico Cx.'!$B45),-('Diário 5º PA'!$P$5:$P$2634=M$1),('Diário 5º PA'!$F$5:$F$2634))+
SUMPRODUCT(-('Diário 6º PA'!$E$5:$E$2246='Analítico Cx.'!$B45),-('Diário 6º PA'!$P$5:$P$2246=M$1),('Diário 6º PA'!$F$5:$F$2246))+
SUMPRODUCT(-('Diário 7º PA'!$E$5:$E$2271='Analítico Cx.'!$B45),-('Diário 7º PA'!$P$5:$P$2271=M$1),('Diário 7º PA'!$F$5:$F$2271))+
SUMPRODUCT(-('Diário 8º PA'!$E$5:$E$2488='Analítico Cx.'!$B45),-('Diário 8º PA'!$P$5:$P$2488=M$1),('Diário 8º PA'!$F$5:$F$2488))</f>
        <v>0</v>
      </c>
      <c r="N45" s="185">
        <f>SUMPRODUCT(-('Diário 5º PA'!$E$5:$E$2634='Analítico Cx.'!$B45),-('Diário 5º PA'!$P$5:$P$2634=N$1),('Diário 5º PA'!$F$5:$F$2634))+
SUMPRODUCT(-('Diário 6º PA'!$E$5:$E$2246='Analítico Cx.'!$B45),-('Diário 6º PA'!$P$5:$P$2246=N$1),('Diário 6º PA'!$F$5:$F$2246))+
SUMPRODUCT(-('Diário 7º PA'!$E$5:$E$2271='Analítico Cx.'!$B45),-('Diário 7º PA'!$P$5:$P$2271=N$1),('Diário 7º PA'!$F$5:$F$2271))+
SUMPRODUCT(-('Diário 8º PA'!$E$5:$E$2488='Analítico Cx.'!$B45),-('Diário 8º PA'!$P$5:$P$2488=N$1),('Diário 8º PA'!$F$5:$F$2488))</f>
        <v>0</v>
      </c>
      <c r="O45" s="186">
        <f t="shared" si="10"/>
        <v>0</v>
      </c>
      <c r="P45" s="187">
        <f t="shared" si="11"/>
        <v>0</v>
      </c>
      <c r="Q45" s="213"/>
      <c r="R45" s="213"/>
      <c r="S45" s="213"/>
      <c r="T45" s="213"/>
      <c r="U45" s="213"/>
      <c r="V45" s="213"/>
      <c r="W45" s="213"/>
      <c r="X45" s="213"/>
      <c r="Y45" s="213"/>
      <c r="Z45" s="213"/>
    </row>
    <row r="46" spans="1:26" ht="23.25" customHeight="1" x14ac:dyDescent="0.2">
      <c r="A46" s="205"/>
      <c r="B46" s="206" t="s">
        <v>190</v>
      </c>
      <c r="C46" s="207">
        <f t="shared" ref="C46:O46" si="12">SUBTOTAL(109,C34:C45)</f>
        <v>55817.79</v>
      </c>
      <c r="D46" s="207">
        <f t="shared" si="12"/>
        <v>55949.2</v>
      </c>
      <c r="E46" s="207">
        <f t="shared" si="12"/>
        <v>34914.21</v>
      </c>
      <c r="F46" s="207">
        <f t="shared" si="12"/>
        <v>37876.839999999997</v>
      </c>
      <c r="G46" s="207">
        <f t="shared" si="12"/>
        <v>37246.800000000003</v>
      </c>
      <c r="H46" s="207">
        <f t="shared" si="12"/>
        <v>43509.469999999994</v>
      </c>
      <c r="I46" s="207">
        <f t="shared" si="12"/>
        <v>48600.170000000006</v>
      </c>
      <c r="J46" s="207">
        <f t="shared" si="12"/>
        <v>43544.999999999993</v>
      </c>
      <c r="K46" s="207">
        <f t="shared" si="12"/>
        <v>60706.14</v>
      </c>
      <c r="L46" s="207">
        <f t="shared" si="12"/>
        <v>59310.6</v>
      </c>
      <c r="M46" s="207">
        <f t="shared" si="12"/>
        <v>153661.57</v>
      </c>
      <c r="N46" s="207">
        <f t="shared" si="12"/>
        <v>180406.5</v>
      </c>
      <c r="O46" s="207">
        <f t="shared" si="12"/>
        <v>811544.29</v>
      </c>
      <c r="P46" s="214">
        <f t="shared" si="11"/>
        <v>8.610582303938584E-2</v>
      </c>
      <c r="Q46" s="34"/>
      <c r="R46" s="34"/>
      <c r="S46" s="34"/>
      <c r="T46" s="34"/>
      <c r="U46" s="34"/>
      <c r="V46" s="34"/>
      <c r="W46" s="34"/>
      <c r="X46" s="34"/>
      <c r="Y46" s="34"/>
      <c r="Z46" s="34"/>
    </row>
    <row r="47" spans="1:26" ht="23.25" customHeight="1" x14ac:dyDescent="0.2">
      <c r="A47" s="181" t="s">
        <v>95</v>
      </c>
      <c r="B47" s="201" t="s">
        <v>96</v>
      </c>
      <c r="C47" s="211"/>
      <c r="D47" s="211"/>
      <c r="E47" s="211"/>
      <c r="F47" s="211"/>
      <c r="G47" s="211"/>
      <c r="H47" s="211"/>
      <c r="I47" s="211"/>
      <c r="J47" s="211"/>
      <c r="K47" s="211"/>
      <c r="L47" s="211"/>
      <c r="M47" s="211"/>
      <c r="N47" s="211"/>
      <c r="O47" s="211"/>
      <c r="P47" s="187">
        <f t="shared" si="11"/>
        <v>0</v>
      </c>
      <c r="Q47" s="34"/>
      <c r="R47" s="34"/>
      <c r="S47" s="34"/>
      <c r="T47" s="34"/>
      <c r="U47" s="34"/>
      <c r="V47" s="34"/>
      <c r="W47" s="34"/>
      <c r="X47" s="34"/>
      <c r="Y47" s="34"/>
      <c r="Z47" s="34"/>
    </row>
    <row r="48" spans="1:26" ht="23.25" customHeight="1" x14ac:dyDescent="0.2">
      <c r="A48" s="215" t="s">
        <v>191</v>
      </c>
      <c r="B48" s="72" t="s">
        <v>192</v>
      </c>
      <c r="C48" s="185">
        <f>SUMPRODUCT(-('Diário 5º PA'!$E$5:$E$2634='Analítico Cx.'!$B48),-('Diário 5º PA'!$P$5:$P$2634=C$1),('Diário 5º PA'!$F$5:$F$2634))+
SUMPRODUCT(-('Diário 6º PA'!$E$5:$E$2246='Analítico Cx.'!$B48),-('Diário 6º PA'!$P$5:$P$2246=C$1),('Diário 6º PA'!$F$5:$F$2246))+
SUMPRODUCT(-('Diário 7º PA'!$E$5:$E$2271='Analítico Cx.'!$B48),-('Diário 7º PA'!$P$5:$P$2271=C$1),('Diário 7º PA'!$F$5:$F$2271))+
SUMPRODUCT(-('Diário 8º PA'!$E$5:$E$2488='Analítico Cx.'!$B48),-('Diário 8º PA'!$P$5:$P$2488=C$1),('Diário 8º PA'!$F$5:$F$2488))</f>
        <v>551.48</v>
      </c>
      <c r="D48" s="185">
        <f>SUMPRODUCT(-('Diário 5º PA'!$E$5:$E$2634='Analítico Cx.'!$B48),-('Diário 5º PA'!$P$5:$P$2634=D$1),('Diário 5º PA'!$F$5:$F$2634))+
SUMPRODUCT(-('Diário 6º PA'!$E$5:$E$2246='Analítico Cx.'!$B48),-('Diário 6º PA'!$P$5:$P$2246=D$1),('Diário 6º PA'!$F$5:$F$2246))+
SUMPRODUCT(-('Diário 7º PA'!$E$5:$E$2271='Analítico Cx.'!$B48),-('Diário 7º PA'!$P$5:$P$2271=D$1),('Diário 7º PA'!$F$5:$F$2271))+
SUMPRODUCT(-('Diário 8º PA'!$E$5:$E$2488='Analítico Cx.'!$B48),-('Diário 8º PA'!$P$5:$P$2488=D$1),('Diário 8º PA'!$F$5:$F$2488))</f>
        <v>788.49</v>
      </c>
      <c r="E48" s="185">
        <f>SUMPRODUCT(-('Diário 5º PA'!$E$5:$E$2634='Analítico Cx.'!$B48),-('Diário 5º PA'!$P$5:$P$2634=E$1),('Diário 5º PA'!$F$5:$F$2634))+
SUMPRODUCT(-('Diário 6º PA'!$E$5:$E$2246='Analítico Cx.'!$B48),-('Diário 6º PA'!$P$5:$P$2246=E$1),('Diário 6º PA'!$F$5:$F$2246))+
SUMPRODUCT(-('Diário 7º PA'!$E$5:$E$2271='Analítico Cx.'!$B48),-('Diário 7º PA'!$P$5:$P$2271=E$1),('Diário 7º PA'!$F$5:$F$2271))+
SUMPRODUCT(-('Diário 8º PA'!$E$5:$E$2488='Analítico Cx.'!$B48),-('Diário 8º PA'!$P$5:$P$2488=E$1),('Diário 8º PA'!$F$5:$F$2488))</f>
        <v>109.42</v>
      </c>
      <c r="F48" s="185">
        <f>SUMPRODUCT(-('Diário 5º PA'!$E$5:$E$2634='Analítico Cx.'!$B48),-('Diário 5º PA'!$P$5:$P$2634=F$1),('Diário 5º PA'!$F$5:$F$2634))+
SUMPRODUCT(-('Diário 6º PA'!$E$5:$E$2246='Analítico Cx.'!$B48),-('Diário 6º PA'!$P$5:$P$2246=F$1),('Diário 6º PA'!$F$5:$F$2246))+
SUMPRODUCT(-('Diário 7º PA'!$E$5:$E$2271='Analítico Cx.'!$B48),-('Diário 7º PA'!$P$5:$P$2271=F$1),('Diário 7º PA'!$F$5:$F$2271))+
SUMPRODUCT(-('Diário 8º PA'!$E$5:$E$2488='Analítico Cx.'!$B48),-('Diário 8º PA'!$P$5:$P$2488=F$1),('Diário 8º PA'!$F$5:$F$2488))</f>
        <v>0.05</v>
      </c>
      <c r="G48" s="185">
        <f>SUMPRODUCT(-('Diário 5º PA'!$E$5:$E$2634='Analítico Cx.'!$B48),-('Diário 5º PA'!$P$5:$P$2634=G$1),('Diário 5º PA'!$F$5:$F$2634))+
SUMPRODUCT(-('Diário 6º PA'!$E$5:$E$2246='Analítico Cx.'!$B48),-('Diário 6º PA'!$P$5:$P$2246=G$1),('Diário 6º PA'!$F$5:$F$2246))+
SUMPRODUCT(-('Diário 7º PA'!$E$5:$E$2271='Analítico Cx.'!$B48),-('Diário 7º PA'!$P$5:$P$2271=G$1),('Diário 7º PA'!$F$5:$F$2271))+
SUMPRODUCT(-('Diário 8º PA'!$E$5:$E$2488='Analítico Cx.'!$B48),-('Diário 8º PA'!$P$5:$P$2488=G$1),('Diário 8º PA'!$F$5:$F$2488))</f>
        <v>260.45</v>
      </c>
      <c r="H48" s="185">
        <f>SUMPRODUCT(-('Diário 5º PA'!$E$5:$E$2634='Analítico Cx.'!$B48),-('Diário 5º PA'!$P$5:$P$2634=H$1),('Diário 5º PA'!$F$5:$F$2634))+
SUMPRODUCT(-('Diário 6º PA'!$E$5:$E$2246='Analítico Cx.'!$B48),-('Diário 6º PA'!$P$5:$P$2246=H$1),('Diário 6º PA'!$F$5:$F$2246))+
SUMPRODUCT(-('Diário 7º PA'!$E$5:$E$2271='Analítico Cx.'!$B48),-('Diário 7º PA'!$P$5:$P$2271=H$1),('Diário 7º PA'!$F$5:$F$2271))+
SUMPRODUCT(-('Diário 8º PA'!$E$5:$E$2488='Analítico Cx.'!$B48),-('Diário 8º PA'!$P$5:$P$2488=H$1),('Diário 8º PA'!$F$5:$F$2488))</f>
        <v>278.74</v>
      </c>
      <c r="I48" s="185">
        <f>SUMPRODUCT(-('Diário 5º PA'!$E$5:$E$2634='Analítico Cx.'!$B48),-('Diário 5º PA'!$P$5:$P$2634=I$1),('Diário 5º PA'!$F$5:$F$2634))+
SUMPRODUCT(-('Diário 6º PA'!$E$5:$E$2246='Analítico Cx.'!$B48),-('Diário 6º PA'!$P$5:$P$2246=I$1),('Diário 6º PA'!$F$5:$F$2246))+
SUMPRODUCT(-('Diário 7º PA'!$E$5:$E$2271='Analítico Cx.'!$B48),-('Diário 7º PA'!$P$5:$P$2271=I$1),('Diário 7º PA'!$F$5:$F$2271))+
SUMPRODUCT(-('Diário 8º PA'!$E$5:$E$2488='Analítico Cx.'!$B48),-('Diário 8º PA'!$P$5:$P$2488=I$1),('Diário 8º PA'!$F$5:$F$2488))</f>
        <v>290.87</v>
      </c>
      <c r="J48" s="185">
        <f>SUMPRODUCT(-('Diário 5º PA'!$E$5:$E$2634='Analítico Cx.'!$B48),-('Diário 5º PA'!$P$5:$P$2634=J$1),('Diário 5º PA'!$F$5:$F$2634))+
SUMPRODUCT(-('Diário 6º PA'!$E$5:$E$2246='Analítico Cx.'!$B48),-('Diário 6º PA'!$P$5:$P$2246=J$1),('Diário 6º PA'!$F$5:$F$2246))+
SUMPRODUCT(-('Diário 7º PA'!$E$5:$E$2271='Analítico Cx.'!$B48),-('Diário 7º PA'!$P$5:$P$2271=J$1),('Diário 7º PA'!$F$5:$F$2271))+
SUMPRODUCT(-('Diário 8º PA'!$E$5:$E$2488='Analítico Cx.'!$B48),-('Diário 8º PA'!$P$5:$P$2488=J$1),('Diário 8º PA'!$F$5:$F$2488))</f>
        <v>369.62</v>
      </c>
      <c r="K48" s="185">
        <f>SUMPRODUCT(-('Diário 5º PA'!$E$5:$E$2634='Analítico Cx.'!$B48),-('Diário 5º PA'!$P$5:$P$2634=K$1),('Diário 5º PA'!$F$5:$F$2634))+
SUMPRODUCT(-('Diário 6º PA'!$E$5:$E$2246='Analítico Cx.'!$B48),-('Diário 6º PA'!$P$5:$P$2246=K$1),('Diário 6º PA'!$F$5:$F$2246))+
SUMPRODUCT(-('Diário 7º PA'!$E$5:$E$2271='Analítico Cx.'!$B48),-('Diário 7º PA'!$P$5:$P$2271=K$1),('Diário 7º PA'!$F$5:$F$2271))+
SUMPRODUCT(-('Diário 8º PA'!$E$5:$E$2488='Analítico Cx.'!$B48),-('Diário 8º PA'!$P$5:$P$2488=K$1),('Diário 8º PA'!$F$5:$F$2488))</f>
        <v>988.27</v>
      </c>
      <c r="L48" s="185">
        <f>SUMPRODUCT(-('Diário 5º PA'!$E$5:$E$2634='Analítico Cx.'!$B48),-('Diário 5º PA'!$P$5:$P$2634=L$1),('Diário 5º PA'!$F$5:$F$2634))+
SUMPRODUCT(-('Diário 6º PA'!$E$5:$E$2246='Analítico Cx.'!$B48),-('Diário 6º PA'!$P$5:$P$2246=L$1),('Diário 6º PA'!$F$5:$F$2246))+
SUMPRODUCT(-('Diário 7º PA'!$E$5:$E$2271='Analítico Cx.'!$B48),-('Diário 7º PA'!$P$5:$P$2271=L$1),('Diário 7º PA'!$F$5:$F$2271))+
SUMPRODUCT(-('Diário 8º PA'!$E$5:$E$2488='Analítico Cx.'!$B48),-('Diário 8º PA'!$P$5:$P$2488=L$1),('Diário 8º PA'!$F$5:$F$2488))</f>
        <v>826.19</v>
      </c>
      <c r="M48" s="185">
        <f>SUMPRODUCT(-('Diário 5º PA'!$E$5:$E$2634='Analítico Cx.'!$B48),-('Diário 5º PA'!$P$5:$P$2634=M$1),('Diário 5º PA'!$F$5:$F$2634))+
SUMPRODUCT(-('Diário 6º PA'!$E$5:$E$2246='Analítico Cx.'!$B48),-('Diário 6º PA'!$P$5:$P$2246=M$1),('Diário 6º PA'!$F$5:$F$2246))+
SUMPRODUCT(-('Diário 7º PA'!$E$5:$E$2271='Analítico Cx.'!$B48),-('Diário 7º PA'!$P$5:$P$2271=M$1),('Diário 7º PA'!$F$5:$F$2271))+
SUMPRODUCT(-('Diário 8º PA'!$E$5:$E$2488='Analítico Cx.'!$B48),-('Diário 8º PA'!$P$5:$P$2488=M$1),('Diário 8º PA'!$F$5:$F$2488))</f>
        <v>5026.87</v>
      </c>
      <c r="N48" s="185">
        <f>SUMPRODUCT(-('Diário 5º PA'!$E$5:$E$2634='Analítico Cx.'!$B48),-('Diário 5º PA'!$P$5:$P$2634=N$1),('Diário 5º PA'!$F$5:$F$2634))+
SUMPRODUCT(-('Diário 6º PA'!$E$5:$E$2246='Analítico Cx.'!$B48),-('Diário 6º PA'!$P$5:$P$2246=N$1),('Diário 6º PA'!$F$5:$F$2246))+
SUMPRODUCT(-('Diário 7º PA'!$E$5:$E$2271='Analítico Cx.'!$B48),-('Diário 7º PA'!$P$5:$P$2271=N$1),('Diário 7º PA'!$F$5:$F$2271))+
SUMPRODUCT(-('Diário 8º PA'!$E$5:$E$2488='Analítico Cx.'!$B48),-('Diário 8º PA'!$P$5:$P$2488=N$1),('Diário 8º PA'!$F$5:$F$2488))</f>
        <v>4295.4400000000005</v>
      </c>
      <c r="O48" s="186">
        <f t="shared" ref="O48:O54" si="13">SUM(C48:N48)</f>
        <v>13785.890000000001</v>
      </c>
      <c r="P48" s="187">
        <f t="shared" si="11"/>
        <v>1.4626994723608232E-3</v>
      </c>
      <c r="Q48" s="34"/>
      <c r="R48" s="34"/>
      <c r="S48" s="34"/>
      <c r="T48" s="34"/>
      <c r="U48" s="34"/>
      <c r="V48" s="34"/>
      <c r="W48" s="34"/>
      <c r="X48" s="34"/>
      <c r="Y48" s="34"/>
      <c r="Z48" s="34"/>
    </row>
    <row r="49" spans="1:26" ht="23.25" customHeight="1" x14ac:dyDescent="0.2">
      <c r="A49" s="215" t="s">
        <v>193</v>
      </c>
      <c r="B49" s="72" t="s">
        <v>194</v>
      </c>
      <c r="C49" s="185">
        <f>SUMPRODUCT(-('Diário 5º PA'!$E$5:$E$2634='Analítico Cx.'!$B49),-('Diário 5º PA'!$P$5:$P$2634=C$1),('Diário 5º PA'!$F$5:$F$2634))+
SUMPRODUCT(-('Diário 6º PA'!$E$5:$E$2246='Analítico Cx.'!$B49),-('Diário 6º PA'!$P$5:$P$2246=C$1),('Diário 6º PA'!$F$5:$F$2246))+
SUMPRODUCT(-('Diário 7º PA'!$E$5:$E$2271='Analítico Cx.'!$B49),-('Diário 7º PA'!$P$5:$P$2271=C$1),('Diário 7º PA'!$F$5:$F$2271))+
SUMPRODUCT(-('Diário 8º PA'!$E$5:$E$2488='Analítico Cx.'!$B49),-('Diário 8º PA'!$P$5:$P$2488=C$1),('Diário 8º PA'!$F$5:$F$2488))</f>
        <v>7257.0499999999993</v>
      </c>
      <c r="D49" s="185">
        <f>SUMPRODUCT(-('Diário 5º PA'!$E$5:$E$2634='Analítico Cx.'!$B49),-('Diário 5º PA'!$P$5:$P$2634=D$1),('Diário 5º PA'!$F$5:$F$2634))+
SUMPRODUCT(-('Diário 6º PA'!$E$5:$E$2246='Analítico Cx.'!$B49),-('Diário 6º PA'!$P$5:$P$2246=D$1),('Diário 6º PA'!$F$5:$F$2246))+
SUMPRODUCT(-('Diário 7º PA'!$E$5:$E$2271='Analítico Cx.'!$B49),-('Diário 7º PA'!$P$5:$P$2271=D$1),('Diário 7º PA'!$F$5:$F$2271))+
SUMPRODUCT(-('Diário 8º PA'!$E$5:$E$2488='Analítico Cx.'!$B49),-('Diário 8º PA'!$P$5:$P$2488=D$1),('Diário 8º PA'!$F$5:$F$2488))</f>
        <v>6371.25</v>
      </c>
      <c r="E49" s="185">
        <f>SUMPRODUCT(-('Diário 5º PA'!$E$5:$E$2634='Analítico Cx.'!$B49),-('Diário 5º PA'!$P$5:$P$2634=E$1),('Diário 5º PA'!$F$5:$F$2634))+
SUMPRODUCT(-('Diário 6º PA'!$E$5:$E$2246='Analítico Cx.'!$B49),-('Diário 6º PA'!$P$5:$P$2246=E$1),('Diário 6º PA'!$F$5:$F$2246))+
SUMPRODUCT(-('Diário 7º PA'!$E$5:$E$2271='Analítico Cx.'!$B49),-('Diário 7º PA'!$P$5:$P$2271=E$1),('Diário 7º PA'!$F$5:$F$2271))+
SUMPRODUCT(-('Diário 8º PA'!$E$5:$E$2488='Analítico Cx.'!$B49),-('Diário 8º PA'!$P$5:$P$2488=E$1),('Diário 8º PA'!$F$5:$F$2488))</f>
        <v>6476.59</v>
      </c>
      <c r="F49" s="185">
        <f>SUMPRODUCT(-('Diário 5º PA'!$E$5:$E$2634='Analítico Cx.'!$B49),-('Diário 5º PA'!$P$5:$P$2634=F$1),('Diário 5º PA'!$F$5:$F$2634))+
SUMPRODUCT(-('Diário 6º PA'!$E$5:$E$2246='Analítico Cx.'!$B49),-('Diário 6º PA'!$P$5:$P$2246=F$1),('Diário 6º PA'!$F$5:$F$2246))+
SUMPRODUCT(-('Diário 7º PA'!$E$5:$E$2271='Analítico Cx.'!$B49),-('Diário 7º PA'!$P$5:$P$2271=F$1),('Diário 7º PA'!$F$5:$F$2271))+
SUMPRODUCT(-('Diário 8º PA'!$E$5:$E$2488='Analítico Cx.'!$B49),-('Diário 8º PA'!$P$5:$P$2488=F$1),('Diário 8º PA'!$F$5:$F$2488))</f>
        <v>7711.42</v>
      </c>
      <c r="G49" s="185">
        <f>SUMPRODUCT(-('Diário 5º PA'!$E$5:$E$2634='Analítico Cx.'!$B49),-('Diário 5º PA'!$P$5:$P$2634=G$1),('Diário 5º PA'!$F$5:$F$2634))+
SUMPRODUCT(-('Diário 6º PA'!$E$5:$E$2246='Analítico Cx.'!$B49),-('Diário 6º PA'!$P$5:$P$2246=G$1),('Diário 6º PA'!$F$5:$F$2246))+
SUMPRODUCT(-('Diário 7º PA'!$E$5:$E$2271='Analítico Cx.'!$B49),-('Diário 7º PA'!$P$5:$P$2271=G$1),('Diário 7º PA'!$F$5:$F$2271))+
SUMPRODUCT(-('Diário 8º PA'!$E$5:$E$2488='Analítico Cx.'!$B49),-('Diário 8º PA'!$P$5:$P$2488=G$1),('Diário 8º PA'!$F$5:$F$2488))</f>
        <v>6634</v>
      </c>
      <c r="H49" s="185">
        <f>SUMPRODUCT(-('Diário 5º PA'!$E$5:$E$2634='Analítico Cx.'!$B49),-('Diário 5º PA'!$P$5:$P$2634=H$1),('Diário 5º PA'!$F$5:$F$2634))+
SUMPRODUCT(-('Diário 6º PA'!$E$5:$E$2246='Analítico Cx.'!$B49),-('Diário 6º PA'!$P$5:$P$2246=H$1),('Diário 6º PA'!$F$5:$F$2246))+
SUMPRODUCT(-('Diário 7º PA'!$E$5:$E$2271='Analítico Cx.'!$B49),-('Diário 7º PA'!$P$5:$P$2271=H$1),('Diário 7º PA'!$F$5:$F$2271))+
SUMPRODUCT(-('Diário 8º PA'!$E$5:$E$2488='Analítico Cx.'!$B49),-('Diário 8º PA'!$P$5:$P$2488=H$1),('Diário 8º PA'!$F$5:$F$2488))</f>
        <v>7569.56</v>
      </c>
      <c r="I49" s="185">
        <f>SUMPRODUCT(-('Diário 5º PA'!$E$5:$E$2634='Analítico Cx.'!$B49),-('Diário 5º PA'!$P$5:$P$2634=I$1),('Diário 5º PA'!$F$5:$F$2634))+
SUMPRODUCT(-('Diário 6º PA'!$E$5:$E$2246='Analítico Cx.'!$B49),-('Diário 6º PA'!$P$5:$P$2246=I$1),('Diário 6º PA'!$F$5:$F$2246))+
SUMPRODUCT(-('Diário 7º PA'!$E$5:$E$2271='Analítico Cx.'!$B49),-('Diário 7º PA'!$P$5:$P$2271=I$1),('Diário 7º PA'!$F$5:$F$2271))+
SUMPRODUCT(-('Diário 8º PA'!$E$5:$E$2488='Analítico Cx.'!$B49),-('Diário 8º PA'!$P$5:$P$2488=I$1),('Diário 8º PA'!$F$5:$F$2488))</f>
        <v>23196.27</v>
      </c>
      <c r="J49" s="185">
        <f>SUMPRODUCT(-('Diário 5º PA'!$E$5:$E$2634='Analítico Cx.'!$B49),-('Diário 5º PA'!$P$5:$P$2634=J$1),('Diário 5º PA'!$F$5:$F$2634))+
SUMPRODUCT(-('Diário 6º PA'!$E$5:$E$2246='Analítico Cx.'!$B49),-('Diário 6º PA'!$P$5:$P$2246=J$1),('Diário 6º PA'!$F$5:$F$2246))+
SUMPRODUCT(-('Diário 7º PA'!$E$5:$E$2271='Analítico Cx.'!$B49),-('Diário 7º PA'!$P$5:$P$2271=J$1),('Diário 7º PA'!$F$5:$F$2271))+
SUMPRODUCT(-('Diário 8º PA'!$E$5:$E$2488='Analítico Cx.'!$B49),-('Diário 8º PA'!$P$5:$P$2488=J$1),('Diário 8º PA'!$F$5:$F$2488))</f>
        <v>27538.190000000002</v>
      </c>
      <c r="K49" s="185">
        <f>SUMPRODUCT(-('Diário 5º PA'!$E$5:$E$2634='Analítico Cx.'!$B49),-('Diário 5º PA'!$P$5:$P$2634=K$1),('Diário 5º PA'!$F$5:$F$2634))+
SUMPRODUCT(-('Diário 6º PA'!$E$5:$E$2246='Analítico Cx.'!$B49),-('Diário 6º PA'!$P$5:$P$2246=K$1),('Diário 6º PA'!$F$5:$F$2246))+
SUMPRODUCT(-('Diário 7º PA'!$E$5:$E$2271='Analítico Cx.'!$B49),-('Diário 7º PA'!$P$5:$P$2271=K$1),('Diário 7º PA'!$F$5:$F$2271))+
SUMPRODUCT(-('Diário 8º PA'!$E$5:$E$2488='Analítico Cx.'!$B49),-('Diário 8º PA'!$P$5:$P$2488=K$1),('Diário 8º PA'!$F$5:$F$2488))</f>
        <v>21016.13</v>
      </c>
      <c r="L49" s="185">
        <f>SUMPRODUCT(-('Diário 5º PA'!$E$5:$E$2634='Analítico Cx.'!$B49),-('Diário 5º PA'!$P$5:$P$2634=L$1),('Diário 5º PA'!$F$5:$F$2634))+
SUMPRODUCT(-('Diário 6º PA'!$E$5:$E$2246='Analítico Cx.'!$B49),-('Diário 6º PA'!$P$5:$P$2246=L$1),('Diário 6º PA'!$F$5:$F$2246))+
SUMPRODUCT(-('Diário 7º PA'!$E$5:$E$2271='Analítico Cx.'!$B49),-('Diário 7º PA'!$P$5:$P$2271=L$1),('Diário 7º PA'!$F$5:$F$2271))+
SUMPRODUCT(-('Diário 8º PA'!$E$5:$E$2488='Analítico Cx.'!$B49),-('Diário 8º PA'!$P$5:$P$2488=L$1),('Diário 8º PA'!$F$5:$F$2488))</f>
        <v>30174.989999999998</v>
      </c>
      <c r="M49" s="185">
        <f>SUMPRODUCT(-('Diário 5º PA'!$E$5:$E$2634='Analítico Cx.'!$B49),-('Diário 5º PA'!$P$5:$P$2634=M$1),('Diário 5º PA'!$F$5:$F$2634))+
SUMPRODUCT(-('Diário 6º PA'!$E$5:$E$2246='Analítico Cx.'!$B49),-('Diário 6º PA'!$P$5:$P$2246=M$1),('Diário 6º PA'!$F$5:$F$2246))+
SUMPRODUCT(-('Diário 7º PA'!$E$5:$E$2271='Analítico Cx.'!$B49),-('Diário 7º PA'!$P$5:$P$2271=M$1),('Diário 7º PA'!$F$5:$F$2271))+
SUMPRODUCT(-('Diário 8º PA'!$E$5:$E$2488='Analítico Cx.'!$B49),-('Diário 8º PA'!$P$5:$P$2488=M$1),('Diário 8º PA'!$F$5:$F$2488))</f>
        <v>31686.09</v>
      </c>
      <c r="N49" s="185">
        <f>SUMPRODUCT(-('Diário 5º PA'!$E$5:$E$2634='Analítico Cx.'!$B49),-('Diário 5º PA'!$P$5:$P$2634=N$1),('Diário 5º PA'!$F$5:$F$2634))+
SUMPRODUCT(-('Diário 6º PA'!$E$5:$E$2246='Analítico Cx.'!$B49),-('Diário 6º PA'!$P$5:$P$2246=N$1),('Diário 6º PA'!$F$5:$F$2246))+
SUMPRODUCT(-('Diário 7º PA'!$E$5:$E$2271='Analítico Cx.'!$B49),-('Diário 7º PA'!$P$5:$P$2271=N$1),('Diário 7º PA'!$F$5:$F$2271))+
SUMPRODUCT(-('Diário 8º PA'!$E$5:$E$2488='Analítico Cx.'!$B49),-('Diário 8º PA'!$P$5:$P$2488=N$1),('Diário 8º PA'!$F$5:$F$2488))</f>
        <v>26601.21</v>
      </c>
      <c r="O49" s="186">
        <f t="shared" si="13"/>
        <v>202232.75</v>
      </c>
      <c r="P49" s="187">
        <f t="shared" si="11"/>
        <v>2.1457137458595583E-2</v>
      </c>
      <c r="Q49" s="34"/>
      <c r="R49" s="34"/>
      <c r="S49" s="34"/>
      <c r="T49" s="34"/>
      <c r="U49" s="34"/>
      <c r="V49" s="34"/>
      <c r="W49" s="34"/>
      <c r="X49" s="34"/>
      <c r="Y49" s="34"/>
      <c r="Z49" s="34"/>
    </row>
    <row r="50" spans="1:26" ht="23.25" customHeight="1" x14ac:dyDescent="0.2">
      <c r="A50" s="215" t="s">
        <v>195</v>
      </c>
      <c r="B50" s="72" t="s">
        <v>196</v>
      </c>
      <c r="C50" s="185">
        <f>SUMPRODUCT(-('Diário 5º PA'!$E$5:$E$2634='Analítico Cx.'!$B50),-('Diário 5º PA'!$P$5:$P$2634=C$1),('Diário 5º PA'!$F$5:$F$2634))+
SUMPRODUCT(-('Diário 6º PA'!$E$5:$E$2246='Analítico Cx.'!$B50),-('Diário 6º PA'!$P$5:$P$2246=C$1),('Diário 6º PA'!$F$5:$F$2246))+
SUMPRODUCT(-('Diário 7º PA'!$E$5:$E$2271='Analítico Cx.'!$B50),-('Diário 7º PA'!$P$5:$P$2271=C$1),('Diário 7º PA'!$F$5:$F$2271))+
SUMPRODUCT(-('Diário 8º PA'!$E$5:$E$2488='Analítico Cx.'!$B50),-('Diário 8º PA'!$P$5:$P$2488=C$1),('Diário 8º PA'!$F$5:$F$2488))</f>
        <v>6193.88</v>
      </c>
      <c r="D50" s="185">
        <f>SUMPRODUCT(-('Diário 5º PA'!$E$5:$E$2634='Analítico Cx.'!$B50),-('Diário 5º PA'!$P$5:$P$2634=D$1),('Diário 5º PA'!$F$5:$F$2634))+
SUMPRODUCT(-('Diário 6º PA'!$E$5:$E$2246='Analítico Cx.'!$B50),-('Diário 6º PA'!$P$5:$P$2246=D$1),('Diário 6º PA'!$F$5:$F$2246))+
SUMPRODUCT(-('Diário 7º PA'!$E$5:$E$2271='Analítico Cx.'!$B50),-('Diário 7º PA'!$P$5:$P$2271=D$1),('Diário 7º PA'!$F$5:$F$2271))+
SUMPRODUCT(-('Diário 8º PA'!$E$5:$E$2488='Analítico Cx.'!$B50),-('Diário 8º PA'!$P$5:$P$2488=D$1),('Diário 8º PA'!$F$5:$F$2488))</f>
        <v>7129.62</v>
      </c>
      <c r="E50" s="185">
        <f>SUMPRODUCT(-('Diário 5º PA'!$E$5:$E$2634='Analítico Cx.'!$B50),-('Diário 5º PA'!$P$5:$P$2634=E$1),('Diário 5º PA'!$F$5:$F$2634))+
SUMPRODUCT(-('Diário 6º PA'!$E$5:$E$2246='Analítico Cx.'!$B50),-('Diário 6º PA'!$P$5:$P$2246=E$1),('Diário 6º PA'!$F$5:$F$2246))+
SUMPRODUCT(-('Diário 7º PA'!$E$5:$E$2271='Analítico Cx.'!$B50),-('Diário 7º PA'!$P$5:$P$2271=E$1),('Diário 7º PA'!$F$5:$F$2271))+
SUMPRODUCT(-('Diário 8º PA'!$E$5:$E$2488='Analítico Cx.'!$B50),-('Diário 8º PA'!$P$5:$P$2488=E$1),('Diário 8º PA'!$F$5:$F$2488))</f>
        <v>6577.619999999999</v>
      </c>
      <c r="F50" s="185">
        <f>SUMPRODUCT(-('Diário 5º PA'!$E$5:$E$2634='Analítico Cx.'!$B50),-('Diário 5º PA'!$P$5:$P$2634=F$1),('Diário 5º PA'!$F$5:$F$2634))+
SUMPRODUCT(-('Diário 6º PA'!$E$5:$E$2246='Analítico Cx.'!$B50),-('Diário 6º PA'!$P$5:$P$2246=F$1),('Diário 6º PA'!$F$5:$F$2246))+
SUMPRODUCT(-('Diário 7º PA'!$E$5:$E$2271='Analítico Cx.'!$B50),-('Diário 7º PA'!$P$5:$P$2271=F$1),('Diário 7º PA'!$F$5:$F$2271))+
SUMPRODUCT(-('Diário 8º PA'!$E$5:$E$2488='Analítico Cx.'!$B50),-('Diário 8º PA'!$P$5:$P$2488=F$1),('Diário 8º PA'!$F$5:$F$2488))</f>
        <v>6639.8799999999992</v>
      </c>
      <c r="G50" s="185">
        <f>SUMPRODUCT(-('Diário 5º PA'!$E$5:$E$2634='Analítico Cx.'!$B50),-('Diário 5º PA'!$P$5:$P$2634=G$1),('Diário 5º PA'!$F$5:$F$2634))+
SUMPRODUCT(-('Diário 6º PA'!$E$5:$E$2246='Analítico Cx.'!$B50),-('Diário 6º PA'!$P$5:$P$2246=G$1),('Diário 6º PA'!$F$5:$F$2246))+
SUMPRODUCT(-('Diário 7º PA'!$E$5:$E$2271='Analítico Cx.'!$B50),-('Diário 7º PA'!$P$5:$P$2271=G$1),('Diário 7º PA'!$F$5:$F$2271))+
SUMPRODUCT(-('Diário 8º PA'!$E$5:$E$2488='Analítico Cx.'!$B50),-('Diário 8º PA'!$P$5:$P$2488=G$1),('Diário 8º PA'!$F$5:$F$2488))</f>
        <v>7047.6799999999985</v>
      </c>
      <c r="H50" s="185">
        <f>SUMPRODUCT(-('Diário 5º PA'!$E$5:$E$2634='Analítico Cx.'!$B50),-('Diário 5º PA'!$P$5:$P$2634=H$1),('Diário 5º PA'!$F$5:$F$2634))+
SUMPRODUCT(-('Diário 6º PA'!$E$5:$E$2246='Analítico Cx.'!$B50),-('Diário 6º PA'!$P$5:$P$2246=H$1),('Diário 6º PA'!$F$5:$F$2246))+
SUMPRODUCT(-('Diário 7º PA'!$E$5:$E$2271='Analítico Cx.'!$B50),-('Diário 7º PA'!$P$5:$P$2271=H$1),('Diário 7º PA'!$F$5:$F$2271))+
SUMPRODUCT(-('Diário 8º PA'!$E$5:$E$2488='Analítico Cx.'!$B50),-('Diário 8º PA'!$P$5:$P$2488=H$1),('Diário 8º PA'!$F$5:$F$2488))</f>
        <v>6876.8600000000006</v>
      </c>
      <c r="I50" s="185">
        <f>SUMPRODUCT(-('Diário 5º PA'!$E$5:$E$2634='Analítico Cx.'!$B50),-('Diário 5º PA'!$P$5:$P$2634=I$1),('Diário 5º PA'!$F$5:$F$2634))+
SUMPRODUCT(-('Diário 6º PA'!$E$5:$E$2246='Analítico Cx.'!$B50),-('Diário 6º PA'!$P$5:$P$2246=I$1),('Diário 6º PA'!$F$5:$F$2246))+
SUMPRODUCT(-('Diário 7º PA'!$E$5:$E$2271='Analítico Cx.'!$B50),-('Diário 7º PA'!$P$5:$P$2271=I$1),('Diário 7º PA'!$F$5:$F$2271))+
SUMPRODUCT(-('Diário 8º PA'!$E$5:$E$2488='Analítico Cx.'!$B50),-('Diário 8º PA'!$P$5:$P$2488=I$1),('Diário 8º PA'!$F$5:$F$2488))</f>
        <v>6876.8600000000006</v>
      </c>
      <c r="J50" s="185">
        <f>SUMPRODUCT(-('Diário 5º PA'!$E$5:$E$2634='Analítico Cx.'!$B50),-('Diário 5º PA'!$P$5:$P$2634=J$1),('Diário 5º PA'!$F$5:$F$2634))+
SUMPRODUCT(-('Diário 6º PA'!$E$5:$E$2246='Analítico Cx.'!$B50),-('Diário 6º PA'!$P$5:$P$2246=J$1),('Diário 6º PA'!$F$5:$F$2246))+
SUMPRODUCT(-('Diário 7º PA'!$E$5:$E$2271='Analítico Cx.'!$B50),-('Diário 7º PA'!$P$5:$P$2271=J$1),('Diário 7º PA'!$F$5:$F$2271))+
SUMPRODUCT(-('Diário 8º PA'!$E$5:$E$2488='Analítico Cx.'!$B50),-('Diário 8º PA'!$P$5:$P$2488=J$1),('Diário 8º PA'!$F$5:$F$2488))</f>
        <v>5289.47</v>
      </c>
      <c r="K50" s="185">
        <f>SUMPRODUCT(-('Diário 5º PA'!$E$5:$E$2634='Analítico Cx.'!$B50),-('Diário 5º PA'!$P$5:$P$2634=K$1),('Diário 5º PA'!$F$5:$F$2634))+
SUMPRODUCT(-('Diário 6º PA'!$E$5:$E$2246='Analítico Cx.'!$B50),-('Diário 6º PA'!$P$5:$P$2246=K$1),('Diário 6º PA'!$F$5:$F$2246))+
SUMPRODUCT(-('Diário 7º PA'!$E$5:$E$2271='Analítico Cx.'!$B50),-('Diário 7º PA'!$P$5:$P$2271=K$1),('Diário 7º PA'!$F$5:$F$2271))+
SUMPRODUCT(-('Diário 8º PA'!$E$5:$E$2488='Analítico Cx.'!$B50),-('Diário 8º PA'!$P$5:$P$2488=K$1),('Diário 8º PA'!$F$5:$F$2488))</f>
        <v>18423.780000000002</v>
      </c>
      <c r="L50" s="185">
        <f>SUMPRODUCT(-('Diário 5º PA'!$E$5:$E$2634='Analítico Cx.'!$B50),-('Diário 5º PA'!$P$5:$P$2634=L$1),('Diário 5º PA'!$F$5:$F$2634))+
SUMPRODUCT(-('Diário 6º PA'!$E$5:$E$2246='Analítico Cx.'!$B50),-('Diário 6º PA'!$P$5:$P$2246=L$1),('Diário 6º PA'!$F$5:$F$2246))+
SUMPRODUCT(-('Diário 7º PA'!$E$5:$E$2271='Analítico Cx.'!$B50),-('Diário 7º PA'!$P$5:$P$2271=L$1),('Diário 7º PA'!$F$5:$F$2271))+
SUMPRODUCT(-('Diário 8º PA'!$E$5:$E$2488='Analítico Cx.'!$B50),-('Diário 8º PA'!$P$5:$P$2488=L$1),('Diário 8º PA'!$F$5:$F$2488))</f>
        <v>21324.989999999998</v>
      </c>
      <c r="M50" s="185">
        <f>SUMPRODUCT(-('Diário 5º PA'!$E$5:$E$2634='Analítico Cx.'!$B50),-('Diário 5º PA'!$P$5:$P$2634=M$1),('Diário 5º PA'!$F$5:$F$2634))+
SUMPRODUCT(-('Diário 6º PA'!$E$5:$E$2246='Analítico Cx.'!$B50),-('Diário 6º PA'!$P$5:$P$2246=M$1),('Diário 6º PA'!$F$5:$F$2246))+
SUMPRODUCT(-('Diário 7º PA'!$E$5:$E$2271='Analítico Cx.'!$B50),-('Diário 7º PA'!$P$5:$P$2271=M$1),('Diário 7º PA'!$F$5:$F$2271))+
SUMPRODUCT(-('Diário 8º PA'!$E$5:$E$2488='Analítico Cx.'!$B50),-('Diário 8º PA'!$P$5:$P$2488=M$1),('Diário 8º PA'!$F$5:$F$2488))</f>
        <v>18234.59</v>
      </c>
      <c r="N50" s="185">
        <f>SUMPRODUCT(-('Diário 5º PA'!$E$5:$E$2634='Analítico Cx.'!$B50),-('Diário 5º PA'!$P$5:$P$2634=N$1),('Diário 5º PA'!$F$5:$F$2634))+
SUMPRODUCT(-('Diário 6º PA'!$E$5:$E$2246='Analítico Cx.'!$B50),-('Diário 6º PA'!$P$5:$P$2246=N$1),('Diário 6º PA'!$F$5:$F$2246))+
SUMPRODUCT(-('Diário 7º PA'!$E$5:$E$2271='Analítico Cx.'!$B50),-('Diário 7º PA'!$P$5:$P$2271=N$1),('Diário 7º PA'!$F$5:$F$2271))+
SUMPRODUCT(-('Diário 8º PA'!$E$5:$E$2488='Analítico Cx.'!$B50),-('Diário 8º PA'!$P$5:$P$2488=N$1),('Diário 8º PA'!$F$5:$F$2488))</f>
        <v>24085.91</v>
      </c>
      <c r="O50" s="186">
        <f t="shared" si="13"/>
        <v>134701.14000000001</v>
      </c>
      <c r="P50" s="187">
        <f t="shared" si="11"/>
        <v>1.4291952598229159E-2</v>
      </c>
      <c r="Q50" s="34"/>
      <c r="R50" s="34"/>
      <c r="S50" s="34"/>
      <c r="T50" s="34"/>
      <c r="U50" s="34"/>
      <c r="V50" s="34"/>
      <c r="W50" s="34"/>
      <c r="X50" s="34"/>
      <c r="Y50" s="34"/>
      <c r="Z50" s="34"/>
    </row>
    <row r="51" spans="1:26" ht="23.25" customHeight="1" x14ac:dyDescent="0.2">
      <c r="A51" s="215" t="s">
        <v>197</v>
      </c>
      <c r="B51" s="72" t="s">
        <v>198</v>
      </c>
      <c r="C51" s="185">
        <f>SUMPRODUCT(-('Diário 5º PA'!$E$5:$E$2634='Analítico Cx.'!$B51),-('Diário 5º PA'!$P$5:$P$2634=C$1),('Diário 5º PA'!$F$5:$F$2634))+
SUMPRODUCT(-('Diário 6º PA'!$E$5:$E$2246='Analítico Cx.'!$B51),-('Diário 6º PA'!$P$5:$P$2246=C$1),('Diário 6º PA'!$F$5:$F$2246))+
SUMPRODUCT(-('Diário 7º PA'!$E$5:$E$2271='Analítico Cx.'!$B51),-('Diário 7º PA'!$P$5:$P$2271=C$1),('Diário 7º PA'!$F$5:$F$2271))+
SUMPRODUCT(-('Diário 8º PA'!$E$5:$E$2488='Analítico Cx.'!$B51),-('Diário 8º PA'!$P$5:$P$2488=C$1),('Diário 8º PA'!$F$5:$F$2488))</f>
        <v>343.51</v>
      </c>
      <c r="D51" s="185">
        <f>SUMPRODUCT(-('Diário 5º PA'!$E$5:$E$2634='Analítico Cx.'!$B51),-('Diário 5º PA'!$P$5:$P$2634=D$1),('Diário 5º PA'!$F$5:$F$2634))+
SUMPRODUCT(-('Diário 6º PA'!$E$5:$E$2246='Analítico Cx.'!$B51),-('Diário 6º PA'!$P$5:$P$2246=D$1),('Diário 6º PA'!$F$5:$F$2246))+
SUMPRODUCT(-('Diário 7º PA'!$E$5:$E$2271='Analítico Cx.'!$B51),-('Diário 7º PA'!$P$5:$P$2271=D$1),('Diário 7º PA'!$F$5:$F$2271))+
SUMPRODUCT(-('Diário 8º PA'!$E$5:$E$2488='Analítico Cx.'!$B51),-('Diário 8º PA'!$P$5:$P$2488=D$1),('Diário 8º PA'!$F$5:$F$2488))</f>
        <v>343.51</v>
      </c>
      <c r="E51" s="185">
        <f>SUMPRODUCT(-('Diário 5º PA'!$E$5:$E$2634='Analítico Cx.'!$B51),-('Diário 5º PA'!$P$5:$P$2634=E$1),('Diário 5º PA'!$F$5:$F$2634))+
SUMPRODUCT(-('Diário 6º PA'!$E$5:$E$2246='Analítico Cx.'!$B51),-('Diário 6º PA'!$P$5:$P$2246=E$1),('Diário 6º PA'!$F$5:$F$2246))+
SUMPRODUCT(-('Diário 7º PA'!$E$5:$E$2271='Analítico Cx.'!$B51),-('Diário 7º PA'!$P$5:$P$2271=E$1),('Diário 7º PA'!$F$5:$F$2271))+
SUMPRODUCT(-('Diário 8º PA'!$E$5:$E$2488='Analítico Cx.'!$B51),-('Diário 8º PA'!$P$5:$P$2488=E$1),('Diário 8º PA'!$F$5:$F$2488))</f>
        <v>343.5</v>
      </c>
      <c r="F51" s="185">
        <f>SUMPRODUCT(-('Diário 5º PA'!$E$5:$E$2634='Analítico Cx.'!$B51),-('Diário 5º PA'!$P$5:$P$2634=F$1),('Diário 5º PA'!$F$5:$F$2634))+
SUMPRODUCT(-('Diário 6º PA'!$E$5:$E$2246='Analítico Cx.'!$B51),-('Diário 6º PA'!$P$5:$P$2246=F$1),('Diário 6º PA'!$F$5:$F$2246))+
SUMPRODUCT(-('Diário 7º PA'!$E$5:$E$2271='Analítico Cx.'!$B51),-('Diário 7º PA'!$P$5:$P$2271=F$1),('Diário 7º PA'!$F$5:$F$2271))+
SUMPRODUCT(-('Diário 8º PA'!$E$5:$E$2488='Analítico Cx.'!$B51),-('Diário 8º PA'!$P$5:$P$2488=F$1),('Diário 8º PA'!$F$5:$F$2488))</f>
        <v>343.5</v>
      </c>
      <c r="G51" s="185">
        <f>SUMPRODUCT(-('Diário 5º PA'!$E$5:$E$2634='Analítico Cx.'!$B51),-('Diário 5º PA'!$P$5:$P$2634=G$1),('Diário 5º PA'!$F$5:$F$2634))+
SUMPRODUCT(-('Diário 6º PA'!$E$5:$E$2246='Analítico Cx.'!$B51),-('Diário 6º PA'!$P$5:$P$2246=G$1),('Diário 6º PA'!$F$5:$F$2246))+
SUMPRODUCT(-('Diário 7º PA'!$E$5:$E$2271='Analítico Cx.'!$B51),-('Diário 7º PA'!$P$5:$P$2271=G$1),('Diário 7º PA'!$F$5:$F$2271))+
SUMPRODUCT(-('Diário 8º PA'!$E$5:$E$2488='Analítico Cx.'!$B51),-('Diário 8º PA'!$P$5:$P$2488=G$1),('Diário 8º PA'!$F$5:$F$2488))</f>
        <v>343.5</v>
      </c>
      <c r="H51" s="185">
        <f>SUMPRODUCT(-('Diário 5º PA'!$E$5:$E$2634='Analítico Cx.'!$B51),-('Diário 5º PA'!$P$5:$P$2634=H$1),('Diário 5º PA'!$F$5:$F$2634))+
SUMPRODUCT(-('Diário 6º PA'!$E$5:$E$2246='Analítico Cx.'!$B51),-('Diário 6º PA'!$P$5:$P$2246=H$1),('Diário 6º PA'!$F$5:$F$2246))+
SUMPRODUCT(-('Diário 7º PA'!$E$5:$E$2271='Analítico Cx.'!$B51),-('Diário 7º PA'!$P$5:$P$2271=H$1),('Diário 7º PA'!$F$5:$F$2271))+
SUMPRODUCT(-('Diário 8º PA'!$E$5:$E$2488='Analítico Cx.'!$B51),-('Diário 8º PA'!$P$5:$P$2488=H$1),('Diário 8º PA'!$F$5:$F$2488))</f>
        <v>343.5</v>
      </c>
      <c r="I51" s="185">
        <f>SUMPRODUCT(-('Diário 5º PA'!$E$5:$E$2634='Analítico Cx.'!$B51),-('Diário 5º PA'!$P$5:$P$2634=I$1),('Diário 5º PA'!$F$5:$F$2634))+
SUMPRODUCT(-('Diário 6º PA'!$E$5:$E$2246='Analítico Cx.'!$B51),-('Diário 6º PA'!$P$5:$P$2246=I$1),('Diário 6º PA'!$F$5:$F$2246))+
SUMPRODUCT(-('Diário 7º PA'!$E$5:$E$2271='Analítico Cx.'!$B51),-('Diário 7º PA'!$P$5:$P$2271=I$1),('Diário 7º PA'!$F$5:$F$2271))+
SUMPRODUCT(-('Diário 8º PA'!$E$5:$E$2488='Analítico Cx.'!$B51),-('Diário 8º PA'!$P$5:$P$2488=I$1),('Diário 8º PA'!$F$5:$F$2488))</f>
        <v>343.5</v>
      </c>
      <c r="J51" s="185">
        <f>SUMPRODUCT(-('Diário 5º PA'!$E$5:$E$2634='Analítico Cx.'!$B51),-('Diário 5º PA'!$P$5:$P$2634=J$1),('Diário 5º PA'!$F$5:$F$2634))+
SUMPRODUCT(-('Diário 6º PA'!$E$5:$E$2246='Analítico Cx.'!$B51),-('Diário 6º PA'!$P$5:$P$2246=J$1),('Diário 6º PA'!$F$5:$F$2246))+
SUMPRODUCT(-('Diário 7º PA'!$E$5:$E$2271='Analítico Cx.'!$B51),-('Diário 7º PA'!$P$5:$P$2271=J$1),('Diário 7º PA'!$F$5:$F$2271))+
SUMPRODUCT(-('Diário 8º PA'!$E$5:$E$2488='Analítico Cx.'!$B51),-('Diário 8º PA'!$P$5:$P$2488=J$1),('Diário 8º PA'!$F$5:$F$2488))</f>
        <v>759.04</v>
      </c>
      <c r="K51" s="185">
        <f>SUMPRODUCT(-('Diário 5º PA'!$E$5:$E$2634='Analítico Cx.'!$B51),-('Diário 5º PA'!$P$5:$P$2634=K$1),('Diário 5º PA'!$F$5:$F$2634))+
SUMPRODUCT(-('Diário 6º PA'!$E$5:$E$2246='Analítico Cx.'!$B51),-('Diário 6º PA'!$P$5:$P$2246=K$1),('Diário 6º PA'!$F$5:$F$2246))+
SUMPRODUCT(-('Diário 7º PA'!$E$5:$E$2271='Analítico Cx.'!$B51),-('Diário 7º PA'!$P$5:$P$2271=K$1),('Diário 7º PA'!$F$5:$F$2271))+
SUMPRODUCT(-('Diário 8º PA'!$E$5:$E$2488='Analítico Cx.'!$B51),-('Diário 8º PA'!$P$5:$P$2488=K$1),('Diário 8º PA'!$F$5:$F$2488))</f>
        <v>1136.8</v>
      </c>
      <c r="L51" s="185">
        <f>SUMPRODUCT(-('Diário 5º PA'!$E$5:$E$2634='Analítico Cx.'!$B51),-('Diário 5º PA'!$P$5:$P$2634=L$1),('Diário 5º PA'!$F$5:$F$2634))+
SUMPRODUCT(-('Diário 6º PA'!$E$5:$E$2246='Analítico Cx.'!$B51),-('Diário 6º PA'!$P$5:$P$2246=L$1),('Diário 6º PA'!$F$5:$F$2246))+
SUMPRODUCT(-('Diário 7º PA'!$E$5:$E$2271='Analítico Cx.'!$B51),-('Diário 7º PA'!$P$5:$P$2271=L$1),('Diário 7º PA'!$F$5:$F$2271))+
SUMPRODUCT(-('Diário 8º PA'!$E$5:$E$2488='Analítico Cx.'!$B51),-('Diário 8º PA'!$P$5:$P$2488=L$1),('Diário 8º PA'!$F$5:$F$2488))</f>
        <v>1159.99</v>
      </c>
      <c r="M51" s="185">
        <f>SUMPRODUCT(-('Diário 5º PA'!$E$5:$E$2634='Analítico Cx.'!$B51),-('Diário 5º PA'!$P$5:$P$2634=M$1),('Diário 5º PA'!$F$5:$F$2634))+
SUMPRODUCT(-('Diário 6º PA'!$E$5:$E$2246='Analítico Cx.'!$B51),-('Diário 6º PA'!$P$5:$P$2246=M$1),('Diário 6º PA'!$F$5:$F$2246))+
SUMPRODUCT(-('Diário 7º PA'!$E$5:$E$2271='Analítico Cx.'!$B51),-('Diário 7º PA'!$P$5:$P$2271=M$1),('Diário 7º PA'!$F$5:$F$2271))+
SUMPRODUCT(-('Diário 8º PA'!$E$5:$E$2488='Analítico Cx.'!$B51),-('Diário 8º PA'!$P$5:$P$2488=M$1),('Diário 8º PA'!$F$5:$F$2488))</f>
        <v>1391.99</v>
      </c>
      <c r="N51" s="185">
        <f>SUMPRODUCT(-('Diário 5º PA'!$E$5:$E$2634='Analítico Cx.'!$B51),-('Diário 5º PA'!$P$5:$P$2634=N$1),('Diário 5º PA'!$F$5:$F$2634))+
SUMPRODUCT(-('Diário 6º PA'!$E$5:$E$2246='Analítico Cx.'!$B51),-('Diário 6º PA'!$P$5:$P$2246=N$1),('Diário 6º PA'!$F$5:$F$2246))+
SUMPRODUCT(-('Diário 7º PA'!$E$5:$E$2271='Analítico Cx.'!$B51),-('Diário 7º PA'!$P$5:$P$2271=N$1),('Diário 7º PA'!$F$5:$F$2271))+
SUMPRODUCT(-('Diário 8º PA'!$E$5:$E$2488='Analítico Cx.'!$B51),-('Diário 8º PA'!$P$5:$P$2488=N$1),('Diário 8º PA'!$F$5:$F$2488))</f>
        <v>1368.79</v>
      </c>
      <c r="O51" s="186">
        <f t="shared" si="13"/>
        <v>8221.1299999999992</v>
      </c>
      <c r="P51" s="187">
        <f t="shared" si="11"/>
        <v>8.7227175853062317E-4</v>
      </c>
      <c r="Q51" s="34"/>
      <c r="R51" s="34"/>
      <c r="S51" s="34"/>
      <c r="T51" s="34"/>
      <c r="U51" s="34"/>
      <c r="V51" s="34"/>
      <c r="W51" s="34"/>
      <c r="X51" s="34"/>
      <c r="Y51" s="34"/>
      <c r="Z51" s="34"/>
    </row>
    <row r="52" spans="1:26" ht="23.25" customHeight="1" x14ac:dyDescent="0.2">
      <c r="A52" s="215" t="s">
        <v>199</v>
      </c>
      <c r="B52" s="72" t="s">
        <v>200</v>
      </c>
      <c r="C52" s="185">
        <f>SUMPRODUCT(-('Diário 5º PA'!$E$5:$E$2634='Analítico Cx.'!$B52),-('Diário 5º PA'!$P$5:$P$2634=C$1),('Diário 5º PA'!$F$5:$F$2634))+
SUMPRODUCT(-('Diário 6º PA'!$E$5:$E$2246='Analítico Cx.'!$B52),-('Diário 6º PA'!$P$5:$P$2246=C$1),('Diário 6º PA'!$F$5:$F$2246))+
SUMPRODUCT(-('Diário 7º PA'!$E$5:$E$2271='Analítico Cx.'!$B52),-('Diário 7º PA'!$P$5:$P$2271=C$1),('Diário 7º PA'!$F$5:$F$2271))+
SUMPRODUCT(-('Diário 8º PA'!$E$5:$E$2488='Analítico Cx.'!$B52),-('Diário 8º PA'!$P$5:$P$2488=C$1),('Diário 8º PA'!$F$5:$F$2488))</f>
        <v>0</v>
      </c>
      <c r="D52" s="185">
        <f>SUMPRODUCT(-('Diário 5º PA'!$E$5:$E$2634='Analítico Cx.'!$B52),-('Diário 5º PA'!$P$5:$P$2634=D$1),('Diário 5º PA'!$F$5:$F$2634))+
SUMPRODUCT(-('Diário 6º PA'!$E$5:$E$2246='Analítico Cx.'!$B52),-('Diário 6º PA'!$P$5:$P$2246=D$1),('Diário 6º PA'!$F$5:$F$2246))+
SUMPRODUCT(-('Diário 7º PA'!$E$5:$E$2271='Analítico Cx.'!$B52),-('Diário 7º PA'!$P$5:$P$2271=D$1),('Diário 7º PA'!$F$5:$F$2271))+
SUMPRODUCT(-('Diário 8º PA'!$E$5:$E$2488='Analítico Cx.'!$B52),-('Diário 8º PA'!$P$5:$P$2488=D$1),('Diário 8º PA'!$F$5:$F$2488))</f>
        <v>0</v>
      </c>
      <c r="E52" s="185">
        <f>SUMPRODUCT(-('Diário 5º PA'!$E$5:$E$2634='Analítico Cx.'!$B52),-('Diário 5º PA'!$P$5:$P$2634=E$1),('Diário 5º PA'!$F$5:$F$2634))+
SUMPRODUCT(-('Diário 6º PA'!$E$5:$E$2246='Analítico Cx.'!$B52),-('Diário 6º PA'!$P$5:$P$2246=E$1),('Diário 6º PA'!$F$5:$F$2246))+
SUMPRODUCT(-('Diário 7º PA'!$E$5:$E$2271='Analítico Cx.'!$B52),-('Diário 7º PA'!$P$5:$P$2271=E$1),('Diário 7º PA'!$F$5:$F$2271))+
SUMPRODUCT(-('Diário 8º PA'!$E$5:$E$2488='Analítico Cx.'!$B52),-('Diário 8º PA'!$P$5:$P$2488=E$1),('Diário 8º PA'!$F$5:$F$2488))</f>
        <v>0</v>
      </c>
      <c r="F52" s="185">
        <f>SUMPRODUCT(-('Diário 5º PA'!$E$5:$E$2634='Analítico Cx.'!$B52),-('Diário 5º PA'!$P$5:$P$2634=F$1),('Diário 5º PA'!$F$5:$F$2634))+
SUMPRODUCT(-('Diário 6º PA'!$E$5:$E$2246='Analítico Cx.'!$B52),-('Diário 6º PA'!$P$5:$P$2246=F$1),('Diário 6º PA'!$F$5:$F$2246))+
SUMPRODUCT(-('Diário 7º PA'!$E$5:$E$2271='Analítico Cx.'!$B52),-('Diário 7º PA'!$P$5:$P$2271=F$1),('Diário 7º PA'!$F$5:$F$2271))+
SUMPRODUCT(-('Diário 8º PA'!$E$5:$E$2488='Analítico Cx.'!$B52),-('Diário 8º PA'!$P$5:$P$2488=F$1),('Diário 8º PA'!$F$5:$F$2488))</f>
        <v>0</v>
      </c>
      <c r="G52" s="185">
        <f>SUMPRODUCT(-('Diário 5º PA'!$E$5:$E$2634='Analítico Cx.'!$B52),-('Diário 5º PA'!$P$5:$P$2634=G$1),('Diário 5º PA'!$F$5:$F$2634))+
SUMPRODUCT(-('Diário 6º PA'!$E$5:$E$2246='Analítico Cx.'!$B52),-('Diário 6º PA'!$P$5:$P$2246=G$1),('Diário 6º PA'!$F$5:$F$2246))+
SUMPRODUCT(-('Diário 7º PA'!$E$5:$E$2271='Analítico Cx.'!$B52),-('Diário 7º PA'!$P$5:$P$2271=G$1),('Diário 7º PA'!$F$5:$F$2271))+
SUMPRODUCT(-('Diário 8º PA'!$E$5:$E$2488='Analítico Cx.'!$B52),-('Diário 8º PA'!$P$5:$P$2488=G$1),('Diário 8º PA'!$F$5:$F$2488))</f>
        <v>0</v>
      </c>
      <c r="H52" s="185">
        <f>SUMPRODUCT(-('Diário 5º PA'!$E$5:$E$2634='Analítico Cx.'!$B52),-('Diário 5º PA'!$P$5:$P$2634=H$1),('Diário 5º PA'!$F$5:$F$2634))+
SUMPRODUCT(-('Diário 6º PA'!$E$5:$E$2246='Analítico Cx.'!$B52),-('Diário 6º PA'!$P$5:$P$2246=H$1),('Diário 6º PA'!$F$5:$F$2246))+
SUMPRODUCT(-('Diário 7º PA'!$E$5:$E$2271='Analítico Cx.'!$B52),-('Diário 7º PA'!$P$5:$P$2271=H$1),('Diário 7º PA'!$F$5:$F$2271))+
SUMPRODUCT(-('Diário 8º PA'!$E$5:$E$2488='Analítico Cx.'!$B52),-('Diário 8º PA'!$P$5:$P$2488=H$1),('Diário 8º PA'!$F$5:$F$2488))</f>
        <v>0</v>
      </c>
      <c r="I52" s="185">
        <f>SUMPRODUCT(-('Diário 5º PA'!$E$5:$E$2634='Analítico Cx.'!$B52),-('Diário 5º PA'!$P$5:$P$2634=I$1),('Diário 5º PA'!$F$5:$F$2634))+
SUMPRODUCT(-('Diário 6º PA'!$E$5:$E$2246='Analítico Cx.'!$B52),-('Diário 6º PA'!$P$5:$P$2246=I$1),('Diário 6º PA'!$F$5:$F$2246))+
SUMPRODUCT(-('Diário 7º PA'!$E$5:$E$2271='Analítico Cx.'!$B52),-('Diário 7º PA'!$P$5:$P$2271=I$1),('Diário 7º PA'!$F$5:$F$2271))+
SUMPRODUCT(-('Diário 8º PA'!$E$5:$E$2488='Analítico Cx.'!$B52),-('Diário 8º PA'!$P$5:$P$2488=I$1),('Diário 8º PA'!$F$5:$F$2488))</f>
        <v>0</v>
      </c>
      <c r="J52" s="185">
        <f>SUMPRODUCT(-('Diário 5º PA'!$E$5:$E$2634='Analítico Cx.'!$B52),-('Diário 5º PA'!$P$5:$P$2634=J$1),('Diário 5º PA'!$F$5:$F$2634))+
SUMPRODUCT(-('Diário 6º PA'!$E$5:$E$2246='Analítico Cx.'!$B52),-('Diário 6º PA'!$P$5:$P$2246=J$1),('Diário 6º PA'!$F$5:$F$2246))+
SUMPRODUCT(-('Diário 7º PA'!$E$5:$E$2271='Analítico Cx.'!$B52),-('Diário 7º PA'!$P$5:$P$2271=J$1),('Diário 7º PA'!$F$5:$F$2271))+
SUMPRODUCT(-('Diário 8º PA'!$E$5:$E$2488='Analítico Cx.'!$B52),-('Diário 8º PA'!$P$5:$P$2488=J$1),('Diário 8º PA'!$F$5:$F$2488))</f>
        <v>0</v>
      </c>
      <c r="K52" s="185">
        <f>SUMPRODUCT(-('Diário 5º PA'!$E$5:$E$2634='Analítico Cx.'!$B52),-('Diário 5º PA'!$P$5:$P$2634=K$1),('Diário 5º PA'!$F$5:$F$2634))+
SUMPRODUCT(-('Diário 6º PA'!$E$5:$E$2246='Analítico Cx.'!$B52),-('Diário 6º PA'!$P$5:$P$2246=K$1),('Diário 6º PA'!$F$5:$F$2246))+
SUMPRODUCT(-('Diário 7º PA'!$E$5:$E$2271='Analítico Cx.'!$B52),-('Diário 7º PA'!$P$5:$P$2271=K$1),('Diário 7º PA'!$F$5:$F$2271))+
SUMPRODUCT(-('Diário 8º PA'!$E$5:$E$2488='Analítico Cx.'!$B52),-('Diário 8º PA'!$P$5:$P$2488=K$1),('Diário 8º PA'!$F$5:$F$2488))</f>
        <v>0</v>
      </c>
      <c r="L52" s="185">
        <f>SUMPRODUCT(-('Diário 5º PA'!$E$5:$E$2634='Analítico Cx.'!$B52),-('Diário 5º PA'!$P$5:$P$2634=L$1),('Diário 5º PA'!$F$5:$F$2634))+
SUMPRODUCT(-('Diário 6º PA'!$E$5:$E$2246='Analítico Cx.'!$B52),-('Diário 6º PA'!$P$5:$P$2246=L$1),('Diário 6º PA'!$F$5:$F$2246))+
SUMPRODUCT(-('Diário 7º PA'!$E$5:$E$2271='Analítico Cx.'!$B52),-('Diário 7º PA'!$P$5:$P$2271=L$1),('Diário 7º PA'!$F$5:$F$2271))+
SUMPRODUCT(-('Diário 8º PA'!$E$5:$E$2488='Analítico Cx.'!$B52),-('Diário 8º PA'!$P$5:$P$2488=L$1),('Diário 8º PA'!$F$5:$F$2488))</f>
        <v>0</v>
      </c>
      <c r="M52" s="185">
        <f>SUMPRODUCT(-('Diário 5º PA'!$E$5:$E$2634='Analítico Cx.'!$B52),-('Diário 5º PA'!$P$5:$P$2634=M$1),('Diário 5º PA'!$F$5:$F$2634))+
SUMPRODUCT(-('Diário 6º PA'!$E$5:$E$2246='Analítico Cx.'!$B52),-('Diário 6º PA'!$P$5:$P$2246=M$1),('Diário 6º PA'!$F$5:$F$2246))+
SUMPRODUCT(-('Diário 7º PA'!$E$5:$E$2271='Analítico Cx.'!$B52),-('Diário 7º PA'!$P$5:$P$2271=M$1),('Diário 7º PA'!$F$5:$F$2271))+
SUMPRODUCT(-('Diário 8º PA'!$E$5:$E$2488='Analítico Cx.'!$B52),-('Diário 8º PA'!$P$5:$P$2488=M$1),('Diário 8º PA'!$F$5:$F$2488))</f>
        <v>0</v>
      </c>
      <c r="N52" s="185">
        <f>SUMPRODUCT(-('Diário 5º PA'!$E$5:$E$2634='Analítico Cx.'!$B52),-('Diário 5º PA'!$P$5:$P$2634=N$1),('Diário 5º PA'!$F$5:$F$2634))+
SUMPRODUCT(-('Diário 6º PA'!$E$5:$E$2246='Analítico Cx.'!$B52),-('Diário 6º PA'!$P$5:$P$2246=N$1),('Diário 6º PA'!$F$5:$F$2246))+
SUMPRODUCT(-('Diário 7º PA'!$E$5:$E$2271='Analítico Cx.'!$B52),-('Diário 7º PA'!$P$5:$P$2271=N$1),('Diário 7º PA'!$F$5:$F$2271))+
SUMPRODUCT(-('Diário 8º PA'!$E$5:$E$2488='Analítico Cx.'!$B52),-('Diário 8º PA'!$P$5:$P$2488=N$1),('Diário 8º PA'!$F$5:$F$2488))</f>
        <v>0</v>
      </c>
      <c r="O52" s="186">
        <f t="shared" si="13"/>
        <v>0</v>
      </c>
      <c r="P52" s="187">
        <f t="shared" si="11"/>
        <v>0</v>
      </c>
      <c r="Q52" s="34"/>
      <c r="R52" s="34"/>
      <c r="S52" s="34"/>
      <c r="T52" s="34"/>
      <c r="U52" s="34"/>
      <c r="V52" s="34"/>
      <c r="W52" s="34"/>
      <c r="X52" s="34"/>
      <c r="Y52" s="34"/>
      <c r="Z52" s="34"/>
    </row>
    <row r="53" spans="1:26" ht="23.25" customHeight="1" x14ac:dyDescent="0.2">
      <c r="A53" s="215" t="s">
        <v>201</v>
      </c>
      <c r="B53" s="72" t="s">
        <v>202</v>
      </c>
      <c r="C53" s="185">
        <f>SUMPRODUCT(-('Diário 5º PA'!$E$5:$E$2634='Analítico Cx.'!$B53),-('Diário 5º PA'!$P$5:$P$2634=C$1),('Diário 5º PA'!$F$5:$F$2634))+
SUMPRODUCT(-('Diário 6º PA'!$E$5:$E$2246='Analítico Cx.'!$B53),-('Diário 6º PA'!$P$5:$P$2246=C$1),('Diário 6º PA'!$F$5:$F$2246))+
SUMPRODUCT(-('Diário 7º PA'!$E$5:$E$2271='Analítico Cx.'!$B53),-('Diário 7º PA'!$P$5:$P$2271=C$1),('Diário 7º PA'!$F$5:$F$2271))+
SUMPRODUCT(-('Diário 8º PA'!$E$5:$E$2488='Analítico Cx.'!$B53),-('Diário 8º PA'!$P$5:$P$2488=C$1),('Diário 8º PA'!$F$5:$F$2488))</f>
        <v>0</v>
      </c>
      <c r="D53" s="185">
        <f>SUMPRODUCT(-('Diário 5º PA'!$E$5:$E$2634='Analítico Cx.'!$B53),-('Diário 5º PA'!$P$5:$P$2634=D$1),('Diário 5º PA'!$F$5:$F$2634))+
SUMPRODUCT(-('Diário 6º PA'!$E$5:$E$2246='Analítico Cx.'!$B53),-('Diário 6º PA'!$P$5:$P$2246=D$1),('Diário 6º PA'!$F$5:$F$2246))+
SUMPRODUCT(-('Diário 7º PA'!$E$5:$E$2271='Analítico Cx.'!$B53),-('Diário 7º PA'!$P$5:$P$2271=D$1),('Diário 7º PA'!$F$5:$F$2271))+
SUMPRODUCT(-('Diário 8º PA'!$E$5:$E$2488='Analítico Cx.'!$B53),-('Diário 8º PA'!$P$5:$P$2488=D$1),('Diário 8º PA'!$F$5:$F$2488))</f>
        <v>0</v>
      </c>
      <c r="E53" s="185">
        <f>SUMPRODUCT(-('Diário 5º PA'!$E$5:$E$2634='Analítico Cx.'!$B53),-('Diário 5º PA'!$P$5:$P$2634=E$1),('Diário 5º PA'!$F$5:$F$2634))+
SUMPRODUCT(-('Diário 6º PA'!$E$5:$E$2246='Analítico Cx.'!$B53),-('Diário 6º PA'!$P$5:$P$2246=E$1),('Diário 6º PA'!$F$5:$F$2246))+
SUMPRODUCT(-('Diário 7º PA'!$E$5:$E$2271='Analítico Cx.'!$B53),-('Diário 7º PA'!$P$5:$P$2271=E$1),('Diário 7º PA'!$F$5:$F$2271))+
SUMPRODUCT(-('Diário 8º PA'!$E$5:$E$2488='Analítico Cx.'!$B53),-('Diário 8º PA'!$P$5:$P$2488=E$1),('Diário 8º PA'!$F$5:$F$2488))</f>
        <v>0</v>
      </c>
      <c r="F53" s="185">
        <f>SUMPRODUCT(-('Diário 5º PA'!$E$5:$E$2634='Analítico Cx.'!$B53),-('Diário 5º PA'!$P$5:$P$2634=F$1),('Diário 5º PA'!$F$5:$F$2634))+
SUMPRODUCT(-('Diário 6º PA'!$E$5:$E$2246='Analítico Cx.'!$B53),-('Diário 6º PA'!$P$5:$P$2246=F$1),('Diário 6º PA'!$F$5:$F$2246))+
SUMPRODUCT(-('Diário 7º PA'!$E$5:$E$2271='Analítico Cx.'!$B53),-('Diário 7º PA'!$P$5:$P$2271=F$1),('Diário 7º PA'!$F$5:$F$2271))+
SUMPRODUCT(-('Diário 8º PA'!$E$5:$E$2488='Analítico Cx.'!$B53),-('Diário 8º PA'!$P$5:$P$2488=F$1),('Diário 8º PA'!$F$5:$F$2488))</f>
        <v>0</v>
      </c>
      <c r="G53" s="185">
        <f>SUMPRODUCT(-('Diário 5º PA'!$E$5:$E$2634='Analítico Cx.'!$B53),-('Diário 5º PA'!$P$5:$P$2634=G$1),('Diário 5º PA'!$F$5:$F$2634))+
SUMPRODUCT(-('Diário 6º PA'!$E$5:$E$2246='Analítico Cx.'!$B53),-('Diário 6º PA'!$P$5:$P$2246=G$1),('Diário 6º PA'!$F$5:$F$2246))+
SUMPRODUCT(-('Diário 7º PA'!$E$5:$E$2271='Analítico Cx.'!$B53),-('Diário 7º PA'!$P$5:$P$2271=G$1),('Diário 7º PA'!$F$5:$F$2271))+
SUMPRODUCT(-('Diário 8º PA'!$E$5:$E$2488='Analítico Cx.'!$B53),-('Diário 8º PA'!$P$5:$P$2488=G$1),('Diário 8º PA'!$F$5:$F$2488))</f>
        <v>0</v>
      </c>
      <c r="H53" s="185">
        <f>SUMPRODUCT(-('Diário 5º PA'!$E$5:$E$2634='Analítico Cx.'!$B53),-('Diário 5º PA'!$P$5:$P$2634=H$1),('Diário 5º PA'!$F$5:$F$2634))+
SUMPRODUCT(-('Diário 6º PA'!$E$5:$E$2246='Analítico Cx.'!$B53),-('Diário 6º PA'!$P$5:$P$2246=H$1),('Diário 6º PA'!$F$5:$F$2246))+
SUMPRODUCT(-('Diário 7º PA'!$E$5:$E$2271='Analítico Cx.'!$B53),-('Diário 7º PA'!$P$5:$P$2271=H$1),('Diário 7º PA'!$F$5:$F$2271))+
SUMPRODUCT(-('Diário 8º PA'!$E$5:$E$2488='Analítico Cx.'!$B53),-('Diário 8º PA'!$P$5:$P$2488=H$1),('Diário 8º PA'!$F$5:$F$2488))</f>
        <v>0</v>
      </c>
      <c r="I53" s="185">
        <f>SUMPRODUCT(-('Diário 5º PA'!$E$5:$E$2634='Analítico Cx.'!$B53),-('Diário 5º PA'!$P$5:$P$2634=I$1),('Diário 5º PA'!$F$5:$F$2634))+
SUMPRODUCT(-('Diário 6º PA'!$E$5:$E$2246='Analítico Cx.'!$B53),-('Diário 6º PA'!$P$5:$P$2246=I$1),('Diário 6º PA'!$F$5:$F$2246))+
SUMPRODUCT(-('Diário 7º PA'!$E$5:$E$2271='Analítico Cx.'!$B53),-('Diário 7º PA'!$P$5:$P$2271=I$1),('Diário 7º PA'!$F$5:$F$2271))+
SUMPRODUCT(-('Diário 8º PA'!$E$5:$E$2488='Analítico Cx.'!$B53),-('Diário 8º PA'!$P$5:$P$2488=I$1),('Diário 8º PA'!$F$5:$F$2488))</f>
        <v>0</v>
      </c>
      <c r="J53" s="185">
        <f>SUMPRODUCT(-('Diário 5º PA'!$E$5:$E$2634='Analítico Cx.'!$B53),-('Diário 5º PA'!$P$5:$P$2634=J$1),('Diário 5º PA'!$F$5:$F$2634))+
SUMPRODUCT(-('Diário 6º PA'!$E$5:$E$2246='Analítico Cx.'!$B53),-('Diário 6º PA'!$P$5:$P$2246=J$1),('Diário 6º PA'!$F$5:$F$2246))+
SUMPRODUCT(-('Diário 7º PA'!$E$5:$E$2271='Analítico Cx.'!$B53),-('Diário 7º PA'!$P$5:$P$2271=J$1),('Diário 7º PA'!$F$5:$F$2271))+
SUMPRODUCT(-('Diário 8º PA'!$E$5:$E$2488='Analítico Cx.'!$B53),-('Diário 8º PA'!$P$5:$P$2488=J$1),('Diário 8º PA'!$F$5:$F$2488))</f>
        <v>0</v>
      </c>
      <c r="K53" s="185">
        <f>SUMPRODUCT(-('Diário 5º PA'!$E$5:$E$2634='Analítico Cx.'!$B53),-('Diário 5º PA'!$P$5:$P$2634=K$1),('Diário 5º PA'!$F$5:$F$2634))+
SUMPRODUCT(-('Diário 6º PA'!$E$5:$E$2246='Analítico Cx.'!$B53),-('Diário 6º PA'!$P$5:$P$2246=K$1),('Diário 6º PA'!$F$5:$F$2246))+
SUMPRODUCT(-('Diário 7º PA'!$E$5:$E$2271='Analítico Cx.'!$B53),-('Diário 7º PA'!$P$5:$P$2271=K$1),('Diário 7º PA'!$F$5:$F$2271))+
SUMPRODUCT(-('Diário 8º PA'!$E$5:$E$2488='Analítico Cx.'!$B53),-('Diário 8º PA'!$P$5:$P$2488=K$1),('Diário 8º PA'!$F$5:$F$2488))</f>
        <v>0</v>
      </c>
      <c r="L53" s="185">
        <f>SUMPRODUCT(-('Diário 5º PA'!$E$5:$E$2634='Analítico Cx.'!$B53),-('Diário 5º PA'!$P$5:$P$2634=L$1),('Diário 5º PA'!$F$5:$F$2634))+
SUMPRODUCT(-('Diário 6º PA'!$E$5:$E$2246='Analítico Cx.'!$B53),-('Diário 6º PA'!$P$5:$P$2246=L$1),('Diário 6º PA'!$F$5:$F$2246))+
SUMPRODUCT(-('Diário 7º PA'!$E$5:$E$2271='Analítico Cx.'!$B53),-('Diário 7º PA'!$P$5:$P$2271=L$1),('Diário 7º PA'!$F$5:$F$2271))+
SUMPRODUCT(-('Diário 8º PA'!$E$5:$E$2488='Analítico Cx.'!$B53),-('Diário 8º PA'!$P$5:$P$2488=L$1),('Diário 8º PA'!$F$5:$F$2488))</f>
        <v>0</v>
      </c>
      <c r="M53" s="185">
        <f>SUMPRODUCT(-('Diário 5º PA'!$E$5:$E$2634='Analítico Cx.'!$B53),-('Diário 5º PA'!$P$5:$P$2634=M$1),('Diário 5º PA'!$F$5:$F$2634))+
SUMPRODUCT(-('Diário 6º PA'!$E$5:$E$2246='Analítico Cx.'!$B53),-('Diário 6º PA'!$P$5:$P$2246=M$1),('Diário 6º PA'!$F$5:$F$2246))+
SUMPRODUCT(-('Diário 7º PA'!$E$5:$E$2271='Analítico Cx.'!$B53),-('Diário 7º PA'!$P$5:$P$2271=M$1),('Diário 7º PA'!$F$5:$F$2271))+
SUMPRODUCT(-('Diário 8º PA'!$E$5:$E$2488='Analítico Cx.'!$B53),-('Diário 8º PA'!$P$5:$P$2488=M$1),('Diário 8º PA'!$F$5:$F$2488))</f>
        <v>0</v>
      </c>
      <c r="N53" s="185">
        <f>SUMPRODUCT(-('Diário 5º PA'!$E$5:$E$2634='Analítico Cx.'!$B53),-('Diário 5º PA'!$P$5:$P$2634=N$1),('Diário 5º PA'!$F$5:$F$2634))+
SUMPRODUCT(-('Diário 6º PA'!$E$5:$E$2246='Analítico Cx.'!$B53),-('Diário 6º PA'!$P$5:$P$2246=N$1),('Diário 6º PA'!$F$5:$F$2246))+
SUMPRODUCT(-('Diário 7º PA'!$E$5:$E$2271='Analítico Cx.'!$B53),-('Diário 7º PA'!$P$5:$P$2271=N$1),('Diário 7º PA'!$F$5:$F$2271))+
SUMPRODUCT(-('Diário 8º PA'!$E$5:$E$2488='Analítico Cx.'!$B53),-('Diário 8º PA'!$P$5:$P$2488=N$1),('Diário 8º PA'!$F$5:$F$2488))</f>
        <v>0</v>
      </c>
      <c r="O53" s="186">
        <f t="shared" si="13"/>
        <v>0</v>
      </c>
      <c r="P53" s="187">
        <f t="shared" si="11"/>
        <v>0</v>
      </c>
      <c r="Q53" s="34"/>
      <c r="R53" s="34"/>
      <c r="S53" s="34"/>
      <c r="T53" s="34"/>
      <c r="U53" s="34"/>
      <c r="V53" s="34"/>
      <c r="W53" s="34"/>
      <c r="X53" s="34"/>
      <c r="Y53" s="34"/>
      <c r="Z53" s="34"/>
    </row>
    <row r="54" spans="1:26" ht="23.25" customHeight="1" x14ac:dyDescent="0.2">
      <c r="A54" s="215" t="s">
        <v>203</v>
      </c>
      <c r="B54" s="216" t="s">
        <v>204</v>
      </c>
      <c r="C54" s="185">
        <f>SUMPRODUCT(-('Diário 5º PA'!$E$5:$E$2634='Analítico Cx.'!$B54),-('Diário 5º PA'!$P$5:$P$2634=C$1),('Diário 5º PA'!$F$5:$F$2634))+
SUMPRODUCT(-('Diário 6º PA'!$E$5:$E$2246='Analítico Cx.'!$B54),-('Diário 6º PA'!$P$5:$P$2246=C$1),('Diário 6º PA'!$F$5:$F$2246))+
SUMPRODUCT(-('Diário 7º PA'!$E$5:$E$2271='Analítico Cx.'!$B54),-('Diário 7º PA'!$P$5:$P$2271=C$1),('Diário 7º PA'!$F$5:$F$2271))+
SUMPRODUCT(-('Diário 8º PA'!$E$5:$E$2488='Analítico Cx.'!$B54),-('Diário 8º PA'!$P$5:$P$2488=C$1),('Diário 8º PA'!$F$5:$F$2488))</f>
        <v>0</v>
      </c>
      <c r="D54" s="185">
        <f>SUMPRODUCT(-('Diário 5º PA'!$E$5:$E$2634='Analítico Cx.'!$B54),-('Diário 5º PA'!$P$5:$P$2634=D$1),('Diário 5º PA'!$F$5:$F$2634))+
SUMPRODUCT(-('Diário 6º PA'!$E$5:$E$2246='Analítico Cx.'!$B54),-('Diário 6º PA'!$P$5:$P$2246=D$1),('Diário 6º PA'!$F$5:$F$2246))+
SUMPRODUCT(-('Diário 7º PA'!$E$5:$E$2271='Analítico Cx.'!$B54),-('Diário 7º PA'!$P$5:$P$2271=D$1),('Diário 7º PA'!$F$5:$F$2271))+
SUMPRODUCT(-('Diário 8º PA'!$E$5:$E$2488='Analítico Cx.'!$B54),-('Diário 8º PA'!$P$5:$P$2488=D$1),('Diário 8º PA'!$F$5:$F$2488))</f>
        <v>0</v>
      </c>
      <c r="E54" s="185">
        <f>SUMPRODUCT(-('Diário 5º PA'!$E$5:$E$2634='Analítico Cx.'!$B54),-('Diário 5º PA'!$P$5:$P$2634=E$1),('Diário 5º PA'!$F$5:$F$2634))+
SUMPRODUCT(-('Diário 6º PA'!$E$5:$E$2246='Analítico Cx.'!$B54),-('Diário 6º PA'!$P$5:$P$2246=E$1),('Diário 6º PA'!$F$5:$F$2246))+
SUMPRODUCT(-('Diário 7º PA'!$E$5:$E$2271='Analítico Cx.'!$B54),-('Diário 7º PA'!$P$5:$P$2271=E$1),('Diário 7º PA'!$F$5:$F$2271))+
SUMPRODUCT(-('Diário 8º PA'!$E$5:$E$2488='Analítico Cx.'!$B54),-('Diário 8º PA'!$P$5:$P$2488=E$1),('Diário 8º PA'!$F$5:$F$2488))</f>
        <v>0</v>
      </c>
      <c r="F54" s="185">
        <f>SUMPRODUCT(-('Diário 5º PA'!$E$5:$E$2634='Analítico Cx.'!$B54),-('Diário 5º PA'!$P$5:$P$2634=F$1),('Diário 5º PA'!$F$5:$F$2634))+
SUMPRODUCT(-('Diário 6º PA'!$E$5:$E$2246='Analítico Cx.'!$B54),-('Diário 6º PA'!$P$5:$P$2246=F$1),('Diário 6º PA'!$F$5:$F$2246))+
SUMPRODUCT(-('Diário 7º PA'!$E$5:$E$2271='Analítico Cx.'!$B54),-('Diário 7º PA'!$P$5:$P$2271=F$1),('Diário 7º PA'!$F$5:$F$2271))+
SUMPRODUCT(-('Diário 8º PA'!$E$5:$E$2488='Analítico Cx.'!$B54),-('Diário 8º PA'!$P$5:$P$2488=F$1),('Diário 8º PA'!$F$5:$F$2488))</f>
        <v>0</v>
      </c>
      <c r="G54" s="185">
        <f>SUMPRODUCT(-('Diário 5º PA'!$E$5:$E$2634='Analítico Cx.'!$B54),-('Diário 5º PA'!$P$5:$P$2634=G$1),('Diário 5º PA'!$F$5:$F$2634))+
SUMPRODUCT(-('Diário 6º PA'!$E$5:$E$2246='Analítico Cx.'!$B54),-('Diário 6º PA'!$P$5:$P$2246=G$1),('Diário 6º PA'!$F$5:$F$2246))+
SUMPRODUCT(-('Diário 7º PA'!$E$5:$E$2271='Analítico Cx.'!$B54),-('Diário 7º PA'!$P$5:$P$2271=G$1),('Diário 7º PA'!$F$5:$F$2271))+
SUMPRODUCT(-('Diário 8º PA'!$E$5:$E$2488='Analítico Cx.'!$B54),-('Diário 8º PA'!$P$5:$P$2488=G$1),('Diário 8º PA'!$F$5:$F$2488))</f>
        <v>0</v>
      </c>
      <c r="H54" s="185">
        <f>SUMPRODUCT(-('Diário 5º PA'!$E$5:$E$2634='Analítico Cx.'!$B54),-('Diário 5º PA'!$P$5:$P$2634=H$1),('Diário 5º PA'!$F$5:$F$2634))+
SUMPRODUCT(-('Diário 6º PA'!$E$5:$E$2246='Analítico Cx.'!$B54),-('Diário 6º PA'!$P$5:$P$2246=H$1),('Diário 6º PA'!$F$5:$F$2246))+
SUMPRODUCT(-('Diário 7º PA'!$E$5:$E$2271='Analítico Cx.'!$B54),-('Diário 7º PA'!$P$5:$P$2271=H$1),('Diário 7º PA'!$F$5:$F$2271))+
SUMPRODUCT(-('Diário 8º PA'!$E$5:$E$2488='Analítico Cx.'!$B54),-('Diário 8º PA'!$P$5:$P$2488=H$1),('Diário 8º PA'!$F$5:$F$2488))</f>
        <v>0</v>
      </c>
      <c r="I54" s="185">
        <f>SUMPRODUCT(-('Diário 5º PA'!$E$5:$E$2634='Analítico Cx.'!$B54),-('Diário 5º PA'!$P$5:$P$2634=I$1),('Diário 5º PA'!$F$5:$F$2634))+
SUMPRODUCT(-('Diário 6º PA'!$E$5:$E$2246='Analítico Cx.'!$B54),-('Diário 6º PA'!$P$5:$P$2246=I$1),('Diário 6º PA'!$F$5:$F$2246))+
SUMPRODUCT(-('Diário 7º PA'!$E$5:$E$2271='Analítico Cx.'!$B54),-('Diário 7º PA'!$P$5:$P$2271=I$1),('Diário 7º PA'!$F$5:$F$2271))+
SUMPRODUCT(-('Diário 8º PA'!$E$5:$E$2488='Analítico Cx.'!$B54),-('Diário 8º PA'!$P$5:$P$2488=I$1),('Diário 8º PA'!$F$5:$F$2488))</f>
        <v>0</v>
      </c>
      <c r="J54" s="185">
        <f>SUMPRODUCT(-('Diário 5º PA'!$E$5:$E$2634='Analítico Cx.'!$B54),-('Diário 5º PA'!$P$5:$P$2634=J$1),('Diário 5º PA'!$F$5:$F$2634))+
SUMPRODUCT(-('Diário 6º PA'!$E$5:$E$2246='Analítico Cx.'!$B54),-('Diário 6º PA'!$P$5:$P$2246=J$1),('Diário 6º PA'!$F$5:$F$2246))+
SUMPRODUCT(-('Diário 7º PA'!$E$5:$E$2271='Analítico Cx.'!$B54),-('Diário 7º PA'!$P$5:$P$2271=J$1),('Diário 7º PA'!$F$5:$F$2271))+
SUMPRODUCT(-('Diário 8º PA'!$E$5:$E$2488='Analítico Cx.'!$B54),-('Diário 8º PA'!$P$5:$P$2488=J$1),('Diário 8º PA'!$F$5:$F$2488))</f>
        <v>0</v>
      </c>
      <c r="K54" s="185">
        <f>SUMPRODUCT(-('Diário 5º PA'!$E$5:$E$2634='Analítico Cx.'!$B54),-('Diário 5º PA'!$P$5:$P$2634=K$1),('Diário 5º PA'!$F$5:$F$2634))+
SUMPRODUCT(-('Diário 6º PA'!$E$5:$E$2246='Analítico Cx.'!$B54),-('Diário 6º PA'!$P$5:$P$2246=K$1),('Diário 6º PA'!$F$5:$F$2246))+
SUMPRODUCT(-('Diário 7º PA'!$E$5:$E$2271='Analítico Cx.'!$B54),-('Diário 7º PA'!$P$5:$P$2271=K$1),('Diário 7º PA'!$F$5:$F$2271))+
SUMPRODUCT(-('Diário 8º PA'!$E$5:$E$2488='Analítico Cx.'!$B54),-('Diário 8º PA'!$P$5:$P$2488=K$1),('Diário 8º PA'!$F$5:$F$2488))</f>
        <v>0</v>
      </c>
      <c r="L54" s="185">
        <f>SUMPRODUCT(-('Diário 5º PA'!$E$5:$E$2634='Analítico Cx.'!$B54),-('Diário 5º PA'!$P$5:$P$2634=L$1),('Diário 5º PA'!$F$5:$F$2634))+
SUMPRODUCT(-('Diário 6º PA'!$E$5:$E$2246='Analítico Cx.'!$B54),-('Diário 6º PA'!$P$5:$P$2246=L$1),('Diário 6º PA'!$F$5:$F$2246))+
SUMPRODUCT(-('Diário 7º PA'!$E$5:$E$2271='Analítico Cx.'!$B54),-('Diário 7º PA'!$P$5:$P$2271=L$1),('Diário 7º PA'!$F$5:$F$2271))+
SUMPRODUCT(-('Diário 8º PA'!$E$5:$E$2488='Analítico Cx.'!$B54),-('Diário 8º PA'!$P$5:$P$2488=L$1),('Diário 8º PA'!$F$5:$F$2488))</f>
        <v>0</v>
      </c>
      <c r="M54" s="185">
        <f>SUMPRODUCT(-('Diário 5º PA'!$E$5:$E$2634='Analítico Cx.'!$B54),-('Diário 5º PA'!$P$5:$P$2634=M$1),('Diário 5º PA'!$F$5:$F$2634))+
SUMPRODUCT(-('Diário 6º PA'!$E$5:$E$2246='Analítico Cx.'!$B54),-('Diário 6º PA'!$P$5:$P$2246=M$1),('Diário 6º PA'!$F$5:$F$2246))+
SUMPRODUCT(-('Diário 7º PA'!$E$5:$E$2271='Analítico Cx.'!$B54),-('Diário 7º PA'!$P$5:$P$2271=M$1),('Diário 7º PA'!$F$5:$F$2271))+
SUMPRODUCT(-('Diário 8º PA'!$E$5:$E$2488='Analítico Cx.'!$B54),-('Diário 8º PA'!$P$5:$P$2488=M$1),('Diário 8º PA'!$F$5:$F$2488))</f>
        <v>0</v>
      </c>
      <c r="N54" s="185">
        <f>SUMPRODUCT(-('Diário 5º PA'!$E$5:$E$2634='Analítico Cx.'!$B54),-('Diário 5º PA'!$P$5:$P$2634=N$1),('Diário 5º PA'!$F$5:$F$2634))+
SUMPRODUCT(-('Diário 6º PA'!$E$5:$E$2246='Analítico Cx.'!$B54),-('Diário 6º PA'!$P$5:$P$2246=N$1),('Diário 6º PA'!$F$5:$F$2246))+
SUMPRODUCT(-('Diário 7º PA'!$E$5:$E$2271='Analítico Cx.'!$B54),-('Diário 7º PA'!$P$5:$P$2271=N$1),('Diário 7º PA'!$F$5:$F$2271))+
SUMPRODUCT(-('Diário 8º PA'!$E$5:$E$2488='Analítico Cx.'!$B54),-('Diário 8º PA'!$P$5:$P$2488=N$1),('Diário 8º PA'!$F$5:$F$2488))</f>
        <v>0</v>
      </c>
      <c r="O54" s="186">
        <f t="shared" si="13"/>
        <v>0</v>
      </c>
      <c r="P54" s="187">
        <f t="shared" si="11"/>
        <v>0</v>
      </c>
      <c r="Q54" s="34"/>
      <c r="R54" s="34"/>
      <c r="S54" s="34"/>
      <c r="T54" s="34"/>
      <c r="U54" s="34"/>
      <c r="V54" s="34"/>
      <c r="W54" s="34"/>
      <c r="X54" s="34"/>
      <c r="Y54" s="34"/>
      <c r="Z54" s="34"/>
    </row>
    <row r="55" spans="1:26" ht="23.25" customHeight="1" x14ac:dyDescent="0.2">
      <c r="A55" s="205"/>
      <c r="B55" s="206" t="s">
        <v>205</v>
      </c>
      <c r="C55" s="207">
        <f t="shared" ref="C55:O55" si="14">SUBTOTAL(109,C48:C54)</f>
        <v>14345.92</v>
      </c>
      <c r="D55" s="207">
        <f t="shared" si="14"/>
        <v>14632.87</v>
      </c>
      <c r="E55" s="207">
        <f t="shared" si="14"/>
        <v>13507.13</v>
      </c>
      <c r="F55" s="207">
        <f t="shared" si="14"/>
        <v>14694.849999999999</v>
      </c>
      <c r="G55" s="207">
        <f t="shared" si="14"/>
        <v>14285.629999999997</v>
      </c>
      <c r="H55" s="207">
        <f t="shared" si="14"/>
        <v>15068.66</v>
      </c>
      <c r="I55" s="207">
        <f t="shared" si="14"/>
        <v>30707.5</v>
      </c>
      <c r="J55" s="207">
        <f t="shared" si="14"/>
        <v>33956.32</v>
      </c>
      <c r="K55" s="207">
        <f t="shared" si="14"/>
        <v>41564.98000000001</v>
      </c>
      <c r="L55" s="207">
        <f t="shared" si="14"/>
        <v>53486.159999999996</v>
      </c>
      <c r="M55" s="207">
        <f t="shared" si="14"/>
        <v>56339.54</v>
      </c>
      <c r="N55" s="207">
        <f t="shared" si="14"/>
        <v>56351.35</v>
      </c>
      <c r="O55" s="207">
        <f t="shared" si="14"/>
        <v>358940.91000000003</v>
      </c>
      <c r="P55" s="208">
        <f t="shared" si="11"/>
        <v>3.8084061287716187E-2</v>
      </c>
      <c r="Q55" s="34"/>
      <c r="R55" s="34"/>
      <c r="S55" s="34"/>
      <c r="T55" s="34"/>
      <c r="U55" s="34"/>
      <c r="V55" s="34"/>
      <c r="W55" s="34"/>
      <c r="X55" s="34"/>
      <c r="Y55" s="34"/>
      <c r="Z55" s="34"/>
    </row>
    <row r="56" spans="1:26" ht="23.25" customHeight="1" x14ac:dyDescent="0.2">
      <c r="A56" s="195"/>
      <c r="B56" s="217" t="s">
        <v>206</v>
      </c>
      <c r="C56" s="218">
        <f t="shared" ref="C56:O56" si="15">SUBTOTAL(109,C23:C55)</f>
        <v>153097.40999999997</v>
      </c>
      <c r="D56" s="218">
        <f t="shared" si="15"/>
        <v>140966</v>
      </c>
      <c r="E56" s="218">
        <f t="shared" si="15"/>
        <v>124038.70000000001</v>
      </c>
      <c r="F56" s="218">
        <f t="shared" si="15"/>
        <v>133538.60999999999</v>
      </c>
      <c r="G56" s="218">
        <f t="shared" si="15"/>
        <v>132905.94999999998</v>
      </c>
      <c r="H56" s="218">
        <f t="shared" si="15"/>
        <v>140062.64000000001</v>
      </c>
      <c r="I56" s="218">
        <f t="shared" si="15"/>
        <v>164473.04999999999</v>
      </c>
      <c r="J56" s="218">
        <f t="shared" si="15"/>
        <v>194200.75000000009</v>
      </c>
      <c r="K56" s="218">
        <f t="shared" si="15"/>
        <v>259116.27000000008</v>
      </c>
      <c r="L56" s="218">
        <f t="shared" si="15"/>
        <v>271522.65000000002</v>
      </c>
      <c r="M56" s="218">
        <f t="shared" si="15"/>
        <v>395456.70999999996</v>
      </c>
      <c r="N56" s="218">
        <f t="shared" si="15"/>
        <v>441444.33</v>
      </c>
      <c r="O56" s="218">
        <f t="shared" si="15"/>
        <v>2550823.0700000003</v>
      </c>
      <c r="P56" s="219">
        <f t="shared" si="11"/>
        <v>0.27064538876886551</v>
      </c>
      <c r="Q56" s="34"/>
      <c r="R56" s="34"/>
      <c r="S56" s="34"/>
      <c r="T56" s="34"/>
      <c r="U56" s="34"/>
      <c r="V56" s="34"/>
      <c r="W56" s="34"/>
      <c r="X56" s="34"/>
      <c r="Y56" s="34"/>
      <c r="Z56" s="34"/>
    </row>
    <row r="57" spans="1:26" ht="23.25" customHeight="1" x14ac:dyDescent="0.2">
      <c r="A57" s="220" t="s">
        <v>98</v>
      </c>
      <c r="B57" s="221" t="s">
        <v>99</v>
      </c>
      <c r="C57" s="222"/>
      <c r="D57" s="222"/>
      <c r="E57" s="222"/>
      <c r="F57" s="222"/>
      <c r="G57" s="222"/>
      <c r="H57" s="222"/>
      <c r="I57" s="222"/>
      <c r="J57" s="222"/>
      <c r="K57" s="222"/>
      <c r="L57" s="222"/>
      <c r="M57" s="222"/>
      <c r="N57" s="222"/>
      <c r="O57" s="222"/>
      <c r="P57" s="180"/>
      <c r="Q57" s="34"/>
      <c r="R57" s="34"/>
      <c r="S57" s="34"/>
      <c r="T57" s="34"/>
      <c r="U57" s="34"/>
      <c r="V57" s="34"/>
      <c r="W57" s="34"/>
      <c r="X57" s="34"/>
      <c r="Y57" s="34"/>
      <c r="Z57" s="34"/>
    </row>
    <row r="58" spans="1:26" ht="23.25" customHeight="1" x14ac:dyDescent="0.2">
      <c r="A58" s="203" t="s">
        <v>207</v>
      </c>
      <c r="B58" s="72" t="s">
        <v>208</v>
      </c>
      <c r="C58" s="185">
        <f>SUMPRODUCT(-('Diário 5º PA'!$E$5:$E$2634='Analítico Cx.'!$B58),-('Diário 5º PA'!$P$5:$P$2634=C$1),('Diário 5º PA'!$F$5:$F$2634))+
SUMPRODUCT(-('Diário 6º PA'!$E$5:$E$2246='Analítico Cx.'!$B58),-('Diário 6º PA'!$P$5:$P$2246=C$1),('Diário 6º PA'!$F$5:$F$2246))+
SUMPRODUCT(-('Diário 7º PA'!$E$5:$E$2271='Analítico Cx.'!$B58),-('Diário 7º PA'!$P$5:$P$2271=C$1),('Diário 7º PA'!$F$5:$F$2271))+
SUMPRODUCT(-('Diário 8º PA'!$E$5:$E$2488='Analítico Cx.'!$B58),-('Diário 8º PA'!$P$5:$P$2488=C$1),('Diário 8º PA'!$F$5:$F$2488))</f>
        <v>7332.1500000000005</v>
      </c>
      <c r="D58" s="185">
        <f>SUMPRODUCT(-('Diário 5º PA'!$E$5:$E$2634='Analítico Cx.'!$B58),-('Diário 5º PA'!$P$5:$P$2634=D$1),('Diário 5º PA'!$F$5:$F$2634))+
SUMPRODUCT(-('Diário 6º PA'!$E$5:$E$2246='Analítico Cx.'!$B58),-('Diário 6º PA'!$P$5:$P$2246=D$1),('Diário 6º PA'!$F$5:$F$2246))+
SUMPRODUCT(-('Diário 7º PA'!$E$5:$E$2271='Analítico Cx.'!$B58),-('Diário 7º PA'!$P$5:$P$2271=D$1),('Diário 7º PA'!$F$5:$F$2271))+
SUMPRODUCT(-('Diário 8º PA'!$E$5:$E$2488='Analítico Cx.'!$B58),-('Diário 8º PA'!$P$5:$P$2488=D$1),('Diário 8º PA'!$F$5:$F$2488))</f>
        <v>7324.0400000000009</v>
      </c>
      <c r="E58" s="185">
        <f>SUMPRODUCT(-('Diário 5º PA'!$E$5:$E$2634='Analítico Cx.'!$B58),-('Diário 5º PA'!$P$5:$P$2634=E$1),('Diário 5º PA'!$F$5:$F$2634))+
SUMPRODUCT(-('Diário 6º PA'!$E$5:$E$2246='Analítico Cx.'!$B58),-('Diário 6º PA'!$P$5:$P$2246=E$1),('Diário 6º PA'!$F$5:$F$2246))+
SUMPRODUCT(-('Diário 7º PA'!$E$5:$E$2271='Analítico Cx.'!$B58),-('Diário 7º PA'!$P$5:$P$2271=E$1),('Diário 7º PA'!$F$5:$F$2271))+
SUMPRODUCT(-('Diário 8º PA'!$E$5:$E$2488='Analítico Cx.'!$B58),-('Diário 8º PA'!$P$5:$P$2488=E$1),('Diário 8º PA'!$F$5:$F$2488))</f>
        <v>7035.8300000000008</v>
      </c>
      <c r="F58" s="185">
        <f>SUMPRODUCT(-('Diário 5º PA'!$E$5:$E$2634='Analítico Cx.'!$B58),-('Diário 5º PA'!$P$5:$P$2634=F$1),('Diário 5º PA'!$F$5:$F$2634))+
SUMPRODUCT(-('Diário 6º PA'!$E$5:$E$2246='Analítico Cx.'!$B58),-('Diário 6º PA'!$P$5:$P$2246=F$1),('Diário 6º PA'!$F$5:$F$2246))+
SUMPRODUCT(-('Diário 7º PA'!$E$5:$E$2271='Analítico Cx.'!$B58),-('Diário 7º PA'!$P$5:$P$2271=F$1),('Diário 7º PA'!$F$5:$F$2271))+
SUMPRODUCT(-('Diário 8º PA'!$E$5:$E$2488='Analítico Cx.'!$B58),-('Diário 8º PA'!$P$5:$P$2488=F$1),('Diário 8º PA'!$F$5:$F$2488))</f>
        <v>4545.1100000000006</v>
      </c>
      <c r="G58" s="185">
        <f>SUMPRODUCT(-('Diário 5º PA'!$E$5:$E$2634='Analítico Cx.'!$B58),-('Diário 5º PA'!$P$5:$P$2634=G$1),('Diário 5º PA'!$F$5:$F$2634))+
SUMPRODUCT(-('Diário 6º PA'!$E$5:$E$2246='Analítico Cx.'!$B58),-('Diário 6º PA'!$P$5:$P$2246=G$1),('Diário 6º PA'!$F$5:$F$2246))+
SUMPRODUCT(-('Diário 7º PA'!$E$5:$E$2271='Analítico Cx.'!$B58),-('Diário 7º PA'!$P$5:$P$2271=G$1),('Diário 7º PA'!$F$5:$F$2271))+
SUMPRODUCT(-('Diário 8º PA'!$E$5:$E$2488='Analítico Cx.'!$B58),-('Diário 8º PA'!$P$5:$P$2488=G$1),('Diário 8º PA'!$F$5:$F$2488))</f>
        <v>4545.1100000000006</v>
      </c>
      <c r="H58" s="185">
        <f>SUMPRODUCT(-('Diário 5º PA'!$E$5:$E$2634='Analítico Cx.'!$B58),-('Diário 5º PA'!$P$5:$P$2634=H$1),('Diário 5º PA'!$F$5:$F$2634))+
SUMPRODUCT(-('Diário 6º PA'!$E$5:$E$2246='Analítico Cx.'!$B58),-('Diário 6º PA'!$P$5:$P$2246=H$1),('Diário 6º PA'!$F$5:$F$2246))+
SUMPRODUCT(-('Diário 7º PA'!$E$5:$E$2271='Analítico Cx.'!$B58),-('Diário 7º PA'!$P$5:$P$2271=H$1),('Diário 7º PA'!$F$5:$F$2271))+
SUMPRODUCT(-('Diário 8º PA'!$E$5:$E$2488='Analítico Cx.'!$B58),-('Diário 8º PA'!$P$5:$P$2488=H$1),('Diário 8º PA'!$F$5:$F$2488))</f>
        <v>4367.6000000000004</v>
      </c>
      <c r="I58" s="185">
        <f>SUMPRODUCT(-('Diário 5º PA'!$E$5:$E$2634='Analítico Cx.'!$B58),-('Diário 5º PA'!$P$5:$P$2634=I$1),('Diário 5º PA'!$F$5:$F$2634))+
SUMPRODUCT(-('Diário 6º PA'!$E$5:$E$2246='Analítico Cx.'!$B58),-('Diário 6º PA'!$P$5:$P$2246=I$1),('Diário 6º PA'!$F$5:$F$2246))+
SUMPRODUCT(-('Diário 7º PA'!$E$5:$E$2271='Analítico Cx.'!$B58),-('Diário 7º PA'!$P$5:$P$2271=I$1),('Diário 7º PA'!$F$5:$F$2271))+
SUMPRODUCT(-('Diário 8º PA'!$E$5:$E$2488='Analítico Cx.'!$B58),-('Diário 8º PA'!$P$5:$P$2488=I$1),('Diário 8º PA'!$F$5:$F$2488))</f>
        <v>6806.3000000000011</v>
      </c>
      <c r="J58" s="185">
        <f>SUMPRODUCT(-('Diário 5º PA'!$E$5:$E$2634='Analítico Cx.'!$B58),-('Diário 5º PA'!$P$5:$P$2634=J$1),('Diário 5º PA'!$F$5:$F$2634))+
SUMPRODUCT(-('Diário 6º PA'!$E$5:$E$2246='Analítico Cx.'!$B58),-('Diário 6º PA'!$P$5:$P$2246=J$1),('Diário 6º PA'!$F$5:$F$2246))+
SUMPRODUCT(-('Diário 7º PA'!$E$5:$E$2271='Analítico Cx.'!$B58),-('Diário 7º PA'!$P$5:$P$2271=J$1),('Diário 7º PA'!$F$5:$F$2271))+
SUMPRODUCT(-('Diário 8º PA'!$E$5:$E$2488='Analítico Cx.'!$B58),-('Diário 8º PA'!$P$5:$P$2488=J$1),('Diário 8º PA'!$F$5:$F$2488))</f>
        <v>7366.18</v>
      </c>
      <c r="K58" s="185">
        <f>SUMPRODUCT(-('Diário 5º PA'!$E$5:$E$2634='Analítico Cx.'!$B58),-('Diário 5º PA'!$P$5:$P$2634=K$1),('Diário 5º PA'!$F$5:$F$2634))+
SUMPRODUCT(-('Diário 6º PA'!$E$5:$E$2246='Analítico Cx.'!$B58),-('Diário 6º PA'!$P$5:$P$2246=K$1),('Diário 6º PA'!$F$5:$F$2246))+
SUMPRODUCT(-('Diário 7º PA'!$E$5:$E$2271='Analítico Cx.'!$B58),-('Diário 7º PA'!$P$5:$P$2271=K$1),('Diário 7º PA'!$F$5:$F$2271))+
SUMPRODUCT(-('Diário 8º PA'!$E$5:$E$2488='Analítico Cx.'!$B58),-('Diário 8º PA'!$P$5:$P$2488=K$1),('Diário 8º PA'!$F$5:$F$2488))</f>
        <v>7366.18</v>
      </c>
      <c r="L58" s="185">
        <f>SUMPRODUCT(-('Diário 5º PA'!$E$5:$E$2634='Analítico Cx.'!$B58),-('Diário 5º PA'!$P$5:$P$2634=L$1),('Diário 5º PA'!$F$5:$F$2634))+
SUMPRODUCT(-('Diário 6º PA'!$E$5:$E$2246='Analítico Cx.'!$B58),-('Diário 6º PA'!$P$5:$P$2246=L$1),('Diário 6º PA'!$F$5:$F$2246))+
SUMPRODUCT(-('Diário 7º PA'!$E$5:$E$2271='Analítico Cx.'!$B58),-('Diário 7º PA'!$P$5:$P$2271=L$1),('Diário 7º PA'!$F$5:$F$2271))+
SUMPRODUCT(-('Diário 8º PA'!$E$5:$E$2488='Analítico Cx.'!$B58),-('Diário 8º PA'!$P$5:$P$2488=L$1),('Diário 8º PA'!$F$5:$F$2488))</f>
        <v>7366.18</v>
      </c>
      <c r="M58" s="185">
        <f>SUMPRODUCT(-('Diário 5º PA'!$E$5:$E$2634='Analítico Cx.'!$B58),-('Diário 5º PA'!$P$5:$P$2634=M$1),('Diário 5º PA'!$F$5:$F$2634))+
SUMPRODUCT(-('Diário 6º PA'!$E$5:$E$2246='Analítico Cx.'!$B58),-('Diário 6º PA'!$P$5:$P$2246=M$1),('Diário 6º PA'!$F$5:$F$2246))+
SUMPRODUCT(-('Diário 7º PA'!$E$5:$E$2271='Analítico Cx.'!$B58),-('Diário 7º PA'!$P$5:$P$2271=M$1),('Diário 7º PA'!$F$5:$F$2271))+
SUMPRODUCT(-('Diário 8º PA'!$E$5:$E$2488='Analítico Cx.'!$B58),-('Diário 8º PA'!$P$5:$P$2488=M$1),('Diário 8º PA'!$F$5:$F$2488))</f>
        <v>7366.18</v>
      </c>
      <c r="N58" s="185">
        <f>SUMPRODUCT(-('Diário 5º PA'!$E$5:$E$2634='Analítico Cx.'!$B58),-('Diário 5º PA'!$P$5:$P$2634=N$1),('Diário 5º PA'!$F$5:$F$2634))+
SUMPRODUCT(-('Diário 6º PA'!$E$5:$E$2246='Analítico Cx.'!$B58),-('Diário 6º PA'!$P$5:$P$2246=N$1),('Diário 6º PA'!$F$5:$F$2246))+
SUMPRODUCT(-('Diário 7º PA'!$E$5:$E$2271='Analítico Cx.'!$B58),-('Diário 7º PA'!$P$5:$P$2271=N$1),('Diário 7º PA'!$F$5:$F$2271))+
SUMPRODUCT(-('Diário 8º PA'!$E$5:$E$2488='Analítico Cx.'!$B58),-('Diário 8º PA'!$P$5:$P$2488=N$1),('Diário 8º PA'!$F$5:$F$2488))</f>
        <v>7366.18</v>
      </c>
      <c r="O58" s="186">
        <f t="shared" ref="O58:O147" si="16">SUM(C58:N58)</f>
        <v>78787.040000000008</v>
      </c>
      <c r="P58" s="187">
        <f t="shared" ref="P58:P148" si="17">IF($O$166=0,0,O58/$O$166)</f>
        <v>8.3593994901214989E-3</v>
      </c>
      <c r="Q58" s="34"/>
      <c r="R58" s="34"/>
      <c r="S58" s="34"/>
      <c r="T58" s="34"/>
      <c r="U58" s="34"/>
      <c r="V58" s="34"/>
      <c r="W58" s="34"/>
      <c r="X58" s="34"/>
      <c r="Y58" s="34"/>
      <c r="Z58" s="34"/>
    </row>
    <row r="59" spans="1:26" ht="23.25" customHeight="1" x14ac:dyDescent="0.2">
      <c r="A59" s="203" t="s">
        <v>209</v>
      </c>
      <c r="B59" s="72" t="s">
        <v>210</v>
      </c>
      <c r="C59" s="185">
        <f>SUMPRODUCT(-('Diário 5º PA'!$E$5:$E$2634='Analítico Cx.'!$B59),-('Diário 5º PA'!$P$5:$P$2634=C$1),('Diário 5º PA'!$F$5:$F$2634))+
SUMPRODUCT(-('Diário 6º PA'!$E$5:$E$2246='Analítico Cx.'!$B59),-('Diário 6º PA'!$P$5:$P$2246=C$1),('Diário 6º PA'!$F$5:$F$2246))+
SUMPRODUCT(-('Diário 7º PA'!$E$5:$E$2271='Analítico Cx.'!$B59),-('Diário 7º PA'!$P$5:$P$2271=C$1),('Diário 7º PA'!$F$5:$F$2271))+
SUMPRODUCT(-('Diário 8º PA'!$E$5:$E$2488='Analítico Cx.'!$B59),-('Diário 8º PA'!$P$5:$P$2488=C$1),('Diário 8º PA'!$F$5:$F$2488))</f>
        <v>0</v>
      </c>
      <c r="D59" s="185">
        <f>SUMPRODUCT(-('Diário 5º PA'!$E$5:$E$2634='Analítico Cx.'!$B59),-('Diário 5º PA'!$P$5:$P$2634=D$1),('Diário 5º PA'!$F$5:$F$2634))+
SUMPRODUCT(-('Diário 6º PA'!$E$5:$E$2246='Analítico Cx.'!$B59),-('Diário 6º PA'!$P$5:$P$2246=D$1),('Diário 6º PA'!$F$5:$F$2246))+
SUMPRODUCT(-('Diário 7º PA'!$E$5:$E$2271='Analítico Cx.'!$B59),-('Diário 7º PA'!$P$5:$P$2271=D$1),('Diário 7º PA'!$F$5:$F$2271))+
SUMPRODUCT(-('Diário 8º PA'!$E$5:$E$2488='Analítico Cx.'!$B59),-('Diário 8º PA'!$P$5:$P$2488=D$1),('Diário 8º PA'!$F$5:$F$2488))</f>
        <v>0</v>
      </c>
      <c r="E59" s="185">
        <f>SUMPRODUCT(-('Diário 5º PA'!$E$5:$E$2634='Analítico Cx.'!$B59),-('Diário 5º PA'!$P$5:$P$2634=E$1),('Diário 5º PA'!$F$5:$F$2634))+
SUMPRODUCT(-('Diário 6º PA'!$E$5:$E$2246='Analítico Cx.'!$B59),-('Diário 6º PA'!$P$5:$P$2246=E$1),('Diário 6º PA'!$F$5:$F$2246))+
SUMPRODUCT(-('Diário 7º PA'!$E$5:$E$2271='Analítico Cx.'!$B59),-('Diário 7º PA'!$P$5:$P$2271=E$1),('Diário 7º PA'!$F$5:$F$2271))+
SUMPRODUCT(-('Diário 8º PA'!$E$5:$E$2488='Analítico Cx.'!$B59),-('Diário 8º PA'!$P$5:$P$2488=E$1),('Diário 8º PA'!$F$5:$F$2488))</f>
        <v>0</v>
      </c>
      <c r="F59" s="185">
        <f>SUMPRODUCT(-('Diário 5º PA'!$E$5:$E$2634='Analítico Cx.'!$B59),-('Diário 5º PA'!$P$5:$P$2634=F$1),('Diário 5º PA'!$F$5:$F$2634))+
SUMPRODUCT(-('Diário 6º PA'!$E$5:$E$2246='Analítico Cx.'!$B59),-('Diário 6º PA'!$P$5:$P$2246=F$1),('Diário 6º PA'!$F$5:$F$2246))+
SUMPRODUCT(-('Diário 7º PA'!$E$5:$E$2271='Analítico Cx.'!$B59),-('Diário 7º PA'!$P$5:$P$2271=F$1),('Diário 7º PA'!$F$5:$F$2271))+
SUMPRODUCT(-('Diário 8º PA'!$E$5:$E$2488='Analítico Cx.'!$B59),-('Diário 8º PA'!$P$5:$P$2488=F$1),('Diário 8º PA'!$F$5:$F$2488))</f>
        <v>0</v>
      </c>
      <c r="G59" s="185">
        <f>SUMPRODUCT(-('Diário 5º PA'!$E$5:$E$2634='Analítico Cx.'!$B59),-('Diário 5º PA'!$P$5:$P$2634=G$1),('Diário 5º PA'!$F$5:$F$2634))+
SUMPRODUCT(-('Diário 6º PA'!$E$5:$E$2246='Analítico Cx.'!$B59),-('Diário 6º PA'!$P$5:$P$2246=G$1),('Diário 6º PA'!$F$5:$F$2246))+
SUMPRODUCT(-('Diário 7º PA'!$E$5:$E$2271='Analítico Cx.'!$B59),-('Diário 7º PA'!$P$5:$P$2271=G$1),('Diário 7º PA'!$F$5:$F$2271))+
SUMPRODUCT(-('Diário 8º PA'!$E$5:$E$2488='Analítico Cx.'!$B59),-('Diário 8º PA'!$P$5:$P$2488=G$1),('Diário 8º PA'!$F$5:$F$2488))</f>
        <v>0</v>
      </c>
      <c r="H59" s="185">
        <f>SUMPRODUCT(-('Diário 5º PA'!$E$5:$E$2634='Analítico Cx.'!$B59),-('Diário 5º PA'!$P$5:$P$2634=H$1),('Diário 5º PA'!$F$5:$F$2634))+
SUMPRODUCT(-('Diário 6º PA'!$E$5:$E$2246='Analítico Cx.'!$B59),-('Diário 6º PA'!$P$5:$P$2246=H$1),('Diário 6º PA'!$F$5:$F$2246))+
SUMPRODUCT(-('Diário 7º PA'!$E$5:$E$2271='Analítico Cx.'!$B59),-('Diário 7º PA'!$P$5:$P$2271=H$1),('Diário 7º PA'!$F$5:$F$2271))+
SUMPRODUCT(-('Diário 8º PA'!$E$5:$E$2488='Analítico Cx.'!$B59),-('Diário 8º PA'!$P$5:$P$2488=H$1),('Diário 8º PA'!$F$5:$F$2488))</f>
        <v>0</v>
      </c>
      <c r="I59" s="185">
        <f>SUMPRODUCT(-('Diário 5º PA'!$E$5:$E$2634='Analítico Cx.'!$B59),-('Diário 5º PA'!$P$5:$P$2634=I$1),('Diário 5º PA'!$F$5:$F$2634))+
SUMPRODUCT(-('Diário 6º PA'!$E$5:$E$2246='Analítico Cx.'!$B59),-('Diário 6º PA'!$P$5:$P$2246=I$1),('Diário 6º PA'!$F$5:$F$2246))+
SUMPRODUCT(-('Diário 7º PA'!$E$5:$E$2271='Analítico Cx.'!$B59),-('Diário 7º PA'!$P$5:$P$2271=I$1),('Diário 7º PA'!$F$5:$F$2271))+
SUMPRODUCT(-('Diário 8º PA'!$E$5:$E$2488='Analítico Cx.'!$B59),-('Diário 8º PA'!$P$5:$P$2488=I$1),('Diário 8º PA'!$F$5:$F$2488))</f>
        <v>0</v>
      </c>
      <c r="J59" s="185">
        <f>SUMPRODUCT(-('Diário 5º PA'!$E$5:$E$2634='Analítico Cx.'!$B59),-('Diário 5º PA'!$P$5:$P$2634=J$1),('Diário 5º PA'!$F$5:$F$2634))+
SUMPRODUCT(-('Diário 6º PA'!$E$5:$E$2246='Analítico Cx.'!$B59),-('Diário 6º PA'!$P$5:$P$2246=J$1),('Diário 6º PA'!$F$5:$F$2246))+
SUMPRODUCT(-('Diário 7º PA'!$E$5:$E$2271='Analítico Cx.'!$B59),-('Diário 7º PA'!$P$5:$P$2271=J$1),('Diário 7º PA'!$F$5:$F$2271))+
SUMPRODUCT(-('Diário 8º PA'!$E$5:$E$2488='Analítico Cx.'!$B59),-('Diário 8º PA'!$P$5:$P$2488=J$1),('Diário 8º PA'!$F$5:$F$2488))</f>
        <v>0</v>
      </c>
      <c r="K59" s="185">
        <f>SUMPRODUCT(-('Diário 5º PA'!$E$5:$E$2634='Analítico Cx.'!$B59),-('Diário 5º PA'!$P$5:$P$2634=K$1),('Diário 5º PA'!$F$5:$F$2634))+
SUMPRODUCT(-('Diário 6º PA'!$E$5:$E$2246='Analítico Cx.'!$B59),-('Diário 6º PA'!$P$5:$P$2246=K$1),('Diário 6º PA'!$F$5:$F$2246))+
SUMPRODUCT(-('Diário 7º PA'!$E$5:$E$2271='Analítico Cx.'!$B59),-('Diário 7º PA'!$P$5:$P$2271=K$1),('Diário 7º PA'!$F$5:$F$2271))+
SUMPRODUCT(-('Diário 8º PA'!$E$5:$E$2488='Analítico Cx.'!$B59),-('Diário 8º PA'!$P$5:$P$2488=K$1),('Diário 8º PA'!$F$5:$F$2488))</f>
        <v>0</v>
      </c>
      <c r="L59" s="185">
        <f>SUMPRODUCT(-('Diário 5º PA'!$E$5:$E$2634='Analítico Cx.'!$B59),-('Diário 5º PA'!$P$5:$P$2634=L$1),('Diário 5º PA'!$F$5:$F$2634))+
SUMPRODUCT(-('Diário 6º PA'!$E$5:$E$2246='Analítico Cx.'!$B59),-('Diário 6º PA'!$P$5:$P$2246=L$1),('Diário 6º PA'!$F$5:$F$2246))+
SUMPRODUCT(-('Diário 7º PA'!$E$5:$E$2271='Analítico Cx.'!$B59),-('Diário 7º PA'!$P$5:$P$2271=L$1),('Diário 7º PA'!$F$5:$F$2271))+
SUMPRODUCT(-('Diário 8º PA'!$E$5:$E$2488='Analítico Cx.'!$B59),-('Diário 8º PA'!$P$5:$P$2488=L$1),('Diário 8º PA'!$F$5:$F$2488))</f>
        <v>0</v>
      </c>
      <c r="M59" s="185">
        <f>SUMPRODUCT(-('Diário 5º PA'!$E$5:$E$2634='Analítico Cx.'!$B59),-('Diário 5º PA'!$P$5:$P$2634=M$1),('Diário 5º PA'!$F$5:$F$2634))+
SUMPRODUCT(-('Diário 6º PA'!$E$5:$E$2246='Analítico Cx.'!$B59),-('Diário 6º PA'!$P$5:$P$2246=M$1),('Diário 6º PA'!$F$5:$F$2246))+
SUMPRODUCT(-('Diário 7º PA'!$E$5:$E$2271='Analítico Cx.'!$B59),-('Diário 7º PA'!$P$5:$P$2271=M$1),('Diário 7º PA'!$F$5:$F$2271))+
SUMPRODUCT(-('Diário 8º PA'!$E$5:$E$2488='Analítico Cx.'!$B59),-('Diário 8º PA'!$P$5:$P$2488=M$1),('Diário 8º PA'!$F$5:$F$2488))</f>
        <v>0</v>
      </c>
      <c r="N59" s="185">
        <f>SUMPRODUCT(-('Diário 5º PA'!$E$5:$E$2634='Analítico Cx.'!$B59),-('Diário 5º PA'!$P$5:$P$2634=N$1),('Diário 5º PA'!$F$5:$F$2634))+
SUMPRODUCT(-('Diário 6º PA'!$E$5:$E$2246='Analítico Cx.'!$B59),-('Diário 6º PA'!$P$5:$P$2246=N$1),('Diário 6º PA'!$F$5:$F$2246))+
SUMPRODUCT(-('Diário 7º PA'!$E$5:$E$2271='Analítico Cx.'!$B59),-('Diário 7º PA'!$P$5:$P$2271=N$1),('Diário 7º PA'!$F$5:$F$2271))+
SUMPRODUCT(-('Diário 8º PA'!$E$5:$E$2488='Analítico Cx.'!$B59),-('Diário 8º PA'!$P$5:$P$2488=N$1),('Diário 8º PA'!$F$5:$F$2488))</f>
        <v>0</v>
      </c>
      <c r="O59" s="186">
        <f t="shared" si="16"/>
        <v>0</v>
      </c>
      <c r="P59" s="187">
        <f t="shared" si="17"/>
        <v>0</v>
      </c>
      <c r="Q59" s="34"/>
      <c r="R59" s="34"/>
      <c r="S59" s="34"/>
      <c r="T59" s="34"/>
      <c r="U59" s="34"/>
      <c r="V59" s="34"/>
      <c r="W59" s="34"/>
      <c r="X59" s="34"/>
      <c r="Y59" s="34"/>
      <c r="Z59" s="34"/>
    </row>
    <row r="60" spans="1:26" ht="23.25" customHeight="1" x14ac:dyDescent="0.2">
      <c r="A60" s="203" t="s">
        <v>211</v>
      </c>
      <c r="B60" s="72" t="s">
        <v>212</v>
      </c>
      <c r="C60" s="185">
        <f>SUMPRODUCT(-('Diário 5º PA'!$E$5:$E$2634='Analítico Cx.'!$B60),-('Diário 5º PA'!$P$5:$P$2634=C$1),('Diário 5º PA'!$F$5:$F$2634))+
SUMPRODUCT(-('Diário 6º PA'!$E$5:$E$2246='Analítico Cx.'!$B60),-('Diário 6º PA'!$P$5:$P$2246=C$1),('Diário 6º PA'!$F$5:$F$2246))+
SUMPRODUCT(-('Diário 7º PA'!$E$5:$E$2271='Analítico Cx.'!$B60),-('Diário 7º PA'!$P$5:$P$2271=C$1),('Diário 7º PA'!$F$5:$F$2271))+
SUMPRODUCT(-('Diário 8º PA'!$E$5:$E$2488='Analítico Cx.'!$B60),-('Diário 8º PA'!$P$5:$P$2488=C$1),('Diário 8º PA'!$F$5:$F$2488))</f>
        <v>0</v>
      </c>
      <c r="D60" s="185">
        <f>SUMPRODUCT(-('Diário 5º PA'!$E$5:$E$2634='Analítico Cx.'!$B60),-('Diário 5º PA'!$P$5:$P$2634=D$1),('Diário 5º PA'!$F$5:$F$2634))+
SUMPRODUCT(-('Diário 6º PA'!$E$5:$E$2246='Analítico Cx.'!$B60),-('Diário 6º PA'!$P$5:$P$2246=D$1),('Diário 6º PA'!$F$5:$F$2246))+
SUMPRODUCT(-('Diário 7º PA'!$E$5:$E$2271='Analítico Cx.'!$B60),-('Diário 7º PA'!$P$5:$P$2271=D$1),('Diário 7º PA'!$F$5:$F$2271))+
SUMPRODUCT(-('Diário 8º PA'!$E$5:$E$2488='Analítico Cx.'!$B60),-('Diário 8º PA'!$P$5:$P$2488=D$1),('Diário 8º PA'!$F$5:$F$2488))</f>
        <v>1407.83</v>
      </c>
      <c r="E60" s="185">
        <f>SUMPRODUCT(-('Diário 5º PA'!$E$5:$E$2634='Analítico Cx.'!$B60),-('Diário 5º PA'!$P$5:$P$2634=E$1),('Diário 5º PA'!$F$5:$F$2634))+
SUMPRODUCT(-('Diário 6º PA'!$E$5:$E$2246='Analítico Cx.'!$B60),-('Diário 6º PA'!$P$5:$P$2246=E$1),('Diário 6º PA'!$F$5:$F$2246))+
SUMPRODUCT(-('Diário 7º PA'!$E$5:$E$2271='Analítico Cx.'!$B60),-('Diário 7º PA'!$P$5:$P$2271=E$1),('Diário 7º PA'!$F$5:$F$2271))+
SUMPRODUCT(-('Diário 8º PA'!$E$5:$E$2488='Analítico Cx.'!$B60),-('Diário 8º PA'!$P$5:$P$2488=E$1),('Diário 8º PA'!$F$5:$F$2488))</f>
        <v>1350.94</v>
      </c>
      <c r="F60" s="185">
        <f>SUMPRODUCT(-('Diário 5º PA'!$E$5:$E$2634='Analítico Cx.'!$B60),-('Diário 5º PA'!$P$5:$P$2634=F$1),('Diário 5º PA'!$F$5:$F$2634))+
SUMPRODUCT(-('Diário 6º PA'!$E$5:$E$2246='Analítico Cx.'!$B60),-('Diário 6º PA'!$P$5:$P$2246=F$1),('Diário 6º PA'!$F$5:$F$2246))+
SUMPRODUCT(-('Diário 7º PA'!$E$5:$E$2271='Analítico Cx.'!$B60),-('Diário 7º PA'!$P$5:$P$2271=F$1),('Diário 7º PA'!$F$5:$F$2271))+
SUMPRODUCT(-('Diário 8º PA'!$E$5:$E$2488='Analítico Cx.'!$B60),-('Diário 8º PA'!$P$5:$P$2488=F$1),('Diário 8º PA'!$F$5:$F$2488))</f>
        <v>1246.1199999999999</v>
      </c>
      <c r="G60" s="185">
        <f>SUMPRODUCT(-('Diário 5º PA'!$E$5:$E$2634='Analítico Cx.'!$B60),-('Diário 5º PA'!$P$5:$P$2634=G$1),('Diário 5º PA'!$F$5:$F$2634))+
SUMPRODUCT(-('Diário 6º PA'!$E$5:$E$2246='Analítico Cx.'!$B60),-('Diário 6º PA'!$P$5:$P$2246=G$1),('Diário 6º PA'!$F$5:$F$2246))+
SUMPRODUCT(-('Diário 7º PA'!$E$5:$E$2271='Analítico Cx.'!$B60),-('Diário 7º PA'!$P$5:$P$2271=G$1),('Diário 7º PA'!$F$5:$F$2271))+
SUMPRODUCT(-('Diário 8º PA'!$E$5:$E$2488='Analítico Cx.'!$B60),-('Diário 8º PA'!$P$5:$P$2488=G$1),('Diário 8º PA'!$F$5:$F$2488))</f>
        <v>1246.1199999999999</v>
      </c>
      <c r="H60" s="185">
        <f>SUMPRODUCT(-('Diário 5º PA'!$E$5:$E$2634='Analítico Cx.'!$B60),-('Diário 5º PA'!$P$5:$P$2634=H$1),('Diário 5º PA'!$F$5:$F$2634))+
SUMPRODUCT(-('Diário 6º PA'!$E$5:$E$2246='Analítico Cx.'!$B60),-('Diário 6º PA'!$P$5:$P$2246=H$1),('Diário 6º PA'!$F$5:$F$2246))+
SUMPRODUCT(-('Diário 7º PA'!$E$5:$E$2271='Analítico Cx.'!$B60),-('Diário 7º PA'!$P$5:$P$2271=H$1),('Diário 7º PA'!$F$5:$F$2271))+
SUMPRODUCT(-('Diário 8º PA'!$E$5:$E$2488='Analítico Cx.'!$B60),-('Diário 8º PA'!$P$5:$P$2488=H$1),('Diário 8º PA'!$F$5:$F$2488))</f>
        <v>1246.1199999999999</v>
      </c>
      <c r="I60" s="185">
        <f>SUMPRODUCT(-('Diário 5º PA'!$E$5:$E$2634='Analítico Cx.'!$B60),-('Diário 5º PA'!$P$5:$P$2634=I$1),('Diário 5º PA'!$F$5:$F$2634))+
SUMPRODUCT(-('Diário 6º PA'!$E$5:$E$2246='Analítico Cx.'!$B60),-('Diário 6º PA'!$P$5:$P$2246=I$1),('Diário 6º PA'!$F$5:$F$2246))+
SUMPRODUCT(-('Diário 7º PA'!$E$5:$E$2271='Analítico Cx.'!$B60),-('Diário 7º PA'!$P$5:$P$2271=I$1),('Diário 7º PA'!$F$5:$F$2271))+
SUMPRODUCT(-('Diário 8º PA'!$E$5:$E$2488='Analítico Cx.'!$B60),-('Diário 8º PA'!$P$5:$P$2488=I$1),('Diário 8º PA'!$F$5:$F$2488))</f>
        <v>1246.1199999999999</v>
      </c>
      <c r="J60" s="185">
        <f>SUMPRODUCT(-('Diário 5º PA'!$E$5:$E$2634='Analítico Cx.'!$B60),-('Diário 5º PA'!$P$5:$P$2634=J$1),('Diário 5º PA'!$F$5:$F$2634))+
SUMPRODUCT(-('Diário 6º PA'!$E$5:$E$2246='Analítico Cx.'!$B60),-('Diário 6º PA'!$P$5:$P$2246=J$1),('Diário 6º PA'!$F$5:$F$2246))+
SUMPRODUCT(-('Diário 7º PA'!$E$5:$E$2271='Analítico Cx.'!$B60),-('Diário 7º PA'!$P$5:$P$2271=J$1),('Diário 7º PA'!$F$5:$F$2271))+
SUMPRODUCT(-('Diário 8º PA'!$E$5:$E$2488='Analítico Cx.'!$B60),-('Diário 8º PA'!$P$5:$P$2488=J$1),('Diário 8º PA'!$F$5:$F$2488))</f>
        <v>1246.1199999999999</v>
      </c>
      <c r="K60" s="185">
        <f>SUMPRODUCT(-('Diário 5º PA'!$E$5:$E$2634='Analítico Cx.'!$B60),-('Diário 5º PA'!$P$5:$P$2634=K$1),('Diário 5º PA'!$F$5:$F$2634))+
SUMPRODUCT(-('Diário 6º PA'!$E$5:$E$2246='Analítico Cx.'!$B60),-('Diário 6º PA'!$P$5:$P$2246=K$1),('Diário 6º PA'!$F$5:$F$2246))+
SUMPRODUCT(-('Diário 7º PA'!$E$5:$E$2271='Analítico Cx.'!$B60),-('Diário 7º PA'!$P$5:$P$2271=K$1),('Diário 7º PA'!$F$5:$F$2271))+
SUMPRODUCT(-('Diário 8º PA'!$E$5:$E$2488='Analítico Cx.'!$B60),-('Diário 8º PA'!$P$5:$P$2488=K$1),('Diário 8º PA'!$F$5:$F$2488))</f>
        <v>1246.1199999999999</v>
      </c>
      <c r="L60" s="185">
        <f>SUMPRODUCT(-('Diário 5º PA'!$E$5:$E$2634='Analítico Cx.'!$B60),-('Diário 5º PA'!$P$5:$P$2634=L$1),('Diário 5º PA'!$F$5:$F$2634))+
SUMPRODUCT(-('Diário 6º PA'!$E$5:$E$2246='Analítico Cx.'!$B60),-('Diário 6º PA'!$P$5:$P$2246=L$1),('Diário 6º PA'!$F$5:$F$2246))+
SUMPRODUCT(-('Diário 7º PA'!$E$5:$E$2271='Analítico Cx.'!$B60),-('Diário 7º PA'!$P$5:$P$2271=L$1),('Diário 7º PA'!$F$5:$F$2271))+
SUMPRODUCT(-('Diário 8º PA'!$E$5:$E$2488='Analítico Cx.'!$B60),-('Diário 8º PA'!$P$5:$P$2488=L$1),('Diário 8º PA'!$F$5:$F$2488))</f>
        <v>1246.1199999999999</v>
      </c>
      <c r="M60" s="185">
        <f>SUMPRODUCT(-('Diário 5º PA'!$E$5:$E$2634='Analítico Cx.'!$B60),-('Diário 5º PA'!$P$5:$P$2634=M$1),('Diário 5º PA'!$F$5:$F$2634))+
SUMPRODUCT(-('Diário 6º PA'!$E$5:$E$2246='Analítico Cx.'!$B60),-('Diário 6º PA'!$P$5:$P$2246=M$1),('Diário 6º PA'!$F$5:$F$2246))+
SUMPRODUCT(-('Diário 7º PA'!$E$5:$E$2271='Analítico Cx.'!$B60),-('Diário 7º PA'!$P$5:$P$2271=M$1),('Diário 7º PA'!$F$5:$F$2271))+
SUMPRODUCT(-('Diário 8º PA'!$E$5:$E$2488='Analítico Cx.'!$B60),-('Diário 8º PA'!$P$5:$P$2488=M$1),('Diário 8º PA'!$F$5:$F$2488))</f>
        <v>1246.1199999999999</v>
      </c>
      <c r="N60" s="185">
        <f>SUMPRODUCT(-('Diário 5º PA'!$E$5:$E$2634='Analítico Cx.'!$B60),-('Diário 5º PA'!$P$5:$P$2634=N$1),('Diário 5º PA'!$F$5:$F$2634))+
SUMPRODUCT(-('Diário 6º PA'!$E$5:$E$2246='Analítico Cx.'!$B60),-('Diário 6º PA'!$P$5:$P$2246=N$1),('Diário 6º PA'!$F$5:$F$2246))+
SUMPRODUCT(-('Diário 7º PA'!$E$5:$E$2271='Analítico Cx.'!$B60),-('Diário 7º PA'!$P$5:$P$2271=N$1),('Diário 7º PA'!$F$5:$F$2271))+
SUMPRODUCT(-('Diário 8º PA'!$E$5:$E$2488='Analítico Cx.'!$B60),-('Diário 8º PA'!$P$5:$P$2488=N$1),('Diário 8º PA'!$F$5:$F$2488))</f>
        <v>1246.1199999999999</v>
      </c>
      <c r="O60" s="186">
        <f t="shared" si="16"/>
        <v>13973.849999999995</v>
      </c>
      <c r="P60" s="187">
        <f t="shared" si="17"/>
        <v>1.482642253916815E-3</v>
      </c>
      <c r="Q60" s="34"/>
      <c r="R60" s="34"/>
      <c r="S60" s="34"/>
      <c r="T60" s="34"/>
      <c r="U60" s="34"/>
      <c r="V60" s="34"/>
      <c r="W60" s="34"/>
      <c r="X60" s="34"/>
      <c r="Y60" s="34"/>
      <c r="Z60" s="34"/>
    </row>
    <row r="61" spans="1:26" ht="23.25" customHeight="1" x14ac:dyDescent="0.2">
      <c r="A61" s="203" t="s">
        <v>213</v>
      </c>
      <c r="B61" s="72" t="s">
        <v>214</v>
      </c>
      <c r="C61" s="185">
        <f>SUMPRODUCT(-('Diário 5º PA'!$E$5:$E$2634='Analítico Cx.'!$B61),-('Diário 5º PA'!$P$5:$P$2634=C$1),('Diário 5º PA'!$F$5:$F$2634))+
SUMPRODUCT(-('Diário 6º PA'!$E$5:$E$2246='Analítico Cx.'!$B61),-('Diário 6º PA'!$P$5:$P$2246=C$1),('Diário 6º PA'!$F$5:$F$2246))+
SUMPRODUCT(-('Diário 7º PA'!$E$5:$E$2271='Analítico Cx.'!$B61),-('Diário 7º PA'!$P$5:$P$2271=C$1),('Diário 7º PA'!$F$5:$F$2271))+
SUMPRODUCT(-('Diário 8º PA'!$E$5:$E$2488='Analítico Cx.'!$B61),-('Diário 8º PA'!$P$5:$P$2488=C$1),('Diário 8º PA'!$F$5:$F$2488))</f>
        <v>0</v>
      </c>
      <c r="D61" s="185">
        <f>SUMPRODUCT(-('Diário 5º PA'!$E$5:$E$2634='Analítico Cx.'!$B61),-('Diário 5º PA'!$P$5:$P$2634=D$1),('Diário 5º PA'!$F$5:$F$2634))+
SUMPRODUCT(-('Diário 6º PA'!$E$5:$E$2246='Analítico Cx.'!$B61),-('Diário 6º PA'!$P$5:$P$2246=D$1),('Diário 6º PA'!$F$5:$F$2246))+
SUMPRODUCT(-('Diário 7º PA'!$E$5:$E$2271='Analítico Cx.'!$B61),-('Diário 7º PA'!$P$5:$P$2271=D$1),('Diário 7º PA'!$F$5:$F$2271))+
SUMPRODUCT(-('Diário 8º PA'!$E$5:$E$2488='Analítico Cx.'!$B61),-('Diário 8º PA'!$P$5:$P$2488=D$1),('Diário 8º PA'!$F$5:$F$2488))</f>
        <v>0</v>
      </c>
      <c r="E61" s="185">
        <f>SUMPRODUCT(-('Diário 5º PA'!$E$5:$E$2634='Analítico Cx.'!$B61),-('Diário 5º PA'!$P$5:$P$2634=E$1),('Diário 5º PA'!$F$5:$F$2634))+
SUMPRODUCT(-('Diário 6º PA'!$E$5:$E$2246='Analítico Cx.'!$B61),-('Diário 6º PA'!$P$5:$P$2246=E$1),('Diário 6º PA'!$F$5:$F$2246))+
SUMPRODUCT(-('Diário 7º PA'!$E$5:$E$2271='Analítico Cx.'!$B61),-('Diário 7º PA'!$P$5:$P$2271=E$1),('Diário 7º PA'!$F$5:$F$2271))+
SUMPRODUCT(-('Diário 8º PA'!$E$5:$E$2488='Analítico Cx.'!$B61),-('Diário 8º PA'!$P$5:$P$2488=E$1),('Diário 8º PA'!$F$5:$F$2488))</f>
        <v>0</v>
      </c>
      <c r="F61" s="185">
        <f>SUMPRODUCT(-('Diário 5º PA'!$E$5:$E$2634='Analítico Cx.'!$B61),-('Diário 5º PA'!$P$5:$P$2634=F$1),('Diário 5º PA'!$F$5:$F$2634))+
SUMPRODUCT(-('Diário 6º PA'!$E$5:$E$2246='Analítico Cx.'!$B61),-('Diário 6º PA'!$P$5:$P$2246=F$1),('Diário 6º PA'!$F$5:$F$2246))+
SUMPRODUCT(-('Diário 7º PA'!$E$5:$E$2271='Analítico Cx.'!$B61),-('Diário 7º PA'!$P$5:$P$2271=F$1),('Diário 7º PA'!$F$5:$F$2271))+
SUMPRODUCT(-('Diário 8º PA'!$E$5:$E$2488='Analítico Cx.'!$B61),-('Diário 8º PA'!$P$5:$P$2488=F$1),('Diário 8º PA'!$F$5:$F$2488))</f>
        <v>0</v>
      </c>
      <c r="G61" s="185">
        <f>SUMPRODUCT(-('Diário 5º PA'!$E$5:$E$2634='Analítico Cx.'!$B61),-('Diário 5º PA'!$P$5:$P$2634=G$1),('Diário 5º PA'!$F$5:$F$2634))+
SUMPRODUCT(-('Diário 6º PA'!$E$5:$E$2246='Analítico Cx.'!$B61),-('Diário 6º PA'!$P$5:$P$2246=G$1),('Diário 6º PA'!$F$5:$F$2246))+
SUMPRODUCT(-('Diário 7º PA'!$E$5:$E$2271='Analítico Cx.'!$B61),-('Diário 7º PA'!$P$5:$P$2271=G$1),('Diário 7º PA'!$F$5:$F$2271))+
SUMPRODUCT(-('Diário 8º PA'!$E$5:$E$2488='Analítico Cx.'!$B61),-('Diário 8º PA'!$P$5:$P$2488=G$1),('Diário 8º PA'!$F$5:$F$2488))</f>
        <v>0</v>
      </c>
      <c r="H61" s="185">
        <f>SUMPRODUCT(-('Diário 5º PA'!$E$5:$E$2634='Analítico Cx.'!$B61),-('Diário 5º PA'!$P$5:$P$2634=H$1),('Diário 5º PA'!$F$5:$F$2634))+
SUMPRODUCT(-('Diário 6º PA'!$E$5:$E$2246='Analítico Cx.'!$B61),-('Diário 6º PA'!$P$5:$P$2246=H$1),('Diário 6º PA'!$F$5:$F$2246))+
SUMPRODUCT(-('Diário 7º PA'!$E$5:$E$2271='Analítico Cx.'!$B61),-('Diário 7º PA'!$P$5:$P$2271=H$1),('Diário 7º PA'!$F$5:$F$2271))+
SUMPRODUCT(-('Diário 8º PA'!$E$5:$E$2488='Analítico Cx.'!$B61),-('Diário 8º PA'!$P$5:$P$2488=H$1),('Diário 8º PA'!$F$5:$F$2488))</f>
        <v>0</v>
      </c>
      <c r="I61" s="185">
        <f>SUMPRODUCT(-('Diário 5º PA'!$E$5:$E$2634='Analítico Cx.'!$B61),-('Diário 5º PA'!$P$5:$P$2634=I$1),('Diário 5º PA'!$F$5:$F$2634))+
SUMPRODUCT(-('Diário 6º PA'!$E$5:$E$2246='Analítico Cx.'!$B61),-('Diário 6º PA'!$P$5:$P$2246=I$1),('Diário 6º PA'!$F$5:$F$2246))+
SUMPRODUCT(-('Diário 7º PA'!$E$5:$E$2271='Analítico Cx.'!$B61),-('Diário 7º PA'!$P$5:$P$2271=I$1),('Diário 7º PA'!$F$5:$F$2271))+
SUMPRODUCT(-('Diário 8º PA'!$E$5:$E$2488='Analítico Cx.'!$B61),-('Diário 8º PA'!$P$5:$P$2488=I$1),('Diário 8º PA'!$F$5:$F$2488))</f>
        <v>0</v>
      </c>
      <c r="J61" s="185">
        <f>SUMPRODUCT(-('Diário 5º PA'!$E$5:$E$2634='Analítico Cx.'!$B61),-('Diário 5º PA'!$P$5:$P$2634=J$1),('Diário 5º PA'!$F$5:$F$2634))+
SUMPRODUCT(-('Diário 6º PA'!$E$5:$E$2246='Analítico Cx.'!$B61),-('Diário 6º PA'!$P$5:$P$2246=J$1),('Diário 6º PA'!$F$5:$F$2246))+
SUMPRODUCT(-('Diário 7º PA'!$E$5:$E$2271='Analítico Cx.'!$B61),-('Diário 7º PA'!$P$5:$P$2271=J$1),('Diário 7º PA'!$F$5:$F$2271))+
SUMPRODUCT(-('Diário 8º PA'!$E$5:$E$2488='Analítico Cx.'!$B61),-('Diário 8º PA'!$P$5:$P$2488=J$1),('Diário 8º PA'!$F$5:$F$2488))</f>
        <v>0</v>
      </c>
      <c r="K61" s="185">
        <f>SUMPRODUCT(-('Diário 5º PA'!$E$5:$E$2634='Analítico Cx.'!$B61),-('Diário 5º PA'!$P$5:$P$2634=K$1),('Diário 5º PA'!$F$5:$F$2634))+
SUMPRODUCT(-('Diário 6º PA'!$E$5:$E$2246='Analítico Cx.'!$B61),-('Diário 6º PA'!$P$5:$P$2246=K$1),('Diário 6º PA'!$F$5:$F$2246))+
SUMPRODUCT(-('Diário 7º PA'!$E$5:$E$2271='Analítico Cx.'!$B61),-('Diário 7º PA'!$P$5:$P$2271=K$1),('Diário 7º PA'!$F$5:$F$2271))+
SUMPRODUCT(-('Diário 8º PA'!$E$5:$E$2488='Analítico Cx.'!$B61),-('Diário 8º PA'!$P$5:$P$2488=K$1),('Diário 8º PA'!$F$5:$F$2488))</f>
        <v>0</v>
      </c>
      <c r="L61" s="185">
        <f>SUMPRODUCT(-('Diário 5º PA'!$E$5:$E$2634='Analítico Cx.'!$B61),-('Diário 5º PA'!$P$5:$P$2634=L$1),('Diário 5º PA'!$F$5:$F$2634))+
SUMPRODUCT(-('Diário 6º PA'!$E$5:$E$2246='Analítico Cx.'!$B61),-('Diário 6º PA'!$P$5:$P$2246=L$1),('Diário 6º PA'!$F$5:$F$2246))+
SUMPRODUCT(-('Diário 7º PA'!$E$5:$E$2271='Analítico Cx.'!$B61),-('Diário 7º PA'!$P$5:$P$2271=L$1),('Diário 7º PA'!$F$5:$F$2271))+
SUMPRODUCT(-('Diário 8º PA'!$E$5:$E$2488='Analítico Cx.'!$B61),-('Diário 8º PA'!$P$5:$P$2488=L$1),('Diário 8º PA'!$F$5:$F$2488))</f>
        <v>0</v>
      </c>
      <c r="M61" s="185">
        <f>SUMPRODUCT(-('Diário 5º PA'!$E$5:$E$2634='Analítico Cx.'!$B61),-('Diário 5º PA'!$P$5:$P$2634=M$1),('Diário 5º PA'!$F$5:$F$2634))+
SUMPRODUCT(-('Diário 6º PA'!$E$5:$E$2246='Analítico Cx.'!$B61),-('Diário 6º PA'!$P$5:$P$2246=M$1),('Diário 6º PA'!$F$5:$F$2246))+
SUMPRODUCT(-('Diário 7º PA'!$E$5:$E$2271='Analítico Cx.'!$B61),-('Diário 7º PA'!$P$5:$P$2271=M$1),('Diário 7º PA'!$F$5:$F$2271))+
SUMPRODUCT(-('Diário 8º PA'!$E$5:$E$2488='Analítico Cx.'!$B61),-('Diário 8º PA'!$P$5:$P$2488=M$1),('Diário 8º PA'!$F$5:$F$2488))</f>
        <v>0</v>
      </c>
      <c r="N61" s="185">
        <f>SUMPRODUCT(-('Diário 5º PA'!$E$5:$E$2634='Analítico Cx.'!$B61),-('Diário 5º PA'!$P$5:$P$2634=N$1),('Diário 5º PA'!$F$5:$F$2634))+
SUMPRODUCT(-('Diário 6º PA'!$E$5:$E$2246='Analítico Cx.'!$B61),-('Diário 6º PA'!$P$5:$P$2246=N$1),('Diário 6º PA'!$F$5:$F$2246))+
SUMPRODUCT(-('Diário 7º PA'!$E$5:$E$2271='Analítico Cx.'!$B61),-('Diário 7º PA'!$P$5:$P$2271=N$1),('Diário 7º PA'!$F$5:$F$2271))+
SUMPRODUCT(-('Diário 8º PA'!$E$5:$E$2488='Analítico Cx.'!$B61),-('Diário 8º PA'!$P$5:$P$2488=N$1),('Diário 8º PA'!$F$5:$F$2488))</f>
        <v>0</v>
      </c>
      <c r="O61" s="186">
        <f t="shared" si="16"/>
        <v>0</v>
      </c>
      <c r="P61" s="187">
        <f t="shared" si="17"/>
        <v>0</v>
      </c>
      <c r="Q61" s="34"/>
      <c r="R61" s="34"/>
      <c r="S61" s="34"/>
      <c r="T61" s="34"/>
      <c r="U61" s="34"/>
      <c r="V61" s="34"/>
      <c r="W61" s="34"/>
      <c r="X61" s="34"/>
      <c r="Y61" s="34"/>
      <c r="Z61" s="34"/>
    </row>
    <row r="62" spans="1:26" ht="23.25" customHeight="1" x14ac:dyDescent="0.2">
      <c r="A62" s="203" t="s">
        <v>215</v>
      </c>
      <c r="B62" s="72" t="s">
        <v>216</v>
      </c>
      <c r="C62" s="185">
        <f>SUMPRODUCT(-('Diário 5º PA'!$E$5:$E$2634='Analítico Cx.'!$B62),-('Diário 5º PA'!$P$5:$P$2634=C$1),('Diário 5º PA'!$F$5:$F$2634))+
SUMPRODUCT(-('Diário 6º PA'!$E$5:$E$2246='Analítico Cx.'!$B62),-('Diário 6º PA'!$P$5:$P$2246=C$1),('Diário 6º PA'!$F$5:$F$2246))+
SUMPRODUCT(-('Diário 7º PA'!$E$5:$E$2271='Analítico Cx.'!$B62),-('Diário 7º PA'!$P$5:$P$2271=C$1),('Diário 7º PA'!$F$5:$F$2271))+
SUMPRODUCT(-('Diário 8º PA'!$E$5:$E$2488='Analítico Cx.'!$B62),-('Diário 8º PA'!$P$5:$P$2488=C$1),('Diário 8º PA'!$F$5:$F$2488))</f>
        <v>447.19</v>
      </c>
      <c r="D62" s="185">
        <f>SUMPRODUCT(-('Diário 5º PA'!$E$5:$E$2634='Analítico Cx.'!$B62),-('Diário 5º PA'!$P$5:$P$2634=D$1),('Diário 5º PA'!$F$5:$F$2634))+
SUMPRODUCT(-('Diário 6º PA'!$E$5:$E$2246='Analítico Cx.'!$B62),-('Diário 6º PA'!$P$5:$P$2246=D$1),('Diário 6º PA'!$F$5:$F$2246))+
SUMPRODUCT(-('Diário 7º PA'!$E$5:$E$2271='Analítico Cx.'!$B62),-('Diário 7º PA'!$P$5:$P$2271=D$1),('Diário 7º PA'!$F$5:$F$2271))+
SUMPRODUCT(-('Diário 8º PA'!$E$5:$E$2488='Analítico Cx.'!$B62),-('Diário 8º PA'!$P$5:$P$2488=D$1),('Diário 8º PA'!$F$5:$F$2488))</f>
        <v>467.02</v>
      </c>
      <c r="E62" s="185">
        <f>SUMPRODUCT(-('Diário 5º PA'!$E$5:$E$2634='Analítico Cx.'!$B62),-('Diário 5º PA'!$P$5:$P$2634=E$1),('Diário 5º PA'!$F$5:$F$2634))+
SUMPRODUCT(-('Diário 6º PA'!$E$5:$E$2246='Analítico Cx.'!$B62),-('Diário 6º PA'!$P$5:$P$2246=E$1),('Diário 6º PA'!$F$5:$F$2246))+
SUMPRODUCT(-('Diário 7º PA'!$E$5:$E$2271='Analítico Cx.'!$B62),-('Diário 7º PA'!$P$5:$P$2271=E$1),('Diário 7º PA'!$F$5:$F$2271))+
SUMPRODUCT(-('Diário 8º PA'!$E$5:$E$2488='Analítico Cx.'!$B62),-('Diário 8º PA'!$P$5:$P$2488=E$1),('Diário 8º PA'!$F$5:$F$2488))</f>
        <v>390.63</v>
      </c>
      <c r="F62" s="185">
        <f>SUMPRODUCT(-('Diário 5º PA'!$E$5:$E$2634='Analítico Cx.'!$B62),-('Diário 5º PA'!$P$5:$P$2634=F$1),('Diário 5º PA'!$F$5:$F$2634))+
SUMPRODUCT(-('Diário 6º PA'!$E$5:$E$2246='Analítico Cx.'!$B62),-('Diário 6º PA'!$P$5:$P$2246=F$1),('Diário 6º PA'!$F$5:$F$2246))+
SUMPRODUCT(-('Diário 7º PA'!$E$5:$E$2271='Analítico Cx.'!$B62),-('Diário 7º PA'!$P$5:$P$2271=F$1),('Diário 7º PA'!$F$5:$F$2271))+
SUMPRODUCT(-('Diário 8º PA'!$E$5:$E$2488='Analítico Cx.'!$B62),-('Diário 8º PA'!$P$5:$P$2488=F$1),('Diário 8º PA'!$F$5:$F$2488))</f>
        <v>248.67900000000003</v>
      </c>
      <c r="G62" s="185">
        <f>SUMPRODUCT(-('Diário 5º PA'!$E$5:$E$2634='Analítico Cx.'!$B62),-('Diário 5º PA'!$P$5:$P$2634=G$1),('Diário 5º PA'!$F$5:$F$2634))+
SUMPRODUCT(-('Diário 6º PA'!$E$5:$E$2246='Analítico Cx.'!$B62),-('Diário 6º PA'!$P$5:$P$2246=G$1),('Diário 6º PA'!$F$5:$F$2246))+
SUMPRODUCT(-('Diário 7º PA'!$E$5:$E$2271='Analítico Cx.'!$B62),-('Diário 7º PA'!$P$5:$P$2271=G$1),('Diário 7º PA'!$F$5:$F$2271))+
SUMPRODUCT(-('Diário 8º PA'!$E$5:$E$2488='Analítico Cx.'!$B62),-('Diário 8º PA'!$P$5:$P$2488=G$1),('Diário 8º PA'!$F$5:$F$2488))</f>
        <v>320.12</v>
      </c>
      <c r="H62" s="185">
        <f>SUMPRODUCT(-('Diário 5º PA'!$E$5:$E$2634='Analítico Cx.'!$B62),-('Diário 5º PA'!$P$5:$P$2634=H$1),('Diário 5º PA'!$F$5:$F$2634))+
SUMPRODUCT(-('Diário 6º PA'!$E$5:$E$2246='Analítico Cx.'!$B62),-('Diário 6º PA'!$P$5:$P$2246=H$1),('Diário 6º PA'!$F$5:$F$2246))+
SUMPRODUCT(-('Diário 7º PA'!$E$5:$E$2271='Analítico Cx.'!$B62),-('Diário 7º PA'!$P$5:$P$2271=H$1),('Diário 7º PA'!$F$5:$F$2271))+
SUMPRODUCT(-('Diário 8º PA'!$E$5:$E$2488='Analítico Cx.'!$B62),-('Diário 8º PA'!$P$5:$P$2488=H$1),('Diário 8º PA'!$F$5:$F$2488))</f>
        <v>313.81000000000006</v>
      </c>
      <c r="I62" s="185">
        <f>SUMPRODUCT(-('Diário 5º PA'!$E$5:$E$2634='Analítico Cx.'!$B62),-('Diário 5º PA'!$P$5:$P$2634=I$1),('Diário 5º PA'!$F$5:$F$2634))+
SUMPRODUCT(-('Diário 6º PA'!$E$5:$E$2246='Analítico Cx.'!$B62),-('Diário 6º PA'!$P$5:$P$2246=I$1),('Diário 6º PA'!$F$5:$F$2246))+
SUMPRODUCT(-('Diário 7º PA'!$E$5:$E$2271='Analítico Cx.'!$B62),-('Diário 7º PA'!$P$5:$P$2271=I$1),('Diário 7º PA'!$F$5:$F$2271))+
SUMPRODUCT(-('Diário 8º PA'!$E$5:$E$2488='Analítico Cx.'!$B62),-('Diário 8º PA'!$P$5:$P$2488=I$1),('Diário 8º PA'!$F$5:$F$2488))</f>
        <v>309.20999999999998</v>
      </c>
      <c r="J62" s="185">
        <f>SUMPRODUCT(-('Diário 5º PA'!$E$5:$E$2634='Analítico Cx.'!$B62),-('Diário 5º PA'!$P$5:$P$2634=J$1),('Diário 5º PA'!$F$5:$F$2634))+
SUMPRODUCT(-('Diário 6º PA'!$E$5:$E$2246='Analítico Cx.'!$B62),-('Diário 6º PA'!$P$5:$P$2246=J$1),('Diário 6º PA'!$F$5:$F$2246))+
SUMPRODUCT(-('Diário 7º PA'!$E$5:$E$2271='Analítico Cx.'!$B62),-('Diário 7º PA'!$P$5:$P$2271=J$1),('Diário 7º PA'!$F$5:$F$2271))+
SUMPRODUCT(-('Diário 8º PA'!$E$5:$E$2488='Analítico Cx.'!$B62),-('Diário 8º PA'!$P$5:$P$2488=J$1),('Diário 8º PA'!$F$5:$F$2488))</f>
        <v>315.12</v>
      </c>
      <c r="K62" s="185">
        <f>SUMPRODUCT(-('Diário 5º PA'!$E$5:$E$2634='Analítico Cx.'!$B62),-('Diário 5º PA'!$P$5:$P$2634=K$1),('Diário 5º PA'!$F$5:$F$2634))+
SUMPRODUCT(-('Diário 6º PA'!$E$5:$E$2246='Analítico Cx.'!$B62),-('Diário 6º PA'!$P$5:$P$2246=K$1),('Diário 6º PA'!$F$5:$F$2246))+
SUMPRODUCT(-('Diário 7º PA'!$E$5:$E$2271='Analítico Cx.'!$B62),-('Diário 7º PA'!$P$5:$P$2271=K$1),('Diário 7º PA'!$F$5:$F$2271))+
SUMPRODUCT(-('Diário 8º PA'!$E$5:$E$2488='Analítico Cx.'!$B62),-('Diário 8º PA'!$P$5:$P$2488=K$1),('Diário 8º PA'!$F$5:$F$2488))</f>
        <v>371.19</v>
      </c>
      <c r="L62" s="185">
        <f>SUMPRODUCT(-('Diário 5º PA'!$E$5:$E$2634='Analítico Cx.'!$B62),-('Diário 5º PA'!$P$5:$P$2634=L$1),('Diário 5º PA'!$F$5:$F$2634))+
SUMPRODUCT(-('Diário 6º PA'!$E$5:$E$2246='Analítico Cx.'!$B62),-('Diário 6º PA'!$P$5:$P$2246=L$1),('Diário 6º PA'!$F$5:$F$2246))+
SUMPRODUCT(-('Diário 7º PA'!$E$5:$E$2271='Analítico Cx.'!$B62),-('Diário 7º PA'!$P$5:$P$2271=L$1),('Diário 7º PA'!$F$5:$F$2271))+
SUMPRODUCT(-('Diário 8º PA'!$E$5:$E$2488='Analítico Cx.'!$B62),-('Diário 8º PA'!$P$5:$P$2488=L$1),('Diário 8º PA'!$F$5:$F$2488))</f>
        <v>380.28999999999996</v>
      </c>
      <c r="M62" s="185">
        <f>SUMPRODUCT(-('Diário 5º PA'!$E$5:$E$2634='Analítico Cx.'!$B62),-('Diário 5º PA'!$P$5:$P$2634=M$1),('Diário 5º PA'!$F$5:$F$2634))+
SUMPRODUCT(-('Diário 6º PA'!$E$5:$E$2246='Analítico Cx.'!$B62),-('Diário 6º PA'!$P$5:$P$2246=M$1),('Diário 6º PA'!$F$5:$F$2246))+
SUMPRODUCT(-('Diário 7º PA'!$E$5:$E$2271='Analítico Cx.'!$B62),-('Diário 7º PA'!$P$5:$P$2271=M$1),('Diário 7º PA'!$F$5:$F$2271))+
SUMPRODUCT(-('Diário 8º PA'!$E$5:$E$2488='Analítico Cx.'!$B62),-('Diário 8º PA'!$P$5:$P$2488=M$1),('Diário 8º PA'!$F$5:$F$2488))</f>
        <v>358.06</v>
      </c>
      <c r="N62" s="185">
        <f>SUMPRODUCT(-('Diário 5º PA'!$E$5:$E$2634='Analítico Cx.'!$B62),-('Diário 5º PA'!$P$5:$P$2634=N$1),('Diário 5º PA'!$F$5:$F$2634))+
SUMPRODUCT(-('Diário 6º PA'!$E$5:$E$2246='Analítico Cx.'!$B62),-('Diário 6º PA'!$P$5:$P$2246=N$1),('Diário 6º PA'!$F$5:$F$2246))+
SUMPRODUCT(-('Diário 7º PA'!$E$5:$E$2271='Analítico Cx.'!$B62),-('Diário 7º PA'!$P$5:$P$2271=N$1),('Diário 7º PA'!$F$5:$F$2271))+
SUMPRODUCT(-('Diário 8º PA'!$E$5:$E$2488='Analítico Cx.'!$B62),-('Diário 8º PA'!$P$5:$P$2488=N$1),('Diário 8º PA'!$F$5:$F$2488))</f>
        <v>386.34</v>
      </c>
      <c r="O62" s="186">
        <f t="shared" si="16"/>
        <v>4307.6589999999997</v>
      </c>
      <c r="P62" s="187">
        <f t="shared" si="17"/>
        <v>4.5704778918229799E-4</v>
      </c>
      <c r="Q62" s="34"/>
      <c r="R62" s="34"/>
      <c r="S62" s="34"/>
      <c r="T62" s="34"/>
      <c r="U62" s="34"/>
      <c r="V62" s="34"/>
      <c r="W62" s="34"/>
      <c r="X62" s="34"/>
      <c r="Y62" s="34"/>
      <c r="Z62" s="34"/>
    </row>
    <row r="63" spans="1:26" ht="23.25" customHeight="1" x14ac:dyDescent="0.2">
      <c r="A63" s="203" t="s">
        <v>217</v>
      </c>
      <c r="B63" s="72" t="s">
        <v>218</v>
      </c>
      <c r="C63" s="185">
        <f>SUMPRODUCT(-('Diário 5º PA'!$E$5:$E$2634='Analítico Cx.'!$B63),-('Diário 5º PA'!$P$5:$P$2634=C$1),('Diário 5º PA'!$F$5:$F$2634))+
SUMPRODUCT(-('Diário 6º PA'!$E$5:$E$2246='Analítico Cx.'!$B63),-('Diário 6º PA'!$P$5:$P$2246=C$1),('Diário 6º PA'!$F$5:$F$2246))+
SUMPRODUCT(-('Diário 7º PA'!$E$5:$E$2271='Analítico Cx.'!$B63),-('Diário 7º PA'!$P$5:$P$2271=C$1),('Diário 7º PA'!$F$5:$F$2271))+
SUMPRODUCT(-('Diário 8º PA'!$E$5:$E$2488='Analítico Cx.'!$B63),-('Diário 8º PA'!$P$5:$P$2488=C$1),('Diário 8º PA'!$F$5:$F$2488))</f>
        <v>421.94</v>
      </c>
      <c r="D63" s="185">
        <f>SUMPRODUCT(-('Diário 5º PA'!$E$5:$E$2634='Analítico Cx.'!$B63),-('Diário 5º PA'!$P$5:$P$2634=D$1),('Diário 5º PA'!$F$5:$F$2634))+
SUMPRODUCT(-('Diário 6º PA'!$E$5:$E$2246='Analítico Cx.'!$B63),-('Diário 6º PA'!$P$5:$P$2246=D$1),('Diário 6º PA'!$F$5:$F$2246))+
SUMPRODUCT(-('Diário 7º PA'!$E$5:$E$2271='Analítico Cx.'!$B63),-('Diário 7º PA'!$P$5:$P$2271=D$1),('Diário 7º PA'!$F$5:$F$2271))+
SUMPRODUCT(-('Diário 8º PA'!$E$5:$E$2488='Analítico Cx.'!$B63),-('Diário 8º PA'!$P$5:$P$2488=D$1),('Diário 8º PA'!$F$5:$F$2488))</f>
        <v>0</v>
      </c>
      <c r="E63" s="185">
        <f>SUMPRODUCT(-('Diário 5º PA'!$E$5:$E$2634='Analítico Cx.'!$B63),-('Diário 5º PA'!$P$5:$P$2634=E$1),('Diário 5º PA'!$F$5:$F$2634))+
SUMPRODUCT(-('Diário 6º PA'!$E$5:$E$2246='Analítico Cx.'!$B63),-('Diário 6º PA'!$P$5:$P$2246=E$1),('Diário 6º PA'!$F$5:$F$2246))+
SUMPRODUCT(-('Diário 7º PA'!$E$5:$E$2271='Analítico Cx.'!$B63),-('Diário 7º PA'!$P$5:$P$2271=E$1),('Diário 7º PA'!$F$5:$F$2271))+
SUMPRODUCT(-('Diário 8º PA'!$E$5:$E$2488='Analítico Cx.'!$B63),-('Diário 8º PA'!$P$5:$P$2488=E$1),('Diário 8º PA'!$F$5:$F$2488))</f>
        <v>703.69</v>
      </c>
      <c r="F63" s="185">
        <f>SUMPRODUCT(-('Diário 5º PA'!$E$5:$E$2634='Analítico Cx.'!$B63),-('Diário 5º PA'!$P$5:$P$2634=F$1),('Diário 5º PA'!$F$5:$F$2634))+
SUMPRODUCT(-('Diário 6º PA'!$E$5:$E$2246='Analítico Cx.'!$B63),-('Diário 6º PA'!$P$5:$P$2246=F$1),('Diário 6º PA'!$F$5:$F$2246))+
SUMPRODUCT(-('Diário 7º PA'!$E$5:$E$2271='Analítico Cx.'!$B63),-('Diário 7º PA'!$P$5:$P$2271=F$1),('Diário 7º PA'!$F$5:$F$2271))+
SUMPRODUCT(-('Diário 8º PA'!$E$5:$E$2488='Analítico Cx.'!$B63),-('Diário 8º PA'!$P$5:$P$2488=F$1),('Diário 8º PA'!$F$5:$F$2488))</f>
        <v>275.83</v>
      </c>
      <c r="G63" s="185">
        <f>SUMPRODUCT(-('Diário 5º PA'!$E$5:$E$2634='Analítico Cx.'!$B63),-('Diário 5º PA'!$P$5:$P$2634=G$1),('Diário 5º PA'!$F$5:$F$2634))+
SUMPRODUCT(-('Diário 6º PA'!$E$5:$E$2246='Analítico Cx.'!$B63),-('Diário 6º PA'!$P$5:$P$2246=G$1),('Diário 6º PA'!$F$5:$F$2246))+
SUMPRODUCT(-('Diário 7º PA'!$E$5:$E$2271='Analítico Cx.'!$B63),-('Diário 7º PA'!$P$5:$P$2271=G$1),('Diário 7º PA'!$F$5:$F$2271))+
SUMPRODUCT(-('Diário 8º PA'!$E$5:$E$2488='Analítico Cx.'!$B63),-('Diário 8º PA'!$P$5:$P$2488=G$1),('Diário 8º PA'!$F$5:$F$2488))</f>
        <v>45.66</v>
      </c>
      <c r="H63" s="185">
        <f>SUMPRODUCT(-('Diário 5º PA'!$E$5:$E$2634='Analítico Cx.'!$B63),-('Diário 5º PA'!$P$5:$P$2634=H$1),('Diário 5º PA'!$F$5:$F$2634))+
SUMPRODUCT(-('Diário 6º PA'!$E$5:$E$2246='Analítico Cx.'!$B63),-('Diário 6º PA'!$P$5:$P$2246=H$1),('Diário 6º PA'!$F$5:$F$2246))+
SUMPRODUCT(-('Diário 7º PA'!$E$5:$E$2271='Analítico Cx.'!$B63),-('Diário 7º PA'!$P$5:$P$2271=H$1),('Diário 7º PA'!$F$5:$F$2271))+
SUMPRODUCT(-('Diário 8º PA'!$E$5:$E$2488='Analítico Cx.'!$B63),-('Diário 8º PA'!$P$5:$P$2488=H$1),('Diário 8º PA'!$F$5:$F$2488))</f>
        <v>246.45000000000002</v>
      </c>
      <c r="I63" s="185">
        <f>SUMPRODUCT(-('Diário 5º PA'!$E$5:$E$2634='Analítico Cx.'!$B63),-('Diário 5º PA'!$P$5:$P$2634=I$1),('Diário 5º PA'!$F$5:$F$2634))+
SUMPRODUCT(-('Diário 6º PA'!$E$5:$E$2246='Analítico Cx.'!$B63),-('Diário 6º PA'!$P$5:$P$2246=I$1),('Diário 6º PA'!$F$5:$F$2246))+
SUMPRODUCT(-('Diário 7º PA'!$E$5:$E$2271='Analítico Cx.'!$B63),-('Diário 7º PA'!$P$5:$P$2271=I$1),('Diário 7º PA'!$F$5:$F$2271))+
SUMPRODUCT(-('Diário 8º PA'!$E$5:$E$2488='Analítico Cx.'!$B63),-('Diário 8º PA'!$P$5:$P$2488=I$1),('Diário 8º PA'!$F$5:$F$2488))</f>
        <v>78.649999999999991</v>
      </c>
      <c r="J63" s="185">
        <f>SUMPRODUCT(-('Diário 5º PA'!$E$5:$E$2634='Analítico Cx.'!$B63),-('Diário 5º PA'!$P$5:$P$2634=J$1),('Diário 5º PA'!$F$5:$F$2634))+
SUMPRODUCT(-('Diário 6º PA'!$E$5:$E$2246='Analítico Cx.'!$B63),-('Diário 6º PA'!$P$5:$P$2246=J$1),('Diário 6º PA'!$F$5:$F$2246))+
SUMPRODUCT(-('Diário 7º PA'!$E$5:$E$2271='Analítico Cx.'!$B63),-('Diário 7º PA'!$P$5:$P$2271=J$1),('Diário 7º PA'!$F$5:$F$2271))+
SUMPRODUCT(-('Diário 8º PA'!$E$5:$E$2488='Analítico Cx.'!$B63),-('Diário 8º PA'!$P$5:$P$2488=J$1),('Diário 8º PA'!$F$5:$F$2488))</f>
        <v>227.28999999999996</v>
      </c>
      <c r="K63" s="185">
        <f>SUMPRODUCT(-('Diário 5º PA'!$E$5:$E$2634='Analítico Cx.'!$B63),-('Diário 5º PA'!$P$5:$P$2634=K$1),('Diário 5º PA'!$F$5:$F$2634))+
SUMPRODUCT(-('Diário 6º PA'!$E$5:$E$2246='Analítico Cx.'!$B63),-('Diário 6º PA'!$P$5:$P$2246=K$1),('Diário 6º PA'!$F$5:$F$2246))+
SUMPRODUCT(-('Diário 7º PA'!$E$5:$E$2271='Analítico Cx.'!$B63),-('Diário 7º PA'!$P$5:$P$2271=K$1),('Diário 7º PA'!$F$5:$F$2271))+
SUMPRODUCT(-('Diário 8º PA'!$E$5:$E$2488='Analítico Cx.'!$B63),-('Diário 8º PA'!$P$5:$P$2488=K$1),('Diário 8º PA'!$F$5:$F$2488))</f>
        <v>202.26000000000002</v>
      </c>
      <c r="L63" s="185">
        <f>SUMPRODUCT(-('Diário 5º PA'!$E$5:$E$2634='Analítico Cx.'!$B63),-('Diário 5º PA'!$P$5:$P$2634=L$1),('Diário 5º PA'!$F$5:$F$2634))+
SUMPRODUCT(-('Diário 6º PA'!$E$5:$E$2246='Analítico Cx.'!$B63),-('Diário 6º PA'!$P$5:$P$2246=L$1),('Diário 6º PA'!$F$5:$F$2246))+
SUMPRODUCT(-('Diário 7º PA'!$E$5:$E$2271='Analítico Cx.'!$B63),-('Diário 7º PA'!$P$5:$P$2271=L$1),('Diário 7º PA'!$F$5:$F$2271))+
SUMPRODUCT(-('Diário 8º PA'!$E$5:$E$2488='Analítico Cx.'!$B63),-('Diário 8º PA'!$P$5:$P$2488=L$1),('Diário 8º PA'!$F$5:$F$2488))</f>
        <v>41.9</v>
      </c>
      <c r="M63" s="185">
        <f>SUMPRODUCT(-('Diário 5º PA'!$E$5:$E$2634='Analítico Cx.'!$B63),-('Diário 5º PA'!$P$5:$P$2634=M$1),('Diário 5º PA'!$F$5:$F$2634))+
SUMPRODUCT(-('Diário 6º PA'!$E$5:$E$2246='Analítico Cx.'!$B63),-('Diário 6º PA'!$P$5:$P$2246=M$1),('Diário 6º PA'!$F$5:$F$2246))+
SUMPRODUCT(-('Diário 7º PA'!$E$5:$E$2271='Analítico Cx.'!$B63),-('Diário 7º PA'!$P$5:$P$2271=M$1),('Diário 7º PA'!$F$5:$F$2271))+
SUMPRODUCT(-('Diário 8º PA'!$E$5:$E$2488='Analítico Cx.'!$B63),-('Diário 8º PA'!$P$5:$P$2488=M$1),('Diário 8º PA'!$F$5:$F$2488))</f>
        <v>218.01000000000002</v>
      </c>
      <c r="N63" s="185">
        <f>SUMPRODUCT(-('Diário 5º PA'!$E$5:$E$2634='Analítico Cx.'!$B63),-('Diário 5º PA'!$P$5:$P$2634=N$1),('Diário 5º PA'!$F$5:$F$2634))+
SUMPRODUCT(-('Diário 6º PA'!$E$5:$E$2246='Analítico Cx.'!$B63),-('Diário 6º PA'!$P$5:$P$2246=N$1),('Diário 6º PA'!$F$5:$F$2246))+
SUMPRODUCT(-('Diário 7º PA'!$E$5:$E$2271='Analítico Cx.'!$B63),-('Diário 7º PA'!$P$5:$P$2271=N$1),('Diário 7º PA'!$F$5:$F$2271))+
SUMPRODUCT(-('Diário 8º PA'!$E$5:$E$2488='Analítico Cx.'!$B63),-('Diário 8º PA'!$P$5:$P$2488=N$1),('Diário 8º PA'!$F$5:$F$2488))</f>
        <v>120.13000000000001</v>
      </c>
      <c r="O63" s="186">
        <f t="shared" si="16"/>
        <v>2581.8100000000009</v>
      </c>
      <c r="P63" s="187">
        <f t="shared" si="17"/>
        <v>2.7393313922683977E-4</v>
      </c>
      <c r="Q63" s="34"/>
      <c r="R63" s="34"/>
      <c r="S63" s="34"/>
      <c r="T63" s="34"/>
      <c r="U63" s="34"/>
      <c r="V63" s="34"/>
      <c r="W63" s="34"/>
      <c r="X63" s="34"/>
      <c r="Y63" s="34"/>
      <c r="Z63" s="34"/>
    </row>
    <row r="64" spans="1:26" ht="23.25" customHeight="1" x14ac:dyDescent="0.2">
      <c r="A64" s="203" t="s">
        <v>219</v>
      </c>
      <c r="B64" s="72" t="s">
        <v>220</v>
      </c>
      <c r="C64" s="185">
        <f>SUMPRODUCT(-('Diário 5º PA'!$E$5:$E$2634='Analítico Cx.'!$B64),-('Diário 5º PA'!$P$5:$P$2634=C$1),('Diário 5º PA'!$F$5:$F$2634))+
SUMPRODUCT(-('Diário 6º PA'!$E$5:$E$2246='Analítico Cx.'!$B64),-('Diário 6º PA'!$P$5:$P$2246=C$1),('Diário 6º PA'!$F$5:$F$2246))+
SUMPRODUCT(-('Diário 7º PA'!$E$5:$E$2271='Analítico Cx.'!$B64),-('Diário 7º PA'!$P$5:$P$2271=C$1),('Diário 7º PA'!$F$5:$F$2271))+
SUMPRODUCT(-('Diário 8º PA'!$E$5:$E$2488='Analítico Cx.'!$B64),-('Diário 8º PA'!$P$5:$P$2488=C$1),('Diário 8º PA'!$F$5:$F$2488))</f>
        <v>380.74</v>
      </c>
      <c r="D64" s="185">
        <f>SUMPRODUCT(-('Diário 5º PA'!$E$5:$E$2634='Analítico Cx.'!$B64),-('Diário 5º PA'!$P$5:$P$2634=D$1),('Diário 5º PA'!$F$5:$F$2634))+
SUMPRODUCT(-('Diário 6º PA'!$E$5:$E$2246='Analítico Cx.'!$B64),-('Diário 6º PA'!$P$5:$P$2246=D$1),('Diário 6º PA'!$F$5:$F$2246))+
SUMPRODUCT(-('Diário 7º PA'!$E$5:$E$2271='Analítico Cx.'!$B64),-('Diário 7º PA'!$P$5:$P$2271=D$1),('Diário 7º PA'!$F$5:$F$2271))+
SUMPRODUCT(-('Diário 8º PA'!$E$5:$E$2488='Analítico Cx.'!$B64),-('Diário 8º PA'!$P$5:$P$2488=D$1),('Diário 8º PA'!$F$5:$F$2488))</f>
        <v>347.92</v>
      </c>
      <c r="E64" s="185">
        <f>SUMPRODUCT(-('Diário 5º PA'!$E$5:$E$2634='Analítico Cx.'!$B64),-('Diário 5º PA'!$P$5:$P$2634=E$1),('Diário 5º PA'!$F$5:$F$2634))+
SUMPRODUCT(-('Diário 6º PA'!$E$5:$E$2246='Analítico Cx.'!$B64),-('Diário 6º PA'!$P$5:$P$2246=E$1),('Diário 6º PA'!$F$5:$F$2246))+
SUMPRODUCT(-('Diário 7º PA'!$E$5:$E$2271='Analítico Cx.'!$B64),-('Diário 7º PA'!$P$5:$P$2271=E$1),('Diário 7º PA'!$F$5:$F$2271))+
SUMPRODUCT(-('Diário 8º PA'!$E$5:$E$2488='Analítico Cx.'!$B64),-('Diário 8º PA'!$P$5:$P$2488=E$1),('Diário 8º PA'!$F$5:$F$2488))</f>
        <v>306.3</v>
      </c>
      <c r="F64" s="185">
        <f>SUMPRODUCT(-('Diário 5º PA'!$E$5:$E$2634='Analítico Cx.'!$B64),-('Diário 5º PA'!$P$5:$P$2634=F$1),('Diário 5º PA'!$F$5:$F$2634))+
SUMPRODUCT(-('Diário 6º PA'!$E$5:$E$2246='Analítico Cx.'!$B64),-('Diário 6º PA'!$P$5:$P$2246=F$1),('Diário 6º PA'!$F$5:$F$2246))+
SUMPRODUCT(-('Diário 7º PA'!$E$5:$E$2271='Analítico Cx.'!$B64),-('Diário 7º PA'!$P$5:$P$2271=F$1),('Diário 7º PA'!$F$5:$F$2271))+
SUMPRODUCT(-('Diário 8º PA'!$E$5:$E$2488='Analítico Cx.'!$B64),-('Diário 8º PA'!$P$5:$P$2488=F$1),('Diário 8º PA'!$F$5:$F$2488))</f>
        <v>346.25</v>
      </c>
      <c r="G64" s="185">
        <f>SUMPRODUCT(-('Diário 5º PA'!$E$5:$E$2634='Analítico Cx.'!$B64),-('Diário 5º PA'!$P$5:$P$2634=G$1),('Diário 5º PA'!$F$5:$F$2634))+
SUMPRODUCT(-('Diário 6º PA'!$E$5:$E$2246='Analítico Cx.'!$B64),-('Diário 6º PA'!$P$5:$P$2246=G$1),('Diário 6º PA'!$F$5:$F$2246))+
SUMPRODUCT(-('Diário 7º PA'!$E$5:$E$2271='Analítico Cx.'!$B64),-('Diário 7º PA'!$P$5:$P$2271=G$1),('Diário 7º PA'!$F$5:$F$2271))+
SUMPRODUCT(-('Diário 8º PA'!$E$5:$E$2488='Analítico Cx.'!$B64),-('Diário 8º PA'!$P$5:$P$2488=G$1),('Diário 8º PA'!$F$5:$F$2488))</f>
        <v>272.15999999999997</v>
      </c>
      <c r="H64" s="185">
        <f>SUMPRODUCT(-('Diário 5º PA'!$E$5:$E$2634='Analítico Cx.'!$B64),-('Diário 5º PA'!$P$5:$P$2634=H$1),('Diário 5º PA'!$F$5:$F$2634))+
SUMPRODUCT(-('Diário 6º PA'!$E$5:$E$2246='Analítico Cx.'!$B64),-('Diário 6º PA'!$P$5:$P$2246=H$1),('Diário 6º PA'!$F$5:$F$2246))+
SUMPRODUCT(-('Diário 7º PA'!$E$5:$E$2271='Analítico Cx.'!$B64),-('Diário 7º PA'!$P$5:$P$2271=H$1),('Diário 7º PA'!$F$5:$F$2271))+
SUMPRODUCT(-('Diário 8º PA'!$E$5:$E$2488='Analítico Cx.'!$B64),-('Diário 8º PA'!$P$5:$P$2488=H$1),('Diário 8º PA'!$F$5:$F$2488))</f>
        <v>312.31</v>
      </c>
      <c r="I64" s="185">
        <f>SUMPRODUCT(-('Diário 5º PA'!$E$5:$E$2634='Analítico Cx.'!$B64),-('Diário 5º PA'!$P$5:$P$2634=I$1),('Diário 5º PA'!$F$5:$F$2634))+
SUMPRODUCT(-('Diário 6º PA'!$E$5:$E$2246='Analítico Cx.'!$B64),-('Diário 6º PA'!$P$5:$P$2246=I$1),('Diário 6º PA'!$F$5:$F$2246))+
SUMPRODUCT(-('Diário 7º PA'!$E$5:$E$2271='Analítico Cx.'!$B64),-('Diário 7º PA'!$P$5:$P$2271=I$1),('Diário 7º PA'!$F$5:$F$2271))+
SUMPRODUCT(-('Diário 8º PA'!$E$5:$E$2488='Analítico Cx.'!$B64),-('Diário 8º PA'!$P$5:$P$2488=I$1),('Diário 8º PA'!$F$5:$F$2488))</f>
        <v>232.60999999999996</v>
      </c>
      <c r="J64" s="185">
        <f>SUMPRODUCT(-('Diário 5º PA'!$E$5:$E$2634='Analítico Cx.'!$B64),-('Diário 5º PA'!$P$5:$P$2634=J$1),('Diário 5º PA'!$F$5:$F$2634))+
SUMPRODUCT(-('Diário 6º PA'!$E$5:$E$2246='Analítico Cx.'!$B64),-('Diário 6º PA'!$P$5:$P$2246=J$1),('Diário 6º PA'!$F$5:$F$2246))+
SUMPRODUCT(-('Diário 7º PA'!$E$5:$E$2271='Analítico Cx.'!$B64),-('Diário 7º PA'!$P$5:$P$2271=J$1),('Diário 7º PA'!$F$5:$F$2271))+
SUMPRODUCT(-('Diário 8º PA'!$E$5:$E$2488='Analítico Cx.'!$B64),-('Diário 8º PA'!$P$5:$P$2488=J$1),('Diário 8º PA'!$F$5:$F$2488))</f>
        <v>195.60000000000002</v>
      </c>
      <c r="K64" s="185">
        <f>SUMPRODUCT(-('Diário 5º PA'!$E$5:$E$2634='Analítico Cx.'!$B64),-('Diário 5º PA'!$P$5:$P$2634=K$1),('Diário 5º PA'!$F$5:$F$2634))+
SUMPRODUCT(-('Diário 6º PA'!$E$5:$E$2246='Analítico Cx.'!$B64),-('Diário 6º PA'!$P$5:$P$2246=K$1),('Diário 6º PA'!$F$5:$F$2246))+
SUMPRODUCT(-('Diário 7º PA'!$E$5:$E$2271='Analítico Cx.'!$B64),-('Diário 7º PA'!$P$5:$P$2271=K$1),('Diário 7º PA'!$F$5:$F$2271))+
SUMPRODUCT(-('Diário 8º PA'!$E$5:$E$2488='Analítico Cx.'!$B64),-('Diário 8º PA'!$P$5:$P$2488=K$1),('Diário 8º PA'!$F$5:$F$2488))</f>
        <v>215.49999999999997</v>
      </c>
      <c r="L64" s="185">
        <f>SUMPRODUCT(-('Diário 5º PA'!$E$5:$E$2634='Analítico Cx.'!$B64),-('Diário 5º PA'!$P$5:$P$2634=L$1),('Diário 5º PA'!$F$5:$F$2634))+
SUMPRODUCT(-('Diário 6º PA'!$E$5:$E$2246='Analítico Cx.'!$B64),-('Diário 6º PA'!$P$5:$P$2246=L$1),('Diário 6º PA'!$F$5:$F$2246))+
SUMPRODUCT(-('Diário 7º PA'!$E$5:$E$2271='Analítico Cx.'!$B64),-('Diário 7º PA'!$P$5:$P$2271=L$1),('Diário 7º PA'!$F$5:$F$2271))+
SUMPRODUCT(-('Diário 8º PA'!$E$5:$E$2488='Analítico Cx.'!$B64),-('Diário 8º PA'!$P$5:$P$2488=L$1),('Diário 8º PA'!$F$5:$F$2488))</f>
        <v>357.84000000000003</v>
      </c>
      <c r="M64" s="185">
        <f>SUMPRODUCT(-('Diário 5º PA'!$E$5:$E$2634='Analítico Cx.'!$B64),-('Diário 5º PA'!$P$5:$P$2634=M$1),('Diário 5º PA'!$F$5:$F$2634))+
SUMPRODUCT(-('Diário 6º PA'!$E$5:$E$2246='Analítico Cx.'!$B64),-('Diário 6º PA'!$P$5:$P$2246=M$1),('Diário 6º PA'!$F$5:$F$2246))+
SUMPRODUCT(-('Diário 7º PA'!$E$5:$E$2271='Analítico Cx.'!$B64),-('Diário 7º PA'!$P$5:$P$2271=M$1),('Diário 7º PA'!$F$5:$F$2271))+
SUMPRODUCT(-('Diário 8º PA'!$E$5:$E$2488='Analítico Cx.'!$B64),-('Diário 8º PA'!$P$5:$P$2488=M$1),('Diário 8º PA'!$F$5:$F$2488))</f>
        <v>390.37</v>
      </c>
      <c r="N64" s="185">
        <f>SUMPRODUCT(-('Diário 5º PA'!$E$5:$E$2634='Analítico Cx.'!$B64),-('Diário 5º PA'!$P$5:$P$2634=N$1),('Diário 5º PA'!$F$5:$F$2634))+
SUMPRODUCT(-('Diário 6º PA'!$E$5:$E$2246='Analítico Cx.'!$B64),-('Diário 6º PA'!$P$5:$P$2246=N$1),('Diário 6º PA'!$F$5:$F$2246))+
SUMPRODUCT(-('Diário 7º PA'!$E$5:$E$2271='Analítico Cx.'!$B64),-('Diário 7º PA'!$P$5:$P$2271=N$1),('Diário 7º PA'!$F$5:$F$2271))+
SUMPRODUCT(-('Diário 8º PA'!$E$5:$E$2488='Analítico Cx.'!$B64),-('Diário 8º PA'!$P$5:$P$2488=N$1),('Diário 8º PA'!$F$5:$F$2488))</f>
        <v>324.52999999999997</v>
      </c>
      <c r="O64" s="186">
        <f t="shared" si="16"/>
        <v>3682.13</v>
      </c>
      <c r="P64" s="187">
        <f t="shared" si="17"/>
        <v>3.9067841163421135E-4</v>
      </c>
      <c r="Q64" s="34"/>
      <c r="R64" s="34"/>
      <c r="S64" s="34"/>
      <c r="T64" s="34"/>
      <c r="U64" s="34"/>
      <c r="V64" s="34"/>
      <c r="W64" s="34"/>
      <c r="X64" s="34"/>
      <c r="Y64" s="34"/>
      <c r="Z64" s="34"/>
    </row>
    <row r="65" spans="1:26" ht="23.25" customHeight="1" x14ac:dyDescent="0.2">
      <c r="A65" s="203" t="s">
        <v>221</v>
      </c>
      <c r="B65" s="72" t="s">
        <v>222</v>
      </c>
      <c r="C65" s="185">
        <f>SUMPRODUCT(-('Diário 5º PA'!$E$5:$E$2634='Analítico Cx.'!$B65),-('Diário 5º PA'!$P$5:$P$2634=C$1),('Diário 5º PA'!$F$5:$F$2634))+
SUMPRODUCT(-('Diário 6º PA'!$E$5:$E$2246='Analítico Cx.'!$B65),-('Diário 6º PA'!$P$5:$P$2246=C$1),('Diário 6º PA'!$F$5:$F$2246))+
SUMPRODUCT(-('Diário 7º PA'!$E$5:$E$2271='Analítico Cx.'!$B65),-('Diário 7º PA'!$P$5:$P$2271=C$1),('Diário 7º PA'!$F$5:$F$2271))+
SUMPRODUCT(-('Diário 8º PA'!$E$5:$E$2488='Analítico Cx.'!$B65),-('Diário 8º PA'!$P$5:$P$2488=C$1),('Diário 8º PA'!$F$5:$F$2488))</f>
        <v>1196.21</v>
      </c>
      <c r="D65" s="185">
        <f>SUMPRODUCT(-('Diário 5º PA'!$E$5:$E$2634='Analítico Cx.'!$B65),-('Diário 5º PA'!$P$5:$P$2634=D$1),('Diário 5º PA'!$F$5:$F$2634))+
SUMPRODUCT(-('Diário 6º PA'!$E$5:$E$2246='Analítico Cx.'!$B65),-('Diário 6º PA'!$P$5:$P$2246=D$1),('Diário 6º PA'!$F$5:$F$2246))+
SUMPRODUCT(-('Diário 7º PA'!$E$5:$E$2271='Analítico Cx.'!$B65),-('Diário 7º PA'!$P$5:$P$2271=D$1),('Diário 7º PA'!$F$5:$F$2271))+
SUMPRODUCT(-('Diário 8º PA'!$E$5:$E$2488='Analítico Cx.'!$B65),-('Diário 8º PA'!$P$5:$P$2488=D$1),('Diário 8º PA'!$F$5:$F$2488))</f>
        <v>1110.9100000000001</v>
      </c>
      <c r="E65" s="185">
        <f>SUMPRODUCT(-('Diário 5º PA'!$E$5:$E$2634='Analítico Cx.'!$B65),-('Diário 5º PA'!$P$5:$P$2634=E$1),('Diário 5º PA'!$F$5:$F$2634))+
SUMPRODUCT(-('Diário 6º PA'!$E$5:$E$2246='Analítico Cx.'!$B65),-('Diário 6º PA'!$P$5:$P$2246=E$1),('Diário 6º PA'!$F$5:$F$2246))+
SUMPRODUCT(-('Diário 7º PA'!$E$5:$E$2271='Analítico Cx.'!$B65),-('Diário 7º PA'!$P$5:$P$2271=E$1),('Diário 7º PA'!$F$5:$F$2271))+
SUMPRODUCT(-('Diário 8º PA'!$E$5:$E$2488='Analítico Cx.'!$B65),-('Diário 8º PA'!$P$5:$P$2488=E$1),('Diário 8º PA'!$F$5:$F$2488))</f>
        <v>1025.19</v>
      </c>
      <c r="F65" s="185">
        <f>SUMPRODUCT(-('Diário 5º PA'!$E$5:$E$2634='Analítico Cx.'!$B65),-('Diário 5º PA'!$P$5:$P$2634=F$1),('Diário 5º PA'!$F$5:$F$2634))+
SUMPRODUCT(-('Diário 6º PA'!$E$5:$E$2246='Analítico Cx.'!$B65),-('Diário 6º PA'!$P$5:$P$2246=F$1),('Diário 6º PA'!$F$5:$F$2246))+
SUMPRODUCT(-('Diário 7º PA'!$E$5:$E$2271='Analítico Cx.'!$B65),-('Diário 7º PA'!$P$5:$P$2271=F$1),('Diário 7º PA'!$F$5:$F$2271))+
SUMPRODUCT(-('Diário 8º PA'!$E$5:$E$2488='Analítico Cx.'!$B65),-('Diário 8º PA'!$P$5:$P$2488=F$1),('Diário 8º PA'!$F$5:$F$2488))</f>
        <v>995.85</v>
      </c>
      <c r="G65" s="185">
        <f>SUMPRODUCT(-('Diário 5º PA'!$E$5:$E$2634='Analítico Cx.'!$B65),-('Diário 5º PA'!$P$5:$P$2634=G$1),('Diário 5º PA'!$F$5:$F$2634))+
SUMPRODUCT(-('Diário 6º PA'!$E$5:$E$2246='Analítico Cx.'!$B65),-('Diário 6º PA'!$P$5:$P$2246=G$1),('Diário 6º PA'!$F$5:$F$2246))+
SUMPRODUCT(-('Diário 7º PA'!$E$5:$E$2271='Analítico Cx.'!$B65),-('Diário 7º PA'!$P$5:$P$2271=G$1),('Diário 7º PA'!$F$5:$F$2271))+
SUMPRODUCT(-('Diário 8º PA'!$E$5:$E$2488='Analítico Cx.'!$B65),-('Diário 8º PA'!$P$5:$P$2488=G$1),('Diário 8º PA'!$F$5:$F$2488))</f>
        <v>1004.8100000000002</v>
      </c>
      <c r="H65" s="185">
        <f>SUMPRODUCT(-('Diário 5º PA'!$E$5:$E$2634='Analítico Cx.'!$B65),-('Diário 5º PA'!$P$5:$P$2634=H$1),('Diário 5º PA'!$F$5:$F$2634))+
SUMPRODUCT(-('Diário 6º PA'!$E$5:$E$2246='Analítico Cx.'!$B65),-('Diário 6º PA'!$P$5:$P$2246=H$1),('Diário 6º PA'!$F$5:$F$2246))+
SUMPRODUCT(-('Diário 7º PA'!$E$5:$E$2271='Analítico Cx.'!$B65),-('Diário 7º PA'!$P$5:$P$2271=H$1),('Diário 7º PA'!$F$5:$F$2271))+
SUMPRODUCT(-('Diário 8º PA'!$E$5:$E$2488='Analítico Cx.'!$B65),-('Diário 8º PA'!$P$5:$P$2488=H$1),('Diário 8º PA'!$F$5:$F$2488))</f>
        <v>995.85</v>
      </c>
      <c r="I65" s="185">
        <f>SUMPRODUCT(-('Diário 5º PA'!$E$5:$E$2634='Analítico Cx.'!$B65),-('Diário 5º PA'!$P$5:$P$2634=I$1),('Diário 5º PA'!$F$5:$F$2634))+
SUMPRODUCT(-('Diário 6º PA'!$E$5:$E$2246='Analítico Cx.'!$B65),-('Diário 6º PA'!$P$5:$P$2246=I$1),('Diário 6º PA'!$F$5:$F$2246))+
SUMPRODUCT(-('Diário 7º PA'!$E$5:$E$2271='Analítico Cx.'!$B65),-('Diário 7º PA'!$P$5:$P$2271=I$1),('Diário 7º PA'!$F$5:$F$2271))+
SUMPRODUCT(-('Diário 8º PA'!$E$5:$E$2488='Analítico Cx.'!$B65),-('Diário 8º PA'!$P$5:$P$2488=I$1),('Diário 8º PA'!$F$5:$F$2488))</f>
        <v>1004.9499999999999</v>
      </c>
      <c r="J65" s="185">
        <f>SUMPRODUCT(-('Diário 5º PA'!$E$5:$E$2634='Analítico Cx.'!$B65),-('Diário 5º PA'!$P$5:$P$2634=J$1),('Diário 5º PA'!$F$5:$F$2634))+
SUMPRODUCT(-('Diário 6º PA'!$E$5:$E$2246='Analítico Cx.'!$B65),-('Diário 6º PA'!$P$5:$P$2246=J$1),('Diário 6º PA'!$F$5:$F$2246))+
SUMPRODUCT(-('Diário 7º PA'!$E$5:$E$2271='Analítico Cx.'!$B65),-('Diário 7º PA'!$P$5:$P$2271=J$1),('Diário 7º PA'!$F$5:$F$2271))+
SUMPRODUCT(-('Diário 8º PA'!$E$5:$E$2488='Analítico Cx.'!$B65),-('Diário 8º PA'!$P$5:$P$2488=J$1),('Diário 8º PA'!$F$5:$F$2488))</f>
        <v>995.85</v>
      </c>
      <c r="K65" s="185">
        <f>SUMPRODUCT(-('Diário 5º PA'!$E$5:$E$2634='Analítico Cx.'!$B65),-('Diário 5º PA'!$P$5:$P$2634=K$1),('Diário 5º PA'!$F$5:$F$2634))+
SUMPRODUCT(-('Diário 6º PA'!$E$5:$E$2246='Analítico Cx.'!$B65),-('Diário 6º PA'!$P$5:$P$2246=K$1),('Diário 6º PA'!$F$5:$F$2246))+
SUMPRODUCT(-('Diário 7º PA'!$E$5:$E$2271='Analítico Cx.'!$B65),-('Diário 7º PA'!$P$5:$P$2271=K$1),('Diário 7º PA'!$F$5:$F$2271))+
SUMPRODUCT(-('Diário 8º PA'!$E$5:$E$2488='Analítico Cx.'!$B65),-('Diário 8º PA'!$P$5:$P$2488=K$1),('Diário 8º PA'!$F$5:$F$2488))</f>
        <v>1037.8</v>
      </c>
      <c r="L65" s="185">
        <f>SUMPRODUCT(-('Diário 5º PA'!$E$5:$E$2634='Analítico Cx.'!$B65),-('Diário 5º PA'!$P$5:$P$2634=L$1),('Diário 5º PA'!$F$5:$F$2634))+
SUMPRODUCT(-('Diário 6º PA'!$E$5:$E$2246='Analítico Cx.'!$B65),-('Diário 6º PA'!$P$5:$P$2246=L$1),('Diário 6º PA'!$F$5:$F$2246))+
SUMPRODUCT(-('Diário 7º PA'!$E$5:$E$2271='Analítico Cx.'!$B65),-('Diário 7º PA'!$P$5:$P$2271=L$1),('Diário 7º PA'!$F$5:$F$2271))+
SUMPRODUCT(-('Diário 8º PA'!$E$5:$E$2488='Analítico Cx.'!$B65),-('Diário 8º PA'!$P$5:$P$2488=L$1),('Diário 8º PA'!$F$5:$F$2488))</f>
        <v>1039.96</v>
      </c>
      <c r="M65" s="185">
        <f>SUMPRODUCT(-('Diário 5º PA'!$E$5:$E$2634='Analítico Cx.'!$B65),-('Diário 5º PA'!$P$5:$P$2634=M$1),('Diário 5º PA'!$F$5:$F$2634))+
SUMPRODUCT(-('Diário 6º PA'!$E$5:$E$2246='Analítico Cx.'!$B65),-('Diário 6º PA'!$P$5:$P$2246=M$1),('Diário 6º PA'!$F$5:$F$2246))+
SUMPRODUCT(-('Diário 7º PA'!$E$5:$E$2271='Analítico Cx.'!$B65),-('Diário 7º PA'!$P$5:$P$2271=M$1),('Diário 7º PA'!$F$5:$F$2271))+
SUMPRODUCT(-('Diário 8º PA'!$E$5:$E$2488='Analítico Cx.'!$B65),-('Diário 8º PA'!$P$5:$P$2488=M$1),('Diário 8º PA'!$F$5:$F$2488))</f>
        <v>1059.9099999999999</v>
      </c>
      <c r="N65" s="185">
        <f>SUMPRODUCT(-('Diário 5º PA'!$E$5:$E$2634='Analítico Cx.'!$B65),-('Diário 5º PA'!$P$5:$P$2634=N$1),('Diário 5º PA'!$F$5:$F$2634))+
SUMPRODUCT(-('Diário 6º PA'!$E$5:$E$2246='Analítico Cx.'!$B65),-('Diário 6º PA'!$P$5:$P$2246=N$1),('Diário 6º PA'!$F$5:$F$2246))+
SUMPRODUCT(-('Diário 7º PA'!$E$5:$E$2271='Analítico Cx.'!$B65),-('Diário 7º PA'!$P$5:$P$2271=N$1),('Diário 7º PA'!$F$5:$F$2271))+
SUMPRODUCT(-('Diário 8º PA'!$E$5:$E$2488='Analítico Cx.'!$B65),-('Diário 8º PA'!$P$5:$P$2488=N$1),('Diário 8º PA'!$F$5:$F$2488))</f>
        <v>1075.72</v>
      </c>
      <c r="O65" s="186">
        <f t="shared" si="16"/>
        <v>12543.01</v>
      </c>
      <c r="P65" s="187">
        <f t="shared" si="17"/>
        <v>1.3308284128784233E-3</v>
      </c>
      <c r="Q65" s="34"/>
      <c r="R65" s="34"/>
      <c r="S65" s="34"/>
      <c r="T65" s="34"/>
      <c r="U65" s="34"/>
      <c r="V65" s="34"/>
      <c r="W65" s="34"/>
      <c r="X65" s="34"/>
      <c r="Y65" s="34"/>
      <c r="Z65" s="34"/>
    </row>
    <row r="66" spans="1:26" ht="23.25" customHeight="1" x14ac:dyDescent="0.2">
      <c r="A66" s="203" t="s">
        <v>223</v>
      </c>
      <c r="B66" s="72" t="s">
        <v>224</v>
      </c>
      <c r="C66" s="185">
        <f>SUMPRODUCT(-('Diário 5º PA'!$E$5:$E$2634='Analítico Cx.'!$B66),-('Diário 5º PA'!$P$5:$P$2634=C$1),('Diário 5º PA'!$F$5:$F$2634))+
SUMPRODUCT(-('Diário 6º PA'!$E$5:$E$2246='Analítico Cx.'!$B66),-('Diário 6º PA'!$P$5:$P$2246=C$1),('Diário 6º PA'!$F$5:$F$2246))+
SUMPRODUCT(-('Diário 7º PA'!$E$5:$E$2271='Analítico Cx.'!$B66),-('Diário 7º PA'!$P$5:$P$2271=C$1),('Diário 7º PA'!$F$5:$F$2271))+
SUMPRODUCT(-('Diário 8º PA'!$E$5:$E$2488='Analítico Cx.'!$B66),-('Diário 8º PA'!$P$5:$P$2488=C$1),('Diário 8º PA'!$F$5:$F$2488))</f>
        <v>381.85</v>
      </c>
      <c r="D66" s="185">
        <f>SUMPRODUCT(-('Diário 5º PA'!$E$5:$E$2634='Analítico Cx.'!$B66),-('Diário 5º PA'!$P$5:$P$2634=D$1),('Diário 5º PA'!$F$5:$F$2634))+
SUMPRODUCT(-('Diário 6º PA'!$E$5:$E$2246='Analítico Cx.'!$B66),-('Diário 6º PA'!$P$5:$P$2246=D$1),('Diário 6º PA'!$F$5:$F$2246))+
SUMPRODUCT(-('Diário 7º PA'!$E$5:$E$2271='Analítico Cx.'!$B66),-('Diário 7º PA'!$P$5:$P$2271=D$1),('Diário 7º PA'!$F$5:$F$2271))+
SUMPRODUCT(-('Diário 8º PA'!$E$5:$E$2488='Analítico Cx.'!$B66),-('Diário 8º PA'!$P$5:$P$2488=D$1),('Diário 8º PA'!$F$5:$F$2488))</f>
        <v>4396.29</v>
      </c>
      <c r="E66" s="185">
        <f>SUMPRODUCT(-('Diário 5º PA'!$E$5:$E$2634='Analítico Cx.'!$B66),-('Diário 5º PA'!$P$5:$P$2634=E$1),('Diário 5º PA'!$F$5:$F$2634))+
SUMPRODUCT(-('Diário 6º PA'!$E$5:$E$2246='Analítico Cx.'!$B66),-('Diário 6º PA'!$P$5:$P$2246=E$1),('Diário 6º PA'!$F$5:$F$2246))+
SUMPRODUCT(-('Diário 7º PA'!$E$5:$E$2271='Analítico Cx.'!$B66),-('Diário 7º PA'!$P$5:$P$2271=E$1),('Diário 7º PA'!$F$5:$F$2271))+
SUMPRODUCT(-('Diário 8º PA'!$E$5:$E$2488='Analítico Cx.'!$B66),-('Diário 8º PA'!$P$5:$P$2488=E$1),('Diário 8º PA'!$F$5:$F$2488))</f>
        <v>361.80999999999995</v>
      </c>
      <c r="F66" s="185">
        <f>SUMPRODUCT(-('Diário 5º PA'!$E$5:$E$2634='Analítico Cx.'!$B66),-('Diário 5º PA'!$P$5:$P$2634=F$1),('Diário 5º PA'!$F$5:$F$2634))+
SUMPRODUCT(-('Diário 6º PA'!$E$5:$E$2246='Analítico Cx.'!$B66),-('Diário 6º PA'!$P$5:$P$2246=F$1),('Diário 6º PA'!$F$5:$F$2246))+
SUMPRODUCT(-('Diário 7º PA'!$E$5:$E$2271='Analítico Cx.'!$B66),-('Diário 7º PA'!$P$5:$P$2271=F$1),('Diário 7º PA'!$F$5:$F$2271))+
SUMPRODUCT(-('Diário 8º PA'!$E$5:$E$2488='Analítico Cx.'!$B66),-('Diário 8º PA'!$P$5:$P$2488=F$1),('Diário 8º PA'!$F$5:$F$2488))</f>
        <v>4305.4699999999993</v>
      </c>
      <c r="G66" s="185">
        <f>SUMPRODUCT(-('Diário 5º PA'!$E$5:$E$2634='Analítico Cx.'!$B66),-('Diário 5º PA'!$P$5:$P$2634=G$1),('Diário 5º PA'!$F$5:$F$2634))+
SUMPRODUCT(-('Diário 6º PA'!$E$5:$E$2246='Analítico Cx.'!$B66),-('Diário 6º PA'!$P$5:$P$2246=G$1),('Diário 6º PA'!$F$5:$F$2246))+
SUMPRODUCT(-('Diário 7º PA'!$E$5:$E$2271='Analítico Cx.'!$B66),-('Diário 7º PA'!$P$5:$P$2271=G$1),('Diário 7º PA'!$F$5:$F$2271))+
SUMPRODUCT(-('Diário 8º PA'!$E$5:$E$2488='Analítico Cx.'!$B66),-('Diário 8º PA'!$P$5:$P$2488=G$1),('Diário 8º PA'!$F$5:$F$2488))</f>
        <v>362.33000000000004</v>
      </c>
      <c r="H66" s="185">
        <f>SUMPRODUCT(-('Diário 5º PA'!$E$5:$E$2634='Analítico Cx.'!$B66),-('Diário 5º PA'!$P$5:$P$2634=H$1),('Diário 5º PA'!$F$5:$F$2634))+
SUMPRODUCT(-('Diário 6º PA'!$E$5:$E$2246='Analítico Cx.'!$B66),-('Diário 6º PA'!$P$5:$P$2246=H$1),('Diário 6º PA'!$F$5:$F$2246))+
SUMPRODUCT(-('Diário 7º PA'!$E$5:$E$2271='Analítico Cx.'!$B66),-('Diário 7º PA'!$P$5:$P$2271=H$1),('Diário 7º PA'!$F$5:$F$2271))+
SUMPRODUCT(-('Diário 8º PA'!$E$5:$E$2488='Analítico Cx.'!$B66),-('Diário 8º PA'!$P$5:$P$2488=H$1),('Diário 8º PA'!$F$5:$F$2488))</f>
        <v>288.52999999999997</v>
      </c>
      <c r="I66" s="185">
        <f>SUMPRODUCT(-('Diário 5º PA'!$E$5:$E$2634='Analítico Cx.'!$B66),-('Diário 5º PA'!$P$5:$P$2634=I$1),('Diário 5º PA'!$F$5:$F$2634))+
SUMPRODUCT(-('Diário 6º PA'!$E$5:$E$2246='Analítico Cx.'!$B66),-('Diário 6º PA'!$P$5:$P$2246=I$1),('Diário 6º PA'!$F$5:$F$2246))+
SUMPRODUCT(-('Diário 7º PA'!$E$5:$E$2271='Analítico Cx.'!$B66),-('Diário 7º PA'!$P$5:$P$2271=I$1),('Diário 7º PA'!$F$5:$F$2271))+
SUMPRODUCT(-('Diário 8º PA'!$E$5:$E$2488='Analítico Cx.'!$B66),-('Diário 8º PA'!$P$5:$P$2488=I$1),('Diário 8º PA'!$F$5:$F$2488))</f>
        <v>2297.7999999999997</v>
      </c>
      <c r="J66" s="185">
        <f>SUMPRODUCT(-('Diário 5º PA'!$E$5:$E$2634='Analítico Cx.'!$B66),-('Diário 5º PA'!$P$5:$P$2634=J$1),('Diário 5º PA'!$F$5:$F$2634))+
SUMPRODUCT(-('Diário 6º PA'!$E$5:$E$2246='Analítico Cx.'!$B66),-('Diário 6º PA'!$P$5:$P$2246=J$1),('Diário 6º PA'!$F$5:$F$2246))+
SUMPRODUCT(-('Diário 7º PA'!$E$5:$E$2271='Analítico Cx.'!$B66),-('Diário 7º PA'!$P$5:$P$2271=J$1),('Diário 7º PA'!$F$5:$F$2271))+
SUMPRODUCT(-('Diário 8º PA'!$E$5:$E$2488='Analítico Cx.'!$B66),-('Diário 8º PA'!$P$5:$P$2488=J$1),('Diário 8º PA'!$F$5:$F$2488))</f>
        <v>291.64999999999998</v>
      </c>
      <c r="K66" s="185">
        <f>SUMPRODUCT(-('Diário 5º PA'!$E$5:$E$2634='Analítico Cx.'!$B66),-('Diário 5º PA'!$P$5:$P$2634=K$1),('Diário 5º PA'!$F$5:$F$2634))+
SUMPRODUCT(-('Diário 6º PA'!$E$5:$E$2246='Analítico Cx.'!$B66),-('Diário 6º PA'!$P$5:$P$2246=K$1),('Diário 6º PA'!$F$5:$F$2246))+
SUMPRODUCT(-('Diário 7º PA'!$E$5:$E$2271='Analítico Cx.'!$B66),-('Diário 7º PA'!$P$5:$P$2271=K$1),('Diário 7º PA'!$F$5:$F$2271))+
SUMPRODUCT(-('Diário 8º PA'!$E$5:$E$2488='Analítico Cx.'!$B66),-('Diário 8º PA'!$P$5:$P$2488=K$1),('Diário 8º PA'!$F$5:$F$2488))</f>
        <v>292.09000000000003</v>
      </c>
      <c r="L66" s="185">
        <f>SUMPRODUCT(-('Diário 5º PA'!$E$5:$E$2634='Analítico Cx.'!$B66),-('Diário 5º PA'!$P$5:$P$2634=L$1),('Diário 5º PA'!$F$5:$F$2634))+
SUMPRODUCT(-('Diário 6º PA'!$E$5:$E$2246='Analítico Cx.'!$B66),-('Diário 6º PA'!$P$5:$P$2246=L$1),('Diário 6º PA'!$F$5:$F$2246))+
SUMPRODUCT(-('Diário 7º PA'!$E$5:$E$2271='Analítico Cx.'!$B66),-('Diário 7º PA'!$P$5:$P$2271=L$1),('Diário 7º PA'!$F$5:$F$2271))+
SUMPRODUCT(-('Diário 8º PA'!$E$5:$E$2488='Analítico Cx.'!$B66),-('Diário 8º PA'!$P$5:$P$2488=L$1),('Diário 8º PA'!$F$5:$F$2488))</f>
        <v>2392.81</v>
      </c>
      <c r="M66" s="185">
        <f>SUMPRODUCT(-('Diário 5º PA'!$E$5:$E$2634='Analítico Cx.'!$B66),-('Diário 5º PA'!$P$5:$P$2634=M$1),('Diário 5º PA'!$F$5:$F$2634))+
SUMPRODUCT(-('Diário 6º PA'!$E$5:$E$2246='Analítico Cx.'!$B66),-('Diário 6º PA'!$P$5:$P$2246=M$1),('Diário 6º PA'!$F$5:$F$2246))+
SUMPRODUCT(-('Diário 7º PA'!$E$5:$E$2271='Analítico Cx.'!$B66),-('Diário 7º PA'!$P$5:$P$2271=M$1),('Diário 7º PA'!$F$5:$F$2271))+
SUMPRODUCT(-('Diário 8º PA'!$E$5:$E$2488='Analítico Cx.'!$B66),-('Diário 8º PA'!$P$5:$P$2488=M$1),('Diário 8º PA'!$F$5:$F$2488))</f>
        <v>1562.3999999999999</v>
      </c>
      <c r="N66" s="185">
        <f>SUMPRODUCT(-('Diário 5º PA'!$E$5:$E$2634='Analítico Cx.'!$B66),-('Diário 5º PA'!$P$5:$P$2634=N$1),('Diário 5º PA'!$F$5:$F$2634))+
SUMPRODUCT(-('Diário 6º PA'!$E$5:$E$2246='Analítico Cx.'!$B66),-('Diário 6º PA'!$P$5:$P$2246=N$1),('Diário 6º PA'!$F$5:$F$2246))+
SUMPRODUCT(-('Diário 7º PA'!$E$5:$E$2271='Analítico Cx.'!$B66),-('Diário 7º PA'!$P$5:$P$2271=N$1),('Diário 7º PA'!$F$5:$F$2271))+
SUMPRODUCT(-('Diário 8º PA'!$E$5:$E$2488='Analítico Cx.'!$B66),-('Diário 8º PA'!$P$5:$P$2488=N$1),('Diário 8º PA'!$F$5:$F$2488))</f>
        <v>399.99</v>
      </c>
      <c r="O66" s="186">
        <f t="shared" si="16"/>
        <v>17333.02</v>
      </c>
      <c r="P66" s="187">
        <f t="shared" si="17"/>
        <v>1.839054221992167E-3</v>
      </c>
      <c r="Q66" s="34"/>
      <c r="R66" s="34"/>
      <c r="S66" s="34"/>
      <c r="T66" s="34"/>
      <c r="U66" s="34"/>
      <c r="V66" s="34"/>
      <c r="W66" s="34"/>
      <c r="X66" s="34"/>
      <c r="Y66" s="34"/>
      <c r="Z66" s="34"/>
    </row>
    <row r="67" spans="1:26" ht="23.25" customHeight="1" x14ac:dyDescent="0.2">
      <c r="A67" s="203" t="s">
        <v>225</v>
      </c>
      <c r="B67" s="72" t="s">
        <v>226</v>
      </c>
      <c r="C67" s="185">
        <f>SUMPRODUCT(-('Diário 5º PA'!$E$5:$E$2634='Analítico Cx.'!$B67),-('Diário 5º PA'!$P$5:$P$2634=C$1),('Diário 5º PA'!$F$5:$F$2634))+
SUMPRODUCT(-('Diário 6º PA'!$E$5:$E$2246='Analítico Cx.'!$B67),-('Diário 6º PA'!$P$5:$P$2246=C$1),('Diário 6º PA'!$F$5:$F$2246))+
SUMPRODUCT(-('Diário 7º PA'!$E$5:$E$2271='Analítico Cx.'!$B67),-('Diário 7º PA'!$P$5:$P$2271=C$1),('Diário 7º PA'!$F$5:$F$2271))+
SUMPRODUCT(-('Diário 8º PA'!$E$5:$E$2488='Analítico Cx.'!$B67),-('Diário 8º PA'!$P$5:$P$2488=C$1),('Diário 8º PA'!$F$5:$F$2488))</f>
        <v>1890</v>
      </c>
      <c r="D67" s="185">
        <f>SUMPRODUCT(-('Diário 5º PA'!$E$5:$E$2634='Analítico Cx.'!$B67),-('Diário 5º PA'!$P$5:$P$2634=D$1),('Diário 5º PA'!$F$5:$F$2634))+
SUMPRODUCT(-('Diário 6º PA'!$E$5:$E$2246='Analítico Cx.'!$B67),-('Diário 6º PA'!$P$5:$P$2246=D$1),('Diário 6º PA'!$F$5:$F$2246))+
SUMPRODUCT(-('Diário 7º PA'!$E$5:$E$2271='Analítico Cx.'!$B67),-('Diário 7º PA'!$P$5:$P$2271=D$1),('Diário 7º PA'!$F$5:$F$2271))+
SUMPRODUCT(-('Diário 8º PA'!$E$5:$E$2488='Analítico Cx.'!$B67),-('Diário 8º PA'!$P$5:$P$2488=D$1),('Diário 8º PA'!$F$5:$F$2488))</f>
        <v>1889.62</v>
      </c>
      <c r="E67" s="185">
        <f>SUMPRODUCT(-('Diário 5º PA'!$E$5:$E$2634='Analítico Cx.'!$B67),-('Diário 5º PA'!$P$5:$P$2634=E$1),('Diário 5º PA'!$F$5:$F$2634))+
SUMPRODUCT(-('Diário 6º PA'!$E$5:$E$2246='Analítico Cx.'!$B67),-('Diário 6º PA'!$P$5:$P$2246=E$1),('Diário 6º PA'!$F$5:$F$2246))+
SUMPRODUCT(-('Diário 7º PA'!$E$5:$E$2271='Analítico Cx.'!$B67),-('Diário 7º PA'!$P$5:$P$2271=E$1),('Diário 7º PA'!$F$5:$F$2271))+
SUMPRODUCT(-('Diário 8º PA'!$E$5:$E$2488='Analítico Cx.'!$B67),-('Diário 8º PA'!$P$5:$P$2488=E$1),('Diário 8º PA'!$F$5:$F$2488))</f>
        <v>1888.3000000000002</v>
      </c>
      <c r="F67" s="185">
        <f>SUMPRODUCT(-('Diário 5º PA'!$E$5:$E$2634='Analítico Cx.'!$B67),-('Diário 5º PA'!$P$5:$P$2634=F$1),('Diário 5º PA'!$F$5:$F$2634))+
SUMPRODUCT(-('Diário 6º PA'!$E$5:$E$2246='Analítico Cx.'!$B67),-('Diário 6º PA'!$P$5:$P$2246=F$1),('Diário 6º PA'!$F$5:$F$2246))+
SUMPRODUCT(-('Diário 7º PA'!$E$5:$E$2271='Analítico Cx.'!$B67),-('Diário 7º PA'!$P$5:$P$2271=F$1),('Diário 7º PA'!$F$5:$F$2271))+
SUMPRODUCT(-('Diário 8º PA'!$E$5:$E$2488='Analítico Cx.'!$B67),-('Diário 8º PA'!$P$5:$P$2488=F$1),('Diário 8º PA'!$F$5:$F$2488))</f>
        <v>1890</v>
      </c>
      <c r="G67" s="185">
        <f>SUMPRODUCT(-('Diário 5º PA'!$E$5:$E$2634='Analítico Cx.'!$B67),-('Diário 5º PA'!$P$5:$P$2634=G$1),('Diário 5º PA'!$F$5:$F$2634))+
SUMPRODUCT(-('Diário 6º PA'!$E$5:$E$2246='Analítico Cx.'!$B67),-('Diário 6º PA'!$P$5:$P$2246=G$1),('Diário 6º PA'!$F$5:$F$2246))+
SUMPRODUCT(-('Diário 7º PA'!$E$5:$E$2271='Analítico Cx.'!$B67),-('Diário 7º PA'!$P$5:$P$2271=G$1),('Diário 7º PA'!$F$5:$F$2271))+
SUMPRODUCT(-('Diário 8º PA'!$E$5:$E$2488='Analítico Cx.'!$B67),-('Diário 8º PA'!$P$5:$P$2488=G$1),('Diário 8º PA'!$F$5:$F$2488))</f>
        <v>547.19000000000005</v>
      </c>
      <c r="H67" s="185">
        <f>SUMPRODUCT(-('Diário 5º PA'!$E$5:$E$2634='Analítico Cx.'!$B67),-('Diário 5º PA'!$P$5:$P$2634=H$1),('Diário 5º PA'!$F$5:$F$2634))+
SUMPRODUCT(-('Diário 6º PA'!$E$5:$E$2246='Analítico Cx.'!$B67),-('Diário 6º PA'!$P$5:$P$2246=H$1),('Diário 6º PA'!$F$5:$F$2246))+
SUMPRODUCT(-('Diário 7º PA'!$E$5:$E$2271='Analítico Cx.'!$B67),-('Diário 7º PA'!$P$5:$P$2271=H$1),('Diário 7º PA'!$F$5:$F$2271))+
SUMPRODUCT(-('Diário 8º PA'!$E$5:$E$2488='Analítico Cx.'!$B67),-('Diário 8º PA'!$P$5:$P$2488=H$1),('Diário 8º PA'!$F$5:$F$2488))</f>
        <v>3209.7299999999996</v>
      </c>
      <c r="I67" s="185">
        <f>SUMPRODUCT(-('Diário 5º PA'!$E$5:$E$2634='Analítico Cx.'!$B67),-('Diário 5º PA'!$P$5:$P$2634=I$1),('Diário 5º PA'!$F$5:$F$2634))+
SUMPRODUCT(-('Diário 6º PA'!$E$5:$E$2246='Analítico Cx.'!$B67),-('Diário 6º PA'!$P$5:$P$2246=I$1),('Diário 6º PA'!$F$5:$F$2246))+
SUMPRODUCT(-('Diário 7º PA'!$E$5:$E$2271='Analítico Cx.'!$B67),-('Diário 7º PA'!$P$5:$P$2271=I$1),('Diário 7º PA'!$F$5:$F$2271))+
SUMPRODUCT(-('Diário 8º PA'!$E$5:$E$2488='Analítico Cx.'!$B67),-('Diário 8º PA'!$P$5:$P$2488=I$1),('Diário 8º PA'!$F$5:$F$2488))</f>
        <v>379.28</v>
      </c>
      <c r="J67" s="185">
        <f>SUMPRODUCT(-('Diário 5º PA'!$E$5:$E$2634='Analítico Cx.'!$B67),-('Diário 5º PA'!$P$5:$P$2634=J$1),('Diário 5º PA'!$F$5:$F$2634))+
SUMPRODUCT(-('Diário 6º PA'!$E$5:$E$2246='Analítico Cx.'!$B67),-('Diário 6º PA'!$P$5:$P$2246=J$1),('Diário 6º PA'!$F$5:$F$2246))+
SUMPRODUCT(-('Diário 7º PA'!$E$5:$E$2271='Analítico Cx.'!$B67),-('Diário 7º PA'!$P$5:$P$2271=J$1),('Diário 7º PA'!$F$5:$F$2271))+
SUMPRODUCT(-('Diário 8º PA'!$E$5:$E$2488='Analítico Cx.'!$B67),-('Diário 8º PA'!$P$5:$P$2488=J$1),('Diário 8º PA'!$F$5:$F$2488))</f>
        <v>200</v>
      </c>
      <c r="K67" s="185">
        <f>SUMPRODUCT(-('Diário 5º PA'!$E$5:$E$2634='Analítico Cx.'!$B67),-('Diário 5º PA'!$P$5:$P$2634=K$1),('Diário 5º PA'!$F$5:$F$2634))+
SUMPRODUCT(-('Diário 6º PA'!$E$5:$E$2246='Analítico Cx.'!$B67),-('Diário 6º PA'!$P$5:$P$2246=K$1),('Diário 6º PA'!$F$5:$F$2246))+
SUMPRODUCT(-('Diário 7º PA'!$E$5:$E$2271='Analítico Cx.'!$B67),-('Diário 7º PA'!$P$5:$P$2271=K$1),('Diário 7º PA'!$F$5:$F$2271))+
SUMPRODUCT(-('Diário 8º PA'!$E$5:$E$2488='Analítico Cx.'!$B67),-('Diário 8º PA'!$P$5:$P$2488=K$1),('Diário 8º PA'!$F$5:$F$2488))</f>
        <v>3496.28</v>
      </c>
      <c r="L67" s="185">
        <f>SUMPRODUCT(-('Diário 5º PA'!$E$5:$E$2634='Analítico Cx.'!$B67),-('Diário 5º PA'!$P$5:$P$2634=L$1),('Diário 5º PA'!$F$5:$F$2634))+
SUMPRODUCT(-('Diário 6º PA'!$E$5:$E$2246='Analítico Cx.'!$B67),-('Diário 6º PA'!$P$5:$P$2246=L$1),('Diário 6º PA'!$F$5:$F$2246))+
SUMPRODUCT(-('Diário 7º PA'!$E$5:$E$2271='Analítico Cx.'!$B67),-('Diário 7º PA'!$P$5:$P$2271=L$1),('Diário 7º PA'!$F$5:$F$2271))+
SUMPRODUCT(-('Diário 8º PA'!$E$5:$E$2488='Analítico Cx.'!$B67),-('Diário 8º PA'!$P$5:$P$2488=L$1),('Diário 8º PA'!$F$5:$F$2488))</f>
        <v>2747.72</v>
      </c>
      <c r="M67" s="185">
        <f>SUMPRODUCT(-('Diário 5º PA'!$E$5:$E$2634='Analítico Cx.'!$B67),-('Diário 5º PA'!$P$5:$P$2634=M$1),('Diário 5º PA'!$F$5:$F$2634))+
SUMPRODUCT(-('Diário 6º PA'!$E$5:$E$2246='Analítico Cx.'!$B67),-('Diário 6º PA'!$P$5:$P$2246=M$1),('Diário 6º PA'!$F$5:$F$2246))+
SUMPRODUCT(-('Diário 7º PA'!$E$5:$E$2271='Analítico Cx.'!$B67),-('Diário 7º PA'!$P$5:$P$2271=M$1),('Diário 7º PA'!$F$5:$F$2271))+
SUMPRODUCT(-('Diário 8º PA'!$E$5:$E$2488='Analítico Cx.'!$B67),-('Diário 8º PA'!$P$5:$P$2488=M$1),('Diário 8º PA'!$F$5:$F$2488))</f>
        <v>2662.21</v>
      </c>
      <c r="N67" s="185">
        <f>SUMPRODUCT(-('Diário 5º PA'!$E$5:$E$2634='Analítico Cx.'!$B67),-('Diário 5º PA'!$P$5:$P$2634=N$1),('Diário 5º PA'!$F$5:$F$2634))+
SUMPRODUCT(-('Diário 6º PA'!$E$5:$E$2246='Analítico Cx.'!$B67),-('Diário 6º PA'!$P$5:$P$2246=N$1),('Diário 6º PA'!$F$5:$F$2246))+
SUMPRODUCT(-('Diário 7º PA'!$E$5:$E$2271='Analítico Cx.'!$B67),-('Diário 7º PA'!$P$5:$P$2271=N$1),('Diário 7º PA'!$F$5:$F$2271))+
SUMPRODUCT(-('Diário 8º PA'!$E$5:$E$2488='Analítico Cx.'!$B67),-('Diário 8º PA'!$P$5:$P$2488=N$1),('Diário 8º PA'!$F$5:$F$2488))</f>
        <v>53.79</v>
      </c>
      <c r="O67" s="186">
        <f t="shared" si="16"/>
        <v>20854.120000000003</v>
      </c>
      <c r="P67" s="187">
        <f t="shared" si="17"/>
        <v>2.2126471573869579E-3</v>
      </c>
      <c r="Q67" s="34"/>
      <c r="R67" s="34"/>
      <c r="S67" s="34"/>
      <c r="T67" s="34"/>
      <c r="U67" s="34"/>
      <c r="V67" s="34"/>
      <c r="W67" s="34"/>
      <c r="X67" s="34"/>
      <c r="Y67" s="34"/>
      <c r="Z67" s="34"/>
    </row>
    <row r="68" spans="1:26" ht="23.25" customHeight="1" x14ac:dyDescent="0.2">
      <c r="A68" s="203" t="s">
        <v>227</v>
      </c>
      <c r="B68" s="72" t="s">
        <v>228</v>
      </c>
      <c r="C68" s="185">
        <f>SUMPRODUCT(-('Diário 5º PA'!$E$5:$E$2634='Analítico Cx.'!$B68),-('Diário 5º PA'!$P$5:$P$2634=C$1),('Diário 5º PA'!$F$5:$F$2634))+
SUMPRODUCT(-('Diário 6º PA'!$E$5:$E$2246='Analítico Cx.'!$B68),-('Diário 6º PA'!$P$5:$P$2246=C$1),('Diário 6º PA'!$F$5:$F$2246))+
SUMPRODUCT(-('Diário 7º PA'!$E$5:$E$2271='Analítico Cx.'!$B68),-('Diário 7º PA'!$P$5:$P$2271=C$1),('Diário 7º PA'!$F$5:$F$2271))+
SUMPRODUCT(-('Diário 8º PA'!$E$5:$E$2488='Analítico Cx.'!$B68),-('Diário 8º PA'!$P$5:$P$2488=C$1),('Diário 8º PA'!$F$5:$F$2488))</f>
        <v>3660</v>
      </c>
      <c r="D68" s="185">
        <f>SUMPRODUCT(-('Diário 5º PA'!$E$5:$E$2634='Analítico Cx.'!$B68),-('Diário 5º PA'!$P$5:$P$2634=D$1),('Diário 5º PA'!$F$5:$F$2634))+
SUMPRODUCT(-('Diário 6º PA'!$E$5:$E$2246='Analítico Cx.'!$B68),-('Diário 6º PA'!$P$5:$P$2246=D$1),('Diário 6º PA'!$F$5:$F$2246))+
SUMPRODUCT(-('Diário 7º PA'!$E$5:$E$2271='Analítico Cx.'!$B68),-('Diário 7º PA'!$P$5:$P$2271=D$1),('Diário 7º PA'!$F$5:$F$2271))+
SUMPRODUCT(-('Diário 8º PA'!$E$5:$E$2488='Analítico Cx.'!$B68),-('Diário 8º PA'!$P$5:$P$2488=D$1),('Diário 8º PA'!$F$5:$F$2488))</f>
        <v>6427.04</v>
      </c>
      <c r="E68" s="185">
        <f>SUMPRODUCT(-('Diário 5º PA'!$E$5:$E$2634='Analítico Cx.'!$B68),-('Diário 5º PA'!$P$5:$P$2634=E$1),('Diário 5º PA'!$F$5:$F$2634))+
SUMPRODUCT(-('Diário 6º PA'!$E$5:$E$2246='Analítico Cx.'!$B68),-('Diário 6º PA'!$P$5:$P$2246=E$1),('Diário 6º PA'!$F$5:$F$2246))+
SUMPRODUCT(-('Diário 7º PA'!$E$5:$E$2271='Analítico Cx.'!$B68),-('Diário 7º PA'!$P$5:$P$2271=E$1),('Diário 7º PA'!$F$5:$F$2271))+
SUMPRODUCT(-('Diário 8º PA'!$E$5:$E$2488='Analítico Cx.'!$B68),-('Diário 8º PA'!$P$5:$P$2488=E$1),('Diário 8º PA'!$F$5:$F$2488))</f>
        <v>6406.45</v>
      </c>
      <c r="F68" s="185">
        <f>SUMPRODUCT(-('Diário 5º PA'!$E$5:$E$2634='Analítico Cx.'!$B68),-('Diário 5º PA'!$P$5:$P$2634=F$1),('Diário 5º PA'!$F$5:$F$2634))+
SUMPRODUCT(-('Diário 6º PA'!$E$5:$E$2246='Analítico Cx.'!$B68),-('Diário 6º PA'!$P$5:$P$2246=F$1),('Diário 6º PA'!$F$5:$F$2246))+
SUMPRODUCT(-('Diário 7º PA'!$E$5:$E$2271='Analítico Cx.'!$B68),-('Diário 7º PA'!$P$5:$P$2271=F$1),('Diário 7º PA'!$F$5:$F$2271))+
SUMPRODUCT(-('Diário 8º PA'!$E$5:$E$2488='Analítico Cx.'!$B68),-('Diário 8º PA'!$P$5:$P$2488=F$1),('Diário 8º PA'!$F$5:$F$2488))</f>
        <v>6255.15</v>
      </c>
      <c r="G68" s="185">
        <f>SUMPRODUCT(-('Diário 5º PA'!$E$5:$E$2634='Analítico Cx.'!$B68),-('Diário 5º PA'!$P$5:$P$2634=G$1),('Diário 5º PA'!$F$5:$F$2634))+
SUMPRODUCT(-('Diário 6º PA'!$E$5:$E$2246='Analítico Cx.'!$B68),-('Diário 6º PA'!$P$5:$P$2246=G$1),('Diário 6º PA'!$F$5:$F$2246))+
SUMPRODUCT(-('Diário 7º PA'!$E$5:$E$2271='Analítico Cx.'!$B68),-('Diário 7º PA'!$P$5:$P$2271=G$1),('Diário 7º PA'!$F$5:$F$2271))+
SUMPRODUCT(-('Diário 8º PA'!$E$5:$E$2488='Analítico Cx.'!$B68),-('Diário 8º PA'!$P$5:$P$2488=G$1),('Diário 8º PA'!$F$5:$F$2488))</f>
        <v>6255.15</v>
      </c>
      <c r="H68" s="185">
        <f>SUMPRODUCT(-('Diário 5º PA'!$E$5:$E$2634='Analítico Cx.'!$B68),-('Diário 5º PA'!$P$5:$P$2634=H$1),('Diário 5º PA'!$F$5:$F$2634))+
SUMPRODUCT(-('Diário 6º PA'!$E$5:$E$2246='Analítico Cx.'!$B68),-('Diário 6º PA'!$P$5:$P$2246=H$1),('Diário 6º PA'!$F$5:$F$2246))+
SUMPRODUCT(-('Diário 7º PA'!$E$5:$E$2271='Analítico Cx.'!$B68),-('Diário 7º PA'!$P$5:$P$2271=H$1),('Diário 7º PA'!$F$5:$F$2271))+
SUMPRODUCT(-('Diário 8º PA'!$E$5:$E$2488='Analítico Cx.'!$B68),-('Diário 8º PA'!$P$5:$P$2488=H$1),('Diário 8º PA'!$F$5:$F$2488))</f>
        <v>6255.15</v>
      </c>
      <c r="I68" s="185">
        <f>SUMPRODUCT(-('Diário 5º PA'!$E$5:$E$2634='Analítico Cx.'!$B68),-('Diário 5º PA'!$P$5:$P$2634=I$1),('Diário 5º PA'!$F$5:$F$2634))+
SUMPRODUCT(-('Diário 6º PA'!$E$5:$E$2246='Analítico Cx.'!$B68),-('Diário 6º PA'!$P$5:$P$2246=I$1),('Diário 6º PA'!$F$5:$F$2246))+
SUMPRODUCT(-('Diário 7º PA'!$E$5:$E$2271='Analítico Cx.'!$B68),-('Diário 7º PA'!$P$5:$P$2271=I$1),('Diário 7º PA'!$F$5:$F$2271))+
SUMPRODUCT(-('Diário 8º PA'!$E$5:$E$2488='Analítico Cx.'!$B68),-('Diário 8º PA'!$P$5:$P$2488=I$1),('Diário 8º PA'!$F$5:$F$2488))</f>
        <v>6255.15</v>
      </c>
      <c r="J68" s="185">
        <f>SUMPRODUCT(-('Diário 5º PA'!$E$5:$E$2634='Analítico Cx.'!$B68),-('Diário 5º PA'!$P$5:$P$2634=J$1),('Diário 5º PA'!$F$5:$F$2634))+
SUMPRODUCT(-('Diário 6º PA'!$E$5:$E$2246='Analítico Cx.'!$B68),-('Diário 6º PA'!$P$5:$P$2246=J$1),('Diário 6º PA'!$F$5:$F$2246))+
SUMPRODUCT(-('Diário 7º PA'!$E$5:$E$2271='Analítico Cx.'!$B68),-('Diário 7º PA'!$P$5:$P$2271=J$1),('Diário 7º PA'!$F$5:$F$2271))+
SUMPRODUCT(-('Diário 8º PA'!$E$5:$E$2488='Analítico Cx.'!$B68),-('Diário 8º PA'!$P$5:$P$2488=J$1),('Diário 8º PA'!$F$5:$F$2488))</f>
        <v>6255.15</v>
      </c>
      <c r="K68" s="185">
        <f>SUMPRODUCT(-('Diário 5º PA'!$E$5:$E$2634='Analítico Cx.'!$B68),-('Diário 5º PA'!$P$5:$P$2634=K$1),('Diário 5º PA'!$F$5:$F$2634))+
SUMPRODUCT(-('Diário 6º PA'!$E$5:$E$2246='Analítico Cx.'!$B68),-('Diário 6º PA'!$P$5:$P$2246=K$1),('Diário 6º PA'!$F$5:$F$2246))+
SUMPRODUCT(-('Diário 7º PA'!$E$5:$E$2271='Analítico Cx.'!$B68),-('Diário 7º PA'!$P$5:$P$2271=K$1),('Diário 7º PA'!$F$5:$F$2271))+
SUMPRODUCT(-('Diário 8º PA'!$E$5:$E$2488='Analítico Cx.'!$B68),-('Diário 8º PA'!$P$5:$P$2488=K$1),('Diário 8º PA'!$F$5:$F$2488))</f>
        <v>3687.13</v>
      </c>
      <c r="L68" s="185">
        <f>SUMPRODUCT(-('Diário 5º PA'!$E$5:$E$2634='Analítico Cx.'!$B68),-('Diário 5º PA'!$P$5:$P$2634=L$1),('Diário 5º PA'!$F$5:$F$2634))+
SUMPRODUCT(-('Diário 6º PA'!$E$5:$E$2246='Analítico Cx.'!$B68),-('Diário 6º PA'!$P$5:$P$2246=L$1),('Diário 6º PA'!$F$5:$F$2246))+
SUMPRODUCT(-('Diário 7º PA'!$E$5:$E$2271='Analítico Cx.'!$B68),-('Diário 7º PA'!$P$5:$P$2271=L$1),('Diário 7º PA'!$F$5:$F$2271))+
SUMPRODUCT(-('Diário 8º PA'!$E$5:$E$2488='Analítico Cx.'!$B68),-('Diário 8º PA'!$P$5:$P$2488=L$1),('Diário 8º PA'!$F$5:$F$2488))</f>
        <v>6081.94</v>
      </c>
      <c r="M68" s="185">
        <f>SUMPRODUCT(-('Diário 5º PA'!$E$5:$E$2634='Analítico Cx.'!$B68),-('Diário 5º PA'!$P$5:$P$2634=M$1),('Diário 5º PA'!$F$5:$F$2634))+
SUMPRODUCT(-('Diário 6º PA'!$E$5:$E$2246='Analítico Cx.'!$B68),-('Diário 6º PA'!$P$5:$P$2246=M$1),('Diário 6º PA'!$F$5:$F$2246))+
SUMPRODUCT(-('Diário 7º PA'!$E$5:$E$2271='Analítico Cx.'!$B68),-('Diário 7º PA'!$P$5:$P$2271=M$1),('Diário 7º PA'!$F$5:$F$2271))+
SUMPRODUCT(-('Diário 8º PA'!$E$5:$E$2488='Analítico Cx.'!$B68),-('Diário 8º PA'!$P$5:$P$2488=M$1),('Diário 8º PA'!$F$5:$F$2488))</f>
        <v>395.25</v>
      </c>
      <c r="N68" s="185">
        <f>SUMPRODUCT(-('Diário 5º PA'!$E$5:$E$2634='Analítico Cx.'!$B68),-('Diário 5º PA'!$P$5:$P$2634=N$1),('Diário 5º PA'!$F$5:$F$2634))+
SUMPRODUCT(-('Diário 6º PA'!$E$5:$E$2246='Analítico Cx.'!$B68),-('Diário 6º PA'!$P$5:$P$2246=N$1),('Diário 6º PA'!$F$5:$F$2246))+
SUMPRODUCT(-('Diário 7º PA'!$E$5:$E$2271='Analítico Cx.'!$B68),-('Diário 7º PA'!$P$5:$P$2271=N$1),('Diário 7º PA'!$F$5:$F$2271))+
SUMPRODUCT(-('Diário 8º PA'!$E$5:$E$2488='Analítico Cx.'!$B68),-('Diário 8º PA'!$P$5:$P$2488=N$1),('Diário 8º PA'!$F$5:$F$2488))</f>
        <v>0</v>
      </c>
      <c r="O68" s="186">
        <f t="shared" si="16"/>
        <v>57933.560000000005</v>
      </c>
      <c r="P68" s="187">
        <f t="shared" si="17"/>
        <v>6.1468202375025548E-3</v>
      </c>
      <c r="Q68" s="34"/>
      <c r="R68" s="34"/>
      <c r="S68" s="34"/>
      <c r="T68" s="34"/>
      <c r="U68" s="34"/>
      <c r="V68" s="34"/>
      <c r="W68" s="34"/>
      <c r="X68" s="34"/>
      <c r="Y68" s="34"/>
      <c r="Z68" s="34"/>
    </row>
    <row r="69" spans="1:26" ht="23.25" customHeight="1" x14ac:dyDescent="0.2">
      <c r="A69" s="203" t="s">
        <v>229</v>
      </c>
      <c r="B69" s="72" t="s">
        <v>230</v>
      </c>
      <c r="C69" s="185">
        <f>SUMPRODUCT(-('Diário 5º PA'!$E$5:$E$2634='Analítico Cx.'!$B69),-('Diário 5º PA'!$P$5:$P$2634=C$1),('Diário 5º PA'!$F$5:$F$2634))+
SUMPRODUCT(-('Diário 6º PA'!$E$5:$E$2246='Analítico Cx.'!$B69),-('Diário 6º PA'!$P$5:$P$2246=C$1),('Diário 6º PA'!$F$5:$F$2246))+
SUMPRODUCT(-('Diário 7º PA'!$E$5:$E$2271='Analítico Cx.'!$B69),-('Diário 7º PA'!$P$5:$P$2271=C$1),('Diário 7º PA'!$F$5:$F$2271))+
SUMPRODUCT(-('Diário 8º PA'!$E$5:$E$2488='Analítico Cx.'!$B69),-('Diário 8º PA'!$P$5:$P$2488=C$1),('Diário 8º PA'!$F$5:$F$2488))</f>
        <v>2219.7199999999998</v>
      </c>
      <c r="D69" s="185">
        <f>SUMPRODUCT(-('Diário 5º PA'!$E$5:$E$2634='Analítico Cx.'!$B69),-('Diário 5º PA'!$P$5:$P$2634=D$1),('Diário 5º PA'!$F$5:$F$2634))+
SUMPRODUCT(-('Diário 6º PA'!$E$5:$E$2246='Analítico Cx.'!$B69),-('Diário 6º PA'!$P$5:$P$2246=D$1),('Diário 6º PA'!$F$5:$F$2246))+
SUMPRODUCT(-('Diário 7º PA'!$E$5:$E$2271='Analítico Cx.'!$B69),-('Diário 7º PA'!$P$5:$P$2271=D$1),('Diário 7º PA'!$F$5:$F$2271))+
SUMPRODUCT(-('Diário 8º PA'!$E$5:$E$2488='Analítico Cx.'!$B69),-('Diário 8º PA'!$P$5:$P$2488=D$1),('Diário 8º PA'!$F$5:$F$2488))</f>
        <v>4493.7300000000005</v>
      </c>
      <c r="E69" s="185">
        <f>SUMPRODUCT(-('Diário 5º PA'!$E$5:$E$2634='Analítico Cx.'!$B69),-('Diário 5º PA'!$P$5:$P$2634=E$1),('Diário 5º PA'!$F$5:$F$2634))+
SUMPRODUCT(-('Diário 6º PA'!$E$5:$E$2246='Analítico Cx.'!$B69),-('Diário 6º PA'!$P$5:$P$2246=E$1),('Diário 6º PA'!$F$5:$F$2246))+
SUMPRODUCT(-('Diário 7º PA'!$E$5:$E$2271='Analítico Cx.'!$B69),-('Diário 7º PA'!$P$5:$P$2271=E$1),('Diário 7º PA'!$F$5:$F$2271))+
SUMPRODUCT(-('Diário 8º PA'!$E$5:$E$2488='Analítico Cx.'!$B69),-('Diário 8º PA'!$P$5:$P$2488=E$1),('Diário 8º PA'!$F$5:$F$2488))</f>
        <v>9385.67</v>
      </c>
      <c r="F69" s="185">
        <f>SUMPRODUCT(-('Diário 5º PA'!$E$5:$E$2634='Analítico Cx.'!$B69),-('Diário 5º PA'!$P$5:$P$2634=F$1),('Diário 5º PA'!$F$5:$F$2634))+
SUMPRODUCT(-('Diário 6º PA'!$E$5:$E$2246='Analítico Cx.'!$B69),-('Diário 6º PA'!$P$5:$P$2246=F$1),('Diário 6º PA'!$F$5:$F$2246))+
SUMPRODUCT(-('Diário 7º PA'!$E$5:$E$2271='Analítico Cx.'!$B69),-('Diário 7º PA'!$P$5:$P$2271=F$1),('Diário 7º PA'!$F$5:$F$2271))+
SUMPRODUCT(-('Diário 8º PA'!$E$5:$E$2488='Analítico Cx.'!$B69),-('Diário 8º PA'!$P$5:$P$2488=F$1),('Diário 8º PA'!$F$5:$F$2488))</f>
        <v>4853.17</v>
      </c>
      <c r="G69" s="185">
        <f>SUMPRODUCT(-('Diário 5º PA'!$E$5:$E$2634='Analítico Cx.'!$B69),-('Diário 5º PA'!$P$5:$P$2634=G$1),('Diário 5º PA'!$F$5:$F$2634))+
SUMPRODUCT(-('Diário 6º PA'!$E$5:$E$2246='Analítico Cx.'!$B69),-('Diário 6º PA'!$P$5:$P$2246=G$1),('Diário 6º PA'!$F$5:$F$2246))+
SUMPRODUCT(-('Diário 7º PA'!$E$5:$E$2271='Analítico Cx.'!$B69),-('Diário 7º PA'!$P$5:$P$2271=G$1),('Diário 7º PA'!$F$5:$F$2271))+
SUMPRODUCT(-('Diário 8º PA'!$E$5:$E$2488='Analítico Cx.'!$B69),-('Diário 8º PA'!$P$5:$P$2488=G$1),('Diário 8º PA'!$F$5:$F$2488))</f>
        <v>4853.17</v>
      </c>
      <c r="H69" s="185">
        <f>SUMPRODUCT(-('Diário 5º PA'!$E$5:$E$2634='Analítico Cx.'!$B69),-('Diário 5º PA'!$P$5:$P$2634=H$1),('Diário 5º PA'!$F$5:$F$2634))+
SUMPRODUCT(-('Diário 6º PA'!$E$5:$E$2246='Analítico Cx.'!$B69),-('Diário 6º PA'!$P$5:$P$2246=H$1),('Diário 6º PA'!$F$5:$F$2246))+
SUMPRODUCT(-('Diário 7º PA'!$E$5:$E$2271='Analítico Cx.'!$B69),-('Diário 7º PA'!$P$5:$P$2271=H$1),('Diário 7º PA'!$F$5:$F$2271))+
SUMPRODUCT(-('Diário 8º PA'!$E$5:$E$2488='Analítico Cx.'!$B69),-('Diário 8º PA'!$P$5:$P$2488=H$1),('Diário 8º PA'!$F$5:$F$2488))</f>
        <v>4853.17</v>
      </c>
      <c r="I69" s="185">
        <f>SUMPRODUCT(-('Diário 5º PA'!$E$5:$E$2634='Analítico Cx.'!$B69),-('Diário 5º PA'!$P$5:$P$2634=I$1),('Diário 5º PA'!$F$5:$F$2634))+
SUMPRODUCT(-('Diário 6º PA'!$E$5:$E$2246='Analítico Cx.'!$B69),-('Diário 6º PA'!$P$5:$P$2246=I$1),('Diário 6º PA'!$F$5:$F$2246))+
SUMPRODUCT(-('Diário 7º PA'!$E$5:$E$2271='Analítico Cx.'!$B69),-('Diário 7º PA'!$P$5:$P$2271=I$1),('Diário 7º PA'!$F$5:$F$2271))+
SUMPRODUCT(-('Diário 8º PA'!$E$5:$E$2488='Analítico Cx.'!$B69),-('Diário 8º PA'!$P$5:$P$2488=I$1),('Diário 8º PA'!$F$5:$F$2488))</f>
        <v>4594.6499999999996</v>
      </c>
      <c r="J69" s="185">
        <f>SUMPRODUCT(-('Diário 5º PA'!$E$5:$E$2634='Analítico Cx.'!$B69),-('Diário 5º PA'!$P$5:$P$2634=J$1),('Diário 5º PA'!$F$5:$F$2634))+
SUMPRODUCT(-('Diário 6º PA'!$E$5:$E$2246='Analítico Cx.'!$B69),-('Diário 6º PA'!$P$5:$P$2246=J$1),('Diário 6º PA'!$F$5:$F$2246))+
SUMPRODUCT(-('Diário 7º PA'!$E$5:$E$2271='Analítico Cx.'!$B69),-('Diário 7º PA'!$P$5:$P$2271=J$1),('Diário 7º PA'!$F$5:$F$2271))+
SUMPRODUCT(-('Diário 8º PA'!$E$5:$E$2488='Analítico Cx.'!$B69),-('Diário 8º PA'!$P$5:$P$2488=J$1),('Diário 8º PA'!$F$5:$F$2488))</f>
        <v>4843.2800000000007</v>
      </c>
      <c r="K69" s="185">
        <f>SUMPRODUCT(-('Diário 5º PA'!$E$5:$E$2634='Analítico Cx.'!$B69),-('Diário 5º PA'!$P$5:$P$2634=K$1),('Diário 5º PA'!$F$5:$F$2634))+
SUMPRODUCT(-('Diário 6º PA'!$E$5:$E$2246='Analítico Cx.'!$B69),-('Diário 6º PA'!$P$5:$P$2246=K$1),('Diário 6º PA'!$F$5:$F$2246))+
SUMPRODUCT(-('Diário 7º PA'!$E$5:$E$2271='Analítico Cx.'!$B69),-('Diário 7º PA'!$P$5:$P$2271=K$1),('Diário 7º PA'!$F$5:$F$2271))+
SUMPRODUCT(-('Diário 8º PA'!$E$5:$E$2488='Analítico Cx.'!$B69),-('Diário 8º PA'!$P$5:$P$2488=K$1),('Diário 8º PA'!$F$5:$F$2488))</f>
        <v>2260.6799999999998</v>
      </c>
      <c r="L69" s="185">
        <f>SUMPRODUCT(-('Diário 5º PA'!$E$5:$E$2634='Analítico Cx.'!$B69),-('Diário 5º PA'!$P$5:$P$2634=L$1),('Diário 5º PA'!$F$5:$F$2634))+
SUMPRODUCT(-('Diário 6º PA'!$E$5:$E$2246='Analítico Cx.'!$B69),-('Diário 6º PA'!$P$5:$P$2246=L$1),('Diário 6º PA'!$F$5:$F$2246))+
SUMPRODUCT(-('Diário 7º PA'!$E$5:$E$2271='Analítico Cx.'!$B69),-('Diário 7º PA'!$P$5:$P$2271=L$1),('Diário 7º PA'!$F$5:$F$2271))+
SUMPRODUCT(-('Diário 8º PA'!$E$5:$E$2488='Analítico Cx.'!$B69),-('Diário 8º PA'!$P$5:$P$2488=L$1),('Diário 8º PA'!$F$5:$F$2488))</f>
        <v>4693.88</v>
      </c>
      <c r="M69" s="185">
        <f>SUMPRODUCT(-('Diário 5º PA'!$E$5:$E$2634='Analítico Cx.'!$B69),-('Diário 5º PA'!$P$5:$P$2634=M$1),('Diário 5º PA'!$F$5:$F$2634))+
SUMPRODUCT(-('Diário 6º PA'!$E$5:$E$2246='Analítico Cx.'!$B69),-('Diário 6º PA'!$P$5:$P$2246=M$1),('Diário 6º PA'!$F$5:$F$2246))+
SUMPRODUCT(-('Diário 7º PA'!$E$5:$E$2271='Analítico Cx.'!$B69),-('Diário 7º PA'!$P$5:$P$2271=M$1),('Diário 7º PA'!$F$5:$F$2271))+
SUMPRODUCT(-('Diário 8º PA'!$E$5:$E$2488='Analítico Cx.'!$B69),-('Diário 8º PA'!$P$5:$P$2488=M$1),('Diário 8º PA'!$F$5:$F$2488))</f>
        <v>278.95999999999998</v>
      </c>
      <c r="N69" s="185">
        <f>SUMPRODUCT(-('Diário 5º PA'!$E$5:$E$2634='Analítico Cx.'!$B69),-('Diário 5º PA'!$P$5:$P$2634=N$1),('Diário 5º PA'!$F$5:$F$2634))+
SUMPRODUCT(-('Diário 6º PA'!$E$5:$E$2246='Analítico Cx.'!$B69),-('Diário 6º PA'!$P$5:$P$2246=N$1),('Diário 6º PA'!$F$5:$F$2246))+
SUMPRODUCT(-('Diário 7º PA'!$E$5:$E$2271='Analítico Cx.'!$B69),-('Diário 7º PA'!$P$5:$P$2271=N$1),('Diário 7º PA'!$F$5:$F$2271))+
SUMPRODUCT(-('Diário 8º PA'!$E$5:$E$2488='Analítico Cx.'!$B69),-('Diário 8º PA'!$P$5:$P$2488=N$1),('Diário 8º PA'!$F$5:$F$2488))</f>
        <v>0</v>
      </c>
      <c r="O69" s="186">
        <f t="shared" si="16"/>
        <v>47330.079999999994</v>
      </c>
      <c r="P69" s="187">
        <f t="shared" si="17"/>
        <v>5.0217782851013273E-3</v>
      </c>
      <c r="Q69" s="34"/>
      <c r="R69" s="34"/>
      <c r="S69" s="34"/>
      <c r="T69" s="34"/>
      <c r="U69" s="34"/>
      <c r="V69" s="34"/>
      <c r="W69" s="34"/>
      <c r="X69" s="34"/>
      <c r="Y69" s="34"/>
      <c r="Z69" s="34"/>
    </row>
    <row r="70" spans="1:26" ht="23.25" customHeight="1" x14ac:dyDescent="0.2">
      <c r="A70" s="203" t="s">
        <v>231</v>
      </c>
      <c r="B70" s="72" t="s">
        <v>232</v>
      </c>
      <c r="C70" s="185">
        <f>SUMPRODUCT(-('Diário 5º PA'!$E$5:$E$2634='Analítico Cx.'!$B70),-('Diário 5º PA'!$P$5:$P$2634=C$1),('Diário 5º PA'!$F$5:$F$2634))+
SUMPRODUCT(-('Diário 6º PA'!$E$5:$E$2246='Analítico Cx.'!$B70),-('Diário 6º PA'!$P$5:$P$2246=C$1),('Diário 6º PA'!$F$5:$F$2246))+
SUMPRODUCT(-('Diário 7º PA'!$E$5:$E$2271='Analítico Cx.'!$B70),-('Diário 7º PA'!$P$5:$P$2271=C$1),('Diário 7º PA'!$F$5:$F$2271))+
SUMPRODUCT(-('Diário 8º PA'!$E$5:$E$2488='Analítico Cx.'!$B70),-('Diário 8º PA'!$P$5:$P$2488=C$1),('Diário 8º PA'!$F$5:$F$2488))</f>
        <v>0</v>
      </c>
      <c r="D70" s="185">
        <f>SUMPRODUCT(-('Diário 5º PA'!$E$5:$E$2634='Analítico Cx.'!$B70),-('Diário 5º PA'!$P$5:$P$2634=D$1),('Diário 5º PA'!$F$5:$F$2634))+
SUMPRODUCT(-('Diário 6º PA'!$E$5:$E$2246='Analítico Cx.'!$B70),-('Diário 6º PA'!$P$5:$P$2246=D$1),('Diário 6º PA'!$F$5:$F$2246))+
SUMPRODUCT(-('Diário 7º PA'!$E$5:$E$2271='Analítico Cx.'!$B70),-('Diário 7º PA'!$P$5:$P$2271=D$1),('Diário 7º PA'!$F$5:$F$2271))+
SUMPRODUCT(-('Diário 8º PA'!$E$5:$E$2488='Analítico Cx.'!$B70),-('Diário 8º PA'!$P$5:$P$2488=D$1),('Diário 8º PA'!$F$5:$F$2488))</f>
        <v>0</v>
      </c>
      <c r="E70" s="185">
        <f>SUMPRODUCT(-('Diário 5º PA'!$E$5:$E$2634='Analítico Cx.'!$B70),-('Diário 5º PA'!$P$5:$P$2634=E$1),('Diário 5º PA'!$F$5:$F$2634))+
SUMPRODUCT(-('Diário 6º PA'!$E$5:$E$2246='Analítico Cx.'!$B70),-('Diário 6º PA'!$P$5:$P$2246=E$1),('Diário 6º PA'!$F$5:$F$2246))+
SUMPRODUCT(-('Diário 7º PA'!$E$5:$E$2271='Analítico Cx.'!$B70),-('Diário 7º PA'!$P$5:$P$2271=E$1),('Diário 7º PA'!$F$5:$F$2271))+
SUMPRODUCT(-('Diário 8º PA'!$E$5:$E$2488='Analítico Cx.'!$B70),-('Diário 8º PA'!$P$5:$P$2488=E$1),('Diário 8º PA'!$F$5:$F$2488))</f>
        <v>0</v>
      </c>
      <c r="F70" s="185">
        <f>SUMPRODUCT(-('Diário 5º PA'!$E$5:$E$2634='Analítico Cx.'!$B70),-('Diário 5º PA'!$P$5:$P$2634=F$1),('Diário 5º PA'!$F$5:$F$2634))+
SUMPRODUCT(-('Diário 6º PA'!$E$5:$E$2246='Analítico Cx.'!$B70),-('Diário 6º PA'!$P$5:$P$2246=F$1),('Diário 6º PA'!$F$5:$F$2246))+
SUMPRODUCT(-('Diário 7º PA'!$E$5:$E$2271='Analítico Cx.'!$B70),-('Diário 7º PA'!$P$5:$P$2271=F$1),('Diário 7º PA'!$F$5:$F$2271))+
SUMPRODUCT(-('Diário 8º PA'!$E$5:$E$2488='Analítico Cx.'!$B70),-('Diário 8º PA'!$P$5:$P$2488=F$1),('Diário 8º PA'!$F$5:$F$2488))</f>
        <v>15855.73</v>
      </c>
      <c r="G70" s="185">
        <f>SUMPRODUCT(-('Diário 5º PA'!$E$5:$E$2634='Analítico Cx.'!$B70),-('Diário 5º PA'!$P$5:$P$2634=G$1),('Diário 5º PA'!$F$5:$F$2634))+
SUMPRODUCT(-('Diário 6º PA'!$E$5:$E$2246='Analítico Cx.'!$B70),-('Diário 6º PA'!$P$5:$P$2246=G$1),('Diário 6º PA'!$F$5:$F$2246))+
SUMPRODUCT(-('Diário 7º PA'!$E$5:$E$2271='Analítico Cx.'!$B70),-('Diário 7º PA'!$P$5:$P$2271=G$1),('Diário 7º PA'!$F$5:$F$2271))+
SUMPRODUCT(-('Diário 8º PA'!$E$5:$E$2488='Analítico Cx.'!$B70),-('Diário 8º PA'!$P$5:$P$2488=G$1),('Diário 8º PA'!$F$5:$F$2488))</f>
        <v>1308.72</v>
      </c>
      <c r="H70" s="185">
        <f>SUMPRODUCT(-('Diário 5º PA'!$E$5:$E$2634='Analítico Cx.'!$B70),-('Diário 5º PA'!$P$5:$P$2634=H$1),('Diário 5º PA'!$F$5:$F$2634))+
SUMPRODUCT(-('Diário 6º PA'!$E$5:$E$2246='Analítico Cx.'!$B70),-('Diário 6º PA'!$P$5:$P$2246=H$1),('Diário 6º PA'!$F$5:$F$2246))+
SUMPRODUCT(-('Diário 7º PA'!$E$5:$E$2271='Analítico Cx.'!$B70),-('Diário 7º PA'!$P$5:$P$2271=H$1),('Diário 7º PA'!$F$5:$F$2271))+
SUMPRODUCT(-('Diário 8º PA'!$E$5:$E$2488='Analítico Cx.'!$B70),-('Diário 8º PA'!$P$5:$P$2488=H$1),('Diário 8º PA'!$F$5:$F$2488))</f>
        <v>0</v>
      </c>
      <c r="I70" s="185">
        <f>SUMPRODUCT(-('Diário 5º PA'!$E$5:$E$2634='Analítico Cx.'!$B70),-('Diário 5º PA'!$P$5:$P$2634=I$1),('Diário 5º PA'!$F$5:$F$2634))+
SUMPRODUCT(-('Diário 6º PA'!$E$5:$E$2246='Analítico Cx.'!$B70),-('Diário 6º PA'!$P$5:$P$2246=I$1),('Diário 6º PA'!$F$5:$F$2246))+
SUMPRODUCT(-('Diário 7º PA'!$E$5:$E$2271='Analítico Cx.'!$B70),-('Diário 7º PA'!$P$5:$P$2271=I$1),('Diário 7º PA'!$F$5:$F$2271))+
SUMPRODUCT(-('Diário 8º PA'!$E$5:$E$2488='Analítico Cx.'!$B70),-('Diário 8º PA'!$P$5:$P$2488=I$1),('Diário 8º PA'!$F$5:$F$2488))</f>
        <v>0</v>
      </c>
      <c r="J70" s="185">
        <f>SUMPRODUCT(-('Diário 5º PA'!$E$5:$E$2634='Analítico Cx.'!$B70),-('Diário 5º PA'!$P$5:$P$2634=J$1),('Diário 5º PA'!$F$5:$F$2634))+
SUMPRODUCT(-('Diário 6º PA'!$E$5:$E$2246='Analítico Cx.'!$B70),-('Diário 6º PA'!$P$5:$P$2246=J$1),('Diário 6º PA'!$F$5:$F$2246))+
SUMPRODUCT(-('Diário 7º PA'!$E$5:$E$2271='Analítico Cx.'!$B70),-('Diário 7º PA'!$P$5:$P$2271=J$1),('Diário 7º PA'!$F$5:$F$2271))+
SUMPRODUCT(-('Diário 8º PA'!$E$5:$E$2488='Analítico Cx.'!$B70),-('Diário 8º PA'!$P$5:$P$2488=J$1),('Diário 8º PA'!$F$5:$F$2488))</f>
        <v>0</v>
      </c>
      <c r="K70" s="185">
        <f>SUMPRODUCT(-('Diário 5º PA'!$E$5:$E$2634='Analítico Cx.'!$B70),-('Diário 5º PA'!$P$5:$P$2634=K$1),('Diário 5º PA'!$F$5:$F$2634))+
SUMPRODUCT(-('Diário 6º PA'!$E$5:$E$2246='Analítico Cx.'!$B70),-('Diário 6º PA'!$P$5:$P$2246=K$1),('Diário 6º PA'!$F$5:$F$2246))+
SUMPRODUCT(-('Diário 7º PA'!$E$5:$E$2271='Analítico Cx.'!$B70),-('Diário 7º PA'!$P$5:$P$2271=K$1),('Diário 7º PA'!$F$5:$F$2271))+
SUMPRODUCT(-('Diário 8º PA'!$E$5:$E$2488='Analítico Cx.'!$B70),-('Diário 8º PA'!$P$5:$P$2488=K$1),('Diário 8º PA'!$F$5:$F$2488))</f>
        <v>0</v>
      </c>
      <c r="L70" s="185">
        <f>SUMPRODUCT(-('Diário 5º PA'!$E$5:$E$2634='Analítico Cx.'!$B70),-('Diário 5º PA'!$P$5:$P$2634=L$1),('Diário 5º PA'!$F$5:$F$2634))+
SUMPRODUCT(-('Diário 6º PA'!$E$5:$E$2246='Analítico Cx.'!$B70),-('Diário 6º PA'!$P$5:$P$2246=L$1),('Diário 6º PA'!$F$5:$F$2246))+
SUMPRODUCT(-('Diário 7º PA'!$E$5:$E$2271='Analítico Cx.'!$B70),-('Diário 7º PA'!$P$5:$P$2271=L$1),('Diário 7º PA'!$F$5:$F$2271))+
SUMPRODUCT(-('Diário 8º PA'!$E$5:$E$2488='Analítico Cx.'!$B70),-('Diário 8º PA'!$P$5:$P$2488=L$1),('Diário 8º PA'!$F$5:$F$2488))</f>
        <v>0</v>
      </c>
      <c r="M70" s="185">
        <f>SUMPRODUCT(-('Diário 5º PA'!$E$5:$E$2634='Analítico Cx.'!$B70),-('Diário 5º PA'!$P$5:$P$2634=M$1),('Diário 5º PA'!$F$5:$F$2634))+
SUMPRODUCT(-('Diário 6º PA'!$E$5:$E$2246='Analítico Cx.'!$B70),-('Diário 6º PA'!$P$5:$P$2246=M$1),('Diário 6º PA'!$F$5:$F$2246))+
SUMPRODUCT(-('Diário 7º PA'!$E$5:$E$2271='Analítico Cx.'!$B70),-('Diário 7º PA'!$P$5:$P$2271=M$1),('Diário 7º PA'!$F$5:$F$2271))+
SUMPRODUCT(-('Diário 8º PA'!$E$5:$E$2488='Analítico Cx.'!$B70),-('Diário 8º PA'!$P$5:$P$2488=M$1),('Diário 8º PA'!$F$5:$F$2488))</f>
        <v>0</v>
      </c>
      <c r="N70" s="185">
        <f>SUMPRODUCT(-('Diário 5º PA'!$E$5:$E$2634='Analítico Cx.'!$B70),-('Diário 5º PA'!$P$5:$P$2634=N$1),('Diário 5º PA'!$F$5:$F$2634))+
SUMPRODUCT(-('Diário 6º PA'!$E$5:$E$2246='Analítico Cx.'!$B70),-('Diário 6º PA'!$P$5:$P$2246=N$1),('Diário 6º PA'!$F$5:$F$2246))+
SUMPRODUCT(-('Diário 7º PA'!$E$5:$E$2271='Analítico Cx.'!$B70),-('Diário 7º PA'!$P$5:$P$2271=N$1),('Diário 7º PA'!$F$5:$F$2271))+
SUMPRODUCT(-('Diário 8º PA'!$E$5:$E$2488='Analítico Cx.'!$B70),-('Diário 8º PA'!$P$5:$P$2488=N$1),('Diário 8º PA'!$F$5:$F$2488))</f>
        <v>0</v>
      </c>
      <c r="O70" s="186">
        <f t="shared" si="16"/>
        <v>17164.45</v>
      </c>
      <c r="P70" s="187">
        <f t="shared" si="17"/>
        <v>1.8211687427045864E-3</v>
      </c>
      <c r="Q70" s="34"/>
      <c r="R70" s="34"/>
      <c r="S70" s="34"/>
      <c r="T70" s="34"/>
      <c r="U70" s="34"/>
      <c r="V70" s="34"/>
      <c r="W70" s="34"/>
      <c r="X70" s="34"/>
      <c r="Y70" s="34"/>
      <c r="Z70" s="34"/>
    </row>
    <row r="71" spans="1:26" ht="23.25" customHeight="1" x14ac:dyDescent="0.2">
      <c r="A71" s="203" t="s">
        <v>233</v>
      </c>
      <c r="B71" s="72" t="s">
        <v>234</v>
      </c>
      <c r="C71" s="185">
        <f>SUMPRODUCT(-('Diário 5º PA'!$E$5:$E$2634='Analítico Cx.'!$B71),-('Diário 5º PA'!$P$5:$P$2634=C$1),('Diário 5º PA'!$F$5:$F$2634))+
SUMPRODUCT(-('Diário 6º PA'!$E$5:$E$2246='Analítico Cx.'!$B71),-('Diário 6º PA'!$P$5:$P$2246=C$1),('Diário 6º PA'!$F$5:$F$2246))+
SUMPRODUCT(-('Diário 7º PA'!$E$5:$E$2271='Analítico Cx.'!$B71),-('Diário 7º PA'!$P$5:$P$2271=C$1),('Diário 7º PA'!$F$5:$F$2271))+
SUMPRODUCT(-('Diário 8º PA'!$E$5:$E$2488='Analítico Cx.'!$B71),-('Diário 8º PA'!$P$5:$P$2488=C$1),('Diário 8º PA'!$F$5:$F$2488))</f>
        <v>0</v>
      </c>
      <c r="D71" s="185">
        <f>SUMPRODUCT(-('Diário 5º PA'!$E$5:$E$2634='Analítico Cx.'!$B71),-('Diário 5º PA'!$P$5:$P$2634=D$1),('Diário 5º PA'!$F$5:$F$2634))+
SUMPRODUCT(-('Diário 6º PA'!$E$5:$E$2246='Analítico Cx.'!$B71),-('Diário 6º PA'!$P$5:$P$2246=D$1),('Diário 6º PA'!$F$5:$F$2246))+
SUMPRODUCT(-('Diário 7º PA'!$E$5:$E$2271='Analítico Cx.'!$B71),-('Diário 7º PA'!$P$5:$P$2271=D$1),('Diário 7º PA'!$F$5:$F$2271))+
SUMPRODUCT(-('Diário 8º PA'!$E$5:$E$2488='Analítico Cx.'!$B71),-('Diário 8º PA'!$P$5:$P$2488=D$1),('Diário 8º PA'!$F$5:$F$2488))</f>
        <v>0</v>
      </c>
      <c r="E71" s="185">
        <f>SUMPRODUCT(-('Diário 5º PA'!$E$5:$E$2634='Analítico Cx.'!$B71),-('Diário 5º PA'!$P$5:$P$2634=E$1),('Diário 5º PA'!$F$5:$F$2634))+
SUMPRODUCT(-('Diário 6º PA'!$E$5:$E$2246='Analítico Cx.'!$B71),-('Diário 6º PA'!$P$5:$P$2246=E$1),('Diário 6º PA'!$F$5:$F$2246))+
SUMPRODUCT(-('Diário 7º PA'!$E$5:$E$2271='Analítico Cx.'!$B71),-('Diário 7º PA'!$P$5:$P$2271=E$1),('Diário 7º PA'!$F$5:$F$2271))+
SUMPRODUCT(-('Diário 8º PA'!$E$5:$E$2488='Analítico Cx.'!$B71),-('Diário 8º PA'!$P$5:$P$2488=E$1),('Diário 8º PA'!$F$5:$F$2488))</f>
        <v>0</v>
      </c>
      <c r="F71" s="185">
        <f>SUMPRODUCT(-('Diário 5º PA'!$E$5:$E$2634='Analítico Cx.'!$B71),-('Diário 5º PA'!$P$5:$P$2634=F$1),('Diário 5º PA'!$F$5:$F$2634))+
SUMPRODUCT(-('Diário 6º PA'!$E$5:$E$2246='Analítico Cx.'!$B71),-('Diário 6º PA'!$P$5:$P$2246=F$1),('Diário 6º PA'!$F$5:$F$2246))+
SUMPRODUCT(-('Diário 7º PA'!$E$5:$E$2271='Analítico Cx.'!$B71),-('Diário 7º PA'!$P$5:$P$2271=F$1),('Diário 7º PA'!$F$5:$F$2271))+
SUMPRODUCT(-('Diário 8º PA'!$E$5:$E$2488='Analítico Cx.'!$B71),-('Diário 8º PA'!$P$5:$P$2488=F$1),('Diário 8º PA'!$F$5:$F$2488))</f>
        <v>0</v>
      </c>
      <c r="G71" s="185">
        <f>SUMPRODUCT(-('Diário 5º PA'!$E$5:$E$2634='Analítico Cx.'!$B71),-('Diário 5º PA'!$P$5:$P$2634=G$1),('Diário 5º PA'!$F$5:$F$2634))+
SUMPRODUCT(-('Diário 6º PA'!$E$5:$E$2246='Analítico Cx.'!$B71),-('Diário 6º PA'!$P$5:$P$2246=G$1),('Diário 6º PA'!$F$5:$F$2246))+
SUMPRODUCT(-('Diário 7º PA'!$E$5:$E$2271='Analítico Cx.'!$B71),-('Diário 7º PA'!$P$5:$P$2271=G$1),('Diário 7º PA'!$F$5:$F$2271))+
SUMPRODUCT(-('Diário 8º PA'!$E$5:$E$2488='Analítico Cx.'!$B71),-('Diário 8º PA'!$P$5:$P$2488=G$1),('Diário 8º PA'!$F$5:$F$2488))</f>
        <v>783.92</v>
      </c>
      <c r="H71" s="185">
        <f>SUMPRODUCT(-('Diário 5º PA'!$E$5:$E$2634='Analítico Cx.'!$B71),-('Diário 5º PA'!$P$5:$P$2634=H$1),('Diário 5º PA'!$F$5:$F$2634))+
SUMPRODUCT(-('Diário 6º PA'!$E$5:$E$2246='Analítico Cx.'!$B71),-('Diário 6º PA'!$P$5:$P$2246=H$1),('Diário 6º PA'!$F$5:$F$2246))+
SUMPRODUCT(-('Diário 7º PA'!$E$5:$E$2271='Analítico Cx.'!$B71),-('Diário 7º PA'!$P$5:$P$2271=H$1),('Diário 7º PA'!$F$5:$F$2271))+
SUMPRODUCT(-('Diário 8º PA'!$E$5:$E$2488='Analítico Cx.'!$B71),-('Diário 8º PA'!$P$5:$P$2488=H$1),('Diário 8º PA'!$F$5:$F$2488))</f>
        <v>1191.96</v>
      </c>
      <c r="I71" s="185">
        <f>SUMPRODUCT(-('Diário 5º PA'!$E$5:$E$2634='Analítico Cx.'!$B71),-('Diário 5º PA'!$P$5:$P$2634=I$1),('Diário 5º PA'!$F$5:$F$2634))+
SUMPRODUCT(-('Diário 6º PA'!$E$5:$E$2246='Analítico Cx.'!$B71),-('Diário 6º PA'!$P$5:$P$2246=I$1),('Diário 6º PA'!$F$5:$F$2246))+
SUMPRODUCT(-('Diário 7º PA'!$E$5:$E$2271='Analítico Cx.'!$B71),-('Diário 7º PA'!$P$5:$P$2271=I$1),('Diário 7º PA'!$F$5:$F$2271))+
SUMPRODUCT(-('Diário 8º PA'!$E$5:$E$2488='Analítico Cx.'!$B71),-('Diário 8º PA'!$P$5:$P$2488=I$1),('Diário 8º PA'!$F$5:$F$2488))</f>
        <v>24.12</v>
      </c>
      <c r="J71" s="185">
        <f>SUMPRODUCT(-('Diário 5º PA'!$E$5:$E$2634='Analítico Cx.'!$B71),-('Diário 5º PA'!$P$5:$P$2634=J$1),('Diário 5º PA'!$F$5:$F$2634))+
SUMPRODUCT(-('Diário 6º PA'!$E$5:$E$2246='Analítico Cx.'!$B71),-('Diário 6º PA'!$P$5:$P$2246=J$1),('Diário 6º PA'!$F$5:$F$2246))+
SUMPRODUCT(-('Diário 7º PA'!$E$5:$E$2271='Analítico Cx.'!$B71),-('Diário 7º PA'!$P$5:$P$2271=J$1),('Diário 7º PA'!$F$5:$F$2271))+
SUMPRODUCT(-('Diário 8º PA'!$E$5:$E$2488='Analítico Cx.'!$B71),-('Diário 8º PA'!$P$5:$P$2488=J$1),('Diário 8º PA'!$F$5:$F$2488))</f>
        <v>0</v>
      </c>
      <c r="K71" s="185">
        <f>SUMPRODUCT(-('Diário 5º PA'!$E$5:$E$2634='Analítico Cx.'!$B71),-('Diário 5º PA'!$P$5:$P$2634=K$1),('Diário 5º PA'!$F$5:$F$2634))+
SUMPRODUCT(-('Diário 6º PA'!$E$5:$E$2246='Analítico Cx.'!$B71),-('Diário 6º PA'!$P$5:$P$2246=K$1),('Diário 6º PA'!$F$5:$F$2246))+
SUMPRODUCT(-('Diário 7º PA'!$E$5:$E$2271='Analítico Cx.'!$B71),-('Diário 7º PA'!$P$5:$P$2271=K$1),('Diário 7º PA'!$F$5:$F$2271))+
SUMPRODUCT(-('Diário 8º PA'!$E$5:$E$2488='Analítico Cx.'!$B71),-('Diário 8º PA'!$P$5:$P$2488=K$1),('Diário 8º PA'!$F$5:$F$2488))</f>
        <v>0</v>
      </c>
      <c r="L71" s="185">
        <f>SUMPRODUCT(-('Diário 5º PA'!$E$5:$E$2634='Analítico Cx.'!$B71),-('Diário 5º PA'!$P$5:$P$2634=L$1),('Diário 5º PA'!$F$5:$F$2634))+
SUMPRODUCT(-('Diário 6º PA'!$E$5:$E$2246='Analítico Cx.'!$B71),-('Diário 6º PA'!$P$5:$P$2246=L$1),('Diário 6º PA'!$F$5:$F$2246))+
SUMPRODUCT(-('Diário 7º PA'!$E$5:$E$2271='Analítico Cx.'!$B71),-('Diário 7º PA'!$P$5:$P$2271=L$1),('Diário 7º PA'!$F$5:$F$2271))+
SUMPRODUCT(-('Diário 8º PA'!$E$5:$E$2488='Analítico Cx.'!$B71),-('Diário 8º PA'!$P$5:$P$2488=L$1),('Diário 8º PA'!$F$5:$F$2488))</f>
        <v>0</v>
      </c>
      <c r="M71" s="185">
        <f>SUMPRODUCT(-('Diário 5º PA'!$E$5:$E$2634='Analítico Cx.'!$B71),-('Diário 5º PA'!$P$5:$P$2634=M$1),('Diário 5º PA'!$F$5:$F$2634))+
SUMPRODUCT(-('Diário 6º PA'!$E$5:$E$2246='Analítico Cx.'!$B71),-('Diário 6º PA'!$P$5:$P$2246=M$1),('Diário 6º PA'!$F$5:$F$2246))+
SUMPRODUCT(-('Diário 7º PA'!$E$5:$E$2271='Analítico Cx.'!$B71),-('Diário 7º PA'!$P$5:$P$2271=M$1),('Diário 7º PA'!$F$5:$F$2271))+
SUMPRODUCT(-('Diário 8º PA'!$E$5:$E$2488='Analítico Cx.'!$B71),-('Diário 8º PA'!$P$5:$P$2488=M$1),('Diário 8º PA'!$F$5:$F$2488))</f>
        <v>0</v>
      </c>
      <c r="N71" s="185">
        <f>SUMPRODUCT(-('Diário 5º PA'!$E$5:$E$2634='Analítico Cx.'!$B71),-('Diário 5º PA'!$P$5:$P$2634=N$1),('Diário 5º PA'!$F$5:$F$2634))+
SUMPRODUCT(-('Diário 6º PA'!$E$5:$E$2246='Analítico Cx.'!$B71),-('Diário 6º PA'!$P$5:$P$2246=N$1),('Diário 6º PA'!$F$5:$F$2246))+
SUMPRODUCT(-('Diário 7º PA'!$E$5:$E$2271='Analítico Cx.'!$B71),-('Diário 7º PA'!$P$5:$P$2271=N$1),('Diário 7º PA'!$F$5:$F$2271))+
SUMPRODUCT(-('Diário 8º PA'!$E$5:$E$2488='Analítico Cx.'!$B71),-('Diário 8º PA'!$P$5:$P$2488=N$1),('Diário 8º PA'!$F$5:$F$2488))</f>
        <v>0</v>
      </c>
      <c r="O71" s="186">
        <f t="shared" si="16"/>
        <v>2000</v>
      </c>
      <c r="P71" s="187">
        <f t="shared" si="17"/>
        <v>2.1220240004248158E-4</v>
      </c>
      <c r="Q71" s="34"/>
      <c r="R71" s="34"/>
      <c r="S71" s="34"/>
      <c r="T71" s="34"/>
      <c r="U71" s="34"/>
      <c r="V71" s="34"/>
      <c r="W71" s="34"/>
      <c r="X71" s="34"/>
      <c r="Y71" s="34"/>
      <c r="Z71" s="34"/>
    </row>
    <row r="72" spans="1:26" ht="23.25" customHeight="1" x14ac:dyDescent="0.2">
      <c r="A72" s="203" t="s">
        <v>235</v>
      </c>
      <c r="B72" s="72" t="s">
        <v>236</v>
      </c>
      <c r="C72" s="185">
        <f>SUMPRODUCT(-('Diário 5º PA'!$E$5:$E$2634='Analítico Cx.'!$B72),-('Diário 5º PA'!$P$5:$P$2634=C$1),('Diário 5º PA'!$F$5:$F$2634))+
SUMPRODUCT(-('Diário 6º PA'!$E$5:$E$2246='Analítico Cx.'!$B72),-('Diário 6º PA'!$P$5:$P$2246=C$1),('Diário 6º PA'!$F$5:$F$2246))+
SUMPRODUCT(-('Diário 7º PA'!$E$5:$E$2271='Analítico Cx.'!$B72),-('Diário 7º PA'!$P$5:$P$2271=C$1),('Diário 7º PA'!$F$5:$F$2271))+
SUMPRODUCT(-('Diário 8º PA'!$E$5:$E$2488='Analítico Cx.'!$B72),-('Diário 8º PA'!$P$5:$P$2488=C$1),('Diário 8º PA'!$F$5:$F$2488))</f>
        <v>23638.2</v>
      </c>
      <c r="D72" s="185">
        <f>SUMPRODUCT(-('Diário 5º PA'!$E$5:$E$2634='Analítico Cx.'!$B72),-('Diário 5º PA'!$P$5:$P$2634=D$1),('Diário 5º PA'!$F$5:$F$2634))+
SUMPRODUCT(-('Diário 6º PA'!$E$5:$E$2246='Analítico Cx.'!$B72),-('Diário 6º PA'!$P$5:$P$2246=D$1),('Diário 6º PA'!$F$5:$F$2246))+
SUMPRODUCT(-('Diário 7º PA'!$E$5:$E$2271='Analítico Cx.'!$B72),-('Diário 7º PA'!$P$5:$P$2271=D$1),('Diário 7º PA'!$F$5:$F$2271))+
SUMPRODUCT(-('Diário 8º PA'!$E$5:$E$2488='Analítico Cx.'!$B72),-('Diário 8º PA'!$P$5:$P$2488=D$1),('Diário 8º PA'!$F$5:$F$2488))</f>
        <v>4300.17</v>
      </c>
      <c r="E72" s="185">
        <f>SUMPRODUCT(-('Diário 5º PA'!$E$5:$E$2634='Analítico Cx.'!$B72),-('Diário 5º PA'!$P$5:$P$2634=E$1),('Diário 5º PA'!$F$5:$F$2634))+
SUMPRODUCT(-('Diário 6º PA'!$E$5:$E$2246='Analítico Cx.'!$B72),-('Diário 6º PA'!$P$5:$P$2246=E$1),('Diário 6º PA'!$F$5:$F$2246))+
SUMPRODUCT(-('Diário 7º PA'!$E$5:$E$2271='Analítico Cx.'!$B72),-('Diário 7º PA'!$P$5:$P$2271=E$1),('Diário 7º PA'!$F$5:$F$2271))+
SUMPRODUCT(-('Diário 8º PA'!$E$5:$E$2488='Analítico Cx.'!$B72),-('Diário 8º PA'!$P$5:$P$2488=E$1),('Diário 8º PA'!$F$5:$F$2488))</f>
        <v>874.08</v>
      </c>
      <c r="F72" s="185">
        <f>SUMPRODUCT(-('Diário 5º PA'!$E$5:$E$2634='Analítico Cx.'!$B72),-('Diário 5º PA'!$P$5:$P$2634=F$1),('Diário 5º PA'!$F$5:$F$2634))+
SUMPRODUCT(-('Diário 6º PA'!$E$5:$E$2246='Analítico Cx.'!$B72),-('Diário 6º PA'!$P$5:$P$2246=F$1),('Diário 6º PA'!$F$5:$F$2246))+
SUMPRODUCT(-('Diário 7º PA'!$E$5:$E$2271='Analítico Cx.'!$B72),-('Diário 7º PA'!$P$5:$P$2271=F$1),('Diário 7º PA'!$F$5:$F$2271))+
SUMPRODUCT(-('Diário 8º PA'!$E$5:$E$2488='Analítico Cx.'!$B72),-('Diário 8º PA'!$P$5:$P$2488=F$1),('Diário 8º PA'!$F$5:$F$2488))</f>
        <v>0</v>
      </c>
      <c r="G72" s="185">
        <f>SUMPRODUCT(-('Diário 5º PA'!$E$5:$E$2634='Analítico Cx.'!$B72),-('Diário 5º PA'!$P$5:$P$2634=G$1),('Diário 5º PA'!$F$5:$F$2634))+
SUMPRODUCT(-('Diário 6º PA'!$E$5:$E$2246='Analítico Cx.'!$B72),-('Diário 6º PA'!$P$5:$P$2246=G$1),('Diário 6º PA'!$F$5:$F$2246))+
SUMPRODUCT(-('Diário 7º PA'!$E$5:$E$2271='Analítico Cx.'!$B72),-('Diário 7º PA'!$P$5:$P$2271=G$1),('Diário 7º PA'!$F$5:$F$2271))+
SUMPRODUCT(-('Diário 8º PA'!$E$5:$E$2488='Analítico Cx.'!$B72),-('Diário 8º PA'!$P$5:$P$2488=G$1),('Diário 8º PA'!$F$5:$F$2488))</f>
        <v>0</v>
      </c>
      <c r="H72" s="185">
        <f>SUMPRODUCT(-('Diário 5º PA'!$E$5:$E$2634='Analítico Cx.'!$B72),-('Diário 5º PA'!$P$5:$P$2634=H$1),('Diário 5º PA'!$F$5:$F$2634))+
SUMPRODUCT(-('Diário 6º PA'!$E$5:$E$2246='Analítico Cx.'!$B72),-('Diário 6º PA'!$P$5:$P$2246=H$1),('Diário 6º PA'!$F$5:$F$2246))+
SUMPRODUCT(-('Diário 7º PA'!$E$5:$E$2271='Analítico Cx.'!$B72),-('Diário 7º PA'!$P$5:$P$2271=H$1),('Diário 7º PA'!$F$5:$F$2271))+
SUMPRODUCT(-('Diário 8º PA'!$E$5:$E$2488='Analítico Cx.'!$B72),-('Diário 8º PA'!$P$5:$P$2488=H$1),('Diário 8º PA'!$F$5:$F$2488))</f>
        <v>0</v>
      </c>
      <c r="I72" s="185">
        <f>SUMPRODUCT(-('Diário 5º PA'!$E$5:$E$2634='Analítico Cx.'!$B72),-('Diário 5º PA'!$P$5:$P$2634=I$1),('Diário 5º PA'!$F$5:$F$2634))+
SUMPRODUCT(-('Diário 6º PA'!$E$5:$E$2246='Analítico Cx.'!$B72),-('Diário 6º PA'!$P$5:$P$2246=I$1),('Diário 6º PA'!$F$5:$F$2246))+
SUMPRODUCT(-('Diário 7º PA'!$E$5:$E$2271='Analítico Cx.'!$B72),-('Diário 7º PA'!$P$5:$P$2271=I$1),('Diário 7º PA'!$F$5:$F$2271))+
SUMPRODUCT(-('Diário 8º PA'!$E$5:$E$2488='Analítico Cx.'!$B72),-('Diário 8º PA'!$P$5:$P$2488=I$1),('Diário 8º PA'!$F$5:$F$2488))</f>
        <v>0</v>
      </c>
      <c r="J72" s="185">
        <f>SUMPRODUCT(-('Diário 5º PA'!$E$5:$E$2634='Analítico Cx.'!$B72),-('Diário 5º PA'!$P$5:$P$2634=J$1),('Diário 5º PA'!$F$5:$F$2634))+
SUMPRODUCT(-('Diário 6º PA'!$E$5:$E$2246='Analítico Cx.'!$B72),-('Diário 6º PA'!$P$5:$P$2246=J$1),('Diário 6º PA'!$F$5:$F$2246))+
SUMPRODUCT(-('Diário 7º PA'!$E$5:$E$2271='Analítico Cx.'!$B72),-('Diário 7º PA'!$P$5:$P$2271=J$1),('Diário 7º PA'!$F$5:$F$2271))+
SUMPRODUCT(-('Diário 8º PA'!$E$5:$E$2488='Analítico Cx.'!$B72),-('Diário 8º PA'!$P$5:$P$2488=J$1),('Diário 8º PA'!$F$5:$F$2488))</f>
        <v>0</v>
      </c>
      <c r="K72" s="185">
        <f>SUMPRODUCT(-('Diário 5º PA'!$E$5:$E$2634='Analítico Cx.'!$B72),-('Diário 5º PA'!$P$5:$P$2634=K$1),('Diário 5º PA'!$F$5:$F$2634))+
SUMPRODUCT(-('Diário 6º PA'!$E$5:$E$2246='Analítico Cx.'!$B72),-('Diário 6º PA'!$P$5:$P$2246=K$1),('Diário 6º PA'!$F$5:$F$2246))+
SUMPRODUCT(-('Diário 7º PA'!$E$5:$E$2271='Analítico Cx.'!$B72),-('Diário 7º PA'!$P$5:$P$2271=K$1),('Diário 7º PA'!$F$5:$F$2271))+
SUMPRODUCT(-('Diário 8º PA'!$E$5:$E$2488='Analítico Cx.'!$B72),-('Diário 8º PA'!$P$5:$P$2488=K$1),('Diário 8º PA'!$F$5:$F$2488))</f>
        <v>0</v>
      </c>
      <c r="L72" s="185">
        <f>SUMPRODUCT(-('Diário 5º PA'!$E$5:$E$2634='Analítico Cx.'!$B72),-('Diário 5º PA'!$P$5:$P$2634=L$1),('Diário 5º PA'!$F$5:$F$2634))+
SUMPRODUCT(-('Diário 6º PA'!$E$5:$E$2246='Analítico Cx.'!$B72),-('Diário 6º PA'!$P$5:$P$2246=L$1),('Diário 6º PA'!$F$5:$F$2246))+
SUMPRODUCT(-('Diário 7º PA'!$E$5:$E$2271='Analítico Cx.'!$B72),-('Diário 7º PA'!$P$5:$P$2271=L$1),('Diário 7º PA'!$F$5:$F$2271))+
SUMPRODUCT(-('Diário 8º PA'!$E$5:$E$2488='Analítico Cx.'!$B72),-('Diário 8º PA'!$P$5:$P$2488=L$1),('Diário 8º PA'!$F$5:$F$2488))</f>
        <v>1200</v>
      </c>
      <c r="M72" s="185">
        <f>SUMPRODUCT(-('Diário 5º PA'!$E$5:$E$2634='Analítico Cx.'!$B72),-('Diário 5º PA'!$P$5:$P$2634=M$1),('Diário 5º PA'!$F$5:$F$2634))+
SUMPRODUCT(-('Diário 6º PA'!$E$5:$E$2246='Analítico Cx.'!$B72),-('Diário 6º PA'!$P$5:$P$2246=M$1),('Diário 6º PA'!$F$5:$F$2246))+
SUMPRODUCT(-('Diário 7º PA'!$E$5:$E$2271='Analítico Cx.'!$B72),-('Diário 7º PA'!$P$5:$P$2271=M$1),('Diário 7º PA'!$F$5:$F$2271))+
SUMPRODUCT(-('Diário 8º PA'!$E$5:$E$2488='Analítico Cx.'!$B72),-('Diário 8º PA'!$P$5:$P$2488=M$1),('Diário 8º PA'!$F$5:$F$2488))</f>
        <v>4115.58</v>
      </c>
      <c r="N72" s="185">
        <f>SUMPRODUCT(-('Diário 5º PA'!$E$5:$E$2634='Analítico Cx.'!$B72),-('Diário 5º PA'!$P$5:$P$2634=N$1),('Diário 5º PA'!$F$5:$F$2634))+
SUMPRODUCT(-('Diário 6º PA'!$E$5:$E$2246='Analítico Cx.'!$B72),-('Diário 6º PA'!$P$5:$P$2246=N$1),('Diário 6º PA'!$F$5:$F$2246))+
SUMPRODUCT(-('Diário 7º PA'!$E$5:$E$2271='Analítico Cx.'!$B72),-('Diário 7º PA'!$P$5:$P$2271=N$1),('Diário 7º PA'!$F$5:$F$2271))+
SUMPRODUCT(-('Diário 8º PA'!$E$5:$E$2488='Analítico Cx.'!$B72),-('Diário 8º PA'!$P$5:$P$2488=N$1),('Diário 8º PA'!$F$5:$F$2488))</f>
        <v>84.42</v>
      </c>
      <c r="O72" s="186">
        <f t="shared" si="16"/>
        <v>34212.450000000004</v>
      </c>
      <c r="P72" s="187">
        <f t="shared" si="17"/>
        <v>3.6299820006666997E-3</v>
      </c>
      <c r="Q72" s="34"/>
      <c r="R72" s="34"/>
      <c r="S72" s="34"/>
      <c r="T72" s="34"/>
      <c r="U72" s="34"/>
      <c r="V72" s="34"/>
      <c r="W72" s="34"/>
      <c r="X72" s="34"/>
      <c r="Y72" s="34"/>
      <c r="Z72" s="34"/>
    </row>
    <row r="73" spans="1:26" ht="23.25" customHeight="1" x14ac:dyDescent="0.2">
      <c r="A73" s="203" t="s">
        <v>237</v>
      </c>
      <c r="B73" s="204" t="s">
        <v>238</v>
      </c>
      <c r="C73" s="185">
        <f>SUMPRODUCT(-('Diário 5º PA'!$E$5:$E$2634='Analítico Cx.'!$B73),-('Diário 5º PA'!$P$5:$P$2634=C$1),('Diário 5º PA'!$F$5:$F$2634))+
SUMPRODUCT(-('Diário 6º PA'!$E$5:$E$2246='Analítico Cx.'!$B73),-('Diário 6º PA'!$P$5:$P$2246=C$1),('Diário 6º PA'!$F$5:$F$2246))+
SUMPRODUCT(-('Diário 7º PA'!$E$5:$E$2271='Analítico Cx.'!$B73),-('Diário 7º PA'!$P$5:$P$2271=C$1),('Diário 7º PA'!$F$5:$F$2271))+
SUMPRODUCT(-('Diário 8º PA'!$E$5:$E$2488='Analítico Cx.'!$B73),-('Diário 8º PA'!$P$5:$P$2488=C$1),('Diário 8º PA'!$F$5:$F$2488))</f>
        <v>3500</v>
      </c>
      <c r="D73" s="185">
        <f>SUMPRODUCT(-('Diário 5º PA'!$E$5:$E$2634='Analítico Cx.'!$B73),-('Diário 5º PA'!$P$5:$P$2634=D$1),('Diário 5º PA'!$F$5:$F$2634))+
SUMPRODUCT(-('Diário 6º PA'!$E$5:$E$2246='Analítico Cx.'!$B73),-('Diário 6º PA'!$P$5:$P$2246=D$1),('Diário 6º PA'!$F$5:$F$2246))+
SUMPRODUCT(-('Diário 7º PA'!$E$5:$E$2271='Analítico Cx.'!$B73),-('Diário 7º PA'!$P$5:$P$2271=D$1),('Diário 7º PA'!$F$5:$F$2271))+
SUMPRODUCT(-('Diário 8º PA'!$E$5:$E$2488='Analítico Cx.'!$B73),-('Diário 8º PA'!$P$5:$P$2488=D$1),('Diário 8º PA'!$F$5:$F$2488))</f>
        <v>6000</v>
      </c>
      <c r="E73" s="185">
        <f>SUMPRODUCT(-('Diário 5º PA'!$E$5:$E$2634='Analítico Cx.'!$B73),-('Diário 5º PA'!$P$5:$P$2634=E$1),('Diário 5º PA'!$F$5:$F$2634))+
SUMPRODUCT(-('Diário 6º PA'!$E$5:$E$2246='Analítico Cx.'!$B73),-('Diário 6º PA'!$P$5:$P$2246=E$1),('Diário 6º PA'!$F$5:$F$2246))+
SUMPRODUCT(-('Diário 7º PA'!$E$5:$E$2271='Analítico Cx.'!$B73),-('Diário 7º PA'!$P$5:$P$2271=E$1),('Diário 7º PA'!$F$5:$F$2271))+
SUMPRODUCT(-('Diário 8º PA'!$E$5:$E$2488='Analítico Cx.'!$B73),-('Diário 8º PA'!$P$5:$P$2488=E$1),('Diário 8º PA'!$F$5:$F$2488))</f>
        <v>0</v>
      </c>
      <c r="F73" s="185">
        <f>SUMPRODUCT(-('Diário 5º PA'!$E$5:$E$2634='Analítico Cx.'!$B73),-('Diário 5º PA'!$P$5:$P$2634=F$1),('Diário 5º PA'!$F$5:$F$2634))+
SUMPRODUCT(-('Diário 6º PA'!$E$5:$E$2246='Analítico Cx.'!$B73),-('Diário 6º PA'!$P$5:$P$2246=F$1),('Diário 6º PA'!$F$5:$F$2246))+
SUMPRODUCT(-('Diário 7º PA'!$E$5:$E$2271='Analítico Cx.'!$B73),-('Diário 7º PA'!$P$5:$P$2271=F$1),('Diário 7º PA'!$F$5:$F$2271))+
SUMPRODUCT(-('Diário 8º PA'!$E$5:$E$2488='Analítico Cx.'!$B73),-('Diário 8º PA'!$P$5:$P$2488=F$1),('Diário 8º PA'!$F$5:$F$2488))</f>
        <v>0</v>
      </c>
      <c r="G73" s="185">
        <f>SUMPRODUCT(-('Diário 5º PA'!$E$5:$E$2634='Analítico Cx.'!$B73),-('Diário 5º PA'!$P$5:$P$2634=G$1),('Diário 5º PA'!$F$5:$F$2634))+
SUMPRODUCT(-('Diário 6º PA'!$E$5:$E$2246='Analítico Cx.'!$B73),-('Diário 6º PA'!$P$5:$P$2246=G$1),('Diário 6º PA'!$F$5:$F$2246))+
SUMPRODUCT(-('Diário 7º PA'!$E$5:$E$2271='Analítico Cx.'!$B73),-('Diário 7º PA'!$P$5:$P$2271=G$1),('Diário 7º PA'!$F$5:$F$2271))+
SUMPRODUCT(-('Diário 8º PA'!$E$5:$E$2488='Analítico Cx.'!$B73),-('Diário 8º PA'!$P$5:$P$2488=G$1),('Diário 8º PA'!$F$5:$F$2488))</f>
        <v>0</v>
      </c>
      <c r="H73" s="185">
        <f>SUMPRODUCT(-('Diário 5º PA'!$E$5:$E$2634='Analítico Cx.'!$B73),-('Diário 5º PA'!$P$5:$P$2634=H$1),('Diário 5º PA'!$F$5:$F$2634))+
SUMPRODUCT(-('Diário 6º PA'!$E$5:$E$2246='Analítico Cx.'!$B73),-('Diário 6º PA'!$P$5:$P$2246=H$1),('Diário 6º PA'!$F$5:$F$2246))+
SUMPRODUCT(-('Diário 7º PA'!$E$5:$E$2271='Analítico Cx.'!$B73),-('Diário 7º PA'!$P$5:$P$2271=H$1),('Diário 7º PA'!$F$5:$F$2271))+
SUMPRODUCT(-('Diário 8º PA'!$E$5:$E$2488='Analítico Cx.'!$B73),-('Diário 8º PA'!$P$5:$P$2488=H$1),('Diário 8º PA'!$F$5:$F$2488))</f>
        <v>0</v>
      </c>
      <c r="I73" s="185">
        <f>SUMPRODUCT(-('Diário 5º PA'!$E$5:$E$2634='Analítico Cx.'!$B73),-('Diário 5º PA'!$P$5:$P$2634=I$1),('Diário 5º PA'!$F$5:$F$2634))+
SUMPRODUCT(-('Diário 6º PA'!$E$5:$E$2246='Analítico Cx.'!$B73),-('Diário 6º PA'!$P$5:$P$2246=I$1),('Diário 6º PA'!$F$5:$F$2246))+
SUMPRODUCT(-('Diário 7º PA'!$E$5:$E$2271='Analítico Cx.'!$B73),-('Diário 7º PA'!$P$5:$P$2271=I$1),('Diário 7º PA'!$F$5:$F$2271))+
SUMPRODUCT(-('Diário 8º PA'!$E$5:$E$2488='Analítico Cx.'!$B73),-('Diário 8º PA'!$P$5:$P$2488=I$1),('Diário 8º PA'!$F$5:$F$2488))</f>
        <v>0</v>
      </c>
      <c r="J73" s="185">
        <f>SUMPRODUCT(-('Diário 5º PA'!$E$5:$E$2634='Analítico Cx.'!$B73),-('Diário 5º PA'!$P$5:$P$2634=J$1),('Diário 5º PA'!$F$5:$F$2634))+
SUMPRODUCT(-('Diário 6º PA'!$E$5:$E$2246='Analítico Cx.'!$B73),-('Diário 6º PA'!$P$5:$P$2246=J$1),('Diário 6º PA'!$F$5:$F$2246))+
SUMPRODUCT(-('Diário 7º PA'!$E$5:$E$2271='Analítico Cx.'!$B73),-('Diário 7º PA'!$P$5:$P$2271=J$1),('Diário 7º PA'!$F$5:$F$2271))+
SUMPRODUCT(-('Diário 8º PA'!$E$5:$E$2488='Analítico Cx.'!$B73),-('Diário 8º PA'!$P$5:$P$2488=J$1),('Diário 8º PA'!$F$5:$F$2488))</f>
        <v>0</v>
      </c>
      <c r="K73" s="185">
        <f>SUMPRODUCT(-('Diário 5º PA'!$E$5:$E$2634='Analítico Cx.'!$B73),-('Diário 5º PA'!$P$5:$P$2634=K$1),('Diário 5º PA'!$F$5:$F$2634))+
SUMPRODUCT(-('Diário 6º PA'!$E$5:$E$2246='Analítico Cx.'!$B73),-('Diário 6º PA'!$P$5:$P$2246=K$1),('Diário 6º PA'!$F$5:$F$2246))+
SUMPRODUCT(-('Diário 7º PA'!$E$5:$E$2271='Analítico Cx.'!$B73),-('Diário 7º PA'!$P$5:$P$2271=K$1),('Diário 7º PA'!$F$5:$F$2271))+
SUMPRODUCT(-('Diário 8º PA'!$E$5:$E$2488='Analítico Cx.'!$B73),-('Diário 8º PA'!$P$5:$P$2488=K$1),('Diário 8º PA'!$F$5:$F$2488))</f>
        <v>0</v>
      </c>
      <c r="L73" s="185">
        <f>SUMPRODUCT(-('Diário 5º PA'!$E$5:$E$2634='Analítico Cx.'!$B73),-('Diário 5º PA'!$P$5:$P$2634=L$1),('Diário 5º PA'!$F$5:$F$2634))+
SUMPRODUCT(-('Diário 6º PA'!$E$5:$E$2246='Analítico Cx.'!$B73),-('Diário 6º PA'!$P$5:$P$2246=L$1),('Diário 6º PA'!$F$5:$F$2246))+
SUMPRODUCT(-('Diário 7º PA'!$E$5:$E$2271='Analítico Cx.'!$B73),-('Diário 7º PA'!$P$5:$P$2271=L$1),('Diário 7º PA'!$F$5:$F$2271))+
SUMPRODUCT(-('Diário 8º PA'!$E$5:$E$2488='Analítico Cx.'!$B73),-('Diário 8º PA'!$P$5:$P$2488=L$1),('Diário 8º PA'!$F$5:$F$2488))</f>
        <v>0</v>
      </c>
      <c r="M73" s="185">
        <f>SUMPRODUCT(-('Diário 5º PA'!$E$5:$E$2634='Analítico Cx.'!$B73),-('Diário 5º PA'!$P$5:$P$2634=M$1),('Diário 5º PA'!$F$5:$F$2634))+
SUMPRODUCT(-('Diário 6º PA'!$E$5:$E$2246='Analítico Cx.'!$B73),-('Diário 6º PA'!$P$5:$P$2246=M$1),('Diário 6º PA'!$F$5:$F$2246))+
SUMPRODUCT(-('Diário 7º PA'!$E$5:$E$2271='Analítico Cx.'!$B73),-('Diário 7º PA'!$P$5:$P$2271=M$1),('Diário 7º PA'!$F$5:$F$2271))+
SUMPRODUCT(-('Diário 8º PA'!$E$5:$E$2488='Analítico Cx.'!$B73),-('Diário 8º PA'!$P$5:$P$2488=M$1),('Diário 8º PA'!$F$5:$F$2488))</f>
        <v>0</v>
      </c>
      <c r="N73" s="185">
        <f>SUMPRODUCT(-('Diário 5º PA'!$E$5:$E$2634='Analítico Cx.'!$B73),-('Diário 5º PA'!$P$5:$P$2634=N$1),('Diário 5º PA'!$F$5:$F$2634))+
SUMPRODUCT(-('Diário 6º PA'!$E$5:$E$2246='Analítico Cx.'!$B73),-('Diário 6º PA'!$P$5:$P$2246=N$1),('Diário 6º PA'!$F$5:$F$2246))+
SUMPRODUCT(-('Diário 7º PA'!$E$5:$E$2271='Analítico Cx.'!$B73),-('Diário 7º PA'!$P$5:$P$2271=N$1),('Diário 7º PA'!$F$5:$F$2271))+
SUMPRODUCT(-('Diário 8º PA'!$E$5:$E$2488='Analítico Cx.'!$B73),-('Diário 8º PA'!$P$5:$P$2488=N$1),('Diário 8º PA'!$F$5:$F$2488))</f>
        <v>0</v>
      </c>
      <c r="O73" s="186">
        <f t="shared" si="16"/>
        <v>9500</v>
      </c>
      <c r="P73" s="187">
        <f t="shared" si="17"/>
        <v>1.0079614002017874E-3</v>
      </c>
      <c r="Q73" s="34"/>
      <c r="R73" s="34"/>
      <c r="S73" s="34"/>
      <c r="T73" s="34"/>
      <c r="U73" s="34"/>
      <c r="V73" s="34"/>
      <c r="W73" s="34"/>
      <c r="X73" s="34"/>
      <c r="Y73" s="34"/>
      <c r="Z73" s="34"/>
    </row>
    <row r="74" spans="1:26" ht="23.25" customHeight="1" x14ac:dyDescent="0.2">
      <c r="A74" s="203" t="s">
        <v>239</v>
      </c>
      <c r="B74" s="72" t="s">
        <v>240</v>
      </c>
      <c r="C74" s="185">
        <f>SUMPRODUCT(-('Diário 5º PA'!$E$5:$E$2634='Analítico Cx.'!$B74),-('Diário 5º PA'!$P$5:$P$2634=C$1),('Diário 5º PA'!$F$5:$F$2634))+
SUMPRODUCT(-('Diário 6º PA'!$E$5:$E$2246='Analítico Cx.'!$B74),-('Diário 6º PA'!$P$5:$P$2246=C$1),('Diário 6º PA'!$F$5:$F$2246))+
SUMPRODUCT(-('Diário 7º PA'!$E$5:$E$2271='Analítico Cx.'!$B74),-('Diário 7º PA'!$P$5:$P$2271=C$1),('Diário 7º PA'!$F$5:$F$2271))+
SUMPRODUCT(-('Diário 8º PA'!$E$5:$E$2488='Analítico Cx.'!$B74),-('Diário 8º PA'!$P$5:$P$2488=C$1),('Diário 8º PA'!$F$5:$F$2488))</f>
        <v>0</v>
      </c>
      <c r="D74" s="185">
        <f>SUMPRODUCT(-('Diário 5º PA'!$E$5:$E$2634='Analítico Cx.'!$B74),-('Diário 5º PA'!$P$5:$P$2634=D$1),('Diário 5º PA'!$F$5:$F$2634))+
SUMPRODUCT(-('Diário 6º PA'!$E$5:$E$2246='Analítico Cx.'!$B74),-('Diário 6º PA'!$P$5:$P$2246=D$1),('Diário 6º PA'!$F$5:$F$2246))+
SUMPRODUCT(-('Diário 7º PA'!$E$5:$E$2271='Analítico Cx.'!$B74),-('Diário 7º PA'!$P$5:$P$2271=D$1),('Diário 7º PA'!$F$5:$F$2271))+
SUMPRODUCT(-('Diário 8º PA'!$E$5:$E$2488='Analítico Cx.'!$B74),-('Diário 8º PA'!$P$5:$P$2488=D$1),('Diário 8º PA'!$F$5:$F$2488))</f>
        <v>0</v>
      </c>
      <c r="E74" s="185">
        <f>SUMPRODUCT(-('Diário 5º PA'!$E$5:$E$2634='Analítico Cx.'!$B74),-('Diário 5º PA'!$P$5:$P$2634=E$1),('Diário 5º PA'!$F$5:$F$2634))+
SUMPRODUCT(-('Diário 6º PA'!$E$5:$E$2246='Analítico Cx.'!$B74),-('Diário 6º PA'!$P$5:$P$2246=E$1),('Diário 6º PA'!$F$5:$F$2246))+
SUMPRODUCT(-('Diário 7º PA'!$E$5:$E$2271='Analítico Cx.'!$B74),-('Diário 7º PA'!$P$5:$P$2271=E$1),('Diário 7º PA'!$F$5:$F$2271))+
SUMPRODUCT(-('Diário 8º PA'!$E$5:$E$2488='Analítico Cx.'!$B74),-('Diário 8º PA'!$P$5:$P$2488=E$1),('Diário 8º PA'!$F$5:$F$2488))</f>
        <v>0</v>
      </c>
      <c r="F74" s="185">
        <f>SUMPRODUCT(-('Diário 5º PA'!$E$5:$E$2634='Analítico Cx.'!$B74),-('Diário 5º PA'!$P$5:$P$2634=F$1),('Diário 5º PA'!$F$5:$F$2634))+
SUMPRODUCT(-('Diário 6º PA'!$E$5:$E$2246='Analítico Cx.'!$B74),-('Diário 6º PA'!$P$5:$P$2246=F$1),('Diário 6º PA'!$F$5:$F$2246))+
SUMPRODUCT(-('Diário 7º PA'!$E$5:$E$2271='Analítico Cx.'!$B74),-('Diário 7º PA'!$P$5:$P$2271=F$1),('Diário 7º PA'!$F$5:$F$2271))+
SUMPRODUCT(-('Diário 8º PA'!$E$5:$E$2488='Analítico Cx.'!$B74),-('Diário 8º PA'!$P$5:$P$2488=F$1),('Diário 8º PA'!$F$5:$F$2488))</f>
        <v>0</v>
      </c>
      <c r="G74" s="185">
        <f>SUMPRODUCT(-('Diário 5º PA'!$E$5:$E$2634='Analítico Cx.'!$B74),-('Diário 5º PA'!$P$5:$P$2634=G$1),('Diário 5º PA'!$F$5:$F$2634))+
SUMPRODUCT(-('Diário 6º PA'!$E$5:$E$2246='Analítico Cx.'!$B74),-('Diário 6º PA'!$P$5:$P$2246=G$1),('Diário 6º PA'!$F$5:$F$2246))+
SUMPRODUCT(-('Diário 7º PA'!$E$5:$E$2271='Analítico Cx.'!$B74),-('Diário 7º PA'!$P$5:$P$2271=G$1),('Diário 7º PA'!$F$5:$F$2271))+
SUMPRODUCT(-('Diário 8º PA'!$E$5:$E$2488='Analítico Cx.'!$B74),-('Diário 8º PA'!$P$5:$P$2488=G$1),('Diário 8º PA'!$F$5:$F$2488))</f>
        <v>0</v>
      </c>
      <c r="H74" s="185">
        <f>SUMPRODUCT(-('Diário 5º PA'!$E$5:$E$2634='Analítico Cx.'!$B74),-('Diário 5º PA'!$P$5:$P$2634=H$1),('Diário 5º PA'!$F$5:$F$2634))+
SUMPRODUCT(-('Diário 6º PA'!$E$5:$E$2246='Analítico Cx.'!$B74),-('Diário 6º PA'!$P$5:$P$2246=H$1),('Diário 6º PA'!$F$5:$F$2246))+
SUMPRODUCT(-('Diário 7º PA'!$E$5:$E$2271='Analítico Cx.'!$B74),-('Diário 7º PA'!$P$5:$P$2271=H$1),('Diário 7º PA'!$F$5:$F$2271))+
SUMPRODUCT(-('Diário 8º PA'!$E$5:$E$2488='Analítico Cx.'!$B74),-('Diário 8º PA'!$P$5:$P$2488=H$1),('Diário 8º PA'!$F$5:$F$2488))</f>
        <v>0</v>
      </c>
      <c r="I74" s="185">
        <f>SUMPRODUCT(-('Diário 5º PA'!$E$5:$E$2634='Analítico Cx.'!$B74),-('Diário 5º PA'!$P$5:$P$2634=I$1),('Diário 5º PA'!$F$5:$F$2634))+
SUMPRODUCT(-('Diário 6º PA'!$E$5:$E$2246='Analítico Cx.'!$B74),-('Diário 6º PA'!$P$5:$P$2246=I$1),('Diário 6º PA'!$F$5:$F$2246))+
SUMPRODUCT(-('Diário 7º PA'!$E$5:$E$2271='Analítico Cx.'!$B74),-('Diário 7º PA'!$P$5:$P$2271=I$1),('Diário 7º PA'!$F$5:$F$2271))+
SUMPRODUCT(-('Diário 8º PA'!$E$5:$E$2488='Analítico Cx.'!$B74),-('Diário 8º PA'!$P$5:$P$2488=I$1),('Diário 8º PA'!$F$5:$F$2488))</f>
        <v>0</v>
      </c>
      <c r="J74" s="185">
        <f>SUMPRODUCT(-('Diário 5º PA'!$E$5:$E$2634='Analítico Cx.'!$B74),-('Diário 5º PA'!$P$5:$P$2634=J$1),('Diário 5º PA'!$F$5:$F$2634))+
SUMPRODUCT(-('Diário 6º PA'!$E$5:$E$2246='Analítico Cx.'!$B74),-('Diário 6º PA'!$P$5:$P$2246=J$1),('Diário 6º PA'!$F$5:$F$2246))+
SUMPRODUCT(-('Diário 7º PA'!$E$5:$E$2271='Analítico Cx.'!$B74),-('Diário 7º PA'!$P$5:$P$2271=J$1),('Diário 7º PA'!$F$5:$F$2271))+
SUMPRODUCT(-('Diário 8º PA'!$E$5:$E$2488='Analítico Cx.'!$B74),-('Diário 8º PA'!$P$5:$P$2488=J$1),('Diário 8º PA'!$F$5:$F$2488))</f>
        <v>0</v>
      </c>
      <c r="K74" s="185">
        <f>SUMPRODUCT(-('Diário 5º PA'!$E$5:$E$2634='Analítico Cx.'!$B74),-('Diário 5º PA'!$P$5:$P$2634=K$1),('Diário 5º PA'!$F$5:$F$2634))+
SUMPRODUCT(-('Diário 6º PA'!$E$5:$E$2246='Analítico Cx.'!$B74),-('Diário 6º PA'!$P$5:$P$2246=K$1),('Diário 6º PA'!$F$5:$F$2246))+
SUMPRODUCT(-('Diário 7º PA'!$E$5:$E$2271='Analítico Cx.'!$B74),-('Diário 7º PA'!$P$5:$P$2271=K$1),('Diário 7º PA'!$F$5:$F$2271))+
SUMPRODUCT(-('Diário 8º PA'!$E$5:$E$2488='Analítico Cx.'!$B74),-('Diário 8º PA'!$P$5:$P$2488=K$1),('Diário 8º PA'!$F$5:$F$2488))</f>
        <v>0</v>
      </c>
      <c r="L74" s="185">
        <f>SUMPRODUCT(-('Diário 5º PA'!$E$5:$E$2634='Analítico Cx.'!$B74),-('Diário 5º PA'!$P$5:$P$2634=L$1),('Diário 5º PA'!$F$5:$F$2634))+
SUMPRODUCT(-('Diário 6º PA'!$E$5:$E$2246='Analítico Cx.'!$B74),-('Diário 6º PA'!$P$5:$P$2246=L$1),('Diário 6º PA'!$F$5:$F$2246))+
SUMPRODUCT(-('Diário 7º PA'!$E$5:$E$2271='Analítico Cx.'!$B74),-('Diário 7º PA'!$P$5:$P$2271=L$1),('Diário 7º PA'!$F$5:$F$2271))+
SUMPRODUCT(-('Diário 8º PA'!$E$5:$E$2488='Analítico Cx.'!$B74),-('Diário 8º PA'!$P$5:$P$2488=L$1),('Diário 8º PA'!$F$5:$F$2488))</f>
        <v>0</v>
      </c>
      <c r="M74" s="185">
        <f>SUMPRODUCT(-('Diário 5º PA'!$E$5:$E$2634='Analítico Cx.'!$B74),-('Diário 5º PA'!$P$5:$P$2634=M$1),('Diário 5º PA'!$F$5:$F$2634))+
SUMPRODUCT(-('Diário 6º PA'!$E$5:$E$2246='Analítico Cx.'!$B74),-('Diário 6º PA'!$P$5:$P$2246=M$1),('Diário 6º PA'!$F$5:$F$2246))+
SUMPRODUCT(-('Diário 7º PA'!$E$5:$E$2271='Analítico Cx.'!$B74),-('Diário 7º PA'!$P$5:$P$2271=M$1),('Diário 7º PA'!$F$5:$F$2271))+
SUMPRODUCT(-('Diário 8º PA'!$E$5:$E$2488='Analítico Cx.'!$B74),-('Diário 8º PA'!$P$5:$P$2488=M$1),('Diário 8º PA'!$F$5:$F$2488))</f>
        <v>1727.49</v>
      </c>
      <c r="N74" s="185">
        <f>SUMPRODUCT(-('Diário 5º PA'!$E$5:$E$2634='Analítico Cx.'!$B74),-('Diário 5º PA'!$P$5:$P$2634=N$1),('Diário 5º PA'!$F$5:$F$2634))+
SUMPRODUCT(-('Diário 6º PA'!$E$5:$E$2246='Analítico Cx.'!$B74),-('Diário 6º PA'!$P$5:$P$2246=N$1),('Diário 6º PA'!$F$5:$F$2246))+
SUMPRODUCT(-('Diário 7º PA'!$E$5:$E$2271='Analítico Cx.'!$B74),-('Diário 7º PA'!$P$5:$P$2271=N$1),('Diário 7º PA'!$F$5:$F$2271))+
SUMPRODUCT(-('Diário 8º PA'!$E$5:$E$2488='Analítico Cx.'!$B74),-('Diário 8º PA'!$P$5:$P$2488=N$1),('Diário 8º PA'!$F$5:$F$2488))</f>
        <v>60.75</v>
      </c>
      <c r="O74" s="186">
        <f t="shared" si="16"/>
        <v>1788.24</v>
      </c>
      <c r="P74" s="187">
        <f t="shared" si="17"/>
        <v>1.8973440992598362E-4</v>
      </c>
      <c r="Q74" s="34"/>
      <c r="R74" s="34"/>
      <c r="S74" s="34"/>
      <c r="T74" s="34"/>
      <c r="U74" s="34"/>
      <c r="V74" s="34"/>
      <c r="W74" s="34"/>
      <c r="X74" s="34"/>
      <c r="Y74" s="34"/>
      <c r="Z74" s="34"/>
    </row>
    <row r="75" spans="1:26" ht="23.25" customHeight="1" x14ac:dyDescent="0.2">
      <c r="A75" s="203" t="s">
        <v>241</v>
      </c>
      <c r="B75" s="72" t="s">
        <v>242</v>
      </c>
      <c r="C75" s="185">
        <f>SUMPRODUCT(-('Diário 5º PA'!$E$5:$E$2634='Analítico Cx.'!$B75),-('Diário 5º PA'!$P$5:$P$2634=C$1),('Diário 5º PA'!$F$5:$F$2634))+
SUMPRODUCT(-('Diário 6º PA'!$E$5:$E$2246='Analítico Cx.'!$B75),-('Diário 6º PA'!$P$5:$P$2246=C$1),('Diário 6º PA'!$F$5:$F$2246))+
SUMPRODUCT(-('Diário 7º PA'!$E$5:$E$2271='Analítico Cx.'!$B75),-('Diário 7º PA'!$P$5:$P$2271=C$1),('Diário 7º PA'!$F$5:$F$2271))+
SUMPRODUCT(-('Diário 8º PA'!$E$5:$E$2488='Analítico Cx.'!$B75),-('Diário 8º PA'!$P$5:$P$2488=C$1),('Diário 8º PA'!$F$5:$F$2488))</f>
        <v>0</v>
      </c>
      <c r="D75" s="185">
        <f>SUMPRODUCT(-('Diário 5º PA'!$E$5:$E$2634='Analítico Cx.'!$B75),-('Diário 5º PA'!$P$5:$P$2634=D$1),('Diário 5º PA'!$F$5:$F$2634))+
SUMPRODUCT(-('Diário 6º PA'!$E$5:$E$2246='Analítico Cx.'!$B75),-('Diário 6º PA'!$P$5:$P$2246=D$1),('Diário 6º PA'!$F$5:$F$2246))+
SUMPRODUCT(-('Diário 7º PA'!$E$5:$E$2271='Analítico Cx.'!$B75),-('Diário 7º PA'!$P$5:$P$2271=D$1),('Diário 7º PA'!$F$5:$F$2271))+
SUMPRODUCT(-('Diário 8º PA'!$E$5:$E$2488='Analítico Cx.'!$B75),-('Diário 8º PA'!$P$5:$P$2488=D$1),('Diário 8º PA'!$F$5:$F$2488))</f>
        <v>0</v>
      </c>
      <c r="E75" s="185">
        <f>SUMPRODUCT(-('Diário 5º PA'!$E$5:$E$2634='Analítico Cx.'!$B75),-('Diário 5º PA'!$P$5:$P$2634=E$1),('Diário 5º PA'!$F$5:$F$2634))+
SUMPRODUCT(-('Diário 6º PA'!$E$5:$E$2246='Analítico Cx.'!$B75),-('Diário 6º PA'!$P$5:$P$2246=E$1),('Diário 6º PA'!$F$5:$F$2246))+
SUMPRODUCT(-('Diário 7º PA'!$E$5:$E$2271='Analítico Cx.'!$B75),-('Diário 7º PA'!$P$5:$P$2271=E$1),('Diário 7º PA'!$F$5:$F$2271))+
SUMPRODUCT(-('Diário 8º PA'!$E$5:$E$2488='Analítico Cx.'!$B75),-('Diário 8º PA'!$P$5:$P$2488=E$1),('Diário 8º PA'!$F$5:$F$2488))</f>
        <v>0</v>
      </c>
      <c r="F75" s="185">
        <f>SUMPRODUCT(-('Diário 5º PA'!$E$5:$E$2634='Analítico Cx.'!$B75),-('Diário 5º PA'!$P$5:$P$2634=F$1),('Diário 5º PA'!$F$5:$F$2634))+
SUMPRODUCT(-('Diário 6º PA'!$E$5:$E$2246='Analítico Cx.'!$B75),-('Diário 6º PA'!$P$5:$P$2246=F$1),('Diário 6º PA'!$F$5:$F$2246))+
SUMPRODUCT(-('Diário 7º PA'!$E$5:$E$2271='Analítico Cx.'!$B75),-('Diário 7º PA'!$P$5:$P$2271=F$1),('Diário 7º PA'!$F$5:$F$2271))+
SUMPRODUCT(-('Diário 8º PA'!$E$5:$E$2488='Analítico Cx.'!$B75),-('Diário 8º PA'!$P$5:$P$2488=F$1),('Diário 8º PA'!$F$5:$F$2488))</f>
        <v>0</v>
      </c>
      <c r="G75" s="185">
        <f>SUMPRODUCT(-('Diário 5º PA'!$E$5:$E$2634='Analítico Cx.'!$B75),-('Diário 5º PA'!$P$5:$P$2634=G$1),('Diário 5º PA'!$F$5:$F$2634))+
SUMPRODUCT(-('Diário 6º PA'!$E$5:$E$2246='Analítico Cx.'!$B75),-('Diário 6º PA'!$P$5:$P$2246=G$1),('Diário 6º PA'!$F$5:$F$2246))+
SUMPRODUCT(-('Diário 7º PA'!$E$5:$E$2271='Analítico Cx.'!$B75),-('Diário 7º PA'!$P$5:$P$2271=G$1),('Diário 7º PA'!$F$5:$F$2271))+
SUMPRODUCT(-('Diário 8º PA'!$E$5:$E$2488='Analítico Cx.'!$B75),-('Diário 8º PA'!$P$5:$P$2488=G$1),('Diário 8º PA'!$F$5:$F$2488))</f>
        <v>0</v>
      </c>
      <c r="H75" s="185">
        <f>SUMPRODUCT(-('Diário 5º PA'!$E$5:$E$2634='Analítico Cx.'!$B75),-('Diário 5º PA'!$P$5:$P$2634=H$1),('Diário 5º PA'!$F$5:$F$2634))+
SUMPRODUCT(-('Diário 6º PA'!$E$5:$E$2246='Analítico Cx.'!$B75),-('Diário 6º PA'!$P$5:$P$2246=H$1),('Diário 6º PA'!$F$5:$F$2246))+
SUMPRODUCT(-('Diário 7º PA'!$E$5:$E$2271='Analítico Cx.'!$B75),-('Diário 7º PA'!$P$5:$P$2271=H$1),('Diário 7º PA'!$F$5:$F$2271))+
SUMPRODUCT(-('Diário 8º PA'!$E$5:$E$2488='Analítico Cx.'!$B75),-('Diário 8º PA'!$P$5:$P$2488=H$1),('Diário 8º PA'!$F$5:$F$2488))</f>
        <v>0</v>
      </c>
      <c r="I75" s="185">
        <f>SUMPRODUCT(-('Diário 5º PA'!$E$5:$E$2634='Analítico Cx.'!$B75),-('Diário 5º PA'!$P$5:$P$2634=I$1),('Diário 5º PA'!$F$5:$F$2634))+
SUMPRODUCT(-('Diário 6º PA'!$E$5:$E$2246='Analítico Cx.'!$B75),-('Diário 6º PA'!$P$5:$P$2246=I$1),('Diário 6º PA'!$F$5:$F$2246))+
SUMPRODUCT(-('Diário 7º PA'!$E$5:$E$2271='Analítico Cx.'!$B75),-('Diário 7º PA'!$P$5:$P$2271=I$1),('Diário 7º PA'!$F$5:$F$2271))+
SUMPRODUCT(-('Diário 8º PA'!$E$5:$E$2488='Analítico Cx.'!$B75),-('Diário 8º PA'!$P$5:$P$2488=I$1),('Diário 8º PA'!$F$5:$F$2488))</f>
        <v>0</v>
      </c>
      <c r="J75" s="185">
        <f>SUMPRODUCT(-('Diário 5º PA'!$E$5:$E$2634='Analítico Cx.'!$B75),-('Diário 5º PA'!$P$5:$P$2634=J$1),('Diário 5º PA'!$F$5:$F$2634))+
SUMPRODUCT(-('Diário 6º PA'!$E$5:$E$2246='Analítico Cx.'!$B75),-('Diário 6º PA'!$P$5:$P$2246=J$1),('Diário 6º PA'!$F$5:$F$2246))+
SUMPRODUCT(-('Diário 7º PA'!$E$5:$E$2271='Analítico Cx.'!$B75),-('Diário 7º PA'!$P$5:$P$2271=J$1),('Diário 7º PA'!$F$5:$F$2271))+
SUMPRODUCT(-('Diário 8º PA'!$E$5:$E$2488='Analítico Cx.'!$B75),-('Diário 8º PA'!$P$5:$P$2488=J$1),('Diário 8º PA'!$F$5:$F$2488))</f>
        <v>0</v>
      </c>
      <c r="K75" s="185">
        <f>SUMPRODUCT(-('Diário 5º PA'!$E$5:$E$2634='Analítico Cx.'!$B75),-('Diário 5º PA'!$P$5:$P$2634=K$1),('Diário 5º PA'!$F$5:$F$2634))+
SUMPRODUCT(-('Diário 6º PA'!$E$5:$E$2246='Analítico Cx.'!$B75),-('Diário 6º PA'!$P$5:$P$2246=K$1),('Diário 6º PA'!$F$5:$F$2246))+
SUMPRODUCT(-('Diário 7º PA'!$E$5:$E$2271='Analítico Cx.'!$B75),-('Diário 7º PA'!$P$5:$P$2271=K$1),('Diário 7º PA'!$F$5:$F$2271))+
SUMPRODUCT(-('Diário 8º PA'!$E$5:$E$2488='Analítico Cx.'!$B75),-('Diário 8º PA'!$P$5:$P$2488=K$1),('Diário 8º PA'!$F$5:$F$2488))</f>
        <v>0</v>
      </c>
      <c r="L75" s="185">
        <f>SUMPRODUCT(-('Diário 5º PA'!$E$5:$E$2634='Analítico Cx.'!$B75),-('Diário 5º PA'!$P$5:$P$2634=L$1),('Diário 5º PA'!$F$5:$F$2634))+
SUMPRODUCT(-('Diário 6º PA'!$E$5:$E$2246='Analítico Cx.'!$B75),-('Diário 6º PA'!$P$5:$P$2246=L$1),('Diário 6º PA'!$F$5:$F$2246))+
SUMPRODUCT(-('Diário 7º PA'!$E$5:$E$2271='Analítico Cx.'!$B75),-('Diário 7º PA'!$P$5:$P$2271=L$1),('Diário 7º PA'!$F$5:$F$2271))+
SUMPRODUCT(-('Diário 8º PA'!$E$5:$E$2488='Analítico Cx.'!$B75),-('Diário 8º PA'!$P$5:$P$2488=L$1),('Diário 8º PA'!$F$5:$F$2488))</f>
        <v>0</v>
      </c>
      <c r="M75" s="185">
        <f>SUMPRODUCT(-('Diário 5º PA'!$E$5:$E$2634='Analítico Cx.'!$B75),-('Diário 5º PA'!$P$5:$P$2634=M$1),('Diário 5º PA'!$F$5:$F$2634))+
SUMPRODUCT(-('Diário 6º PA'!$E$5:$E$2246='Analítico Cx.'!$B75),-('Diário 6º PA'!$P$5:$P$2246=M$1),('Diário 6º PA'!$F$5:$F$2246))+
SUMPRODUCT(-('Diário 7º PA'!$E$5:$E$2271='Analítico Cx.'!$B75),-('Diário 7º PA'!$P$5:$P$2271=M$1),('Diário 7º PA'!$F$5:$F$2271))+
SUMPRODUCT(-('Diário 8º PA'!$E$5:$E$2488='Analítico Cx.'!$B75),-('Diário 8º PA'!$P$5:$P$2488=M$1),('Diário 8º PA'!$F$5:$F$2488))</f>
        <v>0</v>
      </c>
      <c r="N75" s="185">
        <f>SUMPRODUCT(-('Diário 5º PA'!$E$5:$E$2634='Analítico Cx.'!$B75),-('Diário 5º PA'!$P$5:$P$2634=N$1),('Diário 5º PA'!$F$5:$F$2634))+
SUMPRODUCT(-('Diário 6º PA'!$E$5:$E$2246='Analítico Cx.'!$B75),-('Diário 6º PA'!$P$5:$P$2246=N$1),('Diário 6º PA'!$F$5:$F$2246))+
SUMPRODUCT(-('Diário 7º PA'!$E$5:$E$2271='Analítico Cx.'!$B75),-('Diário 7º PA'!$P$5:$P$2271=N$1),('Diário 7º PA'!$F$5:$F$2271))+
SUMPRODUCT(-('Diário 8º PA'!$E$5:$E$2488='Analítico Cx.'!$B75),-('Diário 8º PA'!$P$5:$P$2488=N$1),('Diário 8º PA'!$F$5:$F$2488))</f>
        <v>0</v>
      </c>
      <c r="O75" s="186">
        <f t="shared" si="16"/>
        <v>0</v>
      </c>
      <c r="P75" s="187">
        <f t="shared" si="17"/>
        <v>0</v>
      </c>
      <c r="Q75" s="34"/>
      <c r="R75" s="34"/>
      <c r="S75" s="34"/>
      <c r="T75" s="34"/>
      <c r="U75" s="34"/>
      <c r="V75" s="34"/>
      <c r="W75" s="34"/>
      <c r="X75" s="34"/>
      <c r="Y75" s="34"/>
      <c r="Z75" s="34"/>
    </row>
    <row r="76" spans="1:26" ht="23.25" customHeight="1" x14ac:dyDescent="0.2">
      <c r="A76" s="203" t="s">
        <v>243</v>
      </c>
      <c r="B76" s="72" t="s">
        <v>244</v>
      </c>
      <c r="C76" s="185">
        <f>SUMPRODUCT(-('Diário 5º PA'!$E$5:$E$2634='Analítico Cx.'!$B76),-('Diário 5º PA'!$P$5:$P$2634=C$1),('Diário 5º PA'!$F$5:$F$2634))+
SUMPRODUCT(-('Diário 6º PA'!$E$5:$E$2246='Analítico Cx.'!$B76),-('Diário 6º PA'!$P$5:$P$2246=C$1),('Diário 6º PA'!$F$5:$F$2246))+
SUMPRODUCT(-('Diário 7º PA'!$E$5:$E$2271='Analítico Cx.'!$B76),-('Diário 7º PA'!$P$5:$P$2271=C$1),('Diário 7º PA'!$F$5:$F$2271))+
SUMPRODUCT(-('Diário 8º PA'!$E$5:$E$2488='Analítico Cx.'!$B76),-('Diário 8º PA'!$P$5:$P$2488=C$1),('Diário 8º PA'!$F$5:$F$2488))</f>
        <v>941.75</v>
      </c>
      <c r="D76" s="185">
        <f>SUMPRODUCT(-('Diário 5º PA'!$E$5:$E$2634='Analítico Cx.'!$B76),-('Diário 5º PA'!$P$5:$P$2634=D$1),('Diário 5º PA'!$F$5:$F$2634))+
SUMPRODUCT(-('Diário 6º PA'!$E$5:$E$2246='Analítico Cx.'!$B76),-('Diário 6º PA'!$P$5:$P$2246=D$1),('Diário 6º PA'!$F$5:$F$2246))+
SUMPRODUCT(-('Diário 7º PA'!$E$5:$E$2271='Analítico Cx.'!$B76),-('Diário 7º PA'!$P$5:$P$2271=D$1),('Diário 7º PA'!$F$5:$F$2271))+
SUMPRODUCT(-('Diário 8º PA'!$E$5:$E$2488='Analítico Cx.'!$B76),-('Diário 8º PA'!$P$5:$P$2488=D$1),('Diário 8º PA'!$F$5:$F$2488))</f>
        <v>811.84</v>
      </c>
      <c r="E76" s="185">
        <f>SUMPRODUCT(-('Diário 5º PA'!$E$5:$E$2634='Analítico Cx.'!$B76),-('Diário 5º PA'!$P$5:$P$2634=E$1),('Diário 5º PA'!$F$5:$F$2634))+
SUMPRODUCT(-('Diário 6º PA'!$E$5:$E$2246='Analítico Cx.'!$B76),-('Diário 6º PA'!$P$5:$P$2246=E$1),('Diário 6º PA'!$F$5:$F$2246))+
SUMPRODUCT(-('Diário 7º PA'!$E$5:$E$2271='Analítico Cx.'!$B76),-('Diário 7º PA'!$P$5:$P$2271=E$1),('Diário 7º PA'!$F$5:$F$2271))+
SUMPRODUCT(-('Diário 8º PA'!$E$5:$E$2488='Analítico Cx.'!$B76),-('Diário 8º PA'!$P$5:$P$2488=E$1),('Diário 8º PA'!$F$5:$F$2488))</f>
        <v>811.27</v>
      </c>
      <c r="F76" s="185">
        <f>SUMPRODUCT(-('Diário 5º PA'!$E$5:$E$2634='Analítico Cx.'!$B76),-('Diário 5º PA'!$P$5:$P$2634=F$1),('Diário 5º PA'!$F$5:$F$2634))+
SUMPRODUCT(-('Diário 6º PA'!$E$5:$E$2246='Analítico Cx.'!$B76),-('Diário 6º PA'!$P$5:$P$2246=F$1),('Diário 6º PA'!$F$5:$F$2246))+
SUMPRODUCT(-('Diário 7º PA'!$E$5:$E$2271='Analítico Cx.'!$B76),-('Diário 7º PA'!$P$5:$P$2271=F$1),('Diário 7º PA'!$F$5:$F$2271))+
SUMPRODUCT(-('Diário 8º PA'!$E$5:$E$2488='Analítico Cx.'!$B76),-('Diário 8º PA'!$P$5:$P$2488=F$1),('Diário 8º PA'!$F$5:$F$2488))</f>
        <v>2182.25</v>
      </c>
      <c r="G76" s="185">
        <f>SUMPRODUCT(-('Diário 5º PA'!$E$5:$E$2634='Analítico Cx.'!$B76),-('Diário 5º PA'!$P$5:$P$2634=G$1),('Diário 5º PA'!$F$5:$F$2634))+
SUMPRODUCT(-('Diário 6º PA'!$E$5:$E$2246='Analítico Cx.'!$B76),-('Diário 6º PA'!$P$5:$P$2246=G$1),('Diário 6º PA'!$F$5:$F$2246))+
SUMPRODUCT(-('Diário 7º PA'!$E$5:$E$2271='Analítico Cx.'!$B76),-('Diário 7º PA'!$P$5:$P$2271=G$1),('Diário 7º PA'!$F$5:$F$2271))+
SUMPRODUCT(-('Diário 8º PA'!$E$5:$E$2488='Analítico Cx.'!$B76),-('Diário 8º PA'!$P$5:$P$2488=G$1),('Diário 8º PA'!$F$5:$F$2488))</f>
        <v>2926.13</v>
      </c>
      <c r="H76" s="185">
        <f>SUMPRODUCT(-('Diário 5º PA'!$E$5:$E$2634='Analítico Cx.'!$B76),-('Diário 5º PA'!$P$5:$P$2634=H$1),('Diário 5º PA'!$F$5:$F$2634))+
SUMPRODUCT(-('Diário 6º PA'!$E$5:$E$2246='Analítico Cx.'!$B76),-('Diário 6º PA'!$P$5:$P$2246=H$1),('Diário 6º PA'!$F$5:$F$2246))+
SUMPRODUCT(-('Diário 7º PA'!$E$5:$E$2271='Analítico Cx.'!$B76),-('Diário 7º PA'!$P$5:$P$2271=H$1),('Diário 7º PA'!$F$5:$F$2271))+
SUMPRODUCT(-('Diário 8º PA'!$E$5:$E$2488='Analítico Cx.'!$B76),-('Diário 8º PA'!$P$5:$P$2488=H$1),('Diário 8º PA'!$F$5:$F$2488))</f>
        <v>2790.31</v>
      </c>
      <c r="I76" s="185">
        <f>SUMPRODUCT(-('Diário 5º PA'!$E$5:$E$2634='Analítico Cx.'!$B76),-('Diário 5º PA'!$P$5:$P$2634=I$1),('Diário 5º PA'!$F$5:$F$2634))+
SUMPRODUCT(-('Diário 6º PA'!$E$5:$E$2246='Analítico Cx.'!$B76),-('Diário 6º PA'!$P$5:$P$2246=I$1),('Diário 6º PA'!$F$5:$F$2246))+
SUMPRODUCT(-('Diário 7º PA'!$E$5:$E$2271='Analítico Cx.'!$B76),-('Diário 7º PA'!$P$5:$P$2271=I$1),('Diário 7º PA'!$F$5:$F$2271))+
SUMPRODUCT(-('Diário 8º PA'!$E$5:$E$2488='Analítico Cx.'!$B76),-('Diário 8º PA'!$P$5:$P$2488=I$1),('Diário 8º PA'!$F$5:$F$2488))</f>
        <v>2787.0600000000004</v>
      </c>
      <c r="J76" s="185">
        <f>SUMPRODUCT(-('Diário 5º PA'!$E$5:$E$2634='Analítico Cx.'!$B76),-('Diário 5º PA'!$P$5:$P$2634=J$1),('Diário 5º PA'!$F$5:$F$2634))+
SUMPRODUCT(-('Diário 6º PA'!$E$5:$E$2246='Analítico Cx.'!$B76),-('Diário 6º PA'!$P$5:$P$2246=J$1),('Diário 6º PA'!$F$5:$F$2246))+
SUMPRODUCT(-('Diário 7º PA'!$E$5:$E$2271='Analítico Cx.'!$B76),-('Diário 7º PA'!$P$5:$P$2271=J$1),('Diário 7º PA'!$F$5:$F$2271))+
SUMPRODUCT(-('Diário 8º PA'!$E$5:$E$2488='Analítico Cx.'!$B76),-('Diário 8º PA'!$P$5:$P$2488=J$1),('Diário 8º PA'!$F$5:$F$2488))</f>
        <v>2786.21</v>
      </c>
      <c r="K76" s="185">
        <f>SUMPRODUCT(-('Diário 5º PA'!$E$5:$E$2634='Analítico Cx.'!$B76),-('Diário 5º PA'!$P$5:$P$2634=K$1),('Diário 5º PA'!$F$5:$F$2634))+
SUMPRODUCT(-('Diário 6º PA'!$E$5:$E$2246='Analítico Cx.'!$B76),-('Diário 6º PA'!$P$5:$P$2246=K$1),('Diário 6º PA'!$F$5:$F$2246))+
SUMPRODUCT(-('Diário 7º PA'!$E$5:$E$2271='Analítico Cx.'!$B76),-('Diário 7º PA'!$P$5:$P$2271=K$1),('Diário 7º PA'!$F$5:$F$2271))+
SUMPRODUCT(-('Diário 8º PA'!$E$5:$E$2488='Analítico Cx.'!$B76),-('Diário 8º PA'!$P$5:$P$2488=K$1),('Diário 8º PA'!$F$5:$F$2488))</f>
        <v>3019.65</v>
      </c>
      <c r="L76" s="185">
        <f>SUMPRODUCT(-('Diário 5º PA'!$E$5:$E$2634='Analítico Cx.'!$B76),-('Diário 5º PA'!$P$5:$P$2634=L$1),('Diário 5º PA'!$F$5:$F$2634))+
SUMPRODUCT(-('Diário 6º PA'!$E$5:$E$2246='Analítico Cx.'!$B76),-('Diário 6º PA'!$P$5:$P$2246=L$1),('Diário 6º PA'!$F$5:$F$2246))+
SUMPRODUCT(-('Diário 7º PA'!$E$5:$E$2271='Analítico Cx.'!$B76),-('Diário 7º PA'!$P$5:$P$2271=L$1),('Diário 7º PA'!$F$5:$F$2271))+
SUMPRODUCT(-('Diário 8º PA'!$E$5:$E$2488='Analítico Cx.'!$B76),-('Diário 8º PA'!$P$5:$P$2488=L$1),('Diário 8º PA'!$F$5:$F$2488))</f>
        <v>3028.7799999999997</v>
      </c>
      <c r="M76" s="185">
        <f>SUMPRODUCT(-('Diário 5º PA'!$E$5:$E$2634='Analítico Cx.'!$B76),-('Diário 5º PA'!$P$5:$P$2634=M$1),('Diário 5º PA'!$F$5:$F$2634))+
SUMPRODUCT(-('Diário 6º PA'!$E$5:$E$2246='Analítico Cx.'!$B76),-('Diário 6º PA'!$P$5:$P$2246=M$1),('Diário 6º PA'!$F$5:$F$2246))+
SUMPRODUCT(-('Diário 7º PA'!$E$5:$E$2271='Analítico Cx.'!$B76),-('Diário 7º PA'!$P$5:$P$2271=M$1),('Diário 7º PA'!$F$5:$F$2271))+
SUMPRODUCT(-('Diário 8º PA'!$E$5:$E$2488='Analítico Cx.'!$B76),-('Diário 8º PA'!$P$5:$P$2488=M$1),('Diário 8º PA'!$F$5:$F$2488))</f>
        <v>3029.08</v>
      </c>
      <c r="N76" s="185">
        <f>SUMPRODUCT(-('Diário 5º PA'!$E$5:$E$2634='Analítico Cx.'!$B76),-('Diário 5º PA'!$P$5:$P$2634=N$1),('Diário 5º PA'!$F$5:$F$2634))+
SUMPRODUCT(-('Diário 6º PA'!$E$5:$E$2246='Analítico Cx.'!$B76),-('Diário 6º PA'!$P$5:$P$2246=N$1),('Diário 6º PA'!$F$5:$F$2246))+
SUMPRODUCT(-('Diário 7º PA'!$E$5:$E$2271='Analítico Cx.'!$B76),-('Diário 7º PA'!$P$5:$P$2271=N$1),('Diário 7º PA'!$F$5:$F$2271))+
SUMPRODUCT(-('Diário 8º PA'!$E$5:$E$2488='Analítico Cx.'!$B76),-('Diário 8º PA'!$P$5:$P$2488=N$1),('Diário 8º PA'!$F$5:$F$2488))</f>
        <v>3962.0199999999995</v>
      </c>
      <c r="O76" s="186">
        <f t="shared" si="16"/>
        <v>29076.350000000002</v>
      </c>
      <c r="P76" s="187">
        <f t="shared" si="17"/>
        <v>3.0850356272376046E-3</v>
      </c>
      <c r="Q76" s="34"/>
      <c r="R76" s="34"/>
      <c r="S76" s="34"/>
      <c r="T76" s="34"/>
      <c r="U76" s="34"/>
      <c r="V76" s="34"/>
      <c r="W76" s="34"/>
      <c r="X76" s="34"/>
      <c r="Y76" s="34"/>
      <c r="Z76" s="34"/>
    </row>
    <row r="77" spans="1:26" ht="23.25" customHeight="1" x14ac:dyDescent="0.2">
      <c r="A77" s="203" t="s">
        <v>245</v>
      </c>
      <c r="B77" s="72" t="s">
        <v>246</v>
      </c>
      <c r="C77" s="185">
        <f>SUMPRODUCT(-('Diário 5º PA'!$E$5:$E$2634='Analítico Cx.'!$B77),-('Diário 5º PA'!$P$5:$P$2634=C$1),('Diário 5º PA'!$F$5:$F$2634))+
SUMPRODUCT(-('Diário 6º PA'!$E$5:$E$2246='Analítico Cx.'!$B77),-('Diário 6º PA'!$P$5:$P$2246=C$1),('Diário 6º PA'!$F$5:$F$2246))+
SUMPRODUCT(-('Diário 7º PA'!$E$5:$E$2271='Analítico Cx.'!$B77),-('Diário 7º PA'!$P$5:$P$2271=C$1),('Diário 7º PA'!$F$5:$F$2271))+
SUMPRODUCT(-('Diário 8º PA'!$E$5:$E$2488='Analítico Cx.'!$B77),-('Diário 8º PA'!$P$5:$P$2488=C$1),('Diário 8º PA'!$F$5:$F$2488))</f>
        <v>423.53999999999996</v>
      </c>
      <c r="D77" s="185">
        <f>SUMPRODUCT(-('Diário 5º PA'!$E$5:$E$2634='Analítico Cx.'!$B77),-('Diário 5º PA'!$P$5:$P$2634=D$1),('Diário 5º PA'!$F$5:$F$2634))+
SUMPRODUCT(-('Diário 6º PA'!$E$5:$E$2246='Analítico Cx.'!$B77),-('Diário 6º PA'!$P$5:$P$2246=D$1),('Diário 6º PA'!$F$5:$F$2246))+
SUMPRODUCT(-('Diário 7º PA'!$E$5:$E$2271='Analítico Cx.'!$B77),-('Diário 7º PA'!$P$5:$P$2271=D$1),('Diário 7º PA'!$F$5:$F$2271))+
SUMPRODUCT(-('Diário 8º PA'!$E$5:$E$2488='Analítico Cx.'!$B77),-('Diário 8º PA'!$P$5:$P$2488=D$1),('Diário 8º PA'!$F$5:$F$2488))</f>
        <v>423.53999999999996</v>
      </c>
      <c r="E77" s="185">
        <f>SUMPRODUCT(-('Diário 5º PA'!$E$5:$E$2634='Analítico Cx.'!$B77),-('Diário 5º PA'!$P$5:$P$2634=E$1),('Diário 5º PA'!$F$5:$F$2634))+
SUMPRODUCT(-('Diário 6º PA'!$E$5:$E$2246='Analítico Cx.'!$B77),-('Diário 6º PA'!$P$5:$P$2246=E$1),('Diário 6º PA'!$F$5:$F$2246))+
SUMPRODUCT(-('Diário 7º PA'!$E$5:$E$2271='Analítico Cx.'!$B77),-('Diário 7º PA'!$P$5:$P$2271=E$1),('Diário 7º PA'!$F$5:$F$2271))+
SUMPRODUCT(-('Diário 8º PA'!$E$5:$E$2488='Analítico Cx.'!$B77),-('Diário 8º PA'!$P$5:$P$2488=E$1),('Diário 8º PA'!$F$5:$F$2488))</f>
        <v>402.65999999999997</v>
      </c>
      <c r="F77" s="185">
        <f>SUMPRODUCT(-('Diário 5º PA'!$E$5:$E$2634='Analítico Cx.'!$B77),-('Diário 5º PA'!$P$5:$P$2634=F$1),('Diário 5º PA'!$F$5:$F$2634))+
SUMPRODUCT(-('Diário 6º PA'!$E$5:$E$2246='Analítico Cx.'!$B77),-('Diário 6º PA'!$P$5:$P$2246=F$1),('Diário 6º PA'!$F$5:$F$2246))+
SUMPRODUCT(-('Diário 7º PA'!$E$5:$E$2271='Analítico Cx.'!$B77),-('Diário 7º PA'!$P$5:$P$2271=F$1),('Diário 7º PA'!$F$5:$F$2271))+
SUMPRODUCT(-('Diário 8º PA'!$E$5:$E$2488='Analítico Cx.'!$B77),-('Diário 8º PA'!$P$5:$P$2488=F$1),('Diário 8º PA'!$F$5:$F$2488))</f>
        <v>1739.04</v>
      </c>
      <c r="G77" s="185">
        <f>SUMPRODUCT(-('Diário 5º PA'!$E$5:$E$2634='Analítico Cx.'!$B77),-('Diário 5º PA'!$P$5:$P$2634=G$1),('Diário 5º PA'!$F$5:$F$2634))+
SUMPRODUCT(-('Diário 6º PA'!$E$5:$E$2246='Analítico Cx.'!$B77),-('Diário 6º PA'!$P$5:$P$2246=G$1),('Diário 6º PA'!$F$5:$F$2246))+
SUMPRODUCT(-('Diário 7º PA'!$E$5:$E$2271='Analítico Cx.'!$B77),-('Diário 7º PA'!$P$5:$P$2271=G$1),('Diário 7º PA'!$F$5:$F$2271))+
SUMPRODUCT(-('Diário 8º PA'!$E$5:$E$2488='Analítico Cx.'!$B77),-('Diário 8º PA'!$P$5:$P$2488=G$1),('Diário 8º PA'!$F$5:$F$2488))</f>
        <v>944.04</v>
      </c>
      <c r="H77" s="185">
        <f>SUMPRODUCT(-('Diário 5º PA'!$E$5:$E$2634='Analítico Cx.'!$B77),-('Diário 5º PA'!$P$5:$P$2634=H$1),('Diário 5º PA'!$F$5:$F$2634))+
SUMPRODUCT(-('Diário 6º PA'!$E$5:$E$2246='Analítico Cx.'!$B77),-('Diário 6º PA'!$P$5:$P$2246=H$1),('Diário 6º PA'!$F$5:$F$2246))+
SUMPRODUCT(-('Diário 7º PA'!$E$5:$E$2271='Analítico Cx.'!$B77),-('Diário 7º PA'!$P$5:$P$2271=H$1),('Diário 7º PA'!$F$5:$F$2271))+
SUMPRODUCT(-('Diário 8º PA'!$E$5:$E$2488='Analítico Cx.'!$B77),-('Diário 8º PA'!$P$5:$P$2488=H$1),('Diário 8º PA'!$F$5:$F$2488))</f>
        <v>441.53999999999996</v>
      </c>
      <c r="I77" s="185">
        <f>SUMPRODUCT(-('Diário 5º PA'!$E$5:$E$2634='Analítico Cx.'!$B77),-('Diário 5º PA'!$P$5:$P$2634=I$1),('Diário 5º PA'!$F$5:$F$2634))+
SUMPRODUCT(-('Diário 6º PA'!$E$5:$E$2246='Analítico Cx.'!$B77),-('Diário 6º PA'!$P$5:$P$2246=I$1),('Diário 6º PA'!$F$5:$F$2246))+
SUMPRODUCT(-('Diário 7º PA'!$E$5:$E$2271='Analítico Cx.'!$B77),-('Diário 7º PA'!$P$5:$P$2271=I$1),('Diário 7º PA'!$F$5:$F$2271))+
SUMPRODUCT(-('Diário 8º PA'!$E$5:$E$2488='Analítico Cx.'!$B77),-('Diário 8º PA'!$P$5:$P$2488=I$1),('Diário 8º PA'!$F$5:$F$2488))</f>
        <v>441.53999999999996</v>
      </c>
      <c r="J77" s="185">
        <f>SUMPRODUCT(-('Diário 5º PA'!$E$5:$E$2634='Analítico Cx.'!$B77),-('Diário 5º PA'!$P$5:$P$2634=J$1),('Diário 5º PA'!$F$5:$F$2634))+
SUMPRODUCT(-('Diário 6º PA'!$E$5:$E$2246='Analítico Cx.'!$B77),-('Diário 6º PA'!$P$5:$P$2246=J$1),('Diário 6º PA'!$F$5:$F$2246))+
SUMPRODUCT(-('Diário 7º PA'!$E$5:$E$2271='Analítico Cx.'!$B77),-('Diário 7º PA'!$P$5:$P$2271=J$1),('Diário 7º PA'!$F$5:$F$2271))+
SUMPRODUCT(-('Diário 8º PA'!$E$5:$E$2488='Analítico Cx.'!$B77),-('Diário 8º PA'!$P$5:$P$2488=J$1),('Diário 8º PA'!$F$5:$F$2488))</f>
        <v>441.53999999999996</v>
      </c>
      <c r="K77" s="185">
        <f>SUMPRODUCT(-('Diário 5º PA'!$E$5:$E$2634='Analítico Cx.'!$B77),-('Diário 5º PA'!$P$5:$P$2634=K$1),('Diário 5º PA'!$F$5:$F$2634))+
SUMPRODUCT(-('Diário 6º PA'!$E$5:$E$2246='Analítico Cx.'!$B77),-('Diário 6º PA'!$P$5:$P$2246=K$1),('Diário 6º PA'!$F$5:$F$2246))+
SUMPRODUCT(-('Diário 7º PA'!$E$5:$E$2271='Analítico Cx.'!$B77),-('Diário 7º PA'!$P$5:$P$2271=K$1),('Diário 7º PA'!$F$5:$F$2271))+
SUMPRODUCT(-('Diário 8º PA'!$E$5:$E$2488='Analítico Cx.'!$B77),-('Diário 8º PA'!$P$5:$P$2488=K$1),('Diário 8º PA'!$F$5:$F$2488))</f>
        <v>441.53999999999996</v>
      </c>
      <c r="L77" s="185">
        <f>SUMPRODUCT(-('Diário 5º PA'!$E$5:$E$2634='Analítico Cx.'!$B77),-('Diário 5º PA'!$P$5:$P$2634=L$1),('Diário 5º PA'!$F$5:$F$2634))+
SUMPRODUCT(-('Diário 6º PA'!$E$5:$E$2246='Analítico Cx.'!$B77),-('Diário 6º PA'!$P$5:$P$2246=L$1),('Diário 6º PA'!$F$5:$F$2246))+
SUMPRODUCT(-('Diário 7º PA'!$E$5:$E$2271='Analítico Cx.'!$B77),-('Diário 7º PA'!$P$5:$P$2271=L$1),('Diário 7º PA'!$F$5:$F$2271))+
SUMPRODUCT(-('Diário 8º PA'!$E$5:$E$2488='Analítico Cx.'!$B77),-('Diário 8º PA'!$P$5:$P$2488=L$1),('Diário 8º PA'!$F$5:$F$2488))</f>
        <v>441.53999999999996</v>
      </c>
      <c r="M77" s="185">
        <f>SUMPRODUCT(-('Diário 5º PA'!$E$5:$E$2634='Analítico Cx.'!$B77),-('Diário 5º PA'!$P$5:$P$2634=M$1),('Diário 5º PA'!$F$5:$F$2634))+
SUMPRODUCT(-('Diário 6º PA'!$E$5:$E$2246='Analítico Cx.'!$B77),-('Diário 6º PA'!$P$5:$P$2246=M$1),('Diário 6º PA'!$F$5:$F$2246))+
SUMPRODUCT(-('Diário 7º PA'!$E$5:$E$2271='Analítico Cx.'!$B77),-('Diário 7º PA'!$P$5:$P$2271=M$1),('Diário 7º PA'!$F$5:$F$2271))+
SUMPRODUCT(-('Diário 8º PA'!$E$5:$E$2488='Analítico Cx.'!$B77),-('Diário 8º PA'!$P$5:$P$2488=M$1),('Diário 8º PA'!$F$5:$F$2488))</f>
        <v>441.53999999999996</v>
      </c>
      <c r="N77" s="185">
        <f>SUMPRODUCT(-('Diário 5º PA'!$E$5:$E$2634='Analítico Cx.'!$B77),-('Diário 5º PA'!$P$5:$P$2634=N$1),('Diário 5º PA'!$F$5:$F$2634))+
SUMPRODUCT(-('Diário 6º PA'!$E$5:$E$2246='Analítico Cx.'!$B77),-('Diário 6º PA'!$P$5:$P$2246=N$1),('Diário 6º PA'!$F$5:$F$2246))+
SUMPRODUCT(-('Diário 7º PA'!$E$5:$E$2271='Analítico Cx.'!$B77),-('Diário 7º PA'!$P$5:$P$2271=N$1),('Diário 7º PA'!$F$5:$F$2271))+
SUMPRODUCT(-('Diário 8º PA'!$E$5:$E$2488='Analítico Cx.'!$B77),-('Diário 8º PA'!$P$5:$P$2488=N$1),('Diário 8º PA'!$F$5:$F$2488))</f>
        <v>441.53999999999996</v>
      </c>
      <c r="O77" s="186">
        <f t="shared" si="16"/>
        <v>7023.5999999999995</v>
      </c>
      <c r="P77" s="187">
        <f t="shared" si="17"/>
        <v>7.452123884691867E-4</v>
      </c>
      <c r="Q77" s="34"/>
      <c r="R77" s="34"/>
      <c r="S77" s="34"/>
      <c r="T77" s="34"/>
      <c r="U77" s="34"/>
      <c r="V77" s="34"/>
      <c r="W77" s="34"/>
      <c r="X77" s="34"/>
      <c r="Y77" s="34"/>
      <c r="Z77" s="34"/>
    </row>
    <row r="78" spans="1:26" ht="23.25" customHeight="1" x14ac:dyDescent="0.2">
      <c r="A78" s="203" t="s">
        <v>247</v>
      </c>
      <c r="B78" s="72" t="s">
        <v>248</v>
      </c>
      <c r="C78" s="185">
        <f>SUMPRODUCT(-('Diário 5º PA'!$E$5:$E$2634='Analítico Cx.'!$B78),-('Diário 5º PA'!$P$5:$P$2634=C$1),('Diário 5º PA'!$F$5:$F$2634))+
SUMPRODUCT(-('Diário 6º PA'!$E$5:$E$2246='Analítico Cx.'!$B78),-('Diário 6º PA'!$P$5:$P$2246=C$1),('Diário 6º PA'!$F$5:$F$2246))+
SUMPRODUCT(-('Diário 7º PA'!$E$5:$E$2271='Analítico Cx.'!$B78),-('Diário 7º PA'!$P$5:$P$2271=C$1),('Diário 7º PA'!$F$5:$F$2271))+
SUMPRODUCT(-('Diário 8º PA'!$E$5:$E$2488='Analítico Cx.'!$B78),-('Diário 8º PA'!$P$5:$P$2488=C$1),('Diário 8º PA'!$F$5:$F$2488))</f>
        <v>0</v>
      </c>
      <c r="D78" s="185">
        <f>SUMPRODUCT(-('Diário 5º PA'!$E$5:$E$2634='Analítico Cx.'!$B78),-('Diário 5º PA'!$P$5:$P$2634=D$1),('Diário 5º PA'!$F$5:$F$2634))+
SUMPRODUCT(-('Diário 6º PA'!$E$5:$E$2246='Analítico Cx.'!$B78),-('Diário 6º PA'!$P$5:$P$2246=D$1),('Diário 6º PA'!$F$5:$F$2246))+
SUMPRODUCT(-('Diário 7º PA'!$E$5:$E$2271='Analítico Cx.'!$B78),-('Diário 7º PA'!$P$5:$P$2271=D$1),('Diário 7º PA'!$F$5:$F$2271))+
SUMPRODUCT(-('Diário 8º PA'!$E$5:$E$2488='Analítico Cx.'!$B78),-('Diário 8º PA'!$P$5:$P$2488=D$1),('Diário 8º PA'!$F$5:$F$2488))</f>
        <v>0</v>
      </c>
      <c r="E78" s="185">
        <f>SUMPRODUCT(-('Diário 5º PA'!$E$5:$E$2634='Analítico Cx.'!$B78),-('Diário 5º PA'!$P$5:$P$2634=E$1),('Diário 5º PA'!$F$5:$F$2634))+
SUMPRODUCT(-('Diário 6º PA'!$E$5:$E$2246='Analítico Cx.'!$B78),-('Diário 6º PA'!$P$5:$P$2246=E$1),('Diário 6º PA'!$F$5:$F$2246))+
SUMPRODUCT(-('Diário 7º PA'!$E$5:$E$2271='Analítico Cx.'!$B78),-('Diário 7º PA'!$P$5:$P$2271=E$1),('Diário 7º PA'!$F$5:$F$2271))+
SUMPRODUCT(-('Diário 8º PA'!$E$5:$E$2488='Analítico Cx.'!$B78),-('Diário 8º PA'!$P$5:$P$2488=E$1),('Diário 8º PA'!$F$5:$F$2488))</f>
        <v>0</v>
      </c>
      <c r="F78" s="185">
        <f>SUMPRODUCT(-('Diário 5º PA'!$E$5:$E$2634='Analítico Cx.'!$B78),-('Diário 5º PA'!$P$5:$P$2634=F$1),('Diário 5º PA'!$F$5:$F$2634))+
SUMPRODUCT(-('Diário 6º PA'!$E$5:$E$2246='Analítico Cx.'!$B78),-('Diário 6º PA'!$P$5:$P$2246=F$1),('Diário 6º PA'!$F$5:$F$2246))+
SUMPRODUCT(-('Diário 7º PA'!$E$5:$E$2271='Analítico Cx.'!$B78),-('Diário 7º PA'!$P$5:$P$2271=F$1),('Diário 7º PA'!$F$5:$F$2271))+
SUMPRODUCT(-('Diário 8º PA'!$E$5:$E$2488='Analítico Cx.'!$B78),-('Diário 8º PA'!$P$5:$P$2488=F$1),('Diário 8º PA'!$F$5:$F$2488))</f>
        <v>0</v>
      </c>
      <c r="G78" s="185">
        <f>SUMPRODUCT(-('Diário 5º PA'!$E$5:$E$2634='Analítico Cx.'!$B78),-('Diário 5º PA'!$P$5:$P$2634=G$1),('Diário 5º PA'!$F$5:$F$2634))+
SUMPRODUCT(-('Diário 6º PA'!$E$5:$E$2246='Analítico Cx.'!$B78),-('Diário 6º PA'!$P$5:$P$2246=G$1),('Diário 6º PA'!$F$5:$F$2246))+
SUMPRODUCT(-('Diário 7º PA'!$E$5:$E$2271='Analítico Cx.'!$B78),-('Diário 7º PA'!$P$5:$P$2271=G$1),('Diário 7º PA'!$F$5:$F$2271))+
SUMPRODUCT(-('Diário 8º PA'!$E$5:$E$2488='Analítico Cx.'!$B78),-('Diário 8º PA'!$P$5:$P$2488=G$1),('Diário 8º PA'!$F$5:$F$2488))</f>
        <v>8852.24</v>
      </c>
      <c r="H78" s="185">
        <f>SUMPRODUCT(-('Diário 5º PA'!$E$5:$E$2634='Analítico Cx.'!$B78),-('Diário 5º PA'!$P$5:$P$2634=H$1),('Diário 5º PA'!$F$5:$F$2634))+
SUMPRODUCT(-('Diário 6º PA'!$E$5:$E$2246='Analítico Cx.'!$B78),-('Diário 6º PA'!$P$5:$P$2246=H$1),('Diário 6º PA'!$F$5:$F$2246))+
SUMPRODUCT(-('Diário 7º PA'!$E$5:$E$2271='Analítico Cx.'!$B78),-('Diário 7º PA'!$P$5:$P$2271=H$1),('Diário 7º PA'!$F$5:$F$2271))+
SUMPRODUCT(-('Diário 8º PA'!$E$5:$E$2488='Analítico Cx.'!$B78),-('Diário 8º PA'!$P$5:$P$2488=H$1),('Diário 8º PA'!$F$5:$F$2488))</f>
        <v>347.76</v>
      </c>
      <c r="I78" s="185">
        <f>SUMPRODUCT(-('Diário 5º PA'!$E$5:$E$2634='Analítico Cx.'!$B78),-('Diário 5º PA'!$P$5:$P$2634=I$1),('Diário 5º PA'!$F$5:$F$2634))+
SUMPRODUCT(-('Diário 6º PA'!$E$5:$E$2246='Analítico Cx.'!$B78),-('Diário 6º PA'!$P$5:$P$2246=I$1),('Diário 6º PA'!$F$5:$F$2246))+
SUMPRODUCT(-('Diário 7º PA'!$E$5:$E$2271='Analítico Cx.'!$B78),-('Diário 7º PA'!$P$5:$P$2271=I$1),('Diário 7º PA'!$F$5:$F$2271))+
SUMPRODUCT(-('Diário 8º PA'!$E$5:$E$2488='Analítico Cx.'!$B78),-('Diário 8º PA'!$P$5:$P$2488=I$1),('Diário 8º PA'!$F$5:$F$2488))</f>
        <v>0</v>
      </c>
      <c r="J78" s="185">
        <f>SUMPRODUCT(-('Diário 5º PA'!$E$5:$E$2634='Analítico Cx.'!$B78),-('Diário 5º PA'!$P$5:$P$2634=J$1),('Diário 5º PA'!$F$5:$F$2634))+
SUMPRODUCT(-('Diário 6º PA'!$E$5:$E$2246='Analítico Cx.'!$B78),-('Diário 6º PA'!$P$5:$P$2246=J$1),('Diário 6º PA'!$F$5:$F$2246))+
SUMPRODUCT(-('Diário 7º PA'!$E$5:$E$2271='Analítico Cx.'!$B78),-('Diário 7º PA'!$P$5:$P$2271=J$1),('Diário 7º PA'!$F$5:$F$2271))+
SUMPRODUCT(-('Diário 8º PA'!$E$5:$E$2488='Analítico Cx.'!$B78),-('Diário 8º PA'!$P$5:$P$2488=J$1),('Diário 8º PA'!$F$5:$F$2488))</f>
        <v>0</v>
      </c>
      <c r="K78" s="185">
        <f>SUMPRODUCT(-('Diário 5º PA'!$E$5:$E$2634='Analítico Cx.'!$B78),-('Diário 5º PA'!$P$5:$P$2634=K$1),('Diário 5º PA'!$F$5:$F$2634))+
SUMPRODUCT(-('Diário 6º PA'!$E$5:$E$2246='Analítico Cx.'!$B78),-('Diário 6º PA'!$P$5:$P$2246=K$1),('Diário 6º PA'!$F$5:$F$2246))+
SUMPRODUCT(-('Diário 7º PA'!$E$5:$E$2271='Analítico Cx.'!$B78),-('Diário 7º PA'!$P$5:$P$2271=K$1),('Diário 7º PA'!$F$5:$F$2271))+
SUMPRODUCT(-('Diário 8º PA'!$E$5:$E$2488='Analítico Cx.'!$B78),-('Diário 8º PA'!$P$5:$P$2488=K$1),('Diário 8º PA'!$F$5:$F$2488))</f>
        <v>0</v>
      </c>
      <c r="L78" s="185">
        <f>SUMPRODUCT(-('Diário 5º PA'!$E$5:$E$2634='Analítico Cx.'!$B78),-('Diário 5º PA'!$P$5:$P$2634=L$1),('Diário 5º PA'!$F$5:$F$2634))+
SUMPRODUCT(-('Diário 6º PA'!$E$5:$E$2246='Analítico Cx.'!$B78),-('Diário 6º PA'!$P$5:$P$2246=L$1),('Diário 6º PA'!$F$5:$F$2246))+
SUMPRODUCT(-('Diário 7º PA'!$E$5:$E$2271='Analítico Cx.'!$B78),-('Diário 7º PA'!$P$5:$P$2271=L$1),('Diário 7º PA'!$F$5:$F$2271))+
SUMPRODUCT(-('Diário 8º PA'!$E$5:$E$2488='Analítico Cx.'!$B78),-('Diário 8º PA'!$P$5:$P$2488=L$1),('Diário 8º PA'!$F$5:$F$2488))</f>
        <v>0</v>
      </c>
      <c r="M78" s="185">
        <f>SUMPRODUCT(-('Diário 5º PA'!$E$5:$E$2634='Analítico Cx.'!$B78),-('Diário 5º PA'!$P$5:$P$2634=M$1),('Diário 5º PA'!$F$5:$F$2634))+
SUMPRODUCT(-('Diário 6º PA'!$E$5:$E$2246='Analítico Cx.'!$B78),-('Diário 6º PA'!$P$5:$P$2246=M$1),('Diário 6º PA'!$F$5:$F$2246))+
SUMPRODUCT(-('Diário 7º PA'!$E$5:$E$2271='Analítico Cx.'!$B78),-('Diário 7º PA'!$P$5:$P$2271=M$1),('Diário 7º PA'!$F$5:$F$2271))+
SUMPRODUCT(-('Diário 8º PA'!$E$5:$E$2488='Analítico Cx.'!$B78),-('Diário 8º PA'!$P$5:$P$2488=M$1),('Diário 8º PA'!$F$5:$F$2488))</f>
        <v>0</v>
      </c>
      <c r="N78" s="185">
        <f>SUMPRODUCT(-('Diário 5º PA'!$E$5:$E$2634='Analítico Cx.'!$B78),-('Diário 5º PA'!$P$5:$P$2634=N$1),('Diário 5º PA'!$F$5:$F$2634))+
SUMPRODUCT(-('Diário 6º PA'!$E$5:$E$2246='Analítico Cx.'!$B78),-('Diário 6º PA'!$P$5:$P$2246=N$1),('Diário 6º PA'!$F$5:$F$2246))+
SUMPRODUCT(-('Diário 7º PA'!$E$5:$E$2271='Analítico Cx.'!$B78),-('Diário 7º PA'!$P$5:$P$2271=N$1),('Diário 7º PA'!$F$5:$F$2271))+
SUMPRODUCT(-('Diário 8º PA'!$E$5:$E$2488='Analítico Cx.'!$B78),-('Diário 8º PA'!$P$5:$P$2488=N$1),('Diário 8º PA'!$F$5:$F$2488))</f>
        <v>0</v>
      </c>
      <c r="O78" s="186">
        <f t="shared" si="16"/>
        <v>9200</v>
      </c>
      <c r="P78" s="187">
        <f t="shared" si="17"/>
        <v>9.7613104019541523E-4</v>
      </c>
      <c r="Q78" s="34"/>
      <c r="R78" s="34"/>
      <c r="S78" s="34"/>
      <c r="T78" s="34"/>
      <c r="U78" s="34"/>
      <c r="V78" s="34"/>
      <c r="W78" s="34"/>
      <c r="X78" s="34"/>
      <c r="Y78" s="34"/>
      <c r="Z78" s="34"/>
    </row>
    <row r="79" spans="1:26" ht="23.25" customHeight="1" x14ac:dyDescent="0.2">
      <c r="A79" s="203" t="s">
        <v>249</v>
      </c>
      <c r="B79" s="72" t="s">
        <v>250</v>
      </c>
      <c r="C79" s="185">
        <f>SUMPRODUCT(-('Diário 5º PA'!$E$5:$E$2634='Analítico Cx.'!$B79),-('Diário 5º PA'!$P$5:$P$2634=C$1),('Diário 5º PA'!$F$5:$F$2634))+
SUMPRODUCT(-('Diário 6º PA'!$E$5:$E$2246='Analítico Cx.'!$B79),-('Diário 6º PA'!$P$5:$P$2246=C$1),('Diário 6º PA'!$F$5:$F$2246))+
SUMPRODUCT(-('Diário 7º PA'!$E$5:$E$2271='Analítico Cx.'!$B79),-('Diário 7º PA'!$P$5:$P$2271=C$1),('Diário 7º PA'!$F$5:$F$2271))+
SUMPRODUCT(-('Diário 8º PA'!$E$5:$E$2488='Analítico Cx.'!$B79),-('Diário 8º PA'!$P$5:$P$2488=C$1),('Diário 8º PA'!$F$5:$F$2488))</f>
        <v>0</v>
      </c>
      <c r="D79" s="185">
        <f>SUMPRODUCT(-('Diário 5º PA'!$E$5:$E$2634='Analítico Cx.'!$B79),-('Diário 5º PA'!$P$5:$P$2634=D$1),('Diário 5º PA'!$F$5:$F$2634))+
SUMPRODUCT(-('Diário 6º PA'!$E$5:$E$2246='Analítico Cx.'!$B79),-('Diário 6º PA'!$P$5:$P$2246=D$1),('Diário 6º PA'!$F$5:$F$2246))+
SUMPRODUCT(-('Diário 7º PA'!$E$5:$E$2271='Analítico Cx.'!$B79),-('Diário 7º PA'!$P$5:$P$2271=D$1),('Diário 7º PA'!$F$5:$F$2271))+
SUMPRODUCT(-('Diário 8º PA'!$E$5:$E$2488='Analítico Cx.'!$B79),-('Diário 8º PA'!$P$5:$P$2488=D$1),('Diário 8º PA'!$F$5:$F$2488))</f>
        <v>0</v>
      </c>
      <c r="E79" s="185">
        <f>SUMPRODUCT(-('Diário 5º PA'!$E$5:$E$2634='Analítico Cx.'!$B79),-('Diário 5º PA'!$P$5:$P$2634=E$1),('Diário 5º PA'!$F$5:$F$2634))+
SUMPRODUCT(-('Diário 6º PA'!$E$5:$E$2246='Analítico Cx.'!$B79),-('Diário 6º PA'!$P$5:$P$2246=E$1),('Diário 6º PA'!$F$5:$F$2246))+
SUMPRODUCT(-('Diário 7º PA'!$E$5:$E$2271='Analítico Cx.'!$B79),-('Diário 7º PA'!$P$5:$P$2271=E$1),('Diário 7º PA'!$F$5:$F$2271))+
SUMPRODUCT(-('Diário 8º PA'!$E$5:$E$2488='Analítico Cx.'!$B79),-('Diário 8º PA'!$P$5:$P$2488=E$1),('Diário 8º PA'!$F$5:$F$2488))</f>
        <v>0</v>
      </c>
      <c r="F79" s="185">
        <f>SUMPRODUCT(-('Diário 5º PA'!$E$5:$E$2634='Analítico Cx.'!$B79),-('Diário 5º PA'!$P$5:$P$2634=F$1),('Diário 5º PA'!$F$5:$F$2634))+
SUMPRODUCT(-('Diário 6º PA'!$E$5:$E$2246='Analítico Cx.'!$B79),-('Diário 6º PA'!$P$5:$P$2246=F$1),('Diário 6º PA'!$F$5:$F$2246))+
SUMPRODUCT(-('Diário 7º PA'!$E$5:$E$2271='Analítico Cx.'!$B79),-('Diário 7º PA'!$P$5:$P$2271=F$1),('Diário 7º PA'!$F$5:$F$2271))+
SUMPRODUCT(-('Diário 8º PA'!$E$5:$E$2488='Analítico Cx.'!$B79),-('Diário 8º PA'!$P$5:$P$2488=F$1),('Diário 8º PA'!$F$5:$F$2488))</f>
        <v>0</v>
      </c>
      <c r="G79" s="185">
        <f>SUMPRODUCT(-('Diário 5º PA'!$E$5:$E$2634='Analítico Cx.'!$B79),-('Diário 5º PA'!$P$5:$P$2634=G$1),('Diário 5º PA'!$F$5:$F$2634))+
SUMPRODUCT(-('Diário 6º PA'!$E$5:$E$2246='Analítico Cx.'!$B79),-('Diário 6º PA'!$P$5:$P$2246=G$1),('Diário 6º PA'!$F$5:$F$2246))+
SUMPRODUCT(-('Diário 7º PA'!$E$5:$E$2271='Analítico Cx.'!$B79),-('Diário 7º PA'!$P$5:$P$2271=G$1),('Diário 7º PA'!$F$5:$F$2271))+
SUMPRODUCT(-('Diário 8º PA'!$E$5:$E$2488='Analítico Cx.'!$B79),-('Diário 8º PA'!$P$5:$P$2488=G$1),('Diário 8º PA'!$F$5:$F$2488))</f>
        <v>0</v>
      </c>
      <c r="H79" s="185">
        <f>SUMPRODUCT(-('Diário 5º PA'!$E$5:$E$2634='Analítico Cx.'!$B79),-('Diário 5º PA'!$P$5:$P$2634=H$1),('Diário 5º PA'!$F$5:$F$2634))+
SUMPRODUCT(-('Diário 6º PA'!$E$5:$E$2246='Analítico Cx.'!$B79),-('Diário 6º PA'!$P$5:$P$2246=H$1),('Diário 6º PA'!$F$5:$F$2246))+
SUMPRODUCT(-('Diário 7º PA'!$E$5:$E$2271='Analítico Cx.'!$B79),-('Diário 7º PA'!$P$5:$P$2271=H$1),('Diário 7º PA'!$F$5:$F$2271))+
SUMPRODUCT(-('Diário 8º PA'!$E$5:$E$2488='Analítico Cx.'!$B79),-('Diário 8º PA'!$P$5:$P$2488=H$1),('Diário 8º PA'!$F$5:$F$2488))</f>
        <v>0</v>
      </c>
      <c r="I79" s="185">
        <f>SUMPRODUCT(-('Diário 5º PA'!$E$5:$E$2634='Analítico Cx.'!$B79),-('Diário 5º PA'!$P$5:$P$2634=I$1),('Diário 5º PA'!$F$5:$F$2634))+
SUMPRODUCT(-('Diário 6º PA'!$E$5:$E$2246='Analítico Cx.'!$B79),-('Diário 6º PA'!$P$5:$P$2246=I$1),('Diário 6º PA'!$F$5:$F$2246))+
SUMPRODUCT(-('Diário 7º PA'!$E$5:$E$2271='Analítico Cx.'!$B79),-('Diário 7º PA'!$P$5:$P$2271=I$1),('Diário 7º PA'!$F$5:$F$2271))+
SUMPRODUCT(-('Diário 8º PA'!$E$5:$E$2488='Analítico Cx.'!$B79),-('Diário 8º PA'!$P$5:$P$2488=I$1),('Diário 8º PA'!$F$5:$F$2488))</f>
        <v>0</v>
      </c>
      <c r="J79" s="185">
        <f>SUMPRODUCT(-('Diário 5º PA'!$E$5:$E$2634='Analítico Cx.'!$B79),-('Diário 5º PA'!$P$5:$P$2634=J$1),('Diário 5º PA'!$F$5:$F$2634))+
SUMPRODUCT(-('Diário 6º PA'!$E$5:$E$2246='Analítico Cx.'!$B79),-('Diário 6º PA'!$P$5:$P$2246=J$1),('Diário 6º PA'!$F$5:$F$2246))+
SUMPRODUCT(-('Diário 7º PA'!$E$5:$E$2271='Analítico Cx.'!$B79),-('Diário 7º PA'!$P$5:$P$2271=J$1),('Diário 7º PA'!$F$5:$F$2271))+
SUMPRODUCT(-('Diário 8º PA'!$E$5:$E$2488='Analítico Cx.'!$B79),-('Diário 8º PA'!$P$5:$P$2488=J$1),('Diário 8º PA'!$F$5:$F$2488))</f>
        <v>0</v>
      </c>
      <c r="K79" s="185">
        <f>SUMPRODUCT(-('Diário 5º PA'!$E$5:$E$2634='Analítico Cx.'!$B79),-('Diário 5º PA'!$P$5:$P$2634=K$1),('Diário 5º PA'!$F$5:$F$2634))+
SUMPRODUCT(-('Diário 6º PA'!$E$5:$E$2246='Analítico Cx.'!$B79),-('Diário 6º PA'!$P$5:$P$2246=K$1),('Diário 6º PA'!$F$5:$F$2246))+
SUMPRODUCT(-('Diário 7º PA'!$E$5:$E$2271='Analítico Cx.'!$B79),-('Diário 7º PA'!$P$5:$P$2271=K$1),('Diário 7º PA'!$F$5:$F$2271))+
SUMPRODUCT(-('Diário 8º PA'!$E$5:$E$2488='Analítico Cx.'!$B79),-('Diário 8º PA'!$P$5:$P$2488=K$1),('Diário 8º PA'!$F$5:$F$2488))</f>
        <v>0</v>
      </c>
      <c r="L79" s="185">
        <f>SUMPRODUCT(-('Diário 5º PA'!$E$5:$E$2634='Analítico Cx.'!$B79),-('Diário 5º PA'!$P$5:$P$2634=L$1),('Diário 5º PA'!$F$5:$F$2634))+
SUMPRODUCT(-('Diário 6º PA'!$E$5:$E$2246='Analítico Cx.'!$B79),-('Diário 6º PA'!$P$5:$P$2246=L$1),('Diário 6º PA'!$F$5:$F$2246))+
SUMPRODUCT(-('Diário 7º PA'!$E$5:$E$2271='Analítico Cx.'!$B79),-('Diário 7º PA'!$P$5:$P$2271=L$1),('Diário 7º PA'!$F$5:$F$2271))+
SUMPRODUCT(-('Diário 8º PA'!$E$5:$E$2488='Analítico Cx.'!$B79),-('Diário 8º PA'!$P$5:$P$2488=L$1),('Diário 8º PA'!$F$5:$F$2488))</f>
        <v>0</v>
      </c>
      <c r="M79" s="185">
        <f>SUMPRODUCT(-('Diário 5º PA'!$E$5:$E$2634='Analítico Cx.'!$B79),-('Diário 5º PA'!$P$5:$P$2634=M$1),('Diário 5º PA'!$F$5:$F$2634))+
SUMPRODUCT(-('Diário 6º PA'!$E$5:$E$2246='Analítico Cx.'!$B79),-('Diário 6º PA'!$P$5:$P$2246=M$1),('Diário 6º PA'!$F$5:$F$2246))+
SUMPRODUCT(-('Diário 7º PA'!$E$5:$E$2271='Analítico Cx.'!$B79),-('Diário 7º PA'!$P$5:$P$2271=M$1),('Diário 7º PA'!$F$5:$F$2271))+
SUMPRODUCT(-('Diário 8º PA'!$E$5:$E$2488='Analítico Cx.'!$B79),-('Diário 8º PA'!$P$5:$P$2488=M$1),('Diário 8º PA'!$F$5:$F$2488))</f>
        <v>0</v>
      </c>
      <c r="N79" s="185">
        <f>SUMPRODUCT(-('Diário 5º PA'!$E$5:$E$2634='Analítico Cx.'!$B79),-('Diário 5º PA'!$P$5:$P$2634=N$1),('Diário 5º PA'!$F$5:$F$2634))+
SUMPRODUCT(-('Diário 6º PA'!$E$5:$E$2246='Analítico Cx.'!$B79),-('Diário 6º PA'!$P$5:$P$2246=N$1),('Diário 6º PA'!$F$5:$F$2246))+
SUMPRODUCT(-('Diário 7º PA'!$E$5:$E$2271='Analítico Cx.'!$B79),-('Diário 7º PA'!$P$5:$P$2271=N$1),('Diário 7º PA'!$F$5:$F$2271))+
SUMPRODUCT(-('Diário 8º PA'!$E$5:$E$2488='Analítico Cx.'!$B79),-('Diário 8º PA'!$P$5:$P$2488=N$1),('Diário 8º PA'!$F$5:$F$2488))</f>
        <v>0</v>
      </c>
      <c r="O79" s="186">
        <f t="shared" si="16"/>
        <v>0</v>
      </c>
      <c r="P79" s="187">
        <f t="shared" si="17"/>
        <v>0</v>
      </c>
      <c r="Q79" s="34"/>
      <c r="R79" s="34"/>
      <c r="S79" s="34"/>
      <c r="T79" s="34"/>
      <c r="U79" s="34"/>
      <c r="V79" s="34"/>
      <c r="W79" s="34"/>
      <c r="X79" s="34"/>
      <c r="Y79" s="34"/>
      <c r="Z79" s="34"/>
    </row>
    <row r="80" spans="1:26" ht="23.25" customHeight="1" x14ac:dyDescent="0.2">
      <c r="A80" s="203" t="s">
        <v>251</v>
      </c>
      <c r="B80" s="72" t="s">
        <v>252</v>
      </c>
      <c r="C80" s="185">
        <f>SUMPRODUCT(-('Diário 5º PA'!$E$5:$E$2634='Analítico Cx.'!$B80),-('Diário 5º PA'!$P$5:$P$2634=C$1),('Diário 5º PA'!$F$5:$F$2634))+
SUMPRODUCT(-('Diário 6º PA'!$E$5:$E$2246='Analítico Cx.'!$B80),-('Diário 6º PA'!$P$5:$P$2246=C$1),('Diário 6º PA'!$F$5:$F$2246))+
SUMPRODUCT(-('Diário 7º PA'!$E$5:$E$2271='Analítico Cx.'!$B80),-('Diário 7º PA'!$P$5:$P$2271=C$1),('Diário 7º PA'!$F$5:$F$2271))+
SUMPRODUCT(-('Diário 8º PA'!$E$5:$E$2488='Analítico Cx.'!$B80),-('Diário 8º PA'!$P$5:$P$2488=C$1),('Diário 8º PA'!$F$5:$F$2488))</f>
        <v>0</v>
      </c>
      <c r="D80" s="185">
        <f>SUMPRODUCT(-('Diário 5º PA'!$E$5:$E$2634='Analítico Cx.'!$B80),-('Diário 5º PA'!$P$5:$P$2634=D$1),('Diário 5º PA'!$F$5:$F$2634))+
SUMPRODUCT(-('Diário 6º PA'!$E$5:$E$2246='Analítico Cx.'!$B80),-('Diário 6º PA'!$P$5:$P$2246=D$1),('Diário 6º PA'!$F$5:$F$2246))+
SUMPRODUCT(-('Diário 7º PA'!$E$5:$E$2271='Analítico Cx.'!$B80),-('Diário 7º PA'!$P$5:$P$2271=D$1),('Diário 7º PA'!$F$5:$F$2271))+
SUMPRODUCT(-('Diário 8º PA'!$E$5:$E$2488='Analítico Cx.'!$B80),-('Diário 8º PA'!$P$5:$P$2488=D$1),('Diário 8º PA'!$F$5:$F$2488))</f>
        <v>0</v>
      </c>
      <c r="E80" s="185">
        <f>SUMPRODUCT(-('Diário 5º PA'!$E$5:$E$2634='Analítico Cx.'!$B80),-('Diário 5º PA'!$P$5:$P$2634=E$1),('Diário 5º PA'!$F$5:$F$2634))+
SUMPRODUCT(-('Diário 6º PA'!$E$5:$E$2246='Analítico Cx.'!$B80),-('Diário 6º PA'!$P$5:$P$2246=E$1),('Diário 6º PA'!$F$5:$F$2246))+
SUMPRODUCT(-('Diário 7º PA'!$E$5:$E$2271='Analítico Cx.'!$B80),-('Diário 7º PA'!$P$5:$P$2271=E$1),('Diário 7º PA'!$F$5:$F$2271))+
SUMPRODUCT(-('Diário 8º PA'!$E$5:$E$2488='Analítico Cx.'!$B80),-('Diário 8º PA'!$P$5:$P$2488=E$1),('Diário 8º PA'!$F$5:$F$2488))</f>
        <v>0</v>
      </c>
      <c r="F80" s="185">
        <f>SUMPRODUCT(-('Diário 5º PA'!$E$5:$E$2634='Analítico Cx.'!$B80),-('Diário 5º PA'!$P$5:$P$2634=F$1),('Diário 5º PA'!$F$5:$F$2634))+
SUMPRODUCT(-('Diário 6º PA'!$E$5:$E$2246='Analítico Cx.'!$B80),-('Diário 6º PA'!$P$5:$P$2246=F$1),('Diário 6º PA'!$F$5:$F$2246))+
SUMPRODUCT(-('Diário 7º PA'!$E$5:$E$2271='Analítico Cx.'!$B80),-('Diário 7º PA'!$P$5:$P$2271=F$1),('Diário 7º PA'!$F$5:$F$2271))+
SUMPRODUCT(-('Diário 8º PA'!$E$5:$E$2488='Analítico Cx.'!$B80),-('Diário 8º PA'!$P$5:$P$2488=F$1),('Diário 8º PA'!$F$5:$F$2488))</f>
        <v>0</v>
      </c>
      <c r="G80" s="185">
        <f>SUMPRODUCT(-('Diário 5º PA'!$E$5:$E$2634='Analítico Cx.'!$B80),-('Diário 5º PA'!$P$5:$P$2634=G$1),('Diário 5º PA'!$F$5:$F$2634))+
SUMPRODUCT(-('Diário 6º PA'!$E$5:$E$2246='Analítico Cx.'!$B80),-('Diário 6º PA'!$P$5:$P$2246=G$1),('Diário 6º PA'!$F$5:$F$2246))+
SUMPRODUCT(-('Diário 7º PA'!$E$5:$E$2271='Analítico Cx.'!$B80),-('Diário 7º PA'!$P$5:$P$2271=G$1),('Diário 7º PA'!$F$5:$F$2271))+
SUMPRODUCT(-('Diário 8º PA'!$E$5:$E$2488='Analítico Cx.'!$B80),-('Diário 8º PA'!$P$5:$P$2488=G$1),('Diário 8º PA'!$F$5:$F$2488))</f>
        <v>0</v>
      </c>
      <c r="H80" s="185">
        <f>SUMPRODUCT(-('Diário 5º PA'!$E$5:$E$2634='Analítico Cx.'!$B80),-('Diário 5º PA'!$P$5:$P$2634=H$1),('Diário 5º PA'!$F$5:$F$2634))+
SUMPRODUCT(-('Diário 6º PA'!$E$5:$E$2246='Analítico Cx.'!$B80),-('Diário 6º PA'!$P$5:$P$2246=H$1),('Diário 6º PA'!$F$5:$F$2246))+
SUMPRODUCT(-('Diário 7º PA'!$E$5:$E$2271='Analítico Cx.'!$B80),-('Diário 7º PA'!$P$5:$P$2271=H$1),('Diário 7º PA'!$F$5:$F$2271))+
SUMPRODUCT(-('Diário 8º PA'!$E$5:$E$2488='Analítico Cx.'!$B80),-('Diário 8º PA'!$P$5:$P$2488=H$1),('Diário 8º PA'!$F$5:$F$2488))</f>
        <v>0</v>
      </c>
      <c r="I80" s="185">
        <f>SUMPRODUCT(-('Diário 5º PA'!$E$5:$E$2634='Analítico Cx.'!$B80),-('Diário 5º PA'!$P$5:$P$2634=I$1),('Diário 5º PA'!$F$5:$F$2634))+
SUMPRODUCT(-('Diário 6º PA'!$E$5:$E$2246='Analítico Cx.'!$B80),-('Diário 6º PA'!$P$5:$P$2246=I$1),('Diário 6º PA'!$F$5:$F$2246))+
SUMPRODUCT(-('Diário 7º PA'!$E$5:$E$2271='Analítico Cx.'!$B80),-('Diário 7º PA'!$P$5:$P$2271=I$1),('Diário 7º PA'!$F$5:$F$2271))+
SUMPRODUCT(-('Diário 8º PA'!$E$5:$E$2488='Analítico Cx.'!$B80),-('Diário 8º PA'!$P$5:$P$2488=I$1),('Diário 8º PA'!$F$5:$F$2488))</f>
        <v>0</v>
      </c>
      <c r="J80" s="185">
        <f>SUMPRODUCT(-('Diário 5º PA'!$E$5:$E$2634='Analítico Cx.'!$B80),-('Diário 5º PA'!$P$5:$P$2634=J$1),('Diário 5º PA'!$F$5:$F$2634))+
SUMPRODUCT(-('Diário 6º PA'!$E$5:$E$2246='Analítico Cx.'!$B80),-('Diário 6º PA'!$P$5:$P$2246=J$1),('Diário 6º PA'!$F$5:$F$2246))+
SUMPRODUCT(-('Diário 7º PA'!$E$5:$E$2271='Analítico Cx.'!$B80),-('Diário 7º PA'!$P$5:$P$2271=J$1),('Diário 7º PA'!$F$5:$F$2271))+
SUMPRODUCT(-('Diário 8º PA'!$E$5:$E$2488='Analítico Cx.'!$B80),-('Diário 8º PA'!$P$5:$P$2488=J$1),('Diário 8º PA'!$F$5:$F$2488))</f>
        <v>0</v>
      </c>
      <c r="K80" s="185">
        <f>SUMPRODUCT(-('Diário 5º PA'!$E$5:$E$2634='Analítico Cx.'!$B80),-('Diário 5º PA'!$P$5:$P$2634=K$1),('Diário 5º PA'!$F$5:$F$2634))+
SUMPRODUCT(-('Diário 6º PA'!$E$5:$E$2246='Analítico Cx.'!$B80),-('Diário 6º PA'!$P$5:$P$2246=K$1),('Diário 6º PA'!$F$5:$F$2246))+
SUMPRODUCT(-('Diário 7º PA'!$E$5:$E$2271='Analítico Cx.'!$B80),-('Diário 7º PA'!$P$5:$P$2271=K$1),('Diário 7º PA'!$F$5:$F$2271))+
SUMPRODUCT(-('Diário 8º PA'!$E$5:$E$2488='Analítico Cx.'!$B80),-('Diário 8º PA'!$P$5:$P$2488=K$1),('Diário 8º PA'!$F$5:$F$2488))</f>
        <v>0</v>
      </c>
      <c r="L80" s="185">
        <f>SUMPRODUCT(-('Diário 5º PA'!$E$5:$E$2634='Analítico Cx.'!$B80),-('Diário 5º PA'!$P$5:$P$2634=L$1),('Diário 5º PA'!$F$5:$F$2634))+
SUMPRODUCT(-('Diário 6º PA'!$E$5:$E$2246='Analítico Cx.'!$B80),-('Diário 6º PA'!$P$5:$P$2246=L$1),('Diário 6º PA'!$F$5:$F$2246))+
SUMPRODUCT(-('Diário 7º PA'!$E$5:$E$2271='Analítico Cx.'!$B80),-('Diário 7º PA'!$P$5:$P$2271=L$1),('Diário 7º PA'!$F$5:$F$2271))+
SUMPRODUCT(-('Diário 8º PA'!$E$5:$E$2488='Analítico Cx.'!$B80),-('Diário 8º PA'!$P$5:$P$2488=L$1),('Diário 8º PA'!$F$5:$F$2488))</f>
        <v>0</v>
      </c>
      <c r="M80" s="185">
        <f>SUMPRODUCT(-('Diário 5º PA'!$E$5:$E$2634='Analítico Cx.'!$B80),-('Diário 5º PA'!$P$5:$P$2634=M$1),('Diário 5º PA'!$F$5:$F$2634))+
SUMPRODUCT(-('Diário 6º PA'!$E$5:$E$2246='Analítico Cx.'!$B80),-('Diário 6º PA'!$P$5:$P$2246=M$1),('Diário 6º PA'!$F$5:$F$2246))+
SUMPRODUCT(-('Diário 7º PA'!$E$5:$E$2271='Analítico Cx.'!$B80),-('Diário 7º PA'!$P$5:$P$2271=M$1),('Diário 7º PA'!$F$5:$F$2271))+
SUMPRODUCT(-('Diário 8º PA'!$E$5:$E$2488='Analítico Cx.'!$B80),-('Diário 8º PA'!$P$5:$P$2488=M$1),('Diário 8º PA'!$F$5:$F$2488))</f>
        <v>0</v>
      </c>
      <c r="N80" s="185">
        <f>SUMPRODUCT(-('Diário 5º PA'!$E$5:$E$2634='Analítico Cx.'!$B80),-('Diário 5º PA'!$P$5:$P$2634=N$1),('Diário 5º PA'!$F$5:$F$2634))+
SUMPRODUCT(-('Diário 6º PA'!$E$5:$E$2246='Analítico Cx.'!$B80),-('Diário 6º PA'!$P$5:$P$2246=N$1),('Diário 6º PA'!$F$5:$F$2246))+
SUMPRODUCT(-('Diário 7º PA'!$E$5:$E$2271='Analítico Cx.'!$B80),-('Diário 7º PA'!$P$5:$P$2271=N$1),('Diário 7º PA'!$F$5:$F$2271))+
SUMPRODUCT(-('Diário 8º PA'!$E$5:$E$2488='Analítico Cx.'!$B80),-('Diário 8º PA'!$P$5:$P$2488=N$1),('Diário 8º PA'!$F$5:$F$2488))</f>
        <v>0</v>
      </c>
      <c r="O80" s="186">
        <f t="shared" si="16"/>
        <v>0</v>
      </c>
      <c r="P80" s="187">
        <f t="shared" si="17"/>
        <v>0</v>
      </c>
      <c r="Q80" s="34"/>
      <c r="R80" s="34"/>
      <c r="S80" s="34"/>
      <c r="T80" s="34"/>
      <c r="U80" s="34"/>
      <c r="V80" s="34"/>
      <c r="W80" s="34"/>
      <c r="X80" s="34"/>
      <c r="Y80" s="34"/>
      <c r="Z80" s="34"/>
    </row>
    <row r="81" spans="1:26" ht="23.25" customHeight="1" x14ac:dyDescent="0.2">
      <c r="A81" s="203" t="s">
        <v>253</v>
      </c>
      <c r="B81" s="72" t="s">
        <v>254</v>
      </c>
      <c r="C81" s="185">
        <f>SUMPRODUCT(-('Diário 5º PA'!$E$5:$E$2634='Analítico Cx.'!$B81),-('Diário 5º PA'!$P$5:$P$2634=C$1),('Diário 5º PA'!$F$5:$F$2634))+
SUMPRODUCT(-('Diário 6º PA'!$E$5:$E$2246='Analítico Cx.'!$B81),-('Diário 6º PA'!$P$5:$P$2246=C$1),('Diário 6º PA'!$F$5:$F$2246))+
SUMPRODUCT(-('Diário 7º PA'!$E$5:$E$2271='Analítico Cx.'!$B81),-('Diário 7º PA'!$P$5:$P$2271=C$1),('Diário 7º PA'!$F$5:$F$2271))+
SUMPRODUCT(-('Diário 8º PA'!$E$5:$E$2488='Analítico Cx.'!$B81),-('Diário 8º PA'!$P$5:$P$2488=C$1),('Diário 8º PA'!$F$5:$F$2488))</f>
        <v>1492.96</v>
      </c>
      <c r="D81" s="185">
        <f>SUMPRODUCT(-('Diário 5º PA'!$E$5:$E$2634='Analítico Cx.'!$B81),-('Diário 5º PA'!$P$5:$P$2634=D$1),('Diário 5º PA'!$F$5:$F$2634))+
SUMPRODUCT(-('Diário 6º PA'!$E$5:$E$2246='Analítico Cx.'!$B81),-('Diário 6º PA'!$P$5:$P$2246=D$1),('Diário 6º PA'!$F$5:$F$2246))+
SUMPRODUCT(-('Diário 7º PA'!$E$5:$E$2271='Analítico Cx.'!$B81),-('Diário 7º PA'!$P$5:$P$2271=D$1),('Diário 7º PA'!$F$5:$F$2271))+
SUMPRODUCT(-('Diário 8º PA'!$E$5:$E$2488='Analítico Cx.'!$B81),-('Diário 8º PA'!$P$5:$P$2488=D$1),('Diário 8º PA'!$F$5:$F$2488))</f>
        <v>1487.71</v>
      </c>
      <c r="E81" s="185">
        <f>SUMPRODUCT(-('Diário 5º PA'!$E$5:$E$2634='Analítico Cx.'!$B81),-('Diário 5º PA'!$P$5:$P$2634=E$1),('Diário 5º PA'!$F$5:$F$2634))+
SUMPRODUCT(-('Diário 6º PA'!$E$5:$E$2246='Analítico Cx.'!$B81),-('Diário 6º PA'!$P$5:$P$2246=E$1),('Diário 6º PA'!$F$5:$F$2246))+
SUMPRODUCT(-('Diário 7º PA'!$E$5:$E$2271='Analítico Cx.'!$B81),-('Diário 7º PA'!$P$5:$P$2271=E$1),('Diário 7º PA'!$F$5:$F$2271))+
SUMPRODUCT(-('Diário 8º PA'!$E$5:$E$2488='Analítico Cx.'!$B81),-('Diário 8º PA'!$P$5:$P$2488=E$1),('Diário 8º PA'!$F$5:$F$2488))</f>
        <v>1272.72</v>
      </c>
      <c r="F81" s="185">
        <f>SUMPRODUCT(-('Diário 5º PA'!$E$5:$E$2634='Analítico Cx.'!$B81),-('Diário 5º PA'!$P$5:$P$2634=F$1),('Diário 5º PA'!$F$5:$F$2634))+
SUMPRODUCT(-('Diário 6º PA'!$E$5:$E$2246='Analítico Cx.'!$B81),-('Diário 6º PA'!$P$5:$P$2246=F$1),('Diário 6º PA'!$F$5:$F$2246))+
SUMPRODUCT(-('Diário 7º PA'!$E$5:$E$2271='Analítico Cx.'!$B81),-('Diário 7º PA'!$P$5:$P$2271=F$1),('Diário 7º PA'!$F$5:$F$2271))+
SUMPRODUCT(-('Diário 8º PA'!$E$5:$E$2488='Analítico Cx.'!$B81),-('Diário 8º PA'!$P$5:$P$2488=F$1),('Diário 8º PA'!$F$5:$F$2488))</f>
        <v>1688.0700000000002</v>
      </c>
      <c r="G81" s="185">
        <f>SUMPRODUCT(-('Diário 5º PA'!$E$5:$E$2634='Analítico Cx.'!$B81),-('Diário 5º PA'!$P$5:$P$2634=G$1),('Diário 5º PA'!$F$5:$F$2634))+
SUMPRODUCT(-('Diário 6º PA'!$E$5:$E$2246='Analítico Cx.'!$B81),-('Diário 6º PA'!$P$5:$P$2246=G$1),('Diário 6º PA'!$F$5:$F$2246))+
SUMPRODUCT(-('Diário 7º PA'!$E$5:$E$2271='Analítico Cx.'!$B81),-('Diário 7º PA'!$P$5:$P$2271=G$1),('Diário 7º PA'!$F$5:$F$2271))+
SUMPRODUCT(-('Diário 8º PA'!$E$5:$E$2488='Analítico Cx.'!$B81),-('Diário 8º PA'!$P$5:$P$2488=G$1),('Diário 8º PA'!$F$5:$F$2488))</f>
        <v>1688.0700000000002</v>
      </c>
      <c r="H81" s="185">
        <f>SUMPRODUCT(-('Diário 5º PA'!$E$5:$E$2634='Analítico Cx.'!$B81),-('Diário 5º PA'!$P$5:$P$2634=H$1),('Diário 5º PA'!$F$5:$F$2634))+
SUMPRODUCT(-('Diário 6º PA'!$E$5:$E$2246='Analítico Cx.'!$B81),-('Diário 6º PA'!$P$5:$P$2246=H$1),('Diário 6º PA'!$F$5:$F$2246))+
SUMPRODUCT(-('Diário 7º PA'!$E$5:$E$2271='Analítico Cx.'!$B81),-('Diário 7º PA'!$P$5:$P$2271=H$1),('Diário 7º PA'!$F$5:$F$2271))+
SUMPRODUCT(-('Diário 8º PA'!$E$5:$E$2488='Analítico Cx.'!$B81),-('Diário 8º PA'!$P$5:$P$2488=H$1),('Diário 8º PA'!$F$5:$F$2488))</f>
        <v>1438.0700000000002</v>
      </c>
      <c r="I81" s="185">
        <f>SUMPRODUCT(-('Diário 5º PA'!$E$5:$E$2634='Analítico Cx.'!$B81),-('Diário 5º PA'!$P$5:$P$2634=I$1),('Diário 5º PA'!$F$5:$F$2634))+
SUMPRODUCT(-('Diário 6º PA'!$E$5:$E$2246='Analítico Cx.'!$B81),-('Diário 6º PA'!$P$5:$P$2246=I$1),('Diário 6º PA'!$F$5:$F$2246))+
SUMPRODUCT(-('Diário 7º PA'!$E$5:$E$2271='Analítico Cx.'!$B81),-('Diário 7º PA'!$P$5:$P$2271=I$1),('Diário 7º PA'!$F$5:$F$2271))+
SUMPRODUCT(-('Diário 8º PA'!$E$5:$E$2488='Analítico Cx.'!$B81),-('Diário 8º PA'!$P$5:$P$2488=I$1),('Diário 8º PA'!$F$5:$F$2488))</f>
        <v>1438.0700000000002</v>
      </c>
      <c r="J81" s="185">
        <f>SUMPRODUCT(-('Diário 5º PA'!$E$5:$E$2634='Analítico Cx.'!$B81),-('Diário 5º PA'!$P$5:$P$2634=J$1),('Diário 5º PA'!$F$5:$F$2634))+
SUMPRODUCT(-('Diário 6º PA'!$E$5:$E$2246='Analítico Cx.'!$B81),-('Diário 6º PA'!$P$5:$P$2246=J$1),('Diário 6º PA'!$F$5:$F$2246))+
SUMPRODUCT(-('Diário 7º PA'!$E$5:$E$2271='Analítico Cx.'!$B81),-('Diário 7º PA'!$P$5:$P$2271=J$1),('Diário 7º PA'!$F$5:$F$2271))+
SUMPRODUCT(-('Diário 8º PA'!$E$5:$E$2488='Analítico Cx.'!$B81),-('Diário 8º PA'!$P$5:$P$2488=J$1),('Diário 8º PA'!$F$5:$F$2488))</f>
        <v>1188.0700000000002</v>
      </c>
      <c r="K81" s="185">
        <f>SUMPRODUCT(-('Diário 5º PA'!$E$5:$E$2634='Analítico Cx.'!$B81),-('Diário 5º PA'!$P$5:$P$2634=K$1),('Diário 5º PA'!$F$5:$F$2634))+
SUMPRODUCT(-('Diário 6º PA'!$E$5:$E$2246='Analítico Cx.'!$B81),-('Diário 6º PA'!$P$5:$P$2246=K$1),('Diário 6º PA'!$F$5:$F$2246))+
SUMPRODUCT(-('Diário 7º PA'!$E$5:$E$2271='Analítico Cx.'!$B81),-('Diário 7º PA'!$P$5:$P$2271=K$1),('Diário 7º PA'!$F$5:$F$2271))+
SUMPRODUCT(-('Diário 8º PA'!$E$5:$E$2488='Analítico Cx.'!$B81),-('Diário 8º PA'!$P$5:$P$2488=K$1),('Diário 8º PA'!$F$5:$F$2488))</f>
        <v>1188.0700000000002</v>
      </c>
      <c r="L81" s="185">
        <f>SUMPRODUCT(-('Diário 5º PA'!$E$5:$E$2634='Analítico Cx.'!$B81),-('Diário 5º PA'!$P$5:$P$2634=L$1),('Diário 5º PA'!$F$5:$F$2634))+
SUMPRODUCT(-('Diário 6º PA'!$E$5:$E$2246='Analítico Cx.'!$B81),-('Diário 6º PA'!$P$5:$P$2246=L$1),('Diário 6º PA'!$F$5:$F$2246))+
SUMPRODUCT(-('Diário 7º PA'!$E$5:$E$2271='Analítico Cx.'!$B81),-('Diário 7º PA'!$P$5:$P$2271=L$1),('Diário 7º PA'!$F$5:$F$2271))+
SUMPRODUCT(-('Diário 8º PA'!$E$5:$E$2488='Analítico Cx.'!$B81),-('Diário 8º PA'!$P$5:$P$2488=L$1),('Diário 8º PA'!$F$5:$F$2488))</f>
        <v>1188.0700000000002</v>
      </c>
      <c r="M81" s="185">
        <f>SUMPRODUCT(-('Diário 5º PA'!$E$5:$E$2634='Analítico Cx.'!$B81),-('Diário 5º PA'!$P$5:$P$2634=M$1),('Diário 5º PA'!$F$5:$F$2634))+
SUMPRODUCT(-('Diário 6º PA'!$E$5:$E$2246='Analítico Cx.'!$B81),-('Diário 6º PA'!$P$5:$P$2246=M$1),('Diário 6º PA'!$F$5:$F$2246))+
SUMPRODUCT(-('Diário 7º PA'!$E$5:$E$2271='Analítico Cx.'!$B81),-('Diário 7º PA'!$P$5:$P$2271=M$1),('Diário 7º PA'!$F$5:$F$2271))+
SUMPRODUCT(-('Diário 8º PA'!$E$5:$E$2488='Analítico Cx.'!$B81),-('Diário 8º PA'!$P$5:$P$2488=M$1),('Diário 8º PA'!$F$5:$F$2488))</f>
        <v>1188.0700000000002</v>
      </c>
      <c r="N81" s="185">
        <f>SUMPRODUCT(-('Diário 5º PA'!$E$5:$E$2634='Analítico Cx.'!$B81),-('Diário 5º PA'!$P$5:$P$2634=N$1),('Diário 5º PA'!$F$5:$F$2634))+
SUMPRODUCT(-('Diário 6º PA'!$E$5:$E$2246='Analítico Cx.'!$B81),-('Diário 6º PA'!$P$5:$P$2246=N$1),('Diário 6º PA'!$F$5:$F$2246))+
SUMPRODUCT(-('Diário 7º PA'!$E$5:$E$2271='Analítico Cx.'!$B81),-('Diário 7º PA'!$P$5:$P$2271=N$1),('Diário 7º PA'!$F$5:$F$2271))+
SUMPRODUCT(-('Diário 8º PA'!$E$5:$E$2488='Analítico Cx.'!$B81),-('Diário 8º PA'!$P$5:$P$2488=N$1),('Diário 8º PA'!$F$5:$F$2488))</f>
        <v>938.07</v>
      </c>
      <c r="O81" s="186">
        <f t="shared" si="16"/>
        <v>16196.019999999999</v>
      </c>
      <c r="P81" s="187">
        <f t="shared" si="17"/>
        <v>1.718417157568016E-3</v>
      </c>
      <c r="Q81" s="34"/>
      <c r="R81" s="34"/>
      <c r="S81" s="34"/>
      <c r="T81" s="34"/>
      <c r="U81" s="34"/>
      <c r="V81" s="34"/>
      <c r="W81" s="34"/>
      <c r="X81" s="34"/>
      <c r="Y81" s="34"/>
      <c r="Z81" s="34"/>
    </row>
    <row r="82" spans="1:26" ht="23.25" customHeight="1" x14ac:dyDescent="0.2">
      <c r="A82" s="203" t="s">
        <v>255</v>
      </c>
      <c r="B82" s="72" t="s">
        <v>256</v>
      </c>
      <c r="C82" s="185">
        <f>SUMPRODUCT(-('Diário 5º PA'!$E$5:$E$2634='Analítico Cx.'!$B82),-('Diário 5º PA'!$P$5:$P$2634=C$1),('Diário 5º PA'!$F$5:$F$2634))+
SUMPRODUCT(-('Diário 6º PA'!$E$5:$E$2246='Analítico Cx.'!$B82),-('Diário 6º PA'!$P$5:$P$2246=C$1),('Diário 6º PA'!$F$5:$F$2246))+
SUMPRODUCT(-('Diário 7º PA'!$E$5:$E$2271='Analítico Cx.'!$B82),-('Diário 7º PA'!$P$5:$P$2271=C$1),('Diário 7º PA'!$F$5:$F$2271))+
SUMPRODUCT(-('Diário 8º PA'!$E$5:$E$2488='Analítico Cx.'!$B82),-('Diário 8º PA'!$P$5:$P$2488=C$1),('Diário 8º PA'!$F$5:$F$2488))</f>
        <v>0</v>
      </c>
      <c r="D82" s="185">
        <f>SUMPRODUCT(-('Diário 5º PA'!$E$5:$E$2634='Analítico Cx.'!$B82),-('Diário 5º PA'!$P$5:$P$2634=D$1),('Diário 5º PA'!$F$5:$F$2634))+
SUMPRODUCT(-('Diário 6º PA'!$E$5:$E$2246='Analítico Cx.'!$B82),-('Diário 6º PA'!$P$5:$P$2246=D$1),('Diário 6º PA'!$F$5:$F$2246))+
SUMPRODUCT(-('Diário 7º PA'!$E$5:$E$2271='Analítico Cx.'!$B82),-('Diário 7º PA'!$P$5:$P$2271=D$1),('Diário 7º PA'!$F$5:$F$2271))+
SUMPRODUCT(-('Diário 8º PA'!$E$5:$E$2488='Analítico Cx.'!$B82),-('Diário 8º PA'!$P$5:$P$2488=D$1),('Diário 8º PA'!$F$5:$F$2488))</f>
        <v>0</v>
      </c>
      <c r="E82" s="185">
        <f>SUMPRODUCT(-('Diário 5º PA'!$E$5:$E$2634='Analítico Cx.'!$B82),-('Diário 5º PA'!$P$5:$P$2634=E$1),('Diário 5º PA'!$F$5:$F$2634))+
SUMPRODUCT(-('Diário 6º PA'!$E$5:$E$2246='Analítico Cx.'!$B82),-('Diário 6º PA'!$P$5:$P$2246=E$1),('Diário 6º PA'!$F$5:$F$2246))+
SUMPRODUCT(-('Diário 7º PA'!$E$5:$E$2271='Analítico Cx.'!$B82),-('Diário 7º PA'!$P$5:$P$2271=E$1),('Diário 7º PA'!$F$5:$F$2271))+
SUMPRODUCT(-('Diário 8º PA'!$E$5:$E$2488='Analítico Cx.'!$B82),-('Diário 8º PA'!$P$5:$P$2488=E$1),('Diário 8º PA'!$F$5:$F$2488))</f>
        <v>0</v>
      </c>
      <c r="F82" s="185">
        <f>SUMPRODUCT(-('Diário 5º PA'!$E$5:$E$2634='Analítico Cx.'!$B82),-('Diário 5º PA'!$P$5:$P$2634=F$1),('Diário 5º PA'!$F$5:$F$2634))+
SUMPRODUCT(-('Diário 6º PA'!$E$5:$E$2246='Analítico Cx.'!$B82),-('Diário 6º PA'!$P$5:$P$2246=F$1),('Diário 6º PA'!$F$5:$F$2246))+
SUMPRODUCT(-('Diário 7º PA'!$E$5:$E$2271='Analítico Cx.'!$B82),-('Diário 7º PA'!$P$5:$P$2271=F$1),('Diário 7º PA'!$F$5:$F$2271))+
SUMPRODUCT(-('Diário 8º PA'!$E$5:$E$2488='Analítico Cx.'!$B82),-('Diário 8º PA'!$P$5:$P$2488=F$1),('Diário 8º PA'!$F$5:$F$2488))</f>
        <v>0</v>
      </c>
      <c r="G82" s="185">
        <f>SUMPRODUCT(-('Diário 5º PA'!$E$5:$E$2634='Analítico Cx.'!$B82),-('Diário 5º PA'!$P$5:$P$2634=G$1),('Diário 5º PA'!$F$5:$F$2634))+
SUMPRODUCT(-('Diário 6º PA'!$E$5:$E$2246='Analítico Cx.'!$B82),-('Diário 6º PA'!$P$5:$P$2246=G$1),('Diário 6º PA'!$F$5:$F$2246))+
SUMPRODUCT(-('Diário 7º PA'!$E$5:$E$2271='Analítico Cx.'!$B82),-('Diário 7º PA'!$P$5:$P$2271=G$1),('Diário 7º PA'!$F$5:$F$2271))+
SUMPRODUCT(-('Diário 8º PA'!$E$5:$E$2488='Analítico Cx.'!$B82),-('Diário 8º PA'!$P$5:$P$2488=G$1),('Diário 8º PA'!$F$5:$F$2488))</f>
        <v>0</v>
      </c>
      <c r="H82" s="185">
        <f>SUMPRODUCT(-('Diário 5º PA'!$E$5:$E$2634='Analítico Cx.'!$B82),-('Diário 5º PA'!$P$5:$P$2634=H$1),('Diário 5º PA'!$F$5:$F$2634))+
SUMPRODUCT(-('Diário 6º PA'!$E$5:$E$2246='Analítico Cx.'!$B82),-('Diário 6º PA'!$P$5:$P$2246=H$1),('Diário 6º PA'!$F$5:$F$2246))+
SUMPRODUCT(-('Diário 7º PA'!$E$5:$E$2271='Analítico Cx.'!$B82),-('Diário 7º PA'!$P$5:$P$2271=H$1),('Diário 7º PA'!$F$5:$F$2271))+
SUMPRODUCT(-('Diário 8º PA'!$E$5:$E$2488='Analítico Cx.'!$B82),-('Diário 8º PA'!$P$5:$P$2488=H$1),('Diário 8º PA'!$F$5:$F$2488))</f>
        <v>0</v>
      </c>
      <c r="I82" s="185">
        <f>SUMPRODUCT(-('Diário 5º PA'!$E$5:$E$2634='Analítico Cx.'!$B82),-('Diário 5º PA'!$P$5:$P$2634=I$1),('Diário 5º PA'!$F$5:$F$2634))+
SUMPRODUCT(-('Diário 6º PA'!$E$5:$E$2246='Analítico Cx.'!$B82),-('Diário 6º PA'!$P$5:$P$2246=I$1),('Diário 6º PA'!$F$5:$F$2246))+
SUMPRODUCT(-('Diário 7º PA'!$E$5:$E$2271='Analítico Cx.'!$B82),-('Diário 7º PA'!$P$5:$P$2271=I$1),('Diário 7º PA'!$F$5:$F$2271))+
SUMPRODUCT(-('Diário 8º PA'!$E$5:$E$2488='Analítico Cx.'!$B82),-('Diário 8º PA'!$P$5:$P$2488=I$1),('Diário 8º PA'!$F$5:$F$2488))</f>
        <v>0</v>
      </c>
      <c r="J82" s="185">
        <f>SUMPRODUCT(-('Diário 5º PA'!$E$5:$E$2634='Analítico Cx.'!$B82),-('Diário 5º PA'!$P$5:$P$2634=J$1),('Diário 5º PA'!$F$5:$F$2634))+
SUMPRODUCT(-('Diário 6º PA'!$E$5:$E$2246='Analítico Cx.'!$B82),-('Diário 6º PA'!$P$5:$P$2246=J$1),('Diário 6º PA'!$F$5:$F$2246))+
SUMPRODUCT(-('Diário 7º PA'!$E$5:$E$2271='Analítico Cx.'!$B82),-('Diário 7º PA'!$P$5:$P$2271=J$1),('Diário 7º PA'!$F$5:$F$2271))+
SUMPRODUCT(-('Diário 8º PA'!$E$5:$E$2488='Analítico Cx.'!$B82),-('Diário 8º PA'!$P$5:$P$2488=J$1),('Diário 8º PA'!$F$5:$F$2488))</f>
        <v>0</v>
      </c>
      <c r="K82" s="185">
        <f>SUMPRODUCT(-('Diário 5º PA'!$E$5:$E$2634='Analítico Cx.'!$B82),-('Diário 5º PA'!$P$5:$P$2634=K$1),('Diário 5º PA'!$F$5:$F$2634))+
SUMPRODUCT(-('Diário 6º PA'!$E$5:$E$2246='Analítico Cx.'!$B82),-('Diário 6º PA'!$P$5:$P$2246=K$1),('Diário 6º PA'!$F$5:$F$2246))+
SUMPRODUCT(-('Diário 7º PA'!$E$5:$E$2271='Analítico Cx.'!$B82),-('Diário 7º PA'!$P$5:$P$2271=K$1),('Diário 7º PA'!$F$5:$F$2271))+
SUMPRODUCT(-('Diário 8º PA'!$E$5:$E$2488='Analítico Cx.'!$B82),-('Diário 8º PA'!$P$5:$P$2488=K$1),('Diário 8º PA'!$F$5:$F$2488))</f>
        <v>0</v>
      </c>
      <c r="L82" s="185">
        <f>SUMPRODUCT(-('Diário 5º PA'!$E$5:$E$2634='Analítico Cx.'!$B82),-('Diário 5º PA'!$P$5:$P$2634=L$1),('Diário 5º PA'!$F$5:$F$2634))+
SUMPRODUCT(-('Diário 6º PA'!$E$5:$E$2246='Analítico Cx.'!$B82),-('Diário 6º PA'!$P$5:$P$2246=L$1),('Diário 6º PA'!$F$5:$F$2246))+
SUMPRODUCT(-('Diário 7º PA'!$E$5:$E$2271='Analítico Cx.'!$B82),-('Diário 7º PA'!$P$5:$P$2271=L$1),('Diário 7º PA'!$F$5:$F$2271))+
SUMPRODUCT(-('Diário 8º PA'!$E$5:$E$2488='Analítico Cx.'!$B82),-('Diário 8º PA'!$P$5:$P$2488=L$1),('Diário 8º PA'!$F$5:$F$2488))</f>
        <v>0</v>
      </c>
      <c r="M82" s="185">
        <f>SUMPRODUCT(-('Diário 5º PA'!$E$5:$E$2634='Analítico Cx.'!$B82),-('Diário 5º PA'!$P$5:$P$2634=M$1),('Diário 5º PA'!$F$5:$F$2634))+
SUMPRODUCT(-('Diário 6º PA'!$E$5:$E$2246='Analítico Cx.'!$B82),-('Diário 6º PA'!$P$5:$P$2246=M$1),('Diário 6º PA'!$F$5:$F$2246))+
SUMPRODUCT(-('Diário 7º PA'!$E$5:$E$2271='Analítico Cx.'!$B82),-('Diário 7º PA'!$P$5:$P$2271=M$1),('Diário 7º PA'!$F$5:$F$2271))+
SUMPRODUCT(-('Diário 8º PA'!$E$5:$E$2488='Analítico Cx.'!$B82),-('Diário 8º PA'!$P$5:$P$2488=M$1),('Diário 8º PA'!$F$5:$F$2488))</f>
        <v>0</v>
      </c>
      <c r="N82" s="185">
        <f>SUMPRODUCT(-('Diário 5º PA'!$E$5:$E$2634='Analítico Cx.'!$B82),-('Diário 5º PA'!$P$5:$P$2634=N$1),('Diário 5º PA'!$F$5:$F$2634))+
SUMPRODUCT(-('Diário 6º PA'!$E$5:$E$2246='Analítico Cx.'!$B82),-('Diário 6º PA'!$P$5:$P$2246=N$1),('Diário 6º PA'!$F$5:$F$2246))+
SUMPRODUCT(-('Diário 7º PA'!$E$5:$E$2271='Analítico Cx.'!$B82),-('Diário 7º PA'!$P$5:$P$2271=N$1),('Diário 7º PA'!$F$5:$F$2271))+
SUMPRODUCT(-('Diário 8º PA'!$E$5:$E$2488='Analítico Cx.'!$B82),-('Diário 8º PA'!$P$5:$P$2488=N$1),('Diário 8º PA'!$F$5:$F$2488))</f>
        <v>0</v>
      </c>
      <c r="O82" s="186">
        <f t="shared" si="16"/>
        <v>0</v>
      </c>
      <c r="P82" s="187">
        <f t="shared" si="17"/>
        <v>0</v>
      </c>
      <c r="Q82" s="34"/>
      <c r="R82" s="34"/>
      <c r="S82" s="34"/>
      <c r="T82" s="34"/>
      <c r="U82" s="34"/>
      <c r="V82" s="34"/>
      <c r="W82" s="34"/>
      <c r="X82" s="34"/>
      <c r="Y82" s="34"/>
      <c r="Z82" s="34"/>
    </row>
    <row r="83" spans="1:26" ht="23.25" customHeight="1" x14ac:dyDescent="0.2">
      <c r="A83" s="203" t="s">
        <v>257</v>
      </c>
      <c r="B83" s="72" t="s">
        <v>258</v>
      </c>
      <c r="C83" s="185">
        <f>SUMPRODUCT(-('Diário 5º PA'!$E$5:$E$2634='Analítico Cx.'!$B83),-('Diário 5º PA'!$P$5:$P$2634=C$1),('Diário 5º PA'!$F$5:$F$2634))+
SUMPRODUCT(-('Diário 6º PA'!$E$5:$E$2246='Analítico Cx.'!$B83),-('Diário 6º PA'!$P$5:$P$2246=C$1),('Diário 6º PA'!$F$5:$F$2246))+
SUMPRODUCT(-('Diário 7º PA'!$E$5:$E$2271='Analítico Cx.'!$B83),-('Diário 7º PA'!$P$5:$P$2271=C$1),('Diário 7º PA'!$F$5:$F$2271))+
SUMPRODUCT(-('Diário 8º PA'!$E$5:$E$2488='Analítico Cx.'!$B83),-('Diário 8º PA'!$P$5:$P$2488=C$1),('Diário 8º PA'!$F$5:$F$2488))</f>
        <v>0</v>
      </c>
      <c r="D83" s="185">
        <f>SUMPRODUCT(-('Diário 5º PA'!$E$5:$E$2634='Analítico Cx.'!$B83),-('Diário 5º PA'!$P$5:$P$2634=D$1),('Diário 5º PA'!$F$5:$F$2634))+
SUMPRODUCT(-('Diário 6º PA'!$E$5:$E$2246='Analítico Cx.'!$B83),-('Diário 6º PA'!$P$5:$P$2246=D$1),('Diário 6º PA'!$F$5:$F$2246))+
SUMPRODUCT(-('Diário 7º PA'!$E$5:$E$2271='Analítico Cx.'!$B83),-('Diário 7º PA'!$P$5:$P$2271=D$1),('Diário 7º PA'!$F$5:$F$2271))+
SUMPRODUCT(-('Diário 8º PA'!$E$5:$E$2488='Analítico Cx.'!$B83),-('Diário 8º PA'!$P$5:$P$2488=D$1),('Diário 8º PA'!$F$5:$F$2488))</f>
        <v>0</v>
      </c>
      <c r="E83" s="185">
        <f>SUMPRODUCT(-('Diário 5º PA'!$E$5:$E$2634='Analítico Cx.'!$B83),-('Diário 5º PA'!$P$5:$P$2634=E$1),('Diário 5º PA'!$F$5:$F$2634))+
SUMPRODUCT(-('Diário 6º PA'!$E$5:$E$2246='Analítico Cx.'!$B83),-('Diário 6º PA'!$P$5:$P$2246=E$1),('Diário 6º PA'!$F$5:$F$2246))+
SUMPRODUCT(-('Diário 7º PA'!$E$5:$E$2271='Analítico Cx.'!$B83),-('Diário 7º PA'!$P$5:$P$2271=E$1),('Diário 7º PA'!$F$5:$F$2271))+
SUMPRODUCT(-('Diário 8º PA'!$E$5:$E$2488='Analítico Cx.'!$B83),-('Diário 8º PA'!$P$5:$P$2488=E$1),('Diário 8º PA'!$F$5:$F$2488))</f>
        <v>0</v>
      </c>
      <c r="F83" s="185">
        <f>SUMPRODUCT(-('Diário 5º PA'!$E$5:$E$2634='Analítico Cx.'!$B83),-('Diário 5º PA'!$P$5:$P$2634=F$1),('Diário 5º PA'!$F$5:$F$2634))+
SUMPRODUCT(-('Diário 6º PA'!$E$5:$E$2246='Analítico Cx.'!$B83),-('Diário 6º PA'!$P$5:$P$2246=F$1),('Diário 6º PA'!$F$5:$F$2246))+
SUMPRODUCT(-('Diário 7º PA'!$E$5:$E$2271='Analítico Cx.'!$B83),-('Diário 7º PA'!$P$5:$P$2271=F$1),('Diário 7º PA'!$F$5:$F$2271))+
SUMPRODUCT(-('Diário 8º PA'!$E$5:$E$2488='Analítico Cx.'!$B83),-('Diário 8º PA'!$P$5:$P$2488=F$1),('Diário 8º PA'!$F$5:$F$2488))</f>
        <v>0</v>
      </c>
      <c r="G83" s="185">
        <f>SUMPRODUCT(-('Diário 5º PA'!$E$5:$E$2634='Analítico Cx.'!$B83),-('Diário 5º PA'!$P$5:$P$2634=G$1),('Diário 5º PA'!$F$5:$F$2634))+
SUMPRODUCT(-('Diário 6º PA'!$E$5:$E$2246='Analítico Cx.'!$B83),-('Diário 6º PA'!$P$5:$P$2246=G$1),('Diário 6º PA'!$F$5:$F$2246))+
SUMPRODUCT(-('Diário 7º PA'!$E$5:$E$2271='Analítico Cx.'!$B83),-('Diário 7º PA'!$P$5:$P$2271=G$1),('Diário 7º PA'!$F$5:$F$2271))+
SUMPRODUCT(-('Diário 8º PA'!$E$5:$E$2488='Analítico Cx.'!$B83),-('Diário 8º PA'!$P$5:$P$2488=G$1),('Diário 8º PA'!$F$5:$F$2488))</f>
        <v>0</v>
      </c>
      <c r="H83" s="185">
        <f>SUMPRODUCT(-('Diário 5º PA'!$E$5:$E$2634='Analítico Cx.'!$B83),-('Diário 5º PA'!$P$5:$P$2634=H$1),('Diário 5º PA'!$F$5:$F$2634))+
SUMPRODUCT(-('Diário 6º PA'!$E$5:$E$2246='Analítico Cx.'!$B83),-('Diário 6º PA'!$P$5:$P$2246=H$1),('Diário 6º PA'!$F$5:$F$2246))+
SUMPRODUCT(-('Diário 7º PA'!$E$5:$E$2271='Analítico Cx.'!$B83),-('Diário 7º PA'!$P$5:$P$2271=H$1),('Diário 7º PA'!$F$5:$F$2271))+
SUMPRODUCT(-('Diário 8º PA'!$E$5:$E$2488='Analítico Cx.'!$B83),-('Diário 8º PA'!$P$5:$P$2488=H$1),('Diário 8º PA'!$F$5:$F$2488))</f>
        <v>0</v>
      </c>
      <c r="I83" s="185">
        <f>SUMPRODUCT(-('Diário 5º PA'!$E$5:$E$2634='Analítico Cx.'!$B83),-('Diário 5º PA'!$P$5:$P$2634=I$1),('Diário 5º PA'!$F$5:$F$2634))+
SUMPRODUCT(-('Diário 6º PA'!$E$5:$E$2246='Analítico Cx.'!$B83),-('Diário 6º PA'!$P$5:$P$2246=I$1),('Diário 6º PA'!$F$5:$F$2246))+
SUMPRODUCT(-('Diário 7º PA'!$E$5:$E$2271='Analítico Cx.'!$B83),-('Diário 7º PA'!$P$5:$P$2271=I$1),('Diário 7º PA'!$F$5:$F$2271))+
SUMPRODUCT(-('Diário 8º PA'!$E$5:$E$2488='Analítico Cx.'!$B83),-('Diário 8º PA'!$P$5:$P$2488=I$1),('Diário 8º PA'!$F$5:$F$2488))</f>
        <v>0</v>
      </c>
      <c r="J83" s="185">
        <f>SUMPRODUCT(-('Diário 5º PA'!$E$5:$E$2634='Analítico Cx.'!$B83),-('Diário 5º PA'!$P$5:$P$2634=J$1),('Diário 5º PA'!$F$5:$F$2634))+
SUMPRODUCT(-('Diário 6º PA'!$E$5:$E$2246='Analítico Cx.'!$B83),-('Diário 6º PA'!$P$5:$P$2246=J$1),('Diário 6º PA'!$F$5:$F$2246))+
SUMPRODUCT(-('Diário 7º PA'!$E$5:$E$2271='Analítico Cx.'!$B83),-('Diário 7º PA'!$P$5:$P$2271=J$1),('Diário 7º PA'!$F$5:$F$2271))+
SUMPRODUCT(-('Diário 8º PA'!$E$5:$E$2488='Analítico Cx.'!$B83),-('Diário 8º PA'!$P$5:$P$2488=J$1),('Diário 8º PA'!$F$5:$F$2488))</f>
        <v>0</v>
      </c>
      <c r="K83" s="185">
        <f>SUMPRODUCT(-('Diário 5º PA'!$E$5:$E$2634='Analítico Cx.'!$B83),-('Diário 5º PA'!$P$5:$P$2634=K$1),('Diário 5º PA'!$F$5:$F$2634))+
SUMPRODUCT(-('Diário 6º PA'!$E$5:$E$2246='Analítico Cx.'!$B83),-('Diário 6º PA'!$P$5:$P$2246=K$1),('Diário 6º PA'!$F$5:$F$2246))+
SUMPRODUCT(-('Diário 7º PA'!$E$5:$E$2271='Analítico Cx.'!$B83),-('Diário 7º PA'!$P$5:$P$2271=K$1),('Diário 7º PA'!$F$5:$F$2271))+
SUMPRODUCT(-('Diário 8º PA'!$E$5:$E$2488='Analítico Cx.'!$B83),-('Diário 8º PA'!$P$5:$P$2488=K$1),('Diário 8º PA'!$F$5:$F$2488))</f>
        <v>0</v>
      </c>
      <c r="L83" s="185">
        <f>SUMPRODUCT(-('Diário 5º PA'!$E$5:$E$2634='Analítico Cx.'!$B83),-('Diário 5º PA'!$P$5:$P$2634=L$1),('Diário 5º PA'!$F$5:$F$2634))+
SUMPRODUCT(-('Diário 6º PA'!$E$5:$E$2246='Analítico Cx.'!$B83),-('Diário 6º PA'!$P$5:$P$2246=L$1),('Diário 6º PA'!$F$5:$F$2246))+
SUMPRODUCT(-('Diário 7º PA'!$E$5:$E$2271='Analítico Cx.'!$B83),-('Diário 7º PA'!$P$5:$P$2271=L$1),('Diário 7º PA'!$F$5:$F$2271))+
SUMPRODUCT(-('Diário 8º PA'!$E$5:$E$2488='Analítico Cx.'!$B83),-('Diário 8º PA'!$P$5:$P$2488=L$1),('Diário 8º PA'!$F$5:$F$2488))</f>
        <v>0</v>
      </c>
      <c r="M83" s="185">
        <f>SUMPRODUCT(-('Diário 5º PA'!$E$5:$E$2634='Analítico Cx.'!$B83),-('Diário 5º PA'!$P$5:$P$2634=M$1),('Diário 5º PA'!$F$5:$F$2634))+
SUMPRODUCT(-('Diário 6º PA'!$E$5:$E$2246='Analítico Cx.'!$B83),-('Diário 6º PA'!$P$5:$P$2246=M$1),('Diário 6º PA'!$F$5:$F$2246))+
SUMPRODUCT(-('Diário 7º PA'!$E$5:$E$2271='Analítico Cx.'!$B83),-('Diário 7º PA'!$P$5:$P$2271=M$1),('Diário 7º PA'!$F$5:$F$2271))+
SUMPRODUCT(-('Diário 8º PA'!$E$5:$E$2488='Analítico Cx.'!$B83),-('Diário 8º PA'!$P$5:$P$2488=M$1),('Diário 8º PA'!$F$5:$F$2488))</f>
        <v>0</v>
      </c>
      <c r="N83" s="185">
        <f>SUMPRODUCT(-('Diário 5º PA'!$E$5:$E$2634='Analítico Cx.'!$B83),-('Diário 5º PA'!$P$5:$P$2634=N$1),('Diário 5º PA'!$F$5:$F$2634))+
SUMPRODUCT(-('Diário 6º PA'!$E$5:$E$2246='Analítico Cx.'!$B83),-('Diário 6º PA'!$P$5:$P$2246=N$1),('Diário 6º PA'!$F$5:$F$2246))+
SUMPRODUCT(-('Diário 7º PA'!$E$5:$E$2271='Analítico Cx.'!$B83),-('Diário 7º PA'!$P$5:$P$2271=N$1),('Diário 7º PA'!$F$5:$F$2271))+
SUMPRODUCT(-('Diário 8º PA'!$E$5:$E$2488='Analítico Cx.'!$B83),-('Diário 8º PA'!$P$5:$P$2488=N$1),('Diário 8º PA'!$F$5:$F$2488))</f>
        <v>0</v>
      </c>
      <c r="O83" s="186">
        <f t="shared" si="16"/>
        <v>0</v>
      </c>
      <c r="P83" s="187">
        <f t="shared" si="17"/>
        <v>0</v>
      </c>
      <c r="Q83" s="34"/>
      <c r="R83" s="34"/>
      <c r="S83" s="34"/>
      <c r="T83" s="34"/>
      <c r="U83" s="34"/>
      <c r="V83" s="34"/>
      <c r="W83" s="34"/>
      <c r="X83" s="34"/>
      <c r="Y83" s="34"/>
      <c r="Z83" s="34"/>
    </row>
    <row r="84" spans="1:26" ht="23.25" customHeight="1" x14ac:dyDescent="0.2">
      <c r="A84" s="203" t="s">
        <v>259</v>
      </c>
      <c r="B84" s="72" t="s">
        <v>260</v>
      </c>
      <c r="C84" s="185">
        <f>SUMPRODUCT(-('Diário 5º PA'!$E$5:$E$2634='Analítico Cx.'!$B84),-('Diário 5º PA'!$P$5:$P$2634=C$1),('Diário 5º PA'!$F$5:$F$2634))+
SUMPRODUCT(-('Diário 6º PA'!$E$5:$E$2246='Analítico Cx.'!$B84),-('Diário 6º PA'!$P$5:$P$2246=C$1),('Diário 6º PA'!$F$5:$F$2246))+
SUMPRODUCT(-('Diário 7º PA'!$E$5:$E$2271='Analítico Cx.'!$B84),-('Diário 7º PA'!$P$5:$P$2271=C$1),('Diário 7º PA'!$F$5:$F$2271))+
SUMPRODUCT(-('Diário 8º PA'!$E$5:$E$2488='Analítico Cx.'!$B84),-('Diário 8º PA'!$P$5:$P$2488=C$1),('Diário 8º PA'!$F$5:$F$2488))</f>
        <v>0</v>
      </c>
      <c r="D84" s="185">
        <f>SUMPRODUCT(-('Diário 5º PA'!$E$5:$E$2634='Analítico Cx.'!$B84),-('Diário 5º PA'!$P$5:$P$2634=D$1),('Diário 5º PA'!$F$5:$F$2634))+
SUMPRODUCT(-('Diário 6º PA'!$E$5:$E$2246='Analítico Cx.'!$B84),-('Diário 6º PA'!$P$5:$P$2246=D$1),('Diário 6º PA'!$F$5:$F$2246))+
SUMPRODUCT(-('Diário 7º PA'!$E$5:$E$2271='Analítico Cx.'!$B84),-('Diário 7º PA'!$P$5:$P$2271=D$1),('Diário 7º PA'!$F$5:$F$2271))+
SUMPRODUCT(-('Diário 8º PA'!$E$5:$E$2488='Analítico Cx.'!$B84),-('Diário 8º PA'!$P$5:$P$2488=D$1),('Diário 8º PA'!$F$5:$F$2488))</f>
        <v>0</v>
      </c>
      <c r="E84" s="185">
        <f>SUMPRODUCT(-('Diário 5º PA'!$E$5:$E$2634='Analítico Cx.'!$B84),-('Diário 5º PA'!$P$5:$P$2634=E$1),('Diário 5º PA'!$F$5:$F$2634))+
SUMPRODUCT(-('Diário 6º PA'!$E$5:$E$2246='Analítico Cx.'!$B84),-('Diário 6º PA'!$P$5:$P$2246=E$1),('Diário 6º PA'!$F$5:$F$2246))+
SUMPRODUCT(-('Diário 7º PA'!$E$5:$E$2271='Analítico Cx.'!$B84),-('Diário 7º PA'!$P$5:$P$2271=E$1),('Diário 7º PA'!$F$5:$F$2271))+
SUMPRODUCT(-('Diário 8º PA'!$E$5:$E$2488='Analítico Cx.'!$B84),-('Diário 8º PA'!$P$5:$P$2488=E$1),('Diário 8º PA'!$F$5:$F$2488))</f>
        <v>0</v>
      </c>
      <c r="F84" s="185">
        <f>SUMPRODUCT(-('Diário 5º PA'!$E$5:$E$2634='Analítico Cx.'!$B84),-('Diário 5º PA'!$P$5:$P$2634=F$1),('Diário 5º PA'!$F$5:$F$2634))+
SUMPRODUCT(-('Diário 6º PA'!$E$5:$E$2246='Analítico Cx.'!$B84),-('Diário 6º PA'!$P$5:$P$2246=F$1),('Diário 6º PA'!$F$5:$F$2246))+
SUMPRODUCT(-('Diário 7º PA'!$E$5:$E$2271='Analítico Cx.'!$B84),-('Diário 7º PA'!$P$5:$P$2271=F$1),('Diário 7º PA'!$F$5:$F$2271))+
SUMPRODUCT(-('Diário 8º PA'!$E$5:$E$2488='Analítico Cx.'!$B84),-('Diário 8º PA'!$P$5:$P$2488=F$1),('Diário 8º PA'!$F$5:$F$2488))</f>
        <v>0</v>
      </c>
      <c r="G84" s="185">
        <f>SUMPRODUCT(-('Diário 5º PA'!$E$5:$E$2634='Analítico Cx.'!$B84),-('Diário 5º PA'!$P$5:$P$2634=G$1),('Diário 5º PA'!$F$5:$F$2634))+
SUMPRODUCT(-('Diário 6º PA'!$E$5:$E$2246='Analítico Cx.'!$B84),-('Diário 6º PA'!$P$5:$P$2246=G$1),('Diário 6º PA'!$F$5:$F$2246))+
SUMPRODUCT(-('Diário 7º PA'!$E$5:$E$2271='Analítico Cx.'!$B84),-('Diário 7º PA'!$P$5:$P$2271=G$1),('Diário 7º PA'!$F$5:$F$2271))+
SUMPRODUCT(-('Diário 8º PA'!$E$5:$E$2488='Analítico Cx.'!$B84),-('Diário 8º PA'!$P$5:$P$2488=G$1),('Diário 8º PA'!$F$5:$F$2488))</f>
        <v>0</v>
      </c>
      <c r="H84" s="185">
        <f>SUMPRODUCT(-('Diário 5º PA'!$E$5:$E$2634='Analítico Cx.'!$B84),-('Diário 5º PA'!$P$5:$P$2634=H$1),('Diário 5º PA'!$F$5:$F$2634))+
SUMPRODUCT(-('Diário 6º PA'!$E$5:$E$2246='Analítico Cx.'!$B84),-('Diário 6º PA'!$P$5:$P$2246=H$1),('Diário 6º PA'!$F$5:$F$2246))+
SUMPRODUCT(-('Diário 7º PA'!$E$5:$E$2271='Analítico Cx.'!$B84),-('Diário 7º PA'!$P$5:$P$2271=H$1),('Diário 7º PA'!$F$5:$F$2271))+
SUMPRODUCT(-('Diário 8º PA'!$E$5:$E$2488='Analítico Cx.'!$B84),-('Diário 8º PA'!$P$5:$P$2488=H$1),('Diário 8º PA'!$F$5:$F$2488))</f>
        <v>0</v>
      </c>
      <c r="I84" s="185">
        <f>SUMPRODUCT(-('Diário 5º PA'!$E$5:$E$2634='Analítico Cx.'!$B84),-('Diário 5º PA'!$P$5:$P$2634=I$1),('Diário 5º PA'!$F$5:$F$2634))+
SUMPRODUCT(-('Diário 6º PA'!$E$5:$E$2246='Analítico Cx.'!$B84),-('Diário 6º PA'!$P$5:$P$2246=I$1),('Diário 6º PA'!$F$5:$F$2246))+
SUMPRODUCT(-('Diário 7º PA'!$E$5:$E$2271='Analítico Cx.'!$B84),-('Diário 7º PA'!$P$5:$P$2271=I$1),('Diário 7º PA'!$F$5:$F$2271))+
SUMPRODUCT(-('Diário 8º PA'!$E$5:$E$2488='Analítico Cx.'!$B84),-('Diário 8º PA'!$P$5:$P$2488=I$1),('Diário 8º PA'!$F$5:$F$2488))</f>
        <v>0</v>
      </c>
      <c r="J84" s="185">
        <f>SUMPRODUCT(-('Diário 5º PA'!$E$5:$E$2634='Analítico Cx.'!$B84),-('Diário 5º PA'!$P$5:$P$2634=J$1),('Diário 5º PA'!$F$5:$F$2634))+
SUMPRODUCT(-('Diário 6º PA'!$E$5:$E$2246='Analítico Cx.'!$B84),-('Diário 6º PA'!$P$5:$P$2246=J$1),('Diário 6º PA'!$F$5:$F$2246))+
SUMPRODUCT(-('Diário 7º PA'!$E$5:$E$2271='Analítico Cx.'!$B84),-('Diário 7º PA'!$P$5:$P$2271=J$1),('Diário 7º PA'!$F$5:$F$2271))+
SUMPRODUCT(-('Diário 8º PA'!$E$5:$E$2488='Analítico Cx.'!$B84),-('Diário 8º PA'!$P$5:$P$2488=J$1),('Diário 8º PA'!$F$5:$F$2488))</f>
        <v>0</v>
      </c>
      <c r="K84" s="185">
        <f>SUMPRODUCT(-('Diário 5º PA'!$E$5:$E$2634='Analítico Cx.'!$B84),-('Diário 5º PA'!$P$5:$P$2634=K$1),('Diário 5º PA'!$F$5:$F$2634))+
SUMPRODUCT(-('Diário 6º PA'!$E$5:$E$2246='Analítico Cx.'!$B84),-('Diário 6º PA'!$P$5:$P$2246=K$1),('Diário 6º PA'!$F$5:$F$2246))+
SUMPRODUCT(-('Diário 7º PA'!$E$5:$E$2271='Analítico Cx.'!$B84),-('Diário 7º PA'!$P$5:$P$2271=K$1),('Diário 7º PA'!$F$5:$F$2271))+
SUMPRODUCT(-('Diário 8º PA'!$E$5:$E$2488='Analítico Cx.'!$B84),-('Diário 8º PA'!$P$5:$P$2488=K$1),('Diário 8º PA'!$F$5:$F$2488))</f>
        <v>0</v>
      </c>
      <c r="L84" s="185">
        <f>SUMPRODUCT(-('Diário 5º PA'!$E$5:$E$2634='Analítico Cx.'!$B84),-('Diário 5º PA'!$P$5:$P$2634=L$1),('Diário 5º PA'!$F$5:$F$2634))+
SUMPRODUCT(-('Diário 6º PA'!$E$5:$E$2246='Analítico Cx.'!$B84),-('Diário 6º PA'!$P$5:$P$2246=L$1),('Diário 6º PA'!$F$5:$F$2246))+
SUMPRODUCT(-('Diário 7º PA'!$E$5:$E$2271='Analítico Cx.'!$B84),-('Diário 7º PA'!$P$5:$P$2271=L$1),('Diário 7º PA'!$F$5:$F$2271))+
SUMPRODUCT(-('Diário 8º PA'!$E$5:$E$2488='Analítico Cx.'!$B84),-('Diário 8º PA'!$P$5:$P$2488=L$1),('Diário 8º PA'!$F$5:$F$2488))</f>
        <v>0</v>
      </c>
      <c r="M84" s="185">
        <f>SUMPRODUCT(-('Diário 5º PA'!$E$5:$E$2634='Analítico Cx.'!$B84),-('Diário 5º PA'!$P$5:$P$2634=M$1),('Diário 5º PA'!$F$5:$F$2634))+
SUMPRODUCT(-('Diário 6º PA'!$E$5:$E$2246='Analítico Cx.'!$B84),-('Diário 6º PA'!$P$5:$P$2246=M$1),('Diário 6º PA'!$F$5:$F$2246))+
SUMPRODUCT(-('Diário 7º PA'!$E$5:$E$2271='Analítico Cx.'!$B84),-('Diário 7º PA'!$P$5:$P$2271=M$1),('Diário 7º PA'!$F$5:$F$2271))+
SUMPRODUCT(-('Diário 8º PA'!$E$5:$E$2488='Analítico Cx.'!$B84),-('Diário 8º PA'!$P$5:$P$2488=M$1),('Diário 8º PA'!$F$5:$F$2488))</f>
        <v>0</v>
      </c>
      <c r="N84" s="185">
        <f>SUMPRODUCT(-('Diário 5º PA'!$E$5:$E$2634='Analítico Cx.'!$B84),-('Diário 5º PA'!$P$5:$P$2634=N$1),('Diário 5º PA'!$F$5:$F$2634))+
SUMPRODUCT(-('Diário 6º PA'!$E$5:$E$2246='Analítico Cx.'!$B84),-('Diário 6º PA'!$P$5:$P$2246=N$1),('Diário 6º PA'!$F$5:$F$2246))+
SUMPRODUCT(-('Diário 7º PA'!$E$5:$E$2271='Analítico Cx.'!$B84),-('Diário 7º PA'!$P$5:$P$2271=N$1),('Diário 7º PA'!$F$5:$F$2271))+
SUMPRODUCT(-('Diário 8º PA'!$E$5:$E$2488='Analítico Cx.'!$B84),-('Diário 8º PA'!$P$5:$P$2488=N$1),('Diário 8º PA'!$F$5:$F$2488))</f>
        <v>0</v>
      </c>
      <c r="O84" s="186">
        <f t="shared" si="16"/>
        <v>0</v>
      </c>
      <c r="P84" s="187">
        <f t="shared" si="17"/>
        <v>0</v>
      </c>
      <c r="Q84" s="34"/>
      <c r="R84" s="34"/>
      <c r="S84" s="34"/>
      <c r="T84" s="34"/>
      <c r="U84" s="34"/>
      <c r="V84" s="34"/>
      <c r="W84" s="34"/>
      <c r="X84" s="34"/>
      <c r="Y84" s="34"/>
      <c r="Z84" s="34"/>
    </row>
    <row r="85" spans="1:26" ht="23.25" customHeight="1" x14ac:dyDescent="0.2">
      <c r="A85" s="203" t="s">
        <v>261</v>
      </c>
      <c r="B85" s="72" t="s">
        <v>262</v>
      </c>
      <c r="C85" s="185">
        <f>SUMPRODUCT(-('Diário 5º PA'!$E$5:$E$2634='Analítico Cx.'!$B85),-('Diário 5º PA'!$P$5:$P$2634=C$1),('Diário 5º PA'!$F$5:$F$2634))+
SUMPRODUCT(-('Diário 6º PA'!$E$5:$E$2246='Analítico Cx.'!$B85),-('Diário 6º PA'!$P$5:$P$2246=C$1),('Diário 6º PA'!$F$5:$F$2246))+
SUMPRODUCT(-('Diário 7º PA'!$E$5:$E$2271='Analítico Cx.'!$B85),-('Diário 7º PA'!$P$5:$P$2271=C$1),('Diário 7º PA'!$F$5:$F$2271))+
SUMPRODUCT(-('Diário 8º PA'!$E$5:$E$2488='Analítico Cx.'!$B85),-('Diário 8º PA'!$P$5:$P$2488=C$1),('Diário 8º PA'!$F$5:$F$2488))</f>
        <v>15058.740000000002</v>
      </c>
      <c r="D85" s="185">
        <f>SUMPRODUCT(-('Diário 5º PA'!$E$5:$E$2634='Analítico Cx.'!$B85),-('Diário 5º PA'!$P$5:$P$2634=D$1),('Diário 5º PA'!$F$5:$F$2634))+
SUMPRODUCT(-('Diário 6º PA'!$E$5:$E$2246='Analítico Cx.'!$B85),-('Diário 6º PA'!$P$5:$P$2246=D$1),('Diário 6º PA'!$F$5:$F$2246))+
SUMPRODUCT(-('Diário 7º PA'!$E$5:$E$2271='Analítico Cx.'!$B85),-('Diário 7º PA'!$P$5:$P$2271=D$1),('Diário 7º PA'!$F$5:$F$2271))+
SUMPRODUCT(-('Diário 8º PA'!$E$5:$E$2488='Analítico Cx.'!$B85),-('Diário 8º PA'!$P$5:$P$2488=D$1),('Diário 8º PA'!$F$5:$F$2488))</f>
        <v>31377.98</v>
      </c>
      <c r="E85" s="185">
        <f>SUMPRODUCT(-('Diário 5º PA'!$E$5:$E$2634='Analítico Cx.'!$B85),-('Diário 5º PA'!$P$5:$P$2634=E$1),('Diário 5º PA'!$F$5:$F$2634))+
SUMPRODUCT(-('Diário 6º PA'!$E$5:$E$2246='Analítico Cx.'!$B85),-('Diário 6º PA'!$P$5:$P$2246=E$1),('Diário 6º PA'!$F$5:$F$2246))+
SUMPRODUCT(-('Diário 7º PA'!$E$5:$E$2271='Analítico Cx.'!$B85),-('Diário 7º PA'!$P$5:$P$2271=E$1),('Diário 7º PA'!$F$5:$F$2271))+
SUMPRODUCT(-('Diário 8º PA'!$E$5:$E$2488='Analítico Cx.'!$B85),-('Diário 8º PA'!$P$5:$P$2488=E$1),('Diário 8º PA'!$F$5:$F$2488))</f>
        <v>15938.92</v>
      </c>
      <c r="F85" s="185">
        <f>SUMPRODUCT(-('Diário 5º PA'!$E$5:$E$2634='Analítico Cx.'!$B85),-('Diário 5º PA'!$P$5:$P$2634=F$1),('Diário 5º PA'!$F$5:$F$2634))+
SUMPRODUCT(-('Diário 6º PA'!$E$5:$E$2246='Analítico Cx.'!$B85),-('Diário 6º PA'!$P$5:$P$2246=F$1),('Diário 6º PA'!$F$5:$F$2246))+
SUMPRODUCT(-('Diário 7º PA'!$E$5:$E$2271='Analítico Cx.'!$B85),-('Diário 7º PA'!$P$5:$P$2271=F$1),('Diário 7º PA'!$F$5:$F$2271))+
SUMPRODUCT(-('Diário 8º PA'!$E$5:$E$2488='Analítico Cx.'!$B85),-('Diário 8º PA'!$P$5:$P$2488=F$1),('Diário 8º PA'!$F$5:$F$2488))</f>
        <v>15181.380000000001</v>
      </c>
      <c r="G85" s="185">
        <f>SUMPRODUCT(-('Diário 5º PA'!$E$5:$E$2634='Analítico Cx.'!$B85),-('Diário 5º PA'!$P$5:$P$2634=G$1),('Diário 5º PA'!$F$5:$F$2634))+
SUMPRODUCT(-('Diário 6º PA'!$E$5:$E$2246='Analítico Cx.'!$B85),-('Diário 6º PA'!$P$5:$P$2246=G$1),('Diário 6º PA'!$F$5:$F$2246))+
SUMPRODUCT(-('Diário 7º PA'!$E$5:$E$2271='Analítico Cx.'!$B85),-('Diário 7º PA'!$P$5:$P$2271=G$1),('Diário 7º PA'!$F$5:$F$2271))+
SUMPRODUCT(-('Diário 8º PA'!$E$5:$E$2488='Analítico Cx.'!$B85),-('Diário 8º PA'!$P$5:$P$2488=G$1),('Diário 8º PA'!$F$5:$F$2488))</f>
        <v>40481.29</v>
      </c>
      <c r="H85" s="185">
        <f>SUMPRODUCT(-('Diário 5º PA'!$E$5:$E$2634='Analítico Cx.'!$B85),-('Diário 5º PA'!$P$5:$P$2634=H$1),('Diário 5º PA'!$F$5:$F$2634))+
SUMPRODUCT(-('Diário 6º PA'!$E$5:$E$2246='Analítico Cx.'!$B85),-('Diário 6º PA'!$P$5:$P$2246=H$1),('Diário 6º PA'!$F$5:$F$2246))+
SUMPRODUCT(-('Diário 7º PA'!$E$5:$E$2271='Analítico Cx.'!$B85),-('Diário 7º PA'!$P$5:$P$2271=H$1),('Diário 7º PA'!$F$5:$F$2271))+
SUMPRODUCT(-('Diário 8º PA'!$E$5:$E$2488='Analítico Cx.'!$B85),-('Diário 8º PA'!$P$5:$P$2488=H$1),('Diário 8º PA'!$F$5:$F$2488))</f>
        <v>20807.27</v>
      </c>
      <c r="I85" s="185">
        <f>SUMPRODUCT(-('Diário 5º PA'!$E$5:$E$2634='Analítico Cx.'!$B85),-('Diário 5º PA'!$P$5:$P$2634=I$1),('Diário 5º PA'!$F$5:$F$2634))+
SUMPRODUCT(-('Diário 6º PA'!$E$5:$E$2246='Analítico Cx.'!$B85),-('Diário 6º PA'!$P$5:$P$2246=I$1),('Diário 6º PA'!$F$5:$F$2246))+
SUMPRODUCT(-('Diário 7º PA'!$E$5:$E$2271='Analítico Cx.'!$B85),-('Diário 7º PA'!$P$5:$P$2271=I$1),('Diário 7º PA'!$F$5:$F$2271))+
SUMPRODUCT(-('Diário 8º PA'!$E$5:$E$2488='Analítico Cx.'!$B85),-('Diário 8º PA'!$P$5:$P$2488=I$1),('Diário 8º PA'!$F$5:$F$2488))</f>
        <v>22135.960000000003</v>
      </c>
      <c r="J85" s="185">
        <f>SUMPRODUCT(-('Diário 5º PA'!$E$5:$E$2634='Analítico Cx.'!$B85),-('Diário 5º PA'!$P$5:$P$2634=J$1),('Diário 5º PA'!$F$5:$F$2634))+
SUMPRODUCT(-('Diário 6º PA'!$E$5:$E$2246='Analítico Cx.'!$B85),-('Diário 6º PA'!$P$5:$P$2246=J$1),('Diário 6º PA'!$F$5:$F$2246))+
SUMPRODUCT(-('Diário 7º PA'!$E$5:$E$2271='Analítico Cx.'!$B85),-('Diário 7º PA'!$P$5:$P$2271=J$1),('Diário 7º PA'!$F$5:$F$2271))+
SUMPRODUCT(-('Diário 8º PA'!$E$5:$E$2488='Analítico Cx.'!$B85),-('Diário 8º PA'!$P$5:$P$2488=J$1),('Diário 8º PA'!$F$5:$F$2488))</f>
        <v>19593.889999999996</v>
      </c>
      <c r="K85" s="185">
        <f>SUMPRODUCT(-('Diário 5º PA'!$E$5:$E$2634='Analítico Cx.'!$B85),-('Diário 5º PA'!$P$5:$P$2634=K$1),('Diário 5º PA'!$F$5:$F$2634))+
SUMPRODUCT(-('Diário 6º PA'!$E$5:$E$2246='Analítico Cx.'!$B85),-('Diário 6º PA'!$P$5:$P$2246=K$1),('Diário 6º PA'!$F$5:$F$2246))+
SUMPRODUCT(-('Diário 7º PA'!$E$5:$E$2271='Analítico Cx.'!$B85),-('Diário 7º PA'!$P$5:$P$2271=K$1),('Diário 7º PA'!$F$5:$F$2271))+
SUMPRODUCT(-('Diário 8º PA'!$E$5:$E$2488='Analítico Cx.'!$B85),-('Diário 8º PA'!$P$5:$P$2488=K$1),('Diário 8º PA'!$F$5:$F$2488))</f>
        <v>14737.38</v>
      </c>
      <c r="L85" s="185">
        <f>SUMPRODUCT(-('Diário 5º PA'!$E$5:$E$2634='Analítico Cx.'!$B85),-('Diário 5º PA'!$P$5:$P$2634=L$1),('Diário 5º PA'!$F$5:$F$2634))+
SUMPRODUCT(-('Diário 6º PA'!$E$5:$E$2246='Analítico Cx.'!$B85),-('Diário 6º PA'!$P$5:$P$2246=L$1),('Diário 6º PA'!$F$5:$F$2246))+
SUMPRODUCT(-('Diário 7º PA'!$E$5:$E$2271='Analítico Cx.'!$B85),-('Diário 7º PA'!$P$5:$P$2271=L$1),('Diário 7º PA'!$F$5:$F$2271))+
SUMPRODUCT(-('Diário 8º PA'!$E$5:$E$2488='Analítico Cx.'!$B85),-('Diário 8º PA'!$P$5:$P$2488=L$1),('Diário 8º PA'!$F$5:$F$2488))</f>
        <v>13208.789999999999</v>
      </c>
      <c r="M85" s="185">
        <f>SUMPRODUCT(-('Diário 5º PA'!$E$5:$E$2634='Analítico Cx.'!$B85),-('Diário 5º PA'!$P$5:$P$2634=M$1),('Diário 5º PA'!$F$5:$F$2634))+
SUMPRODUCT(-('Diário 6º PA'!$E$5:$E$2246='Analítico Cx.'!$B85),-('Diário 6º PA'!$P$5:$P$2246=M$1),('Diário 6º PA'!$F$5:$F$2246))+
SUMPRODUCT(-('Diário 7º PA'!$E$5:$E$2271='Analítico Cx.'!$B85),-('Diário 7º PA'!$P$5:$P$2271=M$1),('Diário 7º PA'!$F$5:$F$2271))+
SUMPRODUCT(-('Diário 8º PA'!$E$5:$E$2488='Analítico Cx.'!$B85),-('Diário 8º PA'!$P$5:$P$2488=M$1),('Diário 8º PA'!$F$5:$F$2488))</f>
        <v>5345.99</v>
      </c>
      <c r="N85" s="185">
        <f>SUMPRODUCT(-('Diário 5º PA'!$E$5:$E$2634='Analítico Cx.'!$B85),-('Diário 5º PA'!$P$5:$P$2634=N$1),('Diário 5º PA'!$F$5:$F$2634))+
SUMPRODUCT(-('Diário 6º PA'!$E$5:$E$2246='Analítico Cx.'!$B85),-('Diário 6º PA'!$P$5:$P$2246=N$1),('Diário 6º PA'!$F$5:$F$2246))+
SUMPRODUCT(-('Diário 7º PA'!$E$5:$E$2271='Analítico Cx.'!$B85),-('Diário 7º PA'!$P$5:$P$2271=N$1),('Diário 7º PA'!$F$5:$F$2271))+
SUMPRODUCT(-('Diário 8º PA'!$E$5:$E$2488='Analítico Cx.'!$B85),-('Diário 8º PA'!$P$5:$P$2488=N$1),('Diário 8º PA'!$F$5:$F$2488))</f>
        <v>3821.4</v>
      </c>
      <c r="O85" s="186">
        <f t="shared" si="16"/>
        <v>217688.98999999996</v>
      </c>
      <c r="P85" s="187">
        <f t="shared" si="17"/>
        <v>2.3097063070411882E-2</v>
      </c>
      <c r="Q85" s="34"/>
      <c r="R85" s="34"/>
      <c r="S85" s="34"/>
      <c r="T85" s="34"/>
      <c r="U85" s="34"/>
      <c r="V85" s="34"/>
      <c r="W85" s="34"/>
      <c r="X85" s="34"/>
      <c r="Y85" s="34"/>
      <c r="Z85" s="34"/>
    </row>
    <row r="86" spans="1:26" ht="23.25" customHeight="1" x14ac:dyDescent="0.2">
      <c r="A86" s="203" t="s">
        <v>263</v>
      </c>
      <c r="B86" s="72" t="s">
        <v>264</v>
      </c>
      <c r="C86" s="185">
        <f>SUMPRODUCT(-('Diário 5º PA'!$E$5:$E$2634='Analítico Cx.'!$B86),-('Diário 5º PA'!$P$5:$P$2634=C$1),('Diário 5º PA'!$F$5:$F$2634))+
SUMPRODUCT(-('Diário 6º PA'!$E$5:$E$2246='Analítico Cx.'!$B86),-('Diário 6º PA'!$P$5:$P$2246=C$1),('Diário 6º PA'!$F$5:$F$2246))+
SUMPRODUCT(-('Diário 7º PA'!$E$5:$E$2271='Analítico Cx.'!$B86),-('Diário 7º PA'!$P$5:$P$2271=C$1),('Diário 7º PA'!$F$5:$F$2271))+
SUMPRODUCT(-('Diário 8º PA'!$E$5:$E$2488='Analítico Cx.'!$B86),-('Diário 8º PA'!$P$5:$P$2488=C$1),('Diário 8º PA'!$F$5:$F$2488))</f>
        <v>0</v>
      </c>
      <c r="D86" s="185">
        <f>SUMPRODUCT(-('Diário 5º PA'!$E$5:$E$2634='Analítico Cx.'!$B86),-('Diário 5º PA'!$P$5:$P$2634=D$1),('Diário 5º PA'!$F$5:$F$2634))+
SUMPRODUCT(-('Diário 6º PA'!$E$5:$E$2246='Analítico Cx.'!$B86),-('Diário 6º PA'!$P$5:$P$2246=D$1),('Diário 6º PA'!$F$5:$F$2246))+
SUMPRODUCT(-('Diário 7º PA'!$E$5:$E$2271='Analítico Cx.'!$B86),-('Diário 7º PA'!$P$5:$P$2271=D$1),('Diário 7º PA'!$F$5:$F$2271))+
SUMPRODUCT(-('Diário 8º PA'!$E$5:$E$2488='Analítico Cx.'!$B86),-('Diário 8º PA'!$P$5:$P$2488=D$1),('Diário 8º PA'!$F$5:$F$2488))</f>
        <v>0</v>
      </c>
      <c r="E86" s="185">
        <f>SUMPRODUCT(-('Diário 5º PA'!$E$5:$E$2634='Analítico Cx.'!$B86),-('Diário 5º PA'!$P$5:$P$2634=E$1),('Diário 5º PA'!$F$5:$F$2634))+
SUMPRODUCT(-('Diário 6º PA'!$E$5:$E$2246='Analítico Cx.'!$B86),-('Diário 6º PA'!$P$5:$P$2246=E$1),('Diário 6º PA'!$F$5:$F$2246))+
SUMPRODUCT(-('Diário 7º PA'!$E$5:$E$2271='Analítico Cx.'!$B86),-('Diário 7º PA'!$P$5:$P$2271=E$1),('Diário 7º PA'!$F$5:$F$2271))+
SUMPRODUCT(-('Diário 8º PA'!$E$5:$E$2488='Analítico Cx.'!$B86),-('Diário 8º PA'!$P$5:$P$2488=E$1),('Diário 8º PA'!$F$5:$F$2488))</f>
        <v>0</v>
      </c>
      <c r="F86" s="185">
        <f>SUMPRODUCT(-('Diário 5º PA'!$E$5:$E$2634='Analítico Cx.'!$B86),-('Diário 5º PA'!$P$5:$P$2634=F$1),('Diário 5º PA'!$F$5:$F$2634))+
SUMPRODUCT(-('Diário 6º PA'!$E$5:$E$2246='Analítico Cx.'!$B86),-('Diário 6º PA'!$P$5:$P$2246=F$1),('Diário 6º PA'!$F$5:$F$2246))+
SUMPRODUCT(-('Diário 7º PA'!$E$5:$E$2271='Analítico Cx.'!$B86),-('Diário 7º PA'!$P$5:$P$2271=F$1),('Diário 7º PA'!$F$5:$F$2271))+
SUMPRODUCT(-('Diário 8º PA'!$E$5:$E$2488='Analítico Cx.'!$B86),-('Diário 8º PA'!$P$5:$P$2488=F$1),('Diário 8º PA'!$F$5:$F$2488))</f>
        <v>0</v>
      </c>
      <c r="G86" s="185">
        <f>SUMPRODUCT(-('Diário 5º PA'!$E$5:$E$2634='Analítico Cx.'!$B86),-('Diário 5º PA'!$P$5:$P$2634=G$1),('Diário 5º PA'!$F$5:$F$2634))+
SUMPRODUCT(-('Diário 6º PA'!$E$5:$E$2246='Analítico Cx.'!$B86),-('Diário 6º PA'!$P$5:$P$2246=G$1),('Diário 6º PA'!$F$5:$F$2246))+
SUMPRODUCT(-('Diário 7º PA'!$E$5:$E$2271='Analítico Cx.'!$B86),-('Diário 7º PA'!$P$5:$P$2271=G$1),('Diário 7º PA'!$F$5:$F$2271))+
SUMPRODUCT(-('Diário 8º PA'!$E$5:$E$2488='Analítico Cx.'!$B86),-('Diário 8º PA'!$P$5:$P$2488=G$1),('Diário 8º PA'!$F$5:$F$2488))</f>
        <v>0</v>
      </c>
      <c r="H86" s="185">
        <f>SUMPRODUCT(-('Diário 5º PA'!$E$5:$E$2634='Analítico Cx.'!$B86),-('Diário 5º PA'!$P$5:$P$2634=H$1),('Diário 5º PA'!$F$5:$F$2634))+
SUMPRODUCT(-('Diário 6º PA'!$E$5:$E$2246='Analítico Cx.'!$B86),-('Diário 6º PA'!$P$5:$P$2246=H$1),('Diário 6º PA'!$F$5:$F$2246))+
SUMPRODUCT(-('Diário 7º PA'!$E$5:$E$2271='Analítico Cx.'!$B86),-('Diário 7º PA'!$P$5:$P$2271=H$1),('Diário 7º PA'!$F$5:$F$2271))+
SUMPRODUCT(-('Diário 8º PA'!$E$5:$E$2488='Analítico Cx.'!$B86),-('Diário 8º PA'!$P$5:$P$2488=H$1),('Diário 8º PA'!$F$5:$F$2488))</f>
        <v>0</v>
      </c>
      <c r="I86" s="185">
        <f>SUMPRODUCT(-('Diário 5º PA'!$E$5:$E$2634='Analítico Cx.'!$B86),-('Diário 5º PA'!$P$5:$P$2634=I$1),('Diário 5º PA'!$F$5:$F$2634))+
SUMPRODUCT(-('Diário 6º PA'!$E$5:$E$2246='Analítico Cx.'!$B86),-('Diário 6º PA'!$P$5:$P$2246=I$1),('Diário 6º PA'!$F$5:$F$2246))+
SUMPRODUCT(-('Diário 7º PA'!$E$5:$E$2271='Analítico Cx.'!$B86),-('Diário 7º PA'!$P$5:$P$2271=I$1),('Diário 7º PA'!$F$5:$F$2271))+
SUMPRODUCT(-('Diário 8º PA'!$E$5:$E$2488='Analítico Cx.'!$B86),-('Diário 8º PA'!$P$5:$P$2488=I$1),('Diário 8º PA'!$F$5:$F$2488))</f>
        <v>0</v>
      </c>
      <c r="J86" s="185">
        <f>SUMPRODUCT(-('Diário 5º PA'!$E$5:$E$2634='Analítico Cx.'!$B86),-('Diário 5º PA'!$P$5:$P$2634=J$1),('Diário 5º PA'!$F$5:$F$2634))+
SUMPRODUCT(-('Diário 6º PA'!$E$5:$E$2246='Analítico Cx.'!$B86),-('Diário 6º PA'!$P$5:$P$2246=J$1),('Diário 6º PA'!$F$5:$F$2246))+
SUMPRODUCT(-('Diário 7º PA'!$E$5:$E$2271='Analítico Cx.'!$B86),-('Diário 7º PA'!$P$5:$P$2271=J$1),('Diário 7º PA'!$F$5:$F$2271))+
SUMPRODUCT(-('Diário 8º PA'!$E$5:$E$2488='Analítico Cx.'!$B86),-('Diário 8º PA'!$P$5:$P$2488=J$1),('Diário 8º PA'!$F$5:$F$2488))</f>
        <v>0</v>
      </c>
      <c r="K86" s="185">
        <f>SUMPRODUCT(-('Diário 5º PA'!$E$5:$E$2634='Analítico Cx.'!$B86),-('Diário 5º PA'!$P$5:$P$2634=K$1),('Diário 5º PA'!$F$5:$F$2634))+
SUMPRODUCT(-('Diário 6º PA'!$E$5:$E$2246='Analítico Cx.'!$B86),-('Diário 6º PA'!$P$5:$P$2246=K$1),('Diário 6º PA'!$F$5:$F$2246))+
SUMPRODUCT(-('Diário 7º PA'!$E$5:$E$2271='Analítico Cx.'!$B86),-('Diário 7º PA'!$P$5:$P$2271=K$1),('Diário 7º PA'!$F$5:$F$2271))+
SUMPRODUCT(-('Diário 8º PA'!$E$5:$E$2488='Analítico Cx.'!$B86),-('Diário 8º PA'!$P$5:$P$2488=K$1),('Diário 8º PA'!$F$5:$F$2488))</f>
        <v>0</v>
      </c>
      <c r="L86" s="185">
        <f>SUMPRODUCT(-('Diário 5º PA'!$E$5:$E$2634='Analítico Cx.'!$B86),-('Diário 5º PA'!$P$5:$P$2634=L$1),('Diário 5º PA'!$F$5:$F$2634))+
SUMPRODUCT(-('Diário 6º PA'!$E$5:$E$2246='Analítico Cx.'!$B86),-('Diário 6º PA'!$P$5:$P$2246=L$1),('Diário 6º PA'!$F$5:$F$2246))+
SUMPRODUCT(-('Diário 7º PA'!$E$5:$E$2271='Analítico Cx.'!$B86),-('Diário 7º PA'!$P$5:$P$2271=L$1),('Diário 7º PA'!$F$5:$F$2271))+
SUMPRODUCT(-('Diário 8º PA'!$E$5:$E$2488='Analítico Cx.'!$B86),-('Diário 8º PA'!$P$5:$P$2488=L$1),('Diário 8º PA'!$F$5:$F$2488))</f>
        <v>0</v>
      </c>
      <c r="M86" s="185">
        <f>SUMPRODUCT(-('Diário 5º PA'!$E$5:$E$2634='Analítico Cx.'!$B86),-('Diário 5º PA'!$P$5:$P$2634=M$1),('Diário 5º PA'!$F$5:$F$2634))+
SUMPRODUCT(-('Diário 6º PA'!$E$5:$E$2246='Analítico Cx.'!$B86),-('Diário 6º PA'!$P$5:$P$2246=M$1),('Diário 6º PA'!$F$5:$F$2246))+
SUMPRODUCT(-('Diário 7º PA'!$E$5:$E$2271='Analítico Cx.'!$B86),-('Diário 7º PA'!$P$5:$P$2271=M$1),('Diário 7º PA'!$F$5:$F$2271))+
SUMPRODUCT(-('Diário 8º PA'!$E$5:$E$2488='Analítico Cx.'!$B86),-('Diário 8º PA'!$P$5:$P$2488=M$1),('Diário 8º PA'!$F$5:$F$2488))</f>
        <v>0</v>
      </c>
      <c r="N86" s="185">
        <f>SUMPRODUCT(-('Diário 5º PA'!$E$5:$E$2634='Analítico Cx.'!$B86),-('Diário 5º PA'!$P$5:$P$2634=N$1),('Diário 5º PA'!$F$5:$F$2634))+
SUMPRODUCT(-('Diário 6º PA'!$E$5:$E$2246='Analítico Cx.'!$B86),-('Diário 6º PA'!$P$5:$P$2246=N$1),('Diário 6º PA'!$F$5:$F$2246))+
SUMPRODUCT(-('Diário 7º PA'!$E$5:$E$2271='Analítico Cx.'!$B86),-('Diário 7º PA'!$P$5:$P$2271=N$1),('Diário 7º PA'!$F$5:$F$2271))+
SUMPRODUCT(-('Diário 8º PA'!$E$5:$E$2488='Analítico Cx.'!$B86),-('Diário 8º PA'!$P$5:$P$2488=N$1),('Diário 8º PA'!$F$5:$F$2488))</f>
        <v>0</v>
      </c>
      <c r="O86" s="186">
        <f t="shared" si="16"/>
        <v>0</v>
      </c>
      <c r="P86" s="187">
        <f t="shared" si="17"/>
        <v>0</v>
      </c>
      <c r="Q86" s="34"/>
      <c r="R86" s="34"/>
      <c r="S86" s="34"/>
      <c r="T86" s="34"/>
      <c r="U86" s="34"/>
      <c r="V86" s="34"/>
      <c r="W86" s="34"/>
      <c r="X86" s="34"/>
      <c r="Y86" s="34"/>
      <c r="Z86" s="34"/>
    </row>
    <row r="87" spans="1:26" ht="23.25" customHeight="1" x14ac:dyDescent="0.2">
      <c r="A87" s="203" t="s">
        <v>265</v>
      </c>
      <c r="B87" s="72" t="s">
        <v>266</v>
      </c>
      <c r="C87" s="185">
        <f>SUMPRODUCT(-('Diário 5º PA'!$E$5:$E$2634='Analítico Cx.'!$B87),-('Diário 5º PA'!$P$5:$P$2634=C$1),('Diário 5º PA'!$F$5:$F$2634))+
SUMPRODUCT(-('Diário 6º PA'!$E$5:$E$2246='Analítico Cx.'!$B87),-('Diário 6º PA'!$P$5:$P$2246=C$1),('Diário 6º PA'!$F$5:$F$2246))+
SUMPRODUCT(-('Diário 7º PA'!$E$5:$E$2271='Analítico Cx.'!$B87),-('Diário 7º PA'!$P$5:$P$2271=C$1),('Diário 7º PA'!$F$5:$F$2271))+
SUMPRODUCT(-('Diário 8º PA'!$E$5:$E$2488='Analítico Cx.'!$B87),-('Diário 8º PA'!$P$5:$P$2488=C$1),('Diário 8º PA'!$F$5:$F$2488))</f>
        <v>12212.25</v>
      </c>
      <c r="D87" s="185">
        <f>SUMPRODUCT(-('Diário 5º PA'!$E$5:$E$2634='Analítico Cx.'!$B87),-('Diário 5º PA'!$P$5:$P$2634=D$1),('Diário 5º PA'!$F$5:$F$2634))+
SUMPRODUCT(-('Diário 6º PA'!$E$5:$E$2246='Analítico Cx.'!$B87),-('Diário 6º PA'!$P$5:$P$2246=D$1),('Diário 6º PA'!$F$5:$F$2246))+
SUMPRODUCT(-('Diário 7º PA'!$E$5:$E$2271='Analítico Cx.'!$B87),-('Diário 7º PA'!$P$5:$P$2271=D$1),('Diário 7º PA'!$F$5:$F$2271))+
SUMPRODUCT(-('Diário 8º PA'!$E$5:$E$2488='Analítico Cx.'!$B87),-('Diário 8º PA'!$P$5:$P$2488=D$1),('Diário 8º PA'!$F$5:$F$2488))</f>
        <v>12583.68</v>
      </c>
      <c r="E87" s="185">
        <f>SUMPRODUCT(-('Diário 5º PA'!$E$5:$E$2634='Analítico Cx.'!$B87),-('Diário 5º PA'!$P$5:$P$2634=E$1),('Diário 5º PA'!$F$5:$F$2634))+
SUMPRODUCT(-('Diário 6º PA'!$E$5:$E$2246='Analítico Cx.'!$B87),-('Diário 6º PA'!$P$5:$P$2246=E$1),('Diário 6º PA'!$F$5:$F$2246))+
SUMPRODUCT(-('Diário 7º PA'!$E$5:$E$2271='Analítico Cx.'!$B87),-('Diário 7º PA'!$P$5:$P$2271=E$1),('Diário 7º PA'!$F$5:$F$2271))+
SUMPRODUCT(-('Diário 8º PA'!$E$5:$E$2488='Analítico Cx.'!$B87),-('Diário 8º PA'!$P$5:$P$2488=E$1),('Diário 8º PA'!$F$5:$F$2488))</f>
        <v>8586.3700000000008</v>
      </c>
      <c r="F87" s="185">
        <f>SUMPRODUCT(-('Diário 5º PA'!$E$5:$E$2634='Analítico Cx.'!$B87),-('Diário 5º PA'!$P$5:$P$2634=F$1),('Diário 5º PA'!$F$5:$F$2634))+
SUMPRODUCT(-('Diário 6º PA'!$E$5:$E$2246='Analítico Cx.'!$B87),-('Diário 6º PA'!$P$5:$P$2246=F$1),('Diário 6º PA'!$F$5:$F$2246))+
SUMPRODUCT(-('Diário 7º PA'!$E$5:$E$2271='Analítico Cx.'!$B87),-('Diário 7º PA'!$P$5:$P$2271=F$1),('Diário 7º PA'!$F$5:$F$2271))+
SUMPRODUCT(-('Diário 8º PA'!$E$5:$E$2488='Analítico Cx.'!$B87),-('Diário 8º PA'!$P$5:$P$2488=F$1),('Diário 8º PA'!$F$5:$F$2488))</f>
        <v>7948.69</v>
      </c>
      <c r="G87" s="185">
        <f>SUMPRODUCT(-('Diário 5º PA'!$E$5:$E$2634='Analítico Cx.'!$B87),-('Diário 5º PA'!$P$5:$P$2634=G$1),('Diário 5º PA'!$F$5:$F$2634))+
SUMPRODUCT(-('Diário 6º PA'!$E$5:$E$2246='Analítico Cx.'!$B87),-('Diário 6º PA'!$P$5:$P$2246=G$1),('Diário 6º PA'!$F$5:$F$2246))+
SUMPRODUCT(-('Diário 7º PA'!$E$5:$E$2271='Analítico Cx.'!$B87),-('Diário 7º PA'!$P$5:$P$2271=G$1),('Diário 7º PA'!$F$5:$F$2271))+
SUMPRODUCT(-('Diário 8º PA'!$E$5:$E$2488='Analítico Cx.'!$B87),-('Diário 8º PA'!$P$5:$P$2488=G$1),('Diário 8º PA'!$F$5:$F$2488))</f>
        <v>1340.31</v>
      </c>
      <c r="H87" s="185">
        <f>SUMPRODUCT(-('Diário 5º PA'!$E$5:$E$2634='Analítico Cx.'!$B87),-('Diário 5º PA'!$P$5:$P$2634=H$1),('Diário 5º PA'!$F$5:$F$2634))+
SUMPRODUCT(-('Diário 6º PA'!$E$5:$E$2246='Analítico Cx.'!$B87),-('Diário 6º PA'!$P$5:$P$2246=H$1),('Diário 6º PA'!$F$5:$F$2246))+
SUMPRODUCT(-('Diário 7º PA'!$E$5:$E$2271='Analítico Cx.'!$B87),-('Diário 7º PA'!$P$5:$P$2271=H$1),('Diário 7º PA'!$F$5:$F$2271))+
SUMPRODUCT(-('Diário 8º PA'!$E$5:$E$2488='Analítico Cx.'!$B87),-('Diário 8º PA'!$P$5:$P$2488=H$1),('Diário 8º PA'!$F$5:$F$2488))</f>
        <v>10359.93</v>
      </c>
      <c r="I87" s="185">
        <f>SUMPRODUCT(-('Diário 5º PA'!$E$5:$E$2634='Analítico Cx.'!$B87),-('Diário 5º PA'!$P$5:$P$2634=I$1),('Diário 5º PA'!$F$5:$F$2634))+
SUMPRODUCT(-('Diário 6º PA'!$E$5:$E$2246='Analítico Cx.'!$B87),-('Diário 6º PA'!$P$5:$P$2246=I$1),('Diário 6º PA'!$F$5:$F$2246))+
SUMPRODUCT(-('Diário 7º PA'!$E$5:$E$2271='Analítico Cx.'!$B87),-('Diário 7º PA'!$P$5:$P$2271=I$1),('Diário 7º PA'!$F$5:$F$2271))+
SUMPRODUCT(-('Diário 8º PA'!$E$5:$E$2488='Analítico Cx.'!$B87),-('Diário 8º PA'!$P$5:$P$2488=I$1),('Diário 8º PA'!$F$5:$F$2488))</f>
        <v>12165.01</v>
      </c>
      <c r="J87" s="185">
        <f>SUMPRODUCT(-('Diário 5º PA'!$E$5:$E$2634='Analítico Cx.'!$B87),-('Diário 5º PA'!$P$5:$P$2634=J$1),('Diário 5º PA'!$F$5:$F$2634))+
SUMPRODUCT(-('Diário 6º PA'!$E$5:$E$2246='Analítico Cx.'!$B87),-('Diário 6º PA'!$P$5:$P$2246=J$1),('Diário 6º PA'!$F$5:$F$2246))+
SUMPRODUCT(-('Diário 7º PA'!$E$5:$E$2271='Analítico Cx.'!$B87),-('Diário 7º PA'!$P$5:$P$2271=J$1),('Diário 7º PA'!$F$5:$F$2271))+
SUMPRODUCT(-('Diário 8º PA'!$E$5:$E$2488='Analítico Cx.'!$B87),-('Diário 8º PA'!$P$5:$P$2488=J$1),('Diário 8º PA'!$F$5:$F$2488))</f>
        <v>12133.89</v>
      </c>
      <c r="K87" s="185">
        <f>SUMPRODUCT(-('Diário 5º PA'!$E$5:$E$2634='Analítico Cx.'!$B87),-('Diário 5º PA'!$P$5:$P$2634=K$1),('Diário 5º PA'!$F$5:$F$2634))+
SUMPRODUCT(-('Diário 6º PA'!$E$5:$E$2246='Analítico Cx.'!$B87),-('Diário 6º PA'!$P$5:$P$2246=K$1),('Diário 6º PA'!$F$5:$F$2246))+
SUMPRODUCT(-('Diário 7º PA'!$E$5:$E$2271='Analítico Cx.'!$B87),-('Diário 7º PA'!$P$5:$P$2271=K$1),('Diário 7º PA'!$F$5:$F$2271))+
SUMPRODUCT(-('Diário 8º PA'!$E$5:$E$2488='Analítico Cx.'!$B87),-('Diário 8º PA'!$P$5:$P$2488=K$1),('Diário 8º PA'!$F$5:$F$2488))</f>
        <v>12154.240000000002</v>
      </c>
      <c r="L87" s="185">
        <f>SUMPRODUCT(-('Diário 5º PA'!$E$5:$E$2634='Analítico Cx.'!$B87),-('Diário 5º PA'!$P$5:$P$2634=L$1),('Diário 5º PA'!$F$5:$F$2634))+
SUMPRODUCT(-('Diário 6º PA'!$E$5:$E$2246='Analítico Cx.'!$B87),-('Diário 6º PA'!$P$5:$P$2246=L$1),('Diário 6º PA'!$F$5:$F$2246))+
SUMPRODUCT(-('Diário 7º PA'!$E$5:$E$2271='Analítico Cx.'!$B87),-('Diário 7º PA'!$P$5:$P$2271=L$1),('Diário 7º PA'!$F$5:$F$2271))+
SUMPRODUCT(-('Diário 8º PA'!$E$5:$E$2488='Analítico Cx.'!$B87),-('Diário 8º PA'!$P$5:$P$2488=L$1),('Diário 8º PA'!$F$5:$F$2488))</f>
        <v>7105.2900000000009</v>
      </c>
      <c r="M87" s="185">
        <f>SUMPRODUCT(-('Diário 5º PA'!$E$5:$E$2634='Analítico Cx.'!$B87),-('Diário 5º PA'!$P$5:$P$2634=M$1),('Diário 5º PA'!$F$5:$F$2634))+
SUMPRODUCT(-('Diário 6º PA'!$E$5:$E$2246='Analítico Cx.'!$B87),-('Diário 6º PA'!$P$5:$P$2246=M$1),('Diário 6º PA'!$F$5:$F$2246))+
SUMPRODUCT(-('Diário 7º PA'!$E$5:$E$2271='Analítico Cx.'!$B87),-('Diário 7º PA'!$P$5:$P$2271=M$1),('Diário 7º PA'!$F$5:$F$2271))+
SUMPRODUCT(-('Diário 8º PA'!$E$5:$E$2488='Analítico Cx.'!$B87),-('Diário 8º PA'!$P$5:$P$2488=M$1),('Diário 8º PA'!$F$5:$F$2488))</f>
        <v>6180.01</v>
      </c>
      <c r="N87" s="185">
        <f>SUMPRODUCT(-('Diário 5º PA'!$E$5:$E$2634='Analítico Cx.'!$B87),-('Diário 5º PA'!$P$5:$P$2634=N$1),('Diário 5º PA'!$F$5:$F$2634))+
SUMPRODUCT(-('Diário 6º PA'!$E$5:$E$2246='Analítico Cx.'!$B87),-('Diário 6º PA'!$P$5:$P$2246=N$1),('Diário 6º PA'!$F$5:$F$2246))+
SUMPRODUCT(-('Diário 7º PA'!$E$5:$E$2271='Analítico Cx.'!$B87),-('Diário 7º PA'!$P$5:$P$2271=N$1),('Diário 7º PA'!$F$5:$F$2271))+
SUMPRODUCT(-('Diário 8º PA'!$E$5:$E$2488='Analítico Cx.'!$B87),-('Diário 8º PA'!$P$5:$P$2488=N$1),('Diário 8º PA'!$F$5:$F$2488))</f>
        <v>6168.04</v>
      </c>
      <c r="O87" s="186">
        <f t="shared" si="16"/>
        <v>108937.70999999999</v>
      </c>
      <c r="P87" s="187">
        <f t="shared" si="17"/>
        <v>1.1558421758565921E-2</v>
      </c>
      <c r="Q87" s="34"/>
      <c r="R87" s="34"/>
      <c r="S87" s="34"/>
      <c r="T87" s="34"/>
      <c r="U87" s="34"/>
      <c r="V87" s="34"/>
      <c r="W87" s="34"/>
      <c r="X87" s="34"/>
      <c r="Y87" s="34"/>
      <c r="Z87" s="34"/>
    </row>
    <row r="88" spans="1:26" ht="23.25" customHeight="1" x14ac:dyDescent="0.2">
      <c r="A88" s="203" t="s">
        <v>267</v>
      </c>
      <c r="B88" s="72" t="s">
        <v>268</v>
      </c>
      <c r="C88" s="185">
        <f>SUMPRODUCT(-('Diário 5º PA'!$E$5:$E$2634='Analítico Cx.'!$B88),-('Diário 5º PA'!$P$5:$P$2634=C$1),('Diário 5º PA'!$F$5:$F$2634))+
SUMPRODUCT(-('Diário 6º PA'!$E$5:$E$2246='Analítico Cx.'!$B88),-('Diário 6º PA'!$P$5:$P$2246=C$1),('Diário 6º PA'!$F$5:$F$2246))+
SUMPRODUCT(-('Diário 7º PA'!$E$5:$E$2271='Analítico Cx.'!$B88),-('Diário 7º PA'!$P$5:$P$2271=C$1),('Diário 7º PA'!$F$5:$F$2271))+
SUMPRODUCT(-('Diário 8º PA'!$E$5:$E$2488='Analítico Cx.'!$B88),-('Diário 8º PA'!$P$5:$P$2488=C$1),('Diário 8º PA'!$F$5:$F$2488))</f>
        <v>0</v>
      </c>
      <c r="D88" s="185">
        <f>SUMPRODUCT(-('Diário 5º PA'!$E$5:$E$2634='Analítico Cx.'!$B88),-('Diário 5º PA'!$P$5:$P$2634=D$1),('Diário 5º PA'!$F$5:$F$2634))+
SUMPRODUCT(-('Diário 6º PA'!$E$5:$E$2246='Analítico Cx.'!$B88),-('Diário 6º PA'!$P$5:$P$2246=D$1),('Diário 6º PA'!$F$5:$F$2246))+
SUMPRODUCT(-('Diário 7º PA'!$E$5:$E$2271='Analítico Cx.'!$B88),-('Diário 7º PA'!$P$5:$P$2271=D$1),('Diário 7º PA'!$F$5:$F$2271))+
SUMPRODUCT(-('Diário 8º PA'!$E$5:$E$2488='Analítico Cx.'!$B88),-('Diário 8º PA'!$P$5:$P$2488=D$1),('Diário 8º PA'!$F$5:$F$2488))</f>
        <v>0</v>
      </c>
      <c r="E88" s="185">
        <f>SUMPRODUCT(-('Diário 5º PA'!$E$5:$E$2634='Analítico Cx.'!$B88),-('Diário 5º PA'!$P$5:$P$2634=E$1),('Diário 5º PA'!$F$5:$F$2634))+
SUMPRODUCT(-('Diário 6º PA'!$E$5:$E$2246='Analítico Cx.'!$B88),-('Diário 6º PA'!$P$5:$P$2246=E$1),('Diário 6º PA'!$F$5:$F$2246))+
SUMPRODUCT(-('Diário 7º PA'!$E$5:$E$2271='Analítico Cx.'!$B88),-('Diário 7º PA'!$P$5:$P$2271=E$1),('Diário 7º PA'!$F$5:$F$2271))+
SUMPRODUCT(-('Diário 8º PA'!$E$5:$E$2488='Analítico Cx.'!$B88),-('Diário 8º PA'!$P$5:$P$2488=E$1),('Diário 8º PA'!$F$5:$F$2488))</f>
        <v>0</v>
      </c>
      <c r="F88" s="185">
        <f>SUMPRODUCT(-('Diário 5º PA'!$E$5:$E$2634='Analítico Cx.'!$B88),-('Diário 5º PA'!$P$5:$P$2634=F$1),('Diário 5º PA'!$F$5:$F$2634))+
SUMPRODUCT(-('Diário 6º PA'!$E$5:$E$2246='Analítico Cx.'!$B88),-('Diário 6º PA'!$P$5:$P$2246=F$1),('Diário 6º PA'!$F$5:$F$2246))+
SUMPRODUCT(-('Diário 7º PA'!$E$5:$E$2271='Analítico Cx.'!$B88),-('Diário 7º PA'!$P$5:$P$2271=F$1),('Diário 7º PA'!$F$5:$F$2271))+
SUMPRODUCT(-('Diário 8º PA'!$E$5:$E$2488='Analítico Cx.'!$B88),-('Diário 8º PA'!$P$5:$P$2488=F$1),('Diário 8º PA'!$F$5:$F$2488))</f>
        <v>0</v>
      </c>
      <c r="G88" s="185">
        <f>SUMPRODUCT(-('Diário 5º PA'!$E$5:$E$2634='Analítico Cx.'!$B88),-('Diário 5º PA'!$P$5:$P$2634=G$1),('Diário 5º PA'!$F$5:$F$2634))+
SUMPRODUCT(-('Diário 6º PA'!$E$5:$E$2246='Analítico Cx.'!$B88),-('Diário 6º PA'!$P$5:$P$2246=G$1),('Diário 6º PA'!$F$5:$F$2246))+
SUMPRODUCT(-('Diário 7º PA'!$E$5:$E$2271='Analítico Cx.'!$B88),-('Diário 7º PA'!$P$5:$P$2271=G$1),('Diário 7º PA'!$F$5:$F$2271))+
SUMPRODUCT(-('Diário 8º PA'!$E$5:$E$2488='Analítico Cx.'!$B88),-('Diário 8º PA'!$P$5:$P$2488=G$1),('Diário 8º PA'!$F$5:$F$2488))</f>
        <v>0</v>
      </c>
      <c r="H88" s="185">
        <f>SUMPRODUCT(-('Diário 5º PA'!$E$5:$E$2634='Analítico Cx.'!$B88),-('Diário 5º PA'!$P$5:$P$2634=H$1),('Diário 5º PA'!$F$5:$F$2634))+
SUMPRODUCT(-('Diário 6º PA'!$E$5:$E$2246='Analítico Cx.'!$B88),-('Diário 6º PA'!$P$5:$P$2246=H$1),('Diário 6º PA'!$F$5:$F$2246))+
SUMPRODUCT(-('Diário 7º PA'!$E$5:$E$2271='Analítico Cx.'!$B88),-('Diário 7º PA'!$P$5:$P$2271=H$1),('Diário 7º PA'!$F$5:$F$2271))+
SUMPRODUCT(-('Diário 8º PA'!$E$5:$E$2488='Analítico Cx.'!$B88),-('Diário 8º PA'!$P$5:$P$2488=H$1),('Diário 8º PA'!$F$5:$F$2488))</f>
        <v>0</v>
      </c>
      <c r="I88" s="185">
        <f>SUMPRODUCT(-('Diário 5º PA'!$E$5:$E$2634='Analítico Cx.'!$B88),-('Diário 5º PA'!$P$5:$P$2634=I$1),('Diário 5º PA'!$F$5:$F$2634))+
SUMPRODUCT(-('Diário 6º PA'!$E$5:$E$2246='Analítico Cx.'!$B88),-('Diário 6º PA'!$P$5:$P$2246=I$1),('Diário 6º PA'!$F$5:$F$2246))+
SUMPRODUCT(-('Diário 7º PA'!$E$5:$E$2271='Analítico Cx.'!$B88),-('Diário 7º PA'!$P$5:$P$2271=I$1),('Diário 7º PA'!$F$5:$F$2271))+
SUMPRODUCT(-('Diário 8º PA'!$E$5:$E$2488='Analítico Cx.'!$B88),-('Diário 8º PA'!$P$5:$P$2488=I$1),('Diário 8º PA'!$F$5:$F$2488))</f>
        <v>0</v>
      </c>
      <c r="J88" s="185">
        <f>SUMPRODUCT(-('Diário 5º PA'!$E$5:$E$2634='Analítico Cx.'!$B88),-('Diário 5º PA'!$P$5:$P$2634=J$1),('Diário 5º PA'!$F$5:$F$2634))+
SUMPRODUCT(-('Diário 6º PA'!$E$5:$E$2246='Analítico Cx.'!$B88),-('Diário 6º PA'!$P$5:$P$2246=J$1),('Diário 6º PA'!$F$5:$F$2246))+
SUMPRODUCT(-('Diário 7º PA'!$E$5:$E$2271='Analítico Cx.'!$B88),-('Diário 7º PA'!$P$5:$P$2271=J$1),('Diário 7º PA'!$F$5:$F$2271))+
SUMPRODUCT(-('Diário 8º PA'!$E$5:$E$2488='Analítico Cx.'!$B88),-('Diário 8º PA'!$P$5:$P$2488=J$1),('Diário 8º PA'!$F$5:$F$2488))</f>
        <v>0</v>
      </c>
      <c r="K88" s="185">
        <f>SUMPRODUCT(-('Diário 5º PA'!$E$5:$E$2634='Analítico Cx.'!$B88),-('Diário 5º PA'!$P$5:$P$2634=K$1),('Diário 5º PA'!$F$5:$F$2634))+
SUMPRODUCT(-('Diário 6º PA'!$E$5:$E$2246='Analítico Cx.'!$B88),-('Diário 6º PA'!$P$5:$P$2246=K$1),('Diário 6º PA'!$F$5:$F$2246))+
SUMPRODUCT(-('Diário 7º PA'!$E$5:$E$2271='Analítico Cx.'!$B88),-('Diário 7º PA'!$P$5:$P$2271=K$1),('Diário 7º PA'!$F$5:$F$2271))+
SUMPRODUCT(-('Diário 8º PA'!$E$5:$E$2488='Analítico Cx.'!$B88),-('Diário 8º PA'!$P$5:$P$2488=K$1),('Diário 8º PA'!$F$5:$F$2488))</f>
        <v>0</v>
      </c>
      <c r="L88" s="185">
        <f>SUMPRODUCT(-('Diário 5º PA'!$E$5:$E$2634='Analítico Cx.'!$B88),-('Diário 5º PA'!$P$5:$P$2634=L$1),('Diário 5º PA'!$F$5:$F$2634))+
SUMPRODUCT(-('Diário 6º PA'!$E$5:$E$2246='Analítico Cx.'!$B88),-('Diário 6º PA'!$P$5:$P$2246=L$1),('Diário 6º PA'!$F$5:$F$2246))+
SUMPRODUCT(-('Diário 7º PA'!$E$5:$E$2271='Analítico Cx.'!$B88),-('Diário 7º PA'!$P$5:$P$2271=L$1),('Diário 7º PA'!$F$5:$F$2271))+
SUMPRODUCT(-('Diário 8º PA'!$E$5:$E$2488='Analítico Cx.'!$B88),-('Diário 8º PA'!$P$5:$P$2488=L$1),('Diário 8º PA'!$F$5:$F$2488))</f>
        <v>0</v>
      </c>
      <c r="M88" s="185">
        <f>SUMPRODUCT(-('Diário 5º PA'!$E$5:$E$2634='Analítico Cx.'!$B88),-('Diário 5º PA'!$P$5:$P$2634=M$1),('Diário 5º PA'!$F$5:$F$2634))+
SUMPRODUCT(-('Diário 6º PA'!$E$5:$E$2246='Analítico Cx.'!$B88),-('Diário 6º PA'!$P$5:$P$2246=M$1),('Diário 6º PA'!$F$5:$F$2246))+
SUMPRODUCT(-('Diário 7º PA'!$E$5:$E$2271='Analítico Cx.'!$B88),-('Diário 7º PA'!$P$5:$P$2271=M$1),('Diário 7º PA'!$F$5:$F$2271))+
SUMPRODUCT(-('Diário 8º PA'!$E$5:$E$2488='Analítico Cx.'!$B88),-('Diário 8º PA'!$P$5:$P$2488=M$1),('Diário 8º PA'!$F$5:$F$2488))</f>
        <v>0</v>
      </c>
      <c r="N88" s="185">
        <f>SUMPRODUCT(-('Diário 5º PA'!$E$5:$E$2634='Analítico Cx.'!$B88),-('Diário 5º PA'!$P$5:$P$2634=N$1),('Diário 5º PA'!$F$5:$F$2634))+
SUMPRODUCT(-('Diário 6º PA'!$E$5:$E$2246='Analítico Cx.'!$B88),-('Diário 6º PA'!$P$5:$P$2246=N$1),('Diário 6º PA'!$F$5:$F$2246))+
SUMPRODUCT(-('Diário 7º PA'!$E$5:$E$2271='Analítico Cx.'!$B88),-('Diário 7º PA'!$P$5:$P$2271=N$1),('Diário 7º PA'!$F$5:$F$2271))+
SUMPRODUCT(-('Diário 8º PA'!$E$5:$E$2488='Analítico Cx.'!$B88),-('Diário 8º PA'!$P$5:$P$2488=N$1),('Diário 8º PA'!$F$5:$F$2488))</f>
        <v>0</v>
      </c>
      <c r="O88" s="186">
        <f t="shared" si="16"/>
        <v>0</v>
      </c>
      <c r="P88" s="187">
        <f t="shared" si="17"/>
        <v>0</v>
      </c>
      <c r="Q88" s="34"/>
      <c r="R88" s="34"/>
      <c r="S88" s="34"/>
      <c r="T88" s="34"/>
      <c r="U88" s="34"/>
      <c r="V88" s="34"/>
      <c r="W88" s="34"/>
      <c r="X88" s="34"/>
      <c r="Y88" s="34"/>
      <c r="Z88" s="34"/>
    </row>
    <row r="89" spans="1:26" ht="23.25" customHeight="1" x14ac:dyDescent="0.2">
      <c r="A89" s="203" t="s">
        <v>269</v>
      </c>
      <c r="B89" s="72" t="s">
        <v>270</v>
      </c>
      <c r="C89" s="185">
        <f>SUMPRODUCT(-('Diário 5º PA'!$E$5:$E$2634='Analítico Cx.'!$B89),-('Diário 5º PA'!$P$5:$P$2634=C$1),('Diário 5º PA'!$F$5:$F$2634))+
SUMPRODUCT(-('Diário 6º PA'!$E$5:$E$2246='Analítico Cx.'!$B89),-('Diário 6º PA'!$P$5:$P$2246=C$1),('Diário 6º PA'!$F$5:$F$2246))+
SUMPRODUCT(-('Diário 7º PA'!$E$5:$E$2271='Analítico Cx.'!$B89),-('Diário 7º PA'!$P$5:$P$2271=C$1),('Diário 7º PA'!$F$5:$F$2271))+
SUMPRODUCT(-('Diário 8º PA'!$E$5:$E$2488='Analítico Cx.'!$B89),-('Diário 8º PA'!$P$5:$P$2488=C$1),('Diário 8º PA'!$F$5:$F$2488))</f>
        <v>110.87</v>
      </c>
      <c r="D89" s="185">
        <f>SUMPRODUCT(-('Diário 5º PA'!$E$5:$E$2634='Analítico Cx.'!$B89),-('Diário 5º PA'!$P$5:$P$2634=D$1),('Diário 5º PA'!$F$5:$F$2634))+
SUMPRODUCT(-('Diário 6º PA'!$E$5:$E$2246='Analítico Cx.'!$B89),-('Diário 6º PA'!$P$5:$P$2246=D$1),('Diário 6º PA'!$F$5:$F$2246))+
SUMPRODUCT(-('Diário 7º PA'!$E$5:$E$2271='Analítico Cx.'!$B89),-('Diário 7º PA'!$P$5:$P$2271=D$1),('Diário 7º PA'!$F$5:$F$2271))+
SUMPRODUCT(-('Diário 8º PA'!$E$5:$E$2488='Analítico Cx.'!$B89),-('Diário 8º PA'!$P$5:$P$2488=D$1),('Diário 8º PA'!$F$5:$F$2488))</f>
        <v>228.9</v>
      </c>
      <c r="E89" s="185">
        <f>SUMPRODUCT(-('Diário 5º PA'!$E$5:$E$2634='Analítico Cx.'!$B89),-('Diário 5º PA'!$P$5:$P$2634=E$1),('Diário 5º PA'!$F$5:$F$2634))+
SUMPRODUCT(-('Diário 6º PA'!$E$5:$E$2246='Analítico Cx.'!$B89),-('Diário 6º PA'!$P$5:$P$2246=E$1),('Diário 6º PA'!$F$5:$F$2246))+
SUMPRODUCT(-('Diário 7º PA'!$E$5:$E$2271='Analítico Cx.'!$B89),-('Diário 7º PA'!$P$5:$P$2271=E$1),('Diário 7º PA'!$F$5:$F$2271))+
SUMPRODUCT(-('Diário 8º PA'!$E$5:$E$2488='Analítico Cx.'!$B89),-('Diário 8º PA'!$P$5:$P$2488=E$1),('Diário 8º PA'!$F$5:$F$2488))</f>
        <v>431.87</v>
      </c>
      <c r="F89" s="185">
        <f>SUMPRODUCT(-('Diário 5º PA'!$E$5:$E$2634='Analítico Cx.'!$B89),-('Diário 5º PA'!$P$5:$P$2634=F$1),('Diário 5º PA'!$F$5:$F$2634))+
SUMPRODUCT(-('Diário 6º PA'!$E$5:$E$2246='Analítico Cx.'!$B89),-('Diário 6º PA'!$P$5:$P$2246=F$1),('Diário 6º PA'!$F$5:$F$2246))+
SUMPRODUCT(-('Diário 7º PA'!$E$5:$E$2271='Analítico Cx.'!$B89),-('Diário 7º PA'!$P$5:$P$2271=F$1),('Diário 7º PA'!$F$5:$F$2271))+
SUMPRODUCT(-('Diário 8º PA'!$E$5:$E$2488='Analítico Cx.'!$B89),-('Diário 8º PA'!$P$5:$P$2488=F$1),('Diário 8º PA'!$F$5:$F$2488))</f>
        <v>207.75</v>
      </c>
      <c r="G89" s="185">
        <f>SUMPRODUCT(-('Diário 5º PA'!$E$5:$E$2634='Analítico Cx.'!$B89),-('Diário 5º PA'!$P$5:$P$2634=G$1),('Diário 5º PA'!$F$5:$F$2634))+
SUMPRODUCT(-('Diário 6º PA'!$E$5:$E$2246='Analítico Cx.'!$B89),-('Diário 6º PA'!$P$5:$P$2246=G$1),('Diário 6º PA'!$F$5:$F$2246))+
SUMPRODUCT(-('Diário 7º PA'!$E$5:$E$2271='Analítico Cx.'!$B89),-('Diário 7º PA'!$P$5:$P$2271=G$1),('Diário 7º PA'!$F$5:$F$2271))+
SUMPRODUCT(-('Diário 8º PA'!$E$5:$E$2488='Analítico Cx.'!$B89),-('Diário 8º PA'!$P$5:$P$2488=G$1),('Diário 8º PA'!$F$5:$F$2488))</f>
        <v>0</v>
      </c>
      <c r="H89" s="185">
        <f>SUMPRODUCT(-('Diário 5º PA'!$E$5:$E$2634='Analítico Cx.'!$B89),-('Diário 5º PA'!$P$5:$P$2634=H$1),('Diário 5º PA'!$F$5:$F$2634))+
SUMPRODUCT(-('Diário 6º PA'!$E$5:$E$2246='Analítico Cx.'!$B89),-('Diário 6º PA'!$P$5:$P$2246=H$1),('Diário 6º PA'!$F$5:$F$2246))+
SUMPRODUCT(-('Diário 7º PA'!$E$5:$E$2271='Analítico Cx.'!$B89),-('Diário 7º PA'!$P$5:$P$2271=H$1),('Diário 7º PA'!$F$5:$F$2271))+
SUMPRODUCT(-('Diário 8º PA'!$E$5:$E$2488='Analítico Cx.'!$B89),-('Diário 8º PA'!$P$5:$P$2488=H$1),('Diário 8º PA'!$F$5:$F$2488))</f>
        <v>0</v>
      </c>
      <c r="I89" s="185">
        <f>SUMPRODUCT(-('Diário 5º PA'!$E$5:$E$2634='Analítico Cx.'!$B89),-('Diário 5º PA'!$P$5:$P$2634=I$1),('Diário 5º PA'!$F$5:$F$2634))+
SUMPRODUCT(-('Diário 6º PA'!$E$5:$E$2246='Analítico Cx.'!$B89),-('Diário 6º PA'!$P$5:$P$2246=I$1),('Diário 6º PA'!$F$5:$F$2246))+
SUMPRODUCT(-('Diário 7º PA'!$E$5:$E$2271='Analítico Cx.'!$B89),-('Diário 7º PA'!$P$5:$P$2271=I$1),('Diário 7º PA'!$F$5:$F$2271))+
SUMPRODUCT(-('Diário 8º PA'!$E$5:$E$2488='Analítico Cx.'!$B89),-('Diário 8º PA'!$P$5:$P$2488=I$1),('Diário 8º PA'!$F$5:$F$2488))</f>
        <v>0</v>
      </c>
      <c r="J89" s="185">
        <f>SUMPRODUCT(-('Diário 5º PA'!$E$5:$E$2634='Analítico Cx.'!$B89),-('Diário 5º PA'!$P$5:$P$2634=J$1),('Diário 5º PA'!$F$5:$F$2634))+
SUMPRODUCT(-('Diário 6º PA'!$E$5:$E$2246='Analítico Cx.'!$B89),-('Diário 6º PA'!$P$5:$P$2246=J$1),('Diário 6º PA'!$F$5:$F$2246))+
SUMPRODUCT(-('Diário 7º PA'!$E$5:$E$2271='Analítico Cx.'!$B89),-('Diário 7º PA'!$P$5:$P$2271=J$1),('Diário 7º PA'!$F$5:$F$2271))+
SUMPRODUCT(-('Diário 8º PA'!$E$5:$E$2488='Analítico Cx.'!$B89),-('Diário 8º PA'!$P$5:$P$2488=J$1),('Diário 8º PA'!$F$5:$F$2488))</f>
        <v>0</v>
      </c>
      <c r="K89" s="185">
        <f>SUMPRODUCT(-('Diário 5º PA'!$E$5:$E$2634='Analítico Cx.'!$B89),-('Diário 5º PA'!$P$5:$P$2634=K$1),('Diário 5º PA'!$F$5:$F$2634))+
SUMPRODUCT(-('Diário 6º PA'!$E$5:$E$2246='Analítico Cx.'!$B89),-('Diário 6º PA'!$P$5:$P$2246=K$1),('Diário 6º PA'!$F$5:$F$2246))+
SUMPRODUCT(-('Diário 7º PA'!$E$5:$E$2271='Analítico Cx.'!$B89),-('Diário 7º PA'!$P$5:$P$2271=K$1),('Diário 7º PA'!$F$5:$F$2271))+
SUMPRODUCT(-('Diário 8º PA'!$E$5:$E$2488='Analítico Cx.'!$B89),-('Diário 8º PA'!$P$5:$P$2488=K$1),('Diário 8º PA'!$F$5:$F$2488))</f>
        <v>0</v>
      </c>
      <c r="L89" s="185">
        <f>SUMPRODUCT(-('Diário 5º PA'!$E$5:$E$2634='Analítico Cx.'!$B89),-('Diário 5º PA'!$P$5:$P$2634=L$1),('Diário 5º PA'!$F$5:$F$2634))+
SUMPRODUCT(-('Diário 6º PA'!$E$5:$E$2246='Analítico Cx.'!$B89),-('Diário 6º PA'!$P$5:$P$2246=L$1),('Diário 6º PA'!$F$5:$F$2246))+
SUMPRODUCT(-('Diário 7º PA'!$E$5:$E$2271='Analítico Cx.'!$B89),-('Diário 7º PA'!$P$5:$P$2271=L$1),('Diário 7º PA'!$F$5:$F$2271))+
SUMPRODUCT(-('Diário 8º PA'!$E$5:$E$2488='Analítico Cx.'!$B89),-('Diário 8º PA'!$P$5:$P$2488=L$1),('Diário 8º PA'!$F$5:$F$2488))</f>
        <v>0</v>
      </c>
      <c r="M89" s="185">
        <f>SUMPRODUCT(-('Diário 5º PA'!$E$5:$E$2634='Analítico Cx.'!$B89),-('Diário 5º PA'!$P$5:$P$2634=M$1),('Diário 5º PA'!$F$5:$F$2634))+
SUMPRODUCT(-('Diário 6º PA'!$E$5:$E$2246='Analítico Cx.'!$B89),-('Diário 6º PA'!$P$5:$P$2246=M$1),('Diário 6º PA'!$F$5:$F$2246))+
SUMPRODUCT(-('Diário 7º PA'!$E$5:$E$2271='Analítico Cx.'!$B89),-('Diário 7º PA'!$P$5:$P$2271=M$1),('Diário 7º PA'!$F$5:$F$2271))+
SUMPRODUCT(-('Diário 8º PA'!$E$5:$E$2488='Analítico Cx.'!$B89),-('Diário 8º PA'!$P$5:$P$2488=M$1),('Diário 8º PA'!$F$5:$F$2488))</f>
        <v>157.51</v>
      </c>
      <c r="N89" s="185">
        <f>SUMPRODUCT(-('Diário 5º PA'!$E$5:$E$2634='Analítico Cx.'!$B89),-('Diário 5º PA'!$P$5:$P$2634=N$1),('Diário 5º PA'!$F$5:$F$2634))+
SUMPRODUCT(-('Diário 6º PA'!$E$5:$E$2246='Analítico Cx.'!$B89),-('Diário 6º PA'!$P$5:$P$2246=N$1),('Diário 6º PA'!$F$5:$F$2246))+
SUMPRODUCT(-('Diário 7º PA'!$E$5:$E$2271='Analítico Cx.'!$B89),-('Diário 7º PA'!$P$5:$P$2271=N$1),('Diário 7º PA'!$F$5:$F$2271))+
SUMPRODUCT(-('Diário 8º PA'!$E$5:$E$2488='Analítico Cx.'!$B89),-('Diário 8º PA'!$P$5:$P$2488=N$1),('Diário 8º PA'!$F$5:$F$2488))</f>
        <v>0</v>
      </c>
      <c r="O89" s="186">
        <f t="shared" si="16"/>
        <v>1136.9000000000001</v>
      </c>
      <c r="P89" s="187">
        <f t="shared" si="17"/>
        <v>1.2062645430414866E-4</v>
      </c>
      <c r="Q89" s="34"/>
      <c r="R89" s="34"/>
      <c r="S89" s="34"/>
      <c r="T89" s="34"/>
      <c r="U89" s="34"/>
      <c r="V89" s="34"/>
      <c r="W89" s="34"/>
      <c r="X89" s="34"/>
      <c r="Y89" s="34"/>
      <c r="Z89" s="34"/>
    </row>
    <row r="90" spans="1:26" ht="23.25" customHeight="1" x14ac:dyDescent="0.2">
      <c r="A90" s="203" t="s">
        <v>271</v>
      </c>
      <c r="B90" s="72" t="s">
        <v>272</v>
      </c>
      <c r="C90" s="185">
        <f>SUMPRODUCT(-('Diário 5º PA'!$E$5:$E$2634='Analítico Cx.'!$B90),-('Diário 5º PA'!$P$5:$P$2634=C$1),('Diário 5º PA'!$F$5:$F$2634))+
SUMPRODUCT(-('Diário 6º PA'!$E$5:$E$2246='Analítico Cx.'!$B90),-('Diário 6º PA'!$P$5:$P$2246=C$1),('Diário 6º PA'!$F$5:$F$2246))+
SUMPRODUCT(-('Diário 7º PA'!$E$5:$E$2271='Analítico Cx.'!$B90),-('Diário 7º PA'!$P$5:$P$2271=C$1),('Diário 7º PA'!$F$5:$F$2271))+
SUMPRODUCT(-('Diário 8º PA'!$E$5:$E$2488='Analítico Cx.'!$B90),-('Diário 8º PA'!$P$5:$P$2488=C$1),('Diário 8º PA'!$F$5:$F$2488))</f>
        <v>1187.5500000000025</v>
      </c>
      <c r="D90" s="185">
        <f>SUMPRODUCT(-('Diário 5º PA'!$E$5:$E$2634='Analítico Cx.'!$B90),-('Diário 5º PA'!$P$5:$P$2634=D$1),('Diário 5º PA'!$F$5:$F$2634))+
SUMPRODUCT(-('Diário 6º PA'!$E$5:$E$2246='Analítico Cx.'!$B90),-('Diário 6º PA'!$P$5:$P$2246=D$1),('Diário 6º PA'!$F$5:$F$2246))+
SUMPRODUCT(-('Diário 7º PA'!$E$5:$E$2271='Analítico Cx.'!$B90),-('Diário 7º PA'!$P$5:$P$2271=D$1),('Diário 7º PA'!$F$5:$F$2271))+
SUMPRODUCT(-('Diário 8º PA'!$E$5:$E$2488='Analítico Cx.'!$B90),-('Diário 8º PA'!$P$5:$P$2488=D$1),('Diário 8º PA'!$F$5:$F$2488))</f>
        <v>759.10000000000082</v>
      </c>
      <c r="E90" s="185">
        <f>SUMPRODUCT(-('Diário 5º PA'!$E$5:$E$2634='Analítico Cx.'!$B90),-('Diário 5º PA'!$P$5:$P$2634=E$1),('Diário 5º PA'!$F$5:$F$2634))+
SUMPRODUCT(-('Diário 6º PA'!$E$5:$E$2246='Analítico Cx.'!$B90),-('Diário 6º PA'!$P$5:$P$2246=E$1),('Diário 6º PA'!$F$5:$F$2246))+
SUMPRODUCT(-('Diário 7º PA'!$E$5:$E$2271='Analítico Cx.'!$B90),-('Diário 7º PA'!$P$5:$P$2271=E$1),('Diário 7º PA'!$F$5:$F$2271))+
SUMPRODUCT(-('Diário 8º PA'!$E$5:$E$2488='Analítico Cx.'!$B90),-('Diário 8º PA'!$P$5:$P$2488=E$1),('Diário 8º PA'!$F$5:$F$2488))</f>
        <v>529.19999999999982</v>
      </c>
      <c r="F90" s="185">
        <f>SUMPRODUCT(-('Diário 5º PA'!$E$5:$E$2634='Analítico Cx.'!$B90),-('Diário 5º PA'!$P$5:$P$2634=F$1),('Diário 5º PA'!$F$5:$F$2634))+
SUMPRODUCT(-('Diário 6º PA'!$E$5:$E$2246='Analítico Cx.'!$B90),-('Diário 6º PA'!$P$5:$P$2246=F$1),('Diário 6º PA'!$F$5:$F$2246))+
SUMPRODUCT(-('Diário 7º PA'!$E$5:$E$2271='Analítico Cx.'!$B90),-('Diário 7º PA'!$P$5:$P$2271=F$1),('Diário 7º PA'!$F$5:$F$2271))+
SUMPRODUCT(-('Diário 8º PA'!$E$5:$E$2488='Analítico Cx.'!$B90),-('Diário 8º PA'!$P$5:$P$2488=F$1),('Diário 8º PA'!$F$5:$F$2488))</f>
        <v>696.40000000000043</v>
      </c>
      <c r="G90" s="185">
        <f>SUMPRODUCT(-('Diário 5º PA'!$E$5:$E$2634='Analítico Cx.'!$B90),-('Diário 5º PA'!$P$5:$P$2634=G$1),('Diário 5º PA'!$F$5:$F$2634))+
SUMPRODUCT(-('Diário 6º PA'!$E$5:$E$2246='Analítico Cx.'!$B90),-('Diário 6º PA'!$P$5:$P$2246=G$1),('Diário 6º PA'!$F$5:$F$2246))+
SUMPRODUCT(-('Diário 7º PA'!$E$5:$E$2271='Analítico Cx.'!$B90),-('Diário 7º PA'!$P$5:$P$2271=G$1),('Diário 7º PA'!$F$5:$F$2271))+
SUMPRODUCT(-('Diário 8º PA'!$E$5:$E$2488='Analítico Cx.'!$B90),-('Diário 8º PA'!$P$5:$P$2488=G$1),('Diário 8º PA'!$F$5:$F$2488))</f>
        <v>821.80000000000109</v>
      </c>
      <c r="H90" s="185">
        <f>SUMPRODUCT(-('Diário 5º PA'!$E$5:$E$2634='Analítico Cx.'!$B90),-('Diário 5º PA'!$P$5:$P$2634=H$1),('Diário 5º PA'!$F$5:$F$2634))+
SUMPRODUCT(-('Diário 6º PA'!$E$5:$E$2246='Analítico Cx.'!$B90),-('Diário 6º PA'!$P$5:$P$2246=H$1),('Diário 6º PA'!$F$5:$F$2246))+
SUMPRODUCT(-('Diário 7º PA'!$E$5:$E$2271='Analítico Cx.'!$B90),-('Diário 7º PA'!$P$5:$P$2271=H$1),('Diário 7º PA'!$F$5:$F$2271))+
SUMPRODUCT(-('Diário 8º PA'!$E$5:$E$2488='Analítico Cx.'!$B90),-('Diário 8º PA'!$P$5:$P$2488=H$1),('Diário 8º PA'!$F$5:$F$2488))</f>
        <v>1030.800000000002</v>
      </c>
      <c r="I90" s="185">
        <f>SUMPRODUCT(-('Diário 5º PA'!$E$5:$E$2634='Analítico Cx.'!$B90),-('Diário 5º PA'!$P$5:$P$2634=I$1),('Diário 5º PA'!$F$5:$F$2634))+
SUMPRODUCT(-('Diário 6º PA'!$E$5:$E$2246='Analítico Cx.'!$B90),-('Diário 6º PA'!$P$5:$P$2246=I$1),('Diário 6º PA'!$F$5:$F$2246))+
SUMPRODUCT(-('Diário 7º PA'!$E$5:$E$2271='Analítico Cx.'!$B90),-('Diário 7º PA'!$P$5:$P$2271=I$1),('Diário 7º PA'!$F$5:$F$2271))+
SUMPRODUCT(-('Diário 8º PA'!$E$5:$E$2488='Analítico Cx.'!$B90),-('Diário 8º PA'!$P$5:$P$2488=I$1),('Diário 8º PA'!$F$5:$F$2488))</f>
        <v>1083.0500000000022</v>
      </c>
      <c r="J90" s="185">
        <f>SUMPRODUCT(-('Diário 5º PA'!$E$5:$E$2634='Analítico Cx.'!$B90),-('Diário 5º PA'!$P$5:$P$2634=J$1),('Diário 5º PA'!$F$5:$F$2634))+
SUMPRODUCT(-('Diário 6º PA'!$E$5:$E$2246='Analítico Cx.'!$B90),-('Diário 6º PA'!$P$5:$P$2246=J$1),('Diário 6º PA'!$F$5:$F$2246))+
SUMPRODUCT(-('Diário 7º PA'!$E$5:$E$2271='Analítico Cx.'!$B90),-('Diário 7º PA'!$P$5:$P$2271=J$1),('Diário 7º PA'!$F$5:$F$2271))+
SUMPRODUCT(-('Diário 8º PA'!$E$5:$E$2488='Analítico Cx.'!$B90),-('Diário 8º PA'!$P$5:$P$2488=J$1),('Diário 8º PA'!$F$5:$F$2488))</f>
        <v>968.10000000000173</v>
      </c>
      <c r="K90" s="185">
        <f>SUMPRODUCT(-('Diário 5º PA'!$E$5:$E$2634='Analítico Cx.'!$B90),-('Diário 5º PA'!$P$5:$P$2634=K$1),('Diário 5º PA'!$F$5:$F$2634))+
SUMPRODUCT(-('Diário 6º PA'!$E$5:$E$2246='Analítico Cx.'!$B90),-('Diário 6º PA'!$P$5:$P$2246=K$1),('Diário 6º PA'!$F$5:$F$2246))+
SUMPRODUCT(-('Diário 7º PA'!$E$5:$E$2271='Analítico Cx.'!$B90),-('Diário 7º PA'!$P$5:$P$2271=K$1),('Diário 7º PA'!$F$5:$F$2271))+
SUMPRODUCT(-('Diário 8º PA'!$E$5:$E$2488='Analítico Cx.'!$B90),-('Diário 8º PA'!$P$5:$P$2488=K$1),('Diário 8º PA'!$F$5:$F$2488))</f>
        <v>1114.4000000000019</v>
      </c>
      <c r="L90" s="185">
        <f>SUMPRODUCT(-('Diário 5º PA'!$E$5:$E$2634='Analítico Cx.'!$B90),-('Diário 5º PA'!$P$5:$P$2634=L$1),('Diário 5º PA'!$F$5:$F$2634))+
SUMPRODUCT(-('Diário 6º PA'!$E$5:$E$2246='Analítico Cx.'!$B90),-('Diário 6º PA'!$P$5:$P$2246=L$1),('Diário 6º PA'!$F$5:$F$2246))+
SUMPRODUCT(-('Diário 7º PA'!$E$5:$E$2271='Analítico Cx.'!$B90),-('Diário 7º PA'!$P$5:$P$2271=L$1),('Diário 7º PA'!$F$5:$F$2271))+
SUMPRODUCT(-('Diário 8º PA'!$E$5:$E$2488='Analítico Cx.'!$B90),-('Diário 8º PA'!$P$5:$P$2488=L$1),('Diário 8º PA'!$F$5:$F$2488))</f>
        <v>1323.4000000000033</v>
      </c>
      <c r="M90" s="185">
        <f>SUMPRODUCT(-('Diário 5º PA'!$E$5:$E$2634='Analítico Cx.'!$B90),-('Diário 5º PA'!$P$5:$P$2634=M$1),('Diário 5º PA'!$F$5:$F$2634))+
SUMPRODUCT(-('Diário 6º PA'!$E$5:$E$2246='Analítico Cx.'!$B90),-('Diário 6º PA'!$P$5:$P$2246=M$1),('Diário 6º PA'!$F$5:$F$2246))+
SUMPRODUCT(-('Diário 7º PA'!$E$5:$E$2271='Analítico Cx.'!$B90),-('Diário 7º PA'!$P$5:$P$2271=M$1),('Diário 7º PA'!$F$5:$F$2271))+
SUMPRODUCT(-('Diário 8º PA'!$E$5:$E$2488='Analítico Cx.'!$B90),-('Diário 8º PA'!$P$5:$P$2488=M$1),('Diário 8º PA'!$F$5:$F$2488))</f>
        <v>1678.7000000000046</v>
      </c>
      <c r="N90" s="185">
        <f>SUMPRODUCT(-('Diário 5º PA'!$E$5:$E$2634='Analítico Cx.'!$B90),-('Diário 5º PA'!$P$5:$P$2634=N$1),('Diário 5º PA'!$F$5:$F$2634))+
SUMPRODUCT(-('Diário 6º PA'!$E$5:$E$2246='Analítico Cx.'!$B90),-('Diário 6º PA'!$P$5:$P$2246=N$1),('Diário 6º PA'!$F$5:$F$2246))+
SUMPRODUCT(-('Diário 7º PA'!$E$5:$E$2271='Analítico Cx.'!$B90),-('Diário 7º PA'!$P$5:$P$2271=N$1),('Diário 7º PA'!$F$5:$F$2271))+
SUMPRODUCT(-('Diário 8º PA'!$E$5:$E$2488='Analítico Cx.'!$B90),-('Diário 8º PA'!$P$5:$P$2488=N$1),('Diário 8º PA'!$F$5:$F$2488))</f>
        <v>1417.4500000000028</v>
      </c>
      <c r="O90" s="186">
        <f t="shared" si="16"/>
        <v>12609.950000000023</v>
      </c>
      <c r="P90" s="187">
        <f t="shared" si="17"/>
        <v>1.3379308272078476E-3</v>
      </c>
      <c r="Q90" s="34"/>
      <c r="R90" s="34"/>
      <c r="S90" s="34"/>
      <c r="T90" s="34"/>
      <c r="U90" s="34"/>
      <c r="V90" s="34"/>
      <c r="W90" s="34"/>
      <c r="X90" s="34"/>
      <c r="Y90" s="34"/>
      <c r="Z90" s="34"/>
    </row>
    <row r="91" spans="1:26" ht="23.25" customHeight="1" x14ac:dyDescent="0.2">
      <c r="A91" s="203" t="s">
        <v>273</v>
      </c>
      <c r="B91" s="72" t="s">
        <v>274</v>
      </c>
      <c r="C91" s="185">
        <f>SUMPRODUCT(-('Diário 5º PA'!$E$5:$E$2634='Analítico Cx.'!$B91),-('Diário 5º PA'!$P$5:$P$2634=C$1),('Diário 5º PA'!$F$5:$F$2634))+
SUMPRODUCT(-('Diário 6º PA'!$E$5:$E$2246='Analítico Cx.'!$B91),-('Diário 6º PA'!$P$5:$P$2246=C$1),('Diário 6º PA'!$F$5:$F$2246))+
SUMPRODUCT(-('Diário 7º PA'!$E$5:$E$2271='Analítico Cx.'!$B91),-('Diário 7º PA'!$P$5:$P$2271=C$1),('Diário 7º PA'!$F$5:$F$2271))+
SUMPRODUCT(-('Diário 8º PA'!$E$5:$E$2488='Analítico Cx.'!$B91),-('Diário 8º PA'!$P$5:$P$2488=C$1),('Diário 8º PA'!$F$5:$F$2488))</f>
        <v>0</v>
      </c>
      <c r="D91" s="185">
        <f>SUMPRODUCT(-('Diário 5º PA'!$E$5:$E$2634='Analítico Cx.'!$B91),-('Diário 5º PA'!$P$5:$P$2634=D$1),('Diário 5º PA'!$F$5:$F$2634))+
SUMPRODUCT(-('Diário 6º PA'!$E$5:$E$2246='Analítico Cx.'!$B91),-('Diário 6º PA'!$P$5:$P$2246=D$1),('Diário 6º PA'!$F$5:$F$2246))+
SUMPRODUCT(-('Diário 7º PA'!$E$5:$E$2271='Analítico Cx.'!$B91),-('Diário 7º PA'!$P$5:$P$2271=D$1),('Diário 7º PA'!$F$5:$F$2271))+
SUMPRODUCT(-('Diário 8º PA'!$E$5:$E$2488='Analítico Cx.'!$B91),-('Diário 8º PA'!$P$5:$P$2488=D$1),('Diário 8º PA'!$F$5:$F$2488))</f>
        <v>0</v>
      </c>
      <c r="E91" s="185">
        <f>SUMPRODUCT(-('Diário 5º PA'!$E$5:$E$2634='Analítico Cx.'!$B91),-('Diário 5º PA'!$P$5:$P$2634=E$1),('Diário 5º PA'!$F$5:$F$2634))+
SUMPRODUCT(-('Diário 6º PA'!$E$5:$E$2246='Analítico Cx.'!$B91),-('Diário 6º PA'!$P$5:$P$2246=E$1),('Diário 6º PA'!$F$5:$F$2246))+
SUMPRODUCT(-('Diário 7º PA'!$E$5:$E$2271='Analítico Cx.'!$B91),-('Diário 7º PA'!$P$5:$P$2271=E$1),('Diário 7º PA'!$F$5:$F$2271))+
SUMPRODUCT(-('Diário 8º PA'!$E$5:$E$2488='Analítico Cx.'!$B91),-('Diário 8º PA'!$P$5:$P$2488=E$1),('Diário 8º PA'!$F$5:$F$2488))</f>
        <v>0</v>
      </c>
      <c r="F91" s="185">
        <f>SUMPRODUCT(-('Diário 5º PA'!$E$5:$E$2634='Analítico Cx.'!$B91),-('Diário 5º PA'!$P$5:$P$2634=F$1),('Diário 5º PA'!$F$5:$F$2634))+
SUMPRODUCT(-('Diário 6º PA'!$E$5:$E$2246='Analítico Cx.'!$B91),-('Diário 6º PA'!$P$5:$P$2246=F$1),('Diário 6º PA'!$F$5:$F$2246))+
SUMPRODUCT(-('Diário 7º PA'!$E$5:$E$2271='Analítico Cx.'!$B91),-('Diário 7º PA'!$P$5:$P$2271=F$1),('Diário 7º PA'!$F$5:$F$2271))+
SUMPRODUCT(-('Diário 8º PA'!$E$5:$E$2488='Analítico Cx.'!$B91),-('Diário 8º PA'!$P$5:$P$2488=F$1),('Diário 8º PA'!$F$5:$F$2488))</f>
        <v>0</v>
      </c>
      <c r="G91" s="185">
        <f>SUMPRODUCT(-('Diário 5º PA'!$E$5:$E$2634='Analítico Cx.'!$B91),-('Diário 5º PA'!$P$5:$P$2634=G$1),('Diário 5º PA'!$F$5:$F$2634))+
SUMPRODUCT(-('Diário 6º PA'!$E$5:$E$2246='Analítico Cx.'!$B91),-('Diário 6º PA'!$P$5:$P$2246=G$1),('Diário 6º PA'!$F$5:$F$2246))+
SUMPRODUCT(-('Diário 7º PA'!$E$5:$E$2271='Analítico Cx.'!$B91),-('Diário 7º PA'!$P$5:$P$2271=G$1),('Diário 7º PA'!$F$5:$F$2271))+
SUMPRODUCT(-('Diário 8º PA'!$E$5:$E$2488='Analítico Cx.'!$B91),-('Diário 8º PA'!$P$5:$P$2488=G$1),('Diário 8º PA'!$F$5:$F$2488))</f>
        <v>0</v>
      </c>
      <c r="H91" s="185">
        <f>SUMPRODUCT(-('Diário 5º PA'!$E$5:$E$2634='Analítico Cx.'!$B91),-('Diário 5º PA'!$P$5:$P$2634=H$1),('Diário 5º PA'!$F$5:$F$2634))+
SUMPRODUCT(-('Diário 6º PA'!$E$5:$E$2246='Analítico Cx.'!$B91),-('Diário 6º PA'!$P$5:$P$2246=H$1),('Diário 6º PA'!$F$5:$F$2246))+
SUMPRODUCT(-('Diário 7º PA'!$E$5:$E$2271='Analítico Cx.'!$B91),-('Diário 7º PA'!$P$5:$P$2271=H$1),('Diário 7º PA'!$F$5:$F$2271))+
SUMPRODUCT(-('Diário 8º PA'!$E$5:$E$2488='Analítico Cx.'!$B91),-('Diário 8º PA'!$P$5:$P$2488=H$1),('Diário 8º PA'!$F$5:$F$2488))</f>
        <v>0</v>
      </c>
      <c r="I91" s="185">
        <f>SUMPRODUCT(-('Diário 5º PA'!$E$5:$E$2634='Analítico Cx.'!$B91),-('Diário 5º PA'!$P$5:$P$2634=I$1),('Diário 5º PA'!$F$5:$F$2634))+
SUMPRODUCT(-('Diário 6º PA'!$E$5:$E$2246='Analítico Cx.'!$B91),-('Diário 6º PA'!$P$5:$P$2246=I$1),('Diário 6º PA'!$F$5:$F$2246))+
SUMPRODUCT(-('Diário 7º PA'!$E$5:$E$2271='Analítico Cx.'!$B91),-('Diário 7º PA'!$P$5:$P$2271=I$1),('Diário 7º PA'!$F$5:$F$2271))+
SUMPRODUCT(-('Diário 8º PA'!$E$5:$E$2488='Analítico Cx.'!$B91),-('Diário 8º PA'!$P$5:$P$2488=I$1),('Diário 8º PA'!$F$5:$F$2488))</f>
        <v>0</v>
      </c>
      <c r="J91" s="185">
        <f>SUMPRODUCT(-('Diário 5º PA'!$E$5:$E$2634='Analítico Cx.'!$B91),-('Diário 5º PA'!$P$5:$P$2634=J$1),('Diário 5º PA'!$F$5:$F$2634))+
SUMPRODUCT(-('Diário 6º PA'!$E$5:$E$2246='Analítico Cx.'!$B91),-('Diário 6º PA'!$P$5:$P$2246=J$1),('Diário 6º PA'!$F$5:$F$2246))+
SUMPRODUCT(-('Diário 7º PA'!$E$5:$E$2271='Analítico Cx.'!$B91),-('Diário 7º PA'!$P$5:$P$2271=J$1),('Diário 7º PA'!$F$5:$F$2271))+
SUMPRODUCT(-('Diário 8º PA'!$E$5:$E$2488='Analítico Cx.'!$B91),-('Diário 8º PA'!$P$5:$P$2488=J$1),('Diário 8º PA'!$F$5:$F$2488))</f>
        <v>0</v>
      </c>
      <c r="K91" s="185">
        <f>SUMPRODUCT(-('Diário 5º PA'!$E$5:$E$2634='Analítico Cx.'!$B91),-('Diário 5º PA'!$P$5:$P$2634=K$1),('Diário 5º PA'!$F$5:$F$2634))+
SUMPRODUCT(-('Diário 6º PA'!$E$5:$E$2246='Analítico Cx.'!$B91),-('Diário 6º PA'!$P$5:$P$2246=K$1),('Diário 6º PA'!$F$5:$F$2246))+
SUMPRODUCT(-('Diário 7º PA'!$E$5:$E$2271='Analítico Cx.'!$B91),-('Diário 7º PA'!$P$5:$P$2271=K$1),('Diário 7º PA'!$F$5:$F$2271))+
SUMPRODUCT(-('Diário 8º PA'!$E$5:$E$2488='Analítico Cx.'!$B91),-('Diário 8º PA'!$P$5:$P$2488=K$1),('Diário 8º PA'!$F$5:$F$2488))</f>
        <v>0</v>
      </c>
      <c r="L91" s="185">
        <f>SUMPRODUCT(-('Diário 5º PA'!$E$5:$E$2634='Analítico Cx.'!$B91),-('Diário 5º PA'!$P$5:$P$2634=L$1),('Diário 5º PA'!$F$5:$F$2634))+
SUMPRODUCT(-('Diário 6º PA'!$E$5:$E$2246='Analítico Cx.'!$B91),-('Diário 6º PA'!$P$5:$P$2246=L$1),('Diário 6º PA'!$F$5:$F$2246))+
SUMPRODUCT(-('Diário 7º PA'!$E$5:$E$2271='Analítico Cx.'!$B91),-('Diário 7º PA'!$P$5:$P$2271=L$1),('Diário 7º PA'!$F$5:$F$2271))+
SUMPRODUCT(-('Diário 8º PA'!$E$5:$E$2488='Analítico Cx.'!$B91),-('Diário 8º PA'!$P$5:$P$2488=L$1),('Diário 8º PA'!$F$5:$F$2488))</f>
        <v>0</v>
      </c>
      <c r="M91" s="185">
        <f>SUMPRODUCT(-('Diário 5º PA'!$E$5:$E$2634='Analítico Cx.'!$B91),-('Diário 5º PA'!$P$5:$P$2634=M$1),('Diário 5º PA'!$F$5:$F$2634))+
SUMPRODUCT(-('Diário 6º PA'!$E$5:$E$2246='Analítico Cx.'!$B91),-('Diário 6º PA'!$P$5:$P$2246=M$1),('Diário 6º PA'!$F$5:$F$2246))+
SUMPRODUCT(-('Diário 7º PA'!$E$5:$E$2271='Analítico Cx.'!$B91),-('Diário 7º PA'!$P$5:$P$2271=M$1),('Diário 7º PA'!$F$5:$F$2271))+
SUMPRODUCT(-('Diário 8º PA'!$E$5:$E$2488='Analítico Cx.'!$B91),-('Diário 8º PA'!$P$5:$P$2488=M$1),('Diário 8º PA'!$F$5:$F$2488))</f>
        <v>0</v>
      </c>
      <c r="N91" s="185">
        <f>SUMPRODUCT(-('Diário 5º PA'!$E$5:$E$2634='Analítico Cx.'!$B91),-('Diário 5º PA'!$P$5:$P$2634=N$1),('Diário 5º PA'!$F$5:$F$2634))+
SUMPRODUCT(-('Diário 6º PA'!$E$5:$E$2246='Analítico Cx.'!$B91),-('Diário 6º PA'!$P$5:$P$2246=N$1),('Diário 6º PA'!$F$5:$F$2246))+
SUMPRODUCT(-('Diário 7º PA'!$E$5:$E$2271='Analítico Cx.'!$B91),-('Diário 7º PA'!$P$5:$P$2271=N$1),('Diário 7º PA'!$F$5:$F$2271))+
SUMPRODUCT(-('Diário 8º PA'!$E$5:$E$2488='Analítico Cx.'!$B91),-('Diário 8º PA'!$P$5:$P$2488=N$1),('Diário 8º PA'!$F$5:$F$2488))</f>
        <v>0</v>
      </c>
      <c r="O91" s="186">
        <f t="shared" si="16"/>
        <v>0</v>
      </c>
      <c r="P91" s="187">
        <f t="shared" si="17"/>
        <v>0</v>
      </c>
      <c r="Q91" s="34"/>
      <c r="R91" s="34"/>
      <c r="S91" s="34"/>
      <c r="T91" s="34"/>
      <c r="U91" s="34"/>
      <c r="V91" s="34"/>
      <c r="W91" s="34"/>
      <c r="X91" s="34"/>
      <c r="Y91" s="34"/>
      <c r="Z91" s="34"/>
    </row>
    <row r="92" spans="1:26" ht="23.25" customHeight="1" x14ac:dyDescent="0.2">
      <c r="A92" s="203" t="s">
        <v>275</v>
      </c>
      <c r="B92" s="72" t="s">
        <v>276</v>
      </c>
      <c r="C92" s="185">
        <f>SUMPRODUCT(-('Diário 5º PA'!$E$5:$E$2634='Analítico Cx.'!$B92),-('Diário 5º PA'!$P$5:$P$2634=C$1),('Diário 5º PA'!$F$5:$F$2634))+
SUMPRODUCT(-('Diário 6º PA'!$E$5:$E$2246='Analítico Cx.'!$B92),-('Diário 6º PA'!$P$5:$P$2246=C$1),('Diário 6º PA'!$F$5:$F$2246))+
SUMPRODUCT(-('Diário 7º PA'!$E$5:$E$2271='Analítico Cx.'!$B92),-('Diário 7º PA'!$P$5:$P$2271=C$1),('Diário 7º PA'!$F$5:$F$2271))+
SUMPRODUCT(-('Diário 8º PA'!$E$5:$E$2488='Analítico Cx.'!$B92),-('Diário 8º PA'!$P$5:$P$2488=C$1),('Diário 8º PA'!$F$5:$F$2488))</f>
        <v>39.51</v>
      </c>
      <c r="D92" s="185">
        <f>SUMPRODUCT(-('Diário 5º PA'!$E$5:$E$2634='Analítico Cx.'!$B92),-('Diário 5º PA'!$P$5:$P$2634=D$1),('Diário 5º PA'!$F$5:$F$2634))+
SUMPRODUCT(-('Diário 6º PA'!$E$5:$E$2246='Analítico Cx.'!$B92),-('Diário 6º PA'!$P$5:$P$2246=D$1),('Diário 6º PA'!$F$5:$F$2246))+
SUMPRODUCT(-('Diário 7º PA'!$E$5:$E$2271='Analítico Cx.'!$B92),-('Diário 7º PA'!$P$5:$P$2271=D$1),('Diário 7º PA'!$F$5:$F$2271))+
SUMPRODUCT(-('Diário 8º PA'!$E$5:$E$2488='Analítico Cx.'!$B92),-('Diário 8º PA'!$P$5:$P$2488=D$1),('Diário 8º PA'!$F$5:$F$2488))</f>
        <v>23.33</v>
      </c>
      <c r="E92" s="185">
        <f>SUMPRODUCT(-('Diário 5º PA'!$E$5:$E$2634='Analítico Cx.'!$B92),-('Diário 5º PA'!$P$5:$P$2634=E$1),('Diário 5º PA'!$F$5:$F$2634))+
SUMPRODUCT(-('Diário 6º PA'!$E$5:$E$2246='Analítico Cx.'!$B92),-('Diário 6º PA'!$P$5:$P$2246=E$1),('Diário 6º PA'!$F$5:$F$2246))+
SUMPRODUCT(-('Diário 7º PA'!$E$5:$E$2271='Analítico Cx.'!$B92),-('Diário 7º PA'!$P$5:$P$2271=E$1),('Diário 7º PA'!$F$5:$F$2271))+
SUMPRODUCT(-('Diário 8º PA'!$E$5:$E$2488='Analítico Cx.'!$B92),-('Diário 8º PA'!$P$5:$P$2488=E$1),('Diário 8º PA'!$F$5:$F$2488))</f>
        <v>12.06</v>
      </c>
      <c r="F92" s="185">
        <f>SUMPRODUCT(-('Diário 5º PA'!$E$5:$E$2634='Analítico Cx.'!$B92),-('Diário 5º PA'!$P$5:$P$2634=F$1),('Diário 5º PA'!$F$5:$F$2634))+
SUMPRODUCT(-('Diário 6º PA'!$E$5:$E$2246='Analítico Cx.'!$B92),-('Diário 6º PA'!$P$5:$P$2246=F$1),('Diário 6º PA'!$F$5:$F$2246))+
SUMPRODUCT(-('Diário 7º PA'!$E$5:$E$2271='Analítico Cx.'!$B92),-('Diário 7º PA'!$P$5:$P$2271=F$1),('Diário 7º PA'!$F$5:$F$2271))+
SUMPRODUCT(-('Diário 8º PA'!$E$5:$E$2488='Analítico Cx.'!$B92),-('Diário 8º PA'!$P$5:$P$2488=F$1),('Diário 8º PA'!$F$5:$F$2488))</f>
        <v>15.89</v>
      </c>
      <c r="G92" s="185">
        <f>SUMPRODUCT(-('Diário 5º PA'!$E$5:$E$2634='Analítico Cx.'!$B92),-('Diário 5º PA'!$P$5:$P$2634=G$1),('Diário 5º PA'!$F$5:$F$2634))+
SUMPRODUCT(-('Diário 6º PA'!$E$5:$E$2246='Analítico Cx.'!$B92),-('Diário 6º PA'!$P$5:$P$2246=G$1),('Diário 6º PA'!$F$5:$F$2246))+
SUMPRODUCT(-('Diário 7º PA'!$E$5:$E$2271='Analítico Cx.'!$B92),-('Diário 7º PA'!$P$5:$P$2271=G$1),('Diário 7º PA'!$F$5:$F$2271))+
SUMPRODUCT(-('Diário 8º PA'!$E$5:$E$2488='Analítico Cx.'!$B92),-('Diário 8º PA'!$P$5:$P$2488=G$1),('Diário 8º PA'!$F$5:$F$2488))</f>
        <v>327.31999999999994</v>
      </c>
      <c r="H92" s="185">
        <f>SUMPRODUCT(-('Diário 5º PA'!$E$5:$E$2634='Analítico Cx.'!$B92),-('Diário 5º PA'!$P$5:$P$2634=H$1),('Diário 5º PA'!$F$5:$F$2634))+
SUMPRODUCT(-('Diário 6º PA'!$E$5:$E$2246='Analítico Cx.'!$B92),-('Diário 6º PA'!$P$5:$P$2246=H$1),('Diário 6º PA'!$F$5:$F$2246))+
SUMPRODUCT(-('Diário 7º PA'!$E$5:$E$2271='Analítico Cx.'!$B92),-('Diário 7º PA'!$P$5:$P$2271=H$1),('Diário 7º PA'!$F$5:$F$2271))+
SUMPRODUCT(-('Diário 8º PA'!$E$5:$E$2488='Analítico Cx.'!$B92),-('Diário 8º PA'!$P$5:$P$2488=H$1),('Diário 8º PA'!$F$5:$F$2488))</f>
        <v>135.75</v>
      </c>
      <c r="I92" s="185">
        <f>SUMPRODUCT(-('Diário 5º PA'!$E$5:$E$2634='Analítico Cx.'!$B92),-('Diário 5º PA'!$P$5:$P$2634=I$1),('Diário 5º PA'!$F$5:$F$2634))+
SUMPRODUCT(-('Diário 6º PA'!$E$5:$E$2246='Analítico Cx.'!$B92),-('Diário 6º PA'!$P$5:$P$2246=I$1),('Diário 6º PA'!$F$5:$F$2246))+
SUMPRODUCT(-('Diário 7º PA'!$E$5:$E$2271='Analítico Cx.'!$B92),-('Diário 7º PA'!$P$5:$P$2271=I$1),('Diário 7º PA'!$F$5:$F$2271))+
SUMPRODUCT(-('Diário 8º PA'!$E$5:$E$2488='Analítico Cx.'!$B92),-('Diário 8º PA'!$P$5:$P$2488=I$1),('Diário 8º PA'!$F$5:$F$2488))</f>
        <v>291.12</v>
      </c>
      <c r="J92" s="185">
        <f>SUMPRODUCT(-('Diário 5º PA'!$E$5:$E$2634='Analítico Cx.'!$B92),-('Diário 5º PA'!$P$5:$P$2634=J$1),('Diário 5º PA'!$F$5:$F$2634))+
SUMPRODUCT(-('Diário 6º PA'!$E$5:$E$2246='Analítico Cx.'!$B92),-('Diário 6º PA'!$P$5:$P$2246=J$1),('Diário 6º PA'!$F$5:$F$2246))+
SUMPRODUCT(-('Diário 7º PA'!$E$5:$E$2271='Analítico Cx.'!$B92),-('Diário 7º PA'!$P$5:$P$2271=J$1),('Diário 7º PA'!$F$5:$F$2271))+
SUMPRODUCT(-('Diário 8º PA'!$E$5:$E$2488='Analítico Cx.'!$B92),-('Diário 8º PA'!$P$5:$P$2488=J$1),('Diário 8º PA'!$F$5:$F$2488))</f>
        <v>572.42000000000007</v>
      </c>
      <c r="K92" s="185">
        <f>SUMPRODUCT(-('Diário 5º PA'!$E$5:$E$2634='Analítico Cx.'!$B92),-('Diário 5º PA'!$P$5:$P$2634=K$1),('Diário 5º PA'!$F$5:$F$2634))+
SUMPRODUCT(-('Diário 6º PA'!$E$5:$E$2246='Analítico Cx.'!$B92),-('Diário 6º PA'!$P$5:$P$2246=K$1),('Diário 6º PA'!$F$5:$F$2246))+
SUMPRODUCT(-('Diário 7º PA'!$E$5:$E$2271='Analítico Cx.'!$B92),-('Diário 7º PA'!$P$5:$P$2271=K$1),('Diário 7º PA'!$F$5:$F$2271))+
SUMPRODUCT(-('Diário 8º PA'!$E$5:$E$2488='Analítico Cx.'!$B92),-('Diário 8º PA'!$P$5:$P$2488=K$1),('Diário 8º PA'!$F$5:$F$2488))</f>
        <v>610.63</v>
      </c>
      <c r="L92" s="185">
        <f>SUMPRODUCT(-('Diário 5º PA'!$E$5:$E$2634='Analítico Cx.'!$B92),-('Diário 5º PA'!$P$5:$P$2634=L$1),('Diário 5º PA'!$F$5:$F$2634))+
SUMPRODUCT(-('Diário 6º PA'!$E$5:$E$2246='Analítico Cx.'!$B92),-('Diário 6º PA'!$P$5:$P$2246=L$1),('Diário 6º PA'!$F$5:$F$2246))+
SUMPRODUCT(-('Diário 7º PA'!$E$5:$E$2271='Analítico Cx.'!$B92),-('Diário 7º PA'!$P$5:$P$2271=L$1),('Diário 7º PA'!$F$5:$F$2271))+
SUMPRODUCT(-('Diário 8º PA'!$E$5:$E$2488='Analítico Cx.'!$B92),-('Diário 8º PA'!$P$5:$P$2488=L$1),('Diário 8º PA'!$F$5:$F$2488))</f>
        <v>675.78</v>
      </c>
      <c r="M92" s="185">
        <f>SUMPRODUCT(-('Diário 5º PA'!$E$5:$E$2634='Analítico Cx.'!$B92),-('Diário 5º PA'!$P$5:$P$2634=M$1),('Diário 5º PA'!$F$5:$F$2634))+
SUMPRODUCT(-('Diário 6º PA'!$E$5:$E$2246='Analítico Cx.'!$B92),-('Diário 6º PA'!$P$5:$P$2246=M$1),('Diário 6º PA'!$F$5:$F$2246))+
SUMPRODUCT(-('Diário 7º PA'!$E$5:$E$2271='Analítico Cx.'!$B92),-('Diário 7º PA'!$P$5:$P$2271=M$1),('Diário 7º PA'!$F$5:$F$2271))+
SUMPRODUCT(-('Diário 8º PA'!$E$5:$E$2488='Analítico Cx.'!$B92),-('Diário 8º PA'!$P$5:$P$2488=M$1),('Diário 8º PA'!$F$5:$F$2488))</f>
        <v>646.96</v>
      </c>
      <c r="N92" s="185">
        <f>SUMPRODUCT(-('Diário 5º PA'!$E$5:$E$2634='Analítico Cx.'!$B92),-('Diário 5º PA'!$P$5:$P$2634=N$1),('Diário 5º PA'!$F$5:$F$2634))+
SUMPRODUCT(-('Diário 6º PA'!$E$5:$E$2246='Analítico Cx.'!$B92),-('Diário 6º PA'!$P$5:$P$2246=N$1),('Diário 6º PA'!$F$5:$F$2246))+
SUMPRODUCT(-('Diário 7º PA'!$E$5:$E$2271='Analítico Cx.'!$B92),-('Diário 7º PA'!$P$5:$P$2271=N$1),('Diário 7º PA'!$F$5:$F$2271))+
SUMPRODUCT(-('Diário 8º PA'!$E$5:$E$2488='Analítico Cx.'!$B92),-('Diário 8º PA'!$P$5:$P$2488=N$1),('Diário 8º PA'!$F$5:$F$2488))</f>
        <v>766.99</v>
      </c>
      <c r="O92" s="186">
        <f t="shared" si="16"/>
        <v>4117.76</v>
      </c>
      <c r="P92" s="187">
        <f t="shared" si="17"/>
        <v>4.3689927739946449E-4</v>
      </c>
      <c r="Q92" s="34"/>
      <c r="R92" s="34"/>
      <c r="S92" s="34"/>
      <c r="T92" s="34"/>
      <c r="U92" s="34"/>
      <c r="V92" s="34"/>
      <c r="W92" s="34"/>
      <c r="X92" s="34"/>
      <c r="Y92" s="34"/>
      <c r="Z92" s="34"/>
    </row>
    <row r="93" spans="1:26" ht="23.25" customHeight="1" x14ac:dyDescent="0.2">
      <c r="A93" s="203" t="s">
        <v>277</v>
      </c>
      <c r="B93" s="72" t="s">
        <v>278</v>
      </c>
      <c r="C93" s="185">
        <f>SUMPRODUCT(-('Diário 5º PA'!$E$5:$E$2634='Analítico Cx.'!$B93),-('Diário 5º PA'!$P$5:$P$2634=C$1),('Diário 5º PA'!$F$5:$F$2634))+
SUMPRODUCT(-('Diário 6º PA'!$E$5:$E$2246='Analítico Cx.'!$B93),-('Diário 6º PA'!$P$5:$P$2246=C$1),('Diário 6º PA'!$F$5:$F$2246))+
SUMPRODUCT(-('Diário 7º PA'!$E$5:$E$2271='Analítico Cx.'!$B93),-('Diário 7º PA'!$P$5:$P$2271=C$1),('Diário 7º PA'!$F$5:$F$2271))+
SUMPRODUCT(-('Diário 8º PA'!$E$5:$E$2488='Analítico Cx.'!$B93),-('Diário 8º PA'!$P$5:$P$2488=C$1),('Diário 8º PA'!$F$5:$F$2488))</f>
        <v>20.47</v>
      </c>
      <c r="D93" s="185">
        <f>SUMPRODUCT(-('Diário 5º PA'!$E$5:$E$2634='Analítico Cx.'!$B93),-('Diário 5º PA'!$P$5:$P$2634=D$1),('Diário 5º PA'!$F$5:$F$2634))+
SUMPRODUCT(-('Diário 6º PA'!$E$5:$E$2246='Analítico Cx.'!$B93),-('Diário 6º PA'!$P$5:$P$2246=D$1),('Diário 6º PA'!$F$5:$F$2246))+
SUMPRODUCT(-('Diário 7º PA'!$E$5:$E$2271='Analítico Cx.'!$B93),-('Diário 7º PA'!$P$5:$P$2271=D$1),('Diário 7º PA'!$F$5:$F$2271))+
SUMPRODUCT(-('Diário 8º PA'!$E$5:$E$2488='Analítico Cx.'!$B93),-('Diário 8º PA'!$P$5:$P$2488=D$1),('Diário 8º PA'!$F$5:$F$2488))</f>
        <v>24.95</v>
      </c>
      <c r="E93" s="185">
        <f>SUMPRODUCT(-('Diário 5º PA'!$E$5:$E$2634='Analítico Cx.'!$B93),-('Diário 5º PA'!$P$5:$P$2634=E$1),('Diário 5º PA'!$F$5:$F$2634))+
SUMPRODUCT(-('Diário 6º PA'!$E$5:$E$2246='Analítico Cx.'!$B93),-('Diário 6º PA'!$P$5:$P$2246=E$1),('Diário 6º PA'!$F$5:$F$2246))+
SUMPRODUCT(-('Diário 7º PA'!$E$5:$E$2271='Analítico Cx.'!$B93),-('Diário 7º PA'!$P$5:$P$2271=E$1),('Diário 7º PA'!$F$5:$F$2271))+
SUMPRODUCT(-('Diário 8º PA'!$E$5:$E$2488='Analítico Cx.'!$B93),-('Diário 8º PA'!$P$5:$P$2488=E$1),('Diário 8º PA'!$F$5:$F$2488))</f>
        <v>3.1</v>
      </c>
      <c r="F93" s="185">
        <f>SUMPRODUCT(-('Diário 5º PA'!$E$5:$E$2634='Analítico Cx.'!$B93),-('Diário 5º PA'!$P$5:$P$2634=F$1),('Diário 5º PA'!$F$5:$F$2634))+
SUMPRODUCT(-('Diário 6º PA'!$E$5:$E$2246='Analítico Cx.'!$B93),-('Diário 6º PA'!$P$5:$P$2246=F$1),('Diário 6º PA'!$F$5:$F$2246))+
SUMPRODUCT(-('Diário 7º PA'!$E$5:$E$2271='Analítico Cx.'!$B93),-('Diário 7º PA'!$P$5:$P$2271=F$1),('Diário 7º PA'!$F$5:$F$2271))+
SUMPRODUCT(-('Diário 8º PA'!$E$5:$E$2488='Analítico Cx.'!$B93),-('Diário 8º PA'!$P$5:$P$2488=F$1),('Diário 8º PA'!$F$5:$F$2488))</f>
        <v>58.28</v>
      </c>
      <c r="G93" s="185">
        <f>SUMPRODUCT(-('Diário 5º PA'!$E$5:$E$2634='Analítico Cx.'!$B93),-('Diário 5º PA'!$P$5:$P$2634=G$1),('Diário 5º PA'!$F$5:$F$2634))+
SUMPRODUCT(-('Diário 6º PA'!$E$5:$E$2246='Analítico Cx.'!$B93),-('Diário 6º PA'!$P$5:$P$2246=G$1),('Diário 6º PA'!$F$5:$F$2246))+
SUMPRODUCT(-('Diário 7º PA'!$E$5:$E$2271='Analítico Cx.'!$B93),-('Diário 7º PA'!$P$5:$P$2271=G$1),('Diário 7º PA'!$F$5:$F$2271))+
SUMPRODUCT(-('Diário 8º PA'!$E$5:$E$2488='Analítico Cx.'!$B93),-('Diário 8º PA'!$P$5:$P$2488=G$1),('Diário 8º PA'!$F$5:$F$2488))</f>
        <v>4.28</v>
      </c>
      <c r="H93" s="185">
        <f>SUMPRODUCT(-('Diário 5º PA'!$E$5:$E$2634='Analítico Cx.'!$B93),-('Diário 5º PA'!$P$5:$P$2634=H$1),('Diário 5º PA'!$F$5:$F$2634))+
SUMPRODUCT(-('Diário 6º PA'!$E$5:$E$2246='Analítico Cx.'!$B93),-('Diário 6º PA'!$P$5:$P$2246=H$1),('Diário 6º PA'!$F$5:$F$2246))+
SUMPRODUCT(-('Diário 7º PA'!$E$5:$E$2271='Analítico Cx.'!$B93),-('Diário 7º PA'!$P$5:$P$2271=H$1),('Diário 7º PA'!$F$5:$F$2271))+
SUMPRODUCT(-('Diário 8º PA'!$E$5:$E$2488='Analítico Cx.'!$B93),-('Diário 8º PA'!$P$5:$P$2488=H$1),('Diário 8º PA'!$F$5:$F$2488))</f>
        <v>0</v>
      </c>
      <c r="I93" s="185">
        <f>SUMPRODUCT(-('Diário 5º PA'!$E$5:$E$2634='Analítico Cx.'!$B93),-('Diário 5º PA'!$P$5:$P$2634=I$1),('Diário 5º PA'!$F$5:$F$2634))+
SUMPRODUCT(-('Diário 6º PA'!$E$5:$E$2246='Analítico Cx.'!$B93),-('Diário 6º PA'!$P$5:$P$2246=I$1),('Diário 6º PA'!$F$5:$F$2246))+
SUMPRODUCT(-('Diário 7º PA'!$E$5:$E$2271='Analítico Cx.'!$B93),-('Diário 7º PA'!$P$5:$P$2271=I$1),('Diário 7º PA'!$F$5:$F$2271))+
SUMPRODUCT(-('Diário 8º PA'!$E$5:$E$2488='Analítico Cx.'!$B93),-('Diário 8º PA'!$P$5:$P$2488=I$1),('Diário 8º PA'!$F$5:$F$2488))</f>
        <v>0</v>
      </c>
      <c r="J93" s="185">
        <f>SUMPRODUCT(-('Diário 5º PA'!$E$5:$E$2634='Analítico Cx.'!$B93),-('Diário 5º PA'!$P$5:$P$2634=J$1),('Diário 5º PA'!$F$5:$F$2634))+
SUMPRODUCT(-('Diário 6º PA'!$E$5:$E$2246='Analítico Cx.'!$B93),-('Diário 6º PA'!$P$5:$P$2246=J$1),('Diário 6º PA'!$F$5:$F$2246))+
SUMPRODUCT(-('Diário 7º PA'!$E$5:$E$2271='Analítico Cx.'!$B93),-('Diário 7º PA'!$P$5:$P$2271=J$1),('Diário 7º PA'!$F$5:$F$2271))+
SUMPRODUCT(-('Diário 8º PA'!$E$5:$E$2488='Analítico Cx.'!$B93),-('Diário 8º PA'!$P$5:$P$2488=J$1),('Diário 8º PA'!$F$5:$F$2488))</f>
        <v>0</v>
      </c>
      <c r="K93" s="185">
        <f>SUMPRODUCT(-('Diário 5º PA'!$E$5:$E$2634='Analítico Cx.'!$B93),-('Diário 5º PA'!$P$5:$P$2634=K$1),('Diário 5º PA'!$F$5:$F$2634))+
SUMPRODUCT(-('Diário 6º PA'!$E$5:$E$2246='Analítico Cx.'!$B93),-('Diário 6º PA'!$P$5:$P$2246=K$1),('Diário 6º PA'!$F$5:$F$2246))+
SUMPRODUCT(-('Diário 7º PA'!$E$5:$E$2271='Analítico Cx.'!$B93),-('Diário 7º PA'!$P$5:$P$2271=K$1),('Diário 7º PA'!$F$5:$F$2271))+
SUMPRODUCT(-('Diário 8º PA'!$E$5:$E$2488='Analítico Cx.'!$B93),-('Diário 8º PA'!$P$5:$P$2488=K$1),('Diário 8º PA'!$F$5:$F$2488))</f>
        <v>0</v>
      </c>
      <c r="L93" s="185">
        <f>SUMPRODUCT(-('Diário 5º PA'!$E$5:$E$2634='Analítico Cx.'!$B93),-('Diário 5º PA'!$P$5:$P$2634=L$1),('Diário 5º PA'!$F$5:$F$2634))+
SUMPRODUCT(-('Diário 6º PA'!$E$5:$E$2246='Analítico Cx.'!$B93),-('Diário 6º PA'!$P$5:$P$2246=L$1),('Diário 6º PA'!$F$5:$F$2246))+
SUMPRODUCT(-('Diário 7º PA'!$E$5:$E$2271='Analítico Cx.'!$B93),-('Diário 7º PA'!$P$5:$P$2271=L$1),('Diário 7º PA'!$F$5:$F$2271))+
SUMPRODUCT(-('Diário 8º PA'!$E$5:$E$2488='Analítico Cx.'!$B93),-('Diário 8º PA'!$P$5:$P$2488=L$1),('Diário 8º PA'!$F$5:$F$2488))</f>
        <v>0</v>
      </c>
      <c r="M93" s="185">
        <f>SUMPRODUCT(-('Diário 5º PA'!$E$5:$E$2634='Analítico Cx.'!$B93),-('Diário 5º PA'!$P$5:$P$2634=M$1),('Diário 5º PA'!$F$5:$F$2634))+
SUMPRODUCT(-('Diário 6º PA'!$E$5:$E$2246='Analítico Cx.'!$B93),-('Diário 6º PA'!$P$5:$P$2246=M$1),('Diário 6º PA'!$F$5:$F$2246))+
SUMPRODUCT(-('Diário 7º PA'!$E$5:$E$2271='Analítico Cx.'!$B93),-('Diário 7º PA'!$P$5:$P$2271=M$1),('Diário 7º PA'!$F$5:$F$2271))+
SUMPRODUCT(-('Diário 8º PA'!$E$5:$E$2488='Analítico Cx.'!$B93),-('Diário 8º PA'!$P$5:$P$2488=M$1),('Diário 8º PA'!$F$5:$F$2488))</f>
        <v>0</v>
      </c>
      <c r="N93" s="185">
        <f>SUMPRODUCT(-('Diário 5º PA'!$E$5:$E$2634='Analítico Cx.'!$B93),-('Diário 5º PA'!$P$5:$P$2634=N$1),('Diário 5º PA'!$F$5:$F$2634))+
SUMPRODUCT(-('Diário 6º PA'!$E$5:$E$2246='Analítico Cx.'!$B93),-('Diário 6º PA'!$P$5:$P$2246=N$1),('Diário 6º PA'!$F$5:$F$2246))+
SUMPRODUCT(-('Diário 7º PA'!$E$5:$E$2271='Analítico Cx.'!$B93),-('Diário 7º PA'!$P$5:$P$2271=N$1),('Diário 7º PA'!$F$5:$F$2271))+
SUMPRODUCT(-('Diário 8º PA'!$E$5:$E$2488='Analítico Cx.'!$B93),-('Diário 8º PA'!$P$5:$P$2488=N$1),('Diário 8º PA'!$F$5:$F$2488))</f>
        <v>0</v>
      </c>
      <c r="O93" s="186">
        <f t="shared" si="16"/>
        <v>111.08000000000001</v>
      </c>
      <c r="P93" s="187">
        <f t="shared" si="17"/>
        <v>1.1785721298359428E-5</v>
      </c>
      <c r="Q93" s="34"/>
      <c r="R93" s="34"/>
      <c r="S93" s="34"/>
      <c r="T93" s="34"/>
      <c r="U93" s="34"/>
      <c r="V93" s="34"/>
      <c r="W93" s="34"/>
      <c r="X93" s="34"/>
      <c r="Y93" s="34"/>
      <c r="Z93" s="34"/>
    </row>
    <row r="94" spans="1:26" ht="23.25" customHeight="1" x14ac:dyDescent="0.2">
      <c r="A94" s="203" t="s">
        <v>279</v>
      </c>
      <c r="B94" s="72" t="s">
        <v>280</v>
      </c>
      <c r="C94" s="185">
        <f>SUMPRODUCT(-('Diário 5º PA'!$E$5:$E$2634='Analítico Cx.'!$B94),-('Diário 5º PA'!$P$5:$P$2634=C$1),('Diário 5º PA'!$F$5:$F$2634))+
SUMPRODUCT(-('Diário 6º PA'!$E$5:$E$2246='Analítico Cx.'!$B94),-('Diário 6º PA'!$P$5:$P$2246=C$1),('Diário 6º PA'!$F$5:$F$2246))+
SUMPRODUCT(-('Diário 7º PA'!$E$5:$E$2271='Analítico Cx.'!$B94),-('Diário 7º PA'!$P$5:$P$2271=C$1),('Diário 7º PA'!$F$5:$F$2271))+
SUMPRODUCT(-('Diário 8º PA'!$E$5:$E$2488='Analítico Cx.'!$B94),-('Diário 8º PA'!$P$5:$P$2488=C$1),('Diário 8º PA'!$F$5:$F$2488))</f>
        <v>119.22</v>
      </c>
      <c r="D94" s="185">
        <f>SUMPRODUCT(-('Diário 5º PA'!$E$5:$E$2634='Analítico Cx.'!$B94),-('Diário 5º PA'!$P$5:$P$2634=D$1),('Diário 5º PA'!$F$5:$F$2634))+
SUMPRODUCT(-('Diário 6º PA'!$E$5:$E$2246='Analítico Cx.'!$B94),-('Diário 6º PA'!$P$5:$P$2246=D$1),('Diário 6º PA'!$F$5:$F$2246))+
SUMPRODUCT(-('Diário 7º PA'!$E$5:$E$2271='Analítico Cx.'!$B94),-('Diário 7º PA'!$P$5:$P$2271=D$1),('Diário 7º PA'!$F$5:$F$2271))+
SUMPRODUCT(-('Diário 8º PA'!$E$5:$E$2488='Analítico Cx.'!$B94),-('Diário 8º PA'!$P$5:$P$2488=D$1),('Diário 8º PA'!$F$5:$F$2488))</f>
        <v>44.94</v>
      </c>
      <c r="E94" s="185">
        <f>SUMPRODUCT(-('Diário 5º PA'!$E$5:$E$2634='Analítico Cx.'!$B94),-('Diário 5º PA'!$P$5:$P$2634=E$1),('Diário 5º PA'!$F$5:$F$2634))+
SUMPRODUCT(-('Diário 6º PA'!$E$5:$E$2246='Analítico Cx.'!$B94),-('Diário 6º PA'!$P$5:$P$2246=E$1),('Diário 6º PA'!$F$5:$F$2246))+
SUMPRODUCT(-('Diário 7º PA'!$E$5:$E$2271='Analítico Cx.'!$B94),-('Diário 7º PA'!$P$5:$P$2271=E$1),('Diário 7º PA'!$F$5:$F$2271))+
SUMPRODUCT(-('Diário 8º PA'!$E$5:$E$2488='Analítico Cx.'!$B94),-('Diário 8º PA'!$P$5:$P$2488=E$1),('Diário 8º PA'!$F$5:$F$2488))</f>
        <v>87.11</v>
      </c>
      <c r="F94" s="185">
        <f>SUMPRODUCT(-('Diário 5º PA'!$E$5:$E$2634='Analítico Cx.'!$B94),-('Diário 5º PA'!$P$5:$P$2634=F$1),('Diário 5º PA'!$F$5:$F$2634))+
SUMPRODUCT(-('Diário 6º PA'!$E$5:$E$2246='Analítico Cx.'!$B94),-('Diário 6º PA'!$P$5:$P$2246=F$1),('Diário 6º PA'!$F$5:$F$2246))+
SUMPRODUCT(-('Diário 7º PA'!$E$5:$E$2271='Analítico Cx.'!$B94),-('Diário 7º PA'!$P$5:$P$2271=F$1),('Diário 7º PA'!$F$5:$F$2271))+
SUMPRODUCT(-('Diário 8º PA'!$E$5:$E$2488='Analítico Cx.'!$B94),-('Diário 8º PA'!$P$5:$P$2488=F$1),('Diário 8º PA'!$F$5:$F$2488))</f>
        <v>9.1199999999999992</v>
      </c>
      <c r="G94" s="185">
        <f>SUMPRODUCT(-('Diário 5º PA'!$E$5:$E$2634='Analítico Cx.'!$B94),-('Diário 5º PA'!$P$5:$P$2634=G$1),('Diário 5º PA'!$F$5:$F$2634))+
SUMPRODUCT(-('Diário 6º PA'!$E$5:$E$2246='Analítico Cx.'!$B94),-('Diário 6º PA'!$P$5:$P$2246=G$1),('Diário 6º PA'!$F$5:$F$2246))+
SUMPRODUCT(-('Diário 7º PA'!$E$5:$E$2271='Analítico Cx.'!$B94),-('Diário 7º PA'!$P$5:$P$2271=G$1),('Diário 7º PA'!$F$5:$F$2271))+
SUMPRODUCT(-('Diário 8º PA'!$E$5:$E$2488='Analítico Cx.'!$B94),-('Diário 8º PA'!$P$5:$P$2488=G$1),('Diário 8º PA'!$F$5:$F$2488))</f>
        <v>1173.5899999999999</v>
      </c>
      <c r="H94" s="185">
        <f>SUMPRODUCT(-('Diário 5º PA'!$E$5:$E$2634='Analítico Cx.'!$B94),-('Diário 5º PA'!$P$5:$P$2634=H$1),('Diário 5º PA'!$F$5:$F$2634))+
SUMPRODUCT(-('Diário 6º PA'!$E$5:$E$2246='Analítico Cx.'!$B94),-('Diário 6º PA'!$P$5:$P$2246=H$1),('Diário 6º PA'!$F$5:$F$2246))+
SUMPRODUCT(-('Diário 7º PA'!$E$5:$E$2271='Analítico Cx.'!$B94),-('Diário 7º PA'!$P$5:$P$2271=H$1),('Diário 7º PA'!$F$5:$F$2271))+
SUMPRODUCT(-('Diário 8º PA'!$E$5:$E$2488='Analítico Cx.'!$B94),-('Diário 8º PA'!$P$5:$P$2488=H$1),('Diário 8º PA'!$F$5:$F$2488))</f>
        <v>144.94</v>
      </c>
      <c r="I94" s="185">
        <f>SUMPRODUCT(-('Diário 5º PA'!$E$5:$E$2634='Analítico Cx.'!$B94),-('Diário 5º PA'!$P$5:$P$2634=I$1),('Diário 5º PA'!$F$5:$F$2634))+
SUMPRODUCT(-('Diário 6º PA'!$E$5:$E$2246='Analítico Cx.'!$B94),-('Diário 6º PA'!$P$5:$P$2246=I$1),('Diário 6º PA'!$F$5:$F$2246))+
SUMPRODUCT(-('Diário 7º PA'!$E$5:$E$2271='Analítico Cx.'!$B94),-('Diário 7º PA'!$P$5:$P$2271=I$1),('Diário 7º PA'!$F$5:$F$2271))+
SUMPRODUCT(-('Diário 8º PA'!$E$5:$E$2488='Analítico Cx.'!$B94),-('Diário 8º PA'!$P$5:$P$2488=I$1),('Diário 8º PA'!$F$5:$F$2488))</f>
        <v>450.43</v>
      </c>
      <c r="J94" s="185">
        <f>SUMPRODUCT(-('Diário 5º PA'!$E$5:$E$2634='Analítico Cx.'!$B94),-('Diário 5º PA'!$P$5:$P$2634=J$1),('Diário 5º PA'!$F$5:$F$2634))+
SUMPRODUCT(-('Diário 6º PA'!$E$5:$E$2246='Analítico Cx.'!$B94),-('Diário 6º PA'!$P$5:$P$2246=J$1),('Diário 6º PA'!$F$5:$F$2246))+
SUMPRODUCT(-('Diário 7º PA'!$E$5:$E$2271='Analítico Cx.'!$B94),-('Diário 7º PA'!$P$5:$P$2271=J$1),('Diário 7º PA'!$F$5:$F$2271))+
SUMPRODUCT(-('Diário 8º PA'!$E$5:$E$2488='Analítico Cx.'!$B94),-('Diário 8º PA'!$P$5:$P$2488=J$1),('Diário 8º PA'!$F$5:$F$2488))</f>
        <v>756.88</v>
      </c>
      <c r="K94" s="185">
        <f>SUMPRODUCT(-('Diário 5º PA'!$E$5:$E$2634='Analítico Cx.'!$B94),-('Diário 5º PA'!$P$5:$P$2634=K$1),('Diário 5º PA'!$F$5:$F$2634))+
SUMPRODUCT(-('Diário 6º PA'!$E$5:$E$2246='Analítico Cx.'!$B94),-('Diário 6º PA'!$P$5:$P$2246=K$1),('Diário 6º PA'!$F$5:$F$2246))+
SUMPRODUCT(-('Diário 7º PA'!$E$5:$E$2271='Analítico Cx.'!$B94),-('Diário 7º PA'!$P$5:$P$2271=K$1),('Diário 7º PA'!$F$5:$F$2271))+
SUMPRODUCT(-('Diário 8º PA'!$E$5:$E$2488='Analítico Cx.'!$B94),-('Diário 8º PA'!$P$5:$P$2488=K$1),('Diário 8º PA'!$F$5:$F$2488))</f>
        <v>1232.9100000000001</v>
      </c>
      <c r="L94" s="185">
        <f>SUMPRODUCT(-('Diário 5º PA'!$E$5:$E$2634='Analítico Cx.'!$B94),-('Diário 5º PA'!$P$5:$P$2634=L$1),('Diário 5º PA'!$F$5:$F$2634))+
SUMPRODUCT(-('Diário 6º PA'!$E$5:$E$2246='Analítico Cx.'!$B94),-('Diário 6º PA'!$P$5:$P$2246=L$1),('Diário 6º PA'!$F$5:$F$2246))+
SUMPRODUCT(-('Diário 7º PA'!$E$5:$E$2271='Analítico Cx.'!$B94),-('Diário 7º PA'!$P$5:$P$2271=L$1),('Diário 7º PA'!$F$5:$F$2271))+
SUMPRODUCT(-('Diário 8º PA'!$E$5:$E$2488='Analítico Cx.'!$B94),-('Diário 8º PA'!$P$5:$P$2488=L$1),('Diário 8º PA'!$F$5:$F$2488))</f>
        <v>1496.46</v>
      </c>
      <c r="M94" s="185">
        <f>SUMPRODUCT(-('Diário 5º PA'!$E$5:$E$2634='Analítico Cx.'!$B94),-('Diário 5º PA'!$P$5:$P$2634=M$1),('Diário 5º PA'!$F$5:$F$2634))+
SUMPRODUCT(-('Diário 6º PA'!$E$5:$E$2246='Analítico Cx.'!$B94),-('Diário 6º PA'!$P$5:$P$2246=M$1),('Diário 6º PA'!$F$5:$F$2246))+
SUMPRODUCT(-('Diário 7º PA'!$E$5:$E$2271='Analítico Cx.'!$B94),-('Diário 7º PA'!$P$5:$P$2271=M$1),('Diário 7º PA'!$F$5:$F$2271))+
SUMPRODUCT(-('Diário 8º PA'!$E$5:$E$2488='Analítico Cx.'!$B94),-('Diário 8º PA'!$P$5:$P$2488=M$1),('Diário 8º PA'!$F$5:$F$2488))</f>
        <v>5444.33</v>
      </c>
      <c r="N94" s="185">
        <f>SUMPRODUCT(-('Diário 5º PA'!$E$5:$E$2634='Analítico Cx.'!$B94),-('Diário 5º PA'!$P$5:$P$2634=N$1),('Diário 5º PA'!$F$5:$F$2634))+
SUMPRODUCT(-('Diário 6º PA'!$E$5:$E$2246='Analítico Cx.'!$B94),-('Diário 6º PA'!$P$5:$P$2246=N$1),('Diário 6º PA'!$F$5:$F$2246))+
SUMPRODUCT(-('Diário 7º PA'!$E$5:$E$2271='Analítico Cx.'!$B94),-('Diário 7º PA'!$P$5:$P$2271=N$1),('Diário 7º PA'!$F$5:$F$2271))+
SUMPRODUCT(-('Diário 8º PA'!$E$5:$E$2488='Analítico Cx.'!$B94),-('Diário 8º PA'!$P$5:$P$2488=N$1),('Diário 8º PA'!$F$5:$F$2488))</f>
        <v>600.20000000000005</v>
      </c>
      <c r="O94" s="186">
        <f t="shared" si="16"/>
        <v>11560.130000000001</v>
      </c>
      <c r="P94" s="187">
        <f t="shared" si="17"/>
        <v>1.2265436654015464E-3</v>
      </c>
      <c r="Q94" s="34"/>
      <c r="R94" s="34"/>
      <c r="S94" s="34"/>
      <c r="T94" s="34"/>
      <c r="U94" s="34"/>
      <c r="V94" s="34"/>
      <c r="W94" s="34"/>
      <c r="X94" s="34"/>
      <c r="Y94" s="34"/>
      <c r="Z94" s="34"/>
    </row>
    <row r="95" spans="1:26" ht="23.25" customHeight="1" x14ac:dyDescent="0.2">
      <c r="A95" s="203" t="s">
        <v>281</v>
      </c>
      <c r="B95" s="72" t="s">
        <v>282</v>
      </c>
      <c r="C95" s="185">
        <f>SUMPRODUCT(-('Diário 5º PA'!$E$5:$E$2634='Analítico Cx.'!$B95),-('Diário 5º PA'!$P$5:$P$2634=C$1),('Diário 5º PA'!$F$5:$F$2634))+
SUMPRODUCT(-('Diário 6º PA'!$E$5:$E$2246='Analítico Cx.'!$B95),-('Diário 6º PA'!$P$5:$P$2246=C$1),('Diário 6º PA'!$F$5:$F$2246))+
SUMPRODUCT(-('Diário 7º PA'!$E$5:$E$2271='Analítico Cx.'!$B95),-('Diário 7º PA'!$P$5:$P$2271=C$1),('Diário 7º PA'!$F$5:$F$2271))+
SUMPRODUCT(-('Diário 8º PA'!$E$5:$E$2488='Analítico Cx.'!$B95),-('Diário 8º PA'!$P$5:$P$2488=C$1),('Diário 8º PA'!$F$5:$F$2488))</f>
        <v>0</v>
      </c>
      <c r="D95" s="185">
        <f>SUMPRODUCT(-('Diário 5º PA'!$E$5:$E$2634='Analítico Cx.'!$B95),-('Diário 5º PA'!$P$5:$P$2634=D$1),('Diário 5º PA'!$F$5:$F$2634))+
SUMPRODUCT(-('Diário 6º PA'!$E$5:$E$2246='Analítico Cx.'!$B95),-('Diário 6º PA'!$P$5:$P$2246=D$1),('Diário 6º PA'!$F$5:$F$2246))+
SUMPRODUCT(-('Diário 7º PA'!$E$5:$E$2271='Analítico Cx.'!$B95),-('Diário 7º PA'!$P$5:$P$2271=D$1),('Diário 7º PA'!$F$5:$F$2271))+
SUMPRODUCT(-('Diário 8º PA'!$E$5:$E$2488='Analítico Cx.'!$B95),-('Diário 8º PA'!$P$5:$P$2488=D$1),('Diário 8º PA'!$F$5:$F$2488))</f>
        <v>0</v>
      </c>
      <c r="E95" s="185">
        <f>SUMPRODUCT(-('Diário 5º PA'!$E$5:$E$2634='Analítico Cx.'!$B95),-('Diário 5º PA'!$P$5:$P$2634=E$1),('Diário 5º PA'!$F$5:$F$2634))+
SUMPRODUCT(-('Diário 6º PA'!$E$5:$E$2246='Analítico Cx.'!$B95),-('Diário 6º PA'!$P$5:$P$2246=E$1),('Diário 6º PA'!$F$5:$F$2246))+
SUMPRODUCT(-('Diário 7º PA'!$E$5:$E$2271='Analítico Cx.'!$B95),-('Diário 7º PA'!$P$5:$P$2271=E$1),('Diário 7º PA'!$F$5:$F$2271))+
SUMPRODUCT(-('Diário 8º PA'!$E$5:$E$2488='Analítico Cx.'!$B95),-('Diário 8º PA'!$P$5:$P$2488=E$1),('Diário 8º PA'!$F$5:$F$2488))</f>
        <v>0</v>
      </c>
      <c r="F95" s="185">
        <f>SUMPRODUCT(-('Diário 5º PA'!$E$5:$E$2634='Analítico Cx.'!$B95),-('Diário 5º PA'!$P$5:$P$2634=F$1),('Diário 5º PA'!$F$5:$F$2634))+
SUMPRODUCT(-('Diário 6º PA'!$E$5:$E$2246='Analítico Cx.'!$B95),-('Diário 6º PA'!$P$5:$P$2246=F$1),('Diário 6º PA'!$F$5:$F$2246))+
SUMPRODUCT(-('Diário 7º PA'!$E$5:$E$2271='Analítico Cx.'!$B95),-('Diário 7º PA'!$P$5:$P$2271=F$1),('Diário 7º PA'!$F$5:$F$2271))+
SUMPRODUCT(-('Diário 8º PA'!$E$5:$E$2488='Analítico Cx.'!$B95),-('Diário 8º PA'!$P$5:$P$2488=F$1),('Diário 8º PA'!$F$5:$F$2488))</f>
        <v>0</v>
      </c>
      <c r="G95" s="185">
        <f>SUMPRODUCT(-('Diário 5º PA'!$E$5:$E$2634='Analítico Cx.'!$B95),-('Diário 5º PA'!$P$5:$P$2634=G$1),('Diário 5º PA'!$F$5:$F$2634))+
SUMPRODUCT(-('Diário 6º PA'!$E$5:$E$2246='Analítico Cx.'!$B95),-('Diário 6º PA'!$P$5:$P$2246=G$1),('Diário 6º PA'!$F$5:$F$2246))+
SUMPRODUCT(-('Diário 7º PA'!$E$5:$E$2271='Analítico Cx.'!$B95),-('Diário 7º PA'!$P$5:$P$2271=G$1),('Diário 7º PA'!$F$5:$F$2271))+
SUMPRODUCT(-('Diário 8º PA'!$E$5:$E$2488='Analítico Cx.'!$B95),-('Diário 8º PA'!$P$5:$P$2488=G$1),('Diário 8º PA'!$F$5:$F$2488))</f>
        <v>0</v>
      </c>
      <c r="H95" s="185">
        <f>SUMPRODUCT(-('Diário 5º PA'!$E$5:$E$2634='Analítico Cx.'!$B95),-('Diário 5º PA'!$P$5:$P$2634=H$1),('Diário 5º PA'!$F$5:$F$2634))+
SUMPRODUCT(-('Diário 6º PA'!$E$5:$E$2246='Analítico Cx.'!$B95),-('Diário 6º PA'!$P$5:$P$2246=H$1),('Diário 6º PA'!$F$5:$F$2246))+
SUMPRODUCT(-('Diário 7º PA'!$E$5:$E$2271='Analítico Cx.'!$B95),-('Diário 7º PA'!$P$5:$P$2271=H$1),('Diário 7º PA'!$F$5:$F$2271))+
SUMPRODUCT(-('Diário 8º PA'!$E$5:$E$2488='Analítico Cx.'!$B95),-('Diário 8º PA'!$P$5:$P$2488=H$1),('Diário 8º PA'!$F$5:$F$2488))</f>
        <v>0</v>
      </c>
      <c r="I95" s="185">
        <f>SUMPRODUCT(-('Diário 5º PA'!$E$5:$E$2634='Analítico Cx.'!$B95),-('Diário 5º PA'!$P$5:$P$2634=I$1),('Diário 5º PA'!$F$5:$F$2634))+
SUMPRODUCT(-('Diário 6º PA'!$E$5:$E$2246='Analítico Cx.'!$B95),-('Diário 6º PA'!$P$5:$P$2246=I$1),('Diário 6º PA'!$F$5:$F$2246))+
SUMPRODUCT(-('Diário 7º PA'!$E$5:$E$2271='Analítico Cx.'!$B95),-('Diário 7º PA'!$P$5:$P$2271=I$1),('Diário 7º PA'!$F$5:$F$2271))+
SUMPRODUCT(-('Diário 8º PA'!$E$5:$E$2488='Analítico Cx.'!$B95),-('Diário 8º PA'!$P$5:$P$2488=I$1),('Diário 8º PA'!$F$5:$F$2488))</f>
        <v>0</v>
      </c>
      <c r="J95" s="185">
        <f>SUMPRODUCT(-('Diário 5º PA'!$E$5:$E$2634='Analítico Cx.'!$B95),-('Diário 5º PA'!$P$5:$P$2634=J$1),('Diário 5º PA'!$F$5:$F$2634))+
SUMPRODUCT(-('Diário 6º PA'!$E$5:$E$2246='Analítico Cx.'!$B95),-('Diário 6º PA'!$P$5:$P$2246=J$1),('Diário 6º PA'!$F$5:$F$2246))+
SUMPRODUCT(-('Diário 7º PA'!$E$5:$E$2271='Analítico Cx.'!$B95),-('Diário 7º PA'!$P$5:$P$2271=J$1),('Diário 7º PA'!$F$5:$F$2271))+
SUMPRODUCT(-('Diário 8º PA'!$E$5:$E$2488='Analítico Cx.'!$B95),-('Diário 8º PA'!$P$5:$P$2488=J$1),('Diário 8º PA'!$F$5:$F$2488))</f>
        <v>0</v>
      </c>
      <c r="K95" s="185">
        <f>SUMPRODUCT(-('Diário 5º PA'!$E$5:$E$2634='Analítico Cx.'!$B95),-('Diário 5º PA'!$P$5:$P$2634=K$1),('Diário 5º PA'!$F$5:$F$2634))+
SUMPRODUCT(-('Diário 6º PA'!$E$5:$E$2246='Analítico Cx.'!$B95),-('Diário 6º PA'!$P$5:$P$2246=K$1),('Diário 6º PA'!$F$5:$F$2246))+
SUMPRODUCT(-('Diário 7º PA'!$E$5:$E$2271='Analítico Cx.'!$B95),-('Diário 7º PA'!$P$5:$P$2271=K$1),('Diário 7º PA'!$F$5:$F$2271))+
SUMPRODUCT(-('Diário 8º PA'!$E$5:$E$2488='Analítico Cx.'!$B95),-('Diário 8º PA'!$P$5:$P$2488=K$1),('Diário 8º PA'!$F$5:$F$2488))</f>
        <v>0</v>
      </c>
      <c r="L95" s="185">
        <f>SUMPRODUCT(-('Diário 5º PA'!$E$5:$E$2634='Analítico Cx.'!$B95),-('Diário 5º PA'!$P$5:$P$2634=L$1),('Diário 5º PA'!$F$5:$F$2634))+
SUMPRODUCT(-('Diário 6º PA'!$E$5:$E$2246='Analítico Cx.'!$B95),-('Diário 6º PA'!$P$5:$P$2246=L$1),('Diário 6º PA'!$F$5:$F$2246))+
SUMPRODUCT(-('Diário 7º PA'!$E$5:$E$2271='Analítico Cx.'!$B95),-('Diário 7º PA'!$P$5:$P$2271=L$1),('Diário 7º PA'!$F$5:$F$2271))+
SUMPRODUCT(-('Diário 8º PA'!$E$5:$E$2488='Analítico Cx.'!$B95),-('Diário 8º PA'!$P$5:$P$2488=L$1),('Diário 8º PA'!$F$5:$F$2488))</f>
        <v>0</v>
      </c>
      <c r="M95" s="185">
        <f>SUMPRODUCT(-('Diário 5º PA'!$E$5:$E$2634='Analítico Cx.'!$B95),-('Diário 5º PA'!$P$5:$P$2634=M$1),('Diário 5º PA'!$F$5:$F$2634))+
SUMPRODUCT(-('Diário 6º PA'!$E$5:$E$2246='Analítico Cx.'!$B95),-('Diário 6º PA'!$P$5:$P$2246=M$1),('Diário 6º PA'!$F$5:$F$2246))+
SUMPRODUCT(-('Diário 7º PA'!$E$5:$E$2271='Analítico Cx.'!$B95),-('Diário 7º PA'!$P$5:$P$2271=M$1),('Diário 7º PA'!$F$5:$F$2271))+
SUMPRODUCT(-('Diário 8º PA'!$E$5:$E$2488='Analítico Cx.'!$B95),-('Diário 8º PA'!$P$5:$P$2488=M$1),('Diário 8º PA'!$F$5:$F$2488))</f>
        <v>0</v>
      </c>
      <c r="N95" s="185">
        <f>SUMPRODUCT(-('Diário 5º PA'!$E$5:$E$2634='Analítico Cx.'!$B95),-('Diário 5º PA'!$P$5:$P$2634=N$1),('Diário 5º PA'!$F$5:$F$2634))+
SUMPRODUCT(-('Diário 6º PA'!$E$5:$E$2246='Analítico Cx.'!$B95),-('Diário 6º PA'!$P$5:$P$2246=N$1),('Diário 6º PA'!$F$5:$F$2246))+
SUMPRODUCT(-('Diário 7º PA'!$E$5:$E$2271='Analítico Cx.'!$B95),-('Diário 7º PA'!$P$5:$P$2271=N$1),('Diário 7º PA'!$F$5:$F$2271))+
SUMPRODUCT(-('Diário 8º PA'!$E$5:$E$2488='Analítico Cx.'!$B95),-('Diário 8º PA'!$P$5:$P$2488=N$1),('Diário 8º PA'!$F$5:$F$2488))</f>
        <v>0</v>
      </c>
      <c r="O95" s="186">
        <f t="shared" si="16"/>
        <v>0</v>
      </c>
      <c r="P95" s="187">
        <f t="shared" si="17"/>
        <v>0</v>
      </c>
      <c r="Q95" s="34"/>
      <c r="R95" s="34"/>
      <c r="S95" s="34"/>
      <c r="T95" s="34"/>
      <c r="U95" s="34"/>
      <c r="V95" s="34"/>
      <c r="W95" s="34"/>
      <c r="X95" s="34"/>
      <c r="Y95" s="34"/>
      <c r="Z95" s="34"/>
    </row>
    <row r="96" spans="1:26" ht="23.25" customHeight="1" x14ac:dyDescent="0.2">
      <c r="A96" s="203" t="s">
        <v>283</v>
      </c>
      <c r="B96" s="72" t="s">
        <v>284</v>
      </c>
      <c r="C96" s="185">
        <f>SUMPRODUCT(-('Diário 5º PA'!$E$5:$E$2634='Analítico Cx.'!$B96),-('Diário 5º PA'!$P$5:$P$2634=C$1),('Diário 5º PA'!$F$5:$F$2634))+
SUMPRODUCT(-('Diário 6º PA'!$E$5:$E$2246='Analítico Cx.'!$B96),-('Diário 6º PA'!$P$5:$P$2246=C$1),('Diário 6º PA'!$F$5:$F$2246))+
SUMPRODUCT(-('Diário 7º PA'!$E$5:$E$2271='Analítico Cx.'!$B96),-('Diário 7º PA'!$P$5:$P$2271=C$1),('Diário 7º PA'!$F$5:$F$2271))+
SUMPRODUCT(-('Diário 8º PA'!$E$5:$E$2488='Analítico Cx.'!$B96),-('Diário 8º PA'!$P$5:$P$2488=C$1),('Diário 8º PA'!$F$5:$F$2488))</f>
        <v>0</v>
      </c>
      <c r="D96" s="185">
        <f>SUMPRODUCT(-('Diário 5º PA'!$E$5:$E$2634='Analítico Cx.'!$B96),-('Diário 5º PA'!$P$5:$P$2634=D$1),('Diário 5º PA'!$F$5:$F$2634))+
SUMPRODUCT(-('Diário 6º PA'!$E$5:$E$2246='Analítico Cx.'!$B96),-('Diário 6º PA'!$P$5:$P$2246=D$1),('Diário 6º PA'!$F$5:$F$2246))+
SUMPRODUCT(-('Diário 7º PA'!$E$5:$E$2271='Analítico Cx.'!$B96),-('Diário 7º PA'!$P$5:$P$2271=D$1),('Diário 7º PA'!$F$5:$F$2271))+
SUMPRODUCT(-('Diário 8º PA'!$E$5:$E$2488='Analítico Cx.'!$B96),-('Diário 8º PA'!$P$5:$P$2488=D$1),('Diário 8º PA'!$F$5:$F$2488))</f>
        <v>0</v>
      </c>
      <c r="E96" s="185">
        <f>SUMPRODUCT(-('Diário 5º PA'!$E$5:$E$2634='Analítico Cx.'!$B96),-('Diário 5º PA'!$P$5:$P$2634=E$1),('Diário 5º PA'!$F$5:$F$2634))+
SUMPRODUCT(-('Diário 6º PA'!$E$5:$E$2246='Analítico Cx.'!$B96),-('Diário 6º PA'!$P$5:$P$2246=E$1),('Diário 6º PA'!$F$5:$F$2246))+
SUMPRODUCT(-('Diário 7º PA'!$E$5:$E$2271='Analítico Cx.'!$B96),-('Diário 7º PA'!$P$5:$P$2271=E$1),('Diário 7º PA'!$F$5:$F$2271))+
SUMPRODUCT(-('Diário 8º PA'!$E$5:$E$2488='Analítico Cx.'!$B96),-('Diário 8º PA'!$P$5:$P$2488=E$1),('Diário 8º PA'!$F$5:$F$2488))</f>
        <v>0</v>
      </c>
      <c r="F96" s="185">
        <f>SUMPRODUCT(-('Diário 5º PA'!$E$5:$E$2634='Analítico Cx.'!$B96),-('Diário 5º PA'!$P$5:$P$2634=F$1),('Diário 5º PA'!$F$5:$F$2634))+
SUMPRODUCT(-('Diário 6º PA'!$E$5:$E$2246='Analítico Cx.'!$B96),-('Diário 6º PA'!$P$5:$P$2246=F$1),('Diário 6º PA'!$F$5:$F$2246))+
SUMPRODUCT(-('Diário 7º PA'!$E$5:$E$2271='Analítico Cx.'!$B96),-('Diário 7º PA'!$P$5:$P$2271=F$1),('Diário 7º PA'!$F$5:$F$2271))+
SUMPRODUCT(-('Diário 8º PA'!$E$5:$E$2488='Analítico Cx.'!$B96),-('Diário 8º PA'!$P$5:$P$2488=F$1),('Diário 8º PA'!$F$5:$F$2488))</f>
        <v>1195.75</v>
      </c>
      <c r="G96" s="185">
        <f>SUMPRODUCT(-('Diário 5º PA'!$E$5:$E$2634='Analítico Cx.'!$B96),-('Diário 5º PA'!$P$5:$P$2634=G$1),('Diário 5º PA'!$F$5:$F$2634))+
SUMPRODUCT(-('Diário 6º PA'!$E$5:$E$2246='Analítico Cx.'!$B96),-('Diário 6º PA'!$P$5:$P$2246=G$1),('Diário 6º PA'!$F$5:$F$2246))+
SUMPRODUCT(-('Diário 7º PA'!$E$5:$E$2271='Analítico Cx.'!$B96),-('Diário 7º PA'!$P$5:$P$2271=G$1),('Diário 7º PA'!$F$5:$F$2271))+
SUMPRODUCT(-('Diário 8º PA'!$E$5:$E$2488='Analítico Cx.'!$B96),-('Diário 8º PA'!$P$5:$P$2488=G$1),('Diário 8º PA'!$F$5:$F$2488))</f>
        <v>0</v>
      </c>
      <c r="H96" s="185">
        <f>SUMPRODUCT(-('Diário 5º PA'!$E$5:$E$2634='Analítico Cx.'!$B96),-('Diário 5º PA'!$P$5:$P$2634=H$1),('Diário 5º PA'!$F$5:$F$2634))+
SUMPRODUCT(-('Diário 6º PA'!$E$5:$E$2246='Analítico Cx.'!$B96),-('Diário 6º PA'!$P$5:$P$2246=H$1),('Diário 6º PA'!$F$5:$F$2246))+
SUMPRODUCT(-('Diário 7º PA'!$E$5:$E$2271='Analítico Cx.'!$B96),-('Diário 7º PA'!$P$5:$P$2271=H$1),('Diário 7º PA'!$F$5:$F$2271))+
SUMPRODUCT(-('Diário 8º PA'!$E$5:$E$2488='Analítico Cx.'!$B96),-('Diário 8º PA'!$P$5:$P$2488=H$1),('Diário 8º PA'!$F$5:$F$2488))</f>
        <v>0</v>
      </c>
      <c r="I96" s="185">
        <f>SUMPRODUCT(-('Diário 5º PA'!$E$5:$E$2634='Analítico Cx.'!$B96),-('Diário 5º PA'!$P$5:$P$2634=I$1),('Diário 5º PA'!$F$5:$F$2634))+
SUMPRODUCT(-('Diário 6º PA'!$E$5:$E$2246='Analítico Cx.'!$B96),-('Diário 6º PA'!$P$5:$P$2246=I$1),('Diário 6º PA'!$F$5:$F$2246))+
SUMPRODUCT(-('Diário 7º PA'!$E$5:$E$2271='Analítico Cx.'!$B96),-('Diário 7º PA'!$P$5:$P$2271=I$1),('Diário 7º PA'!$F$5:$F$2271))+
SUMPRODUCT(-('Diário 8º PA'!$E$5:$E$2488='Analítico Cx.'!$B96),-('Diário 8º PA'!$P$5:$P$2488=I$1),('Diário 8º PA'!$F$5:$F$2488))</f>
        <v>491.14</v>
      </c>
      <c r="J96" s="185">
        <f>SUMPRODUCT(-('Diário 5º PA'!$E$5:$E$2634='Analítico Cx.'!$B96),-('Diário 5º PA'!$P$5:$P$2634=J$1),('Diário 5º PA'!$F$5:$F$2634))+
SUMPRODUCT(-('Diário 6º PA'!$E$5:$E$2246='Analítico Cx.'!$B96),-('Diário 6º PA'!$P$5:$P$2246=J$1),('Diário 6º PA'!$F$5:$F$2246))+
SUMPRODUCT(-('Diário 7º PA'!$E$5:$E$2271='Analítico Cx.'!$B96),-('Diário 7º PA'!$P$5:$P$2271=J$1),('Diário 7º PA'!$F$5:$F$2271))+
SUMPRODUCT(-('Diário 8º PA'!$E$5:$E$2488='Analítico Cx.'!$B96),-('Diário 8º PA'!$P$5:$P$2488=J$1),('Diário 8º PA'!$F$5:$F$2488))</f>
        <v>486.47999999999996</v>
      </c>
      <c r="K96" s="185">
        <f>SUMPRODUCT(-('Diário 5º PA'!$E$5:$E$2634='Analítico Cx.'!$B96),-('Diário 5º PA'!$P$5:$P$2634=K$1),('Diário 5º PA'!$F$5:$F$2634))+
SUMPRODUCT(-('Diário 6º PA'!$E$5:$E$2246='Analítico Cx.'!$B96),-('Diário 6º PA'!$P$5:$P$2246=K$1),('Diário 6º PA'!$F$5:$F$2246))+
SUMPRODUCT(-('Diário 7º PA'!$E$5:$E$2271='Analítico Cx.'!$B96),-('Diário 7º PA'!$P$5:$P$2271=K$1),('Diário 7º PA'!$F$5:$F$2271))+
SUMPRODUCT(-('Diário 8º PA'!$E$5:$E$2488='Analítico Cx.'!$B96),-('Diário 8º PA'!$P$5:$P$2488=K$1),('Diário 8º PA'!$F$5:$F$2488))</f>
        <v>0</v>
      </c>
      <c r="L96" s="185">
        <f>SUMPRODUCT(-('Diário 5º PA'!$E$5:$E$2634='Analítico Cx.'!$B96),-('Diário 5º PA'!$P$5:$P$2634=L$1),('Diário 5º PA'!$F$5:$F$2634))+
SUMPRODUCT(-('Diário 6º PA'!$E$5:$E$2246='Analítico Cx.'!$B96),-('Diário 6º PA'!$P$5:$P$2246=L$1),('Diário 6º PA'!$F$5:$F$2246))+
SUMPRODUCT(-('Diário 7º PA'!$E$5:$E$2271='Analítico Cx.'!$B96),-('Diário 7º PA'!$P$5:$P$2271=L$1),('Diário 7º PA'!$F$5:$F$2271))+
SUMPRODUCT(-('Diário 8º PA'!$E$5:$E$2488='Analítico Cx.'!$B96),-('Diário 8º PA'!$P$5:$P$2488=L$1),('Diário 8º PA'!$F$5:$F$2488))</f>
        <v>0</v>
      </c>
      <c r="M96" s="185">
        <f>SUMPRODUCT(-('Diário 5º PA'!$E$5:$E$2634='Analítico Cx.'!$B96),-('Diário 5º PA'!$P$5:$P$2634=M$1),('Diário 5º PA'!$F$5:$F$2634))+
SUMPRODUCT(-('Diário 6º PA'!$E$5:$E$2246='Analítico Cx.'!$B96),-('Diário 6º PA'!$P$5:$P$2246=M$1),('Diário 6º PA'!$F$5:$F$2246))+
SUMPRODUCT(-('Diário 7º PA'!$E$5:$E$2271='Analítico Cx.'!$B96),-('Diário 7º PA'!$P$5:$P$2271=M$1),('Diário 7º PA'!$F$5:$F$2271))+
SUMPRODUCT(-('Diário 8º PA'!$E$5:$E$2488='Analítico Cx.'!$B96),-('Diário 8º PA'!$P$5:$P$2488=M$1),('Diário 8º PA'!$F$5:$F$2488))</f>
        <v>201.86</v>
      </c>
      <c r="N96" s="185">
        <f>SUMPRODUCT(-('Diário 5º PA'!$E$5:$E$2634='Analítico Cx.'!$B96),-('Diário 5º PA'!$P$5:$P$2634=N$1),('Diário 5º PA'!$F$5:$F$2634))+
SUMPRODUCT(-('Diário 6º PA'!$E$5:$E$2246='Analítico Cx.'!$B96),-('Diário 6º PA'!$P$5:$P$2246=N$1),('Diário 6º PA'!$F$5:$F$2246))+
SUMPRODUCT(-('Diário 7º PA'!$E$5:$E$2271='Analítico Cx.'!$B96),-('Diário 7º PA'!$P$5:$P$2271=N$1),('Diário 7º PA'!$F$5:$F$2271))+
SUMPRODUCT(-('Diário 8º PA'!$E$5:$E$2488='Analítico Cx.'!$B96),-('Diário 8º PA'!$P$5:$P$2488=N$1),('Diário 8º PA'!$F$5:$F$2488))</f>
        <v>978.6</v>
      </c>
      <c r="O96" s="186">
        <f t="shared" si="16"/>
        <v>3353.83</v>
      </c>
      <c r="P96" s="187">
        <f t="shared" si="17"/>
        <v>3.5584538766723797E-4</v>
      </c>
      <c r="Q96" s="34"/>
      <c r="R96" s="34"/>
      <c r="S96" s="34"/>
      <c r="T96" s="34"/>
      <c r="U96" s="34"/>
      <c r="V96" s="34"/>
      <c r="W96" s="34"/>
      <c r="X96" s="34"/>
      <c r="Y96" s="34"/>
      <c r="Z96" s="34"/>
    </row>
    <row r="97" spans="1:26" ht="23.25" customHeight="1" x14ac:dyDescent="0.2">
      <c r="A97" s="203" t="s">
        <v>285</v>
      </c>
      <c r="B97" s="72" t="s">
        <v>286</v>
      </c>
      <c r="C97" s="185">
        <f>SUMPRODUCT(-('Diário 5º PA'!$E$5:$E$2634='Analítico Cx.'!$B97),-('Diário 5º PA'!$P$5:$P$2634=C$1),('Diário 5º PA'!$F$5:$F$2634))+
SUMPRODUCT(-('Diário 6º PA'!$E$5:$E$2246='Analítico Cx.'!$B97),-('Diário 6º PA'!$P$5:$P$2246=C$1),('Diário 6º PA'!$F$5:$F$2246))+
SUMPRODUCT(-('Diário 7º PA'!$E$5:$E$2271='Analítico Cx.'!$B97),-('Diário 7º PA'!$P$5:$P$2271=C$1),('Diário 7º PA'!$F$5:$F$2271))+
SUMPRODUCT(-('Diário 8º PA'!$E$5:$E$2488='Analítico Cx.'!$B97),-('Diário 8º PA'!$P$5:$P$2488=C$1),('Diário 8º PA'!$F$5:$F$2488))</f>
        <v>0</v>
      </c>
      <c r="D97" s="185">
        <f>SUMPRODUCT(-('Diário 5º PA'!$E$5:$E$2634='Analítico Cx.'!$B97),-('Diário 5º PA'!$P$5:$P$2634=D$1),('Diário 5º PA'!$F$5:$F$2634))+
SUMPRODUCT(-('Diário 6º PA'!$E$5:$E$2246='Analítico Cx.'!$B97),-('Diário 6º PA'!$P$5:$P$2246=D$1),('Diário 6º PA'!$F$5:$F$2246))+
SUMPRODUCT(-('Diário 7º PA'!$E$5:$E$2271='Analítico Cx.'!$B97),-('Diário 7º PA'!$P$5:$P$2271=D$1),('Diário 7º PA'!$F$5:$F$2271))+
SUMPRODUCT(-('Diário 8º PA'!$E$5:$E$2488='Analítico Cx.'!$B97),-('Diário 8º PA'!$P$5:$P$2488=D$1),('Diário 8º PA'!$F$5:$F$2488))</f>
        <v>0</v>
      </c>
      <c r="E97" s="185">
        <f>SUMPRODUCT(-('Diário 5º PA'!$E$5:$E$2634='Analítico Cx.'!$B97),-('Diário 5º PA'!$P$5:$P$2634=E$1),('Diário 5º PA'!$F$5:$F$2634))+
SUMPRODUCT(-('Diário 6º PA'!$E$5:$E$2246='Analítico Cx.'!$B97),-('Diário 6º PA'!$P$5:$P$2246=E$1),('Diário 6º PA'!$F$5:$F$2246))+
SUMPRODUCT(-('Diário 7º PA'!$E$5:$E$2271='Analítico Cx.'!$B97),-('Diário 7º PA'!$P$5:$P$2271=E$1),('Diário 7º PA'!$F$5:$F$2271))+
SUMPRODUCT(-('Diário 8º PA'!$E$5:$E$2488='Analítico Cx.'!$B97),-('Diário 8º PA'!$P$5:$P$2488=E$1),('Diário 8º PA'!$F$5:$F$2488))</f>
        <v>0</v>
      </c>
      <c r="F97" s="185">
        <f>SUMPRODUCT(-('Diário 5º PA'!$E$5:$E$2634='Analítico Cx.'!$B97),-('Diário 5º PA'!$P$5:$P$2634=F$1),('Diário 5º PA'!$F$5:$F$2634))+
SUMPRODUCT(-('Diário 6º PA'!$E$5:$E$2246='Analítico Cx.'!$B97),-('Diário 6º PA'!$P$5:$P$2246=F$1),('Diário 6º PA'!$F$5:$F$2246))+
SUMPRODUCT(-('Diário 7º PA'!$E$5:$E$2271='Analítico Cx.'!$B97),-('Diário 7º PA'!$P$5:$P$2271=F$1),('Diário 7º PA'!$F$5:$F$2271))+
SUMPRODUCT(-('Diário 8º PA'!$E$5:$E$2488='Analítico Cx.'!$B97),-('Diário 8º PA'!$P$5:$P$2488=F$1),('Diário 8º PA'!$F$5:$F$2488))</f>
        <v>0</v>
      </c>
      <c r="G97" s="185">
        <f>SUMPRODUCT(-('Diário 5º PA'!$E$5:$E$2634='Analítico Cx.'!$B97),-('Diário 5º PA'!$P$5:$P$2634=G$1),('Diário 5º PA'!$F$5:$F$2634))+
SUMPRODUCT(-('Diário 6º PA'!$E$5:$E$2246='Analítico Cx.'!$B97),-('Diário 6º PA'!$P$5:$P$2246=G$1),('Diário 6º PA'!$F$5:$F$2246))+
SUMPRODUCT(-('Diário 7º PA'!$E$5:$E$2271='Analítico Cx.'!$B97),-('Diário 7º PA'!$P$5:$P$2271=G$1),('Diário 7º PA'!$F$5:$F$2271))+
SUMPRODUCT(-('Diário 8º PA'!$E$5:$E$2488='Analítico Cx.'!$B97),-('Diário 8º PA'!$P$5:$P$2488=G$1),('Diário 8º PA'!$F$5:$F$2488))</f>
        <v>0</v>
      </c>
      <c r="H97" s="185">
        <f>SUMPRODUCT(-('Diário 5º PA'!$E$5:$E$2634='Analítico Cx.'!$B97),-('Diário 5º PA'!$P$5:$P$2634=H$1),('Diário 5º PA'!$F$5:$F$2634))+
SUMPRODUCT(-('Diário 6º PA'!$E$5:$E$2246='Analítico Cx.'!$B97),-('Diário 6º PA'!$P$5:$P$2246=H$1),('Diário 6º PA'!$F$5:$F$2246))+
SUMPRODUCT(-('Diário 7º PA'!$E$5:$E$2271='Analítico Cx.'!$B97),-('Diário 7º PA'!$P$5:$P$2271=H$1),('Diário 7º PA'!$F$5:$F$2271))+
SUMPRODUCT(-('Diário 8º PA'!$E$5:$E$2488='Analítico Cx.'!$B97),-('Diário 8º PA'!$P$5:$P$2488=H$1),('Diário 8º PA'!$F$5:$F$2488))</f>
        <v>0</v>
      </c>
      <c r="I97" s="185">
        <f>SUMPRODUCT(-('Diário 5º PA'!$E$5:$E$2634='Analítico Cx.'!$B97),-('Diário 5º PA'!$P$5:$P$2634=I$1),('Diário 5º PA'!$F$5:$F$2634))+
SUMPRODUCT(-('Diário 6º PA'!$E$5:$E$2246='Analítico Cx.'!$B97),-('Diário 6º PA'!$P$5:$P$2246=I$1),('Diário 6º PA'!$F$5:$F$2246))+
SUMPRODUCT(-('Diário 7º PA'!$E$5:$E$2271='Analítico Cx.'!$B97),-('Diário 7º PA'!$P$5:$P$2271=I$1),('Diário 7º PA'!$F$5:$F$2271))+
SUMPRODUCT(-('Diário 8º PA'!$E$5:$E$2488='Analítico Cx.'!$B97),-('Diário 8º PA'!$P$5:$P$2488=I$1),('Diário 8º PA'!$F$5:$F$2488))</f>
        <v>0</v>
      </c>
      <c r="J97" s="185">
        <f>SUMPRODUCT(-('Diário 5º PA'!$E$5:$E$2634='Analítico Cx.'!$B97),-('Diário 5º PA'!$P$5:$P$2634=J$1),('Diário 5º PA'!$F$5:$F$2634))+
SUMPRODUCT(-('Diário 6º PA'!$E$5:$E$2246='Analítico Cx.'!$B97),-('Diário 6º PA'!$P$5:$P$2246=J$1),('Diário 6º PA'!$F$5:$F$2246))+
SUMPRODUCT(-('Diário 7º PA'!$E$5:$E$2271='Analítico Cx.'!$B97),-('Diário 7º PA'!$P$5:$P$2271=J$1),('Diário 7º PA'!$F$5:$F$2271))+
SUMPRODUCT(-('Diário 8º PA'!$E$5:$E$2488='Analítico Cx.'!$B97),-('Diário 8º PA'!$P$5:$P$2488=J$1),('Diário 8º PA'!$F$5:$F$2488))</f>
        <v>0</v>
      </c>
      <c r="K97" s="185">
        <f>SUMPRODUCT(-('Diário 5º PA'!$E$5:$E$2634='Analítico Cx.'!$B97),-('Diário 5º PA'!$P$5:$P$2634=K$1),('Diário 5º PA'!$F$5:$F$2634))+
SUMPRODUCT(-('Diário 6º PA'!$E$5:$E$2246='Analítico Cx.'!$B97),-('Diário 6º PA'!$P$5:$P$2246=K$1),('Diário 6º PA'!$F$5:$F$2246))+
SUMPRODUCT(-('Diário 7º PA'!$E$5:$E$2271='Analítico Cx.'!$B97),-('Diário 7º PA'!$P$5:$P$2271=K$1),('Diário 7º PA'!$F$5:$F$2271))+
SUMPRODUCT(-('Diário 8º PA'!$E$5:$E$2488='Analítico Cx.'!$B97),-('Diário 8º PA'!$P$5:$P$2488=K$1),('Diário 8º PA'!$F$5:$F$2488))</f>
        <v>0</v>
      </c>
      <c r="L97" s="185">
        <f>SUMPRODUCT(-('Diário 5º PA'!$E$5:$E$2634='Analítico Cx.'!$B97),-('Diário 5º PA'!$P$5:$P$2634=L$1),('Diário 5º PA'!$F$5:$F$2634))+
SUMPRODUCT(-('Diário 6º PA'!$E$5:$E$2246='Analítico Cx.'!$B97),-('Diário 6º PA'!$P$5:$P$2246=L$1),('Diário 6º PA'!$F$5:$F$2246))+
SUMPRODUCT(-('Diário 7º PA'!$E$5:$E$2271='Analítico Cx.'!$B97),-('Diário 7º PA'!$P$5:$P$2271=L$1),('Diário 7º PA'!$F$5:$F$2271))+
SUMPRODUCT(-('Diário 8º PA'!$E$5:$E$2488='Analítico Cx.'!$B97),-('Diário 8º PA'!$P$5:$P$2488=L$1),('Diário 8º PA'!$F$5:$F$2488))</f>
        <v>0</v>
      </c>
      <c r="M97" s="185">
        <f>SUMPRODUCT(-('Diário 5º PA'!$E$5:$E$2634='Analítico Cx.'!$B97),-('Diário 5º PA'!$P$5:$P$2634=M$1),('Diário 5º PA'!$F$5:$F$2634))+
SUMPRODUCT(-('Diário 6º PA'!$E$5:$E$2246='Analítico Cx.'!$B97),-('Diário 6º PA'!$P$5:$P$2246=M$1),('Diário 6º PA'!$F$5:$F$2246))+
SUMPRODUCT(-('Diário 7º PA'!$E$5:$E$2271='Analítico Cx.'!$B97),-('Diário 7º PA'!$P$5:$P$2271=M$1),('Diário 7º PA'!$F$5:$F$2271))+
SUMPRODUCT(-('Diário 8º PA'!$E$5:$E$2488='Analítico Cx.'!$B97),-('Diário 8º PA'!$P$5:$P$2488=M$1),('Diário 8º PA'!$F$5:$F$2488))</f>
        <v>0</v>
      </c>
      <c r="N97" s="185">
        <f>SUMPRODUCT(-('Diário 5º PA'!$E$5:$E$2634='Analítico Cx.'!$B97),-('Diário 5º PA'!$P$5:$P$2634=N$1),('Diário 5º PA'!$F$5:$F$2634))+
SUMPRODUCT(-('Diário 6º PA'!$E$5:$E$2246='Analítico Cx.'!$B97),-('Diário 6º PA'!$P$5:$P$2246=N$1),('Diário 6º PA'!$F$5:$F$2246))+
SUMPRODUCT(-('Diário 7º PA'!$E$5:$E$2271='Analítico Cx.'!$B97),-('Diário 7º PA'!$P$5:$P$2271=N$1),('Diário 7º PA'!$F$5:$F$2271))+
SUMPRODUCT(-('Diário 8º PA'!$E$5:$E$2488='Analítico Cx.'!$B97),-('Diário 8º PA'!$P$5:$P$2488=N$1),('Diário 8º PA'!$F$5:$F$2488))</f>
        <v>0</v>
      </c>
      <c r="O97" s="186">
        <f t="shared" si="16"/>
        <v>0</v>
      </c>
      <c r="P97" s="187">
        <f t="shared" si="17"/>
        <v>0</v>
      </c>
      <c r="Q97" s="34"/>
      <c r="R97" s="34"/>
      <c r="S97" s="34"/>
      <c r="T97" s="34"/>
      <c r="U97" s="34"/>
      <c r="V97" s="34"/>
      <c r="W97" s="34"/>
      <c r="X97" s="34"/>
      <c r="Y97" s="34"/>
      <c r="Z97" s="34"/>
    </row>
    <row r="98" spans="1:26" ht="23.25" customHeight="1" x14ac:dyDescent="0.2">
      <c r="A98" s="203" t="s">
        <v>287</v>
      </c>
      <c r="B98" s="72" t="s">
        <v>288</v>
      </c>
      <c r="C98" s="185">
        <f>SUMPRODUCT(-('Diário 5º PA'!$E$5:$E$2634='Analítico Cx.'!$B98),-('Diário 5º PA'!$P$5:$P$2634=C$1),('Diário 5º PA'!$F$5:$F$2634))+
SUMPRODUCT(-('Diário 6º PA'!$E$5:$E$2246='Analítico Cx.'!$B98),-('Diário 6º PA'!$P$5:$P$2246=C$1),('Diário 6º PA'!$F$5:$F$2246))+
SUMPRODUCT(-('Diário 7º PA'!$E$5:$E$2271='Analítico Cx.'!$B98),-('Diário 7º PA'!$P$5:$P$2271=C$1),('Diário 7º PA'!$F$5:$F$2271))+
SUMPRODUCT(-('Diário 8º PA'!$E$5:$E$2488='Analítico Cx.'!$B98),-('Diário 8º PA'!$P$5:$P$2488=C$1),('Diário 8º PA'!$F$5:$F$2488))</f>
        <v>0</v>
      </c>
      <c r="D98" s="185">
        <f>SUMPRODUCT(-('Diário 5º PA'!$E$5:$E$2634='Analítico Cx.'!$B98),-('Diário 5º PA'!$P$5:$P$2634=D$1),('Diário 5º PA'!$F$5:$F$2634))+
SUMPRODUCT(-('Diário 6º PA'!$E$5:$E$2246='Analítico Cx.'!$B98),-('Diário 6º PA'!$P$5:$P$2246=D$1),('Diário 6º PA'!$F$5:$F$2246))+
SUMPRODUCT(-('Diário 7º PA'!$E$5:$E$2271='Analítico Cx.'!$B98),-('Diário 7º PA'!$P$5:$P$2271=D$1),('Diário 7º PA'!$F$5:$F$2271))+
SUMPRODUCT(-('Diário 8º PA'!$E$5:$E$2488='Analítico Cx.'!$B98),-('Diário 8º PA'!$P$5:$P$2488=D$1),('Diário 8º PA'!$F$5:$F$2488))</f>
        <v>0</v>
      </c>
      <c r="E98" s="185">
        <f>SUMPRODUCT(-('Diário 5º PA'!$E$5:$E$2634='Analítico Cx.'!$B98),-('Diário 5º PA'!$P$5:$P$2634=E$1),('Diário 5º PA'!$F$5:$F$2634))+
SUMPRODUCT(-('Diário 6º PA'!$E$5:$E$2246='Analítico Cx.'!$B98),-('Diário 6º PA'!$P$5:$P$2246=E$1),('Diário 6º PA'!$F$5:$F$2246))+
SUMPRODUCT(-('Diário 7º PA'!$E$5:$E$2271='Analítico Cx.'!$B98),-('Diário 7º PA'!$P$5:$P$2271=E$1),('Diário 7º PA'!$F$5:$F$2271))+
SUMPRODUCT(-('Diário 8º PA'!$E$5:$E$2488='Analítico Cx.'!$B98),-('Diário 8º PA'!$P$5:$P$2488=E$1),('Diário 8º PA'!$F$5:$F$2488))</f>
        <v>180.5</v>
      </c>
      <c r="F98" s="185">
        <f>SUMPRODUCT(-('Diário 5º PA'!$E$5:$E$2634='Analítico Cx.'!$B98),-('Diário 5º PA'!$P$5:$P$2634=F$1),('Diário 5º PA'!$F$5:$F$2634))+
SUMPRODUCT(-('Diário 6º PA'!$E$5:$E$2246='Analítico Cx.'!$B98),-('Diário 6º PA'!$P$5:$P$2246=F$1),('Diário 6º PA'!$F$5:$F$2246))+
SUMPRODUCT(-('Diário 7º PA'!$E$5:$E$2271='Analítico Cx.'!$B98),-('Diário 7º PA'!$P$5:$P$2271=F$1),('Diário 7º PA'!$F$5:$F$2271))+
SUMPRODUCT(-('Diário 8º PA'!$E$5:$E$2488='Analítico Cx.'!$B98),-('Diário 8º PA'!$P$5:$P$2488=F$1),('Diário 8º PA'!$F$5:$F$2488))</f>
        <v>0</v>
      </c>
      <c r="G98" s="185">
        <f>SUMPRODUCT(-('Diário 5º PA'!$E$5:$E$2634='Analítico Cx.'!$B98),-('Diário 5º PA'!$P$5:$P$2634=G$1),('Diário 5º PA'!$F$5:$F$2634))+
SUMPRODUCT(-('Diário 6º PA'!$E$5:$E$2246='Analítico Cx.'!$B98),-('Diário 6º PA'!$P$5:$P$2246=G$1),('Diário 6º PA'!$F$5:$F$2246))+
SUMPRODUCT(-('Diário 7º PA'!$E$5:$E$2271='Analítico Cx.'!$B98),-('Diário 7º PA'!$P$5:$P$2271=G$1),('Diário 7º PA'!$F$5:$F$2271))+
SUMPRODUCT(-('Diário 8º PA'!$E$5:$E$2488='Analítico Cx.'!$B98),-('Diário 8º PA'!$P$5:$P$2488=G$1),('Diário 8º PA'!$F$5:$F$2488))</f>
        <v>0</v>
      </c>
      <c r="H98" s="185">
        <f>SUMPRODUCT(-('Diário 5º PA'!$E$5:$E$2634='Analítico Cx.'!$B98),-('Diário 5º PA'!$P$5:$P$2634=H$1),('Diário 5º PA'!$F$5:$F$2634))+
SUMPRODUCT(-('Diário 6º PA'!$E$5:$E$2246='Analítico Cx.'!$B98),-('Diário 6º PA'!$P$5:$P$2246=H$1),('Diário 6º PA'!$F$5:$F$2246))+
SUMPRODUCT(-('Diário 7º PA'!$E$5:$E$2271='Analítico Cx.'!$B98),-('Diário 7º PA'!$P$5:$P$2271=H$1),('Diário 7º PA'!$F$5:$F$2271))+
SUMPRODUCT(-('Diário 8º PA'!$E$5:$E$2488='Analítico Cx.'!$B98),-('Diário 8º PA'!$P$5:$P$2488=H$1),('Diário 8º PA'!$F$5:$F$2488))</f>
        <v>0</v>
      </c>
      <c r="I98" s="185">
        <f>SUMPRODUCT(-('Diário 5º PA'!$E$5:$E$2634='Analítico Cx.'!$B98),-('Diário 5º PA'!$P$5:$P$2634=I$1),('Diário 5º PA'!$F$5:$F$2634))+
SUMPRODUCT(-('Diário 6º PA'!$E$5:$E$2246='Analítico Cx.'!$B98),-('Diário 6º PA'!$P$5:$P$2246=I$1),('Diário 6º PA'!$F$5:$F$2246))+
SUMPRODUCT(-('Diário 7º PA'!$E$5:$E$2271='Analítico Cx.'!$B98),-('Diário 7º PA'!$P$5:$P$2271=I$1),('Diário 7º PA'!$F$5:$F$2271))+
SUMPRODUCT(-('Diário 8º PA'!$E$5:$E$2488='Analítico Cx.'!$B98),-('Diário 8º PA'!$P$5:$P$2488=I$1),('Diário 8º PA'!$F$5:$F$2488))</f>
        <v>1805</v>
      </c>
      <c r="J98" s="185">
        <f>SUMPRODUCT(-('Diário 5º PA'!$E$5:$E$2634='Analítico Cx.'!$B98),-('Diário 5º PA'!$P$5:$P$2634=J$1),('Diário 5º PA'!$F$5:$F$2634))+
SUMPRODUCT(-('Diário 6º PA'!$E$5:$E$2246='Analítico Cx.'!$B98),-('Diário 6º PA'!$P$5:$P$2246=J$1),('Diário 6º PA'!$F$5:$F$2246))+
SUMPRODUCT(-('Diário 7º PA'!$E$5:$E$2271='Analítico Cx.'!$B98),-('Diário 7º PA'!$P$5:$P$2271=J$1),('Diário 7º PA'!$F$5:$F$2271))+
SUMPRODUCT(-('Diário 8º PA'!$E$5:$E$2488='Analítico Cx.'!$B98),-('Diário 8º PA'!$P$5:$P$2488=J$1),('Diário 8º PA'!$F$5:$F$2488))</f>
        <v>0</v>
      </c>
      <c r="K98" s="185">
        <f>SUMPRODUCT(-('Diário 5º PA'!$E$5:$E$2634='Analítico Cx.'!$B98),-('Diário 5º PA'!$P$5:$P$2634=K$1),('Diário 5º PA'!$F$5:$F$2634))+
SUMPRODUCT(-('Diário 6º PA'!$E$5:$E$2246='Analítico Cx.'!$B98),-('Diário 6º PA'!$P$5:$P$2246=K$1),('Diário 6º PA'!$F$5:$F$2246))+
SUMPRODUCT(-('Diário 7º PA'!$E$5:$E$2271='Analítico Cx.'!$B98),-('Diário 7º PA'!$P$5:$P$2271=K$1),('Diário 7º PA'!$F$5:$F$2271))+
SUMPRODUCT(-('Diário 8º PA'!$E$5:$E$2488='Analítico Cx.'!$B98),-('Diário 8º PA'!$P$5:$P$2488=K$1),('Diário 8º PA'!$F$5:$F$2488))</f>
        <v>0</v>
      </c>
      <c r="L98" s="185">
        <f>SUMPRODUCT(-('Diário 5º PA'!$E$5:$E$2634='Analítico Cx.'!$B98),-('Diário 5º PA'!$P$5:$P$2634=L$1),('Diário 5º PA'!$F$5:$F$2634))+
SUMPRODUCT(-('Diário 6º PA'!$E$5:$E$2246='Analítico Cx.'!$B98),-('Diário 6º PA'!$P$5:$P$2246=L$1),('Diário 6º PA'!$F$5:$F$2246))+
SUMPRODUCT(-('Diário 7º PA'!$E$5:$E$2271='Analítico Cx.'!$B98),-('Diário 7º PA'!$P$5:$P$2271=L$1),('Diário 7º PA'!$F$5:$F$2271))+
SUMPRODUCT(-('Diário 8º PA'!$E$5:$E$2488='Analítico Cx.'!$B98),-('Diário 8º PA'!$P$5:$P$2488=L$1),('Diário 8º PA'!$F$5:$F$2488))</f>
        <v>0</v>
      </c>
      <c r="M98" s="185">
        <f>SUMPRODUCT(-('Diário 5º PA'!$E$5:$E$2634='Analítico Cx.'!$B98),-('Diário 5º PA'!$P$5:$P$2634=M$1),('Diário 5º PA'!$F$5:$F$2634))+
SUMPRODUCT(-('Diário 6º PA'!$E$5:$E$2246='Analítico Cx.'!$B98),-('Diário 6º PA'!$P$5:$P$2246=M$1),('Diário 6º PA'!$F$5:$F$2246))+
SUMPRODUCT(-('Diário 7º PA'!$E$5:$E$2271='Analítico Cx.'!$B98),-('Diário 7º PA'!$P$5:$P$2271=M$1),('Diário 7º PA'!$F$5:$F$2271))+
SUMPRODUCT(-('Diário 8º PA'!$E$5:$E$2488='Analítico Cx.'!$B98),-('Diário 8º PA'!$P$5:$P$2488=M$1),('Diário 8º PA'!$F$5:$F$2488))</f>
        <v>1540</v>
      </c>
      <c r="N98" s="185">
        <f>SUMPRODUCT(-('Diário 5º PA'!$E$5:$E$2634='Analítico Cx.'!$B98),-('Diário 5º PA'!$P$5:$P$2634=N$1),('Diário 5º PA'!$F$5:$F$2634))+
SUMPRODUCT(-('Diário 6º PA'!$E$5:$E$2246='Analítico Cx.'!$B98),-('Diário 6º PA'!$P$5:$P$2246=N$1),('Diário 6º PA'!$F$5:$F$2246))+
SUMPRODUCT(-('Diário 7º PA'!$E$5:$E$2271='Analítico Cx.'!$B98),-('Diário 7º PA'!$P$5:$P$2271=N$1),('Diário 7º PA'!$F$5:$F$2271))+
SUMPRODUCT(-('Diário 8º PA'!$E$5:$E$2488='Analítico Cx.'!$B98),-('Diário 8º PA'!$P$5:$P$2488=N$1),('Diário 8º PA'!$F$5:$F$2488))</f>
        <v>0</v>
      </c>
      <c r="O98" s="186">
        <f t="shared" si="16"/>
        <v>3525.5</v>
      </c>
      <c r="P98" s="187">
        <f t="shared" si="17"/>
        <v>3.7405978067488437E-4</v>
      </c>
      <c r="Q98" s="34"/>
      <c r="R98" s="34"/>
      <c r="S98" s="34"/>
      <c r="T98" s="34"/>
      <c r="U98" s="34"/>
      <c r="V98" s="34"/>
      <c r="W98" s="34"/>
      <c r="X98" s="34"/>
      <c r="Y98" s="34"/>
      <c r="Z98" s="34"/>
    </row>
    <row r="99" spans="1:26" ht="23.25" customHeight="1" x14ac:dyDescent="0.2">
      <c r="A99" s="203" t="s">
        <v>289</v>
      </c>
      <c r="B99" s="72" t="s">
        <v>290</v>
      </c>
      <c r="C99" s="185">
        <f>SUMPRODUCT(-('Diário 5º PA'!$E$5:$E$2634='Analítico Cx.'!$B99),-('Diário 5º PA'!$P$5:$P$2634=C$1),('Diário 5º PA'!$F$5:$F$2634))+
SUMPRODUCT(-('Diário 6º PA'!$E$5:$E$2246='Analítico Cx.'!$B99),-('Diário 6º PA'!$P$5:$P$2246=C$1),('Diário 6º PA'!$F$5:$F$2246))+
SUMPRODUCT(-('Diário 7º PA'!$E$5:$E$2271='Analítico Cx.'!$B99),-('Diário 7º PA'!$P$5:$P$2271=C$1),('Diário 7º PA'!$F$5:$F$2271))+
SUMPRODUCT(-('Diário 8º PA'!$E$5:$E$2488='Analítico Cx.'!$B99),-('Diário 8º PA'!$P$5:$P$2488=C$1),('Diário 8º PA'!$F$5:$F$2488))</f>
        <v>853.6</v>
      </c>
      <c r="D99" s="185">
        <f>SUMPRODUCT(-('Diário 5º PA'!$E$5:$E$2634='Analítico Cx.'!$B99),-('Diário 5º PA'!$P$5:$P$2634=D$1),('Diário 5º PA'!$F$5:$F$2634))+
SUMPRODUCT(-('Diário 6º PA'!$E$5:$E$2246='Analítico Cx.'!$B99),-('Diário 6º PA'!$P$5:$P$2246=D$1),('Diário 6º PA'!$F$5:$F$2246))+
SUMPRODUCT(-('Diário 7º PA'!$E$5:$E$2271='Analítico Cx.'!$B99),-('Diário 7º PA'!$P$5:$P$2271=D$1),('Diário 7º PA'!$F$5:$F$2271))+
SUMPRODUCT(-('Diário 8º PA'!$E$5:$E$2488='Analítico Cx.'!$B99),-('Diário 8º PA'!$P$5:$P$2488=D$1),('Diário 8º PA'!$F$5:$F$2488))</f>
        <v>154.34</v>
      </c>
      <c r="E99" s="185">
        <f>SUMPRODUCT(-('Diário 5º PA'!$E$5:$E$2634='Analítico Cx.'!$B99),-('Diário 5º PA'!$P$5:$P$2634=E$1),('Diário 5º PA'!$F$5:$F$2634))+
SUMPRODUCT(-('Diário 6º PA'!$E$5:$E$2246='Analítico Cx.'!$B99),-('Diário 6º PA'!$P$5:$P$2246=E$1),('Diário 6º PA'!$F$5:$F$2246))+
SUMPRODUCT(-('Diário 7º PA'!$E$5:$E$2271='Analítico Cx.'!$B99),-('Diário 7º PA'!$P$5:$P$2271=E$1),('Diário 7º PA'!$F$5:$F$2271))+
SUMPRODUCT(-('Diário 8º PA'!$E$5:$E$2488='Analítico Cx.'!$B99),-('Diário 8º PA'!$P$5:$P$2488=E$1),('Diário 8º PA'!$F$5:$F$2488))</f>
        <v>2.77</v>
      </c>
      <c r="F99" s="185">
        <f>SUMPRODUCT(-('Diário 5º PA'!$E$5:$E$2634='Analítico Cx.'!$B99),-('Diário 5º PA'!$P$5:$P$2634=F$1),('Diário 5º PA'!$F$5:$F$2634))+
SUMPRODUCT(-('Diário 6º PA'!$E$5:$E$2246='Analítico Cx.'!$B99),-('Diário 6º PA'!$P$5:$P$2246=F$1),('Diário 6º PA'!$F$5:$F$2246))+
SUMPRODUCT(-('Diário 7º PA'!$E$5:$E$2271='Analítico Cx.'!$B99),-('Diário 7º PA'!$P$5:$P$2271=F$1),('Diário 7º PA'!$F$5:$F$2271))+
SUMPRODUCT(-('Diário 8º PA'!$E$5:$E$2488='Analítico Cx.'!$B99),-('Diário 8º PA'!$P$5:$P$2488=F$1),('Diário 8º PA'!$F$5:$F$2488))</f>
        <v>62.98</v>
      </c>
      <c r="G99" s="185">
        <f>SUMPRODUCT(-('Diário 5º PA'!$E$5:$E$2634='Analítico Cx.'!$B99),-('Diário 5º PA'!$P$5:$P$2634=G$1),('Diário 5º PA'!$F$5:$F$2634))+
SUMPRODUCT(-('Diário 6º PA'!$E$5:$E$2246='Analítico Cx.'!$B99),-('Diário 6º PA'!$P$5:$P$2246=G$1),('Diário 6º PA'!$F$5:$F$2246))+
SUMPRODUCT(-('Diário 7º PA'!$E$5:$E$2271='Analítico Cx.'!$B99),-('Diário 7º PA'!$P$5:$P$2271=G$1),('Diário 7º PA'!$F$5:$F$2271))+
SUMPRODUCT(-('Diário 8º PA'!$E$5:$E$2488='Analítico Cx.'!$B99),-('Diário 8º PA'!$P$5:$P$2488=G$1),('Diário 8º PA'!$F$5:$F$2488))</f>
        <v>1.32</v>
      </c>
      <c r="H99" s="185">
        <f>SUMPRODUCT(-('Diário 5º PA'!$E$5:$E$2634='Analítico Cx.'!$B99),-('Diário 5º PA'!$P$5:$P$2634=H$1),('Diário 5º PA'!$F$5:$F$2634))+
SUMPRODUCT(-('Diário 6º PA'!$E$5:$E$2246='Analítico Cx.'!$B99),-('Diário 6º PA'!$P$5:$P$2246=H$1),('Diário 6º PA'!$F$5:$F$2246))+
SUMPRODUCT(-('Diário 7º PA'!$E$5:$E$2271='Analítico Cx.'!$B99),-('Diário 7º PA'!$P$5:$P$2271=H$1),('Diário 7º PA'!$F$5:$F$2271))+
SUMPRODUCT(-('Diário 8º PA'!$E$5:$E$2488='Analítico Cx.'!$B99),-('Diário 8º PA'!$P$5:$P$2488=H$1),('Diário 8º PA'!$F$5:$F$2488))</f>
        <v>0</v>
      </c>
      <c r="I99" s="185">
        <f>SUMPRODUCT(-('Diário 5º PA'!$E$5:$E$2634='Analítico Cx.'!$B99),-('Diário 5º PA'!$P$5:$P$2634=I$1),('Diário 5º PA'!$F$5:$F$2634))+
SUMPRODUCT(-('Diário 6º PA'!$E$5:$E$2246='Analítico Cx.'!$B99),-('Diário 6º PA'!$P$5:$P$2246=I$1),('Diário 6º PA'!$F$5:$F$2246))+
SUMPRODUCT(-('Diário 7º PA'!$E$5:$E$2271='Analítico Cx.'!$B99),-('Diário 7º PA'!$P$5:$P$2271=I$1),('Diário 7º PA'!$F$5:$F$2271))+
SUMPRODUCT(-('Diário 8º PA'!$E$5:$E$2488='Analítico Cx.'!$B99),-('Diário 8º PA'!$P$5:$P$2488=I$1),('Diário 8º PA'!$F$5:$F$2488))</f>
        <v>13200</v>
      </c>
      <c r="J99" s="185">
        <f>SUMPRODUCT(-('Diário 5º PA'!$E$5:$E$2634='Analítico Cx.'!$B99),-('Diário 5º PA'!$P$5:$P$2634=J$1),('Diário 5º PA'!$F$5:$F$2634))+
SUMPRODUCT(-('Diário 6º PA'!$E$5:$E$2246='Analítico Cx.'!$B99),-('Diário 6º PA'!$P$5:$P$2246=J$1),('Diário 6º PA'!$F$5:$F$2246))+
SUMPRODUCT(-('Diário 7º PA'!$E$5:$E$2271='Analítico Cx.'!$B99),-('Diário 7º PA'!$P$5:$P$2271=J$1),('Diário 7º PA'!$F$5:$F$2271))+
SUMPRODUCT(-('Diário 8º PA'!$E$5:$E$2488='Analítico Cx.'!$B99),-('Diário 8º PA'!$P$5:$P$2488=J$1),('Diário 8º PA'!$F$5:$F$2488))</f>
        <v>0</v>
      </c>
      <c r="K99" s="185">
        <f>SUMPRODUCT(-('Diário 5º PA'!$E$5:$E$2634='Analítico Cx.'!$B99),-('Diário 5º PA'!$P$5:$P$2634=K$1),('Diário 5º PA'!$F$5:$F$2634))+
SUMPRODUCT(-('Diário 6º PA'!$E$5:$E$2246='Analítico Cx.'!$B99),-('Diário 6º PA'!$P$5:$P$2246=K$1),('Diário 6º PA'!$F$5:$F$2246))+
SUMPRODUCT(-('Diário 7º PA'!$E$5:$E$2271='Analítico Cx.'!$B99),-('Diário 7º PA'!$P$5:$P$2271=K$1),('Diário 7º PA'!$F$5:$F$2271))+
SUMPRODUCT(-('Diário 8º PA'!$E$5:$E$2488='Analítico Cx.'!$B99),-('Diário 8º PA'!$P$5:$P$2488=K$1),('Diário 8º PA'!$F$5:$F$2488))</f>
        <v>1981.65</v>
      </c>
      <c r="L99" s="185">
        <f>SUMPRODUCT(-('Diário 5º PA'!$E$5:$E$2634='Analítico Cx.'!$B99),-('Diário 5º PA'!$P$5:$P$2634=L$1),('Diário 5º PA'!$F$5:$F$2634))+
SUMPRODUCT(-('Diário 6º PA'!$E$5:$E$2246='Analítico Cx.'!$B99),-('Diário 6º PA'!$P$5:$P$2246=L$1),('Diário 6º PA'!$F$5:$F$2246))+
SUMPRODUCT(-('Diário 7º PA'!$E$5:$E$2271='Analítico Cx.'!$B99),-('Diário 7º PA'!$P$5:$P$2271=L$1),('Diário 7º PA'!$F$5:$F$2271))+
SUMPRODUCT(-('Diário 8º PA'!$E$5:$E$2488='Analítico Cx.'!$B99),-('Diário 8º PA'!$P$5:$P$2488=L$1),('Diário 8º PA'!$F$5:$F$2488))</f>
        <v>56.78</v>
      </c>
      <c r="M99" s="185">
        <f>SUMPRODUCT(-('Diário 5º PA'!$E$5:$E$2634='Analítico Cx.'!$B99),-('Diário 5º PA'!$P$5:$P$2634=M$1),('Diário 5º PA'!$F$5:$F$2634))+
SUMPRODUCT(-('Diário 6º PA'!$E$5:$E$2246='Analítico Cx.'!$B99),-('Diário 6º PA'!$P$5:$P$2246=M$1),('Diário 6º PA'!$F$5:$F$2246))+
SUMPRODUCT(-('Diário 7º PA'!$E$5:$E$2271='Analítico Cx.'!$B99),-('Diário 7º PA'!$P$5:$P$2271=M$1),('Diário 7º PA'!$F$5:$F$2271))+
SUMPRODUCT(-('Diário 8º PA'!$E$5:$E$2488='Analítico Cx.'!$B99),-('Diário 8º PA'!$P$5:$P$2488=M$1),('Diário 8º PA'!$F$5:$F$2488))</f>
        <v>0</v>
      </c>
      <c r="N99" s="185">
        <f>SUMPRODUCT(-('Diário 5º PA'!$E$5:$E$2634='Analítico Cx.'!$B99),-('Diário 5º PA'!$P$5:$P$2634=N$1),('Diário 5º PA'!$F$5:$F$2634))+
SUMPRODUCT(-('Diário 6º PA'!$E$5:$E$2246='Analítico Cx.'!$B99),-('Diário 6º PA'!$P$5:$P$2246=N$1),('Diário 6º PA'!$F$5:$F$2246))+
SUMPRODUCT(-('Diário 7º PA'!$E$5:$E$2271='Analítico Cx.'!$B99),-('Diário 7º PA'!$P$5:$P$2271=N$1),('Diário 7º PA'!$F$5:$F$2271))+
SUMPRODUCT(-('Diário 8º PA'!$E$5:$E$2488='Analítico Cx.'!$B99),-('Diário 8º PA'!$P$5:$P$2488=N$1),('Diário 8º PA'!$F$5:$F$2488))</f>
        <v>0</v>
      </c>
      <c r="O99" s="186">
        <f t="shared" si="16"/>
        <v>16313.44</v>
      </c>
      <c r="P99" s="187">
        <f t="shared" si="17"/>
        <v>1.7308755604745103E-3</v>
      </c>
      <c r="Q99" s="34"/>
      <c r="R99" s="34"/>
      <c r="S99" s="34"/>
      <c r="T99" s="34"/>
      <c r="U99" s="34"/>
      <c r="V99" s="34"/>
      <c r="W99" s="34"/>
      <c r="X99" s="34"/>
      <c r="Y99" s="34"/>
      <c r="Z99" s="34"/>
    </row>
    <row r="100" spans="1:26" ht="23.25" customHeight="1" x14ac:dyDescent="0.2">
      <c r="A100" s="203" t="s">
        <v>291</v>
      </c>
      <c r="B100" s="72" t="s">
        <v>292</v>
      </c>
      <c r="C100" s="185">
        <f>SUMPRODUCT(-('Diário 5º PA'!$E$5:$E$2634='Analítico Cx.'!$B100),-('Diário 5º PA'!$P$5:$P$2634=C$1),('Diário 5º PA'!$F$5:$F$2634))+
SUMPRODUCT(-('Diário 6º PA'!$E$5:$E$2246='Analítico Cx.'!$B100),-('Diário 6º PA'!$P$5:$P$2246=C$1),('Diário 6º PA'!$F$5:$F$2246))+
SUMPRODUCT(-('Diário 7º PA'!$E$5:$E$2271='Analítico Cx.'!$B100),-('Diário 7º PA'!$P$5:$P$2271=C$1),('Diário 7º PA'!$F$5:$F$2271))+
SUMPRODUCT(-('Diário 8º PA'!$E$5:$E$2488='Analítico Cx.'!$B100),-('Diário 8º PA'!$P$5:$P$2488=C$1),('Diário 8º PA'!$F$5:$F$2488))</f>
        <v>0</v>
      </c>
      <c r="D100" s="185">
        <f>SUMPRODUCT(-('Diário 5º PA'!$E$5:$E$2634='Analítico Cx.'!$B100),-('Diário 5º PA'!$P$5:$P$2634=D$1),('Diário 5º PA'!$F$5:$F$2634))+
SUMPRODUCT(-('Diário 6º PA'!$E$5:$E$2246='Analítico Cx.'!$B100),-('Diário 6º PA'!$P$5:$P$2246=D$1),('Diário 6º PA'!$F$5:$F$2246))+
SUMPRODUCT(-('Diário 7º PA'!$E$5:$E$2271='Analítico Cx.'!$B100),-('Diário 7º PA'!$P$5:$P$2271=D$1),('Diário 7º PA'!$F$5:$F$2271))+
SUMPRODUCT(-('Diário 8º PA'!$E$5:$E$2488='Analítico Cx.'!$B100),-('Diário 8º PA'!$P$5:$P$2488=D$1),('Diário 8º PA'!$F$5:$F$2488))</f>
        <v>0</v>
      </c>
      <c r="E100" s="185">
        <f>SUMPRODUCT(-('Diário 5º PA'!$E$5:$E$2634='Analítico Cx.'!$B100),-('Diário 5º PA'!$P$5:$P$2634=E$1),('Diário 5º PA'!$F$5:$F$2634))+
SUMPRODUCT(-('Diário 6º PA'!$E$5:$E$2246='Analítico Cx.'!$B100),-('Diário 6º PA'!$P$5:$P$2246=E$1),('Diário 6º PA'!$F$5:$F$2246))+
SUMPRODUCT(-('Diário 7º PA'!$E$5:$E$2271='Analítico Cx.'!$B100),-('Diário 7º PA'!$P$5:$P$2271=E$1),('Diário 7º PA'!$F$5:$F$2271))+
SUMPRODUCT(-('Diário 8º PA'!$E$5:$E$2488='Analítico Cx.'!$B100),-('Diário 8º PA'!$P$5:$P$2488=E$1),('Diário 8º PA'!$F$5:$F$2488))</f>
        <v>0</v>
      </c>
      <c r="F100" s="185">
        <f>SUMPRODUCT(-('Diário 5º PA'!$E$5:$E$2634='Analítico Cx.'!$B100),-('Diário 5º PA'!$P$5:$P$2634=F$1),('Diário 5º PA'!$F$5:$F$2634))+
SUMPRODUCT(-('Diário 6º PA'!$E$5:$E$2246='Analítico Cx.'!$B100),-('Diário 6º PA'!$P$5:$P$2246=F$1),('Diário 6º PA'!$F$5:$F$2246))+
SUMPRODUCT(-('Diário 7º PA'!$E$5:$E$2271='Analítico Cx.'!$B100),-('Diário 7º PA'!$P$5:$P$2271=F$1),('Diário 7º PA'!$F$5:$F$2271))+
SUMPRODUCT(-('Diário 8º PA'!$E$5:$E$2488='Analítico Cx.'!$B100),-('Diário 8º PA'!$P$5:$P$2488=F$1),('Diário 8º PA'!$F$5:$F$2488))</f>
        <v>0</v>
      </c>
      <c r="G100" s="185">
        <f>SUMPRODUCT(-('Diário 5º PA'!$E$5:$E$2634='Analítico Cx.'!$B100),-('Diário 5º PA'!$P$5:$P$2634=G$1),('Diário 5º PA'!$F$5:$F$2634))+
SUMPRODUCT(-('Diário 6º PA'!$E$5:$E$2246='Analítico Cx.'!$B100),-('Diário 6º PA'!$P$5:$P$2246=G$1),('Diário 6º PA'!$F$5:$F$2246))+
SUMPRODUCT(-('Diário 7º PA'!$E$5:$E$2271='Analítico Cx.'!$B100),-('Diário 7º PA'!$P$5:$P$2271=G$1),('Diário 7º PA'!$F$5:$F$2271))+
SUMPRODUCT(-('Diário 8º PA'!$E$5:$E$2488='Analítico Cx.'!$B100),-('Diário 8º PA'!$P$5:$P$2488=G$1),('Diário 8º PA'!$F$5:$F$2488))</f>
        <v>0</v>
      </c>
      <c r="H100" s="185">
        <f>SUMPRODUCT(-('Diário 5º PA'!$E$5:$E$2634='Analítico Cx.'!$B100),-('Diário 5º PA'!$P$5:$P$2634=H$1),('Diário 5º PA'!$F$5:$F$2634))+
SUMPRODUCT(-('Diário 6º PA'!$E$5:$E$2246='Analítico Cx.'!$B100),-('Diário 6º PA'!$P$5:$P$2246=H$1),('Diário 6º PA'!$F$5:$F$2246))+
SUMPRODUCT(-('Diário 7º PA'!$E$5:$E$2271='Analítico Cx.'!$B100),-('Diário 7º PA'!$P$5:$P$2271=H$1),('Diário 7º PA'!$F$5:$F$2271))+
SUMPRODUCT(-('Diário 8º PA'!$E$5:$E$2488='Analítico Cx.'!$B100),-('Diário 8º PA'!$P$5:$P$2488=H$1),('Diário 8º PA'!$F$5:$F$2488))</f>
        <v>0</v>
      </c>
      <c r="I100" s="185">
        <f>SUMPRODUCT(-('Diário 5º PA'!$E$5:$E$2634='Analítico Cx.'!$B100),-('Diário 5º PA'!$P$5:$P$2634=I$1),('Diário 5º PA'!$F$5:$F$2634))+
SUMPRODUCT(-('Diário 6º PA'!$E$5:$E$2246='Analítico Cx.'!$B100),-('Diário 6º PA'!$P$5:$P$2246=I$1),('Diário 6º PA'!$F$5:$F$2246))+
SUMPRODUCT(-('Diário 7º PA'!$E$5:$E$2271='Analítico Cx.'!$B100),-('Diário 7º PA'!$P$5:$P$2271=I$1),('Diário 7º PA'!$F$5:$F$2271))+
SUMPRODUCT(-('Diário 8º PA'!$E$5:$E$2488='Analítico Cx.'!$B100),-('Diário 8º PA'!$P$5:$P$2488=I$1),('Diário 8º PA'!$F$5:$F$2488))</f>
        <v>0</v>
      </c>
      <c r="J100" s="185">
        <f>SUMPRODUCT(-('Diário 5º PA'!$E$5:$E$2634='Analítico Cx.'!$B100),-('Diário 5º PA'!$P$5:$P$2634=J$1),('Diário 5º PA'!$F$5:$F$2634))+
SUMPRODUCT(-('Diário 6º PA'!$E$5:$E$2246='Analítico Cx.'!$B100),-('Diário 6º PA'!$P$5:$P$2246=J$1),('Diário 6º PA'!$F$5:$F$2246))+
SUMPRODUCT(-('Diário 7º PA'!$E$5:$E$2271='Analítico Cx.'!$B100),-('Diário 7º PA'!$P$5:$P$2271=J$1),('Diário 7º PA'!$F$5:$F$2271))+
SUMPRODUCT(-('Diário 8º PA'!$E$5:$E$2488='Analítico Cx.'!$B100),-('Diário 8º PA'!$P$5:$P$2488=J$1),('Diário 8º PA'!$F$5:$F$2488))</f>
        <v>560</v>
      </c>
      <c r="K100" s="185">
        <f>SUMPRODUCT(-('Diário 5º PA'!$E$5:$E$2634='Analítico Cx.'!$B100),-('Diário 5º PA'!$P$5:$P$2634=K$1),('Diário 5º PA'!$F$5:$F$2634))+
SUMPRODUCT(-('Diário 6º PA'!$E$5:$E$2246='Analítico Cx.'!$B100),-('Diário 6º PA'!$P$5:$P$2246=K$1),('Diário 6º PA'!$F$5:$F$2246))+
SUMPRODUCT(-('Diário 7º PA'!$E$5:$E$2271='Analítico Cx.'!$B100),-('Diário 7º PA'!$P$5:$P$2271=K$1),('Diário 7º PA'!$F$5:$F$2271))+
SUMPRODUCT(-('Diário 8º PA'!$E$5:$E$2488='Analítico Cx.'!$B100),-('Diário 8º PA'!$P$5:$P$2488=K$1),('Diário 8º PA'!$F$5:$F$2488))</f>
        <v>7138.6</v>
      </c>
      <c r="L100" s="185">
        <f>SUMPRODUCT(-('Diário 5º PA'!$E$5:$E$2634='Analítico Cx.'!$B100),-('Diário 5º PA'!$P$5:$P$2634=L$1),('Diário 5º PA'!$F$5:$F$2634))+
SUMPRODUCT(-('Diário 6º PA'!$E$5:$E$2246='Analítico Cx.'!$B100),-('Diário 6º PA'!$P$5:$P$2246=L$1),('Diário 6º PA'!$F$5:$F$2246))+
SUMPRODUCT(-('Diário 7º PA'!$E$5:$E$2271='Analítico Cx.'!$B100),-('Diário 7º PA'!$P$5:$P$2271=L$1),('Diário 7º PA'!$F$5:$F$2271))+
SUMPRODUCT(-('Diário 8º PA'!$E$5:$E$2488='Analítico Cx.'!$B100),-('Diário 8º PA'!$P$5:$P$2488=L$1),('Diário 8º PA'!$F$5:$F$2488))</f>
        <v>0</v>
      </c>
      <c r="M100" s="185">
        <f>SUMPRODUCT(-('Diário 5º PA'!$E$5:$E$2634='Analítico Cx.'!$B100),-('Diário 5º PA'!$P$5:$P$2634=M$1),('Diário 5º PA'!$F$5:$F$2634))+
SUMPRODUCT(-('Diário 6º PA'!$E$5:$E$2246='Analítico Cx.'!$B100),-('Diário 6º PA'!$P$5:$P$2246=M$1),('Diário 6º PA'!$F$5:$F$2246))+
SUMPRODUCT(-('Diário 7º PA'!$E$5:$E$2271='Analítico Cx.'!$B100),-('Diário 7º PA'!$P$5:$P$2271=M$1),('Diário 7º PA'!$F$5:$F$2271))+
SUMPRODUCT(-('Diário 8º PA'!$E$5:$E$2488='Analítico Cx.'!$B100),-('Diário 8º PA'!$P$5:$P$2488=M$1),('Diário 8º PA'!$F$5:$F$2488))</f>
        <v>0</v>
      </c>
      <c r="N100" s="185">
        <f>SUMPRODUCT(-('Diário 5º PA'!$E$5:$E$2634='Analítico Cx.'!$B100),-('Diário 5º PA'!$P$5:$P$2634=N$1),('Diário 5º PA'!$F$5:$F$2634))+
SUMPRODUCT(-('Diário 6º PA'!$E$5:$E$2246='Analítico Cx.'!$B100),-('Diário 6º PA'!$P$5:$P$2246=N$1),('Diário 6º PA'!$F$5:$F$2246))+
SUMPRODUCT(-('Diário 7º PA'!$E$5:$E$2271='Analítico Cx.'!$B100),-('Diário 7º PA'!$P$5:$P$2271=N$1),('Diário 7º PA'!$F$5:$F$2271))+
SUMPRODUCT(-('Diário 8º PA'!$E$5:$E$2488='Analítico Cx.'!$B100),-('Diário 8º PA'!$P$5:$P$2488=N$1),('Diário 8º PA'!$F$5:$F$2488))</f>
        <v>0</v>
      </c>
      <c r="O100" s="186">
        <f t="shared" si="16"/>
        <v>7698.6</v>
      </c>
      <c r="P100" s="187">
        <f t="shared" si="17"/>
        <v>8.1683069848352433E-4</v>
      </c>
      <c r="Q100" s="34"/>
      <c r="R100" s="34"/>
      <c r="S100" s="34"/>
      <c r="T100" s="34"/>
      <c r="U100" s="34"/>
      <c r="V100" s="34"/>
      <c r="W100" s="34"/>
      <c r="X100" s="34"/>
      <c r="Y100" s="34"/>
      <c r="Z100" s="34"/>
    </row>
    <row r="101" spans="1:26" ht="23.25" customHeight="1" x14ac:dyDescent="0.2">
      <c r="A101" s="203" t="s">
        <v>293</v>
      </c>
      <c r="B101" s="72" t="s">
        <v>294</v>
      </c>
      <c r="C101" s="185">
        <f>SUMPRODUCT(-('Diário 5º PA'!$E$5:$E$2634='Analítico Cx.'!$B101),-('Diário 5º PA'!$P$5:$P$2634=C$1),('Diário 5º PA'!$F$5:$F$2634))+
SUMPRODUCT(-('Diário 6º PA'!$E$5:$E$2246='Analítico Cx.'!$B101),-('Diário 6º PA'!$P$5:$P$2246=C$1),('Diário 6º PA'!$F$5:$F$2246))+
SUMPRODUCT(-('Diário 7º PA'!$E$5:$E$2271='Analítico Cx.'!$B101),-('Diário 7º PA'!$P$5:$P$2271=C$1),('Diário 7º PA'!$F$5:$F$2271))+
SUMPRODUCT(-('Diário 8º PA'!$E$5:$E$2488='Analítico Cx.'!$B101),-('Diário 8º PA'!$P$5:$P$2488=C$1),('Diário 8º PA'!$F$5:$F$2488))</f>
        <v>0</v>
      </c>
      <c r="D101" s="185">
        <f>SUMPRODUCT(-('Diário 5º PA'!$E$5:$E$2634='Analítico Cx.'!$B101),-('Diário 5º PA'!$P$5:$P$2634=D$1),('Diário 5º PA'!$F$5:$F$2634))+
SUMPRODUCT(-('Diário 6º PA'!$E$5:$E$2246='Analítico Cx.'!$B101),-('Diário 6º PA'!$P$5:$P$2246=D$1),('Diário 6º PA'!$F$5:$F$2246))+
SUMPRODUCT(-('Diário 7º PA'!$E$5:$E$2271='Analítico Cx.'!$B101),-('Diário 7º PA'!$P$5:$P$2271=D$1),('Diário 7º PA'!$F$5:$F$2271))+
SUMPRODUCT(-('Diário 8º PA'!$E$5:$E$2488='Analítico Cx.'!$B101),-('Diário 8º PA'!$P$5:$P$2488=D$1),('Diário 8º PA'!$F$5:$F$2488))</f>
        <v>0</v>
      </c>
      <c r="E101" s="185">
        <f>SUMPRODUCT(-('Diário 5º PA'!$E$5:$E$2634='Analítico Cx.'!$B101),-('Diário 5º PA'!$P$5:$P$2634=E$1),('Diário 5º PA'!$F$5:$F$2634))+
SUMPRODUCT(-('Diário 6º PA'!$E$5:$E$2246='Analítico Cx.'!$B101),-('Diário 6º PA'!$P$5:$P$2246=E$1),('Diário 6º PA'!$F$5:$F$2246))+
SUMPRODUCT(-('Diário 7º PA'!$E$5:$E$2271='Analítico Cx.'!$B101),-('Diário 7º PA'!$P$5:$P$2271=E$1),('Diário 7º PA'!$F$5:$F$2271))+
SUMPRODUCT(-('Diário 8º PA'!$E$5:$E$2488='Analítico Cx.'!$B101),-('Diário 8º PA'!$P$5:$P$2488=E$1),('Diário 8º PA'!$F$5:$F$2488))</f>
        <v>51.7</v>
      </c>
      <c r="F101" s="185">
        <f>SUMPRODUCT(-('Diário 5º PA'!$E$5:$E$2634='Analítico Cx.'!$B101),-('Diário 5º PA'!$P$5:$P$2634=F$1),('Diário 5º PA'!$F$5:$F$2634))+
SUMPRODUCT(-('Diário 6º PA'!$E$5:$E$2246='Analítico Cx.'!$B101),-('Diário 6º PA'!$P$5:$P$2246=F$1),('Diário 6º PA'!$F$5:$F$2246))+
SUMPRODUCT(-('Diário 7º PA'!$E$5:$E$2271='Analítico Cx.'!$B101),-('Diário 7º PA'!$P$5:$P$2271=F$1),('Diário 7º PA'!$F$5:$F$2271))+
SUMPRODUCT(-('Diário 8º PA'!$E$5:$E$2488='Analítico Cx.'!$B101),-('Diário 8º PA'!$P$5:$P$2488=F$1),('Diário 8º PA'!$F$5:$F$2488))</f>
        <v>0</v>
      </c>
      <c r="G101" s="185">
        <f>SUMPRODUCT(-('Diário 5º PA'!$E$5:$E$2634='Analítico Cx.'!$B101),-('Diário 5º PA'!$P$5:$P$2634=G$1),('Diário 5º PA'!$F$5:$F$2634))+
SUMPRODUCT(-('Diário 6º PA'!$E$5:$E$2246='Analítico Cx.'!$B101),-('Diário 6º PA'!$P$5:$P$2246=G$1),('Diário 6º PA'!$F$5:$F$2246))+
SUMPRODUCT(-('Diário 7º PA'!$E$5:$E$2271='Analítico Cx.'!$B101),-('Diário 7º PA'!$P$5:$P$2271=G$1),('Diário 7º PA'!$F$5:$F$2271))+
SUMPRODUCT(-('Diário 8º PA'!$E$5:$E$2488='Analítico Cx.'!$B101),-('Diário 8º PA'!$P$5:$P$2488=G$1),('Diário 8º PA'!$F$5:$F$2488))</f>
        <v>0</v>
      </c>
      <c r="H101" s="185">
        <f>SUMPRODUCT(-('Diário 5º PA'!$E$5:$E$2634='Analítico Cx.'!$B101),-('Diário 5º PA'!$P$5:$P$2634=H$1),('Diário 5º PA'!$F$5:$F$2634))+
SUMPRODUCT(-('Diário 6º PA'!$E$5:$E$2246='Analítico Cx.'!$B101),-('Diário 6º PA'!$P$5:$P$2246=H$1),('Diário 6º PA'!$F$5:$F$2246))+
SUMPRODUCT(-('Diário 7º PA'!$E$5:$E$2271='Analítico Cx.'!$B101),-('Diário 7º PA'!$P$5:$P$2271=H$1),('Diário 7º PA'!$F$5:$F$2271))+
SUMPRODUCT(-('Diário 8º PA'!$E$5:$E$2488='Analítico Cx.'!$B101),-('Diário 8º PA'!$P$5:$P$2488=H$1),('Diário 8º PA'!$F$5:$F$2488))</f>
        <v>707.41</v>
      </c>
      <c r="I101" s="185">
        <f>SUMPRODUCT(-('Diário 5º PA'!$E$5:$E$2634='Analítico Cx.'!$B101),-('Diário 5º PA'!$P$5:$P$2634=I$1),('Diário 5º PA'!$F$5:$F$2634))+
SUMPRODUCT(-('Diário 6º PA'!$E$5:$E$2246='Analítico Cx.'!$B101),-('Diário 6º PA'!$P$5:$P$2246=I$1),('Diário 6º PA'!$F$5:$F$2246))+
SUMPRODUCT(-('Diário 7º PA'!$E$5:$E$2271='Analítico Cx.'!$B101),-('Diário 7º PA'!$P$5:$P$2271=I$1),('Diário 7º PA'!$F$5:$F$2271))+
SUMPRODUCT(-('Diário 8º PA'!$E$5:$E$2488='Analítico Cx.'!$B101),-('Diário 8º PA'!$P$5:$P$2488=I$1),('Diário 8º PA'!$F$5:$F$2488))</f>
        <v>0</v>
      </c>
      <c r="J101" s="185">
        <f>SUMPRODUCT(-('Diário 5º PA'!$E$5:$E$2634='Analítico Cx.'!$B101),-('Diário 5º PA'!$P$5:$P$2634=J$1),('Diário 5º PA'!$F$5:$F$2634))+
SUMPRODUCT(-('Diário 6º PA'!$E$5:$E$2246='Analítico Cx.'!$B101),-('Diário 6º PA'!$P$5:$P$2246=J$1),('Diário 6º PA'!$F$5:$F$2246))+
SUMPRODUCT(-('Diário 7º PA'!$E$5:$E$2271='Analítico Cx.'!$B101),-('Diário 7º PA'!$P$5:$P$2271=J$1),('Diário 7º PA'!$F$5:$F$2271))+
SUMPRODUCT(-('Diário 8º PA'!$E$5:$E$2488='Analítico Cx.'!$B101),-('Diário 8º PA'!$P$5:$P$2488=J$1),('Diário 8º PA'!$F$5:$F$2488))</f>
        <v>0</v>
      </c>
      <c r="K101" s="185">
        <f>SUMPRODUCT(-('Diário 5º PA'!$E$5:$E$2634='Analítico Cx.'!$B101),-('Diário 5º PA'!$P$5:$P$2634=K$1),('Diário 5º PA'!$F$5:$F$2634))+
SUMPRODUCT(-('Diário 6º PA'!$E$5:$E$2246='Analítico Cx.'!$B101),-('Diário 6º PA'!$P$5:$P$2246=K$1),('Diário 6º PA'!$F$5:$F$2246))+
SUMPRODUCT(-('Diário 7º PA'!$E$5:$E$2271='Analítico Cx.'!$B101),-('Diário 7º PA'!$P$5:$P$2271=K$1),('Diário 7º PA'!$F$5:$F$2271))+
SUMPRODUCT(-('Diário 8º PA'!$E$5:$E$2488='Analítico Cx.'!$B101),-('Diário 8º PA'!$P$5:$P$2488=K$1),('Diário 8º PA'!$F$5:$F$2488))</f>
        <v>0</v>
      </c>
      <c r="L101" s="185">
        <f>SUMPRODUCT(-('Diário 5º PA'!$E$5:$E$2634='Analítico Cx.'!$B101),-('Diário 5º PA'!$P$5:$P$2634=L$1),('Diário 5º PA'!$F$5:$F$2634))+
SUMPRODUCT(-('Diário 6º PA'!$E$5:$E$2246='Analítico Cx.'!$B101),-('Diário 6º PA'!$P$5:$P$2246=L$1),('Diário 6º PA'!$F$5:$F$2246))+
SUMPRODUCT(-('Diário 7º PA'!$E$5:$E$2271='Analítico Cx.'!$B101),-('Diário 7º PA'!$P$5:$P$2271=L$1),('Diário 7º PA'!$F$5:$F$2271))+
SUMPRODUCT(-('Diário 8º PA'!$E$5:$E$2488='Analítico Cx.'!$B101),-('Diário 8º PA'!$P$5:$P$2488=L$1),('Diário 8º PA'!$F$5:$F$2488))</f>
        <v>0</v>
      </c>
      <c r="M101" s="185">
        <f>SUMPRODUCT(-('Diário 5º PA'!$E$5:$E$2634='Analítico Cx.'!$B101),-('Diário 5º PA'!$P$5:$P$2634=M$1),('Diário 5º PA'!$F$5:$F$2634))+
SUMPRODUCT(-('Diário 6º PA'!$E$5:$E$2246='Analítico Cx.'!$B101),-('Diário 6º PA'!$P$5:$P$2246=M$1),('Diário 6º PA'!$F$5:$F$2246))+
SUMPRODUCT(-('Diário 7º PA'!$E$5:$E$2271='Analítico Cx.'!$B101),-('Diário 7º PA'!$P$5:$P$2271=M$1),('Diário 7º PA'!$F$5:$F$2271))+
SUMPRODUCT(-('Diário 8º PA'!$E$5:$E$2488='Analítico Cx.'!$B101),-('Diário 8º PA'!$P$5:$P$2488=M$1),('Diário 8º PA'!$F$5:$F$2488))</f>
        <v>0</v>
      </c>
      <c r="N101" s="185">
        <f>SUMPRODUCT(-('Diário 5º PA'!$E$5:$E$2634='Analítico Cx.'!$B101),-('Diário 5º PA'!$P$5:$P$2634=N$1),('Diário 5º PA'!$F$5:$F$2634))+
SUMPRODUCT(-('Diário 6º PA'!$E$5:$E$2246='Analítico Cx.'!$B101),-('Diário 6º PA'!$P$5:$P$2246=N$1),('Diário 6º PA'!$F$5:$F$2246))+
SUMPRODUCT(-('Diário 7º PA'!$E$5:$E$2271='Analítico Cx.'!$B101),-('Diário 7º PA'!$P$5:$P$2271=N$1),('Diário 7º PA'!$F$5:$F$2271))+
SUMPRODUCT(-('Diário 8º PA'!$E$5:$E$2488='Analítico Cx.'!$B101),-('Diário 8º PA'!$P$5:$P$2488=N$1),('Diário 8º PA'!$F$5:$F$2488))</f>
        <v>0</v>
      </c>
      <c r="O101" s="186">
        <f t="shared" si="16"/>
        <v>759.11</v>
      </c>
      <c r="P101" s="187">
        <f t="shared" si="17"/>
        <v>8.0542481948124098E-5</v>
      </c>
      <c r="Q101" s="34"/>
      <c r="R101" s="34"/>
      <c r="S101" s="34"/>
      <c r="T101" s="34"/>
      <c r="U101" s="34"/>
      <c r="V101" s="34"/>
      <c r="W101" s="34"/>
      <c r="X101" s="34"/>
      <c r="Y101" s="34"/>
      <c r="Z101" s="34"/>
    </row>
    <row r="102" spans="1:26" ht="23.25" customHeight="1" x14ac:dyDescent="0.2">
      <c r="A102" s="203" t="s">
        <v>295</v>
      </c>
      <c r="B102" s="204" t="s">
        <v>296</v>
      </c>
      <c r="C102" s="185">
        <f>SUMPRODUCT(-('Diário 5º PA'!$E$5:$E$2634='Analítico Cx.'!$B102),-('Diário 5º PA'!$P$5:$P$2634=C$1),('Diário 5º PA'!$F$5:$F$2634))+
SUMPRODUCT(-('Diário 6º PA'!$E$5:$E$2246='Analítico Cx.'!$B102),-('Diário 6º PA'!$P$5:$P$2246=C$1),('Diário 6º PA'!$F$5:$F$2246))+
SUMPRODUCT(-('Diário 7º PA'!$E$5:$E$2271='Analítico Cx.'!$B102),-('Diário 7º PA'!$P$5:$P$2271=C$1),('Diário 7º PA'!$F$5:$F$2271))+
SUMPRODUCT(-('Diário 8º PA'!$E$5:$E$2488='Analítico Cx.'!$B102),-('Diário 8º PA'!$P$5:$P$2488=C$1),('Diário 8º PA'!$F$5:$F$2488))</f>
        <v>0</v>
      </c>
      <c r="D102" s="185">
        <f>SUMPRODUCT(-('Diário 5º PA'!$E$5:$E$2634='Analítico Cx.'!$B102),-('Diário 5º PA'!$P$5:$P$2634=D$1),('Diário 5º PA'!$F$5:$F$2634))+
SUMPRODUCT(-('Diário 6º PA'!$E$5:$E$2246='Analítico Cx.'!$B102),-('Diário 6º PA'!$P$5:$P$2246=D$1),('Diário 6º PA'!$F$5:$F$2246))+
SUMPRODUCT(-('Diário 7º PA'!$E$5:$E$2271='Analítico Cx.'!$B102),-('Diário 7º PA'!$P$5:$P$2271=D$1),('Diário 7º PA'!$F$5:$F$2271))+
SUMPRODUCT(-('Diário 8º PA'!$E$5:$E$2488='Analítico Cx.'!$B102),-('Diário 8º PA'!$P$5:$P$2488=D$1),('Diário 8º PA'!$F$5:$F$2488))</f>
        <v>0</v>
      </c>
      <c r="E102" s="185">
        <f>SUMPRODUCT(-('Diário 5º PA'!$E$5:$E$2634='Analítico Cx.'!$B102),-('Diário 5º PA'!$P$5:$P$2634=E$1),('Diário 5º PA'!$F$5:$F$2634))+
SUMPRODUCT(-('Diário 6º PA'!$E$5:$E$2246='Analítico Cx.'!$B102),-('Diário 6º PA'!$P$5:$P$2246=E$1),('Diário 6º PA'!$F$5:$F$2246))+
SUMPRODUCT(-('Diário 7º PA'!$E$5:$E$2271='Analítico Cx.'!$B102),-('Diário 7º PA'!$P$5:$P$2271=E$1),('Diário 7º PA'!$F$5:$F$2271))+
SUMPRODUCT(-('Diário 8º PA'!$E$5:$E$2488='Analítico Cx.'!$B102),-('Diário 8º PA'!$P$5:$P$2488=E$1),('Diário 8º PA'!$F$5:$F$2488))</f>
        <v>0</v>
      </c>
      <c r="F102" s="185">
        <f>SUMPRODUCT(-('Diário 5º PA'!$E$5:$E$2634='Analítico Cx.'!$B102),-('Diário 5º PA'!$P$5:$P$2634=F$1),('Diário 5º PA'!$F$5:$F$2634))+
SUMPRODUCT(-('Diário 6º PA'!$E$5:$E$2246='Analítico Cx.'!$B102),-('Diário 6º PA'!$P$5:$P$2246=F$1),('Diário 6º PA'!$F$5:$F$2246))+
SUMPRODUCT(-('Diário 7º PA'!$E$5:$E$2271='Analítico Cx.'!$B102),-('Diário 7º PA'!$P$5:$P$2271=F$1),('Diário 7º PA'!$F$5:$F$2271))+
SUMPRODUCT(-('Diário 8º PA'!$E$5:$E$2488='Analítico Cx.'!$B102),-('Diário 8º PA'!$P$5:$P$2488=F$1),('Diário 8º PA'!$F$5:$F$2488))</f>
        <v>0</v>
      </c>
      <c r="G102" s="185">
        <f>SUMPRODUCT(-('Diário 5º PA'!$E$5:$E$2634='Analítico Cx.'!$B102),-('Diário 5º PA'!$P$5:$P$2634=G$1),('Diário 5º PA'!$F$5:$F$2634))+
SUMPRODUCT(-('Diário 6º PA'!$E$5:$E$2246='Analítico Cx.'!$B102),-('Diário 6º PA'!$P$5:$P$2246=G$1),('Diário 6º PA'!$F$5:$F$2246))+
SUMPRODUCT(-('Diário 7º PA'!$E$5:$E$2271='Analítico Cx.'!$B102),-('Diário 7º PA'!$P$5:$P$2271=G$1),('Diário 7º PA'!$F$5:$F$2271))+
SUMPRODUCT(-('Diário 8º PA'!$E$5:$E$2488='Analítico Cx.'!$B102),-('Diário 8º PA'!$P$5:$P$2488=G$1),('Diário 8º PA'!$F$5:$F$2488))</f>
        <v>0</v>
      </c>
      <c r="H102" s="185">
        <f>SUMPRODUCT(-('Diário 5º PA'!$E$5:$E$2634='Analítico Cx.'!$B102),-('Diário 5º PA'!$P$5:$P$2634=H$1),('Diário 5º PA'!$F$5:$F$2634))+
SUMPRODUCT(-('Diário 6º PA'!$E$5:$E$2246='Analítico Cx.'!$B102),-('Diário 6º PA'!$P$5:$P$2246=H$1),('Diário 6º PA'!$F$5:$F$2246))+
SUMPRODUCT(-('Diário 7º PA'!$E$5:$E$2271='Analítico Cx.'!$B102),-('Diário 7º PA'!$P$5:$P$2271=H$1),('Diário 7º PA'!$F$5:$F$2271))+
SUMPRODUCT(-('Diário 8º PA'!$E$5:$E$2488='Analítico Cx.'!$B102),-('Diário 8º PA'!$P$5:$P$2488=H$1),('Diário 8º PA'!$F$5:$F$2488))</f>
        <v>0</v>
      </c>
      <c r="I102" s="185">
        <f>SUMPRODUCT(-('Diário 5º PA'!$E$5:$E$2634='Analítico Cx.'!$B102),-('Diário 5º PA'!$P$5:$P$2634=I$1),('Diário 5º PA'!$F$5:$F$2634))+
SUMPRODUCT(-('Diário 6º PA'!$E$5:$E$2246='Analítico Cx.'!$B102),-('Diário 6º PA'!$P$5:$P$2246=I$1),('Diário 6º PA'!$F$5:$F$2246))+
SUMPRODUCT(-('Diário 7º PA'!$E$5:$E$2271='Analítico Cx.'!$B102),-('Diário 7º PA'!$P$5:$P$2271=I$1),('Diário 7º PA'!$F$5:$F$2271))+
SUMPRODUCT(-('Diário 8º PA'!$E$5:$E$2488='Analítico Cx.'!$B102),-('Diário 8º PA'!$P$5:$P$2488=I$1),('Diário 8º PA'!$F$5:$F$2488))</f>
        <v>0</v>
      </c>
      <c r="J102" s="185">
        <f>SUMPRODUCT(-('Diário 5º PA'!$E$5:$E$2634='Analítico Cx.'!$B102),-('Diário 5º PA'!$P$5:$P$2634=J$1),('Diário 5º PA'!$F$5:$F$2634))+
SUMPRODUCT(-('Diário 6º PA'!$E$5:$E$2246='Analítico Cx.'!$B102),-('Diário 6º PA'!$P$5:$P$2246=J$1),('Diário 6º PA'!$F$5:$F$2246))+
SUMPRODUCT(-('Diário 7º PA'!$E$5:$E$2271='Analítico Cx.'!$B102),-('Diário 7º PA'!$P$5:$P$2271=J$1),('Diário 7º PA'!$F$5:$F$2271))+
SUMPRODUCT(-('Diário 8º PA'!$E$5:$E$2488='Analítico Cx.'!$B102),-('Diário 8º PA'!$P$5:$P$2488=J$1),('Diário 8º PA'!$F$5:$F$2488))</f>
        <v>0</v>
      </c>
      <c r="K102" s="185">
        <f>SUMPRODUCT(-('Diário 5º PA'!$E$5:$E$2634='Analítico Cx.'!$B102),-('Diário 5º PA'!$P$5:$P$2634=K$1),('Diário 5º PA'!$F$5:$F$2634))+
SUMPRODUCT(-('Diário 6º PA'!$E$5:$E$2246='Analítico Cx.'!$B102),-('Diário 6º PA'!$P$5:$P$2246=K$1),('Diário 6º PA'!$F$5:$F$2246))+
SUMPRODUCT(-('Diário 7º PA'!$E$5:$E$2271='Analítico Cx.'!$B102),-('Diário 7º PA'!$P$5:$P$2271=K$1),('Diário 7º PA'!$F$5:$F$2271))+
SUMPRODUCT(-('Diário 8º PA'!$E$5:$E$2488='Analítico Cx.'!$B102),-('Diário 8º PA'!$P$5:$P$2488=K$1),('Diário 8º PA'!$F$5:$F$2488))</f>
        <v>0</v>
      </c>
      <c r="L102" s="185">
        <f>SUMPRODUCT(-('Diário 5º PA'!$E$5:$E$2634='Analítico Cx.'!$B102),-('Diário 5º PA'!$P$5:$P$2634=L$1),('Diário 5º PA'!$F$5:$F$2634))+
SUMPRODUCT(-('Diário 6º PA'!$E$5:$E$2246='Analítico Cx.'!$B102),-('Diário 6º PA'!$P$5:$P$2246=L$1),('Diário 6º PA'!$F$5:$F$2246))+
SUMPRODUCT(-('Diário 7º PA'!$E$5:$E$2271='Analítico Cx.'!$B102),-('Diário 7º PA'!$P$5:$P$2271=L$1),('Diário 7º PA'!$F$5:$F$2271))+
SUMPRODUCT(-('Diário 8º PA'!$E$5:$E$2488='Analítico Cx.'!$B102),-('Diário 8º PA'!$P$5:$P$2488=L$1),('Diário 8º PA'!$F$5:$F$2488))</f>
        <v>0</v>
      </c>
      <c r="M102" s="185">
        <f>SUMPRODUCT(-('Diário 5º PA'!$E$5:$E$2634='Analítico Cx.'!$B102),-('Diário 5º PA'!$P$5:$P$2634=M$1),('Diário 5º PA'!$F$5:$F$2634))+
SUMPRODUCT(-('Diário 6º PA'!$E$5:$E$2246='Analítico Cx.'!$B102),-('Diário 6º PA'!$P$5:$P$2246=M$1),('Diário 6º PA'!$F$5:$F$2246))+
SUMPRODUCT(-('Diário 7º PA'!$E$5:$E$2271='Analítico Cx.'!$B102),-('Diário 7º PA'!$P$5:$P$2271=M$1),('Diário 7º PA'!$F$5:$F$2271))+
SUMPRODUCT(-('Diário 8º PA'!$E$5:$E$2488='Analítico Cx.'!$B102),-('Diário 8º PA'!$P$5:$P$2488=M$1),('Diário 8º PA'!$F$5:$F$2488))</f>
        <v>0</v>
      </c>
      <c r="N102" s="185">
        <f>SUMPRODUCT(-('Diário 5º PA'!$E$5:$E$2634='Analítico Cx.'!$B102),-('Diário 5º PA'!$P$5:$P$2634=N$1),('Diário 5º PA'!$F$5:$F$2634))+
SUMPRODUCT(-('Diário 6º PA'!$E$5:$E$2246='Analítico Cx.'!$B102),-('Diário 6º PA'!$P$5:$P$2246=N$1),('Diário 6º PA'!$F$5:$F$2246))+
SUMPRODUCT(-('Diário 7º PA'!$E$5:$E$2271='Analítico Cx.'!$B102),-('Diário 7º PA'!$P$5:$P$2271=N$1),('Diário 7º PA'!$F$5:$F$2271))+
SUMPRODUCT(-('Diário 8º PA'!$E$5:$E$2488='Analítico Cx.'!$B102),-('Diário 8º PA'!$P$5:$P$2488=N$1),('Diário 8º PA'!$F$5:$F$2488))</f>
        <v>0</v>
      </c>
      <c r="O102" s="186">
        <f t="shared" si="16"/>
        <v>0</v>
      </c>
      <c r="P102" s="187">
        <f t="shared" si="17"/>
        <v>0</v>
      </c>
      <c r="Q102" s="34"/>
      <c r="R102" s="34"/>
      <c r="S102" s="34"/>
      <c r="T102" s="34"/>
      <c r="U102" s="34"/>
      <c r="V102" s="34"/>
      <c r="W102" s="34"/>
      <c r="X102" s="34"/>
      <c r="Y102" s="34"/>
      <c r="Z102" s="34"/>
    </row>
    <row r="103" spans="1:26" ht="23.25" customHeight="1" x14ac:dyDescent="0.2">
      <c r="A103" s="203" t="s">
        <v>297</v>
      </c>
      <c r="B103" s="72" t="s">
        <v>298</v>
      </c>
      <c r="C103" s="185">
        <f>SUMPRODUCT(-('Diário 5º PA'!$E$5:$E$2634='Analítico Cx.'!$B103),-('Diário 5º PA'!$P$5:$P$2634=C$1),('Diário 5º PA'!$F$5:$F$2634))+
SUMPRODUCT(-('Diário 6º PA'!$E$5:$E$2246='Analítico Cx.'!$B103),-('Diário 6º PA'!$P$5:$P$2246=C$1),('Diário 6º PA'!$F$5:$F$2246))+
SUMPRODUCT(-('Diário 7º PA'!$E$5:$E$2271='Analítico Cx.'!$B103),-('Diário 7º PA'!$P$5:$P$2271=C$1),('Diário 7º PA'!$F$5:$F$2271))+
SUMPRODUCT(-('Diário 8º PA'!$E$5:$E$2488='Analítico Cx.'!$B103),-('Diário 8º PA'!$P$5:$P$2488=C$1),('Diário 8º PA'!$F$5:$F$2488))</f>
        <v>0</v>
      </c>
      <c r="D103" s="185">
        <f>SUMPRODUCT(-('Diário 5º PA'!$E$5:$E$2634='Analítico Cx.'!$B103),-('Diário 5º PA'!$P$5:$P$2634=D$1),('Diário 5º PA'!$F$5:$F$2634))+
SUMPRODUCT(-('Diário 6º PA'!$E$5:$E$2246='Analítico Cx.'!$B103),-('Diário 6º PA'!$P$5:$P$2246=D$1),('Diário 6º PA'!$F$5:$F$2246))+
SUMPRODUCT(-('Diário 7º PA'!$E$5:$E$2271='Analítico Cx.'!$B103),-('Diário 7º PA'!$P$5:$P$2271=D$1),('Diário 7º PA'!$F$5:$F$2271))+
SUMPRODUCT(-('Diário 8º PA'!$E$5:$E$2488='Analítico Cx.'!$B103),-('Diário 8º PA'!$P$5:$P$2488=D$1),('Diário 8º PA'!$F$5:$F$2488))</f>
        <v>0</v>
      </c>
      <c r="E103" s="185">
        <f>SUMPRODUCT(-('Diário 5º PA'!$E$5:$E$2634='Analítico Cx.'!$B103),-('Diário 5º PA'!$P$5:$P$2634=E$1),('Diário 5º PA'!$F$5:$F$2634))+
SUMPRODUCT(-('Diário 6º PA'!$E$5:$E$2246='Analítico Cx.'!$B103),-('Diário 6º PA'!$P$5:$P$2246=E$1),('Diário 6º PA'!$F$5:$F$2246))+
SUMPRODUCT(-('Diário 7º PA'!$E$5:$E$2271='Analítico Cx.'!$B103),-('Diário 7º PA'!$P$5:$P$2271=E$1),('Diário 7º PA'!$F$5:$F$2271))+
SUMPRODUCT(-('Diário 8º PA'!$E$5:$E$2488='Analítico Cx.'!$B103),-('Diário 8º PA'!$P$5:$P$2488=E$1),('Diário 8º PA'!$F$5:$F$2488))</f>
        <v>0</v>
      </c>
      <c r="F103" s="185">
        <f>SUMPRODUCT(-('Diário 5º PA'!$E$5:$E$2634='Analítico Cx.'!$B103),-('Diário 5º PA'!$P$5:$P$2634=F$1),('Diário 5º PA'!$F$5:$F$2634))+
SUMPRODUCT(-('Diário 6º PA'!$E$5:$E$2246='Analítico Cx.'!$B103),-('Diário 6º PA'!$P$5:$P$2246=F$1),('Diário 6º PA'!$F$5:$F$2246))+
SUMPRODUCT(-('Diário 7º PA'!$E$5:$E$2271='Analítico Cx.'!$B103),-('Diário 7º PA'!$P$5:$P$2271=F$1),('Diário 7º PA'!$F$5:$F$2271))+
SUMPRODUCT(-('Diário 8º PA'!$E$5:$E$2488='Analítico Cx.'!$B103),-('Diário 8º PA'!$P$5:$P$2488=F$1),('Diário 8º PA'!$F$5:$F$2488))</f>
        <v>0</v>
      </c>
      <c r="G103" s="185">
        <f>SUMPRODUCT(-('Diário 5º PA'!$E$5:$E$2634='Analítico Cx.'!$B103),-('Diário 5º PA'!$P$5:$P$2634=G$1),('Diário 5º PA'!$F$5:$F$2634))+
SUMPRODUCT(-('Diário 6º PA'!$E$5:$E$2246='Analítico Cx.'!$B103),-('Diário 6º PA'!$P$5:$P$2246=G$1),('Diário 6º PA'!$F$5:$F$2246))+
SUMPRODUCT(-('Diário 7º PA'!$E$5:$E$2271='Analítico Cx.'!$B103),-('Diário 7º PA'!$P$5:$P$2271=G$1),('Diário 7º PA'!$F$5:$F$2271))+
SUMPRODUCT(-('Diário 8º PA'!$E$5:$E$2488='Analítico Cx.'!$B103),-('Diário 8º PA'!$P$5:$P$2488=G$1),('Diário 8º PA'!$F$5:$F$2488))</f>
        <v>0</v>
      </c>
      <c r="H103" s="185">
        <f>SUMPRODUCT(-('Diário 5º PA'!$E$5:$E$2634='Analítico Cx.'!$B103),-('Diário 5º PA'!$P$5:$P$2634=H$1),('Diário 5º PA'!$F$5:$F$2634))+
SUMPRODUCT(-('Diário 6º PA'!$E$5:$E$2246='Analítico Cx.'!$B103),-('Diário 6º PA'!$P$5:$P$2246=H$1),('Diário 6º PA'!$F$5:$F$2246))+
SUMPRODUCT(-('Diário 7º PA'!$E$5:$E$2271='Analítico Cx.'!$B103),-('Diário 7º PA'!$P$5:$P$2271=H$1),('Diário 7º PA'!$F$5:$F$2271))+
SUMPRODUCT(-('Diário 8º PA'!$E$5:$E$2488='Analítico Cx.'!$B103),-('Diário 8º PA'!$P$5:$P$2488=H$1),('Diário 8º PA'!$F$5:$F$2488))</f>
        <v>0</v>
      </c>
      <c r="I103" s="185">
        <f>SUMPRODUCT(-('Diário 5º PA'!$E$5:$E$2634='Analítico Cx.'!$B103),-('Diário 5º PA'!$P$5:$P$2634=I$1),('Diário 5º PA'!$F$5:$F$2634))+
SUMPRODUCT(-('Diário 6º PA'!$E$5:$E$2246='Analítico Cx.'!$B103),-('Diário 6º PA'!$P$5:$P$2246=I$1),('Diário 6º PA'!$F$5:$F$2246))+
SUMPRODUCT(-('Diário 7º PA'!$E$5:$E$2271='Analítico Cx.'!$B103),-('Diário 7º PA'!$P$5:$P$2271=I$1),('Diário 7º PA'!$F$5:$F$2271))+
SUMPRODUCT(-('Diário 8º PA'!$E$5:$E$2488='Analítico Cx.'!$B103),-('Diário 8º PA'!$P$5:$P$2488=I$1),('Diário 8º PA'!$F$5:$F$2488))</f>
        <v>0</v>
      </c>
      <c r="J103" s="185">
        <f>SUMPRODUCT(-('Diário 5º PA'!$E$5:$E$2634='Analítico Cx.'!$B103),-('Diário 5º PA'!$P$5:$P$2634=J$1),('Diário 5º PA'!$F$5:$F$2634))+
SUMPRODUCT(-('Diário 6º PA'!$E$5:$E$2246='Analítico Cx.'!$B103),-('Diário 6º PA'!$P$5:$P$2246=J$1),('Diário 6º PA'!$F$5:$F$2246))+
SUMPRODUCT(-('Diário 7º PA'!$E$5:$E$2271='Analítico Cx.'!$B103),-('Diário 7º PA'!$P$5:$P$2271=J$1),('Diário 7º PA'!$F$5:$F$2271))+
SUMPRODUCT(-('Diário 8º PA'!$E$5:$E$2488='Analítico Cx.'!$B103),-('Diário 8º PA'!$P$5:$P$2488=J$1),('Diário 8º PA'!$F$5:$F$2488))</f>
        <v>0</v>
      </c>
      <c r="K103" s="185">
        <f>SUMPRODUCT(-('Diário 5º PA'!$E$5:$E$2634='Analítico Cx.'!$B103),-('Diário 5º PA'!$P$5:$P$2634=K$1),('Diário 5º PA'!$F$5:$F$2634))+
SUMPRODUCT(-('Diário 6º PA'!$E$5:$E$2246='Analítico Cx.'!$B103),-('Diário 6º PA'!$P$5:$P$2246=K$1),('Diário 6º PA'!$F$5:$F$2246))+
SUMPRODUCT(-('Diário 7º PA'!$E$5:$E$2271='Analítico Cx.'!$B103),-('Diário 7º PA'!$P$5:$P$2271=K$1),('Diário 7º PA'!$F$5:$F$2271))+
SUMPRODUCT(-('Diário 8º PA'!$E$5:$E$2488='Analítico Cx.'!$B103),-('Diário 8º PA'!$P$5:$P$2488=K$1),('Diário 8º PA'!$F$5:$F$2488))</f>
        <v>0</v>
      </c>
      <c r="L103" s="185">
        <f>SUMPRODUCT(-('Diário 5º PA'!$E$5:$E$2634='Analítico Cx.'!$B103),-('Diário 5º PA'!$P$5:$P$2634=L$1),('Diário 5º PA'!$F$5:$F$2634))+
SUMPRODUCT(-('Diário 6º PA'!$E$5:$E$2246='Analítico Cx.'!$B103),-('Diário 6º PA'!$P$5:$P$2246=L$1),('Diário 6º PA'!$F$5:$F$2246))+
SUMPRODUCT(-('Diário 7º PA'!$E$5:$E$2271='Analítico Cx.'!$B103),-('Diário 7º PA'!$P$5:$P$2271=L$1),('Diário 7º PA'!$F$5:$F$2271))+
SUMPRODUCT(-('Diário 8º PA'!$E$5:$E$2488='Analítico Cx.'!$B103),-('Diário 8º PA'!$P$5:$P$2488=L$1),('Diário 8º PA'!$F$5:$F$2488))</f>
        <v>0</v>
      </c>
      <c r="M103" s="185">
        <f>SUMPRODUCT(-('Diário 5º PA'!$E$5:$E$2634='Analítico Cx.'!$B103),-('Diário 5º PA'!$P$5:$P$2634=M$1),('Diário 5º PA'!$F$5:$F$2634))+
SUMPRODUCT(-('Diário 6º PA'!$E$5:$E$2246='Analítico Cx.'!$B103),-('Diário 6º PA'!$P$5:$P$2246=M$1),('Diário 6º PA'!$F$5:$F$2246))+
SUMPRODUCT(-('Diário 7º PA'!$E$5:$E$2271='Analítico Cx.'!$B103),-('Diário 7º PA'!$P$5:$P$2271=M$1),('Diário 7º PA'!$F$5:$F$2271))+
SUMPRODUCT(-('Diário 8º PA'!$E$5:$E$2488='Analítico Cx.'!$B103),-('Diário 8º PA'!$P$5:$P$2488=M$1),('Diário 8º PA'!$F$5:$F$2488))</f>
        <v>0</v>
      </c>
      <c r="N103" s="185">
        <f>SUMPRODUCT(-('Diário 5º PA'!$E$5:$E$2634='Analítico Cx.'!$B103),-('Diário 5º PA'!$P$5:$P$2634=N$1),('Diário 5º PA'!$F$5:$F$2634))+
SUMPRODUCT(-('Diário 6º PA'!$E$5:$E$2246='Analítico Cx.'!$B103),-('Diário 6º PA'!$P$5:$P$2246=N$1),('Diário 6º PA'!$F$5:$F$2246))+
SUMPRODUCT(-('Diário 7º PA'!$E$5:$E$2271='Analítico Cx.'!$B103),-('Diário 7º PA'!$P$5:$P$2271=N$1),('Diário 7º PA'!$F$5:$F$2271))+
SUMPRODUCT(-('Diário 8º PA'!$E$5:$E$2488='Analítico Cx.'!$B103),-('Diário 8º PA'!$P$5:$P$2488=N$1),('Diário 8º PA'!$F$5:$F$2488))</f>
        <v>0</v>
      </c>
      <c r="O103" s="186">
        <f t="shared" si="16"/>
        <v>0</v>
      </c>
      <c r="P103" s="187">
        <f t="shared" si="17"/>
        <v>0</v>
      </c>
      <c r="Q103" s="34"/>
      <c r="R103" s="34"/>
      <c r="S103" s="34"/>
      <c r="T103" s="34"/>
      <c r="U103" s="34"/>
      <c r="V103" s="34"/>
      <c r="W103" s="34"/>
      <c r="X103" s="34"/>
      <c r="Y103" s="34"/>
      <c r="Z103" s="34"/>
    </row>
    <row r="104" spans="1:26" ht="23.25" customHeight="1" x14ac:dyDescent="0.2">
      <c r="A104" s="203" t="s">
        <v>299</v>
      </c>
      <c r="B104" s="204" t="s">
        <v>300</v>
      </c>
      <c r="C104" s="185">
        <f>SUMPRODUCT(-('Diário 5º PA'!$E$5:$E$2634='Analítico Cx.'!$B104),-('Diário 5º PA'!$P$5:$P$2634=C$1),('Diário 5º PA'!$F$5:$F$2634))+
SUMPRODUCT(-('Diário 6º PA'!$E$5:$E$2246='Analítico Cx.'!$B104),-('Diário 6º PA'!$P$5:$P$2246=C$1),('Diário 6º PA'!$F$5:$F$2246))+
SUMPRODUCT(-('Diário 7º PA'!$E$5:$E$2271='Analítico Cx.'!$B104),-('Diário 7º PA'!$P$5:$P$2271=C$1),('Diário 7º PA'!$F$5:$F$2271))+
SUMPRODUCT(-('Diário 8º PA'!$E$5:$E$2488='Analítico Cx.'!$B104),-('Diário 8º PA'!$P$5:$P$2488=C$1),('Diário 8º PA'!$F$5:$F$2488))</f>
        <v>13.14</v>
      </c>
      <c r="D104" s="185">
        <f>SUMPRODUCT(-('Diário 5º PA'!$E$5:$E$2634='Analítico Cx.'!$B104),-('Diário 5º PA'!$P$5:$P$2634=D$1),('Diário 5º PA'!$F$5:$F$2634))+
SUMPRODUCT(-('Diário 6º PA'!$E$5:$E$2246='Analítico Cx.'!$B104),-('Diário 6º PA'!$P$5:$P$2246=D$1),('Diário 6º PA'!$F$5:$F$2246))+
SUMPRODUCT(-('Diário 7º PA'!$E$5:$E$2271='Analítico Cx.'!$B104),-('Diário 7º PA'!$P$5:$P$2271=D$1),('Diário 7º PA'!$F$5:$F$2271))+
SUMPRODUCT(-('Diário 8º PA'!$E$5:$E$2488='Analítico Cx.'!$B104),-('Diário 8º PA'!$P$5:$P$2488=D$1),('Diário 8º PA'!$F$5:$F$2488))</f>
        <v>0</v>
      </c>
      <c r="E104" s="185">
        <f>SUMPRODUCT(-('Diário 5º PA'!$E$5:$E$2634='Analítico Cx.'!$B104),-('Diário 5º PA'!$P$5:$P$2634=E$1),('Diário 5º PA'!$F$5:$F$2634))+
SUMPRODUCT(-('Diário 6º PA'!$E$5:$E$2246='Analítico Cx.'!$B104),-('Diário 6º PA'!$P$5:$P$2246=E$1),('Diário 6º PA'!$F$5:$F$2246))+
SUMPRODUCT(-('Diário 7º PA'!$E$5:$E$2271='Analítico Cx.'!$B104),-('Diário 7º PA'!$P$5:$P$2271=E$1),('Diário 7º PA'!$F$5:$F$2271))+
SUMPRODUCT(-('Diário 8º PA'!$E$5:$E$2488='Analítico Cx.'!$B104),-('Diário 8º PA'!$P$5:$P$2488=E$1),('Diário 8º PA'!$F$5:$F$2488))</f>
        <v>0</v>
      </c>
      <c r="F104" s="185">
        <f>SUMPRODUCT(-('Diário 5º PA'!$E$5:$E$2634='Analítico Cx.'!$B104),-('Diário 5º PA'!$P$5:$P$2634=F$1),('Diário 5º PA'!$F$5:$F$2634))+
SUMPRODUCT(-('Diário 6º PA'!$E$5:$E$2246='Analítico Cx.'!$B104),-('Diário 6º PA'!$P$5:$P$2246=F$1),('Diário 6º PA'!$F$5:$F$2246))+
SUMPRODUCT(-('Diário 7º PA'!$E$5:$E$2271='Analítico Cx.'!$B104),-('Diário 7º PA'!$P$5:$P$2271=F$1),('Diário 7º PA'!$F$5:$F$2271))+
SUMPRODUCT(-('Diário 8º PA'!$E$5:$E$2488='Analítico Cx.'!$B104),-('Diário 8º PA'!$P$5:$P$2488=F$1),('Diário 8º PA'!$F$5:$F$2488))</f>
        <v>0</v>
      </c>
      <c r="G104" s="185">
        <f>SUMPRODUCT(-('Diário 5º PA'!$E$5:$E$2634='Analítico Cx.'!$B104),-('Diário 5º PA'!$P$5:$P$2634=G$1),('Diário 5º PA'!$F$5:$F$2634))+
SUMPRODUCT(-('Diário 6º PA'!$E$5:$E$2246='Analítico Cx.'!$B104),-('Diário 6º PA'!$P$5:$P$2246=G$1),('Diário 6º PA'!$F$5:$F$2246))+
SUMPRODUCT(-('Diário 7º PA'!$E$5:$E$2271='Analítico Cx.'!$B104),-('Diário 7º PA'!$P$5:$P$2271=G$1),('Diário 7º PA'!$F$5:$F$2271))+
SUMPRODUCT(-('Diário 8º PA'!$E$5:$E$2488='Analítico Cx.'!$B104),-('Diário 8º PA'!$P$5:$P$2488=G$1),('Diário 8º PA'!$F$5:$F$2488))</f>
        <v>0</v>
      </c>
      <c r="H104" s="185">
        <f>SUMPRODUCT(-('Diário 5º PA'!$E$5:$E$2634='Analítico Cx.'!$B104),-('Diário 5º PA'!$P$5:$P$2634=H$1),('Diário 5º PA'!$F$5:$F$2634))+
SUMPRODUCT(-('Diário 6º PA'!$E$5:$E$2246='Analítico Cx.'!$B104),-('Diário 6º PA'!$P$5:$P$2246=H$1),('Diário 6º PA'!$F$5:$F$2246))+
SUMPRODUCT(-('Diário 7º PA'!$E$5:$E$2271='Analítico Cx.'!$B104),-('Diário 7º PA'!$P$5:$P$2271=H$1),('Diário 7º PA'!$F$5:$F$2271))+
SUMPRODUCT(-('Diário 8º PA'!$E$5:$E$2488='Analítico Cx.'!$B104),-('Diário 8º PA'!$P$5:$P$2488=H$1),('Diário 8º PA'!$F$5:$F$2488))</f>
        <v>0</v>
      </c>
      <c r="I104" s="185">
        <f>SUMPRODUCT(-('Diário 5º PA'!$E$5:$E$2634='Analítico Cx.'!$B104),-('Diário 5º PA'!$P$5:$P$2634=I$1),('Diário 5º PA'!$F$5:$F$2634))+
SUMPRODUCT(-('Diário 6º PA'!$E$5:$E$2246='Analítico Cx.'!$B104),-('Diário 6º PA'!$P$5:$P$2246=I$1),('Diário 6º PA'!$F$5:$F$2246))+
SUMPRODUCT(-('Diário 7º PA'!$E$5:$E$2271='Analítico Cx.'!$B104),-('Diário 7º PA'!$P$5:$P$2271=I$1),('Diário 7º PA'!$F$5:$F$2271))+
SUMPRODUCT(-('Diário 8º PA'!$E$5:$E$2488='Analítico Cx.'!$B104),-('Diário 8º PA'!$P$5:$P$2488=I$1),('Diário 8º PA'!$F$5:$F$2488))</f>
        <v>0</v>
      </c>
      <c r="J104" s="185">
        <f>SUMPRODUCT(-('Diário 5º PA'!$E$5:$E$2634='Analítico Cx.'!$B104),-('Diário 5º PA'!$P$5:$P$2634=J$1),('Diário 5º PA'!$F$5:$F$2634))+
SUMPRODUCT(-('Diário 6º PA'!$E$5:$E$2246='Analítico Cx.'!$B104),-('Diário 6º PA'!$P$5:$P$2246=J$1),('Diário 6º PA'!$F$5:$F$2246))+
SUMPRODUCT(-('Diário 7º PA'!$E$5:$E$2271='Analítico Cx.'!$B104),-('Diário 7º PA'!$P$5:$P$2271=J$1),('Diário 7º PA'!$F$5:$F$2271))+
SUMPRODUCT(-('Diário 8º PA'!$E$5:$E$2488='Analítico Cx.'!$B104),-('Diário 8º PA'!$P$5:$P$2488=J$1),('Diário 8º PA'!$F$5:$F$2488))</f>
        <v>0</v>
      </c>
      <c r="K104" s="185">
        <f>SUMPRODUCT(-('Diário 5º PA'!$E$5:$E$2634='Analítico Cx.'!$B104),-('Diário 5º PA'!$P$5:$P$2634=K$1),('Diário 5º PA'!$F$5:$F$2634))+
SUMPRODUCT(-('Diário 6º PA'!$E$5:$E$2246='Analítico Cx.'!$B104),-('Diário 6º PA'!$P$5:$P$2246=K$1),('Diário 6º PA'!$F$5:$F$2246))+
SUMPRODUCT(-('Diário 7º PA'!$E$5:$E$2271='Analítico Cx.'!$B104),-('Diário 7º PA'!$P$5:$P$2271=K$1),('Diário 7º PA'!$F$5:$F$2271))+
SUMPRODUCT(-('Diário 8º PA'!$E$5:$E$2488='Analítico Cx.'!$B104),-('Diário 8º PA'!$P$5:$P$2488=K$1),('Diário 8º PA'!$F$5:$F$2488))</f>
        <v>0</v>
      </c>
      <c r="L104" s="185">
        <f>SUMPRODUCT(-('Diário 5º PA'!$E$5:$E$2634='Analítico Cx.'!$B104),-('Diário 5º PA'!$P$5:$P$2634=L$1),('Diário 5º PA'!$F$5:$F$2634))+
SUMPRODUCT(-('Diário 6º PA'!$E$5:$E$2246='Analítico Cx.'!$B104),-('Diário 6º PA'!$P$5:$P$2246=L$1),('Diário 6º PA'!$F$5:$F$2246))+
SUMPRODUCT(-('Diário 7º PA'!$E$5:$E$2271='Analítico Cx.'!$B104),-('Diário 7º PA'!$P$5:$P$2271=L$1),('Diário 7º PA'!$F$5:$F$2271))+
SUMPRODUCT(-('Diário 8º PA'!$E$5:$E$2488='Analítico Cx.'!$B104),-('Diário 8º PA'!$P$5:$P$2488=L$1),('Diário 8º PA'!$F$5:$F$2488))</f>
        <v>0</v>
      </c>
      <c r="M104" s="185">
        <f>SUMPRODUCT(-('Diário 5º PA'!$E$5:$E$2634='Analítico Cx.'!$B104),-('Diário 5º PA'!$P$5:$P$2634=M$1),('Diário 5º PA'!$F$5:$F$2634))+
SUMPRODUCT(-('Diário 6º PA'!$E$5:$E$2246='Analítico Cx.'!$B104),-('Diário 6º PA'!$P$5:$P$2246=M$1),('Diário 6º PA'!$F$5:$F$2246))+
SUMPRODUCT(-('Diário 7º PA'!$E$5:$E$2271='Analítico Cx.'!$B104),-('Diário 7º PA'!$P$5:$P$2271=M$1),('Diário 7º PA'!$F$5:$F$2271))+
SUMPRODUCT(-('Diário 8º PA'!$E$5:$E$2488='Analítico Cx.'!$B104),-('Diário 8º PA'!$P$5:$P$2488=M$1),('Diário 8º PA'!$F$5:$F$2488))</f>
        <v>0</v>
      </c>
      <c r="N104" s="185">
        <f>SUMPRODUCT(-('Diário 5º PA'!$E$5:$E$2634='Analítico Cx.'!$B104),-('Diário 5º PA'!$P$5:$P$2634=N$1),('Diário 5º PA'!$F$5:$F$2634))+
SUMPRODUCT(-('Diário 6º PA'!$E$5:$E$2246='Analítico Cx.'!$B104),-('Diário 6º PA'!$P$5:$P$2246=N$1),('Diário 6º PA'!$F$5:$F$2246))+
SUMPRODUCT(-('Diário 7º PA'!$E$5:$E$2271='Analítico Cx.'!$B104),-('Diário 7º PA'!$P$5:$P$2271=N$1),('Diário 7º PA'!$F$5:$F$2271))+
SUMPRODUCT(-('Diário 8º PA'!$E$5:$E$2488='Analítico Cx.'!$B104),-('Diário 8º PA'!$P$5:$P$2488=N$1),('Diário 8º PA'!$F$5:$F$2488))</f>
        <v>0</v>
      </c>
      <c r="O104" s="186">
        <f t="shared" si="16"/>
        <v>13.14</v>
      </c>
      <c r="P104" s="187">
        <f t="shared" si="17"/>
        <v>1.3941697682791039E-6</v>
      </c>
      <c r="Q104" s="34"/>
      <c r="R104" s="34"/>
      <c r="S104" s="34"/>
      <c r="T104" s="34"/>
      <c r="U104" s="34"/>
      <c r="V104" s="34"/>
      <c r="W104" s="34"/>
      <c r="X104" s="34"/>
      <c r="Y104" s="34"/>
      <c r="Z104" s="34"/>
    </row>
    <row r="105" spans="1:26" ht="23.25" customHeight="1" x14ac:dyDescent="0.2">
      <c r="A105" s="203" t="s">
        <v>301</v>
      </c>
      <c r="B105" s="72" t="s">
        <v>302</v>
      </c>
      <c r="C105" s="185">
        <f>SUMPRODUCT(-('Diário 5º PA'!$E$5:$E$2634='Analítico Cx.'!$B105),-('Diário 5º PA'!$P$5:$P$2634=C$1),('Diário 5º PA'!$F$5:$F$2634))+
SUMPRODUCT(-('Diário 6º PA'!$E$5:$E$2246='Analítico Cx.'!$B105),-('Diário 6º PA'!$P$5:$P$2246=C$1),('Diário 6º PA'!$F$5:$F$2246))+
SUMPRODUCT(-('Diário 7º PA'!$E$5:$E$2271='Analítico Cx.'!$B105),-('Diário 7º PA'!$P$5:$P$2271=C$1),('Diário 7º PA'!$F$5:$F$2271))+
SUMPRODUCT(-('Diário 8º PA'!$E$5:$E$2488='Analítico Cx.'!$B105),-('Diário 8º PA'!$P$5:$P$2488=C$1),('Diário 8º PA'!$F$5:$F$2488))</f>
        <v>0</v>
      </c>
      <c r="D105" s="185">
        <f>SUMPRODUCT(-('Diário 5º PA'!$E$5:$E$2634='Analítico Cx.'!$B105),-('Diário 5º PA'!$P$5:$P$2634=D$1),('Diário 5º PA'!$F$5:$F$2634))+
SUMPRODUCT(-('Diário 6º PA'!$E$5:$E$2246='Analítico Cx.'!$B105),-('Diário 6º PA'!$P$5:$P$2246=D$1),('Diário 6º PA'!$F$5:$F$2246))+
SUMPRODUCT(-('Diário 7º PA'!$E$5:$E$2271='Analítico Cx.'!$B105),-('Diário 7º PA'!$P$5:$P$2271=D$1),('Diário 7º PA'!$F$5:$F$2271))+
SUMPRODUCT(-('Diário 8º PA'!$E$5:$E$2488='Analítico Cx.'!$B105),-('Diário 8º PA'!$P$5:$P$2488=D$1),('Diário 8º PA'!$F$5:$F$2488))</f>
        <v>0</v>
      </c>
      <c r="E105" s="185">
        <f>SUMPRODUCT(-('Diário 5º PA'!$E$5:$E$2634='Analítico Cx.'!$B105),-('Diário 5º PA'!$P$5:$P$2634=E$1),('Diário 5º PA'!$F$5:$F$2634))+
SUMPRODUCT(-('Diário 6º PA'!$E$5:$E$2246='Analítico Cx.'!$B105),-('Diário 6º PA'!$P$5:$P$2246=E$1),('Diário 6º PA'!$F$5:$F$2246))+
SUMPRODUCT(-('Diário 7º PA'!$E$5:$E$2271='Analítico Cx.'!$B105),-('Diário 7º PA'!$P$5:$P$2271=E$1),('Diário 7º PA'!$F$5:$F$2271))+
SUMPRODUCT(-('Diário 8º PA'!$E$5:$E$2488='Analítico Cx.'!$B105),-('Diário 8º PA'!$P$5:$P$2488=E$1),('Diário 8º PA'!$F$5:$F$2488))</f>
        <v>0</v>
      </c>
      <c r="F105" s="185">
        <f>SUMPRODUCT(-('Diário 5º PA'!$E$5:$E$2634='Analítico Cx.'!$B105),-('Diário 5º PA'!$P$5:$P$2634=F$1),('Diário 5º PA'!$F$5:$F$2634))+
SUMPRODUCT(-('Diário 6º PA'!$E$5:$E$2246='Analítico Cx.'!$B105),-('Diário 6º PA'!$P$5:$P$2246=F$1),('Diário 6º PA'!$F$5:$F$2246))+
SUMPRODUCT(-('Diário 7º PA'!$E$5:$E$2271='Analítico Cx.'!$B105),-('Diário 7º PA'!$P$5:$P$2271=F$1),('Diário 7º PA'!$F$5:$F$2271))+
SUMPRODUCT(-('Diário 8º PA'!$E$5:$E$2488='Analítico Cx.'!$B105),-('Diário 8º PA'!$P$5:$P$2488=F$1),('Diário 8º PA'!$F$5:$F$2488))</f>
        <v>0</v>
      </c>
      <c r="G105" s="185">
        <f>SUMPRODUCT(-('Diário 5º PA'!$E$5:$E$2634='Analítico Cx.'!$B105),-('Diário 5º PA'!$P$5:$P$2634=G$1),('Diário 5º PA'!$F$5:$F$2634))+
SUMPRODUCT(-('Diário 6º PA'!$E$5:$E$2246='Analítico Cx.'!$B105),-('Diário 6º PA'!$P$5:$P$2246=G$1),('Diário 6º PA'!$F$5:$F$2246))+
SUMPRODUCT(-('Diário 7º PA'!$E$5:$E$2271='Analítico Cx.'!$B105),-('Diário 7º PA'!$P$5:$P$2271=G$1),('Diário 7º PA'!$F$5:$F$2271))+
SUMPRODUCT(-('Diário 8º PA'!$E$5:$E$2488='Analítico Cx.'!$B105),-('Diário 8º PA'!$P$5:$P$2488=G$1),('Diário 8º PA'!$F$5:$F$2488))</f>
        <v>0</v>
      </c>
      <c r="H105" s="185">
        <f>SUMPRODUCT(-('Diário 5º PA'!$E$5:$E$2634='Analítico Cx.'!$B105),-('Diário 5º PA'!$P$5:$P$2634=H$1),('Diário 5º PA'!$F$5:$F$2634))+
SUMPRODUCT(-('Diário 6º PA'!$E$5:$E$2246='Analítico Cx.'!$B105),-('Diário 6º PA'!$P$5:$P$2246=H$1),('Diário 6º PA'!$F$5:$F$2246))+
SUMPRODUCT(-('Diário 7º PA'!$E$5:$E$2271='Analítico Cx.'!$B105),-('Diário 7º PA'!$P$5:$P$2271=H$1),('Diário 7º PA'!$F$5:$F$2271))+
SUMPRODUCT(-('Diário 8º PA'!$E$5:$E$2488='Analítico Cx.'!$B105),-('Diário 8º PA'!$P$5:$P$2488=H$1),('Diário 8º PA'!$F$5:$F$2488))</f>
        <v>0</v>
      </c>
      <c r="I105" s="185">
        <f>SUMPRODUCT(-('Diário 5º PA'!$E$5:$E$2634='Analítico Cx.'!$B105),-('Diário 5º PA'!$P$5:$P$2634=I$1),('Diário 5º PA'!$F$5:$F$2634))+
SUMPRODUCT(-('Diário 6º PA'!$E$5:$E$2246='Analítico Cx.'!$B105),-('Diário 6º PA'!$P$5:$P$2246=I$1),('Diário 6º PA'!$F$5:$F$2246))+
SUMPRODUCT(-('Diário 7º PA'!$E$5:$E$2271='Analítico Cx.'!$B105),-('Diário 7º PA'!$P$5:$P$2271=I$1),('Diário 7º PA'!$F$5:$F$2271))+
SUMPRODUCT(-('Diário 8º PA'!$E$5:$E$2488='Analítico Cx.'!$B105),-('Diário 8º PA'!$P$5:$P$2488=I$1),('Diário 8º PA'!$F$5:$F$2488))</f>
        <v>0</v>
      </c>
      <c r="J105" s="185">
        <f>SUMPRODUCT(-('Diário 5º PA'!$E$5:$E$2634='Analítico Cx.'!$B105),-('Diário 5º PA'!$P$5:$P$2634=J$1),('Diário 5º PA'!$F$5:$F$2634))+
SUMPRODUCT(-('Diário 6º PA'!$E$5:$E$2246='Analítico Cx.'!$B105),-('Diário 6º PA'!$P$5:$P$2246=J$1),('Diário 6º PA'!$F$5:$F$2246))+
SUMPRODUCT(-('Diário 7º PA'!$E$5:$E$2271='Analítico Cx.'!$B105),-('Diário 7º PA'!$P$5:$P$2271=J$1),('Diário 7º PA'!$F$5:$F$2271))+
SUMPRODUCT(-('Diário 8º PA'!$E$5:$E$2488='Analítico Cx.'!$B105),-('Diário 8º PA'!$P$5:$P$2488=J$1),('Diário 8º PA'!$F$5:$F$2488))</f>
        <v>0</v>
      </c>
      <c r="K105" s="185">
        <f>SUMPRODUCT(-('Diário 5º PA'!$E$5:$E$2634='Analítico Cx.'!$B105),-('Diário 5º PA'!$P$5:$P$2634=K$1),('Diário 5º PA'!$F$5:$F$2634))+
SUMPRODUCT(-('Diário 6º PA'!$E$5:$E$2246='Analítico Cx.'!$B105),-('Diário 6º PA'!$P$5:$P$2246=K$1),('Diário 6º PA'!$F$5:$F$2246))+
SUMPRODUCT(-('Diário 7º PA'!$E$5:$E$2271='Analítico Cx.'!$B105),-('Diário 7º PA'!$P$5:$P$2271=K$1),('Diário 7º PA'!$F$5:$F$2271))+
SUMPRODUCT(-('Diário 8º PA'!$E$5:$E$2488='Analítico Cx.'!$B105),-('Diário 8º PA'!$P$5:$P$2488=K$1),('Diário 8º PA'!$F$5:$F$2488))</f>
        <v>0</v>
      </c>
      <c r="L105" s="185">
        <f>SUMPRODUCT(-('Diário 5º PA'!$E$5:$E$2634='Analítico Cx.'!$B105),-('Diário 5º PA'!$P$5:$P$2634=L$1),('Diário 5º PA'!$F$5:$F$2634))+
SUMPRODUCT(-('Diário 6º PA'!$E$5:$E$2246='Analítico Cx.'!$B105),-('Diário 6º PA'!$P$5:$P$2246=L$1),('Diário 6º PA'!$F$5:$F$2246))+
SUMPRODUCT(-('Diário 7º PA'!$E$5:$E$2271='Analítico Cx.'!$B105),-('Diário 7º PA'!$P$5:$P$2271=L$1),('Diário 7º PA'!$F$5:$F$2271))+
SUMPRODUCT(-('Diário 8º PA'!$E$5:$E$2488='Analítico Cx.'!$B105),-('Diário 8º PA'!$P$5:$P$2488=L$1),('Diário 8º PA'!$F$5:$F$2488))</f>
        <v>0</v>
      </c>
      <c r="M105" s="185">
        <f>SUMPRODUCT(-('Diário 5º PA'!$E$5:$E$2634='Analítico Cx.'!$B105),-('Diário 5º PA'!$P$5:$P$2634=M$1),('Diário 5º PA'!$F$5:$F$2634))+
SUMPRODUCT(-('Diário 6º PA'!$E$5:$E$2246='Analítico Cx.'!$B105),-('Diário 6º PA'!$P$5:$P$2246=M$1),('Diário 6º PA'!$F$5:$F$2246))+
SUMPRODUCT(-('Diário 7º PA'!$E$5:$E$2271='Analítico Cx.'!$B105),-('Diário 7º PA'!$P$5:$P$2271=M$1),('Diário 7º PA'!$F$5:$F$2271))+
SUMPRODUCT(-('Diário 8º PA'!$E$5:$E$2488='Analítico Cx.'!$B105),-('Diário 8º PA'!$P$5:$P$2488=M$1),('Diário 8º PA'!$F$5:$F$2488))</f>
        <v>0</v>
      </c>
      <c r="N105" s="185">
        <f>SUMPRODUCT(-('Diário 5º PA'!$E$5:$E$2634='Analítico Cx.'!$B105),-('Diário 5º PA'!$P$5:$P$2634=N$1),('Diário 5º PA'!$F$5:$F$2634))+
SUMPRODUCT(-('Diário 6º PA'!$E$5:$E$2246='Analítico Cx.'!$B105),-('Diário 6º PA'!$P$5:$P$2246=N$1),('Diário 6º PA'!$F$5:$F$2246))+
SUMPRODUCT(-('Diário 7º PA'!$E$5:$E$2271='Analítico Cx.'!$B105),-('Diário 7º PA'!$P$5:$P$2271=N$1),('Diário 7º PA'!$F$5:$F$2271))+
SUMPRODUCT(-('Diário 8º PA'!$E$5:$E$2488='Analítico Cx.'!$B105),-('Diário 8º PA'!$P$5:$P$2488=N$1),('Diário 8º PA'!$F$5:$F$2488))</f>
        <v>0</v>
      </c>
      <c r="O105" s="186">
        <f t="shared" si="16"/>
        <v>0</v>
      </c>
      <c r="P105" s="187">
        <f t="shared" si="17"/>
        <v>0</v>
      </c>
      <c r="Q105" s="34"/>
      <c r="R105" s="34"/>
      <c r="S105" s="34"/>
      <c r="T105" s="34"/>
      <c r="U105" s="34"/>
      <c r="V105" s="34"/>
      <c r="W105" s="34"/>
      <c r="X105" s="34"/>
      <c r="Y105" s="34"/>
      <c r="Z105" s="34"/>
    </row>
    <row r="106" spans="1:26" ht="23.25" customHeight="1" x14ac:dyDescent="0.2">
      <c r="A106" s="203" t="s">
        <v>303</v>
      </c>
      <c r="B106" s="72" t="s">
        <v>304</v>
      </c>
      <c r="C106" s="185">
        <f>SUMPRODUCT(-('Diário 5º PA'!$E$5:$E$2634='Analítico Cx.'!$B106),-('Diário 5º PA'!$P$5:$P$2634=C$1),('Diário 5º PA'!$F$5:$F$2634))+
SUMPRODUCT(-('Diário 6º PA'!$E$5:$E$2246='Analítico Cx.'!$B106),-('Diário 6º PA'!$P$5:$P$2246=C$1),('Diário 6º PA'!$F$5:$F$2246))+
SUMPRODUCT(-('Diário 7º PA'!$E$5:$E$2271='Analítico Cx.'!$B106),-('Diário 7º PA'!$P$5:$P$2271=C$1),('Diário 7º PA'!$F$5:$F$2271))+
SUMPRODUCT(-('Diário 8º PA'!$E$5:$E$2488='Analítico Cx.'!$B106),-('Diário 8º PA'!$P$5:$P$2488=C$1),('Diário 8º PA'!$F$5:$F$2488))</f>
        <v>0</v>
      </c>
      <c r="D106" s="185">
        <f>SUMPRODUCT(-('Diário 5º PA'!$E$5:$E$2634='Analítico Cx.'!$B106),-('Diário 5º PA'!$P$5:$P$2634=D$1),('Diário 5º PA'!$F$5:$F$2634))+
SUMPRODUCT(-('Diário 6º PA'!$E$5:$E$2246='Analítico Cx.'!$B106),-('Diário 6º PA'!$P$5:$P$2246=D$1),('Diário 6º PA'!$F$5:$F$2246))+
SUMPRODUCT(-('Diário 7º PA'!$E$5:$E$2271='Analítico Cx.'!$B106),-('Diário 7º PA'!$P$5:$P$2271=D$1),('Diário 7º PA'!$F$5:$F$2271))+
SUMPRODUCT(-('Diário 8º PA'!$E$5:$E$2488='Analítico Cx.'!$B106),-('Diário 8º PA'!$P$5:$P$2488=D$1),('Diário 8º PA'!$F$5:$F$2488))</f>
        <v>0</v>
      </c>
      <c r="E106" s="185">
        <f>SUMPRODUCT(-('Diário 5º PA'!$E$5:$E$2634='Analítico Cx.'!$B106),-('Diário 5º PA'!$P$5:$P$2634=E$1),('Diário 5º PA'!$F$5:$F$2634))+
SUMPRODUCT(-('Diário 6º PA'!$E$5:$E$2246='Analítico Cx.'!$B106),-('Diário 6º PA'!$P$5:$P$2246=E$1),('Diário 6º PA'!$F$5:$F$2246))+
SUMPRODUCT(-('Diário 7º PA'!$E$5:$E$2271='Analítico Cx.'!$B106),-('Diário 7º PA'!$P$5:$P$2271=E$1),('Diário 7º PA'!$F$5:$F$2271))+
SUMPRODUCT(-('Diário 8º PA'!$E$5:$E$2488='Analítico Cx.'!$B106),-('Diário 8º PA'!$P$5:$P$2488=E$1),('Diário 8º PA'!$F$5:$F$2488))</f>
        <v>0</v>
      </c>
      <c r="F106" s="185">
        <f>SUMPRODUCT(-('Diário 5º PA'!$E$5:$E$2634='Analítico Cx.'!$B106),-('Diário 5º PA'!$P$5:$P$2634=F$1),('Diário 5º PA'!$F$5:$F$2634))+
SUMPRODUCT(-('Diário 6º PA'!$E$5:$E$2246='Analítico Cx.'!$B106),-('Diário 6º PA'!$P$5:$P$2246=F$1),('Diário 6º PA'!$F$5:$F$2246))+
SUMPRODUCT(-('Diário 7º PA'!$E$5:$E$2271='Analítico Cx.'!$B106),-('Diário 7º PA'!$P$5:$P$2271=F$1),('Diário 7º PA'!$F$5:$F$2271))+
SUMPRODUCT(-('Diário 8º PA'!$E$5:$E$2488='Analítico Cx.'!$B106),-('Diário 8º PA'!$P$5:$P$2488=F$1),('Diário 8º PA'!$F$5:$F$2488))</f>
        <v>0</v>
      </c>
      <c r="G106" s="185">
        <f>SUMPRODUCT(-('Diário 5º PA'!$E$5:$E$2634='Analítico Cx.'!$B106),-('Diário 5º PA'!$P$5:$P$2634=G$1),('Diário 5º PA'!$F$5:$F$2634))+
SUMPRODUCT(-('Diário 6º PA'!$E$5:$E$2246='Analítico Cx.'!$B106),-('Diário 6º PA'!$P$5:$P$2246=G$1),('Diário 6º PA'!$F$5:$F$2246))+
SUMPRODUCT(-('Diário 7º PA'!$E$5:$E$2271='Analítico Cx.'!$B106),-('Diário 7º PA'!$P$5:$P$2271=G$1),('Diário 7º PA'!$F$5:$F$2271))+
SUMPRODUCT(-('Diário 8º PA'!$E$5:$E$2488='Analítico Cx.'!$B106),-('Diário 8º PA'!$P$5:$P$2488=G$1),('Diário 8º PA'!$F$5:$F$2488))</f>
        <v>0</v>
      </c>
      <c r="H106" s="185">
        <f>SUMPRODUCT(-('Diário 5º PA'!$E$5:$E$2634='Analítico Cx.'!$B106),-('Diário 5º PA'!$P$5:$P$2634=H$1),('Diário 5º PA'!$F$5:$F$2634))+
SUMPRODUCT(-('Diário 6º PA'!$E$5:$E$2246='Analítico Cx.'!$B106),-('Diário 6º PA'!$P$5:$P$2246=H$1),('Diário 6º PA'!$F$5:$F$2246))+
SUMPRODUCT(-('Diário 7º PA'!$E$5:$E$2271='Analítico Cx.'!$B106),-('Diário 7º PA'!$P$5:$P$2271=H$1),('Diário 7º PA'!$F$5:$F$2271))+
SUMPRODUCT(-('Diário 8º PA'!$E$5:$E$2488='Analítico Cx.'!$B106),-('Diário 8º PA'!$P$5:$P$2488=H$1),('Diário 8º PA'!$F$5:$F$2488))</f>
        <v>0</v>
      </c>
      <c r="I106" s="185">
        <f>SUMPRODUCT(-('Diário 5º PA'!$E$5:$E$2634='Analítico Cx.'!$B106),-('Diário 5º PA'!$P$5:$P$2634=I$1),('Diário 5º PA'!$F$5:$F$2634))+
SUMPRODUCT(-('Diário 6º PA'!$E$5:$E$2246='Analítico Cx.'!$B106),-('Diário 6º PA'!$P$5:$P$2246=I$1),('Diário 6º PA'!$F$5:$F$2246))+
SUMPRODUCT(-('Diário 7º PA'!$E$5:$E$2271='Analítico Cx.'!$B106),-('Diário 7º PA'!$P$5:$P$2271=I$1),('Diário 7º PA'!$F$5:$F$2271))+
SUMPRODUCT(-('Diário 8º PA'!$E$5:$E$2488='Analítico Cx.'!$B106),-('Diário 8º PA'!$P$5:$P$2488=I$1),('Diário 8º PA'!$F$5:$F$2488))</f>
        <v>0</v>
      </c>
      <c r="J106" s="185">
        <f>SUMPRODUCT(-('Diário 5º PA'!$E$5:$E$2634='Analítico Cx.'!$B106),-('Diário 5º PA'!$P$5:$P$2634=J$1),('Diário 5º PA'!$F$5:$F$2634))+
SUMPRODUCT(-('Diário 6º PA'!$E$5:$E$2246='Analítico Cx.'!$B106),-('Diário 6º PA'!$P$5:$P$2246=J$1),('Diário 6º PA'!$F$5:$F$2246))+
SUMPRODUCT(-('Diário 7º PA'!$E$5:$E$2271='Analítico Cx.'!$B106),-('Diário 7º PA'!$P$5:$P$2271=J$1),('Diário 7º PA'!$F$5:$F$2271))+
SUMPRODUCT(-('Diário 8º PA'!$E$5:$E$2488='Analítico Cx.'!$B106),-('Diário 8º PA'!$P$5:$P$2488=J$1),('Diário 8º PA'!$F$5:$F$2488))</f>
        <v>0</v>
      </c>
      <c r="K106" s="185">
        <f>SUMPRODUCT(-('Diário 5º PA'!$E$5:$E$2634='Analítico Cx.'!$B106),-('Diário 5º PA'!$P$5:$P$2634=K$1),('Diário 5º PA'!$F$5:$F$2634))+
SUMPRODUCT(-('Diário 6º PA'!$E$5:$E$2246='Analítico Cx.'!$B106),-('Diário 6º PA'!$P$5:$P$2246=K$1),('Diário 6º PA'!$F$5:$F$2246))+
SUMPRODUCT(-('Diário 7º PA'!$E$5:$E$2271='Analítico Cx.'!$B106),-('Diário 7º PA'!$P$5:$P$2271=K$1),('Diário 7º PA'!$F$5:$F$2271))+
SUMPRODUCT(-('Diário 8º PA'!$E$5:$E$2488='Analítico Cx.'!$B106),-('Diário 8º PA'!$P$5:$P$2488=K$1),('Diário 8º PA'!$F$5:$F$2488))</f>
        <v>0</v>
      </c>
      <c r="L106" s="185">
        <f>SUMPRODUCT(-('Diário 5º PA'!$E$5:$E$2634='Analítico Cx.'!$B106),-('Diário 5º PA'!$P$5:$P$2634=L$1),('Diário 5º PA'!$F$5:$F$2634))+
SUMPRODUCT(-('Diário 6º PA'!$E$5:$E$2246='Analítico Cx.'!$B106),-('Diário 6º PA'!$P$5:$P$2246=L$1),('Diário 6º PA'!$F$5:$F$2246))+
SUMPRODUCT(-('Diário 7º PA'!$E$5:$E$2271='Analítico Cx.'!$B106),-('Diário 7º PA'!$P$5:$P$2271=L$1),('Diário 7º PA'!$F$5:$F$2271))+
SUMPRODUCT(-('Diário 8º PA'!$E$5:$E$2488='Analítico Cx.'!$B106),-('Diário 8º PA'!$P$5:$P$2488=L$1),('Diário 8º PA'!$F$5:$F$2488))</f>
        <v>0</v>
      </c>
      <c r="M106" s="185">
        <f>SUMPRODUCT(-('Diário 5º PA'!$E$5:$E$2634='Analítico Cx.'!$B106),-('Diário 5º PA'!$P$5:$P$2634=M$1),('Diário 5º PA'!$F$5:$F$2634))+
SUMPRODUCT(-('Diário 6º PA'!$E$5:$E$2246='Analítico Cx.'!$B106),-('Diário 6º PA'!$P$5:$P$2246=M$1),('Diário 6º PA'!$F$5:$F$2246))+
SUMPRODUCT(-('Diário 7º PA'!$E$5:$E$2271='Analítico Cx.'!$B106),-('Diário 7º PA'!$P$5:$P$2271=M$1),('Diário 7º PA'!$F$5:$F$2271))+
SUMPRODUCT(-('Diário 8º PA'!$E$5:$E$2488='Analítico Cx.'!$B106),-('Diário 8º PA'!$P$5:$P$2488=M$1),('Diário 8º PA'!$F$5:$F$2488))</f>
        <v>0</v>
      </c>
      <c r="N106" s="185">
        <f>SUMPRODUCT(-('Diário 5º PA'!$E$5:$E$2634='Analítico Cx.'!$B106),-('Diário 5º PA'!$P$5:$P$2634=N$1),('Diário 5º PA'!$F$5:$F$2634))+
SUMPRODUCT(-('Diário 6º PA'!$E$5:$E$2246='Analítico Cx.'!$B106),-('Diário 6º PA'!$P$5:$P$2246=N$1),('Diário 6º PA'!$F$5:$F$2246))+
SUMPRODUCT(-('Diário 7º PA'!$E$5:$E$2271='Analítico Cx.'!$B106),-('Diário 7º PA'!$P$5:$P$2271=N$1),('Diário 7º PA'!$F$5:$F$2271))+
SUMPRODUCT(-('Diário 8º PA'!$E$5:$E$2488='Analítico Cx.'!$B106),-('Diário 8º PA'!$P$5:$P$2488=N$1),('Diário 8º PA'!$F$5:$F$2488))</f>
        <v>0</v>
      </c>
      <c r="O106" s="186">
        <f t="shared" si="16"/>
        <v>0</v>
      </c>
      <c r="P106" s="187">
        <f t="shared" si="17"/>
        <v>0</v>
      </c>
      <c r="Q106" s="34"/>
      <c r="R106" s="34"/>
      <c r="S106" s="34"/>
      <c r="T106" s="34"/>
      <c r="U106" s="34"/>
      <c r="V106" s="34"/>
      <c r="W106" s="34"/>
      <c r="X106" s="34"/>
      <c r="Y106" s="34"/>
      <c r="Z106" s="34"/>
    </row>
    <row r="107" spans="1:26" ht="23.25" customHeight="1" x14ac:dyDescent="0.2">
      <c r="A107" s="203" t="s">
        <v>305</v>
      </c>
      <c r="B107" s="72" t="s">
        <v>306</v>
      </c>
      <c r="C107" s="185">
        <f>SUMPRODUCT(-('Diário 5º PA'!$E$5:$E$2634='Analítico Cx.'!$B107),-('Diário 5º PA'!$P$5:$P$2634=C$1),('Diário 5º PA'!$F$5:$F$2634))+
SUMPRODUCT(-('Diário 6º PA'!$E$5:$E$2246='Analítico Cx.'!$B107),-('Diário 6º PA'!$P$5:$P$2246=C$1),('Diário 6º PA'!$F$5:$F$2246))+
SUMPRODUCT(-('Diário 7º PA'!$E$5:$E$2271='Analítico Cx.'!$B107),-('Diário 7º PA'!$P$5:$P$2271=C$1),('Diário 7º PA'!$F$5:$F$2271))+
SUMPRODUCT(-('Diário 8º PA'!$E$5:$E$2488='Analítico Cx.'!$B107),-('Diário 8º PA'!$P$5:$P$2488=C$1),('Diário 8º PA'!$F$5:$F$2488))</f>
        <v>0</v>
      </c>
      <c r="D107" s="185">
        <f>SUMPRODUCT(-('Diário 5º PA'!$E$5:$E$2634='Analítico Cx.'!$B107),-('Diário 5º PA'!$P$5:$P$2634=D$1),('Diário 5º PA'!$F$5:$F$2634))+
SUMPRODUCT(-('Diário 6º PA'!$E$5:$E$2246='Analítico Cx.'!$B107),-('Diário 6º PA'!$P$5:$P$2246=D$1),('Diário 6º PA'!$F$5:$F$2246))+
SUMPRODUCT(-('Diário 7º PA'!$E$5:$E$2271='Analítico Cx.'!$B107),-('Diário 7º PA'!$P$5:$P$2271=D$1),('Diário 7º PA'!$F$5:$F$2271))+
SUMPRODUCT(-('Diário 8º PA'!$E$5:$E$2488='Analítico Cx.'!$B107),-('Diário 8º PA'!$P$5:$P$2488=D$1),('Diário 8º PA'!$F$5:$F$2488))</f>
        <v>0</v>
      </c>
      <c r="E107" s="185">
        <f>SUMPRODUCT(-('Diário 5º PA'!$E$5:$E$2634='Analítico Cx.'!$B107),-('Diário 5º PA'!$P$5:$P$2634=E$1),('Diário 5º PA'!$F$5:$F$2634))+
SUMPRODUCT(-('Diário 6º PA'!$E$5:$E$2246='Analítico Cx.'!$B107),-('Diário 6º PA'!$P$5:$P$2246=E$1),('Diário 6º PA'!$F$5:$F$2246))+
SUMPRODUCT(-('Diário 7º PA'!$E$5:$E$2271='Analítico Cx.'!$B107),-('Diário 7º PA'!$P$5:$P$2271=E$1),('Diário 7º PA'!$F$5:$F$2271))+
SUMPRODUCT(-('Diário 8º PA'!$E$5:$E$2488='Analítico Cx.'!$B107),-('Diário 8º PA'!$P$5:$P$2488=E$1),('Diário 8º PA'!$F$5:$F$2488))</f>
        <v>0</v>
      </c>
      <c r="F107" s="185">
        <f>SUMPRODUCT(-('Diário 5º PA'!$E$5:$E$2634='Analítico Cx.'!$B107),-('Diário 5º PA'!$P$5:$P$2634=F$1),('Diário 5º PA'!$F$5:$F$2634))+
SUMPRODUCT(-('Diário 6º PA'!$E$5:$E$2246='Analítico Cx.'!$B107),-('Diário 6º PA'!$P$5:$P$2246=F$1),('Diário 6º PA'!$F$5:$F$2246))+
SUMPRODUCT(-('Diário 7º PA'!$E$5:$E$2271='Analítico Cx.'!$B107),-('Diário 7º PA'!$P$5:$P$2271=F$1),('Diário 7º PA'!$F$5:$F$2271))+
SUMPRODUCT(-('Diário 8º PA'!$E$5:$E$2488='Analítico Cx.'!$B107),-('Diário 8º PA'!$P$5:$P$2488=F$1),('Diário 8º PA'!$F$5:$F$2488))</f>
        <v>0</v>
      </c>
      <c r="G107" s="185">
        <f>SUMPRODUCT(-('Diário 5º PA'!$E$5:$E$2634='Analítico Cx.'!$B107),-('Diário 5º PA'!$P$5:$P$2634=G$1),('Diário 5º PA'!$F$5:$F$2634))+
SUMPRODUCT(-('Diário 6º PA'!$E$5:$E$2246='Analítico Cx.'!$B107),-('Diário 6º PA'!$P$5:$P$2246=G$1),('Diário 6º PA'!$F$5:$F$2246))+
SUMPRODUCT(-('Diário 7º PA'!$E$5:$E$2271='Analítico Cx.'!$B107),-('Diário 7º PA'!$P$5:$P$2271=G$1),('Diário 7º PA'!$F$5:$F$2271))+
SUMPRODUCT(-('Diário 8º PA'!$E$5:$E$2488='Analítico Cx.'!$B107),-('Diário 8º PA'!$P$5:$P$2488=G$1),('Diário 8º PA'!$F$5:$F$2488))</f>
        <v>0</v>
      </c>
      <c r="H107" s="185">
        <f>SUMPRODUCT(-('Diário 5º PA'!$E$5:$E$2634='Analítico Cx.'!$B107),-('Diário 5º PA'!$P$5:$P$2634=H$1),('Diário 5º PA'!$F$5:$F$2634))+
SUMPRODUCT(-('Diário 6º PA'!$E$5:$E$2246='Analítico Cx.'!$B107),-('Diário 6º PA'!$P$5:$P$2246=H$1),('Diário 6º PA'!$F$5:$F$2246))+
SUMPRODUCT(-('Diário 7º PA'!$E$5:$E$2271='Analítico Cx.'!$B107),-('Diário 7º PA'!$P$5:$P$2271=H$1),('Diário 7º PA'!$F$5:$F$2271))+
SUMPRODUCT(-('Diário 8º PA'!$E$5:$E$2488='Analítico Cx.'!$B107),-('Diário 8º PA'!$P$5:$P$2488=H$1),('Diário 8º PA'!$F$5:$F$2488))</f>
        <v>93.240000000000009</v>
      </c>
      <c r="I107" s="185">
        <f>SUMPRODUCT(-('Diário 5º PA'!$E$5:$E$2634='Analítico Cx.'!$B107),-('Diário 5º PA'!$P$5:$P$2634=I$1),('Diário 5º PA'!$F$5:$F$2634))+
SUMPRODUCT(-('Diário 6º PA'!$E$5:$E$2246='Analítico Cx.'!$B107),-('Diário 6º PA'!$P$5:$P$2246=I$1),('Diário 6º PA'!$F$5:$F$2246))+
SUMPRODUCT(-('Diário 7º PA'!$E$5:$E$2271='Analítico Cx.'!$B107),-('Diário 7º PA'!$P$5:$P$2271=I$1),('Diário 7º PA'!$F$5:$F$2271))+
SUMPRODUCT(-('Diário 8º PA'!$E$5:$E$2488='Analítico Cx.'!$B107),-('Diário 8º PA'!$P$5:$P$2488=I$1),('Diário 8º PA'!$F$5:$F$2488))</f>
        <v>0</v>
      </c>
      <c r="J107" s="185">
        <f>SUMPRODUCT(-('Diário 5º PA'!$E$5:$E$2634='Analítico Cx.'!$B107),-('Diário 5º PA'!$P$5:$P$2634=J$1),('Diário 5º PA'!$F$5:$F$2634))+
SUMPRODUCT(-('Diário 6º PA'!$E$5:$E$2246='Analítico Cx.'!$B107),-('Diário 6º PA'!$P$5:$P$2246=J$1),('Diário 6º PA'!$F$5:$F$2246))+
SUMPRODUCT(-('Diário 7º PA'!$E$5:$E$2271='Analítico Cx.'!$B107),-('Diário 7º PA'!$P$5:$P$2271=J$1),('Diário 7º PA'!$F$5:$F$2271))+
SUMPRODUCT(-('Diário 8º PA'!$E$5:$E$2488='Analítico Cx.'!$B107),-('Diário 8º PA'!$P$5:$P$2488=J$1),('Diário 8º PA'!$F$5:$F$2488))</f>
        <v>0</v>
      </c>
      <c r="K107" s="185">
        <f>SUMPRODUCT(-('Diário 5º PA'!$E$5:$E$2634='Analítico Cx.'!$B107),-('Diário 5º PA'!$P$5:$P$2634=K$1),('Diário 5º PA'!$F$5:$F$2634))+
SUMPRODUCT(-('Diário 6º PA'!$E$5:$E$2246='Analítico Cx.'!$B107),-('Diário 6º PA'!$P$5:$P$2246=K$1),('Diário 6º PA'!$F$5:$F$2246))+
SUMPRODUCT(-('Diário 7º PA'!$E$5:$E$2271='Analítico Cx.'!$B107),-('Diário 7º PA'!$P$5:$P$2271=K$1),('Diário 7º PA'!$F$5:$F$2271))+
SUMPRODUCT(-('Diário 8º PA'!$E$5:$E$2488='Analítico Cx.'!$B107),-('Diário 8º PA'!$P$5:$P$2488=K$1),('Diário 8º PA'!$F$5:$F$2488))</f>
        <v>92.560000000000031</v>
      </c>
      <c r="L107" s="185">
        <f>SUMPRODUCT(-('Diário 5º PA'!$E$5:$E$2634='Analítico Cx.'!$B107),-('Diário 5º PA'!$P$5:$P$2634=L$1),('Diário 5º PA'!$F$5:$F$2634))+
SUMPRODUCT(-('Diário 6º PA'!$E$5:$E$2246='Analítico Cx.'!$B107),-('Diário 6º PA'!$P$5:$P$2246=L$1),('Diário 6º PA'!$F$5:$F$2246))+
SUMPRODUCT(-('Diário 7º PA'!$E$5:$E$2271='Analítico Cx.'!$B107),-('Diário 7º PA'!$P$5:$P$2271=L$1),('Diário 7º PA'!$F$5:$F$2271))+
SUMPRODUCT(-('Diário 8º PA'!$E$5:$E$2488='Analítico Cx.'!$B107),-('Diário 8º PA'!$P$5:$P$2488=L$1),('Diário 8º PA'!$F$5:$F$2488))</f>
        <v>0</v>
      </c>
      <c r="M107" s="185">
        <f>SUMPRODUCT(-('Diário 5º PA'!$E$5:$E$2634='Analítico Cx.'!$B107),-('Diário 5º PA'!$P$5:$P$2634=M$1),('Diário 5º PA'!$F$5:$F$2634))+
SUMPRODUCT(-('Diário 6º PA'!$E$5:$E$2246='Analítico Cx.'!$B107),-('Diário 6º PA'!$P$5:$P$2246=M$1),('Diário 6º PA'!$F$5:$F$2246))+
SUMPRODUCT(-('Diário 7º PA'!$E$5:$E$2271='Analítico Cx.'!$B107),-('Diário 7º PA'!$P$5:$P$2271=M$1),('Diário 7º PA'!$F$5:$F$2271))+
SUMPRODUCT(-('Diário 8º PA'!$E$5:$E$2488='Analítico Cx.'!$B107),-('Diário 8º PA'!$P$5:$P$2488=M$1),('Diário 8º PA'!$F$5:$F$2488))</f>
        <v>0</v>
      </c>
      <c r="N107" s="185">
        <f>SUMPRODUCT(-('Diário 5º PA'!$E$5:$E$2634='Analítico Cx.'!$B107),-('Diário 5º PA'!$P$5:$P$2634=N$1),('Diário 5º PA'!$F$5:$F$2634))+
SUMPRODUCT(-('Diário 6º PA'!$E$5:$E$2246='Analítico Cx.'!$B107),-('Diário 6º PA'!$P$5:$P$2246=N$1),('Diário 6º PA'!$F$5:$F$2246))+
SUMPRODUCT(-('Diário 7º PA'!$E$5:$E$2271='Analítico Cx.'!$B107),-('Diário 7º PA'!$P$5:$P$2271=N$1),('Diário 7º PA'!$F$5:$F$2271))+
SUMPRODUCT(-('Diário 8º PA'!$E$5:$E$2488='Analítico Cx.'!$B107),-('Diário 8º PA'!$P$5:$P$2488=N$1),('Diário 8º PA'!$F$5:$F$2488))</f>
        <v>50.66</v>
      </c>
      <c r="O107" s="186">
        <f t="shared" si="16"/>
        <v>236.46000000000004</v>
      </c>
      <c r="P107" s="187">
        <f t="shared" si="17"/>
        <v>2.5088689757022601E-5</v>
      </c>
      <c r="Q107" s="34"/>
      <c r="R107" s="34"/>
      <c r="S107" s="34"/>
      <c r="T107" s="34"/>
      <c r="U107" s="34"/>
      <c r="V107" s="34"/>
      <c r="W107" s="34"/>
      <c r="X107" s="34"/>
      <c r="Y107" s="34"/>
      <c r="Z107" s="34"/>
    </row>
    <row r="108" spans="1:26" ht="23.25" customHeight="1" x14ac:dyDescent="0.2">
      <c r="A108" s="203" t="s">
        <v>307</v>
      </c>
      <c r="B108" s="72" t="s">
        <v>308</v>
      </c>
      <c r="C108" s="185">
        <f>SUMPRODUCT(-('Diário 5º PA'!$E$5:$E$2634='Analítico Cx.'!$B108),-('Diário 5º PA'!$P$5:$P$2634=C$1),('Diário 5º PA'!$F$5:$F$2634))+
SUMPRODUCT(-('Diário 6º PA'!$E$5:$E$2246='Analítico Cx.'!$B108),-('Diário 6º PA'!$P$5:$P$2246=C$1),('Diário 6º PA'!$F$5:$F$2246))+
SUMPRODUCT(-('Diário 7º PA'!$E$5:$E$2271='Analítico Cx.'!$B108),-('Diário 7º PA'!$P$5:$P$2271=C$1),('Diário 7º PA'!$F$5:$F$2271))+
SUMPRODUCT(-('Diário 8º PA'!$E$5:$E$2488='Analítico Cx.'!$B108),-('Diário 8º PA'!$P$5:$P$2488=C$1),('Diário 8º PA'!$F$5:$F$2488))</f>
        <v>0</v>
      </c>
      <c r="D108" s="185">
        <f>SUMPRODUCT(-('Diário 5º PA'!$E$5:$E$2634='Analítico Cx.'!$B108),-('Diário 5º PA'!$P$5:$P$2634=D$1),('Diário 5º PA'!$F$5:$F$2634))+
SUMPRODUCT(-('Diário 6º PA'!$E$5:$E$2246='Analítico Cx.'!$B108),-('Diário 6º PA'!$P$5:$P$2246=D$1),('Diário 6º PA'!$F$5:$F$2246))+
SUMPRODUCT(-('Diário 7º PA'!$E$5:$E$2271='Analítico Cx.'!$B108),-('Diário 7º PA'!$P$5:$P$2271=D$1),('Diário 7º PA'!$F$5:$F$2271))+
SUMPRODUCT(-('Diário 8º PA'!$E$5:$E$2488='Analítico Cx.'!$B108),-('Diário 8º PA'!$P$5:$P$2488=D$1),('Diário 8º PA'!$F$5:$F$2488))</f>
        <v>0</v>
      </c>
      <c r="E108" s="185">
        <f>SUMPRODUCT(-('Diário 5º PA'!$E$5:$E$2634='Analítico Cx.'!$B108),-('Diário 5º PA'!$P$5:$P$2634=E$1),('Diário 5º PA'!$F$5:$F$2634))+
SUMPRODUCT(-('Diário 6º PA'!$E$5:$E$2246='Analítico Cx.'!$B108),-('Diário 6º PA'!$P$5:$P$2246=E$1),('Diário 6º PA'!$F$5:$F$2246))+
SUMPRODUCT(-('Diário 7º PA'!$E$5:$E$2271='Analítico Cx.'!$B108),-('Diário 7º PA'!$P$5:$P$2271=E$1),('Diário 7º PA'!$F$5:$F$2271))+
SUMPRODUCT(-('Diário 8º PA'!$E$5:$E$2488='Analítico Cx.'!$B108),-('Diário 8º PA'!$P$5:$P$2488=E$1),('Diário 8º PA'!$F$5:$F$2488))</f>
        <v>0</v>
      </c>
      <c r="F108" s="185">
        <f>SUMPRODUCT(-('Diário 5º PA'!$E$5:$E$2634='Analítico Cx.'!$B108),-('Diário 5º PA'!$P$5:$P$2634=F$1),('Diário 5º PA'!$F$5:$F$2634))+
SUMPRODUCT(-('Diário 6º PA'!$E$5:$E$2246='Analítico Cx.'!$B108),-('Diário 6º PA'!$P$5:$P$2246=F$1),('Diário 6º PA'!$F$5:$F$2246))+
SUMPRODUCT(-('Diário 7º PA'!$E$5:$E$2271='Analítico Cx.'!$B108),-('Diário 7º PA'!$P$5:$P$2271=F$1),('Diário 7º PA'!$F$5:$F$2271))+
SUMPRODUCT(-('Diário 8º PA'!$E$5:$E$2488='Analítico Cx.'!$B108),-('Diário 8º PA'!$P$5:$P$2488=F$1),('Diário 8º PA'!$F$5:$F$2488))</f>
        <v>0</v>
      </c>
      <c r="G108" s="185">
        <f>SUMPRODUCT(-('Diário 5º PA'!$E$5:$E$2634='Analítico Cx.'!$B108),-('Diário 5º PA'!$P$5:$P$2634=G$1),('Diário 5º PA'!$F$5:$F$2634))+
SUMPRODUCT(-('Diário 6º PA'!$E$5:$E$2246='Analítico Cx.'!$B108),-('Diário 6º PA'!$P$5:$P$2246=G$1),('Diário 6º PA'!$F$5:$F$2246))+
SUMPRODUCT(-('Diário 7º PA'!$E$5:$E$2271='Analítico Cx.'!$B108),-('Diário 7º PA'!$P$5:$P$2271=G$1),('Diário 7º PA'!$F$5:$F$2271))+
SUMPRODUCT(-('Diário 8º PA'!$E$5:$E$2488='Analítico Cx.'!$B108),-('Diário 8º PA'!$P$5:$P$2488=G$1),('Diário 8º PA'!$F$5:$F$2488))</f>
        <v>0</v>
      </c>
      <c r="H108" s="185">
        <f>SUMPRODUCT(-('Diário 5º PA'!$E$5:$E$2634='Analítico Cx.'!$B108),-('Diário 5º PA'!$P$5:$P$2634=H$1),('Diário 5º PA'!$F$5:$F$2634))+
SUMPRODUCT(-('Diário 6º PA'!$E$5:$E$2246='Analítico Cx.'!$B108),-('Diário 6º PA'!$P$5:$P$2246=H$1),('Diário 6º PA'!$F$5:$F$2246))+
SUMPRODUCT(-('Diário 7º PA'!$E$5:$E$2271='Analítico Cx.'!$B108),-('Diário 7º PA'!$P$5:$P$2271=H$1),('Diário 7º PA'!$F$5:$F$2271))+
SUMPRODUCT(-('Diário 8º PA'!$E$5:$E$2488='Analítico Cx.'!$B108),-('Diário 8º PA'!$P$5:$P$2488=H$1),('Diário 8º PA'!$F$5:$F$2488))</f>
        <v>0</v>
      </c>
      <c r="I108" s="185">
        <f>SUMPRODUCT(-('Diário 5º PA'!$E$5:$E$2634='Analítico Cx.'!$B108),-('Diário 5º PA'!$P$5:$P$2634=I$1),('Diário 5º PA'!$F$5:$F$2634))+
SUMPRODUCT(-('Diário 6º PA'!$E$5:$E$2246='Analítico Cx.'!$B108),-('Diário 6º PA'!$P$5:$P$2246=I$1),('Diário 6º PA'!$F$5:$F$2246))+
SUMPRODUCT(-('Diário 7º PA'!$E$5:$E$2271='Analítico Cx.'!$B108),-('Diário 7º PA'!$P$5:$P$2271=I$1),('Diário 7º PA'!$F$5:$F$2271))+
SUMPRODUCT(-('Diário 8º PA'!$E$5:$E$2488='Analítico Cx.'!$B108),-('Diário 8º PA'!$P$5:$P$2488=I$1),('Diário 8º PA'!$F$5:$F$2488))</f>
        <v>0</v>
      </c>
      <c r="J108" s="185">
        <f>SUMPRODUCT(-('Diário 5º PA'!$E$5:$E$2634='Analítico Cx.'!$B108),-('Diário 5º PA'!$P$5:$P$2634=J$1),('Diário 5º PA'!$F$5:$F$2634))+
SUMPRODUCT(-('Diário 6º PA'!$E$5:$E$2246='Analítico Cx.'!$B108),-('Diário 6º PA'!$P$5:$P$2246=J$1),('Diário 6º PA'!$F$5:$F$2246))+
SUMPRODUCT(-('Diário 7º PA'!$E$5:$E$2271='Analítico Cx.'!$B108),-('Diário 7º PA'!$P$5:$P$2271=J$1),('Diário 7º PA'!$F$5:$F$2271))+
SUMPRODUCT(-('Diário 8º PA'!$E$5:$E$2488='Analítico Cx.'!$B108),-('Diário 8º PA'!$P$5:$P$2488=J$1),('Diário 8º PA'!$F$5:$F$2488))</f>
        <v>0</v>
      </c>
      <c r="K108" s="185">
        <f>SUMPRODUCT(-('Diário 5º PA'!$E$5:$E$2634='Analítico Cx.'!$B108),-('Diário 5º PA'!$P$5:$P$2634=K$1),('Diário 5º PA'!$F$5:$F$2634))+
SUMPRODUCT(-('Diário 6º PA'!$E$5:$E$2246='Analítico Cx.'!$B108),-('Diário 6º PA'!$P$5:$P$2246=K$1),('Diário 6º PA'!$F$5:$F$2246))+
SUMPRODUCT(-('Diário 7º PA'!$E$5:$E$2271='Analítico Cx.'!$B108),-('Diário 7º PA'!$P$5:$P$2271=K$1),('Diário 7º PA'!$F$5:$F$2271))+
SUMPRODUCT(-('Diário 8º PA'!$E$5:$E$2488='Analítico Cx.'!$B108),-('Diário 8º PA'!$P$5:$P$2488=K$1),('Diário 8º PA'!$F$5:$F$2488))</f>
        <v>0</v>
      </c>
      <c r="L108" s="185">
        <f>SUMPRODUCT(-('Diário 5º PA'!$E$5:$E$2634='Analítico Cx.'!$B108),-('Diário 5º PA'!$P$5:$P$2634=L$1),('Diário 5º PA'!$F$5:$F$2634))+
SUMPRODUCT(-('Diário 6º PA'!$E$5:$E$2246='Analítico Cx.'!$B108),-('Diário 6º PA'!$P$5:$P$2246=L$1),('Diário 6º PA'!$F$5:$F$2246))+
SUMPRODUCT(-('Diário 7º PA'!$E$5:$E$2271='Analítico Cx.'!$B108),-('Diário 7º PA'!$P$5:$P$2271=L$1),('Diário 7º PA'!$F$5:$F$2271))+
SUMPRODUCT(-('Diário 8º PA'!$E$5:$E$2488='Analítico Cx.'!$B108),-('Diário 8º PA'!$P$5:$P$2488=L$1),('Diário 8º PA'!$F$5:$F$2488))</f>
        <v>0</v>
      </c>
      <c r="M108" s="185">
        <f>SUMPRODUCT(-('Diário 5º PA'!$E$5:$E$2634='Analítico Cx.'!$B108),-('Diário 5º PA'!$P$5:$P$2634=M$1),('Diário 5º PA'!$F$5:$F$2634))+
SUMPRODUCT(-('Diário 6º PA'!$E$5:$E$2246='Analítico Cx.'!$B108),-('Diário 6º PA'!$P$5:$P$2246=M$1),('Diário 6º PA'!$F$5:$F$2246))+
SUMPRODUCT(-('Diário 7º PA'!$E$5:$E$2271='Analítico Cx.'!$B108),-('Diário 7º PA'!$P$5:$P$2271=M$1),('Diário 7º PA'!$F$5:$F$2271))+
SUMPRODUCT(-('Diário 8º PA'!$E$5:$E$2488='Analítico Cx.'!$B108),-('Diário 8º PA'!$P$5:$P$2488=M$1),('Diário 8º PA'!$F$5:$F$2488))</f>
        <v>0</v>
      </c>
      <c r="N108" s="185">
        <f>SUMPRODUCT(-('Diário 5º PA'!$E$5:$E$2634='Analítico Cx.'!$B108),-('Diário 5º PA'!$P$5:$P$2634=N$1),('Diário 5º PA'!$F$5:$F$2634))+
SUMPRODUCT(-('Diário 6º PA'!$E$5:$E$2246='Analítico Cx.'!$B108),-('Diário 6º PA'!$P$5:$P$2246=N$1),('Diário 6º PA'!$F$5:$F$2246))+
SUMPRODUCT(-('Diário 7º PA'!$E$5:$E$2271='Analítico Cx.'!$B108),-('Diário 7º PA'!$P$5:$P$2271=N$1),('Diário 7º PA'!$F$5:$F$2271))+
SUMPRODUCT(-('Diário 8º PA'!$E$5:$E$2488='Analítico Cx.'!$B108),-('Diário 8º PA'!$P$5:$P$2488=N$1),('Diário 8º PA'!$F$5:$F$2488))</f>
        <v>0</v>
      </c>
      <c r="O108" s="186">
        <f t="shared" si="16"/>
        <v>0</v>
      </c>
      <c r="P108" s="187">
        <f t="shared" si="17"/>
        <v>0</v>
      </c>
      <c r="Q108" s="34"/>
      <c r="R108" s="34"/>
      <c r="S108" s="34"/>
      <c r="T108" s="34"/>
      <c r="U108" s="34"/>
      <c r="V108" s="34"/>
      <c r="W108" s="34"/>
      <c r="X108" s="34"/>
      <c r="Y108" s="34"/>
      <c r="Z108" s="34"/>
    </row>
    <row r="109" spans="1:26" ht="23.25" customHeight="1" x14ac:dyDescent="0.2">
      <c r="A109" s="203" t="s">
        <v>309</v>
      </c>
      <c r="B109" s="72" t="s">
        <v>310</v>
      </c>
      <c r="C109" s="185">
        <f>SUMPRODUCT(-('Diário 5º PA'!$E$5:$E$2634='Analítico Cx.'!$B109),-('Diário 5º PA'!$P$5:$P$2634=C$1),('Diário 5º PA'!$F$5:$F$2634))+
SUMPRODUCT(-('Diário 6º PA'!$E$5:$E$2246='Analítico Cx.'!$B109),-('Diário 6º PA'!$P$5:$P$2246=C$1),('Diário 6º PA'!$F$5:$F$2246))+
SUMPRODUCT(-('Diário 7º PA'!$E$5:$E$2271='Analítico Cx.'!$B109),-('Diário 7º PA'!$P$5:$P$2271=C$1),('Diário 7º PA'!$F$5:$F$2271))+
SUMPRODUCT(-('Diário 8º PA'!$E$5:$E$2488='Analítico Cx.'!$B109),-('Diário 8º PA'!$P$5:$P$2488=C$1),('Diário 8º PA'!$F$5:$F$2488))</f>
        <v>5100</v>
      </c>
      <c r="D109" s="185">
        <f>SUMPRODUCT(-('Diário 5º PA'!$E$5:$E$2634='Analítico Cx.'!$B109),-('Diário 5º PA'!$P$5:$P$2634=D$1),('Diário 5º PA'!$F$5:$F$2634))+
SUMPRODUCT(-('Diário 6º PA'!$E$5:$E$2246='Analítico Cx.'!$B109),-('Diário 6º PA'!$P$5:$P$2246=D$1),('Diário 6º PA'!$F$5:$F$2246))+
SUMPRODUCT(-('Diário 7º PA'!$E$5:$E$2271='Analítico Cx.'!$B109),-('Diário 7º PA'!$P$5:$P$2271=D$1),('Diário 7º PA'!$F$5:$F$2271))+
SUMPRODUCT(-('Diário 8º PA'!$E$5:$E$2488='Analítico Cx.'!$B109),-('Diário 8º PA'!$P$5:$P$2488=D$1),('Diário 8º PA'!$F$5:$F$2488))</f>
        <v>3666.33</v>
      </c>
      <c r="E109" s="185">
        <f>SUMPRODUCT(-('Diário 5º PA'!$E$5:$E$2634='Analítico Cx.'!$B109),-('Diário 5º PA'!$P$5:$P$2634=E$1),('Diário 5º PA'!$F$5:$F$2634))+
SUMPRODUCT(-('Diário 6º PA'!$E$5:$E$2246='Analítico Cx.'!$B109),-('Diário 6º PA'!$P$5:$P$2246=E$1),('Diário 6º PA'!$F$5:$F$2246))+
SUMPRODUCT(-('Diário 7º PA'!$E$5:$E$2271='Analítico Cx.'!$B109),-('Diário 7º PA'!$P$5:$P$2271=E$1),('Diário 7º PA'!$F$5:$F$2271))+
SUMPRODUCT(-('Diário 8º PA'!$E$5:$E$2488='Analítico Cx.'!$B109),-('Diário 8º PA'!$P$5:$P$2488=E$1),('Diário 8º PA'!$F$5:$F$2488))</f>
        <v>36.18</v>
      </c>
      <c r="F109" s="185">
        <f>SUMPRODUCT(-('Diário 5º PA'!$E$5:$E$2634='Analítico Cx.'!$B109),-('Diário 5º PA'!$P$5:$P$2634=F$1),('Diário 5º PA'!$F$5:$F$2634))+
SUMPRODUCT(-('Diário 6º PA'!$E$5:$E$2246='Analítico Cx.'!$B109),-('Diário 6º PA'!$P$5:$P$2246=F$1),('Diário 6º PA'!$F$5:$F$2246))+
SUMPRODUCT(-('Diário 7º PA'!$E$5:$E$2271='Analítico Cx.'!$B109),-('Diário 7º PA'!$P$5:$P$2271=F$1),('Diário 7º PA'!$F$5:$F$2271))+
SUMPRODUCT(-('Diário 8º PA'!$E$5:$E$2488='Analítico Cx.'!$B109),-('Diário 8º PA'!$P$5:$P$2488=F$1),('Diário 8º PA'!$F$5:$F$2488))</f>
        <v>0</v>
      </c>
      <c r="G109" s="185">
        <f>SUMPRODUCT(-('Diário 5º PA'!$E$5:$E$2634='Analítico Cx.'!$B109),-('Diário 5º PA'!$P$5:$P$2634=G$1),('Diário 5º PA'!$F$5:$F$2634))+
SUMPRODUCT(-('Diário 6º PA'!$E$5:$E$2246='Analítico Cx.'!$B109),-('Diário 6º PA'!$P$5:$P$2246=G$1),('Diário 6º PA'!$F$5:$F$2246))+
SUMPRODUCT(-('Diário 7º PA'!$E$5:$E$2271='Analítico Cx.'!$B109),-('Diário 7º PA'!$P$5:$P$2271=G$1),('Diário 7º PA'!$F$5:$F$2271))+
SUMPRODUCT(-('Diário 8º PA'!$E$5:$E$2488='Analítico Cx.'!$B109),-('Diário 8º PA'!$P$5:$P$2488=G$1),('Diário 8º PA'!$F$5:$F$2488))</f>
        <v>0</v>
      </c>
      <c r="H109" s="185">
        <f>SUMPRODUCT(-('Diário 5º PA'!$E$5:$E$2634='Analítico Cx.'!$B109),-('Diário 5º PA'!$P$5:$P$2634=H$1),('Diário 5º PA'!$F$5:$F$2634))+
SUMPRODUCT(-('Diário 6º PA'!$E$5:$E$2246='Analítico Cx.'!$B109),-('Diário 6º PA'!$P$5:$P$2246=H$1),('Diário 6º PA'!$F$5:$F$2246))+
SUMPRODUCT(-('Diário 7º PA'!$E$5:$E$2271='Analítico Cx.'!$B109),-('Diário 7º PA'!$P$5:$P$2271=H$1),('Diário 7º PA'!$F$5:$F$2271))+
SUMPRODUCT(-('Diário 8º PA'!$E$5:$E$2488='Analítico Cx.'!$B109),-('Diário 8º PA'!$P$5:$P$2488=H$1),('Diário 8º PA'!$F$5:$F$2488))</f>
        <v>0</v>
      </c>
      <c r="I109" s="185">
        <f>SUMPRODUCT(-('Diário 5º PA'!$E$5:$E$2634='Analítico Cx.'!$B109),-('Diário 5º PA'!$P$5:$P$2634=I$1),('Diário 5º PA'!$F$5:$F$2634))+
SUMPRODUCT(-('Diário 6º PA'!$E$5:$E$2246='Analítico Cx.'!$B109),-('Diário 6º PA'!$P$5:$P$2246=I$1),('Diário 6º PA'!$F$5:$F$2246))+
SUMPRODUCT(-('Diário 7º PA'!$E$5:$E$2271='Analítico Cx.'!$B109),-('Diário 7º PA'!$P$5:$P$2271=I$1),('Diário 7º PA'!$F$5:$F$2271))+
SUMPRODUCT(-('Diário 8º PA'!$E$5:$E$2488='Analítico Cx.'!$B109),-('Diário 8º PA'!$P$5:$P$2488=I$1),('Diário 8º PA'!$F$5:$F$2488))</f>
        <v>500</v>
      </c>
      <c r="J109" s="185">
        <f>SUMPRODUCT(-('Diário 5º PA'!$E$5:$E$2634='Analítico Cx.'!$B109),-('Diário 5º PA'!$P$5:$P$2634=J$1),('Diário 5º PA'!$F$5:$F$2634))+
SUMPRODUCT(-('Diário 6º PA'!$E$5:$E$2246='Analítico Cx.'!$B109),-('Diário 6º PA'!$P$5:$P$2246=J$1),('Diário 6º PA'!$F$5:$F$2246))+
SUMPRODUCT(-('Diário 7º PA'!$E$5:$E$2271='Analítico Cx.'!$B109),-('Diário 7º PA'!$P$5:$P$2271=J$1),('Diário 7º PA'!$F$5:$F$2271))+
SUMPRODUCT(-('Diário 8º PA'!$E$5:$E$2488='Analítico Cx.'!$B109),-('Diário 8º PA'!$P$5:$P$2488=J$1),('Diário 8º PA'!$F$5:$F$2488))</f>
        <v>0</v>
      </c>
      <c r="K109" s="185">
        <f>SUMPRODUCT(-('Diário 5º PA'!$E$5:$E$2634='Analítico Cx.'!$B109),-('Diário 5º PA'!$P$5:$P$2634=K$1),('Diário 5º PA'!$F$5:$F$2634))+
SUMPRODUCT(-('Diário 6º PA'!$E$5:$E$2246='Analítico Cx.'!$B109),-('Diário 6º PA'!$P$5:$P$2246=K$1),('Diário 6º PA'!$F$5:$F$2246))+
SUMPRODUCT(-('Diário 7º PA'!$E$5:$E$2271='Analítico Cx.'!$B109),-('Diário 7º PA'!$P$5:$P$2271=K$1),('Diário 7º PA'!$F$5:$F$2271))+
SUMPRODUCT(-('Diário 8º PA'!$E$5:$E$2488='Analítico Cx.'!$B109),-('Diário 8º PA'!$P$5:$P$2488=K$1),('Diário 8º PA'!$F$5:$F$2488))</f>
        <v>0</v>
      </c>
      <c r="L109" s="185">
        <f>SUMPRODUCT(-('Diário 5º PA'!$E$5:$E$2634='Analítico Cx.'!$B109),-('Diário 5º PA'!$P$5:$P$2634=L$1),('Diário 5º PA'!$F$5:$F$2634))+
SUMPRODUCT(-('Diário 6º PA'!$E$5:$E$2246='Analítico Cx.'!$B109),-('Diário 6º PA'!$P$5:$P$2246=L$1),('Diário 6º PA'!$F$5:$F$2246))+
SUMPRODUCT(-('Diário 7º PA'!$E$5:$E$2271='Analítico Cx.'!$B109),-('Diário 7º PA'!$P$5:$P$2271=L$1),('Diário 7º PA'!$F$5:$F$2271))+
SUMPRODUCT(-('Diário 8º PA'!$E$5:$E$2488='Analítico Cx.'!$B109),-('Diário 8º PA'!$P$5:$P$2488=L$1),('Diário 8º PA'!$F$5:$F$2488))</f>
        <v>0</v>
      </c>
      <c r="M109" s="185">
        <f>SUMPRODUCT(-('Diário 5º PA'!$E$5:$E$2634='Analítico Cx.'!$B109),-('Diário 5º PA'!$P$5:$P$2634=M$1),('Diário 5º PA'!$F$5:$F$2634))+
SUMPRODUCT(-('Diário 6º PA'!$E$5:$E$2246='Analítico Cx.'!$B109),-('Diário 6º PA'!$P$5:$P$2246=M$1),('Diário 6º PA'!$F$5:$F$2246))+
SUMPRODUCT(-('Diário 7º PA'!$E$5:$E$2271='Analítico Cx.'!$B109),-('Diário 7º PA'!$P$5:$P$2271=M$1),('Diário 7º PA'!$F$5:$F$2271))+
SUMPRODUCT(-('Diário 8º PA'!$E$5:$E$2488='Analítico Cx.'!$B109),-('Diário 8º PA'!$P$5:$P$2488=M$1),('Diário 8º PA'!$F$5:$F$2488))</f>
        <v>695</v>
      </c>
      <c r="N109" s="185">
        <f>SUMPRODUCT(-('Diário 5º PA'!$E$5:$E$2634='Analítico Cx.'!$B109),-('Diário 5º PA'!$P$5:$P$2634=N$1),('Diário 5º PA'!$F$5:$F$2634))+
SUMPRODUCT(-('Diário 6º PA'!$E$5:$E$2246='Analítico Cx.'!$B109),-('Diário 6º PA'!$P$5:$P$2246=N$1),('Diário 6º PA'!$F$5:$F$2246))+
SUMPRODUCT(-('Diário 7º PA'!$E$5:$E$2271='Analítico Cx.'!$B109),-('Diário 7º PA'!$P$5:$P$2271=N$1),('Diário 7º PA'!$F$5:$F$2271))+
SUMPRODUCT(-('Diário 8º PA'!$E$5:$E$2488='Analítico Cx.'!$B109),-('Diário 8º PA'!$P$5:$P$2488=N$1),('Diário 8º PA'!$F$5:$F$2488))</f>
        <v>0</v>
      </c>
      <c r="O109" s="186">
        <f t="shared" si="16"/>
        <v>9997.51</v>
      </c>
      <c r="P109" s="187">
        <f t="shared" si="17"/>
        <v>1.060747808224355E-3</v>
      </c>
      <c r="Q109" s="34"/>
      <c r="R109" s="34"/>
      <c r="S109" s="34"/>
      <c r="T109" s="34"/>
      <c r="U109" s="34"/>
      <c r="V109" s="34"/>
      <c r="W109" s="34"/>
      <c r="X109" s="34"/>
      <c r="Y109" s="34"/>
      <c r="Z109" s="34"/>
    </row>
    <row r="110" spans="1:26" ht="23.25" customHeight="1" x14ac:dyDescent="0.2">
      <c r="A110" s="203" t="s">
        <v>311</v>
      </c>
      <c r="B110" s="72" t="s">
        <v>312</v>
      </c>
      <c r="C110" s="185">
        <f>SUMPRODUCT(-('Diário 5º PA'!$E$5:$E$2634='Analítico Cx.'!$B110),-('Diário 5º PA'!$P$5:$P$2634=C$1),('Diário 5º PA'!$F$5:$F$2634))+
SUMPRODUCT(-('Diário 6º PA'!$E$5:$E$2246='Analítico Cx.'!$B110),-('Diário 6º PA'!$P$5:$P$2246=C$1),('Diário 6º PA'!$F$5:$F$2246))+
SUMPRODUCT(-('Diário 7º PA'!$E$5:$E$2271='Analítico Cx.'!$B110),-('Diário 7º PA'!$P$5:$P$2271=C$1),('Diário 7º PA'!$F$5:$F$2271))+
SUMPRODUCT(-('Diário 8º PA'!$E$5:$E$2488='Analítico Cx.'!$B110),-('Diário 8º PA'!$P$5:$P$2488=C$1),('Diário 8º PA'!$F$5:$F$2488))</f>
        <v>550.91</v>
      </c>
      <c r="D110" s="185">
        <f>SUMPRODUCT(-('Diário 5º PA'!$E$5:$E$2634='Analítico Cx.'!$B110),-('Diário 5º PA'!$P$5:$P$2634=D$1),('Diário 5º PA'!$F$5:$F$2634))+
SUMPRODUCT(-('Diário 6º PA'!$E$5:$E$2246='Analítico Cx.'!$B110),-('Diário 6º PA'!$P$5:$P$2246=D$1),('Diário 6º PA'!$F$5:$F$2246))+
SUMPRODUCT(-('Diário 7º PA'!$E$5:$E$2271='Analítico Cx.'!$B110),-('Diário 7º PA'!$P$5:$P$2271=D$1),('Diário 7º PA'!$F$5:$F$2271))+
SUMPRODUCT(-('Diário 8º PA'!$E$5:$E$2488='Analítico Cx.'!$B110),-('Diário 8º PA'!$P$5:$P$2488=D$1),('Diário 8º PA'!$F$5:$F$2488))</f>
        <v>1706.02</v>
      </c>
      <c r="E110" s="185">
        <f>SUMPRODUCT(-('Diário 5º PA'!$E$5:$E$2634='Analítico Cx.'!$B110),-('Diário 5º PA'!$P$5:$P$2634=E$1),('Diário 5º PA'!$F$5:$F$2634))+
SUMPRODUCT(-('Diário 6º PA'!$E$5:$E$2246='Analítico Cx.'!$B110),-('Diário 6º PA'!$P$5:$P$2246=E$1),('Diário 6º PA'!$F$5:$F$2246))+
SUMPRODUCT(-('Diário 7º PA'!$E$5:$E$2271='Analítico Cx.'!$B110),-('Diário 7º PA'!$P$5:$P$2271=E$1),('Diário 7º PA'!$F$5:$F$2271))+
SUMPRODUCT(-('Diário 8º PA'!$E$5:$E$2488='Analítico Cx.'!$B110),-('Diário 8º PA'!$P$5:$P$2488=E$1),('Diário 8º PA'!$F$5:$F$2488))</f>
        <v>795.15</v>
      </c>
      <c r="F110" s="185">
        <f>SUMPRODUCT(-('Diário 5º PA'!$E$5:$E$2634='Analítico Cx.'!$B110),-('Diário 5º PA'!$P$5:$P$2634=F$1),('Diário 5º PA'!$F$5:$F$2634))+
SUMPRODUCT(-('Diário 6º PA'!$E$5:$E$2246='Analítico Cx.'!$B110),-('Diário 6º PA'!$P$5:$P$2246=F$1),('Diário 6º PA'!$F$5:$F$2246))+
SUMPRODUCT(-('Diário 7º PA'!$E$5:$E$2271='Analítico Cx.'!$B110),-('Diário 7º PA'!$P$5:$P$2271=F$1),('Diário 7º PA'!$F$5:$F$2271))+
SUMPRODUCT(-('Diário 8º PA'!$E$5:$E$2488='Analítico Cx.'!$B110),-('Diário 8º PA'!$P$5:$P$2488=F$1),('Diário 8º PA'!$F$5:$F$2488))</f>
        <v>6726.87</v>
      </c>
      <c r="G110" s="185">
        <f>SUMPRODUCT(-('Diário 5º PA'!$E$5:$E$2634='Analítico Cx.'!$B110),-('Diário 5º PA'!$P$5:$P$2634=G$1),('Diário 5º PA'!$F$5:$F$2634))+
SUMPRODUCT(-('Diário 6º PA'!$E$5:$E$2246='Analítico Cx.'!$B110),-('Diário 6º PA'!$P$5:$P$2246=G$1),('Diário 6º PA'!$F$5:$F$2246))+
SUMPRODUCT(-('Diário 7º PA'!$E$5:$E$2271='Analítico Cx.'!$B110),-('Diário 7º PA'!$P$5:$P$2271=G$1),('Diário 7º PA'!$F$5:$F$2271))+
SUMPRODUCT(-('Diário 8º PA'!$E$5:$E$2488='Analítico Cx.'!$B110),-('Diário 8º PA'!$P$5:$P$2488=G$1),('Diário 8º PA'!$F$5:$F$2488))</f>
        <v>4532.75</v>
      </c>
      <c r="H110" s="185">
        <f>SUMPRODUCT(-('Diário 5º PA'!$E$5:$E$2634='Analítico Cx.'!$B110),-('Diário 5º PA'!$P$5:$P$2634=H$1),('Diário 5º PA'!$F$5:$F$2634))+
SUMPRODUCT(-('Diário 6º PA'!$E$5:$E$2246='Analítico Cx.'!$B110),-('Diário 6º PA'!$P$5:$P$2246=H$1),('Diário 6º PA'!$F$5:$F$2246))+
SUMPRODUCT(-('Diário 7º PA'!$E$5:$E$2271='Analítico Cx.'!$B110),-('Diário 7º PA'!$P$5:$P$2271=H$1),('Diário 7º PA'!$F$5:$F$2271))+
SUMPRODUCT(-('Diário 8º PA'!$E$5:$E$2488='Analítico Cx.'!$B110),-('Diário 8º PA'!$P$5:$P$2488=H$1),('Diário 8º PA'!$F$5:$F$2488))</f>
        <v>225.58</v>
      </c>
      <c r="I110" s="185">
        <f>SUMPRODUCT(-('Diário 5º PA'!$E$5:$E$2634='Analítico Cx.'!$B110),-('Diário 5º PA'!$P$5:$P$2634=I$1),('Diário 5º PA'!$F$5:$F$2634))+
SUMPRODUCT(-('Diário 6º PA'!$E$5:$E$2246='Analítico Cx.'!$B110),-('Diário 6º PA'!$P$5:$P$2246=I$1),('Diário 6º PA'!$F$5:$F$2246))+
SUMPRODUCT(-('Diário 7º PA'!$E$5:$E$2271='Analítico Cx.'!$B110),-('Diário 7º PA'!$P$5:$P$2271=I$1),('Diário 7º PA'!$F$5:$F$2271))+
SUMPRODUCT(-('Diário 8º PA'!$E$5:$E$2488='Analítico Cx.'!$B110),-('Diário 8º PA'!$P$5:$P$2488=I$1),('Diário 8º PA'!$F$5:$F$2488))</f>
        <v>1700.67</v>
      </c>
      <c r="J110" s="185">
        <f>SUMPRODUCT(-('Diário 5º PA'!$E$5:$E$2634='Analítico Cx.'!$B110),-('Diário 5º PA'!$P$5:$P$2634=J$1),('Diário 5º PA'!$F$5:$F$2634))+
SUMPRODUCT(-('Diário 6º PA'!$E$5:$E$2246='Analítico Cx.'!$B110),-('Diário 6º PA'!$P$5:$P$2246=J$1),('Diário 6º PA'!$F$5:$F$2246))+
SUMPRODUCT(-('Diário 7º PA'!$E$5:$E$2271='Analítico Cx.'!$B110),-('Diário 7º PA'!$P$5:$P$2271=J$1),('Diário 7º PA'!$F$5:$F$2271))+
SUMPRODUCT(-('Diário 8º PA'!$E$5:$E$2488='Analítico Cx.'!$B110),-('Diário 8º PA'!$P$5:$P$2488=J$1),('Diário 8º PA'!$F$5:$F$2488))</f>
        <v>3302.21</v>
      </c>
      <c r="K110" s="185">
        <f>SUMPRODUCT(-('Diário 5º PA'!$E$5:$E$2634='Analítico Cx.'!$B110),-('Diário 5º PA'!$P$5:$P$2634=K$1),('Diário 5º PA'!$F$5:$F$2634))+
SUMPRODUCT(-('Diário 6º PA'!$E$5:$E$2246='Analítico Cx.'!$B110),-('Diário 6º PA'!$P$5:$P$2246=K$1),('Diário 6º PA'!$F$5:$F$2246))+
SUMPRODUCT(-('Diário 7º PA'!$E$5:$E$2271='Analítico Cx.'!$B110),-('Diário 7º PA'!$P$5:$P$2271=K$1),('Diário 7º PA'!$F$5:$F$2271))+
SUMPRODUCT(-('Diário 8º PA'!$E$5:$E$2488='Analítico Cx.'!$B110),-('Diário 8º PA'!$P$5:$P$2488=K$1),('Diário 8º PA'!$F$5:$F$2488))</f>
        <v>217.23</v>
      </c>
      <c r="L110" s="185">
        <f>SUMPRODUCT(-('Diário 5º PA'!$E$5:$E$2634='Analítico Cx.'!$B110),-('Diário 5º PA'!$P$5:$P$2634=L$1),('Diário 5º PA'!$F$5:$F$2634))+
SUMPRODUCT(-('Diário 6º PA'!$E$5:$E$2246='Analítico Cx.'!$B110),-('Diário 6º PA'!$P$5:$P$2246=L$1),('Diário 6º PA'!$F$5:$F$2246))+
SUMPRODUCT(-('Diário 7º PA'!$E$5:$E$2271='Analítico Cx.'!$B110),-('Diário 7º PA'!$P$5:$P$2271=L$1),('Diário 7º PA'!$F$5:$F$2271))+
SUMPRODUCT(-('Diário 8º PA'!$E$5:$E$2488='Analítico Cx.'!$B110),-('Diário 8º PA'!$P$5:$P$2488=L$1),('Diário 8º PA'!$F$5:$F$2488))</f>
        <v>1888.73</v>
      </c>
      <c r="M110" s="185">
        <f>SUMPRODUCT(-('Diário 5º PA'!$E$5:$E$2634='Analítico Cx.'!$B110),-('Diário 5º PA'!$P$5:$P$2634=M$1),('Diário 5º PA'!$F$5:$F$2634))+
SUMPRODUCT(-('Diário 6º PA'!$E$5:$E$2246='Analítico Cx.'!$B110),-('Diário 6º PA'!$P$5:$P$2246=M$1),('Diário 6º PA'!$F$5:$F$2246))+
SUMPRODUCT(-('Diário 7º PA'!$E$5:$E$2271='Analítico Cx.'!$B110),-('Diário 7º PA'!$P$5:$P$2271=M$1),('Diário 7º PA'!$F$5:$F$2271))+
SUMPRODUCT(-('Diário 8º PA'!$E$5:$E$2488='Analítico Cx.'!$B110),-('Diário 8º PA'!$P$5:$P$2488=M$1),('Diário 8º PA'!$F$5:$F$2488))</f>
        <v>876.06</v>
      </c>
      <c r="N110" s="185">
        <f>SUMPRODUCT(-('Diário 5º PA'!$E$5:$E$2634='Analítico Cx.'!$B110),-('Diário 5º PA'!$P$5:$P$2634=N$1),('Diário 5º PA'!$F$5:$F$2634))+
SUMPRODUCT(-('Diário 6º PA'!$E$5:$E$2246='Analítico Cx.'!$B110),-('Diário 6º PA'!$P$5:$P$2246=N$1),('Diário 6º PA'!$F$5:$F$2246))+
SUMPRODUCT(-('Diário 7º PA'!$E$5:$E$2271='Analítico Cx.'!$B110),-('Diário 7º PA'!$P$5:$P$2271=N$1),('Diário 7º PA'!$F$5:$F$2271))+
SUMPRODUCT(-('Diário 8º PA'!$E$5:$E$2488='Analítico Cx.'!$B110),-('Diário 8º PA'!$P$5:$P$2488=N$1),('Diário 8º PA'!$F$5:$F$2488))</f>
        <v>53.41</v>
      </c>
      <c r="O110" s="186">
        <f t="shared" si="16"/>
        <v>22575.59</v>
      </c>
      <c r="P110" s="187">
        <f t="shared" si="17"/>
        <v>2.3952971901875231E-3</v>
      </c>
      <c r="Q110" s="34"/>
      <c r="R110" s="34"/>
      <c r="S110" s="34"/>
      <c r="T110" s="34"/>
      <c r="U110" s="34"/>
      <c r="V110" s="34"/>
      <c r="W110" s="34"/>
      <c r="X110" s="34"/>
      <c r="Y110" s="34"/>
      <c r="Z110" s="34"/>
    </row>
    <row r="111" spans="1:26" ht="23.25" customHeight="1" x14ac:dyDescent="0.2">
      <c r="A111" s="203" t="s">
        <v>313</v>
      </c>
      <c r="B111" s="72" t="s">
        <v>314</v>
      </c>
      <c r="C111" s="185">
        <f>SUMPRODUCT(-('Diário 5º PA'!$E$5:$E$2634='Analítico Cx.'!$B111),-('Diário 5º PA'!$P$5:$P$2634=C$1),('Diário 5º PA'!$F$5:$F$2634))+
SUMPRODUCT(-('Diário 6º PA'!$E$5:$E$2246='Analítico Cx.'!$B111),-('Diário 6º PA'!$P$5:$P$2246=C$1),('Diário 6º PA'!$F$5:$F$2246))+
SUMPRODUCT(-('Diário 7º PA'!$E$5:$E$2271='Analítico Cx.'!$B111),-('Diário 7º PA'!$P$5:$P$2271=C$1),('Diário 7º PA'!$F$5:$F$2271))+
SUMPRODUCT(-('Diário 8º PA'!$E$5:$E$2488='Analítico Cx.'!$B111),-('Diário 8º PA'!$P$5:$P$2488=C$1),('Diário 8º PA'!$F$5:$F$2488))</f>
        <v>0</v>
      </c>
      <c r="D111" s="185">
        <f>SUMPRODUCT(-('Diário 5º PA'!$E$5:$E$2634='Analítico Cx.'!$B111),-('Diário 5º PA'!$P$5:$P$2634=D$1),('Diário 5º PA'!$F$5:$F$2634))+
SUMPRODUCT(-('Diário 6º PA'!$E$5:$E$2246='Analítico Cx.'!$B111),-('Diário 6º PA'!$P$5:$P$2246=D$1),('Diário 6º PA'!$F$5:$F$2246))+
SUMPRODUCT(-('Diário 7º PA'!$E$5:$E$2271='Analítico Cx.'!$B111),-('Diário 7º PA'!$P$5:$P$2271=D$1),('Diário 7º PA'!$F$5:$F$2271))+
SUMPRODUCT(-('Diário 8º PA'!$E$5:$E$2488='Analítico Cx.'!$B111),-('Diário 8º PA'!$P$5:$P$2488=D$1),('Diário 8º PA'!$F$5:$F$2488))</f>
        <v>0</v>
      </c>
      <c r="E111" s="185">
        <f>SUMPRODUCT(-('Diário 5º PA'!$E$5:$E$2634='Analítico Cx.'!$B111),-('Diário 5º PA'!$P$5:$P$2634=E$1),('Diário 5º PA'!$F$5:$F$2634))+
SUMPRODUCT(-('Diário 6º PA'!$E$5:$E$2246='Analítico Cx.'!$B111),-('Diário 6º PA'!$P$5:$P$2246=E$1),('Diário 6º PA'!$F$5:$F$2246))+
SUMPRODUCT(-('Diário 7º PA'!$E$5:$E$2271='Analítico Cx.'!$B111),-('Diário 7º PA'!$P$5:$P$2271=E$1),('Diário 7º PA'!$F$5:$F$2271))+
SUMPRODUCT(-('Diário 8º PA'!$E$5:$E$2488='Analítico Cx.'!$B111),-('Diário 8º PA'!$P$5:$P$2488=E$1),('Diário 8º PA'!$F$5:$F$2488))</f>
        <v>0</v>
      </c>
      <c r="F111" s="185">
        <f>SUMPRODUCT(-('Diário 5º PA'!$E$5:$E$2634='Analítico Cx.'!$B111),-('Diário 5º PA'!$P$5:$P$2634=F$1),('Diário 5º PA'!$F$5:$F$2634))+
SUMPRODUCT(-('Diário 6º PA'!$E$5:$E$2246='Analítico Cx.'!$B111),-('Diário 6º PA'!$P$5:$P$2246=F$1),('Diário 6º PA'!$F$5:$F$2246))+
SUMPRODUCT(-('Diário 7º PA'!$E$5:$E$2271='Analítico Cx.'!$B111),-('Diário 7º PA'!$P$5:$P$2271=F$1),('Diário 7º PA'!$F$5:$F$2271))+
SUMPRODUCT(-('Diário 8º PA'!$E$5:$E$2488='Analítico Cx.'!$B111),-('Diário 8º PA'!$P$5:$P$2488=F$1),('Diário 8º PA'!$F$5:$F$2488))</f>
        <v>0</v>
      </c>
      <c r="G111" s="185">
        <f>SUMPRODUCT(-('Diário 5º PA'!$E$5:$E$2634='Analítico Cx.'!$B111),-('Diário 5º PA'!$P$5:$P$2634=G$1),('Diário 5º PA'!$F$5:$F$2634))+
SUMPRODUCT(-('Diário 6º PA'!$E$5:$E$2246='Analítico Cx.'!$B111),-('Diário 6º PA'!$P$5:$P$2246=G$1),('Diário 6º PA'!$F$5:$F$2246))+
SUMPRODUCT(-('Diário 7º PA'!$E$5:$E$2271='Analítico Cx.'!$B111),-('Diário 7º PA'!$P$5:$P$2271=G$1),('Diário 7º PA'!$F$5:$F$2271))+
SUMPRODUCT(-('Diário 8º PA'!$E$5:$E$2488='Analítico Cx.'!$B111),-('Diário 8º PA'!$P$5:$P$2488=G$1),('Diário 8º PA'!$F$5:$F$2488))</f>
        <v>0</v>
      </c>
      <c r="H111" s="185">
        <f>SUMPRODUCT(-('Diário 5º PA'!$E$5:$E$2634='Analítico Cx.'!$B111),-('Diário 5º PA'!$P$5:$P$2634=H$1),('Diário 5º PA'!$F$5:$F$2634))+
SUMPRODUCT(-('Diário 6º PA'!$E$5:$E$2246='Analítico Cx.'!$B111),-('Diário 6º PA'!$P$5:$P$2246=H$1),('Diário 6º PA'!$F$5:$F$2246))+
SUMPRODUCT(-('Diário 7º PA'!$E$5:$E$2271='Analítico Cx.'!$B111),-('Diário 7º PA'!$P$5:$P$2271=H$1),('Diário 7º PA'!$F$5:$F$2271))+
SUMPRODUCT(-('Diário 8º PA'!$E$5:$E$2488='Analítico Cx.'!$B111),-('Diário 8º PA'!$P$5:$P$2488=H$1),('Diário 8º PA'!$F$5:$F$2488))</f>
        <v>0</v>
      </c>
      <c r="I111" s="185">
        <f>SUMPRODUCT(-('Diário 5º PA'!$E$5:$E$2634='Analítico Cx.'!$B111),-('Diário 5º PA'!$P$5:$P$2634=I$1),('Diário 5º PA'!$F$5:$F$2634))+
SUMPRODUCT(-('Diário 6º PA'!$E$5:$E$2246='Analítico Cx.'!$B111),-('Diário 6º PA'!$P$5:$P$2246=I$1),('Diário 6º PA'!$F$5:$F$2246))+
SUMPRODUCT(-('Diário 7º PA'!$E$5:$E$2271='Analítico Cx.'!$B111),-('Diário 7º PA'!$P$5:$P$2271=I$1),('Diário 7º PA'!$F$5:$F$2271))+
SUMPRODUCT(-('Diário 8º PA'!$E$5:$E$2488='Analítico Cx.'!$B111),-('Diário 8º PA'!$P$5:$P$2488=I$1),('Diário 8º PA'!$F$5:$F$2488))</f>
        <v>0</v>
      </c>
      <c r="J111" s="185">
        <f>SUMPRODUCT(-('Diário 5º PA'!$E$5:$E$2634='Analítico Cx.'!$B111),-('Diário 5º PA'!$P$5:$P$2634=J$1),('Diário 5º PA'!$F$5:$F$2634))+
SUMPRODUCT(-('Diário 6º PA'!$E$5:$E$2246='Analítico Cx.'!$B111),-('Diário 6º PA'!$P$5:$P$2246=J$1),('Diário 6º PA'!$F$5:$F$2246))+
SUMPRODUCT(-('Diário 7º PA'!$E$5:$E$2271='Analítico Cx.'!$B111),-('Diário 7º PA'!$P$5:$P$2271=J$1),('Diário 7º PA'!$F$5:$F$2271))+
SUMPRODUCT(-('Diário 8º PA'!$E$5:$E$2488='Analítico Cx.'!$B111),-('Diário 8º PA'!$P$5:$P$2488=J$1),('Diário 8º PA'!$F$5:$F$2488))</f>
        <v>0</v>
      </c>
      <c r="K111" s="185">
        <f>SUMPRODUCT(-('Diário 5º PA'!$E$5:$E$2634='Analítico Cx.'!$B111),-('Diário 5º PA'!$P$5:$P$2634=K$1),('Diário 5º PA'!$F$5:$F$2634))+
SUMPRODUCT(-('Diário 6º PA'!$E$5:$E$2246='Analítico Cx.'!$B111),-('Diário 6º PA'!$P$5:$P$2246=K$1),('Diário 6º PA'!$F$5:$F$2246))+
SUMPRODUCT(-('Diário 7º PA'!$E$5:$E$2271='Analítico Cx.'!$B111),-('Diário 7º PA'!$P$5:$P$2271=K$1),('Diário 7º PA'!$F$5:$F$2271))+
SUMPRODUCT(-('Diário 8º PA'!$E$5:$E$2488='Analítico Cx.'!$B111),-('Diário 8º PA'!$P$5:$P$2488=K$1),('Diário 8º PA'!$F$5:$F$2488))</f>
        <v>0</v>
      </c>
      <c r="L111" s="185">
        <f>SUMPRODUCT(-('Diário 5º PA'!$E$5:$E$2634='Analítico Cx.'!$B111),-('Diário 5º PA'!$P$5:$P$2634=L$1),('Diário 5º PA'!$F$5:$F$2634))+
SUMPRODUCT(-('Diário 6º PA'!$E$5:$E$2246='Analítico Cx.'!$B111),-('Diário 6º PA'!$P$5:$P$2246=L$1),('Diário 6º PA'!$F$5:$F$2246))+
SUMPRODUCT(-('Diário 7º PA'!$E$5:$E$2271='Analítico Cx.'!$B111),-('Diário 7º PA'!$P$5:$P$2271=L$1),('Diário 7º PA'!$F$5:$F$2271))+
SUMPRODUCT(-('Diário 8º PA'!$E$5:$E$2488='Analítico Cx.'!$B111),-('Diário 8º PA'!$P$5:$P$2488=L$1),('Diário 8º PA'!$F$5:$F$2488))</f>
        <v>0</v>
      </c>
      <c r="M111" s="185">
        <f>SUMPRODUCT(-('Diário 5º PA'!$E$5:$E$2634='Analítico Cx.'!$B111),-('Diário 5º PA'!$P$5:$P$2634=M$1),('Diário 5º PA'!$F$5:$F$2634))+
SUMPRODUCT(-('Diário 6º PA'!$E$5:$E$2246='Analítico Cx.'!$B111),-('Diário 6º PA'!$P$5:$P$2246=M$1),('Diário 6º PA'!$F$5:$F$2246))+
SUMPRODUCT(-('Diário 7º PA'!$E$5:$E$2271='Analítico Cx.'!$B111),-('Diário 7º PA'!$P$5:$P$2271=M$1),('Diário 7º PA'!$F$5:$F$2271))+
SUMPRODUCT(-('Diário 8º PA'!$E$5:$E$2488='Analítico Cx.'!$B111),-('Diário 8º PA'!$P$5:$P$2488=M$1),('Diário 8º PA'!$F$5:$F$2488))</f>
        <v>0</v>
      </c>
      <c r="N111" s="185">
        <f>SUMPRODUCT(-('Diário 5º PA'!$E$5:$E$2634='Analítico Cx.'!$B111),-('Diário 5º PA'!$P$5:$P$2634=N$1),('Diário 5º PA'!$F$5:$F$2634))+
SUMPRODUCT(-('Diário 6º PA'!$E$5:$E$2246='Analítico Cx.'!$B111),-('Diário 6º PA'!$P$5:$P$2246=N$1),('Diário 6º PA'!$F$5:$F$2246))+
SUMPRODUCT(-('Diário 7º PA'!$E$5:$E$2271='Analítico Cx.'!$B111),-('Diário 7º PA'!$P$5:$P$2271=N$1),('Diário 7º PA'!$F$5:$F$2271))+
SUMPRODUCT(-('Diário 8º PA'!$E$5:$E$2488='Analítico Cx.'!$B111),-('Diário 8º PA'!$P$5:$P$2488=N$1),('Diário 8º PA'!$F$5:$F$2488))</f>
        <v>0</v>
      </c>
      <c r="O111" s="186">
        <f t="shared" si="16"/>
        <v>0</v>
      </c>
      <c r="P111" s="187">
        <f t="shared" si="17"/>
        <v>0</v>
      </c>
      <c r="Q111" s="34"/>
      <c r="R111" s="34"/>
      <c r="S111" s="34"/>
      <c r="T111" s="34"/>
      <c r="U111" s="34"/>
      <c r="V111" s="34"/>
      <c r="W111" s="34"/>
      <c r="X111" s="34"/>
      <c r="Y111" s="34"/>
      <c r="Z111" s="34"/>
    </row>
    <row r="112" spans="1:26" ht="23.25" customHeight="1" x14ac:dyDescent="0.2">
      <c r="A112" s="203" t="s">
        <v>315</v>
      </c>
      <c r="B112" s="72" t="s">
        <v>316</v>
      </c>
      <c r="C112" s="185">
        <f>SUMPRODUCT(-('Diário 5º PA'!$E$5:$E$2634='Analítico Cx.'!$B112),-('Diário 5º PA'!$P$5:$P$2634=C$1),('Diário 5º PA'!$F$5:$F$2634))+
SUMPRODUCT(-('Diário 6º PA'!$E$5:$E$2246='Analítico Cx.'!$B112),-('Diário 6º PA'!$P$5:$P$2246=C$1),('Diário 6º PA'!$F$5:$F$2246))+
SUMPRODUCT(-('Diário 7º PA'!$E$5:$E$2271='Analítico Cx.'!$B112),-('Diário 7º PA'!$P$5:$P$2271=C$1),('Diário 7º PA'!$F$5:$F$2271))+
SUMPRODUCT(-('Diário 8º PA'!$E$5:$E$2488='Analítico Cx.'!$B112),-('Diário 8º PA'!$P$5:$P$2488=C$1),('Diário 8º PA'!$F$5:$F$2488))</f>
        <v>0</v>
      </c>
      <c r="D112" s="185">
        <f>SUMPRODUCT(-('Diário 5º PA'!$E$5:$E$2634='Analítico Cx.'!$B112),-('Diário 5º PA'!$P$5:$P$2634=D$1),('Diário 5º PA'!$F$5:$F$2634))+
SUMPRODUCT(-('Diário 6º PA'!$E$5:$E$2246='Analítico Cx.'!$B112),-('Diário 6º PA'!$P$5:$P$2246=D$1),('Diário 6º PA'!$F$5:$F$2246))+
SUMPRODUCT(-('Diário 7º PA'!$E$5:$E$2271='Analítico Cx.'!$B112),-('Diário 7º PA'!$P$5:$P$2271=D$1),('Diário 7º PA'!$F$5:$F$2271))+
SUMPRODUCT(-('Diário 8º PA'!$E$5:$E$2488='Analítico Cx.'!$B112),-('Diário 8º PA'!$P$5:$P$2488=D$1),('Diário 8º PA'!$F$5:$F$2488))</f>
        <v>0</v>
      </c>
      <c r="E112" s="185">
        <f>SUMPRODUCT(-('Diário 5º PA'!$E$5:$E$2634='Analítico Cx.'!$B112),-('Diário 5º PA'!$P$5:$P$2634=E$1),('Diário 5º PA'!$F$5:$F$2634))+
SUMPRODUCT(-('Diário 6º PA'!$E$5:$E$2246='Analítico Cx.'!$B112),-('Diário 6º PA'!$P$5:$P$2246=E$1),('Diário 6º PA'!$F$5:$F$2246))+
SUMPRODUCT(-('Diário 7º PA'!$E$5:$E$2271='Analítico Cx.'!$B112),-('Diário 7º PA'!$P$5:$P$2271=E$1),('Diário 7º PA'!$F$5:$F$2271))+
SUMPRODUCT(-('Diário 8º PA'!$E$5:$E$2488='Analítico Cx.'!$B112),-('Diário 8º PA'!$P$5:$P$2488=E$1),('Diário 8º PA'!$F$5:$F$2488))</f>
        <v>0</v>
      </c>
      <c r="F112" s="185">
        <f>SUMPRODUCT(-('Diário 5º PA'!$E$5:$E$2634='Analítico Cx.'!$B112),-('Diário 5º PA'!$P$5:$P$2634=F$1),('Diário 5º PA'!$F$5:$F$2634))+
SUMPRODUCT(-('Diário 6º PA'!$E$5:$E$2246='Analítico Cx.'!$B112),-('Diário 6º PA'!$P$5:$P$2246=F$1),('Diário 6º PA'!$F$5:$F$2246))+
SUMPRODUCT(-('Diário 7º PA'!$E$5:$E$2271='Analítico Cx.'!$B112),-('Diário 7º PA'!$P$5:$P$2271=F$1),('Diário 7º PA'!$F$5:$F$2271))+
SUMPRODUCT(-('Diário 8º PA'!$E$5:$E$2488='Analítico Cx.'!$B112),-('Diário 8º PA'!$P$5:$P$2488=F$1),('Diário 8º PA'!$F$5:$F$2488))</f>
        <v>0</v>
      </c>
      <c r="G112" s="185">
        <f>SUMPRODUCT(-('Diário 5º PA'!$E$5:$E$2634='Analítico Cx.'!$B112),-('Diário 5º PA'!$P$5:$P$2634=G$1),('Diário 5º PA'!$F$5:$F$2634))+
SUMPRODUCT(-('Diário 6º PA'!$E$5:$E$2246='Analítico Cx.'!$B112),-('Diário 6º PA'!$P$5:$P$2246=G$1),('Diário 6º PA'!$F$5:$F$2246))+
SUMPRODUCT(-('Diário 7º PA'!$E$5:$E$2271='Analítico Cx.'!$B112),-('Diário 7º PA'!$P$5:$P$2271=G$1),('Diário 7º PA'!$F$5:$F$2271))+
SUMPRODUCT(-('Diário 8º PA'!$E$5:$E$2488='Analítico Cx.'!$B112),-('Diário 8º PA'!$P$5:$P$2488=G$1),('Diário 8º PA'!$F$5:$F$2488))</f>
        <v>0</v>
      </c>
      <c r="H112" s="185">
        <f>SUMPRODUCT(-('Diário 5º PA'!$E$5:$E$2634='Analítico Cx.'!$B112),-('Diário 5º PA'!$P$5:$P$2634=H$1),('Diário 5º PA'!$F$5:$F$2634))+
SUMPRODUCT(-('Diário 6º PA'!$E$5:$E$2246='Analítico Cx.'!$B112),-('Diário 6º PA'!$P$5:$P$2246=H$1),('Diário 6º PA'!$F$5:$F$2246))+
SUMPRODUCT(-('Diário 7º PA'!$E$5:$E$2271='Analítico Cx.'!$B112),-('Diário 7º PA'!$P$5:$P$2271=H$1),('Diário 7º PA'!$F$5:$F$2271))+
SUMPRODUCT(-('Diário 8º PA'!$E$5:$E$2488='Analítico Cx.'!$B112),-('Diário 8º PA'!$P$5:$P$2488=H$1),('Diário 8º PA'!$F$5:$F$2488))</f>
        <v>0</v>
      </c>
      <c r="I112" s="185">
        <f>SUMPRODUCT(-('Diário 5º PA'!$E$5:$E$2634='Analítico Cx.'!$B112),-('Diário 5º PA'!$P$5:$P$2634=I$1),('Diário 5º PA'!$F$5:$F$2634))+
SUMPRODUCT(-('Diário 6º PA'!$E$5:$E$2246='Analítico Cx.'!$B112),-('Diário 6º PA'!$P$5:$P$2246=I$1),('Diário 6º PA'!$F$5:$F$2246))+
SUMPRODUCT(-('Diário 7º PA'!$E$5:$E$2271='Analítico Cx.'!$B112),-('Diário 7º PA'!$P$5:$P$2271=I$1),('Diário 7º PA'!$F$5:$F$2271))+
SUMPRODUCT(-('Diário 8º PA'!$E$5:$E$2488='Analítico Cx.'!$B112),-('Diário 8º PA'!$P$5:$P$2488=I$1),('Diário 8º PA'!$F$5:$F$2488))</f>
        <v>0</v>
      </c>
      <c r="J112" s="185">
        <f>SUMPRODUCT(-('Diário 5º PA'!$E$5:$E$2634='Analítico Cx.'!$B112),-('Diário 5º PA'!$P$5:$P$2634=J$1),('Diário 5º PA'!$F$5:$F$2634))+
SUMPRODUCT(-('Diário 6º PA'!$E$5:$E$2246='Analítico Cx.'!$B112),-('Diário 6º PA'!$P$5:$P$2246=J$1),('Diário 6º PA'!$F$5:$F$2246))+
SUMPRODUCT(-('Diário 7º PA'!$E$5:$E$2271='Analítico Cx.'!$B112),-('Diário 7º PA'!$P$5:$P$2271=J$1),('Diário 7º PA'!$F$5:$F$2271))+
SUMPRODUCT(-('Diário 8º PA'!$E$5:$E$2488='Analítico Cx.'!$B112),-('Diário 8º PA'!$P$5:$P$2488=J$1),('Diário 8º PA'!$F$5:$F$2488))</f>
        <v>0</v>
      </c>
      <c r="K112" s="185">
        <f>SUMPRODUCT(-('Diário 5º PA'!$E$5:$E$2634='Analítico Cx.'!$B112),-('Diário 5º PA'!$P$5:$P$2634=K$1),('Diário 5º PA'!$F$5:$F$2634))+
SUMPRODUCT(-('Diário 6º PA'!$E$5:$E$2246='Analítico Cx.'!$B112),-('Diário 6º PA'!$P$5:$P$2246=K$1),('Diário 6º PA'!$F$5:$F$2246))+
SUMPRODUCT(-('Diário 7º PA'!$E$5:$E$2271='Analítico Cx.'!$B112),-('Diário 7º PA'!$P$5:$P$2271=K$1),('Diário 7º PA'!$F$5:$F$2271))+
SUMPRODUCT(-('Diário 8º PA'!$E$5:$E$2488='Analítico Cx.'!$B112),-('Diário 8º PA'!$P$5:$P$2488=K$1),('Diário 8º PA'!$F$5:$F$2488))</f>
        <v>0</v>
      </c>
      <c r="L112" s="185">
        <f>SUMPRODUCT(-('Diário 5º PA'!$E$5:$E$2634='Analítico Cx.'!$B112),-('Diário 5º PA'!$P$5:$P$2634=L$1),('Diário 5º PA'!$F$5:$F$2634))+
SUMPRODUCT(-('Diário 6º PA'!$E$5:$E$2246='Analítico Cx.'!$B112),-('Diário 6º PA'!$P$5:$P$2246=L$1),('Diário 6º PA'!$F$5:$F$2246))+
SUMPRODUCT(-('Diário 7º PA'!$E$5:$E$2271='Analítico Cx.'!$B112),-('Diário 7º PA'!$P$5:$P$2271=L$1),('Diário 7º PA'!$F$5:$F$2271))+
SUMPRODUCT(-('Diário 8º PA'!$E$5:$E$2488='Analítico Cx.'!$B112),-('Diário 8º PA'!$P$5:$P$2488=L$1),('Diário 8º PA'!$F$5:$F$2488))</f>
        <v>0</v>
      </c>
      <c r="M112" s="185">
        <f>SUMPRODUCT(-('Diário 5º PA'!$E$5:$E$2634='Analítico Cx.'!$B112),-('Diário 5º PA'!$P$5:$P$2634=M$1),('Diário 5º PA'!$F$5:$F$2634))+
SUMPRODUCT(-('Diário 6º PA'!$E$5:$E$2246='Analítico Cx.'!$B112),-('Diário 6º PA'!$P$5:$P$2246=M$1),('Diário 6º PA'!$F$5:$F$2246))+
SUMPRODUCT(-('Diário 7º PA'!$E$5:$E$2271='Analítico Cx.'!$B112),-('Diário 7º PA'!$P$5:$P$2271=M$1),('Diário 7º PA'!$F$5:$F$2271))+
SUMPRODUCT(-('Diário 8º PA'!$E$5:$E$2488='Analítico Cx.'!$B112),-('Diário 8º PA'!$P$5:$P$2488=M$1),('Diário 8º PA'!$F$5:$F$2488))</f>
        <v>0</v>
      </c>
      <c r="N112" s="185">
        <f>SUMPRODUCT(-('Diário 5º PA'!$E$5:$E$2634='Analítico Cx.'!$B112),-('Diário 5º PA'!$P$5:$P$2634=N$1),('Diário 5º PA'!$F$5:$F$2634))+
SUMPRODUCT(-('Diário 6º PA'!$E$5:$E$2246='Analítico Cx.'!$B112),-('Diário 6º PA'!$P$5:$P$2246=N$1),('Diário 6º PA'!$F$5:$F$2246))+
SUMPRODUCT(-('Diário 7º PA'!$E$5:$E$2271='Analítico Cx.'!$B112),-('Diário 7º PA'!$P$5:$P$2271=N$1),('Diário 7º PA'!$F$5:$F$2271))+
SUMPRODUCT(-('Diário 8º PA'!$E$5:$E$2488='Analítico Cx.'!$B112),-('Diário 8º PA'!$P$5:$P$2488=N$1),('Diário 8º PA'!$F$5:$F$2488))</f>
        <v>0</v>
      </c>
      <c r="O112" s="186">
        <f t="shared" si="16"/>
        <v>0</v>
      </c>
      <c r="P112" s="187">
        <f t="shared" si="17"/>
        <v>0</v>
      </c>
      <c r="Q112" s="34"/>
      <c r="R112" s="34"/>
      <c r="S112" s="34"/>
      <c r="T112" s="34"/>
      <c r="U112" s="34"/>
      <c r="V112" s="34"/>
      <c r="W112" s="34"/>
      <c r="X112" s="34"/>
      <c r="Y112" s="34"/>
      <c r="Z112" s="34"/>
    </row>
    <row r="113" spans="1:26" ht="23.25" customHeight="1" x14ac:dyDescent="0.2">
      <c r="A113" s="203" t="s">
        <v>317</v>
      </c>
      <c r="B113" s="72" t="s">
        <v>318</v>
      </c>
      <c r="C113" s="185">
        <f>SUMPRODUCT(-('Diário 5º PA'!$E$5:$E$2634='Analítico Cx.'!$B113),-('Diário 5º PA'!$P$5:$P$2634=C$1),('Diário 5º PA'!$F$5:$F$2634))+
SUMPRODUCT(-('Diário 6º PA'!$E$5:$E$2246='Analítico Cx.'!$B113),-('Diário 6º PA'!$P$5:$P$2246=C$1),('Diário 6º PA'!$F$5:$F$2246))+
SUMPRODUCT(-('Diário 7º PA'!$E$5:$E$2271='Analítico Cx.'!$B113),-('Diário 7º PA'!$P$5:$P$2271=C$1),('Diário 7º PA'!$F$5:$F$2271))+
SUMPRODUCT(-('Diário 8º PA'!$E$5:$E$2488='Analítico Cx.'!$B113),-('Diário 8º PA'!$P$5:$P$2488=C$1),('Diário 8º PA'!$F$5:$F$2488))</f>
        <v>0</v>
      </c>
      <c r="D113" s="185">
        <f>SUMPRODUCT(-('Diário 5º PA'!$E$5:$E$2634='Analítico Cx.'!$B113),-('Diário 5º PA'!$P$5:$P$2634=D$1),('Diário 5º PA'!$F$5:$F$2634))+
SUMPRODUCT(-('Diário 6º PA'!$E$5:$E$2246='Analítico Cx.'!$B113),-('Diário 6º PA'!$P$5:$P$2246=D$1),('Diário 6º PA'!$F$5:$F$2246))+
SUMPRODUCT(-('Diário 7º PA'!$E$5:$E$2271='Analítico Cx.'!$B113),-('Diário 7º PA'!$P$5:$P$2271=D$1),('Diário 7º PA'!$F$5:$F$2271))+
SUMPRODUCT(-('Diário 8º PA'!$E$5:$E$2488='Analítico Cx.'!$B113),-('Diário 8º PA'!$P$5:$P$2488=D$1),('Diário 8º PA'!$F$5:$F$2488))</f>
        <v>0</v>
      </c>
      <c r="E113" s="185">
        <f>SUMPRODUCT(-('Diário 5º PA'!$E$5:$E$2634='Analítico Cx.'!$B113),-('Diário 5º PA'!$P$5:$P$2634=E$1),('Diário 5º PA'!$F$5:$F$2634))+
SUMPRODUCT(-('Diário 6º PA'!$E$5:$E$2246='Analítico Cx.'!$B113),-('Diário 6º PA'!$P$5:$P$2246=E$1),('Diário 6º PA'!$F$5:$F$2246))+
SUMPRODUCT(-('Diário 7º PA'!$E$5:$E$2271='Analítico Cx.'!$B113),-('Diário 7º PA'!$P$5:$P$2271=E$1),('Diário 7º PA'!$F$5:$F$2271))+
SUMPRODUCT(-('Diário 8º PA'!$E$5:$E$2488='Analítico Cx.'!$B113),-('Diário 8º PA'!$P$5:$P$2488=E$1),('Diário 8º PA'!$F$5:$F$2488))</f>
        <v>0</v>
      </c>
      <c r="F113" s="185">
        <f>SUMPRODUCT(-('Diário 5º PA'!$E$5:$E$2634='Analítico Cx.'!$B113),-('Diário 5º PA'!$P$5:$P$2634=F$1),('Diário 5º PA'!$F$5:$F$2634))+
SUMPRODUCT(-('Diário 6º PA'!$E$5:$E$2246='Analítico Cx.'!$B113),-('Diário 6º PA'!$P$5:$P$2246=F$1),('Diário 6º PA'!$F$5:$F$2246))+
SUMPRODUCT(-('Diário 7º PA'!$E$5:$E$2271='Analítico Cx.'!$B113),-('Diário 7º PA'!$P$5:$P$2271=F$1),('Diário 7º PA'!$F$5:$F$2271))+
SUMPRODUCT(-('Diário 8º PA'!$E$5:$E$2488='Analítico Cx.'!$B113),-('Diário 8º PA'!$P$5:$P$2488=F$1),('Diário 8º PA'!$F$5:$F$2488))</f>
        <v>0</v>
      </c>
      <c r="G113" s="185">
        <f>SUMPRODUCT(-('Diário 5º PA'!$E$5:$E$2634='Analítico Cx.'!$B113),-('Diário 5º PA'!$P$5:$P$2634=G$1),('Diário 5º PA'!$F$5:$F$2634))+
SUMPRODUCT(-('Diário 6º PA'!$E$5:$E$2246='Analítico Cx.'!$B113),-('Diário 6º PA'!$P$5:$P$2246=G$1),('Diário 6º PA'!$F$5:$F$2246))+
SUMPRODUCT(-('Diário 7º PA'!$E$5:$E$2271='Analítico Cx.'!$B113),-('Diário 7º PA'!$P$5:$P$2271=G$1),('Diário 7º PA'!$F$5:$F$2271))+
SUMPRODUCT(-('Diário 8º PA'!$E$5:$E$2488='Analítico Cx.'!$B113),-('Diário 8º PA'!$P$5:$P$2488=G$1),('Diário 8º PA'!$F$5:$F$2488))</f>
        <v>0</v>
      </c>
      <c r="H113" s="185">
        <f>SUMPRODUCT(-('Diário 5º PA'!$E$5:$E$2634='Analítico Cx.'!$B113),-('Diário 5º PA'!$P$5:$P$2634=H$1),('Diário 5º PA'!$F$5:$F$2634))+
SUMPRODUCT(-('Diário 6º PA'!$E$5:$E$2246='Analítico Cx.'!$B113),-('Diário 6º PA'!$P$5:$P$2246=H$1),('Diário 6º PA'!$F$5:$F$2246))+
SUMPRODUCT(-('Diário 7º PA'!$E$5:$E$2271='Analítico Cx.'!$B113),-('Diário 7º PA'!$P$5:$P$2271=H$1),('Diário 7º PA'!$F$5:$F$2271))+
SUMPRODUCT(-('Diário 8º PA'!$E$5:$E$2488='Analítico Cx.'!$B113),-('Diário 8º PA'!$P$5:$P$2488=H$1),('Diário 8º PA'!$F$5:$F$2488))</f>
        <v>0</v>
      </c>
      <c r="I113" s="185">
        <f>SUMPRODUCT(-('Diário 5º PA'!$E$5:$E$2634='Analítico Cx.'!$B113),-('Diário 5º PA'!$P$5:$P$2634=I$1),('Diário 5º PA'!$F$5:$F$2634))+
SUMPRODUCT(-('Diário 6º PA'!$E$5:$E$2246='Analítico Cx.'!$B113),-('Diário 6º PA'!$P$5:$P$2246=I$1),('Diário 6º PA'!$F$5:$F$2246))+
SUMPRODUCT(-('Diário 7º PA'!$E$5:$E$2271='Analítico Cx.'!$B113),-('Diário 7º PA'!$P$5:$P$2271=I$1),('Diário 7º PA'!$F$5:$F$2271))+
SUMPRODUCT(-('Diário 8º PA'!$E$5:$E$2488='Analítico Cx.'!$B113),-('Diário 8º PA'!$P$5:$P$2488=I$1),('Diário 8º PA'!$F$5:$F$2488))</f>
        <v>0</v>
      </c>
      <c r="J113" s="185">
        <f>SUMPRODUCT(-('Diário 5º PA'!$E$5:$E$2634='Analítico Cx.'!$B113),-('Diário 5º PA'!$P$5:$P$2634=J$1),('Diário 5º PA'!$F$5:$F$2634))+
SUMPRODUCT(-('Diário 6º PA'!$E$5:$E$2246='Analítico Cx.'!$B113),-('Diário 6º PA'!$P$5:$P$2246=J$1),('Diário 6º PA'!$F$5:$F$2246))+
SUMPRODUCT(-('Diário 7º PA'!$E$5:$E$2271='Analítico Cx.'!$B113),-('Diário 7º PA'!$P$5:$P$2271=J$1),('Diário 7º PA'!$F$5:$F$2271))+
SUMPRODUCT(-('Diário 8º PA'!$E$5:$E$2488='Analítico Cx.'!$B113),-('Diário 8º PA'!$P$5:$P$2488=J$1),('Diário 8º PA'!$F$5:$F$2488))</f>
        <v>0</v>
      </c>
      <c r="K113" s="185">
        <f>SUMPRODUCT(-('Diário 5º PA'!$E$5:$E$2634='Analítico Cx.'!$B113),-('Diário 5º PA'!$P$5:$P$2634=K$1),('Diário 5º PA'!$F$5:$F$2634))+
SUMPRODUCT(-('Diário 6º PA'!$E$5:$E$2246='Analítico Cx.'!$B113),-('Diário 6º PA'!$P$5:$P$2246=K$1),('Diário 6º PA'!$F$5:$F$2246))+
SUMPRODUCT(-('Diário 7º PA'!$E$5:$E$2271='Analítico Cx.'!$B113),-('Diário 7º PA'!$P$5:$P$2271=K$1),('Diário 7º PA'!$F$5:$F$2271))+
SUMPRODUCT(-('Diário 8º PA'!$E$5:$E$2488='Analítico Cx.'!$B113),-('Diário 8º PA'!$P$5:$P$2488=K$1),('Diário 8º PA'!$F$5:$F$2488))</f>
        <v>0</v>
      </c>
      <c r="L113" s="185">
        <f>SUMPRODUCT(-('Diário 5º PA'!$E$5:$E$2634='Analítico Cx.'!$B113),-('Diário 5º PA'!$P$5:$P$2634=L$1),('Diário 5º PA'!$F$5:$F$2634))+
SUMPRODUCT(-('Diário 6º PA'!$E$5:$E$2246='Analítico Cx.'!$B113),-('Diário 6º PA'!$P$5:$P$2246=L$1),('Diário 6º PA'!$F$5:$F$2246))+
SUMPRODUCT(-('Diário 7º PA'!$E$5:$E$2271='Analítico Cx.'!$B113),-('Diário 7º PA'!$P$5:$P$2271=L$1),('Diário 7º PA'!$F$5:$F$2271))+
SUMPRODUCT(-('Diário 8º PA'!$E$5:$E$2488='Analítico Cx.'!$B113),-('Diário 8º PA'!$P$5:$P$2488=L$1),('Diário 8º PA'!$F$5:$F$2488))</f>
        <v>0</v>
      </c>
      <c r="M113" s="185">
        <f>SUMPRODUCT(-('Diário 5º PA'!$E$5:$E$2634='Analítico Cx.'!$B113),-('Diário 5º PA'!$P$5:$P$2634=M$1),('Diário 5º PA'!$F$5:$F$2634))+
SUMPRODUCT(-('Diário 6º PA'!$E$5:$E$2246='Analítico Cx.'!$B113),-('Diário 6º PA'!$P$5:$P$2246=M$1),('Diário 6º PA'!$F$5:$F$2246))+
SUMPRODUCT(-('Diário 7º PA'!$E$5:$E$2271='Analítico Cx.'!$B113),-('Diário 7º PA'!$P$5:$P$2271=M$1),('Diário 7º PA'!$F$5:$F$2271))+
SUMPRODUCT(-('Diário 8º PA'!$E$5:$E$2488='Analítico Cx.'!$B113),-('Diário 8º PA'!$P$5:$P$2488=M$1),('Diário 8º PA'!$F$5:$F$2488))</f>
        <v>0</v>
      </c>
      <c r="N113" s="185">
        <f>SUMPRODUCT(-('Diário 5º PA'!$E$5:$E$2634='Analítico Cx.'!$B113),-('Diário 5º PA'!$P$5:$P$2634=N$1),('Diário 5º PA'!$F$5:$F$2634))+
SUMPRODUCT(-('Diário 6º PA'!$E$5:$E$2246='Analítico Cx.'!$B113),-('Diário 6º PA'!$P$5:$P$2246=N$1),('Diário 6º PA'!$F$5:$F$2246))+
SUMPRODUCT(-('Diário 7º PA'!$E$5:$E$2271='Analítico Cx.'!$B113),-('Diário 7º PA'!$P$5:$P$2271=N$1),('Diário 7º PA'!$F$5:$F$2271))+
SUMPRODUCT(-('Diário 8º PA'!$E$5:$E$2488='Analítico Cx.'!$B113),-('Diário 8º PA'!$P$5:$P$2488=N$1),('Diário 8º PA'!$F$5:$F$2488))</f>
        <v>0</v>
      </c>
      <c r="O113" s="186">
        <f t="shared" si="16"/>
        <v>0</v>
      </c>
      <c r="P113" s="187">
        <f t="shared" si="17"/>
        <v>0</v>
      </c>
      <c r="Q113" s="34"/>
      <c r="R113" s="34"/>
      <c r="S113" s="34"/>
      <c r="T113" s="34"/>
      <c r="U113" s="34"/>
      <c r="V113" s="34"/>
      <c r="W113" s="34"/>
      <c r="X113" s="34"/>
      <c r="Y113" s="34"/>
      <c r="Z113" s="34"/>
    </row>
    <row r="114" spans="1:26" ht="23.25" customHeight="1" x14ac:dyDescent="0.2">
      <c r="A114" s="203" t="s">
        <v>319</v>
      </c>
      <c r="B114" s="72" t="s">
        <v>320</v>
      </c>
      <c r="C114" s="185">
        <f>SUMPRODUCT(-('Diário 5º PA'!$E$5:$E$2634='Analítico Cx.'!$B114),-('Diário 5º PA'!$P$5:$P$2634=C$1),('Diário 5º PA'!$F$5:$F$2634))+
SUMPRODUCT(-('Diário 6º PA'!$E$5:$E$2246='Analítico Cx.'!$B114),-('Diário 6º PA'!$P$5:$P$2246=C$1),('Diário 6º PA'!$F$5:$F$2246))+
SUMPRODUCT(-('Diário 7º PA'!$E$5:$E$2271='Analítico Cx.'!$B114),-('Diário 7º PA'!$P$5:$P$2271=C$1),('Diário 7º PA'!$F$5:$F$2271))+
SUMPRODUCT(-('Diário 8º PA'!$E$5:$E$2488='Analítico Cx.'!$B114),-('Diário 8º PA'!$P$5:$P$2488=C$1),('Diário 8º PA'!$F$5:$F$2488))</f>
        <v>0</v>
      </c>
      <c r="D114" s="185">
        <f>SUMPRODUCT(-('Diário 5º PA'!$E$5:$E$2634='Analítico Cx.'!$B114),-('Diário 5º PA'!$P$5:$P$2634=D$1),('Diário 5º PA'!$F$5:$F$2634))+
SUMPRODUCT(-('Diário 6º PA'!$E$5:$E$2246='Analítico Cx.'!$B114),-('Diário 6º PA'!$P$5:$P$2246=D$1),('Diário 6º PA'!$F$5:$F$2246))+
SUMPRODUCT(-('Diário 7º PA'!$E$5:$E$2271='Analítico Cx.'!$B114),-('Diário 7º PA'!$P$5:$P$2271=D$1),('Diário 7º PA'!$F$5:$F$2271))+
SUMPRODUCT(-('Diário 8º PA'!$E$5:$E$2488='Analítico Cx.'!$B114),-('Diário 8º PA'!$P$5:$P$2488=D$1),('Diário 8º PA'!$F$5:$F$2488))</f>
        <v>0</v>
      </c>
      <c r="E114" s="185">
        <f>SUMPRODUCT(-('Diário 5º PA'!$E$5:$E$2634='Analítico Cx.'!$B114),-('Diário 5º PA'!$P$5:$P$2634=E$1),('Diário 5º PA'!$F$5:$F$2634))+
SUMPRODUCT(-('Diário 6º PA'!$E$5:$E$2246='Analítico Cx.'!$B114),-('Diário 6º PA'!$P$5:$P$2246=E$1),('Diário 6º PA'!$F$5:$F$2246))+
SUMPRODUCT(-('Diário 7º PA'!$E$5:$E$2271='Analítico Cx.'!$B114),-('Diário 7º PA'!$P$5:$P$2271=E$1),('Diário 7º PA'!$F$5:$F$2271))+
SUMPRODUCT(-('Diário 8º PA'!$E$5:$E$2488='Analítico Cx.'!$B114),-('Diário 8º PA'!$P$5:$P$2488=E$1),('Diário 8º PA'!$F$5:$F$2488))</f>
        <v>0</v>
      </c>
      <c r="F114" s="185">
        <f>SUMPRODUCT(-('Diário 5º PA'!$E$5:$E$2634='Analítico Cx.'!$B114),-('Diário 5º PA'!$P$5:$P$2634=F$1),('Diário 5º PA'!$F$5:$F$2634))+
SUMPRODUCT(-('Diário 6º PA'!$E$5:$E$2246='Analítico Cx.'!$B114),-('Diário 6º PA'!$P$5:$P$2246=F$1),('Diário 6º PA'!$F$5:$F$2246))+
SUMPRODUCT(-('Diário 7º PA'!$E$5:$E$2271='Analítico Cx.'!$B114),-('Diário 7º PA'!$P$5:$P$2271=F$1),('Diário 7º PA'!$F$5:$F$2271))+
SUMPRODUCT(-('Diário 8º PA'!$E$5:$E$2488='Analítico Cx.'!$B114),-('Diário 8º PA'!$P$5:$P$2488=F$1),('Diário 8º PA'!$F$5:$F$2488))</f>
        <v>0</v>
      </c>
      <c r="G114" s="185">
        <f>SUMPRODUCT(-('Diário 5º PA'!$E$5:$E$2634='Analítico Cx.'!$B114),-('Diário 5º PA'!$P$5:$P$2634=G$1),('Diário 5º PA'!$F$5:$F$2634))+
SUMPRODUCT(-('Diário 6º PA'!$E$5:$E$2246='Analítico Cx.'!$B114),-('Diário 6º PA'!$P$5:$P$2246=G$1),('Diário 6º PA'!$F$5:$F$2246))+
SUMPRODUCT(-('Diário 7º PA'!$E$5:$E$2271='Analítico Cx.'!$B114),-('Diário 7º PA'!$P$5:$P$2271=G$1),('Diário 7º PA'!$F$5:$F$2271))+
SUMPRODUCT(-('Diário 8º PA'!$E$5:$E$2488='Analítico Cx.'!$B114),-('Diário 8º PA'!$P$5:$P$2488=G$1),('Diário 8º PA'!$F$5:$F$2488))</f>
        <v>0</v>
      </c>
      <c r="H114" s="185">
        <f>SUMPRODUCT(-('Diário 5º PA'!$E$5:$E$2634='Analítico Cx.'!$B114),-('Diário 5º PA'!$P$5:$P$2634=H$1),('Diário 5º PA'!$F$5:$F$2634))+
SUMPRODUCT(-('Diário 6º PA'!$E$5:$E$2246='Analítico Cx.'!$B114),-('Diário 6º PA'!$P$5:$P$2246=H$1),('Diário 6º PA'!$F$5:$F$2246))+
SUMPRODUCT(-('Diário 7º PA'!$E$5:$E$2271='Analítico Cx.'!$B114),-('Diário 7º PA'!$P$5:$P$2271=H$1),('Diário 7º PA'!$F$5:$F$2271))+
SUMPRODUCT(-('Diário 8º PA'!$E$5:$E$2488='Analítico Cx.'!$B114),-('Diário 8º PA'!$P$5:$P$2488=H$1),('Diário 8º PA'!$F$5:$F$2488))</f>
        <v>0</v>
      </c>
      <c r="I114" s="185">
        <f>SUMPRODUCT(-('Diário 5º PA'!$E$5:$E$2634='Analítico Cx.'!$B114),-('Diário 5º PA'!$P$5:$P$2634=I$1),('Diário 5º PA'!$F$5:$F$2634))+
SUMPRODUCT(-('Diário 6º PA'!$E$5:$E$2246='Analítico Cx.'!$B114),-('Diário 6º PA'!$P$5:$P$2246=I$1),('Diário 6º PA'!$F$5:$F$2246))+
SUMPRODUCT(-('Diário 7º PA'!$E$5:$E$2271='Analítico Cx.'!$B114),-('Diário 7º PA'!$P$5:$P$2271=I$1),('Diário 7º PA'!$F$5:$F$2271))+
SUMPRODUCT(-('Diário 8º PA'!$E$5:$E$2488='Analítico Cx.'!$B114),-('Diário 8º PA'!$P$5:$P$2488=I$1),('Diário 8º PA'!$F$5:$F$2488))</f>
        <v>0</v>
      </c>
      <c r="J114" s="185">
        <f>SUMPRODUCT(-('Diário 5º PA'!$E$5:$E$2634='Analítico Cx.'!$B114),-('Diário 5º PA'!$P$5:$P$2634=J$1),('Diário 5º PA'!$F$5:$F$2634))+
SUMPRODUCT(-('Diário 6º PA'!$E$5:$E$2246='Analítico Cx.'!$B114),-('Diário 6º PA'!$P$5:$P$2246=J$1),('Diário 6º PA'!$F$5:$F$2246))+
SUMPRODUCT(-('Diário 7º PA'!$E$5:$E$2271='Analítico Cx.'!$B114),-('Diário 7º PA'!$P$5:$P$2271=J$1),('Diário 7º PA'!$F$5:$F$2271))+
SUMPRODUCT(-('Diário 8º PA'!$E$5:$E$2488='Analítico Cx.'!$B114),-('Diário 8º PA'!$P$5:$P$2488=J$1),('Diário 8º PA'!$F$5:$F$2488))</f>
        <v>0</v>
      </c>
      <c r="K114" s="185">
        <f>SUMPRODUCT(-('Diário 5º PA'!$E$5:$E$2634='Analítico Cx.'!$B114),-('Diário 5º PA'!$P$5:$P$2634=K$1),('Diário 5º PA'!$F$5:$F$2634))+
SUMPRODUCT(-('Diário 6º PA'!$E$5:$E$2246='Analítico Cx.'!$B114),-('Diário 6º PA'!$P$5:$P$2246=K$1),('Diário 6º PA'!$F$5:$F$2246))+
SUMPRODUCT(-('Diário 7º PA'!$E$5:$E$2271='Analítico Cx.'!$B114),-('Diário 7º PA'!$P$5:$P$2271=K$1),('Diário 7º PA'!$F$5:$F$2271))+
SUMPRODUCT(-('Diário 8º PA'!$E$5:$E$2488='Analítico Cx.'!$B114),-('Diário 8º PA'!$P$5:$P$2488=K$1),('Diário 8º PA'!$F$5:$F$2488))</f>
        <v>0</v>
      </c>
      <c r="L114" s="185">
        <f>SUMPRODUCT(-('Diário 5º PA'!$E$5:$E$2634='Analítico Cx.'!$B114),-('Diário 5º PA'!$P$5:$P$2634=L$1),('Diário 5º PA'!$F$5:$F$2634))+
SUMPRODUCT(-('Diário 6º PA'!$E$5:$E$2246='Analítico Cx.'!$B114),-('Diário 6º PA'!$P$5:$P$2246=L$1),('Diário 6º PA'!$F$5:$F$2246))+
SUMPRODUCT(-('Diário 7º PA'!$E$5:$E$2271='Analítico Cx.'!$B114),-('Diário 7º PA'!$P$5:$P$2271=L$1),('Diário 7º PA'!$F$5:$F$2271))+
SUMPRODUCT(-('Diário 8º PA'!$E$5:$E$2488='Analítico Cx.'!$B114),-('Diário 8º PA'!$P$5:$P$2488=L$1),('Diário 8º PA'!$F$5:$F$2488))</f>
        <v>0</v>
      </c>
      <c r="M114" s="185">
        <f>SUMPRODUCT(-('Diário 5º PA'!$E$5:$E$2634='Analítico Cx.'!$B114),-('Diário 5º PA'!$P$5:$P$2634=M$1),('Diário 5º PA'!$F$5:$F$2634))+
SUMPRODUCT(-('Diário 6º PA'!$E$5:$E$2246='Analítico Cx.'!$B114),-('Diário 6º PA'!$P$5:$P$2246=M$1),('Diário 6º PA'!$F$5:$F$2246))+
SUMPRODUCT(-('Diário 7º PA'!$E$5:$E$2271='Analítico Cx.'!$B114),-('Diário 7º PA'!$P$5:$P$2271=M$1),('Diário 7º PA'!$F$5:$F$2271))+
SUMPRODUCT(-('Diário 8º PA'!$E$5:$E$2488='Analítico Cx.'!$B114),-('Diário 8º PA'!$P$5:$P$2488=M$1),('Diário 8º PA'!$F$5:$F$2488))</f>
        <v>0</v>
      </c>
      <c r="N114" s="185">
        <f>SUMPRODUCT(-('Diário 5º PA'!$E$5:$E$2634='Analítico Cx.'!$B114),-('Diário 5º PA'!$P$5:$P$2634=N$1),('Diário 5º PA'!$F$5:$F$2634))+
SUMPRODUCT(-('Diário 6º PA'!$E$5:$E$2246='Analítico Cx.'!$B114),-('Diário 6º PA'!$P$5:$P$2246=N$1),('Diário 6º PA'!$F$5:$F$2246))+
SUMPRODUCT(-('Diário 7º PA'!$E$5:$E$2271='Analítico Cx.'!$B114),-('Diário 7º PA'!$P$5:$P$2271=N$1),('Diário 7º PA'!$F$5:$F$2271))+
SUMPRODUCT(-('Diário 8º PA'!$E$5:$E$2488='Analítico Cx.'!$B114),-('Diário 8º PA'!$P$5:$P$2488=N$1),('Diário 8º PA'!$F$5:$F$2488))</f>
        <v>0</v>
      </c>
      <c r="O114" s="186">
        <f t="shared" si="16"/>
        <v>0</v>
      </c>
      <c r="P114" s="187">
        <f t="shared" si="17"/>
        <v>0</v>
      </c>
      <c r="Q114" s="34"/>
      <c r="R114" s="34"/>
      <c r="S114" s="34"/>
      <c r="T114" s="34"/>
      <c r="U114" s="34"/>
      <c r="V114" s="34"/>
      <c r="W114" s="34"/>
      <c r="X114" s="34"/>
      <c r="Y114" s="34"/>
      <c r="Z114" s="34"/>
    </row>
    <row r="115" spans="1:26" ht="23.25" customHeight="1" x14ac:dyDescent="0.2">
      <c r="A115" s="203" t="s">
        <v>321</v>
      </c>
      <c r="B115" s="72" t="s">
        <v>322</v>
      </c>
      <c r="C115" s="185">
        <f>SUMPRODUCT(-('Diário 5º PA'!$E$5:$E$2634='Analítico Cx.'!$B115),-('Diário 5º PA'!$P$5:$P$2634=C$1),('Diário 5º PA'!$F$5:$F$2634))+
SUMPRODUCT(-('Diário 6º PA'!$E$5:$E$2246='Analítico Cx.'!$B115),-('Diário 6º PA'!$P$5:$P$2246=C$1),('Diário 6º PA'!$F$5:$F$2246))+
SUMPRODUCT(-('Diário 7º PA'!$E$5:$E$2271='Analítico Cx.'!$B115),-('Diário 7º PA'!$P$5:$P$2271=C$1),('Diário 7º PA'!$F$5:$F$2271))+
SUMPRODUCT(-('Diário 8º PA'!$E$5:$E$2488='Analítico Cx.'!$B115),-('Diário 8º PA'!$P$5:$P$2488=C$1),('Diário 8º PA'!$F$5:$F$2488))</f>
        <v>0</v>
      </c>
      <c r="D115" s="185">
        <f>SUMPRODUCT(-('Diário 5º PA'!$E$5:$E$2634='Analítico Cx.'!$B115),-('Diário 5º PA'!$P$5:$P$2634=D$1),('Diário 5º PA'!$F$5:$F$2634))+
SUMPRODUCT(-('Diário 6º PA'!$E$5:$E$2246='Analítico Cx.'!$B115),-('Diário 6º PA'!$P$5:$P$2246=D$1),('Diário 6º PA'!$F$5:$F$2246))+
SUMPRODUCT(-('Diário 7º PA'!$E$5:$E$2271='Analítico Cx.'!$B115),-('Diário 7º PA'!$P$5:$P$2271=D$1),('Diário 7º PA'!$F$5:$F$2271))+
SUMPRODUCT(-('Diário 8º PA'!$E$5:$E$2488='Analítico Cx.'!$B115),-('Diário 8º PA'!$P$5:$P$2488=D$1),('Diário 8º PA'!$F$5:$F$2488))</f>
        <v>0</v>
      </c>
      <c r="E115" s="185">
        <f>SUMPRODUCT(-('Diário 5º PA'!$E$5:$E$2634='Analítico Cx.'!$B115),-('Diário 5º PA'!$P$5:$P$2634=E$1),('Diário 5º PA'!$F$5:$F$2634))+
SUMPRODUCT(-('Diário 6º PA'!$E$5:$E$2246='Analítico Cx.'!$B115),-('Diário 6º PA'!$P$5:$P$2246=E$1),('Diário 6º PA'!$F$5:$F$2246))+
SUMPRODUCT(-('Diário 7º PA'!$E$5:$E$2271='Analítico Cx.'!$B115),-('Diário 7º PA'!$P$5:$P$2271=E$1),('Diário 7º PA'!$F$5:$F$2271))+
SUMPRODUCT(-('Diário 8º PA'!$E$5:$E$2488='Analítico Cx.'!$B115),-('Diário 8º PA'!$P$5:$P$2488=E$1),('Diário 8º PA'!$F$5:$F$2488))</f>
        <v>0</v>
      </c>
      <c r="F115" s="185">
        <f>SUMPRODUCT(-('Diário 5º PA'!$E$5:$E$2634='Analítico Cx.'!$B115),-('Diário 5º PA'!$P$5:$P$2634=F$1),('Diário 5º PA'!$F$5:$F$2634))+
SUMPRODUCT(-('Diário 6º PA'!$E$5:$E$2246='Analítico Cx.'!$B115),-('Diário 6º PA'!$P$5:$P$2246=F$1),('Diário 6º PA'!$F$5:$F$2246))+
SUMPRODUCT(-('Diário 7º PA'!$E$5:$E$2271='Analítico Cx.'!$B115),-('Diário 7º PA'!$P$5:$P$2271=F$1),('Diário 7º PA'!$F$5:$F$2271))+
SUMPRODUCT(-('Diário 8º PA'!$E$5:$E$2488='Analítico Cx.'!$B115),-('Diário 8º PA'!$P$5:$P$2488=F$1),('Diário 8º PA'!$F$5:$F$2488))</f>
        <v>0</v>
      </c>
      <c r="G115" s="185">
        <f>SUMPRODUCT(-('Diário 5º PA'!$E$5:$E$2634='Analítico Cx.'!$B115),-('Diário 5º PA'!$P$5:$P$2634=G$1),('Diário 5º PA'!$F$5:$F$2634))+
SUMPRODUCT(-('Diário 6º PA'!$E$5:$E$2246='Analítico Cx.'!$B115),-('Diário 6º PA'!$P$5:$P$2246=G$1),('Diário 6º PA'!$F$5:$F$2246))+
SUMPRODUCT(-('Diário 7º PA'!$E$5:$E$2271='Analítico Cx.'!$B115),-('Diário 7º PA'!$P$5:$P$2271=G$1),('Diário 7º PA'!$F$5:$F$2271))+
SUMPRODUCT(-('Diário 8º PA'!$E$5:$E$2488='Analítico Cx.'!$B115),-('Diário 8º PA'!$P$5:$P$2488=G$1),('Diário 8º PA'!$F$5:$F$2488))</f>
        <v>0</v>
      </c>
      <c r="H115" s="185">
        <f>SUMPRODUCT(-('Diário 5º PA'!$E$5:$E$2634='Analítico Cx.'!$B115),-('Diário 5º PA'!$P$5:$P$2634=H$1),('Diário 5º PA'!$F$5:$F$2634))+
SUMPRODUCT(-('Diário 6º PA'!$E$5:$E$2246='Analítico Cx.'!$B115),-('Diário 6º PA'!$P$5:$P$2246=H$1),('Diário 6º PA'!$F$5:$F$2246))+
SUMPRODUCT(-('Diário 7º PA'!$E$5:$E$2271='Analítico Cx.'!$B115),-('Diário 7º PA'!$P$5:$P$2271=H$1),('Diário 7º PA'!$F$5:$F$2271))+
SUMPRODUCT(-('Diário 8º PA'!$E$5:$E$2488='Analítico Cx.'!$B115),-('Diário 8º PA'!$P$5:$P$2488=H$1),('Diário 8º PA'!$F$5:$F$2488))</f>
        <v>0</v>
      </c>
      <c r="I115" s="185">
        <f>SUMPRODUCT(-('Diário 5º PA'!$E$5:$E$2634='Analítico Cx.'!$B115),-('Diário 5º PA'!$P$5:$P$2634=I$1),('Diário 5º PA'!$F$5:$F$2634))+
SUMPRODUCT(-('Diário 6º PA'!$E$5:$E$2246='Analítico Cx.'!$B115),-('Diário 6º PA'!$P$5:$P$2246=I$1),('Diário 6º PA'!$F$5:$F$2246))+
SUMPRODUCT(-('Diário 7º PA'!$E$5:$E$2271='Analítico Cx.'!$B115),-('Diário 7º PA'!$P$5:$P$2271=I$1),('Diário 7º PA'!$F$5:$F$2271))+
SUMPRODUCT(-('Diário 8º PA'!$E$5:$E$2488='Analítico Cx.'!$B115),-('Diário 8º PA'!$P$5:$P$2488=I$1),('Diário 8º PA'!$F$5:$F$2488))</f>
        <v>0</v>
      </c>
      <c r="J115" s="185">
        <f>SUMPRODUCT(-('Diário 5º PA'!$E$5:$E$2634='Analítico Cx.'!$B115),-('Diário 5º PA'!$P$5:$P$2634=J$1),('Diário 5º PA'!$F$5:$F$2634))+
SUMPRODUCT(-('Diário 6º PA'!$E$5:$E$2246='Analítico Cx.'!$B115),-('Diário 6º PA'!$P$5:$P$2246=J$1),('Diário 6º PA'!$F$5:$F$2246))+
SUMPRODUCT(-('Diário 7º PA'!$E$5:$E$2271='Analítico Cx.'!$B115),-('Diário 7º PA'!$P$5:$P$2271=J$1),('Diário 7º PA'!$F$5:$F$2271))+
SUMPRODUCT(-('Diário 8º PA'!$E$5:$E$2488='Analítico Cx.'!$B115),-('Diário 8º PA'!$P$5:$P$2488=J$1),('Diário 8º PA'!$F$5:$F$2488))</f>
        <v>0</v>
      </c>
      <c r="K115" s="185">
        <f>SUMPRODUCT(-('Diário 5º PA'!$E$5:$E$2634='Analítico Cx.'!$B115),-('Diário 5º PA'!$P$5:$P$2634=K$1),('Diário 5º PA'!$F$5:$F$2634))+
SUMPRODUCT(-('Diário 6º PA'!$E$5:$E$2246='Analítico Cx.'!$B115),-('Diário 6º PA'!$P$5:$P$2246=K$1),('Diário 6º PA'!$F$5:$F$2246))+
SUMPRODUCT(-('Diário 7º PA'!$E$5:$E$2271='Analítico Cx.'!$B115),-('Diário 7º PA'!$P$5:$P$2271=K$1),('Diário 7º PA'!$F$5:$F$2271))+
SUMPRODUCT(-('Diário 8º PA'!$E$5:$E$2488='Analítico Cx.'!$B115),-('Diário 8º PA'!$P$5:$P$2488=K$1),('Diário 8º PA'!$F$5:$F$2488))</f>
        <v>0</v>
      </c>
      <c r="L115" s="185">
        <f>SUMPRODUCT(-('Diário 5º PA'!$E$5:$E$2634='Analítico Cx.'!$B115),-('Diário 5º PA'!$P$5:$P$2634=L$1),('Diário 5º PA'!$F$5:$F$2634))+
SUMPRODUCT(-('Diário 6º PA'!$E$5:$E$2246='Analítico Cx.'!$B115),-('Diário 6º PA'!$P$5:$P$2246=L$1),('Diário 6º PA'!$F$5:$F$2246))+
SUMPRODUCT(-('Diário 7º PA'!$E$5:$E$2271='Analítico Cx.'!$B115),-('Diário 7º PA'!$P$5:$P$2271=L$1),('Diário 7º PA'!$F$5:$F$2271))+
SUMPRODUCT(-('Diário 8º PA'!$E$5:$E$2488='Analítico Cx.'!$B115),-('Diário 8º PA'!$P$5:$P$2488=L$1),('Diário 8º PA'!$F$5:$F$2488))</f>
        <v>0</v>
      </c>
      <c r="M115" s="185">
        <f>SUMPRODUCT(-('Diário 5º PA'!$E$5:$E$2634='Analítico Cx.'!$B115),-('Diário 5º PA'!$P$5:$P$2634=M$1),('Diário 5º PA'!$F$5:$F$2634))+
SUMPRODUCT(-('Diário 6º PA'!$E$5:$E$2246='Analítico Cx.'!$B115),-('Diário 6º PA'!$P$5:$P$2246=M$1),('Diário 6º PA'!$F$5:$F$2246))+
SUMPRODUCT(-('Diário 7º PA'!$E$5:$E$2271='Analítico Cx.'!$B115),-('Diário 7º PA'!$P$5:$P$2271=M$1),('Diário 7º PA'!$F$5:$F$2271))+
SUMPRODUCT(-('Diário 8º PA'!$E$5:$E$2488='Analítico Cx.'!$B115),-('Diário 8º PA'!$P$5:$P$2488=M$1),('Diário 8º PA'!$F$5:$F$2488))</f>
        <v>0</v>
      </c>
      <c r="N115" s="185">
        <f>SUMPRODUCT(-('Diário 5º PA'!$E$5:$E$2634='Analítico Cx.'!$B115),-('Diário 5º PA'!$P$5:$P$2634=N$1),('Diário 5º PA'!$F$5:$F$2634))+
SUMPRODUCT(-('Diário 6º PA'!$E$5:$E$2246='Analítico Cx.'!$B115),-('Diário 6º PA'!$P$5:$P$2246=N$1),('Diário 6º PA'!$F$5:$F$2246))+
SUMPRODUCT(-('Diário 7º PA'!$E$5:$E$2271='Analítico Cx.'!$B115),-('Diário 7º PA'!$P$5:$P$2271=N$1),('Diário 7º PA'!$F$5:$F$2271))+
SUMPRODUCT(-('Diário 8º PA'!$E$5:$E$2488='Analítico Cx.'!$B115),-('Diário 8º PA'!$P$5:$P$2488=N$1),('Diário 8º PA'!$F$5:$F$2488))</f>
        <v>0</v>
      </c>
      <c r="O115" s="186">
        <f t="shared" si="16"/>
        <v>0</v>
      </c>
      <c r="P115" s="187">
        <f t="shared" si="17"/>
        <v>0</v>
      </c>
      <c r="Q115" s="34"/>
      <c r="R115" s="34"/>
      <c r="S115" s="34"/>
      <c r="T115" s="34"/>
      <c r="U115" s="34"/>
      <c r="V115" s="34"/>
      <c r="W115" s="34"/>
      <c r="X115" s="34"/>
      <c r="Y115" s="34"/>
      <c r="Z115" s="34"/>
    </row>
    <row r="116" spans="1:26" ht="23.25" customHeight="1" x14ac:dyDescent="0.2">
      <c r="A116" s="203" t="s">
        <v>323</v>
      </c>
      <c r="B116" s="72" t="s">
        <v>324</v>
      </c>
      <c r="C116" s="185">
        <f>SUMPRODUCT(-('Diário 5º PA'!$E$5:$E$2634='Analítico Cx.'!$B116),-('Diário 5º PA'!$P$5:$P$2634=C$1),('Diário 5º PA'!$F$5:$F$2634))+
SUMPRODUCT(-('Diário 6º PA'!$E$5:$E$2246='Analítico Cx.'!$B116),-('Diário 6º PA'!$P$5:$P$2246=C$1),('Diário 6º PA'!$F$5:$F$2246))+
SUMPRODUCT(-('Diário 7º PA'!$E$5:$E$2271='Analítico Cx.'!$B116),-('Diário 7º PA'!$P$5:$P$2271=C$1),('Diário 7º PA'!$F$5:$F$2271))+
SUMPRODUCT(-('Diário 8º PA'!$E$5:$E$2488='Analítico Cx.'!$B116),-('Diário 8º PA'!$P$5:$P$2488=C$1),('Diário 8º PA'!$F$5:$F$2488))</f>
        <v>0</v>
      </c>
      <c r="D116" s="185">
        <f>SUMPRODUCT(-('Diário 5º PA'!$E$5:$E$2634='Analítico Cx.'!$B116),-('Diário 5º PA'!$P$5:$P$2634=D$1),('Diário 5º PA'!$F$5:$F$2634))+
SUMPRODUCT(-('Diário 6º PA'!$E$5:$E$2246='Analítico Cx.'!$B116),-('Diário 6º PA'!$P$5:$P$2246=D$1),('Diário 6º PA'!$F$5:$F$2246))+
SUMPRODUCT(-('Diário 7º PA'!$E$5:$E$2271='Analítico Cx.'!$B116),-('Diário 7º PA'!$P$5:$P$2271=D$1),('Diário 7º PA'!$F$5:$F$2271))+
SUMPRODUCT(-('Diário 8º PA'!$E$5:$E$2488='Analítico Cx.'!$B116),-('Diário 8º PA'!$P$5:$P$2488=D$1),('Diário 8º PA'!$F$5:$F$2488))</f>
        <v>0</v>
      </c>
      <c r="E116" s="185">
        <f>SUMPRODUCT(-('Diário 5º PA'!$E$5:$E$2634='Analítico Cx.'!$B116),-('Diário 5º PA'!$P$5:$P$2634=E$1),('Diário 5º PA'!$F$5:$F$2634))+
SUMPRODUCT(-('Diário 6º PA'!$E$5:$E$2246='Analítico Cx.'!$B116),-('Diário 6º PA'!$P$5:$P$2246=E$1),('Diário 6º PA'!$F$5:$F$2246))+
SUMPRODUCT(-('Diário 7º PA'!$E$5:$E$2271='Analítico Cx.'!$B116),-('Diário 7º PA'!$P$5:$P$2271=E$1),('Diário 7º PA'!$F$5:$F$2271))+
SUMPRODUCT(-('Diário 8º PA'!$E$5:$E$2488='Analítico Cx.'!$B116),-('Diário 8º PA'!$P$5:$P$2488=E$1),('Diário 8º PA'!$F$5:$F$2488))</f>
        <v>0</v>
      </c>
      <c r="F116" s="185">
        <f>SUMPRODUCT(-('Diário 5º PA'!$E$5:$E$2634='Analítico Cx.'!$B116),-('Diário 5º PA'!$P$5:$P$2634=F$1),('Diário 5º PA'!$F$5:$F$2634))+
SUMPRODUCT(-('Diário 6º PA'!$E$5:$E$2246='Analítico Cx.'!$B116),-('Diário 6º PA'!$P$5:$P$2246=F$1),('Diário 6º PA'!$F$5:$F$2246))+
SUMPRODUCT(-('Diário 7º PA'!$E$5:$E$2271='Analítico Cx.'!$B116),-('Diário 7º PA'!$P$5:$P$2271=F$1),('Diário 7º PA'!$F$5:$F$2271))+
SUMPRODUCT(-('Diário 8º PA'!$E$5:$E$2488='Analítico Cx.'!$B116),-('Diário 8º PA'!$P$5:$P$2488=F$1),('Diário 8º PA'!$F$5:$F$2488))</f>
        <v>0</v>
      </c>
      <c r="G116" s="185">
        <f>SUMPRODUCT(-('Diário 5º PA'!$E$5:$E$2634='Analítico Cx.'!$B116),-('Diário 5º PA'!$P$5:$P$2634=G$1),('Diário 5º PA'!$F$5:$F$2634))+
SUMPRODUCT(-('Diário 6º PA'!$E$5:$E$2246='Analítico Cx.'!$B116),-('Diário 6º PA'!$P$5:$P$2246=G$1),('Diário 6º PA'!$F$5:$F$2246))+
SUMPRODUCT(-('Diário 7º PA'!$E$5:$E$2271='Analítico Cx.'!$B116),-('Diário 7º PA'!$P$5:$P$2271=G$1),('Diário 7º PA'!$F$5:$F$2271))+
SUMPRODUCT(-('Diário 8º PA'!$E$5:$E$2488='Analítico Cx.'!$B116),-('Diário 8º PA'!$P$5:$P$2488=G$1),('Diário 8º PA'!$F$5:$F$2488))</f>
        <v>0</v>
      </c>
      <c r="H116" s="185">
        <f>SUMPRODUCT(-('Diário 5º PA'!$E$5:$E$2634='Analítico Cx.'!$B116),-('Diário 5º PA'!$P$5:$P$2634=H$1),('Diário 5º PA'!$F$5:$F$2634))+
SUMPRODUCT(-('Diário 6º PA'!$E$5:$E$2246='Analítico Cx.'!$B116),-('Diário 6º PA'!$P$5:$P$2246=H$1),('Diário 6º PA'!$F$5:$F$2246))+
SUMPRODUCT(-('Diário 7º PA'!$E$5:$E$2271='Analítico Cx.'!$B116),-('Diário 7º PA'!$P$5:$P$2271=H$1),('Diário 7º PA'!$F$5:$F$2271))+
SUMPRODUCT(-('Diário 8º PA'!$E$5:$E$2488='Analítico Cx.'!$B116),-('Diário 8º PA'!$P$5:$P$2488=H$1),('Diário 8º PA'!$F$5:$F$2488))</f>
        <v>0</v>
      </c>
      <c r="I116" s="185">
        <f>SUMPRODUCT(-('Diário 5º PA'!$E$5:$E$2634='Analítico Cx.'!$B116),-('Diário 5º PA'!$P$5:$P$2634=I$1),('Diário 5º PA'!$F$5:$F$2634))+
SUMPRODUCT(-('Diário 6º PA'!$E$5:$E$2246='Analítico Cx.'!$B116),-('Diário 6º PA'!$P$5:$P$2246=I$1),('Diário 6º PA'!$F$5:$F$2246))+
SUMPRODUCT(-('Diário 7º PA'!$E$5:$E$2271='Analítico Cx.'!$B116),-('Diário 7º PA'!$P$5:$P$2271=I$1),('Diário 7º PA'!$F$5:$F$2271))+
SUMPRODUCT(-('Diário 8º PA'!$E$5:$E$2488='Analítico Cx.'!$B116),-('Diário 8º PA'!$P$5:$P$2488=I$1),('Diário 8º PA'!$F$5:$F$2488))</f>
        <v>2765.39</v>
      </c>
      <c r="J116" s="185">
        <f>SUMPRODUCT(-('Diário 5º PA'!$E$5:$E$2634='Analítico Cx.'!$B116),-('Diário 5º PA'!$P$5:$P$2634=J$1),('Diário 5º PA'!$F$5:$F$2634))+
SUMPRODUCT(-('Diário 6º PA'!$E$5:$E$2246='Analítico Cx.'!$B116),-('Diário 6º PA'!$P$5:$P$2246=J$1),('Diário 6º PA'!$F$5:$F$2246))+
SUMPRODUCT(-('Diário 7º PA'!$E$5:$E$2271='Analítico Cx.'!$B116),-('Diário 7º PA'!$P$5:$P$2271=J$1),('Diário 7º PA'!$F$5:$F$2271))+
SUMPRODUCT(-('Diário 8º PA'!$E$5:$E$2488='Analítico Cx.'!$B116),-('Diário 8º PA'!$P$5:$P$2488=J$1),('Diário 8º PA'!$F$5:$F$2488))</f>
        <v>0</v>
      </c>
      <c r="K116" s="185">
        <f>SUMPRODUCT(-('Diário 5º PA'!$E$5:$E$2634='Analítico Cx.'!$B116),-('Diário 5º PA'!$P$5:$P$2634=K$1),('Diário 5º PA'!$F$5:$F$2634))+
SUMPRODUCT(-('Diário 6º PA'!$E$5:$E$2246='Analítico Cx.'!$B116),-('Diário 6º PA'!$P$5:$P$2246=K$1),('Diário 6º PA'!$F$5:$F$2246))+
SUMPRODUCT(-('Diário 7º PA'!$E$5:$E$2271='Analítico Cx.'!$B116),-('Diário 7º PA'!$P$5:$P$2271=K$1),('Diário 7º PA'!$F$5:$F$2271))+
SUMPRODUCT(-('Diário 8º PA'!$E$5:$E$2488='Analítico Cx.'!$B116),-('Diário 8º PA'!$P$5:$P$2488=K$1),('Diário 8º PA'!$F$5:$F$2488))</f>
        <v>0</v>
      </c>
      <c r="L116" s="185">
        <f>SUMPRODUCT(-('Diário 5º PA'!$E$5:$E$2634='Analítico Cx.'!$B116),-('Diário 5º PA'!$P$5:$P$2634=L$1),('Diário 5º PA'!$F$5:$F$2634))+
SUMPRODUCT(-('Diário 6º PA'!$E$5:$E$2246='Analítico Cx.'!$B116),-('Diário 6º PA'!$P$5:$P$2246=L$1),('Diário 6º PA'!$F$5:$F$2246))+
SUMPRODUCT(-('Diário 7º PA'!$E$5:$E$2271='Analítico Cx.'!$B116),-('Diário 7º PA'!$P$5:$P$2271=L$1),('Diário 7º PA'!$F$5:$F$2271))+
SUMPRODUCT(-('Diário 8º PA'!$E$5:$E$2488='Analítico Cx.'!$B116),-('Diário 8º PA'!$P$5:$P$2488=L$1),('Diário 8º PA'!$F$5:$F$2488))</f>
        <v>0</v>
      </c>
      <c r="M116" s="185">
        <f>SUMPRODUCT(-('Diário 5º PA'!$E$5:$E$2634='Analítico Cx.'!$B116),-('Diário 5º PA'!$P$5:$P$2634=M$1),('Diário 5º PA'!$F$5:$F$2634))+
SUMPRODUCT(-('Diário 6º PA'!$E$5:$E$2246='Analítico Cx.'!$B116),-('Diário 6º PA'!$P$5:$P$2246=M$1),('Diário 6º PA'!$F$5:$F$2246))+
SUMPRODUCT(-('Diário 7º PA'!$E$5:$E$2271='Analítico Cx.'!$B116),-('Diário 7º PA'!$P$5:$P$2271=M$1),('Diário 7º PA'!$F$5:$F$2271))+
SUMPRODUCT(-('Diário 8º PA'!$E$5:$E$2488='Analítico Cx.'!$B116),-('Diário 8º PA'!$P$5:$P$2488=M$1),('Diário 8º PA'!$F$5:$F$2488))</f>
        <v>0</v>
      </c>
      <c r="N116" s="185">
        <f>SUMPRODUCT(-('Diário 5º PA'!$E$5:$E$2634='Analítico Cx.'!$B116),-('Diário 5º PA'!$P$5:$P$2634=N$1),('Diário 5º PA'!$F$5:$F$2634))+
SUMPRODUCT(-('Diário 6º PA'!$E$5:$E$2246='Analítico Cx.'!$B116),-('Diário 6º PA'!$P$5:$P$2246=N$1),('Diário 6º PA'!$F$5:$F$2246))+
SUMPRODUCT(-('Diário 7º PA'!$E$5:$E$2271='Analítico Cx.'!$B116),-('Diário 7º PA'!$P$5:$P$2271=N$1),('Diário 7º PA'!$F$5:$F$2271))+
SUMPRODUCT(-('Diário 8º PA'!$E$5:$E$2488='Analítico Cx.'!$B116),-('Diário 8º PA'!$P$5:$P$2488=N$1),('Diário 8º PA'!$F$5:$F$2488))</f>
        <v>0</v>
      </c>
      <c r="O116" s="186">
        <f t="shared" si="16"/>
        <v>2765.39</v>
      </c>
      <c r="P116" s="187">
        <f t="shared" si="17"/>
        <v>2.9341119752673904E-4</v>
      </c>
      <c r="Q116" s="34"/>
      <c r="R116" s="34"/>
      <c r="S116" s="34"/>
      <c r="T116" s="34"/>
      <c r="U116" s="34"/>
      <c r="V116" s="34"/>
      <c r="W116" s="34"/>
      <c r="X116" s="34"/>
      <c r="Y116" s="34"/>
      <c r="Z116" s="34"/>
    </row>
    <row r="117" spans="1:26" ht="23.25" customHeight="1" x14ac:dyDescent="0.2">
      <c r="A117" s="203" t="s">
        <v>325</v>
      </c>
      <c r="B117" s="72" t="s">
        <v>326</v>
      </c>
      <c r="C117" s="185">
        <f>SUMPRODUCT(-('Diário 5º PA'!$E$5:$E$2634='Analítico Cx.'!$B117),-('Diário 5º PA'!$P$5:$P$2634=C$1),('Diário 5º PA'!$F$5:$F$2634))+
SUMPRODUCT(-('Diário 6º PA'!$E$5:$E$2246='Analítico Cx.'!$B117),-('Diário 6º PA'!$P$5:$P$2246=C$1),('Diário 6º PA'!$F$5:$F$2246))+
SUMPRODUCT(-('Diário 7º PA'!$E$5:$E$2271='Analítico Cx.'!$B117),-('Diário 7º PA'!$P$5:$P$2271=C$1),('Diário 7º PA'!$F$5:$F$2271))+
SUMPRODUCT(-('Diário 8º PA'!$E$5:$E$2488='Analítico Cx.'!$B117),-('Diário 8º PA'!$P$5:$P$2488=C$1),('Diário 8º PA'!$F$5:$F$2488))</f>
        <v>0</v>
      </c>
      <c r="D117" s="185">
        <f>SUMPRODUCT(-('Diário 5º PA'!$E$5:$E$2634='Analítico Cx.'!$B117),-('Diário 5º PA'!$P$5:$P$2634=D$1),('Diário 5º PA'!$F$5:$F$2634))+
SUMPRODUCT(-('Diário 6º PA'!$E$5:$E$2246='Analítico Cx.'!$B117),-('Diário 6º PA'!$P$5:$P$2246=D$1),('Diário 6º PA'!$F$5:$F$2246))+
SUMPRODUCT(-('Diário 7º PA'!$E$5:$E$2271='Analítico Cx.'!$B117),-('Diário 7º PA'!$P$5:$P$2271=D$1),('Diário 7º PA'!$F$5:$F$2271))+
SUMPRODUCT(-('Diário 8º PA'!$E$5:$E$2488='Analítico Cx.'!$B117),-('Diário 8º PA'!$P$5:$P$2488=D$1),('Diário 8º PA'!$F$5:$F$2488))</f>
        <v>0</v>
      </c>
      <c r="E117" s="185">
        <f>SUMPRODUCT(-('Diário 5º PA'!$E$5:$E$2634='Analítico Cx.'!$B117),-('Diário 5º PA'!$P$5:$P$2634=E$1),('Diário 5º PA'!$F$5:$F$2634))+
SUMPRODUCT(-('Diário 6º PA'!$E$5:$E$2246='Analítico Cx.'!$B117),-('Diário 6º PA'!$P$5:$P$2246=E$1),('Diário 6º PA'!$F$5:$F$2246))+
SUMPRODUCT(-('Diário 7º PA'!$E$5:$E$2271='Analítico Cx.'!$B117),-('Diário 7º PA'!$P$5:$P$2271=E$1),('Diário 7º PA'!$F$5:$F$2271))+
SUMPRODUCT(-('Diário 8º PA'!$E$5:$E$2488='Analítico Cx.'!$B117),-('Diário 8º PA'!$P$5:$P$2488=E$1),('Diário 8º PA'!$F$5:$F$2488))</f>
        <v>0</v>
      </c>
      <c r="F117" s="185">
        <f>SUMPRODUCT(-('Diário 5º PA'!$E$5:$E$2634='Analítico Cx.'!$B117),-('Diário 5º PA'!$P$5:$P$2634=F$1),('Diário 5º PA'!$F$5:$F$2634))+
SUMPRODUCT(-('Diário 6º PA'!$E$5:$E$2246='Analítico Cx.'!$B117),-('Diário 6º PA'!$P$5:$P$2246=F$1),('Diário 6º PA'!$F$5:$F$2246))+
SUMPRODUCT(-('Diário 7º PA'!$E$5:$E$2271='Analítico Cx.'!$B117),-('Diário 7º PA'!$P$5:$P$2271=F$1),('Diário 7º PA'!$F$5:$F$2271))+
SUMPRODUCT(-('Diário 8º PA'!$E$5:$E$2488='Analítico Cx.'!$B117),-('Diário 8º PA'!$P$5:$P$2488=F$1),('Diário 8º PA'!$F$5:$F$2488))</f>
        <v>0</v>
      </c>
      <c r="G117" s="185">
        <f>SUMPRODUCT(-('Diário 5º PA'!$E$5:$E$2634='Analítico Cx.'!$B117),-('Diário 5º PA'!$P$5:$P$2634=G$1),('Diário 5º PA'!$F$5:$F$2634))+
SUMPRODUCT(-('Diário 6º PA'!$E$5:$E$2246='Analítico Cx.'!$B117),-('Diário 6º PA'!$P$5:$P$2246=G$1),('Diário 6º PA'!$F$5:$F$2246))+
SUMPRODUCT(-('Diário 7º PA'!$E$5:$E$2271='Analítico Cx.'!$B117),-('Diário 7º PA'!$P$5:$P$2271=G$1),('Diário 7º PA'!$F$5:$F$2271))+
SUMPRODUCT(-('Diário 8º PA'!$E$5:$E$2488='Analítico Cx.'!$B117),-('Diário 8º PA'!$P$5:$P$2488=G$1),('Diário 8º PA'!$F$5:$F$2488))</f>
        <v>0</v>
      </c>
      <c r="H117" s="185">
        <f>SUMPRODUCT(-('Diário 5º PA'!$E$5:$E$2634='Analítico Cx.'!$B117),-('Diário 5º PA'!$P$5:$P$2634=H$1),('Diário 5º PA'!$F$5:$F$2634))+
SUMPRODUCT(-('Diário 6º PA'!$E$5:$E$2246='Analítico Cx.'!$B117),-('Diário 6º PA'!$P$5:$P$2246=H$1),('Diário 6º PA'!$F$5:$F$2246))+
SUMPRODUCT(-('Diário 7º PA'!$E$5:$E$2271='Analítico Cx.'!$B117),-('Diário 7º PA'!$P$5:$P$2271=H$1),('Diário 7º PA'!$F$5:$F$2271))+
SUMPRODUCT(-('Diário 8º PA'!$E$5:$E$2488='Analítico Cx.'!$B117),-('Diário 8º PA'!$P$5:$P$2488=H$1),('Diário 8º PA'!$F$5:$F$2488))</f>
        <v>0</v>
      </c>
      <c r="I117" s="185">
        <f>SUMPRODUCT(-('Diário 5º PA'!$E$5:$E$2634='Analítico Cx.'!$B117),-('Diário 5º PA'!$P$5:$P$2634=I$1),('Diário 5º PA'!$F$5:$F$2634))+
SUMPRODUCT(-('Diário 6º PA'!$E$5:$E$2246='Analítico Cx.'!$B117),-('Diário 6º PA'!$P$5:$P$2246=I$1),('Diário 6º PA'!$F$5:$F$2246))+
SUMPRODUCT(-('Diário 7º PA'!$E$5:$E$2271='Analítico Cx.'!$B117),-('Diário 7º PA'!$P$5:$P$2271=I$1),('Diário 7º PA'!$F$5:$F$2271))+
SUMPRODUCT(-('Diário 8º PA'!$E$5:$E$2488='Analítico Cx.'!$B117),-('Diário 8º PA'!$P$5:$P$2488=I$1),('Diário 8º PA'!$F$5:$F$2488))</f>
        <v>0</v>
      </c>
      <c r="J117" s="185">
        <f>SUMPRODUCT(-('Diário 5º PA'!$E$5:$E$2634='Analítico Cx.'!$B117),-('Diário 5º PA'!$P$5:$P$2634=J$1),('Diário 5º PA'!$F$5:$F$2634))+
SUMPRODUCT(-('Diário 6º PA'!$E$5:$E$2246='Analítico Cx.'!$B117),-('Diário 6º PA'!$P$5:$P$2246=J$1),('Diário 6º PA'!$F$5:$F$2246))+
SUMPRODUCT(-('Diário 7º PA'!$E$5:$E$2271='Analítico Cx.'!$B117),-('Diário 7º PA'!$P$5:$P$2271=J$1),('Diário 7º PA'!$F$5:$F$2271))+
SUMPRODUCT(-('Diário 8º PA'!$E$5:$E$2488='Analítico Cx.'!$B117),-('Diário 8º PA'!$P$5:$P$2488=J$1),('Diário 8º PA'!$F$5:$F$2488))</f>
        <v>0</v>
      </c>
      <c r="K117" s="185">
        <f>SUMPRODUCT(-('Diário 5º PA'!$E$5:$E$2634='Analítico Cx.'!$B117),-('Diário 5º PA'!$P$5:$P$2634=K$1),('Diário 5º PA'!$F$5:$F$2634))+
SUMPRODUCT(-('Diário 6º PA'!$E$5:$E$2246='Analítico Cx.'!$B117),-('Diário 6º PA'!$P$5:$P$2246=K$1),('Diário 6º PA'!$F$5:$F$2246))+
SUMPRODUCT(-('Diário 7º PA'!$E$5:$E$2271='Analítico Cx.'!$B117),-('Diário 7º PA'!$P$5:$P$2271=K$1),('Diário 7º PA'!$F$5:$F$2271))+
SUMPRODUCT(-('Diário 8º PA'!$E$5:$E$2488='Analítico Cx.'!$B117),-('Diário 8º PA'!$P$5:$P$2488=K$1),('Diário 8º PA'!$F$5:$F$2488))</f>
        <v>0</v>
      </c>
      <c r="L117" s="185">
        <f>SUMPRODUCT(-('Diário 5º PA'!$E$5:$E$2634='Analítico Cx.'!$B117),-('Diário 5º PA'!$P$5:$P$2634=L$1),('Diário 5º PA'!$F$5:$F$2634))+
SUMPRODUCT(-('Diário 6º PA'!$E$5:$E$2246='Analítico Cx.'!$B117),-('Diário 6º PA'!$P$5:$P$2246=L$1),('Diário 6º PA'!$F$5:$F$2246))+
SUMPRODUCT(-('Diário 7º PA'!$E$5:$E$2271='Analítico Cx.'!$B117),-('Diário 7º PA'!$P$5:$P$2271=L$1),('Diário 7º PA'!$F$5:$F$2271))+
SUMPRODUCT(-('Diário 8º PA'!$E$5:$E$2488='Analítico Cx.'!$B117),-('Diário 8º PA'!$P$5:$P$2488=L$1),('Diário 8º PA'!$F$5:$F$2488))</f>
        <v>0</v>
      </c>
      <c r="M117" s="185">
        <f>SUMPRODUCT(-('Diário 5º PA'!$E$5:$E$2634='Analítico Cx.'!$B117),-('Diário 5º PA'!$P$5:$P$2634=M$1),('Diário 5º PA'!$F$5:$F$2634))+
SUMPRODUCT(-('Diário 6º PA'!$E$5:$E$2246='Analítico Cx.'!$B117),-('Diário 6º PA'!$P$5:$P$2246=M$1),('Diário 6º PA'!$F$5:$F$2246))+
SUMPRODUCT(-('Diário 7º PA'!$E$5:$E$2271='Analítico Cx.'!$B117),-('Diário 7º PA'!$P$5:$P$2271=M$1),('Diário 7º PA'!$F$5:$F$2271))+
SUMPRODUCT(-('Diário 8º PA'!$E$5:$E$2488='Analítico Cx.'!$B117),-('Diário 8º PA'!$P$5:$P$2488=M$1),('Diário 8º PA'!$F$5:$F$2488))</f>
        <v>0</v>
      </c>
      <c r="N117" s="185">
        <f>SUMPRODUCT(-('Diário 5º PA'!$E$5:$E$2634='Analítico Cx.'!$B117),-('Diário 5º PA'!$P$5:$P$2634=N$1),('Diário 5º PA'!$F$5:$F$2634))+
SUMPRODUCT(-('Diário 6º PA'!$E$5:$E$2246='Analítico Cx.'!$B117),-('Diário 6º PA'!$P$5:$P$2246=N$1),('Diário 6º PA'!$F$5:$F$2246))+
SUMPRODUCT(-('Diário 7º PA'!$E$5:$E$2271='Analítico Cx.'!$B117),-('Diário 7º PA'!$P$5:$P$2271=N$1),('Diário 7º PA'!$F$5:$F$2271))+
SUMPRODUCT(-('Diário 8º PA'!$E$5:$E$2488='Analítico Cx.'!$B117),-('Diário 8º PA'!$P$5:$P$2488=N$1),('Diário 8º PA'!$F$5:$F$2488))</f>
        <v>0</v>
      </c>
      <c r="O117" s="186">
        <f t="shared" si="16"/>
        <v>0</v>
      </c>
      <c r="P117" s="187">
        <f t="shared" si="17"/>
        <v>0</v>
      </c>
      <c r="Q117" s="34"/>
      <c r="R117" s="34"/>
      <c r="S117" s="34"/>
      <c r="T117" s="34"/>
      <c r="U117" s="34"/>
      <c r="V117" s="34"/>
      <c r="W117" s="34"/>
      <c r="X117" s="34"/>
      <c r="Y117" s="34"/>
      <c r="Z117" s="34"/>
    </row>
    <row r="118" spans="1:26" ht="23.25" customHeight="1" x14ac:dyDescent="0.2">
      <c r="A118" s="203" t="s">
        <v>327</v>
      </c>
      <c r="B118" s="72" t="s">
        <v>328</v>
      </c>
      <c r="C118" s="185">
        <f>SUMPRODUCT(-('Diário 5º PA'!$E$5:$E$2634='Analítico Cx.'!$B118),-('Diário 5º PA'!$P$5:$P$2634=C$1),('Diário 5º PA'!$F$5:$F$2634))+
SUMPRODUCT(-('Diário 6º PA'!$E$5:$E$2246='Analítico Cx.'!$B118),-('Diário 6º PA'!$P$5:$P$2246=C$1),('Diário 6º PA'!$F$5:$F$2246))+
SUMPRODUCT(-('Diário 7º PA'!$E$5:$E$2271='Analítico Cx.'!$B118),-('Diário 7º PA'!$P$5:$P$2271=C$1),('Diário 7º PA'!$F$5:$F$2271))+
SUMPRODUCT(-('Diário 8º PA'!$E$5:$E$2488='Analítico Cx.'!$B118),-('Diário 8º PA'!$P$5:$P$2488=C$1),('Diário 8º PA'!$F$5:$F$2488))</f>
        <v>0</v>
      </c>
      <c r="D118" s="185">
        <f>SUMPRODUCT(-('Diário 5º PA'!$E$5:$E$2634='Analítico Cx.'!$B118),-('Diário 5º PA'!$P$5:$P$2634=D$1),('Diário 5º PA'!$F$5:$F$2634))+
SUMPRODUCT(-('Diário 6º PA'!$E$5:$E$2246='Analítico Cx.'!$B118),-('Diário 6º PA'!$P$5:$P$2246=D$1),('Diário 6º PA'!$F$5:$F$2246))+
SUMPRODUCT(-('Diário 7º PA'!$E$5:$E$2271='Analítico Cx.'!$B118),-('Diário 7º PA'!$P$5:$P$2271=D$1),('Diário 7º PA'!$F$5:$F$2271))+
SUMPRODUCT(-('Diário 8º PA'!$E$5:$E$2488='Analítico Cx.'!$B118),-('Diário 8º PA'!$P$5:$P$2488=D$1),('Diário 8º PA'!$F$5:$F$2488))</f>
        <v>0</v>
      </c>
      <c r="E118" s="185">
        <f>SUMPRODUCT(-('Diário 5º PA'!$E$5:$E$2634='Analítico Cx.'!$B118),-('Diário 5º PA'!$P$5:$P$2634=E$1),('Diário 5º PA'!$F$5:$F$2634))+
SUMPRODUCT(-('Diário 6º PA'!$E$5:$E$2246='Analítico Cx.'!$B118),-('Diário 6º PA'!$P$5:$P$2246=E$1),('Diário 6º PA'!$F$5:$F$2246))+
SUMPRODUCT(-('Diário 7º PA'!$E$5:$E$2271='Analítico Cx.'!$B118),-('Diário 7º PA'!$P$5:$P$2271=E$1),('Diário 7º PA'!$F$5:$F$2271))+
SUMPRODUCT(-('Diário 8º PA'!$E$5:$E$2488='Analítico Cx.'!$B118),-('Diário 8º PA'!$P$5:$P$2488=E$1),('Diário 8º PA'!$F$5:$F$2488))</f>
        <v>0</v>
      </c>
      <c r="F118" s="185">
        <f>SUMPRODUCT(-('Diário 5º PA'!$E$5:$E$2634='Analítico Cx.'!$B118),-('Diário 5º PA'!$P$5:$P$2634=F$1),('Diário 5º PA'!$F$5:$F$2634))+
SUMPRODUCT(-('Diário 6º PA'!$E$5:$E$2246='Analítico Cx.'!$B118),-('Diário 6º PA'!$P$5:$P$2246=F$1),('Diário 6º PA'!$F$5:$F$2246))+
SUMPRODUCT(-('Diário 7º PA'!$E$5:$E$2271='Analítico Cx.'!$B118),-('Diário 7º PA'!$P$5:$P$2271=F$1),('Diário 7º PA'!$F$5:$F$2271))+
SUMPRODUCT(-('Diário 8º PA'!$E$5:$E$2488='Analítico Cx.'!$B118),-('Diário 8º PA'!$P$5:$P$2488=F$1),('Diário 8º PA'!$F$5:$F$2488))</f>
        <v>0</v>
      </c>
      <c r="G118" s="185">
        <f>SUMPRODUCT(-('Diário 5º PA'!$E$5:$E$2634='Analítico Cx.'!$B118),-('Diário 5º PA'!$P$5:$P$2634=G$1),('Diário 5º PA'!$F$5:$F$2634))+
SUMPRODUCT(-('Diário 6º PA'!$E$5:$E$2246='Analítico Cx.'!$B118),-('Diário 6º PA'!$P$5:$P$2246=G$1),('Diário 6º PA'!$F$5:$F$2246))+
SUMPRODUCT(-('Diário 7º PA'!$E$5:$E$2271='Analítico Cx.'!$B118),-('Diário 7º PA'!$P$5:$P$2271=G$1),('Diário 7º PA'!$F$5:$F$2271))+
SUMPRODUCT(-('Diário 8º PA'!$E$5:$E$2488='Analítico Cx.'!$B118),-('Diário 8º PA'!$P$5:$P$2488=G$1),('Diário 8º PA'!$F$5:$F$2488))</f>
        <v>0</v>
      </c>
      <c r="H118" s="185">
        <f>SUMPRODUCT(-('Diário 5º PA'!$E$5:$E$2634='Analítico Cx.'!$B118),-('Diário 5º PA'!$P$5:$P$2634=H$1),('Diário 5º PA'!$F$5:$F$2634))+
SUMPRODUCT(-('Diário 6º PA'!$E$5:$E$2246='Analítico Cx.'!$B118),-('Diário 6º PA'!$P$5:$P$2246=H$1),('Diário 6º PA'!$F$5:$F$2246))+
SUMPRODUCT(-('Diário 7º PA'!$E$5:$E$2271='Analítico Cx.'!$B118),-('Diário 7º PA'!$P$5:$P$2271=H$1),('Diário 7º PA'!$F$5:$F$2271))+
SUMPRODUCT(-('Diário 8º PA'!$E$5:$E$2488='Analítico Cx.'!$B118),-('Diário 8º PA'!$P$5:$P$2488=H$1),('Diário 8º PA'!$F$5:$F$2488))</f>
        <v>0</v>
      </c>
      <c r="I118" s="185">
        <f>SUMPRODUCT(-('Diário 5º PA'!$E$5:$E$2634='Analítico Cx.'!$B118),-('Diário 5º PA'!$P$5:$P$2634=I$1),('Diário 5º PA'!$F$5:$F$2634))+
SUMPRODUCT(-('Diário 6º PA'!$E$5:$E$2246='Analítico Cx.'!$B118),-('Diário 6º PA'!$P$5:$P$2246=I$1),('Diário 6º PA'!$F$5:$F$2246))+
SUMPRODUCT(-('Diário 7º PA'!$E$5:$E$2271='Analítico Cx.'!$B118),-('Diário 7º PA'!$P$5:$P$2271=I$1),('Diário 7º PA'!$F$5:$F$2271))+
SUMPRODUCT(-('Diário 8º PA'!$E$5:$E$2488='Analítico Cx.'!$B118),-('Diário 8º PA'!$P$5:$P$2488=I$1),('Diário 8º PA'!$F$5:$F$2488))</f>
        <v>572.85</v>
      </c>
      <c r="J118" s="185">
        <f>SUMPRODUCT(-('Diário 5º PA'!$E$5:$E$2634='Analítico Cx.'!$B118),-('Diário 5º PA'!$P$5:$P$2634=J$1),('Diário 5º PA'!$F$5:$F$2634))+
SUMPRODUCT(-('Diário 6º PA'!$E$5:$E$2246='Analítico Cx.'!$B118),-('Diário 6º PA'!$P$5:$P$2246=J$1),('Diário 6º PA'!$F$5:$F$2246))+
SUMPRODUCT(-('Diário 7º PA'!$E$5:$E$2271='Analítico Cx.'!$B118),-('Diário 7º PA'!$P$5:$P$2271=J$1),('Diário 7º PA'!$F$5:$F$2271))+
SUMPRODUCT(-('Diário 8º PA'!$E$5:$E$2488='Analítico Cx.'!$B118),-('Diário 8º PA'!$P$5:$P$2488=J$1),('Diário 8º PA'!$F$5:$F$2488))</f>
        <v>30.15</v>
      </c>
      <c r="K118" s="185">
        <f>SUMPRODUCT(-('Diário 5º PA'!$E$5:$E$2634='Analítico Cx.'!$B118),-('Diário 5º PA'!$P$5:$P$2634=K$1),('Diário 5º PA'!$F$5:$F$2634))+
SUMPRODUCT(-('Diário 6º PA'!$E$5:$E$2246='Analítico Cx.'!$B118),-('Diário 6º PA'!$P$5:$P$2246=K$1),('Diário 6º PA'!$F$5:$F$2246))+
SUMPRODUCT(-('Diário 7º PA'!$E$5:$E$2271='Analítico Cx.'!$B118),-('Diário 7º PA'!$P$5:$P$2271=K$1),('Diário 7º PA'!$F$5:$F$2271))+
SUMPRODUCT(-('Diário 8º PA'!$E$5:$E$2488='Analítico Cx.'!$B118),-('Diário 8º PA'!$P$5:$P$2488=K$1),('Diário 8º PA'!$F$5:$F$2488))</f>
        <v>0</v>
      </c>
      <c r="L118" s="185">
        <f>SUMPRODUCT(-('Diário 5º PA'!$E$5:$E$2634='Analítico Cx.'!$B118),-('Diário 5º PA'!$P$5:$P$2634=L$1),('Diário 5º PA'!$F$5:$F$2634))+
SUMPRODUCT(-('Diário 6º PA'!$E$5:$E$2246='Analítico Cx.'!$B118),-('Diário 6º PA'!$P$5:$P$2246=L$1),('Diário 6º PA'!$F$5:$F$2246))+
SUMPRODUCT(-('Diário 7º PA'!$E$5:$E$2271='Analítico Cx.'!$B118),-('Diário 7º PA'!$P$5:$P$2271=L$1),('Diário 7º PA'!$F$5:$F$2271))+
SUMPRODUCT(-('Diário 8º PA'!$E$5:$E$2488='Analítico Cx.'!$B118),-('Diário 8º PA'!$P$5:$P$2488=L$1),('Diário 8º PA'!$F$5:$F$2488))</f>
        <v>0</v>
      </c>
      <c r="M118" s="185">
        <f>SUMPRODUCT(-('Diário 5º PA'!$E$5:$E$2634='Analítico Cx.'!$B118),-('Diário 5º PA'!$P$5:$P$2634=M$1),('Diário 5º PA'!$F$5:$F$2634))+
SUMPRODUCT(-('Diário 6º PA'!$E$5:$E$2246='Analítico Cx.'!$B118),-('Diário 6º PA'!$P$5:$P$2246=M$1),('Diário 6º PA'!$F$5:$F$2246))+
SUMPRODUCT(-('Diário 7º PA'!$E$5:$E$2271='Analítico Cx.'!$B118),-('Diário 7º PA'!$P$5:$P$2271=M$1),('Diário 7º PA'!$F$5:$F$2271))+
SUMPRODUCT(-('Diário 8º PA'!$E$5:$E$2488='Analítico Cx.'!$B118),-('Diário 8º PA'!$P$5:$P$2488=M$1),('Diário 8º PA'!$F$5:$F$2488))</f>
        <v>0</v>
      </c>
      <c r="N118" s="185">
        <f>SUMPRODUCT(-('Diário 5º PA'!$E$5:$E$2634='Analítico Cx.'!$B118),-('Diário 5º PA'!$P$5:$P$2634=N$1),('Diário 5º PA'!$F$5:$F$2634))+
SUMPRODUCT(-('Diário 6º PA'!$E$5:$E$2246='Analítico Cx.'!$B118),-('Diário 6º PA'!$P$5:$P$2246=N$1),('Diário 6º PA'!$F$5:$F$2246))+
SUMPRODUCT(-('Diário 7º PA'!$E$5:$E$2271='Analítico Cx.'!$B118),-('Diário 7º PA'!$P$5:$P$2271=N$1),('Diário 7º PA'!$F$5:$F$2271))+
SUMPRODUCT(-('Diário 8º PA'!$E$5:$E$2488='Analítico Cx.'!$B118),-('Diário 8º PA'!$P$5:$P$2488=N$1),('Diário 8º PA'!$F$5:$F$2488))</f>
        <v>0</v>
      </c>
      <c r="O118" s="186">
        <f t="shared" si="16"/>
        <v>603</v>
      </c>
      <c r="P118" s="187">
        <f t="shared" si="17"/>
        <v>6.3979023612808193E-5</v>
      </c>
      <c r="Q118" s="34"/>
      <c r="R118" s="34"/>
      <c r="S118" s="34"/>
      <c r="T118" s="34"/>
      <c r="U118" s="34"/>
      <c r="V118" s="34"/>
      <c r="W118" s="34"/>
      <c r="X118" s="34"/>
      <c r="Y118" s="34"/>
      <c r="Z118" s="34"/>
    </row>
    <row r="119" spans="1:26" ht="23.25" customHeight="1" x14ac:dyDescent="0.2">
      <c r="A119" s="203" t="s">
        <v>329</v>
      </c>
      <c r="B119" s="72" t="s">
        <v>330</v>
      </c>
      <c r="C119" s="185">
        <f>SUMPRODUCT(-('Diário 5º PA'!$E$5:$E$2634='Analítico Cx.'!$B119),-('Diário 5º PA'!$P$5:$P$2634=C$1),('Diário 5º PA'!$F$5:$F$2634))+
SUMPRODUCT(-('Diário 6º PA'!$E$5:$E$2246='Analítico Cx.'!$B119),-('Diário 6º PA'!$P$5:$P$2246=C$1),('Diário 6º PA'!$F$5:$F$2246))+
SUMPRODUCT(-('Diário 7º PA'!$E$5:$E$2271='Analítico Cx.'!$B119),-('Diário 7º PA'!$P$5:$P$2271=C$1),('Diário 7º PA'!$F$5:$F$2271))+
SUMPRODUCT(-('Diário 8º PA'!$E$5:$E$2488='Analítico Cx.'!$B119),-('Diário 8º PA'!$P$5:$P$2488=C$1),('Diário 8º PA'!$F$5:$F$2488))</f>
        <v>40455.680000000008</v>
      </c>
      <c r="D119" s="185">
        <f>SUMPRODUCT(-('Diário 5º PA'!$E$5:$E$2634='Analítico Cx.'!$B119),-('Diário 5º PA'!$P$5:$P$2634=D$1),('Diário 5º PA'!$F$5:$F$2634))+
SUMPRODUCT(-('Diário 6º PA'!$E$5:$E$2246='Analítico Cx.'!$B119),-('Diário 6º PA'!$P$5:$P$2246=D$1),('Diário 6º PA'!$F$5:$F$2246))+
SUMPRODUCT(-('Diário 7º PA'!$E$5:$E$2271='Analítico Cx.'!$B119),-('Diário 7º PA'!$P$5:$P$2271=D$1),('Diário 7º PA'!$F$5:$F$2271))+
SUMPRODUCT(-('Diário 8º PA'!$E$5:$E$2488='Analítico Cx.'!$B119),-('Diário 8º PA'!$P$5:$P$2488=D$1),('Diário 8º PA'!$F$5:$F$2488))</f>
        <v>30368.67</v>
      </c>
      <c r="E119" s="185">
        <f>SUMPRODUCT(-('Diário 5º PA'!$E$5:$E$2634='Analítico Cx.'!$B119),-('Diário 5º PA'!$P$5:$P$2634=E$1),('Diário 5º PA'!$F$5:$F$2634))+
SUMPRODUCT(-('Diário 6º PA'!$E$5:$E$2246='Analítico Cx.'!$B119),-('Diário 6º PA'!$P$5:$P$2246=E$1),('Diário 6º PA'!$F$5:$F$2246))+
SUMPRODUCT(-('Diário 7º PA'!$E$5:$E$2271='Analítico Cx.'!$B119),-('Diário 7º PA'!$P$5:$P$2271=E$1),('Diário 7º PA'!$F$5:$F$2271))+
SUMPRODUCT(-('Diário 8º PA'!$E$5:$E$2488='Analítico Cx.'!$B119),-('Diário 8º PA'!$P$5:$P$2488=E$1),('Diário 8º PA'!$F$5:$F$2488))</f>
        <v>23792.12</v>
      </c>
      <c r="F119" s="185">
        <f>SUMPRODUCT(-('Diário 5º PA'!$E$5:$E$2634='Analítico Cx.'!$B119),-('Diário 5º PA'!$P$5:$P$2634=F$1),('Diário 5º PA'!$F$5:$F$2634))+
SUMPRODUCT(-('Diário 6º PA'!$E$5:$E$2246='Analítico Cx.'!$B119),-('Diário 6º PA'!$P$5:$P$2246=F$1),('Diário 6º PA'!$F$5:$F$2246))+
SUMPRODUCT(-('Diário 7º PA'!$E$5:$E$2271='Analítico Cx.'!$B119),-('Diário 7º PA'!$P$5:$P$2271=F$1),('Diário 7º PA'!$F$5:$F$2271))+
SUMPRODUCT(-('Diário 8º PA'!$E$5:$E$2488='Analítico Cx.'!$B119),-('Diário 8º PA'!$P$5:$P$2488=F$1),('Diário 8º PA'!$F$5:$F$2488))</f>
        <v>23648.260000000002</v>
      </c>
      <c r="G119" s="185">
        <f>SUMPRODUCT(-('Diário 5º PA'!$E$5:$E$2634='Analítico Cx.'!$B119),-('Diário 5º PA'!$P$5:$P$2634=G$1),('Diário 5º PA'!$F$5:$F$2634))+
SUMPRODUCT(-('Diário 6º PA'!$E$5:$E$2246='Analítico Cx.'!$B119),-('Diário 6º PA'!$P$5:$P$2246=G$1),('Diário 6º PA'!$F$5:$F$2246))+
SUMPRODUCT(-('Diário 7º PA'!$E$5:$E$2271='Analítico Cx.'!$B119),-('Diário 7º PA'!$P$5:$P$2271=G$1),('Diário 7º PA'!$F$5:$F$2271))+
SUMPRODUCT(-('Diário 8º PA'!$E$5:$E$2488='Analítico Cx.'!$B119),-('Diário 8º PA'!$P$5:$P$2488=G$1),('Diário 8º PA'!$F$5:$F$2488))</f>
        <v>22842.66</v>
      </c>
      <c r="H119" s="185">
        <f>SUMPRODUCT(-('Diário 5º PA'!$E$5:$E$2634='Analítico Cx.'!$B119),-('Diário 5º PA'!$P$5:$P$2634=H$1),('Diário 5º PA'!$F$5:$F$2634))+
SUMPRODUCT(-('Diário 6º PA'!$E$5:$E$2246='Analítico Cx.'!$B119),-('Diário 6º PA'!$P$5:$P$2246=H$1),('Diário 6º PA'!$F$5:$F$2246))+
SUMPRODUCT(-('Diário 7º PA'!$E$5:$E$2271='Analítico Cx.'!$B119),-('Diário 7º PA'!$P$5:$P$2271=H$1),('Diário 7º PA'!$F$5:$F$2271))+
SUMPRODUCT(-('Diário 8º PA'!$E$5:$E$2488='Analítico Cx.'!$B119),-('Diário 8º PA'!$P$5:$P$2488=H$1),('Diário 8º PA'!$F$5:$F$2488))</f>
        <v>31354.320000000003</v>
      </c>
      <c r="I119" s="185">
        <f>SUMPRODUCT(-('Diário 5º PA'!$E$5:$E$2634='Analítico Cx.'!$B119),-('Diário 5º PA'!$P$5:$P$2634=I$1),('Diário 5º PA'!$F$5:$F$2634))+
SUMPRODUCT(-('Diário 6º PA'!$E$5:$E$2246='Analítico Cx.'!$B119),-('Diário 6º PA'!$P$5:$P$2246=I$1),('Diário 6º PA'!$F$5:$F$2246))+
SUMPRODUCT(-('Diário 7º PA'!$E$5:$E$2271='Analítico Cx.'!$B119),-('Diário 7º PA'!$P$5:$P$2271=I$1),('Diário 7º PA'!$F$5:$F$2271))+
SUMPRODUCT(-('Diário 8º PA'!$E$5:$E$2488='Analítico Cx.'!$B119),-('Diário 8º PA'!$P$5:$P$2488=I$1),('Diário 8º PA'!$F$5:$F$2488))</f>
        <v>32649.760000000002</v>
      </c>
      <c r="J119" s="185">
        <f>SUMPRODUCT(-('Diário 5º PA'!$E$5:$E$2634='Analítico Cx.'!$B119),-('Diário 5º PA'!$P$5:$P$2634=J$1),('Diário 5º PA'!$F$5:$F$2634))+
SUMPRODUCT(-('Diário 6º PA'!$E$5:$E$2246='Analítico Cx.'!$B119),-('Diário 6º PA'!$P$5:$P$2246=J$1),('Diário 6º PA'!$F$5:$F$2246))+
SUMPRODUCT(-('Diário 7º PA'!$E$5:$E$2271='Analítico Cx.'!$B119),-('Diário 7º PA'!$P$5:$P$2271=J$1),('Diário 7º PA'!$F$5:$F$2271))+
SUMPRODUCT(-('Diário 8º PA'!$E$5:$E$2488='Analítico Cx.'!$B119),-('Diário 8º PA'!$P$5:$P$2488=J$1),('Diário 8º PA'!$F$5:$F$2488))</f>
        <v>43180.280000000006</v>
      </c>
      <c r="K119" s="185">
        <f>SUMPRODUCT(-('Diário 5º PA'!$E$5:$E$2634='Analítico Cx.'!$B119),-('Diário 5º PA'!$P$5:$P$2634=K$1),('Diário 5º PA'!$F$5:$F$2634))+
SUMPRODUCT(-('Diário 6º PA'!$E$5:$E$2246='Analítico Cx.'!$B119),-('Diário 6º PA'!$P$5:$P$2246=K$1),('Diário 6º PA'!$F$5:$F$2246))+
SUMPRODUCT(-('Diário 7º PA'!$E$5:$E$2271='Analítico Cx.'!$B119),-('Diário 7º PA'!$P$5:$P$2271=K$1),('Diário 7º PA'!$F$5:$F$2271))+
SUMPRODUCT(-('Diário 8º PA'!$E$5:$E$2488='Analítico Cx.'!$B119),-('Diário 8º PA'!$P$5:$P$2488=K$1),('Diário 8º PA'!$F$5:$F$2488))</f>
        <v>22864.089999999993</v>
      </c>
      <c r="L119" s="185">
        <f>SUMPRODUCT(-('Diário 5º PA'!$E$5:$E$2634='Analítico Cx.'!$B119),-('Diário 5º PA'!$P$5:$P$2634=L$1),('Diário 5º PA'!$F$5:$F$2634))+
SUMPRODUCT(-('Diário 6º PA'!$E$5:$E$2246='Analítico Cx.'!$B119),-('Diário 6º PA'!$P$5:$P$2246=L$1),('Diário 6º PA'!$F$5:$F$2246))+
SUMPRODUCT(-('Diário 7º PA'!$E$5:$E$2271='Analítico Cx.'!$B119),-('Diário 7º PA'!$P$5:$P$2271=L$1),('Diário 7º PA'!$F$5:$F$2271))+
SUMPRODUCT(-('Diário 8º PA'!$E$5:$E$2488='Analítico Cx.'!$B119),-('Diário 8º PA'!$P$5:$P$2488=L$1),('Diário 8º PA'!$F$5:$F$2488))</f>
        <v>26877</v>
      </c>
      <c r="M119" s="185">
        <f>SUMPRODUCT(-('Diário 5º PA'!$E$5:$E$2634='Analítico Cx.'!$B119),-('Diário 5º PA'!$P$5:$P$2634=M$1),('Diário 5º PA'!$F$5:$F$2634))+
SUMPRODUCT(-('Diário 6º PA'!$E$5:$E$2246='Analítico Cx.'!$B119),-('Diário 6º PA'!$P$5:$P$2246=M$1),('Diário 6º PA'!$F$5:$F$2246))+
SUMPRODUCT(-('Diário 7º PA'!$E$5:$E$2271='Analítico Cx.'!$B119),-('Diário 7º PA'!$P$5:$P$2271=M$1),('Diário 7º PA'!$F$5:$F$2271))+
SUMPRODUCT(-('Diário 8º PA'!$E$5:$E$2488='Analítico Cx.'!$B119),-('Diário 8º PA'!$P$5:$P$2488=M$1),('Diário 8º PA'!$F$5:$F$2488))</f>
        <v>45906.039999999994</v>
      </c>
      <c r="N119" s="185">
        <f>SUMPRODUCT(-('Diário 5º PA'!$E$5:$E$2634='Analítico Cx.'!$B119),-('Diário 5º PA'!$P$5:$P$2634=N$1),('Diário 5º PA'!$F$5:$F$2634))+
SUMPRODUCT(-('Diário 6º PA'!$E$5:$E$2246='Analítico Cx.'!$B119),-('Diário 6º PA'!$P$5:$P$2246=N$1),('Diário 6º PA'!$F$5:$F$2246))+
SUMPRODUCT(-('Diário 7º PA'!$E$5:$E$2271='Analítico Cx.'!$B119),-('Diário 7º PA'!$P$5:$P$2271=N$1),('Diário 7º PA'!$F$5:$F$2271))+
SUMPRODUCT(-('Diário 8º PA'!$E$5:$E$2488='Analítico Cx.'!$B119),-('Diário 8º PA'!$P$5:$P$2488=N$1),('Diário 8º PA'!$F$5:$F$2488))</f>
        <v>25814.04</v>
      </c>
      <c r="O119" s="186">
        <f t="shared" si="16"/>
        <v>369752.92</v>
      </c>
      <c r="P119" s="187">
        <f t="shared" si="17"/>
        <v>3.9231228523357843E-2</v>
      </c>
      <c r="Q119" s="34"/>
      <c r="R119" s="34"/>
      <c r="S119" s="34"/>
      <c r="T119" s="34"/>
      <c r="U119" s="34"/>
      <c r="V119" s="34"/>
      <c r="W119" s="34"/>
      <c r="X119" s="34"/>
      <c r="Y119" s="34"/>
      <c r="Z119" s="34"/>
    </row>
    <row r="120" spans="1:26" ht="12.75" customHeight="1" x14ac:dyDescent="0.2">
      <c r="A120" s="203" t="s">
        <v>331</v>
      </c>
      <c r="B120" s="72" t="s">
        <v>332</v>
      </c>
      <c r="C120" s="185">
        <f>SUMPRODUCT(-('Diário 5º PA'!$E$5:$E$2634='Analítico Cx.'!$B120),-('Diário 5º PA'!$P$5:$P$2634=C$1),('Diário 5º PA'!$F$5:$F$2634))+
SUMPRODUCT(-('Diário 6º PA'!$E$5:$E$2246='Analítico Cx.'!$B120),-('Diário 6º PA'!$P$5:$P$2246=C$1),('Diário 6º PA'!$F$5:$F$2246))+
SUMPRODUCT(-('Diário 7º PA'!$E$5:$E$2271='Analítico Cx.'!$B120),-('Diário 7º PA'!$P$5:$P$2271=C$1),('Diário 7º PA'!$F$5:$F$2271))+
SUMPRODUCT(-('Diário 8º PA'!$E$5:$E$2488='Analítico Cx.'!$B120),-('Diário 8º PA'!$P$5:$P$2488=C$1),('Diário 8º PA'!$F$5:$F$2488))</f>
        <v>0</v>
      </c>
      <c r="D120" s="185">
        <f>SUMPRODUCT(-('Diário 5º PA'!$E$5:$E$2634='Analítico Cx.'!$B120),-('Diário 5º PA'!$P$5:$P$2634=D$1),('Diário 5º PA'!$F$5:$F$2634))+
SUMPRODUCT(-('Diário 6º PA'!$E$5:$E$2246='Analítico Cx.'!$B120),-('Diário 6º PA'!$P$5:$P$2246=D$1),('Diário 6º PA'!$F$5:$F$2246))+
SUMPRODUCT(-('Diário 7º PA'!$E$5:$E$2271='Analítico Cx.'!$B120),-('Diário 7º PA'!$P$5:$P$2271=D$1),('Diário 7º PA'!$F$5:$F$2271))+
SUMPRODUCT(-('Diário 8º PA'!$E$5:$E$2488='Analítico Cx.'!$B120),-('Diário 8º PA'!$P$5:$P$2488=D$1),('Diário 8º PA'!$F$5:$F$2488))</f>
        <v>0</v>
      </c>
      <c r="E120" s="185">
        <f>SUMPRODUCT(-('Diário 5º PA'!$E$5:$E$2634='Analítico Cx.'!$B120),-('Diário 5º PA'!$P$5:$P$2634=E$1),('Diário 5º PA'!$F$5:$F$2634))+
SUMPRODUCT(-('Diário 6º PA'!$E$5:$E$2246='Analítico Cx.'!$B120),-('Diário 6º PA'!$P$5:$P$2246=E$1),('Diário 6º PA'!$F$5:$F$2246))+
SUMPRODUCT(-('Diário 7º PA'!$E$5:$E$2271='Analítico Cx.'!$B120),-('Diário 7º PA'!$P$5:$P$2271=E$1),('Diário 7º PA'!$F$5:$F$2271))+
SUMPRODUCT(-('Diário 8º PA'!$E$5:$E$2488='Analítico Cx.'!$B120),-('Diário 8º PA'!$P$5:$P$2488=E$1),('Diário 8º PA'!$F$5:$F$2488))</f>
        <v>0</v>
      </c>
      <c r="F120" s="185">
        <f>SUMPRODUCT(-('Diário 5º PA'!$E$5:$E$2634='Analítico Cx.'!$B120),-('Diário 5º PA'!$P$5:$P$2634=F$1),('Diário 5º PA'!$F$5:$F$2634))+
SUMPRODUCT(-('Diário 6º PA'!$E$5:$E$2246='Analítico Cx.'!$B120),-('Diário 6º PA'!$P$5:$P$2246=F$1),('Diário 6º PA'!$F$5:$F$2246))+
SUMPRODUCT(-('Diário 7º PA'!$E$5:$E$2271='Analítico Cx.'!$B120),-('Diário 7º PA'!$P$5:$P$2271=F$1),('Diário 7º PA'!$F$5:$F$2271))+
SUMPRODUCT(-('Diário 8º PA'!$E$5:$E$2488='Analítico Cx.'!$B120),-('Diário 8º PA'!$P$5:$P$2488=F$1),('Diário 8º PA'!$F$5:$F$2488))</f>
        <v>0</v>
      </c>
      <c r="G120" s="185">
        <f>SUMPRODUCT(-('Diário 5º PA'!$E$5:$E$2634='Analítico Cx.'!$B120),-('Diário 5º PA'!$P$5:$P$2634=G$1),('Diário 5º PA'!$F$5:$F$2634))+
SUMPRODUCT(-('Diário 6º PA'!$E$5:$E$2246='Analítico Cx.'!$B120),-('Diário 6º PA'!$P$5:$P$2246=G$1),('Diário 6º PA'!$F$5:$F$2246))+
SUMPRODUCT(-('Diário 7º PA'!$E$5:$E$2271='Analítico Cx.'!$B120),-('Diário 7º PA'!$P$5:$P$2271=G$1),('Diário 7º PA'!$F$5:$F$2271))+
SUMPRODUCT(-('Diário 8º PA'!$E$5:$E$2488='Analítico Cx.'!$B120),-('Diário 8º PA'!$P$5:$P$2488=G$1),('Diário 8º PA'!$F$5:$F$2488))</f>
        <v>0</v>
      </c>
      <c r="H120" s="185">
        <f>SUMPRODUCT(-('Diário 5º PA'!$E$5:$E$2634='Analítico Cx.'!$B120),-('Diário 5º PA'!$P$5:$P$2634=H$1),('Diário 5º PA'!$F$5:$F$2634))+
SUMPRODUCT(-('Diário 6º PA'!$E$5:$E$2246='Analítico Cx.'!$B120),-('Diário 6º PA'!$P$5:$P$2246=H$1),('Diário 6º PA'!$F$5:$F$2246))+
SUMPRODUCT(-('Diário 7º PA'!$E$5:$E$2271='Analítico Cx.'!$B120),-('Diário 7º PA'!$P$5:$P$2271=H$1),('Diário 7º PA'!$F$5:$F$2271))+
SUMPRODUCT(-('Diário 8º PA'!$E$5:$E$2488='Analítico Cx.'!$B120),-('Diário 8º PA'!$P$5:$P$2488=H$1),('Diário 8º PA'!$F$5:$F$2488))</f>
        <v>0</v>
      </c>
      <c r="I120" s="185">
        <f>SUMPRODUCT(-('Diário 5º PA'!$E$5:$E$2634='Analítico Cx.'!$B120),-('Diário 5º PA'!$P$5:$P$2634=I$1),('Diário 5º PA'!$F$5:$F$2634))+
SUMPRODUCT(-('Diário 6º PA'!$E$5:$E$2246='Analítico Cx.'!$B120),-('Diário 6º PA'!$P$5:$P$2246=I$1),('Diário 6º PA'!$F$5:$F$2246))+
SUMPRODUCT(-('Diário 7º PA'!$E$5:$E$2271='Analítico Cx.'!$B120),-('Diário 7º PA'!$P$5:$P$2271=I$1),('Diário 7º PA'!$F$5:$F$2271))+
SUMPRODUCT(-('Diário 8º PA'!$E$5:$E$2488='Analítico Cx.'!$B120),-('Diário 8º PA'!$P$5:$P$2488=I$1),('Diário 8º PA'!$F$5:$F$2488))</f>
        <v>0</v>
      </c>
      <c r="J120" s="185">
        <f>SUMPRODUCT(-('Diário 5º PA'!$E$5:$E$2634='Analítico Cx.'!$B120),-('Diário 5º PA'!$P$5:$P$2634=J$1),('Diário 5º PA'!$F$5:$F$2634))+
SUMPRODUCT(-('Diário 6º PA'!$E$5:$E$2246='Analítico Cx.'!$B120),-('Diário 6º PA'!$P$5:$P$2246=J$1),('Diário 6º PA'!$F$5:$F$2246))+
SUMPRODUCT(-('Diário 7º PA'!$E$5:$E$2271='Analítico Cx.'!$B120),-('Diário 7º PA'!$P$5:$P$2271=J$1),('Diário 7º PA'!$F$5:$F$2271))+
SUMPRODUCT(-('Diário 8º PA'!$E$5:$E$2488='Analítico Cx.'!$B120),-('Diário 8º PA'!$P$5:$P$2488=J$1),('Diário 8º PA'!$F$5:$F$2488))</f>
        <v>0</v>
      </c>
      <c r="K120" s="185">
        <f>SUMPRODUCT(-('Diário 5º PA'!$E$5:$E$2634='Analítico Cx.'!$B120),-('Diário 5º PA'!$P$5:$P$2634=K$1),('Diário 5º PA'!$F$5:$F$2634))+
SUMPRODUCT(-('Diário 6º PA'!$E$5:$E$2246='Analítico Cx.'!$B120),-('Diário 6º PA'!$P$5:$P$2246=K$1),('Diário 6º PA'!$F$5:$F$2246))+
SUMPRODUCT(-('Diário 7º PA'!$E$5:$E$2271='Analítico Cx.'!$B120),-('Diário 7º PA'!$P$5:$P$2271=K$1),('Diário 7º PA'!$F$5:$F$2271))+
SUMPRODUCT(-('Diário 8º PA'!$E$5:$E$2488='Analítico Cx.'!$B120),-('Diário 8º PA'!$P$5:$P$2488=K$1),('Diário 8º PA'!$F$5:$F$2488))</f>
        <v>0</v>
      </c>
      <c r="L120" s="185">
        <f>SUMPRODUCT(-('Diário 5º PA'!$E$5:$E$2634='Analítico Cx.'!$B120),-('Diário 5º PA'!$P$5:$P$2634=L$1),('Diário 5º PA'!$F$5:$F$2634))+
SUMPRODUCT(-('Diário 6º PA'!$E$5:$E$2246='Analítico Cx.'!$B120),-('Diário 6º PA'!$P$5:$P$2246=L$1),('Diário 6º PA'!$F$5:$F$2246))+
SUMPRODUCT(-('Diário 7º PA'!$E$5:$E$2271='Analítico Cx.'!$B120),-('Diário 7º PA'!$P$5:$P$2271=L$1),('Diário 7º PA'!$F$5:$F$2271))+
SUMPRODUCT(-('Diário 8º PA'!$E$5:$E$2488='Analítico Cx.'!$B120),-('Diário 8º PA'!$P$5:$P$2488=L$1),('Diário 8º PA'!$F$5:$F$2488))</f>
        <v>0</v>
      </c>
      <c r="M120" s="185">
        <f>SUMPRODUCT(-('Diário 5º PA'!$E$5:$E$2634='Analítico Cx.'!$B120),-('Diário 5º PA'!$P$5:$P$2634=M$1),('Diário 5º PA'!$F$5:$F$2634))+
SUMPRODUCT(-('Diário 6º PA'!$E$5:$E$2246='Analítico Cx.'!$B120),-('Diário 6º PA'!$P$5:$P$2246=M$1),('Diário 6º PA'!$F$5:$F$2246))+
SUMPRODUCT(-('Diário 7º PA'!$E$5:$E$2271='Analítico Cx.'!$B120),-('Diário 7º PA'!$P$5:$P$2271=M$1),('Diário 7º PA'!$F$5:$F$2271))+
SUMPRODUCT(-('Diário 8º PA'!$E$5:$E$2488='Analítico Cx.'!$B120),-('Diário 8º PA'!$P$5:$P$2488=M$1),('Diário 8º PA'!$F$5:$F$2488))</f>
        <v>0</v>
      </c>
      <c r="N120" s="185">
        <f>SUMPRODUCT(-('Diário 5º PA'!$E$5:$E$2634='Analítico Cx.'!$B120),-('Diário 5º PA'!$P$5:$P$2634=N$1),('Diário 5º PA'!$F$5:$F$2634))+
SUMPRODUCT(-('Diário 6º PA'!$E$5:$E$2246='Analítico Cx.'!$B120),-('Diário 6º PA'!$P$5:$P$2246=N$1),('Diário 6º PA'!$F$5:$F$2246))+
SUMPRODUCT(-('Diário 7º PA'!$E$5:$E$2271='Analítico Cx.'!$B120),-('Diário 7º PA'!$P$5:$P$2271=N$1),('Diário 7º PA'!$F$5:$F$2271))+
SUMPRODUCT(-('Diário 8º PA'!$E$5:$E$2488='Analítico Cx.'!$B120),-('Diário 8º PA'!$P$5:$P$2488=N$1),('Diário 8º PA'!$F$5:$F$2488))</f>
        <v>0</v>
      </c>
      <c r="O120" s="186">
        <f t="shared" si="16"/>
        <v>0</v>
      </c>
      <c r="P120" s="187">
        <f t="shared" si="17"/>
        <v>0</v>
      </c>
      <c r="Q120" s="34"/>
      <c r="R120" s="34"/>
      <c r="S120" s="34"/>
      <c r="T120" s="34"/>
      <c r="U120" s="34"/>
      <c r="V120" s="34"/>
      <c r="W120" s="34"/>
      <c r="X120" s="34"/>
      <c r="Y120" s="34"/>
      <c r="Z120" s="34"/>
    </row>
    <row r="121" spans="1:26" ht="12.75" customHeight="1" x14ac:dyDescent="0.2">
      <c r="A121" s="203" t="s">
        <v>333</v>
      </c>
      <c r="B121" s="72" t="s">
        <v>334</v>
      </c>
      <c r="C121" s="185">
        <f>SUMPRODUCT(-('Diário 5º PA'!$E$5:$E$2634='Analítico Cx.'!$B121),-('Diário 5º PA'!$P$5:$P$2634=C$1),('Diário 5º PA'!$F$5:$F$2634))+
SUMPRODUCT(-('Diário 6º PA'!$E$5:$E$2246='Analítico Cx.'!$B121),-('Diário 6º PA'!$P$5:$P$2246=C$1),('Diário 6º PA'!$F$5:$F$2246))+
SUMPRODUCT(-('Diário 7º PA'!$E$5:$E$2271='Analítico Cx.'!$B121),-('Diário 7º PA'!$P$5:$P$2271=C$1),('Diário 7º PA'!$F$5:$F$2271))+
SUMPRODUCT(-('Diário 8º PA'!$E$5:$E$2488='Analítico Cx.'!$B121),-('Diário 8º PA'!$P$5:$P$2488=C$1),('Diário 8º PA'!$F$5:$F$2488))</f>
        <v>0</v>
      </c>
      <c r="D121" s="185">
        <f>SUMPRODUCT(-('Diário 5º PA'!$E$5:$E$2634='Analítico Cx.'!$B121),-('Diário 5º PA'!$P$5:$P$2634=D$1),('Diário 5º PA'!$F$5:$F$2634))+
SUMPRODUCT(-('Diário 6º PA'!$E$5:$E$2246='Analítico Cx.'!$B121),-('Diário 6º PA'!$P$5:$P$2246=D$1),('Diário 6º PA'!$F$5:$F$2246))+
SUMPRODUCT(-('Diário 7º PA'!$E$5:$E$2271='Analítico Cx.'!$B121),-('Diário 7º PA'!$P$5:$P$2271=D$1),('Diário 7º PA'!$F$5:$F$2271))+
SUMPRODUCT(-('Diário 8º PA'!$E$5:$E$2488='Analítico Cx.'!$B121),-('Diário 8º PA'!$P$5:$P$2488=D$1),('Diário 8º PA'!$F$5:$F$2488))</f>
        <v>0</v>
      </c>
      <c r="E121" s="185">
        <f>SUMPRODUCT(-('Diário 5º PA'!$E$5:$E$2634='Analítico Cx.'!$B121),-('Diário 5º PA'!$P$5:$P$2634=E$1),('Diário 5º PA'!$F$5:$F$2634))+
SUMPRODUCT(-('Diário 6º PA'!$E$5:$E$2246='Analítico Cx.'!$B121),-('Diário 6º PA'!$P$5:$P$2246=E$1),('Diário 6º PA'!$F$5:$F$2246))+
SUMPRODUCT(-('Diário 7º PA'!$E$5:$E$2271='Analítico Cx.'!$B121),-('Diário 7º PA'!$P$5:$P$2271=E$1),('Diário 7º PA'!$F$5:$F$2271))+
SUMPRODUCT(-('Diário 8º PA'!$E$5:$E$2488='Analítico Cx.'!$B121),-('Diário 8º PA'!$P$5:$P$2488=E$1),('Diário 8º PA'!$F$5:$F$2488))</f>
        <v>0</v>
      </c>
      <c r="F121" s="185">
        <f>SUMPRODUCT(-('Diário 5º PA'!$E$5:$E$2634='Analítico Cx.'!$B121),-('Diário 5º PA'!$P$5:$P$2634=F$1),('Diário 5º PA'!$F$5:$F$2634))+
SUMPRODUCT(-('Diário 6º PA'!$E$5:$E$2246='Analítico Cx.'!$B121),-('Diário 6º PA'!$P$5:$P$2246=F$1),('Diário 6º PA'!$F$5:$F$2246))+
SUMPRODUCT(-('Diário 7º PA'!$E$5:$E$2271='Analítico Cx.'!$B121),-('Diário 7º PA'!$P$5:$P$2271=F$1),('Diário 7º PA'!$F$5:$F$2271))+
SUMPRODUCT(-('Diário 8º PA'!$E$5:$E$2488='Analítico Cx.'!$B121),-('Diário 8º PA'!$P$5:$P$2488=F$1),('Diário 8º PA'!$F$5:$F$2488))</f>
        <v>0</v>
      </c>
      <c r="G121" s="185">
        <f>SUMPRODUCT(-('Diário 5º PA'!$E$5:$E$2634='Analítico Cx.'!$B121),-('Diário 5º PA'!$P$5:$P$2634=G$1),('Diário 5º PA'!$F$5:$F$2634))+
SUMPRODUCT(-('Diário 6º PA'!$E$5:$E$2246='Analítico Cx.'!$B121),-('Diário 6º PA'!$P$5:$P$2246=G$1),('Diário 6º PA'!$F$5:$F$2246))+
SUMPRODUCT(-('Diário 7º PA'!$E$5:$E$2271='Analítico Cx.'!$B121),-('Diário 7º PA'!$P$5:$P$2271=G$1),('Diário 7º PA'!$F$5:$F$2271))+
SUMPRODUCT(-('Diário 8º PA'!$E$5:$E$2488='Analítico Cx.'!$B121),-('Diário 8º PA'!$P$5:$P$2488=G$1),('Diário 8º PA'!$F$5:$F$2488))</f>
        <v>0</v>
      </c>
      <c r="H121" s="185">
        <f>SUMPRODUCT(-('Diário 5º PA'!$E$5:$E$2634='Analítico Cx.'!$B121),-('Diário 5º PA'!$P$5:$P$2634=H$1),('Diário 5º PA'!$F$5:$F$2634))+
SUMPRODUCT(-('Diário 6º PA'!$E$5:$E$2246='Analítico Cx.'!$B121),-('Diário 6º PA'!$P$5:$P$2246=H$1),('Diário 6º PA'!$F$5:$F$2246))+
SUMPRODUCT(-('Diário 7º PA'!$E$5:$E$2271='Analítico Cx.'!$B121),-('Diário 7º PA'!$P$5:$P$2271=H$1),('Diário 7º PA'!$F$5:$F$2271))+
SUMPRODUCT(-('Diário 8º PA'!$E$5:$E$2488='Analítico Cx.'!$B121),-('Diário 8º PA'!$P$5:$P$2488=H$1),('Diário 8º PA'!$F$5:$F$2488))</f>
        <v>0</v>
      </c>
      <c r="I121" s="185">
        <f>SUMPRODUCT(-('Diário 5º PA'!$E$5:$E$2634='Analítico Cx.'!$B121),-('Diário 5º PA'!$P$5:$P$2634=I$1),('Diário 5º PA'!$F$5:$F$2634))+
SUMPRODUCT(-('Diário 6º PA'!$E$5:$E$2246='Analítico Cx.'!$B121),-('Diário 6º PA'!$P$5:$P$2246=I$1),('Diário 6º PA'!$F$5:$F$2246))+
SUMPRODUCT(-('Diário 7º PA'!$E$5:$E$2271='Analítico Cx.'!$B121),-('Diário 7º PA'!$P$5:$P$2271=I$1),('Diário 7º PA'!$F$5:$F$2271))+
SUMPRODUCT(-('Diário 8º PA'!$E$5:$E$2488='Analítico Cx.'!$B121),-('Diário 8º PA'!$P$5:$P$2488=I$1),('Diário 8º PA'!$F$5:$F$2488))</f>
        <v>0</v>
      </c>
      <c r="J121" s="185">
        <f>SUMPRODUCT(-('Diário 5º PA'!$E$5:$E$2634='Analítico Cx.'!$B121),-('Diário 5º PA'!$P$5:$P$2634=J$1),('Diário 5º PA'!$F$5:$F$2634))+
SUMPRODUCT(-('Diário 6º PA'!$E$5:$E$2246='Analítico Cx.'!$B121),-('Diário 6º PA'!$P$5:$P$2246=J$1),('Diário 6º PA'!$F$5:$F$2246))+
SUMPRODUCT(-('Diário 7º PA'!$E$5:$E$2271='Analítico Cx.'!$B121),-('Diário 7º PA'!$P$5:$P$2271=J$1),('Diário 7º PA'!$F$5:$F$2271))+
SUMPRODUCT(-('Diário 8º PA'!$E$5:$E$2488='Analítico Cx.'!$B121),-('Diário 8º PA'!$P$5:$P$2488=J$1),('Diário 8º PA'!$F$5:$F$2488))</f>
        <v>0</v>
      </c>
      <c r="K121" s="185">
        <f>SUMPRODUCT(-('Diário 5º PA'!$E$5:$E$2634='Analítico Cx.'!$B121),-('Diário 5º PA'!$P$5:$P$2634=K$1),('Diário 5º PA'!$F$5:$F$2634))+
SUMPRODUCT(-('Diário 6º PA'!$E$5:$E$2246='Analítico Cx.'!$B121),-('Diário 6º PA'!$P$5:$P$2246=K$1),('Diário 6º PA'!$F$5:$F$2246))+
SUMPRODUCT(-('Diário 7º PA'!$E$5:$E$2271='Analítico Cx.'!$B121),-('Diário 7º PA'!$P$5:$P$2271=K$1),('Diário 7º PA'!$F$5:$F$2271))+
SUMPRODUCT(-('Diário 8º PA'!$E$5:$E$2488='Analítico Cx.'!$B121),-('Diário 8º PA'!$P$5:$P$2488=K$1),('Diário 8º PA'!$F$5:$F$2488))</f>
        <v>0</v>
      </c>
      <c r="L121" s="185">
        <f>SUMPRODUCT(-('Diário 5º PA'!$E$5:$E$2634='Analítico Cx.'!$B121),-('Diário 5º PA'!$P$5:$P$2634=L$1),('Diário 5º PA'!$F$5:$F$2634))+
SUMPRODUCT(-('Diário 6º PA'!$E$5:$E$2246='Analítico Cx.'!$B121),-('Diário 6º PA'!$P$5:$P$2246=L$1),('Diário 6º PA'!$F$5:$F$2246))+
SUMPRODUCT(-('Diário 7º PA'!$E$5:$E$2271='Analítico Cx.'!$B121),-('Diário 7º PA'!$P$5:$P$2271=L$1),('Diário 7º PA'!$F$5:$F$2271))+
SUMPRODUCT(-('Diário 8º PA'!$E$5:$E$2488='Analítico Cx.'!$B121),-('Diário 8º PA'!$P$5:$P$2488=L$1),('Diário 8º PA'!$F$5:$F$2488))</f>
        <v>0</v>
      </c>
      <c r="M121" s="185">
        <f>SUMPRODUCT(-('Diário 5º PA'!$E$5:$E$2634='Analítico Cx.'!$B121),-('Diário 5º PA'!$P$5:$P$2634=M$1),('Diário 5º PA'!$F$5:$F$2634))+
SUMPRODUCT(-('Diário 6º PA'!$E$5:$E$2246='Analítico Cx.'!$B121),-('Diário 6º PA'!$P$5:$P$2246=M$1),('Diário 6º PA'!$F$5:$F$2246))+
SUMPRODUCT(-('Diário 7º PA'!$E$5:$E$2271='Analítico Cx.'!$B121),-('Diário 7º PA'!$P$5:$P$2271=M$1),('Diário 7º PA'!$F$5:$F$2271))+
SUMPRODUCT(-('Diário 8º PA'!$E$5:$E$2488='Analítico Cx.'!$B121),-('Diário 8º PA'!$P$5:$P$2488=M$1),('Diário 8º PA'!$F$5:$F$2488))</f>
        <v>0</v>
      </c>
      <c r="N121" s="185">
        <f>SUMPRODUCT(-('Diário 5º PA'!$E$5:$E$2634='Analítico Cx.'!$B121),-('Diário 5º PA'!$P$5:$P$2634=N$1),('Diário 5º PA'!$F$5:$F$2634))+
SUMPRODUCT(-('Diário 6º PA'!$E$5:$E$2246='Analítico Cx.'!$B121),-('Diário 6º PA'!$P$5:$P$2246=N$1),('Diário 6º PA'!$F$5:$F$2246))+
SUMPRODUCT(-('Diário 7º PA'!$E$5:$E$2271='Analítico Cx.'!$B121),-('Diário 7º PA'!$P$5:$P$2271=N$1),('Diário 7º PA'!$F$5:$F$2271))+
SUMPRODUCT(-('Diário 8º PA'!$E$5:$E$2488='Analítico Cx.'!$B121),-('Diário 8º PA'!$P$5:$P$2488=N$1),('Diário 8º PA'!$F$5:$F$2488))</f>
        <v>0</v>
      </c>
      <c r="O121" s="186">
        <f t="shared" si="16"/>
        <v>0</v>
      </c>
      <c r="P121" s="187">
        <f t="shared" si="17"/>
        <v>0</v>
      </c>
      <c r="Q121" s="34"/>
      <c r="R121" s="34"/>
      <c r="S121" s="34"/>
      <c r="T121" s="34"/>
      <c r="U121" s="34"/>
      <c r="V121" s="34"/>
      <c r="W121" s="34"/>
      <c r="X121" s="34"/>
      <c r="Y121" s="34"/>
      <c r="Z121" s="34"/>
    </row>
    <row r="122" spans="1:26" ht="12.75" customHeight="1" x14ac:dyDescent="0.2">
      <c r="A122" s="203" t="s">
        <v>335</v>
      </c>
      <c r="B122" s="72" t="s">
        <v>336</v>
      </c>
      <c r="C122" s="185">
        <f>SUMPRODUCT(-('Diário 5º PA'!$E$5:$E$2634='Analítico Cx.'!$B122),-('Diário 5º PA'!$P$5:$P$2634=C$1),('Diário 5º PA'!$F$5:$F$2634))+
SUMPRODUCT(-('Diário 6º PA'!$E$5:$E$2246='Analítico Cx.'!$B122),-('Diário 6º PA'!$P$5:$P$2246=C$1),('Diário 6º PA'!$F$5:$F$2246))+
SUMPRODUCT(-('Diário 7º PA'!$E$5:$E$2271='Analítico Cx.'!$B122),-('Diário 7º PA'!$P$5:$P$2271=C$1),('Diário 7º PA'!$F$5:$F$2271))+
SUMPRODUCT(-('Diário 8º PA'!$E$5:$E$2488='Analítico Cx.'!$B122),-('Diário 8º PA'!$P$5:$P$2488=C$1),('Diário 8º PA'!$F$5:$F$2488))</f>
        <v>122508.48999999999</v>
      </c>
      <c r="D122" s="185">
        <f>SUMPRODUCT(-('Diário 5º PA'!$E$5:$E$2634='Analítico Cx.'!$B122),-('Diário 5º PA'!$P$5:$P$2634=D$1),('Diário 5º PA'!$F$5:$F$2634))+
SUMPRODUCT(-('Diário 6º PA'!$E$5:$E$2246='Analítico Cx.'!$B122),-('Diário 6º PA'!$P$5:$P$2246=D$1),('Diário 6º PA'!$F$5:$F$2246))+
SUMPRODUCT(-('Diário 7º PA'!$E$5:$E$2271='Analítico Cx.'!$B122),-('Diário 7º PA'!$P$5:$P$2271=D$1),('Diário 7º PA'!$F$5:$F$2271))+
SUMPRODUCT(-('Diário 8º PA'!$E$5:$E$2488='Analítico Cx.'!$B122),-('Diário 8º PA'!$P$5:$P$2488=D$1),('Diário 8º PA'!$F$5:$F$2488))</f>
        <v>5291.8099999999995</v>
      </c>
      <c r="E122" s="185">
        <f>SUMPRODUCT(-('Diário 5º PA'!$E$5:$E$2634='Analítico Cx.'!$B122),-('Diário 5º PA'!$P$5:$P$2634=E$1),('Diário 5º PA'!$F$5:$F$2634))+
SUMPRODUCT(-('Diário 6º PA'!$E$5:$E$2246='Analítico Cx.'!$B122),-('Diário 6º PA'!$P$5:$P$2246=E$1),('Diário 6º PA'!$F$5:$F$2246))+
SUMPRODUCT(-('Diário 7º PA'!$E$5:$E$2271='Analítico Cx.'!$B122),-('Diário 7º PA'!$P$5:$P$2271=E$1),('Diário 7º PA'!$F$5:$F$2271))+
SUMPRODUCT(-('Diário 8º PA'!$E$5:$E$2488='Analítico Cx.'!$B122),-('Diário 8º PA'!$P$5:$P$2488=E$1),('Diário 8º PA'!$F$5:$F$2488))</f>
        <v>4895.92</v>
      </c>
      <c r="F122" s="185">
        <f>SUMPRODUCT(-('Diário 5º PA'!$E$5:$E$2634='Analítico Cx.'!$B122),-('Diário 5º PA'!$P$5:$P$2634=F$1),('Diário 5º PA'!$F$5:$F$2634))+
SUMPRODUCT(-('Diário 6º PA'!$E$5:$E$2246='Analítico Cx.'!$B122),-('Diário 6º PA'!$P$5:$P$2246=F$1),('Diário 6º PA'!$F$5:$F$2246))+
SUMPRODUCT(-('Diário 7º PA'!$E$5:$E$2271='Analítico Cx.'!$B122),-('Diário 7º PA'!$P$5:$P$2271=F$1),('Diário 7º PA'!$F$5:$F$2271))+
SUMPRODUCT(-('Diário 8º PA'!$E$5:$E$2488='Analítico Cx.'!$B122),-('Diário 8º PA'!$P$5:$P$2488=F$1),('Diário 8º PA'!$F$5:$F$2488))</f>
        <v>15276.8</v>
      </c>
      <c r="G122" s="185">
        <f>SUMPRODUCT(-('Diário 5º PA'!$E$5:$E$2634='Analítico Cx.'!$B122),-('Diário 5º PA'!$P$5:$P$2634=G$1),('Diário 5º PA'!$F$5:$F$2634))+
SUMPRODUCT(-('Diário 6º PA'!$E$5:$E$2246='Analítico Cx.'!$B122),-('Diário 6º PA'!$P$5:$P$2246=G$1),('Diário 6º PA'!$F$5:$F$2246))+
SUMPRODUCT(-('Diário 7º PA'!$E$5:$E$2271='Analítico Cx.'!$B122),-('Diário 7º PA'!$P$5:$P$2271=G$1),('Diário 7º PA'!$F$5:$F$2271))+
SUMPRODUCT(-('Diário 8º PA'!$E$5:$E$2488='Analítico Cx.'!$B122),-('Diário 8º PA'!$P$5:$P$2488=G$1),('Diário 8º PA'!$F$5:$F$2488))</f>
        <v>9390.8499999999985</v>
      </c>
      <c r="H122" s="185">
        <f>SUMPRODUCT(-('Diário 5º PA'!$E$5:$E$2634='Analítico Cx.'!$B122),-('Diário 5º PA'!$P$5:$P$2634=H$1),('Diário 5º PA'!$F$5:$F$2634))+
SUMPRODUCT(-('Diário 6º PA'!$E$5:$E$2246='Analítico Cx.'!$B122),-('Diário 6º PA'!$P$5:$P$2246=H$1),('Diário 6º PA'!$F$5:$F$2246))+
SUMPRODUCT(-('Diário 7º PA'!$E$5:$E$2271='Analítico Cx.'!$B122),-('Diário 7º PA'!$P$5:$P$2271=H$1),('Diário 7º PA'!$F$5:$F$2271))+
SUMPRODUCT(-('Diário 8º PA'!$E$5:$E$2488='Analítico Cx.'!$B122),-('Diário 8º PA'!$P$5:$P$2488=H$1),('Diário 8º PA'!$F$5:$F$2488))</f>
        <v>102420.10000000002</v>
      </c>
      <c r="I122" s="185">
        <f>SUMPRODUCT(-('Diário 5º PA'!$E$5:$E$2634='Analítico Cx.'!$B122),-('Diário 5º PA'!$P$5:$P$2634=I$1),('Diário 5º PA'!$F$5:$F$2634))+
SUMPRODUCT(-('Diário 6º PA'!$E$5:$E$2246='Analítico Cx.'!$B122),-('Diário 6º PA'!$P$5:$P$2246=I$1),('Diário 6º PA'!$F$5:$F$2246))+
SUMPRODUCT(-('Diário 7º PA'!$E$5:$E$2271='Analítico Cx.'!$B122),-('Diário 7º PA'!$P$5:$P$2271=I$1),('Diário 7º PA'!$F$5:$F$2271))+
SUMPRODUCT(-('Diário 8º PA'!$E$5:$E$2488='Analítico Cx.'!$B122),-('Diário 8º PA'!$P$5:$P$2488=I$1),('Diário 8º PA'!$F$5:$F$2488))</f>
        <v>93486.62000000001</v>
      </c>
      <c r="J122" s="185">
        <f>SUMPRODUCT(-('Diário 5º PA'!$E$5:$E$2634='Analítico Cx.'!$B122),-('Diário 5º PA'!$P$5:$P$2634=J$1),('Diário 5º PA'!$F$5:$F$2634))+
SUMPRODUCT(-('Diário 6º PA'!$E$5:$E$2246='Analítico Cx.'!$B122),-('Diário 6º PA'!$P$5:$P$2246=J$1),('Diário 6º PA'!$F$5:$F$2246))+
SUMPRODUCT(-('Diário 7º PA'!$E$5:$E$2271='Analítico Cx.'!$B122),-('Diário 7º PA'!$P$5:$P$2271=J$1),('Diário 7º PA'!$F$5:$F$2271))+
SUMPRODUCT(-('Diário 8º PA'!$E$5:$E$2488='Analítico Cx.'!$B122),-('Diário 8º PA'!$P$5:$P$2488=J$1),('Diário 8º PA'!$F$5:$F$2488))</f>
        <v>57923.4</v>
      </c>
      <c r="K122" s="185">
        <f>SUMPRODUCT(-('Diário 5º PA'!$E$5:$E$2634='Analítico Cx.'!$B122),-('Diário 5º PA'!$P$5:$P$2634=K$1),('Diário 5º PA'!$F$5:$F$2634))+
SUMPRODUCT(-('Diário 6º PA'!$E$5:$E$2246='Analítico Cx.'!$B122),-('Diário 6º PA'!$P$5:$P$2246=K$1),('Diário 6º PA'!$F$5:$F$2246))+
SUMPRODUCT(-('Diário 7º PA'!$E$5:$E$2271='Analítico Cx.'!$B122),-('Diário 7º PA'!$P$5:$P$2271=K$1),('Diário 7º PA'!$F$5:$F$2271))+
SUMPRODUCT(-('Diário 8º PA'!$E$5:$E$2488='Analítico Cx.'!$B122),-('Diário 8º PA'!$P$5:$P$2488=K$1),('Diário 8º PA'!$F$5:$F$2488))</f>
        <v>42895.99</v>
      </c>
      <c r="L122" s="185">
        <f>SUMPRODUCT(-('Diário 5º PA'!$E$5:$E$2634='Analítico Cx.'!$B122),-('Diário 5º PA'!$P$5:$P$2634=L$1),('Diário 5º PA'!$F$5:$F$2634))+
SUMPRODUCT(-('Diário 6º PA'!$E$5:$E$2246='Analítico Cx.'!$B122),-('Diário 6º PA'!$P$5:$P$2246=L$1),('Diário 6º PA'!$F$5:$F$2246))+
SUMPRODUCT(-('Diário 7º PA'!$E$5:$E$2271='Analítico Cx.'!$B122),-('Diário 7º PA'!$P$5:$P$2271=L$1),('Diário 7º PA'!$F$5:$F$2271))+
SUMPRODUCT(-('Diário 8º PA'!$E$5:$E$2488='Analítico Cx.'!$B122),-('Diário 8º PA'!$P$5:$P$2488=L$1),('Diário 8º PA'!$F$5:$F$2488))</f>
        <v>15993.130000000001</v>
      </c>
      <c r="M122" s="185">
        <f>SUMPRODUCT(-('Diário 5º PA'!$E$5:$E$2634='Analítico Cx.'!$B122),-('Diário 5º PA'!$P$5:$P$2634=M$1),('Diário 5º PA'!$F$5:$F$2634))+
SUMPRODUCT(-('Diário 6º PA'!$E$5:$E$2246='Analítico Cx.'!$B122),-('Diário 6º PA'!$P$5:$P$2246=M$1),('Diário 6º PA'!$F$5:$F$2246))+
SUMPRODUCT(-('Diário 7º PA'!$E$5:$E$2271='Analítico Cx.'!$B122),-('Diário 7º PA'!$P$5:$P$2271=M$1),('Diário 7º PA'!$F$5:$F$2271))+
SUMPRODUCT(-('Diário 8º PA'!$E$5:$E$2488='Analítico Cx.'!$B122),-('Diário 8º PA'!$P$5:$P$2488=M$1),('Diário 8º PA'!$F$5:$F$2488))</f>
        <v>21624.489999999998</v>
      </c>
      <c r="N122" s="185">
        <f>SUMPRODUCT(-('Diário 5º PA'!$E$5:$E$2634='Analítico Cx.'!$B122),-('Diário 5º PA'!$P$5:$P$2634=N$1),('Diário 5º PA'!$F$5:$F$2634))+
SUMPRODUCT(-('Diário 6º PA'!$E$5:$E$2246='Analítico Cx.'!$B122),-('Diário 6º PA'!$P$5:$P$2246=N$1),('Diário 6º PA'!$F$5:$F$2246))+
SUMPRODUCT(-('Diário 7º PA'!$E$5:$E$2271='Analítico Cx.'!$B122),-('Diário 7º PA'!$P$5:$P$2271=N$1),('Diário 7º PA'!$F$5:$F$2271))+
SUMPRODUCT(-('Diário 8º PA'!$E$5:$E$2488='Analítico Cx.'!$B122),-('Diário 8º PA'!$P$5:$P$2488=N$1),('Diário 8º PA'!$F$5:$F$2488))</f>
        <v>19494.89</v>
      </c>
      <c r="O122" s="186">
        <f t="shared" si="16"/>
        <v>511202.49000000005</v>
      </c>
      <c r="P122" s="187">
        <f t="shared" si="17"/>
        <v>5.4239197642846348E-2</v>
      </c>
      <c r="Q122" s="34"/>
      <c r="R122" s="34"/>
      <c r="S122" s="34"/>
      <c r="T122" s="34"/>
      <c r="U122" s="34"/>
      <c r="V122" s="34"/>
      <c r="W122" s="34"/>
      <c r="X122" s="34"/>
      <c r="Y122" s="34"/>
      <c r="Z122" s="34"/>
    </row>
    <row r="123" spans="1:26" ht="12.75" customHeight="1" x14ac:dyDescent="0.2">
      <c r="A123" s="203" t="s">
        <v>337</v>
      </c>
      <c r="B123" s="72" t="s">
        <v>338</v>
      </c>
      <c r="C123" s="185">
        <f>SUMPRODUCT(-('Diário 5º PA'!$E$5:$E$2634='Analítico Cx.'!$B123),-('Diário 5º PA'!$P$5:$P$2634=C$1),('Diário 5º PA'!$F$5:$F$2634))+
SUMPRODUCT(-('Diário 6º PA'!$E$5:$E$2246='Analítico Cx.'!$B123),-('Diário 6º PA'!$P$5:$P$2246=C$1),('Diário 6º PA'!$F$5:$F$2246))+
SUMPRODUCT(-('Diário 7º PA'!$E$5:$E$2271='Analítico Cx.'!$B123),-('Diário 7º PA'!$P$5:$P$2271=C$1),('Diário 7º PA'!$F$5:$F$2271))+
SUMPRODUCT(-('Diário 8º PA'!$E$5:$E$2488='Analítico Cx.'!$B123),-('Diário 8º PA'!$P$5:$P$2488=C$1),('Diário 8º PA'!$F$5:$F$2488))</f>
        <v>0</v>
      </c>
      <c r="D123" s="185">
        <f>SUMPRODUCT(-('Diário 5º PA'!$E$5:$E$2634='Analítico Cx.'!$B123),-('Diário 5º PA'!$P$5:$P$2634=D$1),('Diário 5º PA'!$F$5:$F$2634))+
SUMPRODUCT(-('Diário 6º PA'!$E$5:$E$2246='Analítico Cx.'!$B123),-('Diário 6º PA'!$P$5:$P$2246=D$1),('Diário 6º PA'!$F$5:$F$2246))+
SUMPRODUCT(-('Diário 7º PA'!$E$5:$E$2271='Analítico Cx.'!$B123),-('Diário 7º PA'!$P$5:$P$2271=D$1),('Diário 7º PA'!$F$5:$F$2271))+
SUMPRODUCT(-('Diário 8º PA'!$E$5:$E$2488='Analítico Cx.'!$B123),-('Diário 8º PA'!$P$5:$P$2488=D$1),('Diário 8º PA'!$F$5:$F$2488))</f>
        <v>0</v>
      </c>
      <c r="E123" s="185">
        <f>SUMPRODUCT(-('Diário 5º PA'!$E$5:$E$2634='Analítico Cx.'!$B123),-('Diário 5º PA'!$P$5:$P$2634=E$1),('Diário 5º PA'!$F$5:$F$2634))+
SUMPRODUCT(-('Diário 6º PA'!$E$5:$E$2246='Analítico Cx.'!$B123),-('Diário 6º PA'!$P$5:$P$2246=E$1),('Diário 6º PA'!$F$5:$F$2246))+
SUMPRODUCT(-('Diário 7º PA'!$E$5:$E$2271='Analítico Cx.'!$B123),-('Diário 7º PA'!$P$5:$P$2271=E$1),('Diário 7º PA'!$F$5:$F$2271))+
SUMPRODUCT(-('Diário 8º PA'!$E$5:$E$2488='Analítico Cx.'!$B123),-('Diário 8º PA'!$P$5:$P$2488=E$1),('Diário 8º PA'!$F$5:$F$2488))</f>
        <v>0</v>
      </c>
      <c r="F123" s="185">
        <f>SUMPRODUCT(-('Diário 5º PA'!$E$5:$E$2634='Analítico Cx.'!$B123),-('Diário 5º PA'!$P$5:$P$2634=F$1),('Diário 5º PA'!$F$5:$F$2634))+
SUMPRODUCT(-('Diário 6º PA'!$E$5:$E$2246='Analítico Cx.'!$B123),-('Diário 6º PA'!$P$5:$P$2246=F$1),('Diário 6º PA'!$F$5:$F$2246))+
SUMPRODUCT(-('Diário 7º PA'!$E$5:$E$2271='Analítico Cx.'!$B123),-('Diário 7º PA'!$P$5:$P$2271=F$1),('Diário 7º PA'!$F$5:$F$2271))+
SUMPRODUCT(-('Diário 8º PA'!$E$5:$E$2488='Analítico Cx.'!$B123),-('Diário 8º PA'!$P$5:$P$2488=F$1),('Diário 8º PA'!$F$5:$F$2488))</f>
        <v>0</v>
      </c>
      <c r="G123" s="185">
        <f>SUMPRODUCT(-('Diário 5º PA'!$E$5:$E$2634='Analítico Cx.'!$B123),-('Diário 5º PA'!$P$5:$P$2634=G$1),('Diário 5º PA'!$F$5:$F$2634))+
SUMPRODUCT(-('Diário 6º PA'!$E$5:$E$2246='Analítico Cx.'!$B123),-('Diário 6º PA'!$P$5:$P$2246=G$1),('Diário 6º PA'!$F$5:$F$2246))+
SUMPRODUCT(-('Diário 7º PA'!$E$5:$E$2271='Analítico Cx.'!$B123),-('Diário 7º PA'!$P$5:$P$2271=G$1),('Diário 7º PA'!$F$5:$F$2271))+
SUMPRODUCT(-('Diário 8º PA'!$E$5:$E$2488='Analítico Cx.'!$B123),-('Diário 8º PA'!$P$5:$P$2488=G$1),('Diário 8º PA'!$F$5:$F$2488))</f>
        <v>0</v>
      </c>
      <c r="H123" s="185">
        <f>SUMPRODUCT(-('Diário 5º PA'!$E$5:$E$2634='Analítico Cx.'!$B123),-('Diário 5º PA'!$P$5:$P$2634=H$1),('Diário 5º PA'!$F$5:$F$2634))+
SUMPRODUCT(-('Diário 6º PA'!$E$5:$E$2246='Analítico Cx.'!$B123),-('Diário 6º PA'!$P$5:$P$2246=H$1),('Diário 6º PA'!$F$5:$F$2246))+
SUMPRODUCT(-('Diário 7º PA'!$E$5:$E$2271='Analítico Cx.'!$B123),-('Diário 7º PA'!$P$5:$P$2271=H$1),('Diário 7º PA'!$F$5:$F$2271))+
SUMPRODUCT(-('Diário 8º PA'!$E$5:$E$2488='Analítico Cx.'!$B123),-('Diário 8º PA'!$P$5:$P$2488=H$1),('Diário 8º PA'!$F$5:$F$2488))</f>
        <v>0</v>
      </c>
      <c r="I123" s="185">
        <f>SUMPRODUCT(-('Diário 5º PA'!$E$5:$E$2634='Analítico Cx.'!$B123),-('Diário 5º PA'!$P$5:$P$2634=I$1),('Diário 5º PA'!$F$5:$F$2634))+
SUMPRODUCT(-('Diário 6º PA'!$E$5:$E$2246='Analítico Cx.'!$B123),-('Diário 6º PA'!$P$5:$P$2246=I$1),('Diário 6º PA'!$F$5:$F$2246))+
SUMPRODUCT(-('Diário 7º PA'!$E$5:$E$2271='Analítico Cx.'!$B123),-('Diário 7º PA'!$P$5:$P$2271=I$1),('Diário 7º PA'!$F$5:$F$2271))+
SUMPRODUCT(-('Diário 8º PA'!$E$5:$E$2488='Analítico Cx.'!$B123),-('Diário 8º PA'!$P$5:$P$2488=I$1),('Diário 8º PA'!$F$5:$F$2488))</f>
        <v>0</v>
      </c>
      <c r="J123" s="185">
        <f>SUMPRODUCT(-('Diário 5º PA'!$E$5:$E$2634='Analítico Cx.'!$B123),-('Diário 5º PA'!$P$5:$P$2634=J$1),('Diário 5º PA'!$F$5:$F$2634))+
SUMPRODUCT(-('Diário 6º PA'!$E$5:$E$2246='Analítico Cx.'!$B123),-('Diário 6º PA'!$P$5:$P$2246=J$1),('Diário 6º PA'!$F$5:$F$2246))+
SUMPRODUCT(-('Diário 7º PA'!$E$5:$E$2271='Analítico Cx.'!$B123),-('Diário 7º PA'!$P$5:$P$2271=J$1),('Diário 7º PA'!$F$5:$F$2271))+
SUMPRODUCT(-('Diário 8º PA'!$E$5:$E$2488='Analítico Cx.'!$B123),-('Diário 8º PA'!$P$5:$P$2488=J$1),('Diário 8º PA'!$F$5:$F$2488))</f>
        <v>0</v>
      </c>
      <c r="K123" s="185">
        <f>SUMPRODUCT(-('Diário 5º PA'!$E$5:$E$2634='Analítico Cx.'!$B123),-('Diário 5º PA'!$P$5:$P$2634=K$1),('Diário 5º PA'!$F$5:$F$2634))+
SUMPRODUCT(-('Diário 6º PA'!$E$5:$E$2246='Analítico Cx.'!$B123),-('Diário 6º PA'!$P$5:$P$2246=K$1),('Diário 6º PA'!$F$5:$F$2246))+
SUMPRODUCT(-('Diário 7º PA'!$E$5:$E$2271='Analítico Cx.'!$B123),-('Diário 7º PA'!$P$5:$P$2271=K$1),('Diário 7º PA'!$F$5:$F$2271))+
SUMPRODUCT(-('Diário 8º PA'!$E$5:$E$2488='Analítico Cx.'!$B123),-('Diário 8º PA'!$P$5:$P$2488=K$1),('Diário 8º PA'!$F$5:$F$2488))</f>
        <v>0</v>
      </c>
      <c r="L123" s="185">
        <f>SUMPRODUCT(-('Diário 5º PA'!$E$5:$E$2634='Analítico Cx.'!$B123),-('Diário 5º PA'!$P$5:$P$2634=L$1),('Diário 5º PA'!$F$5:$F$2634))+
SUMPRODUCT(-('Diário 6º PA'!$E$5:$E$2246='Analítico Cx.'!$B123),-('Diário 6º PA'!$P$5:$P$2246=L$1),('Diário 6º PA'!$F$5:$F$2246))+
SUMPRODUCT(-('Diário 7º PA'!$E$5:$E$2271='Analítico Cx.'!$B123),-('Diário 7º PA'!$P$5:$P$2271=L$1),('Diário 7º PA'!$F$5:$F$2271))+
SUMPRODUCT(-('Diário 8º PA'!$E$5:$E$2488='Analítico Cx.'!$B123),-('Diário 8º PA'!$P$5:$P$2488=L$1),('Diário 8º PA'!$F$5:$F$2488))</f>
        <v>0</v>
      </c>
      <c r="M123" s="185">
        <f>SUMPRODUCT(-('Diário 5º PA'!$E$5:$E$2634='Analítico Cx.'!$B123),-('Diário 5º PA'!$P$5:$P$2634=M$1),('Diário 5º PA'!$F$5:$F$2634))+
SUMPRODUCT(-('Diário 6º PA'!$E$5:$E$2246='Analítico Cx.'!$B123),-('Diário 6º PA'!$P$5:$P$2246=M$1),('Diário 6º PA'!$F$5:$F$2246))+
SUMPRODUCT(-('Diário 7º PA'!$E$5:$E$2271='Analítico Cx.'!$B123),-('Diário 7º PA'!$P$5:$P$2271=M$1),('Diário 7º PA'!$F$5:$F$2271))+
SUMPRODUCT(-('Diário 8º PA'!$E$5:$E$2488='Analítico Cx.'!$B123),-('Diário 8º PA'!$P$5:$P$2488=M$1),('Diário 8º PA'!$F$5:$F$2488))</f>
        <v>0</v>
      </c>
      <c r="N123" s="185">
        <f>SUMPRODUCT(-('Diário 5º PA'!$E$5:$E$2634='Analítico Cx.'!$B123),-('Diário 5º PA'!$P$5:$P$2634=N$1),('Diário 5º PA'!$F$5:$F$2634))+
SUMPRODUCT(-('Diário 6º PA'!$E$5:$E$2246='Analítico Cx.'!$B123),-('Diário 6º PA'!$P$5:$P$2246=N$1),('Diário 6º PA'!$F$5:$F$2246))+
SUMPRODUCT(-('Diário 7º PA'!$E$5:$E$2271='Analítico Cx.'!$B123),-('Diário 7º PA'!$P$5:$P$2271=N$1),('Diário 7º PA'!$F$5:$F$2271))+
SUMPRODUCT(-('Diário 8º PA'!$E$5:$E$2488='Analítico Cx.'!$B123),-('Diário 8º PA'!$P$5:$P$2488=N$1),('Diário 8º PA'!$F$5:$F$2488))</f>
        <v>0</v>
      </c>
      <c r="O123" s="186">
        <f t="shared" si="16"/>
        <v>0</v>
      </c>
      <c r="P123" s="187">
        <f t="shared" si="17"/>
        <v>0</v>
      </c>
      <c r="Q123" s="34"/>
      <c r="R123" s="34"/>
      <c r="S123" s="34"/>
      <c r="T123" s="34"/>
      <c r="U123" s="34"/>
      <c r="V123" s="34"/>
      <c r="W123" s="34"/>
      <c r="X123" s="34"/>
      <c r="Y123" s="34"/>
      <c r="Z123" s="34"/>
    </row>
    <row r="124" spans="1:26" ht="12.75" customHeight="1" x14ac:dyDescent="0.2">
      <c r="A124" s="203" t="s">
        <v>339</v>
      </c>
      <c r="B124" s="72" t="s">
        <v>340</v>
      </c>
      <c r="C124" s="185">
        <f>SUMPRODUCT(-('Diário 5º PA'!$E$5:$E$2634='Analítico Cx.'!$B124),-('Diário 5º PA'!$P$5:$P$2634=C$1),('Diário 5º PA'!$F$5:$F$2634))+
SUMPRODUCT(-('Diário 6º PA'!$E$5:$E$2246='Analítico Cx.'!$B124),-('Diário 6º PA'!$P$5:$P$2246=C$1),('Diário 6º PA'!$F$5:$F$2246))+
SUMPRODUCT(-('Diário 7º PA'!$E$5:$E$2271='Analítico Cx.'!$B124),-('Diário 7º PA'!$P$5:$P$2271=C$1),('Diário 7º PA'!$F$5:$F$2271))+
SUMPRODUCT(-('Diário 8º PA'!$E$5:$E$2488='Analítico Cx.'!$B124),-('Diário 8º PA'!$P$5:$P$2488=C$1),('Diário 8º PA'!$F$5:$F$2488))</f>
        <v>0</v>
      </c>
      <c r="D124" s="185">
        <f>SUMPRODUCT(-('Diário 5º PA'!$E$5:$E$2634='Analítico Cx.'!$B124),-('Diário 5º PA'!$P$5:$P$2634=D$1),('Diário 5º PA'!$F$5:$F$2634))+
SUMPRODUCT(-('Diário 6º PA'!$E$5:$E$2246='Analítico Cx.'!$B124),-('Diário 6º PA'!$P$5:$P$2246=D$1),('Diário 6º PA'!$F$5:$F$2246))+
SUMPRODUCT(-('Diário 7º PA'!$E$5:$E$2271='Analítico Cx.'!$B124),-('Diário 7º PA'!$P$5:$P$2271=D$1),('Diário 7º PA'!$F$5:$F$2271))+
SUMPRODUCT(-('Diário 8º PA'!$E$5:$E$2488='Analítico Cx.'!$B124),-('Diário 8º PA'!$P$5:$P$2488=D$1),('Diário 8º PA'!$F$5:$F$2488))</f>
        <v>0</v>
      </c>
      <c r="E124" s="185">
        <f>SUMPRODUCT(-('Diário 5º PA'!$E$5:$E$2634='Analítico Cx.'!$B124),-('Diário 5º PA'!$P$5:$P$2634=E$1),('Diário 5º PA'!$F$5:$F$2634))+
SUMPRODUCT(-('Diário 6º PA'!$E$5:$E$2246='Analítico Cx.'!$B124),-('Diário 6º PA'!$P$5:$P$2246=E$1),('Diário 6º PA'!$F$5:$F$2246))+
SUMPRODUCT(-('Diário 7º PA'!$E$5:$E$2271='Analítico Cx.'!$B124),-('Diário 7º PA'!$P$5:$P$2271=E$1),('Diário 7º PA'!$F$5:$F$2271))+
SUMPRODUCT(-('Diário 8º PA'!$E$5:$E$2488='Analítico Cx.'!$B124),-('Diário 8º PA'!$P$5:$P$2488=E$1),('Diário 8º PA'!$F$5:$F$2488))</f>
        <v>0</v>
      </c>
      <c r="F124" s="185">
        <f>SUMPRODUCT(-('Diário 5º PA'!$E$5:$E$2634='Analítico Cx.'!$B124),-('Diário 5º PA'!$P$5:$P$2634=F$1),('Diário 5º PA'!$F$5:$F$2634))+
SUMPRODUCT(-('Diário 6º PA'!$E$5:$E$2246='Analítico Cx.'!$B124),-('Diário 6º PA'!$P$5:$P$2246=F$1),('Diário 6º PA'!$F$5:$F$2246))+
SUMPRODUCT(-('Diário 7º PA'!$E$5:$E$2271='Analítico Cx.'!$B124),-('Diário 7º PA'!$P$5:$P$2271=F$1),('Diário 7º PA'!$F$5:$F$2271))+
SUMPRODUCT(-('Diário 8º PA'!$E$5:$E$2488='Analítico Cx.'!$B124),-('Diário 8º PA'!$P$5:$P$2488=F$1),('Diário 8º PA'!$F$5:$F$2488))</f>
        <v>907.2</v>
      </c>
      <c r="G124" s="185">
        <f>SUMPRODUCT(-('Diário 5º PA'!$E$5:$E$2634='Analítico Cx.'!$B124),-('Diário 5º PA'!$P$5:$P$2634=G$1),('Diário 5º PA'!$F$5:$F$2634))+
SUMPRODUCT(-('Diário 6º PA'!$E$5:$E$2246='Analítico Cx.'!$B124),-('Diário 6º PA'!$P$5:$P$2246=G$1),('Diário 6º PA'!$F$5:$F$2246))+
SUMPRODUCT(-('Diário 7º PA'!$E$5:$E$2271='Analítico Cx.'!$B124),-('Diário 7º PA'!$P$5:$P$2271=G$1),('Diário 7º PA'!$F$5:$F$2271))+
SUMPRODUCT(-('Diário 8º PA'!$E$5:$E$2488='Analítico Cx.'!$B124),-('Diário 8º PA'!$P$5:$P$2488=G$1),('Diário 8º PA'!$F$5:$F$2488))</f>
        <v>7809.3</v>
      </c>
      <c r="H124" s="185">
        <f>SUMPRODUCT(-('Diário 5º PA'!$E$5:$E$2634='Analítico Cx.'!$B124),-('Diário 5º PA'!$P$5:$P$2634=H$1),('Diário 5º PA'!$F$5:$F$2634))+
SUMPRODUCT(-('Diário 6º PA'!$E$5:$E$2246='Analítico Cx.'!$B124),-('Diário 6º PA'!$P$5:$P$2246=H$1),('Diário 6º PA'!$F$5:$F$2246))+
SUMPRODUCT(-('Diário 7º PA'!$E$5:$E$2271='Analítico Cx.'!$B124),-('Diário 7º PA'!$P$5:$P$2271=H$1),('Diário 7º PA'!$F$5:$F$2271))+
SUMPRODUCT(-('Diário 8º PA'!$E$5:$E$2488='Analítico Cx.'!$B124),-('Diário 8º PA'!$P$5:$P$2488=H$1),('Diário 8º PA'!$F$5:$F$2488))</f>
        <v>304.5</v>
      </c>
      <c r="I124" s="185">
        <f>SUMPRODUCT(-('Diário 5º PA'!$E$5:$E$2634='Analítico Cx.'!$B124),-('Diário 5º PA'!$P$5:$P$2634=I$1),('Diário 5º PA'!$F$5:$F$2634))+
SUMPRODUCT(-('Diário 6º PA'!$E$5:$E$2246='Analítico Cx.'!$B124),-('Diário 6º PA'!$P$5:$P$2246=I$1),('Diário 6º PA'!$F$5:$F$2246))+
SUMPRODUCT(-('Diário 7º PA'!$E$5:$E$2271='Analítico Cx.'!$B124),-('Diário 7º PA'!$P$5:$P$2271=I$1),('Diário 7º PA'!$F$5:$F$2271))+
SUMPRODUCT(-('Diário 8º PA'!$E$5:$E$2488='Analítico Cx.'!$B124),-('Diário 8º PA'!$P$5:$P$2488=I$1),('Diário 8º PA'!$F$5:$F$2488))</f>
        <v>8327.7000000000007</v>
      </c>
      <c r="J124" s="185">
        <f>SUMPRODUCT(-('Diário 5º PA'!$E$5:$E$2634='Analítico Cx.'!$B124),-('Diário 5º PA'!$P$5:$P$2634=J$1),('Diário 5º PA'!$F$5:$F$2634))+
SUMPRODUCT(-('Diário 6º PA'!$E$5:$E$2246='Analítico Cx.'!$B124),-('Diário 6º PA'!$P$5:$P$2246=J$1),('Diário 6º PA'!$F$5:$F$2246))+
SUMPRODUCT(-('Diário 7º PA'!$E$5:$E$2271='Analítico Cx.'!$B124),-('Diário 7º PA'!$P$5:$P$2271=J$1),('Diário 7º PA'!$F$5:$F$2271))+
SUMPRODUCT(-('Diário 8º PA'!$E$5:$E$2488='Analítico Cx.'!$B124),-('Diário 8º PA'!$P$5:$P$2488=J$1),('Diário 8º PA'!$F$5:$F$2488))</f>
        <v>618.29999999999995</v>
      </c>
      <c r="K124" s="185">
        <f>SUMPRODUCT(-('Diário 5º PA'!$E$5:$E$2634='Analítico Cx.'!$B124),-('Diário 5º PA'!$P$5:$P$2634=K$1),('Diário 5º PA'!$F$5:$F$2634))+
SUMPRODUCT(-('Diário 6º PA'!$E$5:$E$2246='Analítico Cx.'!$B124),-('Diário 6º PA'!$P$5:$P$2246=K$1),('Diário 6º PA'!$F$5:$F$2246))+
SUMPRODUCT(-('Diário 7º PA'!$E$5:$E$2271='Analítico Cx.'!$B124),-('Diário 7º PA'!$P$5:$P$2271=K$1),('Diário 7º PA'!$F$5:$F$2271))+
SUMPRODUCT(-('Diário 8º PA'!$E$5:$E$2488='Analítico Cx.'!$B124),-('Diário 8º PA'!$P$5:$P$2488=K$1),('Diário 8º PA'!$F$5:$F$2488))</f>
        <v>138.16</v>
      </c>
      <c r="L124" s="185">
        <f>SUMPRODUCT(-('Diário 5º PA'!$E$5:$E$2634='Analítico Cx.'!$B124),-('Diário 5º PA'!$P$5:$P$2634=L$1),('Diário 5º PA'!$F$5:$F$2634))+
SUMPRODUCT(-('Diário 6º PA'!$E$5:$E$2246='Analítico Cx.'!$B124),-('Diário 6º PA'!$P$5:$P$2246=L$1),('Diário 6º PA'!$F$5:$F$2246))+
SUMPRODUCT(-('Diário 7º PA'!$E$5:$E$2271='Analítico Cx.'!$B124),-('Diário 7º PA'!$P$5:$P$2271=L$1),('Diário 7º PA'!$F$5:$F$2271))+
SUMPRODUCT(-('Diário 8º PA'!$E$5:$E$2488='Analítico Cx.'!$B124),-('Diário 8º PA'!$P$5:$P$2488=L$1),('Diário 8º PA'!$F$5:$F$2488))</f>
        <v>0</v>
      </c>
      <c r="M124" s="185">
        <f>SUMPRODUCT(-('Diário 5º PA'!$E$5:$E$2634='Analítico Cx.'!$B124),-('Diário 5º PA'!$P$5:$P$2634=M$1),('Diário 5º PA'!$F$5:$F$2634))+
SUMPRODUCT(-('Diário 6º PA'!$E$5:$E$2246='Analítico Cx.'!$B124),-('Diário 6º PA'!$P$5:$P$2246=M$1),('Diário 6º PA'!$F$5:$F$2246))+
SUMPRODUCT(-('Diário 7º PA'!$E$5:$E$2271='Analítico Cx.'!$B124),-('Diário 7º PA'!$P$5:$P$2271=M$1),('Diário 7º PA'!$F$5:$F$2271))+
SUMPRODUCT(-('Diário 8º PA'!$E$5:$E$2488='Analítico Cx.'!$B124),-('Diário 8º PA'!$P$5:$P$2488=M$1),('Diário 8º PA'!$F$5:$F$2488))</f>
        <v>1260</v>
      </c>
      <c r="N124" s="185">
        <f>SUMPRODUCT(-('Diário 5º PA'!$E$5:$E$2634='Analítico Cx.'!$B124),-('Diário 5º PA'!$P$5:$P$2634=N$1),('Diário 5º PA'!$F$5:$F$2634))+
SUMPRODUCT(-('Diário 6º PA'!$E$5:$E$2246='Analítico Cx.'!$B124),-('Diário 6º PA'!$P$5:$P$2246=N$1),('Diário 6º PA'!$F$5:$F$2246))+
SUMPRODUCT(-('Diário 7º PA'!$E$5:$E$2271='Analítico Cx.'!$B124),-('Diário 7º PA'!$P$5:$P$2271=N$1),('Diário 7º PA'!$F$5:$F$2271))+
SUMPRODUCT(-('Diário 8º PA'!$E$5:$E$2488='Analítico Cx.'!$B124),-('Diário 8º PA'!$P$5:$P$2488=N$1),('Diário 8º PA'!$F$5:$F$2488))</f>
        <v>540</v>
      </c>
      <c r="O124" s="186">
        <f t="shared" si="16"/>
        <v>19905.16</v>
      </c>
      <c r="P124" s="187">
        <f t="shared" si="17"/>
        <v>2.1119613626148013E-3</v>
      </c>
      <c r="Q124" s="34"/>
      <c r="R124" s="34"/>
      <c r="S124" s="34"/>
      <c r="T124" s="34"/>
      <c r="U124" s="34"/>
      <c r="V124" s="34"/>
      <c r="W124" s="34"/>
      <c r="X124" s="34"/>
      <c r="Y124" s="34"/>
      <c r="Z124" s="34"/>
    </row>
    <row r="125" spans="1:26" ht="12.75" customHeight="1" x14ac:dyDescent="0.2">
      <c r="A125" s="203" t="s">
        <v>341</v>
      </c>
      <c r="B125" s="72" t="s">
        <v>342</v>
      </c>
      <c r="C125" s="185">
        <f>SUMPRODUCT(-('Diário 5º PA'!$E$5:$E$2634='Analítico Cx.'!$B125),-('Diário 5º PA'!$P$5:$P$2634=C$1),('Diário 5º PA'!$F$5:$F$2634))+
SUMPRODUCT(-('Diário 6º PA'!$E$5:$E$2246='Analítico Cx.'!$B125),-('Diário 6º PA'!$P$5:$P$2246=C$1),('Diário 6º PA'!$F$5:$F$2246))+
SUMPRODUCT(-('Diário 7º PA'!$E$5:$E$2271='Analítico Cx.'!$B125),-('Diário 7º PA'!$P$5:$P$2271=C$1),('Diário 7º PA'!$F$5:$F$2271))+
SUMPRODUCT(-('Diário 8º PA'!$E$5:$E$2488='Analítico Cx.'!$B125),-('Diário 8º PA'!$P$5:$P$2488=C$1),('Diário 8º PA'!$F$5:$F$2488))</f>
        <v>0</v>
      </c>
      <c r="D125" s="185">
        <f>SUMPRODUCT(-('Diário 5º PA'!$E$5:$E$2634='Analítico Cx.'!$B125),-('Diário 5º PA'!$P$5:$P$2634=D$1),('Diário 5º PA'!$F$5:$F$2634))+
SUMPRODUCT(-('Diário 6º PA'!$E$5:$E$2246='Analítico Cx.'!$B125),-('Diário 6º PA'!$P$5:$P$2246=D$1),('Diário 6º PA'!$F$5:$F$2246))+
SUMPRODUCT(-('Diário 7º PA'!$E$5:$E$2271='Analítico Cx.'!$B125),-('Diário 7º PA'!$P$5:$P$2271=D$1),('Diário 7º PA'!$F$5:$F$2271))+
SUMPRODUCT(-('Diário 8º PA'!$E$5:$E$2488='Analítico Cx.'!$B125),-('Diário 8º PA'!$P$5:$P$2488=D$1),('Diário 8º PA'!$F$5:$F$2488))</f>
        <v>0</v>
      </c>
      <c r="E125" s="185">
        <f>SUMPRODUCT(-('Diário 5º PA'!$E$5:$E$2634='Analítico Cx.'!$B125),-('Diário 5º PA'!$P$5:$P$2634=E$1),('Diário 5º PA'!$F$5:$F$2634))+
SUMPRODUCT(-('Diário 6º PA'!$E$5:$E$2246='Analítico Cx.'!$B125),-('Diário 6º PA'!$P$5:$P$2246=E$1),('Diário 6º PA'!$F$5:$F$2246))+
SUMPRODUCT(-('Diário 7º PA'!$E$5:$E$2271='Analítico Cx.'!$B125),-('Diário 7º PA'!$P$5:$P$2271=E$1),('Diário 7º PA'!$F$5:$F$2271))+
SUMPRODUCT(-('Diário 8º PA'!$E$5:$E$2488='Analítico Cx.'!$B125),-('Diário 8º PA'!$P$5:$P$2488=E$1),('Diário 8º PA'!$F$5:$F$2488))</f>
        <v>0</v>
      </c>
      <c r="F125" s="185">
        <f>SUMPRODUCT(-('Diário 5º PA'!$E$5:$E$2634='Analítico Cx.'!$B125),-('Diário 5º PA'!$P$5:$P$2634=F$1),('Diário 5º PA'!$F$5:$F$2634))+
SUMPRODUCT(-('Diário 6º PA'!$E$5:$E$2246='Analítico Cx.'!$B125),-('Diário 6º PA'!$P$5:$P$2246=F$1),('Diário 6º PA'!$F$5:$F$2246))+
SUMPRODUCT(-('Diário 7º PA'!$E$5:$E$2271='Analítico Cx.'!$B125),-('Diário 7º PA'!$P$5:$P$2271=F$1),('Diário 7º PA'!$F$5:$F$2271))+
SUMPRODUCT(-('Diário 8º PA'!$E$5:$E$2488='Analítico Cx.'!$B125),-('Diário 8º PA'!$P$5:$P$2488=F$1),('Diário 8º PA'!$F$5:$F$2488))</f>
        <v>0</v>
      </c>
      <c r="G125" s="185">
        <f>SUMPRODUCT(-('Diário 5º PA'!$E$5:$E$2634='Analítico Cx.'!$B125),-('Diário 5º PA'!$P$5:$P$2634=G$1),('Diário 5º PA'!$F$5:$F$2634))+
SUMPRODUCT(-('Diário 6º PA'!$E$5:$E$2246='Analítico Cx.'!$B125),-('Diário 6º PA'!$P$5:$P$2246=G$1),('Diário 6º PA'!$F$5:$F$2246))+
SUMPRODUCT(-('Diário 7º PA'!$E$5:$E$2271='Analítico Cx.'!$B125),-('Diário 7º PA'!$P$5:$P$2271=G$1),('Diário 7º PA'!$F$5:$F$2271))+
SUMPRODUCT(-('Diário 8º PA'!$E$5:$E$2488='Analítico Cx.'!$B125),-('Diário 8º PA'!$P$5:$P$2488=G$1),('Diário 8º PA'!$F$5:$F$2488))</f>
        <v>0</v>
      </c>
      <c r="H125" s="185">
        <f>SUMPRODUCT(-('Diário 5º PA'!$E$5:$E$2634='Analítico Cx.'!$B125),-('Diário 5º PA'!$P$5:$P$2634=H$1),('Diário 5º PA'!$F$5:$F$2634))+
SUMPRODUCT(-('Diário 6º PA'!$E$5:$E$2246='Analítico Cx.'!$B125),-('Diário 6º PA'!$P$5:$P$2246=H$1),('Diário 6º PA'!$F$5:$F$2246))+
SUMPRODUCT(-('Diário 7º PA'!$E$5:$E$2271='Analítico Cx.'!$B125),-('Diário 7º PA'!$P$5:$P$2271=H$1),('Diário 7º PA'!$F$5:$F$2271))+
SUMPRODUCT(-('Diário 8º PA'!$E$5:$E$2488='Analítico Cx.'!$B125),-('Diário 8º PA'!$P$5:$P$2488=H$1),('Diário 8º PA'!$F$5:$F$2488))</f>
        <v>0</v>
      </c>
      <c r="I125" s="185">
        <f>SUMPRODUCT(-('Diário 5º PA'!$E$5:$E$2634='Analítico Cx.'!$B125),-('Diário 5º PA'!$P$5:$P$2634=I$1),('Diário 5º PA'!$F$5:$F$2634))+
SUMPRODUCT(-('Diário 6º PA'!$E$5:$E$2246='Analítico Cx.'!$B125),-('Diário 6º PA'!$P$5:$P$2246=I$1),('Diário 6º PA'!$F$5:$F$2246))+
SUMPRODUCT(-('Diário 7º PA'!$E$5:$E$2271='Analítico Cx.'!$B125),-('Diário 7º PA'!$P$5:$P$2271=I$1),('Diário 7º PA'!$F$5:$F$2271))+
SUMPRODUCT(-('Diário 8º PA'!$E$5:$E$2488='Analítico Cx.'!$B125),-('Diário 8º PA'!$P$5:$P$2488=I$1),('Diário 8º PA'!$F$5:$F$2488))</f>
        <v>0</v>
      </c>
      <c r="J125" s="185">
        <f>SUMPRODUCT(-('Diário 5º PA'!$E$5:$E$2634='Analítico Cx.'!$B125),-('Diário 5º PA'!$P$5:$P$2634=J$1),('Diário 5º PA'!$F$5:$F$2634))+
SUMPRODUCT(-('Diário 6º PA'!$E$5:$E$2246='Analítico Cx.'!$B125),-('Diário 6º PA'!$P$5:$P$2246=J$1),('Diário 6º PA'!$F$5:$F$2246))+
SUMPRODUCT(-('Diário 7º PA'!$E$5:$E$2271='Analítico Cx.'!$B125),-('Diário 7º PA'!$P$5:$P$2271=J$1),('Diário 7º PA'!$F$5:$F$2271))+
SUMPRODUCT(-('Diário 8º PA'!$E$5:$E$2488='Analítico Cx.'!$B125),-('Diário 8º PA'!$P$5:$P$2488=J$1),('Diário 8º PA'!$F$5:$F$2488))</f>
        <v>0</v>
      </c>
      <c r="K125" s="185">
        <f>SUMPRODUCT(-('Diário 5º PA'!$E$5:$E$2634='Analítico Cx.'!$B125),-('Diário 5º PA'!$P$5:$P$2634=K$1),('Diário 5º PA'!$F$5:$F$2634))+
SUMPRODUCT(-('Diário 6º PA'!$E$5:$E$2246='Analítico Cx.'!$B125),-('Diário 6º PA'!$P$5:$P$2246=K$1),('Diário 6º PA'!$F$5:$F$2246))+
SUMPRODUCT(-('Diário 7º PA'!$E$5:$E$2271='Analítico Cx.'!$B125),-('Diário 7º PA'!$P$5:$P$2271=K$1),('Diário 7º PA'!$F$5:$F$2271))+
SUMPRODUCT(-('Diário 8º PA'!$E$5:$E$2488='Analítico Cx.'!$B125),-('Diário 8º PA'!$P$5:$P$2488=K$1),('Diário 8º PA'!$F$5:$F$2488))</f>
        <v>9155.1</v>
      </c>
      <c r="L125" s="185">
        <f>SUMPRODUCT(-('Diário 5º PA'!$E$5:$E$2634='Analítico Cx.'!$B125),-('Diário 5º PA'!$P$5:$P$2634=L$1),('Diário 5º PA'!$F$5:$F$2634))+
SUMPRODUCT(-('Diário 6º PA'!$E$5:$E$2246='Analítico Cx.'!$B125),-('Diário 6º PA'!$P$5:$P$2246=L$1),('Diário 6º PA'!$F$5:$F$2246))+
SUMPRODUCT(-('Diário 7º PA'!$E$5:$E$2271='Analítico Cx.'!$B125),-('Diário 7º PA'!$P$5:$P$2271=L$1),('Diário 7º PA'!$F$5:$F$2271))+
SUMPRODUCT(-('Diário 8º PA'!$E$5:$E$2488='Analítico Cx.'!$B125),-('Diário 8º PA'!$P$5:$P$2488=L$1),('Diário 8º PA'!$F$5:$F$2488))</f>
        <v>5688.9</v>
      </c>
      <c r="M125" s="185">
        <f>SUMPRODUCT(-('Diário 5º PA'!$E$5:$E$2634='Analítico Cx.'!$B125),-('Diário 5º PA'!$P$5:$P$2634=M$1),('Diário 5º PA'!$F$5:$F$2634))+
SUMPRODUCT(-('Diário 6º PA'!$E$5:$E$2246='Analítico Cx.'!$B125),-('Diário 6º PA'!$P$5:$P$2246=M$1),('Diário 6º PA'!$F$5:$F$2246))+
SUMPRODUCT(-('Diário 7º PA'!$E$5:$E$2271='Analítico Cx.'!$B125),-('Diário 7º PA'!$P$5:$P$2271=M$1),('Diário 7º PA'!$F$5:$F$2271))+
SUMPRODUCT(-('Diário 8º PA'!$E$5:$E$2488='Analítico Cx.'!$B125),-('Diário 8º PA'!$P$5:$P$2488=M$1),('Diário 8º PA'!$F$5:$F$2488))</f>
        <v>1536</v>
      </c>
      <c r="N125" s="185">
        <f>SUMPRODUCT(-('Diário 5º PA'!$E$5:$E$2634='Analítico Cx.'!$B125),-('Diário 5º PA'!$P$5:$P$2634=N$1),('Diário 5º PA'!$F$5:$F$2634))+
SUMPRODUCT(-('Diário 6º PA'!$E$5:$E$2246='Analítico Cx.'!$B125),-('Diário 6º PA'!$P$5:$P$2246=N$1),('Diário 6º PA'!$F$5:$F$2246))+
SUMPRODUCT(-('Diário 7º PA'!$E$5:$E$2271='Analítico Cx.'!$B125),-('Diário 7º PA'!$P$5:$P$2271=N$1),('Diário 7º PA'!$F$5:$F$2271))+
SUMPRODUCT(-('Diário 8º PA'!$E$5:$E$2488='Analítico Cx.'!$B125),-('Diário 8º PA'!$P$5:$P$2488=N$1),('Diário 8º PA'!$F$5:$F$2488))</f>
        <v>0</v>
      </c>
      <c r="O125" s="186">
        <f t="shared" si="16"/>
        <v>16380</v>
      </c>
      <c r="P125" s="187">
        <f t="shared" si="17"/>
        <v>1.7379376563479241E-3</v>
      </c>
      <c r="Q125" s="34"/>
      <c r="R125" s="34"/>
      <c r="S125" s="34"/>
      <c r="T125" s="34"/>
      <c r="U125" s="34"/>
      <c r="V125" s="34"/>
      <c r="W125" s="34"/>
      <c r="X125" s="34"/>
      <c r="Y125" s="34"/>
      <c r="Z125" s="34"/>
    </row>
    <row r="126" spans="1:26" ht="12.75" customHeight="1" x14ac:dyDescent="0.2">
      <c r="A126" s="203" t="s">
        <v>343</v>
      </c>
      <c r="B126" s="72" t="s">
        <v>344</v>
      </c>
      <c r="C126" s="185">
        <f>SUMPRODUCT(-('Diário 5º PA'!$E$5:$E$2634='Analítico Cx.'!$B126),-('Diário 5º PA'!$P$5:$P$2634=C$1),('Diário 5º PA'!$F$5:$F$2634))+
SUMPRODUCT(-('Diário 6º PA'!$E$5:$E$2246='Analítico Cx.'!$B126),-('Diário 6º PA'!$P$5:$P$2246=C$1),('Diário 6º PA'!$F$5:$F$2246))+
SUMPRODUCT(-('Diário 7º PA'!$E$5:$E$2271='Analítico Cx.'!$B126),-('Diário 7º PA'!$P$5:$P$2271=C$1),('Diário 7º PA'!$F$5:$F$2271))+
SUMPRODUCT(-('Diário 8º PA'!$E$5:$E$2488='Analítico Cx.'!$B126),-('Diário 8º PA'!$P$5:$P$2488=C$1),('Diário 8º PA'!$F$5:$F$2488))</f>
        <v>0</v>
      </c>
      <c r="D126" s="185">
        <f>SUMPRODUCT(-('Diário 5º PA'!$E$5:$E$2634='Analítico Cx.'!$B126),-('Diário 5º PA'!$P$5:$P$2634=D$1),('Diário 5º PA'!$F$5:$F$2634))+
SUMPRODUCT(-('Diário 6º PA'!$E$5:$E$2246='Analítico Cx.'!$B126),-('Diário 6º PA'!$P$5:$P$2246=D$1),('Diário 6º PA'!$F$5:$F$2246))+
SUMPRODUCT(-('Diário 7º PA'!$E$5:$E$2271='Analítico Cx.'!$B126),-('Diário 7º PA'!$P$5:$P$2271=D$1),('Diário 7º PA'!$F$5:$F$2271))+
SUMPRODUCT(-('Diário 8º PA'!$E$5:$E$2488='Analítico Cx.'!$B126),-('Diário 8º PA'!$P$5:$P$2488=D$1),('Diário 8º PA'!$F$5:$F$2488))</f>
        <v>0</v>
      </c>
      <c r="E126" s="185">
        <f>SUMPRODUCT(-('Diário 5º PA'!$E$5:$E$2634='Analítico Cx.'!$B126),-('Diário 5º PA'!$P$5:$P$2634=E$1),('Diário 5º PA'!$F$5:$F$2634))+
SUMPRODUCT(-('Diário 6º PA'!$E$5:$E$2246='Analítico Cx.'!$B126),-('Diário 6º PA'!$P$5:$P$2246=E$1),('Diário 6º PA'!$F$5:$F$2246))+
SUMPRODUCT(-('Diário 7º PA'!$E$5:$E$2271='Analítico Cx.'!$B126),-('Diário 7º PA'!$P$5:$P$2271=E$1),('Diário 7º PA'!$F$5:$F$2271))+
SUMPRODUCT(-('Diário 8º PA'!$E$5:$E$2488='Analítico Cx.'!$B126),-('Diário 8º PA'!$P$5:$P$2488=E$1),('Diário 8º PA'!$F$5:$F$2488))</f>
        <v>0</v>
      </c>
      <c r="F126" s="185">
        <f>SUMPRODUCT(-('Diário 5º PA'!$E$5:$E$2634='Analítico Cx.'!$B126),-('Diário 5º PA'!$P$5:$P$2634=F$1),('Diário 5º PA'!$F$5:$F$2634))+
SUMPRODUCT(-('Diário 6º PA'!$E$5:$E$2246='Analítico Cx.'!$B126),-('Diário 6º PA'!$P$5:$P$2246=F$1),('Diário 6º PA'!$F$5:$F$2246))+
SUMPRODUCT(-('Diário 7º PA'!$E$5:$E$2271='Analítico Cx.'!$B126),-('Diário 7º PA'!$P$5:$P$2271=F$1),('Diário 7º PA'!$F$5:$F$2271))+
SUMPRODUCT(-('Diário 8º PA'!$E$5:$E$2488='Analítico Cx.'!$B126),-('Diário 8º PA'!$P$5:$P$2488=F$1),('Diário 8º PA'!$F$5:$F$2488))</f>
        <v>0</v>
      </c>
      <c r="G126" s="185">
        <f>SUMPRODUCT(-('Diário 5º PA'!$E$5:$E$2634='Analítico Cx.'!$B126),-('Diário 5º PA'!$P$5:$P$2634=G$1),('Diário 5º PA'!$F$5:$F$2634))+
SUMPRODUCT(-('Diário 6º PA'!$E$5:$E$2246='Analítico Cx.'!$B126),-('Diário 6º PA'!$P$5:$P$2246=G$1),('Diário 6º PA'!$F$5:$F$2246))+
SUMPRODUCT(-('Diário 7º PA'!$E$5:$E$2271='Analítico Cx.'!$B126),-('Diário 7º PA'!$P$5:$P$2271=G$1),('Diário 7º PA'!$F$5:$F$2271))+
SUMPRODUCT(-('Diário 8º PA'!$E$5:$E$2488='Analítico Cx.'!$B126),-('Diário 8º PA'!$P$5:$P$2488=G$1),('Diário 8º PA'!$F$5:$F$2488))</f>
        <v>0</v>
      </c>
      <c r="H126" s="185">
        <f>SUMPRODUCT(-('Diário 5º PA'!$E$5:$E$2634='Analítico Cx.'!$B126),-('Diário 5º PA'!$P$5:$P$2634=H$1),('Diário 5º PA'!$F$5:$F$2634))+
SUMPRODUCT(-('Diário 6º PA'!$E$5:$E$2246='Analítico Cx.'!$B126),-('Diário 6º PA'!$P$5:$P$2246=H$1),('Diário 6º PA'!$F$5:$F$2246))+
SUMPRODUCT(-('Diário 7º PA'!$E$5:$E$2271='Analítico Cx.'!$B126),-('Diário 7º PA'!$P$5:$P$2271=H$1),('Diário 7º PA'!$F$5:$F$2271))+
SUMPRODUCT(-('Diário 8º PA'!$E$5:$E$2488='Analítico Cx.'!$B126),-('Diário 8º PA'!$P$5:$P$2488=H$1),('Diário 8º PA'!$F$5:$F$2488))</f>
        <v>0</v>
      </c>
      <c r="I126" s="185">
        <f>SUMPRODUCT(-('Diário 5º PA'!$E$5:$E$2634='Analítico Cx.'!$B126),-('Diário 5º PA'!$P$5:$P$2634=I$1),('Diário 5º PA'!$F$5:$F$2634))+
SUMPRODUCT(-('Diário 6º PA'!$E$5:$E$2246='Analítico Cx.'!$B126),-('Diário 6º PA'!$P$5:$P$2246=I$1),('Diário 6º PA'!$F$5:$F$2246))+
SUMPRODUCT(-('Diário 7º PA'!$E$5:$E$2271='Analítico Cx.'!$B126),-('Diário 7º PA'!$P$5:$P$2271=I$1),('Diário 7º PA'!$F$5:$F$2271))+
SUMPRODUCT(-('Diário 8º PA'!$E$5:$E$2488='Analítico Cx.'!$B126),-('Diário 8º PA'!$P$5:$P$2488=I$1),('Diário 8º PA'!$F$5:$F$2488))</f>
        <v>41.21</v>
      </c>
      <c r="J126" s="185">
        <f>SUMPRODUCT(-('Diário 5º PA'!$E$5:$E$2634='Analítico Cx.'!$B126),-('Diário 5º PA'!$P$5:$P$2634=J$1),('Diário 5º PA'!$F$5:$F$2634))+
SUMPRODUCT(-('Diário 6º PA'!$E$5:$E$2246='Analítico Cx.'!$B126),-('Diário 6º PA'!$P$5:$P$2246=J$1),('Diário 6º PA'!$F$5:$F$2246))+
SUMPRODUCT(-('Diário 7º PA'!$E$5:$E$2271='Analítico Cx.'!$B126),-('Diário 7º PA'!$P$5:$P$2271=J$1),('Diário 7º PA'!$F$5:$F$2271))+
SUMPRODUCT(-('Diário 8º PA'!$E$5:$E$2488='Analítico Cx.'!$B126),-('Diário 8º PA'!$P$5:$P$2488=J$1),('Diário 8º PA'!$F$5:$F$2488))</f>
        <v>65.8</v>
      </c>
      <c r="K126" s="185">
        <f>SUMPRODUCT(-('Diário 5º PA'!$E$5:$E$2634='Analítico Cx.'!$B126),-('Diário 5º PA'!$P$5:$P$2634=K$1),('Diário 5º PA'!$F$5:$F$2634))+
SUMPRODUCT(-('Diário 6º PA'!$E$5:$E$2246='Analítico Cx.'!$B126),-('Diário 6º PA'!$P$5:$P$2246=K$1),('Diário 6º PA'!$F$5:$F$2246))+
SUMPRODUCT(-('Diário 7º PA'!$E$5:$E$2271='Analítico Cx.'!$B126),-('Diário 7º PA'!$P$5:$P$2271=K$1),('Diário 7º PA'!$F$5:$F$2271))+
SUMPRODUCT(-('Diário 8º PA'!$E$5:$E$2488='Analítico Cx.'!$B126),-('Diário 8º PA'!$P$5:$P$2488=K$1),('Diário 8º PA'!$F$5:$F$2488))</f>
        <v>0</v>
      </c>
      <c r="L126" s="185">
        <f>SUMPRODUCT(-('Diário 5º PA'!$E$5:$E$2634='Analítico Cx.'!$B126),-('Diário 5º PA'!$P$5:$P$2634=L$1),('Diário 5º PA'!$F$5:$F$2634))+
SUMPRODUCT(-('Diário 6º PA'!$E$5:$E$2246='Analítico Cx.'!$B126),-('Diário 6º PA'!$P$5:$P$2246=L$1),('Diário 6º PA'!$F$5:$F$2246))+
SUMPRODUCT(-('Diário 7º PA'!$E$5:$E$2271='Analítico Cx.'!$B126),-('Diário 7º PA'!$P$5:$P$2271=L$1),('Diário 7º PA'!$F$5:$F$2271))+
SUMPRODUCT(-('Diário 8º PA'!$E$5:$E$2488='Analítico Cx.'!$B126),-('Diário 8º PA'!$P$5:$P$2488=L$1),('Diário 8º PA'!$F$5:$F$2488))</f>
        <v>0</v>
      </c>
      <c r="M126" s="185">
        <f>SUMPRODUCT(-('Diário 5º PA'!$E$5:$E$2634='Analítico Cx.'!$B126),-('Diário 5º PA'!$P$5:$P$2634=M$1),('Diário 5º PA'!$F$5:$F$2634))+
SUMPRODUCT(-('Diário 6º PA'!$E$5:$E$2246='Analítico Cx.'!$B126),-('Diário 6º PA'!$P$5:$P$2246=M$1),('Diário 6º PA'!$F$5:$F$2246))+
SUMPRODUCT(-('Diário 7º PA'!$E$5:$E$2271='Analítico Cx.'!$B126),-('Diário 7º PA'!$P$5:$P$2271=M$1),('Diário 7º PA'!$F$5:$F$2271))+
SUMPRODUCT(-('Diário 8º PA'!$E$5:$E$2488='Analítico Cx.'!$B126),-('Diário 8º PA'!$P$5:$P$2488=M$1),('Diário 8º PA'!$F$5:$F$2488))</f>
        <v>0</v>
      </c>
      <c r="N126" s="185">
        <f>SUMPRODUCT(-('Diário 5º PA'!$E$5:$E$2634='Analítico Cx.'!$B126),-('Diário 5º PA'!$P$5:$P$2634=N$1),('Diário 5º PA'!$F$5:$F$2634))+
SUMPRODUCT(-('Diário 6º PA'!$E$5:$E$2246='Analítico Cx.'!$B126),-('Diário 6º PA'!$P$5:$P$2246=N$1),('Diário 6º PA'!$F$5:$F$2246))+
SUMPRODUCT(-('Diário 7º PA'!$E$5:$E$2271='Analítico Cx.'!$B126),-('Diário 7º PA'!$P$5:$P$2271=N$1),('Diário 7º PA'!$F$5:$F$2271))+
SUMPRODUCT(-('Diário 8º PA'!$E$5:$E$2488='Analítico Cx.'!$B126),-('Diário 8º PA'!$P$5:$P$2488=N$1),('Diário 8º PA'!$F$5:$F$2488))</f>
        <v>0</v>
      </c>
      <c r="O126" s="186">
        <f t="shared" si="16"/>
        <v>107.00999999999999</v>
      </c>
      <c r="P126" s="187">
        <f t="shared" si="17"/>
        <v>1.1353889414272976E-5</v>
      </c>
      <c r="Q126" s="34"/>
      <c r="R126" s="34"/>
      <c r="S126" s="34"/>
      <c r="T126" s="34"/>
      <c r="U126" s="34"/>
      <c r="V126" s="34"/>
      <c r="W126" s="34"/>
      <c r="X126" s="34"/>
      <c r="Y126" s="34"/>
      <c r="Z126" s="34"/>
    </row>
    <row r="127" spans="1:26" ht="12.75" customHeight="1" x14ac:dyDescent="0.2">
      <c r="A127" s="203" t="s">
        <v>345</v>
      </c>
      <c r="B127" s="72" t="s">
        <v>346</v>
      </c>
      <c r="C127" s="185">
        <f>SUMPRODUCT(-('Diário 5º PA'!$E$5:$E$2634='Analítico Cx.'!$B127),-('Diário 5º PA'!$P$5:$P$2634=C$1),('Diário 5º PA'!$F$5:$F$2634))+
SUMPRODUCT(-('Diário 6º PA'!$E$5:$E$2246='Analítico Cx.'!$B127),-('Diário 6º PA'!$P$5:$P$2246=C$1),('Diário 6º PA'!$F$5:$F$2246))+
SUMPRODUCT(-('Diário 7º PA'!$E$5:$E$2271='Analítico Cx.'!$B127),-('Diário 7º PA'!$P$5:$P$2271=C$1),('Diário 7º PA'!$F$5:$F$2271))+
SUMPRODUCT(-('Diário 8º PA'!$E$5:$E$2488='Analítico Cx.'!$B127),-('Diário 8º PA'!$P$5:$P$2488=C$1),('Diário 8º PA'!$F$5:$F$2488))</f>
        <v>0</v>
      </c>
      <c r="D127" s="185">
        <f>SUMPRODUCT(-('Diário 5º PA'!$E$5:$E$2634='Analítico Cx.'!$B127),-('Diário 5º PA'!$P$5:$P$2634=D$1),('Diário 5º PA'!$F$5:$F$2634))+
SUMPRODUCT(-('Diário 6º PA'!$E$5:$E$2246='Analítico Cx.'!$B127),-('Diário 6º PA'!$P$5:$P$2246=D$1),('Diário 6º PA'!$F$5:$F$2246))+
SUMPRODUCT(-('Diário 7º PA'!$E$5:$E$2271='Analítico Cx.'!$B127),-('Diário 7º PA'!$P$5:$P$2271=D$1),('Diário 7º PA'!$F$5:$F$2271))+
SUMPRODUCT(-('Diário 8º PA'!$E$5:$E$2488='Analítico Cx.'!$B127),-('Diário 8º PA'!$P$5:$P$2488=D$1),('Diário 8º PA'!$F$5:$F$2488))</f>
        <v>0</v>
      </c>
      <c r="E127" s="185">
        <f>SUMPRODUCT(-('Diário 5º PA'!$E$5:$E$2634='Analítico Cx.'!$B127),-('Diário 5º PA'!$P$5:$P$2634=E$1),('Diário 5º PA'!$F$5:$F$2634))+
SUMPRODUCT(-('Diário 6º PA'!$E$5:$E$2246='Analítico Cx.'!$B127),-('Diário 6º PA'!$P$5:$P$2246=E$1),('Diário 6º PA'!$F$5:$F$2246))+
SUMPRODUCT(-('Diário 7º PA'!$E$5:$E$2271='Analítico Cx.'!$B127),-('Diário 7º PA'!$P$5:$P$2271=E$1),('Diário 7º PA'!$F$5:$F$2271))+
SUMPRODUCT(-('Diário 8º PA'!$E$5:$E$2488='Analítico Cx.'!$B127),-('Diário 8º PA'!$P$5:$P$2488=E$1),('Diário 8º PA'!$F$5:$F$2488))</f>
        <v>0</v>
      </c>
      <c r="F127" s="185">
        <f>SUMPRODUCT(-('Diário 5º PA'!$E$5:$E$2634='Analítico Cx.'!$B127),-('Diário 5º PA'!$P$5:$P$2634=F$1),('Diário 5º PA'!$F$5:$F$2634))+
SUMPRODUCT(-('Diário 6º PA'!$E$5:$E$2246='Analítico Cx.'!$B127),-('Diário 6º PA'!$P$5:$P$2246=F$1),('Diário 6º PA'!$F$5:$F$2246))+
SUMPRODUCT(-('Diário 7º PA'!$E$5:$E$2271='Analítico Cx.'!$B127),-('Diário 7º PA'!$P$5:$P$2271=F$1),('Diário 7º PA'!$F$5:$F$2271))+
SUMPRODUCT(-('Diário 8º PA'!$E$5:$E$2488='Analítico Cx.'!$B127),-('Diário 8º PA'!$P$5:$P$2488=F$1),('Diário 8º PA'!$F$5:$F$2488))</f>
        <v>0</v>
      </c>
      <c r="G127" s="185">
        <f>SUMPRODUCT(-('Diário 5º PA'!$E$5:$E$2634='Analítico Cx.'!$B127),-('Diário 5º PA'!$P$5:$P$2634=G$1),('Diário 5º PA'!$F$5:$F$2634))+
SUMPRODUCT(-('Diário 6º PA'!$E$5:$E$2246='Analítico Cx.'!$B127),-('Diário 6º PA'!$P$5:$P$2246=G$1),('Diário 6º PA'!$F$5:$F$2246))+
SUMPRODUCT(-('Diário 7º PA'!$E$5:$E$2271='Analítico Cx.'!$B127),-('Diário 7º PA'!$P$5:$P$2271=G$1),('Diário 7º PA'!$F$5:$F$2271))+
SUMPRODUCT(-('Diário 8º PA'!$E$5:$E$2488='Analítico Cx.'!$B127),-('Diário 8º PA'!$P$5:$P$2488=G$1),('Diário 8º PA'!$F$5:$F$2488))</f>
        <v>1998.6</v>
      </c>
      <c r="H127" s="185">
        <f>SUMPRODUCT(-('Diário 5º PA'!$E$5:$E$2634='Analítico Cx.'!$B127),-('Diário 5º PA'!$P$5:$P$2634=H$1),('Diário 5º PA'!$F$5:$F$2634))+
SUMPRODUCT(-('Diário 6º PA'!$E$5:$E$2246='Analítico Cx.'!$B127),-('Diário 6º PA'!$P$5:$P$2246=H$1),('Diário 6º PA'!$F$5:$F$2246))+
SUMPRODUCT(-('Diário 7º PA'!$E$5:$E$2271='Analítico Cx.'!$B127),-('Diário 7º PA'!$P$5:$P$2271=H$1),('Diário 7º PA'!$F$5:$F$2271))+
SUMPRODUCT(-('Diário 8º PA'!$E$5:$E$2488='Analítico Cx.'!$B127),-('Diário 8º PA'!$P$5:$P$2488=H$1),('Diário 8º PA'!$F$5:$F$2488))</f>
        <v>881.4</v>
      </c>
      <c r="I127" s="185">
        <f>SUMPRODUCT(-('Diário 5º PA'!$E$5:$E$2634='Analítico Cx.'!$B127),-('Diário 5º PA'!$P$5:$P$2634=I$1),('Diário 5º PA'!$F$5:$F$2634))+
SUMPRODUCT(-('Diário 6º PA'!$E$5:$E$2246='Analítico Cx.'!$B127),-('Diário 6º PA'!$P$5:$P$2246=I$1),('Diário 6º PA'!$F$5:$F$2246))+
SUMPRODUCT(-('Diário 7º PA'!$E$5:$E$2271='Analítico Cx.'!$B127),-('Diário 7º PA'!$P$5:$P$2271=I$1),('Diário 7º PA'!$F$5:$F$2271))+
SUMPRODUCT(-('Diário 8º PA'!$E$5:$E$2488='Analítico Cx.'!$B127),-('Diário 8º PA'!$P$5:$P$2488=I$1),('Diário 8º PA'!$F$5:$F$2488))</f>
        <v>0</v>
      </c>
      <c r="J127" s="185">
        <f>SUMPRODUCT(-('Diário 5º PA'!$E$5:$E$2634='Analítico Cx.'!$B127),-('Diário 5º PA'!$P$5:$P$2634=J$1),('Diário 5º PA'!$F$5:$F$2634))+
SUMPRODUCT(-('Diário 6º PA'!$E$5:$E$2246='Analítico Cx.'!$B127),-('Diário 6º PA'!$P$5:$P$2246=J$1),('Diário 6º PA'!$F$5:$F$2246))+
SUMPRODUCT(-('Diário 7º PA'!$E$5:$E$2271='Analítico Cx.'!$B127),-('Diário 7º PA'!$P$5:$P$2271=J$1),('Diário 7º PA'!$F$5:$F$2271))+
SUMPRODUCT(-('Diário 8º PA'!$E$5:$E$2488='Analítico Cx.'!$B127),-('Diário 8º PA'!$P$5:$P$2488=J$1),('Diário 8º PA'!$F$5:$F$2488))</f>
        <v>0</v>
      </c>
      <c r="K127" s="185">
        <f>SUMPRODUCT(-('Diário 5º PA'!$E$5:$E$2634='Analítico Cx.'!$B127),-('Diário 5º PA'!$P$5:$P$2634=K$1),('Diário 5º PA'!$F$5:$F$2634))+
SUMPRODUCT(-('Diário 6º PA'!$E$5:$E$2246='Analítico Cx.'!$B127),-('Diário 6º PA'!$P$5:$P$2246=K$1),('Diário 6º PA'!$F$5:$F$2246))+
SUMPRODUCT(-('Diário 7º PA'!$E$5:$E$2271='Analítico Cx.'!$B127),-('Diário 7º PA'!$P$5:$P$2271=K$1),('Diário 7º PA'!$F$5:$F$2271))+
SUMPRODUCT(-('Diário 8º PA'!$E$5:$E$2488='Analítico Cx.'!$B127),-('Diário 8º PA'!$P$5:$P$2488=K$1),('Diário 8º PA'!$F$5:$F$2488))</f>
        <v>0</v>
      </c>
      <c r="L127" s="185">
        <f>SUMPRODUCT(-('Diário 5º PA'!$E$5:$E$2634='Analítico Cx.'!$B127),-('Diário 5º PA'!$P$5:$P$2634=L$1),('Diário 5º PA'!$F$5:$F$2634))+
SUMPRODUCT(-('Diário 6º PA'!$E$5:$E$2246='Analítico Cx.'!$B127),-('Diário 6º PA'!$P$5:$P$2246=L$1),('Diário 6º PA'!$F$5:$F$2246))+
SUMPRODUCT(-('Diário 7º PA'!$E$5:$E$2271='Analítico Cx.'!$B127),-('Diário 7º PA'!$P$5:$P$2271=L$1),('Diário 7º PA'!$F$5:$F$2271))+
SUMPRODUCT(-('Diário 8º PA'!$E$5:$E$2488='Analítico Cx.'!$B127),-('Diário 8º PA'!$P$5:$P$2488=L$1),('Diário 8º PA'!$F$5:$F$2488))</f>
        <v>0</v>
      </c>
      <c r="M127" s="185">
        <f>SUMPRODUCT(-('Diário 5º PA'!$E$5:$E$2634='Analítico Cx.'!$B127),-('Diário 5º PA'!$P$5:$P$2634=M$1),('Diário 5º PA'!$F$5:$F$2634))+
SUMPRODUCT(-('Diário 6º PA'!$E$5:$E$2246='Analítico Cx.'!$B127),-('Diário 6º PA'!$P$5:$P$2246=M$1),('Diário 6º PA'!$F$5:$F$2246))+
SUMPRODUCT(-('Diário 7º PA'!$E$5:$E$2271='Analítico Cx.'!$B127),-('Diário 7º PA'!$P$5:$P$2271=M$1),('Diário 7º PA'!$F$5:$F$2271))+
SUMPRODUCT(-('Diário 8º PA'!$E$5:$E$2488='Analítico Cx.'!$B127),-('Diário 8º PA'!$P$5:$P$2488=M$1),('Diário 8º PA'!$F$5:$F$2488))</f>
        <v>0</v>
      </c>
      <c r="N127" s="185">
        <f>SUMPRODUCT(-('Diário 5º PA'!$E$5:$E$2634='Analítico Cx.'!$B127),-('Diário 5º PA'!$P$5:$P$2634=N$1),('Diário 5º PA'!$F$5:$F$2634))+
SUMPRODUCT(-('Diário 6º PA'!$E$5:$E$2246='Analítico Cx.'!$B127),-('Diário 6º PA'!$P$5:$P$2246=N$1),('Diário 6º PA'!$F$5:$F$2246))+
SUMPRODUCT(-('Diário 7º PA'!$E$5:$E$2271='Analítico Cx.'!$B127),-('Diário 7º PA'!$P$5:$P$2271=N$1),('Diário 7º PA'!$F$5:$F$2271))+
SUMPRODUCT(-('Diário 8º PA'!$E$5:$E$2488='Analítico Cx.'!$B127),-('Diário 8º PA'!$P$5:$P$2488=N$1),('Diário 8º PA'!$F$5:$F$2488))</f>
        <v>0</v>
      </c>
      <c r="O127" s="186">
        <f t="shared" si="16"/>
        <v>2880</v>
      </c>
      <c r="P127" s="187">
        <f t="shared" si="17"/>
        <v>3.0557145606117345E-4</v>
      </c>
      <c r="Q127" s="34"/>
      <c r="R127" s="34"/>
      <c r="S127" s="34"/>
      <c r="T127" s="34"/>
      <c r="U127" s="34"/>
      <c r="V127" s="34"/>
      <c r="W127" s="34"/>
      <c r="X127" s="34"/>
      <c r="Y127" s="34"/>
      <c r="Z127" s="34"/>
    </row>
    <row r="128" spans="1:26" ht="12.75" customHeight="1" x14ac:dyDescent="0.2">
      <c r="A128" s="203" t="s">
        <v>347</v>
      </c>
      <c r="B128" s="72" t="s">
        <v>348</v>
      </c>
      <c r="C128" s="185">
        <f>SUMPRODUCT(-('Diário 5º PA'!$E$5:$E$2634='Analítico Cx.'!$B128),-('Diário 5º PA'!$P$5:$P$2634=C$1),('Diário 5º PA'!$F$5:$F$2634))+
SUMPRODUCT(-('Diário 6º PA'!$E$5:$E$2246='Analítico Cx.'!$B128),-('Diário 6º PA'!$P$5:$P$2246=C$1),('Diário 6º PA'!$F$5:$F$2246))+
SUMPRODUCT(-('Diário 7º PA'!$E$5:$E$2271='Analítico Cx.'!$B128),-('Diário 7º PA'!$P$5:$P$2271=C$1),('Diário 7º PA'!$F$5:$F$2271))+
SUMPRODUCT(-('Diário 8º PA'!$E$5:$E$2488='Analítico Cx.'!$B128),-('Diário 8º PA'!$P$5:$P$2488=C$1),('Diário 8º PA'!$F$5:$F$2488))</f>
        <v>70.349999999999994</v>
      </c>
      <c r="D128" s="185">
        <f>SUMPRODUCT(-('Diário 5º PA'!$E$5:$E$2634='Analítico Cx.'!$B128),-('Diário 5º PA'!$P$5:$P$2634=D$1),('Diário 5º PA'!$F$5:$F$2634))+
SUMPRODUCT(-('Diário 6º PA'!$E$5:$E$2246='Analítico Cx.'!$B128),-('Diário 6º PA'!$P$5:$P$2246=D$1),('Diário 6º PA'!$F$5:$F$2246))+
SUMPRODUCT(-('Diário 7º PA'!$E$5:$E$2271='Analítico Cx.'!$B128),-('Diário 7º PA'!$P$5:$P$2271=D$1),('Diário 7º PA'!$F$5:$F$2271))+
SUMPRODUCT(-('Diário 8º PA'!$E$5:$E$2488='Analítico Cx.'!$B128),-('Diário 8º PA'!$P$5:$P$2488=D$1),('Diário 8º PA'!$F$5:$F$2488))</f>
        <v>0</v>
      </c>
      <c r="E128" s="185">
        <f>SUMPRODUCT(-('Diário 5º PA'!$E$5:$E$2634='Analítico Cx.'!$B128),-('Diário 5º PA'!$P$5:$P$2634=E$1),('Diário 5º PA'!$F$5:$F$2634))+
SUMPRODUCT(-('Diário 6º PA'!$E$5:$E$2246='Analítico Cx.'!$B128),-('Diário 6º PA'!$P$5:$P$2246=E$1),('Diário 6º PA'!$F$5:$F$2246))+
SUMPRODUCT(-('Diário 7º PA'!$E$5:$E$2271='Analítico Cx.'!$B128),-('Diário 7º PA'!$P$5:$P$2271=E$1),('Diário 7º PA'!$F$5:$F$2271))+
SUMPRODUCT(-('Diário 8º PA'!$E$5:$E$2488='Analítico Cx.'!$B128),-('Diário 8º PA'!$P$5:$P$2488=E$1),('Diário 8º PA'!$F$5:$F$2488))</f>
        <v>0</v>
      </c>
      <c r="F128" s="185">
        <f>SUMPRODUCT(-('Diário 5º PA'!$E$5:$E$2634='Analítico Cx.'!$B128),-('Diário 5º PA'!$P$5:$P$2634=F$1),('Diário 5º PA'!$F$5:$F$2634))+
SUMPRODUCT(-('Diário 6º PA'!$E$5:$E$2246='Analítico Cx.'!$B128),-('Diário 6º PA'!$P$5:$P$2246=F$1),('Diário 6º PA'!$F$5:$F$2246))+
SUMPRODUCT(-('Diário 7º PA'!$E$5:$E$2271='Analítico Cx.'!$B128),-('Diário 7º PA'!$P$5:$P$2271=F$1),('Diário 7º PA'!$F$5:$F$2271))+
SUMPRODUCT(-('Diário 8º PA'!$E$5:$E$2488='Analítico Cx.'!$B128),-('Diário 8º PA'!$P$5:$P$2488=F$1),('Diário 8º PA'!$F$5:$F$2488))</f>
        <v>0</v>
      </c>
      <c r="G128" s="185">
        <f>SUMPRODUCT(-('Diário 5º PA'!$E$5:$E$2634='Analítico Cx.'!$B128),-('Diário 5º PA'!$P$5:$P$2634=G$1),('Diário 5º PA'!$F$5:$F$2634))+
SUMPRODUCT(-('Diário 6º PA'!$E$5:$E$2246='Analítico Cx.'!$B128),-('Diário 6º PA'!$P$5:$P$2246=G$1),('Diário 6º PA'!$F$5:$F$2246))+
SUMPRODUCT(-('Diário 7º PA'!$E$5:$E$2271='Analítico Cx.'!$B128),-('Diário 7º PA'!$P$5:$P$2271=G$1),('Diário 7º PA'!$F$5:$F$2271))+
SUMPRODUCT(-('Diário 8º PA'!$E$5:$E$2488='Analítico Cx.'!$B128),-('Diário 8º PA'!$P$5:$P$2488=G$1),('Diário 8º PA'!$F$5:$F$2488))</f>
        <v>20422.5</v>
      </c>
      <c r="H128" s="185">
        <f>SUMPRODUCT(-('Diário 5º PA'!$E$5:$E$2634='Analítico Cx.'!$B128),-('Diário 5º PA'!$P$5:$P$2634=H$1),('Diário 5º PA'!$F$5:$F$2634))+
SUMPRODUCT(-('Diário 6º PA'!$E$5:$E$2246='Analítico Cx.'!$B128),-('Diário 6º PA'!$P$5:$P$2246=H$1),('Diário 6º PA'!$F$5:$F$2246))+
SUMPRODUCT(-('Diário 7º PA'!$E$5:$E$2271='Analítico Cx.'!$B128),-('Diário 7º PA'!$P$5:$P$2271=H$1),('Diário 7º PA'!$F$5:$F$2271))+
SUMPRODUCT(-('Diário 8º PA'!$E$5:$E$2488='Analítico Cx.'!$B128),-('Diário 8º PA'!$P$5:$P$2488=H$1),('Diário 8º PA'!$F$5:$F$2488))</f>
        <v>577.5</v>
      </c>
      <c r="I128" s="185">
        <f>SUMPRODUCT(-('Diário 5º PA'!$E$5:$E$2634='Analítico Cx.'!$B128),-('Diário 5º PA'!$P$5:$P$2634=I$1),('Diário 5º PA'!$F$5:$F$2634))+
SUMPRODUCT(-('Diário 6º PA'!$E$5:$E$2246='Analítico Cx.'!$B128),-('Diário 6º PA'!$P$5:$P$2246=I$1),('Diário 6º PA'!$F$5:$F$2246))+
SUMPRODUCT(-('Diário 7º PA'!$E$5:$E$2271='Analítico Cx.'!$B128),-('Diário 7º PA'!$P$5:$P$2271=I$1),('Diário 7º PA'!$F$5:$F$2271))+
SUMPRODUCT(-('Diário 8º PA'!$E$5:$E$2488='Analítico Cx.'!$B128),-('Diário 8º PA'!$P$5:$P$2488=I$1),('Diário 8º PA'!$F$5:$F$2488))</f>
        <v>5600.5</v>
      </c>
      <c r="J128" s="185">
        <f>SUMPRODUCT(-('Diário 5º PA'!$E$5:$E$2634='Analítico Cx.'!$B128),-('Diário 5º PA'!$P$5:$P$2634=J$1),('Diário 5º PA'!$F$5:$F$2634))+
SUMPRODUCT(-('Diário 6º PA'!$E$5:$E$2246='Analítico Cx.'!$B128),-('Diário 6º PA'!$P$5:$P$2246=J$1),('Diário 6º PA'!$F$5:$F$2246))+
SUMPRODUCT(-('Diário 7º PA'!$E$5:$E$2271='Analítico Cx.'!$B128),-('Diário 7º PA'!$P$5:$P$2271=J$1),('Diário 7º PA'!$F$5:$F$2271))+
SUMPRODUCT(-('Diário 8º PA'!$E$5:$E$2488='Analítico Cx.'!$B128),-('Diário 8º PA'!$P$5:$P$2488=J$1),('Diário 8º PA'!$F$5:$F$2488))</f>
        <v>149.5</v>
      </c>
      <c r="K128" s="185">
        <f>SUMPRODUCT(-('Diário 5º PA'!$E$5:$E$2634='Analítico Cx.'!$B128),-('Diário 5º PA'!$P$5:$P$2634=K$1),('Diário 5º PA'!$F$5:$F$2634))+
SUMPRODUCT(-('Diário 6º PA'!$E$5:$E$2246='Analítico Cx.'!$B128),-('Diário 6º PA'!$P$5:$P$2246=K$1),('Diário 6º PA'!$F$5:$F$2246))+
SUMPRODUCT(-('Diário 7º PA'!$E$5:$E$2271='Analítico Cx.'!$B128),-('Diário 7º PA'!$P$5:$P$2271=K$1),('Diário 7º PA'!$F$5:$F$2271))+
SUMPRODUCT(-('Diário 8º PA'!$E$5:$E$2488='Analítico Cx.'!$B128),-('Diário 8º PA'!$P$5:$P$2488=K$1),('Diário 8º PA'!$F$5:$F$2488))</f>
        <v>0</v>
      </c>
      <c r="L128" s="185">
        <f>SUMPRODUCT(-('Diário 5º PA'!$E$5:$E$2634='Analítico Cx.'!$B128),-('Diário 5º PA'!$P$5:$P$2634=L$1),('Diário 5º PA'!$F$5:$F$2634))+
SUMPRODUCT(-('Diário 6º PA'!$E$5:$E$2246='Analítico Cx.'!$B128),-('Diário 6º PA'!$P$5:$P$2246=L$1),('Diário 6º PA'!$F$5:$F$2246))+
SUMPRODUCT(-('Diário 7º PA'!$E$5:$E$2271='Analítico Cx.'!$B128),-('Diário 7º PA'!$P$5:$P$2271=L$1),('Diário 7º PA'!$F$5:$F$2271))+
SUMPRODUCT(-('Diário 8º PA'!$E$5:$E$2488='Analítico Cx.'!$B128),-('Diário 8º PA'!$P$5:$P$2488=L$1),('Diário 8º PA'!$F$5:$F$2488))</f>
        <v>0</v>
      </c>
      <c r="M128" s="185">
        <f>SUMPRODUCT(-('Diário 5º PA'!$E$5:$E$2634='Analítico Cx.'!$B128),-('Diário 5º PA'!$P$5:$P$2634=M$1),('Diário 5º PA'!$F$5:$F$2634))+
SUMPRODUCT(-('Diário 6º PA'!$E$5:$E$2246='Analítico Cx.'!$B128),-('Diário 6º PA'!$P$5:$P$2246=M$1),('Diário 6º PA'!$F$5:$F$2246))+
SUMPRODUCT(-('Diário 7º PA'!$E$5:$E$2271='Analítico Cx.'!$B128),-('Diário 7º PA'!$P$5:$P$2271=M$1),('Diário 7º PA'!$F$5:$F$2271))+
SUMPRODUCT(-('Diário 8º PA'!$E$5:$E$2488='Analítico Cx.'!$B128),-('Diário 8º PA'!$P$5:$P$2488=M$1),('Diário 8º PA'!$F$5:$F$2488))</f>
        <v>0</v>
      </c>
      <c r="N128" s="185">
        <f>SUMPRODUCT(-('Diário 5º PA'!$E$5:$E$2634='Analítico Cx.'!$B128),-('Diário 5º PA'!$P$5:$P$2634=N$1),('Diário 5º PA'!$F$5:$F$2634))+
SUMPRODUCT(-('Diário 6º PA'!$E$5:$E$2246='Analítico Cx.'!$B128),-('Diário 6º PA'!$P$5:$P$2246=N$1),('Diário 6º PA'!$F$5:$F$2246))+
SUMPRODUCT(-('Diário 7º PA'!$E$5:$E$2271='Analítico Cx.'!$B128),-('Diário 7º PA'!$P$5:$P$2271=N$1),('Diário 7º PA'!$F$5:$F$2271))+
SUMPRODUCT(-('Diário 8º PA'!$E$5:$E$2488='Analítico Cx.'!$B128),-('Diário 8º PA'!$P$5:$P$2488=N$1),('Diário 8º PA'!$F$5:$F$2488))</f>
        <v>0</v>
      </c>
      <c r="O128" s="186">
        <f t="shared" si="16"/>
        <v>26820.35</v>
      </c>
      <c r="P128" s="187">
        <f t="shared" si="17"/>
        <v>2.8456713199896851E-3</v>
      </c>
      <c r="Q128" s="34"/>
      <c r="R128" s="34"/>
      <c r="S128" s="34"/>
      <c r="T128" s="34"/>
      <c r="U128" s="34"/>
      <c r="V128" s="34"/>
      <c r="W128" s="34"/>
      <c r="X128" s="34"/>
      <c r="Y128" s="34"/>
      <c r="Z128" s="34"/>
    </row>
    <row r="129" spans="1:26" ht="12.75" customHeight="1" x14ac:dyDescent="0.2">
      <c r="A129" s="203" t="s">
        <v>349</v>
      </c>
      <c r="B129" s="72" t="s">
        <v>350</v>
      </c>
      <c r="C129" s="185">
        <f>SUMPRODUCT(-('Diário 5º PA'!$E$5:$E$2634='Analítico Cx.'!$B129),-('Diário 5º PA'!$P$5:$P$2634=C$1),('Diário 5º PA'!$F$5:$F$2634))+
SUMPRODUCT(-('Diário 6º PA'!$E$5:$E$2246='Analítico Cx.'!$B129),-('Diário 6º PA'!$P$5:$P$2246=C$1),('Diário 6º PA'!$F$5:$F$2246))+
SUMPRODUCT(-('Diário 7º PA'!$E$5:$E$2271='Analítico Cx.'!$B129),-('Diário 7º PA'!$P$5:$P$2271=C$1),('Diário 7º PA'!$F$5:$F$2271))+
SUMPRODUCT(-('Diário 8º PA'!$E$5:$E$2488='Analítico Cx.'!$B129),-('Diário 8º PA'!$P$5:$P$2488=C$1),('Diário 8º PA'!$F$5:$F$2488))</f>
        <v>5550</v>
      </c>
      <c r="D129" s="185">
        <f>SUMPRODUCT(-('Diário 5º PA'!$E$5:$E$2634='Analítico Cx.'!$B129),-('Diário 5º PA'!$P$5:$P$2634=D$1),('Diário 5º PA'!$F$5:$F$2634))+
SUMPRODUCT(-('Diário 6º PA'!$E$5:$E$2246='Analítico Cx.'!$B129),-('Diário 6º PA'!$P$5:$P$2246=D$1),('Diário 6º PA'!$F$5:$F$2246))+
SUMPRODUCT(-('Diário 7º PA'!$E$5:$E$2271='Analítico Cx.'!$B129),-('Diário 7º PA'!$P$5:$P$2271=D$1),('Diário 7º PA'!$F$5:$F$2271))+
SUMPRODUCT(-('Diário 8º PA'!$E$5:$E$2488='Analítico Cx.'!$B129),-('Diário 8º PA'!$P$5:$P$2488=D$1),('Diário 8º PA'!$F$5:$F$2488))</f>
        <v>1100</v>
      </c>
      <c r="E129" s="185">
        <f>SUMPRODUCT(-('Diário 5º PA'!$E$5:$E$2634='Analítico Cx.'!$B129),-('Diário 5º PA'!$P$5:$P$2634=E$1),('Diário 5º PA'!$F$5:$F$2634))+
SUMPRODUCT(-('Diário 6º PA'!$E$5:$E$2246='Analítico Cx.'!$B129),-('Diário 6º PA'!$P$5:$P$2246=E$1),('Diário 6º PA'!$F$5:$F$2246))+
SUMPRODUCT(-('Diário 7º PA'!$E$5:$E$2271='Analítico Cx.'!$B129),-('Diário 7º PA'!$P$5:$P$2271=E$1),('Diário 7º PA'!$F$5:$F$2271))+
SUMPRODUCT(-('Diário 8º PA'!$E$5:$E$2488='Analítico Cx.'!$B129),-('Diário 8º PA'!$P$5:$P$2488=E$1),('Diário 8º PA'!$F$5:$F$2488))</f>
        <v>0</v>
      </c>
      <c r="F129" s="185">
        <f>SUMPRODUCT(-('Diário 5º PA'!$E$5:$E$2634='Analítico Cx.'!$B129),-('Diário 5º PA'!$P$5:$P$2634=F$1),('Diário 5º PA'!$F$5:$F$2634))+
SUMPRODUCT(-('Diário 6º PA'!$E$5:$E$2246='Analítico Cx.'!$B129),-('Diário 6º PA'!$P$5:$P$2246=F$1),('Diário 6º PA'!$F$5:$F$2246))+
SUMPRODUCT(-('Diário 7º PA'!$E$5:$E$2271='Analítico Cx.'!$B129),-('Diário 7º PA'!$P$5:$P$2271=F$1),('Diário 7º PA'!$F$5:$F$2271))+
SUMPRODUCT(-('Diário 8º PA'!$E$5:$E$2488='Analítico Cx.'!$B129),-('Diário 8º PA'!$P$5:$P$2488=F$1),('Diário 8º PA'!$F$5:$F$2488))</f>
        <v>0</v>
      </c>
      <c r="G129" s="185">
        <f>SUMPRODUCT(-('Diário 5º PA'!$E$5:$E$2634='Analítico Cx.'!$B129),-('Diário 5º PA'!$P$5:$P$2634=G$1),('Diário 5º PA'!$F$5:$F$2634))+
SUMPRODUCT(-('Diário 6º PA'!$E$5:$E$2246='Analítico Cx.'!$B129),-('Diário 6º PA'!$P$5:$P$2246=G$1),('Diário 6º PA'!$F$5:$F$2246))+
SUMPRODUCT(-('Diário 7º PA'!$E$5:$E$2271='Analítico Cx.'!$B129),-('Diário 7º PA'!$P$5:$P$2271=G$1),('Diário 7º PA'!$F$5:$F$2271))+
SUMPRODUCT(-('Diário 8º PA'!$E$5:$E$2488='Analítico Cx.'!$B129),-('Diário 8º PA'!$P$5:$P$2488=G$1),('Diário 8º PA'!$F$5:$F$2488))</f>
        <v>0</v>
      </c>
      <c r="H129" s="185">
        <f>SUMPRODUCT(-('Diário 5º PA'!$E$5:$E$2634='Analítico Cx.'!$B129),-('Diário 5º PA'!$P$5:$P$2634=H$1),('Diário 5º PA'!$F$5:$F$2634))+
SUMPRODUCT(-('Diário 6º PA'!$E$5:$E$2246='Analítico Cx.'!$B129),-('Diário 6º PA'!$P$5:$P$2246=H$1),('Diário 6º PA'!$F$5:$F$2246))+
SUMPRODUCT(-('Diário 7º PA'!$E$5:$E$2271='Analítico Cx.'!$B129),-('Diário 7º PA'!$P$5:$P$2271=H$1),('Diário 7º PA'!$F$5:$F$2271))+
SUMPRODUCT(-('Diário 8º PA'!$E$5:$E$2488='Analítico Cx.'!$B129),-('Diário 8º PA'!$P$5:$P$2488=H$1),('Diário 8º PA'!$F$5:$F$2488))</f>
        <v>0</v>
      </c>
      <c r="I129" s="185">
        <f>SUMPRODUCT(-('Diário 5º PA'!$E$5:$E$2634='Analítico Cx.'!$B129),-('Diário 5º PA'!$P$5:$P$2634=I$1),('Diário 5º PA'!$F$5:$F$2634))+
SUMPRODUCT(-('Diário 6º PA'!$E$5:$E$2246='Analítico Cx.'!$B129),-('Diário 6º PA'!$P$5:$P$2246=I$1),('Diário 6º PA'!$F$5:$F$2246))+
SUMPRODUCT(-('Diário 7º PA'!$E$5:$E$2271='Analítico Cx.'!$B129),-('Diário 7º PA'!$P$5:$P$2271=I$1),('Diário 7º PA'!$F$5:$F$2271))+
SUMPRODUCT(-('Diário 8º PA'!$E$5:$E$2488='Analítico Cx.'!$B129),-('Diário 8º PA'!$P$5:$P$2488=I$1),('Diário 8º PA'!$F$5:$F$2488))</f>
        <v>0</v>
      </c>
      <c r="J129" s="185">
        <f>SUMPRODUCT(-('Diário 5º PA'!$E$5:$E$2634='Analítico Cx.'!$B129),-('Diário 5º PA'!$P$5:$P$2634=J$1),('Diário 5º PA'!$F$5:$F$2634))+
SUMPRODUCT(-('Diário 6º PA'!$E$5:$E$2246='Analítico Cx.'!$B129),-('Diário 6º PA'!$P$5:$P$2246=J$1),('Diário 6º PA'!$F$5:$F$2246))+
SUMPRODUCT(-('Diário 7º PA'!$E$5:$E$2271='Analítico Cx.'!$B129),-('Diário 7º PA'!$P$5:$P$2271=J$1),('Diário 7º PA'!$F$5:$F$2271))+
SUMPRODUCT(-('Diário 8º PA'!$E$5:$E$2488='Analítico Cx.'!$B129),-('Diário 8º PA'!$P$5:$P$2488=J$1),('Diário 8º PA'!$F$5:$F$2488))</f>
        <v>16955.3</v>
      </c>
      <c r="K129" s="185">
        <f>SUMPRODUCT(-('Diário 5º PA'!$E$5:$E$2634='Analítico Cx.'!$B129),-('Diário 5º PA'!$P$5:$P$2634=K$1),('Diário 5º PA'!$F$5:$F$2634))+
SUMPRODUCT(-('Diário 6º PA'!$E$5:$E$2246='Analítico Cx.'!$B129),-('Diário 6º PA'!$P$5:$P$2246=K$1),('Diário 6º PA'!$F$5:$F$2246))+
SUMPRODUCT(-('Diário 7º PA'!$E$5:$E$2271='Analítico Cx.'!$B129),-('Diário 7º PA'!$P$5:$P$2271=K$1),('Diário 7º PA'!$F$5:$F$2271))+
SUMPRODUCT(-('Diário 8º PA'!$E$5:$E$2488='Analítico Cx.'!$B129),-('Diário 8º PA'!$P$5:$P$2488=K$1),('Diário 8º PA'!$F$5:$F$2488))</f>
        <v>13155.3</v>
      </c>
      <c r="L129" s="185">
        <f>SUMPRODUCT(-('Diário 5º PA'!$E$5:$E$2634='Analítico Cx.'!$B129),-('Diário 5º PA'!$P$5:$P$2634=L$1),('Diário 5º PA'!$F$5:$F$2634))+
SUMPRODUCT(-('Diário 6º PA'!$E$5:$E$2246='Analítico Cx.'!$B129),-('Diário 6º PA'!$P$5:$P$2246=L$1),('Diário 6º PA'!$F$5:$F$2246))+
SUMPRODUCT(-('Diário 7º PA'!$E$5:$E$2271='Analítico Cx.'!$B129),-('Diário 7º PA'!$P$5:$P$2271=L$1),('Diário 7º PA'!$F$5:$F$2271))+
SUMPRODUCT(-('Diário 8º PA'!$E$5:$E$2488='Analítico Cx.'!$B129),-('Diário 8º PA'!$P$5:$P$2488=L$1),('Diário 8º PA'!$F$5:$F$2488))</f>
        <v>9589.4</v>
      </c>
      <c r="M129" s="185">
        <f>SUMPRODUCT(-('Diário 5º PA'!$E$5:$E$2634='Analítico Cx.'!$B129),-('Diário 5º PA'!$P$5:$P$2634=M$1),('Diário 5º PA'!$F$5:$F$2634))+
SUMPRODUCT(-('Diário 6º PA'!$E$5:$E$2246='Analítico Cx.'!$B129),-('Diário 6º PA'!$P$5:$P$2246=M$1),('Diário 6º PA'!$F$5:$F$2246))+
SUMPRODUCT(-('Diário 7º PA'!$E$5:$E$2271='Analítico Cx.'!$B129),-('Diário 7º PA'!$P$5:$P$2271=M$1),('Diário 7º PA'!$F$5:$F$2271))+
SUMPRODUCT(-('Diário 8º PA'!$E$5:$E$2488='Analítico Cx.'!$B129),-('Diário 8º PA'!$P$5:$P$2488=M$1),('Diário 8º PA'!$F$5:$F$2488))</f>
        <v>27059.8</v>
      </c>
      <c r="N129" s="185">
        <f>SUMPRODUCT(-('Diário 5º PA'!$E$5:$E$2634='Analítico Cx.'!$B129),-('Diário 5º PA'!$P$5:$P$2634=N$1),('Diário 5º PA'!$F$5:$F$2634))+
SUMPRODUCT(-('Diário 6º PA'!$E$5:$E$2246='Analítico Cx.'!$B129),-('Diário 6º PA'!$P$5:$P$2246=N$1),('Diário 6º PA'!$F$5:$F$2246))+
SUMPRODUCT(-('Diário 7º PA'!$E$5:$E$2271='Analítico Cx.'!$B129),-('Diário 7º PA'!$P$5:$P$2271=N$1),('Diário 7º PA'!$F$5:$F$2271))+
SUMPRODUCT(-('Diário 8º PA'!$E$5:$E$2488='Analítico Cx.'!$B129),-('Diário 8º PA'!$P$5:$P$2488=N$1),('Diário 8º PA'!$F$5:$F$2488))</f>
        <v>2140.1999999999998</v>
      </c>
      <c r="O129" s="186">
        <f t="shared" si="16"/>
        <v>75550</v>
      </c>
      <c r="P129" s="187">
        <f t="shared" si="17"/>
        <v>8.0159456616047415E-3</v>
      </c>
      <c r="Q129" s="34"/>
      <c r="R129" s="34"/>
      <c r="S129" s="34"/>
      <c r="T129" s="34"/>
      <c r="U129" s="34"/>
      <c r="V129" s="34"/>
      <c r="W129" s="34"/>
      <c r="X129" s="34"/>
      <c r="Y129" s="34"/>
      <c r="Z129" s="34"/>
    </row>
    <row r="130" spans="1:26" ht="36" customHeight="1" x14ac:dyDescent="0.2">
      <c r="A130" s="203" t="s">
        <v>351</v>
      </c>
      <c r="B130" s="72" t="s">
        <v>352</v>
      </c>
      <c r="C130" s="185">
        <f>SUMPRODUCT(-('Diário 5º PA'!$E$5:$E$2634='Analítico Cx.'!$B130),-('Diário 5º PA'!$P$5:$P$2634=C$1),('Diário 5º PA'!$F$5:$F$2634))+
SUMPRODUCT(-('Diário 6º PA'!$E$5:$E$2246='Analítico Cx.'!$B130),-('Diário 6º PA'!$P$5:$P$2246=C$1),('Diário 6º PA'!$F$5:$F$2246))+
SUMPRODUCT(-('Diário 7º PA'!$E$5:$E$2271='Analítico Cx.'!$B130),-('Diário 7º PA'!$P$5:$P$2271=C$1),('Diário 7º PA'!$F$5:$F$2271))+
SUMPRODUCT(-('Diário 8º PA'!$E$5:$E$2488='Analítico Cx.'!$B130),-('Diário 8º PA'!$P$5:$P$2488=C$1),('Diário 8º PA'!$F$5:$F$2488))</f>
        <v>9962.9299999999985</v>
      </c>
      <c r="D130" s="185">
        <f>SUMPRODUCT(-('Diário 5º PA'!$E$5:$E$2634='Analítico Cx.'!$B130),-('Diário 5º PA'!$P$5:$P$2634=D$1),('Diário 5º PA'!$F$5:$F$2634))+
SUMPRODUCT(-('Diário 6º PA'!$E$5:$E$2246='Analítico Cx.'!$B130),-('Diário 6º PA'!$P$5:$P$2246=D$1),('Diário 6º PA'!$F$5:$F$2246))+
SUMPRODUCT(-('Diário 7º PA'!$E$5:$E$2271='Analítico Cx.'!$B130),-('Diário 7º PA'!$P$5:$P$2271=D$1),('Diário 7º PA'!$F$5:$F$2271))+
SUMPRODUCT(-('Diário 8º PA'!$E$5:$E$2488='Analítico Cx.'!$B130),-('Diário 8º PA'!$P$5:$P$2488=D$1),('Diário 8º PA'!$F$5:$F$2488))</f>
        <v>14633.77</v>
      </c>
      <c r="E130" s="185">
        <f>SUMPRODUCT(-('Diário 5º PA'!$E$5:$E$2634='Analítico Cx.'!$B130),-('Diário 5º PA'!$P$5:$P$2634=E$1),('Diário 5º PA'!$F$5:$F$2634))+
SUMPRODUCT(-('Diário 6º PA'!$E$5:$E$2246='Analítico Cx.'!$B130),-('Diário 6º PA'!$P$5:$P$2246=E$1),('Diário 6º PA'!$F$5:$F$2246))+
SUMPRODUCT(-('Diário 7º PA'!$E$5:$E$2271='Analítico Cx.'!$B130),-('Diário 7º PA'!$P$5:$P$2271=E$1),('Diário 7º PA'!$F$5:$F$2271))+
SUMPRODUCT(-('Diário 8º PA'!$E$5:$E$2488='Analítico Cx.'!$B130),-('Diário 8º PA'!$P$5:$P$2488=E$1),('Diário 8º PA'!$F$5:$F$2488))</f>
        <v>15335.72</v>
      </c>
      <c r="F130" s="185">
        <f>SUMPRODUCT(-('Diário 5º PA'!$E$5:$E$2634='Analítico Cx.'!$B130),-('Diário 5º PA'!$P$5:$P$2634=F$1),('Diário 5º PA'!$F$5:$F$2634))+
SUMPRODUCT(-('Diário 6º PA'!$E$5:$E$2246='Analítico Cx.'!$B130),-('Diário 6º PA'!$P$5:$P$2246=F$1),('Diário 6º PA'!$F$5:$F$2246))+
SUMPRODUCT(-('Diário 7º PA'!$E$5:$E$2271='Analítico Cx.'!$B130),-('Diário 7º PA'!$P$5:$P$2271=F$1),('Diário 7º PA'!$F$5:$F$2271))+
SUMPRODUCT(-('Diário 8º PA'!$E$5:$E$2488='Analítico Cx.'!$B130),-('Diário 8º PA'!$P$5:$P$2488=F$1),('Diário 8º PA'!$F$5:$F$2488))</f>
        <v>15189.99</v>
      </c>
      <c r="G130" s="185">
        <f>SUMPRODUCT(-('Diário 5º PA'!$E$5:$E$2634='Analítico Cx.'!$B130),-('Diário 5º PA'!$P$5:$P$2634=G$1),('Diário 5º PA'!$F$5:$F$2634))+
SUMPRODUCT(-('Diário 6º PA'!$E$5:$E$2246='Analítico Cx.'!$B130),-('Diário 6º PA'!$P$5:$P$2246=G$1),('Diário 6º PA'!$F$5:$F$2246))+
SUMPRODUCT(-('Diário 7º PA'!$E$5:$E$2271='Analítico Cx.'!$B130),-('Diário 7º PA'!$P$5:$P$2271=G$1),('Diário 7º PA'!$F$5:$F$2271))+
SUMPRODUCT(-('Diário 8º PA'!$E$5:$E$2488='Analítico Cx.'!$B130),-('Diário 8º PA'!$P$5:$P$2488=G$1),('Diário 8º PA'!$F$5:$F$2488))</f>
        <v>22237.64</v>
      </c>
      <c r="H130" s="185">
        <f>SUMPRODUCT(-('Diário 5º PA'!$E$5:$E$2634='Analítico Cx.'!$B130),-('Diário 5º PA'!$P$5:$P$2634=H$1),('Diário 5º PA'!$F$5:$F$2634))+
SUMPRODUCT(-('Diário 6º PA'!$E$5:$E$2246='Analítico Cx.'!$B130),-('Diário 6º PA'!$P$5:$P$2246=H$1),('Diário 6º PA'!$F$5:$F$2246))+
SUMPRODUCT(-('Diário 7º PA'!$E$5:$E$2271='Analítico Cx.'!$B130),-('Diário 7º PA'!$P$5:$P$2271=H$1),('Diário 7º PA'!$F$5:$F$2271))+
SUMPRODUCT(-('Diário 8º PA'!$E$5:$E$2488='Analítico Cx.'!$B130),-('Diário 8º PA'!$P$5:$P$2488=H$1),('Diário 8º PA'!$F$5:$F$2488))</f>
        <v>15345.99</v>
      </c>
      <c r="I130" s="185">
        <f>SUMPRODUCT(-('Diário 5º PA'!$E$5:$E$2634='Analítico Cx.'!$B130),-('Diário 5º PA'!$P$5:$P$2634=I$1),('Diário 5º PA'!$F$5:$F$2634))+
SUMPRODUCT(-('Diário 6º PA'!$E$5:$E$2246='Analítico Cx.'!$B130),-('Diário 6º PA'!$P$5:$P$2246=I$1),('Diário 6º PA'!$F$5:$F$2246))+
SUMPRODUCT(-('Diário 7º PA'!$E$5:$E$2271='Analítico Cx.'!$B130),-('Diário 7º PA'!$P$5:$P$2271=I$1),('Diário 7º PA'!$F$5:$F$2271))+
SUMPRODUCT(-('Diário 8º PA'!$E$5:$E$2488='Analítico Cx.'!$B130),-('Diário 8º PA'!$P$5:$P$2488=I$1),('Diário 8º PA'!$F$5:$F$2488))</f>
        <v>15049.99</v>
      </c>
      <c r="J130" s="185">
        <f>SUMPRODUCT(-('Diário 5º PA'!$E$5:$E$2634='Analítico Cx.'!$B130),-('Diário 5º PA'!$P$5:$P$2634=J$1),('Diário 5º PA'!$F$5:$F$2634))+
SUMPRODUCT(-('Diário 6º PA'!$E$5:$E$2246='Analítico Cx.'!$B130),-('Diário 6º PA'!$P$5:$P$2246=J$1),('Diário 6º PA'!$F$5:$F$2246))+
SUMPRODUCT(-('Diário 7º PA'!$E$5:$E$2271='Analítico Cx.'!$B130),-('Diário 7º PA'!$P$5:$P$2271=J$1),('Diário 7º PA'!$F$5:$F$2271))+
SUMPRODUCT(-('Diário 8º PA'!$E$5:$E$2488='Analítico Cx.'!$B130),-('Diário 8º PA'!$P$5:$P$2488=J$1),('Diário 8º PA'!$F$5:$F$2488))</f>
        <v>20607.47</v>
      </c>
      <c r="K130" s="185">
        <f>SUMPRODUCT(-('Diário 5º PA'!$E$5:$E$2634='Analítico Cx.'!$B130),-('Diário 5º PA'!$P$5:$P$2634=K$1),('Diário 5º PA'!$F$5:$F$2634))+
SUMPRODUCT(-('Diário 6º PA'!$E$5:$E$2246='Analítico Cx.'!$B130),-('Diário 6º PA'!$P$5:$P$2246=K$1),('Diário 6º PA'!$F$5:$F$2246))+
SUMPRODUCT(-('Diário 7º PA'!$E$5:$E$2271='Analítico Cx.'!$B130),-('Diário 7º PA'!$P$5:$P$2271=K$1),('Diário 7º PA'!$F$5:$F$2271))+
SUMPRODUCT(-('Diário 8º PA'!$E$5:$E$2488='Analítico Cx.'!$B130),-('Diário 8º PA'!$P$5:$P$2488=K$1),('Diário 8º PA'!$F$5:$F$2488))</f>
        <v>2759.15</v>
      </c>
      <c r="L130" s="185">
        <f>SUMPRODUCT(-('Diário 5º PA'!$E$5:$E$2634='Analítico Cx.'!$B130),-('Diário 5º PA'!$P$5:$P$2634=L$1),('Diário 5º PA'!$F$5:$F$2634))+
SUMPRODUCT(-('Diário 6º PA'!$E$5:$E$2246='Analítico Cx.'!$B130),-('Diário 6º PA'!$P$5:$P$2246=L$1),('Diário 6º PA'!$F$5:$F$2246))+
SUMPRODUCT(-('Diário 7º PA'!$E$5:$E$2271='Analítico Cx.'!$B130),-('Diário 7º PA'!$P$5:$P$2271=L$1),('Diário 7º PA'!$F$5:$F$2271))+
SUMPRODUCT(-('Diário 8º PA'!$E$5:$E$2488='Analítico Cx.'!$B130),-('Diário 8º PA'!$P$5:$P$2488=L$1),('Diário 8º PA'!$F$5:$F$2488))</f>
        <v>18102.5</v>
      </c>
      <c r="M130" s="185">
        <f>SUMPRODUCT(-('Diário 5º PA'!$E$5:$E$2634='Analítico Cx.'!$B130),-('Diário 5º PA'!$P$5:$P$2634=M$1),('Diário 5º PA'!$F$5:$F$2634))+
SUMPRODUCT(-('Diário 6º PA'!$E$5:$E$2246='Analítico Cx.'!$B130),-('Diário 6º PA'!$P$5:$P$2246=M$1),('Diário 6º PA'!$F$5:$F$2246))+
SUMPRODUCT(-('Diário 7º PA'!$E$5:$E$2271='Analítico Cx.'!$B130),-('Diário 7º PA'!$P$5:$P$2271=M$1),('Diário 7º PA'!$F$5:$F$2271))+
SUMPRODUCT(-('Diário 8º PA'!$E$5:$E$2488='Analítico Cx.'!$B130),-('Diário 8º PA'!$P$5:$P$2488=M$1),('Diário 8º PA'!$F$5:$F$2488))</f>
        <v>21286.68</v>
      </c>
      <c r="N130" s="185">
        <f>SUMPRODUCT(-('Diário 5º PA'!$E$5:$E$2634='Analítico Cx.'!$B130),-('Diário 5º PA'!$P$5:$P$2634=N$1),('Diário 5º PA'!$F$5:$F$2634))+
SUMPRODUCT(-('Diário 6º PA'!$E$5:$E$2246='Analítico Cx.'!$B130),-('Diário 6º PA'!$P$5:$P$2246=N$1),('Diário 6º PA'!$F$5:$F$2246))+
SUMPRODUCT(-('Diário 7º PA'!$E$5:$E$2271='Analítico Cx.'!$B130),-('Diário 7º PA'!$P$5:$P$2271=N$1),('Diário 7º PA'!$F$5:$F$2271))+
SUMPRODUCT(-('Diário 8º PA'!$E$5:$E$2488='Analítico Cx.'!$B130),-('Diário 8º PA'!$P$5:$P$2488=N$1),('Diário 8º PA'!$F$5:$F$2488))</f>
        <v>435.82000000000005</v>
      </c>
      <c r="O130" s="186">
        <f t="shared" si="16"/>
        <v>170947.65</v>
      </c>
      <c r="P130" s="187">
        <f t="shared" si="17"/>
        <v>1.8137750805811061E-2</v>
      </c>
      <c r="Q130" s="34"/>
      <c r="R130" s="34"/>
      <c r="S130" s="34"/>
      <c r="T130" s="34"/>
      <c r="U130" s="34"/>
      <c r="V130" s="34"/>
      <c r="W130" s="34"/>
      <c r="X130" s="34"/>
      <c r="Y130" s="34"/>
      <c r="Z130" s="34"/>
    </row>
    <row r="131" spans="1:26" ht="12.75" customHeight="1" x14ac:dyDescent="0.2">
      <c r="A131" s="203" t="s">
        <v>353</v>
      </c>
      <c r="B131" s="72" t="s">
        <v>354</v>
      </c>
      <c r="C131" s="185">
        <f>SUMPRODUCT(-('Diário 5º PA'!$E$5:$E$2634='Analítico Cx.'!$B131),-('Diário 5º PA'!$P$5:$P$2634=C$1),('Diário 5º PA'!$F$5:$F$2634))+
SUMPRODUCT(-('Diário 6º PA'!$E$5:$E$2246='Analítico Cx.'!$B131),-('Diário 6º PA'!$P$5:$P$2246=C$1),('Diário 6º PA'!$F$5:$F$2246))+
SUMPRODUCT(-('Diário 7º PA'!$E$5:$E$2271='Analítico Cx.'!$B131),-('Diário 7º PA'!$P$5:$P$2271=C$1),('Diário 7º PA'!$F$5:$F$2271))+
SUMPRODUCT(-('Diário 8º PA'!$E$5:$E$2488='Analítico Cx.'!$B131),-('Diário 8º PA'!$P$5:$P$2488=C$1),('Diário 8º PA'!$F$5:$F$2488))</f>
        <v>0</v>
      </c>
      <c r="D131" s="185">
        <f>SUMPRODUCT(-('Diário 5º PA'!$E$5:$E$2634='Analítico Cx.'!$B131),-('Diário 5º PA'!$P$5:$P$2634=D$1),('Diário 5º PA'!$F$5:$F$2634))+
SUMPRODUCT(-('Diário 6º PA'!$E$5:$E$2246='Analítico Cx.'!$B131),-('Diário 6º PA'!$P$5:$P$2246=D$1),('Diário 6º PA'!$F$5:$F$2246))+
SUMPRODUCT(-('Diário 7º PA'!$E$5:$E$2271='Analítico Cx.'!$B131),-('Diário 7º PA'!$P$5:$P$2271=D$1),('Diário 7º PA'!$F$5:$F$2271))+
SUMPRODUCT(-('Diário 8º PA'!$E$5:$E$2488='Analítico Cx.'!$B131),-('Diário 8º PA'!$P$5:$P$2488=D$1),('Diário 8º PA'!$F$5:$F$2488))</f>
        <v>0</v>
      </c>
      <c r="E131" s="185">
        <f>SUMPRODUCT(-('Diário 5º PA'!$E$5:$E$2634='Analítico Cx.'!$B131),-('Diário 5º PA'!$P$5:$P$2634=E$1),('Diário 5º PA'!$F$5:$F$2634))+
SUMPRODUCT(-('Diário 6º PA'!$E$5:$E$2246='Analítico Cx.'!$B131),-('Diário 6º PA'!$P$5:$P$2246=E$1),('Diário 6º PA'!$F$5:$F$2246))+
SUMPRODUCT(-('Diário 7º PA'!$E$5:$E$2271='Analítico Cx.'!$B131),-('Diário 7º PA'!$P$5:$P$2271=E$1),('Diário 7º PA'!$F$5:$F$2271))+
SUMPRODUCT(-('Diário 8º PA'!$E$5:$E$2488='Analítico Cx.'!$B131),-('Diário 8º PA'!$P$5:$P$2488=E$1),('Diário 8º PA'!$F$5:$F$2488))</f>
        <v>0</v>
      </c>
      <c r="F131" s="185">
        <f>SUMPRODUCT(-('Diário 5º PA'!$E$5:$E$2634='Analítico Cx.'!$B131),-('Diário 5º PA'!$P$5:$P$2634=F$1),('Diário 5º PA'!$F$5:$F$2634))+
SUMPRODUCT(-('Diário 6º PA'!$E$5:$E$2246='Analítico Cx.'!$B131),-('Diário 6º PA'!$P$5:$P$2246=F$1),('Diário 6º PA'!$F$5:$F$2246))+
SUMPRODUCT(-('Diário 7º PA'!$E$5:$E$2271='Analítico Cx.'!$B131),-('Diário 7º PA'!$P$5:$P$2271=F$1),('Diário 7º PA'!$F$5:$F$2271))+
SUMPRODUCT(-('Diário 8º PA'!$E$5:$E$2488='Analítico Cx.'!$B131),-('Diário 8º PA'!$P$5:$P$2488=F$1),('Diário 8º PA'!$F$5:$F$2488))</f>
        <v>0</v>
      </c>
      <c r="G131" s="185">
        <f>SUMPRODUCT(-('Diário 5º PA'!$E$5:$E$2634='Analítico Cx.'!$B131),-('Diário 5º PA'!$P$5:$P$2634=G$1),('Diário 5º PA'!$F$5:$F$2634))+
SUMPRODUCT(-('Diário 6º PA'!$E$5:$E$2246='Analítico Cx.'!$B131),-('Diário 6º PA'!$P$5:$P$2246=G$1),('Diário 6º PA'!$F$5:$F$2246))+
SUMPRODUCT(-('Diário 7º PA'!$E$5:$E$2271='Analítico Cx.'!$B131),-('Diário 7º PA'!$P$5:$P$2271=G$1),('Diário 7º PA'!$F$5:$F$2271))+
SUMPRODUCT(-('Diário 8º PA'!$E$5:$E$2488='Analítico Cx.'!$B131),-('Diário 8º PA'!$P$5:$P$2488=G$1),('Diário 8º PA'!$F$5:$F$2488))</f>
        <v>600</v>
      </c>
      <c r="H131" s="185">
        <f>SUMPRODUCT(-('Diário 5º PA'!$E$5:$E$2634='Analítico Cx.'!$B131),-('Diário 5º PA'!$P$5:$P$2634=H$1),('Diário 5º PA'!$F$5:$F$2634))+
SUMPRODUCT(-('Diário 6º PA'!$E$5:$E$2246='Analítico Cx.'!$B131),-('Diário 6º PA'!$P$5:$P$2246=H$1),('Diário 6º PA'!$F$5:$F$2246))+
SUMPRODUCT(-('Diário 7º PA'!$E$5:$E$2271='Analítico Cx.'!$B131),-('Diário 7º PA'!$P$5:$P$2271=H$1),('Diário 7º PA'!$F$5:$F$2271))+
SUMPRODUCT(-('Diário 8º PA'!$E$5:$E$2488='Analítico Cx.'!$B131),-('Diário 8º PA'!$P$5:$P$2488=H$1),('Diário 8º PA'!$F$5:$F$2488))</f>
        <v>2762.55</v>
      </c>
      <c r="I131" s="185">
        <f>SUMPRODUCT(-('Diário 5º PA'!$E$5:$E$2634='Analítico Cx.'!$B131),-('Diário 5º PA'!$P$5:$P$2634=I$1),('Diário 5º PA'!$F$5:$F$2634))+
SUMPRODUCT(-('Diário 6º PA'!$E$5:$E$2246='Analítico Cx.'!$B131),-('Diário 6º PA'!$P$5:$P$2246=I$1),('Diário 6º PA'!$F$5:$F$2246))+
SUMPRODUCT(-('Diário 7º PA'!$E$5:$E$2271='Analítico Cx.'!$B131),-('Diário 7º PA'!$P$5:$P$2271=I$1),('Diário 7º PA'!$F$5:$F$2271))+
SUMPRODUCT(-('Diário 8º PA'!$E$5:$E$2488='Analítico Cx.'!$B131),-('Diário 8º PA'!$P$5:$P$2488=I$1),('Diário 8º PA'!$F$5:$F$2488))</f>
        <v>1327.05</v>
      </c>
      <c r="J131" s="185">
        <f>SUMPRODUCT(-('Diário 5º PA'!$E$5:$E$2634='Analítico Cx.'!$B131),-('Diário 5º PA'!$P$5:$P$2634=J$1),('Diário 5º PA'!$F$5:$F$2634))+
SUMPRODUCT(-('Diário 6º PA'!$E$5:$E$2246='Analítico Cx.'!$B131),-('Diário 6º PA'!$P$5:$P$2246=J$1),('Diário 6º PA'!$F$5:$F$2246))+
SUMPRODUCT(-('Diário 7º PA'!$E$5:$E$2271='Analítico Cx.'!$B131),-('Diário 7º PA'!$P$5:$P$2271=J$1),('Diário 7º PA'!$F$5:$F$2271))+
SUMPRODUCT(-('Diário 8º PA'!$E$5:$E$2488='Analítico Cx.'!$B131),-('Diário 8º PA'!$P$5:$P$2488=J$1),('Diário 8º PA'!$F$5:$F$2488))</f>
        <v>0</v>
      </c>
      <c r="K131" s="185">
        <f>SUMPRODUCT(-('Diário 5º PA'!$E$5:$E$2634='Analítico Cx.'!$B131),-('Diário 5º PA'!$P$5:$P$2634=K$1),('Diário 5º PA'!$F$5:$F$2634))+
SUMPRODUCT(-('Diário 6º PA'!$E$5:$E$2246='Analítico Cx.'!$B131),-('Diário 6º PA'!$P$5:$P$2246=K$1),('Diário 6º PA'!$F$5:$F$2246))+
SUMPRODUCT(-('Diário 7º PA'!$E$5:$E$2271='Analítico Cx.'!$B131),-('Diário 7º PA'!$P$5:$P$2271=K$1),('Diário 7º PA'!$F$5:$F$2271))+
SUMPRODUCT(-('Diário 8º PA'!$E$5:$E$2488='Analítico Cx.'!$B131),-('Diário 8º PA'!$P$5:$P$2488=K$1),('Diário 8º PA'!$F$5:$F$2488))</f>
        <v>0</v>
      </c>
      <c r="L131" s="185">
        <f>SUMPRODUCT(-('Diário 5º PA'!$E$5:$E$2634='Analítico Cx.'!$B131),-('Diário 5º PA'!$P$5:$P$2634=L$1),('Diário 5º PA'!$F$5:$F$2634))+
SUMPRODUCT(-('Diário 6º PA'!$E$5:$E$2246='Analítico Cx.'!$B131),-('Diário 6º PA'!$P$5:$P$2246=L$1),('Diário 6º PA'!$F$5:$F$2246))+
SUMPRODUCT(-('Diário 7º PA'!$E$5:$E$2271='Analítico Cx.'!$B131),-('Diário 7º PA'!$P$5:$P$2271=L$1),('Diário 7º PA'!$F$5:$F$2271))+
SUMPRODUCT(-('Diário 8º PA'!$E$5:$E$2488='Analítico Cx.'!$B131),-('Diário 8º PA'!$P$5:$P$2488=L$1),('Diário 8º PA'!$F$5:$F$2488))</f>
        <v>0</v>
      </c>
      <c r="M131" s="185">
        <f>SUMPRODUCT(-('Diário 5º PA'!$E$5:$E$2634='Analítico Cx.'!$B131),-('Diário 5º PA'!$P$5:$P$2634=M$1),('Diário 5º PA'!$F$5:$F$2634))+
SUMPRODUCT(-('Diário 6º PA'!$E$5:$E$2246='Analítico Cx.'!$B131),-('Diário 6º PA'!$P$5:$P$2246=M$1),('Diário 6º PA'!$F$5:$F$2246))+
SUMPRODUCT(-('Diário 7º PA'!$E$5:$E$2271='Analítico Cx.'!$B131),-('Diário 7º PA'!$P$5:$P$2271=M$1),('Diário 7º PA'!$F$5:$F$2271))+
SUMPRODUCT(-('Diário 8º PA'!$E$5:$E$2488='Analítico Cx.'!$B131),-('Diário 8º PA'!$P$5:$P$2488=M$1),('Diário 8º PA'!$F$5:$F$2488))</f>
        <v>0</v>
      </c>
      <c r="N131" s="185">
        <f>SUMPRODUCT(-('Diário 5º PA'!$E$5:$E$2634='Analítico Cx.'!$B131),-('Diário 5º PA'!$P$5:$P$2634=N$1),('Diário 5º PA'!$F$5:$F$2634))+
SUMPRODUCT(-('Diário 6º PA'!$E$5:$E$2246='Analítico Cx.'!$B131),-('Diário 6º PA'!$P$5:$P$2246=N$1),('Diário 6º PA'!$F$5:$F$2246))+
SUMPRODUCT(-('Diário 7º PA'!$E$5:$E$2271='Analítico Cx.'!$B131),-('Diário 7º PA'!$P$5:$P$2271=N$1),('Diário 7º PA'!$F$5:$F$2271))+
SUMPRODUCT(-('Diário 8º PA'!$E$5:$E$2488='Analítico Cx.'!$B131),-('Diário 8º PA'!$P$5:$P$2488=N$1),('Diário 8º PA'!$F$5:$F$2488))</f>
        <v>0</v>
      </c>
      <c r="O131" s="186">
        <f t="shared" si="16"/>
        <v>4689.6000000000004</v>
      </c>
      <c r="P131" s="187">
        <f t="shared" si="17"/>
        <v>4.9757218761961087E-4</v>
      </c>
      <c r="Q131" s="34"/>
      <c r="R131" s="34"/>
      <c r="S131" s="34"/>
      <c r="T131" s="34"/>
      <c r="U131" s="34"/>
      <c r="V131" s="34"/>
      <c r="W131" s="34"/>
      <c r="X131" s="34"/>
      <c r="Y131" s="34"/>
      <c r="Z131" s="34"/>
    </row>
    <row r="132" spans="1:26" ht="12.75" customHeight="1" x14ac:dyDescent="0.2">
      <c r="A132" s="203" t="s">
        <v>355</v>
      </c>
      <c r="B132" s="72" t="s">
        <v>356</v>
      </c>
      <c r="C132" s="185">
        <f>SUMPRODUCT(-('Diário 5º PA'!$E$5:$E$2634='Analítico Cx.'!$B132),-('Diário 5º PA'!$P$5:$P$2634=C$1),('Diário 5º PA'!$F$5:$F$2634))+
SUMPRODUCT(-('Diário 6º PA'!$E$5:$E$2246='Analítico Cx.'!$B132),-('Diário 6º PA'!$P$5:$P$2246=C$1),('Diário 6º PA'!$F$5:$F$2246))+
SUMPRODUCT(-('Diário 7º PA'!$E$5:$E$2271='Analítico Cx.'!$B132),-('Diário 7º PA'!$P$5:$P$2271=C$1),('Diário 7º PA'!$F$5:$F$2271))+
SUMPRODUCT(-('Diário 8º PA'!$E$5:$E$2488='Analítico Cx.'!$B132),-('Diário 8º PA'!$P$5:$P$2488=C$1),('Diário 8º PA'!$F$5:$F$2488))</f>
        <v>0</v>
      </c>
      <c r="D132" s="185">
        <f>SUMPRODUCT(-('Diário 5º PA'!$E$5:$E$2634='Analítico Cx.'!$B132),-('Diário 5º PA'!$P$5:$P$2634=D$1),('Diário 5º PA'!$F$5:$F$2634))+
SUMPRODUCT(-('Diário 6º PA'!$E$5:$E$2246='Analítico Cx.'!$B132),-('Diário 6º PA'!$P$5:$P$2246=D$1),('Diário 6º PA'!$F$5:$F$2246))+
SUMPRODUCT(-('Diário 7º PA'!$E$5:$E$2271='Analítico Cx.'!$B132),-('Diário 7º PA'!$P$5:$P$2271=D$1),('Diário 7º PA'!$F$5:$F$2271))+
SUMPRODUCT(-('Diário 8º PA'!$E$5:$E$2488='Analítico Cx.'!$B132),-('Diário 8º PA'!$P$5:$P$2488=D$1),('Diário 8º PA'!$F$5:$F$2488))</f>
        <v>1536.45</v>
      </c>
      <c r="E132" s="185">
        <f>SUMPRODUCT(-('Diário 5º PA'!$E$5:$E$2634='Analítico Cx.'!$B132),-('Diário 5º PA'!$P$5:$P$2634=E$1),('Diário 5º PA'!$F$5:$F$2634))+
SUMPRODUCT(-('Diário 6º PA'!$E$5:$E$2246='Analítico Cx.'!$B132),-('Diário 6º PA'!$P$5:$P$2246=E$1),('Diário 6º PA'!$F$5:$F$2246))+
SUMPRODUCT(-('Diário 7º PA'!$E$5:$E$2271='Analítico Cx.'!$B132),-('Diário 7º PA'!$P$5:$P$2271=E$1),('Diário 7º PA'!$F$5:$F$2271))+
SUMPRODUCT(-('Diário 8º PA'!$E$5:$E$2488='Analítico Cx.'!$B132),-('Diário 8º PA'!$P$5:$P$2488=E$1),('Diário 8º PA'!$F$5:$F$2488))</f>
        <v>0</v>
      </c>
      <c r="F132" s="185">
        <f>SUMPRODUCT(-('Diário 5º PA'!$E$5:$E$2634='Analítico Cx.'!$B132),-('Diário 5º PA'!$P$5:$P$2634=F$1),('Diário 5º PA'!$F$5:$F$2634))+
SUMPRODUCT(-('Diário 6º PA'!$E$5:$E$2246='Analítico Cx.'!$B132),-('Diário 6º PA'!$P$5:$P$2246=F$1),('Diário 6º PA'!$F$5:$F$2246))+
SUMPRODUCT(-('Diário 7º PA'!$E$5:$E$2271='Analítico Cx.'!$B132),-('Diário 7º PA'!$P$5:$P$2271=F$1),('Diário 7º PA'!$F$5:$F$2271))+
SUMPRODUCT(-('Diário 8º PA'!$E$5:$E$2488='Analítico Cx.'!$B132),-('Diário 8º PA'!$P$5:$P$2488=F$1),('Diário 8º PA'!$F$5:$F$2488))</f>
        <v>1500</v>
      </c>
      <c r="G132" s="185">
        <f>SUMPRODUCT(-('Diário 5º PA'!$E$5:$E$2634='Analítico Cx.'!$B132),-('Diário 5º PA'!$P$5:$P$2634=G$1),('Diário 5º PA'!$F$5:$F$2634))+
SUMPRODUCT(-('Diário 6º PA'!$E$5:$E$2246='Analítico Cx.'!$B132),-('Diário 6º PA'!$P$5:$P$2246=G$1),('Diário 6º PA'!$F$5:$F$2246))+
SUMPRODUCT(-('Diário 7º PA'!$E$5:$E$2271='Analítico Cx.'!$B132),-('Diário 7º PA'!$P$5:$P$2271=G$1),('Diário 7º PA'!$F$5:$F$2271))+
SUMPRODUCT(-('Diário 8º PA'!$E$5:$E$2488='Analítico Cx.'!$B132),-('Diário 8º PA'!$P$5:$P$2488=G$1),('Diário 8º PA'!$F$5:$F$2488))</f>
        <v>0</v>
      </c>
      <c r="H132" s="185">
        <f>SUMPRODUCT(-('Diário 5º PA'!$E$5:$E$2634='Analítico Cx.'!$B132),-('Diário 5º PA'!$P$5:$P$2634=H$1),('Diário 5º PA'!$F$5:$F$2634))+
SUMPRODUCT(-('Diário 6º PA'!$E$5:$E$2246='Analítico Cx.'!$B132),-('Diário 6º PA'!$P$5:$P$2246=H$1),('Diário 6º PA'!$F$5:$F$2246))+
SUMPRODUCT(-('Diário 7º PA'!$E$5:$E$2271='Analítico Cx.'!$B132),-('Diário 7º PA'!$P$5:$P$2271=H$1),('Diário 7º PA'!$F$5:$F$2271))+
SUMPRODUCT(-('Diário 8º PA'!$E$5:$E$2488='Analítico Cx.'!$B132),-('Diário 8º PA'!$P$5:$P$2488=H$1),('Diário 8º PA'!$F$5:$F$2488))</f>
        <v>0</v>
      </c>
      <c r="I132" s="185">
        <f>SUMPRODUCT(-('Diário 5º PA'!$E$5:$E$2634='Analítico Cx.'!$B132),-('Diário 5º PA'!$P$5:$P$2634=I$1),('Diário 5º PA'!$F$5:$F$2634))+
SUMPRODUCT(-('Diário 6º PA'!$E$5:$E$2246='Analítico Cx.'!$B132),-('Diário 6º PA'!$P$5:$P$2246=I$1),('Diário 6º PA'!$F$5:$F$2246))+
SUMPRODUCT(-('Diário 7º PA'!$E$5:$E$2271='Analítico Cx.'!$B132),-('Diário 7º PA'!$P$5:$P$2271=I$1),('Diário 7º PA'!$F$5:$F$2271))+
SUMPRODUCT(-('Diário 8º PA'!$E$5:$E$2488='Analítico Cx.'!$B132),-('Diário 8º PA'!$P$5:$P$2488=I$1),('Diário 8º PA'!$F$5:$F$2488))</f>
        <v>2000</v>
      </c>
      <c r="J132" s="185">
        <f>SUMPRODUCT(-('Diário 5º PA'!$E$5:$E$2634='Analítico Cx.'!$B132),-('Diário 5º PA'!$P$5:$P$2634=J$1),('Diário 5º PA'!$F$5:$F$2634))+
SUMPRODUCT(-('Diário 6º PA'!$E$5:$E$2246='Analítico Cx.'!$B132),-('Diário 6º PA'!$P$5:$P$2246=J$1),('Diário 6º PA'!$F$5:$F$2246))+
SUMPRODUCT(-('Diário 7º PA'!$E$5:$E$2271='Analítico Cx.'!$B132),-('Diário 7º PA'!$P$5:$P$2271=J$1),('Diário 7º PA'!$F$5:$F$2271))+
SUMPRODUCT(-('Diário 8º PA'!$E$5:$E$2488='Analítico Cx.'!$B132),-('Diário 8º PA'!$P$5:$P$2488=J$1),('Diário 8º PA'!$F$5:$F$2488))</f>
        <v>10912.4</v>
      </c>
      <c r="K132" s="185">
        <f>SUMPRODUCT(-('Diário 5º PA'!$E$5:$E$2634='Analítico Cx.'!$B132),-('Diário 5º PA'!$P$5:$P$2634=K$1),('Diário 5º PA'!$F$5:$F$2634))+
SUMPRODUCT(-('Diário 6º PA'!$E$5:$E$2246='Analítico Cx.'!$B132),-('Diário 6º PA'!$P$5:$P$2246=K$1),('Diário 6º PA'!$F$5:$F$2246))+
SUMPRODUCT(-('Diário 7º PA'!$E$5:$E$2271='Analítico Cx.'!$B132),-('Diário 7º PA'!$P$5:$P$2271=K$1),('Diário 7º PA'!$F$5:$F$2271))+
SUMPRODUCT(-('Diário 8º PA'!$E$5:$E$2488='Analítico Cx.'!$B132),-('Diário 8º PA'!$P$5:$P$2488=K$1),('Diário 8º PA'!$F$5:$F$2488))</f>
        <v>8513</v>
      </c>
      <c r="L132" s="185">
        <f>SUMPRODUCT(-('Diário 5º PA'!$E$5:$E$2634='Analítico Cx.'!$B132),-('Diário 5º PA'!$P$5:$P$2634=L$1),('Diário 5º PA'!$F$5:$F$2634))+
SUMPRODUCT(-('Diário 6º PA'!$E$5:$E$2246='Analítico Cx.'!$B132),-('Diário 6º PA'!$P$5:$P$2246=L$1),('Diário 6º PA'!$F$5:$F$2246))+
SUMPRODUCT(-('Diário 7º PA'!$E$5:$E$2271='Analítico Cx.'!$B132),-('Diário 7º PA'!$P$5:$P$2271=L$1),('Diário 7º PA'!$F$5:$F$2271))+
SUMPRODUCT(-('Diário 8º PA'!$E$5:$E$2488='Analítico Cx.'!$B132),-('Diário 8º PA'!$P$5:$P$2488=L$1),('Diário 8º PA'!$F$5:$F$2488))</f>
        <v>1500</v>
      </c>
      <c r="M132" s="185">
        <f>SUMPRODUCT(-('Diário 5º PA'!$E$5:$E$2634='Analítico Cx.'!$B132),-('Diário 5º PA'!$P$5:$P$2634=M$1),('Diário 5º PA'!$F$5:$F$2634))+
SUMPRODUCT(-('Diário 6º PA'!$E$5:$E$2246='Analítico Cx.'!$B132),-('Diário 6º PA'!$P$5:$P$2246=M$1),('Diário 6º PA'!$F$5:$F$2246))+
SUMPRODUCT(-('Diário 7º PA'!$E$5:$E$2271='Analítico Cx.'!$B132),-('Diário 7º PA'!$P$5:$P$2271=M$1),('Diário 7º PA'!$F$5:$F$2271))+
SUMPRODUCT(-('Diário 8º PA'!$E$5:$E$2488='Analítico Cx.'!$B132),-('Diário 8º PA'!$P$5:$P$2488=M$1),('Diário 8º PA'!$F$5:$F$2488))</f>
        <v>1500</v>
      </c>
      <c r="N132" s="185">
        <f>SUMPRODUCT(-('Diário 5º PA'!$E$5:$E$2634='Analítico Cx.'!$B132),-('Diário 5º PA'!$P$5:$P$2634=N$1),('Diário 5º PA'!$F$5:$F$2634))+
SUMPRODUCT(-('Diário 6º PA'!$E$5:$E$2246='Analítico Cx.'!$B132),-('Diário 6º PA'!$P$5:$P$2246=N$1),('Diário 6º PA'!$F$5:$F$2246))+
SUMPRODUCT(-('Diário 7º PA'!$E$5:$E$2271='Analítico Cx.'!$B132),-('Diário 7º PA'!$P$5:$P$2271=N$1),('Diário 7º PA'!$F$5:$F$2271))+
SUMPRODUCT(-('Diário 8º PA'!$E$5:$E$2488='Analítico Cx.'!$B132),-('Diário 8º PA'!$P$5:$P$2488=N$1),('Diário 8º PA'!$F$5:$F$2488))</f>
        <v>0</v>
      </c>
      <c r="O132" s="186">
        <f t="shared" si="16"/>
        <v>27461.85</v>
      </c>
      <c r="P132" s="187">
        <f t="shared" si="17"/>
        <v>2.9137352398033111E-3</v>
      </c>
      <c r="Q132" s="34"/>
      <c r="R132" s="34"/>
      <c r="S132" s="34"/>
      <c r="T132" s="34"/>
      <c r="U132" s="34"/>
      <c r="V132" s="34"/>
      <c r="W132" s="34"/>
      <c r="X132" s="34"/>
      <c r="Y132" s="34"/>
      <c r="Z132" s="34"/>
    </row>
    <row r="133" spans="1:26" ht="33.75" customHeight="1" x14ac:dyDescent="0.2">
      <c r="A133" s="203" t="s">
        <v>357</v>
      </c>
      <c r="B133" s="72" t="s">
        <v>358</v>
      </c>
      <c r="C133" s="185">
        <f>SUMPRODUCT(-('Diário 5º PA'!$E$5:$E$2634='Analítico Cx.'!$B133),-('Diário 5º PA'!$P$5:$P$2634=C$1),('Diário 5º PA'!$F$5:$F$2634))+
SUMPRODUCT(-('Diário 6º PA'!$E$5:$E$2246='Analítico Cx.'!$B133),-('Diário 6º PA'!$P$5:$P$2246=C$1),('Diário 6º PA'!$F$5:$F$2246))+
SUMPRODUCT(-('Diário 7º PA'!$E$5:$E$2271='Analítico Cx.'!$B133),-('Diário 7º PA'!$P$5:$P$2271=C$1),('Diário 7º PA'!$F$5:$F$2271))+
SUMPRODUCT(-('Diário 8º PA'!$E$5:$E$2488='Analítico Cx.'!$B133),-('Diário 8º PA'!$P$5:$P$2488=C$1),('Diário 8º PA'!$F$5:$F$2488))</f>
        <v>18488.620000000003</v>
      </c>
      <c r="D133" s="185">
        <f>SUMPRODUCT(-('Diário 5º PA'!$E$5:$E$2634='Analítico Cx.'!$B133),-('Diário 5º PA'!$P$5:$P$2634=D$1),('Diário 5º PA'!$F$5:$F$2634))+
SUMPRODUCT(-('Diário 6º PA'!$E$5:$E$2246='Analítico Cx.'!$B133),-('Diário 6º PA'!$P$5:$P$2246=D$1),('Diário 6º PA'!$F$5:$F$2246))+
SUMPRODUCT(-('Diário 7º PA'!$E$5:$E$2271='Analítico Cx.'!$B133),-('Diário 7º PA'!$P$5:$P$2271=D$1),('Diário 7º PA'!$F$5:$F$2271))+
SUMPRODUCT(-('Diário 8º PA'!$E$5:$E$2488='Analítico Cx.'!$B133),-('Diário 8º PA'!$P$5:$P$2488=D$1),('Diário 8º PA'!$F$5:$F$2488))</f>
        <v>10996.82</v>
      </c>
      <c r="E133" s="185">
        <f>SUMPRODUCT(-('Diário 5º PA'!$E$5:$E$2634='Analítico Cx.'!$B133),-('Diário 5º PA'!$P$5:$P$2634=E$1),('Diário 5º PA'!$F$5:$F$2634))+
SUMPRODUCT(-('Diário 6º PA'!$E$5:$E$2246='Analítico Cx.'!$B133),-('Diário 6º PA'!$P$5:$P$2246=E$1),('Diário 6º PA'!$F$5:$F$2246))+
SUMPRODUCT(-('Diário 7º PA'!$E$5:$E$2271='Analítico Cx.'!$B133),-('Diário 7º PA'!$P$5:$P$2271=E$1),('Diário 7º PA'!$F$5:$F$2271))+
SUMPRODUCT(-('Diário 8º PA'!$E$5:$E$2488='Analítico Cx.'!$B133),-('Diário 8º PA'!$P$5:$P$2488=E$1),('Diário 8º PA'!$F$5:$F$2488))</f>
        <v>1278.72</v>
      </c>
      <c r="F133" s="185">
        <f>SUMPRODUCT(-('Diário 5º PA'!$E$5:$E$2634='Analítico Cx.'!$B133),-('Diário 5º PA'!$P$5:$P$2634=F$1),('Diário 5º PA'!$F$5:$F$2634))+
SUMPRODUCT(-('Diário 6º PA'!$E$5:$E$2246='Analítico Cx.'!$B133),-('Diário 6º PA'!$P$5:$P$2246=F$1),('Diário 6º PA'!$F$5:$F$2246))+
SUMPRODUCT(-('Diário 7º PA'!$E$5:$E$2271='Analítico Cx.'!$B133),-('Diário 7º PA'!$P$5:$P$2271=F$1),('Diário 7º PA'!$F$5:$F$2271))+
SUMPRODUCT(-('Diário 8º PA'!$E$5:$E$2488='Analítico Cx.'!$B133),-('Diário 8º PA'!$P$5:$P$2488=F$1),('Diário 8º PA'!$F$5:$F$2488))</f>
        <v>9017.76</v>
      </c>
      <c r="G133" s="185">
        <f>SUMPRODUCT(-('Diário 5º PA'!$E$5:$E$2634='Analítico Cx.'!$B133),-('Diário 5º PA'!$P$5:$P$2634=G$1),('Diário 5º PA'!$F$5:$F$2634))+
SUMPRODUCT(-('Diário 6º PA'!$E$5:$E$2246='Analítico Cx.'!$B133),-('Diário 6º PA'!$P$5:$P$2246=G$1),('Diário 6º PA'!$F$5:$F$2246))+
SUMPRODUCT(-('Diário 7º PA'!$E$5:$E$2271='Analítico Cx.'!$B133),-('Diário 7º PA'!$P$5:$P$2271=G$1),('Diário 7º PA'!$F$5:$F$2271))+
SUMPRODUCT(-('Diário 8º PA'!$E$5:$E$2488='Analítico Cx.'!$B133),-('Diário 8º PA'!$P$5:$P$2488=G$1),('Diário 8º PA'!$F$5:$F$2488))</f>
        <v>8116.64</v>
      </c>
      <c r="H133" s="185">
        <f>SUMPRODUCT(-('Diário 5º PA'!$E$5:$E$2634='Analítico Cx.'!$B133),-('Diário 5º PA'!$P$5:$P$2634=H$1),('Diário 5º PA'!$F$5:$F$2634))+
SUMPRODUCT(-('Diário 6º PA'!$E$5:$E$2246='Analítico Cx.'!$B133),-('Diário 6º PA'!$P$5:$P$2246=H$1),('Diário 6º PA'!$F$5:$F$2246))+
SUMPRODUCT(-('Diário 7º PA'!$E$5:$E$2271='Analítico Cx.'!$B133),-('Diário 7º PA'!$P$5:$P$2271=H$1),('Diário 7º PA'!$F$5:$F$2271))+
SUMPRODUCT(-('Diário 8º PA'!$E$5:$E$2488='Analítico Cx.'!$B133),-('Diário 8º PA'!$P$5:$P$2488=H$1),('Diário 8º PA'!$F$5:$F$2488))</f>
        <v>6148</v>
      </c>
      <c r="I133" s="185">
        <f>SUMPRODUCT(-('Diário 5º PA'!$E$5:$E$2634='Analítico Cx.'!$B133),-('Diário 5º PA'!$P$5:$P$2634=I$1),('Diário 5º PA'!$F$5:$F$2634))+
SUMPRODUCT(-('Diário 6º PA'!$E$5:$E$2246='Analítico Cx.'!$B133),-('Diário 6º PA'!$P$5:$P$2246=I$1),('Diário 6º PA'!$F$5:$F$2246))+
SUMPRODUCT(-('Diário 7º PA'!$E$5:$E$2271='Analítico Cx.'!$B133),-('Diário 7º PA'!$P$5:$P$2271=I$1),('Diário 7º PA'!$F$5:$F$2271))+
SUMPRODUCT(-('Diário 8º PA'!$E$5:$E$2488='Analítico Cx.'!$B133),-('Diário 8º PA'!$P$5:$P$2488=I$1),('Diário 8º PA'!$F$5:$F$2488))</f>
        <v>13429.4</v>
      </c>
      <c r="J133" s="185">
        <f>SUMPRODUCT(-('Diário 5º PA'!$E$5:$E$2634='Analítico Cx.'!$B133),-('Diário 5º PA'!$P$5:$P$2634=J$1),('Diário 5º PA'!$F$5:$F$2634))+
SUMPRODUCT(-('Diário 6º PA'!$E$5:$E$2246='Analítico Cx.'!$B133),-('Diário 6º PA'!$P$5:$P$2246=J$1),('Diário 6º PA'!$F$5:$F$2246))+
SUMPRODUCT(-('Diário 7º PA'!$E$5:$E$2271='Analítico Cx.'!$B133),-('Diário 7º PA'!$P$5:$P$2271=J$1),('Diário 7º PA'!$F$5:$F$2271))+
SUMPRODUCT(-('Diário 8º PA'!$E$5:$E$2488='Analítico Cx.'!$B133),-('Diário 8º PA'!$P$5:$P$2488=J$1),('Diário 8º PA'!$F$5:$F$2488))</f>
        <v>7075.0000000000009</v>
      </c>
      <c r="K133" s="185">
        <f>SUMPRODUCT(-('Diário 5º PA'!$E$5:$E$2634='Analítico Cx.'!$B133),-('Diário 5º PA'!$P$5:$P$2634=K$1),('Diário 5º PA'!$F$5:$F$2634))+
SUMPRODUCT(-('Diário 6º PA'!$E$5:$E$2246='Analítico Cx.'!$B133),-('Diário 6º PA'!$P$5:$P$2246=K$1),('Diário 6º PA'!$F$5:$F$2246))+
SUMPRODUCT(-('Diário 7º PA'!$E$5:$E$2271='Analítico Cx.'!$B133),-('Diário 7º PA'!$P$5:$P$2271=K$1),('Diário 7º PA'!$F$5:$F$2271))+
SUMPRODUCT(-('Diário 8º PA'!$E$5:$E$2488='Analítico Cx.'!$B133),-('Diário 8º PA'!$P$5:$P$2488=K$1),('Diário 8º PA'!$F$5:$F$2488))</f>
        <v>22034.749999999996</v>
      </c>
      <c r="L133" s="185">
        <f>SUMPRODUCT(-('Diário 5º PA'!$E$5:$E$2634='Analítico Cx.'!$B133),-('Diário 5º PA'!$P$5:$P$2634=L$1),('Diário 5º PA'!$F$5:$F$2634))+
SUMPRODUCT(-('Diário 6º PA'!$E$5:$E$2246='Analítico Cx.'!$B133),-('Diário 6º PA'!$P$5:$P$2246=L$1),('Diário 6º PA'!$F$5:$F$2246))+
SUMPRODUCT(-('Diário 7º PA'!$E$5:$E$2271='Analítico Cx.'!$B133),-('Diário 7º PA'!$P$5:$P$2271=L$1),('Diário 7º PA'!$F$5:$F$2271))+
SUMPRODUCT(-('Diário 8º PA'!$E$5:$E$2488='Analítico Cx.'!$B133),-('Diário 8º PA'!$P$5:$P$2488=L$1),('Diário 8º PA'!$F$5:$F$2488))</f>
        <v>39815.450000000004</v>
      </c>
      <c r="M133" s="185">
        <f>SUMPRODUCT(-('Diário 5º PA'!$E$5:$E$2634='Analítico Cx.'!$B133),-('Diário 5º PA'!$P$5:$P$2634=M$1),('Diário 5º PA'!$F$5:$F$2634))+
SUMPRODUCT(-('Diário 6º PA'!$E$5:$E$2246='Analítico Cx.'!$B133),-('Diário 6º PA'!$P$5:$P$2246=M$1),('Diário 6º PA'!$F$5:$F$2246))+
SUMPRODUCT(-('Diário 7º PA'!$E$5:$E$2271='Analítico Cx.'!$B133),-('Diário 7º PA'!$P$5:$P$2271=M$1),('Diário 7º PA'!$F$5:$F$2271))+
SUMPRODUCT(-('Diário 8º PA'!$E$5:$E$2488='Analítico Cx.'!$B133),-('Diário 8º PA'!$P$5:$P$2488=M$1),('Diário 8º PA'!$F$5:$F$2488))</f>
        <v>36712.300000000017</v>
      </c>
      <c r="N133" s="185">
        <f>SUMPRODUCT(-('Diário 5º PA'!$E$5:$E$2634='Analítico Cx.'!$B133),-('Diário 5º PA'!$P$5:$P$2634=N$1),('Diário 5º PA'!$F$5:$F$2634))+
SUMPRODUCT(-('Diário 6º PA'!$E$5:$E$2246='Analítico Cx.'!$B133),-('Diário 6º PA'!$P$5:$P$2246=N$1),('Diário 6º PA'!$F$5:$F$2246))+
SUMPRODUCT(-('Diário 7º PA'!$E$5:$E$2271='Analítico Cx.'!$B133),-('Diário 7º PA'!$P$5:$P$2271=N$1),('Diário 7º PA'!$F$5:$F$2271))+
SUMPRODUCT(-('Diário 8º PA'!$E$5:$E$2488='Analítico Cx.'!$B133),-('Diário 8º PA'!$P$5:$P$2488=N$1),('Diário 8º PA'!$F$5:$F$2488))</f>
        <v>32518.400000000001</v>
      </c>
      <c r="O133" s="186">
        <f t="shared" si="16"/>
        <v>205631.86000000002</v>
      </c>
      <c r="P133" s="187">
        <f t="shared" si="17"/>
        <v>2.1817787108599784E-2</v>
      </c>
      <c r="Q133" s="34"/>
      <c r="R133" s="34"/>
      <c r="S133" s="34"/>
      <c r="T133" s="34"/>
      <c r="U133" s="34"/>
      <c r="V133" s="34"/>
      <c r="W133" s="34"/>
      <c r="X133" s="34"/>
      <c r="Y133" s="34"/>
      <c r="Z133" s="34"/>
    </row>
    <row r="134" spans="1:26" ht="28.5" customHeight="1" x14ac:dyDescent="0.2">
      <c r="A134" s="203" t="s">
        <v>359</v>
      </c>
      <c r="B134" s="72" t="s">
        <v>360</v>
      </c>
      <c r="C134" s="185">
        <f>SUMPRODUCT(-('Diário 5º PA'!$E$5:$E$2634='Analítico Cx.'!$B134),-('Diário 5º PA'!$P$5:$P$2634=C$1),('Diário 5º PA'!$F$5:$F$2634))+
SUMPRODUCT(-('Diário 6º PA'!$E$5:$E$2246='Analítico Cx.'!$B134),-('Diário 6º PA'!$P$5:$P$2246=C$1),('Diário 6º PA'!$F$5:$F$2246))+
SUMPRODUCT(-('Diário 7º PA'!$E$5:$E$2271='Analítico Cx.'!$B134),-('Diário 7º PA'!$P$5:$P$2271=C$1),('Diário 7º PA'!$F$5:$F$2271))+
SUMPRODUCT(-('Diário 8º PA'!$E$5:$E$2488='Analítico Cx.'!$B134),-('Diário 8º PA'!$P$5:$P$2488=C$1),('Diário 8º PA'!$F$5:$F$2488))</f>
        <v>0</v>
      </c>
      <c r="D134" s="185">
        <f>SUMPRODUCT(-('Diário 5º PA'!$E$5:$E$2634='Analítico Cx.'!$B134),-('Diário 5º PA'!$P$5:$P$2634=D$1),('Diário 5º PA'!$F$5:$F$2634))+
SUMPRODUCT(-('Diário 6º PA'!$E$5:$E$2246='Analítico Cx.'!$B134),-('Diário 6º PA'!$P$5:$P$2246=D$1),('Diário 6º PA'!$F$5:$F$2246))+
SUMPRODUCT(-('Diário 7º PA'!$E$5:$E$2271='Analítico Cx.'!$B134),-('Diário 7º PA'!$P$5:$P$2271=D$1),('Diário 7º PA'!$F$5:$F$2271))+
SUMPRODUCT(-('Diário 8º PA'!$E$5:$E$2488='Analítico Cx.'!$B134),-('Diário 8º PA'!$P$5:$P$2488=D$1),('Diário 8º PA'!$F$5:$F$2488))</f>
        <v>0</v>
      </c>
      <c r="E134" s="185">
        <f>SUMPRODUCT(-('Diário 5º PA'!$E$5:$E$2634='Analítico Cx.'!$B134),-('Diário 5º PA'!$P$5:$P$2634=E$1),('Diário 5º PA'!$F$5:$F$2634))+
SUMPRODUCT(-('Diário 6º PA'!$E$5:$E$2246='Analítico Cx.'!$B134),-('Diário 6º PA'!$P$5:$P$2246=E$1),('Diário 6º PA'!$F$5:$F$2246))+
SUMPRODUCT(-('Diário 7º PA'!$E$5:$E$2271='Analítico Cx.'!$B134),-('Diário 7º PA'!$P$5:$P$2271=E$1),('Diário 7º PA'!$F$5:$F$2271))+
SUMPRODUCT(-('Diário 8º PA'!$E$5:$E$2488='Analítico Cx.'!$B134),-('Diário 8º PA'!$P$5:$P$2488=E$1),('Diário 8º PA'!$F$5:$F$2488))</f>
        <v>0</v>
      </c>
      <c r="F134" s="185">
        <f>SUMPRODUCT(-('Diário 5º PA'!$E$5:$E$2634='Analítico Cx.'!$B134),-('Diário 5º PA'!$P$5:$P$2634=F$1),('Diário 5º PA'!$F$5:$F$2634))+
SUMPRODUCT(-('Diário 6º PA'!$E$5:$E$2246='Analítico Cx.'!$B134),-('Diário 6º PA'!$P$5:$P$2246=F$1),('Diário 6º PA'!$F$5:$F$2246))+
SUMPRODUCT(-('Diário 7º PA'!$E$5:$E$2271='Analítico Cx.'!$B134),-('Diário 7º PA'!$P$5:$P$2271=F$1),('Diário 7º PA'!$F$5:$F$2271))+
SUMPRODUCT(-('Diário 8º PA'!$E$5:$E$2488='Analítico Cx.'!$B134),-('Diário 8º PA'!$P$5:$P$2488=F$1),('Diário 8º PA'!$F$5:$F$2488))</f>
        <v>5634.42</v>
      </c>
      <c r="G134" s="185">
        <f>SUMPRODUCT(-('Diário 5º PA'!$E$5:$E$2634='Analítico Cx.'!$B134),-('Diário 5º PA'!$P$5:$P$2634=G$1),('Diário 5º PA'!$F$5:$F$2634))+
SUMPRODUCT(-('Diário 6º PA'!$E$5:$E$2246='Analítico Cx.'!$B134),-('Diário 6º PA'!$P$5:$P$2246=G$1),('Diário 6º PA'!$F$5:$F$2246))+
SUMPRODUCT(-('Diário 7º PA'!$E$5:$E$2271='Analítico Cx.'!$B134),-('Diário 7º PA'!$P$5:$P$2271=G$1),('Diário 7º PA'!$F$5:$F$2271))+
SUMPRODUCT(-('Diário 8º PA'!$E$5:$E$2488='Analítico Cx.'!$B134),-('Diário 8º PA'!$P$5:$P$2488=G$1),('Diário 8º PA'!$F$5:$F$2488))</f>
        <v>115.58</v>
      </c>
      <c r="H134" s="185">
        <f>SUMPRODUCT(-('Diário 5º PA'!$E$5:$E$2634='Analítico Cx.'!$B134),-('Diário 5º PA'!$P$5:$P$2634=H$1),('Diário 5º PA'!$F$5:$F$2634))+
SUMPRODUCT(-('Diário 6º PA'!$E$5:$E$2246='Analítico Cx.'!$B134),-('Diário 6º PA'!$P$5:$P$2246=H$1),('Diário 6º PA'!$F$5:$F$2246))+
SUMPRODUCT(-('Diário 7º PA'!$E$5:$E$2271='Analítico Cx.'!$B134),-('Diário 7º PA'!$P$5:$P$2271=H$1),('Diário 7º PA'!$F$5:$F$2271))+
SUMPRODUCT(-('Diário 8º PA'!$E$5:$E$2488='Analítico Cx.'!$B134),-('Diário 8º PA'!$P$5:$P$2488=H$1),('Diário 8º PA'!$F$5:$F$2488))</f>
        <v>0</v>
      </c>
      <c r="I134" s="185">
        <f>SUMPRODUCT(-('Diário 5º PA'!$E$5:$E$2634='Analítico Cx.'!$B134),-('Diário 5º PA'!$P$5:$P$2634=I$1),('Diário 5º PA'!$F$5:$F$2634))+
SUMPRODUCT(-('Diário 6º PA'!$E$5:$E$2246='Analítico Cx.'!$B134),-('Diário 6º PA'!$P$5:$P$2246=I$1),('Diário 6º PA'!$F$5:$F$2246))+
SUMPRODUCT(-('Diário 7º PA'!$E$5:$E$2271='Analítico Cx.'!$B134),-('Diário 7º PA'!$P$5:$P$2271=I$1),('Diário 7º PA'!$F$5:$F$2271))+
SUMPRODUCT(-('Diário 8º PA'!$E$5:$E$2488='Analítico Cx.'!$B134),-('Diário 8º PA'!$P$5:$P$2488=I$1),('Diário 8º PA'!$F$5:$F$2488))</f>
        <v>0</v>
      </c>
      <c r="J134" s="185">
        <f>SUMPRODUCT(-('Diário 5º PA'!$E$5:$E$2634='Analítico Cx.'!$B134),-('Diário 5º PA'!$P$5:$P$2634=J$1),('Diário 5º PA'!$F$5:$F$2634))+
SUMPRODUCT(-('Diário 6º PA'!$E$5:$E$2246='Analítico Cx.'!$B134),-('Diário 6º PA'!$P$5:$P$2246=J$1),('Diário 6º PA'!$F$5:$F$2246))+
SUMPRODUCT(-('Diário 7º PA'!$E$5:$E$2271='Analítico Cx.'!$B134),-('Diário 7º PA'!$P$5:$P$2271=J$1),('Diário 7º PA'!$F$5:$F$2271))+
SUMPRODUCT(-('Diário 8º PA'!$E$5:$E$2488='Analítico Cx.'!$B134),-('Diário 8º PA'!$P$5:$P$2488=J$1),('Diário 8º PA'!$F$5:$F$2488))</f>
        <v>8848.0499999999993</v>
      </c>
      <c r="K134" s="185">
        <f>SUMPRODUCT(-('Diário 5º PA'!$E$5:$E$2634='Analítico Cx.'!$B134),-('Diário 5º PA'!$P$5:$P$2634=K$1),('Diário 5º PA'!$F$5:$F$2634))+
SUMPRODUCT(-('Diário 6º PA'!$E$5:$E$2246='Analítico Cx.'!$B134),-('Diário 6º PA'!$P$5:$P$2246=K$1),('Diário 6º PA'!$F$5:$F$2246))+
SUMPRODUCT(-('Diário 7º PA'!$E$5:$E$2271='Analítico Cx.'!$B134),-('Diário 7º PA'!$P$5:$P$2271=K$1),('Diário 7º PA'!$F$5:$F$2271))+
SUMPRODUCT(-('Diário 8º PA'!$E$5:$E$2488='Analítico Cx.'!$B134),-('Diário 8º PA'!$P$5:$P$2488=K$1),('Diário 8º PA'!$F$5:$F$2488))</f>
        <v>10502.369999999999</v>
      </c>
      <c r="L134" s="185">
        <f>SUMPRODUCT(-('Diário 5º PA'!$E$5:$E$2634='Analítico Cx.'!$B134),-('Diário 5º PA'!$P$5:$P$2634=L$1),('Diário 5º PA'!$F$5:$F$2634))+
SUMPRODUCT(-('Diário 6º PA'!$E$5:$E$2246='Analítico Cx.'!$B134),-('Diário 6º PA'!$P$5:$P$2246=L$1),('Diário 6º PA'!$F$5:$F$2246))+
SUMPRODUCT(-('Diário 7º PA'!$E$5:$E$2271='Analítico Cx.'!$B134),-('Diário 7º PA'!$P$5:$P$2271=L$1),('Diário 7º PA'!$F$5:$F$2271))+
SUMPRODUCT(-('Diário 8º PA'!$E$5:$E$2488='Analítico Cx.'!$B134),-('Diário 8º PA'!$P$5:$P$2488=L$1),('Diário 8º PA'!$F$5:$F$2488))</f>
        <v>199.57999999999998</v>
      </c>
      <c r="M134" s="185">
        <f>SUMPRODUCT(-('Diário 5º PA'!$E$5:$E$2634='Analítico Cx.'!$B134),-('Diário 5º PA'!$P$5:$P$2634=M$1),('Diário 5º PA'!$F$5:$F$2634))+
SUMPRODUCT(-('Diário 6º PA'!$E$5:$E$2246='Analítico Cx.'!$B134),-('Diário 6º PA'!$P$5:$P$2246=M$1),('Diário 6º PA'!$F$5:$F$2246))+
SUMPRODUCT(-('Diário 7º PA'!$E$5:$E$2271='Analítico Cx.'!$B134),-('Diário 7º PA'!$P$5:$P$2271=M$1),('Diário 7º PA'!$F$5:$F$2271))+
SUMPRODUCT(-('Diário 8º PA'!$E$5:$E$2488='Analítico Cx.'!$B134),-('Diário 8º PA'!$P$5:$P$2488=M$1),('Diário 8º PA'!$F$5:$F$2488))</f>
        <v>1175.8800000000001</v>
      </c>
      <c r="N134" s="185">
        <f>SUMPRODUCT(-('Diário 5º PA'!$E$5:$E$2634='Analítico Cx.'!$B134),-('Diário 5º PA'!$P$5:$P$2634=N$1),('Diário 5º PA'!$F$5:$F$2634))+
SUMPRODUCT(-('Diário 6º PA'!$E$5:$E$2246='Analítico Cx.'!$B134),-('Diário 6º PA'!$P$5:$P$2246=N$1),('Diário 6º PA'!$F$5:$F$2246))+
SUMPRODUCT(-('Diário 7º PA'!$E$5:$E$2271='Analítico Cx.'!$B134),-('Diário 7º PA'!$P$5:$P$2271=N$1),('Diário 7º PA'!$F$5:$F$2271))+
SUMPRODUCT(-('Diário 8º PA'!$E$5:$E$2488='Analítico Cx.'!$B134),-('Diário 8º PA'!$P$5:$P$2488=N$1),('Diário 8º PA'!$F$5:$F$2488))</f>
        <v>24.12</v>
      </c>
      <c r="O134" s="186">
        <f t="shared" si="16"/>
        <v>26500</v>
      </c>
      <c r="P134" s="187">
        <f t="shared" si="17"/>
        <v>2.8116818005628806E-3</v>
      </c>
      <c r="Q134" s="34"/>
      <c r="R134" s="34"/>
      <c r="S134" s="34"/>
      <c r="T134" s="34"/>
      <c r="U134" s="34"/>
      <c r="V134" s="34"/>
      <c r="W134" s="34"/>
      <c r="X134" s="34"/>
      <c r="Y134" s="34"/>
      <c r="Z134" s="34"/>
    </row>
    <row r="135" spans="1:26" ht="12.75" customHeight="1" x14ac:dyDescent="0.2">
      <c r="A135" s="203" t="s">
        <v>361</v>
      </c>
      <c r="B135" s="72" t="s">
        <v>362</v>
      </c>
      <c r="C135" s="185">
        <f>SUMPRODUCT(-('Diário 5º PA'!$E$5:$E$2634='Analítico Cx.'!$B135),-('Diário 5º PA'!$P$5:$P$2634=C$1),('Diário 5º PA'!$F$5:$F$2634))+
SUMPRODUCT(-('Diário 6º PA'!$E$5:$E$2246='Analítico Cx.'!$B135),-('Diário 6º PA'!$P$5:$P$2246=C$1),('Diário 6º PA'!$F$5:$F$2246))+
SUMPRODUCT(-('Diário 7º PA'!$E$5:$E$2271='Analítico Cx.'!$B135),-('Diário 7º PA'!$P$5:$P$2271=C$1),('Diário 7º PA'!$F$5:$F$2271))+
SUMPRODUCT(-('Diário 8º PA'!$E$5:$E$2488='Analítico Cx.'!$B135),-('Diário 8º PA'!$P$5:$P$2488=C$1),('Diário 8º PA'!$F$5:$F$2488))</f>
        <v>0</v>
      </c>
      <c r="D135" s="185">
        <f>SUMPRODUCT(-('Diário 5º PA'!$E$5:$E$2634='Analítico Cx.'!$B135),-('Diário 5º PA'!$P$5:$P$2634=D$1),('Diário 5º PA'!$F$5:$F$2634))+
SUMPRODUCT(-('Diário 6º PA'!$E$5:$E$2246='Analítico Cx.'!$B135),-('Diário 6º PA'!$P$5:$P$2246=D$1),('Diário 6º PA'!$F$5:$F$2246))+
SUMPRODUCT(-('Diário 7º PA'!$E$5:$E$2271='Analítico Cx.'!$B135),-('Diário 7º PA'!$P$5:$P$2271=D$1),('Diário 7º PA'!$F$5:$F$2271))+
SUMPRODUCT(-('Diário 8º PA'!$E$5:$E$2488='Analítico Cx.'!$B135),-('Diário 8º PA'!$P$5:$P$2488=D$1),('Diário 8º PA'!$F$5:$F$2488))</f>
        <v>0</v>
      </c>
      <c r="E135" s="185">
        <f>SUMPRODUCT(-('Diário 5º PA'!$E$5:$E$2634='Analítico Cx.'!$B135),-('Diário 5º PA'!$P$5:$P$2634=E$1),('Diário 5º PA'!$F$5:$F$2634))+
SUMPRODUCT(-('Diário 6º PA'!$E$5:$E$2246='Analítico Cx.'!$B135),-('Diário 6º PA'!$P$5:$P$2246=E$1),('Diário 6º PA'!$F$5:$F$2246))+
SUMPRODUCT(-('Diário 7º PA'!$E$5:$E$2271='Analítico Cx.'!$B135),-('Diário 7º PA'!$P$5:$P$2271=E$1),('Diário 7º PA'!$F$5:$F$2271))+
SUMPRODUCT(-('Diário 8º PA'!$E$5:$E$2488='Analítico Cx.'!$B135),-('Diário 8º PA'!$P$5:$P$2488=E$1),('Diário 8º PA'!$F$5:$F$2488))</f>
        <v>0</v>
      </c>
      <c r="F135" s="185">
        <f>SUMPRODUCT(-('Diário 5º PA'!$E$5:$E$2634='Analítico Cx.'!$B135),-('Diário 5º PA'!$P$5:$P$2634=F$1),('Diário 5º PA'!$F$5:$F$2634))+
SUMPRODUCT(-('Diário 6º PA'!$E$5:$E$2246='Analítico Cx.'!$B135),-('Diário 6º PA'!$P$5:$P$2246=F$1),('Diário 6º PA'!$F$5:$F$2246))+
SUMPRODUCT(-('Diário 7º PA'!$E$5:$E$2271='Analítico Cx.'!$B135),-('Diário 7º PA'!$P$5:$P$2271=F$1),('Diário 7º PA'!$F$5:$F$2271))+
SUMPRODUCT(-('Diário 8º PA'!$E$5:$E$2488='Analítico Cx.'!$B135),-('Diário 8º PA'!$P$5:$P$2488=F$1),('Diário 8º PA'!$F$5:$F$2488))</f>
        <v>0</v>
      </c>
      <c r="G135" s="185">
        <f>SUMPRODUCT(-('Diário 5º PA'!$E$5:$E$2634='Analítico Cx.'!$B135),-('Diário 5º PA'!$P$5:$P$2634=G$1),('Diário 5º PA'!$F$5:$F$2634))+
SUMPRODUCT(-('Diário 6º PA'!$E$5:$E$2246='Analítico Cx.'!$B135),-('Diário 6º PA'!$P$5:$P$2246=G$1),('Diário 6º PA'!$F$5:$F$2246))+
SUMPRODUCT(-('Diário 7º PA'!$E$5:$E$2271='Analítico Cx.'!$B135),-('Diário 7º PA'!$P$5:$P$2271=G$1),('Diário 7º PA'!$F$5:$F$2271))+
SUMPRODUCT(-('Diário 8º PA'!$E$5:$E$2488='Analítico Cx.'!$B135),-('Diário 8º PA'!$P$5:$P$2488=G$1),('Diário 8º PA'!$F$5:$F$2488))</f>
        <v>3200</v>
      </c>
      <c r="H135" s="185">
        <f>SUMPRODUCT(-('Diário 5º PA'!$E$5:$E$2634='Analítico Cx.'!$B135),-('Diário 5º PA'!$P$5:$P$2634=H$1),('Diário 5º PA'!$F$5:$F$2634))+
SUMPRODUCT(-('Diário 6º PA'!$E$5:$E$2246='Analítico Cx.'!$B135),-('Diário 6º PA'!$P$5:$P$2246=H$1),('Diário 6º PA'!$F$5:$F$2246))+
SUMPRODUCT(-('Diário 7º PA'!$E$5:$E$2271='Analítico Cx.'!$B135),-('Diário 7º PA'!$P$5:$P$2271=H$1),('Diário 7º PA'!$F$5:$F$2271))+
SUMPRODUCT(-('Diário 8º PA'!$E$5:$E$2488='Analítico Cx.'!$B135),-('Diário 8º PA'!$P$5:$P$2488=H$1),('Diário 8º PA'!$F$5:$F$2488))</f>
        <v>0</v>
      </c>
      <c r="I135" s="185">
        <f>SUMPRODUCT(-('Diário 5º PA'!$E$5:$E$2634='Analítico Cx.'!$B135),-('Diário 5º PA'!$P$5:$P$2634=I$1),('Diário 5º PA'!$F$5:$F$2634))+
SUMPRODUCT(-('Diário 6º PA'!$E$5:$E$2246='Analítico Cx.'!$B135),-('Diário 6º PA'!$P$5:$P$2246=I$1),('Diário 6º PA'!$F$5:$F$2246))+
SUMPRODUCT(-('Diário 7º PA'!$E$5:$E$2271='Analítico Cx.'!$B135),-('Diário 7º PA'!$P$5:$P$2271=I$1),('Diário 7º PA'!$F$5:$F$2271))+
SUMPRODUCT(-('Diário 8º PA'!$E$5:$E$2488='Analítico Cx.'!$B135),-('Diário 8º PA'!$P$5:$P$2488=I$1),('Diário 8º PA'!$F$5:$F$2488))</f>
        <v>0</v>
      </c>
      <c r="J135" s="185">
        <f>SUMPRODUCT(-('Diário 5º PA'!$E$5:$E$2634='Analítico Cx.'!$B135),-('Diário 5º PA'!$P$5:$P$2634=J$1),('Diário 5º PA'!$F$5:$F$2634))+
SUMPRODUCT(-('Diário 6º PA'!$E$5:$E$2246='Analítico Cx.'!$B135),-('Diário 6º PA'!$P$5:$P$2246=J$1),('Diário 6º PA'!$F$5:$F$2246))+
SUMPRODUCT(-('Diário 7º PA'!$E$5:$E$2271='Analítico Cx.'!$B135),-('Diário 7º PA'!$P$5:$P$2271=J$1),('Diário 7º PA'!$F$5:$F$2271))+
SUMPRODUCT(-('Diário 8º PA'!$E$5:$E$2488='Analítico Cx.'!$B135),-('Diário 8º PA'!$P$5:$P$2488=J$1),('Diário 8º PA'!$F$5:$F$2488))</f>
        <v>0</v>
      </c>
      <c r="K135" s="185">
        <f>SUMPRODUCT(-('Diário 5º PA'!$E$5:$E$2634='Analítico Cx.'!$B135),-('Diário 5º PA'!$P$5:$P$2634=K$1),('Diário 5º PA'!$F$5:$F$2634))+
SUMPRODUCT(-('Diário 6º PA'!$E$5:$E$2246='Analítico Cx.'!$B135),-('Diário 6º PA'!$P$5:$P$2246=K$1),('Diário 6º PA'!$F$5:$F$2246))+
SUMPRODUCT(-('Diário 7º PA'!$E$5:$E$2271='Analítico Cx.'!$B135),-('Diário 7º PA'!$P$5:$P$2271=K$1),('Diário 7º PA'!$F$5:$F$2271))+
SUMPRODUCT(-('Diário 8º PA'!$E$5:$E$2488='Analítico Cx.'!$B135),-('Diário 8º PA'!$P$5:$P$2488=K$1),('Diário 8º PA'!$F$5:$F$2488))</f>
        <v>0</v>
      </c>
      <c r="L135" s="185">
        <f>SUMPRODUCT(-('Diário 5º PA'!$E$5:$E$2634='Analítico Cx.'!$B135),-('Diário 5º PA'!$P$5:$P$2634=L$1),('Diário 5º PA'!$F$5:$F$2634))+
SUMPRODUCT(-('Diário 6º PA'!$E$5:$E$2246='Analítico Cx.'!$B135),-('Diário 6º PA'!$P$5:$P$2246=L$1),('Diário 6º PA'!$F$5:$F$2246))+
SUMPRODUCT(-('Diário 7º PA'!$E$5:$E$2271='Analítico Cx.'!$B135),-('Diário 7º PA'!$P$5:$P$2271=L$1),('Diário 7º PA'!$F$5:$F$2271))+
SUMPRODUCT(-('Diário 8º PA'!$E$5:$E$2488='Analítico Cx.'!$B135),-('Diário 8º PA'!$P$5:$P$2488=L$1),('Diário 8º PA'!$F$5:$F$2488))</f>
        <v>0</v>
      </c>
      <c r="M135" s="185">
        <f>SUMPRODUCT(-('Diário 5º PA'!$E$5:$E$2634='Analítico Cx.'!$B135),-('Diário 5º PA'!$P$5:$P$2634=M$1),('Diário 5º PA'!$F$5:$F$2634))+
SUMPRODUCT(-('Diário 6º PA'!$E$5:$E$2246='Analítico Cx.'!$B135),-('Diário 6º PA'!$P$5:$P$2246=M$1),('Diário 6º PA'!$F$5:$F$2246))+
SUMPRODUCT(-('Diário 7º PA'!$E$5:$E$2271='Analítico Cx.'!$B135),-('Diário 7º PA'!$P$5:$P$2271=M$1),('Diário 7º PA'!$F$5:$F$2271))+
SUMPRODUCT(-('Diário 8º PA'!$E$5:$E$2488='Analítico Cx.'!$B135),-('Diário 8º PA'!$P$5:$P$2488=M$1),('Diário 8º PA'!$F$5:$F$2488))</f>
        <v>0</v>
      </c>
      <c r="N135" s="185">
        <f>SUMPRODUCT(-('Diário 5º PA'!$E$5:$E$2634='Analítico Cx.'!$B135),-('Diário 5º PA'!$P$5:$P$2634=N$1),('Diário 5º PA'!$F$5:$F$2634))+
SUMPRODUCT(-('Diário 6º PA'!$E$5:$E$2246='Analítico Cx.'!$B135),-('Diário 6º PA'!$P$5:$P$2246=N$1),('Diário 6º PA'!$F$5:$F$2246))+
SUMPRODUCT(-('Diário 7º PA'!$E$5:$E$2271='Analítico Cx.'!$B135),-('Diário 7º PA'!$P$5:$P$2271=N$1),('Diário 7º PA'!$F$5:$F$2271))+
SUMPRODUCT(-('Diário 8º PA'!$E$5:$E$2488='Analítico Cx.'!$B135),-('Diário 8º PA'!$P$5:$P$2488=N$1),('Diário 8º PA'!$F$5:$F$2488))</f>
        <v>105</v>
      </c>
      <c r="O135" s="186">
        <f t="shared" si="16"/>
        <v>3305</v>
      </c>
      <c r="P135" s="187">
        <f t="shared" si="17"/>
        <v>3.5066446607020081E-4</v>
      </c>
      <c r="Q135" s="34"/>
      <c r="R135" s="34"/>
      <c r="S135" s="34"/>
      <c r="T135" s="34"/>
      <c r="U135" s="34"/>
      <c r="V135" s="34"/>
      <c r="W135" s="34"/>
      <c r="X135" s="34"/>
      <c r="Y135" s="34"/>
      <c r="Z135" s="34"/>
    </row>
    <row r="136" spans="1:26" ht="30.75" customHeight="1" x14ac:dyDescent="0.2">
      <c r="A136" s="203" t="s">
        <v>363</v>
      </c>
      <c r="B136" s="72" t="s">
        <v>364</v>
      </c>
      <c r="C136" s="185">
        <f>SUMPRODUCT(-('Diário 5º PA'!$E$5:$E$2634='Analítico Cx.'!$B136),-('Diário 5º PA'!$P$5:$P$2634=C$1),('Diário 5º PA'!$F$5:$F$2634))+
SUMPRODUCT(-('Diário 6º PA'!$E$5:$E$2246='Analítico Cx.'!$B136),-('Diário 6º PA'!$P$5:$P$2246=C$1),('Diário 6º PA'!$F$5:$F$2246))+
SUMPRODUCT(-('Diário 7º PA'!$E$5:$E$2271='Analítico Cx.'!$B136),-('Diário 7º PA'!$P$5:$P$2271=C$1),('Diário 7º PA'!$F$5:$F$2271))+
SUMPRODUCT(-('Diário 8º PA'!$E$5:$E$2488='Analítico Cx.'!$B136),-('Diário 8º PA'!$P$5:$P$2488=C$1),('Diário 8º PA'!$F$5:$F$2488))</f>
        <v>48562.869999999995</v>
      </c>
      <c r="D136" s="185">
        <f>SUMPRODUCT(-('Diário 5º PA'!$E$5:$E$2634='Analítico Cx.'!$B136),-('Diário 5º PA'!$P$5:$P$2634=D$1),('Diário 5º PA'!$F$5:$F$2634))+
SUMPRODUCT(-('Diário 6º PA'!$E$5:$E$2246='Analítico Cx.'!$B136),-('Diário 6º PA'!$P$5:$P$2246=D$1),('Diário 6º PA'!$F$5:$F$2246))+
SUMPRODUCT(-('Diário 7º PA'!$E$5:$E$2271='Analítico Cx.'!$B136),-('Diário 7º PA'!$P$5:$P$2271=D$1),('Diário 7º PA'!$F$5:$F$2271))+
SUMPRODUCT(-('Diário 8º PA'!$E$5:$E$2488='Analítico Cx.'!$B136),-('Diário 8º PA'!$P$5:$P$2488=D$1),('Diário 8º PA'!$F$5:$F$2488))</f>
        <v>35832.479999999996</v>
      </c>
      <c r="E136" s="185">
        <f>SUMPRODUCT(-('Diário 5º PA'!$E$5:$E$2634='Analítico Cx.'!$B136),-('Diário 5º PA'!$P$5:$P$2634=E$1),('Diário 5º PA'!$F$5:$F$2634))+
SUMPRODUCT(-('Diário 6º PA'!$E$5:$E$2246='Analítico Cx.'!$B136),-('Diário 6º PA'!$P$5:$P$2246=E$1),('Diário 6º PA'!$F$5:$F$2246))+
SUMPRODUCT(-('Diário 7º PA'!$E$5:$E$2271='Analítico Cx.'!$B136),-('Diário 7º PA'!$P$5:$P$2271=E$1),('Diário 7º PA'!$F$5:$F$2271))+
SUMPRODUCT(-('Diário 8º PA'!$E$5:$E$2488='Analítico Cx.'!$B136),-('Diário 8º PA'!$P$5:$P$2488=E$1),('Diário 8º PA'!$F$5:$F$2488))</f>
        <v>11150.81</v>
      </c>
      <c r="F136" s="185">
        <f>SUMPRODUCT(-('Diário 5º PA'!$E$5:$E$2634='Analítico Cx.'!$B136),-('Diário 5º PA'!$P$5:$P$2634=F$1),('Diário 5º PA'!$F$5:$F$2634))+
SUMPRODUCT(-('Diário 6º PA'!$E$5:$E$2246='Analítico Cx.'!$B136),-('Diário 6º PA'!$P$5:$P$2246=F$1),('Diário 6º PA'!$F$5:$F$2246))+
SUMPRODUCT(-('Diário 7º PA'!$E$5:$E$2271='Analítico Cx.'!$B136),-('Diário 7º PA'!$P$5:$P$2271=F$1),('Diário 7º PA'!$F$5:$F$2271))+
SUMPRODUCT(-('Diário 8º PA'!$E$5:$E$2488='Analítico Cx.'!$B136),-('Diário 8º PA'!$P$5:$P$2488=F$1),('Diário 8º PA'!$F$5:$F$2488))</f>
        <v>30502.12</v>
      </c>
      <c r="G136" s="185">
        <f>SUMPRODUCT(-('Diário 5º PA'!$E$5:$E$2634='Analítico Cx.'!$B136),-('Diário 5º PA'!$P$5:$P$2634=G$1),('Diário 5º PA'!$F$5:$F$2634))+
SUMPRODUCT(-('Diário 6º PA'!$E$5:$E$2246='Analítico Cx.'!$B136),-('Diário 6º PA'!$P$5:$P$2246=G$1),('Diário 6º PA'!$F$5:$F$2246))+
SUMPRODUCT(-('Diário 7º PA'!$E$5:$E$2271='Analítico Cx.'!$B136),-('Diário 7º PA'!$P$5:$P$2271=G$1),('Diário 7º PA'!$F$5:$F$2271))+
SUMPRODUCT(-('Diário 8º PA'!$E$5:$E$2488='Analítico Cx.'!$B136),-('Diário 8º PA'!$P$5:$P$2488=G$1),('Diário 8º PA'!$F$5:$F$2488))</f>
        <v>37500.31</v>
      </c>
      <c r="H136" s="185">
        <f>SUMPRODUCT(-('Diário 5º PA'!$E$5:$E$2634='Analítico Cx.'!$B136),-('Diário 5º PA'!$P$5:$P$2634=H$1),('Diário 5º PA'!$F$5:$F$2634))+
SUMPRODUCT(-('Diário 6º PA'!$E$5:$E$2246='Analítico Cx.'!$B136),-('Diário 6º PA'!$P$5:$P$2246=H$1),('Diário 6º PA'!$F$5:$F$2246))+
SUMPRODUCT(-('Diário 7º PA'!$E$5:$E$2271='Analítico Cx.'!$B136),-('Diário 7º PA'!$P$5:$P$2271=H$1),('Diário 7º PA'!$F$5:$F$2271))+
SUMPRODUCT(-('Diário 8º PA'!$E$5:$E$2488='Analítico Cx.'!$B136),-('Diário 8º PA'!$P$5:$P$2488=H$1),('Diário 8º PA'!$F$5:$F$2488))</f>
        <v>114361.59</v>
      </c>
      <c r="I136" s="185">
        <f>SUMPRODUCT(-('Diário 5º PA'!$E$5:$E$2634='Analítico Cx.'!$B136),-('Diário 5º PA'!$P$5:$P$2634=I$1),('Diário 5º PA'!$F$5:$F$2634))+
SUMPRODUCT(-('Diário 6º PA'!$E$5:$E$2246='Analítico Cx.'!$B136),-('Diário 6º PA'!$P$5:$P$2246=I$1),('Diário 6º PA'!$F$5:$F$2246))+
SUMPRODUCT(-('Diário 7º PA'!$E$5:$E$2271='Analítico Cx.'!$B136),-('Diário 7º PA'!$P$5:$P$2271=I$1),('Diário 7º PA'!$F$5:$F$2271))+
SUMPRODUCT(-('Diário 8º PA'!$E$5:$E$2488='Analítico Cx.'!$B136),-('Diário 8º PA'!$P$5:$P$2488=I$1),('Diário 8º PA'!$F$5:$F$2488))</f>
        <v>53590.48</v>
      </c>
      <c r="J136" s="185">
        <f>SUMPRODUCT(-('Diário 5º PA'!$E$5:$E$2634='Analítico Cx.'!$B136),-('Diário 5º PA'!$P$5:$P$2634=J$1),('Diário 5º PA'!$F$5:$F$2634))+
SUMPRODUCT(-('Diário 6º PA'!$E$5:$E$2246='Analítico Cx.'!$B136),-('Diário 6º PA'!$P$5:$P$2246=J$1),('Diário 6º PA'!$F$5:$F$2246))+
SUMPRODUCT(-('Diário 7º PA'!$E$5:$E$2271='Analítico Cx.'!$B136),-('Diário 7º PA'!$P$5:$P$2271=J$1),('Diário 7º PA'!$F$5:$F$2271))+
SUMPRODUCT(-('Diário 8º PA'!$E$5:$E$2488='Analítico Cx.'!$B136),-('Diário 8º PA'!$P$5:$P$2488=J$1),('Diário 8º PA'!$F$5:$F$2488))</f>
        <v>67056.13</v>
      </c>
      <c r="K136" s="185">
        <f>SUMPRODUCT(-('Diário 5º PA'!$E$5:$E$2634='Analítico Cx.'!$B136),-('Diário 5º PA'!$P$5:$P$2634=K$1),('Diário 5º PA'!$F$5:$F$2634))+
SUMPRODUCT(-('Diário 6º PA'!$E$5:$E$2246='Analítico Cx.'!$B136),-('Diário 6º PA'!$P$5:$P$2246=K$1),('Diário 6º PA'!$F$5:$F$2246))+
SUMPRODUCT(-('Diário 7º PA'!$E$5:$E$2271='Analítico Cx.'!$B136),-('Diário 7º PA'!$P$5:$P$2271=K$1),('Diário 7º PA'!$F$5:$F$2271))+
SUMPRODUCT(-('Diário 8º PA'!$E$5:$E$2488='Analítico Cx.'!$B136),-('Diário 8º PA'!$P$5:$P$2488=K$1),('Diário 8º PA'!$F$5:$F$2488))</f>
        <v>28000.89</v>
      </c>
      <c r="L136" s="185">
        <f>SUMPRODUCT(-('Diário 5º PA'!$E$5:$E$2634='Analítico Cx.'!$B136),-('Diário 5º PA'!$P$5:$P$2634=L$1),('Diário 5º PA'!$F$5:$F$2634))+
SUMPRODUCT(-('Diário 6º PA'!$E$5:$E$2246='Analítico Cx.'!$B136),-('Diário 6º PA'!$P$5:$P$2246=L$1),('Diário 6º PA'!$F$5:$F$2246))+
SUMPRODUCT(-('Diário 7º PA'!$E$5:$E$2271='Analítico Cx.'!$B136),-('Diário 7º PA'!$P$5:$P$2271=L$1),('Diário 7º PA'!$F$5:$F$2271))+
SUMPRODUCT(-('Diário 8º PA'!$E$5:$E$2488='Analítico Cx.'!$B136),-('Diário 8º PA'!$P$5:$P$2488=L$1),('Diário 8º PA'!$F$5:$F$2488))</f>
        <v>56183.5</v>
      </c>
      <c r="M136" s="185">
        <f>SUMPRODUCT(-('Diário 5º PA'!$E$5:$E$2634='Analítico Cx.'!$B136),-('Diário 5º PA'!$P$5:$P$2634=M$1),('Diário 5º PA'!$F$5:$F$2634))+
SUMPRODUCT(-('Diário 6º PA'!$E$5:$E$2246='Analítico Cx.'!$B136),-('Diário 6º PA'!$P$5:$P$2246=M$1),('Diário 6º PA'!$F$5:$F$2246))+
SUMPRODUCT(-('Diário 7º PA'!$E$5:$E$2271='Analítico Cx.'!$B136),-('Diário 7º PA'!$P$5:$P$2271=M$1),('Diário 7º PA'!$F$5:$F$2271))+
SUMPRODUCT(-('Diário 8º PA'!$E$5:$E$2488='Analítico Cx.'!$B136),-('Diário 8º PA'!$P$5:$P$2488=M$1),('Diário 8º PA'!$F$5:$F$2488))</f>
        <v>77128.22</v>
      </c>
      <c r="N136" s="185">
        <f>SUMPRODUCT(-('Diário 5º PA'!$E$5:$E$2634='Analítico Cx.'!$B136),-('Diário 5º PA'!$P$5:$P$2634=N$1),('Diário 5º PA'!$F$5:$F$2634))+
SUMPRODUCT(-('Diário 6º PA'!$E$5:$E$2246='Analítico Cx.'!$B136),-('Diário 6º PA'!$P$5:$P$2246=N$1),('Diário 6º PA'!$F$5:$F$2246))+
SUMPRODUCT(-('Diário 7º PA'!$E$5:$E$2271='Analítico Cx.'!$B136),-('Diário 7º PA'!$P$5:$P$2271=N$1),('Diário 7º PA'!$F$5:$F$2271))+
SUMPRODUCT(-('Diário 8º PA'!$E$5:$E$2488='Analítico Cx.'!$B136),-('Diário 8º PA'!$P$5:$P$2488=N$1),('Diário 8º PA'!$F$5:$F$2488))</f>
        <v>59177.520000000004</v>
      </c>
      <c r="O136" s="186">
        <f t="shared" si="16"/>
        <v>619046.91999999993</v>
      </c>
      <c r="P136" s="187">
        <f t="shared" si="17"/>
        <v>6.5681621081453034E-2</v>
      </c>
      <c r="Q136" s="34"/>
      <c r="R136" s="34"/>
      <c r="S136" s="34"/>
      <c r="T136" s="34"/>
      <c r="U136" s="34"/>
      <c r="V136" s="34"/>
      <c r="W136" s="34"/>
      <c r="X136" s="34"/>
      <c r="Y136" s="34"/>
      <c r="Z136" s="34"/>
    </row>
    <row r="137" spans="1:26" ht="26.25" customHeight="1" x14ac:dyDescent="0.2">
      <c r="A137" s="203" t="s">
        <v>365</v>
      </c>
      <c r="B137" s="72" t="s">
        <v>366</v>
      </c>
      <c r="C137" s="185">
        <f>SUMPRODUCT(-('Diário 5º PA'!$E$5:$E$2634='Analítico Cx.'!$B137),-('Diário 5º PA'!$P$5:$P$2634=C$1),('Diário 5º PA'!$F$5:$F$2634))+
SUMPRODUCT(-('Diário 6º PA'!$E$5:$E$2246='Analítico Cx.'!$B137),-('Diário 6º PA'!$P$5:$P$2246=C$1),('Diário 6º PA'!$F$5:$F$2246))+
SUMPRODUCT(-('Diário 7º PA'!$E$5:$E$2271='Analítico Cx.'!$B137),-('Diário 7º PA'!$P$5:$P$2271=C$1),('Diário 7º PA'!$F$5:$F$2271))+
SUMPRODUCT(-('Diário 8º PA'!$E$5:$E$2488='Analítico Cx.'!$B137),-('Diário 8º PA'!$P$5:$P$2488=C$1),('Diário 8º PA'!$F$5:$F$2488))</f>
        <v>0</v>
      </c>
      <c r="D137" s="185">
        <f>SUMPRODUCT(-('Diário 5º PA'!$E$5:$E$2634='Analítico Cx.'!$B137),-('Diário 5º PA'!$P$5:$P$2634=D$1),('Diário 5º PA'!$F$5:$F$2634))+
SUMPRODUCT(-('Diário 6º PA'!$E$5:$E$2246='Analítico Cx.'!$B137),-('Diário 6º PA'!$P$5:$P$2246=D$1),('Diário 6º PA'!$F$5:$F$2246))+
SUMPRODUCT(-('Diário 7º PA'!$E$5:$E$2271='Analítico Cx.'!$B137),-('Diário 7º PA'!$P$5:$P$2271=D$1),('Diário 7º PA'!$F$5:$F$2271))+
SUMPRODUCT(-('Diário 8º PA'!$E$5:$E$2488='Analítico Cx.'!$B137),-('Diário 8º PA'!$P$5:$P$2488=D$1),('Diário 8º PA'!$F$5:$F$2488))</f>
        <v>3500</v>
      </c>
      <c r="E137" s="185">
        <f>SUMPRODUCT(-('Diário 5º PA'!$E$5:$E$2634='Analítico Cx.'!$B137),-('Diário 5º PA'!$P$5:$P$2634=E$1),('Diário 5º PA'!$F$5:$F$2634))+
SUMPRODUCT(-('Diário 6º PA'!$E$5:$E$2246='Analítico Cx.'!$B137),-('Diário 6º PA'!$P$5:$P$2246=E$1),('Diário 6º PA'!$F$5:$F$2246))+
SUMPRODUCT(-('Diário 7º PA'!$E$5:$E$2271='Analítico Cx.'!$B137),-('Diário 7º PA'!$P$5:$P$2271=E$1),('Diário 7º PA'!$F$5:$F$2271))+
SUMPRODUCT(-('Diário 8º PA'!$E$5:$E$2488='Analítico Cx.'!$B137),-('Diário 8º PA'!$P$5:$P$2488=E$1),('Diário 8º PA'!$F$5:$F$2488))</f>
        <v>0</v>
      </c>
      <c r="F137" s="185">
        <f>SUMPRODUCT(-('Diário 5º PA'!$E$5:$E$2634='Analítico Cx.'!$B137),-('Diário 5º PA'!$P$5:$P$2634=F$1),('Diário 5º PA'!$F$5:$F$2634))+
SUMPRODUCT(-('Diário 6º PA'!$E$5:$E$2246='Analítico Cx.'!$B137),-('Diário 6º PA'!$P$5:$P$2246=F$1),('Diário 6º PA'!$F$5:$F$2246))+
SUMPRODUCT(-('Diário 7º PA'!$E$5:$E$2271='Analítico Cx.'!$B137),-('Diário 7º PA'!$P$5:$P$2271=F$1),('Diário 7º PA'!$F$5:$F$2271))+
SUMPRODUCT(-('Diário 8º PA'!$E$5:$E$2488='Analítico Cx.'!$B137),-('Diário 8º PA'!$P$5:$P$2488=F$1),('Diário 8º PA'!$F$5:$F$2488))</f>
        <v>0</v>
      </c>
      <c r="G137" s="185">
        <f>SUMPRODUCT(-('Diário 5º PA'!$E$5:$E$2634='Analítico Cx.'!$B137),-('Diário 5º PA'!$P$5:$P$2634=G$1),('Diário 5º PA'!$F$5:$F$2634))+
SUMPRODUCT(-('Diário 6º PA'!$E$5:$E$2246='Analítico Cx.'!$B137),-('Diário 6º PA'!$P$5:$P$2246=G$1),('Diário 6º PA'!$F$5:$F$2246))+
SUMPRODUCT(-('Diário 7º PA'!$E$5:$E$2271='Analítico Cx.'!$B137),-('Diário 7º PA'!$P$5:$P$2271=G$1),('Diário 7º PA'!$F$5:$F$2271))+
SUMPRODUCT(-('Diário 8º PA'!$E$5:$E$2488='Analítico Cx.'!$B137),-('Diário 8º PA'!$P$5:$P$2488=G$1),('Diário 8º PA'!$F$5:$F$2488))</f>
        <v>0</v>
      </c>
      <c r="H137" s="185">
        <f>SUMPRODUCT(-('Diário 5º PA'!$E$5:$E$2634='Analítico Cx.'!$B137),-('Diário 5º PA'!$P$5:$P$2634=H$1),('Diário 5º PA'!$F$5:$F$2634))+
SUMPRODUCT(-('Diário 6º PA'!$E$5:$E$2246='Analítico Cx.'!$B137),-('Diário 6º PA'!$P$5:$P$2246=H$1),('Diário 6º PA'!$F$5:$F$2246))+
SUMPRODUCT(-('Diário 7º PA'!$E$5:$E$2271='Analítico Cx.'!$B137),-('Diário 7º PA'!$P$5:$P$2271=H$1),('Diário 7º PA'!$F$5:$F$2271))+
SUMPRODUCT(-('Diário 8º PA'!$E$5:$E$2488='Analítico Cx.'!$B137),-('Diário 8º PA'!$P$5:$P$2488=H$1),('Diário 8º PA'!$F$5:$F$2488))</f>
        <v>0</v>
      </c>
      <c r="I137" s="185">
        <f>SUMPRODUCT(-('Diário 5º PA'!$E$5:$E$2634='Analítico Cx.'!$B137),-('Diário 5º PA'!$P$5:$P$2634=I$1),('Diário 5º PA'!$F$5:$F$2634))+
SUMPRODUCT(-('Diário 6º PA'!$E$5:$E$2246='Analítico Cx.'!$B137),-('Diário 6º PA'!$P$5:$P$2246=I$1),('Diário 6º PA'!$F$5:$F$2246))+
SUMPRODUCT(-('Diário 7º PA'!$E$5:$E$2271='Analítico Cx.'!$B137),-('Diário 7º PA'!$P$5:$P$2271=I$1),('Diário 7º PA'!$F$5:$F$2271))+
SUMPRODUCT(-('Diário 8º PA'!$E$5:$E$2488='Analítico Cx.'!$B137),-('Diário 8º PA'!$P$5:$P$2488=I$1),('Diário 8º PA'!$F$5:$F$2488))</f>
        <v>3500</v>
      </c>
      <c r="J137" s="185">
        <f>SUMPRODUCT(-('Diário 5º PA'!$E$5:$E$2634='Analítico Cx.'!$B137),-('Diário 5º PA'!$P$5:$P$2634=J$1),('Diário 5º PA'!$F$5:$F$2634))+
SUMPRODUCT(-('Diário 6º PA'!$E$5:$E$2246='Analítico Cx.'!$B137),-('Diário 6º PA'!$P$5:$P$2246=J$1),('Diário 6º PA'!$F$5:$F$2246))+
SUMPRODUCT(-('Diário 7º PA'!$E$5:$E$2271='Analítico Cx.'!$B137),-('Diário 7º PA'!$P$5:$P$2271=J$1),('Diário 7º PA'!$F$5:$F$2271))+
SUMPRODUCT(-('Diário 8º PA'!$E$5:$E$2488='Analítico Cx.'!$B137),-('Diário 8º PA'!$P$5:$P$2488=J$1),('Diário 8º PA'!$F$5:$F$2488))</f>
        <v>0</v>
      </c>
      <c r="K137" s="185">
        <f>SUMPRODUCT(-('Diário 5º PA'!$E$5:$E$2634='Analítico Cx.'!$B137),-('Diário 5º PA'!$P$5:$P$2634=K$1),('Diário 5º PA'!$F$5:$F$2634))+
SUMPRODUCT(-('Diário 6º PA'!$E$5:$E$2246='Analítico Cx.'!$B137),-('Diário 6º PA'!$P$5:$P$2246=K$1),('Diário 6º PA'!$F$5:$F$2246))+
SUMPRODUCT(-('Diário 7º PA'!$E$5:$E$2271='Analítico Cx.'!$B137),-('Diário 7º PA'!$P$5:$P$2271=K$1),('Diário 7º PA'!$F$5:$F$2271))+
SUMPRODUCT(-('Diário 8º PA'!$E$5:$E$2488='Analítico Cx.'!$B137),-('Diário 8º PA'!$P$5:$P$2488=K$1),('Diário 8º PA'!$F$5:$F$2488))</f>
        <v>0</v>
      </c>
      <c r="L137" s="185">
        <f>SUMPRODUCT(-('Diário 5º PA'!$E$5:$E$2634='Analítico Cx.'!$B137),-('Diário 5º PA'!$P$5:$P$2634=L$1),('Diário 5º PA'!$F$5:$F$2634))+
SUMPRODUCT(-('Diário 6º PA'!$E$5:$E$2246='Analítico Cx.'!$B137),-('Diário 6º PA'!$P$5:$P$2246=L$1),('Diário 6º PA'!$F$5:$F$2246))+
SUMPRODUCT(-('Diário 7º PA'!$E$5:$E$2271='Analítico Cx.'!$B137),-('Diário 7º PA'!$P$5:$P$2271=L$1),('Diário 7º PA'!$F$5:$F$2271))+
SUMPRODUCT(-('Diário 8º PA'!$E$5:$E$2488='Analítico Cx.'!$B137),-('Diário 8º PA'!$P$5:$P$2488=L$1),('Diário 8º PA'!$F$5:$F$2488))</f>
        <v>0</v>
      </c>
      <c r="M137" s="185">
        <f>SUMPRODUCT(-('Diário 5º PA'!$E$5:$E$2634='Analítico Cx.'!$B137),-('Diário 5º PA'!$P$5:$P$2634=M$1),('Diário 5º PA'!$F$5:$F$2634))+
SUMPRODUCT(-('Diário 6º PA'!$E$5:$E$2246='Analítico Cx.'!$B137),-('Diário 6º PA'!$P$5:$P$2246=M$1),('Diário 6º PA'!$F$5:$F$2246))+
SUMPRODUCT(-('Diário 7º PA'!$E$5:$E$2271='Analítico Cx.'!$B137),-('Diário 7º PA'!$P$5:$P$2271=M$1),('Diário 7º PA'!$F$5:$F$2271))+
SUMPRODUCT(-('Diário 8º PA'!$E$5:$E$2488='Analítico Cx.'!$B137),-('Diário 8º PA'!$P$5:$P$2488=M$1),('Diário 8º PA'!$F$5:$F$2488))</f>
        <v>0</v>
      </c>
      <c r="N137" s="185">
        <f>SUMPRODUCT(-('Diário 5º PA'!$E$5:$E$2634='Analítico Cx.'!$B137),-('Diário 5º PA'!$P$5:$P$2634=N$1),('Diário 5º PA'!$F$5:$F$2634))+
SUMPRODUCT(-('Diário 6º PA'!$E$5:$E$2246='Analítico Cx.'!$B137),-('Diário 6º PA'!$P$5:$P$2246=N$1),('Diário 6º PA'!$F$5:$F$2246))+
SUMPRODUCT(-('Diário 7º PA'!$E$5:$E$2271='Analítico Cx.'!$B137),-('Diário 7º PA'!$P$5:$P$2271=N$1),('Diário 7º PA'!$F$5:$F$2271))+
SUMPRODUCT(-('Diário 8º PA'!$E$5:$E$2488='Analítico Cx.'!$B137),-('Diário 8º PA'!$P$5:$P$2488=N$1),('Diário 8º PA'!$F$5:$F$2488))</f>
        <v>0</v>
      </c>
      <c r="O137" s="186">
        <f t="shared" si="16"/>
        <v>7000</v>
      </c>
      <c r="P137" s="187">
        <f t="shared" si="17"/>
        <v>7.4270840014868547E-4</v>
      </c>
      <c r="Q137" s="34"/>
      <c r="R137" s="34"/>
      <c r="S137" s="34"/>
      <c r="T137" s="34"/>
      <c r="U137" s="34"/>
      <c r="V137" s="34"/>
      <c r="W137" s="34"/>
      <c r="X137" s="34"/>
      <c r="Y137" s="34"/>
      <c r="Z137" s="34"/>
    </row>
    <row r="138" spans="1:26" ht="12.75" customHeight="1" x14ac:dyDescent="0.2">
      <c r="A138" s="203" t="s">
        <v>367</v>
      </c>
      <c r="B138" s="72" t="s">
        <v>368</v>
      </c>
      <c r="C138" s="185">
        <f>SUMPRODUCT(-('Diário 5º PA'!$E$5:$E$2634='Analítico Cx.'!$B138),-('Diário 5º PA'!$P$5:$P$2634=C$1),('Diário 5º PA'!$F$5:$F$2634))+
SUMPRODUCT(-('Diário 6º PA'!$E$5:$E$2246='Analítico Cx.'!$B138),-('Diário 6º PA'!$P$5:$P$2246=C$1),('Diário 6º PA'!$F$5:$F$2246))+
SUMPRODUCT(-('Diário 7º PA'!$E$5:$E$2271='Analítico Cx.'!$B138),-('Diário 7º PA'!$P$5:$P$2271=C$1),('Diário 7º PA'!$F$5:$F$2271))+
SUMPRODUCT(-('Diário 8º PA'!$E$5:$E$2488='Analítico Cx.'!$B138),-('Diário 8º PA'!$P$5:$P$2488=C$1),('Diário 8º PA'!$F$5:$F$2488))</f>
        <v>0</v>
      </c>
      <c r="D138" s="185">
        <f>SUMPRODUCT(-('Diário 5º PA'!$E$5:$E$2634='Analítico Cx.'!$B138),-('Diário 5º PA'!$P$5:$P$2634=D$1),('Diário 5º PA'!$F$5:$F$2634))+
SUMPRODUCT(-('Diário 6º PA'!$E$5:$E$2246='Analítico Cx.'!$B138),-('Diário 6º PA'!$P$5:$P$2246=D$1),('Diário 6º PA'!$F$5:$F$2246))+
SUMPRODUCT(-('Diário 7º PA'!$E$5:$E$2271='Analítico Cx.'!$B138),-('Diário 7º PA'!$P$5:$P$2271=D$1),('Diário 7º PA'!$F$5:$F$2271))+
SUMPRODUCT(-('Diário 8º PA'!$E$5:$E$2488='Analítico Cx.'!$B138),-('Diário 8º PA'!$P$5:$P$2488=D$1),('Diário 8º PA'!$F$5:$F$2488))</f>
        <v>0</v>
      </c>
      <c r="E138" s="185">
        <f>SUMPRODUCT(-('Diário 5º PA'!$E$5:$E$2634='Analítico Cx.'!$B138),-('Diário 5º PA'!$P$5:$P$2634=E$1),('Diário 5º PA'!$F$5:$F$2634))+
SUMPRODUCT(-('Diário 6º PA'!$E$5:$E$2246='Analítico Cx.'!$B138),-('Diário 6º PA'!$P$5:$P$2246=E$1),('Diário 6º PA'!$F$5:$F$2246))+
SUMPRODUCT(-('Diário 7º PA'!$E$5:$E$2271='Analítico Cx.'!$B138),-('Diário 7º PA'!$P$5:$P$2271=E$1),('Diário 7º PA'!$F$5:$F$2271))+
SUMPRODUCT(-('Diário 8º PA'!$E$5:$E$2488='Analítico Cx.'!$B138),-('Diário 8º PA'!$P$5:$P$2488=E$1),('Diário 8º PA'!$F$5:$F$2488))</f>
        <v>0</v>
      </c>
      <c r="F138" s="185">
        <f>SUMPRODUCT(-('Diário 5º PA'!$E$5:$E$2634='Analítico Cx.'!$B138),-('Diário 5º PA'!$P$5:$P$2634=F$1),('Diário 5º PA'!$F$5:$F$2634))+
SUMPRODUCT(-('Diário 6º PA'!$E$5:$E$2246='Analítico Cx.'!$B138),-('Diário 6º PA'!$P$5:$P$2246=F$1),('Diário 6º PA'!$F$5:$F$2246))+
SUMPRODUCT(-('Diário 7º PA'!$E$5:$E$2271='Analítico Cx.'!$B138),-('Diário 7º PA'!$P$5:$P$2271=F$1),('Diário 7º PA'!$F$5:$F$2271))+
SUMPRODUCT(-('Diário 8º PA'!$E$5:$E$2488='Analítico Cx.'!$B138),-('Diário 8º PA'!$P$5:$P$2488=F$1),('Diário 8º PA'!$F$5:$F$2488))</f>
        <v>0</v>
      </c>
      <c r="G138" s="185">
        <f>SUMPRODUCT(-('Diário 5º PA'!$E$5:$E$2634='Analítico Cx.'!$B138),-('Diário 5º PA'!$P$5:$P$2634=G$1),('Diário 5º PA'!$F$5:$F$2634))+
SUMPRODUCT(-('Diário 6º PA'!$E$5:$E$2246='Analítico Cx.'!$B138),-('Diário 6º PA'!$P$5:$P$2246=G$1),('Diário 6º PA'!$F$5:$F$2246))+
SUMPRODUCT(-('Diário 7º PA'!$E$5:$E$2271='Analítico Cx.'!$B138),-('Diário 7º PA'!$P$5:$P$2271=G$1),('Diário 7º PA'!$F$5:$F$2271))+
SUMPRODUCT(-('Diário 8º PA'!$E$5:$E$2488='Analítico Cx.'!$B138),-('Diário 8º PA'!$P$5:$P$2488=G$1),('Diário 8º PA'!$F$5:$F$2488))</f>
        <v>0</v>
      </c>
      <c r="H138" s="185">
        <f>SUMPRODUCT(-('Diário 5º PA'!$E$5:$E$2634='Analítico Cx.'!$B138),-('Diário 5º PA'!$P$5:$P$2634=H$1),('Diário 5º PA'!$F$5:$F$2634))+
SUMPRODUCT(-('Diário 6º PA'!$E$5:$E$2246='Analítico Cx.'!$B138),-('Diário 6º PA'!$P$5:$P$2246=H$1),('Diário 6º PA'!$F$5:$F$2246))+
SUMPRODUCT(-('Diário 7º PA'!$E$5:$E$2271='Analítico Cx.'!$B138),-('Diário 7º PA'!$P$5:$P$2271=H$1),('Diário 7º PA'!$F$5:$F$2271))+
SUMPRODUCT(-('Diário 8º PA'!$E$5:$E$2488='Analítico Cx.'!$B138),-('Diário 8º PA'!$P$5:$P$2488=H$1),('Diário 8º PA'!$F$5:$F$2488))</f>
        <v>0</v>
      </c>
      <c r="I138" s="185">
        <f>SUMPRODUCT(-('Diário 5º PA'!$E$5:$E$2634='Analítico Cx.'!$B138),-('Diário 5º PA'!$P$5:$P$2634=I$1),('Diário 5º PA'!$F$5:$F$2634))+
SUMPRODUCT(-('Diário 6º PA'!$E$5:$E$2246='Analítico Cx.'!$B138),-('Diário 6º PA'!$P$5:$P$2246=I$1),('Diário 6º PA'!$F$5:$F$2246))+
SUMPRODUCT(-('Diário 7º PA'!$E$5:$E$2271='Analítico Cx.'!$B138),-('Diário 7º PA'!$P$5:$P$2271=I$1),('Diário 7º PA'!$F$5:$F$2271))+
SUMPRODUCT(-('Diário 8º PA'!$E$5:$E$2488='Analítico Cx.'!$B138),-('Diário 8º PA'!$P$5:$P$2488=I$1),('Diário 8º PA'!$F$5:$F$2488))</f>
        <v>0</v>
      </c>
      <c r="J138" s="185">
        <f>SUMPRODUCT(-('Diário 5º PA'!$E$5:$E$2634='Analítico Cx.'!$B138),-('Diário 5º PA'!$P$5:$P$2634=J$1),('Diário 5º PA'!$F$5:$F$2634))+
SUMPRODUCT(-('Diário 6º PA'!$E$5:$E$2246='Analítico Cx.'!$B138),-('Diário 6º PA'!$P$5:$P$2246=J$1),('Diário 6º PA'!$F$5:$F$2246))+
SUMPRODUCT(-('Diário 7º PA'!$E$5:$E$2271='Analítico Cx.'!$B138),-('Diário 7º PA'!$P$5:$P$2271=J$1),('Diário 7º PA'!$F$5:$F$2271))+
SUMPRODUCT(-('Diário 8º PA'!$E$5:$E$2488='Analítico Cx.'!$B138),-('Diário 8º PA'!$P$5:$P$2488=J$1),('Diário 8º PA'!$F$5:$F$2488))</f>
        <v>0</v>
      </c>
      <c r="K138" s="185">
        <f>SUMPRODUCT(-('Diário 5º PA'!$E$5:$E$2634='Analítico Cx.'!$B138),-('Diário 5º PA'!$P$5:$P$2634=K$1),('Diário 5º PA'!$F$5:$F$2634))+
SUMPRODUCT(-('Diário 6º PA'!$E$5:$E$2246='Analítico Cx.'!$B138),-('Diário 6º PA'!$P$5:$P$2246=K$1),('Diário 6º PA'!$F$5:$F$2246))+
SUMPRODUCT(-('Diário 7º PA'!$E$5:$E$2271='Analítico Cx.'!$B138),-('Diário 7º PA'!$P$5:$P$2271=K$1),('Diário 7º PA'!$F$5:$F$2271))+
SUMPRODUCT(-('Diário 8º PA'!$E$5:$E$2488='Analítico Cx.'!$B138),-('Diário 8º PA'!$P$5:$P$2488=K$1),('Diário 8º PA'!$F$5:$F$2488))</f>
        <v>0</v>
      </c>
      <c r="L138" s="185">
        <f>SUMPRODUCT(-('Diário 5º PA'!$E$5:$E$2634='Analítico Cx.'!$B138),-('Diário 5º PA'!$P$5:$P$2634=L$1),('Diário 5º PA'!$F$5:$F$2634))+
SUMPRODUCT(-('Diário 6º PA'!$E$5:$E$2246='Analítico Cx.'!$B138),-('Diário 6º PA'!$P$5:$P$2246=L$1),('Diário 6º PA'!$F$5:$F$2246))+
SUMPRODUCT(-('Diário 7º PA'!$E$5:$E$2271='Analítico Cx.'!$B138),-('Diário 7º PA'!$P$5:$P$2271=L$1),('Diário 7º PA'!$F$5:$F$2271))+
SUMPRODUCT(-('Diário 8º PA'!$E$5:$E$2488='Analítico Cx.'!$B138),-('Diário 8º PA'!$P$5:$P$2488=L$1),('Diário 8º PA'!$F$5:$F$2488))</f>
        <v>0</v>
      </c>
      <c r="M138" s="185">
        <f>SUMPRODUCT(-('Diário 5º PA'!$E$5:$E$2634='Analítico Cx.'!$B138),-('Diário 5º PA'!$P$5:$P$2634=M$1),('Diário 5º PA'!$F$5:$F$2634))+
SUMPRODUCT(-('Diário 6º PA'!$E$5:$E$2246='Analítico Cx.'!$B138),-('Diário 6º PA'!$P$5:$P$2246=M$1),('Diário 6º PA'!$F$5:$F$2246))+
SUMPRODUCT(-('Diário 7º PA'!$E$5:$E$2271='Analítico Cx.'!$B138),-('Diário 7º PA'!$P$5:$P$2271=M$1),('Diário 7º PA'!$F$5:$F$2271))+
SUMPRODUCT(-('Diário 8º PA'!$E$5:$E$2488='Analítico Cx.'!$B138),-('Diário 8º PA'!$P$5:$P$2488=M$1),('Diário 8º PA'!$F$5:$F$2488))</f>
        <v>0</v>
      </c>
      <c r="N138" s="185">
        <f>SUMPRODUCT(-('Diário 5º PA'!$E$5:$E$2634='Analítico Cx.'!$B138),-('Diário 5º PA'!$P$5:$P$2634=N$1),('Diário 5º PA'!$F$5:$F$2634))+
SUMPRODUCT(-('Diário 6º PA'!$E$5:$E$2246='Analítico Cx.'!$B138),-('Diário 6º PA'!$P$5:$P$2246=N$1),('Diário 6º PA'!$F$5:$F$2246))+
SUMPRODUCT(-('Diário 7º PA'!$E$5:$E$2271='Analítico Cx.'!$B138),-('Diário 7º PA'!$P$5:$P$2271=N$1),('Diário 7º PA'!$F$5:$F$2271))+
SUMPRODUCT(-('Diário 8º PA'!$E$5:$E$2488='Analítico Cx.'!$B138),-('Diário 8º PA'!$P$5:$P$2488=N$1),('Diário 8º PA'!$F$5:$F$2488))</f>
        <v>7177.39</v>
      </c>
      <c r="O138" s="186">
        <f t="shared" si="16"/>
        <v>7177.39</v>
      </c>
      <c r="P138" s="187">
        <f t="shared" si="17"/>
        <v>7.6152969202045347E-4</v>
      </c>
      <c r="Q138" s="34"/>
      <c r="R138" s="34"/>
      <c r="S138" s="34"/>
      <c r="T138" s="34"/>
      <c r="U138" s="34"/>
      <c r="V138" s="34"/>
      <c r="W138" s="34"/>
      <c r="X138" s="34"/>
      <c r="Y138" s="34"/>
      <c r="Z138" s="34"/>
    </row>
    <row r="139" spans="1:26" ht="12.75" customHeight="1" x14ac:dyDescent="0.2">
      <c r="A139" s="203" t="s">
        <v>369</v>
      </c>
      <c r="B139" s="72" t="s">
        <v>370</v>
      </c>
      <c r="C139" s="185">
        <f>SUMPRODUCT(-('Diário 5º PA'!$E$5:$E$2634='Analítico Cx.'!$B139),-('Diário 5º PA'!$P$5:$P$2634=C$1),('Diário 5º PA'!$F$5:$F$2634))+
SUMPRODUCT(-('Diário 6º PA'!$E$5:$E$2246='Analítico Cx.'!$B139),-('Diário 6º PA'!$P$5:$P$2246=C$1),('Diário 6º PA'!$F$5:$F$2246))+
SUMPRODUCT(-('Diário 7º PA'!$E$5:$E$2271='Analítico Cx.'!$B139),-('Diário 7º PA'!$P$5:$P$2271=C$1),('Diário 7º PA'!$F$5:$F$2271))+
SUMPRODUCT(-('Diário 8º PA'!$E$5:$E$2488='Analítico Cx.'!$B139),-('Diário 8º PA'!$P$5:$P$2488=C$1),('Diário 8º PA'!$F$5:$F$2488))</f>
        <v>0</v>
      </c>
      <c r="D139" s="185">
        <f>SUMPRODUCT(-('Diário 5º PA'!$E$5:$E$2634='Analítico Cx.'!$B139),-('Diário 5º PA'!$P$5:$P$2634=D$1),('Diário 5º PA'!$F$5:$F$2634))+
SUMPRODUCT(-('Diário 6º PA'!$E$5:$E$2246='Analítico Cx.'!$B139),-('Diário 6º PA'!$P$5:$P$2246=D$1),('Diário 6º PA'!$F$5:$F$2246))+
SUMPRODUCT(-('Diário 7º PA'!$E$5:$E$2271='Analítico Cx.'!$B139),-('Diário 7º PA'!$P$5:$P$2271=D$1),('Diário 7º PA'!$F$5:$F$2271))+
SUMPRODUCT(-('Diário 8º PA'!$E$5:$E$2488='Analítico Cx.'!$B139),-('Diário 8º PA'!$P$5:$P$2488=D$1),('Diário 8º PA'!$F$5:$F$2488))</f>
        <v>0</v>
      </c>
      <c r="E139" s="185">
        <f>SUMPRODUCT(-('Diário 5º PA'!$E$5:$E$2634='Analítico Cx.'!$B139),-('Diário 5º PA'!$P$5:$P$2634=E$1),('Diário 5º PA'!$F$5:$F$2634))+
SUMPRODUCT(-('Diário 6º PA'!$E$5:$E$2246='Analítico Cx.'!$B139),-('Diário 6º PA'!$P$5:$P$2246=E$1),('Diário 6º PA'!$F$5:$F$2246))+
SUMPRODUCT(-('Diário 7º PA'!$E$5:$E$2271='Analítico Cx.'!$B139),-('Diário 7º PA'!$P$5:$P$2271=E$1),('Diário 7º PA'!$F$5:$F$2271))+
SUMPRODUCT(-('Diário 8º PA'!$E$5:$E$2488='Analítico Cx.'!$B139),-('Diário 8º PA'!$P$5:$P$2488=E$1),('Diário 8º PA'!$F$5:$F$2488))</f>
        <v>11805.42</v>
      </c>
      <c r="F139" s="185">
        <f>SUMPRODUCT(-('Diário 5º PA'!$E$5:$E$2634='Analítico Cx.'!$B139),-('Diário 5º PA'!$P$5:$P$2634=F$1),('Diário 5º PA'!$F$5:$F$2634))+
SUMPRODUCT(-('Diário 6º PA'!$E$5:$E$2246='Analítico Cx.'!$B139),-('Diário 6º PA'!$P$5:$P$2246=F$1),('Diário 6º PA'!$F$5:$F$2246))+
SUMPRODUCT(-('Diário 7º PA'!$E$5:$E$2271='Analítico Cx.'!$B139),-('Diário 7º PA'!$P$5:$P$2271=F$1),('Diário 7º PA'!$F$5:$F$2271))+
SUMPRODUCT(-('Diário 8º PA'!$E$5:$E$2488='Analítico Cx.'!$B139),-('Diário 8º PA'!$P$5:$P$2488=F$1),('Diário 8º PA'!$F$5:$F$2488))</f>
        <v>5434.33</v>
      </c>
      <c r="G139" s="185">
        <f>SUMPRODUCT(-('Diário 5º PA'!$E$5:$E$2634='Analítico Cx.'!$B139),-('Diário 5º PA'!$P$5:$P$2634=G$1),('Diário 5º PA'!$F$5:$F$2634))+
SUMPRODUCT(-('Diário 6º PA'!$E$5:$E$2246='Analítico Cx.'!$B139),-('Diário 6º PA'!$P$5:$P$2246=G$1),('Diário 6º PA'!$F$5:$F$2246))+
SUMPRODUCT(-('Diário 7º PA'!$E$5:$E$2271='Analítico Cx.'!$B139),-('Diário 7º PA'!$P$5:$P$2271=G$1),('Diário 7º PA'!$F$5:$F$2271))+
SUMPRODUCT(-('Diário 8º PA'!$E$5:$E$2488='Analítico Cx.'!$B139),-('Diário 8º PA'!$P$5:$P$2488=G$1),('Diário 8º PA'!$F$5:$F$2488))</f>
        <v>13359.85</v>
      </c>
      <c r="H139" s="185">
        <f>SUMPRODUCT(-('Diário 5º PA'!$E$5:$E$2634='Analítico Cx.'!$B139),-('Diário 5º PA'!$P$5:$P$2634=H$1),('Diário 5º PA'!$F$5:$F$2634))+
SUMPRODUCT(-('Diário 6º PA'!$E$5:$E$2246='Analítico Cx.'!$B139),-('Diário 6º PA'!$P$5:$P$2246=H$1),('Diário 6º PA'!$F$5:$F$2246))+
SUMPRODUCT(-('Diário 7º PA'!$E$5:$E$2271='Analítico Cx.'!$B139),-('Diário 7º PA'!$P$5:$P$2271=H$1),('Diário 7º PA'!$F$5:$F$2271))+
SUMPRODUCT(-('Diário 8º PA'!$E$5:$E$2488='Analítico Cx.'!$B139),-('Diário 8º PA'!$P$5:$P$2488=H$1),('Diário 8º PA'!$F$5:$F$2488))</f>
        <v>7182.4</v>
      </c>
      <c r="I139" s="185">
        <f>SUMPRODUCT(-('Diário 5º PA'!$E$5:$E$2634='Analítico Cx.'!$B139),-('Diário 5º PA'!$P$5:$P$2634=I$1),('Diário 5º PA'!$F$5:$F$2634))+
SUMPRODUCT(-('Diário 6º PA'!$E$5:$E$2246='Analítico Cx.'!$B139),-('Diário 6º PA'!$P$5:$P$2246=I$1),('Diário 6º PA'!$F$5:$F$2246))+
SUMPRODUCT(-('Diário 7º PA'!$E$5:$E$2271='Analítico Cx.'!$B139),-('Diário 7º PA'!$P$5:$P$2271=I$1),('Diário 7º PA'!$F$5:$F$2271))+
SUMPRODUCT(-('Diário 8º PA'!$E$5:$E$2488='Analítico Cx.'!$B139),-('Diário 8º PA'!$P$5:$P$2488=I$1),('Diário 8º PA'!$F$5:$F$2488))</f>
        <v>10655.66</v>
      </c>
      <c r="J139" s="185">
        <f>SUMPRODUCT(-('Diário 5º PA'!$E$5:$E$2634='Analítico Cx.'!$B139),-('Diário 5º PA'!$P$5:$P$2634=J$1),('Diário 5º PA'!$F$5:$F$2634))+
SUMPRODUCT(-('Diário 6º PA'!$E$5:$E$2246='Analítico Cx.'!$B139),-('Diário 6º PA'!$P$5:$P$2246=J$1),('Diário 6º PA'!$F$5:$F$2246))+
SUMPRODUCT(-('Diário 7º PA'!$E$5:$E$2271='Analítico Cx.'!$B139),-('Diário 7º PA'!$P$5:$P$2271=J$1),('Diário 7º PA'!$F$5:$F$2271))+
SUMPRODUCT(-('Diário 8º PA'!$E$5:$E$2488='Analítico Cx.'!$B139),-('Diário 8º PA'!$P$5:$P$2488=J$1),('Diário 8º PA'!$F$5:$F$2488))</f>
        <v>5396.34</v>
      </c>
      <c r="K139" s="185">
        <f>SUMPRODUCT(-('Diário 5º PA'!$E$5:$E$2634='Analítico Cx.'!$B139),-('Diário 5º PA'!$P$5:$P$2634=K$1),('Diário 5º PA'!$F$5:$F$2634))+
SUMPRODUCT(-('Diário 6º PA'!$E$5:$E$2246='Analítico Cx.'!$B139),-('Diário 6º PA'!$P$5:$P$2246=K$1),('Diário 6º PA'!$F$5:$F$2246))+
SUMPRODUCT(-('Diário 7º PA'!$E$5:$E$2271='Analítico Cx.'!$B139),-('Diário 7º PA'!$P$5:$P$2271=K$1),('Diário 7º PA'!$F$5:$F$2271))+
SUMPRODUCT(-('Diário 8º PA'!$E$5:$E$2488='Analítico Cx.'!$B139),-('Diário 8º PA'!$P$5:$P$2488=K$1),('Diário 8º PA'!$F$5:$F$2488))</f>
        <v>-154</v>
      </c>
      <c r="L139" s="185">
        <f>SUMPRODUCT(-('Diário 5º PA'!$E$5:$E$2634='Analítico Cx.'!$B139),-('Diário 5º PA'!$P$5:$P$2634=L$1),('Diário 5º PA'!$F$5:$F$2634))+
SUMPRODUCT(-('Diário 6º PA'!$E$5:$E$2246='Analítico Cx.'!$B139),-('Diário 6º PA'!$P$5:$P$2246=L$1),('Diário 6º PA'!$F$5:$F$2246))+
SUMPRODUCT(-('Diário 7º PA'!$E$5:$E$2271='Analítico Cx.'!$B139),-('Diário 7º PA'!$P$5:$P$2271=L$1),('Diário 7º PA'!$F$5:$F$2271))+
SUMPRODUCT(-('Diário 8º PA'!$E$5:$E$2488='Analítico Cx.'!$B139),-('Diário 8º PA'!$P$5:$P$2488=L$1),('Diário 8º PA'!$F$5:$F$2488))</f>
        <v>5706.96</v>
      </c>
      <c r="M139" s="185">
        <f>SUMPRODUCT(-('Diário 5º PA'!$E$5:$E$2634='Analítico Cx.'!$B139),-('Diário 5º PA'!$P$5:$P$2634=M$1),('Diário 5º PA'!$F$5:$F$2634))+
SUMPRODUCT(-('Diário 6º PA'!$E$5:$E$2246='Analítico Cx.'!$B139),-('Diário 6º PA'!$P$5:$P$2246=M$1),('Diário 6º PA'!$F$5:$F$2246))+
SUMPRODUCT(-('Diário 7º PA'!$E$5:$E$2271='Analítico Cx.'!$B139),-('Diário 7º PA'!$P$5:$P$2271=M$1),('Diário 7º PA'!$F$5:$F$2271))+
SUMPRODUCT(-('Diário 8º PA'!$E$5:$E$2488='Analítico Cx.'!$B139),-('Diário 8º PA'!$P$5:$P$2488=M$1),('Diário 8º PA'!$F$5:$F$2488))</f>
        <v>8240.4000000000015</v>
      </c>
      <c r="N139" s="185">
        <f>SUMPRODUCT(-('Diário 5º PA'!$E$5:$E$2634='Analítico Cx.'!$B139),-('Diário 5º PA'!$P$5:$P$2634=N$1),('Diário 5º PA'!$F$5:$F$2634))+
SUMPRODUCT(-('Diário 6º PA'!$E$5:$E$2246='Analítico Cx.'!$B139),-('Diário 6º PA'!$P$5:$P$2246=N$1),('Diário 6º PA'!$F$5:$F$2246))+
SUMPRODUCT(-('Diário 7º PA'!$E$5:$E$2271='Analítico Cx.'!$B139),-('Diário 7º PA'!$P$5:$P$2271=N$1),('Diário 7º PA'!$F$5:$F$2271))+
SUMPRODUCT(-('Diário 8º PA'!$E$5:$E$2488='Analítico Cx.'!$B139),-('Diário 8º PA'!$P$5:$P$2488=N$1),('Diário 8º PA'!$F$5:$F$2488))</f>
        <v>652.64</v>
      </c>
      <c r="O139" s="186">
        <f t="shared" si="16"/>
        <v>68280</v>
      </c>
      <c r="P139" s="187">
        <f t="shared" si="17"/>
        <v>7.2445899374503206E-3</v>
      </c>
      <c r="Q139" s="34"/>
      <c r="R139" s="34"/>
      <c r="S139" s="34"/>
      <c r="T139" s="34"/>
      <c r="U139" s="34"/>
      <c r="V139" s="34"/>
      <c r="W139" s="34"/>
      <c r="X139" s="34"/>
      <c r="Y139" s="34"/>
      <c r="Z139" s="34"/>
    </row>
    <row r="140" spans="1:26" ht="34.5" customHeight="1" x14ac:dyDescent="0.2">
      <c r="A140" s="203" t="s">
        <v>371</v>
      </c>
      <c r="B140" s="72" t="s">
        <v>372</v>
      </c>
      <c r="C140" s="185">
        <f>SUMPRODUCT(-('Diário 5º PA'!$E$5:$E$2634='Analítico Cx.'!$B140),-('Diário 5º PA'!$P$5:$P$2634=C$1),('Diário 5º PA'!$F$5:$F$2634))+
SUMPRODUCT(-('Diário 6º PA'!$E$5:$E$2246='Analítico Cx.'!$B140),-('Diário 6º PA'!$P$5:$P$2246=C$1),('Diário 6º PA'!$F$5:$F$2246))+
SUMPRODUCT(-('Diário 7º PA'!$E$5:$E$2271='Analítico Cx.'!$B140),-('Diário 7º PA'!$P$5:$P$2271=C$1),('Diário 7º PA'!$F$5:$F$2271))+
SUMPRODUCT(-('Diário 8º PA'!$E$5:$E$2488='Analítico Cx.'!$B140),-('Diário 8º PA'!$P$5:$P$2488=C$1),('Diário 8º PA'!$F$5:$F$2488))</f>
        <v>2200</v>
      </c>
      <c r="D140" s="185">
        <f>SUMPRODUCT(-('Diário 5º PA'!$E$5:$E$2634='Analítico Cx.'!$B140),-('Diário 5º PA'!$P$5:$P$2634=D$1),('Diário 5º PA'!$F$5:$F$2634))+
SUMPRODUCT(-('Diário 6º PA'!$E$5:$E$2246='Analítico Cx.'!$B140),-('Diário 6º PA'!$P$5:$P$2246=D$1),('Diário 6º PA'!$F$5:$F$2246))+
SUMPRODUCT(-('Diário 7º PA'!$E$5:$E$2271='Analítico Cx.'!$B140),-('Diário 7º PA'!$P$5:$P$2271=D$1),('Diário 7º PA'!$F$5:$F$2271))+
SUMPRODUCT(-('Diário 8º PA'!$E$5:$E$2488='Analítico Cx.'!$B140),-('Diário 8º PA'!$P$5:$P$2488=D$1),('Diário 8º PA'!$F$5:$F$2488))</f>
        <v>2500</v>
      </c>
      <c r="E140" s="185">
        <f>SUMPRODUCT(-('Diário 5º PA'!$E$5:$E$2634='Analítico Cx.'!$B140),-('Diário 5º PA'!$P$5:$P$2634=E$1),('Diário 5º PA'!$F$5:$F$2634))+
SUMPRODUCT(-('Diário 6º PA'!$E$5:$E$2246='Analítico Cx.'!$B140),-('Diário 6º PA'!$P$5:$P$2246=E$1),('Diário 6º PA'!$F$5:$F$2246))+
SUMPRODUCT(-('Diário 7º PA'!$E$5:$E$2271='Analítico Cx.'!$B140),-('Diário 7º PA'!$P$5:$P$2271=E$1),('Diário 7º PA'!$F$5:$F$2271))+
SUMPRODUCT(-('Diário 8º PA'!$E$5:$E$2488='Analítico Cx.'!$B140),-('Diário 8º PA'!$P$5:$P$2488=E$1),('Diário 8º PA'!$F$5:$F$2488))</f>
        <v>2500</v>
      </c>
      <c r="F140" s="185">
        <f>SUMPRODUCT(-('Diário 5º PA'!$E$5:$E$2634='Analítico Cx.'!$B140),-('Diário 5º PA'!$P$5:$P$2634=F$1),('Diário 5º PA'!$F$5:$F$2634))+
SUMPRODUCT(-('Diário 6º PA'!$E$5:$E$2246='Analítico Cx.'!$B140),-('Diário 6º PA'!$P$5:$P$2246=F$1),('Diário 6º PA'!$F$5:$F$2246))+
SUMPRODUCT(-('Diário 7º PA'!$E$5:$E$2271='Analítico Cx.'!$B140),-('Diário 7º PA'!$P$5:$P$2271=F$1),('Diário 7º PA'!$F$5:$F$2271))+
SUMPRODUCT(-('Diário 8º PA'!$E$5:$E$2488='Analítico Cx.'!$B140),-('Diário 8º PA'!$P$5:$P$2488=F$1),('Diário 8º PA'!$F$5:$F$2488))</f>
        <v>2500</v>
      </c>
      <c r="G140" s="185">
        <f>SUMPRODUCT(-('Diário 5º PA'!$E$5:$E$2634='Analítico Cx.'!$B140),-('Diário 5º PA'!$P$5:$P$2634=G$1),('Diário 5º PA'!$F$5:$F$2634))+
SUMPRODUCT(-('Diário 6º PA'!$E$5:$E$2246='Analítico Cx.'!$B140),-('Diário 6º PA'!$P$5:$P$2246=G$1),('Diário 6º PA'!$F$5:$F$2246))+
SUMPRODUCT(-('Diário 7º PA'!$E$5:$E$2271='Analítico Cx.'!$B140),-('Diário 7º PA'!$P$5:$P$2271=G$1),('Diário 7º PA'!$F$5:$F$2271))+
SUMPRODUCT(-('Diário 8º PA'!$E$5:$E$2488='Analítico Cx.'!$B140),-('Diário 8º PA'!$P$5:$P$2488=G$1),('Diário 8º PA'!$F$5:$F$2488))</f>
        <v>2500</v>
      </c>
      <c r="H140" s="185">
        <f>SUMPRODUCT(-('Diário 5º PA'!$E$5:$E$2634='Analítico Cx.'!$B140),-('Diário 5º PA'!$P$5:$P$2634=H$1),('Diário 5º PA'!$F$5:$F$2634))+
SUMPRODUCT(-('Diário 6º PA'!$E$5:$E$2246='Analítico Cx.'!$B140),-('Diário 6º PA'!$P$5:$P$2246=H$1),('Diário 6º PA'!$F$5:$F$2246))+
SUMPRODUCT(-('Diário 7º PA'!$E$5:$E$2271='Analítico Cx.'!$B140),-('Diário 7º PA'!$P$5:$P$2271=H$1),('Diário 7º PA'!$F$5:$F$2271))+
SUMPRODUCT(-('Diário 8º PA'!$E$5:$E$2488='Analítico Cx.'!$B140),-('Diário 8º PA'!$P$5:$P$2488=H$1),('Diário 8º PA'!$F$5:$F$2488))</f>
        <v>2500</v>
      </c>
      <c r="I140" s="185">
        <f>SUMPRODUCT(-('Diário 5º PA'!$E$5:$E$2634='Analítico Cx.'!$B140),-('Diário 5º PA'!$P$5:$P$2634=I$1),('Diário 5º PA'!$F$5:$F$2634))+
SUMPRODUCT(-('Diário 6º PA'!$E$5:$E$2246='Analítico Cx.'!$B140),-('Diário 6º PA'!$P$5:$P$2246=I$1),('Diário 6º PA'!$F$5:$F$2246))+
SUMPRODUCT(-('Diário 7º PA'!$E$5:$E$2271='Analítico Cx.'!$B140),-('Diário 7º PA'!$P$5:$P$2271=I$1),('Diário 7º PA'!$F$5:$F$2271))+
SUMPRODUCT(-('Diário 8º PA'!$E$5:$E$2488='Analítico Cx.'!$B140),-('Diário 8º PA'!$P$5:$P$2488=I$1),('Diário 8º PA'!$F$5:$F$2488))</f>
        <v>2500</v>
      </c>
      <c r="J140" s="185">
        <f>SUMPRODUCT(-('Diário 5º PA'!$E$5:$E$2634='Analítico Cx.'!$B140),-('Diário 5º PA'!$P$5:$P$2634=J$1),('Diário 5º PA'!$F$5:$F$2634))+
SUMPRODUCT(-('Diário 6º PA'!$E$5:$E$2246='Analítico Cx.'!$B140),-('Diário 6º PA'!$P$5:$P$2246=J$1),('Diário 6º PA'!$F$5:$F$2246))+
SUMPRODUCT(-('Diário 7º PA'!$E$5:$E$2271='Analítico Cx.'!$B140),-('Diário 7º PA'!$P$5:$P$2271=J$1),('Diário 7º PA'!$F$5:$F$2271))+
SUMPRODUCT(-('Diário 8º PA'!$E$5:$E$2488='Analítico Cx.'!$B140),-('Diário 8º PA'!$P$5:$P$2488=J$1),('Diário 8º PA'!$F$5:$F$2488))</f>
        <v>2500</v>
      </c>
      <c r="K140" s="185">
        <f>SUMPRODUCT(-('Diário 5º PA'!$E$5:$E$2634='Analítico Cx.'!$B140),-('Diário 5º PA'!$P$5:$P$2634=K$1),('Diário 5º PA'!$F$5:$F$2634))+
SUMPRODUCT(-('Diário 6º PA'!$E$5:$E$2246='Analítico Cx.'!$B140),-('Diário 6º PA'!$P$5:$P$2246=K$1),('Diário 6º PA'!$F$5:$F$2246))+
SUMPRODUCT(-('Diário 7º PA'!$E$5:$E$2271='Analítico Cx.'!$B140),-('Diário 7º PA'!$P$5:$P$2271=K$1),('Diário 7º PA'!$F$5:$F$2271))+
SUMPRODUCT(-('Diário 8º PA'!$E$5:$E$2488='Analítico Cx.'!$B140),-('Diário 8º PA'!$P$5:$P$2488=K$1),('Diário 8º PA'!$F$5:$F$2488))</f>
        <v>2500</v>
      </c>
      <c r="L140" s="185">
        <f>SUMPRODUCT(-('Diário 5º PA'!$E$5:$E$2634='Analítico Cx.'!$B140),-('Diário 5º PA'!$P$5:$P$2634=L$1),('Diário 5º PA'!$F$5:$F$2634))+
SUMPRODUCT(-('Diário 6º PA'!$E$5:$E$2246='Analítico Cx.'!$B140),-('Diário 6º PA'!$P$5:$P$2246=L$1),('Diário 6º PA'!$F$5:$F$2246))+
SUMPRODUCT(-('Diário 7º PA'!$E$5:$E$2271='Analítico Cx.'!$B140),-('Diário 7º PA'!$P$5:$P$2271=L$1),('Diário 7º PA'!$F$5:$F$2271))+
SUMPRODUCT(-('Diário 8º PA'!$E$5:$E$2488='Analítico Cx.'!$B140),-('Diário 8º PA'!$P$5:$P$2488=L$1),('Diário 8º PA'!$F$5:$F$2488))</f>
        <v>2500</v>
      </c>
      <c r="M140" s="185">
        <f>SUMPRODUCT(-('Diário 5º PA'!$E$5:$E$2634='Analítico Cx.'!$B140),-('Diário 5º PA'!$P$5:$P$2634=M$1),('Diário 5º PA'!$F$5:$F$2634))+
SUMPRODUCT(-('Diário 6º PA'!$E$5:$E$2246='Analítico Cx.'!$B140),-('Diário 6º PA'!$P$5:$P$2246=M$1),('Diário 6º PA'!$F$5:$F$2246))+
SUMPRODUCT(-('Diário 7º PA'!$E$5:$E$2271='Analítico Cx.'!$B140),-('Diário 7º PA'!$P$5:$P$2271=M$1),('Diário 7º PA'!$F$5:$F$2271))+
SUMPRODUCT(-('Diário 8º PA'!$E$5:$E$2488='Analítico Cx.'!$B140),-('Diário 8º PA'!$P$5:$P$2488=M$1),('Diário 8º PA'!$F$5:$F$2488))</f>
        <v>2500</v>
      </c>
      <c r="N140" s="185">
        <f>SUMPRODUCT(-('Diário 5º PA'!$E$5:$E$2634='Analítico Cx.'!$B140),-('Diário 5º PA'!$P$5:$P$2634=N$1),('Diário 5º PA'!$F$5:$F$2634))+
SUMPRODUCT(-('Diário 6º PA'!$E$5:$E$2246='Analítico Cx.'!$B140),-('Diário 6º PA'!$P$5:$P$2246=N$1),('Diário 6º PA'!$F$5:$F$2246))+
SUMPRODUCT(-('Diário 7º PA'!$E$5:$E$2271='Analítico Cx.'!$B140),-('Diário 7º PA'!$P$5:$P$2271=N$1),('Diário 7º PA'!$F$5:$F$2271))+
SUMPRODUCT(-('Diário 8º PA'!$E$5:$E$2488='Analítico Cx.'!$B140),-('Diário 8º PA'!$P$5:$P$2488=N$1),('Diário 8º PA'!$F$5:$F$2488))</f>
        <v>2500</v>
      </c>
      <c r="O140" s="186">
        <f t="shared" si="16"/>
        <v>29700</v>
      </c>
      <c r="P140" s="187">
        <f t="shared" si="17"/>
        <v>3.1512056406308511E-3</v>
      </c>
      <c r="Q140" s="34"/>
      <c r="R140" s="34"/>
      <c r="S140" s="34"/>
      <c r="T140" s="34"/>
      <c r="U140" s="34"/>
      <c r="V140" s="34"/>
      <c r="W140" s="34"/>
      <c r="X140" s="34"/>
      <c r="Y140" s="34"/>
      <c r="Z140" s="34"/>
    </row>
    <row r="141" spans="1:26" ht="36" customHeight="1" x14ac:dyDescent="0.2">
      <c r="A141" s="203" t="s">
        <v>373</v>
      </c>
      <c r="B141" s="72" t="s">
        <v>374</v>
      </c>
      <c r="C141" s="185">
        <f>SUMPRODUCT(-('Diário 5º PA'!$E$5:$E$2634='Analítico Cx.'!$B141),-('Diário 5º PA'!$P$5:$P$2634=C$1),('Diário 5º PA'!$F$5:$F$2634))+
SUMPRODUCT(-('Diário 6º PA'!$E$5:$E$2246='Analítico Cx.'!$B141),-('Diário 6º PA'!$P$5:$P$2246=C$1),('Diário 6º PA'!$F$5:$F$2246))+
SUMPRODUCT(-('Diário 7º PA'!$E$5:$E$2271='Analítico Cx.'!$B141),-('Diário 7º PA'!$P$5:$P$2271=C$1),('Diário 7º PA'!$F$5:$F$2271))+
SUMPRODUCT(-('Diário 8º PA'!$E$5:$E$2488='Analítico Cx.'!$B141),-('Diário 8º PA'!$P$5:$P$2488=C$1),('Diário 8º PA'!$F$5:$F$2488))</f>
        <v>0</v>
      </c>
      <c r="D141" s="185">
        <f>SUMPRODUCT(-('Diário 5º PA'!$E$5:$E$2634='Analítico Cx.'!$B141),-('Diário 5º PA'!$P$5:$P$2634=D$1),('Diário 5º PA'!$F$5:$F$2634))+
SUMPRODUCT(-('Diário 6º PA'!$E$5:$E$2246='Analítico Cx.'!$B141),-('Diário 6º PA'!$P$5:$P$2246=D$1),('Diário 6º PA'!$F$5:$F$2246))+
SUMPRODUCT(-('Diário 7º PA'!$E$5:$E$2271='Analítico Cx.'!$B141),-('Diário 7º PA'!$P$5:$P$2271=D$1),('Diário 7º PA'!$F$5:$F$2271))+
SUMPRODUCT(-('Diário 8º PA'!$E$5:$E$2488='Analítico Cx.'!$B141),-('Diário 8º PA'!$P$5:$P$2488=D$1),('Diário 8º PA'!$F$5:$F$2488))</f>
        <v>0</v>
      </c>
      <c r="E141" s="185">
        <f>SUMPRODUCT(-('Diário 5º PA'!$E$5:$E$2634='Analítico Cx.'!$B141),-('Diário 5º PA'!$P$5:$P$2634=E$1),('Diário 5º PA'!$F$5:$F$2634))+
SUMPRODUCT(-('Diário 6º PA'!$E$5:$E$2246='Analítico Cx.'!$B141),-('Diário 6º PA'!$P$5:$P$2246=E$1),('Diário 6º PA'!$F$5:$F$2246))+
SUMPRODUCT(-('Diário 7º PA'!$E$5:$E$2271='Analítico Cx.'!$B141),-('Diário 7º PA'!$P$5:$P$2271=E$1),('Diário 7º PA'!$F$5:$F$2271))+
SUMPRODUCT(-('Diário 8º PA'!$E$5:$E$2488='Analítico Cx.'!$B141),-('Diário 8º PA'!$P$5:$P$2488=E$1),('Diário 8º PA'!$F$5:$F$2488))</f>
        <v>0</v>
      </c>
      <c r="F141" s="185">
        <f>SUMPRODUCT(-('Diário 5º PA'!$E$5:$E$2634='Analítico Cx.'!$B141),-('Diário 5º PA'!$P$5:$P$2634=F$1),('Diário 5º PA'!$F$5:$F$2634))+
SUMPRODUCT(-('Diário 6º PA'!$E$5:$E$2246='Analítico Cx.'!$B141),-('Diário 6º PA'!$P$5:$P$2246=F$1),('Diário 6º PA'!$F$5:$F$2246))+
SUMPRODUCT(-('Diário 7º PA'!$E$5:$E$2271='Analítico Cx.'!$B141),-('Diário 7º PA'!$P$5:$P$2271=F$1),('Diário 7º PA'!$F$5:$F$2271))+
SUMPRODUCT(-('Diário 8º PA'!$E$5:$E$2488='Analítico Cx.'!$B141),-('Diário 8º PA'!$P$5:$P$2488=F$1),('Diário 8º PA'!$F$5:$F$2488))</f>
        <v>1587.94</v>
      </c>
      <c r="G141" s="185">
        <f>SUMPRODUCT(-('Diário 5º PA'!$E$5:$E$2634='Analítico Cx.'!$B141),-('Diário 5º PA'!$P$5:$P$2634=G$1),('Diário 5º PA'!$F$5:$F$2634))+
SUMPRODUCT(-('Diário 6º PA'!$E$5:$E$2246='Analítico Cx.'!$B141),-('Diário 6º PA'!$P$5:$P$2246=G$1),('Diário 6º PA'!$F$5:$F$2246))+
SUMPRODUCT(-('Diário 7º PA'!$E$5:$E$2271='Analítico Cx.'!$B141),-('Diário 7º PA'!$P$5:$P$2271=G$1),('Diário 7º PA'!$F$5:$F$2271))+
SUMPRODUCT(-('Diário 8º PA'!$E$5:$E$2488='Analítico Cx.'!$B141),-('Diário 8º PA'!$P$5:$P$2488=G$1),('Diário 8º PA'!$F$5:$F$2488))</f>
        <v>12.06</v>
      </c>
      <c r="H141" s="185">
        <f>SUMPRODUCT(-('Diário 5º PA'!$E$5:$E$2634='Analítico Cx.'!$B141),-('Diário 5º PA'!$P$5:$P$2634=H$1),('Diário 5º PA'!$F$5:$F$2634))+
SUMPRODUCT(-('Diário 6º PA'!$E$5:$E$2246='Analítico Cx.'!$B141),-('Diário 6º PA'!$P$5:$P$2246=H$1),('Diário 6º PA'!$F$5:$F$2246))+
SUMPRODUCT(-('Diário 7º PA'!$E$5:$E$2271='Analítico Cx.'!$B141),-('Diário 7º PA'!$P$5:$P$2271=H$1),('Diário 7º PA'!$F$5:$F$2271))+
SUMPRODUCT(-('Diário 8º PA'!$E$5:$E$2488='Analítico Cx.'!$B141),-('Diário 8º PA'!$P$5:$P$2488=H$1),('Diário 8º PA'!$F$5:$F$2488))</f>
        <v>0</v>
      </c>
      <c r="I141" s="185">
        <f>SUMPRODUCT(-('Diário 5º PA'!$E$5:$E$2634='Analítico Cx.'!$B141),-('Diário 5º PA'!$P$5:$P$2634=I$1),('Diário 5º PA'!$F$5:$F$2634))+
SUMPRODUCT(-('Diário 6º PA'!$E$5:$E$2246='Analítico Cx.'!$B141),-('Diário 6º PA'!$P$5:$P$2246=I$1),('Diário 6º PA'!$F$5:$F$2246))+
SUMPRODUCT(-('Diário 7º PA'!$E$5:$E$2271='Analítico Cx.'!$B141),-('Diário 7º PA'!$P$5:$P$2271=I$1),('Diário 7º PA'!$F$5:$F$2271))+
SUMPRODUCT(-('Diário 8º PA'!$E$5:$E$2488='Analítico Cx.'!$B141),-('Diário 8º PA'!$P$5:$P$2488=I$1),('Diário 8º PA'!$F$5:$F$2488))</f>
        <v>0</v>
      </c>
      <c r="J141" s="185">
        <f>SUMPRODUCT(-('Diário 5º PA'!$E$5:$E$2634='Analítico Cx.'!$B141),-('Diário 5º PA'!$P$5:$P$2634=J$1),('Diário 5º PA'!$F$5:$F$2634))+
SUMPRODUCT(-('Diário 6º PA'!$E$5:$E$2246='Analítico Cx.'!$B141),-('Diário 6º PA'!$P$5:$P$2246=J$1),('Diário 6º PA'!$F$5:$F$2246))+
SUMPRODUCT(-('Diário 7º PA'!$E$5:$E$2271='Analítico Cx.'!$B141),-('Diário 7º PA'!$P$5:$P$2271=J$1),('Diário 7º PA'!$F$5:$F$2271))+
SUMPRODUCT(-('Diário 8º PA'!$E$5:$E$2488='Analítico Cx.'!$B141),-('Diário 8º PA'!$P$5:$P$2488=J$1),('Diário 8º PA'!$F$5:$F$2488))</f>
        <v>0</v>
      </c>
      <c r="K141" s="185">
        <f>SUMPRODUCT(-('Diário 5º PA'!$E$5:$E$2634='Analítico Cx.'!$B141),-('Diário 5º PA'!$P$5:$P$2634=K$1),('Diário 5º PA'!$F$5:$F$2634))+
SUMPRODUCT(-('Diário 6º PA'!$E$5:$E$2246='Analítico Cx.'!$B141),-('Diário 6º PA'!$P$5:$P$2246=K$1),('Diário 6º PA'!$F$5:$F$2246))+
SUMPRODUCT(-('Diário 7º PA'!$E$5:$E$2271='Analítico Cx.'!$B141),-('Diário 7º PA'!$P$5:$P$2271=K$1),('Diário 7º PA'!$F$5:$F$2271))+
SUMPRODUCT(-('Diário 8º PA'!$E$5:$E$2488='Analítico Cx.'!$B141),-('Diário 8º PA'!$P$5:$P$2488=K$1),('Diário 8º PA'!$F$5:$F$2488))</f>
        <v>0</v>
      </c>
      <c r="L141" s="185">
        <f>SUMPRODUCT(-('Diário 5º PA'!$E$5:$E$2634='Analítico Cx.'!$B141),-('Diário 5º PA'!$P$5:$P$2634=L$1),('Diário 5º PA'!$F$5:$F$2634))+
SUMPRODUCT(-('Diário 6º PA'!$E$5:$E$2246='Analítico Cx.'!$B141),-('Diário 6º PA'!$P$5:$P$2246=L$1),('Diário 6º PA'!$F$5:$F$2246))+
SUMPRODUCT(-('Diário 7º PA'!$E$5:$E$2271='Analítico Cx.'!$B141),-('Diário 7º PA'!$P$5:$P$2271=L$1),('Diário 7º PA'!$F$5:$F$2271))+
SUMPRODUCT(-('Diário 8º PA'!$E$5:$E$2488='Analítico Cx.'!$B141),-('Diário 8º PA'!$P$5:$P$2488=L$1),('Diário 8º PA'!$F$5:$F$2488))</f>
        <v>0</v>
      </c>
      <c r="M141" s="185">
        <f>SUMPRODUCT(-('Diário 5º PA'!$E$5:$E$2634='Analítico Cx.'!$B141),-('Diário 5º PA'!$P$5:$P$2634=M$1),('Diário 5º PA'!$F$5:$F$2634))+
SUMPRODUCT(-('Diário 6º PA'!$E$5:$E$2246='Analítico Cx.'!$B141),-('Diário 6º PA'!$P$5:$P$2246=M$1),('Diário 6º PA'!$F$5:$F$2246))+
SUMPRODUCT(-('Diário 7º PA'!$E$5:$E$2271='Analítico Cx.'!$B141),-('Diário 7º PA'!$P$5:$P$2271=M$1),('Diário 7º PA'!$F$5:$F$2271))+
SUMPRODUCT(-('Diário 8º PA'!$E$5:$E$2488='Analítico Cx.'!$B141),-('Diário 8º PA'!$P$5:$P$2488=M$1),('Diário 8º PA'!$F$5:$F$2488))</f>
        <v>1200</v>
      </c>
      <c r="N141" s="185">
        <f>SUMPRODUCT(-('Diário 5º PA'!$E$5:$E$2634='Analítico Cx.'!$B141),-('Diário 5º PA'!$P$5:$P$2634=N$1),('Diário 5º PA'!$F$5:$F$2634))+
SUMPRODUCT(-('Diário 6º PA'!$E$5:$E$2246='Analítico Cx.'!$B141),-('Diário 6º PA'!$P$5:$P$2246=N$1),('Diário 6º PA'!$F$5:$F$2246))+
SUMPRODUCT(-('Diário 7º PA'!$E$5:$E$2271='Analítico Cx.'!$B141),-('Diário 7º PA'!$P$5:$P$2271=N$1),('Diário 7º PA'!$F$5:$F$2271))+
SUMPRODUCT(-('Diário 8º PA'!$E$5:$E$2488='Analítico Cx.'!$B141),-('Diário 8º PA'!$P$5:$P$2488=N$1),('Diário 8º PA'!$F$5:$F$2488))</f>
        <v>490</v>
      </c>
      <c r="O141" s="186">
        <f t="shared" si="16"/>
        <v>3290</v>
      </c>
      <c r="P141" s="187">
        <f t="shared" si="17"/>
        <v>3.4907294806988217E-4</v>
      </c>
      <c r="Q141" s="34"/>
      <c r="R141" s="34"/>
      <c r="S141" s="34"/>
      <c r="T141" s="34"/>
      <c r="U141" s="34"/>
      <c r="V141" s="34"/>
      <c r="W141" s="34"/>
      <c r="X141" s="34"/>
      <c r="Y141" s="34"/>
      <c r="Z141" s="34"/>
    </row>
    <row r="142" spans="1:26" ht="31.5" customHeight="1" x14ac:dyDescent="0.2">
      <c r="A142" s="203" t="s">
        <v>375</v>
      </c>
      <c r="B142" s="72" t="s">
        <v>376</v>
      </c>
      <c r="C142" s="185">
        <f>SUMPRODUCT(-('Diário 5º PA'!$E$5:$E$2634='Analítico Cx.'!$B142),-('Diário 5º PA'!$P$5:$P$2634=C$1),('Diário 5º PA'!$F$5:$F$2634))+
SUMPRODUCT(-('Diário 6º PA'!$E$5:$E$2246='Analítico Cx.'!$B142),-('Diário 6º PA'!$P$5:$P$2246=C$1),('Diário 6º PA'!$F$5:$F$2246))+
SUMPRODUCT(-('Diário 7º PA'!$E$5:$E$2271='Analítico Cx.'!$B142),-('Diário 7º PA'!$P$5:$P$2271=C$1),('Diário 7º PA'!$F$5:$F$2271))+
SUMPRODUCT(-('Diário 8º PA'!$E$5:$E$2488='Analítico Cx.'!$B142),-('Diário 8º PA'!$P$5:$P$2488=C$1),('Diário 8º PA'!$F$5:$F$2488))</f>
        <v>30</v>
      </c>
      <c r="D142" s="185">
        <f>SUMPRODUCT(-('Diário 5º PA'!$E$5:$E$2634='Analítico Cx.'!$B142),-('Diário 5º PA'!$P$5:$P$2634=D$1),('Diário 5º PA'!$F$5:$F$2634))+
SUMPRODUCT(-('Diário 6º PA'!$E$5:$E$2246='Analítico Cx.'!$B142),-('Diário 6º PA'!$P$5:$P$2246=D$1),('Diário 6º PA'!$F$5:$F$2246))+
SUMPRODUCT(-('Diário 7º PA'!$E$5:$E$2271='Analítico Cx.'!$B142),-('Diário 7º PA'!$P$5:$P$2271=D$1),('Diário 7º PA'!$F$5:$F$2271))+
SUMPRODUCT(-('Diário 8º PA'!$E$5:$E$2488='Analítico Cx.'!$B142),-('Diário 8º PA'!$P$5:$P$2488=D$1),('Diário 8º PA'!$F$5:$F$2488))</f>
        <v>2000</v>
      </c>
      <c r="E142" s="185">
        <f>SUMPRODUCT(-('Diário 5º PA'!$E$5:$E$2634='Analítico Cx.'!$B142),-('Diário 5º PA'!$P$5:$P$2634=E$1),('Diário 5º PA'!$F$5:$F$2634))+
SUMPRODUCT(-('Diário 6º PA'!$E$5:$E$2246='Analítico Cx.'!$B142),-('Diário 6º PA'!$P$5:$P$2246=E$1),('Diário 6º PA'!$F$5:$F$2246))+
SUMPRODUCT(-('Diário 7º PA'!$E$5:$E$2271='Analítico Cx.'!$B142),-('Diário 7º PA'!$P$5:$P$2271=E$1),('Diário 7º PA'!$F$5:$F$2271))+
SUMPRODUCT(-('Diário 8º PA'!$E$5:$E$2488='Analítico Cx.'!$B142),-('Diário 8º PA'!$P$5:$P$2488=E$1),('Diário 8º PA'!$F$5:$F$2488))</f>
        <v>2000</v>
      </c>
      <c r="F142" s="185">
        <f>SUMPRODUCT(-('Diário 5º PA'!$E$5:$E$2634='Analítico Cx.'!$B142),-('Diário 5º PA'!$P$5:$P$2634=F$1),('Diário 5º PA'!$F$5:$F$2634))+
SUMPRODUCT(-('Diário 6º PA'!$E$5:$E$2246='Analítico Cx.'!$B142),-('Diário 6º PA'!$P$5:$P$2246=F$1),('Diário 6º PA'!$F$5:$F$2246))+
SUMPRODUCT(-('Diário 7º PA'!$E$5:$E$2271='Analítico Cx.'!$B142),-('Diário 7º PA'!$P$5:$P$2271=F$1),('Diário 7º PA'!$F$5:$F$2271))+
SUMPRODUCT(-('Diário 8º PA'!$E$5:$E$2488='Analítico Cx.'!$B142),-('Diário 8º PA'!$P$5:$P$2488=F$1),('Diário 8º PA'!$F$5:$F$2488))</f>
        <v>2000</v>
      </c>
      <c r="G142" s="185">
        <f>SUMPRODUCT(-('Diário 5º PA'!$E$5:$E$2634='Analítico Cx.'!$B142),-('Diário 5º PA'!$P$5:$P$2634=G$1),('Diário 5º PA'!$F$5:$F$2634))+
SUMPRODUCT(-('Diário 6º PA'!$E$5:$E$2246='Analítico Cx.'!$B142),-('Diário 6º PA'!$P$5:$P$2246=G$1),('Diário 6º PA'!$F$5:$F$2246))+
SUMPRODUCT(-('Diário 7º PA'!$E$5:$E$2271='Analítico Cx.'!$B142),-('Diário 7º PA'!$P$5:$P$2271=G$1),('Diário 7º PA'!$F$5:$F$2271))+
SUMPRODUCT(-('Diário 8º PA'!$E$5:$E$2488='Analítico Cx.'!$B142),-('Diário 8º PA'!$P$5:$P$2488=G$1),('Diário 8º PA'!$F$5:$F$2488))</f>
        <v>2000</v>
      </c>
      <c r="H142" s="185">
        <f>SUMPRODUCT(-('Diário 5º PA'!$E$5:$E$2634='Analítico Cx.'!$B142),-('Diário 5º PA'!$P$5:$P$2634=H$1),('Diário 5º PA'!$F$5:$F$2634))+
SUMPRODUCT(-('Diário 6º PA'!$E$5:$E$2246='Analítico Cx.'!$B142),-('Diário 6º PA'!$P$5:$P$2246=H$1),('Diário 6º PA'!$F$5:$F$2246))+
SUMPRODUCT(-('Diário 7º PA'!$E$5:$E$2271='Analítico Cx.'!$B142),-('Diário 7º PA'!$P$5:$P$2271=H$1),('Diário 7º PA'!$F$5:$F$2271))+
SUMPRODUCT(-('Diário 8º PA'!$E$5:$E$2488='Analítico Cx.'!$B142),-('Diário 8º PA'!$P$5:$P$2488=H$1),('Diário 8º PA'!$F$5:$F$2488))</f>
        <v>2000</v>
      </c>
      <c r="I142" s="185">
        <f>SUMPRODUCT(-('Diário 5º PA'!$E$5:$E$2634='Analítico Cx.'!$B142),-('Diário 5º PA'!$P$5:$P$2634=I$1),('Diário 5º PA'!$F$5:$F$2634))+
SUMPRODUCT(-('Diário 6º PA'!$E$5:$E$2246='Analítico Cx.'!$B142),-('Diário 6º PA'!$P$5:$P$2246=I$1),('Diário 6º PA'!$F$5:$F$2246))+
SUMPRODUCT(-('Diário 7º PA'!$E$5:$E$2271='Analítico Cx.'!$B142),-('Diário 7º PA'!$P$5:$P$2271=I$1),('Diário 7º PA'!$F$5:$F$2271))+
SUMPRODUCT(-('Diário 8º PA'!$E$5:$E$2488='Analítico Cx.'!$B142),-('Diário 8º PA'!$P$5:$P$2488=I$1),('Diário 8º PA'!$F$5:$F$2488))</f>
        <v>2000</v>
      </c>
      <c r="J142" s="185">
        <f>SUMPRODUCT(-('Diário 5º PA'!$E$5:$E$2634='Analítico Cx.'!$B142),-('Diário 5º PA'!$P$5:$P$2634=J$1),('Diário 5º PA'!$F$5:$F$2634))+
SUMPRODUCT(-('Diário 6º PA'!$E$5:$E$2246='Analítico Cx.'!$B142),-('Diário 6º PA'!$P$5:$P$2246=J$1),('Diário 6º PA'!$F$5:$F$2246))+
SUMPRODUCT(-('Diário 7º PA'!$E$5:$E$2271='Analítico Cx.'!$B142),-('Diário 7º PA'!$P$5:$P$2271=J$1),('Diário 7º PA'!$F$5:$F$2271))+
SUMPRODUCT(-('Diário 8º PA'!$E$5:$E$2488='Analítico Cx.'!$B142),-('Diário 8º PA'!$P$5:$P$2488=J$1),('Diário 8º PA'!$F$5:$F$2488))</f>
        <v>2000</v>
      </c>
      <c r="K142" s="185">
        <f>SUMPRODUCT(-('Diário 5º PA'!$E$5:$E$2634='Analítico Cx.'!$B142),-('Diário 5º PA'!$P$5:$P$2634=K$1),('Diário 5º PA'!$F$5:$F$2634))+
SUMPRODUCT(-('Diário 6º PA'!$E$5:$E$2246='Analítico Cx.'!$B142),-('Diário 6º PA'!$P$5:$P$2246=K$1),('Diário 6º PA'!$F$5:$F$2246))+
SUMPRODUCT(-('Diário 7º PA'!$E$5:$E$2271='Analítico Cx.'!$B142),-('Diário 7º PA'!$P$5:$P$2271=K$1),('Diário 7º PA'!$F$5:$F$2271))+
SUMPRODUCT(-('Diário 8º PA'!$E$5:$E$2488='Analítico Cx.'!$B142),-('Diário 8º PA'!$P$5:$P$2488=K$1),('Diário 8º PA'!$F$5:$F$2488))</f>
        <v>2646</v>
      </c>
      <c r="L142" s="185">
        <f>SUMPRODUCT(-('Diário 5º PA'!$E$5:$E$2634='Analítico Cx.'!$B142),-('Diário 5º PA'!$P$5:$P$2634=L$1),('Diário 5º PA'!$F$5:$F$2634))+
SUMPRODUCT(-('Diário 6º PA'!$E$5:$E$2246='Analítico Cx.'!$B142),-('Diário 6º PA'!$P$5:$P$2246=L$1),('Diário 6º PA'!$F$5:$F$2246))+
SUMPRODUCT(-('Diário 7º PA'!$E$5:$E$2271='Analítico Cx.'!$B142),-('Diário 7º PA'!$P$5:$P$2271=L$1),('Diário 7º PA'!$F$5:$F$2271))+
SUMPRODUCT(-('Diário 8º PA'!$E$5:$E$2488='Analítico Cx.'!$B142),-('Diário 8º PA'!$P$5:$P$2488=L$1),('Diário 8º PA'!$F$5:$F$2488))</f>
        <v>54</v>
      </c>
      <c r="M142" s="185">
        <f>SUMPRODUCT(-('Diário 5º PA'!$E$5:$E$2634='Analítico Cx.'!$B142),-('Diário 5º PA'!$P$5:$P$2634=M$1),('Diário 5º PA'!$F$5:$F$2634))+
SUMPRODUCT(-('Diário 6º PA'!$E$5:$E$2246='Analítico Cx.'!$B142),-('Diário 6º PA'!$P$5:$P$2246=M$1),('Diário 6º PA'!$F$5:$F$2246))+
SUMPRODUCT(-('Diário 7º PA'!$E$5:$E$2271='Analítico Cx.'!$B142),-('Diário 7º PA'!$P$5:$P$2271=M$1),('Diário 7º PA'!$F$5:$F$2271))+
SUMPRODUCT(-('Diário 8º PA'!$E$5:$E$2488='Analítico Cx.'!$B142),-('Diário 8º PA'!$P$5:$P$2488=M$1),('Diário 8º PA'!$F$5:$F$2488))</f>
        <v>0</v>
      </c>
      <c r="N142" s="185">
        <f>SUMPRODUCT(-('Diário 5º PA'!$E$5:$E$2634='Analítico Cx.'!$B142),-('Diário 5º PA'!$P$5:$P$2634=N$1),('Diário 5º PA'!$F$5:$F$2634))+
SUMPRODUCT(-('Diário 6º PA'!$E$5:$E$2246='Analítico Cx.'!$B142),-('Diário 6º PA'!$P$5:$P$2246=N$1),('Diário 6º PA'!$F$5:$F$2246))+
SUMPRODUCT(-('Diário 7º PA'!$E$5:$E$2271='Analítico Cx.'!$B142),-('Diário 7º PA'!$P$5:$P$2271=N$1),('Diário 7º PA'!$F$5:$F$2271))+
SUMPRODUCT(-('Diário 8º PA'!$E$5:$E$2488='Analítico Cx.'!$B142),-('Diário 8º PA'!$P$5:$P$2488=N$1),('Diário 8º PA'!$F$5:$F$2488))</f>
        <v>3057.6000000000004</v>
      </c>
      <c r="O142" s="186">
        <f t="shared" si="16"/>
        <v>19787.599999999999</v>
      </c>
      <c r="P142" s="187">
        <f t="shared" si="17"/>
        <v>2.099488105540304E-3</v>
      </c>
      <c r="Q142" s="34"/>
      <c r="R142" s="34"/>
      <c r="S142" s="34"/>
      <c r="T142" s="34"/>
      <c r="U142" s="34"/>
      <c r="V142" s="34"/>
      <c r="W142" s="34"/>
      <c r="X142" s="34"/>
      <c r="Y142" s="34"/>
      <c r="Z142" s="34"/>
    </row>
    <row r="143" spans="1:26" ht="28.5" customHeight="1" x14ac:dyDescent="0.2">
      <c r="A143" s="203" t="s">
        <v>377</v>
      </c>
      <c r="B143" s="72" t="s">
        <v>378</v>
      </c>
      <c r="C143" s="185">
        <f>SUMPRODUCT(-('Diário 5º PA'!$E$5:$E$2634='Analítico Cx.'!$B143),-('Diário 5º PA'!$P$5:$P$2634=C$1),('Diário 5º PA'!$F$5:$F$2634))+
SUMPRODUCT(-('Diário 6º PA'!$E$5:$E$2246='Analítico Cx.'!$B143),-('Diário 6º PA'!$P$5:$P$2246=C$1),('Diário 6º PA'!$F$5:$F$2246))+
SUMPRODUCT(-('Diário 7º PA'!$E$5:$E$2271='Analítico Cx.'!$B143),-('Diário 7º PA'!$P$5:$P$2271=C$1),('Diário 7º PA'!$F$5:$F$2271))+
SUMPRODUCT(-('Diário 8º PA'!$E$5:$E$2488='Analítico Cx.'!$B143),-('Diário 8º PA'!$P$5:$P$2488=C$1),('Diário 8º PA'!$F$5:$F$2488))</f>
        <v>0</v>
      </c>
      <c r="D143" s="185">
        <f>SUMPRODUCT(-('Diário 5º PA'!$E$5:$E$2634='Analítico Cx.'!$B143),-('Diário 5º PA'!$P$5:$P$2634=D$1),('Diário 5º PA'!$F$5:$F$2634))+
SUMPRODUCT(-('Diário 6º PA'!$E$5:$E$2246='Analítico Cx.'!$B143),-('Diário 6º PA'!$P$5:$P$2246=D$1),('Diário 6º PA'!$F$5:$F$2246))+
SUMPRODUCT(-('Diário 7º PA'!$E$5:$E$2271='Analítico Cx.'!$B143),-('Diário 7º PA'!$P$5:$P$2271=D$1),('Diário 7º PA'!$F$5:$F$2271))+
SUMPRODUCT(-('Diário 8º PA'!$E$5:$E$2488='Analítico Cx.'!$B143),-('Diário 8º PA'!$P$5:$P$2488=D$1),('Diário 8º PA'!$F$5:$F$2488))</f>
        <v>0</v>
      </c>
      <c r="E143" s="185">
        <f>SUMPRODUCT(-('Diário 5º PA'!$E$5:$E$2634='Analítico Cx.'!$B143),-('Diário 5º PA'!$P$5:$P$2634=E$1),('Diário 5º PA'!$F$5:$F$2634))+
SUMPRODUCT(-('Diário 6º PA'!$E$5:$E$2246='Analítico Cx.'!$B143),-('Diário 6º PA'!$P$5:$P$2246=E$1),('Diário 6º PA'!$F$5:$F$2246))+
SUMPRODUCT(-('Diário 7º PA'!$E$5:$E$2271='Analítico Cx.'!$B143),-('Diário 7º PA'!$P$5:$P$2271=E$1),('Diário 7º PA'!$F$5:$F$2271))+
SUMPRODUCT(-('Diário 8º PA'!$E$5:$E$2488='Analítico Cx.'!$B143),-('Diário 8º PA'!$P$5:$P$2488=E$1),('Diário 8º PA'!$F$5:$F$2488))</f>
        <v>0</v>
      </c>
      <c r="F143" s="185">
        <f>SUMPRODUCT(-('Diário 5º PA'!$E$5:$E$2634='Analítico Cx.'!$B143),-('Diário 5º PA'!$P$5:$P$2634=F$1),('Diário 5º PA'!$F$5:$F$2634))+
SUMPRODUCT(-('Diário 6º PA'!$E$5:$E$2246='Analítico Cx.'!$B143),-('Diário 6º PA'!$P$5:$P$2246=F$1),('Diário 6º PA'!$F$5:$F$2246))+
SUMPRODUCT(-('Diário 7º PA'!$E$5:$E$2271='Analítico Cx.'!$B143),-('Diário 7º PA'!$P$5:$P$2271=F$1),('Diário 7º PA'!$F$5:$F$2271))+
SUMPRODUCT(-('Diário 8º PA'!$E$5:$E$2488='Analítico Cx.'!$B143),-('Diário 8º PA'!$P$5:$P$2488=F$1),('Diário 8º PA'!$F$5:$F$2488))</f>
        <v>0</v>
      </c>
      <c r="G143" s="185">
        <f>SUMPRODUCT(-('Diário 5º PA'!$E$5:$E$2634='Analítico Cx.'!$B143),-('Diário 5º PA'!$P$5:$P$2634=G$1),('Diário 5º PA'!$F$5:$F$2634))+
SUMPRODUCT(-('Diário 6º PA'!$E$5:$E$2246='Analítico Cx.'!$B143),-('Diário 6º PA'!$P$5:$P$2246=G$1),('Diário 6º PA'!$F$5:$F$2246))+
SUMPRODUCT(-('Diário 7º PA'!$E$5:$E$2271='Analítico Cx.'!$B143),-('Diário 7º PA'!$P$5:$P$2271=G$1),('Diário 7º PA'!$F$5:$F$2271))+
SUMPRODUCT(-('Diário 8º PA'!$E$5:$E$2488='Analítico Cx.'!$B143),-('Diário 8º PA'!$P$5:$P$2488=G$1),('Diário 8º PA'!$F$5:$F$2488))</f>
        <v>0</v>
      </c>
      <c r="H143" s="185">
        <f>SUMPRODUCT(-('Diário 5º PA'!$E$5:$E$2634='Analítico Cx.'!$B143),-('Diário 5º PA'!$P$5:$P$2634=H$1),('Diário 5º PA'!$F$5:$F$2634))+
SUMPRODUCT(-('Diário 6º PA'!$E$5:$E$2246='Analítico Cx.'!$B143),-('Diário 6º PA'!$P$5:$P$2246=H$1),('Diário 6º PA'!$F$5:$F$2246))+
SUMPRODUCT(-('Diário 7º PA'!$E$5:$E$2271='Analítico Cx.'!$B143),-('Diário 7º PA'!$P$5:$P$2271=H$1),('Diário 7º PA'!$F$5:$F$2271))+
SUMPRODUCT(-('Diário 8º PA'!$E$5:$E$2488='Analítico Cx.'!$B143),-('Diário 8º PA'!$P$5:$P$2488=H$1),('Diário 8º PA'!$F$5:$F$2488))</f>
        <v>0</v>
      </c>
      <c r="I143" s="185">
        <f>SUMPRODUCT(-('Diário 5º PA'!$E$5:$E$2634='Analítico Cx.'!$B143),-('Diário 5º PA'!$P$5:$P$2634=I$1),('Diário 5º PA'!$F$5:$F$2634))+
SUMPRODUCT(-('Diário 6º PA'!$E$5:$E$2246='Analítico Cx.'!$B143),-('Diário 6º PA'!$P$5:$P$2246=I$1),('Diário 6º PA'!$F$5:$F$2246))+
SUMPRODUCT(-('Diário 7º PA'!$E$5:$E$2271='Analítico Cx.'!$B143),-('Diário 7º PA'!$P$5:$P$2271=I$1),('Diário 7º PA'!$F$5:$F$2271))+
SUMPRODUCT(-('Diário 8º PA'!$E$5:$E$2488='Analítico Cx.'!$B143),-('Diário 8º PA'!$P$5:$P$2488=I$1),('Diário 8º PA'!$F$5:$F$2488))</f>
        <v>0</v>
      </c>
      <c r="J143" s="185">
        <f>SUMPRODUCT(-('Diário 5º PA'!$E$5:$E$2634='Analítico Cx.'!$B143),-('Diário 5º PA'!$P$5:$P$2634=J$1),('Diário 5º PA'!$F$5:$F$2634))+
SUMPRODUCT(-('Diário 6º PA'!$E$5:$E$2246='Analítico Cx.'!$B143),-('Diário 6º PA'!$P$5:$P$2246=J$1),('Diário 6º PA'!$F$5:$F$2246))+
SUMPRODUCT(-('Diário 7º PA'!$E$5:$E$2271='Analítico Cx.'!$B143),-('Diário 7º PA'!$P$5:$P$2271=J$1),('Diário 7º PA'!$F$5:$F$2271))+
SUMPRODUCT(-('Diário 8º PA'!$E$5:$E$2488='Analítico Cx.'!$B143),-('Diário 8º PA'!$P$5:$P$2488=J$1),('Diário 8º PA'!$F$5:$F$2488))</f>
        <v>0</v>
      </c>
      <c r="K143" s="185">
        <f>SUMPRODUCT(-('Diário 5º PA'!$E$5:$E$2634='Analítico Cx.'!$B143),-('Diário 5º PA'!$P$5:$P$2634=K$1),('Diário 5º PA'!$F$5:$F$2634))+
SUMPRODUCT(-('Diário 6º PA'!$E$5:$E$2246='Analítico Cx.'!$B143),-('Diário 6º PA'!$P$5:$P$2246=K$1),('Diário 6º PA'!$F$5:$F$2246))+
SUMPRODUCT(-('Diário 7º PA'!$E$5:$E$2271='Analítico Cx.'!$B143),-('Diário 7º PA'!$P$5:$P$2271=K$1),('Diário 7º PA'!$F$5:$F$2271))+
SUMPRODUCT(-('Diário 8º PA'!$E$5:$E$2488='Analítico Cx.'!$B143),-('Diário 8º PA'!$P$5:$P$2488=K$1),('Diário 8º PA'!$F$5:$F$2488))</f>
        <v>0</v>
      </c>
      <c r="L143" s="185">
        <f>SUMPRODUCT(-('Diário 5º PA'!$E$5:$E$2634='Analítico Cx.'!$B143),-('Diário 5º PA'!$P$5:$P$2634=L$1),('Diário 5º PA'!$F$5:$F$2634))+
SUMPRODUCT(-('Diário 6º PA'!$E$5:$E$2246='Analítico Cx.'!$B143),-('Diário 6º PA'!$P$5:$P$2246=L$1),('Diário 6º PA'!$F$5:$F$2246))+
SUMPRODUCT(-('Diário 7º PA'!$E$5:$E$2271='Analítico Cx.'!$B143),-('Diário 7º PA'!$P$5:$P$2271=L$1),('Diário 7º PA'!$F$5:$F$2271))+
SUMPRODUCT(-('Diário 8º PA'!$E$5:$E$2488='Analítico Cx.'!$B143),-('Diário 8º PA'!$P$5:$P$2488=L$1),('Diário 8º PA'!$F$5:$F$2488))</f>
        <v>0</v>
      </c>
      <c r="M143" s="185">
        <f>SUMPRODUCT(-('Diário 5º PA'!$E$5:$E$2634='Analítico Cx.'!$B143),-('Diário 5º PA'!$P$5:$P$2634=M$1),('Diário 5º PA'!$F$5:$F$2634))+
SUMPRODUCT(-('Diário 6º PA'!$E$5:$E$2246='Analítico Cx.'!$B143),-('Diário 6º PA'!$P$5:$P$2246=M$1),('Diário 6º PA'!$F$5:$F$2246))+
SUMPRODUCT(-('Diário 7º PA'!$E$5:$E$2271='Analítico Cx.'!$B143),-('Diário 7º PA'!$P$5:$P$2271=M$1),('Diário 7º PA'!$F$5:$F$2271))+
SUMPRODUCT(-('Diário 8º PA'!$E$5:$E$2488='Analítico Cx.'!$B143),-('Diário 8º PA'!$P$5:$P$2488=M$1),('Diário 8º PA'!$F$5:$F$2488))</f>
        <v>0</v>
      </c>
      <c r="N143" s="185">
        <f>SUMPRODUCT(-('Diário 5º PA'!$E$5:$E$2634='Analítico Cx.'!$B143),-('Diário 5º PA'!$P$5:$P$2634=N$1),('Diário 5º PA'!$F$5:$F$2634))+
SUMPRODUCT(-('Diário 6º PA'!$E$5:$E$2246='Analítico Cx.'!$B143),-('Diário 6º PA'!$P$5:$P$2246=N$1),('Diário 6º PA'!$F$5:$F$2246))+
SUMPRODUCT(-('Diário 7º PA'!$E$5:$E$2271='Analítico Cx.'!$B143),-('Diário 7º PA'!$P$5:$P$2271=N$1),('Diário 7º PA'!$F$5:$F$2271))+
SUMPRODUCT(-('Diário 8º PA'!$E$5:$E$2488='Analítico Cx.'!$B143),-('Diário 8º PA'!$P$5:$P$2488=N$1),('Diário 8º PA'!$F$5:$F$2488))</f>
        <v>783.92</v>
      </c>
      <c r="O143" s="186">
        <f t="shared" si="16"/>
        <v>783.92</v>
      </c>
      <c r="P143" s="187">
        <f t="shared" si="17"/>
        <v>8.3174852720651075E-5</v>
      </c>
      <c r="Q143" s="34"/>
      <c r="R143" s="34"/>
      <c r="S143" s="34"/>
      <c r="T143" s="34"/>
      <c r="U143" s="34"/>
      <c r="V143" s="34"/>
      <c r="W143" s="34"/>
      <c r="X143" s="34"/>
      <c r="Y143" s="34"/>
      <c r="Z143" s="34"/>
    </row>
    <row r="144" spans="1:26" ht="12.75" customHeight="1" x14ac:dyDescent="0.2">
      <c r="A144" s="203" t="s">
        <v>379</v>
      </c>
      <c r="B144" s="72" t="s">
        <v>380</v>
      </c>
      <c r="C144" s="185">
        <f>SUMPRODUCT(-('Diário 5º PA'!$E$5:$E$2634='Analítico Cx.'!$B144),-('Diário 5º PA'!$P$5:$P$2634=C$1),('Diário 5º PA'!$F$5:$F$2634))+
SUMPRODUCT(-('Diário 6º PA'!$E$5:$E$2246='Analítico Cx.'!$B144),-('Diário 6º PA'!$P$5:$P$2246=C$1),('Diário 6º PA'!$F$5:$F$2246))+
SUMPRODUCT(-('Diário 7º PA'!$E$5:$E$2271='Analítico Cx.'!$B144),-('Diário 7º PA'!$P$5:$P$2271=C$1),('Diário 7º PA'!$F$5:$F$2271))+
SUMPRODUCT(-('Diário 8º PA'!$E$5:$E$2488='Analítico Cx.'!$B144),-('Diário 8º PA'!$P$5:$P$2488=C$1),('Diário 8º PA'!$F$5:$F$2488))</f>
        <v>520.28</v>
      </c>
      <c r="D144" s="185">
        <f>SUMPRODUCT(-('Diário 5º PA'!$E$5:$E$2634='Analítico Cx.'!$B144),-('Diário 5º PA'!$P$5:$P$2634=D$1),('Diário 5º PA'!$F$5:$F$2634))+
SUMPRODUCT(-('Diário 6º PA'!$E$5:$E$2246='Analítico Cx.'!$B144),-('Diário 6º PA'!$P$5:$P$2246=D$1),('Diário 6º PA'!$F$5:$F$2246))+
SUMPRODUCT(-('Diário 7º PA'!$E$5:$E$2271='Analítico Cx.'!$B144),-('Diário 7º PA'!$P$5:$P$2271=D$1),('Diário 7º PA'!$F$5:$F$2271))+
SUMPRODUCT(-('Diário 8º PA'!$E$5:$E$2488='Analítico Cx.'!$B144),-('Diário 8º PA'!$P$5:$P$2488=D$1),('Diário 8º PA'!$F$5:$F$2488))</f>
        <v>0</v>
      </c>
      <c r="E144" s="185">
        <f>SUMPRODUCT(-('Diário 5º PA'!$E$5:$E$2634='Analítico Cx.'!$B144),-('Diário 5º PA'!$P$5:$P$2634=E$1),('Diário 5º PA'!$F$5:$F$2634))+
SUMPRODUCT(-('Diário 6º PA'!$E$5:$E$2246='Analítico Cx.'!$B144),-('Diário 6º PA'!$P$5:$P$2246=E$1),('Diário 6º PA'!$F$5:$F$2246))+
SUMPRODUCT(-('Diário 7º PA'!$E$5:$E$2271='Analítico Cx.'!$B144),-('Diário 7º PA'!$P$5:$P$2271=E$1),('Diário 7º PA'!$F$5:$F$2271))+
SUMPRODUCT(-('Diário 8º PA'!$E$5:$E$2488='Analítico Cx.'!$B144),-('Diário 8º PA'!$P$5:$P$2488=E$1),('Diário 8º PA'!$F$5:$F$2488))</f>
        <v>0</v>
      </c>
      <c r="F144" s="185">
        <f>SUMPRODUCT(-('Diário 5º PA'!$E$5:$E$2634='Analítico Cx.'!$B144),-('Diário 5º PA'!$P$5:$P$2634=F$1),('Diário 5º PA'!$F$5:$F$2634))+
SUMPRODUCT(-('Diário 6º PA'!$E$5:$E$2246='Analítico Cx.'!$B144),-('Diário 6º PA'!$P$5:$P$2246=F$1),('Diário 6º PA'!$F$5:$F$2246))+
SUMPRODUCT(-('Diário 7º PA'!$E$5:$E$2271='Analítico Cx.'!$B144),-('Diário 7º PA'!$P$5:$P$2271=F$1),('Diário 7º PA'!$F$5:$F$2271))+
SUMPRODUCT(-('Diário 8º PA'!$E$5:$E$2488='Analítico Cx.'!$B144),-('Diário 8º PA'!$P$5:$P$2488=F$1),('Diário 8º PA'!$F$5:$F$2488))</f>
        <v>0</v>
      </c>
      <c r="G144" s="185">
        <f>SUMPRODUCT(-('Diário 5º PA'!$E$5:$E$2634='Analítico Cx.'!$B144),-('Diário 5º PA'!$P$5:$P$2634=G$1),('Diário 5º PA'!$F$5:$F$2634))+
SUMPRODUCT(-('Diário 6º PA'!$E$5:$E$2246='Analítico Cx.'!$B144),-('Diário 6º PA'!$P$5:$P$2246=G$1),('Diário 6º PA'!$F$5:$F$2246))+
SUMPRODUCT(-('Diário 7º PA'!$E$5:$E$2271='Analítico Cx.'!$B144),-('Diário 7º PA'!$P$5:$P$2271=G$1),('Diário 7º PA'!$F$5:$F$2271))+
SUMPRODUCT(-('Diário 8º PA'!$E$5:$E$2488='Analítico Cx.'!$B144),-('Diário 8º PA'!$P$5:$P$2488=G$1),('Diário 8º PA'!$F$5:$F$2488))</f>
        <v>0</v>
      </c>
      <c r="H144" s="185">
        <f>SUMPRODUCT(-('Diário 5º PA'!$E$5:$E$2634='Analítico Cx.'!$B144),-('Diário 5º PA'!$P$5:$P$2634=H$1),('Diário 5º PA'!$F$5:$F$2634))+
SUMPRODUCT(-('Diário 6º PA'!$E$5:$E$2246='Analítico Cx.'!$B144),-('Diário 6º PA'!$P$5:$P$2246=H$1),('Diário 6º PA'!$F$5:$F$2246))+
SUMPRODUCT(-('Diário 7º PA'!$E$5:$E$2271='Analítico Cx.'!$B144),-('Diário 7º PA'!$P$5:$P$2271=H$1),('Diário 7º PA'!$F$5:$F$2271))+
SUMPRODUCT(-('Diário 8º PA'!$E$5:$E$2488='Analítico Cx.'!$B144),-('Diário 8º PA'!$P$5:$P$2488=H$1),('Diário 8º PA'!$F$5:$F$2488))</f>
        <v>0</v>
      </c>
      <c r="I144" s="185">
        <f>SUMPRODUCT(-('Diário 5º PA'!$E$5:$E$2634='Analítico Cx.'!$B144),-('Diário 5º PA'!$P$5:$P$2634=I$1),('Diário 5º PA'!$F$5:$F$2634))+
SUMPRODUCT(-('Diário 6º PA'!$E$5:$E$2246='Analítico Cx.'!$B144),-('Diário 6º PA'!$P$5:$P$2246=I$1),('Diário 6º PA'!$F$5:$F$2246))+
SUMPRODUCT(-('Diário 7º PA'!$E$5:$E$2271='Analítico Cx.'!$B144),-('Diário 7º PA'!$P$5:$P$2271=I$1),('Diário 7º PA'!$F$5:$F$2271))+
SUMPRODUCT(-('Diário 8º PA'!$E$5:$E$2488='Analítico Cx.'!$B144),-('Diário 8º PA'!$P$5:$P$2488=I$1),('Diário 8º PA'!$F$5:$F$2488))</f>
        <v>170.9</v>
      </c>
      <c r="J144" s="185">
        <f>SUMPRODUCT(-('Diário 5º PA'!$E$5:$E$2634='Analítico Cx.'!$B144),-('Diário 5º PA'!$P$5:$P$2634=J$1),('Diário 5º PA'!$F$5:$F$2634))+
SUMPRODUCT(-('Diário 6º PA'!$E$5:$E$2246='Analítico Cx.'!$B144),-('Diário 6º PA'!$P$5:$P$2246=J$1),('Diário 6º PA'!$F$5:$F$2246))+
SUMPRODUCT(-('Diário 7º PA'!$E$5:$E$2271='Analítico Cx.'!$B144),-('Diário 7º PA'!$P$5:$P$2271=J$1),('Diário 7º PA'!$F$5:$F$2271))+
SUMPRODUCT(-('Diário 8º PA'!$E$5:$E$2488='Analítico Cx.'!$B144),-('Diário 8º PA'!$P$5:$P$2488=J$1),('Diário 8º PA'!$F$5:$F$2488))</f>
        <v>0</v>
      </c>
      <c r="K144" s="185">
        <f>SUMPRODUCT(-('Diário 5º PA'!$E$5:$E$2634='Analítico Cx.'!$B144),-('Diário 5º PA'!$P$5:$P$2634=K$1),('Diário 5º PA'!$F$5:$F$2634))+
SUMPRODUCT(-('Diário 6º PA'!$E$5:$E$2246='Analítico Cx.'!$B144),-('Diário 6º PA'!$P$5:$P$2246=K$1),('Diário 6º PA'!$F$5:$F$2246))+
SUMPRODUCT(-('Diário 7º PA'!$E$5:$E$2271='Analítico Cx.'!$B144),-('Diário 7º PA'!$P$5:$P$2271=K$1),('Diário 7º PA'!$F$5:$F$2271))+
SUMPRODUCT(-('Diário 8º PA'!$E$5:$E$2488='Analítico Cx.'!$B144),-('Diário 8º PA'!$P$5:$P$2488=K$1),('Diário 8º PA'!$F$5:$F$2488))</f>
        <v>0</v>
      </c>
      <c r="L144" s="185">
        <f>SUMPRODUCT(-('Diário 5º PA'!$E$5:$E$2634='Analítico Cx.'!$B144),-('Diário 5º PA'!$P$5:$P$2634=L$1),('Diário 5º PA'!$F$5:$F$2634))+
SUMPRODUCT(-('Diário 6º PA'!$E$5:$E$2246='Analítico Cx.'!$B144),-('Diário 6º PA'!$P$5:$P$2246=L$1),('Diário 6º PA'!$F$5:$F$2246))+
SUMPRODUCT(-('Diário 7º PA'!$E$5:$E$2271='Analítico Cx.'!$B144),-('Diário 7º PA'!$P$5:$P$2271=L$1),('Diário 7º PA'!$F$5:$F$2271))+
SUMPRODUCT(-('Diário 8º PA'!$E$5:$E$2488='Analítico Cx.'!$B144),-('Diário 8º PA'!$P$5:$P$2488=L$1),('Diário 8º PA'!$F$5:$F$2488))</f>
        <v>0</v>
      </c>
      <c r="M144" s="185">
        <f>SUMPRODUCT(-('Diário 5º PA'!$E$5:$E$2634='Analítico Cx.'!$B144),-('Diário 5º PA'!$P$5:$P$2634=M$1),('Diário 5º PA'!$F$5:$F$2634))+
SUMPRODUCT(-('Diário 6º PA'!$E$5:$E$2246='Analítico Cx.'!$B144),-('Diário 6º PA'!$P$5:$P$2246=M$1),('Diário 6º PA'!$F$5:$F$2246))+
SUMPRODUCT(-('Diário 7º PA'!$E$5:$E$2271='Analítico Cx.'!$B144),-('Diário 7º PA'!$P$5:$P$2271=M$1),('Diário 7º PA'!$F$5:$F$2271))+
SUMPRODUCT(-('Diário 8º PA'!$E$5:$E$2488='Analítico Cx.'!$B144),-('Diário 8º PA'!$P$5:$P$2488=M$1),('Diário 8º PA'!$F$5:$F$2488))</f>
        <v>0</v>
      </c>
      <c r="N144" s="185">
        <f>SUMPRODUCT(-('Diário 5º PA'!$E$5:$E$2634='Analítico Cx.'!$B144),-('Diário 5º PA'!$P$5:$P$2634=N$1),('Diário 5º PA'!$F$5:$F$2634))+
SUMPRODUCT(-('Diário 6º PA'!$E$5:$E$2246='Analítico Cx.'!$B144),-('Diário 6º PA'!$P$5:$P$2246=N$1),('Diário 6º PA'!$F$5:$F$2246))+
SUMPRODUCT(-('Diário 7º PA'!$E$5:$E$2271='Analítico Cx.'!$B144),-('Diário 7º PA'!$P$5:$P$2271=N$1),('Diário 7º PA'!$F$5:$F$2271))+
SUMPRODUCT(-('Diário 8º PA'!$E$5:$E$2488='Analítico Cx.'!$B144),-('Diário 8º PA'!$P$5:$P$2488=N$1),('Diário 8º PA'!$F$5:$F$2488))</f>
        <v>0</v>
      </c>
      <c r="O144" s="186">
        <f t="shared" si="16"/>
        <v>691.18</v>
      </c>
      <c r="P144" s="187">
        <f t="shared" si="17"/>
        <v>7.3335027430681196E-5</v>
      </c>
      <c r="Q144" s="34"/>
      <c r="R144" s="34"/>
      <c r="S144" s="34"/>
      <c r="T144" s="34"/>
      <c r="U144" s="34"/>
      <c r="V144" s="34"/>
      <c r="W144" s="34"/>
      <c r="X144" s="34"/>
      <c r="Y144" s="34"/>
      <c r="Z144" s="34"/>
    </row>
    <row r="145" spans="1:26" ht="24" customHeight="1" x14ac:dyDescent="0.2">
      <c r="A145" s="203" t="s">
        <v>381</v>
      </c>
      <c r="B145" s="72" t="s">
        <v>382</v>
      </c>
      <c r="C145" s="185">
        <f>SUMPRODUCT(-('Diário 5º PA'!$E$5:$E$2634='Analítico Cx.'!$B145),-('Diário 5º PA'!$P$5:$P$2634=C$1),('Diário 5º PA'!$F$5:$F$2634))+
SUMPRODUCT(-('Diário 6º PA'!$E$5:$E$2246='Analítico Cx.'!$B145),-('Diário 6º PA'!$P$5:$P$2246=C$1),('Diário 6º PA'!$F$5:$F$2246))+
SUMPRODUCT(-('Diário 7º PA'!$E$5:$E$2271='Analítico Cx.'!$B145),-('Diário 7º PA'!$P$5:$P$2271=C$1),('Diário 7º PA'!$F$5:$F$2271))+
SUMPRODUCT(-('Diário 8º PA'!$E$5:$E$2488='Analítico Cx.'!$B145),-('Diário 8º PA'!$P$5:$P$2488=C$1),('Diário 8º PA'!$F$5:$F$2488))</f>
        <v>0</v>
      </c>
      <c r="D145" s="185">
        <f>SUMPRODUCT(-('Diário 5º PA'!$E$5:$E$2634='Analítico Cx.'!$B145),-('Diário 5º PA'!$P$5:$P$2634=D$1),('Diário 5º PA'!$F$5:$F$2634))+
SUMPRODUCT(-('Diário 6º PA'!$E$5:$E$2246='Analítico Cx.'!$B145),-('Diário 6º PA'!$P$5:$P$2246=D$1),('Diário 6º PA'!$F$5:$F$2246))+
SUMPRODUCT(-('Diário 7º PA'!$E$5:$E$2271='Analítico Cx.'!$B145),-('Diário 7º PA'!$P$5:$P$2271=D$1),('Diário 7º PA'!$F$5:$F$2271))+
SUMPRODUCT(-('Diário 8º PA'!$E$5:$E$2488='Analítico Cx.'!$B145),-('Diário 8º PA'!$P$5:$P$2488=D$1),('Diário 8º PA'!$F$5:$F$2488))</f>
        <v>0</v>
      </c>
      <c r="E145" s="185">
        <f>SUMPRODUCT(-('Diário 5º PA'!$E$5:$E$2634='Analítico Cx.'!$B145),-('Diário 5º PA'!$P$5:$P$2634=E$1),('Diário 5º PA'!$F$5:$F$2634))+
SUMPRODUCT(-('Diário 6º PA'!$E$5:$E$2246='Analítico Cx.'!$B145),-('Diário 6º PA'!$P$5:$P$2246=E$1),('Diário 6º PA'!$F$5:$F$2246))+
SUMPRODUCT(-('Diário 7º PA'!$E$5:$E$2271='Analítico Cx.'!$B145),-('Diário 7º PA'!$P$5:$P$2271=E$1),('Diário 7º PA'!$F$5:$F$2271))+
SUMPRODUCT(-('Diário 8º PA'!$E$5:$E$2488='Analítico Cx.'!$B145),-('Diário 8º PA'!$P$5:$P$2488=E$1),('Diário 8º PA'!$F$5:$F$2488))</f>
        <v>15704.99</v>
      </c>
      <c r="F145" s="185">
        <f>SUMPRODUCT(-('Diário 5º PA'!$E$5:$E$2634='Analítico Cx.'!$B145),-('Diário 5º PA'!$P$5:$P$2634=F$1),('Diário 5º PA'!$F$5:$F$2634))+
SUMPRODUCT(-('Diário 6º PA'!$E$5:$E$2246='Analítico Cx.'!$B145),-('Diário 6º PA'!$P$5:$P$2246=F$1),('Diário 6º PA'!$F$5:$F$2246))+
SUMPRODUCT(-('Diário 7º PA'!$E$5:$E$2271='Analítico Cx.'!$B145),-('Diário 7º PA'!$P$5:$P$2271=F$1),('Diário 7º PA'!$F$5:$F$2271))+
SUMPRODUCT(-('Diário 8º PA'!$E$5:$E$2488='Analítico Cx.'!$B145),-('Diário 8º PA'!$P$5:$P$2488=F$1),('Diário 8º PA'!$F$5:$F$2488))</f>
        <v>0</v>
      </c>
      <c r="G145" s="185">
        <f>SUMPRODUCT(-('Diário 5º PA'!$E$5:$E$2634='Analítico Cx.'!$B145),-('Diário 5º PA'!$P$5:$P$2634=G$1),('Diário 5º PA'!$F$5:$F$2634))+
SUMPRODUCT(-('Diário 6º PA'!$E$5:$E$2246='Analítico Cx.'!$B145),-('Diário 6º PA'!$P$5:$P$2246=G$1),('Diário 6º PA'!$F$5:$F$2246))+
SUMPRODUCT(-('Diário 7º PA'!$E$5:$E$2271='Analítico Cx.'!$B145),-('Diário 7º PA'!$P$5:$P$2271=G$1),('Diário 7º PA'!$F$5:$F$2271))+
SUMPRODUCT(-('Diário 8º PA'!$E$5:$E$2488='Analítico Cx.'!$B145),-('Diário 8º PA'!$P$5:$P$2488=G$1),('Diário 8º PA'!$F$5:$F$2488))</f>
        <v>1099.98</v>
      </c>
      <c r="H145" s="185">
        <f>SUMPRODUCT(-('Diário 5º PA'!$E$5:$E$2634='Analítico Cx.'!$B145),-('Diário 5º PA'!$P$5:$P$2634=H$1),('Diário 5º PA'!$F$5:$F$2634))+
SUMPRODUCT(-('Diário 6º PA'!$E$5:$E$2246='Analítico Cx.'!$B145),-('Diário 6º PA'!$P$5:$P$2246=H$1),('Diário 6º PA'!$F$5:$F$2246))+
SUMPRODUCT(-('Diário 7º PA'!$E$5:$E$2271='Analítico Cx.'!$B145),-('Diário 7º PA'!$P$5:$P$2271=H$1),('Diário 7º PA'!$F$5:$F$2271))+
SUMPRODUCT(-('Diário 8º PA'!$E$5:$E$2488='Analítico Cx.'!$B145),-('Diário 8º PA'!$P$5:$P$2488=H$1),('Diário 8º PA'!$F$5:$F$2488))</f>
        <v>23.02</v>
      </c>
      <c r="I145" s="185">
        <f>SUMPRODUCT(-('Diário 5º PA'!$E$5:$E$2634='Analítico Cx.'!$B145),-('Diário 5º PA'!$P$5:$P$2634=I$1),('Diário 5º PA'!$F$5:$F$2634))+
SUMPRODUCT(-('Diário 6º PA'!$E$5:$E$2246='Analítico Cx.'!$B145),-('Diário 6º PA'!$P$5:$P$2246=I$1),('Diário 6º PA'!$F$5:$F$2246))+
SUMPRODUCT(-('Diário 7º PA'!$E$5:$E$2271='Analítico Cx.'!$B145),-('Diário 7º PA'!$P$5:$P$2271=I$1),('Diário 7º PA'!$F$5:$F$2271))+
SUMPRODUCT(-('Diário 8º PA'!$E$5:$E$2488='Analítico Cx.'!$B145),-('Diário 8º PA'!$P$5:$P$2488=I$1),('Diário 8º PA'!$F$5:$F$2488))</f>
        <v>0</v>
      </c>
      <c r="J145" s="185">
        <f>SUMPRODUCT(-('Diário 5º PA'!$E$5:$E$2634='Analítico Cx.'!$B145),-('Diário 5º PA'!$P$5:$P$2634=J$1),('Diário 5º PA'!$F$5:$F$2634))+
SUMPRODUCT(-('Diário 6º PA'!$E$5:$E$2246='Analítico Cx.'!$B145),-('Diário 6º PA'!$P$5:$P$2246=J$1),('Diário 6º PA'!$F$5:$F$2246))+
SUMPRODUCT(-('Diário 7º PA'!$E$5:$E$2271='Analítico Cx.'!$B145),-('Diário 7º PA'!$P$5:$P$2271=J$1),('Diário 7º PA'!$F$5:$F$2271))+
SUMPRODUCT(-('Diário 8º PA'!$E$5:$E$2488='Analítico Cx.'!$B145),-('Diário 8º PA'!$P$5:$P$2488=J$1),('Diário 8º PA'!$F$5:$F$2488))</f>
        <v>230.6</v>
      </c>
      <c r="K145" s="185">
        <f>SUMPRODUCT(-('Diário 5º PA'!$E$5:$E$2634='Analítico Cx.'!$B145),-('Diário 5º PA'!$P$5:$P$2634=K$1),('Diário 5º PA'!$F$5:$F$2634))+
SUMPRODUCT(-('Diário 6º PA'!$E$5:$E$2246='Analítico Cx.'!$B145),-('Diário 6º PA'!$P$5:$P$2246=K$1),('Diário 6º PA'!$F$5:$F$2246))+
SUMPRODUCT(-('Diário 7º PA'!$E$5:$E$2271='Analítico Cx.'!$B145),-('Diário 7º PA'!$P$5:$P$2271=K$1),('Diário 7º PA'!$F$5:$F$2271))+
SUMPRODUCT(-('Diário 8º PA'!$E$5:$E$2488='Analítico Cx.'!$B145),-('Diário 8º PA'!$P$5:$P$2488=K$1),('Diário 8º PA'!$F$5:$F$2488))</f>
        <v>1121.98</v>
      </c>
      <c r="L145" s="185">
        <f>SUMPRODUCT(-('Diário 5º PA'!$E$5:$E$2634='Analítico Cx.'!$B145),-('Diário 5º PA'!$P$5:$P$2634=L$1),('Diário 5º PA'!$F$5:$F$2634))+
SUMPRODUCT(-('Diário 6º PA'!$E$5:$E$2246='Analítico Cx.'!$B145),-('Diário 6º PA'!$P$5:$P$2246=L$1),('Diário 6º PA'!$F$5:$F$2246))+
SUMPRODUCT(-('Diário 7º PA'!$E$5:$E$2271='Analítico Cx.'!$B145),-('Diário 7º PA'!$P$5:$P$2271=L$1),('Diário 7º PA'!$F$5:$F$2271))+
SUMPRODUCT(-('Diário 8º PA'!$E$5:$E$2488='Analítico Cx.'!$B145),-('Diário 8º PA'!$P$5:$P$2488=L$1),('Diário 8º PA'!$F$5:$F$2488))</f>
        <v>2471.4</v>
      </c>
      <c r="M145" s="185">
        <f>SUMPRODUCT(-('Diário 5º PA'!$E$5:$E$2634='Analítico Cx.'!$B145),-('Diário 5º PA'!$P$5:$P$2634=M$1),('Diário 5º PA'!$F$5:$F$2634))+
SUMPRODUCT(-('Diário 6º PA'!$E$5:$E$2246='Analítico Cx.'!$B145),-('Diário 6º PA'!$P$5:$P$2246=M$1),('Diário 6º PA'!$F$5:$F$2246))+
SUMPRODUCT(-('Diário 7º PA'!$E$5:$E$2271='Analítico Cx.'!$B145),-('Diário 7º PA'!$P$5:$P$2271=M$1),('Diário 7º PA'!$F$5:$F$2271))+
SUMPRODUCT(-('Diário 8º PA'!$E$5:$E$2488='Analítico Cx.'!$B145),-('Diário 8º PA'!$P$5:$P$2488=M$1),('Diário 8º PA'!$F$5:$F$2488))</f>
        <v>1483.47</v>
      </c>
      <c r="N145" s="185">
        <f>SUMPRODUCT(-('Diário 5º PA'!$E$5:$E$2634='Analítico Cx.'!$B145),-('Diário 5º PA'!$P$5:$P$2634=N$1),('Diário 5º PA'!$F$5:$F$2634))+
SUMPRODUCT(-('Diário 6º PA'!$E$5:$E$2246='Analítico Cx.'!$B145),-('Diário 6º PA'!$P$5:$P$2246=N$1),('Diário 6º PA'!$F$5:$F$2246))+
SUMPRODUCT(-('Diário 7º PA'!$E$5:$E$2271='Analítico Cx.'!$B145),-('Diário 7º PA'!$P$5:$P$2271=N$1),('Diário 7º PA'!$F$5:$F$2271))+
SUMPRODUCT(-('Diário 8º PA'!$E$5:$E$2488='Analítico Cx.'!$B145),-('Diário 8º PA'!$P$5:$P$2488=N$1),('Diário 8º PA'!$F$5:$F$2488))</f>
        <v>868.57999999999993</v>
      </c>
      <c r="O145" s="186">
        <f t="shared" si="16"/>
        <v>23004.020000000004</v>
      </c>
      <c r="P145" s="187">
        <f t="shared" si="17"/>
        <v>2.4407541273126238E-3</v>
      </c>
      <c r="Q145" s="34"/>
      <c r="R145" s="34"/>
      <c r="S145" s="34"/>
      <c r="T145" s="34"/>
      <c r="U145" s="34"/>
      <c r="V145" s="34"/>
      <c r="W145" s="34"/>
      <c r="X145" s="34"/>
      <c r="Y145" s="34"/>
      <c r="Z145" s="34"/>
    </row>
    <row r="146" spans="1:26" ht="30" customHeight="1" x14ac:dyDescent="0.2">
      <c r="A146" s="203" t="s">
        <v>383</v>
      </c>
      <c r="B146" s="72" t="s">
        <v>384</v>
      </c>
      <c r="C146" s="185">
        <f>SUMPRODUCT(-('Diário 5º PA'!$E$5:$E$2634='Analítico Cx.'!$B146),-('Diário 5º PA'!$P$5:$P$2634=C$1),('Diário 5º PA'!$F$5:$F$2634))+
SUMPRODUCT(-('Diário 6º PA'!$E$5:$E$2246='Analítico Cx.'!$B146),-('Diário 6º PA'!$P$5:$P$2246=C$1),('Diário 6º PA'!$F$5:$F$2246))+
SUMPRODUCT(-('Diário 7º PA'!$E$5:$E$2271='Analítico Cx.'!$B146),-('Diário 7º PA'!$P$5:$P$2271=C$1),('Diário 7º PA'!$F$5:$F$2271))+
SUMPRODUCT(-('Diário 8º PA'!$E$5:$E$2488='Analítico Cx.'!$B146),-('Diário 8º PA'!$P$5:$P$2488=C$1),('Diário 8º PA'!$F$5:$F$2488))</f>
        <v>4750</v>
      </c>
      <c r="D146" s="185">
        <f>SUMPRODUCT(-('Diário 5º PA'!$E$5:$E$2634='Analítico Cx.'!$B146),-('Diário 5º PA'!$P$5:$P$2634=D$1),('Diário 5º PA'!$F$5:$F$2634))+
SUMPRODUCT(-('Diário 6º PA'!$E$5:$E$2246='Analítico Cx.'!$B146),-('Diário 6º PA'!$P$5:$P$2246=D$1),('Diário 6º PA'!$F$5:$F$2246))+
SUMPRODUCT(-('Diário 7º PA'!$E$5:$E$2271='Analítico Cx.'!$B146),-('Diário 7º PA'!$P$5:$P$2271=D$1),('Diário 7º PA'!$F$5:$F$2271))+
SUMPRODUCT(-('Diário 8º PA'!$E$5:$E$2488='Analítico Cx.'!$B146),-('Diário 8º PA'!$P$5:$P$2488=D$1),('Diário 8º PA'!$F$5:$F$2488))</f>
        <v>95</v>
      </c>
      <c r="E146" s="185">
        <f>SUMPRODUCT(-('Diário 5º PA'!$E$5:$E$2634='Analítico Cx.'!$B146),-('Diário 5º PA'!$P$5:$P$2634=E$1),('Diário 5º PA'!$F$5:$F$2634))+
SUMPRODUCT(-('Diário 6º PA'!$E$5:$E$2246='Analítico Cx.'!$B146),-('Diário 6º PA'!$P$5:$P$2246=E$1),('Diário 6º PA'!$F$5:$F$2246))+
SUMPRODUCT(-('Diário 7º PA'!$E$5:$E$2271='Analítico Cx.'!$B146),-('Diário 7º PA'!$P$5:$P$2271=E$1),('Diário 7º PA'!$F$5:$F$2271))+
SUMPRODUCT(-('Diário 8º PA'!$E$5:$E$2488='Analítico Cx.'!$B146),-('Diário 8º PA'!$P$5:$P$2488=E$1),('Diário 8º PA'!$F$5:$F$2488))</f>
        <v>0</v>
      </c>
      <c r="F146" s="185">
        <f>SUMPRODUCT(-('Diário 5º PA'!$E$5:$E$2634='Analítico Cx.'!$B146),-('Diário 5º PA'!$P$5:$P$2634=F$1),('Diário 5º PA'!$F$5:$F$2634))+
SUMPRODUCT(-('Diário 6º PA'!$E$5:$E$2246='Analítico Cx.'!$B146),-('Diário 6º PA'!$P$5:$P$2246=F$1),('Diário 6º PA'!$F$5:$F$2246))+
SUMPRODUCT(-('Diário 7º PA'!$E$5:$E$2271='Analítico Cx.'!$B146),-('Diário 7º PA'!$P$5:$P$2271=F$1),('Diário 7º PA'!$F$5:$F$2271))+
SUMPRODUCT(-('Diário 8º PA'!$E$5:$E$2488='Analítico Cx.'!$B146),-('Diário 8º PA'!$P$5:$P$2488=F$1),('Diário 8º PA'!$F$5:$F$2488))</f>
        <v>5144.47</v>
      </c>
      <c r="G146" s="185">
        <f>SUMPRODUCT(-('Diário 5º PA'!$E$5:$E$2634='Analítico Cx.'!$B146),-('Diário 5º PA'!$P$5:$P$2634=G$1),('Diário 5º PA'!$F$5:$F$2634))+
SUMPRODUCT(-('Diário 6º PA'!$E$5:$E$2246='Analítico Cx.'!$B146),-('Diário 6º PA'!$P$5:$P$2246=G$1),('Diário 6º PA'!$F$5:$F$2246))+
SUMPRODUCT(-('Diário 7º PA'!$E$5:$E$2271='Analítico Cx.'!$B146),-('Diário 7º PA'!$P$5:$P$2271=G$1),('Diário 7º PA'!$F$5:$F$2271))+
SUMPRODUCT(-('Diário 8º PA'!$E$5:$E$2488='Analítico Cx.'!$B146),-('Diário 8º PA'!$P$5:$P$2488=G$1),('Diário 8º PA'!$F$5:$F$2488))</f>
        <v>105.53</v>
      </c>
      <c r="H146" s="185">
        <f>SUMPRODUCT(-('Diário 5º PA'!$E$5:$E$2634='Analítico Cx.'!$B146),-('Diário 5º PA'!$P$5:$P$2634=H$1),('Diário 5º PA'!$F$5:$F$2634))+
SUMPRODUCT(-('Diário 6º PA'!$E$5:$E$2246='Analítico Cx.'!$B146),-('Diário 6º PA'!$P$5:$P$2246=H$1),('Diário 6º PA'!$F$5:$F$2246))+
SUMPRODUCT(-('Diário 7º PA'!$E$5:$E$2271='Analítico Cx.'!$B146),-('Diário 7º PA'!$P$5:$P$2271=H$1),('Diário 7º PA'!$F$5:$F$2271))+
SUMPRODUCT(-('Diário 8º PA'!$E$5:$E$2488='Analítico Cx.'!$B146),-('Diário 8º PA'!$P$5:$P$2488=H$1),('Diário 8º PA'!$F$5:$F$2488))</f>
        <v>5144.47</v>
      </c>
      <c r="I146" s="185">
        <f>SUMPRODUCT(-('Diário 5º PA'!$E$5:$E$2634='Analítico Cx.'!$B146),-('Diário 5º PA'!$P$5:$P$2634=I$1),('Diário 5º PA'!$F$5:$F$2634))+
SUMPRODUCT(-('Diário 6º PA'!$E$5:$E$2246='Analítico Cx.'!$B146),-('Diário 6º PA'!$P$5:$P$2246=I$1),('Diário 6º PA'!$F$5:$F$2246))+
SUMPRODUCT(-('Diário 7º PA'!$E$5:$E$2271='Analítico Cx.'!$B146),-('Diário 7º PA'!$P$5:$P$2271=I$1),('Diário 7º PA'!$F$5:$F$2271))+
SUMPRODUCT(-('Diário 8º PA'!$E$5:$E$2488='Analítico Cx.'!$B146),-('Diário 8º PA'!$P$5:$P$2488=I$1),('Diário 8º PA'!$F$5:$F$2488))</f>
        <v>105.53</v>
      </c>
      <c r="J146" s="185">
        <f>SUMPRODUCT(-('Diário 5º PA'!$E$5:$E$2634='Analítico Cx.'!$B146),-('Diário 5º PA'!$P$5:$P$2634=J$1),('Diário 5º PA'!$F$5:$F$2634))+
SUMPRODUCT(-('Diário 6º PA'!$E$5:$E$2246='Analítico Cx.'!$B146),-('Diário 6º PA'!$P$5:$P$2246=J$1),('Diário 6º PA'!$F$5:$F$2246))+
SUMPRODUCT(-('Diário 7º PA'!$E$5:$E$2271='Analítico Cx.'!$B146),-('Diário 7º PA'!$P$5:$P$2271=J$1),('Diário 7º PA'!$F$5:$F$2271))+
SUMPRODUCT(-('Diário 8º PA'!$E$5:$E$2488='Analítico Cx.'!$B146),-('Diário 8º PA'!$P$5:$P$2488=J$1),('Diário 8º PA'!$F$5:$F$2488))</f>
        <v>4948.49</v>
      </c>
      <c r="K146" s="185">
        <f>SUMPRODUCT(-('Diário 5º PA'!$E$5:$E$2634='Analítico Cx.'!$B146),-('Diário 5º PA'!$P$5:$P$2634=K$1),('Diário 5º PA'!$F$5:$F$2634))+
SUMPRODUCT(-('Diário 6º PA'!$E$5:$E$2246='Analítico Cx.'!$B146),-('Diário 6º PA'!$P$5:$P$2246=K$1),('Diário 6º PA'!$F$5:$F$2246))+
SUMPRODUCT(-('Diário 7º PA'!$E$5:$E$2271='Analítico Cx.'!$B146),-('Diário 7º PA'!$P$5:$P$2271=K$1),('Diário 7º PA'!$F$5:$F$2271))+
SUMPRODUCT(-('Diário 8º PA'!$E$5:$E$2488='Analítico Cx.'!$B146),-('Diário 8º PA'!$P$5:$P$2488=K$1),('Diário 8º PA'!$F$5:$F$2488))</f>
        <v>101.51</v>
      </c>
      <c r="L146" s="185">
        <f>SUMPRODUCT(-('Diário 5º PA'!$E$5:$E$2634='Analítico Cx.'!$B146),-('Diário 5º PA'!$P$5:$P$2634=L$1),('Diário 5º PA'!$F$5:$F$2634))+
SUMPRODUCT(-('Diário 6º PA'!$E$5:$E$2246='Analítico Cx.'!$B146),-('Diário 6º PA'!$P$5:$P$2246=L$1),('Diário 6º PA'!$F$5:$F$2246))+
SUMPRODUCT(-('Diário 7º PA'!$E$5:$E$2271='Analítico Cx.'!$B146),-('Diário 7º PA'!$P$5:$P$2271=L$1),('Diário 7º PA'!$F$5:$F$2271))+
SUMPRODUCT(-('Diário 8º PA'!$E$5:$E$2488='Analítico Cx.'!$B146),-('Diário 8º PA'!$P$5:$P$2488=L$1),('Diário 8º PA'!$F$5:$F$2488))</f>
        <v>0</v>
      </c>
      <c r="M146" s="185">
        <f>SUMPRODUCT(-('Diário 5º PA'!$E$5:$E$2634='Analítico Cx.'!$B146),-('Diário 5º PA'!$P$5:$P$2634=M$1),('Diário 5º PA'!$F$5:$F$2634))+
SUMPRODUCT(-('Diário 6º PA'!$E$5:$E$2246='Analítico Cx.'!$B146),-('Diário 6º PA'!$P$5:$P$2246=M$1),('Diário 6º PA'!$F$5:$F$2246))+
SUMPRODUCT(-('Diário 7º PA'!$E$5:$E$2271='Analítico Cx.'!$B146),-('Diário 7º PA'!$P$5:$P$2271=M$1),('Diário 7º PA'!$F$5:$F$2271))+
SUMPRODUCT(-('Diário 8º PA'!$E$5:$E$2488='Analítico Cx.'!$B146),-('Diário 8º PA'!$P$5:$P$2488=M$1),('Diário 8º PA'!$F$5:$F$2488))</f>
        <v>0</v>
      </c>
      <c r="N146" s="185">
        <f>SUMPRODUCT(-('Diário 5º PA'!$E$5:$E$2634='Analítico Cx.'!$B146),-('Diário 5º PA'!$P$5:$P$2634=N$1),('Diário 5º PA'!$F$5:$F$2634))+
SUMPRODUCT(-('Diário 6º PA'!$E$5:$E$2246='Analítico Cx.'!$B146),-('Diário 6º PA'!$P$5:$P$2246=N$1),('Diário 6º PA'!$F$5:$F$2246))+
SUMPRODUCT(-('Diário 7º PA'!$E$5:$E$2271='Analítico Cx.'!$B146),-('Diário 7º PA'!$P$5:$P$2271=N$1),('Diário 7º PA'!$F$5:$F$2271))+
SUMPRODUCT(-('Diário 8º PA'!$E$5:$E$2488='Analítico Cx.'!$B146),-('Diário 8º PA'!$P$5:$P$2488=N$1),('Diário 8º PA'!$F$5:$F$2488))</f>
        <v>0</v>
      </c>
      <c r="O146" s="186">
        <f t="shared" si="16"/>
        <v>20395</v>
      </c>
      <c r="P146" s="187">
        <f t="shared" si="17"/>
        <v>2.1639339744332058E-3</v>
      </c>
      <c r="Q146" s="34"/>
      <c r="R146" s="34"/>
      <c r="S146" s="34"/>
      <c r="T146" s="34"/>
      <c r="U146" s="34"/>
      <c r="V146" s="34"/>
      <c r="W146" s="34"/>
      <c r="X146" s="34"/>
      <c r="Y146" s="34"/>
      <c r="Z146" s="34"/>
    </row>
    <row r="147" spans="1:26" ht="12.75" customHeight="1" x14ac:dyDescent="0.2">
      <c r="A147" s="203" t="s">
        <v>385</v>
      </c>
      <c r="B147" s="72" t="s">
        <v>386</v>
      </c>
      <c r="C147" s="185">
        <f>SUMPRODUCT(-('Diário 5º PA'!$E$5:$E$2634='Analítico Cx.'!$B147),-('Diário 5º PA'!$P$5:$P$2634=C$1),('Diário 5º PA'!$F$5:$F$2634))+
SUMPRODUCT(-('Diário 6º PA'!$E$5:$E$2246='Analítico Cx.'!$B147),-('Diário 6º PA'!$P$5:$P$2246=C$1),('Diário 6º PA'!$F$5:$F$2246))+
SUMPRODUCT(-('Diário 7º PA'!$E$5:$E$2271='Analítico Cx.'!$B147),-('Diário 7º PA'!$P$5:$P$2271=C$1),('Diário 7º PA'!$F$5:$F$2271))+
SUMPRODUCT(-('Diário 8º PA'!$E$5:$E$2488='Analítico Cx.'!$B147),-('Diário 8º PA'!$P$5:$P$2488=C$1),('Diário 8º PA'!$F$5:$F$2488))</f>
        <v>0</v>
      </c>
      <c r="D147" s="185">
        <f>SUMPRODUCT(-('Diário 5º PA'!$E$5:$E$2634='Analítico Cx.'!$B147),-('Diário 5º PA'!$P$5:$P$2634=D$1),('Diário 5º PA'!$F$5:$F$2634))+
SUMPRODUCT(-('Diário 6º PA'!$E$5:$E$2246='Analítico Cx.'!$B147),-('Diário 6º PA'!$P$5:$P$2246=D$1),('Diário 6º PA'!$F$5:$F$2246))+
SUMPRODUCT(-('Diário 7º PA'!$E$5:$E$2271='Analítico Cx.'!$B147),-('Diário 7º PA'!$P$5:$P$2271=D$1),('Diário 7º PA'!$F$5:$F$2271))+
SUMPRODUCT(-('Diário 8º PA'!$E$5:$E$2488='Analítico Cx.'!$B147),-('Diário 8º PA'!$P$5:$P$2488=D$1),('Diário 8º PA'!$F$5:$F$2488))</f>
        <v>0</v>
      </c>
      <c r="E147" s="185">
        <f>SUMPRODUCT(-('Diário 5º PA'!$E$5:$E$2634='Analítico Cx.'!$B147),-('Diário 5º PA'!$P$5:$P$2634=E$1),('Diário 5º PA'!$F$5:$F$2634))+
SUMPRODUCT(-('Diário 6º PA'!$E$5:$E$2246='Analítico Cx.'!$B147),-('Diário 6º PA'!$P$5:$P$2246=E$1),('Diário 6º PA'!$F$5:$F$2246))+
SUMPRODUCT(-('Diário 7º PA'!$E$5:$E$2271='Analítico Cx.'!$B147),-('Diário 7º PA'!$P$5:$P$2271=E$1),('Diário 7º PA'!$F$5:$F$2271))+
SUMPRODUCT(-('Diário 8º PA'!$E$5:$E$2488='Analítico Cx.'!$B147),-('Diário 8º PA'!$P$5:$P$2488=E$1),('Diário 8º PA'!$F$5:$F$2488))</f>
        <v>0</v>
      </c>
      <c r="F147" s="185">
        <f>SUMPRODUCT(-('Diário 5º PA'!$E$5:$E$2634='Analítico Cx.'!$B147),-('Diário 5º PA'!$P$5:$P$2634=F$1),('Diário 5º PA'!$F$5:$F$2634))+
SUMPRODUCT(-('Diário 6º PA'!$E$5:$E$2246='Analítico Cx.'!$B147),-('Diário 6º PA'!$P$5:$P$2246=F$1),('Diário 6º PA'!$F$5:$F$2246))+
SUMPRODUCT(-('Diário 7º PA'!$E$5:$E$2271='Analítico Cx.'!$B147),-('Diário 7º PA'!$P$5:$P$2271=F$1),('Diário 7º PA'!$F$5:$F$2271))+
SUMPRODUCT(-('Diário 8º PA'!$E$5:$E$2488='Analítico Cx.'!$B147),-('Diário 8º PA'!$P$5:$P$2488=F$1),('Diário 8º PA'!$F$5:$F$2488))</f>
        <v>0</v>
      </c>
      <c r="G147" s="185">
        <f>SUMPRODUCT(-('Diário 5º PA'!$E$5:$E$2634='Analítico Cx.'!$B147),-('Diário 5º PA'!$P$5:$P$2634=G$1),('Diário 5º PA'!$F$5:$F$2634))+
SUMPRODUCT(-('Diário 6º PA'!$E$5:$E$2246='Analítico Cx.'!$B147),-('Diário 6º PA'!$P$5:$P$2246=G$1),('Diário 6º PA'!$F$5:$F$2246))+
SUMPRODUCT(-('Diário 7º PA'!$E$5:$E$2271='Analítico Cx.'!$B147),-('Diário 7º PA'!$P$5:$P$2271=G$1),('Diário 7º PA'!$F$5:$F$2271))+
SUMPRODUCT(-('Diário 8º PA'!$E$5:$E$2488='Analítico Cx.'!$B147),-('Diário 8º PA'!$P$5:$P$2488=G$1),('Diário 8º PA'!$F$5:$F$2488))</f>
        <v>3842.54</v>
      </c>
      <c r="H147" s="185">
        <f>SUMPRODUCT(-('Diário 5º PA'!$E$5:$E$2634='Analítico Cx.'!$B147),-('Diário 5º PA'!$P$5:$P$2634=H$1),('Diário 5º PA'!$F$5:$F$2634))+
SUMPRODUCT(-('Diário 6º PA'!$E$5:$E$2246='Analítico Cx.'!$B147),-('Diário 6º PA'!$P$5:$P$2246=H$1),('Diário 6º PA'!$F$5:$F$2246))+
SUMPRODUCT(-('Diário 7º PA'!$E$5:$E$2271='Analítico Cx.'!$B147),-('Diário 7º PA'!$P$5:$P$2271=H$1),('Diário 7º PA'!$F$5:$F$2271))+
SUMPRODUCT(-('Diário 8º PA'!$E$5:$E$2488='Analítico Cx.'!$B147),-('Diário 8º PA'!$P$5:$P$2488=H$1),('Diário 8º PA'!$F$5:$F$2488))</f>
        <v>4440.01</v>
      </c>
      <c r="I147" s="185">
        <f>SUMPRODUCT(-('Diário 5º PA'!$E$5:$E$2634='Analítico Cx.'!$B147),-('Diário 5º PA'!$P$5:$P$2634=I$1),('Diário 5º PA'!$F$5:$F$2634))+
SUMPRODUCT(-('Diário 6º PA'!$E$5:$E$2246='Analítico Cx.'!$B147),-('Diário 6º PA'!$P$5:$P$2246=I$1),('Diário 6º PA'!$F$5:$F$2246))+
SUMPRODUCT(-('Diário 7º PA'!$E$5:$E$2271='Analítico Cx.'!$B147),-('Diário 7º PA'!$P$5:$P$2271=I$1),('Diário 7º PA'!$F$5:$F$2271))+
SUMPRODUCT(-('Diário 8º PA'!$E$5:$E$2488='Analítico Cx.'!$B147),-('Diário 8º PA'!$P$5:$P$2488=I$1),('Diário 8º PA'!$F$5:$F$2488))</f>
        <v>1327.05</v>
      </c>
      <c r="J147" s="185">
        <f>SUMPRODUCT(-('Diário 5º PA'!$E$5:$E$2634='Analítico Cx.'!$B147),-('Diário 5º PA'!$P$5:$P$2634=J$1),('Diário 5º PA'!$F$5:$F$2634))+
SUMPRODUCT(-('Diário 6º PA'!$E$5:$E$2246='Analítico Cx.'!$B147),-('Diário 6º PA'!$P$5:$P$2246=J$1),('Diário 6º PA'!$F$5:$F$2246))+
SUMPRODUCT(-('Diário 7º PA'!$E$5:$E$2271='Analítico Cx.'!$B147),-('Diário 7º PA'!$P$5:$P$2271=J$1),('Diário 7º PA'!$F$5:$F$2271))+
SUMPRODUCT(-('Diário 8º PA'!$E$5:$E$2488='Analítico Cx.'!$B147),-('Diário 8º PA'!$P$5:$P$2488=J$1),('Diário 8º PA'!$F$5:$F$2488))</f>
        <v>3842.54</v>
      </c>
      <c r="K147" s="185">
        <f>SUMPRODUCT(-('Diário 5º PA'!$E$5:$E$2634='Analítico Cx.'!$B147),-('Diário 5º PA'!$P$5:$P$2634=K$1),('Diário 5º PA'!$F$5:$F$2634))+
SUMPRODUCT(-('Diário 6º PA'!$E$5:$E$2246='Analítico Cx.'!$B147),-('Diário 6º PA'!$P$5:$P$2246=K$1),('Diário 6º PA'!$F$5:$F$2246))+
SUMPRODUCT(-('Diário 7º PA'!$E$5:$E$2271='Analítico Cx.'!$B147),-('Diário 7º PA'!$P$5:$P$2271=K$1),('Diário 7º PA'!$F$5:$F$2271))+
SUMPRODUCT(-('Diário 8º PA'!$E$5:$E$2488='Analítico Cx.'!$B147),-('Diário 8º PA'!$P$5:$P$2488=K$1),('Diário 8º PA'!$F$5:$F$2488))</f>
        <v>1677.46</v>
      </c>
      <c r="L147" s="185">
        <f>SUMPRODUCT(-('Diário 5º PA'!$E$5:$E$2634='Analítico Cx.'!$B147),-('Diário 5º PA'!$P$5:$P$2634=L$1),('Diário 5º PA'!$F$5:$F$2634))+
SUMPRODUCT(-('Diário 6º PA'!$E$5:$E$2246='Analítico Cx.'!$B147),-('Diário 6º PA'!$P$5:$P$2246=L$1),('Diário 6º PA'!$F$5:$F$2246))+
SUMPRODUCT(-('Diário 7º PA'!$E$5:$E$2271='Analítico Cx.'!$B147),-('Diário 7º PA'!$P$5:$P$2271=L$1),('Diário 7º PA'!$F$5:$F$2271))+
SUMPRODUCT(-('Diário 8º PA'!$E$5:$E$2488='Analítico Cx.'!$B147),-('Diário 8º PA'!$P$5:$P$2488=L$1),('Diário 8º PA'!$F$5:$F$2488))</f>
        <v>0</v>
      </c>
      <c r="M147" s="185">
        <f>SUMPRODUCT(-('Diário 5º PA'!$E$5:$E$2634='Analítico Cx.'!$B147),-('Diário 5º PA'!$P$5:$P$2634=M$1),('Diário 5º PA'!$F$5:$F$2634))+
SUMPRODUCT(-('Diário 6º PA'!$E$5:$E$2246='Analítico Cx.'!$B147),-('Diário 6º PA'!$P$5:$P$2246=M$1),('Diário 6º PA'!$F$5:$F$2246))+
SUMPRODUCT(-('Diário 7º PA'!$E$5:$E$2271='Analítico Cx.'!$B147),-('Diário 7º PA'!$P$5:$P$2271=M$1),('Diário 7º PA'!$F$5:$F$2271))+
SUMPRODUCT(-('Diário 8º PA'!$E$5:$E$2488='Analítico Cx.'!$B147),-('Diário 8º PA'!$P$5:$P$2488=M$1),('Diário 8º PA'!$F$5:$F$2488))</f>
        <v>0</v>
      </c>
      <c r="N147" s="185">
        <f>SUMPRODUCT(-('Diário 5º PA'!$E$5:$E$2634='Analítico Cx.'!$B147),-('Diário 5º PA'!$P$5:$P$2634=N$1),('Diário 5º PA'!$F$5:$F$2634))+
SUMPRODUCT(-('Diário 6º PA'!$E$5:$E$2246='Analítico Cx.'!$B147),-('Diário 6º PA'!$P$5:$P$2246=N$1),('Diário 6º PA'!$F$5:$F$2246))+
SUMPRODUCT(-('Diário 7º PA'!$E$5:$E$2271='Analítico Cx.'!$B147),-('Diário 7º PA'!$P$5:$P$2271=N$1),('Diário 7º PA'!$F$5:$F$2271))+
SUMPRODUCT(-('Diário 8º PA'!$E$5:$E$2488='Analítico Cx.'!$B147),-('Diário 8º PA'!$P$5:$P$2488=N$1),('Diário 8º PA'!$F$5:$F$2488))</f>
        <v>0</v>
      </c>
      <c r="O147" s="186">
        <f t="shared" si="16"/>
        <v>15129.599999999999</v>
      </c>
      <c r="P147" s="187">
        <f t="shared" si="17"/>
        <v>1.6052687158413645E-3</v>
      </c>
      <c r="Q147" s="34"/>
      <c r="R147" s="34"/>
      <c r="S147" s="34"/>
      <c r="T147" s="34"/>
      <c r="U147" s="34"/>
      <c r="V147" s="34"/>
      <c r="W147" s="34"/>
      <c r="X147" s="34"/>
      <c r="Y147" s="34"/>
      <c r="Z147" s="34"/>
    </row>
    <row r="148" spans="1:26" ht="23.25" customHeight="1" x14ac:dyDescent="0.2">
      <c r="A148" s="223"/>
      <c r="B148" s="224" t="s">
        <v>387</v>
      </c>
      <c r="C148" s="191">
        <f t="shared" ref="C148:O148" si="18">SUBTOTAL(109,C58:C147)</f>
        <v>336291.73000000004</v>
      </c>
      <c r="D148" s="191">
        <f t="shared" si="18"/>
        <v>199312.23000000004</v>
      </c>
      <c r="E148" s="191">
        <f t="shared" si="18"/>
        <v>147334.16999999998</v>
      </c>
      <c r="F148" s="191">
        <f t="shared" si="18"/>
        <v>196873.11899999998</v>
      </c>
      <c r="G148" s="191">
        <f t="shared" si="18"/>
        <v>241791.64000000004</v>
      </c>
      <c r="H148" s="191">
        <f t="shared" si="18"/>
        <v>357249.13</v>
      </c>
      <c r="I148" s="191">
        <f t="shared" si="18"/>
        <v>330817.98</v>
      </c>
      <c r="J148" s="191">
        <f t="shared" si="18"/>
        <v>317065.67999999993</v>
      </c>
      <c r="K148" s="191">
        <f t="shared" si="18"/>
        <v>232015.83999999997</v>
      </c>
      <c r="L148" s="191">
        <f t="shared" si="18"/>
        <v>242644.08</v>
      </c>
      <c r="M148" s="191">
        <f t="shared" si="18"/>
        <v>297418.93</v>
      </c>
      <c r="N148" s="191">
        <f t="shared" si="18"/>
        <v>186096.47000000006</v>
      </c>
      <c r="O148" s="191">
        <f t="shared" si="18"/>
        <v>3084910.9990000003</v>
      </c>
      <c r="P148" s="225">
        <f t="shared" si="17"/>
        <v>0.32731275895262474</v>
      </c>
      <c r="Q148" s="34"/>
      <c r="R148" s="34"/>
      <c r="S148" s="34"/>
      <c r="T148" s="34"/>
      <c r="U148" s="34"/>
      <c r="V148" s="34"/>
      <c r="W148" s="34"/>
      <c r="X148" s="34"/>
      <c r="Y148" s="34"/>
      <c r="Z148" s="34"/>
    </row>
    <row r="149" spans="1:26" ht="23.25" customHeight="1" x14ac:dyDescent="0.2">
      <c r="A149" s="226" t="s">
        <v>100</v>
      </c>
      <c r="B149" s="85" t="s">
        <v>101</v>
      </c>
      <c r="C149" s="222"/>
      <c r="D149" s="222"/>
      <c r="E149" s="222"/>
      <c r="F149" s="222"/>
      <c r="G149" s="222"/>
      <c r="H149" s="222"/>
      <c r="I149" s="222"/>
      <c r="J149" s="222"/>
      <c r="K149" s="222"/>
      <c r="L149" s="222"/>
      <c r="M149" s="222"/>
      <c r="N149" s="222"/>
      <c r="O149" s="222"/>
      <c r="P149" s="180"/>
      <c r="Q149" s="34"/>
      <c r="R149" s="34"/>
      <c r="S149" s="34"/>
      <c r="T149" s="34"/>
      <c r="U149" s="34"/>
      <c r="V149" s="34"/>
      <c r="W149" s="34"/>
      <c r="X149" s="34"/>
      <c r="Y149" s="34"/>
      <c r="Z149" s="34"/>
    </row>
    <row r="150" spans="1:26" ht="23.25" customHeight="1" x14ac:dyDescent="0.2">
      <c r="A150" s="203" t="s">
        <v>388</v>
      </c>
      <c r="B150" s="204" t="s">
        <v>389</v>
      </c>
      <c r="C150" s="185">
        <f>SUMPRODUCT(-('Diário 5º PA'!$E$5:$E$2634='Analítico Cx.'!$B150),-('Diário 5º PA'!$P$5:$P$2634=C$1),('Diário 5º PA'!$F$5:$F$2634))+
SUMPRODUCT(-('Diário 6º PA'!$E$5:$E$2246='Analítico Cx.'!$B150),-('Diário 6º PA'!$P$5:$P$2246=C$1),('Diário 6º PA'!$F$5:$F$2246))+
SUMPRODUCT(-('Diário 7º PA'!$E$5:$E$2271='Analítico Cx.'!$B150),-('Diário 7º PA'!$P$5:$P$2271=C$1),('Diário 7º PA'!$F$5:$F$2271))+
SUMPRODUCT(-('Diário 8º PA'!$E$5:$E$2488='Analítico Cx.'!$B150),-('Diário 8º PA'!$P$5:$P$2488=C$1),('Diário 8º PA'!$F$5:$F$2488))</f>
        <v>0</v>
      </c>
      <c r="D150" s="185">
        <f>SUMPRODUCT(-('Diário 5º PA'!$E$5:$E$2634='Analítico Cx.'!$B150),-('Diário 5º PA'!$P$5:$P$2634=D$1),('Diário 5º PA'!$F$5:$F$2634))+
SUMPRODUCT(-('Diário 6º PA'!$E$5:$E$2246='Analítico Cx.'!$B150),-('Diário 6º PA'!$P$5:$P$2246=D$1),('Diário 6º PA'!$F$5:$F$2246))+
SUMPRODUCT(-('Diário 7º PA'!$E$5:$E$2271='Analítico Cx.'!$B150),-('Diário 7º PA'!$P$5:$P$2271=D$1),('Diário 7º PA'!$F$5:$F$2271))+
SUMPRODUCT(-('Diário 8º PA'!$E$5:$E$2488='Analítico Cx.'!$B150),-('Diário 8º PA'!$P$5:$P$2488=D$1),('Diário 8º PA'!$F$5:$F$2488))</f>
        <v>0</v>
      </c>
      <c r="E150" s="185">
        <f>SUMPRODUCT(-('Diário 5º PA'!$E$5:$E$2634='Analítico Cx.'!$B150),-('Diário 5º PA'!$P$5:$P$2634=E$1),('Diário 5º PA'!$F$5:$F$2634))+
SUMPRODUCT(-('Diário 6º PA'!$E$5:$E$2246='Analítico Cx.'!$B150),-('Diário 6º PA'!$P$5:$P$2246=E$1),('Diário 6º PA'!$F$5:$F$2246))+
SUMPRODUCT(-('Diário 7º PA'!$E$5:$E$2271='Analítico Cx.'!$B150),-('Diário 7º PA'!$P$5:$P$2271=E$1),('Diário 7º PA'!$F$5:$F$2271))+
SUMPRODUCT(-('Diário 8º PA'!$E$5:$E$2488='Analítico Cx.'!$B150),-('Diário 8º PA'!$P$5:$P$2488=E$1),('Diário 8º PA'!$F$5:$F$2488))</f>
        <v>0</v>
      </c>
      <c r="F150" s="185">
        <f>SUMPRODUCT(-('Diário 5º PA'!$E$5:$E$2634='Analítico Cx.'!$B150),-('Diário 5º PA'!$P$5:$P$2634=F$1),('Diário 5º PA'!$F$5:$F$2634))+
SUMPRODUCT(-('Diário 6º PA'!$E$5:$E$2246='Analítico Cx.'!$B150),-('Diário 6º PA'!$P$5:$P$2246=F$1),('Diário 6º PA'!$F$5:$F$2246))+
SUMPRODUCT(-('Diário 7º PA'!$E$5:$E$2271='Analítico Cx.'!$B150),-('Diário 7º PA'!$P$5:$P$2271=F$1),('Diário 7º PA'!$F$5:$F$2271))+
SUMPRODUCT(-('Diário 8º PA'!$E$5:$E$2488='Analítico Cx.'!$B150),-('Diário 8º PA'!$P$5:$P$2488=F$1),('Diário 8º PA'!$F$5:$F$2488))</f>
        <v>0</v>
      </c>
      <c r="G150" s="185">
        <f>SUMPRODUCT(-('Diário 5º PA'!$E$5:$E$2634='Analítico Cx.'!$B150),-('Diário 5º PA'!$P$5:$P$2634=G$1),('Diário 5º PA'!$F$5:$F$2634))+
SUMPRODUCT(-('Diário 6º PA'!$E$5:$E$2246='Analítico Cx.'!$B150),-('Diário 6º PA'!$P$5:$P$2246=G$1),('Diário 6º PA'!$F$5:$F$2246))+
SUMPRODUCT(-('Diário 7º PA'!$E$5:$E$2271='Analítico Cx.'!$B150),-('Diário 7º PA'!$P$5:$P$2271=G$1),('Diário 7º PA'!$F$5:$F$2271))+
SUMPRODUCT(-('Diário 8º PA'!$E$5:$E$2488='Analítico Cx.'!$B150),-('Diário 8º PA'!$P$5:$P$2488=G$1),('Diário 8º PA'!$F$5:$F$2488))</f>
        <v>0</v>
      </c>
      <c r="H150" s="185">
        <f>SUMPRODUCT(-('Diário 5º PA'!$E$5:$E$2634='Analítico Cx.'!$B150),-('Diário 5º PA'!$P$5:$P$2634=H$1),('Diário 5º PA'!$F$5:$F$2634))+
SUMPRODUCT(-('Diário 6º PA'!$E$5:$E$2246='Analítico Cx.'!$B150),-('Diário 6º PA'!$P$5:$P$2246=H$1),('Diário 6º PA'!$F$5:$F$2246))+
SUMPRODUCT(-('Diário 7º PA'!$E$5:$E$2271='Analítico Cx.'!$B150),-('Diário 7º PA'!$P$5:$P$2271=H$1),('Diário 7º PA'!$F$5:$F$2271))+
SUMPRODUCT(-('Diário 8º PA'!$E$5:$E$2488='Analítico Cx.'!$B150),-('Diário 8º PA'!$P$5:$P$2488=H$1),('Diário 8º PA'!$F$5:$F$2488))</f>
        <v>0</v>
      </c>
      <c r="I150" s="185">
        <f>SUMPRODUCT(-('Diário 5º PA'!$E$5:$E$2634='Analítico Cx.'!$B150),-('Diário 5º PA'!$P$5:$P$2634=I$1),('Diário 5º PA'!$F$5:$F$2634))+
SUMPRODUCT(-('Diário 6º PA'!$E$5:$E$2246='Analítico Cx.'!$B150),-('Diário 6º PA'!$P$5:$P$2246=I$1),('Diário 6º PA'!$F$5:$F$2246))+
SUMPRODUCT(-('Diário 7º PA'!$E$5:$E$2271='Analítico Cx.'!$B150),-('Diário 7º PA'!$P$5:$P$2271=I$1),('Diário 7º PA'!$F$5:$F$2271))+
SUMPRODUCT(-('Diário 8º PA'!$E$5:$E$2488='Analítico Cx.'!$B150),-('Diário 8º PA'!$P$5:$P$2488=I$1),('Diário 8º PA'!$F$5:$F$2488))</f>
        <v>0</v>
      </c>
      <c r="J150" s="185">
        <f>SUMPRODUCT(-('Diário 5º PA'!$E$5:$E$2634='Analítico Cx.'!$B150),-('Diário 5º PA'!$P$5:$P$2634=J$1),('Diário 5º PA'!$F$5:$F$2634))+
SUMPRODUCT(-('Diário 6º PA'!$E$5:$E$2246='Analítico Cx.'!$B150),-('Diário 6º PA'!$P$5:$P$2246=J$1),('Diário 6º PA'!$F$5:$F$2246))+
SUMPRODUCT(-('Diário 7º PA'!$E$5:$E$2271='Analítico Cx.'!$B150),-('Diário 7º PA'!$P$5:$P$2271=J$1),('Diário 7º PA'!$F$5:$F$2271))+
SUMPRODUCT(-('Diário 8º PA'!$E$5:$E$2488='Analítico Cx.'!$B150),-('Diário 8º PA'!$P$5:$P$2488=J$1),('Diário 8º PA'!$F$5:$F$2488))</f>
        <v>0</v>
      </c>
      <c r="K150" s="185">
        <f>SUMPRODUCT(-('Diário 5º PA'!$E$5:$E$2634='Analítico Cx.'!$B150),-('Diário 5º PA'!$P$5:$P$2634=K$1),('Diário 5º PA'!$F$5:$F$2634))+
SUMPRODUCT(-('Diário 6º PA'!$E$5:$E$2246='Analítico Cx.'!$B150),-('Diário 6º PA'!$P$5:$P$2246=K$1),('Diário 6º PA'!$F$5:$F$2246))+
SUMPRODUCT(-('Diário 7º PA'!$E$5:$E$2271='Analítico Cx.'!$B150),-('Diário 7º PA'!$P$5:$P$2271=K$1),('Diário 7º PA'!$F$5:$F$2271))+
SUMPRODUCT(-('Diário 8º PA'!$E$5:$E$2488='Analítico Cx.'!$B150),-('Diário 8º PA'!$P$5:$P$2488=K$1),('Diário 8º PA'!$F$5:$F$2488))</f>
        <v>0</v>
      </c>
      <c r="L150" s="185">
        <f>SUMPRODUCT(-('Diário 5º PA'!$E$5:$E$2634='Analítico Cx.'!$B150),-('Diário 5º PA'!$P$5:$P$2634=L$1),('Diário 5º PA'!$F$5:$F$2634))+
SUMPRODUCT(-('Diário 6º PA'!$E$5:$E$2246='Analítico Cx.'!$B150),-('Diário 6º PA'!$P$5:$P$2246=L$1),('Diário 6º PA'!$F$5:$F$2246))+
SUMPRODUCT(-('Diário 7º PA'!$E$5:$E$2271='Analítico Cx.'!$B150),-('Diário 7º PA'!$P$5:$P$2271=L$1),('Diário 7º PA'!$F$5:$F$2271))+
SUMPRODUCT(-('Diário 8º PA'!$E$5:$E$2488='Analítico Cx.'!$B150),-('Diário 8º PA'!$P$5:$P$2488=L$1),('Diário 8º PA'!$F$5:$F$2488))</f>
        <v>0</v>
      </c>
      <c r="M150" s="185">
        <f>SUMPRODUCT(-('Diário 5º PA'!$E$5:$E$2634='Analítico Cx.'!$B150),-('Diário 5º PA'!$P$5:$P$2634=M$1),('Diário 5º PA'!$F$5:$F$2634))+
SUMPRODUCT(-('Diário 6º PA'!$E$5:$E$2246='Analítico Cx.'!$B150),-('Diário 6º PA'!$P$5:$P$2246=M$1),('Diário 6º PA'!$F$5:$F$2246))+
SUMPRODUCT(-('Diário 7º PA'!$E$5:$E$2271='Analítico Cx.'!$B150),-('Diário 7º PA'!$P$5:$P$2271=M$1),('Diário 7º PA'!$F$5:$F$2271))+
SUMPRODUCT(-('Diário 8º PA'!$E$5:$E$2488='Analítico Cx.'!$B150),-('Diário 8º PA'!$P$5:$P$2488=M$1),('Diário 8º PA'!$F$5:$F$2488))</f>
        <v>0</v>
      </c>
      <c r="N150" s="185">
        <f>SUMPRODUCT(-('Diário 5º PA'!$E$5:$E$2634='Analítico Cx.'!$B150),-('Diário 5º PA'!$P$5:$P$2634=N$1),('Diário 5º PA'!$F$5:$F$2634))+
SUMPRODUCT(-('Diário 6º PA'!$E$5:$E$2246='Analítico Cx.'!$B150),-('Diário 6º PA'!$P$5:$P$2246=N$1),('Diário 6º PA'!$F$5:$F$2246))+
SUMPRODUCT(-('Diário 7º PA'!$E$5:$E$2271='Analítico Cx.'!$B150),-('Diário 7º PA'!$P$5:$P$2271=N$1),('Diário 7º PA'!$F$5:$F$2271))+
SUMPRODUCT(-('Diário 8º PA'!$E$5:$E$2488='Analítico Cx.'!$B150),-('Diário 8º PA'!$P$5:$P$2488=N$1),('Diário 8º PA'!$F$5:$F$2488))</f>
        <v>0</v>
      </c>
      <c r="O150" s="186">
        <f t="shared" ref="O150:O162" si="19">SUM(C150:N150)</f>
        <v>0</v>
      </c>
      <c r="P150" s="187">
        <f t="shared" ref="P150:P166" si="20">IF($O$166=0,0,O150/$O$166)</f>
        <v>0</v>
      </c>
      <c r="Q150" s="34"/>
      <c r="R150" s="34"/>
      <c r="S150" s="34"/>
      <c r="T150" s="34"/>
      <c r="U150" s="34"/>
      <c r="V150" s="34"/>
      <c r="W150" s="34"/>
      <c r="X150" s="34"/>
      <c r="Y150" s="34"/>
      <c r="Z150" s="34"/>
    </row>
    <row r="151" spans="1:26" ht="23.25" customHeight="1" x14ac:dyDescent="0.2">
      <c r="A151" s="203" t="s">
        <v>390</v>
      </c>
      <c r="B151" s="204" t="s">
        <v>391</v>
      </c>
      <c r="C151" s="185">
        <f>SUMPRODUCT(-('Diário 5º PA'!$E$5:$E$2634='Analítico Cx.'!$B151),-('Diário 5º PA'!$P$5:$P$2634=C$1),('Diário 5º PA'!$F$5:$F$2634))+
SUMPRODUCT(-('Diário 6º PA'!$E$5:$E$2246='Analítico Cx.'!$B151),-('Diário 6º PA'!$P$5:$P$2246=C$1),('Diário 6º PA'!$F$5:$F$2246))+
SUMPRODUCT(-('Diário 7º PA'!$E$5:$E$2271='Analítico Cx.'!$B151),-('Diário 7º PA'!$P$5:$P$2271=C$1),('Diário 7º PA'!$F$5:$F$2271))+
SUMPRODUCT(-('Diário 8º PA'!$E$5:$E$2488='Analítico Cx.'!$B151),-('Diário 8º PA'!$P$5:$P$2488=C$1),('Diário 8º PA'!$F$5:$F$2488))</f>
        <v>2178</v>
      </c>
      <c r="D151" s="185">
        <f>SUMPRODUCT(-('Diário 5º PA'!$E$5:$E$2634='Analítico Cx.'!$B151),-('Diário 5º PA'!$P$5:$P$2634=D$1),('Diário 5º PA'!$F$5:$F$2634))+
SUMPRODUCT(-('Diário 6º PA'!$E$5:$E$2246='Analítico Cx.'!$B151),-('Diário 6º PA'!$P$5:$P$2246=D$1),('Diário 6º PA'!$F$5:$F$2246))+
SUMPRODUCT(-('Diário 7º PA'!$E$5:$E$2271='Analítico Cx.'!$B151),-('Diário 7º PA'!$P$5:$P$2271=D$1),('Diário 7º PA'!$F$5:$F$2271))+
SUMPRODUCT(-('Diário 8º PA'!$E$5:$E$2488='Analítico Cx.'!$B151),-('Diário 8º PA'!$P$5:$P$2488=D$1),('Diário 8º PA'!$F$5:$F$2488))</f>
        <v>0</v>
      </c>
      <c r="E151" s="185">
        <f>SUMPRODUCT(-('Diário 5º PA'!$E$5:$E$2634='Analítico Cx.'!$B151),-('Diário 5º PA'!$P$5:$P$2634=E$1),('Diário 5º PA'!$F$5:$F$2634))+
SUMPRODUCT(-('Diário 6º PA'!$E$5:$E$2246='Analítico Cx.'!$B151),-('Diário 6º PA'!$P$5:$P$2246=E$1),('Diário 6º PA'!$F$5:$F$2246))+
SUMPRODUCT(-('Diário 7º PA'!$E$5:$E$2271='Analítico Cx.'!$B151),-('Diário 7º PA'!$P$5:$P$2271=E$1),('Diário 7º PA'!$F$5:$F$2271))+
SUMPRODUCT(-('Diário 8º PA'!$E$5:$E$2488='Analítico Cx.'!$B151),-('Diário 8º PA'!$P$5:$P$2488=E$1),('Diário 8º PA'!$F$5:$F$2488))</f>
        <v>0</v>
      </c>
      <c r="F151" s="185">
        <f>SUMPRODUCT(-('Diário 5º PA'!$E$5:$E$2634='Analítico Cx.'!$B151),-('Diário 5º PA'!$P$5:$P$2634=F$1),('Diário 5º PA'!$F$5:$F$2634))+
SUMPRODUCT(-('Diário 6º PA'!$E$5:$E$2246='Analítico Cx.'!$B151),-('Diário 6º PA'!$P$5:$P$2246=F$1),('Diário 6º PA'!$F$5:$F$2246))+
SUMPRODUCT(-('Diário 7º PA'!$E$5:$E$2271='Analítico Cx.'!$B151),-('Diário 7º PA'!$P$5:$P$2271=F$1),('Diário 7º PA'!$F$5:$F$2271))+
SUMPRODUCT(-('Diário 8º PA'!$E$5:$E$2488='Analítico Cx.'!$B151),-('Diário 8º PA'!$P$5:$P$2488=F$1),('Diário 8º PA'!$F$5:$F$2488))</f>
        <v>0</v>
      </c>
      <c r="G151" s="185">
        <f>SUMPRODUCT(-('Diário 5º PA'!$E$5:$E$2634='Analítico Cx.'!$B151),-('Diário 5º PA'!$P$5:$P$2634=G$1),('Diário 5º PA'!$F$5:$F$2634))+
SUMPRODUCT(-('Diário 6º PA'!$E$5:$E$2246='Analítico Cx.'!$B151),-('Diário 6º PA'!$P$5:$P$2246=G$1),('Diário 6º PA'!$F$5:$F$2246))+
SUMPRODUCT(-('Diário 7º PA'!$E$5:$E$2271='Analítico Cx.'!$B151),-('Diário 7º PA'!$P$5:$P$2271=G$1),('Diário 7º PA'!$F$5:$F$2271))+
SUMPRODUCT(-('Diário 8º PA'!$E$5:$E$2488='Analítico Cx.'!$B151),-('Diário 8º PA'!$P$5:$P$2488=G$1),('Diário 8º PA'!$F$5:$F$2488))</f>
        <v>0</v>
      </c>
      <c r="H151" s="185">
        <f>SUMPRODUCT(-('Diário 5º PA'!$E$5:$E$2634='Analítico Cx.'!$B151),-('Diário 5º PA'!$P$5:$P$2634=H$1),('Diário 5º PA'!$F$5:$F$2634))+
SUMPRODUCT(-('Diário 6º PA'!$E$5:$E$2246='Analítico Cx.'!$B151),-('Diário 6º PA'!$P$5:$P$2246=H$1),('Diário 6º PA'!$F$5:$F$2246))+
SUMPRODUCT(-('Diário 7º PA'!$E$5:$E$2271='Analítico Cx.'!$B151),-('Diário 7º PA'!$P$5:$P$2271=H$1),('Diário 7º PA'!$F$5:$F$2271))+
SUMPRODUCT(-('Diário 8º PA'!$E$5:$E$2488='Analítico Cx.'!$B151),-('Diário 8º PA'!$P$5:$P$2488=H$1),('Diário 8º PA'!$F$5:$F$2488))</f>
        <v>0</v>
      </c>
      <c r="I151" s="185">
        <f>SUMPRODUCT(-('Diário 5º PA'!$E$5:$E$2634='Analítico Cx.'!$B151),-('Diário 5º PA'!$P$5:$P$2634=I$1),('Diário 5º PA'!$F$5:$F$2634))+
SUMPRODUCT(-('Diário 6º PA'!$E$5:$E$2246='Analítico Cx.'!$B151),-('Diário 6º PA'!$P$5:$P$2246=I$1),('Diário 6º PA'!$F$5:$F$2246))+
SUMPRODUCT(-('Diário 7º PA'!$E$5:$E$2271='Analítico Cx.'!$B151),-('Diário 7º PA'!$P$5:$P$2271=I$1),('Diário 7º PA'!$F$5:$F$2271))+
SUMPRODUCT(-('Diário 8º PA'!$E$5:$E$2488='Analítico Cx.'!$B151),-('Diário 8º PA'!$P$5:$P$2488=I$1),('Diário 8º PA'!$F$5:$F$2488))</f>
        <v>0</v>
      </c>
      <c r="J151" s="185">
        <f>SUMPRODUCT(-('Diário 5º PA'!$E$5:$E$2634='Analítico Cx.'!$B151),-('Diário 5º PA'!$P$5:$P$2634=J$1),('Diário 5º PA'!$F$5:$F$2634))+
SUMPRODUCT(-('Diário 6º PA'!$E$5:$E$2246='Analítico Cx.'!$B151),-('Diário 6º PA'!$P$5:$P$2246=J$1),('Diário 6º PA'!$F$5:$F$2246))+
SUMPRODUCT(-('Diário 7º PA'!$E$5:$E$2271='Analítico Cx.'!$B151),-('Diário 7º PA'!$P$5:$P$2271=J$1),('Diário 7º PA'!$F$5:$F$2271))+
SUMPRODUCT(-('Diário 8º PA'!$E$5:$E$2488='Analítico Cx.'!$B151),-('Diário 8º PA'!$P$5:$P$2488=J$1),('Diário 8º PA'!$F$5:$F$2488))</f>
        <v>0</v>
      </c>
      <c r="K151" s="185">
        <f>SUMPRODUCT(-('Diário 5º PA'!$E$5:$E$2634='Analítico Cx.'!$B151),-('Diário 5º PA'!$P$5:$P$2634=K$1),('Diário 5º PA'!$F$5:$F$2634))+
SUMPRODUCT(-('Diário 6º PA'!$E$5:$E$2246='Analítico Cx.'!$B151),-('Diário 6º PA'!$P$5:$P$2246=K$1),('Diário 6º PA'!$F$5:$F$2246))+
SUMPRODUCT(-('Diário 7º PA'!$E$5:$E$2271='Analítico Cx.'!$B151),-('Diário 7º PA'!$P$5:$P$2271=K$1),('Diário 7º PA'!$F$5:$F$2271))+
SUMPRODUCT(-('Diário 8º PA'!$E$5:$E$2488='Analítico Cx.'!$B151),-('Diário 8º PA'!$P$5:$P$2488=K$1),('Diário 8º PA'!$F$5:$F$2488))</f>
        <v>0</v>
      </c>
      <c r="L151" s="185">
        <f>SUMPRODUCT(-('Diário 5º PA'!$E$5:$E$2634='Analítico Cx.'!$B151),-('Diário 5º PA'!$P$5:$P$2634=L$1),('Diário 5º PA'!$F$5:$F$2634))+
SUMPRODUCT(-('Diário 6º PA'!$E$5:$E$2246='Analítico Cx.'!$B151),-('Diário 6º PA'!$P$5:$P$2246=L$1),('Diário 6º PA'!$F$5:$F$2246))+
SUMPRODUCT(-('Diário 7º PA'!$E$5:$E$2271='Analítico Cx.'!$B151),-('Diário 7º PA'!$P$5:$P$2271=L$1),('Diário 7º PA'!$F$5:$F$2271))+
SUMPRODUCT(-('Diário 8º PA'!$E$5:$E$2488='Analítico Cx.'!$B151),-('Diário 8º PA'!$P$5:$P$2488=L$1),('Diário 8º PA'!$F$5:$F$2488))</f>
        <v>0</v>
      </c>
      <c r="M151" s="185">
        <f>SUMPRODUCT(-('Diário 5º PA'!$E$5:$E$2634='Analítico Cx.'!$B151),-('Diário 5º PA'!$P$5:$P$2634=M$1),('Diário 5º PA'!$F$5:$F$2634))+
SUMPRODUCT(-('Diário 6º PA'!$E$5:$E$2246='Analítico Cx.'!$B151),-('Diário 6º PA'!$P$5:$P$2246=M$1),('Diário 6º PA'!$F$5:$F$2246))+
SUMPRODUCT(-('Diário 7º PA'!$E$5:$E$2271='Analítico Cx.'!$B151),-('Diário 7º PA'!$P$5:$P$2271=M$1),('Diário 7º PA'!$F$5:$F$2271))+
SUMPRODUCT(-('Diário 8º PA'!$E$5:$E$2488='Analítico Cx.'!$B151),-('Diário 8º PA'!$P$5:$P$2488=M$1),('Diário 8º PA'!$F$5:$F$2488))</f>
        <v>0</v>
      </c>
      <c r="N151" s="185">
        <f>SUMPRODUCT(-('Diário 5º PA'!$E$5:$E$2634='Analítico Cx.'!$B151),-('Diário 5º PA'!$P$5:$P$2634=N$1),('Diário 5º PA'!$F$5:$F$2634))+
SUMPRODUCT(-('Diário 6º PA'!$E$5:$E$2246='Analítico Cx.'!$B151),-('Diário 6º PA'!$P$5:$P$2246=N$1),('Diário 6º PA'!$F$5:$F$2246))+
SUMPRODUCT(-('Diário 7º PA'!$E$5:$E$2271='Analítico Cx.'!$B151),-('Diário 7º PA'!$P$5:$P$2271=N$1),('Diário 7º PA'!$F$5:$F$2271))+
SUMPRODUCT(-('Diário 8º PA'!$E$5:$E$2488='Analítico Cx.'!$B151),-('Diário 8º PA'!$P$5:$P$2488=N$1),('Diário 8º PA'!$F$5:$F$2488))</f>
        <v>0</v>
      </c>
      <c r="O151" s="186">
        <f t="shared" si="19"/>
        <v>2178</v>
      </c>
      <c r="P151" s="187">
        <f t="shared" si="20"/>
        <v>2.3108841364626243E-4</v>
      </c>
      <c r="Q151" s="34"/>
      <c r="R151" s="34"/>
      <c r="S151" s="34"/>
      <c r="T151" s="34"/>
      <c r="U151" s="34"/>
      <c r="V151" s="34"/>
      <c r="W151" s="34"/>
      <c r="X151" s="34"/>
      <c r="Y151" s="34"/>
      <c r="Z151" s="34"/>
    </row>
    <row r="152" spans="1:26" ht="23.25" customHeight="1" x14ac:dyDescent="0.2">
      <c r="A152" s="203" t="s">
        <v>392</v>
      </c>
      <c r="B152" s="204" t="s">
        <v>393</v>
      </c>
      <c r="C152" s="185">
        <f>SUMPRODUCT(-('Diário 5º PA'!$E$5:$E$2634='Analítico Cx.'!$B152),-('Diário 5º PA'!$P$5:$P$2634=C$1),('Diário 5º PA'!$F$5:$F$2634))+
SUMPRODUCT(-('Diário 6º PA'!$E$5:$E$2246='Analítico Cx.'!$B152),-('Diário 6º PA'!$P$5:$P$2246=C$1),('Diário 6º PA'!$F$5:$F$2246))+
SUMPRODUCT(-('Diário 7º PA'!$E$5:$E$2271='Analítico Cx.'!$B152),-('Diário 7º PA'!$P$5:$P$2271=C$1),('Diário 7º PA'!$F$5:$F$2271))+
SUMPRODUCT(-('Diário 8º PA'!$E$5:$E$2488='Analítico Cx.'!$B152),-('Diário 8º PA'!$P$5:$P$2488=C$1),('Diário 8º PA'!$F$5:$F$2488))</f>
        <v>4199</v>
      </c>
      <c r="D152" s="185">
        <f>SUMPRODUCT(-('Diário 5º PA'!$E$5:$E$2634='Analítico Cx.'!$B152),-('Diário 5º PA'!$P$5:$P$2634=D$1),('Diário 5º PA'!$F$5:$F$2634))+
SUMPRODUCT(-('Diário 6º PA'!$E$5:$E$2246='Analítico Cx.'!$B152),-('Diário 6º PA'!$P$5:$P$2246=D$1),('Diário 6º PA'!$F$5:$F$2246))+
SUMPRODUCT(-('Diário 7º PA'!$E$5:$E$2271='Analítico Cx.'!$B152),-('Diário 7º PA'!$P$5:$P$2271=D$1),('Diário 7º PA'!$F$5:$F$2271))+
SUMPRODUCT(-('Diário 8º PA'!$E$5:$E$2488='Analítico Cx.'!$B152),-('Diário 8º PA'!$P$5:$P$2488=D$1),('Diário 8º PA'!$F$5:$F$2488))</f>
        <v>0</v>
      </c>
      <c r="E152" s="185">
        <f>SUMPRODUCT(-('Diário 5º PA'!$E$5:$E$2634='Analítico Cx.'!$B152),-('Diário 5º PA'!$P$5:$P$2634=E$1),('Diário 5º PA'!$F$5:$F$2634))+
SUMPRODUCT(-('Diário 6º PA'!$E$5:$E$2246='Analítico Cx.'!$B152),-('Diário 6º PA'!$P$5:$P$2246=E$1),('Diário 6º PA'!$F$5:$F$2246))+
SUMPRODUCT(-('Diário 7º PA'!$E$5:$E$2271='Analítico Cx.'!$B152),-('Diário 7º PA'!$P$5:$P$2271=E$1),('Diário 7º PA'!$F$5:$F$2271))+
SUMPRODUCT(-('Diário 8º PA'!$E$5:$E$2488='Analítico Cx.'!$B152),-('Diário 8º PA'!$P$5:$P$2488=E$1),('Diário 8º PA'!$F$5:$F$2488))</f>
        <v>0</v>
      </c>
      <c r="F152" s="185">
        <f>SUMPRODUCT(-('Diário 5º PA'!$E$5:$E$2634='Analítico Cx.'!$B152),-('Diário 5º PA'!$P$5:$P$2634=F$1),('Diário 5º PA'!$F$5:$F$2634))+
SUMPRODUCT(-('Diário 6º PA'!$E$5:$E$2246='Analítico Cx.'!$B152),-('Diário 6º PA'!$P$5:$P$2246=F$1),('Diário 6º PA'!$F$5:$F$2246))+
SUMPRODUCT(-('Diário 7º PA'!$E$5:$E$2271='Analítico Cx.'!$B152),-('Diário 7º PA'!$P$5:$P$2271=F$1),('Diário 7º PA'!$F$5:$F$2271))+
SUMPRODUCT(-('Diário 8º PA'!$E$5:$E$2488='Analítico Cx.'!$B152),-('Diário 8º PA'!$P$5:$P$2488=F$1),('Diário 8º PA'!$F$5:$F$2488))</f>
        <v>0</v>
      </c>
      <c r="G152" s="185">
        <f>SUMPRODUCT(-('Diário 5º PA'!$E$5:$E$2634='Analítico Cx.'!$B152),-('Diário 5º PA'!$P$5:$P$2634=G$1),('Diário 5º PA'!$F$5:$F$2634))+
SUMPRODUCT(-('Diário 6º PA'!$E$5:$E$2246='Analítico Cx.'!$B152),-('Diário 6º PA'!$P$5:$P$2246=G$1),('Diário 6º PA'!$F$5:$F$2246))+
SUMPRODUCT(-('Diário 7º PA'!$E$5:$E$2271='Analítico Cx.'!$B152),-('Diário 7º PA'!$P$5:$P$2271=G$1),('Diário 7º PA'!$F$5:$F$2271))+
SUMPRODUCT(-('Diário 8º PA'!$E$5:$E$2488='Analítico Cx.'!$B152),-('Diário 8º PA'!$P$5:$P$2488=G$1),('Diário 8º PA'!$F$5:$F$2488))</f>
        <v>0</v>
      </c>
      <c r="H152" s="185">
        <f>SUMPRODUCT(-('Diário 5º PA'!$E$5:$E$2634='Analítico Cx.'!$B152),-('Diário 5º PA'!$P$5:$P$2634=H$1),('Diário 5º PA'!$F$5:$F$2634))+
SUMPRODUCT(-('Diário 6º PA'!$E$5:$E$2246='Analítico Cx.'!$B152),-('Diário 6º PA'!$P$5:$P$2246=H$1),('Diário 6º PA'!$F$5:$F$2246))+
SUMPRODUCT(-('Diário 7º PA'!$E$5:$E$2271='Analítico Cx.'!$B152),-('Diário 7º PA'!$P$5:$P$2271=H$1),('Diário 7º PA'!$F$5:$F$2271))+
SUMPRODUCT(-('Diário 8º PA'!$E$5:$E$2488='Analítico Cx.'!$B152),-('Diário 8º PA'!$P$5:$P$2488=H$1),('Diário 8º PA'!$F$5:$F$2488))</f>
        <v>0</v>
      </c>
      <c r="I152" s="185">
        <f>SUMPRODUCT(-('Diário 5º PA'!$E$5:$E$2634='Analítico Cx.'!$B152),-('Diário 5º PA'!$P$5:$P$2634=I$1),('Diário 5º PA'!$F$5:$F$2634))+
SUMPRODUCT(-('Diário 6º PA'!$E$5:$E$2246='Analítico Cx.'!$B152),-('Diário 6º PA'!$P$5:$P$2246=I$1),('Diário 6º PA'!$F$5:$F$2246))+
SUMPRODUCT(-('Diário 7º PA'!$E$5:$E$2271='Analítico Cx.'!$B152),-('Diário 7º PA'!$P$5:$P$2271=I$1),('Diário 7º PA'!$F$5:$F$2271))+
SUMPRODUCT(-('Diário 8º PA'!$E$5:$E$2488='Analítico Cx.'!$B152),-('Diário 8º PA'!$P$5:$P$2488=I$1),('Diário 8º PA'!$F$5:$F$2488))</f>
        <v>0</v>
      </c>
      <c r="J152" s="185">
        <f>SUMPRODUCT(-('Diário 5º PA'!$E$5:$E$2634='Analítico Cx.'!$B152),-('Diário 5º PA'!$P$5:$P$2634=J$1),('Diário 5º PA'!$F$5:$F$2634))+
SUMPRODUCT(-('Diário 6º PA'!$E$5:$E$2246='Analítico Cx.'!$B152),-('Diário 6º PA'!$P$5:$P$2246=J$1),('Diário 6º PA'!$F$5:$F$2246))+
SUMPRODUCT(-('Diário 7º PA'!$E$5:$E$2271='Analítico Cx.'!$B152),-('Diário 7º PA'!$P$5:$P$2271=J$1),('Diário 7º PA'!$F$5:$F$2271))+
SUMPRODUCT(-('Diário 8º PA'!$E$5:$E$2488='Analítico Cx.'!$B152),-('Diário 8º PA'!$P$5:$P$2488=J$1),('Diário 8º PA'!$F$5:$F$2488))</f>
        <v>0</v>
      </c>
      <c r="K152" s="185">
        <f>SUMPRODUCT(-('Diário 5º PA'!$E$5:$E$2634='Analítico Cx.'!$B152),-('Diário 5º PA'!$P$5:$P$2634=K$1),('Diário 5º PA'!$F$5:$F$2634))+
SUMPRODUCT(-('Diário 6º PA'!$E$5:$E$2246='Analítico Cx.'!$B152),-('Diário 6º PA'!$P$5:$P$2246=K$1),('Diário 6º PA'!$F$5:$F$2246))+
SUMPRODUCT(-('Diário 7º PA'!$E$5:$E$2271='Analítico Cx.'!$B152),-('Diário 7º PA'!$P$5:$P$2271=K$1),('Diário 7º PA'!$F$5:$F$2271))+
SUMPRODUCT(-('Diário 8º PA'!$E$5:$E$2488='Analítico Cx.'!$B152),-('Diário 8º PA'!$P$5:$P$2488=K$1),('Diário 8º PA'!$F$5:$F$2488))</f>
        <v>0</v>
      </c>
      <c r="L152" s="185">
        <f>SUMPRODUCT(-('Diário 5º PA'!$E$5:$E$2634='Analítico Cx.'!$B152),-('Diário 5º PA'!$P$5:$P$2634=L$1),('Diário 5º PA'!$F$5:$F$2634))+
SUMPRODUCT(-('Diário 6º PA'!$E$5:$E$2246='Analítico Cx.'!$B152),-('Diário 6º PA'!$P$5:$P$2246=L$1),('Diário 6º PA'!$F$5:$F$2246))+
SUMPRODUCT(-('Diário 7º PA'!$E$5:$E$2271='Analítico Cx.'!$B152),-('Diário 7º PA'!$P$5:$P$2271=L$1),('Diário 7º PA'!$F$5:$F$2271))+
SUMPRODUCT(-('Diário 8º PA'!$E$5:$E$2488='Analítico Cx.'!$B152),-('Diário 8º PA'!$P$5:$P$2488=L$1),('Diário 8º PA'!$F$5:$F$2488))</f>
        <v>0</v>
      </c>
      <c r="M152" s="185">
        <f>SUMPRODUCT(-('Diário 5º PA'!$E$5:$E$2634='Analítico Cx.'!$B152),-('Diário 5º PA'!$P$5:$P$2634=M$1),('Diário 5º PA'!$F$5:$F$2634))+
SUMPRODUCT(-('Diário 6º PA'!$E$5:$E$2246='Analítico Cx.'!$B152),-('Diário 6º PA'!$P$5:$P$2246=M$1),('Diário 6º PA'!$F$5:$F$2246))+
SUMPRODUCT(-('Diário 7º PA'!$E$5:$E$2271='Analítico Cx.'!$B152),-('Diário 7º PA'!$P$5:$P$2271=M$1),('Diário 7º PA'!$F$5:$F$2271))+
SUMPRODUCT(-('Diário 8º PA'!$E$5:$E$2488='Analítico Cx.'!$B152),-('Diário 8º PA'!$P$5:$P$2488=M$1),('Diário 8º PA'!$F$5:$F$2488))</f>
        <v>0</v>
      </c>
      <c r="N152" s="185">
        <f>SUMPRODUCT(-('Diário 5º PA'!$E$5:$E$2634='Analítico Cx.'!$B152),-('Diário 5º PA'!$P$5:$P$2634=N$1),('Diário 5º PA'!$F$5:$F$2634))+
SUMPRODUCT(-('Diário 6º PA'!$E$5:$E$2246='Analítico Cx.'!$B152),-('Diário 6º PA'!$P$5:$P$2246=N$1),('Diário 6º PA'!$F$5:$F$2246))+
SUMPRODUCT(-('Diário 7º PA'!$E$5:$E$2271='Analítico Cx.'!$B152),-('Diário 7º PA'!$P$5:$P$2271=N$1),('Diário 7º PA'!$F$5:$F$2271))+
SUMPRODUCT(-('Diário 8º PA'!$E$5:$E$2488='Analítico Cx.'!$B152),-('Diário 8º PA'!$P$5:$P$2488=N$1),('Diário 8º PA'!$F$5:$F$2488))</f>
        <v>0</v>
      </c>
      <c r="O152" s="186">
        <f t="shared" si="19"/>
        <v>4199</v>
      </c>
      <c r="P152" s="187">
        <f t="shared" si="20"/>
        <v>4.4551893888919003E-4</v>
      </c>
      <c r="Q152" s="34"/>
      <c r="R152" s="34"/>
      <c r="S152" s="34"/>
      <c r="T152" s="34"/>
      <c r="U152" s="34"/>
      <c r="V152" s="34"/>
      <c r="W152" s="34"/>
      <c r="X152" s="34"/>
      <c r="Y152" s="34"/>
      <c r="Z152" s="34"/>
    </row>
    <row r="153" spans="1:26" ht="23.25" customHeight="1" x14ac:dyDescent="0.2">
      <c r="A153" s="203" t="s">
        <v>394</v>
      </c>
      <c r="B153" s="204" t="s">
        <v>395</v>
      </c>
      <c r="C153" s="185">
        <f>SUMPRODUCT(-('Diário 5º PA'!$E$5:$E$2634='Analítico Cx.'!$B153),-('Diário 5º PA'!$P$5:$P$2634=C$1),('Diário 5º PA'!$F$5:$F$2634))+
SUMPRODUCT(-('Diário 6º PA'!$E$5:$E$2246='Analítico Cx.'!$B153),-('Diário 6º PA'!$P$5:$P$2246=C$1),('Diário 6º PA'!$F$5:$F$2246))+
SUMPRODUCT(-('Diário 7º PA'!$E$5:$E$2271='Analítico Cx.'!$B153),-('Diário 7º PA'!$P$5:$P$2271=C$1),('Diário 7º PA'!$F$5:$F$2271))+
SUMPRODUCT(-('Diário 8º PA'!$E$5:$E$2488='Analítico Cx.'!$B153),-('Diário 8º PA'!$P$5:$P$2488=C$1),('Diário 8º PA'!$F$5:$F$2488))</f>
        <v>0</v>
      </c>
      <c r="D153" s="185">
        <f>SUMPRODUCT(-('Diário 5º PA'!$E$5:$E$2634='Analítico Cx.'!$B153),-('Diário 5º PA'!$P$5:$P$2634=D$1),('Diário 5º PA'!$F$5:$F$2634))+
SUMPRODUCT(-('Diário 6º PA'!$E$5:$E$2246='Analítico Cx.'!$B153),-('Diário 6º PA'!$P$5:$P$2246=D$1),('Diário 6º PA'!$F$5:$F$2246))+
SUMPRODUCT(-('Diário 7º PA'!$E$5:$E$2271='Analítico Cx.'!$B153),-('Diário 7º PA'!$P$5:$P$2271=D$1),('Diário 7º PA'!$F$5:$F$2271))+
SUMPRODUCT(-('Diário 8º PA'!$E$5:$E$2488='Analítico Cx.'!$B153),-('Diário 8º PA'!$P$5:$P$2488=D$1),('Diário 8º PA'!$F$5:$F$2488))</f>
        <v>0</v>
      </c>
      <c r="E153" s="185">
        <f>SUMPRODUCT(-('Diário 5º PA'!$E$5:$E$2634='Analítico Cx.'!$B153),-('Diário 5º PA'!$P$5:$P$2634=E$1),('Diário 5º PA'!$F$5:$F$2634))+
SUMPRODUCT(-('Diário 6º PA'!$E$5:$E$2246='Analítico Cx.'!$B153),-('Diário 6º PA'!$P$5:$P$2246=E$1),('Diário 6º PA'!$F$5:$F$2246))+
SUMPRODUCT(-('Diário 7º PA'!$E$5:$E$2271='Analítico Cx.'!$B153),-('Diário 7º PA'!$P$5:$P$2271=E$1),('Diário 7º PA'!$F$5:$F$2271))+
SUMPRODUCT(-('Diário 8º PA'!$E$5:$E$2488='Analítico Cx.'!$B153),-('Diário 8º PA'!$P$5:$P$2488=E$1),('Diário 8º PA'!$F$5:$F$2488))</f>
        <v>0</v>
      </c>
      <c r="F153" s="185">
        <f>SUMPRODUCT(-('Diário 5º PA'!$E$5:$E$2634='Analítico Cx.'!$B153),-('Diário 5º PA'!$P$5:$P$2634=F$1),('Diário 5º PA'!$F$5:$F$2634))+
SUMPRODUCT(-('Diário 6º PA'!$E$5:$E$2246='Analítico Cx.'!$B153),-('Diário 6º PA'!$P$5:$P$2246=F$1),('Diário 6º PA'!$F$5:$F$2246))+
SUMPRODUCT(-('Diário 7º PA'!$E$5:$E$2271='Analítico Cx.'!$B153),-('Diário 7º PA'!$P$5:$P$2271=F$1),('Diário 7º PA'!$F$5:$F$2271))+
SUMPRODUCT(-('Diário 8º PA'!$E$5:$E$2488='Analítico Cx.'!$B153),-('Diário 8º PA'!$P$5:$P$2488=F$1),('Diário 8º PA'!$F$5:$F$2488))</f>
        <v>0</v>
      </c>
      <c r="G153" s="185">
        <f>SUMPRODUCT(-('Diário 5º PA'!$E$5:$E$2634='Analítico Cx.'!$B153),-('Diário 5º PA'!$P$5:$P$2634=G$1),('Diário 5º PA'!$F$5:$F$2634))+
SUMPRODUCT(-('Diário 6º PA'!$E$5:$E$2246='Analítico Cx.'!$B153),-('Diário 6º PA'!$P$5:$P$2246=G$1),('Diário 6º PA'!$F$5:$F$2246))+
SUMPRODUCT(-('Diário 7º PA'!$E$5:$E$2271='Analítico Cx.'!$B153),-('Diário 7º PA'!$P$5:$P$2271=G$1),('Diário 7º PA'!$F$5:$F$2271))+
SUMPRODUCT(-('Diário 8º PA'!$E$5:$E$2488='Analítico Cx.'!$B153),-('Diário 8º PA'!$P$5:$P$2488=G$1),('Diário 8º PA'!$F$5:$F$2488))</f>
        <v>0</v>
      </c>
      <c r="H153" s="185">
        <f>SUMPRODUCT(-('Diário 5º PA'!$E$5:$E$2634='Analítico Cx.'!$B153),-('Diário 5º PA'!$P$5:$P$2634=H$1),('Diário 5º PA'!$F$5:$F$2634))+
SUMPRODUCT(-('Diário 6º PA'!$E$5:$E$2246='Analítico Cx.'!$B153),-('Diário 6º PA'!$P$5:$P$2246=H$1),('Diário 6º PA'!$F$5:$F$2246))+
SUMPRODUCT(-('Diário 7º PA'!$E$5:$E$2271='Analítico Cx.'!$B153),-('Diário 7º PA'!$P$5:$P$2271=H$1),('Diário 7º PA'!$F$5:$F$2271))+
SUMPRODUCT(-('Diário 8º PA'!$E$5:$E$2488='Analítico Cx.'!$B153),-('Diário 8º PA'!$P$5:$P$2488=H$1),('Diário 8º PA'!$F$5:$F$2488))</f>
        <v>0</v>
      </c>
      <c r="I153" s="185">
        <f>SUMPRODUCT(-('Diário 5º PA'!$E$5:$E$2634='Analítico Cx.'!$B153),-('Diário 5º PA'!$P$5:$P$2634=I$1),('Diário 5º PA'!$F$5:$F$2634))+
SUMPRODUCT(-('Diário 6º PA'!$E$5:$E$2246='Analítico Cx.'!$B153),-('Diário 6º PA'!$P$5:$P$2246=I$1),('Diário 6º PA'!$F$5:$F$2246))+
SUMPRODUCT(-('Diário 7º PA'!$E$5:$E$2271='Analítico Cx.'!$B153),-('Diário 7º PA'!$P$5:$P$2271=I$1),('Diário 7º PA'!$F$5:$F$2271))+
SUMPRODUCT(-('Diário 8º PA'!$E$5:$E$2488='Analítico Cx.'!$B153),-('Diário 8º PA'!$P$5:$P$2488=I$1),('Diário 8º PA'!$F$5:$F$2488))</f>
        <v>0</v>
      </c>
      <c r="J153" s="185">
        <f>SUMPRODUCT(-('Diário 5º PA'!$E$5:$E$2634='Analítico Cx.'!$B153),-('Diário 5º PA'!$P$5:$P$2634=J$1),('Diário 5º PA'!$F$5:$F$2634))+
SUMPRODUCT(-('Diário 6º PA'!$E$5:$E$2246='Analítico Cx.'!$B153),-('Diário 6º PA'!$P$5:$P$2246=J$1),('Diário 6º PA'!$F$5:$F$2246))+
SUMPRODUCT(-('Diário 7º PA'!$E$5:$E$2271='Analítico Cx.'!$B153),-('Diário 7º PA'!$P$5:$P$2271=J$1),('Diário 7º PA'!$F$5:$F$2271))+
SUMPRODUCT(-('Diário 8º PA'!$E$5:$E$2488='Analítico Cx.'!$B153),-('Diário 8º PA'!$P$5:$P$2488=J$1),('Diário 8º PA'!$F$5:$F$2488))</f>
        <v>0</v>
      </c>
      <c r="K153" s="185">
        <f>SUMPRODUCT(-('Diário 5º PA'!$E$5:$E$2634='Analítico Cx.'!$B153),-('Diário 5º PA'!$P$5:$P$2634=K$1),('Diário 5º PA'!$F$5:$F$2634))+
SUMPRODUCT(-('Diário 6º PA'!$E$5:$E$2246='Analítico Cx.'!$B153),-('Diário 6º PA'!$P$5:$P$2246=K$1),('Diário 6º PA'!$F$5:$F$2246))+
SUMPRODUCT(-('Diário 7º PA'!$E$5:$E$2271='Analítico Cx.'!$B153),-('Diário 7º PA'!$P$5:$P$2271=K$1),('Diário 7º PA'!$F$5:$F$2271))+
SUMPRODUCT(-('Diário 8º PA'!$E$5:$E$2488='Analítico Cx.'!$B153),-('Diário 8º PA'!$P$5:$P$2488=K$1),('Diário 8º PA'!$F$5:$F$2488))</f>
        <v>0</v>
      </c>
      <c r="L153" s="185">
        <f>SUMPRODUCT(-('Diário 5º PA'!$E$5:$E$2634='Analítico Cx.'!$B153),-('Diário 5º PA'!$P$5:$P$2634=L$1),('Diário 5º PA'!$F$5:$F$2634))+
SUMPRODUCT(-('Diário 6º PA'!$E$5:$E$2246='Analítico Cx.'!$B153),-('Diário 6º PA'!$P$5:$P$2246=L$1),('Diário 6º PA'!$F$5:$F$2246))+
SUMPRODUCT(-('Diário 7º PA'!$E$5:$E$2271='Analítico Cx.'!$B153),-('Diário 7º PA'!$P$5:$P$2271=L$1),('Diário 7º PA'!$F$5:$F$2271))+
SUMPRODUCT(-('Diário 8º PA'!$E$5:$E$2488='Analítico Cx.'!$B153),-('Diário 8º PA'!$P$5:$P$2488=L$1),('Diário 8º PA'!$F$5:$F$2488))</f>
        <v>0</v>
      </c>
      <c r="M153" s="185">
        <f>SUMPRODUCT(-('Diário 5º PA'!$E$5:$E$2634='Analítico Cx.'!$B153),-('Diário 5º PA'!$P$5:$P$2634=M$1),('Diário 5º PA'!$F$5:$F$2634))+
SUMPRODUCT(-('Diário 6º PA'!$E$5:$E$2246='Analítico Cx.'!$B153),-('Diário 6º PA'!$P$5:$P$2246=M$1),('Diário 6º PA'!$F$5:$F$2246))+
SUMPRODUCT(-('Diário 7º PA'!$E$5:$E$2271='Analítico Cx.'!$B153),-('Diário 7º PA'!$P$5:$P$2271=M$1),('Diário 7º PA'!$F$5:$F$2271))+
SUMPRODUCT(-('Diário 8º PA'!$E$5:$E$2488='Analítico Cx.'!$B153),-('Diário 8º PA'!$P$5:$P$2488=M$1),('Diário 8º PA'!$F$5:$F$2488))</f>
        <v>0</v>
      </c>
      <c r="N153" s="185">
        <f>SUMPRODUCT(-('Diário 5º PA'!$E$5:$E$2634='Analítico Cx.'!$B153),-('Diário 5º PA'!$P$5:$P$2634=N$1),('Diário 5º PA'!$F$5:$F$2634))+
SUMPRODUCT(-('Diário 6º PA'!$E$5:$E$2246='Analítico Cx.'!$B153),-('Diário 6º PA'!$P$5:$P$2246=N$1),('Diário 6º PA'!$F$5:$F$2246))+
SUMPRODUCT(-('Diário 7º PA'!$E$5:$E$2271='Analítico Cx.'!$B153),-('Diário 7º PA'!$P$5:$P$2271=N$1),('Diário 7º PA'!$F$5:$F$2271))+
SUMPRODUCT(-('Diário 8º PA'!$E$5:$E$2488='Analítico Cx.'!$B153),-('Diário 8º PA'!$P$5:$P$2488=N$1),('Diário 8º PA'!$F$5:$F$2488))</f>
        <v>0</v>
      </c>
      <c r="O153" s="186">
        <f t="shared" si="19"/>
        <v>0</v>
      </c>
      <c r="P153" s="187">
        <f t="shared" si="20"/>
        <v>0</v>
      </c>
      <c r="Q153" s="34"/>
      <c r="R153" s="34"/>
      <c r="S153" s="34"/>
      <c r="T153" s="34"/>
      <c r="U153" s="34"/>
      <c r="V153" s="34"/>
      <c r="W153" s="34"/>
      <c r="X153" s="34"/>
      <c r="Y153" s="34"/>
      <c r="Z153" s="34"/>
    </row>
    <row r="154" spans="1:26" ht="23.25" customHeight="1" x14ac:dyDescent="0.2">
      <c r="A154" s="203" t="s">
        <v>396</v>
      </c>
      <c r="B154" s="204" t="s">
        <v>397</v>
      </c>
      <c r="C154" s="185">
        <f>SUMPRODUCT(-('Diário 5º PA'!$E$5:$E$2634='Analítico Cx.'!$B154),-('Diário 5º PA'!$P$5:$P$2634=C$1),('Diário 5º PA'!$F$5:$F$2634))+
SUMPRODUCT(-('Diário 6º PA'!$E$5:$E$2246='Analítico Cx.'!$B154),-('Diário 6º PA'!$P$5:$P$2246=C$1),('Diário 6º PA'!$F$5:$F$2246))+
SUMPRODUCT(-('Diário 7º PA'!$E$5:$E$2271='Analítico Cx.'!$B154),-('Diário 7º PA'!$P$5:$P$2271=C$1),('Diário 7º PA'!$F$5:$F$2271))+
SUMPRODUCT(-('Diário 8º PA'!$E$5:$E$2488='Analítico Cx.'!$B154),-('Diário 8º PA'!$P$5:$P$2488=C$1),('Diário 8º PA'!$F$5:$F$2488))</f>
        <v>0</v>
      </c>
      <c r="D154" s="185">
        <f>SUMPRODUCT(-('Diário 5º PA'!$E$5:$E$2634='Analítico Cx.'!$B154),-('Diário 5º PA'!$P$5:$P$2634=D$1),('Diário 5º PA'!$F$5:$F$2634))+
SUMPRODUCT(-('Diário 6º PA'!$E$5:$E$2246='Analítico Cx.'!$B154),-('Diário 6º PA'!$P$5:$P$2246=D$1),('Diário 6º PA'!$F$5:$F$2246))+
SUMPRODUCT(-('Diário 7º PA'!$E$5:$E$2271='Analítico Cx.'!$B154),-('Diário 7º PA'!$P$5:$P$2271=D$1),('Diário 7º PA'!$F$5:$F$2271))+
SUMPRODUCT(-('Diário 8º PA'!$E$5:$E$2488='Analítico Cx.'!$B154),-('Diário 8º PA'!$P$5:$P$2488=D$1),('Diário 8º PA'!$F$5:$F$2488))</f>
        <v>0</v>
      </c>
      <c r="E154" s="185">
        <f>SUMPRODUCT(-('Diário 5º PA'!$E$5:$E$2634='Analítico Cx.'!$B154),-('Diário 5º PA'!$P$5:$P$2634=E$1),('Diário 5º PA'!$F$5:$F$2634))+
SUMPRODUCT(-('Diário 6º PA'!$E$5:$E$2246='Analítico Cx.'!$B154),-('Diário 6º PA'!$P$5:$P$2246=E$1),('Diário 6º PA'!$F$5:$F$2246))+
SUMPRODUCT(-('Diário 7º PA'!$E$5:$E$2271='Analítico Cx.'!$B154),-('Diário 7º PA'!$P$5:$P$2271=E$1),('Diário 7º PA'!$F$5:$F$2271))+
SUMPRODUCT(-('Diário 8º PA'!$E$5:$E$2488='Analítico Cx.'!$B154),-('Diário 8º PA'!$P$5:$P$2488=E$1),('Diário 8º PA'!$F$5:$F$2488))</f>
        <v>0</v>
      </c>
      <c r="F154" s="185">
        <f>SUMPRODUCT(-('Diário 5º PA'!$E$5:$E$2634='Analítico Cx.'!$B154),-('Diário 5º PA'!$P$5:$P$2634=F$1),('Diário 5º PA'!$F$5:$F$2634))+
SUMPRODUCT(-('Diário 6º PA'!$E$5:$E$2246='Analítico Cx.'!$B154),-('Diário 6º PA'!$P$5:$P$2246=F$1),('Diário 6º PA'!$F$5:$F$2246))+
SUMPRODUCT(-('Diário 7º PA'!$E$5:$E$2271='Analítico Cx.'!$B154),-('Diário 7º PA'!$P$5:$P$2271=F$1),('Diário 7º PA'!$F$5:$F$2271))+
SUMPRODUCT(-('Diário 8º PA'!$E$5:$E$2488='Analítico Cx.'!$B154),-('Diário 8º PA'!$P$5:$P$2488=F$1),('Diário 8º PA'!$F$5:$F$2488))</f>
        <v>0</v>
      </c>
      <c r="G154" s="185">
        <f>SUMPRODUCT(-('Diário 5º PA'!$E$5:$E$2634='Analítico Cx.'!$B154),-('Diário 5º PA'!$P$5:$P$2634=G$1),('Diário 5º PA'!$F$5:$F$2634))+
SUMPRODUCT(-('Diário 6º PA'!$E$5:$E$2246='Analítico Cx.'!$B154),-('Diário 6º PA'!$P$5:$P$2246=G$1),('Diário 6º PA'!$F$5:$F$2246))+
SUMPRODUCT(-('Diário 7º PA'!$E$5:$E$2271='Analítico Cx.'!$B154),-('Diário 7º PA'!$P$5:$P$2271=G$1),('Diário 7º PA'!$F$5:$F$2271))+
SUMPRODUCT(-('Diário 8º PA'!$E$5:$E$2488='Analítico Cx.'!$B154),-('Diário 8º PA'!$P$5:$P$2488=G$1),('Diário 8º PA'!$F$5:$F$2488))</f>
        <v>0</v>
      </c>
      <c r="H154" s="185">
        <f>SUMPRODUCT(-('Diário 5º PA'!$E$5:$E$2634='Analítico Cx.'!$B154),-('Diário 5º PA'!$P$5:$P$2634=H$1),('Diário 5º PA'!$F$5:$F$2634))+
SUMPRODUCT(-('Diário 6º PA'!$E$5:$E$2246='Analítico Cx.'!$B154),-('Diário 6º PA'!$P$5:$P$2246=H$1),('Diário 6º PA'!$F$5:$F$2246))+
SUMPRODUCT(-('Diário 7º PA'!$E$5:$E$2271='Analítico Cx.'!$B154),-('Diário 7º PA'!$P$5:$P$2271=H$1),('Diário 7º PA'!$F$5:$F$2271))+
SUMPRODUCT(-('Diário 8º PA'!$E$5:$E$2488='Analítico Cx.'!$B154),-('Diário 8º PA'!$P$5:$P$2488=H$1),('Diário 8º PA'!$F$5:$F$2488))</f>
        <v>0</v>
      </c>
      <c r="I154" s="185">
        <f>SUMPRODUCT(-('Diário 5º PA'!$E$5:$E$2634='Analítico Cx.'!$B154),-('Diário 5º PA'!$P$5:$P$2634=I$1),('Diário 5º PA'!$F$5:$F$2634))+
SUMPRODUCT(-('Diário 6º PA'!$E$5:$E$2246='Analítico Cx.'!$B154),-('Diário 6º PA'!$P$5:$P$2246=I$1),('Diário 6º PA'!$F$5:$F$2246))+
SUMPRODUCT(-('Diário 7º PA'!$E$5:$E$2271='Analítico Cx.'!$B154),-('Diário 7º PA'!$P$5:$P$2271=I$1),('Diário 7º PA'!$F$5:$F$2271))+
SUMPRODUCT(-('Diário 8º PA'!$E$5:$E$2488='Analítico Cx.'!$B154),-('Diário 8º PA'!$P$5:$P$2488=I$1),('Diário 8º PA'!$F$5:$F$2488))</f>
        <v>0</v>
      </c>
      <c r="J154" s="185">
        <f>SUMPRODUCT(-('Diário 5º PA'!$E$5:$E$2634='Analítico Cx.'!$B154),-('Diário 5º PA'!$P$5:$P$2634=J$1),('Diário 5º PA'!$F$5:$F$2634))+
SUMPRODUCT(-('Diário 6º PA'!$E$5:$E$2246='Analítico Cx.'!$B154),-('Diário 6º PA'!$P$5:$P$2246=J$1),('Diário 6º PA'!$F$5:$F$2246))+
SUMPRODUCT(-('Diário 7º PA'!$E$5:$E$2271='Analítico Cx.'!$B154),-('Diário 7º PA'!$P$5:$P$2271=J$1),('Diário 7º PA'!$F$5:$F$2271))+
SUMPRODUCT(-('Diário 8º PA'!$E$5:$E$2488='Analítico Cx.'!$B154),-('Diário 8º PA'!$P$5:$P$2488=J$1),('Diário 8º PA'!$F$5:$F$2488))</f>
        <v>0</v>
      </c>
      <c r="K154" s="185">
        <f>SUMPRODUCT(-('Diário 5º PA'!$E$5:$E$2634='Analítico Cx.'!$B154),-('Diário 5º PA'!$P$5:$P$2634=K$1),('Diário 5º PA'!$F$5:$F$2634))+
SUMPRODUCT(-('Diário 6º PA'!$E$5:$E$2246='Analítico Cx.'!$B154),-('Diário 6º PA'!$P$5:$P$2246=K$1),('Diário 6º PA'!$F$5:$F$2246))+
SUMPRODUCT(-('Diário 7º PA'!$E$5:$E$2271='Analítico Cx.'!$B154),-('Diário 7º PA'!$P$5:$P$2271=K$1),('Diário 7º PA'!$F$5:$F$2271))+
SUMPRODUCT(-('Diário 8º PA'!$E$5:$E$2488='Analítico Cx.'!$B154),-('Diário 8º PA'!$P$5:$P$2488=K$1),('Diário 8º PA'!$F$5:$F$2488))</f>
        <v>0</v>
      </c>
      <c r="L154" s="185">
        <f>SUMPRODUCT(-('Diário 5º PA'!$E$5:$E$2634='Analítico Cx.'!$B154),-('Diário 5º PA'!$P$5:$P$2634=L$1),('Diário 5º PA'!$F$5:$F$2634))+
SUMPRODUCT(-('Diário 6º PA'!$E$5:$E$2246='Analítico Cx.'!$B154),-('Diário 6º PA'!$P$5:$P$2246=L$1),('Diário 6º PA'!$F$5:$F$2246))+
SUMPRODUCT(-('Diário 7º PA'!$E$5:$E$2271='Analítico Cx.'!$B154),-('Diário 7º PA'!$P$5:$P$2271=L$1),('Diário 7º PA'!$F$5:$F$2271))+
SUMPRODUCT(-('Diário 8º PA'!$E$5:$E$2488='Analítico Cx.'!$B154),-('Diário 8º PA'!$P$5:$P$2488=L$1),('Diário 8º PA'!$F$5:$F$2488))</f>
        <v>0</v>
      </c>
      <c r="M154" s="185">
        <f>SUMPRODUCT(-('Diário 5º PA'!$E$5:$E$2634='Analítico Cx.'!$B154),-('Diário 5º PA'!$P$5:$P$2634=M$1),('Diário 5º PA'!$F$5:$F$2634))+
SUMPRODUCT(-('Diário 6º PA'!$E$5:$E$2246='Analítico Cx.'!$B154),-('Diário 6º PA'!$P$5:$P$2246=M$1),('Diário 6º PA'!$F$5:$F$2246))+
SUMPRODUCT(-('Diário 7º PA'!$E$5:$E$2271='Analítico Cx.'!$B154),-('Diário 7º PA'!$P$5:$P$2271=M$1),('Diário 7º PA'!$F$5:$F$2271))+
SUMPRODUCT(-('Diário 8º PA'!$E$5:$E$2488='Analítico Cx.'!$B154),-('Diário 8º PA'!$P$5:$P$2488=M$1),('Diário 8º PA'!$F$5:$F$2488))</f>
        <v>0</v>
      </c>
      <c r="N154" s="185">
        <f>SUMPRODUCT(-('Diário 5º PA'!$E$5:$E$2634='Analítico Cx.'!$B154),-('Diário 5º PA'!$P$5:$P$2634=N$1),('Diário 5º PA'!$F$5:$F$2634))+
SUMPRODUCT(-('Diário 6º PA'!$E$5:$E$2246='Analítico Cx.'!$B154),-('Diário 6º PA'!$P$5:$P$2246=N$1),('Diário 6º PA'!$F$5:$F$2246))+
SUMPRODUCT(-('Diário 7º PA'!$E$5:$E$2271='Analítico Cx.'!$B154),-('Diário 7º PA'!$P$5:$P$2271=N$1),('Diário 7º PA'!$F$5:$F$2271))+
SUMPRODUCT(-('Diário 8º PA'!$E$5:$E$2488='Analítico Cx.'!$B154),-('Diário 8º PA'!$P$5:$P$2488=N$1),('Diário 8º PA'!$F$5:$F$2488))</f>
        <v>0</v>
      </c>
      <c r="O154" s="186">
        <f t="shared" si="19"/>
        <v>0</v>
      </c>
      <c r="P154" s="187">
        <f t="shared" si="20"/>
        <v>0</v>
      </c>
      <c r="Q154" s="34"/>
      <c r="R154" s="34"/>
      <c r="S154" s="34"/>
      <c r="T154" s="34"/>
      <c r="U154" s="34"/>
      <c r="V154" s="34"/>
      <c r="W154" s="34"/>
      <c r="X154" s="34"/>
      <c r="Y154" s="34"/>
      <c r="Z154" s="34"/>
    </row>
    <row r="155" spans="1:26" ht="23.25" customHeight="1" x14ac:dyDescent="0.2">
      <c r="A155" s="203" t="s">
        <v>398</v>
      </c>
      <c r="B155" s="204" t="s">
        <v>399</v>
      </c>
      <c r="C155" s="185">
        <f>SUMPRODUCT(-('Diário 5º PA'!$E$5:$E$2634='Analítico Cx.'!$B155),-('Diário 5º PA'!$P$5:$P$2634=C$1),('Diário 5º PA'!$F$5:$F$2634))+
SUMPRODUCT(-('Diário 6º PA'!$E$5:$E$2246='Analítico Cx.'!$B155),-('Diário 6º PA'!$P$5:$P$2246=C$1),('Diário 6º PA'!$F$5:$F$2246))+
SUMPRODUCT(-('Diário 7º PA'!$E$5:$E$2271='Analítico Cx.'!$B155),-('Diário 7º PA'!$P$5:$P$2271=C$1),('Diário 7º PA'!$F$5:$F$2271))+
SUMPRODUCT(-('Diário 8º PA'!$E$5:$E$2488='Analítico Cx.'!$B155),-('Diário 8º PA'!$P$5:$P$2488=C$1),('Diário 8º PA'!$F$5:$F$2488))</f>
        <v>0</v>
      </c>
      <c r="D155" s="185">
        <f>SUMPRODUCT(-('Diário 5º PA'!$E$5:$E$2634='Analítico Cx.'!$B155),-('Diário 5º PA'!$P$5:$P$2634=D$1),('Diário 5º PA'!$F$5:$F$2634))+
SUMPRODUCT(-('Diário 6º PA'!$E$5:$E$2246='Analítico Cx.'!$B155),-('Diário 6º PA'!$P$5:$P$2246=D$1),('Diário 6º PA'!$F$5:$F$2246))+
SUMPRODUCT(-('Diário 7º PA'!$E$5:$E$2271='Analítico Cx.'!$B155),-('Diário 7º PA'!$P$5:$P$2271=D$1),('Diário 7º PA'!$F$5:$F$2271))+
SUMPRODUCT(-('Diário 8º PA'!$E$5:$E$2488='Analítico Cx.'!$B155),-('Diário 8º PA'!$P$5:$P$2488=D$1),('Diário 8º PA'!$F$5:$F$2488))</f>
        <v>0</v>
      </c>
      <c r="E155" s="185">
        <f>SUMPRODUCT(-('Diário 5º PA'!$E$5:$E$2634='Analítico Cx.'!$B155),-('Diário 5º PA'!$P$5:$P$2634=E$1),('Diário 5º PA'!$F$5:$F$2634))+
SUMPRODUCT(-('Diário 6º PA'!$E$5:$E$2246='Analítico Cx.'!$B155),-('Diário 6º PA'!$P$5:$P$2246=E$1),('Diário 6º PA'!$F$5:$F$2246))+
SUMPRODUCT(-('Diário 7º PA'!$E$5:$E$2271='Analítico Cx.'!$B155),-('Diário 7º PA'!$P$5:$P$2271=E$1),('Diário 7º PA'!$F$5:$F$2271))+
SUMPRODUCT(-('Diário 8º PA'!$E$5:$E$2488='Analítico Cx.'!$B155),-('Diário 8º PA'!$P$5:$P$2488=E$1),('Diário 8º PA'!$F$5:$F$2488))</f>
        <v>0</v>
      </c>
      <c r="F155" s="185">
        <f>SUMPRODUCT(-('Diário 5º PA'!$E$5:$E$2634='Analítico Cx.'!$B155),-('Diário 5º PA'!$P$5:$P$2634=F$1),('Diário 5º PA'!$F$5:$F$2634))+
SUMPRODUCT(-('Diário 6º PA'!$E$5:$E$2246='Analítico Cx.'!$B155),-('Diário 6º PA'!$P$5:$P$2246=F$1),('Diário 6º PA'!$F$5:$F$2246))+
SUMPRODUCT(-('Diário 7º PA'!$E$5:$E$2271='Analítico Cx.'!$B155),-('Diário 7º PA'!$P$5:$P$2271=F$1),('Diário 7º PA'!$F$5:$F$2271))+
SUMPRODUCT(-('Diário 8º PA'!$E$5:$E$2488='Analítico Cx.'!$B155),-('Diário 8º PA'!$P$5:$P$2488=F$1),('Diário 8º PA'!$F$5:$F$2488))</f>
        <v>0</v>
      </c>
      <c r="G155" s="185">
        <f>SUMPRODUCT(-('Diário 5º PA'!$E$5:$E$2634='Analítico Cx.'!$B155),-('Diário 5º PA'!$P$5:$P$2634=G$1),('Diário 5º PA'!$F$5:$F$2634))+
SUMPRODUCT(-('Diário 6º PA'!$E$5:$E$2246='Analítico Cx.'!$B155),-('Diário 6º PA'!$P$5:$P$2246=G$1),('Diário 6º PA'!$F$5:$F$2246))+
SUMPRODUCT(-('Diário 7º PA'!$E$5:$E$2271='Analítico Cx.'!$B155),-('Diário 7º PA'!$P$5:$P$2271=G$1),('Diário 7º PA'!$F$5:$F$2271))+
SUMPRODUCT(-('Diário 8º PA'!$E$5:$E$2488='Analítico Cx.'!$B155),-('Diário 8º PA'!$P$5:$P$2488=G$1),('Diário 8º PA'!$F$5:$F$2488))</f>
        <v>0</v>
      </c>
      <c r="H155" s="185">
        <f>SUMPRODUCT(-('Diário 5º PA'!$E$5:$E$2634='Analítico Cx.'!$B155),-('Diário 5º PA'!$P$5:$P$2634=H$1),('Diário 5º PA'!$F$5:$F$2634))+
SUMPRODUCT(-('Diário 6º PA'!$E$5:$E$2246='Analítico Cx.'!$B155),-('Diário 6º PA'!$P$5:$P$2246=H$1),('Diário 6º PA'!$F$5:$F$2246))+
SUMPRODUCT(-('Diário 7º PA'!$E$5:$E$2271='Analítico Cx.'!$B155),-('Diário 7º PA'!$P$5:$P$2271=H$1),('Diário 7º PA'!$F$5:$F$2271))+
SUMPRODUCT(-('Diário 8º PA'!$E$5:$E$2488='Analítico Cx.'!$B155),-('Diário 8º PA'!$P$5:$P$2488=H$1),('Diário 8º PA'!$F$5:$F$2488))</f>
        <v>0</v>
      </c>
      <c r="I155" s="185">
        <f>SUMPRODUCT(-('Diário 5º PA'!$E$5:$E$2634='Analítico Cx.'!$B155),-('Diário 5º PA'!$P$5:$P$2634=I$1),('Diário 5º PA'!$F$5:$F$2634))+
SUMPRODUCT(-('Diário 6º PA'!$E$5:$E$2246='Analítico Cx.'!$B155),-('Diário 6º PA'!$P$5:$P$2246=I$1),('Diário 6º PA'!$F$5:$F$2246))+
SUMPRODUCT(-('Diário 7º PA'!$E$5:$E$2271='Analítico Cx.'!$B155),-('Diário 7º PA'!$P$5:$P$2271=I$1),('Diário 7º PA'!$F$5:$F$2271))+
SUMPRODUCT(-('Diário 8º PA'!$E$5:$E$2488='Analítico Cx.'!$B155),-('Diário 8º PA'!$P$5:$P$2488=I$1),('Diário 8º PA'!$F$5:$F$2488))</f>
        <v>0</v>
      </c>
      <c r="J155" s="185">
        <f>SUMPRODUCT(-('Diário 5º PA'!$E$5:$E$2634='Analítico Cx.'!$B155),-('Diário 5º PA'!$P$5:$P$2634=J$1),('Diário 5º PA'!$F$5:$F$2634))+
SUMPRODUCT(-('Diário 6º PA'!$E$5:$E$2246='Analítico Cx.'!$B155),-('Diário 6º PA'!$P$5:$P$2246=J$1),('Diário 6º PA'!$F$5:$F$2246))+
SUMPRODUCT(-('Diário 7º PA'!$E$5:$E$2271='Analítico Cx.'!$B155),-('Diário 7º PA'!$P$5:$P$2271=J$1),('Diário 7º PA'!$F$5:$F$2271))+
SUMPRODUCT(-('Diário 8º PA'!$E$5:$E$2488='Analítico Cx.'!$B155),-('Diário 8º PA'!$P$5:$P$2488=J$1),('Diário 8º PA'!$F$5:$F$2488))</f>
        <v>0</v>
      </c>
      <c r="K155" s="185">
        <f>SUMPRODUCT(-('Diário 5º PA'!$E$5:$E$2634='Analítico Cx.'!$B155),-('Diário 5º PA'!$P$5:$P$2634=K$1),('Diário 5º PA'!$F$5:$F$2634))+
SUMPRODUCT(-('Diário 6º PA'!$E$5:$E$2246='Analítico Cx.'!$B155),-('Diário 6º PA'!$P$5:$P$2246=K$1),('Diário 6º PA'!$F$5:$F$2246))+
SUMPRODUCT(-('Diário 7º PA'!$E$5:$E$2271='Analítico Cx.'!$B155),-('Diário 7º PA'!$P$5:$P$2271=K$1),('Diário 7º PA'!$F$5:$F$2271))+
SUMPRODUCT(-('Diário 8º PA'!$E$5:$E$2488='Analítico Cx.'!$B155),-('Diário 8º PA'!$P$5:$P$2488=K$1),('Diário 8º PA'!$F$5:$F$2488))</f>
        <v>0</v>
      </c>
      <c r="L155" s="185">
        <f>SUMPRODUCT(-('Diário 5º PA'!$E$5:$E$2634='Analítico Cx.'!$B155),-('Diário 5º PA'!$P$5:$P$2634=L$1),('Diário 5º PA'!$F$5:$F$2634))+
SUMPRODUCT(-('Diário 6º PA'!$E$5:$E$2246='Analítico Cx.'!$B155),-('Diário 6º PA'!$P$5:$P$2246=L$1),('Diário 6º PA'!$F$5:$F$2246))+
SUMPRODUCT(-('Diário 7º PA'!$E$5:$E$2271='Analítico Cx.'!$B155),-('Diário 7º PA'!$P$5:$P$2271=L$1),('Diário 7º PA'!$F$5:$F$2271))+
SUMPRODUCT(-('Diário 8º PA'!$E$5:$E$2488='Analítico Cx.'!$B155),-('Diário 8º PA'!$P$5:$P$2488=L$1),('Diário 8º PA'!$F$5:$F$2488))</f>
        <v>0</v>
      </c>
      <c r="M155" s="185">
        <f>SUMPRODUCT(-('Diário 5º PA'!$E$5:$E$2634='Analítico Cx.'!$B155),-('Diário 5º PA'!$P$5:$P$2634=M$1),('Diário 5º PA'!$F$5:$F$2634))+
SUMPRODUCT(-('Diário 6º PA'!$E$5:$E$2246='Analítico Cx.'!$B155),-('Diário 6º PA'!$P$5:$P$2246=M$1),('Diário 6º PA'!$F$5:$F$2246))+
SUMPRODUCT(-('Diário 7º PA'!$E$5:$E$2271='Analítico Cx.'!$B155),-('Diário 7º PA'!$P$5:$P$2271=M$1),('Diário 7º PA'!$F$5:$F$2271))+
SUMPRODUCT(-('Diário 8º PA'!$E$5:$E$2488='Analítico Cx.'!$B155),-('Diário 8º PA'!$P$5:$P$2488=M$1),('Diário 8º PA'!$F$5:$F$2488))</f>
        <v>0</v>
      </c>
      <c r="N155" s="185">
        <f>SUMPRODUCT(-('Diário 5º PA'!$E$5:$E$2634='Analítico Cx.'!$B155),-('Diário 5º PA'!$P$5:$P$2634=N$1),('Diário 5º PA'!$F$5:$F$2634))+
SUMPRODUCT(-('Diário 6º PA'!$E$5:$E$2246='Analítico Cx.'!$B155),-('Diário 6º PA'!$P$5:$P$2246=N$1),('Diário 6º PA'!$F$5:$F$2246))+
SUMPRODUCT(-('Diário 7º PA'!$E$5:$E$2271='Analítico Cx.'!$B155),-('Diário 7º PA'!$P$5:$P$2271=N$1),('Diário 7º PA'!$F$5:$F$2271))+
SUMPRODUCT(-('Diário 8º PA'!$E$5:$E$2488='Analítico Cx.'!$B155),-('Diário 8º PA'!$P$5:$P$2488=N$1),('Diário 8º PA'!$F$5:$F$2488))</f>
        <v>0</v>
      </c>
      <c r="O155" s="186">
        <f t="shared" si="19"/>
        <v>0</v>
      </c>
      <c r="P155" s="187">
        <f t="shared" si="20"/>
        <v>0</v>
      </c>
      <c r="Q155" s="34"/>
      <c r="R155" s="34"/>
      <c r="S155" s="34"/>
      <c r="T155" s="34"/>
      <c r="U155" s="34"/>
      <c r="V155" s="34"/>
      <c r="W155" s="34"/>
      <c r="X155" s="34"/>
      <c r="Y155" s="34"/>
      <c r="Z155" s="34"/>
    </row>
    <row r="156" spans="1:26" ht="23.25" customHeight="1" x14ac:dyDescent="0.2">
      <c r="A156" s="203" t="s">
        <v>400</v>
      </c>
      <c r="B156" s="204" t="s">
        <v>401</v>
      </c>
      <c r="C156" s="185">
        <f>SUMPRODUCT(-('Diário 5º PA'!$E$5:$E$2634='Analítico Cx.'!$B156),-('Diário 5º PA'!$P$5:$P$2634=C$1),('Diário 5º PA'!$F$5:$F$2634))+
SUMPRODUCT(-('Diário 6º PA'!$E$5:$E$2246='Analítico Cx.'!$B156),-('Diário 6º PA'!$P$5:$P$2246=C$1),('Diário 6º PA'!$F$5:$F$2246))+
SUMPRODUCT(-('Diário 7º PA'!$E$5:$E$2271='Analítico Cx.'!$B156),-('Diário 7º PA'!$P$5:$P$2271=C$1),('Diário 7º PA'!$F$5:$F$2271))+
SUMPRODUCT(-('Diário 8º PA'!$E$5:$E$2488='Analítico Cx.'!$B156),-('Diário 8º PA'!$P$5:$P$2488=C$1),('Diário 8º PA'!$F$5:$F$2488))</f>
        <v>0</v>
      </c>
      <c r="D156" s="185">
        <f>SUMPRODUCT(-('Diário 5º PA'!$E$5:$E$2634='Analítico Cx.'!$B156),-('Diário 5º PA'!$P$5:$P$2634=D$1),('Diário 5º PA'!$F$5:$F$2634))+
SUMPRODUCT(-('Diário 6º PA'!$E$5:$E$2246='Analítico Cx.'!$B156),-('Diário 6º PA'!$P$5:$P$2246=D$1),('Diário 6º PA'!$F$5:$F$2246))+
SUMPRODUCT(-('Diário 7º PA'!$E$5:$E$2271='Analítico Cx.'!$B156),-('Diário 7º PA'!$P$5:$P$2271=D$1),('Diário 7º PA'!$F$5:$F$2271))+
SUMPRODUCT(-('Diário 8º PA'!$E$5:$E$2488='Analítico Cx.'!$B156),-('Diário 8º PA'!$P$5:$P$2488=D$1),('Diário 8º PA'!$F$5:$F$2488))</f>
        <v>0</v>
      </c>
      <c r="E156" s="185">
        <f>SUMPRODUCT(-('Diário 5º PA'!$E$5:$E$2634='Analítico Cx.'!$B156),-('Diário 5º PA'!$P$5:$P$2634=E$1),('Diário 5º PA'!$F$5:$F$2634))+
SUMPRODUCT(-('Diário 6º PA'!$E$5:$E$2246='Analítico Cx.'!$B156),-('Diário 6º PA'!$P$5:$P$2246=E$1),('Diário 6º PA'!$F$5:$F$2246))+
SUMPRODUCT(-('Diário 7º PA'!$E$5:$E$2271='Analítico Cx.'!$B156),-('Diário 7º PA'!$P$5:$P$2271=E$1),('Diário 7º PA'!$F$5:$F$2271))+
SUMPRODUCT(-('Diário 8º PA'!$E$5:$E$2488='Analítico Cx.'!$B156),-('Diário 8º PA'!$P$5:$P$2488=E$1),('Diário 8º PA'!$F$5:$F$2488))</f>
        <v>0</v>
      </c>
      <c r="F156" s="185">
        <f>SUMPRODUCT(-('Diário 5º PA'!$E$5:$E$2634='Analítico Cx.'!$B156),-('Diário 5º PA'!$P$5:$P$2634=F$1),('Diário 5º PA'!$F$5:$F$2634))+
SUMPRODUCT(-('Diário 6º PA'!$E$5:$E$2246='Analítico Cx.'!$B156),-('Diário 6º PA'!$P$5:$P$2246=F$1),('Diário 6º PA'!$F$5:$F$2246))+
SUMPRODUCT(-('Diário 7º PA'!$E$5:$E$2271='Analítico Cx.'!$B156),-('Diário 7º PA'!$P$5:$P$2271=F$1),('Diário 7º PA'!$F$5:$F$2271))+
SUMPRODUCT(-('Diário 8º PA'!$E$5:$E$2488='Analítico Cx.'!$B156),-('Diário 8º PA'!$P$5:$P$2488=F$1),('Diário 8º PA'!$F$5:$F$2488))</f>
        <v>0</v>
      </c>
      <c r="G156" s="185">
        <f>SUMPRODUCT(-('Diário 5º PA'!$E$5:$E$2634='Analítico Cx.'!$B156),-('Diário 5º PA'!$P$5:$P$2634=G$1),('Diário 5º PA'!$F$5:$F$2634))+
SUMPRODUCT(-('Diário 6º PA'!$E$5:$E$2246='Analítico Cx.'!$B156),-('Diário 6º PA'!$P$5:$P$2246=G$1),('Diário 6º PA'!$F$5:$F$2246))+
SUMPRODUCT(-('Diário 7º PA'!$E$5:$E$2271='Analítico Cx.'!$B156),-('Diário 7º PA'!$P$5:$P$2271=G$1),('Diário 7º PA'!$F$5:$F$2271))+
SUMPRODUCT(-('Diário 8º PA'!$E$5:$E$2488='Analítico Cx.'!$B156),-('Diário 8º PA'!$P$5:$P$2488=G$1),('Diário 8º PA'!$F$5:$F$2488))</f>
        <v>0</v>
      </c>
      <c r="H156" s="185">
        <f>SUMPRODUCT(-('Diário 5º PA'!$E$5:$E$2634='Analítico Cx.'!$B156),-('Diário 5º PA'!$P$5:$P$2634=H$1),('Diário 5º PA'!$F$5:$F$2634))+
SUMPRODUCT(-('Diário 6º PA'!$E$5:$E$2246='Analítico Cx.'!$B156),-('Diário 6º PA'!$P$5:$P$2246=H$1),('Diário 6º PA'!$F$5:$F$2246))+
SUMPRODUCT(-('Diário 7º PA'!$E$5:$E$2271='Analítico Cx.'!$B156),-('Diário 7º PA'!$P$5:$P$2271=H$1),('Diário 7º PA'!$F$5:$F$2271))+
SUMPRODUCT(-('Diário 8º PA'!$E$5:$E$2488='Analítico Cx.'!$B156),-('Diário 8º PA'!$P$5:$P$2488=H$1),('Diário 8º PA'!$F$5:$F$2488))</f>
        <v>0</v>
      </c>
      <c r="I156" s="185">
        <f>SUMPRODUCT(-('Diário 5º PA'!$E$5:$E$2634='Analítico Cx.'!$B156),-('Diário 5º PA'!$P$5:$P$2634=I$1),('Diário 5º PA'!$F$5:$F$2634))+
SUMPRODUCT(-('Diário 6º PA'!$E$5:$E$2246='Analítico Cx.'!$B156),-('Diário 6º PA'!$P$5:$P$2246=I$1),('Diário 6º PA'!$F$5:$F$2246))+
SUMPRODUCT(-('Diário 7º PA'!$E$5:$E$2271='Analítico Cx.'!$B156),-('Diário 7º PA'!$P$5:$P$2271=I$1),('Diário 7º PA'!$F$5:$F$2271))+
SUMPRODUCT(-('Diário 8º PA'!$E$5:$E$2488='Analítico Cx.'!$B156),-('Diário 8º PA'!$P$5:$P$2488=I$1),('Diário 8º PA'!$F$5:$F$2488))</f>
        <v>0</v>
      </c>
      <c r="J156" s="185">
        <f>SUMPRODUCT(-('Diário 5º PA'!$E$5:$E$2634='Analítico Cx.'!$B156),-('Diário 5º PA'!$P$5:$P$2634=J$1),('Diário 5º PA'!$F$5:$F$2634))+
SUMPRODUCT(-('Diário 6º PA'!$E$5:$E$2246='Analítico Cx.'!$B156),-('Diário 6º PA'!$P$5:$P$2246=J$1),('Diário 6º PA'!$F$5:$F$2246))+
SUMPRODUCT(-('Diário 7º PA'!$E$5:$E$2271='Analítico Cx.'!$B156),-('Diário 7º PA'!$P$5:$P$2271=J$1),('Diário 7º PA'!$F$5:$F$2271))+
SUMPRODUCT(-('Diário 8º PA'!$E$5:$E$2488='Analítico Cx.'!$B156),-('Diário 8º PA'!$P$5:$P$2488=J$1),('Diário 8º PA'!$F$5:$F$2488))</f>
        <v>0</v>
      </c>
      <c r="K156" s="185">
        <f>SUMPRODUCT(-('Diário 5º PA'!$E$5:$E$2634='Analítico Cx.'!$B156),-('Diário 5º PA'!$P$5:$P$2634=K$1),('Diário 5º PA'!$F$5:$F$2634))+
SUMPRODUCT(-('Diário 6º PA'!$E$5:$E$2246='Analítico Cx.'!$B156),-('Diário 6º PA'!$P$5:$P$2246=K$1),('Diário 6º PA'!$F$5:$F$2246))+
SUMPRODUCT(-('Diário 7º PA'!$E$5:$E$2271='Analítico Cx.'!$B156),-('Diário 7º PA'!$P$5:$P$2271=K$1),('Diário 7º PA'!$F$5:$F$2271))+
SUMPRODUCT(-('Diário 8º PA'!$E$5:$E$2488='Analítico Cx.'!$B156),-('Diário 8º PA'!$P$5:$P$2488=K$1),('Diário 8º PA'!$F$5:$F$2488))</f>
        <v>0</v>
      </c>
      <c r="L156" s="185">
        <f>SUMPRODUCT(-('Diário 5º PA'!$E$5:$E$2634='Analítico Cx.'!$B156),-('Diário 5º PA'!$P$5:$P$2634=L$1),('Diário 5º PA'!$F$5:$F$2634))+
SUMPRODUCT(-('Diário 6º PA'!$E$5:$E$2246='Analítico Cx.'!$B156),-('Diário 6º PA'!$P$5:$P$2246=L$1),('Diário 6º PA'!$F$5:$F$2246))+
SUMPRODUCT(-('Diário 7º PA'!$E$5:$E$2271='Analítico Cx.'!$B156),-('Diário 7º PA'!$P$5:$P$2271=L$1),('Diário 7º PA'!$F$5:$F$2271))+
SUMPRODUCT(-('Diário 8º PA'!$E$5:$E$2488='Analítico Cx.'!$B156),-('Diário 8º PA'!$P$5:$P$2488=L$1),('Diário 8º PA'!$F$5:$F$2488))</f>
        <v>0</v>
      </c>
      <c r="M156" s="185">
        <f>SUMPRODUCT(-('Diário 5º PA'!$E$5:$E$2634='Analítico Cx.'!$B156),-('Diário 5º PA'!$P$5:$P$2634=M$1),('Diário 5º PA'!$F$5:$F$2634))+
SUMPRODUCT(-('Diário 6º PA'!$E$5:$E$2246='Analítico Cx.'!$B156),-('Diário 6º PA'!$P$5:$P$2246=M$1),('Diário 6º PA'!$F$5:$F$2246))+
SUMPRODUCT(-('Diário 7º PA'!$E$5:$E$2271='Analítico Cx.'!$B156),-('Diário 7º PA'!$P$5:$P$2271=M$1),('Diário 7º PA'!$F$5:$F$2271))+
SUMPRODUCT(-('Diário 8º PA'!$E$5:$E$2488='Analítico Cx.'!$B156),-('Diário 8º PA'!$P$5:$P$2488=M$1),('Diário 8º PA'!$F$5:$F$2488))</f>
        <v>0</v>
      </c>
      <c r="N156" s="185">
        <f>SUMPRODUCT(-('Diário 5º PA'!$E$5:$E$2634='Analítico Cx.'!$B156),-('Diário 5º PA'!$P$5:$P$2634=N$1),('Diário 5º PA'!$F$5:$F$2634))+
SUMPRODUCT(-('Diário 6º PA'!$E$5:$E$2246='Analítico Cx.'!$B156),-('Diário 6º PA'!$P$5:$P$2246=N$1),('Diário 6º PA'!$F$5:$F$2246))+
SUMPRODUCT(-('Diário 7º PA'!$E$5:$E$2271='Analítico Cx.'!$B156),-('Diário 7º PA'!$P$5:$P$2271=N$1),('Diário 7º PA'!$F$5:$F$2271))+
SUMPRODUCT(-('Diário 8º PA'!$E$5:$E$2488='Analítico Cx.'!$B156),-('Diário 8º PA'!$P$5:$P$2488=N$1),('Diário 8º PA'!$F$5:$F$2488))</f>
        <v>0</v>
      </c>
      <c r="O156" s="186">
        <f t="shared" si="19"/>
        <v>0</v>
      </c>
      <c r="P156" s="187">
        <f t="shared" si="20"/>
        <v>0</v>
      </c>
      <c r="Q156" s="34"/>
      <c r="R156" s="34"/>
      <c r="S156" s="34"/>
      <c r="T156" s="34"/>
      <c r="U156" s="34"/>
      <c r="V156" s="34"/>
      <c r="W156" s="34"/>
      <c r="X156" s="34"/>
      <c r="Y156" s="34"/>
      <c r="Z156" s="34"/>
    </row>
    <row r="157" spans="1:26" ht="23.25" customHeight="1" x14ac:dyDescent="0.2">
      <c r="A157" s="203" t="s">
        <v>402</v>
      </c>
      <c r="B157" s="204" t="s">
        <v>403</v>
      </c>
      <c r="C157" s="185">
        <f>SUMPRODUCT(-('Diário 5º PA'!$E$5:$E$2634='Analítico Cx.'!$B157),-('Diário 5º PA'!$P$5:$P$2634=C$1),('Diário 5º PA'!$F$5:$F$2634))+
SUMPRODUCT(-('Diário 6º PA'!$E$5:$E$2246='Analítico Cx.'!$B157),-('Diário 6º PA'!$P$5:$P$2246=C$1),('Diário 6º PA'!$F$5:$F$2246))+
SUMPRODUCT(-('Diário 7º PA'!$E$5:$E$2271='Analítico Cx.'!$B157),-('Diário 7º PA'!$P$5:$P$2271=C$1),('Diário 7º PA'!$F$5:$F$2271))+
SUMPRODUCT(-('Diário 8º PA'!$E$5:$E$2488='Analítico Cx.'!$B157),-('Diário 8º PA'!$P$5:$P$2488=C$1),('Diário 8º PA'!$F$5:$F$2488))</f>
        <v>0</v>
      </c>
      <c r="D157" s="185">
        <f>SUMPRODUCT(-('Diário 5º PA'!$E$5:$E$2634='Analítico Cx.'!$B157),-('Diário 5º PA'!$P$5:$P$2634=D$1),('Diário 5º PA'!$F$5:$F$2634))+
SUMPRODUCT(-('Diário 6º PA'!$E$5:$E$2246='Analítico Cx.'!$B157),-('Diário 6º PA'!$P$5:$P$2246=D$1),('Diário 6º PA'!$F$5:$F$2246))+
SUMPRODUCT(-('Diário 7º PA'!$E$5:$E$2271='Analítico Cx.'!$B157),-('Diário 7º PA'!$P$5:$P$2271=D$1),('Diário 7º PA'!$F$5:$F$2271))+
SUMPRODUCT(-('Diário 8º PA'!$E$5:$E$2488='Analítico Cx.'!$B157),-('Diário 8º PA'!$P$5:$P$2488=D$1),('Diário 8º PA'!$F$5:$F$2488))</f>
        <v>0</v>
      </c>
      <c r="E157" s="185">
        <f>SUMPRODUCT(-('Diário 5º PA'!$E$5:$E$2634='Analítico Cx.'!$B157),-('Diário 5º PA'!$P$5:$P$2634=E$1),('Diário 5º PA'!$F$5:$F$2634))+
SUMPRODUCT(-('Diário 6º PA'!$E$5:$E$2246='Analítico Cx.'!$B157),-('Diário 6º PA'!$P$5:$P$2246=E$1),('Diário 6º PA'!$F$5:$F$2246))+
SUMPRODUCT(-('Diário 7º PA'!$E$5:$E$2271='Analítico Cx.'!$B157),-('Diário 7º PA'!$P$5:$P$2271=E$1),('Diário 7º PA'!$F$5:$F$2271))+
SUMPRODUCT(-('Diário 8º PA'!$E$5:$E$2488='Analítico Cx.'!$B157),-('Diário 8º PA'!$P$5:$P$2488=E$1),('Diário 8º PA'!$F$5:$F$2488))</f>
        <v>0</v>
      </c>
      <c r="F157" s="185">
        <f>SUMPRODUCT(-('Diário 5º PA'!$E$5:$E$2634='Analítico Cx.'!$B157),-('Diário 5º PA'!$P$5:$P$2634=F$1),('Diário 5º PA'!$F$5:$F$2634))+
SUMPRODUCT(-('Diário 6º PA'!$E$5:$E$2246='Analítico Cx.'!$B157),-('Diário 6º PA'!$P$5:$P$2246=F$1),('Diário 6º PA'!$F$5:$F$2246))+
SUMPRODUCT(-('Diário 7º PA'!$E$5:$E$2271='Analítico Cx.'!$B157),-('Diário 7º PA'!$P$5:$P$2271=F$1),('Diário 7º PA'!$F$5:$F$2271))+
SUMPRODUCT(-('Diário 8º PA'!$E$5:$E$2488='Analítico Cx.'!$B157),-('Diário 8º PA'!$P$5:$P$2488=F$1),('Diário 8º PA'!$F$5:$F$2488))</f>
        <v>0</v>
      </c>
      <c r="G157" s="185">
        <f>SUMPRODUCT(-('Diário 5º PA'!$E$5:$E$2634='Analítico Cx.'!$B157),-('Diário 5º PA'!$P$5:$P$2634=G$1),('Diário 5º PA'!$F$5:$F$2634))+
SUMPRODUCT(-('Diário 6º PA'!$E$5:$E$2246='Analítico Cx.'!$B157),-('Diário 6º PA'!$P$5:$P$2246=G$1),('Diário 6º PA'!$F$5:$F$2246))+
SUMPRODUCT(-('Diário 7º PA'!$E$5:$E$2271='Analítico Cx.'!$B157),-('Diário 7º PA'!$P$5:$P$2271=G$1),('Diário 7º PA'!$F$5:$F$2271))+
SUMPRODUCT(-('Diário 8º PA'!$E$5:$E$2488='Analítico Cx.'!$B157),-('Diário 8º PA'!$P$5:$P$2488=G$1),('Diário 8º PA'!$F$5:$F$2488))</f>
        <v>0</v>
      </c>
      <c r="H157" s="185">
        <f>SUMPRODUCT(-('Diário 5º PA'!$E$5:$E$2634='Analítico Cx.'!$B157),-('Diário 5º PA'!$P$5:$P$2634=H$1),('Diário 5º PA'!$F$5:$F$2634))+
SUMPRODUCT(-('Diário 6º PA'!$E$5:$E$2246='Analítico Cx.'!$B157),-('Diário 6º PA'!$P$5:$P$2246=H$1),('Diário 6º PA'!$F$5:$F$2246))+
SUMPRODUCT(-('Diário 7º PA'!$E$5:$E$2271='Analítico Cx.'!$B157),-('Diário 7º PA'!$P$5:$P$2271=H$1),('Diário 7º PA'!$F$5:$F$2271))+
SUMPRODUCT(-('Diário 8º PA'!$E$5:$E$2488='Analítico Cx.'!$B157),-('Diário 8º PA'!$P$5:$P$2488=H$1),('Diário 8º PA'!$F$5:$F$2488))</f>
        <v>0</v>
      </c>
      <c r="I157" s="185">
        <f>SUMPRODUCT(-('Diário 5º PA'!$E$5:$E$2634='Analítico Cx.'!$B157),-('Diário 5º PA'!$P$5:$P$2634=I$1),('Diário 5º PA'!$F$5:$F$2634))+
SUMPRODUCT(-('Diário 6º PA'!$E$5:$E$2246='Analítico Cx.'!$B157),-('Diário 6º PA'!$P$5:$P$2246=I$1),('Diário 6º PA'!$F$5:$F$2246))+
SUMPRODUCT(-('Diário 7º PA'!$E$5:$E$2271='Analítico Cx.'!$B157),-('Diário 7º PA'!$P$5:$P$2271=I$1),('Diário 7º PA'!$F$5:$F$2271))+
SUMPRODUCT(-('Diário 8º PA'!$E$5:$E$2488='Analítico Cx.'!$B157),-('Diário 8º PA'!$P$5:$P$2488=I$1),('Diário 8º PA'!$F$5:$F$2488))</f>
        <v>0</v>
      </c>
      <c r="J157" s="185">
        <f>SUMPRODUCT(-('Diário 5º PA'!$E$5:$E$2634='Analítico Cx.'!$B157),-('Diário 5º PA'!$P$5:$P$2634=J$1),('Diário 5º PA'!$F$5:$F$2634))+
SUMPRODUCT(-('Diário 6º PA'!$E$5:$E$2246='Analítico Cx.'!$B157),-('Diário 6º PA'!$P$5:$P$2246=J$1),('Diário 6º PA'!$F$5:$F$2246))+
SUMPRODUCT(-('Diário 7º PA'!$E$5:$E$2271='Analítico Cx.'!$B157),-('Diário 7º PA'!$P$5:$P$2271=J$1),('Diário 7º PA'!$F$5:$F$2271))+
SUMPRODUCT(-('Diário 8º PA'!$E$5:$E$2488='Analítico Cx.'!$B157),-('Diário 8º PA'!$P$5:$P$2488=J$1),('Diário 8º PA'!$F$5:$F$2488))</f>
        <v>0</v>
      </c>
      <c r="K157" s="185">
        <f>SUMPRODUCT(-('Diário 5º PA'!$E$5:$E$2634='Analítico Cx.'!$B157),-('Diário 5º PA'!$P$5:$P$2634=K$1),('Diário 5º PA'!$F$5:$F$2634))+
SUMPRODUCT(-('Diário 6º PA'!$E$5:$E$2246='Analítico Cx.'!$B157),-('Diário 6º PA'!$P$5:$P$2246=K$1),('Diário 6º PA'!$F$5:$F$2246))+
SUMPRODUCT(-('Diário 7º PA'!$E$5:$E$2271='Analítico Cx.'!$B157),-('Diário 7º PA'!$P$5:$P$2271=K$1),('Diário 7º PA'!$F$5:$F$2271))+
SUMPRODUCT(-('Diário 8º PA'!$E$5:$E$2488='Analítico Cx.'!$B157),-('Diário 8º PA'!$P$5:$P$2488=K$1),('Diário 8º PA'!$F$5:$F$2488))</f>
        <v>0</v>
      </c>
      <c r="L157" s="185">
        <f>SUMPRODUCT(-('Diário 5º PA'!$E$5:$E$2634='Analítico Cx.'!$B157),-('Diário 5º PA'!$P$5:$P$2634=L$1),('Diário 5º PA'!$F$5:$F$2634))+
SUMPRODUCT(-('Diário 6º PA'!$E$5:$E$2246='Analítico Cx.'!$B157),-('Diário 6º PA'!$P$5:$P$2246=L$1),('Diário 6º PA'!$F$5:$F$2246))+
SUMPRODUCT(-('Diário 7º PA'!$E$5:$E$2271='Analítico Cx.'!$B157),-('Diário 7º PA'!$P$5:$P$2271=L$1),('Diário 7º PA'!$F$5:$F$2271))+
SUMPRODUCT(-('Diário 8º PA'!$E$5:$E$2488='Analítico Cx.'!$B157),-('Diário 8º PA'!$P$5:$P$2488=L$1),('Diário 8º PA'!$F$5:$F$2488))</f>
        <v>0</v>
      </c>
      <c r="M157" s="185">
        <f>SUMPRODUCT(-('Diário 5º PA'!$E$5:$E$2634='Analítico Cx.'!$B157),-('Diário 5º PA'!$P$5:$P$2634=M$1),('Diário 5º PA'!$F$5:$F$2634))+
SUMPRODUCT(-('Diário 6º PA'!$E$5:$E$2246='Analítico Cx.'!$B157),-('Diário 6º PA'!$P$5:$P$2246=M$1),('Diário 6º PA'!$F$5:$F$2246))+
SUMPRODUCT(-('Diário 7º PA'!$E$5:$E$2271='Analítico Cx.'!$B157),-('Diário 7º PA'!$P$5:$P$2271=M$1),('Diário 7º PA'!$F$5:$F$2271))+
SUMPRODUCT(-('Diário 8º PA'!$E$5:$E$2488='Analítico Cx.'!$B157),-('Diário 8º PA'!$P$5:$P$2488=M$1),('Diário 8º PA'!$F$5:$F$2488))</f>
        <v>0</v>
      </c>
      <c r="N157" s="185">
        <f>SUMPRODUCT(-('Diário 5º PA'!$E$5:$E$2634='Analítico Cx.'!$B157),-('Diário 5º PA'!$P$5:$P$2634=N$1),('Diário 5º PA'!$F$5:$F$2634))+
SUMPRODUCT(-('Diário 6º PA'!$E$5:$E$2246='Analítico Cx.'!$B157),-('Diário 6º PA'!$P$5:$P$2246=N$1),('Diário 6º PA'!$F$5:$F$2246))+
SUMPRODUCT(-('Diário 7º PA'!$E$5:$E$2271='Analítico Cx.'!$B157),-('Diário 7º PA'!$P$5:$P$2271=N$1),('Diário 7º PA'!$F$5:$F$2271))+
SUMPRODUCT(-('Diário 8º PA'!$E$5:$E$2488='Analítico Cx.'!$B157),-('Diário 8º PA'!$P$5:$P$2488=N$1),('Diário 8º PA'!$F$5:$F$2488))</f>
        <v>0</v>
      </c>
      <c r="O157" s="186">
        <f t="shared" si="19"/>
        <v>0</v>
      </c>
      <c r="P157" s="187">
        <f t="shared" si="20"/>
        <v>0</v>
      </c>
      <c r="Q157" s="34"/>
      <c r="R157" s="34"/>
      <c r="S157" s="34"/>
      <c r="T157" s="34"/>
      <c r="U157" s="34"/>
      <c r="V157" s="34"/>
      <c r="W157" s="34"/>
      <c r="X157" s="34"/>
      <c r="Y157" s="34"/>
      <c r="Z157" s="34"/>
    </row>
    <row r="158" spans="1:26" ht="23.25" customHeight="1" x14ac:dyDescent="0.2">
      <c r="A158" s="203" t="s">
        <v>404</v>
      </c>
      <c r="B158" s="204" t="s">
        <v>405</v>
      </c>
      <c r="C158" s="185">
        <f>SUMPRODUCT(-('Diário 5º PA'!$E$5:$E$2634='Analítico Cx.'!$B158),-('Diário 5º PA'!$P$5:$P$2634=C$1),('Diário 5º PA'!$F$5:$F$2634))+
SUMPRODUCT(-('Diário 6º PA'!$E$5:$E$2246='Analítico Cx.'!$B158),-('Diário 6º PA'!$P$5:$P$2246=C$1),('Diário 6º PA'!$F$5:$F$2246))+
SUMPRODUCT(-('Diário 7º PA'!$E$5:$E$2271='Analítico Cx.'!$B158),-('Diário 7º PA'!$P$5:$P$2271=C$1),('Diário 7º PA'!$F$5:$F$2271))+
SUMPRODUCT(-('Diário 8º PA'!$E$5:$E$2488='Analítico Cx.'!$B158),-('Diário 8º PA'!$P$5:$P$2488=C$1),('Diário 8º PA'!$F$5:$F$2488))</f>
        <v>0</v>
      </c>
      <c r="D158" s="185">
        <f>SUMPRODUCT(-('Diário 5º PA'!$E$5:$E$2634='Analítico Cx.'!$B158),-('Diário 5º PA'!$P$5:$P$2634=D$1),('Diário 5º PA'!$F$5:$F$2634))+
SUMPRODUCT(-('Diário 6º PA'!$E$5:$E$2246='Analítico Cx.'!$B158),-('Diário 6º PA'!$P$5:$P$2246=D$1),('Diário 6º PA'!$F$5:$F$2246))+
SUMPRODUCT(-('Diário 7º PA'!$E$5:$E$2271='Analítico Cx.'!$B158),-('Diário 7º PA'!$P$5:$P$2271=D$1),('Diário 7º PA'!$F$5:$F$2271))+
SUMPRODUCT(-('Diário 8º PA'!$E$5:$E$2488='Analítico Cx.'!$B158),-('Diário 8º PA'!$P$5:$P$2488=D$1),('Diário 8º PA'!$F$5:$F$2488))</f>
        <v>0</v>
      </c>
      <c r="E158" s="185">
        <f>SUMPRODUCT(-('Diário 5º PA'!$E$5:$E$2634='Analítico Cx.'!$B158),-('Diário 5º PA'!$P$5:$P$2634=E$1),('Diário 5º PA'!$F$5:$F$2634))+
SUMPRODUCT(-('Diário 6º PA'!$E$5:$E$2246='Analítico Cx.'!$B158),-('Diário 6º PA'!$P$5:$P$2246=E$1),('Diário 6º PA'!$F$5:$F$2246))+
SUMPRODUCT(-('Diário 7º PA'!$E$5:$E$2271='Analítico Cx.'!$B158),-('Diário 7º PA'!$P$5:$P$2271=E$1),('Diário 7º PA'!$F$5:$F$2271))+
SUMPRODUCT(-('Diário 8º PA'!$E$5:$E$2488='Analítico Cx.'!$B158),-('Diário 8º PA'!$P$5:$P$2488=E$1),('Diário 8º PA'!$F$5:$F$2488))</f>
        <v>0</v>
      </c>
      <c r="F158" s="185">
        <f>SUMPRODUCT(-('Diário 5º PA'!$E$5:$E$2634='Analítico Cx.'!$B158),-('Diário 5º PA'!$P$5:$P$2634=F$1),('Diário 5º PA'!$F$5:$F$2634))+
SUMPRODUCT(-('Diário 6º PA'!$E$5:$E$2246='Analítico Cx.'!$B158),-('Diário 6º PA'!$P$5:$P$2246=F$1),('Diário 6º PA'!$F$5:$F$2246))+
SUMPRODUCT(-('Diário 7º PA'!$E$5:$E$2271='Analítico Cx.'!$B158),-('Diário 7º PA'!$P$5:$P$2271=F$1),('Diário 7º PA'!$F$5:$F$2271))+
SUMPRODUCT(-('Diário 8º PA'!$E$5:$E$2488='Analítico Cx.'!$B158),-('Diário 8º PA'!$P$5:$P$2488=F$1),('Diário 8º PA'!$F$5:$F$2488))</f>
        <v>0</v>
      </c>
      <c r="G158" s="185">
        <f>SUMPRODUCT(-('Diário 5º PA'!$E$5:$E$2634='Analítico Cx.'!$B158),-('Diário 5º PA'!$P$5:$P$2634=G$1),('Diário 5º PA'!$F$5:$F$2634))+
SUMPRODUCT(-('Diário 6º PA'!$E$5:$E$2246='Analítico Cx.'!$B158),-('Diário 6º PA'!$P$5:$P$2246=G$1),('Diário 6º PA'!$F$5:$F$2246))+
SUMPRODUCT(-('Diário 7º PA'!$E$5:$E$2271='Analítico Cx.'!$B158),-('Diário 7º PA'!$P$5:$P$2271=G$1),('Diário 7º PA'!$F$5:$F$2271))+
SUMPRODUCT(-('Diário 8º PA'!$E$5:$E$2488='Analítico Cx.'!$B158),-('Diário 8º PA'!$P$5:$P$2488=G$1),('Diário 8º PA'!$F$5:$F$2488))</f>
        <v>0</v>
      </c>
      <c r="H158" s="185">
        <f>SUMPRODUCT(-('Diário 5º PA'!$E$5:$E$2634='Analítico Cx.'!$B158),-('Diário 5º PA'!$P$5:$P$2634=H$1),('Diário 5º PA'!$F$5:$F$2634))+
SUMPRODUCT(-('Diário 6º PA'!$E$5:$E$2246='Analítico Cx.'!$B158),-('Diário 6º PA'!$P$5:$P$2246=H$1),('Diário 6º PA'!$F$5:$F$2246))+
SUMPRODUCT(-('Diário 7º PA'!$E$5:$E$2271='Analítico Cx.'!$B158),-('Diário 7º PA'!$P$5:$P$2271=H$1),('Diário 7º PA'!$F$5:$F$2271))+
SUMPRODUCT(-('Diário 8º PA'!$E$5:$E$2488='Analítico Cx.'!$B158),-('Diário 8º PA'!$P$5:$P$2488=H$1),('Diário 8º PA'!$F$5:$F$2488))</f>
        <v>0</v>
      </c>
      <c r="I158" s="185">
        <f>SUMPRODUCT(-('Diário 5º PA'!$E$5:$E$2634='Analítico Cx.'!$B158),-('Diário 5º PA'!$P$5:$P$2634=I$1),('Diário 5º PA'!$F$5:$F$2634))+
SUMPRODUCT(-('Diário 6º PA'!$E$5:$E$2246='Analítico Cx.'!$B158),-('Diário 6º PA'!$P$5:$P$2246=I$1),('Diário 6º PA'!$F$5:$F$2246))+
SUMPRODUCT(-('Diário 7º PA'!$E$5:$E$2271='Analítico Cx.'!$B158),-('Diário 7º PA'!$P$5:$P$2271=I$1),('Diário 7º PA'!$F$5:$F$2271))+
SUMPRODUCT(-('Diário 8º PA'!$E$5:$E$2488='Analítico Cx.'!$B158),-('Diário 8º PA'!$P$5:$P$2488=I$1),('Diário 8º PA'!$F$5:$F$2488))</f>
        <v>0</v>
      </c>
      <c r="J158" s="185">
        <f>SUMPRODUCT(-('Diário 5º PA'!$E$5:$E$2634='Analítico Cx.'!$B158),-('Diário 5º PA'!$P$5:$P$2634=J$1),('Diário 5º PA'!$F$5:$F$2634))+
SUMPRODUCT(-('Diário 6º PA'!$E$5:$E$2246='Analítico Cx.'!$B158),-('Diário 6º PA'!$P$5:$P$2246=J$1),('Diário 6º PA'!$F$5:$F$2246))+
SUMPRODUCT(-('Diário 7º PA'!$E$5:$E$2271='Analítico Cx.'!$B158),-('Diário 7º PA'!$P$5:$P$2271=J$1),('Diário 7º PA'!$F$5:$F$2271))+
SUMPRODUCT(-('Diário 8º PA'!$E$5:$E$2488='Analítico Cx.'!$B158),-('Diário 8º PA'!$P$5:$P$2488=J$1),('Diário 8º PA'!$F$5:$F$2488))</f>
        <v>0</v>
      </c>
      <c r="K158" s="185">
        <f>SUMPRODUCT(-('Diário 5º PA'!$E$5:$E$2634='Analítico Cx.'!$B158),-('Diário 5º PA'!$P$5:$P$2634=K$1),('Diário 5º PA'!$F$5:$F$2634))+
SUMPRODUCT(-('Diário 6º PA'!$E$5:$E$2246='Analítico Cx.'!$B158),-('Diário 6º PA'!$P$5:$P$2246=K$1),('Diário 6º PA'!$F$5:$F$2246))+
SUMPRODUCT(-('Diário 7º PA'!$E$5:$E$2271='Analítico Cx.'!$B158),-('Diário 7º PA'!$P$5:$P$2271=K$1),('Diário 7º PA'!$F$5:$F$2271))+
SUMPRODUCT(-('Diário 8º PA'!$E$5:$E$2488='Analítico Cx.'!$B158),-('Diário 8º PA'!$P$5:$P$2488=K$1),('Diário 8º PA'!$F$5:$F$2488))</f>
        <v>0</v>
      </c>
      <c r="L158" s="185">
        <f>SUMPRODUCT(-('Diário 5º PA'!$E$5:$E$2634='Analítico Cx.'!$B158),-('Diário 5º PA'!$P$5:$P$2634=L$1),('Diário 5º PA'!$F$5:$F$2634))+
SUMPRODUCT(-('Diário 6º PA'!$E$5:$E$2246='Analítico Cx.'!$B158),-('Diário 6º PA'!$P$5:$P$2246=L$1),('Diário 6º PA'!$F$5:$F$2246))+
SUMPRODUCT(-('Diário 7º PA'!$E$5:$E$2271='Analítico Cx.'!$B158),-('Diário 7º PA'!$P$5:$P$2271=L$1),('Diário 7º PA'!$F$5:$F$2271))+
SUMPRODUCT(-('Diário 8º PA'!$E$5:$E$2488='Analítico Cx.'!$B158),-('Diário 8º PA'!$P$5:$P$2488=L$1),('Diário 8º PA'!$F$5:$F$2488))</f>
        <v>0</v>
      </c>
      <c r="M158" s="185">
        <f>SUMPRODUCT(-('Diário 5º PA'!$E$5:$E$2634='Analítico Cx.'!$B158),-('Diário 5º PA'!$P$5:$P$2634=M$1),('Diário 5º PA'!$F$5:$F$2634))+
SUMPRODUCT(-('Diário 6º PA'!$E$5:$E$2246='Analítico Cx.'!$B158),-('Diário 6º PA'!$P$5:$P$2246=M$1),('Diário 6º PA'!$F$5:$F$2246))+
SUMPRODUCT(-('Diário 7º PA'!$E$5:$E$2271='Analítico Cx.'!$B158),-('Diário 7º PA'!$P$5:$P$2271=M$1),('Diário 7º PA'!$F$5:$F$2271))+
SUMPRODUCT(-('Diário 8º PA'!$E$5:$E$2488='Analítico Cx.'!$B158),-('Diário 8º PA'!$P$5:$P$2488=M$1),('Diário 8º PA'!$F$5:$F$2488))</f>
        <v>0</v>
      </c>
      <c r="N158" s="185">
        <f>SUMPRODUCT(-('Diário 5º PA'!$E$5:$E$2634='Analítico Cx.'!$B158),-('Diário 5º PA'!$P$5:$P$2634=N$1),('Diário 5º PA'!$F$5:$F$2634))+
SUMPRODUCT(-('Diário 6º PA'!$E$5:$E$2246='Analítico Cx.'!$B158),-('Diário 6º PA'!$P$5:$P$2246=N$1),('Diário 6º PA'!$F$5:$F$2246))+
SUMPRODUCT(-('Diário 7º PA'!$E$5:$E$2271='Analítico Cx.'!$B158),-('Diário 7º PA'!$P$5:$P$2271=N$1),('Diário 7º PA'!$F$5:$F$2271))+
SUMPRODUCT(-('Diário 8º PA'!$E$5:$E$2488='Analítico Cx.'!$B158),-('Diário 8º PA'!$P$5:$P$2488=N$1),('Diário 8º PA'!$F$5:$F$2488))</f>
        <v>0</v>
      </c>
      <c r="O158" s="186">
        <f t="shared" si="19"/>
        <v>0</v>
      </c>
      <c r="P158" s="187">
        <f t="shared" si="20"/>
        <v>0</v>
      </c>
      <c r="Q158" s="34"/>
      <c r="R158" s="34"/>
      <c r="S158" s="34"/>
      <c r="T158" s="34"/>
      <c r="U158" s="34"/>
      <c r="V158" s="34"/>
      <c r="W158" s="34"/>
      <c r="X158" s="34"/>
      <c r="Y158" s="34"/>
      <c r="Z158" s="34"/>
    </row>
    <row r="159" spans="1:26" ht="23.25" customHeight="1" x14ac:dyDescent="0.2">
      <c r="A159" s="203" t="s">
        <v>406</v>
      </c>
      <c r="B159" s="204" t="s">
        <v>407</v>
      </c>
      <c r="C159" s="185">
        <f>SUMPRODUCT(-('Diário 5º PA'!$E$5:$E$2634='Analítico Cx.'!$B159),-('Diário 5º PA'!$P$5:$P$2634=C$1),('Diário 5º PA'!$F$5:$F$2634))+
SUMPRODUCT(-('Diário 6º PA'!$E$5:$E$2246='Analítico Cx.'!$B159),-('Diário 6º PA'!$P$5:$P$2246=C$1),('Diário 6º PA'!$F$5:$F$2246))+
SUMPRODUCT(-('Diário 7º PA'!$E$5:$E$2271='Analítico Cx.'!$B159),-('Diário 7º PA'!$P$5:$P$2271=C$1),('Diário 7º PA'!$F$5:$F$2271))+
SUMPRODUCT(-('Diário 8º PA'!$E$5:$E$2488='Analítico Cx.'!$B159),-('Diário 8º PA'!$P$5:$P$2488=C$1),('Diário 8º PA'!$F$5:$F$2488))</f>
        <v>0</v>
      </c>
      <c r="D159" s="185">
        <f>SUMPRODUCT(-('Diário 5º PA'!$E$5:$E$2634='Analítico Cx.'!$B159),-('Diário 5º PA'!$P$5:$P$2634=D$1),('Diário 5º PA'!$F$5:$F$2634))+
SUMPRODUCT(-('Diário 6º PA'!$E$5:$E$2246='Analítico Cx.'!$B159),-('Diário 6º PA'!$P$5:$P$2246=D$1),('Diário 6º PA'!$F$5:$F$2246))+
SUMPRODUCT(-('Diário 7º PA'!$E$5:$E$2271='Analítico Cx.'!$B159),-('Diário 7º PA'!$P$5:$P$2271=D$1),('Diário 7º PA'!$F$5:$F$2271))+
SUMPRODUCT(-('Diário 8º PA'!$E$5:$E$2488='Analítico Cx.'!$B159),-('Diário 8º PA'!$P$5:$P$2488=D$1),('Diário 8º PA'!$F$5:$F$2488))</f>
        <v>0</v>
      </c>
      <c r="E159" s="185">
        <f>SUMPRODUCT(-('Diário 5º PA'!$E$5:$E$2634='Analítico Cx.'!$B159),-('Diário 5º PA'!$P$5:$P$2634=E$1),('Diário 5º PA'!$F$5:$F$2634))+
SUMPRODUCT(-('Diário 6º PA'!$E$5:$E$2246='Analítico Cx.'!$B159),-('Diário 6º PA'!$P$5:$P$2246=E$1),('Diário 6º PA'!$F$5:$F$2246))+
SUMPRODUCT(-('Diário 7º PA'!$E$5:$E$2271='Analítico Cx.'!$B159),-('Diário 7º PA'!$P$5:$P$2271=E$1),('Diário 7º PA'!$F$5:$F$2271))+
SUMPRODUCT(-('Diário 8º PA'!$E$5:$E$2488='Analítico Cx.'!$B159),-('Diário 8º PA'!$P$5:$P$2488=E$1),('Diário 8º PA'!$F$5:$F$2488))</f>
        <v>0</v>
      </c>
      <c r="F159" s="185">
        <f>SUMPRODUCT(-('Diário 5º PA'!$E$5:$E$2634='Analítico Cx.'!$B159),-('Diário 5º PA'!$P$5:$P$2634=F$1),('Diário 5º PA'!$F$5:$F$2634))+
SUMPRODUCT(-('Diário 6º PA'!$E$5:$E$2246='Analítico Cx.'!$B159),-('Diário 6º PA'!$P$5:$P$2246=F$1),('Diário 6º PA'!$F$5:$F$2246))+
SUMPRODUCT(-('Diário 7º PA'!$E$5:$E$2271='Analítico Cx.'!$B159),-('Diário 7º PA'!$P$5:$P$2271=F$1),('Diário 7º PA'!$F$5:$F$2271))+
SUMPRODUCT(-('Diário 8º PA'!$E$5:$E$2488='Analítico Cx.'!$B159),-('Diário 8º PA'!$P$5:$P$2488=F$1),('Diário 8º PA'!$F$5:$F$2488))</f>
        <v>0</v>
      </c>
      <c r="G159" s="185">
        <f>SUMPRODUCT(-('Diário 5º PA'!$E$5:$E$2634='Analítico Cx.'!$B159),-('Diário 5º PA'!$P$5:$P$2634=G$1),('Diário 5º PA'!$F$5:$F$2634))+
SUMPRODUCT(-('Diário 6º PA'!$E$5:$E$2246='Analítico Cx.'!$B159),-('Diário 6º PA'!$P$5:$P$2246=G$1),('Diário 6º PA'!$F$5:$F$2246))+
SUMPRODUCT(-('Diário 7º PA'!$E$5:$E$2271='Analítico Cx.'!$B159),-('Diário 7º PA'!$P$5:$P$2271=G$1),('Diário 7º PA'!$F$5:$F$2271))+
SUMPRODUCT(-('Diário 8º PA'!$E$5:$E$2488='Analítico Cx.'!$B159),-('Diário 8º PA'!$P$5:$P$2488=G$1),('Diário 8º PA'!$F$5:$F$2488))</f>
        <v>0</v>
      </c>
      <c r="H159" s="185">
        <f>SUMPRODUCT(-('Diário 5º PA'!$E$5:$E$2634='Analítico Cx.'!$B159),-('Diário 5º PA'!$P$5:$P$2634=H$1),('Diário 5º PA'!$F$5:$F$2634))+
SUMPRODUCT(-('Diário 6º PA'!$E$5:$E$2246='Analítico Cx.'!$B159),-('Diário 6º PA'!$P$5:$P$2246=H$1),('Diário 6º PA'!$F$5:$F$2246))+
SUMPRODUCT(-('Diário 7º PA'!$E$5:$E$2271='Analítico Cx.'!$B159),-('Diário 7º PA'!$P$5:$P$2271=H$1),('Diário 7º PA'!$F$5:$F$2271))+
SUMPRODUCT(-('Diário 8º PA'!$E$5:$E$2488='Analítico Cx.'!$B159),-('Diário 8º PA'!$P$5:$P$2488=H$1),('Diário 8º PA'!$F$5:$F$2488))</f>
        <v>0</v>
      </c>
      <c r="I159" s="185">
        <f>SUMPRODUCT(-('Diário 5º PA'!$E$5:$E$2634='Analítico Cx.'!$B159),-('Diário 5º PA'!$P$5:$P$2634=I$1),('Diário 5º PA'!$F$5:$F$2634))+
SUMPRODUCT(-('Diário 6º PA'!$E$5:$E$2246='Analítico Cx.'!$B159),-('Diário 6º PA'!$P$5:$P$2246=I$1),('Diário 6º PA'!$F$5:$F$2246))+
SUMPRODUCT(-('Diário 7º PA'!$E$5:$E$2271='Analítico Cx.'!$B159),-('Diário 7º PA'!$P$5:$P$2271=I$1),('Diário 7º PA'!$F$5:$F$2271))+
SUMPRODUCT(-('Diário 8º PA'!$E$5:$E$2488='Analítico Cx.'!$B159),-('Diário 8º PA'!$P$5:$P$2488=I$1),('Diário 8º PA'!$F$5:$F$2488))</f>
        <v>0</v>
      </c>
      <c r="J159" s="185">
        <f>SUMPRODUCT(-('Diário 5º PA'!$E$5:$E$2634='Analítico Cx.'!$B159),-('Diário 5º PA'!$P$5:$P$2634=J$1),('Diário 5º PA'!$F$5:$F$2634))+
SUMPRODUCT(-('Diário 6º PA'!$E$5:$E$2246='Analítico Cx.'!$B159),-('Diário 6º PA'!$P$5:$P$2246=J$1),('Diário 6º PA'!$F$5:$F$2246))+
SUMPRODUCT(-('Diário 7º PA'!$E$5:$E$2271='Analítico Cx.'!$B159),-('Diário 7º PA'!$P$5:$P$2271=J$1),('Diário 7º PA'!$F$5:$F$2271))+
SUMPRODUCT(-('Diário 8º PA'!$E$5:$E$2488='Analítico Cx.'!$B159),-('Diário 8º PA'!$P$5:$P$2488=J$1),('Diário 8º PA'!$F$5:$F$2488))</f>
        <v>0</v>
      </c>
      <c r="K159" s="185">
        <f>SUMPRODUCT(-('Diário 5º PA'!$E$5:$E$2634='Analítico Cx.'!$B159),-('Diário 5º PA'!$P$5:$P$2634=K$1),('Diário 5º PA'!$F$5:$F$2634))+
SUMPRODUCT(-('Diário 6º PA'!$E$5:$E$2246='Analítico Cx.'!$B159),-('Diário 6º PA'!$P$5:$P$2246=K$1),('Diário 6º PA'!$F$5:$F$2246))+
SUMPRODUCT(-('Diário 7º PA'!$E$5:$E$2271='Analítico Cx.'!$B159),-('Diário 7º PA'!$P$5:$P$2271=K$1),('Diário 7º PA'!$F$5:$F$2271))+
SUMPRODUCT(-('Diário 8º PA'!$E$5:$E$2488='Analítico Cx.'!$B159),-('Diário 8º PA'!$P$5:$P$2488=K$1),('Diário 8º PA'!$F$5:$F$2488))</f>
        <v>0</v>
      </c>
      <c r="L159" s="185">
        <f>SUMPRODUCT(-('Diário 5º PA'!$E$5:$E$2634='Analítico Cx.'!$B159),-('Diário 5º PA'!$P$5:$P$2634=L$1),('Diário 5º PA'!$F$5:$F$2634))+
SUMPRODUCT(-('Diário 6º PA'!$E$5:$E$2246='Analítico Cx.'!$B159),-('Diário 6º PA'!$P$5:$P$2246=L$1),('Diário 6º PA'!$F$5:$F$2246))+
SUMPRODUCT(-('Diário 7º PA'!$E$5:$E$2271='Analítico Cx.'!$B159),-('Diário 7º PA'!$P$5:$P$2271=L$1),('Diário 7º PA'!$F$5:$F$2271))+
SUMPRODUCT(-('Diário 8º PA'!$E$5:$E$2488='Analítico Cx.'!$B159),-('Diário 8º PA'!$P$5:$P$2488=L$1),('Diário 8º PA'!$F$5:$F$2488))</f>
        <v>0</v>
      </c>
      <c r="M159" s="185">
        <f>SUMPRODUCT(-('Diário 5º PA'!$E$5:$E$2634='Analítico Cx.'!$B159),-('Diário 5º PA'!$P$5:$P$2634=M$1),('Diário 5º PA'!$F$5:$F$2634))+
SUMPRODUCT(-('Diário 6º PA'!$E$5:$E$2246='Analítico Cx.'!$B159),-('Diário 6º PA'!$P$5:$P$2246=M$1),('Diário 6º PA'!$F$5:$F$2246))+
SUMPRODUCT(-('Diário 7º PA'!$E$5:$E$2271='Analítico Cx.'!$B159),-('Diário 7º PA'!$P$5:$P$2271=M$1),('Diário 7º PA'!$F$5:$F$2271))+
SUMPRODUCT(-('Diário 8º PA'!$E$5:$E$2488='Analítico Cx.'!$B159),-('Diário 8º PA'!$P$5:$P$2488=M$1),('Diário 8º PA'!$F$5:$F$2488))</f>
        <v>0</v>
      </c>
      <c r="N159" s="185">
        <f>SUMPRODUCT(-('Diário 5º PA'!$E$5:$E$2634='Analítico Cx.'!$B159),-('Diário 5º PA'!$P$5:$P$2634=N$1),('Diário 5º PA'!$F$5:$F$2634))+
SUMPRODUCT(-('Diário 6º PA'!$E$5:$E$2246='Analítico Cx.'!$B159),-('Diário 6º PA'!$P$5:$P$2246=N$1),('Diário 6º PA'!$F$5:$F$2246))+
SUMPRODUCT(-('Diário 7º PA'!$E$5:$E$2271='Analítico Cx.'!$B159),-('Diário 7º PA'!$P$5:$P$2271=N$1),('Diário 7º PA'!$F$5:$F$2271))+
SUMPRODUCT(-('Diário 8º PA'!$E$5:$E$2488='Analítico Cx.'!$B159),-('Diário 8º PA'!$P$5:$P$2488=N$1),('Diário 8º PA'!$F$5:$F$2488))</f>
        <v>0</v>
      </c>
      <c r="O159" s="186">
        <f t="shared" si="19"/>
        <v>0</v>
      </c>
      <c r="P159" s="187">
        <f t="shared" si="20"/>
        <v>0</v>
      </c>
      <c r="Q159" s="34"/>
      <c r="R159" s="34"/>
      <c r="S159" s="34"/>
      <c r="T159" s="34"/>
      <c r="U159" s="34"/>
      <c r="V159" s="34"/>
      <c r="W159" s="34"/>
      <c r="X159" s="34"/>
      <c r="Y159" s="34"/>
      <c r="Z159" s="34"/>
    </row>
    <row r="160" spans="1:26" ht="23.25" customHeight="1" x14ac:dyDescent="0.2">
      <c r="A160" s="203" t="s">
        <v>408</v>
      </c>
      <c r="B160" s="204" t="s">
        <v>409</v>
      </c>
      <c r="C160" s="185">
        <f>SUMPRODUCT(-('Diário 5º PA'!$E$5:$E$2634='Analítico Cx.'!$B160),-('Diário 5º PA'!$P$5:$P$2634=C$1),('Diário 5º PA'!$F$5:$F$2634))+
SUMPRODUCT(-('Diário 6º PA'!$E$5:$E$2246='Analítico Cx.'!$B160),-('Diário 6º PA'!$P$5:$P$2246=C$1),('Diário 6º PA'!$F$5:$F$2246))+
SUMPRODUCT(-('Diário 7º PA'!$E$5:$E$2271='Analítico Cx.'!$B160),-('Diário 7º PA'!$P$5:$P$2271=C$1),('Diário 7º PA'!$F$5:$F$2271))+
SUMPRODUCT(-('Diário 8º PA'!$E$5:$E$2488='Analítico Cx.'!$B160),-('Diário 8º PA'!$P$5:$P$2488=C$1),('Diário 8º PA'!$F$5:$F$2488))</f>
        <v>0</v>
      </c>
      <c r="D160" s="185">
        <f>SUMPRODUCT(-('Diário 5º PA'!$E$5:$E$2634='Analítico Cx.'!$B160),-('Diário 5º PA'!$P$5:$P$2634=D$1),('Diário 5º PA'!$F$5:$F$2634))+
SUMPRODUCT(-('Diário 6º PA'!$E$5:$E$2246='Analítico Cx.'!$B160),-('Diário 6º PA'!$P$5:$P$2246=D$1),('Diário 6º PA'!$F$5:$F$2246))+
SUMPRODUCT(-('Diário 7º PA'!$E$5:$E$2271='Analítico Cx.'!$B160),-('Diário 7º PA'!$P$5:$P$2271=D$1),('Diário 7º PA'!$F$5:$F$2271))+
SUMPRODUCT(-('Diário 8º PA'!$E$5:$E$2488='Analítico Cx.'!$B160),-('Diário 8º PA'!$P$5:$P$2488=D$1),('Diário 8º PA'!$F$5:$F$2488))</f>
        <v>0</v>
      </c>
      <c r="E160" s="185">
        <f>SUMPRODUCT(-('Diário 5º PA'!$E$5:$E$2634='Analítico Cx.'!$B160),-('Diário 5º PA'!$P$5:$P$2634=E$1),('Diário 5º PA'!$F$5:$F$2634))+
SUMPRODUCT(-('Diário 6º PA'!$E$5:$E$2246='Analítico Cx.'!$B160),-('Diário 6º PA'!$P$5:$P$2246=E$1),('Diário 6º PA'!$F$5:$F$2246))+
SUMPRODUCT(-('Diário 7º PA'!$E$5:$E$2271='Analítico Cx.'!$B160),-('Diário 7º PA'!$P$5:$P$2271=E$1),('Diário 7º PA'!$F$5:$F$2271))+
SUMPRODUCT(-('Diário 8º PA'!$E$5:$E$2488='Analítico Cx.'!$B160),-('Diário 8º PA'!$P$5:$P$2488=E$1),('Diário 8º PA'!$F$5:$F$2488))</f>
        <v>0</v>
      </c>
      <c r="F160" s="185">
        <f>SUMPRODUCT(-('Diário 5º PA'!$E$5:$E$2634='Analítico Cx.'!$B160),-('Diário 5º PA'!$P$5:$P$2634=F$1),('Diário 5º PA'!$F$5:$F$2634))+
SUMPRODUCT(-('Diário 6º PA'!$E$5:$E$2246='Analítico Cx.'!$B160),-('Diário 6º PA'!$P$5:$P$2246=F$1),('Diário 6º PA'!$F$5:$F$2246))+
SUMPRODUCT(-('Diário 7º PA'!$E$5:$E$2271='Analítico Cx.'!$B160),-('Diário 7º PA'!$P$5:$P$2271=F$1),('Diário 7º PA'!$F$5:$F$2271))+
SUMPRODUCT(-('Diário 8º PA'!$E$5:$E$2488='Analítico Cx.'!$B160),-('Diário 8º PA'!$P$5:$P$2488=F$1),('Diário 8º PA'!$F$5:$F$2488))</f>
        <v>0</v>
      </c>
      <c r="G160" s="185">
        <f>SUMPRODUCT(-('Diário 5º PA'!$E$5:$E$2634='Analítico Cx.'!$B160),-('Diário 5º PA'!$P$5:$P$2634=G$1),('Diário 5º PA'!$F$5:$F$2634))+
SUMPRODUCT(-('Diário 6º PA'!$E$5:$E$2246='Analítico Cx.'!$B160),-('Diário 6º PA'!$P$5:$P$2246=G$1),('Diário 6º PA'!$F$5:$F$2246))+
SUMPRODUCT(-('Diário 7º PA'!$E$5:$E$2271='Analítico Cx.'!$B160),-('Diário 7º PA'!$P$5:$P$2271=G$1),('Diário 7º PA'!$F$5:$F$2271))+
SUMPRODUCT(-('Diário 8º PA'!$E$5:$E$2488='Analítico Cx.'!$B160),-('Diário 8º PA'!$P$5:$P$2488=G$1),('Diário 8º PA'!$F$5:$F$2488))</f>
        <v>0</v>
      </c>
      <c r="H160" s="185">
        <f>SUMPRODUCT(-('Diário 5º PA'!$E$5:$E$2634='Analítico Cx.'!$B160),-('Diário 5º PA'!$P$5:$P$2634=H$1),('Diário 5º PA'!$F$5:$F$2634))+
SUMPRODUCT(-('Diário 6º PA'!$E$5:$E$2246='Analítico Cx.'!$B160),-('Diário 6º PA'!$P$5:$P$2246=H$1),('Diário 6º PA'!$F$5:$F$2246))+
SUMPRODUCT(-('Diário 7º PA'!$E$5:$E$2271='Analítico Cx.'!$B160),-('Diário 7º PA'!$P$5:$P$2271=H$1),('Diário 7º PA'!$F$5:$F$2271))+
SUMPRODUCT(-('Diário 8º PA'!$E$5:$E$2488='Analítico Cx.'!$B160),-('Diário 8º PA'!$P$5:$P$2488=H$1),('Diário 8º PA'!$F$5:$F$2488))</f>
        <v>0</v>
      </c>
      <c r="I160" s="185">
        <f>SUMPRODUCT(-('Diário 5º PA'!$E$5:$E$2634='Analítico Cx.'!$B160),-('Diário 5º PA'!$P$5:$P$2634=I$1),('Diário 5º PA'!$F$5:$F$2634))+
SUMPRODUCT(-('Diário 6º PA'!$E$5:$E$2246='Analítico Cx.'!$B160),-('Diário 6º PA'!$P$5:$P$2246=I$1),('Diário 6º PA'!$F$5:$F$2246))+
SUMPRODUCT(-('Diário 7º PA'!$E$5:$E$2271='Analítico Cx.'!$B160),-('Diário 7º PA'!$P$5:$P$2271=I$1),('Diário 7º PA'!$F$5:$F$2271))+
SUMPRODUCT(-('Diário 8º PA'!$E$5:$E$2488='Analítico Cx.'!$B160),-('Diário 8º PA'!$P$5:$P$2488=I$1),('Diário 8º PA'!$F$5:$F$2488))</f>
        <v>0</v>
      </c>
      <c r="J160" s="185">
        <f>SUMPRODUCT(-('Diário 5º PA'!$E$5:$E$2634='Analítico Cx.'!$B160),-('Diário 5º PA'!$P$5:$P$2634=J$1),('Diário 5º PA'!$F$5:$F$2634))+
SUMPRODUCT(-('Diário 6º PA'!$E$5:$E$2246='Analítico Cx.'!$B160),-('Diário 6º PA'!$P$5:$P$2246=J$1),('Diário 6º PA'!$F$5:$F$2246))+
SUMPRODUCT(-('Diário 7º PA'!$E$5:$E$2271='Analítico Cx.'!$B160),-('Diário 7º PA'!$P$5:$P$2271=J$1),('Diário 7º PA'!$F$5:$F$2271))+
SUMPRODUCT(-('Diário 8º PA'!$E$5:$E$2488='Analítico Cx.'!$B160),-('Diário 8º PA'!$P$5:$P$2488=J$1),('Diário 8º PA'!$F$5:$F$2488))</f>
        <v>0</v>
      </c>
      <c r="K160" s="185">
        <f>SUMPRODUCT(-('Diário 5º PA'!$E$5:$E$2634='Analítico Cx.'!$B160),-('Diário 5º PA'!$P$5:$P$2634=K$1),('Diário 5º PA'!$F$5:$F$2634))+
SUMPRODUCT(-('Diário 6º PA'!$E$5:$E$2246='Analítico Cx.'!$B160),-('Diário 6º PA'!$P$5:$P$2246=K$1),('Diário 6º PA'!$F$5:$F$2246))+
SUMPRODUCT(-('Diário 7º PA'!$E$5:$E$2271='Analítico Cx.'!$B160),-('Diário 7º PA'!$P$5:$P$2271=K$1),('Diário 7º PA'!$F$5:$F$2271))+
SUMPRODUCT(-('Diário 8º PA'!$E$5:$E$2488='Analítico Cx.'!$B160),-('Diário 8º PA'!$P$5:$P$2488=K$1),('Diário 8º PA'!$F$5:$F$2488))</f>
        <v>0</v>
      </c>
      <c r="L160" s="185">
        <f>SUMPRODUCT(-('Diário 5º PA'!$E$5:$E$2634='Analítico Cx.'!$B160),-('Diário 5º PA'!$P$5:$P$2634=L$1),('Diário 5º PA'!$F$5:$F$2634))+
SUMPRODUCT(-('Diário 6º PA'!$E$5:$E$2246='Analítico Cx.'!$B160),-('Diário 6º PA'!$P$5:$P$2246=L$1),('Diário 6º PA'!$F$5:$F$2246))+
SUMPRODUCT(-('Diário 7º PA'!$E$5:$E$2271='Analítico Cx.'!$B160),-('Diário 7º PA'!$P$5:$P$2271=L$1),('Diário 7º PA'!$F$5:$F$2271))+
SUMPRODUCT(-('Diário 8º PA'!$E$5:$E$2488='Analítico Cx.'!$B160),-('Diário 8º PA'!$P$5:$P$2488=L$1),('Diário 8º PA'!$F$5:$F$2488))</f>
        <v>0</v>
      </c>
      <c r="M160" s="185">
        <f>SUMPRODUCT(-('Diário 5º PA'!$E$5:$E$2634='Analítico Cx.'!$B160),-('Diário 5º PA'!$P$5:$P$2634=M$1),('Diário 5º PA'!$F$5:$F$2634))+
SUMPRODUCT(-('Diário 6º PA'!$E$5:$E$2246='Analítico Cx.'!$B160),-('Diário 6º PA'!$P$5:$P$2246=M$1),('Diário 6º PA'!$F$5:$F$2246))+
SUMPRODUCT(-('Diário 7º PA'!$E$5:$E$2271='Analítico Cx.'!$B160),-('Diário 7º PA'!$P$5:$P$2271=M$1),('Diário 7º PA'!$F$5:$F$2271))+
SUMPRODUCT(-('Diário 8º PA'!$E$5:$E$2488='Analítico Cx.'!$B160),-('Diário 8º PA'!$P$5:$P$2488=M$1),('Diário 8º PA'!$F$5:$F$2488))</f>
        <v>0</v>
      </c>
      <c r="N160" s="185">
        <f>SUMPRODUCT(-('Diário 5º PA'!$E$5:$E$2634='Analítico Cx.'!$B160),-('Diário 5º PA'!$P$5:$P$2634=N$1),('Diário 5º PA'!$F$5:$F$2634))+
SUMPRODUCT(-('Diário 6º PA'!$E$5:$E$2246='Analítico Cx.'!$B160),-('Diário 6º PA'!$P$5:$P$2246=N$1),('Diário 6º PA'!$F$5:$F$2246))+
SUMPRODUCT(-('Diário 7º PA'!$E$5:$E$2271='Analítico Cx.'!$B160),-('Diário 7º PA'!$P$5:$P$2271=N$1),('Diário 7º PA'!$F$5:$F$2271))+
SUMPRODUCT(-('Diário 8º PA'!$E$5:$E$2488='Analítico Cx.'!$B160),-('Diário 8º PA'!$P$5:$P$2488=N$1),('Diário 8º PA'!$F$5:$F$2488))</f>
        <v>0</v>
      </c>
      <c r="O160" s="186">
        <f t="shared" si="19"/>
        <v>0</v>
      </c>
      <c r="P160" s="187">
        <f t="shared" si="20"/>
        <v>0</v>
      </c>
      <c r="Q160" s="34"/>
      <c r="R160" s="34"/>
      <c r="S160" s="34"/>
      <c r="T160" s="34"/>
      <c r="U160" s="34"/>
      <c r="V160" s="34"/>
      <c r="W160" s="34"/>
      <c r="X160" s="34"/>
      <c r="Y160" s="34"/>
      <c r="Z160" s="34"/>
    </row>
    <row r="161" spans="1:26" ht="23.25" customHeight="1" x14ac:dyDescent="0.2">
      <c r="A161" s="203" t="s">
        <v>410</v>
      </c>
      <c r="B161" s="204" t="s">
        <v>411</v>
      </c>
      <c r="C161" s="185">
        <f>SUMPRODUCT(-('Diário 5º PA'!$E$5:$E$2634='Analítico Cx.'!$B161),-('Diário 5º PA'!$P$5:$P$2634=C$1),('Diário 5º PA'!$F$5:$F$2634))+
SUMPRODUCT(-('Diário 6º PA'!$E$5:$E$2246='Analítico Cx.'!$B161),-('Diário 6º PA'!$P$5:$P$2246=C$1),('Diário 6º PA'!$F$5:$F$2246))+
SUMPRODUCT(-('Diário 7º PA'!$E$5:$E$2271='Analítico Cx.'!$B161),-('Diário 7º PA'!$P$5:$P$2271=C$1),('Diário 7º PA'!$F$5:$F$2271))+
SUMPRODUCT(-('Diário 8º PA'!$E$5:$E$2488='Analítico Cx.'!$B161),-('Diário 8º PA'!$P$5:$P$2488=C$1),('Diário 8º PA'!$F$5:$F$2488))</f>
        <v>0</v>
      </c>
      <c r="D161" s="185">
        <f>SUMPRODUCT(-('Diário 5º PA'!$E$5:$E$2634='Analítico Cx.'!$B161),-('Diário 5º PA'!$P$5:$P$2634=D$1),('Diário 5º PA'!$F$5:$F$2634))+
SUMPRODUCT(-('Diário 6º PA'!$E$5:$E$2246='Analítico Cx.'!$B161),-('Diário 6º PA'!$P$5:$P$2246=D$1),('Diário 6º PA'!$F$5:$F$2246))+
SUMPRODUCT(-('Diário 7º PA'!$E$5:$E$2271='Analítico Cx.'!$B161),-('Diário 7º PA'!$P$5:$P$2271=D$1),('Diário 7º PA'!$F$5:$F$2271))+
SUMPRODUCT(-('Diário 8º PA'!$E$5:$E$2488='Analítico Cx.'!$B161),-('Diário 8º PA'!$P$5:$P$2488=D$1),('Diário 8º PA'!$F$5:$F$2488))</f>
        <v>0</v>
      </c>
      <c r="E161" s="185">
        <f>SUMPRODUCT(-('Diário 5º PA'!$E$5:$E$2634='Analítico Cx.'!$B161),-('Diário 5º PA'!$P$5:$P$2634=E$1),('Diário 5º PA'!$F$5:$F$2634))+
SUMPRODUCT(-('Diário 6º PA'!$E$5:$E$2246='Analítico Cx.'!$B161),-('Diário 6º PA'!$P$5:$P$2246=E$1),('Diário 6º PA'!$F$5:$F$2246))+
SUMPRODUCT(-('Diário 7º PA'!$E$5:$E$2271='Analítico Cx.'!$B161),-('Diário 7º PA'!$P$5:$P$2271=E$1),('Diário 7º PA'!$F$5:$F$2271))+
SUMPRODUCT(-('Diário 8º PA'!$E$5:$E$2488='Analítico Cx.'!$B161),-('Diário 8º PA'!$P$5:$P$2488=E$1),('Diário 8º PA'!$F$5:$F$2488))</f>
        <v>0</v>
      </c>
      <c r="F161" s="185">
        <f>SUMPRODUCT(-('Diário 5º PA'!$E$5:$E$2634='Analítico Cx.'!$B161),-('Diário 5º PA'!$P$5:$P$2634=F$1),('Diário 5º PA'!$F$5:$F$2634))+
SUMPRODUCT(-('Diário 6º PA'!$E$5:$E$2246='Analítico Cx.'!$B161),-('Diário 6º PA'!$P$5:$P$2246=F$1),('Diário 6º PA'!$F$5:$F$2246))+
SUMPRODUCT(-('Diário 7º PA'!$E$5:$E$2271='Analítico Cx.'!$B161),-('Diário 7º PA'!$P$5:$P$2271=F$1),('Diário 7º PA'!$F$5:$F$2271))+
SUMPRODUCT(-('Diário 8º PA'!$E$5:$E$2488='Analítico Cx.'!$B161),-('Diário 8º PA'!$P$5:$P$2488=F$1),('Diário 8º PA'!$F$5:$F$2488))</f>
        <v>0</v>
      </c>
      <c r="G161" s="185">
        <f>SUMPRODUCT(-('Diário 5º PA'!$E$5:$E$2634='Analítico Cx.'!$B161),-('Diário 5º PA'!$P$5:$P$2634=G$1),('Diário 5º PA'!$F$5:$F$2634))+
SUMPRODUCT(-('Diário 6º PA'!$E$5:$E$2246='Analítico Cx.'!$B161),-('Diário 6º PA'!$P$5:$P$2246=G$1),('Diário 6º PA'!$F$5:$F$2246))+
SUMPRODUCT(-('Diário 7º PA'!$E$5:$E$2271='Analítico Cx.'!$B161),-('Diário 7º PA'!$P$5:$P$2271=G$1),('Diário 7º PA'!$F$5:$F$2271))+
SUMPRODUCT(-('Diário 8º PA'!$E$5:$E$2488='Analítico Cx.'!$B161),-('Diário 8º PA'!$P$5:$P$2488=G$1),('Diário 8º PA'!$F$5:$F$2488))</f>
        <v>0</v>
      </c>
      <c r="H161" s="185">
        <f>SUMPRODUCT(-('Diário 5º PA'!$E$5:$E$2634='Analítico Cx.'!$B161),-('Diário 5º PA'!$P$5:$P$2634=H$1),('Diário 5º PA'!$F$5:$F$2634))+
SUMPRODUCT(-('Diário 6º PA'!$E$5:$E$2246='Analítico Cx.'!$B161),-('Diário 6º PA'!$P$5:$P$2246=H$1),('Diário 6º PA'!$F$5:$F$2246))+
SUMPRODUCT(-('Diário 7º PA'!$E$5:$E$2271='Analítico Cx.'!$B161),-('Diário 7º PA'!$P$5:$P$2271=H$1),('Diário 7º PA'!$F$5:$F$2271))+
SUMPRODUCT(-('Diário 8º PA'!$E$5:$E$2488='Analítico Cx.'!$B161),-('Diário 8º PA'!$P$5:$P$2488=H$1),('Diário 8º PA'!$F$5:$F$2488))</f>
        <v>0</v>
      </c>
      <c r="I161" s="185">
        <f>SUMPRODUCT(-('Diário 5º PA'!$E$5:$E$2634='Analítico Cx.'!$B161),-('Diário 5º PA'!$P$5:$P$2634=I$1),('Diário 5º PA'!$F$5:$F$2634))+
SUMPRODUCT(-('Diário 6º PA'!$E$5:$E$2246='Analítico Cx.'!$B161),-('Diário 6º PA'!$P$5:$P$2246=I$1),('Diário 6º PA'!$F$5:$F$2246))+
SUMPRODUCT(-('Diário 7º PA'!$E$5:$E$2271='Analítico Cx.'!$B161),-('Diário 7º PA'!$P$5:$P$2271=I$1),('Diário 7º PA'!$F$5:$F$2271))+
SUMPRODUCT(-('Diário 8º PA'!$E$5:$E$2488='Analítico Cx.'!$B161),-('Diário 8º PA'!$P$5:$P$2488=I$1),('Diário 8º PA'!$F$5:$F$2488))</f>
        <v>0</v>
      </c>
      <c r="J161" s="185">
        <f>SUMPRODUCT(-('Diário 5º PA'!$E$5:$E$2634='Analítico Cx.'!$B161),-('Diário 5º PA'!$P$5:$P$2634=J$1),('Diário 5º PA'!$F$5:$F$2634))+
SUMPRODUCT(-('Diário 6º PA'!$E$5:$E$2246='Analítico Cx.'!$B161),-('Diário 6º PA'!$P$5:$P$2246=J$1),('Diário 6º PA'!$F$5:$F$2246))+
SUMPRODUCT(-('Diário 7º PA'!$E$5:$E$2271='Analítico Cx.'!$B161),-('Diário 7º PA'!$P$5:$P$2271=J$1),('Diário 7º PA'!$F$5:$F$2271))+
SUMPRODUCT(-('Diário 8º PA'!$E$5:$E$2488='Analítico Cx.'!$B161),-('Diário 8º PA'!$P$5:$P$2488=J$1),('Diário 8º PA'!$F$5:$F$2488))</f>
        <v>0</v>
      </c>
      <c r="K161" s="185">
        <f>SUMPRODUCT(-('Diário 5º PA'!$E$5:$E$2634='Analítico Cx.'!$B161),-('Diário 5º PA'!$P$5:$P$2634=K$1),('Diário 5º PA'!$F$5:$F$2634))+
SUMPRODUCT(-('Diário 6º PA'!$E$5:$E$2246='Analítico Cx.'!$B161),-('Diário 6º PA'!$P$5:$P$2246=K$1),('Diário 6º PA'!$F$5:$F$2246))+
SUMPRODUCT(-('Diário 7º PA'!$E$5:$E$2271='Analítico Cx.'!$B161),-('Diário 7º PA'!$P$5:$P$2271=K$1),('Diário 7º PA'!$F$5:$F$2271))+
SUMPRODUCT(-('Diário 8º PA'!$E$5:$E$2488='Analítico Cx.'!$B161),-('Diário 8º PA'!$P$5:$P$2488=K$1),('Diário 8º PA'!$F$5:$F$2488))</f>
        <v>0</v>
      </c>
      <c r="L161" s="185">
        <f>SUMPRODUCT(-('Diário 5º PA'!$E$5:$E$2634='Analítico Cx.'!$B161),-('Diário 5º PA'!$P$5:$P$2634=L$1),('Diário 5º PA'!$F$5:$F$2634))+
SUMPRODUCT(-('Diário 6º PA'!$E$5:$E$2246='Analítico Cx.'!$B161),-('Diário 6º PA'!$P$5:$P$2246=L$1),('Diário 6º PA'!$F$5:$F$2246))+
SUMPRODUCT(-('Diário 7º PA'!$E$5:$E$2271='Analítico Cx.'!$B161),-('Diário 7º PA'!$P$5:$P$2271=L$1),('Diário 7º PA'!$F$5:$F$2271))+
SUMPRODUCT(-('Diário 8º PA'!$E$5:$E$2488='Analítico Cx.'!$B161),-('Diário 8º PA'!$P$5:$P$2488=L$1),('Diário 8º PA'!$F$5:$F$2488))</f>
        <v>0</v>
      </c>
      <c r="M161" s="185">
        <f>SUMPRODUCT(-('Diário 5º PA'!$E$5:$E$2634='Analítico Cx.'!$B161),-('Diário 5º PA'!$P$5:$P$2634=M$1),('Diário 5º PA'!$F$5:$F$2634))+
SUMPRODUCT(-('Diário 6º PA'!$E$5:$E$2246='Analítico Cx.'!$B161),-('Diário 6º PA'!$P$5:$P$2246=M$1),('Diário 6º PA'!$F$5:$F$2246))+
SUMPRODUCT(-('Diário 7º PA'!$E$5:$E$2271='Analítico Cx.'!$B161),-('Diário 7º PA'!$P$5:$P$2271=M$1),('Diário 7º PA'!$F$5:$F$2271))+
SUMPRODUCT(-('Diário 8º PA'!$E$5:$E$2488='Analítico Cx.'!$B161),-('Diário 8º PA'!$P$5:$P$2488=M$1),('Diário 8º PA'!$F$5:$F$2488))</f>
        <v>0</v>
      </c>
      <c r="N161" s="185">
        <f>SUMPRODUCT(-('Diário 5º PA'!$E$5:$E$2634='Analítico Cx.'!$B161),-('Diário 5º PA'!$P$5:$P$2634=N$1),('Diário 5º PA'!$F$5:$F$2634))+
SUMPRODUCT(-('Diário 6º PA'!$E$5:$E$2246='Analítico Cx.'!$B161),-('Diário 6º PA'!$P$5:$P$2246=N$1),('Diário 6º PA'!$F$5:$F$2246))+
SUMPRODUCT(-('Diário 7º PA'!$E$5:$E$2271='Analítico Cx.'!$B161),-('Diário 7º PA'!$P$5:$P$2271=N$1),('Diário 7º PA'!$F$5:$F$2271))+
SUMPRODUCT(-('Diário 8º PA'!$E$5:$E$2488='Analítico Cx.'!$B161),-('Diário 8º PA'!$P$5:$P$2488=N$1),('Diário 8º PA'!$F$5:$F$2488))</f>
        <v>0</v>
      </c>
      <c r="O161" s="186">
        <f t="shared" si="19"/>
        <v>0</v>
      </c>
      <c r="P161" s="187">
        <f t="shared" si="20"/>
        <v>0</v>
      </c>
      <c r="Q161" s="34"/>
      <c r="R161" s="34"/>
      <c r="S161" s="34"/>
      <c r="T161" s="34"/>
      <c r="U161" s="34"/>
      <c r="V161" s="34"/>
      <c r="W161" s="34"/>
      <c r="X161" s="34"/>
      <c r="Y161" s="34"/>
      <c r="Z161" s="34"/>
    </row>
    <row r="162" spans="1:26" ht="23.25" customHeight="1" x14ac:dyDescent="0.2">
      <c r="A162" s="203" t="s">
        <v>412</v>
      </c>
      <c r="B162" s="204" t="s">
        <v>413</v>
      </c>
      <c r="C162" s="185">
        <f>SUMPRODUCT(-('Diário 5º PA'!$E$5:$E$2634='Analítico Cx.'!$B162),-('Diário 5º PA'!$P$5:$P$2634=C$1),('Diário 5º PA'!$F$5:$F$2634))+
SUMPRODUCT(-('Diário 6º PA'!$E$5:$E$2246='Analítico Cx.'!$B162),-('Diário 6º PA'!$P$5:$P$2246=C$1),('Diário 6º PA'!$F$5:$F$2246))+
SUMPRODUCT(-('Diário 7º PA'!$E$5:$E$2271='Analítico Cx.'!$B162),-('Diário 7º PA'!$P$5:$P$2271=C$1),('Diário 7º PA'!$F$5:$F$2271))+
SUMPRODUCT(-('Diário 8º PA'!$E$5:$E$2488='Analítico Cx.'!$B162),-('Diário 8º PA'!$P$5:$P$2488=C$1),('Diário 8º PA'!$F$5:$F$2488))</f>
        <v>4178.1000000000004</v>
      </c>
      <c r="D162" s="185">
        <f>SUMPRODUCT(-('Diário 5º PA'!$E$5:$E$2634='Analítico Cx.'!$B162),-('Diário 5º PA'!$P$5:$P$2634=D$1),('Diário 5º PA'!$F$5:$F$2634))+
SUMPRODUCT(-('Diário 6º PA'!$E$5:$E$2246='Analítico Cx.'!$B162),-('Diário 6º PA'!$P$5:$P$2246=D$1),('Diário 6º PA'!$F$5:$F$2246))+
SUMPRODUCT(-('Diário 7º PA'!$E$5:$E$2271='Analítico Cx.'!$B162),-('Diário 7º PA'!$P$5:$P$2271=D$1),('Diário 7º PA'!$F$5:$F$2271))+
SUMPRODUCT(-('Diário 8º PA'!$E$5:$E$2488='Analítico Cx.'!$B162),-('Diário 8º PA'!$P$5:$P$2488=D$1),('Diário 8º PA'!$F$5:$F$2488))</f>
        <v>2096.52</v>
      </c>
      <c r="E162" s="185">
        <f>SUMPRODUCT(-('Diário 5º PA'!$E$5:$E$2634='Analítico Cx.'!$B162),-('Diário 5º PA'!$P$5:$P$2634=E$1),('Diário 5º PA'!$F$5:$F$2634))+
SUMPRODUCT(-('Diário 6º PA'!$E$5:$E$2246='Analítico Cx.'!$B162),-('Diário 6º PA'!$P$5:$P$2246=E$1),('Diário 6º PA'!$F$5:$F$2246))+
SUMPRODUCT(-('Diário 7º PA'!$E$5:$E$2271='Analítico Cx.'!$B162),-('Diário 7º PA'!$P$5:$P$2271=E$1),('Diário 7º PA'!$F$5:$F$2271))+
SUMPRODUCT(-('Diário 8º PA'!$E$5:$E$2488='Analítico Cx.'!$B162),-('Diário 8º PA'!$P$5:$P$2488=E$1),('Diário 8º PA'!$F$5:$F$2488))</f>
        <v>0</v>
      </c>
      <c r="F162" s="185">
        <f>SUMPRODUCT(-('Diário 5º PA'!$E$5:$E$2634='Analítico Cx.'!$B162),-('Diário 5º PA'!$P$5:$P$2634=F$1),('Diário 5º PA'!$F$5:$F$2634))+
SUMPRODUCT(-('Diário 6º PA'!$E$5:$E$2246='Analítico Cx.'!$B162),-('Diário 6º PA'!$P$5:$P$2246=F$1),('Diário 6º PA'!$F$5:$F$2246))+
SUMPRODUCT(-('Diário 7º PA'!$E$5:$E$2271='Analítico Cx.'!$B162),-('Diário 7º PA'!$P$5:$P$2271=F$1),('Diário 7º PA'!$F$5:$F$2271))+
SUMPRODUCT(-('Diário 8º PA'!$E$5:$E$2488='Analítico Cx.'!$B162),-('Diário 8º PA'!$P$5:$P$2488=F$1),('Diário 8º PA'!$F$5:$F$2488))</f>
        <v>0</v>
      </c>
      <c r="G162" s="185">
        <f>SUMPRODUCT(-('Diário 5º PA'!$E$5:$E$2634='Analítico Cx.'!$B162),-('Diário 5º PA'!$P$5:$P$2634=G$1),('Diário 5º PA'!$F$5:$F$2634))+
SUMPRODUCT(-('Diário 6º PA'!$E$5:$E$2246='Analítico Cx.'!$B162),-('Diário 6º PA'!$P$5:$P$2246=G$1),('Diário 6º PA'!$F$5:$F$2246))+
SUMPRODUCT(-('Diário 7º PA'!$E$5:$E$2271='Analítico Cx.'!$B162),-('Diário 7º PA'!$P$5:$P$2271=G$1),('Diário 7º PA'!$F$5:$F$2271))+
SUMPRODUCT(-('Diário 8º PA'!$E$5:$E$2488='Analítico Cx.'!$B162),-('Diário 8º PA'!$P$5:$P$2488=G$1),('Diário 8º PA'!$F$5:$F$2488))</f>
        <v>0</v>
      </c>
      <c r="H162" s="185">
        <f>SUMPRODUCT(-('Diário 5º PA'!$E$5:$E$2634='Analítico Cx.'!$B162),-('Diário 5º PA'!$P$5:$P$2634=H$1),('Diário 5º PA'!$F$5:$F$2634))+
SUMPRODUCT(-('Diário 6º PA'!$E$5:$E$2246='Analítico Cx.'!$B162),-('Diário 6º PA'!$P$5:$P$2246=H$1),('Diário 6º PA'!$F$5:$F$2246))+
SUMPRODUCT(-('Diário 7º PA'!$E$5:$E$2271='Analítico Cx.'!$B162),-('Diário 7º PA'!$P$5:$P$2271=H$1),('Diário 7º PA'!$F$5:$F$2271))+
SUMPRODUCT(-('Diário 8º PA'!$E$5:$E$2488='Analítico Cx.'!$B162),-('Diário 8º PA'!$P$5:$P$2488=H$1),('Diário 8º PA'!$F$5:$F$2488))</f>
        <v>0</v>
      </c>
      <c r="I162" s="185">
        <f>SUMPRODUCT(-('Diário 5º PA'!$E$5:$E$2634='Analítico Cx.'!$B162),-('Diário 5º PA'!$P$5:$P$2634=I$1),('Diário 5º PA'!$F$5:$F$2634))+
SUMPRODUCT(-('Diário 6º PA'!$E$5:$E$2246='Analítico Cx.'!$B162),-('Diário 6º PA'!$P$5:$P$2246=I$1),('Diário 6º PA'!$F$5:$F$2246))+
SUMPRODUCT(-('Diário 7º PA'!$E$5:$E$2271='Analítico Cx.'!$B162),-('Diário 7º PA'!$P$5:$P$2271=I$1),('Diário 7º PA'!$F$5:$F$2271))+
SUMPRODUCT(-('Diário 8º PA'!$E$5:$E$2488='Analítico Cx.'!$B162),-('Diário 8º PA'!$P$5:$P$2488=I$1),('Diário 8º PA'!$F$5:$F$2488))</f>
        <v>0</v>
      </c>
      <c r="J162" s="185">
        <f>SUMPRODUCT(-('Diário 5º PA'!$E$5:$E$2634='Analítico Cx.'!$B162),-('Diário 5º PA'!$P$5:$P$2634=J$1),('Diário 5º PA'!$F$5:$F$2634))+
SUMPRODUCT(-('Diário 6º PA'!$E$5:$E$2246='Analítico Cx.'!$B162),-('Diário 6º PA'!$P$5:$P$2246=J$1),('Diário 6º PA'!$F$5:$F$2246))+
SUMPRODUCT(-('Diário 7º PA'!$E$5:$E$2271='Analítico Cx.'!$B162),-('Diário 7º PA'!$P$5:$P$2271=J$1),('Diário 7º PA'!$F$5:$F$2271))+
SUMPRODUCT(-('Diário 8º PA'!$E$5:$E$2488='Analítico Cx.'!$B162),-('Diário 8º PA'!$P$5:$P$2488=J$1),('Diário 8º PA'!$F$5:$F$2488))</f>
        <v>0</v>
      </c>
      <c r="K162" s="185">
        <f>SUMPRODUCT(-('Diário 5º PA'!$E$5:$E$2634='Analítico Cx.'!$B162),-('Diário 5º PA'!$P$5:$P$2634=K$1),('Diário 5º PA'!$F$5:$F$2634))+
SUMPRODUCT(-('Diário 6º PA'!$E$5:$E$2246='Analítico Cx.'!$B162),-('Diário 6º PA'!$P$5:$P$2246=K$1),('Diário 6º PA'!$F$5:$F$2246))+
SUMPRODUCT(-('Diário 7º PA'!$E$5:$E$2271='Analítico Cx.'!$B162),-('Diário 7º PA'!$P$5:$P$2271=K$1),('Diário 7º PA'!$F$5:$F$2271))+
SUMPRODUCT(-('Diário 8º PA'!$E$5:$E$2488='Analítico Cx.'!$B162),-('Diário 8º PA'!$P$5:$P$2488=K$1),('Diário 8º PA'!$F$5:$F$2488))</f>
        <v>0</v>
      </c>
      <c r="L162" s="185">
        <f>SUMPRODUCT(-('Diário 5º PA'!$E$5:$E$2634='Analítico Cx.'!$B162),-('Diário 5º PA'!$P$5:$P$2634=L$1),('Diário 5º PA'!$F$5:$F$2634))+
SUMPRODUCT(-('Diário 6º PA'!$E$5:$E$2246='Analítico Cx.'!$B162),-('Diário 6º PA'!$P$5:$P$2246=L$1),('Diário 6º PA'!$F$5:$F$2246))+
SUMPRODUCT(-('Diário 7º PA'!$E$5:$E$2271='Analítico Cx.'!$B162),-('Diário 7º PA'!$P$5:$P$2271=L$1),('Diário 7º PA'!$F$5:$F$2271))+
SUMPRODUCT(-('Diário 8º PA'!$E$5:$E$2488='Analítico Cx.'!$B162),-('Diário 8º PA'!$P$5:$P$2488=L$1),('Diário 8º PA'!$F$5:$F$2488))</f>
        <v>0</v>
      </c>
      <c r="M162" s="185">
        <f>SUMPRODUCT(-('Diário 5º PA'!$E$5:$E$2634='Analítico Cx.'!$B162),-('Diário 5º PA'!$P$5:$P$2634=M$1),('Diário 5º PA'!$F$5:$F$2634))+
SUMPRODUCT(-('Diário 6º PA'!$E$5:$E$2246='Analítico Cx.'!$B162),-('Diário 6º PA'!$P$5:$P$2246=M$1),('Diário 6º PA'!$F$5:$F$2246))+
SUMPRODUCT(-('Diário 7º PA'!$E$5:$E$2271='Analítico Cx.'!$B162),-('Diário 7º PA'!$P$5:$P$2271=M$1),('Diário 7º PA'!$F$5:$F$2271))+
SUMPRODUCT(-('Diário 8º PA'!$E$5:$E$2488='Analítico Cx.'!$B162),-('Diário 8º PA'!$P$5:$P$2488=M$1),('Diário 8º PA'!$F$5:$F$2488))</f>
        <v>0</v>
      </c>
      <c r="N162" s="185">
        <f>SUMPRODUCT(-('Diário 5º PA'!$E$5:$E$2634='Analítico Cx.'!$B162),-('Diário 5º PA'!$P$5:$P$2634=N$1),('Diário 5º PA'!$F$5:$F$2634))+
SUMPRODUCT(-('Diário 6º PA'!$E$5:$E$2246='Analítico Cx.'!$B162),-('Diário 6º PA'!$P$5:$P$2246=N$1),('Diário 6º PA'!$F$5:$F$2246))+
SUMPRODUCT(-('Diário 7º PA'!$E$5:$E$2271='Analítico Cx.'!$B162),-('Diário 7º PA'!$P$5:$P$2271=N$1),('Diário 7º PA'!$F$5:$F$2271))+
SUMPRODUCT(-('Diário 8º PA'!$E$5:$E$2488='Analítico Cx.'!$B162),-('Diário 8º PA'!$P$5:$P$2488=N$1),('Diário 8º PA'!$F$5:$F$2488))</f>
        <v>0</v>
      </c>
      <c r="O162" s="186">
        <f t="shared" si="19"/>
        <v>6274.6200000000008</v>
      </c>
      <c r="P162" s="187">
        <f t="shared" si="20"/>
        <v>6.6574471167727789E-4</v>
      </c>
      <c r="Q162" s="34"/>
      <c r="R162" s="34"/>
      <c r="S162" s="34"/>
      <c r="T162" s="34"/>
      <c r="U162" s="34"/>
      <c r="V162" s="34"/>
      <c r="W162" s="34"/>
      <c r="X162" s="34"/>
      <c r="Y162" s="34"/>
      <c r="Z162" s="34"/>
    </row>
    <row r="163" spans="1:26" ht="23.25" customHeight="1" x14ac:dyDescent="0.2">
      <c r="A163" s="223"/>
      <c r="B163" s="224" t="s">
        <v>387</v>
      </c>
      <c r="C163" s="191">
        <f t="shared" ref="C163:O163" si="21">SUBTOTAL(109,C150:C162)</f>
        <v>10555.1</v>
      </c>
      <c r="D163" s="191">
        <f t="shared" si="21"/>
        <v>2096.52</v>
      </c>
      <c r="E163" s="191">
        <f t="shared" si="21"/>
        <v>0</v>
      </c>
      <c r="F163" s="191">
        <f t="shared" si="21"/>
        <v>0</v>
      </c>
      <c r="G163" s="191">
        <f t="shared" si="21"/>
        <v>0</v>
      </c>
      <c r="H163" s="191">
        <f t="shared" si="21"/>
        <v>0</v>
      </c>
      <c r="I163" s="191">
        <f t="shared" si="21"/>
        <v>0</v>
      </c>
      <c r="J163" s="191">
        <f t="shared" si="21"/>
        <v>0</v>
      </c>
      <c r="K163" s="191">
        <f t="shared" si="21"/>
        <v>0</v>
      </c>
      <c r="L163" s="191">
        <f t="shared" si="21"/>
        <v>0</v>
      </c>
      <c r="M163" s="191">
        <f t="shared" si="21"/>
        <v>0</v>
      </c>
      <c r="N163" s="191">
        <f t="shared" si="21"/>
        <v>0</v>
      </c>
      <c r="O163" s="191">
        <f t="shared" si="21"/>
        <v>12651.62</v>
      </c>
      <c r="P163" s="225">
        <f t="shared" si="20"/>
        <v>1.3423520642127304E-3</v>
      </c>
      <c r="Q163" s="34"/>
      <c r="R163" s="34"/>
      <c r="S163" s="34"/>
      <c r="T163" s="34"/>
      <c r="U163" s="34"/>
      <c r="V163" s="34"/>
      <c r="W163" s="34"/>
      <c r="X163" s="34"/>
      <c r="Y163" s="34"/>
      <c r="Z163" s="34"/>
    </row>
    <row r="164" spans="1:26" ht="23.25" customHeight="1" x14ac:dyDescent="0.2">
      <c r="A164" s="226" t="s">
        <v>102</v>
      </c>
      <c r="B164" s="85" t="s">
        <v>57</v>
      </c>
      <c r="C164" s="185">
        <f>SUMPRODUCT(-('Diário 5º PA'!$E$5:$E$2634='Analítico Cx.'!$B164),-('Diário 5º PA'!$P$5:$P$2634=C$1),('Diário 5º PA'!$F$5:$F$2634))+
SUMPRODUCT(-('Diário 6º PA'!$E$5:$E$2246='Analítico Cx.'!$B164),-('Diário 6º PA'!$P$5:$P$2246=C$1),('Diário 6º PA'!$F$5:$F$2246))+
SUMPRODUCT(-('Diário 7º PA'!$E$5:$E$2271='Analítico Cx.'!$B164),-('Diário 7º PA'!$P$5:$P$2271=C$1),('Diário 7º PA'!$F$5:$F$2271))+
SUMPRODUCT(-('Diário 8º PA'!$E$5:$E$2488='Analítico Cx.'!$B164),-('Diário 8º PA'!$P$5:$P$2488=C$1),('Diário 8º PA'!$F$5:$F$2488))</f>
        <v>870.43</v>
      </c>
      <c r="D164" s="185">
        <f>SUMPRODUCT(-('Diário 5º PA'!$E$5:$E$2634='Analítico Cx.'!$B164),-('Diário 5º PA'!$P$5:$P$2634=D$1),('Diário 5º PA'!$F$5:$F$2634))+
SUMPRODUCT(-('Diário 6º PA'!$E$5:$E$2246='Analítico Cx.'!$B164),-('Diário 6º PA'!$P$5:$P$2246=D$1),('Diário 6º PA'!$F$5:$F$2246))+
SUMPRODUCT(-('Diário 7º PA'!$E$5:$E$2271='Analítico Cx.'!$B164),-('Diário 7º PA'!$P$5:$P$2271=D$1),('Diário 7º PA'!$F$5:$F$2271))+
SUMPRODUCT(-('Diário 8º PA'!$E$5:$E$2488='Analítico Cx.'!$B164),-('Diário 8º PA'!$P$5:$P$2488=D$1),('Diário 8º PA'!$F$5:$F$2488))</f>
        <v>415.84</v>
      </c>
      <c r="E164" s="185">
        <f>SUMPRODUCT(-('Diário 5º PA'!$E$5:$E$2634='Analítico Cx.'!$B164),-('Diário 5º PA'!$P$5:$P$2634=E$1),('Diário 5º PA'!$F$5:$F$2634))+
SUMPRODUCT(-('Diário 6º PA'!$E$5:$E$2246='Analítico Cx.'!$B164),-('Diário 6º PA'!$P$5:$P$2246=E$1),('Diário 6º PA'!$F$5:$F$2246))+
SUMPRODUCT(-('Diário 7º PA'!$E$5:$E$2271='Analítico Cx.'!$B164),-('Diário 7º PA'!$P$5:$P$2271=E$1),('Diário 7º PA'!$F$5:$F$2271))+
SUMPRODUCT(-('Diário 8º PA'!$E$5:$E$2488='Analítico Cx.'!$B164),-('Diário 8º PA'!$P$5:$P$2488=E$1),('Diário 8º PA'!$F$5:$F$2488))</f>
        <v>0</v>
      </c>
      <c r="F164" s="185">
        <f>SUMPRODUCT(-('Diário 5º PA'!$E$5:$E$2634='Analítico Cx.'!$B164),-('Diário 5º PA'!$P$5:$P$2634=F$1),('Diário 5º PA'!$F$5:$F$2634))+
SUMPRODUCT(-('Diário 6º PA'!$E$5:$E$2246='Analítico Cx.'!$B164),-('Diário 6º PA'!$P$5:$P$2246=F$1),('Diário 6º PA'!$F$5:$F$2246))+
SUMPRODUCT(-('Diário 7º PA'!$E$5:$E$2271='Analítico Cx.'!$B164),-('Diário 7º PA'!$P$5:$P$2271=F$1),('Diário 7º PA'!$F$5:$F$2271))+
SUMPRODUCT(-('Diário 8º PA'!$E$5:$E$2488='Analítico Cx.'!$B164),-('Diário 8º PA'!$P$5:$P$2488=F$1),('Diário 8º PA'!$F$5:$F$2488))</f>
        <v>500.62</v>
      </c>
      <c r="G164" s="185">
        <f>SUMPRODUCT(-('Diário 5º PA'!$E$5:$E$2634='Analítico Cx.'!$B164),-('Diário 5º PA'!$P$5:$P$2634=G$1),('Diário 5º PA'!$F$5:$F$2634))+
SUMPRODUCT(-('Diário 6º PA'!$E$5:$E$2246='Analítico Cx.'!$B164),-('Diário 6º PA'!$P$5:$P$2246=G$1),('Diário 6º PA'!$F$5:$F$2246))+
SUMPRODUCT(-('Diário 7º PA'!$E$5:$E$2271='Analítico Cx.'!$B164),-('Diário 7º PA'!$P$5:$P$2271=G$1),('Diário 7º PA'!$F$5:$F$2271))+
SUMPRODUCT(-('Diário 8º PA'!$E$5:$E$2488='Analítico Cx.'!$B164),-('Diário 8º PA'!$P$5:$P$2488=G$1),('Diário 8º PA'!$F$5:$F$2488))</f>
        <v>1729.05</v>
      </c>
      <c r="H164" s="185">
        <f>SUMPRODUCT(-('Diário 5º PA'!$E$5:$E$2634='Analítico Cx.'!$B164),-('Diário 5º PA'!$P$5:$P$2634=H$1),('Diário 5º PA'!$F$5:$F$2634))+
SUMPRODUCT(-('Diário 6º PA'!$E$5:$E$2246='Analítico Cx.'!$B164),-('Diário 6º PA'!$P$5:$P$2246=H$1),('Diário 6º PA'!$F$5:$F$2246))+
SUMPRODUCT(-('Diário 7º PA'!$E$5:$E$2271='Analítico Cx.'!$B164),-('Diário 7º PA'!$P$5:$P$2271=H$1),('Diário 7º PA'!$F$5:$F$2271))+
SUMPRODUCT(-('Diário 8º PA'!$E$5:$E$2488='Analítico Cx.'!$B164),-('Diário 8º PA'!$P$5:$P$2488=H$1),('Diário 8º PA'!$F$5:$F$2488))</f>
        <v>2066.9699999999998</v>
      </c>
      <c r="I164" s="185">
        <f>SUMPRODUCT(-('Diário 5º PA'!$E$5:$E$2634='Analítico Cx.'!$B164),-('Diário 5º PA'!$P$5:$P$2634=I$1),('Diário 5º PA'!$F$5:$F$2634))+
SUMPRODUCT(-('Diário 6º PA'!$E$5:$E$2246='Analítico Cx.'!$B164),-('Diário 6º PA'!$P$5:$P$2246=I$1),('Diário 6º PA'!$F$5:$F$2246))+
SUMPRODUCT(-('Diário 7º PA'!$E$5:$E$2271='Analítico Cx.'!$B164),-('Diário 7º PA'!$P$5:$P$2271=I$1),('Diário 7º PA'!$F$5:$F$2271))+
SUMPRODUCT(-('Diário 8º PA'!$E$5:$E$2488='Analítico Cx.'!$B164),-('Diário 8º PA'!$P$5:$P$2488=I$1),('Diário 8º PA'!$F$5:$F$2488))</f>
        <v>4805.9399999999996</v>
      </c>
      <c r="J164" s="185">
        <f>SUMPRODUCT(-('Diário 5º PA'!$E$5:$E$2634='Analítico Cx.'!$B164),-('Diário 5º PA'!$P$5:$P$2634=J$1),('Diário 5º PA'!$F$5:$F$2634))+
SUMPRODUCT(-('Diário 6º PA'!$E$5:$E$2246='Analítico Cx.'!$B164),-('Diário 6º PA'!$P$5:$P$2246=J$1),('Diário 6º PA'!$F$5:$F$2246))+
SUMPRODUCT(-('Diário 7º PA'!$E$5:$E$2271='Analítico Cx.'!$B164),-('Diário 7º PA'!$P$5:$P$2271=J$1),('Diário 7º PA'!$F$5:$F$2271))+
SUMPRODUCT(-('Diário 8º PA'!$E$5:$E$2488='Analítico Cx.'!$B164),-('Diário 8º PA'!$P$5:$P$2488=J$1),('Diário 8º PA'!$F$5:$F$2488))</f>
        <v>5188.67</v>
      </c>
      <c r="K164" s="185">
        <f>SUMPRODUCT(-('Diário 5º PA'!$E$5:$E$2634='Analítico Cx.'!$B164),-('Diário 5º PA'!$P$5:$P$2634=K$1),('Diário 5º PA'!$F$5:$F$2634))+
SUMPRODUCT(-('Diário 6º PA'!$E$5:$E$2246='Analítico Cx.'!$B164),-('Diário 6º PA'!$P$5:$P$2246=K$1),('Diário 6º PA'!$F$5:$F$2246))+
SUMPRODUCT(-('Diário 7º PA'!$E$5:$E$2271='Analítico Cx.'!$B164),-('Diário 7º PA'!$P$5:$P$2271=K$1),('Diário 7º PA'!$F$5:$F$2271))+
SUMPRODUCT(-('Diário 8º PA'!$E$5:$E$2488='Analítico Cx.'!$B164),-('Diário 8º PA'!$P$5:$P$2488=K$1),('Diário 8º PA'!$F$5:$F$2488))</f>
        <v>6051.96</v>
      </c>
      <c r="L164" s="185">
        <f>SUMPRODUCT(-('Diário 5º PA'!$E$5:$E$2634='Analítico Cx.'!$B164),-('Diário 5º PA'!$P$5:$P$2634=L$1),('Diário 5º PA'!$F$5:$F$2634))+
SUMPRODUCT(-('Diário 6º PA'!$E$5:$E$2246='Analítico Cx.'!$B164),-('Diário 6º PA'!$P$5:$P$2246=L$1),('Diário 6º PA'!$F$5:$F$2246))+
SUMPRODUCT(-('Diário 7º PA'!$E$5:$E$2271='Analítico Cx.'!$B164),-('Diário 7º PA'!$P$5:$P$2271=L$1),('Diário 7º PA'!$F$5:$F$2271))+
SUMPRODUCT(-('Diário 8º PA'!$E$5:$E$2488='Analítico Cx.'!$B164),-('Diário 8º PA'!$P$5:$P$2488=L$1),('Diário 8º PA'!$F$5:$F$2488))</f>
        <v>6839.26</v>
      </c>
      <c r="M164" s="185">
        <f>SUMPRODUCT(-('Diário 5º PA'!$E$5:$E$2634='Analítico Cx.'!$B164),-('Diário 5º PA'!$P$5:$P$2634=M$1),('Diário 5º PA'!$F$5:$F$2634))+
SUMPRODUCT(-('Diário 6º PA'!$E$5:$E$2246='Analítico Cx.'!$B164),-('Diário 6º PA'!$P$5:$P$2246=M$1),('Diário 6º PA'!$F$5:$F$2246))+
SUMPRODUCT(-('Diário 7º PA'!$E$5:$E$2271='Analítico Cx.'!$B164),-('Diário 7º PA'!$P$5:$P$2271=M$1),('Diário 7º PA'!$F$5:$F$2271))+
SUMPRODUCT(-('Diário 8º PA'!$E$5:$E$2488='Analítico Cx.'!$B164),-('Diário 8º PA'!$P$5:$P$2488=M$1),('Diário 8º PA'!$F$5:$F$2488))</f>
        <v>5851.24</v>
      </c>
      <c r="N164" s="185">
        <f>SUMPRODUCT(-('Diário 5º PA'!$E$5:$E$2634='Analítico Cx.'!$B164),-('Diário 5º PA'!$P$5:$P$2634=N$1),('Diário 5º PA'!$F$5:$F$2634))+
SUMPRODUCT(-('Diário 6º PA'!$E$5:$E$2246='Analítico Cx.'!$B164),-('Diário 6º PA'!$P$5:$P$2246=N$1),('Diário 6º PA'!$F$5:$F$2246))+
SUMPRODUCT(-('Diário 7º PA'!$E$5:$E$2271='Analítico Cx.'!$B164),-('Diário 7º PA'!$P$5:$P$2271=N$1),('Diário 7º PA'!$F$5:$F$2271))+
SUMPRODUCT(-('Diário 8º PA'!$E$5:$E$2488='Analítico Cx.'!$B164),-('Diário 8º PA'!$P$5:$P$2488=N$1),('Diário 8º PA'!$F$5:$F$2488))</f>
        <v>4728.8900000000003</v>
      </c>
      <c r="O164" s="218">
        <f t="shared" ref="O164:O165" si="22">SUM(C164:N164)</f>
        <v>39048.869999999995</v>
      </c>
      <c r="P164" s="227">
        <f t="shared" si="20"/>
        <v>4.1431319664734277E-3</v>
      </c>
      <c r="Q164" s="34"/>
      <c r="R164" s="34"/>
      <c r="S164" s="34"/>
      <c r="T164" s="34"/>
      <c r="U164" s="34"/>
      <c r="V164" s="34"/>
      <c r="W164" s="34"/>
      <c r="X164" s="34"/>
      <c r="Y164" s="34"/>
      <c r="Z164" s="34"/>
    </row>
    <row r="165" spans="1:26" ht="23.25" customHeight="1" x14ac:dyDescent="0.2">
      <c r="A165" s="228" t="s">
        <v>103</v>
      </c>
      <c r="B165" s="229" t="s">
        <v>104</v>
      </c>
      <c r="C165" s="174">
        <f>SUMPRODUCT(-('Diário 5º PA'!$E$5:$E$2634='Analítico Cx.'!$B165),-('Diário 5º PA'!$P$5:$P$2634=C$1),('Diário 5º PA'!$F$5:$F$2634))+
SUMPRODUCT(-('Diário 6º PA'!$E$5:$E$2246='Analítico Cx.'!$B165),-('Diário 6º PA'!$P$5:$P$2246=C$1),('Diário 6º PA'!$F$5:$F$2246))+
SUMPRODUCT(-('Diário 7º PA'!$E$5:$E$2271='Analítico Cx.'!$B165),-('Diário 7º PA'!$P$5:$P$2271=C$1),('Diário 7º PA'!$F$5:$F$2271))+
SUMPRODUCT(-('Diário 8º PA'!$E$5:$E$2488='Analítico Cx.'!$B165),-('Diário 8º PA'!$P$5:$P$2488=C$1),('Diário 8º PA'!$F$5:$F$2488))</f>
        <v>185345.7</v>
      </c>
      <c r="D165" s="174">
        <f>SUMPRODUCT(-('Diário 5º PA'!$E$5:$E$2634='Analítico Cx.'!$B165),-('Diário 5º PA'!$P$5:$P$2634=D$1),('Diário 5º PA'!$F$5:$F$2634))+
SUMPRODUCT(-('Diário 6º PA'!$E$5:$E$2246='Analítico Cx.'!$B165),-('Diário 6º PA'!$P$5:$P$2246=D$1),('Diário 6º PA'!$F$5:$F$2246))+
SUMPRODUCT(-('Diário 7º PA'!$E$5:$E$2271='Analítico Cx.'!$B165),-('Diário 7º PA'!$P$5:$P$2271=D$1),('Diário 7º PA'!$F$5:$F$2271))+
SUMPRODUCT(-('Diário 8º PA'!$E$5:$E$2488='Analítico Cx.'!$B165),-('Diário 8º PA'!$P$5:$P$2488=D$1),('Diário 8º PA'!$F$5:$F$2488))</f>
        <v>110263.12000000001</v>
      </c>
      <c r="E165" s="174">
        <f>SUMPRODUCT(-('Diário 5º PA'!$E$5:$E$2634='Analítico Cx.'!$B165),-('Diário 5º PA'!$P$5:$P$2634=E$1),('Diário 5º PA'!$F$5:$F$2634))+
SUMPRODUCT(-('Diário 6º PA'!$E$5:$E$2246='Analítico Cx.'!$B165),-('Diário 6º PA'!$P$5:$P$2246=E$1),('Diário 6º PA'!$F$5:$F$2246))+
SUMPRODUCT(-('Diário 7º PA'!$E$5:$E$2271='Analítico Cx.'!$B165),-('Diário 7º PA'!$P$5:$P$2271=E$1),('Diário 7º PA'!$F$5:$F$2271))+
SUMPRODUCT(-('Diário 8º PA'!$E$5:$E$2488='Analítico Cx.'!$B165),-('Diário 8º PA'!$P$5:$P$2488=E$1),('Diário 8º PA'!$F$5:$F$2488))</f>
        <v>255660.10000000003</v>
      </c>
      <c r="F165" s="174">
        <f>SUMPRODUCT(-('Diário 5º PA'!$E$5:$E$2634='Analítico Cx.'!$B165),-('Diário 5º PA'!$P$5:$P$2634=F$1),('Diário 5º PA'!$F$5:$F$2634))+
SUMPRODUCT(-('Diário 6º PA'!$E$5:$E$2246='Analítico Cx.'!$B165),-('Diário 6º PA'!$P$5:$P$2246=F$1),('Diário 6º PA'!$F$5:$F$2246))+
SUMPRODUCT(-('Diário 7º PA'!$E$5:$E$2271='Analítico Cx.'!$B165),-('Diário 7º PA'!$P$5:$P$2271=F$1),('Diário 7º PA'!$F$5:$F$2271))+
SUMPRODUCT(-('Diário 8º PA'!$E$5:$E$2488='Analítico Cx.'!$B165),-('Diário 8º PA'!$P$5:$P$2488=F$1),('Diário 8º PA'!$F$5:$F$2488))</f>
        <v>210419.27000000005</v>
      </c>
      <c r="G165" s="174">
        <f>SUMPRODUCT(-('Diário 5º PA'!$E$5:$E$2634='Analítico Cx.'!$B165),-('Diário 5º PA'!$P$5:$P$2634=G$1),('Diário 5º PA'!$F$5:$F$2634))+
SUMPRODUCT(-('Diário 6º PA'!$E$5:$E$2246='Analítico Cx.'!$B165),-('Diário 6º PA'!$P$5:$P$2246=G$1),('Diário 6º PA'!$F$5:$F$2246))+
SUMPRODUCT(-('Diário 7º PA'!$E$5:$E$2271='Analítico Cx.'!$B165),-('Diário 7º PA'!$P$5:$P$2271=G$1),('Diário 7º PA'!$F$5:$F$2271))+
SUMPRODUCT(-('Diário 8º PA'!$E$5:$E$2488='Analítico Cx.'!$B165),-('Diário 8º PA'!$P$5:$P$2488=G$1),('Diário 8º PA'!$F$5:$F$2488))</f>
        <v>188789.58999999988</v>
      </c>
      <c r="H165" s="174">
        <f>SUMPRODUCT(-('Diário 5º PA'!$E$5:$E$2634='Analítico Cx.'!$B165),-('Diário 5º PA'!$P$5:$P$2634=H$1),('Diário 5º PA'!$F$5:$F$2634))+
SUMPRODUCT(-('Diário 6º PA'!$E$5:$E$2246='Analítico Cx.'!$B165),-('Diário 6º PA'!$P$5:$P$2246=H$1),('Diário 6º PA'!$F$5:$F$2246))+
SUMPRODUCT(-('Diário 7º PA'!$E$5:$E$2271='Analítico Cx.'!$B165),-('Diário 7º PA'!$P$5:$P$2271=H$1),('Diário 7º PA'!$F$5:$F$2271))+
SUMPRODUCT(-('Diário 8º PA'!$E$5:$E$2488='Analítico Cx.'!$B165),-('Diário 8º PA'!$P$5:$P$2488=H$1),('Diário 8º PA'!$F$5:$F$2488))</f>
        <v>80070.809999999983</v>
      </c>
      <c r="I165" s="174">
        <f>SUMPRODUCT(-('Diário 5º PA'!$E$5:$E$2634='Analítico Cx.'!$B165),-('Diário 5º PA'!$P$5:$P$2634=I$1),('Diário 5º PA'!$F$5:$F$2634))+
SUMPRODUCT(-('Diário 6º PA'!$E$5:$E$2246='Analítico Cx.'!$B165),-('Diário 6º PA'!$P$5:$P$2246=I$1),('Diário 6º PA'!$F$5:$F$2246))+
SUMPRODUCT(-('Diário 7º PA'!$E$5:$E$2271='Analítico Cx.'!$B165),-('Diário 7º PA'!$P$5:$P$2271=I$1),('Diário 7º PA'!$F$5:$F$2271))+
SUMPRODUCT(-('Diário 8º PA'!$E$5:$E$2488='Analítico Cx.'!$B165),-('Diário 8º PA'!$P$5:$P$2488=I$1),('Diário 8º PA'!$F$5:$F$2488))</f>
        <v>47585.000000000007</v>
      </c>
      <c r="J165" s="174">
        <f>SUMPRODUCT(-('Diário 5º PA'!$E$5:$E$2634='Analítico Cx.'!$B165),-('Diário 5º PA'!$P$5:$P$2634=J$1),('Diário 5º PA'!$F$5:$F$2634))+
SUMPRODUCT(-('Diário 6º PA'!$E$5:$E$2246='Analítico Cx.'!$B165),-('Diário 6º PA'!$P$5:$P$2246=J$1),('Diário 6º PA'!$F$5:$F$2246))+
SUMPRODUCT(-('Diário 7º PA'!$E$5:$E$2271='Analítico Cx.'!$B165),-('Diário 7º PA'!$P$5:$P$2271=J$1),('Diário 7º PA'!$F$5:$F$2271))+
SUMPRODUCT(-('Diário 8º PA'!$E$5:$E$2488='Analítico Cx.'!$B165),-('Diário 8º PA'!$P$5:$P$2488=J$1),('Diário 8º PA'!$F$5:$F$2488))</f>
        <v>207597.32000000007</v>
      </c>
      <c r="K165" s="612">
        <f>SUMPRODUCT(-('Diário 5º PA'!$E$5:$E$2634='Analítico Cx.'!$B165),-('Diário 5º PA'!$P$5:$P$2634=K$1),('Diário 5º PA'!$F$5:$F$2634))+
SUMPRODUCT(-('Diário 6º PA'!$E$5:$E$2246='Analítico Cx.'!$B165),-('Diário 6º PA'!$P$5:$P$2246=K$1),('Diário 6º PA'!$F$5:$F$2246))+
SUMPRODUCT(-('Diário 7º PA'!$E$5:$E$2271='Analítico Cx.'!$B165),-('Diário 7º PA'!$P$5:$P$2271=K$1),('Diário 7º PA'!$F$5:$F$2271))+
SUMPRODUCT(-('Diário 8º PA'!$E$5:$E$2488='Analítico Cx.'!$B165),-('Diário 8º PA'!$P$5:$P$2488=K$1),('Diário 8º PA'!$F$5:$F$2488))</f>
        <v>1694230.639999998</v>
      </c>
      <c r="L165" s="174">
        <f>SUMPRODUCT(-('Diário 5º PA'!$E$5:$E$2634='Analítico Cx.'!$B165),-('Diário 5º PA'!$P$5:$P$2634=L$1),('Diário 5º PA'!$F$5:$F$2634))+
SUMPRODUCT(-('Diário 6º PA'!$E$5:$E$2246='Analítico Cx.'!$B165),-('Diário 6º PA'!$P$5:$P$2246=L$1),('Diário 6º PA'!$F$5:$F$2246))+
SUMPRODUCT(-('Diário 7º PA'!$E$5:$E$2271='Analítico Cx.'!$B165),-('Diário 7º PA'!$P$5:$P$2271=L$1),('Diário 7º PA'!$F$5:$F$2271))+
SUMPRODUCT(-('Diário 8º PA'!$E$5:$E$2488='Analítico Cx.'!$B165),-('Diário 8º PA'!$P$5:$P$2488=L$1),('Diário 8º PA'!$F$5:$F$2488))</f>
        <v>261095.96000000002</v>
      </c>
      <c r="M165" s="174">
        <f>SUMPRODUCT(-('Diário 5º PA'!$E$5:$E$2634='Analítico Cx.'!$B165),-('Diário 5º PA'!$P$5:$P$2634=M$1),('Diário 5º PA'!$F$5:$F$2634))+
SUMPRODUCT(-('Diário 6º PA'!$E$5:$E$2246='Analítico Cx.'!$B165),-('Diário 6º PA'!$P$5:$P$2246=M$1),('Diário 6º PA'!$F$5:$F$2246))+
SUMPRODUCT(-('Diário 7º PA'!$E$5:$E$2271='Analítico Cx.'!$B165),-('Diário 7º PA'!$P$5:$P$2271=M$1),('Diário 7º PA'!$F$5:$F$2271))+
SUMPRODUCT(-('Diário 8º PA'!$E$5:$E$2488='Analítico Cx.'!$B165),-('Diário 8º PA'!$P$5:$P$2488=M$1),('Diário 8º PA'!$F$5:$F$2488))</f>
        <v>369193.87000000017</v>
      </c>
      <c r="N165" s="174">
        <f>SUMPRODUCT(-('Diário 5º PA'!$E$5:$E$2634='Analítico Cx.'!$B165),-('Diário 5º PA'!$P$5:$P$2634=N$1),('Diário 5º PA'!$F$5:$F$2634))+
SUMPRODUCT(-('Diário 6º PA'!$E$5:$E$2246='Analítico Cx.'!$B165),-('Diário 6º PA'!$P$5:$P$2246=N$1),('Diário 6º PA'!$F$5:$F$2246))+
SUMPRODUCT(-('Diário 7º PA'!$E$5:$E$2271='Analítico Cx.'!$B165),-('Diário 7º PA'!$P$5:$P$2271=N$1),('Diário 7º PA'!$F$5:$F$2271))+
SUMPRODUCT(-('Diário 8º PA'!$E$5:$E$2488='Analítico Cx.'!$B165),-('Diário 8º PA'!$P$5:$P$2488=N$1),('Diário 8º PA'!$F$5:$F$2488))</f>
        <v>127278.14999999992</v>
      </c>
      <c r="O165" s="218">
        <f t="shared" si="22"/>
        <v>3737529.5299999979</v>
      </c>
      <c r="P165" s="227">
        <f t="shared" si="20"/>
        <v>0.39655636824782386</v>
      </c>
      <c r="Q165" s="34"/>
      <c r="R165" s="34"/>
      <c r="S165" s="34"/>
      <c r="T165" s="34"/>
      <c r="U165" s="34"/>
      <c r="V165" s="34"/>
      <c r="W165" s="34"/>
      <c r="X165" s="34"/>
      <c r="Y165" s="34"/>
      <c r="Z165" s="34"/>
    </row>
    <row r="166" spans="1:26" ht="23.25" customHeight="1" x14ac:dyDescent="0.2">
      <c r="A166" s="228" t="s">
        <v>414</v>
      </c>
      <c r="B166" s="221"/>
      <c r="C166" s="174">
        <f t="shared" ref="C166:O166" si="23">SUBTOTAL(109,C23:C165)</f>
        <v>686160.36999999988</v>
      </c>
      <c r="D166" s="174">
        <f t="shared" si="23"/>
        <v>453053.71000000008</v>
      </c>
      <c r="E166" s="174">
        <f t="shared" si="23"/>
        <v>527032.97</v>
      </c>
      <c r="F166" s="174">
        <f t="shared" si="23"/>
        <v>541331.61900000006</v>
      </c>
      <c r="G166" s="174">
        <f t="shared" si="23"/>
        <v>565216.22999999986</v>
      </c>
      <c r="H166" s="174">
        <f t="shared" si="23"/>
        <v>579449.54999999993</v>
      </c>
      <c r="I166" s="174">
        <f t="shared" si="23"/>
        <v>547681.97</v>
      </c>
      <c r="J166" s="174">
        <f t="shared" si="23"/>
        <v>724052.42000000016</v>
      </c>
      <c r="K166" s="174">
        <f t="shared" si="23"/>
        <v>2191414.7099999981</v>
      </c>
      <c r="L166" s="174">
        <f t="shared" si="23"/>
        <v>782101.95000000019</v>
      </c>
      <c r="M166" s="174">
        <f t="shared" si="23"/>
        <v>1067920.7500000002</v>
      </c>
      <c r="N166" s="174">
        <f t="shared" si="23"/>
        <v>759547.83999999985</v>
      </c>
      <c r="O166" s="218">
        <f t="shared" si="23"/>
        <v>9424964.088999996</v>
      </c>
      <c r="P166" s="219">
        <f t="shared" si="20"/>
        <v>1</v>
      </c>
      <c r="Q166" s="34"/>
      <c r="R166" s="34"/>
      <c r="S166" s="34"/>
      <c r="T166" s="34"/>
      <c r="U166" s="34"/>
      <c r="V166" s="34"/>
      <c r="W166" s="34"/>
      <c r="X166" s="34"/>
      <c r="Y166" s="34"/>
      <c r="Z166" s="34"/>
    </row>
    <row r="167" spans="1:26" ht="12.75" customHeight="1"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2.75" customHeight="1"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2.75" customHeight="1"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2.75" customHeight="1"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2.75" customHeight="1"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2.75" customHeight="1"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2.75" customHeight="1"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2.75" customHeight="1"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2.75" customHeight="1"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2.75" customHeight="1"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2.75" customHeight="1"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2.75" customHeight="1"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2.75" customHeight="1"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2.75" customHeight="1"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2.75" customHeight="1"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2.75" customHeight="1"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2.75" customHeight="1"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2.75" customHeight="1"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2.75" customHeight="1"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2.75" customHeight="1"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2.75" customHeight="1"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2.75" customHeight="1"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2.75" customHeight="1"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2.75" customHeight="1"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2.75" customHeight="1"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2.75" customHeight="1"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2.75" customHeight="1"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2.75" customHeight="1"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2.75" customHeight="1"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2.75" customHeight="1"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2.75" customHeight="1"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2.75" customHeight="1"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2.75" customHeight="1"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2.75" customHeight="1"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2.75" customHeight="1"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2.75" customHeight="1"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2.75" customHeight="1"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2.75" customHeight="1"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2.75" customHeight="1"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2.75" customHeight="1"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2.75" customHeight="1"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2.75" customHeight="1"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2.75" customHeight="1"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2.75" customHeight="1"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2.75" customHeight="1"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2.75" customHeight="1"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2.75" customHeight="1"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2.75" customHeight="1"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2.75" customHeight="1"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2.75" customHeight="1"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2.75" customHeight="1"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2.75" customHeight="1"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2.75" customHeight="1"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2.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2.75" customHeight="1"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2.75" customHeight="1"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customHeight="1" x14ac:dyDescent="0.2"/>
    <row r="368" spans="1:26"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2:P2"/>
    <mergeCell ref="A3:P3"/>
    <mergeCell ref="A4:P4"/>
    <mergeCell ref="O5:O8"/>
    <mergeCell ref="P5:P8"/>
  </mergeCells>
  <pageMargins left="0.19685039370078741" right="0.19685039370078741" top="0.59055118110236227" bottom="0.59055118110236227" header="0" footer="0"/>
  <pageSetup paperSize="9" scale="71" fitToHeight="0"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pane xSplit="2" ySplit="7" topLeftCell="C156" activePane="bottomRight" state="frozen"/>
      <selection pane="topRight" activeCell="C1" sqref="C1"/>
      <selection pane="bottomLeft" activeCell="A8" sqref="A8"/>
      <selection pane="bottomRight" activeCell="A2" sqref="A2:P164"/>
    </sheetView>
  </sheetViews>
  <sheetFormatPr defaultColWidth="14.42578125" defaultRowHeight="15" customHeight="1" x14ac:dyDescent="0.2"/>
  <cols>
    <col min="1" max="1" width="7.42578125" customWidth="1"/>
    <col min="2" max="2" width="25.7109375" customWidth="1"/>
    <col min="3" max="14" width="12.42578125" customWidth="1"/>
    <col min="15" max="15" width="11.140625" customWidth="1"/>
    <col min="16" max="16" width="12" customWidth="1"/>
    <col min="17" max="26" width="9.140625" customWidth="1"/>
  </cols>
  <sheetData>
    <row r="1" spans="1:26" ht="12.75" hidden="1" customHeight="1" x14ac:dyDescent="0.2">
      <c r="A1" s="160"/>
      <c r="B1" s="161" t="s">
        <v>142</v>
      </c>
      <c r="C1" s="162">
        <v>1</v>
      </c>
      <c r="D1" s="162">
        <v>2</v>
      </c>
      <c r="E1" s="162">
        <v>3</v>
      </c>
      <c r="F1" s="162">
        <v>4</v>
      </c>
      <c r="G1" s="162">
        <v>5</v>
      </c>
      <c r="H1" s="162">
        <v>6</v>
      </c>
      <c r="I1" s="162">
        <v>7</v>
      </c>
      <c r="J1" s="162">
        <v>8</v>
      </c>
      <c r="K1" s="162">
        <v>9</v>
      </c>
      <c r="L1" s="162">
        <v>10</v>
      </c>
      <c r="M1" s="162">
        <v>11</v>
      </c>
      <c r="N1" s="162">
        <v>12</v>
      </c>
      <c r="O1" s="160"/>
      <c r="P1" s="34"/>
      <c r="Q1" s="34"/>
      <c r="R1" s="34"/>
      <c r="S1" s="34"/>
      <c r="T1" s="34"/>
      <c r="U1" s="34"/>
      <c r="V1" s="34"/>
      <c r="W1" s="34"/>
      <c r="X1" s="34"/>
      <c r="Y1" s="34"/>
      <c r="Z1" s="34"/>
    </row>
    <row r="2" spans="1:26" ht="27.75" customHeight="1" x14ac:dyDescent="0.2">
      <c r="A2" s="694" t="str">
        <f>Capa!A1</f>
        <v>Contrato de Gestão nº. 05/20 celebrado entre a Fundação Clóvis Salgado e a Associação Pró-Cultura e Promoção das Artes</v>
      </c>
      <c r="B2" s="695"/>
      <c r="C2" s="695"/>
      <c r="D2" s="695"/>
      <c r="E2" s="695"/>
      <c r="F2" s="695"/>
      <c r="G2" s="695"/>
      <c r="H2" s="695"/>
      <c r="I2" s="695"/>
      <c r="J2" s="695"/>
      <c r="K2" s="695"/>
      <c r="L2" s="695"/>
      <c r="M2" s="695"/>
      <c r="N2" s="695"/>
      <c r="O2" s="695"/>
      <c r="P2" s="696"/>
      <c r="Q2" s="34"/>
      <c r="R2" s="34"/>
      <c r="S2" s="34"/>
      <c r="T2" s="34"/>
      <c r="U2" s="34"/>
      <c r="V2" s="34"/>
      <c r="W2" s="34"/>
      <c r="X2" s="34"/>
      <c r="Y2" s="34"/>
      <c r="Z2" s="34"/>
    </row>
    <row r="3" spans="1:26" ht="15" customHeight="1" x14ac:dyDescent="0.2">
      <c r="A3" s="694" t="str">
        <f>Capa!A3</f>
        <v>8º Relatório Gerencial Financeiro</v>
      </c>
      <c r="B3" s="695"/>
      <c r="C3" s="695"/>
      <c r="D3" s="695"/>
      <c r="E3" s="695"/>
      <c r="F3" s="695"/>
      <c r="G3" s="695"/>
      <c r="H3" s="695"/>
      <c r="I3" s="695"/>
      <c r="J3" s="695"/>
      <c r="K3" s="695"/>
      <c r="L3" s="695"/>
      <c r="M3" s="695"/>
      <c r="N3" s="695"/>
      <c r="O3" s="695"/>
      <c r="P3" s="696"/>
      <c r="Q3" s="34"/>
      <c r="R3" s="34"/>
      <c r="S3" s="34"/>
      <c r="T3" s="34"/>
      <c r="U3" s="34"/>
      <c r="V3" s="34"/>
      <c r="W3" s="34"/>
      <c r="X3" s="34"/>
      <c r="Y3" s="34"/>
      <c r="Z3" s="34"/>
    </row>
    <row r="4" spans="1:26" ht="21" customHeight="1" x14ac:dyDescent="0.2">
      <c r="A4" s="731" t="s">
        <v>415</v>
      </c>
      <c r="B4" s="711"/>
      <c r="C4" s="711"/>
      <c r="D4" s="711"/>
      <c r="E4" s="711"/>
      <c r="F4" s="711"/>
      <c r="G4" s="711"/>
      <c r="H4" s="711"/>
      <c r="I4" s="711"/>
      <c r="J4" s="711"/>
      <c r="K4" s="711"/>
      <c r="L4" s="711"/>
      <c r="M4" s="711"/>
      <c r="N4" s="711"/>
      <c r="O4" s="711"/>
      <c r="P4" s="712"/>
      <c r="Q4" s="34"/>
      <c r="R4" s="34"/>
      <c r="S4" s="34"/>
      <c r="T4" s="34"/>
      <c r="U4" s="34"/>
      <c r="V4" s="34"/>
      <c r="W4" s="34"/>
      <c r="X4" s="34"/>
      <c r="Y4" s="34"/>
      <c r="Z4" s="34"/>
    </row>
    <row r="5" spans="1:26" ht="12.75" customHeight="1" x14ac:dyDescent="0.2">
      <c r="A5" s="163"/>
      <c r="B5" s="163"/>
      <c r="C5" s="164" t="str">
        <f>Resumo!C4</f>
        <v>Mês 1</v>
      </c>
      <c r="D5" s="164" t="str">
        <f>Resumo!D4</f>
        <v>Mês 2</v>
      </c>
      <c r="E5" s="164" t="str">
        <f>Resumo!E4</f>
        <v>Mês 3</v>
      </c>
      <c r="F5" s="164" t="str">
        <f>Resumo!F4</f>
        <v>Mês 4</v>
      </c>
      <c r="G5" s="164" t="str">
        <f>Resumo!G4</f>
        <v>Mês 5</v>
      </c>
      <c r="H5" s="164" t="str">
        <f>Resumo!H4</f>
        <v>Mês 6</v>
      </c>
      <c r="I5" s="164" t="str">
        <f>Resumo!I4</f>
        <v>Mês 7</v>
      </c>
      <c r="J5" s="164" t="str">
        <f>Resumo!J4</f>
        <v>Mês 8</v>
      </c>
      <c r="K5" s="164" t="str">
        <f>Resumo!K4</f>
        <v>Mês 9</v>
      </c>
      <c r="L5" s="164" t="str">
        <f>Resumo!L4</f>
        <v>Mês 10</v>
      </c>
      <c r="M5" s="164" t="str">
        <f>Resumo!M4</f>
        <v>Mês 11</v>
      </c>
      <c r="N5" s="164" t="str">
        <f>Resumo!N4</f>
        <v>Mês 12</v>
      </c>
      <c r="O5" s="732" t="s">
        <v>75</v>
      </c>
      <c r="P5" s="733" t="s">
        <v>144</v>
      </c>
      <c r="Q5" s="34"/>
      <c r="R5" s="34"/>
      <c r="S5" s="34"/>
      <c r="T5" s="34"/>
      <c r="U5" s="34"/>
      <c r="V5" s="34"/>
      <c r="W5" s="34"/>
      <c r="X5" s="34"/>
      <c r="Y5" s="34"/>
      <c r="Z5" s="34"/>
    </row>
    <row r="6" spans="1:26" ht="12.75" customHeight="1" x14ac:dyDescent="0.2">
      <c r="A6" s="23"/>
      <c r="B6" s="23"/>
      <c r="C6" s="165">
        <f>Resumo!C5</f>
        <v>44197</v>
      </c>
      <c r="D6" s="165">
        <f>Resumo!D5</f>
        <v>44228</v>
      </c>
      <c r="E6" s="165">
        <f>Resumo!E5</f>
        <v>44256</v>
      </c>
      <c r="F6" s="165">
        <f>Resumo!F5</f>
        <v>44287</v>
      </c>
      <c r="G6" s="165">
        <f>Resumo!G5</f>
        <v>44317</v>
      </c>
      <c r="H6" s="165">
        <f>Resumo!H5</f>
        <v>44348</v>
      </c>
      <c r="I6" s="165">
        <f>Resumo!I5</f>
        <v>44378</v>
      </c>
      <c r="J6" s="165">
        <f>Resumo!J5</f>
        <v>44409</v>
      </c>
      <c r="K6" s="165">
        <f>Resumo!K5</f>
        <v>44440</v>
      </c>
      <c r="L6" s="165">
        <f>Resumo!L5</f>
        <v>44470</v>
      </c>
      <c r="M6" s="165">
        <f>Resumo!M5</f>
        <v>44501</v>
      </c>
      <c r="N6" s="165">
        <f>Resumo!N5</f>
        <v>44531</v>
      </c>
      <c r="O6" s="703"/>
      <c r="P6" s="703"/>
      <c r="Q6" s="34"/>
      <c r="R6" s="34"/>
      <c r="S6" s="34"/>
      <c r="T6" s="34"/>
      <c r="U6" s="34"/>
      <c r="V6" s="34"/>
      <c r="W6" s="34"/>
      <c r="X6" s="34"/>
      <c r="Y6" s="34"/>
      <c r="Z6" s="34"/>
    </row>
    <row r="7" spans="1:26" ht="12.75" customHeight="1" x14ac:dyDescent="0.2">
      <c r="A7" s="23"/>
      <c r="B7" s="23"/>
      <c r="C7" s="166" t="str">
        <f>Resumo!C6</f>
        <v>a</v>
      </c>
      <c r="D7" s="166" t="str">
        <f>Resumo!D6</f>
        <v>a</v>
      </c>
      <c r="E7" s="166" t="str">
        <f>Resumo!E6</f>
        <v>a</v>
      </c>
      <c r="F7" s="166" t="str">
        <f>Resumo!F6</f>
        <v>a</v>
      </c>
      <c r="G7" s="166" t="str">
        <f>Resumo!G6</f>
        <v>a</v>
      </c>
      <c r="H7" s="166" t="str">
        <f>Resumo!H6</f>
        <v>a</v>
      </c>
      <c r="I7" s="166" t="str">
        <f>Resumo!I6</f>
        <v>a</v>
      </c>
      <c r="J7" s="166" t="str">
        <f>Resumo!J6</f>
        <v>a</v>
      </c>
      <c r="K7" s="166" t="str">
        <f>Resumo!K6</f>
        <v>a</v>
      </c>
      <c r="L7" s="166" t="str">
        <f>Resumo!L6</f>
        <v>a</v>
      </c>
      <c r="M7" s="166" t="str">
        <f>Resumo!M6</f>
        <v>a</v>
      </c>
      <c r="N7" s="166" t="str">
        <f>Resumo!N6</f>
        <v>a</v>
      </c>
      <c r="O7" s="703"/>
      <c r="P7" s="703"/>
      <c r="Q7" s="34"/>
      <c r="R7" s="34"/>
      <c r="S7" s="34"/>
      <c r="T7" s="34"/>
      <c r="U7" s="34"/>
      <c r="V7" s="34"/>
      <c r="W7" s="34"/>
      <c r="X7" s="34"/>
      <c r="Y7" s="34"/>
      <c r="Z7" s="34"/>
    </row>
    <row r="8" spans="1:26" ht="12.75" customHeight="1" x14ac:dyDescent="0.2">
      <c r="A8" s="167"/>
      <c r="B8" s="167"/>
      <c r="C8" s="168">
        <f>Resumo!C7</f>
        <v>44227</v>
      </c>
      <c r="D8" s="168">
        <f>Resumo!D7</f>
        <v>44255</v>
      </c>
      <c r="E8" s="168">
        <f>Resumo!E7</f>
        <v>44286</v>
      </c>
      <c r="F8" s="168">
        <f>Resumo!F7</f>
        <v>44316</v>
      </c>
      <c r="G8" s="168">
        <f>Resumo!G7</f>
        <v>44347</v>
      </c>
      <c r="H8" s="168">
        <f>Resumo!H7</f>
        <v>44377</v>
      </c>
      <c r="I8" s="168">
        <f>Resumo!I7</f>
        <v>44408</v>
      </c>
      <c r="J8" s="168">
        <f>Resumo!J7</f>
        <v>44439</v>
      </c>
      <c r="K8" s="168">
        <f>Resumo!K7</f>
        <v>44469</v>
      </c>
      <c r="L8" s="168">
        <f>Resumo!L7</f>
        <v>44500</v>
      </c>
      <c r="M8" s="168">
        <f>Resumo!M7</f>
        <v>44530</v>
      </c>
      <c r="N8" s="168">
        <f>Resumo!N7</f>
        <v>44561</v>
      </c>
      <c r="O8" s="716"/>
      <c r="P8" s="716"/>
      <c r="Q8" s="34"/>
      <c r="R8" s="34"/>
      <c r="S8" s="34"/>
      <c r="T8" s="34"/>
      <c r="U8" s="34"/>
      <c r="V8" s="34"/>
      <c r="W8" s="34"/>
      <c r="X8" s="34"/>
      <c r="Y8" s="34"/>
      <c r="Z8" s="34"/>
    </row>
    <row r="9" spans="1:26" ht="23.25" customHeight="1" x14ac:dyDescent="0.2">
      <c r="A9" s="178">
        <v>1</v>
      </c>
      <c r="B9" s="178" t="s">
        <v>74</v>
      </c>
      <c r="C9" s="179"/>
      <c r="D9" s="179"/>
      <c r="E9" s="179"/>
      <c r="F9" s="179"/>
      <c r="G9" s="179"/>
      <c r="H9" s="179"/>
      <c r="I9" s="179"/>
      <c r="J9" s="179"/>
      <c r="K9" s="179"/>
      <c r="L9" s="179"/>
      <c r="M9" s="179"/>
      <c r="N9" s="179"/>
      <c r="O9" s="179"/>
      <c r="P9" s="180"/>
      <c r="Q9" s="34"/>
      <c r="R9" s="34"/>
      <c r="S9" s="34"/>
      <c r="T9" s="34"/>
      <c r="U9" s="34"/>
      <c r="V9" s="34"/>
      <c r="W9" s="34"/>
      <c r="X9" s="34"/>
      <c r="Y9" s="34"/>
      <c r="Z9" s="34"/>
    </row>
    <row r="10" spans="1:26" ht="23.25" customHeight="1" x14ac:dyDescent="0.2">
      <c r="A10" s="181" t="s">
        <v>76</v>
      </c>
      <c r="B10" s="181" t="s">
        <v>77</v>
      </c>
      <c r="C10" s="182"/>
      <c r="D10" s="182"/>
      <c r="E10" s="182"/>
      <c r="F10" s="182"/>
      <c r="G10" s="182"/>
      <c r="H10" s="182"/>
      <c r="I10" s="182"/>
      <c r="J10" s="182"/>
      <c r="K10" s="182"/>
      <c r="L10" s="182"/>
      <c r="M10" s="182"/>
      <c r="N10" s="182"/>
      <c r="O10" s="182"/>
      <c r="P10" s="183"/>
      <c r="Q10" s="34"/>
      <c r="R10" s="34"/>
      <c r="S10" s="34"/>
      <c r="T10" s="34"/>
      <c r="U10" s="34"/>
      <c r="V10" s="34"/>
      <c r="W10" s="34"/>
      <c r="X10" s="34"/>
      <c r="Y10" s="34"/>
      <c r="Z10" s="34"/>
    </row>
    <row r="11" spans="1:26" ht="23.25" customHeight="1" x14ac:dyDescent="0.2">
      <c r="A11" s="184" t="s">
        <v>78</v>
      </c>
      <c r="B11" s="72" t="s">
        <v>79</v>
      </c>
      <c r="C11" s="185">
        <f>SUMPRODUCT(-('Diário 5º PA'!$E$5:$E$2634='Analítico Cp.'!$B11),-('Diário 5º PA'!$Q$5:$Q$2634=C$1),('Diário 5º PA'!$F$5:$F$2634))
+SUMPRODUCT(-('Diário 6º PA'!$E$5:$E$2246='Analítico Cp.'!$B11),-('Diário 6º PA'!$Q$5:$Q$2246=C$1),('Diário 6º PA'!$F$5:$F$2246))
+SUMPRODUCT(-('Diário 7º PA'!$E$5:$E$2271='Analítico Cp.'!$B11),-('Diário 7º PA'!$Q$5:$Q$2271=C$1),('Diário 7º PA'!$F$5:$F$2271))
+SUMPRODUCT(-('Diário 8º PA'!$E$5:$E$2488='Analítico Cp.'!$B11),-('Diário 8º PA'!$Q$5:$Q$2488=C$1),('Diário 8º PA'!$F$5:$F$2488))
+SUMPRODUCT(-('Comp.'!$D$5:$D$313='Analítico Cp.'!$B11),-('Comp.'!$R$5:$R$313=C$1),('Comp.'!$E$5:$E$313))</f>
        <v>0</v>
      </c>
      <c r="D11" s="185">
        <f>SUMPRODUCT(-('Diário 5º PA'!$E$5:$E$2634='Analítico Cp.'!$B11),-('Diário 5º PA'!$Q$5:$Q$2634=D$1),('Diário 5º PA'!$F$5:$F$2634))
+SUMPRODUCT(-('Diário 6º PA'!$E$5:$E$2246='Analítico Cp.'!$B11),-('Diário 6º PA'!$Q$5:$Q$2246=D$1),('Diário 6º PA'!$F$5:$F$2246))
+SUMPRODUCT(-('Diário 7º PA'!$E$5:$E$2271='Analítico Cp.'!$B11),-('Diário 7º PA'!$Q$5:$Q$2271=D$1),('Diário 7º PA'!$F$5:$F$2271))
+SUMPRODUCT(-('Diário 8º PA'!$E$5:$E$2488='Analítico Cp.'!$B11),-('Diário 8º PA'!$Q$5:$Q$2488=D$1),('Diário 8º PA'!$F$5:$F$2488))
+SUMPRODUCT(-('Comp.'!$D$5:$D$313='Analítico Cp.'!$B11),-('Comp.'!$R$5:$R$313=D$1),('Comp.'!$E$5:$E$313))</f>
        <v>1857482.23</v>
      </c>
      <c r="E11" s="185">
        <f>SUMPRODUCT(-('Diário 5º PA'!$E$5:$E$2634='Analítico Cp.'!$B11),-('Diário 5º PA'!$Q$5:$Q$2634=E$1),('Diário 5º PA'!$F$5:$F$2634))
+SUMPRODUCT(-('Diário 6º PA'!$E$5:$E$2246='Analítico Cp.'!$B11),-('Diário 6º PA'!$Q$5:$Q$2246=E$1),('Diário 6º PA'!$F$5:$F$2246))
+SUMPRODUCT(-('Diário 7º PA'!$E$5:$E$2271='Analítico Cp.'!$B11),-('Diário 7º PA'!$Q$5:$Q$2271=E$1),('Diário 7º PA'!$F$5:$F$2271))
+SUMPRODUCT(-('Diário 8º PA'!$E$5:$E$2488='Analítico Cp.'!$B11),-('Diário 8º PA'!$Q$5:$Q$2488=E$1),('Diário 8º PA'!$F$5:$F$2488))
+SUMPRODUCT(-('Comp.'!$D$5:$D$313='Analítico Cp.'!$B11),-('Comp.'!$R$5:$R$313=E$1),('Comp.'!$E$5:$E$313))</f>
        <v>0</v>
      </c>
      <c r="F11" s="185">
        <f>SUMPRODUCT(-('Diário 5º PA'!$E$5:$E$2634='Analítico Cp.'!$B11),-('Diário 5º PA'!$Q$5:$Q$2634=F$1),('Diário 5º PA'!$F$5:$F$2634))
+SUMPRODUCT(-('Diário 6º PA'!$E$5:$E$2246='Analítico Cp.'!$B11),-('Diário 6º PA'!$Q$5:$Q$2246=F$1),('Diário 6º PA'!$F$5:$F$2246))
+SUMPRODUCT(-('Diário 7º PA'!$E$5:$E$2271='Analítico Cp.'!$B11),-('Diário 7º PA'!$Q$5:$Q$2271=F$1),('Diário 7º PA'!$F$5:$F$2271))
+SUMPRODUCT(-('Diário 8º PA'!$E$5:$E$2488='Analítico Cp.'!$B11),-('Diário 8º PA'!$Q$5:$Q$2488=F$1),('Diário 8º PA'!$F$5:$F$2488))
+SUMPRODUCT(-('Comp.'!$D$5:$D$313='Analítico Cp.'!$B11),-('Comp.'!$R$5:$R$313=F$1),('Comp.'!$E$5:$E$313))</f>
        <v>0</v>
      </c>
      <c r="G11" s="185">
        <f>SUMPRODUCT(-('Diário 5º PA'!$E$5:$E$2634='Analítico Cp.'!$B11),-('Diário 5º PA'!$Q$5:$Q$2634=G$1),('Diário 5º PA'!$F$5:$F$2634))
+SUMPRODUCT(-('Diário 6º PA'!$E$5:$E$2246='Analítico Cp.'!$B11),-('Diário 6º PA'!$Q$5:$Q$2246=G$1),('Diário 6º PA'!$F$5:$F$2246))
+SUMPRODUCT(-('Diário 7º PA'!$E$5:$E$2271='Analítico Cp.'!$B11),-('Diário 7º PA'!$Q$5:$Q$2271=G$1),('Diário 7º PA'!$F$5:$F$2271))
+SUMPRODUCT(-('Diário 8º PA'!$E$5:$E$2488='Analítico Cp.'!$B11),-('Diário 8º PA'!$Q$5:$Q$2488=G$1),('Diário 8º PA'!$F$5:$F$2488))
+SUMPRODUCT(-('Comp.'!$D$5:$D$313='Analítico Cp.'!$B11),-('Comp.'!$R$5:$R$313=G$1),('Comp.'!$E$5:$E$313))</f>
        <v>1368108.6800000002</v>
      </c>
      <c r="H11" s="185">
        <f>SUMPRODUCT(-('Diário 5º PA'!$E$5:$E$2634='Analítico Cp.'!$B11),-('Diário 5º PA'!$Q$5:$Q$2634=H$1),('Diário 5º PA'!$F$5:$F$2634))
+SUMPRODUCT(-('Diário 6º PA'!$E$5:$E$2246='Analítico Cp.'!$B11),-('Diário 6º PA'!$Q$5:$Q$2246=H$1),('Diário 6º PA'!$F$5:$F$2246))
+SUMPRODUCT(-('Diário 7º PA'!$E$5:$E$2271='Analítico Cp.'!$B11),-('Diário 7º PA'!$Q$5:$Q$2271=H$1),('Diário 7º PA'!$F$5:$F$2271))
+SUMPRODUCT(-('Diário 8º PA'!$E$5:$E$2488='Analítico Cp.'!$B11),-('Diário 8º PA'!$Q$5:$Q$2488=H$1),('Diário 8º PA'!$F$5:$F$2488))
+SUMPRODUCT(-('Comp.'!$D$5:$D$313='Analítico Cp.'!$B11),-('Comp.'!$R$5:$R$313=H$1),('Comp.'!$E$5:$E$313))</f>
        <v>0</v>
      </c>
      <c r="I11" s="185">
        <f>SUMPRODUCT(-('Diário 5º PA'!$E$5:$E$2634='Analítico Cp.'!$B11),-('Diário 5º PA'!$Q$5:$Q$2634=I$1),('Diário 5º PA'!$F$5:$F$2634))
+SUMPRODUCT(-('Diário 6º PA'!$E$5:$E$2246='Analítico Cp.'!$B11),-('Diário 6º PA'!$Q$5:$Q$2246=I$1),('Diário 6º PA'!$F$5:$F$2246))
+SUMPRODUCT(-('Diário 7º PA'!$E$5:$E$2271='Analítico Cp.'!$B11),-('Diário 7º PA'!$Q$5:$Q$2271=I$1),('Diário 7º PA'!$F$5:$F$2271))
+SUMPRODUCT(-('Diário 8º PA'!$E$5:$E$2488='Analítico Cp.'!$B11),-('Diário 8º PA'!$Q$5:$Q$2488=I$1),('Diário 8º PA'!$F$5:$F$2488))
+SUMPRODUCT(-('Comp.'!$D$5:$D$313='Analítico Cp.'!$B11),-('Comp.'!$R$5:$R$313=I$1),('Comp.'!$E$5:$E$313))</f>
        <v>0</v>
      </c>
      <c r="J11" s="185">
        <f>SUMPRODUCT(-('Diário 5º PA'!$E$5:$E$2634='Analítico Cp.'!$B11),-('Diário 5º PA'!$Q$5:$Q$2634=J$1),('Diário 5º PA'!$F$5:$F$2634))
+SUMPRODUCT(-('Diário 6º PA'!$E$5:$E$2246='Analítico Cp.'!$B11),-('Diário 6º PA'!$Q$5:$Q$2246=J$1),('Diário 6º PA'!$F$5:$F$2246))
+SUMPRODUCT(-('Diário 7º PA'!$E$5:$E$2271='Analítico Cp.'!$B11),-('Diário 7º PA'!$Q$5:$Q$2271=J$1),('Diário 7º PA'!$F$5:$F$2271))
+SUMPRODUCT(-('Diário 8º PA'!$E$5:$E$2488='Analítico Cp.'!$B11),-('Diário 8º PA'!$Q$5:$Q$2488=J$1),('Diário 8º PA'!$F$5:$F$2488))
+SUMPRODUCT(-('Comp.'!$D$5:$D$313='Analítico Cp.'!$B11),-('Comp.'!$R$5:$R$313=J$1),('Comp.'!$E$5:$E$313))</f>
        <v>1194737.1000000001</v>
      </c>
      <c r="K11" s="185">
        <f>SUMPRODUCT(-('Diário 5º PA'!$E$5:$E$2634='Analítico Cp.'!$B11),-('Diário 5º PA'!$Q$5:$Q$2634=K$1),('Diário 5º PA'!$F$5:$F$2634))
+SUMPRODUCT(-('Diário 6º PA'!$E$5:$E$2246='Analítico Cp.'!$B11),-('Diário 6º PA'!$Q$5:$Q$2246=K$1),('Diário 6º PA'!$F$5:$F$2246))
+SUMPRODUCT(-('Diário 7º PA'!$E$5:$E$2271='Analítico Cp.'!$B11),-('Diário 7º PA'!$Q$5:$Q$2271=K$1),('Diário 7º PA'!$F$5:$F$2271))
+SUMPRODUCT(-('Diário 8º PA'!$E$5:$E$2488='Analítico Cp.'!$B11),-('Diário 8º PA'!$Q$5:$Q$2488=K$1),('Diário 8º PA'!$F$5:$F$2488))
+SUMPRODUCT(-('Comp.'!$D$5:$D$313='Analítico Cp.'!$B11),-('Comp.'!$R$5:$R$313=K$1),('Comp.'!$E$5:$E$313))</f>
        <v>0</v>
      </c>
      <c r="L11" s="185">
        <f>SUMPRODUCT(-('Diário 5º PA'!$E$5:$E$2634='Analítico Cp.'!$B11),-('Diário 5º PA'!$Q$5:$Q$2634=L$1),('Diário 5º PA'!$F$5:$F$2634))
+SUMPRODUCT(-('Diário 6º PA'!$E$5:$E$2246='Analítico Cp.'!$B11),-('Diário 6º PA'!$Q$5:$Q$2246=L$1),('Diário 6º PA'!$F$5:$F$2246))
+SUMPRODUCT(-('Diário 7º PA'!$E$5:$E$2271='Analítico Cp.'!$B11),-('Diário 7º PA'!$Q$5:$Q$2271=L$1),('Diário 7º PA'!$F$5:$F$2271))
+SUMPRODUCT(-('Diário 8º PA'!$E$5:$E$2488='Analítico Cp.'!$B11),-('Diário 8º PA'!$Q$5:$Q$2488=L$1),('Diário 8º PA'!$F$5:$F$2488))
+SUMPRODUCT(-('Comp.'!$D$5:$D$313='Analítico Cp.'!$B11),-('Comp.'!$R$5:$R$313=L$1),('Comp.'!$E$5:$E$313))</f>
        <v>0</v>
      </c>
      <c r="M11" s="185">
        <f>SUMPRODUCT(-('Diário 5º PA'!$E$5:$E$2634='Analítico Cp.'!$B11),-('Diário 5º PA'!$Q$5:$Q$2634=M$1),('Diário 5º PA'!$F$5:$F$2634))
+SUMPRODUCT(-('Diário 6º PA'!$E$5:$E$2246='Analítico Cp.'!$B11),-('Diário 6º PA'!$Q$5:$Q$2246=M$1),('Diário 6º PA'!$F$5:$F$2246))
+SUMPRODUCT(-('Diário 7º PA'!$E$5:$E$2271='Analítico Cp.'!$B11),-('Diário 7º PA'!$Q$5:$Q$2271=M$1),('Diário 7º PA'!$F$5:$F$2271))
+SUMPRODUCT(-('Diário 8º PA'!$E$5:$E$2488='Analítico Cp.'!$B11),-('Diário 8º PA'!$Q$5:$Q$2488=M$1),('Diário 8º PA'!$F$5:$F$2488))
+SUMPRODUCT(-('Comp.'!$D$5:$D$313='Analítico Cp.'!$B11),-('Comp.'!$R$5:$R$313=M$1),('Comp.'!$E$5:$E$313))</f>
        <v>1066238.8700000001</v>
      </c>
      <c r="N11" s="185">
        <f>SUMPRODUCT(-('Diário 5º PA'!$E$5:$E$2634='Analítico Cp.'!$B11),-('Diário 5º PA'!$Q$5:$Q$2634=N$1),('Diário 5º PA'!$F$5:$F$2634))
+SUMPRODUCT(-('Diário 6º PA'!$E$5:$E$2246='Analítico Cp.'!$B11),-('Diário 6º PA'!$Q$5:$Q$2246=N$1),('Diário 6º PA'!$F$5:$F$2246))
+SUMPRODUCT(-('Diário 7º PA'!$E$5:$E$2271='Analítico Cp.'!$B11),-('Diário 7º PA'!$Q$5:$Q$2271=N$1),('Diário 7º PA'!$F$5:$F$2271))
+SUMPRODUCT(-('Diário 8º PA'!$E$5:$E$2488='Analítico Cp.'!$B11),-('Diário 8º PA'!$Q$5:$Q$2488=N$1),('Diário 8º PA'!$F$5:$F$2488))
+SUMPRODUCT(-('Comp.'!$D$5:$D$313='Analítico Cp.'!$B11),-('Comp.'!$R$5:$R$313=N$1),('Comp.'!$E$5:$E$313))</f>
        <v>0</v>
      </c>
      <c r="O11" s="186">
        <f t="shared" ref="O11:O14" si="0">SUM(C11:N11)</f>
        <v>5486566.8799999999</v>
      </c>
      <c r="P11" s="187">
        <f t="shared" ref="P11:P15" si="1">IF($O$15=0,0,O11/$O$15)</f>
        <v>0.45914359536928473</v>
      </c>
      <c r="Q11" s="34"/>
      <c r="R11" s="34"/>
      <c r="S11" s="34"/>
      <c r="T11" s="34"/>
      <c r="U11" s="34"/>
      <c r="V11" s="34"/>
      <c r="W11" s="34"/>
      <c r="X11" s="34"/>
      <c r="Y11" s="34"/>
      <c r="Z11" s="34"/>
    </row>
    <row r="12" spans="1:26" ht="23.25" customHeight="1" x14ac:dyDescent="0.2">
      <c r="A12" s="184" t="s">
        <v>80</v>
      </c>
      <c r="B12" s="72" t="s">
        <v>147</v>
      </c>
      <c r="C12" s="185">
        <f>SUMPRODUCT(-('Diário 5º PA'!$E$5:$E$2634='Analítico Cp.'!$B12),-('Diário 5º PA'!$Q$5:$Q$2634=C$1),('Diário 5º PA'!$F$5:$F$2634))
+SUMPRODUCT(-('Diário 6º PA'!$E$5:$E$2246='Analítico Cp.'!$B12),-('Diário 6º PA'!$Q$5:$Q$2246=C$1),('Diário 6º PA'!$F$5:$F$2246))
+SUMPRODUCT(-('Diário 7º PA'!$E$5:$E$2271='Analítico Cp.'!$B12),-('Diário 7º PA'!$Q$5:$Q$2271=C$1),('Diário 7º PA'!$F$5:$F$2271))
+SUMPRODUCT(-('Diário 8º PA'!$E$5:$E$2488='Analítico Cp.'!$B12),-('Diário 8º PA'!$Q$5:$Q$2488=C$1),('Diário 8º PA'!$F$5:$F$2488))
+SUMPRODUCT(-('Comp.'!$D$5:$D$313='Analítico Cp.'!$B12),-('Comp.'!$R$5:$R$313=C$1),('Comp.'!$E$5:$E$313))</f>
        <v>0</v>
      </c>
      <c r="D12" s="185">
        <f>SUMPRODUCT(-('Diário 5º PA'!$E$5:$E$2634='Analítico Cp.'!$B12),-('Diário 5º PA'!$Q$5:$Q$2634=D$1),('Diário 5º PA'!$F$5:$F$2634))
+SUMPRODUCT(-('Diário 6º PA'!$E$5:$E$2246='Analítico Cp.'!$B12),-('Diário 6º PA'!$Q$5:$Q$2246=D$1),('Diário 6º PA'!$F$5:$F$2246))
+SUMPRODUCT(-('Diário 7º PA'!$E$5:$E$2271='Analítico Cp.'!$B12),-('Diário 7º PA'!$Q$5:$Q$2271=D$1),('Diário 7º PA'!$F$5:$F$2271))
+SUMPRODUCT(-('Diário 8º PA'!$E$5:$E$2488='Analítico Cp.'!$B12),-('Diário 8º PA'!$Q$5:$Q$2488=D$1),('Diário 8º PA'!$F$5:$F$2488))
+SUMPRODUCT(-('Comp.'!$D$5:$D$313='Analítico Cp.'!$B12),-('Comp.'!$R$5:$R$313=D$1),('Comp.'!$E$5:$E$313))</f>
        <v>0</v>
      </c>
      <c r="E12" s="185">
        <f>SUMPRODUCT(-('Diário 5º PA'!$E$5:$E$2634='Analítico Cp.'!$B12),-('Diário 5º PA'!$Q$5:$Q$2634=E$1),('Diário 5º PA'!$F$5:$F$2634))
+SUMPRODUCT(-('Diário 6º PA'!$E$5:$E$2246='Analítico Cp.'!$B12),-('Diário 6º PA'!$Q$5:$Q$2246=E$1),('Diário 6º PA'!$F$5:$F$2246))
+SUMPRODUCT(-('Diário 7º PA'!$E$5:$E$2271='Analítico Cp.'!$B12),-('Diário 7º PA'!$Q$5:$Q$2271=E$1),('Diário 7º PA'!$F$5:$F$2271))
+SUMPRODUCT(-('Diário 8º PA'!$E$5:$E$2488='Analítico Cp.'!$B12),-('Diário 8º PA'!$Q$5:$Q$2488=E$1),('Diário 8º PA'!$F$5:$F$2488))
+SUMPRODUCT(-('Comp.'!$D$5:$D$313='Analítico Cp.'!$B12),-('Comp.'!$R$5:$R$313=E$1),('Comp.'!$E$5:$E$313))</f>
        <v>0</v>
      </c>
      <c r="F12" s="185">
        <f>SUMPRODUCT(-('Diário 5º PA'!$E$5:$E$2634='Analítico Cp.'!$B12),-('Diário 5º PA'!$Q$5:$Q$2634=F$1),('Diário 5º PA'!$F$5:$F$2634))
+SUMPRODUCT(-('Diário 6º PA'!$E$5:$E$2246='Analítico Cp.'!$B12),-('Diário 6º PA'!$Q$5:$Q$2246=F$1),('Diário 6º PA'!$F$5:$F$2246))
+SUMPRODUCT(-('Diário 7º PA'!$E$5:$E$2271='Analítico Cp.'!$B12),-('Diário 7º PA'!$Q$5:$Q$2271=F$1),('Diário 7º PA'!$F$5:$F$2271))
+SUMPRODUCT(-('Diário 8º PA'!$E$5:$E$2488='Analítico Cp.'!$B12),-('Diário 8º PA'!$Q$5:$Q$2488=F$1),('Diário 8º PA'!$F$5:$F$2488))
+SUMPRODUCT(-('Comp.'!$D$5:$D$313='Analítico Cp.'!$B12),-('Comp.'!$R$5:$R$313=F$1),('Comp.'!$E$5:$E$313))</f>
        <v>0</v>
      </c>
      <c r="G12" s="185">
        <f>SUMPRODUCT(-('Diário 5º PA'!$E$5:$E$2634='Analítico Cp.'!$B12),-('Diário 5º PA'!$Q$5:$Q$2634=G$1),('Diário 5º PA'!$F$5:$F$2634))
+SUMPRODUCT(-('Diário 6º PA'!$E$5:$E$2246='Analítico Cp.'!$B12),-('Diário 6º PA'!$Q$5:$Q$2246=G$1),('Diário 6º PA'!$F$5:$F$2246))
+SUMPRODUCT(-('Diário 7º PA'!$E$5:$E$2271='Analítico Cp.'!$B12),-('Diário 7º PA'!$Q$5:$Q$2271=G$1),('Diário 7º PA'!$F$5:$F$2271))
+SUMPRODUCT(-('Diário 8º PA'!$E$5:$E$2488='Analítico Cp.'!$B12),-('Diário 8º PA'!$Q$5:$Q$2488=G$1),('Diário 8º PA'!$F$5:$F$2488))
+SUMPRODUCT(-('Comp.'!$D$5:$D$313='Analítico Cp.'!$B12),-('Comp.'!$R$5:$R$313=G$1),('Comp.'!$E$5:$E$313))</f>
        <v>0</v>
      </c>
      <c r="H12" s="185">
        <f>SUMPRODUCT(-('Diário 5º PA'!$E$5:$E$2634='Analítico Cp.'!$B12),-('Diário 5º PA'!$Q$5:$Q$2634=H$1),('Diário 5º PA'!$F$5:$F$2634))
+SUMPRODUCT(-('Diário 6º PA'!$E$5:$E$2246='Analítico Cp.'!$B12),-('Diário 6º PA'!$Q$5:$Q$2246=H$1),('Diário 6º PA'!$F$5:$F$2246))
+SUMPRODUCT(-('Diário 7º PA'!$E$5:$E$2271='Analítico Cp.'!$B12),-('Diário 7º PA'!$Q$5:$Q$2271=H$1),('Diário 7º PA'!$F$5:$F$2271))
+SUMPRODUCT(-('Diário 8º PA'!$E$5:$E$2488='Analítico Cp.'!$B12),-('Diário 8º PA'!$Q$5:$Q$2488=H$1),('Diário 8º PA'!$F$5:$F$2488))
+SUMPRODUCT(-('Comp.'!$D$5:$D$313='Analítico Cp.'!$B12),-('Comp.'!$R$5:$R$313=H$1),('Comp.'!$E$5:$E$313))</f>
        <v>4000</v>
      </c>
      <c r="I12" s="185">
        <f>SUMPRODUCT(-('Diário 5º PA'!$E$5:$E$2634='Analítico Cp.'!$B12),-('Diário 5º PA'!$Q$5:$Q$2634=I$1),('Diário 5º PA'!$F$5:$F$2634))
+SUMPRODUCT(-('Diário 6º PA'!$E$5:$E$2246='Analítico Cp.'!$B12),-('Diário 6º PA'!$Q$5:$Q$2246=I$1),('Diário 6º PA'!$F$5:$F$2246))
+SUMPRODUCT(-('Diário 7º PA'!$E$5:$E$2271='Analítico Cp.'!$B12),-('Diário 7º PA'!$Q$5:$Q$2271=I$1),('Diário 7º PA'!$F$5:$F$2271))
+SUMPRODUCT(-('Diário 8º PA'!$E$5:$E$2488='Analítico Cp.'!$B12),-('Diário 8º PA'!$Q$5:$Q$2488=I$1),('Diário 8º PA'!$F$5:$F$2488))
+SUMPRODUCT(-('Comp.'!$D$5:$D$313='Analítico Cp.'!$B12),-('Comp.'!$R$5:$R$313=I$1),('Comp.'!$E$5:$E$313))</f>
        <v>0</v>
      </c>
      <c r="J12" s="185">
        <f>SUMPRODUCT(-('Diário 5º PA'!$E$5:$E$2634='Analítico Cp.'!$B12),-('Diário 5º PA'!$Q$5:$Q$2634=J$1),('Diário 5º PA'!$F$5:$F$2634))
+SUMPRODUCT(-('Diário 6º PA'!$E$5:$E$2246='Analítico Cp.'!$B12),-('Diário 6º PA'!$Q$5:$Q$2246=J$1),('Diário 6º PA'!$F$5:$F$2246))
+SUMPRODUCT(-('Diário 7º PA'!$E$5:$E$2271='Analítico Cp.'!$B12),-('Diário 7º PA'!$Q$5:$Q$2271=J$1),('Diário 7º PA'!$F$5:$F$2271))
+SUMPRODUCT(-('Diário 8º PA'!$E$5:$E$2488='Analítico Cp.'!$B12),-('Diário 8º PA'!$Q$5:$Q$2488=J$1),('Diário 8º PA'!$F$5:$F$2488))
+SUMPRODUCT(-('Comp.'!$D$5:$D$313='Analítico Cp.'!$B12),-('Comp.'!$R$5:$R$313=J$1),('Comp.'!$E$5:$E$313))</f>
        <v>0</v>
      </c>
      <c r="K12" s="185">
        <f>SUMPRODUCT(-('Diário 5º PA'!$E$5:$E$2634='Analítico Cp.'!$B12),-('Diário 5º PA'!$Q$5:$Q$2634=K$1),('Diário 5º PA'!$F$5:$F$2634))
+SUMPRODUCT(-('Diário 6º PA'!$E$5:$E$2246='Analítico Cp.'!$B12),-('Diário 6º PA'!$Q$5:$Q$2246=K$1),('Diário 6º PA'!$F$5:$F$2246))
+SUMPRODUCT(-('Diário 7º PA'!$E$5:$E$2271='Analítico Cp.'!$B12),-('Diário 7º PA'!$Q$5:$Q$2271=K$1),('Diário 7º PA'!$F$5:$F$2271))
+SUMPRODUCT(-('Diário 8º PA'!$E$5:$E$2488='Analítico Cp.'!$B12),-('Diário 8º PA'!$Q$5:$Q$2488=K$1),('Diário 8º PA'!$F$5:$F$2488))
+SUMPRODUCT(-('Comp.'!$D$5:$D$313='Analítico Cp.'!$B12),-('Comp.'!$R$5:$R$313=K$1),('Comp.'!$E$5:$E$313))</f>
        <v>2163795.0099999998</v>
      </c>
      <c r="L12" s="185">
        <f>SUMPRODUCT(-('Diário 5º PA'!$E$5:$E$2634='Analítico Cp.'!$B12),-('Diário 5º PA'!$Q$5:$Q$2634=L$1),('Diário 5º PA'!$F$5:$F$2634))
+SUMPRODUCT(-('Diário 6º PA'!$E$5:$E$2246='Analítico Cp.'!$B12),-('Diário 6º PA'!$Q$5:$Q$2246=L$1),('Diário 6º PA'!$F$5:$F$2246))
+SUMPRODUCT(-('Diário 7º PA'!$E$5:$E$2271='Analítico Cp.'!$B12),-('Diário 7º PA'!$Q$5:$Q$2271=L$1),('Diário 7º PA'!$F$5:$F$2271))
+SUMPRODUCT(-('Diário 8º PA'!$E$5:$E$2488='Analítico Cp.'!$B12),-('Diário 8º PA'!$Q$5:$Q$2488=L$1),('Diário 8º PA'!$F$5:$F$2488))
+SUMPRODUCT(-('Comp.'!$D$5:$D$313='Analítico Cp.'!$B12),-('Comp.'!$R$5:$R$313=L$1),('Comp.'!$E$5:$E$313))</f>
        <v>1134000</v>
      </c>
      <c r="M12" s="185">
        <f>SUMPRODUCT(-('Diário 5º PA'!$E$5:$E$2634='Analítico Cp.'!$B12),-('Diário 5º PA'!$Q$5:$Q$2634=M$1),('Diário 5º PA'!$F$5:$F$2634))
+SUMPRODUCT(-('Diário 6º PA'!$E$5:$E$2246='Analítico Cp.'!$B12),-('Diário 6º PA'!$Q$5:$Q$2246=M$1),('Diário 6º PA'!$F$5:$F$2246))
+SUMPRODUCT(-('Diário 7º PA'!$E$5:$E$2271='Analítico Cp.'!$B12),-('Diário 7º PA'!$Q$5:$Q$2271=M$1),('Diário 7º PA'!$F$5:$F$2271))
+SUMPRODUCT(-('Diário 8º PA'!$E$5:$E$2488='Analítico Cp.'!$B12),-('Diário 8º PA'!$Q$5:$Q$2488=M$1),('Diário 8º PA'!$F$5:$F$2488))
+SUMPRODUCT(-('Comp.'!$D$5:$D$313='Analítico Cp.'!$B12),-('Comp.'!$R$5:$R$313=M$1),('Comp.'!$E$5:$E$313))</f>
        <v>1000000</v>
      </c>
      <c r="N12" s="185">
        <f>SUMPRODUCT(-('Diário 5º PA'!$E$5:$E$2634='Analítico Cp.'!$B12),-('Diário 5º PA'!$Q$5:$Q$2634=N$1),('Diário 5º PA'!$F$5:$F$2634))
+SUMPRODUCT(-('Diário 6º PA'!$E$5:$E$2246='Analítico Cp.'!$B12),-('Diário 6º PA'!$Q$5:$Q$2246=N$1),('Diário 6º PA'!$F$5:$F$2246))
+SUMPRODUCT(-('Diário 7º PA'!$E$5:$E$2271='Analítico Cp.'!$B12),-('Diário 7º PA'!$Q$5:$Q$2271=N$1),('Diário 7º PA'!$F$5:$F$2271))
+SUMPRODUCT(-('Diário 8º PA'!$E$5:$E$2488='Analítico Cp.'!$B12),-('Diário 8º PA'!$Q$5:$Q$2488=N$1),('Diário 8º PA'!$F$5:$F$2488))
+SUMPRODUCT(-('Comp.'!$D$5:$D$313='Analítico Cp.'!$B12),-('Comp.'!$R$5:$R$313=N$1),('Comp.'!$E$5:$E$313))</f>
        <v>2094057.4</v>
      </c>
      <c r="O12" s="186">
        <f t="shared" si="0"/>
        <v>6395852.4100000001</v>
      </c>
      <c r="P12" s="187">
        <f t="shared" si="1"/>
        <v>0.53523719571950334</v>
      </c>
      <c r="Q12" s="34"/>
      <c r="R12" s="34"/>
      <c r="S12" s="34"/>
      <c r="T12" s="34"/>
      <c r="U12" s="34"/>
      <c r="V12" s="34"/>
      <c r="W12" s="34"/>
      <c r="X12" s="34"/>
      <c r="Y12" s="34"/>
      <c r="Z12" s="34"/>
    </row>
    <row r="13" spans="1:26" ht="23.25" customHeight="1" x14ac:dyDescent="0.2">
      <c r="A13" s="184" t="s">
        <v>82</v>
      </c>
      <c r="B13" s="72" t="s">
        <v>83</v>
      </c>
      <c r="C13" s="185">
        <f>SUMPRODUCT(-('Diário 5º PA'!$E$5:$E$2634='Analítico Cp.'!$B13),-('Diário 5º PA'!$Q$5:$Q$2634=C$1),('Diário 5º PA'!$F$5:$F$2634))
+SUMPRODUCT(-('Diário 6º PA'!$E$5:$E$2246='Analítico Cp.'!$B13),-('Diário 6º PA'!$Q$5:$Q$2246=C$1),('Diário 6º PA'!$F$5:$F$2246))
+SUMPRODUCT(-('Diário 7º PA'!$E$5:$E$2271='Analítico Cp.'!$B13),-('Diário 7º PA'!$Q$5:$Q$2271=C$1),('Diário 7º PA'!$F$5:$F$2271))
+SUMPRODUCT(-('Diário 8º PA'!$E$5:$E$2488='Analítico Cp.'!$B13),-('Diário 8º PA'!$Q$5:$Q$2488=C$1),('Diário 8º PA'!$F$5:$F$2488))
+SUMPRODUCT(-('Comp.'!$D$5:$D$313='Analítico Cp.'!$B13),-('Comp.'!$R$5:$R$313=C$1),('Comp.'!$E$5:$E$313))</f>
        <v>0</v>
      </c>
      <c r="D13" s="185">
        <f>SUMPRODUCT(-('Diário 5º PA'!$E$5:$E$2634='Analítico Cp.'!$B13),-('Diário 5º PA'!$Q$5:$Q$2634=D$1),('Diário 5º PA'!$F$5:$F$2634))
+SUMPRODUCT(-('Diário 6º PA'!$E$5:$E$2246='Analítico Cp.'!$B13),-('Diário 6º PA'!$Q$5:$Q$2246=D$1),('Diário 6º PA'!$F$5:$F$2246))
+SUMPRODUCT(-('Diário 7º PA'!$E$5:$E$2271='Analítico Cp.'!$B13),-('Diário 7º PA'!$Q$5:$Q$2271=D$1),('Diário 7º PA'!$F$5:$F$2271))
+SUMPRODUCT(-('Diário 8º PA'!$E$5:$E$2488='Analítico Cp.'!$B13),-('Diário 8º PA'!$Q$5:$Q$2488=D$1),('Diário 8º PA'!$F$5:$F$2488))
+SUMPRODUCT(-('Comp.'!$D$5:$D$313='Analítico Cp.'!$B13),-('Comp.'!$R$5:$R$313=D$1),('Comp.'!$E$5:$E$313))</f>
        <v>0</v>
      </c>
      <c r="E13" s="185">
        <f>SUMPRODUCT(-('Diário 5º PA'!$E$5:$E$2634='Analítico Cp.'!$B13),-('Diário 5º PA'!$Q$5:$Q$2634=E$1),('Diário 5º PA'!$F$5:$F$2634))
+SUMPRODUCT(-('Diário 6º PA'!$E$5:$E$2246='Analítico Cp.'!$B13),-('Diário 6º PA'!$Q$5:$Q$2246=E$1),('Diário 6º PA'!$F$5:$F$2246))
+SUMPRODUCT(-('Diário 7º PA'!$E$5:$E$2271='Analítico Cp.'!$B13),-('Diário 7º PA'!$Q$5:$Q$2271=E$1),('Diário 7º PA'!$F$5:$F$2271))
+SUMPRODUCT(-('Diário 8º PA'!$E$5:$E$2488='Analítico Cp.'!$B13),-('Diário 8º PA'!$Q$5:$Q$2488=E$1),('Diário 8º PA'!$F$5:$F$2488))
+SUMPRODUCT(-('Comp.'!$D$5:$D$313='Analítico Cp.'!$B13),-('Comp.'!$R$5:$R$313=E$1),('Comp.'!$E$5:$E$313))</f>
        <v>0</v>
      </c>
      <c r="F13" s="185">
        <f>SUMPRODUCT(-('Diário 5º PA'!$E$5:$E$2634='Analítico Cp.'!$B13),-('Diário 5º PA'!$Q$5:$Q$2634=F$1),('Diário 5º PA'!$F$5:$F$2634))
+SUMPRODUCT(-('Diário 6º PA'!$E$5:$E$2246='Analítico Cp.'!$B13),-('Diário 6º PA'!$Q$5:$Q$2246=F$1),('Diário 6º PA'!$F$5:$F$2246))
+SUMPRODUCT(-('Diário 7º PA'!$E$5:$E$2271='Analítico Cp.'!$B13),-('Diário 7º PA'!$Q$5:$Q$2271=F$1),('Diário 7º PA'!$F$5:$F$2271))
+SUMPRODUCT(-('Diário 8º PA'!$E$5:$E$2488='Analítico Cp.'!$B13),-('Diário 8º PA'!$Q$5:$Q$2488=F$1),('Diário 8º PA'!$F$5:$F$2488))
+SUMPRODUCT(-('Comp.'!$D$5:$D$313='Analítico Cp.'!$B13),-('Comp.'!$R$5:$R$313=F$1),('Comp.'!$E$5:$E$313))</f>
        <v>0</v>
      </c>
      <c r="G13" s="185">
        <f>SUMPRODUCT(-('Diário 5º PA'!$E$5:$E$2634='Analítico Cp.'!$B13),-('Diário 5º PA'!$Q$5:$Q$2634=G$1),('Diário 5º PA'!$F$5:$F$2634))
+SUMPRODUCT(-('Diário 6º PA'!$E$5:$E$2246='Analítico Cp.'!$B13),-('Diário 6º PA'!$Q$5:$Q$2246=G$1),('Diário 6º PA'!$F$5:$F$2246))
+SUMPRODUCT(-('Diário 7º PA'!$E$5:$E$2271='Analítico Cp.'!$B13),-('Diário 7º PA'!$Q$5:$Q$2271=G$1),('Diário 7º PA'!$F$5:$F$2271))
+SUMPRODUCT(-('Diário 8º PA'!$E$5:$E$2488='Analítico Cp.'!$B13),-('Diário 8º PA'!$Q$5:$Q$2488=G$1),('Diário 8º PA'!$F$5:$F$2488))
+SUMPRODUCT(-('Comp.'!$D$5:$D$313='Analítico Cp.'!$B13),-('Comp.'!$R$5:$R$313=G$1),('Comp.'!$E$5:$E$313))</f>
        <v>0</v>
      </c>
      <c r="H13" s="185">
        <f>SUMPRODUCT(-('Diário 5º PA'!$E$5:$E$2634='Analítico Cp.'!$B13),-('Diário 5º PA'!$Q$5:$Q$2634=H$1),('Diário 5º PA'!$F$5:$F$2634))
+SUMPRODUCT(-('Diário 6º PA'!$E$5:$E$2246='Analítico Cp.'!$B13),-('Diário 6º PA'!$Q$5:$Q$2246=H$1),('Diário 6º PA'!$F$5:$F$2246))
+SUMPRODUCT(-('Diário 7º PA'!$E$5:$E$2271='Analítico Cp.'!$B13),-('Diário 7º PA'!$Q$5:$Q$2271=H$1),('Diário 7º PA'!$F$5:$F$2271))
+SUMPRODUCT(-('Diário 8º PA'!$E$5:$E$2488='Analítico Cp.'!$B13),-('Diário 8º PA'!$Q$5:$Q$2488=H$1),('Diário 8º PA'!$F$5:$F$2488))
+SUMPRODUCT(-('Comp.'!$D$5:$D$313='Analítico Cp.'!$B13),-('Comp.'!$R$5:$R$313=H$1),('Comp.'!$E$5:$E$313))</f>
        <v>0</v>
      </c>
      <c r="I13" s="185">
        <f>SUMPRODUCT(-('Diário 5º PA'!$E$5:$E$2634='Analítico Cp.'!$B13),-('Diário 5º PA'!$Q$5:$Q$2634=I$1),('Diário 5º PA'!$F$5:$F$2634))
+SUMPRODUCT(-('Diário 6º PA'!$E$5:$E$2246='Analítico Cp.'!$B13),-('Diário 6º PA'!$Q$5:$Q$2246=I$1),('Diário 6º PA'!$F$5:$F$2246))
+SUMPRODUCT(-('Diário 7º PA'!$E$5:$E$2271='Analítico Cp.'!$B13),-('Diário 7º PA'!$Q$5:$Q$2271=I$1),('Diário 7º PA'!$F$5:$F$2271))
+SUMPRODUCT(-('Diário 8º PA'!$E$5:$E$2488='Analítico Cp.'!$B13),-('Diário 8º PA'!$Q$5:$Q$2488=I$1),('Diário 8º PA'!$F$5:$F$2488))
+SUMPRODUCT(-('Comp.'!$D$5:$D$313='Analítico Cp.'!$B13),-('Comp.'!$R$5:$R$313=I$1),('Comp.'!$E$5:$E$313))</f>
        <v>5040</v>
      </c>
      <c r="J13" s="185">
        <f>SUMPRODUCT(-('Diário 5º PA'!$E$5:$E$2634='Analítico Cp.'!$B13),-('Diário 5º PA'!$Q$5:$Q$2634=J$1),('Diário 5º PA'!$F$5:$F$2634))
+SUMPRODUCT(-('Diário 6º PA'!$E$5:$E$2246='Analítico Cp.'!$B13),-('Diário 6º PA'!$Q$5:$Q$2246=J$1),('Diário 6º PA'!$F$5:$F$2246))
+SUMPRODUCT(-('Diário 7º PA'!$E$5:$E$2271='Analítico Cp.'!$B13),-('Diário 7º PA'!$Q$5:$Q$2271=J$1),('Diário 7º PA'!$F$5:$F$2271))
+SUMPRODUCT(-('Diário 8º PA'!$E$5:$E$2488='Analítico Cp.'!$B13),-('Diário 8º PA'!$Q$5:$Q$2488=J$1),('Diário 8º PA'!$F$5:$F$2488))
+SUMPRODUCT(-('Comp.'!$D$5:$D$313='Analítico Cp.'!$B13),-('Comp.'!$R$5:$R$313=J$1),('Comp.'!$E$5:$E$313))</f>
        <v>0</v>
      </c>
      <c r="K13" s="185">
        <f>SUMPRODUCT(-('Diário 5º PA'!$E$5:$E$2634='Analítico Cp.'!$B13),-('Diário 5º PA'!$Q$5:$Q$2634=K$1),('Diário 5º PA'!$F$5:$F$2634))
+SUMPRODUCT(-('Diário 6º PA'!$E$5:$E$2246='Analítico Cp.'!$B13),-('Diário 6º PA'!$Q$5:$Q$2246=K$1),('Diário 6º PA'!$F$5:$F$2246))
+SUMPRODUCT(-('Diário 7º PA'!$E$5:$E$2271='Analítico Cp.'!$B13),-('Diário 7º PA'!$Q$5:$Q$2271=K$1),('Diário 7º PA'!$F$5:$F$2271))
+SUMPRODUCT(-('Diário 8º PA'!$E$5:$E$2488='Analítico Cp.'!$B13),-('Diário 8º PA'!$Q$5:$Q$2488=K$1),('Diário 8º PA'!$F$5:$F$2488))
+SUMPRODUCT(-('Comp.'!$D$5:$D$313='Analítico Cp.'!$B13),-('Comp.'!$R$5:$R$313=K$1),('Comp.'!$E$5:$E$313))</f>
        <v>0</v>
      </c>
      <c r="L13" s="185">
        <f>SUMPRODUCT(-('Diário 5º PA'!$E$5:$E$2634='Analítico Cp.'!$B13),-('Diário 5º PA'!$Q$5:$Q$2634=L$1),('Diário 5º PA'!$F$5:$F$2634))
+SUMPRODUCT(-('Diário 6º PA'!$E$5:$E$2246='Analítico Cp.'!$B13),-('Diário 6º PA'!$Q$5:$Q$2246=L$1),('Diário 6º PA'!$F$5:$F$2246))
+SUMPRODUCT(-('Diário 7º PA'!$E$5:$E$2271='Analítico Cp.'!$B13),-('Diário 7º PA'!$Q$5:$Q$2271=L$1),('Diário 7º PA'!$F$5:$F$2271))
+SUMPRODUCT(-('Diário 8º PA'!$E$5:$E$2488='Analítico Cp.'!$B13),-('Diário 8º PA'!$Q$5:$Q$2488=L$1),('Diário 8º PA'!$F$5:$F$2488))
+SUMPRODUCT(-('Comp.'!$D$5:$D$313='Analítico Cp.'!$B13),-('Comp.'!$R$5:$R$313=L$1),('Comp.'!$E$5:$E$313))</f>
        <v>560</v>
      </c>
      <c r="M13" s="185">
        <f>SUMPRODUCT(-('Diário 5º PA'!$E$5:$E$2634='Analítico Cp.'!$B13),-('Diário 5º PA'!$Q$5:$Q$2634=M$1),('Diário 5º PA'!$F$5:$F$2634))
+SUMPRODUCT(-('Diário 6º PA'!$E$5:$E$2246='Analítico Cp.'!$B13),-('Diário 6º PA'!$Q$5:$Q$2246=M$1),('Diário 6º PA'!$F$5:$F$2246))
+SUMPRODUCT(-('Diário 7º PA'!$E$5:$E$2271='Analítico Cp.'!$B13),-('Diário 7º PA'!$Q$5:$Q$2271=M$1),('Diário 7º PA'!$F$5:$F$2271))
+SUMPRODUCT(-('Diário 8º PA'!$E$5:$E$2488='Analítico Cp.'!$B13),-('Diário 8º PA'!$Q$5:$Q$2488=M$1),('Diário 8º PA'!$F$5:$F$2488))
+SUMPRODUCT(-('Comp.'!$D$5:$D$313='Analítico Cp.'!$B13),-('Comp.'!$R$5:$R$313=M$1),('Comp.'!$E$5:$E$313))</f>
        <v>0</v>
      </c>
      <c r="N13" s="185">
        <f>SUMPRODUCT(-('Diário 5º PA'!$E$5:$E$2634='Analítico Cp.'!$B13),-('Diário 5º PA'!$Q$5:$Q$2634=N$1),('Diário 5º PA'!$F$5:$F$2634))
+SUMPRODUCT(-('Diário 6º PA'!$E$5:$E$2246='Analítico Cp.'!$B13),-('Diário 6º PA'!$Q$5:$Q$2246=N$1),('Diário 6º PA'!$F$5:$F$2246))
+SUMPRODUCT(-('Diário 7º PA'!$E$5:$E$2271='Analítico Cp.'!$B13),-('Diário 7º PA'!$Q$5:$Q$2271=N$1),('Diário 7º PA'!$F$5:$F$2271))
+SUMPRODUCT(-('Diário 8º PA'!$E$5:$E$2488='Analítico Cp.'!$B13),-('Diário 8º PA'!$Q$5:$Q$2488=N$1),('Diário 8º PA'!$F$5:$F$2488))
+SUMPRODUCT(-('Comp.'!$D$5:$D$313='Analítico Cp.'!$B13),-('Comp.'!$R$5:$R$313=N$1),('Comp.'!$E$5:$E$313))</f>
        <v>0</v>
      </c>
      <c r="O13" s="186">
        <f t="shared" si="0"/>
        <v>5600</v>
      </c>
      <c r="P13" s="187">
        <f t="shared" si="1"/>
        <v>4.6863625110280156E-4</v>
      </c>
      <c r="Q13" s="34"/>
      <c r="R13" s="34"/>
      <c r="S13" s="34"/>
      <c r="T13" s="34"/>
      <c r="U13" s="34"/>
      <c r="V13" s="34"/>
      <c r="W13" s="34"/>
      <c r="X13" s="34"/>
      <c r="Y13" s="34"/>
      <c r="Z13" s="34"/>
    </row>
    <row r="14" spans="1:26" ht="23.25" customHeight="1" x14ac:dyDescent="0.2">
      <c r="A14" s="230" t="s">
        <v>148</v>
      </c>
      <c r="B14" s="78" t="s">
        <v>85</v>
      </c>
      <c r="C14" s="190">
        <f>SUMPRODUCT(-('Diário 5º PA'!$E$5:$E$2634='Analítico Cp.'!$B14),-('Diário 5º PA'!$Q$5:$Q$2634=C$1),('Diário 5º PA'!$F$5:$F$2634))
+SUMPRODUCT(-('Diário 6º PA'!$E$5:$E$2246='Analítico Cp.'!$B14),-('Diário 6º PA'!$Q$5:$Q$2246=C$1),('Diário 6º PA'!$F$5:$F$2246))
+SUMPRODUCT(-('Diário 7º PA'!$E$5:$E$2271='Analítico Cp.'!$B14),-('Diário 7º PA'!$Q$5:$Q$2271=C$1),('Diário 7º PA'!$F$5:$F$2271))
+SUMPRODUCT(-('Diário 8º PA'!$E$5:$E$2488='Analítico Cp.'!$B14),-('Diário 8º PA'!$Q$5:$Q$2488=C$1),('Diário 8º PA'!$F$5:$F$2488))
+SUMPRODUCT(-('Comp.'!$D$5:$D$313='Analítico Cp.'!$B14),-('Comp.'!$R$5:$R$313=C$1),('Comp.'!$E$5:$E$313))</f>
        <v>578.86</v>
      </c>
      <c r="D14" s="190">
        <f>SUMPRODUCT(-('Diário 5º PA'!$E$5:$E$2634='Analítico Cp.'!$B14),-('Diário 5º PA'!$Q$5:$Q$2634=D$1),('Diário 5º PA'!$F$5:$F$2634))
+SUMPRODUCT(-('Diário 6º PA'!$E$5:$E$2246='Analítico Cp.'!$B14),-('Diário 6º PA'!$Q$5:$Q$2246=D$1),('Diário 6º PA'!$F$5:$F$2246))
+SUMPRODUCT(-('Diário 7º PA'!$E$5:$E$2271='Analítico Cp.'!$B14),-('Diário 7º PA'!$Q$5:$Q$2271=D$1),('Diário 7º PA'!$F$5:$F$2271))
+SUMPRODUCT(-('Diário 8º PA'!$E$5:$E$2488='Analítico Cp.'!$B14),-('Diário 8º PA'!$Q$5:$Q$2488=D$1),('Diário 8º PA'!$F$5:$F$2488))
+SUMPRODUCT(-('Comp.'!$D$5:$D$313='Analítico Cp.'!$B14),-('Comp.'!$R$5:$R$313=D$1),('Comp.'!$E$5:$E$313))</f>
        <v>298.95999999999998</v>
      </c>
      <c r="E14" s="190">
        <f>SUMPRODUCT(-('Diário 5º PA'!$E$5:$E$2634='Analítico Cp.'!$B14),-('Diário 5º PA'!$Q$5:$Q$2634=E$1),('Diário 5º PA'!$F$5:$F$2634))
+SUMPRODUCT(-('Diário 6º PA'!$E$5:$E$2246='Analítico Cp.'!$B14),-('Diário 6º PA'!$Q$5:$Q$2246=E$1),('Diário 6º PA'!$F$5:$F$2246))
+SUMPRODUCT(-('Diário 7º PA'!$E$5:$E$2271='Analítico Cp.'!$B14),-('Diário 7º PA'!$Q$5:$Q$2271=E$1),('Diário 7º PA'!$F$5:$F$2271))
+SUMPRODUCT(-('Diário 8º PA'!$E$5:$E$2488='Analítico Cp.'!$B14),-('Diário 8º PA'!$Q$5:$Q$2488=E$1),('Diário 8º PA'!$F$5:$F$2488))
+SUMPRODUCT(-('Comp.'!$D$5:$D$313='Analítico Cp.'!$B14),-('Comp.'!$R$5:$R$313=E$1),('Comp.'!$E$5:$E$313))</f>
        <v>389.71</v>
      </c>
      <c r="F14" s="190">
        <f>SUMPRODUCT(-('Diário 5º PA'!$E$5:$E$2634='Analítico Cp.'!$B14),-('Diário 5º PA'!$Q$5:$Q$2634=F$1),('Diário 5º PA'!$F$5:$F$2634))
+SUMPRODUCT(-('Diário 6º PA'!$E$5:$E$2246='Analítico Cp.'!$B14),-('Diário 6º PA'!$Q$5:$Q$2246=F$1),('Diário 6º PA'!$F$5:$F$2246))
+SUMPRODUCT(-('Diário 7º PA'!$E$5:$E$2271='Analítico Cp.'!$B14),-('Diário 7º PA'!$Q$5:$Q$2271=F$1),('Diário 7º PA'!$F$5:$F$2271))
+SUMPRODUCT(-('Diário 8º PA'!$E$5:$E$2488='Analítico Cp.'!$B14),-('Diário 8º PA'!$Q$5:$Q$2488=F$1),('Diário 8º PA'!$F$5:$F$2488))
+SUMPRODUCT(-('Comp.'!$D$5:$D$313='Analítico Cp.'!$B14),-('Comp.'!$R$5:$R$313=F$1),('Comp.'!$E$5:$E$313))</f>
        <v>1871.62</v>
      </c>
      <c r="G14" s="190">
        <f>SUMPRODUCT(-('Diário 5º PA'!$E$5:$E$2634='Analítico Cp.'!$B14),-('Diário 5º PA'!$Q$5:$Q$2634=G$1),('Diário 5º PA'!$F$5:$F$2634))
+SUMPRODUCT(-('Diário 6º PA'!$E$5:$E$2246='Analítico Cp.'!$B14),-('Diário 6º PA'!$Q$5:$Q$2246=G$1),('Diário 6º PA'!$F$5:$F$2246))
+SUMPRODUCT(-('Diário 7º PA'!$E$5:$E$2271='Analítico Cp.'!$B14),-('Diário 7º PA'!$Q$5:$Q$2271=G$1),('Diário 7º PA'!$F$5:$F$2271))
+SUMPRODUCT(-('Diário 8º PA'!$E$5:$E$2488='Analítico Cp.'!$B14),-('Diário 8º PA'!$Q$5:$Q$2488=G$1),('Diário 8º PA'!$F$5:$F$2488))
+SUMPRODUCT(-('Comp.'!$D$5:$D$313='Analítico Cp.'!$B14),-('Comp.'!$R$5:$R$313=G$1),('Comp.'!$E$5:$E$313))</f>
        <v>3380.59</v>
      </c>
      <c r="H14" s="190">
        <f>SUMPRODUCT(-('Diário 5º PA'!$E$5:$E$2634='Analítico Cp.'!$B14),-('Diário 5º PA'!$Q$5:$Q$2634=H$1),('Diário 5º PA'!$F$5:$F$2634))
+SUMPRODUCT(-('Diário 6º PA'!$E$5:$E$2246='Analítico Cp.'!$B14),-('Diário 6º PA'!$Q$5:$Q$2246=H$1),('Diário 6º PA'!$F$5:$F$2246))
+SUMPRODUCT(-('Diário 7º PA'!$E$5:$E$2271='Analítico Cp.'!$B14),-('Diário 7º PA'!$Q$5:$Q$2271=H$1),('Diário 7º PA'!$F$5:$F$2271))
+SUMPRODUCT(-('Diário 8º PA'!$E$5:$E$2488='Analítico Cp.'!$B14),-('Diário 8º PA'!$Q$5:$Q$2488=H$1),('Diário 8º PA'!$F$5:$F$2488))
+SUMPRODUCT(-('Comp.'!$D$5:$D$313='Analítico Cp.'!$B14),-('Comp.'!$R$5:$R$313=H$1),('Comp.'!$E$5:$E$313))</f>
        <v>5157.97</v>
      </c>
      <c r="I14" s="190">
        <f>SUMPRODUCT(-('Diário 5º PA'!$E$5:$E$2634='Analítico Cp.'!$B14),-('Diário 5º PA'!$Q$5:$Q$2634=I$1),('Diário 5º PA'!$F$5:$F$2634))
+SUMPRODUCT(-('Diário 6º PA'!$E$5:$E$2246='Analítico Cp.'!$B14),-('Diário 6º PA'!$Q$5:$Q$2246=I$1),('Diário 6º PA'!$F$5:$F$2246))
+SUMPRODUCT(-('Diário 7º PA'!$E$5:$E$2271='Analítico Cp.'!$B14),-('Diário 7º PA'!$Q$5:$Q$2271=I$1),('Diário 7º PA'!$F$5:$F$2271))
+SUMPRODUCT(-('Diário 8º PA'!$E$5:$E$2488='Analítico Cp.'!$B14),-('Diário 8º PA'!$Q$5:$Q$2488=I$1),('Diário 8º PA'!$F$5:$F$2488))
+SUMPRODUCT(-('Comp.'!$D$5:$D$313='Analítico Cp.'!$B14),-('Comp.'!$R$5:$R$313=I$1),('Comp.'!$E$5:$E$313))</f>
        <v>5875.41</v>
      </c>
      <c r="J14" s="190">
        <f>SUMPRODUCT(-('Diário 5º PA'!$E$5:$E$2634='Analítico Cp.'!$B14),-('Diário 5º PA'!$Q$5:$Q$2634=J$1),('Diário 5º PA'!$F$5:$F$2634))
+SUMPRODUCT(-('Diário 6º PA'!$E$5:$E$2246='Analítico Cp.'!$B14),-('Diário 6º PA'!$Q$5:$Q$2246=J$1),('Diário 6º PA'!$F$5:$F$2246))
+SUMPRODUCT(-('Diário 7º PA'!$E$5:$E$2271='Analítico Cp.'!$B14),-('Diário 7º PA'!$Q$5:$Q$2271=J$1),('Diário 7º PA'!$F$5:$F$2271))
+SUMPRODUCT(-('Diário 8º PA'!$E$5:$E$2488='Analítico Cp.'!$B14),-('Diário 8º PA'!$Q$5:$Q$2488=J$1),('Diário 8º PA'!$F$5:$F$2488))
+SUMPRODUCT(-('Comp.'!$D$5:$D$313='Analítico Cp.'!$B14),-('Comp.'!$R$5:$R$313=J$1),('Comp.'!$E$5:$E$313))</f>
        <v>6808.64</v>
      </c>
      <c r="K14" s="190">
        <f>SUMPRODUCT(-('Diário 5º PA'!$E$5:$E$2634='Analítico Cp.'!$B14),-('Diário 5º PA'!$Q$5:$Q$2634=K$1),('Diário 5º PA'!$F$5:$F$2634))
+SUMPRODUCT(-('Diário 6º PA'!$E$5:$E$2246='Analítico Cp.'!$B14),-('Diário 6º PA'!$Q$5:$Q$2246=K$1),('Diário 6º PA'!$F$5:$F$2246))
+SUMPRODUCT(-('Diário 7º PA'!$E$5:$E$2271='Analítico Cp.'!$B14),-('Diário 7º PA'!$Q$5:$Q$2271=K$1),('Diário 7º PA'!$F$5:$F$2271))
+SUMPRODUCT(-('Diário 8º PA'!$E$5:$E$2488='Analítico Cp.'!$B14),-('Diário 8º PA'!$Q$5:$Q$2488=K$1),('Diário 8º PA'!$F$5:$F$2488))
+SUMPRODUCT(-('Comp.'!$D$5:$D$313='Analítico Cp.'!$B14),-('Comp.'!$R$5:$R$313=K$1),('Comp.'!$E$5:$E$313))</f>
        <v>8411.84</v>
      </c>
      <c r="L14" s="190">
        <f>SUMPRODUCT(-('Diário 5º PA'!$E$5:$E$2634='Analítico Cp.'!$B14),-('Diário 5º PA'!$Q$5:$Q$2634=L$1),('Diário 5º PA'!$F$5:$F$2634))
+SUMPRODUCT(-('Diário 6º PA'!$E$5:$E$2246='Analítico Cp.'!$B14),-('Diário 6º PA'!$Q$5:$Q$2246=L$1),('Diário 6º PA'!$F$5:$F$2246))
+SUMPRODUCT(-('Diário 7º PA'!$E$5:$E$2271='Analítico Cp.'!$B14),-('Diário 7º PA'!$Q$5:$Q$2271=L$1),('Diário 7º PA'!$F$5:$F$2271))
+SUMPRODUCT(-('Diário 8º PA'!$E$5:$E$2488='Analítico Cp.'!$B14),-('Diário 8º PA'!$Q$5:$Q$2488=L$1),('Diário 8º PA'!$F$5:$F$2488))
+SUMPRODUCT(-('Comp.'!$D$5:$D$313='Analítico Cp.'!$B14),-('Comp.'!$R$5:$R$313=L$1),('Comp.'!$E$5:$E$313))</f>
        <v>7658.55</v>
      </c>
      <c r="M14" s="190">
        <f>SUMPRODUCT(-('Diário 5º PA'!$E$5:$E$2634='Analítico Cp.'!$B14),-('Diário 5º PA'!$Q$5:$Q$2634=M$1),('Diário 5º PA'!$F$5:$F$2634))
+SUMPRODUCT(-('Diário 6º PA'!$E$5:$E$2246='Analítico Cp.'!$B14),-('Diário 6º PA'!$Q$5:$Q$2246=M$1),('Diário 6º PA'!$F$5:$F$2246))
+SUMPRODUCT(-('Diário 7º PA'!$E$5:$E$2271='Analítico Cp.'!$B14),-('Diário 7º PA'!$Q$5:$Q$2271=M$1),('Diário 7º PA'!$F$5:$F$2271))
+SUMPRODUCT(-('Diário 8º PA'!$E$5:$E$2488='Analítico Cp.'!$B14),-('Diário 8º PA'!$Q$5:$Q$2488=M$1),('Diário 8º PA'!$F$5:$F$2488))
+SUMPRODUCT(-('Comp.'!$D$5:$D$313='Analítico Cp.'!$B14),-('Comp.'!$R$5:$R$313=M$1),('Comp.'!$E$5:$E$313))</f>
        <v>10604.1</v>
      </c>
      <c r="N14" s="190">
        <f>SUMPRODUCT(-('Diário 5º PA'!$E$5:$E$2634='Analítico Cp.'!$B14),-('Diário 5º PA'!$Q$5:$Q$2634=N$1),('Diário 5º PA'!$F$5:$F$2634))
+SUMPRODUCT(-('Diário 6º PA'!$E$5:$E$2246='Analítico Cp.'!$B14),-('Diário 6º PA'!$Q$5:$Q$2246=N$1),('Diário 6º PA'!$F$5:$F$2246))
+SUMPRODUCT(-('Diário 7º PA'!$E$5:$E$2271='Analítico Cp.'!$B14),-('Diário 7º PA'!$Q$5:$Q$2271=N$1),('Diário 7º PA'!$F$5:$F$2271))
+SUMPRODUCT(-('Diário 8º PA'!$E$5:$E$2488='Analítico Cp.'!$B14),-('Diário 8º PA'!$Q$5:$Q$2488=N$1),('Diário 8º PA'!$F$5:$F$2488))
+SUMPRODUCT(-('Comp.'!$D$5:$D$313='Analítico Cp.'!$B14),-('Comp.'!$R$5:$R$313=N$1),('Comp.'!$E$5:$E$313))</f>
        <v>10510.86</v>
      </c>
      <c r="O14" s="191">
        <f t="shared" si="0"/>
        <v>61547.11</v>
      </c>
      <c r="P14" s="192">
        <f t="shared" si="1"/>
        <v>5.1505726601092415E-3</v>
      </c>
      <c r="Q14" s="34"/>
      <c r="R14" s="34"/>
      <c r="S14" s="34"/>
      <c r="T14" s="34"/>
      <c r="U14" s="34"/>
      <c r="V14" s="34"/>
      <c r="W14" s="34"/>
      <c r="X14" s="34"/>
      <c r="Y14" s="34"/>
      <c r="Z14" s="34"/>
    </row>
    <row r="15" spans="1:26" ht="23.25" customHeight="1" x14ac:dyDescent="0.2">
      <c r="A15" s="81" t="s">
        <v>149</v>
      </c>
      <c r="B15" s="193"/>
      <c r="C15" s="174">
        <f t="shared" ref="C15:O15" si="2">SUBTOTAL(109,C11:C14)</f>
        <v>578.86</v>
      </c>
      <c r="D15" s="174">
        <f t="shared" si="2"/>
        <v>1857781.19</v>
      </c>
      <c r="E15" s="174">
        <f t="shared" si="2"/>
        <v>389.71</v>
      </c>
      <c r="F15" s="174">
        <f t="shared" si="2"/>
        <v>1871.62</v>
      </c>
      <c r="G15" s="174">
        <f t="shared" si="2"/>
        <v>1371489.2700000003</v>
      </c>
      <c r="H15" s="174">
        <f t="shared" si="2"/>
        <v>9157.9700000000012</v>
      </c>
      <c r="I15" s="174">
        <f t="shared" si="2"/>
        <v>10915.41</v>
      </c>
      <c r="J15" s="174">
        <f t="shared" si="2"/>
        <v>1201545.74</v>
      </c>
      <c r="K15" s="174">
        <f t="shared" si="2"/>
        <v>2172206.8499999996</v>
      </c>
      <c r="L15" s="174">
        <f t="shared" si="2"/>
        <v>1142218.55</v>
      </c>
      <c r="M15" s="174">
        <f t="shared" si="2"/>
        <v>2076842.9700000002</v>
      </c>
      <c r="N15" s="174">
        <f t="shared" si="2"/>
        <v>2104568.2599999998</v>
      </c>
      <c r="O15" s="174">
        <f t="shared" si="2"/>
        <v>11949566.399999999</v>
      </c>
      <c r="P15" s="194">
        <f t="shared" si="1"/>
        <v>1</v>
      </c>
      <c r="Q15" s="34"/>
      <c r="R15" s="34"/>
      <c r="S15" s="34"/>
      <c r="T15" s="34"/>
      <c r="U15" s="34"/>
      <c r="V15" s="34"/>
      <c r="W15" s="34"/>
      <c r="X15" s="34"/>
      <c r="Y15" s="34"/>
      <c r="Z15" s="34"/>
    </row>
    <row r="16" spans="1:26" ht="23.25" customHeight="1" x14ac:dyDescent="0.2">
      <c r="A16" s="195"/>
      <c r="B16" s="85"/>
      <c r="C16" s="196"/>
      <c r="D16" s="196"/>
      <c r="E16" s="196"/>
      <c r="F16" s="196"/>
      <c r="G16" s="196"/>
      <c r="H16" s="196"/>
      <c r="I16" s="196"/>
      <c r="J16" s="196"/>
      <c r="K16" s="196"/>
      <c r="L16" s="196"/>
      <c r="M16" s="196"/>
      <c r="N16" s="196"/>
      <c r="O16" s="196"/>
      <c r="P16" s="34"/>
      <c r="Q16" s="34"/>
      <c r="R16" s="34"/>
      <c r="S16" s="34"/>
      <c r="T16" s="34"/>
      <c r="U16" s="34"/>
      <c r="V16" s="34"/>
      <c r="W16" s="34"/>
      <c r="X16" s="34"/>
      <c r="Y16" s="34"/>
      <c r="Z16" s="34"/>
    </row>
    <row r="17" spans="1:26" ht="23.25" customHeight="1" x14ac:dyDescent="0.2">
      <c r="A17" s="197">
        <v>2</v>
      </c>
      <c r="B17" s="85" t="s">
        <v>87</v>
      </c>
      <c r="C17" s="179"/>
      <c r="D17" s="179"/>
      <c r="E17" s="179"/>
      <c r="F17" s="179"/>
      <c r="G17" s="179"/>
      <c r="H17" s="179"/>
      <c r="I17" s="179"/>
      <c r="J17" s="179"/>
      <c r="K17" s="179"/>
      <c r="L17" s="179"/>
      <c r="M17" s="179"/>
      <c r="N17" s="179"/>
      <c r="O17" s="179"/>
      <c r="P17" s="179"/>
      <c r="Q17" s="34"/>
      <c r="R17" s="34"/>
      <c r="S17" s="34"/>
      <c r="T17" s="34"/>
      <c r="U17" s="34"/>
      <c r="V17" s="34"/>
      <c r="W17" s="34"/>
      <c r="X17" s="34"/>
      <c r="Y17" s="34"/>
      <c r="Z17" s="34"/>
    </row>
    <row r="18" spans="1:26" ht="23.25" customHeight="1" x14ac:dyDescent="0.2">
      <c r="A18" s="181" t="s">
        <v>84</v>
      </c>
      <c r="B18" s="198" t="s">
        <v>88</v>
      </c>
      <c r="C18" s="171"/>
      <c r="D18" s="171"/>
      <c r="E18" s="171"/>
      <c r="F18" s="171"/>
      <c r="G18" s="171"/>
      <c r="H18" s="171"/>
      <c r="I18" s="171"/>
      <c r="J18" s="171"/>
      <c r="K18" s="171"/>
      <c r="L18" s="171"/>
      <c r="M18" s="171"/>
      <c r="N18" s="171"/>
      <c r="O18" s="171"/>
      <c r="P18" s="199"/>
      <c r="Q18" s="34"/>
      <c r="R18" s="34"/>
      <c r="S18" s="34"/>
      <c r="T18" s="34"/>
      <c r="U18" s="34"/>
      <c r="V18" s="34"/>
      <c r="W18" s="34"/>
      <c r="X18" s="34"/>
      <c r="Y18" s="34"/>
      <c r="Z18" s="34"/>
    </row>
    <row r="19" spans="1:26" ht="23.25" customHeight="1" x14ac:dyDescent="0.2">
      <c r="A19" s="200" t="s">
        <v>89</v>
      </c>
      <c r="B19" s="201" t="s">
        <v>150</v>
      </c>
      <c r="C19" s="182"/>
      <c r="D19" s="182"/>
      <c r="E19" s="182"/>
      <c r="F19" s="182"/>
      <c r="G19" s="182"/>
      <c r="H19" s="182"/>
      <c r="I19" s="182"/>
      <c r="J19" s="182"/>
      <c r="K19" s="182"/>
      <c r="L19" s="182"/>
      <c r="M19" s="182"/>
      <c r="N19" s="182"/>
      <c r="O19" s="182"/>
      <c r="P19" s="202"/>
      <c r="Q19" s="34"/>
      <c r="R19" s="34"/>
      <c r="S19" s="34"/>
      <c r="T19" s="34"/>
      <c r="U19" s="34"/>
      <c r="V19" s="34"/>
      <c r="W19" s="34"/>
      <c r="X19" s="34"/>
      <c r="Y19" s="34"/>
      <c r="Z19" s="34"/>
    </row>
    <row r="20" spans="1:26" ht="23.25" customHeight="1" x14ac:dyDescent="0.2">
      <c r="A20" s="203" t="s">
        <v>151</v>
      </c>
      <c r="B20" s="72" t="s">
        <v>90</v>
      </c>
      <c r="C20" s="185">
        <f>SUMPRODUCT(-('Diário 5º PA'!$E$5:$E$2634='Analítico Cp.'!$B20),-('Diário 5º PA'!$Q$5:$Q$2634=C$1),('Diário 5º PA'!$F$5:$F$2634))
+SUMPRODUCT(-('Diário 6º PA'!$E$5:$E$2246='Analítico Cp.'!$B20),-('Diário 6º PA'!$Q$5:$Q$2246=C$1),('Diário 6º PA'!$F$5:$F$2246))
+SUMPRODUCT(-('Diário 7º PA'!$E$5:$E$2271='Analítico Cp.'!$B20),-('Diário 7º PA'!$Q$5:$Q$2271=C$1),('Diário 7º PA'!$F$5:$F$2271))
+SUMPRODUCT(-('Diário 8º PA'!$E$5:$E$2488='Analítico Cp.'!$B20),-('Diário 8º PA'!$Q$5:$Q$2488=C$1),('Diário 8º PA'!$F$5:$F$2488))
+SUMPRODUCT(-('Comp.'!$D$5:$D$313='Analítico Cp.'!$B20),-('Comp.'!$R$5:$R$313=C$1),('Comp.'!$E$5:$E$313))</f>
        <v>64889.54</v>
      </c>
      <c r="D20" s="185">
        <f>SUMPRODUCT(-('Diário 5º PA'!$E$5:$E$2634='Analítico Cp.'!$B20),-('Diário 5º PA'!$Q$5:$Q$2634=D$1),('Diário 5º PA'!$F$5:$F$2634))
+SUMPRODUCT(-('Diário 6º PA'!$E$5:$E$2246='Analítico Cp.'!$B20),-('Diário 6º PA'!$Q$5:$Q$2246=D$1),('Diário 6º PA'!$F$5:$F$2246))
+SUMPRODUCT(-('Diário 7º PA'!$E$5:$E$2271='Analítico Cp.'!$B20),-('Diário 7º PA'!$Q$5:$Q$2271=D$1),('Diário 7º PA'!$F$5:$F$2271))
+SUMPRODUCT(-('Diário 8º PA'!$E$5:$E$2488='Analítico Cp.'!$B20),-('Diário 8º PA'!$Q$5:$Q$2488=D$1),('Diário 8º PA'!$F$5:$F$2488))
+SUMPRODUCT(-('Comp.'!$D$5:$D$313='Analítico Cp.'!$B20),-('Comp.'!$R$5:$R$313=D$1),('Comp.'!$E$5:$E$313))</f>
        <v>80949.789999999994</v>
      </c>
      <c r="E20" s="185">
        <f>SUMPRODUCT(-('Diário 5º PA'!$E$5:$E$2634='Analítico Cp.'!$B20),-('Diário 5º PA'!$Q$5:$Q$2634=E$1),('Diário 5º PA'!$F$5:$F$2634))
+SUMPRODUCT(-('Diário 6º PA'!$E$5:$E$2246='Analítico Cp.'!$B20),-('Diário 6º PA'!$Q$5:$Q$2246=E$1),('Diário 6º PA'!$F$5:$F$2246))
+SUMPRODUCT(-('Diário 7º PA'!$E$5:$E$2271='Analítico Cp.'!$B20),-('Diário 7º PA'!$Q$5:$Q$2271=E$1),('Diário 7º PA'!$F$5:$F$2271))
+SUMPRODUCT(-('Diário 8º PA'!$E$5:$E$2488='Analítico Cp.'!$B20),-('Diário 8º PA'!$Q$5:$Q$2488=E$1),('Diário 8º PA'!$F$5:$F$2488))
+SUMPRODUCT(-('Comp.'!$D$5:$D$313='Analítico Cp.'!$B20),-('Comp.'!$R$5:$R$313=E$1),('Comp.'!$E$5:$E$313))</f>
        <v>81215.559999999983</v>
      </c>
      <c r="F20" s="185">
        <f>SUMPRODUCT(-('Diário 5º PA'!$E$5:$E$2634='Analítico Cp.'!$B20),-('Diário 5º PA'!$Q$5:$Q$2634=F$1),('Diário 5º PA'!$F$5:$F$2634))
+SUMPRODUCT(-('Diário 6º PA'!$E$5:$E$2246='Analítico Cp.'!$B20),-('Diário 6º PA'!$Q$5:$Q$2246=F$1),('Diário 6º PA'!$F$5:$F$2246))
+SUMPRODUCT(-('Diário 7º PA'!$E$5:$E$2271='Analítico Cp.'!$B20),-('Diário 7º PA'!$Q$5:$Q$2271=F$1),('Diário 7º PA'!$F$5:$F$2271))
+SUMPRODUCT(-('Diário 8º PA'!$E$5:$E$2488='Analítico Cp.'!$B20),-('Diário 8º PA'!$Q$5:$Q$2488=F$1),('Diário 8º PA'!$F$5:$F$2488))
+SUMPRODUCT(-('Comp.'!$D$5:$D$313='Analítico Cp.'!$B20),-('Comp.'!$R$5:$R$313=F$1),('Comp.'!$E$5:$E$313))</f>
        <v>79743.62</v>
      </c>
      <c r="G20" s="185">
        <f>SUMPRODUCT(-('Diário 5º PA'!$E$5:$E$2634='Analítico Cp.'!$B20),-('Diário 5º PA'!$Q$5:$Q$2634=G$1),('Diário 5º PA'!$F$5:$F$2634))
+SUMPRODUCT(-('Diário 6º PA'!$E$5:$E$2246='Analítico Cp.'!$B20),-('Diário 6º PA'!$Q$5:$Q$2246=G$1),('Diário 6º PA'!$F$5:$F$2246))
+SUMPRODUCT(-('Diário 7º PA'!$E$5:$E$2271='Analítico Cp.'!$B20),-('Diário 7º PA'!$Q$5:$Q$2271=G$1),('Diário 7º PA'!$F$5:$F$2271))
+SUMPRODUCT(-('Diário 8º PA'!$E$5:$E$2488='Analítico Cp.'!$B20),-('Diário 8º PA'!$Q$5:$Q$2488=G$1),('Diário 8º PA'!$F$5:$F$2488))
+SUMPRODUCT(-('Comp.'!$D$5:$D$313='Analítico Cp.'!$B20),-('Comp.'!$R$5:$R$313=G$1),('Comp.'!$E$5:$E$313))</f>
        <v>82285.289999999994</v>
      </c>
      <c r="H20" s="185">
        <f>SUMPRODUCT(-('Diário 5º PA'!$E$5:$E$2634='Analítico Cp.'!$B20),-('Diário 5º PA'!$Q$5:$Q$2634=H$1),('Diário 5º PA'!$F$5:$F$2634))
+SUMPRODUCT(-('Diário 6º PA'!$E$5:$E$2246='Analítico Cp.'!$B20),-('Diário 6º PA'!$Q$5:$Q$2246=H$1),('Diário 6º PA'!$F$5:$F$2246))
+SUMPRODUCT(-('Diário 7º PA'!$E$5:$E$2271='Analítico Cp.'!$B20),-('Diário 7º PA'!$Q$5:$Q$2271=H$1),('Diário 7º PA'!$F$5:$F$2271))
+SUMPRODUCT(-('Diário 8º PA'!$E$5:$E$2488='Analítico Cp.'!$B20),-('Diário 8º PA'!$Q$5:$Q$2488=H$1),('Diário 8º PA'!$F$5:$F$2488))
+SUMPRODUCT(-('Comp.'!$D$5:$D$313='Analítico Cp.'!$B20),-('Comp.'!$R$5:$R$313=H$1),('Comp.'!$E$5:$E$313))</f>
        <v>86174.99</v>
      </c>
      <c r="I20" s="185">
        <f>SUMPRODUCT(-('Diário 5º PA'!$E$5:$E$2634='Analítico Cp.'!$B20),-('Diário 5º PA'!$Q$5:$Q$2634=I$1),('Diário 5º PA'!$F$5:$F$2634))
+SUMPRODUCT(-('Diário 6º PA'!$E$5:$E$2246='Analítico Cp.'!$B20),-('Diário 6º PA'!$Q$5:$Q$2246=I$1),('Diário 6º PA'!$F$5:$F$2246))
+SUMPRODUCT(-('Diário 7º PA'!$E$5:$E$2271='Analítico Cp.'!$B20),-('Diário 7º PA'!$Q$5:$Q$2271=I$1),('Diário 7º PA'!$F$5:$F$2271))
+SUMPRODUCT(-('Diário 8º PA'!$E$5:$E$2488='Analítico Cp.'!$B20),-('Diário 8º PA'!$Q$5:$Q$2488=I$1),('Diário 8º PA'!$F$5:$F$2488))
+SUMPRODUCT(-('Comp.'!$D$5:$D$313='Analítico Cp.'!$B20),-('Comp.'!$R$5:$R$313=I$1),('Comp.'!$E$5:$E$313))</f>
        <v>115844.59000000008</v>
      </c>
      <c r="J20" s="185">
        <f>SUMPRODUCT(-('Diário 5º PA'!$E$5:$E$2634='Analítico Cp.'!$B20),-('Diário 5º PA'!$Q$5:$Q$2634=J$1),('Diário 5º PA'!$F$5:$F$2634))
+SUMPRODUCT(-('Diário 6º PA'!$E$5:$E$2246='Analítico Cp.'!$B20),-('Diário 6º PA'!$Q$5:$Q$2246=J$1),('Diário 6º PA'!$F$5:$F$2246))
+SUMPRODUCT(-('Diário 7º PA'!$E$5:$E$2271='Analítico Cp.'!$B20),-('Diário 7º PA'!$Q$5:$Q$2271=J$1),('Diário 7º PA'!$F$5:$F$2271))
+SUMPRODUCT(-('Diário 8º PA'!$E$5:$E$2488='Analítico Cp.'!$B20),-('Diário 8º PA'!$Q$5:$Q$2488=J$1),('Diário 8º PA'!$F$5:$F$2488))
+SUMPRODUCT(-('Comp.'!$D$5:$D$313='Analítico Cp.'!$B20),-('Comp.'!$R$5:$R$313=J$1),('Comp.'!$E$5:$E$313))</f>
        <v>157051.48000000007</v>
      </c>
      <c r="K20" s="185">
        <f>SUMPRODUCT(-('Diário 5º PA'!$E$5:$E$2634='Analítico Cp.'!$B20),-('Diário 5º PA'!$Q$5:$Q$2634=K$1),('Diário 5º PA'!$F$5:$F$2634))
+SUMPRODUCT(-('Diário 6º PA'!$E$5:$E$2246='Analítico Cp.'!$B20),-('Diário 6º PA'!$Q$5:$Q$2246=K$1),('Diário 6º PA'!$F$5:$F$2246))
+SUMPRODUCT(-('Diário 7º PA'!$E$5:$E$2271='Analítico Cp.'!$B20),-('Diário 7º PA'!$Q$5:$Q$2271=K$1),('Diário 7º PA'!$F$5:$F$2271))
+SUMPRODUCT(-('Diário 8º PA'!$E$5:$E$2488='Analítico Cp.'!$B20),-('Diário 8º PA'!$Q$5:$Q$2488=K$1),('Diário 8º PA'!$F$5:$F$2488))
+SUMPRODUCT(-('Comp.'!$D$5:$D$313='Analítico Cp.'!$B20),-('Comp.'!$R$5:$R$313=K$1),('Comp.'!$E$5:$E$313))</f>
        <v>159017.69000000003</v>
      </c>
      <c r="L20" s="185">
        <f>SUMPRODUCT(-('Diário 5º PA'!$E$5:$E$2634='Analítico Cp.'!$B20),-('Diário 5º PA'!$Q$5:$Q$2634=L$1),('Diário 5º PA'!$F$5:$F$2634))
+SUMPRODUCT(-('Diário 6º PA'!$E$5:$E$2246='Analítico Cp.'!$B20),-('Diário 6º PA'!$Q$5:$Q$2246=L$1),('Diário 6º PA'!$F$5:$F$2246))
+SUMPRODUCT(-('Diário 7º PA'!$E$5:$E$2271='Analítico Cp.'!$B20),-('Diário 7º PA'!$Q$5:$Q$2271=L$1),('Diário 7º PA'!$F$5:$F$2271))
+SUMPRODUCT(-('Diário 8º PA'!$E$5:$E$2488='Analítico Cp.'!$B20),-('Diário 8º PA'!$Q$5:$Q$2488=L$1),('Diário 8º PA'!$F$5:$F$2488))
+SUMPRODUCT(-('Comp.'!$D$5:$D$313='Analítico Cp.'!$B20),-('Comp.'!$R$5:$R$313=L$1),('Comp.'!$E$5:$E$313))</f>
        <v>186292.10000000006</v>
      </c>
      <c r="M20" s="185">
        <f>SUMPRODUCT(-('Diário 5º PA'!$E$5:$E$2634='Analítico Cp.'!$B20),-('Diário 5º PA'!$Q$5:$Q$2634=M$1),('Diário 5º PA'!$F$5:$F$2634))
+SUMPRODUCT(-('Diário 6º PA'!$E$5:$E$2246='Analítico Cp.'!$B20),-('Diário 6º PA'!$Q$5:$Q$2246=M$1),('Diário 6º PA'!$F$5:$F$2246))
+SUMPRODUCT(-('Diário 7º PA'!$E$5:$E$2271='Analítico Cp.'!$B20),-('Diário 7º PA'!$Q$5:$Q$2271=M$1),('Diário 7º PA'!$F$5:$F$2271))
+SUMPRODUCT(-('Diário 8º PA'!$E$5:$E$2488='Analítico Cp.'!$B20),-('Diário 8º PA'!$Q$5:$Q$2488=M$1),('Diário 8º PA'!$F$5:$F$2488))
+SUMPRODUCT(-('Comp.'!$D$5:$D$313='Analítico Cp.'!$B20),-('Comp.'!$R$5:$R$313=M$1),('Comp.'!$E$5:$E$313))</f>
        <v>210719.53000000003</v>
      </c>
      <c r="N20" s="185">
        <f>SUMPRODUCT(-('Diário 5º PA'!$E$5:$E$2634='Analítico Cp.'!$B20),-('Diário 5º PA'!$Q$5:$Q$2634=N$1),('Diário 5º PA'!$F$5:$F$2634))
+SUMPRODUCT(-('Diário 6º PA'!$E$5:$E$2246='Analítico Cp.'!$B20),-('Diário 6º PA'!$Q$5:$Q$2246=N$1),('Diário 6º PA'!$F$5:$F$2246))
+SUMPRODUCT(-('Diário 7º PA'!$E$5:$E$2271='Analítico Cp.'!$B20),-('Diário 7º PA'!$Q$5:$Q$2271=N$1),('Diário 7º PA'!$F$5:$F$2271))
+SUMPRODUCT(-('Diário 8º PA'!$E$5:$E$2488='Analítico Cp.'!$B20),-('Diário 8º PA'!$Q$5:$Q$2488=N$1),('Diário 8º PA'!$F$5:$F$2488))
+SUMPRODUCT(-('Comp.'!$D$5:$D$313='Analítico Cp.'!$B20),-('Comp.'!$R$5:$R$313=N$1),('Comp.'!$E$5:$E$313))</f>
        <v>192276.21</v>
      </c>
      <c r="O20" s="186">
        <f t="shared" ref="O20:O24" si="3">SUM(C20:N20)</f>
        <v>1496460.3900000001</v>
      </c>
      <c r="P20" s="187">
        <f t="shared" ref="P20:P25" si="4">IF($O$163=0,0,O20/$O$163)</f>
        <v>0.15435413912590082</v>
      </c>
      <c r="Q20" s="34"/>
      <c r="R20" s="34"/>
      <c r="S20" s="34"/>
      <c r="T20" s="34"/>
      <c r="U20" s="34"/>
      <c r="V20" s="34"/>
      <c r="W20" s="34"/>
      <c r="X20" s="34"/>
      <c r="Y20" s="34"/>
      <c r="Z20" s="34"/>
    </row>
    <row r="21" spans="1:26" ht="23.25" customHeight="1" x14ac:dyDescent="0.2">
      <c r="A21" s="203" t="s">
        <v>152</v>
      </c>
      <c r="B21" s="204" t="s">
        <v>153</v>
      </c>
      <c r="C21" s="185">
        <f>SUMPRODUCT(-('Diário 5º PA'!$E$5:$E$2634='Analítico Cp.'!$B21),-('Diário 5º PA'!$Q$5:$Q$2634=C$1),('Diário 5º PA'!$F$5:$F$2634))
+SUMPRODUCT(-('Diário 6º PA'!$E$5:$E$2246='Analítico Cp.'!$B21),-('Diário 6º PA'!$Q$5:$Q$2246=C$1),('Diário 6º PA'!$F$5:$F$2246))
+SUMPRODUCT(-('Diário 7º PA'!$E$5:$E$2271='Analítico Cp.'!$B21),-('Diário 7º PA'!$Q$5:$Q$2271=C$1),('Diário 7º PA'!$F$5:$F$2271))
+SUMPRODUCT(-('Diário 8º PA'!$E$5:$E$2488='Analítico Cp.'!$B21),-('Diário 8º PA'!$Q$5:$Q$2488=C$1),('Diário 8º PA'!$F$5:$F$2488))
+SUMPRODUCT(-('Comp.'!$D$5:$D$313='Analítico Cp.'!$B21),-('Comp.'!$R$5:$R$313=C$1),('Comp.'!$E$5:$E$313))</f>
        <v>0</v>
      </c>
      <c r="D21" s="185">
        <f>SUMPRODUCT(-('Diário 5º PA'!$E$5:$E$2634='Analítico Cp.'!$B21),-('Diário 5º PA'!$Q$5:$Q$2634=D$1),('Diário 5º PA'!$F$5:$F$2634))
+SUMPRODUCT(-('Diário 6º PA'!$E$5:$E$2246='Analítico Cp.'!$B21),-('Diário 6º PA'!$Q$5:$Q$2246=D$1),('Diário 6º PA'!$F$5:$F$2246))
+SUMPRODUCT(-('Diário 7º PA'!$E$5:$E$2271='Analítico Cp.'!$B21),-('Diário 7º PA'!$Q$5:$Q$2271=D$1),('Diário 7º PA'!$F$5:$F$2271))
+SUMPRODUCT(-('Diário 8º PA'!$E$5:$E$2488='Analítico Cp.'!$B21),-('Diário 8º PA'!$Q$5:$Q$2488=D$1),('Diário 8º PA'!$F$5:$F$2488))
+SUMPRODUCT(-('Comp.'!$D$5:$D$313='Analítico Cp.'!$B21),-('Comp.'!$R$5:$R$313=D$1),('Comp.'!$E$5:$E$313))</f>
        <v>0</v>
      </c>
      <c r="E21" s="185">
        <f>SUMPRODUCT(-('Diário 5º PA'!$E$5:$E$2634='Analítico Cp.'!$B21),-('Diário 5º PA'!$Q$5:$Q$2634=E$1),('Diário 5º PA'!$F$5:$F$2634))
+SUMPRODUCT(-('Diário 6º PA'!$E$5:$E$2246='Analítico Cp.'!$B21),-('Diário 6º PA'!$Q$5:$Q$2246=E$1),('Diário 6º PA'!$F$5:$F$2246))
+SUMPRODUCT(-('Diário 7º PA'!$E$5:$E$2271='Analítico Cp.'!$B21),-('Diário 7º PA'!$Q$5:$Q$2271=E$1),('Diário 7º PA'!$F$5:$F$2271))
+SUMPRODUCT(-('Diário 8º PA'!$E$5:$E$2488='Analítico Cp.'!$B21),-('Diário 8º PA'!$Q$5:$Q$2488=E$1),('Diário 8º PA'!$F$5:$F$2488))
+SUMPRODUCT(-('Comp.'!$D$5:$D$313='Analítico Cp.'!$B21),-('Comp.'!$R$5:$R$313=E$1),('Comp.'!$E$5:$E$313))</f>
        <v>0</v>
      </c>
      <c r="F21" s="185">
        <f>SUMPRODUCT(-('Diário 5º PA'!$E$5:$E$2634='Analítico Cp.'!$B21),-('Diário 5º PA'!$Q$5:$Q$2634=F$1),('Diário 5º PA'!$F$5:$F$2634))
+SUMPRODUCT(-('Diário 6º PA'!$E$5:$E$2246='Analítico Cp.'!$B21),-('Diário 6º PA'!$Q$5:$Q$2246=F$1),('Diário 6º PA'!$F$5:$F$2246))
+SUMPRODUCT(-('Diário 7º PA'!$E$5:$E$2271='Analítico Cp.'!$B21),-('Diário 7º PA'!$Q$5:$Q$2271=F$1),('Diário 7º PA'!$F$5:$F$2271))
+SUMPRODUCT(-('Diário 8º PA'!$E$5:$E$2488='Analítico Cp.'!$B21),-('Diário 8º PA'!$Q$5:$Q$2488=F$1),('Diário 8º PA'!$F$5:$F$2488))
+SUMPRODUCT(-('Comp.'!$D$5:$D$313='Analítico Cp.'!$B21),-('Comp.'!$R$5:$R$313=F$1),('Comp.'!$E$5:$E$313))</f>
        <v>0</v>
      </c>
      <c r="G21" s="185">
        <f>SUMPRODUCT(-('Diário 5º PA'!$E$5:$E$2634='Analítico Cp.'!$B21),-('Diário 5º PA'!$Q$5:$Q$2634=G$1),('Diário 5º PA'!$F$5:$F$2634))
+SUMPRODUCT(-('Diário 6º PA'!$E$5:$E$2246='Analítico Cp.'!$B21),-('Diário 6º PA'!$Q$5:$Q$2246=G$1),('Diário 6º PA'!$F$5:$F$2246))
+SUMPRODUCT(-('Diário 7º PA'!$E$5:$E$2271='Analítico Cp.'!$B21),-('Diário 7º PA'!$Q$5:$Q$2271=G$1),('Diário 7º PA'!$F$5:$F$2271))
+SUMPRODUCT(-('Diário 8º PA'!$E$5:$E$2488='Analítico Cp.'!$B21),-('Diário 8º PA'!$Q$5:$Q$2488=G$1),('Diário 8º PA'!$F$5:$F$2488))
+SUMPRODUCT(-('Comp.'!$D$5:$D$313='Analítico Cp.'!$B21),-('Comp.'!$R$5:$R$313=G$1),('Comp.'!$E$5:$E$313))</f>
        <v>0</v>
      </c>
      <c r="H21" s="185">
        <f>SUMPRODUCT(-('Diário 5º PA'!$E$5:$E$2634='Analítico Cp.'!$B21),-('Diário 5º PA'!$Q$5:$Q$2634=H$1),('Diário 5º PA'!$F$5:$F$2634))
+SUMPRODUCT(-('Diário 6º PA'!$E$5:$E$2246='Analítico Cp.'!$B21),-('Diário 6º PA'!$Q$5:$Q$2246=H$1),('Diário 6º PA'!$F$5:$F$2246))
+SUMPRODUCT(-('Diário 7º PA'!$E$5:$E$2271='Analítico Cp.'!$B21),-('Diário 7º PA'!$Q$5:$Q$2271=H$1),('Diário 7º PA'!$F$5:$F$2271))
+SUMPRODUCT(-('Diário 8º PA'!$E$5:$E$2488='Analítico Cp.'!$B21),-('Diário 8º PA'!$Q$5:$Q$2488=H$1),('Diário 8º PA'!$F$5:$F$2488))
+SUMPRODUCT(-('Comp.'!$D$5:$D$313='Analítico Cp.'!$B21),-('Comp.'!$R$5:$R$313=H$1),('Comp.'!$E$5:$E$313))</f>
        <v>0</v>
      </c>
      <c r="I21" s="185">
        <f>SUMPRODUCT(-('Diário 5º PA'!$E$5:$E$2634='Analítico Cp.'!$B21),-('Diário 5º PA'!$Q$5:$Q$2634=I$1),('Diário 5º PA'!$F$5:$F$2634))
+SUMPRODUCT(-('Diário 6º PA'!$E$5:$E$2246='Analítico Cp.'!$B21),-('Diário 6º PA'!$Q$5:$Q$2246=I$1),('Diário 6º PA'!$F$5:$F$2246))
+SUMPRODUCT(-('Diário 7º PA'!$E$5:$E$2271='Analítico Cp.'!$B21),-('Diário 7º PA'!$Q$5:$Q$2271=I$1),('Diário 7º PA'!$F$5:$F$2271))
+SUMPRODUCT(-('Diário 8º PA'!$E$5:$E$2488='Analítico Cp.'!$B21),-('Diário 8º PA'!$Q$5:$Q$2488=I$1),('Diário 8º PA'!$F$5:$F$2488))
+SUMPRODUCT(-('Comp.'!$D$5:$D$313='Analítico Cp.'!$B21),-('Comp.'!$R$5:$R$313=I$1),('Comp.'!$E$5:$E$313))</f>
        <v>0</v>
      </c>
      <c r="J21" s="185">
        <f>SUMPRODUCT(-('Diário 5º PA'!$E$5:$E$2634='Analítico Cp.'!$B21),-('Diário 5º PA'!$Q$5:$Q$2634=J$1),('Diário 5º PA'!$F$5:$F$2634))
+SUMPRODUCT(-('Diário 6º PA'!$E$5:$E$2246='Analítico Cp.'!$B21),-('Diário 6º PA'!$Q$5:$Q$2246=J$1),('Diário 6º PA'!$F$5:$F$2246))
+SUMPRODUCT(-('Diário 7º PA'!$E$5:$E$2271='Analítico Cp.'!$B21),-('Diário 7º PA'!$Q$5:$Q$2271=J$1),('Diário 7º PA'!$F$5:$F$2271))
+SUMPRODUCT(-('Diário 8º PA'!$E$5:$E$2488='Analítico Cp.'!$B21),-('Diário 8º PA'!$Q$5:$Q$2488=J$1),('Diário 8º PA'!$F$5:$F$2488))
+SUMPRODUCT(-('Comp.'!$D$5:$D$313='Analítico Cp.'!$B21),-('Comp.'!$R$5:$R$313=J$1),('Comp.'!$E$5:$E$313))</f>
        <v>0</v>
      </c>
      <c r="K21" s="185">
        <f>SUMPRODUCT(-('Diário 5º PA'!$E$5:$E$2634='Analítico Cp.'!$B21),-('Diário 5º PA'!$Q$5:$Q$2634=K$1),('Diário 5º PA'!$F$5:$F$2634))
+SUMPRODUCT(-('Diário 6º PA'!$E$5:$E$2246='Analítico Cp.'!$B21),-('Diário 6º PA'!$Q$5:$Q$2246=K$1),('Diário 6º PA'!$F$5:$F$2246))
+SUMPRODUCT(-('Diário 7º PA'!$E$5:$E$2271='Analítico Cp.'!$B21),-('Diário 7º PA'!$Q$5:$Q$2271=K$1),('Diário 7º PA'!$F$5:$F$2271))
+SUMPRODUCT(-('Diário 8º PA'!$E$5:$E$2488='Analítico Cp.'!$B21),-('Diário 8º PA'!$Q$5:$Q$2488=K$1),('Diário 8º PA'!$F$5:$F$2488))
+SUMPRODUCT(-('Comp.'!$D$5:$D$313='Analítico Cp.'!$B21),-('Comp.'!$R$5:$R$313=K$1),('Comp.'!$E$5:$E$313))</f>
        <v>0</v>
      </c>
      <c r="L21" s="185">
        <f>SUMPRODUCT(-('Diário 5º PA'!$E$5:$E$2634='Analítico Cp.'!$B21),-('Diário 5º PA'!$Q$5:$Q$2634=L$1),('Diário 5º PA'!$F$5:$F$2634))
+SUMPRODUCT(-('Diário 6º PA'!$E$5:$E$2246='Analítico Cp.'!$B21),-('Diário 6º PA'!$Q$5:$Q$2246=L$1),('Diário 6º PA'!$F$5:$F$2246))
+SUMPRODUCT(-('Diário 7º PA'!$E$5:$E$2271='Analítico Cp.'!$B21),-('Diário 7º PA'!$Q$5:$Q$2271=L$1),('Diário 7º PA'!$F$5:$F$2271))
+SUMPRODUCT(-('Diário 8º PA'!$E$5:$E$2488='Analítico Cp.'!$B21),-('Diário 8º PA'!$Q$5:$Q$2488=L$1),('Diário 8º PA'!$F$5:$F$2488))
+SUMPRODUCT(-('Comp.'!$D$5:$D$313='Analítico Cp.'!$B21),-('Comp.'!$R$5:$R$313=L$1),('Comp.'!$E$5:$E$313))</f>
        <v>0</v>
      </c>
      <c r="M21" s="185">
        <f>SUMPRODUCT(-('Diário 5º PA'!$E$5:$E$2634='Analítico Cp.'!$B21),-('Diário 5º PA'!$Q$5:$Q$2634=M$1),('Diário 5º PA'!$F$5:$F$2634))
+SUMPRODUCT(-('Diário 6º PA'!$E$5:$E$2246='Analítico Cp.'!$B21),-('Diário 6º PA'!$Q$5:$Q$2246=M$1),('Diário 6º PA'!$F$5:$F$2246))
+SUMPRODUCT(-('Diário 7º PA'!$E$5:$E$2271='Analítico Cp.'!$B21),-('Diário 7º PA'!$Q$5:$Q$2271=M$1),('Diário 7º PA'!$F$5:$F$2271))
+SUMPRODUCT(-('Diário 8º PA'!$E$5:$E$2488='Analítico Cp.'!$B21),-('Diário 8º PA'!$Q$5:$Q$2488=M$1),('Diário 8º PA'!$F$5:$F$2488))
+SUMPRODUCT(-('Comp.'!$D$5:$D$313='Analítico Cp.'!$B21),-('Comp.'!$R$5:$R$313=M$1),('Comp.'!$E$5:$E$313))</f>
        <v>0</v>
      </c>
      <c r="N21" s="185">
        <f>SUMPRODUCT(-('Diário 5º PA'!$E$5:$E$2634='Analítico Cp.'!$B21),-('Diário 5º PA'!$Q$5:$Q$2634=N$1),('Diário 5º PA'!$F$5:$F$2634))
+SUMPRODUCT(-('Diário 6º PA'!$E$5:$E$2246='Analítico Cp.'!$B21),-('Diário 6º PA'!$Q$5:$Q$2246=N$1),('Diário 6º PA'!$F$5:$F$2246))
+SUMPRODUCT(-('Diário 7º PA'!$E$5:$E$2271='Analítico Cp.'!$B21),-('Diário 7º PA'!$Q$5:$Q$2271=N$1),('Diário 7º PA'!$F$5:$F$2271))
+SUMPRODUCT(-('Diário 8º PA'!$E$5:$E$2488='Analítico Cp.'!$B21),-('Diário 8º PA'!$Q$5:$Q$2488=N$1),('Diário 8º PA'!$F$5:$F$2488))
+SUMPRODUCT(-('Comp.'!$D$5:$D$313='Analítico Cp.'!$B21),-('Comp.'!$R$5:$R$313=N$1),('Comp.'!$E$5:$E$313))</f>
        <v>0</v>
      </c>
      <c r="O21" s="186">
        <f t="shared" si="3"/>
        <v>0</v>
      </c>
      <c r="P21" s="187">
        <f t="shared" si="4"/>
        <v>0</v>
      </c>
      <c r="Q21" s="34"/>
      <c r="R21" s="34"/>
      <c r="S21" s="34"/>
      <c r="T21" s="34"/>
      <c r="U21" s="34"/>
      <c r="V21" s="34"/>
      <c r="W21" s="34"/>
      <c r="X21" s="34"/>
      <c r="Y21" s="34"/>
      <c r="Z21" s="34"/>
    </row>
    <row r="22" spans="1:26" ht="23.25" customHeight="1" x14ac:dyDescent="0.2">
      <c r="A22" s="203" t="s">
        <v>154</v>
      </c>
      <c r="B22" s="204" t="s">
        <v>155</v>
      </c>
      <c r="C22" s="185">
        <f>SUMPRODUCT(-('Diário 5º PA'!$E$5:$E$2634='Analítico Cp.'!$B22),-('Diário 5º PA'!$Q$5:$Q$2634=C$1),('Diário 5º PA'!$F$5:$F$2634))
+SUMPRODUCT(-('Diário 6º PA'!$E$5:$E$2246='Analítico Cp.'!$B22),-('Diário 6º PA'!$Q$5:$Q$2246=C$1),('Diário 6º PA'!$F$5:$F$2246))
+SUMPRODUCT(-('Diário 7º PA'!$E$5:$E$2271='Analítico Cp.'!$B22),-('Diário 7º PA'!$Q$5:$Q$2271=C$1),('Diário 7º PA'!$F$5:$F$2271))
+SUMPRODUCT(-('Diário 8º PA'!$E$5:$E$2488='Analítico Cp.'!$B22),-('Diário 8º PA'!$Q$5:$Q$2488=C$1),('Diário 8º PA'!$F$5:$F$2488))
+SUMPRODUCT(-('Comp.'!$D$5:$D$313='Analítico Cp.'!$B22),-('Comp.'!$R$5:$R$313=C$1),('Comp.'!$E$5:$E$313))</f>
        <v>0</v>
      </c>
      <c r="D22" s="185">
        <f>SUMPRODUCT(-('Diário 5º PA'!$E$5:$E$2634='Analítico Cp.'!$B22),-('Diário 5º PA'!$Q$5:$Q$2634=D$1),('Diário 5º PA'!$F$5:$F$2634))
+SUMPRODUCT(-('Diário 6º PA'!$E$5:$E$2246='Analítico Cp.'!$B22),-('Diário 6º PA'!$Q$5:$Q$2246=D$1),('Diário 6º PA'!$F$5:$F$2246))
+SUMPRODUCT(-('Diário 7º PA'!$E$5:$E$2271='Analítico Cp.'!$B22),-('Diário 7º PA'!$Q$5:$Q$2271=D$1),('Diário 7º PA'!$F$5:$F$2271))
+SUMPRODUCT(-('Diário 8º PA'!$E$5:$E$2488='Analítico Cp.'!$B22),-('Diário 8º PA'!$Q$5:$Q$2488=D$1),('Diário 8º PA'!$F$5:$F$2488))
+SUMPRODUCT(-('Comp.'!$D$5:$D$313='Analítico Cp.'!$B22),-('Comp.'!$R$5:$R$313=D$1),('Comp.'!$E$5:$E$313))</f>
        <v>0</v>
      </c>
      <c r="E22" s="185">
        <f>SUMPRODUCT(-('Diário 5º PA'!$E$5:$E$2634='Analítico Cp.'!$B22),-('Diário 5º PA'!$Q$5:$Q$2634=E$1),('Diário 5º PA'!$F$5:$F$2634))
+SUMPRODUCT(-('Diário 6º PA'!$E$5:$E$2246='Analítico Cp.'!$B22),-('Diário 6º PA'!$Q$5:$Q$2246=E$1),('Diário 6º PA'!$F$5:$F$2246))
+SUMPRODUCT(-('Diário 7º PA'!$E$5:$E$2271='Analítico Cp.'!$B22),-('Diário 7º PA'!$Q$5:$Q$2271=E$1),('Diário 7º PA'!$F$5:$F$2271))
+SUMPRODUCT(-('Diário 8º PA'!$E$5:$E$2488='Analítico Cp.'!$B22),-('Diário 8º PA'!$Q$5:$Q$2488=E$1),('Diário 8º PA'!$F$5:$F$2488))
+SUMPRODUCT(-('Comp.'!$D$5:$D$313='Analítico Cp.'!$B22),-('Comp.'!$R$5:$R$313=E$1),('Comp.'!$E$5:$E$313))</f>
        <v>0</v>
      </c>
      <c r="F22" s="185">
        <f>SUMPRODUCT(-('Diário 5º PA'!$E$5:$E$2634='Analítico Cp.'!$B22),-('Diário 5º PA'!$Q$5:$Q$2634=F$1),('Diário 5º PA'!$F$5:$F$2634))
+SUMPRODUCT(-('Diário 6º PA'!$E$5:$E$2246='Analítico Cp.'!$B22),-('Diário 6º PA'!$Q$5:$Q$2246=F$1),('Diário 6º PA'!$F$5:$F$2246))
+SUMPRODUCT(-('Diário 7º PA'!$E$5:$E$2271='Analítico Cp.'!$B22),-('Diário 7º PA'!$Q$5:$Q$2271=F$1),('Diário 7º PA'!$F$5:$F$2271))
+SUMPRODUCT(-('Diário 8º PA'!$E$5:$E$2488='Analítico Cp.'!$B22),-('Diário 8º PA'!$Q$5:$Q$2488=F$1),('Diário 8º PA'!$F$5:$F$2488))
+SUMPRODUCT(-('Comp.'!$D$5:$D$313='Analítico Cp.'!$B22),-('Comp.'!$R$5:$R$313=F$1),('Comp.'!$E$5:$E$313))</f>
        <v>0</v>
      </c>
      <c r="G22" s="185">
        <f>SUMPRODUCT(-('Diário 5º PA'!$E$5:$E$2634='Analítico Cp.'!$B22),-('Diário 5º PA'!$Q$5:$Q$2634=G$1),('Diário 5º PA'!$F$5:$F$2634))
+SUMPRODUCT(-('Diário 6º PA'!$E$5:$E$2246='Analítico Cp.'!$B22),-('Diário 6º PA'!$Q$5:$Q$2246=G$1),('Diário 6º PA'!$F$5:$F$2246))
+SUMPRODUCT(-('Diário 7º PA'!$E$5:$E$2271='Analítico Cp.'!$B22),-('Diário 7º PA'!$Q$5:$Q$2271=G$1),('Diário 7º PA'!$F$5:$F$2271))
+SUMPRODUCT(-('Diário 8º PA'!$E$5:$E$2488='Analítico Cp.'!$B22),-('Diário 8º PA'!$Q$5:$Q$2488=G$1),('Diário 8º PA'!$F$5:$F$2488))
+SUMPRODUCT(-('Comp.'!$D$5:$D$313='Analítico Cp.'!$B22),-('Comp.'!$R$5:$R$313=G$1),('Comp.'!$E$5:$E$313))</f>
        <v>0</v>
      </c>
      <c r="H22" s="185">
        <f>SUMPRODUCT(-('Diário 5º PA'!$E$5:$E$2634='Analítico Cp.'!$B22),-('Diário 5º PA'!$Q$5:$Q$2634=H$1),('Diário 5º PA'!$F$5:$F$2634))
+SUMPRODUCT(-('Diário 6º PA'!$E$5:$E$2246='Analítico Cp.'!$B22),-('Diário 6º PA'!$Q$5:$Q$2246=H$1),('Diário 6º PA'!$F$5:$F$2246))
+SUMPRODUCT(-('Diário 7º PA'!$E$5:$E$2271='Analítico Cp.'!$B22),-('Diário 7º PA'!$Q$5:$Q$2271=H$1),('Diário 7º PA'!$F$5:$F$2271))
+SUMPRODUCT(-('Diário 8º PA'!$E$5:$E$2488='Analítico Cp.'!$B22),-('Diário 8º PA'!$Q$5:$Q$2488=H$1),('Diário 8º PA'!$F$5:$F$2488))
+SUMPRODUCT(-('Comp.'!$D$5:$D$313='Analítico Cp.'!$B22),-('Comp.'!$R$5:$R$313=H$1),('Comp.'!$E$5:$E$313))</f>
        <v>0</v>
      </c>
      <c r="I22" s="185">
        <f>SUMPRODUCT(-('Diário 5º PA'!$E$5:$E$2634='Analítico Cp.'!$B22),-('Diário 5º PA'!$Q$5:$Q$2634=I$1),('Diário 5º PA'!$F$5:$F$2634))
+SUMPRODUCT(-('Diário 6º PA'!$E$5:$E$2246='Analítico Cp.'!$B22),-('Diário 6º PA'!$Q$5:$Q$2246=I$1),('Diário 6º PA'!$F$5:$F$2246))
+SUMPRODUCT(-('Diário 7º PA'!$E$5:$E$2271='Analítico Cp.'!$B22),-('Diário 7º PA'!$Q$5:$Q$2271=I$1),('Diário 7º PA'!$F$5:$F$2271))
+SUMPRODUCT(-('Diário 8º PA'!$E$5:$E$2488='Analítico Cp.'!$B22),-('Diário 8º PA'!$Q$5:$Q$2488=I$1),('Diário 8º PA'!$F$5:$F$2488))
+SUMPRODUCT(-('Comp.'!$D$5:$D$313='Analítico Cp.'!$B22),-('Comp.'!$R$5:$R$313=I$1),('Comp.'!$E$5:$E$313))</f>
        <v>0</v>
      </c>
      <c r="J22" s="185">
        <f>SUMPRODUCT(-('Diário 5º PA'!$E$5:$E$2634='Analítico Cp.'!$B22),-('Diário 5º PA'!$Q$5:$Q$2634=J$1),('Diário 5º PA'!$F$5:$F$2634))
+SUMPRODUCT(-('Diário 6º PA'!$E$5:$E$2246='Analítico Cp.'!$B22),-('Diário 6º PA'!$Q$5:$Q$2246=J$1),('Diário 6º PA'!$F$5:$F$2246))
+SUMPRODUCT(-('Diário 7º PA'!$E$5:$E$2271='Analítico Cp.'!$B22),-('Diário 7º PA'!$Q$5:$Q$2271=J$1),('Diário 7º PA'!$F$5:$F$2271))
+SUMPRODUCT(-('Diário 8º PA'!$E$5:$E$2488='Analítico Cp.'!$B22),-('Diário 8º PA'!$Q$5:$Q$2488=J$1),('Diário 8º PA'!$F$5:$F$2488))
+SUMPRODUCT(-('Comp.'!$D$5:$D$313='Analítico Cp.'!$B22),-('Comp.'!$R$5:$R$313=J$1),('Comp.'!$E$5:$E$313))</f>
        <v>0</v>
      </c>
      <c r="K22" s="185">
        <f>SUMPRODUCT(-('Diário 5º PA'!$E$5:$E$2634='Analítico Cp.'!$B22),-('Diário 5º PA'!$Q$5:$Q$2634=K$1),('Diário 5º PA'!$F$5:$F$2634))
+SUMPRODUCT(-('Diário 6º PA'!$E$5:$E$2246='Analítico Cp.'!$B22),-('Diário 6º PA'!$Q$5:$Q$2246=K$1),('Diário 6º PA'!$F$5:$F$2246))
+SUMPRODUCT(-('Diário 7º PA'!$E$5:$E$2271='Analítico Cp.'!$B22),-('Diário 7º PA'!$Q$5:$Q$2271=K$1),('Diário 7º PA'!$F$5:$F$2271))
+SUMPRODUCT(-('Diário 8º PA'!$E$5:$E$2488='Analítico Cp.'!$B22),-('Diário 8º PA'!$Q$5:$Q$2488=K$1),('Diário 8º PA'!$F$5:$F$2488))
+SUMPRODUCT(-('Comp.'!$D$5:$D$313='Analítico Cp.'!$B22),-('Comp.'!$R$5:$R$313=K$1),('Comp.'!$E$5:$E$313))</f>
        <v>0</v>
      </c>
      <c r="L22" s="185">
        <f>SUMPRODUCT(-('Diário 5º PA'!$E$5:$E$2634='Analítico Cp.'!$B22),-('Diário 5º PA'!$Q$5:$Q$2634=L$1),('Diário 5º PA'!$F$5:$F$2634))
+SUMPRODUCT(-('Diário 6º PA'!$E$5:$E$2246='Analítico Cp.'!$B22),-('Diário 6º PA'!$Q$5:$Q$2246=L$1),('Diário 6º PA'!$F$5:$F$2246))
+SUMPRODUCT(-('Diário 7º PA'!$E$5:$E$2271='Analítico Cp.'!$B22),-('Diário 7º PA'!$Q$5:$Q$2271=L$1),('Diário 7º PA'!$F$5:$F$2271))
+SUMPRODUCT(-('Diário 8º PA'!$E$5:$E$2488='Analítico Cp.'!$B22),-('Diário 8º PA'!$Q$5:$Q$2488=L$1),('Diário 8º PA'!$F$5:$F$2488))
+SUMPRODUCT(-('Comp.'!$D$5:$D$313='Analítico Cp.'!$B22),-('Comp.'!$R$5:$R$313=L$1),('Comp.'!$E$5:$E$313))</f>
        <v>0</v>
      </c>
      <c r="M22" s="185">
        <f>SUMPRODUCT(-('Diário 5º PA'!$E$5:$E$2634='Analítico Cp.'!$B22),-('Diário 5º PA'!$Q$5:$Q$2634=M$1),('Diário 5º PA'!$F$5:$F$2634))
+SUMPRODUCT(-('Diário 6º PA'!$E$5:$E$2246='Analítico Cp.'!$B22),-('Diário 6º PA'!$Q$5:$Q$2246=M$1),('Diário 6º PA'!$F$5:$F$2246))
+SUMPRODUCT(-('Diário 7º PA'!$E$5:$E$2271='Analítico Cp.'!$B22),-('Diário 7º PA'!$Q$5:$Q$2271=M$1),('Diário 7º PA'!$F$5:$F$2271))
+SUMPRODUCT(-('Diário 8º PA'!$E$5:$E$2488='Analítico Cp.'!$B22),-('Diário 8º PA'!$Q$5:$Q$2488=M$1),('Diário 8º PA'!$F$5:$F$2488))
+SUMPRODUCT(-('Comp.'!$D$5:$D$313='Analítico Cp.'!$B22),-('Comp.'!$R$5:$R$313=M$1),('Comp.'!$E$5:$E$313))</f>
        <v>0</v>
      </c>
      <c r="N22" s="185">
        <f>SUMPRODUCT(-('Diário 5º PA'!$E$5:$E$2634='Analítico Cp.'!$B22),-('Diário 5º PA'!$Q$5:$Q$2634=N$1),('Diário 5º PA'!$F$5:$F$2634))
+SUMPRODUCT(-('Diário 6º PA'!$E$5:$E$2246='Analítico Cp.'!$B22),-('Diário 6º PA'!$Q$5:$Q$2246=N$1),('Diário 6º PA'!$F$5:$F$2246))
+SUMPRODUCT(-('Diário 7º PA'!$E$5:$E$2271='Analítico Cp.'!$B22),-('Diário 7º PA'!$Q$5:$Q$2271=N$1),('Diário 7º PA'!$F$5:$F$2271))
+SUMPRODUCT(-('Diário 8º PA'!$E$5:$E$2488='Analítico Cp.'!$B22),-('Diário 8º PA'!$Q$5:$Q$2488=N$1),('Diário 8º PA'!$F$5:$F$2488))
+SUMPRODUCT(-('Comp.'!$D$5:$D$313='Analítico Cp.'!$B22),-('Comp.'!$R$5:$R$313=N$1),('Comp.'!$E$5:$E$313))</f>
        <v>0</v>
      </c>
      <c r="O22" s="186">
        <f t="shared" si="3"/>
        <v>0</v>
      </c>
      <c r="P22" s="187">
        <f t="shared" si="4"/>
        <v>0</v>
      </c>
      <c r="Q22" s="34"/>
      <c r="R22" s="34"/>
      <c r="S22" s="34"/>
      <c r="T22" s="34"/>
      <c r="U22" s="34"/>
      <c r="V22" s="34"/>
      <c r="W22" s="34"/>
      <c r="X22" s="34"/>
      <c r="Y22" s="34"/>
      <c r="Z22" s="34"/>
    </row>
    <row r="23" spans="1:26" ht="23.25" customHeight="1" x14ac:dyDescent="0.2">
      <c r="A23" s="203" t="s">
        <v>156</v>
      </c>
      <c r="B23" s="204" t="s">
        <v>157</v>
      </c>
      <c r="C23" s="185">
        <f>SUMPRODUCT(-('Diário 5º PA'!$E$5:$E$2634='Analítico Cp.'!$B23),-('Diário 5º PA'!$Q$5:$Q$2634=C$1),('Diário 5º PA'!$F$5:$F$2634))
+SUMPRODUCT(-('Diário 6º PA'!$E$5:$E$2246='Analítico Cp.'!$B23),-('Diário 6º PA'!$Q$5:$Q$2246=C$1),('Diário 6º PA'!$F$5:$F$2246))
+SUMPRODUCT(-('Diário 7º PA'!$E$5:$E$2271='Analítico Cp.'!$B23),-('Diário 7º PA'!$Q$5:$Q$2271=C$1),('Diário 7º PA'!$F$5:$F$2271))
+SUMPRODUCT(-('Diário 8º PA'!$E$5:$E$2488='Analítico Cp.'!$B23),-('Diário 8º PA'!$Q$5:$Q$2488=C$1),('Diário 8º PA'!$F$5:$F$2488))
+SUMPRODUCT(-('Comp.'!$D$5:$D$313='Analítico Cp.'!$B23),-('Comp.'!$R$5:$R$313=C$1),('Comp.'!$E$5:$E$313))</f>
        <v>0</v>
      </c>
      <c r="D23" s="185">
        <f>SUMPRODUCT(-('Diário 5º PA'!$E$5:$E$2634='Analítico Cp.'!$B23),-('Diário 5º PA'!$Q$5:$Q$2634=D$1),('Diário 5º PA'!$F$5:$F$2634))
+SUMPRODUCT(-('Diário 6º PA'!$E$5:$E$2246='Analítico Cp.'!$B23),-('Diário 6º PA'!$Q$5:$Q$2246=D$1),('Diário 6º PA'!$F$5:$F$2246))
+SUMPRODUCT(-('Diário 7º PA'!$E$5:$E$2271='Analítico Cp.'!$B23),-('Diário 7º PA'!$Q$5:$Q$2271=D$1),('Diário 7º PA'!$F$5:$F$2271))
+SUMPRODUCT(-('Diário 8º PA'!$E$5:$E$2488='Analítico Cp.'!$B23),-('Diário 8º PA'!$Q$5:$Q$2488=D$1),('Diário 8º PA'!$F$5:$F$2488))
+SUMPRODUCT(-('Comp.'!$D$5:$D$313='Analítico Cp.'!$B23),-('Comp.'!$R$5:$R$313=D$1),('Comp.'!$E$5:$E$313))</f>
        <v>0</v>
      </c>
      <c r="E23" s="185">
        <f>SUMPRODUCT(-('Diário 5º PA'!$E$5:$E$2634='Analítico Cp.'!$B23),-('Diário 5º PA'!$Q$5:$Q$2634=E$1),('Diário 5º PA'!$F$5:$F$2634))
+SUMPRODUCT(-('Diário 6º PA'!$E$5:$E$2246='Analítico Cp.'!$B23),-('Diário 6º PA'!$Q$5:$Q$2246=E$1),('Diário 6º PA'!$F$5:$F$2246))
+SUMPRODUCT(-('Diário 7º PA'!$E$5:$E$2271='Analítico Cp.'!$B23),-('Diário 7º PA'!$Q$5:$Q$2271=E$1),('Diário 7º PA'!$F$5:$F$2271))
+SUMPRODUCT(-('Diário 8º PA'!$E$5:$E$2488='Analítico Cp.'!$B23),-('Diário 8º PA'!$Q$5:$Q$2488=E$1),('Diário 8º PA'!$F$5:$F$2488))
+SUMPRODUCT(-('Comp.'!$D$5:$D$313='Analítico Cp.'!$B23),-('Comp.'!$R$5:$R$313=E$1),('Comp.'!$E$5:$E$313))</f>
        <v>0</v>
      </c>
      <c r="F23" s="185">
        <f>SUMPRODUCT(-('Diário 5º PA'!$E$5:$E$2634='Analítico Cp.'!$B23),-('Diário 5º PA'!$Q$5:$Q$2634=F$1),('Diário 5º PA'!$F$5:$F$2634))
+SUMPRODUCT(-('Diário 6º PA'!$E$5:$E$2246='Analítico Cp.'!$B23),-('Diário 6º PA'!$Q$5:$Q$2246=F$1),('Diário 6º PA'!$F$5:$F$2246))
+SUMPRODUCT(-('Diário 7º PA'!$E$5:$E$2271='Analítico Cp.'!$B23),-('Diário 7º PA'!$Q$5:$Q$2271=F$1),('Diário 7º PA'!$F$5:$F$2271))
+SUMPRODUCT(-('Diário 8º PA'!$E$5:$E$2488='Analítico Cp.'!$B23),-('Diário 8º PA'!$Q$5:$Q$2488=F$1),('Diário 8º PA'!$F$5:$F$2488))
+SUMPRODUCT(-('Comp.'!$D$5:$D$313='Analítico Cp.'!$B23),-('Comp.'!$R$5:$R$313=F$1),('Comp.'!$E$5:$E$313))</f>
        <v>0</v>
      </c>
      <c r="G23" s="185">
        <f>SUMPRODUCT(-('Diário 5º PA'!$E$5:$E$2634='Analítico Cp.'!$B23),-('Diário 5º PA'!$Q$5:$Q$2634=G$1),('Diário 5º PA'!$F$5:$F$2634))
+SUMPRODUCT(-('Diário 6º PA'!$E$5:$E$2246='Analítico Cp.'!$B23),-('Diário 6º PA'!$Q$5:$Q$2246=G$1),('Diário 6º PA'!$F$5:$F$2246))
+SUMPRODUCT(-('Diário 7º PA'!$E$5:$E$2271='Analítico Cp.'!$B23),-('Diário 7º PA'!$Q$5:$Q$2271=G$1),('Diário 7º PA'!$F$5:$F$2271))
+SUMPRODUCT(-('Diário 8º PA'!$E$5:$E$2488='Analítico Cp.'!$B23),-('Diário 8º PA'!$Q$5:$Q$2488=G$1),('Diário 8º PA'!$F$5:$F$2488))
+SUMPRODUCT(-('Comp.'!$D$5:$D$313='Analítico Cp.'!$B23),-('Comp.'!$R$5:$R$313=G$1),('Comp.'!$E$5:$E$313))</f>
        <v>0</v>
      </c>
      <c r="H23" s="185">
        <f>SUMPRODUCT(-('Diário 5º PA'!$E$5:$E$2634='Analítico Cp.'!$B23),-('Diário 5º PA'!$Q$5:$Q$2634=H$1),('Diário 5º PA'!$F$5:$F$2634))
+SUMPRODUCT(-('Diário 6º PA'!$E$5:$E$2246='Analítico Cp.'!$B23),-('Diário 6º PA'!$Q$5:$Q$2246=H$1),('Diário 6º PA'!$F$5:$F$2246))
+SUMPRODUCT(-('Diário 7º PA'!$E$5:$E$2271='Analítico Cp.'!$B23),-('Diário 7º PA'!$Q$5:$Q$2271=H$1),('Diário 7º PA'!$F$5:$F$2271))
+SUMPRODUCT(-('Diário 8º PA'!$E$5:$E$2488='Analítico Cp.'!$B23),-('Diário 8º PA'!$Q$5:$Q$2488=H$1),('Diário 8º PA'!$F$5:$F$2488))
+SUMPRODUCT(-('Comp.'!$D$5:$D$313='Analítico Cp.'!$B23),-('Comp.'!$R$5:$R$313=H$1),('Comp.'!$E$5:$E$313))</f>
        <v>0</v>
      </c>
      <c r="I23" s="185">
        <f>SUMPRODUCT(-('Diário 5º PA'!$E$5:$E$2634='Analítico Cp.'!$B23),-('Diário 5º PA'!$Q$5:$Q$2634=I$1),('Diário 5º PA'!$F$5:$F$2634))
+SUMPRODUCT(-('Diário 6º PA'!$E$5:$E$2246='Analítico Cp.'!$B23),-('Diário 6º PA'!$Q$5:$Q$2246=I$1),('Diário 6º PA'!$F$5:$F$2246))
+SUMPRODUCT(-('Diário 7º PA'!$E$5:$E$2271='Analítico Cp.'!$B23),-('Diário 7º PA'!$Q$5:$Q$2271=I$1),('Diário 7º PA'!$F$5:$F$2271))
+SUMPRODUCT(-('Diário 8º PA'!$E$5:$E$2488='Analítico Cp.'!$B23),-('Diário 8º PA'!$Q$5:$Q$2488=I$1),('Diário 8º PA'!$F$5:$F$2488))
+SUMPRODUCT(-('Comp.'!$D$5:$D$313='Analítico Cp.'!$B23),-('Comp.'!$R$5:$R$313=I$1),('Comp.'!$E$5:$E$313))</f>
        <v>0</v>
      </c>
      <c r="J23" s="185">
        <f>SUMPRODUCT(-('Diário 5º PA'!$E$5:$E$2634='Analítico Cp.'!$B23),-('Diário 5º PA'!$Q$5:$Q$2634=J$1),('Diário 5º PA'!$F$5:$F$2634))
+SUMPRODUCT(-('Diário 6º PA'!$E$5:$E$2246='Analítico Cp.'!$B23),-('Diário 6º PA'!$Q$5:$Q$2246=J$1),('Diário 6º PA'!$F$5:$F$2246))
+SUMPRODUCT(-('Diário 7º PA'!$E$5:$E$2271='Analítico Cp.'!$B23),-('Diário 7º PA'!$Q$5:$Q$2271=J$1),('Diário 7º PA'!$F$5:$F$2271))
+SUMPRODUCT(-('Diário 8º PA'!$E$5:$E$2488='Analítico Cp.'!$B23),-('Diário 8º PA'!$Q$5:$Q$2488=J$1),('Diário 8º PA'!$F$5:$F$2488))
+SUMPRODUCT(-('Comp.'!$D$5:$D$313='Analítico Cp.'!$B23),-('Comp.'!$R$5:$R$313=J$1),('Comp.'!$E$5:$E$313))</f>
        <v>0</v>
      </c>
      <c r="K23" s="185">
        <f>SUMPRODUCT(-('Diário 5º PA'!$E$5:$E$2634='Analítico Cp.'!$B23),-('Diário 5º PA'!$Q$5:$Q$2634=K$1),('Diário 5º PA'!$F$5:$F$2634))
+SUMPRODUCT(-('Diário 6º PA'!$E$5:$E$2246='Analítico Cp.'!$B23),-('Diário 6º PA'!$Q$5:$Q$2246=K$1),('Diário 6º PA'!$F$5:$F$2246))
+SUMPRODUCT(-('Diário 7º PA'!$E$5:$E$2271='Analítico Cp.'!$B23),-('Diário 7º PA'!$Q$5:$Q$2271=K$1),('Diário 7º PA'!$F$5:$F$2271))
+SUMPRODUCT(-('Diário 8º PA'!$E$5:$E$2488='Analítico Cp.'!$B23),-('Diário 8º PA'!$Q$5:$Q$2488=K$1),('Diário 8º PA'!$F$5:$F$2488))
+SUMPRODUCT(-('Comp.'!$D$5:$D$313='Analítico Cp.'!$B23),-('Comp.'!$R$5:$R$313=K$1),('Comp.'!$E$5:$E$313))</f>
        <v>0</v>
      </c>
      <c r="L23" s="185">
        <f>SUMPRODUCT(-('Diário 5º PA'!$E$5:$E$2634='Analítico Cp.'!$B23),-('Diário 5º PA'!$Q$5:$Q$2634=L$1),('Diário 5º PA'!$F$5:$F$2634))
+SUMPRODUCT(-('Diário 6º PA'!$E$5:$E$2246='Analítico Cp.'!$B23),-('Diário 6º PA'!$Q$5:$Q$2246=L$1),('Diário 6º PA'!$F$5:$F$2246))
+SUMPRODUCT(-('Diário 7º PA'!$E$5:$E$2271='Analítico Cp.'!$B23),-('Diário 7º PA'!$Q$5:$Q$2271=L$1),('Diário 7º PA'!$F$5:$F$2271))
+SUMPRODUCT(-('Diário 8º PA'!$E$5:$E$2488='Analítico Cp.'!$B23),-('Diário 8º PA'!$Q$5:$Q$2488=L$1),('Diário 8º PA'!$F$5:$F$2488))
+SUMPRODUCT(-('Comp.'!$D$5:$D$313='Analítico Cp.'!$B23),-('Comp.'!$R$5:$R$313=L$1),('Comp.'!$E$5:$E$313))</f>
        <v>0</v>
      </c>
      <c r="M23" s="185">
        <f>SUMPRODUCT(-('Diário 5º PA'!$E$5:$E$2634='Analítico Cp.'!$B23),-('Diário 5º PA'!$Q$5:$Q$2634=M$1),('Diário 5º PA'!$F$5:$F$2634))
+SUMPRODUCT(-('Diário 6º PA'!$E$5:$E$2246='Analítico Cp.'!$B23),-('Diário 6º PA'!$Q$5:$Q$2246=M$1),('Diário 6º PA'!$F$5:$F$2246))
+SUMPRODUCT(-('Diário 7º PA'!$E$5:$E$2271='Analítico Cp.'!$B23),-('Diário 7º PA'!$Q$5:$Q$2271=M$1),('Diário 7º PA'!$F$5:$F$2271))
+SUMPRODUCT(-('Diário 8º PA'!$E$5:$E$2488='Analítico Cp.'!$B23),-('Diário 8º PA'!$Q$5:$Q$2488=M$1),('Diário 8º PA'!$F$5:$F$2488))
+SUMPRODUCT(-('Comp.'!$D$5:$D$313='Analítico Cp.'!$B23),-('Comp.'!$R$5:$R$313=M$1),('Comp.'!$E$5:$E$313))</f>
        <v>0</v>
      </c>
      <c r="N23" s="185">
        <f>SUMPRODUCT(-('Diário 5º PA'!$E$5:$E$2634='Analítico Cp.'!$B23),-('Diário 5º PA'!$Q$5:$Q$2634=N$1),('Diário 5º PA'!$F$5:$F$2634))
+SUMPRODUCT(-('Diário 6º PA'!$E$5:$E$2246='Analítico Cp.'!$B23),-('Diário 6º PA'!$Q$5:$Q$2246=N$1),('Diário 6º PA'!$F$5:$F$2246))
+SUMPRODUCT(-('Diário 7º PA'!$E$5:$E$2271='Analítico Cp.'!$B23),-('Diário 7º PA'!$Q$5:$Q$2271=N$1),('Diário 7º PA'!$F$5:$F$2271))
+SUMPRODUCT(-('Diário 8º PA'!$E$5:$E$2488='Analítico Cp.'!$B23),-('Diário 8º PA'!$Q$5:$Q$2488=N$1),('Diário 8º PA'!$F$5:$F$2488))
+SUMPRODUCT(-('Comp.'!$D$5:$D$313='Analítico Cp.'!$B23),-('Comp.'!$R$5:$R$313=N$1),('Comp.'!$E$5:$E$313))</f>
        <v>0</v>
      </c>
      <c r="O23" s="186">
        <f t="shared" si="3"/>
        <v>0</v>
      </c>
      <c r="P23" s="187">
        <f t="shared" si="4"/>
        <v>0</v>
      </c>
      <c r="Q23" s="34"/>
      <c r="R23" s="34"/>
      <c r="S23" s="34"/>
      <c r="T23" s="34"/>
      <c r="U23" s="34"/>
      <c r="V23" s="34"/>
      <c r="W23" s="34"/>
      <c r="X23" s="34"/>
      <c r="Y23" s="34"/>
      <c r="Z23" s="34"/>
    </row>
    <row r="24" spans="1:26" ht="23.25" customHeight="1" x14ac:dyDescent="0.2">
      <c r="A24" s="203" t="s">
        <v>158</v>
      </c>
      <c r="B24" s="204" t="s">
        <v>159</v>
      </c>
      <c r="C24" s="185">
        <f>SUMPRODUCT(-('Diário 5º PA'!$E$5:$E$2634='Analítico Cp.'!$B24),-('Diário 5º PA'!$Q$5:$Q$2634=C$1),('Diário 5º PA'!$F$5:$F$2634))
+SUMPRODUCT(-('Diário 6º PA'!$E$5:$E$2246='Analítico Cp.'!$B24),-('Diário 6º PA'!$Q$5:$Q$2246=C$1),('Diário 6º PA'!$F$5:$F$2246))
+SUMPRODUCT(-('Diário 7º PA'!$E$5:$E$2271='Analítico Cp.'!$B24),-('Diário 7º PA'!$Q$5:$Q$2271=C$1),('Diário 7º PA'!$F$5:$F$2271))
+SUMPRODUCT(-('Diário 8º PA'!$E$5:$E$2488='Analítico Cp.'!$B24),-('Diário 8º PA'!$Q$5:$Q$2488=C$1),('Diário 8º PA'!$F$5:$F$2488))
+SUMPRODUCT(-('Comp.'!$D$5:$D$313='Analítico Cp.'!$B24),-('Comp.'!$R$5:$R$313=C$1),('Comp.'!$E$5:$E$313))</f>
        <v>0</v>
      </c>
      <c r="D24" s="185">
        <f>SUMPRODUCT(-('Diário 5º PA'!$E$5:$E$2634='Analítico Cp.'!$B24),-('Diário 5º PA'!$Q$5:$Q$2634=D$1),('Diário 5º PA'!$F$5:$F$2634))
+SUMPRODUCT(-('Diário 6º PA'!$E$5:$E$2246='Analítico Cp.'!$B24),-('Diário 6º PA'!$Q$5:$Q$2246=D$1),('Diário 6º PA'!$F$5:$F$2246))
+SUMPRODUCT(-('Diário 7º PA'!$E$5:$E$2271='Analítico Cp.'!$B24),-('Diário 7º PA'!$Q$5:$Q$2271=D$1),('Diário 7º PA'!$F$5:$F$2271))
+SUMPRODUCT(-('Diário 8º PA'!$E$5:$E$2488='Analítico Cp.'!$B24),-('Diário 8º PA'!$Q$5:$Q$2488=D$1),('Diário 8º PA'!$F$5:$F$2488))
+SUMPRODUCT(-('Comp.'!$D$5:$D$313='Analítico Cp.'!$B24),-('Comp.'!$R$5:$R$313=D$1),('Comp.'!$E$5:$E$313))</f>
        <v>0</v>
      </c>
      <c r="E24" s="185">
        <f>SUMPRODUCT(-('Diário 5º PA'!$E$5:$E$2634='Analítico Cp.'!$B24),-('Diário 5º PA'!$Q$5:$Q$2634=E$1),('Diário 5º PA'!$F$5:$F$2634))
+SUMPRODUCT(-('Diário 6º PA'!$E$5:$E$2246='Analítico Cp.'!$B24),-('Diário 6º PA'!$Q$5:$Q$2246=E$1),('Diário 6º PA'!$F$5:$F$2246))
+SUMPRODUCT(-('Diário 7º PA'!$E$5:$E$2271='Analítico Cp.'!$B24),-('Diário 7º PA'!$Q$5:$Q$2271=E$1),('Diário 7º PA'!$F$5:$F$2271))
+SUMPRODUCT(-('Diário 8º PA'!$E$5:$E$2488='Analítico Cp.'!$B24),-('Diário 8º PA'!$Q$5:$Q$2488=E$1),('Diário 8º PA'!$F$5:$F$2488))
+SUMPRODUCT(-('Comp.'!$D$5:$D$313='Analítico Cp.'!$B24),-('Comp.'!$R$5:$R$313=E$1),('Comp.'!$E$5:$E$313))</f>
        <v>0</v>
      </c>
      <c r="F24" s="185">
        <f>SUMPRODUCT(-('Diário 5º PA'!$E$5:$E$2634='Analítico Cp.'!$B24),-('Diário 5º PA'!$Q$5:$Q$2634=F$1),('Diário 5º PA'!$F$5:$F$2634))
+SUMPRODUCT(-('Diário 6º PA'!$E$5:$E$2246='Analítico Cp.'!$B24),-('Diário 6º PA'!$Q$5:$Q$2246=F$1),('Diário 6º PA'!$F$5:$F$2246))
+SUMPRODUCT(-('Diário 7º PA'!$E$5:$E$2271='Analítico Cp.'!$B24),-('Diário 7º PA'!$Q$5:$Q$2271=F$1),('Diário 7º PA'!$F$5:$F$2271))
+SUMPRODUCT(-('Diário 8º PA'!$E$5:$E$2488='Analítico Cp.'!$B24),-('Diário 8º PA'!$Q$5:$Q$2488=F$1),('Diário 8º PA'!$F$5:$F$2488))
+SUMPRODUCT(-('Comp.'!$D$5:$D$313='Analítico Cp.'!$B24),-('Comp.'!$R$5:$R$313=F$1),('Comp.'!$E$5:$E$313))</f>
        <v>0</v>
      </c>
      <c r="G24" s="185">
        <f>SUMPRODUCT(-('Diário 5º PA'!$E$5:$E$2634='Analítico Cp.'!$B24),-('Diário 5º PA'!$Q$5:$Q$2634=G$1),('Diário 5º PA'!$F$5:$F$2634))
+SUMPRODUCT(-('Diário 6º PA'!$E$5:$E$2246='Analítico Cp.'!$B24),-('Diário 6º PA'!$Q$5:$Q$2246=G$1),('Diário 6º PA'!$F$5:$F$2246))
+SUMPRODUCT(-('Diário 7º PA'!$E$5:$E$2271='Analítico Cp.'!$B24),-('Diário 7º PA'!$Q$5:$Q$2271=G$1),('Diário 7º PA'!$F$5:$F$2271))
+SUMPRODUCT(-('Diário 8º PA'!$E$5:$E$2488='Analítico Cp.'!$B24),-('Diário 8º PA'!$Q$5:$Q$2488=G$1),('Diário 8º PA'!$F$5:$F$2488))
+SUMPRODUCT(-('Comp.'!$D$5:$D$313='Analítico Cp.'!$B24),-('Comp.'!$R$5:$R$313=G$1),('Comp.'!$E$5:$E$313))</f>
        <v>0</v>
      </c>
      <c r="H24" s="185">
        <f>SUMPRODUCT(-('Diário 5º PA'!$E$5:$E$2634='Analítico Cp.'!$B24),-('Diário 5º PA'!$Q$5:$Q$2634=H$1),('Diário 5º PA'!$F$5:$F$2634))
+SUMPRODUCT(-('Diário 6º PA'!$E$5:$E$2246='Analítico Cp.'!$B24),-('Diário 6º PA'!$Q$5:$Q$2246=H$1),('Diário 6º PA'!$F$5:$F$2246))
+SUMPRODUCT(-('Diário 7º PA'!$E$5:$E$2271='Analítico Cp.'!$B24),-('Diário 7º PA'!$Q$5:$Q$2271=H$1),('Diário 7º PA'!$F$5:$F$2271))
+SUMPRODUCT(-('Diário 8º PA'!$E$5:$E$2488='Analítico Cp.'!$B24),-('Diário 8º PA'!$Q$5:$Q$2488=H$1),('Diário 8º PA'!$F$5:$F$2488))
+SUMPRODUCT(-('Comp.'!$D$5:$D$313='Analítico Cp.'!$B24),-('Comp.'!$R$5:$R$313=H$1),('Comp.'!$E$5:$E$313))</f>
        <v>0</v>
      </c>
      <c r="I24" s="185">
        <f>SUMPRODUCT(-('Diário 5º PA'!$E$5:$E$2634='Analítico Cp.'!$B24),-('Diário 5º PA'!$Q$5:$Q$2634=I$1),('Diário 5º PA'!$F$5:$F$2634))
+SUMPRODUCT(-('Diário 6º PA'!$E$5:$E$2246='Analítico Cp.'!$B24),-('Diário 6º PA'!$Q$5:$Q$2246=I$1),('Diário 6º PA'!$F$5:$F$2246))
+SUMPRODUCT(-('Diário 7º PA'!$E$5:$E$2271='Analítico Cp.'!$B24),-('Diário 7º PA'!$Q$5:$Q$2271=I$1),('Diário 7º PA'!$F$5:$F$2271))
+SUMPRODUCT(-('Diário 8º PA'!$E$5:$E$2488='Analítico Cp.'!$B24),-('Diário 8º PA'!$Q$5:$Q$2488=I$1),('Diário 8º PA'!$F$5:$F$2488))
+SUMPRODUCT(-('Comp.'!$D$5:$D$313='Analítico Cp.'!$B24),-('Comp.'!$R$5:$R$313=I$1),('Comp.'!$E$5:$E$313))</f>
        <v>0</v>
      </c>
      <c r="J24" s="185">
        <f>SUMPRODUCT(-('Diário 5º PA'!$E$5:$E$2634='Analítico Cp.'!$B24),-('Diário 5º PA'!$Q$5:$Q$2634=J$1),('Diário 5º PA'!$F$5:$F$2634))
+SUMPRODUCT(-('Diário 6º PA'!$E$5:$E$2246='Analítico Cp.'!$B24),-('Diário 6º PA'!$Q$5:$Q$2246=J$1),('Diário 6º PA'!$F$5:$F$2246))
+SUMPRODUCT(-('Diário 7º PA'!$E$5:$E$2271='Analítico Cp.'!$B24),-('Diário 7º PA'!$Q$5:$Q$2271=J$1),('Diário 7º PA'!$F$5:$F$2271))
+SUMPRODUCT(-('Diário 8º PA'!$E$5:$E$2488='Analítico Cp.'!$B24),-('Diário 8º PA'!$Q$5:$Q$2488=J$1),('Diário 8º PA'!$F$5:$F$2488))
+SUMPRODUCT(-('Comp.'!$D$5:$D$313='Analítico Cp.'!$B24),-('Comp.'!$R$5:$R$313=J$1),('Comp.'!$E$5:$E$313))</f>
        <v>0</v>
      </c>
      <c r="K24" s="185">
        <f>SUMPRODUCT(-('Diário 5º PA'!$E$5:$E$2634='Analítico Cp.'!$B24),-('Diário 5º PA'!$Q$5:$Q$2634=K$1),('Diário 5º PA'!$F$5:$F$2634))
+SUMPRODUCT(-('Diário 6º PA'!$E$5:$E$2246='Analítico Cp.'!$B24),-('Diário 6º PA'!$Q$5:$Q$2246=K$1),('Diário 6º PA'!$F$5:$F$2246))
+SUMPRODUCT(-('Diário 7º PA'!$E$5:$E$2271='Analítico Cp.'!$B24),-('Diário 7º PA'!$Q$5:$Q$2271=K$1),('Diário 7º PA'!$F$5:$F$2271))
+SUMPRODUCT(-('Diário 8º PA'!$E$5:$E$2488='Analítico Cp.'!$B24),-('Diário 8º PA'!$Q$5:$Q$2488=K$1),('Diário 8º PA'!$F$5:$F$2488))
+SUMPRODUCT(-('Comp.'!$D$5:$D$313='Analítico Cp.'!$B24),-('Comp.'!$R$5:$R$313=K$1),('Comp.'!$E$5:$E$313))</f>
        <v>0</v>
      </c>
      <c r="L24" s="185">
        <f>SUMPRODUCT(-('Diário 5º PA'!$E$5:$E$2634='Analítico Cp.'!$B24),-('Diário 5º PA'!$Q$5:$Q$2634=L$1),('Diário 5º PA'!$F$5:$F$2634))
+SUMPRODUCT(-('Diário 6º PA'!$E$5:$E$2246='Analítico Cp.'!$B24),-('Diário 6º PA'!$Q$5:$Q$2246=L$1),('Diário 6º PA'!$F$5:$F$2246))
+SUMPRODUCT(-('Diário 7º PA'!$E$5:$E$2271='Analítico Cp.'!$B24),-('Diário 7º PA'!$Q$5:$Q$2271=L$1),('Diário 7º PA'!$F$5:$F$2271))
+SUMPRODUCT(-('Diário 8º PA'!$E$5:$E$2488='Analítico Cp.'!$B24),-('Diário 8º PA'!$Q$5:$Q$2488=L$1),('Diário 8º PA'!$F$5:$F$2488))
+SUMPRODUCT(-('Comp.'!$D$5:$D$313='Analítico Cp.'!$B24),-('Comp.'!$R$5:$R$313=L$1),('Comp.'!$E$5:$E$313))</f>
        <v>0</v>
      </c>
      <c r="M24" s="185">
        <f>SUMPRODUCT(-('Diário 5º PA'!$E$5:$E$2634='Analítico Cp.'!$B24),-('Diário 5º PA'!$Q$5:$Q$2634=M$1),('Diário 5º PA'!$F$5:$F$2634))
+SUMPRODUCT(-('Diário 6º PA'!$E$5:$E$2246='Analítico Cp.'!$B24),-('Diário 6º PA'!$Q$5:$Q$2246=M$1),('Diário 6º PA'!$F$5:$F$2246))
+SUMPRODUCT(-('Diário 7º PA'!$E$5:$E$2271='Analítico Cp.'!$B24),-('Diário 7º PA'!$Q$5:$Q$2271=M$1),('Diário 7º PA'!$F$5:$F$2271))
+SUMPRODUCT(-('Diário 8º PA'!$E$5:$E$2488='Analítico Cp.'!$B24),-('Diário 8º PA'!$Q$5:$Q$2488=M$1),('Diário 8º PA'!$F$5:$F$2488))
+SUMPRODUCT(-('Comp.'!$D$5:$D$313='Analítico Cp.'!$B24),-('Comp.'!$R$5:$R$313=M$1),('Comp.'!$E$5:$E$313))</f>
        <v>0</v>
      </c>
      <c r="N24" s="185">
        <f>SUMPRODUCT(-('Diário 5º PA'!$E$5:$E$2634='Analítico Cp.'!$B24),-('Diário 5º PA'!$Q$5:$Q$2634=N$1),('Diário 5º PA'!$F$5:$F$2634))
+SUMPRODUCT(-('Diário 6º PA'!$E$5:$E$2246='Analítico Cp.'!$B24),-('Diário 6º PA'!$Q$5:$Q$2246=N$1),('Diário 6º PA'!$F$5:$F$2246))
+SUMPRODUCT(-('Diário 7º PA'!$E$5:$E$2271='Analítico Cp.'!$B24),-('Diário 7º PA'!$Q$5:$Q$2271=N$1),('Diário 7º PA'!$F$5:$F$2271))
+SUMPRODUCT(-('Diário 8º PA'!$E$5:$E$2488='Analítico Cp.'!$B24),-('Diário 8º PA'!$Q$5:$Q$2488=N$1),('Diário 8º PA'!$F$5:$F$2488))
+SUMPRODUCT(-('Comp.'!$D$5:$D$313='Analítico Cp.'!$B24),-('Comp.'!$R$5:$R$313=N$1),('Comp.'!$E$5:$E$313))</f>
        <v>0</v>
      </c>
      <c r="O24" s="186">
        <f t="shared" si="3"/>
        <v>0</v>
      </c>
      <c r="P24" s="187">
        <f t="shared" si="4"/>
        <v>0</v>
      </c>
      <c r="Q24" s="34"/>
      <c r="R24" s="34"/>
      <c r="S24" s="34"/>
      <c r="T24" s="34"/>
      <c r="U24" s="34"/>
      <c r="V24" s="34"/>
      <c r="W24" s="34"/>
      <c r="X24" s="34"/>
      <c r="Y24" s="34"/>
      <c r="Z24" s="34"/>
    </row>
    <row r="25" spans="1:26" ht="23.25" customHeight="1" x14ac:dyDescent="0.2">
      <c r="A25" s="205"/>
      <c r="B25" s="206" t="s">
        <v>160</v>
      </c>
      <c r="C25" s="207">
        <f t="shared" ref="C25:O25" si="5">SUBTOTAL(109,C20:C24)</f>
        <v>64889.54</v>
      </c>
      <c r="D25" s="207">
        <f t="shared" si="5"/>
        <v>80949.789999999994</v>
      </c>
      <c r="E25" s="207">
        <f t="shared" si="5"/>
        <v>81215.559999999983</v>
      </c>
      <c r="F25" s="207">
        <f t="shared" si="5"/>
        <v>79743.62</v>
      </c>
      <c r="G25" s="207">
        <f t="shared" si="5"/>
        <v>82285.289999999994</v>
      </c>
      <c r="H25" s="207">
        <f t="shared" si="5"/>
        <v>86174.99</v>
      </c>
      <c r="I25" s="207">
        <f t="shared" si="5"/>
        <v>115844.59000000008</v>
      </c>
      <c r="J25" s="207">
        <f t="shared" si="5"/>
        <v>157051.48000000007</v>
      </c>
      <c r="K25" s="207">
        <f t="shared" si="5"/>
        <v>159017.69000000003</v>
      </c>
      <c r="L25" s="207">
        <f t="shared" si="5"/>
        <v>186292.10000000006</v>
      </c>
      <c r="M25" s="207">
        <f t="shared" si="5"/>
        <v>210719.53000000003</v>
      </c>
      <c r="N25" s="207">
        <f t="shared" si="5"/>
        <v>192276.21</v>
      </c>
      <c r="O25" s="207">
        <f t="shared" si="5"/>
        <v>1496460.3900000001</v>
      </c>
      <c r="P25" s="208">
        <f t="shared" si="4"/>
        <v>0.15435413912590082</v>
      </c>
      <c r="Q25" s="34"/>
      <c r="R25" s="34"/>
      <c r="S25" s="34"/>
      <c r="T25" s="34"/>
      <c r="U25" s="34"/>
      <c r="V25" s="34"/>
      <c r="W25" s="34"/>
      <c r="X25" s="34"/>
      <c r="Y25" s="34"/>
      <c r="Z25" s="34"/>
    </row>
    <row r="26" spans="1:26" ht="23.25" customHeight="1" x14ac:dyDescent="0.2">
      <c r="A26" s="209" t="s">
        <v>91</v>
      </c>
      <c r="B26" s="210" t="s">
        <v>92</v>
      </c>
      <c r="C26" s="211"/>
      <c r="D26" s="211"/>
      <c r="E26" s="211"/>
      <c r="F26" s="211"/>
      <c r="G26" s="211"/>
      <c r="H26" s="211"/>
      <c r="I26" s="211"/>
      <c r="J26" s="211"/>
      <c r="K26" s="211"/>
      <c r="L26" s="211"/>
      <c r="M26" s="211"/>
      <c r="N26" s="211"/>
      <c r="O26" s="211"/>
      <c r="P26" s="212"/>
      <c r="Q26" s="213"/>
      <c r="R26" s="213"/>
      <c r="S26" s="213"/>
      <c r="T26" s="213"/>
      <c r="U26" s="213"/>
      <c r="V26" s="213"/>
      <c r="W26" s="213"/>
      <c r="X26" s="213"/>
      <c r="Y26" s="213"/>
      <c r="Z26" s="213"/>
    </row>
    <row r="27" spans="1:26" ht="23.25" customHeight="1" x14ac:dyDescent="0.2">
      <c r="A27" s="203" t="s">
        <v>161</v>
      </c>
      <c r="B27" s="72" t="s">
        <v>162</v>
      </c>
      <c r="C27" s="185">
        <f>SUMPRODUCT(-('Diário 5º PA'!$E$5:$E$2634='Analítico Cp.'!$B27),-('Diário 5º PA'!$Q$5:$Q$2634=C$1),('Diário 5º PA'!$F$5:$F$2634))
+SUMPRODUCT(-('Diário 6º PA'!$E$5:$E$2246='Analítico Cp.'!$B27),-('Diário 6º PA'!$Q$5:$Q$2246=C$1),('Diário 6º PA'!$F$5:$F$2246))
+SUMPRODUCT(-('Diário 7º PA'!$E$5:$E$2271='Analítico Cp.'!$B27),-('Diário 7º PA'!$Q$5:$Q$2271=C$1),('Diário 7º PA'!$F$5:$F$2271))
+SUMPRODUCT(-('Diário 8º PA'!$E$5:$E$2488='Analítico Cp.'!$B27),-('Diário 8º PA'!$Q$5:$Q$2488=C$1),('Diário 8º PA'!$F$5:$F$2488))
+SUMPRODUCT(-('Comp.'!$D$5:$D$313='Analítico Cp.'!$B27),-('Comp.'!$R$5:$R$313=C$1),('Comp.'!$E$5:$E$313))</f>
        <v>0</v>
      </c>
      <c r="D27" s="185">
        <f>SUMPRODUCT(-('Diário 5º PA'!$E$5:$E$2634='Analítico Cp.'!$B27),-('Diário 5º PA'!$Q$5:$Q$2634=D$1),('Diário 5º PA'!$F$5:$F$2634))
+SUMPRODUCT(-('Diário 6º PA'!$E$5:$E$2246='Analítico Cp.'!$B27),-('Diário 6º PA'!$Q$5:$Q$2246=D$1),('Diário 6º PA'!$F$5:$F$2246))
+SUMPRODUCT(-('Diário 7º PA'!$E$5:$E$2271='Analítico Cp.'!$B27),-('Diário 7º PA'!$Q$5:$Q$2271=D$1),('Diário 7º PA'!$F$5:$F$2271))
+SUMPRODUCT(-('Diário 8º PA'!$E$5:$E$2488='Analítico Cp.'!$B27),-('Diário 8º PA'!$Q$5:$Q$2488=D$1),('Diário 8º PA'!$F$5:$F$2488))
+SUMPRODUCT(-('Comp.'!$D$5:$D$313='Analítico Cp.'!$B27),-('Comp.'!$R$5:$R$313=D$1),('Comp.'!$E$5:$E$313))</f>
        <v>0</v>
      </c>
      <c r="E27" s="185">
        <f>SUMPRODUCT(-('Diário 5º PA'!$E$5:$E$2634='Analítico Cp.'!$B27),-('Diário 5º PA'!$Q$5:$Q$2634=E$1),('Diário 5º PA'!$F$5:$F$2634))
+SUMPRODUCT(-('Diário 6º PA'!$E$5:$E$2246='Analítico Cp.'!$B27),-('Diário 6º PA'!$Q$5:$Q$2246=E$1),('Diário 6º PA'!$F$5:$F$2246))
+SUMPRODUCT(-('Diário 7º PA'!$E$5:$E$2271='Analítico Cp.'!$B27),-('Diário 7º PA'!$Q$5:$Q$2271=E$1),('Diário 7º PA'!$F$5:$F$2271))
+SUMPRODUCT(-('Diário 8º PA'!$E$5:$E$2488='Analítico Cp.'!$B27),-('Diário 8º PA'!$Q$5:$Q$2488=E$1),('Diário 8º PA'!$F$5:$F$2488))
+SUMPRODUCT(-('Comp.'!$D$5:$D$313='Analítico Cp.'!$B27),-('Comp.'!$R$5:$R$313=E$1),('Comp.'!$E$5:$E$313))</f>
        <v>0</v>
      </c>
      <c r="F27" s="185">
        <f>SUMPRODUCT(-('Diário 5º PA'!$E$5:$E$2634='Analítico Cp.'!$B27),-('Diário 5º PA'!$Q$5:$Q$2634=F$1),('Diário 5º PA'!$F$5:$F$2634))
+SUMPRODUCT(-('Diário 6º PA'!$E$5:$E$2246='Analítico Cp.'!$B27),-('Diário 6º PA'!$Q$5:$Q$2246=F$1),('Diário 6º PA'!$F$5:$F$2246))
+SUMPRODUCT(-('Diário 7º PA'!$E$5:$E$2271='Analítico Cp.'!$B27),-('Diário 7º PA'!$Q$5:$Q$2271=F$1),('Diário 7º PA'!$F$5:$F$2271))
+SUMPRODUCT(-('Diário 8º PA'!$E$5:$E$2488='Analítico Cp.'!$B27),-('Diário 8º PA'!$Q$5:$Q$2488=F$1),('Diário 8º PA'!$F$5:$F$2488))
+SUMPRODUCT(-('Comp.'!$D$5:$D$313='Analítico Cp.'!$B27),-('Comp.'!$R$5:$R$313=F$1),('Comp.'!$E$5:$E$313))</f>
        <v>0</v>
      </c>
      <c r="G27" s="185">
        <f>SUMPRODUCT(-('Diário 5º PA'!$E$5:$E$2634='Analítico Cp.'!$B27),-('Diário 5º PA'!$Q$5:$Q$2634=G$1),('Diário 5º PA'!$F$5:$F$2634))
+SUMPRODUCT(-('Diário 6º PA'!$E$5:$E$2246='Analítico Cp.'!$B27),-('Diário 6º PA'!$Q$5:$Q$2246=G$1),('Diário 6º PA'!$F$5:$F$2246))
+SUMPRODUCT(-('Diário 7º PA'!$E$5:$E$2271='Analítico Cp.'!$B27),-('Diário 7º PA'!$Q$5:$Q$2271=G$1),('Diário 7º PA'!$F$5:$F$2271))
+SUMPRODUCT(-('Diário 8º PA'!$E$5:$E$2488='Analítico Cp.'!$B27),-('Diário 8º PA'!$Q$5:$Q$2488=G$1),('Diário 8º PA'!$F$5:$F$2488))
+SUMPRODUCT(-('Comp.'!$D$5:$D$313='Analítico Cp.'!$B27),-('Comp.'!$R$5:$R$313=G$1),('Comp.'!$E$5:$E$313))</f>
        <v>0</v>
      </c>
      <c r="H27" s="185">
        <f>SUMPRODUCT(-('Diário 5º PA'!$E$5:$E$2634='Analítico Cp.'!$B27),-('Diário 5º PA'!$Q$5:$Q$2634=H$1),('Diário 5º PA'!$F$5:$F$2634))
+SUMPRODUCT(-('Diário 6º PA'!$E$5:$E$2246='Analítico Cp.'!$B27),-('Diário 6º PA'!$Q$5:$Q$2246=H$1),('Diário 6º PA'!$F$5:$F$2246))
+SUMPRODUCT(-('Diário 7º PA'!$E$5:$E$2271='Analítico Cp.'!$B27),-('Diário 7º PA'!$Q$5:$Q$2271=H$1),('Diário 7º PA'!$F$5:$F$2271))
+SUMPRODUCT(-('Diário 8º PA'!$E$5:$E$2488='Analítico Cp.'!$B27),-('Diário 8º PA'!$Q$5:$Q$2488=H$1),('Diário 8º PA'!$F$5:$F$2488))
+SUMPRODUCT(-('Comp.'!$D$5:$D$313='Analítico Cp.'!$B27),-('Comp.'!$R$5:$R$313=H$1),('Comp.'!$E$5:$E$313))</f>
        <v>0</v>
      </c>
      <c r="I27" s="185">
        <f>SUMPRODUCT(-('Diário 5º PA'!$E$5:$E$2634='Analítico Cp.'!$B27),-('Diário 5º PA'!$Q$5:$Q$2634=I$1),('Diário 5º PA'!$F$5:$F$2634))
+SUMPRODUCT(-('Diário 6º PA'!$E$5:$E$2246='Analítico Cp.'!$B27),-('Diário 6º PA'!$Q$5:$Q$2246=I$1),('Diário 6º PA'!$F$5:$F$2246))
+SUMPRODUCT(-('Diário 7º PA'!$E$5:$E$2271='Analítico Cp.'!$B27),-('Diário 7º PA'!$Q$5:$Q$2271=I$1),('Diário 7º PA'!$F$5:$F$2271))
+SUMPRODUCT(-('Diário 8º PA'!$E$5:$E$2488='Analítico Cp.'!$B27),-('Diário 8º PA'!$Q$5:$Q$2488=I$1),('Diário 8º PA'!$F$5:$F$2488))
+SUMPRODUCT(-('Comp.'!$D$5:$D$313='Analítico Cp.'!$B27),-('Comp.'!$R$5:$R$313=I$1),('Comp.'!$E$5:$E$313))</f>
        <v>0</v>
      </c>
      <c r="J27" s="185">
        <f>SUMPRODUCT(-('Diário 5º PA'!$E$5:$E$2634='Analítico Cp.'!$B27),-('Diário 5º PA'!$Q$5:$Q$2634=J$1),('Diário 5º PA'!$F$5:$F$2634))
+SUMPRODUCT(-('Diário 6º PA'!$E$5:$E$2246='Analítico Cp.'!$B27),-('Diário 6º PA'!$Q$5:$Q$2246=J$1),('Diário 6º PA'!$F$5:$F$2246))
+SUMPRODUCT(-('Diário 7º PA'!$E$5:$E$2271='Analítico Cp.'!$B27),-('Diário 7º PA'!$Q$5:$Q$2271=J$1),('Diário 7º PA'!$F$5:$F$2271))
+SUMPRODUCT(-('Diário 8º PA'!$E$5:$E$2488='Analítico Cp.'!$B27),-('Diário 8º PA'!$Q$5:$Q$2488=J$1),('Diário 8º PA'!$F$5:$F$2488))
+SUMPRODUCT(-('Comp.'!$D$5:$D$313='Analítico Cp.'!$B27),-('Comp.'!$R$5:$R$313=J$1),('Comp.'!$E$5:$E$313))</f>
        <v>0</v>
      </c>
      <c r="K27" s="185">
        <f>SUMPRODUCT(-('Diário 5º PA'!$E$5:$E$2634='Analítico Cp.'!$B27),-('Diário 5º PA'!$Q$5:$Q$2634=K$1),('Diário 5º PA'!$F$5:$F$2634))
+SUMPRODUCT(-('Diário 6º PA'!$E$5:$E$2246='Analítico Cp.'!$B27),-('Diário 6º PA'!$Q$5:$Q$2246=K$1),('Diário 6º PA'!$F$5:$F$2246))
+SUMPRODUCT(-('Diário 7º PA'!$E$5:$E$2271='Analítico Cp.'!$B27),-('Diário 7º PA'!$Q$5:$Q$2271=K$1),('Diário 7º PA'!$F$5:$F$2271))
+SUMPRODUCT(-('Diário 8º PA'!$E$5:$E$2488='Analítico Cp.'!$B27),-('Diário 8º PA'!$Q$5:$Q$2488=K$1),('Diário 8º PA'!$F$5:$F$2488))
+SUMPRODUCT(-('Comp.'!$D$5:$D$313='Analítico Cp.'!$B27),-('Comp.'!$R$5:$R$313=K$1),('Comp.'!$E$5:$E$313))</f>
        <v>0</v>
      </c>
      <c r="L27" s="185">
        <f>SUMPRODUCT(-('Diário 5º PA'!$E$5:$E$2634='Analítico Cp.'!$B27),-('Diário 5º PA'!$Q$5:$Q$2634=L$1),('Diário 5º PA'!$F$5:$F$2634))
+SUMPRODUCT(-('Diário 6º PA'!$E$5:$E$2246='Analítico Cp.'!$B27),-('Diário 6º PA'!$Q$5:$Q$2246=L$1),('Diário 6º PA'!$F$5:$F$2246))
+SUMPRODUCT(-('Diário 7º PA'!$E$5:$E$2271='Analítico Cp.'!$B27),-('Diário 7º PA'!$Q$5:$Q$2271=L$1),('Diário 7º PA'!$F$5:$F$2271))
+SUMPRODUCT(-('Diário 8º PA'!$E$5:$E$2488='Analítico Cp.'!$B27),-('Diário 8º PA'!$Q$5:$Q$2488=L$1),('Diário 8º PA'!$F$5:$F$2488))
+SUMPRODUCT(-('Comp.'!$D$5:$D$313='Analítico Cp.'!$B27),-('Comp.'!$R$5:$R$313=L$1),('Comp.'!$E$5:$E$313))</f>
        <v>0</v>
      </c>
      <c r="M27" s="185">
        <f>SUMPRODUCT(-('Diário 5º PA'!$E$5:$E$2634='Analítico Cp.'!$B27),-('Diário 5º PA'!$Q$5:$Q$2634=M$1),('Diário 5º PA'!$F$5:$F$2634))
+SUMPRODUCT(-('Diário 6º PA'!$E$5:$E$2246='Analítico Cp.'!$B27),-('Diário 6º PA'!$Q$5:$Q$2246=M$1),('Diário 6º PA'!$F$5:$F$2246))
+SUMPRODUCT(-('Diário 7º PA'!$E$5:$E$2271='Analítico Cp.'!$B27),-('Diário 7º PA'!$Q$5:$Q$2271=M$1),('Diário 7º PA'!$F$5:$F$2271))
+SUMPRODUCT(-('Diário 8º PA'!$E$5:$E$2488='Analítico Cp.'!$B27),-('Diário 8º PA'!$Q$5:$Q$2488=M$1),('Diário 8º PA'!$F$5:$F$2488))
+SUMPRODUCT(-('Comp.'!$D$5:$D$313='Analítico Cp.'!$B27),-('Comp.'!$R$5:$R$313=M$1),('Comp.'!$E$5:$E$313))</f>
        <v>0</v>
      </c>
      <c r="N27" s="185">
        <f>SUMPRODUCT(-('Diário 5º PA'!$E$5:$E$2634='Analítico Cp.'!$B27),-('Diário 5º PA'!$Q$5:$Q$2634=N$1),('Diário 5º PA'!$F$5:$F$2634))
+SUMPRODUCT(-('Diário 6º PA'!$E$5:$E$2246='Analítico Cp.'!$B27),-('Diário 6º PA'!$Q$5:$Q$2246=N$1),('Diário 6º PA'!$F$5:$F$2246))
+SUMPRODUCT(-('Diário 7º PA'!$E$5:$E$2271='Analítico Cp.'!$B27),-('Diário 7º PA'!$Q$5:$Q$2271=N$1),('Diário 7º PA'!$F$5:$F$2271))
+SUMPRODUCT(-('Diário 8º PA'!$E$5:$E$2488='Analítico Cp.'!$B27),-('Diário 8º PA'!$Q$5:$Q$2488=N$1),('Diário 8º PA'!$F$5:$F$2488))
+SUMPRODUCT(-('Comp.'!$D$5:$D$313='Analítico Cp.'!$B27),-('Comp.'!$R$5:$R$313=N$1),('Comp.'!$E$5:$E$313))</f>
        <v>0</v>
      </c>
      <c r="O27" s="186">
        <f t="shared" ref="O27:O28" si="6">SUM(C27:N27)</f>
        <v>0</v>
      </c>
      <c r="P27" s="187">
        <f t="shared" ref="P27:P29" si="7">IF($O$163=0,0,O27/$O$163)</f>
        <v>0</v>
      </c>
      <c r="Q27" s="34"/>
      <c r="R27" s="34"/>
      <c r="S27" s="34"/>
      <c r="T27" s="34"/>
      <c r="U27" s="34"/>
      <c r="V27" s="34"/>
      <c r="W27" s="34"/>
      <c r="X27" s="34"/>
      <c r="Y27" s="34"/>
      <c r="Z27" s="34"/>
    </row>
    <row r="28" spans="1:26" ht="23.25" customHeight="1" x14ac:dyDescent="0.2">
      <c r="A28" s="203" t="s">
        <v>163</v>
      </c>
      <c r="B28" s="72" t="s">
        <v>164</v>
      </c>
      <c r="C28" s="185">
        <f>SUMPRODUCT(-('Diário 5º PA'!$E$5:$E$2634='Analítico Cp.'!$B28),-('Diário 5º PA'!$Q$5:$Q$2634=C$1),('Diário 5º PA'!$F$5:$F$2634))
+SUMPRODUCT(-('Diário 6º PA'!$E$5:$E$2246='Analítico Cp.'!$B28),-('Diário 6º PA'!$Q$5:$Q$2246=C$1),('Diário 6º PA'!$F$5:$F$2246))
+SUMPRODUCT(-('Diário 7º PA'!$E$5:$E$2271='Analítico Cp.'!$B28),-('Diário 7º PA'!$Q$5:$Q$2271=C$1),('Diário 7º PA'!$F$5:$F$2271))
+SUMPRODUCT(-('Diário 8º PA'!$E$5:$E$2488='Analítico Cp.'!$B28),-('Diário 8º PA'!$Q$5:$Q$2488=C$1),('Diário 8º PA'!$F$5:$F$2488))
+SUMPRODUCT(-('Comp.'!$D$5:$D$313='Analítico Cp.'!$B28),-('Comp.'!$R$5:$R$313=C$1),('Comp.'!$E$5:$E$313))</f>
        <v>0</v>
      </c>
      <c r="D28" s="185">
        <f>SUMPRODUCT(-('Diário 5º PA'!$E$5:$E$2634='Analítico Cp.'!$B28),-('Diário 5º PA'!$Q$5:$Q$2634=D$1),('Diário 5º PA'!$F$5:$F$2634))
+SUMPRODUCT(-('Diário 6º PA'!$E$5:$E$2246='Analítico Cp.'!$B28),-('Diário 6º PA'!$Q$5:$Q$2246=D$1),('Diário 6º PA'!$F$5:$F$2246))
+SUMPRODUCT(-('Diário 7º PA'!$E$5:$E$2271='Analítico Cp.'!$B28),-('Diário 7º PA'!$Q$5:$Q$2271=D$1),('Diário 7º PA'!$F$5:$F$2271))
+SUMPRODUCT(-('Diário 8º PA'!$E$5:$E$2488='Analítico Cp.'!$B28),-('Diário 8º PA'!$Q$5:$Q$2488=D$1),('Diário 8º PA'!$F$5:$F$2488))
+SUMPRODUCT(-('Comp.'!$D$5:$D$313='Analítico Cp.'!$B28),-('Comp.'!$R$5:$R$313=D$1),('Comp.'!$E$5:$E$313))</f>
        <v>0</v>
      </c>
      <c r="E28" s="185">
        <f>SUMPRODUCT(-('Diário 5º PA'!$E$5:$E$2634='Analítico Cp.'!$B28),-('Diário 5º PA'!$Q$5:$Q$2634=E$1),('Diário 5º PA'!$F$5:$F$2634))
+SUMPRODUCT(-('Diário 6º PA'!$E$5:$E$2246='Analítico Cp.'!$B28),-('Diário 6º PA'!$Q$5:$Q$2246=E$1),('Diário 6º PA'!$F$5:$F$2246))
+SUMPRODUCT(-('Diário 7º PA'!$E$5:$E$2271='Analítico Cp.'!$B28),-('Diário 7º PA'!$Q$5:$Q$2271=E$1),('Diário 7º PA'!$F$5:$F$2271))
+SUMPRODUCT(-('Diário 8º PA'!$E$5:$E$2488='Analítico Cp.'!$B28),-('Diário 8º PA'!$Q$5:$Q$2488=E$1),('Diário 8º PA'!$F$5:$F$2488))
+SUMPRODUCT(-('Comp.'!$D$5:$D$313='Analítico Cp.'!$B28),-('Comp.'!$R$5:$R$313=E$1),('Comp.'!$E$5:$E$313))</f>
        <v>0</v>
      </c>
      <c r="F28" s="185">
        <f>SUMPRODUCT(-('Diário 5º PA'!$E$5:$E$2634='Analítico Cp.'!$B28),-('Diário 5º PA'!$Q$5:$Q$2634=F$1),('Diário 5º PA'!$F$5:$F$2634))
+SUMPRODUCT(-('Diário 6º PA'!$E$5:$E$2246='Analítico Cp.'!$B28),-('Diário 6º PA'!$Q$5:$Q$2246=F$1),('Diário 6º PA'!$F$5:$F$2246))
+SUMPRODUCT(-('Diário 7º PA'!$E$5:$E$2271='Analítico Cp.'!$B28),-('Diário 7º PA'!$Q$5:$Q$2271=F$1),('Diário 7º PA'!$F$5:$F$2271))
+SUMPRODUCT(-('Diário 8º PA'!$E$5:$E$2488='Analítico Cp.'!$B28),-('Diário 8º PA'!$Q$5:$Q$2488=F$1),('Diário 8º PA'!$F$5:$F$2488))
+SUMPRODUCT(-('Comp.'!$D$5:$D$313='Analítico Cp.'!$B28),-('Comp.'!$R$5:$R$313=F$1),('Comp.'!$E$5:$E$313))</f>
        <v>0</v>
      </c>
      <c r="G28" s="185">
        <f>SUMPRODUCT(-('Diário 5º PA'!$E$5:$E$2634='Analítico Cp.'!$B28),-('Diário 5º PA'!$Q$5:$Q$2634=G$1),('Diário 5º PA'!$F$5:$F$2634))
+SUMPRODUCT(-('Diário 6º PA'!$E$5:$E$2246='Analítico Cp.'!$B28),-('Diário 6º PA'!$Q$5:$Q$2246=G$1),('Diário 6º PA'!$F$5:$F$2246))
+SUMPRODUCT(-('Diário 7º PA'!$E$5:$E$2271='Analítico Cp.'!$B28),-('Diário 7º PA'!$Q$5:$Q$2271=G$1),('Diário 7º PA'!$F$5:$F$2271))
+SUMPRODUCT(-('Diário 8º PA'!$E$5:$E$2488='Analítico Cp.'!$B28),-('Diário 8º PA'!$Q$5:$Q$2488=G$1),('Diário 8º PA'!$F$5:$F$2488))
+SUMPRODUCT(-('Comp.'!$D$5:$D$313='Analítico Cp.'!$B28),-('Comp.'!$R$5:$R$313=G$1),('Comp.'!$E$5:$E$313))</f>
        <v>0</v>
      </c>
      <c r="H28" s="185">
        <f>SUMPRODUCT(-('Diário 5º PA'!$E$5:$E$2634='Analítico Cp.'!$B28),-('Diário 5º PA'!$Q$5:$Q$2634=H$1),('Diário 5º PA'!$F$5:$F$2634))
+SUMPRODUCT(-('Diário 6º PA'!$E$5:$E$2246='Analítico Cp.'!$B28),-('Diário 6º PA'!$Q$5:$Q$2246=H$1),('Diário 6º PA'!$F$5:$F$2246))
+SUMPRODUCT(-('Diário 7º PA'!$E$5:$E$2271='Analítico Cp.'!$B28),-('Diário 7º PA'!$Q$5:$Q$2271=H$1),('Diário 7º PA'!$F$5:$F$2271))
+SUMPRODUCT(-('Diário 8º PA'!$E$5:$E$2488='Analítico Cp.'!$B28),-('Diário 8º PA'!$Q$5:$Q$2488=H$1),('Diário 8º PA'!$F$5:$F$2488))
+SUMPRODUCT(-('Comp.'!$D$5:$D$313='Analítico Cp.'!$B28),-('Comp.'!$R$5:$R$313=H$1),('Comp.'!$E$5:$E$313))</f>
        <v>0</v>
      </c>
      <c r="I28" s="185">
        <f>SUMPRODUCT(-('Diário 5º PA'!$E$5:$E$2634='Analítico Cp.'!$B28),-('Diário 5º PA'!$Q$5:$Q$2634=I$1),('Diário 5º PA'!$F$5:$F$2634))
+SUMPRODUCT(-('Diário 6º PA'!$E$5:$E$2246='Analítico Cp.'!$B28),-('Diário 6º PA'!$Q$5:$Q$2246=I$1),('Diário 6º PA'!$F$5:$F$2246))
+SUMPRODUCT(-('Diário 7º PA'!$E$5:$E$2271='Analítico Cp.'!$B28),-('Diário 7º PA'!$Q$5:$Q$2271=I$1),('Diário 7º PA'!$F$5:$F$2271))
+SUMPRODUCT(-('Diário 8º PA'!$E$5:$E$2488='Analítico Cp.'!$B28),-('Diário 8º PA'!$Q$5:$Q$2488=I$1),('Diário 8º PA'!$F$5:$F$2488))
+SUMPRODUCT(-('Comp.'!$D$5:$D$313='Analítico Cp.'!$B28),-('Comp.'!$R$5:$R$313=I$1),('Comp.'!$E$5:$E$313))</f>
        <v>0</v>
      </c>
      <c r="J28" s="185">
        <f>SUMPRODUCT(-('Diário 5º PA'!$E$5:$E$2634='Analítico Cp.'!$B28),-('Diário 5º PA'!$Q$5:$Q$2634=J$1),('Diário 5º PA'!$F$5:$F$2634))
+SUMPRODUCT(-('Diário 6º PA'!$E$5:$E$2246='Analítico Cp.'!$B28),-('Diário 6º PA'!$Q$5:$Q$2246=J$1),('Diário 6º PA'!$F$5:$F$2246))
+SUMPRODUCT(-('Diário 7º PA'!$E$5:$E$2271='Analítico Cp.'!$B28),-('Diário 7º PA'!$Q$5:$Q$2271=J$1),('Diário 7º PA'!$F$5:$F$2271))
+SUMPRODUCT(-('Diário 8º PA'!$E$5:$E$2488='Analítico Cp.'!$B28),-('Diário 8º PA'!$Q$5:$Q$2488=J$1),('Diário 8º PA'!$F$5:$F$2488))
+SUMPRODUCT(-('Comp.'!$D$5:$D$313='Analítico Cp.'!$B28),-('Comp.'!$R$5:$R$313=J$1),('Comp.'!$E$5:$E$313))</f>
        <v>0</v>
      </c>
      <c r="K28" s="185">
        <f>SUMPRODUCT(-('Diário 5º PA'!$E$5:$E$2634='Analítico Cp.'!$B28),-('Diário 5º PA'!$Q$5:$Q$2634=K$1),('Diário 5º PA'!$F$5:$F$2634))
+SUMPRODUCT(-('Diário 6º PA'!$E$5:$E$2246='Analítico Cp.'!$B28),-('Diário 6º PA'!$Q$5:$Q$2246=K$1),('Diário 6º PA'!$F$5:$F$2246))
+SUMPRODUCT(-('Diário 7º PA'!$E$5:$E$2271='Analítico Cp.'!$B28),-('Diário 7º PA'!$Q$5:$Q$2271=K$1),('Diário 7º PA'!$F$5:$F$2271))
+SUMPRODUCT(-('Diário 8º PA'!$E$5:$E$2488='Analítico Cp.'!$B28),-('Diário 8º PA'!$Q$5:$Q$2488=K$1),('Diário 8º PA'!$F$5:$F$2488))
+SUMPRODUCT(-('Comp.'!$D$5:$D$313='Analítico Cp.'!$B28),-('Comp.'!$R$5:$R$313=K$1),('Comp.'!$E$5:$E$313))</f>
        <v>0</v>
      </c>
      <c r="L28" s="185">
        <f>SUMPRODUCT(-('Diário 5º PA'!$E$5:$E$2634='Analítico Cp.'!$B28),-('Diário 5º PA'!$Q$5:$Q$2634=L$1),('Diário 5º PA'!$F$5:$F$2634))
+SUMPRODUCT(-('Diário 6º PA'!$E$5:$E$2246='Analítico Cp.'!$B28),-('Diário 6º PA'!$Q$5:$Q$2246=L$1),('Diário 6º PA'!$F$5:$F$2246))
+SUMPRODUCT(-('Diário 7º PA'!$E$5:$E$2271='Analítico Cp.'!$B28),-('Diário 7º PA'!$Q$5:$Q$2271=L$1),('Diário 7º PA'!$F$5:$F$2271))
+SUMPRODUCT(-('Diário 8º PA'!$E$5:$E$2488='Analítico Cp.'!$B28),-('Diário 8º PA'!$Q$5:$Q$2488=L$1),('Diário 8º PA'!$F$5:$F$2488))
+SUMPRODUCT(-('Comp.'!$D$5:$D$313='Analítico Cp.'!$B28),-('Comp.'!$R$5:$R$313=L$1),('Comp.'!$E$5:$E$313))</f>
        <v>0</v>
      </c>
      <c r="M28" s="185">
        <f>SUMPRODUCT(-('Diário 5º PA'!$E$5:$E$2634='Analítico Cp.'!$B28),-('Diário 5º PA'!$Q$5:$Q$2634=M$1),('Diário 5º PA'!$F$5:$F$2634))
+SUMPRODUCT(-('Diário 6º PA'!$E$5:$E$2246='Analítico Cp.'!$B28),-('Diário 6º PA'!$Q$5:$Q$2246=M$1),('Diário 6º PA'!$F$5:$F$2246))
+SUMPRODUCT(-('Diário 7º PA'!$E$5:$E$2271='Analítico Cp.'!$B28),-('Diário 7º PA'!$Q$5:$Q$2271=M$1),('Diário 7º PA'!$F$5:$F$2271))
+SUMPRODUCT(-('Diário 8º PA'!$E$5:$E$2488='Analítico Cp.'!$B28),-('Diário 8º PA'!$Q$5:$Q$2488=M$1),('Diário 8º PA'!$F$5:$F$2488))
+SUMPRODUCT(-('Comp.'!$D$5:$D$313='Analítico Cp.'!$B28),-('Comp.'!$R$5:$R$313=M$1),('Comp.'!$E$5:$E$313))</f>
        <v>0</v>
      </c>
      <c r="N28" s="185">
        <f>SUMPRODUCT(-('Diário 5º PA'!$E$5:$E$2634='Analítico Cp.'!$B28),-('Diário 5º PA'!$Q$5:$Q$2634=N$1),('Diário 5º PA'!$F$5:$F$2634))
+SUMPRODUCT(-('Diário 6º PA'!$E$5:$E$2246='Analítico Cp.'!$B28),-('Diário 6º PA'!$Q$5:$Q$2246=N$1),('Diário 6º PA'!$F$5:$F$2246))
+SUMPRODUCT(-('Diário 7º PA'!$E$5:$E$2271='Analítico Cp.'!$B28),-('Diário 7º PA'!$Q$5:$Q$2271=N$1),('Diário 7º PA'!$F$5:$F$2271))
+SUMPRODUCT(-('Diário 8º PA'!$E$5:$E$2488='Analítico Cp.'!$B28),-('Diário 8º PA'!$Q$5:$Q$2488=N$1),('Diário 8º PA'!$F$5:$F$2488))
+SUMPRODUCT(-('Comp.'!$D$5:$D$313='Analítico Cp.'!$B28),-('Comp.'!$R$5:$R$313=N$1),('Comp.'!$E$5:$E$313))</f>
        <v>0</v>
      </c>
      <c r="O28" s="186">
        <f t="shared" si="6"/>
        <v>0</v>
      </c>
      <c r="P28" s="187">
        <f t="shared" si="7"/>
        <v>0</v>
      </c>
      <c r="Q28" s="34"/>
      <c r="R28" s="34"/>
      <c r="S28" s="34"/>
      <c r="T28" s="34"/>
      <c r="U28" s="34"/>
      <c r="V28" s="34"/>
      <c r="W28" s="34"/>
      <c r="X28" s="34"/>
      <c r="Y28" s="34"/>
      <c r="Z28" s="34"/>
    </row>
    <row r="29" spans="1:26" ht="23.25" customHeight="1" x14ac:dyDescent="0.2">
      <c r="A29" s="205"/>
      <c r="B29" s="206" t="s">
        <v>165</v>
      </c>
      <c r="C29" s="207">
        <f t="shared" ref="C29:O29" si="8">SUBTOTAL(109,C27:C28)</f>
        <v>0</v>
      </c>
      <c r="D29" s="207">
        <f t="shared" si="8"/>
        <v>0</v>
      </c>
      <c r="E29" s="207">
        <f t="shared" si="8"/>
        <v>0</v>
      </c>
      <c r="F29" s="207">
        <f t="shared" si="8"/>
        <v>0</v>
      </c>
      <c r="G29" s="207">
        <f t="shared" si="8"/>
        <v>0</v>
      </c>
      <c r="H29" s="207">
        <f t="shared" si="8"/>
        <v>0</v>
      </c>
      <c r="I29" s="207">
        <f t="shared" si="8"/>
        <v>0</v>
      </c>
      <c r="J29" s="207">
        <f t="shared" si="8"/>
        <v>0</v>
      </c>
      <c r="K29" s="207">
        <f t="shared" si="8"/>
        <v>0</v>
      </c>
      <c r="L29" s="207">
        <f t="shared" si="8"/>
        <v>0</v>
      </c>
      <c r="M29" s="207">
        <f t="shared" si="8"/>
        <v>0</v>
      </c>
      <c r="N29" s="207">
        <f t="shared" si="8"/>
        <v>0</v>
      </c>
      <c r="O29" s="207">
        <f t="shared" si="8"/>
        <v>0</v>
      </c>
      <c r="P29" s="208">
        <f t="shared" si="7"/>
        <v>0</v>
      </c>
      <c r="Q29" s="34"/>
      <c r="R29" s="34"/>
      <c r="S29" s="34"/>
      <c r="T29" s="34"/>
      <c r="U29" s="34"/>
      <c r="V29" s="34"/>
      <c r="W29" s="34"/>
      <c r="X29" s="34"/>
      <c r="Y29" s="34"/>
      <c r="Z29" s="34"/>
    </row>
    <row r="30" spans="1:26" ht="23.25" customHeight="1" x14ac:dyDescent="0.2">
      <c r="A30" s="181" t="s">
        <v>93</v>
      </c>
      <c r="B30" s="201" t="s">
        <v>94</v>
      </c>
      <c r="C30" s="211"/>
      <c r="D30" s="211"/>
      <c r="E30" s="211"/>
      <c r="F30" s="211"/>
      <c r="G30" s="211"/>
      <c r="H30" s="211"/>
      <c r="I30" s="211"/>
      <c r="J30" s="211"/>
      <c r="K30" s="211"/>
      <c r="L30" s="211"/>
      <c r="M30" s="211"/>
      <c r="N30" s="211"/>
      <c r="O30" s="211"/>
      <c r="P30" s="212"/>
      <c r="Q30" s="34"/>
      <c r="R30" s="34"/>
      <c r="S30" s="34"/>
      <c r="T30" s="34"/>
      <c r="U30" s="34"/>
      <c r="V30" s="34"/>
      <c r="W30" s="34"/>
      <c r="X30" s="34"/>
      <c r="Y30" s="34"/>
      <c r="Z30" s="34"/>
    </row>
    <row r="31" spans="1:26" ht="23.25" customHeight="1" x14ac:dyDescent="0.2">
      <c r="A31" s="203" t="s">
        <v>166</v>
      </c>
      <c r="B31" s="72" t="s">
        <v>167</v>
      </c>
      <c r="C31" s="185">
        <f>'Prov. Pessoal'!C10-'Prov. Pessoal'!C20</f>
        <v>24059.07</v>
      </c>
      <c r="D31" s="185">
        <f>'Prov. Pessoal'!D10-'Prov. Pessoal'!D20</f>
        <v>22863.152599999998</v>
      </c>
      <c r="E31" s="185">
        <f>'Prov. Pessoal'!E10-'Prov. Pessoal'!E20</f>
        <v>22598.71</v>
      </c>
      <c r="F31" s="185">
        <f>'Prov. Pessoal'!F10-'Prov. Pessoal'!F20</f>
        <v>22690.79</v>
      </c>
      <c r="G31" s="185">
        <f>'Prov. Pessoal'!G10-'Prov. Pessoal'!G20</f>
        <v>22459.73</v>
      </c>
      <c r="H31" s="185">
        <f>'Prov. Pessoal'!H10-'Prov. Pessoal'!H20</f>
        <v>22763.200000000001</v>
      </c>
      <c r="I31" s="185">
        <f>'Prov. Pessoal'!I10-'Prov. Pessoal'!I20</f>
        <v>31633.410749999985</v>
      </c>
      <c r="J31" s="185">
        <f>'Prov. Pessoal'!J10-'Prov. Pessoal'!J20</f>
        <v>41129.050000000003</v>
      </c>
      <c r="K31" s="185">
        <f>'Prov. Pessoal'!K10-'Prov. Pessoal'!K20</f>
        <v>41994.244350000001</v>
      </c>
      <c r="L31" s="185">
        <f>'Prov. Pessoal'!L10-'Prov. Pessoal'!L20</f>
        <v>48754.239999999998</v>
      </c>
      <c r="M31" s="185">
        <f>'Prov. Pessoal'!M10-'Prov. Pessoal'!M20</f>
        <v>55980.629399999998</v>
      </c>
      <c r="N31" s="185">
        <f>'Prov. Pessoal'!N10-'Prov. Pessoal'!N20</f>
        <v>49914.727949999993</v>
      </c>
      <c r="O31" s="186">
        <f t="shared" ref="O31:O42" si="9">SUM(C31:N31)</f>
        <v>406840.95504999993</v>
      </c>
      <c r="P31" s="187">
        <f t="shared" ref="P31:P43" si="10">IF($O$163=0,0,O31/$O$163)</f>
        <v>4.196408123966585E-2</v>
      </c>
      <c r="Q31" s="34"/>
      <c r="R31" s="34"/>
      <c r="S31" s="34"/>
      <c r="T31" s="34"/>
      <c r="U31" s="34"/>
      <c r="V31" s="34"/>
      <c r="W31" s="34"/>
      <c r="X31" s="34"/>
      <c r="Y31" s="34"/>
      <c r="Z31" s="34"/>
    </row>
    <row r="32" spans="1:26" ht="23.25" customHeight="1" x14ac:dyDescent="0.2">
      <c r="A32" s="203" t="s">
        <v>168</v>
      </c>
      <c r="B32" s="72" t="s">
        <v>169</v>
      </c>
      <c r="C32" s="185">
        <f>'Prov. Pessoal'!C11-'Prov. Pessoal'!C21</f>
        <v>945.50419999999997</v>
      </c>
      <c r="D32" s="185">
        <f>'Prov. Pessoal'!D11-'Prov. Pessoal'!D21</f>
        <v>898.60520000000008</v>
      </c>
      <c r="E32" s="185">
        <f>'Prov. Pessoal'!E11-'Prov. Pessoal'!E21</f>
        <v>888.23520000000008</v>
      </c>
      <c r="F32" s="185">
        <f>'Prov. Pessoal'!F11-'Prov. Pessoal'!F21</f>
        <v>891.83830000000012</v>
      </c>
      <c r="G32" s="185">
        <f>'Prov. Pessoal'!G11-'Prov. Pessoal'!G21</f>
        <v>882.78470000000016</v>
      </c>
      <c r="H32" s="185">
        <f>'Prov. Pessoal'!H11-'Prov. Pessoal'!H21</f>
        <v>894.68580000000009</v>
      </c>
      <c r="I32" s="185">
        <f>'Prov. Pessoal'!I11-'Prov. Pessoal'!I21</f>
        <v>1242.5364999999999</v>
      </c>
      <c r="J32" s="185">
        <f>'Prov. Pessoal'!J11-'Prov. Pessoal'!J21</f>
        <v>1614.91</v>
      </c>
      <c r="K32" s="185">
        <f>'Prov. Pessoal'!K11-'Prov. Pessoal'!K21</f>
        <v>1648.8436999999999</v>
      </c>
      <c r="L32" s="185">
        <f>'Prov. Pessoal'!L11-'Prov. Pessoal'!L21</f>
        <v>1913.9426000000003</v>
      </c>
      <c r="M32" s="185">
        <f>'Prov. Pessoal'!M11-'Prov. Pessoal'!M21</f>
        <v>2195.3188</v>
      </c>
      <c r="N32" s="185">
        <f>'Prov. Pessoal'!N11-'Prov. Pessoal'!N21</f>
        <v>1959.4508999999996</v>
      </c>
      <c r="O32" s="186">
        <f t="shared" si="9"/>
        <v>15976.655900000002</v>
      </c>
      <c r="P32" s="187">
        <f t="shared" si="10"/>
        <v>1.6479306662806118E-3</v>
      </c>
      <c r="Q32" s="34"/>
      <c r="R32" s="34"/>
      <c r="S32" s="34"/>
      <c r="T32" s="34"/>
      <c r="U32" s="34"/>
      <c r="V32" s="34"/>
      <c r="W32" s="34"/>
      <c r="X32" s="34"/>
      <c r="Y32" s="34"/>
      <c r="Z32" s="34"/>
    </row>
    <row r="33" spans="1:26" ht="23.25" customHeight="1" x14ac:dyDescent="0.2">
      <c r="A33" s="203" t="s">
        <v>170</v>
      </c>
      <c r="B33" s="72" t="s">
        <v>171</v>
      </c>
      <c r="C33" s="185">
        <f>'Prov. Pessoal'!C12-'Prov. Pessoal'!C22</f>
        <v>7564.0335999999998</v>
      </c>
      <c r="D33" s="185">
        <f>'Prov. Pessoal'!D12-'Prov. Pessoal'!D22</f>
        <v>6737.405600000001</v>
      </c>
      <c r="E33" s="185">
        <f>'Prov. Pessoal'!E12-'Prov. Pessoal'!E22</f>
        <v>7105.8816000000006</v>
      </c>
      <c r="F33" s="185">
        <f>'Prov. Pessoal'!F12-'Prov. Pessoal'!F22</f>
        <v>7134.72</v>
      </c>
      <c r="G33" s="185">
        <f>'Prov. Pessoal'!G12-'Prov. Pessoal'!G22</f>
        <v>7062.2776000000013</v>
      </c>
      <c r="H33" s="185">
        <f>'Prov. Pessoal'!H12-'Prov. Pessoal'!H22</f>
        <v>6885.5752000000002</v>
      </c>
      <c r="I33" s="185">
        <f>'Prov. Pessoal'!I12-'Prov. Pessoal'!I22</f>
        <v>9691.3759999999984</v>
      </c>
      <c r="J33" s="185">
        <f>'Prov. Pessoal'!J12-'Prov. Pessoal'!J22</f>
        <v>12919.32</v>
      </c>
      <c r="K33" s="185">
        <f>'Prov. Pessoal'!K12-'Prov. Pessoal'!K22</f>
        <v>13190.749599999999</v>
      </c>
      <c r="L33" s="185">
        <f>'Prov. Pessoal'!L12-'Prov. Pessoal'!L22</f>
        <v>15311.540800000002</v>
      </c>
      <c r="M33" s="185">
        <f>'Prov. Pessoal'!M12-'Prov. Pessoal'!M22</f>
        <v>17097.747199999998</v>
      </c>
      <c r="N33" s="185">
        <f>'Prov. Pessoal'!N12-'Prov. Pessoal'!N22</f>
        <v>15675.607199999997</v>
      </c>
      <c r="O33" s="186">
        <f t="shared" si="9"/>
        <v>126376.2344</v>
      </c>
      <c r="P33" s="187">
        <f t="shared" si="10"/>
        <v>1.3035222981601972E-2</v>
      </c>
      <c r="Q33" s="34"/>
      <c r="R33" s="34"/>
      <c r="S33" s="34"/>
      <c r="T33" s="34"/>
      <c r="U33" s="34"/>
      <c r="V33" s="34"/>
      <c r="W33" s="34"/>
      <c r="X33" s="34"/>
      <c r="Y33" s="34"/>
      <c r="Z33" s="34"/>
    </row>
    <row r="34" spans="1:26" ht="23.25" customHeight="1" x14ac:dyDescent="0.2">
      <c r="A34" s="203" t="s">
        <v>172</v>
      </c>
      <c r="B34" s="72" t="s">
        <v>173</v>
      </c>
      <c r="C34" s="185">
        <f>'Prov. Pessoal'!C13-'Prov. Pessoal'!C23</f>
        <v>643.5684298559936</v>
      </c>
      <c r="D34" s="185">
        <f>'Prov. Pessoal'!D13-'Prov. Pessoal'!D23</f>
        <v>881.31107143040572</v>
      </c>
      <c r="E34" s="185">
        <f>'Prov. Pessoal'!E13-'Prov. Pessoal'!E23</f>
        <v>3071.1729855680023</v>
      </c>
      <c r="F34" s="185">
        <f>'Prov. Pessoal'!F13-'Prov. Pessoal'!F23</f>
        <v>3071.1729855680023</v>
      </c>
      <c r="G34" s="185">
        <f>'Prov. Pessoal'!G13-'Prov. Pessoal'!G23</f>
        <v>3055.5285195199831</v>
      </c>
      <c r="H34" s="185">
        <f>'Prov. Pessoal'!H13-'Prov. Pessoal'!H23</f>
        <v>1066.24</v>
      </c>
      <c r="I34" s="185">
        <f>'Prov. Pessoal'!I13-'Prov. Pessoal'!I23</f>
        <v>1638.5099204799626</v>
      </c>
      <c r="J34" s="185">
        <f>'Prov. Pessoal'!J13-'Prov. Pessoal'!J23</f>
        <v>5268.1142850496299</v>
      </c>
      <c r="K34" s="185">
        <f>'Prov. Pessoal'!K13-'Prov. Pessoal'!K23</f>
        <v>5795.5246655679657</v>
      </c>
      <c r="L34" s="185">
        <f>'Prov. Pessoal'!L13-'Prov. Pessoal'!L23</f>
        <v>7071.257257145633</v>
      </c>
      <c r="M34" s="185">
        <f>'Prov. Pessoal'!M13-'Prov. Pessoal'!M23</f>
        <v>5356.5411152832094</v>
      </c>
      <c r="N34" s="185">
        <f>'Prov. Pessoal'!N13-'Prov. Pessoal'!N23</f>
        <v>6937.1599934399565</v>
      </c>
      <c r="O34" s="186">
        <f t="shared" si="9"/>
        <v>43856.101228908745</v>
      </c>
      <c r="P34" s="187">
        <f t="shared" si="10"/>
        <v>4.523588326054236E-3</v>
      </c>
      <c r="Q34" s="34"/>
      <c r="R34" s="34"/>
      <c r="S34" s="34"/>
      <c r="T34" s="34"/>
      <c r="U34" s="34"/>
      <c r="V34" s="34"/>
      <c r="W34" s="34"/>
      <c r="X34" s="34"/>
      <c r="Y34" s="34"/>
      <c r="Z34" s="34"/>
    </row>
    <row r="35" spans="1:26" ht="23.25" customHeight="1" x14ac:dyDescent="0.2">
      <c r="A35" s="203" t="s">
        <v>174</v>
      </c>
      <c r="B35" s="72" t="s">
        <v>175</v>
      </c>
      <c r="C35" s="185">
        <f>'Prov. Pessoal'!C14-'Prov. Pessoal'!C24</f>
        <v>9716.4694208333331</v>
      </c>
      <c r="D35" s="185">
        <f>'Prov. Pessoal'!D14-'Prov. Pessoal'!D24</f>
        <v>9098.697470833331</v>
      </c>
      <c r="E35" s="185">
        <f>'Prov. Pessoal'!E14-'Prov. Pessoal'!E24</f>
        <v>9716.4694208333349</v>
      </c>
      <c r="F35" s="185">
        <f>'Prov. Pessoal'!F14-'Prov. Pessoal'!F24</f>
        <v>9716.4694208333312</v>
      </c>
      <c r="G35" s="185">
        <f>'Prov. Pessoal'!G14-'Prov. Pessoal'!G24</f>
        <v>9098.6974708333364</v>
      </c>
      <c r="H35" s="185">
        <f>'Prov. Pessoal'!H14-'Prov. Pessoal'!H24</f>
        <v>11068.037504166663</v>
      </c>
      <c r="I35" s="185">
        <f>'Prov. Pessoal'!I14-'Prov. Pessoal'!I24</f>
        <v>7705.6226874999847</v>
      </c>
      <c r="J35" s="185">
        <f>'Prov. Pessoal'!J14-'Prov. Pessoal'!J24</f>
        <v>20227.87</v>
      </c>
      <c r="K35" s="185">
        <f>'Prov. Pessoal'!K14-'Prov. Pessoal'!K24</f>
        <v>18335.677754166638</v>
      </c>
      <c r="L35" s="185">
        <f>'Prov. Pessoal'!L14-'Prov. Pessoal'!L24</f>
        <v>22034.427754166711</v>
      </c>
      <c r="M35" s="185">
        <f>'Prov. Pessoal'!M14-'Prov. Pessoal'!M24</f>
        <v>18845.591912499964</v>
      </c>
      <c r="N35" s="185">
        <f>'Prov. Pessoal'!N14-'Prov. Pessoal'!N24</f>
        <v>21934.758770833316</v>
      </c>
      <c r="O35" s="186">
        <f t="shared" si="9"/>
        <v>167498.78958749992</v>
      </c>
      <c r="P35" s="187">
        <f t="shared" si="10"/>
        <v>1.7276856537050706E-2</v>
      </c>
      <c r="Q35" s="34"/>
      <c r="R35" s="34"/>
      <c r="S35" s="34"/>
      <c r="T35" s="34"/>
      <c r="U35" s="34"/>
      <c r="V35" s="34"/>
      <c r="W35" s="34"/>
      <c r="X35" s="34"/>
      <c r="Y35" s="34"/>
      <c r="Z35" s="34"/>
    </row>
    <row r="36" spans="1:26" ht="23.25" customHeight="1" x14ac:dyDescent="0.2">
      <c r="A36" s="203" t="s">
        <v>176</v>
      </c>
      <c r="B36" s="72" t="s">
        <v>177</v>
      </c>
      <c r="C36" s="185">
        <f>'Prov. Pessoal'!C15-'Prov. Pessoal'!C25</f>
        <v>4443.3183333333436</v>
      </c>
      <c r="D36" s="185">
        <f>'Prov. Pessoal'!D15-'Prov. Pessoal'!D25</f>
        <v>0</v>
      </c>
      <c r="E36" s="185">
        <f>'Prov. Pessoal'!E15-'Prov. Pessoal'!E25</f>
        <v>3974.1408333333384</v>
      </c>
      <c r="F36" s="185">
        <f>'Prov. Pessoal'!F15-'Prov. Pessoal'!F25</f>
        <v>361.76583333330927</v>
      </c>
      <c r="G36" s="185">
        <f>'Prov. Pessoal'!G15-'Prov. Pessoal'!G25</f>
        <v>3109.970833333311</v>
      </c>
      <c r="H36" s="185">
        <f>'Prov. Pessoal'!H15-'Prov. Pessoal'!H25</f>
        <v>9693.217500000057</v>
      </c>
      <c r="I36" s="185">
        <f>'Prov. Pessoal'!I15-'Prov. Pessoal'!I25</f>
        <v>9693.217500000057</v>
      </c>
      <c r="J36" s="185">
        <f>'Prov. Pessoal'!J15-'Prov. Pessoal'!J25</f>
        <v>11024.7641666666</v>
      </c>
      <c r="K36" s="185">
        <f>'Prov. Pessoal'!K15-'Prov. Pessoal'!K25</f>
        <v>9289.1375000000116</v>
      </c>
      <c r="L36" s="185">
        <f>'Prov. Pessoal'!L15-'Prov. Pessoal'!L25</f>
        <v>16382.474166666754</v>
      </c>
      <c r="M36" s="185">
        <f>'Prov. Pessoal'!M15-'Prov. Pessoal'!M25</f>
        <v>11464.586666666582</v>
      </c>
      <c r="N36" s="185">
        <f>'Prov. Pessoal'!N15-'Prov. Pessoal'!N25</f>
        <v>16896.870833333378</v>
      </c>
      <c r="O36" s="186">
        <f t="shared" si="9"/>
        <v>96333.464166666745</v>
      </c>
      <c r="P36" s="187">
        <f t="shared" si="10"/>
        <v>9.9364266704457561E-3</v>
      </c>
      <c r="Q36" s="34"/>
      <c r="R36" s="34"/>
      <c r="S36" s="34"/>
      <c r="T36" s="34"/>
      <c r="U36" s="34"/>
      <c r="V36" s="34"/>
      <c r="W36" s="34"/>
      <c r="X36" s="34"/>
      <c r="Y36" s="34"/>
      <c r="Z36" s="34"/>
    </row>
    <row r="37" spans="1:26" ht="23.25" customHeight="1" x14ac:dyDescent="0.2">
      <c r="A37" s="203" t="s">
        <v>178</v>
      </c>
      <c r="B37" s="72" t="s">
        <v>179</v>
      </c>
      <c r="C37" s="185">
        <f>'Prov. Pessoal'!C16-'Prov. Pessoal'!C26</f>
        <v>3525.0325444444534</v>
      </c>
      <c r="D37" s="185">
        <f>'Prov. Pessoal'!D16-'Prov. Pessoal'!D26</f>
        <v>0</v>
      </c>
      <c r="E37" s="185">
        <f>'Prov. Pessoal'!E16-'Prov. Pessoal'!E26</f>
        <v>3152.8183944444536</v>
      </c>
      <c r="F37" s="185">
        <f>'Prov. Pessoal'!F16-'Prov. Pessoal'!F26</f>
        <v>287.00089444444166</v>
      </c>
      <c r="G37" s="185">
        <f>'Prov. Pessoal'!G16-'Prov. Pessoal'!G26</f>
        <v>2467.243527777784</v>
      </c>
      <c r="H37" s="185">
        <f>'Prov. Pessoal'!H16-'Prov. Pessoal'!H26</f>
        <v>7689.9525499999872</v>
      </c>
      <c r="I37" s="185">
        <f>'Prov. Pessoal'!I16-'Prov. Pessoal'!I26</f>
        <v>7689.9525499999872</v>
      </c>
      <c r="J37" s="185">
        <f>'Prov. Pessoal'!J16-'Prov. Pessoal'!J26</f>
        <v>8746.32</v>
      </c>
      <c r="K37" s="185">
        <f>'Prov. Pessoal'!K16-'Prov. Pessoal'!K26</f>
        <v>9369.3799999999992</v>
      </c>
      <c r="L37" s="185">
        <f>'Prov. Pessoal'!L16-'Prov. Pessoal'!L26</f>
        <v>12996.762838888797</v>
      </c>
      <c r="M37" s="185">
        <f>'Prov. Pessoal'!M16-'Prov. Pessoal'!M26</f>
        <v>9095.2387555556488</v>
      </c>
      <c r="N37" s="185">
        <f>'Prov. Pessoal'!N16-'Prov. Pessoal'!N26</f>
        <v>13404.850861111132</v>
      </c>
      <c r="O37" s="186">
        <f t="shared" si="9"/>
        <v>78424.552916666682</v>
      </c>
      <c r="P37" s="187">
        <f t="shared" si="10"/>
        <v>8.0891912894438447E-3</v>
      </c>
      <c r="Q37" s="34"/>
      <c r="R37" s="34"/>
      <c r="S37" s="34"/>
      <c r="T37" s="34"/>
      <c r="U37" s="34"/>
      <c r="V37" s="34"/>
      <c r="W37" s="34"/>
      <c r="X37" s="34"/>
      <c r="Y37" s="34"/>
      <c r="Z37" s="34"/>
    </row>
    <row r="38" spans="1:26" ht="23.25" customHeight="1" x14ac:dyDescent="0.2">
      <c r="A38" s="203" t="s">
        <v>180</v>
      </c>
      <c r="B38" s="72" t="s">
        <v>181</v>
      </c>
      <c r="C38" s="185">
        <f>'Prov. Pessoal'!C17-'Prov. Pessoal'!C27</f>
        <v>489.42673333333005</v>
      </c>
      <c r="D38" s="185">
        <f>'Prov. Pessoal'!D17-'Prov. Pessoal'!D27</f>
        <v>21233.05</v>
      </c>
      <c r="E38" s="185">
        <f>'Prov. Pessoal'!E17-'Prov. Pessoal'!E27</f>
        <v>438.20126666666602</v>
      </c>
      <c r="F38" s="185">
        <f>'Prov. Pessoal'!F17-'Prov. Pessoal'!F27</f>
        <v>7949.83</v>
      </c>
      <c r="G38" s="185">
        <f>'Prov. Pessoal'!G17-'Prov. Pessoal'!G27</f>
        <v>6848.92</v>
      </c>
      <c r="H38" s="185">
        <f>'Prov. Pessoal'!H17-'Prov. Pessoal'!H27</f>
        <v>658.32193333333635</v>
      </c>
      <c r="I38" s="185">
        <f>'Prov. Pessoal'!I17-'Prov. Pessoal'!I27</f>
        <v>11882.68</v>
      </c>
      <c r="J38" s="185">
        <f>'Prov. Pessoal'!J17-'Prov. Pessoal'!J27</f>
        <v>1463.62</v>
      </c>
      <c r="K38" s="185">
        <f>'Prov. Pessoal'!K17-'Prov. Pessoal'!K27</f>
        <v>3649.27</v>
      </c>
      <c r="L38" s="185">
        <f>'Prov. Pessoal'!L17-'Prov. Pessoal'!L27</f>
        <v>3278.85</v>
      </c>
      <c r="M38" s="185">
        <f>'Prov. Pessoal'!M17-'Prov. Pessoal'!M27</f>
        <v>974.29471999999805</v>
      </c>
      <c r="N38" s="185">
        <f>'Prov. Pessoal'!N17-'Prov. Pessoal'!N27</f>
        <v>1304.6696666666685</v>
      </c>
      <c r="O38" s="186">
        <f t="shared" si="9"/>
        <v>60171.13431999999</v>
      </c>
      <c r="P38" s="187">
        <f t="shared" si="10"/>
        <v>6.2064212993920564E-3</v>
      </c>
      <c r="Q38" s="34"/>
      <c r="R38" s="34"/>
      <c r="S38" s="34"/>
      <c r="T38" s="34"/>
      <c r="U38" s="34"/>
      <c r="V38" s="34"/>
      <c r="W38" s="34"/>
      <c r="X38" s="34"/>
      <c r="Y38" s="34"/>
      <c r="Z38" s="34"/>
    </row>
    <row r="39" spans="1:26" ht="23.25" customHeight="1" x14ac:dyDescent="0.2">
      <c r="A39" s="203" t="s">
        <v>182</v>
      </c>
      <c r="B39" s="72" t="s">
        <v>183</v>
      </c>
      <c r="C39" s="185">
        <f>SUMPRODUCT(-('Diário 5º PA'!$E$5:$E$2634='Analítico Cp.'!$B39),-('Diário 5º PA'!$Q$5:$Q$2634=C$1),('Diário 5º PA'!$F$5:$F$2634))
+SUMPRODUCT(-('Diário 6º PA'!$E$5:$E$2246='Analítico Cp.'!$B39),-('Diário 6º PA'!$Q$5:$Q$2246=C$1),('Diário 6º PA'!$F$5:$F$2246))
+SUMPRODUCT(-('Diário 7º PA'!$E$5:$E$2271='Analítico Cp.'!$B39),-('Diário 7º PA'!$Q$5:$Q$2271=C$1),('Diário 7º PA'!$F$5:$F$2271))
+SUMPRODUCT(-('Diário 8º PA'!$E$5:$E$2488='Analítico Cp.'!$B39),-('Diário 8º PA'!$Q$5:$Q$2488=C$1),('Diário 8º PA'!$F$5:$F$2488))
+SUMPRODUCT(-('Comp.'!$D$5:$D$313='Analítico Cp.'!$B39),-('Comp.'!$R$5:$R$313=C$1),('Comp.'!$E$5:$E$313))</f>
        <v>221.92</v>
      </c>
      <c r="D39" s="185">
        <f>SUMPRODUCT(-('Diário 5º PA'!$E$5:$E$2634='Analítico Cp.'!$B39),-('Diário 5º PA'!$Q$5:$Q$2634=D$1),('Diário 5º PA'!$F$5:$F$2634))
+SUMPRODUCT(-('Diário 6º PA'!$E$5:$E$2246='Analítico Cp.'!$B39),-('Diário 6º PA'!$Q$5:$Q$2246=D$1),('Diário 6º PA'!$F$5:$F$2246))
+SUMPRODUCT(-('Diário 7º PA'!$E$5:$E$2271='Analítico Cp.'!$B39),-('Diário 7º PA'!$Q$5:$Q$2271=D$1),('Diário 7º PA'!$F$5:$F$2271))
+SUMPRODUCT(-('Diário 8º PA'!$E$5:$E$2488='Analítico Cp.'!$B39),-('Diário 8º PA'!$Q$5:$Q$2488=D$1),('Diário 8º PA'!$F$5:$F$2488))
+SUMPRODUCT(-('Comp.'!$D$5:$D$313='Analítico Cp.'!$B39),-('Comp.'!$R$5:$R$313=D$1),('Comp.'!$E$5:$E$313))</f>
        <v>221.92</v>
      </c>
      <c r="E39" s="185">
        <f>SUMPRODUCT(-('Diário 5º PA'!$E$5:$E$2634='Analítico Cp.'!$B39),-('Diário 5º PA'!$Q$5:$Q$2634=E$1),('Diário 5º PA'!$F$5:$F$2634))
+SUMPRODUCT(-('Diário 6º PA'!$E$5:$E$2246='Analítico Cp.'!$B39),-('Diário 6º PA'!$Q$5:$Q$2246=E$1),('Diário 6º PA'!$F$5:$F$2246))
+SUMPRODUCT(-('Diário 7º PA'!$E$5:$E$2271='Analítico Cp.'!$B39),-('Diário 7º PA'!$Q$5:$Q$2271=E$1),('Diário 7º PA'!$F$5:$F$2271))
+SUMPRODUCT(-('Diário 8º PA'!$E$5:$E$2488='Analítico Cp.'!$B39),-('Diário 8º PA'!$Q$5:$Q$2488=E$1),('Diário 8º PA'!$F$5:$F$2488))
+SUMPRODUCT(-('Comp.'!$D$5:$D$313='Analítico Cp.'!$B39),-('Comp.'!$R$5:$R$313=E$1),('Comp.'!$E$5:$E$313))</f>
        <v>221.92</v>
      </c>
      <c r="F39" s="185">
        <f>SUMPRODUCT(-('Diário 5º PA'!$E$5:$E$2634='Analítico Cp.'!$B39),-('Diário 5º PA'!$Q$5:$Q$2634=F$1),('Diário 5º PA'!$F$5:$F$2634))
+SUMPRODUCT(-('Diário 6º PA'!$E$5:$E$2246='Analítico Cp.'!$B39),-('Diário 6º PA'!$Q$5:$Q$2246=F$1),('Diário 6º PA'!$F$5:$F$2246))
+SUMPRODUCT(-('Diário 7º PA'!$E$5:$E$2271='Analítico Cp.'!$B39),-('Diário 7º PA'!$Q$5:$Q$2271=F$1),('Diário 7º PA'!$F$5:$F$2271))
+SUMPRODUCT(-('Diário 8º PA'!$E$5:$E$2488='Analítico Cp.'!$B39),-('Diário 8º PA'!$Q$5:$Q$2488=F$1),('Diário 8º PA'!$F$5:$F$2488))
+SUMPRODUCT(-('Comp.'!$D$5:$D$313='Analítico Cp.'!$B39),-('Comp.'!$R$5:$R$313=F$1),('Comp.'!$E$5:$E$313))</f>
        <v>221.92</v>
      </c>
      <c r="G39" s="185">
        <f>SUMPRODUCT(-('Diário 5º PA'!$E$5:$E$2634='Analítico Cp.'!$B39),-('Diário 5º PA'!$Q$5:$Q$2634=G$1),('Diário 5º PA'!$F$5:$F$2634))
+SUMPRODUCT(-('Diário 6º PA'!$E$5:$E$2246='Analítico Cp.'!$B39),-('Diário 6º PA'!$Q$5:$Q$2246=G$1),('Diário 6º PA'!$F$5:$F$2246))
+SUMPRODUCT(-('Diário 7º PA'!$E$5:$E$2271='Analítico Cp.'!$B39),-('Diário 7º PA'!$Q$5:$Q$2271=G$1),('Diário 7º PA'!$F$5:$F$2271))
+SUMPRODUCT(-('Diário 8º PA'!$E$5:$E$2488='Analítico Cp.'!$B39),-('Diário 8º PA'!$Q$5:$Q$2488=G$1),('Diário 8º PA'!$F$5:$F$2488))
+SUMPRODUCT(-('Comp.'!$D$5:$D$313='Analítico Cp.'!$B39),-('Comp.'!$R$5:$R$313=G$1),('Comp.'!$E$5:$E$313))</f>
        <v>221.92</v>
      </c>
      <c r="H39" s="185">
        <f>SUMPRODUCT(-('Diário 5º PA'!$E$5:$E$2634='Analítico Cp.'!$B39),-('Diário 5º PA'!$Q$5:$Q$2634=H$1),('Diário 5º PA'!$F$5:$F$2634))
+SUMPRODUCT(-('Diário 6º PA'!$E$5:$E$2246='Analítico Cp.'!$B39),-('Diário 6º PA'!$Q$5:$Q$2246=H$1),('Diário 6º PA'!$F$5:$F$2246))
+SUMPRODUCT(-('Diário 7º PA'!$E$5:$E$2271='Analítico Cp.'!$B39),-('Diário 7º PA'!$Q$5:$Q$2271=H$1),('Diário 7º PA'!$F$5:$F$2271))
+SUMPRODUCT(-('Diário 8º PA'!$E$5:$E$2488='Analítico Cp.'!$B39),-('Diário 8º PA'!$Q$5:$Q$2488=H$1),('Diário 8º PA'!$F$5:$F$2488))
+SUMPRODUCT(-('Comp.'!$D$5:$D$313='Analítico Cp.'!$B39),-('Comp.'!$R$5:$R$313=H$1),('Comp.'!$E$5:$E$313))</f>
        <v>208.04999999999998</v>
      </c>
      <c r="I39" s="185">
        <f>SUMPRODUCT(-('Diário 5º PA'!$E$5:$E$2634='Analítico Cp.'!$B39),-('Diário 5º PA'!$Q$5:$Q$2634=I$1),('Diário 5º PA'!$F$5:$F$2634))
+SUMPRODUCT(-('Diário 6º PA'!$E$5:$E$2246='Analítico Cp.'!$B39),-('Diário 6º PA'!$Q$5:$Q$2246=I$1),('Diário 6º PA'!$F$5:$F$2246))
+SUMPRODUCT(-('Diário 7º PA'!$E$5:$E$2271='Analítico Cp.'!$B39),-('Diário 7º PA'!$Q$5:$Q$2271=I$1),('Diário 7º PA'!$F$5:$F$2271))
+SUMPRODUCT(-('Diário 8º PA'!$E$5:$E$2488='Analítico Cp.'!$B39),-('Diário 8º PA'!$Q$5:$Q$2488=I$1),('Diário 8º PA'!$F$5:$F$2488))
+SUMPRODUCT(-('Comp.'!$D$5:$D$313='Analítico Cp.'!$B39),-('Comp.'!$R$5:$R$313=I$1),('Comp.'!$E$5:$E$313))</f>
        <v>221.92000000000002</v>
      </c>
      <c r="J39" s="185">
        <f>SUMPRODUCT(-('Diário 5º PA'!$E$5:$E$2634='Analítico Cp.'!$B39),-('Diário 5º PA'!$Q$5:$Q$2634=J$1),('Diário 5º PA'!$F$5:$F$2634))
+SUMPRODUCT(-('Diário 6º PA'!$E$5:$E$2246='Analítico Cp.'!$B39),-('Diário 6º PA'!$Q$5:$Q$2246=J$1),('Diário 6º PA'!$F$5:$F$2246))
+SUMPRODUCT(-('Diário 7º PA'!$E$5:$E$2271='Analítico Cp.'!$B39),-('Diário 7º PA'!$Q$5:$Q$2271=J$1),('Diário 7º PA'!$F$5:$F$2271))
+SUMPRODUCT(-('Diário 8º PA'!$E$5:$E$2488='Analítico Cp.'!$B39),-('Diário 8º PA'!$Q$5:$Q$2488=J$1),('Diário 8º PA'!$F$5:$F$2488))
+SUMPRODUCT(-('Comp.'!$D$5:$D$313='Analítico Cp.'!$B39),-('Comp.'!$R$5:$R$313=J$1),('Comp.'!$E$5:$E$313))</f>
        <v>495.99000000000007</v>
      </c>
      <c r="K39" s="185">
        <f>SUMPRODUCT(-('Diário 5º PA'!$E$5:$E$2634='Analítico Cp.'!$B39),-('Diário 5º PA'!$Q$5:$Q$2634=K$1),('Diário 5º PA'!$F$5:$F$2634))
+SUMPRODUCT(-('Diário 6º PA'!$E$5:$E$2246='Analítico Cp.'!$B39),-('Diário 6º PA'!$Q$5:$Q$2246=K$1),('Diário 6º PA'!$F$5:$F$2246))
+SUMPRODUCT(-('Diário 7º PA'!$E$5:$E$2271='Analítico Cp.'!$B39),-('Diário 7º PA'!$Q$5:$Q$2271=K$1),('Diário 7º PA'!$F$5:$F$2271))
+SUMPRODUCT(-('Diário 8º PA'!$E$5:$E$2488='Analítico Cp.'!$B39),-('Diário 8º PA'!$Q$5:$Q$2488=K$1),('Diário 8º PA'!$F$5:$F$2488))
+SUMPRODUCT(-('Comp.'!$D$5:$D$313='Analítico Cp.'!$B39),-('Comp.'!$R$5:$R$313=K$1),('Comp.'!$E$5:$E$313))</f>
        <v>710.69999999999993</v>
      </c>
      <c r="L39" s="185">
        <f>SUMPRODUCT(-('Diário 5º PA'!$E$5:$E$2634='Analítico Cp.'!$B39),-('Diário 5º PA'!$Q$5:$Q$2634=L$1),('Diário 5º PA'!$F$5:$F$2634))
+SUMPRODUCT(-('Diário 6º PA'!$E$5:$E$2246='Analítico Cp.'!$B39),-('Diário 6º PA'!$Q$5:$Q$2246=L$1),('Diário 6º PA'!$F$5:$F$2246))
+SUMPRODUCT(-('Diário 7º PA'!$E$5:$E$2271='Analítico Cp.'!$B39),-('Diário 7º PA'!$Q$5:$Q$2271=L$1),('Diário 7º PA'!$F$5:$F$2271))
+SUMPRODUCT(-('Diário 8º PA'!$E$5:$E$2488='Analítico Cp.'!$B39),-('Diário 8º PA'!$Q$5:$Q$2488=L$1),('Diário 8º PA'!$F$5:$F$2488))
+SUMPRODUCT(-('Comp.'!$D$5:$D$313='Analítico Cp.'!$B39),-('Comp.'!$R$5:$R$313=L$1),('Comp.'!$E$5:$E$313))</f>
        <v>679.62999999999988</v>
      </c>
      <c r="M39" s="185">
        <f>SUMPRODUCT(-('Diário 5º PA'!$E$5:$E$2634='Analítico Cp.'!$B39),-('Diário 5º PA'!$Q$5:$Q$2634=M$1),('Diário 5º PA'!$F$5:$F$2634))
+SUMPRODUCT(-('Diário 6º PA'!$E$5:$E$2246='Analítico Cp.'!$B39),-('Diário 6º PA'!$Q$5:$Q$2246=M$1),('Diário 6º PA'!$F$5:$F$2246))
+SUMPRODUCT(-('Diário 7º PA'!$E$5:$E$2271='Analítico Cp.'!$B39),-('Diário 7º PA'!$Q$5:$Q$2271=M$1),('Diário 7º PA'!$F$5:$F$2271))
+SUMPRODUCT(-('Diário 8º PA'!$E$5:$E$2488='Analítico Cp.'!$B39),-('Diário 8º PA'!$Q$5:$Q$2488=M$1),('Diário 8º PA'!$F$5:$F$2488))
+SUMPRODUCT(-('Comp.'!$D$5:$D$313='Analítico Cp.'!$B39),-('Comp.'!$R$5:$R$313=M$1),('Comp.'!$E$5:$E$313))</f>
        <v>679.62999999999988</v>
      </c>
      <c r="N39" s="185">
        <f>SUMPRODUCT(-('Diário 5º PA'!$E$5:$E$2634='Analítico Cp.'!$B39),-('Diário 5º PA'!$Q$5:$Q$2634=N$1),('Diário 5º PA'!$F$5:$F$2634))
+SUMPRODUCT(-('Diário 6º PA'!$E$5:$E$2246='Analítico Cp.'!$B39),-('Diário 6º PA'!$Q$5:$Q$2246=N$1),('Diário 6º PA'!$F$5:$F$2246))
+SUMPRODUCT(-('Diário 7º PA'!$E$5:$E$2271='Analítico Cp.'!$B39),-('Diário 7º PA'!$Q$5:$Q$2271=N$1),('Diário 7º PA'!$F$5:$F$2271))
+SUMPRODUCT(-('Diário 8º PA'!$E$5:$E$2488='Analítico Cp.'!$B39),-('Diário 8º PA'!$Q$5:$Q$2488=N$1),('Diário 8º PA'!$F$5:$F$2488))
+SUMPRODUCT(-('Comp.'!$D$5:$D$313='Analítico Cp.'!$B39),-('Comp.'!$R$5:$R$313=N$1),('Comp.'!$E$5:$E$313))</f>
        <v>832.2</v>
      </c>
      <c r="O39" s="186">
        <f t="shared" si="9"/>
        <v>4937.7199999999993</v>
      </c>
      <c r="P39" s="187">
        <f t="shared" si="10"/>
        <v>5.0930684496416424E-4</v>
      </c>
      <c r="Q39" s="34"/>
      <c r="R39" s="34"/>
      <c r="S39" s="34"/>
      <c r="T39" s="34"/>
      <c r="U39" s="34"/>
      <c r="V39" s="34"/>
      <c r="W39" s="34"/>
      <c r="X39" s="34"/>
      <c r="Y39" s="34"/>
      <c r="Z39" s="34"/>
    </row>
    <row r="40" spans="1:26" ht="23.25" customHeight="1" x14ac:dyDescent="0.2">
      <c r="A40" s="203" t="s">
        <v>184</v>
      </c>
      <c r="B40" s="72" t="s">
        <v>185</v>
      </c>
      <c r="C40" s="185">
        <f>SUMPRODUCT(-('Diário 5º PA'!$E$5:$E$2634='Analítico Cp.'!$B40),-('Diário 5º PA'!$Q$5:$Q$2634=C$1),('Diário 5º PA'!$F$5:$F$2634))
+SUMPRODUCT(-('Diário 6º PA'!$E$5:$E$2246='Analítico Cp.'!$B40),-('Diário 6º PA'!$Q$5:$Q$2246=C$1),('Diário 6º PA'!$F$5:$F$2246))
+SUMPRODUCT(-('Diário 7º PA'!$E$5:$E$2271='Analítico Cp.'!$B40),-('Diário 7º PA'!$Q$5:$Q$2271=C$1),('Diário 7º PA'!$F$5:$F$2271))
+SUMPRODUCT(-('Diário 8º PA'!$E$5:$E$2488='Analítico Cp.'!$B40),-('Diário 8º PA'!$Q$5:$Q$2488=C$1),('Diário 8º PA'!$F$5:$F$2488))
+SUMPRODUCT(-('Comp.'!$D$5:$D$313='Analítico Cp.'!$B40),-('Comp.'!$R$5:$R$313=C$1),('Comp.'!$E$5:$E$313))</f>
        <v>0</v>
      </c>
      <c r="D40" s="185">
        <f>SUMPRODUCT(-('Diário 5º PA'!$E$5:$E$2634='Analítico Cp.'!$B40),-('Diário 5º PA'!$Q$5:$Q$2634=D$1),('Diário 5º PA'!$F$5:$F$2634))
+SUMPRODUCT(-('Diário 6º PA'!$E$5:$E$2246='Analítico Cp.'!$B40),-('Diário 6º PA'!$Q$5:$Q$2246=D$1),('Diário 6º PA'!$F$5:$F$2246))
+SUMPRODUCT(-('Diário 7º PA'!$E$5:$E$2271='Analítico Cp.'!$B40),-('Diário 7º PA'!$Q$5:$Q$2271=D$1),('Diário 7º PA'!$F$5:$F$2271))
+SUMPRODUCT(-('Diário 8º PA'!$E$5:$E$2488='Analítico Cp.'!$B40),-('Diário 8º PA'!$Q$5:$Q$2488=D$1),('Diário 8º PA'!$F$5:$F$2488))
+SUMPRODUCT(-('Comp.'!$D$5:$D$313='Analítico Cp.'!$B40),-('Comp.'!$R$5:$R$313=D$1),('Comp.'!$E$5:$E$313))</f>
        <v>0</v>
      </c>
      <c r="E40" s="185">
        <f>SUMPRODUCT(-('Diário 5º PA'!$E$5:$E$2634='Analítico Cp.'!$B40),-('Diário 5º PA'!$Q$5:$Q$2634=E$1),('Diário 5º PA'!$F$5:$F$2634))
+SUMPRODUCT(-('Diário 6º PA'!$E$5:$E$2246='Analítico Cp.'!$B40),-('Diário 6º PA'!$Q$5:$Q$2246=E$1),('Diário 6º PA'!$F$5:$F$2246))
+SUMPRODUCT(-('Diário 7º PA'!$E$5:$E$2271='Analítico Cp.'!$B40),-('Diário 7º PA'!$Q$5:$Q$2271=E$1),('Diário 7º PA'!$F$5:$F$2271))
+SUMPRODUCT(-('Diário 8º PA'!$E$5:$E$2488='Analítico Cp.'!$B40),-('Diário 8º PA'!$Q$5:$Q$2488=E$1),('Diário 8º PA'!$F$5:$F$2488))
+SUMPRODUCT(-('Comp.'!$D$5:$D$313='Analítico Cp.'!$B40),-('Comp.'!$R$5:$R$313=E$1),('Comp.'!$E$5:$E$313))</f>
        <v>0</v>
      </c>
      <c r="F40" s="185">
        <f>SUMPRODUCT(-('Diário 5º PA'!$E$5:$E$2634='Analítico Cp.'!$B40),-('Diário 5º PA'!$Q$5:$Q$2634=F$1),('Diário 5º PA'!$F$5:$F$2634))
+SUMPRODUCT(-('Diário 6º PA'!$E$5:$E$2246='Analítico Cp.'!$B40),-('Diário 6º PA'!$Q$5:$Q$2246=F$1),('Diário 6º PA'!$F$5:$F$2246))
+SUMPRODUCT(-('Diário 7º PA'!$E$5:$E$2271='Analítico Cp.'!$B40),-('Diário 7º PA'!$Q$5:$Q$2271=F$1),('Diário 7º PA'!$F$5:$F$2271))
+SUMPRODUCT(-('Diário 8º PA'!$E$5:$E$2488='Analítico Cp.'!$B40),-('Diário 8º PA'!$Q$5:$Q$2488=F$1),('Diário 8º PA'!$F$5:$F$2488))
+SUMPRODUCT(-('Comp.'!$D$5:$D$313='Analítico Cp.'!$B40),-('Comp.'!$R$5:$R$313=F$1),('Comp.'!$E$5:$E$313))</f>
        <v>0</v>
      </c>
      <c r="G40" s="185">
        <f>SUMPRODUCT(-('Diário 5º PA'!$E$5:$E$2634='Analítico Cp.'!$B40),-('Diário 5º PA'!$Q$5:$Q$2634=G$1),('Diário 5º PA'!$F$5:$F$2634))
+SUMPRODUCT(-('Diário 6º PA'!$E$5:$E$2246='Analítico Cp.'!$B40),-('Diário 6º PA'!$Q$5:$Q$2246=G$1),('Diário 6º PA'!$F$5:$F$2246))
+SUMPRODUCT(-('Diário 7º PA'!$E$5:$E$2271='Analítico Cp.'!$B40),-('Diário 7º PA'!$Q$5:$Q$2271=G$1),('Diário 7º PA'!$F$5:$F$2271))
+SUMPRODUCT(-('Diário 8º PA'!$E$5:$E$2488='Analítico Cp.'!$B40),-('Diário 8º PA'!$Q$5:$Q$2488=G$1),('Diário 8º PA'!$F$5:$F$2488))
+SUMPRODUCT(-('Comp.'!$D$5:$D$313='Analítico Cp.'!$B40),-('Comp.'!$R$5:$R$313=G$1),('Comp.'!$E$5:$E$313))</f>
        <v>0</v>
      </c>
      <c r="H40" s="185">
        <f>SUMPRODUCT(-('Diário 5º PA'!$E$5:$E$2634='Analítico Cp.'!$B40),-('Diário 5º PA'!$Q$5:$Q$2634=H$1),('Diário 5º PA'!$F$5:$F$2634))
+SUMPRODUCT(-('Diário 6º PA'!$E$5:$E$2246='Analítico Cp.'!$B40),-('Diário 6º PA'!$Q$5:$Q$2246=H$1),('Diário 6º PA'!$F$5:$F$2246))
+SUMPRODUCT(-('Diário 7º PA'!$E$5:$E$2271='Analítico Cp.'!$B40),-('Diário 7º PA'!$Q$5:$Q$2271=H$1),('Diário 7º PA'!$F$5:$F$2271))
+SUMPRODUCT(-('Diário 8º PA'!$E$5:$E$2488='Analítico Cp.'!$B40),-('Diário 8º PA'!$Q$5:$Q$2488=H$1),('Diário 8º PA'!$F$5:$F$2488))
+SUMPRODUCT(-('Comp.'!$D$5:$D$313='Analítico Cp.'!$B40),-('Comp.'!$R$5:$R$313=H$1),('Comp.'!$E$5:$E$313))</f>
        <v>0</v>
      </c>
      <c r="I40" s="185">
        <f>SUMPRODUCT(-('Diário 5º PA'!$E$5:$E$2634='Analítico Cp.'!$B40),-('Diário 5º PA'!$Q$5:$Q$2634=I$1),('Diário 5º PA'!$F$5:$F$2634))
+SUMPRODUCT(-('Diário 6º PA'!$E$5:$E$2246='Analítico Cp.'!$B40),-('Diário 6º PA'!$Q$5:$Q$2246=I$1),('Diário 6º PA'!$F$5:$F$2246))
+SUMPRODUCT(-('Diário 7º PA'!$E$5:$E$2271='Analítico Cp.'!$B40),-('Diário 7º PA'!$Q$5:$Q$2271=I$1),('Diário 7º PA'!$F$5:$F$2271))
+SUMPRODUCT(-('Diário 8º PA'!$E$5:$E$2488='Analítico Cp.'!$B40),-('Diário 8º PA'!$Q$5:$Q$2488=I$1),('Diário 8º PA'!$F$5:$F$2488))
+SUMPRODUCT(-('Comp.'!$D$5:$D$313='Analítico Cp.'!$B40),-('Comp.'!$R$5:$R$313=I$1),('Comp.'!$E$5:$E$313))</f>
        <v>0</v>
      </c>
      <c r="J40" s="185">
        <f>SUMPRODUCT(-('Diário 5º PA'!$E$5:$E$2634='Analítico Cp.'!$B40),-('Diário 5º PA'!$Q$5:$Q$2634=J$1),('Diário 5º PA'!$F$5:$F$2634))
+SUMPRODUCT(-('Diário 6º PA'!$E$5:$E$2246='Analítico Cp.'!$B40),-('Diário 6º PA'!$Q$5:$Q$2246=J$1),('Diário 6º PA'!$F$5:$F$2246))
+SUMPRODUCT(-('Diário 7º PA'!$E$5:$E$2271='Analítico Cp.'!$B40),-('Diário 7º PA'!$Q$5:$Q$2271=J$1),('Diário 7º PA'!$F$5:$F$2271))
+SUMPRODUCT(-('Diário 8º PA'!$E$5:$E$2488='Analítico Cp.'!$B40),-('Diário 8º PA'!$Q$5:$Q$2488=J$1),('Diário 8º PA'!$F$5:$F$2488))
+SUMPRODUCT(-('Comp.'!$D$5:$D$313='Analítico Cp.'!$B40),-('Comp.'!$R$5:$R$313=J$1),('Comp.'!$E$5:$E$313))</f>
        <v>0</v>
      </c>
      <c r="K40" s="185">
        <f>SUMPRODUCT(-('Diário 5º PA'!$E$5:$E$2634='Analítico Cp.'!$B40),-('Diário 5º PA'!$Q$5:$Q$2634=K$1),('Diário 5º PA'!$F$5:$F$2634))
+SUMPRODUCT(-('Diário 6º PA'!$E$5:$E$2246='Analítico Cp.'!$B40),-('Diário 6º PA'!$Q$5:$Q$2246=K$1),('Diário 6º PA'!$F$5:$F$2246))
+SUMPRODUCT(-('Diário 7º PA'!$E$5:$E$2271='Analítico Cp.'!$B40),-('Diário 7º PA'!$Q$5:$Q$2271=K$1),('Diário 7º PA'!$F$5:$F$2271))
+SUMPRODUCT(-('Diário 8º PA'!$E$5:$E$2488='Analítico Cp.'!$B40),-('Diário 8º PA'!$Q$5:$Q$2488=K$1),('Diário 8º PA'!$F$5:$F$2488))
+SUMPRODUCT(-('Comp.'!$D$5:$D$313='Analítico Cp.'!$B40),-('Comp.'!$R$5:$R$313=K$1),('Comp.'!$E$5:$E$313))</f>
        <v>0</v>
      </c>
      <c r="L40" s="185">
        <f>SUMPRODUCT(-('Diário 5º PA'!$E$5:$E$2634='Analítico Cp.'!$B40),-('Diário 5º PA'!$Q$5:$Q$2634=L$1),('Diário 5º PA'!$F$5:$F$2634))
+SUMPRODUCT(-('Diário 6º PA'!$E$5:$E$2246='Analítico Cp.'!$B40),-('Diário 6º PA'!$Q$5:$Q$2246=L$1),('Diário 6º PA'!$F$5:$F$2246))
+SUMPRODUCT(-('Diário 7º PA'!$E$5:$E$2271='Analítico Cp.'!$B40),-('Diário 7º PA'!$Q$5:$Q$2271=L$1),('Diário 7º PA'!$F$5:$F$2271))
+SUMPRODUCT(-('Diário 8º PA'!$E$5:$E$2488='Analítico Cp.'!$B40),-('Diário 8º PA'!$Q$5:$Q$2488=L$1),('Diário 8º PA'!$F$5:$F$2488))
+SUMPRODUCT(-('Comp.'!$D$5:$D$313='Analítico Cp.'!$B40),-('Comp.'!$R$5:$R$313=L$1),('Comp.'!$E$5:$E$313))</f>
        <v>0</v>
      </c>
      <c r="M40" s="185">
        <f>SUMPRODUCT(-('Diário 5º PA'!$E$5:$E$2634='Analítico Cp.'!$B40),-('Diário 5º PA'!$Q$5:$Q$2634=M$1),('Diário 5º PA'!$F$5:$F$2634))
+SUMPRODUCT(-('Diário 6º PA'!$E$5:$E$2246='Analítico Cp.'!$B40),-('Diário 6º PA'!$Q$5:$Q$2246=M$1),('Diário 6º PA'!$F$5:$F$2246))
+SUMPRODUCT(-('Diário 7º PA'!$E$5:$E$2271='Analítico Cp.'!$B40),-('Diário 7º PA'!$Q$5:$Q$2271=M$1),('Diário 7º PA'!$F$5:$F$2271))
+SUMPRODUCT(-('Diário 8º PA'!$E$5:$E$2488='Analítico Cp.'!$B40),-('Diário 8º PA'!$Q$5:$Q$2488=M$1),('Diário 8º PA'!$F$5:$F$2488))
+SUMPRODUCT(-('Comp.'!$D$5:$D$313='Analítico Cp.'!$B40),-('Comp.'!$R$5:$R$313=M$1),('Comp.'!$E$5:$E$313))</f>
        <v>0</v>
      </c>
      <c r="N40" s="185">
        <f>SUMPRODUCT(-('Diário 5º PA'!$E$5:$E$2634='Analítico Cp.'!$B40),-('Diário 5º PA'!$Q$5:$Q$2634=N$1),('Diário 5º PA'!$F$5:$F$2634))
+SUMPRODUCT(-('Diário 6º PA'!$E$5:$E$2246='Analítico Cp.'!$B40),-('Diário 6º PA'!$Q$5:$Q$2246=N$1),('Diário 6º PA'!$F$5:$F$2246))
+SUMPRODUCT(-('Diário 7º PA'!$E$5:$E$2271='Analítico Cp.'!$B40),-('Diário 7º PA'!$Q$5:$Q$2271=N$1),('Diário 7º PA'!$F$5:$F$2271))
+SUMPRODUCT(-('Diário 8º PA'!$E$5:$E$2488='Analítico Cp.'!$B40),-('Diário 8º PA'!$Q$5:$Q$2488=N$1),('Diário 8º PA'!$F$5:$F$2488))
+SUMPRODUCT(-('Comp.'!$D$5:$D$313='Analítico Cp.'!$B40),-('Comp.'!$R$5:$R$313=N$1),('Comp.'!$E$5:$E$313))</f>
        <v>0</v>
      </c>
      <c r="O40" s="186">
        <f t="shared" si="9"/>
        <v>0</v>
      </c>
      <c r="P40" s="187">
        <f t="shared" si="10"/>
        <v>0</v>
      </c>
      <c r="Q40" s="34"/>
      <c r="R40" s="34"/>
      <c r="S40" s="34"/>
      <c r="T40" s="34"/>
      <c r="U40" s="34"/>
      <c r="V40" s="34"/>
      <c r="W40" s="34"/>
      <c r="X40" s="34"/>
      <c r="Y40" s="34"/>
      <c r="Z40" s="34"/>
    </row>
    <row r="41" spans="1:26" ht="23.25" customHeight="1" x14ac:dyDescent="0.2">
      <c r="A41" s="203" t="s">
        <v>186</v>
      </c>
      <c r="B41" s="72" t="s">
        <v>187</v>
      </c>
      <c r="C41" s="185">
        <f>SUMPRODUCT(-('Diário 5º PA'!$E$5:$E$2634='Analítico Cp.'!$B41),-('Diário 5º PA'!$Q$5:$Q$2634=C$1),('Diário 5º PA'!$F$5:$F$2634))
+SUMPRODUCT(-('Diário 6º PA'!$E$5:$E$2246='Analítico Cp.'!$B41),-('Diário 6º PA'!$Q$5:$Q$2246=C$1),('Diário 6º PA'!$F$5:$F$2246))
+SUMPRODUCT(-('Diário 7º PA'!$E$5:$E$2271='Analítico Cp.'!$B41),-('Diário 7º PA'!$Q$5:$Q$2271=C$1),('Diário 7º PA'!$F$5:$F$2271))
+SUMPRODUCT(-('Diário 8º PA'!$E$5:$E$2488='Analítico Cp.'!$B41),-('Diário 8º PA'!$Q$5:$Q$2488=C$1),('Diário 8º PA'!$F$5:$F$2488))
+SUMPRODUCT(-('Comp.'!$D$5:$D$313='Analítico Cp.'!$B41),-('Comp.'!$R$5:$R$313=C$1),('Comp.'!$E$5:$E$313))</f>
        <v>0</v>
      </c>
      <c r="D41" s="185">
        <f>SUMPRODUCT(-('Diário 5º PA'!$E$5:$E$2634='Analítico Cp.'!$B41),-('Diário 5º PA'!$Q$5:$Q$2634=D$1),('Diário 5º PA'!$F$5:$F$2634))
+SUMPRODUCT(-('Diário 6º PA'!$E$5:$E$2246='Analítico Cp.'!$B41),-('Diário 6º PA'!$Q$5:$Q$2246=D$1),('Diário 6º PA'!$F$5:$F$2246))
+SUMPRODUCT(-('Diário 7º PA'!$E$5:$E$2271='Analítico Cp.'!$B41),-('Diário 7º PA'!$Q$5:$Q$2271=D$1),('Diário 7º PA'!$F$5:$F$2271))
+SUMPRODUCT(-('Diário 8º PA'!$E$5:$E$2488='Analítico Cp.'!$B41),-('Diário 8º PA'!$Q$5:$Q$2488=D$1),('Diário 8º PA'!$F$5:$F$2488))
+SUMPRODUCT(-('Comp.'!$D$5:$D$313='Analítico Cp.'!$B41),-('Comp.'!$R$5:$R$313=D$1),('Comp.'!$E$5:$E$313))</f>
        <v>0</v>
      </c>
      <c r="E41" s="185">
        <f>SUMPRODUCT(-('Diário 5º PA'!$E$5:$E$2634='Analítico Cp.'!$B41),-('Diário 5º PA'!$Q$5:$Q$2634=E$1),('Diário 5º PA'!$F$5:$F$2634))
+SUMPRODUCT(-('Diário 6º PA'!$E$5:$E$2246='Analítico Cp.'!$B41),-('Diário 6º PA'!$Q$5:$Q$2246=E$1),('Diário 6º PA'!$F$5:$F$2246))
+SUMPRODUCT(-('Diário 7º PA'!$E$5:$E$2271='Analítico Cp.'!$B41),-('Diário 7º PA'!$Q$5:$Q$2271=E$1),('Diário 7º PA'!$F$5:$F$2271))
+SUMPRODUCT(-('Diário 8º PA'!$E$5:$E$2488='Analítico Cp.'!$B41),-('Diário 8º PA'!$Q$5:$Q$2488=E$1),('Diário 8º PA'!$F$5:$F$2488))
+SUMPRODUCT(-('Comp.'!$D$5:$D$313='Analítico Cp.'!$B41),-('Comp.'!$R$5:$R$313=E$1),('Comp.'!$E$5:$E$313))</f>
        <v>0</v>
      </c>
      <c r="F41" s="185">
        <f>SUMPRODUCT(-('Diário 5º PA'!$E$5:$E$2634='Analítico Cp.'!$B41),-('Diário 5º PA'!$Q$5:$Q$2634=F$1),('Diário 5º PA'!$F$5:$F$2634))
+SUMPRODUCT(-('Diário 6º PA'!$E$5:$E$2246='Analítico Cp.'!$B41),-('Diário 6º PA'!$Q$5:$Q$2246=F$1),('Diário 6º PA'!$F$5:$F$2246))
+SUMPRODUCT(-('Diário 7º PA'!$E$5:$E$2271='Analítico Cp.'!$B41),-('Diário 7º PA'!$Q$5:$Q$2271=F$1),('Diário 7º PA'!$F$5:$F$2271))
+SUMPRODUCT(-('Diário 8º PA'!$E$5:$E$2488='Analítico Cp.'!$B41),-('Diário 8º PA'!$Q$5:$Q$2488=F$1),('Diário 8º PA'!$F$5:$F$2488))
+SUMPRODUCT(-('Comp.'!$D$5:$D$313='Analítico Cp.'!$B41),-('Comp.'!$R$5:$R$313=F$1),('Comp.'!$E$5:$E$313))</f>
        <v>0</v>
      </c>
      <c r="G41" s="185">
        <f>SUMPRODUCT(-('Diário 5º PA'!$E$5:$E$2634='Analítico Cp.'!$B41),-('Diário 5º PA'!$Q$5:$Q$2634=G$1),('Diário 5º PA'!$F$5:$F$2634))
+SUMPRODUCT(-('Diário 6º PA'!$E$5:$E$2246='Analítico Cp.'!$B41),-('Diário 6º PA'!$Q$5:$Q$2246=G$1),('Diário 6º PA'!$F$5:$F$2246))
+SUMPRODUCT(-('Diário 7º PA'!$E$5:$E$2271='Analítico Cp.'!$B41),-('Diário 7º PA'!$Q$5:$Q$2271=G$1),('Diário 7º PA'!$F$5:$F$2271))
+SUMPRODUCT(-('Diário 8º PA'!$E$5:$E$2488='Analítico Cp.'!$B41),-('Diário 8º PA'!$Q$5:$Q$2488=G$1),('Diário 8º PA'!$F$5:$F$2488))
+SUMPRODUCT(-('Comp.'!$D$5:$D$313='Analítico Cp.'!$B41),-('Comp.'!$R$5:$R$313=G$1),('Comp.'!$E$5:$E$313))</f>
        <v>0</v>
      </c>
      <c r="H41" s="185">
        <f>SUMPRODUCT(-('Diário 5º PA'!$E$5:$E$2634='Analítico Cp.'!$B41),-('Diário 5º PA'!$Q$5:$Q$2634=H$1),('Diário 5º PA'!$F$5:$F$2634))
+SUMPRODUCT(-('Diário 6º PA'!$E$5:$E$2246='Analítico Cp.'!$B41),-('Diário 6º PA'!$Q$5:$Q$2246=H$1),('Diário 6º PA'!$F$5:$F$2246))
+SUMPRODUCT(-('Diário 7º PA'!$E$5:$E$2271='Analítico Cp.'!$B41),-('Diário 7º PA'!$Q$5:$Q$2271=H$1),('Diário 7º PA'!$F$5:$F$2271))
+SUMPRODUCT(-('Diário 8º PA'!$E$5:$E$2488='Analítico Cp.'!$B41),-('Diário 8º PA'!$Q$5:$Q$2488=H$1),('Diário 8º PA'!$F$5:$F$2488))
+SUMPRODUCT(-('Comp.'!$D$5:$D$313='Analítico Cp.'!$B41),-('Comp.'!$R$5:$R$313=H$1),('Comp.'!$E$5:$E$313))</f>
        <v>0</v>
      </c>
      <c r="I41" s="185">
        <f>SUMPRODUCT(-('Diário 5º PA'!$E$5:$E$2634='Analítico Cp.'!$B41),-('Diário 5º PA'!$Q$5:$Q$2634=I$1),('Diário 5º PA'!$F$5:$F$2634))
+SUMPRODUCT(-('Diário 6º PA'!$E$5:$E$2246='Analítico Cp.'!$B41),-('Diário 6º PA'!$Q$5:$Q$2246=I$1),('Diário 6º PA'!$F$5:$F$2246))
+SUMPRODUCT(-('Diário 7º PA'!$E$5:$E$2271='Analítico Cp.'!$B41),-('Diário 7º PA'!$Q$5:$Q$2271=I$1),('Diário 7º PA'!$F$5:$F$2271))
+SUMPRODUCT(-('Diário 8º PA'!$E$5:$E$2488='Analítico Cp.'!$B41),-('Diário 8º PA'!$Q$5:$Q$2488=I$1),('Diário 8º PA'!$F$5:$F$2488))
+SUMPRODUCT(-('Comp.'!$D$5:$D$313='Analítico Cp.'!$B41),-('Comp.'!$R$5:$R$313=I$1),('Comp.'!$E$5:$E$313))</f>
        <v>0</v>
      </c>
      <c r="J41" s="185">
        <f>SUMPRODUCT(-('Diário 5º PA'!$E$5:$E$2634='Analítico Cp.'!$B41),-('Diário 5º PA'!$Q$5:$Q$2634=J$1),('Diário 5º PA'!$F$5:$F$2634))
+SUMPRODUCT(-('Diário 6º PA'!$E$5:$E$2246='Analítico Cp.'!$B41),-('Diário 6º PA'!$Q$5:$Q$2246=J$1),('Diário 6º PA'!$F$5:$F$2246))
+SUMPRODUCT(-('Diário 7º PA'!$E$5:$E$2271='Analítico Cp.'!$B41),-('Diário 7º PA'!$Q$5:$Q$2271=J$1),('Diário 7º PA'!$F$5:$F$2271))
+SUMPRODUCT(-('Diário 8º PA'!$E$5:$E$2488='Analítico Cp.'!$B41),-('Diário 8º PA'!$Q$5:$Q$2488=J$1),('Diário 8º PA'!$F$5:$F$2488))
+SUMPRODUCT(-('Comp.'!$D$5:$D$313='Analítico Cp.'!$B41),-('Comp.'!$R$5:$R$313=J$1),('Comp.'!$E$5:$E$313))</f>
        <v>0</v>
      </c>
      <c r="K41" s="185">
        <f>SUMPRODUCT(-('Diário 5º PA'!$E$5:$E$2634='Analítico Cp.'!$B41),-('Diário 5º PA'!$Q$5:$Q$2634=K$1),('Diário 5º PA'!$F$5:$F$2634))
+SUMPRODUCT(-('Diário 6º PA'!$E$5:$E$2246='Analítico Cp.'!$B41),-('Diário 6º PA'!$Q$5:$Q$2246=K$1),('Diário 6º PA'!$F$5:$F$2246))
+SUMPRODUCT(-('Diário 7º PA'!$E$5:$E$2271='Analítico Cp.'!$B41),-('Diário 7º PA'!$Q$5:$Q$2271=K$1),('Diário 7º PA'!$F$5:$F$2271))
+SUMPRODUCT(-('Diário 8º PA'!$E$5:$E$2488='Analítico Cp.'!$B41),-('Diário 8º PA'!$Q$5:$Q$2488=K$1),('Diário 8º PA'!$F$5:$F$2488))
+SUMPRODUCT(-('Comp.'!$D$5:$D$313='Analítico Cp.'!$B41),-('Comp.'!$R$5:$R$313=K$1),('Comp.'!$E$5:$E$313))</f>
        <v>0</v>
      </c>
      <c r="L41" s="185">
        <f>SUMPRODUCT(-('Diário 5º PA'!$E$5:$E$2634='Analítico Cp.'!$B41),-('Diário 5º PA'!$Q$5:$Q$2634=L$1),('Diário 5º PA'!$F$5:$F$2634))
+SUMPRODUCT(-('Diário 6º PA'!$E$5:$E$2246='Analítico Cp.'!$B41),-('Diário 6º PA'!$Q$5:$Q$2246=L$1),('Diário 6º PA'!$F$5:$F$2246))
+SUMPRODUCT(-('Diário 7º PA'!$E$5:$E$2271='Analítico Cp.'!$B41),-('Diário 7º PA'!$Q$5:$Q$2271=L$1),('Diário 7º PA'!$F$5:$F$2271))
+SUMPRODUCT(-('Diário 8º PA'!$E$5:$E$2488='Analítico Cp.'!$B41),-('Diário 8º PA'!$Q$5:$Q$2488=L$1),('Diário 8º PA'!$F$5:$F$2488))
+SUMPRODUCT(-('Comp.'!$D$5:$D$313='Analítico Cp.'!$B41),-('Comp.'!$R$5:$R$313=L$1),('Comp.'!$E$5:$E$313))</f>
        <v>0</v>
      </c>
      <c r="M41" s="185">
        <f>SUMPRODUCT(-('Diário 5º PA'!$E$5:$E$2634='Analítico Cp.'!$B41),-('Diário 5º PA'!$Q$5:$Q$2634=M$1),('Diário 5º PA'!$F$5:$F$2634))
+SUMPRODUCT(-('Diário 6º PA'!$E$5:$E$2246='Analítico Cp.'!$B41),-('Diário 6º PA'!$Q$5:$Q$2246=M$1),('Diário 6º PA'!$F$5:$F$2246))
+SUMPRODUCT(-('Diário 7º PA'!$E$5:$E$2271='Analítico Cp.'!$B41),-('Diário 7º PA'!$Q$5:$Q$2271=M$1),('Diário 7º PA'!$F$5:$F$2271))
+SUMPRODUCT(-('Diário 8º PA'!$E$5:$E$2488='Analítico Cp.'!$B41),-('Diário 8º PA'!$Q$5:$Q$2488=M$1),('Diário 8º PA'!$F$5:$F$2488))
+SUMPRODUCT(-('Comp.'!$D$5:$D$313='Analítico Cp.'!$B41),-('Comp.'!$R$5:$R$313=M$1),('Comp.'!$E$5:$E$313))</f>
        <v>0</v>
      </c>
      <c r="N41" s="185">
        <f>SUMPRODUCT(-('Diário 5º PA'!$E$5:$E$2634='Analítico Cp.'!$B41),-('Diário 5º PA'!$Q$5:$Q$2634=N$1),('Diário 5º PA'!$F$5:$F$2634))
+SUMPRODUCT(-('Diário 6º PA'!$E$5:$E$2246='Analítico Cp.'!$B41),-('Diário 6º PA'!$Q$5:$Q$2246=N$1),('Diário 6º PA'!$F$5:$F$2246))
+SUMPRODUCT(-('Diário 7º PA'!$E$5:$E$2271='Analítico Cp.'!$B41),-('Diário 7º PA'!$Q$5:$Q$2271=N$1),('Diário 7º PA'!$F$5:$F$2271))
+SUMPRODUCT(-('Diário 8º PA'!$E$5:$E$2488='Analítico Cp.'!$B41),-('Diário 8º PA'!$Q$5:$Q$2488=N$1),('Diário 8º PA'!$F$5:$F$2488))
+SUMPRODUCT(-('Comp.'!$D$5:$D$313='Analítico Cp.'!$B41),-('Comp.'!$R$5:$R$313=N$1),('Comp.'!$E$5:$E$313))</f>
        <v>0</v>
      </c>
      <c r="O41" s="186">
        <f t="shared" si="9"/>
        <v>0</v>
      </c>
      <c r="P41" s="187">
        <f t="shared" si="10"/>
        <v>0</v>
      </c>
      <c r="Q41" s="34"/>
      <c r="R41" s="34"/>
      <c r="S41" s="34"/>
      <c r="T41" s="34"/>
      <c r="U41" s="34"/>
      <c r="V41" s="34"/>
      <c r="W41" s="34"/>
      <c r="X41" s="34"/>
      <c r="Y41" s="34"/>
      <c r="Z41" s="34"/>
    </row>
    <row r="42" spans="1:26" ht="23.25" customHeight="1" x14ac:dyDescent="0.2">
      <c r="A42" s="203" t="s">
        <v>188</v>
      </c>
      <c r="B42" s="204" t="s">
        <v>189</v>
      </c>
      <c r="C42" s="185">
        <f>SUMPRODUCT(-('Diário 5º PA'!$E$5:$E$2634='Analítico Cp.'!$B42),-('Diário 5º PA'!$Q$5:$Q$2634=C$1),('Diário 5º PA'!$F$5:$F$2634))
+SUMPRODUCT(-('Diário 6º PA'!$E$5:$E$2246='Analítico Cp.'!$B42),-('Diário 6º PA'!$Q$5:$Q$2246=C$1),('Diário 6º PA'!$F$5:$F$2246))
+SUMPRODUCT(-('Diário 7º PA'!$E$5:$E$2271='Analítico Cp.'!$B42),-('Diário 7º PA'!$Q$5:$Q$2271=C$1),('Diário 7º PA'!$F$5:$F$2271))
+SUMPRODUCT(-('Diário 8º PA'!$E$5:$E$2488='Analítico Cp.'!$B42),-('Diário 8º PA'!$Q$5:$Q$2488=C$1),('Diário 8º PA'!$F$5:$F$2488))
+SUMPRODUCT(-('Comp.'!$D$5:$D$313='Analítico Cp.'!$B42),-('Comp.'!$R$5:$R$313=C$1),('Comp.'!$E$5:$E$313))</f>
        <v>0</v>
      </c>
      <c r="D42" s="185">
        <f>SUMPRODUCT(-('Diário 5º PA'!$E$5:$E$2634='Analítico Cp.'!$B42),-('Diário 5º PA'!$Q$5:$Q$2634=D$1),('Diário 5º PA'!$F$5:$F$2634))
+SUMPRODUCT(-('Diário 6º PA'!$E$5:$E$2246='Analítico Cp.'!$B42),-('Diário 6º PA'!$Q$5:$Q$2246=D$1),('Diário 6º PA'!$F$5:$F$2246))
+SUMPRODUCT(-('Diário 7º PA'!$E$5:$E$2271='Analítico Cp.'!$B42),-('Diário 7º PA'!$Q$5:$Q$2271=D$1),('Diário 7º PA'!$F$5:$F$2271))
+SUMPRODUCT(-('Diário 8º PA'!$E$5:$E$2488='Analítico Cp.'!$B42),-('Diário 8º PA'!$Q$5:$Q$2488=D$1),('Diário 8º PA'!$F$5:$F$2488))
+SUMPRODUCT(-('Comp.'!$D$5:$D$313='Analítico Cp.'!$B42),-('Comp.'!$R$5:$R$313=D$1),('Comp.'!$E$5:$E$313))</f>
        <v>0</v>
      </c>
      <c r="E42" s="185">
        <f>SUMPRODUCT(-('Diário 5º PA'!$E$5:$E$2634='Analítico Cp.'!$B42),-('Diário 5º PA'!$Q$5:$Q$2634=E$1),('Diário 5º PA'!$F$5:$F$2634))
+SUMPRODUCT(-('Diário 6º PA'!$E$5:$E$2246='Analítico Cp.'!$B42),-('Diário 6º PA'!$Q$5:$Q$2246=E$1),('Diário 6º PA'!$F$5:$F$2246))
+SUMPRODUCT(-('Diário 7º PA'!$E$5:$E$2271='Analítico Cp.'!$B42),-('Diário 7º PA'!$Q$5:$Q$2271=E$1),('Diário 7º PA'!$F$5:$F$2271))
+SUMPRODUCT(-('Diário 8º PA'!$E$5:$E$2488='Analítico Cp.'!$B42),-('Diário 8º PA'!$Q$5:$Q$2488=E$1),('Diário 8º PA'!$F$5:$F$2488))
+SUMPRODUCT(-('Comp.'!$D$5:$D$313='Analítico Cp.'!$B42),-('Comp.'!$R$5:$R$313=E$1),('Comp.'!$E$5:$E$313))</f>
        <v>0</v>
      </c>
      <c r="F42" s="185">
        <f>SUMPRODUCT(-('Diário 5º PA'!$E$5:$E$2634='Analítico Cp.'!$B42),-('Diário 5º PA'!$Q$5:$Q$2634=F$1),('Diário 5º PA'!$F$5:$F$2634))
+SUMPRODUCT(-('Diário 6º PA'!$E$5:$E$2246='Analítico Cp.'!$B42),-('Diário 6º PA'!$Q$5:$Q$2246=F$1),('Diário 6º PA'!$F$5:$F$2246))
+SUMPRODUCT(-('Diário 7º PA'!$E$5:$E$2271='Analítico Cp.'!$B42),-('Diário 7º PA'!$Q$5:$Q$2271=F$1),('Diário 7º PA'!$F$5:$F$2271))
+SUMPRODUCT(-('Diário 8º PA'!$E$5:$E$2488='Analítico Cp.'!$B42),-('Diário 8º PA'!$Q$5:$Q$2488=F$1),('Diário 8º PA'!$F$5:$F$2488))
+SUMPRODUCT(-('Comp.'!$D$5:$D$313='Analítico Cp.'!$B42),-('Comp.'!$R$5:$R$313=F$1),('Comp.'!$E$5:$E$313))</f>
        <v>0</v>
      </c>
      <c r="G42" s="185">
        <f>SUMPRODUCT(-('Diário 5º PA'!$E$5:$E$2634='Analítico Cp.'!$B42),-('Diário 5º PA'!$Q$5:$Q$2634=G$1),('Diário 5º PA'!$F$5:$F$2634))
+SUMPRODUCT(-('Diário 6º PA'!$E$5:$E$2246='Analítico Cp.'!$B42),-('Diário 6º PA'!$Q$5:$Q$2246=G$1),('Diário 6º PA'!$F$5:$F$2246))
+SUMPRODUCT(-('Diário 7º PA'!$E$5:$E$2271='Analítico Cp.'!$B42),-('Diário 7º PA'!$Q$5:$Q$2271=G$1),('Diário 7º PA'!$F$5:$F$2271))
+SUMPRODUCT(-('Diário 8º PA'!$E$5:$E$2488='Analítico Cp.'!$B42),-('Diário 8º PA'!$Q$5:$Q$2488=G$1),('Diário 8º PA'!$F$5:$F$2488))
+SUMPRODUCT(-('Comp.'!$D$5:$D$313='Analítico Cp.'!$B42),-('Comp.'!$R$5:$R$313=G$1),('Comp.'!$E$5:$E$313))</f>
        <v>0</v>
      </c>
      <c r="H42" s="185">
        <f>SUMPRODUCT(-('Diário 5º PA'!$E$5:$E$2634='Analítico Cp.'!$B42),-('Diário 5º PA'!$Q$5:$Q$2634=H$1),('Diário 5º PA'!$F$5:$F$2634))
+SUMPRODUCT(-('Diário 6º PA'!$E$5:$E$2246='Analítico Cp.'!$B42),-('Diário 6º PA'!$Q$5:$Q$2246=H$1),('Diário 6º PA'!$F$5:$F$2246))
+SUMPRODUCT(-('Diário 7º PA'!$E$5:$E$2271='Analítico Cp.'!$B42),-('Diário 7º PA'!$Q$5:$Q$2271=H$1),('Diário 7º PA'!$F$5:$F$2271))
+SUMPRODUCT(-('Diário 8º PA'!$E$5:$E$2488='Analítico Cp.'!$B42),-('Diário 8º PA'!$Q$5:$Q$2488=H$1),('Diário 8º PA'!$F$5:$F$2488))
+SUMPRODUCT(-('Comp.'!$D$5:$D$313='Analítico Cp.'!$B42),-('Comp.'!$R$5:$R$313=H$1),('Comp.'!$E$5:$E$313))</f>
        <v>0</v>
      </c>
      <c r="I42" s="185">
        <f>SUMPRODUCT(-('Diário 5º PA'!$E$5:$E$2634='Analítico Cp.'!$B42),-('Diário 5º PA'!$Q$5:$Q$2634=I$1),('Diário 5º PA'!$F$5:$F$2634))
+SUMPRODUCT(-('Diário 6º PA'!$E$5:$E$2246='Analítico Cp.'!$B42),-('Diário 6º PA'!$Q$5:$Q$2246=I$1),('Diário 6º PA'!$F$5:$F$2246))
+SUMPRODUCT(-('Diário 7º PA'!$E$5:$E$2271='Analítico Cp.'!$B42),-('Diário 7º PA'!$Q$5:$Q$2271=I$1),('Diário 7º PA'!$F$5:$F$2271))
+SUMPRODUCT(-('Diário 8º PA'!$E$5:$E$2488='Analítico Cp.'!$B42),-('Diário 8º PA'!$Q$5:$Q$2488=I$1),('Diário 8º PA'!$F$5:$F$2488))
+SUMPRODUCT(-('Comp.'!$D$5:$D$313='Analítico Cp.'!$B42),-('Comp.'!$R$5:$R$313=I$1),('Comp.'!$E$5:$E$313))</f>
        <v>0</v>
      </c>
      <c r="J42" s="185">
        <f>SUMPRODUCT(-('Diário 5º PA'!$E$5:$E$2634='Analítico Cp.'!$B42),-('Diário 5º PA'!$Q$5:$Q$2634=J$1),('Diário 5º PA'!$F$5:$F$2634))
+SUMPRODUCT(-('Diário 6º PA'!$E$5:$E$2246='Analítico Cp.'!$B42),-('Diário 6º PA'!$Q$5:$Q$2246=J$1),('Diário 6º PA'!$F$5:$F$2246))
+SUMPRODUCT(-('Diário 7º PA'!$E$5:$E$2271='Analítico Cp.'!$B42),-('Diário 7º PA'!$Q$5:$Q$2271=J$1),('Diário 7º PA'!$F$5:$F$2271))
+SUMPRODUCT(-('Diário 8º PA'!$E$5:$E$2488='Analítico Cp.'!$B42),-('Diário 8º PA'!$Q$5:$Q$2488=J$1),('Diário 8º PA'!$F$5:$F$2488))
+SUMPRODUCT(-('Comp.'!$D$5:$D$313='Analítico Cp.'!$B42),-('Comp.'!$R$5:$R$313=J$1),('Comp.'!$E$5:$E$313))</f>
        <v>0</v>
      </c>
      <c r="K42" s="185">
        <f>SUMPRODUCT(-('Diário 5º PA'!$E$5:$E$2634='Analítico Cp.'!$B42),-('Diário 5º PA'!$Q$5:$Q$2634=K$1),('Diário 5º PA'!$F$5:$F$2634))
+SUMPRODUCT(-('Diário 6º PA'!$E$5:$E$2246='Analítico Cp.'!$B42),-('Diário 6º PA'!$Q$5:$Q$2246=K$1),('Diário 6º PA'!$F$5:$F$2246))
+SUMPRODUCT(-('Diário 7º PA'!$E$5:$E$2271='Analítico Cp.'!$B42),-('Diário 7º PA'!$Q$5:$Q$2271=K$1),('Diário 7º PA'!$F$5:$F$2271))
+SUMPRODUCT(-('Diário 8º PA'!$E$5:$E$2488='Analítico Cp.'!$B42),-('Diário 8º PA'!$Q$5:$Q$2488=K$1),('Diário 8º PA'!$F$5:$F$2488))
+SUMPRODUCT(-('Comp.'!$D$5:$D$313='Analítico Cp.'!$B42),-('Comp.'!$R$5:$R$313=K$1),('Comp.'!$E$5:$E$313))</f>
        <v>0</v>
      </c>
      <c r="L42" s="185">
        <f>SUMPRODUCT(-('Diário 5º PA'!$E$5:$E$2634='Analítico Cp.'!$B42),-('Diário 5º PA'!$Q$5:$Q$2634=L$1),('Diário 5º PA'!$F$5:$F$2634))
+SUMPRODUCT(-('Diário 6º PA'!$E$5:$E$2246='Analítico Cp.'!$B42),-('Diário 6º PA'!$Q$5:$Q$2246=L$1),('Diário 6º PA'!$F$5:$F$2246))
+SUMPRODUCT(-('Diário 7º PA'!$E$5:$E$2271='Analítico Cp.'!$B42),-('Diário 7º PA'!$Q$5:$Q$2271=L$1),('Diário 7º PA'!$F$5:$F$2271))
+SUMPRODUCT(-('Diário 8º PA'!$E$5:$E$2488='Analítico Cp.'!$B42),-('Diário 8º PA'!$Q$5:$Q$2488=L$1),('Diário 8º PA'!$F$5:$F$2488))
+SUMPRODUCT(-('Comp.'!$D$5:$D$313='Analítico Cp.'!$B42),-('Comp.'!$R$5:$R$313=L$1),('Comp.'!$E$5:$E$313))</f>
        <v>0</v>
      </c>
      <c r="M42" s="185">
        <f>SUMPRODUCT(-('Diário 5º PA'!$E$5:$E$2634='Analítico Cp.'!$B42),-('Diário 5º PA'!$Q$5:$Q$2634=M$1),('Diário 5º PA'!$F$5:$F$2634))
+SUMPRODUCT(-('Diário 6º PA'!$E$5:$E$2246='Analítico Cp.'!$B42),-('Diário 6º PA'!$Q$5:$Q$2246=M$1),('Diário 6º PA'!$F$5:$F$2246))
+SUMPRODUCT(-('Diário 7º PA'!$E$5:$E$2271='Analítico Cp.'!$B42),-('Diário 7º PA'!$Q$5:$Q$2271=M$1),('Diário 7º PA'!$F$5:$F$2271))
+SUMPRODUCT(-('Diário 8º PA'!$E$5:$E$2488='Analítico Cp.'!$B42),-('Diário 8º PA'!$Q$5:$Q$2488=M$1),('Diário 8º PA'!$F$5:$F$2488))
+SUMPRODUCT(-('Comp.'!$D$5:$D$313='Analítico Cp.'!$B42),-('Comp.'!$R$5:$R$313=M$1),('Comp.'!$E$5:$E$313))</f>
        <v>0</v>
      </c>
      <c r="N42" s="185">
        <f>SUMPRODUCT(-('Diário 5º PA'!$E$5:$E$2634='Analítico Cp.'!$B42),-('Diário 5º PA'!$Q$5:$Q$2634=N$1),('Diário 5º PA'!$F$5:$F$2634))
+SUMPRODUCT(-('Diário 6º PA'!$E$5:$E$2246='Analítico Cp.'!$B42),-('Diário 6º PA'!$Q$5:$Q$2246=N$1),('Diário 6º PA'!$F$5:$F$2246))
+SUMPRODUCT(-('Diário 7º PA'!$E$5:$E$2271='Analítico Cp.'!$B42),-('Diário 7º PA'!$Q$5:$Q$2271=N$1),('Diário 7º PA'!$F$5:$F$2271))
+SUMPRODUCT(-('Diário 8º PA'!$E$5:$E$2488='Analítico Cp.'!$B42),-('Diário 8º PA'!$Q$5:$Q$2488=N$1),('Diário 8º PA'!$F$5:$F$2488))
+SUMPRODUCT(-('Comp.'!$D$5:$D$313='Analítico Cp.'!$B42),-('Comp.'!$R$5:$R$313=N$1),('Comp.'!$E$5:$E$313))</f>
        <v>0</v>
      </c>
      <c r="O42" s="186">
        <f t="shared" si="9"/>
        <v>0</v>
      </c>
      <c r="P42" s="187">
        <f t="shared" si="10"/>
        <v>0</v>
      </c>
      <c r="Q42" s="213"/>
      <c r="R42" s="213"/>
      <c r="S42" s="213"/>
      <c r="T42" s="213"/>
      <c r="U42" s="213"/>
      <c r="V42" s="213"/>
      <c r="W42" s="213"/>
      <c r="X42" s="213"/>
      <c r="Y42" s="213"/>
      <c r="Z42" s="213"/>
    </row>
    <row r="43" spans="1:26" ht="23.25" customHeight="1" x14ac:dyDescent="0.2">
      <c r="A43" s="205"/>
      <c r="B43" s="206" t="s">
        <v>190</v>
      </c>
      <c r="C43" s="207">
        <f t="shared" ref="C43:O43" si="11">SUBTOTAL(109,C31:C42)</f>
        <v>51608.343261800444</v>
      </c>
      <c r="D43" s="207">
        <f t="shared" si="11"/>
        <v>61934.141942263741</v>
      </c>
      <c r="E43" s="207">
        <f t="shared" si="11"/>
        <v>51167.54970084579</v>
      </c>
      <c r="F43" s="207">
        <f t="shared" si="11"/>
        <v>52325.507434179082</v>
      </c>
      <c r="G43" s="207">
        <f t="shared" si="11"/>
        <v>55207.072651464412</v>
      </c>
      <c r="H43" s="207">
        <f t="shared" si="11"/>
        <v>60927.280487500044</v>
      </c>
      <c r="I43" s="207">
        <f t="shared" si="11"/>
        <v>81399.225907979955</v>
      </c>
      <c r="J43" s="207">
        <f t="shared" si="11"/>
        <v>102889.95845171624</v>
      </c>
      <c r="K43" s="207">
        <f t="shared" si="11"/>
        <v>103983.52756973462</v>
      </c>
      <c r="L43" s="207">
        <f t="shared" si="11"/>
        <v>128423.12541686792</v>
      </c>
      <c r="M43" s="207">
        <f t="shared" si="11"/>
        <v>121689.5785700054</v>
      </c>
      <c r="N43" s="207">
        <f t="shared" si="11"/>
        <v>128860.29617538443</v>
      </c>
      <c r="O43" s="207">
        <f t="shared" si="11"/>
        <v>1000415.607569742</v>
      </c>
      <c r="P43" s="214">
        <f t="shared" si="10"/>
        <v>0.1031890258548992</v>
      </c>
      <c r="Q43" s="34"/>
      <c r="R43" s="34"/>
      <c r="S43" s="34"/>
      <c r="T43" s="34"/>
      <c r="U43" s="34"/>
      <c r="V43" s="34"/>
      <c r="W43" s="34"/>
      <c r="X43" s="34"/>
      <c r="Y43" s="34"/>
      <c r="Z43" s="34"/>
    </row>
    <row r="44" spans="1:26" ht="23.25" customHeight="1" x14ac:dyDescent="0.2">
      <c r="A44" s="181" t="s">
        <v>95</v>
      </c>
      <c r="B44" s="201" t="s">
        <v>96</v>
      </c>
      <c r="C44" s="211"/>
      <c r="D44" s="211"/>
      <c r="E44" s="211"/>
      <c r="F44" s="211"/>
      <c r="G44" s="211"/>
      <c r="H44" s="211"/>
      <c r="I44" s="211"/>
      <c r="J44" s="211"/>
      <c r="K44" s="211"/>
      <c r="L44" s="211"/>
      <c r="M44" s="211"/>
      <c r="N44" s="211"/>
      <c r="O44" s="211"/>
      <c r="P44" s="187"/>
      <c r="Q44" s="34"/>
      <c r="R44" s="34"/>
      <c r="S44" s="34"/>
      <c r="T44" s="34"/>
      <c r="U44" s="34"/>
      <c r="V44" s="34"/>
      <c r="W44" s="34"/>
      <c r="X44" s="34"/>
      <c r="Y44" s="34"/>
      <c r="Z44" s="34"/>
    </row>
    <row r="45" spans="1:26" ht="23.25" customHeight="1" x14ac:dyDescent="0.2">
      <c r="A45" s="215" t="s">
        <v>191</v>
      </c>
      <c r="B45" s="72" t="s">
        <v>192</v>
      </c>
      <c r="C45" s="185">
        <f>SUMPRODUCT(-('Diário 5º PA'!$E$5:$E$2634='Analítico Cp.'!$B45),-('Diário 5º PA'!$Q$5:$Q$2634=C$1),('Diário 5º PA'!$F$5:$F$2634))
+SUMPRODUCT(-('Diário 6º PA'!$E$5:$E$2246='Analítico Cp.'!$B45),-('Diário 6º PA'!$Q$5:$Q$2246=C$1),('Diário 6º PA'!$F$5:$F$2246))
+SUMPRODUCT(-('Diário 7º PA'!$E$5:$E$2271='Analítico Cp.'!$B45),-('Diário 7º PA'!$Q$5:$Q$2271=C$1),('Diário 7º PA'!$F$5:$F$2271))
+SUMPRODUCT(-('Diário 8º PA'!$E$5:$E$2488='Analítico Cp.'!$B45),-('Diário 8º PA'!$Q$5:$Q$2488=C$1),('Diário 8º PA'!$F$5:$F$2488))
+SUMPRODUCT(-('Comp.'!$D$5:$D$313='Analítico Cp.'!$B45),-('Comp.'!$R$5:$R$313=C$1),('Comp.'!$E$5:$E$313))</f>
        <v>0.27</v>
      </c>
      <c r="D45" s="185">
        <f>SUMPRODUCT(-('Diário 5º PA'!$E$5:$E$2634='Analítico Cp.'!$B45),-('Diário 5º PA'!$Q$5:$Q$2634=D$1),('Diário 5º PA'!$F$5:$F$2634))
+SUMPRODUCT(-('Diário 6º PA'!$E$5:$E$2246='Analítico Cp.'!$B45),-('Diário 6º PA'!$Q$5:$Q$2246=D$1),('Diário 6º PA'!$F$5:$F$2246))
+SUMPRODUCT(-('Diário 7º PA'!$E$5:$E$2271='Analítico Cp.'!$B45),-('Diário 7º PA'!$Q$5:$Q$2271=D$1),('Diário 7º PA'!$F$5:$F$2271))
+SUMPRODUCT(-('Diário 8º PA'!$E$5:$E$2488='Analítico Cp.'!$B45),-('Diário 8º PA'!$Q$5:$Q$2488=D$1),('Diário 8º PA'!$F$5:$F$2488))
+SUMPRODUCT(-('Comp.'!$D$5:$D$313='Analítico Cp.'!$B45),-('Comp.'!$R$5:$R$313=D$1),('Comp.'!$E$5:$E$313))</f>
        <v>551.19000000000005</v>
      </c>
      <c r="E45" s="185">
        <f>SUMPRODUCT(-('Diário 5º PA'!$E$5:$E$2634='Analítico Cp.'!$B45),-('Diário 5º PA'!$Q$5:$Q$2634=E$1),('Diário 5º PA'!$F$5:$F$2634))
+SUMPRODUCT(-('Diário 6º PA'!$E$5:$E$2246='Analítico Cp.'!$B45),-('Diário 6º PA'!$Q$5:$Q$2246=E$1),('Diário 6º PA'!$F$5:$F$2246))
+SUMPRODUCT(-('Diário 7º PA'!$E$5:$E$2271='Analítico Cp.'!$B45),-('Diário 7º PA'!$Q$5:$Q$2271=E$1),('Diário 7º PA'!$F$5:$F$2271))
+SUMPRODUCT(-('Diário 8º PA'!$E$5:$E$2488='Analítico Cp.'!$B45),-('Diário 8º PA'!$Q$5:$Q$2488=E$1),('Diário 8º PA'!$F$5:$F$2488))
+SUMPRODUCT(-('Comp.'!$D$5:$D$313='Analítico Cp.'!$B45),-('Comp.'!$R$5:$R$313=E$1),('Comp.'!$E$5:$E$313))</f>
        <v>897.68999999999994</v>
      </c>
      <c r="F45" s="185">
        <f>SUMPRODUCT(-('Diário 5º PA'!$E$5:$E$2634='Analítico Cp.'!$B45),-('Diário 5º PA'!$Q$5:$Q$2634=F$1),('Diário 5º PA'!$F$5:$F$2634))
+SUMPRODUCT(-('Diário 6º PA'!$E$5:$E$2246='Analítico Cp.'!$B45),-('Diário 6º PA'!$Q$5:$Q$2246=F$1),('Diário 6º PA'!$F$5:$F$2246))
+SUMPRODUCT(-('Diário 7º PA'!$E$5:$E$2271='Analítico Cp.'!$B45),-('Diário 7º PA'!$Q$5:$Q$2271=F$1),('Diário 7º PA'!$F$5:$F$2271))
+SUMPRODUCT(-('Diário 8º PA'!$E$5:$E$2488='Analítico Cp.'!$B45),-('Diário 8º PA'!$Q$5:$Q$2488=F$1),('Diário 8º PA'!$F$5:$F$2488))
+SUMPRODUCT(-('Comp.'!$D$5:$D$313='Analítico Cp.'!$B45),-('Comp.'!$R$5:$R$313=F$1),('Comp.'!$E$5:$E$313))</f>
        <v>0</v>
      </c>
      <c r="G45" s="185">
        <f>SUMPRODUCT(-('Diário 5º PA'!$E$5:$E$2634='Analítico Cp.'!$B45),-('Diário 5º PA'!$Q$5:$Q$2634=G$1),('Diário 5º PA'!$F$5:$F$2634))
+SUMPRODUCT(-('Diário 6º PA'!$E$5:$E$2246='Analítico Cp.'!$B45),-('Diário 6º PA'!$Q$5:$Q$2246=G$1),('Diário 6º PA'!$F$5:$F$2246))
+SUMPRODUCT(-('Diário 7º PA'!$E$5:$E$2271='Analítico Cp.'!$B45),-('Diário 7º PA'!$Q$5:$Q$2271=G$1),('Diário 7º PA'!$F$5:$F$2271))
+SUMPRODUCT(-('Diário 8º PA'!$E$5:$E$2488='Analítico Cp.'!$B45),-('Diário 8º PA'!$Q$5:$Q$2488=G$1),('Diário 8º PA'!$F$5:$F$2488))
+SUMPRODUCT(-('Comp.'!$D$5:$D$313='Analítico Cp.'!$B45),-('Comp.'!$R$5:$R$313=G$1),('Comp.'!$E$5:$E$313))</f>
        <v>260.57</v>
      </c>
      <c r="H45" s="185">
        <f>SUMPRODUCT(-('Diário 5º PA'!$E$5:$E$2634='Analítico Cp.'!$B45),-('Diário 5º PA'!$Q$5:$Q$2634=H$1),('Diário 5º PA'!$F$5:$F$2634))
+SUMPRODUCT(-('Diário 6º PA'!$E$5:$E$2246='Analítico Cp.'!$B45),-('Diário 6º PA'!$Q$5:$Q$2246=H$1),('Diário 6º PA'!$F$5:$F$2246))
+SUMPRODUCT(-('Diário 7º PA'!$E$5:$E$2271='Analítico Cp.'!$B45),-('Diário 7º PA'!$Q$5:$Q$2271=H$1),('Diário 7º PA'!$F$5:$F$2271))
+SUMPRODUCT(-('Diário 8º PA'!$E$5:$E$2488='Analítico Cp.'!$B45),-('Diário 8º PA'!$Q$5:$Q$2488=H$1),('Diário 8º PA'!$F$5:$F$2488))
+SUMPRODUCT(-('Comp.'!$D$5:$D$313='Analítico Cp.'!$B45),-('Comp.'!$R$5:$R$313=H$1),('Comp.'!$E$5:$E$313))</f>
        <v>278.74</v>
      </c>
      <c r="I45" s="185">
        <f>SUMPRODUCT(-('Diário 5º PA'!$E$5:$E$2634='Analítico Cp.'!$B45),-('Diário 5º PA'!$Q$5:$Q$2634=I$1),('Diário 5º PA'!$F$5:$F$2634))
+SUMPRODUCT(-('Diário 6º PA'!$E$5:$E$2246='Analítico Cp.'!$B45),-('Diário 6º PA'!$Q$5:$Q$2246=I$1),('Diário 6º PA'!$F$5:$F$2246))
+SUMPRODUCT(-('Diário 7º PA'!$E$5:$E$2271='Analítico Cp.'!$B45),-('Diário 7º PA'!$Q$5:$Q$2271=I$1),('Diário 7º PA'!$F$5:$F$2271))
+SUMPRODUCT(-('Diário 8º PA'!$E$5:$E$2488='Analítico Cp.'!$B45),-('Diário 8º PA'!$Q$5:$Q$2488=I$1),('Diário 8º PA'!$F$5:$F$2488))
+SUMPRODUCT(-('Comp.'!$D$5:$D$313='Analítico Cp.'!$B45),-('Comp.'!$R$5:$R$313=I$1),('Comp.'!$E$5:$E$313))</f>
        <v>290.88999999999993</v>
      </c>
      <c r="J45" s="185">
        <f>SUMPRODUCT(-('Diário 5º PA'!$E$5:$E$2634='Analítico Cp.'!$B45),-('Diário 5º PA'!$Q$5:$Q$2634=J$1),('Diário 5º PA'!$F$5:$F$2634))
+SUMPRODUCT(-('Diário 6º PA'!$E$5:$E$2246='Analítico Cp.'!$B45),-('Diário 6º PA'!$Q$5:$Q$2246=J$1),('Diário 6º PA'!$F$5:$F$2246))
+SUMPRODUCT(-('Diário 7º PA'!$E$5:$E$2271='Analítico Cp.'!$B45),-('Diário 7º PA'!$Q$5:$Q$2271=J$1),('Diário 7º PA'!$F$5:$F$2271))
+SUMPRODUCT(-('Diário 8º PA'!$E$5:$E$2488='Analítico Cp.'!$B45),-('Diário 8º PA'!$Q$5:$Q$2488=J$1),('Diário 8º PA'!$F$5:$F$2488))
+SUMPRODUCT(-('Comp.'!$D$5:$D$313='Analítico Cp.'!$B45),-('Comp.'!$R$5:$R$313=J$1),('Comp.'!$E$5:$E$313))</f>
        <v>369.65000000000003</v>
      </c>
      <c r="K45" s="185">
        <f>SUMPRODUCT(-('Diário 5º PA'!$E$5:$E$2634='Analítico Cp.'!$B45),-('Diário 5º PA'!$Q$5:$Q$2634=K$1),('Diário 5º PA'!$F$5:$F$2634))
+SUMPRODUCT(-('Diário 6º PA'!$E$5:$E$2246='Analítico Cp.'!$B45),-('Diário 6º PA'!$Q$5:$Q$2246=K$1),('Diário 6º PA'!$F$5:$F$2246))
+SUMPRODUCT(-('Diário 7º PA'!$E$5:$E$2271='Analítico Cp.'!$B45),-('Diário 7º PA'!$Q$5:$Q$2271=K$1),('Diário 7º PA'!$F$5:$F$2271))
+SUMPRODUCT(-('Diário 8º PA'!$E$5:$E$2488='Analítico Cp.'!$B45),-('Diário 8º PA'!$Q$5:$Q$2488=K$1),('Diário 8º PA'!$F$5:$F$2488))
+SUMPRODUCT(-('Comp.'!$D$5:$D$313='Analítico Cp.'!$B45),-('Comp.'!$R$5:$R$313=K$1),('Comp.'!$E$5:$E$313))</f>
        <v>988.65999999999985</v>
      </c>
      <c r="L45" s="185">
        <f>SUMPRODUCT(-('Diário 5º PA'!$E$5:$E$2634='Analítico Cp.'!$B45),-('Diário 5º PA'!$Q$5:$Q$2634=L$1),('Diário 5º PA'!$F$5:$F$2634))
+SUMPRODUCT(-('Diário 6º PA'!$E$5:$E$2246='Analítico Cp.'!$B45),-('Diário 6º PA'!$Q$5:$Q$2246=L$1),('Diário 6º PA'!$F$5:$F$2246))
+SUMPRODUCT(-('Diário 7º PA'!$E$5:$E$2271='Analítico Cp.'!$B45),-('Diário 7º PA'!$Q$5:$Q$2271=L$1),('Diário 7º PA'!$F$5:$F$2271))
+SUMPRODUCT(-('Diário 8º PA'!$E$5:$E$2488='Analítico Cp.'!$B45),-('Diário 8º PA'!$Q$5:$Q$2488=L$1),('Diário 8º PA'!$F$5:$F$2488))
+SUMPRODUCT(-('Comp.'!$D$5:$D$313='Analítico Cp.'!$B45),-('Comp.'!$R$5:$R$313=L$1),('Comp.'!$E$5:$E$313))</f>
        <v>826.01</v>
      </c>
      <c r="M45" s="185">
        <f>SUMPRODUCT(-('Diário 5º PA'!$E$5:$E$2634='Analítico Cp.'!$B45),-('Diário 5º PA'!$Q$5:$Q$2634=M$1),('Diário 5º PA'!$F$5:$F$2634))
+SUMPRODUCT(-('Diário 6º PA'!$E$5:$E$2246='Analítico Cp.'!$B45),-('Diário 6º PA'!$Q$5:$Q$2246=M$1),('Diário 6º PA'!$F$5:$F$2246))
+SUMPRODUCT(-('Diário 7º PA'!$E$5:$E$2271='Analítico Cp.'!$B45),-('Diário 7º PA'!$Q$5:$Q$2271=M$1),('Diário 7º PA'!$F$5:$F$2271))
+SUMPRODUCT(-('Diário 8º PA'!$E$5:$E$2488='Analítico Cp.'!$B45),-('Diário 8º PA'!$Q$5:$Q$2488=M$1),('Diário 8º PA'!$F$5:$F$2488))
+SUMPRODUCT(-('Comp.'!$D$5:$D$313='Analítico Cp.'!$B45),-('Comp.'!$R$5:$R$313=M$1),('Comp.'!$E$5:$E$313))</f>
        <v>5028.9800000000014</v>
      </c>
      <c r="N45" s="185">
        <f>SUMPRODUCT(-('Diário 5º PA'!$E$5:$E$2634='Analítico Cp.'!$B45),-('Diário 5º PA'!$Q$5:$Q$2634=N$1),('Diário 5º PA'!$F$5:$F$2634))
+SUMPRODUCT(-('Diário 6º PA'!$E$5:$E$2246='Analítico Cp.'!$B45),-('Diário 6º PA'!$Q$5:$Q$2246=N$1),('Diário 6º PA'!$F$5:$F$2246))
+SUMPRODUCT(-('Diário 7º PA'!$E$5:$E$2271='Analítico Cp.'!$B45),-('Diário 7º PA'!$Q$5:$Q$2271=N$1),('Diário 7º PA'!$F$5:$F$2271))
+SUMPRODUCT(-('Diário 8º PA'!$E$5:$E$2488='Analítico Cp.'!$B45),-('Diário 8º PA'!$Q$5:$Q$2488=N$1),('Diário 8º PA'!$F$5:$F$2488))
+SUMPRODUCT(-('Comp.'!$D$5:$D$313='Analítico Cp.'!$B45),-('Comp.'!$R$5:$R$313=N$1),('Comp.'!$E$5:$E$313))</f>
        <v>4295.33</v>
      </c>
      <c r="O45" s="186">
        <f t="shared" ref="O45:O51" si="12">SUM(C45:N45)</f>
        <v>13787.980000000001</v>
      </c>
      <c r="P45" s="187">
        <f t="shared" ref="P45:P53" si="13">IF($O$163=0,0,O45/$O$163)</f>
        <v>1.4221771571148222E-3</v>
      </c>
      <c r="Q45" s="34"/>
      <c r="R45" s="34"/>
      <c r="S45" s="34"/>
      <c r="T45" s="34"/>
      <c r="U45" s="34"/>
      <c r="V45" s="34"/>
      <c r="W45" s="34"/>
      <c r="X45" s="34"/>
      <c r="Y45" s="34"/>
      <c r="Z45" s="34"/>
    </row>
    <row r="46" spans="1:26" ht="23.25" customHeight="1" x14ac:dyDescent="0.2">
      <c r="A46" s="215" t="s">
        <v>193</v>
      </c>
      <c r="B46" s="72" t="s">
        <v>194</v>
      </c>
      <c r="C46" s="185">
        <f>SUMPRODUCT(-('Diário 5º PA'!$E$5:$E$2634='Analítico Cp.'!$B46),-('Diário 5º PA'!$Q$5:$Q$2634=C$1),('Diário 5º PA'!$F$5:$F$2634))
+SUMPRODUCT(-('Diário 6º PA'!$E$5:$E$2246='Analítico Cp.'!$B46),-('Diário 6º PA'!$Q$5:$Q$2246=C$1),('Diário 6º PA'!$F$5:$F$2246))
+SUMPRODUCT(-('Diário 7º PA'!$E$5:$E$2271='Analítico Cp.'!$B46),-('Diário 7º PA'!$Q$5:$Q$2271=C$1),('Diário 7º PA'!$F$5:$F$2271))
+SUMPRODUCT(-('Diário 8º PA'!$E$5:$E$2488='Analítico Cp.'!$B46),-('Diário 8º PA'!$Q$5:$Q$2488=C$1),('Diário 8º PA'!$F$5:$F$2488))
+SUMPRODUCT(-('Comp.'!$D$5:$D$313='Analítico Cp.'!$B46),-('Comp.'!$R$5:$R$313=C$1),('Comp.'!$E$5:$E$313))</f>
        <v>7257.0499999999993</v>
      </c>
      <c r="D46" s="185">
        <f>SUMPRODUCT(-('Diário 5º PA'!$E$5:$E$2634='Analítico Cp.'!$B46),-('Diário 5º PA'!$Q$5:$Q$2634=D$1),('Diário 5º PA'!$F$5:$F$2634))
+SUMPRODUCT(-('Diário 6º PA'!$E$5:$E$2246='Analítico Cp.'!$B46),-('Diário 6º PA'!$Q$5:$Q$2246=D$1),('Diário 6º PA'!$F$5:$F$2246))
+SUMPRODUCT(-('Diário 7º PA'!$E$5:$E$2271='Analítico Cp.'!$B46),-('Diário 7º PA'!$Q$5:$Q$2271=D$1),('Diário 7º PA'!$F$5:$F$2271))
+SUMPRODUCT(-('Diário 8º PA'!$E$5:$E$2488='Analítico Cp.'!$B46),-('Diário 8º PA'!$Q$5:$Q$2488=D$1),('Diário 8º PA'!$F$5:$F$2488))
+SUMPRODUCT(-('Comp.'!$D$5:$D$313='Analítico Cp.'!$B46),-('Comp.'!$R$5:$R$313=D$1),('Comp.'!$E$5:$E$313))</f>
        <v>6371.25</v>
      </c>
      <c r="E46" s="185">
        <f>SUMPRODUCT(-('Diário 5º PA'!$E$5:$E$2634='Analítico Cp.'!$B46),-('Diário 5º PA'!$Q$5:$Q$2634=E$1),('Diário 5º PA'!$F$5:$F$2634))
+SUMPRODUCT(-('Diário 6º PA'!$E$5:$E$2246='Analítico Cp.'!$B46),-('Diário 6º PA'!$Q$5:$Q$2246=E$1),('Diário 6º PA'!$F$5:$F$2246))
+SUMPRODUCT(-('Diário 7º PA'!$E$5:$E$2271='Analítico Cp.'!$B46),-('Diário 7º PA'!$Q$5:$Q$2271=E$1),('Diário 7º PA'!$F$5:$F$2271))
+SUMPRODUCT(-('Diário 8º PA'!$E$5:$E$2488='Analítico Cp.'!$B46),-('Diário 8º PA'!$Q$5:$Q$2488=E$1),('Diário 8º PA'!$F$5:$F$2488))
+SUMPRODUCT(-('Comp.'!$D$5:$D$313='Analítico Cp.'!$B46),-('Comp.'!$R$5:$R$313=E$1),('Comp.'!$E$5:$E$313))</f>
        <v>6929.79</v>
      </c>
      <c r="F46" s="185">
        <f>SUMPRODUCT(-('Diário 5º PA'!$E$5:$E$2634='Analítico Cp.'!$B46),-('Diário 5º PA'!$Q$5:$Q$2634=F$1),('Diário 5º PA'!$F$5:$F$2634))
+SUMPRODUCT(-('Diário 6º PA'!$E$5:$E$2246='Analítico Cp.'!$B46),-('Diário 6º PA'!$Q$5:$Q$2246=F$1),('Diário 6º PA'!$F$5:$F$2246))
+SUMPRODUCT(-('Diário 7º PA'!$E$5:$E$2271='Analítico Cp.'!$B46),-('Diário 7º PA'!$Q$5:$Q$2271=F$1),('Diário 7º PA'!$F$5:$F$2271))
+SUMPRODUCT(-('Diário 8º PA'!$E$5:$E$2488='Analítico Cp.'!$B46),-('Diário 8º PA'!$Q$5:$Q$2488=F$1),('Diário 8º PA'!$F$5:$F$2488))
+SUMPRODUCT(-('Comp.'!$D$5:$D$313='Analítico Cp.'!$B46),-('Comp.'!$R$5:$R$313=F$1),('Comp.'!$E$5:$E$313))</f>
        <v>7258.2199999999993</v>
      </c>
      <c r="G46" s="185">
        <f>SUMPRODUCT(-('Diário 5º PA'!$E$5:$E$2634='Analítico Cp.'!$B46),-('Diário 5º PA'!$Q$5:$Q$2634=G$1),('Diário 5º PA'!$F$5:$F$2634))
+SUMPRODUCT(-('Diário 6º PA'!$E$5:$E$2246='Analítico Cp.'!$B46),-('Diário 6º PA'!$Q$5:$Q$2246=G$1),('Diário 6º PA'!$F$5:$F$2246))
+SUMPRODUCT(-('Diário 7º PA'!$E$5:$E$2271='Analítico Cp.'!$B46),-('Diário 7º PA'!$Q$5:$Q$2271=G$1),('Diário 7º PA'!$F$5:$F$2271))
+SUMPRODUCT(-('Diário 8º PA'!$E$5:$E$2488='Analítico Cp.'!$B46),-('Diário 8º PA'!$Q$5:$Q$2488=G$1),('Diário 8º PA'!$F$5:$F$2488))
+SUMPRODUCT(-('Comp.'!$D$5:$D$313='Analítico Cp.'!$B46),-('Comp.'!$R$5:$R$313=G$1),('Comp.'!$E$5:$E$313))</f>
        <v>6634</v>
      </c>
      <c r="H46" s="185">
        <f>SUMPRODUCT(-('Diário 5º PA'!$E$5:$E$2634='Analítico Cp.'!$B46),-('Diário 5º PA'!$Q$5:$Q$2634=H$1),('Diário 5º PA'!$F$5:$F$2634))
+SUMPRODUCT(-('Diário 6º PA'!$E$5:$E$2246='Analítico Cp.'!$B46),-('Diário 6º PA'!$Q$5:$Q$2246=H$1),('Diário 6º PA'!$F$5:$F$2246))
+SUMPRODUCT(-('Diário 7º PA'!$E$5:$E$2271='Analítico Cp.'!$B46),-('Diário 7º PA'!$Q$5:$Q$2271=H$1),('Diário 7º PA'!$F$5:$F$2271))
+SUMPRODUCT(-('Diário 8º PA'!$E$5:$E$2488='Analítico Cp.'!$B46),-('Diário 8º PA'!$Q$5:$Q$2488=H$1),('Diário 8º PA'!$F$5:$F$2488))
+SUMPRODUCT(-('Comp.'!$D$5:$D$313='Analítico Cp.'!$B46),-('Comp.'!$R$5:$R$313=H$1),('Comp.'!$E$5:$E$313))</f>
        <v>7569.56</v>
      </c>
      <c r="I46" s="185">
        <f>SUMPRODUCT(-('Diário 5º PA'!$E$5:$E$2634='Analítico Cp.'!$B46),-('Diário 5º PA'!$Q$5:$Q$2634=I$1),('Diário 5º PA'!$F$5:$F$2634))
+SUMPRODUCT(-('Diário 6º PA'!$E$5:$E$2246='Analítico Cp.'!$B46),-('Diário 6º PA'!$Q$5:$Q$2246=I$1),('Diário 6º PA'!$F$5:$F$2246))
+SUMPRODUCT(-('Diário 7º PA'!$E$5:$E$2271='Analítico Cp.'!$B46),-('Diário 7º PA'!$Q$5:$Q$2271=I$1),('Diário 7º PA'!$F$5:$F$2271))
+SUMPRODUCT(-('Diário 8º PA'!$E$5:$E$2488='Analítico Cp.'!$B46),-('Diário 8º PA'!$Q$5:$Q$2488=I$1),('Diário 8º PA'!$F$5:$F$2488))
+SUMPRODUCT(-('Comp.'!$D$5:$D$313='Analítico Cp.'!$B46),-('Comp.'!$R$5:$R$313=I$1),('Comp.'!$E$5:$E$313))</f>
        <v>23196.27</v>
      </c>
      <c r="J46" s="185">
        <f>SUMPRODUCT(-('Diário 5º PA'!$E$5:$E$2634='Analítico Cp.'!$B46),-('Diário 5º PA'!$Q$5:$Q$2634=J$1),('Diário 5º PA'!$F$5:$F$2634))
+SUMPRODUCT(-('Diário 6º PA'!$E$5:$E$2246='Analítico Cp.'!$B46),-('Diário 6º PA'!$Q$5:$Q$2246=J$1),('Diário 6º PA'!$F$5:$F$2246))
+SUMPRODUCT(-('Diário 7º PA'!$E$5:$E$2271='Analítico Cp.'!$B46),-('Diário 7º PA'!$Q$5:$Q$2271=J$1),('Diário 7º PA'!$F$5:$F$2271))
+SUMPRODUCT(-('Diário 8º PA'!$E$5:$E$2488='Analítico Cp.'!$B46),-('Diário 8º PA'!$Q$5:$Q$2488=J$1),('Diário 8º PA'!$F$5:$F$2488))
+SUMPRODUCT(-('Comp.'!$D$5:$D$313='Analítico Cp.'!$B46),-('Comp.'!$R$5:$R$313=J$1),('Comp.'!$E$5:$E$313))</f>
        <v>27538.190000000002</v>
      </c>
      <c r="K46" s="185">
        <f>SUMPRODUCT(-('Diário 5º PA'!$E$5:$E$2634='Analítico Cp.'!$B46),-('Diário 5º PA'!$Q$5:$Q$2634=K$1),('Diário 5º PA'!$F$5:$F$2634))
+SUMPRODUCT(-('Diário 6º PA'!$E$5:$E$2246='Analítico Cp.'!$B46),-('Diário 6º PA'!$Q$5:$Q$2246=K$1),('Diário 6º PA'!$F$5:$F$2246))
+SUMPRODUCT(-('Diário 7º PA'!$E$5:$E$2271='Analítico Cp.'!$B46),-('Diário 7º PA'!$Q$5:$Q$2271=K$1),('Diário 7º PA'!$F$5:$F$2271))
+SUMPRODUCT(-('Diário 8º PA'!$E$5:$E$2488='Analítico Cp.'!$B46),-('Diário 8º PA'!$Q$5:$Q$2488=K$1),('Diário 8º PA'!$F$5:$F$2488))
+SUMPRODUCT(-('Comp.'!$D$5:$D$313='Analítico Cp.'!$B46),-('Comp.'!$R$5:$R$313=K$1),('Comp.'!$E$5:$E$313))</f>
        <v>21016.13</v>
      </c>
      <c r="L46" s="185">
        <f>SUMPRODUCT(-('Diário 5º PA'!$E$5:$E$2634='Analítico Cp.'!$B46),-('Diário 5º PA'!$Q$5:$Q$2634=L$1),('Diário 5º PA'!$F$5:$F$2634))
+SUMPRODUCT(-('Diário 6º PA'!$E$5:$E$2246='Analítico Cp.'!$B46),-('Diário 6º PA'!$Q$5:$Q$2246=L$1),('Diário 6º PA'!$F$5:$F$2246))
+SUMPRODUCT(-('Diário 7º PA'!$E$5:$E$2271='Analítico Cp.'!$B46),-('Diário 7º PA'!$Q$5:$Q$2271=L$1),('Diário 7º PA'!$F$5:$F$2271))
+SUMPRODUCT(-('Diário 8º PA'!$E$5:$E$2488='Analítico Cp.'!$B46),-('Diário 8º PA'!$Q$5:$Q$2488=L$1),('Diário 8º PA'!$F$5:$F$2488))
+SUMPRODUCT(-('Comp.'!$D$5:$D$313='Analítico Cp.'!$B46),-('Comp.'!$R$5:$R$313=L$1),('Comp.'!$E$5:$E$313))</f>
        <v>30174.989999999998</v>
      </c>
      <c r="M46" s="185">
        <f>SUMPRODUCT(-('Diário 5º PA'!$E$5:$E$2634='Analítico Cp.'!$B46),-('Diário 5º PA'!$Q$5:$Q$2634=M$1),('Diário 5º PA'!$F$5:$F$2634))
+SUMPRODUCT(-('Diário 6º PA'!$E$5:$E$2246='Analítico Cp.'!$B46),-('Diário 6º PA'!$Q$5:$Q$2246=M$1),('Diário 6º PA'!$F$5:$F$2246))
+SUMPRODUCT(-('Diário 7º PA'!$E$5:$E$2271='Analítico Cp.'!$B46),-('Diário 7º PA'!$Q$5:$Q$2271=M$1),('Diário 7º PA'!$F$5:$F$2271))
+SUMPRODUCT(-('Diário 8º PA'!$E$5:$E$2488='Analítico Cp.'!$B46),-('Diário 8º PA'!$Q$5:$Q$2488=M$1),('Diário 8º PA'!$F$5:$F$2488))
+SUMPRODUCT(-('Comp.'!$D$5:$D$313='Analítico Cp.'!$B46),-('Comp.'!$R$5:$R$313=M$1),('Comp.'!$E$5:$E$313))</f>
        <v>31686.09</v>
      </c>
      <c r="N46" s="185">
        <f>SUMPRODUCT(-('Diário 5º PA'!$E$5:$E$2634='Analítico Cp.'!$B46),-('Diário 5º PA'!$Q$5:$Q$2634=N$1),('Diário 5º PA'!$F$5:$F$2634))
+SUMPRODUCT(-('Diário 6º PA'!$E$5:$E$2246='Analítico Cp.'!$B46),-('Diário 6º PA'!$Q$5:$Q$2246=N$1),('Diário 6º PA'!$F$5:$F$2246))
+SUMPRODUCT(-('Diário 7º PA'!$E$5:$E$2271='Analítico Cp.'!$B46),-('Diário 7º PA'!$Q$5:$Q$2271=N$1),('Diário 7º PA'!$F$5:$F$2271))
+SUMPRODUCT(-('Diário 8º PA'!$E$5:$E$2488='Analítico Cp.'!$B46),-('Diário 8º PA'!$Q$5:$Q$2488=N$1),('Diário 8º PA'!$F$5:$F$2488))
+SUMPRODUCT(-('Comp.'!$D$5:$D$313='Analítico Cp.'!$B46),-('Comp.'!$R$5:$R$313=N$1),('Comp.'!$E$5:$E$313))</f>
        <v>26601.21</v>
      </c>
      <c r="O46" s="186">
        <f t="shared" si="12"/>
        <v>202232.75</v>
      </c>
      <c r="P46" s="187">
        <f t="shared" si="13"/>
        <v>2.0859531089435328E-2</v>
      </c>
      <c r="Q46" s="34"/>
      <c r="R46" s="34"/>
      <c r="S46" s="34"/>
      <c r="T46" s="34"/>
      <c r="U46" s="34"/>
      <c r="V46" s="34"/>
      <c r="W46" s="34"/>
      <c r="X46" s="34"/>
      <c r="Y46" s="34"/>
      <c r="Z46" s="34"/>
    </row>
    <row r="47" spans="1:26" ht="23.25" customHeight="1" x14ac:dyDescent="0.2">
      <c r="A47" s="215" t="s">
        <v>195</v>
      </c>
      <c r="B47" s="72" t="s">
        <v>196</v>
      </c>
      <c r="C47" s="185">
        <f>SUMPRODUCT(-('Diário 5º PA'!$E$5:$E$2634='Analítico Cp.'!$B47),-('Diário 5º PA'!$Q$5:$Q$2634=C$1),('Diário 5º PA'!$F$5:$F$2634))
+SUMPRODUCT(-('Diário 6º PA'!$E$5:$E$2246='Analítico Cp.'!$B47),-('Diário 6º PA'!$Q$5:$Q$2246=C$1),('Diário 6º PA'!$F$5:$F$2246))
+SUMPRODUCT(-('Diário 7º PA'!$E$5:$E$2271='Analítico Cp.'!$B47),-('Diário 7º PA'!$Q$5:$Q$2271=C$1),('Diário 7º PA'!$F$5:$F$2271))
+SUMPRODUCT(-('Diário 8º PA'!$E$5:$E$2488='Analítico Cp.'!$B47),-('Diário 8º PA'!$Q$5:$Q$2488=C$1),('Diário 8º PA'!$F$5:$F$2488))
+SUMPRODUCT(-('Comp.'!$D$5:$D$313='Analítico Cp.'!$B47),-('Comp.'!$R$5:$R$313=C$1),('Comp.'!$E$5:$E$313))</f>
        <v>6193.88</v>
      </c>
      <c r="D47" s="185">
        <f>SUMPRODUCT(-('Diário 5º PA'!$E$5:$E$2634='Analítico Cp.'!$B47),-('Diário 5º PA'!$Q$5:$Q$2634=D$1),('Diário 5º PA'!$F$5:$F$2634))
+SUMPRODUCT(-('Diário 6º PA'!$E$5:$E$2246='Analítico Cp.'!$B47),-('Diário 6º PA'!$Q$5:$Q$2246=D$1),('Diário 6º PA'!$F$5:$F$2246))
+SUMPRODUCT(-('Diário 7º PA'!$E$5:$E$2271='Analítico Cp.'!$B47),-('Diário 7º PA'!$Q$5:$Q$2271=D$1),('Diário 7º PA'!$F$5:$F$2271))
+SUMPRODUCT(-('Diário 8º PA'!$E$5:$E$2488='Analítico Cp.'!$B47),-('Diário 8º PA'!$Q$5:$Q$2488=D$1),('Diário 8º PA'!$F$5:$F$2488))
+SUMPRODUCT(-('Comp.'!$D$5:$D$313='Analítico Cp.'!$B47),-('Comp.'!$R$5:$R$313=D$1),('Comp.'!$E$5:$E$313))</f>
        <v>7136.94</v>
      </c>
      <c r="E47" s="185">
        <f>SUMPRODUCT(-('Diário 5º PA'!$E$5:$E$2634='Analítico Cp.'!$B47),-('Diário 5º PA'!$Q$5:$Q$2634=E$1),('Diário 5º PA'!$F$5:$F$2634))
+SUMPRODUCT(-('Diário 6º PA'!$E$5:$E$2246='Analítico Cp.'!$B47),-('Diário 6º PA'!$Q$5:$Q$2246=E$1),('Diário 6º PA'!$F$5:$F$2246))
+SUMPRODUCT(-('Diário 7º PA'!$E$5:$E$2271='Analítico Cp.'!$B47),-('Diário 7º PA'!$Q$5:$Q$2271=E$1),('Diário 7º PA'!$F$5:$F$2271))
+SUMPRODUCT(-('Diário 8º PA'!$E$5:$E$2488='Analítico Cp.'!$B47),-('Diário 8º PA'!$Q$5:$Q$2488=E$1),('Diário 8º PA'!$F$5:$F$2488))
+SUMPRODUCT(-('Comp.'!$D$5:$D$313='Analítico Cp.'!$B47),-('Comp.'!$R$5:$R$313=E$1),('Comp.'!$E$5:$E$313))</f>
        <v>6577.619999999999</v>
      </c>
      <c r="F47" s="185">
        <f>SUMPRODUCT(-('Diário 5º PA'!$E$5:$E$2634='Analítico Cp.'!$B47),-('Diário 5º PA'!$Q$5:$Q$2634=F$1),('Diário 5º PA'!$F$5:$F$2634))
+SUMPRODUCT(-('Diário 6º PA'!$E$5:$E$2246='Analítico Cp.'!$B47),-('Diário 6º PA'!$Q$5:$Q$2246=F$1),('Diário 6º PA'!$F$5:$F$2246))
+SUMPRODUCT(-('Diário 7º PA'!$E$5:$E$2271='Analítico Cp.'!$B47),-('Diário 7º PA'!$Q$5:$Q$2271=F$1),('Diário 7º PA'!$F$5:$F$2271))
+SUMPRODUCT(-('Diário 8º PA'!$E$5:$E$2488='Analítico Cp.'!$B47),-('Diário 8º PA'!$Q$5:$Q$2488=F$1),('Diário 8º PA'!$F$5:$F$2488))
+SUMPRODUCT(-('Comp.'!$D$5:$D$313='Analítico Cp.'!$B47),-('Comp.'!$R$5:$R$313=F$1),('Comp.'!$E$5:$E$313))</f>
        <v>6632.5599999999995</v>
      </c>
      <c r="G47" s="185">
        <f>SUMPRODUCT(-('Diário 5º PA'!$E$5:$E$2634='Analítico Cp.'!$B47),-('Diário 5º PA'!$Q$5:$Q$2634=G$1),('Diário 5º PA'!$F$5:$F$2634))
+SUMPRODUCT(-('Diário 6º PA'!$E$5:$E$2246='Analítico Cp.'!$B47),-('Diário 6º PA'!$Q$5:$Q$2246=G$1),('Diário 6º PA'!$F$5:$F$2246))
+SUMPRODUCT(-('Diário 7º PA'!$E$5:$E$2271='Analítico Cp.'!$B47),-('Diário 7º PA'!$Q$5:$Q$2271=G$1),('Diário 7º PA'!$F$5:$F$2271))
+SUMPRODUCT(-('Diário 8º PA'!$E$5:$E$2488='Analítico Cp.'!$B47),-('Diário 8º PA'!$Q$5:$Q$2488=G$1),('Diário 8º PA'!$F$5:$F$2488))
+SUMPRODUCT(-('Comp.'!$D$5:$D$313='Analítico Cp.'!$B47),-('Comp.'!$R$5:$R$313=G$1),('Comp.'!$E$5:$E$313))</f>
        <v>7047.6799999999985</v>
      </c>
      <c r="H47" s="185">
        <f>SUMPRODUCT(-('Diário 5º PA'!$E$5:$E$2634='Analítico Cp.'!$B47),-('Diário 5º PA'!$Q$5:$Q$2634=H$1),('Diário 5º PA'!$F$5:$F$2634))
+SUMPRODUCT(-('Diário 6º PA'!$E$5:$E$2246='Analítico Cp.'!$B47),-('Diário 6º PA'!$Q$5:$Q$2246=H$1),('Diário 6º PA'!$F$5:$F$2246))
+SUMPRODUCT(-('Diário 7º PA'!$E$5:$E$2271='Analítico Cp.'!$B47),-('Diário 7º PA'!$Q$5:$Q$2271=H$1),('Diário 7º PA'!$F$5:$F$2271))
+SUMPRODUCT(-('Diário 8º PA'!$E$5:$E$2488='Analítico Cp.'!$B47),-('Diário 8º PA'!$Q$5:$Q$2488=H$1),('Diário 8º PA'!$F$5:$F$2488))
+SUMPRODUCT(-('Comp.'!$D$5:$D$313='Analítico Cp.'!$B47),-('Comp.'!$R$5:$R$313=H$1),('Comp.'!$E$5:$E$313))</f>
        <v>6876.8600000000006</v>
      </c>
      <c r="I47" s="185">
        <f>SUMPRODUCT(-('Diário 5º PA'!$E$5:$E$2634='Analítico Cp.'!$B47),-('Diário 5º PA'!$Q$5:$Q$2634=I$1),('Diário 5º PA'!$F$5:$F$2634))
+SUMPRODUCT(-('Diário 6º PA'!$E$5:$E$2246='Analítico Cp.'!$B47),-('Diário 6º PA'!$Q$5:$Q$2246=I$1),('Diário 6º PA'!$F$5:$F$2246))
+SUMPRODUCT(-('Diário 7º PA'!$E$5:$E$2271='Analítico Cp.'!$B47),-('Diário 7º PA'!$Q$5:$Q$2271=I$1),('Diário 7º PA'!$F$5:$F$2271))
+SUMPRODUCT(-('Diário 8º PA'!$E$5:$E$2488='Analítico Cp.'!$B47),-('Diário 8º PA'!$Q$5:$Q$2488=I$1),('Diário 8º PA'!$F$5:$F$2488))
+SUMPRODUCT(-('Comp.'!$D$5:$D$313='Analítico Cp.'!$B47),-('Comp.'!$R$5:$R$313=I$1),('Comp.'!$E$5:$E$313))</f>
        <v>7257.3300000000008</v>
      </c>
      <c r="J47" s="185">
        <f>SUMPRODUCT(-('Diário 5º PA'!$E$5:$E$2634='Analítico Cp.'!$B47),-('Diário 5º PA'!$Q$5:$Q$2634=J$1),('Diário 5º PA'!$F$5:$F$2634))
+SUMPRODUCT(-('Diário 6º PA'!$E$5:$E$2246='Analítico Cp.'!$B47),-('Diário 6º PA'!$Q$5:$Q$2246=J$1),('Diário 6º PA'!$F$5:$F$2246))
+SUMPRODUCT(-('Diário 7º PA'!$E$5:$E$2271='Analítico Cp.'!$B47),-('Diário 7º PA'!$Q$5:$Q$2271=J$1),('Diário 7º PA'!$F$5:$F$2271))
+SUMPRODUCT(-('Diário 8º PA'!$E$5:$E$2488='Analítico Cp.'!$B47),-('Diário 8º PA'!$Q$5:$Q$2488=J$1),('Diário 8º PA'!$F$5:$F$2488))
+SUMPRODUCT(-('Comp.'!$D$5:$D$313='Analítico Cp.'!$B47),-('Comp.'!$R$5:$R$313=J$1),('Comp.'!$E$5:$E$313))</f>
        <v>4973.34</v>
      </c>
      <c r="K47" s="185">
        <f>SUMPRODUCT(-('Diário 5º PA'!$E$5:$E$2634='Analítico Cp.'!$B47),-('Diário 5º PA'!$Q$5:$Q$2634=K$1),('Diário 5º PA'!$F$5:$F$2634))
+SUMPRODUCT(-('Diário 6º PA'!$E$5:$E$2246='Analítico Cp.'!$B47),-('Diário 6º PA'!$Q$5:$Q$2246=K$1),('Diário 6º PA'!$F$5:$F$2246))
+SUMPRODUCT(-('Diário 7º PA'!$E$5:$E$2271='Analítico Cp.'!$B47),-('Diário 7º PA'!$Q$5:$Q$2271=K$1),('Diário 7º PA'!$F$5:$F$2271))
+SUMPRODUCT(-('Diário 8º PA'!$E$5:$E$2488='Analítico Cp.'!$B47),-('Diário 8º PA'!$Q$5:$Q$2488=K$1),('Diário 8º PA'!$F$5:$F$2488))
+SUMPRODUCT(-('Comp.'!$D$5:$D$313='Analítico Cp.'!$B47),-('Comp.'!$R$5:$R$313=K$1),('Comp.'!$E$5:$E$313))</f>
        <v>19300.800000000003</v>
      </c>
      <c r="L47" s="185">
        <f>SUMPRODUCT(-('Diário 5º PA'!$E$5:$E$2634='Analítico Cp.'!$B47),-('Diário 5º PA'!$Q$5:$Q$2634=L$1),('Diário 5º PA'!$F$5:$F$2634))
+SUMPRODUCT(-('Diário 6º PA'!$E$5:$E$2246='Analítico Cp.'!$B47),-('Diário 6º PA'!$Q$5:$Q$2246=L$1),('Diário 6º PA'!$F$5:$F$2246))
+SUMPRODUCT(-('Diário 7º PA'!$E$5:$E$2271='Analítico Cp.'!$B47),-('Diário 7º PA'!$Q$5:$Q$2271=L$1),('Diário 7º PA'!$F$5:$F$2271))
+SUMPRODUCT(-('Diário 8º PA'!$E$5:$E$2488='Analítico Cp.'!$B47),-('Diário 8º PA'!$Q$5:$Q$2488=L$1),('Diário 8º PA'!$F$5:$F$2488))
+SUMPRODUCT(-('Comp.'!$D$5:$D$313='Analítico Cp.'!$B47),-('Comp.'!$R$5:$R$313=L$1),('Comp.'!$E$5:$E$313))</f>
        <v>22027.25</v>
      </c>
      <c r="M47" s="185">
        <f>SUMPRODUCT(-('Diário 5º PA'!$E$5:$E$2634='Analítico Cp.'!$B47),-('Diário 5º PA'!$Q$5:$Q$2634=M$1),('Diário 5º PA'!$F$5:$F$2634))
+SUMPRODUCT(-('Diário 6º PA'!$E$5:$E$2246='Analítico Cp.'!$B47),-('Diário 6º PA'!$Q$5:$Q$2246=M$1),('Diário 6º PA'!$F$5:$F$2246))
+SUMPRODUCT(-('Diário 7º PA'!$E$5:$E$2271='Analítico Cp.'!$B47),-('Diário 7º PA'!$Q$5:$Q$2271=M$1),('Diário 7º PA'!$F$5:$F$2271))
+SUMPRODUCT(-('Diário 8º PA'!$E$5:$E$2488='Analítico Cp.'!$B47),-('Diário 8º PA'!$Q$5:$Q$2488=M$1),('Diário 8º PA'!$F$5:$F$2488))
+SUMPRODUCT(-('Comp.'!$D$5:$D$313='Analítico Cp.'!$B47),-('Comp.'!$R$5:$R$313=M$1),('Comp.'!$E$5:$E$313))</f>
        <v>17505.05</v>
      </c>
      <c r="N47" s="185">
        <f>SUMPRODUCT(-('Diário 5º PA'!$E$5:$E$2634='Analítico Cp.'!$B47),-('Diário 5º PA'!$Q$5:$Q$2634=N$1),('Diário 5º PA'!$F$5:$F$2634))
+SUMPRODUCT(-('Diário 6º PA'!$E$5:$E$2246='Analítico Cp.'!$B47),-('Diário 6º PA'!$Q$5:$Q$2246=N$1),('Diário 6º PA'!$F$5:$F$2246))
+SUMPRODUCT(-('Diário 7º PA'!$E$5:$E$2271='Analítico Cp.'!$B47),-('Diário 7º PA'!$Q$5:$Q$2271=N$1),('Diário 7º PA'!$F$5:$F$2271))
+SUMPRODUCT(-('Diário 8º PA'!$E$5:$E$2488='Analítico Cp.'!$B47),-('Diário 8º PA'!$Q$5:$Q$2488=N$1),('Diário 8º PA'!$F$5:$F$2488))
+SUMPRODUCT(-('Comp.'!$D$5:$D$313='Analítico Cp.'!$B47),-('Comp.'!$R$5:$R$313=N$1),('Comp.'!$E$5:$E$313))</f>
        <v>23171.829999999998</v>
      </c>
      <c r="O47" s="186">
        <f t="shared" si="12"/>
        <v>134701.14000000001</v>
      </c>
      <c r="P47" s="187">
        <f t="shared" si="13"/>
        <v>1.3893905006050608E-2</v>
      </c>
      <c r="Q47" s="34"/>
      <c r="R47" s="34"/>
      <c r="S47" s="34"/>
      <c r="T47" s="34"/>
      <c r="U47" s="34"/>
      <c r="V47" s="34"/>
      <c r="W47" s="34"/>
      <c r="X47" s="34"/>
      <c r="Y47" s="34"/>
      <c r="Z47" s="34"/>
    </row>
    <row r="48" spans="1:26" ht="23.25" customHeight="1" x14ac:dyDescent="0.2">
      <c r="A48" s="215" t="s">
        <v>197</v>
      </c>
      <c r="B48" s="72" t="s">
        <v>198</v>
      </c>
      <c r="C48" s="185">
        <f>SUMPRODUCT(-('Diário 5º PA'!$E$5:$E$2634='Analítico Cp.'!$B48),-('Diário 5º PA'!$Q$5:$Q$2634=C$1),('Diário 5º PA'!$F$5:$F$2634))
+SUMPRODUCT(-('Diário 6º PA'!$E$5:$E$2246='Analítico Cp.'!$B48),-('Diário 6º PA'!$Q$5:$Q$2246=C$1),('Diário 6º PA'!$F$5:$F$2246))
+SUMPRODUCT(-('Diário 7º PA'!$E$5:$E$2271='Analítico Cp.'!$B48),-('Diário 7º PA'!$Q$5:$Q$2271=C$1),('Diário 7º PA'!$F$5:$F$2271))
+SUMPRODUCT(-('Diário 8º PA'!$E$5:$E$2488='Analítico Cp.'!$B48),-('Diário 8º PA'!$Q$5:$Q$2488=C$1),('Diário 8º PA'!$F$5:$F$2488))
+SUMPRODUCT(-('Comp.'!$D$5:$D$313='Analítico Cp.'!$B48),-('Comp.'!$R$5:$R$313=C$1),('Comp.'!$E$5:$E$313))</f>
        <v>343.51</v>
      </c>
      <c r="D48" s="185">
        <f>SUMPRODUCT(-('Diário 5º PA'!$E$5:$E$2634='Analítico Cp.'!$B48),-('Diário 5º PA'!$Q$5:$Q$2634=D$1),('Diário 5º PA'!$F$5:$F$2634))
+SUMPRODUCT(-('Diário 6º PA'!$E$5:$E$2246='Analítico Cp.'!$B48),-('Diário 6º PA'!$Q$5:$Q$2246=D$1),('Diário 6º PA'!$F$5:$F$2246))
+SUMPRODUCT(-('Diário 7º PA'!$E$5:$E$2271='Analítico Cp.'!$B48),-('Diário 7º PA'!$Q$5:$Q$2271=D$1),('Diário 7º PA'!$F$5:$F$2271))
+SUMPRODUCT(-('Diário 8º PA'!$E$5:$E$2488='Analítico Cp.'!$B48),-('Diário 8º PA'!$Q$5:$Q$2488=D$1),('Diário 8º PA'!$F$5:$F$2488))
+SUMPRODUCT(-('Comp.'!$D$5:$D$313='Analítico Cp.'!$B48),-('Comp.'!$R$5:$R$313=D$1),('Comp.'!$E$5:$E$313))</f>
        <v>343.5</v>
      </c>
      <c r="E48" s="185">
        <f>SUMPRODUCT(-('Diário 5º PA'!$E$5:$E$2634='Analítico Cp.'!$B48),-('Diário 5º PA'!$Q$5:$Q$2634=E$1),('Diário 5º PA'!$F$5:$F$2634))
+SUMPRODUCT(-('Diário 6º PA'!$E$5:$E$2246='Analítico Cp.'!$B48),-('Diário 6º PA'!$Q$5:$Q$2246=E$1),('Diário 6º PA'!$F$5:$F$2246))
+SUMPRODUCT(-('Diário 7º PA'!$E$5:$E$2271='Analítico Cp.'!$B48),-('Diário 7º PA'!$Q$5:$Q$2271=E$1),('Diário 7º PA'!$F$5:$F$2271))
+SUMPRODUCT(-('Diário 8º PA'!$E$5:$E$2488='Analítico Cp.'!$B48),-('Diário 8º PA'!$Q$5:$Q$2488=E$1),('Diário 8º PA'!$F$5:$F$2488))
+SUMPRODUCT(-('Comp.'!$D$5:$D$313='Analítico Cp.'!$B48),-('Comp.'!$R$5:$R$313=E$1),('Comp.'!$E$5:$E$313))</f>
        <v>343.5</v>
      </c>
      <c r="F48" s="185">
        <f>SUMPRODUCT(-('Diário 5º PA'!$E$5:$E$2634='Analítico Cp.'!$B48),-('Diário 5º PA'!$Q$5:$Q$2634=F$1),('Diário 5º PA'!$F$5:$F$2634))
+SUMPRODUCT(-('Diário 6º PA'!$E$5:$E$2246='Analítico Cp.'!$B48),-('Diário 6º PA'!$Q$5:$Q$2246=F$1),('Diário 6º PA'!$F$5:$F$2246))
+SUMPRODUCT(-('Diário 7º PA'!$E$5:$E$2271='Analítico Cp.'!$B48),-('Diário 7º PA'!$Q$5:$Q$2271=F$1),('Diário 7º PA'!$F$5:$F$2271))
+SUMPRODUCT(-('Diário 8º PA'!$E$5:$E$2488='Analítico Cp.'!$B48),-('Diário 8º PA'!$Q$5:$Q$2488=F$1),('Diário 8º PA'!$F$5:$F$2488))
+SUMPRODUCT(-('Comp.'!$D$5:$D$313='Analítico Cp.'!$B48),-('Comp.'!$R$5:$R$313=F$1),('Comp.'!$E$5:$E$313))</f>
        <v>343.5</v>
      </c>
      <c r="G48" s="185">
        <f>SUMPRODUCT(-('Diário 5º PA'!$E$5:$E$2634='Analítico Cp.'!$B48),-('Diário 5º PA'!$Q$5:$Q$2634=G$1),('Diário 5º PA'!$F$5:$F$2634))
+SUMPRODUCT(-('Diário 6º PA'!$E$5:$E$2246='Analítico Cp.'!$B48),-('Diário 6º PA'!$Q$5:$Q$2246=G$1),('Diário 6º PA'!$F$5:$F$2246))
+SUMPRODUCT(-('Diário 7º PA'!$E$5:$E$2271='Analítico Cp.'!$B48),-('Diário 7º PA'!$Q$5:$Q$2271=G$1),('Diário 7º PA'!$F$5:$F$2271))
+SUMPRODUCT(-('Diário 8º PA'!$E$5:$E$2488='Analítico Cp.'!$B48),-('Diário 8º PA'!$Q$5:$Q$2488=G$1),('Diário 8º PA'!$F$5:$F$2488))
+SUMPRODUCT(-('Comp.'!$D$5:$D$313='Analítico Cp.'!$B48),-('Comp.'!$R$5:$R$313=G$1),('Comp.'!$E$5:$E$313))</f>
        <v>343.5</v>
      </c>
      <c r="H48" s="185">
        <f>SUMPRODUCT(-('Diário 5º PA'!$E$5:$E$2634='Analítico Cp.'!$B48),-('Diário 5º PA'!$Q$5:$Q$2634=H$1),('Diário 5º PA'!$F$5:$F$2634))
+SUMPRODUCT(-('Diário 6º PA'!$E$5:$E$2246='Analítico Cp.'!$B48),-('Diário 6º PA'!$Q$5:$Q$2246=H$1),('Diário 6º PA'!$F$5:$F$2246))
+SUMPRODUCT(-('Diário 7º PA'!$E$5:$E$2271='Analítico Cp.'!$B48),-('Diário 7º PA'!$Q$5:$Q$2271=H$1),('Diário 7º PA'!$F$5:$F$2271))
+SUMPRODUCT(-('Diário 8º PA'!$E$5:$E$2488='Analítico Cp.'!$B48),-('Diário 8º PA'!$Q$5:$Q$2488=H$1),('Diário 8º PA'!$F$5:$F$2488))
+SUMPRODUCT(-('Comp.'!$D$5:$D$313='Analítico Cp.'!$B48),-('Comp.'!$R$5:$R$313=H$1),('Comp.'!$E$5:$E$313))</f>
        <v>343.5</v>
      </c>
      <c r="I48" s="185">
        <f>SUMPRODUCT(-('Diário 5º PA'!$E$5:$E$2634='Analítico Cp.'!$B48),-('Diário 5º PA'!$Q$5:$Q$2634=I$1),('Diário 5º PA'!$F$5:$F$2634))
+SUMPRODUCT(-('Diário 6º PA'!$E$5:$E$2246='Analítico Cp.'!$B48),-('Diário 6º PA'!$Q$5:$Q$2246=I$1),('Diário 6º PA'!$F$5:$F$2246))
+SUMPRODUCT(-('Diário 7º PA'!$E$5:$E$2271='Analítico Cp.'!$B48),-('Diário 7º PA'!$Q$5:$Q$2271=I$1),('Diário 7º PA'!$F$5:$F$2271))
+SUMPRODUCT(-('Diário 8º PA'!$E$5:$E$2488='Analítico Cp.'!$B48),-('Diário 8º PA'!$Q$5:$Q$2488=I$1),('Diário 8º PA'!$F$5:$F$2488))
+SUMPRODUCT(-('Comp.'!$D$5:$D$313='Analítico Cp.'!$B48),-('Comp.'!$R$5:$R$313=I$1),('Comp.'!$E$5:$E$313))</f>
        <v>759.04</v>
      </c>
      <c r="J48" s="185">
        <f>SUMPRODUCT(-('Diário 5º PA'!$E$5:$E$2634='Analítico Cp.'!$B48),-('Diário 5º PA'!$Q$5:$Q$2634=J$1),('Diário 5º PA'!$F$5:$F$2634))
+SUMPRODUCT(-('Diário 6º PA'!$E$5:$E$2246='Analítico Cp.'!$B48),-('Diário 6º PA'!$Q$5:$Q$2246=J$1),('Diário 6º PA'!$F$5:$F$2246))
+SUMPRODUCT(-('Diário 7º PA'!$E$5:$E$2271='Analítico Cp.'!$B48),-('Diário 7º PA'!$Q$5:$Q$2271=J$1),('Diário 7º PA'!$F$5:$F$2271))
+SUMPRODUCT(-('Diário 8º PA'!$E$5:$E$2488='Analítico Cp.'!$B48),-('Diário 8º PA'!$Q$5:$Q$2488=J$1),('Diário 8º PA'!$F$5:$F$2488))
+SUMPRODUCT(-('Comp.'!$D$5:$D$313='Analítico Cp.'!$B48),-('Comp.'!$R$5:$R$313=J$1),('Comp.'!$E$5:$E$313))</f>
        <v>1136.8</v>
      </c>
      <c r="K48" s="185">
        <f>SUMPRODUCT(-('Diário 5º PA'!$E$5:$E$2634='Analítico Cp.'!$B48),-('Diário 5º PA'!$Q$5:$Q$2634=K$1),('Diário 5º PA'!$F$5:$F$2634))
+SUMPRODUCT(-('Diário 6º PA'!$E$5:$E$2246='Analítico Cp.'!$B48),-('Diário 6º PA'!$Q$5:$Q$2246=K$1),('Diário 6º PA'!$F$5:$F$2246))
+SUMPRODUCT(-('Diário 7º PA'!$E$5:$E$2271='Analítico Cp.'!$B48),-('Diário 7º PA'!$Q$5:$Q$2271=K$1),('Diário 7º PA'!$F$5:$F$2271))
+SUMPRODUCT(-('Diário 8º PA'!$E$5:$E$2488='Analítico Cp.'!$B48),-('Diário 8º PA'!$Q$5:$Q$2488=K$1),('Diário 8º PA'!$F$5:$F$2488))
+SUMPRODUCT(-('Comp.'!$D$5:$D$313='Analítico Cp.'!$B48),-('Comp.'!$R$5:$R$313=K$1),('Comp.'!$E$5:$E$313))</f>
        <v>1159.99</v>
      </c>
      <c r="L48" s="185">
        <f>SUMPRODUCT(-('Diário 5º PA'!$E$5:$E$2634='Analítico Cp.'!$B48),-('Diário 5º PA'!$Q$5:$Q$2634=L$1),('Diário 5º PA'!$F$5:$F$2634))
+SUMPRODUCT(-('Diário 6º PA'!$E$5:$E$2246='Analítico Cp.'!$B48),-('Diário 6º PA'!$Q$5:$Q$2246=L$1),('Diário 6º PA'!$F$5:$F$2246))
+SUMPRODUCT(-('Diário 7º PA'!$E$5:$E$2271='Analítico Cp.'!$B48),-('Diário 7º PA'!$Q$5:$Q$2271=L$1),('Diário 7º PA'!$F$5:$F$2271))
+SUMPRODUCT(-('Diário 8º PA'!$E$5:$E$2488='Analítico Cp.'!$B48),-('Diário 8º PA'!$Q$5:$Q$2488=L$1),('Diário 8º PA'!$F$5:$F$2488))
+SUMPRODUCT(-('Comp.'!$D$5:$D$313='Analítico Cp.'!$B48),-('Comp.'!$R$5:$R$313=L$1),('Comp.'!$E$5:$E$313))</f>
        <v>1391.99</v>
      </c>
      <c r="M48" s="185">
        <f>SUMPRODUCT(-('Diário 5º PA'!$E$5:$E$2634='Analítico Cp.'!$B48),-('Diário 5º PA'!$Q$5:$Q$2634=M$1),('Diário 5º PA'!$F$5:$F$2634))
+SUMPRODUCT(-('Diário 6º PA'!$E$5:$E$2246='Analítico Cp.'!$B48),-('Diário 6º PA'!$Q$5:$Q$2246=M$1),('Diário 6º PA'!$F$5:$F$2246))
+SUMPRODUCT(-('Diário 7º PA'!$E$5:$E$2271='Analítico Cp.'!$B48),-('Diário 7º PA'!$Q$5:$Q$2271=M$1),('Diário 7º PA'!$F$5:$F$2271))
+SUMPRODUCT(-('Diário 8º PA'!$E$5:$E$2488='Analítico Cp.'!$B48),-('Diário 8º PA'!$Q$5:$Q$2488=M$1),('Diário 8º PA'!$F$5:$F$2488))
+SUMPRODUCT(-('Comp.'!$D$5:$D$313='Analítico Cp.'!$B48),-('Comp.'!$R$5:$R$313=M$1),('Comp.'!$E$5:$E$313))</f>
        <v>1368.79</v>
      </c>
      <c r="N48" s="185">
        <f>SUMPRODUCT(-('Diário 5º PA'!$E$5:$E$2634='Analítico Cp.'!$B48),-('Diário 5º PA'!$Q$5:$Q$2634=N$1),('Diário 5º PA'!$F$5:$F$2634))
+SUMPRODUCT(-('Diário 6º PA'!$E$5:$E$2246='Analítico Cp.'!$B48),-('Diário 6º PA'!$Q$5:$Q$2246=N$1),('Diário 6º PA'!$F$5:$F$2246))
+SUMPRODUCT(-('Diário 7º PA'!$E$5:$E$2271='Analítico Cp.'!$B48),-('Diário 7º PA'!$Q$5:$Q$2271=N$1),('Diário 7º PA'!$F$5:$F$2271))
+SUMPRODUCT(-('Diário 8º PA'!$E$5:$E$2488='Analítico Cp.'!$B48),-('Diário 8º PA'!$Q$5:$Q$2488=N$1),('Diário 8º PA'!$F$5:$F$2488))
+SUMPRODUCT(-('Comp.'!$D$5:$D$313='Analítico Cp.'!$B48),-('Comp.'!$R$5:$R$313=N$1),('Comp.'!$E$5:$E$313))</f>
        <v>1368.79</v>
      </c>
      <c r="O48" s="186">
        <f t="shared" si="12"/>
        <v>9246.41</v>
      </c>
      <c r="P48" s="187">
        <f t="shared" si="13"/>
        <v>9.5373166245657894E-4</v>
      </c>
      <c r="Q48" s="34"/>
      <c r="R48" s="34"/>
      <c r="S48" s="34"/>
      <c r="T48" s="34"/>
      <c r="U48" s="34"/>
      <c r="V48" s="34"/>
      <c r="W48" s="34"/>
      <c r="X48" s="34"/>
      <c r="Y48" s="34"/>
      <c r="Z48" s="34"/>
    </row>
    <row r="49" spans="1:26" ht="23.25" customHeight="1" x14ac:dyDescent="0.2">
      <c r="A49" s="215" t="s">
        <v>199</v>
      </c>
      <c r="B49" s="72" t="s">
        <v>200</v>
      </c>
      <c r="C49" s="185">
        <f>SUMPRODUCT(-('Diário 5º PA'!$E$5:$E$2634='Analítico Cp.'!$B49),-('Diário 5º PA'!$Q$5:$Q$2634=C$1),('Diário 5º PA'!$F$5:$F$2634))
+SUMPRODUCT(-('Diário 6º PA'!$E$5:$E$2246='Analítico Cp.'!$B49),-('Diário 6º PA'!$Q$5:$Q$2246=C$1),('Diário 6º PA'!$F$5:$F$2246))
+SUMPRODUCT(-('Diário 7º PA'!$E$5:$E$2271='Analítico Cp.'!$B49),-('Diário 7º PA'!$Q$5:$Q$2271=C$1),('Diário 7º PA'!$F$5:$F$2271))
+SUMPRODUCT(-('Diário 8º PA'!$E$5:$E$2488='Analítico Cp.'!$B49),-('Diário 8º PA'!$Q$5:$Q$2488=C$1),('Diário 8º PA'!$F$5:$F$2488))
+SUMPRODUCT(-('Comp.'!$D$5:$D$313='Analítico Cp.'!$B49),-('Comp.'!$R$5:$R$313=C$1),('Comp.'!$E$5:$E$313))</f>
        <v>0</v>
      </c>
      <c r="D49" s="185">
        <f>SUMPRODUCT(-('Diário 5º PA'!$E$5:$E$2634='Analítico Cp.'!$B49),-('Diário 5º PA'!$Q$5:$Q$2634=D$1),('Diário 5º PA'!$F$5:$F$2634))
+SUMPRODUCT(-('Diário 6º PA'!$E$5:$E$2246='Analítico Cp.'!$B49),-('Diário 6º PA'!$Q$5:$Q$2246=D$1),('Diário 6º PA'!$F$5:$F$2246))
+SUMPRODUCT(-('Diário 7º PA'!$E$5:$E$2271='Analítico Cp.'!$B49),-('Diário 7º PA'!$Q$5:$Q$2271=D$1),('Diário 7º PA'!$F$5:$F$2271))
+SUMPRODUCT(-('Diário 8º PA'!$E$5:$E$2488='Analítico Cp.'!$B49),-('Diário 8º PA'!$Q$5:$Q$2488=D$1),('Diário 8º PA'!$F$5:$F$2488))
+SUMPRODUCT(-('Comp.'!$D$5:$D$313='Analítico Cp.'!$B49),-('Comp.'!$R$5:$R$313=D$1),('Comp.'!$E$5:$E$313))</f>
        <v>0</v>
      </c>
      <c r="E49" s="185">
        <f>SUMPRODUCT(-('Diário 5º PA'!$E$5:$E$2634='Analítico Cp.'!$B49),-('Diário 5º PA'!$Q$5:$Q$2634=E$1),('Diário 5º PA'!$F$5:$F$2634))
+SUMPRODUCT(-('Diário 6º PA'!$E$5:$E$2246='Analítico Cp.'!$B49),-('Diário 6º PA'!$Q$5:$Q$2246=E$1),('Diário 6º PA'!$F$5:$F$2246))
+SUMPRODUCT(-('Diário 7º PA'!$E$5:$E$2271='Analítico Cp.'!$B49),-('Diário 7º PA'!$Q$5:$Q$2271=E$1),('Diário 7º PA'!$F$5:$F$2271))
+SUMPRODUCT(-('Diário 8º PA'!$E$5:$E$2488='Analítico Cp.'!$B49),-('Diário 8º PA'!$Q$5:$Q$2488=E$1),('Diário 8º PA'!$F$5:$F$2488))
+SUMPRODUCT(-('Comp.'!$D$5:$D$313='Analítico Cp.'!$B49),-('Comp.'!$R$5:$R$313=E$1),('Comp.'!$E$5:$E$313))</f>
        <v>0</v>
      </c>
      <c r="F49" s="185">
        <f>SUMPRODUCT(-('Diário 5º PA'!$E$5:$E$2634='Analítico Cp.'!$B49),-('Diário 5º PA'!$Q$5:$Q$2634=F$1),('Diário 5º PA'!$F$5:$F$2634))
+SUMPRODUCT(-('Diário 6º PA'!$E$5:$E$2246='Analítico Cp.'!$B49),-('Diário 6º PA'!$Q$5:$Q$2246=F$1),('Diário 6º PA'!$F$5:$F$2246))
+SUMPRODUCT(-('Diário 7º PA'!$E$5:$E$2271='Analítico Cp.'!$B49),-('Diário 7º PA'!$Q$5:$Q$2271=F$1),('Diário 7º PA'!$F$5:$F$2271))
+SUMPRODUCT(-('Diário 8º PA'!$E$5:$E$2488='Analítico Cp.'!$B49),-('Diário 8º PA'!$Q$5:$Q$2488=F$1),('Diário 8º PA'!$F$5:$F$2488))
+SUMPRODUCT(-('Comp.'!$D$5:$D$313='Analítico Cp.'!$B49),-('Comp.'!$R$5:$R$313=F$1),('Comp.'!$E$5:$E$313))</f>
        <v>0</v>
      </c>
      <c r="G49" s="185">
        <f>SUMPRODUCT(-('Diário 5º PA'!$E$5:$E$2634='Analítico Cp.'!$B49),-('Diário 5º PA'!$Q$5:$Q$2634=G$1),('Diário 5º PA'!$F$5:$F$2634))
+SUMPRODUCT(-('Diário 6º PA'!$E$5:$E$2246='Analítico Cp.'!$B49),-('Diário 6º PA'!$Q$5:$Q$2246=G$1),('Diário 6º PA'!$F$5:$F$2246))
+SUMPRODUCT(-('Diário 7º PA'!$E$5:$E$2271='Analítico Cp.'!$B49),-('Diário 7º PA'!$Q$5:$Q$2271=G$1),('Diário 7º PA'!$F$5:$F$2271))
+SUMPRODUCT(-('Diário 8º PA'!$E$5:$E$2488='Analítico Cp.'!$B49),-('Diário 8º PA'!$Q$5:$Q$2488=G$1),('Diário 8º PA'!$F$5:$F$2488))
+SUMPRODUCT(-('Comp.'!$D$5:$D$313='Analítico Cp.'!$B49),-('Comp.'!$R$5:$R$313=G$1),('Comp.'!$E$5:$E$313))</f>
        <v>0</v>
      </c>
      <c r="H49" s="185">
        <f>SUMPRODUCT(-('Diário 5º PA'!$E$5:$E$2634='Analítico Cp.'!$B49),-('Diário 5º PA'!$Q$5:$Q$2634=H$1),('Diário 5º PA'!$F$5:$F$2634))
+SUMPRODUCT(-('Diário 6º PA'!$E$5:$E$2246='Analítico Cp.'!$B49),-('Diário 6º PA'!$Q$5:$Q$2246=H$1),('Diário 6º PA'!$F$5:$F$2246))
+SUMPRODUCT(-('Diário 7º PA'!$E$5:$E$2271='Analítico Cp.'!$B49),-('Diário 7º PA'!$Q$5:$Q$2271=H$1),('Diário 7º PA'!$F$5:$F$2271))
+SUMPRODUCT(-('Diário 8º PA'!$E$5:$E$2488='Analítico Cp.'!$B49),-('Diário 8º PA'!$Q$5:$Q$2488=H$1),('Diário 8º PA'!$F$5:$F$2488))
+SUMPRODUCT(-('Comp.'!$D$5:$D$313='Analítico Cp.'!$B49),-('Comp.'!$R$5:$R$313=H$1),('Comp.'!$E$5:$E$313))</f>
        <v>0</v>
      </c>
      <c r="I49" s="185">
        <f>SUMPRODUCT(-('Diário 5º PA'!$E$5:$E$2634='Analítico Cp.'!$B49),-('Diário 5º PA'!$Q$5:$Q$2634=I$1),('Diário 5º PA'!$F$5:$F$2634))
+SUMPRODUCT(-('Diário 6º PA'!$E$5:$E$2246='Analítico Cp.'!$B49),-('Diário 6º PA'!$Q$5:$Q$2246=I$1),('Diário 6º PA'!$F$5:$F$2246))
+SUMPRODUCT(-('Diário 7º PA'!$E$5:$E$2271='Analítico Cp.'!$B49),-('Diário 7º PA'!$Q$5:$Q$2271=I$1),('Diário 7º PA'!$F$5:$F$2271))
+SUMPRODUCT(-('Diário 8º PA'!$E$5:$E$2488='Analítico Cp.'!$B49),-('Diário 8º PA'!$Q$5:$Q$2488=I$1),('Diário 8º PA'!$F$5:$F$2488))
+SUMPRODUCT(-('Comp.'!$D$5:$D$313='Analítico Cp.'!$B49),-('Comp.'!$R$5:$R$313=I$1),('Comp.'!$E$5:$E$313))</f>
        <v>0</v>
      </c>
      <c r="J49" s="185">
        <f>SUMPRODUCT(-('Diário 5º PA'!$E$5:$E$2634='Analítico Cp.'!$B49),-('Diário 5º PA'!$Q$5:$Q$2634=J$1),('Diário 5º PA'!$F$5:$F$2634))
+SUMPRODUCT(-('Diário 6º PA'!$E$5:$E$2246='Analítico Cp.'!$B49),-('Diário 6º PA'!$Q$5:$Q$2246=J$1),('Diário 6º PA'!$F$5:$F$2246))
+SUMPRODUCT(-('Diário 7º PA'!$E$5:$E$2271='Analítico Cp.'!$B49),-('Diário 7º PA'!$Q$5:$Q$2271=J$1),('Diário 7º PA'!$F$5:$F$2271))
+SUMPRODUCT(-('Diário 8º PA'!$E$5:$E$2488='Analítico Cp.'!$B49),-('Diário 8º PA'!$Q$5:$Q$2488=J$1),('Diário 8º PA'!$F$5:$F$2488))
+SUMPRODUCT(-('Comp.'!$D$5:$D$313='Analítico Cp.'!$B49),-('Comp.'!$R$5:$R$313=J$1),('Comp.'!$E$5:$E$313))</f>
        <v>0</v>
      </c>
      <c r="K49" s="185">
        <f>SUMPRODUCT(-('Diário 5º PA'!$E$5:$E$2634='Analítico Cp.'!$B49),-('Diário 5º PA'!$Q$5:$Q$2634=K$1),('Diário 5º PA'!$F$5:$F$2634))
+SUMPRODUCT(-('Diário 6º PA'!$E$5:$E$2246='Analítico Cp.'!$B49),-('Diário 6º PA'!$Q$5:$Q$2246=K$1),('Diário 6º PA'!$F$5:$F$2246))
+SUMPRODUCT(-('Diário 7º PA'!$E$5:$E$2271='Analítico Cp.'!$B49),-('Diário 7º PA'!$Q$5:$Q$2271=K$1),('Diário 7º PA'!$F$5:$F$2271))
+SUMPRODUCT(-('Diário 8º PA'!$E$5:$E$2488='Analítico Cp.'!$B49),-('Diário 8º PA'!$Q$5:$Q$2488=K$1),('Diário 8º PA'!$F$5:$F$2488))
+SUMPRODUCT(-('Comp.'!$D$5:$D$313='Analítico Cp.'!$B49),-('Comp.'!$R$5:$R$313=K$1),('Comp.'!$E$5:$E$313))</f>
        <v>0</v>
      </c>
      <c r="L49" s="185">
        <f>SUMPRODUCT(-('Diário 5º PA'!$E$5:$E$2634='Analítico Cp.'!$B49),-('Diário 5º PA'!$Q$5:$Q$2634=L$1),('Diário 5º PA'!$F$5:$F$2634))
+SUMPRODUCT(-('Diário 6º PA'!$E$5:$E$2246='Analítico Cp.'!$B49),-('Diário 6º PA'!$Q$5:$Q$2246=L$1),('Diário 6º PA'!$F$5:$F$2246))
+SUMPRODUCT(-('Diário 7º PA'!$E$5:$E$2271='Analítico Cp.'!$B49),-('Diário 7º PA'!$Q$5:$Q$2271=L$1),('Diário 7º PA'!$F$5:$F$2271))
+SUMPRODUCT(-('Diário 8º PA'!$E$5:$E$2488='Analítico Cp.'!$B49),-('Diário 8º PA'!$Q$5:$Q$2488=L$1),('Diário 8º PA'!$F$5:$F$2488))
+SUMPRODUCT(-('Comp.'!$D$5:$D$313='Analítico Cp.'!$B49),-('Comp.'!$R$5:$R$313=L$1),('Comp.'!$E$5:$E$313))</f>
        <v>0</v>
      </c>
      <c r="M49" s="185">
        <f>SUMPRODUCT(-('Diário 5º PA'!$E$5:$E$2634='Analítico Cp.'!$B49),-('Diário 5º PA'!$Q$5:$Q$2634=M$1),('Diário 5º PA'!$F$5:$F$2634))
+SUMPRODUCT(-('Diário 6º PA'!$E$5:$E$2246='Analítico Cp.'!$B49),-('Diário 6º PA'!$Q$5:$Q$2246=M$1),('Diário 6º PA'!$F$5:$F$2246))
+SUMPRODUCT(-('Diário 7º PA'!$E$5:$E$2271='Analítico Cp.'!$B49),-('Diário 7º PA'!$Q$5:$Q$2271=M$1),('Diário 7º PA'!$F$5:$F$2271))
+SUMPRODUCT(-('Diário 8º PA'!$E$5:$E$2488='Analítico Cp.'!$B49),-('Diário 8º PA'!$Q$5:$Q$2488=M$1),('Diário 8º PA'!$F$5:$F$2488))
+SUMPRODUCT(-('Comp.'!$D$5:$D$313='Analítico Cp.'!$B49),-('Comp.'!$R$5:$R$313=M$1),('Comp.'!$E$5:$E$313))</f>
        <v>0</v>
      </c>
      <c r="N49" s="185">
        <f>SUMPRODUCT(-('Diário 5º PA'!$E$5:$E$2634='Analítico Cp.'!$B49),-('Diário 5º PA'!$Q$5:$Q$2634=N$1),('Diário 5º PA'!$F$5:$F$2634))
+SUMPRODUCT(-('Diário 6º PA'!$E$5:$E$2246='Analítico Cp.'!$B49),-('Diário 6º PA'!$Q$5:$Q$2246=N$1),('Diário 6º PA'!$F$5:$F$2246))
+SUMPRODUCT(-('Diário 7º PA'!$E$5:$E$2271='Analítico Cp.'!$B49),-('Diário 7º PA'!$Q$5:$Q$2271=N$1),('Diário 7º PA'!$F$5:$F$2271))
+SUMPRODUCT(-('Diário 8º PA'!$E$5:$E$2488='Analítico Cp.'!$B49),-('Diário 8º PA'!$Q$5:$Q$2488=N$1),('Diário 8º PA'!$F$5:$F$2488))
+SUMPRODUCT(-('Comp.'!$D$5:$D$313='Analítico Cp.'!$B49),-('Comp.'!$R$5:$R$313=N$1),('Comp.'!$E$5:$E$313))</f>
        <v>0</v>
      </c>
      <c r="O49" s="186">
        <f t="shared" si="12"/>
        <v>0</v>
      </c>
      <c r="P49" s="187">
        <f t="shared" si="13"/>
        <v>0</v>
      </c>
      <c r="Q49" s="34"/>
      <c r="R49" s="34"/>
      <c r="S49" s="34"/>
      <c r="T49" s="34"/>
      <c r="U49" s="34"/>
      <c r="V49" s="34"/>
      <c r="W49" s="34"/>
      <c r="X49" s="34"/>
      <c r="Y49" s="34"/>
      <c r="Z49" s="34"/>
    </row>
    <row r="50" spans="1:26" ht="23.25" customHeight="1" x14ac:dyDescent="0.2">
      <c r="A50" s="215" t="s">
        <v>201</v>
      </c>
      <c r="B50" s="72" t="s">
        <v>202</v>
      </c>
      <c r="C50" s="185">
        <f>SUMPRODUCT(-('Diário 5º PA'!$E$5:$E$2634='Analítico Cp.'!$B50),-('Diário 5º PA'!$Q$5:$Q$2634=C$1),('Diário 5º PA'!$F$5:$F$2634))
+SUMPRODUCT(-('Diário 6º PA'!$E$5:$E$2246='Analítico Cp.'!$B50),-('Diário 6º PA'!$Q$5:$Q$2246=C$1),('Diário 6º PA'!$F$5:$F$2246))
+SUMPRODUCT(-('Diário 7º PA'!$E$5:$E$2271='Analítico Cp.'!$B50),-('Diário 7º PA'!$Q$5:$Q$2271=C$1),('Diário 7º PA'!$F$5:$F$2271))
+SUMPRODUCT(-('Diário 8º PA'!$E$5:$E$2488='Analítico Cp.'!$B50),-('Diário 8º PA'!$Q$5:$Q$2488=C$1),('Diário 8º PA'!$F$5:$F$2488))
+SUMPRODUCT(-('Comp.'!$D$5:$D$313='Analítico Cp.'!$B50),-('Comp.'!$R$5:$R$313=C$1),('Comp.'!$E$5:$E$313))</f>
        <v>0</v>
      </c>
      <c r="D50" s="185">
        <f>SUMPRODUCT(-('Diário 5º PA'!$E$5:$E$2634='Analítico Cp.'!$B50),-('Diário 5º PA'!$Q$5:$Q$2634=D$1),('Diário 5º PA'!$F$5:$F$2634))
+SUMPRODUCT(-('Diário 6º PA'!$E$5:$E$2246='Analítico Cp.'!$B50),-('Diário 6º PA'!$Q$5:$Q$2246=D$1),('Diário 6º PA'!$F$5:$F$2246))
+SUMPRODUCT(-('Diário 7º PA'!$E$5:$E$2271='Analítico Cp.'!$B50),-('Diário 7º PA'!$Q$5:$Q$2271=D$1),('Diário 7º PA'!$F$5:$F$2271))
+SUMPRODUCT(-('Diário 8º PA'!$E$5:$E$2488='Analítico Cp.'!$B50),-('Diário 8º PA'!$Q$5:$Q$2488=D$1),('Diário 8º PA'!$F$5:$F$2488))
+SUMPRODUCT(-('Comp.'!$D$5:$D$313='Analítico Cp.'!$B50),-('Comp.'!$R$5:$R$313=D$1),('Comp.'!$E$5:$E$313))</f>
        <v>0</v>
      </c>
      <c r="E50" s="185">
        <f>SUMPRODUCT(-('Diário 5º PA'!$E$5:$E$2634='Analítico Cp.'!$B50),-('Diário 5º PA'!$Q$5:$Q$2634=E$1),('Diário 5º PA'!$F$5:$F$2634))
+SUMPRODUCT(-('Diário 6º PA'!$E$5:$E$2246='Analítico Cp.'!$B50),-('Diário 6º PA'!$Q$5:$Q$2246=E$1),('Diário 6º PA'!$F$5:$F$2246))
+SUMPRODUCT(-('Diário 7º PA'!$E$5:$E$2271='Analítico Cp.'!$B50),-('Diário 7º PA'!$Q$5:$Q$2271=E$1),('Diário 7º PA'!$F$5:$F$2271))
+SUMPRODUCT(-('Diário 8º PA'!$E$5:$E$2488='Analítico Cp.'!$B50),-('Diário 8º PA'!$Q$5:$Q$2488=E$1),('Diário 8º PA'!$F$5:$F$2488))
+SUMPRODUCT(-('Comp.'!$D$5:$D$313='Analítico Cp.'!$B50),-('Comp.'!$R$5:$R$313=E$1),('Comp.'!$E$5:$E$313))</f>
        <v>0</v>
      </c>
      <c r="F50" s="185">
        <f>SUMPRODUCT(-('Diário 5º PA'!$E$5:$E$2634='Analítico Cp.'!$B50),-('Diário 5º PA'!$Q$5:$Q$2634=F$1),('Diário 5º PA'!$F$5:$F$2634))
+SUMPRODUCT(-('Diário 6º PA'!$E$5:$E$2246='Analítico Cp.'!$B50),-('Diário 6º PA'!$Q$5:$Q$2246=F$1),('Diário 6º PA'!$F$5:$F$2246))
+SUMPRODUCT(-('Diário 7º PA'!$E$5:$E$2271='Analítico Cp.'!$B50),-('Diário 7º PA'!$Q$5:$Q$2271=F$1),('Diário 7º PA'!$F$5:$F$2271))
+SUMPRODUCT(-('Diário 8º PA'!$E$5:$E$2488='Analítico Cp.'!$B50),-('Diário 8º PA'!$Q$5:$Q$2488=F$1),('Diário 8º PA'!$F$5:$F$2488))
+SUMPRODUCT(-('Comp.'!$D$5:$D$313='Analítico Cp.'!$B50),-('Comp.'!$R$5:$R$313=F$1),('Comp.'!$E$5:$E$313))</f>
        <v>0</v>
      </c>
      <c r="G50" s="185">
        <f>SUMPRODUCT(-('Diário 5º PA'!$E$5:$E$2634='Analítico Cp.'!$B50),-('Diário 5º PA'!$Q$5:$Q$2634=G$1),('Diário 5º PA'!$F$5:$F$2634))
+SUMPRODUCT(-('Diário 6º PA'!$E$5:$E$2246='Analítico Cp.'!$B50),-('Diário 6º PA'!$Q$5:$Q$2246=G$1),('Diário 6º PA'!$F$5:$F$2246))
+SUMPRODUCT(-('Diário 7º PA'!$E$5:$E$2271='Analítico Cp.'!$B50),-('Diário 7º PA'!$Q$5:$Q$2271=G$1),('Diário 7º PA'!$F$5:$F$2271))
+SUMPRODUCT(-('Diário 8º PA'!$E$5:$E$2488='Analítico Cp.'!$B50),-('Diário 8º PA'!$Q$5:$Q$2488=G$1),('Diário 8º PA'!$F$5:$F$2488))
+SUMPRODUCT(-('Comp.'!$D$5:$D$313='Analítico Cp.'!$B50),-('Comp.'!$R$5:$R$313=G$1),('Comp.'!$E$5:$E$313))</f>
        <v>0</v>
      </c>
      <c r="H50" s="185">
        <f>SUMPRODUCT(-('Diário 5º PA'!$E$5:$E$2634='Analítico Cp.'!$B50),-('Diário 5º PA'!$Q$5:$Q$2634=H$1),('Diário 5º PA'!$F$5:$F$2634))
+SUMPRODUCT(-('Diário 6º PA'!$E$5:$E$2246='Analítico Cp.'!$B50),-('Diário 6º PA'!$Q$5:$Q$2246=H$1),('Diário 6º PA'!$F$5:$F$2246))
+SUMPRODUCT(-('Diário 7º PA'!$E$5:$E$2271='Analítico Cp.'!$B50),-('Diário 7º PA'!$Q$5:$Q$2271=H$1),('Diário 7º PA'!$F$5:$F$2271))
+SUMPRODUCT(-('Diário 8º PA'!$E$5:$E$2488='Analítico Cp.'!$B50),-('Diário 8º PA'!$Q$5:$Q$2488=H$1),('Diário 8º PA'!$F$5:$F$2488))
+SUMPRODUCT(-('Comp.'!$D$5:$D$313='Analítico Cp.'!$B50),-('Comp.'!$R$5:$R$313=H$1),('Comp.'!$E$5:$E$313))</f>
        <v>0</v>
      </c>
      <c r="I50" s="185">
        <f>SUMPRODUCT(-('Diário 5º PA'!$E$5:$E$2634='Analítico Cp.'!$B50),-('Diário 5º PA'!$Q$5:$Q$2634=I$1),('Diário 5º PA'!$F$5:$F$2634))
+SUMPRODUCT(-('Diário 6º PA'!$E$5:$E$2246='Analítico Cp.'!$B50),-('Diário 6º PA'!$Q$5:$Q$2246=I$1),('Diário 6º PA'!$F$5:$F$2246))
+SUMPRODUCT(-('Diário 7º PA'!$E$5:$E$2271='Analítico Cp.'!$B50),-('Diário 7º PA'!$Q$5:$Q$2271=I$1),('Diário 7º PA'!$F$5:$F$2271))
+SUMPRODUCT(-('Diário 8º PA'!$E$5:$E$2488='Analítico Cp.'!$B50),-('Diário 8º PA'!$Q$5:$Q$2488=I$1),('Diário 8º PA'!$F$5:$F$2488))
+SUMPRODUCT(-('Comp.'!$D$5:$D$313='Analítico Cp.'!$B50),-('Comp.'!$R$5:$R$313=I$1),('Comp.'!$E$5:$E$313))</f>
        <v>0</v>
      </c>
      <c r="J50" s="185">
        <f>SUMPRODUCT(-('Diário 5º PA'!$E$5:$E$2634='Analítico Cp.'!$B50),-('Diário 5º PA'!$Q$5:$Q$2634=J$1),('Diário 5º PA'!$F$5:$F$2634))
+SUMPRODUCT(-('Diário 6º PA'!$E$5:$E$2246='Analítico Cp.'!$B50),-('Diário 6º PA'!$Q$5:$Q$2246=J$1),('Diário 6º PA'!$F$5:$F$2246))
+SUMPRODUCT(-('Diário 7º PA'!$E$5:$E$2271='Analítico Cp.'!$B50),-('Diário 7º PA'!$Q$5:$Q$2271=J$1),('Diário 7º PA'!$F$5:$F$2271))
+SUMPRODUCT(-('Diário 8º PA'!$E$5:$E$2488='Analítico Cp.'!$B50),-('Diário 8º PA'!$Q$5:$Q$2488=J$1),('Diário 8º PA'!$F$5:$F$2488))
+SUMPRODUCT(-('Comp.'!$D$5:$D$313='Analítico Cp.'!$B50),-('Comp.'!$R$5:$R$313=J$1),('Comp.'!$E$5:$E$313))</f>
        <v>0</v>
      </c>
      <c r="K50" s="185">
        <f>SUMPRODUCT(-('Diário 5º PA'!$E$5:$E$2634='Analítico Cp.'!$B50),-('Diário 5º PA'!$Q$5:$Q$2634=K$1),('Diário 5º PA'!$F$5:$F$2634))
+SUMPRODUCT(-('Diário 6º PA'!$E$5:$E$2246='Analítico Cp.'!$B50),-('Diário 6º PA'!$Q$5:$Q$2246=K$1),('Diário 6º PA'!$F$5:$F$2246))
+SUMPRODUCT(-('Diário 7º PA'!$E$5:$E$2271='Analítico Cp.'!$B50),-('Diário 7º PA'!$Q$5:$Q$2271=K$1),('Diário 7º PA'!$F$5:$F$2271))
+SUMPRODUCT(-('Diário 8º PA'!$E$5:$E$2488='Analítico Cp.'!$B50),-('Diário 8º PA'!$Q$5:$Q$2488=K$1),('Diário 8º PA'!$F$5:$F$2488))
+SUMPRODUCT(-('Comp.'!$D$5:$D$313='Analítico Cp.'!$B50),-('Comp.'!$R$5:$R$313=K$1),('Comp.'!$E$5:$E$313))</f>
        <v>0</v>
      </c>
      <c r="L50" s="185">
        <f>SUMPRODUCT(-('Diário 5º PA'!$E$5:$E$2634='Analítico Cp.'!$B50),-('Diário 5º PA'!$Q$5:$Q$2634=L$1),('Diário 5º PA'!$F$5:$F$2634))
+SUMPRODUCT(-('Diário 6º PA'!$E$5:$E$2246='Analítico Cp.'!$B50),-('Diário 6º PA'!$Q$5:$Q$2246=L$1),('Diário 6º PA'!$F$5:$F$2246))
+SUMPRODUCT(-('Diário 7º PA'!$E$5:$E$2271='Analítico Cp.'!$B50),-('Diário 7º PA'!$Q$5:$Q$2271=L$1),('Diário 7º PA'!$F$5:$F$2271))
+SUMPRODUCT(-('Diário 8º PA'!$E$5:$E$2488='Analítico Cp.'!$B50),-('Diário 8º PA'!$Q$5:$Q$2488=L$1),('Diário 8º PA'!$F$5:$F$2488))
+SUMPRODUCT(-('Comp.'!$D$5:$D$313='Analítico Cp.'!$B50),-('Comp.'!$R$5:$R$313=L$1),('Comp.'!$E$5:$E$313))</f>
        <v>0</v>
      </c>
      <c r="M50" s="185">
        <f>SUMPRODUCT(-('Diário 5º PA'!$E$5:$E$2634='Analítico Cp.'!$B50),-('Diário 5º PA'!$Q$5:$Q$2634=M$1),('Diário 5º PA'!$F$5:$F$2634))
+SUMPRODUCT(-('Diário 6º PA'!$E$5:$E$2246='Analítico Cp.'!$B50),-('Diário 6º PA'!$Q$5:$Q$2246=M$1),('Diário 6º PA'!$F$5:$F$2246))
+SUMPRODUCT(-('Diário 7º PA'!$E$5:$E$2271='Analítico Cp.'!$B50),-('Diário 7º PA'!$Q$5:$Q$2271=M$1),('Diário 7º PA'!$F$5:$F$2271))
+SUMPRODUCT(-('Diário 8º PA'!$E$5:$E$2488='Analítico Cp.'!$B50),-('Diário 8º PA'!$Q$5:$Q$2488=M$1),('Diário 8º PA'!$F$5:$F$2488))
+SUMPRODUCT(-('Comp.'!$D$5:$D$313='Analítico Cp.'!$B50),-('Comp.'!$R$5:$R$313=M$1),('Comp.'!$E$5:$E$313))</f>
        <v>0</v>
      </c>
      <c r="N50" s="185">
        <f>SUMPRODUCT(-('Diário 5º PA'!$E$5:$E$2634='Analítico Cp.'!$B50),-('Diário 5º PA'!$Q$5:$Q$2634=N$1),('Diário 5º PA'!$F$5:$F$2634))
+SUMPRODUCT(-('Diário 6º PA'!$E$5:$E$2246='Analítico Cp.'!$B50),-('Diário 6º PA'!$Q$5:$Q$2246=N$1),('Diário 6º PA'!$F$5:$F$2246))
+SUMPRODUCT(-('Diário 7º PA'!$E$5:$E$2271='Analítico Cp.'!$B50),-('Diário 7º PA'!$Q$5:$Q$2271=N$1),('Diário 7º PA'!$F$5:$F$2271))
+SUMPRODUCT(-('Diário 8º PA'!$E$5:$E$2488='Analítico Cp.'!$B50),-('Diário 8º PA'!$Q$5:$Q$2488=N$1),('Diário 8º PA'!$F$5:$F$2488))
+SUMPRODUCT(-('Comp.'!$D$5:$D$313='Analítico Cp.'!$B50),-('Comp.'!$R$5:$R$313=N$1),('Comp.'!$E$5:$E$313))</f>
        <v>0</v>
      </c>
      <c r="O50" s="186">
        <f t="shared" si="12"/>
        <v>0</v>
      </c>
      <c r="P50" s="187">
        <f t="shared" si="13"/>
        <v>0</v>
      </c>
      <c r="Q50" s="34"/>
      <c r="R50" s="34"/>
      <c r="S50" s="34"/>
      <c r="T50" s="34"/>
      <c r="U50" s="34"/>
      <c r="V50" s="34"/>
      <c r="W50" s="34"/>
      <c r="X50" s="34"/>
      <c r="Y50" s="34"/>
      <c r="Z50" s="34"/>
    </row>
    <row r="51" spans="1:26" ht="23.25" customHeight="1" x14ac:dyDescent="0.2">
      <c r="A51" s="215" t="s">
        <v>203</v>
      </c>
      <c r="B51" s="216" t="s">
        <v>204</v>
      </c>
      <c r="C51" s="185">
        <f>SUMPRODUCT(-('Diário 5º PA'!$E$5:$E$2634='Analítico Cp.'!$B51),-('Diário 5º PA'!$Q$5:$Q$2634=C$1),('Diário 5º PA'!$F$5:$F$2634))
+SUMPRODUCT(-('Diário 6º PA'!$E$5:$E$2246='Analítico Cp.'!$B51),-('Diário 6º PA'!$Q$5:$Q$2246=C$1),('Diário 6º PA'!$F$5:$F$2246))
+SUMPRODUCT(-('Diário 7º PA'!$E$5:$E$2271='Analítico Cp.'!$B51),-('Diário 7º PA'!$Q$5:$Q$2271=C$1),('Diário 7º PA'!$F$5:$F$2271))
+SUMPRODUCT(-('Diário 8º PA'!$E$5:$E$2488='Analítico Cp.'!$B51),-('Diário 8º PA'!$Q$5:$Q$2488=C$1),('Diário 8º PA'!$F$5:$F$2488))
+SUMPRODUCT(-('Comp.'!$D$5:$D$313='Analítico Cp.'!$B51),-('Comp.'!$R$5:$R$313=C$1),('Comp.'!$E$5:$E$313))</f>
        <v>0</v>
      </c>
      <c r="D51" s="185">
        <f>SUMPRODUCT(-('Diário 5º PA'!$E$5:$E$2634='Analítico Cp.'!$B51),-('Diário 5º PA'!$Q$5:$Q$2634=D$1),('Diário 5º PA'!$F$5:$F$2634))
+SUMPRODUCT(-('Diário 6º PA'!$E$5:$E$2246='Analítico Cp.'!$B51),-('Diário 6º PA'!$Q$5:$Q$2246=D$1),('Diário 6º PA'!$F$5:$F$2246))
+SUMPRODUCT(-('Diário 7º PA'!$E$5:$E$2271='Analítico Cp.'!$B51),-('Diário 7º PA'!$Q$5:$Q$2271=D$1),('Diário 7º PA'!$F$5:$F$2271))
+SUMPRODUCT(-('Diário 8º PA'!$E$5:$E$2488='Analítico Cp.'!$B51),-('Diário 8º PA'!$Q$5:$Q$2488=D$1),('Diário 8º PA'!$F$5:$F$2488))
+SUMPRODUCT(-('Comp.'!$D$5:$D$313='Analítico Cp.'!$B51),-('Comp.'!$R$5:$R$313=D$1),('Comp.'!$E$5:$E$313))</f>
        <v>0</v>
      </c>
      <c r="E51" s="185">
        <f>SUMPRODUCT(-('Diário 5º PA'!$E$5:$E$2634='Analítico Cp.'!$B51),-('Diário 5º PA'!$Q$5:$Q$2634=E$1),('Diário 5º PA'!$F$5:$F$2634))
+SUMPRODUCT(-('Diário 6º PA'!$E$5:$E$2246='Analítico Cp.'!$B51),-('Diário 6º PA'!$Q$5:$Q$2246=E$1),('Diário 6º PA'!$F$5:$F$2246))
+SUMPRODUCT(-('Diário 7º PA'!$E$5:$E$2271='Analítico Cp.'!$B51),-('Diário 7º PA'!$Q$5:$Q$2271=E$1),('Diário 7º PA'!$F$5:$F$2271))
+SUMPRODUCT(-('Diário 8º PA'!$E$5:$E$2488='Analítico Cp.'!$B51),-('Diário 8º PA'!$Q$5:$Q$2488=E$1),('Diário 8º PA'!$F$5:$F$2488))
+SUMPRODUCT(-('Comp.'!$D$5:$D$313='Analítico Cp.'!$B51),-('Comp.'!$R$5:$R$313=E$1),('Comp.'!$E$5:$E$313))</f>
        <v>0</v>
      </c>
      <c r="F51" s="185">
        <f>SUMPRODUCT(-('Diário 5º PA'!$E$5:$E$2634='Analítico Cp.'!$B51),-('Diário 5º PA'!$Q$5:$Q$2634=F$1),('Diário 5º PA'!$F$5:$F$2634))
+SUMPRODUCT(-('Diário 6º PA'!$E$5:$E$2246='Analítico Cp.'!$B51),-('Diário 6º PA'!$Q$5:$Q$2246=F$1),('Diário 6º PA'!$F$5:$F$2246))
+SUMPRODUCT(-('Diário 7º PA'!$E$5:$E$2271='Analítico Cp.'!$B51),-('Diário 7º PA'!$Q$5:$Q$2271=F$1),('Diário 7º PA'!$F$5:$F$2271))
+SUMPRODUCT(-('Diário 8º PA'!$E$5:$E$2488='Analítico Cp.'!$B51),-('Diário 8º PA'!$Q$5:$Q$2488=F$1),('Diário 8º PA'!$F$5:$F$2488))
+SUMPRODUCT(-('Comp.'!$D$5:$D$313='Analítico Cp.'!$B51),-('Comp.'!$R$5:$R$313=F$1),('Comp.'!$E$5:$E$313))</f>
        <v>0</v>
      </c>
      <c r="G51" s="185">
        <f>SUMPRODUCT(-('Diário 5º PA'!$E$5:$E$2634='Analítico Cp.'!$B51),-('Diário 5º PA'!$Q$5:$Q$2634=G$1),('Diário 5º PA'!$F$5:$F$2634))
+SUMPRODUCT(-('Diário 6º PA'!$E$5:$E$2246='Analítico Cp.'!$B51),-('Diário 6º PA'!$Q$5:$Q$2246=G$1),('Diário 6º PA'!$F$5:$F$2246))
+SUMPRODUCT(-('Diário 7º PA'!$E$5:$E$2271='Analítico Cp.'!$B51),-('Diário 7º PA'!$Q$5:$Q$2271=G$1),('Diário 7º PA'!$F$5:$F$2271))
+SUMPRODUCT(-('Diário 8º PA'!$E$5:$E$2488='Analítico Cp.'!$B51),-('Diário 8º PA'!$Q$5:$Q$2488=G$1),('Diário 8º PA'!$F$5:$F$2488))
+SUMPRODUCT(-('Comp.'!$D$5:$D$313='Analítico Cp.'!$B51),-('Comp.'!$R$5:$R$313=G$1),('Comp.'!$E$5:$E$313))</f>
        <v>0</v>
      </c>
      <c r="H51" s="185">
        <f>SUMPRODUCT(-('Diário 5º PA'!$E$5:$E$2634='Analítico Cp.'!$B51),-('Diário 5º PA'!$Q$5:$Q$2634=H$1),('Diário 5º PA'!$F$5:$F$2634))
+SUMPRODUCT(-('Diário 6º PA'!$E$5:$E$2246='Analítico Cp.'!$B51),-('Diário 6º PA'!$Q$5:$Q$2246=H$1),('Diário 6º PA'!$F$5:$F$2246))
+SUMPRODUCT(-('Diário 7º PA'!$E$5:$E$2271='Analítico Cp.'!$B51),-('Diário 7º PA'!$Q$5:$Q$2271=H$1),('Diário 7º PA'!$F$5:$F$2271))
+SUMPRODUCT(-('Diário 8º PA'!$E$5:$E$2488='Analítico Cp.'!$B51),-('Diário 8º PA'!$Q$5:$Q$2488=H$1),('Diário 8º PA'!$F$5:$F$2488))
+SUMPRODUCT(-('Comp.'!$D$5:$D$313='Analítico Cp.'!$B51),-('Comp.'!$R$5:$R$313=H$1),('Comp.'!$E$5:$E$313))</f>
        <v>0</v>
      </c>
      <c r="I51" s="185">
        <f>SUMPRODUCT(-('Diário 5º PA'!$E$5:$E$2634='Analítico Cp.'!$B51),-('Diário 5º PA'!$Q$5:$Q$2634=I$1),('Diário 5º PA'!$F$5:$F$2634))
+SUMPRODUCT(-('Diário 6º PA'!$E$5:$E$2246='Analítico Cp.'!$B51),-('Diário 6º PA'!$Q$5:$Q$2246=I$1),('Diário 6º PA'!$F$5:$F$2246))
+SUMPRODUCT(-('Diário 7º PA'!$E$5:$E$2271='Analítico Cp.'!$B51),-('Diário 7º PA'!$Q$5:$Q$2271=I$1),('Diário 7º PA'!$F$5:$F$2271))
+SUMPRODUCT(-('Diário 8º PA'!$E$5:$E$2488='Analítico Cp.'!$B51),-('Diário 8º PA'!$Q$5:$Q$2488=I$1),('Diário 8º PA'!$F$5:$F$2488))
+SUMPRODUCT(-('Comp.'!$D$5:$D$313='Analítico Cp.'!$B51),-('Comp.'!$R$5:$R$313=I$1),('Comp.'!$E$5:$E$313))</f>
        <v>0</v>
      </c>
      <c r="J51" s="185">
        <f>SUMPRODUCT(-('Diário 5º PA'!$E$5:$E$2634='Analítico Cp.'!$B51),-('Diário 5º PA'!$Q$5:$Q$2634=J$1),('Diário 5º PA'!$F$5:$F$2634))
+SUMPRODUCT(-('Diário 6º PA'!$E$5:$E$2246='Analítico Cp.'!$B51),-('Diário 6º PA'!$Q$5:$Q$2246=J$1),('Diário 6º PA'!$F$5:$F$2246))
+SUMPRODUCT(-('Diário 7º PA'!$E$5:$E$2271='Analítico Cp.'!$B51),-('Diário 7º PA'!$Q$5:$Q$2271=J$1),('Diário 7º PA'!$F$5:$F$2271))
+SUMPRODUCT(-('Diário 8º PA'!$E$5:$E$2488='Analítico Cp.'!$B51),-('Diário 8º PA'!$Q$5:$Q$2488=J$1),('Diário 8º PA'!$F$5:$F$2488))
+SUMPRODUCT(-('Comp.'!$D$5:$D$313='Analítico Cp.'!$B51),-('Comp.'!$R$5:$R$313=J$1),('Comp.'!$E$5:$E$313))</f>
        <v>0</v>
      </c>
      <c r="K51" s="185">
        <f>SUMPRODUCT(-('Diário 5º PA'!$E$5:$E$2634='Analítico Cp.'!$B51),-('Diário 5º PA'!$Q$5:$Q$2634=K$1),('Diário 5º PA'!$F$5:$F$2634))
+SUMPRODUCT(-('Diário 6º PA'!$E$5:$E$2246='Analítico Cp.'!$B51),-('Diário 6º PA'!$Q$5:$Q$2246=K$1),('Diário 6º PA'!$F$5:$F$2246))
+SUMPRODUCT(-('Diário 7º PA'!$E$5:$E$2271='Analítico Cp.'!$B51),-('Diário 7º PA'!$Q$5:$Q$2271=K$1),('Diário 7º PA'!$F$5:$F$2271))
+SUMPRODUCT(-('Diário 8º PA'!$E$5:$E$2488='Analítico Cp.'!$B51),-('Diário 8º PA'!$Q$5:$Q$2488=K$1),('Diário 8º PA'!$F$5:$F$2488))
+SUMPRODUCT(-('Comp.'!$D$5:$D$313='Analítico Cp.'!$B51),-('Comp.'!$R$5:$R$313=K$1),('Comp.'!$E$5:$E$313))</f>
        <v>0</v>
      </c>
      <c r="L51" s="185">
        <f>SUMPRODUCT(-('Diário 5º PA'!$E$5:$E$2634='Analítico Cp.'!$B51),-('Diário 5º PA'!$Q$5:$Q$2634=L$1),('Diário 5º PA'!$F$5:$F$2634))
+SUMPRODUCT(-('Diário 6º PA'!$E$5:$E$2246='Analítico Cp.'!$B51),-('Diário 6º PA'!$Q$5:$Q$2246=L$1),('Diário 6º PA'!$F$5:$F$2246))
+SUMPRODUCT(-('Diário 7º PA'!$E$5:$E$2271='Analítico Cp.'!$B51),-('Diário 7º PA'!$Q$5:$Q$2271=L$1),('Diário 7º PA'!$F$5:$F$2271))
+SUMPRODUCT(-('Diário 8º PA'!$E$5:$E$2488='Analítico Cp.'!$B51),-('Diário 8º PA'!$Q$5:$Q$2488=L$1),('Diário 8º PA'!$F$5:$F$2488))
+SUMPRODUCT(-('Comp.'!$D$5:$D$313='Analítico Cp.'!$B51),-('Comp.'!$R$5:$R$313=L$1),('Comp.'!$E$5:$E$313))</f>
        <v>0</v>
      </c>
      <c r="M51" s="185">
        <f>SUMPRODUCT(-('Diário 5º PA'!$E$5:$E$2634='Analítico Cp.'!$B51),-('Diário 5º PA'!$Q$5:$Q$2634=M$1),('Diário 5º PA'!$F$5:$F$2634))
+SUMPRODUCT(-('Diário 6º PA'!$E$5:$E$2246='Analítico Cp.'!$B51),-('Diário 6º PA'!$Q$5:$Q$2246=M$1),('Diário 6º PA'!$F$5:$F$2246))
+SUMPRODUCT(-('Diário 7º PA'!$E$5:$E$2271='Analítico Cp.'!$B51),-('Diário 7º PA'!$Q$5:$Q$2271=M$1),('Diário 7º PA'!$F$5:$F$2271))
+SUMPRODUCT(-('Diário 8º PA'!$E$5:$E$2488='Analítico Cp.'!$B51),-('Diário 8º PA'!$Q$5:$Q$2488=M$1),('Diário 8º PA'!$F$5:$F$2488))
+SUMPRODUCT(-('Comp.'!$D$5:$D$313='Analítico Cp.'!$B51),-('Comp.'!$R$5:$R$313=M$1),('Comp.'!$E$5:$E$313))</f>
        <v>0</v>
      </c>
      <c r="N51" s="185">
        <f>SUMPRODUCT(-('Diário 5º PA'!$E$5:$E$2634='Analítico Cp.'!$B51),-('Diário 5º PA'!$Q$5:$Q$2634=N$1),('Diário 5º PA'!$F$5:$F$2634))
+SUMPRODUCT(-('Diário 6º PA'!$E$5:$E$2246='Analítico Cp.'!$B51),-('Diário 6º PA'!$Q$5:$Q$2246=N$1),('Diário 6º PA'!$F$5:$F$2246))
+SUMPRODUCT(-('Diário 7º PA'!$E$5:$E$2271='Analítico Cp.'!$B51),-('Diário 7º PA'!$Q$5:$Q$2271=N$1),('Diário 7º PA'!$F$5:$F$2271))
+SUMPRODUCT(-('Diário 8º PA'!$E$5:$E$2488='Analítico Cp.'!$B51),-('Diário 8º PA'!$Q$5:$Q$2488=N$1),('Diário 8º PA'!$F$5:$F$2488))
+SUMPRODUCT(-('Comp.'!$D$5:$D$313='Analítico Cp.'!$B51),-('Comp.'!$R$5:$R$313=N$1),('Comp.'!$E$5:$E$313))</f>
        <v>0</v>
      </c>
      <c r="O51" s="231">
        <f t="shared" si="12"/>
        <v>0</v>
      </c>
      <c r="P51" s="187">
        <f t="shared" si="13"/>
        <v>0</v>
      </c>
      <c r="Q51" s="34"/>
      <c r="R51" s="34"/>
      <c r="S51" s="34"/>
      <c r="T51" s="34"/>
      <c r="U51" s="34"/>
      <c r="V51" s="34"/>
      <c r="W51" s="34"/>
      <c r="X51" s="34"/>
      <c r="Y51" s="34"/>
      <c r="Z51" s="34"/>
    </row>
    <row r="52" spans="1:26" ht="23.25" customHeight="1" x14ac:dyDescent="0.2">
      <c r="A52" s="205"/>
      <c r="B52" s="206" t="s">
        <v>205</v>
      </c>
      <c r="C52" s="207">
        <f t="shared" ref="C52:O52" si="14">SUBTOTAL(109,C45:C51)</f>
        <v>13794.710000000001</v>
      </c>
      <c r="D52" s="207">
        <f t="shared" si="14"/>
        <v>14402.880000000001</v>
      </c>
      <c r="E52" s="207">
        <f t="shared" si="14"/>
        <v>14748.599999999999</v>
      </c>
      <c r="F52" s="207">
        <f t="shared" si="14"/>
        <v>14234.279999999999</v>
      </c>
      <c r="G52" s="207">
        <f t="shared" si="14"/>
        <v>14285.749999999998</v>
      </c>
      <c r="H52" s="207">
        <f t="shared" si="14"/>
        <v>15068.66</v>
      </c>
      <c r="I52" s="207">
        <f t="shared" si="14"/>
        <v>31503.530000000002</v>
      </c>
      <c r="J52" s="207">
        <f t="shared" si="14"/>
        <v>34017.98000000001</v>
      </c>
      <c r="K52" s="207">
        <f t="shared" si="14"/>
        <v>42465.58</v>
      </c>
      <c r="L52" s="207">
        <f t="shared" si="14"/>
        <v>54420.24</v>
      </c>
      <c r="M52" s="207">
        <f t="shared" si="14"/>
        <v>55588.909999999996</v>
      </c>
      <c r="N52" s="207">
        <f t="shared" si="14"/>
        <v>55437.159999999996</v>
      </c>
      <c r="O52" s="207">
        <f t="shared" si="14"/>
        <v>359968.27999999997</v>
      </c>
      <c r="P52" s="208">
        <f t="shared" si="13"/>
        <v>3.712934491505733E-2</v>
      </c>
      <c r="Q52" s="34"/>
      <c r="R52" s="34"/>
      <c r="S52" s="34"/>
      <c r="T52" s="34"/>
      <c r="U52" s="34"/>
      <c r="V52" s="34"/>
      <c r="W52" s="34"/>
      <c r="X52" s="34"/>
      <c r="Y52" s="34"/>
      <c r="Z52" s="34"/>
    </row>
    <row r="53" spans="1:26" ht="23.25" customHeight="1" x14ac:dyDescent="0.2">
      <c r="A53" s="195"/>
      <c r="B53" s="217" t="s">
        <v>206</v>
      </c>
      <c r="C53" s="218">
        <f t="shared" ref="C53:O53" si="15">SUBTOTAL(109,C20:C52)</f>
        <v>130292.59326180044</v>
      </c>
      <c r="D53" s="218">
        <f t="shared" si="15"/>
        <v>157286.81194226374</v>
      </c>
      <c r="E53" s="218">
        <f t="shared" si="15"/>
        <v>147131.70970084579</v>
      </c>
      <c r="F53" s="218">
        <f t="shared" si="15"/>
        <v>146303.4074341791</v>
      </c>
      <c r="G53" s="218">
        <f t="shared" si="15"/>
        <v>151778.11265146441</v>
      </c>
      <c r="H53" s="218">
        <f t="shared" si="15"/>
        <v>162170.93048750004</v>
      </c>
      <c r="I53" s="218">
        <f t="shared" si="15"/>
        <v>228747.34590798002</v>
      </c>
      <c r="J53" s="218">
        <f t="shared" si="15"/>
        <v>293959.41845171631</v>
      </c>
      <c r="K53" s="218">
        <f t="shared" si="15"/>
        <v>305466.79756973463</v>
      </c>
      <c r="L53" s="218">
        <f t="shared" si="15"/>
        <v>369135.46541686787</v>
      </c>
      <c r="M53" s="218">
        <f t="shared" si="15"/>
        <v>387998.01857000543</v>
      </c>
      <c r="N53" s="218">
        <f t="shared" si="15"/>
        <v>376573.66617538442</v>
      </c>
      <c r="O53" s="218">
        <f t="shared" si="15"/>
        <v>2856844.2775697424</v>
      </c>
      <c r="P53" s="219">
        <f t="shared" si="13"/>
        <v>0.29467250989585736</v>
      </c>
      <c r="Q53" s="34"/>
      <c r="R53" s="34"/>
      <c r="S53" s="34"/>
      <c r="T53" s="34"/>
      <c r="U53" s="34"/>
      <c r="V53" s="34"/>
      <c r="W53" s="34"/>
      <c r="X53" s="34"/>
      <c r="Y53" s="34"/>
      <c r="Z53" s="34"/>
    </row>
    <row r="54" spans="1:26" ht="23.25" customHeight="1" x14ac:dyDescent="0.2">
      <c r="A54" s="220" t="s">
        <v>98</v>
      </c>
      <c r="B54" s="221" t="s">
        <v>99</v>
      </c>
      <c r="C54" s="222"/>
      <c r="D54" s="222"/>
      <c r="E54" s="222"/>
      <c r="F54" s="222"/>
      <c r="G54" s="222"/>
      <c r="H54" s="222"/>
      <c r="I54" s="222"/>
      <c r="J54" s="222"/>
      <c r="K54" s="222"/>
      <c r="L54" s="222"/>
      <c r="M54" s="222"/>
      <c r="N54" s="222"/>
      <c r="O54" s="222"/>
      <c r="P54" s="180"/>
      <c r="Q54" s="34"/>
      <c r="R54" s="34"/>
      <c r="S54" s="34"/>
      <c r="T54" s="34"/>
      <c r="U54" s="34"/>
      <c r="V54" s="34"/>
      <c r="W54" s="34"/>
      <c r="X54" s="34"/>
      <c r="Y54" s="34"/>
      <c r="Z54" s="34"/>
    </row>
    <row r="55" spans="1:26" ht="23.25" customHeight="1" x14ac:dyDescent="0.2">
      <c r="A55" s="203" t="s">
        <v>207</v>
      </c>
      <c r="B55" s="72" t="s">
        <v>208</v>
      </c>
      <c r="C55" s="185">
        <f>SUMPRODUCT(-('Diário 5º PA'!$E$5:$E$2634='Analítico Cp.'!$B55),-('Diário 5º PA'!$Q$5:$Q$2634=C$1),('Diário 5º PA'!$F$5:$F$2634))
+SUMPRODUCT(-('Diário 6º PA'!$E$5:$E$2246='Analítico Cp.'!$B55),-('Diário 6º PA'!$Q$5:$Q$2246=C$1),('Diário 6º PA'!$F$5:$F$2246))
+SUMPRODUCT(-('Diário 7º PA'!$E$5:$E$2271='Analítico Cp.'!$B55),-('Diário 7º PA'!$Q$5:$Q$2271=C$1),('Diário 7º PA'!$F$5:$F$2271))
+SUMPRODUCT(-('Diário 8º PA'!$E$5:$E$2488='Analítico Cp.'!$B55),-('Diário 8º PA'!$Q$5:$Q$2488=C$1),('Diário 8º PA'!$F$5:$F$2488))
+SUMPRODUCT(-('Comp.'!$D$5:$D$313='Analítico Cp.'!$B55),-('Comp.'!$R$5:$R$313=C$1),('Comp.'!$E$5:$E$313))</f>
        <v>7324.0400000000009</v>
      </c>
      <c r="D55" s="185">
        <f>SUMPRODUCT(-('Diário 5º PA'!$E$5:$E$2634='Analítico Cp.'!$B55),-('Diário 5º PA'!$Q$5:$Q$2634=D$1),('Diário 5º PA'!$F$5:$F$2634))
+SUMPRODUCT(-('Diário 6º PA'!$E$5:$E$2246='Analítico Cp.'!$B55),-('Diário 6º PA'!$Q$5:$Q$2246=D$1),('Diário 6º PA'!$F$5:$F$2246))
+SUMPRODUCT(-('Diário 7º PA'!$E$5:$E$2271='Analítico Cp.'!$B55),-('Diário 7º PA'!$Q$5:$Q$2271=D$1),('Diário 7º PA'!$F$5:$F$2271))
+SUMPRODUCT(-('Diário 8º PA'!$E$5:$E$2488='Analítico Cp.'!$B55),-('Diário 8º PA'!$Q$5:$Q$2488=D$1),('Diário 8º PA'!$F$5:$F$2488))
+SUMPRODUCT(-('Comp.'!$D$5:$D$313='Analítico Cp.'!$B55),-('Comp.'!$R$5:$R$313=D$1),('Comp.'!$E$5:$E$313))</f>
        <v>7035.8300000000008</v>
      </c>
      <c r="E55" s="185">
        <f>SUMPRODUCT(-('Diário 5º PA'!$E$5:$E$2634='Analítico Cp.'!$B55),-('Diário 5º PA'!$Q$5:$Q$2634=E$1),('Diário 5º PA'!$F$5:$F$2634))
+SUMPRODUCT(-('Diário 6º PA'!$E$5:$E$2246='Analítico Cp.'!$B55),-('Diário 6º PA'!$Q$5:$Q$2246=E$1),('Diário 6º PA'!$F$5:$F$2246))
+SUMPRODUCT(-('Diário 7º PA'!$E$5:$E$2271='Analítico Cp.'!$B55),-('Diário 7º PA'!$Q$5:$Q$2271=E$1),('Diário 7º PA'!$F$5:$F$2271))
+SUMPRODUCT(-('Diário 8º PA'!$E$5:$E$2488='Analítico Cp.'!$B55),-('Diário 8º PA'!$Q$5:$Q$2488=E$1),('Diário 8º PA'!$F$5:$F$2488))
+SUMPRODUCT(-('Comp.'!$D$5:$D$313='Analítico Cp.'!$B55),-('Comp.'!$R$5:$R$313=E$1),('Comp.'!$E$5:$E$313))</f>
        <v>4545.1100000000006</v>
      </c>
      <c r="F55" s="185">
        <f>SUMPRODUCT(-('Diário 5º PA'!$E$5:$E$2634='Analítico Cp.'!$B55),-('Diário 5º PA'!$Q$5:$Q$2634=F$1),('Diário 5º PA'!$F$5:$F$2634))
+SUMPRODUCT(-('Diário 6º PA'!$E$5:$E$2246='Analítico Cp.'!$B55),-('Diário 6º PA'!$Q$5:$Q$2246=F$1),('Diário 6º PA'!$F$5:$F$2246))
+SUMPRODUCT(-('Diário 7º PA'!$E$5:$E$2271='Analítico Cp.'!$B55),-('Diário 7º PA'!$Q$5:$Q$2271=F$1),('Diário 7º PA'!$F$5:$F$2271))
+SUMPRODUCT(-('Diário 8º PA'!$E$5:$E$2488='Analítico Cp.'!$B55),-('Diário 8º PA'!$Q$5:$Q$2488=F$1),('Diário 8º PA'!$F$5:$F$2488))
+SUMPRODUCT(-('Comp.'!$D$5:$D$313='Analítico Cp.'!$B55),-('Comp.'!$R$5:$R$313=F$1),('Comp.'!$E$5:$E$313))</f>
        <v>4545.1100000000006</v>
      </c>
      <c r="G55" s="185">
        <f>SUMPRODUCT(-('Diário 5º PA'!$E$5:$E$2634='Analítico Cp.'!$B55),-('Diário 5º PA'!$Q$5:$Q$2634=G$1),('Diário 5º PA'!$F$5:$F$2634))
+SUMPRODUCT(-('Diário 6º PA'!$E$5:$E$2246='Analítico Cp.'!$B55),-('Diário 6º PA'!$Q$5:$Q$2246=G$1),('Diário 6º PA'!$F$5:$F$2246))
+SUMPRODUCT(-('Diário 7º PA'!$E$5:$E$2271='Analítico Cp.'!$B55),-('Diário 7º PA'!$Q$5:$Q$2271=G$1),('Diário 7º PA'!$F$5:$F$2271))
+SUMPRODUCT(-('Diário 8º PA'!$E$5:$E$2488='Analítico Cp.'!$B55),-('Diário 8º PA'!$Q$5:$Q$2488=G$1),('Diário 8º PA'!$F$5:$F$2488))
+SUMPRODUCT(-('Comp.'!$D$5:$D$313='Analítico Cp.'!$B55),-('Comp.'!$R$5:$R$313=G$1),('Comp.'!$E$5:$E$313))</f>
        <v>5423.6</v>
      </c>
      <c r="H55" s="185">
        <f>SUMPRODUCT(-('Diário 5º PA'!$E$5:$E$2634='Analítico Cp.'!$B55),-('Diário 5º PA'!$Q$5:$Q$2634=H$1),('Diário 5º PA'!$F$5:$F$2634))
+SUMPRODUCT(-('Diário 6º PA'!$E$5:$E$2246='Analítico Cp.'!$B55),-('Diário 6º PA'!$Q$5:$Q$2246=H$1),('Diário 6º PA'!$F$5:$F$2246))
+SUMPRODUCT(-('Diário 7º PA'!$E$5:$E$2271='Analítico Cp.'!$B55),-('Diário 7º PA'!$Q$5:$Q$2271=H$1),('Diário 7º PA'!$F$5:$F$2271))
+SUMPRODUCT(-('Diário 8º PA'!$E$5:$E$2488='Analítico Cp.'!$B55),-('Diário 8º PA'!$Q$5:$Q$2488=H$1),('Diário 8º PA'!$F$5:$F$2488))
+SUMPRODUCT(-('Comp.'!$D$5:$D$313='Analítico Cp.'!$B55),-('Comp.'!$R$5:$R$313=H$1),('Comp.'!$E$5:$E$313))</f>
        <v>7631.3000000000011</v>
      </c>
      <c r="I55" s="185">
        <f>SUMPRODUCT(-('Diário 5º PA'!$E$5:$E$2634='Analítico Cp.'!$B55),-('Diário 5º PA'!$Q$5:$Q$2634=I$1),('Diário 5º PA'!$F$5:$F$2634))
+SUMPRODUCT(-('Diário 6º PA'!$E$5:$E$2246='Analítico Cp.'!$B55),-('Diário 6º PA'!$Q$5:$Q$2246=I$1),('Diário 6º PA'!$F$5:$F$2246))
+SUMPRODUCT(-('Diário 7º PA'!$E$5:$E$2271='Analítico Cp.'!$B55),-('Diário 7º PA'!$Q$5:$Q$2271=I$1),('Diário 7º PA'!$F$5:$F$2271))
+SUMPRODUCT(-('Diário 8º PA'!$E$5:$E$2488='Analítico Cp.'!$B55),-('Diário 8º PA'!$Q$5:$Q$2488=I$1),('Diário 8º PA'!$F$5:$F$2488))
+SUMPRODUCT(-('Comp.'!$D$5:$D$313='Analítico Cp.'!$B55),-('Comp.'!$R$5:$R$313=I$1),('Comp.'!$E$5:$E$313))</f>
        <v>7366.18</v>
      </c>
      <c r="J55" s="185">
        <f>SUMPRODUCT(-('Diário 5º PA'!$E$5:$E$2634='Analítico Cp.'!$B55),-('Diário 5º PA'!$Q$5:$Q$2634=J$1),('Diário 5º PA'!$F$5:$F$2634))
+SUMPRODUCT(-('Diário 6º PA'!$E$5:$E$2246='Analítico Cp.'!$B55),-('Diário 6º PA'!$Q$5:$Q$2246=J$1),('Diário 6º PA'!$F$5:$F$2246))
+SUMPRODUCT(-('Diário 7º PA'!$E$5:$E$2271='Analítico Cp.'!$B55),-('Diário 7º PA'!$Q$5:$Q$2271=J$1),('Diário 7º PA'!$F$5:$F$2271))
+SUMPRODUCT(-('Diário 8º PA'!$E$5:$E$2488='Analítico Cp.'!$B55),-('Diário 8º PA'!$Q$5:$Q$2488=J$1),('Diário 8º PA'!$F$5:$F$2488))
+SUMPRODUCT(-('Comp.'!$D$5:$D$313='Analítico Cp.'!$B55),-('Comp.'!$R$5:$R$313=J$1),('Comp.'!$E$5:$E$313))</f>
        <v>7366.18</v>
      </c>
      <c r="K55" s="185">
        <f>SUMPRODUCT(-('Diário 5º PA'!$E$5:$E$2634='Analítico Cp.'!$B55),-('Diário 5º PA'!$Q$5:$Q$2634=K$1),('Diário 5º PA'!$F$5:$F$2634))
+SUMPRODUCT(-('Diário 6º PA'!$E$5:$E$2246='Analítico Cp.'!$B55),-('Diário 6º PA'!$Q$5:$Q$2246=K$1),('Diário 6º PA'!$F$5:$F$2246))
+SUMPRODUCT(-('Diário 7º PA'!$E$5:$E$2271='Analítico Cp.'!$B55),-('Diário 7º PA'!$Q$5:$Q$2271=K$1),('Diário 7º PA'!$F$5:$F$2271))
+SUMPRODUCT(-('Diário 8º PA'!$E$5:$E$2488='Analítico Cp.'!$B55),-('Diário 8º PA'!$Q$5:$Q$2488=K$1),('Diário 8º PA'!$F$5:$F$2488))
+SUMPRODUCT(-('Comp.'!$D$5:$D$313='Analítico Cp.'!$B55),-('Comp.'!$R$5:$R$313=K$1),('Comp.'!$E$5:$E$313))</f>
        <v>7366.18</v>
      </c>
      <c r="L55" s="185">
        <f>SUMPRODUCT(-('Diário 5º PA'!$E$5:$E$2634='Analítico Cp.'!$B55),-('Diário 5º PA'!$Q$5:$Q$2634=L$1),('Diário 5º PA'!$F$5:$F$2634))
+SUMPRODUCT(-('Diário 6º PA'!$E$5:$E$2246='Analítico Cp.'!$B55),-('Diário 6º PA'!$Q$5:$Q$2246=L$1),('Diário 6º PA'!$F$5:$F$2246))
+SUMPRODUCT(-('Diário 7º PA'!$E$5:$E$2271='Analítico Cp.'!$B55),-('Diário 7º PA'!$Q$5:$Q$2271=L$1),('Diário 7º PA'!$F$5:$F$2271))
+SUMPRODUCT(-('Diário 8º PA'!$E$5:$E$2488='Analítico Cp.'!$B55),-('Diário 8º PA'!$Q$5:$Q$2488=L$1),('Diário 8º PA'!$F$5:$F$2488))
+SUMPRODUCT(-('Comp.'!$D$5:$D$313='Analítico Cp.'!$B55),-('Comp.'!$R$5:$R$313=L$1),('Comp.'!$E$5:$E$313))</f>
        <v>7366.18</v>
      </c>
      <c r="M55" s="185">
        <f>SUMPRODUCT(-('Diário 5º PA'!$E$5:$E$2634='Analítico Cp.'!$B55),-('Diário 5º PA'!$Q$5:$Q$2634=M$1),('Diário 5º PA'!$F$5:$F$2634))
+SUMPRODUCT(-('Diário 6º PA'!$E$5:$E$2246='Analítico Cp.'!$B55),-('Diário 6º PA'!$Q$5:$Q$2246=M$1),('Diário 6º PA'!$F$5:$F$2246))
+SUMPRODUCT(-('Diário 7º PA'!$E$5:$E$2271='Analítico Cp.'!$B55),-('Diário 7º PA'!$Q$5:$Q$2271=M$1),('Diário 7º PA'!$F$5:$F$2271))
+SUMPRODUCT(-('Diário 8º PA'!$E$5:$E$2488='Analítico Cp.'!$B55),-('Diário 8º PA'!$Q$5:$Q$2488=M$1),('Diário 8º PA'!$F$5:$F$2488))
+SUMPRODUCT(-('Comp.'!$D$5:$D$313='Analítico Cp.'!$B55),-('Comp.'!$R$5:$R$313=M$1),('Comp.'!$E$5:$E$313))</f>
        <v>7366.18</v>
      </c>
      <c r="N55" s="185">
        <f>SUMPRODUCT(-('Diário 5º PA'!$E$5:$E$2634='Analítico Cp.'!$B55),-('Diário 5º PA'!$Q$5:$Q$2634=N$1),('Diário 5º PA'!$F$5:$F$2634))
+SUMPRODUCT(-('Diário 6º PA'!$E$5:$E$2246='Analítico Cp.'!$B55),-('Diário 6º PA'!$Q$5:$Q$2246=N$1),('Diário 6º PA'!$F$5:$F$2246))
+SUMPRODUCT(-('Diário 7º PA'!$E$5:$E$2271='Analítico Cp.'!$B55),-('Diário 7º PA'!$Q$5:$Q$2271=N$1),('Diário 7º PA'!$F$5:$F$2271))
+SUMPRODUCT(-('Diário 8º PA'!$E$5:$E$2488='Analítico Cp.'!$B55),-('Diário 8º PA'!$Q$5:$Q$2488=N$1),('Diário 8º PA'!$F$5:$F$2488))
+SUMPRODUCT(-('Comp.'!$D$5:$D$313='Analítico Cp.'!$B55),-('Comp.'!$R$5:$R$313=N$1),('Comp.'!$E$5:$E$313))</f>
        <v>5981.95</v>
      </c>
      <c r="O55" s="186">
        <f t="shared" ref="O55:O144" si="16">SUM(C55:N55)</f>
        <v>79317.840000000011</v>
      </c>
      <c r="P55" s="187">
        <f t="shared" ref="P55:P145" si="17">IF($O$163=0,0,O55/$O$163)</f>
        <v>8.1813304196617868E-3</v>
      </c>
      <c r="Q55" s="34"/>
      <c r="R55" s="34"/>
      <c r="S55" s="34"/>
      <c r="T55" s="34"/>
      <c r="U55" s="34"/>
      <c r="V55" s="34"/>
      <c r="W55" s="34"/>
      <c r="X55" s="34"/>
      <c r="Y55" s="34"/>
      <c r="Z55" s="34"/>
    </row>
    <row r="56" spans="1:26" ht="23.25" customHeight="1" x14ac:dyDescent="0.2">
      <c r="A56" s="203" t="s">
        <v>209</v>
      </c>
      <c r="B56" s="72" t="s">
        <v>210</v>
      </c>
      <c r="C56" s="185">
        <f>SUMPRODUCT(-('Diário 5º PA'!$E$5:$E$2634='Analítico Cp.'!$B56),-('Diário 5º PA'!$Q$5:$Q$2634=C$1),('Diário 5º PA'!$F$5:$F$2634))
+SUMPRODUCT(-('Diário 6º PA'!$E$5:$E$2246='Analítico Cp.'!$B56),-('Diário 6º PA'!$Q$5:$Q$2246=C$1),('Diário 6º PA'!$F$5:$F$2246))
+SUMPRODUCT(-('Diário 7º PA'!$E$5:$E$2271='Analítico Cp.'!$B56),-('Diário 7º PA'!$Q$5:$Q$2271=C$1),('Diário 7º PA'!$F$5:$F$2271))
+SUMPRODUCT(-('Diário 8º PA'!$E$5:$E$2488='Analítico Cp.'!$B56),-('Diário 8º PA'!$Q$5:$Q$2488=C$1),('Diário 8º PA'!$F$5:$F$2488))
+SUMPRODUCT(-('Comp.'!$D$5:$D$313='Analítico Cp.'!$B56),-('Comp.'!$R$5:$R$313=C$1),('Comp.'!$E$5:$E$313))</f>
        <v>0</v>
      </c>
      <c r="D56" s="185">
        <f>SUMPRODUCT(-('Diário 5º PA'!$E$5:$E$2634='Analítico Cp.'!$B56),-('Diário 5º PA'!$Q$5:$Q$2634=D$1),('Diário 5º PA'!$F$5:$F$2634))
+SUMPRODUCT(-('Diário 6º PA'!$E$5:$E$2246='Analítico Cp.'!$B56),-('Diário 6º PA'!$Q$5:$Q$2246=D$1),('Diário 6º PA'!$F$5:$F$2246))
+SUMPRODUCT(-('Diário 7º PA'!$E$5:$E$2271='Analítico Cp.'!$B56),-('Diário 7º PA'!$Q$5:$Q$2271=D$1),('Diário 7º PA'!$F$5:$F$2271))
+SUMPRODUCT(-('Diário 8º PA'!$E$5:$E$2488='Analítico Cp.'!$B56),-('Diário 8º PA'!$Q$5:$Q$2488=D$1),('Diário 8º PA'!$F$5:$F$2488))
+SUMPRODUCT(-('Comp.'!$D$5:$D$313='Analítico Cp.'!$B56),-('Comp.'!$R$5:$R$313=D$1),('Comp.'!$E$5:$E$313))</f>
        <v>0</v>
      </c>
      <c r="E56" s="185">
        <f>SUMPRODUCT(-('Diário 5º PA'!$E$5:$E$2634='Analítico Cp.'!$B56),-('Diário 5º PA'!$Q$5:$Q$2634=E$1),('Diário 5º PA'!$F$5:$F$2634))
+SUMPRODUCT(-('Diário 6º PA'!$E$5:$E$2246='Analítico Cp.'!$B56),-('Diário 6º PA'!$Q$5:$Q$2246=E$1),('Diário 6º PA'!$F$5:$F$2246))
+SUMPRODUCT(-('Diário 7º PA'!$E$5:$E$2271='Analítico Cp.'!$B56),-('Diário 7º PA'!$Q$5:$Q$2271=E$1),('Diário 7º PA'!$F$5:$F$2271))
+SUMPRODUCT(-('Diário 8º PA'!$E$5:$E$2488='Analítico Cp.'!$B56),-('Diário 8º PA'!$Q$5:$Q$2488=E$1),('Diário 8º PA'!$F$5:$F$2488))
+SUMPRODUCT(-('Comp.'!$D$5:$D$313='Analítico Cp.'!$B56),-('Comp.'!$R$5:$R$313=E$1),('Comp.'!$E$5:$E$313))</f>
        <v>0</v>
      </c>
      <c r="F56" s="185">
        <f>SUMPRODUCT(-('Diário 5º PA'!$E$5:$E$2634='Analítico Cp.'!$B56),-('Diário 5º PA'!$Q$5:$Q$2634=F$1),('Diário 5º PA'!$F$5:$F$2634))
+SUMPRODUCT(-('Diário 6º PA'!$E$5:$E$2246='Analítico Cp.'!$B56),-('Diário 6º PA'!$Q$5:$Q$2246=F$1),('Diário 6º PA'!$F$5:$F$2246))
+SUMPRODUCT(-('Diário 7º PA'!$E$5:$E$2271='Analítico Cp.'!$B56),-('Diário 7º PA'!$Q$5:$Q$2271=F$1),('Diário 7º PA'!$F$5:$F$2271))
+SUMPRODUCT(-('Diário 8º PA'!$E$5:$E$2488='Analítico Cp.'!$B56),-('Diário 8º PA'!$Q$5:$Q$2488=F$1),('Diário 8º PA'!$F$5:$F$2488))
+SUMPRODUCT(-('Comp.'!$D$5:$D$313='Analítico Cp.'!$B56),-('Comp.'!$R$5:$R$313=F$1),('Comp.'!$E$5:$E$313))</f>
        <v>0</v>
      </c>
      <c r="G56" s="185">
        <f>SUMPRODUCT(-('Diário 5º PA'!$E$5:$E$2634='Analítico Cp.'!$B56),-('Diário 5º PA'!$Q$5:$Q$2634=G$1),('Diário 5º PA'!$F$5:$F$2634))
+SUMPRODUCT(-('Diário 6º PA'!$E$5:$E$2246='Analítico Cp.'!$B56),-('Diário 6º PA'!$Q$5:$Q$2246=G$1),('Diário 6º PA'!$F$5:$F$2246))
+SUMPRODUCT(-('Diário 7º PA'!$E$5:$E$2271='Analítico Cp.'!$B56),-('Diário 7º PA'!$Q$5:$Q$2271=G$1),('Diário 7º PA'!$F$5:$F$2271))
+SUMPRODUCT(-('Diário 8º PA'!$E$5:$E$2488='Analítico Cp.'!$B56),-('Diário 8º PA'!$Q$5:$Q$2488=G$1),('Diário 8º PA'!$F$5:$F$2488))
+SUMPRODUCT(-('Comp.'!$D$5:$D$313='Analítico Cp.'!$B56),-('Comp.'!$R$5:$R$313=G$1),('Comp.'!$E$5:$E$313))</f>
        <v>0</v>
      </c>
      <c r="H56" s="185">
        <f>SUMPRODUCT(-('Diário 5º PA'!$E$5:$E$2634='Analítico Cp.'!$B56),-('Diário 5º PA'!$Q$5:$Q$2634=H$1),('Diário 5º PA'!$F$5:$F$2634))
+SUMPRODUCT(-('Diário 6º PA'!$E$5:$E$2246='Analítico Cp.'!$B56),-('Diário 6º PA'!$Q$5:$Q$2246=H$1),('Diário 6º PA'!$F$5:$F$2246))
+SUMPRODUCT(-('Diário 7º PA'!$E$5:$E$2271='Analítico Cp.'!$B56),-('Diário 7º PA'!$Q$5:$Q$2271=H$1),('Diário 7º PA'!$F$5:$F$2271))
+SUMPRODUCT(-('Diário 8º PA'!$E$5:$E$2488='Analítico Cp.'!$B56),-('Diário 8º PA'!$Q$5:$Q$2488=H$1),('Diário 8º PA'!$F$5:$F$2488))
+SUMPRODUCT(-('Comp.'!$D$5:$D$313='Analítico Cp.'!$B56),-('Comp.'!$R$5:$R$313=H$1),('Comp.'!$E$5:$E$313))</f>
        <v>0</v>
      </c>
      <c r="I56" s="185">
        <f>SUMPRODUCT(-('Diário 5º PA'!$E$5:$E$2634='Analítico Cp.'!$B56),-('Diário 5º PA'!$Q$5:$Q$2634=I$1),('Diário 5º PA'!$F$5:$F$2634))
+SUMPRODUCT(-('Diário 6º PA'!$E$5:$E$2246='Analítico Cp.'!$B56),-('Diário 6º PA'!$Q$5:$Q$2246=I$1),('Diário 6º PA'!$F$5:$F$2246))
+SUMPRODUCT(-('Diário 7º PA'!$E$5:$E$2271='Analítico Cp.'!$B56),-('Diário 7º PA'!$Q$5:$Q$2271=I$1),('Diário 7º PA'!$F$5:$F$2271))
+SUMPRODUCT(-('Diário 8º PA'!$E$5:$E$2488='Analítico Cp.'!$B56),-('Diário 8º PA'!$Q$5:$Q$2488=I$1),('Diário 8º PA'!$F$5:$F$2488))
+SUMPRODUCT(-('Comp.'!$D$5:$D$313='Analítico Cp.'!$B56),-('Comp.'!$R$5:$R$313=I$1),('Comp.'!$E$5:$E$313))</f>
        <v>0</v>
      </c>
      <c r="J56" s="185">
        <f>SUMPRODUCT(-('Diário 5º PA'!$E$5:$E$2634='Analítico Cp.'!$B56),-('Diário 5º PA'!$Q$5:$Q$2634=J$1),('Diário 5º PA'!$F$5:$F$2634))
+SUMPRODUCT(-('Diário 6º PA'!$E$5:$E$2246='Analítico Cp.'!$B56),-('Diário 6º PA'!$Q$5:$Q$2246=J$1),('Diário 6º PA'!$F$5:$F$2246))
+SUMPRODUCT(-('Diário 7º PA'!$E$5:$E$2271='Analítico Cp.'!$B56),-('Diário 7º PA'!$Q$5:$Q$2271=J$1),('Diário 7º PA'!$F$5:$F$2271))
+SUMPRODUCT(-('Diário 8º PA'!$E$5:$E$2488='Analítico Cp.'!$B56),-('Diário 8º PA'!$Q$5:$Q$2488=J$1),('Diário 8º PA'!$F$5:$F$2488))
+SUMPRODUCT(-('Comp.'!$D$5:$D$313='Analítico Cp.'!$B56),-('Comp.'!$R$5:$R$313=J$1),('Comp.'!$E$5:$E$313))</f>
        <v>0</v>
      </c>
      <c r="K56" s="185">
        <f>SUMPRODUCT(-('Diário 5º PA'!$E$5:$E$2634='Analítico Cp.'!$B56),-('Diário 5º PA'!$Q$5:$Q$2634=K$1),('Diário 5º PA'!$F$5:$F$2634))
+SUMPRODUCT(-('Diário 6º PA'!$E$5:$E$2246='Analítico Cp.'!$B56),-('Diário 6º PA'!$Q$5:$Q$2246=K$1),('Diário 6º PA'!$F$5:$F$2246))
+SUMPRODUCT(-('Diário 7º PA'!$E$5:$E$2271='Analítico Cp.'!$B56),-('Diário 7º PA'!$Q$5:$Q$2271=K$1),('Diário 7º PA'!$F$5:$F$2271))
+SUMPRODUCT(-('Diário 8º PA'!$E$5:$E$2488='Analítico Cp.'!$B56),-('Diário 8º PA'!$Q$5:$Q$2488=K$1),('Diário 8º PA'!$F$5:$F$2488))
+SUMPRODUCT(-('Comp.'!$D$5:$D$313='Analítico Cp.'!$B56),-('Comp.'!$R$5:$R$313=K$1),('Comp.'!$E$5:$E$313))</f>
        <v>0</v>
      </c>
      <c r="L56" s="185">
        <f>SUMPRODUCT(-('Diário 5º PA'!$E$5:$E$2634='Analítico Cp.'!$B56),-('Diário 5º PA'!$Q$5:$Q$2634=L$1),('Diário 5º PA'!$F$5:$F$2634))
+SUMPRODUCT(-('Diário 6º PA'!$E$5:$E$2246='Analítico Cp.'!$B56),-('Diário 6º PA'!$Q$5:$Q$2246=L$1),('Diário 6º PA'!$F$5:$F$2246))
+SUMPRODUCT(-('Diário 7º PA'!$E$5:$E$2271='Analítico Cp.'!$B56),-('Diário 7º PA'!$Q$5:$Q$2271=L$1),('Diário 7º PA'!$F$5:$F$2271))
+SUMPRODUCT(-('Diário 8º PA'!$E$5:$E$2488='Analítico Cp.'!$B56),-('Diário 8º PA'!$Q$5:$Q$2488=L$1),('Diário 8º PA'!$F$5:$F$2488))
+SUMPRODUCT(-('Comp.'!$D$5:$D$313='Analítico Cp.'!$B56),-('Comp.'!$R$5:$R$313=L$1),('Comp.'!$E$5:$E$313))</f>
        <v>0</v>
      </c>
      <c r="M56" s="185">
        <f>SUMPRODUCT(-('Diário 5º PA'!$E$5:$E$2634='Analítico Cp.'!$B56),-('Diário 5º PA'!$Q$5:$Q$2634=M$1),('Diário 5º PA'!$F$5:$F$2634))
+SUMPRODUCT(-('Diário 6º PA'!$E$5:$E$2246='Analítico Cp.'!$B56),-('Diário 6º PA'!$Q$5:$Q$2246=M$1),('Diário 6º PA'!$F$5:$F$2246))
+SUMPRODUCT(-('Diário 7º PA'!$E$5:$E$2271='Analítico Cp.'!$B56),-('Diário 7º PA'!$Q$5:$Q$2271=M$1),('Diário 7º PA'!$F$5:$F$2271))
+SUMPRODUCT(-('Diário 8º PA'!$E$5:$E$2488='Analítico Cp.'!$B56),-('Diário 8º PA'!$Q$5:$Q$2488=M$1),('Diário 8º PA'!$F$5:$F$2488))
+SUMPRODUCT(-('Comp.'!$D$5:$D$313='Analítico Cp.'!$B56),-('Comp.'!$R$5:$R$313=M$1),('Comp.'!$E$5:$E$313))</f>
        <v>0</v>
      </c>
      <c r="N56" s="185">
        <f>SUMPRODUCT(-('Diário 5º PA'!$E$5:$E$2634='Analítico Cp.'!$B56),-('Diário 5º PA'!$Q$5:$Q$2634=N$1),('Diário 5º PA'!$F$5:$F$2634))
+SUMPRODUCT(-('Diário 6º PA'!$E$5:$E$2246='Analítico Cp.'!$B56),-('Diário 6º PA'!$Q$5:$Q$2246=N$1),('Diário 6º PA'!$F$5:$F$2246))
+SUMPRODUCT(-('Diário 7º PA'!$E$5:$E$2271='Analítico Cp.'!$B56),-('Diário 7º PA'!$Q$5:$Q$2271=N$1),('Diário 7º PA'!$F$5:$F$2271))
+SUMPRODUCT(-('Diário 8º PA'!$E$5:$E$2488='Analítico Cp.'!$B56),-('Diário 8º PA'!$Q$5:$Q$2488=N$1),('Diário 8º PA'!$F$5:$F$2488))
+SUMPRODUCT(-('Comp.'!$D$5:$D$313='Analítico Cp.'!$B56),-('Comp.'!$R$5:$R$313=N$1),('Comp.'!$E$5:$E$313))</f>
        <v>0</v>
      </c>
      <c r="O56" s="186">
        <f t="shared" si="16"/>
        <v>0</v>
      </c>
      <c r="P56" s="187">
        <f t="shared" si="17"/>
        <v>0</v>
      </c>
      <c r="Q56" s="34"/>
      <c r="R56" s="34"/>
      <c r="S56" s="34"/>
      <c r="T56" s="34"/>
      <c r="U56" s="34"/>
      <c r="V56" s="34"/>
      <c r="W56" s="34"/>
      <c r="X56" s="34"/>
      <c r="Y56" s="34"/>
      <c r="Z56" s="34"/>
    </row>
    <row r="57" spans="1:26" ht="23.25" customHeight="1" x14ac:dyDescent="0.2">
      <c r="A57" s="203" t="s">
        <v>211</v>
      </c>
      <c r="B57" s="72" t="s">
        <v>212</v>
      </c>
      <c r="C57" s="185">
        <f>SUMPRODUCT(-('Diário 5º PA'!$E$5:$E$2634='Analítico Cp.'!$B57),-('Diário 5º PA'!$Q$5:$Q$2634=C$1),('Diário 5º PA'!$F$5:$F$2634))
+SUMPRODUCT(-('Diário 6º PA'!$E$5:$E$2246='Analítico Cp.'!$B57),-('Diário 6º PA'!$Q$5:$Q$2246=C$1),('Diário 6º PA'!$F$5:$F$2246))
+SUMPRODUCT(-('Diário 7º PA'!$E$5:$E$2271='Analítico Cp.'!$B57),-('Diário 7º PA'!$Q$5:$Q$2271=C$1),('Diário 7º PA'!$F$5:$F$2271))
+SUMPRODUCT(-('Diário 8º PA'!$E$5:$E$2488='Analítico Cp.'!$B57),-('Diário 8º PA'!$Q$5:$Q$2488=C$1),('Diário 8º PA'!$F$5:$F$2488))
+SUMPRODUCT(-('Comp.'!$D$5:$D$313='Analítico Cp.'!$B57),-('Comp.'!$R$5:$R$313=C$1),('Comp.'!$E$5:$E$313))</f>
        <v>1407.83</v>
      </c>
      <c r="D57" s="185">
        <f>SUMPRODUCT(-('Diário 5º PA'!$E$5:$E$2634='Analítico Cp.'!$B57),-('Diário 5º PA'!$Q$5:$Q$2634=D$1),('Diário 5º PA'!$F$5:$F$2634))
+SUMPRODUCT(-('Diário 6º PA'!$E$5:$E$2246='Analítico Cp.'!$B57),-('Diário 6º PA'!$Q$5:$Q$2246=D$1),('Diário 6º PA'!$F$5:$F$2246))
+SUMPRODUCT(-('Diário 7º PA'!$E$5:$E$2271='Analítico Cp.'!$B57),-('Diário 7º PA'!$Q$5:$Q$2271=D$1),('Diário 7º PA'!$F$5:$F$2271))
+SUMPRODUCT(-('Diário 8º PA'!$E$5:$E$2488='Analítico Cp.'!$B57),-('Diário 8º PA'!$Q$5:$Q$2488=D$1),('Diário 8º PA'!$F$5:$F$2488))
+SUMPRODUCT(-('Comp.'!$D$5:$D$313='Analítico Cp.'!$B57),-('Comp.'!$R$5:$R$313=D$1),('Comp.'!$E$5:$E$313))</f>
        <v>1350.94</v>
      </c>
      <c r="E57" s="185">
        <f>SUMPRODUCT(-('Diário 5º PA'!$E$5:$E$2634='Analítico Cp.'!$B57),-('Diário 5º PA'!$Q$5:$Q$2634=E$1),('Diário 5º PA'!$F$5:$F$2634))
+SUMPRODUCT(-('Diário 6º PA'!$E$5:$E$2246='Analítico Cp.'!$B57),-('Diário 6º PA'!$Q$5:$Q$2246=E$1),('Diário 6º PA'!$F$5:$F$2246))
+SUMPRODUCT(-('Diário 7º PA'!$E$5:$E$2271='Analítico Cp.'!$B57),-('Diário 7º PA'!$Q$5:$Q$2271=E$1),('Diário 7º PA'!$F$5:$F$2271))
+SUMPRODUCT(-('Diário 8º PA'!$E$5:$E$2488='Analítico Cp.'!$B57),-('Diário 8º PA'!$Q$5:$Q$2488=E$1),('Diário 8º PA'!$F$5:$F$2488))
+SUMPRODUCT(-('Comp.'!$D$5:$D$313='Analítico Cp.'!$B57),-('Comp.'!$R$5:$R$313=E$1),('Comp.'!$E$5:$E$313))</f>
        <v>1246.1199999999999</v>
      </c>
      <c r="F57" s="185">
        <f>SUMPRODUCT(-('Diário 5º PA'!$E$5:$E$2634='Analítico Cp.'!$B57),-('Diário 5º PA'!$Q$5:$Q$2634=F$1),('Diário 5º PA'!$F$5:$F$2634))
+SUMPRODUCT(-('Diário 6º PA'!$E$5:$E$2246='Analítico Cp.'!$B57),-('Diário 6º PA'!$Q$5:$Q$2246=F$1),('Diário 6º PA'!$F$5:$F$2246))
+SUMPRODUCT(-('Diário 7º PA'!$E$5:$E$2271='Analítico Cp.'!$B57),-('Diário 7º PA'!$Q$5:$Q$2271=F$1),('Diário 7º PA'!$F$5:$F$2271))
+SUMPRODUCT(-('Diário 8º PA'!$E$5:$E$2488='Analítico Cp.'!$B57),-('Diário 8º PA'!$Q$5:$Q$2488=F$1),('Diário 8º PA'!$F$5:$F$2488))
+SUMPRODUCT(-('Comp.'!$D$5:$D$313='Analítico Cp.'!$B57),-('Comp.'!$R$5:$R$313=F$1),('Comp.'!$E$5:$E$313))</f>
        <v>1246.1199999999999</v>
      </c>
      <c r="G57" s="185">
        <f>SUMPRODUCT(-('Diário 5º PA'!$E$5:$E$2634='Analítico Cp.'!$B57),-('Diário 5º PA'!$Q$5:$Q$2634=G$1),('Diário 5º PA'!$F$5:$F$2634))
+SUMPRODUCT(-('Diário 6º PA'!$E$5:$E$2246='Analítico Cp.'!$B57),-('Diário 6º PA'!$Q$5:$Q$2246=G$1),('Diário 6º PA'!$F$5:$F$2246))
+SUMPRODUCT(-('Diário 7º PA'!$E$5:$E$2271='Analítico Cp.'!$B57),-('Diário 7º PA'!$Q$5:$Q$2271=G$1),('Diário 7º PA'!$F$5:$F$2271))
+SUMPRODUCT(-('Diário 8º PA'!$E$5:$E$2488='Analítico Cp.'!$B57),-('Diário 8º PA'!$Q$5:$Q$2488=G$1),('Diário 8º PA'!$F$5:$F$2488))
+SUMPRODUCT(-('Comp.'!$D$5:$D$313='Analítico Cp.'!$B57),-('Comp.'!$R$5:$R$313=G$1),('Comp.'!$E$5:$E$313))</f>
        <v>1246.1199999999999</v>
      </c>
      <c r="H57" s="185">
        <f>SUMPRODUCT(-('Diário 5º PA'!$E$5:$E$2634='Analítico Cp.'!$B57),-('Diário 5º PA'!$Q$5:$Q$2634=H$1),('Diário 5º PA'!$F$5:$F$2634))
+SUMPRODUCT(-('Diário 6º PA'!$E$5:$E$2246='Analítico Cp.'!$B57),-('Diário 6º PA'!$Q$5:$Q$2246=H$1),('Diário 6º PA'!$F$5:$F$2246))
+SUMPRODUCT(-('Diário 7º PA'!$E$5:$E$2271='Analítico Cp.'!$B57),-('Diário 7º PA'!$Q$5:$Q$2271=H$1),('Diário 7º PA'!$F$5:$F$2271))
+SUMPRODUCT(-('Diário 8º PA'!$E$5:$E$2488='Analítico Cp.'!$B57),-('Diário 8º PA'!$Q$5:$Q$2488=H$1),('Diário 8º PA'!$F$5:$F$2488))
+SUMPRODUCT(-('Comp.'!$D$5:$D$313='Analítico Cp.'!$B57),-('Comp.'!$R$5:$R$313=H$1),('Comp.'!$E$5:$E$313))</f>
        <v>1246.1199999999999</v>
      </c>
      <c r="I57" s="185">
        <f>SUMPRODUCT(-('Diário 5º PA'!$E$5:$E$2634='Analítico Cp.'!$B57),-('Diário 5º PA'!$Q$5:$Q$2634=I$1),('Diário 5º PA'!$F$5:$F$2634))
+SUMPRODUCT(-('Diário 6º PA'!$E$5:$E$2246='Analítico Cp.'!$B57),-('Diário 6º PA'!$Q$5:$Q$2246=I$1),('Diário 6º PA'!$F$5:$F$2246))
+SUMPRODUCT(-('Diário 7º PA'!$E$5:$E$2271='Analítico Cp.'!$B57),-('Diário 7º PA'!$Q$5:$Q$2271=I$1),('Diário 7º PA'!$F$5:$F$2271))
+SUMPRODUCT(-('Diário 8º PA'!$E$5:$E$2488='Analítico Cp.'!$B57),-('Diário 8º PA'!$Q$5:$Q$2488=I$1),('Diário 8º PA'!$F$5:$F$2488))
+SUMPRODUCT(-('Comp.'!$D$5:$D$313='Analítico Cp.'!$B57),-('Comp.'!$R$5:$R$313=I$1),('Comp.'!$E$5:$E$313))</f>
        <v>1246.1199999999999</v>
      </c>
      <c r="J57" s="185">
        <f>SUMPRODUCT(-('Diário 5º PA'!$E$5:$E$2634='Analítico Cp.'!$B57),-('Diário 5º PA'!$Q$5:$Q$2634=J$1),('Diário 5º PA'!$F$5:$F$2634))
+SUMPRODUCT(-('Diário 6º PA'!$E$5:$E$2246='Analítico Cp.'!$B57),-('Diário 6º PA'!$Q$5:$Q$2246=J$1),('Diário 6º PA'!$F$5:$F$2246))
+SUMPRODUCT(-('Diário 7º PA'!$E$5:$E$2271='Analítico Cp.'!$B57),-('Diário 7º PA'!$Q$5:$Q$2271=J$1),('Diário 7º PA'!$F$5:$F$2271))
+SUMPRODUCT(-('Diário 8º PA'!$E$5:$E$2488='Analítico Cp.'!$B57),-('Diário 8º PA'!$Q$5:$Q$2488=J$1),('Diário 8º PA'!$F$5:$F$2488))
+SUMPRODUCT(-('Comp.'!$D$5:$D$313='Analítico Cp.'!$B57),-('Comp.'!$R$5:$R$313=J$1),('Comp.'!$E$5:$E$313))</f>
        <v>1246.1199999999999</v>
      </c>
      <c r="K57" s="185">
        <f>SUMPRODUCT(-('Diário 5º PA'!$E$5:$E$2634='Analítico Cp.'!$B57),-('Diário 5º PA'!$Q$5:$Q$2634=K$1),('Diário 5º PA'!$F$5:$F$2634))
+SUMPRODUCT(-('Diário 6º PA'!$E$5:$E$2246='Analítico Cp.'!$B57),-('Diário 6º PA'!$Q$5:$Q$2246=K$1),('Diário 6º PA'!$F$5:$F$2246))
+SUMPRODUCT(-('Diário 7º PA'!$E$5:$E$2271='Analítico Cp.'!$B57),-('Diário 7º PA'!$Q$5:$Q$2271=K$1),('Diário 7º PA'!$F$5:$F$2271))
+SUMPRODUCT(-('Diário 8º PA'!$E$5:$E$2488='Analítico Cp.'!$B57),-('Diário 8º PA'!$Q$5:$Q$2488=K$1),('Diário 8º PA'!$F$5:$F$2488))
+SUMPRODUCT(-('Comp.'!$D$5:$D$313='Analítico Cp.'!$B57),-('Comp.'!$R$5:$R$313=K$1),('Comp.'!$E$5:$E$313))</f>
        <v>1246.1199999999999</v>
      </c>
      <c r="L57" s="185">
        <f>SUMPRODUCT(-('Diário 5º PA'!$E$5:$E$2634='Analítico Cp.'!$B57),-('Diário 5º PA'!$Q$5:$Q$2634=L$1),('Diário 5º PA'!$F$5:$F$2634))
+SUMPRODUCT(-('Diário 6º PA'!$E$5:$E$2246='Analítico Cp.'!$B57),-('Diário 6º PA'!$Q$5:$Q$2246=L$1),('Diário 6º PA'!$F$5:$F$2246))
+SUMPRODUCT(-('Diário 7º PA'!$E$5:$E$2271='Analítico Cp.'!$B57),-('Diário 7º PA'!$Q$5:$Q$2271=L$1),('Diário 7º PA'!$F$5:$F$2271))
+SUMPRODUCT(-('Diário 8º PA'!$E$5:$E$2488='Analítico Cp.'!$B57),-('Diário 8º PA'!$Q$5:$Q$2488=L$1),('Diário 8º PA'!$F$5:$F$2488))
+SUMPRODUCT(-('Comp.'!$D$5:$D$313='Analítico Cp.'!$B57),-('Comp.'!$R$5:$R$313=L$1),('Comp.'!$E$5:$E$313))</f>
        <v>1246.1199999999999</v>
      </c>
      <c r="M57" s="185">
        <f>SUMPRODUCT(-('Diário 5º PA'!$E$5:$E$2634='Analítico Cp.'!$B57),-('Diário 5º PA'!$Q$5:$Q$2634=M$1),('Diário 5º PA'!$F$5:$F$2634))
+SUMPRODUCT(-('Diário 6º PA'!$E$5:$E$2246='Analítico Cp.'!$B57),-('Diário 6º PA'!$Q$5:$Q$2246=M$1),('Diário 6º PA'!$F$5:$F$2246))
+SUMPRODUCT(-('Diário 7º PA'!$E$5:$E$2271='Analítico Cp.'!$B57),-('Diário 7º PA'!$Q$5:$Q$2271=M$1),('Diário 7º PA'!$F$5:$F$2271))
+SUMPRODUCT(-('Diário 8º PA'!$E$5:$E$2488='Analítico Cp.'!$B57),-('Diário 8º PA'!$Q$5:$Q$2488=M$1),('Diário 8º PA'!$F$5:$F$2488))
+SUMPRODUCT(-('Comp.'!$D$5:$D$313='Analítico Cp.'!$B57),-('Comp.'!$R$5:$R$313=M$1),('Comp.'!$E$5:$E$313))</f>
        <v>1246.1199999999999</v>
      </c>
      <c r="N57" s="185">
        <f>SUMPRODUCT(-('Diário 5º PA'!$E$5:$E$2634='Analítico Cp.'!$B57),-('Diário 5º PA'!$Q$5:$Q$2634=N$1),('Diário 5º PA'!$F$5:$F$2634))
+SUMPRODUCT(-('Diário 6º PA'!$E$5:$E$2246='Analítico Cp.'!$B57),-('Diário 6º PA'!$Q$5:$Q$2246=N$1),('Diário 6º PA'!$F$5:$F$2246))
+SUMPRODUCT(-('Diário 7º PA'!$E$5:$E$2271='Analítico Cp.'!$B57),-('Diário 7º PA'!$Q$5:$Q$2271=N$1),('Diário 7º PA'!$F$5:$F$2271))
+SUMPRODUCT(-('Diário 8º PA'!$E$5:$E$2488='Analítico Cp.'!$B57),-('Diário 8º PA'!$Q$5:$Q$2488=N$1),('Diário 8º PA'!$F$5:$F$2488))
+SUMPRODUCT(-('Comp.'!$D$5:$D$313='Analítico Cp.'!$B57),-('Comp.'!$R$5:$R$313=N$1),('Comp.'!$E$5:$E$313))</f>
        <v>0</v>
      </c>
      <c r="O57" s="186">
        <f t="shared" si="16"/>
        <v>13973.849999999995</v>
      </c>
      <c r="P57" s="187">
        <f t="shared" si="17"/>
        <v>1.4413489334151157E-3</v>
      </c>
      <c r="Q57" s="34"/>
      <c r="R57" s="34"/>
      <c r="S57" s="34"/>
      <c r="T57" s="34"/>
      <c r="U57" s="34"/>
      <c r="V57" s="34"/>
      <c r="W57" s="34"/>
      <c r="X57" s="34"/>
      <c r="Y57" s="34"/>
      <c r="Z57" s="34"/>
    </row>
    <row r="58" spans="1:26" ht="23.25" customHeight="1" x14ac:dyDescent="0.2">
      <c r="A58" s="203" t="s">
        <v>213</v>
      </c>
      <c r="B58" s="72" t="s">
        <v>214</v>
      </c>
      <c r="C58" s="185">
        <f>SUMPRODUCT(-('Diário 5º PA'!$E$5:$E$2634='Analítico Cp.'!$B58),-('Diário 5º PA'!$Q$5:$Q$2634=C$1),('Diário 5º PA'!$F$5:$F$2634))
+SUMPRODUCT(-('Diário 6º PA'!$E$5:$E$2246='Analítico Cp.'!$B58),-('Diário 6º PA'!$Q$5:$Q$2246=C$1),('Diário 6º PA'!$F$5:$F$2246))
+SUMPRODUCT(-('Diário 7º PA'!$E$5:$E$2271='Analítico Cp.'!$B58),-('Diário 7º PA'!$Q$5:$Q$2271=C$1),('Diário 7º PA'!$F$5:$F$2271))
+SUMPRODUCT(-('Diário 8º PA'!$E$5:$E$2488='Analítico Cp.'!$B58),-('Diário 8º PA'!$Q$5:$Q$2488=C$1),('Diário 8º PA'!$F$5:$F$2488))
+SUMPRODUCT(-('Comp.'!$D$5:$D$313='Analítico Cp.'!$B58),-('Comp.'!$R$5:$R$313=C$1),('Comp.'!$E$5:$E$313))</f>
        <v>0</v>
      </c>
      <c r="D58" s="185">
        <f>SUMPRODUCT(-('Diário 5º PA'!$E$5:$E$2634='Analítico Cp.'!$B58),-('Diário 5º PA'!$Q$5:$Q$2634=D$1),('Diário 5º PA'!$F$5:$F$2634))
+SUMPRODUCT(-('Diário 6º PA'!$E$5:$E$2246='Analítico Cp.'!$B58),-('Diário 6º PA'!$Q$5:$Q$2246=D$1),('Diário 6º PA'!$F$5:$F$2246))
+SUMPRODUCT(-('Diário 7º PA'!$E$5:$E$2271='Analítico Cp.'!$B58),-('Diário 7º PA'!$Q$5:$Q$2271=D$1),('Diário 7º PA'!$F$5:$F$2271))
+SUMPRODUCT(-('Diário 8º PA'!$E$5:$E$2488='Analítico Cp.'!$B58),-('Diário 8º PA'!$Q$5:$Q$2488=D$1),('Diário 8º PA'!$F$5:$F$2488))
+SUMPRODUCT(-('Comp.'!$D$5:$D$313='Analítico Cp.'!$B58),-('Comp.'!$R$5:$R$313=D$1),('Comp.'!$E$5:$E$313))</f>
        <v>0</v>
      </c>
      <c r="E58" s="185">
        <f>SUMPRODUCT(-('Diário 5º PA'!$E$5:$E$2634='Analítico Cp.'!$B58),-('Diário 5º PA'!$Q$5:$Q$2634=E$1),('Diário 5º PA'!$F$5:$F$2634))
+SUMPRODUCT(-('Diário 6º PA'!$E$5:$E$2246='Analítico Cp.'!$B58),-('Diário 6º PA'!$Q$5:$Q$2246=E$1),('Diário 6º PA'!$F$5:$F$2246))
+SUMPRODUCT(-('Diário 7º PA'!$E$5:$E$2271='Analítico Cp.'!$B58),-('Diário 7º PA'!$Q$5:$Q$2271=E$1),('Diário 7º PA'!$F$5:$F$2271))
+SUMPRODUCT(-('Diário 8º PA'!$E$5:$E$2488='Analítico Cp.'!$B58),-('Diário 8º PA'!$Q$5:$Q$2488=E$1),('Diário 8º PA'!$F$5:$F$2488))
+SUMPRODUCT(-('Comp.'!$D$5:$D$313='Analítico Cp.'!$B58),-('Comp.'!$R$5:$R$313=E$1),('Comp.'!$E$5:$E$313))</f>
        <v>0</v>
      </c>
      <c r="F58" s="185">
        <f>SUMPRODUCT(-('Diário 5º PA'!$E$5:$E$2634='Analítico Cp.'!$B58),-('Diário 5º PA'!$Q$5:$Q$2634=F$1),('Diário 5º PA'!$F$5:$F$2634))
+SUMPRODUCT(-('Diário 6º PA'!$E$5:$E$2246='Analítico Cp.'!$B58),-('Diário 6º PA'!$Q$5:$Q$2246=F$1),('Diário 6º PA'!$F$5:$F$2246))
+SUMPRODUCT(-('Diário 7º PA'!$E$5:$E$2271='Analítico Cp.'!$B58),-('Diário 7º PA'!$Q$5:$Q$2271=F$1),('Diário 7º PA'!$F$5:$F$2271))
+SUMPRODUCT(-('Diário 8º PA'!$E$5:$E$2488='Analítico Cp.'!$B58),-('Diário 8º PA'!$Q$5:$Q$2488=F$1),('Diário 8º PA'!$F$5:$F$2488))
+SUMPRODUCT(-('Comp.'!$D$5:$D$313='Analítico Cp.'!$B58),-('Comp.'!$R$5:$R$313=F$1),('Comp.'!$E$5:$E$313))</f>
        <v>0</v>
      </c>
      <c r="G58" s="185">
        <f>SUMPRODUCT(-('Diário 5º PA'!$E$5:$E$2634='Analítico Cp.'!$B58),-('Diário 5º PA'!$Q$5:$Q$2634=G$1),('Diário 5º PA'!$F$5:$F$2634))
+SUMPRODUCT(-('Diário 6º PA'!$E$5:$E$2246='Analítico Cp.'!$B58),-('Diário 6º PA'!$Q$5:$Q$2246=G$1),('Diário 6º PA'!$F$5:$F$2246))
+SUMPRODUCT(-('Diário 7º PA'!$E$5:$E$2271='Analítico Cp.'!$B58),-('Diário 7º PA'!$Q$5:$Q$2271=G$1),('Diário 7º PA'!$F$5:$F$2271))
+SUMPRODUCT(-('Diário 8º PA'!$E$5:$E$2488='Analítico Cp.'!$B58),-('Diário 8º PA'!$Q$5:$Q$2488=G$1),('Diário 8º PA'!$F$5:$F$2488))
+SUMPRODUCT(-('Comp.'!$D$5:$D$313='Analítico Cp.'!$B58),-('Comp.'!$R$5:$R$313=G$1),('Comp.'!$E$5:$E$313))</f>
        <v>0</v>
      </c>
      <c r="H58" s="185">
        <f>SUMPRODUCT(-('Diário 5º PA'!$E$5:$E$2634='Analítico Cp.'!$B58),-('Diário 5º PA'!$Q$5:$Q$2634=H$1),('Diário 5º PA'!$F$5:$F$2634))
+SUMPRODUCT(-('Diário 6º PA'!$E$5:$E$2246='Analítico Cp.'!$B58),-('Diário 6º PA'!$Q$5:$Q$2246=H$1),('Diário 6º PA'!$F$5:$F$2246))
+SUMPRODUCT(-('Diário 7º PA'!$E$5:$E$2271='Analítico Cp.'!$B58),-('Diário 7º PA'!$Q$5:$Q$2271=H$1),('Diário 7º PA'!$F$5:$F$2271))
+SUMPRODUCT(-('Diário 8º PA'!$E$5:$E$2488='Analítico Cp.'!$B58),-('Diário 8º PA'!$Q$5:$Q$2488=H$1),('Diário 8º PA'!$F$5:$F$2488))
+SUMPRODUCT(-('Comp.'!$D$5:$D$313='Analítico Cp.'!$B58),-('Comp.'!$R$5:$R$313=H$1),('Comp.'!$E$5:$E$313))</f>
        <v>0</v>
      </c>
      <c r="I58" s="185">
        <f>SUMPRODUCT(-('Diário 5º PA'!$E$5:$E$2634='Analítico Cp.'!$B58),-('Diário 5º PA'!$Q$5:$Q$2634=I$1),('Diário 5º PA'!$F$5:$F$2634))
+SUMPRODUCT(-('Diário 6º PA'!$E$5:$E$2246='Analítico Cp.'!$B58),-('Diário 6º PA'!$Q$5:$Q$2246=I$1),('Diário 6º PA'!$F$5:$F$2246))
+SUMPRODUCT(-('Diário 7º PA'!$E$5:$E$2271='Analítico Cp.'!$B58),-('Diário 7º PA'!$Q$5:$Q$2271=I$1),('Diário 7º PA'!$F$5:$F$2271))
+SUMPRODUCT(-('Diário 8º PA'!$E$5:$E$2488='Analítico Cp.'!$B58),-('Diário 8º PA'!$Q$5:$Q$2488=I$1),('Diário 8º PA'!$F$5:$F$2488))
+SUMPRODUCT(-('Comp.'!$D$5:$D$313='Analítico Cp.'!$B58),-('Comp.'!$R$5:$R$313=I$1),('Comp.'!$E$5:$E$313))</f>
        <v>0</v>
      </c>
      <c r="J58" s="185">
        <f>SUMPRODUCT(-('Diário 5º PA'!$E$5:$E$2634='Analítico Cp.'!$B58),-('Diário 5º PA'!$Q$5:$Q$2634=J$1),('Diário 5º PA'!$F$5:$F$2634))
+SUMPRODUCT(-('Diário 6º PA'!$E$5:$E$2246='Analítico Cp.'!$B58),-('Diário 6º PA'!$Q$5:$Q$2246=J$1),('Diário 6º PA'!$F$5:$F$2246))
+SUMPRODUCT(-('Diário 7º PA'!$E$5:$E$2271='Analítico Cp.'!$B58),-('Diário 7º PA'!$Q$5:$Q$2271=J$1),('Diário 7º PA'!$F$5:$F$2271))
+SUMPRODUCT(-('Diário 8º PA'!$E$5:$E$2488='Analítico Cp.'!$B58),-('Diário 8º PA'!$Q$5:$Q$2488=J$1),('Diário 8º PA'!$F$5:$F$2488))
+SUMPRODUCT(-('Comp.'!$D$5:$D$313='Analítico Cp.'!$B58),-('Comp.'!$R$5:$R$313=J$1),('Comp.'!$E$5:$E$313))</f>
        <v>0</v>
      </c>
      <c r="K58" s="185">
        <f>SUMPRODUCT(-('Diário 5º PA'!$E$5:$E$2634='Analítico Cp.'!$B58),-('Diário 5º PA'!$Q$5:$Q$2634=K$1),('Diário 5º PA'!$F$5:$F$2634))
+SUMPRODUCT(-('Diário 6º PA'!$E$5:$E$2246='Analítico Cp.'!$B58),-('Diário 6º PA'!$Q$5:$Q$2246=K$1),('Diário 6º PA'!$F$5:$F$2246))
+SUMPRODUCT(-('Diário 7º PA'!$E$5:$E$2271='Analítico Cp.'!$B58),-('Diário 7º PA'!$Q$5:$Q$2271=K$1),('Diário 7º PA'!$F$5:$F$2271))
+SUMPRODUCT(-('Diário 8º PA'!$E$5:$E$2488='Analítico Cp.'!$B58),-('Diário 8º PA'!$Q$5:$Q$2488=K$1),('Diário 8º PA'!$F$5:$F$2488))
+SUMPRODUCT(-('Comp.'!$D$5:$D$313='Analítico Cp.'!$B58),-('Comp.'!$R$5:$R$313=K$1),('Comp.'!$E$5:$E$313))</f>
        <v>0</v>
      </c>
      <c r="L58" s="185">
        <f>SUMPRODUCT(-('Diário 5º PA'!$E$5:$E$2634='Analítico Cp.'!$B58),-('Diário 5º PA'!$Q$5:$Q$2634=L$1),('Diário 5º PA'!$F$5:$F$2634))
+SUMPRODUCT(-('Diário 6º PA'!$E$5:$E$2246='Analítico Cp.'!$B58),-('Diário 6º PA'!$Q$5:$Q$2246=L$1),('Diário 6º PA'!$F$5:$F$2246))
+SUMPRODUCT(-('Diário 7º PA'!$E$5:$E$2271='Analítico Cp.'!$B58),-('Diário 7º PA'!$Q$5:$Q$2271=L$1),('Diário 7º PA'!$F$5:$F$2271))
+SUMPRODUCT(-('Diário 8º PA'!$E$5:$E$2488='Analítico Cp.'!$B58),-('Diário 8º PA'!$Q$5:$Q$2488=L$1),('Diário 8º PA'!$F$5:$F$2488))
+SUMPRODUCT(-('Comp.'!$D$5:$D$313='Analítico Cp.'!$B58),-('Comp.'!$R$5:$R$313=L$1),('Comp.'!$E$5:$E$313))</f>
        <v>0</v>
      </c>
      <c r="M58" s="185">
        <f>SUMPRODUCT(-('Diário 5º PA'!$E$5:$E$2634='Analítico Cp.'!$B58),-('Diário 5º PA'!$Q$5:$Q$2634=M$1),('Diário 5º PA'!$F$5:$F$2634))
+SUMPRODUCT(-('Diário 6º PA'!$E$5:$E$2246='Analítico Cp.'!$B58),-('Diário 6º PA'!$Q$5:$Q$2246=M$1),('Diário 6º PA'!$F$5:$F$2246))
+SUMPRODUCT(-('Diário 7º PA'!$E$5:$E$2271='Analítico Cp.'!$B58),-('Diário 7º PA'!$Q$5:$Q$2271=M$1),('Diário 7º PA'!$F$5:$F$2271))
+SUMPRODUCT(-('Diário 8º PA'!$E$5:$E$2488='Analítico Cp.'!$B58),-('Diário 8º PA'!$Q$5:$Q$2488=M$1),('Diário 8º PA'!$F$5:$F$2488))
+SUMPRODUCT(-('Comp.'!$D$5:$D$313='Analítico Cp.'!$B58),-('Comp.'!$R$5:$R$313=M$1),('Comp.'!$E$5:$E$313))</f>
        <v>0</v>
      </c>
      <c r="N58" s="185">
        <f>SUMPRODUCT(-('Diário 5º PA'!$E$5:$E$2634='Analítico Cp.'!$B58),-('Diário 5º PA'!$Q$5:$Q$2634=N$1),('Diário 5º PA'!$F$5:$F$2634))
+SUMPRODUCT(-('Diário 6º PA'!$E$5:$E$2246='Analítico Cp.'!$B58),-('Diário 6º PA'!$Q$5:$Q$2246=N$1),('Diário 6º PA'!$F$5:$F$2246))
+SUMPRODUCT(-('Diário 7º PA'!$E$5:$E$2271='Analítico Cp.'!$B58),-('Diário 7º PA'!$Q$5:$Q$2271=N$1),('Diário 7º PA'!$F$5:$F$2271))
+SUMPRODUCT(-('Diário 8º PA'!$E$5:$E$2488='Analítico Cp.'!$B58),-('Diário 8º PA'!$Q$5:$Q$2488=N$1),('Diário 8º PA'!$F$5:$F$2488))
+SUMPRODUCT(-('Comp.'!$D$5:$D$313='Analítico Cp.'!$B58),-('Comp.'!$R$5:$R$313=N$1),('Comp.'!$E$5:$E$313))</f>
        <v>0</v>
      </c>
      <c r="O58" s="186">
        <f t="shared" si="16"/>
        <v>0</v>
      </c>
      <c r="P58" s="187">
        <f t="shared" si="17"/>
        <v>0</v>
      </c>
      <c r="Q58" s="34"/>
      <c r="R58" s="34"/>
      <c r="S58" s="34"/>
      <c r="T58" s="34"/>
      <c r="U58" s="34"/>
      <c r="V58" s="34"/>
      <c r="W58" s="34"/>
      <c r="X58" s="34"/>
      <c r="Y58" s="34"/>
      <c r="Z58" s="34"/>
    </row>
    <row r="59" spans="1:26" ht="23.25" customHeight="1" x14ac:dyDescent="0.2">
      <c r="A59" s="203" t="s">
        <v>215</v>
      </c>
      <c r="B59" s="72" t="s">
        <v>216</v>
      </c>
      <c r="C59" s="185">
        <f>SUMPRODUCT(-('Diário 5º PA'!$E$5:$E$2634='Analítico Cp.'!$B59),-('Diário 5º PA'!$Q$5:$Q$2634=C$1),('Diário 5º PA'!$F$5:$F$2634))
+SUMPRODUCT(-('Diário 6º PA'!$E$5:$E$2246='Analítico Cp.'!$B59),-('Diário 6º PA'!$Q$5:$Q$2246=C$1),('Diário 6º PA'!$F$5:$F$2246))
+SUMPRODUCT(-('Diário 7º PA'!$E$5:$E$2271='Analítico Cp.'!$B59),-('Diário 7º PA'!$Q$5:$Q$2271=C$1),('Diário 7º PA'!$F$5:$F$2271))
+SUMPRODUCT(-('Diário 8º PA'!$E$5:$E$2488='Analítico Cp.'!$B59),-('Diário 8º PA'!$Q$5:$Q$2488=C$1),('Diário 8º PA'!$F$5:$F$2488))
+SUMPRODUCT(-('Comp.'!$D$5:$D$313='Analítico Cp.'!$B59),-('Comp.'!$R$5:$R$313=C$1),('Comp.'!$E$5:$E$313))</f>
        <v>344.99</v>
      </c>
      <c r="D59" s="185">
        <f>SUMPRODUCT(-('Diário 5º PA'!$E$5:$E$2634='Analítico Cp.'!$B59),-('Diário 5º PA'!$Q$5:$Q$2634=D$1),('Diário 5º PA'!$F$5:$F$2634))
+SUMPRODUCT(-('Diário 6º PA'!$E$5:$E$2246='Analítico Cp.'!$B59),-('Diário 6º PA'!$Q$5:$Q$2246=D$1),('Diário 6º PA'!$F$5:$F$2246))
+SUMPRODUCT(-('Diário 7º PA'!$E$5:$E$2271='Analítico Cp.'!$B59),-('Diário 7º PA'!$Q$5:$Q$2271=D$1),('Diário 7º PA'!$F$5:$F$2271))
+SUMPRODUCT(-('Diário 8º PA'!$E$5:$E$2488='Analítico Cp.'!$B59),-('Diário 8º PA'!$Q$5:$Q$2488=D$1),('Diário 8º PA'!$F$5:$F$2488))
+SUMPRODUCT(-('Comp.'!$D$5:$D$313='Analítico Cp.'!$B59),-('Comp.'!$R$5:$R$313=D$1),('Comp.'!$E$5:$E$313))</f>
        <v>395.25</v>
      </c>
      <c r="E59" s="185">
        <f>SUMPRODUCT(-('Diário 5º PA'!$E$5:$E$2634='Analítico Cp.'!$B59),-('Diário 5º PA'!$Q$5:$Q$2634=E$1),('Diário 5º PA'!$F$5:$F$2634))
+SUMPRODUCT(-('Diário 6º PA'!$E$5:$E$2246='Analítico Cp.'!$B59),-('Diário 6º PA'!$Q$5:$Q$2246=E$1),('Diário 6º PA'!$F$5:$F$2246))
+SUMPRODUCT(-('Diário 7º PA'!$E$5:$E$2271='Analítico Cp.'!$B59),-('Diário 7º PA'!$Q$5:$Q$2271=E$1),('Diário 7º PA'!$F$5:$F$2271))
+SUMPRODUCT(-('Diário 8º PA'!$E$5:$E$2488='Analítico Cp.'!$B59),-('Diário 8º PA'!$Q$5:$Q$2488=E$1),('Diário 8º PA'!$F$5:$F$2488))
+SUMPRODUCT(-('Comp.'!$D$5:$D$313='Analítico Cp.'!$B59),-('Comp.'!$R$5:$R$313=E$1),('Comp.'!$E$5:$E$313))</f>
        <v>366.08900000000006</v>
      </c>
      <c r="F59" s="185">
        <f>SUMPRODUCT(-('Diário 5º PA'!$E$5:$E$2634='Analítico Cp.'!$B59),-('Diário 5º PA'!$Q$5:$Q$2634=F$1),('Diário 5º PA'!$F$5:$F$2634))
+SUMPRODUCT(-('Diário 6º PA'!$E$5:$E$2246='Analítico Cp.'!$B59),-('Diário 6º PA'!$Q$5:$Q$2246=F$1),('Diário 6º PA'!$F$5:$F$2246))
+SUMPRODUCT(-('Diário 7º PA'!$E$5:$E$2271='Analítico Cp.'!$B59),-('Diário 7º PA'!$Q$5:$Q$2271=F$1),('Diário 7º PA'!$F$5:$F$2271))
+SUMPRODUCT(-('Diário 8º PA'!$E$5:$E$2488='Analítico Cp.'!$B59),-('Diário 8º PA'!$Q$5:$Q$2488=F$1),('Diário 8º PA'!$F$5:$F$2488))
+SUMPRODUCT(-('Comp.'!$D$5:$D$313='Analítico Cp.'!$B59),-('Comp.'!$R$5:$R$313=F$1),('Comp.'!$E$5:$E$313))</f>
        <v>320.12</v>
      </c>
      <c r="G59" s="185">
        <f>SUMPRODUCT(-('Diário 5º PA'!$E$5:$E$2634='Analítico Cp.'!$B59),-('Diário 5º PA'!$Q$5:$Q$2634=G$1),('Diário 5º PA'!$F$5:$F$2634))
+SUMPRODUCT(-('Diário 6º PA'!$E$5:$E$2246='Analítico Cp.'!$B59),-('Diário 6º PA'!$Q$5:$Q$2246=G$1),('Diário 6º PA'!$F$5:$F$2246))
+SUMPRODUCT(-('Diário 7º PA'!$E$5:$E$2271='Analítico Cp.'!$B59),-('Diário 7º PA'!$Q$5:$Q$2271=G$1),('Diário 7º PA'!$F$5:$F$2271))
+SUMPRODUCT(-('Diário 8º PA'!$E$5:$E$2488='Analítico Cp.'!$B59),-('Diário 8º PA'!$Q$5:$Q$2488=G$1),('Diário 8º PA'!$F$5:$F$2488))
+SUMPRODUCT(-('Comp.'!$D$5:$D$313='Analítico Cp.'!$B59),-('Comp.'!$R$5:$R$313=G$1),('Comp.'!$E$5:$E$313))</f>
        <v>313.81000000000006</v>
      </c>
      <c r="H59" s="185">
        <f>SUMPRODUCT(-('Diário 5º PA'!$E$5:$E$2634='Analítico Cp.'!$B59),-('Diário 5º PA'!$Q$5:$Q$2634=H$1),('Diário 5º PA'!$F$5:$F$2634))
+SUMPRODUCT(-('Diário 6º PA'!$E$5:$E$2246='Analítico Cp.'!$B59),-('Diário 6º PA'!$Q$5:$Q$2246=H$1),('Diário 6º PA'!$F$5:$F$2246))
+SUMPRODUCT(-('Diário 7º PA'!$E$5:$E$2271='Analítico Cp.'!$B59),-('Diário 7º PA'!$Q$5:$Q$2271=H$1),('Diário 7º PA'!$F$5:$F$2271))
+SUMPRODUCT(-('Diário 8º PA'!$E$5:$E$2488='Analítico Cp.'!$B59),-('Diário 8º PA'!$Q$5:$Q$2488=H$1),('Diário 8º PA'!$F$5:$F$2488))
+SUMPRODUCT(-('Comp.'!$D$5:$D$313='Analítico Cp.'!$B59),-('Comp.'!$R$5:$R$313=H$1),('Comp.'!$E$5:$E$313))</f>
        <v>309.20999999999998</v>
      </c>
      <c r="I59" s="185">
        <f>SUMPRODUCT(-('Diário 5º PA'!$E$5:$E$2634='Analítico Cp.'!$B59),-('Diário 5º PA'!$Q$5:$Q$2634=I$1),('Diário 5º PA'!$F$5:$F$2634))
+SUMPRODUCT(-('Diário 6º PA'!$E$5:$E$2246='Analítico Cp.'!$B59),-('Diário 6º PA'!$Q$5:$Q$2246=I$1),('Diário 6º PA'!$F$5:$F$2246))
+SUMPRODUCT(-('Diário 7º PA'!$E$5:$E$2271='Analítico Cp.'!$B59),-('Diário 7º PA'!$Q$5:$Q$2271=I$1),('Diário 7º PA'!$F$5:$F$2271))
+SUMPRODUCT(-('Diário 8º PA'!$E$5:$E$2488='Analítico Cp.'!$B59),-('Diário 8º PA'!$Q$5:$Q$2488=I$1),('Diário 8º PA'!$F$5:$F$2488))
+SUMPRODUCT(-('Comp.'!$D$5:$D$313='Analítico Cp.'!$B59),-('Comp.'!$R$5:$R$313=I$1),('Comp.'!$E$5:$E$313))</f>
        <v>315.12</v>
      </c>
      <c r="J59" s="185">
        <f>SUMPRODUCT(-('Diário 5º PA'!$E$5:$E$2634='Analítico Cp.'!$B59),-('Diário 5º PA'!$Q$5:$Q$2634=J$1),('Diário 5º PA'!$F$5:$F$2634))
+SUMPRODUCT(-('Diário 6º PA'!$E$5:$E$2246='Analítico Cp.'!$B59),-('Diário 6º PA'!$Q$5:$Q$2246=J$1),('Diário 6º PA'!$F$5:$F$2246))
+SUMPRODUCT(-('Diário 7º PA'!$E$5:$E$2271='Analítico Cp.'!$B59),-('Diário 7º PA'!$Q$5:$Q$2271=J$1),('Diário 7º PA'!$F$5:$F$2271))
+SUMPRODUCT(-('Diário 8º PA'!$E$5:$E$2488='Analítico Cp.'!$B59),-('Diário 8º PA'!$Q$5:$Q$2488=J$1),('Diário 8º PA'!$F$5:$F$2488))
+SUMPRODUCT(-('Comp.'!$D$5:$D$313='Analítico Cp.'!$B59),-('Comp.'!$R$5:$R$313=J$1),('Comp.'!$E$5:$E$313))</f>
        <v>371.19</v>
      </c>
      <c r="K59" s="185">
        <f>SUMPRODUCT(-('Diário 5º PA'!$E$5:$E$2634='Analítico Cp.'!$B59),-('Diário 5º PA'!$Q$5:$Q$2634=K$1),('Diário 5º PA'!$F$5:$F$2634))
+SUMPRODUCT(-('Diário 6º PA'!$E$5:$E$2246='Analítico Cp.'!$B59),-('Diário 6º PA'!$Q$5:$Q$2246=K$1),('Diário 6º PA'!$F$5:$F$2246))
+SUMPRODUCT(-('Diário 7º PA'!$E$5:$E$2271='Analítico Cp.'!$B59),-('Diário 7º PA'!$Q$5:$Q$2271=K$1),('Diário 7º PA'!$F$5:$F$2271))
+SUMPRODUCT(-('Diário 8º PA'!$E$5:$E$2488='Analítico Cp.'!$B59),-('Diário 8º PA'!$Q$5:$Q$2488=K$1),('Diário 8º PA'!$F$5:$F$2488))
+SUMPRODUCT(-('Comp.'!$D$5:$D$313='Analítico Cp.'!$B59),-('Comp.'!$R$5:$R$313=K$1),('Comp.'!$E$5:$E$313))</f>
        <v>380.28999999999996</v>
      </c>
      <c r="L59" s="185">
        <f>SUMPRODUCT(-('Diário 5º PA'!$E$5:$E$2634='Analítico Cp.'!$B59),-('Diário 5º PA'!$Q$5:$Q$2634=L$1),('Diário 5º PA'!$F$5:$F$2634))
+SUMPRODUCT(-('Diário 6º PA'!$E$5:$E$2246='Analítico Cp.'!$B59),-('Diário 6º PA'!$Q$5:$Q$2246=L$1),('Diário 6º PA'!$F$5:$F$2246))
+SUMPRODUCT(-('Diário 7º PA'!$E$5:$E$2271='Analítico Cp.'!$B59),-('Diário 7º PA'!$Q$5:$Q$2271=L$1),('Diário 7º PA'!$F$5:$F$2271))
+SUMPRODUCT(-('Diário 8º PA'!$E$5:$E$2488='Analítico Cp.'!$B59),-('Diário 8º PA'!$Q$5:$Q$2488=L$1),('Diário 8º PA'!$F$5:$F$2488))
+SUMPRODUCT(-('Comp.'!$D$5:$D$313='Analítico Cp.'!$B59),-('Comp.'!$R$5:$R$313=L$1),('Comp.'!$E$5:$E$313))</f>
        <v>358.06</v>
      </c>
      <c r="M59" s="185">
        <f>SUMPRODUCT(-('Diário 5º PA'!$E$5:$E$2634='Analítico Cp.'!$B59),-('Diário 5º PA'!$Q$5:$Q$2634=M$1),('Diário 5º PA'!$F$5:$F$2634))
+SUMPRODUCT(-('Diário 6º PA'!$E$5:$E$2246='Analítico Cp.'!$B59),-('Diário 6º PA'!$Q$5:$Q$2246=M$1),('Diário 6º PA'!$F$5:$F$2246))
+SUMPRODUCT(-('Diário 7º PA'!$E$5:$E$2271='Analítico Cp.'!$B59),-('Diário 7º PA'!$Q$5:$Q$2271=M$1),('Diário 7º PA'!$F$5:$F$2271))
+SUMPRODUCT(-('Diário 8º PA'!$E$5:$E$2488='Analítico Cp.'!$B59),-('Diário 8º PA'!$Q$5:$Q$2488=M$1),('Diário 8º PA'!$F$5:$F$2488))
+SUMPRODUCT(-('Comp.'!$D$5:$D$313='Analítico Cp.'!$B59),-('Comp.'!$R$5:$R$313=M$1),('Comp.'!$E$5:$E$313))</f>
        <v>386.34</v>
      </c>
      <c r="N59" s="185">
        <f>SUMPRODUCT(-('Diário 5º PA'!$E$5:$E$2634='Analítico Cp.'!$B59),-('Diário 5º PA'!$Q$5:$Q$2634=N$1),('Diário 5º PA'!$F$5:$F$2634))
+SUMPRODUCT(-('Diário 6º PA'!$E$5:$E$2246='Analítico Cp.'!$B59),-('Diário 6º PA'!$Q$5:$Q$2246=N$1),('Diário 6º PA'!$F$5:$F$2246))
+SUMPRODUCT(-('Diário 7º PA'!$E$5:$E$2271='Analítico Cp.'!$B59),-('Diário 7º PA'!$Q$5:$Q$2271=N$1),('Diário 7º PA'!$F$5:$F$2271))
+SUMPRODUCT(-('Diário 8º PA'!$E$5:$E$2488='Analítico Cp.'!$B59),-('Diário 8º PA'!$Q$5:$Q$2488=N$1),('Diário 8º PA'!$F$5:$F$2488))
+SUMPRODUCT(-('Comp.'!$D$5:$D$313='Analítico Cp.'!$B59),-('Comp.'!$R$5:$R$313=N$1),('Comp.'!$E$5:$E$313))</f>
        <v>411.31</v>
      </c>
      <c r="O59" s="186">
        <f t="shared" si="16"/>
        <v>4271.7790000000005</v>
      </c>
      <c r="P59" s="187">
        <f t="shared" si="17"/>
        <v>4.4061758967178642E-4</v>
      </c>
      <c r="Q59" s="34"/>
      <c r="R59" s="34"/>
      <c r="S59" s="34"/>
      <c r="T59" s="34"/>
      <c r="U59" s="34"/>
      <c r="V59" s="34"/>
      <c r="W59" s="34"/>
      <c r="X59" s="34"/>
      <c r="Y59" s="34"/>
      <c r="Z59" s="34"/>
    </row>
    <row r="60" spans="1:26" ht="23.25" customHeight="1" x14ac:dyDescent="0.2">
      <c r="A60" s="203" t="s">
        <v>217</v>
      </c>
      <c r="B60" s="72" t="s">
        <v>218</v>
      </c>
      <c r="C60" s="185">
        <f>SUMPRODUCT(-('Diário 5º PA'!$E$5:$E$2634='Analítico Cp.'!$B60),-('Diário 5º PA'!$Q$5:$Q$2634=C$1),('Diário 5º PA'!$F$5:$F$2634))
+SUMPRODUCT(-('Diário 6º PA'!$E$5:$E$2246='Analítico Cp.'!$B60),-('Diário 6º PA'!$Q$5:$Q$2246=C$1),('Diário 6º PA'!$F$5:$F$2246))
+SUMPRODUCT(-('Diário 7º PA'!$E$5:$E$2271='Analítico Cp.'!$B60),-('Diário 7º PA'!$Q$5:$Q$2271=C$1),('Diário 7º PA'!$F$5:$F$2271))
+SUMPRODUCT(-('Diário 8º PA'!$E$5:$E$2488='Analítico Cp.'!$B60),-('Diário 8º PA'!$Q$5:$Q$2488=C$1),('Diário 8º PA'!$F$5:$F$2488))
+SUMPRODUCT(-('Comp.'!$D$5:$D$313='Analítico Cp.'!$B60),-('Comp.'!$R$5:$R$313=C$1),('Comp.'!$E$5:$E$313))</f>
        <v>364.93</v>
      </c>
      <c r="D60" s="185">
        <f>SUMPRODUCT(-('Diário 5º PA'!$E$5:$E$2634='Analítico Cp.'!$B60),-('Diário 5º PA'!$Q$5:$Q$2634=D$1),('Diário 5º PA'!$F$5:$F$2634))
+SUMPRODUCT(-('Diário 6º PA'!$E$5:$E$2246='Analítico Cp.'!$B60),-('Diário 6º PA'!$Q$5:$Q$2246=D$1),('Diário 6º PA'!$F$5:$F$2246))
+SUMPRODUCT(-('Diário 7º PA'!$E$5:$E$2271='Analítico Cp.'!$B60),-('Diário 7º PA'!$Q$5:$Q$2271=D$1),('Diário 7º PA'!$F$5:$F$2271))
+SUMPRODUCT(-('Diário 8º PA'!$E$5:$E$2488='Analítico Cp.'!$B60),-('Diário 8º PA'!$Q$5:$Q$2488=D$1),('Diário 8º PA'!$F$5:$F$2488))
+SUMPRODUCT(-('Comp.'!$D$5:$D$313='Analítico Cp.'!$B60),-('Comp.'!$R$5:$R$313=D$1),('Comp.'!$E$5:$E$313))</f>
        <v>410.23</v>
      </c>
      <c r="E60" s="185">
        <f>SUMPRODUCT(-('Diário 5º PA'!$E$5:$E$2634='Analítico Cp.'!$B60),-('Diário 5º PA'!$Q$5:$Q$2634=E$1),('Diário 5º PA'!$F$5:$F$2634))
+SUMPRODUCT(-('Diário 6º PA'!$E$5:$E$2246='Analítico Cp.'!$B60),-('Diário 6º PA'!$Q$5:$Q$2246=E$1),('Diário 6º PA'!$F$5:$F$2246))
+SUMPRODUCT(-('Diário 7º PA'!$E$5:$E$2271='Analítico Cp.'!$B60),-('Diário 7º PA'!$Q$5:$Q$2271=E$1),('Diário 7º PA'!$F$5:$F$2271))
+SUMPRODUCT(-('Diário 8º PA'!$E$5:$E$2488='Analítico Cp.'!$B60),-('Diário 8º PA'!$Q$5:$Q$2488=E$1),('Diário 8º PA'!$F$5:$F$2488))
+SUMPRODUCT(-('Comp.'!$D$5:$D$313='Analítico Cp.'!$B60),-('Comp.'!$R$5:$R$313=E$1),('Comp.'!$E$5:$E$313))</f>
        <v>254.89</v>
      </c>
      <c r="F60" s="185">
        <f>SUMPRODUCT(-('Diário 5º PA'!$E$5:$E$2634='Analítico Cp.'!$B60),-('Diário 5º PA'!$Q$5:$Q$2634=F$1),('Diário 5º PA'!$F$5:$F$2634))
+SUMPRODUCT(-('Diário 6º PA'!$E$5:$E$2246='Analítico Cp.'!$B60),-('Diário 6º PA'!$Q$5:$Q$2246=F$1),('Diário 6º PA'!$F$5:$F$2246))
+SUMPRODUCT(-('Diário 7º PA'!$E$5:$E$2271='Analítico Cp.'!$B60),-('Diário 7º PA'!$Q$5:$Q$2271=F$1),('Diário 7º PA'!$F$5:$F$2271))
+SUMPRODUCT(-('Diário 8º PA'!$E$5:$E$2488='Analítico Cp.'!$B60),-('Diário 8º PA'!$Q$5:$Q$2488=F$1),('Diário 8º PA'!$F$5:$F$2488))
+SUMPRODUCT(-('Comp.'!$D$5:$D$313='Analítico Cp.'!$B60),-('Comp.'!$R$5:$R$313=F$1),('Comp.'!$E$5:$E$313))</f>
        <v>140.70000000000002</v>
      </c>
      <c r="G60" s="185">
        <f>SUMPRODUCT(-('Diário 5º PA'!$E$5:$E$2634='Analítico Cp.'!$B60),-('Diário 5º PA'!$Q$5:$Q$2634=G$1),('Diário 5º PA'!$F$5:$F$2634))
+SUMPRODUCT(-('Diário 6º PA'!$E$5:$E$2246='Analítico Cp.'!$B60),-('Diário 6º PA'!$Q$5:$Q$2246=G$1),('Diário 6º PA'!$F$5:$F$2246))
+SUMPRODUCT(-('Diário 7º PA'!$E$5:$E$2271='Analítico Cp.'!$B60),-('Diário 7º PA'!$Q$5:$Q$2271=G$1),('Diário 7º PA'!$F$5:$F$2271))
+SUMPRODUCT(-('Diário 8º PA'!$E$5:$E$2488='Analítico Cp.'!$B60),-('Diário 8º PA'!$Q$5:$Q$2488=G$1),('Diário 8º PA'!$F$5:$F$2488))
+SUMPRODUCT(-('Comp.'!$D$5:$D$313='Analítico Cp.'!$B60),-('Comp.'!$R$5:$R$313=G$1),('Comp.'!$E$5:$E$313))</f>
        <v>151.73000000000002</v>
      </c>
      <c r="H60" s="185">
        <f>SUMPRODUCT(-('Diário 5º PA'!$E$5:$E$2634='Analítico Cp.'!$B60),-('Diário 5º PA'!$Q$5:$Q$2634=H$1),('Diário 5º PA'!$F$5:$F$2634))
+SUMPRODUCT(-('Diário 6º PA'!$E$5:$E$2246='Analítico Cp.'!$B60),-('Diário 6º PA'!$Q$5:$Q$2246=H$1),('Diário 6º PA'!$F$5:$F$2246))
+SUMPRODUCT(-('Diário 7º PA'!$E$5:$E$2271='Analítico Cp.'!$B60),-('Diário 7º PA'!$Q$5:$Q$2271=H$1),('Diário 7º PA'!$F$5:$F$2271))
+SUMPRODUCT(-('Diário 8º PA'!$E$5:$E$2488='Analítico Cp.'!$B60),-('Diário 8º PA'!$Q$5:$Q$2488=H$1),('Diário 8º PA'!$F$5:$F$2488))
+SUMPRODUCT(-('Comp.'!$D$5:$D$313='Analítico Cp.'!$B60),-('Comp.'!$R$5:$R$313=H$1),('Comp.'!$E$5:$E$313))</f>
        <v>140.04</v>
      </c>
      <c r="I60" s="185">
        <f>SUMPRODUCT(-('Diário 5º PA'!$E$5:$E$2634='Analítico Cp.'!$B60),-('Diário 5º PA'!$Q$5:$Q$2634=I$1),('Diário 5º PA'!$F$5:$F$2634))
+SUMPRODUCT(-('Diário 6º PA'!$E$5:$E$2246='Analítico Cp.'!$B60),-('Diário 6º PA'!$Q$5:$Q$2246=I$1),('Diário 6º PA'!$F$5:$F$2246))
+SUMPRODUCT(-('Diário 7º PA'!$E$5:$E$2271='Analítico Cp.'!$B60),-('Diário 7º PA'!$Q$5:$Q$2271=I$1),('Diário 7º PA'!$F$5:$F$2271))
+SUMPRODUCT(-('Diário 8º PA'!$E$5:$E$2488='Analítico Cp.'!$B60),-('Diário 8º PA'!$Q$5:$Q$2488=I$1),('Diário 8º PA'!$F$5:$F$2488))
+SUMPRODUCT(-('Comp.'!$D$5:$D$313='Analítico Cp.'!$B60),-('Comp.'!$R$5:$R$313=I$1),('Comp.'!$E$5:$E$313))</f>
        <v>226.70999999999998</v>
      </c>
      <c r="J60" s="185">
        <f>SUMPRODUCT(-('Diário 5º PA'!$E$5:$E$2634='Analítico Cp.'!$B60),-('Diário 5º PA'!$Q$5:$Q$2634=J$1),('Diário 5º PA'!$F$5:$F$2634))
+SUMPRODUCT(-('Diário 6º PA'!$E$5:$E$2246='Analítico Cp.'!$B60),-('Diário 6º PA'!$Q$5:$Q$2246=J$1),('Diário 6º PA'!$F$5:$F$2246))
+SUMPRODUCT(-('Diário 7º PA'!$E$5:$E$2271='Analítico Cp.'!$B60),-('Diário 7º PA'!$Q$5:$Q$2271=J$1),('Diário 7º PA'!$F$5:$F$2271))
+SUMPRODUCT(-('Diário 8º PA'!$E$5:$E$2488='Analítico Cp.'!$B60),-('Diário 8º PA'!$Q$5:$Q$2488=J$1),('Diário 8º PA'!$F$5:$F$2488))
+SUMPRODUCT(-('Comp.'!$D$5:$D$313='Analítico Cp.'!$B60),-('Comp.'!$R$5:$R$313=J$1),('Comp.'!$E$5:$E$313))</f>
        <v>165.05</v>
      </c>
      <c r="K60" s="185">
        <f>SUMPRODUCT(-('Diário 5º PA'!$E$5:$E$2634='Analítico Cp.'!$B60),-('Diário 5º PA'!$Q$5:$Q$2634=K$1),('Diário 5º PA'!$F$5:$F$2634))
+SUMPRODUCT(-('Diário 6º PA'!$E$5:$E$2246='Analítico Cp.'!$B60),-('Diário 6º PA'!$Q$5:$Q$2246=K$1),('Diário 6º PA'!$F$5:$F$2246))
+SUMPRODUCT(-('Diário 7º PA'!$E$5:$E$2271='Analítico Cp.'!$B60),-('Diário 7º PA'!$Q$5:$Q$2271=K$1),('Diário 7º PA'!$F$5:$F$2271))
+SUMPRODUCT(-('Diário 8º PA'!$E$5:$E$2488='Analítico Cp.'!$B60),-('Diário 8º PA'!$Q$5:$Q$2488=K$1),('Diário 8º PA'!$F$5:$F$2488))
+SUMPRODUCT(-('Comp.'!$D$5:$D$313='Analítico Cp.'!$B60),-('Comp.'!$R$5:$R$313=K$1),('Comp.'!$E$5:$E$313))</f>
        <v>113.02000000000001</v>
      </c>
      <c r="L60" s="185">
        <f>SUMPRODUCT(-('Diário 5º PA'!$E$5:$E$2634='Analítico Cp.'!$B60),-('Diário 5º PA'!$Q$5:$Q$2634=L$1),('Diário 5º PA'!$F$5:$F$2634))
+SUMPRODUCT(-('Diário 6º PA'!$E$5:$E$2246='Analítico Cp.'!$B60),-('Diário 6º PA'!$Q$5:$Q$2246=L$1),('Diário 6º PA'!$F$5:$F$2246))
+SUMPRODUCT(-('Diário 7º PA'!$E$5:$E$2271='Analítico Cp.'!$B60),-('Diário 7º PA'!$Q$5:$Q$2271=L$1),('Diário 7º PA'!$F$5:$F$2271))
+SUMPRODUCT(-('Diário 8º PA'!$E$5:$E$2488='Analítico Cp.'!$B60),-('Diário 8º PA'!$Q$5:$Q$2488=L$1),('Diário 8º PA'!$F$5:$F$2488))
+SUMPRODUCT(-('Comp.'!$D$5:$D$313='Analítico Cp.'!$B60),-('Comp.'!$R$5:$R$313=L$1),('Comp.'!$E$5:$E$313))</f>
        <v>152.20000000000002</v>
      </c>
      <c r="M60" s="185">
        <f>SUMPRODUCT(-('Diário 5º PA'!$E$5:$E$2634='Analítico Cp.'!$B60),-('Diário 5º PA'!$Q$5:$Q$2634=M$1),('Diário 5º PA'!$F$5:$F$2634))
+SUMPRODUCT(-('Diário 6º PA'!$E$5:$E$2246='Analítico Cp.'!$B60),-('Diário 6º PA'!$Q$5:$Q$2246=M$1),('Diário 6º PA'!$F$5:$F$2246))
+SUMPRODUCT(-('Diário 7º PA'!$E$5:$E$2271='Analítico Cp.'!$B60),-('Diário 7º PA'!$Q$5:$Q$2271=M$1),('Diário 7º PA'!$F$5:$F$2271))
+SUMPRODUCT(-('Diário 8º PA'!$E$5:$E$2488='Analítico Cp.'!$B60),-('Diário 8º PA'!$Q$5:$Q$2488=M$1),('Diário 8º PA'!$F$5:$F$2488))
+SUMPRODUCT(-('Comp.'!$D$5:$D$313='Analítico Cp.'!$B60),-('Comp.'!$R$5:$R$313=M$1),('Comp.'!$E$5:$E$313))</f>
        <v>22.700000000000003</v>
      </c>
      <c r="N60" s="185">
        <f>SUMPRODUCT(-('Diário 5º PA'!$E$5:$E$2634='Analítico Cp.'!$B60),-('Diário 5º PA'!$Q$5:$Q$2634=N$1),('Diário 5º PA'!$F$5:$F$2634))
+SUMPRODUCT(-('Diário 6º PA'!$E$5:$E$2246='Analítico Cp.'!$B60),-('Diário 6º PA'!$Q$5:$Q$2246=N$1),('Diário 6º PA'!$F$5:$F$2246))
+SUMPRODUCT(-('Diário 7º PA'!$E$5:$E$2271='Analítico Cp.'!$B60),-('Diário 7º PA'!$Q$5:$Q$2271=N$1),('Diário 7º PA'!$F$5:$F$2271))
+SUMPRODUCT(-('Diário 8º PA'!$E$5:$E$2488='Analítico Cp.'!$B60),-('Diário 8º PA'!$Q$5:$Q$2488=N$1),('Diário 8º PA'!$F$5:$F$2488))
+SUMPRODUCT(-('Comp.'!$D$5:$D$313='Analítico Cp.'!$B60),-('Comp.'!$R$5:$R$313=N$1),('Comp.'!$E$5:$E$313))</f>
        <v>422.56</v>
      </c>
      <c r="O60" s="186">
        <f t="shared" si="16"/>
        <v>2564.7599999999998</v>
      </c>
      <c r="P60" s="187">
        <f t="shared" si="17"/>
        <v>2.6454513898930881E-4</v>
      </c>
      <c r="Q60" s="34"/>
      <c r="R60" s="34"/>
      <c r="S60" s="34"/>
      <c r="T60" s="34"/>
      <c r="U60" s="34"/>
      <c r="V60" s="34"/>
      <c r="W60" s="34"/>
      <c r="X60" s="34"/>
      <c r="Y60" s="34"/>
      <c r="Z60" s="34"/>
    </row>
    <row r="61" spans="1:26" ht="23.25" customHeight="1" x14ac:dyDescent="0.2">
      <c r="A61" s="203" t="s">
        <v>219</v>
      </c>
      <c r="B61" s="72" t="s">
        <v>220</v>
      </c>
      <c r="C61" s="185">
        <f>SUMPRODUCT(-('Diário 5º PA'!$E$5:$E$2634='Analítico Cp.'!$B61),-('Diário 5º PA'!$Q$5:$Q$2634=C$1),('Diário 5º PA'!$F$5:$F$2634))
+SUMPRODUCT(-('Diário 6º PA'!$E$5:$E$2246='Analítico Cp.'!$B61),-('Diário 6º PA'!$Q$5:$Q$2246=C$1),('Diário 6º PA'!$F$5:$F$2246))
+SUMPRODUCT(-('Diário 7º PA'!$E$5:$E$2271='Analítico Cp.'!$B61),-('Diário 7º PA'!$Q$5:$Q$2271=C$1),('Diário 7º PA'!$F$5:$F$2271))
+SUMPRODUCT(-('Diário 8º PA'!$E$5:$E$2488='Analítico Cp.'!$B61),-('Diário 8º PA'!$Q$5:$Q$2488=C$1),('Diário 8º PA'!$F$5:$F$2488))
+SUMPRODUCT(-('Comp.'!$D$5:$D$313='Analítico Cp.'!$B61),-('Comp.'!$R$5:$R$313=C$1),('Comp.'!$E$5:$E$313))</f>
        <v>347.92</v>
      </c>
      <c r="D61" s="185">
        <f>SUMPRODUCT(-('Diário 5º PA'!$E$5:$E$2634='Analítico Cp.'!$B61),-('Diário 5º PA'!$Q$5:$Q$2634=D$1),('Diário 5º PA'!$F$5:$F$2634))
+SUMPRODUCT(-('Diário 6º PA'!$E$5:$E$2246='Analítico Cp.'!$B61),-('Diário 6º PA'!$Q$5:$Q$2246=D$1),('Diário 6º PA'!$F$5:$F$2246))
+SUMPRODUCT(-('Diário 7º PA'!$E$5:$E$2271='Analítico Cp.'!$B61),-('Diário 7º PA'!$Q$5:$Q$2271=D$1),('Diário 7º PA'!$F$5:$F$2271))
+SUMPRODUCT(-('Diário 8º PA'!$E$5:$E$2488='Analítico Cp.'!$B61),-('Diário 8º PA'!$Q$5:$Q$2488=D$1),('Diário 8º PA'!$F$5:$F$2488))
+SUMPRODUCT(-('Comp.'!$D$5:$D$313='Analítico Cp.'!$B61),-('Comp.'!$R$5:$R$313=D$1),('Comp.'!$E$5:$E$313))</f>
        <v>306.3</v>
      </c>
      <c r="E61" s="185">
        <f>SUMPRODUCT(-('Diário 5º PA'!$E$5:$E$2634='Analítico Cp.'!$B61),-('Diário 5º PA'!$Q$5:$Q$2634=E$1),('Diário 5º PA'!$F$5:$F$2634))
+SUMPRODUCT(-('Diário 6º PA'!$E$5:$E$2246='Analítico Cp.'!$B61),-('Diário 6º PA'!$Q$5:$Q$2246=E$1),('Diário 6º PA'!$F$5:$F$2246))
+SUMPRODUCT(-('Diário 7º PA'!$E$5:$E$2271='Analítico Cp.'!$B61),-('Diário 7º PA'!$Q$5:$Q$2271=E$1),('Diário 7º PA'!$F$5:$F$2271))
+SUMPRODUCT(-('Diário 8º PA'!$E$5:$E$2488='Analítico Cp.'!$B61),-('Diário 8º PA'!$Q$5:$Q$2488=E$1),('Diário 8º PA'!$F$5:$F$2488))
+SUMPRODUCT(-('Comp.'!$D$5:$D$313='Analítico Cp.'!$B61),-('Comp.'!$R$5:$R$313=E$1),('Comp.'!$E$5:$E$313))</f>
        <v>346.25</v>
      </c>
      <c r="F61" s="185">
        <f>SUMPRODUCT(-('Diário 5º PA'!$E$5:$E$2634='Analítico Cp.'!$B61),-('Diário 5º PA'!$Q$5:$Q$2634=F$1),('Diário 5º PA'!$F$5:$F$2634))
+SUMPRODUCT(-('Diário 6º PA'!$E$5:$E$2246='Analítico Cp.'!$B61),-('Diário 6º PA'!$Q$5:$Q$2246=F$1),('Diário 6º PA'!$F$5:$F$2246))
+SUMPRODUCT(-('Diário 7º PA'!$E$5:$E$2271='Analítico Cp.'!$B61),-('Diário 7º PA'!$Q$5:$Q$2271=F$1),('Diário 7º PA'!$F$5:$F$2271))
+SUMPRODUCT(-('Diário 8º PA'!$E$5:$E$2488='Analítico Cp.'!$B61),-('Diário 8º PA'!$Q$5:$Q$2488=F$1),('Diário 8º PA'!$F$5:$F$2488))
+SUMPRODUCT(-('Comp.'!$D$5:$D$313='Analítico Cp.'!$B61),-('Comp.'!$R$5:$R$313=F$1),('Comp.'!$E$5:$E$313))</f>
        <v>272.15999999999997</v>
      </c>
      <c r="G61" s="185">
        <f>SUMPRODUCT(-('Diário 5º PA'!$E$5:$E$2634='Analítico Cp.'!$B61),-('Diário 5º PA'!$Q$5:$Q$2634=G$1),('Diário 5º PA'!$F$5:$F$2634))
+SUMPRODUCT(-('Diário 6º PA'!$E$5:$E$2246='Analítico Cp.'!$B61),-('Diário 6º PA'!$Q$5:$Q$2246=G$1),('Diário 6º PA'!$F$5:$F$2246))
+SUMPRODUCT(-('Diário 7º PA'!$E$5:$E$2271='Analítico Cp.'!$B61),-('Diário 7º PA'!$Q$5:$Q$2271=G$1),('Diário 7º PA'!$F$5:$F$2271))
+SUMPRODUCT(-('Diário 8º PA'!$E$5:$E$2488='Analítico Cp.'!$B61),-('Diário 8º PA'!$Q$5:$Q$2488=G$1),('Diário 8º PA'!$F$5:$F$2488))
+SUMPRODUCT(-('Comp.'!$D$5:$D$313='Analítico Cp.'!$B61),-('Comp.'!$R$5:$R$313=G$1),('Comp.'!$E$5:$E$313))</f>
        <v>312.31</v>
      </c>
      <c r="H61" s="185">
        <f>SUMPRODUCT(-('Diário 5º PA'!$E$5:$E$2634='Analítico Cp.'!$B61),-('Diário 5º PA'!$Q$5:$Q$2634=H$1),('Diário 5º PA'!$F$5:$F$2634))
+SUMPRODUCT(-('Diário 6º PA'!$E$5:$E$2246='Analítico Cp.'!$B61),-('Diário 6º PA'!$Q$5:$Q$2246=H$1),('Diário 6º PA'!$F$5:$F$2246))
+SUMPRODUCT(-('Diário 7º PA'!$E$5:$E$2271='Analítico Cp.'!$B61),-('Diário 7º PA'!$Q$5:$Q$2271=H$1),('Diário 7º PA'!$F$5:$F$2271))
+SUMPRODUCT(-('Diário 8º PA'!$E$5:$E$2488='Analítico Cp.'!$B61),-('Diário 8º PA'!$Q$5:$Q$2488=H$1),('Diário 8º PA'!$F$5:$F$2488))
+SUMPRODUCT(-('Comp.'!$D$5:$D$313='Analítico Cp.'!$B61),-('Comp.'!$R$5:$R$313=H$1),('Comp.'!$E$5:$E$313))</f>
        <v>232.60999999999996</v>
      </c>
      <c r="I61" s="185">
        <f>SUMPRODUCT(-('Diário 5º PA'!$E$5:$E$2634='Analítico Cp.'!$B61),-('Diário 5º PA'!$Q$5:$Q$2634=I$1),('Diário 5º PA'!$F$5:$F$2634))
+SUMPRODUCT(-('Diário 6º PA'!$E$5:$E$2246='Analítico Cp.'!$B61),-('Diário 6º PA'!$Q$5:$Q$2246=I$1),('Diário 6º PA'!$F$5:$F$2246))
+SUMPRODUCT(-('Diário 7º PA'!$E$5:$E$2271='Analítico Cp.'!$B61),-('Diário 7º PA'!$Q$5:$Q$2271=I$1),('Diário 7º PA'!$F$5:$F$2271))
+SUMPRODUCT(-('Diário 8º PA'!$E$5:$E$2488='Analítico Cp.'!$B61),-('Diário 8º PA'!$Q$5:$Q$2488=I$1),('Diário 8º PA'!$F$5:$F$2488))
+SUMPRODUCT(-('Comp.'!$D$5:$D$313='Analítico Cp.'!$B61),-('Comp.'!$R$5:$R$313=I$1),('Comp.'!$E$5:$E$313))</f>
        <v>195.60000000000002</v>
      </c>
      <c r="J61" s="185">
        <f>SUMPRODUCT(-('Diário 5º PA'!$E$5:$E$2634='Analítico Cp.'!$B61),-('Diário 5º PA'!$Q$5:$Q$2634=J$1),('Diário 5º PA'!$F$5:$F$2634))
+SUMPRODUCT(-('Diário 6º PA'!$E$5:$E$2246='Analítico Cp.'!$B61),-('Diário 6º PA'!$Q$5:$Q$2246=J$1),('Diário 6º PA'!$F$5:$F$2246))
+SUMPRODUCT(-('Diário 7º PA'!$E$5:$E$2271='Analítico Cp.'!$B61),-('Diário 7º PA'!$Q$5:$Q$2271=J$1),('Diário 7º PA'!$F$5:$F$2271))
+SUMPRODUCT(-('Diário 8º PA'!$E$5:$E$2488='Analítico Cp.'!$B61),-('Diário 8º PA'!$Q$5:$Q$2488=J$1),('Diário 8º PA'!$F$5:$F$2488))
+SUMPRODUCT(-('Comp.'!$D$5:$D$313='Analítico Cp.'!$B61),-('Comp.'!$R$5:$R$313=J$1),('Comp.'!$E$5:$E$313))</f>
        <v>215.49999999999997</v>
      </c>
      <c r="K61" s="185">
        <f>SUMPRODUCT(-('Diário 5º PA'!$E$5:$E$2634='Analítico Cp.'!$B61),-('Diário 5º PA'!$Q$5:$Q$2634=K$1),('Diário 5º PA'!$F$5:$F$2634))
+SUMPRODUCT(-('Diário 6º PA'!$E$5:$E$2246='Analítico Cp.'!$B61),-('Diário 6º PA'!$Q$5:$Q$2246=K$1),('Diário 6º PA'!$F$5:$F$2246))
+SUMPRODUCT(-('Diário 7º PA'!$E$5:$E$2271='Analítico Cp.'!$B61),-('Diário 7º PA'!$Q$5:$Q$2271=K$1),('Diário 7º PA'!$F$5:$F$2271))
+SUMPRODUCT(-('Diário 8º PA'!$E$5:$E$2488='Analítico Cp.'!$B61),-('Diário 8º PA'!$Q$5:$Q$2488=K$1),('Diário 8º PA'!$F$5:$F$2488))
+SUMPRODUCT(-('Comp.'!$D$5:$D$313='Analítico Cp.'!$B61),-('Comp.'!$R$5:$R$313=K$1),('Comp.'!$E$5:$E$313))</f>
        <v>357.84000000000003</v>
      </c>
      <c r="L61" s="185">
        <f>SUMPRODUCT(-('Diário 5º PA'!$E$5:$E$2634='Analítico Cp.'!$B61),-('Diário 5º PA'!$Q$5:$Q$2634=L$1),('Diário 5º PA'!$F$5:$F$2634))
+SUMPRODUCT(-('Diário 6º PA'!$E$5:$E$2246='Analítico Cp.'!$B61),-('Diário 6º PA'!$Q$5:$Q$2246=L$1),('Diário 6º PA'!$F$5:$F$2246))
+SUMPRODUCT(-('Diário 7º PA'!$E$5:$E$2271='Analítico Cp.'!$B61),-('Diário 7º PA'!$Q$5:$Q$2271=L$1),('Diário 7º PA'!$F$5:$F$2271))
+SUMPRODUCT(-('Diário 8º PA'!$E$5:$E$2488='Analítico Cp.'!$B61),-('Diário 8º PA'!$Q$5:$Q$2488=L$1),('Diário 8º PA'!$F$5:$F$2488))
+SUMPRODUCT(-('Comp.'!$D$5:$D$313='Analítico Cp.'!$B61),-('Comp.'!$R$5:$R$313=L$1),('Comp.'!$E$5:$E$313))</f>
        <v>390.37</v>
      </c>
      <c r="M61" s="185">
        <f>SUMPRODUCT(-('Diário 5º PA'!$E$5:$E$2634='Analítico Cp.'!$B61),-('Diário 5º PA'!$Q$5:$Q$2634=M$1),('Diário 5º PA'!$F$5:$F$2634))
+SUMPRODUCT(-('Diário 6º PA'!$E$5:$E$2246='Analítico Cp.'!$B61),-('Diário 6º PA'!$Q$5:$Q$2246=M$1),('Diário 6º PA'!$F$5:$F$2246))
+SUMPRODUCT(-('Diário 7º PA'!$E$5:$E$2271='Analítico Cp.'!$B61),-('Diário 7º PA'!$Q$5:$Q$2271=M$1),('Diário 7º PA'!$F$5:$F$2271))
+SUMPRODUCT(-('Diário 8º PA'!$E$5:$E$2488='Analítico Cp.'!$B61),-('Diário 8º PA'!$Q$5:$Q$2488=M$1),('Diário 8º PA'!$F$5:$F$2488))
+SUMPRODUCT(-('Comp.'!$D$5:$D$313='Analítico Cp.'!$B61),-('Comp.'!$R$5:$R$313=M$1),('Comp.'!$E$5:$E$313))</f>
        <v>324.52999999999997</v>
      </c>
      <c r="N61" s="185">
        <f>SUMPRODUCT(-('Diário 5º PA'!$E$5:$E$2634='Analítico Cp.'!$B61),-('Diário 5º PA'!$Q$5:$Q$2634=N$1),('Diário 5º PA'!$F$5:$F$2634))
+SUMPRODUCT(-('Diário 6º PA'!$E$5:$E$2246='Analítico Cp.'!$B61),-('Diário 6º PA'!$Q$5:$Q$2246=N$1),('Diário 6º PA'!$F$5:$F$2246))
+SUMPRODUCT(-('Diário 7º PA'!$E$5:$E$2271='Analítico Cp.'!$B61),-('Diário 7º PA'!$Q$5:$Q$2271=N$1),('Diário 7º PA'!$F$5:$F$2271))
+SUMPRODUCT(-('Diário 8º PA'!$E$5:$E$2488='Analítico Cp.'!$B61),-('Diário 8º PA'!$Q$5:$Q$2488=N$1),('Diário 8º PA'!$F$5:$F$2488))
+SUMPRODUCT(-('Comp.'!$D$5:$D$313='Analítico Cp.'!$B61),-('Comp.'!$R$5:$R$313=N$1),('Comp.'!$E$5:$E$313))</f>
        <v>189.34</v>
      </c>
      <c r="O61" s="186">
        <f t="shared" si="16"/>
        <v>3490.7300000000005</v>
      </c>
      <c r="P61" s="187">
        <f t="shared" si="17"/>
        <v>3.6005538647832555E-4</v>
      </c>
      <c r="Q61" s="34"/>
      <c r="R61" s="34"/>
      <c r="S61" s="34"/>
      <c r="T61" s="34"/>
      <c r="U61" s="34"/>
      <c r="V61" s="34"/>
      <c r="W61" s="34"/>
      <c r="X61" s="34"/>
      <c r="Y61" s="34"/>
      <c r="Z61" s="34"/>
    </row>
    <row r="62" spans="1:26" ht="23.25" customHeight="1" x14ac:dyDescent="0.2">
      <c r="A62" s="203" t="s">
        <v>221</v>
      </c>
      <c r="B62" s="72" t="s">
        <v>222</v>
      </c>
      <c r="C62" s="185">
        <f>SUMPRODUCT(-('Diário 5º PA'!$E$5:$E$2634='Analítico Cp.'!$B62),-('Diário 5º PA'!$Q$5:$Q$2634=C$1),('Diário 5º PA'!$F$5:$F$2634))
+SUMPRODUCT(-('Diário 6º PA'!$E$5:$E$2246='Analítico Cp.'!$B62),-('Diário 6º PA'!$Q$5:$Q$2246=C$1),('Diário 6º PA'!$F$5:$F$2246))
+SUMPRODUCT(-('Diário 7º PA'!$E$5:$E$2271='Analítico Cp.'!$B62),-('Diário 7º PA'!$Q$5:$Q$2271=C$1),('Diário 7º PA'!$F$5:$F$2271))
+SUMPRODUCT(-('Diário 8º PA'!$E$5:$E$2488='Analítico Cp.'!$B62),-('Diário 8º PA'!$Q$5:$Q$2488=C$1),('Diário 8º PA'!$F$5:$F$2488))
+SUMPRODUCT(-('Comp.'!$D$5:$D$313='Analítico Cp.'!$B62),-('Comp.'!$R$5:$R$313=C$1),('Comp.'!$E$5:$E$313))</f>
        <v>1110.9100000000001</v>
      </c>
      <c r="D62" s="185">
        <f>SUMPRODUCT(-('Diário 5º PA'!$E$5:$E$2634='Analítico Cp.'!$B62),-('Diário 5º PA'!$Q$5:$Q$2634=D$1),('Diário 5º PA'!$F$5:$F$2634))
+SUMPRODUCT(-('Diário 6º PA'!$E$5:$E$2246='Analítico Cp.'!$B62),-('Diário 6º PA'!$Q$5:$Q$2246=D$1),('Diário 6º PA'!$F$5:$F$2246))
+SUMPRODUCT(-('Diário 7º PA'!$E$5:$E$2271='Analítico Cp.'!$B62),-('Diário 7º PA'!$Q$5:$Q$2271=D$1),('Diário 7º PA'!$F$5:$F$2271))
+SUMPRODUCT(-('Diário 8º PA'!$E$5:$E$2488='Analítico Cp.'!$B62),-('Diário 8º PA'!$Q$5:$Q$2488=D$1),('Diário 8º PA'!$F$5:$F$2488))
+SUMPRODUCT(-('Comp.'!$D$5:$D$313='Analítico Cp.'!$B62),-('Comp.'!$R$5:$R$313=D$1),('Comp.'!$E$5:$E$313))</f>
        <v>1025.19</v>
      </c>
      <c r="E62" s="185">
        <f>SUMPRODUCT(-('Diário 5º PA'!$E$5:$E$2634='Analítico Cp.'!$B62),-('Diário 5º PA'!$Q$5:$Q$2634=E$1),('Diário 5º PA'!$F$5:$F$2634))
+SUMPRODUCT(-('Diário 6º PA'!$E$5:$E$2246='Analítico Cp.'!$B62),-('Diário 6º PA'!$Q$5:$Q$2246=E$1),('Diário 6º PA'!$F$5:$F$2246))
+SUMPRODUCT(-('Diário 7º PA'!$E$5:$E$2271='Analítico Cp.'!$B62),-('Diário 7º PA'!$Q$5:$Q$2271=E$1),('Diário 7º PA'!$F$5:$F$2271))
+SUMPRODUCT(-('Diário 8º PA'!$E$5:$E$2488='Analítico Cp.'!$B62),-('Diário 8º PA'!$Q$5:$Q$2488=E$1),('Diário 8º PA'!$F$5:$F$2488))
+SUMPRODUCT(-('Comp.'!$D$5:$D$313='Analítico Cp.'!$B62),-('Comp.'!$R$5:$R$313=E$1),('Comp.'!$E$5:$E$313))</f>
        <v>995.85</v>
      </c>
      <c r="F62" s="185">
        <f>SUMPRODUCT(-('Diário 5º PA'!$E$5:$E$2634='Analítico Cp.'!$B62),-('Diário 5º PA'!$Q$5:$Q$2634=F$1),('Diário 5º PA'!$F$5:$F$2634))
+SUMPRODUCT(-('Diário 6º PA'!$E$5:$E$2246='Analítico Cp.'!$B62),-('Diário 6º PA'!$Q$5:$Q$2246=F$1),('Diário 6º PA'!$F$5:$F$2246))
+SUMPRODUCT(-('Diário 7º PA'!$E$5:$E$2271='Analítico Cp.'!$B62),-('Diário 7º PA'!$Q$5:$Q$2271=F$1),('Diário 7º PA'!$F$5:$F$2271))
+SUMPRODUCT(-('Diário 8º PA'!$E$5:$E$2488='Analítico Cp.'!$B62),-('Diário 8º PA'!$Q$5:$Q$2488=F$1),('Diário 8º PA'!$F$5:$F$2488))
+SUMPRODUCT(-('Comp.'!$D$5:$D$313='Analítico Cp.'!$B62),-('Comp.'!$R$5:$R$313=F$1),('Comp.'!$E$5:$E$313))</f>
        <v>1004.8100000000002</v>
      </c>
      <c r="G62" s="185">
        <f>SUMPRODUCT(-('Diário 5º PA'!$E$5:$E$2634='Analítico Cp.'!$B62),-('Diário 5º PA'!$Q$5:$Q$2634=G$1),('Diário 5º PA'!$F$5:$F$2634))
+SUMPRODUCT(-('Diário 6º PA'!$E$5:$E$2246='Analítico Cp.'!$B62),-('Diário 6º PA'!$Q$5:$Q$2246=G$1),('Diário 6º PA'!$F$5:$F$2246))
+SUMPRODUCT(-('Diário 7º PA'!$E$5:$E$2271='Analítico Cp.'!$B62),-('Diário 7º PA'!$Q$5:$Q$2271=G$1),('Diário 7º PA'!$F$5:$F$2271))
+SUMPRODUCT(-('Diário 8º PA'!$E$5:$E$2488='Analítico Cp.'!$B62),-('Diário 8º PA'!$Q$5:$Q$2488=G$1),('Diário 8º PA'!$F$5:$F$2488))
+SUMPRODUCT(-('Comp.'!$D$5:$D$313='Analítico Cp.'!$B62),-('Comp.'!$R$5:$R$313=G$1),('Comp.'!$E$5:$E$313))</f>
        <v>995.85</v>
      </c>
      <c r="H62" s="185">
        <f>SUMPRODUCT(-('Diário 5º PA'!$E$5:$E$2634='Analítico Cp.'!$B62),-('Diário 5º PA'!$Q$5:$Q$2634=H$1),('Diário 5º PA'!$F$5:$F$2634))
+SUMPRODUCT(-('Diário 6º PA'!$E$5:$E$2246='Analítico Cp.'!$B62),-('Diário 6º PA'!$Q$5:$Q$2246=H$1),('Diário 6º PA'!$F$5:$F$2246))
+SUMPRODUCT(-('Diário 7º PA'!$E$5:$E$2271='Analítico Cp.'!$B62),-('Diário 7º PA'!$Q$5:$Q$2271=H$1),('Diário 7º PA'!$F$5:$F$2271))
+SUMPRODUCT(-('Diário 8º PA'!$E$5:$E$2488='Analítico Cp.'!$B62),-('Diário 8º PA'!$Q$5:$Q$2488=H$1),('Diário 8º PA'!$F$5:$F$2488))
+SUMPRODUCT(-('Comp.'!$D$5:$D$313='Analítico Cp.'!$B62),-('Comp.'!$R$5:$R$313=H$1),('Comp.'!$E$5:$E$313))</f>
        <v>1004.9499999999999</v>
      </c>
      <c r="I62" s="185">
        <f>SUMPRODUCT(-('Diário 5º PA'!$E$5:$E$2634='Analítico Cp.'!$B62),-('Diário 5º PA'!$Q$5:$Q$2634=I$1),('Diário 5º PA'!$F$5:$F$2634))
+SUMPRODUCT(-('Diário 6º PA'!$E$5:$E$2246='Analítico Cp.'!$B62),-('Diário 6º PA'!$Q$5:$Q$2246=I$1),('Diário 6º PA'!$F$5:$F$2246))
+SUMPRODUCT(-('Diário 7º PA'!$E$5:$E$2271='Analítico Cp.'!$B62),-('Diário 7º PA'!$Q$5:$Q$2271=I$1),('Diário 7º PA'!$F$5:$F$2271))
+SUMPRODUCT(-('Diário 8º PA'!$E$5:$E$2488='Analítico Cp.'!$B62),-('Diário 8º PA'!$Q$5:$Q$2488=I$1),('Diário 8º PA'!$F$5:$F$2488))
+SUMPRODUCT(-('Comp.'!$D$5:$D$313='Analítico Cp.'!$B62),-('Comp.'!$R$5:$R$313=I$1),('Comp.'!$E$5:$E$313))</f>
        <v>995.85</v>
      </c>
      <c r="J62" s="185">
        <f>SUMPRODUCT(-('Diário 5º PA'!$E$5:$E$2634='Analítico Cp.'!$B62),-('Diário 5º PA'!$Q$5:$Q$2634=J$1),('Diário 5º PA'!$F$5:$F$2634))
+SUMPRODUCT(-('Diário 6º PA'!$E$5:$E$2246='Analítico Cp.'!$B62),-('Diário 6º PA'!$Q$5:$Q$2246=J$1),('Diário 6º PA'!$F$5:$F$2246))
+SUMPRODUCT(-('Diário 7º PA'!$E$5:$E$2271='Analítico Cp.'!$B62),-('Diário 7º PA'!$Q$5:$Q$2271=J$1),('Diário 7º PA'!$F$5:$F$2271))
+SUMPRODUCT(-('Diário 8º PA'!$E$5:$E$2488='Analítico Cp.'!$B62),-('Diário 8º PA'!$Q$5:$Q$2488=J$1),('Diário 8º PA'!$F$5:$F$2488))
+SUMPRODUCT(-('Comp.'!$D$5:$D$313='Analítico Cp.'!$B62),-('Comp.'!$R$5:$R$313=J$1),('Comp.'!$E$5:$E$313))</f>
        <v>1037.8</v>
      </c>
      <c r="K62" s="185">
        <f>SUMPRODUCT(-('Diário 5º PA'!$E$5:$E$2634='Analítico Cp.'!$B62),-('Diário 5º PA'!$Q$5:$Q$2634=K$1),('Diário 5º PA'!$F$5:$F$2634))
+SUMPRODUCT(-('Diário 6º PA'!$E$5:$E$2246='Analítico Cp.'!$B62),-('Diário 6º PA'!$Q$5:$Q$2246=K$1),('Diário 6º PA'!$F$5:$F$2246))
+SUMPRODUCT(-('Diário 7º PA'!$E$5:$E$2271='Analítico Cp.'!$B62),-('Diário 7º PA'!$Q$5:$Q$2271=K$1),('Diário 7º PA'!$F$5:$F$2271))
+SUMPRODUCT(-('Diário 8º PA'!$E$5:$E$2488='Analítico Cp.'!$B62),-('Diário 8º PA'!$Q$5:$Q$2488=K$1),('Diário 8º PA'!$F$5:$F$2488))
+SUMPRODUCT(-('Comp.'!$D$5:$D$313='Analítico Cp.'!$B62),-('Comp.'!$R$5:$R$313=K$1),('Comp.'!$E$5:$E$313))</f>
        <v>1039.96</v>
      </c>
      <c r="L62" s="185">
        <f>SUMPRODUCT(-('Diário 5º PA'!$E$5:$E$2634='Analítico Cp.'!$B62),-('Diário 5º PA'!$Q$5:$Q$2634=L$1),('Diário 5º PA'!$F$5:$F$2634))
+SUMPRODUCT(-('Diário 6º PA'!$E$5:$E$2246='Analítico Cp.'!$B62),-('Diário 6º PA'!$Q$5:$Q$2246=L$1),('Diário 6º PA'!$F$5:$F$2246))
+SUMPRODUCT(-('Diário 7º PA'!$E$5:$E$2271='Analítico Cp.'!$B62),-('Diário 7º PA'!$Q$5:$Q$2271=L$1),('Diário 7º PA'!$F$5:$F$2271))
+SUMPRODUCT(-('Diário 8º PA'!$E$5:$E$2488='Analítico Cp.'!$B62),-('Diário 8º PA'!$Q$5:$Q$2488=L$1),('Diário 8º PA'!$F$5:$F$2488))
+SUMPRODUCT(-('Comp.'!$D$5:$D$313='Analítico Cp.'!$B62),-('Comp.'!$R$5:$R$313=L$1),('Comp.'!$E$5:$E$313))</f>
        <v>1059.9099999999999</v>
      </c>
      <c r="M62" s="185">
        <f>SUMPRODUCT(-('Diário 5º PA'!$E$5:$E$2634='Analítico Cp.'!$B62),-('Diário 5º PA'!$Q$5:$Q$2634=M$1),('Diário 5º PA'!$F$5:$F$2634))
+SUMPRODUCT(-('Diário 6º PA'!$E$5:$E$2246='Analítico Cp.'!$B62),-('Diário 6º PA'!$Q$5:$Q$2246=M$1),('Diário 6º PA'!$F$5:$F$2246))
+SUMPRODUCT(-('Diário 7º PA'!$E$5:$E$2271='Analítico Cp.'!$B62),-('Diário 7º PA'!$Q$5:$Q$2271=M$1),('Diário 7º PA'!$F$5:$F$2271))
+SUMPRODUCT(-('Diário 8º PA'!$E$5:$E$2488='Analítico Cp.'!$B62),-('Diário 8º PA'!$Q$5:$Q$2488=M$1),('Diário 8º PA'!$F$5:$F$2488))
+SUMPRODUCT(-('Comp.'!$D$5:$D$313='Analítico Cp.'!$B62),-('Comp.'!$R$5:$R$313=M$1),('Comp.'!$E$5:$E$313))</f>
        <v>1075.72</v>
      </c>
      <c r="N62" s="185">
        <f>SUMPRODUCT(-('Diário 5º PA'!$E$5:$E$2634='Analítico Cp.'!$B62),-('Diário 5º PA'!$Q$5:$Q$2634=N$1),('Diário 5º PA'!$F$5:$F$2634))
+SUMPRODUCT(-('Diário 6º PA'!$E$5:$E$2246='Analítico Cp.'!$B62),-('Diário 6º PA'!$Q$5:$Q$2246=N$1),('Diário 6º PA'!$F$5:$F$2246))
+SUMPRODUCT(-('Diário 7º PA'!$E$5:$E$2271='Analítico Cp.'!$B62),-('Diário 7º PA'!$Q$5:$Q$2271=N$1),('Diário 7º PA'!$F$5:$F$2271))
+SUMPRODUCT(-('Diário 8º PA'!$E$5:$E$2488='Analítico Cp.'!$B62),-('Diário 8º PA'!$Q$5:$Q$2488=N$1),('Diário 8º PA'!$F$5:$F$2488))
+SUMPRODUCT(-('Comp.'!$D$5:$D$313='Analítico Cp.'!$B62),-('Comp.'!$R$5:$R$313=N$1),('Comp.'!$E$5:$E$313))</f>
        <v>1055.8899999999999</v>
      </c>
      <c r="O62" s="186">
        <f t="shared" si="16"/>
        <v>12402.69</v>
      </c>
      <c r="P62" s="187">
        <f t="shared" si="17"/>
        <v>1.2792898165486482E-3</v>
      </c>
      <c r="Q62" s="34"/>
      <c r="R62" s="34"/>
      <c r="S62" s="34"/>
      <c r="T62" s="34"/>
      <c r="U62" s="34"/>
      <c r="V62" s="34"/>
      <c r="W62" s="34"/>
      <c r="X62" s="34"/>
      <c r="Y62" s="34"/>
      <c r="Z62" s="34"/>
    </row>
    <row r="63" spans="1:26" ht="23.25" customHeight="1" x14ac:dyDescent="0.2">
      <c r="A63" s="203" t="s">
        <v>223</v>
      </c>
      <c r="B63" s="72" t="s">
        <v>224</v>
      </c>
      <c r="C63" s="185">
        <f>SUMPRODUCT(-('Diário 5º PA'!$E$5:$E$2634='Analítico Cp.'!$B63),-('Diário 5º PA'!$Q$5:$Q$2634=C$1),('Diário 5º PA'!$F$5:$F$2634))
+SUMPRODUCT(-('Diário 6º PA'!$E$5:$E$2246='Analítico Cp.'!$B63),-('Diário 6º PA'!$Q$5:$Q$2246=C$1),('Diário 6º PA'!$F$5:$F$2246))
+SUMPRODUCT(-('Diário 7º PA'!$E$5:$E$2271='Analítico Cp.'!$B63),-('Diário 7º PA'!$Q$5:$Q$2271=C$1),('Diário 7º PA'!$F$5:$F$2271))
+SUMPRODUCT(-('Diário 8º PA'!$E$5:$E$2488='Analítico Cp.'!$B63),-('Diário 8º PA'!$Q$5:$Q$2488=C$1),('Diário 8º PA'!$F$5:$F$2488))
+SUMPRODUCT(-('Comp.'!$D$5:$D$313='Analítico Cp.'!$B63),-('Comp.'!$R$5:$R$313=C$1),('Comp.'!$E$5:$E$313))</f>
        <v>378.28999999999996</v>
      </c>
      <c r="D63" s="185">
        <f>SUMPRODUCT(-('Diário 5º PA'!$E$5:$E$2634='Analítico Cp.'!$B63),-('Diário 5º PA'!$Q$5:$Q$2634=D$1),('Diário 5º PA'!$F$5:$F$2634))
+SUMPRODUCT(-('Diário 6º PA'!$E$5:$E$2246='Analítico Cp.'!$B63),-('Diário 6º PA'!$Q$5:$Q$2246=D$1),('Diário 6º PA'!$F$5:$F$2246))
+SUMPRODUCT(-('Diário 7º PA'!$E$5:$E$2271='Analítico Cp.'!$B63),-('Diário 7º PA'!$Q$5:$Q$2271=D$1),('Diário 7º PA'!$F$5:$F$2271))
+SUMPRODUCT(-('Diário 8º PA'!$E$5:$E$2488='Analítico Cp.'!$B63),-('Diário 8º PA'!$Q$5:$Q$2488=D$1),('Diário 8º PA'!$F$5:$F$2488))
+SUMPRODUCT(-('Comp.'!$D$5:$D$313='Analítico Cp.'!$B63),-('Comp.'!$R$5:$R$313=D$1),('Comp.'!$E$5:$E$313))</f>
        <v>361.80999999999995</v>
      </c>
      <c r="E63" s="185">
        <f>SUMPRODUCT(-('Diário 5º PA'!$E$5:$E$2634='Analítico Cp.'!$B63),-('Diário 5º PA'!$Q$5:$Q$2634=E$1),('Diário 5º PA'!$F$5:$F$2634))
+SUMPRODUCT(-('Diário 6º PA'!$E$5:$E$2246='Analítico Cp.'!$B63),-('Diário 6º PA'!$Q$5:$Q$2246=E$1),('Diário 6º PA'!$F$5:$F$2246))
+SUMPRODUCT(-('Diário 7º PA'!$E$5:$E$2271='Analítico Cp.'!$B63),-('Diário 7º PA'!$Q$5:$Q$2271=E$1),('Diário 7º PA'!$F$5:$F$2271))
+SUMPRODUCT(-('Diário 8º PA'!$E$5:$E$2488='Analítico Cp.'!$B63),-('Diário 8º PA'!$Q$5:$Q$2488=E$1),('Diário 8º PA'!$F$5:$F$2488))
+SUMPRODUCT(-('Comp.'!$D$5:$D$313='Analítico Cp.'!$B63),-('Comp.'!$R$5:$R$313=E$1),('Comp.'!$E$5:$E$313))</f>
        <v>287.46999999999997</v>
      </c>
      <c r="F63" s="185">
        <f>SUMPRODUCT(-('Diário 5º PA'!$E$5:$E$2634='Analítico Cp.'!$B63),-('Diário 5º PA'!$Q$5:$Q$2634=F$1),('Diário 5º PA'!$F$5:$F$2634))
+SUMPRODUCT(-('Diário 6º PA'!$E$5:$E$2246='Analítico Cp.'!$B63),-('Diário 6º PA'!$Q$5:$Q$2246=F$1),('Diário 6º PA'!$F$5:$F$2246))
+SUMPRODUCT(-('Diário 7º PA'!$E$5:$E$2271='Analítico Cp.'!$B63),-('Diário 7º PA'!$Q$5:$Q$2271=F$1),('Diário 7º PA'!$F$5:$F$2271))
+SUMPRODUCT(-('Diário 8º PA'!$E$5:$E$2488='Analítico Cp.'!$B63),-('Diário 8º PA'!$Q$5:$Q$2488=F$1),('Diário 8º PA'!$F$5:$F$2488))
+SUMPRODUCT(-('Comp.'!$D$5:$D$313='Analítico Cp.'!$B63),-('Comp.'!$R$5:$R$313=F$1),('Comp.'!$E$5:$E$313))</f>
        <v>287.99</v>
      </c>
      <c r="G63" s="185">
        <f>SUMPRODUCT(-('Diário 5º PA'!$E$5:$E$2634='Analítico Cp.'!$B63),-('Diário 5º PA'!$Q$5:$Q$2634=G$1),('Diário 5º PA'!$F$5:$F$2634))
+SUMPRODUCT(-('Diário 6º PA'!$E$5:$E$2246='Analítico Cp.'!$B63),-('Diário 6º PA'!$Q$5:$Q$2246=G$1),('Diário 6º PA'!$F$5:$F$2246))
+SUMPRODUCT(-('Diário 7º PA'!$E$5:$E$2271='Analítico Cp.'!$B63),-('Diário 7º PA'!$Q$5:$Q$2271=G$1),('Diário 7º PA'!$F$5:$F$2271))
+SUMPRODUCT(-('Diário 8º PA'!$E$5:$E$2488='Analítico Cp.'!$B63),-('Diário 8º PA'!$Q$5:$Q$2488=G$1),('Diário 8º PA'!$F$5:$F$2488))
+SUMPRODUCT(-('Comp.'!$D$5:$D$313='Analítico Cp.'!$B63),-('Comp.'!$R$5:$R$313=G$1),('Comp.'!$E$5:$E$313))</f>
        <v>362.87</v>
      </c>
      <c r="H63" s="185">
        <f>SUMPRODUCT(-('Diário 5º PA'!$E$5:$E$2634='Analítico Cp.'!$B63),-('Diário 5º PA'!$Q$5:$Q$2634=H$1),('Diário 5º PA'!$F$5:$F$2634))
+SUMPRODUCT(-('Diário 6º PA'!$E$5:$E$2246='Analítico Cp.'!$B63),-('Diário 6º PA'!$Q$5:$Q$2246=H$1),('Diário 6º PA'!$F$5:$F$2246))
+SUMPRODUCT(-('Diário 7º PA'!$E$5:$E$2271='Analítico Cp.'!$B63),-('Diário 7º PA'!$Q$5:$Q$2271=H$1),('Diário 7º PA'!$F$5:$F$2271))
+SUMPRODUCT(-('Diário 8º PA'!$E$5:$E$2488='Analítico Cp.'!$B63),-('Diário 8º PA'!$Q$5:$Q$2488=H$1),('Diário 8º PA'!$F$5:$F$2488))
+SUMPRODUCT(-('Comp.'!$D$5:$D$313='Analítico Cp.'!$B63),-('Comp.'!$R$5:$R$313=H$1),('Comp.'!$E$5:$E$313))</f>
        <v>288.8</v>
      </c>
      <c r="I63" s="185">
        <f>SUMPRODUCT(-('Diário 5º PA'!$E$5:$E$2634='Analítico Cp.'!$B63),-('Diário 5º PA'!$Q$5:$Q$2634=I$1),('Diário 5º PA'!$F$5:$F$2634))
+SUMPRODUCT(-('Diário 6º PA'!$E$5:$E$2246='Analítico Cp.'!$B63),-('Diário 6º PA'!$Q$5:$Q$2246=I$1),('Diário 6º PA'!$F$5:$F$2246))
+SUMPRODUCT(-('Diário 7º PA'!$E$5:$E$2271='Analítico Cp.'!$B63),-('Diário 7º PA'!$Q$5:$Q$2271=I$1),('Diário 7º PA'!$F$5:$F$2271))
+SUMPRODUCT(-('Diário 8º PA'!$E$5:$E$2488='Analítico Cp.'!$B63),-('Diário 8º PA'!$Q$5:$Q$2488=I$1),('Diário 8º PA'!$F$5:$F$2488))
+SUMPRODUCT(-('Comp.'!$D$5:$D$313='Analítico Cp.'!$B63),-('Comp.'!$R$5:$R$313=I$1),('Comp.'!$E$5:$E$313))</f>
        <v>291.64999999999998</v>
      </c>
      <c r="J63" s="185">
        <f>SUMPRODUCT(-('Diário 5º PA'!$E$5:$E$2634='Analítico Cp.'!$B63),-('Diário 5º PA'!$Q$5:$Q$2634=J$1),('Diário 5º PA'!$F$5:$F$2634))
+SUMPRODUCT(-('Diário 6º PA'!$E$5:$E$2246='Analítico Cp.'!$B63),-('Diário 6º PA'!$Q$5:$Q$2246=J$1),('Diário 6º PA'!$F$5:$F$2246))
+SUMPRODUCT(-('Diário 7º PA'!$E$5:$E$2271='Analítico Cp.'!$B63),-('Diário 7º PA'!$Q$5:$Q$2271=J$1),('Diário 7º PA'!$F$5:$F$2271))
+SUMPRODUCT(-('Diário 8º PA'!$E$5:$E$2488='Analítico Cp.'!$B63),-('Diário 8º PA'!$Q$5:$Q$2488=J$1),('Diário 8º PA'!$F$5:$F$2488))
+SUMPRODUCT(-('Comp.'!$D$5:$D$313='Analítico Cp.'!$B63),-('Comp.'!$R$5:$R$313=J$1),('Comp.'!$E$5:$E$313))</f>
        <v>292.09000000000003</v>
      </c>
      <c r="K63" s="185">
        <f>SUMPRODUCT(-('Diário 5º PA'!$E$5:$E$2634='Analítico Cp.'!$B63),-('Diário 5º PA'!$Q$5:$Q$2634=K$1),('Diário 5º PA'!$F$5:$F$2634))
+SUMPRODUCT(-('Diário 6º PA'!$E$5:$E$2246='Analítico Cp.'!$B63),-('Diário 6º PA'!$Q$5:$Q$2246=K$1),('Diário 6º PA'!$F$5:$F$2246))
+SUMPRODUCT(-('Diário 7º PA'!$E$5:$E$2271='Analítico Cp.'!$B63),-('Diário 7º PA'!$Q$5:$Q$2271=K$1),('Diário 7º PA'!$F$5:$F$2271))
+SUMPRODUCT(-('Diário 8º PA'!$E$5:$E$2488='Analítico Cp.'!$B63),-('Diário 8º PA'!$Q$5:$Q$2488=K$1),('Diário 8º PA'!$F$5:$F$2488))
+SUMPRODUCT(-('Comp.'!$D$5:$D$313='Analítico Cp.'!$B63),-('Comp.'!$R$5:$R$313=K$1),('Comp.'!$E$5:$E$313))</f>
        <v>383.81</v>
      </c>
      <c r="L63" s="185">
        <f>SUMPRODUCT(-('Diário 5º PA'!$E$5:$E$2634='Analítico Cp.'!$B63),-('Diário 5º PA'!$Q$5:$Q$2634=L$1),('Diário 5º PA'!$F$5:$F$2634))
+SUMPRODUCT(-('Diário 6º PA'!$E$5:$E$2246='Analítico Cp.'!$B63),-('Diário 6º PA'!$Q$5:$Q$2246=L$1),('Diário 6º PA'!$F$5:$F$2246))
+SUMPRODUCT(-('Diário 7º PA'!$E$5:$E$2271='Analítico Cp.'!$B63),-('Diário 7º PA'!$Q$5:$Q$2271=L$1),('Diário 7º PA'!$F$5:$F$2271))
+SUMPRODUCT(-('Diário 8º PA'!$E$5:$E$2488='Analítico Cp.'!$B63),-('Diário 8º PA'!$Q$5:$Q$2488=L$1),('Diário 8º PA'!$F$5:$F$2488))
+SUMPRODUCT(-('Comp.'!$D$5:$D$313='Analítico Cp.'!$B63),-('Comp.'!$R$5:$R$313=L$1),('Comp.'!$E$5:$E$313))</f>
        <v>257.39</v>
      </c>
      <c r="M63" s="185">
        <f>SUMPRODUCT(-('Diário 5º PA'!$E$5:$E$2634='Analítico Cp.'!$B63),-('Diário 5º PA'!$Q$5:$Q$2634=M$1),('Diário 5º PA'!$F$5:$F$2634))
+SUMPRODUCT(-('Diário 6º PA'!$E$5:$E$2246='Analítico Cp.'!$B63),-('Diário 6º PA'!$Q$5:$Q$2246=M$1),('Diário 6º PA'!$F$5:$F$2246))
+SUMPRODUCT(-('Diário 7º PA'!$E$5:$E$2271='Analítico Cp.'!$B63),-('Diário 7º PA'!$Q$5:$Q$2271=M$1),('Diário 7º PA'!$F$5:$F$2271))
+SUMPRODUCT(-('Diário 8º PA'!$E$5:$E$2488='Analítico Cp.'!$B63),-('Diário 8º PA'!$Q$5:$Q$2488=M$1),('Diário 8º PA'!$F$5:$F$2488))
+SUMPRODUCT(-('Comp.'!$D$5:$D$313='Analítico Cp.'!$B63),-('Comp.'!$R$5:$R$313=M$1),('Comp.'!$E$5:$E$313))</f>
        <v>529.73</v>
      </c>
      <c r="N63" s="185">
        <f>SUMPRODUCT(-('Diário 5º PA'!$E$5:$E$2634='Analítico Cp.'!$B63),-('Diário 5º PA'!$Q$5:$Q$2634=N$1),('Diário 5º PA'!$F$5:$F$2634))
+SUMPRODUCT(-('Diário 6º PA'!$E$5:$E$2246='Analítico Cp.'!$B63),-('Diário 6º PA'!$Q$5:$Q$2246=N$1),('Diário 6º PA'!$F$5:$F$2246))
+SUMPRODUCT(-('Diário 7º PA'!$E$5:$E$2271='Analítico Cp.'!$B63),-('Diário 7º PA'!$Q$5:$Q$2271=N$1),('Diário 7º PA'!$F$5:$F$2271))
+SUMPRODUCT(-('Diário 8º PA'!$E$5:$E$2488='Analítico Cp.'!$B63),-('Diário 8º PA'!$Q$5:$Q$2488=N$1),('Diário 8º PA'!$F$5:$F$2488))
+SUMPRODUCT(-('Comp.'!$D$5:$D$313='Analítico Cp.'!$B63),-('Comp.'!$R$5:$R$313=N$1),('Comp.'!$E$5:$E$313))</f>
        <v>381.87</v>
      </c>
      <c r="O63" s="186">
        <f t="shared" si="16"/>
        <v>4103.7699999999995</v>
      </c>
      <c r="P63" s="187">
        <f t="shared" si="17"/>
        <v>4.2328810689115388E-4</v>
      </c>
      <c r="Q63" s="34"/>
      <c r="R63" s="34"/>
      <c r="S63" s="34"/>
      <c r="T63" s="34"/>
      <c r="U63" s="34"/>
      <c r="V63" s="34"/>
      <c r="W63" s="34"/>
      <c r="X63" s="34"/>
      <c r="Y63" s="34"/>
      <c r="Z63" s="34"/>
    </row>
    <row r="64" spans="1:26" ht="23.25" customHeight="1" x14ac:dyDescent="0.2">
      <c r="A64" s="203" t="s">
        <v>225</v>
      </c>
      <c r="B64" s="72" t="s">
        <v>226</v>
      </c>
      <c r="C64" s="185">
        <f>SUMPRODUCT(-('Diário 5º PA'!$E$5:$E$2634='Analítico Cp.'!$B64),-('Diário 5º PA'!$Q$5:$Q$2634=C$1),('Diário 5º PA'!$F$5:$F$2634))
+SUMPRODUCT(-('Diário 6º PA'!$E$5:$E$2246='Analítico Cp.'!$B64),-('Diário 6º PA'!$Q$5:$Q$2246=C$1),('Diário 6º PA'!$F$5:$F$2246))
+SUMPRODUCT(-('Diário 7º PA'!$E$5:$E$2271='Analítico Cp.'!$B64),-('Diário 7º PA'!$Q$5:$Q$2271=C$1),('Diário 7º PA'!$F$5:$F$2271))
+SUMPRODUCT(-('Diário 8º PA'!$E$5:$E$2488='Analítico Cp.'!$B64),-('Diário 8º PA'!$Q$5:$Q$2488=C$1),('Diário 8º PA'!$F$5:$F$2488))
+SUMPRODUCT(-('Comp.'!$D$5:$D$313='Analítico Cp.'!$B64),-('Comp.'!$R$5:$R$313=C$1),('Comp.'!$E$5:$E$313))</f>
        <v>1890</v>
      </c>
      <c r="D64" s="185">
        <f>SUMPRODUCT(-('Diário 5º PA'!$E$5:$E$2634='Analítico Cp.'!$B64),-('Diário 5º PA'!$Q$5:$Q$2634=D$1),('Diário 5º PA'!$F$5:$F$2634))
+SUMPRODUCT(-('Diário 6º PA'!$E$5:$E$2246='Analítico Cp.'!$B64),-('Diário 6º PA'!$Q$5:$Q$2246=D$1),('Diário 6º PA'!$F$5:$F$2246))
+SUMPRODUCT(-('Diário 7º PA'!$E$5:$E$2271='Analítico Cp.'!$B64),-('Diário 7º PA'!$Q$5:$Q$2271=D$1),('Diário 7º PA'!$F$5:$F$2271))
+SUMPRODUCT(-('Diário 8º PA'!$E$5:$E$2488='Analítico Cp.'!$B64),-('Diário 8º PA'!$Q$5:$Q$2488=D$1),('Diário 8º PA'!$F$5:$F$2488))
+SUMPRODUCT(-('Comp.'!$D$5:$D$313='Analítico Cp.'!$B64),-('Comp.'!$R$5:$R$313=D$1),('Comp.'!$E$5:$E$313))</f>
        <v>1890</v>
      </c>
      <c r="E64" s="185">
        <f>SUMPRODUCT(-('Diário 5º PA'!$E$5:$E$2634='Analítico Cp.'!$B64),-('Diário 5º PA'!$Q$5:$Q$2634=E$1),('Diário 5º PA'!$F$5:$F$2634))
+SUMPRODUCT(-('Diário 6º PA'!$E$5:$E$2246='Analítico Cp.'!$B64),-('Diário 6º PA'!$Q$5:$Q$2246=E$1),('Diário 6º PA'!$F$5:$F$2246))
+SUMPRODUCT(-('Diário 7º PA'!$E$5:$E$2271='Analítico Cp.'!$B64),-('Diário 7º PA'!$Q$5:$Q$2271=E$1),('Diário 7º PA'!$F$5:$F$2271))
+SUMPRODUCT(-('Diário 8º PA'!$E$5:$E$2488='Analítico Cp.'!$B64),-('Diário 8º PA'!$Q$5:$Q$2488=E$1),('Diário 8º PA'!$F$5:$F$2488))
+SUMPRODUCT(-('Comp.'!$D$5:$D$313='Analítico Cp.'!$B64),-('Comp.'!$R$5:$R$313=E$1),('Comp.'!$E$5:$E$313))</f>
        <v>1889.9999999999998</v>
      </c>
      <c r="F64" s="185">
        <f>SUMPRODUCT(-('Diário 5º PA'!$E$5:$E$2634='Analítico Cp.'!$B64),-('Diário 5º PA'!$Q$5:$Q$2634=F$1),('Diário 5º PA'!$F$5:$F$2634))
+SUMPRODUCT(-('Diário 6º PA'!$E$5:$E$2246='Analítico Cp.'!$B64),-('Diário 6º PA'!$Q$5:$Q$2246=F$1),('Diário 6º PA'!$F$5:$F$2246))
+SUMPRODUCT(-('Diário 7º PA'!$E$5:$E$2271='Analítico Cp.'!$B64),-('Diário 7º PA'!$Q$5:$Q$2271=F$1),('Diário 7º PA'!$F$5:$F$2271))
+SUMPRODUCT(-('Diário 8º PA'!$E$5:$E$2488='Analítico Cp.'!$B64),-('Diário 8º PA'!$Q$5:$Q$2488=F$1),('Diário 8º PA'!$F$5:$F$2488))
+SUMPRODUCT(-('Comp.'!$D$5:$D$313='Analítico Cp.'!$B64),-('Comp.'!$R$5:$R$313=F$1),('Comp.'!$E$5:$E$313))</f>
        <v>0</v>
      </c>
      <c r="G64" s="185">
        <f>SUMPRODUCT(-('Diário 5º PA'!$E$5:$E$2634='Analítico Cp.'!$B64),-('Diário 5º PA'!$Q$5:$Q$2634=G$1),('Diário 5º PA'!$F$5:$F$2634))
+SUMPRODUCT(-('Diário 6º PA'!$E$5:$E$2246='Analítico Cp.'!$B64),-('Diário 6º PA'!$Q$5:$Q$2246=G$1),('Diário 6º PA'!$F$5:$F$2246))
+SUMPRODUCT(-('Diário 7º PA'!$E$5:$E$2271='Analítico Cp.'!$B64),-('Diário 7º PA'!$Q$5:$Q$2271=G$1),('Diário 7º PA'!$F$5:$F$2271))
+SUMPRODUCT(-('Diário 8º PA'!$E$5:$E$2488='Analítico Cp.'!$B64),-('Diário 8º PA'!$Q$5:$Q$2488=G$1),('Diário 8º PA'!$F$5:$F$2488))
+SUMPRODUCT(-('Comp.'!$D$5:$D$313='Analítico Cp.'!$B64),-('Comp.'!$R$5:$R$313=G$1),('Comp.'!$E$5:$E$313))</f>
        <v>1957.9899999999998</v>
      </c>
      <c r="H64" s="185">
        <f>SUMPRODUCT(-('Diário 5º PA'!$E$5:$E$2634='Analítico Cp.'!$B64),-('Diário 5º PA'!$Q$5:$Q$2634=H$1),('Diário 5º PA'!$F$5:$F$2634))
+SUMPRODUCT(-('Diário 6º PA'!$E$5:$E$2246='Analítico Cp.'!$B64),-('Diário 6º PA'!$Q$5:$Q$2246=H$1),('Diário 6º PA'!$F$5:$F$2246))
+SUMPRODUCT(-('Diário 7º PA'!$E$5:$E$2271='Analítico Cp.'!$B64),-('Diário 7º PA'!$Q$5:$Q$2271=H$1),('Diário 7º PA'!$F$5:$F$2271))
+SUMPRODUCT(-('Diário 8º PA'!$E$5:$E$2488='Analítico Cp.'!$B64),-('Diário 8º PA'!$Q$5:$Q$2488=H$1),('Diário 8º PA'!$F$5:$F$2488))
+SUMPRODUCT(-('Comp.'!$D$5:$D$313='Analítico Cp.'!$B64),-('Comp.'!$R$5:$R$313=H$1),('Comp.'!$E$5:$E$313))</f>
        <v>1788.24</v>
      </c>
      <c r="I64" s="185">
        <f>SUMPRODUCT(-('Diário 5º PA'!$E$5:$E$2634='Analítico Cp.'!$B64),-('Diário 5º PA'!$Q$5:$Q$2634=I$1),('Diário 5º PA'!$F$5:$F$2634))
+SUMPRODUCT(-('Diário 6º PA'!$E$5:$E$2246='Analítico Cp.'!$B64),-('Diário 6º PA'!$Q$5:$Q$2246=I$1),('Diário 6º PA'!$F$5:$F$2246))
+SUMPRODUCT(-('Diário 7º PA'!$E$5:$E$2271='Analítico Cp.'!$B64),-('Diário 7º PA'!$Q$5:$Q$2271=I$1),('Diário 7º PA'!$F$5:$F$2271))
+SUMPRODUCT(-('Diário 8º PA'!$E$5:$E$2488='Analítico Cp.'!$B64),-('Diário 8º PA'!$Q$5:$Q$2488=I$1),('Diário 8º PA'!$F$5:$F$2488))
+SUMPRODUCT(-('Comp.'!$D$5:$D$313='Analítico Cp.'!$B64),-('Comp.'!$R$5:$R$313=I$1),('Comp.'!$E$5:$E$313))</f>
        <v>318.52999999999997</v>
      </c>
      <c r="J64" s="185">
        <f>SUMPRODUCT(-('Diário 5º PA'!$E$5:$E$2634='Analítico Cp.'!$B64),-('Diário 5º PA'!$Q$5:$Q$2634=J$1),('Diário 5º PA'!$F$5:$F$2634))
+SUMPRODUCT(-('Diário 6º PA'!$E$5:$E$2246='Analítico Cp.'!$B64),-('Diário 6º PA'!$Q$5:$Q$2246=J$1),('Diário 6º PA'!$F$5:$F$2246))
+SUMPRODUCT(-('Diário 7º PA'!$E$5:$E$2271='Analítico Cp.'!$B64),-('Diário 7º PA'!$Q$5:$Q$2271=J$1),('Diário 7º PA'!$F$5:$F$2271))
+SUMPRODUCT(-('Diário 8º PA'!$E$5:$E$2488='Analítico Cp.'!$B64),-('Diário 8º PA'!$Q$5:$Q$2488=J$1),('Diário 8º PA'!$F$5:$F$2488))
+SUMPRODUCT(-('Comp.'!$D$5:$D$313='Analítico Cp.'!$B64),-('Comp.'!$R$5:$R$313=J$1),('Comp.'!$E$5:$E$313))</f>
        <v>3768</v>
      </c>
      <c r="K64" s="185">
        <f>SUMPRODUCT(-('Diário 5º PA'!$E$5:$E$2634='Analítico Cp.'!$B64),-('Diário 5º PA'!$Q$5:$Q$2634=K$1),('Diário 5º PA'!$F$5:$F$2634))
+SUMPRODUCT(-('Diário 6º PA'!$E$5:$E$2246='Analítico Cp.'!$B64),-('Diário 6º PA'!$Q$5:$Q$2246=K$1),('Diário 6º PA'!$F$5:$F$2246))
+SUMPRODUCT(-('Diário 7º PA'!$E$5:$E$2271='Analítico Cp.'!$B64),-('Diário 7º PA'!$Q$5:$Q$2271=K$1),('Diário 7º PA'!$F$5:$F$2271))
+SUMPRODUCT(-('Diário 8º PA'!$E$5:$E$2488='Analítico Cp.'!$B64),-('Diário 8º PA'!$Q$5:$Q$2488=K$1),('Diário 8º PA'!$F$5:$F$2488))
+SUMPRODUCT(-('Comp.'!$D$5:$D$313='Analítico Cp.'!$B64),-('Comp.'!$R$5:$R$313=K$1),('Comp.'!$E$5:$E$313))</f>
        <v>5298.21</v>
      </c>
      <c r="L64" s="185">
        <f>SUMPRODUCT(-('Diário 5º PA'!$E$5:$E$2634='Analítico Cp.'!$B64),-('Diário 5º PA'!$Q$5:$Q$2634=L$1),('Diário 5º PA'!$F$5:$F$2634))
+SUMPRODUCT(-('Diário 6º PA'!$E$5:$E$2246='Analítico Cp.'!$B64),-('Diário 6º PA'!$Q$5:$Q$2246=L$1),('Diário 6º PA'!$F$5:$F$2246))
+SUMPRODUCT(-('Diário 7º PA'!$E$5:$E$2271='Analítico Cp.'!$B64),-('Diário 7º PA'!$Q$5:$Q$2271=L$1),('Diário 7º PA'!$F$5:$F$2271))
+SUMPRODUCT(-('Diário 8º PA'!$E$5:$E$2488='Analítico Cp.'!$B64),-('Diário 8º PA'!$Q$5:$Q$2488=L$1),('Diário 8º PA'!$F$5:$F$2488))
+SUMPRODUCT(-('Comp.'!$D$5:$D$313='Analítico Cp.'!$B64),-('Comp.'!$R$5:$R$313=L$1),('Comp.'!$E$5:$E$313))</f>
        <v>93.789999999999992</v>
      </c>
      <c r="M64" s="185">
        <f>SUMPRODUCT(-('Diário 5º PA'!$E$5:$E$2634='Analítico Cp.'!$B64),-('Diário 5º PA'!$Q$5:$Q$2634=M$1),('Diário 5º PA'!$F$5:$F$2634))
+SUMPRODUCT(-('Diário 6º PA'!$E$5:$E$2246='Analítico Cp.'!$B64),-('Diário 6º PA'!$Q$5:$Q$2246=M$1),('Diário 6º PA'!$F$5:$F$2246))
+SUMPRODUCT(-('Diário 7º PA'!$E$5:$E$2271='Analítico Cp.'!$B64),-('Diário 7º PA'!$Q$5:$Q$2271=M$1),('Diário 7º PA'!$F$5:$F$2271))
+SUMPRODUCT(-('Diário 8º PA'!$E$5:$E$2488='Analítico Cp.'!$B64),-('Diário 8º PA'!$Q$5:$Q$2488=M$1),('Diário 8º PA'!$F$5:$F$2488))
+SUMPRODUCT(-('Comp.'!$D$5:$D$313='Analítico Cp.'!$B64),-('Comp.'!$R$5:$R$313=M$1),('Comp.'!$E$5:$E$313))</f>
        <v>0</v>
      </c>
      <c r="N64" s="185">
        <f>SUMPRODUCT(-('Diário 5º PA'!$E$5:$E$2634='Analítico Cp.'!$B64),-('Diário 5º PA'!$Q$5:$Q$2634=N$1),('Diário 5º PA'!$F$5:$F$2634))
+SUMPRODUCT(-('Diário 6º PA'!$E$5:$E$2246='Analítico Cp.'!$B64),-('Diário 6º PA'!$Q$5:$Q$2246=N$1),('Diário 6º PA'!$F$5:$F$2246))
+SUMPRODUCT(-('Diário 7º PA'!$E$5:$E$2271='Analítico Cp.'!$B64),-('Diário 7º PA'!$Q$5:$Q$2271=N$1),('Diário 7º PA'!$F$5:$F$2271))
+SUMPRODUCT(-('Diário 8º PA'!$E$5:$E$2488='Analítico Cp.'!$B64),-('Diário 8º PA'!$Q$5:$Q$2488=N$1),('Diário 8º PA'!$F$5:$F$2488))
+SUMPRODUCT(-('Comp.'!$D$5:$D$313='Analítico Cp.'!$B64),-('Comp.'!$R$5:$R$313=N$1),('Comp.'!$E$5:$E$313))</f>
        <v>0</v>
      </c>
      <c r="O64" s="186">
        <f t="shared" si="16"/>
        <v>18894.760000000002</v>
      </c>
      <c r="P64" s="187">
        <f t="shared" si="17"/>
        <v>1.9489218914711841E-3</v>
      </c>
      <c r="Q64" s="34"/>
      <c r="R64" s="34"/>
      <c r="S64" s="34"/>
      <c r="T64" s="34"/>
      <c r="U64" s="34"/>
      <c r="V64" s="34"/>
      <c r="W64" s="34"/>
      <c r="X64" s="34"/>
      <c r="Y64" s="34"/>
      <c r="Z64" s="34"/>
    </row>
    <row r="65" spans="1:26" ht="23.25" customHeight="1" x14ac:dyDescent="0.2">
      <c r="A65" s="203" t="s">
        <v>227</v>
      </c>
      <c r="B65" s="72" t="s">
        <v>228</v>
      </c>
      <c r="C65" s="185">
        <f>SUMPRODUCT(-('Diário 5º PA'!$E$5:$E$2634='Analítico Cp.'!$B65),-('Diário 5º PA'!$Q$5:$Q$2634=C$1),('Diário 5º PA'!$F$5:$F$2634))
+SUMPRODUCT(-('Diário 6º PA'!$E$5:$E$2246='Analítico Cp.'!$B65),-('Diário 6º PA'!$Q$5:$Q$2246=C$1),('Diário 6º PA'!$F$5:$F$2246))
+SUMPRODUCT(-('Diário 7º PA'!$E$5:$E$2271='Analítico Cp.'!$B65),-('Diário 7º PA'!$Q$5:$Q$2271=C$1),('Diário 7º PA'!$F$5:$F$2271))
+SUMPRODUCT(-('Diário 8º PA'!$E$5:$E$2488='Analítico Cp.'!$B65),-('Diário 8º PA'!$Q$5:$Q$2488=C$1),('Diário 8º PA'!$F$5:$F$2488))
+SUMPRODUCT(-('Comp.'!$D$5:$D$313='Analítico Cp.'!$B65),-('Comp.'!$R$5:$R$313=C$1),('Comp.'!$E$5:$E$313))</f>
        <v>6652.1</v>
      </c>
      <c r="D65" s="185">
        <f>SUMPRODUCT(-('Diário 5º PA'!$E$5:$E$2634='Analítico Cp.'!$B65),-('Diário 5º PA'!$Q$5:$Q$2634=D$1),('Diário 5º PA'!$F$5:$F$2634))
+SUMPRODUCT(-('Diário 6º PA'!$E$5:$E$2246='Analítico Cp.'!$B65),-('Diário 6º PA'!$Q$5:$Q$2246=D$1),('Diário 6º PA'!$F$5:$F$2246))
+SUMPRODUCT(-('Diário 7º PA'!$E$5:$E$2271='Analítico Cp.'!$B65),-('Diário 7º PA'!$Q$5:$Q$2271=D$1),('Diário 7º PA'!$F$5:$F$2271))
+SUMPRODUCT(-('Diário 8º PA'!$E$5:$E$2488='Analítico Cp.'!$B65),-('Diário 8º PA'!$Q$5:$Q$2488=D$1),('Diário 8º PA'!$F$5:$F$2488))
+SUMPRODUCT(-('Comp.'!$D$5:$D$313='Analítico Cp.'!$B65),-('Comp.'!$R$5:$R$313=D$1),('Comp.'!$E$5:$E$313))</f>
        <v>6406.45</v>
      </c>
      <c r="E65" s="185">
        <f>SUMPRODUCT(-('Diário 5º PA'!$E$5:$E$2634='Analítico Cp.'!$B65),-('Diário 5º PA'!$Q$5:$Q$2634=E$1),('Diário 5º PA'!$F$5:$F$2634))
+SUMPRODUCT(-('Diário 6º PA'!$E$5:$E$2246='Analítico Cp.'!$B65),-('Diário 6º PA'!$Q$5:$Q$2246=E$1),('Diário 6º PA'!$F$5:$F$2246))
+SUMPRODUCT(-('Diário 7º PA'!$E$5:$E$2271='Analítico Cp.'!$B65),-('Diário 7º PA'!$Q$5:$Q$2271=E$1),('Diário 7º PA'!$F$5:$F$2271))
+SUMPRODUCT(-('Diário 8º PA'!$E$5:$E$2488='Analítico Cp.'!$B65),-('Diário 8º PA'!$Q$5:$Q$2488=E$1),('Diário 8º PA'!$F$5:$F$2488))
+SUMPRODUCT(-('Comp.'!$D$5:$D$313='Analítico Cp.'!$B65),-('Comp.'!$R$5:$R$313=E$1),('Comp.'!$E$5:$E$313))</f>
        <v>6255.15</v>
      </c>
      <c r="F65" s="185">
        <f>SUMPRODUCT(-('Diário 5º PA'!$E$5:$E$2634='Analítico Cp.'!$B65),-('Diário 5º PA'!$Q$5:$Q$2634=F$1),('Diário 5º PA'!$F$5:$F$2634))
+SUMPRODUCT(-('Diário 6º PA'!$E$5:$E$2246='Analítico Cp.'!$B65),-('Diário 6º PA'!$Q$5:$Q$2246=F$1),('Diário 6º PA'!$F$5:$F$2246))
+SUMPRODUCT(-('Diário 7º PA'!$E$5:$E$2271='Analítico Cp.'!$B65),-('Diário 7º PA'!$Q$5:$Q$2271=F$1),('Diário 7º PA'!$F$5:$F$2271))
+SUMPRODUCT(-('Diário 8º PA'!$E$5:$E$2488='Analítico Cp.'!$B65),-('Diário 8º PA'!$Q$5:$Q$2488=F$1),('Diário 8º PA'!$F$5:$F$2488))
+SUMPRODUCT(-('Comp.'!$D$5:$D$313='Analítico Cp.'!$B65),-('Comp.'!$R$5:$R$313=F$1),('Comp.'!$E$5:$E$313))</f>
        <v>6255.15</v>
      </c>
      <c r="G65" s="185">
        <f>SUMPRODUCT(-('Diário 5º PA'!$E$5:$E$2634='Analítico Cp.'!$B65),-('Diário 5º PA'!$Q$5:$Q$2634=G$1),('Diário 5º PA'!$F$5:$F$2634))
+SUMPRODUCT(-('Diário 6º PA'!$E$5:$E$2246='Analítico Cp.'!$B65),-('Diário 6º PA'!$Q$5:$Q$2246=G$1),('Diário 6º PA'!$F$5:$F$2246))
+SUMPRODUCT(-('Diário 7º PA'!$E$5:$E$2271='Analítico Cp.'!$B65),-('Diário 7º PA'!$Q$5:$Q$2271=G$1),('Diário 7º PA'!$F$5:$F$2271))
+SUMPRODUCT(-('Diário 8º PA'!$E$5:$E$2488='Analítico Cp.'!$B65),-('Diário 8º PA'!$Q$5:$Q$2488=G$1),('Diário 8º PA'!$F$5:$F$2488))
+SUMPRODUCT(-('Comp.'!$D$5:$D$313='Analítico Cp.'!$B65),-('Comp.'!$R$5:$R$313=G$1),('Comp.'!$E$5:$E$313))</f>
        <v>6255.15</v>
      </c>
      <c r="H65" s="185">
        <f>SUMPRODUCT(-('Diário 5º PA'!$E$5:$E$2634='Analítico Cp.'!$B65),-('Diário 5º PA'!$Q$5:$Q$2634=H$1),('Diário 5º PA'!$F$5:$F$2634))
+SUMPRODUCT(-('Diário 6º PA'!$E$5:$E$2246='Analítico Cp.'!$B65),-('Diário 6º PA'!$Q$5:$Q$2246=H$1),('Diário 6º PA'!$F$5:$F$2246))
+SUMPRODUCT(-('Diário 7º PA'!$E$5:$E$2271='Analítico Cp.'!$B65),-('Diário 7º PA'!$Q$5:$Q$2271=H$1),('Diário 7º PA'!$F$5:$F$2271))
+SUMPRODUCT(-('Diário 8º PA'!$E$5:$E$2488='Analítico Cp.'!$B65),-('Diário 8º PA'!$Q$5:$Q$2488=H$1),('Diário 8º PA'!$F$5:$F$2488))
+SUMPRODUCT(-('Comp.'!$D$5:$D$313='Analítico Cp.'!$B65),-('Comp.'!$R$5:$R$313=H$1),('Comp.'!$E$5:$E$313))</f>
        <v>6255.15</v>
      </c>
      <c r="I65" s="185">
        <f>SUMPRODUCT(-('Diário 5º PA'!$E$5:$E$2634='Analítico Cp.'!$B65),-('Diário 5º PA'!$Q$5:$Q$2634=I$1),('Diário 5º PA'!$F$5:$F$2634))
+SUMPRODUCT(-('Diário 6º PA'!$E$5:$E$2246='Analítico Cp.'!$B65),-('Diário 6º PA'!$Q$5:$Q$2246=I$1),('Diário 6º PA'!$F$5:$F$2246))
+SUMPRODUCT(-('Diário 7º PA'!$E$5:$E$2271='Analítico Cp.'!$B65),-('Diário 7º PA'!$Q$5:$Q$2271=I$1),('Diário 7º PA'!$F$5:$F$2271))
+SUMPRODUCT(-('Diário 8º PA'!$E$5:$E$2488='Analítico Cp.'!$B65),-('Diário 8º PA'!$Q$5:$Q$2488=I$1),('Diário 8º PA'!$F$5:$F$2488))
+SUMPRODUCT(-('Comp.'!$D$5:$D$313='Analítico Cp.'!$B65),-('Comp.'!$R$5:$R$313=I$1),('Comp.'!$E$5:$E$313))</f>
        <v>6255.15</v>
      </c>
      <c r="J65" s="185">
        <f>SUMPRODUCT(-('Diário 5º PA'!$E$5:$E$2634='Analítico Cp.'!$B65),-('Diário 5º PA'!$Q$5:$Q$2634=J$1),('Diário 5º PA'!$F$5:$F$2634))
+SUMPRODUCT(-('Diário 6º PA'!$E$5:$E$2246='Analítico Cp.'!$B65),-('Diário 6º PA'!$Q$5:$Q$2246=J$1),('Diário 6º PA'!$F$5:$F$2246))
+SUMPRODUCT(-('Diário 7º PA'!$E$5:$E$2271='Analítico Cp.'!$B65),-('Diário 7º PA'!$Q$5:$Q$2271=J$1),('Diário 7º PA'!$F$5:$F$2271))
+SUMPRODUCT(-('Diário 8º PA'!$E$5:$E$2488='Analítico Cp.'!$B65),-('Diário 8º PA'!$Q$5:$Q$2488=J$1),('Diário 8º PA'!$F$5:$F$2488))
+SUMPRODUCT(-('Comp.'!$D$5:$D$313='Analítico Cp.'!$B65),-('Comp.'!$R$5:$R$313=J$1),('Comp.'!$E$5:$E$313))</f>
        <v>3513.92</v>
      </c>
      <c r="K65" s="185">
        <f>SUMPRODUCT(-('Diário 5º PA'!$E$5:$E$2634='Analítico Cp.'!$B65),-('Diário 5º PA'!$Q$5:$Q$2634=K$1),('Diário 5º PA'!$F$5:$F$2634))
+SUMPRODUCT(-('Diário 6º PA'!$E$5:$E$2246='Analítico Cp.'!$B65),-('Diário 6º PA'!$Q$5:$Q$2246=K$1),('Diário 6º PA'!$F$5:$F$2246))
+SUMPRODUCT(-('Diário 7º PA'!$E$5:$E$2271='Analítico Cp.'!$B65),-('Diário 7º PA'!$Q$5:$Q$2271=K$1),('Diário 7º PA'!$F$5:$F$2271))
+SUMPRODUCT(-('Diário 8º PA'!$E$5:$E$2488='Analítico Cp.'!$B65),-('Diário 8º PA'!$Q$5:$Q$2488=K$1),('Diário 8º PA'!$F$5:$F$2488))
+SUMPRODUCT(-('Comp.'!$D$5:$D$313='Analítico Cp.'!$B65),-('Comp.'!$R$5:$R$313=K$1),('Comp.'!$E$5:$E$313))</f>
        <v>6255.15</v>
      </c>
      <c r="L65" s="185">
        <f>SUMPRODUCT(-('Diário 5º PA'!$E$5:$E$2634='Analítico Cp.'!$B65),-('Diário 5º PA'!$Q$5:$Q$2634=L$1),('Diário 5º PA'!$F$5:$F$2634))
+SUMPRODUCT(-('Diário 6º PA'!$E$5:$E$2246='Analítico Cp.'!$B65),-('Diário 6º PA'!$Q$5:$Q$2246=L$1),('Diário 6º PA'!$F$5:$F$2246))
+SUMPRODUCT(-('Diário 7º PA'!$E$5:$E$2271='Analítico Cp.'!$B65),-('Diário 7º PA'!$Q$5:$Q$2271=L$1),('Diário 7º PA'!$F$5:$F$2271))
+SUMPRODUCT(-('Diário 8º PA'!$E$5:$E$2488='Analítico Cp.'!$B65),-('Diário 8º PA'!$Q$5:$Q$2488=L$1),('Diário 8º PA'!$F$5:$F$2488))
+SUMPRODUCT(-('Comp.'!$D$5:$D$313='Analítico Cp.'!$B65),-('Comp.'!$R$5:$R$313=L$1),('Comp.'!$E$5:$E$313))</f>
        <v>0</v>
      </c>
      <c r="M65" s="185">
        <f>SUMPRODUCT(-('Diário 5º PA'!$E$5:$E$2634='Analítico Cp.'!$B65),-('Diário 5º PA'!$Q$5:$Q$2634=M$1),('Diário 5º PA'!$F$5:$F$2634))
+SUMPRODUCT(-('Diário 6º PA'!$E$5:$E$2246='Analítico Cp.'!$B65),-('Diário 6º PA'!$Q$5:$Q$2246=M$1),('Diário 6º PA'!$F$5:$F$2246))
+SUMPRODUCT(-('Diário 7º PA'!$E$5:$E$2271='Analítico Cp.'!$B65),-('Diário 7º PA'!$Q$5:$Q$2271=M$1),('Diário 7º PA'!$F$5:$F$2271))
+SUMPRODUCT(-('Diário 8º PA'!$E$5:$E$2488='Analítico Cp.'!$B65),-('Diário 8º PA'!$Q$5:$Q$2488=M$1),('Diário 8º PA'!$F$5:$F$2488))
+SUMPRODUCT(-('Comp.'!$D$5:$D$313='Analítico Cp.'!$B65),-('Comp.'!$R$5:$R$313=M$1),('Comp.'!$E$5:$E$313))</f>
        <v>0</v>
      </c>
      <c r="N65" s="185">
        <f>SUMPRODUCT(-('Diário 5º PA'!$E$5:$E$2634='Analítico Cp.'!$B65),-('Diário 5º PA'!$Q$5:$Q$2634=N$1),('Diário 5º PA'!$F$5:$F$2634))
+SUMPRODUCT(-('Diário 6º PA'!$E$5:$E$2246='Analítico Cp.'!$B65),-('Diário 6º PA'!$Q$5:$Q$2246=N$1),('Diário 6º PA'!$F$5:$F$2246))
+SUMPRODUCT(-('Diário 7º PA'!$E$5:$E$2271='Analítico Cp.'!$B65),-('Diário 7º PA'!$Q$5:$Q$2271=N$1),('Diário 7º PA'!$F$5:$F$2271))
+SUMPRODUCT(-('Diário 8º PA'!$E$5:$E$2488='Analítico Cp.'!$B65),-('Diário 8º PA'!$Q$5:$Q$2488=N$1),('Diário 8º PA'!$F$5:$F$2488))
+SUMPRODUCT(-('Comp.'!$D$5:$D$313='Analítico Cp.'!$B65),-('Comp.'!$R$5:$R$313=N$1),('Comp.'!$E$5:$E$313))</f>
        <v>3679.5</v>
      </c>
      <c r="O65" s="186">
        <f t="shared" si="16"/>
        <v>57782.87</v>
      </c>
      <c r="P65" s="187">
        <f t="shared" si="17"/>
        <v>5.9600810116155764E-3</v>
      </c>
      <c r="Q65" s="34"/>
      <c r="R65" s="34"/>
      <c r="S65" s="34"/>
      <c r="T65" s="34"/>
      <c r="U65" s="34"/>
      <c r="V65" s="34"/>
      <c r="W65" s="34"/>
      <c r="X65" s="34"/>
      <c r="Y65" s="34"/>
      <c r="Z65" s="34"/>
    </row>
    <row r="66" spans="1:26" ht="23.25" customHeight="1" x14ac:dyDescent="0.2">
      <c r="A66" s="203" t="s">
        <v>229</v>
      </c>
      <c r="B66" s="72" t="s">
        <v>230</v>
      </c>
      <c r="C66" s="185">
        <f>SUMPRODUCT(-('Diário 5º PA'!$E$5:$E$2634='Analítico Cp.'!$B66),-('Diário 5º PA'!$Q$5:$Q$2634=C$1),('Diário 5º PA'!$F$5:$F$2634))
+SUMPRODUCT(-('Diário 6º PA'!$E$5:$E$2246='Analítico Cp.'!$B66),-('Diário 6º PA'!$Q$5:$Q$2246=C$1),('Diário 6º PA'!$F$5:$F$2246))
+SUMPRODUCT(-('Diário 7º PA'!$E$5:$E$2271='Analítico Cp.'!$B66),-('Diário 7º PA'!$Q$5:$Q$2271=C$1),('Diário 7º PA'!$F$5:$F$2271))
+SUMPRODUCT(-('Diário 8º PA'!$E$5:$E$2488='Analítico Cp.'!$B66),-('Diário 8º PA'!$Q$5:$Q$2488=C$1),('Diário 8º PA'!$F$5:$F$2488))
+SUMPRODUCT(-('Comp.'!$D$5:$D$313='Analítico Cp.'!$B66),-('Comp.'!$R$5:$R$313=C$1),('Comp.'!$E$5:$E$313))</f>
        <v>4493.7300000000005</v>
      </c>
      <c r="D66" s="185">
        <f>SUMPRODUCT(-('Diário 5º PA'!$E$5:$E$2634='Analítico Cp.'!$B66),-('Diário 5º PA'!$Q$5:$Q$2634=D$1),('Diário 5º PA'!$F$5:$F$2634))
+SUMPRODUCT(-('Diário 6º PA'!$E$5:$E$2246='Analítico Cp.'!$B66),-('Diário 6º PA'!$Q$5:$Q$2246=D$1),('Diário 6º PA'!$F$5:$F$2246))
+SUMPRODUCT(-('Diário 7º PA'!$E$5:$E$2271='Analítico Cp.'!$B66),-('Diário 7º PA'!$Q$5:$Q$2271=D$1),('Diário 7º PA'!$F$5:$F$2271))
+SUMPRODUCT(-('Diário 8º PA'!$E$5:$E$2488='Analítico Cp.'!$B66),-('Diário 8º PA'!$Q$5:$Q$2488=D$1),('Diário 8º PA'!$F$5:$F$2488))
+SUMPRODUCT(-('Comp.'!$D$5:$D$313='Analítico Cp.'!$B66),-('Comp.'!$R$5:$R$313=D$1),('Comp.'!$E$5:$E$313))</f>
        <v>4326.13</v>
      </c>
      <c r="E66" s="185">
        <f>SUMPRODUCT(-('Diário 5º PA'!$E$5:$E$2634='Analítico Cp.'!$B66),-('Diário 5º PA'!$Q$5:$Q$2634=E$1),('Diário 5º PA'!$F$5:$F$2634))
+SUMPRODUCT(-('Diário 6º PA'!$E$5:$E$2246='Analítico Cp.'!$B66),-('Diário 6º PA'!$Q$5:$Q$2246=E$1),('Diário 6º PA'!$F$5:$F$2246))
+SUMPRODUCT(-('Diário 7º PA'!$E$5:$E$2271='Analítico Cp.'!$B66),-('Diário 7º PA'!$Q$5:$Q$2271=E$1),('Diário 7º PA'!$F$5:$F$2271))
+SUMPRODUCT(-('Diário 8º PA'!$E$5:$E$2488='Analítico Cp.'!$B66),-('Diário 8º PA'!$Q$5:$Q$2488=E$1),('Diário 8º PA'!$F$5:$F$2488))
+SUMPRODUCT(-('Comp.'!$D$5:$D$313='Analítico Cp.'!$B66),-('Comp.'!$R$5:$R$313=E$1),('Comp.'!$E$5:$E$313))</f>
        <v>4853.17</v>
      </c>
      <c r="F66" s="185">
        <f>SUMPRODUCT(-('Diário 5º PA'!$E$5:$E$2634='Analítico Cp.'!$B66),-('Diário 5º PA'!$Q$5:$Q$2634=F$1),('Diário 5º PA'!$F$5:$F$2634))
+SUMPRODUCT(-('Diário 6º PA'!$E$5:$E$2246='Analítico Cp.'!$B66),-('Diário 6º PA'!$Q$5:$Q$2246=F$1),('Diário 6º PA'!$F$5:$F$2246))
+SUMPRODUCT(-('Diário 7º PA'!$E$5:$E$2271='Analítico Cp.'!$B66),-('Diário 7º PA'!$Q$5:$Q$2271=F$1),('Diário 7º PA'!$F$5:$F$2271))
+SUMPRODUCT(-('Diário 8º PA'!$E$5:$E$2488='Analítico Cp.'!$B66),-('Diário 8º PA'!$Q$5:$Q$2488=F$1),('Diário 8º PA'!$F$5:$F$2488))
+SUMPRODUCT(-('Comp.'!$D$5:$D$313='Analítico Cp.'!$B66),-('Comp.'!$R$5:$R$313=F$1),('Comp.'!$E$5:$E$313))</f>
        <v>4853.17</v>
      </c>
      <c r="G66" s="185">
        <f>SUMPRODUCT(-('Diário 5º PA'!$E$5:$E$2634='Analítico Cp.'!$B66),-('Diário 5º PA'!$Q$5:$Q$2634=G$1),('Diário 5º PA'!$F$5:$F$2634))
+SUMPRODUCT(-('Diário 6º PA'!$E$5:$E$2246='Analítico Cp.'!$B66),-('Diário 6º PA'!$Q$5:$Q$2246=G$1),('Diário 6º PA'!$F$5:$F$2246))
+SUMPRODUCT(-('Diário 7º PA'!$E$5:$E$2271='Analítico Cp.'!$B66),-('Diário 7º PA'!$Q$5:$Q$2271=G$1),('Diário 7º PA'!$F$5:$F$2271))
+SUMPRODUCT(-('Diário 8º PA'!$E$5:$E$2488='Analítico Cp.'!$B66),-('Diário 8º PA'!$Q$5:$Q$2488=G$1),('Diário 8º PA'!$F$5:$F$2488))
+SUMPRODUCT(-('Comp.'!$D$5:$D$313='Analítico Cp.'!$B66),-('Comp.'!$R$5:$R$313=G$1),('Comp.'!$E$5:$E$313))</f>
        <v>4853.17</v>
      </c>
      <c r="H66" s="185">
        <f>SUMPRODUCT(-('Diário 5º PA'!$E$5:$E$2634='Analítico Cp.'!$B66),-('Diário 5º PA'!$Q$5:$Q$2634=H$1),('Diário 5º PA'!$F$5:$F$2634))
+SUMPRODUCT(-('Diário 6º PA'!$E$5:$E$2246='Analítico Cp.'!$B66),-('Diário 6º PA'!$Q$5:$Q$2246=H$1),('Diário 6º PA'!$F$5:$F$2246))
+SUMPRODUCT(-('Diário 7º PA'!$E$5:$E$2271='Analítico Cp.'!$B66),-('Diário 7º PA'!$Q$5:$Q$2271=H$1),('Diário 7º PA'!$F$5:$F$2271))
+SUMPRODUCT(-('Diário 8º PA'!$E$5:$E$2488='Analítico Cp.'!$B66),-('Diário 8º PA'!$Q$5:$Q$2488=H$1),('Diário 8º PA'!$F$5:$F$2488))
+SUMPRODUCT(-('Comp.'!$D$5:$D$313='Analítico Cp.'!$B66),-('Comp.'!$R$5:$R$313=H$1),('Comp.'!$E$5:$E$313))</f>
        <v>4853.17</v>
      </c>
      <c r="I66" s="185">
        <f>SUMPRODUCT(-('Diário 5º PA'!$E$5:$E$2634='Analítico Cp.'!$B66),-('Diário 5º PA'!$Q$5:$Q$2634=I$1),('Diário 5º PA'!$F$5:$F$2634))
+SUMPRODUCT(-('Diário 6º PA'!$E$5:$E$2246='Analítico Cp.'!$B66),-('Diário 6º PA'!$Q$5:$Q$2246=I$1),('Diário 6º PA'!$F$5:$F$2246))
+SUMPRODUCT(-('Diário 7º PA'!$E$5:$E$2271='Analítico Cp.'!$B66),-('Diário 7º PA'!$Q$5:$Q$2271=I$1),('Diário 7º PA'!$F$5:$F$2271))
+SUMPRODUCT(-('Diário 8º PA'!$E$5:$E$2488='Analítico Cp.'!$B66),-('Diário 8º PA'!$Q$5:$Q$2488=I$1),('Diário 8º PA'!$F$5:$F$2488))
+SUMPRODUCT(-('Comp.'!$D$5:$D$313='Analítico Cp.'!$B66),-('Comp.'!$R$5:$R$313=I$1),('Comp.'!$E$5:$E$313))</f>
        <v>4853.17</v>
      </c>
      <c r="J66" s="185">
        <f>SUMPRODUCT(-('Diário 5º PA'!$E$5:$E$2634='Analítico Cp.'!$B66),-('Diário 5º PA'!$Q$5:$Q$2634=J$1),('Diário 5º PA'!$F$5:$F$2634))
+SUMPRODUCT(-('Diário 6º PA'!$E$5:$E$2246='Analítico Cp.'!$B66),-('Diário 6º PA'!$Q$5:$Q$2246=J$1),('Diário 6º PA'!$F$5:$F$2246))
+SUMPRODUCT(-('Diário 7º PA'!$E$5:$E$2271='Analítico Cp.'!$B66),-('Diário 7º PA'!$Q$5:$Q$2271=J$1),('Diário 7º PA'!$F$5:$F$2271))
+SUMPRODUCT(-('Diário 8º PA'!$E$5:$E$2488='Analítico Cp.'!$B66),-('Diário 8º PA'!$Q$5:$Q$2488=J$1),('Diário 8º PA'!$F$5:$F$2488))
+SUMPRODUCT(-('Comp.'!$D$5:$D$313='Analítico Cp.'!$B66),-('Comp.'!$R$5:$R$313=J$1),('Comp.'!$E$5:$E$313))</f>
        <v>2111.94</v>
      </c>
      <c r="K66" s="185">
        <f>SUMPRODUCT(-('Diário 5º PA'!$E$5:$E$2634='Analítico Cp.'!$B66),-('Diário 5º PA'!$Q$5:$Q$2634=K$1),('Diário 5º PA'!$F$5:$F$2634))
+SUMPRODUCT(-('Diário 6º PA'!$E$5:$E$2246='Analítico Cp.'!$B66),-('Diário 6º PA'!$Q$5:$Q$2246=K$1),('Diário 6º PA'!$F$5:$F$2246))
+SUMPRODUCT(-('Diário 7º PA'!$E$5:$E$2271='Analítico Cp.'!$B66),-('Diário 7º PA'!$Q$5:$Q$2271=K$1),('Diário 7º PA'!$F$5:$F$2271))
+SUMPRODUCT(-('Diário 8º PA'!$E$5:$E$2488='Analítico Cp.'!$B66),-('Diário 8º PA'!$Q$5:$Q$2488=K$1),('Diário 8º PA'!$F$5:$F$2488))
+SUMPRODUCT(-('Comp.'!$D$5:$D$313='Analítico Cp.'!$B66),-('Comp.'!$R$5:$R$313=K$1),('Comp.'!$E$5:$E$313))</f>
        <v>4853.17</v>
      </c>
      <c r="L66" s="185">
        <f>SUMPRODUCT(-('Diário 5º PA'!$E$5:$E$2634='Analítico Cp.'!$B66),-('Diário 5º PA'!$Q$5:$Q$2634=L$1),('Diário 5º PA'!$F$5:$F$2634))
+SUMPRODUCT(-('Diário 6º PA'!$E$5:$E$2246='Analítico Cp.'!$B66),-('Diário 6º PA'!$Q$5:$Q$2246=L$1),('Diário 6º PA'!$F$5:$F$2246))
+SUMPRODUCT(-('Diário 7º PA'!$E$5:$E$2271='Analítico Cp.'!$B66),-('Diário 7º PA'!$Q$5:$Q$2271=L$1),('Diário 7º PA'!$F$5:$F$2271))
+SUMPRODUCT(-('Diário 8º PA'!$E$5:$E$2488='Analítico Cp.'!$B66),-('Diário 8º PA'!$Q$5:$Q$2488=L$1),('Diário 8º PA'!$F$5:$F$2488))
+SUMPRODUCT(-('Comp.'!$D$5:$D$313='Analítico Cp.'!$B66),-('Comp.'!$R$5:$R$313=L$1),('Comp.'!$E$5:$E$313))</f>
        <v>0</v>
      </c>
      <c r="M66" s="185">
        <f>SUMPRODUCT(-('Diário 5º PA'!$E$5:$E$2634='Analítico Cp.'!$B66),-('Diário 5º PA'!$Q$5:$Q$2634=M$1),('Diário 5º PA'!$F$5:$F$2634))
+SUMPRODUCT(-('Diário 6º PA'!$E$5:$E$2246='Analítico Cp.'!$B66),-('Diário 6º PA'!$Q$5:$Q$2246=M$1),('Diário 6º PA'!$F$5:$F$2246))
+SUMPRODUCT(-('Diário 7º PA'!$E$5:$E$2271='Analítico Cp.'!$B66),-('Diário 7º PA'!$Q$5:$Q$2271=M$1),('Diário 7º PA'!$F$5:$F$2271))
+SUMPRODUCT(-('Diário 8º PA'!$E$5:$E$2488='Analítico Cp.'!$B66),-('Diário 8º PA'!$Q$5:$Q$2488=M$1),('Diário 8º PA'!$F$5:$F$2488))
+SUMPRODUCT(-('Comp.'!$D$5:$D$313='Analítico Cp.'!$B66),-('Comp.'!$R$5:$R$313=M$1),('Comp.'!$E$5:$E$313))</f>
        <v>0</v>
      </c>
      <c r="N66" s="185">
        <f>SUMPRODUCT(-('Diário 5º PA'!$E$5:$E$2634='Analítico Cp.'!$B66),-('Diário 5º PA'!$Q$5:$Q$2634=N$1),('Diário 5º PA'!$F$5:$F$2634))
+SUMPRODUCT(-('Diário 6º PA'!$E$5:$E$2246='Analítico Cp.'!$B66),-('Diário 6º PA'!$Q$5:$Q$2246=N$1),('Diário 6º PA'!$F$5:$F$2246))
+SUMPRODUCT(-('Diário 7º PA'!$E$5:$E$2271='Analítico Cp.'!$B66),-('Diário 7º PA'!$Q$5:$Q$2271=N$1),('Diário 7º PA'!$F$5:$F$2271))
+SUMPRODUCT(-('Diário 8º PA'!$E$5:$E$2488='Analítico Cp.'!$B66),-('Diário 8º PA'!$Q$5:$Q$2488=N$1),('Diário 8º PA'!$F$5:$F$2488))
+SUMPRODUCT(-('Comp.'!$D$5:$D$313='Analítico Cp.'!$B66),-('Comp.'!$R$5:$R$313=N$1),('Comp.'!$E$5:$E$313))</f>
        <v>1611.44</v>
      </c>
      <c r="O66" s="186">
        <f t="shared" si="16"/>
        <v>41662.26</v>
      </c>
      <c r="P66" s="187">
        <f t="shared" si="17"/>
        <v>4.297302033059126E-3</v>
      </c>
      <c r="Q66" s="34"/>
      <c r="R66" s="34"/>
      <c r="S66" s="34"/>
      <c r="T66" s="34"/>
      <c r="U66" s="34"/>
      <c r="V66" s="34"/>
      <c r="W66" s="34"/>
      <c r="X66" s="34"/>
      <c r="Y66" s="34"/>
      <c r="Z66" s="34"/>
    </row>
    <row r="67" spans="1:26" ht="23.25" customHeight="1" x14ac:dyDescent="0.2">
      <c r="A67" s="203" t="s">
        <v>231</v>
      </c>
      <c r="B67" s="72" t="s">
        <v>232</v>
      </c>
      <c r="C67" s="185">
        <f>SUMPRODUCT(-('Diário 5º PA'!$E$5:$E$2634='Analítico Cp.'!$B67),-('Diário 5º PA'!$Q$5:$Q$2634=C$1),('Diário 5º PA'!$F$5:$F$2634))
+SUMPRODUCT(-('Diário 6º PA'!$E$5:$E$2246='Analítico Cp.'!$B67),-('Diário 6º PA'!$Q$5:$Q$2246=C$1),('Diário 6º PA'!$F$5:$F$2246))
+SUMPRODUCT(-('Diário 7º PA'!$E$5:$E$2271='Analítico Cp.'!$B67),-('Diário 7º PA'!$Q$5:$Q$2271=C$1),('Diário 7º PA'!$F$5:$F$2271))
+SUMPRODUCT(-('Diário 8º PA'!$E$5:$E$2488='Analítico Cp.'!$B67),-('Diário 8º PA'!$Q$5:$Q$2488=C$1),('Diário 8º PA'!$F$5:$F$2488))
+SUMPRODUCT(-('Comp.'!$D$5:$D$313='Analítico Cp.'!$B67),-('Comp.'!$R$5:$R$313=C$1),('Comp.'!$E$5:$E$313))</f>
        <v>0</v>
      </c>
      <c r="D67" s="185">
        <f>SUMPRODUCT(-('Diário 5º PA'!$E$5:$E$2634='Analítico Cp.'!$B67),-('Diário 5º PA'!$Q$5:$Q$2634=D$1),('Diário 5º PA'!$F$5:$F$2634))
+SUMPRODUCT(-('Diário 6º PA'!$E$5:$E$2246='Analítico Cp.'!$B67),-('Diário 6º PA'!$Q$5:$Q$2246=D$1),('Diário 6º PA'!$F$5:$F$2246))
+SUMPRODUCT(-('Diário 7º PA'!$E$5:$E$2271='Analítico Cp.'!$B67),-('Diário 7º PA'!$Q$5:$Q$2271=D$1),('Diário 7º PA'!$F$5:$F$2271))
+SUMPRODUCT(-('Diário 8º PA'!$E$5:$E$2488='Analítico Cp.'!$B67),-('Diário 8º PA'!$Q$5:$Q$2488=D$1),('Diário 8º PA'!$F$5:$F$2488))
+SUMPRODUCT(-('Comp.'!$D$5:$D$313='Analítico Cp.'!$B67),-('Comp.'!$R$5:$R$313=D$1),('Comp.'!$E$5:$E$313))</f>
        <v>0</v>
      </c>
      <c r="E67" s="185">
        <f>SUMPRODUCT(-('Diário 5º PA'!$E$5:$E$2634='Analítico Cp.'!$B67),-('Diário 5º PA'!$Q$5:$Q$2634=E$1),('Diário 5º PA'!$F$5:$F$2634))
+SUMPRODUCT(-('Diário 6º PA'!$E$5:$E$2246='Analítico Cp.'!$B67),-('Diário 6º PA'!$Q$5:$Q$2246=E$1),('Diário 6º PA'!$F$5:$F$2246))
+SUMPRODUCT(-('Diário 7º PA'!$E$5:$E$2271='Analítico Cp.'!$B67),-('Diário 7º PA'!$Q$5:$Q$2271=E$1),('Diário 7º PA'!$F$5:$F$2271))
+SUMPRODUCT(-('Diário 8º PA'!$E$5:$E$2488='Analítico Cp.'!$B67),-('Diário 8º PA'!$Q$5:$Q$2488=E$1),('Diário 8º PA'!$F$5:$F$2488))
+SUMPRODUCT(-('Comp.'!$D$5:$D$313='Analítico Cp.'!$B67),-('Comp.'!$R$5:$R$313=E$1),('Comp.'!$E$5:$E$313))</f>
        <v>0</v>
      </c>
      <c r="F67" s="185">
        <f>SUMPRODUCT(-('Diário 5º PA'!$E$5:$E$2634='Analítico Cp.'!$B67),-('Diário 5º PA'!$Q$5:$Q$2634=F$1),('Diário 5º PA'!$F$5:$F$2634))
+SUMPRODUCT(-('Diário 6º PA'!$E$5:$E$2246='Analítico Cp.'!$B67),-('Diário 6º PA'!$Q$5:$Q$2246=F$1),('Diário 6º PA'!$F$5:$F$2246))
+SUMPRODUCT(-('Diário 7º PA'!$E$5:$E$2271='Analítico Cp.'!$B67),-('Diário 7º PA'!$Q$5:$Q$2271=F$1),('Diário 7º PA'!$F$5:$F$2271))
+SUMPRODUCT(-('Diário 8º PA'!$E$5:$E$2488='Analítico Cp.'!$B67),-('Diário 8º PA'!$Q$5:$Q$2488=F$1),('Diário 8º PA'!$F$5:$F$2488))
+SUMPRODUCT(-('Comp.'!$D$5:$D$313='Analítico Cp.'!$B67),-('Comp.'!$R$5:$R$313=F$1),('Comp.'!$E$5:$E$313))</f>
        <v>0</v>
      </c>
      <c r="G67" s="185">
        <f>SUMPRODUCT(-('Diário 5º PA'!$E$5:$E$2634='Analítico Cp.'!$B67),-('Diário 5º PA'!$Q$5:$Q$2634=G$1),('Diário 5º PA'!$F$5:$F$2634))
+SUMPRODUCT(-('Diário 6º PA'!$E$5:$E$2246='Analítico Cp.'!$B67),-('Diário 6º PA'!$Q$5:$Q$2246=G$1),('Diário 6º PA'!$F$5:$F$2246))
+SUMPRODUCT(-('Diário 7º PA'!$E$5:$E$2271='Analítico Cp.'!$B67),-('Diário 7º PA'!$Q$5:$Q$2271=G$1),('Diário 7º PA'!$F$5:$F$2271))
+SUMPRODUCT(-('Diário 8º PA'!$E$5:$E$2488='Analítico Cp.'!$B67),-('Diário 8º PA'!$Q$5:$Q$2488=G$1),('Diário 8º PA'!$F$5:$F$2488))
+SUMPRODUCT(-('Comp.'!$D$5:$D$313='Analítico Cp.'!$B67),-('Comp.'!$R$5:$R$313=G$1),('Comp.'!$E$5:$E$313))</f>
        <v>0</v>
      </c>
      <c r="H67" s="185">
        <f>SUMPRODUCT(-('Diário 5º PA'!$E$5:$E$2634='Analítico Cp.'!$B67),-('Diário 5º PA'!$Q$5:$Q$2634=H$1),('Diário 5º PA'!$F$5:$F$2634))
+SUMPRODUCT(-('Diário 6º PA'!$E$5:$E$2246='Analítico Cp.'!$B67),-('Diário 6º PA'!$Q$5:$Q$2246=H$1),('Diário 6º PA'!$F$5:$F$2246))
+SUMPRODUCT(-('Diário 7º PA'!$E$5:$E$2271='Analítico Cp.'!$B67),-('Diário 7º PA'!$Q$5:$Q$2271=H$1),('Diário 7º PA'!$F$5:$F$2271))
+SUMPRODUCT(-('Diário 8º PA'!$E$5:$E$2488='Analítico Cp.'!$B67),-('Diário 8º PA'!$Q$5:$Q$2488=H$1),('Diário 8º PA'!$F$5:$F$2488))
+SUMPRODUCT(-('Comp.'!$D$5:$D$313='Analítico Cp.'!$B67),-('Comp.'!$R$5:$R$313=H$1),('Comp.'!$E$5:$E$313))</f>
        <v>0</v>
      </c>
      <c r="I67" s="185">
        <f>SUMPRODUCT(-('Diário 5º PA'!$E$5:$E$2634='Analítico Cp.'!$B67),-('Diário 5º PA'!$Q$5:$Q$2634=I$1),('Diário 5º PA'!$F$5:$F$2634))
+SUMPRODUCT(-('Diário 6º PA'!$E$5:$E$2246='Analítico Cp.'!$B67),-('Diário 6º PA'!$Q$5:$Q$2246=I$1),('Diário 6º PA'!$F$5:$F$2246))
+SUMPRODUCT(-('Diário 7º PA'!$E$5:$E$2271='Analítico Cp.'!$B67),-('Diário 7º PA'!$Q$5:$Q$2271=I$1),('Diário 7º PA'!$F$5:$F$2271))
+SUMPRODUCT(-('Diário 8º PA'!$E$5:$E$2488='Analítico Cp.'!$B67),-('Diário 8º PA'!$Q$5:$Q$2488=I$1),('Diário 8º PA'!$F$5:$F$2488))
+SUMPRODUCT(-('Comp.'!$D$5:$D$313='Analítico Cp.'!$B67),-('Comp.'!$R$5:$R$313=I$1),('Comp.'!$E$5:$E$313))</f>
        <v>0</v>
      </c>
      <c r="J67" s="185">
        <f>SUMPRODUCT(-('Diário 5º PA'!$E$5:$E$2634='Analítico Cp.'!$B67),-('Diário 5º PA'!$Q$5:$Q$2634=J$1),('Diário 5º PA'!$F$5:$F$2634))
+SUMPRODUCT(-('Diário 6º PA'!$E$5:$E$2246='Analítico Cp.'!$B67),-('Diário 6º PA'!$Q$5:$Q$2246=J$1),('Diário 6º PA'!$F$5:$F$2246))
+SUMPRODUCT(-('Diário 7º PA'!$E$5:$E$2271='Analítico Cp.'!$B67),-('Diário 7º PA'!$Q$5:$Q$2271=J$1),('Diário 7º PA'!$F$5:$F$2271))
+SUMPRODUCT(-('Diário 8º PA'!$E$5:$E$2488='Analítico Cp.'!$B67),-('Diário 8º PA'!$Q$5:$Q$2488=J$1),('Diário 8º PA'!$F$5:$F$2488))
+SUMPRODUCT(-('Comp.'!$D$5:$D$313='Analítico Cp.'!$B67),-('Comp.'!$R$5:$R$313=J$1),('Comp.'!$E$5:$E$313))</f>
        <v>0</v>
      </c>
      <c r="K67" s="185">
        <f>SUMPRODUCT(-('Diário 5º PA'!$E$5:$E$2634='Analítico Cp.'!$B67),-('Diário 5º PA'!$Q$5:$Q$2634=K$1),('Diário 5º PA'!$F$5:$F$2634))
+SUMPRODUCT(-('Diário 6º PA'!$E$5:$E$2246='Analítico Cp.'!$B67),-('Diário 6º PA'!$Q$5:$Q$2246=K$1),('Diário 6º PA'!$F$5:$F$2246))
+SUMPRODUCT(-('Diário 7º PA'!$E$5:$E$2271='Analítico Cp.'!$B67),-('Diário 7º PA'!$Q$5:$Q$2271=K$1),('Diário 7º PA'!$F$5:$F$2271))
+SUMPRODUCT(-('Diário 8º PA'!$E$5:$E$2488='Analítico Cp.'!$B67),-('Diário 8º PA'!$Q$5:$Q$2488=K$1),('Diário 8º PA'!$F$5:$F$2488))
+SUMPRODUCT(-('Comp.'!$D$5:$D$313='Analítico Cp.'!$B67),-('Comp.'!$R$5:$R$313=K$1),('Comp.'!$E$5:$E$313))</f>
        <v>0</v>
      </c>
      <c r="L67" s="185">
        <f>SUMPRODUCT(-('Diário 5º PA'!$E$5:$E$2634='Analítico Cp.'!$B67),-('Diário 5º PA'!$Q$5:$Q$2634=L$1),('Diário 5º PA'!$F$5:$F$2634))
+SUMPRODUCT(-('Diário 6º PA'!$E$5:$E$2246='Analítico Cp.'!$B67),-('Diário 6º PA'!$Q$5:$Q$2246=L$1),('Diário 6º PA'!$F$5:$F$2246))
+SUMPRODUCT(-('Diário 7º PA'!$E$5:$E$2271='Analítico Cp.'!$B67),-('Diário 7º PA'!$Q$5:$Q$2271=L$1),('Diário 7º PA'!$F$5:$F$2271))
+SUMPRODUCT(-('Diário 8º PA'!$E$5:$E$2488='Analítico Cp.'!$B67),-('Diário 8º PA'!$Q$5:$Q$2488=L$1),('Diário 8º PA'!$F$5:$F$2488))
+SUMPRODUCT(-('Comp.'!$D$5:$D$313='Analítico Cp.'!$B67),-('Comp.'!$R$5:$R$313=L$1),('Comp.'!$E$5:$E$313))</f>
        <v>0</v>
      </c>
      <c r="M67" s="185">
        <f>SUMPRODUCT(-('Diário 5º PA'!$E$5:$E$2634='Analítico Cp.'!$B67),-('Diário 5º PA'!$Q$5:$Q$2634=M$1),('Diário 5º PA'!$F$5:$F$2634))
+SUMPRODUCT(-('Diário 6º PA'!$E$5:$E$2246='Analítico Cp.'!$B67),-('Diário 6º PA'!$Q$5:$Q$2246=M$1),('Diário 6º PA'!$F$5:$F$2246))
+SUMPRODUCT(-('Diário 7º PA'!$E$5:$E$2271='Analítico Cp.'!$B67),-('Diário 7º PA'!$Q$5:$Q$2271=M$1),('Diário 7º PA'!$F$5:$F$2271))
+SUMPRODUCT(-('Diário 8º PA'!$E$5:$E$2488='Analítico Cp.'!$B67),-('Diário 8º PA'!$Q$5:$Q$2488=M$1),('Diário 8º PA'!$F$5:$F$2488))
+SUMPRODUCT(-('Comp.'!$D$5:$D$313='Analítico Cp.'!$B67),-('Comp.'!$R$5:$R$313=M$1),('Comp.'!$E$5:$E$313))</f>
        <v>0</v>
      </c>
      <c r="N67" s="185">
        <f>SUMPRODUCT(-('Diário 5º PA'!$E$5:$E$2634='Analítico Cp.'!$B67),-('Diário 5º PA'!$Q$5:$Q$2634=N$1),('Diário 5º PA'!$F$5:$F$2634))
+SUMPRODUCT(-('Diário 6º PA'!$E$5:$E$2246='Analítico Cp.'!$B67),-('Diário 6º PA'!$Q$5:$Q$2246=N$1),('Diário 6º PA'!$F$5:$F$2246))
+SUMPRODUCT(-('Diário 7º PA'!$E$5:$E$2271='Analítico Cp.'!$B67),-('Diário 7º PA'!$Q$5:$Q$2271=N$1),('Diário 7º PA'!$F$5:$F$2271))
+SUMPRODUCT(-('Diário 8º PA'!$E$5:$E$2488='Analítico Cp.'!$B67),-('Diário 8º PA'!$Q$5:$Q$2488=N$1),('Diário 8º PA'!$F$5:$F$2488))
+SUMPRODUCT(-('Comp.'!$D$5:$D$313='Analítico Cp.'!$B67),-('Comp.'!$R$5:$R$313=N$1),('Comp.'!$E$5:$E$313))</f>
        <v>10302.6</v>
      </c>
      <c r="O67" s="186">
        <f t="shared" si="16"/>
        <v>10302.6</v>
      </c>
      <c r="P67" s="187">
        <f t="shared" si="17"/>
        <v>1.0626736025792876E-3</v>
      </c>
      <c r="Q67" s="34"/>
      <c r="R67" s="34"/>
      <c r="S67" s="34"/>
      <c r="T67" s="34"/>
      <c r="U67" s="34"/>
      <c r="V67" s="34"/>
      <c r="W67" s="34"/>
      <c r="X67" s="34"/>
      <c r="Y67" s="34"/>
      <c r="Z67" s="34"/>
    </row>
    <row r="68" spans="1:26" ht="23.25" customHeight="1" x14ac:dyDescent="0.2">
      <c r="A68" s="203" t="s">
        <v>233</v>
      </c>
      <c r="B68" s="72" t="s">
        <v>234</v>
      </c>
      <c r="C68" s="185">
        <f>SUMPRODUCT(-('Diário 5º PA'!$E$5:$E$2634='Analítico Cp.'!$B68),-('Diário 5º PA'!$Q$5:$Q$2634=C$1),('Diário 5º PA'!$F$5:$F$2634))
+SUMPRODUCT(-('Diário 6º PA'!$E$5:$E$2246='Analítico Cp.'!$B68),-('Diário 6º PA'!$Q$5:$Q$2246=C$1),('Diário 6º PA'!$F$5:$F$2246))
+SUMPRODUCT(-('Diário 7º PA'!$E$5:$E$2271='Analítico Cp.'!$B68),-('Diário 7º PA'!$Q$5:$Q$2271=C$1),('Diário 7º PA'!$F$5:$F$2271))
+SUMPRODUCT(-('Diário 8º PA'!$E$5:$E$2488='Analítico Cp.'!$B68),-('Diário 8º PA'!$Q$5:$Q$2488=C$1),('Diário 8º PA'!$F$5:$F$2488))
+SUMPRODUCT(-('Comp.'!$D$5:$D$313='Analítico Cp.'!$B68),-('Comp.'!$R$5:$R$313=C$1),('Comp.'!$E$5:$E$313))</f>
        <v>0</v>
      </c>
      <c r="D68" s="185">
        <f>SUMPRODUCT(-('Diário 5º PA'!$E$5:$E$2634='Analítico Cp.'!$B68),-('Diário 5º PA'!$Q$5:$Q$2634=D$1),('Diário 5º PA'!$F$5:$F$2634))
+SUMPRODUCT(-('Diário 6º PA'!$E$5:$E$2246='Analítico Cp.'!$B68),-('Diário 6º PA'!$Q$5:$Q$2246=D$1),('Diário 6º PA'!$F$5:$F$2246))
+SUMPRODUCT(-('Diário 7º PA'!$E$5:$E$2271='Analítico Cp.'!$B68),-('Diário 7º PA'!$Q$5:$Q$2271=D$1),('Diário 7º PA'!$F$5:$F$2271))
+SUMPRODUCT(-('Diário 8º PA'!$E$5:$E$2488='Analítico Cp.'!$B68),-('Diário 8º PA'!$Q$5:$Q$2488=D$1),('Diário 8º PA'!$F$5:$F$2488))
+SUMPRODUCT(-('Comp.'!$D$5:$D$313='Analítico Cp.'!$B68),-('Comp.'!$R$5:$R$313=D$1),('Comp.'!$E$5:$E$313))</f>
        <v>0</v>
      </c>
      <c r="E68" s="185">
        <f>SUMPRODUCT(-('Diário 5º PA'!$E$5:$E$2634='Analítico Cp.'!$B68),-('Diário 5º PA'!$Q$5:$Q$2634=E$1),('Diário 5º PA'!$F$5:$F$2634))
+SUMPRODUCT(-('Diário 6º PA'!$E$5:$E$2246='Analítico Cp.'!$B68),-('Diário 6º PA'!$Q$5:$Q$2246=E$1),('Diário 6º PA'!$F$5:$F$2246))
+SUMPRODUCT(-('Diário 7º PA'!$E$5:$E$2271='Analítico Cp.'!$B68),-('Diário 7º PA'!$Q$5:$Q$2271=E$1),('Diário 7º PA'!$F$5:$F$2271))
+SUMPRODUCT(-('Diário 8º PA'!$E$5:$E$2488='Analítico Cp.'!$B68),-('Diário 8º PA'!$Q$5:$Q$2488=E$1),('Diário 8º PA'!$F$5:$F$2488))
+SUMPRODUCT(-('Comp.'!$D$5:$D$313='Analítico Cp.'!$B68),-('Comp.'!$R$5:$R$313=E$1),('Comp.'!$E$5:$E$313))</f>
        <v>0</v>
      </c>
      <c r="F68" s="185">
        <f>SUMPRODUCT(-('Diário 5º PA'!$E$5:$E$2634='Analítico Cp.'!$B68),-('Diário 5º PA'!$Q$5:$Q$2634=F$1),('Diário 5º PA'!$F$5:$F$2634))
+SUMPRODUCT(-('Diário 6º PA'!$E$5:$E$2246='Analítico Cp.'!$B68),-('Diário 6º PA'!$Q$5:$Q$2246=F$1),('Diário 6º PA'!$F$5:$F$2246))
+SUMPRODUCT(-('Diário 7º PA'!$E$5:$E$2271='Analítico Cp.'!$B68),-('Diário 7º PA'!$Q$5:$Q$2271=F$1),('Diário 7º PA'!$F$5:$F$2271))
+SUMPRODUCT(-('Diário 8º PA'!$E$5:$E$2488='Analítico Cp.'!$B68),-('Diário 8º PA'!$Q$5:$Q$2488=F$1),('Diário 8º PA'!$F$5:$F$2488))
+SUMPRODUCT(-('Comp.'!$D$5:$D$313='Analítico Cp.'!$B68),-('Comp.'!$R$5:$R$313=F$1),('Comp.'!$E$5:$E$313))</f>
        <v>0</v>
      </c>
      <c r="G68" s="185">
        <f>SUMPRODUCT(-('Diário 5º PA'!$E$5:$E$2634='Analítico Cp.'!$B68),-('Diário 5º PA'!$Q$5:$Q$2634=G$1),('Diário 5º PA'!$F$5:$F$2634))
+SUMPRODUCT(-('Diário 6º PA'!$E$5:$E$2246='Analítico Cp.'!$B68),-('Diário 6º PA'!$Q$5:$Q$2246=G$1),('Diário 6º PA'!$F$5:$F$2246))
+SUMPRODUCT(-('Diário 7º PA'!$E$5:$E$2271='Analítico Cp.'!$B68),-('Diário 7º PA'!$Q$5:$Q$2271=G$1),('Diário 7º PA'!$F$5:$F$2271))
+SUMPRODUCT(-('Diário 8º PA'!$E$5:$E$2488='Analítico Cp.'!$B68),-('Diário 8º PA'!$Q$5:$Q$2488=G$1),('Diário 8º PA'!$F$5:$F$2488))
+SUMPRODUCT(-('Comp.'!$D$5:$D$313='Analítico Cp.'!$B68),-('Comp.'!$R$5:$R$313=G$1),('Comp.'!$E$5:$E$313))</f>
        <v>2000</v>
      </c>
      <c r="H68" s="185">
        <f>SUMPRODUCT(-('Diário 5º PA'!$E$5:$E$2634='Analítico Cp.'!$B68),-('Diário 5º PA'!$Q$5:$Q$2634=H$1),('Diário 5º PA'!$F$5:$F$2634))
+SUMPRODUCT(-('Diário 6º PA'!$E$5:$E$2246='Analítico Cp.'!$B68),-('Diário 6º PA'!$Q$5:$Q$2246=H$1),('Diário 6º PA'!$F$5:$F$2246))
+SUMPRODUCT(-('Diário 7º PA'!$E$5:$E$2271='Analítico Cp.'!$B68),-('Diário 7º PA'!$Q$5:$Q$2271=H$1),('Diário 7º PA'!$F$5:$F$2271))
+SUMPRODUCT(-('Diário 8º PA'!$E$5:$E$2488='Analítico Cp.'!$B68),-('Diário 8º PA'!$Q$5:$Q$2488=H$1),('Diário 8º PA'!$F$5:$F$2488))
+SUMPRODUCT(-('Comp.'!$D$5:$D$313='Analítico Cp.'!$B68),-('Comp.'!$R$5:$R$313=H$1),('Comp.'!$E$5:$E$313))</f>
        <v>0</v>
      </c>
      <c r="I68" s="185">
        <f>SUMPRODUCT(-('Diário 5º PA'!$E$5:$E$2634='Analítico Cp.'!$B68),-('Diário 5º PA'!$Q$5:$Q$2634=I$1),('Diário 5º PA'!$F$5:$F$2634))
+SUMPRODUCT(-('Diário 6º PA'!$E$5:$E$2246='Analítico Cp.'!$B68),-('Diário 6º PA'!$Q$5:$Q$2246=I$1),('Diário 6º PA'!$F$5:$F$2246))
+SUMPRODUCT(-('Diário 7º PA'!$E$5:$E$2271='Analítico Cp.'!$B68),-('Diário 7º PA'!$Q$5:$Q$2271=I$1),('Diário 7º PA'!$F$5:$F$2271))
+SUMPRODUCT(-('Diário 8º PA'!$E$5:$E$2488='Analítico Cp.'!$B68),-('Diário 8º PA'!$Q$5:$Q$2488=I$1),('Diário 8º PA'!$F$5:$F$2488))
+SUMPRODUCT(-('Comp.'!$D$5:$D$313='Analítico Cp.'!$B68),-('Comp.'!$R$5:$R$313=I$1),('Comp.'!$E$5:$E$313))</f>
        <v>0</v>
      </c>
      <c r="J68" s="185">
        <f>SUMPRODUCT(-('Diário 5º PA'!$E$5:$E$2634='Analítico Cp.'!$B68),-('Diário 5º PA'!$Q$5:$Q$2634=J$1),('Diário 5º PA'!$F$5:$F$2634))
+SUMPRODUCT(-('Diário 6º PA'!$E$5:$E$2246='Analítico Cp.'!$B68),-('Diário 6º PA'!$Q$5:$Q$2246=J$1),('Diário 6º PA'!$F$5:$F$2246))
+SUMPRODUCT(-('Diário 7º PA'!$E$5:$E$2271='Analítico Cp.'!$B68),-('Diário 7º PA'!$Q$5:$Q$2271=J$1),('Diário 7º PA'!$F$5:$F$2271))
+SUMPRODUCT(-('Diário 8º PA'!$E$5:$E$2488='Analítico Cp.'!$B68),-('Diário 8º PA'!$Q$5:$Q$2488=J$1),('Diário 8º PA'!$F$5:$F$2488))
+SUMPRODUCT(-('Comp.'!$D$5:$D$313='Analítico Cp.'!$B68),-('Comp.'!$R$5:$R$313=J$1),('Comp.'!$E$5:$E$313))</f>
        <v>0</v>
      </c>
      <c r="K68" s="185">
        <f>SUMPRODUCT(-('Diário 5º PA'!$E$5:$E$2634='Analítico Cp.'!$B68),-('Diário 5º PA'!$Q$5:$Q$2634=K$1),('Diário 5º PA'!$F$5:$F$2634))
+SUMPRODUCT(-('Diário 6º PA'!$E$5:$E$2246='Analítico Cp.'!$B68),-('Diário 6º PA'!$Q$5:$Q$2246=K$1),('Diário 6º PA'!$F$5:$F$2246))
+SUMPRODUCT(-('Diário 7º PA'!$E$5:$E$2271='Analítico Cp.'!$B68),-('Diário 7º PA'!$Q$5:$Q$2271=K$1),('Diário 7º PA'!$F$5:$F$2271))
+SUMPRODUCT(-('Diário 8º PA'!$E$5:$E$2488='Analítico Cp.'!$B68),-('Diário 8º PA'!$Q$5:$Q$2488=K$1),('Diário 8º PA'!$F$5:$F$2488))
+SUMPRODUCT(-('Comp.'!$D$5:$D$313='Analítico Cp.'!$B68),-('Comp.'!$R$5:$R$313=K$1),('Comp.'!$E$5:$E$313))</f>
        <v>0</v>
      </c>
      <c r="L68" s="185">
        <f>SUMPRODUCT(-('Diário 5º PA'!$E$5:$E$2634='Analítico Cp.'!$B68),-('Diário 5º PA'!$Q$5:$Q$2634=L$1),('Diário 5º PA'!$F$5:$F$2634))
+SUMPRODUCT(-('Diário 6º PA'!$E$5:$E$2246='Analítico Cp.'!$B68),-('Diário 6º PA'!$Q$5:$Q$2246=L$1),('Diário 6º PA'!$F$5:$F$2246))
+SUMPRODUCT(-('Diário 7º PA'!$E$5:$E$2271='Analítico Cp.'!$B68),-('Diário 7º PA'!$Q$5:$Q$2271=L$1),('Diário 7º PA'!$F$5:$F$2271))
+SUMPRODUCT(-('Diário 8º PA'!$E$5:$E$2488='Analítico Cp.'!$B68),-('Diário 8º PA'!$Q$5:$Q$2488=L$1),('Diário 8º PA'!$F$5:$F$2488))
+SUMPRODUCT(-('Comp.'!$D$5:$D$313='Analítico Cp.'!$B68),-('Comp.'!$R$5:$R$313=L$1),('Comp.'!$E$5:$E$313))</f>
        <v>0</v>
      </c>
      <c r="M68" s="185">
        <f>SUMPRODUCT(-('Diário 5º PA'!$E$5:$E$2634='Analítico Cp.'!$B68),-('Diário 5º PA'!$Q$5:$Q$2634=M$1),('Diário 5º PA'!$F$5:$F$2634))
+SUMPRODUCT(-('Diário 6º PA'!$E$5:$E$2246='Analítico Cp.'!$B68),-('Diário 6º PA'!$Q$5:$Q$2246=M$1),('Diário 6º PA'!$F$5:$F$2246))
+SUMPRODUCT(-('Diário 7º PA'!$E$5:$E$2271='Analítico Cp.'!$B68),-('Diário 7º PA'!$Q$5:$Q$2271=M$1),('Diário 7º PA'!$F$5:$F$2271))
+SUMPRODUCT(-('Diário 8º PA'!$E$5:$E$2488='Analítico Cp.'!$B68),-('Diário 8º PA'!$Q$5:$Q$2488=M$1),('Diário 8º PA'!$F$5:$F$2488))
+SUMPRODUCT(-('Comp.'!$D$5:$D$313='Analítico Cp.'!$B68),-('Comp.'!$R$5:$R$313=M$1),('Comp.'!$E$5:$E$313))</f>
        <v>0</v>
      </c>
      <c r="N68" s="185">
        <f>SUMPRODUCT(-('Diário 5º PA'!$E$5:$E$2634='Analítico Cp.'!$B68),-('Diário 5º PA'!$Q$5:$Q$2634=N$1),('Diário 5º PA'!$F$5:$F$2634))
+SUMPRODUCT(-('Diário 6º PA'!$E$5:$E$2246='Analítico Cp.'!$B68),-('Diário 6º PA'!$Q$5:$Q$2246=N$1),('Diário 6º PA'!$F$5:$F$2246))
+SUMPRODUCT(-('Diário 7º PA'!$E$5:$E$2271='Analítico Cp.'!$B68),-('Diário 7º PA'!$Q$5:$Q$2271=N$1),('Diário 7º PA'!$F$5:$F$2271))
+SUMPRODUCT(-('Diário 8º PA'!$E$5:$E$2488='Analítico Cp.'!$B68),-('Diário 8º PA'!$Q$5:$Q$2488=N$1),('Diário 8º PA'!$F$5:$F$2488))
+SUMPRODUCT(-('Comp.'!$D$5:$D$313='Analítico Cp.'!$B68),-('Comp.'!$R$5:$R$313=N$1),('Comp.'!$E$5:$E$313))</f>
        <v>0</v>
      </c>
      <c r="O68" s="186">
        <f t="shared" si="16"/>
        <v>2000</v>
      </c>
      <c r="P68" s="187">
        <f t="shared" si="17"/>
        <v>2.06292315062079E-4</v>
      </c>
      <c r="Q68" s="34"/>
      <c r="R68" s="34"/>
      <c r="S68" s="34"/>
      <c r="T68" s="34"/>
      <c r="U68" s="34"/>
      <c r="V68" s="34"/>
      <c r="W68" s="34"/>
      <c r="X68" s="34"/>
      <c r="Y68" s="34"/>
      <c r="Z68" s="34"/>
    </row>
    <row r="69" spans="1:26" ht="23.25" customHeight="1" x14ac:dyDescent="0.2">
      <c r="A69" s="203" t="s">
        <v>235</v>
      </c>
      <c r="B69" s="72" t="s">
        <v>236</v>
      </c>
      <c r="C69" s="185">
        <f>SUMPRODUCT(-('Diário 5º PA'!$E$5:$E$2634='Analítico Cp.'!$B69),-('Diário 5º PA'!$Q$5:$Q$2634=C$1),('Diário 5º PA'!$F$5:$F$2634))
+SUMPRODUCT(-('Diário 6º PA'!$E$5:$E$2246='Analítico Cp.'!$B69),-('Diário 6º PA'!$Q$5:$Q$2246=C$1),('Diário 6º PA'!$F$5:$F$2246))
+SUMPRODUCT(-('Diário 7º PA'!$E$5:$E$2271='Analítico Cp.'!$B69),-('Diário 7º PA'!$Q$5:$Q$2271=C$1),('Diário 7º PA'!$F$5:$F$2271))
+SUMPRODUCT(-('Diário 8º PA'!$E$5:$E$2488='Analítico Cp.'!$B69),-('Diário 8º PA'!$Q$5:$Q$2488=C$1),('Diário 8º PA'!$F$5:$F$2488))
+SUMPRODUCT(-('Comp.'!$D$5:$D$313='Analítico Cp.'!$B69),-('Comp.'!$R$5:$R$313=C$1),('Comp.'!$E$5:$E$313))</f>
        <v>3000</v>
      </c>
      <c r="D69" s="185">
        <f>SUMPRODUCT(-('Diário 5º PA'!$E$5:$E$2634='Analítico Cp.'!$B69),-('Diário 5º PA'!$Q$5:$Q$2634=D$1),('Diário 5º PA'!$F$5:$F$2634))
+SUMPRODUCT(-('Diário 6º PA'!$E$5:$E$2246='Analítico Cp.'!$B69),-('Diário 6º PA'!$Q$5:$Q$2246=D$1),('Diário 6º PA'!$F$5:$F$2246))
+SUMPRODUCT(-('Diário 7º PA'!$E$5:$E$2271='Analítico Cp.'!$B69),-('Diário 7º PA'!$Q$5:$Q$2271=D$1),('Diário 7º PA'!$F$5:$F$2271))
+SUMPRODUCT(-('Diário 8º PA'!$E$5:$E$2488='Analítico Cp.'!$B69),-('Diário 8º PA'!$Q$5:$Q$2488=D$1),('Diário 8º PA'!$F$5:$F$2488))
+SUMPRODUCT(-('Comp.'!$D$5:$D$313='Analítico Cp.'!$B69),-('Comp.'!$R$5:$R$313=D$1),('Comp.'!$E$5:$E$313))</f>
        <v>0</v>
      </c>
      <c r="E69" s="185">
        <f>SUMPRODUCT(-('Diário 5º PA'!$E$5:$E$2634='Analítico Cp.'!$B69),-('Diário 5º PA'!$Q$5:$Q$2634=E$1),('Diário 5º PA'!$F$5:$F$2634))
+SUMPRODUCT(-('Diário 6º PA'!$E$5:$E$2246='Analítico Cp.'!$B69),-('Diário 6º PA'!$Q$5:$Q$2246=E$1),('Diário 6º PA'!$F$5:$F$2246))
+SUMPRODUCT(-('Diário 7º PA'!$E$5:$E$2271='Analítico Cp.'!$B69),-('Diário 7º PA'!$Q$5:$Q$2271=E$1),('Diário 7º PA'!$F$5:$F$2271))
+SUMPRODUCT(-('Diário 8º PA'!$E$5:$E$2488='Analítico Cp.'!$B69),-('Diário 8º PA'!$Q$5:$Q$2488=E$1),('Diário 8º PA'!$F$5:$F$2488))
+SUMPRODUCT(-('Comp.'!$D$5:$D$313='Analítico Cp.'!$B69),-('Comp.'!$R$5:$R$313=E$1),('Comp.'!$E$5:$E$313))</f>
        <v>0</v>
      </c>
      <c r="F69" s="185">
        <f>SUMPRODUCT(-('Diário 5º PA'!$E$5:$E$2634='Analítico Cp.'!$B69),-('Diário 5º PA'!$Q$5:$Q$2634=F$1),('Diário 5º PA'!$F$5:$F$2634))
+SUMPRODUCT(-('Diário 6º PA'!$E$5:$E$2246='Analítico Cp.'!$B69),-('Diário 6º PA'!$Q$5:$Q$2246=F$1),('Diário 6º PA'!$F$5:$F$2246))
+SUMPRODUCT(-('Diário 7º PA'!$E$5:$E$2271='Analítico Cp.'!$B69),-('Diário 7º PA'!$Q$5:$Q$2271=F$1),('Diário 7º PA'!$F$5:$F$2271))
+SUMPRODUCT(-('Diário 8º PA'!$E$5:$E$2488='Analítico Cp.'!$B69),-('Diário 8º PA'!$Q$5:$Q$2488=F$1),('Diário 8º PA'!$F$5:$F$2488))
+SUMPRODUCT(-('Comp.'!$D$5:$D$313='Analítico Cp.'!$B69),-('Comp.'!$R$5:$R$313=F$1),('Comp.'!$E$5:$E$313))</f>
        <v>0</v>
      </c>
      <c r="G69" s="185">
        <f>SUMPRODUCT(-('Diário 5º PA'!$E$5:$E$2634='Analítico Cp.'!$B69),-('Diário 5º PA'!$Q$5:$Q$2634=G$1),('Diário 5º PA'!$F$5:$F$2634))
+SUMPRODUCT(-('Diário 6º PA'!$E$5:$E$2246='Analítico Cp.'!$B69),-('Diário 6º PA'!$Q$5:$Q$2246=G$1),('Diário 6º PA'!$F$5:$F$2246))
+SUMPRODUCT(-('Diário 7º PA'!$E$5:$E$2271='Analítico Cp.'!$B69),-('Diário 7º PA'!$Q$5:$Q$2271=G$1),('Diário 7º PA'!$F$5:$F$2271))
+SUMPRODUCT(-('Diário 8º PA'!$E$5:$E$2488='Analítico Cp.'!$B69),-('Diário 8º PA'!$Q$5:$Q$2488=G$1),('Diário 8º PA'!$F$5:$F$2488))
+SUMPRODUCT(-('Comp.'!$D$5:$D$313='Analítico Cp.'!$B69),-('Comp.'!$R$5:$R$313=G$1),('Comp.'!$E$5:$E$313))</f>
        <v>0</v>
      </c>
      <c r="H69" s="185">
        <f>SUMPRODUCT(-('Diário 5º PA'!$E$5:$E$2634='Analítico Cp.'!$B69),-('Diário 5º PA'!$Q$5:$Q$2634=H$1),('Diário 5º PA'!$F$5:$F$2634))
+SUMPRODUCT(-('Diário 6º PA'!$E$5:$E$2246='Analítico Cp.'!$B69),-('Diário 6º PA'!$Q$5:$Q$2246=H$1),('Diário 6º PA'!$F$5:$F$2246))
+SUMPRODUCT(-('Diário 7º PA'!$E$5:$E$2271='Analítico Cp.'!$B69),-('Diário 7º PA'!$Q$5:$Q$2271=H$1),('Diário 7º PA'!$F$5:$F$2271))
+SUMPRODUCT(-('Diário 8º PA'!$E$5:$E$2488='Analítico Cp.'!$B69),-('Diário 8º PA'!$Q$5:$Q$2488=H$1),('Diário 8º PA'!$F$5:$F$2488))
+SUMPRODUCT(-('Comp.'!$D$5:$D$313='Analítico Cp.'!$B69),-('Comp.'!$R$5:$R$313=H$1),('Comp.'!$E$5:$E$313))</f>
        <v>0</v>
      </c>
      <c r="I69" s="185">
        <f>SUMPRODUCT(-('Diário 5º PA'!$E$5:$E$2634='Analítico Cp.'!$B69),-('Diário 5º PA'!$Q$5:$Q$2634=I$1),('Diário 5º PA'!$F$5:$F$2634))
+SUMPRODUCT(-('Diário 6º PA'!$E$5:$E$2246='Analítico Cp.'!$B69),-('Diário 6º PA'!$Q$5:$Q$2246=I$1),('Diário 6º PA'!$F$5:$F$2246))
+SUMPRODUCT(-('Diário 7º PA'!$E$5:$E$2271='Analítico Cp.'!$B69),-('Diário 7º PA'!$Q$5:$Q$2271=I$1),('Diário 7º PA'!$F$5:$F$2271))
+SUMPRODUCT(-('Diário 8º PA'!$E$5:$E$2488='Analítico Cp.'!$B69),-('Diário 8º PA'!$Q$5:$Q$2488=I$1),('Diário 8º PA'!$F$5:$F$2488))
+SUMPRODUCT(-('Comp.'!$D$5:$D$313='Analítico Cp.'!$B69),-('Comp.'!$R$5:$R$313=I$1),('Comp.'!$E$5:$E$313))</f>
        <v>0</v>
      </c>
      <c r="J69" s="185">
        <f>SUMPRODUCT(-('Diário 5º PA'!$E$5:$E$2634='Analítico Cp.'!$B69),-('Diário 5º PA'!$Q$5:$Q$2634=J$1),('Diário 5º PA'!$F$5:$F$2634))
+SUMPRODUCT(-('Diário 6º PA'!$E$5:$E$2246='Analítico Cp.'!$B69),-('Diário 6º PA'!$Q$5:$Q$2246=J$1),('Diário 6º PA'!$F$5:$F$2246))
+SUMPRODUCT(-('Diário 7º PA'!$E$5:$E$2271='Analítico Cp.'!$B69),-('Diário 7º PA'!$Q$5:$Q$2271=J$1),('Diário 7º PA'!$F$5:$F$2271))
+SUMPRODUCT(-('Diário 8º PA'!$E$5:$E$2488='Analítico Cp.'!$B69),-('Diário 8º PA'!$Q$5:$Q$2488=J$1),('Diário 8º PA'!$F$5:$F$2488))
+SUMPRODUCT(-('Comp.'!$D$5:$D$313='Analítico Cp.'!$B69),-('Comp.'!$R$5:$R$313=J$1),('Comp.'!$E$5:$E$313))</f>
        <v>0</v>
      </c>
      <c r="K69" s="185">
        <f>SUMPRODUCT(-('Diário 5º PA'!$E$5:$E$2634='Analítico Cp.'!$B69),-('Diário 5º PA'!$Q$5:$Q$2634=K$1),('Diário 5º PA'!$F$5:$F$2634))
+SUMPRODUCT(-('Diário 6º PA'!$E$5:$E$2246='Analítico Cp.'!$B69),-('Diário 6º PA'!$Q$5:$Q$2246=K$1),('Diário 6º PA'!$F$5:$F$2246))
+SUMPRODUCT(-('Diário 7º PA'!$E$5:$E$2271='Analítico Cp.'!$B69),-('Diário 7º PA'!$Q$5:$Q$2271=K$1),('Diário 7º PA'!$F$5:$F$2271))
+SUMPRODUCT(-('Diário 8º PA'!$E$5:$E$2488='Analítico Cp.'!$B69),-('Diário 8º PA'!$Q$5:$Q$2488=K$1),('Diário 8º PA'!$F$5:$F$2488))
+SUMPRODUCT(-('Comp.'!$D$5:$D$313='Analítico Cp.'!$B69),-('Comp.'!$R$5:$R$313=K$1),('Comp.'!$E$5:$E$313))</f>
        <v>0</v>
      </c>
      <c r="L69" s="185">
        <f>SUMPRODUCT(-('Diário 5º PA'!$E$5:$E$2634='Analítico Cp.'!$B69),-('Diário 5º PA'!$Q$5:$Q$2634=L$1),('Diário 5º PA'!$F$5:$F$2634))
+SUMPRODUCT(-('Diário 6º PA'!$E$5:$E$2246='Analítico Cp.'!$B69),-('Diário 6º PA'!$Q$5:$Q$2246=L$1),('Diário 6º PA'!$F$5:$F$2246))
+SUMPRODUCT(-('Diário 7º PA'!$E$5:$E$2271='Analítico Cp.'!$B69),-('Diário 7º PA'!$Q$5:$Q$2271=L$1),('Diário 7º PA'!$F$5:$F$2271))
+SUMPRODUCT(-('Diário 8º PA'!$E$5:$E$2488='Analítico Cp.'!$B69),-('Diário 8º PA'!$Q$5:$Q$2488=L$1),('Diário 8º PA'!$F$5:$F$2488))
+SUMPRODUCT(-('Comp.'!$D$5:$D$313='Analítico Cp.'!$B69),-('Comp.'!$R$5:$R$313=L$1),('Comp.'!$E$5:$E$313))</f>
        <v>5400</v>
      </c>
      <c r="M69" s="185">
        <f>SUMPRODUCT(-('Diário 5º PA'!$E$5:$E$2634='Analítico Cp.'!$B69),-('Diário 5º PA'!$Q$5:$Q$2634=M$1),('Diário 5º PA'!$F$5:$F$2634))
+SUMPRODUCT(-('Diário 6º PA'!$E$5:$E$2246='Analítico Cp.'!$B69),-('Diário 6º PA'!$Q$5:$Q$2246=M$1),('Diário 6º PA'!$F$5:$F$2246))
+SUMPRODUCT(-('Diário 7º PA'!$E$5:$E$2271='Analítico Cp.'!$B69),-('Diário 7º PA'!$Q$5:$Q$2271=M$1),('Diário 7º PA'!$F$5:$F$2271))
+SUMPRODUCT(-('Diário 8º PA'!$E$5:$E$2488='Analítico Cp.'!$B69),-('Diário 8º PA'!$Q$5:$Q$2488=M$1),('Diário 8º PA'!$F$5:$F$2488))
+SUMPRODUCT(-('Comp.'!$D$5:$D$313='Analítico Cp.'!$B69),-('Comp.'!$R$5:$R$313=M$1),('Comp.'!$E$5:$E$313))</f>
        <v>0</v>
      </c>
      <c r="N69" s="185">
        <f>SUMPRODUCT(-('Diário 5º PA'!$E$5:$E$2634='Analítico Cp.'!$B69),-('Diário 5º PA'!$Q$5:$Q$2634=N$1),('Diário 5º PA'!$F$5:$F$2634))
+SUMPRODUCT(-('Diário 6º PA'!$E$5:$E$2246='Analítico Cp.'!$B69),-('Diário 6º PA'!$Q$5:$Q$2246=N$1),('Diário 6º PA'!$F$5:$F$2246))
+SUMPRODUCT(-('Diário 7º PA'!$E$5:$E$2271='Analítico Cp.'!$B69),-('Diário 7º PA'!$Q$5:$Q$2271=N$1),('Diário 7º PA'!$F$5:$F$2271))
+SUMPRODUCT(-('Diário 8º PA'!$E$5:$E$2488='Analítico Cp.'!$B69),-('Diário 8º PA'!$Q$5:$Q$2488=N$1),('Diário 8º PA'!$F$5:$F$2488))
+SUMPRODUCT(-('Comp.'!$D$5:$D$313='Analítico Cp.'!$B69),-('Comp.'!$R$5:$R$313=N$1),('Comp.'!$E$5:$E$313))</f>
        <v>0</v>
      </c>
      <c r="O69" s="186">
        <f t="shared" si="16"/>
        <v>8400</v>
      </c>
      <c r="P69" s="187">
        <f t="shared" si="17"/>
        <v>8.6642772326073181E-4</v>
      </c>
      <c r="Q69" s="34"/>
      <c r="R69" s="34"/>
      <c r="S69" s="34"/>
      <c r="T69" s="34"/>
      <c r="U69" s="34"/>
      <c r="V69" s="34"/>
      <c r="W69" s="34"/>
      <c r="X69" s="34"/>
      <c r="Y69" s="34"/>
      <c r="Z69" s="34"/>
    </row>
    <row r="70" spans="1:26" ht="23.25" customHeight="1" x14ac:dyDescent="0.2">
      <c r="A70" s="203" t="s">
        <v>237</v>
      </c>
      <c r="B70" s="204" t="s">
        <v>238</v>
      </c>
      <c r="C70" s="185">
        <f>SUMPRODUCT(-('Diário 5º PA'!$E$5:$E$2634='Analítico Cp.'!$B70),-('Diário 5º PA'!$Q$5:$Q$2634=C$1),('Diário 5º PA'!$F$5:$F$2634))
+SUMPRODUCT(-('Diário 6º PA'!$E$5:$E$2246='Analítico Cp.'!$B70),-('Diário 6º PA'!$Q$5:$Q$2246=C$1),('Diário 6º PA'!$F$5:$F$2246))
+SUMPRODUCT(-('Diário 7º PA'!$E$5:$E$2271='Analítico Cp.'!$B70),-('Diário 7º PA'!$Q$5:$Q$2271=C$1),('Diário 7º PA'!$F$5:$F$2271))
+SUMPRODUCT(-('Diário 8º PA'!$E$5:$E$2488='Analítico Cp.'!$B70),-('Diário 8º PA'!$Q$5:$Q$2488=C$1),('Diário 8º PA'!$F$5:$F$2488))
+SUMPRODUCT(-('Comp.'!$D$5:$D$313='Analítico Cp.'!$B70),-('Comp.'!$R$5:$R$313=C$1),('Comp.'!$E$5:$E$313))</f>
        <v>0</v>
      </c>
      <c r="D70" s="185">
        <f>SUMPRODUCT(-('Diário 5º PA'!$E$5:$E$2634='Analítico Cp.'!$B70),-('Diário 5º PA'!$Q$5:$Q$2634=D$1),('Diário 5º PA'!$F$5:$F$2634))
+SUMPRODUCT(-('Diário 6º PA'!$E$5:$E$2246='Analítico Cp.'!$B70),-('Diário 6º PA'!$Q$5:$Q$2246=D$1),('Diário 6º PA'!$F$5:$F$2246))
+SUMPRODUCT(-('Diário 7º PA'!$E$5:$E$2271='Analítico Cp.'!$B70),-('Diário 7º PA'!$Q$5:$Q$2271=D$1),('Diário 7º PA'!$F$5:$F$2271))
+SUMPRODUCT(-('Diário 8º PA'!$E$5:$E$2488='Analítico Cp.'!$B70),-('Diário 8º PA'!$Q$5:$Q$2488=D$1),('Diário 8º PA'!$F$5:$F$2488))
+SUMPRODUCT(-('Comp.'!$D$5:$D$313='Analítico Cp.'!$B70),-('Comp.'!$R$5:$R$313=D$1),('Comp.'!$E$5:$E$313))</f>
        <v>0</v>
      </c>
      <c r="E70" s="185">
        <f>SUMPRODUCT(-('Diário 5º PA'!$E$5:$E$2634='Analítico Cp.'!$B70),-('Diário 5º PA'!$Q$5:$Q$2634=E$1),('Diário 5º PA'!$F$5:$F$2634))
+SUMPRODUCT(-('Diário 6º PA'!$E$5:$E$2246='Analítico Cp.'!$B70),-('Diário 6º PA'!$Q$5:$Q$2246=E$1),('Diário 6º PA'!$F$5:$F$2246))
+SUMPRODUCT(-('Diário 7º PA'!$E$5:$E$2271='Analítico Cp.'!$B70),-('Diário 7º PA'!$Q$5:$Q$2271=E$1),('Diário 7º PA'!$F$5:$F$2271))
+SUMPRODUCT(-('Diário 8º PA'!$E$5:$E$2488='Analítico Cp.'!$B70),-('Diário 8º PA'!$Q$5:$Q$2488=E$1),('Diário 8º PA'!$F$5:$F$2488))
+SUMPRODUCT(-('Comp.'!$D$5:$D$313='Analítico Cp.'!$B70),-('Comp.'!$R$5:$R$313=E$1),('Comp.'!$E$5:$E$313))</f>
        <v>0</v>
      </c>
      <c r="F70" s="185">
        <f>SUMPRODUCT(-('Diário 5º PA'!$E$5:$E$2634='Analítico Cp.'!$B70),-('Diário 5º PA'!$Q$5:$Q$2634=F$1),('Diário 5º PA'!$F$5:$F$2634))
+SUMPRODUCT(-('Diário 6º PA'!$E$5:$E$2246='Analítico Cp.'!$B70),-('Diário 6º PA'!$Q$5:$Q$2246=F$1),('Diário 6º PA'!$F$5:$F$2246))
+SUMPRODUCT(-('Diário 7º PA'!$E$5:$E$2271='Analítico Cp.'!$B70),-('Diário 7º PA'!$Q$5:$Q$2271=F$1),('Diário 7º PA'!$F$5:$F$2271))
+SUMPRODUCT(-('Diário 8º PA'!$E$5:$E$2488='Analítico Cp.'!$B70),-('Diário 8º PA'!$Q$5:$Q$2488=F$1),('Diário 8º PA'!$F$5:$F$2488))
+SUMPRODUCT(-('Comp.'!$D$5:$D$313='Analítico Cp.'!$B70),-('Comp.'!$R$5:$R$313=F$1),('Comp.'!$E$5:$E$313))</f>
        <v>0</v>
      </c>
      <c r="G70" s="185">
        <f>SUMPRODUCT(-('Diário 5º PA'!$E$5:$E$2634='Analítico Cp.'!$B70),-('Diário 5º PA'!$Q$5:$Q$2634=G$1),('Diário 5º PA'!$F$5:$F$2634))
+SUMPRODUCT(-('Diário 6º PA'!$E$5:$E$2246='Analítico Cp.'!$B70),-('Diário 6º PA'!$Q$5:$Q$2246=G$1),('Diário 6º PA'!$F$5:$F$2246))
+SUMPRODUCT(-('Diário 7º PA'!$E$5:$E$2271='Analítico Cp.'!$B70),-('Diário 7º PA'!$Q$5:$Q$2271=G$1),('Diário 7º PA'!$F$5:$F$2271))
+SUMPRODUCT(-('Diário 8º PA'!$E$5:$E$2488='Analítico Cp.'!$B70),-('Diário 8º PA'!$Q$5:$Q$2488=G$1),('Diário 8º PA'!$F$5:$F$2488))
+SUMPRODUCT(-('Comp.'!$D$5:$D$313='Analítico Cp.'!$B70),-('Comp.'!$R$5:$R$313=G$1),('Comp.'!$E$5:$E$313))</f>
        <v>0</v>
      </c>
      <c r="H70" s="185">
        <f>SUMPRODUCT(-('Diário 5º PA'!$E$5:$E$2634='Analítico Cp.'!$B70),-('Diário 5º PA'!$Q$5:$Q$2634=H$1),('Diário 5º PA'!$F$5:$F$2634))
+SUMPRODUCT(-('Diário 6º PA'!$E$5:$E$2246='Analítico Cp.'!$B70),-('Diário 6º PA'!$Q$5:$Q$2246=H$1),('Diário 6º PA'!$F$5:$F$2246))
+SUMPRODUCT(-('Diário 7º PA'!$E$5:$E$2271='Analítico Cp.'!$B70),-('Diário 7º PA'!$Q$5:$Q$2271=H$1),('Diário 7º PA'!$F$5:$F$2271))
+SUMPRODUCT(-('Diário 8º PA'!$E$5:$E$2488='Analítico Cp.'!$B70),-('Diário 8º PA'!$Q$5:$Q$2488=H$1),('Diário 8º PA'!$F$5:$F$2488))
+SUMPRODUCT(-('Comp.'!$D$5:$D$313='Analítico Cp.'!$B70),-('Comp.'!$R$5:$R$313=H$1),('Comp.'!$E$5:$E$313))</f>
        <v>0</v>
      </c>
      <c r="I70" s="185">
        <f>SUMPRODUCT(-('Diário 5º PA'!$E$5:$E$2634='Analítico Cp.'!$B70),-('Diário 5º PA'!$Q$5:$Q$2634=I$1),('Diário 5º PA'!$F$5:$F$2634))
+SUMPRODUCT(-('Diário 6º PA'!$E$5:$E$2246='Analítico Cp.'!$B70),-('Diário 6º PA'!$Q$5:$Q$2246=I$1),('Diário 6º PA'!$F$5:$F$2246))
+SUMPRODUCT(-('Diário 7º PA'!$E$5:$E$2271='Analítico Cp.'!$B70),-('Diário 7º PA'!$Q$5:$Q$2271=I$1),('Diário 7º PA'!$F$5:$F$2271))
+SUMPRODUCT(-('Diário 8º PA'!$E$5:$E$2488='Analítico Cp.'!$B70),-('Diário 8º PA'!$Q$5:$Q$2488=I$1),('Diário 8º PA'!$F$5:$F$2488))
+SUMPRODUCT(-('Comp.'!$D$5:$D$313='Analítico Cp.'!$B70),-('Comp.'!$R$5:$R$313=I$1),('Comp.'!$E$5:$E$313))</f>
        <v>0</v>
      </c>
      <c r="J70" s="185">
        <f>SUMPRODUCT(-('Diário 5º PA'!$E$5:$E$2634='Analítico Cp.'!$B70),-('Diário 5º PA'!$Q$5:$Q$2634=J$1),('Diário 5º PA'!$F$5:$F$2634))
+SUMPRODUCT(-('Diário 6º PA'!$E$5:$E$2246='Analítico Cp.'!$B70),-('Diário 6º PA'!$Q$5:$Q$2246=J$1),('Diário 6º PA'!$F$5:$F$2246))
+SUMPRODUCT(-('Diário 7º PA'!$E$5:$E$2271='Analítico Cp.'!$B70),-('Diário 7º PA'!$Q$5:$Q$2271=J$1),('Diário 7º PA'!$F$5:$F$2271))
+SUMPRODUCT(-('Diário 8º PA'!$E$5:$E$2488='Analítico Cp.'!$B70),-('Diário 8º PA'!$Q$5:$Q$2488=J$1),('Diário 8º PA'!$F$5:$F$2488))
+SUMPRODUCT(-('Comp.'!$D$5:$D$313='Analítico Cp.'!$B70),-('Comp.'!$R$5:$R$313=J$1),('Comp.'!$E$5:$E$313))</f>
        <v>0</v>
      </c>
      <c r="K70" s="185">
        <f>SUMPRODUCT(-('Diário 5º PA'!$E$5:$E$2634='Analítico Cp.'!$B70),-('Diário 5º PA'!$Q$5:$Q$2634=K$1),('Diário 5º PA'!$F$5:$F$2634))
+SUMPRODUCT(-('Diário 6º PA'!$E$5:$E$2246='Analítico Cp.'!$B70),-('Diário 6º PA'!$Q$5:$Q$2246=K$1),('Diário 6º PA'!$F$5:$F$2246))
+SUMPRODUCT(-('Diário 7º PA'!$E$5:$E$2271='Analítico Cp.'!$B70),-('Diário 7º PA'!$Q$5:$Q$2271=K$1),('Diário 7º PA'!$F$5:$F$2271))
+SUMPRODUCT(-('Diário 8º PA'!$E$5:$E$2488='Analítico Cp.'!$B70),-('Diário 8º PA'!$Q$5:$Q$2488=K$1),('Diário 8º PA'!$F$5:$F$2488))
+SUMPRODUCT(-('Comp.'!$D$5:$D$313='Analítico Cp.'!$B70),-('Comp.'!$R$5:$R$313=K$1),('Comp.'!$E$5:$E$313))</f>
        <v>0</v>
      </c>
      <c r="L70" s="185">
        <f>SUMPRODUCT(-('Diário 5º PA'!$E$5:$E$2634='Analítico Cp.'!$B70),-('Diário 5º PA'!$Q$5:$Q$2634=L$1),('Diário 5º PA'!$F$5:$F$2634))
+SUMPRODUCT(-('Diário 6º PA'!$E$5:$E$2246='Analítico Cp.'!$B70),-('Diário 6º PA'!$Q$5:$Q$2246=L$1),('Diário 6º PA'!$F$5:$F$2246))
+SUMPRODUCT(-('Diário 7º PA'!$E$5:$E$2271='Analítico Cp.'!$B70),-('Diário 7º PA'!$Q$5:$Q$2271=L$1),('Diário 7º PA'!$F$5:$F$2271))
+SUMPRODUCT(-('Diário 8º PA'!$E$5:$E$2488='Analítico Cp.'!$B70),-('Diário 8º PA'!$Q$5:$Q$2488=L$1),('Diário 8º PA'!$F$5:$F$2488))
+SUMPRODUCT(-('Comp.'!$D$5:$D$313='Analítico Cp.'!$B70),-('Comp.'!$R$5:$R$313=L$1),('Comp.'!$E$5:$E$313))</f>
        <v>0</v>
      </c>
      <c r="M70" s="185">
        <f>SUMPRODUCT(-('Diário 5º PA'!$E$5:$E$2634='Analítico Cp.'!$B70),-('Diário 5º PA'!$Q$5:$Q$2634=M$1),('Diário 5º PA'!$F$5:$F$2634))
+SUMPRODUCT(-('Diário 6º PA'!$E$5:$E$2246='Analítico Cp.'!$B70),-('Diário 6º PA'!$Q$5:$Q$2246=M$1),('Diário 6º PA'!$F$5:$F$2246))
+SUMPRODUCT(-('Diário 7º PA'!$E$5:$E$2271='Analítico Cp.'!$B70),-('Diário 7º PA'!$Q$5:$Q$2271=M$1),('Diário 7º PA'!$F$5:$F$2271))
+SUMPRODUCT(-('Diário 8º PA'!$E$5:$E$2488='Analítico Cp.'!$B70),-('Diário 8º PA'!$Q$5:$Q$2488=M$1),('Diário 8º PA'!$F$5:$F$2488))
+SUMPRODUCT(-('Comp.'!$D$5:$D$313='Analítico Cp.'!$B70),-('Comp.'!$R$5:$R$313=M$1),('Comp.'!$E$5:$E$313))</f>
        <v>0</v>
      </c>
      <c r="N70" s="185">
        <f>SUMPRODUCT(-('Diário 5º PA'!$E$5:$E$2634='Analítico Cp.'!$B70),-('Diário 5º PA'!$Q$5:$Q$2634=N$1),('Diário 5º PA'!$F$5:$F$2634))
+SUMPRODUCT(-('Diário 6º PA'!$E$5:$E$2246='Analítico Cp.'!$B70),-('Diário 6º PA'!$Q$5:$Q$2246=N$1),('Diário 6º PA'!$F$5:$F$2246))
+SUMPRODUCT(-('Diário 7º PA'!$E$5:$E$2271='Analítico Cp.'!$B70),-('Diário 7º PA'!$Q$5:$Q$2271=N$1),('Diário 7º PA'!$F$5:$F$2271))
+SUMPRODUCT(-('Diário 8º PA'!$E$5:$E$2488='Analítico Cp.'!$B70),-('Diário 8º PA'!$Q$5:$Q$2488=N$1),('Diário 8º PA'!$F$5:$F$2488))
+SUMPRODUCT(-('Comp.'!$D$5:$D$313='Analítico Cp.'!$B70),-('Comp.'!$R$5:$R$313=N$1),('Comp.'!$E$5:$E$313))</f>
        <v>0</v>
      </c>
      <c r="O70" s="186">
        <f t="shared" si="16"/>
        <v>0</v>
      </c>
      <c r="P70" s="187">
        <f t="shared" si="17"/>
        <v>0</v>
      </c>
      <c r="Q70" s="34"/>
      <c r="R70" s="34"/>
      <c r="S70" s="34"/>
      <c r="T70" s="34"/>
      <c r="U70" s="34"/>
      <c r="V70" s="34"/>
      <c r="W70" s="34"/>
      <c r="X70" s="34"/>
      <c r="Y70" s="34"/>
      <c r="Z70" s="34"/>
    </row>
    <row r="71" spans="1:26" ht="23.25" customHeight="1" x14ac:dyDescent="0.2">
      <c r="A71" s="203" t="s">
        <v>239</v>
      </c>
      <c r="B71" s="72" t="s">
        <v>240</v>
      </c>
      <c r="C71" s="185">
        <f>SUMPRODUCT(-('Diário 5º PA'!$E$5:$E$2634='Analítico Cp.'!$B71),-('Diário 5º PA'!$Q$5:$Q$2634=C$1),('Diário 5º PA'!$F$5:$F$2634))
+SUMPRODUCT(-('Diário 6º PA'!$E$5:$E$2246='Analítico Cp.'!$B71),-('Diário 6º PA'!$Q$5:$Q$2246=C$1),('Diário 6º PA'!$F$5:$F$2246))
+SUMPRODUCT(-('Diário 7º PA'!$E$5:$E$2271='Analítico Cp.'!$B71),-('Diário 7º PA'!$Q$5:$Q$2271=C$1),('Diário 7º PA'!$F$5:$F$2271))
+SUMPRODUCT(-('Diário 8º PA'!$E$5:$E$2488='Analítico Cp.'!$B71),-('Diário 8º PA'!$Q$5:$Q$2488=C$1),('Diário 8º PA'!$F$5:$F$2488))
+SUMPRODUCT(-('Comp.'!$D$5:$D$313='Analítico Cp.'!$B71),-('Comp.'!$R$5:$R$313=C$1),('Comp.'!$E$5:$E$313))</f>
        <v>0</v>
      </c>
      <c r="D71" s="185">
        <f>SUMPRODUCT(-('Diário 5º PA'!$E$5:$E$2634='Analítico Cp.'!$B71),-('Diário 5º PA'!$Q$5:$Q$2634=D$1),('Diário 5º PA'!$F$5:$F$2634))
+SUMPRODUCT(-('Diário 6º PA'!$E$5:$E$2246='Analítico Cp.'!$B71),-('Diário 6º PA'!$Q$5:$Q$2246=D$1),('Diário 6º PA'!$F$5:$F$2246))
+SUMPRODUCT(-('Diário 7º PA'!$E$5:$E$2271='Analítico Cp.'!$B71),-('Diário 7º PA'!$Q$5:$Q$2271=D$1),('Diário 7º PA'!$F$5:$F$2271))
+SUMPRODUCT(-('Diário 8º PA'!$E$5:$E$2488='Analítico Cp.'!$B71),-('Diário 8º PA'!$Q$5:$Q$2488=D$1),('Diário 8º PA'!$F$5:$F$2488))
+SUMPRODUCT(-('Comp.'!$D$5:$D$313='Analítico Cp.'!$B71),-('Comp.'!$R$5:$R$313=D$1),('Comp.'!$E$5:$E$313))</f>
        <v>0</v>
      </c>
      <c r="E71" s="185">
        <f>SUMPRODUCT(-('Diário 5º PA'!$E$5:$E$2634='Analítico Cp.'!$B71),-('Diário 5º PA'!$Q$5:$Q$2634=E$1),('Diário 5º PA'!$F$5:$F$2634))
+SUMPRODUCT(-('Diário 6º PA'!$E$5:$E$2246='Analítico Cp.'!$B71),-('Diário 6º PA'!$Q$5:$Q$2246=E$1),('Diário 6º PA'!$F$5:$F$2246))
+SUMPRODUCT(-('Diário 7º PA'!$E$5:$E$2271='Analítico Cp.'!$B71),-('Diário 7º PA'!$Q$5:$Q$2271=E$1),('Diário 7º PA'!$F$5:$F$2271))
+SUMPRODUCT(-('Diário 8º PA'!$E$5:$E$2488='Analítico Cp.'!$B71),-('Diário 8º PA'!$Q$5:$Q$2488=E$1),('Diário 8º PA'!$F$5:$F$2488))
+SUMPRODUCT(-('Comp.'!$D$5:$D$313='Analítico Cp.'!$B71),-('Comp.'!$R$5:$R$313=E$1),('Comp.'!$E$5:$E$313))</f>
        <v>0</v>
      </c>
      <c r="F71" s="185">
        <f>SUMPRODUCT(-('Diário 5º PA'!$E$5:$E$2634='Analítico Cp.'!$B71),-('Diário 5º PA'!$Q$5:$Q$2634=F$1),('Diário 5º PA'!$F$5:$F$2634))
+SUMPRODUCT(-('Diário 6º PA'!$E$5:$E$2246='Analítico Cp.'!$B71),-('Diário 6º PA'!$Q$5:$Q$2246=F$1),('Diário 6º PA'!$F$5:$F$2246))
+SUMPRODUCT(-('Diário 7º PA'!$E$5:$E$2271='Analítico Cp.'!$B71),-('Diário 7º PA'!$Q$5:$Q$2271=F$1),('Diário 7º PA'!$F$5:$F$2271))
+SUMPRODUCT(-('Diário 8º PA'!$E$5:$E$2488='Analítico Cp.'!$B71),-('Diário 8º PA'!$Q$5:$Q$2488=F$1),('Diário 8º PA'!$F$5:$F$2488))
+SUMPRODUCT(-('Comp.'!$D$5:$D$313='Analítico Cp.'!$B71),-('Comp.'!$R$5:$R$313=F$1),('Comp.'!$E$5:$E$313))</f>
        <v>0</v>
      </c>
      <c r="G71" s="185">
        <f>SUMPRODUCT(-('Diário 5º PA'!$E$5:$E$2634='Analítico Cp.'!$B71),-('Diário 5º PA'!$Q$5:$Q$2634=G$1),('Diário 5º PA'!$F$5:$F$2634))
+SUMPRODUCT(-('Diário 6º PA'!$E$5:$E$2246='Analítico Cp.'!$B71),-('Diário 6º PA'!$Q$5:$Q$2246=G$1),('Diário 6º PA'!$F$5:$F$2246))
+SUMPRODUCT(-('Diário 7º PA'!$E$5:$E$2271='Analítico Cp.'!$B71),-('Diário 7º PA'!$Q$5:$Q$2271=G$1),('Diário 7º PA'!$F$5:$F$2271))
+SUMPRODUCT(-('Diário 8º PA'!$E$5:$E$2488='Analítico Cp.'!$B71),-('Diário 8º PA'!$Q$5:$Q$2488=G$1),('Diário 8º PA'!$F$5:$F$2488))
+SUMPRODUCT(-('Comp.'!$D$5:$D$313='Analítico Cp.'!$B71),-('Comp.'!$R$5:$R$313=G$1),('Comp.'!$E$5:$E$313))</f>
        <v>0</v>
      </c>
      <c r="H71" s="185">
        <f>SUMPRODUCT(-('Diário 5º PA'!$E$5:$E$2634='Analítico Cp.'!$B71),-('Diário 5º PA'!$Q$5:$Q$2634=H$1),('Diário 5º PA'!$F$5:$F$2634))
+SUMPRODUCT(-('Diário 6º PA'!$E$5:$E$2246='Analítico Cp.'!$B71),-('Diário 6º PA'!$Q$5:$Q$2246=H$1),('Diário 6º PA'!$F$5:$F$2246))
+SUMPRODUCT(-('Diário 7º PA'!$E$5:$E$2271='Analítico Cp.'!$B71),-('Diário 7º PA'!$Q$5:$Q$2271=H$1),('Diário 7º PA'!$F$5:$F$2271))
+SUMPRODUCT(-('Diário 8º PA'!$E$5:$E$2488='Analítico Cp.'!$B71),-('Diário 8º PA'!$Q$5:$Q$2488=H$1),('Diário 8º PA'!$F$5:$F$2488))
+SUMPRODUCT(-('Comp.'!$D$5:$D$313='Analítico Cp.'!$B71),-('Comp.'!$R$5:$R$313=H$1),('Comp.'!$E$5:$E$313))</f>
        <v>0</v>
      </c>
      <c r="I71" s="185">
        <f>SUMPRODUCT(-('Diário 5º PA'!$E$5:$E$2634='Analítico Cp.'!$B71),-('Diário 5º PA'!$Q$5:$Q$2634=I$1),('Diário 5º PA'!$F$5:$F$2634))
+SUMPRODUCT(-('Diário 6º PA'!$E$5:$E$2246='Analítico Cp.'!$B71),-('Diário 6º PA'!$Q$5:$Q$2246=I$1),('Diário 6º PA'!$F$5:$F$2246))
+SUMPRODUCT(-('Diário 7º PA'!$E$5:$E$2271='Analítico Cp.'!$B71),-('Diário 7º PA'!$Q$5:$Q$2271=I$1),('Diário 7º PA'!$F$5:$F$2271))
+SUMPRODUCT(-('Diário 8º PA'!$E$5:$E$2488='Analítico Cp.'!$B71),-('Diário 8º PA'!$Q$5:$Q$2488=I$1),('Diário 8º PA'!$F$5:$F$2488))
+SUMPRODUCT(-('Comp.'!$D$5:$D$313='Analítico Cp.'!$B71),-('Comp.'!$R$5:$R$313=I$1),('Comp.'!$E$5:$E$313))</f>
        <v>0</v>
      </c>
      <c r="J71" s="185">
        <f>SUMPRODUCT(-('Diário 5º PA'!$E$5:$E$2634='Analítico Cp.'!$B71),-('Diário 5º PA'!$Q$5:$Q$2634=J$1),('Diário 5º PA'!$F$5:$F$2634))
+SUMPRODUCT(-('Diário 6º PA'!$E$5:$E$2246='Analítico Cp.'!$B71),-('Diário 6º PA'!$Q$5:$Q$2246=J$1),('Diário 6º PA'!$F$5:$F$2246))
+SUMPRODUCT(-('Diário 7º PA'!$E$5:$E$2271='Analítico Cp.'!$B71),-('Diário 7º PA'!$Q$5:$Q$2271=J$1),('Diário 7º PA'!$F$5:$F$2271))
+SUMPRODUCT(-('Diário 8º PA'!$E$5:$E$2488='Analítico Cp.'!$B71),-('Diário 8º PA'!$Q$5:$Q$2488=J$1),('Diário 8º PA'!$F$5:$F$2488))
+SUMPRODUCT(-('Comp.'!$D$5:$D$313='Analítico Cp.'!$B71),-('Comp.'!$R$5:$R$313=J$1),('Comp.'!$E$5:$E$313))</f>
        <v>0</v>
      </c>
      <c r="K71" s="185">
        <f>SUMPRODUCT(-('Diário 5º PA'!$E$5:$E$2634='Analítico Cp.'!$B71),-('Diário 5º PA'!$Q$5:$Q$2634=K$1),('Diário 5º PA'!$F$5:$F$2634))
+SUMPRODUCT(-('Diário 6º PA'!$E$5:$E$2246='Analítico Cp.'!$B71),-('Diário 6º PA'!$Q$5:$Q$2246=K$1),('Diário 6º PA'!$F$5:$F$2246))
+SUMPRODUCT(-('Diário 7º PA'!$E$5:$E$2271='Analítico Cp.'!$B71),-('Diário 7º PA'!$Q$5:$Q$2271=K$1),('Diário 7º PA'!$F$5:$F$2271))
+SUMPRODUCT(-('Diário 8º PA'!$E$5:$E$2488='Analítico Cp.'!$B71),-('Diário 8º PA'!$Q$5:$Q$2488=K$1),('Diário 8º PA'!$F$5:$F$2488))
+SUMPRODUCT(-('Comp.'!$D$5:$D$313='Analítico Cp.'!$B71),-('Comp.'!$R$5:$R$313=K$1),('Comp.'!$E$5:$E$313))</f>
        <v>0</v>
      </c>
      <c r="L71" s="185">
        <f>SUMPRODUCT(-('Diário 5º PA'!$E$5:$E$2634='Analítico Cp.'!$B71),-('Diário 5º PA'!$Q$5:$Q$2634=L$1),('Diário 5º PA'!$F$5:$F$2634))
+SUMPRODUCT(-('Diário 6º PA'!$E$5:$E$2246='Analítico Cp.'!$B71),-('Diário 6º PA'!$Q$5:$Q$2246=L$1),('Diário 6º PA'!$F$5:$F$2246))
+SUMPRODUCT(-('Diário 7º PA'!$E$5:$E$2271='Analítico Cp.'!$B71),-('Diário 7º PA'!$Q$5:$Q$2271=L$1),('Diário 7º PA'!$F$5:$F$2271))
+SUMPRODUCT(-('Diário 8º PA'!$E$5:$E$2488='Analítico Cp.'!$B71),-('Diário 8º PA'!$Q$5:$Q$2488=L$1),('Diário 8º PA'!$F$5:$F$2488))
+SUMPRODUCT(-('Comp.'!$D$5:$D$313='Analítico Cp.'!$B71),-('Comp.'!$R$5:$R$313=L$1),('Comp.'!$E$5:$E$313))</f>
        <v>0</v>
      </c>
      <c r="M71" s="185">
        <f>SUMPRODUCT(-('Diário 5º PA'!$E$5:$E$2634='Analítico Cp.'!$B71),-('Diário 5º PA'!$Q$5:$Q$2634=M$1),('Diário 5º PA'!$F$5:$F$2634))
+SUMPRODUCT(-('Diário 6º PA'!$E$5:$E$2246='Analítico Cp.'!$B71),-('Diário 6º PA'!$Q$5:$Q$2246=M$1),('Diário 6º PA'!$F$5:$F$2246))
+SUMPRODUCT(-('Diário 7º PA'!$E$5:$E$2271='Analítico Cp.'!$B71),-('Diário 7º PA'!$Q$5:$Q$2271=M$1),('Diário 7º PA'!$F$5:$F$2271))
+SUMPRODUCT(-('Diário 8º PA'!$E$5:$E$2488='Analítico Cp.'!$B71),-('Diário 8º PA'!$Q$5:$Q$2488=M$1),('Diário 8º PA'!$F$5:$F$2488))
+SUMPRODUCT(-('Comp.'!$D$5:$D$313='Analítico Cp.'!$B71),-('Comp.'!$R$5:$R$313=M$1),('Comp.'!$E$5:$E$313))</f>
        <v>1788.24</v>
      </c>
      <c r="N71" s="185">
        <f>SUMPRODUCT(-('Diário 5º PA'!$E$5:$E$2634='Analítico Cp.'!$B71),-('Diário 5º PA'!$Q$5:$Q$2634=N$1),('Diário 5º PA'!$F$5:$F$2634))
+SUMPRODUCT(-('Diário 6º PA'!$E$5:$E$2246='Analítico Cp.'!$B71),-('Diário 6º PA'!$Q$5:$Q$2246=N$1),('Diário 6º PA'!$F$5:$F$2246))
+SUMPRODUCT(-('Diário 7º PA'!$E$5:$E$2271='Analítico Cp.'!$B71),-('Diário 7º PA'!$Q$5:$Q$2271=N$1),('Diário 7º PA'!$F$5:$F$2271))
+SUMPRODUCT(-('Diário 8º PA'!$E$5:$E$2488='Analítico Cp.'!$B71),-('Diário 8º PA'!$Q$5:$Q$2488=N$1),('Diário 8º PA'!$F$5:$F$2488))
+SUMPRODUCT(-('Comp.'!$D$5:$D$313='Analítico Cp.'!$B71),-('Comp.'!$R$5:$R$313=N$1),('Comp.'!$E$5:$E$313))</f>
        <v>0</v>
      </c>
      <c r="O71" s="186">
        <f t="shared" si="16"/>
        <v>1788.24</v>
      </c>
      <c r="P71" s="187">
        <f t="shared" si="17"/>
        <v>1.8445008474330608E-4</v>
      </c>
      <c r="Q71" s="34"/>
      <c r="R71" s="34"/>
      <c r="S71" s="34"/>
      <c r="T71" s="34"/>
      <c r="U71" s="34"/>
      <c r="V71" s="34"/>
      <c r="W71" s="34"/>
      <c r="X71" s="34"/>
      <c r="Y71" s="34"/>
      <c r="Z71" s="34"/>
    </row>
    <row r="72" spans="1:26" ht="23.25" customHeight="1" x14ac:dyDescent="0.2">
      <c r="A72" s="203" t="s">
        <v>241</v>
      </c>
      <c r="B72" s="72" t="s">
        <v>242</v>
      </c>
      <c r="C72" s="185">
        <f>SUMPRODUCT(-('Diário 5º PA'!$E$5:$E$2634='Analítico Cp.'!$B72),-('Diário 5º PA'!$Q$5:$Q$2634=C$1),('Diário 5º PA'!$F$5:$F$2634))
+SUMPRODUCT(-('Diário 6º PA'!$E$5:$E$2246='Analítico Cp.'!$B72),-('Diário 6º PA'!$Q$5:$Q$2246=C$1),('Diário 6º PA'!$F$5:$F$2246))
+SUMPRODUCT(-('Diário 7º PA'!$E$5:$E$2271='Analítico Cp.'!$B72),-('Diário 7º PA'!$Q$5:$Q$2271=C$1),('Diário 7º PA'!$F$5:$F$2271))
+SUMPRODUCT(-('Diário 8º PA'!$E$5:$E$2488='Analítico Cp.'!$B72),-('Diário 8º PA'!$Q$5:$Q$2488=C$1),('Diário 8º PA'!$F$5:$F$2488))
+SUMPRODUCT(-('Comp.'!$D$5:$D$313='Analítico Cp.'!$B72),-('Comp.'!$R$5:$R$313=C$1),('Comp.'!$E$5:$E$313))</f>
        <v>0</v>
      </c>
      <c r="D72" s="185">
        <f>SUMPRODUCT(-('Diário 5º PA'!$E$5:$E$2634='Analítico Cp.'!$B72),-('Diário 5º PA'!$Q$5:$Q$2634=D$1),('Diário 5º PA'!$F$5:$F$2634))
+SUMPRODUCT(-('Diário 6º PA'!$E$5:$E$2246='Analítico Cp.'!$B72),-('Diário 6º PA'!$Q$5:$Q$2246=D$1),('Diário 6º PA'!$F$5:$F$2246))
+SUMPRODUCT(-('Diário 7º PA'!$E$5:$E$2271='Analítico Cp.'!$B72),-('Diário 7º PA'!$Q$5:$Q$2271=D$1),('Diário 7º PA'!$F$5:$F$2271))
+SUMPRODUCT(-('Diário 8º PA'!$E$5:$E$2488='Analítico Cp.'!$B72),-('Diário 8º PA'!$Q$5:$Q$2488=D$1),('Diário 8º PA'!$F$5:$F$2488))
+SUMPRODUCT(-('Comp.'!$D$5:$D$313='Analítico Cp.'!$B72),-('Comp.'!$R$5:$R$313=D$1),('Comp.'!$E$5:$E$313))</f>
        <v>0</v>
      </c>
      <c r="E72" s="185">
        <f>SUMPRODUCT(-('Diário 5º PA'!$E$5:$E$2634='Analítico Cp.'!$B72),-('Diário 5º PA'!$Q$5:$Q$2634=E$1),('Diário 5º PA'!$F$5:$F$2634))
+SUMPRODUCT(-('Diário 6º PA'!$E$5:$E$2246='Analítico Cp.'!$B72),-('Diário 6º PA'!$Q$5:$Q$2246=E$1),('Diário 6º PA'!$F$5:$F$2246))
+SUMPRODUCT(-('Diário 7º PA'!$E$5:$E$2271='Analítico Cp.'!$B72),-('Diário 7º PA'!$Q$5:$Q$2271=E$1),('Diário 7º PA'!$F$5:$F$2271))
+SUMPRODUCT(-('Diário 8º PA'!$E$5:$E$2488='Analítico Cp.'!$B72),-('Diário 8º PA'!$Q$5:$Q$2488=E$1),('Diário 8º PA'!$F$5:$F$2488))
+SUMPRODUCT(-('Comp.'!$D$5:$D$313='Analítico Cp.'!$B72),-('Comp.'!$R$5:$R$313=E$1),('Comp.'!$E$5:$E$313))</f>
        <v>0</v>
      </c>
      <c r="F72" s="185">
        <f>SUMPRODUCT(-('Diário 5º PA'!$E$5:$E$2634='Analítico Cp.'!$B72),-('Diário 5º PA'!$Q$5:$Q$2634=F$1),('Diário 5º PA'!$F$5:$F$2634))
+SUMPRODUCT(-('Diário 6º PA'!$E$5:$E$2246='Analítico Cp.'!$B72),-('Diário 6º PA'!$Q$5:$Q$2246=F$1),('Diário 6º PA'!$F$5:$F$2246))
+SUMPRODUCT(-('Diário 7º PA'!$E$5:$E$2271='Analítico Cp.'!$B72),-('Diário 7º PA'!$Q$5:$Q$2271=F$1),('Diário 7º PA'!$F$5:$F$2271))
+SUMPRODUCT(-('Diário 8º PA'!$E$5:$E$2488='Analítico Cp.'!$B72),-('Diário 8º PA'!$Q$5:$Q$2488=F$1),('Diário 8º PA'!$F$5:$F$2488))
+SUMPRODUCT(-('Comp.'!$D$5:$D$313='Analítico Cp.'!$B72),-('Comp.'!$R$5:$R$313=F$1),('Comp.'!$E$5:$E$313))</f>
        <v>0</v>
      </c>
      <c r="G72" s="185">
        <f>SUMPRODUCT(-('Diário 5º PA'!$E$5:$E$2634='Analítico Cp.'!$B72),-('Diário 5º PA'!$Q$5:$Q$2634=G$1),('Diário 5º PA'!$F$5:$F$2634))
+SUMPRODUCT(-('Diário 6º PA'!$E$5:$E$2246='Analítico Cp.'!$B72),-('Diário 6º PA'!$Q$5:$Q$2246=G$1),('Diário 6º PA'!$F$5:$F$2246))
+SUMPRODUCT(-('Diário 7º PA'!$E$5:$E$2271='Analítico Cp.'!$B72),-('Diário 7º PA'!$Q$5:$Q$2271=G$1),('Diário 7º PA'!$F$5:$F$2271))
+SUMPRODUCT(-('Diário 8º PA'!$E$5:$E$2488='Analítico Cp.'!$B72),-('Diário 8º PA'!$Q$5:$Q$2488=G$1),('Diário 8º PA'!$F$5:$F$2488))
+SUMPRODUCT(-('Comp.'!$D$5:$D$313='Analítico Cp.'!$B72),-('Comp.'!$R$5:$R$313=G$1),('Comp.'!$E$5:$E$313))</f>
        <v>0</v>
      </c>
      <c r="H72" s="185">
        <f>SUMPRODUCT(-('Diário 5º PA'!$E$5:$E$2634='Analítico Cp.'!$B72),-('Diário 5º PA'!$Q$5:$Q$2634=H$1),('Diário 5º PA'!$F$5:$F$2634))
+SUMPRODUCT(-('Diário 6º PA'!$E$5:$E$2246='Analítico Cp.'!$B72),-('Diário 6º PA'!$Q$5:$Q$2246=H$1),('Diário 6º PA'!$F$5:$F$2246))
+SUMPRODUCT(-('Diário 7º PA'!$E$5:$E$2271='Analítico Cp.'!$B72),-('Diário 7º PA'!$Q$5:$Q$2271=H$1),('Diário 7º PA'!$F$5:$F$2271))
+SUMPRODUCT(-('Diário 8º PA'!$E$5:$E$2488='Analítico Cp.'!$B72),-('Diário 8º PA'!$Q$5:$Q$2488=H$1),('Diário 8º PA'!$F$5:$F$2488))
+SUMPRODUCT(-('Comp.'!$D$5:$D$313='Analítico Cp.'!$B72),-('Comp.'!$R$5:$R$313=H$1),('Comp.'!$E$5:$E$313))</f>
        <v>0</v>
      </c>
      <c r="I72" s="185">
        <f>SUMPRODUCT(-('Diário 5º PA'!$E$5:$E$2634='Analítico Cp.'!$B72),-('Diário 5º PA'!$Q$5:$Q$2634=I$1),('Diário 5º PA'!$F$5:$F$2634))
+SUMPRODUCT(-('Diário 6º PA'!$E$5:$E$2246='Analítico Cp.'!$B72),-('Diário 6º PA'!$Q$5:$Q$2246=I$1),('Diário 6º PA'!$F$5:$F$2246))
+SUMPRODUCT(-('Diário 7º PA'!$E$5:$E$2271='Analítico Cp.'!$B72),-('Diário 7º PA'!$Q$5:$Q$2271=I$1),('Diário 7º PA'!$F$5:$F$2271))
+SUMPRODUCT(-('Diário 8º PA'!$E$5:$E$2488='Analítico Cp.'!$B72),-('Diário 8º PA'!$Q$5:$Q$2488=I$1),('Diário 8º PA'!$F$5:$F$2488))
+SUMPRODUCT(-('Comp.'!$D$5:$D$313='Analítico Cp.'!$B72),-('Comp.'!$R$5:$R$313=I$1),('Comp.'!$E$5:$E$313))</f>
        <v>0</v>
      </c>
      <c r="J72" s="185">
        <f>SUMPRODUCT(-('Diário 5º PA'!$E$5:$E$2634='Analítico Cp.'!$B72),-('Diário 5º PA'!$Q$5:$Q$2634=J$1),('Diário 5º PA'!$F$5:$F$2634))
+SUMPRODUCT(-('Diário 6º PA'!$E$5:$E$2246='Analítico Cp.'!$B72),-('Diário 6º PA'!$Q$5:$Q$2246=J$1),('Diário 6º PA'!$F$5:$F$2246))
+SUMPRODUCT(-('Diário 7º PA'!$E$5:$E$2271='Analítico Cp.'!$B72),-('Diário 7º PA'!$Q$5:$Q$2271=J$1),('Diário 7º PA'!$F$5:$F$2271))
+SUMPRODUCT(-('Diário 8º PA'!$E$5:$E$2488='Analítico Cp.'!$B72),-('Diário 8º PA'!$Q$5:$Q$2488=J$1),('Diário 8º PA'!$F$5:$F$2488))
+SUMPRODUCT(-('Comp.'!$D$5:$D$313='Analítico Cp.'!$B72),-('Comp.'!$R$5:$R$313=J$1),('Comp.'!$E$5:$E$313))</f>
        <v>0</v>
      </c>
      <c r="K72" s="185">
        <f>SUMPRODUCT(-('Diário 5º PA'!$E$5:$E$2634='Analítico Cp.'!$B72),-('Diário 5º PA'!$Q$5:$Q$2634=K$1),('Diário 5º PA'!$F$5:$F$2634))
+SUMPRODUCT(-('Diário 6º PA'!$E$5:$E$2246='Analítico Cp.'!$B72),-('Diário 6º PA'!$Q$5:$Q$2246=K$1),('Diário 6º PA'!$F$5:$F$2246))
+SUMPRODUCT(-('Diário 7º PA'!$E$5:$E$2271='Analítico Cp.'!$B72),-('Diário 7º PA'!$Q$5:$Q$2271=K$1),('Diário 7º PA'!$F$5:$F$2271))
+SUMPRODUCT(-('Diário 8º PA'!$E$5:$E$2488='Analítico Cp.'!$B72),-('Diário 8º PA'!$Q$5:$Q$2488=K$1),('Diário 8º PA'!$F$5:$F$2488))
+SUMPRODUCT(-('Comp.'!$D$5:$D$313='Analítico Cp.'!$B72),-('Comp.'!$R$5:$R$313=K$1),('Comp.'!$E$5:$E$313))</f>
        <v>0</v>
      </c>
      <c r="L72" s="185">
        <f>SUMPRODUCT(-('Diário 5º PA'!$E$5:$E$2634='Analítico Cp.'!$B72),-('Diário 5º PA'!$Q$5:$Q$2634=L$1),('Diário 5º PA'!$F$5:$F$2634))
+SUMPRODUCT(-('Diário 6º PA'!$E$5:$E$2246='Analítico Cp.'!$B72),-('Diário 6º PA'!$Q$5:$Q$2246=L$1),('Diário 6º PA'!$F$5:$F$2246))
+SUMPRODUCT(-('Diário 7º PA'!$E$5:$E$2271='Analítico Cp.'!$B72),-('Diário 7º PA'!$Q$5:$Q$2271=L$1),('Diário 7º PA'!$F$5:$F$2271))
+SUMPRODUCT(-('Diário 8º PA'!$E$5:$E$2488='Analítico Cp.'!$B72),-('Diário 8º PA'!$Q$5:$Q$2488=L$1),('Diário 8º PA'!$F$5:$F$2488))
+SUMPRODUCT(-('Comp.'!$D$5:$D$313='Analítico Cp.'!$B72),-('Comp.'!$R$5:$R$313=L$1),('Comp.'!$E$5:$E$313))</f>
        <v>0</v>
      </c>
      <c r="M72" s="185">
        <f>SUMPRODUCT(-('Diário 5º PA'!$E$5:$E$2634='Analítico Cp.'!$B72),-('Diário 5º PA'!$Q$5:$Q$2634=M$1),('Diário 5º PA'!$F$5:$F$2634))
+SUMPRODUCT(-('Diário 6º PA'!$E$5:$E$2246='Analítico Cp.'!$B72),-('Diário 6º PA'!$Q$5:$Q$2246=M$1),('Diário 6º PA'!$F$5:$F$2246))
+SUMPRODUCT(-('Diário 7º PA'!$E$5:$E$2271='Analítico Cp.'!$B72),-('Diário 7º PA'!$Q$5:$Q$2271=M$1),('Diário 7º PA'!$F$5:$F$2271))
+SUMPRODUCT(-('Diário 8º PA'!$E$5:$E$2488='Analítico Cp.'!$B72),-('Diário 8º PA'!$Q$5:$Q$2488=M$1),('Diário 8º PA'!$F$5:$F$2488))
+SUMPRODUCT(-('Comp.'!$D$5:$D$313='Analítico Cp.'!$B72),-('Comp.'!$R$5:$R$313=M$1),('Comp.'!$E$5:$E$313))</f>
        <v>0</v>
      </c>
      <c r="N72" s="185">
        <f>SUMPRODUCT(-('Diário 5º PA'!$E$5:$E$2634='Analítico Cp.'!$B72),-('Diário 5º PA'!$Q$5:$Q$2634=N$1),('Diário 5º PA'!$F$5:$F$2634))
+SUMPRODUCT(-('Diário 6º PA'!$E$5:$E$2246='Analítico Cp.'!$B72),-('Diário 6º PA'!$Q$5:$Q$2246=N$1),('Diário 6º PA'!$F$5:$F$2246))
+SUMPRODUCT(-('Diário 7º PA'!$E$5:$E$2271='Analítico Cp.'!$B72),-('Diário 7º PA'!$Q$5:$Q$2271=N$1),('Diário 7º PA'!$F$5:$F$2271))
+SUMPRODUCT(-('Diário 8º PA'!$E$5:$E$2488='Analítico Cp.'!$B72),-('Diário 8º PA'!$Q$5:$Q$2488=N$1),('Diário 8º PA'!$F$5:$F$2488))
+SUMPRODUCT(-('Comp.'!$D$5:$D$313='Analítico Cp.'!$B72),-('Comp.'!$R$5:$R$313=N$1),('Comp.'!$E$5:$E$313))</f>
        <v>0</v>
      </c>
      <c r="O72" s="186">
        <f t="shared" si="16"/>
        <v>0</v>
      </c>
      <c r="P72" s="187">
        <f t="shared" si="17"/>
        <v>0</v>
      </c>
      <c r="Q72" s="34"/>
      <c r="R72" s="34"/>
      <c r="S72" s="34"/>
      <c r="T72" s="34"/>
      <c r="U72" s="34"/>
      <c r="V72" s="34"/>
      <c r="W72" s="34"/>
      <c r="X72" s="34"/>
      <c r="Y72" s="34"/>
      <c r="Z72" s="34"/>
    </row>
    <row r="73" spans="1:26" ht="23.25" customHeight="1" x14ac:dyDescent="0.2">
      <c r="A73" s="203" t="s">
        <v>243</v>
      </c>
      <c r="B73" s="72" t="s">
        <v>244</v>
      </c>
      <c r="C73" s="185">
        <f>SUMPRODUCT(-('Diário 5º PA'!$E$5:$E$2634='Analítico Cp.'!$B73),-('Diário 5º PA'!$Q$5:$Q$2634=C$1),('Diário 5º PA'!$F$5:$F$2634))
+SUMPRODUCT(-('Diário 6º PA'!$E$5:$E$2246='Analítico Cp.'!$B73),-('Diário 6º PA'!$Q$5:$Q$2246=C$1),('Diário 6º PA'!$F$5:$F$2246))
+SUMPRODUCT(-('Diário 7º PA'!$E$5:$E$2271='Analítico Cp.'!$B73),-('Diário 7º PA'!$Q$5:$Q$2271=C$1),('Diário 7º PA'!$F$5:$F$2271))
+SUMPRODUCT(-('Diário 8º PA'!$E$5:$E$2488='Analítico Cp.'!$B73),-('Diário 8º PA'!$Q$5:$Q$2488=C$1),('Diário 8º PA'!$F$5:$F$2488))
+SUMPRODUCT(-('Comp.'!$D$5:$D$313='Analítico Cp.'!$B73),-('Comp.'!$R$5:$R$313=C$1),('Comp.'!$E$5:$E$313))</f>
        <v>812</v>
      </c>
      <c r="D73" s="185">
        <f>SUMPRODUCT(-('Diário 5º PA'!$E$5:$E$2634='Analítico Cp.'!$B73),-('Diário 5º PA'!$Q$5:$Q$2634=D$1),('Diário 5º PA'!$F$5:$F$2634))
+SUMPRODUCT(-('Diário 6º PA'!$E$5:$E$2246='Analítico Cp.'!$B73),-('Diário 6º PA'!$Q$5:$Q$2246=D$1),('Diário 6º PA'!$F$5:$F$2246))
+SUMPRODUCT(-('Diário 7º PA'!$E$5:$E$2271='Analítico Cp.'!$B73),-('Diário 7º PA'!$Q$5:$Q$2271=D$1),('Diário 7º PA'!$F$5:$F$2271))
+SUMPRODUCT(-('Diário 8º PA'!$E$5:$E$2488='Analítico Cp.'!$B73),-('Diário 8º PA'!$Q$5:$Q$2488=D$1),('Diário 8º PA'!$F$5:$F$2488))
+SUMPRODUCT(-('Comp.'!$D$5:$D$313='Analítico Cp.'!$B73),-('Comp.'!$R$5:$R$313=D$1),('Comp.'!$E$5:$E$313))</f>
        <v>812</v>
      </c>
      <c r="E73" s="185">
        <f>SUMPRODUCT(-('Diário 5º PA'!$E$5:$E$2634='Analítico Cp.'!$B73),-('Diário 5º PA'!$Q$5:$Q$2634=E$1),('Diário 5º PA'!$F$5:$F$2634))
+SUMPRODUCT(-('Diário 6º PA'!$E$5:$E$2246='Analítico Cp.'!$B73),-('Diário 6º PA'!$Q$5:$Q$2246=E$1),('Diário 6º PA'!$F$5:$F$2246))
+SUMPRODUCT(-('Diário 7º PA'!$E$5:$E$2271='Analítico Cp.'!$B73),-('Diário 7º PA'!$Q$5:$Q$2271=E$1),('Diário 7º PA'!$F$5:$F$2271))
+SUMPRODUCT(-('Diário 8º PA'!$E$5:$E$2488='Analítico Cp.'!$B73),-('Diário 8º PA'!$Q$5:$Q$2488=E$1),('Diário 8º PA'!$F$5:$F$2488))
+SUMPRODUCT(-('Comp.'!$D$5:$D$313='Analítico Cp.'!$B73),-('Comp.'!$R$5:$R$313=E$1),('Comp.'!$E$5:$E$313))</f>
        <v>898.16999999999985</v>
      </c>
      <c r="F73" s="185">
        <f>SUMPRODUCT(-('Diário 5º PA'!$E$5:$E$2634='Analítico Cp.'!$B73),-('Diário 5º PA'!$Q$5:$Q$2634=F$1),('Diário 5º PA'!$F$5:$F$2634))
+SUMPRODUCT(-('Diário 6º PA'!$E$5:$E$2246='Analítico Cp.'!$B73),-('Diário 6º PA'!$Q$5:$Q$2246=F$1),('Diário 6º PA'!$F$5:$F$2246))
+SUMPRODUCT(-('Diário 7º PA'!$E$5:$E$2271='Analítico Cp.'!$B73),-('Diário 7º PA'!$Q$5:$Q$2271=F$1),('Diário 7º PA'!$F$5:$F$2271))
+SUMPRODUCT(-('Diário 8º PA'!$E$5:$E$2488='Analítico Cp.'!$B73),-('Diário 8º PA'!$Q$5:$Q$2488=F$1),('Diário 8º PA'!$F$5:$F$2488))
+SUMPRODUCT(-('Comp.'!$D$5:$D$313='Analítico Cp.'!$B73),-('Comp.'!$R$5:$R$313=F$1),('Comp.'!$E$5:$E$313))</f>
        <v>2788.17</v>
      </c>
      <c r="G73" s="185">
        <f>SUMPRODUCT(-('Diário 5º PA'!$E$5:$E$2634='Analítico Cp.'!$B73),-('Diário 5º PA'!$Q$5:$Q$2634=G$1),('Diário 5º PA'!$F$5:$F$2634))
+SUMPRODUCT(-('Diário 6º PA'!$E$5:$E$2246='Analítico Cp.'!$B73),-('Diário 6º PA'!$Q$5:$Q$2246=G$1),('Diário 6º PA'!$F$5:$F$2246))
+SUMPRODUCT(-('Diário 7º PA'!$E$5:$E$2271='Analítico Cp.'!$B73),-('Diário 7º PA'!$Q$5:$Q$2271=G$1),('Diário 7º PA'!$F$5:$F$2271))
+SUMPRODUCT(-('Diário 8º PA'!$E$5:$E$2488='Analítico Cp.'!$B73),-('Diário 8º PA'!$Q$5:$Q$2488=G$1),('Diário 8º PA'!$F$5:$F$2488))
+SUMPRODUCT(-('Comp.'!$D$5:$D$313='Analítico Cp.'!$B73),-('Comp.'!$R$5:$R$313=G$1),('Comp.'!$E$5:$E$313))</f>
        <v>2788.17</v>
      </c>
      <c r="H73" s="185">
        <f>SUMPRODUCT(-('Diário 5º PA'!$E$5:$E$2634='Analítico Cp.'!$B73),-('Diário 5º PA'!$Q$5:$Q$2634=H$1),('Diário 5º PA'!$F$5:$F$2634))
+SUMPRODUCT(-('Diário 6º PA'!$E$5:$E$2246='Analítico Cp.'!$B73),-('Diário 6º PA'!$Q$5:$Q$2246=H$1),('Diário 6º PA'!$F$5:$F$2246))
+SUMPRODUCT(-('Diário 7º PA'!$E$5:$E$2271='Analítico Cp.'!$B73),-('Diário 7º PA'!$Q$5:$Q$2271=H$1),('Diário 7º PA'!$F$5:$F$2271))
+SUMPRODUCT(-('Diário 8º PA'!$E$5:$E$2488='Analítico Cp.'!$B73),-('Diário 8º PA'!$Q$5:$Q$2488=H$1),('Diário 8º PA'!$F$5:$F$2488))
+SUMPRODUCT(-('Comp.'!$D$5:$D$313='Analítico Cp.'!$B73),-('Comp.'!$R$5:$R$313=H$1),('Comp.'!$E$5:$E$313))</f>
        <v>2680.55</v>
      </c>
      <c r="I73" s="185">
        <f>SUMPRODUCT(-('Diário 5º PA'!$E$5:$E$2634='Analítico Cp.'!$B73),-('Diário 5º PA'!$Q$5:$Q$2634=I$1),('Diário 5º PA'!$F$5:$F$2634))
+SUMPRODUCT(-('Diário 6º PA'!$E$5:$E$2246='Analítico Cp.'!$B73),-('Diário 6º PA'!$Q$5:$Q$2246=I$1),('Diário 6º PA'!$F$5:$F$2246))
+SUMPRODUCT(-('Diário 7º PA'!$E$5:$E$2271='Analítico Cp.'!$B73),-('Diário 7º PA'!$Q$5:$Q$2271=I$1),('Diário 7º PA'!$F$5:$F$2271))
+SUMPRODUCT(-('Diário 8º PA'!$E$5:$E$2488='Analítico Cp.'!$B73),-('Diário 8º PA'!$Q$5:$Q$2488=I$1),('Diário 8º PA'!$F$5:$F$2488))
+SUMPRODUCT(-('Comp.'!$D$5:$D$313='Analítico Cp.'!$B73),-('Comp.'!$R$5:$R$313=I$1),('Comp.'!$E$5:$E$313))</f>
        <v>2895.79</v>
      </c>
      <c r="J73" s="185">
        <f>SUMPRODUCT(-('Diário 5º PA'!$E$5:$E$2634='Analítico Cp.'!$B73),-('Diário 5º PA'!$Q$5:$Q$2634=J$1),('Diário 5º PA'!$F$5:$F$2634))
+SUMPRODUCT(-('Diário 6º PA'!$E$5:$E$2246='Analítico Cp.'!$B73),-('Diário 6º PA'!$Q$5:$Q$2246=J$1),('Diário 6º PA'!$F$5:$F$2246))
+SUMPRODUCT(-('Diário 7º PA'!$E$5:$E$2271='Analítico Cp.'!$B73),-('Diário 7º PA'!$Q$5:$Q$2271=J$1),('Diário 7º PA'!$F$5:$F$2271))
+SUMPRODUCT(-('Diário 8º PA'!$E$5:$E$2488='Analítico Cp.'!$B73),-('Diário 8º PA'!$Q$5:$Q$2488=J$1),('Diário 8º PA'!$F$5:$F$2488))
+SUMPRODUCT(-('Comp.'!$D$5:$D$313='Analítico Cp.'!$B73),-('Comp.'!$R$5:$R$313=J$1),('Comp.'!$E$5:$E$313))</f>
        <v>3028.17</v>
      </c>
      <c r="K73" s="185">
        <f>SUMPRODUCT(-('Diário 5º PA'!$E$5:$E$2634='Analítico Cp.'!$B73),-('Diário 5º PA'!$Q$5:$Q$2634=K$1),('Diário 5º PA'!$F$5:$F$2634))
+SUMPRODUCT(-('Diário 6º PA'!$E$5:$E$2246='Analítico Cp.'!$B73),-('Diário 6º PA'!$Q$5:$Q$2246=K$1),('Diário 6º PA'!$F$5:$F$2246))
+SUMPRODUCT(-('Diário 7º PA'!$E$5:$E$2271='Analítico Cp.'!$B73),-('Diário 7º PA'!$Q$5:$Q$2271=K$1),('Diário 7º PA'!$F$5:$F$2271))
+SUMPRODUCT(-('Diário 8º PA'!$E$5:$E$2488='Analítico Cp.'!$B73),-('Diário 8º PA'!$Q$5:$Q$2488=K$1),('Diário 8º PA'!$F$5:$F$2488))
+SUMPRODUCT(-('Comp.'!$D$5:$D$313='Analítico Cp.'!$B73),-('Comp.'!$R$5:$R$313=K$1),('Comp.'!$E$5:$E$313))</f>
        <v>3981.3999999999996</v>
      </c>
      <c r="L73" s="185">
        <f>SUMPRODUCT(-('Diário 5º PA'!$E$5:$E$2634='Analítico Cp.'!$B73),-('Diário 5º PA'!$Q$5:$Q$2634=L$1),('Diário 5º PA'!$F$5:$F$2634))
+SUMPRODUCT(-('Diário 6º PA'!$E$5:$E$2246='Analítico Cp.'!$B73),-('Diário 6º PA'!$Q$5:$Q$2246=L$1),('Diário 6º PA'!$F$5:$F$2246))
+SUMPRODUCT(-('Diário 7º PA'!$E$5:$E$2271='Analítico Cp.'!$B73),-('Diário 7º PA'!$Q$5:$Q$2271=L$1),('Diário 7º PA'!$F$5:$F$2271))
+SUMPRODUCT(-('Diário 8º PA'!$E$5:$E$2488='Analítico Cp.'!$B73),-('Diário 8º PA'!$Q$5:$Q$2488=L$1),('Diário 8º PA'!$F$5:$F$2488))
+SUMPRODUCT(-('Comp.'!$D$5:$D$313='Analítico Cp.'!$B73),-('Comp.'!$R$5:$R$313=L$1),('Comp.'!$E$5:$E$313))</f>
        <v>3981.4</v>
      </c>
      <c r="M73" s="185">
        <f>SUMPRODUCT(-('Diário 5º PA'!$E$5:$E$2634='Analítico Cp.'!$B73),-('Diário 5º PA'!$Q$5:$Q$2634=M$1),('Diário 5º PA'!$F$5:$F$2634))
+SUMPRODUCT(-('Diário 6º PA'!$E$5:$E$2246='Analítico Cp.'!$B73),-('Diário 6º PA'!$Q$5:$Q$2246=M$1),('Diário 6º PA'!$F$5:$F$2246))
+SUMPRODUCT(-('Diário 7º PA'!$E$5:$E$2271='Analítico Cp.'!$B73),-('Diário 7º PA'!$Q$5:$Q$2271=M$1),('Diário 7º PA'!$F$5:$F$2271))
+SUMPRODUCT(-('Diário 8º PA'!$E$5:$E$2488='Analítico Cp.'!$B73),-('Diário 8º PA'!$Q$5:$Q$2488=M$1),('Diário 8º PA'!$F$5:$F$2488))
+SUMPRODUCT(-('Comp.'!$D$5:$D$313='Analítico Cp.'!$B73),-('Comp.'!$R$5:$R$313=M$1),('Comp.'!$E$5:$E$313))</f>
        <v>3962.0499999999997</v>
      </c>
      <c r="N73" s="185">
        <f>SUMPRODUCT(-('Diário 5º PA'!$E$5:$E$2634='Analítico Cp.'!$B73),-('Diário 5º PA'!$Q$5:$Q$2634=N$1),('Diário 5º PA'!$F$5:$F$2634))
+SUMPRODUCT(-('Diário 6º PA'!$E$5:$E$2246='Analítico Cp.'!$B73),-('Diário 6º PA'!$Q$5:$Q$2246=N$1),('Diário 6º PA'!$F$5:$F$2246))
+SUMPRODUCT(-('Diário 7º PA'!$E$5:$E$2271='Analítico Cp.'!$B73),-('Diário 7º PA'!$Q$5:$Q$2271=N$1),('Diário 7º PA'!$F$5:$F$2271))
+SUMPRODUCT(-('Diário 8º PA'!$E$5:$E$2488='Analítico Cp.'!$B73),-('Diário 8º PA'!$Q$5:$Q$2488=N$1),('Diário 8º PA'!$F$5:$F$2488))
+SUMPRODUCT(-('Comp.'!$D$5:$D$313='Analítico Cp.'!$B73),-('Comp.'!$R$5:$R$313=N$1),('Comp.'!$E$5:$E$313))</f>
        <v>3981.4</v>
      </c>
      <c r="O73" s="186">
        <f t="shared" si="16"/>
        <v>32609.270000000008</v>
      </c>
      <c r="P73" s="187">
        <f t="shared" si="17"/>
        <v>3.363520900392201E-3</v>
      </c>
      <c r="Q73" s="34"/>
      <c r="R73" s="34"/>
      <c r="S73" s="34"/>
      <c r="T73" s="34"/>
      <c r="U73" s="34"/>
      <c r="V73" s="34"/>
      <c r="W73" s="34"/>
      <c r="X73" s="34"/>
      <c r="Y73" s="34"/>
      <c r="Z73" s="34"/>
    </row>
    <row r="74" spans="1:26" ht="23.25" customHeight="1" x14ac:dyDescent="0.2">
      <c r="A74" s="203" t="s">
        <v>245</v>
      </c>
      <c r="B74" s="72" t="s">
        <v>246</v>
      </c>
      <c r="C74" s="185">
        <f>SUMPRODUCT(-('Diário 5º PA'!$E$5:$E$2634='Analítico Cp.'!$B74),-('Diário 5º PA'!$Q$5:$Q$2634=C$1),('Diário 5º PA'!$F$5:$F$2634))
+SUMPRODUCT(-('Diário 6º PA'!$E$5:$E$2246='Analítico Cp.'!$B74),-('Diário 6º PA'!$Q$5:$Q$2246=C$1),('Diário 6º PA'!$F$5:$F$2246))
+SUMPRODUCT(-('Diário 7º PA'!$E$5:$E$2271='Analítico Cp.'!$B74),-('Diário 7º PA'!$Q$5:$Q$2271=C$1),('Diário 7º PA'!$F$5:$F$2271))
+SUMPRODUCT(-('Diário 8º PA'!$E$5:$E$2488='Analítico Cp.'!$B74),-('Diário 8º PA'!$Q$5:$Q$2488=C$1),('Diário 8º PA'!$F$5:$F$2488))
+SUMPRODUCT(-('Comp.'!$D$5:$D$313='Analítico Cp.'!$B74),-('Comp.'!$R$5:$R$313=C$1),('Comp.'!$E$5:$E$313))</f>
        <v>423.53999999999996</v>
      </c>
      <c r="D74" s="185">
        <f>SUMPRODUCT(-('Diário 5º PA'!$E$5:$E$2634='Analítico Cp.'!$B74),-('Diário 5º PA'!$Q$5:$Q$2634=D$1),('Diário 5º PA'!$F$5:$F$2634))
+SUMPRODUCT(-('Diário 6º PA'!$E$5:$E$2246='Analítico Cp.'!$B74),-('Diário 6º PA'!$Q$5:$Q$2246=D$1),('Diário 6º PA'!$F$5:$F$2246))
+SUMPRODUCT(-('Diário 7º PA'!$E$5:$E$2271='Analítico Cp.'!$B74),-('Diário 7º PA'!$Q$5:$Q$2271=D$1),('Diário 7º PA'!$F$5:$F$2271))
+SUMPRODUCT(-('Diário 8º PA'!$E$5:$E$2488='Analítico Cp.'!$B74),-('Diário 8º PA'!$Q$5:$Q$2488=D$1),('Diário 8º PA'!$F$5:$F$2488))
+SUMPRODUCT(-('Comp.'!$D$5:$D$313='Analítico Cp.'!$B74),-('Comp.'!$R$5:$R$313=D$1),('Comp.'!$E$5:$E$313))</f>
        <v>402.65999999999997</v>
      </c>
      <c r="E74" s="185">
        <f>SUMPRODUCT(-('Diário 5º PA'!$E$5:$E$2634='Analítico Cp.'!$B74),-('Diário 5º PA'!$Q$5:$Q$2634=E$1),('Diário 5º PA'!$F$5:$F$2634))
+SUMPRODUCT(-('Diário 6º PA'!$E$5:$E$2246='Analítico Cp.'!$B74),-('Diário 6º PA'!$Q$5:$Q$2246=E$1),('Diário 6º PA'!$F$5:$F$2246))
+SUMPRODUCT(-('Diário 7º PA'!$E$5:$E$2271='Analítico Cp.'!$B74),-('Diário 7º PA'!$Q$5:$Q$2271=E$1),('Diário 7º PA'!$F$5:$F$2271))
+SUMPRODUCT(-('Diário 8º PA'!$E$5:$E$2488='Analítico Cp.'!$B74),-('Diário 8º PA'!$Q$5:$Q$2488=E$1),('Diário 8º PA'!$F$5:$F$2488))
+SUMPRODUCT(-('Comp.'!$D$5:$D$313='Analítico Cp.'!$B74),-('Comp.'!$R$5:$R$313=E$1),('Comp.'!$E$5:$E$313))</f>
        <v>441.53999999999996</v>
      </c>
      <c r="F74" s="185">
        <f>SUMPRODUCT(-('Diário 5º PA'!$E$5:$E$2634='Analítico Cp.'!$B74),-('Diário 5º PA'!$Q$5:$Q$2634=F$1),('Diário 5º PA'!$F$5:$F$2634))
+SUMPRODUCT(-('Diário 6º PA'!$E$5:$E$2246='Analítico Cp.'!$B74),-('Diário 6º PA'!$Q$5:$Q$2246=F$1),('Diário 6º PA'!$F$5:$F$2246))
+SUMPRODUCT(-('Diário 7º PA'!$E$5:$E$2271='Analítico Cp.'!$B74),-('Diário 7º PA'!$Q$5:$Q$2271=F$1),('Diário 7º PA'!$F$5:$F$2271))
+SUMPRODUCT(-('Diário 8º PA'!$E$5:$E$2488='Analítico Cp.'!$B74),-('Diário 8º PA'!$Q$5:$Q$2488=F$1),('Diário 8º PA'!$F$5:$F$2488))
+SUMPRODUCT(-('Comp.'!$D$5:$D$313='Analítico Cp.'!$B74),-('Comp.'!$R$5:$R$313=F$1),('Comp.'!$E$5:$E$313))</f>
        <v>2241.54</v>
      </c>
      <c r="G74" s="185">
        <f>SUMPRODUCT(-('Diário 5º PA'!$E$5:$E$2634='Analítico Cp.'!$B74),-('Diário 5º PA'!$Q$5:$Q$2634=G$1),('Diário 5º PA'!$F$5:$F$2634))
+SUMPRODUCT(-('Diário 6º PA'!$E$5:$E$2246='Analítico Cp.'!$B74),-('Diário 6º PA'!$Q$5:$Q$2246=G$1),('Diário 6º PA'!$F$5:$F$2246))
+SUMPRODUCT(-('Diário 7º PA'!$E$5:$E$2271='Analítico Cp.'!$B74),-('Diário 7º PA'!$Q$5:$Q$2271=G$1),('Diário 7º PA'!$F$5:$F$2271))
+SUMPRODUCT(-('Diário 8º PA'!$E$5:$E$2488='Analítico Cp.'!$B74),-('Diário 8º PA'!$Q$5:$Q$2488=G$1),('Diário 8º PA'!$F$5:$F$2488))
+SUMPRODUCT(-('Comp.'!$D$5:$D$313='Analítico Cp.'!$B74),-('Comp.'!$R$5:$R$313=G$1),('Comp.'!$E$5:$E$313))</f>
        <v>441.53999999999996</v>
      </c>
      <c r="H74" s="185">
        <f>SUMPRODUCT(-('Diário 5º PA'!$E$5:$E$2634='Analítico Cp.'!$B74),-('Diário 5º PA'!$Q$5:$Q$2634=H$1),('Diário 5º PA'!$F$5:$F$2634))
+SUMPRODUCT(-('Diário 6º PA'!$E$5:$E$2246='Analítico Cp.'!$B74),-('Diário 6º PA'!$Q$5:$Q$2246=H$1),('Diário 6º PA'!$F$5:$F$2246))
+SUMPRODUCT(-('Diário 7º PA'!$E$5:$E$2271='Analítico Cp.'!$B74),-('Diário 7º PA'!$Q$5:$Q$2271=H$1),('Diário 7º PA'!$F$5:$F$2271))
+SUMPRODUCT(-('Diário 8º PA'!$E$5:$E$2488='Analítico Cp.'!$B74),-('Diário 8º PA'!$Q$5:$Q$2488=H$1),('Diário 8º PA'!$F$5:$F$2488))
+SUMPRODUCT(-('Comp.'!$D$5:$D$313='Analítico Cp.'!$B74),-('Comp.'!$R$5:$R$313=H$1),('Comp.'!$E$5:$E$313))</f>
        <v>441.53999999999996</v>
      </c>
      <c r="I74" s="185">
        <f>SUMPRODUCT(-('Diário 5º PA'!$E$5:$E$2634='Analítico Cp.'!$B74),-('Diário 5º PA'!$Q$5:$Q$2634=I$1),('Diário 5º PA'!$F$5:$F$2634))
+SUMPRODUCT(-('Diário 6º PA'!$E$5:$E$2246='Analítico Cp.'!$B74),-('Diário 6º PA'!$Q$5:$Q$2246=I$1),('Diário 6º PA'!$F$5:$F$2246))
+SUMPRODUCT(-('Diário 7º PA'!$E$5:$E$2271='Analítico Cp.'!$B74),-('Diário 7º PA'!$Q$5:$Q$2271=I$1),('Diário 7º PA'!$F$5:$F$2271))
+SUMPRODUCT(-('Diário 8º PA'!$E$5:$E$2488='Analítico Cp.'!$B74),-('Diário 8º PA'!$Q$5:$Q$2488=I$1),('Diário 8º PA'!$F$5:$F$2488))
+SUMPRODUCT(-('Comp.'!$D$5:$D$313='Analítico Cp.'!$B74),-('Comp.'!$R$5:$R$313=I$1),('Comp.'!$E$5:$E$313))</f>
        <v>441.53999999999996</v>
      </c>
      <c r="J74" s="185">
        <f>SUMPRODUCT(-('Diário 5º PA'!$E$5:$E$2634='Analítico Cp.'!$B74),-('Diário 5º PA'!$Q$5:$Q$2634=J$1),('Diário 5º PA'!$F$5:$F$2634))
+SUMPRODUCT(-('Diário 6º PA'!$E$5:$E$2246='Analítico Cp.'!$B74),-('Diário 6º PA'!$Q$5:$Q$2246=J$1),('Diário 6º PA'!$F$5:$F$2246))
+SUMPRODUCT(-('Diário 7º PA'!$E$5:$E$2271='Analítico Cp.'!$B74),-('Diário 7º PA'!$Q$5:$Q$2271=J$1),('Diário 7º PA'!$F$5:$F$2271))
+SUMPRODUCT(-('Diário 8º PA'!$E$5:$E$2488='Analítico Cp.'!$B74),-('Diário 8º PA'!$Q$5:$Q$2488=J$1),('Diário 8º PA'!$F$5:$F$2488))
+SUMPRODUCT(-('Comp.'!$D$5:$D$313='Analítico Cp.'!$B74),-('Comp.'!$R$5:$R$313=J$1),('Comp.'!$E$5:$E$313))</f>
        <v>441.53999999999996</v>
      </c>
      <c r="K74" s="185">
        <f>SUMPRODUCT(-('Diário 5º PA'!$E$5:$E$2634='Analítico Cp.'!$B74),-('Diário 5º PA'!$Q$5:$Q$2634=K$1),('Diário 5º PA'!$F$5:$F$2634))
+SUMPRODUCT(-('Diário 6º PA'!$E$5:$E$2246='Analítico Cp.'!$B74),-('Diário 6º PA'!$Q$5:$Q$2246=K$1),('Diário 6º PA'!$F$5:$F$2246))
+SUMPRODUCT(-('Diário 7º PA'!$E$5:$E$2271='Analítico Cp.'!$B74),-('Diário 7º PA'!$Q$5:$Q$2271=K$1),('Diário 7º PA'!$F$5:$F$2271))
+SUMPRODUCT(-('Diário 8º PA'!$E$5:$E$2488='Analítico Cp.'!$B74),-('Diário 8º PA'!$Q$5:$Q$2488=K$1),('Diário 8º PA'!$F$5:$F$2488))
+SUMPRODUCT(-('Comp.'!$D$5:$D$313='Analítico Cp.'!$B74),-('Comp.'!$R$5:$R$313=K$1),('Comp.'!$E$5:$E$313))</f>
        <v>441.53999999999996</v>
      </c>
      <c r="L74" s="185">
        <f>SUMPRODUCT(-('Diário 5º PA'!$E$5:$E$2634='Analítico Cp.'!$B74),-('Diário 5º PA'!$Q$5:$Q$2634=L$1),('Diário 5º PA'!$F$5:$F$2634))
+SUMPRODUCT(-('Diário 6º PA'!$E$5:$E$2246='Analítico Cp.'!$B74),-('Diário 6º PA'!$Q$5:$Q$2246=L$1),('Diário 6º PA'!$F$5:$F$2246))
+SUMPRODUCT(-('Diário 7º PA'!$E$5:$E$2271='Analítico Cp.'!$B74),-('Diário 7º PA'!$Q$5:$Q$2271=L$1),('Diário 7º PA'!$F$5:$F$2271))
+SUMPRODUCT(-('Diário 8º PA'!$E$5:$E$2488='Analítico Cp.'!$B74),-('Diário 8º PA'!$Q$5:$Q$2488=L$1),('Diário 8º PA'!$F$5:$F$2488))
+SUMPRODUCT(-('Comp.'!$D$5:$D$313='Analítico Cp.'!$B74),-('Comp.'!$R$5:$R$313=L$1),('Comp.'!$E$5:$E$313))</f>
        <v>441.53999999999996</v>
      </c>
      <c r="M74" s="185">
        <f>SUMPRODUCT(-('Diário 5º PA'!$E$5:$E$2634='Analítico Cp.'!$B74),-('Diário 5º PA'!$Q$5:$Q$2634=M$1),('Diário 5º PA'!$F$5:$F$2634))
+SUMPRODUCT(-('Diário 6º PA'!$E$5:$E$2246='Analítico Cp.'!$B74),-('Diário 6º PA'!$Q$5:$Q$2246=M$1),('Diário 6º PA'!$F$5:$F$2246))
+SUMPRODUCT(-('Diário 7º PA'!$E$5:$E$2271='Analítico Cp.'!$B74),-('Diário 7º PA'!$Q$5:$Q$2271=M$1),('Diário 7º PA'!$F$5:$F$2271))
+SUMPRODUCT(-('Diário 8º PA'!$E$5:$E$2488='Analítico Cp.'!$B74),-('Diário 8º PA'!$Q$5:$Q$2488=M$1),('Diário 8º PA'!$F$5:$F$2488))
+SUMPRODUCT(-('Comp.'!$D$5:$D$313='Analítico Cp.'!$B74),-('Comp.'!$R$5:$R$313=M$1),('Comp.'!$E$5:$E$313))</f>
        <v>441.53999999999996</v>
      </c>
      <c r="N74" s="185">
        <f>SUMPRODUCT(-('Diário 5º PA'!$E$5:$E$2634='Analítico Cp.'!$B74),-('Diário 5º PA'!$Q$5:$Q$2634=N$1),('Diário 5º PA'!$F$5:$F$2634))
+SUMPRODUCT(-('Diário 6º PA'!$E$5:$E$2246='Analítico Cp.'!$B74),-('Diário 6º PA'!$Q$5:$Q$2246=N$1),('Diário 6º PA'!$F$5:$F$2246))
+SUMPRODUCT(-('Diário 7º PA'!$E$5:$E$2271='Analítico Cp.'!$B74),-('Diário 7º PA'!$Q$5:$Q$2271=N$1),('Diário 7º PA'!$F$5:$F$2271))
+SUMPRODUCT(-('Diário 8º PA'!$E$5:$E$2488='Analítico Cp.'!$B74),-('Diário 8º PA'!$Q$5:$Q$2488=N$1),('Diário 8º PA'!$F$5:$F$2488))
+SUMPRODUCT(-('Comp.'!$D$5:$D$313='Analítico Cp.'!$B74),-('Comp.'!$R$5:$R$313=N$1),('Comp.'!$E$5:$E$313))</f>
        <v>441.54</v>
      </c>
      <c r="O74" s="186">
        <f t="shared" si="16"/>
        <v>7041.5999999999995</v>
      </c>
      <c r="P74" s="187">
        <f t="shared" si="17"/>
        <v>7.2631398287056762E-4</v>
      </c>
      <c r="Q74" s="34"/>
      <c r="R74" s="34"/>
      <c r="S74" s="34"/>
      <c r="T74" s="34"/>
      <c r="U74" s="34"/>
      <c r="V74" s="34"/>
      <c r="W74" s="34"/>
      <c r="X74" s="34"/>
      <c r="Y74" s="34"/>
      <c r="Z74" s="34"/>
    </row>
    <row r="75" spans="1:26" ht="23.25" customHeight="1" x14ac:dyDescent="0.2">
      <c r="A75" s="203" t="s">
        <v>247</v>
      </c>
      <c r="B75" s="72" t="s">
        <v>248</v>
      </c>
      <c r="C75" s="185">
        <f>SUMPRODUCT(-('Diário 5º PA'!$E$5:$E$2634='Analítico Cp.'!$B75),-('Diário 5º PA'!$Q$5:$Q$2634=C$1),('Diário 5º PA'!$F$5:$F$2634))
+SUMPRODUCT(-('Diário 6º PA'!$E$5:$E$2246='Analítico Cp.'!$B75),-('Diário 6º PA'!$Q$5:$Q$2246=C$1),('Diário 6º PA'!$F$5:$F$2246))
+SUMPRODUCT(-('Diário 7º PA'!$E$5:$E$2271='Analítico Cp.'!$B75),-('Diário 7º PA'!$Q$5:$Q$2271=C$1),('Diário 7º PA'!$F$5:$F$2271))
+SUMPRODUCT(-('Diário 8º PA'!$E$5:$E$2488='Analítico Cp.'!$B75),-('Diário 8º PA'!$Q$5:$Q$2488=C$1),('Diário 8º PA'!$F$5:$F$2488))
+SUMPRODUCT(-('Comp.'!$D$5:$D$313='Analítico Cp.'!$B75),-('Comp.'!$R$5:$R$313=C$1),('Comp.'!$E$5:$E$313))</f>
        <v>0</v>
      </c>
      <c r="D75" s="185">
        <f>SUMPRODUCT(-('Diário 5º PA'!$E$5:$E$2634='Analítico Cp.'!$B75),-('Diário 5º PA'!$Q$5:$Q$2634=D$1),('Diário 5º PA'!$F$5:$F$2634))
+SUMPRODUCT(-('Diário 6º PA'!$E$5:$E$2246='Analítico Cp.'!$B75),-('Diário 6º PA'!$Q$5:$Q$2246=D$1),('Diário 6º PA'!$F$5:$F$2246))
+SUMPRODUCT(-('Diário 7º PA'!$E$5:$E$2271='Analítico Cp.'!$B75),-('Diário 7º PA'!$Q$5:$Q$2271=D$1),('Diário 7º PA'!$F$5:$F$2271))
+SUMPRODUCT(-('Diário 8º PA'!$E$5:$E$2488='Analítico Cp.'!$B75),-('Diário 8º PA'!$Q$5:$Q$2488=D$1),('Diário 8º PA'!$F$5:$F$2488))
+SUMPRODUCT(-('Comp.'!$D$5:$D$313='Analítico Cp.'!$B75),-('Comp.'!$R$5:$R$313=D$1),('Comp.'!$E$5:$E$313))</f>
        <v>0</v>
      </c>
      <c r="E75" s="185">
        <f>SUMPRODUCT(-('Diário 5º PA'!$E$5:$E$2634='Analítico Cp.'!$B75),-('Diário 5º PA'!$Q$5:$Q$2634=E$1),('Diário 5º PA'!$F$5:$F$2634))
+SUMPRODUCT(-('Diário 6º PA'!$E$5:$E$2246='Analítico Cp.'!$B75),-('Diário 6º PA'!$Q$5:$Q$2246=E$1),('Diário 6º PA'!$F$5:$F$2246))
+SUMPRODUCT(-('Diário 7º PA'!$E$5:$E$2271='Analítico Cp.'!$B75),-('Diário 7º PA'!$Q$5:$Q$2271=E$1),('Diário 7º PA'!$F$5:$F$2271))
+SUMPRODUCT(-('Diário 8º PA'!$E$5:$E$2488='Analítico Cp.'!$B75),-('Diário 8º PA'!$Q$5:$Q$2488=E$1),('Diário 8º PA'!$F$5:$F$2488))
+SUMPRODUCT(-('Comp.'!$D$5:$D$313='Analítico Cp.'!$B75),-('Comp.'!$R$5:$R$313=E$1),('Comp.'!$E$5:$E$313))</f>
        <v>9200</v>
      </c>
      <c r="F75" s="185">
        <f>SUMPRODUCT(-('Diário 5º PA'!$E$5:$E$2634='Analítico Cp.'!$B75),-('Diário 5º PA'!$Q$5:$Q$2634=F$1),('Diário 5º PA'!$F$5:$F$2634))
+SUMPRODUCT(-('Diário 6º PA'!$E$5:$E$2246='Analítico Cp.'!$B75),-('Diário 6º PA'!$Q$5:$Q$2246=F$1),('Diário 6º PA'!$F$5:$F$2246))
+SUMPRODUCT(-('Diário 7º PA'!$E$5:$E$2271='Analítico Cp.'!$B75),-('Diário 7º PA'!$Q$5:$Q$2271=F$1),('Diário 7º PA'!$F$5:$F$2271))
+SUMPRODUCT(-('Diário 8º PA'!$E$5:$E$2488='Analítico Cp.'!$B75),-('Diário 8º PA'!$Q$5:$Q$2488=F$1),('Diário 8º PA'!$F$5:$F$2488))
+SUMPRODUCT(-('Comp.'!$D$5:$D$313='Analítico Cp.'!$B75),-('Comp.'!$R$5:$R$313=F$1),('Comp.'!$E$5:$E$313))</f>
        <v>0</v>
      </c>
      <c r="G75" s="185">
        <f>SUMPRODUCT(-('Diário 5º PA'!$E$5:$E$2634='Analítico Cp.'!$B75),-('Diário 5º PA'!$Q$5:$Q$2634=G$1),('Diário 5º PA'!$F$5:$F$2634))
+SUMPRODUCT(-('Diário 6º PA'!$E$5:$E$2246='Analítico Cp.'!$B75),-('Diário 6º PA'!$Q$5:$Q$2246=G$1),('Diário 6º PA'!$F$5:$F$2246))
+SUMPRODUCT(-('Diário 7º PA'!$E$5:$E$2271='Analítico Cp.'!$B75),-('Diário 7º PA'!$Q$5:$Q$2271=G$1),('Diário 7º PA'!$F$5:$F$2271))
+SUMPRODUCT(-('Diário 8º PA'!$E$5:$E$2488='Analítico Cp.'!$B75),-('Diário 8º PA'!$Q$5:$Q$2488=G$1),('Diário 8º PA'!$F$5:$F$2488))
+SUMPRODUCT(-('Comp.'!$D$5:$D$313='Analítico Cp.'!$B75),-('Comp.'!$R$5:$R$313=G$1),('Comp.'!$E$5:$E$313))</f>
        <v>0</v>
      </c>
      <c r="H75" s="185">
        <f>SUMPRODUCT(-('Diário 5º PA'!$E$5:$E$2634='Analítico Cp.'!$B75),-('Diário 5º PA'!$Q$5:$Q$2634=H$1),('Diário 5º PA'!$F$5:$F$2634))
+SUMPRODUCT(-('Diário 6º PA'!$E$5:$E$2246='Analítico Cp.'!$B75),-('Diário 6º PA'!$Q$5:$Q$2246=H$1),('Diário 6º PA'!$F$5:$F$2246))
+SUMPRODUCT(-('Diário 7º PA'!$E$5:$E$2271='Analítico Cp.'!$B75),-('Diário 7º PA'!$Q$5:$Q$2271=H$1),('Diário 7º PA'!$F$5:$F$2271))
+SUMPRODUCT(-('Diário 8º PA'!$E$5:$E$2488='Analítico Cp.'!$B75),-('Diário 8º PA'!$Q$5:$Q$2488=H$1),('Diário 8º PA'!$F$5:$F$2488))
+SUMPRODUCT(-('Comp.'!$D$5:$D$313='Analítico Cp.'!$B75),-('Comp.'!$R$5:$R$313=H$1),('Comp.'!$E$5:$E$313))</f>
        <v>0</v>
      </c>
      <c r="I75" s="185">
        <f>SUMPRODUCT(-('Diário 5º PA'!$E$5:$E$2634='Analítico Cp.'!$B75),-('Diário 5º PA'!$Q$5:$Q$2634=I$1),('Diário 5º PA'!$F$5:$F$2634))
+SUMPRODUCT(-('Diário 6º PA'!$E$5:$E$2246='Analítico Cp.'!$B75),-('Diário 6º PA'!$Q$5:$Q$2246=I$1),('Diário 6º PA'!$F$5:$F$2246))
+SUMPRODUCT(-('Diário 7º PA'!$E$5:$E$2271='Analítico Cp.'!$B75),-('Diário 7º PA'!$Q$5:$Q$2271=I$1),('Diário 7º PA'!$F$5:$F$2271))
+SUMPRODUCT(-('Diário 8º PA'!$E$5:$E$2488='Analítico Cp.'!$B75),-('Diário 8º PA'!$Q$5:$Q$2488=I$1),('Diário 8º PA'!$F$5:$F$2488))
+SUMPRODUCT(-('Comp.'!$D$5:$D$313='Analítico Cp.'!$B75),-('Comp.'!$R$5:$R$313=I$1),('Comp.'!$E$5:$E$313))</f>
        <v>0</v>
      </c>
      <c r="J75" s="185">
        <f>SUMPRODUCT(-('Diário 5º PA'!$E$5:$E$2634='Analítico Cp.'!$B75),-('Diário 5º PA'!$Q$5:$Q$2634=J$1),('Diário 5º PA'!$F$5:$F$2634))
+SUMPRODUCT(-('Diário 6º PA'!$E$5:$E$2246='Analítico Cp.'!$B75),-('Diário 6º PA'!$Q$5:$Q$2246=J$1),('Diário 6º PA'!$F$5:$F$2246))
+SUMPRODUCT(-('Diário 7º PA'!$E$5:$E$2271='Analítico Cp.'!$B75),-('Diário 7º PA'!$Q$5:$Q$2271=J$1),('Diário 7º PA'!$F$5:$F$2271))
+SUMPRODUCT(-('Diário 8º PA'!$E$5:$E$2488='Analítico Cp.'!$B75),-('Diário 8º PA'!$Q$5:$Q$2488=J$1),('Diário 8º PA'!$F$5:$F$2488))
+SUMPRODUCT(-('Comp.'!$D$5:$D$313='Analítico Cp.'!$B75),-('Comp.'!$R$5:$R$313=J$1),('Comp.'!$E$5:$E$313))</f>
        <v>0</v>
      </c>
      <c r="K75" s="185">
        <f>SUMPRODUCT(-('Diário 5º PA'!$E$5:$E$2634='Analítico Cp.'!$B75),-('Diário 5º PA'!$Q$5:$Q$2634=K$1),('Diário 5º PA'!$F$5:$F$2634))
+SUMPRODUCT(-('Diário 6º PA'!$E$5:$E$2246='Analítico Cp.'!$B75),-('Diário 6º PA'!$Q$5:$Q$2246=K$1),('Diário 6º PA'!$F$5:$F$2246))
+SUMPRODUCT(-('Diário 7º PA'!$E$5:$E$2271='Analítico Cp.'!$B75),-('Diário 7º PA'!$Q$5:$Q$2271=K$1),('Diário 7º PA'!$F$5:$F$2271))
+SUMPRODUCT(-('Diário 8º PA'!$E$5:$E$2488='Analítico Cp.'!$B75),-('Diário 8º PA'!$Q$5:$Q$2488=K$1),('Diário 8º PA'!$F$5:$F$2488))
+SUMPRODUCT(-('Comp.'!$D$5:$D$313='Analítico Cp.'!$B75),-('Comp.'!$R$5:$R$313=K$1),('Comp.'!$E$5:$E$313))</f>
        <v>0</v>
      </c>
      <c r="L75" s="185">
        <f>SUMPRODUCT(-('Diário 5º PA'!$E$5:$E$2634='Analítico Cp.'!$B75),-('Diário 5º PA'!$Q$5:$Q$2634=L$1),('Diário 5º PA'!$F$5:$F$2634))
+SUMPRODUCT(-('Diário 6º PA'!$E$5:$E$2246='Analítico Cp.'!$B75),-('Diário 6º PA'!$Q$5:$Q$2246=L$1),('Diário 6º PA'!$F$5:$F$2246))
+SUMPRODUCT(-('Diário 7º PA'!$E$5:$E$2271='Analítico Cp.'!$B75),-('Diário 7º PA'!$Q$5:$Q$2271=L$1),('Diário 7º PA'!$F$5:$F$2271))
+SUMPRODUCT(-('Diário 8º PA'!$E$5:$E$2488='Analítico Cp.'!$B75),-('Diário 8º PA'!$Q$5:$Q$2488=L$1),('Diário 8º PA'!$F$5:$F$2488))
+SUMPRODUCT(-('Comp.'!$D$5:$D$313='Analítico Cp.'!$B75),-('Comp.'!$R$5:$R$313=L$1),('Comp.'!$E$5:$E$313))</f>
        <v>0</v>
      </c>
      <c r="M75" s="185">
        <f>SUMPRODUCT(-('Diário 5º PA'!$E$5:$E$2634='Analítico Cp.'!$B75),-('Diário 5º PA'!$Q$5:$Q$2634=M$1),('Diário 5º PA'!$F$5:$F$2634))
+SUMPRODUCT(-('Diário 6º PA'!$E$5:$E$2246='Analítico Cp.'!$B75),-('Diário 6º PA'!$Q$5:$Q$2246=M$1),('Diário 6º PA'!$F$5:$F$2246))
+SUMPRODUCT(-('Diário 7º PA'!$E$5:$E$2271='Analítico Cp.'!$B75),-('Diário 7º PA'!$Q$5:$Q$2271=M$1),('Diário 7º PA'!$F$5:$F$2271))
+SUMPRODUCT(-('Diário 8º PA'!$E$5:$E$2488='Analítico Cp.'!$B75),-('Diário 8º PA'!$Q$5:$Q$2488=M$1),('Diário 8º PA'!$F$5:$F$2488))
+SUMPRODUCT(-('Comp.'!$D$5:$D$313='Analítico Cp.'!$B75),-('Comp.'!$R$5:$R$313=M$1),('Comp.'!$E$5:$E$313))</f>
        <v>0</v>
      </c>
      <c r="N75" s="185">
        <f>SUMPRODUCT(-('Diário 5º PA'!$E$5:$E$2634='Analítico Cp.'!$B75),-('Diário 5º PA'!$Q$5:$Q$2634=N$1),('Diário 5º PA'!$F$5:$F$2634))
+SUMPRODUCT(-('Diário 6º PA'!$E$5:$E$2246='Analítico Cp.'!$B75),-('Diário 6º PA'!$Q$5:$Q$2246=N$1),('Diário 6º PA'!$F$5:$F$2246))
+SUMPRODUCT(-('Diário 7º PA'!$E$5:$E$2271='Analítico Cp.'!$B75),-('Diário 7º PA'!$Q$5:$Q$2271=N$1),('Diário 7º PA'!$F$5:$F$2271))
+SUMPRODUCT(-('Diário 8º PA'!$E$5:$E$2488='Analítico Cp.'!$B75),-('Diário 8º PA'!$Q$5:$Q$2488=N$1),('Diário 8º PA'!$F$5:$F$2488))
+SUMPRODUCT(-('Comp.'!$D$5:$D$313='Analítico Cp.'!$B75),-('Comp.'!$R$5:$R$313=N$1),('Comp.'!$E$5:$E$313))</f>
        <v>0</v>
      </c>
      <c r="O75" s="186">
        <f t="shared" si="16"/>
        <v>9200</v>
      </c>
      <c r="P75" s="187">
        <f t="shared" si="17"/>
        <v>9.4894464928556332E-4</v>
      </c>
      <c r="Q75" s="34"/>
      <c r="R75" s="34"/>
      <c r="S75" s="34"/>
      <c r="T75" s="34"/>
      <c r="U75" s="34"/>
      <c r="V75" s="34"/>
      <c r="W75" s="34"/>
      <c r="X75" s="34"/>
      <c r="Y75" s="34"/>
      <c r="Z75" s="34"/>
    </row>
    <row r="76" spans="1:26" ht="23.25" customHeight="1" x14ac:dyDescent="0.2">
      <c r="A76" s="203" t="s">
        <v>249</v>
      </c>
      <c r="B76" s="72" t="s">
        <v>250</v>
      </c>
      <c r="C76" s="185">
        <f>SUMPRODUCT(-('Diário 5º PA'!$E$5:$E$2634='Analítico Cp.'!$B76),-('Diário 5º PA'!$Q$5:$Q$2634=C$1),('Diário 5º PA'!$F$5:$F$2634))
+SUMPRODUCT(-('Diário 6º PA'!$E$5:$E$2246='Analítico Cp.'!$B76),-('Diário 6º PA'!$Q$5:$Q$2246=C$1),('Diário 6º PA'!$F$5:$F$2246))
+SUMPRODUCT(-('Diário 7º PA'!$E$5:$E$2271='Analítico Cp.'!$B76),-('Diário 7º PA'!$Q$5:$Q$2271=C$1),('Diário 7º PA'!$F$5:$F$2271))
+SUMPRODUCT(-('Diário 8º PA'!$E$5:$E$2488='Analítico Cp.'!$B76),-('Diário 8º PA'!$Q$5:$Q$2488=C$1),('Diário 8º PA'!$F$5:$F$2488))
+SUMPRODUCT(-('Comp.'!$D$5:$D$313='Analítico Cp.'!$B76),-('Comp.'!$R$5:$R$313=C$1),('Comp.'!$E$5:$E$313))</f>
        <v>0</v>
      </c>
      <c r="D76" s="185">
        <f>SUMPRODUCT(-('Diário 5º PA'!$E$5:$E$2634='Analítico Cp.'!$B76),-('Diário 5º PA'!$Q$5:$Q$2634=D$1),('Diário 5º PA'!$F$5:$F$2634))
+SUMPRODUCT(-('Diário 6º PA'!$E$5:$E$2246='Analítico Cp.'!$B76),-('Diário 6º PA'!$Q$5:$Q$2246=D$1),('Diário 6º PA'!$F$5:$F$2246))
+SUMPRODUCT(-('Diário 7º PA'!$E$5:$E$2271='Analítico Cp.'!$B76),-('Diário 7º PA'!$Q$5:$Q$2271=D$1),('Diário 7º PA'!$F$5:$F$2271))
+SUMPRODUCT(-('Diário 8º PA'!$E$5:$E$2488='Analítico Cp.'!$B76),-('Diário 8º PA'!$Q$5:$Q$2488=D$1),('Diário 8º PA'!$F$5:$F$2488))
+SUMPRODUCT(-('Comp.'!$D$5:$D$313='Analítico Cp.'!$B76),-('Comp.'!$R$5:$R$313=D$1),('Comp.'!$E$5:$E$313))</f>
        <v>0</v>
      </c>
      <c r="E76" s="185">
        <f>SUMPRODUCT(-('Diário 5º PA'!$E$5:$E$2634='Analítico Cp.'!$B76),-('Diário 5º PA'!$Q$5:$Q$2634=E$1),('Diário 5º PA'!$F$5:$F$2634))
+SUMPRODUCT(-('Diário 6º PA'!$E$5:$E$2246='Analítico Cp.'!$B76),-('Diário 6º PA'!$Q$5:$Q$2246=E$1),('Diário 6º PA'!$F$5:$F$2246))
+SUMPRODUCT(-('Diário 7º PA'!$E$5:$E$2271='Analítico Cp.'!$B76),-('Diário 7º PA'!$Q$5:$Q$2271=E$1),('Diário 7º PA'!$F$5:$F$2271))
+SUMPRODUCT(-('Diário 8º PA'!$E$5:$E$2488='Analítico Cp.'!$B76),-('Diário 8º PA'!$Q$5:$Q$2488=E$1),('Diário 8º PA'!$F$5:$F$2488))
+SUMPRODUCT(-('Comp.'!$D$5:$D$313='Analítico Cp.'!$B76),-('Comp.'!$R$5:$R$313=E$1),('Comp.'!$E$5:$E$313))</f>
        <v>0</v>
      </c>
      <c r="F76" s="185">
        <f>SUMPRODUCT(-('Diário 5º PA'!$E$5:$E$2634='Analítico Cp.'!$B76),-('Diário 5º PA'!$Q$5:$Q$2634=F$1),('Diário 5º PA'!$F$5:$F$2634))
+SUMPRODUCT(-('Diário 6º PA'!$E$5:$E$2246='Analítico Cp.'!$B76),-('Diário 6º PA'!$Q$5:$Q$2246=F$1),('Diário 6º PA'!$F$5:$F$2246))
+SUMPRODUCT(-('Diário 7º PA'!$E$5:$E$2271='Analítico Cp.'!$B76),-('Diário 7º PA'!$Q$5:$Q$2271=F$1),('Diário 7º PA'!$F$5:$F$2271))
+SUMPRODUCT(-('Diário 8º PA'!$E$5:$E$2488='Analítico Cp.'!$B76),-('Diário 8º PA'!$Q$5:$Q$2488=F$1),('Diário 8º PA'!$F$5:$F$2488))
+SUMPRODUCT(-('Comp.'!$D$5:$D$313='Analítico Cp.'!$B76),-('Comp.'!$R$5:$R$313=F$1),('Comp.'!$E$5:$E$313))</f>
        <v>0</v>
      </c>
      <c r="G76" s="185">
        <f>SUMPRODUCT(-('Diário 5º PA'!$E$5:$E$2634='Analítico Cp.'!$B76),-('Diário 5º PA'!$Q$5:$Q$2634=G$1),('Diário 5º PA'!$F$5:$F$2634))
+SUMPRODUCT(-('Diário 6º PA'!$E$5:$E$2246='Analítico Cp.'!$B76),-('Diário 6º PA'!$Q$5:$Q$2246=G$1),('Diário 6º PA'!$F$5:$F$2246))
+SUMPRODUCT(-('Diário 7º PA'!$E$5:$E$2271='Analítico Cp.'!$B76),-('Diário 7º PA'!$Q$5:$Q$2271=G$1),('Diário 7º PA'!$F$5:$F$2271))
+SUMPRODUCT(-('Diário 8º PA'!$E$5:$E$2488='Analítico Cp.'!$B76),-('Diário 8º PA'!$Q$5:$Q$2488=G$1),('Diário 8º PA'!$F$5:$F$2488))
+SUMPRODUCT(-('Comp.'!$D$5:$D$313='Analítico Cp.'!$B76),-('Comp.'!$R$5:$R$313=G$1),('Comp.'!$E$5:$E$313))</f>
        <v>0</v>
      </c>
      <c r="H76" s="185">
        <f>SUMPRODUCT(-('Diário 5º PA'!$E$5:$E$2634='Analítico Cp.'!$B76),-('Diário 5º PA'!$Q$5:$Q$2634=H$1),('Diário 5º PA'!$F$5:$F$2634))
+SUMPRODUCT(-('Diário 6º PA'!$E$5:$E$2246='Analítico Cp.'!$B76),-('Diário 6º PA'!$Q$5:$Q$2246=H$1),('Diário 6º PA'!$F$5:$F$2246))
+SUMPRODUCT(-('Diário 7º PA'!$E$5:$E$2271='Analítico Cp.'!$B76),-('Diário 7º PA'!$Q$5:$Q$2271=H$1),('Diário 7º PA'!$F$5:$F$2271))
+SUMPRODUCT(-('Diário 8º PA'!$E$5:$E$2488='Analítico Cp.'!$B76),-('Diário 8º PA'!$Q$5:$Q$2488=H$1),('Diário 8º PA'!$F$5:$F$2488))
+SUMPRODUCT(-('Comp.'!$D$5:$D$313='Analítico Cp.'!$B76),-('Comp.'!$R$5:$R$313=H$1),('Comp.'!$E$5:$E$313))</f>
        <v>0</v>
      </c>
      <c r="I76" s="185">
        <f>SUMPRODUCT(-('Diário 5º PA'!$E$5:$E$2634='Analítico Cp.'!$B76),-('Diário 5º PA'!$Q$5:$Q$2634=I$1),('Diário 5º PA'!$F$5:$F$2634))
+SUMPRODUCT(-('Diário 6º PA'!$E$5:$E$2246='Analítico Cp.'!$B76),-('Diário 6º PA'!$Q$5:$Q$2246=I$1),('Diário 6º PA'!$F$5:$F$2246))
+SUMPRODUCT(-('Diário 7º PA'!$E$5:$E$2271='Analítico Cp.'!$B76),-('Diário 7º PA'!$Q$5:$Q$2271=I$1),('Diário 7º PA'!$F$5:$F$2271))
+SUMPRODUCT(-('Diário 8º PA'!$E$5:$E$2488='Analítico Cp.'!$B76),-('Diário 8º PA'!$Q$5:$Q$2488=I$1),('Diário 8º PA'!$F$5:$F$2488))
+SUMPRODUCT(-('Comp.'!$D$5:$D$313='Analítico Cp.'!$B76),-('Comp.'!$R$5:$R$313=I$1),('Comp.'!$E$5:$E$313))</f>
        <v>0</v>
      </c>
      <c r="J76" s="185">
        <f>SUMPRODUCT(-('Diário 5º PA'!$E$5:$E$2634='Analítico Cp.'!$B76),-('Diário 5º PA'!$Q$5:$Q$2634=J$1),('Diário 5º PA'!$F$5:$F$2634))
+SUMPRODUCT(-('Diário 6º PA'!$E$5:$E$2246='Analítico Cp.'!$B76),-('Diário 6º PA'!$Q$5:$Q$2246=J$1),('Diário 6º PA'!$F$5:$F$2246))
+SUMPRODUCT(-('Diário 7º PA'!$E$5:$E$2271='Analítico Cp.'!$B76),-('Diário 7º PA'!$Q$5:$Q$2271=J$1),('Diário 7º PA'!$F$5:$F$2271))
+SUMPRODUCT(-('Diário 8º PA'!$E$5:$E$2488='Analítico Cp.'!$B76),-('Diário 8º PA'!$Q$5:$Q$2488=J$1),('Diário 8º PA'!$F$5:$F$2488))
+SUMPRODUCT(-('Comp.'!$D$5:$D$313='Analítico Cp.'!$B76),-('Comp.'!$R$5:$R$313=J$1),('Comp.'!$E$5:$E$313))</f>
        <v>0</v>
      </c>
      <c r="K76" s="185">
        <f>SUMPRODUCT(-('Diário 5º PA'!$E$5:$E$2634='Analítico Cp.'!$B76),-('Diário 5º PA'!$Q$5:$Q$2634=K$1),('Diário 5º PA'!$F$5:$F$2634))
+SUMPRODUCT(-('Diário 6º PA'!$E$5:$E$2246='Analítico Cp.'!$B76),-('Diário 6º PA'!$Q$5:$Q$2246=K$1),('Diário 6º PA'!$F$5:$F$2246))
+SUMPRODUCT(-('Diário 7º PA'!$E$5:$E$2271='Analítico Cp.'!$B76),-('Diário 7º PA'!$Q$5:$Q$2271=K$1),('Diário 7º PA'!$F$5:$F$2271))
+SUMPRODUCT(-('Diário 8º PA'!$E$5:$E$2488='Analítico Cp.'!$B76),-('Diário 8º PA'!$Q$5:$Q$2488=K$1),('Diário 8º PA'!$F$5:$F$2488))
+SUMPRODUCT(-('Comp.'!$D$5:$D$313='Analítico Cp.'!$B76),-('Comp.'!$R$5:$R$313=K$1),('Comp.'!$E$5:$E$313))</f>
        <v>0</v>
      </c>
      <c r="L76" s="185">
        <f>SUMPRODUCT(-('Diário 5º PA'!$E$5:$E$2634='Analítico Cp.'!$B76),-('Diário 5º PA'!$Q$5:$Q$2634=L$1),('Diário 5º PA'!$F$5:$F$2634))
+SUMPRODUCT(-('Diário 6º PA'!$E$5:$E$2246='Analítico Cp.'!$B76),-('Diário 6º PA'!$Q$5:$Q$2246=L$1),('Diário 6º PA'!$F$5:$F$2246))
+SUMPRODUCT(-('Diário 7º PA'!$E$5:$E$2271='Analítico Cp.'!$B76),-('Diário 7º PA'!$Q$5:$Q$2271=L$1),('Diário 7º PA'!$F$5:$F$2271))
+SUMPRODUCT(-('Diário 8º PA'!$E$5:$E$2488='Analítico Cp.'!$B76),-('Diário 8º PA'!$Q$5:$Q$2488=L$1),('Diário 8º PA'!$F$5:$F$2488))
+SUMPRODUCT(-('Comp.'!$D$5:$D$313='Analítico Cp.'!$B76),-('Comp.'!$R$5:$R$313=L$1),('Comp.'!$E$5:$E$313))</f>
        <v>0</v>
      </c>
      <c r="M76" s="185">
        <f>SUMPRODUCT(-('Diário 5º PA'!$E$5:$E$2634='Analítico Cp.'!$B76),-('Diário 5º PA'!$Q$5:$Q$2634=M$1),('Diário 5º PA'!$F$5:$F$2634))
+SUMPRODUCT(-('Diário 6º PA'!$E$5:$E$2246='Analítico Cp.'!$B76),-('Diário 6º PA'!$Q$5:$Q$2246=M$1),('Diário 6º PA'!$F$5:$F$2246))
+SUMPRODUCT(-('Diário 7º PA'!$E$5:$E$2271='Analítico Cp.'!$B76),-('Diário 7º PA'!$Q$5:$Q$2271=M$1),('Diário 7º PA'!$F$5:$F$2271))
+SUMPRODUCT(-('Diário 8º PA'!$E$5:$E$2488='Analítico Cp.'!$B76),-('Diário 8º PA'!$Q$5:$Q$2488=M$1),('Diário 8º PA'!$F$5:$F$2488))
+SUMPRODUCT(-('Comp.'!$D$5:$D$313='Analítico Cp.'!$B76),-('Comp.'!$R$5:$R$313=M$1),('Comp.'!$E$5:$E$313))</f>
        <v>0</v>
      </c>
      <c r="N76" s="185">
        <f>SUMPRODUCT(-('Diário 5º PA'!$E$5:$E$2634='Analítico Cp.'!$B76),-('Diário 5º PA'!$Q$5:$Q$2634=N$1),('Diário 5º PA'!$F$5:$F$2634))
+SUMPRODUCT(-('Diário 6º PA'!$E$5:$E$2246='Analítico Cp.'!$B76),-('Diário 6º PA'!$Q$5:$Q$2246=N$1),('Diário 6º PA'!$F$5:$F$2246))
+SUMPRODUCT(-('Diário 7º PA'!$E$5:$E$2271='Analítico Cp.'!$B76),-('Diário 7º PA'!$Q$5:$Q$2271=N$1),('Diário 7º PA'!$F$5:$F$2271))
+SUMPRODUCT(-('Diário 8º PA'!$E$5:$E$2488='Analítico Cp.'!$B76),-('Diário 8º PA'!$Q$5:$Q$2488=N$1),('Diário 8º PA'!$F$5:$F$2488))
+SUMPRODUCT(-('Comp.'!$D$5:$D$313='Analítico Cp.'!$B76),-('Comp.'!$R$5:$R$313=N$1),('Comp.'!$E$5:$E$313))</f>
        <v>0</v>
      </c>
      <c r="O76" s="186">
        <f t="shared" si="16"/>
        <v>0</v>
      </c>
      <c r="P76" s="187">
        <f t="shared" si="17"/>
        <v>0</v>
      </c>
      <c r="Q76" s="34"/>
      <c r="R76" s="34"/>
      <c r="S76" s="34"/>
      <c r="T76" s="34"/>
      <c r="U76" s="34"/>
      <c r="V76" s="34"/>
      <c r="W76" s="34"/>
      <c r="X76" s="34"/>
      <c r="Y76" s="34"/>
      <c r="Z76" s="34"/>
    </row>
    <row r="77" spans="1:26" ht="23.25" customHeight="1" x14ac:dyDescent="0.2">
      <c r="A77" s="203" t="s">
        <v>251</v>
      </c>
      <c r="B77" s="72" t="s">
        <v>252</v>
      </c>
      <c r="C77" s="185">
        <f>SUMPRODUCT(-('Diário 5º PA'!$E$5:$E$2634='Analítico Cp.'!$B77),-('Diário 5º PA'!$Q$5:$Q$2634=C$1),('Diário 5º PA'!$F$5:$F$2634))
+SUMPRODUCT(-('Diário 6º PA'!$E$5:$E$2246='Analítico Cp.'!$B77),-('Diário 6º PA'!$Q$5:$Q$2246=C$1),('Diário 6º PA'!$F$5:$F$2246))
+SUMPRODUCT(-('Diário 7º PA'!$E$5:$E$2271='Analítico Cp.'!$B77),-('Diário 7º PA'!$Q$5:$Q$2271=C$1),('Diário 7º PA'!$F$5:$F$2271))
+SUMPRODUCT(-('Diário 8º PA'!$E$5:$E$2488='Analítico Cp.'!$B77),-('Diário 8º PA'!$Q$5:$Q$2488=C$1),('Diário 8º PA'!$F$5:$F$2488))
+SUMPRODUCT(-('Comp.'!$D$5:$D$313='Analítico Cp.'!$B77),-('Comp.'!$R$5:$R$313=C$1),('Comp.'!$E$5:$E$313))</f>
        <v>0</v>
      </c>
      <c r="D77" s="185">
        <f>SUMPRODUCT(-('Diário 5º PA'!$E$5:$E$2634='Analítico Cp.'!$B77),-('Diário 5º PA'!$Q$5:$Q$2634=D$1),('Diário 5º PA'!$F$5:$F$2634))
+SUMPRODUCT(-('Diário 6º PA'!$E$5:$E$2246='Analítico Cp.'!$B77),-('Diário 6º PA'!$Q$5:$Q$2246=D$1),('Diário 6º PA'!$F$5:$F$2246))
+SUMPRODUCT(-('Diário 7º PA'!$E$5:$E$2271='Analítico Cp.'!$B77),-('Diário 7º PA'!$Q$5:$Q$2271=D$1),('Diário 7º PA'!$F$5:$F$2271))
+SUMPRODUCT(-('Diário 8º PA'!$E$5:$E$2488='Analítico Cp.'!$B77),-('Diário 8º PA'!$Q$5:$Q$2488=D$1),('Diário 8º PA'!$F$5:$F$2488))
+SUMPRODUCT(-('Comp.'!$D$5:$D$313='Analítico Cp.'!$B77),-('Comp.'!$R$5:$R$313=D$1),('Comp.'!$E$5:$E$313))</f>
        <v>0</v>
      </c>
      <c r="E77" s="185">
        <f>SUMPRODUCT(-('Diário 5º PA'!$E$5:$E$2634='Analítico Cp.'!$B77),-('Diário 5º PA'!$Q$5:$Q$2634=E$1),('Diário 5º PA'!$F$5:$F$2634))
+SUMPRODUCT(-('Diário 6º PA'!$E$5:$E$2246='Analítico Cp.'!$B77),-('Diário 6º PA'!$Q$5:$Q$2246=E$1),('Diário 6º PA'!$F$5:$F$2246))
+SUMPRODUCT(-('Diário 7º PA'!$E$5:$E$2271='Analítico Cp.'!$B77),-('Diário 7º PA'!$Q$5:$Q$2271=E$1),('Diário 7º PA'!$F$5:$F$2271))
+SUMPRODUCT(-('Diário 8º PA'!$E$5:$E$2488='Analítico Cp.'!$B77),-('Diário 8º PA'!$Q$5:$Q$2488=E$1),('Diário 8º PA'!$F$5:$F$2488))
+SUMPRODUCT(-('Comp.'!$D$5:$D$313='Analítico Cp.'!$B77),-('Comp.'!$R$5:$R$313=E$1),('Comp.'!$E$5:$E$313))</f>
        <v>0</v>
      </c>
      <c r="F77" s="185">
        <f>SUMPRODUCT(-('Diário 5º PA'!$E$5:$E$2634='Analítico Cp.'!$B77),-('Diário 5º PA'!$Q$5:$Q$2634=F$1),('Diário 5º PA'!$F$5:$F$2634))
+SUMPRODUCT(-('Diário 6º PA'!$E$5:$E$2246='Analítico Cp.'!$B77),-('Diário 6º PA'!$Q$5:$Q$2246=F$1),('Diário 6º PA'!$F$5:$F$2246))
+SUMPRODUCT(-('Diário 7º PA'!$E$5:$E$2271='Analítico Cp.'!$B77),-('Diário 7º PA'!$Q$5:$Q$2271=F$1),('Diário 7º PA'!$F$5:$F$2271))
+SUMPRODUCT(-('Diário 8º PA'!$E$5:$E$2488='Analítico Cp.'!$B77),-('Diário 8º PA'!$Q$5:$Q$2488=F$1),('Diário 8º PA'!$F$5:$F$2488))
+SUMPRODUCT(-('Comp.'!$D$5:$D$313='Analítico Cp.'!$B77),-('Comp.'!$R$5:$R$313=F$1),('Comp.'!$E$5:$E$313))</f>
        <v>0</v>
      </c>
      <c r="G77" s="185">
        <f>SUMPRODUCT(-('Diário 5º PA'!$E$5:$E$2634='Analítico Cp.'!$B77),-('Diário 5º PA'!$Q$5:$Q$2634=G$1),('Diário 5º PA'!$F$5:$F$2634))
+SUMPRODUCT(-('Diário 6º PA'!$E$5:$E$2246='Analítico Cp.'!$B77),-('Diário 6º PA'!$Q$5:$Q$2246=G$1),('Diário 6º PA'!$F$5:$F$2246))
+SUMPRODUCT(-('Diário 7º PA'!$E$5:$E$2271='Analítico Cp.'!$B77),-('Diário 7º PA'!$Q$5:$Q$2271=G$1),('Diário 7º PA'!$F$5:$F$2271))
+SUMPRODUCT(-('Diário 8º PA'!$E$5:$E$2488='Analítico Cp.'!$B77),-('Diário 8º PA'!$Q$5:$Q$2488=G$1),('Diário 8º PA'!$F$5:$F$2488))
+SUMPRODUCT(-('Comp.'!$D$5:$D$313='Analítico Cp.'!$B77),-('Comp.'!$R$5:$R$313=G$1),('Comp.'!$E$5:$E$313))</f>
        <v>0</v>
      </c>
      <c r="H77" s="185">
        <f>SUMPRODUCT(-('Diário 5º PA'!$E$5:$E$2634='Analítico Cp.'!$B77),-('Diário 5º PA'!$Q$5:$Q$2634=H$1),('Diário 5º PA'!$F$5:$F$2634))
+SUMPRODUCT(-('Diário 6º PA'!$E$5:$E$2246='Analítico Cp.'!$B77),-('Diário 6º PA'!$Q$5:$Q$2246=H$1),('Diário 6º PA'!$F$5:$F$2246))
+SUMPRODUCT(-('Diário 7º PA'!$E$5:$E$2271='Analítico Cp.'!$B77),-('Diário 7º PA'!$Q$5:$Q$2271=H$1),('Diário 7º PA'!$F$5:$F$2271))
+SUMPRODUCT(-('Diário 8º PA'!$E$5:$E$2488='Analítico Cp.'!$B77),-('Diário 8º PA'!$Q$5:$Q$2488=H$1),('Diário 8º PA'!$F$5:$F$2488))
+SUMPRODUCT(-('Comp.'!$D$5:$D$313='Analítico Cp.'!$B77),-('Comp.'!$R$5:$R$313=H$1),('Comp.'!$E$5:$E$313))</f>
        <v>0</v>
      </c>
      <c r="I77" s="185">
        <f>SUMPRODUCT(-('Diário 5º PA'!$E$5:$E$2634='Analítico Cp.'!$B77),-('Diário 5º PA'!$Q$5:$Q$2634=I$1),('Diário 5º PA'!$F$5:$F$2634))
+SUMPRODUCT(-('Diário 6º PA'!$E$5:$E$2246='Analítico Cp.'!$B77),-('Diário 6º PA'!$Q$5:$Q$2246=I$1),('Diário 6º PA'!$F$5:$F$2246))
+SUMPRODUCT(-('Diário 7º PA'!$E$5:$E$2271='Analítico Cp.'!$B77),-('Diário 7º PA'!$Q$5:$Q$2271=I$1),('Diário 7º PA'!$F$5:$F$2271))
+SUMPRODUCT(-('Diário 8º PA'!$E$5:$E$2488='Analítico Cp.'!$B77),-('Diário 8º PA'!$Q$5:$Q$2488=I$1),('Diário 8º PA'!$F$5:$F$2488))
+SUMPRODUCT(-('Comp.'!$D$5:$D$313='Analítico Cp.'!$B77),-('Comp.'!$R$5:$R$313=I$1),('Comp.'!$E$5:$E$313))</f>
        <v>0</v>
      </c>
      <c r="J77" s="185">
        <f>SUMPRODUCT(-('Diário 5º PA'!$E$5:$E$2634='Analítico Cp.'!$B77),-('Diário 5º PA'!$Q$5:$Q$2634=J$1),('Diário 5º PA'!$F$5:$F$2634))
+SUMPRODUCT(-('Diário 6º PA'!$E$5:$E$2246='Analítico Cp.'!$B77),-('Diário 6º PA'!$Q$5:$Q$2246=J$1),('Diário 6º PA'!$F$5:$F$2246))
+SUMPRODUCT(-('Diário 7º PA'!$E$5:$E$2271='Analítico Cp.'!$B77),-('Diário 7º PA'!$Q$5:$Q$2271=J$1),('Diário 7º PA'!$F$5:$F$2271))
+SUMPRODUCT(-('Diário 8º PA'!$E$5:$E$2488='Analítico Cp.'!$B77),-('Diário 8º PA'!$Q$5:$Q$2488=J$1),('Diário 8º PA'!$F$5:$F$2488))
+SUMPRODUCT(-('Comp.'!$D$5:$D$313='Analítico Cp.'!$B77),-('Comp.'!$R$5:$R$313=J$1),('Comp.'!$E$5:$E$313))</f>
        <v>3300</v>
      </c>
      <c r="K77" s="185">
        <f>SUMPRODUCT(-('Diário 5º PA'!$E$5:$E$2634='Analítico Cp.'!$B77),-('Diário 5º PA'!$Q$5:$Q$2634=K$1),('Diário 5º PA'!$F$5:$F$2634))
+SUMPRODUCT(-('Diário 6º PA'!$E$5:$E$2246='Analítico Cp.'!$B77),-('Diário 6º PA'!$Q$5:$Q$2246=K$1),('Diário 6º PA'!$F$5:$F$2246))
+SUMPRODUCT(-('Diário 7º PA'!$E$5:$E$2271='Analítico Cp.'!$B77),-('Diário 7º PA'!$Q$5:$Q$2271=K$1),('Diário 7º PA'!$F$5:$F$2271))
+SUMPRODUCT(-('Diário 8º PA'!$E$5:$E$2488='Analítico Cp.'!$B77),-('Diário 8º PA'!$Q$5:$Q$2488=K$1),('Diário 8º PA'!$F$5:$F$2488))
+SUMPRODUCT(-('Comp.'!$D$5:$D$313='Analítico Cp.'!$B77),-('Comp.'!$R$5:$R$313=K$1),('Comp.'!$E$5:$E$313))</f>
        <v>0</v>
      </c>
      <c r="L77" s="185">
        <f>SUMPRODUCT(-('Diário 5º PA'!$E$5:$E$2634='Analítico Cp.'!$B77),-('Diário 5º PA'!$Q$5:$Q$2634=L$1),('Diário 5º PA'!$F$5:$F$2634))
+SUMPRODUCT(-('Diário 6º PA'!$E$5:$E$2246='Analítico Cp.'!$B77),-('Diário 6º PA'!$Q$5:$Q$2246=L$1),('Diário 6º PA'!$F$5:$F$2246))
+SUMPRODUCT(-('Diário 7º PA'!$E$5:$E$2271='Analítico Cp.'!$B77),-('Diário 7º PA'!$Q$5:$Q$2271=L$1),('Diário 7º PA'!$F$5:$F$2271))
+SUMPRODUCT(-('Diário 8º PA'!$E$5:$E$2488='Analítico Cp.'!$B77),-('Diário 8º PA'!$Q$5:$Q$2488=L$1),('Diário 8º PA'!$F$5:$F$2488))
+SUMPRODUCT(-('Comp.'!$D$5:$D$313='Analítico Cp.'!$B77),-('Comp.'!$R$5:$R$313=L$1),('Comp.'!$E$5:$E$313))</f>
        <v>0</v>
      </c>
      <c r="M77" s="185">
        <f>SUMPRODUCT(-('Diário 5º PA'!$E$5:$E$2634='Analítico Cp.'!$B77),-('Diário 5º PA'!$Q$5:$Q$2634=M$1),('Diário 5º PA'!$F$5:$F$2634))
+SUMPRODUCT(-('Diário 6º PA'!$E$5:$E$2246='Analítico Cp.'!$B77),-('Diário 6º PA'!$Q$5:$Q$2246=M$1),('Diário 6º PA'!$F$5:$F$2246))
+SUMPRODUCT(-('Diário 7º PA'!$E$5:$E$2271='Analítico Cp.'!$B77),-('Diário 7º PA'!$Q$5:$Q$2271=M$1),('Diário 7º PA'!$F$5:$F$2271))
+SUMPRODUCT(-('Diário 8º PA'!$E$5:$E$2488='Analítico Cp.'!$B77),-('Diário 8º PA'!$Q$5:$Q$2488=M$1),('Diário 8º PA'!$F$5:$F$2488))
+SUMPRODUCT(-('Comp.'!$D$5:$D$313='Analítico Cp.'!$B77),-('Comp.'!$R$5:$R$313=M$1),('Comp.'!$E$5:$E$313))</f>
        <v>0</v>
      </c>
      <c r="N77" s="185">
        <f>SUMPRODUCT(-('Diário 5º PA'!$E$5:$E$2634='Analítico Cp.'!$B77),-('Diário 5º PA'!$Q$5:$Q$2634=N$1),('Diário 5º PA'!$F$5:$F$2634))
+SUMPRODUCT(-('Diário 6º PA'!$E$5:$E$2246='Analítico Cp.'!$B77),-('Diário 6º PA'!$Q$5:$Q$2246=N$1),('Diário 6º PA'!$F$5:$F$2246))
+SUMPRODUCT(-('Diário 7º PA'!$E$5:$E$2271='Analítico Cp.'!$B77),-('Diário 7º PA'!$Q$5:$Q$2271=N$1),('Diário 7º PA'!$F$5:$F$2271))
+SUMPRODUCT(-('Diário 8º PA'!$E$5:$E$2488='Analítico Cp.'!$B77),-('Diário 8º PA'!$Q$5:$Q$2488=N$1),('Diário 8º PA'!$F$5:$F$2488))
+SUMPRODUCT(-('Comp.'!$D$5:$D$313='Analítico Cp.'!$B77),-('Comp.'!$R$5:$R$313=N$1),('Comp.'!$E$5:$E$313))</f>
        <v>0</v>
      </c>
      <c r="O77" s="186">
        <f t="shared" si="16"/>
        <v>3300</v>
      </c>
      <c r="P77" s="187">
        <f t="shared" si="17"/>
        <v>3.4038231985243032E-4</v>
      </c>
      <c r="Q77" s="34"/>
      <c r="R77" s="34"/>
      <c r="S77" s="34"/>
      <c r="T77" s="34"/>
      <c r="U77" s="34"/>
      <c r="V77" s="34"/>
      <c r="W77" s="34"/>
      <c r="X77" s="34"/>
      <c r="Y77" s="34"/>
      <c r="Z77" s="34"/>
    </row>
    <row r="78" spans="1:26" ht="23.25" customHeight="1" x14ac:dyDescent="0.2">
      <c r="A78" s="203" t="s">
        <v>253</v>
      </c>
      <c r="B78" s="72" t="s">
        <v>254</v>
      </c>
      <c r="C78" s="185">
        <f>SUMPRODUCT(-('Diário 5º PA'!$E$5:$E$2634='Analítico Cp.'!$B78),-('Diário 5º PA'!$Q$5:$Q$2634=C$1),('Diário 5º PA'!$F$5:$F$2634))
+SUMPRODUCT(-('Diário 6º PA'!$E$5:$E$2246='Analítico Cp.'!$B78),-('Diário 6º PA'!$Q$5:$Q$2246=C$1),('Diário 6º PA'!$F$5:$F$2246))
+SUMPRODUCT(-('Diário 7º PA'!$E$5:$E$2271='Analítico Cp.'!$B78),-('Diário 7º PA'!$Q$5:$Q$2271=C$1),('Diário 7º PA'!$F$5:$F$2271))
+SUMPRODUCT(-('Diário 8º PA'!$E$5:$E$2488='Analítico Cp.'!$B78),-('Diário 8º PA'!$Q$5:$Q$2488=C$1),('Diário 8º PA'!$F$5:$F$2488))
+SUMPRODUCT(-('Comp.'!$D$5:$D$313='Analítico Cp.'!$B78),-('Comp.'!$R$5:$R$313=C$1),('Comp.'!$E$5:$E$313))</f>
        <v>1487.71</v>
      </c>
      <c r="D78" s="185">
        <f>SUMPRODUCT(-('Diário 5º PA'!$E$5:$E$2634='Analítico Cp.'!$B78),-('Diário 5º PA'!$Q$5:$Q$2634=D$1),('Diário 5º PA'!$F$5:$F$2634))
+SUMPRODUCT(-('Diário 6º PA'!$E$5:$E$2246='Analítico Cp.'!$B78),-('Diário 6º PA'!$Q$5:$Q$2246=D$1),('Diário 6º PA'!$F$5:$F$2246))
+SUMPRODUCT(-('Diário 7º PA'!$E$5:$E$2271='Analítico Cp.'!$B78),-('Diário 7º PA'!$Q$5:$Q$2271=D$1),('Diário 7º PA'!$F$5:$F$2271))
+SUMPRODUCT(-('Diário 8º PA'!$E$5:$E$2488='Analítico Cp.'!$B78),-('Diário 8º PA'!$Q$5:$Q$2488=D$1),('Diário 8º PA'!$F$5:$F$2488))
+SUMPRODUCT(-('Comp.'!$D$5:$D$313='Analítico Cp.'!$B78),-('Comp.'!$R$5:$R$313=D$1),('Comp.'!$E$5:$E$313))</f>
        <v>1272.72</v>
      </c>
      <c r="E78" s="185">
        <f>SUMPRODUCT(-('Diário 5º PA'!$E$5:$E$2634='Analítico Cp.'!$B78),-('Diário 5º PA'!$Q$5:$Q$2634=E$1),('Diário 5º PA'!$F$5:$F$2634))
+SUMPRODUCT(-('Diário 6º PA'!$E$5:$E$2246='Analítico Cp.'!$B78),-('Diário 6º PA'!$Q$5:$Q$2246=E$1),('Diário 6º PA'!$F$5:$F$2246))
+SUMPRODUCT(-('Diário 7º PA'!$E$5:$E$2271='Analítico Cp.'!$B78),-('Diário 7º PA'!$Q$5:$Q$2271=E$1),('Diário 7º PA'!$F$5:$F$2271))
+SUMPRODUCT(-('Diário 8º PA'!$E$5:$E$2488='Analítico Cp.'!$B78),-('Diário 8º PA'!$Q$5:$Q$2488=E$1),('Diário 8º PA'!$F$5:$F$2488))
+SUMPRODUCT(-('Comp.'!$D$5:$D$313='Analítico Cp.'!$B78),-('Comp.'!$R$5:$R$313=E$1),('Comp.'!$E$5:$E$313))</f>
        <v>1688.0700000000002</v>
      </c>
      <c r="F78" s="185">
        <f>SUMPRODUCT(-('Diário 5º PA'!$E$5:$E$2634='Analítico Cp.'!$B78),-('Diário 5º PA'!$Q$5:$Q$2634=F$1),('Diário 5º PA'!$F$5:$F$2634))
+SUMPRODUCT(-('Diário 6º PA'!$E$5:$E$2246='Analítico Cp.'!$B78),-('Diário 6º PA'!$Q$5:$Q$2246=F$1),('Diário 6º PA'!$F$5:$F$2246))
+SUMPRODUCT(-('Diário 7º PA'!$E$5:$E$2271='Analítico Cp.'!$B78),-('Diário 7º PA'!$Q$5:$Q$2271=F$1),('Diário 7º PA'!$F$5:$F$2271))
+SUMPRODUCT(-('Diário 8º PA'!$E$5:$E$2488='Analítico Cp.'!$B78),-('Diário 8º PA'!$Q$5:$Q$2488=F$1),('Diário 8º PA'!$F$5:$F$2488))
+SUMPRODUCT(-('Comp.'!$D$5:$D$313='Analítico Cp.'!$B78),-('Comp.'!$R$5:$R$313=F$1),('Comp.'!$E$5:$E$313))</f>
        <v>1688.0700000000002</v>
      </c>
      <c r="G78" s="185">
        <f>SUMPRODUCT(-('Diário 5º PA'!$E$5:$E$2634='Analítico Cp.'!$B78),-('Diário 5º PA'!$Q$5:$Q$2634=G$1),('Diário 5º PA'!$F$5:$F$2634))
+SUMPRODUCT(-('Diário 6º PA'!$E$5:$E$2246='Analítico Cp.'!$B78),-('Diário 6º PA'!$Q$5:$Q$2246=G$1),('Diário 6º PA'!$F$5:$F$2246))
+SUMPRODUCT(-('Diário 7º PA'!$E$5:$E$2271='Analítico Cp.'!$B78),-('Diário 7º PA'!$Q$5:$Q$2271=G$1),('Diário 7º PA'!$F$5:$F$2271))
+SUMPRODUCT(-('Diário 8º PA'!$E$5:$E$2488='Analítico Cp.'!$B78),-('Diário 8º PA'!$Q$5:$Q$2488=G$1),('Diário 8º PA'!$F$5:$F$2488))
+SUMPRODUCT(-('Comp.'!$D$5:$D$313='Analítico Cp.'!$B78),-('Comp.'!$R$5:$R$313=G$1),('Comp.'!$E$5:$E$313))</f>
        <v>1438.0700000000002</v>
      </c>
      <c r="H78" s="185">
        <f>SUMPRODUCT(-('Diário 5º PA'!$E$5:$E$2634='Analítico Cp.'!$B78),-('Diário 5º PA'!$Q$5:$Q$2634=H$1),('Diário 5º PA'!$F$5:$F$2634))
+SUMPRODUCT(-('Diário 6º PA'!$E$5:$E$2246='Analítico Cp.'!$B78),-('Diário 6º PA'!$Q$5:$Q$2246=H$1),('Diário 6º PA'!$F$5:$F$2246))
+SUMPRODUCT(-('Diário 7º PA'!$E$5:$E$2271='Analítico Cp.'!$B78),-('Diário 7º PA'!$Q$5:$Q$2271=H$1),('Diário 7º PA'!$F$5:$F$2271))
+SUMPRODUCT(-('Diário 8º PA'!$E$5:$E$2488='Analítico Cp.'!$B78),-('Diário 8º PA'!$Q$5:$Q$2488=H$1),('Diário 8º PA'!$F$5:$F$2488))
+SUMPRODUCT(-('Comp.'!$D$5:$D$313='Analítico Cp.'!$B78),-('Comp.'!$R$5:$R$313=H$1),('Comp.'!$E$5:$E$313))</f>
        <v>1438.0700000000002</v>
      </c>
      <c r="I78" s="185">
        <f>SUMPRODUCT(-('Diário 5º PA'!$E$5:$E$2634='Analítico Cp.'!$B78),-('Diário 5º PA'!$Q$5:$Q$2634=I$1),('Diário 5º PA'!$F$5:$F$2634))
+SUMPRODUCT(-('Diário 6º PA'!$E$5:$E$2246='Analítico Cp.'!$B78),-('Diário 6º PA'!$Q$5:$Q$2246=I$1),('Diário 6º PA'!$F$5:$F$2246))
+SUMPRODUCT(-('Diário 7º PA'!$E$5:$E$2271='Analítico Cp.'!$B78),-('Diário 7º PA'!$Q$5:$Q$2271=I$1),('Diário 7º PA'!$F$5:$F$2271))
+SUMPRODUCT(-('Diário 8º PA'!$E$5:$E$2488='Analítico Cp.'!$B78),-('Diário 8º PA'!$Q$5:$Q$2488=I$1),('Diário 8º PA'!$F$5:$F$2488))
+SUMPRODUCT(-('Comp.'!$D$5:$D$313='Analítico Cp.'!$B78),-('Comp.'!$R$5:$R$313=I$1),('Comp.'!$E$5:$E$313))</f>
        <v>1188.0700000000002</v>
      </c>
      <c r="J78" s="185">
        <f>SUMPRODUCT(-('Diário 5º PA'!$E$5:$E$2634='Analítico Cp.'!$B78),-('Diário 5º PA'!$Q$5:$Q$2634=J$1),('Diário 5º PA'!$F$5:$F$2634))
+SUMPRODUCT(-('Diário 6º PA'!$E$5:$E$2246='Analítico Cp.'!$B78),-('Diário 6º PA'!$Q$5:$Q$2246=J$1),('Diário 6º PA'!$F$5:$F$2246))
+SUMPRODUCT(-('Diário 7º PA'!$E$5:$E$2271='Analítico Cp.'!$B78),-('Diário 7º PA'!$Q$5:$Q$2271=J$1),('Diário 7º PA'!$F$5:$F$2271))
+SUMPRODUCT(-('Diário 8º PA'!$E$5:$E$2488='Analítico Cp.'!$B78),-('Diário 8º PA'!$Q$5:$Q$2488=J$1),('Diário 8º PA'!$F$5:$F$2488))
+SUMPRODUCT(-('Comp.'!$D$5:$D$313='Analítico Cp.'!$B78),-('Comp.'!$R$5:$R$313=J$1),('Comp.'!$E$5:$E$313))</f>
        <v>1188.0700000000002</v>
      </c>
      <c r="K78" s="185">
        <f>SUMPRODUCT(-('Diário 5º PA'!$E$5:$E$2634='Analítico Cp.'!$B78),-('Diário 5º PA'!$Q$5:$Q$2634=K$1),('Diário 5º PA'!$F$5:$F$2634))
+SUMPRODUCT(-('Diário 6º PA'!$E$5:$E$2246='Analítico Cp.'!$B78),-('Diário 6º PA'!$Q$5:$Q$2246=K$1),('Diário 6º PA'!$F$5:$F$2246))
+SUMPRODUCT(-('Diário 7º PA'!$E$5:$E$2271='Analítico Cp.'!$B78),-('Diário 7º PA'!$Q$5:$Q$2271=K$1),('Diário 7º PA'!$F$5:$F$2271))
+SUMPRODUCT(-('Diário 8º PA'!$E$5:$E$2488='Analítico Cp.'!$B78),-('Diário 8º PA'!$Q$5:$Q$2488=K$1),('Diário 8º PA'!$F$5:$F$2488))
+SUMPRODUCT(-('Comp.'!$D$5:$D$313='Analítico Cp.'!$B78),-('Comp.'!$R$5:$R$313=K$1),('Comp.'!$E$5:$E$313))</f>
        <v>1188.0700000000002</v>
      </c>
      <c r="L78" s="185">
        <f>SUMPRODUCT(-('Diário 5º PA'!$E$5:$E$2634='Analítico Cp.'!$B78),-('Diário 5º PA'!$Q$5:$Q$2634=L$1),('Diário 5º PA'!$F$5:$F$2634))
+SUMPRODUCT(-('Diário 6º PA'!$E$5:$E$2246='Analítico Cp.'!$B78),-('Diário 6º PA'!$Q$5:$Q$2246=L$1),('Diário 6º PA'!$F$5:$F$2246))
+SUMPRODUCT(-('Diário 7º PA'!$E$5:$E$2271='Analítico Cp.'!$B78),-('Diário 7º PA'!$Q$5:$Q$2271=L$1),('Diário 7º PA'!$F$5:$F$2271))
+SUMPRODUCT(-('Diário 8º PA'!$E$5:$E$2488='Analítico Cp.'!$B78),-('Diário 8º PA'!$Q$5:$Q$2488=L$1),('Diário 8º PA'!$F$5:$F$2488))
+SUMPRODUCT(-('Comp.'!$D$5:$D$313='Analítico Cp.'!$B78),-('Comp.'!$R$5:$R$313=L$1),('Comp.'!$E$5:$E$313))</f>
        <v>1188.0700000000002</v>
      </c>
      <c r="M78" s="185">
        <f>SUMPRODUCT(-('Diário 5º PA'!$E$5:$E$2634='Analítico Cp.'!$B78),-('Diário 5º PA'!$Q$5:$Q$2634=M$1),('Diário 5º PA'!$F$5:$F$2634))
+SUMPRODUCT(-('Diário 6º PA'!$E$5:$E$2246='Analítico Cp.'!$B78),-('Diário 6º PA'!$Q$5:$Q$2246=M$1),('Diário 6º PA'!$F$5:$F$2246))
+SUMPRODUCT(-('Diário 7º PA'!$E$5:$E$2271='Analítico Cp.'!$B78),-('Diário 7º PA'!$Q$5:$Q$2271=M$1),('Diário 7º PA'!$F$5:$F$2271))
+SUMPRODUCT(-('Diário 8º PA'!$E$5:$E$2488='Analítico Cp.'!$B78),-('Diário 8º PA'!$Q$5:$Q$2488=M$1),('Diário 8º PA'!$F$5:$F$2488))
+SUMPRODUCT(-('Comp.'!$D$5:$D$313='Analítico Cp.'!$B78),-('Comp.'!$R$5:$R$313=M$1),('Comp.'!$E$5:$E$313))</f>
        <v>938.07</v>
      </c>
      <c r="N78" s="185">
        <f>SUMPRODUCT(-('Diário 5º PA'!$E$5:$E$2634='Analítico Cp.'!$B78),-('Diário 5º PA'!$Q$5:$Q$2634=N$1),('Diário 5º PA'!$F$5:$F$2634))
+SUMPRODUCT(-('Diário 6º PA'!$E$5:$E$2246='Analítico Cp.'!$B78),-('Diário 6º PA'!$Q$5:$Q$2246=N$1),('Diário 6º PA'!$F$5:$F$2246))
+SUMPRODUCT(-('Diário 7º PA'!$E$5:$E$2271='Analítico Cp.'!$B78),-('Diário 7º PA'!$Q$5:$Q$2271=N$1),('Diário 7º PA'!$F$5:$F$2271))
+SUMPRODUCT(-('Diário 8º PA'!$E$5:$E$2488='Analítico Cp.'!$B78),-('Diário 8º PA'!$Q$5:$Q$2488=N$1),('Diário 8º PA'!$F$5:$F$2488))
+SUMPRODUCT(-('Comp.'!$D$5:$D$313='Analítico Cp.'!$B78),-('Comp.'!$R$5:$R$313=N$1),('Comp.'!$E$5:$E$313))</f>
        <v>938.06999999999994</v>
      </c>
      <c r="O78" s="186">
        <f t="shared" si="16"/>
        <v>15641.129999999997</v>
      </c>
      <c r="P78" s="187">
        <f t="shared" si="17"/>
        <v>1.6133224589434676E-3</v>
      </c>
      <c r="Q78" s="34"/>
      <c r="R78" s="34"/>
      <c r="S78" s="34"/>
      <c r="T78" s="34"/>
      <c r="U78" s="34"/>
      <c r="V78" s="34"/>
      <c r="W78" s="34"/>
      <c r="X78" s="34"/>
      <c r="Y78" s="34"/>
      <c r="Z78" s="34"/>
    </row>
    <row r="79" spans="1:26" ht="23.25" customHeight="1" x14ac:dyDescent="0.2">
      <c r="A79" s="203" t="s">
        <v>255</v>
      </c>
      <c r="B79" s="72" t="s">
        <v>256</v>
      </c>
      <c r="C79" s="185">
        <f>SUMPRODUCT(-('Diário 5º PA'!$E$5:$E$2634='Analítico Cp.'!$B79),-('Diário 5º PA'!$Q$5:$Q$2634=C$1),('Diário 5º PA'!$F$5:$F$2634))
+SUMPRODUCT(-('Diário 6º PA'!$E$5:$E$2246='Analítico Cp.'!$B79),-('Diário 6º PA'!$Q$5:$Q$2246=C$1),('Diário 6º PA'!$F$5:$F$2246))
+SUMPRODUCT(-('Diário 7º PA'!$E$5:$E$2271='Analítico Cp.'!$B79),-('Diário 7º PA'!$Q$5:$Q$2271=C$1),('Diário 7º PA'!$F$5:$F$2271))
+SUMPRODUCT(-('Diário 8º PA'!$E$5:$E$2488='Analítico Cp.'!$B79),-('Diário 8º PA'!$Q$5:$Q$2488=C$1),('Diário 8º PA'!$F$5:$F$2488))
+SUMPRODUCT(-('Comp.'!$D$5:$D$313='Analítico Cp.'!$B79),-('Comp.'!$R$5:$R$313=C$1),('Comp.'!$E$5:$E$313))</f>
        <v>0</v>
      </c>
      <c r="D79" s="185">
        <f>SUMPRODUCT(-('Diário 5º PA'!$E$5:$E$2634='Analítico Cp.'!$B79),-('Diário 5º PA'!$Q$5:$Q$2634=D$1),('Diário 5º PA'!$F$5:$F$2634))
+SUMPRODUCT(-('Diário 6º PA'!$E$5:$E$2246='Analítico Cp.'!$B79),-('Diário 6º PA'!$Q$5:$Q$2246=D$1),('Diário 6º PA'!$F$5:$F$2246))
+SUMPRODUCT(-('Diário 7º PA'!$E$5:$E$2271='Analítico Cp.'!$B79),-('Diário 7º PA'!$Q$5:$Q$2271=D$1),('Diário 7º PA'!$F$5:$F$2271))
+SUMPRODUCT(-('Diário 8º PA'!$E$5:$E$2488='Analítico Cp.'!$B79),-('Diário 8º PA'!$Q$5:$Q$2488=D$1),('Diário 8º PA'!$F$5:$F$2488))
+SUMPRODUCT(-('Comp.'!$D$5:$D$313='Analítico Cp.'!$B79),-('Comp.'!$R$5:$R$313=D$1),('Comp.'!$E$5:$E$313))</f>
        <v>0</v>
      </c>
      <c r="E79" s="185">
        <f>SUMPRODUCT(-('Diário 5º PA'!$E$5:$E$2634='Analítico Cp.'!$B79),-('Diário 5º PA'!$Q$5:$Q$2634=E$1),('Diário 5º PA'!$F$5:$F$2634))
+SUMPRODUCT(-('Diário 6º PA'!$E$5:$E$2246='Analítico Cp.'!$B79),-('Diário 6º PA'!$Q$5:$Q$2246=E$1),('Diário 6º PA'!$F$5:$F$2246))
+SUMPRODUCT(-('Diário 7º PA'!$E$5:$E$2271='Analítico Cp.'!$B79),-('Diário 7º PA'!$Q$5:$Q$2271=E$1),('Diário 7º PA'!$F$5:$F$2271))
+SUMPRODUCT(-('Diário 8º PA'!$E$5:$E$2488='Analítico Cp.'!$B79),-('Diário 8º PA'!$Q$5:$Q$2488=E$1),('Diário 8º PA'!$F$5:$F$2488))
+SUMPRODUCT(-('Comp.'!$D$5:$D$313='Analítico Cp.'!$B79),-('Comp.'!$R$5:$R$313=E$1),('Comp.'!$E$5:$E$313))</f>
        <v>0</v>
      </c>
      <c r="F79" s="185">
        <f>SUMPRODUCT(-('Diário 5º PA'!$E$5:$E$2634='Analítico Cp.'!$B79),-('Diário 5º PA'!$Q$5:$Q$2634=F$1),('Diário 5º PA'!$F$5:$F$2634))
+SUMPRODUCT(-('Diário 6º PA'!$E$5:$E$2246='Analítico Cp.'!$B79),-('Diário 6º PA'!$Q$5:$Q$2246=F$1),('Diário 6º PA'!$F$5:$F$2246))
+SUMPRODUCT(-('Diário 7º PA'!$E$5:$E$2271='Analítico Cp.'!$B79),-('Diário 7º PA'!$Q$5:$Q$2271=F$1),('Diário 7º PA'!$F$5:$F$2271))
+SUMPRODUCT(-('Diário 8º PA'!$E$5:$E$2488='Analítico Cp.'!$B79),-('Diário 8º PA'!$Q$5:$Q$2488=F$1),('Diário 8º PA'!$F$5:$F$2488))
+SUMPRODUCT(-('Comp.'!$D$5:$D$313='Analítico Cp.'!$B79),-('Comp.'!$R$5:$R$313=F$1),('Comp.'!$E$5:$E$313))</f>
        <v>0</v>
      </c>
      <c r="G79" s="185">
        <f>SUMPRODUCT(-('Diário 5º PA'!$E$5:$E$2634='Analítico Cp.'!$B79),-('Diário 5º PA'!$Q$5:$Q$2634=G$1),('Diário 5º PA'!$F$5:$F$2634))
+SUMPRODUCT(-('Diário 6º PA'!$E$5:$E$2246='Analítico Cp.'!$B79),-('Diário 6º PA'!$Q$5:$Q$2246=G$1),('Diário 6º PA'!$F$5:$F$2246))
+SUMPRODUCT(-('Diário 7º PA'!$E$5:$E$2271='Analítico Cp.'!$B79),-('Diário 7º PA'!$Q$5:$Q$2271=G$1),('Diário 7º PA'!$F$5:$F$2271))
+SUMPRODUCT(-('Diário 8º PA'!$E$5:$E$2488='Analítico Cp.'!$B79),-('Diário 8º PA'!$Q$5:$Q$2488=G$1),('Diário 8º PA'!$F$5:$F$2488))
+SUMPRODUCT(-('Comp.'!$D$5:$D$313='Analítico Cp.'!$B79),-('Comp.'!$R$5:$R$313=G$1),('Comp.'!$E$5:$E$313))</f>
        <v>0</v>
      </c>
      <c r="H79" s="185">
        <f>SUMPRODUCT(-('Diário 5º PA'!$E$5:$E$2634='Analítico Cp.'!$B79),-('Diário 5º PA'!$Q$5:$Q$2634=H$1),('Diário 5º PA'!$F$5:$F$2634))
+SUMPRODUCT(-('Diário 6º PA'!$E$5:$E$2246='Analítico Cp.'!$B79),-('Diário 6º PA'!$Q$5:$Q$2246=H$1),('Diário 6º PA'!$F$5:$F$2246))
+SUMPRODUCT(-('Diário 7º PA'!$E$5:$E$2271='Analítico Cp.'!$B79),-('Diário 7º PA'!$Q$5:$Q$2271=H$1),('Diário 7º PA'!$F$5:$F$2271))
+SUMPRODUCT(-('Diário 8º PA'!$E$5:$E$2488='Analítico Cp.'!$B79),-('Diário 8º PA'!$Q$5:$Q$2488=H$1),('Diário 8º PA'!$F$5:$F$2488))
+SUMPRODUCT(-('Comp.'!$D$5:$D$313='Analítico Cp.'!$B79),-('Comp.'!$R$5:$R$313=H$1),('Comp.'!$E$5:$E$313))</f>
        <v>0</v>
      </c>
      <c r="I79" s="185">
        <f>SUMPRODUCT(-('Diário 5º PA'!$E$5:$E$2634='Analítico Cp.'!$B79),-('Diário 5º PA'!$Q$5:$Q$2634=I$1),('Diário 5º PA'!$F$5:$F$2634))
+SUMPRODUCT(-('Diário 6º PA'!$E$5:$E$2246='Analítico Cp.'!$B79),-('Diário 6º PA'!$Q$5:$Q$2246=I$1),('Diário 6º PA'!$F$5:$F$2246))
+SUMPRODUCT(-('Diário 7º PA'!$E$5:$E$2271='Analítico Cp.'!$B79),-('Diário 7º PA'!$Q$5:$Q$2271=I$1),('Diário 7º PA'!$F$5:$F$2271))
+SUMPRODUCT(-('Diário 8º PA'!$E$5:$E$2488='Analítico Cp.'!$B79),-('Diário 8º PA'!$Q$5:$Q$2488=I$1),('Diário 8º PA'!$F$5:$F$2488))
+SUMPRODUCT(-('Comp.'!$D$5:$D$313='Analítico Cp.'!$B79),-('Comp.'!$R$5:$R$313=I$1),('Comp.'!$E$5:$E$313))</f>
        <v>0</v>
      </c>
      <c r="J79" s="185">
        <f>SUMPRODUCT(-('Diário 5º PA'!$E$5:$E$2634='Analítico Cp.'!$B79),-('Diário 5º PA'!$Q$5:$Q$2634=J$1),('Diário 5º PA'!$F$5:$F$2634))
+SUMPRODUCT(-('Diário 6º PA'!$E$5:$E$2246='Analítico Cp.'!$B79),-('Diário 6º PA'!$Q$5:$Q$2246=J$1),('Diário 6º PA'!$F$5:$F$2246))
+SUMPRODUCT(-('Diário 7º PA'!$E$5:$E$2271='Analítico Cp.'!$B79),-('Diário 7º PA'!$Q$5:$Q$2271=J$1),('Diário 7º PA'!$F$5:$F$2271))
+SUMPRODUCT(-('Diário 8º PA'!$E$5:$E$2488='Analítico Cp.'!$B79),-('Diário 8º PA'!$Q$5:$Q$2488=J$1),('Diário 8º PA'!$F$5:$F$2488))
+SUMPRODUCT(-('Comp.'!$D$5:$D$313='Analítico Cp.'!$B79),-('Comp.'!$R$5:$R$313=J$1),('Comp.'!$E$5:$E$313))</f>
        <v>0</v>
      </c>
      <c r="K79" s="185">
        <f>SUMPRODUCT(-('Diário 5º PA'!$E$5:$E$2634='Analítico Cp.'!$B79),-('Diário 5º PA'!$Q$5:$Q$2634=K$1),('Diário 5º PA'!$F$5:$F$2634))
+SUMPRODUCT(-('Diário 6º PA'!$E$5:$E$2246='Analítico Cp.'!$B79),-('Diário 6º PA'!$Q$5:$Q$2246=K$1),('Diário 6º PA'!$F$5:$F$2246))
+SUMPRODUCT(-('Diário 7º PA'!$E$5:$E$2271='Analítico Cp.'!$B79),-('Diário 7º PA'!$Q$5:$Q$2271=K$1),('Diário 7º PA'!$F$5:$F$2271))
+SUMPRODUCT(-('Diário 8º PA'!$E$5:$E$2488='Analítico Cp.'!$B79),-('Diário 8º PA'!$Q$5:$Q$2488=K$1),('Diário 8º PA'!$F$5:$F$2488))
+SUMPRODUCT(-('Comp.'!$D$5:$D$313='Analítico Cp.'!$B79),-('Comp.'!$R$5:$R$313=K$1),('Comp.'!$E$5:$E$313))</f>
        <v>0</v>
      </c>
      <c r="L79" s="185">
        <f>SUMPRODUCT(-('Diário 5º PA'!$E$5:$E$2634='Analítico Cp.'!$B79),-('Diário 5º PA'!$Q$5:$Q$2634=L$1),('Diário 5º PA'!$F$5:$F$2634))
+SUMPRODUCT(-('Diário 6º PA'!$E$5:$E$2246='Analítico Cp.'!$B79),-('Diário 6º PA'!$Q$5:$Q$2246=L$1),('Diário 6º PA'!$F$5:$F$2246))
+SUMPRODUCT(-('Diário 7º PA'!$E$5:$E$2271='Analítico Cp.'!$B79),-('Diário 7º PA'!$Q$5:$Q$2271=L$1),('Diário 7º PA'!$F$5:$F$2271))
+SUMPRODUCT(-('Diário 8º PA'!$E$5:$E$2488='Analítico Cp.'!$B79),-('Diário 8º PA'!$Q$5:$Q$2488=L$1),('Diário 8º PA'!$F$5:$F$2488))
+SUMPRODUCT(-('Comp.'!$D$5:$D$313='Analítico Cp.'!$B79),-('Comp.'!$R$5:$R$313=L$1),('Comp.'!$E$5:$E$313))</f>
        <v>0</v>
      </c>
      <c r="M79" s="185">
        <f>SUMPRODUCT(-('Diário 5º PA'!$E$5:$E$2634='Analítico Cp.'!$B79),-('Diário 5º PA'!$Q$5:$Q$2634=M$1),('Diário 5º PA'!$F$5:$F$2634))
+SUMPRODUCT(-('Diário 6º PA'!$E$5:$E$2246='Analítico Cp.'!$B79),-('Diário 6º PA'!$Q$5:$Q$2246=M$1),('Diário 6º PA'!$F$5:$F$2246))
+SUMPRODUCT(-('Diário 7º PA'!$E$5:$E$2271='Analítico Cp.'!$B79),-('Diário 7º PA'!$Q$5:$Q$2271=M$1),('Diário 7º PA'!$F$5:$F$2271))
+SUMPRODUCT(-('Diário 8º PA'!$E$5:$E$2488='Analítico Cp.'!$B79),-('Diário 8º PA'!$Q$5:$Q$2488=M$1),('Diário 8º PA'!$F$5:$F$2488))
+SUMPRODUCT(-('Comp.'!$D$5:$D$313='Analítico Cp.'!$B79),-('Comp.'!$R$5:$R$313=M$1),('Comp.'!$E$5:$E$313))</f>
        <v>0</v>
      </c>
      <c r="N79" s="185">
        <f>SUMPRODUCT(-('Diário 5º PA'!$E$5:$E$2634='Analítico Cp.'!$B79),-('Diário 5º PA'!$Q$5:$Q$2634=N$1),('Diário 5º PA'!$F$5:$F$2634))
+SUMPRODUCT(-('Diário 6º PA'!$E$5:$E$2246='Analítico Cp.'!$B79),-('Diário 6º PA'!$Q$5:$Q$2246=N$1),('Diário 6º PA'!$F$5:$F$2246))
+SUMPRODUCT(-('Diário 7º PA'!$E$5:$E$2271='Analítico Cp.'!$B79),-('Diário 7º PA'!$Q$5:$Q$2271=N$1),('Diário 7º PA'!$F$5:$F$2271))
+SUMPRODUCT(-('Diário 8º PA'!$E$5:$E$2488='Analítico Cp.'!$B79),-('Diário 8º PA'!$Q$5:$Q$2488=N$1),('Diário 8º PA'!$F$5:$F$2488))
+SUMPRODUCT(-('Comp.'!$D$5:$D$313='Analítico Cp.'!$B79),-('Comp.'!$R$5:$R$313=N$1),('Comp.'!$E$5:$E$313))</f>
        <v>0</v>
      </c>
      <c r="O79" s="186">
        <f t="shared" si="16"/>
        <v>0</v>
      </c>
      <c r="P79" s="187">
        <f t="shared" si="17"/>
        <v>0</v>
      </c>
      <c r="Q79" s="34"/>
      <c r="R79" s="34"/>
      <c r="S79" s="34"/>
      <c r="T79" s="34"/>
      <c r="U79" s="34"/>
      <c r="V79" s="34"/>
      <c r="W79" s="34"/>
      <c r="X79" s="34"/>
      <c r="Y79" s="34"/>
      <c r="Z79" s="34"/>
    </row>
    <row r="80" spans="1:26" ht="23.25" customHeight="1" x14ac:dyDescent="0.2">
      <c r="A80" s="203" t="s">
        <v>257</v>
      </c>
      <c r="B80" s="72" t="s">
        <v>258</v>
      </c>
      <c r="C80" s="185">
        <f>SUMPRODUCT(-('Diário 5º PA'!$E$5:$E$2634='Analítico Cp.'!$B80),-('Diário 5º PA'!$Q$5:$Q$2634=C$1),('Diário 5º PA'!$F$5:$F$2634))
+SUMPRODUCT(-('Diário 6º PA'!$E$5:$E$2246='Analítico Cp.'!$B80),-('Diário 6º PA'!$Q$5:$Q$2246=C$1),('Diário 6º PA'!$F$5:$F$2246))
+SUMPRODUCT(-('Diário 7º PA'!$E$5:$E$2271='Analítico Cp.'!$B80),-('Diário 7º PA'!$Q$5:$Q$2271=C$1),('Diário 7º PA'!$F$5:$F$2271))
+SUMPRODUCT(-('Diário 8º PA'!$E$5:$E$2488='Analítico Cp.'!$B80),-('Diário 8º PA'!$Q$5:$Q$2488=C$1),('Diário 8º PA'!$F$5:$F$2488))
+SUMPRODUCT(-('Comp.'!$D$5:$D$313='Analítico Cp.'!$B80),-('Comp.'!$R$5:$R$313=C$1),('Comp.'!$E$5:$E$313))</f>
        <v>0</v>
      </c>
      <c r="D80" s="185">
        <f>SUMPRODUCT(-('Diário 5º PA'!$E$5:$E$2634='Analítico Cp.'!$B80),-('Diário 5º PA'!$Q$5:$Q$2634=D$1),('Diário 5º PA'!$F$5:$F$2634))
+SUMPRODUCT(-('Diário 6º PA'!$E$5:$E$2246='Analítico Cp.'!$B80),-('Diário 6º PA'!$Q$5:$Q$2246=D$1),('Diário 6º PA'!$F$5:$F$2246))
+SUMPRODUCT(-('Diário 7º PA'!$E$5:$E$2271='Analítico Cp.'!$B80),-('Diário 7º PA'!$Q$5:$Q$2271=D$1),('Diário 7º PA'!$F$5:$F$2271))
+SUMPRODUCT(-('Diário 8º PA'!$E$5:$E$2488='Analítico Cp.'!$B80),-('Diário 8º PA'!$Q$5:$Q$2488=D$1),('Diário 8º PA'!$F$5:$F$2488))
+SUMPRODUCT(-('Comp.'!$D$5:$D$313='Analítico Cp.'!$B80),-('Comp.'!$R$5:$R$313=D$1),('Comp.'!$E$5:$E$313))</f>
        <v>0</v>
      </c>
      <c r="E80" s="185">
        <f>SUMPRODUCT(-('Diário 5º PA'!$E$5:$E$2634='Analítico Cp.'!$B80),-('Diário 5º PA'!$Q$5:$Q$2634=E$1),('Diário 5º PA'!$F$5:$F$2634))
+SUMPRODUCT(-('Diário 6º PA'!$E$5:$E$2246='Analítico Cp.'!$B80),-('Diário 6º PA'!$Q$5:$Q$2246=E$1),('Diário 6º PA'!$F$5:$F$2246))
+SUMPRODUCT(-('Diário 7º PA'!$E$5:$E$2271='Analítico Cp.'!$B80),-('Diário 7º PA'!$Q$5:$Q$2271=E$1),('Diário 7º PA'!$F$5:$F$2271))
+SUMPRODUCT(-('Diário 8º PA'!$E$5:$E$2488='Analítico Cp.'!$B80),-('Diário 8º PA'!$Q$5:$Q$2488=E$1),('Diário 8º PA'!$F$5:$F$2488))
+SUMPRODUCT(-('Comp.'!$D$5:$D$313='Analítico Cp.'!$B80),-('Comp.'!$R$5:$R$313=E$1),('Comp.'!$E$5:$E$313))</f>
        <v>0</v>
      </c>
      <c r="F80" s="185">
        <f>SUMPRODUCT(-('Diário 5º PA'!$E$5:$E$2634='Analítico Cp.'!$B80),-('Diário 5º PA'!$Q$5:$Q$2634=F$1),('Diário 5º PA'!$F$5:$F$2634))
+SUMPRODUCT(-('Diário 6º PA'!$E$5:$E$2246='Analítico Cp.'!$B80),-('Diário 6º PA'!$Q$5:$Q$2246=F$1),('Diário 6º PA'!$F$5:$F$2246))
+SUMPRODUCT(-('Diário 7º PA'!$E$5:$E$2271='Analítico Cp.'!$B80),-('Diário 7º PA'!$Q$5:$Q$2271=F$1),('Diário 7º PA'!$F$5:$F$2271))
+SUMPRODUCT(-('Diário 8º PA'!$E$5:$E$2488='Analítico Cp.'!$B80),-('Diário 8º PA'!$Q$5:$Q$2488=F$1),('Diário 8º PA'!$F$5:$F$2488))
+SUMPRODUCT(-('Comp.'!$D$5:$D$313='Analítico Cp.'!$B80),-('Comp.'!$R$5:$R$313=F$1),('Comp.'!$E$5:$E$313))</f>
        <v>0</v>
      </c>
      <c r="G80" s="185">
        <f>SUMPRODUCT(-('Diário 5º PA'!$E$5:$E$2634='Analítico Cp.'!$B80),-('Diário 5º PA'!$Q$5:$Q$2634=G$1),('Diário 5º PA'!$F$5:$F$2634))
+SUMPRODUCT(-('Diário 6º PA'!$E$5:$E$2246='Analítico Cp.'!$B80),-('Diário 6º PA'!$Q$5:$Q$2246=G$1),('Diário 6º PA'!$F$5:$F$2246))
+SUMPRODUCT(-('Diário 7º PA'!$E$5:$E$2271='Analítico Cp.'!$B80),-('Diário 7º PA'!$Q$5:$Q$2271=G$1),('Diário 7º PA'!$F$5:$F$2271))
+SUMPRODUCT(-('Diário 8º PA'!$E$5:$E$2488='Analítico Cp.'!$B80),-('Diário 8º PA'!$Q$5:$Q$2488=G$1),('Diário 8º PA'!$F$5:$F$2488))
+SUMPRODUCT(-('Comp.'!$D$5:$D$313='Analítico Cp.'!$B80),-('Comp.'!$R$5:$R$313=G$1),('Comp.'!$E$5:$E$313))</f>
        <v>0</v>
      </c>
      <c r="H80" s="185">
        <f>SUMPRODUCT(-('Diário 5º PA'!$E$5:$E$2634='Analítico Cp.'!$B80),-('Diário 5º PA'!$Q$5:$Q$2634=H$1),('Diário 5º PA'!$F$5:$F$2634))
+SUMPRODUCT(-('Diário 6º PA'!$E$5:$E$2246='Analítico Cp.'!$B80),-('Diário 6º PA'!$Q$5:$Q$2246=H$1),('Diário 6º PA'!$F$5:$F$2246))
+SUMPRODUCT(-('Diário 7º PA'!$E$5:$E$2271='Analítico Cp.'!$B80),-('Diário 7º PA'!$Q$5:$Q$2271=H$1),('Diário 7º PA'!$F$5:$F$2271))
+SUMPRODUCT(-('Diário 8º PA'!$E$5:$E$2488='Analítico Cp.'!$B80),-('Diário 8º PA'!$Q$5:$Q$2488=H$1),('Diário 8º PA'!$F$5:$F$2488))
+SUMPRODUCT(-('Comp.'!$D$5:$D$313='Analítico Cp.'!$B80),-('Comp.'!$R$5:$R$313=H$1),('Comp.'!$E$5:$E$313))</f>
        <v>0</v>
      </c>
      <c r="I80" s="185">
        <f>SUMPRODUCT(-('Diário 5º PA'!$E$5:$E$2634='Analítico Cp.'!$B80),-('Diário 5º PA'!$Q$5:$Q$2634=I$1),('Diário 5º PA'!$F$5:$F$2634))
+SUMPRODUCT(-('Diário 6º PA'!$E$5:$E$2246='Analítico Cp.'!$B80),-('Diário 6º PA'!$Q$5:$Q$2246=I$1),('Diário 6º PA'!$F$5:$F$2246))
+SUMPRODUCT(-('Diário 7º PA'!$E$5:$E$2271='Analítico Cp.'!$B80),-('Diário 7º PA'!$Q$5:$Q$2271=I$1),('Diário 7º PA'!$F$5:$F$2271))
+SUMPRODUCT(-('Diário 8º PA'!$E$5:$E$2488='Analítico Cp.'!$B80),-('Diário 8º PA'!$Q$5:$Q$2488=I$1),('Diário 8º PA'!$F$5:$F$2488))
+SUMPRODUCT(-('Comp.'!$D$5:$D$313='Analítico Cp.'!$B80),-('Comp.'!$R$5:$R$313=I$1),('Comp.'!$E$5:$E$313))</f>
        <v>0</v>
      </c>
      <c r="J80" s="185">
        <f>SUMPRODUCT(-('Diário 5º PA'!$E$5:$E$2634='Analítico Cp.'!$B80),-('Diário 5º PA'!$Q$5:$Q$2634=J$1),('Diário 5º PA'!$F$5:$F$2634))
+SUMPRODUCT(-('Diário 6º PA'!$E$5:$E$2246='Analítico Cp.'!$B80),-('Diário 6º PA'!$Q$5:$Q$2246=J$1),('Diário 6º PA'!$F$5:$F$2246))
+SUMPRODUCT(-('Diário 7º PA'!$E$5:$E$2271='Analítico Cp.'!$B80),-('Diário 7º PA'!$Q$5:$Q$2271=J$1),('Diário 7º PA'!$F$5:$F$2271))
+SUMPRODUCT(-('Diário 8º PA'!$E$5:$E$2488='Analítico Cp.'!$B80),-('Diário 8º PA'!$Q$5:$Q$2488=J$1),('Diário 8º PA'!$F$5:$F$2488))
+SUMPRODUCT(-('Comp.'!$D$5:$D$313='Analítico Cp.'!$B80),-('Comp.'!$R$5:$R$313=J$1),('Comp.'!$E$5:$E$313))</f>
        <v>0</v>
      </c>
      <c r="K80" s="185">
        <f>SUMPRODUCT(-('Diário 5º PA'!$E$5:$E$2634='Analítico Cp.'!$B80),-('Diário 5º PA'!$Q$5:$Q$2634=K$1),('Diário 5º PA'!$F$5:$F$2634))
+SUMPRODUCT(-('Diário 6º PA'!$E$5:$E$2246='Analítico Cp.'!$B80),-('Diário 6º PA'!$Q$5:$Q$2246=K$1),('Diário 6º PA'!$F$5:$F$2246))
+SUMPRODUCT(-('Diário 7º PA'!$E$5:$E$2271='Analítico Cp.'!$B80),-('Diário 7º PA'!$Q$5:$Q$2271=K$1),('Diário 7º PA'!$F$5:$F$2271))
+SUMPRODUCT(-('Diário 8º PA'!$E$5:$E$2488='Analítico Cp.'!$B80),-('Diário 8º PA'!$Q$5:$Q$2488=K$1),('Diário 8º PA'!$F$5:$F$2488))
+SUMPRODUCT(-('Comp.'!$D$5:$D$313='Analítico Cp.'!$B80),-('Comp.'!$R$5:$R$313=K$1),('Comp.'!$E$5:$E$313))</f>
        <v>0</v>
      </c>
      <c r="L80" s="185">
        <f>SUMPRODUCT(-('Diário 5º PA'!$E$5:$E$2634='Analítico Cp.'!$B80),-('Diário 5º PA'!$Q$5:$Q$2634=L$1),('Diário 5º PA'!$F$5:$F$2634))
+SUMPRODUCT(-('Diário 6º PA'!$E$5:$E$2246='Analítico Cp.'!$B80),-('Diário 6º PA'!$Q$5:$Q$2246=L$1),('Diário 6º PA'!$F$5:$F$2246))
+SUMPRODUCT(-('Diário 7º PA'!$E$5:$E$2271='Analítico Cp.'!$B80),-('Diário 7º PA'!$Q$5:$Q$2271=L$1),('Diário 7º PA'!$F$5:$F$2271))
+SUMPRODUCT(-('Diário 8º PA'!$E$5:$E$2488='Analítico Cp.'!$B80),-('Diário 8º PA'!$Q$5:$Q$2488=L$1),('Diário 8º PA'!$F$5:$F$2488))
+SUMPRODUCT(-('Comp.'!$D$5:$D$313='Analítico Cp.'!$B80),-('Comp.'!$R$5:$R$313=L$1),('Comp.'!$E$5:$E$313))</f>
        <v>0</v>
      </c>
      <c r="M80" s="185">
        <f>SUMPRODUCT(-('Diário 5º PA'!$E$5:$E$2634='Analítico Cp.'!$B80),-('Diário 5º PA'!$Q$5:$Q$2634=M$1),('Diário 5º PA'!$F$5:$F$2634))
+SUMPRODUCT(-('Diário 6º PA'!$E$5:$E$2246='Analítico Cp.'!$B80),-('Diário 6º PA'!$Q$5:$Q$2246=M$1),('Diário 6º PA'!$F$5:$F$2246))
+SUMPRODUCT(-('Diário 7º PA'!$E$5:$E$2271='Analítico Cp.'!$B80),-('Diário 7º PA'!$Q$5:$Q$2271=M$1),('Diário 7º PA'!$F$5:$F$2271))
+SUMPRODUCT(-('Diário 8º PA'!$E$5:$E$2488='Analítico Cp.'!$B80),-('Diário 8º PA'!$Q$5:$Q$2488=M$1),('Diário 8º PA'!$F$5:$F$2488))
+SUMPRODUCT(-('Comp.'!$D$5:$D$313='Analítico Cp.'!$B80),-('Comp.'!$R$5:$R$313=M$1),('Comp.'!$E$5:$E$313))</f>
        <v>0</v>
      </c>
      <c r="N80" s="185">
        <f>SUMPRODUCT(-('Diário 5º PA'!$E$5:$E$2634='Analítico Cp.'!$B80),-('Diário 5º PA'!$Q$5:$Q$2634=N$1),('Diário 5º PA'!$F$5:$F$2634))
+SUMPRODUCT(-('Diário 6º PA'!$E$5:$E$2246='Analítico Cp.'!$B80),-('Diário 6º PA'!$Q$5:$Q$2246=N$1),('Diário 6º PA'!$F$5:$F$2246))
+SUMPRODUCT(-('Diário 7º PA'!$E$5:$E$2271='Analítico Cp.'!$B80),-('Diário 7º PA'!$Q$5:$Q$2271=N$1),('Diário 7º PA'!$F$5:$F$2271))
+SUMPRODUCT(-('Diário 8º PA'!$E$5:$E$2488='Analítico Cp.'!$B80),-('Diário 8º PA'!$Q$5:$Q$2488=N$1),('Diário 8º PA'!$F$5:$F$2488))
+SUMPRODUCT(-('Comp.'!$D$5:$D$313='Analítico Cp.'!$B80),-('Comp.'!$R$5:$R$313=N$1),('Comp.'!$E$5:$E$313))</f>
        <v>0</v>
      </c>
      <c r="O80" s="186">
        <f t="shared" si="16"/>
        <v>0</v>
      </c>
      <c r="P80" s="187">
        <f t="shared" si="17"/>
        <v>0</v>
      </c>
      <c r="Q80" s="34"/>
      <c r="R80" s="34"/>
      <c r="S80" s="34"/>
      <c r="T80" s="34"/>
      <c r="U80" s="34"/>
      <c r="V80" s="34"/>
      <c r="W80" s="34"/>
      <c r="X80" s="34"/>
      <c r="Y80" s="34"/>
      <c r="Z80" s="34"/>
    </row>
    <row r="81" spans="1:26" ht="23.25" customHeight="1" x14ac:dyDescent="0.2">
      <c r="A81" s="203" t="s">
        <v>259</v>
      </c>
      <c r="B81" s="72" t="s">
        <v>260</v>
      </c>
      <c r="C81" s="185">
        <f>SUMPRODUCT(-('Diário 5º PA'!$E$5:$E$2634='Analítico Cp.'!$B81),-('Diário 5º PA'!$Q$5:$Q$2634=C$1),('Diário 5º PA'!$F$5:$F$2634))
+SUMPRODUCT(-('Diário 6º PA'!$E$5:$E$2246='Analítico Cp.'!$B81),-('Diário 6º PA'!$Q$5:$Q$2246=C$1),('Diário 6º PA'!$F$5:$F$2246))
+SUMPRODUCT(-('Diário 7º PA'!$E$5:$E$2271='Analítico Cp.'!$B81),-('Diário 7º PA'!$Q$5:$Q$2271=C$1),('Diário 7º PA'!$F$5:$F$2271))
+SUMPRODUCT(-('Diário 8º PA'!$E$5:$E$2488='Analítico Cp.'!$B81),-('Diário 8º PA'!$Q$5:$Q$2488=C$1),('Diário 8º PA'!$F$5:$F$2488))
+SUMPRODUCT(-('Comp.'!$D$5:$D$313='Analítico Cp.'!$B81),-('Comp.'!$R$5:$R$313=C$1),('Comp.'!$E$5:$E$313))</f>
        <v>0</v>
      </c>
      <c r="D81" s="185">
        <f>SUMPRODUCT(-('Diário 5º PA'!$E$5:$E$2634='Analítico Cp.'!$B81),-('Diário 5º PA'!$Q$5:$Q$2634=D$1),('Diário 5º PA'!$F$5:$F$2634))
+SUMPRODUCT(-('Diário 6º PA'!$E$5:$E$2246='Analítico Cp.'!$B81),-('Diário 6º PA'!$Q$5:$Q$2246=D$1),('Diário 6º PA'!$F$5:$F$2246))
+SUMPRODUCT(-('Diário 7º PA'!$E$5:$E$2271='Analítico Cp.'!$B81),-('Diário 7º PA'!$Q$5:$Q$2271=D$1),('Diário 7º PA'!$F$5:$F$2271))
+SUMPRODUCT(-('Diário 8º PA'!$E$5:$E$2488='Analítico Cp.'!$B81),-('Diário 8º PA'!$Q$5:$Q$2488=D$1),('Diário 8º PA'!$F$5:$F$2488))
+SUMPRODUCT(-('Comp.'!$D$5:$D$313='Analítico Cp.'!$B81),-('Comp.'!$R$5:$R$313=D$1),('Comp.'!$E$5:$E$313))</f>
        <v>0</v>
      </c>
      <c r="E81" s="185">
        <f>SUMPRODUCT(-('Diário 5º PA'!$E$5:$E$2634='Analítico Cp.'!$B81),-('Diário 5º PA'!$Q$5:$Q$2634=E$1),('Diário 5º PA'!$F$5:$F$2634))
+SUMPRODUCT(-('Diário 6º PA'!$E$5:$E$2246='Analítico Cp.'!$B81),-('Diário 6º PA'!$Q$5:$Q$2246=E$1),('Diário 6º PA'!$F$5:$F$2246))
+SUMPRODUCT(-('Diário 7º PA'!$E$5:$E$2271='Analítico Cp.'!$B81),-('Diário 7º PA'!$Q$5:$Q$2271=E$1),('Diário 7º PA'!$F$5:$F$2271))
+SUMPRODUCT(-('Diário 8º PA'!$E$5:$E$2488='Analítico Cp.'!$B81),-('Diário 8º PA'!$Q$5:$Q$2488=E$1),('Diário 8º PA'!$F$5:$F$2488))
+SUMPRODUCT(-('Comp.'!$D$5:$D$313='Analítico Cp.'!$B81),-('Comp.'!$R$5:$R$313=E$1),('Comp.'!$E$5:$E$313))</f>
        <v>0</v>
      </c>
      <c r="F81" s="185">
        <f>SUMPRODUCT(-('Diário 5º PA'!$E$5:$E$2634='Analítico Cp.'!$B81),-('Diário 5º PA'!$Q$5:$Q$2634=F$1),('Diário 5º PA'!$F$5:$F$2634))
+SUMPRODUCT(-('Diário 6º PA'!$E$5:$E$2246='Analítico Cp.'!$B81),-('Diário 6º PA'!$Q$5:$Q$2246=F$1),('Diário 6º PA'!$F$5:$F$2246))
+SUMPRODUCT(-('Diário 7º PA'!$E$5:$E$2271='Analítico Cp.'!$B81),-('Diário 7º PA'!$Q$5:$Q$2271=F$1),('Diário 7º PA'!$F$5:$F$2271))
+SUMPRODUCT(-('Diário 8º PA'!$E$5:$E$2488='Analítico Cp.'!$B81),-('Diário 8º PA'!$Q$5:$Q$2488=F$1),('Diário 8º PA'!$F$5:$F$2488))
+SUMPRODUCT(-('Comp.'!$D$5:$D$313='Analítico Cp.'!$B81),-('Comp.'!$R$5:$R$313=F$1),('Comp.'!$E$5:$E$313))</f>
        <v>0</v>
      </c>
      <c r="G81" s="185">
        <f>SUMPRODUCT(-('Diário 5º PA'!$E$5:$E$2634='Analítico Cp.'!$B81),-('Diário 5º PA'!$Q$5:$Q$2634=G$1),('Diário 5º PA'!$F$5:$F$2634))
+SUMPRODUCT(-('Diário 6º PA'!$E$5:$E$2246='Analítico Cp.'!$B81),-('Diário 6º PA'!$Q$5:$Q$2246=G$1),('Diário 6º PA'!$F$5:$F$2246))
+SUMPRODUCT(-('Diário 7º PA'!$E$5:$E$2271='Analítico Cp.'!$B81),-('Diário 7º PA'!$Q$5:$Q$2271=G$1),('Diário 7º PA'!$F$5:$F$2271))
+SUMPRODUCT(-('Diário 8º PA'!$E$5:$E$2488='Analítico Cp.'!$B81),-('Diário 8º PA'!$Q$5:$Q$2488=G$1),('Diário 8º PA'!$F$5:$F$2488))
+SUMPRODUCT(-('Comp.'!$D$5:$D$313='Analítico Cp.'!$B81),-('Comp.'!$R$5:$R$313=G$1),('Comp.'!$E$5:$E$313))</f>
        <v>0</v>
      </c>
      <c r="H81" s="185">
        <f>SUMPRODUCT(-('Diário 5º PA'!$E$5:$E$2634='Analítico Cp.'!$B81),-('Diário 5º PA'!$Q$5:$Q$2634=H$1),('Diário 5º PA'!$F$5:$F$2634))
+SUMPRODUCT(-('Diário 6º PA'!$E$5:$E$2246='Analítico Cp.'!$B81),-('Diário 6º PA'!$Q$5:$Q$2246=H$1),('Diário 6º PA'!$F$5:$F$2246))
+SUMPRODUCT(-('Diário 7º PA'!$E$5:$E$2271='Analítico Cp.'!$B81),-('Diário 7º PA'!$Q$5:$Q$2271=H$1),('Diário 7º PA'!$F$5:$F$2271))
+SUMPRODUCT(-('Diário 8º PA'!$E$5:$E$2488='Analítico Cp.'!$B81),-('Diário 8º PA'!$Q$5:$Q$2488=H$1),('Diário 8º PA'!$F$5:$F$2488))
+SUMPRODUCT(-('Comp.'!$D$5:$D$313='Analítico Cp.'!$B81),-('Comp.'!$R$5:$R$313=H$1),('Comp.'!$E$5:$E$313))</f>
        <v>0</v>
      </c>
      <c r="I81" s="185">
        <f>SUMPRODUCT(-('Diário 5º PA'!$E$5:$E$2634='Analítico Cp.'!$B81),-('Diário 5º PA'!$Q$5:$Q$2634=I$1),('Diário 5º PA'!$F$5:$F$2634))
+SUMPRODUCT(-('Diário 6º PA'!$E$5:$E$2246='Analítico Cp.'!$B81),-('Diário 6º PA'!$Q$5:$Q$2246=I$1),('Diário 6º PA'!$F$5:$F$2246))
+SUMPRODUCT(-('Diário 7º PA'!$E$5:$E$2271='Analítico Cp.'!$B81),-('Diário 7º PA'!$Q$5:$Q$2271=I$1),('Diário 7º PA'!$F$5:$F$2271))
+SUMPRODUCT(-('Diário 8º PA'!$E$5:$E$2488='Analítico Cp.'!$B81),-('Diário 8º PA'!$Q$5:$Q$2488=I$1),('Diário 8º PA'!$F$5:$F$2488))
+SUMPRODUCT(-('Comp.'!$D$5:$D$313='Analítico Cp.'!$B81),-('Comp.'!$R$5:$R$313=I$1),('Comp.'!$E$5:$E$313))</f>
        <v>0</v>
      </c>
      <c r="J81" s="185">
        <f>SUMPRODUCT(-('Diário 5º PA'!$E$5:$E$2634='Analítico Cp.'!$B81),-('Diário 5º PA'!$Q$5:$Q$2634=J$1),('Diário 5º PA'!$F$5:$F$2634))
+SUMPRODUCT(-('Diário 6º PA'!$E$5:$E$2246='Analítico Cp.'!$B81),-('Diário 6º PA'!$Q$5:$Q$2246=J$1),('Diário 6º PA'!$F$5:$F$2246))
+SUMPRODUCT(-('Diário 7º PA'!$E$5:$E$2271='Analítico Cp.'!$B81),-('Diário 7º PA'!$Q$5:$Q$2271=J$1),('Diário 7º PA'!$F$5:$F$2271))
+SUMPRODUCT(-('Diário 8º PA'!$E$5:$E$2488='Analítico Cp.'!$B81),-('Diário 8º PA'!$Q$5:$Q$2488=J$1),('Diário 8º PA'!$F$5:$F$2488))
+SUMPRODUCT(-('Comp.'!$D$5:$D$313='Analítico Cp.'!$B81),-('Comp.'!$R$5:$R$313=J$1),('Comp.'!$E$5:$E$313))</f>
        <v>0</v>
      </c>
      <c r="K81" s="185">
        <f>SUMPRODUCT(-('Diário 5º PA'!$E$5:$E$2634='Analítico Cp.'!$B81),-('Diário 5º PA'!$Q$5:$Q$2634=K$1),('Diário 5º PA'!$F$5:$F$2634))
+SUMPRODUCT(-('Diário 6º PA'!$E$5:$E$2246='Analítico Cp.'!$B81),-('Diário 6º PA'!$Q$5:$Q$2246=K$1),('Diário 6º PA'!$F$5:$F$2246))
+SUMPRODUCT(-('Diário 7º PA'!$E$5:$E$2271='Analítico Cp.'!$B81),-('Diário 7º PA'!$Q$5:$Q$2271=K$1),('Diário 7º PA'!$F$5:$F$2271))
+SUMPRODUCT(-('Diário 8º PA'!$E$5:$E$2488='Analítico Cp.'!$B81),-('Diário 8º PA'!$Q$5:$Q$2488=K$1),('Diário 8º PA'!$F$5:$F$2488))
+SUMPRODUCT(-('Comp.'!$D$5:$D$313='Analítico Cp.'!$B81),-('Comp.'!$R$5:$R$313=K$1),('Comp.'!$E$5:$E$313))</f>
        <v>0</v>
      </c>
      <c r="L81" s="185">
        <f>SUMPRODUCT(-('Diário 5º PA'!$E$5:$E$2634='Analítico Cp.'!$B81),-('Diário 5º PA'!$Q$5:$Q$2634=L$1),('Diário 5º PA'!$F$5:$F$2634))
+SUMPRODUCT(-('Diário 6º PA'!$E$5:$E$2246='Analítico Cp.'!$B81),-('Diário 6º PA'!$Q$5:$Q$2246=L$1),('Diário 6º PA'!$F$5:$F$2246))
+SUMPRODUCT(-('Diário 7º PA'!$E$5:$E$2271='Analítico Cp.'!$B81),-('Diário 7º PA'!$Q$5:$Q$2271=L$1),('Diário 7º PA'!$F$5:$F$2271))
+SUMPRODUCT(-('Diário 8º PA'!$E$5:$E$2488='Analítico Cp.'!$B81),-('Diário 8º PA'!$Q$5:$Q$2488=L$1),('Diário 8º PA'!$F$5:$F$2488))
+SUMPRODUCT(-('Comp.'!$D$5:$D$313='Analítico Cp.'!$B81),-('Comp.'!$R$5:$R$313=L$1),('Comp.'!$E$5:$E$313))</f>
        <v>0</v>
      </c>
      <c r="M81" s="185">
        <f>SUMPRODUCT(-('Diário 5º PA'!$E$5:$E$2634='Analítico Cp.'!$B81),-('Diário 5º PA'!$Q$5:$Q$2634=M$1),('Diário 5º PA'!$F$5:$F$2634))
+SUMPRODUCT(-('Diário 6º PA'!$E$5:$E$2246='Analítico Cp.'!$B81),-('Diário 6º PA'!$Q$5:$Q$2246=M$1),('Diário 6º PA'!$F$5:$F$2246))
+SUMPRODUCT(-('Diário 7º PA'!$E$5:$E$2271='Analítico Cp.'!$B81),-('Diário 7º PA'!$Q$5:$Q$2271=M$1),('Diário 7º PA'!$F$5:$F$2271))
+SUMPRODUCT(-('Diário 8º PA'!$E$5:$E$2488='Analítico Cp.'!$B81),-('Diário 8º PA'!$Q$5:$Q$2488=M$1),('Diário 8º PA'!$F$5:$F$2488))
+SUMPRODUCT(-('Comp.'!$D$5:$D$313='Analítico Cp.'!$B81),-('Comp.'!$R$5:$R$313=M$1),('Comp.'!$E$5:$E$313))</f>
        <v>0</v>
      </c>
      <c r="N81" s="185">
        <f>SUMPRODUCT(-('Diário 5º PA'!$E$5:$E$2634='Analítico Cp.'!$B81),-('Diário 5º PA'!$Q$5:$Q$2634=N$1),('Diário 5º PA'!$F$5:$F$2634))
+SUMPRODUCT(-('Diário 6º PA'!$E$5:$E$2246='Analítico Cp.'!$B81),-('Diário 6º PA'!$Q$5:$Q$2246=N$1),('Diário 6º PA'!$F$5:$F$2246))
+SUMPRODUCT(-('Diário 7º PA'!$E$5:$E$2271='Analítico Cp.'!$B81),-('Diário 7º PA'!$Q$5:$Q$2271=N$1),('Diário 7º PA'!$F$5:$F$2271))
+SUMPRODUCT(-('Diário 8º PA'!$E$5:$E$2488='Analítico Cp.'!$B81),-('Diário 8º PA'!$Q$5:$Q$2488=N$1),('Diário 8º PA'!$F$5:$F$2488))
+SUMPRODUCT(-('Comp.'!$D$5:$D$313='Analítico Cp.'!$B81),-('Comp.'!$R$5:$R$313=N$1),('Comp.'!$E$5:$E$313))</f>
        <v>0</v>
      </c>
      <c r="O81" s="186">
        <f t="shared" si="16"/>
        <v>0</v>
      </c>
      <c r="P81" s="187">
        <f t="shared" si="17"/>
        <v>0</v>
      </c>
      <c r="Q81" s="34"/>
      <c r="R81" s="34"/>
      <c r="S81" s="34"/>
      <c r="T81" s="34"/>
      <c r="U81" s="34"/>
      <c r="V81" s="34"/>
      <c r="W81" s="34"/>
      <c r="X81" s="34"/>
      <c r="Y81" s="34"/>
      <c r="Z81" s="34"/>
    </row>
    <row r="82" spans="1:26" ht="23.25" customHeight="1" x14ac:dyDescent="0.2">
      <c r="A82" s="203" t="s">
        <v>261</v>
      </c>
      <c r="B82" s="72" t="s">
        <v>262</v>
      </c>
      <c r="C82" s="185">
        <f>SUMPRODUCT(-('Diário 5º PA'!$E$5:$E$2634='Analítico Cp.'!$B82),-('Diário 5º PA'!$Q$5:$Q$2634=C$1),('Diário 5º PA'!$F$5:$F$2634))
+SUMPRODUCT(-('Diário 6º PA'!$E$5:$E$2246='Analítico Cp.'!$B82),-('Diário 6º PA'!$Q$5:$Q$2246=C$1),('Diário 6º PA'!$F$5:$F$2246))
+SUMPRODUCT(-('Diário 7º PA'!$E$5:$E$2271='Analítico Cp.'!$B82),-('Diário 7º PA'!$Q$5:$Q$2271=C$1),('Diário 7º PA'!$F$5:$F$2271))
+SUMPRODUCT(-('Diário 8º PA'!$E$5:$E$2488='Analítico Cp.'!$B82),-('Diário 8º PA'!$Q$5:$Q$2488=C$1),('Diário 8º PA'!$F$5:$F$2488))
+SUMPRODUCT(-('Comp.'!$D$5:$D$313='Analítico Cp.'!$B82),-('Comp.'!$R$5:$R$313=C$1),('Comp.'!$E$5:$E$313))</f>
        <v>24695.439999999999</v>
      </c>
      <c r="D82" s="185">
        <f>SUMPRODUCT(-('Diário 5º PA'!$E$5:$E$2634='Analítico Cp.'!$B82),-('Diário 5º PA'!$Q$5:$Q$2634=D$1),('Diário 5º PA'!$F$5:$F$2634))
+SUMPRODUCT(-('Diário 6º PA'!$E$5:$E$2246='Analítico Cp.'!$B82),-('Diário 6º PA'!$Q$5:$Q$2246=D$1),('Diário 6º PA'!$F$5:$F$2246))
+SUMPRODUCT(-('Diário 7º PA'!$E$5:$E$2271='Analítico Cp.'!$B82),-('Diário 7º PA'!$Q$5:$Q$2271=D$1),('Diário 7º PA'!$F$5:$F$2271))
+SUMPRODUCT(-('Diário 8º PA'!$E$5:$E$2488='Analítico Cp.'!$B82),-('Diário 8º PA'!$Q$5:$Q$2488=D$1),('Diário 8º PA'!$F$5:$F$2488))
+SUMPRODUCT(-('Comp.'!$D$5:$D$313='Analítico Cp.'!$B82),-('Comp.'!$R$5:$R$313=D$1),('Comp.'!$E$5:$E$313))</f>
        <v>15181.560000000001</v>
      </c>
      <c r="E82" s="185">
        <f>SUMPRODUCT(-('Diário 5º PA'!$E$5:$E$2634='Analítico Cp.'!$B82),-('Diário 5º PA'!$Q$5:$Q$2634=E$1),('Diário 5º PA'!$F$5:$F$2634))
+SUMPRODUCT(-('Diário 6º PA'!$E$5:$E$2246='Analítico Cp.'!$B82),-('Diário 6º PA'!$Q$5:$Q$2246=E$1),('Diário 6º PA'!$F$5:$F$2246))
+SUMPRODUCT(-('Diário 7º PA'!$E$5:$E$2271='Analítico Cp.'!$B82),-('Diário 7º PA'!$Q$5:$Q$2271=E$1),('Diário 7º PA'!$F$5:$F$2271))
+SUMPRODUCT(-('Diário 8º PA'!$E$5:$E$2488='Analítico Cp.'!$B82),-('Diário 8º PA'!$Q$5:$Q$2488=E$1),('Diário 8º PA'!$F$5:$F$2488))
+SUMPRODUCT(-('Comp.'!$D$5:$D$313='Analítico Cp.'!$B82),-('Comp.'!$R$5:$R$313=E$1),('Comp.'!$E$5:$E$313))</f>
        <v>18044.010000000002</v>
      </c>
      <c r="F82" s="185">
        <f>SUMPRODUCT(-('Diário 5º PA'!$E$5:$E$2634='Analítico Cp.'!$B82),-('Diário 5º PA'!$Q$5:$Q$2634=F$1),('Diário 5º PA'!$F$5:$F$2634))
+SUMPRODUCT(-('Diário 6º PA'!$E$5:$E$2246='Analítico Cp.'!$B82),-('Diário 6º PA'!$Q$5:$Q$2246=F$1),('Diário 6º PA'!$F$5:$F$2246))
+SUMPRODUCT(-('Diário 7º PA'!$E$5:$E$2271='Analítico Cp.'!$B82),-('Diário 7º PA'!$Q$5:$Q$2271=F$1),('Diário 7º PA'!$F$5:$F$2271))
+SUMPRODUCT(-('Diário 8º PA'!$E$5:$E$2488='Analítico Cp.'!$B82),-('Diário 8º PA'!$Q$5:$Q$2488=F$1),('Diário 8º PA'!$F$5:$F$2488))
+SUMPRODUCT(-('Comp.'!$D$5:$D$313='Analítico Cp.'!$B82),-('Comp.'!$R$5:$R$313=F$1),('Comp.'!$E$5:$E$313))</f>
        <v>43090.140000000007</v>
      </c>
      <c r="G82" s="185">
        <f>SUMPRODUCT(-('Diário 5º PA'!$E$5:$E$2634='Analítico Cp.'!$B82),-('Diário 5º PA'!$Q$5:$Q$2634=G$1),('Diário 5º PA'!$F$5:$F$2634))
+SUMPRODUCT(-('Diário 6º PA'!$E$5:$E$2246='Analítico Cp.'!$B82),-('Diário 6º PA'!$Q$5:$Q$2246=G$1),('Diário 6º PA'!$F$5:$F$2246))
+SUMPRODUCT(-('Diário 7º PA'!$E$5:$E$2271='Analítico Cp.'!$B82),-('Diário 7º PA'!$Q$5:$Q$2271=G$1),('Diário 7º PA'!$F$5:$F$2271))
+SUMPRODUCT(-('Diário 8º PA'!$E$5:$E$2488='Analítico Cp.'!$B82),-('Diário 8º PA'!$Q$5:$Q$2488=G$1),('Diário 8º PA'!$F$5:$F$2488))
+SUMPRODUCT(-('Comp.'!$D$5:$D$313='Analítico Cp.'!$B82),-('Comp.'!$R$5:$R$313=G$1),('Comp.'!$E$5:$E$313))</f>
        <v>20853.990000000002</v>
      </c>
      <c r="H82" s="185">
        <f>SUMPRODUCT(-('Diário 5º PA'!$E$5:$E$2634='Analítico Cp.'!$B82),-('Diário 5º PA'!$Q$5:$Q$2634=H$1),('Diário 5º PA'!$F$5:$F$2634))
+SUMPRODUCT(-('Diário 6º PA'!$E$5:$E$2246='Analítico Cp.'!$B82),-('Diário 6º PA'!$Q$5:$Q$2246=H$1),('Diário 6º PA'!$F$5:$F$2246))
+SUMPRODUCT(-('Diário 7º PA'!$E$5:$E$2271='Analítico Cp.'!$B82),-('Diário 7º PA'!$Q$5:$Q$2271=H$1),('Diário 7º PA'!$F$5:$F$2271))
+SUMPRODUCT(-('Diário 8º PA'!$E$5:$E$2488='Analítico Cp.'!$B82),-('Diário 8º PA'!$Q$5:$Q$2488=H$1),('Diário 8º PA'!$F$5:$F$2488))
+SUMPRODUCT(-('Comp.'!$D$5:$D$313='Analítico Cp.'!$B82),-('Comp.'!$R$5:$R$313=H$1),('Comp.'!$E$5:$E$313))</f>
        <v>22151.980000000003</v>
      </c>
      <c r="I82" s="185">
        <f>SUMPRODUCT(-('Diário 5º PA'!$E$5:$E$2634='Analítico Cp.'!$B82),-('Diário 5º PA'!$Q$5:$Q$2634=I$1),('Diário 5º PA'!$F$5:$F$2634))
+SUMPRODUCT(-('Diário 6º PA'!$E$5:$E$2246='Analítico Cp.'!$B82),-('Diário 6º PA'!$Q$5:$Q$2246=I$1),('Diário 6º PA'!$F$5:$F$2246))
+SUMPRODUCT(-('Diário 7º PA'!$E$5:$E$2271='Analítico Cp.'!$B82),-('Diário 7º PA'!$Q$5:$Q$2271=I$1),('Diário 7º PA'!$F$5:$F$2271))
+SUMPRODUCT(-('Diário 8º PA'!$E$5:$E$2488='Analítico Cp.'!$B82),-('Diário 8º PA'!$Q$5:$Q$2488=I$1),('Diário 8º PA'!$F$5:$F$2488))
+SUMPRODUCT(-('Comp.'!$D$5:$D$313='Analítico Cp.'!$B82),-('Comp.'!$R$5:$R$313=I$1),('Comp.'!$E$5:$E$313))</f>
        <v>23476.599999999995</v>
      </c>
      <c r="J82" s="185">
        <f>SUMPRODUCT(-('Diário 5º PA'!$E$5:$E$2634='Analítico Cp.'!$B82),-('Diário 5º PA'!$Q$5:$Q$2634=J$1),('Diário 5º PA'!$F$5:$F$2634))
+SUMPRODUCT(-('Diário 6º PA'!$E$5:$E$2246='Analítico Cp.'!$B82),-('Diário 6º PA'!$Q$5:$Q$2246=J$1),('Diário 6º PA'!$F$5:$F$2246))
+SUMPRODUCT(-('Diário 7º PA'!$E$5:$E$2271='Analítico Cp.'!$B82),-('Diário 7º PA'!$Q$5:$Q$2271=J$1),('Diário 7º PA'!$F$5:$F$2271))
+SUMPRODUCT(-('Diário 8º PA'!$E$5:$E$2488='Analítico Cp.'!$B82),-('Diário 8º PA'!$Q$5:$Q$2488=J$1),('Diário 8º PA'!$F$5:$F$2488))
+SUMPRODUCT(-('Comp.'!$D$5:$D$313='Analítico Cp.'!$B82),-('Comp.'!$R$5:$R$313=J$1),('Comp.'!$E$5:$E$313))</f>
        <v>13214.289999999999</v>
      </c>
      <c r="K82" s="185">
        <f>SUMPRODUCT(-('Diário 5º PA'!$E$5:$E$2634='Analítico Cp.'!$B82),-('Diário 5º PA'!$Q$5:$Q$2634=K$1),('Diário 5º PA'!$F$5:$F$2634))
+SUMPRODUCT(-('Diário 6º PA'!$E$5:$E$2246='Analítico Cp.'!$B82),-('Diário 6º PA'!$Q$5:$Q$2246=K$1),('Diário 6º PA'!$F$5:$F$2246))
+SUMPRODUCT(-('Diário 7º PA'!$E$5:$E$2271='Analítico Cp.'!$B82),-('Diário 7º PA'!$Q$5:$Q$2271=K$1),('Diário 7º PA'!$F$5:$F$2271))
+SUMPRODUCT(-('Diário 8º PA'!$E$5:$E$2488='Analítico Cp.'!$B82),-('Diário 8º PA'!$Q$5:$Q$2488=K$1),('Diário 8º PA'!$F$5:$F$2488))
+SUMPRODUCT(-('Comp.'!$D$5:$D$313='Analítico Cp.'!$B82),-('Comp.'!$R$5:$R$313=K$1),('Comp.'!$E$5:$E$313))</f>
        <v>13214.289999999999</v>
      </c>
      <c r="L82" s="185">
        <f>SUMPRODUCT(-('Diário 5º PA'!$E$5:$E$2634='Analítico Cp.'!$B82),-('Diário 5º PA'!$Q$5:$Q$2634=L$1),('Diário 5º PA'!$F$5:$F$2634))
+SUMPRODUCT(-('Diário 6º PA'!$E$5:$E$2246='Analítico Cp.'!$B82),-('Diário 6º PA'!$Q$5:$Q$2246=L$1),('Diário 6º PA'!$F$5:$F$2246))
+SUMPRODUCT(-('Diário 7º PA'!$E$5:$E$2271='Analítico Cp.'!$B82),-('Diário 7º PA'!$Q$5:$Q$2271=L$1),('Diário 7º PA'!$F$5:$F$2271))
+SUMPRODUCT(-('Diário 8º PA'!$E$5:$E$2488='Analítico Cp.'!$B82),-('Diário 8º PA'!$Q$5:$Q$2488=L$1),('Diário 8º PA'!$F$5:$F$2488))
+SUMPRODUCT(-('Comp.'!$D$5:$D$313='Analítico Cp.'!$B82),-('Comp.'!$R$5:$R$313=L$1),('Comp.'!$E$5:$E$313))</f>
        <v>5119.3899999999994</v>
      </c>
      <c r="M82" s="185">
        <f>SUMPRODUCT(-('Diário 5º PA'!$E$5:$E$2634='Analítico Cp.'!$B82),-('Diário 5º PA'!$Q$5:$Q$2634=M$1),('Diário 5º PA'!$F$5:$F$2634))
+SUMPRODUCT(-('Diário 6º PA'!$E$5:$E$2246='Analítico Cp.'!$B82),-('Diário 6º PA'!$Q$5:$Q$2246=M$1),('Diário 6º PA'!$F$5:$F$2246))
+SUMPRODUCT(-('Diário 7º PA'!$E$5:$E$2271='Analítico Cp.'!$B82),-('Diário 7º PA'!$Q$5:$Q$2271=M$1),('Diário 7º PA'!$F$5:$F$2271))
+SUMPRODUCT(-('Diário 8º PA'!$E$5:$E$2488='Analítico Cp.'!$B82),-('Diário 8º PA'!$Q$5:$Q$2488=M$1),('Diário 8º PA'!$F$5:$F$2488))
+SUMPRODUCT(-('Comp.'!$D$5:$D$313='Analítico Cp.'!$B82),-('Comp.'!$R$5:$R$313=M$1),('Comp.'!$E$5:$E$313))</f>
        <v>3840</v>
      </c>
      <c r="N82" s="185">
        <f>SUMPRODUCT(-('Diário 5º PA'!$E$5:$E$2634='Analítico Cp.'!$B82),-('Diário 5º PA'!$Q$5:$Q$2634=N$1),('Diário 5º PA'!$F$5:$F$2634))
+SUMPRODUCT(-('Diário 6º PA'!$E$5:$E$2246='Analítico Cp.'!$B82),-('Diário 6º PA'!$Q$5:$Q$2246=N$1),('Diário 6º PA'!$F$5:$F$2246))
+SUMPRODUCT(-('Diário 7º PA'!$E$5:$E$2271='Analítico Cp.'!$B82),-('Diário 7º PA'!$Q$5:$Q$2271=N$1),('Diário 7º PA'!$F$5:$F$2271))
+SUMPRODUCT(-('Diário 8º PA'!$E$5:$E$2488='Analítico Cp.'!$B82),-('Diário 8º PA'!$Q$5:$Q$2488=N$1),('Diário 8º PA'!$F$5:$F$2488))
+SUMPRODUCT(-('Comp.'!$D$5:$D$313='Analítico Cp.'!$B82),-('Comp.'!$R$5:$R$313=N$1),('Comp.'!$E$5:$E$313))</f>
        <v>35794.9</v>
      </c>
      <c r="O82" s="186">
        <f t="shared" si="16"/>
        <v>238676.59000000005</v>
      </c>
      <c r="P82" s="187">
        <f t="shared" si="17"/>
        <v>2.4618573151111333E-2</v>
      </c>
      <c r="Q82" s="34"/>
      <c r="R82" s="34"/>
      <c r="S82" s="34"/>
      <c r="T82" s="34"/>
      <c r="U82" s="34"/>
      <c r="V82" s="34"/>
      <c r="W82" s="34"/>
      <c r="X82" s="34"/>
      <c r="Y82" s="34"/>
      <c r="Z82" s="34"/>
    </row>
    <row r="83" spans="1:26" ht="23.25" customHeight="1" x14ac:dyDescent="0.2">
      <c r="A83" s="203" t="s">
        <v>263</v>
      </c>
      <c r="B83" s="72" t="s">
        <v>264</v>
      </c>
      <c r="C83" s="185">
        <f>SUMPRODUCT(-('Diário 5º PA'!$E$5:$E$2634='Analítico Cp.'!$B83),-('Diário 5º PA'!$Q$5:$Q$2634=C$1),('Diário 5º PA'!$F$5:$F$2634))
+SUMPRODUCT(-('Diário 6º PA'!$E$5:$E$2246='Analítico Cp.'!$B83),-('Diário 6º PA'!$Q$5:$Q$2246=C$1),('Diário 6º PA'!$F$5:$F$2246))
+SUMPRODUCT(-('Diário 7º PA'!$E$5:$E$2271='Analítico Cp.'!$B83),-('Diário 7º PA'!$Q$5:$Q$2271=C$1),('Diário 7º PA'!$F$5:$F$2271))
+SUMPRODUCT(-('Diário 8º PA'!$E$5:$E$2488='Analítico Cp.'!$B83),-('Diário 8º PA'!$Q$5:$Q$2488=C$1),('Diário 8º PA'!$F$5:$F$2488))
+SUMPRODUCT(-('Comp.'!$D$5:$D$313='Analítico Cp.'!$B83),-('Comp.'!$R$5:$R$313=C$1),('Comp.'!$E$5:$E$313))</f>
        <v>0</v>
      </c>
      <c r="D83" s="185">
        <f>SUMPRODUCT(-('Diário 5º PA'!$E$5:$E$2634='Analítico Cp.'!$B83),-('Diário 5º PA'!$Q$5:$Q$2634=D$1),('Diário 5º PA'!$F$5:$F$2634))
+SUMPRODUCT(-('Diário 6º PA'!$E$5:$E$2246='Analítico Cp.'!$B83),-('Diário 6º PA'!$Q$5:$Q$2246=D$1),('Diário 6º PA'!$F$5:$F$2246))
+SUMPRODUCT(-('Diário 7º PA'!$E$5:$E$2271='Analítico Cp.'!$B83),-('Diário 7º PA'!$Q$5:$Q$2271=D$1),('Diário 7º PA'!$F$5:$F$2271))
+SUMPRODUCT(-('Diário 8º PA'!$E$5:$E$2488='Analítico Cp.'!$B83),-('Diário 8º PA'!$Q$5:$Q$2488=D$1),('Diário 8º PA'!$F$5:$F$2488))
+SUMPRODUCT(-('Comp.'!$D$5:$D$313='Analítico Cp.'!$B83),-('Comp.'!$R$5:$R$313=D$1),('Comp.'!$E$5:$E$313))</f>
        <v>0</v>
      </c>
      <c r="E83" s="185">
        <f>SUMPRODUCT(-('Diário 5º PA'!$E$5:$E$2634='Analítico Cp.'!$B83),-('Diário 5º PA'!$Q$5:$Q$2634=E$1),('Diário 5º PA'!$F$5:$F$2634))
+SUMPRODUCT(-('Diário 6º PA'!$E$5:$E$2246='Analítico Cp.'!$B83),-('Diário 6º PA'!$Q$5:$Q$2246=E$1),('Diário 6º PA'!$F$5:$F$2246))
+SUMPRODUCT(-('Diário 7º PA'!$E$5:$E$2271='Analítico Cp.'!$B83),-('Diário 7º PA'!$Q$5:$Q$2271=E$1),('Diário 7º PA'!$F$5:$F$2271))
+SUMPRODUCT(-('Diário 8º PA'!$E$5:$E$2488='Analítico Cp.'!$B83),-('Diário 8º PA'!$Q$5:$Q$2488=E$1),('Diário 8º PA'!$F$5:$F$2488))
+SUMPRODUCT(-('Comp.'!$D$5:$D$313='Analítico Cp.'!$B83),-('Comp.'!$R$5:$R$313=E$1),('Comp.'!$E$5:$E$313))</f>
        <v>0</v>
      </c>
      <c r="F83" s="185">
        <f>SUMPRODUCT(-('Diário 5º PA'!$E$5:$E$2634='Analítico Cp.'!$B83),-('Diário 5º PA'!$Q$5:$Q$2634=F$1),('Diário 5º PA'!$F$5:$F$2634))
+SUMPRODUCT(-('Diário 6º PA'!$E$5:$E$2246='Analítico Cp.'!$B83),-('Diário 6º PA'!$Q$5:$Q$2246=F$1),('Diário 6º PA'!$F$5:$F$2246))
+SUMPRODUCT(-('Diário 7º PA'!$E$5:$E$2271='Analítico Cp.'!$B83),-('Diário 7º PA'!$Q$5:$Q$2271=F$1),('Diário 7º PA'!$F$5:$F$2271))
+SUMPRODUCT(-('Diário 8º PA'!$E$5:$E$2488='Analítico Cp.'!$B83),-('Diário 8º PA'!$Q$5:$Q$2488=F$1),('Diário 8º PA'!$F$5:$F$2488))
+SUMPRODUCT(-('Comp.'!$D$5:$D$313='Analítico Cp.'!$B83),-('Comp.'!$R$5:$R$313=F$1),('Comp.'!$E$5:$E$313))</f>
        <v>0</v>
      </c>
      <c r="G83" s="185">
        <f>SUMPRODUCT(-('Diário 5º PA'!$E$5:$E$2634='Analítico Cp.'!$B83),-('Diário 5º PA'!$Q$5:$Q$2634=G$1),('Diário 5º PA'!$F$5:$F$2634))
+SUMPRODUCT(-('Diário 6º PA'!$E$5:$E$2246='Analítico Cp.'!$B83),-('Diário 6º PA'!$Q$5:$Q$2246=G$1),('Diário 6º PA'!$F$5:$F$2246))
+SUMPRODUCT(-('Diário 7º PA'!$E$5:$E$2271='Analítico Cp.'!$B83),-('Diário 7º PA'!$Q$5:$Q$2271=G$1),('Diário 7º PA'!$F$5:$F$2271))
+SUMPRODUCT(-('Diário 8º PA'!$E$5:$E$2488='Analítico Cp.'!$B83),-('Diário 8º PA'!$Q$5:$Q$2488=G$1),('Diário 8º PA'!$F$5:$F$2488))
+SUMPRODUCT(-('Comp.'!$D$5:$D$313='Analítico Cp.'!$B83),-('Comp.'!$R$5:$R$313=G$1),('Comp.'!$E$5:$E$313))</f>
        <v>0</v>
      </c>
      <c r="H83" s="185">
        <f>SUMPRODUCT(-('Diário 5º PA'!$E$5:$E$2634='Analítico Cp.'!$B83),-('Diário 5º PA'!$Q$5:$Q$2634=H$1),('Diário 5º PA'!$F$5:$F$2634))
+SUMPRODUCT(-('Diário 6º PA'!$E$5:$E$2246='Analítico Cp.'!$B83),-('Diário 6º PA'!$Q$5:$Q$2246=H$1),('Diário 6º PA'!$F$5:$F$2246))
+SUMPRODUCT(-('Diário 7º PA'!$E$5:$E$2271='Analítico Cp.'!$B83),-('Diário 7º PA'!$Q$5:$Q$2271=H$1),('Diário 7º PA'!$F$5:$F$2271))
+SUMPRODUCT(-('Diário 8º PA'!$E$5:$E$2488='Analítico Cp.'!$B83),-('Diário 8º PA'!$Q$5:$Q$2488=H$1),('Diário 8º PA'!$F$5:$F$2488))
+SUMPRODUCT(-('Comp.'!$D$5:$D$313='Analítico Cp.'!$B83),-('Comp.'!$R$5:$R$313=H$1),('Comp.'!$E$5:$E$313))</f>
        <v>0</v>
      </c>
      <c r="I83" s="185">
        <f>SUMPRODUCT(-('Diário 5º PA'!$E$5:$E$2634='Analítico Cp.'!$B83),-('Diário 5º PA'!$Q$5:$Q$2634=I$1),('Diário 5º PA'!$F$5:$F$2634))
+SUMPRODUCT(-('Diário 6º PA'!$E$5:$E$2246='Analítico Cp.'!$B83),-('Diário 6º PA'!$Q$5:$Q$2246=I$1),('Diário 6º PA'!$F$5:$F$2246))
+SUMPRODUCT(-('Diário 7º PA'!$E$5:$E$2271='Analítico Cp.'!$B83),-('Diário 7º PA'!$Q$5:$Q$2271=I$1),('Diário 7º PA'!$F$5:$F$2271))
+SUMPRODUCT(-('Diário 8º PA'!$E$5:$E$2488='Analítico Cp.'!$B83),-('Diário 8º PA'!$Q$5:$Q$2488=I$1),('Diário 8º PA'!$F$5:$F$2488))
+SUMPRODUCT(-('Comp.'!$D$5:$D$313='Analítico Cp.'!$B83),-('Comp.'!$R$5:$R$313=I$1),('Comp.'!$E$5:$E$313))</f>
        <v>0</v>
      </c>
      <c r="J83" s="185">
        <f>SUMPRODUCT(-('Diário 5º PA'!$E$5:$E$2634='Analítico Cp.'!$B83),-('Diário 5º PA'!$Q$5:$Q$2634=J$1),('Diário 5º PA'!$F$5:$F$2634))
+SUMPRODUCT(-('Diário 6º PA'!$E$5:$E$2246='Analítico Cp.'!$B83),-('Diário 6º PA'!$Q$5:$Q$2246=J$1),('Diário 6º PA'!$F$5:$F$2246))
+SUMPRODUCT(-('Diário 7º PA'!$E$5:$E$2271='Analítico Cp.'!$B83),-('Diário 7º PA'!$Q$5:$Q$2271=J$1),('Diário 7º PA'!$F$5:$F$2271))
+SUMPRODUCT(-('Diário 8º PA'!$E$5:$E$2488='Analítico Cp.'!$B83),-('Diário 8º PA'!$Q$5:$Q$2488=J$1),('Diário 8º PA'!$F$5:$F$2488))
+SUMPRODUCT(-('Comp.'!$D$5:$D$313='Analítico Cp.'!$B83),-('Comp.'!$R$5:$R$313=J$1),('Comp.'!$E$5:$E$313))</f>
        <v>0</v>
      </c>
      <c r="K83" s="185">
        <f>SUMPRODUCT(-('Diário 5º PA'!$E$5:$E$2634='Analítico Cp.'!$B83),-('Diário 5º PA'!$Q$5:$Q$2634=K$1),('Diário 5º PA'!$F$5:$F$2634))
+SUMPRODUCT(-('Diário 6º PA'!$E$5:$E$2246='Analítico Cp.'!$B83),-('Diário 6º PA'!$Q$5:$Q$2246=K$1),('Diário 6º PA'!$F$5:$F$2246))
+SUMPRODUCT(-('Diário 7º PA'!$E$5:$E$2271='Analítico Cp.'!$B83),-('Diário 7º PA'!$Q$5:$Q$2271=K$1),('Diário 7º PA'!$F$5:$F$2271))
+SUMPRODUCT(-('Diário 8º PA'!$E$5:$E$2488='Analítico Cp.'!$B83),-('Diário 8º PA'!$Q$5:$Q$2488=K$1),('Diário 8º PA'!$F$5:$F$2488))
+SUMPRODUCT(-('Comp.'!$D$5:$D$313='Analítico Cp.'!$B83),-('Comp.'!$R$5:$R$313=K$1),('Comp.'!$E$5:$E$313))</f>
        <v>0</v>
      </c>
      <c r="L83" s="185">
        <f>SUMPRODUCT(-('Diário 5º PA'!$E$5:$E$2634='Analítico Cp.'!$B83),-('Diário 5º PA'!$Q$5:$Q$2634=L$1),('Diário 5º PA'!$F$5:$F$2634))
+SUMPRODUCT(-('Diário 6º PA'!$E$5:$E$2246='Analítico Cp.'!$B83),-('Diário 6º PA'!$Q$5:$Q$2246=L$1),('Diário 6º PA'!$F$5:$F$2246))
+SUMPRODUCT(-('Diário 7º PA'!$E$5:$E$2271='Analítico Cp.'!$B83),-('Diário 7º PA'!$Q$5:$Q$2271=L$1),('Diário 7º PA'!$F$5:$F$2271))
+SUMPRODUCT(-('Diário 8º PA'!$E$5:$E$2488='Analítico Cp.'!$B83),-('Diário 8º PA'!$Q$5:$Q$2488=L$1),('Diário 8º PA'!$F$5:$F$2488))
+SUMPRODUCT(-('Comp.'!$D$5:$D$313='Analítico Cp.'!$B83),-('Comp.'!$R$5:$R$313=L$1),('Comp.'!$E$5:$E$313))</f>
        <v>0</v>
      </c>
      <c r="M83" s="185">
        <f>SUMPRODUCT(-('Diário 5º PA'!$E$5:$E$2634='Analítico Cp.'!$B83),-('Diário 5º PA'!$Q$5:$Q$2634=M$1),('Diário 5º PA'!$F$5:$F$2634))
+SUMPRODUCT(-('Diário 6º PA'!$E$5:$E$2246='Analítico Cp.'!$B83),-('Diário 6º PA'!$Q$5:$Q$2246=M$1),('Diário 6º PA'!$F$5:$F$2246))
+SUMPRODUCT(-('Diário 7º PA'!$E$5:$E$2271='Analítico Cp.'!$B83),-('Diário 7º PA'!$Q$5:$Q$2271=M$1),('Diário 7º PA'!$F$5:$F$2271))
+SUMPRODUCT(-('Diário 8º PA'!$E$5:$E$2488='Analítico Cp.'!$B83),-('Diário 8º PA'!$Q$5:$Q$2488=M$1),('Diário 8º PA'!$F$5:$F$2488))
+SUMPRODUCT(-('Comp.'!$D$5:$D$313='Analítico Cp.'!$B83),-('Comp.'!$R$5:$R$313=M$1),('Comp.'!$E$5:$E$313))</f>
        <v>0</v>
      </c>
      <c r="N83" s="185">
        <f>SUMPRODUCT(-('Diário 5º PA'!$E$5:$E$2634='Analítico Cp.'!$B83),-('Diário 5º PA'!$Q$5:$Q$2634=N$1),('Diário 5º PA'!$F$5:$F$2634))
+SUMPRODUCT(-('Diário 6º PA'!$E$5:$E$2246='Analítico Cp.'!$B83),-('Diário 6º PA'!$Q$5:$Q$2246=N$1),('Diário 6º PA'!$F$5:$F$2246))
+SUMPRODUCT(-('Diário 7º PA'!$E$5:$E$2271='Analítico Cp.'!$B83),-('Diário 7º PA'!$Q$5:$Q$2271=N$1),('Diário 7º PA'!$F$5:$F$2271))
+SUMPRODUCT(-('Diário 8º PA'!$E$5:$E$2488='Analítico Cp.'!$B83),-('Diário 8º PA'!$Q$5:$Q$2488=N$1),('Diário 8º PA'!$F$5:$F$2488))
+SUMPRODUCT(-('Comp.'!$D$5:$D$313='Analítico Cp.'!$B83),-('Comp.'!$R$5:$R$313=N$1),('Comp.'!$E$5:$E$313))</f>
        <v>0</v>
      </c>
      <c r="O83" s="186">
        <f t="shared" si="16"/>
        <v>0</v>
      </c>
      <c r="P83" s="187">
        <f t="shared" si="17"/>
        <v>0</v>
      </c>
      <c r="Q83" s="34"/>
      <c r="R83" s="34"/>
      <c r="S83" s="34"/>
      <c r="T83" s="34"/>
      <c r="U83" s="34"/>
      <c r="V83" s="34"/>
      <c r="W83" s="34"/>
      <c r="X83" s="34"/>
      <c r="Y83" s="34"/>
      <c r="Z83" s="34"/>
    </row>
    <row r="84" spans="1:26" ht="23.25" customHeight="1" x14ac:dyDescent="0.2">
      <c r="A84" s="203" t="s">
        <v>265</v>
      </c>
      <c r="B84" s="72" t="s">
        <v>266</v>
      </c>
      <c r="C84" s="185">
        <f>SUMPRODUCT(-('Diário 5º PA'!$E$5:$E$2634='Analítico Cp.'!$B84),-('Diário 5º PA'!$Q$5:$Q$2634=C$1),('Diário 5º PA'!$F$5:$F$2634))
+SUMPRODUCT(-('Diário 6º PA'!$E$5:$E$2246='Analítico Cp.'!$B84),-('Diário 6º PA'!$Q$5:$Q$2246=C$1),('Diário 6º PA'!$F$5:$F$2246))
+SUMPRODUCT(-('Diário 7º PA'!$E$5:$E$2271='Analítico Cp.'!$B84),-('Diário 7º PA'!$Q$5:$Q$2271=C$1),('Diário 7º PA'!$F$5:$F$2271))
+SUMPRODUCT(-('Diário 8º PA'!$E$5:$E$2488='Analítico Cp.'!$B84),-('Diário 8º PA'!$Q$5:$Q$2488=C$1),('Diário 8º PA'!$F$5:$F$2488))
+SUMPRODUCT(-('Comp.'!$D$5:$D$313='Analítico Cp.'!$B84),-('Comp.'!$R$5:$R$313=C$1),('Comp.'!$E$5:$E$313))</f>
        <v>12113.1</v>
      </c>
      <c r="D84" s="185">
        <f>SUMPRODUCT(-('Diário 5º PA'!$E$5:$E$2634='Analítico Cp.'!$B84),-('Diário 5º PA'!$Q$5:$Q$2634=D$1),('Diário 5º PA'!$F$5:$F$2634))
+SUMPRODUCT(-('Diário 6º PA'!$E$5:$E$2246='Analítico Cp.'!$B84),-('Diário 6º PA'!$Q$5:$Q$2246=D$1),('Diário 6º PA'!$F$5:$F$2246))
+SUMPRODUCT(-('Diário 7º PA'!$E$5:$E$2271='Analítico Cp.'!$B84),-('Diário 7º PA'!$Q$5:$Q$2271=D$1),('Diário 7º PA'!$F$5:$F$2271))
+SUMPRODUCT(-('Diário 8º PA'!$E$5:$E$2488='Analítico Cp.'!$B84),-('Diário 8º PA'!$Q$5:$Q$2488=D$1),('Diário 8º PA'!$F$5:$F$2488))
+SUMPRODUCT(-('Comp.'!$D$5:$D$313='Analítico Cp.'!$B84),-('Comp.'!$R$5:$R$313=D$1),('Comp.'!$E$5:$E$313))</f>
        <v>7922.3000000000011</v>
      </c>
      <c r="E84" s="185">
        <f>SUMPRODUCT(-('Diário 5º PA'!$E$5:$E$2634='Analítico Cp.'!$B84),-('Diário 5º PA'!$Q$5:$Q$2634=E$1),('Diário 5º PA'!$F$5:$F$2634))
+SUMPRODUCT(-('Diário 6º PA'!$E$5:$E$2246='Analítico Cp.'!$B84),-('Diário 6º PA'!$Q$5:$Q$2246=E$1),('Diário 6º PA'!$F$5:$F$2246))
+SUMPRODUCT(-('Diário 7º PA'!$E$5:$E$2271='Analítico Cp.'!$B84),-('Diário 7º PA'!$Q$5:$Q$2271=E$1),('Diário 7º PA'!$F$5:$F$2271))
+SUMPRODUCT(-('Diário 8º PA'!$E$5:$E$2488='Analítico Cp.'!$B84),-('Diário 8º PA'!$Q$5:$Q$2488=E$1),('Diário 8º PA'!$F$5:$F$2488))
+SUMPRODUCT(-('Comp.'!$D$5:$D$313='Analítico Cp.'!$B84),-('Comp.'!$R$5:$R$313=E$1),('Comp.'!$E$5:$E$313))</f>
        <v>7965.01</v>
      </c>
      <c r="F84" s="185">
        <f>SUMPRODUCT(-('Diário 5º PA'!$E$5:$E$2634='Analítico Cp.'!$B84),-('Diário 5º PA'!$Q$5:$Q$2634=F$1),('Diário 5º PA'!$F$5:$F$2634))
+SUMPRODUCT(-('Diário 6º PA'!$E$5:$E$2246='Analítico Cp.'!$B84),-('Diário 6º PA'!$Q$5:$Q$2246=F$1),('Diário 6º PA'!$F$5:$F$2246))
+SUMPRODUCT(-('Diário 7º PA'!$E$5:$E$2271='Analítico Cp.'!$B84),-('Diário 7º PA'!$Q$5:$Q$2271=F$1),('Diário 7º PA'!$F$5:$F$2271))
+SUMPRODUCT(-('Diário 8º PA'!$E$5:$E$2488='Analítico Cp.'!$B84),-('Diário 8º PA'!$Q$5:$Q$2488=F$1),('Diário 8º PA'!$F$5:$F$2488))
+SUMPRODUCT(-('Comp.'!$D$5:$D$313='Analítico Cp.'!$B84),-('Comp.'!$R$5:$R$313=F$1),('Comp.'!$E$5:$E$313))</f>
        <v>195.01</v>
      </c>
      <c r="G84" s="185">
        <f>SUMPRODUCT(-('Diário 5º PA'!$E$5:$E$2634='Analítico Cp.'!$B84),-('Diário 5º PA'!$Q$5:$Q$2634=G$1),('Diário 5º PA'!$F$5:$F$2634))
+SUMPRODUCT(-('Diário 6º PA'!$E$5:$E$2246='Analítico Cp.'!$B84),-('Diário 6º PA'!$Q$5:$Q$2246=G$1),('Diário 6º PA'!$F$5:$F$2246))
+SUMPRODUCT(-('Diário 7º PA'!$E$5:$E$2271='Analítico Cp.'!$B84),-('Diário 7º PA'!$Q$5:$Q$2271=G$1),('Diário 7º PA'!$F$5:$F$2271))
+SUMPRODUCT(-('Diário 8º PA'!$E$5:$E$2488='Analítico Cp.'!$B84),-('Diário 8º PA'!$Q$5:$Q$2488=G$1),('Diário 8º PA'!$F$5:$F$2488))
+SUMPRODUCT(-('Comp.'!$D$5:$D$313='Analítico Cp.'!$B84),-('Comp.'!$R$5:$R$313=G$1),('Comp.'!$E$5:$E$313))</f>
        <v>12165.01</v>
      </c>
      <c r="H84" s="185">
        <f>SUMPRODUCT(-('Diário 5º PA'!$E$5:$E$2634='Analítico Cp.'!$B84),-('Diário 5º PA'!$Q$5:$Q$2634=H$1),('Diário 5º PA'!$F$5:$F$2634))
+SUMPRODUCT(-('Diário 6º PA'!$E$5:$E$2246='Analítico Cp.'!$B84),-('Diário 6º PA'!$Q$5:$Q$2246=H$1),('Diário 6º PA'!$F$5:$F$2246))
+SUMPRODUCT(-('Diário 7º PA'!$E$5:$E$2271='Analítico Cp.'!$B84),-('Diário 7º PA'!$Q$5:$Q$2271=H$1),('Diário 7º PA'!$F$5:$F$2271))
+SUMPRODUCT(-('Diário 8º PA'!$E$5:$E$2488='Analítico Cp.'!$B84),-('Diário 8º PA'!$Q$5:$Q$2488=H$1),('Diário 8º PA'!$F$5:$F$2488))
+SUMPRODUCT(-('Comp.'!$D$5:$D$313='Analítico Cp.'!$B84),-('Comp.'!$R$5:$R$313=H$1),('Comp.'!$E$5:$E$313))</f>
        <v>12165.01</v>
      </c>
      <c r="I84" s="185">
        <f>SUMPRODUCT(-('Diário 5º PA'!$E$5:$E$2634='Analítico Cp.'!$B84),-('Diário 5º PA'!$Q$5:$Q$2634=I$1),('Diário 5º PA'!$F$5:$F$2634))
+SUMPRODUCT(-('Diário 6º PA'!$E$5:$E$2246='Analítico Cp.'!$B84),-('Diário 6º PA'!$Q$5:$Q$2246=I$1),('Diário 6º PA'!$F$5:$F$2246))
+SUMPRODUCT(-('Diário 7º PA'!$E$5:$E$2271='Analítico Cp.'!$B84),-('Diário 7º PA'!$Q$5:$Q$2271=I$1),('Diário 7º PA'!$F$5:$F$2271))
+SUMPRODUCT(-('Diário 8º PA'!$E$5:$E$2488='Analítico Cp.'!$B84),-('Diário 8º PA'!$Q$5:$Q$2488=I$1),('Diário 8º PA'!$F$5:$F$2488))
+SUMPRODUCT(-('Comp.'!$D$5:$D$313='Analítico Cp.'!$B84),-('Comp.'!$R$5:$R$313=I$1),('Comp.'!$E$5:$E$313))</f>
        <v>12165.01</v>
      </c>
      <c r="J84" s="185">
        <f>SUMPRODUCT(-('Diário 5º PA'!$E$5:$E$2634='Analítico Cp.'!$B84),-('Diário 5º PA'!$Q$5:$Q$2634=J$1),('Diário 5º PA'!$F$5:$F$2634))
+SUMPRODUCT(-('Diário 6º PA'!$E$5:$E$2246='Analítico Cp.'!$B84),-('Diário 6º PA'!$Q$5:$Q$2246=J$1),('Diário 6º PA'!$F$5:$F$2246))
+SUMPRODUCT(-('Diário 7º PA'!$E$5:$E$2271='Analítico Cp.'!$B84),-('Diário 7º PA'!$Q$5:$Q$2271=J$1),('Diário 7º PA'!$F$5:$F$2271))
+SUMPRODUCT(-('Diário 8º PA'!$E$5:$E$2488='Analítico Cp.'!$B84),-('Diário 8º PA'!$Q$5:$Q$2488=J$1),('Diário 8º PA'!$F$5:$F$2488))
+SUMPRODUCT(-('Comp.'!$D$5:$D$313='Analítico Cp.'!$B84),-('Comp.'!$R$5:$R$313=J$1),('Comp.'!$E$5:$E$313))</f>
        <v>12174.29</v>
      </c>
      <c r="K84" s="185">
        <f>SUMPRODUCT(-('Diário 5º PA'!$E$5:$E$2634='Analítico Cp.'!$B84),-('Diário 5º PA'!$Q$5:$Q$2634=K$1),('Diário 5º PA'!$F$5:$F$2634))
+SUMPRODUCT(-('Diário 6º PA'!$E$5:$E$2246='Analítico Cp.'!$B84),-('Diário 6º PA'!$Q$5:$Q$2246=K$1),('Diário 6º PA'!$F$5:$F$2246))
+SUMPRODUCT(-('Diário 7º PA'!$E$5:$E$2271='Analítico Cp.'!$B84),-('Diário 7º PA'!$Q$5:$Q$2271=K$1),('Diário 7º PA'!$F$5:$F$2271))
+SUMPRODUCT(-('Diário 8º PA'!$E$5:$E$2488='Analítico Cp.'!$B84),-('Diário 8º PA'!$Q$5:$Q$2488=K$1),('Diário 8º PA'!$F$5:$F$2488))
+SUMPRODUCT(-('Comp.'!$D$5:$D$313='Analítico Cp.'!$B84),-('Comp.'!$R$5:$R$313=K$1),('Comp.'!$E$5:$E$313))</f>
        <v>6170.7300000000014</v>
      </c>
      <c r="L84" s="185">
        <f>SUMPRODUCT(-('Diário 5º PA'!$E$5:$E$2634='Analítico Cp.'!$B84),-('Diário 5º PA'!$Q$5:$Q$2634=L$1),('Diário 5º PA'!$F$5:$F$2634))
+SUMPRODUCT(-('Diário 6º PA'!$E$5:$E$2246='Analítico Cp.'!$B84),-('Diário 6º PA'!$Q$5:$Q$2246=L$1),('Diário 6º PA'!$F$5:$F$2246))
+SUMPRODUCT(-('Diário 7º PA'!$E$5:$E$2271='Analítico Cp.'!$B84),-('Diário 7º PA'!$Q$5:$Q$2271=L$1),('Diário 7º PA'!$F$5:$F$2271))
+SUMPRODUCT(-('Diário 8º PA'!$E$5:$E$2488='Analítico Cp.'!$B84),-('Diário 8º PA'!$Q$5:$Q$2488=L$1),('Diário 8º PA'!$F$5:$F$2488))
+SUMPRODUCT(-('Comp.'!$D$5:$D$313='Analítico Cp.'!$B84),-('Comp.'!$R$5:$R$313=L$1),('Comp.'!$E$5:$E$313))</f>
        <v>6180.0100000000011</v>
      </c>
      <c r="M84" s="185">
        <f>SUMPRODUCT(-('Diário 5º PA'!$E$5:$E$2634='Analítico Cp.'!$B84),-('Diário 5º PA'!$Q$5:$Q$2634=M$1),('Diário 5º PA'!$F$5:$F$2634))
+SUMPRODUCT(-('Diário 6º PA'!$E$5:$E$2246='Analítico Cp.'!$B84),-('Diário 6º PA'!$Q$5:$Q$2246=M$1),('Diário 6º PA'!$F$5:$F$2246))
+SUMPRODUCT(-('Diário 7º PA'!$E$5:$E$2271='Analítico Cp.'!$B84),-('Diário 7º PA'!$Q$5:$Q$2271=M$1),('Diário 7º PA'!$F$5:$F$2271))
+SUMPRODUCT(-('Diário 8º PA'!$E$5:$E$2488='Analítico Cp.'!$B84),-('Diário 8º PA'!$Q$5:$Q$2488=M$1),('Diário 8º PA'!$F$5:$F$2488))
+SUMPRODUCT(-('Comp.'!$D$5:$D$313='Analítico Cp.'!$B84),-('Comp.'!$R$5:$R$313=M$1),('Comp.'!$E$5:$E$313))</f>
        <v>1128.67</v>
      </c>
      <c r="N84" s="185">
        <f>SUMPRODUCT(-('Diário 5º PA'!$E$5:$E$2634='Analítico Cp.'!$B84),-('Diário 5º PA'!$Q$5:$Q$2634=N$1),('Diário 5º PA'!$F$5:$F$2634))
+SUMPRODUCT(-('Diário 6º PA'!$E$5:$E$2246='Analítico Cp.'!$B84),-('Diário 6º PA'!$Q$5:$Q$2246=N$1),('Diário 6º PA'!$F$5:$F$2246))
+SUMPRODUCT(-('Diário 7º PA'!$E$5:$E$2271='Analítico Cp.'!$B84),-('Diário 7º PA'!$Q$5:$Q$2271=N$1),('Diário 7º PA'!$F$5:$F$2271))
+SUMPRODUCT(-('Diário 8º PA'!$E$5:$E$2488='Analítico Cp.'!$B84),-('Diário 8º PA'!$Q$5:$Q$2488=N$1),('Diário 8º PA'!$F$5:$F$2488))
+SUMPRODUCT(-('Comp.'!$D$5:$D$313='Analítico Cp.'!$B84),-('Comp.'!$R$5:$R$313=N$1),('Comp.'!$E$5:$E$313))</f>
        <v>5246.35</v>
      </c>
      <c r="O84" s="186">
        <f t="shared" si="16"/>
        <v>95590.5</v>
      </c>
      <c r="P84" s="187">
        <f t="shared" si="17"/>
        <v>9.8597927714708308E-3</v>
      </c>
      <c r="Q84" s="34"/>
      <c r="R84" s="34"/>
      <c r="S84" s="34"/>
      <c r="T84" s="34"/>
      <c r="U84" s="34"/>
      <c r="V84" s="34"/>
      <c r="W84" s="34"/>
      <c r="X84" s="34"/>
      <c r="Y84" s="34"/>
      <c r="Z84" s="34"/>
    </row>
    <row r="85" spans="1:26" ht="23.25" customHeight="1" x14ac:dyDescent="0.2">
      <c r="A85" s="203" t="s">
        <v>267</v>
      </c>
      <c r="B85" s="72" t="s">
        <v>268</v>
      </c>
      <c r="C85" s="185">
        <f>SUMPRODUCT(-('Diário 5º PA'!$E$5:$E$2634='Analítico Cp.'!$B85),-('Diário 5º PA'!$Q$5:$Q$2634=C$1),('Diário 5º PA'!$F$5:$F$2634))
+SUMPRODUCT(-('Diário 6º PA'!$E$5:$E$2246='Analítico Cp.'!$B85),-('Diário 6º PA'!$Q$5:$Q$2246=C$1),('Diário 6º PA'!$F$5:$F$2246))
+SUMPRODUCT(-('Diário 7º PA'!$E$5:$E$2271='Analítico Cp.'!$B85),-('Diário 7º PA'!$Q$5:$Q$2271=C$1),('Diário 7º PA'!$F$5:$F$2271))
+SUMPRODUCT(-('Diário 8º PA'!$E$5:$E$2488='Analítico Cp.'!$B85),-('Diário 8º PA'!$Q$5:$Q$2488=C$1),('Diário 8º PA'!$F$5:$F$2488))
+SUMPRODUCT(-('Comp.'!$D$5:$D$313='Analítico Cp.'!$B85),-('Comp.'!$R$5:$R$313=C$1),('Comp.'!$E$5:$E$313))</f>
        <v>0</v>
      </c>
      <c r="D85" s="185">
        <f>SUMPRODUCT(-('Diário 5º PA'!$E$5:$E$2634='Analítico Cp.'!$B85),-('Diário 5º PA'!$Q$5:$Q$2634=D$1),('Diário 5º PA'!$F$5:$F$2634))
+SUMPRODUCT(-('Diário 6º PA'!$E$5:$E$2246='Analítico Cp.'!$B85),-('Diário 6º PA'!$Q$5:$Q$2246=D$1),('Diário 6º PA'!$F$5:$F$2246))
+SUMPRODUCT(-('Diário 7º PA'!$E$5:$E$2271='Analítico Cp.'!$B85),-('Diário 7º PA'!$Q$5:$Q$2271=D$1),('Diário 7º PA'!$F$5:$F$2271))
+SUMPRODUCT(-('Diário 8º PA'!$E$5:$E$2488='Analítico Cp.'!$B85),-('Diário 8º PA'!$Q$5:$Q$2488=D$1),('Diário 8º PA'!$F$5:$F$2488))
+SUMPRODUCT(-('Comp.'!$D$5:$D$313='Analítico Cp.'!$B85),-('Comp.'!$R$5:$R$313=D$1),('Comp.'!$E$5:$E$313))</f>
        <v>0</v>
      </c>
      <c r="E85" s="185">
        <f>SUMPRODUCT(-('Diário 5º PA'!$E$5:$E$2634='Analítico Cp.'!$B85),-('Diário 5º PA'!$Q$5:$Q$2634=E$1),('Diário 5º PA'!$F$5:$F$2634))
+SUMPRODUCT(-('Diário 6º PA'!$E$5:$E$2246='Analítico Cp.'!$B85),-('Diário 6º PA'!$Q$5:$Q$2246=E$1),('Diário 6º PA'!$F$5:$F$2246))
+SUMPRODUCT(-('Diário 7º PA'!$E$5:$E$2271='Analítico Cp.'!$B85),-('Diário 7º PA'!$Q$5:$Q$2271=E$1),('Diário 7º PA'!$F$5:$F$2271))
+SUMPRODUCT(-('Diário 8º PA'!$E$5:$E$2488='Analítico Cp.'!$B85),-('Diário 8º PA'!$Q$5:$Q$2488=E$1),('Diário 8º PA'!$F$5:$F$2488))
+SUMPRODUCT(-('Comp.'!$D$5:$D$313='Analítico Cp.'!$B85),-('Comp.'!$R$5:$R$313=E$1),('Comp.'!$E$5:$E$313))</f>
        <v>0</v>
      </c>
      <c r="F85" s="185">
        <f>SUMPRODUCT(-('Diário 5º PA'!$E$5:$E$2634='Analítico Cp.'!$B85),-('Diário 5º PA'!$Q$5:$Q$2634=F$1),('Diário 5º PA'!$F$5:$F$2634))
+SUMPRODUCT(-('Diário 6º PA'!$E$5:$E$2246='Analítico Cp.'!$B85),-('Diário 6º PA'!$Q$5:$Q$2246=F$1),('Diário 6º PA'!$F$5:$F$2246))
+SUMPRODUCT(-('Diário 7º PA'!$E$5:$E$2271='Analítico Cp.'!$B85),-('Diário 7º PA'!$Q$5:$Q$2271=F$1),('Diário 7º PA'!$F$5:$F$2271))
+SUMPRODUCT(-('Diário 8º PA'!$E$5:$E$2488='Analítico Cp.'!$B85),-('Diário 8º PA'!$Q$5:$Q$2488=F$1),('Diário 8º PA'!$F$5:$F$2488))
+SUMPRODUCT(-('Comp.'!$D$5:$D$313='Analítico Cp.'!$B85),-('Comp.'!$R$5:$R$313=F$1),('Comp.'!$E$5:$E$313))</f>
        <v>0</v>
      </c>
      <c r="G85" s="185">
        <f>SUMPRODUCT(-('Diário 5º PA'!$E$5:$E$2634='Analítico Cp.'!$B85),-('Diário 5º PA'!$Q$5:$Q$2634=G$1),('Diário 5º PA'!$F$5:$F$2634))
+SUMPRODUCT(-('Diário 6º PA'!$E$5:$E$2246='Analítico Cp.'!$B85),-('Diário 6º PA'!$Q$5:$Q$2246=G$1),('Diário 6º PA'!$F$5:$F$2246))
+SUMPRODUCT(-('Diário 7º PA'!$E$5:$E$2271='Analítico Cp.'!$B85),-('Diário 7º PA'!$Q$5:$Q$2271=G$1),('Diário 7º PA'!$F$5:$F$2271))
+SUMPRODUCT(-('Diário 8º PA'!$E$5:$E$2488='Analítico Cp.'!$B85),-('Diário 8º PA'!$Q$5:$Q$2488=G$1),('Diário 8º PA'!$F$5:$F$2488))
+SUMPRODUCT(-('Comp.'!$D$5:$D$313='Analítico Cp.'!$B85),-('Comp.'!$R$5:$R$313=G$1),('Comp.'!$E$5:$E$313))</f>
        <v>0</v>
      </c>
      <c r="H85" s="185">
        <f>SUMPRODUCT(-('Diário 5º PA'!$E$5:$E$2634='Analítico Cp.'!$B85),-('Diário 5º PA'!$Q$5:$Q$2634=H$1),('Diário 5º PA'!$F$5:$F$2634))
+SUMPRODUCT(-('Diário 6º PA'!$E$5:$E$2246='Analítico Cp.'!$B85),-('Diário 6º PA'!$Q$5:$Q$2246=H$1),('Diário 6º PA'!$F$5:$F$2246))
+SUMPRODUCT(-('Diário 7º PA'!$E$5:$E$2271='Analítico Cp.'!$B85),-('Diário 7º PA'!$Q$5:$Q$2271=H$1),('Diário 7º PA'!$F$5:$F$2271))
+SUMPRODUCT(-('Diário 8º PA'!$E$5:$E$2488='Analítico Cp.'!$B85),-('Diário 8º PA'!$Q$5:$Q$2488=H$1),('Diário 8º PA'!$F$5:$F$2488))
+SUMPRODUCT(-('Comp.'!$D$5:$D$313='Analítico Cp.'!$B85),-('Comp.'!$R$5:$R$313=H$1),('Comp.'!$E$5:$E$313))</f>
        <v>0</v>
      </c>
      <c r="I85" s="185">
        <f>SUMPRODUCT(-('Diário 5º PA'!$E$5:$E$2634='Analítico Cp.'!$B85),-('Diário 5º PA'!$Q$5:$Q$2634=I$1),('Diário 5º PA'!$F$5:$F$2634))
+SUMPRODUCT(-('Diário 6º PA'!$E$5:$E$2246='Analítico Cp.'!$B85),-('Diário 6º PA'!$Q$5:$Q$2246=I$1),('Diário 6º PA'!$F$5:$F$2246))
+SUMPRODUCT(-('Diário 7º PA'!$E$5:$E$2271='Analítico Cp.'!$B85),-('Diário 7º PA'!$Q$5:$Q$2271=I$1),('Diário 7º PA'!$F$5:$F$2271))
+SUMPRODUCT(-('Diário 8º PA'!$E$5:$E$2488='Analítico Cp.'!$B85),-('Diário 8º PA'!$Q$5:$Q$2488=I$1),('Diário 8º PA'!$F$5:$F$2488))
+SUMPRODUCT(-('Comp.'!$D$5:$D$313='Analítico Cp.'!$B85),-('Comp.'!$R$5:$R$313=I$1),('Comp.'!$E$5:$E$313))</f>
        <v>0</v>
      </c>
      <c r="J85" s="185">
        <f>SUMPRODUCT(-('Diário 5º PA'!$E$5:$E$2634='Analítico Cp.'!$B85),-('Diário 5º PA'!$Q$5:$Q$2634=J$1),('Diário 5º PA'!$F$5:$F$2634))
+SUMPRODUCT(-('Diário 6º PA'!$E$5:$E$2246='Analítico Cp.'!$B85),-('Diário 6º PA'!$Q$5:$Q$2246=J$1),('Diário 6º PA'!$F$5:$F$2246))
+SUMPRODUCT(-('Diário 7º PA'!$E$5:$E$2271='Analítico Cp.'!$B85),-('Diário 7º PA'!$Q$5:$Q$2271=J$1),('Diário 7º PA'!$F$5:$F$2271))
+SUMPRODUCT(-('Diário 8º PA'!$E$5:$E$2488='Analítico Cp.'!$B85),-('Diário 8º PA'!$Q$5:$Q$2488=J$1),('Diário 8º PA'!$F$5:$F$2488))
+SUMPRODUCT(-('Comp.'!$D$5:$D$313='Analítico Cp.'!$B85),-('Comp.'!$R$5:$R$313=J$1),('Comp.'!$E$5:$E$313))</f>
        <v>0</v>
      </c>
      <c r="K85" s="185">
        <f>SUMPRODUCT(-('Diário 5º PA'!$E$5:$E$2634='Analítico Cp.'!$B85),-('Diário 5º PA'!$Q$5:$Q$2634=K$1),('Diário 5º PA'!$F$5:$F$2634))
+SUMPRODUCT(-('Diário 6º PA'!$E$5:$E$2246='Analítico Cp.'!$B85),-('Diário 6º PA'!$Q$5:$Q$2246=K$1),('Diário 6º PA'!$F$5:$F$2246))
+SUMPRODUCT(-('Diário 7º PA'!$E$5:$E$2271='Analítico Cp.'!$B85),-('Diário 7º PA'!$Q$5:$Q$2271=K$1),('Diário 7º PA'!$F$5:$F$2271))
+SUMPRODUCT(-('Diário 8º PA'!$E$5:$E$2488='Analítico Cp.'!$B85),-('Diário 8º PA'!$Q$5:$Q$2488=K$1),('Diário 8º PA'!$F$5:$F$2488))
+SUMPRODUCT(-('Comp.'!$D$5:$D$313='Analítico Cp.'!$B85),-('Comp.'!$R$5:$R$313=K$1),('Comp.'!$E$5:$E$313))</f>
        <v>0</v>
      </c>
      <c r="L85" s="185">
        <f>SUMPRODUCT(-('Diário 5º PA'!$E$5:$E$2634='Analítico Cp.'!$B85),-('Diário 5º PA'!$Q$5:$Q$2634=L$1),('Diário 5º PA'!$F$5:$F$2634))
+SUMPRODUCT(-('Diário 6º PA'!$E$5:$E$2246='Analítico Cp.'!$B85),-('Diário 6º PA'!$Q$5:$Q$2246=L$1),('Diário 6º PA'!$F$5:$F$2246))
+SUMPRODUCT(-('Diário 7º PA'!$E$5:$E$2271='Analítico Cp.'!$B85),-('Diário 7º PA'!$Q$5:$Q$2271=L$1),('Diário 7º PA'!$F$5:$F$2271))
+SUMPRODUCT(-('Diário 8º PA'!$E$5:$E$2488='Analítico Cp.'!$B85),-('Diário 8º PA'!$Q$5:$Q$2488=L$1),('Diário 8º PA'!$F$5:$F$2488))
+SUMPRODUCT(-('Comp.'!$D$5:$D$313='Analítico Cp.'!$B85),-('Comp.'!$R$5:$R$313=L$1),('Comp.'!$E$5:$E$313))</f>
        <v>0</v>
      </c>
      <c r="M85" s="185">
        <f>SUMPRODUCT(-('Diário 5º PA'!$E$5:$E$2634='Analítico Cp.'!$B85),-('Diário 5º PA'!$Q$5:$Q$2634=M$1),('Diário 5º PA'!$F$5:$F$2634))
+SUMPRODUCT(-('Diário 6º PA'!$E$5:$E$2246='Analítico Cp.'!$B85),-('Diário 6º PA'!$Q$5:$Q$2246=M$1),('Diário 6º PA'!$F$5:$F$2246))
+SUMPRODUCT(-('Diário 7º PA'!$E$5:$E$2271='Analítico Cp.'!$B85),-('Diário 7º PA'!$Q$5:$Q$2271=M$1),('Diário 7º PA'!$F$5:$F$2271))
+SUMPRODUCT(-('Diário 8º PA'!$E$5:$E$2488='Analítico Cp.'!$B85),-('Diário 8º PA'!$Q$5:$Q$2488=M$1),('Diário 8º PA'!$F$5:$F$2488))
+SUMPRODUCT(-('Comp.'!$D$5:$D$313='Analítico Cp.'!$B85),-('Comp.'!$R$5:$R$313=M$1),('Comp.'!$E$5:$E$313))</f>
        <v>0</v>
      </c>
      <c r="N85" s="185">
        <f>SUMPRODUCT(-('Diário 5º PA'!$E$5:$E$2634='Analítico Cp.'!$B85),-('Diário 5º PA'!$Q$5:$Q$2634=N$1),('Diário 5º PA'!$F$5:$F$2634))
+SUMPRODUCT(-('Diário 6º PA'!$E$5:$E$2246='Analítico Cp.'!$B85),-('Diário 6º PA'!$Q$5:$Q$2246=N$1),('Diário 6º PA'!$F$5:$F$2246))
+SUMPRODUCT(-('Diário 7º PA'!$E$5:$E$2271='Analítico Cp.'!$B85),-('Diário 7º PA'!$Q$5:$Q$2271=N$1),('Diário 7º PA'!$F$5:$F$2271))
+SUMPRODUCT(-('Diário 8º PA'!$E$5:$E$2488='Analítico Cp.'!$B85),-('Diário 8º PA'!$Q$5:$Q$2488=N$1),('Diário 8º PA'!$F$5:$F$2488))
+SUMPRODUCT(-('Comp.'!$D$5:$D$313='Analítico Cp.'!$B85),-('Comp.'!$R$5:$R$313=N$1),('Comp.'!$E$5:$E$313))</f>
        <v>0</v>
      </c>
      <c r="O85" s="186">
        <f t="shared" si="16"/>
        <v>0</v>
      </c>
      <c r="P85" s="187">
        <f t="shared" si="17"/>
        <v>0</v>
      </c>
      <c r="Q85" s="34"/>
      <c r="R85" s="34"/>
      <c r="S85" s="34"/>
      <c r="T85" s="34"/>
      <c r="U85" s="34"/>
      <c r="V85" s="34"/>
      <c r="W85" s="34"/>
      <c r="X85" s="34"/>
      <c r="Y85" s="34"/>
      <c r="Z85" s="34"/>
    </row>
    <row r="86" spans="1:26" ht="23.25" customHeight="1" x14ac:dyDescent="0.2">
      <c r="A86" s="203" t="s">
        <v>269</v>
      </c>
      <c r="B86" s="72" t="s">
        <v>270</v>
      </c>
      <c r="C86" s="185">
        <f>SUMPRODUCT(-('Diário 5º PA'!$E$5:$E$2634='Analítico Cp.'!$B86),-('Diário 5º PA'!$Q$5:$Q$2634=C$1),('Diário 5º PA'!$F$5:$F$2634))
+SUMPRODUCT(-('Diário 6º PA'!$E$5:$E$2246='Analítico Cp.'!$B86),-('Diário 6º PA'!$Q$5:$Q$2246=C$1),('Diário 6º PA'!$F$5:$F$2246))
+SUMPRODUCT(-('Diário 7º PA'!$E$5:$E$2271='Analítico Cp.'!$B86),-('Diário 7º PA'!$Q$5:$Q$2271=C$1),('Diário 7º PA'!$F$5:$F$2271))
+SUMPRODUCT(-('Diário 8º PA'!$E$5:$E$2488='Analítico Cp.'!$B86),-('Diário 8º PA'!$Q$5:$Q$2488=C$1),('Diário 8º PA'!$F$5:$F$2488))
+SUMPRODUCT(-('Comp.'!$D$5:$D$313='Analítico Cp.'!$B86),-('Comp.'!$R$5:$R$313=C$1),('Comp.'!$E$5:$E$313))</f>
        <v>228.9</v>
      </c>
      <c r="D86" s="185">
        <f>SUMPRODUCT(-('Diário 5º PA'!$E$5:$E$2634='Analítico Cp.'!$B86),-('Diário 5º PA'!$Q$5:$Q$2634=D$1),('Diário 5º PA'!$F$5:$F$2634))
+SUMPRODUCT(-('Diário 6º PA'!$E$5:$E$2246='Analítico Cp.'!$B86),-('Diário 6º PA'!$Q$5:$Q$2246=D$1),('Diário 6º PA'!$F$5:$F$2246))
+SUMPRODUCT(-('Diário 7º PA'!$E$5:$E$2271='Analítico Cp.'!$B86),-('Diário 7º PA'!$Q$5:$Q$2271=D$1),('Diário 7º PA'!$F$5:$F$2271))
+SUMPRODUCT(-('Diário 8º PA'!$E$5:$E$2488='Analítico Cp.'!$B86),-('Diário 8º PA'!$Q$5:$Q$2488=D$1),('Diário 8º PA'!$F$5:$F$2488))
+SUMPRODUCT(-('Comp.'!$D$5:$D$313='Analítico Cp.'!$B86),-('Comp.'!$R$5:$R$313=D$1),('Comp.'!$E$5:$E$313))</f>
        <v>431.87</v>
      </c>
      <c r="E86" s="185">
        <f>SUMPRODUCT(-('Diário 5º PA'!$E$5:$E$2634='Analítico Cp.'!$B86),-('Diário 5º PA'!$Q$5:$Q$2634=E$1),('Diário 5º PA'!$F$5:$F$2634))
+SUMPRODUCT(-('Diário 6º PA'!$E$5:$E$2246='Analítico Cp.'!$B86),-('Diário 6º PA'!$Q$5:$Q$2246=E$1),('Diário 6º PA'!$F$5:$F$2246))
+SUMPRODUCT(-('Diário 7º PA'!$E$5:$E$2271='Analítico Cp.'!$B86),-('Diário 7º PA'!$Q$5:$Q$2271=E$1),('Diário 7º PA'!$F$5:$F$2271))
+SUMPRODUCT(-('Diário 8º PA'!$E$5:$E$2488='Analítico Cp.'!$B86),-('Diário 8º PA'!$Q$5:$Q$2488=E$1),('Diário 8º PA'!$F$5:$F$2488))
+SUMPRODUCT(-('Comp.'!$D$5:$D$313='Analítico Cp.'!$B86),-('Comp.'!$R$5:$R$313=E$1),('Comp.'!$E$5:$E$313))</f>
        <v>207.75</v>
      </c>
      <c r="F86" s="185">
        <f>SUMPRODUCT(-('Diário 5º PA'!$E$5:$E$2634='Analítico Cp.'!$B86),-('Diário 5º PA'!$Q$5:$Q$2634=F$1),('Diário 5º PA'!$F$5:$F$2634))
+SUMPRODUCT(-('Diário 6º PA'!$E$5:$E$2246='Analítico Cp.'!$B86),-('Diário 6º PA'!$Q$5:$Q$2246=F$1),('Diário 6º PA'!$F$5:$F$2246))
+SUMPRODUCT(-('Diário 7º PA'!$E$5:$E$2271='Analítico Cp.'!$B86),-('Diário 7º PA'!$Q$5:$Q$2271=F$1),('Diário 7º PA'!$F$5:$F$2271))
+SUMPRODUCT(-('Diário 8º PA'!$E$5:$E$2488='Analítico Cp.'!$B86),-('Diário 8º PA'!$Q$5:$Q$2488=F$1),('Diário 8º PA'!$F$5:$F$2488))
+SUMPRODUCT(-('Comp.'!$D$5:$D$313='Analítico Cp.'!$B86),-('Comp.'!$R$5:$R$313=F$1),('Comp.'!$E$5:$E$313))</f>
        <v>0</v>
      </c>
      <c r="G86" s="185">
        <f>SUMPRODUCT(-('Diário 5º PA'!$E$5:$E$2634='Analítico Cp.'!$B86),-('Diário 5º PA'!$Q$5:$Q$2634=G$1),('Diário 5º PA'!$F$5:$F$2634))
+SUMPRODUCT(-('Diário 6º PA'!$E$5:$E$2246='Analítico Cp.'!$B86),-('Diário 6º PA'!$Q$5:$Q$2246=G$1),('Diário 6º PA'!$F$5:$F$2246))
+SUMPRODUCT(-('Diário 7º PA'!$E$5:$E$2271='Analítico Cp.'!$B86),-('Diário 7º PA'!$Q$5:$Q$2271=G$1),('Diário 7º PA'!$F$5:$F$2271))
+SUMPRODUCT(-('Diário 8º PA'!$E$5:$E$2488='Analítico Cp.'!$B86),-('Diário 8º PA'!$Q$5:$Q$2488=G$1),('Diário 8º PA'!$F$5:$F$2488))
+SUMPRODUCT(-('Comp.'!$D$5:$D$313='Analítico Cp.'!$B86),-('Comp.'!$R$5:$R$313=G$1),('Comp.'!$E$5:$E$313))</f>
        <v>0</v>
      </c>
      <c r="H86" s="185">
        <f>SUMPRODUCT(-('Diário 5º PA'!$E$5:$E$2634='Analítico Cp.'!$B86),-('Diário 5º PA'!$Q$5:$Q$2634=H$1),('Diário 5º PA'!$F$5:$F$2634))
+SUMPRODUCT(-('Diário 6º PA'!$E$5:$E$2246='Analítico Cp.'!$B86),-('Diário 6º PA'!$Q$5:$Q$2246=H$1),('Diário 6º PA'!$F$5:$F$2246))
+SUMPRODUCT(-('Diário 7º PA'!$E$5:$E$2271='Analítico Cp.'!$B86),-('Diário 7º PA'!$Q$5:$Q$2271=H$1),('Diário 7º PA'!$F$5:$F$2271))
+SUMPRODUCT(-('Diário 8º PA'!$E$5:$E$2488='Analítico Cp.'!$B86),-('Diário 8º PA'!$Q$5:$Q$2488=H$1),('Diário 8º PA'!$F$5:$F$2488))
+SUMPRODUCT(-('Comp.'!$D$5:$D$313='Analítico Cp.'!$B86),-('Comp.'!$R$5:$R$313=H$1),('Comp.'!$E$5:$E$313))</f>
        <v>0</v>
      </c>
      <c r="I86" s="185">
        <f>SUMPRODUCT(-('Diário 5º PA'!$E$5:$E$2634='Analítico Cp.'!$B86),-('Diário 5º PA'!$Q$5:$Q$2634=I$1),('Diário 5º PA'!$F$5:$F$2634))
+SUMPRODUCT(-('Diário 6º PA'!$E$5:$E$2246='Analítico Cp.'!$B86),-('Diário 6º PA'!$Q$5:$Q$2246=I$1),('Diário 6º PA'!$F$5:$F$2246))
+SUMPRODUCT(-('Diário 7º PA'!$E$5:$E$2271='Analítico Cp.'!$B86),-('Diário 7º PA'!$Q$5:$Q$2271=I$1),('Diário 7º PA'!$F$5:$F$2271))
+SUMPRODUCT(-('Diário 8º PA'!$E$5:$E$2488='Analítico Cp.'!$B86),-('Diário 8º PA'!$Q$5:$Q$2488=I$1),('Diário 8º PA'!$F$5:$F$2488))
+SUMPRODUCT(-('Comp.'!$D$5:$D$313='Analítico Cp.'!$B86),-('Comp.'!$R$5:$R$313=I$1),('Comp.'!$E$5:$E$313))</f>
        <v>0</v>
      </c>
      <c r="J86" s="185">
        <f>SUMPRODUCT(-('Diário 5º PA'!$E$5:$E$2634='Analítico Cp.'!$B86),-('Diário 5º PA'!$Q$5:$Q$2634=J$1),('Diário 5º PA'!$F$5:$F$2634))
+SUMPRODUCT(-('Diário 6º PA'!$E$5:$E$2246='Analítico Cp.'!$B86),-('Diário 6º PA'!$Q$5:$Q$2246=J$1),('Diário 6º PA'!$F$5:$F$2246))
+SUMPRODUCT(-('Diário 7º PA'!$E$5:$E$2271='Analítico Cp.'!$B86),-('Diário 7º PA'!$Q$5:$Q$2271=J$1),('Diário 7º PA'!$F$5:$F$2271))
+SUMPRODUCT(-('Diário 8º PA'!$E$5:$E$2488='Analítico Cp.'!$B86),-('Diário 8º PA'!$Q$5:$Q$2488=J$1),('Diário 8º PA'!$F$5:$F$2488))
+SUMPRODUCT(-('Comp.'!$D$5:$D$313='Analítico Cp.'!$B86),-('Comp.'!$R$5:$R$313=J$1),('Comp.'!$E$5:$E$313))</f>
        <v>0</v>
      </c>
      <c r="K86" s="185">
        <f>SUMPRODUCT(-('Diário 5º PA'!$E$5:$E$2634='Analítico Cp.'!$B86),-('Diário 5º PA'!$Q$5:$Q$2634=K$1),('Diário 5º PA'!$F$5:$F$2634))
+SUMPRODUCT(-('Diário 6º PA'!$E$5:$E$2246='Analítico Cp.'!$B86),-('Diário 6º PA'!$Q$5:$Q$2246=K$1),('Diário 6º PA'!$F$5:$F$2246))
+SUMPRODUCT(-('Diário 7º PA'!$E$5:$E$2271='Analítico Cp.'!$B86),-('Diário 7º PA'!$Q$5:$Q$2271=K$1),('Diário 7º PA'!$F$5:$F$2271))
+SUMPRODUCT(-('Diário 8º PA'!$E$5:$E$2488='Analítico Cp.'!$B86),-('Diário 8º PA'!$Q$5:$Q$2488=K$1),('Diário 8º PA'!$F$5:$F$2488))
+SUMPRODUCT(-('Comp.'!$D$5:$D$313='Analítico Cp.'!$B86),-('Comp.'!$R$5:$R$313=K$1),('Comp.'!$E$5:$E$313))</f>
        <v>0</v>
      </c>
      <c r="L86" s="185">
        <f>SUMPRODUCT(-('Diário 5º PA'!$E$5:$E$2634='Analítico Cp.'!$B86),-('Diário 5º PA'!$Q$5:$Q$2634=L$1),('Diário 5º PA'!$F$5:$F$2634))
+SUMPRODUCT(-('Diário 6º PA'!$E$5:$E$2246='Analítico Cp.'!$B86),-('Diário 6º PA'!$Q$5:$Q$2246=L$1),('Diário 6º PA'!$F$5:$F$2246))
+SUMPRODUCT(-('Diário 7º PA'!$E$5:$E$2271='Analítico Cp.'!$B86),-('Diário 7º PA'!$Q$5:$Q$2271=L$1),('Diário 7º PA'!$F$5:$F$2271))
+SUMPRODUCT(-('Diário 8º PA'!$E$5:$E$2488='Analítico Cp.'!$B86),-('Diário 8º PA'!$Q$5:$Q$2488=L$1),('Diário 8º PA'!$F$5:$F$2488))
+SUMPRODUCT(-('Comp.'!$D$5:$D$313='Analítico Cp.'!$B86),-('Comp.'!$R$5:$R$313=L$1),('Comp.'!$E$5:$E$313))</f>
        <v>157.51</v>
      </c>
      <c r="M86" s="185">
        <f>SUMPRODUCT(-('Diário 5º PA'!$E$5:$E$2634='Analítico Cp.'!$B86),-('Diário 5º PA'!$Q$5:$Q$2634=M$1),('Diário 5º PA'!$F$5:$F$2634))
+SUMPRODUCT(-('Diário 6º PA'!$E$5:$E$2246='Analítico Cp.'!$B86),-('Diário 6º PA'!$Q$5:$Q$2246=M$1),('Diário 6º PA'!$F$5:$F$2246))
+SUMPRODUCT(-('Diário 7º PA'!$E$5:$E$2271='Analítico Cp.'!$B86),-('Diário 7º PA'!$Q$5:$Q$2271=M$1),('Diário 7º PA'!$F$5:$F$2271))
+SUMPRODUCT(-('Diário 8º PA'!$E$5:$E$2488='Analítico Cp.'!$B86),-('Diário 8º PA'!$Q$5:$Q$2488=M$1),('Diário 8º PA'!$F$5:$F$2488))
+SUMPRODUCT(-('Comp.'!$D$5:$D$313='Analítico Cp.'!$B86),-('Comp.'!$R$5:$R$313=M$1),('Comp.'!$E$5:$E$313))</f>
        <v>0</v>
      </c>
      <c r="N86" s="185">
        <f>SUMPRODUCT(-('Diário 5º PA'!$E$5:$E$2634='Analítico Cp.'!$B86),-('Diário 5º PA'!$Q$5:$Q$2634=N$1),('Diário 5º PA'!$F$5:$F$2634))
+SUMPRODUCT(-('Diário 6º PA'!$E$5:$E$2246='Analítico Cp.'!$B86),-('Diário 6º PA'!$Q$5:$Q$2246=N$1),('Diário 6º PA'!$F$5:$F$2246))
+SUMPRODUCT(-('Diário 7º PA'!$E$5:$E$2271='Analítico Cp.'!$B86),-('Diário 7º PA'!$Q$5:$Q$2271=N$1),('Diário 7º PA'!$F$5:$F$2271))
+SUMPRODUCT(-('Diário 8º PA'!$E$5:$E$2488='Analítico Cp.'!$B86),-('Diário 8º PA'!$Q$5:$Q$2488=N$1),('Diário 8º PA'!$F$5:$F$2488))
+SUMPRODUCT(-('Comp.'!$D$5:$D$313='Analítico Cp.'!$B86),-('Comp.'!$R$5:$R$313=N$1),('Comp.'!$E$5:$E$313))</f>
        <v>0</v>
      </c>
      <c r="O86" s="186">
        <f t="shared" si="16"/>
        <v>1026.03</v>
      </c>
      <c r="P86" s="187">
        <f t="shared" si="17"/>
        <v>1.0583105201157245E-4</v>
      </c>
      <c r="Q86" s="34"/>
      <c r="R86" s="34"/>
      <c r="S86" s="34"/>
      <c r="T86" s="34"/>
      <c r="U86" s="34"/>
      <c r="V86" s="34"/>
      <c r="W86" s="34"/>
      <c r="X86" s="34"/>
      <c r="Y86" s="34"/>
      <c r="Z86" s="34"/>
    </row>
    <row r="87" spans="1:26" ht="23.25" customHeight="1" x14ac:dyDescent="0.2">
      <c r="A87" s="203" t="s">
        <v>271</v>
      </c>
      <c r="B87" s="72" t="s">
        <v>272</v>
      </c>
      <c r="C87" s="185">
        <f>SUMPRODUCT(-('Diário 5º PA'!$E$5:$E$2634='Analítico Cp.'!$B87),-('Diário 5º PA'!$Q$5:$Q$2634=C$1),('Diário 5º PA'!$F$5:$F$2634))
+SUMPRODUCT(-('Diário 6º PA'!$E$5:$E$2246='Analítico Cp.'!$B87),-('Diário 6º PA'!$Q$5:$Q$2246=C$1),('Diário 6º PA'!$F$5:$F$2246))
+SUMPRODUCT(-('Diário 7º PA'!$E$5:$E$2271='Analítico Cp.'!$B87),-('Diário 7º PA'!$Q$5:$Q$2271=C$1),('Diário 7º PA'!$F$5:$F$2271))
+SUMPRODUCT(-('Diário 8º PA'!$E$5:$E$2488='Analítico Cp.'!$B87),-('Diário 8º PA'!$Q$5:$Q$2488=C$1),('Diário 8º PA'!$F$5:$F$2488))
+SUMPRODUCT(-('Comp.'!$D$5:$D$313='Analítico Cp.'!$B87),-('Comp.'!$R$5:$R$313=C$1),('Comp.'!$E$5:$E$313))</f>
        <v>1187.5500000000025</v>
      </c>
      <c r="D87" s="185">
        <f>SUMPRODUCT(-('Diário 5º PA'!$E$5:$E$2634='Analítico Cp.'!$B87),-('Diário 5º PA'!$Q$5:$Q$2634=D$1),('Diário 5º PA'!$F$5:$F$2634))
+SUMPRODUCT(-('Diário 6º PA'!$E$5:$E$2246='Analítico Cp.'!$B87),-('Diário 6º PA'!$Q$5:$Q$2246=D$1),('Diário 6º PA'!$F$5:$F$2246))
+SUMPRODUCT(-('Diário 7º PA'!$E$5:$E$2271='Analítico Cp.'!$B87),-('Diário 7º PA'!$Q$5:$Q$2271=D$1),('Diário 7º PA'!$F$5:$F$2271))
+SUMPRODUCT(-('Diário 8º PA'!$E$5:$E$2488='Analítico Cp.'!$B87),-('Diário 8º PA'!$Q$5:$Q$2488=D$1),('Diário 8º PA'!$F$5:$F$2488))
+SUMPRODUCT(-('Comp.'!$D$5:$D$313='Analítico Cp.'!$B87),-('Comp.'!$R$5:$R$313=D$1),('Comp.'!$E$5:$E$313))</f>
        <v>769.55000000000086</v>
      </c>
      <c r="E87" s="185">
        <f>SUMPRODUCT(-('Diário 5º PA'!$E$5:$E$2634='Analítico Cp.'!$B87),-('Diário 5º PA'!$Q$5:$Q$2634=E$1),('Diário 5º PA'!$F$5:$F$2634))
+SUMPRODUCT(-('Diário 6º PA'!$E$5:$E$2246='Analítico Cp.'!$B87),-('Diário 6º PA'!$Q$5:$Q$2246=E$1),('Diário 6º PA'!$F$5:$F$2246))
+SUMPRODUCT(-('Diário 7º PA'!$E$5:$E$2271='Analítico Cp.'!$B87),-('Diário 7º PA'!$Q$5:$Q$2271=E$1),('Diário 7º PA'!$F$5:$F$2271))
+SUMPRODUCT(-('Diário 8º PA'!$E$5:$E$2488='Analítico Cp.'!$B87),-('Diário 8º PA'!$Q$5:$Q$2488=E$1),('Diário 8º PA'!$F$5:$F$2488))
+SUMPRODUCT(-('Comp.'!$D$5:$D$313='Analítico Cp.'!$B87),-('Comp.'!$R$5:$R$313=E$1),('Comp.'!$E$5:$E$313))</f>
        <v>518.74999999999977</v>
      </c>
      <c r="F87" s="185">
        <f>SUMPRODUCT(-('Diário 5º PA'!$E$5:$E$2634='Analítico Cp.'!$B87),-('Diário 5º PA'!$Q$5:$Q$2634=F$1),('Diário 5º PA'!$F$5:$F$2634))
+SUMPRODUCT(-('Diário 6º PA'!$E$5:$E$2246='Analítico Cp.'!$B87),-('Diário 6º PA'!$Q$5:$Q$2246=F$1),('Diário 6º PA'!$F$5:$F$2246))
+SUMPRODUCT(-('Diário 7º PA'!$E$5:$E$2271='Analítico Cp.'!$B87),-('Diário 7º PA'!$Q$5:$Q$2271=F$1),('Diário 7º PA'!$F$5:$F$2271))
+SUMPRODUCT(-('Diário 8º PA'!$E$5:$E$2488='Analítico Cp.'!$B87),-('Diário 8º PA'!$Q$5:$Q$2488=F$1),('Diário 8º PA'!$F$5:$F$2488))
+SUMPRODUCT(-('Comp.'!$D$5:$D$313='Analítico Cp.'!$B87),-('Comp.'!$R$5:$R$313=F$1),('Comp.'!$E$5:$E$313))</f>
        <v>696.40000000000043</v>
      </c>
      <c r="G87" s="185">
        <f>SUMPRODUCT(-('Diário 5º PA'!$E$5:$E$2634='Analítico Cp.'!$B87),-('Diário 5º PA'!$Q$5:$Q$2634=G$1),('Diário 5º PA'!$F$5:$F$2634))
+SUMPRODUCT(-('Diário 6º PA'!$E$5:$E$2246='Analítico Cp.'!$B87),-('Diário 6º PA'!$Q$5:$Q$2246=G$1),('Diário 6º PA'!$F$5:$F$2246))
+SUMPRODUCT(-('Diário 7º PA'!$E$5:$E$2271='Analítico Cp.'!$B87),-('Diário 7º PA'!$Q$5:$Q$2271=G$1),('Diário 7º PA'!$F$5:$F$2271))
+SUMPRODUCT(-('Diário 8º PA'!$E$5:$E$2488='Analítico Cp.'!$B87),-('Diário 8º PA'!$Q$5:$Q$2488=G$1),('Diário 8º PA'!$F$5:$F$2488))
+SUMPRODUCT(-('Comp.'!$D$5:$D$313='Analítico Cp.'!$B87),-('Comp.'!$R$5:$R$313=G$1),('Comp.'!$E$5:$E$313))</f>
        <v>821.80000000000109</v>
      </c>
      <c r="H87" s="185">
        <f>SUMPRODUCT(-('Diário 5º PA'!$E$5:$E$2634='Analítico Cp.'!$B87),-('Diário 5º PA'!$Q$5:$Q$2634=H$1),('Diário 5º PA'!$F$5:$F$2634))
+SUMPRODUCT(-('Diário 6º PA'!$E$5:$E$2246='Analítico Cp.'!$B87),-('Diário 6º PA'!$Q$5:$Q$2246=H$1),('Diário 6º PA'!$F$5:$F$2246))
+SUMPRODUCT(-('Diário 7º PA'!$E$5:$E$2271='Analítico Cp.'!$B87),-('Diário 7º PA'!$Q$5:$Q$2271=H$1),('Diário 7º PA'!$F$5:$F$2271))
+SUMPRODUCT(-('Diário 8º PA'!$E$5:$E$2488='Analítico Cp.'!$B87),-('Diário 8º PA'!$Q$5:$Q$2488=H$1),('Diário 8º PA'!$F$5:$F$2488))
+SUMPRODUCT(-('Comp.'!$D$5:$D$313='Analítico Cp.'!$B87),-('Comp.'!$R$5:$R$313=H$1),('Comp.'!$E$5:$E$313))</f>
        <v>1041.250000000002</v>
      </c>
      <c r="I87" s="185">
        <f>SUMPRODUCT(-('Diário 5º PA'!$E$5:$E$2634='Analítico Cp.'!$B87),-('Diário 5º PA'!$Q$5:$Q$2634=I$1),('Diário 5º PA'!$F$5:$F$2634))
+SUMPRODUCT(-('Diário 6º PA'!$E$5:$E$2246='Analítico Cp.'!$B87),-('Diário 6º PA'!$Q$5:$Q$2246=I$1),('Diário 6º PA'!$F$5:$F$2246))
+SUMPRODUCT(-('Diário 7º PA'!$E$5:$E$2271='Analítico Cp.'!$B87),-('Diário 7º PA'!$Q$5:$Q$2271=I$1),('Diário 7º PA'!$F$5:$F$2271))
+SUMPRODUCT(-('Diário 8º PA'!$E$5:$E$2488='Analítico Cp.'!$B87),-('Diário 8º PA'!$Q$5:$Q$2488=I$1),('Diário 8º PA'!$F$5:$F$2488))
+SUMPRODUCT(-('Comp.'!$D$5:$D$313='Analítico Cp.'!$B87),-('Comp.'!$R$5:$R$313=I$1),('Comp.'!$E$5:$E$313))</f>
        <v>1083.0500000000022</v>
      </c>
      <c r="J87" s="185">
        <f>SUMPRODUCT(-('Diário 5º PA'!$E$5:$E$2634='Analítico Cp.'!$B87),-('Diário 5º PA'!$Q$5:$Q$2634=J$1),('Diário 5º PA'!$F$5:$F$2634))
+SUMPRODUCT(-('Diário 6º PA'!$E$5:$E$2246='Analítico Cp.'!$B87),-('Diário 6º PA'!$Q$5:$Q$2246=J$1),('Diário 6º PA'!$F$5:$F$2246))
+SUMPRODUCT(-('Diário 7º PA'!$E$5:$E$2271='Analítico Cp.'!$B87),-('Diário 7º PA'!$Q$5:$Q$2271=J$1),('Diário 7º PA'!$F$5:$F$2271))
+SUMPRODUCT(-('Diário 8º PA'!$E$5:$E$2488='Analítico Cp.'!$B87),-('Diário 8º PA'!$Q$5:$Q$2488=J$1),('Diário 8º PA'!$F$5:$F$2488))
+SUMPRODUCT(-('Comp.'!$D$5:$D$313='Analítico Cp.'!$B87),-('Comp.'!$R$5:$R$313=J$1),('Comp.'!$E$5:$E$313))</f>
        <v>1009.9000000000019</v>
      </c>
      <c r="K87" s="185">
        <f>SUMPRODUCT(-('Diário 5º PA'!$E$5:$E$2634='Analítico Cp.'!$B87),-('Diário 5º PA'!$Q$5:$Q$2634=K$1),('Diário 5º PA'!$F$5:$F$2634))
+SUMPRODUCT(-('Diário 6º PA'!$E$5:$E$2246='Analítico Cp.'!$B87),-('Diário 6º PA'!$Q$5:$Q$2246=K$1),('Diário 6º PA'!$F$5:$F$2246))
+SUMPRODUCT(-('Diário 7º PA'!$E$5:$E$2271='Analítico Cp.'!$B87),-('Diário 7º PA'!$Q$5:$Q$2271=K$1),('Diário 7º PA'!$F$5:$F$2271))
+SUMPRODUCT(-('Diário 8º PA'!$E$5:$E$2488='Analítico Cp.'!$B87),-('Diário 8º PA'!$Q$5:$Q$2488=K$1),('Diário 8º PA'!$F$5:$F$2488))
+SUMPRODUCT(-('Comp.'!$D$5:$D$313='Analítico Cp.'!$B87),-('Comp.'!$R$5:$R$313=K$1),('Comp.'!$E$5:$E$313))</f>
        <v>1062.1500000000019</v>
      </c>
      <c r="L87" s="185">
        <f>SUMPRODUCT(-('Diário 5º PA'!$E$5:$E$2634='Analítico Cp.'!$B87),-('Diário 5º PA'!$Q$5:$Q$2634=L$1),('Diário 5º PA'!$F$5:$F$2634))
+SUMPRODUCT(-('Diário 6º PA'!$E$5:$E$2246='Analítico Cp.'!$B87),-('Diário 6º PA'!$Q$5:$Q$2246=L$1),('Diário 6º PA'!$F$5:$F$2246))
+SUMPRODUCT(-('Diário 7º PA'!$E$5:$E$2271='Analítico Cp.'!$B87),-('Diário 7º PA'!$Q$5:$Q$2271=L$1),('Diário 7º PA'!$F$5:$F$2271))
+SUMPRODUCT(-('Diário 8º PA'!$E$5:$E$2488='Analítico Cp.'!$B87),-('Diário 8º PA'!$Q$5:$Q$2488=L$1),('Diário 8º PA'!$F$5:$F$2488))
+SUMPRODUCT(-('Comp.'!$D$5:$D$313='Analítico Cp.'!$B87),-('Comp.'!$R$5:$R$313=L$1),('Comp.'!$E$5:$E$313))</f>
        <v>1323.4000000000033</v>
      </c>
      <c r="M87" s="185">
        <f>SUMPRODUCT(-('Diário 5º PA'!$E$5:$E$2634='Analítico Cp.'!$B87),-('Diário 5º PA'!$Q$5:$Q$2634=M$1),('Diário 5º PA'!$F$5:$F$2634))
+SUMPRODUCT(-('Diário 6º PA'!$E$5:$E$2246='Analítico Cp.'!$B87),-('Diário 6º PA'!$Q$5:$Q$2246=M$1),('Diário 6º PA'!$F$5:$F$2246))
+SUMPRODUCT(-('Diário 7º PA'!$E$5:$E$2271='Analítico Cp.'!$B87),-('Diário 7º PA'!$Q$5:$Q$2271=M$1),('Diário 7º PA'!$F$5:$F$2271))
+SUMPRODUCT(-('Diário 8º PA'!$E$5:$E$2488='Analítico Cp.'!$B87),-('Diário 8º PA'!$Q$5:$Q$2488=M$1),('Diário 8º PA'!$F$5:$F$2488))
+SUMPRODUCT(-('Comp.'!$D$5:$D$313='Analítico Cp.'!$B87),-('Comp.'!$R$5:$R$313=M$1),('Comp.'!$E$5:$E$313))</f>
        <v>1762.300000000005</v>
      </c>
      <c r="N87" s="185">
        <f>SUMPRODUCT(-('Diário 5º PA'!$E$5:$E$2634='Analítico Cp.'!$B87),-('Diário 5º PA'!$Q$5:$Q$2634=N$1),('Diário 5º PA'!$F$5:$F$2634))
+SUMPRODUCT(-('Diário 6º PA'!$E$5:$E$2246='Analítico Cp.'!$B87),-('Diário 6º PA'!$Q$5:$Q$2246=N$1),('Diário 6º PA'!$F$5:$F$2246))
+SUMPRODUCT(-('Diário 7º PA'!$E$5:$E$2271='Analítico Cp.'!$B87),-('Diário 7º PA'!$Q$5:$Q$2271=N$1),('Diário 7º PA'!$F$5:$F$2271))
+SUMPRODUCT(-('Diário 8º PA'!$E$5:$E$2488='Analítico Cp.'!$B87),-('Diário 8º PA'!$Q$5:$Q$2488=N$1),('Diário 8º PA'!$F$5:$F$2488))
+SUMPRODUCT(-('Comp.'!$D$5:$D$313='Analítico Cp.'!$B87),-('Comp.'!$R$5:$R$313=N$1),('Comp.'!$E$5:$E$313))</f>
        <v>1333.8500000000029</v>
      </c>
      <c r="O87" s="186">
        <f t="shared" si="16"/>
        <v>12609.950000000023</v>
      </c>
      <c r="P87" s="187">
        <f t="shared" si="17"/>
        <v>1.3006678891585338E-3</v>
      </c>
      <c r="Q87" s="34"/>
      <c r="R87" s="34"/>
      <c r="S87" s="34"/>
      <c r="T87" s="34"/>
      <c r="U87" s="34"/>
      <c r="V87" s="34"/>
      <c r="W87" s="34"/>
      <c r="X87" s="34"/>
      <c r="Y87" s="34"/>
      <c r="Z87" s="34"/>
    </row>
    <row r="88" spans="1:26" ht="23.25" customHeight="1" x14ac:dyDescent="0.2">
      <c r="A88" s="203" t="s">
        <v>273</v>
      </c>
      <c r="B88" s="72" t="s">
        <v>274</v>
      </c>
      <c r="C88" s="185">
        <f>SUMPRODUCT(-('Diário 5º PA'!$E$5:$E$2634='Analítico Cp.'!$B88),-('Diário 5º PA'!$Q$5:$Q$2634=C$1),('Diário 5º PA'!$F$5:$F$2634))
+SUMPRODUCT(-('Diário 6º PA'!$E$5:$E$2246='Analítico Cp.'!$B88),-('Diário 6º PA'!$Q$5:$Q$2246=C$1),('Diário 6º PA'!$F$5:$F$2246))
+SUMPRODUCT(-('Diário 7º PA'!$E$5:$E$2271='Analítico Cp.'!$B88),-('Diário 7º PA'!$Q$5:$Q$2271=C$1),('Diário 7º PA'!$F$5:$F$2271))
+SUMPRODUCT(-('Diário 8º PA'!$E$5:$E$2488='Analítico Cp.'!$B88),-('Diário 8º PA'!$Q$5:$Q$2488=C$1),('Diário 8º PA'!$F$5:$F$2488))
+SUMPRODUCT(-('Comp.'!$D$5:$D$313='Analítico Cp.'!$B88),-('Comp.'!$R$5:$R$313=C$1),('Comp.'!$E$5:$E$313))</f>
        <v>0</v>
      </c>
      <c r="D88" s="185">
        <f>SUMPRODUCT(-('Diário 5º PA'!$E$5:$E$2634='Analítico Cp.'!$B88),-('Diário 5º PA'!$Q$5:$Q$2634=D$1),('Diário 5º PA'!$F$5:$F$2634))
+SUMPRODUCT(-('Diário 6º PA'!$E$5:$E$2246='Analítico Cp.'!$B88),-('Diário 6º PA'!$Q$5:$Q$2246=D$1),('Diário 6º PA'!$F$5:$F$2246))
+SUMPRODUCT(-('Diário 7º PA'!$E$5:$E$2271='Analítico Cp.'!$B88),-('Diário 7º PA'!$Q$5:$Q$2271=D$1),('Diário 7º PA'!$F$5:$F$2271))
+SUMPRODUCT(-('Diário 8º PA'!$E$5:$E$2488='Analítico Cp.'!$B88),-('Diário 8º PA'!$Q$5:$Q$2488=D$1),('Diário 8º PA'!$F$5:$F$2488))
+SUMPRODUCT(-('Comp.'!$D$5:$D$313='Analítico Cp.'!$B88),-('Comp.'!$R$5:$R$313=D$1),('Comp.'!$E$5:$E$313))</f>
        <v>0</v>
      </c>
      <c r="E88" s="185">
        <f>SUMPRODUCT(-('Diário 5º PA'!$E$5:$E$2634='Analítico Cp.'!$B88),-('Diário 5º PA'!$Q$5:$Q$2634=E$1),('Diário 5º PA'!$F$5:$F$2634))
+SUMPRODUCT(-('Diário 6º PA'!$E$5:$E$2246='Analítico Cp.'!$B88),-('Diário 6º PA'!$Q$5:$Q$2246=E$1),('Diário 6º PA'!$F$5:$F$2246))
+SUMPRODUCT(-('Diário 7º PA'!$E$5:$E$2271='Analítico Cp.'!$B88),-('Diário 7º PA'!$Q$5:$Q$2271=E$1),('Diário 7º PA'!$F$5:$F$2271))
+SUMPRODUCT(-('Diário 8º PA'!$E$5:$E$2488='Analítico Cp.'!$B88),-('Diário 8º PA'!$Q$5:$Q$2488=E$1),('Diário 8º PA'!$F$5:$F$2488))
+SUMPRODUCT(-('Comp.'!$D$5:$D$313='Analítico Cp.'!$B88),-('Comp.'!$R$5:$R$313=E$1),('Comp.'!$E$5:$E$313))</f>
        <v>0</v>
      </c>
      <c r="F88" s="185">
        <f>SUMPRODUCT(-('Diário 5º PA'!$E$5:$E$2634='Analítico Cp.'!$B88),-('Diário 5º PA'!$Q$5:$Q$2634=F$1),('Diário 5º PA'!$F$5:$F$2634))
+SUMPRODUCT(-('Diário 6º PA'!$E$5:$E$2246='Analítico Cp.'!$B88),-('Diário 6º PA'!$Q$5:$Q$2246=F$1),('Diário 6º PA'!$F$5:$F$2246))
+SUMPRODUCT(-('Diário 7º PA'!$E$5:$E$2271='Analítico Cp.'!$B88),-('Diário 7º PA'!$Q$5:$Q$2271=F$1),('Diário 7º PA'!$F$5:$F$2271))
+SUMPRODUCT(-('Diário 8º PA'!$E$5:$E$2488='Analítico Cp.'!$B88),-('Diário 8º PA'!$Q$5:$Q$2488=F$1),('Diário 8º PA'!$F$5:$F$2488))
+SUMPRODUCT(-('Comp.'!$D$5:$D$313='Analítico Cp.'!$B88),-('Comp.'!$R$5:$R$313=F$1),('Comp.'!$E$5:$E$313))</f>
        <v>0</v>
      </c>
      <c r="G88" s="185">
        <f>SUMPRODUCT(-('Diário 5º PA'!$E$5:$E$2634='Analítico Cp.'!$B88),-('Diário 5º PA'!$Q$5:$Q$2634=G$1),('Diário 5º PA'!$F$5:$F$2634))
+SUMPRODUCT(-('Diário 6º PA'!$E$5:$E$2246='Analítico Cp.'!$B88),-('Diário 6º PA'!$Q$5:$Q$2246=G$1),('Diário 6º PA'!$F$5:$F$2246))
+SUMPRODUCT(-('Diário 7º PA'!$E$5:$E$2271='Analítico Cp.'!$B88),-('Diário 7º PA'!$Q$5:$Q$2271=G$1),('Diário 7º PA'!$F$5:$F$2271))
+SUMPRODUCT(-('Diário 8º PA'!$E$5:$E$2488='Analítico Cp.'!$B88),-('Diário 8º PA'!$Q$5:$Q$2488=G$1),('Diário 8º PA'!$F$5:$F$2488))
+SUMPRODUCT(-('Comp.'!$D$5:$D$313='Analítico Cp.'!$B88),-('Comp.'!$R$5:$R$313=G$1),('Comp.'!$E$5:$E$313))</f>
        <v>0</v>
      </c>
      <c r="H88" s="185">
        <f>SUMPRODUCT(-('Diário 5º PA'!$E$5:$E$2634='Analítico Cp.'!$B88),-('Diário 5º PA'!$Q$5:$Q$2634=H$1),('Diário 5º PA'!$F$5:$F$2634))
+SUMPRODUCT(-('Diário 6º PA'!$E$5:$E$2246='Analítico Cp.'!$B88),-('Diário 6º PA'!$Q$5:$Q$2246=H$1),('Diário 6º PA'!$F$5:$F$2246))
+SUMPRODUCT(-('Diário 7º PA'!$E$5:$E$2271='Analítico Cp.'!$B88),-('Diário 7º PA'!$Q$5:$Q$2271=H$1),('Diário 7º PA'!$F$5:$F$2271))
+SUMPRODUCT(-('Diário 8º PA'!$E$5:$E$2488='Analítico Cp.'!$B88),-('Diário 8º PA'!$Q$5:$Q$2488=H$1),('Diário 8º PA'!$F$5:$F$2488))
+SUMPRODUCT(-('Comp.'!$D$5:$D$313='Analítico Cp.'!$B88),-('Comp.'!$R$5:$R$313=H$1),('Comp.'!$E$5:$E$313))</f>
        <v>0</v>
      </c>
      <c r="I88" s="185">
        <f>SUMPRODUCT(-('Diário 5º PA'!$E$5:$E$2634='Analítico Cp.'!$B88),-('Diário 5º PA'!$Q$5:$Q$2634=I$1),('Diário 5º PA'!$F$5:$F$2634))
+SUMPRODUCT(-('Diário 6º PA'!$E$5:$E$2246='Analítico Cp.'!$B88),-('Diário 6º PA'!$Q$5:$Q$2246=I$1),('Diário 6º PA'!$F$5:$F$2246))
+SUMPRODUCT(-('Diário 7º PA'!$E$5:$E$2271='Analítico Cp.'!$B88),-('Diário 7º PA'!$Q$5:$Q$2271=I$1),('Diário 7º PA'!$F$5:$F$2271))
+SUMPRODUCT(-('Diário 8º PA'!$E$5:$E$2488='Analítico Cp.'!$B88),-('Diário 8º PA'!$Q$5:$Q$2488=I$1),('Diário 8º PA'!$F$5:$F$2488))
+SUMPRODUCT(-('Comp.'!$D$5:$D$313='Analítico Cp.'!$B88),-('Comp.'!$R$5:$R$313=I$1),('Comp.'!$E$5:$E$313))</f>
        <v>0</v>
      </c>
      <c r="J88" s="185">
        <f>SUMPRODUCT(-('Diário 5º PA'!$E$5:$E$2634='Analítico Cp.'!$B88),-('Diário 5º PA'!$Q$5:$Q$2634=J$1),('Diário 5º PA'!$F$5:$F$2634))
+SUMPRODUCT(-('Diário 6º PA'!$E$5:$E$2246='Analítico Cp.'!$B88),-('Diário 6º PA'!$Q$5:$Q$2246=J$1),('Diário 6º PA'!$F$5:$F$2246))
+SUMPRODUCT(-('Diário 7º PA'!$E$5:$E$2271='Analítico Cp.'!$B88),-('Diário 7º PA'!$Q$5:$Q$2271=J$1),('Diário 7º PA'!$F$5:$F$2271))
+SUMPRODUCT(-('Diário 8º PA'!$E$5:$E$2488='Analítico Cp.'!$B88),-('Diário 8º PA'!$Q$5:$Q$2488=J$1),('Diário 8º PA'!$F$5:$F$2488))
+SUMPRODUCT(-('Comp.'!$D$5:$D$313='Analítico Cp.'!$B88),-('Comp.'!$R$5:$R$313=J$1),('Comp.'!$E$5:$E$313))</f>
        <v>0</v>
      </c>
      <c r="K88" s="185">
        <f>SUMPRODUCT(-('Diário 5º PA'!$E$5:$E$2634='Analítico Cp.'!$B88),-('Diário 5º PA'!$Q$5:$Q$2634=K$1),('Diário 5º PA'!$F$5:$F$2634))
+SUMPRODUCT(-('Diário 6º PA'!$E$5:$E$2246='Analítico Cp.'!$B88),-('Diário 6º PA'!$Q$5:$Q$2246=K$1),('Diário 6º PA'!$F$5:$F$2246))
+SUMPRODUCT(-('Diário 7º PA'!$E$5:$E$2271='Analítico Cp.'!$B88),-('Diário 7º PA'!$Q$5:$Q$2271=K$1),('Diário 7º PA'!$F$5:$F$2271))
+SUMPRODUCT(-('Diário 8º PA'!$E$5:$E$2488='Analítico Cp.'!$B88),-('Diário 8º PA'!$Q$5:$Q$2488=K$1),('Diário 8º PA'!$F$5:$F$2488))
+SUMPRODUCT(-('Comp.'!$D$5:$D$313='Analítico Cp.'!$B88),-('Comp.'!$R$5:$R$313=K$1),('Comp.'!$E$5:$E$313))</f>
        <v>0</v>
      </c>
      <c r="L88" s="185">
        <f>SUMPRODUCT(-('Diário 5º PA'!$E$5:$E$2634='Analítico Cp.'!$B88),-('Diário 5º PA'!$Q$5:$Q$2634=L$1),('Diário 5º PA'!$F$5:$F$2634))
+SUMPRODUCT(-('Diário 6º PA'!$E$5:$E$2246='Analítico Cp.'!$B88),-('Diário 6º PA'!$Q$5:$Q$2246=L$1),('Diário 6º PA'!$F$5:$F$2246))
+SUMPRODUCT(-('Diário 7º PA'!$E$5:$E$2271='Analítico Cp.'!$B88),-('Diário 7º PA'!$Q$5:$Q$2271=L$1),('Diário 7º PA'!$F$5:$F$2271))
+SUMPRODUCT(-('Diário 8º PA'!$E$5:$E$2488='Analítico Cp.'!$B88),-('Diário 8º PA'!$Q$5:$Q$2488=L$1),('Diário 8º PA'!$F$5:$F$2488))
+SUMPRODUCT(-('Comp.'!$D$5:$D$313='Analítico Cp.'!$B88),-('Comp.'!$R$5:$R$313=L$1),('Comp.'!$E$5:$E$313))</f>
        <v>0</v>
      </c>
      <c r="M88" s="185">
        <f>SUMPRODUCT(-('Diário 5º PA'!$E$5:$E$2634='Analítico Cp.'!$B88),-('Diário 5º PA'!$Q$5:$Q$2634=M$1),('Diário 5º PA'!$F$5:$F$2634))
+SUMPRODUCT(-('Diário 6º PA'!$E$5:$E$2246='Analítico Cp.'!$B88),-('Diário 6º PA'!$Q$5:$Q$2246=M$1),('Diário 6º PA'!$F$5:$F$2246))
+SUMPRODUCT(-('Diário 7º PA'!$E$5:$E$2271='Analítico Cp.'!$B88),-('Diário 7º PA'!$Q$5:$Q$2271=M$1),('Diário 7º PA'!$F$5:$F$2271))
+SUMPRODUCT(-('Diário 8º PA'!$E$5:$E$2488='Analítico Cp.'!$B88),-('Diário 8º PA'!$Q$5:$Q$2488=M$1),('Diário 8º PA'!$F$5:$F$2488))
+SUMPRODUCT(-('Comp.'!$D$5:$D$313='Analítico Cp.'!$B88),-('Comp.'!$R$5:$R$313=M$1),('Comp.'!$E$5:$E$313))</f>
        <v>0</v>
      </c>
      <c r="N88" s="185">
        <f>SUMPRODUCT(-('Diário 5º PA'!$E$5:$E$2634='Analítico Cp.'!$B88),-('Diário 5º PA'!$Q$5:$Q$2634=N$1),('Diário 5º PA'!$F$5:$F$2634))
+SUMPRODUCT(-('Diário 6º PA'!$E$5:$E$2246='Analítico Cp.'!$B88),-('Diário 6º PA'!$Q$5:$Q$2246=N$1),('Diário 6º PA'!$F$5:$F$2246))
+SUMPRODUCT(-('Diário 7º PA'!$E$5:$E$2271='Analítico Cp.'!$B88),-('Diário 7º PA'!$Q$5:$Q$2271=N$1),('Diário 7º PA'!$F$5:$F$2271))
+SUMPRODUCT(-('Diário 8º PA'!$E$5:$E$2488='Analítico Cp.'!$B88),-('Diário 8º PA'!$Q$5:$Q$2488=N$1),('Diário 8º PA'!$F$5:$F$2488))
+SUMPRODUCT(-('Comp.'!$D$5:$D$313='Analítico Cp.'!$B88),-('Comp.'!$R$5:$R$313=N$1),('Comp.'!$E$5:$E$313))</f>
        <v>0</v>
      </c>
      <c r="O88" s="186">
        <f t="shared" si="16"/>
        <v>0</v>
      </c>
      <c r="P88" s="187">
        <f t="shared" si="17"/>
        <v>0</v>
      </c>
      <c r="Q88" s="34"/>
      <c r="R88" s="34"/>
      <c r="S88" s="34"/>
      <c r="T88" s="34"/>
      <c r="U88" s="34"/>
      <c r="V88" s="34"/>
      <c r="W88" s="34"/>
      <c r="X88" s="34"/>
      <c r="Y88" s="34"/>
      <c r="Z88" s="34"/>
    </row>
    <row r="89" spans="1:26" ht="23.25" customHeight="1" x14ac:dyDescent="0.2">
      <c r="A89" s="203" t="s">
        <v>275</v>
      </c>
      <c r="B89" s="72" t="s">
        <v>276</v>
      </c>
      <c r="C89" s="185">
        <f>SUMPRODUCT(-('Diário 5º PA'!$E$5:$E$2634='Analítico Cp.'!$B89),-('Diário 5º PA'!$Q$5:$Q$2634=C$1),('Diário 5º PA'!$F$5:$F$2634))
+SUMPRODUCT(-('Diário 6º PA'!$E$5:$E$2246='Analítico Cp.'!$B89),-('Diário 6º PA'!$Q$5:$Q$2246=C$1),('Diário 6º PA'!$F$5:$F$2246))
+SUMPRODUCT(-('Diário 7º PA'!$E$5:$E$2271='Analítico Cp.'!$B89),-('Diário 7º PA'!$Q$5:$Q$2271=C$1),('Diário 7º PA'!$F$5:$F$2271))
+SUMPRODUCT(-('Diário 8º PA'!$E$5:$E$2488='Analítico Cp.'!$B89),-('Diário 8º PA'!$Q$5:$Q$2488=C$1),('Diário 8º PA'!$F$5:$F$2488))
+SUMPRODUCT(-('Comp.'!$D$5:$D$313='Analítico Cp.'!$B89),-('Comp.'!$R$5:$R$313=C$1),('Comp.'!$E$5:$E$313))</f>
        <v>23.33</v>
      </c>
      <c r="D89" s="185">
        <f>SUMPRODUCT(-('Diário 5º PA'!$E$5:$E$2634='Analítico Cp.'!$B89),-('Diário 5º PA'!$Q$5:$Q$2634=D$1),('Diário 5º PA'!$F$5:$F$2634))
+SUMPRODUCT(-('Diário 6º PA'!$E$5:$E$2246='Analítico Cp.'!$B89),-('Diário 6º PA'!$Q$5:$Q$2246=D$1),('Diário 6º PA'!$F$5:$F$2246))
+SUMPRODUCT(-('Diário 7º PA'!$E$5:$E$2271='Analítico Cp.'!$B89),-('Diário 7º PA'!$Q$5:$Q$2271=D$1),('Diário 7º PA'!$F$5:$F$2271))
+SUMPRODUCT(-('Diário 8º PA'!$E$5:$E$2488='Analítico Cp.'!$B89),-('Diário 8º PA'!$Q$5:$Q$2488=D$1),('Diário 8º PA'!$F$5:$F$2488))
+SUMPRODUCT(-('Comp.'!$D$5:$D$313='Analítico Cp.'!$B89),-('Comp.'!$R$5:$R$313=D$1),('Comp.'!$E$5:$E$313))</f>
        <v>12.06</v>
      </c>
      <c r="E89" s="185">
        <f>SUMPRODUCT(-('Diário 5º PA'!$E$5:$E$2634='Analítico Cp.'!$B89),-('Diário 5º PA'!$Q$5:$Q$2634=E$1),('Diário 5º PA'!$F$5:$F$2634))
+SUMPRODUCT(-('Diário 6º PA'!$E$5:$E$2246='Analítico Cp.'!$B89),-('Diário 6º PA'!$Q$5:$Q$2246=E$1),('Diário 6º PA'!$F$5:$F$2246))
+SUMPRODUCT(-('Diário 7º PA'!$E$5:$E$2271='Analítico Cp.'!$B89),-('Diário 7º PA'!$Q$5:$Q$2271=E$1),('Diário 7º PA'!$F$5:$F$2271))
+SUMPRODUCT(-('Diário 8º PA'!$E$5:$E$2488='Analítico Cp.'!$B89),-('Diário 8º PA'!$Q$5:$Q$2488=E$1),('Diário 8º PA'!$F$5:$F$2488))
+SUMPRODUCT(-('Comp.'!$D$5:$D$313='Analítico Cp.'!$B89),-('Comp.'!$R$5:$R$313=E$1),('Comp.'!$E$5:$E$313))</f>
        <v>15.89</v>
      </c>
      <c r="F89" s="185">
        <f>SUMPRODUCT(-('Diário 5º PA'!$E$5:$E$2634='Analítico Cp.'!$B89),-('Diário 5º PA'!$Q$5:$Q$2634=F$1),('Diário 5º PA'!$F$5:$F$2634))
+SUMPRODUCT(-('Diário 6º PA'!$E$5:$E$2246='Analítico Cp.'!$B89),-('Diário 6º PA'!$Q$5:$Q$2246=F$1),('Diário 6º PA'!$F$5:$F$2246))
+SUMPRODUCT(-('Diário 7º PA'!$E$5:$E$2271='Analítico Cp.'!$B89),-('Diário 7º PA'!$Q$5:$Q$2271=F$1),('Diário 7º PA'!$F$5:$F$2271))
+SUMPRODUCT(-('Diário 8º PA'!$E$5:$E$2488='Analítico Cp.'!$B89),-('Diário 8º PA'!$Q$5:$Q$2488=F$1),('Diário 8º PA'!$F$5:$F$2488))
+SUMPRODUCT(-('Comp.'!$D$5:$D$313='Analítico Cp.'!$B89),-('Comp.'!$R$5:$R$313=F$1),('Comp.'!$E$5:$E$313))</f>
        <v>75.16</v>
      </c>
      <c r="G89" s="185">
        <f>SUMPRODUCT(-('Diário 5º PA'!$E$5:$E$2634='Analítico Cp.'!$B89),-('Diário 5º PA'!$Q$5:$Q$2634=G$1),('Diário 5º PA'!$F$5:$F$2634))
+SUMPRODUCT(-('Diário 6º PA'!$E$5:$E$2246='Analítico Cp.'!$B89),-('Diário 6º PA'!$Q$5:$Q$2246=G$1),('Diário 6º PA'!$F$5:$F$2246))
+SUMPRODUCT(-('Diário 7º PA'!$E$5:$E$2271='Analítico Cp.'!$B89),-('Diário 7º PA'!$Q$5:$Q$2271=G$1),('Diário 7º PA'!$F$5:$F$2271))
+SUMPRODUCT(-('Diário 8º PA'!$E$5:$E$2488='Analítico Cp.'!$B89),-('Diário 8º PA'!$Q$5:$Q$2488=G$1),('Diário 8º PA'!$F$5:$F$2488))
+SUMPRODUCT(-('Comp.'!$D$5:$D$313='Analítico Cp.'!$B89),-('Comp.'!$R$5:$R$313=G$1),('Comp.'!$E$5:$E$313))</f>
        <v>387.90999999999997</v>
      </c>
      <c r="H89" s="185">
        <f>SUMPRODUCT(-('Diário 5º PA'!$E$5:$E$2634='Analítico Cp.'!$B89),-('Diário 5º PA'!$Q$5:$Q$2634=H$1),('Diário 5º PA'!$F$5:$F$2634))
+SUMPRODUCT(-('Diário 6º PA'!$E$5:$E$2246='Analítico Cp.'!$B89),-('Diário 6º PA'!$Q$5:$Q$2246=H$1),('Diário 6º PA'!$F$5:$F$2246))
+SUMPRODUCT(-('Diário 7º PA'!$E$5:$E$2271='Analítico Cp.'!$B89),-('Diário 7º PA'!$Q$5:$Q$2271=H$1),('Diário 7º PA'!$F$5:$F$2271))
+SUMPRODUCT(-('Diário 8º PA'!$E$5:$E$2488='Analítico Cp.'!$B89),-('Diário 8º PA'!$Q$5:$Q$2488=H$1),('Diário 8º PA'!$F$5:$F$2488))
+SUMPRODUCT(-('Comp.'!$D$5:$D$313='Analítico Cp.'!$B89),-('Comp.'!$R$5:$R$313=H$1),('Comp.'!$E$5:$E$313))</f>
        <v>207.09</v>
      </c>
      <c r="I89" s="185">
        <f>SUMPRODUCT(-('Diário 5º PA'!$E$5:$E$2634='Analítico Cp.'!$B89),-('Diário 5º PA'!$Q$5:$Q$2634=I$1),('Diário 5º PA'!$F$5:$F$2634))
+SUMPRODUCT(-('Diário 6º PA'!$E$5:$E$2246='Analítico Cp.'!$B89),-('Diário 6º PA'!$Q$5:$Q$2246=I$1),('Diário 6º PA'!$F$5:$F$2246))
+SUMPRODUCT(-('Diário 7º PA'!$E$5:$E$2271='Analítico Cp.'!$B89),-('Diário 7º PA'!$Q$5:$Q$2271=I$1),('Diário 7º PA'!$F$5:$F$2271))
+SUMPRODUCT(-('Diário 8º PA'!$E$5:$E$2488='Analítico Cp.'!$B89),-('Diário 8º PA'!$Q$5:$Q$2488=I$1),('Diário 8º PA'!$F$5:$F$2488))
+SUMPRODUCT(-('Comp.'!$D$5:$D$313='Analítico Cp.'!$B89),-('Comp.'!$R$5:$R$313=I$1),('Comp.'!$E$5:$E$313))</f>
        <v>320.34000000000003</v>
      </c>
      <c r="J89" s="185">
        <f>SUMPRODUCT(-('Diário 5º PA'!$E$5:$E$2634='Analítico Cp.'!$B89),-('Diário 5º PA'!$Q$5:$Q$2634=J$1),('Diário 5º PA'!$F$5:$F$2634))
+SUMPRODUCT(-('Diário 6º PA'!$E$5:$E$2246='Analítico Cp.'!$B89),-('Diário 6º PA'!$Q$5:$Q$2246=J$1),('Diário 6º PA'!$F$5:$F$2246))
+SUMPRODUCT(-('Diário 7º PA'!$E$5:$E$2271='Analítico Cp.'!$B89),-('Diário 7º PA'!$Q$5:$Q$2271=J$1),('Diário 7º PA'!$F$5:$F$2271))
+SUMPRODUCT(-('Diário 8º PA'!$E$5:$E$2488='Analítico Cp.'!$B89),-('Diário 8º PA'!$Q$5:$Q$2488=J$1),('Diário 8º PA'!$F$5:$F$2488))
+SUMPRODUCT(-('Comp.'!$D$5:$D$313='Analítico Cp.'!$B89),-('Comp.'!$R$5:$R$313=J$1),('Comp.'!$E$5:$E$313))</f>
        <v>610.63</v>
      </c>
      <c r="K89" s="185">
        <f>SUMPRODUCT(-('Diário 5º PA'!$E$5:$E$2634='Analítico Cp.'!$B89),-('Diário 5º PA'!$Q$5:$Q$2634=K$1),('Diário 5º PA'!$F$5:$F$2634))
+SUMPRODUCT(-('Diário 6º PA'!$E$5:$E$2246='Analítico Cp.'!$B89),-('Diário 6º PA'!$Q$5:$Q$2246=K$1),('Diário 6º PA'!$F$5:$F$2246))
+SUMPRODUCT(-('Diário 7º PA'!$E$5:$E$2271='Analítico Cp.'!$B89),-('Diário 7º PA'!$Q$5:$Q$2271=K$1),('Diário 7º PA'!$F$5:$F$2271))
+SUMPRODUCT(-('Diário 8º PA'!$E$5:$E$2488='Analítico Cp.'!$B89),-('Diário 8º PA'!$Q$5:$Q$2488=K$1),('Diário 8º PA'!$F$5:$F$2488))
+SUMPRODUCT(-('Comp.'!$D$5:$D$313='Analítico Cp.'!$B89),-('Comp.'!$R$5:$R$313=K$1),('Comp.'!$E$5:$E$313))</f>
        <v>675.78</v>
      </c>
      <c r="L89" s="185">
        <f>SUMPRODUCT(-('Diário 5º PA'!$E$5:$E$2634='Analítico Cp.'!$B89),-('Diário 5º PA'!$Q$5:$Q$2634=L$1),('Diário 5º PA'!$F$5:$F$2634))
+SUMPRODUCT(-('Diário 6º PA'!$E$5:$E$2246='Analítico Cp.'!$B89),-('Diário 6º PA'!$Q$5:$Q$2246=L$1),('Diário 6º PA'!$F$5:$F$2246))
+SUMPRODUCT(-('Diário 7º PA'!$E$5:$E$2271='Analítico Cp.'!$B89),-('Diário 7º PA'!$Q$5:$Q$2271=L$1),('Diário 7º PA'!$F$5:$F$2271))
+SUMPRODUCT(-('Diário 8º PA'!$E$5:$E$2488='Analítico Cp.'!$B89),-('Diário 8º PA'!$Q$5:$Q$2488=L$1),('Diário 8º PA'!$F$5:$F$2488))
+SUMPRODUCT(-('Comp.'!$D$5:$D$313='Analítico Cp.'!$B89),-('Comp.'!$R$5:$R$313=L$1),('Comp.'!$E$5:$E$313))</f>
        <v>646.96</v>
      </c>
      <c r="M89" s="185">
        <f>SUMPRODUCT(-('Diário 5º PA'!$E$5:$E$2634='Analítico Cp.'!$B89),-('Diário 5º PA'!$Q$5:$Q$2634=M$1),('Diário 5º PA'!$F$5:$F$2634))
+SUMPRODUCT(-('Diário 6º PA'!$E$5:$E$2246='Analítico Cp.'!$B89),-('Diário 6º PA'!$Q$5:$Q$2246=M$1),('Diário 6º PA'!$F$5:$F$2246))
+SUMPRODUCT(-('Diário 7º PA'!$E$5:$E$2271='Analítico Cp.'!$B89),-('Diário 7º PA'!$Q$5:$Q$2271=M$1),('Diário 7º PA'!$F$5:$F$2271))
+SUMPRODUCT(-('Diário 8º PA'!$E$5:$E$2488='Analítico Cp.'!$B89),-('Diário 8º PA'!$Q$5:$Q$2488=M$1),('Diário 8º PA'!$F$5:$F$2488))
+SUMPRODUCT(-('Comp.'!$D$5:$D$313='Analítico Cp.'!$B89),-('Comp.'!$R$5:$R$313=M$1),('Comp.'!$E$5:$E$313))</f>
        <v>766.99</v>
      </c>
      <c r="N89" s="185">
        <f>SUMPRODUCT(-('Diário 5º PA'!$E$5:$E$2634='Analítico Cp.'!$B89),-('Diário 5º PA'!$Q$5:$Q$2634=N$1),('Diário 5º PA'!$F$5:$F$2634))
+SUMPRODUCT(-('Diário 6º PA'!$E$5:$E$2246='Analítico Cp.'!$B89),-('Diário 6º PA'!$Q$5:$Q$2246=N$1),('Diário 6º PA'!$F$5:$F$2246))
+SUMPRODUCT(-('Diário 7º PA'!$E$5:$E$2271='Analítico Cp.'!$B89),-('Diário 7º PA'!$Q$5:$Q$2271=N$1),('Diário 7º PA'!$F$5:$F$2271))
+SUMPRODUCT(-('Diário 8º PA'!$E$5:$E$2488='Analítico Cp.'!$B89),-('Diário 8º PA'!$Q$5:$Q$2488=N$1),('Diário 8º PA'!$F$5:$F$2488))
+SUMPRODUCT(-('Comp.'!$D$5:$D$313='Analítico Cp.'!$B89),-('Comp.'!$R$5:$R$313=N$1),('Comp.'!$E$5:$E$313))</f>
        <v>767.11</v>
      </c>
      <c r="O89" s="186">
        <f t="shared" si="16"/>
        <v>4509.2499999999991</v>
      </c>
      <c r="P89" s="187">
        <f t="shared" si="17"/>
        <v>4.6511181084683974E-4</v>
      </c>
      <c r="Q89" s="34"/>
      <c r="R89" s="34"/>
      <c r="S89" s="34"/>
      <c r="T89" s="34"/>
      <c r="U89" s="34"/>
      <c r="V89" s="34"/>
      <c r="W89" s="34"/>
      <c r="X89" s="34"/>
      <c r="Y89" s="34"/>
      <c r="Z89" s="34"/>
    </row>
    <row r="90" spans="1:26" ht="23.25" customHeight="1" x14ac:dyDescent="0.2">
      <c r="A90" s="203" t="s">
        <v>277</v>
      </c>
      <c r="B90" s="72" t="s">
        <v>278</v>
      </c>
      <c r="C90" s="185">
        <f>SUMPRODUCT(-('Diário 5º PA'!$E$5:$E$2634='Analítico Cp.'!$B90),-('Diário 5º PA'!$Q$5:$Q$2634=C$1),('Diário 5º PA'!$F$5:$F$2634))
+SUMPRODUCT(-('Diário 6º PA'!$E$5:$E$2246='Analítico Cp.'!$B90),-('Diário 6º PA'!$Q$5:$Q$2246=C$1),('Diário 6º PA'!$F$5:$F$2246))
+SUMPRODUCT(-('Diário 7º PA'!$E$5:$E$2271='Analítico Cp.'!$B90),-('Diário 7º PA'!$Q$5:$Q$2271=C$1),('Diário 7º PA'!$F$5:$F$2271))
+SUMPRODUCT(-('Diário 8º PA'!$E$5:$E$2488='Analítico Cp.'!$B90),-('Diário 8º PA'!$Q$5:$Q$2488=C$1),('Diário 8º PA'!$F$5:$F$2488))
+SUMPRODUCT(-('Comp.'!$D$5:$D$313='Analítico Cp.'!$B90),-('Comp.'!$R$5:$R$313=C$1),('Comp.'!$E$5:$E$313))</f>
        <v>20.47</v>
      </c>
      <c r="D90" s="185">
        <f>SUMPRODUCT(-('Diário 5º PA'!$E$5:$E$2634='Analítico Cp.'!$B90),-('Diário 5º PA'!$Q$5:$Q$2634=D$1),('Diário 5º PA'!$F$5:$F$2634))
+SUMPRODUCT(-('Diário 6º PA'!$E$5:$E$2246='Analítico Cp.'!$B90),-('Diário 6º PA'!$Q$5:$Q$2246=D$1),('Diário 6º PA'!$F$5:$F$2246))
+SUMPRODUCT(-('Diário 7º PA'!$E$5:$E$2271='Analítico Cp.'!$B90),-('Diário 7º PA'!$Q$5:$Q$2271=D$1),('Diário 7º PA'!$F$5:$F$2271))
+SUMPRODUCT(-('Diário 8º PA'!$E$5:$E$2488='Analítico Cp.'!$B90),-('Diário 8º PA'!$Q$5:$Q$2488=D$1),('Diário 8º PA'!$F$5:$F$2488))
+SUMPRODUCT(-('Comp.'!$D$5:$D$313='Analítico Cp.'!$B90),-('Comp.'!$R$5:$R$313=D$1),('Comp.'!$E$5:$E$313))</f>
        <v>24.95</v>
      </c>
      <c r="E90" s="185">
        <f>SUMPRODUCT(-('Diário 5º PA'!$E$5:$E$2634='Analítico Cp.'!$B90),-('Diário 5º PA'!$Q$5:$Q$2634=E$1),('Diário 5º PA'!$F$5:$F$2634))
+SUMPRODUCT(-('Diário 6º PA'!$E$5:$E$2246='Analítico Cp.'!$B90),-('Diário 6º PA'!$Q$5:$Q$2246=E$1),('Diário 6º PA'!$F$5:$F$2246))
+SUMPRODUCT(-('Diário 7º PA'!$E$5:$E$2271='Analítico Cp.'!$B90),-('Diário 7º PA'!$Q$5:$Q$2271=E$1),('Diário 7º PA'!$F$5:$F$2271))
+SUMPRODUCT(-('Diário 8º PA'!$E$5:$E$2488='Analítico Cp.'!$B90),-('Diário 8º PA'!$Q$5:$Q$2488=E$1),('Diário 8º PA'!$F$5:$F$2488))
+SUMPRODUCT(-('Comp.'!$D$5:$D$313='Analítico Cp.'!$B90),-('Comp.'!$R$5:$R$313=E$1),('Comp.'!$E$5:$E$313))</f>
        <v>3.1</v>
      </c>
      <c r="F90" s="185">
        <f>SUMPRODUCT(-('Diário 5º PA'!$E$5:$E$2634='Analítico Cp.'!$B90),-('Diário 5º PA'!$Q$5:$Q$2634=F$1),('Diário 5º PA'!$F$5:$F$2634))
+SUMPRODUCT(-('Diário 6º PA'!$E$5:$E$2246='Analítico Cp.'!$B90),-('Diário 6º PA'!$Q$5:$Q$2246=F$1),('Diário 6º PA'!$F$5:$F$2246))
+SUMPRODUCT(-('Diário 7º PA'!$E$5:$E$2271='Analítico Cp.'!$B90),-('Diário 7º PA'!$Q$5:$Q$2271=F$1),('Diário 7º PA'!$F$5:$F$2271))
+SUMPRODUCT(-('Diário 8º PA'!$E$5:$E$2488='Analítico Cp.'!$B90),-('Diário 8º PA'!$Q$5:$Q$2488=F$1),('Diário 8º PA'!$F$5:$F$2488))
+SUMPRODUCT(-('Comp.'!$D$5:$D$313='Analítico Cp.'!$B90),-('Comp.'!$R$5:$R$313=F$1),('Comp.'!$E$5:$E$313))</f>
        <v>58.28</v>
      </c>
      <c r="G90" s="185">
        <f>SUMPRODUCT(-('Diário 5º PA'!$E$5:$E$2634='Analítico Cp.'!$B90),-('Diário 5º PA'!$Q$5:$Q$2634=G$1),('Diário 5º PA'!$F$5:$F$2634))
+SUMPRODUCT(-('Diário 6º PA'!$E$5:$E$2246='Analítico Cp.'!$B90),-('Diário 6º PA'!$Q$5:$Q$2246=G$1),('Diário 6º PA'!$F$5:$F$2246))
+SUMPRODUCT(-('Diário 7º PA'!$E$5:$E$2271='Analítico Cp.'!$B90),-('Diário 7º PA'!$Q$5:$Q$2271=G$1),('Diário 7º PA'!$F$5:$F$2271))
+SUMPRODUCT(-('Diário 8º PA'!$E$5:$E$2488='Analítico Cp.'!$B90),-('Diário 8º PA'!$Q$5:$Q$2488=G$1),('Diário 8º PA'!$F$5:$F$2488))
+SUMPRODUCT(-('Comp.'!$D$5:$D$313='Analítico Cp.'!$B90),-('Comp.'!$R$5:$R$313=G$1),('Comp.'!$E$5:$E$313))</f>
        <v>4.28</v>
      </c>
      <c r="H90" s="185">
        <f>SUMPRODUCT(-('Diário 5º PA'!$E$5:$E$2634='Analítico Cp.'!$B90),-('Diário 5º PA'!$Q$5:$Q$2634=H$1),('Diário 5º PA'!$F$5:$F$2634))
+SUMPRODUCT(-('Diário 6º PA'!$E$5:$E$2246='Analítico Cp.'!$B90),-('Diário 6º PA'!$Q$5:$Q$2246=H$1),('Diário 6º PA'!$F$5:$F$2246))
+SUMPRODUCT(-('Diário 7º PA'!$E$5:$E$2271='Analítico Cp.'!$B90),-('Diário 7º PA'!$Q$5:$Q$2271=H$1),('Diário 7º PA'!$F$5:$F$2271))
+SUMPRODUCT(-('Diário 8º PA'!$E$5:$E$2488='Analítico Cp.'!$B90),-('Diário 8º PA'!$Q$5:$Q$2488=H$1),('Diário 8º PA'!$F$5:$F$2488))
+SUMPRODUCT(-('Comp.'!$D$5:$D$313='Analítico Cp.'!$B90),-('Comp.'!$R$5:$R$313=H$1),('Comp.'!$E$5:$E$313))</f>
        <v>0</v>
      </c>
      <c r="I90" s="185">
        <f>SUMPRODUCT(-('Diário 5º PA'!$E$5:$E$2634='Analítico Cp.'!$B90),-('Diário 5º PA'!$Q$5:$Q$2634=I$1),('Diário 5º PA'!$F$5:$F$2634))
+SUMPRODUCT(-('Diário 6º PA'!$E$5:$E$2246='Analítico Cp.'!$B90),-('Diário 6º PA'!$Q$5:$Q$2246=I$1),('Diário 6º PA'!$F$5:$F$2246))
+SUMPRODUCT(-('Diário 7º PA'!$E$5:$E$2271='Analítico Cp.'!$B90),-('Diário 7º PA'!$Q$5:$Q$2271=I$1),('Diário 7º PA'!$F$5:$F$2271))
+SUMPRODUCT(-('Diário 8º PA'!$E$5:$E$2488='Analítico Cp.'!$B90),-('Diário 8º PA'!$Q$5:$Q$2488=I$1),('Diário 8º PA'!$F$5:$F$2488))
+SUMPRODUCT(-('Comp.'!$D$5:$D$313='Analítico Cp.'!$B90),-('Comp.'!$R$5:$R$313=I$1),('Comp.'!$E$5:$E$313))</f>
        <v>0</v>
      </c>
      <c r="J90" s="185">
        <f>SUMPRODUCT(-('Diário 5º PA'!$E$5:$E$2634='Analítico Cp.'!$B90),-('Diário 5º PA'!$Q$5:$Q$2634=J$1),('Diário 5º PA'!$F$5:$F$2634))
+SUMPRODUCT(-('Diário 6º PA'!$E$5:$E$2246='Analítico Cp.'!$B90),-('Diário 6º PA'!$Q$5:$Q$2246=J$1),('Diário 6º PA'!$F$5:$F$2246))
+SUMPRODUCT(-('Diário 7º PA'!$E$5:$E$2271='Analítico Cp.'!$B90),-('Diário 7º PA'!$Q$5:$Q$2271=J$1),('Diário 7º PA'!$F$5:$F$2271))
+SUMPRODUCT(-('Diário 8º PA'!$E$5:$E$2488='Analítico Cp.'!$B90),-('Diário 8º PA'!$Q$5:$Q$2488=J$1),('Diário 8º PA'!$F$5:$F$2488))
+SUMPRODUCT(-('Comp.'!$D$5:$D$313='Analítico Cp.'!$B90),-('Comp.'!$R$5:$R$313=J$1),('Comp.'!$E$5:$E$313))</f>
        <v>0</v>
      </c>
      <c r="K90" s="185">
        <f>SUMPRODUCT(-('Diário 5º PA'!$E$5:$E$2634='Analítico Cp.'!$B90),-('Diário 5º PA'!$Q$5:$Q$2634=K$1),('Diário 5º PA'!$F$5:$F$2634))
+SUMPRODUCT(-('Diário 6º PA'!$E$5:$E$2246='Analítico Cp.'!$B90),-('Diário 6º PA'!$Q$5:$Q$2246=K$1),('Diário 6º PA'!$F$5:$F$2246))
+SUMPRODUCT(-('Diário 7º PA'!$E$5:$E$2271='Analítico Cp.'!$B90),-('Diário 7º PA'!$Q$5:$Q$2271=K$1),('Diário 7º PA'!$F$5:$F$2271))
+SUMPRODUCT(-('Diário 8º PA'!$E$5:$E$2488='Analítico Cp.'!$B90),-('Diário 8º PA'!$Q$5:$Q$2488=K$1),('Diário 8º PA'!$F$5:$F$2488))
+SUMPRODUCT(-('Comp.'!$D$5:$D$313='Analítico Cp.'!$B90),-('Comp.'!$R$5:$R$313=K$1),('Comp.'!$E$5:$E$313))</f>
        <v>0</v>
      </c>
      <c r="L90" s="185">
        <f>SUMPRODUCT(-('Diário 5º PA'!$E$5:$E$2634='Analítico Cp.'!$B90),-('Diário 5º PA'!$Q$5:$Q$2634=L$1),('Diário 5º PA'!$F$5:$F$2634))
+SUMPRODUCT(-('Diário 6º PA'!$E$5:$E$2246='Analítico Cp.'!$B90),-('Diário 6º PA'!$Q$5:$Q$2246=L$1),('Diário 6º PA'!$F$5:$F$2246))
+SUMPRODUCT(-('Diário 7º PA'!$E$5:$E$2271='Analítico Cp.'!$B90),-('Diário 7º PA'!$Q$5:$Q$2271=L$1),('Diário 7º PA'!$F$5:$F$2271))
+SUMPRODUCT(-('Diário 8º PA'!$E$5:$E$2488='Analítico Cp.'!$B90),-('Diário 8º PA'!$Q$5:$Q$2488=L$1),('Diário 8º PA'!$F$5:$F$2488))
+SUMPRODUCT(-('Comp.'!$D$5:$D$313='Analítico Cp.'!$B90),-('Comp.'!$R$5:$R$313=L$1),('Comp.'!$E$5:$E$313))</f>
        <v>0</v>
      </c>
      <c r="M90" s="185">
        <f>SUMPRODUCT(-('Diário 5º PA'!$E$5:$E$2634='Analítico Cp.'!$B90),-('Diário 5º PA'!$Q$5:$Q$2634=M$1),('Diário 5º PA'!$F$5:$F$2634))
+SUMPRODUCT(-('Diário 6º PA'!$E$5:$E$2246='Analítico Cp.'!$B90),-('Diário 6º PA'!$Q$5:$Q$2246=M$1),('Diário 6º PA'!$F$5:$F$2246))
+SUMPRODUCT(-('Diário 7º PA'!$E$5:$E$2271='Analítico Cp.'!$B90),-('Diário 7º PA'!$Q$5:$Q$2271=M$1),('Diário 7º PA'!$F$5:$F$2271))
+SUMPRODUCT(-('Diário 8º PA'!$E$5:$E$2488='Analítico Cp.'!$B90),-('Diário 8º PA'!$Q$5:$Q$2488=M$1),('Diário 8º PA'!$F$5:$F$2488))
+SUMPRODUCT(-('Comp.'!$D$5:$D$313='Analítico Cp.'!$B90),-('Comp.'!$R$5:$R$313=M$1),('Comp.'!$E$5:$E$313))</f>
        <v>0</v>
      </c>
      <c r="N90" s="185">
        <f>SUMPRODUCT(-('Diário 5º PA'!$E$5:$E$2634='Analítico Cp.'!$B90),-('Diário 5º PA'!$Q$5:$Q$2634=N$1),('Diário 5º PA'!$F$5:$F$2634))
+SUMPRODUCT(-('Diário 6º PA'!$E$5:$E$2246='Analítico Cp.'!$B90),-('Diário 6º PA'!$Q$5:$Q$2246=N$1),('Diário 6º PA'!$F$5:$F$2246))
+SUMPRODUCT(-('Diário 7º PA'!$E$5:$E$2271='Analítico Cp.'!$B90),-('Diário 7º PA'!$Q$5:$Q$2271=N$1),('Diário 7º PA'!$F$5:$F$2271))
+SUMPRODUCT(-('Diário 8º PA'!$E$5:$E$2488='Analítico Cp.'!$B90),-('Diário 8º PA'!$Q$5:$Q$2488=N$1),('Diário 8º PA'!$F$5:$F$2488))
+SUMPRODUCT(-('Comp.'!$D$5:$D$313='Analítico Cp.'!$B90),-('Comp.'!$R$5:$R$313=N$1),('Comp.'!$E$5:$E$313))</f>
        <v>0</v>
      </c>
      <c r="O90" s="186">
        <f t="shared" si="16"/>
        <v>111.08000000000001</v>
      </c>
      <c r="P90" s="187">
        <f t="shared" si="17"/>
        <v>1.1457475178547869E-5</v>
      </c>
      <c r="Q90" s="34"/>
      <c r="R90" s="34"/>
      <c r="S90" s="34"/>
      <c r="T90" s="34"/>
      <c r="U90" s="34"/>
      <c r="V90" s="34"/>
      <c r="W90" s="34"/>
      <c r="X90" s="34"/>
      <c r="Y90" s="34"/>
      <c r="Z90" s="34"/>
    </row>
    <row r="91" spans="1:26" ht="23.25" customHeight="1" x14ac:dyDescent="0.2">
      <c r="A91" s="203" t="s">
        <v>279</v>
      </c>
      <c r="B91" s="72" t="s">
        <v>280</v>
      </c>
      <c r="C91" s="185">
        <f>SUMPRODUCT(-('Diário 5º PA'!$E$5:$E$2634='Analítico Cp.'!$B91),-('Diário 5º PA'!$Q$5:$Q$2634=C$1),('Diário 5º PA'!$F$5:$F$2634))
+SUMPRODUCT(-('Diário 6º PA'!$E$5:$E$2246='Analítico Cp.'!$B91),-('Diário 6º PA'!$Q$5:$Q$2246=C$1),('Diário 6º PA'!$F$5:$F$2246))
+SUMPRODUCT(-('Diário 7º PA'!$E$5:$E$2271='Analítico Cp.'!$B91),-('Diário 7º PA'!$Q$5:$Q$2271=C$1),('Diário 7º PA'!$F$5:$F$2271))
+SUMPRODUCT(-('Diário 8º PA'!$E$5:$E$2488='Analítico Cp.'!$B91),-('Diário 8º PA'!$Q$5:$Q$2488=C$1),('Diário 8º PA'!$F$5:$F$2488))
+SUMPRODUCT(-('Comp.'!$D$5:$D$313='Analítico Cp.'!$B91),-('Comp.'!$R$5:$R$313=C$1),('Comp.'!$E$5:$E$313))</f>
        <v>119.22</v>
      </c>
      <c r="D91" s="185">
        <f>SUMPRODUCT(-('Diário 5º PA'!$E$5:$E$2634='Analítico Cp.'!$B91),-('Diário 5º PA'!$Q$5:$Q$2634=D$1),('Diário 5º PA'!$F$5:$F$2634))
+SUMPRODUCT(-('Diário 6º PA'!$E$5:$E$2246='Analítico Cp.'!$B91),-('Diário 6º PA'!$Q$5:$Q$2246=D$1),('Diário 6º PA'!$F$5:$F$2246))
+SUMPRODUCT(-('Diário 7º PA'!$E$5:$E$2271='Analítico Cp.'!$B91),-('Diário 7º PA'!$Q$5:$Q$2271=D$1),('Diário 7º PA'!$F$5:$F$2271))
+SUMPRODUCT(-('Diário 8º PA'!$E$5:$E$2488='Analítico Cp.'!$B91),-('Diário 8º PA'!$Q$5:$Q$2488=D$1),('Diário 8º PA'!$F$5:$F$2488))
+SUMPRODUCT(-('Comp.'!$D$5:$D$313='Analítico Cp.'!$B91),-('Comp.'!$R$5:$R$313=D$1),('Comp.'!$E$5:$E$313))</f>
        <v>44.94</v>
      </c>
      <c r="E91" s="185">
        <f>SUMPRODUCT(-('Diário 5º PA'!$E$5:$E$2634='Analítico Cp.'!$B91),-('Diário 5º PA'!$Q$5:$Q$2634=E$1),('Diário 5º PA'!$F$5:$F$2634))
+SUMPRODUCT(-('Diário 6º PA'!$E$5:$E$2246='Analítico Cp.'!$B91),-('Diário 6º PA'!$Q$5:$Q$2246=E$1),('Diário 6º PA'!$F$5:$F$2246))
+SUMPRODUCT(-('Diário 7º PA'!$E$5:$E$2271='Analítico Cp.'!$B91),-('Diário 7º PA'!$Q$5:$Q$2271=E$1),('Diário 7º PA'!$F$5:$F$2271))
+SUMPRODUCT(-('Diário 8º PA'!$E$5:$E$2488='Analítico Cp.'!$B91),-('Diário 8º PA'!$Q$5:$Q$2488=E$1),('Diário 8º PA'!$F$5:$F$2488))
+SUMPRODUCT(-('Comp.'!$D$5:$D$313='Analítico Cp.'!$B91),-('Comp.'!$R$5:$R$313=E$1),('Comp.'!$E$5:$E$313))</f>
        <v>87.11</v>
      </c>
      <c r="F91" s="185">
        <f>SUMPRODUCT(-('Diário 5º PA'!$E$5:$E$2634='Analítico Cp.'!$B91),-('Diário 5º PA'!$Q$5:$Q$2634=F$1),('Diário 5º PA'!$F$5:$F$2634))
+SUMPRODUCT(-('Diário 6º PA'!$E$5:$E$2246='Analítico Cp.'!$B91),-('Diário 6º PA'!$Q$5:$Q$2246=F$1),('Diário 6º PA'!$F$5:$F$2246))
+SUMPRODUCT(-('Diário 7º PA'!$E$5:$E$2271='Analítico Cp.'!$B91),-('Diário 7º PA'!$Q$5:$Q$2271=F$1),('Diário 7º PA'!$F$5:$F$2271))
+SUMPRODUCT(-('Diário 8º PA'!$E$5:$E$2488='Analítico Cp.'!$B91),-('Diário 8º PA'!$Q$5:$Q$2488=F$1),('Diário 8º PA'!$F$5:$F$2488))
+SUMPRODUCT(-('Comp.'!$D$5:$D$313='Analítico Cp.'!$B91),-('Comp.'!$R$5:$R$313=F$1),('Comp.'!$E$5:$E$313))</f>
        <v>9.1199999999999992</v>
      </c>
      <c r="G91" s="185">
        <f>SUMPRODUCT(-('Diário 5º PA'!$E$5:$E$2634='Analítico Cp.'!$B91),-('Diário 5º PA'!$Q$5:$Q$2634=G$1),('Diário 5º PA'!$F$5:$F$2634))
+SUMPRODUCT(-('Diário 6º PA'!$E$5:$E$2246='Analítico Cp.'!$B91),-('Diário 6º PA'!$Q$5:$Q$2246=G$1),('Diário 6º PA'!$F$5:$F$2246))
+SUMPRODUCT(-('Diário 7º PA'!$E$5:$E$2271='Analítico Cp.'!$B91),-('Diário 7º PA'!$Q$5:$Q$2271=G$1),('Diário 7º PA'!$F$5:$F$2271))
+SUMPRODUCT(-('Diário 8º PA'!$E$5:$E$2488='Analítico Cp.'!$B91),-('Diário 8º PA'!$Q$5:$Q$2488=G$1),('Diário 8º PA'!$F$5:$F$2488))
+SUMPRODUCT(-('Comp.'!$D$5:$D$313='Analítico Cp.'!$B91),-('Comp.'!$R$5:$R$313=G$1),('Comp.'!$E$5:$E$313))</f>
        <v>1173.5899999999999</v>
      </c>
      <c r="H91" s="185">
        <f>SUMPRODUCT(-('Diário 5º PA'!$E$5:$E$2634='Analítico Cp.'!$B91),-('Diário 5º PA'!$Q$5:$Q$2634=H$1),('Diário 5º PA'!$F$5:$F$2634))
+SUMPRODUCT(-('Diário 6º PA'!$E$5:$E$2246='Analítico Cp.'!$B91),-('Diário 6º PA'!$Q$5:$Q$2246=H$1),('Diário 6º PA'!$F$5:$F$2246))
+SUMPRODUCT(-('Diário 7º PA'!$E$5:$E$2271='Analítico Cp.'!$B91),-('Diário 7º PA'!$Q$5:$Q$2271=H$1),('Diário 7º PA'!$F$5:$F$2271))
+SUMPRODUCT(-('Diário 8º PA'!$E$5:$E$2488='Analítico Cp.'!$B91),-('Diário 8º PA'!$Q$5:$Q$2488=H$1),('Diário 8º PA'!$F$5:$F$2488))
+SUMPRODUCT(-('Comp.'!$D$5:$D$313='Analítico Cp.'!$B91),-('Comp.'!$R$5:$R$313=H$1),('Comp.'!$E$5:$E$313))</f>
        <v>144.94</v>
      </c>
      <c r="I91" s="185">
        <f>SUMPRODUCT(-('Diário 5º PA'!$E$5:$E$2634='Analítico Cp.'!$B91),-('Diário 5º PA'!$Q$5:$Q$2634=I$1),('Diário 5º PA'!$F$5:$F$2634))
+SUMPRODUCT(-('Diário 6º PA'!$E$5:$E$2246='Analítico Cp.'!$B91),-('Diário 6º PA'!$Q$5:$Q$2246=I$1),('Diário 6º PA'!$F$5:$F$2246))
+SUMPRODUCT(-('Diário 7º PA'!$E$5:$E$2271='Analítico Cp.'!$B91),-('Diário 7º PA'!$Q$5:$Q$2271=I$1),('Diário 7º PA'!$F$5:$F$2271))
+SUMPRODUCT(-('Diário 8º PA'!$E$5:$E$2488='Analítico Cp.'!$B91),-('Diário 8º PA'!$Q$5:$Q$2488=I$1),('Diário 8º PA'!$F$5:$F$2488))
+SUMPRODUCT(-('Comp.'!$D$5:$D$313='Analítico Cp.'!$B91),-('Comp.'!$R$5:$R$313=I$1),('Comp.'!$E$5:$E$313))</f>
        <v>450.43</v>
      </c>
      <c r="J91" s="185">
        <f>SUMPRODUCT(-('Diário 5º PA'!$E$5:$E$2634='Analítico Cp.'!$B91),-('Diário 5º PA'!$Q$5:$Q$2634=J$1),('Diário 5º PA'!$F$5:$F$2634))
+SUMPRODUCT(-('Diário 6º PA'!$E$5:$E$2246='Analítico Cp.'!$B91),-('Diário 6º PA'!$Q$5:$Q$2246=J$1),('Diário 6º PA'!$F$5:$F$2246))
+SUMPRODUCT(-('Diário 7º PA'!$E$5:$E$2271='Analítico Cp.'!$B91),-('Diário 7º PA'!$Q$5:$Q$2271=J$1),('Diário 7º PA'!$F$5:$F$2271))
+SUMPRODUCT(-('Diário 8º PA'!$E$5:$E$2488='Analítico Cp.'!$B91),-('Diário 8º PA'!$Q$5:$Q$2488=J$1),('Diário 8º PA'!$F$5:$F$2488))
+SUMPRODUCT(-('Comp.'!$D$5:$D$313='Analítico Cp.'!$B91),-('Comp.'!$R$5:$R$313=J$1),('Comp.'!$E$5:$E$313))</f>
        <v>756.88</v>
      </c>
      <c r="K91" s="185">
        <f>SUMPRODUCT(-('Diário 5º PA'!$E$5:$E$2634='Analítico Cp.'!$B91),-('Diário 5º PA'!$Q$5:$Q$2634=K$1),('Diário 5º PA'!$F$5:$F$2634))
+SUMPRODUCT(-('Diário 6º PA'!$E$5:$E$2246='Analítico Cp.'!$B91),-('Diário 6º PA'!$Q$5:$Q$2246=K$1),('Diário 6º PA'!$F$5:$F$2246))
+SUMPRODUCT(-('Diário 7º PA'!$E$5:$E$2271='Analítico Cp.'!$B91),-('Diário 7º PA'!$Q$5:$Q$2271=K$1),('Diário 7º PA'!$F$5:$F$2271))
+SUMPRODUCT(-('Diário 8º PA'!$E$5:$E$2488='Analítico Cp.'!$B91),-('Diário 8º PA'!$Q$5:$Q$2488=K$1),('Diário 8º PA'!$F$5:$F$2488))
+SUMPRODUCT(-('Comp.'!$D$5:$D$313='Analítico Cp.'!$B91),-('Comp.'!$R$5:$R$313=K$1),('Comp.'!$E$5:$E$313))</f>
        <v>1232.9100000000001</v>
      </c>
      <c r="L91" s="185">
        <f>SUMPRODUCT(-('Diário 5º PA'!$E$5:$E$2634='Analítico Cp.'!$B91),-('Diário 5º PA'!$Q$5:$Q$2634=L$1),('Diário 5º PA'!$F$5:$F$2634))
+SUMPRODUCT(-('Diário 6º PA'!$E$5:$E$2246='Analítico Cp.'!$B91),-('Diário 6º PA'!$Q$5:$Q$2246=L$1),('Diário 6º PA'!$F$5:$F$2246))
+SUMPRODUCT(-('Diário 7º PA'!$E$5:$E$2271='Analítico Cp.'!$B91),-('Diário 7º PA'!$Q$5:$Q$2271=L$1),('Diário 7º PA'!$F$5:$F$2271))
+SUMPRODUCT(-('Diário 8º PA'!$E$5:$E$2488='Analítico Cp.'!$B91),-('Diário 8º PA'!$Q$5:$Q$2488=L$1),('Diário 8º PA'!$F$5:$F$2488))
+SUMPRODUCT(-('Comp.'!$D$5:$D$313='Analítico Cp.'!$B91),-('Comp.'!$R$5:$R$313=L$1),('Comp.'!$E$5:$E$313))</f>
        <v>1496.46</v>
      </c>
      <c r="M91" s="185">
        <f>SUMPRODUCT(-('Diário 5º PA'!$E$5:$E$2634='Analítico Cp.'!$B91),-('Diário 5º PA'!$Q$5:$Q$2634=M$1),('Diário 5º PA'!$F$5:$F$2634))
+SUMPRODUCT(-('Diário 6º PA'!$E$5:$E$2246='Analítico Cp.'!$B91),-('Diário 6º PA'!$Q$5:$Q$2246=M$1),('Diário 6º PA'!$F$5:$F$2246))
+SUMPRODUCT(-('Diário 7º PA'!$E$5:$E$2271='Analítico Cp.'!$B91),-('Diário 7º PA'!$Q$5:$Q$2271=M$1),('Diário 7º PA'!$F$5:$F$2271))
+SUMPRODUCT(-('Diário 8º PA'!$E$5:$E$2488='Analítico Cp.'!$B91),-('Diário 8º PA'!$Q$5:$Q$2488=M$1),('Diário 8º PA'!$F$5:$F$2488))
+SUMPRODUCT(-('Comp.'!$D$5:$D$313='Analítico Cp.'!$B91),-('Comp.'!$R$5:$R$313=M$1),('Comp.'!$E$5:$E$313))</f>
        <v>5444.33</v>
      </c>
      <c r="N91" s="185">
        <f>SUMPRODUCT(-('Diário 5º PA'!$E$5:$E$2634='Analítico Cp.'!$B91),-('Diário 5º PA'!$Q$5:$Q$2634=N$1),('Diário 5º PA'!$F$5:$F$2634))
+SUMPRODUCT(-('Diário 6º PA'!$E$5:$E$2246='Analítico Cp.'!$B91),-('Diário 6º PA'!$Q$5:$Q$2246=N$1),('Diário 6º PA'!$F$5:$F$2246))
+SUMPRODUCT(-('Diário 7º PA'!$E$5:$E$2271='Analítico Cp.'!$B91),-('Diário 7º PA'!$Q$5:$Q$2271=N$1),('Diário 7º PA'!$F$5:$F$2271))
+SUMPRODUCT(-('Diário 8º PA'!$E$5:$E$2488='Analítico Cp.'!$B91),-('Diário 8º PA'!$Q$5:$Q$2488=N$1),('Diário 8º PA'!$F$5:$F$2488))
+SUMPRODUCT(-('Comp.'!$D$5:$D$313='Analítico Cp.'!$B91),-('Comp.'!$R$5:$R$313=N$1),('Comp.'!$E$5:$E$313))</f>
        <v>600.20000000000005</v>
      </c>
      <c r="O91" s="186">
        <f t="shared" si="16"/>
        <v>11560.130000000001</v>
      </c>
      <c r="P91" s="187">
        <f t="shared" si="17"/>
        <v>1.1923829900592957E-3</v>
      </c>
      <c r="Q91" s="34"/>
      <c r="R91" s="34"/>
      <c r="S91" s="34"/>
      <c r="T91" s="34"/>
      <c r="U91" s="34"/>
      <c r="V91" s="34"/>
      <c r="W91" s="34"/>
      <c r="X91" s="34"/>
      <c r="Y91" s="34"/>
      <c r="Z91" s="34"/>
    </row>
    <row r="92" spans="1:26" ht="23.25" customHeight="1" x14ac:dyDescent="0.2">
      <c r="A92" s="203" t="s">
        <v>281</v>
      </c>
      <c r="B92" s="72" t="s">
        <v>282</v>
      </c>
      <c r="C92" s="185">
        <f>SUMPRODUCT(-('Diário 5º PA'!$E$5:$E$2634='Analítico Cp.'!$B92),-('Diário 5º PA'!$Q$5:$Q$2634=C$1),('Diário 5º PA'!$F$5:$F$2634))
+SUMPRODUCT(-('Diário 6º PA'!$E$5:$E$2246='Analítico Cp.'!$B92),-('Diário 6º PA'!$Q$5:$Q$2246=C$1),('Diário 6º PA'!$F$5:$F$2246))
+SUMPRODUCT(-('Diário 7º PA'!$E$5:$E$2271='Analítico Cp.'!$B92),-('Diário 7º PA'!$Q$5:$Q$2271=C$1),('Diário 7º PA'!$F$5:$F$2271))
+SUMPRODUCT(-('Diário 8º PA'!$E$5:$E$2488='Analítico Cp.'!$B92),-('Diário 8º PA'!$Q$5:$Q$2488=C$1),('Diário 8º PA'!$F$5:$F$2488))
+SUMPRODUCT(-('Comp.'!$D$5:$D$313='Analítico Cp.'!$B92),-('Comp.'!$R$5:$R$313=C$1),('Comp.'!$E$5:$E$313))</f>
        <v>0</v>
      </c>
      <c r="D92" s="185">
        <f>SUMPRODUCT(-('Diário 5º PA'!$E$5:$E$2634='Analítico Cp.'!$B92),-('Diário 5º PA'!$Q$5:$Q$2634=D$1),('Diário 5º PA'!$F$5:$F$2634))
+SUMPRODUCT(-('Diário 6º PA'!$E$5:$E$2246='Analítico Cp.'!$B92),-('Diário 6º PA'!$Q$5:$Q$2246=D$1),('Diário 6º PA'!$F$5:$F$2246))
+SUMPRODUCT(-('Diário 7º PA'!$E$5:$E$2271='Analítico Cp.'!$B92),-('Diário 7º PA'!$Q$5:$Q$2271=D$1),('Diário 7º PA'!$F$5:$F$2271))
+SUMPRODUCT(-('Diário 8º PA'!$E$5:$E$2488='Analítico Cp.'!$B92),-('Diário 8º PA'!$Q$5:$Q$2488=D$1),('Diário 8º PA'!$F$5:$F$2488))
+SUMPRODUCT(-('Comp.'!$D$5:$D$313='Analítico Cp.'!$B92),-('Comp.'!$R$5:$R$313=D$1),('Comp.'!$E$5:$E$313))</f>
        <v>0</v>
      </c>
      <c r="E92" s="185">
        <f>SUMPRODUCT(-('Diário 5º PA'!$E$5:$E$2634='Analítico Cp.'!$B92),-('Diário 5º PA'!$Q$5:$Q$2634=E$1),('Diário 5º PA'!$F$5:$F$2634))
+SUMPRODUCT(-('Diário 6º PA'!$E$5:$E$2246='Analítico Cp.'!$B92),-('Diário 6º PA'!$Q$5:$Q$2246=E$1),('Diário 6º PA'!$F$5:$F$2246))
+SUMPRODUCT(-('Diário 7º PA'!$E$5:$E$2271='Analítico Cp.'!$B92),-('Diário 7º PA'!$Q$5:$Q$2271=E$1),('Diário 7º PA'!$F$5:$F$2271))
+SUMPRODUCT(-('Diário 8º PA'!$E$5:$E$2488='Analítico Cp.'!$B92),-('Diário 8º PA'!$Q$5:$Q$2488=E$1),('Diário 8º PA'!$F$5:$F$2488))
+SUMPRODUCT(-('Comp.'!$D$5:$D$313='Analítico Cp.'!$B92),-('Comp.'!$R$5:$R$313=E$1),('Comp.'!$E$5:$E$313))</f>
        <v>0</v>
      </c>
      <c r="F92" s="185">
        <f>SUMPRODUCT(-('Diário 5º PA'!$E$5:$E$2634='Analítico Cp.'!$B92),-('Diário 5º PA'!$Q$5:$Q$2634=F$1),('Diário 5º PA'!$F$5:$F$2634))
+SUMPRODUCT(-('Diário 6º PA'!$E$5:$E$2246='Analítico Cp.'!$B92),-('Diário 6º PA'!$Q$5:$Q$2246=F$1),('Diário 6º PA'!$F$5:$F$2246))
+SUMPRODUCT(-('Diário 7º PA'!$E$5:$E$2271='Analítico Cp.'!$B92),-('Diário 7º PA'!$Q$5:$Q$2271=F$1),('Diário 7º PA'!$F$5:$F$2271))
+SUMPRODUCT(-('Diário 8º PA'!$E$5:$E$2488='Analítico Cp.'!$B92),-('Diário 8º PA'!$Q$5:$Q$2488=F$1),('Diário 8º PA'!$F$5:$F$2488))
+SUMPRODUCT(-('Comp.'!$D$5:$D$313='Analítico Cp.'!$B92),-('Comp.'!$R$5:$R$313=F$1),('Comp.'!$E$5:$E$313))</f>
        <v>0</v>
      </c>
      <c r="G92" s="185">
        <f>SUMPRODUCT(-('Diário 5º PA'!$E$5:$E$2634='Analítico Cp.'!$B92),-('Diário 5º PA'!$Q$5:$Q$2634=G$1),('Diário 5º PA'!$F$5:$F$2634))
+SUMPRODUCT(-('Diário 6º PA'!$E$5:$E$2246='Analítico Cp.'!$B92),-('Diário 6º PA'!$Q$5:$Q$2246=G$1),('Diário 6º PA'!$F$5:$F$2246))
+SUMPRODUCT(-('Diário 7º PA'!$E$5:$E$2271='Analítico Cp.'!$B92),-('Diário 7º PA'!$Q$5:$Q$2271=G$1),('Diário 7º PA'!$F$5:$F$2271))
+SUMPRODUCT(-('Diário 8º PA'!$E$5:$E$2488='Analítico Cp.'!$B92),-('Diário 8º PA'!$Q$5:$Q$2488=G$1),('Diário 8º PA'!$F$5:$F$2488))
+SUMPRODUCT(-('Comp.'!$D$5:$D$313='Analítico Cp.'!$B92),-('Comp.'!$R$5:$R$313=G$1),('Comp.'!$E$5:$E$313))</f>
        <v>0</v>
      </c>
      <c r="H92" s="185">
        <f>SUMPRODUCT(-('Diário 5º PA'!$E$5:$E$2634='Analítico Cp.'!$B92),-('Diário 5º PA'!$Q$5:$Q$2634=H$1),('Diário 5º PA'!$F$5:$F$2634))
+SUMPRODUCT(-('Diário 6º PA'!$E$5:$E$2246='Analítico Cp.'!$B92),-('Diário 6º PA'!$Q$5:$Q$2246=H$1),('Diário 6º PA'!$F$5:$F$2246))
+SUMPRODUCT(-('Diário 7º PA'!$E$5:$E$2271='Analítico Cp.'!$B92),-('Diário 7º PA'!$Q$5:$Q$2271=H$1),('Diário 7º PA'!$F$5:$F$2271))
+SUMPRODUCT(-('Diário 8º PA'!$E$5:$E$2488='Analítico Cp.'!$B92),-('Diário 8º PA'!$Q$5:$Q$2488=H$1),('Diário 8º PA'!$F$5:$F$2488))
+SUMPRODUCT(-('Comp.'!$D$5:$D$313='Analítico Cp.'!$B92),-('Comp.'!$R$5:$R$313=H$1),('Comp.'!$E$5:$E$313))</f>
        <v>0</v>
      </c>
      <c r="I92" s="185">
        <f>SUMPRODUCT(-('Diário 5º PA'!$E$5:$E$2634='Analítico Cp.'!$B92),-('Diário 5º PA'!$Q$5:$Q$2634=I$1),('Diário 5º PA'!$F$5:$F$2634))
+SUMPRODUCT(-('Diário 6º PA'!$E$5:$E$2246='Analítico Cp.'!$B92),-('Diário 6º PA'!$Q$5:$Q$2246=I$1),('Diário 6º PA'!$F$5:$F$2246))
+SUMPRODUCT(-('Diário 7º PA'!$E$5:$E$2271='Analítico Cp.'!$B92),-('Diário 7º PA'!$Q$5:$Q$2271=I$1),('Diário 7º PA'!$F$5:$F$2271))
+SUMPRODUCT(-('Diário 8º PA'!$E$5:$E$2488='Analítico Cp.'!$B92),-('Diário 8º PA'!$Q$5:$Q$2488=I$1),('Diário 8º PA'!$F$5:$F$2488))
+SUMPRODUCT(-('Comp.'!$D$5:$D$313='Analítico Cp.'!$B92),-('Comp.'!$R$5:$R$313=I$1),('Comp.'!$E$5:$E$313))</f>
        <v>0</v>
      </c>
      <c r="J92" s="185">
        <f>SUMPRODUCT(-('Diário 5º PA'!$E$5:$E$2634='Analítico Cp.'!$B92),-('Diário 5º PA'!$Q$5:$Q$2634=J$1),('Diário 5º PA'!$F$5:$F$2634))
+SUMPRODUCT(-('Diário 6º PA'!$E$5:$E$2246='Analítico Cp.'!$B92),-('Diário 6º PA'!$Q$5:$Q$2246=J$1),('Diário 6º PA'!$F$5:$F$2246))
+SUMPRODUCT(-('Diário 7º PA'!$E$5:$E$2271='Analítico Cp.'!$B92),-('Diário 7º PA'!$Q$5:$Q$2271=J$1),('Diário 7º PA'!$F$5:$F$2271))
+SUMPRODUCT(-('Diário 8º PA'!$E$5:$E$2488='Analítico Cp.'!$B92),-('Diário 8º PA'!$Q$5:$Q$2488=J$1),('Diário 8º PA'!$F$5:$F$2488))
+SUMPRODUCT(-('Comp.'!$D$5:$D$313='Analítico Cp.'!$B92),-('Comp.'!$R$5:$R$313=J$1),('Comp.'!$E$5:$E$313))</f>
        <v>0</v>
      </c>
      <c r="K92" s="185">
        <f>SUMPRODUCT(-('Diário 5º PA'!$E$5:$E$2634='Analítico Cp.'!$B92),-('Diário 5º PA'!$Q$5:$Q$2634=K$1),('Diário 5º PA'!$F$5:$F$2634))
+SUMPRODUCT(-('Diário 6º PA'!$E$5:$E$2246='Analítico Cp.'!$B92),-('Diário 6º PA'!$Q$5:$Q$2246=K$1),('Diário 6º PA'!$F$5:$F$2246))
+SUMPRODUCT(-('Diário 7º PA'!$E$5:$E$2271='Analítico Cp.'!$B92),-('Diário 7º PA'!$Q$5:$Q$2271=K$1),('Diário 7º PA'!$F$5:$F$2271))
+SUMPRODUCT(-('Diário 8º PA'!$E$5:$E$2488='Analítico Cp.'!$B92),-('Diário 8º PA'!$Q$5:$Q$2488=K$1),('Diário 8º PA'!$F$5:$F$2488))
+SUMPRODUCT(-('Comp.'!$D$5:$D$313='Analítico Cp.'!$B92),-('Comp.'!$R$5:$R$313=K$1),('Comp.'!$E$5:$E$313))</f>
        <v>0</v>
      </c>
      <c r="L92" s="185">
        <f>SUMPRODUCT(-('Diário 5º PA'!$E$5:$E$2634='Analítico Cp.'!$B92),-('Diário 5º PA'!$Q$5:$Q$2634=L$1),('Diário 5º PA'!$F$5:$F$2634))
+SUMPRODUCT(-('Diário 6º PA'!$E$5:$E$2246='Analítico Cp.'!$B92),-('Diário 6º PA'!$Q$5:$Q$2246=L$1),('Diário 6º PA'!$F$5:$F$2246))
+SUMPRODUCT(-('Diário 7º PA'!$E$5:$E$2271='Analítico Cp.'!$B92),-('Diário 7º PA'!$Q$5:$Q$2271=L$1),('Diário 7º PA'!$F$5:$F$2271))
+SUMPRODUCT(-('Diário 8º PA'!$E$5:$E$2488='Analítico Cp.'!$B92),-('Diário 8º PA'!$Q$5:$Q$2488=L$1),('Diário 8º PA'!$F$5:$F$2488))
+SUMPRODUCT(-('Comp.'!$D$5:$D$313='Analítico Cp.'!$B92),-('Comp.'!$R$5:$R$313=L$1),('Comp.'!$E$5:$E$313))</f>
        <v>0</v>
      </c>
      <c r="M92" s="185">
        <f>SUMPRODUCT(-('Diário 5º PA'!$E$5:$E$2634='Analítico Cp.'!$B92),-('Diário 5º PA'!$Q$5:$Q$2634=M$1),('Diário 5º PA'!$F$5:$F$2634))
+SUMPRODUCT(-('Diário 6º PA'!$E$5:$E$2246='Analítico Cp.'!$B92),-('Diário 6º PA'!$Q$5:$Q$2246=M$1),('Diário 6º PA'!$F$5:$F$2246))
+SUMPRODUCT(-('Diário 7º PA'!$E$5:$E$2271='Analítico Cp.'!$B92),-('Diário 7º PA'!$Q$5:$Q$2271=M$1),('Diário 7º PA'!$F$5:$F$2271))
+SUMPRODUCT(-('Diário 8º PA'!$E$5:$E$2488='Analítico Cp.'!$B92),-('Diário 8º PA'!$Q$5:$Q$2488=M$1),('Diário 8º PA'!$F$5:$F$2488))
+SUMPRODUCT(-('Comp.'!$D$5:$D$313='Analítico Cp.'!$B92),-('Comp.'!$R$5:$R$313=M$1),('Comp.'!$E$5:$E$313))</f>
        <v>0</v>
      </c>
      <c r="N92" s="185">
        <f>SUMPRODUCT(-('Diário 5º PA'!$E$5:$E$2634='Analítico Cp.'!$B92),-('Diário 5º PA'!$Q$5:$Q$2634=N$1),('Diário 5º PA'!$F$5:$F$2634))
+SUMPRODUCT(-('Diário 6º PA'!$E$5:$E$2246='Analítico Cp.'!$B92),-('Diário 6º PA'!$Q$5:$Q$2246=N$1),('Diário 6º PA'!$F$5:$F$2246))
+SUMPRODUCT(-('Diário 7º PA'!$E$5:$E$2271='Analítico Cp.'!$B92),-('Diário 7º PA'!$Q$5:$Q$2271=N$1),('Diário 7º PA'!$F$5:$F$2271))
+SUMPRODUCT(-('Diário 8º PA'!$E$5:$E$2488='Analítico Cp.'!$B92),-('Diário 8º PA'!$Q$5:$Q$2488=N$1),('Diário 8º PA'!$F$5:$F$2488))
+SUMPRODUCT(-('Comp.'!$D$5:$D$313='Analítico Cp.'!$B92),-('Comp.'!$R$5:$R$313=N$1),('Comp.'!$E$5:$E$313))</f>
        <v>0</v>
      </c>
      <c r="O92" s="186">
        <f t="shared" si="16"/>
        <v>0</v>
      </c>
      <c r="P92" s="187">
        <f t="shared" si="17"/>
        <v>0</v>
      </c>
      <c r="Q92" s="34"/>
      <c r="R92" s="34"/>
      <c r="S92" s="34"/>
      <c r="T92" s="34"/>
      <c r="U92" s="34"/>
      <c r="V92" s="34"/>
      <c r="W92" s="34"/>
      <c r="X92" s="34"/>
      <c r="Y92" s="34"/>
      <c r="Z92" s="34"/>
    </row>
    <row r="93" spans="1:26" ht="23.25" customHeight="1" x14ac:dyDescent="0.2">
      <c r="A93" s="203" t="s">
        <v>283</v>
      </c>
      <c r="B93" s="72" t="s">
        <v>284</v>
      </c>
      <c r="C93" s="185">
        <f>SUMPRODUCT(-('Diário 5º PA'!$E$5:$E$2634='Analítico Cp.'!$B93),-('Diário 5º PA'!$Q$5:$Q$2634=C$1),('Diário 5º PA'!$F$5:$F$2634))
+SUMPRODUCT(-('Diário 6º PA'!$E$5:$E$2246='Analítico Cp.'!$B93),-('Diário 6º PA'!$Q$5:$Q$2246=C$1),('Diário 6º PA'!$F$5:$F$2246))
+SUMPRODUCT(-('Diário 7º PA'!$E$5:$E$2271='Analítico Cp.'!$B93),-('Diário 7º PA'!$Q$5:$Q$2271=C$1),('Diário 7º PA'!$F$5:$F$2271))
+SUMPRODUCT(-('Diário 8º PA'!$E$5:$E$2488='Analítico Cp.'!$B93),-('Diário 8º PA'!$Q$5:$Q$2488=C$1),('Diário 8º PA'!$F$5:$F$2488))
+SUMPRODUCT(-('Comp.'!$D$5:$D$313='Analítico Cp.'!$B93),-('Comp.'!$R$5:$R$313=C$1),('Comp.'!$E$5:$E$313))</f>
        <v>0</v>
      </c>
      <c r="D93" s="185">
        <f>SUMPRODUCT(-('Diário 5º PA'!$E$5:$E$2634='Analítico Cp.'!$B93),-('Diário 5º PA'!$Q$5:$Q$2634=D$1),('Diário 5º PA'!$F$5:$F$2634))
+SUMPRODUCT(-('Diário 6º PA'!$E$5:$E$2246='Analítico Cp.'!$B93),-('Diário 6º PA'!$Q$5:$Q$2246=D$1),('Diário 6º PA'!$F$5:$F$2246))
+SUMPRODUCT(-('Diário 7º PA'!$E$5:$E$2271='Analítico Cp.'!$B93),-('Diário 7º PA'!$Q$5:$Q$2271=D$1),('Diário 7º PA'!$F$5:$F$2271))
+SUMPRODUCT(-('Diário 8º PA'!$E$5:$E$2488='Analítico Cp.'!$B93),-('Diário 8º PA'!$Q$5:$Q$2488=D$1),('Diário 8º PA'!$F$5:$F$2488))
+SUMPRODUCT(-('Comp.'!$D$5:$D$313='Analítico Cp.'!$B93),-('Comp.'!$R$5:$R$313=D$1),('Comp.'!$E$5:$E$313))</f>
        <v>0</v>
      </c>
      <c r="E93" s="185">
        <f>SUMPRODUCT(-('Diário 5º PA'!$E$5:$E$2634='Analítico Cp.'!$B93),-('Diário 5º PA'!$Q$5:$Q$2634=E$1),('Diário 5º PA'!$F$5:$F$2634))
+SUMPRODUCT(-('Diário 6º PA'!$E$5:$E$2246='Analítico Cp.'!$B93),-('Diário 6º PA'!$Q$5:$Q$2246=E$1),('Diário 6º PA'!$F$5:$F$2246))
+SUMPRODUCT(-('Diário 7º PA'!$E$5:$E$2271='Analítico Cp.'!$B93),-('Diário 7º PA'!$Q$5:$Q$2271=E$1),('Diário 7º PA'!$F$5:$F$2271))
+SUMPRODUCT(-('Diário 8º PA'!$E$5:$E$2488='Analítico Cp.'!$B93),-('Diário 8º PA'!$Q$5:$Q$2488=E$1),('Diário 8º PA'!$F$5:$F$2488))
+SUMPRODUCT(-('Comp.'!$D$5:$D$313='Analítico Cp.'!$B93),-('Comp.'!$R$5:$R$313=E$1),('Comp.'!$E$5:$E$313))</f>
        <v>1195.75</v>
      </c>
      <c r="F93" s="185">
        <f>SUMPRODUCT(-('Diário 5º PA'!$E$5:$E$2634='Analítico Cp.'!$B93),-('Diário 5º PA'!$Q$5:$Q$2634=F$1),('Diário 5º PA'!$F$5:$F$2634))
+SUMPRODUCT(-('Diário 6º PA'!$E$5:$E$2246='Analítico Cp.'!$B93),-('Diário 6º PA'!$Q$5:$Q$2246=F$1),('Diário 6º PA'!$F$5:$F$2246))
+SUMPRODUCT(-('Diário 7º PA'!$E$5:$E$2271='Analítico Cp.'!$B93),-('Diário 7º PA'!$Q$5:$Q$2271=F$1),('Diário 7º PA'!$F$5:$F$2271))
+SUMPRODUCT(-('Diário 8º PA'!$E$5:$E$2488='Analítico Cp.'!$B93),-('Diário 8º PA'!$Q$5:$Q$2488=F$1),('Diário 8º PA'!$F$5:$F$2488))
+SUMPRODUCT(-('Comp.'!$D$5:$D$313='Analítico Cp.'!$B93),-('Comp.'!$R$5:$R$313=F$1),('Comp.'!$E$5:$E$313))</f>
        <v>0</v>
      </c>
      <c r="G93" s="185">
        <f>SUMPRODUCT(-('Diário 5º PA'!$E$5:$E$2634='Analítico Cp.'!$B93),-('Diário 5º PA'!$Q$5:$Q$2634=G$1),('Diário 5º PA'!$F$5:$F$2634))
+SUMPRODUCT(-('Diário 6º PA'!$E$5:$E$2246='Analítico Cp.'!$B93),-('Diário 6º PA'!$Q$5:$Q$2246=G$1),('Diário 6º PA'!$F$5:$F$2246))
+SUMPRODUCT(-('Diário 7º PA'!$E$5:$E$2271='Analítico Cp.'!$B93),-('Diário 7º PA'!$Q$5:$Q$2271=G$1),('Diário 7º PA'!$F$5:$F$2271))
+SUMPRODUCT(-('Diário 8º PA'!$E$5:$E$2488='Analítico Cp.'!$B93),-('Diário 8º PA'!$Q$5:$Q$2488=G$1),('Diário 8º PA'!$F$5:$F$2488))
+SUMPRODUCT(-('Comp.'!$D$5:$D$313='Analítico Cp.'!$B93),-('Comp.'!$R$5:$R$313=G$1),('Comp.'!$E$5:$E$313))</f>
        <v>0</v>
      </c>
      <c r="H93" s="185">
        <f>SUMPRODUCT(-('Diário 5º PA'!$E$5:$E$2634='Analítico Cp.'!$B93),-('Diário 5º PA'!$Q$5:$Q$2634=H$1),('Diário 5º PA'!$F$5:$F$2634))
+SUMPRODUCT(-('Diário 6º PA'!$E$5:$E$2246='Analítico Cp.'!$B93),-('Diário 6º PA'!$Q$5:$Q$2246=H$1),('Diário 6º PA'!$F$5:$F$2246))
+SUMPRODUCT(-('Diário 7º PA'!$E$5:$E$2271='Analítico Cp.'!$B93),-('Diário 7º PA'!$Q$5:$Q$2271=H$1),('Diário 7º PA'!$F$5:$F$2271))
+SUMPRODUCT(-('Diário 8º PA'!$E$5:$E$2488='Analítico Cp.'!$B93),-('Diário 8º PA'!$Q$5:$Q$2488=H$1),('Diário 8º PA'!$F$5:$F$2488))
+SUMPRODUCT(-('Comp.'!$D$5:$D$313='Analítico Cp.'!$B93),-('Comp.'!$R$5:$R$313=H$1),('Comp.'!$E$5:$E$313))</f>
        <v>491.14</v>
      </c>
      <c r="I93" s="185">
        <f>SUMPRODUCT(-('Diário 5º PA'!$E$5:$E$2634='Analítico Cp.'!$B93),-('Diário 5º PA'!$Q$5:$Q$2634=I$1),('Diário 5º PA'!$F$5:$F$2634))
+SUMPRODUCT(-('Diário 6º PA'!$E$5:$E$2246='Analítico Cp.'!$B93),-('Diário 6º PA'!$Q$5:$Q$2246=I$1),('Diário 6º PA'!$F$5:$F$2246))
+SUMPRODUCT(-('Diário 7º PA'!$E$5:$E$2271='Analítico Cp.'!$B93),-('Diário 7º PA'!$Q$5:$Q$2271=I$1),('Diário 7º PA'!$F$5:$F$2271))
+SUMPRODUCT(-('Diário 8º PA'!$E$5:$E$2488='Analítico Cp.'!$B93),-('Diário 8º PA'!$Q$5:$Q$2488=I$1),('Diário 8º PA'!$F$5:$F$2488))
+SUMPRODUCT(-('Comp.'!$D$5:$D$313='Analítico Cp.'!$B93),-('Comp.'!$R$5:$R$313=I$1),('Comp.'!$E$5:$E$313))</f>
        <v>0</v>
      </c>
      <c r="J93" s="185">
        <f>SUMPRODUCT(-('Diário 5º PA'!$E$5:$E$2634='Analítico Cp.'!$B93),-('Diário 5º PA'!$Q$5:$Q$2634=J$1),('Diário 5º PA'!$F$5:$F$2634))
+SUMPRODUCT(-('Diário 6º PA'!$E$5:$E$2246='Analítico Cp.'!$B93),-('Diário 6º PA'!$Q$5:$Q$2246=J$1),('Diário 6º PA'!$F$5:$F$2246))
+SUMPRODUCT(-('Diário 7º PA'!$E$5:$E$2271='Analítico Cp.'!$B93),-('Diário 7º PA'!$Q$5:$Q$2271=J$1),('Diário 7º PA'!$F$5:$F$2271))
+SUMPRODUCT(-('Diário 8º PA'!$E$5:$E$2488='Analítico Cp.'!$B93),-('Diário 8º PA'!$Q$5:$Q$2488=J$1),('Diário 8º PA'!$F$5:$F$2488))
+SUMPRODUCT(-('Comp.'!$D$5:$D$313='Analítico Cp.'!$B93),-('Comp.'!$R$5:$R$313=J$1),('Comp.'!$E$5:$E$313))</f>
        <v>486.47999999999996</v>
      </c>
      <c r="K93" s="185">
        <f>SUMPRODUCT(-('Diário 5º PA'!$E$5:$E$2634='Analítico Cp.'!$B93),-('Diário 5º PA'!$Q$5:$Q$2634=K$1),('Diário 5º PA'!$F$5:$F$2634))
+SUMPRODUCT(-('Diário 6º PA'!$E$5:$E$2246='Analítico Cp.'!$B93),-('Diário 6º PA'!$Q$5:$Q$2246=K$1),('Diário 6º PA'!$F$5:$F$2246))
+SUMPRODUCT(-('Diário 7º PA'!$E$5:$E$2271='Analítico Cp.'!$B93),-('Diário 7º PA'!$Q$5:$Q$2271=K$1),('Diário 7º PA'!$F$5:$F$2271))
+SUMPRODUCT(-('Diário 8º PA'!$E$5:$E$2488='Analítico Cp.'!$B93),-('Diário 8º PA'!$Q$5:$Q$2488=K$1),('Diário 8º PA'!$F$5:$F$2488))
+SUMPRODUCT(-('Comp.'!$D$5:$D$313='Analítico Cp.'!$B93),-('Comp.'!$R$5:$R$313=K$1),('Comp.'!$E$5:$E$313))</f>
        <v>0</v>
      </c>
      <c r="L93" s="185">
        <f>SUMPRODUCT(-('Diário 5º PA'!$E$5:$E$2634='Analítico Cp.'!$B93),-('Diário 5º PA'!$Q$5:$Q$2634=L$1),('Diário 5º PA'!$F$5:$F$2634))
+SUMPRODUCT(-('Diário 6º PA'!$E$5:$E$2246='Analítico Cp.'!$B93),-('Diário 6º PA'!$Q$5:$Q$2246=L$1),('Diário 6º PA'!$F$5:$F$2246))
+SUMPRODUCT(-('Diário 7º PA'!$E$5:$E$2271='Analítico Cp.'!$B93),-('Diário 7º PA'!$Q$5:$Q$2271=L$1),('Diário 7º PA'!$F$5:$F$2271))
+SUMPRODUCT(-('Diário 8º PA'!$E$5:$E$2488='Analítico Cp.'!$B93),-('Diário 8º PA'!$Q$5:$Q$2488=L$1),('Diário 8º PA'!$F$5:$F$2488))
+SUMPRODUCT(-('Comp.'!$D$5:$D$313='Analítico Cp.'!$B93),-('Comp.'!$R$5:$R$313=L$1),('Comp.'!$E$5:$E$313))</f>
        <v>201.86</v>
      </c>
      <c r="M93" s="185">
        <f>SUMPRODUCT(-('Diário 5º PA'!$E$5:$E$2634='Analítico Cp.'!$B93),-('Diário 5º PA'!$Q$5:$Q$2634=M$1),('Diário 5º PA'!$F$5:$F$2634))
+SUMPRODUCT(-('Diário 6º PA'!$E$5:$E$2246='Analítico Cp.'!$B93),-('Diário 6º PA'!$Q$5:$Q$2246=M$1),('Diário 6º PA'!$F$5:$F$2246))
+SUMPRODUCT(-('Diário 7º PA'!$E$5:$E$2271='Analítico Cp.'!$B93),-('Diário 7º PA'!$Q$5:$Q$2271=M$1),('Diário 7º PA'!$F$5:$F$2271))
+SUMPRODUCT(-('Diário 8º PA'!$E$5:$E$2488='Analítico Cp.'!$B93),-('Diário 8º PA'!$Q$5:$Q$2488=M$1),('Diário 8º PA'!$F$5:$F$2488))
+SUMPRODUCT(-('Comp.'!$D$5:$D$313='Analítico Cp.'!$B93),-('Comp.'!$R$5:$R$313=M$1),('Comp.'!$E$5:$E$313))</f>
        <v>978.6</v>
      </c>
      <c r="N93" s="185">
        <f>SUMPRODUCT(-('Diário 5º PA'!$E$5:$E$2634='Analítico Cp.'!$B93),-('Diário 5º PA'!$Q$5:$Q$2634=N$1),('Diário 5º PA'!$F$5:$F$2634))
+SUMPRODUCT(-('Diário 6º PA'!$E$5:$E$2246='Analítico Cp.'!$B93),-('Diário 6º PA'!$Q$5:$Q$2246=N$1),('Diário 6º PA'!$F$5:$F$2246))
+SUMPRODUCT(-('Diário 7º PA'!$E$5:$E$2271='Analítico Cp.'!$B93),-('Diário 7º PA'!$Q$5:$Q$2271=N$1),('Diário 7º PA'!$F$5:$F$2271))
+SUMPRODUCT(-('Diário 8º PA'!$E$5:$E$2488='Analítico Cp.'!$B93),-('Diário 8º PA'!$Q$5:$Q$2488=N$1),('Diário 8º PA'!$F$5:$F$2488))
+SUMPRODUCT(-('Comp.'!$D$5:$D$313='Analítico Cp.'!$B93),-('Comp.'!$R$5:$R$313=N$1),('Comp.'!$E$5:$E$313))</f>
        <v>255.2</v>
      </c>
      <c r="O93" s="186">
        <f t="shared" si="16"/>
        <v>3609.0299999999997</v>
      </c>
      <c r="P93" s="187">
        <f t="shared" si="17"/>
        <v>3.7225757691424746E-4</v>
      </c>
      <c r="Q93" s="34"/>
      <c r="R93" s="34"/>
      <c r="S93" s="34"/>
      <c r="T93" s="34"/>
      <c r="U93" s="34"/>
      <c r="V93" s="34"/>
      <c r="W93" s="34"/>
      <c r="X93" s="34"/>
      <c r="Y93" s="34"/>
      <c r="Z93" s="34"/>
    </row>
    <row r="94" spans="1:26" ht="23.25" customHeight="1" x14ac:dyDescent="0.2">
      <c r="A94" s="203" t="s">
        <v>285</v>
      </c>
      <c r="B94" s="72" t="s">
        <v>286</v>
      </c>
      <c r="C94" s="185">
        <f>SUMPRODUCT(-('Diário 5º PA'!$E$5:$E$2634='Analítico Cp.'!$B94),-('Diário 5º PA'!$Q$5:$Q$2634=C$1),('Diário 5º PA'!$F$5:$F$2634))
+SUMPRODUCT(-('Diário 6º PA'!$E$5:$E$2246='Analítico Cp.'!$B94),-('Diário 6º PA'!$Q$5:$Q$2246=C$1),('Diário 6º PA'!$F$5:$F$2246))
+SUMPRODUCT(-('Diário 7º PA'!$E$5:$E$2271='Analítico Cp.'!$B94),-('Diário 7º PA'!$Q$5:$Q$2271=C$1),('Diário 7º PA'!$F$5:$F$2271))
+SUMPRODUCT(-('Diário 8º PA'!$E$5:$E$2488='Analítico Cp.'!$B94),-('Diário 8º PA'!$Q$5:$Q$2488=C$1),('Diário 8º PA'!$F$5:$F$2488))
+SUMPRODUCT(-('Comp.'!$D$5:$D$313='Analítico Cp.'!$B94),-('Comp.'!$R$5:$R$313=C$1),('Comp.'!$E$5:$E$313))</f>
        <v>0</v>
      </c>
      <c r="D94" s="185">
        <f>SUMPRODUCT(-('Diário 5º PA'!$E$5:$E$2634='Analítico Cp.'!$B94),-('Diário 5º PA'!$Q$5:$Q$2634=D$1),('Diário 5º PA'!$F$5:$F$2634))
+SUMPRODUCT(-('Diário 6º PA'!$E$5:$E$2246='Analítico Cp.'!$B94),-('Diário 6º PA'!$Q$5:$Q$2246=D$1),('Diário 6º PA'!$F$5:$F$2246))
+SUMPRODUCT(-('Diário 7º PA'!$E$5:$E$2271='Analítico Cp.'!$B94),-('Diário 7º PA'!$Q$5:$Q$2271=D$1),('Diário 7º PA'!$F$5:$F$2271))
+SUMPRODUCT(-('Diário 8º PA'!$E$5:$E$2488='Analítico Cp.'!$B94),-('Diário 8º PA'!$Q$5:$Q$2488=D$1),('Diário 8º PA'!$F$5:$F$2488))
+SUMPRODUCT(-('Comp.'!$D$5:$D$313='Analítico Cp.'!$B94),-('Comp.'!$R$5:$R$313=D$1),('Comp.'!$E$5:$E$313))</f>
        <v>0</v>
      </c>
      <c r="E94" s="185">
        <f>SUMPRODUCT(-('Diário 5º PA'!$E$5:$E$2634='Analítico Cp.'!$B94),-('Diário 5º PA'!$Q$5:$Q$2634=E$1),('Diário 5º PA'!$F$5:$F$2634))
+SUMPRODUCT(-('Diário 6º PA'!$E$5:$E$2246='Analítico Cp.'!$B94),-('Diário 6º PA'!$Q$5:$Q$2246=E$1),('Diário 6º PA'!$F$5:$F$2246))
+SUMPRODUCT(-('Diário 7º PA'!$E$5:$E$2271='Analítico Cp.'!$B94),-('Diário 7º PA'!$Q$5:$Q$2271=E$1),('Diário 7º PA'!$F$5:$F$2271))
+SUMPRODUCT(-('Diário 8º PA'!$E$5:$E$2488='Analítico Cp.'!$B94),-('Diário 8º PA'!$Q$5:$Q$2488=E$1),('Diário 8º PA'!$F$5:$F$2488))
+SUMPRODUCT(-('Comp.'!$D$5:$D$313='Analítico Cp.'!$B94),-('Comp.'!$R$5:$R$313=E$1),('Comp.'!$E$5:$E$313))</f>
        <v>0</v>
      </c>
      <c r="F94" s="185">
        <f>SUMPRODUCT(-('Diário 5º PA'!$E$5:$E$2634='Analítico Cp.'!$B94),-('Diário 5º PA'!$Q$5:$Q$2634=F$1),('Diário 5º PA'!$F$5:$F$2634))
+SUMPRODUCT(-('Diário 6º PA'!$E$5:$E$2246='Analítico Cp.'!$B94),-('Diário 6º PA'!$Q$5:$Q$2246=F$1),('Diário 6º PA'!$F$5:$F$2246))
+SUMPRODUCT(-('Diário 7º PA'!$E$5:$E$2271='Analítico Cp.'!$B94),-('Diário 7º PA'!$Q$5:$Q$2271=F$1),('Diário 7º PA'!$F$5:$F$2271))
+SUMPRODUCT(-('Diário 8º PA'!$E$5:$E$2488='Analítico Cp.'!$B94),-('Diário 8º PA'!$Q$5:$Q$2488=F$1),('Diário 8º PA'!$F$5:$F$2488))
+SUMPRODUCT(-('Comp.'!$D$5:$D$313='Analítico Cp.'!$B94),-('Comp.'!$R$5:$R$313=F$1),('Comp.'!$E$5:$E$313))</f>
        <v>0</v>
      </c>
      <c r="G94" s="185">
        <f>SUMPRODUCT(-('Diário 5º PA'!$E$5:$E$2634='Analítico Cp.'!$B94),-('Diário 5º PA'!$Q$5:$Q$2634=G$1),('Diário 5º PA'!$F$5:$F$2634))
+SUMPRODUCT(-('Diário 6º PA'!$E$5:$E$2246='Analítico Cp.'!$B94),-('Diário 6º PA'!$Q$5:$Q$2246=G$1),('Diário 6º PA'!$F$5:$F$2246))
+SUMPRODUCT(-('Diário 7º PA'!$E$5:$E$2271='Analítico Cp.'!$B94),-('Diário 7º PA'!$Q$5:$Q$2271=G$1),('Diário 7º PA'!$F$5:$F$2271))
+SUMPRODUCT(-('Diário 8º PA'!$E$5:$E$2488='Analítico Cp.'!$B94),-('Diário 8º PA'!$Q$5:$Q$2488=G$1),('Diário 8º PA'!$F$5:$F$2488))
+SUMPRODUCT(-('Comp.'!$D$5:$D$313='Analítico Cp.'!$B94),-('Comp.'!$R$5:$R$313=G$1),('Comp.'!$E$5:$E$313))</f>
        <v>0</v>
      </c>
      <c r="H94" s="185">
        <f>SUMPRODUCT(-('Diário 5º PA'!$E$5:$E$2634='Analítico Cp.'!$B94),-('Diário 5º PA'!$Q$5:$Q$2634=H$1),('Diário 5º PA'!$F$5:$F$2634))
+SUMPRODUCT(-('Diário 6º PA'!$E$5:$E$2246='Analítico Cp.'!$B94),-('Diário 6º PA'!$Q$5:$Q$2246=H$1),('Diário 6º PA'!$F$5:$F$2246))
+SUMPRODUCT(-('Diário 7º PA'!$E$5:$E$2271='Analítico Cp.'!$B94),-('Diário 7º PA'!$Q$5:$Q$2271=H$1),('Diário 7º PA'!$F$5:$F$2271))
+SUMPRODUCT(-('Diário 8º PA'!$E$5:$E$2488='Analítico Cp.'!$B94),-('Diário 8º PA'!$Q$5:$Q$2488=H$1),('Diário 8º PA'!$F$5:$F$2488))
+SUMPRODUCT(-('Comp.'!$D$5:$D$313='Analítico Cp.'!$B94),-('Comp.'!$R$5:$R$313=H$1),('Comp.'!$E$5:$E$313))</f>
        <v>0</v>
      </c>
      <c r="I94" s="185">
        <f>SUMPRODUCT(-('Diário 5º PA'!$E$5:$E$2634='Analítico Cp.'!$B94),-('Diário 5º PA'!$Q$5:$Q$2634=I$1),('Diário 5º PA'!$F$5:$F$2634))
+SUMPRODUCT(-('Diário 6º PA'!$E$5:$E$2246='Analítico Cp.'!$B94),-('Diário 6º PA'!$Q$5:$Q$2246=I$1),('Diário 6º PA'!$F$5:$F$2246))
+SUMPRODUCT(-('Diário 7º PA'!$E$5:$E$2271='Analítico Cp.'!$B94),-('Diário 7º PA'!$Q$5:$Q$2271=I$1),('Diário 7º PA'!$F$5:$F$2271))
+SUMPRODUCT(-('Diário 8º PA'!$E$5:$E$2488='Analítico Cp.'!$B94),-('Diário 8º PA'!$Q$5:$Q$2488=I$1),('Diário 8º PA'!$F$5:$F$2488))
+SUMPRODUCT(-('Comp.'!$D$5:$D$313='Analítico Cp.'!$B94),-('Comp.'!$R$5:$R$313=I$1),('Comp.'!$E$5:$E$313))</f>
        <v>0</v>
      </c>
      <c r="J94" s="185">
        <f>SUMPRODUCT(-('Diário 5º PA'!$E$5:$E$2634='Analítico Cp.'!$B94),-('Diário 5º PA'!$Q$5:$Q$2634=J$1),('Diário 5º PA'!$F$5:$F$2634))
+SUMPRODUCT(-('Diário 6º PA'!$E$5:$E$2246='Analítico Cp.'!$B94),-('Diário 6º PA'!$Q$5:$Q$2246=J$1),('Diário 6º PA'!$F$5:$F$2246))
+SUMPRODUCT(-('Diário 7º PA'!$E$5:$E$2271='Analítico Cp.'!$B94),-('Diário 7º PA'!$Q$5:$Q$2271=J$1),('Diário 7º PA'!$F$5:$F$2271))
+SUMPRODUCT(-('Diário 8º PA'!$E$5:$E$2488='Analítico Cp.'!$B94),-('Diário 8º PA'!$Q$5:$Q$2488=J$1),('Diário 8º PA'!$F$5:$F$2488))
+SUMPRODUCT(-('Comp.'!$D$5:$D$313='Analítico Cp.'!$B94),-('Comp.'!$R$5:$R$313=J$1),('Comp.'!$E$5:$E$313))</f>
        <v>0</v>
      </c>
      <c r="K94" s="185">
        <f>SUMPRODUCT(-('Diário 5º PA'!$E$5:$E$2634='Analítico Cp.'!$B94),-('Diário 5º PA'!$Q$5:$Q$2634=K$1),('Diário 5º PA'!$F$5:$F$2634))
+SUMPRODUCT(-('Diário 6º PA'!$E$5:$E$2246='Analítico Cp.'!$B94),-('Diário 6º PA'!$Q$5:$Q$2246=K$1),('Diário 6º PA'!$F$5:$F$2246))
+SUMPRODUCT(-('Diário 7º PA'!$E$5:$E$2271='Analítico Cp.'!$B94),-('Diário 7º PA'!$Q$5:$Q$2271=K$1),('Diário 7º PA'!$F$5:$F$2271))
+SUMPRODUCT(-('Diário 8º PA'!$E$5:$E$2488='Analítico Cp.'!$B94),-('Diário 8º PA'!$Q$5:$Q$2488=K$1),('Diário 8º PA'!$F$5:$F$2488))
+SUMPRODUCT(-('Comp.'!$D$5:$D$313='Analítico Cp.'!$B94),-('Comp.'!$R$5:$R$313=K$1),('Comp.'!$E$5:$E$313))</f>
        <v>0</v>
      </c>
      <c r="L94" s="185">
        <f>SUMPRODUCT(-('Diário 5º PA'!$E$5:$E$2634='Analítico Cp.'!$B94),-('Diário 5º PA'!$Q$5:$Q$2634=L$1),('Diário 5º PA'!$F$5:$F$2634))
+SUMPRODUCT(-('Diário 6º PA'!$E$5:$E$2246='Analítico Cp.'!$B94),-('Diário 6º PA'!$Q$5:$Q$2246=L$1),('Diário 6º PA'!$F$5:$F$2246))
+SUMPRODUCT(-('Diário 7º PA'!$E$5:$E$2271='Analítico Cp.'!$B94),-('Diário 7º PA'!$Q$5:$Q$2271=L$1),('Diário 7º PA'!$F$5:$F$2271))
+SUMPRODUCT(-('Diário 8º PA'!$E$5:$E$2488='Analítico Cp.'!$B94),-('Diário 8º PA'!$Q$5:$Q$2488=L$1),('Diário 8º PA'!$F$5:$F$2488))
+SUMPRODUCT(-('Comp.'!$D$5:$D$313='Analítico Cp.'!$B94),-('Comp.'!$R$5:$R$313=L$1),('Comp.'!$E$5:$E$313))</f>
        <v>0</v>
      </c>
      <c r="M94" s="185">
        <f>SUMPRODUCT(-('Diário 5º PA'!$E$5:$E$2634='Analítico Cp.'!$B94),-('Diário 5º PA'!$Q$5:$Q$2634=M$1),('Diário 5º PA'!$F$5:$F$2634))
+SUMPRODUCT(-('Diário 6º PA'!$E$5:$E$2246='Analítico Cp.'!$B94),-('Diário 6º PA'!$Q$5:$Q$2246=M$1),('Diário 6º PA'!$F$5:$F$2246))
+SUMPRODUCT(-('Diário 7º PA'!$E$5:$E$2271='Analítico Cp.'!$B94),-('Diário 7º PA'!$Q$5:$Q$2271=M$1),('Diário 7º PA'!$F$5:$F$2271))
+SUMPRODUCT(-('Diário 8º PA'!$E$5:$E$2488='Analítico Cp.'!$B94),-('Diário 8º PA'!$Q$5:$Q$2488=M$1),('Diário 8º PA'!$F$5:$F$2488))
+SUMPRODUCT(-('Comp.'!$D$5:$D$313='Analítico Cp.'!$B94),-('Comp.'!$R$5:$R$313=M$1),('Comp.'!$E$5:$E$313))</f>
        <v>0</v>
      </c>
      <c r="N94" s="185">
        <f>SUMPRODUCT(-('Diário 5º PA'!$E$5:$E$2634='Analítico Cp.'!$B94),-('Diário 5º PA'!$Q$5:$Q$2634=N$1),('Diário 5º PA'!$F$5:$F$2634))
+SUMPRODUCT(-('Diário 6º PA'!$E$5:$E$2246='Analítico Cp.'!$B94),-('Diário 6º PA'!$Q$5:$Q$2246=N$1),('Diário 6º PA'!$F$5:$F$2246))
+SUMPRODUCT(-('Diário 7º PA'!$E$5:$E$2271='Analítico Cp.'!$B94),-('Diário 7º PA'!$Q$5:$Q$2271=N$1),('Diário 7º PA'!$F$5:$F$2271))
+SUMPRODUCT(-('Diário 8º PA'!$E$5:$E$2488='Analítico Cp.'!$B94),-('Diário 8º PA'!$Q$5:$Q$2488=N$1),('Diário 8º PA'!$F$5:$F$2488))
+SUMPRODUCT(-('Comp.'!$D$5:$D$313='Analítico Cp.'!$B94),-('Comp.'!$R$5:$R$313=N$1),('Comp.'!$E$5:$E$313))</f>
        <v>0</v>
      </c>
      <c r="O94" s="186">
        <f t="shared" si="16"/>
        <v>0</v>
      </c>
      <c r="P94" s="187">
        <f t="shared" si="17"/>
        <v>0</v>
      </c>
      <c r="Q94" s="34"/>
      <c r="R94" s="34"/>
      <c r="S94" s="34"/>
      <c r="T94" s="34"/>
      <c r="U94" s="34"/>
      <c r="V94" s="34"/>
      <c r="W94" s="34"/>
      <c r="X94" s="34"/>
      <c r="Y94" s="34"/>
      <c r="Z94" s="34"/>
    </row>
    <row r="95" spans="1:26" ht="23.25" customHeight="1" x14ac:dyDescent="0.2">
      <c r="A95" s="203" t="s">
        <v>287</v>
      </c>
      <c r="B95" s="72" t="s">
        <v>288</v>
      </c>
      <c r="C95" s="185">
        <f>SUMPRODUCT(-('Diário 5º PA'!$E$5:$E$2634='Analítico Cp.'!$B95),-('Diário 5º PA'!$Q$5:$Q$2634=C$1),('Diário 5º PA'!$F$5:$F$2634))
+SUMPRODUCT(-('Diário 6º PA'!$E$5:$E$2246='Analítico Cp.'!$B95),-('Diário 6º PA'!$Q$5:$Q$2246=C$1),('Diário 6º PA'!$F$5:$F$2246))
+SUMPRODUCT(-('Diário 7º PA'!$E$5:$E$2271='Analítico Cp.'!$B95),-('Diário 7º PA'!$Q$5:$Q$2271=C$1),('Diário 7º PA'!$F$5:$F$2271))
+SUMPRODUCT(-('Diário 8º PA'!$E$5:$E$2488='Analítico Cp.'!$B95),-('Diário 8º PA'!$Q$5:$Q$2488=C$1),('Diário 8º PA'!$F$5:$F$2488))
+SUMPRODUCT(-('Comp.'!$D$5:$D$313='Analítico Cp.'!$B95),-('Comp.'!$R$5:$R$313=C$1),('Comp.'!$E$5:$E$313))</f>
        <v>0</v>
      </c>
      <c r="D95" s="185">
        <f>SUMPRODUCT(-('Diário 5º PA'!$E$5:$E$2634='Analítico Cp.'!$B95),-('Diário 5º PA'!$Q$5:$Q$2634=D$1),('Diário 5º PA'!$F$5:$F$2634))
+SUMPRODUCT(-('Diário 6º PA'!$E$5:$E$2246='Analítico Cp.'!$B95),-('Diário 6º PA'!$Q$5:$Q$2246=D$1),('Diário 6º PA'!$F$5:$F$2246))
+SUMPRODUCT(-('Diário 7º PA'!$E$5:$E$2271='Analítico Cp.'!$B95),-('Diário 7º PA'!$Q$5:$Q$2271=D$1),('Diário 7º PA'!$F$5:$F$2271))
+SUMPRODUCT(-('Diário 8º PA'!$E$5:$E$2488='Analítico Cp.'!$B95),-('Diário 8º PA'!$Q$5:$Q$2488=D$1),('Diário 8º PA'!$F$5:$F$2488))
+SUMPRODUCT(-('Comp.'!$D$5:$D$313='Analítico Cp.'!$B95),-('Comp.'!$R$5:$R$313=D$1),('Comp.'!$E$5:$E$313))</f>
        <v>180.5</v>
      </c>
      <c r="E95" s="185">
        <f>SUMPRODUCT(-('Diário 5º PA'!$E$5:$E$2634='Analítico Cp.'!$B95),-('Diário 5º PA'!$Q$5:$Q$2634=E$1),('Diário 5º PA'!$F$5:$F$2634))
+SUMPRODUCT(-('Diário 6º PA'!$E$5:$E$2246='Analítico Cp.'!$B95),-('Diário 6º PA'!$Q$5:$Q$2246=E$1),('Diário 6º PA'!$F$5:$F$2246))
+SUMPRODUCT(-('Diário 7º PA'!$E$5:$E$2271='Analítico Cp.'!$B95),-('Diário 7º PA'!$Q$5:$Q$2271=E$1),('Diário 7º PA'!$F$5:$F$2271))
+SUMPRODUCT(-('Diário 8º PA'!$E$5:$E$2488='Analítico Cp.'!$B95),-('Diário 8º PA'!$Q$5:$Q$2488=E$1),('Diário 8º PA'!$F$5:$F$2488))
+SUMPRODUCT(-('Comp.'!$D$5:$D$313='Analítico Cp.'!$B95),-('Comp.'!$R$5:$R$313=E$1),('Comp.'!$E$5:$E$313))</f>
        <v>0</v>
      </c>
      <c r="F95" s="185">
        <f>SUMPRODUCT(-('Diário 5º PA'!$E$5:$E$2634='Analítico Cp.'!$B95),-('Diário 5º PA'!$Q$5:$Q$2634=F$1),('Diário 5º PA'!$F$5:$F$2634))
+SUMPRODUCT(-('Diário 6º PA'!$E$5:$E$2246='Analítico Cp.'!$B95),-('Diário 6º PA'!$Q$5:$Q$2246=F$1),('Diário 6º PA'!$F$5:$F$2246))
+SUMPRODUCT(-('Diário 7º PA'!$E$5:$E$2271='Analítico Cp.'!$B95),-('Diário 7º PA'!$Q$5:$Q$2271=F$1),('Diário 7º PA'!$F$5:$F$2271))
+SUMPRODUCT(-('Diário 8º PA'!$E$5:$E$2488='Analítico Cp.'!$B95),-('Diário 8º PA'!$Q$5:$Q$2488=F$1),('Diário 8º PA'!$F$5:$F$2488))
+SUMPRODUCT(-('Comp.'!$D$5:$D$313='Analítico Cp.'!$B95),-('Comp.'!$R$5:$R$313=F$1),('Comp.'!$E$5:$E$313))</f>
        <v>0</v>
      </c>
      <c r="G95" s="185">
        <f>SUMPRODUCT(-('Diário 5º PA'!$E$5:$E$2634='Analítico Cp.'!$B95),-('Diário 5º PA'!$Q$5:$Q$2634=G$1),('Diário 5º PA'!$F$5:$F$2634))
+SUMPRODUCT(-('Diário 6º PA'!$E$5:$E$2246='Analítico Cp.'!$B95),-('Diário 6º PA'!$Q$5:$Q$2246=G$1),('Diário 6º PA'!$F$5:$F$2246))
+SUMPRODUCT(-('Diário 7º PA'!$E$5:$E$2271='Analítico Cp.'!$B95),-('Diário 7º PA'!$Q$5:$Q$2271=G$1),('Diário 7º PA'!$F$5:$F$2271))
+SUMPRODUCT(-('Diário 8º PA'!$E$5:$E$2488='Analítico Cp.'!$B95),-('Diário 8º PA'!$Q$5:$Q$2488=G$1),('Diário 8º PA'!$F$5:$F$2488))
+SUMPRODUCT(-('Comp.'!$D$5:$D$313='Analítico Cp.'!$B95),-('Comp.'!$R$5:$R$313=G$1),('Comp.'!$E$5:$E$313))</f>
        <v>0</v>
      </c>
      <c r="H95" s="185">
        <f>SUMPRODUCT(-('Diário 5º PA'!$E$5:$E$2634='Analítico Cp.'!$B95),-('Diário 5º PA'!$Q$5:$Q$2634=H$1),('Diário 5º PA'!$F$5:$F$2634))
+SUMPRODUCT(-('Diário 6º PA'!$E$5:$E$2246='Analítico Cp.'!$B95),-('Diário 6º PA'!$Q$5:$Q$2246=H$1),('Diário 6º PA'!$F$5:$F$2246))
+SUMPRODUCT(-('Diário 7º PA'!$E$5:$E$2271='Analítico Cp.'!$B95),-('Diário 7º PA'!$Q$5:$Q$2271=H$1),('Diário 7º PA'!$F$5:$F$2271))
+SUMPRODUCT(-('Diário 8º PA'!$E$5:$E$2488='Analítico Cp.'!$B95),-('Diário 8º PA'!$Q$5:$Q$2488=H$1),('Diário 8º PA'!$F$5:$F$2488))
+SUMPRODUCT(-('Comp.'!$D$5:$D$313='Analítico Cp.'!$B95),-('Comp.'!$R$5:$R$313=H$1),('Comp.'!$E$5:$E$313))</f>
        <v>0</v>
      </c>
      <c r="I95" s="185">
        <f>SUMPRODUCT(-('Diário 5º PA'!$E$5:$E$2634='Analítico Cp.'!$B95),-('Diário 5º PA'!$Q$5:$Q$2634=I$1),('Diário 5º PA'!$F$5:$F$2634))
+SUMPRODUCT(-('Diário 6º PA'!$E$5:$E$2246='Analítico Cp.'!$B95),-('Diário 6º PA'!$Q$5:$Q$2246=I$1),('Diário 6º PA'!$F$5:$F$2246))
+SUMPRODUCT(-('Diário 7º PA'!$E$5:$E$2271='Analítico Cp.'!$B95),-('Diário 7º PA'!$Q$5:$Q$2271=I$1),('Diário 7º PA'!$F$5:$F$2271))
+SUMPRODUCT(-('Diário 8º PA'!$E$5:$E$2488='Analítico Cp.'!$B95),-('Diário 8º PA'!$Q$5:$Q$2488=I$1),('Diário 8º PA'!$F$5:$F$2488))
+SUMPRODUCT(-('Comp.'!$D$5:$D$313='Analítico Cp.'!$B95),-('Comp.'!$R$5:$R$313=I$1),('Comp.'!$E$5:$E$313))</f>
        <v>1805</v>
      </c>
      <c r="J95" s="185">
        <f>SUMPRODUCT(-('Diário 5º PA'!$E$5:$E$2634='Analítico Cp.'!$B95),-('Diário 5º PA'!$Q$5:$Q$2634=J$1),('Diário 5º PA'!$F$5:$F$2634))
+SUMPRODUCT(-('Diário 6º PA'!$E$5:$E$2246='Analítico Cp.'!$B95),-('Diário 6º PA'!$Q$5:$Q$2246=J$1),('Diário 6º PA'!$F$5:$F$2246))
+SUMPRODUCT(-('Diário 7º PA'!$E$5:$E$2271='Analítico Cp.'!$B95),-('Diário 7º PA'!$Q$5:$Q$2271=J$1),('Diário 7º PA'!$F$5:$F$2271))
+SUMPRODUCT(-('Diário 8º PA'!$E$5:$E$2488='Analítico Cp.'!$B95),-('Diário 8º PA'!$Q$5:$Q$2488=J$1),('Diário 8º PA'!$F$5:$F$2488))
+SUMPRODUCT(-('Comp.'!$D$5:$D$313='Analítico Cp.'!$B95),-('Comp.'!$R$5:$R$313=J$1),('Comp.'!$E$5:$E$313))</f>
        <v>0</v>
      </c>
      <c r="K95" s="185">
        <f>SUMPRODUCT(-('Diário 5º PA'!$E$5:$E$2634='Analítico Cp.'!$B95),-('Diário 5º PA'!$Q$5:$Q$2634=K$1),('Diário 5º PA'!$F$5:$F$2634))
+SUMPRODUCT(-('Diário 6º PA'!$E$5:$E$2246='Analítico Cp.'!$B95),-('Diário 6º PA'!$Q$5:$Q$2246=K$1),('Diário 6º PA'!$F$5:$F$2246))
+SUMPRODUCT(-('Diário 7º PA'!$E$5:$E$2271='Analítico Cp.'!$B95),-('Diário 7º PA'!$Q$5:$Q$2271=K$1),('Diário 7º PA'!$F$5:$F$2271))
+SUMPRODUCT(-('Diário 8º PA'!$E$5:$E$2488='Analítico Cp.'!$B95),-('Diário 8º PA'!$Q$5:$Q$2488=K$1),('Diário 8º PA'!$F$5:$F$2488))
+SUMPRODUCT(-('Comp.'!$D$5:$D$313='Analítico Cp.'!$B95),-('Comp.'!$R$5:$R$313=K$1),('Comp.'!$E$5:$E$313))</f>
        <v>0</v>
      </c>
      <c r="L95" s="185">
        <f>SUMPRODUCT(-('Diário 5º PA'!$E$5:$E$2634='Analítico Cp.'!$B95),-('Diário 5º PA'!$Q$5:$Q$2634=L$1),('Diário 5º PA'!$F$5:$F$2634))
+SUMPRODUCT(-('Diário 6º PA'!$E$5:$E$2246='Analítico Cp.'!$B95),-('Diário 6º PA'!$Q$5:$Q$2246=L$1),('Diário 6º PA'!$F$5:$F$2246))
+SUMPRODUCT(-('Diário 7º PA'!$E$5:$E$2271='Analítico Cp.'!$B95),-('Diário 7º PA'!$Q$5:$Q$2271=L$1),('Diário 7º PA'!$F$5:$F$2271))
+SUMPRODUCT(-('Diário 8º PA'!$E$5:$E$2488='Analítico Cp.'!$B95),-('Diário 8º PA'!$Q$5:$Q$2488=L$1),('Diário 8º PA'!$F$5:$F$2488))
+SUMPRODUCT(-('Comp.'!$D$5:$D$313='Analítico Cp.'!$B95),-('Comp.'!$R$5:$R$313=L$1),('Comp.'!$E$5:$E$313))</f>
        <v>1540</v>
      </c>
      <c r="M95" s="185">
        <f>SUMPRODUCT(-('Diário 5º PA'!$E$5:$E$2634='Analítico Cp.'!$B95),-('Diário 5º PA'!$Q$5:$Q$2634=M$1),('Diário 5º PA'!$F$5:$F$2634))
+SUMPRODUCT(-('Diário 6º PA'!$E$5:$E$2246='Analítico Cp.'!$B95),-('Diário 6º PA'!$Q$5:$Q$2246=M$1),('Diário 6º PA'!$F$5:$F$2246))
+SUMPRODUCT(-('Diário 7º PA'!$E$5:$E$2271='Analítico Cp.'!$B95),-('Diário 7º PA'!$Q$5:$Q$2271=M$1),('Diário 7º PA'!$F$5:$F$2271))
+SUMPRODUCT(-('Diário 8º PA'!$E$5:$E$2488='Analítico Cp.'!$B95),-('Diário 8º PA'!$Q$5:$Q$2488=M$1),('Diário 8º PA'!$F$5:$F$2488))
+SUMPRODUCT(-('Comp.'!$D$5:$D$313='Analítico Cp.'!$B95),-('Comp.'!$R$5:$R$313=M$1),('Comp.'!$E$5:$E$313))</f>
        <v>0</v>
      </c>
      <c r="N95" s="185">
        <f>SUMPRODUCT(-('Diário 5º PA'!$E$5:$E$2634='Analítico Cp.'!$B95),-('Diário 5º PA'!$Q$5:$Q$2634=N$1),('Diário 5º PA'!$F$5:$F$2634))
+SUMPRODUCT(-('Diário 6º PA'!$E$5:$E$2246='Analítico Cp.'!$B95),-('Diário 6º PA'!$Q$5:$Q$2246=N$1),('Diário 6º PA'!$F$5:$F$2246))
+SUMPRODUCT(-('Diário 7º PA'!$E$5:$E$2271='Analítico Cp.'!$B95),-('Diário 7º PA'!$Q$5:$Q$2271=N$1),('Diário 7º PA'!$F$5:$F$2271))
+SUMPRODUCT(-('Diário 8º PA'!$E$5:$E$2488='Analítico Cp.'!$B95),-('Diário 8º PA'!$Q$5:$Q$2488=N$1),('Diário 8º PA'!$F$5:$F$2488))
+SUMPRODUCT(-('Comp.'!$D$5:$D$313='Analítico Cp.'!$B95),-('Comp.'!$R$5:$R$313=N$1),('Comp.'!$E$5:$E$313))</f>
        <v>0</v>
      </c>
      <c r="O95" s="186">
        <f t="shared" si="16"/>
        <v>3525.5</v>
      </c>
      <c r="P95" s="187">
        <f t="shared" si="17"/>
        <v>3.6364177837567972E-4</v>
      </c>
      <c r="Q95" s="34"/>
      <c r="R95" s="34"/>
      <c r="S95" s="34"/>
      <c r="T95" s="34"/>
      <c r="U95" s="34"/>
      <c r="V95" s="34"/>
      <c r="W95" s="34"/>
      <c r="X95" s="34"/>
      <c r="Y95" s="34"/>
      <c r="Z95" s="34"/>
    </row>
    <row r="96" spans="1:26" ht="23.25" customHeight="1" x14ac:dyDescent="0.2">
      <c r="A96" s="203" t="s">
        <v>289</v>
      </c>
      <c r="B96" s="72" t="s">
        <v>290</v>
      </c>
      <c r="C96" s="185">
        <f>SUMPRODUCT(-('Diário 5º PA'!$E$5:$E$2634='Analítico Cp.'!$B96),-('Diário 5º PA'!$Q$5:$Q$2634=C$1),('Diário 5º PA'!$F$5:$F$2634))
+SUMPRODUCT(-('Diário 6º PA'!$E$5:$E$2246='Analítico Cp.'!$B96),-('Diário 6º PA'!$Q$5:$Q$2246=C$1),('Diário 6º PA'!$F$5:$F$2246))
+SUMPRODUCT(-('Diário 7º PA'!$E$5:$E$2271='Analítico Cp.'!$B96),-('Diário 7º PA'!$Q$5:$Q$2271=C$1),('Diário 7º PA'!$F$5:$F$2271))
+SUMPRODUCT(-('Diário 8º PA'!$E$5:$E$2488='Analítico Cp.'!$B96),-('Diário 8º PA'!$Q$5:$Q$2488=C$1),('Diário 8º PA'!$F$5:$F$2488))
+SUMPRODUCT(-('Comp.'!$D$5:$D$313='Analítico Cp.'!$B96),-('Comp.'!$R$5:$R$313=C$1),('Comp.'!$E$5:$E$313))</f>
        <v>134.9</v>
      </c>
      <c r="D96" s="185">
        <f>SUMPRODUCT(-('Diário 5º PA'!$E$5:$E$2634='Analítico Cp.'!$B96),-('Diário 5º PA'!$Q$5:$Q$2634=D$1),('Diário 5º PA'!$F$5:$F$2634))
+SUMPRODUCT(-('Diário 6º PA'!$E$5:$E$2246='Analítico Cp.'!$B96),-('Diário 6º PA'!$Q$5:$Q$2246=D$1),('Diário 6º PA'!$F$5:$F$2246))
+SUMPRODUCT(-('Diário 7º PA'!$E$5:$E$2271='Analítico Cp.'!$B96),-('Diário 7º PA'!$Q$5:$Q$2271=D$1),('Diário 7º PA'!$F$5:$F$2271))
+SUMPRODUCT(-('Diário 8º PA'!$E$5:$E$2488='Analítico Cp.'!$B96),-('Diário 8º PA'!$Q$5:$Q$2488=D$1),('Diário 8º PA'!$F$5:$F$2488))
+SUMPRODUCT(-('Comp.'!$D$5:$D$313='Analítico Cp.'!$B96),-('Comp.'!$R$5:$R$313=D$1),('Comp.'!$E$5:$E$313))</f>
        <v>13200</v>
      </c>
      <c r="E96" s="185">
        <f>SUMPRODUCT(-('Diário 5º PA'!$E$5:$E$2634='Analítico Cp.'!$B96),-('Diário 5º PA'!$Q$5:$Q$2634=E$1),('Diário 5º PA'!$F$5:$F$2634))
+SUMPRODUCT(-('Diário 6º PA'!$E$5:$E$2246='Analítico Cp.'!$B96),-('Diário 6º PA'!$Q$5:$Q$2246=E$1),('Diário 6º PA'!$F$5:$F$2246))
+SUMPRODUCT(-('Diário 7º PA'!$E$5:$E$2271='Analítico Cp.'!$B96),-('Diário 7º PA'!$Q$5:$Q$2271=E$1),('Diário 7º PA'!$F$5:$F$2271))
+SUMPRODUCT(-('Diário 8º PA'!$E$5:$E$2488='Analítico Cp.'!$B96),-('Diário 8º PA'!$Q$5:$Q$2488=E$1),('Diário 8º PA'!$F$5:$F$2488))
+SUMPRODUCT(-('Comp.'!$D$5:$D$313='Analítico Cp.'!$B96),-('Comp.'!$R$5:$R$313=E$1),('Comp.'!$E$5:$E$313))</f>
        <v>0</v>
      </c>
      <c r="F96" s="185">
        <f>SUMPRODUCT(-('Diário 5º PA'!$E$5:$E$2634='Analítico Cp.'!$B96),-('Diário 5º PA'!$Q$5:$Q$2634=F$1),('Diário 5º PA'!$F$5:$F$2634))
+SUMPRODUCT(-('Diário 6º PA'!$E$5:$E$2246='Analítico Cp.'!$B96),-('Diário 6º PA'!$Q$5:$Q$2246=F$1),('Diário 6º PA'!$F$5:$F$2246))
+SUMPRODUCT(-('Diário 7º PA'!$E$5:$E$2271='Analítico Cp.'!$B96),-('Diário 7º PA'!$Q$5:$Q$2271=F$1),('Diário 7º PA'!$F$5:$F$2271))
+SUMPRODUCT(-('Diário 8º PA'!$E$5:$E$2488='Analítico Cp.'!$B96),-('Diário 8º PA'!$Q$5:$Q$2488=F$1),('Diário 8º PA'!$F$5:$F$2488))
+SUMPRODUCT(-('Comp.'!$D$5:$D$313='Analítico Cp.'!$B96),-('Comp.'!$R$5:$R$313=F$1),('Comp.'!$E$5:$E$313))</f>
        <v>64.3</v>
      </c>
      <c r="G96" s="185">
        <f>SUMPRODUCT(-('Diário 5º PA'!$E$5:$E$2634='Analítico Cp.'!$B96),-('Diário 5º PA'!$Q$5:$Q$2634=G$1),('Diário 5º PA'!$F$5:$F$2634))
+SUMPRODUCT(-('Diário 6º PA'!$E$5:$E$2246='Analítico Cp.'!$B96),-('Diário 6º PA'!$Q$5:$Q$2246=G$1),('Diário 6º PA'!$F$5:$F$2246))
+SUMPRODUCT(-('Diário 7º PA'!$E$5:$E$2271='Analítico Cp.'!$B96),-('Diário 7º PA'!$Q$5:$Q$2271=G$1),('Diário 7º PA'!$F$5:$F$2271))
+SUMPRODUCT(-('Diário 8º PA'!$E$5:$E$2488='Analítico Cp.'!$B96),-('Diário 8º PA'!$Q$5:$Q$2488=G$1),('Diário 8º PA'!$F$5:$F$2488))
+SUMPRODUCT(-('Comp.'!$D$5:$D$313='Analítico Cp.'!$B96),-('Comp.'!$R$5:$R$313=G$1),('Comp.'!$E$5:$E$313))</f>
        <v>0</v>
      </c>
      <c r="H96" s="185">
        <f>SUMPRODUCT(-('Diário 5º PA'!$E$5:$E$2634='Analítico Cp.'!$B96),-('Diário 5º PA'!$Q$5:$Q$2634=H$1),('Diário 5º PA'!$F$5:$F$2634))
+SUMPRODUCT(-('Diário 6º PA'!$E$5:$E$2246='Analítico Cp.'!$B96),-('Diário 6º PA'!$Q$5:$Q$2246=H$1),('Diário 6º PA'!$F$5:$F$2246))
+SUMPRODUCT(-('Diário 7º PA'!$E$5:$E$2271='Analítico Cp.'!$B96),-('Diário 7º PA'!$Q$5:$Q$2271=H$1),('Diário 7º PA'!$F$5:$F$2271))
+SUMPRODUCT(-('Diário 8º PA'!$E$5:$E$2488='Analítico Cp.'!$B96),-('Diário 8º PA'!$Q$5:$Q$2488=H$1),('Diário 8º PA'!$F$5:$F$2488))
+SUMPRODUCT(-('Comp.'!$D$5:$D$313='Analítico Cp.'!$B96),-('Comp.'!$R$5:$R$313=H$1),('Comp.'!$E$5:$E$313))</f>
        <v>0</v>
      </c>
      <c r="I96" s="185">
        <f>SUMPRODUCT(-('Diário 5º PA'!$E$5:$E$2634='Analítico Cp.'!$B96),-('Diário 5º PA'!$Q$5:$Q$2634=I$1),('Diário 5º PA'!$F$5:$F$2634))
+SUMPRODUCT(-('Diário 6º PA'!$E$5:$E$2246='Analítico Cp.'!$B96),-('Diário 6º PA'!$Q$5:$Q$2246=I$1),('Diário 6º PA'!$F$5:$F$2246))
+SUMPRODUCT(-('Diário 7º PA'!$E$5:$E$2271='Analítico Cp.'!$B96),-('Diário 7º PA'!$Q$5:$Q$2271=I$1),('Diário 7º PA'!$F$5:$F$2271))
+SUMPRODUCT(-('Diário 8º PA'!$E$5:$E$2488='Analítico Cp.'!$B96),-('Diário 8º PA'!$Q$5:$Q$2488=I$1),('Diário 8º PA'!$F$5:$F$2488))
+SUMPRODUCT(-('Comp.'!$D$5:$D$313='Analítico Cp.'!$B96),-('Comp.'!$R$5:$R$313=I$1),('Comp.'!$E$5:$E$313))</f>
        <v>0</v>
      </c>
      <c r="J96" s="185">
        <f>SUMPRODUCT(-('Diário 5º PA'!$E$5:$E$2634='Analítico Cp.'!$B96),-('Diário 5º PA'!$Q$5:$Q$2634=J$1),('Diário 5º PA'!$F$5:$F$2634))
+SUMPRODUCT(-('Diário 6º PA'!$E$5:$E$2246='Analítico Cp.'!$B96),-('Diário 6º PA'!$Q$5:$Q$2246=J$1),('Diário 6º PA'!$F$5:$F$2246))
+SUMPRODUCT(-('Diário 7º PA'!$E$5:$E$2271='Analítico Cp.'!$B96),-('Diário 7º PA'!$Q$5:$Q$2271=J$1),('Diário 7º PA'!$F$5:$F$2271))
+SUMPRODUCT(-('Diário 8º PA'!$E$5:$E$2488='Analítico Cp.'!$B96),-('Diário 8º PA'!$Q$5:$Q$2488=J$1),('Diário 8º PA'!$F$5:$F$2488))
+SUMPRODUCT(-('Comp.'!$D$5:$D$313='Analítico Cp.'!$B96),-('Comp.'!$R$5:$R$313=J$1),('Comp.'!$E$5:$E$313))</f>
        <v>2038.43</v>
      </c>
      <c r="K96" s="185">
        <f>SUMPRODUCT(-('Diário 5º PA'!$E$5:$E$2634='Analítico Cp.'!$B96),-('Diário 5º PA'!$Q$5:$Q$2634=K$1),('Diário 5º PA'!$F$5:$F$2634))
+SUMPRODUCT(-('Diário 6º PA'!$E$5:$E$2246='Analítico Cp.'!$B96),-('Diário 6º PA'!$Q$5:$Q$2246=K$1),('Diário 6º PA'!$F$5:$F$2246))
+SUMPRODUCT(-('Diário 7º PA'!$E$5:$E$2271='Analítico Cp.'!$B96),-('Diário 7º PA'!$Q$5:$Q$2271=K$1),('Diário 7º PA'!$F$5:$F$2271))
+SUMPRODUCT(-('Diário 8º PA'!$E$5:$E$2488='Analítico Cp.'!$B96),-('Diário 8º PA'!$Q$5:$Q$2488=K$1),('Diário 8º PA'!$F$5:$F$2488))
+SUMPRODUCT(-('Comp.'!$D$5:$D$313='Analítico Cp.'!$B96),-('Comp.'!$R$5:$R$313=K$1),('Comp.'!$E$5:$E$313))</f>
        <v>0</v>
      </c>
      <c r="L96" s="185">
        <f>SUMPRODUCT(-('Diário 5º PA'!$E$5:$E$2634='Analítico Cp.'!$B96),-('Diário 5º PA'!$Q$5:$Q$2634=L$1),('Diário 5º PA'!$F$5:$F$2634))
+SUMPRODUCT(-('Diário 6º PA'!$E$5:$E$2246='Analítico Cp.'!$B96),-('Diário 6º PA'!$Q$5:$Q$2246=L$1),('Diário 6º PA'!$F$5:$F$2246))
+SUMPRODUCT(-('Diário 7º PA'!$E$5:$E$2271='Analítico Cp.'!$B96),-('Diário 7º PA'!$Q$5:$Q$2271=L$1),('Diário 7º PA'!$F$5:$F$2271))
+SUMPRODUCT(-('Diário 8º PA'!$E$5:$E$2488='Analítico Cp.'!$B96),-('Diário 8º PA'!$Q$5:$Q$2488=L$1),('Diário 8º PA'!$F$5:$F$2488))
+SUMPRODUCT(-('Comp.'!$D$5:$D$313='Analítico Cp.'!$B96),-('Comp.'!$R$5:$R$313=L$1),('Comp.'!$E$5:$E$313))</f>
        <v>0</v>
      </c>
      <c r="M96" s="185">
        <f>SUMPRODUCT(-('Diário 5º PA'!$E$5:$E$2634='Analítico Cp.'!$B96),-('Diário 5º PA'!$Q$5:$Q$2634=M$1),('Diário 5º PA'!$F$5:$F$2634))
+SUMPRODUCT(-('Diário 6º PA'!$E$5:$E$2246='Analítico Cp.'!$B96),-('Diário 6º PA'!$Q$5:$Q$2246=M$1),('Diário 6º PA'!$F$5:$F$2246))
+SUMPRODUCT(-('Diário 7º PA'!$E$5:$E$2271='Analítico Cp.'!$B96),-('Diário 7º PA'!$Q$5:$Q$2271=M$1),('Diário 7º PA'!$F$5:$F$2271))
+SUMPRODUCT(-('Diário 8º PA'!$E$5:$E$2488='Analítico Cp.'!$B96),-('Diário 8º PA'!$Q$5:$Q$2488=M$1),('Diário 8º PA'!$F$5:$F$2488))
+SUMPRODUCT(-('Comp.'!$D$5:$D$313='Analítico Cp.'!$B96),-('Comp.'!$R$5:$R$313=M$1),('Comp.'!$E$5:$E$313))</f>
        <v>0</v>
      </c>
      <c r="N96" s="185">
        <f>SUMPRODUCT(-('Diário 5º PA'!$E$5:$E$2634='Analítico Cp.'!$B96),-('Diário 5º PA'!$Q$5:$Q$2634=N$1),('Diário 5º PA'!$F$5:$F$2634))
+SUMPRODUCT(-('Diário 6º PA'!$E$5:$E$2246='Analítico Cp.'!$B96),-('Diário 6º PA'!$Q$5:$Q$2246=N$1),('Diário 6º PA'!$F$5:$F$2246))
+SUMPRODUCT(-('Diário 7º PA'!$E$5:$E$2271='Analítico Cp.'!$B96),-('Diário 7º PA'!$Q$5:$Q$2271=N$1),('Diário 7º PA'!$F$5:$F$2271))
+SUMPRODUCT(-('Diário 8º PA'!$E$5:$E$2488='Analítico Cp.'!$B96),-('Diário 8º PA'!$Q$5:$Q$2488=N$1),('Diário 8º PA'!$F$5:$F$2488))
+SUMPRODUCT(-('Comp.'!$D$5:$D$313='Analítico Cp.'!$B96),-('Comp.'!$R$5:$R$313=N$1),('Comp.'!$E$5:$E$313))</f>
        <v>0</v>
      </c>
      <c r="O96" s="186">
        <f t="shared" si="16"/>
        <v>15437.63</v>
      </c>
      <c r="P96" s="187">
        <f t="shared" si="17"/>
        <v>1.5923322158859011E-3</v>
      </c>
      <c r="Q96" s="34"/>
      <c r="R96" s="34"/>
      <c r="S96" s="34"/>
      <c r="T96" s="34"/>
      <c r="U96" s="34"/>
      <c r="V96" s="34"/>
      <c r="W96" s="34"/>
      <c r="X96" s="34"/>
      <c r="Y96" s="34"/>
      <c r="Z96" s="34"/>
    </row>
    <row r="97" spans="1:26" ht="23.25" customHeight="1" x14ac:dyDescent="0.2">
      <c r="A97" s="203" t="s">
        <v>291</v>
      </c>
      <c r="B97" s="72" t="s">
        <v>292</v>
      </c>
      <c r="C97" s="185">
        <f>SUMPRODUCT(-('Diário 5º PA'!$E$5:$E$2634='Analítico Cp.'!$B97),-('Diário 5º PA'!$Q$5:$Q$2634=C$1),('Diário 5º PA'!$F$5:$F$2634))
+SUMPRODUCT(-('Diário 6º PA'!$E$5:$E$2246='Analítico Cp.'!$B97),-('Diário 6º PA'!$Q$5:$Q$2246=C$1),('Diário 6º PA'!$F$5:$F$2246))
+SUMPRODUCT(-('Diário 7º PA'!$E$5:$E$2271='Analítico Cp.'!$B97),-('Diário 7º PA'!$Q$5:$Q$2271=C$1),('Diário 7º PA'!$F$5:$F$2271))
+SUMPRODUCT(-('Diário 8º PA'!$E$5:$E$2488='Analítico Cp.'!$B97),-('Diário 8º PA'!$Q$5:$Q$2488=C$1),('Diário 8º PA'!$F$5:$F$2488))
+SUMPRODUCT(-('Comp.'!$D$5:$D$313='Analítico Cp.'!$B97),-('Comp.'!$R$5:$R$313=C$1),('Comp.'!$E$5:$E$313))</f>
        <v>0</v>
      </c>
      <c r="D97" s="185">
        <f>SUMPRODUCT(-('Diário 5º PA'!$E$5:$E$2634='Analítico Cp.'!$B97),-('Diário 5º PA'!$Q$5:$Q$2634=D$1),('Diário 5º PA'!$F$5:$F$2634))
+SUMPRODUCT(-('Diário 6º PA'!$E$5:$E$2246='Analítico Cp.'!$B97),-('Diário 6º PA'!$Q$5:$Q$2246=D$1),('Diário 6º PA'!$F$5:$F$2246))
+SUMPRODUCT(-('Diário 7º PA'!$E$5:$E$2271='Analítico Cp.'!$B97),-('Diário 7º PA'!$Q$5:$Q$2271=D$1),('Diário 7º PA'!$F$5:$F$2271))
+SUMPRODUCT(-('Diário 8º PA'!$E$5:$E$2488='Analítico Cp.'!$B97),-('Diário 8º PA'!$Q$5:$Q$2488=D$1),('Diário 8º PA'!$F$5:$F$2488))
+SUMPRODUCT(-('Comp.'!$D$5:$D$313='Analítico Cp.'!$B97),-('Comp.'!$R$5:$R$313=D$1),('Comp.'!$E$5:$E$313))</f>
        <v>0</v>
      </c>
      <c r="E97" s="185">
        <f>SUMPRODUCT(-('Diário 5º PA'!$E$5:$E$2634='Analítico Cp.'!$B97),-('Diário 5º PA'!$Q$5:$Q$2634=E$1),('Diário 5º PA'!$F$5:$F$2634))
+SUMPRODUCT(-('Diário 6º PA'!$E$5:$E$2246='Analítico Cp.'!$B97),-('Diário 6º PA'!$Q$5:$Q$2246=E$1),('Diário 6º PA'!$F$5:$F$2246))
+SUMPRODUCT(-('Diário 7º PA'!$E$5:$E$2271='Analítico Cp.'!$B97),-('Diário 7º PA'!$Q$5:$Q$2271=E$1),('Diário 7º PA'!$F$5:$F$2271))
+SUMPRODUCT(-('Diário 8º PA'!$E$5:$E$2488='Analítico Cp.'!$B97),-('Diário 8º PA'!$Q$5:$Q$2488=E$1),('Diário 8º PA'!$F$5:$F$2488))
+SUMPRODUCT(-('Comp.'!$D$5:$D$313='Analítico Cp.'!$B97),-('Comp.'!$R$5:$R$313=E$1),('Comp.'!$E$5:$E$313))</f>
        <v>0</v>
      </c>
      <c r="F97" s="185">
        <f>SUMPRODUCT(-('Diário 5º PA'!$E$5:$E$2634='Analítico Cp.'!$B97),-('Diário 5º PA'!$Q$5:$Q$2634=F$1),('Diário 5º PA'!$F$5:$F$2634))
+SUMPRODUCT(-('Diário 6º PA'!$E$5:$E$2246='Analítico Cp.'!$B97),-('Diário 6º PA'!$Q$5:$Q$2246=F$1),('Diário 6º PA'!$F$5:$F$2246))
+SUMPRODUCT(-('Diário 7º PA'!$E$5:$E$2271='Analítico Cp.'!$B97),-('Diário 7º PA'!$Q$5:$Q$2271=F$1),('Diário 7º PA'!$F$5:$F$2271))
+SUMPRODUCT(-('Diário 8º PA'!$E$5:$E$2488='Analítico Cp.'!$B97),-('Diário 8º PA'!$Q$5:$Q$2488=F$1),('Diário 8º PA'!$F$5:$F$2488))
+SUMPRODUCT(-('Comp.'!$D$5:$D$313='Analítico Cp.'!$B97),-('Comp.'!$R$5:$R$313=F$1),('Comp.'!$E$5:$E$313))</f>
        <v>0</v>
      </c>
      <c r="G97" s="185">
        <f>SUMPRODUCT(-('Diário 5º PA'!$E$5:$E$2634='Analítico Cp.'!$B97),-('Diário 5º PA'!$Q$5:$Q$2634=G$1),('Diário 5º PA'!$F$5:$F$2634))
+SUMPRODUCT(-('Diário 6º PA'!$E$5:$E$2246='Analítico Cp.'!$B97),-('Diário 6º PA'!$Q$5:$Q$2246=G$1),('Diário 6º PA'!$F$5:$F$2246))
+SUMPRODUCT(-('Diário 7º PA'!$E$5:$E$2271='Analítico Cp.'!$B97),-('Diário 7º PA'!$Q$5:$Q$2271=G$1),('Diário 7º PA'!$F$5:$F$2271))
+SUMPRODUCT(-('Diário 8º PA'!$E$5:$E$2488='Analítico Cp.'!$B97),-('Diário 8º PA'!$Q$5:$Q$2488=G$1),('Diário 8º PA'!$F$5:$F$2488))
+SUMPRODUCT(-('Comp.'!$D$5:$D$313='Analítico Cp.'!$B97),-('Comp.'!$R$5:$R$313=G$1),('Comp.'!$E$5:$E$313))</f>
        <v>0</v>
      </c>
      <c r="H97" s="185">
        <f>SUMPRODUCT(-('Diário 5º PA'!$E$5:$E$2634='Analítico Cp.'!$B97),-('Diário 5º PA'!$Q$5:$Q$2634=H$1),('Diário 5º PA'!$F$5:$F$2634))
+SUMPRODUCT(-('Diário 6º PA'!$E$5:$E$2246='Analítico Cp.'!$B97),-('Diário 6º PA'!$Q$5:$Q$2246=H$1),('Diário 6º PA'!$F$5:$F$2246))
+SUMPRODUCT(-('Diário 7º PA'!$E$5:$E$2271='Analítico Cp.'!$B97),-('Diário 7º PA'!$Q$5:$Q$2271=H$1),('Diário 7º PA'!$F$5:$F$2271))
+SUMPRODUCT(-('Diário 8º PA'!$E$5:$E$2488='Analítico Cp.'!$B97),-('Diário 8º PA'!$Q$5:$Q$2488=H$1),('Diário 8º PA'!$F$5:$F$2488))
+SUMPRODUCT(-('Comp.'!$D$5:$D$313='Analítico Cp.'!$B97),-('Comp.'!$R$5:$R$313=H$1),('Comp.'!$E$5:$E$313))</f>
        <v>0</v>
      </c>
      <c r="I97" s="185">
        <f>SUMPRODUCT(-('Diário 5º PA'!$E$5:$E$2634='Analítico Cp.'!$B97),-('Diário 5º PA'!$Q$5:$Q$2634=I$1),('Diário 5º PA'!$F$5:$F$2634))
+SUMPRODUCT(-('Diário 6º PA'!$E$5:$E$2246='Analítico Cp.'!$B97),-('Diário 6º PA'!$Q$5:$Q$2246=I$1),('Diário 6º PA'!$F$5:$F$2246))
+SUMPRODUCT(-('Diário 7º PA'!$E$5:$E$2271='Analítico Cp.'!$B97),-('Diário 7º PA'!$Q$5:$Q$2271=I$1),('Diário 7º PA'!$F$5:$F$2271))
+SUMPRODUCT(-('Diário 8º PA'!$E$5:$E$2488='Analítico Cp.'!$B97),-('Diário 8º PA'!$Q$5:$Q$2488=I$1),('Diário 8º PA'!$F$5:$F$2488))
+SUMPRODUCT(-('Comp.'!$D$5:$D$313='Analítico Cp.'!$B97),-('Comp.'!$R$5:$R$313=I$1),('Comp.'!$E$5:$E$313))</f>
        <v>560</v>
      </c>
      <c r="J97" s="185">
        <f>SUMPRODUCT(-('Diário 5º PA'!$E$5:$E$2634='Analítico Cp.'!$B97),-('Diário 5º PA'!$Q$5:$Q$2634=J$1),('Diário 5º PA'!$F$5:$F$2634))
+SUMPRODUCT(-('Diário 6º PA'!$E$5:$E$2246='Analítico Cp.'!$B97),-('Diário 6º PA'!$Q$5:$Q$2246=J$1),('Diário 6º PA'!$F$5:$F$2246))
+SUMPRODUCT(-('Diário 7º PA'!$E$5:$E$2271='Analítico Cp.'!$B97),-('Diário 7º PA'!$Q$5:$Q$2271=J$1),('Diário 7º PA'!$F$5:$F$2271))
+SUMPRODUCT(-('Diário 8º PA'!$E$5:$E$2488='Analítico Cp.'!$B97),-('Diário 8º PA'!$Q$5:$Q$2488=J$1),('Diário 8º PA'!$F$5:$F$2488))
+SUMPRODUCT(-('Comp.'!$D$5:$D$313='Analítico Cp.'!$B97),-('Comp.'!$R$5:$R$313=J$1),('Comp.'!$E$5:$E$313))</f>
        <v>7138.6</v>
      </c>
      <c r="K97" s="185">
        <f>SUMPRODUCT(-('Diário 5º PA'!$E$5:$E$2634='Analítico Cp.'!$B97),-('Diário 5º PA'!$Q$5:$Q$2634=K$1),('Diário 5º PA'!$F$5:$F$2634))
+SUMPRODUCT(-('Diário 6º PA'!$E$5:$E$2246='Analítico Cp.'!$B97),-('Diário 6º PA'!$Q$5:$Q$2246=K$1),('Diário 6º PA'!$F$5:$F$2246))
+SUMPRODUCT(-('Diário 7º PA'!$E$5:$E$2271='Analítico Cp.'!$B97),-('Diário 7º PA'!$Q$5:$Q$2271=K$1),('Diário 7º PA'!$F$5:$F$2271))
+SUMPRODUCT(-('Diário 8º PA'!$E$5:$E$2488='Analítico Cp.'!$B97),-('Diário 8º PA'!$Q$5:$Q$2488=K$1),('Diário 8º PA'!$F$5:$F$2488))
+SUMPRODUCT(-('Comp.'!$D$5:$D$313='Analítico Cp.'!$B97),-('Comp.'!$R$5:$R$313=K$1),('Comp.'!$E$5:$E$313))</f>
        <v>0</v>
      </c>
      <c r="L97" s="185">
        <f>SUMPRODUCT(-('Diário 5º PA'!$E$5:$E$2634='Analítico Cp.'!$B97),-('Diário 5º PA'!$Q$5:$Q$2634=L$1),('Diário 5º PA'!$F$5:$F$2634))
+SUMPRODUCT(-('Diário 6º PA'!$E$5:$E$2246='Analítico Cp.'!$B97),-('Diário 6º PA'!$Q$5:$Q$2246=L$1),('Diário 6º PA'!$F$5:$F$2246))
+SUMPRODUCT(-('Diário 7º PA'!$E$5:$E$2271='Analítico Cp.'!$B97),-('Diário 7º PA'!$Q$5:$Q$2271=L$1),('Diário 7º PA'!$F$5:$F$2271))
+SUMPRODUCT(-('Diário 8º PA'!$E$5:$E$2488='Analítico Cp.'!$B97),-('Diário 8º PA'!$Q$5:$Q$2488=L$1),('Diário 8º PA'!$F$5:$F$2488))
+SUMPRODUCT(-('Comp.'!$D$5:$D$313='Analítico Cp.'!$B97),-('Comp.'!$R$5:$R$313=L$1),('Comp.'!$E$5:$E$313))</f>
        <v>0</v>
      </c>
      <c r="M97" s="185">
        <f>SUMPRODUCT(-('Diário 5º PA'!$E$5:$E$2634='Analítico Cp.'!$B97),-('Diário 5º PA'!$Q$5:$Q$2634=M$1),('Diário 5º PA'!$F$5:$F$2634))
+SUMPRODUCT(-('Diário 6º PA'!$E$5:$E$2246='Analítico Cp.'!$B97),-('Diário 6º PA'!$Q$5:$Q$2246=M$1),('Diário 6º PA'!$F$5:$F$2246))
+SUMPRODUCT(-('Diário 7º PA'!$E$5:$E$2271='Analítico Cp.'!$B97),-('Diário 7º PA'!$Q$5:$Q$2271=M$1),('Diário 7º PA'!$F$5:$F$2271))
+SUMPRODUCT(-('Diário 8º PA'!$E$5:$E$2488='Analítico Cp.'!$B97),-('Diário 8º PA'!$Q$5:$Q$2488=M$1),('Diário 8º PA'!$F$5:$F$2488))
+SUMPRODUCT(-('Comp.'!$D$5:$D$313='Analítico Cp.'!$B97),-('Comp.'!$R$5:$R$313=M$1),('Comp.'!$E$5:$E$313))</f>
        <v>0</v>
      </c>
      <c r="N97" s="185">
        <f>SUMPRODUCT(-('Diário 5º PA'!$E$5:$E$2634='Analítico Cp.'!$B97),-('Diário 5º PA'!$Q$5:$Q$2634=N$1),('Diário 5º PA'!$F$5:$F$2634))
+SUMPRODUCT(-('Diário 6º PA'!$E$5:$E$2246='Analítico Cp.'!$B97),-('Diário 6º PA'!$Q$5:$Q$2246=N$1),('Diário 6º PA'!$F$5:$F$2246))
+SUMPRODUCT(-('Diário 7º PA'!$E$5:$E$2271='Analítico Cp.'!$B97),-('Diário 7º PA'!$Q$5:$Q$2271=N$1),('Diário 7º PA'!$F$5:$F$2271))
+SUMPRODUCT(-('Diário 8º PA'!$E$5:$E$2488='Analítico Cp.'!$B97),-('Diário 8º PA'!$Q$5:$Q$2488=N$1),('Diário 8º PA'!$F$5:$F$2488))
+SUMPRODUCT(-('Comp.'!$D$5:$D$313='Analítico Cp.'!$B97),-('Comp.'!$R$5:$R$313=N$1),('Comp.'!$E$5:$E$313))</f>
        <v>0</v>
      </c>
      <c r="O97" s="186">
        <f t="shared" si="16"/>
        <v>7698.6</v>
      </c>
      <c r="P97" s="187">
        <f t="shared" si="17"/>
        <v>7.9408100836846074E-4</v>
      </c>
      <c r="Q97" s="34"/>
      <c r="R97" s="34"/>
      <c r="S97" s="34"/>
      <c r="T97" s="34"/>
      <c r="U97" s="34"/>
      <c r="V97" s="34"/>
      <c r="W97" s="34"/>
      <c r="X97" s="34"/>
      <c r="Y97" s="34"/>
      <c r="Z97" s="34"/>
    </row>
    <row r="98" spans="1:26" ht="23.25" customHeight="1" x14ac:dyDescent="0.2">
      <c r="A98" s="203" t="s">
        <v>293</v>
      </c>
      <c r="B98" s="72" t="s">
        <v>294</v>
      </c>
      <c r="C98" s="185">
        <f>SUMPRODUCT(-('Diário 5º PA'!$E$5:$E$2634='Analítico Cp.'!$B98),-('Diário 5º PA'!$Q$5:$Q$2634=C$1),('Diário 5º PA'!$F$5:$F$2634))
+SUMPRODUCT(-('Diário 6º PA'!$E$5:$E$2246='Analítico Cp.'!$B98),-('Diário 6º PA'!$Q$5:$Q$2246=C$1),('Diário 6º PA'!$F$5:$F$2246))
+SUMPRODUCT(-('Diário 7º PA'!$E$5:$E$2271='Analítico Cp.'!$B98),-('Diário 7º PA'!$Q$5:$Q$2271=C$1),('Diário 7º PA'!$F$5:$F$2271))
+SUMPRODUCT(-('Diário 8º PA'!$E$5:$E$2488='Analítico Cp.'!$B98),-('Diário 8º PA'!$Q$5:$Q$2488=C$1),('Diário 8º PA'!$F$5:$F$2488))
+SUMPRODUCT(-('Comp.'!$D$5:$D$313='Analítico Cp.'!$B98),-('Comp.'!$R$5:$R$313=C$1),('Comp.'!$E$5:$E$313))</f>
        <v>0</v>
      </c>
      <c r="D98" s="185">
        <f>SUMPRODUCT(-('Diário 5º PA'!$E$5:$E$2634='Analítico Cp.'!$B98),-('Diário 5º PA'!$Q$5:$Q$2634=D$1),('Diário 5º PA'!$F$5:$F$2634))
+SUMPRODUCT(-('Diário 6º PA'!$E$5:$E$2246='Analítico Cp.'!$B98),-('Diário 6º PA'!$Q$5:$Q$2246=D$1),('Diário 6º PA'!$F$5:$F$2246))
+SUMPRODUCT(-('Diário 7º PA'!$E$5:$E$2271='Analítico Cp.'!$B98),-('Diário 7º PA'!$Q$5:$Q$2271=D$1),('Diário 7º PA'!$F$5:$F$2271))
+SUMPRODUCT(-('Diário 8º PA'!$E$5:$E$2488='Analítico Cp.'!$B98),-('Diário 8º PA'!$Q$5:$Q$2488=D$1),('Diário 8º PA'!$F$5:$F$2488))
+SUMPRODUCT(-('Comp.'!$D$5:$D$313='Analítico Cp.'!$B98),-('Comp.'!$R$5:$R$313=D$1),('Comp.'!$E$5:$E$313))</f>
        <v>0</v>
      </c>
      <c r="E98" s="185">
        <f>SUMPRODUCT(-('Diário 5º PA'!$E$5:$E$2634='Analítico Cp.'!$B98),-('Diário 5º PA'!$Q$5:$Q$2634=E$1),('Diário 5º PA'!$F$5:$F$2634))
+SUMPRODUCT(-('Diário 6º PA'!$E$5:$E$2246='Analítico Cp.'!$B98),-('Diário 6º PA'!$Q$5:$Q$2246=E$1),('Diário 6º PA'!$F$5:$F$2246))
+SUMPRODUCT(-('Diário 7º PA'!$E$5:$E$2271='Analítico Cp.'!$B98),-('Diário 7º PA'!$Q$5:$Q$2271=E$1),('Diário 7º PA'!$F$5:$F$2271))
+SUMPRODUCT(-('Diário 8º PA'!$E$5:$E$2488='Analítico Cp.'!$B98),-('Diário 8º PA'!$Q$5:$Q$2488=E$1),('Diário 8º PA'!$F$5:$F$2488))
+SUMPRODUCT(-('Comp.'!$D$5:$D$313='Analítico Cp.'!$B98),-('Comp.'!$R$5:$R$313=E$1),('Comp.'!$E$5:$E$313))</f>
        <v>51.7</v>
      </c>
      <c r="F98" s="185">
        <f>SUMPRODUCT(-('Diário 5º PA'!$E$5:$E$2634='Analítico Cp.'!$B98),-('Diário 5º PA'!$Q$5:$Q$2634=F$1),('Diário 5º PA'!$F$5:$F$2634))
+SUMPRODUCT(-('Diário 6º PA'!$E$5:$E$2246='Analítico Cp.'!$B98),-('Diário 6º PA'!$Q$5:$Q$2246=F$1),('Diário 6º PA'!$F$5:$F$2246))
+SUMPRODUCT(-('Diário 7º PA'!$E$5:$E$2271='Analítico Cp.'!$B98),-('Diário 7º PA'!$Q$5:$Q$2271=F$1),('Diário 7º PA'!$F$5:$F$2271))
+SUMPRODUCT(-('Diário 8º PA'!$E$5:$E$2488='Analítico Cp.'!$B98),-('Diário 8º PA'!$Q$5:$Q$2488=F$1),('Diário 8º PA'!$F$5:$F$2488))
+SUMPRODUCT(-('Comp.'!$D$5:$D$313='Analítico Cp.'!$B98),-('Comp.'!$R$5:$R$313=F$1),('Comp.'!$E$5:$E$313))</f>
        <v>0</v>
      </c>
      <c r="G98" s="185">
        <f>SUMPRODUCT(-('Diário 5º PA'!$E$5:$E$2634='Analítico Cp.'!$B98),-('Diário 5º PA'!$Q$5:$Q$2634=G$1),('Diário 5º PA'!$F$5:$F$2634))
+SUMPRODUCT(-('Diário 6º PA'!$E$5:$E$2246='Analítico Cp.'!$B98),-('Diário 6º PA'!$Q$5:$Q$2246=G$1),('Diário 6º PA'!$F$5:$F$2246))
+SUMPRODUCT(-('Diário 7º PA'!$E$5:$E$2271='Analítico Cp.'!$B98),-('Diário 7º PA'!$Q$5:$Q$2271=G$1),('Diário 7º PA'!$F$5:$F$2271))
+SUMPRODUCT(-('Diário 8º PA'!$E$5:$E$2488='Analítico Cp.'!$B98),-('Diário 8º PA'!$Q$5:$Q$2488=G$1),('Diário 8º PA'!$F$5:$F$2488))
+SUMPRODUCT(-('Comp.'!$D$5:$D$313='Analítico Cp.'!$B98),-('Comp.'!$R$5:$R$313=G$1),('Comp.'!$E$5:$E$313))</f>
        <v>707.41</v>
      </c>
      <c r="H98" s="185">
        <f>SUMPRODUCT(-('Diário 5º PA'!$E$5:$E$2634='Analítico Cp.'!$B98),-('Diário 5º PA'!$Q$5:$Q$2634=H$1),('Diário 5º PA'!$F$5:$F$2634))
+SUMPRODUCT(-('Diário 6º PA'!$E$5:$E$2246='Analítico Cp.'!$B98),-('Diário 6º PA'!$Q$5:$Q$2246=H$1),('Diário 6º PA'!$F$5:$F$2246))
+SUMPRODUCT(-('Diário 7º PA'!$E$5:$E$2271='Analítico Cp.'!$B98),-('Diário 7º PA'!$Q$5:$Q$2271=H$1),('Diário 7º PA'!$F$5:$F$2271))
+SUMPRODUCT(-('Diário 8º PA'!$E$5:$E$2488='Analítico Cp.'!$B98),-('Diário 8º PA'!$Q$5:$Q$2488=H$1),('Diário 8º PA'!$F$5:$F$2488))
+SUMPRODUCT(-('Comp.'!$D$5:$D$313='Analítico Cp.'!$B98),-('Comp.'!$R$5:$R$313=H$1),('Comp.'!$E$5:$E$313))</f>
        <v>0</v>
      </c>
      <c r="I98" s="185">
        <f>SUMPRODUCT(-('Diário 5º PA'!$E$5:$E$2634='Analítico Cp.'!$B98),-('Diário 5º PA'!$Q$5:$Q$2634=I$1),('Diário 5º PA'!$F$5:$F$2634))
+SUMPRODUCT(-('Diário 6º PA'!$E$5:$E$2246='Analítico Cp.'!$B98),-('Diário 6º PA'!$Q$5:$Q$2246=I$1),('Diário 6º PA'!$F$5:$F$2246))
+SUMPRODUCT(-('Diário 7º PA'!$E$5:$E$2271='Analítico Cp.'!$B98),-('Diário 7º PA'!$Q$5:$Q$2271=I$1),('Diário 7º PA'!$F$5:$F$2271))
+SUMPRODUCT(-('Diário 8º PA'!$E$5:$E$2488='Analítico Cp.'!$B98),-('Diário 8º PA'!$Q$5:$Q$2488=I$1),('Diário 8º PA'!$F$5:$F$2488))
+SUMPRODUCT(-('Comp.'!$D$5:$D$313='Analítico Cp.'!$B98),-('Comp.'!$R$5:$R$313=I$1),('Comp.'!$E$5:$E$313))</f>
        <v>0</v>
      </c>
      <c r="J98" s="185">
        <f>SUMPRODUCT(-('Diário 5º PA'!$E$5:$E$2634='Analítico Cp.'!$B98),-('Diário 5º PA'!$Q$5:$Q$2634=J$1),('Diário 5º PA'!$F$5:$F$2634))
+SUMPRODUCT(-('Diário 6º PA'!$E$5:$E$2246='Analítico Cp.'!$B98),-('Diário 6º PA'!$Q$5:$Q$2246=J$1),('Diário 6º PA'!$F$5:$F$2246))
+SUMPRODUCT(-('Diário 7º PA'!$E$5:$E$2271='Analítico Cp.'!$B98),-('Diário 7º PA'!$Q$5:$Q$2271=J$1),('Diário 7º PA'!$F$5:$F$2271))
+SUMPRODUCT(-('Diário 8º PA'!$E$5:$E$2488='Analítico Cp.'!$B98),-('Diário 8º PA'!$Q$5:$Q$2488=J$1),('Diário 8º PA'!$F$5:$F$2488))
+SUMPRODUCT(-('Comp.'!$D$5:$D$313='Analítico Cp.'!$B98),-('Comp.'!$R$5:$R$313=J$1),('Comp.'!$E$5:$E$313))</f>
        <v>0</v>
      </c>
      <c r="K98" s="185">
        <f>SUMPRODUCT(-('Diário 5º PA'!$E$5:$E$2634='Analítico Cp.'!$B98),-('Diário 5º PA'!$Q$5:$Q$2634=K$1),('Diário 5º PA'!$F$5:$F$2634))
+SUMPRODUCT(-('Diário 6º PA'!$E$5:$E$2246='Analítico Cp.'!$B98),-('Diário 6º PA'!$Q$5:$Q$2246=K$1),('Diário 6º PA'!$F$5:$F$2246))
+SUMPRODUCT(-('Diário 7º PA'!$E$5:$E$2271='Analítico Cp.'!$B98),-('Diário 7º PA'!$Q$5:$Q$2271=K$1),('Diário 7º PA'!$F$5:$F$2271))
+SUMPRODUCT(-('Diário 8º PA'!$E$5:$E$2488='Analítico Cp.'!$B98),-('Diário 8º PA'!$Q$5:$Q$2488=K$1),('Diário 8º PA'!$F$5:$F$2488))
+SUMPRODUCT(-('Comp.'!$D$5:$D$313='Analítico Cp.'!$B98),-('Comp.'!$R$5:$R$313=K$1),('Comp.'!$E$5:$E$313))</f>
        <v>0</v>
      </c>
      <c r="L98" s="185">
        <f>SUMPRODUCT(-('Diário 5º PA'!$E$5:$E$2634='Analítico Cp.'!$B98),-('Diário 5º PA'!$Q$5:$Q$2634=L$1),('Diário 5º PA'!$F$5:$F$2634))
+SUMPRODUCT(-('Diário 6º PA'!$E$5:$E$2246='Analítico Cp.'!$B98),-('Diário 6º PA'!$Q$5:$Q$2246=L$1),('Diário 6º PA'!$F$5:$F$2246))
+SUMPRODUCT(-('Diário 7º PA'!$E$5:$E$2271='Analítico Cp.'!$B98),-('Diário 7º PA'!$Q$5:$Q$2271=L$1),('Diário 7º PA'!$F$5:$F$2271))
+SUMPRODUCT(-('Diário 8º PA'!$E$5:$E$2488='Analítico Cp.'!$B98),-('Diário 8º PA'!$Q$5:$Q$2488=L$1),('Diário 8º PA'!$F$5:$F$2488))
+SUMPRODUCT(-('Comp.'!$D$5:$D$313='Analítico Cp.'!$B98),-('Comp.'!$R$5:$R$313=L$1),('Comp.'!$E$5:$E$313))</f>
        <v>0</v>
      </c>
      <c r="M98" s="185">
        <f>SUMPRODUCT(-('Diário 5º PA'!$E$5:$E$2634='Analítico Cp.'!$B98),-('Diário 5º PA'!$Q$5:$Q$2634=M$1),('Diário 5º PA'!$F$5:$F$2634))
+SUMPRODUCT(-('Diário 6º PA'!$E$5:$E$2246='Analítico Cp.'!$B98),-('Diário 6º PA'!$Q$5:$Q$2246=M$1),('Diário 6º PA'!$F$5:$F$2246))
+SUMPRODUCT(-('Diário 7º PA'!$E$5:$E$2271='Analítico Cp.'!$B98),-('Diário 7º PA'!$Q$5:$Q$2271=M$1),('Diário 7º PA'!$F$5:$F$2271))
+SUMPRODUCT(-('Diário 8º PA'!$E$5:$E$2488='Analítico Cp.'!$B98),-('Diário 8º PA'!$Q$5:$Q$2488=M$1),('Diário 8º PA'!$F$5:$F$2488))
+SUMPRODUCT(-('Comp.'!$D$5:$D$313='Analítico Cp.'!$B98),-('Comp.'!$R$5:$R$313=M$1),('Comp.'!$E$5:$E$313))</f>
        <v>0</v>
      </c>
      <c r="N98" s="185">
        <f>SUMPRODUCT(-('Diário 5º PA'!$E$5:$E$2634='Analítico Cp.'!$B98),-('Diário 5º PA'!$Q$5:$Q$2634=N$1),('Diário 5º PA'!$F$5:$F$2634))
+SUMPRODUCT(-('Diário 6º PA'!$E$5:$E$2246='Analítico Cp.'!$B98),-('Diário 6º PA'!$Q$5:$Q$2246=N$1),('Diário 6º PA'!$F$5:$F$2246))
+SUMPRODUCT(-('Diário 7º PA'!$E$5:$E$2271='Analítico Cp.'!$B98),-('Diário 7º PA'!$Q$5:$Q$2271=N$1),('Diário 7º PA'!$F$5:$F$2271))
+SUMPRODUCT(-('Diário 8º PA'!$E$5:$E$2488='Analítico Cp.'!$B98),-('Diário 8º PA'!$Q$5:$Q$2488=N$1),('Diário 8º PA'!$F$5:$F$2488))
+SUMPRODUCT(-('Comp.'!$D$5:$D$313='Analítico Cp.'!$B98),-('Comp.'!$R$5:$R$313=N$1),('Comp.'!$E$5:$E$313))</f>
        <v>0</v>
      </c>
      <c r="O98" s="186">
        <f t="shared" si="16"/>
        <v>759.11</v>
      </c>
      <c r="P98" s="187">
        <f t="shared" si="17"/>
        <v>7.8299279643387389E-5</v>
      </c>
      <c r="Q98" s="34"/>
      <c r="R98" s="34"/>
      <c r="S98" s="34"/>
      <c r="T98" s="34"/>
      <c r="U98" s="34"/>
      <c r="V98" s="34"/>
      <c r="W98" s="34"/>
      <c r="X98" s="34"/>
      <c r="Y98" s="34"/>
      <c r="Z98" s="34"/>
    </row>
    <row r="99" spans="1:26" ht="23.25" customHeight="1" x14ac:dyDescent="0.2">
      <c r="A99" s="203" t="s">
        <v>295</v>
      </c>
      <c r="B99" s="204" t="s">
        <v>296</v>
      </c>
      <c r="C99" s="185">
        <f>SUMPRODUCT(-('Diário 5º PA'!$E$5:$E$2634='Analítico Cp.'!$B99),-('Diário 5º PA'!$Q$5:$Q$2634=C$1),('Diário 5º PA'!$F$5:$F$2634))
+SUMPRODUCT(-('Diário 6º PA'!$E$5:$E$2246='Analítico Cp.'!$B99),-('Diário 6º PA'!$Q$5:$Q$2246=C$1),('Diário 6º PA'!$F$5:$F$2246))
+SUMPRODUCT(-('Diário 7º PA'!$E$5:$E$2271='Analítico Cp.'!$B99),-('Diário 7º PA'!$Q$5:$Q$2271=C$1),('Diário 7º PA'!$F$5:$F$2271))
+SUMPRODUCT(-('Diário 8º PA'!$E$5:$E$2488='Analítico Cp.'!$B99),-('Diário 8º PA'!$Q$5:$Q$2488=C$1),('Diário 8º PA'!$F$5:$F$2488))
+SUMPRODUCT(-('Comp.'!$D$5:$D$313='Analítico Cp.'!$B99),-('Comp.'!$R$5:$R$313=C$1),('Comp.'!$E$5:$E$313))</f>
        <v>0</v>
      </c>
      <c r="D99" s="185">
        <f>SUMPRODUCT(-('Diário 5º PA'!$E$5:$E$2634='Analítico Cp.'!$B99),-('Diário 5º PA'!$Q$5:$Q$2634=D$1),('Diário 5º PA'!$F$5:$F$2634))
+SUMPRODUCT(-('Diário 6º PA'!$E$5:$E$2246='Analítico Cp.'!$B99),-('Diário 6º PA'!$Q$5:$Q$2246=D$1),('Diário 6º PA'!$F$5:$F$2246))
+SUMPRODUCT(-('Diário 7º PA'!$E$5:$E$2271='Analítico Cp.'!$B99),-('Diário 7º PA'!$Q$5:$Q$2271=D$1),('Diário 7º PA'!$F$5:$F$2271))
+SUMPRODUCT(-('Diário 8º PA'!$E$5:$E$2488='Analítico Cp.'!$B99),-('Diário 8º PA'!$Q$5:$Q$2488=D$1),('Diário 8º PA'!$F$5:$F$2488))
+SUMPRODUCT(-('Comp.'!$D$5:$D$313='Analítico Cp.'!$B99),-('Comp.'!$R$5:$R$313=D$1),('Comp.'!$E$5:$E$313))</f>
        <v>0</v>
      </c>
      <c r="E99" s="185">
        <f>SUMPRODUCT(-('Diário 5º PA'!$E$5:$E$2634='Analítico Cp.'!$B99),-('Diário 5º PA'!$Q$5:$Q$2634=E$1),('Diário 5º PA'!$F$5:$F$2634))
+SUMPRODUCT(-('Diário 6º PA'!$E$5:$E$2246='Analítico Cp.'!$B99),-('Diário 6º PA'!$Q$5:$Q$2246=E$1),('Diário 6º PA'!$F$5:$F$2246))
+SUMPRODUCT(-('Diário 7º PA'!$E$5:$E$2271='Analítico Cp.'!$B99),-('Diário 7º PA'!$Q$5:$Q$2271=E$1),('Diário 7º PA'!$F$5:$F$2271))
+SUMPRODUCT(-('Diário 8º PA'!$E$5:$E$2488='Analítico Cp.'!$B99),-('Diário 8º PA'!$Q$5:$Q$2488=E$1),('Diário 8º PA'!$F$5:$F$2488))
+SUMPRODUCT(-('Comp.'!$D$5:$D$313='Analítico Cp.'!$B99),-('Comp.'!$R$5:$R$313=E$1),('Comp.'!$E$5:$E$313))</f>
        <v>0</v>
      </c>
      <c r="F99" s="185">
        <f>SUMPRODUCT(-('Diário 5º PA'!$E$5:$E$2634='Analítico Cp.'!$B99),-('Diário 5º PA'!$Q$5:$Q$2634=F$1),('Diário 5º PA'!$F$5:$F$2634))
+SUMPRODUCT(-('Diário 6º PA'!$E$5:$E$2246='Analítico Cp.'!$B99),-('Diário 6º PA'!$Q$5:$Q$2246=F$1),('Diário 6º PA'!$F$5:$F$2246))
+SUMPRODUCT(-('Diário 7º PA'!$E$5:$E$2271='Analítico Cp.'!$B99),-('Diário 7º PA'!$Q$5:$Q$2271=F$1),('Diário 7º PA'!$F$5:$F$2271))
+SUMPRODUCT(-('Diário 8º PA'!$E$5:$E$2488='Analítico Cp.'!$B99),-('Diário 8º PA'!$Q$5:$Q$2488=F$1),('Diário 8º PA'!$F$5:$F$2488))
+SUMPRODUCT(-('Comp.'!$D$5:$D$313='Analítico Cp.'!$B99),-('Comp.'!$R$5:$R$313=F$1),('Comp.'!$E$5:$E$313))</f>
        <v>0</v>
      </c>
      <c r="G99" s="185">
        <f>SUMPRODUCT(-('Diário 5º PA'!$E$5:$E$2634='Analítico Cp.'!$B99),-('Diário 5º PA'!$Q$5:$Q$2634=G$1),('Diário 5º PA'!$F$5:$F$2634))
+SUMPRODUCT(-('Diário 6º PA'!$E$5:$E$2246='Analítico Cp.'!$B99),-('Diário 6º PA'!$Q$5:$Q$2246=G$1),('Diário 6º PA'!$F$5:$F$2246))
+SUMPRODUCT(-('Diário 7º PA'!$E$5:$E$2271='Analítico Cp.'!$B99),-('Diário 7º PA'!$Q$5:$Q$2271=G$1),('Diário 7º PA'!$F$5:$F$2271))
+SUMPRODUCT(-('Diário 8º PA'!$E$5:$E$2488='Analítico Cp.'!$B99),-('Diário 8º PA'!$Q$5:$Q$2488=G$1),('Diário 8º PA'!$F$5:$F$2488))
+SUMPRODUCT(-('Comp.'!$D$5:$D$313='Analítico Cp.'!$B99),-('Comp.'!$R$5:$R$313=G$1),('Comp.'!$E$5:$E$313))</f>
        <v>0</v>
      </c>
      <c r="H99" s="185">
        <f>SUMPRODUCT(-('Diário 5º PA'!$E$5:$E$2634='Analítico Cp.'!$B99),-('Diário 5º PA'!$Q$5:$Q$2634=H$1),('Diário 5º PA'!$F$5:$F$2634))
+SUMPRODUCT(-('Diário 6º PA'!$E$5:$E$2246='Analítico Cp.'!$B99),-('Diário 6º PA'!$Q$5:$Q$2246=H$1),('Diário 6º PA'!$F$5:$F$2246))
+SUMPRODUCT(-('Diário 7º PA'!$E$5:$E$2271='Analítico Cp.'!$B99),-('Diário 7º PA'!$Q$5:$Q$2271=H$1),('Diário 7º PA'!$F$5:$F$2271))
+SUMPRODUCT(-('Diário 8º PA'!$E$5:$E$2488='Analítico Cp.'!$B99),-('Diário 8º PA'!$Q$5:$Q$2488=H$1),('Diário 8º PA'!$F$5:$F$2488))
+SUMPRODUCT(-('Comp.'!$D$5:$D$313='Analítico Cp.'!$B99),-('Comp.'!$R$5:$R$313=H$1),('Comp.'!$E$5:$E$313))</f>
        <v>0</v>
      </c>
      <c r="I99" s="185">
        <f>SUMPRODUCT(-('Diário 5º PA'!$E$5:$E$2634='Analítico Cp.'!$B99),-('Diário 5º PA'!$Q$5:$Q$2634=I$1),('Diário 5º PA'!$F$5:$F$2634))
+SUMPRODUCT(-('Diário 6º PA'!$E$5:$E$2246='Analítico Cp.'!$B99),-('Diário 6º PA'!$Q$5:$Q$2246=I$1),('Diário 6º PA'!$F$5:$F$2246))
+SUMPRODUCT(-('Diário 7º PA'!$E$5:$E$2271='Analítico Cp.'!$B99),-('Diário 7º PA'!$Q$5:$Q$2271=I$1),('Diário 7º PA'!$F$5:$F$2271))
+SUMPRODUCT(-('Diário 8º PA'!$E$5:$E$2488='Analítico Cp.'!$B99),-('Diário 8º PA'!$Q$5:$Q$2488=I$1),('Diário 8º PA'!$F$5:$F$2488))
+SUMPRODUCT(-('Comp.'!$D$5:$D$313='Analítico Cp.'!$B99),-('Comp.'!$R$5:$R$313=I$1),('Comp.'!$E$5:$E$313))</f>
        <v>0</v>
      </c>
      <c r="J99" s="185">
        <f>SUMPRODUCT(-('Diário 5º PA'!$E$5:$E$2634='Analítico Cp.'!$B99),-('Diário 5º PA'!$Q$5:$Q$2634=J$1),('Diário 5º PA'!$F$5:$F$2634))
+SUMPRODUCT(-('Diário 6º PA'!$E$5:$E$2246='Analítico Cp.'!$B99),-('Diário 6º PA'!$Q$5:$Q$2246=J$1),('Diário 6º PA'!$F$5:$F$2246))
+SUMPRODUCT(-('Diário 7º PA'!$E$5:$E$2271='Analítico Cp.'!$B99),-('Diário 7º PA'!$Q$5:$Q$2271=J$1),('Diário 7º PA'!$F$5:$F$2271))
+SUMPRODUCT(-('Diário 8º PA'!$E$5:$E$2488='Analítico Cp.'!$B99),-('Diário 8º PA'!$Q$5:$Q$2488=J$1),('Diário 8º PA'!$F$5:$F$2488))
+SUMPRODUCT(-('Comp.'!$D$5:$D$313='Analítico Cp.'!$B99),-('Comp.'!$R$5:$R$313=J$1),('Comp.'!$E$5:$E$313))</f>
        <v>0</v>
      </c>
      <c r="K99" s="185">
        <f>SUMPRODUCT(-('Diário 5º PA'!$E$5:$E$2634='Analítico Cp.'!$B99),-('Diário 5º PA'!$Q$5:$Q$2634=K$1),('Diário 5º PA'!$F$5:$F$2634))
+SUMPRODUCT(-('Diário 6º PA'!$E$5:$E$2246='Analítico Cp.'!$B99),-('Diário 6º PA'!$Q$5:$Q$2246=K$1),('Diário 6º PA'!$F$5:$F$2246))
+SUMPRODUCT(-('Diário 7º PA'!$E$5:$E$2271='Analítico Cp.'!$B99),-('Diário 7º PA'!$Q$5:$Q$2271=K$1),('Diário 7º PA'!$F$5:$F$2271))
+SUMPRODUCT(-('Diário 8º PA'!$E$5:$E$2488='Analítico Cp.'!$B99),-('Diário 8º PA'!$Q$5:$Q$2488=K$1),('Diário 8º PA'!$F$5:$F$2488))
+SUMPRODUCT(-('Comp.'!$D$5:$D$313='Analítico Cp.'!$B99),-('Comp.'!$R$5:$R$313=K$1),('Comp.'!$E$5:$E$313))</f>
        <v>0</v>
      </c>
      <c r="L99" s="185">
        <f>SUMPRODUCT(-('Diário 5º PA'!$E$5:$E$2634='Analítico Cp.'!$B99),-('Diário 5º PA'!$Q$5:$Q$2634=L$1),('Diário 5º PA'!$F$5:$F$2634))
+SUMPRODUCT(-('Diário 6º PA'!$E$5:$E$2246='Analítico Cp.'!$B99),-('Diário 6º PA'!$Q$5:$Q$2246=L$1),('Diário 6º PA'!$F$5:$F$2246))
+SUMPRODUCT(-('Diário 7º PA'!$E$5:$E$2271='Analítico Cp.'!$B99),-('Diário 7º PA'!$Q$5:$Q$2271=L$1),('Diário 7º PA'!$F$5:$F$2271))
+SUMPRODUCT(-('Diário 8º PA'!$E$5:$E$2488='Analítico Cp.'!$B99),-('Diário 8º PA'!$Q$5:$Q$2488=L$1),('Diário 8º PA'!$F$5:$F$2488))
+SUMPRODUCT(-('Comp.'!$D$5:$D$313='Analítico Cp.'!$B99),-('Comp.'!$R$5:$R$313=L$1),('Comp.'!$E$5:$E$313))</f>
        <v>0</v>
      </c>
      <c r="M99" s="185">
        <f>SUMPRODUCT(-('Diário 5º PA'!$E$5:$E$2634='Analítico Cp.'!$B99),-('Diário 5º PA'!$Q$5:$Q$2634=M$1),('Diário 5º PA'!$F$5:$F$2634))
+SUMPRODUCT(-('Diário 6º PA'!$E$5:$E$2246='Analítico Cp.'!$B99),-('Diário 6º PA'!$Q$5:$Q$2246=M$1),('Diário 6º PA'!$F$5:$F$2246))
+SUMPRODUCT(-('Diário 7º PA'!$E$5:$E$2271='Analítico Cp.'!$B99),-('Diário 7º PA'!$Q$5:$Q$2271=M$1),('Diário 7º PA'!$F$5:$F$2271))
+SUMPRODUCT(-('Diário 8º PA'!$E$5:$E$2488='Analítico Cp.'!$B99),-('Diário 8º PA'!$Q$5:$Q$2488=M$1),('Diário 8º PA'!$F$5:$F$2488))
+SUMPRODUCT(-('Comp.'!$D$5:$D$313='Analítico Cp.'!$B99),-('Comp.'!$R$5:$R$313=M$1),('Comp.'!$E$5:$E$313))</f>
        <v>0</v>
      </c>
      <c r="N99" s="185">
        <f>SUMPRODUCT(-('Diário 5º PA'!$E$5:$E$2634='Analítico Cp.'!$B99),-('Diário 5º PA'!$Q$5:$Q$2634=N$1),('Diário 5º PA'!$F$5:$F$2634))
+SUMPRODUCT(-('Diário 6º PA'!$E$5:$E$2246='Analítico Cp.'!$B99),-('Diário 6º PA'!$Q$5:$Q$2246=N$1),('Diário 6º PA'!$F$5:$F$2246))
+SUMPRODUCT(-('Diário 7º PA'!$E$5:$E$2271='Analítico Cp.'!$B99),-('Diário 7º PA'!$Q$5:$Q$2271=N$1),('Diário 7º PA'!$F$5:$F$2271))
+SUMPRODUCT(-('Diário 8º PA'!$E$5:$E$2488='Analítico Cp.'!$B99),-('Diário 8º PA'!$Q$5:$Q$2488=N$1),('Diário 8º PA'!$F$5:$F$2488))
+SUMPRODUCT(-('Comp.'!$D$5:$D$313='Analítico Cp.'!$B99),-('Comp.'!$R$5:$R$313=N$1),('Comp.'!$E$5:$E$313))</f>
        <v>0</v>
      </c>
      <c r="O99" s="186">
        <f t="shared" si="16"/>
        <v>0</v>
      </c>
      <c r="P99" s="187">
        <f t="shared" si="17"/>
        <v>0</v>
      </c>
      <c r="Q99" s="34"/>
      <c r="R99" s="34"/>
      <c r="S99" s="34"/>
      <c r="T99" s="34"/>
      <c r="U99" s="34"/>
      <c r="V99" s="34"/>
      <c r="W99" s="34"/>
      <c r="X99" s="34"/>
      <c r="Y99" s="34"/>
      <c r="Z99" s="34"/>
    </row>
    <row r="100" spans="1:26" ht="23.25" customHeight="1" x14ac:dyDescent="0.2">
      <c r="A100" s="203" t="s">
        <v>297</v>
      </c>
      <c r="B100" s="72" t="s">
        <v>298</v>
      </c>
      <c r="C100" s="185">
        <f>SUMPRODUCT(-('Diário 5º PA'!$E$5:$E$2634='Analítico Cp.'!$B100),-('Diário 5º PA'!$Q$5:$Q$2634=C$1),('Diário 5º PA'!$F$5:$F$2634))
+SUMPRODUCT(-('Diário 6º PA'!$E$5:$E$2246='Analítico Cp.'!$B100),-('Diário 6º PA'!$Q$5:$Q$2246=C$1),('Diário 6º PA'!$F$5:$F$2246))
+SUMPRODUCT(-('Diário 7º PA'!$E$5:$E$2271='Analítico Cp.'!$B100),-('Diário 7º PA'!$Q$5:$Q$2271=C$1),('Diário 7º PA'!$F$5:$F$2271))
+SUMPRODUCT(-('Diário 8º PA'!$E$5:$E$2488='Analítico Cp.'!$B100),-('Diário 8º PA'!$Q$5:$Q$2488=C$1),('Diário 8º PA'!$F$5:$F$2488))
+SUMPRODUCT(-('Comp.'!$D$5:$D$313='Analítico Cp.'!$B100),-('Comp.'!$R$5:$R$313=C$1),('Comp.'!$E$5:$E$313))</f>
        <v>0</v>
      </c>
      <c r="D100" s="185">
        <f>SUMPRODUCT(-('Diário 5º PA'!$E$5:$E$2634='Analítico Cp.'!$B100),-('Diário 5º PA'!$Q$5:$Q$2634=D$1),('Diário 5º PA'!$F$5:$F$2634))
+SUMPRODUCT(-('Diário 6º PA'!$E$5:$E$2246='Analítico Cp.'!$B100),-('Diário 6º PA'!$Q$5:$Q$2246=D$1),('Diário 6º PA'!$F$5:$F$2246))
+SUMPRODUCT(-('Diário 7º PA'!$E$5:$E$2271='Analítico Cp.'!$B100),-('Diário 7º PA'!$Q$5:$Q$2271=D$1),('Diário 7º PA'!$F$5:$F$2271))
+SUMPRODUCT(-('Diário 8º PA'!$E$5:$E$2488='Analítico Cp.'!$B100),-('Diário 8º PA'!$Q$5:$Q$2488=D$1),('Diário 8º PA'!$F$5:$F$2488))
+SUMPRODUCT(-('Comp.'!$D$5:$D$313='Analítico Cp.'!$B100),-('Comp.'!$R$5:$R$313=D$1),('Comp.'!$E$5:$E$313))</f>
        <v>0</v>
      </c>
      <c r="E100" s="185">
        <f>SUMPRODUCT(-('Diário 5º PA'!$E$5:$E$2634='Analítico Cp.'!$B100),-('Diário 5º PA'!$Q$5:$Q$2634=E$1),('Diário 5º PA'!$F$5:$F$2634))
+SUMPRODUCT(-('Diário 6º PA'!$E$5:$E$2246='Analítico Cp.'!$B100),-('Diário 6º PA'!$Q$5:$Q$2246=E$1),('Diário 6º PA'!$F$5:$F$2246))
+SUMPRODUCT(-('Diário 7º PA'!$E$5:$E$2271='Analítico Cp.'!$B100),-('Diário 7º PA'!$Q$5:$Q$2271=E$1),('Diário 7º PA'!$F$5:$F$2271))
+SUMPRODUCT(-('Diário 8º PA'!$E$5:$E$2488='Analítico Cp.'!$B100),-('Diário 8º PA'!$Q$5:$Q$2488=E$1),('Diário 8º PA'!$F$5:$F$2488))
+SUMPRODUCT(-('Comp.'!$D$5:$D$313='Analítico Cp.'!$B100),-('Comp.'!$R$5:$R$313=E$1),('Comp.'!$E$5:$E$313))</f>
        <v>0</v>
      </c>
      <c r="F100" s="185">
        <f>SUMPRODUCT(-('Diário 5º PA'!$E$5:$E$2634='Analítico Cp.'!$B100),-('Diário 5º PA'!$Q$5:$Q$2634=F$1),('Diário 5º PA'!$F$5:$F$2634))
+SUMPRODUCT(-('Diário 6º PA'!$E$5:$E$2246='Analítico Cp.'!$B100),-('Diário 6º PA'!$Q$5:$Q$2246=F$1),('Diário 6º PA'!$F$5:$F$2246))
+SUMPRODUCT(-('Diário 7º PA'!$E$5:$E$2271='Analítico Cp.'!$B100),-('Diário 7º PA'!$Q$5:$Q$2271=F$1),('Diário 7º PA'!$F$5:$F$2271))
+SUMPRODUCT(-('Diário 8º PA'!$E$5:$E$2488='Analítico Cp.'!$B100),-('Diário 8º PA'!$Q$5:$Q$2488=F$1),('Diário 8º PA'!$F$5:$F$2488))
+SUMPRODUCT(-('Comp.'!$D$5:$D$313='Analítico Cp.'!$B100),-('Comp.'!$R$5:$R$313=F$1),('Comp.'!$E$5:$E$313))</f>
        <v>0</v>
      </c>
      <c r="G100" s="185">
        <f>SUMPRODUCT(-('Diário 5º PA'!$E$5:$E$2634='Analítico Cp.'!$B100),-('Diário 5º PA'!$Q$5:$Q$2634=G$1),('Diário 5º PA'!$F$5:$F$2634))
+SUMPRODUCT(-('Diário 6º PA'!$E$5:$E$2246='Analítico Cp.'!$B100),-('Diário 6º PA'!$Q$5:$Q$2246=G$1),('Diário 6º PA'!$F$5:$F$2246))
+SUMPRODUCT(-('Diário 7º PA'!$E$5:$E$2271='Analítico Cp.'!$B100),-('Diário 7º PA'!$Q$5:$Q$2271=G$1),('Diário 7º PA'!$F$5:$F$2271))
+SUMPRODUCT(-('Diário 8º PA'!$E$5:$E$2488='Analítico Cp.'!$B100),-('Diário 8º PA'!$Q$5:$Q$2488=G$1),('Diário 8º PA'!$F$5:$F$2488))
+SUMPRODUCT(-('Comp.'!$D$5:$D$313='Analítico Cp.'!$B100),-('Comp.'!$R$5:$R$313=G$1),('Comp.'!$E$5:$E$313))</f>
        <v>0</v>
      </c>
      <c r="H100" s="185">
        <f>SUMPRODUCT(-('Diário 5º PA'!$E$5:$E$2634='Analítico Cp.'!$B100),-('Diário 5º PA'!$Q$5:$Q$2634=H$1),('Diário 5º PA'!$F$5:$F$2634))
+SUMPRODUCT(-('Diário 6º PA'!$E$5:$E$2246='Analítico Cp.'!$B100),-('Diário 6º PA'!$Q$5:$Q$2246=H$1),('Diário 6º PA'!$F$5:$F$2246))
+SUMPRODUCT(-('Diário 7º PA'!$E$5:$E$2271='Analítico Cp.'!$B100),-('Diário 7º PA'!$Q$5:$Q$2271=H$1),('Diário 7º PA'!$F$5:$F$2271))
+SUMPRODUCT(-('Diário 8º PA'!$E$5:$E$2488='Analítico Cp.'!$B100),-('Diário 8º PA'!$Q$5:$Q$2488=H$1),('Diário 8º PA'!$F$5:$F$2488))
+SUMPRODUCT(-('Comp.'!$D$5:$D$313='Analítico Cp.'!$B100),-('Comp.'!$R$5:$R$313=H$1),('Comp.'!$E$5:$E$313))</f>
        <v>0</v>
      </c>
      <c r="I100" s="185">
        <f>SUMPRODUCT(-('Diário 5º PA'!$E$5:$E$2634='Analítico Cp.'!$B100),-('Diário 5º PA'!$Q$5:$Q$2634=I$1),('Diário 5º PA'!$F$5:$F$2634))
+SUMPRODUCT(-('Diário 6º PA'!$E$5:$E$2246='Analítico Cp.'!$B100),-('Diário 6º PA'!$Q$5:$Q$2246=I$1),('Diário 6º PA'!$F$5:$F$2246))
+SUMPRODUCT(-('Diário 7º PA'!$E$5:$E$2271='Analítico Cp.'!$B100),-('Diário 7º PA'!$Q$5:$Q$2271=I$1),('Diário 7º PA'!$F$5:$F$2271))
+SUMPRODUCT(-('Diário 8º PA'!$E$5:$E$2488='Analítico Cp.'!$B100),-('Diário 8º PA'!$Q$5:$Q$2488=I$1),('Diário 8º PA'!$F$5:$F$2488))
+SUMPRODUCT(-('Comp.'!$D$5:$D$313='Analítico Cp.'!$B100),-('Comp.'!$R$5:$R$313=I$1),('Comp.'!$E$5:$E$313))</f>
        <v>0</v>
      </c>
      <c r="J100" s="185">
        <f>SUMPRODUCT(-('Diário 5º PA'!$E$5:$E$2634='Analítico Cp.'!$B100),-('Diário 5º PA'!$Q$5:$Q$2634=J$1),('Diário 5º PA'!$F$5:$F$2634))
+SUMPRODUCT(-('Diário 6º PA'!$E$5:$E$2246='Analítico Cp.'!$B100),-('Diário 6º PA'!$Q$5:$Q$2246=J$1),('Diário 6º PA'!$F$5:$F$2246))
+SUMPRODUCT(-('Diário 7º PA'!$E$5:$E$2271='Analítico Cp.'!$B100),-('Diário 7º PA'!$Q$5:$Q$2271=J$1),('Diário 7º PA'!$F$5:$F$2271))
+SUMPRODUCT(-('Diário 8º PA'!$E$5:$E$2488='Analítico Cp.'!$B100),-('Diário 8º PA'!$Q$5:$Q$2488=J$1),('Diário 8º PA'!$F$5:$F$2488))
+SUMPRODUCT(-('Comp.'!$D$5:$D$313='Analítico Cp.'!$B100),-('Comp.'!$R$5:$R$313=J$1),('Comp.'!$E$5:$E$313))</f>
        <v>0</v>
      </c>
      <c r="K100" s="185">
        <f>SUMPRODUCT(-('Diário 5º PA'!$E$5:$E$2634='Analítico Cp.'!$B100),-('Diário 5º PA'!$Q$5:$Q$2634=K$1),('Diário 5º PA'!$F$5:$F$2634))
+SUMPRODUCT(-('Diário 6º PA'!$E$5:$E$2246='Analítico Cp.'!$B100),-('Diário 6º PA'!$Q$5:$Q$2246=K$1),('Diário 6º PA'!$F$5:$F$2246))
+SUMPRODUCT(-('Diário 7º PA'!$E$5:$E$2271='Analítico Cp.'!$B100),-('Diário 7º PA'!$Q$5:$Q$2271=K$1),('Diário 7º PA'!$F$5:$F$2271))
+SUMPRODUCT(-('Diário 8º PA'!$E$5:$E$2488='Analítico Cp.'!$B100),-('Diário 8º PA'!$Q$5:$Q$2488=K$1),('Diário 8º PA'!$F$5:$F$2488))
+SUMPRODUCT(-('Comp.'!$D$5:$D$313='Analítico Cp.'!$B100),-('Comp.'!$R$5:$R$313=K$1),('Comp.'!$E$5:$E$313))</f>
        <v>0</v>
      </c>
      <c r="L100" s="185">
        <f>SUMPRODUCT(-('Diário 5º PA'!$E$5:$E$2634='Analítico Cp.'!$B100),-('Diário 5º PA'!$Q$5:$Q$2634=L$1),('Diário 5º PA'!$F$5:$F$2634))
+SUMPRODUCT(-('Diário 6º PA'!$E$5:$E$2246='Analítico Cp.'!$B100),-('Diário 6º PA'!$Q$5:$Q$2246=L$1),('Diário 6º PA'!$F$5:$F$2246))
+SUMPRODUCT(-('Diário 7º PA'!$E$5:$E$2271='Analítico Cp.'!$B100),-('Diário 7º PA'!$Q$5:$Q$2271=L$1),('Diário 7º PA'!$F$5:$F$2271))
+SUMPRODUCT(-('Diário 8º PA'!$E$5:$E$2488='Analítico Cp.'!$B100),-('Diário 8º PA'!$Q$5:$Q$2488=L$1),('Diário 8º PA'!$F$5:$F$2488))
+SUMPRODUCT(-('Comp.'!$D$5:$D$313='Analítico Cp.'!$B100),-('Comp.'!$R$5:$R$313=L$1),('Comp.'!$E$5:$E$313))</f>
        <v>0</v>
      </c>
      <c r="M100" s="185">
        <f>SUMPRODUCT(-('Diário 5º PA'!$E$5:$E$2634='Analítico Cp.'!$B100),-('Diário 5º PA'!$Q$5:$Q$2634=M$1),('Diário 5º PA'!$F$5:$F$2634))
+SUMPRODUCT(-('Diário 6º PA'!$E$5:$E$2246='Analítico Cp.'!$B100),-('Diário 6º PA'!$Q$5:$Q$2246=M$1),('Diário 6º PA'!$F$5:$F$2246))
+SUMPRODUCT(-('Diário 7º PA'!$E$5:$E$2271='Analítico Cp.'!$B100),-('Diário 7º PA'!$Q$5:$Q$2271=M$1),('Diário 7º PA'!$F$5:$F$2271))
+SUMPRODUCT(-('Diário 8º PA'!$E$5:$E$2488='Analítico Cp.'!$B100),-('Diário 8º PA'!$Q$5:$Q$2488=M$1),('Diário 8º PA'!$F$5:$F$2488))
+SUMPRODUCT(-('Comp.'!$D$5:$D$313='Analítico Cp.'!$B100),-('Comp.'!$R$5:$R$313=M$1),('Comp.'!$E$5:$E$313))</f>
        <v>0</v>
      </c>
      <c r="N100" s="185">
        <f>SUMPRODUCT(-('Diário 5º PA'!$E$5:$E$2634='Analítico Cp.'!$B100),-('Diário 5º PA'!$Q$5:$Q$2634=N$1),('Diário 5º PA'!$F$5:$F$2634))
+SUMPRODUCT(-('Diário 6º PA'!$E$5:$E$2246='Analítico Cp.'!$B100),-('Diário 6º PA'!$Q$5:$Q$2246=N$1),('Diário 6º PA'!$F$5:$F$2246))
+SUMPRODUCT(-('Diário 7º PA'!$E$5:$E$2271='Analítico Cp.'!$B100),-('Diário 7º PA'!$Q$5:$Q$2271=N$1),('Diário 7º PA'!$F$5:$F$2271))
+SUMPRODUCT(-('Diário 8º PA'!$E$5:$E$2488='Analítico Cp.'!$B100),-('Diário 8º PA'!$Q$5:$Q$2488=N$1),('Diário 8º PA'!$F$5:$F$2488))
+SUMPRODUCT(-('Comp.'!$D$5:$D$313='Analítico Cp.'!$B100),-('Comp.'!$R$5:$R$313=N$1),('Comp.'!$E$5:$E$313))</f>
        <v>0</v>
      </c>
      <c r="O100" s="186">
        <f t="shared" si="16"/>
        <v>0</v>
      </c>
      <c r="P100" s="187">
        <f t="shared" si="17"/>
        <v>0</v>
      </c>
      <c r="Q100" s="34"/>
      <c r="R100" s="34"/>
      <c r="S100" s="34"/>
      <c r="T100" s="34"/>
      <c r="U100" s="34"/>
      <c r="V100" s="34"/>
      <c r="W100" s="34"/>
      <c r="X100" s="34"/>
      <c r="Y100" s="34"/>
      <c r="Z100" s="34"/>
    </row>
    <row r="101" spans="1:26" ht="23.25" customHeight="1" x14ac:dyDescent="0.2">
      <c r="A101" s="203" t="s">
        <v>299</v>
      </c>
      <c r="B101" s="204" t="s">
        <v>300</v>
      </c>
      <c r="C101" s="185">
        <f>SUMPRODUCT(-('Diário 5º PA'!$E$5:$E$2634='Analítico Cp.'!$B101),-('Diário 5º PA'!$Q$5:$Q$2634=C$1),('Diário 5º PA'!$F$5:$F$2634))
+SUMPRODUCT(-('Diário 6º PA'!$E$5:$E$2246='Analítico Cp.'!$B101),-('Diário 6º PA'!$Q$5:$Q$2246=C$1),('Diário 6º PA'!$F$5:$F$2246))
+SUMPRODUCT(-('Diário 7º PA'!$E$5:$E$2271='Analítico Cp.'!$B101),-('Diário 7º PA'!$Q$5:$Q$2271=C$1),('Diário 7º PA'!$F$5:$F$2271))
+SUMPRODUCT(-('Diário 8º PA'!$E$5:$E$2488='Analítico Cp.'!$B101),-('Diário 8º PA'!$Q$5:$Q$2488=C$1),('Diário 8º PA'!$F$5:$F$2488))
+SUMPRODUCT(-('Comp.'!$D$5:$D$313='Analítico Cp.'!$B101),-('Comp.'!$R$5:$R$313=C$1),('Comp.'!$E$5:$E$313))</f>
        <v>0</v>
      </c>
      <c r="D101" s="185">
        <f>SUMPRODUCT(-('Diário 5º PA'!$E$5:$E$2634='Analítico Cp.'!$B101),-('Diário 5º PA'!$Q$5:$Q$2634=D$1),('Diário 5º PA'!$F$5:$F$2634))
+SUMPRODUCT(-('Diário 6º PA'!$E$5:$E$2246='Analítico Cp.'!$B101),-('Diário 6º PA'!$Q$5:$Q$2246=D$1),('Diário 6º PA'!$F$5:$F$2246))
+SUMPRODUCT(-('Diário 7º PA'!$E$5:$E$2271='Analítico Cp.'!$B101),-('Diário 7º PA'!$Q$5:$Q$2271=D$1),('Diário 7º PA'!$F$5:$F$2271))
+SUMPRODUCT(-('Diário 8º PA'!$E$5:$E$2488='Analítico Cp.'!$B101),-('Diário 8º PA'!$Q$5:$Q$2488=D$1),('Diário 8º PA'!$F$5:$F$2488))
+SUMPRODUCT(-('Comp.'!$D$5:$D$313='Analítico Cp.'!$B101),-('Comp.'!$R$5:$R$313=D$1),('Comp.'!$E$5:$E$313))</f>
        <v>0</v>
      </c>
      <c r="E101" s="185">
        <f>SUMPRODUCT(-('Diário 5º PA'!$E$5:$E$2634='Analítico Cp.'!$B101),-('Diário 5º PA'!$Q$5:$Q$2634=E$1),('Diário 5º PA'!$F$5:$F$2634))
+SUMPRODUCT(-('Diário 6º PA'!$E$5:$E$2246='Analítico Cp.'!$B101),-('Diário 6º PA'!$Q$5:$Q$2246=E$1),('Diário 6º PA'!$F$5:$F$2246))
+SUMPRODUCT(-('Diário 7º PA'!$E$5:$E$2271='Analítico Cp.'!$B101),-('Diário 7º PA'!$Q$5:$Q$2271=E$1),('Diário 7º PA'!$F$5:$F$2271))
+SUMPRODUCT(-('Diário 8º PA'!$E$5:$E$2488='Analítico Cp.'!$B101),-('Diário 8º PA'!$Q$5:$Q$2488=E$1),('Diário 8º PA'!$F$5:$F$2488))
+SUMPRODUCT(-('Comp.'!$D$5:$D$313='Analítico Cp.'!$B101),-('Comp.'!$R$5:$R$313=E$1),('Comp.'!$E$5:$E$313))</f>
        <v>0</v>
      </c>
      <c r="F101" s="185">
        <f>SUMPRODUCT(-('Diário 5º PA'!$E$5:$E$2634='Analítico Cp.'!$B101),-('Diário 5º PA'!$Q$5:$Q$2634=F$1),('Diário 5º PA'!$F$5:$F$2634))
+SUMPRODUCT(-('Diário 6º PA'!$E$5:$E$2246='Analítico Cp.'!$B101),-('Diário 6º PA'!$Q$5:$Q$2246=F$1),('Diário 6º PA'!$F$5:$F$2246))
+SUMPRODUCT(-('Diário 7º PA'!$E$5:$E$2271='Analítico Cp.'!$B101),-('Diário 7º PA'!$Q$5:$Q$2271=F$1),('Diário 7º PA'!$F$5:$F$2271))
+SUMPRODUCT(-('Diário 8º PA'!$E$5:$E$2488='Analítico Cp.'!$B101),-('Diário 8º PA'!$Q$5:$Q$2488=F$1),('Diário 8º PA'!$F$5:$F$2488))
+SUMPRODUCT(-('Comp.'!$D$5:$D$313='Analítico Cp.'!$B101),-('Comp.'!$R$5:$R$313=F$1),('Comp.'!$E$5:$E$313))</f>
        <v>0</v>
      </c>
      <c r="G101" s="185">
        <f>SUMPRODUCT(-('Diário 5º PA'!$E$5:$E$2634='Analítico Cp.'!$B101),-('Diário 5º PA'!$Q$5:$Q$2634=G$1),('Diário 5º PA'!$F$5:$F$2634))
+SUMPRODUCT(-('Diário 6º PA'!$E$5:$E$2246='Analítico Cp.'!$B101),-('Diário 6º PA'!$Q$5:$Q$2246=G$1),('Diário 6º PA'!$F$5:$F$2246))
+SUMPRODUCT(-('Diário 7º PA'!$E$5:$E$2271='Analítico Cp.'!$B101),-('Diário 7º PA'!$Q$5:$Q$2271=G$1),('Diário 7º PA'!$F$5:$F$2271))
+SUMPRODUCT(-('Diário 8º PA'!$E$5:$E$2488='Analítico Cp.'!$B101),-('Diário 8º PA'!$Q$5:$Q$2488=G$1),('Diário 8º PA'!$F$5:$F$2488))
+SUMPRODUCT(-('Comp.'!$D$5:$D$313='Analítico Cp.'!$B101),-('Comp.'!$R$5:$R$313=G$1),('Comp.'!$E$5:$E$313))</f>
        <v>0</v>
      </c>
      <c r="H101" s="185">
        <f>SUMPRODUCT(-('Diário 5º PA'!$E$5:$E$2634='Analítico Cp.'!$B101),-('Diário 5º PA'!$Q$5:$Q$2634=H$1),('Diário 5º PA'!$F$5:$F$2634))
+SUMPRODUCT(-('Diário 6º PA'!$E$5:$E$2246='Analítico Cp.'!$B101),-('Diário 6º PA'!$Q$5:$Q$2246=H$1),('Diário 6º PA'!$F$5:$F$2246))
+SUMPRODUCT(-('Diário 7º PA'!$E$5:$E$2271='Analítico Cp.'!$B101),-('Diário 7º PA'!$Q$5:$Q$2271=H$1),('Diário 7º PA'!$F$5:$F$2271))
+SUMPRODUCT(-('Diário 8º PA'!$E$5:$E$2488='Analítico Cp.'!$B101),-('Diário 8º PA'!$Q$5:$Q$2488=H$1),('Diário 8º PA'!$F$5:$F$2488))
+SUMPRODUCT(-('Comp.'!$D$5:$D$313='Analítico Cp.'!$B101),-('Comp.'!$R$5:$R$313=H$1),('Comp.'!$E$5:$E$313))</f>
        <v>0</v>
      </c>
      <c r="I101" s="185">
        <f>SUMPRODUCT(-('Diário 5º PA'!$E$5:$E$2634='Analítico Cp.'!$B101),-('Diário 5º PA'!$Q$5:$Q$2634=I$1),('Diário 5º PA'!$F$5:$F$2634))
+SUMPRODUCT(-('Diário 6º PA'!$E$5:$E$2246='Analítico Cp.'!$B101),-('Diário 6º PA'!$Q$5:$Q$2246=I$1),('Diário 6º PA'!$F$5:$F$2246))
+SUMPRODUCT(-('Diário 7º PA'!$E$5:$E$2271='Analítico Cp.'!$B101),-('Diário 7º PA'!$Q$5:$Q$2271=I$1),('Diário 7º PA'!$F$5:$F$2271))
+SUMPRODUCT(-('Diário 8º PA'!$E$5:$E$2488='Analítico Cp.'!$B101),-('Diário 8º PA'!$Q$5:$Q$2488=I$1),('Diário 8º PA'!$F$5:$F$2488))
+SUMPRODUCT(-('Comp.'!$D$5:$D$313='Analítico Cp.'!$B101),-('Comp.'!$R$5:$R$313=I$1),('Comp.'!$E$5:$E$313))</f>
        <v>0</v>
      </c>
      <c r="J101" s="185">
        <f>SUMPRODUCT(-('Diário 5º PA'!$E$5:$E$2634='Analítico Cp.'!$B101),-('Diário 5º PA'!$Q$5:$Q$2634=J$1),('Diário 5º PA'!$F$5:$F$2634))
+SUMPRODUCT(-('Diário 6º PA'!$E$5:$E$2246='Analítico Cp.'!$B101),-('Diário 6º PA'!$Q$5:$Q$2246=J$1),('Diário 6º PA'!$F$5:$F$2246))
+SUMPRODUCT(-('Diário 7º PA'!$E$5:$E$2271='Analítico Cp.'!$B101),-('Diário 7º PA'!$Q$5:$Q$2271=J$1),('Diário 7º PA'!$F$5:$F$2271))
+SUMPRODUCT(-('Diário 8º PA'!$E$5:$E$2488='Analítico Cp.'!$B101),-('Diário 8º PA'!$Q$5:$Q$2488=J$1),('Diário 8º PA'!$F$5:$F$2488))
+SUMPRODUCT(-('Comp.'!$D$5:$D$313='Analítico Cp.'!$B101),-('Comp.'!$R$5:$R$313=J$1),('Comp.'!$E$5:$E$313))</f>
        <v>0</v>
      </c>
      <c r="K101" s="185">
        <f>SUMPRODUCT(-('Diário 5º PA'!$E$5:$E$2634='Analítico Cp.'!$B101),-('Diário 5º PA'!$Q$5:$Q$2634=K$1),('Diário 5º PA'!$F$5:$F$2634))
+SUMPRODUCT(-('Diário 6º PA'!$E$5:$E$2246='Analítico Cp.'!$B101),-('Diário 6º PA'!$Q$5:$Q$2246=K$1),('Diário 6º PA'!$F$5:$F$2246))
+SUMPRODUCT(-('Diário 7º PA'!$E$5:$E$2271='Analítico Cp.'!$B101),-('Diário 7º PA'!$Q$5:$Q$2271=K$1),('Diário 7º PA'!$F$5:$F$2271))
+SUMPRODUCT(-('Diário 8º PA'!$E$5:$E$2488='Analítico Cp.'!$B101),-('Diário 8º PA'!$Q$5:$Q$2488=K$1),('Diário 8º PA'!$F$5:$F$2488))
+SUMPRODUCT(-('Comp.'!$D$5:$D$313='Analítico Cp.'!$B101),-('Comp.'!$R$5:$R$313=K$1),('Comp.'!$E$5:$E$313))</f>
        <v>0</v>
      </c>
      <c r="L101" s="185">
        <f>SUMPRODUCT(-('Diário 5º PA'!$E$5:$E$2634='Analítico Cp.'!$B101),-('Diário 5º PA'!$Q$5:$Q$2634=L$1),('Diário 5º PA'!$F$5:$F$2634))
+SUMPRODUCT(-('Diário 6º PA'!$E$5:$E$2246='Analítico Cp.'!$B101),-('Diário 6º PA'!$Q$5:$Q$2246=L$1),('Diário 6º PA'!$F$5:$F$2246))
+SUMPRODUCT(-('Diário 7º PA'!$E$5:$E$2271='Analítico Cp.'!$B101),-('Diário 7º PA'!$Q$5:$Q$2271=L$1),('Diário 7º PA'!$F$5:$F$2271))
+SUMPRODUCT(-('Diário 8º PA'!$E$5:$E$2488='Analítico Cp.'!$B101),-('Diário 8º PA'!$Q$5:$Q$2488=L$1),('Diário 8º PA'!$F$5:$F$2488))
+SUMPRODUCT(-('Comp.'!$D$5:$D$313='Analítico Cp.'!$B101),-('Comp.'!$R$5:$R$313=L$1),('Comp.'!$E$5:$E$313))</f>
        <v>0</v>
      </c>
      <c r="M101" s="185">
        <f>SUMPRODUCT(-('Diário 5º PA'!$E$5:$E$2634='Analítico Cp.'!$B101),-('Diário 5º PA'!$Q$5:$Q$2634=M$1),('Diário 5º PA'!$F$5:$F$2634))
+SUMPRODUCT(-('Diário 6º PA'!$E$5:$E$2246='Analítico Cp.'!$B101),-('Diário 6º PA'!$Q$5:$Q$2246=M$1),('Diário 6º PA'!$F$5:$F$2246))
+SUMPRODUCT(-('Diário 7º PA'!$E$5:$E$2271='Analítico Cp.'!$B101),-('Diário 7º PA'!$Q$5:$Q$2271=M$1),('Diário 7º PA'!$F$5:$F$2271))
+SUMPRODUCT(-('Diário 8º PA'!$E$5:$E$2488='Analítico Cp.'!$B101),-('Diário 8º PA'!$Q$5:$Q$2488=M$1),('Diário 8º PA'!$F$5:$F$2488))
+SUMPRODUCT(-('Comp.'!$D$5:$D$313='Analítico Cp.'!$B101),-('Comp.'!$R$5:$R$313=M$1),('Comp.'!$E$5:$E$313))</f>
        <v>0</v>
      </c>
      <c r="N101" s="185">
        <f>SUMPRODUCT(-('Diário 5º PA'!$E$5:$E$2634='Analítico Cp.'!$B101),-('Diário 5º PA'!$Q$5:$Q$2634=N$1),('Diário 5º PA'!$F$5:$F$2634))
+SUMPRODUCT(-('Diário 6º PA'!$E$5:$E$2246='Analítico Cp.'!$B101),-('Diário 6º PA'!$Q$5:$Q$2246=N$1),('Diário 6º PA'!$F$5:$F$2246))
+SUMPRODUCT(-('Diário 7º PA'!$E$5:$E$2271='Analítico Cp.'!$B101),-('Diário 7º PA'!$Q$5:$Q$2271=N$1),('Diário 7º PA'!$F$5:$F$2271))
+SUMPRODUCT(-('Diário 8º PA'!$E$5:$E$2488='Analítico Cp.'!$B101),-('Diário 8º PA'!$Q$5:$Q$2488=N$1),('Diário 8º PA'!$F$5:$F$2488))
+SUMPRODUCT(-('Comp.'!$D$5:$D$313='Analítico Cp.'!$B101),-('Comp.'!$R$5:$R$313=N$1),('Comp.'!$E$5:$E$313))</f>
        <v>0</v>
      </c>
      <c r="O101" s="186">
        <f t="shared" si="16"/>
        <v>0</v>
      </c>
      <c r="P101" s="187">
        <f t="shared" si="17"/>
        <v>0</v>
      </c>
      <c r="Q101" s="34"/>
      <c r="R101" s="34"/>
      <c r="S101" s="34"/>
      <c r="T101" s="34"/>
      <c r="U101" s="34"/>
      <c r="V101" s="34"/>
      <c r="W101" s="34"/>
      <c r="X101" s="34"/>
      <c r="Y101" s="34"/>
      <c r="Z101" s="34"/>
    </row>
    <row r="102" spans="1:26" ht="23.25" customHeight="1" x14ac:dyDescent="0.2">
      <c r="A102" s="203" t="s">
        <v>301</v>
      </c>
      <c r="B102" s="72" t="s">
        <v>302</v>
      </c>
      <c r="C102" s="185">
        <f>SUMPRODUCT(-('Diário 5º PA'!$E$5:$E$2634='Analítico Cp.'!$B102),-('Diário 5º PA'!$Q$5:$Q$2634=C$1),('Diário 5º PA'!$F$5:$F$2634))
+SUMPRODUCT(-('Diário 6º PA'!$E$5:$E$2246='Analítico Cp.'!$B102),-('Diário 6º PA'!$Q$5:$Q$2246=C$1),('Diário 6º PA'!$F$5:$F$2246))
+SUMPRODUCT(-('Diário 7º PA'!$E$5:$E$2271='Analítico Cp.'!$B102),-('Diário 7º PA'!$Q$5:$Q$2271=C$1),('Diário 7º PA'!$F$5:$F$2271))
+SUMPRODUCT(-('Diário 8º PA'!$E$5:$E$2488='Analítico Cp.'!$B102),-('Diário 8º PA'!$Q$5:$Q$2488=C$1),('Diário 8º PA'!$F$5:$F$2488))
+SUMPRODUCT(-('Comp.'!$D$5:$D$313='Analítico Cp.'!$B102),-('Comp.'!$R$5:$R$313=C$1),('Comp.'!$E$5:$E$313))</f>
        <v>0</v>
      </c>
      <c r="D102" s="185">
        <f>SUMPRODUCT(-('Diário 5º PA'!$E$5:$E$2634='Analítico Cp.'!$B102),-('Diário 5º PA'!$Q$5:$Q$2634=D$1),('Diário 5º PA'!$F$5:$F$2634))
+SUMPRODUCT(-('Diário 6º PA'!$E$5:$E$2246='Analítico Cp.'!$B102),-('Diário 6º PA'!$Q$5:$Q$2246=D$1),('Diário 6º PA'!$F$5:$F$2246))
+SUMPRODUCT(-('Diário 7º PA'!$E$5:$E$2271='Analítico Cp.'!$B102),-('Diário 7º PA'!$Q$5:$Q$2271=D$1),('Diário 7º PA'!$F$5:$F$2271))
+SUMPRODUCT(-('Diário 8º PA'!$E$5:$E$2488='Analítico Cp.'!$B102),-('Diário 8º PA'!$Q$5:$Q$2488=D$1),('Diário 8º PA'!$F$5:$F$2488))
+SUMPRODUCT(-('Comp.'!$D$5:$D$313='Analítico Cp.'!$B102),-('Comp.'!$R$5:$R$313=D$1),('Comp.'!$E$5:$E$313))</f>
        <v>0</v>
      </c>
      <c r="E102" s="185">
        <f>SUMPRODUCT(-('Diário 5º PA'!$E$5:$E$2634='Analítico Cp.'!$B102),-('Diário 5º PA'!$Q$5:$Q$2634=E$1),('Diário 5º PA'!$F$5:$F$2634))
+SUMPRODUCT(-('Diário 6º PA'!$E$5:$E$2246='Analítico Cp.'!$B102),-('Diário 6º PA'!$Q$5:$Q$2246=E$1),('Diário 6º PA'!$F$5:$F$2246))
+SUMPRODUCT(-('Diário 7º PA'!$E$5:$E$2271='Analítico Cp.'!$B102),-('Diário 7º PA'!$Q$5:$Q$2271=E$1),('Diário 7º PA'!$F$5:$F$2271))
+SUMPRODUCT(-('Diário 8º PA'!$E$5:$E$2488='Analítico Cp.'!$B102),-('Diário 8º PA'!$Q$5:$Q$2488=E$1),('Diário 8º PA'!$F$5:$F$2488))
+SUMPRODUCT(-('Comp.'!$D$5:$D$313='Analítico Cp.'!$B102),-('Comp.'!$R$5:$R$313=E$1),('Comp.'!$E$5:$E$313))</f>
        <v>0</v>
      </c>
      <c r="F102" s="185">
        <f>SUMPRODUCT(-('Diário 5º PA'!$E$5:$E$2634='Analítico Cp.'!$B102),-('Diário 5º PA'!$Q$5:$Q$2634=F$1),('Diário 5º PA'!$F$5:$F$2634))
+SUMPRODUCT(-('Diário 6º PA'!$E$5:$E$2246='Analítico Cp.'!$B102),-('Diário 6º PA'!$Q$5:$Q$2246=F$1),('Diário 6º PA'!$F$5:$F$2246))
+SUMPRODUCT(-('Diário 7º PA'!$E$5:$E$2271='Analítico Cp.'!$B102),-('Diário 7º PA'!$Q$5:$Q$2271=F$1),('Diário 7º PA'!$F$5:$F$2271))
+SUMPRODUCT(-('Diário 8º PA'!$E$5:$E$2488='Analítico Cp.'!$B102),-('Diário 8º PA'!$Q$5:$Q$2488=F$1),('Diário 8º PA'!$F$5:$F$2488))
+SUMPRODUCT(-('Comp.'!$D$5:$D$313='Analítico Cp.'!$B102),-('Comp.'!$R$5:$R$313=F$1),('Comp.'!$E$5:$E$313))</f>
        <v>0</v>
      </c>
      <c r="G102" s="185">
        <f>SUMPRODUCT(-('Diário 5º PA'!$E$5:$E$2634='Analítico Cp.'!$B102),-('Diário 5º PA'!$Q$5:$Q$2634=G$1),('Diário 5º PA'!$F$5:$F$2634))
+SUMPRODUCT(-('Diário 6º PA'!$E$5:$E$2246='Analítico Cp.'!$B102),-('Diário 6º PA'!$Q$5:$Q$2246=G$1),('Diário 6º PA'!$F$5:$F$2246))
+SUMPRODUCT(-('Diário 7º PA'!$E$5:$E$2271='Analítico Cp.'!$B102),-('Diário 7º PA'!$Q$5:$Q$2271=G$1),('Diário 7º PA'!$F$5:$F$2271))
+SUMPRODUCT(-('Diário 8º PA'!$E$5:$E$2488='Analítico Cp.'!$B102),-('Diário 8º PA'!$Q$5:$Q$2488=G$1),('Diário 8º PA'!$F$5:$F$2488))
+SUMPRODUCT(-('Comp.'!$D$5:$D$313='Analítico Cp.'!$B102),-('Comp.'!$R$5:$R$313=G$1),('Comp.'!$E$5:$E$313))</f>
        <v>0</v>
      </c>
      <c r="H102" s="185">
        <f>SUMPRODUCT(-('Diário 5º PA'!$E$5:$E$2634='Analítico Cp.'!$B102),-('Diário 5º PA'!$Q$5:$Q$2634=H$1),('Diário 5º PA'!$F$5:$F$2634))
+SUMPRODUCT(-('Diário 6º PA'!$E$5:$E$2246='Analítico Cp.'!$B102),-('Diário 6º PA'!$Q$5:$Q$2246=H$1),('Diário 6º PA'!$F$5:$F$2246))
+SUMPRODUCT(-('Diário 7º PA'!$E$5:$E$2271='Analítico Cp.'!$B102),-('Diário 7º PA'!$Q$5:$Q$2271=H$1),('Diário 7º PA'!$F$5:$F$2271))
+SUMPRODUCT(-('Diário 8º PA'!$E$5:$E$2488='Analítico Cp.'!$B102),-('Diário 8º PA'!$Q$5:$Q$2488=H$1),('Diário 8º PA'!$F$5:$F$2488))
+SUMPRODUCT(-('Comp.'!$D$5:$D$313='Analítico Cp.'!$B102),-('Comp.'!$R$5:$R$313=H$1),('Comp.'!$E$5:$E$313))</f>
        <v>0</v>
      </c>
      <c r="I102" s="185">
        <f>SUMPRODUCT(-('Diário 5º PA'!$E$5:$E$2634='Analítico Cp.'!$B102),-('Diário 5º PA'!$Q$5:$Q$2634=I$1),('Diário 5º PA'!$F$5:$F$2634))
+SUMPRODUCT(-('Diário 6º PA'!$E$5:$E$2246='Analítico Cp.'!$B102),-('Diário 6º PA'!$Q$5:$Q$2246=I$1),('Diário 6º PA'!$F$5:$F$2246))
+SUMPRODUCT(-('Diário 7º PA'!$E$5:$E$2271='Analítico Cp.'!$B102),-('Diário 7º PA'!$Q$5:$Q$2271=I$1),('Diário 7º PA'!$F$5:$F$2271))
+SUMPRODUCT(-('Diário 8º PA'!$E$5:$E$2488='Analítico Cp.'!$B102),-('Diário 8º PA'!$Q$5:$Q$2488=I$1),('Diário 8º PA'!$F$5:$F$2488))
+SUMPRODUCT(-('Comp.'!$D$5:$D$313='Analítico Cp.'!$B102),-('Comp.'!$R$5:$R$313=I$1),('Comp.'!$E$5:$E$313))</f>
        <v>0</v>
      </c>
      <c r="J102" s="185">
        <f>SUMPRODUCT(-('Diário 5º PA'!$E$5:$E$2634='Analítico Cp.'!$B102),-('Diário 5º PA'!$Q$5:$Q$2634=J$1),('Diário 5º PA'!$F$5:$F$2634))
+SUMPRODUCT(-('Diário 6º PA'!$E$5:$E$2246='Analítico Cp.'!$B102),-('Diário 6º PA'!$Q$5:$Q$2246=J$1),('Diário 6º PA'!$F$5:$F$2246))
+SUMPRODUCT(-('Diário 7º PA'!$E$5:$E$2271='Analítico Cp.'!$B102),-('Diário 7º PA'!$Q$5:$Q$2271=J$1),('Diário 7º PA'!$F$5:$F$2271))
+SUMPRODUCT(-('Diário 8º PA'!$E$5:$E$2488='Analítico Cp.'!$B102),-('Diário 8º PA'!$Q$5:$Q$2488=J$1),('Diário 8º PA'!$F$5:$F$2488))
+SUMPRODUCT(-('Comp.'!$D$5:$D$313='Analítico Cp.'!$B102),-('Comp.'!$R$5:$R$313=J$1),('Comp.'!$E$5:$E$313))</f>
        <v>0</v>
      </c>
      <c r="K102" s="185">
        <f>SUMPRODUCT(-('Diário 5º PA'!$E$5:$E$2634='Analítico Cp.'!$B102),-('Diário 5º PA'!$Q$5:$Q$2634=K$1),('Diário 5º PA'!$F$5:$F$2634))
+SUMPRODUCT(-('Diário 6º PA'!$E$5:$E$2246='Analítico Cp.'!$B102),-('Diário 6º PA'!$Q$5:$Q$2246=K$1),('Diário 6º PA'!$F$5:$F$2246))
+SUMPRODUCT(-('Diário 7º PA'!$E$5:$E$2271='Analítico Cp.'!$B102),-('Diário 7º PA'!$Q$5:$Q$2271=K$1),('Diário 7º PA'!$F$5:$F$2271))
+SUMPRODUCT(-('Diário 8º PA'!$E$5:$E$2488='Analítico Cp.'!$B102),-('Diário 8º PA'!$Q$5:$Q$2488=K$1),('Diário 8º PA'!$F$5:$F$2488))
+SUMPRODUCT(-('Comp.'!$D$5:$D$313='Analítico Cp.'!$B102),-('Comp.'!$R$5:$R$313=K$1),('Comp.'!$E$5:$E$313))</f>
        <v>0</v>
      </c>
      <c r="L102" s="185">
        <f>SUMPRODUCT(-('Diário 5º PA'!$E$5:$E$2634='Analítico Cp.'!$B102),-('Diário 5º PA'!$Q$5:$Q$2634=L$1),('Diário 5º PA'!$F$5:$F$2634))
+SUMPRODUCT(-('Diário 6º PA'!$E$5:$E$2246='Analítico Cp.'!$B102),-('Diário 6º PA'!$Q$5:$Q$2246=L$1),('Diário 6º PA'!$F$5:$F$2246))
+SUMPRODUCT(-('Diário 7º PA'!$E$5:$E$2271='Analítico Cp.'!$B102),-('Diário 7º PA'!$Q$5:$Q$2271=L$1),('Diário 7º PA'!$F$5:$F$2271))
+SUMPRODUCT(-('Diário 8º PA'!$E$5:$E$2488='Analítico Cp.'!$B102),-('Diário 8º PA'!$Q$5:$Q$2488=L$1),('Diário 8º PA'!$F$5:$F$2488))
+SUMPRODUCT(-('Comp.'!$D$5:$D$313='Analítico Cp.'!$B102),-('Comp.'!$R$5:$R$313=L$1),('Comp.'!$E$5:$E$313))</f>
        <v>0</v>
      </c>
      <c r="M102" s="185">
        <f>SUMPRODUCT(-('Diário 5º PA'!$E$5:$E$2634='Analítico Cp.'!$B102),-('Diário 5º PA'!$Q$5:$Q$2634=M$1),('Diário 5º PA'!$F$5:$F$2634))
+SUMPRODUCT(-('Diário 6º PA'!$E$5:$E$2246='Analítico Cp.'!$B102),-('Diário 6º PA'!$Q$5:$Q$2246=M$1),('Diário 6º PA'!$F$5:$F$2246))
+SUMPRODUCT(-('Diário 7º PA'!$E$5:$E$2271='Analítico Cp.'!$B102),-('Diário 7º PA'!$Q$5:$Q$2271=M$1),('Diário 7º PA'!$F$5:$F$2271))
+SUMPRODUCT(-('Diário 8º PA'!$E$5:$E$2488='Analítico Cp.'!$B102),-('Diário 8º PA'!$Q$5:$Q$2488=M$1),('Diário 8º PA'!$F$5:$F$2488))
+SUMPRODUCT(-('Comp.'!$D$5:$D$313='Analítico Cp.'!$B102),-('Comp.'!$R$5:$R$313=M$1),('Comp.'!$E$5:$E$313))</f>
        <v>0</v>
      </c>
      <c r="N102" s="185">
        <f>SUMPRODUCT(-('Diário 5º PA'!$E$5:$E$2634='Analítico Cp.'!$B102),-('Diário 5º PA'!$Q$5:$Q$2634=N$1),('Diário 5º PA'!$F$5:$F$2634))
+SUMPRODUCT(-('Diário 6º PA'!$E$5:$E$2246='Analítico Cp.'!$B102),-('Diário 6º PA'!$Q$5:$Q$2246=N$1),('Diário 6º PA'!$F$5:$F$2246))
+SUMPRODUCT(-('Diário 7º PA'!$E$5:$E$2271='Analítico Cp.'!$B102),-('Diário 7º PA'!$Q$5:$Q$2271=N$1),('Diário 7º PA'!$F$5:$F$2271))
+SUMPRODUCT(-('Diário 8º PA'!$E$5:$E$2488='Analítico Cp.'!$B102),-('Diário 8º PA'!$Q$5:$Q$2488=N$1),('Diário 8º PA'!$F$5:$F$2488))
+SUMPRODUCT(-('Comp.'!$D$5:$D$313='Analítico Cp.'!$B102),-('Comp.'!$R$5:$R$313=N$1),('Comp.'!$E$5:$E$313))</f>
        <v>0</v>
      </c>
      <c r="O102" s="186">
        <f t="shared" si="16"/>
        <v>0</v>
      </c>
      <c r="P102" s="187">
        <f t="shared" si="17"/>
        <v>0</v>
      </c>
      <c r="Q102" s="34"/>
      <c r="R102" s="34"/>
      <c r="S102" s="34"/>
      <c r="T102" s="34"/>
      <c r="U102" s="34"/>
      <c r="V102" s="34"/>
      <c r="W102" s="34"/>
      <c r="X102" s="34"/>
      <c r="Y102" s="34"/>
      <c r="Z102" s="34"/>
    </row>
    <row r="103" spans="1:26" ht="23.25" customHeight="1" x14ac:dyDescent="0.2">
      <c r="A103" s="203" t="s">
        <v>303</v>
      </c>
      <c r="B103" s="72" t="s">
        <v>304</v>
      </c>
      <c r="C103" s="185">
        <f>SUMPRODUCT(-('Diário 5º PA'!$E$5:$E$2634='Analítico Cp.'!$B103),-('Diário 5º PA'!$Q$5:$Q$2634=C$1),('Diário 5º PA'!$F$5:$F$2634))
+SUMPRODUCT(-('Diário 6º PA'!$E$5:$E$2246='Analítico Cp.'!$B103),-('Diário 6º PA'!$Q$5:$Q$2246=C$1),('Diário 6º PA'!$F$5:$F$2246))
+SUMPRODUCT(-('Diário 7º PA'!$E$5:$E$2271='Analítico Cp.'!$B103),-('Diário 7º PA'!$Q$5:$Q$2271=C$1),('Diário 7º PA'!$F$5:$F$2271))
+SUMPRODUCT(-('Diário 8º PA'!$E$5:$E$2488='Analítico Cp.'!$B103),-('Diário 8º PA'!$Q$5:$Q$2488=C$1),('Diário 8º PA'!$F$5:$F$2488))
+SUMPRODUCT(-('Comp.'!$D$5:$D$313='Analítico Cp.'!$B103),-('Comp.'!$R$5:$R$313=C$1),('Comp.'!$E$5:$E$313))</f>
        <v>0</v>
      </c>
      <c r="D103" s="185">
        <f>SUMPRODUCT(-('Diário 5º PA'!$E$5:$E$2634='Analítico Cp.'!$B103),-('Diário 5º PA'!$Q$5:$Q$2634=D$1),('Diário 5º PA'!$F$5:$F$2634))
+SUMPRODUCT(-('Diário 6º PA'!$E$5:$E$2246='Analítico Cp.'!$B103),-('Diário 6º PA'!$Q$5:$Q$2246=D$1),('Diário 6º PA'!$F$5:$F$2246))
+SUMPRODUCT(-('Diário 7º PA'!$E$5:$E$2271='Analítico Cp.'!$B103),-('Diário 7º PA'!$Q$5:$Q$2271=D$1),('Diário 7º PA'!$F$5:$F$2271))
+SUMPRODUCT(-('Diário 8º PA'!$E$5:$E$2488='Analítico Cp.'!$B103),-('Diário 8º PA'!$Q$5:$Q$2488=D$1),('Diário 8º PA'!$F$5:$F$2488))
+SUMPRODUCT(-('Comp.'!$D$5:$D$313='Analítico Cp.'!$B103),-('Comp.'!$R$5:$R$313=D$1),('Comp.'!$E$5:$E$313))</f>
        <v>0</v>
      </c>
      <c r="E103" s="185">
        <f>SUMPRODUCT(-('Diário 5º PA'!$E$5:$E$2634='Analítico Cp.'!$B103),-('Diário 5º PA'!$Q$5:$Q$2634=E$1),('Diário 5º PA'!$F$5:$F$2634))
+SUMPRODUCT(-('Diário 6º PA'!$E$5:$E$2246='Analítico Cp.'!$B103),-('Diário 6º PA'!$Q$5:$Q$2246=E$1),('Diário 6º PA'!$F$5:$F$2246))
+SUMPRODUCT(-('Diário 7º PA'!$E$5:$E$2271='Analítico Cp.'!$B103),-('Diário 7º PA'!$Q$5:$Q$2271=E$1),('Diário 7º PA'!$F$5:$F$2271))
+SUMPRODUCT(-('Diário 8º PA'!$E$5:$E$2488='Analítico Cp.'!$B103),-('Diário 8º PA'!$Q$5:$Q$2488=E$1),('Diário 8º PA'!$F$5:$F$2488))
+SUMPRODUCT(-('Comp.'!$D$5:$D$313='Analítico Cp.'!$B103),-('Comp.'!$R$5:$R$313=E$1),('Comp.'!$E$5:$E$313))</f>
        <v>0</v>
      </c>
      <c r="F103" s="185">
        <f>SUMPRODUCT(-('Diário 5º PA'!$E$5:$E$2634='Analítico Cp.'!$B103),-('Diário 5º PA'!$Q$5:$Q$2634=F$1),('Diário 5º PA'!$F$5:$F$2634))
+SUMPRODUCT(-('Diário 6º PA'!$E$5:$E$2246='Analítico Cp.'!$B103),-('Diário 6º PA'!$Q$5:$Q$2246=F$1),('Diário 6º PA'!$F$5:$F$2246))
+SUMPRODUCT(-('Diário 7º PA'!$E$5:$E$2271='Analítico Cp.'!$B103),-('Diário 7º PA'!$Q$5:$Q$2271=F$1),('Diário 7º PA'!$F$5:$F$2271))
+SUMPRODUCT(-('Diário 8º PA'!$E$5:$E$2488='Analítico Cp.'!$B103),-('Diário 8º PA'!$Q$5:$Q$2488=F$1),('Diário 8º PA'!$F$5:$F$2488))
+SUMPRODUCT(-('Comp.'!$D$5:$D$313='Analítico Cp.'!$B103),-('Comp.'!$R$5:$R$313=F$1),('Comp.'!$E$5:$E$313))</f>
        <v>0</v>
      </c>
      <c r="G103" s="185">
        <f>SUMPRODUCT(-('Diário 5º PA'!$E$5:$E$2634='Analítico Cp.'!$B103),-('Diário 5º PA'!$Q$5:$Q$2634=G$1),('Diário 5º PA'!$F$5:$F$2634))
+SUMPRODUCT(-('Diário 6º PA'!$E$5:$E$2246='Analítico Cp.'!$B103),-('Diário 6º PA'!$Q$5:$Q$2246=G$1),('Diário 6º PA'!$F$5:$F$2246))
+SUMPRODUCT(-('Diário 7º PA'!$E$5:$E$2271='Analítico Cp.'!$B103),-('Diário 7º PA'!$Q$5:$Q$2271=G$1),('Diário 7º PA'!$F$5:$F$2271))
+SUMPRODUCT(-('Diário 8º PA'!$E$5:$E$2488='Analítico Cp.'!$B103),-('Diário 8º PA'!$Q$5:$Q$2488=G$1),('Diário 8º PA'!$F$5:$F$2488))
+SUMPRODUCT(-('Comp.'!$D$5:$D$313='Analítico Cp.'!$B103),-('Comp.'!$R$5:$R$313=G$1),('Comp.'!$E$5:$E$313))</f>
        <v>0</v>
      </c>
      <c r="H103" s="185">
        <f>SUMPRODUCT(-('Diário 5º PA'!$E$5:$E$2634='Analítico Cp.'!$B103),-('Diário 5º PA'!$Q$5:$Q$2634=H$1),('Diário 5º PA'!$F$5:$F$2634))
+SUMPRODUCT(-('Diário 6º PA'!$E$5:$E$2246='Analítico Cp.'!$B103),-('Diário 6º PA'!$Q$5:$Q$2246=H$1),('Diário 6º PA'!$F$5:$F$2246))
+SUMPRODUCT(-('Diário 7º PA'!$E$5:$E$2271='Analítico Cp.'!$B103),-('Diário 7º PA'!$Q$5:$Q$2271=H$1),('Diário 7º PA'!$F$5:$F$2271))
+SUMPRODUCT(-('Diário 8º PA'!$E$5:$E$2488='Analítico Cp.'!$B103),-('Diário 8º PA'!$Q$5:$Q$2488=H$1),('Diário 8º PA'!$F$5:$F$2488))
+SUMPRODUCT(-('Comp.'!$D$5:$D$313='Analítico Cp.'!$B103),-('Comp.'!$R$5:$R$313=H$1),('Comp.'!$E$5:$E$313))</f>
        <v>0</v>
      </c>
      <c r="I103" s="185">
        <f>SUMPRODUCT(-('Diário 5º PA'!$E$5:$E$2634='Analítico Cp.'!$B103),-('Diário 5º PA'!$Q$5:$Q$2634=I$1),('Diário 5º PA'!$F$5:$F$2634))
+SUMPRODUCT(-('Diário 6º PA'!$E$5:$E$2246='Analítico Cp.'!$B103),-('Diário 6º PA'!$Q$5:$Q$2246=I$1),('Diário 6º PA'!$F$5:$F$2246))
+SUMPRODUCT(-('Diário 7º PA'!$E$5:$E$2271='Analítico Cp.'!$B103),-('Diário 7º PA'!$Q$5:$Q$2271=I$1),('Diário 7º PA'!$F$5:$F$2271))
+SUMPRODUCT(-('Diário 8º PA'!$E$5:$E$2488='Analítico Cp.'!$B103),-('Diário 8º PA'!$Q$5:$Q$2488=I$1),('Diário 8º PA'!$F$5:$F$2488))
+SUMPRODUCT(-('Comp.'!$D$5:$D$313='Analítico Cp.'!$B103),-('Comp.'!$R$5:$R$313=I$1),('Comp.'!$E$5:$E$313))</f>
        <v>0</v>
      </c>
      <c r="J103" s="185">
        <f>SUMPRODUCT(-('Diário 5º PA'!$E$5:$E$2634='Analítico Cp.'!$B103),-('Diário 5º PA'!$Q$5:$Q$2634=J$1),('Diário 5º PA'!$F$5:$F$2634))
+SUMPRODUCT(-('Diário 6º PA'!$E$5:$E$2246='Analítico Cp.'!$B103),-('Diário 6º PA'!$Q$5:$Q$2246=J$1),('Diário 6º PA'!$F$5:$F$2246))
+SUMPRODUCT(-('Diário 7º PA'!$E$5:$E$2271='Analítico Cp.'!$B103),-('Diário 7º PA'!$Q$5:$Q$2271=J$1),('Diário 7º PA'!$F$5:$F$2271))
+SUMPRODUCT(-('Diário 8º PA'!$E$5:$E$2488='Analítico Cp.'!$B103),-('Diário 8º PA'!$Q$5:$Q$2488=J$1),('Diário 8º PA'!$F$5:$F$2488))
+SUMPRODUCT(-('Comp.'!$D$5:$D$313='Analítico Cp.'!$B103),-('Comp.'!$R$5:$R$313=J$1),('Comp.'!$E$5:$E$313))</f>
        <v>0</v>
      </c>
      <c r="K103" s="185">
        <f>SUMPRODUCT(-('Diário 5º PA'!$E$5:$E$2634='Analítico Cp.'!$B103),-('Diário 5º PA'!$Q$5:$Q$2634=K$1),('Diário 5º PA'!$F$5:$F$2634))
+SUMPRODUCT(-('Diário 6º PA'!$E$5:$E$2246='Analítico Cp.'!$B103),-('Diário 6º PA'!$Q$5:$Q$2246=K$1),('Diário 6º PA'!$F$5:$F$2246))
+SUMPRODUCT(-('Diário 7º PA'!$E$5:$E$2271='Analítico Cp.'!$B103),-('Diário 7º PA'!$Q$5:$Q$2271=K$1),('Diário 7º PA'!$F$5:$F$2271))
+SUMPRODUCT(-('Diário 8º PA'!$E$5:$E$2488='Analítico Cp.'!$B103),-('Diário 8º PA'!$Q$5:$Q$2488=K$1),('Diário 8º PA'!$F$5:$F$2488))
+SUMPRODUCT(-('Comp.'!$D$5:$D$313='Analítico Cp.'!$B103),-('Comp.'!$R$5:$R$313=K$1),('Comp.'!$E$5:$E$313))</f>
        <v>0</v>
      </c>
      <c r="L103" s="185">
        <f>SUMPRODUCT(-('Diário 5º PA'!$E$5:$E$2634='Analítico Cp.'!$B103),-('Diário 5º PA'!$Q$5:$Q$2634=L$1),('Diário 5º PA'!$F$5:$F$2634))
+SUMPRODUCT(-('Diário 6º PA'!$E$5:$E$2246='Analítico Cp.'!$B103),-('Diário 6º PA'!$Q$5:$Q$2246=L$1),('Diário 6º PA'!$F$5:$F$2246))
+SUMPRODUCT(-('Diário 7º PA'!$E$5:$E$2271='Analítico Cp.'!$B103),-('Diário 7º PA'!$Q$5:$Q$2271=L$1),('Diário 7º PA'!$F$5:$F$2271))
+SUMPRODUCT(-('Diário 8º PA'!$E$5:$E$2488='Analítico Cp.'!$B103),-('Diário 8º PA'!$Q$5:$Q$2488=L$1),('Diário 8º PA'!$F$5:$F$2488))
+SUMPRODUCT(-('Comp.'!$D$5:$D$313='Analítico Cp.'!$B103),-('Comp.'!$R$5:$R$313=L$1),('Comp.'!$E$5:$E$313))</f>
        <v>0</v>
      </c>
      <c r="M103" s="185">
        <f>SUMPRODUCT(-('Diário 5º PA'!$E$5:$E$2634='Analítico Cp.'!$B103),-('Diário 5º PA'!$Q$5:$Q$2634=M$1),('Diário 5º PA'!$F$5:$F$2634))
+SUMPRODUCT(-('Diário 6º PA'!$E$5:$E$2246='Analítico Cp.'!$B103),-('Diário 6º PA'!$Q$5:$Q$2246=M$1),('Diário 6º PA'!$F$5:$F$2246))
+SUMPRODUCT(-('Diário 7º PA'!$E$5:$E$2271='Analítico Cp.'!$B103),-('Diário 7º PA'!$Q$5:$Q$2271=M$1),('Diário 7º PA'!$F$5:$F$2271))
+SUMPRODUCT(-('Diário 8º PA'!$E$5:$E$2488='Analítico Cp.'!$B103),-('Diário 8º PA'!$Q$5:$Q$2488=M$1),('Diário 8º PA'!$F$5:$F$2488))
+SUMPRODUCT(-('Comp.'!$D$5:$D$313='Analítico Cp.'!$B103),-('Comp.'!$R$5:$R$313=M$1),('Comp.'!$E$5:$E$313))</f>
        <v>0</v>
      </c>
      <c r="N103" s="185">
        <f>SUMPRODUCT(-('Diário 5º PA'!$E$5:$E$2634='Analítico Cp.'!$B103),-('Diário 5º PA'!$Q$5:$Q$2634=N$1),('Diário 5º PA'!$F$5:$F$2634))
+SUMPRODUCT(-('Diário 6º PA'!$E$5:$E$2246='Analítico Cp.'!$B103),-('Diário 6º PA'!$Q$5:$Q$2246=N$1),('Diário 6º PA'!$F$5:$F$2246))
+SUMPRODUCT(-('Diário 7º PA'!$E$5:$E$2271='Analítico Cp.'!$B103),-('Diário 7º PA'!$Q$5:$Q$2271=N$1),('Diário 7º PA'!$F$5:$F$2271))
+SUMPRODUCT(-('Diário 8º PA'!$E$5:$E$2488='Analítico Cp.'!$B103),-('Diário 8º PA'!$Q$5:$Q$2488=N$1),('Diário 8º PA'!$F$5:$F$2488))
+SUMPRODUCT(-('Comp.'!$D$5:$D$313='Analítico Cp.'!$B103),-('Comp.'!$R$5:$R$313=N$1),('Comp.'!$E$5:$E$313))</f>
        <v>0</v>
      </c>
      <c r="O103" s="186">
        <f t="shared" si="16"/>
        <v>0</v>
      </c>
      <c r="P103" s="187">
        <f t="shared" si="17"/>
        <v>0</v>
      </c>
      <c r="Q103" s="34"/>
      <c r="R103" s="34"/>
      <c r="S103" s="34"/>
      <c r="T103" s="34"/>
      <c r="U103" s="34"/>
      <c r="V103" s="34"/>
      <c r="W103" s="34"/>
      <c r="X103" s="34"/>
      <c r="Y103" s="34"/>
      <c r="Z103" s="34"/>
    </row>
    <row r="104" spans="1:26" ht="23.25" customHeight="1" x14ac:dyDescent="0.2">
      <c r="A104" s="203" t="s">
        <v>305</v>
      </c>
      <c r="B104" s="72" t="s">
        <v>306</v>
      </c>
      <c r="C104" s="185">
        <f>SUMPRODUCT(-('Diário 5º PA'!$E$5:$E$2634='Analítico Cp.'!$B104),-('Diário 5º PA'!$Q$5:$Q$2634=C$1),('Diário 5º PA'!$F$5:$F$2634))
+SUMPRODUCT(-('Diário 6º PA'!$E$5:$E$2246='Analítico Cp.'!$B104),-('Diário 6º PA'!$Q$5:$Q$2246=C$1),('Diário 6º PA'!$F$5:$F$2246))
+SUMPRODUCT(-('Diário 7º PA'!$E$5:$E$2271='Analítico Cp.'!$B104),-('Diário 7º PA'!$Q$5:$Q$2271=C$1),('Diário 7º PA'!$F$5:$F$2271))
+SUMPRODUCT(-('Diário 8º PA'!$E$5:$E$2488='Analítico Cp.'!$B104),-('Diário 8º PA'!$Q$5:$Q$2488=C$1),('Diário 8º PA'!$F$5:$F$2488))
+SUMPRODUCT(-('Comp.'!$D$5:$D$313='Analítico Cp.'!$B104),-('Comp.'!$R$5:$R$313=C$1),('Comp.'!$E$5:$E$313))</f>
        <v>0</v>
      </c>
      <c r="D104" s="185">
        <f>SUMPRODUCT(-('Diário 5º PA'!$E$5:$E$2634='Analítico Cp.'!$B104),-('Diário 5º PA'!$Q$5:$Q$2634=D$1),('Diário 5º PA'!$F$5:$F$2634))
+SUMPRODUCT(-('Diário 6º PA'!$E$5:$E$2246='Analítico Cp.'!$B104),-('Diário 6º PA'!$Q$5:$Q$2246=D$1),('Diário 6º PA'!$F$5:$F$2246))
+SUMPRODUCT(-('Diário 7º PA'!$E$5:$E$2271='Analítico Cp.'!$B104),-('Diário 7º PA'!$Q$5:$Q$2271=D$1),('Diário 7º PA'!$F$5:$F$2271))
+SUMPRODUCT(-('Diário 8º PA'!$E$5:$E$2488='Analítico Cp.'!$B104),-('Diário 8º PA'!$Q$5:$Q$2488=D$1),('Diário 8º PA'!$F$5:$F$2488))
+SUMPRODUCT(-('Comp.'!$D$5:$D$313='Analítico Cp.'!$B104),-('Comp.'!$R$5:$R$313=D$1),('Comp.'!$E$5:$E$313))</f>
        <v>0</v>
      </c>
      <c r="E104" s="185">
        <f>SUMPRODUCT(-('Diário 5º PA'!$E$5:$E$2634='Analítico Cp.'!$B104),-('Diário 5º PA'!$Q$5:$Q$2634=E$1),('Diário 5º PA'!$F$5:$F$2634))
+SUMPRODUCT(-('Diário 6º PA'!$E$5:$E$2246='Analítico Cp.'!$B104),-('Diário 6º PA'!$Q$5:$Q$2246=E$1),('Diário 6º PA'!$F$5:$F$2246))
+SUMPRODUCT(-('Diário 7º PA'!$E$5:$E$2271='Analítico Cp.'!$B104),-('Diário 7º PA'!$Q$5:$Q$2271=E$1),('Diário 7º PA'!$F$5:$F$2271))
+SUMPRODUCT(-('Diário 8º PA'!$E$5:$E$2488='Analítico Cp.'!$B104),-('Diário 8º PA'!$Q$5:$Q$2488=E$1),('Diário 8º PA'!$F$5:$F$2488))
+SUMPRODUCT(-('Comp.'!$D$5:$D$313='Analítico Cp.'!$B104),-('Comp.'!$R$5:$R$313=E$1),('Comp.'!$E$5:$E$313))</f>
        <v>0</v>
      </c>
      <c r="F104" s="185">
        <f>SUMPRODUCT(-('Diário 5º PA'!$E$5:$E$2634='Analítico Cp.'!$B104),-('Diário 5º PA'!$Q$5:$Q$2634=F$1),('Diário 5º PA'!$F$5:$F$2634))
+SUMPRODUCT(-('Diário 6º PA'!$E$5:$E$2246='Analítico Cp.'!$B104),-('Diário 6º PA'!$Q$5:$Q$2246=F$1),('Diário 6º PA'!$F$5:$F$2246))
+SUMPRODUCT(-('Diário 7º PA'!$E$5:$E$2271='Analítico Cp.'!$B104),-('Diário 7º PA'!$Q$5:$Q$2271=F$1),('Diário 7º PA'!$F$5:$F$2271))
+SUMPRODUCT(-('Diário 8º PA'!$E$5:$E$2488='Analítico Cp.'!$B104),-('Diário 8º PA'!$Q$5:$Q$2488=F$1),('Diário 8º PA'!$F$5:$F$2488))
+SUMPRODUCT(-('Comp.'!$D$5:$D$313='Analítico Cp.'!$B104),-('Comp.'!$R$5:$R$313=F$1),('Comp.'!$E$5:$E$313))</f>
        <v>0</v>
      </c>
      <c r="G104" s="185">
        <f>SUMPRODUCT(-('Diário 5º PA'!$E$5:$E$2634='Analítico Cp.'!$B104),-('Diário 5º PA'!$Q$5:$Q$2634=G$1),('Diário 5º PA'!$F$5:$F$2634))
+SUMPRODUCT(-('Diário 6º PA'!$E$5:$E$2246='Analítico Cp.'!$B104),-('Diário 6º PA'!$Q$5:$Q$2246=G$1),('Diário 6º PA'!$F$5:$F$2246))
+SUMPRODUCT(-('Diário 7º PA'!$E$5:$E$2271='Analítico Cp.'!$B104),-('Diário 7º PA'!$Q$5:$Q$2271=G$1),('Diário 7º PA'!$F$5:$F$2271))
+SUMPRODUCT(-('Diário 8º PA'!$E$5:$E$2488='Analítico Cp.'!$B104),-('Diário 8º PA'!$Q$5:$Q$2488=G$1),('Diário 8º PA'!$F$5:$F$2488))
+SUMPRODUCT(-('Comp.'!$D$5:$D$313='Analítico Cp.'!$B104),-('Comp.'!$R$5:$R$313=G$1),('Comp.'!$E$5:$E$313))</f>
        <v>93.240000000000009</v>
      </c>
      <c r="H104" s="185">
        <f>SUMPRODUCT(-('Diário 5º PA'!$E$5:$E$2634='Analítico Cp.'!$B104),-('Diário 5º PA'!$Q$5:$Q$2634=H$1),('Diário 5º PA'!$F$5:$F$2634))
+SUMPRODUCT(-('Diário 6º PA'!$E$5:$E$2246='Analítico Cp.'!$B104),-('Diário 6º PA'!$Q$5:$Q$2246=H$1),('Diário 6º PA'!$F$5:$F$2246))
+SUMPRODUCT(-('Diário 7º PA'!$E$5:$E$2271='Analítico Cp.'!$B104),-('Diário 7º PA'!$Q$5:$Q$2271=H$1),('Diário 7º PA'!$F$5:$F$2271))
+SUMPRODUCT(-('Diário 8º PA'!$E$5:$E$2488='Analítico Cp.'!$B104),-('Diário 8º PA'!$Q$5:$Q$2488=H$1),('Diário 8º PA'!$F$5:$F$2488))
+SUMPRODUCT(-('Comp.'!$D$5:$D$313='Analítico Cp.'!$B104),-('Comp.'!$R$5:$R$313=H$1),('Comp.'!$E$5:$E$313))</f>
        <v>0</v>
      </c>
      <c r="I104" s="185">
        <f>SUMPRODUCT(-('Diário 5º PA'!$E$5:$E$2634='Analítico Cp.'!$B104),-('Diário 5º PA'!$Q$5:$Q$2634=I$1),('Diário 5º PA'!$F$5:$F$2634))
+SUMPRODUCT(-('Diário 6º PA'!$E$5:$E$2246='Analítico Cp.'!$B104),-('Diário 6º PA'!$Q$5:$Q$2246=I$1),('Diário 6º PA'!$F$5:$F$2246))
+SUMPRODUCT(-('Diário 7º PA'!$E$5:$E$2271='Analítico Cp.'!$B104),-('Diário 7º PA'!$Q$5:$Q$2271=I$1),('Diário 7º PA'!$F$5:$F$2271))
+SUMPRODUCT(-('Diário 8º PA'!$E$5:$E$2488='Analítico Cp.'!$B104),-('Diário 8º PA'!$Q$5:$Q$2488=I$1),('Diário 8º PA'!$F$5:$F$2488))
+SUMPRODUCT(-('Comp.'!$D$5:$D$313='Analítico Cp.'!$B104),-('Comp.'!$R$5:$R$313=I$1),('Comp.'!$E$5:$E$313))</f>
        <v>50.060000000000016</v>
      </c>
      <c r="J104" s="185">
        <f>SUMPRODUCT(-('Diário 5º PA'!$E$5:$E$2634='Analítico Cp.'!$B104),-('Diário 5º PA'!$Q$5:$Q$2634=J$1),('Diário 5º PA'!$F$5:$F$2634))
+SUMPRODUCT(-('Diário 6º PA'!$E$5:$E$2246='Analítico Cp.'!$B104),-('Diário 6º PA'!$Q$5:$Q$2246=J$1),('Diário 6º PA'!$F$5:$F$2246))
+SUMPRODUCT(-('Diário 7º PA'!$E$5:$E$2271='Analítico Cp.'!$B104),-('Diário 7º PA'!$Q$5:$Q$2271=J$1),('Diário 7º PA'!$F$5:$F$2271))
+SUMPRODUCT(-('Diário 8º PA'!$E$5:$E$2488='Analítico Cp.'!$B104),-('Diário 8º PA'!$Q$5:$Q$2488=J$1),('Diário 8º PA'!$F$5:$F$2488))
+SUMPRODUCT(-('Comp.'!$D$5:$D$313='Analítico Cp.'!$B104),-('Comp.'!$R$5:$R$313=J$1),('Comp.'!$E$5:$E$313))</f>
        <v>42.5</v>
      </c>
      <c r="K104" s="185">
        <f>SUMPRODUCT(-('Diário 5º PA'!$E$5:$E$2634='Analítico Cp.'!$B104),-('Diário 5º PA'!$Q$5:$Q$2634=K$1),('Diário 5º PA'!$F$5:$F$2634))
+SUMPRODUCT(-('Diário 6º PA'!$E$5:$E$2246='Analítico Cp.'!$B104),-('Diário 6º PA'!$Q$5:$Q$2246=K$1),('Diário 6º PA'!$F$5:$F$2246))
+SUMPRODUCT(-('Diário 7º PA'!$E$5:$E$2271='Analítico Cp.'!$B104),-('Diário 7º PA'!$Q$5:$Q$2271=K$1),('Diário 7º PA'!$F$5:$F$2271))
+SUMPRODUCT(-('Diário 8º PA'!$E$5:$E$2488='Analítico Cp.'!$B104),-('Diário 8º PA'!$Q$5:$Q$2488=K$1),('Diário 8º PA'!$F$5:$F$2488))
+SUMPRODUCT(-('Comp.'!$D$5:$D$313='Analítico Cp.'!$B104),-('Comp.'!$R$5:$R$313=K$1),('Comp.'!$E$5:$E$313))</f>
        <v>0</v>
      </c>
      <c r="L104" s="185">
        <f>SUMPRODUCT(-('Diário 5º PA'!$E$5:$E$2634='Analítico Cp.'!$B104),-('Diário 5º PA'!$Q$5:$Q$2634=L$1),('Diário 5º PA'!$F$5:$F$2634))
+SUMPRODUCT(-('Diário 6º PA'!$E$5:$E$2246='Analítico Cp.'!$B104),-('Diário 6º PA'!$Q$5:$Q$2246=L$1),('Diário 6º PA'!$F$5:$F$2246))
+SUMPRODUCT(-('Diário 7º PA'!$E$5:$E$2271='Analítico Cp.'!$B104),-('Diário 7º PA'!$Q$5:$Q$2271=L$1),('Diário 7º PA'!$F$5:$F$2271))
+SUMPRODUCT(-('Diário 8º PA'!$E$5:$E$2488='Analítico Cp.'!$B104),-('Diário 8º PA'!$Q$5:$Q$2488=L$1),('Diário 8º PA'!$F$5:$F$2488))
+SUMPRODUCT(-('Comp.'!$D$5:$D$313='Analítico Cp.'!$B104),-('Comp.'!$R$5:$R$313=L$1),('Comp.'!$E$5:$E$313))</f>
        <v>0</v>
      </c>
      <c r="M104" s="185">
        <f>SUMPRODUCT(-('Diário 5º PA'!$E$5:$E$2634='Analítico Cp.'!$B104),-('Diário 5º PA'!$Q$5:$Q$2634=M$1),('Diário 5º PA'!$F$5:$F$2634))
+SUMPRODUCT(-('Diário 6º PA'!$E$5:$E$2246='Analítico Cp.'!$B104),-('Diário 6º PA'!$Q$5:$Q$2246=M$1),('Diário 6º PA'!$F$5:$F$2246))
+SUMPRODUCT(-('Diário 7º PA'!$E$5:$E$2271='Analítico Cp.'!$B104),-('Diário 7º PA'!$Q$5:$Q$2271=M$1),('Diário 7º PA'!$F$5:$F$2271))
+SUMPRODUCT(-('Diário 8º PA'!$E$5:$E$2488='Analítico Cp.'!$B104),-('Diário 8º PA'!$Q$5:$Q$2488=M$1),('Diário 8º PA'!$F$5:$F$2488))
+SUMPRODUCT(-('Comp.'!$D$5:$D$313='Analítico Cp.'!$B104),-('Comp.'!$R$5:$R$313=M$1),('Comp.'!$E$5:$E$313))</f>
        <v>50.66</v>
      </c>
      <c r="N104" s="185">
        <f>SUMPRODUCT(-('Diário 5º PA'!$E$5:$E$2634='Analítico Cp.'!$B104),-('Diário 5º PA'!$Q$5:$Q$2634=N$1),('Diário 5º PA'!$F$5:$F$2634))
+SUMPRODUCT(-('Diário 6º PA'!$E$5:$E$2246='Analítico Cp.'!$B104),-('Diário 6º PA'!$Q$5:$Q$2246=N$1),('Diário 6º PA'!$F$5:$F$2246))
+SUMPRODUCT(-('Diário 7º PA'!$E$5:$E$2271='Analítico Cp.'!$B104),-('Diário 7º PA'!$Q$5:$Q$2271=N$1),('Diário 7º PA'!$F$5:$F$2271))
+SUMPRODUCT(-('Diário 8º PA'!$E$5:$E$2488='Analítico Cp.'!$B104),-('Diário 8º PA'!$Q$5:$Q$2488=N$1),('Diário 8º PA'!$F$5:$F$2488))
+SUMPRODUCT(-('Comp.'!$D$5:$D$313='Analítico Cp.'!$B104),-('Comp.'!$R$5:$R$313=N$1),('Comp.'!$E$5:$E$313))</f>
        <v>128.52000000000001</v>
      </c>
      <c r="O104" s="186">
        <f t="shared" si="16"/>
        <v>364.98</v>
      </c>
      <c r="P104" s="187">
        <f t="shared" si="17"/>
        <v>3.7646284575678796E-5</v>
      </c>
      <c r="Q104" s="34"/>
      <c r="R104" s="34"/>
      <c r="S104" s="34"/>
      <c r="T104" s="34"/>
      <c r="U104" s="34"/>
      <c r="V104" s="34"/>
      <c r="W104" s="34"/>
      <c r="X104" s="34"/>
      <c r="Y104" s="34"/>
      <c r="Z104" s="34"/>
    </row>
    <row r="105" spans="1:26" ht="23.25" customHeight="1" x14ac:dyDescent="0.2">
      <c r="A105" s="203" t="s">
        <v>307</v>
      </c>
      <c r="B105" s="72" t="s">
        <v>308</v>
      </c>
      <c r="C105" s="185">
        <f>SUMPRODUCT(-('Diário 5º PA'!$E$5:$E$2634='Analítico Cp.'!$B105),-('Diário 5º PA'!$Q$5:$Q$2634=C$1),('Diário 5º PA'!$F$5:$F$2634))
+SUMPRODUCT(-('Diário 6º PA'!$E$5:$E$2246='Analítico Cp.'!$B105),-('Diário 6º PA'!$Q$5:$Q$2246=C$1),('Diário 6º PA'!$F$5:$F$2246))
+SUMPRODUCT(-('Diário 7º PA'!$E$5:$E$2271='Analítico Cp.'!$B105),-('Diário 7º PA'!$Q$5:$Q$2271=C$1),('Diário 7º PA'!$F$5:$F$2271))
+SUMPRODUCT(-('Diário 8º PA'!$E$5:$E$2488='Analítico Cp.'!$B105),-('Diário 8º PA'!$Q$5:$Q$2488=C$1),('Diário 8º PA'!$F$5:$F$2488))
+SUMPRODUCT(-('Comp.'!$D$5:$D$313='Analítico Cp.'!$B105),-('Comp.'!$R$5:$R$313=C$1),('Comp.'!$E$5:$E$313))</f>
        <v>0</v>
      </c>
      <c r="D105" s="185">
        <f>SUMPRODUCT(-('Diário 5º PA'!$E$5:$E$2634='Analítico Cp.'!$B105),-('Diário 5º PA'!$Q$5:$Q$2634=D$1),('Diário 5º PA'!$F$5:$F$2634))
+SUMPRODUCT(-('Diário 6º PA'!$E$5:$E$2246='Analítico Cp.'!$B105),-('Diário 6º PA'!$Q$5:$Q$2246=D$1),('Diário 6º PA'!$F$5:$F$2246))
+SUMPRODUCT(-('Diário 7º PA'!$E$5:$E$2271='Analítico Cp.'!$B105),-('Diário 7º PA'!$Q$5:$Q$2271=D$1),('Diário 7º PA'!$F$5:$F$2271))
+SUMPRODUCT(-('Diário 8º PA'!$E$5:$E$2488='Analítico Cp.'!$B105),-('Diário 8º PA'!$Q$5:$Q$2488=D$1),('Diário 8º PA'!$F$5:$F$2488))
+SUMPRODUCT(-('Comp.'!$D$5:$D$313='Analítico Cp.'!$B105),-('Comp.'!$R$5:$R$313=D$1),('Comp.'!$E$5:$E$313))</f>
        <v>0</v>
      </c>
      <c r="E105" s="185">
        <f>SUMPRODUCT(-('Diário 5º PA'!$E$5:$E$2634='Analítico Cp.'!$B105),-('Diário 5º PA'!$Q$5:$Q$2634=E$1),('Diário 5º PA'!$F$5:$F$2634))
+SUMPRODUCT(-('Diário 6º PA'!$E$5:$E$2246='Analítico Cp.'!$B105),-('Diário 6º PA'!$Q$5:$Q$2246=E$1),('Diário 6º PA'!$F$5:$F$2246))
+SUMPRODUCT(-('Diário 7º PA'!$E$5:$E$2271='Analítico Cp.'!$B105),-('Diário 7º PA'!$Q$5:$Q$2271=E$1),('Diário 7º PA'!$F$5:$F$2271))
+SUMPRODUCT(-('Diário 8º PA'!$E$5:$E$2488='Analítico Cp.'!$B105),-('Diário 8º PA'!$Q$5:$Q$2488=E$1),('Diário 8º PA'!$F$5:$F$2488))
+SUMPRODUCT(-('Comp.'!$D$5:$D$313='Analítico Cp.'!$B105),-('Comp.'!$R$5:$R$313=E$1),('Comp.'!$E$5:$E$313))</f>
        <v>0</v>
      </c>
      <c r="F105" s="185">
        <f>SUMPRODUCT(-('Diário 5º PA'!$E$5:$E$2634='Analítico Cp.'!$B105),-('Diário 5º PA'!$Q$5:$Q$2634=F$1),('Diário 5º PA'!$F$5:$F$2634))
+SUMPRODUCT(-('Diário 6º PA'!$E$5:$E$2246='Analítico Cp.'!$B105),-('Diário 6º PA'!$Q$5:$Q$2246=F$1),('Diário 6º PA'!$F$5:$F$2246))
+SUMPRODUCT(-('Diário 7º PA'!$E$5:$E$2271='Analítico Cp.'!$B105),-('Diário 7º PA'!$Q$5:$Q$2271=F$1),('Diário 7º PA'!$F$5:$F$2271))
+SUMPRODUCT(-('Diário 8º PA'!$E$5:$E$2488='Analítico Cp.'!$B105),-('Diário 8º PA'!$Q$5:$Q$2488=F$1),('Diário 8º PA'!$F$5:$F$2488))
+SUMPRODUCT(-('Comp.'!$D$5:$D$313='Analítico Cp.'!$B105),-('Comp.'!$R$5:$R$313=F$1),('Comp.'!$E$5:$E$313))</f>
        <v>0</v>
      </c>
      <c r="G105" s="185">
        <f>SUMPRODUCT(-('Diário 5º PA'!$E$5:$E$2634='Analítico Cp.'!$B105),-('Diário 5º PA'!$Q$5:$Q$2634=G$1),('Diário 5º PA'!$F$5:$F$2634))
+SUMPRODUCT(-('Diário 6º PA'!$E$5:$E$2246='Analítico Cp.'!$B105),-('Diário 6º PA'!$Q$5:$Q$2246=G$1),('Diário 6º PA'!$F$5:$F$2246))
+SUMPRODUCT(-('Diário 7º PA'!$E$5:$E$2271='Analítico Cp.'!$B105),-('Diário 7º PA'!$Q$5:$Q$2271=G$1),('Diário 7º PA'!$F$5:$F$2271))
+SUMPRODUCT(-('Diário 8º PA'!$E$5:$E$2488='Analítico Cp.'!$B105),-('Diário 8º PA'!$Q$5:$Q$2488=G$1),('Diário 8º PA'!$F$5:$F$2488))
+SUMPRODUCT(-('Comp.'!$D$5:$D$313='Analítico Cp.'!$B105),-('Comp.'!$R$5:$R$313=G$1),('Comp.'!$E$5:$E$313))</f>
        <v>0</v>
      </c>
      <c r="H105" s="185">
        <f>SUMPRODUCT(-('Diário 5º PA'!$E$5:$E$2634='Analítico Cp.'!$B105),-('Diário 5º PA'!$Q$5:$Q$2634=H$1),('Diário 5º PA'!$F$5:$F$2634))
+SUMPRODUCT(-('Diário 6º PA'!$E$5:$E$2246='Analítico Cp.'!$B105),-('Diário 6º PA'!$Q$5:$Q$2246=H$1),('Diário 6º PA'!$F$5:$F$2246))
+SUMPRODUCT(-('Diário 7º PA'!$E$5:$E$2271='Analítico Cp.'!$B105),-('Diário 7º PA'!$Q$5:$Q$2271=H$1),('Diário 7º PA'!$F$5:$F$2271))
+SUMPRODUCT(-('Diário 8º PA'!$E$5:$E$2488='Analítico Cp.'!$B105),-('Diário 8º PA'!$Q$5:$Q$2488=H$1),('Diário 8º PA'!$F$5:$F$2488))
+SUMPRODUCT(-('Comp.'!$D$5:$D$313='Analítico Cp.'!$B105),-('Comp.'!$R$5:$R$313=H$1),('Comp.'!$E$5:$E$313))</f>
        <v>0</v>
      </c>
      <c r="I105" s="185">
        <f>SUMPRODUCT(-('Diário 5º PA'!$E$5:$E$2634='Analítico Cp.'!$B105),-('Diário 5º PA'!$Q$5:$Q$2634=I$1),('Diário 5º PA'!$F$5:$F$2634))
+SUMPRODUCT(-('Diário 6º PA'!$E$5:$E$2246='Analítico Cp.'!$B105),-('Diário 6º PA'!$Q$5:$Q$2246=I$1),('Diário 6º PA'!$F$5:$F$2246))
+SUMPRODUCT(-('Diário 7º PA'!$E$5:$E$2271='Analítico Cp.'!$B105),-('Diário 7º PA'!$Q$5:$Q$2271=I$1),('Diário 7º PA'!$F$5:$F$2271))
+SUMPRODUCT(-('Diário 8º PA'!$E$5:$E$2488='Analítico Cp.'!$B105),-('Diário 8º PA'!$Q$5:$Q$2488=I$1),('Diário 8º PA'!$F$5:$F$2488))
+SUMPRODUCT(-('Comp.'!$D$5:$D$313='Analítico Cp.'!$B105),-('Comp.'!$R$5:$R$313=I$1),('Comp.'!$E$5:$E$313))</f>
        <v>0</v>
      </c>
      <c r="J105" s="185">
        <f>SUMPRODUCT(-('Diário 5º PA'!$E$5:$E$2634='Analítico Cp.'!$B105),-('Diário 5º PA'!$Q$5:$Q$2634=J$1),('Diário 5º PA'!$F$5:$F$2634))
+SUMPRODUCT(-('Diário 6º PA'!$E$5:$E$2246='Analítico Cp.'!$B105),-('Diário 6º PA'!$Q$5:$Q$2246=J$1),('Diário 6º PA'!$F$5:$F$2246))
+SUMPRODUCT(-('Diário 7º PA'!$E$5:$E$2271='Analítico Cp.'!$B105),-('Diário 7º PA'!$Q$5:$Q$2271=J$1),('Diário 7º PA'!$F$5:$F$2271))
+SUMPRODUCT(-('Diário 8º PA'!$E$5:$E$2488='Analítico Cp.'!$B105),-('Diário 8º PA'!$Q$5:$Q$2488=J$1),('Diário 8º PA'!$F$5:$F$2488))
+SUMPRODUCT(-('Comp.'!$D$5:$D$313='Analítico Cp.'!$B105),-('Comp.'!$R$5:$R$313=J$1),('Comp.'!$E$5:$E$313))</f>
        <v>0</v>
      </c>
      <c r="K105" s="185">
        <f>SUMPRODUCT(-('Diário 5º PA'!$E$5:$E$2634='Analítico Cp.'!$B105),-('Diário 5º PA'!$Q$5:$Q$2634=K$1),('Diário 5º PA'!$F$5:$F$2634))
+SUMPRODUCT(-('Diário 6º PA'!$E$5:$E$2246='Analítico Cp.'!$B105),-('Diário 6º PA'!$Q$5:$Q$2246=K$1),('Diário 6º PA'!$F$5:$F$2246))
+SUMPRODUCT(-('Diário 7º PA'!$E$5:$E$2271='Analítico Cp.'!$B105),-('Diário 7º PA'!$Q$5:$Q$2271=K$1),('Diário 7º PA'!$F$5:$F$2271))
+SUMPRODUCT(-('Diário 8º PA'!$E$5:$E$2488='Analítico Cp.'!$B105),-('Diário 8º PA'!$Q$5:$Q$2488=K$1),('Diário 8º PA'!$F$5:$F$2488))
+SUMPRODUCT(-('Comp.'!$D$5:$D$313='Analítico Cp.'!$B105),-('Comp.'!$R$5:$R$313=K$1),('Comp.'!$E$5:$E$313))</f>
        <v>0</v>
      </c>
      <c r="L105" s="185">
        <f>SUMPRODUCT(-('Diário 5º PA'!$E$5:$E$2634='Analítico Cp.'!$B105),-('Diário 5º PA'!$Q$5:$Q$2634=L$1),('Diário 5º PA'!$F$5:$F$2634))
+SUMPRODUCT(-('Diário 6º PA'!$E$5:$E$2246='Analítico Cp.'!$B105),-('Diário 6º PA'!$Q$5:$Q$2246=L$1),('Diário 6º PA'!$F$5:$F$2246))
+SUMPRODUCT(-('Diário 7º PA'!$E$5:$E$2271='Analítico Cp.'!$B105),-('Diário 7º PA'!$Q$5:$Q$2271=L$1),('Diário 7º PA'!$F$5:$F$2271))
+SUMPRODUCT(-('Diário 8º PA'!$E$5:$E$2488='Analítico Cp.'!$B105),-('Diário 8º PA'!$Q$5:$Q$2488=L$1),('Diário 8º PA'!$F$5:$F$2488))
+SUMPRODUCT(-('Comp.'!$D$5:$D$313='Analítico Cp.'!$B105),-('Comp.'!$R$5:$R$313=L$1),('Comp.'!$E$5:$E$313))</f>
        <v>0</v>
      </c>
      <c r="M105" s="185">
        <f>SUMPRODUCT(-('Diário 5º PA'!$E$5:$E$2634='Analítico Cp.'!$B105),-('Diário 5º PA'!$Q$5:$Q$2634=M$1),('Diário 5º PA'!$F$5:$F$2634))
+SUMPRODUCT(-('Diário 6º PA'!$E$5:$E$2246='Analítico Cp.'!$B105),-('Diário 6º PA'!$Q$5:$Q$2246=M$1),('Diário 6º PA'!$F$5:$F$2246))
+SUMPRODUCT(-('Diário 7º PA'!$E$5:$E$2271='Analítico Cp.'!$B105),-('Diário 7º PA'!$Q$5:$Q$2271=M$1),('Diário 7º PA'!$F$5:$F$2271))
+SUMPRODUCT(-('Diário 8º PA'!$E$5:$E$2488='Analítico Cp.'!$B105),-('Diário 8º PA'!$Q$5:$Q$2488=M$1),('Diário 8º PA'!$F$5:$F$2488))
+SUMPRODUCT(-('Comp.'!$D$5:$D$313='Analítico Cp.'!$B105),-('Comp.'!$R$5:$R$313=M$1),('Comp.'!$E$5:$E$313))</f>
        <v>0</v>
      </c>
      <c r="N105" s="185">
        <f>SUMPRODUCT(-('Diário 5º PA'!$E$5:$E$2634='Analítico Cp.'!$B105),-('Diário 5º PA'!$Q$5:$Q$2634=N$1),('Diário 5º PA'!$F$5:$F$2634))
+SUMPRODUCT(-('Diário 6º PA'!$E$5:$E$2246='Analítico Cp.'!$B105),-('Diário 6º PA'!$Q$5:$Q$2246=N$1),('Diário 6º PA'!$F$5:$F$2246))
+SUMPRODUCT(-('Diário 7º PA'!$E$5:$E$2271='Analítico Cp.'!$B105),-('Diário 7º PA'!$Q$5:$Q$2271=N$1),('Diário 7º PA'!$F$5:$F$2271))
+SUMPRODUCT(-('Diário 8º PA'!$E$5:$E$2488='Analítico Cp.'!$B105),-('Diário 8º PA'!$Q$5:$Q$2488=N$1),('Diário 8º PA'!$F$5:$F$2488))
+SUMPRODUCT(-('Comp.'!$D$5:$D$313='Analítico Cp.'!$B105),-('Comp.'!$R$5:$R$313=N$1),('Comp.'!$E$5:$E$313))</f>
        <v>0</v>
      </c>
      <c r="O105" s="186">
        <f t="shared" si="16"/>
        <v>0</v>
      </c>
      <c r="P105" s="187">
        <f t="shared" si="17"/>
        <v>0</v>
      </c>
      <c r="Q105" s="34"/>
      <c r="R105" s="34"/>
      <c r="S105" s="34"/>
      <c r="T105" s="34"/>
      <c r="U105" s="34"/>
      <c r="V105" s="34"/>
      <c r="W105" s="34"/>
      <c r="X105" s="34"/>
      <c r="Y105" s="34"/>
      <c r="Z105" s="34"/>
    </row>
    <row r="106" spans="1:26" ht="23.25" customHeight="1" x14ac:dyDescent="0.2">
      <c r="A106" s="203" t="s">
        <v>309</v>
      </c>
      <c r="B106" s="72" t="s">
        <v>310</v>
      </c>
      <c r="C106" s="185">
        <f>SUMPRODUCT(-('Diário 5º PA'!$E$5:$E$2634='Analítico Cp.'!$B106),-('Diário 5º PA'!$Q$5:$Q$2634=C$1),('Diário 5º PA'!$F$5:$F$2634))
+SUMPRODUCT(-('Diário 6º PA'!$E$5:$E$2246='Analítico Cp.'!$B106),-('Diário 6º PA'!$Q$5:$Q$2246=C$1),('Diário 6º PA'!$F$5:$F$2246))
+SUMPRODUCT(-('Diário 7º PA'!$E$5:$E$2271='Analítico Cp.'!$B106),-('Diário 7º PA'!$Q$5:$Q$2271=C$1),('Diário 7º PA'!$F$5:$F$2271))
+SUMPRODUCT(-('Diário 8º PA'!$E$5:$E$2488='Analítico Cp.'!$B106),-('Diário 8º PA'!$Q$5:$Q$2488=C$1),('Diário 8º PA'!$F$5:$F$2488))
+SUMPRODUCT(-('Comp.'!$D$5:$D$313='Analítico Cp.'!$B106),-('Comp.'!$R$5:$R$313=C$1),('Comp.'!$E$5:$E$313))</f>
        <v>3599.9999999999995</v>
      </c>
      <c r="D106" s="185">
        <f>SUMPRODUCT(-('Diário 5º PA'!$E$5:$E$2634='Analítico Cp.'!$B106),-('Diário 5º PA'!$Q$5:$Q$2634=D$1),('Diário 5º PA'!$F$5:$F$2634))
+SUMPRODUCT(-('Diário 6º PA'!$E$5:$E$2246='Analítico Cp.'!$B106),-('Diário 6º PA'!$Q$5:$Q$2246=D$1),('Diário 6º PA'!$F$5:$F$2246))
+SUMPRODUCT(-('Diário 7º PA'!$E$5:$E$2271='Analítico Cp.'!$B106),-('Diário 7º PA'!$Q$5:$Q$2271=D$1),('Diário 7º PA'!$F$5:$F$2271))
+SUMPRODUCT(-('Diário 8º PA'!$E$5:$E$2488='Analítico Cp.'!$B106),-('Diário 8º PA'!$Q$5:$Q$2488=D$1),('Diário 8º PA'!$F$5:$F$2488))
+SUMPRODUCT(-('Comp.'!$D$5:$D$313='Analítico Cp.'!$B106),-('Comp.'!$R$5:$R$313=D$1),('Comp.'!$E$5:$E$313))</f>
        <v>0</v>
      </c>
      <c r="E106" s="185">
        <f>SUMPRODUCT(-('Diário 5º PA'!$E$5:$E$2634='Analítico Cp.'!$B106),-('Diário 5º PA'!$Q$5:$Q$2634=E$1),('Diário 5º PA'!$F$5:$F$2634))
+SUMPRODUCT(-('Diário 6º PA'!$E$5:$E$2246='Analítico Cp.'!$B106),-('Diário 6º PA'!$Q$5:$Q$2246=E$1),('Diário 6º PA'!$F$5:$F$2246))
+SUMPRODUCT(-('Diário 7º PA'!$E$5:$E$2271='Analítico Cp.'!$B106),-('Diário 7º PA'!$Q$5:$Q$2271=E$1),('Diário 7º PA'!$F$5:$F$2271))
+SUMPRODUCT(-('Diário 8º PA'!$E$5:$E$2488='Analítico Cp.'!$B106),-('Diário 8º PA'!$Q$5:$Q$2488=E$1),('Diário 8º PA'!$F$5:$F$2488))
+SUMPRODUCT(-('Comp.'!$D$5:$D$313='Analítico Cp.'!$B106),-('Comp.'!$R$5:$R$313=E$1),('Comp.'!$E$5:$E$313))</f>
        <v>0</v>
      </c>
      <c r="F106" s="185">
        <f>SUMPRODUCT(-('Diário 5º PA'!$E$5:$E$2634='Analítico Cp.'!$B106),-('Diário 5º PA'!$Q$5:$Q$2634=F$1),('Diário 5º PA'!$F$5:$F$2634))
+SUMPRODUCT(-('Diário 6º PA'!$E$5:$E$2246='Analítico Cp.'!$B106),-('Diário 6º PA'!$Q$5:$Q$2246=F$1),('Diário 6º PA'!$F$5:$F$2246))
+SUMPRODUCT(-('Diário 7º PA'!$E$5:$E$2271='Analítico Cp.'!$B106),-('Diário 7º PA'!$Q$5:$Q$2271=F$1),('Diário 7º PA'!$F$5:$F$2271))
+SUMPRODUCT(-('Diário 8º PA'!$E$5:$E$2488='Analítico Cp.'!$B106),-('Diário 8º PA'!$Q$5:$Q$2488=F$1),('Diário 8º PA'!$F$5:$F$2488))
+SUMPRODUCT(-('Comp.'!$D$5:$D$313='Analítico Cp.'!$B106),-('Comp.'!$R$5:$R$313=F$1),('Comp.'!$E$5:$E$313))</f>
        <v>0</v>
      </c>
      <c r="G106" s="185">
        <f>SUMPRODUCT(-('Diário 5º PA'!$E$5:$E$2634='Analítico Cp.'!$B106),-('Diário 5º PA'!$Q$5:$Q$2634=G$1),('Diário 5º PA'!$F$5:$F$2634))
+SUMPRODUCT(-('Diário 6º PA'!$E$5:$E$2246='Analítico Cp.'!$B106),-('Diário 6º PA'!$Q$5:$Q$2246=G$1),('Diário 6º PA'!$F$5:$F$2246))
+SUMPRODUCT(-('Diário 7º PA'!$E$5:$E$2271='Analítico Cp.'!$B106),-('Diário 7º PA'!$Q$5:$Q$2271=G$1),('Diário 7º PA'!$F$5:$F$2271))
+SUMPRODUCT(-('Diário 8º PA'!$E$5:$E$2488='Analítico Cp.'!$B106),-('Diário 8º PA'!$Q$5:$Q$2488=G$1),('Diário 8º PA'!$F$5:$F$2488))
+SUMPRODUCT(-('Comp.'!$D$5:$D$313='Analítico Cp.'!$B106),-('Comp.'!$R$5:$R$313=G$1),('Comp.'!$E$5:$E$313))</f>
        <v>0</v>
      </c>
      <c r="H106" s="185">
        <f>SUMPRODUCT(-('Diário 5º PA'!$E$5:$E$2634='Analítico Cp.'!$B106),-('Diário 5º PA'!$Q$5:$Q$2634=H$1),('Diário 5º PA'!$F$5:$F$2634))
+SUMPRODUCT(-('Diário 6º PA'!$E$5:$E$2246='Analítico Cp.'!$B106),-('Diário 6º PA'!$Q$5:$Q$2246=H$1),('Diário 6º PA'!$F$5:$F$2246))
+SUMPRODUCT(-('Diário 7º PA'!$E$5:$E$2271='Analítico Cp.'!$B106),-('Diário 7º PA'!$Q$5:$Q$2271=H$1),('Diário 7º PA'!$F$5:$F$2271))
+SUMPRODUCT(-('Diário 8º PA'!$E$5:$E$2488='Analítico Cp.'!$B106),-('Diário 8º PA'!$Q$5:$Q$2488=H$1),('Diário 8º PA'!$F$5:$F$2488))
+SUMPRODUCT(-('Comp.'!$D$5:$D$313='Analítico Cp.'!$B106),-('Comp.'!$R$5:$R$313=H$1),('Comp.'!$E$5:$E$313))</f>
        <v>500</v>
      </c>
      <c r="I106" s="185">
        <f>SUMPRODUCT(-('Diário 5º PA'!$E$5:$E$2634='Analítico Cp.'!$B106),-('Diário 5º PA'!$Q$5:$Q$2634=I$1),('Diário 5º PA'!$F$5:$F$2634))
+SUMPRODUCT(-('Diário 6º PA'!$E$5:$E$2246='Analítico Cp.'!$B106),-('Diário 6º PA'!$Q$5:$Q$2246=I$1),('Diário 6º PA'!$F$5:$F$2246))
+SUMPRODUCT(-('Diário 7º PA'!$E$5:$E$2271='Analítico Cp.'!$B106),-('Diário 7º PA'!$Q$5:$Q$2271=I$1),('Diário 7º PA'!$F$5:$F$2271))
+SUMPRODUCT(-('Diário 8º PA'!$E$5:$E$2488='Analítico Cp.'!$B106),-('Diário 8º PA'!$Q$5:$Q$2488=I$1),('Diário 8º PA'!$F$5:$F$2488))
+SUMPRODUCT(-('Comp.'!$D$5:$D$313='Analítico Cp.'!$B106),-('Comp.'!$R$5:$R$313=I$1),('Comp.'!$E$5:$E$313))</f>
        <v>0</v>
      </c>
      <c r="J106" s="185">
        <f>SUMPRODUCT(-('Diário 5º PA'!$E$5:$E$2634='Analítico Cp.'!$B106),-('Diário 5º PA'!$Q$5:$Q$2634=J$1),('Diário 5º PA'!$F$5:$F$2634))
+SUMPRODUCT(-('Diário 6º PA'!$E$5:$E$2246='Analítico Cp.'!$B106),-('Diário 6º PA'!$Q$5:$Q$2246=J$1),('Diário 6º PA'!$F$5:$F$2246))
+SUMPRODUCT(-('Diário 7º PA'!$E$5:$E$2271='Analítico Cp.'!$B106),-('Diário 7º PA'!$Q$5:$Q$2271=J$1),('Diário 7º PA'!$F$5:$F$2271))
+SUMPRODUCT(-('Diário 8º PA'!$E$5:$E$2488='Analítico Cp.'!$B106),-('Diário 8º PA'!$Q$5:$Q$2488=J$1),('Diário 8º PA'!$F$5:$F$2488))
+SUMPRODUCT(-('Comp.'!$D$5:$D$313='Analítico Cp.'!$B106),-('Comp.'!$R$5:$R$313=J$1),('Comp.'!$E$5:$E$313))</f>
        <v>0</v>
      </c>
      <c r="K106" s="185">
        <f>SUMPRODUCT(-('Diário 5º PA'!$E$5:$E$2634='Analítico Cp.'!$B106),-('Diário 5º PA'!$Q$5:$Q$2634=K$1),('Diário 5º PA'!$F$5:$F$2634))
+SUMPRODUCT(-('Diário 6º PA'!$E$5:$E$2246='Analítico Cp.'!$B106),-('Diário 6º PA'!$Q$5:$Q$2246=K$1),('Diário 6º PA'!$F$5:$F$2246))
+SUMPRODUCT(-('Diário 7º PA'!$E$5:$E$2271='Analítico Cp.'!$B106),-('Diário 7º PA'!$Q$5:$Q$2271=K$1),('Diário 7º PA'!$F$5:$F$2271))
+SUMPRODUCT(-('Diário 8º PA'!$E$5:$E$2488='Analítico Cp.'!$B106),-('Diário 8º PA'!$Q$5:$Q$2488=K$1),('Diário 8º PA'!$F$5:$F$2488))
+SUMPRODUCT(-('Comp.'!$D$5:$D$313='Analítico Cp.'!$B106),-('Comp.'!$R$5:$R$313=K$1),('Comp.'!$E$5:$E$313))</f>
        <v>0</v>
      </c>
      <c r="L106" s="185">
        <f>SUMPRODUCT(-('Diário 5º PA'!$E$5:$E$2634='Analítico Cp.'!$B106),-('Diário 5º PA'!$Q$5:$Q$2634=L$1),('Diário 5º PA'!$F$5:$F$2634))
+SUMPRODUCT(-('Diário 6º PA'!$E$5:$E$2246='Analítico Cp.'!$B106),-('Diário 6º PA'!$Q$5:$Q$2246=L$1),('Diário 6º PA'!$F$5:$F$2246))
+SUMPRODUCT(-('Diário 7º PA'!$E$5:$E$2271='Analítico Cp.'!$B106),-('Diário 7º PA'!$Q$5:$Q$2271=L$1),('Diário 7º PA'!$F$5:$F$2271))
+SUMPRODUCT(-('Diário 8º PA'!$E$5:$E$2488='Analítico Cp.'!$B106),-('Diário 8º PA'!$Q$5:$Q$2488=L$1),('Diário 8º PA'!$F$5:$F$2488))
+SUMPRODUCT(-('Comp.'!$D$5:$D$313='Analítico Cp.'!$B106),-('Comp.'!$R$5:$R$313=L$1),('Comp.'!$E$5:$E$313))</f>
        <v>0</v>
      </c>
      <c r="M106" s="185">
        <f>SUMPRODUCT(-('Diário 5º PA'!$E$5:$E$2634='Analítico Cp.'!$B106),-('Diário 5º PA'!$Q$5:$Q$2634=M$1),('Diário 5º PA'!$F$5:$F$2634))
+SUMPRODUCT(-('Diário 6º PA'!$E$5:$E$2246='Analítico Cp.'!$B106),-('Diário 6º PA'!$Q$5:$Q$2246=M$1),('Diário 6º PA'!$F$5:$F$2246))
+SUMPRODUCT(-('Diário 7º PA'!$E$5:$E$2271='Analítico Cp.'!$B106),-('Diário 7º PA'!$Q$5:$Q$2271=M$1),('Diário 7º PA'!$F$5:$F$2271))
+SUMPRODUCT(-('Diário 8º PA'!$E$5:$E$2488='Analítico Cp.'!$B106),-('Diário 8º PA'!$Q$5:$Q$2488=M$1),('Diário 8º PA'!$F$5:$F$2488))
+SUMPRODUCT(-('Comp.'!$D$5:$D$313='Analítico Cp.'!$B106),-('Comp.'!$R$5:$R$313=M$1),('Comp.'!$E$5:$E$313))</f>
        <v>695</v>
      </c>
      <c r="N106" s="185">
        <f>SUMPRODUCT(-('Diário 5º PA'!$E$5:$E$2634='Analítico Cp.'!$B106),-('Diário 5º PA'!$Q$5:$Q$2634=N$1),('Diário 5º PA'!$F$5:$F$2634))
+SUMPRODUCT(-('Diário 6º PA'!$E$5:$E$2246='Analítico Cp.'!$B106),-('Diário 6º PA'!$Q$5:$Q$2246=N$1),('Diário 6º PA'!$F$5:$F$2246))
+SUMPRODUCT(-('Diário 7º PA'!$E$5:$E$2271='Analítico Cp.'!$B106),-('Diário 7º PA'!$Q$5:$Q$2271=N$1),('Diário 7º PA'!$F$5:$F$2271))
+SUMPRODUCT(-('Diário 8º PA'!$E$5:$E$2488='Analítico Cp.'!$B106),-('Diário 8º PA'!$Q$5:$Q$2488=N$1),('Diário 8º PA'!$F$5:$F$2488))
+SUMPRODUCT(-('Comp.'!$D$5:$D$313='Analítico Cp.'!$B106),-('Comp.'!$R$5:$R$313=N$1),('Comp.'!$E$5:$E$313))</f>
        <v>0</v>
      </c>
      <c r="O106" s="186">
        <f t="shared" si="16"/>
        <v>4795</v>
      </c>
      <c r="P106" s="187">
        <f t="shared" si="17"/>
        <v>4.9458582536133437E-4</v>
      </c>
      <c r="Q106" s="34"/>
      <c r="R106" s="34"/>
      <c r="S106" s="34"/>
      <c r="T106" s="34"/>
      <c r="U106" s="34"/>
      <c r="V106" s="34"/>
      <c r="W106" s="34"/>
      <c r="X106" s="34"/>
      <c r="Y106" s="34"/>
      <c r="Z106" s="34"/>
    </row>
    <row r="107" spans="1:26" ht="23.25" customHeight="1" x14ac:dyDescent="0.2">
      <c r="A107" s="203" t="s">
        <v>311</v>
      </c>
      <c r="B107" s="72" t="s">
        <v>312</v>
      </c>
      <c r="C107" s="185">
        <f>SUMPRODUCT(-('Diário 5º PA'!$E$5:$E$2634='Analítico Cp.'!$B107),-('Diário 5º PA'!$Q$5:$Q$2634=C$1),('Diário 5º PA'!$F$5:$F$2634))
+SUMPRODUCT(-('Diário 6º PA'!$E$5:$E$2246='Analítico Cp.'!$B107),-('Diário 6º PA'!$Q$5:$Q$2246=C$1),('Diário 6º PA'!$F$5:$F$2246))
+SUMPRODUCT(-('Diário 7º PA'!$E$5:$E$2271='Analítico Cp.'!$B107),-('Diário 7º PA'!$Q$5:$Q$2271=C$1),('Diário 7º PA'!$F$5:$F$2271))
+SUMPRODUCT(-('Diário 8º PA'!$E$5:$E$2488='Analítico Cp.'!$B107),-('Diário 8º PA'!$Q$5:$Q$2488=C$1),('Diário 8º PA'!$F$5:$F$2488))
+SUMPRODUCT(-('Comp.'!$D$5:$D$313='Analítico Cp.'!$B107),-('Comp.'!$R$5:$R$313=C$1),('Comp.'!$E$5:$E$313))</f>
        <v>424.53</v>
      </c>
      <c r="D107" s="185">
        <f>SUMPRODUCT(-('Diário 5º PA'!$E$5:$E$2634='Analítico Cp.'!$B107),-('Diário 5º PA'!$Q$5:$Q$2634=D$1),('Diário 5º PA'!$F$5:$F$2634))
+SUMPRODUCT(-('Diário 6º PA'!$E$5:$E$2246='Analítico Cp.'!$B107),-('Diário 6º PA'!$Q$5:$Q$2246=D$1),('Diário 6º PA'!$F$5:$F$2246))
+SUMPRODUCT(-('Diário 7º PA'!$E$5:$E$2271='Analítico Cp.'!$B107),-('Diário 7º PA'!$Q$5:$Q$2271=D$1),('Diário 7º PA'!$F$5:$F$2271))
+SUMPRODUCT(-('Diário 8º PA'!$E$5:$E$2488='Analítico Cp.'!$B107),-('Diário 8º PA'!$Q$5:$Q$2488=D$1),('Diário 8º PA'!$F$5:$F$2488))
+SUMPRODUCT(-('Comp.'!$D$5:$D$313='Analítico Cp.'!$B107),-('Comp.'!$R$5:$R$313=D$1),('Comp.'!$E$5:$E$313))</f>
        <v>1905.0300000000002</v>
      </c>
      <c r="E107" s="185">
        <f>SUMPRODUCT(-('Diário 5º PA'!$E$5:$E$2634='Analítico Cp.'!$B107),-('Diário 5º PA'!$Q$5:$Q$2634=E$1),('Diário 5º PA'!$F$5:$F$2634))
+SUMPRODUCT(-('Diário 6º PA'!$E$5:$E$2246='Analítico Cp.'!$B107),-('Diário 6º PA'!$Q$5:$Q$2246=E$1),('Diário 6º PA'!$F$5:$F$2246))
+SUMPRODUCT(-('Diário 7º PA'!$E$5:$E$2271='Analítico Cp.'!$B107),-('Diário 7º PA'!$Q$5:$Q$2271=E$1),('Diário 7º PA'!$F$5:$F$2271))
+SUMPRODUCT(-('Diário 8º PA'!$E$5:$E$2488='Analítico Cp.'!$B107),-('Diário 8º PA'!$Q$5:$Q$2488=E$1),('Diário 8º PA'!$F$5:$F$2488))
+SUMPRODUCT(-('Comp.'!$D$5:$D$313='Analítico Cp.'!$B107),-('Comp.'!$R$5:$R$313=E$1),('Comp.'!$E$5:$E$313))</f>
        <v>4536.87</v>
      </c>
      <c r="F107" s="185">
        <f>SUMPRODUCT(-('Diário 5º PA'!$E$5:$E$2634='Analítico Cp.'!$B107),-('Diário 5º PA'!$Q$5:$Q$2634=F$1),('Diário 5º PA'!$F$5:$F$2634))
+SUMPRODUCT(-('Diário 6º PA'!$E$5:$E$2246='Analítico Cp.'!$B107),-('Diário 6º PA'!$Q$5:$Q$2246=F$1),('Diário 6º PA'!$F$5:$F$2246))
+SUMPRODUCT(-('Diário 7º PA'!$E$5:$E$2271='Analítico Cp.'!$B107),-('Diário 7º PA'!$Q$5:$Q$2271=F$1),('Diário 7º PA'!$F$5:$F$2271))
+SUMPRODUCT(-('Diário 8º PA'!$E$5:$E$2488='Analítico Cp.'!$B107),-('Diário 8º PA'!$Q$5:$Q$2488=F$1),('Diário 8º PA'!$F$5:$F$2488))
+SUMPRODUCT(-('Comp.'!$D$5:$D$313='Analítico Cp.'!$B107),-('Comp.'!$R$5:$R$313=F$1),('Comp.'!$E$5:$E$313))</f>
        <v>152.75</v>
      </c>
      <c r="G107" s="185">
        <f>SUMPRODUCT(-('Diário 5º PA'!$E$5:$E$2634='Analítico Cp.'!$B107),-('Diário 5º PA'!$Q$5:$Q$2634=G$1),('Diário 5º PA'!$F$5:$F$2634))
+SUMPRODUCT(-('Diário 6º PA'!$E$5:$E$2246='Analítico Cp.'!$B107),-('Diário 6º PA'!$Q$5:$Q$2246=G$1),('Diário 6º PA'!$F$5:$F$2246))
+SUMPRODUCT(-('Diário 7º PA'!$E$5:$E$2271='Analítico Cp.'!$B107),-('Diário 7º PA'!$Q$5:$Q$2271=G$1),('Diário 7º PA'!$F$5:$F$2271))
+SUMPRODUCT(-('Diário 8º PA'!$E$5:$E$2488='Analítico Cp.'!$B107),-('Diário 8º PA'!$Q$5:$Q$2488=G$1),('Diário 8º PA'!$F$5:$F$2488))
+SUMPRODUCT(-('Comp.'!$D$5:$D$313='Analítico Cp.'!$B107),-('Comp.'!$R$5:$R$313=G$1),('Comp.'!$E$5:$E$313))</f>
        <v>225.58</v>
      </c>
      <c r="H107" s="185">
        <f>SUMPRODUCT(-('Diário 5º PA'!$E$5:$E$2634='Analítico Cp.'!$B107),-('Diário 5º PA'!$Q$5:$Q$2634=H$1),('Diário 5º PA'!$F$5:$F$2634))
+SUMPRODUCT(-('Diário 6º PA'!$E$5:$E$2246='Analítico Cp.'!$B107),-('Diário 6º PA'!$Q$5:$Q$2246=H$1),('Diário 6º PA'!$F$5:$F$2246))
+SUMPRODUCT(-('Diário 7º PA'!$E$5:$E$2271='Analítico Cp.'!$B107),-('Diário 7º PA'!$Q$5:$Q$2271=H$1),('Diário 7º PA'!$F$5:$F$2271))
+SUMPRODUCT(-('Diário 8º PA'!$E$5:$E$2488='Analítico Cp.'!$B107),-('Diário 8º PA'!$Q$5:$Q$2488=H$1),('Diário 8º PA'!$F$5:$F$2488))
+SUMPRODUCT(-('Comp.'!$D$5:$D$313='Analítico Cp.'!$B107),-('Comp.'!$R$5:$R$313=H$1),('Comp.'!$E$5:$E$313))</f>
        <v>2700.67</v>
      </c>
      <c r="I107" s="185">
        <f>SUMPRODUCT(-('Diário 5º PA'!$E$5:$E$2634='Analítico Cp.'!$B107),-('Diário 5º PA'!$Q$5:$Q$2634=I$1),('Diário 5º PA'!$F$5:$F$2634))
+SUMPRODUCT(-('Diário 6º PA'!$E$5:$E$2246='Analítico Cp.'!$B107),-('Diário 6º PA'!$Q$5:$Q$2246=I$1),('Diário 6º PA'!$F$5:$F$2246))
+SUMPRODUCT(-('Diário 7º PA'!$E$5:$E$2271='Analítico Cp.'!$B107),-('Diário 7º PA'!$Q$5:$Q$2271=I$1),('Diário 7º PA'!$F$5:$F$2271))
+SUMPRODUCT(-('Diário 8º PA'!$E$5:$E$2488='Analítico Cp.'!$B107),-('Diário 8º PA'!$Q$5:$Q$2488=I$1),('Diário 8º PA'!$F$5:$F$2488))
+SUMPRODUCT(-('Comp.'!$D$5:$D$313='Analítico Cp.'!$B107),-('Comp.'!$R$5:$R$313=I$1),('Comp.'!$E$5:$E$313))</f>
        <v>1952.21</v>
      </c>
      <c r="J107" s="185">
        <f>SUMPRODUCT(-('Diário 5º PA'!$E$5:$E$2634='Analítico Cp.'!$B107),-('Diário 5º PA'!$Q$5:$Q$2634=J$1),('Diário 5º PA'!$F$5:$F$2634))
+SUMPRODUCT(-('Diário 6º PA'!$E$5:$E$2246='Analítico Cp.'!$B107),-('Diário 6º PA'!$Q$5:$Q$2246=J$1),('Diário 6º PA'!$F$5:$F$2246))
+SUMPRODUCT(-('Diário 7º PA'!$E$5:$E$2271='Analítico Cp.'!$B107),-('Diário 7º PA'!$Q$5:$Q$2271=J$1),('Diário 7º PA'!$F$5:$F$2271))
+SUMPRODUCT(-('Diário 8º PA'!$E$5:$E$2488='Analítico Cp.'!$B107),-('Diário 8º PA'!$Q$5:$Q$2488=J$1),('Diário 8º PA'!$F$5:$F$2488))
+SUMPRODUCT(-('Comp.'!$D$5:$D$313='Analítico Cp.'!$B107),-('Comp.'!$R$5:$R$313=J$1),('Comp.'!$E$5:$E$313))</f>
        <v>567.23</v>
      </c>
      <c r="K107" s="185">
        <f>SUMPRODUCT(-('Diário 5º PA'!$E$5:$E$2634='Analítico Cp.'!$B107),-('Diário 5º PA'!$Q$5:$Q$2634=K$1),('Diário 5º PA'!$F$5:$F$2634))
+SUMPRODUCT(-('Diário 6º PA'!$E$5:$E$2246='Analítico Cp.'!$B107),-('Diário 6º PA'!$Q$5:$Q$2246=K$1),('Diário 6º PA'!$F$5:$F$2246))
+SUMPRODUCT(-('Diário 7º PA'!$E$5:$E$2271='Analítico Cp.'!$B107),-('Diário 7º PA'!$Q$5:$Q$2271=K$1),('Diário 7º PA'!$F$5:$F$2271))
+SUMPRODUCT(-('Diário 8º PA'!$E$5:$E$2488='Analítico Cp.'!$B107),-('Diário 8º PA'!$Q$5:$Q$2488=K$1),('Diário 8º PA'!$F$5:$F$2488))
+SUMPRODUCT(-('Comp.'!$D$5:$D$313='Analítico Cp.'!$B107),-('Comp.'!$R$5:$R$313=K$1),('Comp.'!$E$5:$E$313))</f>
        <v>3050.13</v>
      </c>
      <c r="L107" s="185">
        <f>SUMPRODUCT(-('Diário 5º PA'!$E$5:$E$2634='Analítico Cp.'!$B107),-('Diário 5º PA'!$Q$5:$Q$2634=L$1),('Diário 5º PA'!$F$5:$F$2634))
+SUMPRODUCT(-('Diário 6º PA'!$E$5:$E$2246='Analítico Cp.'!$B107),-('Diário 6º PA'!$Q$5:$Q$2246=L$1),('Diário 6º PA'!$F$5:$F$2246))
+SUMPRODUCT(-('Diário 7º PA'!$E$5:$E$2271='Analítico Cp.'!$B107),-('Diário 7º PA'!$Q$5:$Q$2271=L$1),('Diário 7º PA'!$F$5:$F$2271))
+SUMPRODUCT(-('Diário 8º PA'!$E$5:$E$2488='Analítico Cp.'!$B107),-('Diário 8º PA'!$Q$5:$Q$2488=L$1),('Diário 8º PA'!$F$5:$F$2488))
+SUMPRODUCT(-('Comp.'!$D$5:$D$313='Analítico Cp.'!$B107),-('Comp.'!$R$5:$R$313=L$1),('Comp.'!$E$5:$E$313))</f>
        <v>876.06</v>
      </c>
      <c r="M107" s="185">
        <f>SUMPRODUCT(-('Diário 5º PA'!$E$5:$E$2634='Analítico Cp.'!$B107),-('Diário 5º PA'!$Q$5:$Q$2634=M$1),('Diário 5º PA'!$F$5:$F$2634))
+SUMPRODUCT(-('Diário 6º PA'!$E$5:$E$2246='Analítico Cp.'!$B107),-('Diário 6º PA'!$Q$5:$Q$2246=M$1),('Diário 6º PA'!$F$5:$F$2246))
+SUMPRODUCT(-('Diário 7º PA'!$E$5:$E$2271='Analítico Cp.'!$B107),-('Diário 7º PA'!$Q$5:$Q$2271=M$1),('Diário 7º PA'!$F$5:$F$2271))
+SUMPRODUCT(-('Diário 8º PA'!$E$5:$E$2488='Analítico Cp.'!$B107),-('Diário 8º PA'!$Q$5:$Q$2488=M$1),('Diário 8º PA'!$F$5:$F$2488))
+SUMPRODUCT(-('Comp.'!$D$5:$D$313='Analítico Cp.'!$B107),-('Comp.'!$R$5:$R$313=M$1),('Comp.'!$E$5:$E$313))</f>
        <v>53.41</v>
      </c>
      <c r="N107" s="185">
        <f>SUMPRODUCT(-('Diário 5º PA'!$E$5:$E$2634='Analítico Cp.'!$B107),-('Diário 5º PA'!$Q$5:$Q$2634=N$1),('Diário 5º PA'!$F$5:$F$2634))
+SUMPRODUCT(-('Diário 6º PA'!$E$5:$E$2246='Analítico Cp.'!$B107),-('Diário 6º PA'!$Q$5:$Q$2246=N$1),('Diário 6º PA'!$F$5:$F$2246))
+SUMPRODUCT(-('Diário 7º PA'!$E$5:$E$2271='Analítico Cp.'!$B107),-('Diário 7º PA'!$Q$5:$Q$2271=N$1),('Diário 7º PA'!$F$5:$F$2271))
+SUMPRODUCT(-('Diário 8º PA'!$E$5:$E$2488='Analítico Cp.'!$B107),-('Diário 8º PA'!$Q$5:$Q$2488=N$1),('Diário 8º PA'!$F$5:$F$2488))
+SUMPRODUCT(-('Comp.'!$D$5:$D$313='Analítico Cp.'!$B107),-('Comp.'!$R$5:$R$313=N$1),('Comp.'!$E$5:$E$313))</f>
        <v>527.4</v>
      </c>
      <c r="O107" s="186">
        <f t="shared" si="16"/>
        <v>16971.870000000003</v>
      </c>
      <c r="P107" s="187">
        <f t="shared" si="17"/>
        <v>1.7505831766163236E-3</v>
      </c>
      <c r="Q107" s="34"/>
      <c r="R107" s="34"/>
      <c r="S107" s="34"/>
      <c r="T107" s="34"/>
      <c r="U107" s="34"/>
      <c r="V107" s="34"/>
      <c r="W107" s="34"/>
      <c r="X107" s="34"/>
      <c r="Y107" s="34"/>
      <c r="Z107" s="34"/>
    </row>
    <row r="108" spans="1:26" ht="23.25" customHeight="1" x14ac:dyDescent="0.2">
      <c r="A108" s="203" t="s">
        <v>313</v>
      </c>
      <c r="B108" s="72" t="s">
        <v>314</v>
      </c>
      <c r="C108" s="185">
        <f>SUMPRODUCT(-('Diário 5º PA'!$E$5:$E$2634='Analítico Cp.'!$B108),-('Diário 5º PA'!$Q$5:$Q$2634=C$1),('Diário 5º PA'!$F$5:$F$2634))
+SUMPRODUCT(-('Diário 6º PA'!$E$5:$E$2246='Analítico Cp.'!$B108),-('Diário 6º PA'!$Q$5:$Q$2246=C$1),('Diário 6º PA'!$F$5:$F$2246))
+SUMPRODUCT(-('Diário 7º PA'!$E$5:$E$2271='Analítico Cp.'!$B108),-('Diário 7º PA'!$Q$5:$Q$2271=C$1),('Diário 7º PA'!$F$5:$F$2271))
+SUMPRODUCT(-('Diário 8º PA'!$E$5:$E$2488='Analítico Cp.'!$B108),-('Diário 8º PA'!$Q$5:$Q$2488=C$1),('Diário 8º PA'!$F$5:$F$2488))
+SUMPRODUCT(-('Comp.'!$D$5:$D$313='Analítico Cp.'!$B108),-('Comp.'!$R$5:$R$313=C$1),('Comp.'!$E$5:$E$313))</f>
        <v>0</v>
      </c>
      <c r="D108" s="185">
        <f>SUMPRODUCT(-('Diário 5º PA'!$E$5:$E$2634='Analítico Cp.'!$B108),-('Diário 5º PA'!$Q$5:$Q$2634=D$1),('Diário 5º PA'!$F$5:$F$2634))
+SUMPRODUCT(-('Diário 6º PA'!$E$5:$E$2246='Analítico Cp.'!$B108),-('Diário 6º PA'!$Q$5:$Q$2246=D$1),('Diário 6º PA'!$F$5:$F$2246))
+SUMPRODUCT(-('Diário 7º PA'!$E$5:$E$2271='Analítico Cp.'!$B108),-('Diário 7º PA'!$Q$5:$Q$2271=D$1),('Diário 7º PA'!$F$5:$F$2271))
+SUMPRODUCT(-('Diário 8º PA'!$E$5:$E$2488='Analítico Cp.'!$B108),-('Diário 8º PA'!$Q$5:$Q$2488=D$1),('Diário 8º PA'!$F$5:$F$2488))
+SUMPRODUCT(-('Comp.'!$D$5:$D$313='Analítico Cp.'!$B108),-('Comp.'!$R$5:$R$313=D$1),('Comp.'!$E$5:$E$313))</f>
        <v>0</v>
      </c>
      <c r="E108" s="185">
        <f>SUMPRODUCT(-('Diário 5º PA'!$E$5:$E$2634='Analítico Cp.'!$B108),-('Diário 5º PA'!$Q$5:$Q$2634=E$1),('Diário 5º PA'!$F$5:$F$2634))
+SUMPRODUCT(-('Diário 6º PA'!$E$5:$E$2246='Analítico Cp.'!$B108),-('Diário 6º PA'!$Q$5:$Q$2246=E$1),('Diário 6º PA'!$F$5:$F$2246))
+SUMPRODUCT(-('Diário 7º PA'!$E$5:$E$2271='Analítico Cp.'!$B108),-('Diário 7º PA'!$Q$5:$Q$2271=E$1),('Diário 7º PA'!$F$5:$F$2271))
+SUMPRODUCT(-('Diário 8º PA'!$E$5:$E$2488='Analítico Cp.'!$B108),-('Diário 8º PA'!$Q$5:$Q$2488=E$1),('Diário 8º PA'!$F$5:$F$2488))
+SUMPRODUCT(-('Comp.'!$D$5:$D$313='Analítico Cp.'!$B108),-('Comp.'!$R$5:$R$313=E$1),('Comp.'!$E$5:$E$313))</f>
        <v>0</v>
      </c>
      <c r="F108" s="185">
        <f>SUMPRODUCT(-('Diário 5º PA'!$E$5:$E$2634='Analítico Cp.'!$B108),-('Diário 5º PA'!$Q$5:$Q$2634=F$1),('Diário 5º PA'!$F$5:$F$2634))
+SUMPRODUCT(-('Diário 6º PA'!$E$5:$E$2246='Analítico Cp.'!$B108),-('Diário 6º PA'!$Q$5:$Q$2246=F$1),('Diário 6º PA'!$F$5:$F$2246))
+SUMPRODUCT(-('Diário 7º PA'!$E$5:$E$2271='Analítico Cp.'!$B108),-('Diário 7º PA'!$Q$5:$Q$2271=F$1),('Diário 7º PA'!$F$5:$F$2271))
+SUMPRODUCT(-('Diário 8º PA'!$E$5:$E$2488='Analítico Cp.'!$B108),-('Diário 8º PA'!$Q$5:$Q$2488=F$1),('Diário 8º PA'!$F$5:$F$2488))
+SUMPRODUCT(-('Comp.'!$D$5:$D$313='Analítico Cp.'!$B108),-('Comp.'!$R$5:$R$313=F$1),('Comp.'!$E$5:$E$313))</f>
        <v>0</v>
      </c>
      <c r="G108" s="185">
        <f>SUMPRODUCT(-('Diário 5º PA'!$E$5:$E$2634='Analítico Cp.'!$B108),-('Diário 5º PA'!$Q$5:$Q$2634=G$1),('Diário 5º PA'!$F$5:$F$2634))
+SUMPRODUCT(-('Diário 6º PA'!$E$5:$E$2246='Analítico Cp.'!$B108),-('Diário 6º PA'!$Q$5:$Q$2246=G$1),('Diário 6º PA'!$F$5:$F$2246))
+SUMPRODUCT(-('Diário 7º PA'!$E$5:$E$2271='Analítico Cp.'!$B108),-('Diário 7º PA'!$Q$5:$Q$2271=G$1),('Diário 7º PA'!$F$5:$F$2271))
+SUMPRODUCT(-('Diário 8º PA'!$E$5:$E$2488='Analítico Cp.'!$B108),-('Diário 8º PA'!$Q$5:$Q$2488=G$1),('Diário 8º PA'!$F$5:$F$2488))
+SUMPRODUCT(-('Comp.'!$D$5:$D$313='Analítico Cp.'!$B108),-('Comp.'!$R$5:$R$313=G$1),('Comp.'!$E$5:$E$313))</f>
        <v>0</v>
      </c>
      <c r="H108" s="185">
        <f>SUMPRODUCT(-('Diário 5º PA'!$E$5:$E$2634='Analítico Cp.'!$B108),-('Diário 5º PA'!$Q$5:$Q$2634=H$1),('Diário 5º PA'!$F$5:$F$2634))
+SUMPRODUCT(-('Diário 6º PA'!$E$5:$E$2246='Analítico Cp.'!$B108),-('Diário 6º PA'!$Q$5:$Q$2246=H$1),('Diário 6º PA'!$F$5:$F$2246))
+SUMPRODUCT(-('Diário 7º PA'!$E$5:$E$2271='Analítico Cp.'!$B108),-('Diário 7º PA'!$Q$5:$Q$2271=H$1),('Diário 7º PA'!$F$5:$F$2271))
+SUMPRODUCT(-('Diário 8º PA'!$E$5:$E$2488='Analítico Cp.'!$B108),-('Diário 8º PA'!$Q$5:$Q$2488=H$1),('Diário 8º PA'!$F$5:$F$2488))
+SUMPRODUCT(-('Comp.'!$D$5:$D$313='Analítico Cp.'!$B108),-('Comp.'!$R$5:$R$313=H$1),('Comp.'!$E$5:$E$313))</f>
        <v>0</v>
      </c>
      <c r="I108" s="185">
        <f>SUMPRODUCT(-('Diário 5º PA'!$E$5:$E$2634='Analítico Cp.'!$B108),-('Diário 5º PA'!$Q$5:$Q$2634=I$1),('Diário 5º PA'!$F$5:$F$2634))
+SUMPRODUCT(-('Diário 6º PA'!$E$5:$E$2246='Analítico Cp.'!$B108),-('Diário 6º PA'!$Q$5:$Q$2246=I$1),('Diário 6º PA'!$F$5:$F$2246))
+SUMPRODUCT(-('Diário 7º PA'!$E$5:$E$2271='Analítico Cp.'!$B108),-('Diário 7º PA'!$Q$5:$Q$2271=I$1),('Diário 7º PA'!$F$5:$F$2271))
+SUMPRODUCT(-('Diário 8º PA'!$E$5:$E$2488='Analítico Cp.'!$B108),-('Diário 8º PA'!$Q$5:$Q$2488=I$1),('Diário 8º PA'!$F$5:$F$2488))
+SUMPRODUCT(-('Comp.'!$D$5:$D$313='Analítico Cp.'!$B108),-('Comp.'!$R$5:$R$313=I$1),('Comp.'!$E$5:$E$313))</f>
        <v>0</v>
      </c>
      <c r="J108" s="185">
        <f>SUMPRODUCT(-('Diário 5º PA'!$E$5:$E$2634='Analítico Cp.'!$B108),-('Diário 5º PA'!$Q$5:$Q$2634=J$1),('Diário 5º PA'!$F$5:$F$2634))
+SUMPRODUCT(-('Diário 6º PA'!$E$5:$E$2246='Analítico Cp.'!$B108),-('Diário 6º PA'!$Q$5:$Q$2246=J$1),('Diário 6º PA'!$F$5:$F$2246))
+SUMPRODUCT(-('Diário 7º PA'!$E$5:$E$2271='Analítico Cp.'!$B108),-('Diário 7º PA'!$Q$5:$Q$2271=J$1),('Diário 7º PA'!$F$5:$F$2271))
+SUMPRODUCT(-('Diário 8º PA'!$E$5:$E$2488='Analítico Cp.'!$B108),-('Diário 8º PA'!$Q$5:$Q$2488=J$1),('Diário 8º PA'!$F$5:$F$2488))
+SUMPRODUCT(-('Comp.'!$D$5:$D$313='Analítico Cp.'!$B108),-('Comp.'!$R$5:$R$313=J$1),('Comp.'!$E$5:$E$313))</f>
        <v>0</v>
      </c>
      <c r="K108" s="185">
        <f>SUMPRODUCT(-('Diário 5º PA'!$E$5:$E$2634='Analítico Cp.'!$B108),-('Diário 5º PA'!$Q$5:$Q$2634=K$1),('Diário 5º PA'!$F$5:$F$2634))
+SUMPRODUCT(-('Diário 6º PA'!$E$5:$E$2246='Analítico Cp.'!$B108),-('Diário 6º PA'!$Q$5:$Q$2246=K$1),('Diário 6º PA'!$F$5:$F$2246))
+SUMPRODUCT(-('Diário 7º PA'!$E$5:$E$2271='Analítico Cp.'!$B108),-('Diário 7º PA'!$Q$5:$Q$2271=K$1),('Diário 7º PA'!$F$5:$F$2271))
+SUMPRODUCT(-('Diário 8º PA'!$E$5:$E$2488='Analítico Cp.'!$B108),-('Diário 8º PA'!$Q$5:$Q$2488=K$1),('Diário 8º PA'!$F$5:$F$2488))
+SUMPRODUCT(-('Comp.'!$D$5:$D$313='Analítico Cp.'!$B108),-('Comp.'!$R$5:$R$313=K$1),('Comp.'!$E$5:$E$313))</f>
        <v>0</v>
      </c>
      <c r="L108" s="185">
        <f>SUMPRODUCT(-('Diário 5º PA'!$E$5:$E$2634='Analítico Cp.'!$B108),-('Diário 5º PA'!$Q$5:$Q$2634=L$1),('Diário 5º PA'!$F$5:$F$2634))
+SUMPRODUCT(-('Diário 6º PA'!$E$5:$E$2246='Analítico Cp.'!$B108),-('Diário 6º PA'!$Q$5:$Q$2246=L$1),('Diário 6º PA'!$F$5:$F$2246))
+SUMPRODUCT(-('Diário 7º PA'!$E$5:$E$2271='Analítico Cp.'!$B108),-('Diário 7º PA'!$Q$5:$Q$2271=L$1),('Diário 7º PA'!$F$5:$F$2271))
+SUMPRODUCT(-('Diário 8º PA'!$E$5:$E$2488='Analítico Cp.'!$B108),-('Diário 8º PA'!$Q$5:$Q$2488=L$1),('Diário 8º PA'!$F$5:$F$2488))
+SUMPRODUCT(-('Comp.'!$D$5:$D$313='Analítico Cp.'!$B108),-('Comp.'!$R$5:$R$313=L$1),('Comp.'!$E$5:$E$313))</f>
        <v>0</v>
      </c>
      <c r="M108" s="185">
        <f>SUMPRODUCT(-('Diário 5º PA'!$E$5:$E$2634='Analítico Cp.'!$B108),-('Diário 5º PA'!$Q$5:$Q$2634=M$1),('Diário 5º PA'!$F$5:$F$2634))
+SUMPRODUCT(-('Diário 6º PA'!$E$5:$E$2246='Analítico Cp.'!$B108),-('Diário 6º PA'!$Q$5:$Q$2246=M$1),('Diário 6º PA'!$F$5:$F$2246))
+SUMPRODUCT(-('Diário 7º PA'!$E$5:$E$2271='Analítico Cp.'!$B108),-('Diário 7º PA'!$Q$5:$Q$2271=M$1),('Diário 7º PA'!$F$5:$F$2271))
+SUMPRODUCT(-('Diário 8º PA'!$E$5:$E$2488='Analítico Cp.'!$B108),-('Diário 8º PA'!$Q$5:$Q$2488=M$1),('Diário 8º PA'!$F$5:$F$2488))
+SUMPRODUCT(-('Comp.'!$D$5:$D$313='Analítico Cp.'!$B108),-('Comp.'!$R$5:$R$313=M$1),('Comp.'!$E$5:$E$313))</f>
        <v>0</v>
      </c>
      <c r="N108" s="185">
        <f>SUMPRODUCT(-('Diário 5º PA'!$E$5:$E$2634='Analítico Cp.'!$B108),-('Diário 5º PA'!$Q$5:$Q$2634=N$1),('Diário 5º PA'!$F$5:$F$2634))
+SUMPRODUCT(-('Diário 6º PA'!$E$5:$E$2246='Analítico Cp.'!$B108),-('Diário 6º PA'!$Q$5:$Q$2246=N$1),('Diário 6º PA'!$F$5:$F$2246))
+SUMPRODUCT(-('Diário 7º PA'!$E$5:$E$2271='Analítico Cp.'!$B108),-('Diário 7º PA'!$Q$5:$Q$2271=N$1),('Diário 7º PA'!$F$5:$F$2271))
+SUMPRODUCT(-('Diário 8º PA'!$E$5:$E$2488='Analítico Cp.'!$B108),-('Diário 8º PA'!$Q$5:$Q$2488=N$1),('Diário 8º PA'!$F$5:$F$2488))
+SUMPRODUCT(-('Comp.'!$D$5:$D$313='Analítico Cp.'!$B108),-('Comp.'!$R$5:$R$313=N$1),('Comp.'!$E$5:$E$313))</f>
        <v>0</v>
      </c>
      <c r="O108" s="186">
        <f t="shared" si="16"/>
        <v>0</v>
      </c>
      <c r="P108" s="187">
        <f t="shared" si="17"/>
        <v>0</v>
      </c>
      <c r="Q108" s="34"/>
      <c r="R108" s="34"/>
      <c r="S108" s="34"/>
      <c r="T108" s="34"/>
      <c r="U108" s="34"/>
      <c r="V108" s="34"/>
      <c r="W108" s="34"/>
      <c r="X108" s="34"/>
      <c r="Y108" s="34"/>
      <c r="Z108" s="34"/>
    </row>
    <row r="109" spans="1:26" ht="23.25" customHeight="1" x14ac:dyDescent="0.2">
      <c r="A109" s="203" t="s">
        <v>315</v>
      </c>
      <c r="B109" s="72" t="s">
        <v>316</v>
      </c>
      <c r="C109" s="185">
        <f>SUMPRODUCT(-('Diário 5º PA'!$E$5:$E$2634='Analítico Cp.'!$B109),-('Diário 5º PA'!$Q$5:$Q$2634=C$1),('Diário 5º PA'!$F$5:$F$2634))
+SUMPRODUCT(-('Diário 6º PA'!$E$5:$E$2246='Analítico Cp.'!$B109),-('Diário 6º PA'!$Q$5:$Q$2246=C$1),('Diário 6º PA'!$F$5:$F$2246))
+SUMPRODUCT(-('Diário 7º PA'!$E$5:$E$2271='Analítico Cp.'!$B109),-('Diário 7º PA'!$Q$5:$Q$2271=C$1),('Diário 7º PA'!$F$5:$F$2271))
+SUMPRODUCT(-('Diário 8º PA'!$E$5:$E$2488='Analítico Cp.'!$B109),-('Diário 8º PA'!$Q$5:$Q$2488=C$1),('Diário 8º PA'!$F$5:$F$2488))
+SUMPRODUCT(-('Comp.'!$D$5:$D$313='Analítico Cp.'!$B109),-('Comp.'!$R$5:$R$313=C$1),('Comp.'!$E$5:$E$313))</f>
        <v>0</v>
      </c>
      <c r="D109" s="185">
        <f>SUMPRODUCT(-('Diário 5º PA'!$E$5:$E$2634='Analítico Cp.'!$B109),-('Diário 5º PA'!$Q$5:$Q$2634=D$1),('Diário 5º PA'!$F$5:$F$2634))
+SUMPRODUCT(-('Diário 6º PA'!$E$5:$E$2246='Analítico Cp.'!$B109),-('Diário 6º PA'!$Q$5:$Q$2246=D$1),('Diário 6º PA'!$F$5:$F$2246))
+SUMPRODUCT(-('Diário 7º PA'!$E$5:$E$2271='Analítico Cp.'!$B109),-('Diário 7º PA'!$Q$5:$Q$2271=D$1),('Diário 7º PA'!$F$5:$F$2271))
+SUMPRODUCT(-('Diário 8º PA'!$E$5:$E$2488='Analítico Cp.'!$B109),-('Diário 8º PA'!$Q$5:$Q$2488=D$1),('Diário 8º PA'!$F$5:$F$2488))
+SUMPRODUCT(-('Comp.'!$D$5:$D$313='Analítico Cp.'!$B109),-('Comp.'!$R$5:$R$313=D$1),('Comp.'!$E$5:$E$313))</f>
        <v>0</v>
      </c>
      <c r="E109" s="185">
        <f>SUMPRODUCT(-('Diário 5º PA'!$E$5:$E$2634='Analítico Cp.'!$B109),-('Diário 5º PA'!$Q$5:$Q$2634=E$1),('Diário 5º PA'!$F$5:$F$2634))
+SUMPRODUCT(-('Diário 6º PA'!$E$5:$E$2246='Analítico Cp.'!$B109),-('Diário 6º PA'!$Q$5:$Q$2246=E$1),('Diário 6º PA'!$F$5:$F$2246))
+SUMPRODUCT(-('Diário 7º PA'!$E$5:$E$2271='Analítico Cp.'!$B109),-('Diário 7º PA'!$Q$5:$Q$2271=E$1),('Diário 7º PA'!$F$5:$F$2271))
+SUMPRODUCT(-('Diário 8º PA'!$E$5:$E$2488='Analítico Cp.'!$B109),-('Diário 8º PA'!$Q$5:$Q$2488=E$1),('Diário 8º PA'!$F$5:$F$2488))
+SUMPRODUCT(-('Comp.'!$D$5:$D$313='Analítico Cp.'!$B109),-('Comp.'!$R$5:$R$313=E$1),('Comp.'!$E$5:$E$313))</f>
        <v>0</v>
      </c>
      <c r="F109" s="185">
        <f>SUMPRODUCT(-('Diário 5º PA'!$E$5:$E$2634='Analítico Cp.'!$B109),-('Diário 5º PA'!$Q$5:$Q$2634=F$1),('Diário 5º PA'!$F$5:$F$2634))
+SUMPRODUCT(-('Diário 6º PA'!$E$5:$E$2246='Analítico Cp.'!$B109),-('Diário 6º PA'!$Q$5:$Q$2246=F$1),('Diário 6º PA'!$F$5:$F$2246))
+SUMPRODUCT(-('Diário 7º PA'!$E$5:$E$2271='Analítico Cp.'!$B109),-('Diário 7º PA'!$Q$5:$Q$2271=F$1),('Diário 7º PA'!$F$5:$F$2271))
+SUMPRODUCT(-('Diário 8º PA'!$E$5:$E$2488='Analítico Cp.'!$B109),-('Diário 8º PA'!$Q$5:$Q$2488=F$1),('Diário 8º PA'!$F$5:$F$2488))
+SUMPRODUCT(-('Comp.'!$D$5:$D$313='Analítico Cp.'!$B109),-('Comp.'!$R$5:$R$313=F$1),('Comp.'!$E$5:$E$313))</f>
        <v>0</v>
      </c>
      <c r="G109" s="185">
        <f>SUMPRODUCT(-('Diário 5º PA'!$E$5:$E$2634='Analítico Cp.'!$B109),-('Diário 5º PA'!$Q$5:$Q$2634=G$1),('Diário 5º PA'!$F$5:$F$2634))
+SUMPRODUCT(-('Diário 6º PA'!$E$5:$E$2246='Analítico Cp.'!$B109),-('Diário 6º PA'!$Q$5:$Q$2246=G$1),('Diário 6º PA'!$F$5:$F$2246))
+SUMPRODUCT(-('Diário 7º PA'!$E$5:$E$2271='Analítico Cp.'!$B109),-('Diário 7º PA'!$Q$5:$Q$2271=G$1),('Diário 7º PA'!$F$5:$F$2271))
+SUMPRODUCT(-('Diário 8º PA'!$E$5:$E$2488='Analítico Cp.'!$B109),-('Diário 8º PA'!$Q$5:$Q$2488=G$1),('Diário 8º PA'!$F$5:$F$2488))
+SUMPRODUCT(-('Comp.'!$D$5:$D$313='Analítico Cp.'!$B109),-('Comp.'!$R$5:$R$313=G$1),('Comp.'!$E$5:$E$313))</f>
        <v>0</v>
      </c>
      <c r="H109" s="185">
        <f>SUMPRODUCT(-('Diário 5º PA'!$E$5:$E$2634='Analítico Cp.'!$B109),-('Diário 5º PA'!$Q$5:$Q$2634=H$1),('Diário 5º PA'!$F$5:$F$2634))
+SUMPRODUCT(-('Diário 6º PA'!$E$5:$E$2246='Analítico Cp.'!$B109),-('Diário 6º PA'!$Q$5:$Q$2246=H$1),('Diário 6º PA'!$F$5:$F$2246))
+SUMPRODUCT(-('Diário 7º PA'!$E$5:$E$2271='Analítico Cp.'!$B109),-('Diário 7º PA'!$Q$5:$Q$2271=H$1),('Diário 7º PA'!$F$5:$F$2271))
+SUMPRODUCT(-('Diário 8º PA'!$E$5:$E$2488='Analítico Cp.'!$B109),-('Diário 8º PA'!$Q$5:$Q$2488=H$1),('Diário 8º PA'!$F$5:$F$2488))
+SUMPRODUCT(-('Comp.'!$D$5:$D$313='Analítico Cp.'!$B109),-('Comp.'!$R$5:$R$313=H$1),('Comp.'!$E$5:$E$313))</f>
        <v>0</v>
      </c>
      <c r="I109" s="185">
        <f>SUMPRODUCT(-('Diário 5º PA'!$E$5:$E$2634='Analítico Cp.'!$B109),-('Diário 5º PA'!$Q$5:$Q$2634=I$1),('Diário 5º PA'!$F$5:$F$2634))
+SUMPRODUCT(-('Diário 6º PA'!$E$5:$E$2246='Analítico Cp.'!$B109),-('Diário 6º PA'!$Q$5:$Q$2246=I$1),('Diário 6º PA'!$F$5:$F$2246))
+SUMPRODUCT(-('Diário 7º PA'!$E$5:$E$2271='Analítico Cp.'!$B109),-('Diário 7º PA'!$Q$5:$Q$2271=I$1),('Diário 7º PA'!$F$5:$F$2271))
+SUMPRODUCT(-('Diário 8º PA'!$E$5:$E$2488='Analítico Cp.'!$B109),-('Diário 8º PA'!$Q$5:$Q$2488=I$1),('Diário 8º PA'!$F$5:$F$2488))
+SUMPRODUCT(-('Comp.'!$D$5:$D$313='Analítico Cp.'!$B109),-('Comp.'!$R$5:$R$313=I$1),('Comp.'!$E$5:$E$313))</f>
        <v>0</v>
      </c>
      <c r="J109" s="185">
        <f>SUMPRODUCT(-('Diário 5º PA'!$E$5:$E$2634='Analítico Cp.'!$B109),-('Diário 5º PA'!$Q$5:$Q$2634=J$1),('Diário 5º PA'!$F$5:$F$2634))
+SUMPRODUCT(-('Diário 6º PA'!$E$5:$E$2246='Analítico Cp.'!$B109),-('Diário 6º PA'!$Q$5:$Q$2246=J$1),('Diário 6º PA'!$F$5:$F$2246))
+SUMPRODUCT(-('Diário 7º PA'!$E$5:$E$2271='Analítico Cp.'!$B109),-('Diário 7º PA'!$Q$5:$Q$2271=J$1),('Diário 7º PA'!$F$5:$F$2271))
+SUMPRODUCT(-('Diário 8º PA'!$E$5:$E$2488='Analítico Cp.'!$B109),-('Diário 8º PA'!$Q$5:$Q$2488=J$1),('Diário 8º PA'!$F$5:$F$2488))
+SUMPRODUCT(-('Comp.'!$D$5:$D$313='Analítico Cp.'!$B109),-('Comp.'!$R$5:$R$313=J$1),('Comp.'!$E$5:$E$313))</f>
        <v>0</v>
      </c>
      <c r="K109" s="185">
        <f>SUMPRODUCT(-('Diário 5º PA'!$E$5:$E$2634='Analítico Cp.'!$B109),-('Diário 5º PA'!$Q$5:$Q$2634=K$1),('Diário 5º PA'!$F$5:$F$2634))
+SUMPRODUCT(-('Diário 6º PA'!$E$5:$E$2246='Analítico Cp.'!$B109),-('Diário 6º PA'!$Q$5:$Q$2246=K$1),('Diário 6º PA'!$F$5:$F$2246))
+SUMPRODUCT(-('Diário 7º PA'!$E$5:$E$2271='Analítico Cp.'!$B109),-('Diário 7º PA'!$Q$5:$Q$2271=K$1),('Diário 7º PA'!$F$5:$F$2271))
+SUMPRODUCT(-('Diário 8º PA'!$E$5:$E$2488='Analítico Cp.'!$B109),-('Diário 8º PA'!$Q$5:$Q$2488=K$1),('Diário 8º PA'!$F$5:$F$2488))
+SUMPRODUCT(-('Comp.'!$D$5:$D$313='Analítico Cp.'!$B109),-('Comp.'!$R$5:$R$313=K$1),('Comp.'!$E$5:$E$313))</f>
        <v>0</v>
      </c>
      <c r="L109" s="185">
        <f>SUMPRODUCT(-('Diário 5º PA'!$E$5:$E$2634='Analítico Cp.'!$B109),-('Diário 5º PA'!$Q$5:$Q$2634=L$1),('Diário 5º PA'!$F$5:$F$2634))
+SUMPRODUCT(-('Diário 6º PA'!$E$5:$E$2246='Analítico Cp.'!$B109),-('Diário 6º PA'!$Q$5:$Q$2246=L$1),('Diário 6º PA'!$F$5:$F$2246))
+SUMPRODUCT(-('Diário 7º PA'!$E$5:$E$2271='Analítico Cp.'!$B109),-('Diário 7º PA'!$Q$5:$Q$2271=L$1),('Diário 7º PA'!$F$5:$F$2271))
+SUMPRODUCT(-('Diário 8º PA'!$E$5:$E$2488='Analítico Cp.'!$B109),-('Diário 8º PA'!$Q$5:$Q$2488=L$1),('Diário 8º PA'!$F$5:$F$2488))
+SUMPRODUCT(-('Comp.'!$D$5:$D$313='Analítico Cp.'!$B109),-('Comp.'!$R$5:$R$313=L$1),('Comp.'!$E$5:$E$313))</f>
        <v>0</v>
      </c>
      <c r="M109" s="185">
        <f>SUMPRODUCT(-('Diário 5º PA'!$E$5:$E$2634='Analítico Cp.'!$B109),-('Diário 5º PA'!$Q$5:$Q$2634=M$1),('Diário 5º PA'!$F$5:$F$2634))
+SUMPRODUCT(-('Diário 6º PA'!$E$5:$E$2246='Analítico Cp.'!$B109),-('Diário 6º PA'!$Q$5:$Q$2246=M$1),('Diário 6º PA'!$F$5:$F$2246))
+SUMPRODUCT(-('Diário 7º PA'!$E$5:$E$2271='Analítico Cp.'!$B109),-('Diário 7º PA'!$Q$5:$Q$2271=M$1),('Diário 7º PA'!$F$5:$F$2271))
+SUMPRODUCT(-('Diário 8º PA'!$E$5:$E$2488='Analítico Cp.'!$B109),-('Diário 8º PA'!$Q$5:$Q$2488=M$1),('Diário 8º PA'!$F$5:$F$2488))
+SUMPRODUCT(-('Comp.'!$D$5:$D$313='Analítico Cp.'!$B109),-('Comp.'!$R$5:$R$313=M$1),('Comp.'!$E$5:$E$313))</f>
        <v>0</v>
      </c>
      <c r="N109" s="185">
        <f>SUMPRODUCT(-('Diário 5º PA'!$E$5:$E$2634='Analítico Cp.'!$B109),-('Diário 5º PA'!$Q$5:$Q$2634=N$1),('Diário 5º PA'!$F$5:$F$2634))
+SUMPRODUCT(-('Diário 6º PA'!$E$5:$E$2246='Analítico Cp.'!$B109),-('Diário 6º PA'!$Q$5:$Q$2246=N$1),('Diário 6º PA'!$F$5:$F$2246))
+SUMPRODUCT(-('Diário 7º PA'!$E$5:$E$2271='Analítico Cp.'!$B109),-('Diário 7º PA'!$Q$5:$Q$2271=N$1),('Diário 7º PA'!$F$5:$F$2271))
+SUMPRODUCT(-('Diário 8º PA'!$E$5:$E$2488='Analítico Cp.'!$B109),-('Diário 8º PA'!$Q$5:$Q$2488=N$1),('Diário 8º PA'!$F$5:$F$2488))
+SUMPRODUCT(-('Comp.'!$D$5:$D$313='Analítico Cp.'!$B109),-('Comp.'!$R$5:$R$313=N$1),('Comp.'!$E$5:$E$313))</f>
        <v>0</v>
      </c>
      <c r="O109" s="186">
        <f t="shared" si="16"/>
        <v>0</v>
      </c>
      <c r="P109" s="187">
        <f t="shared" si="17"/>
        <v>0</v>
      </c>
      <c r="Q109" s="34"/>
      <c r="R109" s="34"/>
      <c r="S109" s="34"/>
      <c r="T109" s="34"/>
      <c r="U109" s="34"/>
      <c r="V109" s="34"/>
      <c r="W109" s="34"/>
      <c r="X109" s="34"/>
      <c r="Y109" s="34"/>
      <c r="Z109" s="34"/>
    </row>
    <row r="110" spans="1:26" ht="23.25" customHeight="1" x14ac:dyDescent="0.2">
      <c r="A110" s="203" t="s">
        <v>317</v>
      </c>
      <c r="B110" s="72" t="s">
        <v>318</v>
      </c>
      <c r="C110" s="185">
        <f>SUMPRODUCT(-('Diário 5º PA'!$E$5:$E$2634='Analítico Cp.'!$B110),-('Diário 5º PA'!$Q$5:$Q$2634=C$1),('Diário 5º PA'!$F$5:$F$2634))
+SUMPRODUCT(-('Diário 6º PA'!$E$5:$E$2246='Analítico Cp.'!$B110),-('Diário 6º PA'!$Q$5:$Q$2246=C$1),('Diário 6º PA'!$F$5:$F$2246))
+SUMPRODUCT(-('Diário 7º PA'!$E$5:$E$2271='Analítico Cp.'!$B110),-('Diário 7º PA'!$Q$5:$Q$2271=C$1),('Diário 7º PA'!$F$5:$F$2271))
+SUMPRODUCT(-('Diário 8º PA'!$E$5:$E$2488='Analítico Cp.'!$B110),-('Diário 8º PA'!$Q$5:$Q$2488=C$1),('Diário 8º PA'!$F$5:$F$2488))
+SUMPRODUCT(-('Comp.'!$D$5:$D$313='Analítico Cp.'!$B110),-('Comp.'!$R$5:$R$313=C$1),('Comp.'!$E$5:$E$313))</f>
        <v>0</v>
      </c>
      <c r="D110" s="185">
        <f>SUMPRODUCT(-('Diário 5º PA'!$E$5:$E$2634='Analítico Cp.'!$B110),-('Diário 5º PA'!$Q$5:$Q$2634=D$1),('Diário 5º PA'!$F$5:$F$2634))
+SUMPRODUCT(-('Diário 6º PA'!$E$5:$E$2246='Analítico Cp.'!$B110),-('Diário 6º PA'!$Q$5:$Q$2246=D$1),('Diário 6º PA'!$F$5:$F$2246))
+SUMPRODUCT(-('Diário 7º PA'!$E$5:$E$2271='Analítico Cp.'!$B110),-('Diário 7º PA'!$Q$5:$Q$2271=D$1),('Diário 7º PA'!$F$5:$F$2271))
+SUMPRODUCT(-('Diário 8º PA'!$E$5:$E$2488='Analítico Cp.'!$B110),-('Diário 8º PA'!$Q$5:$Q$2488=D$1),('Diário 8º PA'!$F$5:$F$2488))
+SUMPRODUCT(-('Comp.'!$D$5:$D$313='Analítico Cp.'!$B110),-('Comp.'!$R$5:$R$313=D$1),('Comp.'!$E$5:$E$313))</f>
        <v>0</v>
      </c>
      <c r="E110" s="185">
        <f>SUMPRODUCT(-('Diário 5º PA'!$E$5:$E$2634='Analítico Cp.'!$B110),-('Diário 5º PA'!$Q$5:$Q$2634=E$1),('Diário 5º PA'!$F$5:$F$2634))
+SUMPRODUCT(-('Diário 6º PA'!$E$5:$E$2246='Analítico Cp.'!$B110),-('Diário 6º PA'!$Q$5:$Q$2246=E$1),('Diário 6º PA'!$F$5:$F$2246))
+SUMPRODUCT(-('Diário 7º PA'!$E$5:$E$2271='Analítico Cp.'!$B110),-('Diário 7º PA'!$Q$5:$Q$2271=E$1),('Diário 7º PA'!$F$5:$F$2271))
+SUMPRODUCT(-('Diário 8º PA'!$E$5:$E$2488='Analítico Cp.'!$B110),-('Diário 8º PA'!$Q$5:$Q$2488=E$1),('Diário 8º PA'!$F$5:$F$2488))
+SUMPRODUCT(-('Comp.'!$D$5:$D$313='Analítico Cp.'!$B110),-('Comp.'!$R$5:$R$313=E$1),('Comp.'!$E$5:$E$313))</f>
        <v>0</v>
      </c>
      <c r="F110" s="185">
        <f>SUMPRODUCT(-('Diário 5º PA'!$E$5:$E$2634='Analítico Cp.'!$B110),-('Diário 5º PA'!$Q$5:$Q$2634=F$1),('Diário 5º PA'!$F$5:$F$2634))
+SUMPRODUCT(-('Diário 6º PA'!$E$5:$E$2246='Analítico Cp.'!$B110),-('Diário 6º PA'!$Q$5:$Q$2246=F$1),('Diário 6º PA'!$F$5:$F$2246))
+SUMPRODUCT(-('Diário 7º PA'!$E$5:$E$2271='Analítico Cp.'!$B110),-('Diário 7º PA'!$Q$5:$Q$2271=F$1),('Diário 7º PA'!$F$5:$F$2271))
+SUMPRODUCT(-('Diário 8º PA'!$E$5:$E$2488='Analítico Cp.'!$B110),-('Diário 8º PA'!$Q$5:$Q$2488=F$1),('Diário 8º PA'!$F$5:$F$2488))
+SUMPRODUCT(-('Comp.'!$D$5:$D$313='Analítico Cp.'!$B110),-('Comp.'!$R$5:$R$313=F$1),('Comp.'!$E$5:$E$313))</f>
        <v>0</v>
      </c>
      <c r="G110" s="185">
        <f>SUMPRODUCT(-('Diário 5º PA'!$E$5:$E$2634='Analítico Cp.'!$B110),-('Diário 5º PA'!$Q$5:$Q$2634=G$1),('Diário 5º PA'!$F$5:$F$2634))
+SUMPRODUCT(-('Diário 6º PA'!$E$5:$E$2246='Analítico Cp.'!$B110),-('Diário 6º PA'!$Q$5:$Q$2246=G$1),('Diário 6º PA'!$F$5:$F$2246))
+SUMPRODUCT(-('Diário 7º PA'!$E$5:$E$2271='Analítico Cp.'!$B110),-('Diário 7º PA'!$Q$5:$Q$2271=G$1),('Diário 7º PA'!$F$5:$F$2271))
+SUMPRODUCT(-('Diário 8º PA'!$E$5:$E$2488='Analítico Cp.'!$B110),-('Diário 8º PA'!$Q$5:$Q$2488=G$1),('Diário 8º PA'!$F$5:$F$2488))
+SUMPRODUCT(-('Comp.'!$D$5:$D$313='Analítico Cp.'!$B110),-('Comp.'!$R$5:$R$313=G$1),('Comp.'!$E$5:$E$313))</f>
        <v>0</v>
      </c>
      <c r="H110" s="185">
        <f>SUMPRODUCT(-('Diário 5º PA'!$E$5:$E$2634='Analítico Cp.'!$B110),-('Diário 5º PA'!$Q$5:$Q$2634=H$1),('Diário 5º PA'!$F$5:$F$2634))
+SUMPRODUCT(-('Diário 6º PA'!$E$5:$E$2246='Analítico Cp.'!$B110),-('Diário 6º PA'!$Q$5:$Q$2246=H$1),('Diário 6º PA'!$F$5:$F$2246))
+SUMPRODUCT(-('Diário 7º PA'!$E$5:$E$2271='Analítico Cp.'!$B110),-('Diário 7º PA'!$Q$5:$Q$2271=H$1),('Diário 7º PA'!$F$5:$F$2271))
+SUMPRODUCT(-('Diário 8º PA'!$E$5:$E$2488='Analítico Cp.'!$B110),-('Diário 8º PA'!$Q$5:$Q$2488=H$1),('Diário 8º PA'!$F$5:$F$2488))
+SUMPRODUCT(-('Comp.'!$D$5:$D$313='Analítico Cp.'!$B110),-('Comp.'!$R$5:$R$313=H$1),('Comp.'!$E$5:$E$313))</f>
        <v>0</v>
      </c>
      <c r="I110" s="185">
        <f>SUMPRODUCT(-('Diário 5º PA'!$E$5:$E$2634='Analítico Cp.'!$B110),-('Diário 5º PA'!$Q$5:$Q$2634=I$1),('Diário 5º PA'!$F$5:$F$2634))
+SUMPRODUCT(-('Diário 6º PA'!$E$5:$E$2246='Analítico Cp.'!$B110),-('Diário 6º PA'!$Q$5:$Q$2246=I$1),('Diário 6º PA'!$F$5:$F$2246))
+SUMPRODUCT(-('Diário 7º PA'!$E$5:$E$2271='Analítico Cp.'!$B110),-('Diário 7º PA'!$Q$5:$Q$2271=I$1),('Diário 7º PA'!$F$5:$F$2271))
+SUMPRODUCT(-('Diário 8º PA'!$E$5:$E$2488='Analítico Cp.'!$B110),-('Diário 8º PA'!$Q$5:$Q$2488=I$1),('Diário 8º PA'!$F$5:$F$2488))
+SUMPRODUCT(-('Comp.'!$D$5:$D$313='Analítico Cp.'!$B110),-('Comp.'!$R$5:$R$313=I$1),('Comp.'!$E$5:$E$313))</f>
        <v>0</v>
      </c>
      <c r="J110" s="185">
        <f>SUMPRODUCT(-('Diário 5º PA'!$E$5:$E$2634='Analítico Cp.'!$B110),-('Diário 5º PA'!$Q$5:$Q$2634=J$1),('Diário 5º PA'!$F$5:$F$2634))
+SUMPRODUCT(-('Diário 6º PA'!$E$5:$E$2246='Analítico Cp.'!$B110),-('Diário 6º PA'!$Q$5:$Q$2246=J$1),('Diário 6º PA'!$F$5:$F$2246))
+SUMPRODUCT(-('Diário 7º PA'!$E$5:$E$2271='Analítico Cp.'!$B110),-('Diário 7º PA'!$Q$5:$Q$2271=J$1),('Diário 7º PA'!$F$5:$F$2271))
+SUMPRODUCT(-('Diário 8º PA'!$E$5:$E$2488='Analítico Cp.'!$B110),-('Diário 8º PA'!$Q$5:$Q$2488=J$1),('Diário 8º PA'!$F$5:$F$2488))
+SUMPRODUCT(-('Comp.'!$D$5:$D$313='Analítico Cp.'!$B110),-('Comp.'!$R$5:$R$313=J$1),('Comp.'!$E$5:$E$313))</f>
        <v>0</v>
      </c>
      <c r="K110" s="185">
        <f>SUMPRODUCT(-('Diário 5º PA'!$E$5:$E$2634='Analítico Cp.'!$B110),-('Diário 5º PA'!$Q$5:$Q$2634=K$1),('Diário 5º PA'!$F$5:$F$2634))
+SUMPRODUCT(-('Diário 6º PA'!$E$5:$E$2246='Analítico Cp.'!$B110),-('Diário 6º PA'!$Q$5:$Q$2246=K$1),('Diário 6º PA'!$F$5:$F$2246))
+SUMPRODUCT(-('Diário 7º PA'!$E$5:$E$2271='Analítico Cp.'!$B110),-('Diário 7º PA'!$Q$5:$Q$2271=K$1),('Diário 7º PA'!$F$5:$F$2271))
+SUMPRODUCT(-('Diário 8º PA'!$E$5:$E$2488='Analítico Cp.'!$B110),-('Diário 8º PA'!$Q$5:$Q$2488=K$1),('Diário 8º PA'!$F$5:$F$2488))
+SUMPRODUCT(-('Comp.'!$D$5:$D$313='Analítico Cp.'!$B110),-('Comp.'!$R$5:$R$313=K$1),('Comp.'!$E$5:$E$313))</f>
        <v>0</v>
      </c>
      <c r="L110" s="185">
        <f>SUMPRODUCT(-('Diário 5º PA'!$E$5:$E$2634='Analítico Cp.'!$B110),-('Diário 5º PA'!$Q$5:$Q$2634=L$1),('Diário 5º PA'!$F$5:$F$2634))
+SUMPRODUCT(-('Diário 6º PA'!$E$5:$E$2246='Analítico Cp.'!$B110),-('Diário 6º PA'!$Q$5:$Q$2246=L$1),('Diário 6º PA'!$F$5:$F$2246))
+SUMPRODUCT(-('Diário 7º PA'!$E$5:$E$2271='Analítico Cp.'!$B110),-('Diário 7º PA'!$Q$5:$Q$2271=L$1),('Diário 7º PA'!$F$5:$F$2271))
+SUMPRODUCT(-('Diário 8º PA'!$E$5:$E$2488='Analítico Cp.'!$B110),-('Diário 8º PA'!$Q$5:$Q$2488=L$1),('Diário 8º PA'!$F$5:$F$2488))
+SUMPRODUCT(-('Comp.'!$D$5:$D$313='Analítico Cp.'!$B110),-('Comp.'!$R$5:$R$313=L$1),('Comp.'!$E$5:$E$313))</f>
        <v>0</v>
      </c>
      <c r="M110" s="185">
        <f>SUMPRODUCT(-('Diário 5º PA'!$E$5:$E$2634='Analítico Cp.'!$B110),-('Diário 5º PA'!$Q$5:$Q$2634=M$1),('Diário 5º PA'!$F$5:$F$2634))
+SUMPRODUCT(-('Diário 6º PA'!$E$5:$E$2246='Analítico Cp.'!$B110),-('Diário 6º PA'!$Q$5:$Q$2246=M$1),('Diário 6º PA'!$F$5:$F$2246))
+SUMPRODUCT(-('Diário 7º PA'!$E$5:$E$2271='Analítico Cp.'!$B110),-('Diário 7º PA'!$Q$5:$Q$2271=M$1),('Diário 7º PA'!$F$5:$F$2271))
+SUMPRODUCT(-('Diário 8º PA'!$E$5:$E$2488='Analítico Cp.'!$B110),-('Diário 8º PA'!$Q$5:$Q$2488=M$1),('Diário 8º PA'!$F$5:$F$2488))
+SUMPRODUCT(-('Comp.'!$D$5:$D$313='Analítico Cp.'!$B110),-('Comp.'!$R$5:$R$313=M$1),('Comp.'!$E$5:$E$313))</f>
        <v>0</v>
      </c>
      <c r="N110" s="185">
        <f>SUMPRODUCT(-('Diário 5º PA'!$E$5:$E$2634='Analítico Cp.'!$B110),-('Diário 5º PA'!$Q$5:$Q$2634=N$1),('Diário 5º PA'!$F$5:$F$2634))
+SUMPRODUCT(-('Diário 6º PA'!$E$5:$E$2246='Analítico Cp.'!$B110),-('Diário 6º PA'!$Q$5:$Q$2246=N$1),('Diário 6º PA'!$F$5:$F$2246))
+SUMPRODUCT(-('Diário 7º PA'!$E$5:$E$2271='Analítico Cp.'!$B110),-('Diário 7º PA'!$Q$5:$Q$2271=N$1),('Diário 7º PA'!$F$5:$F$2271))
+SUMPRODUCT(-('Diário 8º PA'!$E$5:$E$2488='Analítico Cp.'!$B110),-('Diário 8º PA'!$Q$5:$Q$2488=N$1),('Diário 8º PA'!$F$5:$F$2488))
+SUMPRODUCT(-('Comp.'!$D$5:$D$313='Analítico Cp.'!$B110),-('Comp.'!$R$5:$R$313=N$1),('Comp.'!$E$5:$E$313))</f>
        <v>0</v>
      </c>
      <c r="O110" s="186">
        <f t="shared" si="16"/>
        <v>0</v>
      </c>
      <c r="P110" s="187">
        <f t="shared" si="17"/>
        <v>0</v>
      </c>
      <c r="Q110" s="34"/>
      <c r="R110" s="34"/>
      <c r="S110" s="34"/>
      <c r="T110" s="34"/>
      <c r="U110" s="34"/>
      <c r="V110" s="34"/>
      <c r="W110" s="34"/>
      <c r="X110" s="34"/>
      <c r="Y110" s="34"/>
      <c r="Z110" s="34"/>
    </row>
    <row r="111" spans="1:26" ht="23.25" customHeight="1" x14ac:dyDescent="0.2">
      <c r="A111" s="203" t="s">
        <v>319</v>
      </c>
      <c r="B111" s="72" t="s">
        <v>320</v>
      </c>
      <c r="C111" s="185">
        <f>SUMPRODUCT(-('Diário 5º PA'!$E$5:$E$2634='Analítico Cp.'!$B111),-('Diário 5º PA'!$Q$5:$Q$2634=C$1),('Diário 5º PA'!$F$5:$F$2634))
+SUMPRODUCT(-('Diário 6º PA'!$E$5:$E$2246='Analítico Cp.'!$B111),-('Diário 6º PA'!$Q$5:$Q$2246=C$1),('Diário 6º PA'!$F$5:$F$2246))
+SUMPRODUCT(-('Diário 7º PA'!$E$5:$E$2271='Analítico Cp.'!$B111),-('Diário 7º PA'!$Q$5:$Q$2271=C$1),('Diário 7º PA'!$F$5:$F$2271))
+SUMPRODUCT(-('Diário 8º PA'!$E$5:$E$2488='Analítico Cp.'!$B111),-('Diário 8º PA'!$Q$5:$Q$2488=C$1),('Diário 8º PA'!$F$5:$F$2488))
+SUMPRODUCT(-('Comp.'!$D$5:$D$313='Analítico Cp.'!$B111),-('Comp.'!$R$5:$R$313=C$1),('Comp.'!$E$5:$E$313))</f>
        <v>0</v>
      </c>
      <c r="D111" s="185">
        <f>SUMPRODUCT(-('Diário 5º PA'!$E$5:$E$2634='Analítico Cp.'!$B111),-('Diário 5º PA'!$Q$5:$Q$2634=D$1),('Diário 5º PA'!$F$5:$F$2634))
+SUMPRODUCT(-('Diário 6º PA'!$E$5:$E$2246='Analítico Cp.'!$B111),-('Diário 6º PA'!$Q$5:$Q$2246=D$1),('Diário 6º PA'!$F$5:$F$2246))
+SUMPRODUCT(-('Diário 7º PA'!$E$5:$E$2271='Analítico Cp.'!$B111),-('Diário 7º PA'!$Q$5:$Q$2271=D$1),('Diário 7º PA'!$F$5:$F$2271))
+SUMPRODUCT(-('Diário 8º PA'!$E$5:$E$2488='Analítico Cp.'!$B111),-('Diário 8º PA'!$Q$5:$Q$2488=D$1),('Diário 8º PA'!$F$5:$F$2488))
+SUMPRODUCT(-('Comp.'!$D$5:$D$313='Analítico Cp.'!$B111),-('Comp.'!$R$5:$R$313=D$1),('Comp.'!$E$5:$E$313))</f>
        <v>0</v>
      </c>
      <c r="E111" s="185">
        <f>SUMPRODUCT(-('Diário 5º PA'!$E$5:$E$2634='Analítico Cp.'!$B111),-('Diário 5º PA'!$Q$5:$Q$2634=E$1),('Diário 5º PA'!$F$5:$F$2634))
+SUMPRODUCT(-('Diário 6º PA'!$E$5:$E$2246='Analítico Cp.'!$B111),-('Diário 6º PA'!$Q$5:$Q$2246=E$1),('Diário 6º PA'!$F$5:$F$2246))
+SUMPRODUCT(-('Diário 7º PA'!$E$5:$E$2271='Analítico Cp.'!$B111),-('Diário 7º PA'!$Q$5:$Q$2271=E$1),('Diário 7º PA'!$F$5:$F$2271))
+SUMPRODUCT(-('Diário 8º PA'!$E$5:$E$2488='Analítico Cp.'!$B111),-('Diário 8º PA'!$Q$5:$Q$2488=E$1),('Diário 8º PA'!$F$5:$F$2488))
+SUMPRODUCT(-('Comp.'!$D$5:$D$313='Analítico Cp.'!$B111),-('Comp.'!$R$5:$R$313=E$1),('Comp.'!$E$5:$E$313))</f>
        <v>0</v>
      </c>
      <c r="F111" s="185">
        <f>SUMPRODUCT(-('Diário 5º PA'!$E$5:$E$2634='Analítico Cp.'!$B111),-('Diário 5º PA'!$Q$5:$Q$2634=F$1),('Diário 5º PA'!$F$5:$F$2634))
+SUMPRODUCT(-('Diário 6º PA'!$E$5:$E$2246='Analítico Cp.'!$B111),-('Diário 6º PA'!$Q$5:$Q$2246=F$1),('Diário 6º PA'!$F$5:$F$2246))
+SUMPRODUCT(-('Diário 7º PA'!$E$5:$E$2271='Analítico Cp.'!$B111),-('Diário 7º PA'!$Q$5:$Q$2271=F$1),('Diário 7º PA'!$F$5:$F$2271))
+SUMPRODUCT(-('Diário 8º PA'!$E$5:$E$2488='Analítico Cp.'!$B111),-('Diário 8º PA'!$Q$5:$Q$2488=F$1),('Diário 8º PA'!$F$5:$F$2488))
+SUMPRODUCT(-('Comp.'!$D$5:$D$313='Analítico Cp.'!$B111),-('Comp.'!$R$5:$R$313=F$1),('Comp.'!$E$5:$E$313))</f>
        <v>0</v>
      </c>
      <c r="G111" s="185">
        <f>SUMPRODUCT(-('Diário 5º PA'!$E$5:$E$2634='Analítico Cp.'!$B111),-('Diário 5º PA'!$Q$5:$Q$2634=G$1),('Diário 5º PA'!$F$5:$F$2634))
+SUMPRODUCT(-('Diário 6º PA'!$E$5:$E$2246='Analítico Cp.'!$B111),-('Diário 6º PA'!$Q$5:$Q$2246=G$1),('Diário 6º PA'!$F$5:$F$2246))
+SUMPRODUCT(-('Diário 7º PA'!$E$5:$E$2271='Analítico Cp.'!$B111),-('Diário 7º PA'!$Q$5:$Q$2271=G$1),('Diário 7º PA'!$F$5:$F$2271))
+SUMPRODUCT(-('Diário 8º PA'!$E$5:$E$2488='Analítico Cp.'!$B111),-('Diário 8º PA'!$Q$5:$Q$2488=G$1),('Diário 8º PA'!$F$5:$F$2488))
+SUMPRODUCT(-('Comp.'!$D$5:$D$313='Analítico Cp.'!$B111),-('Comp.'!$R$5:$R$313=G$1),('Comp.'!$E$5:$E$313))</f>
        <v>0</v>
      </c>
      <c r="H111" s="185">
        <f>SUMPRODUCT(-('Diário 5º PA'!$E$5:$E$2634='Analítico Cp.'!$B111),-('Diário 5º PA'!$Q$5:$Q$2634=H$1),('Diário 5º PA'!$F$5:$F$2634))
+SUMPRODUCT(-('Diário 6º PA'!$E$5:$E$2246='Analítico Cp.'!$B111),-('Diário 6º PA'!$Q$5:$Q$2246=H$1),('Diário 6º PA'!$F$5:$F$2246))
+SUMPRODUCT(-('Diário 7º PA'!$E$5:$E$2271='Analítico Cp.'!$B111),-('Diário 7º PA'!$Q$5:$Q$2271=H$1),('Diário 7º PA'!$F$5:$F$2271))
+SUMPRODUCT(-('Diário 8º PA'!$E$5:$E$2488='Analítico Cp.'!$B111),-('Diário 8º PA'!$Q$5:$Q$2488=H$1),('Diário 8º PA'!$F$5:$F$2488))
+SUMPRODUCT(-('Comp.'!$D$5:$D$313='Analítico Cp.'!$B111),-('Comp.'!$R$5:$R$313=H$1),('Comp.'!$E$5:$E$313))</f>
        <v>0</v>
      </c>
      <c r="I111" s="185">
        <f>SUMPRODUCT(-('Diário 5º PA'!$E$5:$E$2634='Analítico Cp.'!$B111),-('Diário 5º PA'!$Q$5:$Q$2634=I$1),('Diário 5º PA'!$F$5:$F$2634))
+SUMPRODUCT(-('Diário 6º PA'!$E$5:$E$2246='Analítico Cp.'!$B111),-('Diário 6º PA'!$Q$5:$Q$2246=I$1),('Diário 6º PA'!$F$5:$F$2246))
+SUMPRODUCT(-('Diário 7º PA'!$E$5:$E$2271='Analítico Cp.'!$B111),-('Diário 7º PA'!$Q$5:$Q$2271=I$1),('Diário 7º PA'!$F$5:$F$2271))
+SUMPRODUCT(-('Diário 8º PA'!$E$5:$E$2488='Analítico Cp.'!$B111),-('Diário 8º PA'!$Q$5:$Q$2488=I$1),('Diário 8º PA'!$F$5:$F$2488))
+SUMPRODUCT(-('Comp.'!$D$5:$D$313='Analítico Cp.'!$B111),-('Comp.'!$R$5:$R$313=I$1),('Comp.'!$E$5:$E$313))</f>
        <v>0</v>
      </c>
      <c r="J111" s="185">
        <f>SUMPRODUCT(-('Diário 5º PA'!$E$5:$E$2634='Analítico Cp.'!$B111),-('Diário 5º PA'!$Q$5:$Q$2634=J$1),('Diário 5º PA'!$F$5:$F$2634))
+SUMPRODUCT(-('Diário 6º PA'!$E$5:$E$2246='Analítico Cp.'!$B111),-('Diário 6º PA'!$Q$5:$Q$2246=J$1),('Diário 6º PA'!$F$5:$F$2246))
+SUMPRODUCT(-('Diário 7º PA'!$E$5:$E$2271='Analítico Cp.'!$B111),-('Diário 7º PA'!$Q$5:$Q$2271=J$1),('Diário 7º PA'!$F$5:$F$2271))
+SUMPRODUCT(-('Diário 8º PA'!$E$5:$E$2488='Analítico Cp.'!$B111),-('Diário 8º PA'!$Q$5:$Q$2488=J$1),('Diário 8º PA'!$F$5:$F$2488))
+SUMPRODUCT(-('Comp.'!$D$5:$D$313='Analítico Cp.'!$B111),-('Comp.'!$R$5:$R$313=J$1),('Comp.'!$E$5:$E$313))</f>
        <v>0</v>
      </c>
      <c r="K111" s="185">
        <f>SUMPRODUCT(-('Diário 5º PA'!$E$5:$E$2634='Analítico Cp.'!$B111),-('Diário 5º PA'!$Q$5:$Q$2634=K$1),('Diário 5º PA'!$F$5:$F$2634))
+SUMPRODUCT(-('Diário 6º PA'!$E$5:$E$2246='Analítico Cp.'!$B111),-('Diário 6º PA'!$Q$5:$Q$2246=K$1),('Diário 6º PA'!$F$5:$F$2246))
+SUMPRODUCT(-('Diário 7º PA'!$E$5:$E$2271='Analítico Cp.'!$B111),-('Diário 7º PA'!$Q$5:$Q$2271=K$1),('Diário 7º PA'!$F$5:$F$2271))
+SUMPRODUCT(-('Diário 8º PA'!$E$5:$E$2488='Analítico Cp.'!$B111),-('Diário 8º PA'!$Q$5:$Q$2488=K$1),('Diário 8º PA'!$F$5:$F$2488))
+SUMPRODUCT(-('Comp.'!$D$5:$D$313='Analítico Cp.'!$B111),-('Comp.'!$R$5:$R$313=K$1),('Comp.'!$E$5:$E$313))</f>
        <v>0</v>
      </c>
      <c r="L111" s="185">
        <f>SUMPRODUCT(-('Diário 5º PA'!$E$5:$E$2634='Analítico Cp.'!$B111),-('Diário 5º PA'!$Q$5:$Q$2634=L$1),('Diário 5º PA'!$F$5:$F$2634))
+SUMPRODUCT(-('Diário 6º PA'!$E$5:$E$2246='Analítico Cp.'!$B111),-('Diário 6º PA'!$Q$5:$Q$2246=L$1),('Diário 6º PA'!$F$5:$F$2246))
+SUMPRODUCT(-('Diário 7º PA'!$E$5:$E$2271='Analítico Cp.'!$B111),-('Diário 7º PA'!$Q$5:$Q$2271=L$1),('Diário 7º PA'!$F$5:$F$2271))
+SUMPRODUCT(-('Diário 8º PA'!$E$5:$E$2488='Analítico Cp.'!$B111),-('Diário 8º PA'!$Q$5:$Q$2488=L$1),('Diário 8º PA'!$F$5:$F$2488))
+SUMPRODUCT(-('Comp.'!$D$5:$D$313='Analítico Cp.'!$B111),-('Comp.'!$R$5:$R$313=L$1),('Comp.'!$E$5:$E$313))</f>
        <v>0</v>
      </c>
      <c r="M111" s="185">
        <f>SUMPRODUCT(-('Diário 5º PA'!$E$5:$E$2634='Analítico Cp.'!$B111),-('Diário 5º PA'!$Q$5:$Q$2634=M$1),('Diário 5º PA'!$F$5:$F$2634))
+SUMPRODUCT(-('Diário 6º PA'!$E$5:$E$2246='Analítico Cp.'!$B111),-('Diário 6º PA'!$Q$5:$Q$2246=M$1),('Diário 6º PA'!$F$5:$F$2246))
+SUMPRODUCT(-('Diário 7º PA'!$E$5:$E$2271='Analítico Cp.'!$B111),-('Diário 7º PA'!$Q$5:$Q$2271=M$1),('Diário 7º PA'!$F$5:$F$2271))
+SUMPRODUCT(-('Diário 8º PA'!$E$5:$E$2488='Analítico Cp.'!$B111),-('Diário 8º PA'!$Q$5:$Q$2488=M$1),('Diário 8º PA'!$F$5:$F$2488))
+SUMPRODUCT(-('Comp.'!$D$5:$D$313='Analítico Cp.'!$B111),-('Comp.'!$R$5:$R$313=M$1),('Comp.'!$E$5:$E$313))</f>
        <v>0</v>
      </c>
      <c r="N111" s="185">
        <f>SUMPRODUCT(-('Diário 5º PA'!$E$5:$E$2634='Analítico Cp.'!$B111),-('Diário 5º PA'!$Q$5:$Q$2634=N$1),('Diário 5º PA'!$F$5:$F$2634))
+SUMPRODUCT(-('Diário 6º PA'!$E$5:$E$2246='Analítico Cp.'!$B111),-('Diário 6º PA'!$Q$5:$Q$2246=N$1),('Diário 6º PA'!$F$5:$F$2246))
+SUMPRODUCT(-('Diário 7º PA'!$E$5:$E$2271='Analítico Cp.'!$B111),-('Diário 7º PA'!$Q$5:$Q$2271=N$1),('Diário 7º PA'!$F$5:$F$2271))
+SUMPRODUCT(-('Diário 8º PA'!$E$5:$E$2488='Analítico Cp.'!$B111),-('Diário 8º PA'!$Q$5:$Q$2488=N$1),('Diário 8º PA'!$F$5:$F$2488))
+SUMPRODUCT(-('Comp.'!$D$5:$D$313='Analítico Cp.'!$B111),-('Comp.'!$R$5:$R$313=N$1),('Comp.'!$E$5:$E$313))</f>
        <v>0</v>
      </c>
      <c r="O111" s="186">
        <f t="shared" si="16"/>
        <v>0</v>
      </c>
      <c r="P111" s="187">
        <f t="shared" si="17"/>
        <v>0</v>
      </c>
      <c r="Q111" s="34"/>
      <c r="R111" s="34"/>
      <c r="S111" s="34"/>
      <c r="T111" s="34"/>
      <c r="U111" s="34"/>
      <c r="V111" s="34"/>
      <c r="W111" s="34"/>
      <c r="X111" s="34"/>
      <c r="Y111" s="34"/>
      <c r="Z111" s="34"/>
    </row>
    <row r="112" spans="1:26" ht="23.25" customHeight="1" x14ac:dyDescent="0.2">
      <c r="A112" s="203" t="s">
        <v>321</v>
      </c>
      <c r="B112" s="72" t="s">
        <v>322</v>
      </c>
      <c r="C112" s="185">
        <f>SUMPRODUCT(-('Diário 5º PA'!$E$5:$E$2634='Analítico Cp.'!$B112),-('Diário 5º PA'!$Q$5:$Q$2634=C$1),('Diário 5º PA'!$F$5:$F$2634))
+SUMPRODUCT(-('Diário 6º PA'!$E$5:$E$2246='Analítico Cp.'!$B112),-('Diário 6º PA'!$Q$5:$Q$2246=C$1),('Diário 6º PA'!$F$5:$F$2246))
+SUMPRODUCT(-('Diário 7º PA'!$E$5:$E$2271='Analítico Cp.'!$B112),-('Diário 7º PA'!$Q$5:$Q$2271=C$1),('Diário 7º PA'!$F$5:$F$2271))
+SUMPRODUCT(-('Diário 8º PA'!$E$5:$E$2488='Analítico Cp.'!$B112),-('Diário 8º PA'!$Q$5:$Q$2488=C$1),('Diário 8º PA'!$F$5:$F$2488))
+SUMPRODUCT(-('Comp.'!$D$5:$D$313='Analítico Cp.'!$B112),-('Comp.'!$R$5:$R$313=C$1),('Comp.'!$E$5:$E$313))</f>
        <v>0</v>
      </c>
      <c r="D112" s="185">
        <f>SUMPRODUCT(-('Diário 5º PA'!$E$5:$E$2634='Analítico Cp.'!$B112),-('Diário 5º PA'!$Q$5:$Q$2634=D$1),('Diário 5º PA'!$F$5:$F$2634))
+SUMPRODUCT(-('Diário 6º PA'!$E$5:$E$2246='Analítico Cp.'!$B112),-('Diário 6º PA'!$Q$5:$Q$2246=D$1),('Diário 6º PA'!$F$5:$F$2246))
+SUMPRODUCT(-('Diário 7º PA'!$E$5:$E$2271='Analítico Cp.'!$B112),-('Diário 7º PA'!$Q$5:$Q$2271=D$1),('Diário 7º PA'!$F$5:$F$2271))
+SUMPRODUCT(-('Diário 8º PA'!$E$5:$E$2488='Analítico Cp.'!$B112),-('Diário 8º PA'!$Q$5:$Q$2488=D$1),('Diário 8º PA'!$F$5:$F$2488))
+SUMPRODUCT(-('Comp.'!$D$5:$D$313='Analítico Cp.'!$B112),-('Comp.'!$R$5:$R$313=D$1),('Comp.'!$E$5:$E$313))</f>
        <v>0</v>
      </c>
      <c r="E112" s="185">
        <f>SUMPRODUCT(-('Diário 5º PA'!$E$5:$E$2634='Analítico Cp.'!$B112),-('Diário 5º PA'!$Q$5:$Q$2634=E$1),('Diário 5º PA'!$F$5:$F$2634))
+SUMPRODUCT(-('Diário 6º PA'!$E$5:$E$2246='Analítico Cp.'!$B112),-('Diário 6º PA'!$Q$5:$Q$2246=E$1),('Diário 6º PA'!$F$5:$F$2246))
+SUMPRODUCT(-('Diário 7º PA'!$E$5:$E$2271='Analítico Cp.'!$B112),-('Diário 7º PA'!$Q$5:$Q$2271=E$1),('Diário 7º PA'!$F$5:$F$2271))
+SUMPRODUCT(-('Diário 8º PA'!$E$5:$E$2488='Analítico Cp.'!$B112),-('Diário 8º PA'!$Q$5:$Q$2488=E$1),('Diário 8º PA'!$F$5:$F$2488))
+SUMPRODUCT(-('Comp.'!$D$5:$D$313='Analítico Cp.'!$B112),-('Comp.'!$R$5:$R$313=E$1),('Comp.'!$E$5:$E$313))</f>
        <v>0</v>
      </c>
      <c r="F112" s="185">
        <f>SUMPRODUCT(-('Diário 5º PA'!$E$5:$E$2634='Analítico Cp.'!$B112),-('Diário 5º PA'!$Q$5:$Q$2634=F$1),('Diário 5º PA'!$F$5:$F$2634))
+SUMPRODUCT(-('Diário 6º PA'!$E$5:$E$2246='Analítico Cp.'!$B112),-('Diário 6º PA'!$Q$5:$Q$2246=F$1),('Diário 6º PA'!$F$5:$F$2246))
+SUMPRODUCT(-('Diário 7º PA'!$E$5:$E$2271='Analítico Cp.'!$B112),-('Diário 7º PA'!$Q$5:$Q$2271=F$1),('Diário 7º PA'!$F$5:$F$2271))
+SUMPRODUCT(-('Diário 8º PA'!$E$5:$E$2488='Analítico Cp.'!$B112),-('Diário 8º PA'!$Q$5:$Q$2488=F$1),('Diário 8º PA'!$F$5:$F$2488))
+SUMPRODUCT(-('Comp.'!$D$5:$D$313='Analítico Cp.'!$B112),-('Comp.'!$R$5:$R$313=F$1),('Comp.'!$E$5:$E$313))</f>
        <v>0</v>
      </c>
      <c r="G112" s="185">
        <f>SUMPRODUCT(-('Diário 5º PA'!$E$5:$E$2634='Analítico Cp.'!$B112),-('Diário 5º PA'!$Q$5:$Q$2634=G$1),('Diário 5º PA'!$F$5:$F$2634))
+SUMPRODUCT(-('Diário 6º PA'!$E$5:$E$2246='Analítico Cp.'!$B112),-('Diário 6º PA'!$Q$5:$Q$2246=G$1),('Diário 6º PA'!$F$5:$F$2246))
+SUMPRODUCT(-('Diário 7º PA'!$E$5:$E$2271='Analítico Cp.'!$B112),-('Diário 7º PA'!$Q$5:$Q$2271=G$1),('Diário 7º PA'!$F$5:$F$2271))
+SUMPRODUCT(-('Diário 8º PA'!$E$5:$E$2488='Analítico Cp.'!$B112),-('Diário 8º PA'!$Q$5:$Q$2488=G$1),('Diário 8º PA'!$F$5:$F$2488))
+SUMPRODUCT(-('Comp.'!$D$5:$D$313='Analítico Cp.'!$B112),-('Comp.'!$R$5:$R$313=G$1),('Comp.'!$E$5:$E$313))</f>
        <v>0</v>
      </c>
      <c r="H112" s="185">
        <f>SUMPRODUCT(-('Diário 5º PA'!$E$5:$E$2634='Analítico Cp.'!$B112),-('Diário 5º PA'!$Q$5:$Q$2634=H$1),('Diário 5º PA'!$F$5:$F$2634))
+SUMPRODUCT(-('Diário 6º PA'!$E$5:$E$2246='Analítico Cp.'!$B112),-('Diário 6º PA'!$Q$5:$Q$2246=H$1),('Diário 6º PA'!$F$5:$F$2246))
+SUMPRODUCT(-('Diário 7º PA'!$E$5:$E$2271='Analítico Cp.'!$B112),-('Diário 7º PA'!$Q$5:$Q$2271=H$1),('Diário 7º PA'!$F$5:$F$2271))
+SUMPRODUCT(-('Diário 8º PA'!$E$5:$E$2488='Analítico Cp.'!$B112),-('Diário 8º PA'!$Q$5:$Q$2488=H$1),('Diário 8º PA'!$F$5:$F$2488))
+SUMPRODUCT(-('Comp.'!$D$5:$D$313='Analítico Cp.'!$B112),-('Comp.'!$R$5:$R$313=H$1),('Comp.'!$E$5:$E$313))</f>
        <v>0</v>
      </c>
      <c r="I112" s="185">
        <f>SUMPRODUCT(-('Diário 5º PA'!$E$5:$E$2634='Analítico Cp.'!$B112),-('Diário 5º PA'!$Q$5:$Q$2634=I$1),('Diário 5º PA'!$F$5:$F$2634))
+SUMPRODUCT(-('Diário 6º PA'!$E$5:$E$2246='Analítico Cp.'!$B112),-('Diário 6º PA'!$Q$5:$Q$2246=I$1),('Diário 6º PA'!$F$5:$F$2246))
+SUMPRODUCT(-('Diário 7º PA'!$E$5:$E$2271='Analítico Cp.'!$B112),-('Diário 7º PA'!$Q$5:$Q$2271=I$1),('Diário 7º PA'!$F$5:$F$2271))
+SUMPRODUCT(-('Diário 8º PA'!$E$5:$E$2488='Analítico Cp.'!$B112),-('Diário 8º PA'!$Q$5:$Q$2488=I$1),('Diário 8º PA'!$F$5:$F$2488))
+SUMPRODUCT(-('Comp.'!$D$5:$D$313='Analítico Cp.'!$B112),-('Comp.'!$R$5:$R$313=I$1),('Comp.'!$E$5:$E$313))</f>
        <v>0</v>
      </c>
      <c r="J112" s="185">
        <f>SUMPRODUCT(-('Diário 5º PA'!$E$5:$E$2634='Analítico Cp.'!$B112),-('Diário 5º PA'!$Q$5:$Q$2634=J$1),('Diário 5º PA'!$F$5:$F$2634))
+SUMPRODUCT(-('Diário 6º PA'!$E$5:$E$2246='Analítico Cp.'!$B112),-('Diário 6º PA'!$Q$5:$Q$2246=J$1),('Diário 6º PA'!$F$5:$F$2246))
+SUMPRODUCT(-('Diário 7º PA'!$E$5:$E$2271='Analítico Cp.'!$B112),-('Diário 7º PA'!$Q$5:$Q$2271=J$1),('Diário 7º PA'!$F$5:$F$2271))
+SUMPRODUCT(-('Diário 8º PA'!$E$5:$E$2488='Analítico Cp.'!$B112),-('Diário 8º PA'!$Q$5:$Q$2488=J$1),('Diário 8º PA'!$F$5:$F$2488))
+SUMPRODUCT(-('Comp.'!$D$5:$D$313='Analítico Cp.'!$B112),-('Comp.'!$R$5:$R$313=J$1),('Comp.'!$E$5:$E$313))</f>
        <v>0</v>
      </c>
      <c r="K112" s="185">
        <f>SUMPRODUCT(-('Diário 5º PA'!$E$5:$E$2634='Analítico Cp.'!$B112),-('Diário 5º PA'!$Q$5:$Q$2634=K$1),('Diário 5º PA'!$F$5:$F$2634))
+SUMPRODUCT(-('Diário 6º PA'!$E$5:$E$2246='Analítico Cp.'!$B112),-('Diário 6º PA'!$Q$5:$Q$2246=K$1),('Diário 6º PA'!$F$5:$F$2246))
+SUMPRODUCT(-('Diário 7º PA'!$E$5:$E$2271='Analítico Cp.'!$B112),-('Diário 7º PA'!$Q$5:$Q$2271=K$1),('Diário 7º PA'!$F$5:$F$2271))
+SUMPRODUCT(-('Diário 8º PA'!$E$5:$E$2488='Analítico Cp.'!$B112),-('Diário 8º PA'!$Q$5:$Q$2488=K$1),('Diário 8º PA'!$F$5:$F$2488))
+SUMPRODUCT(-('Comp.'!$D$5:$D$313='Analítico Cp.'!$B112),-('Comp.'!$R$5:$R$313=K$1),('Comp.'!$E$5:$E$313))</f>
        <v>0</v>
      </c>
      <c r="L112" s="185">
        <f>SUMPRODUCT(-('Diário 5º PA'!$E$5:$E$2634='Analítico Cp.'!$B112),-('Diário 5º PA'!$Q$5:$Q$2634=L$1),('Diário 5º PA'!$F$5:$F$2634))
+SUMPRODUCT(-('Diário 6º PA'!$E$5:$E$2246='Analítico Cp.'!$B112),-('Diário 6º PA'!$Q$5:$Q$2246=L$1),('Diário 6º PA'!$F$5:$F$2246))
+SUMPRODUCT(-('Diário 7º PA'!$E$5:$E$2271='Analítico Cp.'!$B112),-('Diário 7º PA'!$Q$5:$Q$2271=L$1),('Diário 7º PA'!$F$5:$F$2271))
+SUMPRODUCT(-('Diário 8º PA'!$E$5:$E$2488='Analítico Cp.'!$B112),-('Diário 8º PA'!$Q$5:$Q$2488=L$1),('Diário 8º PA'!$F$5:$F$2488))
+SUMPRODUCT(-('Comp.'!$D$5:$D$313='Analítico Cp.'!$B112),-('Comp.'!$R$5:$R$313=L$1),('Comp.'!$E$5:$E$313))</f>
        <v>0</v>
      </c>
      <c r="M112" s="185">
        <f>SUMPRODUCT(-('Diário 5º PA'!$E$5:$E$2634='Analítico Cp.'!$B112),-('Diário 5º PA'!$Q$5:$Q$2634=M$1),('Diário 5º PA'!$F$5:$F$2634))
+SUMPRODUCT(-('Diário 6º PA'!$E$5:$E$2246='Analítico Cp.'!$B112),-('Diário 6º PA'!$Q$5:$Q$2246=M$1),('Diário 6º PA'!$F$5:$F$2246))
+SUMPRODUCT(-('Diário 7º PA'!$E$5:$E$2271='Analítico Cp.'!$B112),-('Diário 7º PA'!$Q$5:$Q$2271=M$1),('Diário 7º PA'!$F$5:$F$2271))
+SUMPRODUCT(-('Diário 8º PA'!$E$5:$E$2488='Analítico Cp.'!$B112),-('Diário 8º PA'!$Q$5:$Q$2488=M$1),('Diário 8º PA'!$F$5:$F$2488))
+SUMPRODUCT(-('Comp.'!$D$5:$D$313='Analítico Cp.'!$B112),-('Comp.'!$R$5:$R$313=M$1),('Comp.'!$E$5:$E$313))</f>
        <v>0</v>
      </c>
      <c r="N112" s="185">
        <f>SUMPRODUCT(-('Diário 5º PA'!$E$5:$E$2634='Analítico Cp.'!$B112),-('Diário 5º PA'!$Q$5:$Q$2634=N$1),('Diário 5º PA'!$F$5:$F$2634))
+SUMPRODUCT(-('Diário 6º PA'!$E$5:$E$2246='Analítico Cp.'!$B112),-('Diário 6º PA'!$Q$5:$Q$2246=N$1),('Diário 6º PA'!$F$5:$F$2246))
+SUMPRODUCT(-('Diário 7º PA'!$E$5:$E$2271='Analítico Cp.'!$B112),-('Diário 7º PA'!$Q$5:$Q$2271=N$1),('Diário 7º PA'!$F$5:$F$2271))
+SUMPRODUCT(-('Diário 8º PA'!$E$5:$E$2488='Analítico Cp.'!$B112),-('Diário 8º PA'!$Q$5:$Q$2488=N$1),('Diário 8º PA'!$F$5:$F$2488))
+SUMPRODUCT(-('Comp.'!$D$5:$D$313='Analítico Cp.'!$B112),-('Comp.'!$R$5:$R$313=N$1),('Comp.'!$E$5:$E$313))</f>
        <v>0</v>
      </c>
      <c r="O112" s="186">
        <f t="shared" si="16"/>
        <v>0</v>
      </c>
      <c r="P112" s="187">
        <f t="shared" si="17"/>
        <v>0</v>
      </c>
      <c r="Q112" s="34"/>
      <c r="R112" s="34"/>
      <c r="S112" s="34"/>
      <c r="T112" s="34"/>
      <c r="U112" s="34"/>
      <c r="V112" s="34"/>
      <c r="W112" s="34"/>
      <c r="X112" s="34"/>
      <c r="Y112" s="34"/>
      <c r="Z112" s="34"/>
    </row>
    <row r="113" spans="1:26" ht="23.25" customHeight="1" x14ac:dyDescent="0.2">
      <c r="A113" s="203" t="s">
        <v>323</v>
      </c>
      <c r="B113" s="72" t="s">
        <v>324</v>
      </c>
      <c r="C113" s="185">
        <f>SUMPRODUCT(-('Diário 5º PA'!$E$5:$E$2634='Analítico Cp.'!$B113),-('Diário 5º PA'!$Q$5:$Q$2634=C$1),('Diário 5º PA'!$F$5:$F$2634))
+SUMPRODUCT(-('Diário 6º PA'!$E$5:$E$2246='Analítico Cp.'!$B113),-('Diário 6º PA'!$Q$5:$Q$2246=C$1),('Diário 6º PA'!$F$5:$F$2246))
+SUMPRODUCT(-('Diário 7º PA'!$E$5:$E$2271='Analítico Cp.'!$B113),-('Diário 7º PA'!$Q$5:$Q$2271=C$1),('Diário 7º PA'!$F$5:$F$2271))
+SUMPRODUCT(-('Diário 8º PA'!$E$5:$E$2488='Analítico Cp.'!$B113),-('Diário 8º PA'!$Q$5:$Q$2488=C$1),('Diário 8º PA'!$F$5:$F$2488))
+SUMPRODUCT(-('Comp.'!$D$5:$D$313='Analítico Cp.'!$B113),-('Comp.'!$R$5:$R$313=C$1),('Comp.'!$E$5:$E$313))</f>
        <v>0</v>
      </c>
      <c r="D113" s="185">
        <f>SUMPRODUCT(-('Diário 5º PA'!$E$5:$E$2634='Analítico Cp.'!$B113),-('Diário 5º PA'!$Q$5:$Q$2634=D$1),('Diário 5º PA'!$F$5:$F$2634))
+SUMPRODUCT(-('Diário 6º PA'!$E$5:$E$2246='Analítico Cp.'!$B113),-('Diário 6º PA'!$Q$5:$Q$2246=D$1),('Diário 6º PA'!$F$5:$F$2246))
+SUMPRODUCT(-('Diário 7º PA'!$E$5:$E$2271='Analítico Cp.'!$B113),-('Diário 7º PA'!$Q$5:$Q$2271=D$1),('Diário 7º PA'!$F$5:$F$2271))
+SUMPRODUCT(-('Diário 8º PA'!$E$5:$E$2488='Analítico Cp.'!$B113),-('Diário 8º PA'!$Q$5:$Q$2488=D$1),('Diário 8º PA'!$F$5:$F$2488))
+SUMPRODUCT(-('Comp.'!$D$5:$D$313='Analítico Cp.'!$B113),-('Comp.'!$R$5:$R$313=D$1),('Comp.'!$E$5:$E$313))</f>
        <v>0</v>
      </c>
      <c r="E113" s="185">
        <f>SUMPRODUCT(-('Diário 5º PA'!$E$5:$E$2634='Analítico Cp.'!$B113),-('Diário 5º PA'!$Q$5:$Q$2634=E$1),('Diário 5º PA'!$F$5:$F$2634))
+SUMPRODUCT(-('Diário 6º PA'!$E$5:$E$2246='Analítico Cp.'!$B113),-('Diário 6º PA'!$Q$5:$Q$2246=E$1),('Diário 6º PA'!$F$5:$F$2246))
+SUMPRODUCT(-('Diário 7º PA'!$E$5:$E$2271='Analítico Cp.'!$B113),-('Diário 7º PA'!$Q$5:$Q$2271=E$1),('Diário 7º PA'!$F$5:$F$2271))
+SUMPRODUCT(-('Diário 8º PA'!$E$5:$E$2488='Analítico Cp.'!$B113),-('Diário 8º PA'!$Q$5:$Q$2488=E$1),('Diário 8º PA'!$F$5:$F$2488))
+SUMPRODUCT(-('Comp.'!$D$5:$D$313='Analítico Cp.'!$B113),-('Comp.'!$R$5:$R$313=E$1),('Comp.'!$E$5:$E$313))</f>
        <v>0</v>
      </c>
      <c r="F113" s="185">
        <f>SUMPRODUCT(-('Diário 5º PA'!$E$5:$E$2634='Analítico Cp.'!$B113),-('Diário 5º PA'!$Q$5:$Q$2634=F$1),('Diário 5º PA'!$F$5:$F$2634))
+SUMPRODUCT(-('Diário 6º PA'!$E$5:$E$2246='Analítico Cp.'!$B113),-('Diário 6º PA'!$Q$5:$Q$2246=F$1),('Diário 6º PA'!$F$5:$F$2246))
+SUMPRODUCT(-('Diário 7º PA'!$E$5:$E$2271='Analítico Cp.'!$B113),-('Diário 7º PA'!$Q$5:$Q$2271=F$1),('Diário 7º PA'!$F$5:$F$2271))
+SUMPRODUCT(-('Diário 8º PA'!$E$5:$E$2488='Analítico Cp.'!$B113),-('Diário 8º PA'!$Q$5:$Q$2488=F$1),('Diário 8º PA'!$F$5:$F$2488))
+SUMPRODUCT(-('Comp.'!$D$5:$D$313='Analítico Cp.'!$B113),-('Comp.'!$R$5:$R$313=F$1),('Comp.'!$E$5:$E$313))</f>
        <v>0</v>
      </c>
      <c r="G113" s="185">
        <f>SUMPRODUCT(-('Diário 5º PA'!$E$5:$E$2634='Analítico Cp.'!$B113),-('Diário 5º PA'!$Q$5:$Q$2634=G$1),('Diário 5º PA'!$F$5:$F$2634))
+SUMPRODUCT(-('Diário 6º PA'!$E$5:$E$2246='Analítico Cp.'!$B113),-('Diário 6º PA'!$Q$5:$Q$2246=G$1),('Diário 6º PA'!$F$5:$F$2246))
+SUMPRODUCT(-('Diário 7º PA'!$E$5:$E$2271='Analítico Cp.'!$B113),-('Diário 7º PA'!$Q$5:$Q$2271=G$1),('Diário 7º PA'!$F$5:$F$2271))
+SUMPRODUCT(-('Diário 8º PA'!$E$5:$E$2488='Analítico Cp.'!$B113),-('Diário 8º PA'!$Q$5:$Q$2488=G$1),('Diário 8º PA'!$F$5:$F$2488))
+SUMPRODUCT(-('Comp.'!$D$5:$D$313='Analítico Cp.'!$B113),-('Comp.'!$R$5:$R$313=G$1),('Comp.'!$E$5:$E$313))</f>
        <v>0</v>
      </c>
      <c r="H113" s="185">
        <f>SUMPRODUCT(-('Diário 5º PA'!$E$5:$E$2634='Analítico Cp.'!$B113),-('Diário 5º PA'!$Q$5:$Q$2634=H$1),('Diário 5º PA'!$F$5:$F$2634))
+SUMPRODUCT(-('Diário 6º PA'!$E$5:$E$2246='Analítico Cp.'!$B113),-('Diário 6º PA'!$Q$5:$Q$2246=H$1),('Diário 6º PA'!$F$5:$F$2246))
+SUMPRODUCT(-('Diário 7º PA'!$E$5:$E$2271='Analítico Cp.'!$B113),-('Diário 7º PA'!$Q$5:$Q$2271=H$1),('Diário 7º PA'!$F$5:$F$2271))
+SUMPRODUCT(-('Diário 8º PA'!$E$5:$E$2488='Analítico Cp.'!$B113),-('Diário 8º PA'!$Q$5:$Q$2488=H$1),('Diário 8º PA'!$F$5:$F$2488))
+SUMPRODUCT(-('Comp.'!$D$5:$D$313='Analítico Cp.'!$B113),-('Comp.'!$R$5:$R$313=H$1),('Comp.'!$E$5:$E$313))</f>
        <v>2765.39</v>
      </c>
      <c r="I113" s="185">
        <f>SUMPRODUCT(-('Diário 5º PA'!$E$5:$E$2634='Analítico Cp.'!$B113),-('Diário 5º PA'!$Q$5:$Q$2634=I$1),('Diário 5º PA'!$F$5:$F$2634))
+SUMPRODUCT(-('Diário 6º PA'!$E$5:$E$2246='Analítico Cp.'!$B113),-('Diário 6º PA'!$Q$5:$Q$2246=I$1),('Diário 6º PA'!$F$5:$F$2246))
+SUMPRODUCT(-('Diário 7º PA'!$E$5:$E$2271='Analítico Cp.'!$B113),-('Diário 7º PA'!$Q$5:$Q$2271=I$1),('Diário 7º PA'!$F$5:$F$2271))
+SUMPRODUCT(-('Diário 8º PA'!$E$5:$E$2488='Analítico Cp.'!$B113),-('Diário 8º PA'!$Q$5:$Q$2488=I$1),('Diário 8º PA'!$F$5:$F$2488))
+SUMPRODUCT(-('Comp.'!$D$5:$D$313='Analítico Cp.'!$B113),-('Comp.'!$R$5:$R$313=I$1),('Comp.'!$E$5:$E$313))</f>
        <v>0</v>
      </c>
      <c r="J113" s="185">
        <f>SUMPRODUCT(-('Diário 5º PA'!$E$5:$E$2634='Analítico Cp.'!$B113),-('Diário 5º PA'!$Q$5:$Q$2634=J$1),('Diário 5º PA'!$F$5:$F$2634))
+SUMPRODUCT(-('Diário 6º PA'!$E$5:$E$2246='Analítico Cp.'!$B113),-('Diário 6º PA'!$Q$5:$Q$2246=J$1),('Diário 6º PA'!$F$5:$F$2246))
+SUMPRODUCT(-('Diário 7º PA'!$E$5:$E$2271='Analítico Cp.'!$B113),-('Diário 7º PA'!$Q$5:$Q$2271=J$1),('Diário 7º PA'!$F$5:$F$2271))
+SUMPRODUCT(-('Diário 8º PA'!$E$5:$E$2488='Analítico Cp.'!$B113),-('Diário 8º PA'!$Q$5:$Q$2488=J$1),('Diário 8º PA'!$F$5:$F$2488))
+SUMPRODUCT(-('Comp.'!$D$5:$D$313='Analítico Cp.'!$B113),-('Comp.'!$R$5:$R$313=J$1),('Comp.'!$E$5:$E$313))</f>
        <v>0</v>
      </c>
      <c r="K113" s="185">
        <f>SUMPRODUCT(-('Diário 5º PA'!$E$5:$E$2634='Analítico Cp.'!$B113),-('Diário 5º PA'!$Q$5:$Q$2634=K$1),('Diário 5º PA'!$F$5:$F$2634))
+SUMPRODUCT(-('Diário 6º PA'!$E$5:$E$2246='Analítico Cp.'!$B113),-('Diário 6º PA'!$Q$5:$Q$2246=K$1),('Diário 6º PA'!$F$5:$F$2246))
+SUMPRODUCT(-('Diário 7º PA'!$E$5:$E$2271='Analítico Cp.'!$B113),-('Diário 7º PA'!$Q$5:$Q$2271=K$1),('Diário 7º PA'!$F$5:$F$2271))
+SUMPRODUCT(-('Diário 8º PA'!$E$5:$E$2488='Analítico Cp.'!$B113),-('Diário 8º PA'!$Q$5:$Q$2488=K$1),('Diário 8º PA'!$F$5:$F$2488))
+SUMPRODUCT(-('Comp.'!$D$5:$D$313='Analítico Cp.'!$B113),-('Comp.'!$R$5:$R$313=K$1),('Comp.'!$E$5:$E$313))</f>
        <v>0</v>
      </c>
      <c r="L113" s="185">
        <f>SUMPRODUCT(-('Diário 5º PA'!$E$5:$E$2634='Analítico Cp.'!$B113),-('Diário 5º PA'!$Q$5:$Q$2634=L$1),('Diário 5º PA'!$F$5:$F$2634))
+SUMPRODUCT(-('Diário 6º PA'!$E$5:$E$2246='Analítico Cp.'!$B113),-('Diário 6º PA'!$Q$5:$Q$2246=L$1),('Diário 6º PA'!$F$5:$F$2246))
+SUMPRODUCT(-('Diário 7º PA'!$E$5:$E$2271='Analítico Cp.'!$B113),-('Diário 7º PA'!$Q$5:$Q$2271=L$1),('Diário 7º PA'!$F$5:$F$2271))
+SUMPRODUCT(-('Diário 8º PA'!$E$5:$E$2488='Analítico Cp.'!$B113),-('Diário 8º PA'!$Q$5:$Q$2488=L$1),('Diário 8º PA'!$F$5:$F$2488))
+SUMPRODUCT(-('Comp.'!$D$5:$D$313='Analítico Cp.'!$B113),-('Comp.'!$R$5:$R$313=L$1),('Comp.'!$E$5:$E$313))</f>
        <v>0</v>
      </c>
      <c r="M113" s="185">
        <f>SUMPRODUCT(-('Diário 5º PA'!$E$5:$E$2634='Analítico Cp.'!$B113),-('Diário 5º PA'!$Q$5:$Q$2634=M$1),('Diário 5º PA'!$F$5:$F$2634))
+SUMPRODUCT(-('Diário 6º PA'!$E$5:$E$2246='Analítico Cp.'!$B113),-('Diário 6º PA'!$Q$5:$Q$2246=M$1),('Diário 6º PA'!$F$5:$F$2246))
+SUMPRODUCT(-('Diário 7º PA'!$E$5:$E$2271='Analítico Cp.'!$B113),-('Diário 7º PA'!$Q$5:$Q$2271=M$1),('Diário 7º PA'!$F$5:$F$2271))
+SUMPRODUCT(-('Diário 8º PA'!$E$5:$E$2488='Analítico Cp.'!$B113),-('Diário 8º PA'!$Q$5:$Q$2488=M$1),('Diário 8º PA'!$F$5:$F$2488))
+SUMPRODUCT(-('Comp.'!$D$5:$D$313='Analítico Cp.'!$B113),-('Comp.'!$R$5:$R$313=M$1),('Comp.'!$E$5:$E$313))</f>
        <v>0</v>
      </c>
      <c r="N113" s="185">
        <f>SUMPRODUCT(-('Diário 5º PA'!$E$5:$E$2634='Analítico Cp.'!$B113),-('Diário 5º PA'!$Q$5:$Q$2634=N$1),('Diário 5º PA'!$F$5:$F$2634))
+SUMPRODUCT(-('Diário 6º PA'!$E$5:$E$2246='Analítico Cp.'!$B113),-('Diário 6º PA'!$Q$5:$Q$2246=N$1),('Diário 6º PA'!$F$5:$F$2246))
+SUMPRODUCT(-('Diário 7º PA'!$E$5:$E$2271='Analítico Cp.'!$B113),-('Diário 7º PA'!$Q$5:$Q$2271=N$1),('Diário 7º PA'!$F$5:$F$2271))
+SUMPRODUCT(-('Diário 8º PA'!$E$5:$E$2488='Analítico Cp.'!$B113),-('Diário 8º PA'!$Q$5:$Q$2488=N$1),('Diário 8º PA'!$F$5:$F$2488))
+SUMPRODUCT(-('Comp.'!$D$5:$D$313='Analítico Cp.'!$B113),-('Comp.'!$R$5:$R$313=N$1),('Comp.'!$E$5:$E$313))</f>
        <v>0</v>
      </c>
      <c r="O113" s="186">
        <f t="shared" si="16"/>
        <v>2765.39</v>
      </c>
      <c r="P113" s="187">
        <f t="shared" si="17"/>
        <v>2.8523935257476128E-4</v>
      </c>
      <c r="Q113" s="34"/>
      <c r="R113" s="34"/>
      <c r="S113" s="34"/>
      <c r="T113" s="34"/>
      <c r="U113" s="34"/>
      <c r="V113" s="34"/>
      <c r="W113" s="34"/>
      <c r="X113" s="34"/>
      <c r="Y113" s="34"/>
      <c r="Z113" s="34"/>
    </row>
    <row r="114" spans="1:26" ht="23.25" customHeight="1" x14ac:dyDescent="0.2">
      <c r="A114" s="203" t="s">
        <v>325</v>
      </c>
      <c r="B114" s="72" t="s">
        <v>326</v>
      </c>
      <c r="C114" s="185">
        <f>SUMPRODUCT(-('Diário 5º PA'!$E$5:$E$2634='Analítico Cp.'!$B114),-('Diário 5º PA'!$Q$5:$Q$2634=C$1),('Diário 5º PA'!$F$5:$F$2634))
+SUMPRODUCT(-('Diário 6º PA'!$E$5:$E$2246='Analítico Cp.'!$B114),-('Diário 6º PA'!$Q$5:$Q$2246=C$1),('Diário 6º PA'!$F$5:$F$2246))
+SUMPRODUCT(-('Diário 7º PA'!$E$5:$E$2271='Analítico Cp.'!$B114),-('Diário 7º PA'!$Q$5:$Q$2271=C$1),('Diário 7º PA'!$F$5:$F$2271))
+SUMPRODUCT(-('Diário 8º PA'!$E$5:$E$2488='Analítico Cp.'!$B114),-('Diário 8º PA'!$Q$5:$Q$2488=C$1),('Diário 8º PA'!$F$5:$F$2488))
+SUMPRODUCT(-('Comp.'!$D$5:$D$313='Analítico Cp.'!$B114),-('Comp.'!$R$5:$R$313=C$1),('Comp.'!$E$5:$E$313))</f>
        <v>0</v>
      </c>
      <c r="D114" s="185">
        <f>SUMPRODUCT(-('Diário 5º PA'!$E$5:$E$2634='Analítico Cp.'!$B114),-('Diário 5º PA'!$Q$5:$Q$2634=D$1),('Diário 5º PA'!$F$5:$F$2634))
+SUMPRODUCT(-('Diário 6º PA'!$E$5:$E$2246='Analítico Cp.'!$B114),-('Diário 6º PA'!$Q$5:$Q$2246=D$1),('Diário 6º PA'!$F$5:$F$2246))
+SUMPRODUCT(-('Diário 7º PA'!$E$5:$E$2271='Analítico Cp.'!$B114),-('Diário 7º PA'!$Q$5:$Q$2271=D$1),('Diário 7º PA'!$F$5:$F$2271))
+SUMPRODUCT(-('Diário 8º PA'!$E$5:$E$2488='Analítico Cp.'!$B114),-('Diário 8º PA'!$Q$5:$Q$2488=D$1),('Diário 8º PA'!$F$5:$F$2488))
+SUMPRODUCT(-('Comp.'!$D$5:$D$313='Analítico Cp.'!$B114),-('Comp.'!$R$5:$R$313=D$1),('Comp.'!$E$5:$E$313))</f>
        <v>0</v>
      </c>
      <c r="E114" s="185">
        <f>SUMPRODUCT(-('Diário 5º PA'!$E$5:$E$2634='Analítico Cp.'!$B114),-('Diário 5º PA'!$Q$5:$Q$2634=E$1),('Diário 5º PA'!$F$5:$F$2634))
+SUMPRODUCT(-('Diário 6º PA'!$E$5:$E$2246='Analítico Cp.'!$B114),-('Diário 6º PA'!$Q$5:$Q$2246=E$1),('Diário 6º PA'!$F$5:$F$2246))
+SUMPRODUCT(-('Diário 7º PA'!$E$5:$E$2271='Analítico Cp.'!$B114),-('Diário 7º PA'!$Q$5:$Q$2271=E$1),('Diário 7º PA'!$F$5:$F$2271))
+SUMPRODUCT(-('Diário 8º PA'!$E$5:$E$2488='Analítico Cp.'!$B114),-('Diário 8º PA'!$Q$5:$Q$2488=E$1),('Diário 8º PA'!$F$5:$F$2488))
+SUMPRODUCT(-('Comp.'!$D$5:$D$313='Analítico Cp.'!$B114),-('Comp.'!$R$5:$R$313=E$1),('Comp.'!$E$5:$E$313))</f>
        <v>0</v>
      </c>
      <c r="F114" s="185">
        <f>SUMPRODUCT(-('Diário 5º PA'!$E$5:$E$2634='Analítico Cp.'!$B114),-('Diário 5º PA'!$Q$5:$Q$2634=F$1),('Diário 5º PA'!$F$5:$F$2634))
+SUMPRODUCT(-('Diário 6º PA'!$E$5:$E$2246='Analítico Cp.'!$B114),-('Diário 6º PA'!$Q$5:$Q$2246=F$1),('Diário 6º PA'!$F$5:$F$2246))
+SUMPRODUCT(-('Diário 7º PA'!$E$5:$E$2271='Analítico Cp.'!$B114),-('Diário 7º PA'!$Q$5:$Q$2271=F$1),('Diário 7º PA'!$F$5:$F$2271))
+SUMPRODUCT(-('Diário 8º PA'!$E$5:$E$2488='Analítico Cp.'!$B114),-('Diário 8º PA'!$Q$5:$Q$2488=F$1),('Diário 8º PA'!$F$5:$F$2488))
+SUMPRODUCT(-('Comp.'!$D$5:$D$313='Analítico Cp.'!$B114),-('Comp.'!$R$5:$R$313=F$1),('Comp.'!$E$5:$E$313))</f>
        <v>0</v>
      </c>
      <c r="G114" s="185">
        <f>SUMPRODUCT(-('Diário 5º PA'!$E$5:$E$2634='Analítico Cp.'!$B114),-('Diário 5º PA'!$Q$5:$Q$2634=G$1),('Diário 5º PA'!$F$5:$F$2634))
+SUMPRODUCT(-('Diário 6º PA'!$E$5:$E$2246='Analítico Cp.'!$B114),-('Diário 6º PA'!$Q$5:$Q$2246=G$1),('Diário 6º PA'!$F$5:$F$2246))
+SUMPRODUCT(-('Diário 7º PA'!$E$5:$E$2271='Analítico Cp.'!$B114),-('Diário 7º PA'!$Q$5:$Q$2271=G$1),('Diário 7º PA'!$F$5:$F$2271))
+SUMPRODUCT(-('Diário 8º PA'!$E$5:$E$2488='Analítico Cp.'!$B114),-('Diário 8º PA'!$Q$5:$Q$2488=G$1),('Diário 8º PA'!$F$5:$F$2488))
+SUMPRODUCT(-('Comp.'!$D$5:$D$313='Analítico Cp.'!$B114),-('Comp.'!$R$5:$R$313=G$1),('Comp.'!$E$5:$E$313))</f>
        <v>0</v>
      </c>
      <c r="H114" s="185">
        <f>SUMPRODUCT(-('Diário 5º PA'!$E$5:$E$2634='Analítico Cp.'!$B114),-('Diário 5º PA'!$Q$5:$Q$2634=H$1),('Diário 5º PA'!$F$5:$F$2634))
+SUMPRODUCT(-('Diário 6º PA'!$E$5:$E$2246='Analítico Cp.'!$B114),-('Diário 6º PA'!$Q$5:$Q$2246=H$1),('Diário 6º PA'!$F$5:$F$2246))
+SUMPRODUCT(-('Diário 7º PA'!$E$5:$E$2271='Analítico Cp.'!$B114),-('Diário 7º PA'!$Q$5:$Q$2271=H$1),('Diário 7º PA'!$F$5:$F$2271))
+SUMPRODUCT(-('Diário 8º PA'!$E$5:$E$2488='Analítico Cp.'!$B114),-('Diário 8º PA'!$Q$5:$Q$2488=H$1),('Diário 8º PA'!$F$5:$F$2488))
+SUMPRODUCT(-('Comp.'!$D$5:$D$313='Analítico Cp.'!$B114),-('Comp.'!$R$5:$R$313=H$1),('Comp.'!$E$5:$E$313))</f>
        <v>0</v>
      </c>
      <c r="I114" s="185">
        <f>SUMPRODUCT(-('Diário 5º PA'!$E$5:$E$2634='Analítico Cp.'!$B114),-('Diário 5º PA'!$Q$5:$Q$2634=I$1),('Diário 5º PA'!$F$5:$F$2634))
+SUMPRODUCT(-('Diário 6º PA'!$E$5:$E$2246='Analítico Cp.'!$B114),-('Diário 6º PA'!$Q$5:$Q$2246=I$1),('Diário 6º PA'!$F$5:$F$2246))
+SUMPRODUCT(-('Diário 7º PA'!$E$5:$E$2271='Analítico Cp.'!$B114),-('Diário 7º PA'!$Q$5:$Q$2271=I$1),('Diário 7º PA'!$F$5:$F$2271))
+SUMPRODUCT(-('Diário 8º PA'!$E$5:$E$2488='Analítico Cp.'!$B114),-('Diário 8º PA'!$Q$5:$Q$2488=I$1),('Diário 8º PA'!$F$5:$F$2488))
+SUMPRODUCT(-('Comp.'!$D$5:$D$313='Analítico Cp.'!$B114),-('Comp.'!$R$5:$R$313=I$1),('Comp.'!$E$5:$E$313))</f>
        <v>0</v>
      </c>
      <c r="J114" s="185">
        <f>SUMPRODUCT(-('Diário 5º PA'!$E$5:$E$2634='Analítico Cp.'!$B114),-('Diário 5º PA'!$Q$5:$Q$2634=J$1),('Diário 5º PA'!$F$5:$F$2634))
+SUMPRODUCT(-('Diário 6º PA'!$E$5:$E$2246='Analítico Cp.'!$B114),-('Diário 6º PA'!$Q$5:$Q$2246=J$1),('Diário 6º PA'!$F$5:$F$2246))
+SUMPRODUCT(-('Diário 7º PA'!$E$5:$E$2271='Analítico Cp.'!$B114),-('Diário 7º PA'!$Q$5:$Q$2271=J$1),('Diário 7º PA'!$F$5:$F$2271))
+SUMPRODUCT(-('Diário 8º PA'!$E$5:$E$2488='Analítico Cp.'!$B114),-('Diário 8º PA'!$Q$5:$Q$2488=J$1),('Diário 8º PA'!$F$5:$F$2488))
+SUMPRODUCT(-('Comp.'!$D$5:$D$313='Analítico Cp.'!$B114),-('Comp.'!$R$5:$R$313=J$1),('Comp.'!$E$5:$E$313))</f>
        <v>0</v>
      </c>
      <c r="K114" s="185">
        <f>SUMPRODUCT(-('Diário 5º PA'!$E$5:$E$2634='Analítico Cp.'!$B114),-('Diário 5º PA'!$Q$5:$Q$2634=K$1),('Diário 5º PA'!$F$5:$F$2634))
+SUMPRODUCT(-('Diário 6º PA'!$E$5:$E$2246='Analítico Cp.'!$B114),-('Diário 6º PA'!$Q$5:$Q$2246=K$1),('Diário 6º PA'!$F$5:$F$2246))
+SUMPRODUCT(-('Diário 7º PA'!$E$5:$E$2271='Analítico Cp.'!$B114),-('Diário 7º PA'!$Q$5:$Q$2271=K$1),('Diário 7º PA'!$F$5:$F$2271))
+SUMPRODUCT(-('Diário 8º PA'!$E$5:$E$2488='Analítico Cp.'!$B114),-('Diário 8º PA'!$Q$5:$Q$2488=K$1),('Diário 8º PA'!$F$5:$F$2488))
+SUMPRODUCT(-('Comp.'!$D$5:$D$313='Analítico Cp.'!$B114),-('Comp.'!$R$5:$R$313=K$1),('Comp.'!$E$5:$E$313))</f>
        <v>0</v>
      </c>
      <c r="L114" s="185">
        <f>SUMPRODUCT(-('Diário 5º PA'!$E$5:$E$2634='Analítico Cp.'!$B114),-('Diário 5º PA'!$Q$5:$Q$2634=L$1),('Diário 5º PA'!$F$5:$F$2634))
+SUMPRODUCT(-('Diário 6º PA'!$E$5:$E$2246='Analítico Cp.'!$B114),-('Diário 6º PA'!$Q$5:$Q$2246=L$1),('Diário 6º PA'!$F$5:$F$2246))
+SUMPRODUCT(-('Diário 7º PA'!$E$5:$E$2271='Analítico Cp.'!$B114),-('Diário 7º PA'!$Q$5:$Q$2271=L$1),('Diário 7º PA'!$F$5:$F$2271))
+SUMPRODUCT(-('Diário 8º PA'!$E$5:$E$2488='Analítico Cp.'!$B114),-('Diário 8º PA'!$Q$5:$Q$2488=L$1),('Diário 8º PA'!$F$5:$F$2488))
+SUMPRODUCT(-('Comp.'!$D$5:$D$313='Analítico Cp.'!$B114),-('Comp.'!$R$5:$R$313=L$1),('Comp.'!$E$5:$E$313))</f>
        <v>0</v>
      </c>
      <c r="M114" s="185">
        <f>SUMPRODUCT(-('Diário 5º PA'!$E$5:$E$2634='Analítico Cp.'!$B114),-('Diário 5º PA'!$Q$5:$Q$2634=M$1),('Diário 5º PA'!$F$5:$F$2634))
+SUMPRODUCT(-('Diário 6º PA'!$E$5:$E$2246='Analítico Cp.'!$B114),-('Diário 6º PA'!$Q$5:$Q$2246=M$1),('Diário 6º PA'!$F$5:$F$2246))
+SUMPRODUCT(-('Diário 7º PA'!$E$5:$E$2271='Analítico Cp.'!$B114),-('Diário 7º PA'!$Q$5:$Q$2271=M$1),('Diário 7º PA'!$F$5:$F$2271))
+SUMPRODUCT(-('Diário 8º PA'!$E$5:$E$2488='Analítico Cp.'!$B114),-('Diário 8º PA'!$Q$5:$Q$2488=M$1),('Diário 8º PA'!$F$5:$F$2488))
+SUMPRODUCT(-('Comp.'!$D$5:$D$313='Analítico Cp.'!$B114),-('Comp.'!$R$5:$R$313=M$1),('Comp.'!$E$5:$E$313))</f>
        <v>0</v>
      </c>
      <c r="N114" s="185">
        <f>SUMPRODUCT(-('Diário 5º PA'!$E$5:$E$2634='Analítico Cp.'!$B114),-('Diário 5º PA'!$Q$5:$Q$2634=N$1),('Diário 5º PA'!$F$5:$F$2634))
+SUMPRODUCT(-('Diário 6º PA'!$E$5:$E$2246='Analítico Cp.'!$B114),-('Diário 6º PA'!$Q$5:$Q$2246=N$1),('Diário 6º PA'!$F$5:$F$2246))
+SUMPRODUCT(-('Diário 7º PA'!$E$5:$E$2271='Analítico Cp.'!$B114),-('Diário 7º PA'!$Q$5:$Q$2271=N$1),('Diário 7º PA'!$F$5:$F$2271))
+SUMPRODUCT(-('Diário 8º PA'!$E$5:$E$2488='Analítico Cp.'!$B114),-('Diário 8º PA'!$Q$5:$Q$2488=N$1),('Diário 8º PA'!$F$5:$F$2488))
+SUMPRODUCT(-('Comp.'!$D$5:$D$313='Analítico Cp.'!$B114),-('Comp.'!$R$5:$R$313=N$1),('Comp.'!$E$5:$E$313))</f>
        <v>0</v>
      </c>
      <c r="O114" s="186">
        <f t="shared" si="16"/>
        <v>0</v>
      </c>
      <c r="P114" s="187">
        <f t="shared" si="17"/>
        <v>0</v>
      </c>
      <c r="Q114" s="34"/>
      <c r="R114" s="34"/>
      <c r="S114" s="34"/>
      <c r="T114" s="34"/>
      <c r="U114" s="34"/>
      <c r="V114" s="34"/>
      <c r="W114" s="34"/>
      <c r="X114" s="34"/>
      <c r="Y114" s="34"/>
      <c r="Z114" s="34"/>
    </row>
    <row r="115" spans="1:26" ht="23.25" customHeight="1" x14ac:dyDescent="0.2">
      <c r="A115" s="203" t="s">
        <v>327</v>
      </c>
      <c r="B115" s="72" t="s">
        <v>328</v>
      </c>
      <c r="C115" s="185">
        <f>SUMPRODUCT(-('Diário 5º PA'!$E$5:$E$2634='Analítico Cp.'!$B115),-('Diário 5º PA'!$Q$5:$Q$2634=C$1),('Diário 5º PA'!$F$5:$F$2634))
+SUMPRODUCT(-('Diário 6º PA'!$E$5:$E$2246='Analítico Cp.'!$B115),-('Diário 6º PA'!$Q$5:$Q$2246=C$1),('Diário 6º PA'!$F$5:$F$2246))
+SUMPRODUCT(-('Diário 7º PA'!$E$5:$E$2271='Analítico Cp.'!$B115),-('Diário 7º PA'!$Q$5:$Q$2271=C$1),('Diário 7º PA'!$F$5:$F$2271))
+SUMPRODUCT(-('Diário 8º PA'!$E$5:$E$2488='Analítico Cp.'!$B115),-('Diário 8º PA'!$Q$5:$Q$2488=C$1),('Diário 8º PA'!$F$5:$F$2488))
+SUMPRODUCT(-('Comp.'!$D$5:$D$313='Analítico Cp.'!$B115),-('Comp.'!$R$5:$R$313=C$1),('Comp.'!$E$5:$E$313))</f>
        <v>0</v>
      </c>
      <c r="D115" s="185">
        <f>SUMPRODUCT(-('Diário 5º PA'!$E$5:$E$2634='Analítico Cp.'!$B115),-('Diário 5º PA'!$Q$5:$Q$2634=D$1),('Diário 5º PA'!$F$5:$F$2634))
+SUMPRODUCT(-('Diário 6º PA'!$E$5:$E$2246='Analítico Cp.'!$B115),-('Diário 6º PA'!$Q$5:$Q$2246=D$1),('Diário 6º PA'!$F$5:$F$2246))
+SUMPRODUCT(-('Diário 7º PA'!$E$5:$E$2271='Analítico Cp.'!$B115),-('Diário 7º PA'!$Q$5:$Q$2271=D$1),('Diário 7º PA'!$F$5:$F$2271))
+SUMPRODUCT(-('Diário 8º PA'!$E$5:$E$2488='Analítico Cp.'!$B115),-('Diário 8º PA'!$Q$5:$Q$2488=D$1),('Diário 8º PA'!$F$5:$F$2488))
+SUMPRODUCT(-('Comp.'!$D$5:$D$313='Analítico Cp.'!$B115),-('Comp.'!$R$5:$R$313=D$1),('Comp.'!$E$5:$E$313))</f>
        <v>0</v>
      </c>
      <c r="E115" s="185">
        <f>SUMPRODUCT(-('Diário 5º PA'!$E$5:$E$2634='Analítico Cp.'!$B115),-('Diário 5º PA'!$Q$5:$Q$2634=E$1),('Diário 5º PA'!$F$5:$F$2634))
+SUMPRODUCT(-('Diário 6º PA'!$E$5:$E$2246='Analítico Cp.'!$B115),-('Diário 6º PA'!$Q$5:$Q$2246=E$1),('Diário 6º PA'!$F$5:$F$2246))
+SUMPRODUCT(-('Diário 7º PA'!$E$5:$E$2271='Analítico Cp.'!$B115),-('Diário 7º PA'!$Q$5:$Q$2271=E$1),('Diário 7º PA'!$F$5:$F$2271))
+SUMPRODUCT(-('Diário 8º PA'!$E$5:$E$2488='Analítico Cp.'!$B115),-('Diário 8º PA'!$Q$5:$Q$2488=E$1),('Diário 8º PA'!$F$5:$F$2488))
+SUMPRODUCT(-('Comp.'!$D$5:$D$313='Analítico Cp.'!$B115),-('Comp.'!$R$5:$R$313=E$1),('Comp.'!$E$5:$E$313))</f>
        <v>0</v>
      </c>
      <c r="F115" s="185">
        <f>SUMPRODUCT(-('Diário 5º PA'!$E$5:$E$2634='Analítico Cp.'!$B115),-('Diário 5º PA'!$Q$5:$Q$2634=F$1),('Diário 5º PA'!$F$5:$F$2634))
+SUMPRODUCT(-('Diário 6º PA'!$E$5:$E$2246='Analítico Cp.'!$B115),-('Diário 6º PA'!$Q$5:$Q$2246=F$1),('Diário 6º PA'!$F$5:$F$2246))
+SUMPRODUCT(-('Diário 7º PA'!$E$5:$E$2271='Analítico Cp.'!$B115),-('Diário 7º PA'!$Q$5:$Q$2271=F$1),('Diário 7º PA'!$F$5:$F$2271))
+SUMPRODUCT(-('Diário 8º PA'!$E$5:$E$2488='Analítico Cp.'!$B115),-('Diário 8º PA'!$Q$5:$Q$2488=F$1),('Diário 8º PA'!$F$5:$F$2488))
+SUMPRODUCT(-('Comp.'!$D$5:$D$313='Analítico Cp.'!$B115),-('Comp.'!$R$5:$R$313=F$1),('Comp.'!$E$5:$E$313))</f>
        <v>0</v>
      </c>
      <c r="G115" s="185">
        <f>SUMPRODUCT(-('Diário 5º PA'!$E$5:$E$2634='Analítico Cp.'!$B115),-('Diário 5º PA'!$Q$5:$Q$2634=G$1),('Diário 5º PA'!$F$5:$F$2634))
+SUMPRODUCT(-('Diário 6º PA'!$E$5:$E$2246='Analítico Cp.'!$B115),-('Diário 6º PA'!$Q$5:$Q$2246=G$1),('Diário 6º PA'!$F$5:$F$2246))
+SUMPRODUCT(-('Diário 7º PA'!$E$5:$E$2271='Analítico Cp.'!$B115),-('Diário 7º PA'!$Q$5:$Q$2271=G$1),('Diário 7º PA'!$F$5:$F$2271))
+SUMPRODUCT(-('Diário 8º PA'!$E$5:$E$2488='Analítico Cp.'!$B115),-('Diário 8º PA'!$Q$5:$Q$2488=G$1),('Diário 8º PA'!$F$5:$F$2488))
+SUMPRODUCT(-('Comp.'!$D$5:$D$313='Analítico Cp.'!$B115),-('Comp.'!$R$5:$R$313=G$1),('Comp.'!$E$5:$E$313))</f>
        <v>0</v>
      </c>
      <c r="H115" s="185">
        <f>SUMPRODUCT(-('Diário 5º PA'!$E$5:$E$2634='Analítico Cp.'!$B115),-('Diário 5º PA'!$Q$5:$Q$2634=H$1),('Diário 5º PA'!$F$5:$F$2634))
+SUMPRODUCT(-('Diário 6º PA'!$E$5:$E$2246='Analítico Cp.'!$B115),-('Diário 6º PA'!$Q$5:$Q$2246=H$1),('Diário 6º PA'!$F$5:$F$2246))
+SUMPRODUCT(-('Diário 7º PA'!$E$5:$E$2271='Analítico Cp.'!$B115),-('Diário 7º PA'!$Q$5:$Q$2271=H$1),('Diário 7º PA'!$F$5:$F$2271))
+SUMPRODUCT(-('Diário 8º PA'!$E$5:$E$2488='Analítico Cp.'!$B115),-('Diário 8º PA'!$Q$5:$Q$2488=H$1),('Diário 8º PA'!$F$5:$F$2488))
+SUMPRODUCT(-('Comp.'!$D$5:$D$313='Analítico Cp.'!$B115),-('Comp.'!$R$5:$R$313=H$1),('Comp.'!$E$5:$E$313))</f>
        <v>603</v>
      </c>
      <c r="I115" s="185">
        <f>SUMPRODUCT(-('Diário 5º PA'!$E$5:$E$2634='Analítico Cp.'!$B115),-('Diário 5º PA'!$Q$5:$Q$2634=I$1),('Diário 5º PA'!$F$5:$F$2634))
+SUMPRODUCT(-('Diário 6º PA'!$E$5:$E$2246='Analítico Cp.'!$B115),-('Diário 6º PA'!$Q$5:$Q$2246=I$1),('Diário 6º PA'!$F$5:$F$2246))
+SUMPRODUCT(-('Diário 7º PA'!$E$5:$E$2271='Analítico Cp.'!$B115),-('Diário 7º PA'!$Q$5:$Q$2271=I$1),('Diário 7º PA'!$F$5:$F$2271))
+SUMPRODUCT(-('Diário 8º PA'!$E$5:$E$2488='Analítico Cp.'!$B115),-('Diário 8º PA'!$Q$5:$Q$2488=I$1),('Diário 8º PA'!$F$5:$F$2488))
+SUMPRODUCT(-('Comp.'!$D$5:$D$313='Analítico Cp.'!$B115),-('Comp.'!$R$5:$R$313=I$1),('Comp.'!$E$5:$E$313))</f>
        <v>0</v>
      </c>
      <c r="J115" s="185">
        <f>SUMPRODUCT(-('Diário 5º PA'!$E$5:$E$2634='Analítico Cp.'!$B115),-('Diário 5º PA'!$Q$5:$Q$2634=J$1),('Diário 5º PA'!$F$5:$F$2634))
+SUMPRODUCT(-('Diário 6º PA'!$E$5:$E$2246='Analítico Cp.'!$B115),-('Diário 6º PA'!$Q$5:$Q$2246=J$1),('Diário 6º PA'!$F$5:$F$2246))
+SUMPRODUCT(-('Diário 7º PA'!$E$5:$E$2271='Analítico Cp.'!$B115),-('Diário 7º PA'!$Q$5:$Q$2271=J$1),('Diário 7º PA'!$F$5:$F$2271))
+SUMPRODUCT(-('Diário 8º PA'!$E$5:$E$2488='Analítico Cp.'!$B115),-('Diário 8º PA'!$Q$5:$Q$2488=J$1),('Diário 8º PA'!$F$5:$F$2488))
+SUMPRODUCT(-('Comp.'!$D$5:$D$313='Analítico Cp.'!$B115),-('Comp.'!$R$5:$R$313=J$1),('Comp.'!$E$5:$E$313))</f>
        <v>0</v>
      </c>
      <c r="K115" s="185">
        <f>SUMPRODUCT(-('Diário 5º PA'!$E$5:$E$2634='Analítico Cp.'!$B115),-('Diário 5º PA'!$Q$5:$Q$2634=K$1),('Diário 5º PA'!$F$5:$F$2634))
+SUMPRODUCT(-('Diário 6º PA'!$E$5:$E$2246='Analítico Cp.'!$B115),-('Diário 6º PA'!$Q$5:$Q$2246=K$1),('Diário 6º PA'!$F$5:$F$2246))
+SUMPRODUCT(-('Diário 7º PA'!$E$5:$E$2271='Analítico Cp.'!$B115),-('Diário 7º PA'!$Q$5:$Q$2271=K$1),('Diário 7º PA'!$F$5:$F$2271))
+SUMPRODUCT(-('Diário 8º PA'!$E$5:$E$2488='Analítico Cp.'!$B115),-('Diário 8º PA'!$Q$5:$Q$2488=K$1),('Diário 8º PA'!$F$5:$F$2488))
+SUMPRODUCT(-('Comp.'!$D$5:$D$313='Analítico Cp.'!$B115),-('Comp.'!$R$5:$R$313=K$1),('Comp.'!$E$5:$E$313))</f>
        <v>0</v>
      </c>
      <c r="L115" s="185">
        <f>SUMPRODUCT(-('Diário 5º PA'!$E$5:$E$2634='Analítico Cp.'!$B115),-('Diário 5º PA'!$Q$5:$Q$2634=L$1),('Diário 5º PA'!$F$5:$F$2634))
+SUMPRODUCT(-('Diário 6º PA'!$E$5:$E$2246='Analítico Cp.'!$B115),-('Diário 6º PA'!$Q$5:$Q$2246=L$1),('Diário 6º PA'!$F$5:$F$2246))
+SUMPRODUCT(-('Diário 7º PA'!$E$5:$E$2271='Analítico Cp.'!$B115),-('Diário 7º PA'!$Q$5:$Q$2271=L$1),('Diário 7º PA'!$F$5:$F$2271))
+SUMPRODUCT(-('Diário 8º PA'!$E$5:$E$2488='Analítico Cp.'!$B115),-('Diário 8º PA'!$Q$5:$Q$2488=L$1),('Diário 8º PA'!$F$5:$F$2488))
+SUMPRODUCT(-('Comp.'!$D$5:$D$313='Analítico Cp.'!$B115),-('Comp.'!$R$5:$R$313=L$1),('Comp.'!$E$5:$E$313))</f>
        <v>0</v>
      </c>
      <c r="M115" s="185">
        <f>SUMPRODUCT(-('Diário 5º PA'!$E$5:$E$2634='Analítico Cp.'!$B115),-('Diário 5º PA'!$Q$5:$Q$2634=M$1),('Diário 5º PA'!$F$5:$F$2634))
+SUMPRODUCT(-('Diário 6º PA'!$E$5:$E$2246='Analítico Cp.'!$B115),-('Diário 6º PA'!$Q$5:$Q$2246=M$1),('Diário 6º PA'!$F$5:$F$2246))
+SUMPRODUCT(-('Diário 7º PA'!$E$5:$E$2271='Analítico Cp.'!$B115),-('Diário 7º PA'!$Q$5:$Q$2271=M$1),('Diário 7º PA'!$F$5:$F$2271))
+SUMPRODUCT(-('Diário 8º PA'!$E$5:$E$2488='Analítico Cp.'!$B115),-('Diário 8º PA'!$Q$5:$Q$2488=M$1),('Diário 8º PA'!$F$5:$F$2488))
+SUMPRODUCT(-('Comp.'!$D$5:$D$313='Analítico Cp.'!$B115),-('Comp.'!$R$5:$R$313=M$1),('Comp.'!$E$5:$E$313))</f>
        <v>0</v>
      </c>
      <c r="N115" s="185">
        <f>SUMPRODUCT(-('Diário 5º PA'!$E$5:$E$2634='Analítico Cp.'!$B115),-('Diário 5º PA'!$Q$5:$Q$2634=N$1),('Diário 5º PA'!$F$5:$F$2634))
+SUMPRODUCT(-('Diário 6º PA'!$E$5:$E$2246='Analítico Cp.'!$B115),-('Diário 6º PA'!$Q$5:$Q$2246=N$1),('Diário 6º PA'!$F$5:$F$2246))
+SUMPRODUCT(-('Diário 7º PA'!$E$5:$E$2271='Analítico Cp.'!$B115),-('Diário 7º PA'!$Q$5:$Q$2271=N$1),('Diário 7º PA'!$F$5:$F$2271))
+SUMPRODUCT(-('Diário 8º PA'!$E$5:$E$2488='Analítico Cp.'!$B115),-('Diário 8º PA'!$Q$5:$Q$2488=N$1),('Diário 8º PA'!$F$5:$F$2488))
+SUMPRODUCT(-('Comp.'!$D$5:$D$313='Analítico Cp.'!$B115),-('Comp.'!$R$5:$R$313=N$1),('Comp.'!$E$5:$E$313))</f>
        <v>0</v>
      </c>
      <c r="O115" s="186">
        <f t="shared" si="16"/>
        <v>603</v>
      </c>
      <c r="P115" s="187">
        <f t="shared" si="17"/>
        <v>6.2197132991216822E-5</v>
      </c>
      <c r="Q115" s="34"/>
      <c r="R115" s="34"/>
      <c r="S115" s="34"/>
      <c r="T115" s="34"/>
      <c r="U115" s="34"/>
      <c r="V115" s="34"/>
      <c r="W115" s="34"/>
      <c r="X115" s="34"/>
      <c r="Y115" s="34"/>
      <c r="Z115" s="34"/>
    </row>
    <row r="116" spans="1:26" ht="20.25" customHeight="1" x14ac:dyDescent="0.2">
      <c r="A116" s="203" t="s">
        <v>283</v>
      </c>
      <c r="B116" s="72" t="s">
        <v>330</v>
      </c>
      <c r="C116" s="185">
        <f>SUMPRODUCT(-('Diário 5º PA'!$E$5:$E$2634='Analítico Cp.'!$B116),-('Diário 5º PA'!$Q$5:$Q$2634=C$1),('Diário 5º PA'!$F$5:$F$2634))
+SUMPRODUCT(-('Diário 6º PA'!$E$5:$E$2246='Analítico Cp.'!$B116),-('Diário 6º PA'!$Q$5:$Q$2246=C$1),('Diário 6º PA'!$F$5:$F$2246))
+SUMPRODUCT(-('Diário 7º PA'!$E$5:$E$2271='Analítico Cp.'!$B116),-('Diário 7º PA'!$Q$5:$Q$2271=C$1),('Diário 7º PA'!$F$5:$F$2271))
+SUMPRODUCT(-('Diário 8º PA'!$E$5:$E$2488='Analítico Cp.'!$B116),-('Diário 8º PA'!$Q$5:$Q$2488=C$1),('Diário 8º PA'!$F$5:$F$2488))
+SUMPRODUCT(-('Comp.'!$D$5:$D$313='Analítico Cp.'!$B116),-('Comp.'!$R$5:$R$313=C$1),('Comp.'!$E$5:$E$313))</f>
        <v>26601.829999999998</v>
      </c>
      <c r="D116" s="185">
        <f>SUMPRODUCT(-('Diário 5º PA'!$E$5:$E$2634='Analítico Cp.'!$B116),-('Diário 5º PA'!$Q$5:$Q$2634=D$1),('Diário 5º PA'!$F$5:$F$2634))
+SUMPRODUCT(-('Diário 6º PA'!$E$5:$E$2246='Analítico Cp.'!$B116),-('Diário 6º PA'!$Q$5:$Q$2246=D$1),('Diário 6º PA'!$F$5:$F$2246))
+SUMPRODUCT(-('Diário 7º PA'!$E$5:$E$2271='Analítico Cp.'!$B116),-('Diário 7º PA'!$Q$5:$Q$2271=D$1),('Diário 7º PA'!$F$5:$F$2271))
+SUMPRODUCT(-('Diário 8º PA'!$E$5:$E$2488='Analítico Cp.'!$B116),-('Diário 8º PA'!$Q$5:$Q$2488=D$1),('Diário 8º PA'!$F$5:$F$2488))
+SUMPRODUCT(-('Comp.'!$D$5:$D$313='Analítico Cp.'!$B116),-('Comp.'!$R$5:$R$313=D$1),('Comp.'!$E$5:$E$313))</f>
        <v>22241.200000000001</v>
      </c>
      <c r="E116" s="185">
        <f>SUMPRODUCT(-('Diário 5º PA'!$E$5:$E$2634='Analítico Cp.'!$B116),-('Diário 5º PA'!$Q$5:$Q$2634=E$1),('Diário 5º PA'!$F$5:$F$2634))
+SUMPRODUCT(-('Diário 6º PA'!$E$5:$E$2246='Analítico Cp.'!$B116),-('Diário 6º PA'!$Q$5:$Q$2246=E$1),('Diário 6º PA'!$F$5:$F$2246))
+SUMPRODUCT(-('Diário 7º PA'!$E$5:$E$2271='Analítico Cp.'!$B116),-('Diário 7º PA'!$Q$5:$Q$2271=E$1),('Diário 7º PA'!$F$5:$F$2271))
+SUMPRODUCT(-('Diário 8º PA'!$E$5:$E$2488='Analítico Cp.'!$B116),-('Diário 8º PA'!$Q$5:$Q$2488=E$1),('Diário 8º PA'!$F$5:$F$2488))
+SUMPRODUCT(-('Comp.'!$D$5:$D$313='Analítico Cp.'!$B116),-('Comp.'!$R$5:$R$313=E$1),('Comp.'!$E$5:$E$313))</f>
        <v>23348.260000000002</v>
      </c>
      <c r="F116" s="185">
        <f>SUMPRODUCT(-('Diário 5º PA'!$E$5:$E$2634='Analítico Cp.'!$B116),-('Diário 5º PA'!$Q$5:$Q$2634=F$1),('Diário 5º PA'!$F$5:$F$2634))
+SUMPRODUCT(-('Diário 6º PA'!$E$5:$E$2246='Analítico Cp.'!$B116),-('Diário 6º PA'!$Q$5:$Q$2246=F$1),('Diário 6º PA'!$F$5:$F$2246))
+SUMPRODUCT(-('Diário 7º PA'!$E$5:$E$2271='Analítico Cp.'!$B116),-('Diário 7º PA'!$Q$5:$Q$2271=F$1),('Diário 7º PA'!$F$5:$F$2271))
+SUMPRODUCT(-('Diário 8º PA'!$E$5:$E$2488='Analítico Cp.'!$B116),-('Diário 8º PA'!$Q$5:$Q$2488=F$1),('Diário 8º PA'!$F$5:$F$2488))
+SUMPRODUCT(-('Comp.'!$D$5:$D$313='Analítico Cp.'!$B116),-('Comp.'!$R$5:$R$313=F$1),('Comp.'!$E$5:$E$313))</f>
        <v>22506.66</v>
      </c>
      <c r="G116" s="185">
        <f>SUMPRODUCT(-('Diário 5º PA'!$E$5:$E$2634='Analítico Cp.'!$B116),-('Diário 5º PA'!$Q$5:$Q$2634=G$1),('Diário 5º PA'!$F$5:$F$2634))
+SUMPRODUCT(-('Diário 6º PA'!$E$5:$E$2246='Analítico Cp.'!$B116),-('Diário 6º PA'!$Q$5:$Q$2246=G$1),('Diário 6º PA'!$F$5:$F$2246))
+SUMPRODUCT(-('Diário 7º PA'!$E$5:$E$2271='Analítico Cp.'!$B116),-('Diário 7º PA'!$Q$5:$Q$2271=G$1),('Diário 7º PA'!$F$5:$F$2271))
+SUMPRODUCT(-('Diário 8º PA'!$E$5:$E$2488='Analítico Cp.'!$B116),-('Diário 8º PA'!$Q$5:$Q$2488=G$1),('Diário 8º PA'!$F$5:$F$2488))
+SUMPRODUCT(-('Comp.'!$D$5:$D$313='Analítico Cp.'!$B116),-('Comp.'!$R$5:$R$313=G$1),('Comp.'!$E$5:$E$313))</f>
        <v>22942.97</v>
      </c>
      <c r="H116" s="185">
        <f>SUMPRODUCT(-('Diário 5º PA'!$E$5:$E$2634='Analítico Cp.'!$B116),-('Diário 5º PA'!$Q$5:$Q$2634=H$1),('Diário 5º PA'!$F$5:$F$2634))
+SUMPRODUCT(-('Diário 6º PA'!$E$5:$E$2246='Analítico Cp.'!$B116),-('Diário 6º PA'!$Q$5:$Q$2246=H$1),('Diário 6º PA'!$F$5:$F$2246))
+SUMPRODUCT(-('Diário 7º PA'!$E$5:$E$2271='Analítico Cp.'!$B116),-('Diário 7º PA'!$Q$5:$Q$2271=H$1),('Diário 7º PA'!$F$5:$F$2271))
+SUMPRODUCT(-('Diário 8º PA'!$E$5:$E$2488='Analítico Cp.'!$B116),-('Diário 8º PA'!$Q$5:$Q$2488=H$1),('Diário 8º PA'!$F$5:$F$2488))
+SUMPRODUCT(-('Comp.'!$D$5:$D$313='Analítico Cp.'!$B116),-('Comp.'!$R$5:$R$313=H$1),('Comp.'!$E$5:$E$313))</f>
        <v>36938.449999999997</v>
      </c>
      <c r="I116" s="185">
        <f>SUMPRODUCT(-('Diário 5º PA'!$E$5:$E$2634='Analítico Cp.'!$B116),-('Diário 5º PA'!$Q$5:$Q$2634=I$1),('Diário 5º PA'!$F$5:$F$2634))
+SUMPRODUCT(-('Diário 6º PA'!$E$5:$E$2246='Analítico Cp.'!$B116),-('Diário 6º PA'!$Q$5:$Q$2246=I$1),('Diário 6º PA'!$F$5:$F$2246))
+SUMPRODUCT(-('Diário 7º PA'!$E$5:$E$2271='Analítico Cp.'!$B116),-('Diário 7º PA'!$Q$5:$Q$2271=I$1),('Diário 7º PA'!$F$5:$F$2271))
+SUMPRODUCT(-('Diário 8º PA'!$E$5:$E$2488='Analítico Cp.'!$B116),-('Diário 8º PA'!$Q$5:$Q$2488=I$1),('Diário 8º PA'!$F$5:$F$2488))
+SUMPRODUCT(-('Comp.'!$D$5:$D$313='Analítico Cp.'!$B116),-('Comp.'!$R$5:$R$313=I$1),('Comp.'!$E$5:$E$313))</f>
        <v>45470.58</v>
      </c>
      <c r="J116" s="185">
        <f>SUMPRODUCT(-('Diário 5º PA'!$E$5:$E$2634='Analítico Cp.'!$B116),-('Diário 5º PA'!$Q$5:$Q$2634=J$1),('Diário 5º PA'!$F$5:$F$2634))
+SUMPRODUCT(-('Diário 6º PA'!$E$5:$E$2246='Analítico Cp.'!$B116),-('Diário 6º PA'!$Q$5:$Q$2246=J$1),('Diário 6º PA'!$F$5:$F$2246))
+SUMPRODUCT(-('Diário 7º PA'!$E$5:$E$2271='Analítico Cp.'!$B116),-('Diário 7º PA'!$Q$5:$Q$2271=J$1),('Diário 7º PA'!$F$5:$F$2271))
+SUMPRODUCT(-('Diário 8º PA'!$E$5:$E$2488='Analítico Cp.'!$B116),-('Diário 8º PA'!$Q$5:$Q$2488=J$1),('Diário 8º PA'!$F$5:$F$2488))
+SUMPRODUCT(-('Comp.'!$D$5:$D$313='Analítico Cp.'!$B116),-('Comp.'!$R$5:$R$313=J$1),('Comp.'!$E$5:$E$313))</f>
        <v>29002.3</v>
      </c>
      <c r="K116" s="185">
        <f>SUMPRODUCT(-('Diário 5º PA'!$E$5:$E$2634='Analítico Cp.'!$B116),-('Diário 5º PA'!$Q$5:$Q$2634=K$1),('Diário 5º PA'!$F$5:$F$2634))
+SUMPRODUCT(-('Diário 6º PA'!$E$5:$E$2246='Analítico Cp.'!$B116),-('Diário 6º PA'!$Q$5:$Q$2246=K$1),('Diário 6º PA'!$F$5:$F$2246))
+SUMPRODUCT(-('Diário 7º PA'!$E$5:$E$2271='Analítico Cp.'!$B116),-('Diário 7º PA'!$Q$5:$Q$2271=K$1),('Diário 7º PA'!$F$5:$F$2271))
+SUMPRODUCT(-('Diário 8º PA'!$E$5:$E$2488='Analítico Cp.'!$B116),-('Diário 8º PA'!$Q$5:$Q$2488=K$1),('Diário 8º PA'!$F$5:$F$2488))
+SUMPRODUCT(-('Comp.'!$D$5:$D$313='Analítico Cp.'!$B116),-('Comp.'!$R$5:$R$313=K$1),('Comp.'!$E$5:$E$313))</f>
        <v>23675.34</v>
      </c>
      <c r="L116" s="185">
        <f>SUMPRODUCT(-('Diário 5º PA'!$E$5:$E$2634='Analítico Cp.'!$B116),-('Diário 5º PA'!$Q$5:$Q$2634=L$1),('Diário 5º PA'!$F$5:$F$2634))
+SUMPRODUCT(-('Diário 6º PA'!$E$5:$E$2246='Analítico Cp.'!$B116),-('Diário 6º PA'!$Q$5:$Q$2246=L$1),('Diário 6º PA'!$F$5:$F$2246))
+SUMPRODUCT(-('Diário 7º PA'!$E$5:$E$2271='Analítico Cp.'!$B116),-('Diário 7º PA'!$Q$5:$Q$2271=L$1),('Diário 7º PA'!$F$5:$F$2271))
+SUMPRODUCT(-('Diário 8º PA'!$E$5:$E$2488='Analítico Cp.'!$B116),-('Diário 8º PA'!$Q$5:$Q$2488=L$1),('Diário 8º PA'!$F$5:$F$2488))
+SUMPRODUCT(-('Comp.'!$D$5:$D$313='Analítico Cp.'!$B116),-('Comp.'!$R$5:$R$313=L$1),('Comp.'!$E$5:$E$313))</f>
        <v>43812.82</v>
      </c>
      <c r="M116" s="185">
        <f>SUMPRODUCT(-('Diário 5º PA'!$E$5:$E$2634='Analítico Cp.'!$B116),-('Diário 5º PA'!$Q$5:$Q$2634=M$1),('Diário 5º PA'!$F$5:$F$2634))
+SUMPRODUCT(-('Diário 6º PA'!$E$5:$E$2246='Analítico Cp.'!$B116),-('Diário 6º PA'!$Q$5:$Q$2246=M$1),('Diário 6º PA'!$F$5:$F$2246))
+SUMPRODUCT(-('Diário 7º PA'!$E$5:$E$2271='Analítico Cp.'!$B116),-('Diário 7º PA'!$Q$5:$Q$2271=M$1),('Diário 7º PA'!$F$5:$F$2271))
+SUMPRODUCT(-('Diário 8º PA'!$E$5:$E$2488='Analítico Cp.'!$B116),-('Diário 8º PA'!$Q$5:$Q$2488=M$1),('Diário 8º PA'!$F$5:$F$2488))
+SUMPRODUCT(-('Comp.'!$D$5:$D$313='Analítico Cp.'!$B116),-('Comp.'!$R$5:$R$313=M$1),('Comp.'!$E$5:$E$313))</f>
        <v>30683.34</v>
      </c>
      <c r="N116" s="185">
        <f>SUMPRODUCT(-('Diário 5º PA'!$E$5:$E$2634='Analítico Cp.'!$B116),-('Diário 5º PA'!$Q$5:$Q$2634=N$1),('Diário 5º PA'!$F$5:$F$2634))
+SUMPRODUCT(-('Diário 6º PA'!$E$5:$E$2246='Analítico Cp.'!$B116),-('Diário 6º PA'!$Q$5:$Q$2246=N$1),('Diário 6º PA'!$F$5:$F$2246))
+SUMPRODUCT(-('Diário 7º PA'!$E$5:$E$2271='Analítico Cp.'!$B116),-('Diário 7º PA'!$Q$5:$Q$2271=N$1),('Diário 7º PA'!$F$5:$F$2271))
+SUMPRODUCT(-('Diário 8º PA'!$E$5:$E$2488='Analítico Cp.'!$B116),-('Diário 8º PA'!$Q$5:$Q$2488=N$1),('Diário 8º PA'!$F$5:$F$2488))
+SUMPRODUCT(-('Comp.'!$D$5:$D$313='Analítico Cp.'!$B116),-('Comp.'!$R$5:$R$313=N$1),('Comp.'!$E$5:$E$313))</f>
        <v>24259.64</v>
      </c>
      <c r="O116" s="186">
        <f t="shared" si="16"/>
        <v>351483.39</v>
      </c>
      <c r="P116" s="187">
        <f t="shared" si="17"/>
        <v>3.6254161114483791E-2</v>
      </c>
      <c r="Q116" s="34"/>
      <c r="R116" s="34"/>
      <c r="S116" s="34"/>
      <c r="T116" s="34"/>
      <c r="U116" s="34"/>
      <c r="V116" s="34"/>
      <c r="W116" s="34"/>
      <c r="X116" s="34"/>
      <c r="Y116" s="34"/>
      <c r="Z116" s="34"/>
    </row>
    <row r="117" spans="1:26" ht="12.75" customHeight="1" x14ac:dyDescent="0.2">
      <c r="A117" s="203" t="s">
        <v>331</v>
      </c>
      <c r="B117" s="72" t="s">
        <v>332</v>
      </c>
      <c r="C117" s="185">
        <f>SUMPRODUCT(-('Diário 5º PA'!$E$5:$E$2634='Analítico Cp.'!$B117),-('Diário 5º PA'!$Q$5:$Q$2634=C$1),('Diário 5º PA'!$F$5:$F$2634))
+SUMPRODUCT(-('Diário 6º PA'!$E$5:$E$2246='Analítico Cp.'!$B117),-('Diário 6º PA'!$Q$5:$Q$2246=C$1),('Diário 6º PA'!$F$5:$F$2246))
+SUMPRODUCT(-('Diário 7º PA'!$E$5:$E$2271='Analítico Cp.'!$B117),-('Diário 7º PA'!$Q$5:$Q$2271=C$1),('Diário 7º PA'!$F$5:$F$2271))
+SUMPRODUCT(-('Diário 8º PA'!$E$5:$E$2488='Analítico Cp.'!$B117),-('Diário 8º PA'!$Q$5:$Q$2488=C$1),('Diário 8º PA'!$F$5:$F$2488))
+SUMPRODUCT(-('Comp.'!$D$5:$D$313='Analítico Cp.'!$B117),-('Comp.'!$R$5:$R$313=C$1),('Comp.'!$E$5:$E$313))</f>
        <v>0</v>
      </c>
      <c r="D117" s="185">
        <f>SUMPRODUCT(-('Diário 5º PA'!$E$5:$E$2634='Analítico Cp.'!$B117),-('Diário 5º PA'!$Q$5:$Q$2634=D$1),('Diário 5º PA'!$F$5:$F$2634))
+SUMPRODUCT(-('Diário 6º PA'!$E$5:$E$2246='Analítico Cp.'!$B117),-('Diário 6º PA'!$Q$5:$Q$2246=D$1),('Diário 6º PA'!$F$5:$F$2246))
+SUMPRODUCT(-('Diário 7º PA'!$E$5:$E$2271='Analítico Cp.'!$B117),-('Diário 7º PA'!$Q$5:$Q$2271=D$1),('Diário 7º PA'!$F$5:$F$2271))
+SUMPRODUCT(-('Diário 8º PA'!$E$5:$E$2488='Analítico Cp.'!$B117),-('Diário 8º PA'!$Q$5:$Q$2488=D$1),('Diário 8º PA'!$F$5:$F$2488))
+SUMPRODUCT(-('Comp.'!$D$5:$D$313='Analítico Cp.'!$B117),-('Comp.'!$R$5:$R$313=D$1),('Comp.'!$E$5:$E$313))</f>
        <v>0</v>
      </c>
      <c r="E117" s="185">
        <f>SUMPRODUCT(-('Diário 5º PA'!$E$5:$E$2634='Analítico Cp.'!$B117),-('Diário 5º PA'!$Q$5:$Q$2634=E$1),('Diário 5º PA'!$F$5:$F$2634))
+SUMPRODUCT(-('Diário 6º PA'!$E$5:$E$2246='Analítico Cp.'!$B117),-('Diário 6º PA'!$Q$5:$Q$2246=E$1),('Diário 6º PA'!$F$5:$F$2246))
+SUMPRODUCT(-('Diário 7º PA'!$E$5:$E$2271='Analítico Cp.'!$B117),-('Diário 7º PA'!$Q$5:$Q$2271=E$1),('Diário 7º PA'!$F$5:$F$2271))
+SUMPRODUCT(-('Diário 8º PA'!$E$5:$E$2488='Analítico Cp.'!$B117),-('Diário 8º PA'!$Q$5:$Q$2488=E$1),('Diário 8º PA'!$F$5:$F$2488))
+SUMPRODUCT(-('Comp.'!$D$5:$D$313='Analítico Cp.'!$B117),-('Comp.'!$R$5:$R$313=E$1),('Comp.'!$E$5:$E$313))</f>
        <v>0</v>
      </c>
      <c r="F117" s="185">
        <f>SUMPRODUCT(-('Diário 5º PA'!$E$5:$E$2634='Analítico Cp.'!$B117),-('Diário 5º PA'!$Q$5:$Q$2634=F$1),('Diário 5º PA'!$F$5:$F$2634))
+SUMPRODUCT(-('Diário 6º PA'!$E$5:$E$2246='Analítico Cp.'!$B117),-('Diário 6º PA'!$Q$5:$Q$2246=F$1),('Diário 6º PA'!$F$5:$F$2246))
+SUMPRODUCT(-('Diário 7º PA'!$E$5:$E$2271='Analítico Cp.'!$B117),-('Diário 7º PA'!$Q$5:$Q$2271=F$1),('Diário 7º PA'!$F$5:$F$2271))
+SUMPRODUCT(-('Diário 8º PA'!$E$5:$E$2488='Analítico Cp.'!$B117),-('Diário 8º PA'!$Q$5:$Q$2488=F$1),('Diário 8º PA'!$F$5:$F$2488))
+SUMPRODUCT(-('Comp.'!$D$5:$D$313='Analítico Cp.'!$B117),-('Comp.'!$R$5:$R$313=F$1),('Comp.'!$E$5:$E$313))</f>
        <v>0</v>
      </c>
      <c r="G117" s="185">
        <f>SUMPRODUCT(-('Diário 5º PA'!$E$5:$E$2634='Analítico Cp.'!$B117),-('Diário 5º PA'!$Q$5:$Q$2634=G$1),('Diário 5º PA'!$F$5:$F$2634))
+SUMPRODUCT(-('Diário 6º PA'!$E$5:$E$2246='Analítico Cp.'!$B117),-('Diário 6º PA'!$Q$5:$Q$2246=G$1),('Diário 6º PA'!$F$5:$F$2246))
+SUMPRODUCT(-('Diário 7º PA'!$E$5:$E$2271='Analítico Cp.'!$B117),-('Diário 7º PA'!$Q$5:$Q$2271=G$1),('Diário 7º PA'!$F$5:$F$2271))
+SUMPRODUCT(-('Diário 8º PA'!$E$5:$E$2488='Analítico Cp.'!$B117),-('Diário 8º PA'!$Q$5:$Q$2488=G$1),('Diário 8º PA'!$F$5:$F$2488))
+SUMPRODUCT(-('Comp.'!$D$5:$D$313='Analítico Cp.'!$B117),-('Comp.'!$R$5:$R$313=G$1),('Comp.'!$E$5:$E$313))</f>
        <v>0</v>
      </c>
      <c r="H117" s="185">
        <f>SUMPRODUCT(-('Diário 5º PA'!$E$5:$E$2634='Analítico Cp.'!$B117),-('Diário 5º PA'!$Q$5:$Q$2634=H$1),('Diário 5º PA'!$F$5:$F$2634))
+SUMPRODUCT(-('Diário 6º PA'!$E$5:$E$2246='Analítico Cp.'!$B117),-('Diário 6º PA'!$Q$5:$Q$2246=H$1),('Diário 6º PA'!$F$5:$F$2246))
+SUMPRODUCT(-('Diário 7º PA'!$E$5:$E$2271='Analítico Cp.'!$B117),-('Diário 7º PA'!$Q$5:$Q$2271=H$1),('Diário 7º PA'!$F$5:$F$2271))
+SUMPRODUCT(-('Diário 8º PA'!$E$5:$E$2488='Analítico Cp.'!$B117),-('Diário 8º PA'!$Q$5:$Q$2488=H$1),('Diário 8º PA'!$F$5:$F$2488))
+SUMPRODUCT(-('Comp.'!$D$5:$D$313='Analítico Cp.'!$B117),-('Comp.'!$R$5:$R$313=H$1),('Comp.'!$E$5:$E$313))</f>
        <v>0</v>
      </c>
      <c r="I117" s="185">
        <f>SUMPRODUCT(-('Diário 5º PA'!$E$5:$E$2634='Analítico Cp.'!$B117),-('Diário 5º PA'!$Q$5:$Q$2634=I$1),('Diário 5º PA'!$F$5:$F$2634))
+SUMPRODUCT(-('Diário 6º PA'!$E$5:$E$2246='Analítico Cp.'!$B117),-('Diário 6º PA'!$Q$5:$Q$2246=I$1),('Diário 6º PA'!$F$5:$F$2246))
+SUMPRODUCT(-('Diário 7º PA'!$E$5:$E$2271='Analítico Cp.'!$B117),-('Diário 7º PA'!$Q$5:$Q$2271=I$1),('Diário 7º PA'!$F$5:$F$2271))
+SUMPRODUCT(-('Diário 8º PA'!$E$5:$E$2488='Analítico Cp.'!$B117),-('Diário 8º PA'!$Q$5:$Q$2488=I$1),('Diário 8º PA'!$F$5:$F$2488))
+SUMPRODUCT(-('Comp.'!$D$5:$D$313='Analítico Cp.'!$B117),-('Comp.'!$R$5:$R$313=I$1),('Comp.'!$E$5:$E$313))</f>
        <v>0</v>
      </c>
      <c r="J117" s="185">
        <f>SUMPRODUCT(-('Diário 5º PA'!$E$5:$E$2634='Analítico Cp.'!$B117),-('Diário 5º PA'!$Q$5:$Q$2634=J$1),('Diário 5º PA'!$F$5:$F$2634))
+SUMPRODUCT(-('Diário 6º PA'!$E$5:$E$2246='Analítico Cp.'!$B117),-('Diário 6º PA'!$Q$5:$Q$2246=J$1),('Diário 6º PA'!$F$5:$F$2246))
+SUMPRODUCT(-('Diário 7º PA'!$E$5:$E$2271='Analítico Cp.'!$B117),-('Diário 7º PA'!$Q$5:$Q$2271=J$1),('Diário 7º PA'!$F$5:$F$2271))
+SUMPRODUCT(-('Diário 8º PA'!$E$5:$E$2488='Analítico Cp.'!$B117),-('Diário 8º PA'!$Q$5:$Q$2488=J$1),('Diário 8º PA'!$F$5:$F$2488))
+SUMPRODUCT(-('Comp.'!$D$5:$D$313='Analítico Cp.'!$B117),-('Comp.'!$R$5:$R$313=J$1),('Comp.'!$E$5:$E$313))</f>
        <v>0</v>
      </c>
      <c r="K117" s="185">
        <f>SUMPRODUCT(-('Diário 5º PA'!$E$5:$E$2634='Analítico Cp.'!$B117),-('Diário 5º PA'!$Q$5:$Q$2634=K$1),('Diário 5º PA'!$F$5:$F$2634))
+SUMPRODUCT(-('Diário 6º PA'!$E$5:$E$2246='Analítico Cp.'!$B117),-('Diário 6º PA'!$Q$5:$Q$2246=K$1),('Diário 6º PA'!$F$5:$F$2246))
+SUMPRODUCT(-('Diário 7º PA'!$E$5:$E$2271='Analítico Cp.'!$B117),-('Diário 7º PA'!$Q$5:$Q$2271=K$1),('Diário 7º PA'!$F$5:$F$2271))
+SUMPRODUCT(-('Diário 8º PA'!$E$5:$E$2488='Analítico Cp.'!$B117),-('Diário 8º PA'!$Q$5:$Q$2488=K$1),('Diário 8º PA'!$F$5:$F$2488))
+SUMPRODUCT(-('Comp.'!$D$5:$D$313='Analítico Cp.'!$B117),-('Comp.'!$R$5:$R$313=K$1),('Comp.'!$E$5:$E$313))</f>
        <v>0</v>
      </c>
      <c r="L117" s="185">
        <f>SUMPRODUCT(-('Diário 5º PA'!$E$5:$E$2634='Analítico Cp.'!$B117),-('Diário 5º PA'!$Q$5:$Q$2634=L$1),('Diário 5º PA'!$F$5:$F$2634))
+SUMPRODUCT(-('Diário 6º PA'!$E$5:$E$2246='Analítico Cp.'!$B117),-('Diário 6º PA'!$Q$5:$Q$2246=L$1),('Diário 6º PA'!$F$5:$F$2246))
+SUMPRODUCT(-('Diário 7º PA'!$E$5:$E$2271='Analítico Cp.'!$B117),-('Diário 7º PA'!$Q$5:$Q$2271=L$1),('Diário 7º PA'!$F$5:$F$2271))
+SUMPRODUCT(-('Diário 8º PA'!$E$5:$E$2488='Analítico Cp.'!$B117),-('Diário 8º PA'!$Q$5:$Q$2488=L$1),('Diário 8º PA'!$F$5:$F$2488))
+SUMPRODUCT(-('Comp.'!$D$5:$D$313='Analítico Cp.'!$B117),-('Comp.'!$R$5:$R$313=L$1),('Comp.'!$E$5:$E$313))</f>
        <v>0</v>
      </c>
      <c r="M117" s="185">
        <f>SUMPRODUCT(-('Diário 5º PA'!$E$5:$E$2634='Analítico Cp.'!$B117),-('Diário 5º PA'!$Q$5:$Q$2634=M$1),('Diário 5º PA'!$F$5:$F$2634))
+SUMPRODUCT(-('Diário 6º PA'!$E$5:$E$2246='Analítico Cp.'!$B117),-('Diário 6º PA'!$Q$5:$Q$2246=M$1),('Diário 6º PA'!$F$5:$F$2246))
+SUMPRODUCT(-('Diário 7º PA'!$E$5:$E$2271='Analítico Cp.'!$B117),-('Diário 7º PA'!$Q$5:$Q$2271=M$1),('Diário 7º PA'!$F$5:$F$2271))
+SUMPRODUCT(-('Diário 8º PA'!$E$5:$E$2488='Analítico Cp.'!$B117),-('Diário 8º PA'!$Q$5:$Q$2488=M$1),('Diário 8º PA'!$F$5:$F$2488))
+SUMPRODUCT(-('Comp.'!$D$5:$D$313='Analítico Cp.'!$B117),-('Comp.'!$R$5:$R$313=M$1),('Comp.'!$E$5:$E$313))</f>
        <v>0</v>
      </c>
      <c r="N117" s="185">
        <f>SUMPRODUCT(-('Diário 5º PA'!$E$5:$E$2634='Analítico Cp.'!$B117),-('Diário 5º PA'!$Q$5:$Q$2634=N$1),('Diário 5º PA'!$F$5:$F$2634))
+SUMPRODUCT(-('Diário 6º PA'!$E$5:$E$2246='Analítico Cp.'!$B117),-('Diário 6º PA'!$Q$5:$Q$2246=N$1),('Diário 6º PA'!$F$5:$F$2246))
+SUMPRODUCT(-('Diário 7º PA'!$E$5:$E$2271='Analítico Cp.'!$B117),-('Diário 7º PA'!$Q$5:$Q$2271=N$1),('Diário 7º PA'!$F$5:$F$2271))
+SUMPRODUCT(-('Diário 8º PA'!$E$5:$E$2488='Analítico Cp.'!$B117),-('Diário 8º PA'!$Q$5:$Q$2488=N$1),('Diário 8º PA'!$F$5:$F$2488))
+SUMPRODUCT(-('Comp.'!$D$5:$D$313='Analítico Cp.'!$B117),-('Comp.'!$R$5:$R$313=N$1),('Comp.'!$E$5:$E$313))</f>
        <v>0</v>
      </c>
      <c r="O117" s="186">
        <f t="shared" si="16"/>
        <v>0</v>
      </c>
      <c r="P117" s="187">
        <f t="shared" si="17"/>
        <v>0</v>
      </c>
      <c r="Q117" s="34"/>
      <c r="R117" s="34"/>
      <c r="S117" s="34"/>
      <c r="T117" s="34"/>
      <c r="U117" s="34"/>
      <c r="V117" s="34"/>
      <c r="W117" s="34"/>
      <c r="X117" s="34"/>
      <c r="Y117" s="34"/>
      <c r="Z117" s="34"/>
    </row>
    <row r="118" spans="1:26" ht="12.75" customHeight="1" x14ac:dyDescent="0.2">
      <c r="A118" s="203" t="s">
        <v>333</v>
      </c>
      <c r="B118" s="72" t="s">
        <v>334</v>
      </c>
      <c r="C118" s="185">
        <f>SUMPRODUCT(-('Diário 5º PA'!$E$5:$E$2634='Analítico Cp.'!$B118),-('Diário 5º PA'!$Q$5:$Q$2634=C$1),('Diário 5º PA'!$F$5:$F$2634))
+SUMPRODUCT(-('Diário 6º PA'!$E$5:$E$2246='Analítico Cp.'!$B118),-('Diário 6º PA'!$Q$5:$Q$2246=C$1),('Diário 6º PA'!$F$5:$F$2246))
+SUMPRODUCT(-('Diário 7º PA'!$E$5:$E$2271='Analítico Cp.'!$B118),-('Diário 7º PA'!$Q$5:$Q$2271=C$1),('Diário 7º PA'!$F$5:$F$2271))
+SUMPRODUCT(-('Diário 8º PA'!$E$5:$E$2488='Analítico Cp.'!$B118),-('Diário 8º PA'!$Q$5:$Q$2488=C$1),('Diário 8º PA'!$F$5:$F$2488))
+SUMPRODUCT(-('Comp.'!$D$5:$D$313='Analítico Cp.'!$B118),-('Comp.'!$R$5:$R$313=C$1),('Comp.'!$E$5:$E$313))</f>
        <v>0</v>
      </c>
      <c r="D118" s="185">
        <f>SUMPRODUCT(-('Diário 5º PA'!$E$5:$E$2634='Analítico Cp.'!$B118),-('Diário 5º PA'!$Q$5:$Q$2634=D$1),('Diário 5º PA'!$F$5:$F$2634))
+SUMPRODUCT(-('Diário 6º PA'!$E$5:$E$2246='Analítico Cp.'!$B118),-('Diário 6º PA'!$Q$5:$Q$2246=D$1),('Diário 6º PA'!$F$5:$F$2246))
+SUMPRODUCT(-('Diário 7º PA'!$E$5:$E$2271='Analítico Cp.'!$B118),-('Diário 7º PA'!$Q$5:$Q$2271=D$1),('Diário 7º PA'!$F$5:$F$2271))
+SUMPRODUCT(-('Diário 8º PA'!$E$5:$E$2488='Analítico Cp.'!$B118),-('Diário 8º PA'!$Q$5:$Q$2488=D$1),('Diário 8º PA'!$F$5:$F$2488))
+SUMPRODUCT(-('Comp.'!$D$5:$D$313='Analítico Cp.'!$B118),-('Comp.'!$R$5:$R$313=D$1),('Comp.'!$E$5:$E$313))</f>
        <v>0</v>
      </c>
      <c r="E118" s="185">
        <f>SUMPRODUCT(-('Diário 5º PA'!$E$5:$E$2634='Analítico Cp.'!$B118),-('Diário 5º PA'!$Q$5:$Q$2634=E$1),('Diário 5º PA'!$F$5:$F$2634))
+SUMPRODUCT(-('Diário 6º PA'!$E$5:$E$2246='Analítico Cp.'!$B118),-('Diário 6º PA'!$Q$5:$Q$2246=E$1),('Diário 6º PA'!$F$5:$F$2246))
+SUMPRODUCT(-('Diário 7º PA'!$E$5:$E$2271='Analítico Cp.'!$B118),-('Diário 7º PA'!$Q$5:$Q$2271=E$1),('Diário 7º PA'!$F$5:$F$2271))
+SUMPRODUCT(-('Diário 8º PA'!$E$5:$E$2488='Analítico Cp.'!$B118),-('Diário 8º PA'!$Q$5:$Q$2488=E$1),('Diário 8º PA'!$F$5:$F$2488))
+SUMPRODUCT(-('Comp.'!$D$5:$D$313='Analítico Cp.'!$B118),-('Comp.'!$R$5:$R$313=E$1),('Comp.'!$E$5:$E$313))</f>
        <v>0</v>
      </c>
      <c r="F118" s="185">
        <f>SUMPRODUCT(-('Diário 5º PA'!$E$5:$E$2634='Analítico Cp.'!$B118),-('Diário 5º PA'!$Q$5:$Q$2634=F$1),('Diário 5º PA'!$F$5:$F$2634))
+SUMPRODUCT(-('Diário 6º PA'!$E$5:$E$2246='Analítico Cp.'!$B118),-('Diário 6º PA'!$Q$5:$Q$2246=F$1),('Diário 6º PA'!$F$5:$F$2246))
+SUMPRODUCT(-('Diário 7º PA'!$E$5:$E$2271='Analítico Cp.'!$B118),-('Diário 7º PA'!$Q$5:$Q$2271=F$1),('Diário 7º PA'!$F$5:$F$2271))
+SUMPRODUCT(-('Diário 8º PA'!$E$5:$E$2488='Analítico Cp.'!$B118),-('Diário 8º PA'!$Q$5:$Q$2488=F$1),('Diário 8º PA'!$F$5:$F$2488))
+SUMPRODUCT(-('Comp.'!$D$5:$D$313='Analítico Cp.'!$B118),-('Comp.'!$R$5:$R$313=F$1),('Comp.'!$E$5:$E$313))</f>
        <v>0</v>
      </c>
      <c r="G118" s="185">
        <f>SUMPRODUCT(-('Diário 5º PA'!$E$5:$E$2634='Analítico Cp.'!$B118),-('Diário 5º PA'!$Q$5:$Q$2634=G$1),('Diário 5º PA'!$F$5:$F$2634))
+SUMPRODUCT(-('Diário 6º PA'!$E$5:$E$2246='Analítico Cp.'!$B118),-('Diário 6º PA'!$Q$5:$Q$2246=G$1),('Diário 6º PA'!$F$5:$F$2246))
+SUMPRODUCT(-('Diário 7º PA'!$E$5:$E$2271='Analítico Cp.'!$B118),-('Diário 7º PA'!$Q$5:$Q$2271=G$1),('Diário 7º PA'!$F$5:$F$2271))
+SUMPRODUCT(-('Diário 8º PA'!$E$5:$E$2488='Analítico Cp.'!$B118),-('Diário 8º PA'!$Q$5:$Q$2488=G$1),('Diário 8º PA'!$F$5:$F$2488))
+SUMPRODUCT(-('Comp.'!$D$5:$D$313='Analítico Cp.'!$B118),-('Comp.'!$R$5:$R$313=G$1),('Comp.'!$E$5:$E$313))</f>
        <v>0</v>
      </c>
      <c r="H118" s="185">
        <f>SUMPRODUCT(-('Diário 5º PA'!$E$5:$E$2634='Analítico Cp.'!$B118),-('Diário 5º PA'!$Q$5:$Q$2634=H$1),('Diário 5º PA'!$F$5:$F$2634))
+SUMPRODUCT(-('Diário 6º PA'!$E$5:$E$2246='Analítico Cp.'!$B118),-('Diário 6º PA'!$Q$5:$Q$2246=H$1),('Diário 6º PA'!$F$5:$F$2246))
+SUMPRODUCT(-('Diário 7º PA'!$E$5:$E$2271='Analítico Cp.'!$B118),-('Diário 7º PA'!$Q$5:$Q$2271=H$1),('Diário 7º PA'!$F$5:$F$2271))
+SUMPRODUCT(-('Diário 8º PA'!$E$5:$E$2488='Analítico Cp.'!$B118),-('Diário 8º PA'!$Q$5:$Q$2488=H$1),('Diário 8º PA'!$F$5:$F$2488))
+SUMPRODUCT(-('Comp.'!$D$5:$D$313='Analítico Cp.'!$B118),-('Comp.'!$R$5:$R$313=H$1),('Comp.'!$E$5:$E$313))</f>
        <v>0</v>
      </c>
      <c r="I118" s="185">
        <f>SUMPRODUCT(-('Diário 5º PA'!$E$5:$E$2634='Analítico Cp.'!$B118),-('Diário 5º PA'!$Q$5:$Q$2634=I$1),('Diário 5º PA'!$F$5:$F$2634))
+SUMPRODUCT(-('Diário 6º PA'!$E$5:$E$2246='Analítico Cp.'!$B118),-('Diário 6º PA'!$Q$5:$Q$2246=I$1),('Diário 6º PA'!$F$5:$F$2246))
+SUMPRODUCT(-('Diário 7º PA'!$E$5:$E$2271='Analítico Cp.'!$B118),-('Diário 7º PA'!$Q$5:$Q$2271=I$1),('Diário 7º PA'!$F$5:$F$2271))
+SUMPRODUCT(-('Diário 8º PA'!$E$5:$E$2488='Analítico Cp.'!$B118),-('Diário 8º PA'!$Q$5:$Q$2488=I$1),('Diário 8º PA'!$F$5:$F$2488))
+SUMPRODUCT(-('Comp.'!$D$5:$D$313='Analítico Cp.'!$B118),-('Comp.'!$R$5:$R$313=I$1),('Comp.'!$E$5:$E$313))</f>
        <v>0</v>
      </c>
      <c r="J118" s="185">
        <f>SUMPRODUCT(-('Diário 5º PA'!$E$5:$E$2634='Analítico Cp.'!$B118),-('Diário 5º PA'!$Q$5:$Q$2634=J$1),('Diário 5º PA'!$F$5:$F$2634))
+SUMPRODUCT(-('Diário 6º PA'!$E$5:$E$2246='Analítico Cp.'!$B118),-('Diário 6º PA'!$Q$5:$Q$2246=J$1),('Diário 6º PA'!$F$5:$F$2246))
+SUMPRODUCT(-('Diário 7º PA'!$E$5:$E$2271='Analítico Cp.'!$B118),-('Diário 7º PA'!$Q$5:$Q$2271=J$1),('Diário 7º PA'!$F$5:$F$2271))
+SUMPRODUCT(-('Diário 8º PA'!$E$5:$E$2488='Analítico Cp.'!$B118),-('Diário 8º PA'!$Q$5:$Q$2488=J$1),('Diário 8º PA'!$F$5:$F$2488))
+SUMPRODUCT(-('Comp.'!$D$5:$D$313='Analítico Cp.'!$B118),-('Comp.'!$R$5:$R$313=J$1),('Comp.'!$E$5:$E$313))</f>
        <v>0</v>
      </c>
      <c r="K118" s="185">
        <f>SUMPRODUCT(-('Diário 5º PA'!$E$5:$E$2634='Analítico Cp.'!$B118),-('Diário 5º PA'!$Q$5:$Q$2634=K$1),('Diário 5º PA'!$F$5:$F$2634))
+SUMPRODUCT(-('Diário 6º PA'!$E$5:$E$2246='Analítico Cp.'!$B118),-('Diário 6º PA'!$Q$5:$Q$2246=K$1),('Diário 6º PA'!$F$5:$F$2246))
+SUMPRODUCT(-('Diário 7º PA'!$E$5:$E$2271='Analítico Cp.'!$B118),-('Diário 7º PA'!$Q$5:$Q$2271=K$1),('Diário 7º PA'!$F$5:$F$2271))
+SUMPRODUCT(-('Diário 8º PA'!$E$5:$E$2488='Analítico Cp.'!$B118),-('Diário 8º PA'!$Q$5:$Q$2488=K$1),('Diário 8º PA'!$F$5:$F$2488))
+SUMPRODUCT(-('Comp.'!$D$5:$D$313='Analítico Cp.'!$B118),-('Comp.'!$R$5:$R$313=K$1),('Comp.'!$E$5:$E$313))</f>
        <v>0</v>
      </c>
      <c r="L118" s="185">
        <f>SUMPRODUCT(-('Diário 5º PA'!$E$5:$E$2634='Analítico Cp.'!$B118),-('Diário 5º PA'!$Q$5:$Q$2634=L$1),('Diário 5º PA'!$F$5:$F$2634))
+SUMPRODUCT(-('Diário 6º PA'!$E$5:$E$2246='Analítico Cp.'!$B118),-('Diário 6º PA'!$Q$5:$Q$2246=L$1),('Diário 6º PA'!$F$5:$F$2246))
+SUMPRODUCT(-('Diário 7º PA'!$E$5:$E$2271='Analítico Cp.'!$B118),-('Diário 7º PA'!$Q$5:$Q$2271=L$1),('Diário 7º PA'!$F$5:$F$2271))
+SUMPRODUCT(-('Diário 8º PA'!$E$5:$E$2488='Analítico Cp.'!$B118),-('Diário 8º PA'!$Q$5:$Q$2488=L$1),('Diário 8º PA'!$F$5:$F$2488))
+SUMPRODUCT(-('Comp.'!$D$5:$D$313='Analítico Cp.'!$B118),-('Comp.'!$R$5:$R$313=L$1),('Comp.'!$E$5:$E$313))</f>
        <v>0</v>
      </c>
      <c r="M118" s="185">
        <f>SUMPRODUCT(-('Diário 5º PA'!$E$5:$E$2634='Analítico Cp.'!$B118),-('Diário 5º PA'!$Q$5:$Q$2634=M$1),('Diário 5º PA'!$F$5:$F$2634))
+SUMPRODUCT(-('Diário 6º PA'!$E$5:$E$2246='Analítico Cp.'!$B118),-('Diário 6º PA'!$Q$5:$Q$2246=M$1),('Diário 6º PA'!$F$5:$F$2246))
+SUMPRODUCT(-('Diário 7º PA'!$E$5:$E$2271='Analítico Cp.'!$B118),-('Diário 7º PA'!$Q$5:$Q$2271=M$1),('Diário 7º PA'!$F$5:$F$2271))
+SUMPRODUCT(-('Diário 8º PA'!$E$5:$E$2488='Analítico Cp.'!$B118),-('Diário 8º PA'!$Q$5:$Q$2488=M$1),('Diário 8º PA'!$F$5:$F$2488))
+SUMPRODUCT(-('Comp.'!$D$5:$D$313='Analítico Cp.'!$B118),-('Comp.'!$R$5:$R$313=M$1),('Comp.'!$E$5:$E$313))</f>
        <v>0</v>
      </c>
      <c r="N118" s="185">
        <f>SUMPRODUCT(-('Diário 5º PA'!$E$5:$E$2634='Analítico Cp.'!$B118),-('Diário 5º PA'!$Q$5:$Q$2634=N$1),('Diário 5º PA'!$F$5:$F$2634))
+SUMPRODUCT(-('Diário 6º PA'!$E$5:$E$2246='Analítico Cp.'!$B118),-('Diário 6º PA'!$Q$5:$Q$2246=N$1),('Diário 6º PA'!$F$5:$F$2246))
+SUMPRODUCT(-('Diário 7º PA'!$E$5:$E$2271='Analítico Cp.'!$B118),-('Diário 7º PA'!$Q$5:$Q$2271=N$1),('Diário 7º PA'!$F$5:$F$2271))
+SUMPRODUCT(-('Diário 8º PA'!$E$5:$E$2488='Analítico Cp.'!$B118),-('Diário 8º PA'!$Q$5:$Q$2488=N$1),('Diário 8º PA'!$F$5:$F$2488))
+SUMPRODUCT(-('Comp.'!$D$5:$D$313='Analítico Cp.'!$B118),-('Comp.'!$R$5:$R$313=N$1),('Comp.'!$E$5:$E$313))</f>
        <v>0</v>
      </c>
      <c r="O118" s="186">
        <f t="shared" si="16"/>
        <v>0</v>
      </c>
      <c r="P118" s="187">
        <f t="shared" si="17"/>
        <v>0</v>
      </c>
      <c r="Q118" s="34"/>
      <c r="R118" s="34"/>
      <c r="S118" s="34"/>
      <c r="T118" s="34"/>
      <c r="U118" s="34"/>
      <c r="V118" s="34"/>
      <c r="W118" s="34"/>
      <c r="X118" s="34"/>
      <c r="Y118" s="34"/>
      <c r="Z118" s="34"/>
    </row>
    <row r="119" spans="1:26" ht="12.75" customHeight="1" x14ac:dyDescent="0.2">
      <c r="A119" s="203" t="s">
        <v>335</v>
      </c>
      <c r="B119" s="72" t="s">
        <v>336</v>
      </c>
      <c r="C119" s="185">
        <f>SUMPRODUCT(-('Diário 5º PA'!$E$5:$E$2634='Analítico Cp.'!$B119),-('Diário 5º PA'!$Q$5:$Q$2634=C$1),('Diário 5º PA'!$F$5:$F$2634))
+SUMPRODUCT(-('Diário 6º PA'!$E$5:$E$2246='Analítico Cp.'!$B119),-('Diário 6º PA'!$Q$5:$Q$2246=C$1),('Diário 6º PA'!$F$5:$F$2246))
+SUMPRODUCT(-('Diário 7º PA'!$E$5:$E$2271='Analítico Cp.'!$B119),-('Diário 7º PA'!$Q$5:$Q$2271=C$1),('Diário 7º PA'!$F$5:$F$2271))
+SUMPRODUCT(-('Diário 8º PA'!$E$5:$E$2488='Analítico Cp.'!$B119),-('Diário 8º PA'!$Q$5:$Q$2488=C$1),('Diário 8º PA'!$F$5:$F$2488))
+SUMPRODUCT(-('Comp.'!$D$5:$D$313='Analítico Cp.'!$B119),-('Comp.'!$R$5:$R$313=C$1),('Comp.'!$E$5:$E$313))</f>
        <v>3934.69</v>
      </c>
      <c r="D119" s="185">
        <f>SUMPRODUCT(-('Diário 5º PA'!$E$5:$E$2634='Analítico Cp.'!$B119),-('Diário 5º PA'!$Q$5:$Q$2634=D$1),('Diário 5º PA'!$F$5:$F$2634))
+SUMPRODUCT(-('Diário 6º PA'!$E$5:$E$2246='Analítico Cp.'!$B119),-('Diário 6º PA'!$Q$5:$Q$2246=D$1),('Diário 6º PA'!$F$5:$F$2246))
+SUMPRODUCT(-('Diário 7º PA'!$E$5:$E$2271='Analítico Cp.'!$B119),-('Diário 7º PA'!$Q$5:$Q$2271=D$1),('Diário 7º PA'!$F$5:$F$2271))
+SUMPRODUCT(-('Diário 8º PA'!$E$5:$E$2488='Analítico Cp.'!$B119),-('Diário 8º PA'!$Q$5:$Q$2488=D$1),('Diário 8º PA'!$F$5:$F$2488))
+SUMPRODUCT(-('Comp.'!$D$5:$D$313='Analítico Cp.'!$B119),-('Comp.'!$R$5:$R$313=D$1),('Comp.'!$E$5:$E$313))</f>
        <v>4200</v>
      </c>
      <c r="E119" s="185">
        <f>SUMPRODUCT(-('Diário 5º PA'!$E$5:$E$2634='Analítico Cp.'!$B119),-('Diário 5º PA'!$Q$5:$Q$2634=E$1),('Diário 5º PA'!$F$5:$F$2634))
+SUMPRODUCT(-('Diário 6º PA'!$E$5:$E$2246='Analítico Cp.'!$B119),-('Diário 6º PA'!$Q$5:$Q$2246=E$1),('Diário 6º PA'!$F$5:$F$2246))
+SUMPRODUCT(-('Diário 7º PA'!$E$5:$E$2271='Analítico Cp.'!$B119),-('Diário 7º PA'!$Q$5:$Q$2271=E$1),('Diário 7º PA'!$F$5:$F$2271))
+SUMPRODUCT(-('Diário 8º PA'!$E$5:$E$2488='Analítico Cp.'!$B119),-('Diário 8º PA'!$Q$5:$Q$2488=E$1),('Diário 8º PA'!$F$5:$F$2488))
+SUMPRODUCT(-('Comp.'!$D$5:$D$313='Analítico Cp.'!$B119),-('Comp.'!$R$5:$R$313=E$1),('Comp.'!$E$5:$E$313))</f>
        <v>10900</v>
      </c>
      <c r="F119" s="185">
        <f>SUMPRODUCT(-('Diário 5º PA'!$E$5:$E$2634='Analítico Cp.'!$B119),-('Diário 5º PA'!$Q$5:$Q$2634=F$1),('Diário 5º PA'!$F$5:$F$2634))
+SUMPRODUCT(-('Diário 6º PA'!$E$5:$E$2246='Analítico Cp.'!$B119),-('Diário 6º PA'!$Q$5:$Q$2246=F$1),('Diário 6º PA'!$F$5:$F$2246))
+SUMPRODUCT(-('Diário 7º PA'!$E$5:$E$2271='Analítico Cp.'!$B119),-('Diário 7º PA'!$Q$5:$Q$2271=F$1),('Diário 7º PA'!$F$5:$F$2271))
+SUMPRODUCT(-('Diário 8º PA'!$E$5:$E$2488='Analítico Cp.'!$B119),-('Diário 8º PA'!$Q$5:$Q$2488=F$1),('Diário 8º PA'!$F$5:$F$2488))
+SUMPRODUCT(-('Comp.'!$D$5:$D$313='Analítico Cp.'!$B119),-('Comp.'!$R$5:$R$313=F$1),('Comp.'!$E$5:$E$313))</f>
        <v>9624</v>
      </c>
      <c r="G119" s="185">
        <f>SUMPRODUCT(-('Diário 5º PA'!$E$5:$E$2634='Analítico Cp.'!$B119),-('Diário 5º PA'!$Q$5:$Q$2634=G$1),('Diário 5º PA'!$F$5:$F$2634))
+SUMPRODUCT(-('Diário 6º PA'!$E$5:$E$2246='Analítico Cp.'!$B119),-('Diário 6º PA'!$Q$5:$Q$2246=G$1),('Diário 6º PA'!$F$5:$F$2246))
+SUMPRODUCT(-('Diário 7º PA'!$E$5:$E$2271='Analítico Cp.'!$B119),-('Diário 7º PA'!$Q$5:$Q$2271=G$1),('Diário 7º PA'!$F$5:$F$2271))
+SUMPRODUCT(-('Diário 8º PA'!$E$5:$E$2488='Analítico Cp.'!$B119),-('Diário 8º PA'!$Q$5:$Q$2488=G$1),('Diário 8º PA'!$F$5:$F$2488))
+SUMPRODUCT(-('Comp.'!$D$5:$D$313='Analítico Cp.'!$B119),-('Comp.'!$R$5:$R$313=G$1),('Comp.'!$E$5:$E$313))</f>
        <v>60629.270000000004</v>
      </c>
      <c r="H119" s="185">
        <f>SUMPRODUCT(-('Diário 5º PA'!$E$5:$E$2634='Analítico Cp.'!$B119),-('Diário 5º PA'!$Q$5:$Q$2634=H$1),('Diário 5º PA'!$F$5:$F$2634))
+SUMPRODUCT(-('Diário 6º PA'!$E$5:$E$2246='Analítico Cp.'!$B119),-('Diário 6º PA'!$Q$5:$Q$2246=H$1),('Diário 6º PA'!$F$5:$F$2246))
+SUMPRODUCT(-('Diário 7º PA'!$E$5:$E$2271='Analítico Cp.'!$B119),-('Diário 7º PA'!$Q$5:$Q$2271=H$1),('Diário 7º PA'!$F$5:$F$2271))
+SUMPRODUCT(-('Diário 8º PA'!$E$5:$E$2488='Analítico Cp.'!$B119),-('Diário 8º PA'!$Q$5:$Q$2488=H$1),('Diário 8º PA'!$F$5:$F$2488))
+SUMPRODUCT(-('Comp.'!$D$5:$D$313='Analítico Cp.'!$B119),-('Comp.'!$R$5:$R$313=H$1),('Comp.'!$E$5:$E$313))</f>
        <v>108730.73000000001</v>
      </c>
      <c r="I119" s="185">
        <f>SUMPRODUCT(-('Diário 5º PA'!$E$5:$E$2634='Analítico Cp.'!$B119),-('Diário 5º PA'!$Q$5:$Q$2634=I$1),('Diário 5º PA'!$F$5:$F$2634))
+SUMPRODUCT(-('Diário 6º PA'!$E$5:$E$2246='Analítico Cp.'!$B119),-('Diário 6º PA'!$Q$5:$Q$2246=I$1),('Diário 6º PA'!$F$5:$F$2246))
+SUMPRODUCT(-('Diário 7º PA'!$E$5:$E$2271='Analítico Cp.'!$B119),-('Diário 7º PA'!$Q$5:$Q$2271=I$1),('Diário 7º PA'!$F$5:$F$2271))
+SUMPRODUCT(-('Diário 8º PA'!$E$5:$E$2488='Analítico Cp.'!$B119),-('Diário 8º PA'!$Q$5:$Q$2488=I$1),('Diário 8º PA'!$F$5:$F$2488))
+SUMPRODUCT(-('Comp.'!$D$5:$D$313='Analítico Cp.'!$B119),-('Comp.'!$R$5:$R$313=I$1),('Comp.'!$E$5:$E$313))</f>
        <v>80000</v>
      </c>
      <c r="J119" s="185">
        <f>SUMPRODUCT(-('Diário 5º PA'!$E$5:$E$2634='Analítico Cp.'!$B119),-('Diário 5º PA'!$Q$5:$Q$2634=J$1),('Diário 5º PA'!$F$5:$F$2634))
+SUMPRODUCT(-('Diário 6º PA'!$E$5:$E$2246='Analítico Cp.'!$B119),-('Diário 6º PA'!$Q$5:$Q$2246=J$1),('Diário 6º PA'!$F$5:$F$2246))
+SUMPRODUCT(-('Diário 7º PA'!$E$5:$E$2271='Analítico Cp.'!$B119),-('Diário 7º PA'!$Q$5:$Q$2271=J$1),('Diário 7º PA'!$F$5:$F$2271))
+SUMPRODUCT(-('Diário 8º PA'!$E$5:$E$2488='Analítico Cp.'!$B119),-('Diário 8º PA'!$Q$5:$Q$2488=J$1),('Diário 8º PA'!$F$5:$F$2488))
+SUMPRODUCT(-('Comp.'!$D$5:$D$313='Analítico Cp.'!$B119),-('Comp.'!$R$5:$R$313=J$1),('Comp.'!$E$5:$E$313))</f>
        <v>55700</v>
      </c>
      <c r="K119" s="185">
        <f>SUMPRODUCT(-('Diário 5º PA'!$E$5:$E$2634='Analítico Cp.'!$B119),-('Diário 5º PA'!$Q$5:$Q$2634=K$1),('Diário 5º PA'!$F$5:$F$2634))
+SUMPRODUCT(-('Diário 6º PA'!$E$5:$E$2246='Analítico Cp.'!$B119),-('Diário 6º PA'!$Q$5:$Q$2246=K$1),('Diário 6º PA'!$F$5:$F$2246))
+SUMPRODUCT(-('Diário 7º PA'!$E$5:$E$2271='Analítico Cp.'!$B119),-('Diário 7º PA'!$Q$5:$Q$2271=K$1),('Diário 7º PA'!$F$5:$F$2271))
+SUMPRODUCT(-('Diário 8º PA'!$E$5:$E$2488='Analítico Cp.'!$B119),-('Diário 8º PA'!$Q$5:$Q$2488=K$1),('Diário 8º PA'!$F$5:$F$2488))
+SUMPRODUCT(-('Comp.'!$D$5:$D$313='Analítico Cp.'!$B119),-('Comp.'!$R$5:$R$313=K$1),('Comp.'!$E$5:$E$313))</f>
        <v>3842</v>
      </c>
      <c r="L119" s="185">
        <f>SUMPRODUCT(-('Diário 5º PA'!$E$5:$E$2634='Analítico Cp.'!$B119),-('Diário 5º PA'!$Q$5:$Q$2634=L$1),('Diário 5º PA'!$F$5:$F$2634))
+SUMPRODUCT(-('Diário 6º PA'!$E$5:$E$2246='Analítico Cp.'!$B119),-('Diário 6º PA'!$Q$5:$Q$2246=L$1),('Diário 6º PA'!$F$5:$F$2246))
+SUMPRODUCT(-('Diário 7º PA'!$E$5:$E$2271='Analítico Cp.'!$B119),-('Diário 7º PA'!$Q$5:$Q$2271=L$1),('Diário 7º PA'!$F$5:$F$2271))
+SUMPRODUCT(-('Diário 8º PA'!$E$5:$E$2488='Analítico Cp.'!$B119),-('Diário 8º PA'!$Q$5:$Q$2488=L$1),('Diário 8º PA'!$F$5:$F$2488))
+SUMPRODUCT(-('Comp.'!$D$5:$D$313='Analítico Cp.'!$B119),-('Comp.'!$R$5:$R$313=L$1),('Comp.'!$E$5:$E$313))</f>
        <v>29492.010000000002</v>
      </c>
      <c r="M119" s="185">
        <f>SUMPRODUCT(-('Diário 5º PA'!$E$5:$E$2634='Analítico Cp.'!$B119),-('Diário 5º PA'!$Q$5:$Q$2634=M$1),('Diário 5º PA'!$F$5:$F$2634))
+SUMPRODUCT(-('Diário 6º PA'!$E$5:$E$2246='Analítico Cp.'!$B119),-('Diário 6º PA'!$Q$5:$Q$2246=M$1),('Diário 6º PA'!$F$5:$F$2246))
+SUMPRODUCT(-('Diário 7º PA'!$E$5:$E$2271='Analítico Cp.'!$B119),-('Diário 7º PA'!$Q$5:$Q$2271=M$1),('Diário 7º PA'!$F$5:$F$2271))
+SUMPRODUCT(-('Diário 8º PA'!$E$5:$E$2488='Analítico Cp.'!$B119),-('Diário 8º PA'!$Q$5:$Q$2488=M$1),('Diário 8º PA'!$F$5:$F$2488))
+SUMPRODUCT(-('Comp.'!$D$5:$D$313='Analítico Cp.'!$B119),-('Comp.'!$R$5:$R$313=M$1),('Comp.'!$E$5:$E$313))</f>
        <v>10316.240000000002</v>
      </c>
      <c r="N119" s="185">
        <f>SUMPRODUCT(-('Diário 5º PA'!$E$5:$E$2634='Analítico Cp.'!$B119),-('Diário 5º PA'!$Q$5:$Q$2634=N$1),('Diário 5º PA'!$F$5:$F$2634))
+SUMPRODUCT(-('Diário 6º PA'!$E$5:$E$2246='Analítico Cp.'!$B119),-('Diário 6º PA'!$Q$5:$Q$2246=N$1),('Diário 6º PA'!$F$5:$F$2246))
+SUMPRODUCT(-('Diário 7º PA'!$E$5:$E$2271='Analítico Cp.'!$B119),-('Diário 7º PA'!$Q$5:$Q$2271=N$1),('Diário 7º PA'!$F$5:$F$2271))
+SUMPRODUCT(-('Diário 8º PA'!$E$5:$E$2488='Analítico Cp.'!$B119),-('Diário 8º PA'!$Q$5:$Q$2488=N$1),('Diário 8º PA'!$F$5:$F$2488))
+SUMPRODUCT(-('Comp.'!$D$5:$D$313='Analítico Cp.'!$B119),-('Comp.'!$R$5:$R$313=N$1),('Comp.'!$E$5:$E$313))</f>
        <v>3860</v>
      </c>
      <c r="O119" s="186">
        <f t="shared" si="16"/>
        <v>381228.94</v>
      </c>
      <c r="P119" s="187">
        <f t="shared" si="17"/>
        <v>3.9322300300631205E-2</v>
      </c>
      <c r="Q119" s="34"/>
      <c r="R119" s="34"/>
      <c r="S119" s="34"/>
      <c r="T119" s="34"/>
      <c r="U119" s="34"/>
      <c r="V119" s="34"/>
      <c r="W119" s="34"/>
      <c r="X119" s="34"/>
      <c r="Y119" s="34"/>
      <c r="Z119" s="34"/>
    </row>
    <row r="120" spans="1:26" ht="12.75" customHeight="1" x14ac:dyDescent="0.2">
      <c r="A120" s="203" t="s">
        <v>337</v>
      </c>
      <c r="B120" s="72" t="s">
        <v>338</v>
      </c>
      <c r="C120" s="185">
        <f>SUMPRODUCT(-('Diário 5º PA'!$E$5:$E$2634='Analítico Cp.'!$B120),-('Diário 5º PA'!$Q$5:$Q$2634=C$1),('Diário 5º PA'!$F$5:$F$2634))
+SUMPRODUCT(-('Diário 6º PA'!$E$5:$E$2246='Analítico Cp.'!$B120),-('Diário 6º PA'!$Q$5:$Q$2246=C$1),('Diário 6º PA'!$F$5:$F$2246))
+SUMPRODUCT(-('Diário 7º PA'!$E$5:$E$2271='Analítico Cp.'!$B120),-('Diário 7º PA'!$Q$5:$Q$2271=C$1),('Diário 7º PA'!$F$5:$F$2271))
+SUMPRODUCT(-('Diário 8º PA'!$E$5:$E$2488='Analítico Cp.'!$B120),-('Diário 8º PA'!$Q$5:$Q$2488=C$1),('Diário 8º PA'!$F$5:$F$2488))
+SUMPRODUCT(-('Comp.'!$D$5:$D$313='Analítico Cp.'!$B120),-('Comp.'!$R$5:$R$313=C$1),('Comp.'!$E$5:$E$313))</f>
        <v>0</v>
      </c>
      <c r="D120" s="185">
        <f>SUMPRODUCT(-('Diário 5º PA'!$E$5:$E$2634='Analítico Cp.'!$B120),-('Diário 5º PA'!$Q$5:$Q$2634=D$1),('Diário 5º PA'!$F$5:$F$2634))
+SUMPRODUCT(-('Diário 6º PA'!$E$5:$E$2246='Analítico Cp.'!$B120),-('Diário 6º PA'!$Q$5:$Q$2246=D$1),('Diário 6º PA'!$F$5:$F$2246))
+SUMPRODUCT(-('Diário 7º PA'!$E$5:$E$2271='Analítico Cp.'!$B120),-('Diário 7º PA'!$Q$5:$Q$2271=D$1),('Diário 7º PA'!$F$5:$F$2271))
+SUMPRODUCT(-('Diário 8º PA'!$E$5:$E$2488='Analítico Cp.'!$B120),-('Diário 8º PA'!$Q$5:$Q$2488=D$1),('Diário 8º PA'!$F$5:$F$2488))
+SUMPRODUCT(-('Comp.'!$D$5:$D$313='Analítico Cp.'!$B120),-('Comp.'!$R$5:$R$313=D$1),('Comp.'!$E$5:$E$313))</f>
        <v>0</v>
      </c>
      <c r="E120" s="185">
        <f>SUMPRODUCT(-('Diário 5º PA'!$E$5:$E$2634='Analítico Cp.'!$B120),-('Diário 5º PA'!$Q$5:$Q$2634=E$1),('Diário 5º PA'!$F$5:$F$2634))
+SUMPRODUCT(-('Diário 6º PA'!$E$5:$E$2246='Analítico Cp.'!$B120),-('Diário 6º PA'!$Q$5:$Q$2246=E$1),('Diário 6º PA'!$F$5:$F$2246))
+SUMPRODUCT(-('Diário 7º PA'!$E$5:$E$2271='Analítico Cp.'!$B120),-('Diário 7º PA'!$Q$5:$Q$2271=E$1),('Diário 7º PA'!$F$5:$F$2271))
+SUMPRODUCT(-('Diário 8º PA'!$E$5:$E$2488='Analítico Cp.'!$B120),-('Diário 8º PA'!$Q$5:$Q$2488=E$1),('Diário 8º PA'!$F$5:$F$2488))
+SUMPRODUCT(-('Comp.'!$D$5:$D$313='Analítico Cp.'!$B120),-('Comp.'!$R$5:$R$313=E$1),('Comp.'!$E$5:$E$313))</f>
        <v>0</v>
      </c>
      <c r="F120" s="185">
        <f>SUMPRODUCT(-('Diário 5º PA'!$E$5:$E$2634='Analítico Cp.'!$B120),-('Diário 5º PA'!$Q$5:$Q$2634=F$1),('Diário 5º PA'!$F$5:$F$2634))
+SUMPRODUCT(-('Diário 6º PA'!$E$5:$E$2246='Analítico Cp.'!$B120),-('Diário 6º PA'!$Q$5:$Q$2246=F$1),('Diário 6º PA'!$F$5:$F$2246))
+SUMPRODUCT(-('Diário 7º PA'!$E$5:$E$2271='Analítico Cp.'!$B120),-('Diário 7º PA'!$Q$5:$Q$2271=F$1),('Diário 7º PA'!$F$5:$F$2271))
+SUMPRODUCT(-('Diário 8º PA'!$E$5:$E$2488='Analítico Cp.'!$B120),-('Diário 8º PA'!$Q$5:$Q$2488=F$1),('Diário 8º PA'!$F$5:$F$2488))
+SUMPRODUCT(-('Comp.'!$D$5:$D$313='Analítico Cp.'!$B120),-('Comp.'!$R$5:$R$313=F$1),('Comp.'!$E$5:$E$313))</f>
        <v>0</v>
      </c>
      <c r="G120" s="185">
        <f>SUMPRODUCT(-('Diário 5º PA'!$E$5:$E$2634='Analítico Cp.'!$B120),-('Diário 5º PA'!$Q$5:$Q$2634=G$1),('Diário 5º PA'!$F$5:$F$2634))
+SUMPRODUCT(-('Diário 6º PA'!$E$5:$E$2246='Analítico Cp.'!$B120),-('Diário 6º PA'!$Q$5:$Q$2246=G$1),('Diário 6º PA'!$F$5:$F$2246))
+SUMPRODUCT(-('Diário 7º PA'!$E$5:$E$2271='Analítico Cp.'!$B120),-('Diário 7º PA'!$Q$5:$Q$2271=G$1),('Diário 7º PA'!$F$5:$F$2271))
+SUMPRODUCT(-('Diário 8º PA'!$E$5:$E$2488='Analítico Cp.'!$B120),-('Diário 8º PA'!$Q$5:$Q$2488=G$1),('Diário 8º PA'!$F$5:$F$2488))
+SUMPRODUCT(-('Comp.'!$D$5:$D$313='Analítico Cp.'!$B120),-('Comp.'!$R$5:$R$313=G$1),('Comp.'!$E$5:$E$313))</f>
        <v>0</v>
      </c>
      <c r="H120" s="185">
        <f>SUMPRODUCT(-('Diário 5º PA'!$E$5:$E$2634='Analítico Cp.'!$B120),-('Diário 5º PA'!$Q$5:$Q$2634=H$1),('Diário 5º PA'!$F$5:$F$2634))
+SUMPRODUCT(-('Diário 6º PA'!$E$5:$E$2246='Analítico Cp.'!$B120),-('Diário 6º PA'!$Q$5:$Q$2246=H$1),('Diário 6º PA'!$F$5:$F$2246))
+SUMPRODUCT(-('Diário 7º PA'!$E$5:$E$2271='Analítico Cp.'!$B120),-('Diário 7º PA'!$Q$5:$Q$2271=H$1),('Diário 7º PA'!$F$5:$F$2271))
+SUMPRODUCT(-('Diário 8º PA'!$E$5:$E$2488='Analítico Cp.'!$B120),-('Diário 8º PA'!$Q$5:$Q$2488=H$1),('Diário 8º PA'!$F$5:$F$2488))
+SUMPRODUCT(-('Comp.'!$D$5:$D$313='Analítico Cp.'!$B120),-('Comp.'!$R$5:$R$313=H$1),('Comp.'!$E$5:$E$313))</f>
        <v>0</v>
      </c>
      <c r="I120" s="185">
        <f>SUMPRODUCT(-('Diário 5º PA'!$E$5:$E$2634='Analítico Cp.'!$B120),-('Diário 5º PA'!$Q$5:$Q$2634=I$1),('Diário 5º PA'!$F$5:$F$2634))
+SUMPRODUCT(-('Diário 6º PA'!$E$5:$E$2246='Analítico Cp.'!$B120),-('Diário 6º PA'!$Q$5:$Q$2246=I$1),('Diário 6º PA'!$F$5:$F$2246))
+SUMPRODUCT(-('Diário 7º PA'!$E$5:$E$2271='Analítico Cp.'!$B120),-('Diário 7º PA'!$Q$5:$Q$2271=I$1),('Diário 7º PA'!$F$5:$F$2271))
+SUMPRODUCT(-('Diário 8º PA'!$E$5:$E$2488='Analítico Cp.'!$B120),-('Diário 8º PA'!$Q$5:$Q$2488=I$1),('Diário 8º PA'!$F$5:$F$2488))
+SUMPRODUCT(-('Comp.'!$D$5:$D$313='Analítico Cp.'!$B120),-('Comp.'!$R$5:$R$313=I$1),('Comp.'!$E$5:$E$313))</f>
        <v>0</v>
      </c>
      <c r="J120" s="185">
        <f>SUMPRODUCT(-('Diário 5º PA'!$E$5:$E$2634='Analítico Cp.'!$B120),-('Diário 5º PA'!$Q$5:$Q$2634=J$1),('Diário 5º PA'!$F$5:$F$2634))
+SUMPRODUCT(-('Diário 6º PA'!$E$5:$E$2246='Analítico Cp.'!$B120),-('Diário 6º PA'!$Q$5:$Q$2246=J$1),('Diário 6º PA'!$F$5:$F$2246))
+SUMPRODUCT(-('Diário 7º PA'!$E$5:$E$2271='Analítico Cp.'!$B120),-('Diário 7º PA'!$Q$5:$Q$2271=J$1),('Diário 7º PA'!$F$5:$F$2271))
+SUMPRODUCT(-('Diário 8º PA'!$E$5:$E$2488='Analítico Cp.'!$B120),-('Diário 8º PA'!$Q$5:$Q$2488=J$1),('Diário 8º PA'!$F$5:$F$2488))
+SUMPRODUCT(-('Comp.'!$D$5:$D$313='Analítico Cp.'!$B120),-('Comp.'!$R$5:$R$313=J$1),('Comp.'!$E$5:$E$313))</f>
        <v>0</v>
      </c>
      <c r="K120" s="185">
        <f>SUMPRODUCT(-('Diário 5º PA'!$E$5:$E$2634='Analítico Cp.'!$B120),-('Diário 5º PA'!$Q$5:$Q$2634=K$1),('Diário 5º PA'!$F$5:$F$2634))
+SUMPRODUCT(-('Diário 6º PA'!$E$5:$E$2246='Analítico Cp.'!$B120),-('Diário 6º PA'!$Q$5:$Q$2246=K$1),('Diário 6º PA'!$F$5:$F$2246))
+SUMPRODUCT(-('Diário 7º PA'!$E$5:$E$2271='Analítico Cp.'!$B120),-('Diário 7º PA'!$Q$5:$Q$2271=K$1),('Diário 7º PA'!$F$5:$F$2271))
+SUMPRODUCT(-('Diário 8º PA'!$E$5:$E$2488='Analítico Cp.'!$B120),-('Diário 8º PA'!$Q$5:$Q$2488=K$1),('Diário 8º PA'!$F$5:$F$2488))
+SUMPRODUCT(-('Comp.'!$D$5:$D$313='Analítico Cp.'!$B120),-('Comp.'!$R$5:$R$313=K$1),('Comp.'!$E$5:$E$313))</f>
        <v>0</v>
      </c>
      <c r="L120" s="185">
        <f>SUMPRODUCT(-('Diário 5º PA'!$E$5:$E$2634='Analítico Cp.'!$B120),-('Diário 5º PA'!$Q$5:$Q$2634=L$1),('Diário 5º PA'!$F$5:$F$2634))
+SUMPRODUCT(-('Diário 6º PA'!$E$5:$E$2246='Analítico Cp.'!$B120),-('Diário 6º PA'!$Q$5:$Q$2246=L$1),('Diário 6º PA'!$F$5:$F$2246))
+SUMPRODUCT(-('Diário 7º PA'!$E$5:$E$2271='Analítico Cp.'!$B120),-('Diário 7º PA'!$Q$5:$Q$2271=L$1),('Diário 7º PA'!$F$5:$F$2271))
+SUMPRODUCT(-('Diário 8º PA'!$E$5:$E$2488='Analítico Cp.'!$B120),-('Diário 8º PA'!$Q$5:$Q$2488=L$1),('Diário 8º PA'!$F$5:$F$2488))
+SUMPRODUCT(-('Comp.'!$D$5:$D$313='Analítico Cp.'!$B120),-('Comp.'!$R$5:$R$313=L$1),('Comp.'!$E$5:$E$313))</f>
        <v>0</v>
      </c>
      <c r="M120" s="185">
        <f>SUMPRODUCT(-('Diário 5º PA'!$E$5:$E$2634='Analítico Cp.'!$B120),-('Diário 5º PA'!$Q$5:$Q$2634=M$1),('Diário 5º PA'!$F$5:$F$2634))
+SUMPRODUCT(-('Diário 6º PA'!$E$5:$E$2246='Analítico Cp.'!$B120),-('Diário 6º PA'!$Q$5:$Q$2246=M$1),('Diário 6º PA'!$F$5:$F$2246))
+SUMPRODUCT(-('Diário 7º PA'!$E$5:$E$2271='Analítico Cp.'!$B120),-('Diário 7º PA'!$Q$5:$Q$2271=M$1),('Diário 7º PA'!$F$5:$F$2271))
+SUMPRODUCT(-('Diário 8º PA'!$E$5:$E$2488='Analítico Cp.'!$B120),-('Diário 8º PA'!$Q$5:$Q$2488=M$1),('Diário 8º PA'!$F$5:$F$2488))
+SUMPRODUCT(-('Comp.'!$D$5:$D$313='Analítico Cp.'!$B120),-('Comp.'!$R$5:$R$313=M$1),('Comp.'!$E$5:$E$313))</f>
        <v>0</v>
      </c>
      <c r="N120" s="185">
        <f>SUMPRODUCT(-('Diário 5º PA'!$E$5:$E$2634='Analítico Cp.'!$B120),-('Diário 5º PA'!$Q$5:$Q$2634=N$1),('Diário 5º PA'!$F$5:$F$2634))
+SUMPRODUCT(-('Diário 6º PA'!$E$5:$E$2246='Analítico Cp.'!$B120),-('Diário 6º PA'!$Q$5:$Q$2246=N$1),('Diário 6º PA'!$F$5:$F$2246))
+SUMPRODUCT(-('Diário 7º PA'!$E$5:$E$2271='Analítico Cp.'!$B120),-('Diário 7º PA'!$Q$5:$Q$2271=N$1),('Diário 7º PA'!$F$5:$F$2271))
+SUMPRODUCT(-('Diário 8º PA'!$E$5:$E$2488='Analítico Cp.'!$B120),-('Diário 8º PA'!$Q$5:$Q$2488=N$1),('Diário 8º PA'!$F$5:$F$2488))
+SUMPRODUCT(-('Comp.'!$D$5:$D$313='Analítico Cp.'!$B120),-('Comp.'!$R$5:$R$313=N$1),('Comp.'!$E$5:$E$313))</f>
        <v>0</v>
      </c>
      <c r="O120" s="186">
        <f t="shared" si="16"/>
        <v>0</v>
      </c>
      <c r="P120" s="187">
        <f t="shared" si="17"/>
        <v>0</v>
      </c>
      <c r="Q120" s="34"/>
      <c r="R120" s="34"/>
      <c r="S120" s="34"/>
      <c r="T120" s="34"/>
      <c r="U120" s="34"/>
      <c r="V120" s="34"/>
      <c r="W120" s="34"/>
      <c r="X120" s="34"/>
      <c r="Y120" s="34"/>
      <c r="Z120" s="34"/>
    </row>
    <row r="121" spans="1:26" ht="12.75" customHeight="1" x14ac:dyDescent="0.2">
      <c r="A121" s="203" t="s">
        <v>339</v>
      </c>
      <c r="B121" s="72" t="s">
        <v>340</v>
      </c>
      <c r="C121" s="185">
        <f>SUMPRODUCT(-('Diário 5º PA'!$E$5:$E$2634='Analítico Cp.'!$B121),-('Diário 5º PA'!$Q$5:$Q$2634=C$1),('Diário 5º PA'!$F$5:$F$2634))
+SUMPRODUCT(-('Diário 6º PA'!$E$5:$E$2246='Analítico Cp.'!$B121),-('Diário 6º PA'!$Q$5:$Q$2246=C$1),('Diário 6º PA'!$F$5:$F$2246))
+SUMPRODUCT(-('Diário 7º PA'!$E$5:$E$2271='Analítico Cp.'!$B121),-('Diário 7º PA'!$Q$5:$Q$2271=C$1),('Diário 7º PA'!$F$5:$F$2271))
+SUMPRODUCT(-('Diário 8º PA'!$E$5:$E$2488='Analítico Cp.'!$B121),-('Diário 8º PA'!$Q$5:$Q$2488=C$1),('Diário 8º PA'!$F$5:$F$2488))
+SUMPRODUCT(-('Comp.'!$D$5:$D$313='Analítico Cp.'!$B121),-('Comp.'!$R$5:$R$313=C$1),('Comp.'!$E$5:$E$313))</f>
        <v>0</v>
      </c>
      <c r="D121" s="185">
        <f>SUMPRODUCT(-('Diário 5º PA'!$E$5:$E$2634='Analítico Cp.'!$B121),-('Diário 5º PA'!$Q$5:$Q$2634=D$1),('Diário 5º PA'!$F$5:$F$2634))
+SUMPRODUCT(-('Diário 6º PA'!$E$5:$E$2246='Analítico Cp.'!$B121),-('Diário 6º PA'!$Q$5:$Q$2246=D$1),('Diário 6º PA'!$F$5:$F$2246))
+SUMPRODUCT(-('Diário 7º PA'!$E$5:$E$2271='Analítico Cp.'!$B121),-('Diário 7º PA'!$Q$5:$Q$2271=D$1),('Diário 7º PA'!$F$5:$F$2271))
+SUMPRODUCT(-('Diário 8º PA'!$E$5:$E$2488='Analítico Cp.'!$B121),-('Diário 8º PA'!$Q$5:$Q$2488=D$1),('Diário 8º PA'!$F$5:$F$2488))
+SUMPRODUCT(-('Comp.'!$D$5:$D$313='Analítico Cp.'!$B121),-('Comp.'!$R$5:$R$313=D$1),('Comp.'!$E$5:$E$313))</f>
        <v>0</v>
      </c>
      <c r="E121" s="185">
        <f>SUMPRODUCT(-('Diário 5º PA'!$E$5:$E$2634='Analítico Cp.'!$B121),-('Diário 5º PA'!$Q$5:$Q$2634=E$1),('Diário 5º PA'!$F$5:$F$2634))
+SUMPRODUCT(-('Diário 6º PA'!$E$5:$E$2246='Analítico Cp.'!$B121),-('Diário 6º PA'!$Q$5:$Q$2246=E$1),('Diário 6º PA'!$F$5:$F$2246))
+SUMPRODUCT(-('Diário 7º PA'!$E$5:$E$2271='Analítico Cp.'!$B121),-('Diário 7º PA'!$Q$5:$Q$2271=E$1),('Diário 7º PA'!$F$5:$F$2271))
+SUMPRODUCT(-('Diário 8º PA'!$E$5:$E$2488='Analítico Cp.'!$B121),-('Diário 8º PA'!$Q$5:$Q$2488=E$1),('Diário 8º PA'!$F$5:$F$2488))
+SUMPRODUCT(-('Comp.'!$D$5:$D$313='Analítico Cp.'!$B121),-('Comp.'!$R$5:$R$313=E$1),('Comp.'!$E$5:$E$313))</f>
        <v>1296</v>
      </c>
      <c r="F121" s="185">
        <f>SUMPRODUCT(-('Diário 5º PA'!$E$5:$E$2634='Analítico Cp.'!$B121),-('Diário 5º PA'!$Q$5:$Q$2634=F$1),('Diário 5º PA'!$F$5:$F$2634))
+SUMPRODUCT(-('Diário 6º PA'!$E$5:$E$2246='Analítico Cp.'!$B121),-('Diário 6º PA'!$Q$5:$Q$2246=F$1),('Diário 6º PA'!$F$5:$F$2246))
+SUMPRODUCT(-('Diário 7º PA'!$E$5:$E$2271='Analítico Cp.'!$B121),-('Diário 7º PA'!$Q$5:$Q$2271=F$1),('Diário 7º PA'!$F$5:$F$2271))
+SUMPRODUCT(-('Diário 8º PA'!$E$5:$E$2488='Analítico Cp.'!$B121),-('Diário 8º PA'!$Q$5:$Q$2488=F$1),('Diário 8º PA'!$F$5:$F$2488))
+SUMPRODUCT(-('Comp.'!$D$5:$D$313='Analítico Cp.'!$B121),-('Comp.'!$R$5:$R$313=F$1),('Comp.'!$E$5:$E$313))</f>
        <v>8946</v>
      </c>
      <c r="G121" s="185">
        <f>SUMPRODUCT(-('Diário 5º PA'!$E$5:$E$2634='Analítico Cp.'!$B121),-('Diário 5º PA'!$Q$5:$Q$2634=G$1),('Diário 5º PA'!$F$5:$F$2634))
+SUMPRODUCT(-('Diário 6º PA'!$E$5:$E$2246='Analítico Cp.'!$B121),-('Diário 6º PA'!$Q$5:$Q$2246=G$1),('Diário 6º PA'!$F$5:$F$2246))
+SUMPRODUCT(-('Diário 7º PA'!$E$5:$E$2271='Analítico Cp.'!$B121),-('Diário 7º PA'!$Q$5:$Q$2271=G$1),('Diário 7º PA'!$F$5:$F$2271))
+SUMPRODUCT(-('Diário 8º PA'!$E$5:$E$2488='Analítico Cp.'!$B121),-('Diário 8º PA'!$Q$5:$Q$2488=G$1),('Diário 8º PA'!$F$5:$F$2488))
+SUMPRODUCT(-('Comp.'!$D$5:$D$313='Analítico Cp.'!$B121),-('Comp.'!$R$5:$R$313=G$1),('Comp.'!$E$5:$E$313))</f>
        <v>7725</v>
      </c>
      <c r="H121" s="185">
        <f>SUMPRODUCT(-('Diário 5º PA'!$E$5:$E$2634='Analítico Cp.'!$B121),-('Diário 5º PA'!$Q$5:$Q$2634=H$1),('Diário 5º PA'!$F$5:$F$2634))
+SUMPRODUCT(-('Diário 6º PA'!$E$5:$E$2246='Analítico Cp.'!$B121),-('Diário 6º PA'!$Q$5:$Q$2246=H$1),('Diário 6º PA'!$F$5:$F$2246))
+SUMPRODUCT(-('Diário 7º PA'!$E$5:$E$2271='Analítico Cp.'!$B121),-('Diário 7º PA'!$Q$5:$Q$2271=H$1),('Diário 7º PA'!$F$5:$F$2271))
+SUMPRODUCT(-('Diário 8º PA'!$E$5:$E$2488='Analítico Cp.'!$B121),-('Diário 8º PA'!$Q$5:$Q$2488=H$1),('Diário 8º PA'!$F$5:$F$2488))
+SUMPRODUCT(-('Comp.'!$D$5:$D$313='Analítico Cp.'!$B121),-('Comp.'!$R$5:$R$313=H$1),('Comp.'!$E$5:$E$313))</f>
        <v>0</v>
      </c>
      <c r="I121" s="185">
        <f>SUMPRODUCT(-('Diário 5º PA'!$E$5:$E$2634='Analítico Cp.'!$B121),-('Diário 5º PA'!$Q$5:$Q$2634=I$1),('Diário 5º PA'!$F$5:$F$2634))
+SUMPRODUCT(-('Diário 6º PA'!$E$5:$E$2246='Analítico Cp.'!$B121),-('Diário 6º PA'!$Q$5:$Q$2246=I$1),('Diário 6º PA'!$F$5:$F$2246))
+SUMPRODUCT(-('Diário 7º PA'!$E$5:$E$2271='Analítico Cp.'!$B121),-('Diário 7º PA'!$Q$5:$Q$2271=I$1),('Diário 7º PA'!$F$5:$F$2271))
+SUMPRODUCT(-('Diário 8º PA'!$E$5:$E$2488='Analítico Cp.'!$B121),-('Diário 8º PA'!$Q$5:$Q$2488=I$1),('Diário 8º PA'!$F$5:$F$2488))
+SUMPRODUCT(-('Comp.'!$D$5:$D$313='Analítico Cp.'!$B121),-('Comp.'!$R$5:$R$313=I$1),('Comp.'!$E$5:$E$313))</f>
        <v>0</v>
      </c>
      <c r="J121" s="185">
        <f>SUMPRODUCT(-('Diário 5º PA'!$E$5:$E$2634='Analítico Cp.'!$B121),-('Diário 5º PA'!$Q$5:$Q$2634=J$1),('Diário 5º PA'!$F$5:$F$2634))
+SUMPRODUCT(-('Diário 6º PA'!$E$5:$E$2246='Analítico Cp.'!$B121),-('Diário 6º PA'!$Q$5:$Q$2246=J$1),('Diário 6º PA'!$F$5:$F$2246))
+SUMPRODUCT(-('Diário 7º PA'!$E$5:$E$2271='Analítico Cp.'!$B121),-('Diário 7º PA'!$Q$5:$Q$2271=J$1),('Diário 7º PA'!$F$5:$F$2271))
+SUMPRODUCT(-('Diário 8º PA'!$E$5:$E$2488='Analítico Cp.'!$B121),-('Diário 8º PA'!$Q$5:$Q$2488=J$1),('Diário 8º PA'!$F$5:$F$2488))
+SUMPRODUCT(-('Comp.'!$D$5:$D$313='Analítico Cp.'!$B121),-('Comp.'!$R$5:$R$313=J$1),('Comp.'!$E$5:$E$313))</f>
        <v>0</v>
      </c>
      <c r="K121" s="185">
        <f>SUMPRODUCT(-('Diário 5º PA'!$E$5:$E$2634='Analítico Cp.'!$B121),-('Diário 5º PA'!$Q$5:$Q$2634=K$1),('Diário 5º PA'!$F$5:$F$2634))
+SUMPRODUCT(-('Diário 6º PA'!$E$5:$E$2246='Analítico Cp.'!$B121),-('Diário 6º PA'!$Q$5:$Q$2246=K$1),('Diário 6º PA'!$F$5:$F$2246))
+SUMPRODUCT(-('Diário 7º PA'!$E$5:$E$2271='Analítico Cp.'!$B121),-('Diário 7º PA'!$Q$5:$Q$2271=K$1),('Diário 7º PA'!$F$5:$F$2271))
+SUMPRODUCT(-('Diário 8º PA'!$E$5:$E$2488='Analítico Cp.'!$B121),-('Diário 8º PA'!$Q$5:$Q$2488=K$1),('Diário 8º PA'!$F$5:$F$2488))
+SUMPRODUCT(-('Comp.'!$D$5:$D$313='Analítico Cp.'!$B121),-('Comp.'!$R$5:$R$313=K$1),('Comp.'!$E$5:$E$313))</f>
        <v>138.16</v>
      </c>
      <c r="L121" s="185">
        <f>SUMPRODUCT(-('Diário 5º PA'!$E$5:$E$2634='Analítico Cp.'!$B121),-('Diário 5º PA'!$Q$5:$Q$2634=L$1),('Diário 5º PA'!$F$5:$F$2634))
+SUMPRODUCT(-('Diário 6º PA'!$E$5:$E$2246='Analítico Cp.'!$B121),-('Diário 6º PA'!$Q$5:$Q$2246=L$1),('Diário 6º PA'!$F$5:$F$2246))
+SUMPRODUCT(-('Diário 7º PA'!$E$5:$E$2271='Analítico Cp.'!$B121),-('Diário 7º PA'!$Q$5:$Q$2271=L$1),('Diário 7º PA'!$F$5:$F$2271))
+SUMPRODUCT(-('Diário 8º PA'!$E$5:$E$2488='Analítico Cp.'!$B121),-('Diário 8º PA'!$Q$5:$Q$2488=L$1),('Diário 8º PA'!$F$5:$F$2488))
+SUMPRODUCT(-('Comp.'!$D$5:$D$313='Analítico Cp.'!$B121),-('Comp.'!$R$5:$R$313=L$1),('Comp.'!$E$5:$E$313))</f>
        <v>1800</v>
      </c>
      <c r="M121" s="185">
        <f>SUMPRODUCT(-('Diário 5º PA'!$E$5:$E$2634='Analítico Cp.'!$B121),-('Diário 5º PA'!$Q$5:$Q$2634=M$1),('Diário 5º PA'!$F$5:$F$2634))
+SUMPRODUCT(-('Diário 6º PA'!$E$5:$E$2246='Analítico Cp.'!$B121),-('Diário 6º PA'!$Q$5:$Q$2246=M$1),('Diário 6º PA'!$F$5:$F$2246))
+SUMPRODUCT(-('Diário 7º PA'!$E$5:$E$2271='Analítico Cp.'!$B121),-('Diário 7º PA'!$Q$5:$Q$2271=M$1),('Diário 7º PA'!$F$5:$F$2271))
+SUMPRODUCT(-('Diário 8º PA'!$E$5:$E$2488='Analítico Cp.'!$B121),-('Diário 8º PA'!$Q$5:$Q$2488=M$1),('Diário 8º PA'!$F$5:$F$2488))
+SUMPRODUCT(-('Comp.'!$D$5:$D$313='Analítico Cp.'!$B121),-('Comp.'!$R$5:$R$313=M$1),('Comp.'!$E$5:$E$313))</f>
        <v>0</v>
      </c>
      <c r="N121" s="185">
        <f>SUMPRODUCT(-('Diário 5º PA'!$E$5:$E$2634='Analítico Cp.'!$B121),-('Diário 5º PA'!$Q$5:$Q$2634=N$1),('Diário 5º PA'!$F$5:$F$2634))
+SUMPRODUCT(-('Diário 6º PA'!$E$5:$E$2246='Analítico Cp.'!$B121),-('Diário 6º PA'!$Q$5:$Q$2246=N$1),('Diário 6º PA'!$F$5:$F$2246))
+SUMPRODUCT(-('Diário 7º PA'!$E$5:$E$2271='Analítico Cp.'!$B121),-('Diário 7º PA'!$Q$5:$Q$2271=N$1),('Diário 7º PA'!$F$5:$F$2271))
+SUMPRODUCT(-('Diário 8º PA'!$E$5:$E$2488='Analítico Cp.'!$B121),-('Diário 8º PA'!$Q$5:$Q$2488=N$1),('Diário 8º PA'!$F$5:$F$2488))
+SUMPRODUCT(-('Comp.'!$D$5:$D$313='Analítico Cp.'!$B121),-('Comp.'!$R$5:$R$313=N$1),('Comp.'!$E$5:$E$313))</f>
        <v>0</v>
      </c>
      <c r="O121" s="186">
        <f t="shared" si="16"/>
        <v>19905.16</v>
      </c>
      <c r="P121" s="187">
        <f t="shared" si="17"/>
        <v>2.0531407690405463E-3</v>
      </c>
      <c r="Q121" s="34"/>
      <c r="R121" s="34"/>
      <c r="S121" s="34"/>
      <c r="T121" s="34"/>
      <c r="U121" s="34"/>
      <c r="V121" s="34"/>
      <c r="W121" s="34"/>
      <c r="X121" s="34"/>
      <c r="Y121" s="34"/>
      <c r="Z121" s="34"/>
    </row>
    <row r="122" spans="1:26" ht="12.75" customHeight="1" x14ac:dyDescent="0.2">
      <c r="A122" s="203" t="s">
        <v>341</v>
      </c>
      <c r="B122" s="72" t="s">
        <v>342</v>
      </c>
      <c r="C122" s="185">
        <f>SUMPRODUCT(-('Diário 5º PA'!$E$5:$E$2634='Analítico Cp.'!$B122),-('Diário 5º PA'!$Q$5:$Q$2634=C$1),('Diário 5º PA'!$F$5:$F$2634))
+SUMPRODUCT(-('Diário 6º PA'!$E$5:$E$2246='Analítico Cp.'!$B122),-('Diário 6º PA'!$Q$5:$Q$2246=C$1),('Diário 6º PA'!$F$5:$F$2246))
+SUMPRODUCT(-('Diário 7º PA'!$E$5:$E$2271='Analítico Cp.'!$B122),-('Diário 7º PA'!$Q$5:$Q$2271=C$1),('Diário 7º PA'!$F$5:$F$2271))
+SUMPRODUCT(-('Diário 8º PA'!$E$5:$E$2488='Analítico Cp.'!$B122),-('Diário 8º PA'!$Q$5:$Q$2488=C$1),('Diário 8º PA'!$F$5:$F$2488))
+SUMPRODUCT(-('Comp.'!$D$5:$D$313='Analítico Cp.'!$B122),-('Comp.'!$R$5:$R$313=C$1),('Comp.'!$E$5:$E$313))</f>
        <v>0</v>
      </c>
      <c r="D122" s="185">
        <f>SUMPRODUCT(-('Diário 5º PA'!$E$5:$E$2634='Analítico Cp.'!$B122),-('Diário 5º PA'!$Q$5:$Q$2634=D$1),('Diário 5º PA'!$F$5:$F$2634))
+SUMPRODUCT(-('Diário 6º PA'!$E$5:$E$2246='Analítico Cp.'!$B122),-('Diário 6º PA'!$Q$5:$Q$2246=D$1),('Diário 6º PA'!$F$5:$F$2246))
+SUMPRODUCT(-('Diário 7º PA'!$E$5:$E$2271='Analítico Cp.'!$B122),-('Diário 7º PA'!$Q$5:$Q$2271=D$1),('Diário 7º PA'!$F$5:$F$2271))
+SUMPRODUCT(-('Diário 8º PA'!$E$5:$E$2488='Analítico Cp.'!$B122),-('Diário 8º PA'!$Q$5:$Q$2488=D$1),('Diário 8º PA'!$F$5:$F$2488))
+SUMPRODUCT(-('Comp.'!$D$5:$D$313='Analítico Cp.'!$B122),-('Comp.'!$R$5:$R$313=D$1),('Comp.'!$E$5:$E$313))</f>
        <v>0</v>
      </c>
      <c r="E122" s="185">
        <f>SUMPRODUCT(-('Diário 5º PA'!$E$5:$E$2634='Analítico Cp.'!$B122),-('Diário 5º PA'!$Q$5:$Q$2634=E$1),('Diário 5º PA'!$F$5:$F$2634))
+SUMPRODUCT(-('Diário 6º PA'!$E$5:$E$2246='Analítico Cp.'!$B122),-('Diário 6º PA'!$Q$5:$Q$2246=E$1),('Diário 6º PA'!$F$5:$F$2246))
+SUMPRODUCT(-('Diário 7º PA'!$E$5:$E$2271='Analítico Cp.'!$B122),-('Diário 7º PA'!$Q$5:$Q$2271=E$1),('Diário 7º PA'!$F$5:$F$2271))
+SUMPRODUCT(-('Diário 8º PA'!$E$5:$E$2488='Analítico Cp.'!$B122),-('Diário 8º PA'!$Q$5:$Q$2488=E$1),('Diário 8º PA'!$F$5:$F$2488))
+SUMPRODUCT(-('Comp.'!$D$5:$D$313='Analítico Cp.'!$B122),-('Comp.'!$R$5:$R$313=E$1),('Comp.'!$E$5:$E$313))</f>
        <v>0</v>
      </c>
      <c r="F122" s="185">
        <f>SUMPRODUCT(-('Diário 5º PA'!$E$5:$E$2634='Analítico Cp.'!$B122),-('Diário 5º PA'!$Q$5:$Q$2634=F$1),('Diário 5º PA'!$F$5:$F$2634))
+SUMPRODUCT(-('Diário 6º PA'!$E$5:$E$2246='Analítico Cp.'!$B122),-('Diário 6º PA'!$Q$5:$Q$2246=F$1),('Diário 6º PA'!$F$5:$F$2246))
+SUMPRODUCT(-('Diário 7º PA'!$E$5:$E$2271='Analítico Cp.'!$B122),-('Diário 7º PA'!$Q$5:$Q$2271=F$1),('Diário 7º PA'!$F$5:$F$2271))
+SUMPRODUCT(-('Diário 8º PA'!$E$5:$E$2488='Analítico Cp.'!$B122),-('Diário 8º PA'!$Q$5:$Q$2488=F$1),('Diário 8º PA'!$F$5:$F$2488))
+SUMPRODUCT(-('Comp.'!$D$5:$D$313='Analítico Cp.'!$B122),-('Comp.'!$R$5:$R$313=F$1),('Comp.'!$E$5:$E$313))</f>
        <v>0</v>
      </c>
      <c r="G122" s="185">
        <f>SUMPRODUCT(-('Diário 5º PA'!$E$5:$E$2634='Analítico Cp.'!$B122),-('Diário 5º PA'!$Q$5:$Q$2634=G$1),('Diário 5º PA'!$F$5:$F$2634))
+SUMPRODUCT(-('Diário 6º PA'!$E$5:$E$2246='Analítico Cp.'!$B122),-('Diário 6º PA'!$Q$5:$Q$2246=G$1),('Diário 6º PA'!$F$5:$F$2246))
+SUMPRODUCT(-('Diário 7º PA'!$E$5:$E$2271='Analítico Cp.'!$B122),-('Diário 7º PA'!$Q$5:$Q$2271=G$1),('Diário 7º PA'!$F$5:$F$2271))
+SUMPRODUCT(-('Diário 8º PA'!$E$5:$E$2488='Analítico Cp.'!$B122),-('Diário 8º PA'!$Q$5:$Q$2488=G$1),('Diário 8º PA'!$F$5:$F$2488))
+SUMPRODUCT(-('Comp.'!$D$5:$D$313='Analítico Cp.'!$B122),-('Comp.'!$R$5:$R$313=G$1),('Comp.'!$E$5:$E$313))</f>
        <v>0</v>
      </c>
      <c r="H122" s="185">
        <f>SUMPRODUCT(-('Diário 5º PA'!$E$5:$E$2634='Analítico Cp.'!$B122),-('Diário 5º PA'!$Q$5:$Q$2634=H$1),('Diário 5º PA'!$F$5:$F$2634))
+SUMPRODUCT(-('Diário 6º PA'!$E$5:$E$2246='Analítico Cp.'!$B122),-('Diário 6º PA'!$Q$5:$Q$2246=H$1),('Diário 6º PA'!$F$5:$F$2246))
+SUMPRODUCT(-('Diário 7º PA'!$E$5:$E$2271='Analítico Cp.'!$B122),-('Diário 7º PA'!$Q$5:$Q$2271=H$1),('Diário 7º PA'!$F$5:$F$2271))
+SUMPRODUCT(-('Diário 8º PA'!$E$5:$E$2488='Analítico Cp.'!$B122),-('Diário 8º PA'!$Q$5:$Q$2488=H$1),('Diário 8º PA'!$F$5:$F$2488))
+SUMPRODUCT(-('Comp.'!$D$5:$D$313='Analítico Cp.'!$B122),-('Comp.'!$R$5:$R$313=H$1),('Comp.'!$E$5:$E$313))</f>
        <v>0</v>
      </c>
      <c r="I122" s="185">
        <f>SUMPRODUCT(-('Diário 5º PA'!$E$5:$E$2634='Analítico Cp.'!$B122),-('Diário 5º PA'!$Q$5:$Q$2634=I$1),('Diário 5º PA'!$F$5:$F$2634))
+SUMPRODUCT(-('Diário 6º PA'!$E$5:$E$2246='Analítico Cp.'!$B122),-('Diário 6º PA'!$Q$5:$Q$2246=I$1),('Diário 6º PA'!$F$5:$F$2246))
+SUMPRODUCT(-('Diário 7º PA'!$E$5:$E$2271='Analítico Cp.'!$B122),-('Diário 7º PA'!$Q$5:$Q$2271=I$1),('Diário 7º PA'!$F$5:$F$2271))
+SUMPRODUCT(-('Diário 8º PA'!$E$5:$E$2488='Analítico Cp.'!$B122),-('Diário 8º PA'!$Q$5:$Q$2488=I$1),('Diário 8º PA'!$F$5:$F$2488))
+SUMPRODUCT(-('Comp.'!$D$5:$D$313='Analítico Cp.'!$B122),-('Comp.'!$R$5:$R$313=I$1),('Comp.'!$E$5:$E$313))</f>
        <v>0</v>
      </c>
      <c r="J122" s="185">
        <f>SUMPRODUCT(-('Diário 5º PA'!$E$5:$E$2634='Analítico Cp.'!$B122),-('Diário 5º PA'!$Q$5:$Q$2634=J$1),('Diário 5º PA'!$F$5:$F$2634))
+SUMPRODUCT(-('Diário 6º PA'!$E$5:$E$2246='Analítico Cp.'!$B122),-('Diário 6º PA'!$Q$5:$Q$2246=J$1),('Diário 6º PA'!$F$5:$F$2246))
+SUMPRODUCT(-('Diário 7º PA'!$E$5:$E$2271='Analítico Cp.'!$B122),-('Diário 7º PA'!$Q$5:$Q$2271=J$1),('Diário 7º PA'!$F$5:$F$2271))
+SUMPRODUCT(-('Diário 8º PA'!$E$5:$E$2488='Analítico Cp.'!$B122),-('Diário 8º PA'!$Q$5:$Q$2488=J$1),('Diário 8º PA'!$F$5:$F$2488))
+SUMPRODUCT(-('Comp.'!$D$5:$D$313='Analítico Cp.'!$B122),-('Comp.'!$R$5:$R$313=J$1),('Comp.'!$E$5:$E$313))</f>
        <v>13820</v>
      </c>
      <c r="K122" s="185">
        <f>SUMPRODUCT(-('Diário 5º PA'!$E$5:$E$2634='Analítico Cp.'!$B122),-('Diário 5º PA'!$Q$5:$Q$2634=K$1),('Diário 5º PA'!$F$5:$F$2634))
+SUMPRODUCT(-('Diário 6º PA'!$E$5:$E$2246='Analítico Cp.'!$B122),-('Diário 6º PA'!$Q$5:$Q$2246=K$1),('Diário 6º PA'!$F$5:$F$2246))
+SUMPRODUCT(-('Diário 7º PA'!$E$5:$E$2271='Analítico Cp.'!$B122),-('Diário 7º PA'!$Q$5:$Q$2271=K$1),('Diário 7º PA'!$F$5:$F$2271))
+SUMPRODUCT(-('Diário 8º PA'!$E$5:$E$2488='Analítico Cp.'!$B122),-('Diário 8º PA'!$Q$5:$Q$2488=K$1),('Diário 8º PA'!$F$5:$F$2488))
+SUMPRODUCT(-('Comp.'!$D$5:$D$313='Analítico Cp.'!$B122),-('Comp.'!$R$5:$R$313=K$1),('Comp.'!$E$5:$E$313))</f>
        <v>2560</v>
      </c>
      <c r="L122" s="185">
        <f>SUMPRODUCT(-('Diário 5º PA'!$E$5:$E$2634='Analítico Cp.'!$B122),-('Diário 5º PA'!$Q$5:$Q$2634=L$1),('Diário 5º PA'!$F$5:$F$2634))
+SUMPRODUCT(-('Diário 6º PA'!$E$5:$E$2246='Analítico Cp.'!$B122),-('Diário 6º PA'!$Q$5:$Q$2246=L$1),('Diário 6º PA'!$F$5:$F$2246))
+SUMPRODUCT(-('Diário 7º PA'!$E$5:$E$2271='Analítico Cp.'!$B122),-('Diário 7º PA'!$Q$5:$Q$2271=L$1),('Diário 7º PA'!$F$5:$F$2271))
+SUMPRODUCT(-('Diário 8º PA'!$E$5:$E$2488='Analítico Cp.'!$B122),-('Diário 8º PA'!$Q$5:$Q$2488=L$1),('Diário 8º PA'!$F$5:$F$2488))
+SUMPRODUCT(-('Comp.'!$D$5:$D$313='Analítico Cp.'!$B122),-('Comp.'!$R$5:$R$313=L$1),('Comp.'!$E$5:$E$313))</f>
        <v>0</v>
      </c>
      <c r="M122" s="185">
        <f>SUMPRODUCT(-('Diário 5º PA'!$E$5:$E$2634='Analítico Cp.'!$B122),-('Diário 5º PA'!$Q$5:$Q$2634=M$1),('Diário 5º PA'!$F$5:$F$2634))
+SUMPRODUCT(-('Diário 6º PA'!$E$5:$E$2246='Analítico Cp.'!$B122),-('Diário 6º PA'!$Q$5:$Q$2246=M$1),('Diário 6º PA'!$F$5:$F$2246))
+SUMPRODUCT(-('Diário 7º PA'!$E$5:$E$2271='Analítico Cp.'!$B122),-('Diário 7º PA'!$Q$5:$Q$2271=M$1),('Diário 7º PA'!$F$5:$F$2271))
+SUMPRODUCT(-('Diário 8º PA'!$E$5:$E$2488='Analítico Cp.'!$B122),-('Diário 8º PA'!$Q$5:$Q$2488=M$1),('Diário 8º PA'!$F$5:$F$2488))
+SUMPRODUCT(-('Comp.'!$D$5:$D$313='Analítico Cp.'!$B122),-('Comp.'!$R$5:$R$313=M$1),('Comp.'!$E$5:$E$313))</f>
        <v>0</v>
      </c>
      <c r="N122" s="185">
        <f>SUMPRODUCT(-('Diário 5º PA'!$E$5:$E$2634='Analítico Cp.'!$B122),-('Diário 5º PA'!$Q$5:$Q$2634=N$1),('Diário 5º PA'!$F$5:$F$2634))
+SUMPRODUCT(-('Diário 6º PA'!$E$5:$E$2246='Analítico Cp.'!$B122),-('Diário 6º PA'!$Q$5:$Q$2246=N$1),('Diário 6º PA'!$F$5:$F$2246))
+SUMPRODUCT(-('Diário 7º PA'!$E$5:$E$2271='Analítico Cp.'!$B122),-('Diário 7º PA'!$Q$5:$Q$2271=N$1),('Diário 7º PA'!$F$5:$F$2271))
+SUMPRODUCT(-('Diário 8º PA'!$E$5:$E$2488='Analítico Cp.'!$B122),-('Diário 8º PA'!$Q$5:$Q$2488=N$1),('Diário 8º PA'!$F$5:$F$2488))
+SUMPRODUCT(-('Comp.'!$D$5:$D$313='Analítico Cp.'!$B122),-('Comp.'!$R$5:$R$313=N$1),('Comp.'!$E$5:$E$313))</f>
        <v>0</v>
      </c>
      <c r="O122" s="186">
        <f t="shared" si="16"/>
        <v>16380</v>
      </c>
      <c r="P122" s="187">
        <f t="shared" si="17"/>
        <v>1.6895340603584269E-3</v>
      </c>
      <c r="Q122" s="34"/>
      <c r="R122" s="34"/>
      <c r="S122" s="34"/>
      <c r="T122" s="34"/>
      <c r="U122" s="34"/>
      <c r="V122" s="34"/>
      <c r="W122" s="34"/>
      <c r="X122" s="34"/>
      <c r="Y122" s="34"/>
      <c r="Z122" s="34"/>
    </row>
    <row r="123" spans="1:26" ht="12.75" customHeight="1" x14ac:dyDescent="0.2">
      <c r="A123" s="203" t="s">
        <v>343</v>
      </c>
      <c r="B123" s="72" t="s">
        <v>344</v>
      </c>
      <c r="C123" s="185">
        <f>SUMPRODUCT(-('Diário 5º PA'!$E$5:$E$2634='Analítico Cp.'!$B123),-('Diário 5º PA'!$Q$5:$Q$2634=C$1),('Diário 5º PA'!$F$5:$F$2634))
+SUMPRODUCT(-('Diário 6º PA'!$E$5:$E$2246='Analítico Cp.'!$B123),-('Diário 6º PA'!$Q$5:$Q$2246=C$1),('Diário 6º PA'!$F$5:$F$2246))
+SUMPRODUCT(-('Diário 7º PA'!$E$5:$E$2271='Analítico Cp.'!$B123),-('Diário 7º PA'!$Q$5:$Q$2271=C$1),('Diário 7º PA'!$F$5:$F$2271))
+SUMPRODUCT(-('Diário 8º PA'!$E$5:$E$2488='Analítico Cp.'!$B123),-('Diário 8º PA'!$Q$5:$Q$2488=C$1),('Diário 8º PA'!$F$5:$F$2488))
+SUMPRODUCT(-('Comp.'!$D$5:$D$313='Analítico Cp.'!$B123),-('Comp.'!$R$5:$R$313=C$1),('Comp.'!$E$5:$E$313))</f>
        <v>0</v>
      </c>
      <c r="D123" s="185">
        <f>SUMPRODUCT(-('Diário 5º PA'!$E$5:$E$2634='Analítico Cp.'!$B123),-('Diário 5º PA'!$Q$5:$Q$2634=D$1),('Diário 5º PA'!$F$5:$F$2634))
+SUMPRODUCT(-('Diário 6º PA'!$E$5:$E$2246='Analítico Cp.'!$B123),-('Diário 6º PA'!$Q$5:$Q$2246=D$1),('Diário 6º PA'!$F$5:$F$2246))
+SUMPRODUCT(-('Diário 7º PA'!$E$5:$E$2271='Analítico Cp.'!$B123),-('Diário 7º PA'!$Q$5:$Q$2271=D$1),('Diário 7º PA'!$F$5:$F$2271))
+SUMPRODUCT(-('Diário 8º PA'!$E$5:$E$2488='Analítico Cp.'!$B123),-('Diário 8º PA'!$Q$5:$Q$2488=D$1),('Diário 8º PA'!$F$5:$F$2488))
+SUMPRODUCT(-('Comp.'!$D$5:$D$313='Analítico Cp.'!$B123),-('Comp.'!$R$5:$R$313=D$1),('Comp.'!$E$5:$E$313))</f>
        <v>0</v>
      </c>
      <c r="E123" s="185">
        <f>SUMPRODUCT(-('Diário 5º PA'!$E$5:$E$2634='Analítico Cp.'!$B123),-('Diário 5º PA'!$Q$5:$Q$2634=E$1),('Diário 5º PA'!$F$5:$F$2634))
+SUMPRODUCT(-('Diário 6º PA'!$E$5:$E$2246='Analítico Cp.'!$B123),-('Diário 6º PA'!$Q$5:$Q$2246=E$1),('Diário 6º PA'!$F$5:$F$2246))
+SUMPRODUCT(-('Diário 7º PA'!$E$5:$E$2271='Analítico Cp.'!$B123),-('Diário 7º PA'!$Q$5:$Q$2271=E$1),('Diário 7º PA'!$F$5:$F$2271))
+SUMPRODUCT(-('Diário 8º PA'!$E$5:$E$2488='Analítico Cp.'!$B123),-('Diário 8º PA'!$Q$5:$Q$2488=E$1),('Diário 8º PA'!$F$5:$F$2488))
+SUMPRODUCT(-('Comp.'!$D$5:$D$313='Analítico Cp.'!$B123),-('Comp.'!$R$5:$R$313=E$1),('Comp.'!$E$5:$E$313))</f>
        <v>0</v>
      </c>
      <c r="F123" s="185">
        <f>SUMPRODUCT(-('Diário 5º PA'!$E$5:$E$2634='Analítico Cp.'!$B123),-('Diário 5º PA'!$Q$5:$Q$2634=F$1),('Diário 5º PA'!$F$5:$F$2634))
+SUMPRODUCT(-('Diário 6º PA'!$E$5:$E$2246='Analítico Cp.'!$B123),-('Diário 6º PA'!$Q$5:$Q$2246=F$1),('Diário 6º PA'!$F$5:$F$2246))
+SUMPRODUCT(-('Diário 7º PA'!$E$5:$E$2271='Analítico Cp.'!$B123),-('Diário 7º PA'!$Q$5:$Q$2271=F$1),('Diário 7º PA'!$F$5:$F$2271))
+SUMPRODUCT(-('Diário 8º PA'!$E$5:$E$2488='Analítico Cp.'!$B123),-('Diário 8º PA'!$Q$5:$Q$2488=F$1),('Diário 8º PA'!$F$5:$F$2488))
+SUMPRODUCT(-('Comp.'!$D$5:$D$313='Analítico Cp.'!$B123),-('Comp.'!$R$5:$R$313=F$1),('Comp.'!$E$5:$E$313))</f>
        <v>0</v>
      </c>
      <c r="G123" s="185">
        <f>SUMPRODUCT(-('Diário 5º PA'!$E$5:$E$2634='Analítico Cp.'!$B123),-('Diário 5º PA'!$Q$5:$Q$2634=G$1),('Diário 5º PA'!$F$5:$F$2634))
+SUMPRODUCT(-('Diário 6º PA'!$E$5:$E$2246='Analítico Cp.'!$B123),-('Diário 6º PA'!$Q$5:$Q$2246=G$1),('Diário 6º PA'!$F$5:$F$2246))
+SUMPRODUCT(-('Diário 7º PA'!$E$5:$E$2271='Analítico Cp.'!$B123),-('Diário 7º PA'!$Q$5:$Q$2271=G$1),('Diário 7º PA'!$F$5:$F$2271))
+SUMPRODUCT(-('Diário 8º PA'!$E$5:$E$2488='Analítico Cp.'!$B123),-('Diário 8º PA'!$Q$5:$Q$2488=G$1),('Diário 8º PA'!$F$5:$F$2488))
+SUMPRODUCT(-('Comp.'!$D$5:$D$313='Analítico Cp.'!$B123),-('Comp.'!$R$5:$R$313=G$1),('Comp.'!$E$5:$E$313))</f>
        <v>0</v>
      </c>
      <c r="H123" s="185">
        <f>SUMPRODUCT(-('Diário 5º PA'!$E$5:$E$2634='Analítico Cp.'!$B123),-('Diário 5º PA'!$Q$5:$Q$2634=H$1),('Diário 5º PA'!$F$5:$F$2634))
+SUMPRODUCT(-('Diário 6º PA'!$E$5:$E$2246='Analítico Cp.'!$B123),-('Diário 6º PA'!$Q$5:$Q$2246=H$1),('Diário 6º PA'!$F$5:$F$2246))
+SUMPRODUCT(-('Diário 7º PA'!$E$5:$E$2271='Analítico Cp.'!$B123),-('Diário 7º PA'!$Q$5:$Q$2271=H$1),('Diário 7º PA'!$F$5:$F$2271))
+SUMPRODUCT(-('Diário 8º PA'!$E$5:$E$2488='Analítico Cp.'!$B123),-('Diário 8º PA'!$Q$5:$Q$2488=H$1),('Diário 8º PA'!$F$5:$F$2488))
+SUMPRODUCT(-('Comp.'!$D$5:$D$313='Analítico Cp.'!$B123),-('Comp.'!$R$5:$R$313=H$1),('Comp.'!$E$5:$E$313))</f>
        <v>0</v>
      </c>
      <c r="I123" s="185">
        <f>SUMPRODUCT(-('Diário 5º PA'!$E$5:$E$2634='Analítico Cp.'!$B123),-('Diário 5º PA'!$Q$5:$Q$2634=I$1),('Diário 5º PA'!$F$5:$F$2634))
+SUMPRODUCT(-('Diário 6º PA'!$E$5:$E$2246='Analítico Cp.'!$B123),-('Diário 6º PA'!$Q$5:$Q$2246=I$1),('Diário 6º PA'!$F$5:$F$2246))
+SUMPRODUCT(-('Diário 7º PA'!$E$5:$E$2271='Analítico Cp.'!$B123),-('Diário 7º PA'!$Q$5:$Q$2271=I$1),('Diário 7º PA'!$F$5:$F$2271))
+SUMPRODUCT(-('Diário 8º PA'!$E$5:$E$2488='Analítico Cp.'!$B123),-('Diário 8º PA'!$Q$5:$Q$2488=I$1),('Diário 8º PA'!$F$5:$F$2488))
+SUMPRODUCT(-('Comp.'!$D$5:$D$313='Analítico Cp.'!$B123),-('Comp.'!$R$5:$R$313=I$1),('Comp.'!$E$5:$E$313))</f>
        <v>107.00999999999999</v>
      </c>
      <c r="J123" s="185">
        <f>SUMPRODUCT(-('Diário 5º PA'!$E$5:$E$2634='Analítico Cp.'!$B123),-('Diário 5º PA'!$Q$5:$Q$2634=J$1),('Diário 5º PA'!$F$5:$F$2634))
+SUMPRODUCT(-('Diário 6º PA'!$E$5:$E$2246='Analítico Cp.'!$B123),-('Diário 6º PA'!$Q$5:$Q$2246=J$1),('Diário 6º PA'!$F$5:$F$2246))
+SUMPRODUCT(-('Diário 7º PA'!$E$5:$E$2271='Analítico Cp.'!$B123),-('Diário 7º PA'!$Q$5:$Q$2271=J$1),('Diário 7º PA'!$F$5:$F$2271))
+SUMPRODUCT(-('Diário 8º PA'!$E$5:$E$2488='Analítico Cp.'!$B123),-('Diário 8º PA'!$Q$5:$Q$2488=J$1),('Diário 8º PA'!$F$5:$F$2488))
+SUMPRODUCT(-('Comp.'!$D$5:$D$313='Analítico Cp.'!$B123),-('Comp.'!$R$5:$R$313=J$1),('Comp.'!$E$5:$E$313))</f>
        <v>0</v>
      </c>
      <c r="K123" s="185">
        <f>SUMPRODUCT(-('Diário 5º PA'!$E$5:$E$2634='Analítico Cp.'!$B123),-('Diário 5º PA'!$Q$5:$Q$2634=K$1),('Diário 5º PA'!$F$5:$F$2634))
+SUMPRODUCT(-('Diário 6º PA'!$E$5:$E$2246='Analítico Cp.'!$B123),-('Diário 6º PA'!$Q$5:$Q$2246=K$1),('Diário 6º PA'!$F$5:$F$2246))
+SUMPRODUCT(-('Diário 7º PA'!$E$5:$E$2271='Analítico Cp.'!$B123),-('Diário 7º PA'!$Q$5:$Q$2271=K$1),('Diário 7º PA'!$F$5:$F$2271))
+SUMPRODUCT(-('Diário 8º PA'!$E$5:$E$2488='Analítico Cp.'!$B123),-('Diário 8º PA'!$Q$5:$Q$2488=K$1),('Diário 8º PA'!$F$5:$F$2488))
+SUMPRODUCT(-('Comp.'!$D$5:$D$313='Analítico Cp.'!$B123),-('Comp.'!$R$5:$R$313=K$1),('Comp.'!$E$5:$E$313))</f>
        <v>0</v>
      </c>
      <c r="L123" s="185">
        <f>SUMPRODUCT(-('Diário 5º PA'!$E$5:$E$2634='Analítico Cp.'!$B123),-('Diário 5º PA'!$Q$5:$Q$2634=L$1),('Diário 5º PA'!$F$5:$F$2634))
+SUMPRODUCT(-('Diário 6º PA'!$E$5:$E$2246='Analítico Cp.'!$B123),-('Diário 6º PA'!$Q$5:$Q$2246=L$1),('Diário 6º PA'!$F$5:$F$2246))
+SUMPRODUCT(-('Diário 7º PA'!$E$5:$E$2271='Analítico Cp.'!$B123),-('Diário 7º PA'!$Q$5:$Q$2271=L$1),('Diário 7º PA'!$F$5:$F$2271))
+SUMPRODUCT(-('Diário 8º PA'!$E$5:$E$2488='Analítico Cp.'!$B123),-('Diário 8º PA'!$Q$5:$Q$2488=L$1),('Diário 8º PA'!$F$5:$F$2488))
+SUMPRODUCT(-('Comp.'!$D$5:$D$313='Analítico Cp.'!$B123),-('Comp.'!$R$5:$R$313=L$1),('Comp.'!$E$5:$E$313))</f>
        <v>0</v>
      </c>
      <c r="M123" s="185">
        <f>SUMPRODUCT(-('Diário 5º PA'!$E$5:$E$2634='Analítico Cp.'!$B123),-('Diário 5º PA'!$Q$5:$Q$2634=M$1),('Diário 5º PA'!$F$5:$F$2634))
+SUMPRODUCT(-('Diário 6º PA'!$E$5:$E$2246='Analítico Cp.'!$B123),-('Diário 6º PA'!$Q$5:$Q$2246=M$1),('Diário 6º PA'!$F$5:$F$2246))
+SUMPRODUCT(-('Diário 7º PA'!$E$5:$E$2271='Analítico Cp.'!$B123),-('Diário 7º PA'!$Q$5:$Q$2271=M$1),('Diário 7º PA'!$F$5:$F$2271))
+SUMPRODUCT(-('Diário 8º PA'!$E$5:$E$2488='Analítico Cp.'!$B123),-('Diário 8º PA'!$Q$5:$Q$2488=M$1),('Diário 8º PA'!$F$5:$F$2488))
+SUMPRODUCT(-('Comp.'!$D$5:$D$313='Analítico Cp.'!$B123),-('Comp.'!$R$5:$R$313=M$1),('Comp.'!$E$5:$E$313))</f>
        <v>0</v>
      </c>
      <c r="N123" s="185">
        <f>SUMPRODUCT(-('Diário 5º PA'!$E$5:$E$2634='Analítico Cp.'!$B123),-('Diário 5º PA'!$Q$5:$Q$2634=N$1),('Diário 5º PA'!$F$5:$F$2634))
+SUMPRODUCT(-('Diário 6º PA'!$E$5:$E$2246='Analítico Cp.'!$B123),-('Diário 6º PA'!$Q$5:$Q$2246=N$1),('Diário 6º PA'!$F$5:$F$2246))
+SUMPRODUCT(-('Diário 7º PA'!$E$5:$E$2271='Analítico Cp.'!$B123),-('Diário 7º PA'!$Q$5:$Q$2271=N$1),('Diário 7º PA'!$F$5:$F$2271))
+SUMPRODUCT(-('Diário 8º PA'!$E$5:$E$2488='Analítico Cp.'!$B123),-('Diário 8º PA'!$Q$5:$Q$2488=N$1),('Diário 8º PA'!$F$5:$F$2488))
+SUMPRODUCT(-('Comp.'!$D$5:$D$313='Analítico Cp.'!$B123),-('Comp.'!$R$5:$R$313=N$1),('Comp.'!$E$5:$E$313))</f>
        <v>4000</v>
      </c>
      <c r="O123" s="186">
        <f t="shared" si="16"/>
        <v>4107.01</v>
      </c>
      <c r="P123" s="187">
        <f t="shared" si="17"/>
        <v>4.2362230044155452E-4</v>
      </c>
      <c r="Q123" s="34"/>
      <c r="R123" s="34"/>
      <c r="S123" s="34"/>
      <c r="T123" s="34"/>
      <c r="U123" s="34"/>
      <c r="V123" s="34"/>
      <c r="W123" s="34"/>
      <c r="X123" s="34"/>
      <c r="Y123" s="34"/>
      <c r="Z123" s="34"/>
    </row>
    <row r="124" spans="1:26" ht="12.75" customHeight="1" x14ac:dyDescent="0.2">
      <c r="A124" s="203" t="s">
        <v>345</v>
      </c>
      <c r="B124" s="72" t="s">
        <v>346</v>
      </c>
      <c r="C124" s="185">
        <f>SUMPRODUCT(-('Diário 5º PA'!$E$5:$E$2634='Analítico Cp.'!$B124),-('Diário 5º PA'!$Q$5:$Q$2634=C$1),('Diário 5º PA'!$F$5:$F$2634))
+SUMPRODUCT(-('Diário 6º PA'!$E$5:$E$2246='Analítico Cp.'!$B124),-('Diário 6º PA'!$Q$5:$Q$2246=C$1),('Diário 6º PA'!$F$5:$F$2246))
+SUMPRODUCT(-('Diário 7º PA'!$E$5:$E$2271='Analítico Cp.'!$B124),-('Diário 7º PA'!$Q$5:$Q$2271=C$1),('Diário 7º PA'!$F$5:$F$2271))
+SUMPRODUCT(-('Diário 8º PA'!$E$5:$E$2488='Analítico Cp.'!$B124),-('Diário 8º PA'!$Q$5:$Q$2488=C$1),('Diário 8º PA'!$F$5:$F$2488))
+SUMPRODUCT(-('Comp.'!$D$5:$D$313='Analítico Cp.'!$B124),-('Comp.'!$R$5:$R$313=C$1),('Comp.'!$E$5:$E$313))</f>
        <v>0</v>
      </c>
      <c r="D124" s="185">
        <f>SUMPRODUCT(-('Diário 5º PA'!$E$5:$E$2634='Analítico Cp.'!$B124),-('Diário 5º PA'!$Q$5:$Q$2634=D$1),('Diário 5º PA'!$F$5:$F$2634))
+SUMPRODUCT(-('Diário 6º PA'!$E$5:$E$2246='Analítico Cp.'!$B124),-('Diário 6º PA'!$Q$5:$Q$2246=D$1),('Diário 6º PA'!$F$5:$F$2246))
+SUMPRODUCT(-('Diário 7º PA'!$E$5:$E$2271='Analítico Cp.'!$B124),-('Diário 7º PA'!$Q$5:$Q$2271=D$1),('Diário 7º PA'!$F$5:$F$2271))
+SUMPRODUCT(-('Diário 8º PA'!$E$5:$E$2488='Analítico Cp.'!$B124),-('Diário 8º PA'!$Q$5:$Q$2488=D$1),('Diário 8º PA'!$F$5:$F$2488))
+SUMPRODUCT(-('Comp.'!$D$5:$D$313='Analítico Cp.'!$B124),-('Comp.'!$R$5:$R$313=D$1),('Comp.'!$E$5:$E$313))</f>
        <v>0</v>
      </c>
      <c r="E124" s="185">
        <f>SUMPRODUCT(-('Diário 5º PA'!$E$5:$E$2634='Analítico Cp.'!$B124),-('Diário 5º PA'!$Q$5:$Q$2634=E$1),('Diário 5º PA'!$F$5:$F$2634))
+SUMPRODUCT(-('Diário 6º PA'!$E$5:$E$2246='Analítico Cp.'!$B124),-('Diário 6º PA'!$Q$5:$Q$2246=E$1),('Diário 6º PA'!$F$5:$F$2246))
+SUMPRODUCT(-('Diário 7º PA'!$E$5:$E$2271='Analítico Cp.'!$B124),-('Diário 7º PA'!$Q$5:$Q$2271=E$1),('Diário 7º PA'!$F$5:$F$2271))
+SUMPRODUCT(-('Diário 8º PA'!$E$5:$E$2488='Analítico Cp.'!$B124),-('Diário 8º PA'!$Q$5:$Q$2488=E$1),('Diário 8º PA'!$F$5:$F$2488))
+SUMPRODUCT(-('Comp.'!$D$5:$D$313='Analítico Cp.'!$B124),-('Comp.'!$R$5:$R$313=E$1),('Comp.'!$E$5:$E$313))</f>
        <v>0</v>
      </c>
      <c r="F124" s="185">
        <f>SUMPRODUCT(-('Diário 5º PA'!$E$5:$E$2634='Analítico Cp.'!$B124),-('Diário 5º PA'!$Q$5:$Q$2634=F$1),('Diário 5º PA'!$F$5:$F$2634))
+SUMPRODUCT(-('Diário 6º PA'!$E$5:$E$2246='Analítico Cp.'!$B124),-('Diário 6º PA'!$Q$5:$Q$2246=F$1),('Diário 6º PA'!$F$5:$F$2246))
+SUMPRODUCT(-('Diário 7º PA'!$E$5:$E$2271='Analítico Cp.'!$B124),-('Diário 7º PA'!$Q$5:$Q$2271=F$1),('Diário 7º PA'!$F$5:$F$2271))
+SUMPRODUCT(-('Diário 8º PA'!$E$5:$E$2488='Analítico Cp.'!$B124),-('Diário 8º PA'!$Q$5:$Q$2488=F$1),('Diário 8º PA'!$F$5:$F$2488))
+SUMPRODUCT(-('Comp.'!$D$5:$D$313='Analítico Cp.'!$B124),-('Comp.'!$R$5:$R$313=F$1),('Comp.'!$E$5:$E$313))</f>
        <v>2880</v>
      </c>
      <c r="G124" s="185">
        <f>SUMPRODUCT(-('Diário 5º PA'!$E$5:$E$2634='Analítico Cp.'!$B124),-('Diário 5º PA'!$Q$5:$Q$2634=G$1),('Diário 5º PA'!$F$5:$F$2634))
+SUMPRODUCT(-('Diário 6º PA'!$E$5:$E$2246='Analítico Cp.'!$B124),-('Diário 6º PA'!$Q$5:$Q$2246=G$1),('Diário 6º PA'!$F$5:$F$2246))
+SUMPRODUCT(-('Diário 7º PA'!$E$5:$E$2271='Analítico Cp.'!$B124),-('Diário 7º PA'!$Q$5:$Q$2271=G$1),('Diário 7º PA'!$F$5:$F$2271))
+SUMPRODUCT(-('Diário 8º PA'!$E$5:$E$2488='Analítico Cp.'!$B124),-('Diário 8º PA'!$Q$5:$Q$2488=G$1),('Diário 8º PA'!$F$5:$F$2488))
+SUMPRODUCT(-('Comp.'!$D$5:$D$313='Analítico Cp.'!$B124),-('Comp.'!$R$5:$R$313=G$1),('Comp.'!$E$5:$E$313))</f>
        <v>0</v>
      </c>
      <c r="H124" s="185">
        <f>SUMPRODUCT(-('Diário 5º PA'!$E$5:$E$2634='Analítico Cp.'!$B124),-('Diário 5º PA'!$Q$5:$Q$2634=H$1),('Diário 5º PA'!$F$5:$F$2634))
+SUMPRODUCT(-('Diário 6º PA'!$E$5:$E$2246='Analítico Cp.'!$B124),-('Diário 6º PA'!$Q$5:$Q$2246=H$1),('Diário 6º PA'!$F$5:$F$2246))
+SUMPRODUCT(-('Diário 7º PA'!$E$5:$E$2271='Analítico Cp.'!$B124),-('Diário 7º PA'!$Q$5:$Q$2271=H$1),('Diário 7º PA'!$F$5:$F$2271))
+SUMPRODUCT(-('Diário 8º PA'!$E$5:$E$2488='Analítico Cp.'!$B124),-('Diário 8º PA'!$Q$5:$Q$2488=H$1),('Diário 8º PA'!$F$5:$F$2488))
+SUMPRODUCT(-('Comp.'!$D$5:$D$313='Analítico Cp.'!$B124),-('Comp.'!$R$5:$R$313=H$1),('Comp.'!$E$5:$E$313))</f>
        <v>0</v>
      </c>
      <c r="I124" s="185">
        <f>SUMPRODUCT(-('Diário 5º PA'!$E$5:$E$2634='Analítico Cp.'!$B124),-('Diário 5º PA'!$Q$5:$Q$2634=I$1),('Diário 5º PA'!$F$5:$F$2634))
+SUMPRODUCT(-('Diário 6º PA'!$E$5:$E$2246='Analítico Cp.'!$B124),-('Diário 6º PA'!$Q$5:$Q$2246=I$1),('Diário 6º PA'!$F$5:$F$2246))
+SUMPRODUCT(-('Diário 7º PA'!$E$5:$E$2271='Analítico Cp.'!$B124),-('Diário 7º PA'!$Q$5:$Q$2271=I$1),('Diário 7º PA'!$F$5:$F$2271))
+SUMPRODUCT(-('Diário 8º PA'!$E$5:$E$2488='Analítico Cp.'!$B124),-('Diário 8º PA'!$Q$5:$Q$2488=I$1),('Diário 8º PA'!$F$5:$F$2488))
+SUMPRODUCT(-('Comp.'!$D$5:$D$313='Analítico Cp.'!$B124),-('Comp.'!$R$5:$R$313=I$1),('Comp.'!$E$5:$E$313))</f>
        <v>0</v>
      </c>
      <c r="J124" s="185">
        <f>SUMPRODUCT(-('Diário 5º PA'!$E$5:$E$2634='Analítico Cp.'!$B124),-('Diário 5º PA'!$Q$5:$Q$2634=J$1),('Diário 5º PA'!$F$5:$F$2634))
+SUMPRODUCT(-('Diário 6º PA'!$E$5:$E$2246='Analítico Cp.'!$B124),-('Diário 6º PA'!$Q$5:$Q$2246=J$1),('Diário 6º PA'!$F$5:$F$2246))
+SUMPRODUCT(-('Diário 7º PA'!$E$5:$E$2271='Analítico Cp.'!$B124),-('Diário 7º PA'!$Q$5:$Q$2271=J$1),('Diário 7º PA'!$F$5:$F$2271))
+SUMPRODUCT(-('Diário 8º PA'!$E$5:$E$2488='Analítico Cp.'!$B124),-('Diário 8º PA'!$Q$5:$Q$2488=J$1),('Diário 8º PA'!$F$5:$F$2488))
+SUMPRODUCT(-('Comp.'!$D$5:$D$313='Analítico Cp.'!$B124),-('Comp.'!$R$5:$R$313=J$1),('Comp.'!$E$5:$E$313))</f>
        <v>0</v>
      </c>
      <c r="K124" s="185">
        <f>SUMPRODUCT(-('Diário 5º PA'!$E$5:$E$2634='Analítico Cp.'!$B124),-('Diário 5º PA'!$Q$5:$Q$2634=K$1),('Diário 5º PA'!$F$5:$F$2634))
+SUMPRODUCT(-('Diário 6º PA'!$E$5:$E$2246='Analítico Cp.'!$B124),-('Diário 6º PA'!$Q$5:$Q$2246=K$1),('Diário 6º PA'!$F$5:$F$2246))
+SUMPRODUCT(-('Diário 7º PA'!$E$5:$E$2271='Analítico Cp.'!$B124),-('Diário 7º PA'!$Q$5:$Q$2271=K$1),('Diário 7º PA'!$F$5:$F$2271))
+SUMPRODUCT(-('Diário 8º PA'!$E$5:$E$2488='Analítico Cp.'!$B124),-('Diário 8º PA'!$Q$5:$Q$2488=K$1),('Diário 8º PA'!$F$5:$F$2488))
+SUMPRODUCT(-('Comp.'!$D$5:$D$313='Analítico Cp.'!$B124),-('Comp.'!$R$5:$R$313=K$1),('Comp.'!$E$5:$E$313))</f>
        <v>0</v>
      </c>
      <c r="L124" s="185">
        <f>SUMPRODUCT(-('Diário 5º PA'!$E$5:$E$2634='Analítico Cp.'!$B124),-('Diário 5º PA'!$Q$5:$Q$2634=L$1),('Diário 5º PA'!$F$5:$F$2634))
+SUMPRODUCT(-('Diário 6º PA'!$E$5:$E$2246='Analítico Cp.'!$B124),-('Diário 6º PA'!$Q$5:$Q$2246=L$1),('Diário 6º PA'!$F$5:$F$2246))
+SUMPRODUCT(-('Diário 7º PA'!$E$5:$E$2271='Analítico Cp.'!$B124),-('Diário 7º PA'!$Q$5:$Q$2271=L$1),('Diário 7º PA'!$F$5:$F$2271))
+SUMPRODUCT(-('Diário 8º PA'!$E$5:$E$2488='Analítico Cp.'!$B124),-('Diário 8º PA'!$Q$5:$Q$2488=L$1),('Diário 8º PA'!$F$5:$F$2488))
+SUMPRODUCT(-('Comp.'!$D$5:$D$313='Analítico Cp.'!$B124),-('Comp.'!$R$5:$R$313=L$1),('Comp.'!$E$5:$E$313))</f>
        <v>0</v>
      </c>
      <c r="M124" s="185">
        <f>SUMPRODUCT(-('Diário 5º PA'!$E$5:$E$2634='Analítico Cp.'!$B124),-('Diário 5º PA'!$Q$5:$Q$2634=M$1),('Diário 5º PA'!$F$5:$F$2634))
+SUMPRODUCT(-('Diário 6º PA'!$E$5:$E$2246='Analítico Cp.'!$B124),-('Diário 6º PA'!$Q$5:$Q$2246=M$1),('Diário 6º PA'!$F$5:$F$2246))
+SUMPRODUCT(-('Diário 7º PA'!$E$5:$E$2271='Analítico Cp.'!$B124),-('Diário 7º PA'!$Q$5:$Q$2271=M$1),('Diário 7º PA'!$F$5:$F$2271))
+SUMPRODUCT(-('Diário 8º PA'!$E$5:$E$2488='Analítico Cp.'!$B124),-('Diário 8º PA'!$Q$5:$Q$2488=M$1),('Diário 8º PA'!$F$5:$F$2488))
+SUMPRODUCT(-('Comp.'!$D$5:$D$313='Analítico Cp.'!$B124),-('Comp.'!$R$5:$R$313=M$1),('Comp.'!$E$5:$E$313))</f>
        <v>0</v>
      </c>
      <c r="N124" s="185">
        <f>SUMPRODUCT(-('Diário 5º PA'!$E$5:$E$2634='Analítico Cp.'!$B124),-('Diário 5º PA'!$Q$5:$Q$2634=N$1),('Diário 5º PA'!$F$5:$F$2634))
+SUMPRODUCT(-('Diário 6º PA'!$E$5:$E$2246='Analítico Cp.'!$B124),-('Diário 6º PA'!$Q$5:$Q$2246=N$1),('Diário 6º PA'!$F$5:$F$2246))
+SUMPRODUCT(-('Diário 7º PA'!$E$5:$E$2271='Analítico Cp.'!$B124),-('Diário 7º PA'!$Q$5:$Q$2271=N$1),('Diário 7º PA'!$F$5:$F$2271))
+SUMPRODUCT(-('Diário 8º PA'!$E$5:$E$2488='Analítico Cp.'!$B124),-('Diário 8º PA'!$Q$5:$Q$2488=N$1),('Diário 8º PA'!$F$5:$F$2488))
+SUMPRODUCT(-('Comp.'!$D$5:$D$313='Analítico Cp.'!$B124),-('Comp.'!$R$5:$R$313=N$1),('Comp.'!$E$5:$E$313))</f>
        <v>0</v>
      </c>
      <c r="O124" s="186">
        <f t="shared" si="16"/>
        <v>2880</v>
      </c>
      <c r="P124" s="187">
        <f t="shared" si="17"/>
        <v>2.9706093368939374E-4</v>
      </c>
      <c r="Q124" s="34"/>
      <c r="R124" s="34"/>
      <c r="S124" s="34"/>
      <c r="T124" s="34"/>
      <c r="U124" s="34"/>
      <c r="V124" s="34"/>
      <c r="W124" s="34"/>
      <c r="X124" s="34"/>
      <c r="Y124" s="34"/>
      <c r="Z124" s="34"/>
    </row>
    <row r="125" spans="1:26" ht="12.75" customHeight="1" x14ac:dyDescent="0.2">
      <c r="A125" s="203" t="s">
        <v>347</v>
      </c>
      <c r="B125" s="72" t="s">
        <v>348</v>
      </c>
      <c r="C125" s="185">
        <f>SUMPRODUCT(-('Diário 5º PA'!$E$5:$E$2634='Analítico Cp.'!$B125),-('Diário 5º PA'!$Q$5:$Q$2634=C$1),('Diário 5º PA'!$F$5:$F$2634))
+SUMPRODUCT(-('Diário 6º PA'!$E$5:$E$2246='Analítico Cp.'!$B125),-('Diário 6º PA'!$Q$5:$Q$2246=C$1),('Diário 6º PA'!$F$5:$F$2246))
+SUMPRODUCT(-('Diário 7º PA'!$E$5:$E$2271='Analítico Cp.'!$B125),-('Diário 7º PA'!$Q$5:$Q$2271=C$1),('Diário 7º PA'!$F$5:$F$2271))
+SUMPRODUCT(-('Diário 8º PA'!$E$5:$E$2488='Analítico Cp.'!$B125),-('Diário 8º PA'!$Q$5:$Q$2488=C$1),('Diário 8º PA'!$F$5:$F$2488))
+SUMPRODUCT(-('Comp.'!$D$5:$D$313='Analítico Cp.'!$B125),-('Comp.'!$R$5:$R$313=C$1),('Comp.'!$E$5:$E$313))</f>
        <v>0</v>
      </c>
      <c r="D125" s="185">
        <f>SUMPRODUCT(-('Diário 5º PA'!$E$5:$E$2634='Analítico Cp.'!$B125),-('Diário 5º PA'!$Q$5:$Q$2634=D$1),('Diário 5º PA'!$F$5:$F$2634))
+SUMPRODUCT(-('Diário 6º PA'!$E$5:$E$2246='Analítico Cp.'!$B125),-('Diário 6º PA'!$Q$5:$Q$2246=D$1),('Diário 6º PA'!$F$5:$F$2246))
+SUMPRODUCT(-('Diário 7º PA'!$E$5:$E$2271='Analítico Cp.'!$B125),-('Diário 7º PA'!$Q$5:$Q$2271=D$1),('Diário 7º PA'!$F$5:$F$2271))
+SUMPRODUCT(-('Diário 8º PA'!$E$5:$E$2488='Analítico Cp.'!$B125),-('Diário 8º PA'!$Q$5:$Q$2488=D$1),('Diário 8º PA'!$F$5:$F$2488))
+SUMPRODUCT(-('Comp.'!$D$5:$D$313='Analítico Cp.'!$B125),-('Comp.'!$R$5:$R$313=D$1),('Comp.'!$E$5:$E$313))</f>
        <v>0</v>
      </c>
      <c r="E125" s="185">
        <f>SUMPRODUCT(-('Diário 5º PA'!$E$5:$E$2634='Analítico Cp.'!$B125),-('Diário 5º PA'!$Q$5:$Q$2634=E$1),('Diário 5º PA'!$F$5:$F$2634))
+SUMPRODUCT(-('Diário 6º PA'!$E$5:$E$2246='Analítico Cp.'!$B125),-('Diário 6º PA'!$Q$5:$Q$2246=E$1),('Diário 6º PA'!$F$5:$F$2246))
+SUMPRODUCT(-('Diário 7º PA'!$E$5:$E$2271='Analítico Cp.'!$B125),-('Diário 7º PA'!$Q$5:$Q$2271=E$1),('Diário 7º PA'!$F$5:$F$2271))
+SUMPRODUCT(-('Diário 8º PA'!$E$5:$E$2488='Analítico Cp.'!$B125),-('Diário 8º PA'!$Q$5:$Q$2488=E$1),('Diário 8º PA'!$F$5:$F$2488))
+SUMPRODUCT(-('Comp.'!$D$5:$D$313='Analítico Cp.'!$B125),-('Comp.'!$R$5:$R$313=E$1),('Comp.'!$E$5:$E$313))</f>
        <v>0</v>
      </c>
      <c r="F125" s="185">
        <f>SUMPRODUCT(-('Diário 5º PA'!$E$5:$E$2634='Analítico Cp.'!$B125),-('Diário 5º PA'!$Q$5:$Q$2634=F$1),('Diário 5º PA'!$F$5:$F$2634))
+SUMPRODUCT(-('Diário 6º PA'!$E$5:$E$2246='Analítico Cp.'!$B125),-('Diário 6º PA'!$Q$5:$Q$2246=F$1),('Diário 6º PA'!$F$5:$F$2246))
+SUMPRODUCT(-('Diário 7º PA'!$E$5:$E$2271='Analítico Cp.'!$B125),-('Diário 7º PA'!$Q$5:$Q$2271=F$1),('Diário 7º PA'!$F$5:$F$2271))
+SUMPRODUCT(-('Diário 8º PA'!$E$5:$E$2488='Analítico Cp.'!$B125),-('Diário 8º PA'!$Q$5:$Q$2488=F$1),('Diário 8º PA'!$F$5:$F$2488))
+SUMPRODUCT(-('Comp.'!$D$5:$D$313='Analítico Cp.'!$B125),-('Comp.'!$R$5:$R$313=F$1),('Comp.'!$E$5:$E$313))</f>
        <v>21000</v>
      </c>
      <c r="G125" s="185">
        <f>SUMPRODUCT(-('Diário 5º PA'!$E$5:$E$2634='Analítico Cp.'!$B125),-('Diário 5º PA'!$Q$5:$Q$2634=G$1),('Diário 5º PA'!$F$5:$F$2634))
+SUMPRODUCT(-('Diário 6º PA'!$E$5:$E$2246='Analítico Cp.'!$B125),-('Diário 6º PA'!$Q$5:$Q$2246=G$1),('Diário 6º PA'!$F$5:$F$2246))
+SUMPRODUCT(-('Diário 7º PA'!$E$5:$E$2271='Analítico Cp.'!$B125),-('Diário 7º PA'!$Q$5:$Q$2271=G$1),('Diário 7º PA'!$F$5:$F$2271))
+SUMPRODUCT(-('Diário 8º PA'!$E$5:$E$2488='Analítico Cp.'!$B125),-('Diário 8º PA'!$Q$5:$Q$2488=G$1),('Diário 8º PA'!$F$5:$F$2488))
+SUMPRODUCT(-('Comp.'!$D$5:$D$313='Analítico Cp.'!$B125),-('Comp.'!$R$5:$R$313=G$1),('Comp.'!$E$5:$E$313))</f>
        <v>0</v>
      </c>
      <c r="H125" s="185">
        <f>SUMPRODUCT(-('Diário 5º PA'!$E$5:$E$2634='Analítico Cp.'!$B125),-('Diário 5º PA'!$Q$5:$Q$2634=H$1),('Diário 5º PA'!$F$5:$F$2634))
+SUMPRODUCT(-('Diário 6º PA'!$E$5:$E$2246='Analítico Cp.'!$B125),-('Diário 6º PA'!$Q$5:$Q$2246=H$1),('Diário 6º PA'!$F$5:$F$2246))
+SUMPRODUCT(-('Diário 7º PA'!$E$5:$E$2271='Analítico Cp.'!$B125),-('Diário 7º PA'!$Q$5:$Q$2271=H$1),('Diário 7º PA'!$F$5:$F$2271))
+SUMPRODUCT(-('Diário 8º PA'!$E$5:$E$2488='Analítico Cp.'!$B125),-('Diário 8º PA'!$Q$5:$Q$2488=H$1),('Diário 8º PA'!$F$5:$F$2488))
+SUMPRODUCT(-('Comp.'!$D$5:$D$313='Analítico Cp.'!$B125),-('Comp.'!$R$5:$R$313=H$1),('Comp.'!$E$5:$E$313))</f>
        <v>7250</v>
      </c>
      <c r="I125" s="185">
        <f>SUMPRODUCT(-('Diário 5º PA'!$E$5:$E$2634='Analítico Cp.'!$B125),-('Diário 5º PA'!$Q$5:$Q$2634=I$1),('Diário 5º PA'!$F$5:$F$2634))
+SUMPRODUCT(-('Diário 6º PA'!$E$5:$E$2246='Analítico Cp.'!$B125),-('Diário 6º PA'!$Q$5:$Q$2246=I$1),('Diário 6º PA'!$F$5:$F$2246))
+SUMPRODUCT(-('Diário 7º PA'!$E$5:$E$2271='Analítico Cp.'!$B125),-('Diário 7º PA'!$Q$5:$Q$2271=I$1),('Diário 7º PA'!$F$5:$F$2271))
+SUMPRODUCT(-('Diário 8º PA'!$E$5:$E$2488='Analítico Cp.'!$B125),-('Diário 8º PA'!$Q$5:$Q$2488=I$1),('Diário 8º PA'!$F$5:$F$2488))
+SUMPRODUCT(-('Comp.'!$D$5:$D$313='Analítico Cp.'!$B125),-('Comp.'!$R$5:$R$313=I$1),('Comp.'!$E$5:$E$313))</f>
        <v>0</v>
      </c>
      <c r="J125" s="185">
        <f>SUMPRODUCT(-('Diário 5º PA'!$E$5:$E$2634='Analítico Cp.'!$B125),-('Diário 5º PA'!$Q$5:$Q$2634=J$1),('Diário 5º PA'!$F$5:$F$2634))
+SUMPRODUCT(-('Diário 6º PA'!$E$5:$E$2246='Analítico Cp.'!$B125),-('Diário 6º PA'!$Q$5:$Q$2246=J$1),('Diário 6º PA'!$F$5:$F$2246))
+SUMPRODUCT(-('Diário 7º PA'!$E$5:$E$2271='Analítico Cp.'!$B125),-('Diário 7º PA'!$Q$5:$Q$2271=J$1),('Diário 7º PA'!$F$5:$F$2271))
+SUMPRODUCT(-('Diário 8º PA'!$E$5:$E$2488='Analítico Cp.'!$B125),-('Diário 8º PA'!$Q$5:$Q$2488=J$1),('Diário 8º PA'!$F$5:$F$2488))
+SUMPRODUCT(-('Comp.'!$D$5:$D$313='Analítico Cp.'!$B125),-('Comp.'!$R$5:$R$313=J$1),('Comp.'!$E$5:$E$313))</f>
        <v>0</v>
      </c>
      <c r="K125" s="185">
        <f>SUMPRODUCT(-('Diário 5º PA'!$E$5:$E$2634='Analítico Cp.'!$B125),-('Diário 5º PA'!$Q$5:$Q$2634=K$1),('Diário 5º PA'!$F$5:$F$2634))
+SUMPRODUCT(-('Diário 6º PA'!$E$5:$E$2246='Analítico Cp.'!$B125),-('Diário 6º PA'!$Q$5:$Q$2246=K$1),('Diário 6º PA'!$F$5:$F$2246))
+SUMPRODUCT(-('Diário 7º PA'!$E$5:$E$2271='Analítico Cp.'!$B125),-('Diário 7º PA'!$Q$5:$Q$2271=K$1),('Diário 7º PA'!$F$5:$F$2271))
+SUMPRODUCT(-('Diário 8º PA'!$E$5:$E$2488='Analítico Cp.'!$B125),-('Diário 8º PA'!$Q$5:$Q$2488=K$1),('Diário 8º PA'!$F$5:$F$2488))
+SUMPRODUCT(-('Comp.'!$D$5:$D$313='Analítico Cp.'!$B125),-('Comp.'!$R$5:$R$313=K$1),('Comp.'!$E$5:$E$313))</f>
        <v>0</v>
      </c>
      <c r="L125" s="185">
        <f>SUMPRODUCT(-('Diário 5º PA'!$E$5:$E$2634='Analítico Cp.'!$B125),-('Diário 5º PA'!$Q$5:$Q$2634=L$1),('Diário 5º PA'!$F$5:$F$2634))
+SUMPRODUCT(-('Diário 6º PA'!$E$5:$E$2246='Analítico Cp.'!$B125),-('Diário 6º PA'!$Q$5:$Q$2246=L$1),('Diário 6º PA'!$F$5:$F$2246))
+SUMPRODUCT(-('Diário 7º PA'!$E$5:$E$2271='Analítico Cp.'!$B125),-('Diário 7º PA'!$Q$5:$Q$2271=L$1),('Diário 7º PA'!$F$5:$F$2271))
+SUMPRODUCT(-('Diário 8º PA'!$E$5:$E$2488='Analítico Cp.'!$B125),-('Diário 8º PA'!$Q$5:$Q$2488=L$1),('Diário 8º PA'!$F$5:$F$2488))
+SUMPRODUCT(-('Comp.'!$D$5:$D$313='Analítico Cp.'!$B125),-('Comp.'!$R$5:$R$313=L$1),('Comp.'!$E$5:$E$313))</f>
        <v>0</v>
      </c>
      <c r="M125" s="185">
        <f>SUMPRODUCT(-('Diário 5º PA'!$E$5:$E$2634='Analítico Cp.'!$B125),-('Diário 5º PA'!$Q$5:$Q$2634=M$1),('Diário 5º PA'!$F$5:$F$2634))
+SUMPRODUCT(-('Diário 6º PA'!$E$5:$E$2246='Analítico Cp.'!$B125),-('Diário 6º PA'!$Q$5:$Q$2246=M$1),('Diário 6º PA'!$F$5:$F$2246))
+SUMPRODUCT(-('Diário 7º PA'!$E$5:$E$2271='Analítico Cp.'!$B125),-('Diário 7º PA'!$Q$5:$Q$2271=M$1),('Diário 7º PA'!$F$5:$F$2271))
+SUMPRODUCT(-('Diário 8º PA'!$E$5:$E$2488='Analítico Cp.'!$B125),-('Diário 8º PA'!$Q$5:$Q$2488=M$1),('Diário 8º PA'!$F$5:$F$2488))
+SUMPRODUCT(-('Comp.'!$D$5:$D$313='Analítico Cp.'!$B125),-('Comp.'!$R$5:$R$313=M$1),('Comp.'!$E$5:$E$313))</f>
        <v>0</v>
      </c>
      <c r="N125" s="185">
        <f>SUMPRODUCT(-('Diário 5º PA'!$E$5:$E$2634='Analítico Cp.'!$B125),-('Diário 5º PA'!$Q$5:$Q$2634=N$1),('Diário 5º PA'!$F$5:$F$2634))
+SUMPRODUCT(-('Diário 6º PA'!$E$5:$E$2246='Analítico Cp.'!$B125),-('Diário 6º PA'!$Q$5:$Q$2246=N$1),('Diário 6º PA'!$F$5:$F$2246))
+SUMPRODUCT(-('Diário 7º PA'!$E$5:$E$2271='Analítico Cp.'!$B125),-('Diário 7º PA'!$Q$5:$Q$2271=N$1),('Diário 7º PA'!$F$5:$F$2271))
+SUMPRODUCT(-('Diário 8º PA'!$E$5:$E$2488='Analítico Cp.'!$B125),-('Diário 8º PA'!$Q$5:$Q$2488=N$1),('Diário 8º PA'!$F$5:$F$2488))
+SUMPRODUCT(-('Comp.'!$D$5:$D$313='Analítico Cp.'!$B125),-('Comp.'!$R$5:$R$313=N$1),('Comp.'!$E$5:$E$313))</f>
        <v>0</v>
      </c>
      <c r="O125" s="186">
        <f t="shared" si="16"/>
        <v>28250</v>
      </c>
      <c r="P125" s="187">
        <f t="shared" si="17"/>
        <v>2.9138789502518659E-3</v>
      </c>
      <c r="Q125" s="34"/>
      <c r="R125" s="34"/>
      <c r="S125" s="34"/>
      <c r="T125" s="34"/>
      <c r="U125" s="34"/>
      <c r="V125" s="34"/>
      <c r="W125" s="34"/>
      <c r="X125" s="34"/>
      <c r="Y125" s="34"/>
      <c r="Z125" s="34"/>
    </row>
    <row r="126" spans="1:26" ht="12.75" customHeight="1" x14ac:dyDescent="0.2">
      <c r="A126" s="203" t="s">
        <v>349</v>
      </c>
      <c r="B126" s="72" t="s">
        <v>350</v>
      </c>
      <c r="C126" s="185">
        <f>SUMPRODUCT(-('Diário 5º PA'!$E$5:$E$2634='Analítico Cp.'!$B126),-('Diário 5º PA'!$Q$5:$Q$2634=C$1),('Diário 5º PA'!$F$5:$F$2634))
+SUMPRODUCT(-('Diário 6º PA'!$E$5:$E$2246='Analítico Cp.'!$B126),-('Diário 6º PA'!$Q$5:$Q$2246=C$1),('Diário 6º PA'!$F$5:$F$2246))
+SUMPRODUCT(-('Diário 7º PA'!$E$5:$E$2271='Analítico Cp.'!$B126),-('Diário 7º PA'!$Q$5:$Q$2271=C$1),('Diário 7º PA'!$F$5:$F$2271))
+SUMPRODUCT(-('Diário 8º PA'!$E$5:$E$2488='Analítico Cp.'!$B126),-('Diário 8º PA'!$Q$5:$Q$2488=C$1),('Diário 8º PA'!$F$5:$F$2488))
+SUMPRODUCT(-('Comp.'!$D$5:$D$313='Analítico Cp.'!$B126),-('Comp.'!$R$5:$R$313=C$1),('Comp.'!$E$5:$E$313))</f>
        <v>0</v>
      </c>
      <c r="D126" s="185">
        <f>SUMPRODUCT(-('Diário 5º PA'!$E$5:$E$2634='Analítico Cp.'!$B126),-('Diário 5º PA'!$Q$5:$Q$2634=D$1),('Diário 5º PA'!$F$5:$F$2634))
+SUMPRODUCT(-('Diário 6º PA'!$E$5:$E$2246='Analítico Cp.'!$B126),-('Diário 6º PA'!$Q$5:$Q$2246=D$1),('Diário 6º PA'!$F$5:$F$2246))
+SUMPRODUCT(-('Diário 7º PA'!$E$5:$E$2271='Analítico Cp.'!$B126),-('Diário 7º PA'!$Q$5:$Q$2271=D$1),('Diário 7º PA'!$F$5:$F$2271))
+SUMPRODUCT(-('Diário 8º PA'!$E$5:$E$2488='Analítico Cp.'!$B126),-('Diário 8º PA'!$Q$5:$Q$2488=D$1),('Diário 8º PA'!$F$5:$F$2488))
+SUMPRODUCT(-('Comp.'!$D$5:$D$313='Analítico Cp.'!$B126),-('Comp.'!$R$5:$R$313=D$1),('Comp.'!$E$5:$E$313))</f>
        <v>0</v>
      </c>
      <c r="E126" s="185">
        <f>SUMPRODUCT(-('Diário 5º PA'!$E$5:$E$2634='Analítico Cp.'!$B126),-('Diário 5º PA'!$Q$5:$Q$2634=E$1),('Diário 5º PA'!$F$5:$F$2634))
+SUMPRODUCT(-('Diário 6º PA'!$E$5:$E$2246='Analítico Cp.'!$B126),-('Diário 6º PA'!$Q$5:$Q$2246=E$1),('Diário 6º PA'!$F$5:$F$2246))
+SUMPRODUCT(-('Diário 7º PA'!$E$5:$E$2271='Analítico Cp.'!$B126),-('Diário 7º PA'!$Q$5:$Q$2271=E$1),('Diário 7º PA'!$F$5:$F$2271))
+SUMPRODUCT(-('Diário 8º PA'!$E$5:$E$2488='Analítico Cp.'!$B126),-('Diário 8º PA'!$Q$5:$Q$2488=E$1),('Diário 8º PA'!$F$5:$F$2488))
+SUMPRODUCT(-('Comp.'!$D$5:$D$313='Analítico Cp.'!$B126),-('Comp.'!$R$5:$R$313=E$1),('Comp.'!$E$5:$E$313))</f>
        <v>0</v>
      </c>
      <c r="F126" s="185">
        <f>SUMPRODUCT(-('Diário 5º PA'!$E$5:$E$2634='Analítico Cp.'!$B126),-('Diário 5º PA'!$Q$5:$Q$2634=F$1),('Diário 5º PA'!$F$5:$F$2634))
+SUMPRODUCT(-('Diário 6º PA'!$E$5:$E$2246='Analítico Cp.'!$B126),-('Diário 6º PA'!$Q$5:$Q$2246=F$1),('Diário 6º PA'!$F$5:$F$2246))
+SUMPRODUCT(-('Diário 7º PA'!$E$5:$E$2271='Analítico Cp.'!$B126),-('Diário 7º PA'!$Q$5:$Q$2271=F$1),('Diário 7º PA'!$F$5:$F$2271))
+SUMPRODUCT(-('Diário 8º PA'!$E$5:$E$2488='Analítico Cp.'!$B126),-('Diário 8º PA'!$Q$5:$Q$2488=F$1),('Diário 8º PA'!$F$5:$F$2488))
+SUMPRODUCT(-('Comp.'!$D$5:$D$313='Analítico Cp.'!$B126),-('Comp.'!$R$5:$R$313=F$1),('Comp.'!$E$5:$E$313))</f>
        <v>0</v>
      </c>
      <c r="G126" s="185">
        <f>SUMPRODUCT(-('Diário 5º PA'!$E$5:$E$2634='Analítico Cp.'!$B126),-('Diário 5º PA'!$Q$5:$Q$2634=G$1),('Diário 5º PA'!$F$5:$F$2634))
+SUMPRODUCT(-('Diário 6º PA'!$E$5:$E$2246='Analítico Cp.'!$B126),-('Diário 6º PA'!$Q$5:$Q$2246=G$1),('Diário 6º PA'!$F$5:$F$2246))
+SUMPRODUCT(-('Diário 7º PA'!$E$5:$E$2271='Analítico Cp.'!$B126),-('Diário 7º PA'!$Q$5:$Q$2271=G$1),('Diário 7º PA'!$F$5:$F$2271))
+SUMPRODUCT(-('Diário 8º PA'!$E$5:$E$2488='Analítico Cp.'!$B126),-('Diário 8º PA'!$Q$5:$Q$2488=G$1),('Diário 8º PA'!$F$5:$F$2488))
+SUMPRODUCT(-('Comp.'!$D$5:$D$313='Analítico Cp.'!$B126),-('Comp.'!$R$5:$R$313=G$1),('Comp.'!$E$5:$E$313))</f>
        <v>0</v>
      </c>
      <c r="H126" s="185">
        <f>SUMPRODUCT(-('Diário 5º PA'!$E$5:$E$2634='Analítico Cp.'!$B126),-('Diário 5º PA'!$Q$5:$Q$2634=H$1),('Diário 5º PA'!$F$5:$F$2634))
+SUMPRODUCT(-('Diário 6º PA'!$E$5:$E$2246='Analítico Cp.'!$B126),-('Diário 6º PA'!$Q$5:$Q$2246=H$1),('Diário 6º PA'!$F$5:$F$2246))
+SUMPRODUCT(-('Diário 7º PA'!$E$5:$E$2271='Analítico Cp.'!$B126),-('Diário 7º PA'!$Q$5:$Q$2271=H$1),('Diário 7º PA'!$F$5:$F$2271))
+SUMPRODUCT(-('Diário 8º PA'!$E$5:$E$2488='Analítico Cp.'!$B126),-('Diário 8º PA'!$Q$5:$Q$2488=H$1),('Diário 8º PA'!$F$5:$F$2488))
+SUMPRODUCT(-('Comp.'!$D$5:$D$313='Analítico Cp.'!$B126),-('Comp.'!$R$5:$R$313=H$1),('Comp.'!$E$5:$E$313))</f>
        <v>0</v>
      </c>
      <c r="I126" s="185">
        <f>SUMPRODUCT(-('Diário 5º PA'!$E$5:$E$2634='Analítico Cp.'!$B126),-('Diário 5º PA'!$Q$5:$Q$2634=I$1),('Diário 5º PA'!$F$5:$F$2634))
+SUMPRODUCT(-('Diário 6º PA'!$E$5:$E$2246='Analítico Cp.'!$B126),-('Diário 6º PA'!$Q$5:$Q$2246=I$1),('Diário 6º PA'!$F$5:$F$2246))
+SUMPRODUCT(-('Diário 7º PA'!$E$5:$E$2271='Analítico Cp.'!$B126),-('Diário 7º PA'!$Q$5:$Q$2271=I$1),('Diário 7º PA'!$F$5:$F$2271))
+SUMPRODUCT(-('Diário 8º PA'!$E$5:$E$2488='Analítico Cp.'!$B126),-('Diário 8º PA'!$Q$5:$Q$2488=I$1),('Diário 8º PA'!$F$5:$F$2488))
+SUMPRODUCT(-('Comp.'!$D$5:$D$313='Analítico Cp.'!$B126),-('Comp.'!$R$5:$R$313=I$1),('Comp.'!$E$5:$E$313))</f>
        <v>0</v>
      </c>
      <c r="J126" s="185">
        <f>SUMPRODUCT(-('Diário 5º PA'!$E$5:$E$2634='Analítico Cp.'!$B126),-('Diário 5º PA'!$Q$5:$Q$2634=J$1),('Diário 5º PA'!$F$5:$F$2634))
+SUMPRODUCT(-('Diário 6º PA'!$E$5:$E$2246='Analítico Cp.'!$B126),-('Diário 6º PA'!$Q$5:$Q$2246=J$1),('Diário 6º PA'!$F$5:$F$2246))
+SUMPRODUCT(-('Diário 7º PA'!$E$5:$E$2271='Analítico Cp.'!$B126),-('Diário 7º PA'!$Q$5:$Q$2271=J$1),('Diário 7º PA'!$F$5:$F$2271))
+SUMPRODUCT(-('Diário 8º PA'!$E$5:$E$2488='Analítico Cp.'!$B126),-('Diário 8º PA'!$Q$5:$Q$2488=J$1),('Diário 8º PA'!$F$5:$F$2488))
+SUMPRODUCT(-('Comp.'!$D$5:$D$313='Analítico Cp.'!$B126),-('Comp.'!$R$5:$R$313=J$1),('Comp.'!$E$5:$E$313))</f>
        <v>36200</v>
      </c>
      <c r="K126" s="185">
        <f>SUMPRODUCT(-('Diário 5º PA'!$E$5:$E$2634='Analítico Cp.'!$B126),-('Diário 5º PA'!$Q$5:$Q$2634=K$1),('Diário 5º PA'!$F$5:$F$2634))
+SUMPRODUCT(-('Diário 6º PA'!$E$5:$E$2246='Analítico Cp.'!$B126),-('Diário 6º PA'!$Q$5:$Q$2246=K$1),('Diário 6º PA'!$F$5:$F$2246))
+SUMPRODUCT(-('Diário 7º PA'!$E$5:$E$2271='Analítico Cp.'!$B126),-('Diário 7º PA'!$Q$5:$Q$2271=K$1),('Diário 7º PA'!$F$5:$F$2271))
+SUMPRODUCT(-('Diário 8º PA'!$E$5:$E$2488='Analítico Cp.'!$B126),-('Diário 8º PA'!$Q$5:$Q$2488=K$1),('Diário 8º PA'!$F$5:$F$2488))
+SUMPRODUCT(-('Comp.'!$D$5:$D$313='Analítico Cp.'!$B126),-('Comp.'!$R$5:$R$313=K$1),('Comp.'!$E$5:$E$313))</f>
        <v>6000</v>
      </c>
      <c r="L126" s="185">
        <f>SUMPRODUCT(-('Diário 5º PA'!$E$5:$E$2634='Analítico Cp.'!$B126),-('Diário 5º PA'!$Q$5:$Q$2634=L$1),('Diário 5º PA'!$F$5:$F$2634))
+SUMPRODUCT(-('Diário 6º PA'!$E$5:$E$2246='Analítico Cp.'!$B126),-('Diário 6º PA'!$Q$5:$Q$2246=L$1),('Diário 6º PA'!$F$5:$F$2246))
+SUMPRODUCT(-('Diário 7º PA'!$E$5:$E$2271='Analítico Cp.'!$B126),-('Diário 7º PA'!$Q$5:$Q$2271=L$1),('Diário 7º PA'!$F$5:$F$2271))
+SUMPRODUCT(-('Diário 8º PA'!$E$5:$E$2488='Analítico Cp.'!$B126),-('Diário 8º PA'!$Q$5:$Q$2488=L$1),('Diário 8º PA'!$F$5:$F$2488))
+SUMPRODUCT(-('Comp.'!$D$5:$D$313='Analítico Cp.'!$B126),-('Comp.'!$R$5:$R$313=L$1),('Comp.'!$E$5:$E$313))</f>
        <v>2200</v>
      </c>
      <c r="M126" s="185">
        <f>SUMPRODUCT(-('Diário 5º PA'!$E$5:$E$2634='Analítico Cp.'!$B126),-('Diário 5º PA'!$Q$5:$Q$2634=M$1),('Diário 5º PA'!$F$5:$F$2634))
+SUMPRODUCT(-('Diário 6º PA'!$E$5:$E$2246='Analítico Cp.'!$B126),-('Diário 6º PA'!$Q$5:$Q$2246=M$1),('Diário 6º PA'!$F$5:$F$2246))
+SUMPRODUCT(-('Diário 7º PA'!$E$5:$E$2271='Analítico Cp.'!$B126),-('Diário 7º PA'!$Q$5:$Q$2271=M$1),('Diário 7º PA'!$F$5:$F$2271))
+SUMPRODUCT(-('Diário 8º PA'!$E$5:$E$2488='Analítico Cp.'!$B126),-('Diário 8º PA'!$Q$5:$Q$2488=M$1),('Diário 8º PA'!$F$5:$F$2488))
+SUMPRODUCT(-('Comp.'!$D$5:$D$313='Analítico Cp.'!$B126),-('Comp.'!$R$5:$R$313=M$1),('Comp.'!$E$5:$E$313))</f>
        <v>27000</v>
      </c>
      <c r="N126" s="185">
        <f>SUMPRODUCT(-('Diário 5º PA'!$E$5:$E$2634='Analítico Cp.'!$B126),-('Diário 5º PA'!$Q$5:$Q$2634=N$1),('Diário 5º PA'!$F$5:$F$2634))
+SUMPRODUCT(-('Diário 6º PA'!$E$5:$E$2246='Analítico Cp.'!$B126),-('Diário 6º PA'!$Q$5:$Q$2246=N$1),('Diário 6º PA'!$F$5:$F$2246))
+SUMPRODUCT(-('Diário 7º PA'!$E$5:$E$2271='Analítico Cp.'!$B126),-('Diário 7º PA'!$Q$5:$Q$2271=N$1),('Diário 7º PA'!$F$5:$F$2271))
+SUMPRODUCT(-('Diário 8º PA'!$E$5:$E$2488='Analítico Cp.'!$B126),-('Diário 8º PA'!$Q$5:$Q$2488=N$1),('Diário 8º PA'!$F$5:$F$2488))
+SUMPRODUCT(-('Comp.'!$D$5:$D$313='Analítico Cp.'!$B126),-('Comp.'!$R$5:$R$313=N$1),('Comp.'!$E$5:$E$313))</f>
        <v>8000</v>
      </c>
      <c r="O126" s="186">
        <f t="shared" si="16"/>
        <v>79400</v>
      </c>
      <c r="P126" s="187">
        <f t="shared" si="17"/>
        <v>8.1898049079645353E-3</v>
      </c>
      <c r="Q126" s="34"/>
      <c r="R126" s="34"/>
      <c r="S126" s="34"/>
      <c r="T126" s="34"/>
      <c r="U126" s="34"/>
      <c r="V126" s="34"/>
      <c r="W126" s="34"/>
      <c r="X126" s="34"/>
      <c r="Y126" s="34"/>
      <c r="Z126" s="34"/>
    </row>
    <row r="127" spans="1:26" ht="24.75" customHeight="1" x14ac:dyDescent="0.2">
      <c r="A127" s="203" t="s">
        <v>351</v>
      </c>
      <c r="B127" s="72" t="s">
        <v>352</v>
      </c>
      <c r="C127" s="185">
        <f>SUMPRODUCT(-('Diário 5º PA'!$E$5:$E$2634='Analítico Cp.'!$B127),-('Diário 5º PA'!$Q$5:$Q$2634=C$1),('Diário 5º PA'!$F$5:$F$2634))
+SUMPRODUCT(-('Diário 6º PA'!$E$5:$E$2246='Analítico Cp.'!$B127),-('Diário 6º PA'!$Q$5:$Q$2246=C$1),('Diário 6º PA'!$F$5:$F$2246))
+SUMPRODUCT(-('Diário 7º PA'!$E$5:$E$2271='Analítico Cp.'!$B127),-('Diário 7º PA'!$Q$5:$Q$2271=C$1),('Diário 7º PA'!$F$5:$F$2271))
+SUMPRODUCT(-('Diário 8º PA'!$E$5:$E$2488='Analítico Cp.'!$B127),-('Diário 8º PA'!$Q$5:$Q$2488=C$1),('Diário 8º PA'!$F$5:$F$2488))
+SUMPRODUCT(-('Comp.'!$D$5:$D$313='Analítico Cp.'!$B127),-('Comp.'!$R$5:$R$313=C$1),('Comp.'!$E$5:$E$313))</f>
        <v>5000</v>
      </c>
      <c r="D127" s="185">
        <f>SUMPRODUCT(-('Diário 5º PA'!$E$5:$E$2634='Analítico Cp.'!$B127),-('Diário 5º PA'!$Q$5:$Q$2634=D$1),('Diário 5º PA'!$F$5:$F$2634))
+SUMPRODUCT(-('Diário 6º PA'!$E$5:$E$2246='Analítico Cp.'!$B127),-('Diário 6º PA'!$Q$5:$Q$2246=D$1),('Diário 6º PA'!$F$5:$F$2246))
+SUMPRODUCT(-('Diário 7º PA'!$E$5:$E$2271='Analítico Cp.'!$B127),-('Diário 7º PA'!$Q$5:$Q$2271=D$1),('Diário 7º PA'!$F$5:$F$2271))
+SUMPRODUCT(-('Diário 8º PA'!$E$5:$E$2488='Analítico Cp.'!$B127),-('Diário 8º PA'!$Q$5:$Q$2488=D$1),('Diário 8º PA'!$F$5:$F$2488))
+SUMPRODUCT(-('Comp.'!$D$5:$D$313='Analítico Cp.'!$B127),-('Comp.'!$R$5:$R$313=D$1),('Comp.'!$E$5:$E$313))</f>
        <v>16749.989999999998</v>
      </c>
      <c r="E127" s="185">
        <f>SUMPRODUCT(-('Diário 5º PA'!$E$5:$E$2634='Analítico Cp.'!$B127),-('Diário 5º PA'!$Q$5:$Q$2634=E$1),('Diário 5º PA'!$F$5:$F$2634))
+SUMPRODUCT(-('Diário 6º PA'!$E$5:$E$2246='Analítico Cp.'!$B127),-('Diário 6º PA'!$Q$5:$Q$2246=E$1),('Diário 6º PA'!$F$5:$F$2246))
+SUMPRODUCT(-('Diário 7º PA'!$E$5:$E$2271='Analítico Cp.'!$B127),-('Diário 7º PA'!$Q$5:$Q$2271=E$1),('Diário 7º PA'!$F$5:$F$2271))
+SUMPRODUCT(-('Diário 8º PA'!$E$5:$E$2488='Analítico Cp.'!$B127),-('Diário 8º PA'!$Q$5:$Q$2488=E$1),('Diário 8º PA'!$F$5:$F$2488))
+SUMPRODUCT(-('Comp.'!$D$5:$D$313='Analítico Cp.'!$B127),-('Comp.'!$R$5:$R$313=E$1),('Comp.'!$E$5:$E$313))</f>
        <v>16189.99</v>
      </c>
      <c r="F127" s="185">
        <f>SUMPRODUCT(-('Diário 5º PA'!$E$5:$E$2634='Analítico Cp.'!$B127),-('Diário 5º PA'!$Q$5:$Q$2634=F$1),('Diário 5º PA'!$F$5:$F$2634))
+SUMPRODUCT(-('Diário 6º PA'!$E$5:$E$2246='Analítico Cp.'!$B127),-('Diário 6º PA'!$Q$5:$Q$2246=F$1),('Diário 6º PA'!$F$5:$F$2246))
+SUMPRODUCT(-('Diário 7º PA'!$E$5:$E$2271='Analítico Cp.'!$B127),-('Diário 7º PA'!$Q$5:$Q$2271=F$1),('Diário 7º PA'!$F$5:$F$2271))
+SUMPRODUCT(-('Diário 8º PA'!$E$5:$E$2488='Analítico Cp.'!$B127),-('Diário 8º PA'!$Q$5:$Q$2488=F$1),('Diário 8º PA'!$F$5:$F$2488))
+SUMPRODUCT(-('Comp.'!$D$5:$D$313='Analítico Cp.'!$B127),-('Comp.'!$R$5:$R$313=F$1),('Comp.'!$E$5:$E$313))</f>
        <v>17749.989999999998</v>
      </c>
      <c r="G127" s="185">
        <f>SUMPRODUCT(-('Diário 5º PA'!$E$5:$E$2634='Analítico Cp.'!$B127),-('Diário 5º PA'!$Q$5:$Q$2634=G$1),('Diário 5º PA'!$F$5:$F$2634))
+SUMPRODUCT(-('Diário 6º PA'!$E$5:$E$2246='Analítico Cp.'!$B127),-('Diário 6º PA'!$Q$5:$Q$2246=G$1),('Diário 6º PA'!$F$5:$F$2246))
+SUMPRODUCT(-('Diário 7º PA'!$E$5:$E$2271='Analítico Cp.'!$B127),-('Diário 7º PA'!$Q$5:$Q$2271=G$1),('Diário 7º PA'!$F$5:$F$2271))
+SUMPRODUCT(-('Diário 8º PA'!$E$5:$E$2488='Analítico Cp.'!$B127),-('Diário 8º PA'!$Q$5:$Q$2488=G$1),('Diário 8º PA'!$F$5:$F$2488))
+SUMPRODUCT(-('Comp.'!$D$5:$D$313='Analítico Cp.'!$B127),-('Comp.'!$R$5:$R$313=G$1),('Comp.'!$E$5:$E$313))</f>
        <v>19649.989999999998</v>
      </c>
      <c r="H127" s="185">
        <f>SUMPRODUCT(-('Diário 5º PA'!$E$5:$E$2634='Analítico Cp.'!$B127),-('Diário 5º PA'!$Q$5:$Q$2634=H$1),('Diário 5º PA'!$F$5:$F$2634))
+SUMPRODUCT(-('Diário 6º PA'!$E$5:$E$2246='Analítico Cp.'!$B127),-('Diário 6º PA'!$Q$5:$Q$2246=H$1),('Diário 6º PA'!$F$5:$F$2246))
+SUMPRODUCT(-('Diário 7º PA'!$E$5:$E$2271='Analítico Cp.'!$B127),-('Diário 7º PA'!$Q$5:$Q$2271=H$1),('Diário 7º PA'!$F$5:$F$2271))
+SUMPRODUCT(-('Diário 8º PA'!$E$5:$E$2488='Analítico Cp.'!$B127),-('Diário 8º PA'!$Q$5:$Q$2488=H$1),('Diário 8º PA'!$F$5:$F$2488))
+SUMPRODUCT(-('Comp.'!$D$5:$D$313='Analítico Cp.'!$B127),-('Comp.'!$R$5:$R$313=H$1),('Comp.'!$E$5:$E$313))</f>
        <v>15049.99</v>
      </c>
      <c r="I127" s="185">
        <f>SUMPRODUCT(-('Diário 5º PA'!$E$5:$E$2634='Analítico Cp.'!$B127),-('Diário 5º PA'!$Q$5:$Q$2634=I$1),('Diário 5º PA'!$F$5:$F$2634))
+SUMPRODUCT(-('Diário 6º PA'!$E$5:$E$2246='Analítico Cp.'!$B127),-('Diário 6º PA'!$Q$5:$Q$2246=I$1),('Diário 6º PA'!$F$5:$F$2246))
+SUMPRODUCT(-('Diário 7º PA'!$E$5:$E$2271='Analítico Cp.'!$B127),-('Diário 7º PA'!$Q$5:$Q$2271=I$1),('Diário 7º PA'!$F$5:$F$2271))
+SUMPRODUCT(-('Diário 8º PA'!$E$5:$E$2488='Analítico Cp.'!$B127),-('Diário 8º PA'!$Q$5:$Q$2488=I$1),('Diário 8º PA'!$F$5:$F$2488))
+SUMPRODUCT(-('Comp.'!$D$5:$D$313='Analítico Cp.'!$B127),-('Comp.'!$R$5:$R$313=I$1),('Comp.'!$E$5:$E$313))</f>
        <v>5500</v>
      </c>
      <c r="J127" s="185">
        <f>SUMPRODUCT(-('Diário 5º PA'!$E$5:$E$2634='Analítico Cp.'!$B127),-('Diário 5º PA'!$Q$5:$Q$2634=J$1),('Diário 5º PA'!$F$5:$F$2634))
+SUMPRODUCT(-('Diário 6º PA'!$E$5:$E$2246='Analítico Cp.'!$B127),-('Diário 6º PA'!$Q$5:$Q$2246=J$1),('Diário 6º PA'!$F$5:$F$2246))
+SUMPRODUCT(-('Diário 7º PA'!$E$5:$E$2271='Analítico Cp.'!$B127),-('Diário 7º PA'!$Q$5:$Q$2271=J$1),('Diário 7º PA'!$F$5:$F$2271))
+SUMPRODUCT(-('Diário 8º PA'!$E$5:$E$2488='Analítico Cp.'!$B127),-('Diário 8º PA'!$Q$5:$Q$2488=J$1),('Diário 8º PA'!$F$5:$F$2488))
+SUMPRODUCT(-('Comp.'!$D$5:$D$313='Analítico Cp.'!$B127),-('Comp.'!$R$5:$R$313=J$1),('Comp.'!$E$5:$E$313))</f>
        <v>19469.999999999996</v>
      </c>
      <c r="K127" s="185">
        <f>SUMPRODUCT(-('Diário 5º PA'!$E$5:$E$2634='Analítico Cp.'!$B127),-('Diário 5º PA'!$Q$5:$Q$2634=K$1),('Diário 5º PA'!$F$5:$F$2634))
+SUMPRODUCT(-('Diário 6º PA'!$E$5:$E$2246='Analítico Cp.'!$B127),-('Diário 6º PA'!$Q$5:$Q$2246=K$1),('Diário 6º PA'!$F$5:$F$2246))
+SUMPRODUCT(-('Diário 7º PA'!$E$5:$E$2271='Analítico Cp.'!$B127),-('Diário 7º PA'!$Q$5:$Q$2271=K$1),('Diário 7º PA'!$F$5:$F$2271))
+SUMPRODUCT(-('Diário 8º PA'!$E$5:$E$2488='Analítico Cp.'!$B127),-('Diário 8º PA'!$Q$5:$Q$2488=K$1),('Diário 8º PA'!$F$5:$F$2488))
+SUMPRODUCT(-('Comp.'!$D$5:$D$313='Analítico Cp.'!$B127),-('Comp.'!$R$5:$R$313=K$1),('Comp.'!$E$5:$E$313))</f>
        <v>8580</v>
      </c>
      <c r="L127" s="185">
        <f>SUMPRODUCT(-('Diário 5º PA'!$E$5:$E$2634='Analítico Cp.'!$B127),-('Diário 5º PA'!$Q$5:$Q$2634=L$1),('Diário 5º PA'!$F$5:$F$2634))
+SUMPRODUCT(-('Diário 6º PA'!$E$5:$E$2246='Analítico Cp.'!$B127),-('Diário 6º PA'!$Q$5:$Q$2246=L$1),('Diário 6º PA'!$F$5:$F$2246))
+SUMPRODUCT(-('Diário 7º PA'!$E$5:$E$2271='Analítico Cp.'!$B127),-('Diário 7º PA'!$Q$5:$Q$2271=L$1),('Diário 7º PA'!$F$5:$F$2271))
+SUMPRODUCT(-('Diário 8º PA'!$E$5:$E$2488='Analítico Cp.'!$B127),-('Diário 8º PA'!$Q$5:$Q$2488=L$1),('Diário 8º PA'!$F$5:$F$2488))
+SUMPRODUCT(-('Comp.'!$D$5:$D$313='Analítico Cp.'!$B127),-('Comp.'!$R$5:$R$313=L$1),('Comp.'!$E$5:$E$313))</f>
        <v>20554.300000000003</v>
      </c>
      <c r="M127" s="185">
        <f>SUMPRODUCT(-('Diário 5º PA'!$E$5:$E$2634='Analítico Cp.'!$B127),-('Diário 5º PA'!$Q$5:$Q$2634=M$1),('Diário 5º PA'!$F$5:$F$2634))
+SUMPRODUCT(-('Diário 6º PA'!$E$5:$E$2246='Analítico Cp.'!$B127),-('Diário 6º PA'!$Q$5:$Q$2246=M$1),('Diário 6º PA'!$F$5:$F$2246))
+SUMPRODUCT(-('Diário 7º PA'!$E$5:$E$2271='Analítico Cp.'!$B127),-('Diário 7º PA'!$Q$5:$Q$2271=M$1),('Diário 7º PA'!$F$5:$F$2271))
+SUMPRODUCT(-('Diário 8º PA'!$E$5:$E$2488='Analítico Cp.'!$B127),-('Diário 8º PA'!$Q$5:$Q$2488=M$1),('Diário 8º PA'!$F$5:$F$2488))
+SUMPRODUCT(-('Comp.'!$D$5:$D$313='Analítico Cp.'!$B127),-('Comp.'!$R$5:$R$313=M$1),('Comp.'!$E$5:$E$313))</f>
        <v>10650.7</v>
      </c>
      <c r="N127" s="185">
        <f>SUMPRODUCT(-('Diário 5º PA'!$E$5:$E$2634='Analítico Cp.'!$B127),-('Diário 5º PA'!$Q$5:$Q$2634=N$1),('Diário 5º PA'!$F$5:$F$2634))
+SUMPRODUCT(-('Diário 6º PA'!$E$5:$E$2246='Analítico Cp.'!$B127),-('Diário 6º PA'!$Q$5:$Q$2246=N$1),('Diário 6º PA'!$F$5:$F$2246))
+SUMPRODUCT(-('Diário 7º PA'!$E$5:$E$2271='Analítico Cp.'!$B127),-('Diário 7º PA'!$Q$5:$Q$2271=N$1),('Diário 7º PA'!$F$5:$F$2271))
+SUMPRODUCT(-('Diário 8º PA'!$E$5:$E$2488='Analítico Cp.'!$B127),-('Diário 8º PA'!$Q$5:$Q$2488=N$1),('Diário 8º PA'!$F$5:$F$2488))
+SUMPRODUCT(-('Comp.'!$D$5:$D$313='Analítico Cp.'!$B127),-('Comp.'!$R$5:$R$313=N$1),('Comp.'!$E$5:$E$313))</f>
        <v>0</v>
      </c>
      <c r="O127" s="186">
        <f t="shared" si="16"/>
        <v>155144.95000000001</v>
      </c>
      <c r="P127" s="187">
        <f t="shared" si="17"/>
        <v>1.6002605452845247E-2</v>
      </c>
      <c r="Q127" s="34"/>
      <c r="R127" s="34"/>
      <c r="S127" s="34"/>
      <c r="T127" s="34"/>
      <c r="U127" s="34"/>
      <c r="V127" s="34"/>
      <c r="W127" s="34"/>
      <c r="X127" s="34"/>
      <c r="Y127" s="34"/>
      <c r="Z127" s="34"/>
    </row>
    <row r="128" spans="1:26" ht="12.75" customHeight="1" x14ac:dyDescent="0.2">
      <c r="A128" s="203" t="s">
        <v>353</v>
      </c>
      <c r="B128" s="72" t="s">
        <v>354</v>
      </c>
      <c r="C128" s="185">
        <f>SUMPRODUCT(-('Diário 5º PA'!$E$5:$E$2634='Analítico Cp.'!$B128),-('Diário 5º PA'!$Q$5:$Q$2634=C$1),('Diário 5º PA'!$F$5:$F$2634))
+SUMPRODUCT(-('Diário 6º PA'!$E$5:$E$2246='Analítico Cp.'!$B128),-('Diário 6º PA'!$Q$5:$Q$2246=C$1),('Diário 6º PA'!$F$5:$F$2246))
+SUMPRODUCT(-('Diário 7º PA'!$E$5:$E$2271='Analítico Cp.'!$B128),-('Diário 7º PA'!$Q$5:$Q$2271=C$1),('Diário 7º PA'!$F$5:$F$2271))
+SUMPRODUCT(-('Diário 8º PA'!$E$5:$E$2488='Analítico Cp.'!$B128),-('Diário 8º PA'!$Q$5:$Q$2488=C$1),('Diário 8º PA'!$F$5:$F$2488))
+SUMPRODUCT(-('Comp.'!$D$5:$D$313='Analítico Cp.'!$B128),-('Comp.'!$R$5:$R$313=C$1),('Comp.'!$E$5:$E$313))</f>
        <v>0</v>
      </c>
      <c r="D128" s="185">
        <f>SUMPRODUCT(-('Diário 5º PA'!$E$5:$E$2634='Analítico Cp.'!$B128),-('Diário 5º PA'!$Q$5:$Q$2634=D$1),('Diário 5º PA'!$F$5:$F$2634))
+SUMPRODUCT(-('Diário 6º PA'!$E$5:$E$2246='Analítico Cp.'!$B128),-('Diário 6º PA'!$Q$5:$Q$2246=D$1),('Diário 6º PA'!$F$5:$F$2246))
+SUMPRODUCT(-('Diário 7º PA'!$E$5:$E$2271='Analítico Cp.'!$B128),-('Diário 7º PA'!$Q$5:$Q$2271=D$1),('Diário 7º PA'!$F$5:$F$2271))
+SUMPRODUCT(-('Diário 8º PA'!$E$5:$E$2488='Analítico Cp.'!$B128),-('Diário 8º PA'!$Q$5:$Q$2488=D$1),('Diário 8º PA'!$F$5:$F$2488))
+SUMPRODUCT(-('Comp.'!$D$5:$D$313='Analítico Cp.'!$B128),-('Comp.'!$R$5:$R$313=D$1),('Comp.'!$E$5:$E$313))</f>
        <v>0</v>
      </c>
      <c r="E128" s="185">
        <f>SUMPRODUCT(-('Diário 5º PA'!$E$5:$E$2634='Analítico Cp.'!$B128),-('Diário 5º PA'!$Q$5:$Q$2634=E$1),('Diário 5º PA'!$F$5:$F$2634))
+SUMPRODUCT(-('Diário 6º PA'!$E$5:$E$2246='Analítico Cp.'!$B128),-('Diário 6º PA'!$Q$5:$Q$2246=E$1),('Diário 6º PA'!$F$5:$F$2246))
+SUMPRODUCT(-('Diário 7º PA'!$E$5:$E$2271='Analítico Cp.'!$B128),-('Diário 7º PA'!$Q$5:$Q$2271=E$1),('Diário 7º PA'!$F$5:$F$2271))
+SUMPRODUCT(-('Diário 8º PA'!$E$5:$E$2488='Analítico Cp.'!$B128),-('Diário 8º PA'!$Q$5:$Q$2488=E$1),('Diário 8º PA'!$F$5:$F$2488))
+SUMPRODUCT(-('Comp.'!$D$5:$D$313='Analítico Cp.'!$B128),-('Comp.'!$R$5:$R$313=E$1),('Comp.'!$E$5:$E$313))</f>
        <v>0</v>
      </c>
      <c r="F128" s="185">
        <f>SUMPRODUCT(-('Diário 5º PA'!$E$5:$E$2634='Analítico Cp.'!$B128),-('Diário 5º PA'!$Q$5:$Q$2634=F$1),('Diário 5º PA'!$F$5:$F$2634))
+SUMPRODUCT(-('Diário 6º PA'!$E$5:$E$2246='Analítico Cp.'!$B128),-('Diário 6º PA'!$Q$5:$Q$2246=F$1),('Diário 6º PA'!$F$5:$F$2246))
+SUMPRODUCT(-('Diário 7º PA'!$E$5:$E$2271='Analítico Cp.'!$B128),-('Diário 7º PA'!$Q$5:$Q$2271=F$1),('Diário 7º PA'!$F$5:$F$2271))
+SUMPRODUCT(-('Diário 8º PA'!$E$5:$E$2488='Analítico Cp.'!$B128),-('Diário 8º PA'!$Q$5:$Q$2488=F$1),('Diário 8º PA'!$F$5:$F$2488))
+SUMPRODUCT(-('Comp.'!$D$5:$D$313='Analítico Cp.'!$B128),-('Comp.'!$R$5:$R$313=F$1),('Comp.'!$E$5:$E$313))</f>
        <v>0</v>
      </c>
      <c r="G128" s="185">
        <f>SUMPRODUCT(-('Diário 5º PA'!$E$5:$E$2634='Analítico Cp.'!$B128),-('Diário 5º PA'!$Q$5:$Q$2634=G$1),('Diário 5º PA'!$F$5:$F$2634))
+SUMPRODUCT(-('Diário 6º PA'!$E$5:$E$2246='Analítico Cp.'!$B128),-('Diário 6º PA'!$Q$5:$Q$2246=G$1),('Diário 6º PA'!$F$5:$F$2246))
+SUMPRODUCT(-('Diário 7º PA'!$E$5:$E$2271='Analítico Cp.'!$B128),-('Diário 7º PA'!$Q$5:$Q$2271=G$1),('Diário 7º PA'!$F$5:$F$2271))
+SUMPRODUCT(-('Diário 8º PA'!$E$5:$E$2488='Analítico Cp.'!$B128),-('Diário 8º PA'!$Q$5:$Q$2488=G$1),('Diário 8º PA'!$F$5:$F$2488))
+SUMPRODUCT(-('Comp.'!$D$5:$D$313='Analítico Cp.'!$B128),-('Comp.'!$R$5:$R$313=G$1),('Comp.'!$E$5:$E$313))</f>
        <v>600</v>
      </c>
      <c r="H128" s="185">
        <f>SUMPRODUCT(-('Diário 5º PA'!$E$5:$E$2634='Analítico Cp.'!$B128),-('Diário 5º PA'!$Q$5:$Q$2634=H$1),('Diário 5º PA'!$F$5:$F$2634))
+SUMPRODUCT(-('Diário 6º PA'!$E$5:$E$2246='Analítico Cp.'!$B128),-('Diário 6º PA'!$Q$5:$Q$2246=H$1),('Diário 6º PA'!$F$5:$F$2246))
+SUMPRODUCT(-('Diário 7º PA'!$E$5:$E$2271='Analítico Cp.'!$B128),-('Diário 7º PA'!$Q$5:$Q$2271=H$1),('Diário 7º PA'!$F$5:$F$2271))
+SUMPRODUCT(-('Diário 8º PA'!$E$5:$E$2488='Analítico Cp.'!$B128),-('Diário 8º PA'!$Q$5:$Q$2488=H$1),('Diário 8º PA'!$F$5:$F$2488))
+SUMPRODUCT(-('Comp.'!$D$5:$D$313='Analítico Cp.'!$B128),-('Comp.'!$R$5:$R$313=H$1),('Comp.'!$E$5:$E$313))</f>
        <v>4089.6000000000004</v>
      </c>
      <c r="I128" s="185">
        <f>SUMPRODUCT(-('Diário 5º PA'!$E$5:$E$2634='Analítico Cp.'!$B128),-('Diário 5º PA'!$Q$5:$Q$2634=I$1),('Diário 5º PA'!$F$5:$F$2634))
+SUMPRODUCT(-('Diário 6º PA'!$E$5:$E$2246='Analítico Cp.'!$B128),-('Diário 6º PA'!$Q$5:$Q$2246=I$1),('Diário 6º PA'!$F$5:$F$2246))
+SUMPRODUCT(-('Diário 7º PA'!$E$5:$E$2271='Analítico Cp.'!$B128),-('Diário 7º PA'!$Q$5:$Q$2271=I$1),('Diário 7º PA'!$F$5:$F$2271))
+SUMPRODUCT(-('Diário 8º PA'!$E$5:$E$2488='Analítico Cp.'!$B128),-('Diário 8º PA'!$Q$5:$Q$2488=I$1),('Diário 8º PA'!$F$5:$F$2488))
+SUMPRODUCT(-('Comp.'!$D$5:$D$313='Analítico Cp.'!$B128),-('Comp.'!$R$5:$R$313=I$1),('Comp.'!$E$5:$E$313))</f>
        <v>0</v>
      </c>
      <c r="J128" s="185">
        <f>SUMPRODUCT(-('Diário 5º PA'!$E$5:$E$2634='Analítico Cp.'!$B128),-('Diário 5º PA'!$Q$5:$Q$2634=J$1),('Diário 5º PA'!$F$5:$F$2634))
+SUMPRODUCT(-('Diário 6º PA'!$E$5:$E$2246='Analítico Cp.'!$B128),-('Diário 6º PA'!$Q$5:$Q$2246=J$1),('Diário 6º PA'!$F$5:$F$2246))
+SUMPRODUCT(-('Diário 7º PA'!$E$5:$E$2271='Analítico Cp.'!$B128),-('Diário 7º PA'!$Q$5:$Q$2271=J$1),('Diário 7º PA'!$F$5:$F$2271))
+SUMPRODUCT(-('Diário 8º PA'!$E$5:$E$2488='Analítico Cp.'!$B128),-('Diário 8º PA'!$Q$5:$Q$2488=J$1),('Diário 8º PA'!$F$5:$F$2488))
+SUMPRODUCT(-('Comp.'!$D$5:$D$313='Analítico Cp.'!$B128),-('Comp.'!$R$5:$R$313=J$1),('Comp.'!$E$5:$E$313))</f>
        <v>0</v>
      </c>
      <c r="K128" s="185">
        <f>SUMPRODUCT(-('Diário 5º PA'!$E$5:$E$2634='Analítico Cp.'!$B128),-('Diário 5º PA'!$Q$5:$Q$2634=K$1),('Diário 5º PA'!$F$5:$F$2634))
+SUMPRODUCT(-('Diário 6º PA'!$E$5:$E$2246='Analítico Cp.'!$B128),-('Diário 6º PA'!$Q$5:$Q$2246=K$1),('Diário 6º PA'!$F$5:$F$2246))
+SUMPRODUCT(-('Diário 7º PA'!$E$5:$E$2271='Analítico Cp.'!$B128),-('Diário 7º PA'!$Q$5:$Q$2271=K$1),('Diário 7º PA'!$F$5:$F$2271))
+SUMPRODUCT(-('Diário 8º PA'!$E$5:$E$2488='Analítico Cp.'!$B128),-('Diário 8º PA'!$Q$5:$Q$2488=K$1),('Diário 8º PA'!$F$5:$F$2488))
+SUMPRODUCT(-('Comp.'!$D$5:$D$313='Analítico Cp.'!$B128),-('Comp.'!$R$5:$R$313=K$1),('Comp.'!$E$5:$E$313))</f>
        <v>0</v>
      </c>
      <c r="L128" s="185">
        <f>SUMPRODUCT(-('Diário 5º PA'!$E$5:$E$2634='Analítico Cp.'!$B128),-('Diário 5º PA'!$Q$5:$Q$2634=L$1),('Diário 5º PA'!$F$5:$F$2634))
+SUMPRODUCT(-('Diário 6º PA'!$E$5:$E$2246='Analítico Cp.'!$B128),-('Diário 6º PA'!$Q$5:$Q$2246=L$1),('Diário 6º PA'!$F$5:$F$2246))
+SUMPRODUCT(-('Diário 7º PA'!$E$5:$E$2271='Analítico Cp.'!$B128),-('Diário 7º PA'!$Q$5:$Q$2271=L$1),('Diário 7º PA'!$F$5:$F$2271))
+SUMPRODUCT(-('Diário 8º PA'!$E$5:$E$2488='Analítico Cp.'!$B128),-('Diário 8º PA'!$Q$5:$Q$2488=L$1),('Diário 8º PA'!$F$5:$F$2488))
+SUMPRODUCT(-('Comp.'!$D$5:$D$313='Analítico Cp.'!$B128),-('Comp.'!$R$5:$R$313=L$1),('Comp.'!$E$5:$E$313))</f>
        <v>0</v>
      </c>
      <c r="M128" s="185">
        <f>SUMPRODUCT(-('Diário 5º PA'!$E$5:$E$2634='Analítico Cp.'!$B128),-('Diário 5º PA'!$Q$5:$Q$2634=M$1),('Diário 5º PA'!$F$5:$F$2634))
+SUMPRODUCT(-('Diário 6º PA'!$E$5:$E$2246='Analítico Cp.'!$B128),-('Diário 6º PA'!$Q$5:$Q$2246=M$1),('Diário 6º PA'!$F$5:$F$2246))
+SUMPRODUCT(-('Diário 7º PA'!$E$5:$E$2271='Analítico Cp.'!$B128),-('Diário 7º PA'!$Q$5:$Q$2271=M$1),('Diário 7º PA'!$F$5:$F$2271))
+SUMPRODUCT(-('Diário 8º PA'!$E$5:$E$2488='Analítico Cp.'!$B128),-('Diário 8º PA'!$Q$5:$Q$2488=M$1),('Diário 8º PA'!$F$5:$F$2488))
+SUMPRODUCT(-('Comp.'!$D$5:$D$313='Analítico Cp.'!$B128),-('Comp.'!$R$5:$R$313=M$1),('Comp.'!$E$5:$E$313))</f>
        <v>0</v>
      </c>
      <c r="N128" s="185">
        <f>SUMPRODUCT(-('Diário 5º PA'!$E$5:$E$2634='Analítico Cp.'!$B128),-('Diário 5º PA'!$Q$5:$Q$2634=N$1),('Diário 5º PA'!$F$5:$F$2634))
+SUMPRODUCT(-('Diário 6º PA'!$E$5:$E$2246='Analítico Cp.'!$B128),-('Diário 6º PA'!$Q$5:$Q$2246=N$1),('Diário 6º PA'!$F$5:$F$2246))
+SUMPRODUCT(-('Diário 7º PA'!$E$5:$E$2271='Analítico Cp.'!$B128),-('Diário 7º PA'!$Q$5:$Q$2271=N$1),('Diário 7º PA'!$F$5:$F$2271))
+SUMPRODUCT(-('Diário 8º PA'!$E$5:$E$2488='Analítico Cp.'!$B128),-('Diário 8º PA'!$Q$5:$Q$2488=N$1),('Diário 8º PA'!$F$5:$F$2488))
+SUMPRODUCT(-('Comp.'!$D$5:$D$313='Analítico Cp.'!$B128),-('Comp.'!$R$5:$R$313=N$1),('Comp.'!$E$5:$E$313))</f>
        <v>0</v>
      </c>
      <c r="O128" s="186">
        <f t="shared" si="16"/>
        <v>4689.6000000000004</v>
      </c>
      <c r="P128" s="187">
        <f t="shared" si="17"/>
        <v>4.8371422035756287E-4</v>
      </c>
      <c r="Q128" s="34"/>
      <c r="R128" s="34"/>
      <c r="S128" s="34"/>
      <c r="T128" s="34"/>
      <c r="U128" s="34"/>
      <c r="V128" s="34"/>
      <c r="W128" s="34"/>
      <c r="X128" s="34"/>
      <c r="Y128" s="34"/>
      <c r="Z128" s="34"/>
    </row>
    <row r="129" spans="1:26" ht="12.75" customHeight="1" x14ac:dyDescent="0.2">
      <c r="A129" s="203" t="s">
        <v>355</v>
      </c>
      <c r="B129" s="72" t="s">
        <v>356</v>
      </c>
      <c r="C129" s="185">
        <f>SUMPRODUCT(-('Diário 5º PA'!$E$5:$E$2634='Analítico Cp.'!$B129),-('Diário 5º PA'!$Q$5:$Q$2634=C$1),('Diário 5º PA'!$F$5:$F$2634))
+SUMPRODUCT(-('Diário 6º PA'!$E$5:$E$2246='Analítico Cp.'!$B129),-('Diário 6º PA'!$Q$5:$Q$2246=C$1),('Diário 6º PA'!$F$5:$F$2246))
+SUMPRODUCT(-('Diário 7º PA'!$E$5:$E$2271='Analítico Cp.'!$B129),-('Diário 7º PA'!$Q$5:$Q$2271=C$1),('Diário 7º PA'!$F$5:$F$2271))
+SUMPRODUCT(-('Diário 8º PA'!$E$5:$E$2488='Analítico Cp.'!$B129),-('Diário 8º PA'!$Q$5:$Q$2488=C$1),('Diário 8º PA'!$F$5:$F$2488))
+SUMPRODUCT(-('Comp.'!$D$5:$D$313='Analítico Cp.'!$B129),-('Comp.'!$R$5:$R$313=C$1),('Comp.'!$E$5:$E$313))</f>
        <v>1536.45</v>
      </c>
      <c r="D129" s="185">
        <f>SUMPRODUCT(-('Diário 5º PA'!$E$5:$E$2634='Analítico Cp.'!$B129),-('Diário 5º PA'!$Q$5:$Q$2634=D$1),('Diário 5º PA'!$F$5:$F$2634))
+SUMPRODUCT(-('Diário 6º PA'!$E$5:$E$2246='Analítico Cp.'!$B129),-('Diário 6º PA'!$Q$5:$Q$2246=D$1),('Diário 6º PA'!$F$5:$F$2246))
+SUMPRODUCT(-('Diário 7º PA'!$E$5:$E$2271='Analítico Cp.'!$B129),-('Diário 7º PA'!$Q$5:$Q$2271=D$1),('Diário 7º PA'!$F$5:$F$2271))
+SUMPRODUCT(-('Diário 8º PA'!$E$5:$E$2488='Analítico Cp.'!$B129),-('Diário 8º PA'!$Q$5:$Q$2488=D$1),('Diário 8º PA'!$F$5:$F$2488))
+SUMPRODUCT(-('Comp.'!$D$5:$D$313='Analítico Cp.'!$B129),-('Comp.'!$R$5:$R$313=D$1),('Comp.'!$E$5:$E$313))</f>
        <v>0</v>
      </c>
      <c r="E129" s="185">
        <f>SUMPRODUCT(-('Diário 5º PA'!$E$5:$E$2634='Analítico Cp.'!$B129),-('Diário 5º PA'!$Q$5:$Q$2634=E$1),('Diário 5º PA'!$F$5:$F$2634))
+SUMPRODUCT(-('Diário 6º PA'!$E$5:$E$2246='Analítico Cp.'!$B129),-('Diário 6º PA'!$Q$5:$Q$2246=E$1),('Diário 6º PA'!$F$5:$F$2246))
+SUMPRODUCT(-('Diário 7º PA'!$E$5:$E$2271='Analítico Cp.'!$B129),-('Diário 7º PA'!$Q$5:$Q$2271=E$1),('Diário 7º PA'!$F$5:$F$2271))
+SUMPRODUCT(-('Diário 8º PA'!$E$5:$E$2488='Analítico Cp.'!$B129),-('Diário 8º PA'!$Q$5:$Q$2488=E$1),('Diário 8º PA'!$F$5:$F$2488))
+SUMPRODUCT(-('Comp.'!$D$5:$D$313='Analítico Cp.'!$B129),-('Comp.'!$R$5:$R$313=E$1),('Comp.'!$E$5:$E$313))</f>
        <v>0</v>
      </c>
      <c r="F129" s="185">
        <f>SUMPRODUCT(-('Diário 5º PA'!$E$5:$E$2634='Analítico Cp.'!$B129),-('Diário 5º PA'!$Q$5:$Q$2634=F$1),('Diário 5º PA'!$F$5:$F$2634))
+SUMPRODUCT(-('Diário 6º PA'!$E$5:$E$2246='Analítico Cp.'!$B129),-('Diário 6º PA'!$Q$5:$Q$2246=F$1),('Diário 6º PA'!$F$5:$F$2246))
+SUMPRODUCT(-('Diário 7º PA'!$E$5:$E$2271='Analítico Cp.'!$B129),-('Diário 7º PA'!$Q$5:$Q$2271=F$1),('Diário 7º PA'!$F$5:$F$2271))
+SUMPRODUCT(-('Diário 8º PA'!$E$5:$E$2488='Analítico Cp.'!$B129),-('Diário 8º PA'!$Q$5:$Q$2488=F$1),('Diário 8º PA'!$F$5:$F$2488))
+SUMPRODUCT(-('Comp.'!$D$5:$D$313='Analítico Cp.'!$B129),-('Comp.'!$R$5:$R$313=F$1),('Comp.'!$E$5:$E$313))</f>
        <v>1500</v>
      </c>
      <c r="G129" s="185">
        <f>SUMPRODUCT(-('Diário 5º PA'!$E$5:$E$2634='Analítico Cp.'!$B129),-('Diário 5º PA'!$Q$5:$Q$2634=G$1),('Diário 5º PA'!$F$5:$F$2634))
+SUMPRODUCT(-('Diário 6º PA'!$E$5:$E$2246='Analítico Cp.'!$B129),-('Diário 6º PA'!$Q$5:$Q$2246=G$1),('Diário 6º PA'!$F$5:$F$2246))
+SUMPRODUCT(-('Diário 7º PA'!$E$5:$E$2271='Analítico Cp.'!$B129),-('Diário 7º PA'!$Q$5:$Q$2271=G$1),('Diário 7º PA'!$F$5:$F$2271))
+SUMPRODUCT(-('Diário 8º PA'!$E$5:$E$2488='Analítico Cp.'!$B129),-('Diário 8º PA'!$Q$5:$Q$2488=G$1),('Diário 8º PA'!$F$5:$F$2488))
+SUMPRODUCT(-('Comp.'!$D$5:$D$313='Analítico Cp.'!$B129),-('Comp.'!$R$5:$R$313=G$1),('Comp.'!$E$5:$E$313))</f>
        <v>600</v>
      </c>
      <c r="H129" s="185">
        <f>SUMPRODUCT(-('Diário 5º PA'!$E$5:$E$2634='Analítico Cp.'!$B129),-('Diário 5º PA'!$Q$5:$Q$2634=H$1),('Diário 5º PA'!$F$5:$F$2634))
+SUMPRODUCT(-('Diário 6º PA'!$E$5:$E$2246='Analítico Cp.'!$B129),-('Diário 6º PA'!$Q$5:$Q$2246=H$1),('Diário 6º PA'!$F$5:$F$2246))
+SUMPRODUCT(-('Diário 7º PA'!$E$5:$E$2271='Analítico Cp.'!$B129),-('Diário 7º PA'!$Q$5:$Q$2271=H$1),('Diário 7º PA'!$F$5:$F$2271))
+SUMPRODUCT(-('Diário 8º PA'!$E$5:$E$2488='Analítico Cp.'!$B129),-('Diário 8º PA'!$Q$5:$Q$2488=H$1),('Diário 8º PA'!$F$5:$F$2488))
+SUMPRODUCT(-('Comp.'!$D$5:$D$313='Analítico Cp.'!$B129),-('Comp.'!$R$5:$R$313=H$1),('Comp.'!$E$5:$E$313))</f>
        <v>2900</v>
      </c>
      <c r="I129" s="185">
        <f>SUMPRODUCT(-('Diário 5º PA'!$E$5:$E$2634='Analítico Cp.'!$B129),-('Diário 5º PA'!$Q$5:$Q$2634=I$1),('Diário 5º PA'!$F$5:$F$2634))
+SUMPRODUCT(-('Diário 6º PA'!$E$5:$E$2246='Analítico Cp.'!$B129),-('Diário 6º PA'!$Q$5:$Q$2246=I$1),('Diário 6º PA'!$F$5:$F$2246))
+SUMPRODUCT(-('Diário 7º PA'!$E$5:$E$2271='Analítico Cp.'!$B129),-('Diário 7º PA'!$Q$5:$Q$2271=I$1),('Diário 7º PA'!$F$5:$F$2271))
+SUMPRODUCT(-('Diário 8º PA'!$E$5:$E$2488='Analítico Cp.'!$B129),-('Diário 8º PA'!$Q$5:$Q$2488=I$1),('Diário 8º PA'!$F$5:$F$2488))
+SUMPRODUCT(-('Comp.'!$D$5:$D$313='Analítico Cp.'!$B129),-('Comp.'!$R$5:$R$313=I$1),('Comp.'!$E$5:$E$313))</f>
        <v>17925.400000000001</v>
      </c>
      <c r="J129" s="185">
        <f>SUMPRODUCT(-('Diário 5º PA'!$E$5:$E$2634='Analítico Cp.'!$B129),-('Diário 5º PA'!$Q$5:$Q$2634=J$1),('Diário 5º PA'!$F$5:$F$2634))
+SUMPRODUCT(-('Diário 6º PA'!$E$5:$E$2246='Analítico Cp.'!$B129),-('Diário 6º PA'!$Q$5:$Q$2246=J$1),('Diário 6º PA'!$F$5:$F$2246))
+SUMPRODUCT(-('Diário 7º PA'!$E$5:$E$2271='Analítico Cp.'!$B129),-('Diário 7º PA'!$Q$5:$Q$2271=J$1),('Diário 7º PA'!$F$5:$F$2271))
+SUMPRODUCT(-('Diário 8º PA'!$E$5:$E$2488='Analítico Cp.'!$B129),-('Diário 8º PA'!$Q$5:$Q$2488=J$1),('Diário 8º PA'!$F$5:$F$2488))
+SUMPRODUCT(-('Comp.'!$D$5:$D$313='Analítico Cp.'!$B129),-('Comp.'!$R$5:$R$313=J$1),('Comp.'!$E$5:$E$313))</f>
        <v>450</v>
      </c>
      <c r="K129" s="185">
        <f>SUMPRODUCT(-('Diário 5º PA'!$E$5:$E$2634='Analítico Cp.'!$B129),-('Diário 5º PA'!$Q$5:$Q$2634=K$1),('Diário 5º PA'!$F$5:$F$2634))
+SUMPRODUCT(-('Diário 6º PA'!$E$5:$E$2246='Analítico Cp.'!$B129),-('Diário 6º PA'!$Q$5:$Q$2246=K$1),('Diário 6º PA'!$F$5:$F$2246))
+SUMPRODUCT(-('Diário 7º PA'!$E$5:$E$2271='Analítico Cp.'!$B129),-('Diário 7º PA'!$Q$5:$Q$2271=K$1),('Diário 7º PA'!$F$5:$F$2271))
+SUMPRODUCT(-('Diário 8º PA'!$E$5:$E$2488='Analítico Cp.'!$B129),-('Diário 8º PA'!$Q$5:$Q$2488=K$1),('Diário 8º PA'!$F$5:$F$2488))
+SUMPRODUCT(-('Comp.'!$D$5:$D$313='Analítico Cp.'!$B129),-('Comp.'!$R$5:$R$313=K$1),('Comp.'!$E$5:$E$313))</f>
        <v>0</v>
      </c>
      <c r="L129" s="185">
        <f>SUMPRODUCT(-('Diário 5º PA'!$E$5:$E$2634='Analítico Cp.'!$B129),-('Diário 5º PA'!$Q$5:$Q$2634=L$1),('Diário 5º PA'!$F$5:$F$2634))
+SUMPRODUCT(-('Diário 6º PA'!$E$5:$E$2246='Analítico Cp.'!$B129),-('Diário 6º PA'!$Q$5:$Q$2246=L$1),('Diário 6º PA'!$F$5:$F$2246))
+SUMPRODUCT(-('Diário 7º PA'!$E$5:$E$2271='Analítico Cp.'!$B129),-('Diário 7º PA'!$Q$5:$Q$2271=L$1),('Diário 7º PA'!$F$5:$F$2271))
+SUMPRODUCT(-('Diário 8º PA'!$E$5:$E$2488='Analítico Cp.'!$B129),-('Diário 8º PA'!$Q$5:$Q$2488=L$1),('Diário 8º PA'!$F$5:$F$2488))
+SUMPRODUCT(-('Comp.'!$D$5:$D$313='Analítico Cp.'!$B129),-('Comp.'!$R$5:$R$313=L$1),('Comp.'!$E$5:$E$313))</f>
        <v>3000</v>
      </c>
      <c r="M129" s="185">
        <f>SUMPRODUCT(-('Diário 5º PA'!$E$5:$E$2634='Analítico Cp.'!$B129),-('Diário 5º PA'!$Q$5:$Q$2634=M$1),('Diário 5º PA'!$F$5:$F$2634))
+SUMPRODUCT(-('Diário 6º PA'!$E$5:$E$2246='Analítico Cp.'!$B129),-('Diário 6º PA'!$Q$5:$Q$2246=M$1),('Diário 6º PA'!$F$5:$F$2246))
+SUMPRODUCT(-('Diário 7º PA'!$E$5:$E$2271='Analítico Cp.'!$B129),-('Diário 7º PA'!$Q$5:$Q$2271=M$1),('Diário 7º PA'!$F$5:$F$2271))
+SUMPRODUCT(-('Diário 8º PA'!$E$5:$E$2488='Analítico Cp.'!$B129),-('Diário 8º PA'!$Q$5:$Q$2488=M$1),('Diário 8º PA'!$F$5:$F$2488))
+SUMPRODUCT(-('Comp.'!$D$5:$D$313='Analítico Cp.'!$B129),-('Comp.'!$R$5:$R$313=M$1),('Comp.'!$E$5:$E$313))</f>
        <v>2400</v>
      </c>
      <c r="N129" s="185">
        <f>SUMPRODUCT(-('Diário 5º PA'!$E$5:$E$2634='Analítico Cp.'!$B129),-('Diário 5º PA'!$Q$5:$Q$2634=N$1),('Diário 5º PA'!$F$5:$F$2634))
+SUMPRODUCT(-('Diário 6º PA'!$E$5:$E$2246='Analítico Cp.'!$B129),-('Diário 6º PA'!$Q$5:$Q$2246=N$1),('Diário 6º PA'!$F$5:$F$2246))
+SUMPRODUCT(-('Diário 7º PA'!$E$5:$E$2271='Analítico Cp.'!$B129),-('Diário 7º PA'!$Q$5:$Q$2271=N$1),('Diário 7º PA'!$F$5:$F$2271))
+SUMPRODUCT(-('Diário 8º PA'!$E$5:$E$2488='Analítico Cp.'!$B129),-('Diário 8º PA'!$Q$5:$Q$2488=N$1),('Diário 8º PA'!$F$5:$F$2488))
+SUMPRODUCT(-('Comp.'!$D$5:$D$313='Analítico Cp.'!$B129),-('Comp.'!$R$5:$R$313=N$1),('Comp.'!$E$5:$E$313))</f>
        <v>0</v>
      </c>
      <c r="O129" s="186">
        <f t="shared" si="16"/>
        <v>30311.850000000002</v>
      </c>
      <c r="P129" s="187">
        <f t="shared" si="17"/>
        <v>3.1265508551572398E-3</v>
      </c>
      <c r="Q129" s="34"/>
      <c r="R129" s="34"/>
      <c r="S129" s="34"/>
      <c r="T129" s="34"/>
      <c r="U129" s="34"/>
      <c r="V129" s="34"/>
      <c r="W129" s="34"/>
      <c r="X129" s="34"/>
      <c r="Y129" s="34"/>
      <c r="Z129" s="34"/>
    </row>
    <row r="130" spans="1:26" ht="28.5" customHeight="1" x14ac:dyDescent="0.2">
      <c r="A130" s="203" t="s">
        <v>357</v>
      </c>
      <c r="B130" s="72" t="s">
        <v>358</v>
      </c>
      <c r="C130" s="185">
        <f>SUMPRODUCT(-('Diário 5º PA'!$E$5:$E$2634='Analítico Cp.'!$B130),-('Diário 5º PA'!$Q$5:$Q$2634=C$1),('Diário 5º PA'!$F$5:$F$2634))
+SUMPRODUCT(-('Diário 6º PA'!$E$5:$E$2246='Analítico Cp.'!$B130),-('Diário 6º PA'!$Q$5:$Q$2246=C$1),('Diário 6º PA'!$F$5:$F$2246))
+SUMPRODUCT(-('Diário 7º PA'!$E$5:$E$2271='Analítico Cp.'!$B130),-('Diário 7º PA'!$Q$5:$Q$2271=C$1),('Diário 7º PA'!$F$5:$F$2271))
+SUMPRODUCT(-('Diário 8º PA'!$E$5:$E$2488='Analítico Cp.'!$B130),-('Diário 8º PA'!$Q$5:$Q$2488=C$1),('Diário 8º PA'!$F$5:$F$2488))
+SUMPRODUCT(-('Comp.'!$D$5:$D$313='Analítico Cp.'!$B130),-('Comp.'!$R$5:$R$313=C$1),('Comp.'!$E$5:$E$313))</f>
        <v>9196.7999999999956</v>
      </c>
      <c r="D130" s="185">
        <f>SUMPRODUCT(-('Diário 5º PA'!$E$5:$E$2634='Analítico Cp.'!$B130),-('Diário 5º PA'!$Q$5:$Q$2634=D$1),('Diário 5º PA'!$F$5:$F$2634))
+SUMPRODUCT(-('Diário 6º PA'!$E$5:$E$2246='Analítico Cp.'!$B130),-('Diário 6º PA'!$Q$5:$Q$2246=D$1),('Diário 6º PA'!$F$5:$F$2246))
+SUMPRODUCT(-('Diário 7º PA'!$E$5:$E$2271='Analítico Cp.'!$B130),-('Diário 7º PA'!$Q$5:$Q$2271=D$1),('Diário 7º PA'!$F$5:$F$2271))
+SUMPRODUCT(-('Diário 8º PA'!$E$5:$E$2488='Analítico Cp.'!$B130),-('Diário 8º PA'!$Q$5:$Q$2488=D$1),('Diário 8º PA'!$F$5:$F$2488))
+SUMPRODUCT(-('Comp.'!$D$5:$D$313='Analítico Cp.'!$B130),-('Comp.'!$R$5:$R$313=D$1),('Comp.'!$E$5:$E$313))</f>
        <v>8192</v>
      </c>
      <c r="E130" s="185">
        <f>SUMPRODUCT(-('Diário 5º PA'!$E$5:$E$2634='Analítico Cp.'!$B130),-('Diário 5º PA'!$Q$5:$Q$2634=E$1),('Diário 5º PA'!$F$5:$F$2634))
+SUMPRODUCT(-('Diário 6º PA'!$E$5:$E$2246='Analítico Cp.'!$B130),-('Diário 6º PA'!$Q$5:$Q$2246=E$1),('Diário 6º PA'!$F$5:$F$2246))
+SUMPRODUCT(-('Diário 7º PA'!$E$5:$E$2271='Analítico Cp.'!$B130),-('Diário 7º PA'!$Q$5:$Q$2271=E$1),('Diário 7º PA'!$F$5:$F$2271))
+SUMPRODUCT(-('Diário 8º PA'!$E$5:$E$2488='Analítico Cp.'!$B130),-('Diário 8º PA'!$Q$5:$Q$2488=E$1),('Diário 8º PA'!$F$5:$F$2488))
+SUMPRODUCT(-('Comp.'!$D$5:$D$313='Analítico Cp.'!$B130),-('Comp.'!$R$5:$R$313=E$1),('Comp.'!$E$5:$E$313))</f>
        <v>11694.8</v>
      </c>
      <c r="F130" s="185">
        <f>SUMPRODUCT(-('Diário 5º PA'!$E$5:$E$2634='Analítico Cp.'!$B130),-('Diário 5º PA'!$Q$5:$Q$2634=F$1),('Diário 5º PA'!$F$5:$F$2634))
+SUMPRODUCT(-('Diário 6º PA'!$E$5:$E$2246='Analítico Cp.'!$B130),-('Diário 6º PA'!$Q$5:$Q$2246=F$1),('Diário 6º PA'!$F$5:$F$2246))
+SUMPRODUCT(-('Diário 7º PA'!$E$5:$E$2271='Analítico Cp.'!$B130),-('Diário 7º PA'!$Q$5:$Q$2271=F$1),('Diário 7º PA'!$F$5:$F$2271))
+SUMPRODUCT(-('Diário 8º PA'!$E$5:$E$2488='Analítico Cp.'!$B130),-('Diário 8º PA'!$Q$5:$Q$2488=F$1),('Diário 8º PA'!$F$5:$F$2488))
+SUMPRODUCT(-('Comp.'!$D$5:$D$313='Analítico Cp.'!$B130),-('Comp.'!$R$5:$R$313=F$1),('Comp.'!$E$5:$E$313))</f>
        <v>7824</v>
      </c>
      <c r="G130" s="185">
        <f>SUMPRODUCT(-('Diário 5º PA'!$E$5:$E$2634='Analítico Cp.'!$B130),-('Diário 5º PA'!$Q$5:$Q$2634=G$1),('Diário 5º PA'!$F$5:$F$2634))
+SUMPRODUCT(-('Diário 6º PA'!$E$5:$E$2246='Analítico Cp.'!$B130),-('Diário 6º PA'!$Q$5:$Q$2246=G$1),('Diário 6º PA'!$F$5:$F$2246))
+SUMPRODUCT(-('Diário 7º PA'!$E$5:$E$2271='Analítico Cp.'!$B130),-('Diário 7º PA'!$Q$5:$Q$2271=G$1),('Diário 7º PA'!$F$5:$F$2271))
+SUMPRODUCT(-('Diário 8º PA'!$E$5:$E$2488='Analítico Cp.'!$B130),-('Diário 8º PA'!$Q$5:$Q$2488=G$1),('Diário 8º PA'!$F$5:$F$2488))
+SUMPRODUCT(-('Comp.'!$D$5:$D$313='Analítico Cp.'!$B130),-('Comp.'!$R$5:$R$313=G$1),('Comp.'!$E$5:$E$313))</f>
        <v>7248</v>
      </c>
      <c r="H130" s="185">
        <f>SUMPRODUCT(-('Diário 5º PA'!$E$5:$E$2634='Analítico Cp.'!$B130),-('Diário 5º PA'!$Q$5:$Q$2634=H$1),('Diário 5º PA'!$F$5:$F$2634))
+SUMPRODUCT(-('Diário 6º PA'!$E$5:$E$2246='Analítico Cp.'!$B130),-('Diário 6º PA'!$Q$5:$Q$2246=H$1),('Diário 6º PA'!$F$5:$F$2246))
+SUMPRODUCT(-('Diário 7º PA'!$E$5:$E$2271='Analítico Cp.'!$B130),-('Diário 7º PA'!$Q$5:$Q$2271=H$1),('Diário 7º PA'!$F$5:$F$2271))
+SUMPRODUCT(-('Diário 8º PA'!$E$5:$E$2488='Analítico Cp.'!$B130),-('Diário 8º PA'!$Q$5:$Q$2488=H$1),('Diário 8º PA'!$F$5:$F$2488))
+SUMPRODUCT(-('Comp.'!$D$5:$D$313='Analítico Cp.'!$B130),-('Comp.'!$R$5:$R$313=H$1),('Comp.'!$E$5:$E$313))</f>
        <v>15480</v>
      </c>
      <c r="I130" s="185">
        <f>SUMPRODUCT(-('Diário 5º PA'!$E$5:$E$2634='Analítico Cp.'!$B130),-('Diário 5º PA'!$Q$5:$Q$2634=I$1),('Diário 5º PA'!$F$5:$F$2634))
+SUMPRODUCT(-('Diário 6º PA'!$E$5:$E$2246='Analítico Cp.'!$B130),-('Diário 6º PA'!$Q$5:$Q$2246=I$1),('Diário 6º PA'!$F$5:$F$2246))
+SUMPRODUCT(-('Diário 7º PA'!$E$5:$E$2271='Analítico Cp.'!$B130),-('Diário 7º PA'!$Q$5:$Q$2271=I$1),('Diário 7º PA'!$F$5:$F$2271))
+SUMPRODUCT(-('Diário 8º PA'!$E$5:$E$2488='Analítico Cp.'!$B130),-('Diário 8º PA'!$Q$5:$Q$2488=I$1),('Diário 8º PA'!$F$5:$F$2488))
+SUMPRODUCT(-('Comp.'!$D$5:$D$313='Analítico Cp.'!$B130),-('Comp.'!$R$5:$R$313=I$1),('Comp.'!$E$5:$E$313))</f>
        <v>0</v>
      </c>
      <c r="J130" s="185">
        <f>SUMPRODUCT(-('Diário 5º PA'!$E$5:$E$2634='Analítico Cp.'!$B130),-('Diário 5º PA'!$Q$5:$Q$2634=J$1),('Diário 5º PA'!$F$5:$F$2634))
+SUMPRODUCT(-('Diário 6º PA'!$E$5:$E$2246='Analítico Cp.'!$B130),-('Diário 6º PA'!$Q$5:$Q$2246=J$1),('Diário 6º PA'!$F$5:$F$2246))
+SUMPRODUCT(-('Diário 7º PA'!$E$5:$E$2271='Analítico Cp.'!$B130),-('Diário 7º PA'!$Q$5:$Q$2271=J$1),('Diário 7º PA'!$F$5:$F$2271))
+SUMPRODUCT(-('Diário 8º PA'!$E$5:$E$2488='Analítico Cp.'!$B130),-('Diário 8º PA'!$Q$5:$Q$2488=J$1),('Diário 8º PA'!$F$5:$F$2488))
+SUMPRODUCT(-('Comp.'!$D$5:$D$313='Analítico Cp.'!$B130),-('Comp.'!$R$5:$R$313=J$1),('Comp.'!$E$5:$E$313))</f>
        <v>33575.199999999997</v>
      </c>
      <c r="K130" s="185">
        <f>SUMPRODUCT(-('Diário 5º PA'!$E$5:$E$2634='Analítico Cp.'!$B130),-('Diário 5º PA'!$Q$5:$Q$2634=K$1),('Diário 5º PA'!$F$5:$F$2634))
+SUMPRODUCT(-('Diário 6º PA'!$E$5:$E$2246='Analítico Cp.'!$B130),-('Diário 6º PA'!$Q$5:$Q$2246=K$1),('Diário 6º PA'!$F$5:$F$2246))
+SUMPRODUCT(-('Diário 7º PA'!$E$5:$E$2271='Analítico Cp.'!$B130),-('Diário 7º PA'!$Q$5:$Q$2271=K$1),('Diário 7º PA'!$F$5:$F$2271))
+SUMPRODUCT(-('Diário 8º PA'!$E$5:$E$2488='Analítico Cp.'!$B130),-('Diário 8º PA'!$Q$5:$Q$2488=K$1),('Diário 8º PA'!$F$5:$F$2488))
+SUMPRODUCT(-('Comp.'!$D$5:$D$313='Analítico Cp.'!$B130),-('Comp.'!$R$5:$R$313=K$1),('Comp.'!$E$5:$E$313))</f>
        <v>31840.000000000007</v>
      </c>
      <c r="L130" s="185">
        <f>SUMPRODUCT(-('Diário 5º PA'!$E$5:$E$2634='Analítico Cp.'!$B130),-('Diário 5º PA'!$Q$5:$Q$2634=L$1),('Diário 5º PA'!$F$5:$F$2634))
+SUMPRODUCT(-('Diário 6º PA'!$E$5:$E$2246='Analítico Cp.'!$B130),-('Diário 6º PA'!$Q$5:$Q$2246=L$1),('Diário 6º PA'!$F$5:$F$2246))
+SUMPRODUCT(-('Diário 7º PA'!$E$5:$E$2271='Analítico Cp.'!$B130),-('Diário 7º PA'!$Q$5:$Q$2271=L$1),('Diário 7º PA'!$F$5:$F$2271))
+SUMPRODUCT(-('Diário 8º PA'!$E$5:$E$2488='Analítico Cp.'!$B130),-('Diário 8º PA'!$Q$5:$Q$2488=L$1),('Diário 8º PA'!$F$5:$F$2488))
+SUMPRODUCT(-('Comp.'!$D$5:$D$313='Analítico Cp.'!$B130),-('Comp.'!$R$5:$R$313=L$1),('Comp.'!$E$5:$E$313))</f>
        <v>49496.05999999999</v>
      </c>
      <c r="M130" s="185">
        <f>SUMPRODUCT(-('Diário 5º PA'!$E$5:$E$2634='Analítico Cp.'!$B130),-('Diário 5º PA'!$Q$5:$Q$2634=M$1),('Diário 5º PA'!$F$5:$F$2634))
+SUMPRODUCT(-('Diário 6º PA'!$E$5:$E$2246='Analítico Cp.'!$B130),-('Diário 6º PA'!$Q$5:$Q$2246=M$1),('Diário 6º PA'!$F$5:$F$2246))
+SUMPRODUCT(-('Diário 7º PA'!$E$5:$E$2271='Analítico Cp.'!$B130),-('Diário 7º PA'!$Q$5:$Q$2271=M$1),('Diário 7º PA'!$F$5:$F$2271))
+SUMPRODUCT(-('Diário 8º PA'!$E$5:$E$2488='Analítico Cp.'!$B130),-('Diário 8º PA'!$Q$5:$Q$2488=M$1),('Diário 8º PA'!$F$5:$F$2488))
+SUMPRODUCT(-('Comp.'!$D$5:$D$313='Analítico Cp.'!$B130),-('Comp.'!$R$5:$R$313=M$1),('Comp.'!$E$5:$E$313))</f>
        <v>22988</v>
      </c>
      <c r="N130" s="185">
        <f>SUMPRODUCT(-('Diário 5º PA'!$E$5:$E$2634='Analítico Cp.'!$B130),-('Diário 5º PA'!$Q$5:$Q$2634=N$1),('Diário 5º PA'!$F$5:$F$2634))
+SUMPRODUCT(-('Diário 6º PA'!$E$5:$E$2246='Analítico Cp.'!$B130),-('Diário 6º PA'!$Q$5:$Q$2246=N$1),('Diário 6º PA'!$F$5:$F$2246))
+SUMPRODUCT(-('Diário 7º PA'!$E$5:$E$2271='Analítico Cp.'!$B130),-('Diário 7º PA'!$Q$5:$Q$2271=N$1),('Diário 7º PA'!$F$5:$F$2271))
+SUMPRODUCT(-('Diário 8º PA'!$E$5:$E$2488='Analítico Cp.'!$B130),-('Diário 8º PA'!$Q$5:$Q$2488=N$1),('Diário 8º PA'!$F$5:$F$2488))
+SUMPRODUCT(-('Comp.'!$D$5:$D$313='Analítico Cp.'!$B130),-('Comp.'!$R$5:$R$313=N$1),('Comp.'!$E$5:$E$313))</f>
        <v>23126</v>
      </c>
      <c r="O130" s="186">
        <f t="shared" si="16"/>
        <v>220660.86</v>
      </c>
      <c r="P130" s="187">
        <f t="shared" si="17"/>
        <v>2.2760319826494652E-2</v>
      </c>
      <c r="Q130" s="34"/>
      <c r="R130" s="34"/>
      <c r="S130" s="34"/>
      <c r="T130" s="34"/>
      <c r="U130" s="34"/>
      <c r="V130" s="34"/>
      <c r="W130" s="34"/>
      <c r="X130" s="34"/>
      <c r="Y130" s="34"/>
      <c r="Z130" s="34"/>
    </row>
    <row r="131" spans="1:26" ht="29.25" customHeight="1" x14ac:dyDescent="0.2">
      <c r="A131" s="203" t="s">
        <v>359</v>
      </c>
      <c r="B131" s="72" t="s">
        <v>360</v>
      </c>
      <c r="C131" s="185">
        <f>SUMPRODUCT(-('Diário 5º PA'!$E$5:$E$2634='Analítico Cp.'!$B131),-('Diário 5º PA'!$Q$5:$Q$2634=C$1),('Diário 5º PA'!$F$5:$F$2634))
+SUMPRODUCT(-('Diário 6º PA'!$E$5:$E$2246='Analítico Cp.'!$B131),-('Diário 6º PA'!$Q$5:$Q$2246=C$1),('Diário 6º PA'!$F$5:$F$2246))
+SUMPRODUCT(-('Diário 7º PA'!$E$5:$E$2271='Analítico Cp.'!$B131),-('Diário 7º PA'!$Q$5:$Q$2271=C$1),('Diário 7º PA'!$F$5:$F$2271))
+SUMPRODUCT(-('Diário 8º PA'!$E$5:$E$2488='Analítico Cp.'!$B131),-('Diário 8º PA'!$Q$5:$Q$2488=C$1),('Diário 8º PA'!$F$5:$F$2488))
+SUMPRODUCT(-('Comp.'!$D$5:$D$313='Analítico Cp.'!$B131),-('Comp.'!$R$5:$R$313=C$1),('Comp.'!$E$5:$E$313))</f>
        <v>0</v>
      </c>
      <c r="D131" s="185">
        <f>SUMPRODUCT(-('Diário 5º PA'!$E$5:$E$2634='Analítico Cp.'!$B131),-('Diário 5º PA'!$Q$5:$Q$2634=D$1),('Diário 5º PA'!$F$5:$F$2634))
+SUMPRODUCT(-('Diário 6º PA'!$E$5:$E$2246='Analítico Cp.'!$B131),-('Diário 6º PA'!$Q$5:$Q$2246=D$1),('Diário 6º PA'!$F$5:$F$2246))
+SUMPRODUCT(-('Diário 7º PA'!$E$5:$E$2271='Analítico Cp.'!$B131),-('Diário 7º PA'!$Q$5:$Q$2271=D$1),('Diário 7º PA'!$F$5:$F$2271))
+SUMPRODUCT(-('Diário 8º PA'!$E$5:$E$2488='Analítico Cp.'!$B131),-('Diário 8º PA'!$Q$5:$Q$2488=D$1),('Diário 8º PA'!$F$5:$F$2488))
+SUMPRODUCT(-('Comp.'!$D$5:$D$313='Analítico Cp.'!$B131),-('Comp.'!$R$5:$R$313=D$1),('Comp.'!$E$5:$E$313))</f>
        <v>5750</v>
      </c>
      <c r="E131" s="185">
        <f>SUMPRODUCT(-('Diário 5º PA'!$E$5:$E$2634='Analítico Cp.'!$B131),-('Diário 5º PA'!$Q$5:$Q$2634=E$1),('Diário 5º PA'!$F$5:$F$2634))
+SUMPRODUCT(-('Diário 6º PA'!$E$5:$E$2246='Analítico Cp.'!$B131),-('Diário 6º PA'!$Q$5:$Q$2246=E$1),('Diário 6º PA'!$F$5:$F$2246))
+SUMPRODUCT(-('Diário 7º PA'!$E$5:$E$2271='Analítico Cp.'!$B131),-('Diário 7º PA'!$Q$5:$Q$2271=E$1),('Diário 7º PA'!$F$5:$F$2271))
+SUMPRODUCT(-('Diário 8º PA'!$E$5:$E$2488='Analítico Cp.'!$B131),-('Diário 8º PA'!$Q$5:$Q$2488=E$1),('Diário 8º PA'!$F$5:$F$2488))
+SUMPRODUCT(-('Comp.'!$D$5:$D$313='Analítico Cp.'!$B131),-('Comp.'!$R$5:$R$313=E$1),('Comp.'!$E$5:$E$313))</f>
        <v>5750</v>
      </c>
      <c r="F131" s="185">
        <f>SUMPRODUCT(-('Diário 5º PA'!$E$5:$E$2634='Analítico Cp.'!$B131),-('Diário 5º PA'!$Q$5:$Q$2634=F$1),('Diário 5º PA'!$F$5:$F$2634))
+SUMPRODUCT(-('Diário 6º PA'!$E$5:$E$2246='Analítico Cp.'!$B131),-('Diário 6º PA'!$Q$5:$Q$2246=F$1),('Diário 6º PA'!$F$5:$F$2246))
+SUMPRODUCT(-('Diário 7º PA'!$E$5:$E$2271='Analítico Cp.'!$B131),-('Diário 7º PA'!$Q$5:$Q$2271=F$1),('Diário 7º PA'!$F$5:$F$2271))
+SUMPRODUCT(-('Diário 8º PA'!$E$5:$E$2488='Analítico Cp.'!$B131),-('Diário 8º PA'!$Q$5:$Q$2488=F$1),('Diário 8º PA'!$F$5:$F$2488))
+SUMPRODUCT(-('Comp.'!$D$5:$D$313='Analítico Cp.'!$B131),-('Comp.'!$R$5:$R$313=F$1),('Comp.'!$E$5:$E$313))</f>
        <v>0</v>
      </c>
      <c r="G131" s="185">
        <f>SUMPRODUCT(-('Diário 5º PA'!$E$5:$E$2634='Analítico Cp.'!$B131),-('Diário 5º PA'!$Q$5:$Q$2634=G$1),('Diário 5º PA'!$F$5:$F$2634))
+SUMPRODUCT(-('Diário 6º PA'!$E$5:$E$2246='Analítico Cp.'!$B131),-('Diário 6º PA'!$Q$5:$Q$2246=G$1),('Diário 6º PA'!$F$5:$F$2246))
+SUMPRODUCT(-('Diário 7º PA'!$E$5:$E$2271='Analítico Cp.'!$B131),-('Diário 7º PA'!$Q$5:$Q$2271=G$1),('Diário 7º PA'!$F$5:$F$2271))
+SUMPRODUCT(-('Diário 8º PA'!$E$5:$E$2488='Analítico Cp.'!$B131),-('Diário 8º PA'!$Q$5:$Q$2488=G$1),('Diário 8º PA'!$F$5:$F$2488))
+SUMPRODUCT(-('Comp.'!$D$5:$D$313='Analítico Cp.'!$B131),-('Comp.'!$R$5:$R$313=G$1),('Comp.'!$E$5:$E$313))</f>
        <v>0</v>
      </c>
      <c r="H131" s="185">
        <f>SUMPRODUCT(-('Diário 5º PA'!$E$5:$E$2634='Analítico Cp.'!$B131),-('Diário 5º PA'!$Q$5:$Q$2634=H$1),('Diário 5º PA'!$F$5:$F$2634))
+SUMPRODUCT(-('Diário 6º PA'!$E$5:$E$2246='Analítico Cp.'!$B131),-('Diário 6º PA'!$Q$5:$Q$2246=H$1),('Diário 6º PA'!$F$5:$F$2246))
+SUMPRODUCT(-('Diário 7º PA'!$E$5:$E$2271='Analítico Cp.'!$B131),-('Diário 7º PA'!$Q$5:$Q$2271=H$1),('Diário 7º PA'!$F$5:$F$2271))
+SUMPRODUCT(-('Diário 8º PA'!$E$5:$E$2488='Analítico Cp.'!$B131),-('Diário 8º PA'!$Q$5:$Q$2488=H$1),('Diário 8º PA'!$F$5:$F$2488))
+SUMPRODUCT(-('Comp.'!$D$5:$D$313='Analítico Cp.'!$B131),-('Comp.'!$R$5:$R$313=H$1),('Comp.'!$E$5:$E$313))</f>
        <v>0</v>
      </c>
      <c r="I131" s="185">
        <f>SUMPRODUCT(-('Diário 5º PA'!$E$5:$E$2634='Analítico Cp.'!$B131),-('Diário 5º PA'!$Q$5:$Q$2634=I$1),('Diário 5º PA'!$F$5:$F$2634))
+SUMPRODUCT(-('Diário 6º PA'!$E$5:$E$2246='Analítico Cp.'!$B131),-('Diário 6º PA'!$Q$5:$Q$2246=I$1),('Diário 6º PA'!$F$5:$F$2246))
+SUMPRODUCT(-('Diário 7º PA'!$E$5:$E$2271='Analítico Cp.'!$B131),-('Diário 7º PA'!$Q$5:$Q$2271=I$1),('Diário 7º PA'!$F$5:$F$2271))
+SUMPRODUCT(-('Diário 8º PA'!$E$5:$E$2488='Analítico Cp.'!$B131),-('Diário 8º PA'!$Q$5:$Q$2488=I$1),('Diário 8º PA'!$F$5:$F$2488))
+SUMPRODUCT(-('Comp.'!$D$5:$D$313='Analítico Cp.'!$B131),-('Comp.'!$R$5:$R$313=I$1),('Comp.'!$E$5:$E$313))</f>
        <v>9150</v>
      </c>
      <c r="J131" s="185">
        <f>SUMPRODUCT(-('Diário 5º PA'!$E$5:$E$2634='Analítico Cp.'!$B131),-('Diário 5º PA'!$Q$5:$Q$2634=J$1),('Diário 5º PA'!$F$5:$F$2634))
+SUMPRODUCT(-('Diário 6º PA'!$E$5:$E$2246='Analítico Cp.'!$B131),-('Diário 6º PA'!$Q$5:$Q$2246=J$1),('Diário 6º PA'!$F$5:$F$2246))
+SUMPRODUCT(-('Diário 7º PA'!$E$5:$E$2271='Analítico Cp.'!$B131),-('Diário 7º PA'!$Q$5:$Q$2271=J$1),('Diário 7º PA'!$F$5:$F$2271))
+SUMPRODUCT(-('Diário 8º PA'!$E$5:$E$2488='Analítico Cp.'!$B131),-('Diário 8º PA'!$Q$5:$Q$2488=J$1),('Diário 8º PA'!$F$5:$F$2488))
+SUMPRODUCT(-('Comp.'!$D$5:$D$313='Analítico Cp.'!$B131),-('Comp.'!$R$5:$R$313=J$1),('Comp.'!$E$5:$E$313))</f>
        <v>5850</v>
      </c>
      <c r="K131" s="185">
        <f>SUMPRODUCT(-('Diário 5º PA'!$E$5:$E$2634='Analítico Cp.'!$B131),-('Diário 5º PA'!$Q$5:$Q$2634=K$1),('Diário 5º PA'!$F$5:$F$2634))
+SUMPRODUCT(-('Diário 6º PA'!$E$5:$E$2246='Analítico Cp.'!$B131),-('Diário 6º PA'!$Q$5:$Q$2246=K$1),('Diário 6º PA'!$F$5:$F$2246))
+SUMPRODUCT(-('Diário 7º PA'!$E$5:$E$2271='Analítico Cp.'!$B131),-('Diário 7º PA'!$Q$5:$Q$2271=K$1),('Diário 7º PA'!$F$5:$F$2271))
+SUMPRODUCT(-('Diário 8º PA'!$E$5:$E$2488='Analítico Cp.'!$B131),-('Diário 8º PA'!$Q$5:$Q$2488=K$1),('Diário 8º PA'!$F$5:$F$2488))
+SUMPRODUCT(-('Comp.'!$D$5:$D$313='Analítico Cp.'!$B131),-('Comp.'!$R$5:$R$313=K$1),('Comp.'!$E$5:$E$313))</f>
        <v>0</v>
      </c>
      <c r="L131" s="185">
        <f>SUMPRODUCT(-('Diário 5º PA'!$E$5:$E$2634='Analítico Cp.'!$B131),-('Diário 5º PA'!$Q$5:$Q$2634=L$1),('Diário 5º PA'!$F$5:$F$2634))
+SUMPRODUCT(-('Diário 6º PA'!$E$5:$E$2246='Analítico Cp.'!$B131),-('Diário 6º PA'!$Q$5:$Q$2246=L$1),('Diário 6º PA'!$F$5:$F$2246))
+SUMPRODUCT(-('Diário 7º PA'!$E$5:$E$2271='Analítico Cp.'!$B131),-('Diário 7º PA'!$Q$5:$Q$2271=L$1),('Diário 7º PA'!$F$5:$F$2271))
+SUMPRODUCT(-('Diário 8º PA'!$E$5:$E$2488='Analítico Cp.'!$B131),-('Diário 8º PA'!$Q$5:$Q$2488=L$1),('Diário 8º PA'!$F$5:$F$2488))
+SUMPRODUCT(-('Comp.'!$D$5:$D$313='Analítico Cp.'!$B131),-('Comp.'!$R$5:$R$313=L$1),('Comp.'!$E$5:$E$313))</f>
        <v>0</v>
      </c>
      <c r="M131" s="185">
        <f>SUMPRODUCT(-('Diário 5º PA'!$E$5:$E$2634='Analítico Cp.'!$B131),-('Diário 5º PA'!$Q$5:$Q$2634=M$1),('Diário 5º PA'!$F$5:$F$2634))
+SUMPRODUCT(-('Diário 6º PA'!$E$5:$E$2246='Analítico Cp.'!$B131),-('Diário 6º PA'!$Q$5:$Q$2246=M$1),('Diário 6º PA'!$F$5:$F$2246))
+SUMPRODUCT(-('Diário 7º PA'!$E$5:$E$2271='Analítico Cp.'!$B131),-('Diário 7º PA'!$Q$5:$Q$2271=M$1),('Diário 7º PA'!$F$5:$F$2271))
+SUMPRODUCT(-('Diário 8º PA'!$E$5:$E$2488='Analítico Cp.'!$B131),-('Diário 8º PA'!$Q$5:$Q$2488=M$1),('Diário 8º PA'!$F$5:$F$2488))
+SUMPRODUCT(-('Comp.'!$D$5:$D$313='Analítico Cp.'!$B131),-('Comp.'!$R$5:$R$313=M$1),('Comp.'!$E$5:$E$313))</f>
        <v>1000</v>
      </c>
      <c r="N131" s="185">
        <f>SUMPRODUCT(-('Diário 5º PA'!$E$5:$E$2634='Analítico Cp.'!$B131),-('Diário 5º PA'!$Q$5:$Q$2634=N$1),('Diário 5º PA'!$F$5:$F$2634))
+SUMPRODUCT(-('Diário 6º PA'!$E$5:$E$2246='Analítico Cp.'!$B131),-('Diário 6º PA'!$Q$5:$Q$2246=N$1),('Diário 6º PA'!$F$5:$F$2246))
+SUMPRODUCT(-('Diário 7º PA'!$E$5:$E$2271='Analítico Cp.'!$B131),-('Diário 7º PA'!$Q$5:$Q$2271=N$1),('Diário 7º PA'!$F$5:$F$2271))
+SUMPRODUCT(-('Diário 8º PA'!$E$5:$E$2488='Analítico Cp.'!$B131),-('Diário 8º PA'!$Q$5:$Q$2488=N$1),('Diário 8º PA'!$F$5:$F$2488))
+SUMPRODUCT(-('Comp.'!$D$5:$D$313='Analítico Cp.'!$B131),-('Comp.'!$R$5:$R$313=N$1),('Comp.'!$E$5:$E$313))</f>
        <v>0</v>
      </c>
      <c r="O131" s="186">
        <f t="shared" si="16"/>
        <v>27500</v>
      </c>
      <c r="P131" s="187">
        <f t="shared" si="17"/>
        <v>2.836519332103586E-3</v>
      </c>
      <c r="Q131" s="34"/>
      <c r="R131" s="34"/>
      <c r="S131" s="34"/>
      <c r="T131" s="34"/>
      <c r="U131" s="34"/>
      <c r="V131" s="34"/>
      <c r="W131" s="34"/>
      <c r="X131" s="34"/>
      <c r="Y131" s="34"/>
      <c r="Z131" s="34"/>
    </row>
    <row r="132" spans="1:26" ht="21" customHeight="1" x14ac:dyDescent="0.2">
      <c r="A132" s="203" t="s">
        <v>361</v>
      </c>
      <c r="B132" s="72" t="s">
        <v>362</v>
      </c>
      <c r="C132" s="185">
        <f>SUMPRODUCT(-('Diário 5º PA'!$E$5:$E$2634='Analítico Cp.'!$B132),-('Diário 5º PA'!$Q$5:$Q$2634=C$1),('Diário 5º PA'!$F$5:$F$2634))
+SUMPRODUCT(-('Diário 6º PA'!$E$5:$E$2246='Analítico Cp.'!$B132),-('Diário 6º PA'!$Q$5:$Q$2246=C$1),('Diário 6º PA'!$F$5:$F$2246))
+SUMPRODUCT(-('Diário 7º PA'!$E$5:$E$2271='Analítico Cp.'!$B132),-('Diário 7º PA'!$Q$5:$Q$2271=C$1),('Diário 7º PA'!$F$5:$F$2271))
+SUMPRODUCT(-('Diário 8º PA'!$E$5:$E$2488='Analítico Cp.'!$B132),-('Diário 8º PA'!$Q$5:$Q$2488=C$1),('Diário 8º PA'!$F$5:$F$2488))
+SUMPRODUCT(-('Comp.'!$D$5:$D$313='Analítico Cp.'!$B132),-('Comp.'!$R$5:$R$313=C$1),('Comp.'!$E$5:$E$313))</f>
        <v>0</v>
      </c>
      <c r="D132" s="185">
        <f>SUMPRODUCT(-('Diário 5º PA'!$E$5:$E$2634='Analítico Cp.'!$B132),-('Diário 5º PA'!$Q$5:$Q$2634=D$1),('Diário 5º PA'!$F$5:$F$2634))
+SUMPRODUCT(-('Diário 6º PA'!$E$5:$E$2246='Analítico Cp.'!$B132),-('Diário 6º PA'!$Q$5:$Q$2246=D$1),('Diário 6º PA'!$F$5:$F$2246))
+SUMPRODUCT(-('Diário 7º PA'!$E$5:$E$2271='Analítico Cp.'!$B132),-('Diário 7º PA'!$Q$5:$Q$2271=D$1),('Diário 7º PA'!$F$5:$F$2271))
+SUMPRODUCT(-('Diário 8º PA'!$E$5:$E$2488='Analítico Cp.'!$B132),-('Diário 8º PA'!$Q$5:$Q$2488=D$1),('Diário 8º PA'!$F$5:$F$2488))
+SUMPRODUCT(-('Comp.'!$D$5:$D$313='Analítico Cp.'!$B132),-('Comp.'!$R$5:$R$313=D$1),('Comp.'!$E$5:$E$313))</f>
        <v>0</v>
      </c>
      <c r="E132" s="185">
        <f>SUMPRODUCT(-('Diário 5º PA'!$E$5:$E$2634='Analítico Cp.'!$B132),-('Diário 5º PA'!$Q$5:$Q$2634=E$1),('Diário 5º PA'!$F$5:$F$2634))
+SUMPRODUCT(-('Diário 6º PA'!$E$5:$E$2246='Analítico Cp.'!$B132),-('Diário 6º PA'!$Q$5:$Q$2246=E$1),('Diário 6º PA'!$F$5:$F$2246))
+SUMPRODUCT(-('Diário 7º PA'!$E$5:$E$2271='Analítico Cp.'!$B132),-('Diário 7º PA'!$Q$5:$Q$2271=E$1),('Diário 7º PA'!$F$5:$F$2271))
+SUMPRODUCT(-('Diário 8º PA'!$E$5:$E$2488='Analítico Cp.'!$B132),-('Diário 8º PA'!$Q$5:$Q$2488=E$1),('Diário 8º PA'!$F$5:$F$2488))
+SUMPRODUCT(-('Comp.'!$D$5:$D$313='Analítico Cp.'!$B132),-('Comp.'!$R$5:$R$313=E$1),('Comp.'!$E$5:$E$313))</f>
        <v>0</v>
      </c>
      <c r="F132" s="185">
        <f>SUMPRODUCT(-('Diário 5º PA'!$E$5:$E$2634='Analítico Cp.'!$B132),-('Diário 5º PA'!$Q$5:$Q$2634=F$1),('Diário 5º PA'!$F$5:$F$2634))
+SUMPRODUCT(-('Diário 6º PA'!$E$5:$E$2246='Analítico Cp.'!$B132),-('Diário 6º PA'!$Q$5:$Q$2246=F$1),('Diário 6º PA'!$F$5:$F$2246))
+SUMPRODUCT(-('Diário 7º PA'!$E$5:$E$2271='Analítico Cp.'!$B132),-('Diário 7º PA'!$Q$5:$Q$2271=F$1),('Diário 7º PA'!$F$5:$F$2271))
+SUMPRODUCT(-('Diário 8º PA'!$E$5:$E$2488='Analítico Cp.'!$B132),-('Diário 8º PA'!$Q$5:$Q$2488=F$1),('Diário 8º PA'!$F$5:$F$2488))
+SUMPRODUCT(-('Comp.'!$D$5:$D$313='Analítico Cp.'!$B132),-('Comp.'!$R$5:$R$313=F$1),('Comp.'!$E$5:$E$313))</f>
        <v>3200</v>
      </c>
      <c r="G132" s="185">
        <f>SUMPRODUCT(-('Diário 5º PA'!$E$5:$E$2634='Analítico Cp.'!$B132),-('Diário 5º PA'!$Q$5:$Q$2634=G$1),('Diário 5º PA'!$F$5:$F$2634))
+SUMPRODUCT(-('Diário 6º PA'!$E$5:$E$2246='Analítico Cp.'!$B132),-('Diário 6º PA'!$Q$5:$Q$2246=G$1),('Diário 6º PA'!$F$5:$F$2246))
+SUMPRODUCT(-('Diário 7º PA'!$E$5:$E$2271='Analítico Cp.'!$B132),-('Diário 7º PA'!$Q$5:$Q$2271=G$1),('Diário 7º PA'!$F$5:$F$2271))
+SUMPRODUCT(-('Diário 8º PA'!$E$5:$E$2488='Analítico Cp.'!$B132),-('Diário 8º PA'!$Q$5:$Q$2488=G$1),('Diário 8º PA'!$F$5:$F$2488))
+SUMPRODUCT(-('Comp.'!$D$5:$D$313='Analítico Cp.'!$B132),-('Comp.'!$R$5:$R$313=G$1),('Comp.'!$E$5:$E$313))</f>
        <v>0</v>
      </c>
      <c r="H132" s="185">
        <f>SUMPRODUCT(-('Diário 5º PA'!$E$5:$E$2634='Analítico Cp.'!$B132),-('Diário 5º PA'!$Q$5:$Q$2634=H$1),('Diário 5º PA'!$F$5:$F$2634))
+SUMPRODUCT(-('Diário 6º PA'!$E$5:$E$2246='Analítico Cp.'!$B132),-('Diário 6º PA'!$Q$5:$Q$2246=H$1),('Diário 6º PA'!$F$5:$F$2246))
+SUMPRODUCT(-('Diário 7º PA'!$E$5:$E$2271='Analítico Cp.'!$B132),-('Diário 7º PA'!$Q$5:$Q$2271=H$1),('Diário 7º PA'!$F$5:$F$2271))
+SUMPRODUCT(-('Diário 8º PA'!$E$5:$E$2488='Analítico Cp.'!$B132),-('Diário 8º PA'!$Q$5:$Q$2488=H$1),('Diário 8º PA'!$F$5:$F$2488))
+SUMPRODUCT(-('Comp.'!$D$5:$D$313='Analítico Cp.'!$B132),-('Comp.'!$R$5:$R$313=H$1),('Comp.'!$E$5:$E$313))</f>
        <v>0</v>
      </c>
      <c r="I132" s="185">
        <f>SUMPRODUCT(-('Diário 5º PA'!$E$5:$E$2634='Analítico Cp.'!$B132),-('Diário 5º PA'!$Q$5:$Q$2634=I$1),('Diário 5º PA'!$F$5:$F$2634))
+SUMPRODUCT(-('Diário 6º PA'!$E$5:$E$2246='Analítico Cp.'!$B132),-('Diário 6º PA'!$Q$5:$Q$2246=I$1),('Diário 6º PA'!$F$5:$F$2246))
+SUMPRODUCT(-('Diário 7º PA'!$E$5:$E$2271='Analítico Cp.'!$B132),-('Diário 7º PA'!$Q$5:$Q$2271=I$1),('Diário 7º PA'!$F$5:$F$2271))
+SUMPRODUCT(-('Diário 8º PA'!$E$5:$E$2488='Analítico Cp.'!$B132),-('Diário 8º PA'!$Q$5:$Q$2488=I$1),('Diário 8º PA'!$F$5:$F$2488))
+SUMPRODUCT(-('Comp.'!$D$5:$D$313='Analítico Cp.'!$B132),-('Comp.'!$R$5:$R$313=I$1),('Comp.'!$E$5:$E$313))</f>
        <v>0</v>
      </c>
      <c r="J132" s="185">
        <f>SUMPRODUCT(-('Diário 5º PA'!$E$5:$E$2634='Analítico Cp.'!$B132),-('Diário 5º PA'!$Q$5:$Q$2634=J$1),('Diário 5º PA'!$F$5:$F$2634))
+SUMPRODUCT(-('Diário 6º PA'!$E$5:$E$2246='Analítico Cp.'!$B132),-('Diário 6º PA'!$Q$5:$Q$2246=J$1),('Diário 6º PA'!$F$5:$F$2246))
+SUMPRODUCT(-('Diário 7º PA'!$E$5:$E$2271='Analítico Cp.'!$B132),-('Diário 7º PA'!$Q$5:$Q$2271=J$1),('Diário 7º PA'!$F$5:$F$2271))
+SUMPRODUCT(-('Diário 8º PA'!$E$5:$E$2488='Analítico Cp.'!$B132),-('Diário 8º PA'!$Q$5:$Q$2488=J$1),('Diário 8º PA'!$F$5:$F$2488))
+SUMPRODUCT(-('Comp.'!$D$5:$D$313='Analítico Cp.'!$B132),-('Comp.'!$R$5:$R$313=J$1),('Comp.'!$E$5:$E$313))</f>
        <v>0</v>
      </c>
      <c r="K132" s="185">
        <f>SUMPRODUCT(-('Diário 5º PA'!$E$5:$E$2634='Analítico Cp.'!$B132),-('Diário 5º PA'!$Q$5:$Q$2634=K$1),('Diário 5º PA'!$F$5:$F$2634))
+SUMPRODUCT(-('Diário 6º PA'!$E$5:$E$2246='Analítico Cp.'!$B132),-('Diário 6º PA'!$Q$5:$Q$2246=K$1),('Diário 6º PA'!$F$5:$F$2246))
+SUMPRODUCT(-('Diário 7º PA'!$E$5:$E$2271='Analítico Cp.'!$B132),-('Diário 7º PA'!$Q$5:$Q$2271=K$1),('Diário 7º PA'!$F$5:$F$2271))
+SUMPRODUCT(-('Diário 8º PA'!$E$5:$E$2488='Analítico Cp.'!$B132),-('Diário 8º PA'!$Q$5:$Q$2488=K$1),('Diário 8º PA'!$F$5:$F$2488))
+SUMPRODUCT(-('Comp.'!$D$5:$D$313='Analítico Cp.'!$B132),-('Comp.'!$R$5:$R$313=K$1),('Comp.'!$E$5:$E$313))</f>
        <v>0</v>
      </c>
      <c r="L132" s="185">
        <f>SUMPRODUCT(-('Diário 5º PA'!$E$5:$E$2634='Analítico Cp.'!$B132),-('Diário 5º PA'!$Q$5:$Q$2634=L$1),('Diário 5º PA'!$F$5:$F$2634))
+SUMPRODUCT(-('Diário 6º PA'!$E$5:$E$2246='Analítico Cp.'!$B132),-('Diário 6º PA'!$Q$5:$Q$2246=L$1),('Diário 6º PA'!$F$5:$F$2246))
+SUMPRODUCT(-('Diário 7º PA'!$E$5:$E$2271='Analítico Cp.'!$B132),-('Diário 7º PA'!$Q$5:$Q$2271=L$1),('Diário 7º PA'!$F$5:$F$2271))
+SUMPRODUCT(-('Diário 8º PA'!$E$5:$E$2488='Analítico Cp.'!$B132),-('Diário 8º PA'!$Q$5:$Q$2488=L$1),('Diário 8º PA'!$F$5:$F$2488))
+SUMPRODUCT(-('Comp.'!$D$5:$D$313='Analítico Cp.'!$B132),-('Comp.'!$R$5:$R$313=L$1),('Comp.'!$E$5:$E$313))</f>
        <v>0</v>
      </c>
      <c r="M132" s="185">
        <f>SUMPRODUCT(-('Diário 5º PA'!$E$5:$E$2634='Analítico Cp.'!$B132),-('Diário 5º PA'!$Q$5:$Q$2634=M$1),('Diário 5º PA'!$F$5:$F$2634))
+SUMPRODUCT(-('Diário 6º PA'!$E$5:$E$2246='Analítico Cp.'!$B132),-('Diário 6º PA'!$Q$5:$Q$2246=M$1),('Diário 6º PA'!$F$5:$F$2246))
+SUMPRODUCT(-('Diário 7º PA'!$E$5:$E$2271='Analítico Cp.'!$B132),-('Diário 7º PA'!$Q$5:$Q$2271=M$1),('Diário 7º PA'!$F$5:$F$2271))
+SUMPRODUCT(-('Diário 8º PA'!$E$5:$E$2488='Analítico Cp.'!$B132),-('Diário 8º PA'!$Q$5:$Q$2488=M$1),('Diário 8º PA'!$F$5:$F$2488))
+SUMPRODUCT(-('Comp.'!$D$5:$D$313='Analítico Cp.'!$B132),-('Comp.'!$R$5:$R$313=M$1),('Comp.'!$E$5:$E$313))</f>
        <v>0</v>
      </c>
      <c r="N132" s="185">
        <f>SUMPRODUCT(-('Diário 5º PA'!$E$5:$E$2634='Analítico Cp.'!$B132),-('Diário 5º PA'!$Q$5:$Q$2634=N$1),('Diário 5º PA'!$F$5:$F$2634))
+SUMPRODUCT(-('Diário 6º PA'!$E$5:$E$2246='Analítico Cp.'!$B132),-('Diário 6º PA'!$Q$5:$Q$2246=N$1),('Diário 6º PA'!$F$5:$F$2246))
+SUMPRODUCT(-('Diário 7º PA'!$E$5:$E$2271='Analítico Cp.'!$B132),-('Diário 7º PA'!$Q$5:$Q$2271=N$1),('Diário 7º PA'!$F$5:$F$2271))
+SUMPRODUCT(-('Diário 8º PA'!$E$5:$E$2488='Analítico Cp.'!$B132),-('Diário 8º PA'!$Q$5:$Q$2488=N$1),('Diário 8º PA'!$F$5:$F$2488))
+SUMPRODUCT(-('Comp.'!$D$5:$D$313='Analítico Cp.'!$B132),-('Comp.'!$R$5:$R$313=N$1),('Comp.'!$E$5:$E$313))</f>
        <v>638.48</v>
      </c>
      <c r="O132" s="186">
        <f t="shared" si="16"/>
        <v>3838.48</v>
      </c>
      <c r="P132" s="187">
        <f t="shared" si="17"/>
        <v>3.959244627597445E-4</v>
      </c>
      <c r="Q132" s="34"/>
      <c r="R132" s="34"/>
      <c r="S132" s="34"/>
      <c r="T132" s="34"/>
      <c r="U132" s="34"/>
      <c r="V132" s="34"/>
      <c r="W132" s="34"/>
      <c r="X132" s="34"/>
      <c r="Y132" s="34"/>
      <c r="Z132" s="34"/>
    </row>
    <row r="133" spans="1:26" ht="25.5" customHeight="1" x14ac:dyDescent="0.2">
      <c r="A133" s="203" t="s">
        <v>363</v>
      </c>
      <c r="B133" s="72" t="s">
        <v>364</v>
      </c>
      <c r="C133" s="185">
        <f>SUMPRODUCT(-('Diário 5º PA'!$E$5:$E$2634='Analítico Cp.'!$B133),-('Diário 5º PA'!$Q$5:$Q$2634=C$1),('Diário 5º PA'!$F$5:$F$2634))
+SUMPRODUCT(-('Diário 6º PA'!$E$5:$E$2246='Analítico Cp.'!$B133),-('Diário 6º PA'!$Q$5:$Q$2246=C$1),('Diário 6º PA'!$F$5:$F$2246))
+SUMPRODUCT(-('Diário 7º PA'!$E$5:$E$2271='Analítico Cp.'!$B133),-('Diário 7º PA'!$Q$5:$Q$2271=C$1),('Diário 7º PA'!$F$5:$F$2271))
+SUMPRODUCT(-('Diário 8º PA'!$E$5:$E$2488='Analítico Cp.'!$B133),-('Diário 8º PA'!$Q$5:$Q$2488=C$1),('Diário 8º PA'!$F$5:$F$2488))
+SUMPRODUCT(-('Comp.'!$D$5:$D$313='Analítico Cp.'!$B133),-('Comp.'!$R$5:$R$313=C$1),('Comp.'!$E$5:$E$313))</f>
        <v>44696.45</v>
      </c>
      <c r="D133" s="185">
        <f>SUMPRODUCT(-('Diário 5º PA'!$E$5:$E$2634='Analítico Cp.'!$B133),-('Diário 5º PA'!$Q$5:$Q$2634=D$1),('Diário 5º PA'!$F$5:$F$2634))
+SUMPRODUCT(-('Diário 6º PA'!$E$5:$E$2246='Analítico Cp.'!$B133),-('Diário 6º PA'!$Q$5:$Q$2246=D$1),('Diário 6º PA'!$F$5:$F$2246))
+SUMPRODUCT(-('Diário 7º PA'!$E$5:$E$2271='Analítico Cp.'!$B133),-('Diário 7º PA'!$Q$5:$Q$2271=D$1),('Diário 7º PA'!$F$5:$F$2271))
+SUMPRODUCT(-('Diário 8º PA'!$E$5:$E$2488='Analítico Cp.'!$B133),-('Diário 8º PA'!$Q$5:$Q$2488=D$1),('Diário 8º PA'!$F$5:$F$2488))
+SUMPRODUCT(-('Comp.'!$D$5:$D$313='Analítico Cp.'!$B133),-('Comp.'!$R$5:$R$313=D$1),('Comp.'!$E$5:$E$313))</f>
        <v>9720.41</v>
      </c>
      <c r="E133" s="185">
        <f>SUMPRODUCT(-('Diário 5º PA'!$E$5:$E$2634='Analítico Cp.'!$B133),-('Diário 5º PA'!$Q$5:$Q$2634=E$1),('Diário 5º PA'!$F$5:$F$2634))
+SUMPRODUCT(-('Diário 6º PA'!$E$5:$E$2246='Analítico Cp.'!$B133),-('Diário 6º PA'!$Q$5:$Q$2246=E$1),('Diário 6º PA'!$F$5:$F$2246))
+SUMPRODUCT(-('Diário 7º PA'!$E$5:$E$2271='Analítico Cp.'!$B133),-('Diário 7º PA'!$Q$5:$Q$2271=E$1),('Diário 7º PA'!$F$5:$F$2271))
+SUMPRODUCT(-('Diário 8º PA'!$E$5:$E$2488='Analítico Cp.'!$B133),-('Diário 8º PA'!$Q$5:$Q$2488=E$1),('Diário 8º PA'!$F$5:$F$2488))
+SUMPRODUCT(-('Comp.'!$D$5:$D$313='Analítico Cp.'!$B133),-('Comp.'!$R$5:$R$313=E$1),('Comp.'!$E$5:$E$313))</f>
        <v>10300</v>
      </c>
      <c r="F133" s="185">
        <f>SUMPRODUCT(-('Diário 5º PA'!$E$5:$E$2634='Analítico Cp.'!$B133),-('Diário 5º PA'!$Q$5:$Q$2634=F$1),('Diário 5º PA'!$F$5:$F$2634))
+SUMPRODUCT(-('Diário 6º PA'!$E$5:$E$2246='Analítico Cp.'!$B133),-('Diário 6º PA'!$Q$5:$Q$2246=F$1),('Diário 6º PA'!$F$5:$F$2246))
+SUMPRODUCT(-('Diário 7º PA'!$E$5:$E$2271='Analítico Cp.'!$B133),-('Diário 7º PA'!$Q$5:$Q$2271=F$1),('Diário 7º PA'!$F$5:$F$2271))
+SUMPRODUCT(-('Diário 8º PA'!$E$5:$E$2488='Analítico Cp.'!$B133),-('Diário 8º PA'!$Q$5:$Q$2488=F$1),('Diário 8º PA'!$F$5:$F$2488))
+SUMPRODUCT(-('Comp.'!$D$5:$D$313='Analítico Cp.'!$B133),-('Comp.'!$R$5:$R$313=F$1),('Comp.'!$E$5:$E$313))</f>
        <v>66280.960000000006</v>
      </c>
      <c r="G133" s="185">
        <f>SUMPRODUCT(-('Diário 5º PA'!$E$5:$E$2634='Analítico Cp.'!$B133),-('Diário 5º PA'!$Q$5:$Q$2634=G$1),('Diário 5º PA'!$F$5:$F$2634))
+SUMPRODUCT(-('Diário 6º PA'!$E$5:$E$2246='Analítico Cp.'!$B133),-('Diário 6º PA'!$Q$5:$Q$2246=G$1),('Diário 6º PA'!$F$5:$F$2246))
+SUMPRODUCT(-('Diário 7º PA'!$E$5:$E$2271='Analítico Cp.'!$B133),-('Diário 7º PA'!$Q$5:$Q$2271=G$1),('Diário 7º PA'!$F$5:$F$2271))
+SUMPRODUCT(-('Diário 8º PA'!$E$5:$E$2488='Analítico Cp.'!$B133),-('Diário 8º PA'!$Q$5:$Q$2488=G$1),('Diário 8º PA'!$F$5:$F$2488))
+SUMPRODUCT(-('Comp.'!$D$5:$D$313='Analítico Cp.'!$B133),-('Comp.'!$R$5:$R$313=G$1),('Comp.'!$E$5:$E$313))</f>
        <v>63739.099999999991</v>
      </c>
      <c r="H133" s="185">
        <f>SUMPRODUCT(-('Diário 5º PA'!$E$5:$E$2634='Analítico Cp.'!$B133),-('Diário 5º PA'!$Q$5:$Q$2634=H$1),('Diário 5º PA'!$F$5:$F$2634))
+SUMPRODUCT(-('Diário 6º PA'!$E$5:$E$2246='Analítico Cp.'!$B133),-('Diário 6º PA'!$Q$5:$Q$2246=H$1),('Diário 6º PA'!$F$5:$F$2246))
+SUMPRODUCT(-('Diário 7º PA'!$E$5:$E$2271='Analítico Cp.'!$B133),-('Diário 7º PA'!$Q$5:$Q$2271=H$1),('Diário 7º PA'!$F$5:$F$2271))
+SUMPRODUCT(-('Diário 8º PA'!$E$5:$E$2488='Analítico Cp.'!$B133),-('Diário 8º PA'!$Q$5:$Q$2488=H$1),('Diário 8º PA'!$F$5:$F$2488))
+SUMPRODUCT(-('Comp.'!$D$5:$D$313='Analítico Cp.'!$B133),-('Comp.'!$R$5:$R$313=H$1),('Comp.'!$E$5:$E$313))</f>
        <v>113033.98000000001</v>
      </c>
      <c r="I133" s="185">
        <f>SUMPRODUCT(-('Diário 5º PA'!$E$5:$E$2634='Analítico Cp.'!$B133),-('Diário 5º PA'!$Q$5:$Q$2634=I$1),('Diário 5º PA'!$F$5:$F$2634))
+SUMPRODUCT(-('Diário 6º PA'!$E$5:$E$2246='Analítico Cp.'!$B133),-('Diário 6º PA'!$Q$5:$Q$2246=I$1),('Diário 6º PA'!$F$5:$F$2246))
+SUMPRODUCT(-('Diário 7º PA'!$E$5:$E$2271='Analítico Cp.'!$B133),-('Diário 7º PA'!$Q$5:$Q$2271=I$1),('Diário 7º PA'!$F$5:$F$2271))
+SUMPRODUCT(-('Diário 8º PA'!$E$5:$E$2488='Analítico Cp.'!$B133),-('Diário 8º PA'!$Q$5:$Q$2488=I$1),('Diário 8º PA'!$F$5:$F$2488))
+SUMPRODUCT(-('Comp.'!$D$5:$D$313='Analítico Cp.'!$B133),-('Comp.'!$R$5:$R$313=I$1),('Comp.'!$E$5:$E$313))</f>
        <v>52046.84</v>
      </c>
      <c r="J133" s="185">
        <f>SUMPRODUCT(-('Diário 5º PA'!$E$5:$E$2634='Analítico Cp.'!$B133),-('Diário 5º PA'!$Q$5:$Q$2634=J$1),('Diário 5º PA'!$F$5:$F$2634))
+SUMPRODUCT(-('Diário 6º PA'!$E$5:$E$2246='Analítico Cp.'!$B133),-('Diário 6º PA'!$Q$5:$Q$2246=J$1),('Diário 6º PA'!$F$5:$F$2246))
+SUMPRODUCT(-('Diário 7º PA'!$E$5:$E$2271='Analítico Cp.'!$B133),-('Diário 7º PA'!$Q$5:$Q$2271=J$1),('Diário 7º PA'!$F$5:$F$2271))
+SUMPRODUCT(-('Diário 8º PA'!$E$5:$E$2488='Analítico Cp.'!$B133),-('Diário 8º PA'!$Q$5:$Q$2488=J$1),('Diário 8º PA'!$F$5:$F$2488))
+SUMPRODUCT(-('Comp.'!$D$5:$D$313='Analítico Cp.'!$B133),-('Comp.'!$R$5:$R$313=J$1),('Comp.'!$E$5:$E$313))</f>
        <v>73753.010000000009</v>
      </c>
      <c r="K133" s="185">
        <f>SUMPRODUCT(-('Diário 5º PA'!$E$5:$E$2634='Analítico Cp.'!$B133),-('Diário 5º PA'!$Q$5:$Q$2634=K$1),('Diário 5º PA'!$F$5:$F$2634))
+SUMPRODUCT(-('Diário 6º PA'!$E$5:$E$2246='Analítico Cp.'!$B133),-('Diário 6º PA'!$Q$5:$Q$2246=K$1),('Diário 6º PA'!$F$5:$F$2246))
+SUMPRODUCT(-('Diário 7º PA'!$E$5:$E$2271='Analítico Cp.'!$B133),-('Diário 7º PA'!$Q$5:$Q$2271=K$1),('Diário 7º PA'!$F$5:$F$2271))
+SUMPRODUCT(-('Diário 8º PA'!$E$5:$E$2488='Analítico Cp.'!$B133),-('Diário 8º PA'!$Q$5:$Q$2488=K$1),('Diário 8º PA'!$F$5:$F$2488))
+SUMPRODUCT(-('Comp.'!$D$5:$D$313='Analítico Cp.'!$B133),-('Comp.'!$R$5:$R$313=K$1),('Comp.'!$E$5:$E$313))</f>
        <v>24746.02</v>
      </c>
      <c r="L133" s="185">
        <f>SUMPRODUCT(-('Diário 5º PA'!$E$5:$E$2634='Analítico Cp.'!$B133),-('Diário 5º PA'!$Q$5:$Q$2634=L$1),('Diário 5º PA'!$F$5:$F$2634))
+SUMPRODUCT(-('Diário 6º PA'!$E$5:$E$2246='Analítico Cp.'!$B133),-('Diário 6º PA'!$Q$5:$Q$2246=L$1),('Diário 6º PA'!$F$5:$F$2246))
+SUMPRODUCT(-('Diário 7º PA'!$E$5:$E$2271='Analítico Cp.'!$B133),-('Diário 7º PA'!$Q$5:$Q$2271=L$1),('Diário 7º PA'!$F$5:$F$2271))
+SUMPRODUCT(-('Diário 8º PA'!$E$5:$E$2488='Analítico Cp.'!$B133),-('Diário 8º PA'!$Q$5:$Q$2488=L$1),('Diário 8º PA'!$F$5:$F$2488))
+SUMPRODUCT(-('Comp.'!$D$5:$D$313='Analítico Cp.'!$B133),-('Comp.'!$R$5:$R$313=L$1),('Comp.'!$E$5:$E$313))</f>
        <v>67023.310000000012</v>
      </c>
      <c r="M133" s="185">
        <f>SUMPRODUCT(-('Diário 5º PA'!$E$5:$E$2634='Analítico Cp.'!$B133),-('Diário 5º PA'!$Q$5:$Q$2634=M$1),('Diário 5º PA'!$F$5:$F$2634))
+SUMPRODUCT(-('Diário 6º PA'!$E$5:$E$2246='Analítico Cp.'!$B133),-('Diário 6º PA'!$Q$5:$Q$2246=M$1),('Diário 6º PA'!$F$5:$F$2246))
+SUMPRODUCT(-('Diário 7º PA'!$E$5:$E$2271='Analítico Cp.'!$B133),-('Diário 7º PA'!$Q$5:$Q$2271=M$1),('Diário 7º PA'!$F$5:$F$2271))
+SUMPRODUCT(-('Diário 8º PA'!$E$5:$E$2488='Analítico Cp.'!$B133),-('Diário 8º PA'!$Q$5:$Q$2488=M$1),('Diário 8º PA'!$F$5:$F$2488))
+SUMPRODUCT(-('Comp.'!$D$5:$D$313='Analítico Cp.'!$B133),-('Comp.'!$R$5:$R$313=M$1),('Comp.'!$E$5:$E$313))</f>
        <v>64843.42</v>
      </c>
      <c r="N133" s="185">
        <f>SUMPRODUCT(-('Diário 5º PA'!$E$5:$E$2634='Analítico Cp.'!$B133),-('Diário 5º PA'!$Q$5:$Q$2634=N$1),('Diário 5º PA'!$F$5:$F$2634))
+SUMPRODUCT(-('Diário 6º PA'!$E$5:$E$2246='Analítico Cp.'!$B133),-('Diário 6º PA'!$Q$5:$Q$2246=N$1),('Diário 6º PA'!$F$5:$F$2246))
+SUMPRODUCT(-('Diário 7º PA'!$E$5:$E$2271='Analítico Cp.'!$B133),-('Diário 7º PA'!$Q$5:$Q$2271=N$1),('Diário 7º PA'!$F$5:$F$2271))
+SUMPRODUCT(-('Diário 8º PA'!$E$5:$E$2488='Analítico Cp.'!$B133),-('Diário 8º PA'!$Q$5:$Q$2488=N$1),('Diário 8º PA'!$F$5:$F$2488))
+SUMPRODUCT(-('Comp.'!$D$5:$D$313='Analítico Cp.'!$B133),-('Comp.'!$R$5:$R$313=N$1),('Comp.'!$E$5:$E$313))</f>
        <v>22322.34</v>
      </c>
      <c r="O133" s="186">
        <f t="shared" si="16"/>
        <v>612505.84000000008</v>
      </c>
      <c r="P133" s="187">
        <f t="shared" si="17"/>
        <v>6.3177623861321683E-2</v>
      </c>
      <c r="Q133" s="34"/>
      <c r="R133" s="34"/>
      <c r="S133" s="34"/>
      <c r="T133" s="34"/>
      <c r="U133" s="34"/>
      <c r="V133" s="34"/>
      <c r="W133" s="34"/>
      <c r="X133" s="34"/>
      <c r="Y133" s="34"/>
      <c r="Z133" s="34"/>
    </row>
    <row r="134" spans="1:26" ht="12.75" customHeight="1" x14ac:dyDescent="0.2">
      <c r="A134" s="203" t="s">
        <v>365</v>
      </c>
      <c r="B134" s="72" t="s">
        <v>366</v>
      </c>
      <c r="C134" s="185">
        <f>SUMPRODUCT(-('Diário 5º PA'!$E$5:$E$2634='Analítico Cp.'!$B134),-('Diário 5º PA'!$Q$5:$Q$2634=C$1),('Diário 5º PA'!$F$5:$F$2634))
+SUMPRODUCT(-('Diário 6º PA'!$E$5:$E$2246='Analítico Cp.'!$B134),-('Diário 6º PA'!$Q$5:$Q$2246=C$1),('Diário 6º PA'!$F$5:$F$2246))
+SUMPRODUCT(-('Diário 7º PA'!$E$5:$E$2271='Analítico Cp.'!$B134),-('Diário 7º PA'!$Q$5:$Q$2271=C$1),('Diário 7º PA'!$F$5:$F$2271))
+SUMPRODUCT(-('Diário 8º PA'!$E$5:$E$2488='Analítico Cp.'!$B134),-('Diário 8º PA'!$Q$5:$Q$2488=C$1),('Diário 8º PA'!$F$5:$F$2488))
+SUMPRODUCT(-('Comp.'!$D$5:$D$313='Analítico Cp.'!$B134),-('Comp.'!$R$5:$R$313=C$1),('Comp.'!$E$5:$E$313))</f>
        <v>3500</v>
      </c>
      <c r="D134" s="185">
        <f>SUMPRODUCT(-('Diário 5º PA'!$E$5:$E$2634='Analítico Cp.'!$B134),-('Diário 5º PA'!$Q$5:$Q$2634=D$1),('Diário 5º PA'!$F$5:$F$2634))
+SUMPRODUCT(-('Diário 6º PA'!$E$5:$E$2246='Analítico Cp.'!$B134),-('Diário 6º PA'!$Q$5:$Q$2246=D$1),('Diário 6º PA'!$F$5:$F$2246))
+SUMPRODUCT(-('Diário 7º PA'!$E$5:$E$2271='Analítico Cp.'!$B134),-('Diário 7º PA'!$Q$5:$Q$2271=D$1),('Diário 7º PA'!$F$5:$F$2271))
+SUMPRODUCT(-('Diário 8º PA'!$E$5:$E$2488='Analítico Cp.'!$B134),-('Diário 8º PA'!$Q$5:$Q$2488=D$1),('Diário 8º PA'!$F$5:$F$2488))
+SUMPRODUCT(-('Comp.'!$D$5:$D$313='Analítico Cp.'!$B134),-('Comp.'!$R$5:$R$313=D$1),('Comp.'!$E$5:$E$313))</f>
        <v>0</v>
      </c>
      <c r="E134" s="185">
        <f>SUMPRODUCT(-('Diário 5º PA'!$E$5:$E$2634='Analítico Cp.'!$B134),-('Diário 5º PA'!$Q$5:$Q$2634=E$1),('Diário 5º PA'!$F$5:$F$2634))
+SUMPRODUCT(-('Diário 6º PA'!$E$5:$E$2246='Analítico Cp.'!$B134),-('Diário 6º PA'!$Q$5:$Q$2246=E$1),('Diário 6º PA'!$F$5:$F$2246))
+SUMPRODUCT(-('Diário 7º PA'!$E$5:$E$2271='Analítico Cp.'!$B134),-('Diário 7º PA'!$Q$5:$Q$2271=E$1),('Diário 7º PA'!$F$5:$F$2271))
+SUMPRODUCT(-('Diário 8º PA'!$E$5:$E$2488='Analítico Cp.'!$B134),-('Diário 8º PA'!$Q$5:$Q$2488=E$1),('Diário 8º PA'!$F$5:$F$2488))
+SUMPRODUCT(-('Comp.'!$D$5:$D$313='Analítico Cp.'!$B134),-('Comp.'!$R$5:$R$313=E$1),('Comp.'!$E$5:$E$313))</f>
        <v>0</v>
      </c>
      <c r="F134" s="185">
        <f>SUMPRODUCT(-('Diário 5º PA'!$E$5:$E$2634='Analítico Cp.'!$B134),-('Diário 5º PA'!$Q$5:$Q$2634=F$1),('Diário 5º PA'!$F$5:$F$2634))
+SUMPRODUCT(-('Diário 6º PA'!$E$5:$E$2246='Analítico Cp.'!$B134),-('Diário 6º PA'!$Q$5:$Q$2246=F$1),('Diário 6º PA'!$F$5:$F$2246))
+SUMPRODUCT(-('Diário 7º PA'!$E$5:$E$2271='Analítico Cp.'!$B134),-('Diário 7º PA'!$Q$5:$Q$2271=F$1),('Diário 7º PA'!$F$5:$F$2271))
+SUMPRODUCT(-('Diário 8º PA'!$E$5:$E$2488='Analítico Cp.'!$B134),-('Diário 8º PA'!$Q$5:$Q$2488=F$1),('Diário 8º PA'!$F$5:$F$2488))
+SUMPRODUCT(-('Comp.'!$D$5:$D$313='Analítico Cp.'!$B134),-('Comp.'!$R$5:$R$313=F$1),('Comp.'!$E$5:$E$313))</f>
        <v>0</v>
      </c>
      <c r="G134" s="185">
        <f>SUMPRODUCT(-('Diário 5º PA'!$E$5:$E$2634='Analítico Cp.'!$B134),-('Diário 5º PA'!$Q$5:$Q$2634=G$1),('Diário 5º PA'!$F$5:$F$2634))
+SUMPRODUCT(-('Diário 6º PA'!$E$5:$E$2246='Analítico Cp.'!$B134),-('Diário 6º PA'!$Q$5:$Q$2246=G$1),('Diário 6º PA'!$F$5:$F$2246))
+SUMPRODUCT(-('Diário 7º PA'!$E$5:$E$2271='Analítico Cp.'!$B134),-('Diário 7º PA'!$Q$5:$Q$2271=G$1),('Diário 7º PA'!$F$5:$F$2271))
+SUMPRODUCT(-('Diário 8º PA'!$E$5:$E$2488='Analítico Cp.'!$B134),-('Diário 8º PA'!$Q$5:$Q$2488=G$1),('Diário 8º PA'!$F$5:$F$2488))
+SUMPRODUCT(-('Comp.'!$D$5:$D$313='Analítico Cp.'!$B134),-('Comp.'!$R$5:$R$313=G$1),('Comp.'!$E$5:$E$313))</f>
        <v>0</v>
      </c>
      <c r="H134" s="185">
        <f>SUMPRODUCT(-('Diário 5º PA'!$E$5:$E$2634='Analítico Cp.'!$B134),-('Diário 5º PA'!$Q$5:$Q$2634=H$1),('Diário 5º PA'!$F$5:$F$2634))
+SUMPRODUCT(-('Diário 6º PA'!$E$5:$E$2246='Analítico Cp.'!$B134),-('Diário 6º PA'!$Q$5:$Q$2246=H$1),('Diário 6º PA'!$F$5:$F$2246))
+SUMPRODUCT(-('Diário 7º PA'!$E$5:$E$2271='Analítico Cp.'!$B134),-('Diário 7º PA'!$Q$5:$Q$2271=H$1),('Diário 7º PA'!$F$5:$F$2271))
+SUMPRODUCT(-('Diário 8º PA'!$E$5:$E$2488='Analítico Cp.'!$B134),-('Diário 8º PA'!$Q$5:$Q$2488=H$1),('Diário 8º PA'!$F$5:$F$2488))
+SUMPRODUCT(-('Comp.'!$D$5:$D$313='Analítico Cp.'!$B134),-('Comp.'!$R$5:$R$313=H$1),('Comp.'!$E$5:$E$313))</f>
        <v>3500</v>
      </c>
      <c r="I134" s="185">
        <f>SUMPRODUCT(-('Diário 5º PA'!$E$5:$E$2634='Analítico Cp.'!$B134),-('Diário 5º PA'!$Q$5:$Q$2634=I$1),('Diário 5º PA'!$F$5:$F$2634))
+SUMPRODUCT(-('Diário 6º PA'!$E$5:$E$2246='Analítico Cp.'!$B134),-('Diário 6º PA'!$Q$5:$Q$2246=I$1),('Diário 6º PA'!$F$5:$F$2246))
+SUMPRODUCT(-('Diário 7º PA'!$E$5:$E$2271='Analítico Cp.'!$B134),-('Diário 7º PA'!$Q$5:$Q$2271=I$1),('Diário 7º PA'!$F$5:$F$2271))
+SUMPRODUCT(-('Diário 8º PA'!$E$5:$E$2488='Analítico Cp.'!$B134),-('Diário 8º PA'!$Q$5:$Q$2488=I$1),('Diário 8º PA'!$F$5:$F$2488))
+SUMPRODUCT(-('Comp.'!$D$5:$D$313='Analítico Cp.'!$B134),-('Comp.'!$R$5:$R$313=I$1),('Comp.'!$E$5:$E$313))</f>
        <v>0</v>
      </c>
      <c r="J134" s="185">
        <f>SUMPRODUCT(-('Diário 5º PA'!$E$5:$E$2634='Analítico Cp.'!$B134),-('Diário 5º PA'!$Q$5:$Q$2634=J$1),('Diário 5º PA'!$F$5:$F$2634))
+SUMPRODUCT(-('Diário 6º PA'!$E$5:$E$2246='Analítico Cp.'!$B134),-('Diário 6º PA'!$Q$5:$Q$2246=J$1),('Diário 6º PA'!$F$5:$F$2246))
+SUMPRODUCT(-('Diário 7º PA'!$E$5:$E$2271='Analítico Cp.'!$B134),-('Diário 7º PA'!$Q$5:$Q$2271=J$1),('Diário 7º PA'!$F$5:$F$2271))
+SUMPRODUCT(-('Diário 8º PA'!$E$5:$E$2488='Analítico Cp.'!$B134),-('Diário 8º PA'!$Q$5:$Q$2488=J$1),('Diário 8º PA'!$F$5:$F$2488))
+SUMPRODUCT(-('Comp.'!$D$5:$D$313='Analítico Cp.'!$B134),-('Comp.'!$R$5:$R$313=J$1),('Comp.'!$E$5:$E$313))</f>
        <v>0</v>
      </c>
      <c r="K134" s="185">
        <f>SUMPRODUCT(-('Diário 5º PA'!$E$5:$E$2634='Analítico Cp.'!$B134),-('Diário 5º PA'!$Q$5:$Q$2634=K$1),('Diário 5º PA'!$F$5:$F$2634))
+SUMPRODUCT(-('Diário 6º PA'!$E$5:$E$2246='Analítico Cp.'!$B134),-('Diário 6º PA'!$Q$5:$Q$2246=K$1),('Diário 6º PA'!$F$5:$F$2246))
+SUMPRODUCT(-('Diário 7º PA'!$E$5:$E$2271='Analítico Cp.'!$B134),-('Diário 7º PA'!$Q$5:$Q$2271=K$1),('Diário 7º PA'!$F$5:$F$2271))
+SUMPRODUCT(-('Diário 8º PA'!$E$5:$E$2488='Analítico Cp.'!$B134),-('Diário 8º PA'!$Q$5:$Q$2488=K$1),('Diário 8º PA'!$F$5:$F$2488))
+SUMPRODUCT(-('Comp.'!$D$5:$D$313='Analítico Cp.'!$B134),-('Comp.'!$R$5:$R$313=K$1),('Comp.'!$E$5:$E$313))</f>
        <v>0</v>
      </c>
      <c r="L134" s="185">
        <f>SUMPRODUCT(-('Diário 5º PA'!$E$5:$E$2634='Analítico Cp.'!$B134),-('Diário 5º PA'!$Q$5:$Q$2634=L$1),('Diário 5º PA'!$F$5:$F$2634))
+SUMPRODUCT(-('Diário 6º PA'!$E$5:$E$2246='Analítico Cp.'!$B134),-('Diário 6º PA'!$Q$5:$Q$2246=L$1),('Diário 6º PA'!$F$5:$F$2246))
+SUMPRODUCT(-('Diário 7º PA'!$E$5:$E$2271='Analítico Cp.'!$B134),-('Diário 7º PA'!$Q$5:$Q$2271=L$1),('Diário 7º PA'!$F$5:$F$2271))
+SUMPRODUCT(-('Diário 8º PA'!$E$5:$E$2488='Analítico Cp.'!$B134),-('Diário 8º PA'!$Q$5:$Q$2488=L$1),('Diário 8º PA'!$F$5:$F$2488))
+SUMPRODUCT(-('Comp.'!$D$5:$D$313='Analítico Cp.'!$B134),-('Comp.'!$R$5:$R$313=L$1),('Comp.'!$E$5:$E$313))</f>
        <v>0</v>
      </c>
      <c r="M134" s="185">
        <f>SUMPRODUCT(-('Diário 5º PA'!$E$5:$E$2634='Analítico Cp.'!$B134),-('Diário 5º PA'!$Q$5:$Q$2634=M$1),('Diário 5º PA'!$F$5:$F$2634))
+SUMPRODUCT(-('Diário 6º PA'!$E$5:$E$2246='Analítico Cp.'!$B134),-('Diário 6º PA'!$Q$5:$Q$2246=M$1),('Diário 6º PA'!$F$5:$F$2246))
+SUMPRODUCT(-('Diário 7º PA'!$E$5:$E$2271='Analítico Cp.'!$B134),-('Diário 7º PA'!$Q$5:$Q$2271=M$1),('Diário 7º PA'!$F$5:$F$2271))
+SUMPRODUCT(-('Diário 8º PA'!$E$5:$E$2488='Analítico Cp.'!$B134),-('Diário 8º PA'!$Q$5:$Q$2488=M$1),('Diário 8º PA'!$F$5:$F$2488))
+SUMPRODUCT(-('Comp.'!$D$5:$D$313='Analítico Cp.'!$B134),-('Comp.'!$R$5:$R$313=M$1),('Comp.'!$E$5:$E$313))</f>
        <v>0</v>
      </c>
      <c r="N134" s="185">
        <f>SUMPRODUCT(-('Diário 5º PA'!$E$5:$E$2634='Analítico Cp.'!$B134),-('Diário 5º PA'!$Q$5:$Q$2634=N$1),('Diário 5º PA'!$F$5:$F$2634))
+SUMPRODUCT(-('Diário 6º PA'!$E$5:$E$2246='Analítico Cp.'!$B134),-('Diário 6º PA'!$Q$5:$Q$2246=N$1),('Diário 6º PA'!$F$5:$F$2246))
+SUMPRODUCT(-('Diário 7º PA'!$E$5:$E$2271='Analítico Cp.'!$B134),-('Diário 7º PA'!$Q$5:$Q$2271=N$1),('Diário 7º PA'!$F$5:$F$2271))
+SUMPRODUCT(-('Diário 8º PA'!$E$5:$E$2488='Analítico Cp.'!$B134),-('Diário 8º PA'!$Q$5:$Q$2488=N$1),('Diário 8º PA'!$F$5:$F$2488))
+SUMPRODUCT(-('Comp.'!$D$5:$D$313='Analítico Cp.'!$B134),-('Comp.'!$R$5:$R$313=N$1),('Comp.'!$E$5:$E$313))</f>
        <v>1000</v>
      </c>
      <c r="O134" s="186">
        <f t="shared" si="16"/>
        <v>8000</v>
      </c>
      <c r="P134" s="187">
        <f t="shared" si="17"/>
        <v>8.2516926024831601E-4</v>
      </c>
      <c r="Q134" s="34"/>
      <c r="R134" s="34"/>
      <c r="S134" s="34"/>
      <c r="T134" s="34"/>
      <c r="U134" s="34"/>
      <c r="V134" s="34"/>
      <c r="W134" s="34"/>
      <c r="X134" s="34"/>
      <c r="Y134" s="34"/>
      <c r="Z134" s="34"/>
    </row>
    <row r="135" spans="1:26" ht="12.75" customHeight="1" x14ac:dyDescent="0.2">
      <c r="A135" s="203" t="s">
        <v>367</v>
      </c>
      <c r="B135" s="72" t="s">
        <v>368</v>
      </c>
      <c r="C135" s="185">
        <f>SUMPRODUCT(-('Diário 5º PA'!$E$5:$E$2634='Analítico Cp.'!$B135),-('Diário 5º PA'!$Q$5:$Q$2634=C$1),('Diário 5º PA'!$F$5:$F$2634))
+SUMPRODUCT(-('Diário 6º PA'!$E$5:$E$2246='Analítico Cp.'!$B135),-('Diário 6º PA'!$Q$5:$Q$2246=C$1),('Diário 6º PA'!$F$5:$F$2246))
+SUMPRODUCT(-('Diário 7º PA'!$E$5:$E$2271='Analítico Cp.'!$B135),-('Diário 7º PA'!$Q$5:$Q$2271=C$1),('Diário 7º PA'!$F$5:$F$2271))
+SUMPRODUCT(-('Diário 8º PA'!$E$5:$E$2488='Analítico Cp.'!$B135),-('Diário 8º PA'!$Q$5:$Q$2488=C$1),('Diário 8º PA'!$F$5:$F$2488))
+SUMPRODUCT(-('Comp.'!$D$5:$D$313='Analítico Cp.'!$B135),-('Comp.'!$R$5:$R$313=C$1),('Comp.'!$E$5:$E$313))</f>
        <v>0</v>
      </c>
      <c r="D135" s="185">
        <f>SUMPRODUCT(-('Diário 5º PA'!$E$5:$E$2634='Analítico Cp.'!$B135),-('Diário 5º PA'!$Q$5:$Q$2634=D$1),('Diário 5º PA'!$F$5:$F$2634))
+SUMPRODUCT(-('Diário 6º PA'!$E$5:$E$2246='Analítico Cp.'!$B135),-('Diário 6º PA'!$Q$5:$Q$2246=D$1),('Diário 6º PA'!$F$5:$F$2246))
+SUMPRODUCT(-('Diário 7º PA'!$E$5:$E$2271='Analítico Cp.'!$B135),-('Diário 7º PA'!$Q$5:$Q$2271=D$1),('Diário 7º PA'!$F$5:$F$2271))
+SUMPRODUCT(-('Diário 8º PA'!$E$5:$E$2488='Analítico Cp.'!$B135),-('Diário 8º PA'!$Q$5:$Q$2488=D$1),('Diário 8º PA'!$F$5:$F$2488))
+SUMPRODUCT(-('Comp.'!$D$5:$D$313='Analítico Cp.'!$B135),-('Comp.'!$R$5:$R$313=D$1),('Comp.'!$E$5:$E$313))</f>
        <v>0</v>
      </c>
      <c r="E135" s="185">
        <f>SUMPRODUCT(-('Diário 5º PA'!$E$5:$E$2634='Analítico Cp.'!$B135),-('Diário 5º PA'!$Q$5:$Q$2634=E$1),('Diário 5º PA'!$F$5:$F$2634))
+SUMPRODUCT(-('Diário 6º PA'!$E$5:$E$2246='Analítico Cp.'!$B135),-('Diário 6º PA'!$Q$5:$Q$2246=E$1),('Diário 6º PA'!$F$5:$F$2246))
+SUMPRODUCT(-('Diário 7º PA'!$E$5:$E$2271='Analítico Cp.'!$B135),-('Diário 7º PA'!$Q$5:$Q$2271=E$1),('Diário 7º PA'!$F$5:$F$2271))
+SUMPRODUCT(-('Diário 8º PA'!$E$5:$E$2488='Analítico Cp.'!$B135),-('Diário 8º PA'!$Q$5:$Q$2488=E$1),('Diário 8º PA'!$F$5:$F$2488))
+SUMPRODUCT(-('Comp.'!$D$5:$D$313='Analítico Cp.'!$B135),-('Comp.'!$R$5:$R$313=E$1),('Comp.'!$E$5:$E$313))</f>
        <v>0</v>
      </c>
      <c r="F135" s="185">
        <f>SUMPRODUCT(-('Diário 5º PA'!$E$5:$E$2634='Analítico Cp.'!$B135),-('Diário 5º PA'!$Q$5:$Q$2634=F$1),('Diário 5º PA'!$F$5:$F$2634))
+SUMPRODUCT(-('Diário 6º PA'!$E$5:$E$2246='Analítico Cp.'!$B135),-('Diário 6º PA'!$Q$5:$Q$2246=F$1),('Diário 6º PA'!$F$5:$F$2246))
+SUMPRODUCT(-('Diário 7º PA'!$E$5:$E$2271='Analítico Cp.'!$B135),-('Diário 7º PA'!$Q$5:$Q$2271=F$1),('Diário 7º PA'!$F$5:$F$2271))
+SUMPRODUCT(-('Diário 8º PA'!$E$5:$E$2488='Analítico Cp.'!$B135),-('Diário 8º PA'!$Q$5:$Q$2488=F$1),('Diário 8º PA'!$F$5:$F$2488))
+SUMPRODUCT(-('Comp.'!$D$5:$D$313='Analítico Cp.'!$B135),-('Comp.'!$R$5:$R$313=F$1),('Comp.'!$E$5:$E$313))</f>
        <v>0</v>
      </c>
      <c r="G135" s="185">
        <f>SUMPRODUCT(-('Diário 5º PA'!$E$5:$E$2634='Analítico Cp.'!$B135),-('Diário 5º PA'!$Q$5:$Q$2634=G$1),('Diário 5º PA'!$F$5:$F$2634))
+SUMPRODUCT(-('Diário 6º PA'!$E$5:$E$2246='Analítico Cp.'!$B135),-('Diário 6º PA'!$Q$5:$Q$2246=G$1),('Diário 6º PA'!$F$5:$F$2246))
+SUMPRODUCT(-('Diário 7º PA'!$E$5:$E$2271='Analítico Cp.'!$B135),-('Diário 7º PA'!$Q$5:$Q$2271=G$1),('Diário 7º PA'!$F$5:$F$2271))
+SUMPRODUCT(-('Diário 8º PA'!$E$5:$E$2488='Analítico Cp.'!$B135),-('Diário 8º PA'!$Q$5:$Q$2488=G$1),('Diário 8º PA'!$F$5:$F$2488))
+SUMPRODUCT(-('Comp.'!$D$5:$D$313='Analítico Cp.'!$B135),-('Comp.'!$R$5:$R$313=G$1),('Comp.'!$E$5:$E$313))</f>
        <v>0</v>
      </c>
      <c r="H135" s="185">
        <f>SUMPRODUCT(-('Diário 5º PA'!$E$5:$E$2634='Analítico Cp.'!$B135),-('Diário 5º PA'!$Q$5:$Q$2634=H$1),('Diário 5º PA'!$F$5:$F$2634))
+SUMPRODUCT(-('Diário 6º PA'!$E$5:$E$2246='Analítico Cp.'!$B135),-('Diário 6º PA'!$Q$5:$Q$2246=H$1),('Diário 6º PA'!$F$5:$F$2246))
+SUMPRODUCT(-('Diário 7º PA'!$E$5:$E$2271='Analítico Cp.'!$B135),-('Diário 7º PA'!$Q$5:$Q$2271=H$1),('Diário 7º PA'!$F$5:$F$2271))
+SUMPRODUCT(-('Diário 8º PA'!$E$5:$E$2488='Analítico Cp.'!$B135),-('Diário 8º PA'!$Q$5:$Q$2488=H$1),('Diário 8º PA'!$F$5:$F$2488))
+SUMPRODUCT(-('Comp.'!$D$5:$D$313='Analítico Cp.'!$B135),-('Comp.'!$R$5:$R$313=H$1),('Comp.'!$E$5:$E$313))</f>
        <v>0</v>
      </c>
      <c r="I135" s="185">
        <f>SUMPRODUCT(-('Diário 5º PA'!$E$5:$E$2634='Analítico Cp.'!$B135),-('Diário 5º PA'!$Q$5:$Q$2634=I$1),('Diário 5º PA'!$F$5:$F$2634))
+SUMPRODUCT(-('Diário 6º PA'!$E$5:$E$2246='Analítico Cp.'!$B135),-('Diário 6º PA'!$Q$5:$Q$2246=I$1),('Diário 6º PA'!$F$5:$F$2246))
+SUMPRODUCT(-('Diário 7º PA'!$E$5:$E$2271='Analítico Cp.'!$B135),-('Diário 7º PA'!$Q$5:$Q$2271=I$1),('Diário 7º PA'!$F$5:$F$2271))
+SUMPRODUCT(-('Diário 8º PA'!$E$5:$E$2488='Analítico Cp.'!$B135),-('Diário 8º PA'!$Q$5:$Q$2488=I$1),('Diário 8º PA'!$F$5:$F$2488))
+SUMPRODUCT(-('Comp.'!$D$5:$D$313='Analítico Cp.'!$B135),-('Comp.'!$R$5:$R$313=I$1),('Comp.'!$E$5:$E$313))</f>
        <v>0</v>
      </c>
      <c r="J135" s="185">
        <f>SUMPRODUCT(-('Diário 5º PA'!$E$5:$E$2634='Analítico Cp.'!$B135),-('Diário 5º PA'!$Q$5:$Q$2634=J$1),('Diário 5º PA'!$F$5:$F$2634))
+SUMPRODUCT(-('Diário 6º PA'!$E$5:$E$2246='Analítico Cp.'!$B135),-('Diário 6º PA'!$Q$5:$Q$2246=J$1),('Diário 6º PA'!$F$5:$F$2246))
+SUMPRODUCT(-('Diário 7º PA'!$E$5:$E$2271='Analítico Cp.'!$B135),-('Diário 7º PA'!$Q$5:$Q$2271=J$1),('Diário 7º PA'!$F$5:$F$2271))
+SUMPRODUCT(-('Diário 8º PA'!$E$5:$E$2488='Analítico Cp.'!$B135),-('Diário 8º PA'!$Q$5:$Q$2488=J$1),('Diário 8º PA'!$F$5:$F$2488))
+SUMPRODUCT(-('Comp.'!$D$5:$D$313='Analítico Cp.'!$B135),-('Comp.'!$R$5:$R$313=J$1),('Comp.'!$E$5:$E$313))</f>
        <v>0</v>
      </c>
      <c r="K135" s="185">
        <f>SUMPRODUCT(-('Diário 5º PA'!$E$5:$E$2634='Analítico Cp.'!$B135),-('Diário 5º PA'!$Q$5:$Q$2634=K$1),('Diário 5º PA'!$F$5:$F$2634))
+SUMPRODUCT(-('Diário 6º PA'!$E$5:$E$2246='Analítico Cp.'!$B135),-('Diário 6º PA'!$Q$5:$Q$2246=K$1),('Diário 6º PA'!$F$5:$F$2246))
+SUMPRODUCT(-('Diário 7º PA'!$E$5:$E$2271='Analítico Cp.'!$B135),-('Diário 7º PA'!$Q$5:$Q$2271=K$1),('Diário 7º PA'!$F$5:$F$2271))
+SUMPRODUCT(-('Diário 8º PA'!$E$5:$E$2488='Analítico Cp.'!$B135),-('Diário 8º PA'!$Q$5:$Q$2488=K$1),('Diário 8º PA'!$F$5:$F$2488))
+SUMPRODUCT(-('Comp.'!$D$5:$D$313='Analítico Cp.'!$B135),-('Comp.'!$R$5:$R$313=K$1),('Comp.'!$E$5:$E$313))</f>
        <v>0</v>
      </c>
      <c r="L135" s="185">
        <f>SUMPRODUCT(-('Diário 5º PA'!$E$5:$E$2634='Analítico Cp.'!$B135),-('Diário 5º PA'!$Q$5:$Q$2634=L$1),('Diário 5º PA'!$F$5:$F$2634))
+SUMPRODUCT(-('Diário 6º PA'!$E$5:$E$2246='Analítico Cp.'!$B135),-('Diário 6º PA'!$Q$5:$Q$2246=L$1),('Diário 6º PA'!$F$5:$F$2246))
+SUMPRODUCT(-('Diário 7º PA'!$E$5:$E$2271='Analítico Cp.'!$B135),-('Diário 7º PA'!$Q$5:$Q$2271=L$1),('Diário 7º PA'!$F$5:$F$2271))
+SUMPRODUCT(-('Diário 8º PA'!$E$5:$E$2488='Analítico Cp.'!$B135),-('Diário 8º PA'!$Q$5:$Q$2488=L$1),('Diário 8º PA'!$F$5:$F$2488))
+SUMPRODUCT(-('Comp.'!$D$5:$D$313='Analítico Cp.'!$B135),-('Comp.'!$R$5:$R$313=L$1),('Comp.'!$E$5:$E$313))</f>
        <v>4245.51</v>
      </c>
      <c r="M135" s="185">
        <f>SUMPRODUCT(-('Diário 5º PA'!$E$5:$E$2634='Analítico Cp.'!$B135),-('Diário 5º PA'!$Q$5:$Q$2634=M$1),('Diário 5º PA'!$F$5:$F$2634))
+SUMPRODUCT(-('Diário 6º PA'!$E$5:$E$2246='Analítico Cp.'!$B135),-('Diário 6º PA'!$Q$5:$Q$2246=M$1),('Diário 6º PA'!$F$5:$F$2246))
+SUMPRODUCT(-('Diário 7º PA'!$E$5:$E$2271='Analítico Cp.'!$B135),-('Diário 7º PA'!$Q$5:$Q$2271=M$1),('Diário 7º PA'!$F$5:$F$2271))
+SUMPRODUCT(-('Diário 8º PA'!$E$5:$E$2488='Analítico Cp.'!$B135),-('Diário 8º PA'!$Q$5:$Q$2488=M$1),('Diário 8º PA'!$F$5:$F$2488))
+SUMPRODUCT(-('Comp.'!$D$5:$D$313='Analítico Cp.'!$B135),-('Comp.'!$R$5:$R$313=M$1),('Comp.'!$E$5:$E$313))</f>
        <v>10022.76</v>
      </c>
      <c r="N135" s="185">
        <f>SUMPRODUCT(-('Diário 5º PA'!$E$5:$E$2634='Analítico Cp.'!$B135),-('Diário 5º PA'!$Q$5:$Q$2634=N$1),('Diário 5º PA'!$F$5:$F$2634))
+SUMPRODUCT(-('Diário 6º PA'!$E$5:$E$2246='Analítico Cp.'!$B135),-('Diário 6º PA'!$Q$5:$Q$2246=N$1),('Diário 6º PA'!$F$5:$F$2246))
+SUMPRODUCT(-('Diário 7º PA'!$E$5:$E$2271='Analítico Cp.'!$B135),-('Diário 7º PA'!$Q$5:$Q$2271=N$1),('Diário 7º PA'!$F$5:$F$2271))
+SUMPRODUCT(-('Diário 8º PA'!$E$5:$E$2488='Analítico Cp.'!$B135),-('Diário 8º PA'!$Q$5:$Q$2488=N$1),('Diário 8º PA'!$F$5:$F$2488))
+SUMPRODUCT(-('Comp.'!$D$5:$D$313='Analítico Cp.'!$B135),-('Comp.'!$R$5:$R$313=N$1),('Comp.'!$E$5:$E$313))</f>
        <v>2931.88</v>
      </c>
      <c r="O135" s="186">
        <f t="shared" si="16"/>
        <v>17200.150000000001</v>
      </c>
      <c r="P135" s="187">
        <f t="shared" si="17"/>
        <v>1.7741293814575092E-3</v>
      </c>
      <c r="Q135" s="34"/>
      <c r="R135" s="34"/>
      <c r="S135" s="34"/>
      <c r="T135" s="34"/>
      <c r="U135" s="34"/>
      <c r="V135" s="34"/>
      <c r="W135" s="34"/>
      <c r="X135" s="34"/>
      <c r="Y135" s="34"/>
      <c r="Z135" s="34"/>
    </row>
    <row r="136" spans="1:26" ht="25.5" customHeight="1" x14ac:dyDescent="0.2">
      <c r="A136" s="203" t="s">
        <v>369</v>
      </c>
      <c r="B136" s="72" t="s">
        <v>370</v>
      </c>
      <c r="C136" s="185">
        <f>SUMPRODUCT(-('Diário 5º PA'!$E$5:$E$2634='Analítico Cp.'!$B136),-('Diário 5º PA'!$Q$5:$Q$2634=C$1),('Diário 5º PA'!$F$5:$F$2634))
+SUMPRODUCT(-('Diário 6º PA'!$E$5:$E$2246='Analítico Cp.'!$B136),-('Diário 6º PA'!$Q$5:$Q$2246=C$1),('Diário 6º PA'!$F$5:$F$2246))
+SUMPRODUCT(-('Diário 7º PA'!$E$5:$E$2271='Analítico Cp.'!$B136),-('Diário 7º PA'!$Q$5:$Q$2271=C$1),('Diário 7º PA'!$F$5:$F$2271))
+SUMPRODUCT(-('Diário 8º PA'!$E$5:$E$2488='Analítico Cp.'!$B136),-('Diário 8º PA'!$Q$5:$Q$2488=C$1),('Diário 8º PA'!$F$5:$F$2488))
+SUMPRODUCT(-('Comp.'!$D$5:$D$313='Analítico Cp.'!$B136),-('Comp.'!$R$5:$R$313=C$1),('Comp.'!$E$5:$E$313))</f>
        <v>0</v>
      </c>
      <c r="D136" s="185">
        <f>SUMPRODUCT(-('Diário 5º PA'!$E$5:$E$2634='Analítico Cp.'!$B136),-('Diário 5º PA'!$Q$5:$Q$2634=D$1),('Diário 5º PA'!$F$5:$F$2634))
+SUMPRODUCT(-('Diário 6º PA'!$E$5:$E$2246='Analítico Cp.'!$B136),-('Diário 6º PA'!$Q$5:$Q$2246=D$1),('Diário 6º PA'!$F$5:$F$2246))
+SUMPRODUCT(-('Diário 7º PA'!$E$5:$E$2271='Analítico Cp.'!$B136),-('Diário 7º PA'!$Q$5:$Q$2271=D$1),('Diário 7º PA'!$F$5:$F$2271))
+SUMPRODUCT(-('Diário 8º PA'!$E$5:$E$2488='Analítico Cp.'!$B136),-('Diário 8º PA'!$Q$5:$Q$2488=D$1),('Diário 8º PA'!$F$5:$F$2488))
+SUMPRODUCT(-('Comp.'!$D$5:$D$313='Analítico Cp.'!$B136),-('Comp.'!$R$5:$R$313=D$1),('Comp.'!$E$5:$E$313))</f>
        <v>12100</v>
      </c>
      <c r="E136" s="185">
        <f>SUMPRODUCT(-('Diário 5º PA'!$E$5:$E$2634='Analítico Cp.'!$B136),-('Diário 5º PA'!$Q$5:$Q$2634=E$1),('Diário 5º PA'!$F$5:$F$2634))
+SUMPRODUCT(-('Diário 6º PA'!$E$5:$E$2246='Analítico Cp.'!$B136),-('Diário 6º PA'!$Q$5:$Q$2246=E$1),('Diário 6º PA'!$F$5:$F$2246))
+SUMPRODUCT(-('Diário 7º PA'!$E$5:$E$2271='Analítico Cp.'!$B136),-('Diário 7º PA'!$Q$5:$Q$2271=E$1),('Diário 7º PA'!$F$5:$F$2271))
+SUMPRODUCT(-('Diário 8º PA'!$E$5:$E$2488='Analítico Cp.'!$B136),-('Diário 8º PA'!$Q$5:$Q$2488=E$1),('Diário 8º PA'!$F$5:$F$2488))
+SUMPRODUCT(-('Comp.'!$D$5:$D$313='Analítico Cp.'!$B136),-('Comp.'!$R$5:$R$313=E$1),('Comp.'!$E$5:$E$313))</f>
        <v>4600</v>
      </c>
      <c r="F136" s="185">
        <f>SUMPRODUCT(-('Diário 5º PA'!$E$5:$E$2634='Analítico Cp.'!$B136),-('Diário 5º PA'!$Q$5:$Q$2634=F$1),('Diário 5º PA'!$F$5:$F$2634))
+SUMPRODUCT(-('Diário 6º PA'!$E$5:$E$2246='Analítico Cp.'!$B136),-('Diário 6º PA'!$Q$5:$Q$2246=F$1),('Diário 6º PA'!$F$5:$F$2246))
+SUMPRODUCT(-('Diário 7º PA'!$E$5:$E$2271='Analítico Cp.'!$B136),-('Diário 7º PA'!$Q$5:$Q$2271=F$1),('Diário 7º PA'!$F$5:$F$2271))
+SUMPRODUCT(-('Diário 8º PA'!$E$5:$E$2488='Analítico Cp.'!$B136),-('Diário 8º PA'!$Q$5:$Q$2488=F$1),('Diário 8º PA'!$F$5:$F$2488))
+SUMPRODUCT(-('Comp.'!$D$5:$D$313='Analítico Cp.'!$B136),-('Comp.'!$R$5:$R$313=F$1),('Comp.'!$E$5:$E$313))</f>
        <v>14250</v>
      </c>
      <c r="G136" s="185">
        <f>SUMPRODUCT(-('Diário 5º PA'!$E$5:$E$2634='Analítico Cp.'!$B136),-('Diário 5º PA'!$Q$5:$Q$2634=G$1),('Diário 5º PA'!$F$5:$F$2634))
+SUMPRODUCT(-('Diário 6º PA'!$E$5:$E$2246='Analítico Cp.'!$B136),-('Diário 6º PA'!$Q$5:$Q$2246=G$1),('Diário 6º PA'!$F$5:$F$2246))
+SUMPRODUCT(-('Diário 7º PA'!$E$5:$E$2271='Analítico Cp.'!$B136),-('Diário 7º PA'!$Q$5:$Q$2271=G$1),('Diário 7º PA'!$F$5:$F$2271))
+SUMPRODUCT(-('Diário 8º PA'!$E$5:$E$2488='Analítico Cp.'!$B136),-('Diário 8º PA'!$Q$5:$Q$2488=G$1),('Diário 8º PA'!$F$5:$F$2488))
+SUMPRODUCT(-('Comp.'!$D$5:$D$313='Analítico Cp.'!$B136),-('Comp.'!$R$5:$R$313=G$1),('Comp.'!$E$5:$E$313))</f>
        <v>9120</v>
      </c>
      <c r="H136" s="185">
        <f>SUMPRODUCT(-('Diário 5º PA'!$E$5:$E$2634='Analítico Cp.'!$B136),-('Diário 5º PA'!$Q$5:$Q$2634=H$1),('Diário 5º PA'!$F$5:$F$2634))
+SUMPRODUCT(-('Diário 6º PA'!$E$5:$E$2246='Analítico Cp.'!$B136),-('Diário 6º PA'!$Q$5:$Q$2246=H$1),('Diário 6º PA'!$F$5:$F$2246))
+SUMPRODUCT(-('Diário 7º PA'!$E$5:$E$2271='Analítico Cp.'!$B136),-('Diário 7º PA'!$Q$5:$Q$2271=H$1),('Diário 7º PA'!$F$5:$F$2271))
+SUMPRODUCT(-('Diário 8º PA'!$E$5:$E$2488='Analítico Cp.'!$B136),-('Diário 8º PA'!$Q$5:$Q$2488=H$1),('Diário 8º PA'!$F$5:$F$2488))
+SUMPRODUCT(-('Comp.'!$D$5:$D$313='Analítico Cp.'!$B136),-('Comp.'!$R$5:$R$313=H$1),('Comp.'!$E$5:$E$313))</f>
        <v>10090</v>
      </c>
      <c r="I136" s="185">
        <f>SUMPRODUCT(-('Diário 5º PA'!$E$5:$E$2634='Analítico Cp.'!$B136),-('Diário 5º PA'!$Q$5:$Q$2634=I$1),('Diário 5º PA'!$F$5:$F$2634))
+SUMPRODUCT(-('Diário 6º PA'!$E$5:$E$2246='Analítico Cp.'!$B136),-('Diário 6º PA'!$Q$5:$Q$2246=I$1),('Diário 6º PA'!$F$5:$F$2246))
+SUMPRODUCT(-('Diário 7º PA'!$E$5:$E$2271='Analítico Cp.'!$B136),-('Diário 7º PA'!$Q$5:$Q$2271=I$1),('Diário 7º PA'!$F$5:$F$2271))
+SUMPRODUCT(-('Diário 8º PA'!$E$5:$E$2488='Analítico Cp.'!$B136),-('Diário 8º PA'!$Q$5:$Q$2488=I$1),('Diário 8º PA'!$F$5:$F$2488))
+SUMPRODUCT(-('Comp.'!$D$5:$D$313='Analítico Cp.'!$B136),-('Comp.'!$R$5:$R$313=I$1),('Comp.'!$E$5:$E$313))</f>
        <v>3520</v>
      </c>
      <c r="J136" s="185">
        <f>SUMPRODUCT(-('Diário 5º PA'!$E$5:$E$2634='Analítico Cp.'!$B136),-('Diário 5º PA'!$Q$5:$Q$2634=J$1),('Diário 5º PA'!$F$5:$F$2634))
+SUMPRODUCT(-('Diário 6º PA'!$E$5:$E$2246='Analítico Cp.'!$B136),-('Diário 6º PA'!$Q$5:$Q$2246=J$1),('Diário 6º PA'!$F$5:$F$2246))
+SUMPRODUCT(-('Diário 7º PA'!$E$5:$E$2271='Analítico Cp.'!$B136),-('Diário 7º PA'!$Q$5:$Q$2271=J$1),('Diário 7º PA'!$F$5:$F$2271))
+SUMPRODUCT(-('Diário 8º PA'!$E$5:$E$2488='Analítico Cp.'!$B136),-('Diário 8º PA'!$Q$5:$Q$2488=J$1),('Diário 8º PA'!$F$5:$F$2488))
+SUMPRODUCT(-('Comp.'!$D$5:$D$313='Analítico Cp.'!$B136),-('Comp.'!$R$5:$R$313=J$1),('Comp.'!$E$5:$E$313))</f>
        <v>0</v>
      </c>
      <c r="K136" s="185">
        <f>SUMPRODUCT(-('Diário 5º PA'!$E$5:$E$2634='Analítico Cp.'!$B136),-('Diário 5º PA'!$Q$5:$Q$2634=K$1),('Diário 5º PA'!$F$5:$F$2634))
+SUMPRODUCT(-('Diário 6º PA'!$E$5:$E$2246='Analítico Cp.'!$B136),-('Diário 6º PA'!$Q$5:$Q$2246=K$1),('Diário 6º PA'!$F$5:$F$2246))
+SUMPRODUCT(-('Diário 7º PA'!$E$5:$E$2271='Analítico Cp.'!$B136),-('Diário 7º PA'!$Q$5:$Q$2271=K$1),('Diário 7º PA'!$F$5:$F$2271))
+SUMPRODUCT(-('Diário 8º PA'!$E$5:$E$2488='Analítico Cp.'!$B136),-('Diário 8º PA'!$Q$5:$Q$2488=K$1),('Diário 8º PA'!$F$5:$F$2488))
+SUMPRODUCT(-('Comp.'!$D$5:$D$313='Analítico Cp.'!$B136),-('Comp.'!$R$5:$R$313=K$1),('Comp.'!$E$5:$E$313))</f>
        <v>4800</v>
      </c>
      <c r="L136" s="185">
        <f>SUMPRODUCT(-('Diário 5º PA'!$E$5:$E$2634='Analítico Cp.'!$B136),-('Diário 5º PA'!$Q$5:$Q$2634=L$1),('Diário 5º PA'!$F$5:$F$2634))
+SUMPRODUCT(-('Diário 6º PA'!$E$5:$E$2246='Analítico Cp.'!$B136),-('Diário 6º PA'!$Q$5:$Q$2246=L$1),('Diário 6º PA'!$F$5:$F$2246))
+SUMPRODUCT(-('Diário 7º PA'!$E$5:$E$2271='Analítico Cp.'!$B136),-('Diário 7º PA'!$Q$5:$Q$2271=L$1),('Diário 7º PA'!$F$5:$F$2271))
+SUMPRODUCT(-('Diário 8º PA'!$E$5:$E$2488='Analítico Cp.'!$B136),-('Diário 8º PA'!$Q$5:$Q$2488=L$1),('Diário 8º PA'!$F$5:$F$2488))
+SUMPRODUCT(-('Comp.'!$D$5:$D$313='Analítico Cp.'!$B136),-('Comp.'!$R$5:$R$313=L$1),('Comp.'!$E$5:$E$313))</f>
        <v>9800</v>
      </c>
      <c r="M136" s="185">
        <f>SUMPRODUCT(-('Diário 5º PA'!$E$5:$E$2634='Analítico Cp.'!$B136),-('Diário 5º PA'!$Q$5:$Q$2634=M$1),('Diário 5º PA'!$F$5:$F$2634))
+SUMPRODUCT(-('Diário 6º PA'!$E$5:$E$2246='Analítico Cp.'!$B136),-('Diário 6º PA'!$Q$5:$Q$2246=M$1),('Diário 6º PA'!$F$5:$F$2246))
+SUMPRODUCT(-('Diário 7º PA'!$E$5:$E$2271='Analítico Cp.'!$B136),-('Diário 7º PA'!$Q$5:$Q$2271=M$1),('Diário 7º PA'!$F$5:$F$2271))
+SUMPRODUCT(-('Diário 8º PA'!$E$5:$E$2488='Analítico Cp.'!$B136),-('Diário 8º PA'!$Q$5:$Q$2488=M$1),('Diário 8º PA'!$F$5:$F$2488))
+SUMPRODUCT(-('Comp.'!$D$5:$D$313='Analítico Cp.'!$B136),-('Comp.'!$R$5:$R$313=M$1),('Comp.'!$E$5:$E$313))</f>
        <v>0</v>
      </c>
      <c r="N136" s="185">
        <f>SUMPRODUCT(-('Diário 5º PA'!$E$5:$E$2634='Analítico Cp.'!$B136),-('Diário 5º PA'!$Q$5:$Q$2634=N$1),('Diário 5º PA'!$F$5:$F$2634))
+SUMPRODUCT(-('Diário 6º PA'!$E$5:$E$2246='Analítico Cp.'!$B136),-('Diário 6º PA'!$Q$5:$Q$2246=N$1),('Diário 6º PA'!$F$5:$F$2246))
+SUMPRODUCT(-('Diário 7º PA'!$E$5:$E$2271='Analítico Cp.'!$B136),-('Diário 7º PA'!$Q$5:$Q$2271=N$1),('Diário 7º PA'!$F$5:$F$2271))
+SUMPRODUCT(-('Diário 8º PA'!$E$5:$E$2488='Analítico Cp.'!$B136),-('Diário 8º PA'!$Q$5:$Q$2488=N$1),('Diário 8º PA'!$F$5:$F$2488))
+SUMPRODUCT(-('Comp.'!$D$5:$D$313='Analítico Cp.'!$B136),-('Comp.'!$R$5:$R$313=N$1),('Comp.'!$E$5:$E$313))</f>
        <v>2500</v>
      </c>
      <c r="O136" s="186">
        <f t="shared" si="16"/>
        <v>70780</v>
      </c>
      <c r="P136" s="187">
        <f t="shared" si="17"/>
        <v>7.3006850300469757E-3</v>
      </c>
      <c r="Q136" s="34"/>
      <c r="R136" s="34"/>
      <c r="S136" s="34"/>
      <c r="T136" s="34"/>
      <c r="U136" s="34"/>
      <c r="V136" s="34"/>
      <c r="W136" s="34"/>
      <c r="X136" s="34"/>
      <c r="Y136" s="34"/>
      <c r="Z136" s="34"/>
    </row>
    <row r="137" spans="1:26" ht="24.75" customHeight="1" x14ac:dyDescent="0.2">
      <c r="A137" s="203" t="s">
        <v>371</v>
      </c>
      <c r="B137" s="72" t="s">
        <v>372</v>
      </c>
      <c r="C137" s="185">
        <f>SUMPRODUCT(-('Diário 5º PA'!$E$5:$E$2634='Analítico Cp.'!$B137),-('Diário 5º PA'!$Q$5:$Q$2634=C$1),('Diário 5º PA'!$F$5:$F$2634))
+SUMPRODUCT(-('Diário 6º PA'!$E$5:$E$2246='Analítico Cp.'!$B137),-('Diário 6º PA'!$Q$5:$Q$2246=C$1),('Diário 6º PA'!$F$5:$F$2246))
+SUMPRODUCT(-('Diário 7º PA'!$E$5:$E$2271='Analítico Cp.'!$B137),-('Diário 7º PA'!$Q$5:$Q$2271=C$1),('Diário 7º PA'!$F$5:$F$2271))
+SUMPRODUCT(-('Diário 8º PA'!$E$5:$E$2488='Analítico Cp.'!$B137),-('Diário 8º PA'!$Q$5:$Q$2488=C$1),('Diário 8º PA'!$F$5:$F$2488))
+SUMPRODUCT(-('Comp.'!$D$5:$D$313='Analítico Cp.'!$B137),-('Comp.'!$R$5:$R$313=C$1),('Comp.'!$E$5:$E$313))</f>
        <v>0</v>
      </c>
      <c r="D137" s="185">
        <f>SUMPRODUCT(-('Diário 5º PA'!$E$5:$E$2634='Analítico Cp.'!$B137),-('Diário 5º PA'!$Q$5:$Q$2634=D$1),('Diário 5º PA'!$F$5:$F$2634))
+SUMPRODUCT(-('Diário 6º PA'!$E$5:$E$2246='Analítico Cp.'!$B137),-('Diário 6º PA'!$Q$5:$Q$2246=D$1),('Diário 6º PA'!$F$5:$F$2246))
+SUMPRODUCT(-('Diário 7º PA'!$E$5:$E$2271='Analítico Cp.'!$B137),-('Diário 7º PA'!$Q$5:$Q$2271=D$1),('Diário 7º PA'!$F$5:$F$2271))
+SUMPRODUCT(-('Diário 8º PA'!$E$5:$E$2488='Analítico Cp.'!$B137),-('Diário 8º PA'!$Q$5:$Q$2488=D$1),('Diário 8º PA'!$F$5:$F$2488))
+SUMPRODUCT(-('Comp.'!$D$5:$D$313='Analítico Cp.'!$B137),-('Comp.'!$R$5:$R$313=D$1),('Comp.'!$E$5:$E$313))</f>
        <v>2500</v>
      </c>
      <c r="E137" s="185">
        <f>SUMPRODUCT(-('Diário 5º PA'!$E$5:$E$2634='Analítico Cp.'!$B137),-('Diário 5º PA'!$Q$5:$Q$2634=E$1),('Diário 5º PA'!$F$5:$F$2634))
+SUMPRODUCT(-('Diário 6º PA'!$E$5:$E$2246='Analítico Cp.'!$B137),-('Diário 6º PA'!$Q$5:$Q$2246=E$1),('Diário 6º PA'!$F$5:$F$2246))
+SUMPRODUCT(-('Diário 7º PA'!$E$5:$E$2271='Analítico Cp.'!$B137),-('Diário 7º PA'!$Q$5:$Q$2271=E$1),('Diário 7º PA'!$F$5:$F$2271))
+SUMPRODUCT(-('Diário 8º PA'!$E$5:$E$2488='Analítico Cp.'!$B137),-('Diário 8º PA'!$Q$5:$Q$2488=E$1),('Diário 8º PA'!$F$5:$F$2488))
+SUMPRODUCT(-('Comp.'!$D$5:$D$313='Analítico Cp.'!$B137),-('Comp.'!$R$5:$R$313=E$1),('Comp.'!$E$5:$E$313))</f>
        <v>2500</v>
      </c>
      <c r="F137" s="185">
        <f>SUMPRODUCT(-('Diário 5º PA'!$E$5:$E$2634='Analítico Cp.'!$B137),-('Diário 5º PA'!$Q$5:$Q$2634=F$1),('Diário 5º PA'!$F$5:$F$2634))
+SUMPRODUCT(-('Diário 6º PA'!$E$5:$E$2246='Analítico Cp.'!$B137),-('Diário 6º PA'!$Q$5:$Q$2246=F$1),('Diário 6º PA'!$F$5:$F$2246))
+SUMPRODUCT(-('Diário 7º PA'!$E$5:$E$2271='Analítico Cp.'!$B137),-('Diário 7º PA'!$Q$5:$Q$2271=F$1),('Diário 7º PA'!$F$5:$F$2271))
+SUMPRODUCT(-('Diário 8º PA'!$E$5:$E$2488='Analítico Cp.'!$B137),-('Diário 8º PA'!$Q$5:$Q$2488=F$1),('Diário 8º PA'!$F$5:$F$2488))
+SUMPRODUCT(-('Comp.'!$D$5:$D$313='Analítico Cp.'!$B137),-('Comp.'!$R$5:$R$313=F$1),('Comp.'!$E$5:$E$313))</f>
        <v>2500</v>
      </c>
      <c r="G137" s="185">
        <f>SUMPRODUCT(-('Diário 5º PA'!$E$5:$E$2634='Analítico Cp.'!$B137),-('Diário 5º PA'!$Q$5:$Q$2634=G$1),('Diário 5º PA'!$F$5:$F$2634))
+SUMPRODUCT(-('Diário 6º PA'!$E$5:$E$2246='Analítico Cp.'!$B137),-('Diário 6º PA'!$Q$5:$Q$2246=G$1),('Diário 6º PA'!$F$5:$F$2246))
+SUMPRODUCT(-('Diário 7º PA'!$E$5:$E$2271='Analítico Cp.'!$B137),-('Diário 7º PA'!$Q$5:$Q$2271=G$1),('Diário 7º PA'!$F$5:$F$2271))
+SUMPRODUCT(-('Diário 8º PA'!$E$5:$E$2488='Analítico Cp.'!$B137),-('Diário 8º PA'!$Q$5:$Q$2488=G$1),('Diário 8º PA'!$F$5:$F$2488))
+SUMPRODUCT(-('Comp.'!$D$5:$D$313='Analítico Cp.'!$B137),-('Comp.'!$R$5:$R$313=G$1),('Comp.'!$E$5:$E$313))</f>
        <v>2500</v>
      </c>
      <c r="H137" s="185">
        <f>SUMPRODUCT(-('Diário 5º PA'!$E$5:$E$2634='Analítico Cp.'!$B137),-('Diário 5º PA'!$Q$5:$Q$2634=H$1),('Diário 5º PA'!$F$5:$F$2634))
+SUMPRODUCT(-('Diário 6º PA'!$E$5:$E$2246='Analítico Cp.'!$B137),-('Diário 6º PA'!$Q$5:$Q$2246=H$1),('Diário 6º PA'!$F$5:$F$2246))
+SUMPRODUCT(-('Diário 7º PA'!$E$5:$E$2271='Analítico Cp.'!$B137),-('Diário 7º PA'!$Q$5:$Q$2271=H$1),('Diário 7º PA'!$F$5:$F$2271))
+SUMPRODUCT(-('Diário 8º PA'!$E$5:$E$2488='Analítico Cp.'!$B137),-('Diário 8º PA'!$Q$5:$Q$2488=H$1),('Diário 8º PA'!$F$5:$F$2488))
+SUMPRODUCT(-('Comp.'!$D$5:$D$313='Analítico Cp.'!$B137),-('Comp.'!$R$5:$R$313=H$1),('Comp.'!$E$5:$E$313))</f>
        <v>2500</v>
      </c>
      <c r="I137" s="185">
        <f>SUMPRODUCT(-('Diário 5º PA'!$E$5:$E$2634='Analítico Cp.'!$B137),-('Diário 5º PA'!$Q$5:$Q$2634=I$1),('Diário 5º PA'!$F$5:$F$2634))
+SUMPRODUCT(-('Diário 6º PA'!$E$5:$E$2246='Analítico Cp.'!$B137),-('Diário 6º PA'!$Q$5:$Q$2246=I$1),('Diário 6º PA'!$F$5:$F$2246))
+SUMPRODUCT(-('Diário 7º PA'!$E$5:$E$2271='Analítico Cp.'!$B137),-('Diário 7º PA'!$Q$5:$Q$2271=I$1),('Diário 7º PA'!$F$5:$F$2271))
+SUMPRODUCT(-('Diário 8º PA'!$E$5:$E$2488='Analítico Cp.'!$B137),-('Diário 8º PA'!$Q$5:$Q$2488=I$1),('Diário 8º PA'!$F$5:$F$2488))
+SUMPRODUCT(-('Comp.'!$D$5:$D$313='Analítico Cp.'!$B137),-('Comp.'!$R$5:$R$313=I$1),('Comp.'!$E$5:$E$313))</f>
        <v>2500</v>
      </c>
      <c r="J137" s="185">
        <f>SUMPRODUCT(-('Diário 5º PA'!$E$5:$E$2634='Analítico Cp.'!$B137),-('Diário 5º PA'!$Q$5:$Q$2634=J$1),('Diário 5º PA'!$F$5:$F$2634))
+SUMPRODUCT(-('Diário 6º PA'!$E$5:$E$2246='Analítico Cp.'!$B137),-('Diário 6º PA'!$Q$5:$Q$2246=J$1),('Diário 6º PA'!$F$5:$F$2246))
+SUMPRODUCT(-('Diário 7º PA'!$E$5:$E$2271='Analítico Cp.'!$B137),-('Diário 7º PA'!$Q$5:$Q$2271=J$1),('Diário 7º PA'!$F$5:$F$2271))
+SUMPRODUCT(-('Diário 8º PA'!$E$5:$E$2488='Analítico Cp.'!$B137),-('Diário 8º PA'!$Q$5:$Q$2488=J$1),('Diário 8º PA'!$F$5:$F$2488))
+SUMPRODUCT(-('Comp.'!$D$5:$D$313='Analítico Cp.'!$B137),-('Comp.'!$R$5:$R$313=J$1),('Comp.'!$E$5:$E$313))</f>
        <v>2500</v>
      </c>
      <c r="K137" s="185">
        <f>SUMPRODUCT(-('Diário 5º PA'!$E$5:$E$2634='Analítico Cp.'!$B137),-('Diário 5º PA'!$Q$5:$Q$2634=K$1),('Diário 5º PA'!$F$5:$F$2634))
+SUMPRODUCT(-('Diário 6º PA'!$E$5:$E$2246='Analítico Cp.'!$B137),-('Diário 6º PA'!$Q$5:$Q$2246=K$1),('Diário 6º PA'!$F$5:$F$2246))
+SUMPRODUCT(-('Diário 7º PA'!$E$5:$E$2271='Analítico Cp.'!$B137),-('Diário 7º PA'!$Q$5:$Q$2271=K$1),('Diário 7º PA'!$F$5:$F$2271))
+SUMPRODUCT(-('Diário 8º PA'!$E$5:$E$2488='Analítico Cp.'!$B137),-('Diário 8º PA'!$Q$5:$Q$2488=K$1),('Diário 8º PA'!$F$5:$F$2488))
+SUMPRODUCT(-('Comp.'!$D$5:$D$313='Analítico Cp.'!$B137),-('Comp.'!$R$5:$R$313=K$1),('Comp.'!$E$5:$E$313))</f>
        <v>2500</v>
      </c>
      <c r="L137" s="185">
        <f>SUMPRODUCT(-('Diário 5º PA'!$E$5:$E$2634='Analítico Cp.'!$B137),-('Diário 5º PA'!$Q$5:$Q$2634=L$1),('Diário 5º PA'!$F$5:$F$2634))
+SUMPRODUCT(-('Diário 6º PA'!$E$5:$E$2246='Analítico Cp.'!$B137),-('Diário 6º PA'!$Q$5:$Q$2246=L$1),('Diário 6º PA'!$F$5:$F$2246))
+SUMPRODUCT(-('Diário 7º PA'!$E$5:$E$2271='Analítico Cp.'!$B137),-('Diário 7º PA'!$Q$5:$Q$2271=L$1),('Diário 7º PA'!$F$5:$F$2271))
+SUMPRODUCT(-('Diário 8º PA'!$E$5:$E$2488='Analítico Cp.'!$B137),-('Diário 8º PA'!$Q$5:$Q$2488=L$1),('Diário 8º PA'!$F$5:$F$2488))
+SUMPRODUCT(-('Comp.'!$D$5:$D$313='Analítico Cp.'!$B137),-('Comp.'!$R$5:$R$313=L$1),('Comp.'!$E$5:$E$313))</f>
        <v>2500</v>
      </c>
      <c r="M137" s="185">
        <f>SUMPRODUCT(-('Diário 5º PA'!$E$5:$E$2634='Analítico Cp.'!$B137),-('Diário 5º PA'!$Q$5:$Q$2634=M$1),('Diário 5º PA'!$F$5:$F$2634))
+SUMPRODUCT(-('Diário 6º PA'!$E$5:$E$2246='Analítico Cp.'!$B137),-('Diário 6º PA'!$Q$5:$Q$2246=M$1),('Diário 6º PA'!$F$5:$F$2246))
+SUMPRODUCT(-('Diário 7º PA'!$E$5:$E$2271='Analítico Cp.'!$B137),-('Diário 7º PA'!$Q$5:$Q$2271=M$1),('Diário 7º PA'!$F$5:$F$2271))
+SUMPRODUCT(-('Diário 8º PA'!$E$5:$E$2488='Analítico Cp.'!$B137),-('Diário 8º PA'!$Q$5:$Q$2488=M$1),('Diário 8º PA'!$F$5:$F$2488))
+SUMPRODUCT(-('Comp.'!$D$5:$D$313='Analítico Cp.'!$B137),-('Comp.'!$R$5:$R$313=M$1),('Comp.'!$E$5:$E$313))</f>
        <v>14500</v>
      </c>
      <c r="N137" s="185">
        <f>SUMPRODUCT(-('Diário 5º PA'!$E$5:$E$2634='Analítico Cp.'!$B137),-('Diário 5º PA'!$Q$5:$Q$2634=N$1),('Diário 5º PA'!$F$5:$F$2634))
+SUMPRODUCT(-('Diário 6º PA'!$E$5:$E$2246='Analítico Cp.'!$B137),-('Diário 6º PA'!$Q$5:$Q$2246=N$1),('Diário 6º PA'!$F$5:$F$2246))
+SUMPRODUCT(-('Diário 7º PA'!$E$5:$E$2271='Analítico Cp.'!$B137),-('Diário 7º PA'!$Q$5:$Q$2271=N$1),('Diário 7º PA'!$F$5:$F$2271))
+SUMPRODUCT(-('Diário 8º PA'!$E$5:$E$2488='Analítico Cp.'!$B137),-('Diário 8º PA'!$Q$5:$Q$2488=N$1),('Diário 8º PA'!$F$5:$F$2488))
+SUMPRODUCT(-('Comp.'!$D$5:$D$313='Analítico Cp.'!$B137),-('Comp.'!$R$5:$R$313=N$1),('Comp.'!$E$5:$E$313))</f>
        <v>5000</v>
      </c>
      <c r="O137" s="186">
        <f t="shared" si="16"/>
        <v>42000</v>
      </c>
      <c r="P137" s="187">
        <f t="shared" si="17"/>
        <v>4.3321386163036584E-3</v>
      </c>
      <c r="Q137" s="34"/>
      <c r="R137" s="34"/>
      <c r="S137" s="34"/>
      <c r="T137" s="34"/>
      <c r="U137" s="34"/>
      <c r="V137" s="34"/>
      <c r="W137" s="34"/>
      <c r="X137" s="34"/>
      <c r="Y137" s="34"/>
      <c r="Z137" s="34"/>
    </row>
    <row r="138" spans="1:26" ht="31.5" customHeight="1" x14ac:dyDescent="0.2">
      <c r="A138" s="203" t="s">
        <v>373</v>
      </c>
      <c r="B138" s="72" t="s">
        <v>374</v>
      </c>
      <c r="C138" s="185">
        <f>SUMPRODUCT(-('Diário 5º PA'!$E$5:$E$2634='Analítico Cp.'!$B138),-('Diário 5º PA'!$Q$5:$Q$2634=C$1),('Diário 5º PA'!$F$5:$F$2634))
+SUMPRODUCT(-('Diário 6º PA'!$E$5:$E$2246='Analítico Cp.'!$B138),-('Diário 6º PA'!$Q$5:$Q$2246=C$1),('Diário 6º PA'!$F$5:$F$2246))
+SUMPRODUCT(-('Diário 7º PA'!$E$5:$E$2271='Analítico Cp.'!$B138),-('Diário 7º PA'!$Q$5:$Q$2271=C$1),('Diário 7º PA'!$F$5:$F$2271))
+SUMPRODUCT(-('Diário 8º PA'!$E$5:$E$2488='Analítico Cp.'!$B138),-('Diário 8º PA'!$Q$5:$Q$2488=C$1),('Diário 8º PA'!$F$5:$F$2488))
+SUMPRODUCT(-('Comp.'!$D$5:$D$313='Analítico Cp.'!$B138),-('Comp.'!$R$5:$R$313=C$1),('Comp.'!$E$5:$E$313))</f>
        <v>0</v>
      </c>
      <c r="D138" s="185">
        <f>SUMPRODUCT(-('Diário 5º PA'!$E$5:$E$2634='Analítico Cp.'!$B138),-('Diário 5º PA'!$Q$5:$Q$2634=D$1),('Diário 5º PA'!$F$5:$F$2634))
+SUMPRODUCT(-('Diário 6º PA'!$E$5:$E$2246='Analítico Cp.'!$B138),-('Diário 6º PA'!$Q$5:$Q$2246=D$1),('Diário 6º PA'!$F$5:$F$2246))
+SUMPRODUCT(-('Diário 7º PA'!$E$5:$E$2271='Analítico Cp.'!$B138),-('Diário 7º PA'!$Q$5:$Q$2271=D$1),('Diário 7º PA'!$F$5:$F$2271))
+SUMPRODUCT(-('Diário 8º PA'!$E$5:$E$2488='Analítico Cp.'!$B138),-('Diário 8º PA'!$Q$5:$Q$2488=D$1),('Diário 8º PA'!$F$5:$F$2488))
+SUMPRODUCT(-('Comp.'!$D$5:$D$313='Analítico Cp.'!$B138),-('Comp.'!$R$5:$R$313=D$1),('Comp.'!$E$5:$E$313))</f>
        <v>1000</v>
      </c>
      <c r="E138" s="185">
        <f>SUMPRODUCT(-('Diário 5º PA'!$E$5:$E$2634='Analítico Cp.'!$B138),-('Diário 5º PA'!$Q$5:$Q$2634=E$1),('Diário 5º PA'!$F$5:$F$2634))
+SUMPRODUCT(-('Diário 6º PA'!$E$5:$E$2246='Analítico Cp.'!$B138),-('Diário 6º PA'!$Q$5:$Q$2246=E$1),('Diário 6º PA'!$F$5:$F$2246))
+SUMPRODUCT(-('Diário 7º PA'!$E$5:$E$2271='Analítico Cp.'!$B138),-('Diário 7º PA'!$Q$5:$Q$2271=E$1),('Diário 7º PA'!$F$5:$F$2271))
+SUMPRODUCT(-('Diário 8º PA'!$E$5:$E$2488='Analítico Cp.'!$B138),-('Diário 8º PA'!$Q$5:$Q$2488=E$1),('Diário 8º PA'!$F$5:$F$2488))
+SUMPRODUCT(-('Comp.'!$D$5:$D$313='Analítico Cp.'!$B138),-('Comp.'!$R$5:$R$313=E$1),('Comp.'!$E$5:$E$313))</f>
        <v>0</v>
      </c>
      <c r="F138" s="185">
        <f>SUMPRODUCT(-('Diário 5º PA'!$E$5:$E$2634='Analítico Cp.'!$B138),-('Diário 5º PA'!$Q$5:$Q$2634=F$1),('Diário 5º PA'!$F$5:$F$2634))
+SUMPRODUCT(-('Diário 6º PA'!$E$5:$E$2246='Analítico Cp.'!$B138),-('Diário 6º PA'!$Q$5:$Q$2246=F$1),('Diário 6º PA'!$F$5:$F$2246))
+SUMPRODUCT(-('Diário 7º PA'!$E$5:$E$2271='Analítico Cp.'!$B138),-('Diário 7º PA'!$Q$5:$Q$2271=F$1),('Diário 7º PA'!$F$5:$F$2271))
+SUMPRODUCT(-('Diário 8º PA'!$E$5:$E$2488='Analítico Cp.'!$B138),-('Diário 8º PA'!$Q$5:$Q$2488=F$1),('Diário 8º PA'!$F$5:$F$2488))
+SUMPRODUCT(-('Comp.'!$D$5:$D$313='Analítico Cp.'!$B138),-('Comp.'!$R$5:$R$313=F$1),('Comp.'!$E$5:$E$313))</f>
        <v>600</v>
      </c>
      <c r="G138" s="185">
        <f>SUMPRODUCT(-('Diário 5º PA'!$E$5:$E$2634='Analítico Cp.'!$B138),-('Diário 5º PA'!$Q$5:$Q$2634=G$1),('Diário 5º PA'!$F$5:$F$2634))
+SUMPRODUCT(-('Diário 6º PA'!$E$5:$E$2246='Analítico Cp.'!$B138),-('Diário 6º PA'!$Q$5:$Q$2246=G$1),('Diário 6º PA'!$F$5:$F$2246))
+SUMPRODUCT(-('Diário 7º PA'!$E$5:$E$2271='Analítico Cp.'!$B138),-('Diário 7º PA'!$Q$5:$Q$2271=G$1),('Diário 7º PA'!$F$5:$F$2271))
+SUMPRODUCT(-('Diário 8º PA'!$E$5:$E$2488='Analítico Cp.'!$B138),-('Diário 8º PA'!$Q$5:$Q$2488=G$1),('Diário 8º PA'!$F$5:$F$2488))
+SUMPRODUCT(-('Comp.'!$D$5:$D$313='Analítico Cp.'!$B138),-('Comp.'!$R$5:$R$313=G$1),('Comp.'!$E$5:$E$313))</f>
        <v>0</v>
      </c>
      <c r="H138" s="185">
        <f>SUMPRODUCT(-('Diário 5º PA'!$E$5:$E$2634='Analítico Cp.'!$B138),-('Diário 5º PA'!$Q$5:$Q$2634=H$1),('Diário 5º PA'!$F$5:$F$2634))
+SUMPRODUCT(-('Diário 6º PA'!$E$5:$E$2246='Analítico Cp.'!$B138),-('Diário 6º PA'!$Q$5:$Q$2246=H$1),('Diário 6º PA'!$F$5:$F$2246))
+SUMPRODUCT(-('Diário 7º PA'!$E$5:$E$2271='Analítico Cp.'!$B138),-('Diário 7º PA'!$Q$5:$Q$2271=H$1),('Diário 7º PA'!$F$5:$F$2271))
+SUMPRODUCT(-('Diário 8º PA'!$E$5:$E$2488='Analítico Cp.'!$B138),-('Diário 8º PA'!$Q$5:$Q$2488=H$1),('Diário 8º PA'!$F$5:$F$2488))
+SUMPRODUCT(-('Comp.'!$D$5:$D$313='Analítico Cp.'!$B138),-('Comp.'!$R$5:$R$313=H$1),('Comp.'!$E$5:$E$313))</f>
        <v>0</v>
      </c>
      <c r="I138" s="185">
        <f>SUMPRODUCT(-('Diário 5º PA'!$E$5:$E$2634='Analítico Cp.'!$B138),-('Diário 5º PA'!$Q$5:$Q$2634=I$1),('Diário 5º PA'!$F$5:$F$2634))
+SUMPRODUCT(-('Diário 6º PA'!$E$5:$E$2246='Analítico Cp.'!$B138),-('Diário 6º PA'!$Q$5:$Q$2246=I$1),('Diário 6º PA'!$F$5:$F$2246))
+SUMPRODUCT(-('Diário 7º PA'!$E$5:$E$2271='Analítico Cp.'!$B138),-('Diário 7º PA'!$Q$5:$Q$2271=I$1),('Diário 7º PA'!$F$5:$F$2271))
+SUMPRODUCT(-('Diário 8º PA'!$E$5:$E$2488='Analítico Cp.'!$B138),-('Diário 8º PA'!$Q$5:$Q$2488=I$1),('Diário 8º PA'!$F$5:$F$2488))
+SUMPRODUCT(-('Comp.'!$D$5:$D$313='Analítico Cp.'!$B138),-('Comp.'!$R$5:$R$313=I$1),('Comp.'!$E$5:$E$313))</f>
        <v>0</v>
      </c>
      <c r="J138" s="185">
        <f>SUMPRODUCT(-('Diário 5º PA'!$E$5:$E$2634='Analítico Cp.'!$B138),-('Diário 5º PA'!$Q$5:$Q$2634=J$1),('Diário 5º PA'!$F$5:$F$2634))
+SUMPRODUCT(-('Diário 6º PA'!$E$5:$E$2246='Analítico Cp.'!$B138),-('Diário 6º PA'!$Q$5:$Q$2246=J$1),('Diário 6º PA'!$F$5:$F$2246))
+SUMPRODUCT(-('Diário 7º PA'!$E$5:$E$2271='Analítico Cp.'!$B138),-('Diário 7º PA'!$Q$5:$Q$2271=J$1),('Diário 7º PA'!$F$5:$F$2271))
+SUMPRODUCT(-('Diário 8º PA'!$E$5:$E$2488='Analítico Cp.'!$B138),-('Diário 8º PA'!$Q$5:$Q$2488=J$1),('Diário 8º PA'!$F$5:$F$2488))
+SUMPRODUCT(-('Comp.'!$D$5:$D$313='Analítico Cp.'!$B138),-('Comp.'!$R$5:$R$313=J$1),('Comp.'!$E$5:$E$313))</f>
        <v>0</v>
      </c>
      <c r="K138" s="185">
        <f>SUMPRODUCT(-('Diário 5º PA'!$E$5:$E$2634='Analítico Cp.'!$B138),-('Diário 5º PA'!$Q$5:$Q$2634=K$1),('Diário 5º PA'!$F$5:$F$2634))
+SUMPRODUCT(-('Diário 6º PA'!$E$5:$E$2246='Analítico Cp.'!$B138),-('Diário 6º PA'!$Q$5:$Q$2246=K$1),('Diário 6º PA'!$F$5:$F$2246))
+SUMPRODUCT(-('Diário 7º PA'!$E$5:$E$2271='Analítico Cp.'!$B138),-('Diário 7º PA'!$Q$5:$Q$2271=K$1),('Diário 7º PA'!$F$5:$F$2271))
+SUMPRODUCT(-('Diário 8º PA'!$E$5:$E$2488='Analítico Cp.'!$B138),-('Diário 8º PA'!$Q$5:$Q$2488=K$1),('Diário 8º PA'!$F$5:$F$2488))
+SUMPRODUCT(-('Comp.'!$D$5:$D$313='Analítico Cp.'!$B138),-('Comp.'!$R$5:$R$313=K$1),('Comp.'!$E$5:$E$313))</f>
        <v>0</v>
      </c>
      <c r="L138" s="185">
        <f>SUMPRODUCT(-('Diário 5º PA'!$E$5:$E$2634='Analítico Cp.'!$B138),-('Diário 5º PA'!$Q$5:$Q$2634=L$1),('Diário 5º PA'!$F$5:$F$2634))
+SUMPRODUCT(-('Diário 6º PA'!$E$5:$E$2246='Analítico Cp.'!$B138),-('Diário 6º PA'!$Q$5:$Q$2246=L$1),('Diário 6º PA'!$F$5:$F$2246))
+SUMPRODUCT(-('Diário 7º PA'!$E$5:$E$2271='Analítico Cp.'!$B138),-('Diário 7º PA'!$Q$5:$Q$2271=L$1),('Diário 7º PA'!$F$5:$F$2271))
+SUMPRODUCT(-('Diário 8º PA'!$E$5:$E$2488='Analítico Cp.'!$B138),-('Diário 8º PA'!$Q$5:$Q$2488=L$1),('Diário 8º PA'!$F$5:$F$2488))
+SUMPRODUCT(-('Comp.'!$D$5:$D$313='Analítico Cp.'!$B138),-('Comp.'!$R$5:$R$313=L$1),('Comp.'!$E$5:$E$313))</f>
        <v>1200</v>
      </c>
      <c r="M138" s="185">
        <f>SUMPRODUCT(-('Diário 5º PA'!$E$5:$E$2634='Analítico Cp.'!$B138),-('Diário 5º PA'!$Q$5:$Q$2634=M$1),('Diário 5º PA'!$F$5:$F$2634))
+SUMPRODUCT(-('Diário 6º PA'!$E$5:$E$2246='Analítico Cp.'!$B138),-('Diário 6º PA'!$Q$5:$Q$2246=M$1),('Diário 6º PA'!$F$5:$F$2246))
+SUMPRODUCT(-('Diário 7º PA'!$E$5:$E$2271='Analítico Cp.'!$B138),-('Diário 7º PA'!$Q$5:$Q$2271=M$1),('Diário 7º PA'!$F$5:$F$2271))
+SUMPRODUCT(-('Diário 8º PA'!$E$5:$E$2488='Analítico Cp.'!$B138),-('Diário 8º PA'!$Q$5:$Q$2488=M$1),('Diário 8º PA'!$F$5:$F$2488))
+SUMPRODUCT(-('Comp.'!$D$5:$D$313='Analítico Cp.'!$B138),-('Comp.'!$R$5:$R$313=M$1),('Comp.'!$E$5:$E$313))</f>
        <v>490</v>
      </c>
      <c r="N138" s="185">
        <f>SUMPRODUCT(-('Diário 5º PA'!$E$5:$E$2634='Analítico Cp.'!$B138),-('Diário 5º PA'!$Q$5:$Q$2634=N$1),('Diário 5º PA'!$F$5:$F$2634))
+SUMPRODUCT(-('Diário 6º PA'!$E$5:$E$2246='Analítico Cp.'!$B138),-('Diário 6º PA'!$Q$5:$Q$2246=N$1),('Diário 6º PA'!$F$5:$F$2246))
+SUMPRODUCT(-('Diário 7º PA'!$E$5:$E$2271='Analítico Cp.'!$B138),-('Diário 7º PA'!$Q$5:$Q$2271=N$1),('Diário 7º PA'!$F$5:$F$2271))
+SUMPRODUCT(-('Diário 8º PA'!$E$5:$E$2488='Analítico Cp.'!$B138),-('Diário 8º PA'!$Q$5:$Q$2488=N$1),('Diário 8º PA'!$F$5:$F$2488))
+SUMPRODUCT(-('Comp.'!$D$5:$D$313='Analítico Cp.'!$B138),-('Comp.'!$R$5:$R$313=N$1),('Comp.'!$E$5:$E$313))</f>
        <v>0</v>
      </c>
      <c r="O138" s="186">
        <f t="shared" si="16"/>
        <v>3290</v>
      </c>
      <c r="P138" s="187">
        <f t="shared" si="17"/>
        <v>3.3935085827711993E-4</v>
      </c>
      <c r="Q138" s="34"/>
      <c r="R138" s="34"/>
      <c r="S138" s="34"/>
      <c r="T138" s="34"/>
      <c r="U138" s="34"/>
      <c r="V138" s="34"/>
      <c r="W138" s="34"/>
      <c r="X138" s="34"/>
      <c r="Y138" s="34"/>
      <c r="Z138" s="34"/>
    </row>
    <row r="139" spans="1:26" ht="42" customHeight="1" x14ac:dyDescent="0.2">
      <c r="A139" s="203" t="s">
        <v>375</v>
      </c>
      <c r="B139" s="72" t="s">
        <v>376</v>
      </c>
      <c r="C139" s="185">
        <f>SUMPRODUCT(-('Diário 5º PA'!$E$5:$E$2634='Analítico Cp.'!$B139),-('Diário 5º PA'!$Q$5:$Q$2634=C$1),('Diário 5º PA'!$F$5:$F$2634))
+SUMPRODUCT(-('Diário 6º PA'!$E$5:$E$2246='Analítico Cp.'!$B139),-('Diário 6º PA'!$Q$5:$Q$2246=C$1),('Diário 6º PA'!$F$5:$F$2246))
+SUMPRODUCT(-('Diário 7º PA'!$E$5:$E$2271='Analítico Cp.'!$B139),-('Diário 7º PA'!$Q$5:$Q$2271=C$1),('Diário 7º PA'!$F$5:$F$2271))
+SUMPRODUCT(-('Diário 8º PA'!$E$5:$E$2488='Analítico Cp.'!$B139),-('Diário 8º PA'!$Q$5:$Q$2488=C$1),('Diário 8º PA'!$F$5:$F$2488))
+SUMPRODUCT(-('Comp.'!$D$5:$D$313='Analítico Cp.'!$B139),-('Comp.'!$R$5:$R$313=C$1),('Comp.'!$E$5:$E$313))</f>
        <v>0</v>
      </c>
      <c r="D139" s="185">
        <f>SUMPRODUCT(-('Diário 5º PA'!$E$5:$E$2634='Analítico Cp.'!$B139),-('Diário 5º PA'!$Q$5:$Q$2634=D$1),('Diário 5º PA'!$F$5:$F$2634))
+SUMPRODUCT(-('Diário 6º PA'!$E$5:$E$2246='Analítico Cp.'!$B139),-('Diário 6º PA'!$Q$5:$Q$2246=D$1),('Diário 6º PA'!$F$5:$F$2246))
+SUMPRODUCT(-('Diário 7º PA'!$E$5:$E$2271='Analítico Cp.'!$B139),-('Diário 7º PA'!$Q$5:$Q$2271=D$1),('Diário 7º PA'!$F$5:$F$2271))
+SUMPRODUCT(-('Diário 8º PA'!$E$5:$E$2488='Analítico Cp.'!$B139),-('Diário 8º PA'!$Q$5:$Q$2488=D$1),('Diário 8º PA'!$F$5:$F$2488))
+SUMPRODUCT(-('Comp.'!$D$5:$D$313='Analítico Cp.'!$B139),-('Comp.'!$R$5:$R$313=D$1),('Comp.'!$E$5:$E$313))</f>
        <v>2000</v>
      </c>
      <c r="E139" s="185">
        <f>SUMPRODUCT(-('Diário 5º PA'!$E$5:$E$2634='Analítico Cp.'!$B139),-('Diário 5º PA'!$Q$5:$Q$2634=E$1),('Diário 5º PA'!$F$5:$F$2634))
+SUMPRODUCT(-('Diário 6º PA'!$E$5:$E$2246='Analítico Cp.'!$B139),-('Diário 6º PA'!$Q$5:$Q$2246=E$1),('Diário 6º PA'!$F$5:$F$2246))
+SUMPRODUCT(-('Diário 7º PA'!$E$5:$E$2271='Analítico Cp.'!$B139),-('Diário 7º PA'!$Q$5:$Q$2271=E$1),('Diário 7º PA'!$F$5:$F$2271))
+SUMPRODUCT(-('Diário 8º PA'!$E$5:$E$2488='Analítico Cp.'!$B139),-('Diário 8º PA'!$Q$5:$Q$2488=E$1),('Diário 8º PA'!$F$5:$F$2488))
+SUMPRODUCT(-('Comp.'!$D$5:$D$313='Analítico Cp.'!$B139),-('Comp.'!$R$5:$R$313=E$1),('Comp.'!$E$5:$E$313))</f>
        <v>2000</v>
      </c>
      <c r="F139" s="185">
        <f>SUMPRODUCT(-('Diário 5º PA'!$E$5:$E$2634='Analítico Cp.'!$B139),-('Diário 5º PA'!$Q$5:$Q$2634=F$1),('Diário 5º PA'!$F$5:$F$2634))
+SUMPRODUCT(-('Diário 6º PA'!$E$5:$E$2246='Analítico Cp.'!$B139),-('Diário 6º PA'!$Q$5:$Q$2246=F$1),('Diário 6º PA'!$F$5:$F$2246))
+SUMPRODUCT(-('Diário 7º PA'!$E$5:$E$2271='Analítico Cp.'!$B139),-('Diário 7º PA'!$Q$5:$Q$2271=F$1),('Diário 7º PA'!$F$5:$F$2271))
+SUMPRODUCT(-('Diário 8º PA'!$E$5:$E$2488='Analítico Cp.'!$B139),-('Diário 8º PA'!$Q$5:$Q$2488=F$1),('Diário 8º PA'!$F$5:$F$2488))
+SUMPRODUCT(-('Comp.'!$D$5:$D$313='Analítico Cp.'!$B139),-('Comp.'!$R$5:$R$313=F$1),('Comp.'!$E$5:$E$313))</f>
        <v>2560</v>
      </c>
      <c r="G139" s="185">
        <f>SUMPRODUCT(-('Diário 5º PA'!$E$5:$E$2634='Analítico Cp.'!$B139),-('Diário 5º PA'!$Q$5:$Q$2634=G$1),('Diário 5º PA'!$F$5:$F$2634))
+SUMPRODUCT(-('Diário 6º PA'!$E$5:$E$2246='Analítico Cp.'!$B139),-('Diário 6º PA'!$Q$5:$Q$2246=G$1),('Diário 6º PA'!$F$5:$F$2246))
+SUMPRODUCT(-('Diário 7º PA'!$E$5:$E$2271='Analítico Cp.'!$B139),-('Diário 7º PA'!$Q$5:$Q$2271=G$1),('Diário 7º PA'!$F$5:$F$2271))
+SUMPRODUCT(-('Diário 8º PA'!$E$5:$E$2488='Analítico Cp.'!$B139),-('Diário 8º PA'!$Q$5:$Q$2488=G$1),('Diário 8º PA'!$F$5:$F$2488))
+SUMPRODUCT(-('Comp.'!$D$5:$D$313='Analítico Cp.'!$B139),-('Comp.'!$R$5:$R$313=G$1),('Comp.'!$E$5:$E$313))</f>
        <v>2000</v>
      </c>
      <c r="H139" s="185">
        <f>SUMPRODUCT(-('Diário 5º PA'!$E$5:$E$2634='Analítico Cp.'!$B139),-('Diário 5º PA'!$Q$5:$Q$2634=H$1),('Diário 5º PA'!$F$5:$F$2634))
+SUMPRODUCT(-('Diário 6º PA'!$E$5:$E$2246='Analítico Cp.'!$B139),-('Diário 6º PA'!$Q$5:$Q$2246=H$1),('Diário 6º PA'!$F$5:$F$2246))
+SUMPRODUCT(-('Diário 7º PA'!$E$5:$E$2271='Analítico Cp.'!$B139),-('Diário 7º PA'!$Q$5:$Q$2271=H$1),('Diário 7º PA'!$F$5:$F$2271))
+SUMPRODUCT(-('Diário 8º PA'!$E$5:$E$2488='Analítico Cp.'!$B139),-('Diário 8º PA'!$Q$5:$Q$2488=H$1),('Diário 8º PA'!$F$5:$F$2488))
+SUMPRODUCT(-('Comp.'!$D$5:$D$313='Analítico Cp.'!$B139),-('Comp.'!$R$5:$R$313=H$1),('Comp.'!$E$5:$E$313))</f>
        <v>2000</v>
      </c>
      <c r="I139" s="185">
        <f>SUMPRODUCT(-('Diário 5º PA'!$E$5:$E$2634='Analítico Cp.'!$B139),-('Diário 5º PA'!$Q$5:$Q$2634=I$1),('Diário 5º PA'!$F$5:$F$2634))
+SUMPRODUCT(-('Diário 6º PA'!$E$5:$E$2246='Analítico Cp.'!$B139),-('Diário 6º PA'!$Q$5:$Q$2246=I$1),('Diário 6º PA'!$F$5:$F$2246))
+SUMPRODUCT(-('Diário 7º PA'!$E$5:$E$2271='Analítico Cp.'!$B139),-('Diário 7º PA'!$Q$5:$Q$2271=I$1),('Diário 7º PA'!$F$5:$F$2271))
+SUMPRODUCT(-('Diário 8º PA'!$E$5:$E$2488='Analítico Cp.'!$B139),-('Diário 8º PA'!$Q$5:$Q$2488=I$1),('Diário 8º PA'!$F$5:$F$2488))
+SUMPRODUCT(-('Comp.'!$D$5:$D$313='Analítico Cp.'!$B139),-('Comp.'!$R$5:$R$313=I$1),('Comp.'!$E$5:$E$313))</f>
        <v>2000</v>
      </c>
      <c r="J139" s="185">
        <f>SUMPRODUCT(-('Diário 5º PA'!$E$5:$E$2634='Analítico Cp.'!$B139),-('Diário 5º PA'!$Q$5:$Q$2634=J$1),('Diário 5º PA'!$F$5:$F$2634))
+SUMPRODUCT(-('Diário 6º PA'!$E$5:$E$2246='Analítico Cp.'!$B139),-('Diário 6º PA'!$Q$5:$Q$2246=J$1),('Diário 6º PA'!$F$5:$F$2246))
+SUMPRODUCT(-('Diário 7º PA'!$E$5:$E$2271='Analítico Cp.'!$B139),-('Diário 7º PA'!$Q$5:$Q$2271=J$1),('Diário 7º PA'!$F$5:$F$2271))
+SUMPRODUCT(-('Diário 8º PA'!$E$5:$E$2488='Analítico Cp.'!$B139),-('Diário 8º PA'!$Q$5:$Q$2488=J$1),('Diário 8º PA'!$F$5:$F$2488))
+SUMPRODUCT(-('Comp.'!$D$5:$D$313='Analítico Cp.'!$B139),-('Comp.'!$R$5:$R$313=J$1),('Comp.'!$E$5:$E$313))</f>
        <v>4700</v>
      </c>
      <c r="K139" s="185">
        <f>SUMPRODUCT(-('Diário 5º PA'!$E$5:$E$2634='Analítico Cp.'!$B139),-('Diário 5º PA'!$Q$5:$Q$2634=K$1),('Diário 5º PA'!$F$5:$F$2634))
+SUMPRODUCT(-('Diário 6º PA'!$E$5:$E$2246='Analítico Cp.'!$B139),-('Diário 6º PA'!$Q$5:$Q$2246=K$1),('Diário 6º PA'!$F$5:$F$2246))
+SUMPRODUCT(-('Diário 7º PA'!$E$5:$E$2271='Analítico Cp.'!$B139),-('Diário 7º PA'!$Q$5:$Q$2271=K$1),('Diário 7º PA'!$F$5:$F$2271))
+SUMPRODUCT(-('Diário 8º PA'!$E$5:$E$2488='Analítico Cp.'!$B139),-('Diário 8º PA'!$Q$5:$Q$2488=K$1),('Diário 8º PA'!$F$5:$F$2488))
+SUMPRODUCT(-('Comp.'!$D$5:$D$313='Analítico Cp.'!$B139),-('Comp.'!$R$5:$R$313=K$1),('Comp.'!$E$5:$E$313))</f>
        <v>1280</v>
      </c>
      <c r="L139" s="185">
        <f>SUMPRODUCT(-('Diário 5º PA'!$E$5:$E$2634='Analítico Cp.'!$B139),-('Diário 5º PA'!$Q$5:$Q$2634=L$1),('Diário 5º PA'!$F$5:$F$2634))
+SUMPRODUCT(-('Diário 6º PA'!$E$5:$E$2246='Analítico Cp.'!$B139),-('Diário 6º PA'!$Q$5:$Q$2246=L$1),('Diário 6º PA'!$F$5:$F$2246))
+SUMPRODUCT(-('Diário 7º PA'!$E$5:$E$2271='Analítico Cp.'!$B139),-('Diário 7º PA'!$Q$5:$Q$2271=L$1),('Diário 7º PA'!$F$5:$F$2271))
+SUMPRODUCT(-('Diário 8º PA'!$E$5:$E$2488='Analítico Cp.'!$B139),-('Diário 8º PA'!$Q$5:$Q$2488=L$1),('Diário 8º PA'!$F$5:$F$2488))
+SUMPRODUCT(-('Comp.'!$D$5:$D$313='Analítico Cp.'!$B139),-('Comp.'!$R$5:$R$313=L$1),('Comp.'!$E$5:$E$313))</f>
        <v>2560</v>
      </c>
      <c r="M139" s="185">
        <f>SUMPRODUCT(-('Diário 5º PA'!$E$5:$E$2634='Analítico Cp.'!$B139),-('Diário 5º PA'!$Q$5:$Q$2634=M$1),('Diário 5º PA'!$F$5:$F$2634))
+SUMPRODUCT(-('Diário 6º PA'!$E$5:$E$2246='Analítico Cp.'!$B139),-('Diário 6º PA'!$Q$5:$Q$2246=M$1),('Diário 6º PA'!$F$5:$F$2246))
+SUMPRODUCT(-('Diário 7º PA'!$E$5:$E$2271='Analítico Cp.'!$B139),-('Diário 7º PA'!$Q$5:$Q$2271=M$1),('Diário 7º PA'!$F$5:$F$2271))
+SUMPRODUCT(-('Diário 8º PA'!$E$5:$E$2488='Analítico Cp.'!$B139),-('Diário 8º PA'!$Q$5:$Q$2488=M$1),('Diário 8º PA'!$F$5:$F$2488))
+SUMPRODUCT(-('Comp.'!$D$5:$D$313='Analítico Cp.'!$B139),-('Comp.'!$R$5:$R$313=M$1),('Comp.'!$E$5:$E$313))</f>
        <v>0</v>
      </c>
      <c r="N139" s="185">
        <f>SUMPRODUCT(-('Diário 5º PA'!$E$5:$E$2634='Analítico Cp.'!$B139),-('Diário 5º PA'!$Q$5:$Q$2634=N$1),('Diário 5º PA'!$F$5:$F$2634))
+SUMPRODUCT(-('Diário 6º PA'!$E$5:$E$2246='Analítico Cp.'!$B139),-('Diário 6º PA'!$Q$5:$Q$2246=N$1),('Diário 6º PA'!$F$5:$F$2246))
+SUMPRODUCT(-('Diário 7º PA'!$E$5:$E$2271='Analítico Cp.'!$B139),-('Diário 7º PA'!$Q$5:$Q$2271=N$1),('Diário 7º PA'!$F$5:$F$2271))
+SUMPRODUCT(-('Diário 8º PA'!$E$5:$E$2488='Analítico Cp.'!$B139),-('Diário 8º PA'!$Q$5:$Q$2488=N$1),('Diário 8º PA'!$F$5:$F$2488))
+SUMPRODUCT(-('Comp.'!$D$5:$D$313='Analítico Cp.'!$B139),-('Comp.'!$R$5:$R$313=N$1),('Comp.'!$E$5:$E$313))</f>
        <v>0</v>
      </c>
      <c r="O139" s="186">
        <f t="shared" si="16"/>
        <v>21100</v>
      </c>
      <c r="P139" s="187">
        <f t="shared" si="17"/>
        <v>2.1763839239049335E-3</v>
      </c>
      <c r="Q139" s="34"/>
      <c r="R139" s="34"/>
      <c r="S139" s="34"/>
      <c r="T139" s="34"/>
      <c r="U139" s="34"/>
      <c r="V139" s="34"/>
      <c r="W139" s="34"/>
      <c r="X139" s="34"/>
      <c r="Y139" s="34"/>
      <c r="Z139" s="34"/>
    </row>
    <row r="140" spans="1:26" ht="28.5" customHeight="1" x14ac:dyDescent="0.2">
      <c r="A140" s="203" t="s">
        <v>377</v>
      </c>
      <c r="B140" s="72" t="s">
        <v>378</v>
      </c>
      <c r="C140" s="185">
        <f>SUMPRODUCT(-('Diário 5º PA'!$E$5:$E$2634='Analítico Cp.'!$B140),-('Diário 5º PA'!$Q$5:$Q$2634=C$1),('Diário 5º PA'!$F$5:$F$2634))
+SUMPRODUCT(-('Diário 6º PA'!$E$5:$E$2246='Analítico Cp.'!$B140),-('Diário 6º PA'!$Q$5:$Q$2246=C$1),('Diário 6º PA'!$F$5:$F$2246))
+SUMPRODUCT(-('Diário 7º PA'!$E$5:$E$2271='Analítico Cp.'!$B140),-('Diário 7º PA'!$Q$5:$Q$2271=C$1),('Diário 7º PA'!$F$5:$F$2271))
+SUMPRODUCT(-('Diário 8º PA'!$E$5:$E$2488='Analítico Cp.'!$B140),-('Diário 8º PA'!$Q$5:$Q$2488=C$1),('Diário 8º PA'!$F$5:$F$2488))
+SUMPRODUCT(-('Comp.'!$D$5:$D$313='Analítico Cp.'!$B140),-('Comp.'!$R$5:$R$313=C$1),('Comp.'!$E$5:$E$313))</f>
        <v>0</v>
      </c>
      <c r="D140" s="185">
        <f>SUMPRODUCT(-('Diário 5º PA'!$E$5:$E$2634='Analítico Cp.'!$B140),-('Diário 5º PA'!$Q$5:$Q$2634=D$1),('Diário 5º PA'!$F$5:$F$2634))
+SUMPRODUCT(-('Diário 6º PA'!$E$5:$E$2246='Analítico Cp.'!$B140),-('Diário 6º PA'!$Q$5:$Q$2246=D$1),('Diário 6º PA'!$F$5:$F$2246))
+SUMPRODUCT(-('Diário 7º PA'!$E$5:$E$2271='Analítico Cp.'!$B140),-('Diário 7º PA'!$Q$5:$Q$2271=D$1),('Diário 7º PA'!$F$5:$F$2271))
+SUMPRODUCT(-('Diário 8º PA'!$E$5:$E$2488='Analítico Cp.'!$B140),-('Diário 8º PA'!$Q$5:$Q$2488=D$1),('Diário 8º PA'!$F$5:$F$2488))
+SUMPRODUCT(-('Comp.'!$D$5:$D$313='Analítico Cp.'!$B140),-('Comp.'!$R$5:$R$313=D$1),('Comp.'!$E$5:$E$313))</f>
        <v>0</v>
      </c>
      <c r="E140" s="185">
        <f>SUMPRODUCT(-('Diário 5º PA'!$E$5:$E$2634='Analítico Cp.'!$B140),-('Diário 5º PA'!$Q$5:$Q$2634=E$1),('Diário 5º PA'!$F$5:$F$2634))
+SUMPRODUCT(-('Diário 6º PA'!$E$5:$E$2246='Analítico Cp.'!$B140),-('Diário 6º PA'!$Q$5:$Q$2246=E$1),('Diário 6º PA'!$F$5:$F$2246))
+SUMPRODUCT(-('Diário 7º PA'!$E$5:$E$2271='Analítico Cp.'!$B140),-('Diário 7º PA'!$Q$5:$Q$2271=E$1),('Diário 7º PA'!$F$5:$F$2271))
+SUMPRODUCT(-('Diário 8º PA'!$E$5:$E$2488='Analítico Cp.'!$B140),-('Diário 8º PA'!$Q$5:$Q$2488=E$1),('Diário 8º PA'!$F$5:$F$2488))
+SUMPRODUCT(-('Comp.'!$D$5:$D$313='Analítico Cp.'!$B140),-('Comp.'!$R$5:$R$313=E$1),('Comp.'!$E$5:$E$313))</f>
        <v>0</v>
      </c>
      <c r="F140" s="185">
        <f>SUMPRODUCT(-('Diário 5º PA'!$E$5:$E$2634='Analítico Cp.'!$B140),-('Diário 5º PA'!$Q$5:$Q$2634=F$1),('Diário 5º PA'!$F$5:$F$2634))
+SUMPRODUCT(-('Diário 6º PA'!$E$5:$E$2246='Analítico Cp.'!$B140),-('Diário 6º PA'!$Q$5:$Q$2246=F$1),('Diário 6º PA'!$F$5:$F$2246))
+SUMPRODUCT(-('Diário 7º PA'!$E$5:$E$2271='Analítico Cp.'!$B140),-('Diário 7º PA'!$Q$5:$Q$2271=F$1),('Diário 7º PA'!$F$5:$F$2271))
+SUMPRODUCT(-('Diário 8º PA'!$E$5:$E$2488='Analítico Cp.'!$B140),-('Diário 8º PA'!$Q$5:$Q$2488=F$1),('Diário 8º PA'!$F$5:$F$2488))
+SUMPRODUCT(-('Comp.'!$D$5:$D$313='Analítico Cp.'!$B140),-('Comp.'!$R$5:$R$313=F$1),('Comp.'!$E$5:$E$313))</f>
        <v>0</v>
      </c>
      <c r="G140" s="185">
        <f>SUMPRODUCT(-('Diário 5º PA'!$E$5:$E$2634='Analítico Cp.'!$B140),-('Diário 5º PA'!$Q$5:$Q$2634=G$1),('Diário 5º PA'!$F$5:$F$2634))
+SUMPRODUCT(-('Diário 6º PA'!$E$5:$E$2246='Analítico Cp.'!$B140),-('Diário 6º PA'!$Q$5:$Q$2246=G$1),('Diário 6º PA'!$F$5:$F$2246))
+SUMPRODUCT(-('Diário 7º PA'!$E$5:$E$2271='Analítico Cp.'!$B140),-('Diário 7º PA'!$Q$5:$Q$2271=G$1),('Diário 7º PA'!$F$5:$F$2271))
+SUMPRODUCT(-('Diário 8º PA'!$E$5:$E$2488='Analítico Cp.'!$B140),-('Diário 8º PA'!$Q$5:$Q$2488=G$1),('Diário 8º PA'!$F$5:$F$2488))
+SUMPRODUCT(-('Comp.'!$D$5:$D$313='Analítico Cp.'!$B140),-('Comp.'!$R$5:$R$313=G$1),('Comp.'!$E$5:$E$313))</f>
        <v>0</v>
      </c>
      <c r="H140" s="185">
        <f>SUMPRODUCT(-('Diário 5º PA'!$E$5:$E$2634='Analítico Cp.'!$B140),-('Diário 5º PA'!$Q$5:$Q$2634=H$1),('Diário 5º PA'!$F$5:$F$2634))
+SUMPRODUCT(-('Diário 6º PA'!$E$5:$E$2246='Analítico Cp.'!$B140),-('Diário 6º PA'!$Q$5:$Q$2246=H$1),('Diário 6º PA'!$F$5:$F$2246))
+SUMPRODUCT(-('Diário 7º PA'!$E$5:$E$2271='Analítico Cp.'!$B140),-('Diário 7º PA'!$Q$5:$Q$2271=H$1),('Diário 7º PA'!$F$5:$F$2271))
+SUMPRODUCT(-('Diário 8º PA'!$E$5:$E$2488='Analítico Cp.'!$B140),-('Diário 8º PA'!$Q$5:$Q$2488=H$1),('Diário 8º PA'!$F$5:$F$2488))
+SUMPRODUCT(-('Comp.'!$D$5:$D$313='Analítico Cp.'!$B140),-('Comp.'!$R$5:$R$313=H$1),('Comp.'!$E$5:$E$313))</f>
        <v>0</v>
      </c>
      <c r="I140" s="185">
        <f>SUMPRODUCT(-('Diário 5º PA'!$E$5:$E$2634='Analítico Cp.'!$B140),-('Diário 5º PA'!$Q$5:$Q$2634=I$1),('Diário 5º PA'!$F$5:$F$2634))
+SUMPRODUCT(-('Diário 6º PA'!$E$5:$E$2246='Analítico Cp.'!$B140),-('Diário 6º PA'!$Q$5:$Q$2246=I$1),('Diário 6º PA'!$F$5:$F$2246))
+SUMPRODUCT(-('Diário 7º PA'!$E$5:$E$2271='Analítico Cp.'!$B140),-('Diário 7º PA'!$Q$5:$Q$2271=I$1),('Diário 7º PA'!$F$5:$F$2271))
+SUMPRODUCT(-('Diário 8º PA'!$E$5:$E$2488='Analítico Cp.'!$B140),-('Diário 8º PA'!$Q$5:$Q$2488=I$1),('Diário 8º PA'!$F$5:$F$2488))
+SUMPRODUCT(-('Comp.'!$D$5:$D$313='Analítico Cp.'!$B140),-('Comp.'!$R$5:$R$313=I$1),('Comp.'!$E$5:$E$313))</f>
        <v>0</v>
      </c>
      <c r="J140" s="185">
        <f>SUMPRODUCT(-('Diário 5º PA'!$E$5:$E$2634='Analítico Cp.'!$B140),-('Diário 5º PA'!$Q$5:$Q$2634=J$1),('Diário 5º PA'!$F$5:$F$2634))
+SUMPRODUCT(-('Diário 6º PA'!$E$5:$E$2246='Analítico Cp.'!$B140),-('Diário 6º PA'!$Q$5:$Q$2246=J$1),('Diário 6º PA'!$F$5:$F$2246))
+SUMPRODUCT(-('Diário 7º PA'!$E$5:$E$2271='Analítico Cp.'!$B140),-('Diário 7º PA'!$Q$5:$Q$2271=J$1),('Diário 7º PA'!$F$5:$F$2271))
+SUMPRODUCT(-('Diário 8º PA'!$E$5:$E$2488='Analítico Cp.'!$B140),-('Diário 8º PA'!$Q$5:$Q$2488=J$1),('Diário 8º PA'!$F$5:$F$2488))
+SUMPRODUCT(-('Comp.'!$D$5:$D$313='Analítico Cp.'!$B140),-('Comp.'!$R$5:$R$313=J$1),('Comp.'!$E$5:$E$313))</f>
        <v>0</v>
      </c>
      <c r="K140" s="185">
        <f>SUMPRODUCT(-('Diário 5º PA'!$E$5:$E$2634='Analítico Cp.'!$B140),-('Diário 5º PA'!$Q$5:$Q$2634=K$1),('Diário 5º PA'!$F$5:$F$2634))
+SUMPRODUCT(-('Diário 6º PA'!$E$5:$E$2246='Analítico Cp.'!$B140),-('Diário 6º PA'!$Q$5:$Q$2246=K$1),('Diário 6º PA'!$F$5:$F$2246))
+SUMPRODUCT(-('Diário 7º PA'!$E$5:$E$2271='Analítico Cp.'!$B140),-('Diário 7º PA'!$Q$5:$Q$2271=K$1),('Diário 7º PA'!$F$5:$F$2271))
+SUMPRODUCT(-('Diário 8º PA'!$E$5:$E$2488='Analítico Cp.'!$B140),-('Diário 8º PA'!$Q$5:$Q$2488=K$1),('Diário 8º PA'!$F$5:$F$2488))
+SUMPRODUCT(-('Comp.'!$D$5:$D$313='Analítico Cp.'!$B140),-('Comp.'!$R$5:$R$313=K$1),('Comp.'!$E$5:$E$313))</f>
        <v>0</v>
      </c>
      <c r="L140" s="185">
        <f>SUMPRODUCT(-('Diário 5º PA'!$E$5:$E$2634='Analítico Cp.'!$B140),-('Diário 5º PA'!$Q$5:$Q$2634=L$1),('Diário 5º PA'!$F$5:$F$2634))
+SUMPRODUCT(-('Diário 6º PA'!$E$5:$E$2246='Analítico Cp.'!$B140),-('Diário 6º PA'!$Q$5:$Q$2246=L$1),('Diário 6º PA'!$F$5:$F$2246))
+SUMPRODUCT(-('Diário 7º PA'!$E$5:$E$2271='Analítico Cp.'!$B140),-('Diário 7º PA'!$Q$5:$Q$2271=L$1),('Diário 7º PA'!$F$5:$F$2271))
+SUMPRODUCT(-('Diário 8º PA'!$E$5:$E$2488='Analítico Cp.'!$B140),-('Diário 8º PA'!$Q$5:$Q$2488=L$1),('Diário 8º PA'!$F$5:$F$2488))
+SUMPRODUCT(-('Comp.'!$D$5:$D$313='Analítico Cp.'!$B140),-('Comp.'!$R$5:$R$313=L$1),('Comp.'!$E$5:$E$313))</f>
        <v>0</v>
      </c>
      <c r="M140" s="185">
        <f>SUMPRODUCT(-('Diário 5º PA'!$E$5:$E$2634='Analítico Cp.'!$B140),-('Diário 5º PA'!$Q$5:$Q$2634=M$1),('Diário 5º PA'!$F$5:$F$2634))
+SUMPRODUCT(-('Diário 6º PA'!$E$5:$E$2246='Analítico Cp.'!$B140),-('Diário 6º PA'!$Q$5:$Q$2246=M$1),('Diário 6º PA'!$F$5:$F$2246))
+SUMPRODUCT(-('Diário 7º PA'!$E$5:$E$2271='Analítico Cp.'!$B140),-('Diário 7º PA'!$Q$5:$Q$2271=M$1),('Diário 7º PA'!$F$5:$F$2271))
+SUMPRODUCT(-('Diário 8º PA'!$E$5:$E$2488='Analítico Cp.'!$B140),-('Diário 8º PA'!$Q$5:$Q$2488=M$1),('Diário 8º PA'!$F$5:$F$2488))
+SUMPRODUCT(-('Comp.'!$D$5:$D$313='Analítico Cp.'!$B140),-('Comp.'!$R$5:$R$313=M$1),('Comp.'!$E$5:$E$313))</f>
        <v>800</v>
      </c>
      <c r="N140" s="185">
        <f>SUMPRODUCT(-('Diário 5º PA'!$E$5:$E$2634='Analítico Cp.'!$B140),-('Diário 5º PA'!$Q$5:$Q$2634=N$1),('Diário 5º PA'!$F$5:$F$2634))
+SUMPRODUCT(-('Diário 6º PA'!$E$5:$E$2246='Analítico Cp.'!$B140),-('Diário 6º PA'!$Q$5:$Q$2246=N$1),('Diário 6º PA'!$F$5:$F$2246))
+SUMPRODUCT(-('Diário 7º PA'!$E$5:$E$2271='Analítico Cp.'!$B140),-('Diário 7º PA'!$Q$5:$Q$2271=N$1),('Diário 7º PA'!$F$5:$F$2271))
+SUMPRODUCT(-('Diário 8º PA'!$E$5:$E$2488='Analítico Cp.'!$B140),-('Diário 8º PA'!$Q$5:$Q$2488=N$1),('Diário 8º PA'!$F$5:$F$2488))
+SUMPRODUCT(-('Comp.'!$D$5:$D$313='Analítico Cp.'!$B140),-('Comp.'!$R$5:$R$313=N$1),('Comp.'!$E$5:$E$313))</f>
        <v>0</v>
      </c>
      <c r="O140" s="186">
        <f t="shared" si="16"/>
        <v>800</v>
      </c>
      <c r="P140" s="187">
        <f t="shared" si="17"/>
        <v>8.2516926024831598E-5</v>
      </c>
      <c r="Q140" s="34"/>
      <c r="R140" s="34"/>
      <c r="S140" s="34"/>
      <c r="T140" s="34"/>
      <c r="U140" s="34"/>
      <c r="V140" s="34"/>
      <c r="W140" s="34"/>
      <c r="X140" s="34"/>
      <c r="Y140" s="34"/>
      <c r="Z140" s="34"/>
    </row>
    <row r="141" spans="1:26" ht="27.75" customHeight="1" x14ac:dyDescent="0.2">
      <c r="A141" s="203" t="s">
        <v>379</v>
      </c>
      <c r="B141" s="72" t="s">
        <v>380</v>
      </c>
      <c r="C141" s="185">
        <f>SUMPRODUCT(-('Diário 5º PA'!$E$5:$E$2634='Analítico Cp.'!$B141),-('Diário 5º PA'!$Q$5:$Q$2634=C$1),('Diário 5º PA'!$F$5:$F$2634))
+SUMPRODUCT(-('Diário 6º PA'!$E$5:$E$2246='Analítico Cp.'!$B141),-('Diário 6º PA'!$Q$5:$Q$2246=C$1),('Diário 6º PA'!$F$5:$F$2246))
+SUMPRODUCT(-('Diário 7º PA'!$E$5:$E$2271='Analítico Cp.'!$B141),-('Diário 7º PA'!$Q$5:$Q$2271=C$1),('Diário 7º PA'!$F$5:$F$2271))
+SUMPRODUCT(-('Diário 8º PA'!$E$5:$E$2488='Analítico Cp.'!$B141),-('Diário 8º PA'!$Q$5:$Q$2488=C$1),('Diário 8º PA'!$F$5:$F$2488))
+SUMPRODUCT(-('Comp.'!$D$5:$D$313='Analítico Cp.'!$B141),-('Comp.'!$R$5:$R$313=C$1),('Comp.'!$E$5:$E$313))</f>
        <v>520.28</v>
      </c>
      <c r="D141" s="185">
        <f>SUMPRODUCT(-('Diário 5º PA'!$E$5:$E$2634='Analítico Cp.'!$B141),-('Diário 5º PA'!$Q$5:$Q$2634=D$1),('Diário 5º PA'!$F$5:$F$2634))
+SUMPRODUCT(-('Diário 6º PA'!$E$5:$E$2246='Analítico Cp.'!$B141),-('Diário 6º PA'!$Q$5:$Q$2246=D$1),('Diário 6º PA'!$F$5:$F$2246))
+SUMPRODUCT(-('Diário 7º PA'!$E$5:$E$2271='Analítico Cp.'!$B141),-('Diário 7º PA'!$Q$5:$Q$2271=D$1),('Diário 7º PA'!$F$5:$F$2271))
+SUMPRODUCT(-('Diário 8º PA'!$E$5:$E$2488='Analítico Cp.'!$B141),-('Diário 8º PA'!$Q$5:$Q$2488=D$1),('Diário 8º PA'!$F$5:$F$2488))
+SUMPRODUCT(-('Comp.'!$D$5:$D$313='Analítico Cp.'!$B141),-('Comp.'!$R$5:$R$313=D$1),('Comp.'!$E$5:$E$313))</f>
        <v>0</v>
      </c>
      <c r="E141" s="185">
        <f>SUMPRODUCT(-('Diário 5º PA'!$E$5:$E$2634='Analítico Cp.'!$B141),-('Diário 5º PA'!$Q$5:$Q$2634=E$1),('Diário 5º PA'!$F$5:$F$2634))
+SUMPRODUCT(-('Diário 6º PA'!$E$5:$E$2246='Analítico Cp.'!$B141),-('Diário 6º PA'!$Q$5:$Q$2246=E$1),('Diário 6º PA'!$F$5:$F$2246))
+SUMPRODUCT(-('Diário 7º PA'!$E$5:$E$2271='Analítico Cp.'!$B141),-('Diário 7º PA'!$Q$5:$Q$2271=E$1),('Diário 7º PA'!$F$5:$F$2271))
+SUMPRODUCT(-('Diário 8º PA'!$E$5:$E$2488='Analítico Cp.'!$B141),-('Diário 8º PA'!$Q$5:$Q$2488=E$1),('Diário 8º PA'!$F$5:$F$2488))
+SUMPRODUCT(-('Comp.'!$D$5:$D$313='Analítico Cp.'!$B141),-('Comp.'!$R$5:$R$313=E$1),('Comp.'!$E$5:$E$313))</f>
        <v>0</v>
      </c>
      <c r="F141" s="185">
        <f>SUMPRODUCT(-('Diário 5º PA'!$E$5:$E$2634='Analítico Cp.'!$B141),-('Diário 5º PA'!$Q$5:$Q$2634=F$1),('Diário 5º PA'!$F$5:$F$2634))
+SUMPRODUCT(-('Diário 6º PA'!$E$5:$E$2246='Analítico Cp.'!$B141),-('Diário 6º PA'!$Q$5:$Q$2246=F$1),('Diário 6º PA'!$F$5:$F$2246))
+SUMPRODUCT(-('Diário 7º PA'!$E$5:$E$2271='Analítico Cp.'!$B141),-('Diário 7º PA'!$Q$5:$Q$2271=F$1),('Diário 7º PA'!$F$5:$F$2271))
+SUMPRODUCT(-('Diário 8º PA'!$E$5:$E$2488='Analítico Cp.'!$B141),-('Diário 8º PA'!$Q$5:$Q$2488=F$1),('Diário 8º PA'!$F$5:$F$2488))
+SUMPRODUCT(-('Comp.'!$D$5:$D$313='Analítico Cp.'!$B141),-('Comp.'!$R$5:$R$313=F$1),('Comp.'!$E$5:$E$313))</f>
        <v>0</v>
      </c>
      <c r="G141" s="185">
        <f>SUMPRODUCT(-('Diário 5º PA'!$E$5:$E$2634='Analítico Cp.'!$B141),-('Diário 5º PA'!$Q$5:$Q$2634=G$1),('Diário 5º PA'!$F$5:$F$2634))
+SUMPRODUCT(-('Diário 6º PA'!$E$5:$E$2246='Analítico Cp.'!$B141),-('Diário 6º PA'!$Q$5:$Q$2246=G$1),('Diário 6º PA'!$F$5:$F$2246))
+SUMPRODUCT(-('Diário 7º PA'!$E$5:$E$2271='Analítico Cp.'!$B141),-('Diário 7º PA'!$Q$5:$Q$2271=G$1),('Diário 7º PA'!$F$5:$F$2271))
+SUMPRODUCT(-('Diário 8º PA'!$E$5:$E$2488='Analítico Cp.'!$B141),-('Diário 8º PA'!$Q$5:$Q$2488=G$1),('Diário 8º PA'!$F$5:$F$2488))
+SUMPRODUCT(-('Comp.'!$D$5:$D$313='Analítico Cp.'!$B141),-('Comp.'!$R$5:$R$313=G$1),('Comp.'!$E$5:$E$313))</f>
        <v>0</v>
      </c>
      <c r="H141" s="185">
        <f>SUMPRODUCT(-('Diário 5º PA'!$E$5:$E$2634='Analítico Cp.'!$B141),-('Diário 5º PA'!$Q$5:$Q$2634=H$1),('Diário 5º PA'!$F$5:$F$2634))
+SUMPRODUCT(-('Diário 6º PA'!$E$5:$E$2246='Analítico Cp.'!$B141),-('Diário 6º PA'!$Q$5:$Q$2246=H$1),('Diário 6º PA'!$F$5:$F$2246))
+SUMPRODUCT(-('Diário 7º PA'!$E$5:$E$2271='Analítico Cp.'!$B141),-('Diário 7º PA'!$Q$5:$Q$2271=H$1),('Diário 7º PA'!$F$5:$F$2271))
+SUMPRODUCT(-('Diário 8º PA'!$E$5:$E$2488='Analítico Cp.'!$B141),-('Diário 8º PA'!$Q$5:$Q$2488=H$1),('Diário 8º PA'!$F$5:$F$2488))
+SUMPRODUCT(-('Comp.'!$D$5:$D$313='Analítico Cp.'!$B141),-('Comp.'!$R$5:$R$313=H$1),('Comp.'!$E$5:$E$313))</f>
        <v>0</v>
      </c>
      <c r="I141" s="185">
        <f>SUMPRODUCT(-('Diário 5º PA'!$E$5:$E$2634='Analítico Cp.'!$B141),-('Diário 5º PA'!$Q$5:$Q$2634=I$1),('Diário 5º PA'!$F$5:$F$2634))
+SUMPRODUCT(-('Diário 6º PA'!$E$5:$E$2246='Analítico Cp.'!$B141),-('Diário 6º PA'!$Q$5:$Q$2246=I$1),('Diário 6º PA'!$F$5:$F$2246))
+SUMPRODUCT(-('Diário 7º PA'!$E$5:$E$2271='Analítico Cp.'!$B141),-('Diário 7º PA'!$Q$5:$Q$2271=I$1),('Diário 7º PA'!$F$5:$F$2271))
+SUMPRODUCT(-('Diário 8º PA'!$E$5:$E$2488='Analítico Cp.'!$B141),-('Diário 8º PA'!$Q$5:$Q$2488=I$1),('Diário 8º PA'!$F$5:$F$2488))
+SUMPRODUCT(-('Comp.'!$D$5:$D$313='Analítico Cp.'!$B141),-('Comp.'!$R$5:$R$313=I$1),('Comp.'!$E$5:$E$313))</f>
        <v>170.9</v>
      </c>
      <c r="J141" s="185">
        <f>SUMPRODUCT(-('Diário 5º PA'!$E$5:$E$2634='Analítico Cp.'!$B141),-('Diário 5º PA'!$Q$5:$Q$2634=J$1),('Diário 5º PA'!$F$5:$F$2634))
+SUMPRODUCT(-('Diário 6º PA'!$E$5:$E$2246='Analítico Cp.'!$B141),-('Diário 6º PA'!$Q$5:$Q$2246=J$1),('Diário 6º PA'!$F$5:$F$2246))
+SUMPRODUCT(-('Diário 7º PA'!$E$5:$E$2271='Analítico Cp.'!$B141),-('Diário 7º PA'!$Q$5:$Q$2271=J$1),('Diário 7º PA'!$F$5:$F$2271))
+SUMPRODUCT(-('Diário 8º PA'!$E$5:$E$2488='Analítico Cp.'!$B141),-('Diário 8º PA'!$Q$5:$Q$2488=J$1),('Diário 8º PA'!$F$5:$F$2488))
+SUMPRODUCT(-('Comp.'!$D$5:$D$313='Analítico Cp.'!$B141),-('Comp.'!$R$5:$R$313=J$1),('Comp.'!$E$5:$E$313))</f>
        <v>0</v>
      </c>
      <c r="K141" s="185">
        <f>SUMPRODUCT(-('Diário 5º PA'!$E$5:$E$2634='Analítico Cp.'!$B141),-('Diário 5º PA'!$Q$5:$Q$2634=K$1),('Diário 5º PA'!$F$5:$F$2634))
+SUMPRODUCT(-('Diário 6º PA'!$E$5:$E$2246='Analítico Cp.'!$B141),-('Diário 6º PA'!$Q$5:$Q$2246=K$1),('Diário 6º PA'!$F$5:$F$2246))
+SUMPRODUCT(-('Diário 7º PA'!$E$5:$E$2271='Analítico Cp.'!$B141),-('Diário 7º PA'!$Q$5:$Q$2271=K$1),('Diário 7º PA'!$F$5:$F$2271))
+SUMPRODUCT(-('Diário 8º PA'!$E$5:$E$2488='Analítico Cp.'!$B141),-('Diário 8º PA'!$Q$5:$Q$2488=K$1),('Diário 8º PA'!$F$5:$F$2488))
+SUMPRODUCT(-('Comp.'!$D$5:$D$313='Analítico Cp.'!$B141),-('Comp.'!$R$5:$R$313=K$1),('Comp.'!$E$5:$E$313))</f>
        <v>0</v>
      </c>
      <c r="L141" s="185">
        <f>SUMPRODUCT(-('Diário 5º PA'!$E$5:$E$2634='Analítico Cp.'!$B141),-('Diário 5º PA'!$Q$5:$Q$2634=L$1),('Diário 5º PA'!$F$5:$F$2634))
+SUMPRODUCT(-('Diário 6º PA'!$E$5:$E$2246='Analítico Cp.'!$B141),-('Diário 6º PA'!$Q$5:$Q$2246=L$1),('Diário 6º PA'!$F$5:$F$2246))
+SUMPRODUCT(-('Diário 7º PA'!$E$5:$E$2271='Analítico Cp.'!$B141),-('Diário 7º PA'!$Q$5:$Q$2271=L$1),('Diário 7º PA'!$F$5:$F$2271))
+SUMPRODUCT(-('Diário 8º PA'!$E$5:$E$2488='Analítico Cp.'!$B141),-('Diário 8º PA'!$Q$5:$Q$2488=L$1),('Diário 8º PA'!$F$5:$F$2488))
+SUMPRODUCT(-('Comp.'!$D$5:$D$313='Analítico Cp.'!$B141),-('Comp.'!$R$5:$R$313=L$1),('Comp.'!$E$5:$E$313))</f>
        <v>0</v>
      </c>
      <c r="M141" s="185">
        <f>SUMPRODUCT(-('Diário 5º PA'!$E$5:$E$2634='Analítico Cp.'!$B141),-('Diário 5º PA'!$Q$5:$Q$2634=M$1),('Diário 5º PA'!$F$5:$F$2634))
+SUMPRODUCT(-('Diário 6º PA'!$E$5:$E$2246='Analítico Cp.'!$B141),-('Diário 6º PA'!$Q$5:$Q$2246=M$1),('Diário 6º PA'!$F$5:$F$2246))
+SUMPRODUCT(-('Diário 7º PA'!$E$5:$E$2271='Analítico Cp.'!$B141),-('Diário 7º PA'!$Q$5:$Q$2271=M$1),('Diário 7º PA'!$F$5:$F$2271))
+SUMPRODUCT(-('Diário 8º PA'!$E$5:$E$2488='Analítico Cp.'!$B141),-('Diário 8º PA'!$Q$5:$Q$2488=M$1),('Diário 8º PA'!$F$5:$F$2488))
+SUMPRODUCT(-('Comp.'!$D$5:$D$313='Analítico Cp.'!$B141),-('Comp.'!$R$5:$R$313=M$1),('Comp.'!$E$5:$E$313))</f>
        <v>0</v>
      </c>
      <c r="N141" s="185">
        <f>SUMPRODUCT(-('Diário 5º PA'!$E$5:$E$2634='Analítico Cp.'!$B141),-('Diário 5º PA'!$Q$5:$Q$2634=N$1),('Diário 5º PA'!$F$5:$F$2634))
+SUMPRODUCT(-('Diário 6º PA'!$E$5:$E$2246='Analítico Cp.'!$B141),-('Diário 6º PA'!$Q$5:$Q$2246=N$1),('Diário 6º PA'!$F$5:$F$2246))
+SUMPRODUCT(-('Diário 7º PA'!$E$5:$E$2271='Analítico Cp.'!$B141),-('Diário 7º PA'!$Q$5:$Q$2271=N$1),('Diário 7º PA'!$F$5:$F$2271))
+SUMPRODUCT(-('Diário 8º PA'!$E$5:$E$2488='Analítico Cp.'!$B141),-('Diário 8º PA'!$Q$5:$Q$2488=N$1),('Diário 8º PA'!$F$5:$F$2488))
+SUMPRODUCT(-('Comp.'!$D$5:$D$313='Analítico Cp.'!$B141),-('Comp.'!$R$5:$R$313=N$1),('Comp.'!$E$5:$E$313))</f>
        <v>0</v>
      </c>
      <c r="O141" s="186">
        <f t="shared" si="16"/>
        <v>691.18</v>
      </c>
      <c r="P141" s="187">
        <f t="shared" si="17"/>
        <v>7.1292561162303875E-5</v>
      </c>
      <c r="Q141" s="34"/>
      <c r="R141" s="34"/>
      <c r="S141" s="34"/>
      <c r="T141" s="34"/>
      <c r="U141" s="34"/>
      <c r="V141" s="34"/>
      <c r="W141" s="34"/>
      <c r="X141" s="34"/>
      <c r="Y141" s="34"/>
      <c r="Z141" s="34"/>
    </row>
    <row r="142" spans="1:26" ht="30.75" customHeight="1" x14ac:dyDescent="0.2">
      <c r="A142" s="203" t="s">
        <v>381</v>
      </c>
      <c r="B142" s="72" t="s">
        <v>382</v>
      </c>
      <c r="C142" s="185">
        <f>SUMPRODUCT(-('Diário 5º PA'!$E$5:$E$2634='Analítico Cp.'!$B142),-('Diário 5º PA'!$Q$5:$Q$2634=C$1),('Diário 5º PA'!$F$5:$F$2634))
+SUMPRODUCT(-('Diário 6º PA'!$E$5:$E$2246='Analítico Cp.'!$B142),-('Diário 6º PA'!$Q$5:$Q$2246=C$1),('Diário 6º PA'!$F$5:$F$2246))
+SUMPRODUCT(-('Diário 7º PA'!$E$5:$E$2271='Analítico Cp.'!$B142),-('Diário 7º PA'!$Q$5:$Q$2271=C$1),('Diário 7º PA'!$F$5:$F$2271))
+SUMPRODUCT(-('Diário 8º PA'!$E$5:$E$2488='Analítico Cp.'!$B142),-('Diário 8º PA'!$Q$5:$Q$2488=C$1),('Diário 8º PA'!$F$5:$F$2488))
+SUMPRODUCT(-('Comp.'!$D$5:$D$313='Analítico Cp.'!$B142),-('Comp.'!$R$5:$R$313=C$1),('Comp.'!$E$5:$E$313))</f>
        <v>0</v>
      </c>
      <c r="D142" s="185">
        <f>SUMPRODUCT(-('Diário 5º PA'!$E$5:$E$2634='Analítico Cp.'!$B142),-('Diário 5º PA'!$Q$5:$Q$2634=D$1),('Diário 5º PA'!$F$5:$F$2634))
+SUMPRODUCT(-('Diário 6º PA'!$E$5:$E$2246='Analítico Cp.'!$B142),-('Diário 6º PA'!$Q$5:$Q$2246=D$1),('Diário 6º PA'!$F$5:$F$2246))
+SUMPRODUCT(-('Diário 7º PA'!$E$5:$E$2271='Analítico Cp.'!$B142),-('Diário 7º PA'!$Q$5:$Q$2271=D$1),('Diário 7º PA'!$F$5:$F$2271))
+SUMPRODUCT(-('Diário 8º PA'!$E$5:$E$2488='Analítico Cp.'!$B142),-('Diário 8º PA'!$Q$5:$Q$2488=D$1),('Diário 8º PA'!$F$5:$F$2488))
+SUMPRODUCT(-('Comp.'!$D$5:$D$313='Analítico Cp.'!$B142),-('Comp.'!$R$5:$R$313=D$1),('Comp.'!$E$5:$E$313))</f>
        <v>15704.99</v>
      </c>
      <c r="E142" s="185">
        <f>SUMPRODUCT(-('Diário 5º PA'!$E$5:$E$2634='Analítico Cp.'!$B142),-('Diário 5º PA'!$Q$5:$Q$2634=E$1),('Diário 5º PA'!$F$5:$F$2634))
+SUMPRODUCT(-('Diário 6º PA'!$E$5:$E$2246='Analítico Cp.'!$B142),-('Diário 6º PA'!$Q$5:$Q$2246=E$1),('Diário 6º PA'!$F$5:$F$2246))
+SUMPRODUCT(-('Diário 7º PA'!$E$5:$E$2271='Analítico Cp.'!$B142),-('Diário 7º PA'!$Q$5:$Q$2271=E$1),('Diário 7º PA'!$F$5:$F$2271))
+SUMPRODUCT(-('Diário 8º PA'!$E$5:$E$2488='Analítico Cp.'!$B142),-('Diário 8º PA'!$Q$5:$Q$2488=E$1),('Diário 8º PA'!$F$5:$F$2488))
+SUMPRODUCT(-('Comp.'!$D$5:$D$313='Analítico Cp.'!$B142),-('Comp.'!$R$5:$R$313=E$1),('Comp.'!$E$5:$E$313))</f>
        <v>998</v>
      </c>
      <c r="F142" s="185">
        <f>SUMPRODUCT(-('Diário 5º PA'!$E$5:$E$2634='Analítico Cp.'!$B142),-('Diário 5º PA'!$Q$5:$Q$2634=F$1),('Diário 5º PA'!$F$5:$F$2634))
+SUMPRODUCT(-('Diário 6º PA'!$E$5:$E$2246='Analítico Cp.'!$B142),-('Diário 6º PA'!$Q$5:$Q$2246=F$1),('Diário 6º PA'!$F$5:$F$2246))
+SUMPRODUCT(-('Diário 7º PA'!$E$5:$E$2271='Analítico Cp.'!$B142),-('Diário 7º PA'!$Q$5:$Q$2271=F$1),('Diário 7º PA'!$F$5:$F$2271))
+SUMPRODUCT(-('Diário 8º PA'!$E$5:$E$2488='Analítico Cp.'!$B142),-('Diário 8º PA'!$Q$5:$Q$2488=F$1),('Diário 8º PA'!$F$5:$F$2488))
+SUMPRODUCT(-('Comp.'!$D$5:$D$313='Analítico Cp.'!$B142),-('Comp.'!$R$5:$R$313=F$1),('Comp.'!$E$5:$E$313))</f>
        <v>0</v>
      </c>
      <c r="G142" s="185">
        <f>SUMPRODUCT(-('Diário 5º PA'!$E$5:$E$2634='Analítico Cp.'!$B142),-('Diário 5º PA'!$Q$5:$Q$2634=G$1),('Diário 5º PA'!$F$5:$F$2634))
+SUMPRODUCT(-('Diário 6º PA'!$E$5:$E$2246='Analítico Cp.'!$B142),-('Diário 6º PA'!$Q$5:$Q$2246=G$1),('Diário 6º PA'!$F$5:$F$2246))
+SUMPRODUCT(-('Diário 7º PA'!$E$5:$E$2271='Analítico Cp.'!$B142),-('Diário 7º PA'!$Q$5:$Q$2271=G$1),('Diário 7º PA'!$F$5:$F$2271))
+SUMPRODUCT(-('Diário 8º PA'!$E$5:$E$2488='Analítico Cp.'!$B142),-('Diário 8º PA'!$Q$5:$Q$2488=G$1),('Diário 8º PA'!$F$5:$F$2488))
+SUMPRODUCT(-('Comp.'!$D$5:$D$313='Analítico Cp.'!$B142),-('Comp.'!$R$5:$R$313=G$1),('Comp.'!$E$5:$E$313))</f>
        <v>125</v>
      </c>
      <c r="H142" s="185">
        <f>SUMPRODUCT(-('Diário 5º PA'!$E$5:$E$2634='Analítico Cp.'!$B142),-('Diário 5º PA'!$Q$5:$Q$2634=H$1),('Diário 5º PA'!$F$5:$F$2634))
+SUMPRODUCT(-('Diário 6º PA'!$E$5:$E$2246='Analítico Cp.'!$B142),-('Diário 6º PA'!$Q$5:$Q$2246=H$1),('Diário 6º PA'!$F$5:$F$2246))
+SUMPRODUCT(-('Diário 7º PA'!$E$5:$E$2271='Analítico Cp.'!$B142),-('Diário 7º PA'!$Q$5:$Q$2271=H$1),('Diário 7º PA'!$F$5:$F$2271))
+SUMPRODUCT(-('Diário 8º PA'!$E$5:$E$2488='Analítico Cp.'!$B142),-('Diário 8º PA'!$Q$5:$Q$2488=H$1),('Diário 8º PA'!$F$5:$F$2488))
+SUMPRODUCT(-('Comp.'!$D$5:$D$313='Analítico Cp.'!$B142),-('Comp.'!$R$5:$R$313=H$1),('Comp.'!$E$5:$E$313))</f>
        <v>0</v>
      </c>
      <c r="I142" s="185">
        <f>SUMPRODUCT(-('Diário 5º PA'!$E$5:$E$2634='Analítico Cp.'!$B142),-('Diário 5º PA'!$Q$5:$Q$2634=I$1),('Diário 5º PA'!$F$5:$F$2634))
+SUMPRODUCT(-('Diário 6º PA'!$E$5:$E$2246='Analítico Cp.'!$B142),-('Diário 6º PA'!$Q$5:$Q$2246=I$1),('Diário 6º PA'!$F$5:$F$2246))
+SUMPRODUCT(-('Diário 7º PA'!$E$5:$E$2271='Analítico Cp.'!$B142),-('Diário 7º PA'!$Q$5:$Q$2271=I$1),('Diário 7º PA'!$F$5:$F$2271))
+SUMPRODUCT(-('Diário 8º PA'!$E$5:$E$2488='Analítico Cp.'!$B142),-('Diário 8º PA'!$Q$5:$Q$2488=I$1),('Diário 8º PA'!$F$5:$F$2488))
+SUMPRODUCT(-('Comp.'!$D$5:$D$313='Analítico Cp.'!$B142),-('Comp.'!$R$5:$R$313=I$1),('Comp.'!$E$5:$E$313))</f>
        <v>0</v>
      </c>
      <c r="J142" s="185">
        <f>SUMPRODUCT(-('Diário 5º PA'!$E$5:$E$2634='Analítico Cp.'!$B142),-('Diário 5º PA'!$Q$5:$Q$2634=J$1),('Diário 5º PA'!$F$5:$F$2634))
+SUMPRODUCT(-('Diário 6º PA'!$E$5:$E$2246='Analítico Cp.'!$B142),-('Diário 6º PA'!$Q$5:$Q$2246=J$1),('Diário 6º PA'!$F$5:$F$2246))
+SUMPRODUCT(-('Diário 7º PA'!$E$5:$E$2271='Analítico Cp.'!$B142),-('Diário 7º PA'!$Q$5:$Q$2271=J$1),('Diário 7º PA'!$F$5:$F$2271))
+SUMPRODUCT(-('Diário 8º PA'!$E$5:$E$2488='Analítico Cp.'!$B142),-('Diário 8º PA'!$Q$5:$Q$2488=J$1),('Diário 8º PA'!$F$5:$F$2488))
+SUMPRODUCT(-('Comp.'!$D$5:$D$313='Analítico Cp.'!$B142),-('Comp.'!$R$5:$R$313=J$1),('Comp.'!$E$5:$E$313))</f>
        <v>5325.77</v>
      </c>
      <c r="K142" s="185">
        <f>SUMPRODUCT(-('Diário 5º PA'!$E$5:$E$2634='Analítico Cp.'!$B142),-('Diário 5º PA'!$Q$5:$Q$2634=K$1),('Diário 5º PA'!$F$5:$F$2634))
+SUMPRODUCT(-('Diário 6º PA'!$E$5:$E$2246='Analítico Cp.'!$B142),-('Diário 6º PA'!$Q$5:$Q$2246=K$1),('Diário 6º PA'!$F$5:$F$2246))
+SUMPRODUCT(-('Diário 7º PA'!$E$5:$E$2271='Analítico Cp.'!$B142),-('Diário 7º PA'!$Q$5:$Q$2271=K$1),('Diário 7º PA'!$F$5:$F$2271))
+SUMPRODUCT(-('Diário 8º PA'!$E$5:$E$2488='Analítico Cp.'!$B142),-('Diário 8º PA'!$Q$5:$Q$2488=K$1),('Diário 8º PA'!$F$5:$F$2488))
+SUMPRODUCT(-('Comp.'!$D$5:$D$313='Analítico Cp.'!$B142),-('Comp.'!$R$5:$R$313=K$1),('Comp.'!$E$5:$E$313))</f>
        <v>3427.37</v>
      </c>
      <c r="L142" s="185">
        <f>SUMPRODUCT(-('Diário 5º PA'!$E$5:$E$2634='Analítico Cp.'!$B142),-('Diário 5º PA'!$Q$5:$Q$2634=L$1),('Diário 5º PA'!$F$5:$F$2634))
+SUMPRODUCT(-('Diário 6º PA'!$E$5:$E$2246='Analítico Cp.'!$B142),-('Diário 6º PA'!$Q$5:$Q$2246=L$1),('Diário 6º PA'!$F$5:$F$2246))
+SUMPRODUCT(-('Diário 7º PA'!$E$5:$E$2271='Analítico Cp.'!$B142),-('Diário 7º PA'!$Q$5:$Q$2271=L$1),('Diário 7º PA'!$F$5:$F$2271))
+SUMPRODUCT(-('Diário 8º PA'!$E$5:$E$2488='Analítico Cp.'!$B142),-('Diário 8º PA'!$Q$5:$Q$2488=L$1),('Diário 8º PA'!$F$5:$F$2488))
+SUMPRODUCT(-('Comp.'!$D$5:$D$313='Analítico Cp.'!$B142),-('Comp.'!$R$5:$R$313=L$1),('Comp.'!$E$5:$E$313))</f>
        <v>4425.13</v>
      </c>
      <c r="M142" s="185">
        <f>SUMPRODUCT(-('Diário 5º PA'!$E$5:$E$2634='Analítico Cp.'!$B142),-('Diário 5º PA'!$Q$5:$Q$2634=M$1),('Diário 5º PA'!$F$5:$F$2634))
+SUMPRODUCT(-('Diário 6º PA'!$E$5:$E$2246='Analítico Cp.'!$B142),-('Diário 6º PA'!$Q$5:$Q$2246=M$1),('Diário 6º PA'!$F$5:$F$2246))
+SUMPRODUCT(-('Diário 7º PA'!$E$5:$E$2271='Analítico Cp.'!$B142),-('Diário 7º PA'!$Q$5:$Q$2271=M$1),('Diário 7º PA'!$F$5:$F$2271))
+SUMPRODUCT(-('Diário 8º PA'!$E$5:$E$2488='Analítico Cp.'!$B142),-('Diário 8º PA'!$Q$5:$Q$2488=M$1),('Diário 8º PA'!$F$5:$F$2488))
+SUMPRODUCT(-('Comp.'!$D$5:$D$313='Analítico Cp.'!$B142),-('Comp.'!$R$5:$R$313=M$1),('Comp.'!$E$5:$E$313))</f>
        <v>375</v>
      </c>
      <c r="N142" s="185">
        <f>SUMPRODUCT(-('Diário 5º PA'!$E$5:$E$2634='Analítico Cp.'!$B142),-('Diário 5º PA'!$Q$5:$Q$2634=N$1),('Diário 5º PA'!$F$5:$F$2634))
+SUMPRODUCT(-('Diário 6º PA'!$E$5:$E$2246='Analítico Cp.'!$B142),-('Diário 6º PA'!$Q$5:$Q$2246=N$1),('Diário 6º PA'!$F$5:$F$2246))
+SUMPRODUCT(-('Diário 7º PA'!$E$5:$E$2271='Analítico Cp.'!$B142),-('Diário 7º PA'!$Q$5:$Q$2271=N$1),('Diário 7º PA'!$F$5:$F$2271))
+SUMPRODUCT(-('Diário 8º PA'!$E$5:$E$2488='Analítico Cp.'!$B142),-('Diário 8º PA'!$Q$5:$Q$2488=N$1),('Diário 8º PA'!$F$5:$F$2488))
+SUMPRODUCT(-('Comp.'!$D$5:$D$313='Analítico Cp.'!$B142),-('Comp.'!$R$5:$R$313=N$1),('Comp.'!$E$5:$E$313))</f>
        <v>2890</v>
      </c>
      <c r="O142" s="186">
        <f t="shared" si="16"/>
        <v>33271.259999999995</v>
      </c>
      <c r="P142" s="187">
        <f t="shared" si="17"/>
        <v>3.4318026252161725E-3</v>
      </c>
      <c r="Q142" s="34"/>
      <c r="R142" s="34"/>
      <c r="S142" s="34"/>
      <c r="T142" s="34"/>
      <c r="U142" s="34"/>
      <c r="V142" s="34"/>
      <c r="W142" s="34"/>
      <c r="X142" s="34"/>
      <c r="Y142" s="34"/>
      <c r="Z142" s="34"/>
    </row>
    <row r="143" spans="1:26" ht="24.75" customHeight="1" x14ac:dyDescent="0.2">
      <c r="A143" s="203" t="s">
        <v>383</v>
      </c>
      <c r="B143" s="72" t="s">
        <v>384</v>
      </c>
      <c r="C143" s="185">
        <f>SUMPRODUCT(-('Diário 5º PA'!$E$5:$E$2634='Analítico Cp.'!$B143),-('Diário 5º PA'!$Q$5:$Q$2634=C$1),('Diário 5º PA'!$F$5:$F$2634))
+SUMPRODUCT(-('Diário 6º PA'!$E$5:$E$2246='Analítico Cp.'!$B143),-('Diário 6º PA'!$Q$5:$Q$2246=C$1),('Diário 6º PA'!$F$5:$F$2246))
+SUMPRODUCT(-('Diário 7º PA'!$E$5:$E$2271='Analítico Cp.'!$B143),-('Diário 7º PA'!$Q$5:$Q$2271=C$1),('Diário 7º PA'!$F$5:$F$2271))
+SUMPRODUCT(-('Diário 8º PA'!$E$5:$E$2488='Analítico Cp.'!$B143),-('Diário 8º PA'!$Q$5:$Q$2488=C$1),('Diário 8º PA'!$F$5:$F$2488))
+SUMPRODUCT(-('Comp.'!$D$5:$D$313='Analítico Cp.'!$B143),-('Comp.'!$R$5:$R$313=C$1),('Comp.'!$E$5:$E$313))</f>
        <v>0</v>
      </c>
      <c r="D143" s="185">
        <f>SUMPRODUCT(-('Diário 5º PA'!$E$5:$E$2634='Analítico Cp.'!$B143),-('Diário 5º PA'!$Q$5:$Q$2634=D$1),('Diário 5º PA'!$F$5:$F$2634))
+SUMPRODUCT(-('Diário 6º PA'!$E$5:$E$2246='Analítico Cp.'!$B143),-('Diário 6º PA'!$Q$5:$Q$2246=D$1),('Diário 6º PA'!$F$5:$F$2246))
+SUMPRODUCT(-('Diário 7º PA'!$E$5:$E$2271='Analítico Cp.'!$B143),-('Diário 7º PA'!$Q$5:$Q$2271=D$1),('Diário 7º PA'!$F$5:$F$2271))
+SUMPRODUCT(-('Diário 8º PA'!$E$5:$E$2488='Analítico Cp.'!$B143),-('Diário 8º PA'!$Q$5:$Q$2488=D$1),('Diário 8º PA'!$F$5:$F$2488))
+SUMPRODUCT(-('Comp.'!$D$5:$D$313='Analítico Cp.'!$B143),-('Comp.'!$R$5:$R$313=D$1),('Comp.'!$E$5:$E$313))</f>
        <v>0</v>
      </c>
      <c r="E143" s="185">
        <f>SUMPRODUCT(-('Diário 5º PA'!$E$5:$E$2634='Analítico Cp.'!$B143),-('Diário 5º PA'!$Q$5:$Q$2634=E$1),('Diário 5º PA'!$F$5:$F$2634))
+SUMPRODUCT(-('Diário 6º PA'!$E$5:$E$2246='Analítico Cp.'!$B143),-('Diário 6º PA'!$Q$5:$Q$2246=E$1),('Diário 6º PA'!$F$5:$F$2246))
+SUMPRODUCT(-('Diário 7º PA'!$E$5:$E$2271='Analítico Cp.'!$B143),-('Diário 7º PA'!$Q$5:$Q$2271=E$1),('Diário 7º PA'!$F$5:$F$2271))
+SUMPRODUCT(-('Diário 8º PA'!$E$5:$E$2488='Analítico Cp.'!$B143),-('Diário 8º PA'!$Q$5:$Q$2488=E$1),('Diário 8º PA'!$F$5:$F$2488))
+SUMPRODUCT(-('Comp.'!$D$5:$D$313='Analítico Cp.'!$B143),-('Comp.'!$R$5:$R$313=E$1),('Comp.'!$E$5:$E$313))</f>
        <v>0</v>
      </c>
      <c r="F143" s="185">
        <f>SUMPRODUCT(-('Diário 5º PA'!$E$5:$E$2634='Analítico Cp.'!$B143),-('Diário 5º PA'!$Q$5:$Q$2634=F$1),('Diário 5º PA'!$F$5:$F$2634))
+SUMPRODUCT(-('Diário 6º PA'!$E$5:$E$2246='Analítico Cp.'!$B143),-('Diário 6º PA'!$Q$5:$Q$2246=F$1),('Diário 6º PA'!$F$5:$F$2246))
+SUMPRODUCT(-('Diário 7º PA'!$E$5:$E$2271='Analítico Cp.'!$B143),-('Diário 7º PA'!$Q$5:$Q$2271=F$1),('Diário 7º PA'!$F$5:$F$2271))
+SUMPRODUCT(-('Diário 8º PA'!$E$5:$E$2488='Analítico Cp.'!$B143),-('Diário 8º PA'!$Q$5:$Q$2488=F$1),('Diário 8º PA'!$F$5:$F$2488))
+SUMPRODUCT(-('Comp.'!$D$5:$D$313='Analítico Cp.'!$B143),-('Comp.'!$R$5:$R$313=F$1),('Comp.'!$E$5:$E$313))</f>
        <v>5250</v>
      </c>
      <c r="G143" s="185">
        <f>SUMPRODUCT(-('Diário 5º PA'!$E$5:$E$2634='Analítico Cp.'!$B143),-('Diário 5º PA'!$Q$5:$Q$2634=G$1),('Diário 5º PA'!$F$5:$F$2634))
+SUMPRODUCT(-('Diário 6º PA'!$E$5:$E$2246='Analítico Cp.'!$B143),-('Diário 6º PA'!$Q$5:$Q$2246=G$1),('Diário 6º PA'!$F$5:$F$2246))
+SUMPRODUCT(-('Diário 7º PA'!$E$5:$E$2271='Analítico Cp.'!$B143),-('Diário 7º PA'!$Q$5:$Q$2271=G$1),('Diário 7º PA'!$F$5:$F$2271))
+SUMPRODUCT(-('Diário 8º PA'!$E$5:$E$2488='Analítico Cp.'!$B143),-('Diário 8º PA'!$Q$5:$Q$2488=G$1),('Diário 8º PA'!$F$5:$F$2488))
+SUMPRODUCT(-('Comp.'!$D$5:$D$313='Analítico Cp.'!$B143),-('Comp.'!$R$5:$R$313=G$1),('Comp.'!$E$5:$E$313))</f>
        <v>5250</v>
      </c>
      <c r="H143" s="185">
        <f>SUMPRODUCT(-('Diário 5º PA'!$E$5:$E$2634='Analítico Cp.'!$B143),-('Diário 5º PA'!$Q$5:$Q$2634=H$1),('Diário 5º PA'!$F$5:$F$2634))
+SUMPRODUCT(-('Diário 6º PA'!$E$5:$E$2246='Analítico Cp.'!$B143),-('Diário 6º PA'!$Q$5:$Q$2246=H$1),('Diário 6º PA'!$F$5:$F$2246))
+SUMPRODUCT(-('Diário 7º PA'!$E$5:$E$2271='Analítico Cp.'!$B143),-('Diário 7º PA'!$Q$5:$Q$2271=H$1),('Diário 7º PA'!$F$5:$F$2271))
+SUMPRODUCT(-('Diário 8º PA'!$E$5:$E$2488='Analítico Cp.'!$B143),-('Diário 8º PA'!$Q$5:$Q$2488=H$1),('Diário 8º PA'!$F$5:$F$2488))
+SUMPRODUCT(-('Comp.'!$D$5:$D$313='Analítico Cp.'!$B143),-('Comp.'!$R$5:$R$313=H$1),('Comp.'!$E$5:$E$313))</f>
        <v>5050</v>
      </c>
      <c r="I143" s="185">
        <f>SUMPRODUCT(-('Diário 5º PA'!$E$5:$E$2634='Analítico Cp.'!$B143),-('Diário 5º PA'!$Q$5:$Q$2634=I$1),('Diário 5º PA'!$F$5:$F$2634))
+SUMPRODUCT(-('Diário 6º PA'!$E$5:$E$2246='Analítico Cp.'!$B143),-('Diário 6º PA'!$Q$5:$Q$2246=I$1),('Diário 6º PA'!$F$5:$F$2246))
+SUMPRODUCT(-('Diário 7º PA'!$E$5:$E$2271='Analítico Cp.'!$B143),-('Diário 7º PA'!$Q$5:$Q$2271=I$1),('Diário 7º PA'!$F$5:$F$2271))
+SUMPRODUCT(-('Diário 8º PA'!$E$5:$E$2488='Analítico Cp.'!$B143),-('Diário 8º PA'!$Q$5:$Q$2488=I$1),('Diário 8º PA'!$F$5:$F$2488))
+SUMPRODUCT(-('Comp.'!$D$5:$D$313='Analítico Cp.'!$B143),-('Comp.'!$R$5:$R$313=I$1),('Comp.'!$E$5:$E$313))</f>
        <v>0</v>
      </c>
      <c r="J143" s="185">
        <f>SUMPRODUCT(-('Diário 5º PA'!$E$5:$E$2634='Analítico Cp.'!$B143),-('Diário 5º PA'!$Q$5:$Q$2634=J$1),('Diário 5º PA'!$F$5:$F$2634))
+SUMPRODUCT(-('Diário 6º PA'!$E$5:$E$2246='Analítico Cp.'!$B143),-('Diário 6º PA'!$Q$5:$Q$2246=J$1),('Diário 6º PA'!$F$5:$F$2246))
+SUMPRODUCT(-('Diário 7º PA'!$E$5:$E$2271='Analítico Cp.'!$B143),-('Diário 7º PA'!$Q$5:$Q$2271=J$1),('Diário 7º PA'!$F$5:$F$2271))
+SUMPRODUCT(-('Diário 8º PA'!$E$5:$E$2488='Analítico Cp.'!$B143),-('Diário 8º PA'!$Q$5:$Q$2488=J$1),('Diário 8º PA'!$F$5:$F$2488))
+SUMPRODUCT(-('Comp.'!$D$5:$D$313='Analítico Cp.'!$B143),-('Comp.'!$R$5:$R$313=J$1),('Comp.'!$E$5:$E$313))</f>
        <v>0</v>
      </c>
      <c r="K143" s="185">
        <f>SUMPRODUCT(-('Diário 5º PA'!$E$5:$E$2634='Analítico Cp.'!$B143),-('Diário 5º PA'!$Q$5:$Q$2634=K$1),('Diário 5º PA'!$F$5:$F$2634))
+SUMPRODUCT(-('Diário 6º PA'!$E$5:$E$2246='Analítico Cp.'!$B143),-('Diário 6º PA'!$Q$5:$Q$2246=K$1),('Diário 6º PA'!$F$5:$F$2246))
+SUMPRODUCT(-('Diário 7º PA'!$E$5:$E$2271='Analítico Cp.'!$B143),-('Diário 7º PA'!$Q$5:$Q$2271=K$1),('Diário 7º PA'!$F$5:$F$2271))
+SUMPRODUCT(-('Diário 8º PA'!$E$5:$E$2488='Analítico Cp.'!$B143),-('Diário 8º PA'!$Q$5:$Q$2488=K$1),('Diário 8º PA'!$F$5:$F$2488))
+SUMPRODUCT(-('Comp.'!$D$5:$D$313='Analítico Cp.'!$B143),-('Comp.'!$R$5:$R$313=K$1),('Comp.'!$E$5:$E$313))</f>
        <v>0</v>
      </c>
      <c r="L143" s="185">
        <f>SUMPRODUCT(-('Diário 5º PA'!$E$5:$E$2634='Analítico Cp.'!$B143),-('Diário 5º PA'!$Q$5:$Q$2634=L$1),('Diário 5º PA'!$F$5:$F$2634))
+SUMPRODUCT(-('Diário 6º PA'!$E$5:$E$2246='Analítico Cp.'!$B143),-('Diário 6º PA'!$Q$5:$Q$2246=L$1),('Diário 6º PA'!$F$5:$F$2246))
+SUMPRODUCT(-('Diário 7º PA'!$E$5:$E$2271='Analítico Cp.'!$B143),-('Diário 7º PA'!$Q$5:$Q$2271=L$1),('Diário 7º PA'!$F$5:$F$2271))
+SUMPRODUCT(-('Diário 8º PA'!$E$5:$E$2488='Analítico Cp.'!$B143),-('Diário 8º PA'!$Q$5:$Q$2488=L$1),('Diário 8º PA'!$F$5:$F$2488))
+SUMPRODUCT(-('Comp.'!$D$5:$D$313='Analítico Cp.'!$B143),-('Comp.'!$R$5:$R$313=L$1),('Comp.'!$E$5:$E$313))</f>
        <v>0</v>
      </c>
      <c r="M143" s="185">
        <f>SUMPRODUCT(-('Diário 5º PA'!$E$5:$E$2634='Analítico Cp.'!$B143),-('Diário 5º PA'!$Q$5:$Q$2634=M$1),('Diário 5º PA'!$F$5:$F$2634))
+SUMPRODUCT(-('Diário 6º PA'!$E$5:$E$2246='Analítico Cp.'!$B143),-('Diário 6º PA'!$Q$5:$Q$2246=M$1),('Diário 6º PA'!$F$5:$F$2246))
+SUMPRODUCT(-('Diário 7º PA'!$E$5:$E$2271='Analítico Cp.'!$B143),-('Diário 7º PA'!$Q$5:$Q$2271=M$1),('Diário 7º PA'!$F$5:$F$2271))
+SUMPRODUCT(-('Diário 8º PA'!$E$5:$E$2488='Analítico Cp.'!$B143),-('Diário 8º PA'!$Q$5:$Q$2488=M$1),('Diário 8º PA'!$F$5:$F$2488))
+SUMPRODUCT(-('Comp.'!$D$5:$D$313='Analítico Cp.'!$B143),-('Comp.'!$R$5:$R$313=M$1),('Comp.'!$E$5:$E$313))</f>
        <v>0</v>
      </c>
      <c r="N143" s="185">
        <f>SUMPRODUCT(-('Diário 5º PA'!$E$5:$E$2634='Analítico Cp.'!$B143),-('Diário 5º PA'!$Q$5:$Q$2634=N$1),('Diário 5º PA'!$F$5:$F$2634))
+SUMPRODUCT(-('Diário 6º PA'!$E$5:$E$2246='Analítico Cp.'!$B143),-('Diário 6º PA'!$Q$5:$Q$2246=N$1),('Diário 6º PA'!$F$5:$F$2246))
+SUMPRODUCT(-('Diário 7º PA'!$E$5:$E$2271='Analítico Cp.'!$B143),-('Diário 7º PA'!$Q$5:$Q$2271=N$1),('Diário 7º PA'!$F$5:$F$2271))
+SUMPRODUCT(-('Diário 8º PA'!$E$5:$E$2488='Analítico Cp.'!$B143),-('Diário 8º PA'!$Q$5:$Q$2488=N$1),('Diário 8º PA'!$F$5:$F$2488))
+SUMPRODUCT(-('Comp.'!$D$5:$D$313='Analítico Cp.'!$B143),-('Comp.'!$R$5:$R$313=N$1),('Comp.'!$E$5:$E$313))</f>
        <v>0</v>
      </c>
      <c r="O143" s="186">
        <f t="shared" si="16"/>
        <v>15550</v>
      </c>
      <c r="P143" s="187">
        <f t="shared" si="17"/>
        <v>1.6039227496076642E-3</v>
      </c>
      <c r="Q143" s="34"/>
      <c r="R143" s="34"/>
      <c r="S143" s="34"/>
      <c r="T143" s="34"/>
      <c r="U143" s="34"/>
      <c r="V143" s="34"/>
      <c r="W143" s="34"/>
      <c r="X143" s="34"/>
      <c r="Y143" s="34"/>
      <c r="Z143" s="34"/>
    </row>
    <row r="144" spans="1:26" ht="12.75" customHeight="1" x14ac:dyDescent="0.2">
      <c r="A144" s="203" t="s">
        <v>385</v>
      </c>
      <c r="B144" s="72" t="s">
        <v>386</v>
      </c>
      <c r="C144" s="185">
        <f>SUMPRODUCT(-('Diário 5º PA'!$E$5:$E$2634='Analítico Cp.'!$B144),-('Diário 5º PA'!$Q$5:$Q$2634=C$1),('Diário 5º PA'!$F$5:$F$2634))
+SUMPRODUCT(-('Diário 6º PA'!$E$5:$E$2246='Analítico Cp.'!$B144),-('Diário 6º PA'!$Q$5:$Q$2246=C$1),('Diário 6º PA'!$F$5:$F$2246))
+SUMPRODUCT(-('Diário 7º PA'!$E$5:$E$2271='Analítico Cp.'!$B144),-('Diário 7º PA'!$Q$5:$Q$2271=C$1),('Diário 7º PA'!$F$5:$F$2271))
+SUMPRODUCT(-('Diário 8º PA'!$E$5:$E$2488='Analítico Cp.'!$B144),-('Diário 8º PA'!$Q$5:$Q$2488=C$1),('Diário 8º PA'!$F$5:$F$2488))
+SUMPRODUCT(-('Comp.'!$D$5:$D$313='Analítico Cp.'!$B144),-('Comp.'!$R$5:$R$313=C$1),('Comp.'!$E$5:$E$313))</f>
        <v>0</v>
      </c>
      <c r="D144" s="185">
        <f>SUMPRODUCT(-('Diário 5º PA'!$E$5:$E$2634='Analítico Cp.'!$B144),-('Diário 5º PA'!$Q$5:$Q$2634=D$1),('Diário 5º PA'!$F$5:$F$2634))
+SUMPRODUCT(-('Diário 6º PA'!$E$5:$E$2246='Analítico Cp.'!$B144),-('Diário 6º PA'!$Q$5:$Q$2246=D$1),('Diário 6º PA'!$F$5:$F$2246))
+SUMPRODUCT(-('Diário 7º PA'!$E$5:$E$2271='Analítico Cp.'!$B144),-('Diário 7º PA'!$Q$5:$Q$2271=D$1),('Diário 7º PA'!$F$5:$F$2271))
+SUMPRODUCT(-('Diário 8º PA'!$E$5:$E$2488='Analítico Cp.'!$B144),-('Diário 8º PA'!$Q$5:$Q$2488=D$1),('Diário 8º PA'!$F$5:$F$2488))
+SUMPRODUCT(-('Comp.'!$D$5:$D$313='Analítico Cp.'!$B144),-('Comp.'!$R$5:$R$313=D$1),('Comp.'!$E$5:$E$313))</f>
        <v>0</v>
      </c>
      <c r="E144" s="185">
        <f>SUMPRODUCT(-('Diário 5º PA'!$E$5:$E$2634='Analítico Cp.'!$B144),-('Diário 5º PA'!$Q$5:$Q$2634=E$1),('Diário 5º PA'!$F$5:$F$2634))
+SUMPRODUCT(-('Diário 6º PA'!$E$5:$E$2246='Analítico Cp.'!$B144),-('Diário 6º PA'!$Q$5:$Q$2246=E$1),('Diário 6º PA'!$F$5:$F$2246))
+SUMPRODUCT(-('Diário 7º PA'!$E$5:$E$2271='Analítico Cp.'!$B144),-('Diário 7º PA'!$Q$5:$Q$2271=E$1),('Diário 7º PA'!$F$5:$F$2271))
+SUMPRODUCT(-('Diário 8º PA'!$E$5:$E$2488='Analítico Cp.'!$B144),-('Diário 8º PA'!$Q$5:$Q$2488=E$1),('Diário 8º PA'!$F$5:$F$2488))
+SUMPRODUCT(-('Comp.'!$D$5:$D$313='Analítico Cp.'!$B144),-('Comp.'!$R$5:$R$313=E$1),('Comp.'!$E$5:$E$313))</f>
        <v>0</v>
      </c>
      <c r="F144" s="185">
        <f>SUMPRODUCT(-('Diário 5º PA'!$E$5:$E$2634='Analítico Cp.'!$B144),-('Diário 5º PA'!$Q$5:$Q$2634=F$1),('Diário 5º PA'!$F$5:$F$2634))
+SUMPRODUCT(-('Diário 6º PA'!$E$5:$E$2246='Analítico Cp.'!$B144),-('Diário 6º PA'!$Q$5:$Q$2246=F$1),('Diário 6º PA'!$F$5:$F$2246))
+SUMPRODUCT(-('Diário 7º PA'!$E$5:$E$2271='Analítico Cp.'!$B144),-('Diário 7º PA'!$Q$5:$Q$2271=F$1),('Diário 7º PA'!$F$5:$F$2271))
+SUMPRODUCT(-('Diário 8º PA'!$E$5:$E$2488='Analítico Cp.'!$B144),-('Diário 8º PA'!$Q$5:$Q$2488=F$1),('Diário 8º PA'!$F$5:$F$2488))
+SUMPRODUCT(-('Comp.'!$D$5:$D$313='Analítico Cp.'!$B144),-('Comp.'!$R$5:$R$313=F$1),('Comp.'!$E$5:$E$313))</f>
        <v>0</v>
      </c>
      <c r="G144" s="185">
        <f>SUMPRODUCT(-('Diário 5º PA'!$E$5:$E$2634='Analítico Cp.'!$B144),-('Diário 5º PA'!$Q$5:$Q$2634=G$1),('Diário 5º PA'!$F$5:$F$2634))
+SUMPRODUCT(-('Diário 6º PA'!$E$5:$E$2246='Analítico Cp.'!$B144),-('Diário 6º PA'!$Q$5:$Q$2246=G$1),('Diário 6º PA'!$F$5:$F$2246))
+SUMPRODUCT(-('Diário 7º PA'!$E$5:$E$2271='Analítico Cp.'!$B144),-('Diário 7º PA'!$Q$5:$Q$2271=G$1),('Diário 7º PA'!$F$5:$F$2271))
+SUMPRODUCT(-('Diário 8º PA'!$E$5:$E$2488='Analítico Cp.'!$B144),-('Diário 8º PA'!$Q$5:$Q$2488=G$1),('Diário 8º PA'!$F$5:$F$2488))
+SUMPRODUCT(-('Comp.'!$D$5:$D$313='Analítico Cp.'!$B144),-('Comp.'!$R$5:$R$313=G$1),('Comp.'!$E$5:$E$313))</f>
        <v>15129.599999999999</v>
      </c>
      <c r="H144" s="185">
        <f>SUMPRODUCT(-('Diário 5º PA'!$E$5:$E$2634='Analítico Cp.'!$B144),-('Diário 5º PA'!$Q$5:$Q$2634=H$1),('Diário 5º PA'!$F$5:$F$2634))
+SUMPRODUCT(-('Diário 6º PA'!$E$5:$E$2246='Analítico Cp.'!$B144),-('Diário 6º PA'!$Q$5:$Q$2246=H$1),('Diário 6º PA'!$F$5:$F$2246))
+SUMPRODUCT(-('Diário 7º PA'!$E$5:$E$2271='Analítico Cp.'!$B144),-('Diário 7º PA'!$Q$5:$Q$2271=H$1),('Diário 7º PA'!$F$5:$F$2271))
+SUMPRODUCT(-('Diário 8º PA'!$E$5:$E$2488='Analítico Cp.'!$B144),-('Diário 8º PA'!$Q$5:$Q$2488=H$1),('Diário 8º PA'!$F$5:$F$2488))
+SUMPRODUCT(-('Comp.'!$D$5:$D$313='Analítico Cp.'!$B144),-('Comp.'!$R$5:$R$313=H$1),('Comp.'!$E$5:$E$313))</f>
        <v>0</v>
      </c>
      <c r="I144" s="185">
        <f>SUMPRODUCT(-('Diário 5º PA'!$E$5:$E$2634='Analítico Cp.'!$B144),-('Diário 5º PA'!$Q$5:$Q$2634=I$1),('Diário 5º PA'!$F$5:$F$2634))
+SUMPRODUCT(-('Diário 6º PA'!$E$5:$E$2246='Analítico Cp.'!$B144),-('Diário 6º PA'!$Q$5:$Q$2246=I$1),('Diário 6º PA'!$F$5:$F$2246))
+SUMPRODUCT(-('Diário 7º PA'!$E$5:$E$2271='Analítico Cp.'!$B144),-('Diário 7º PA'!$Q$5:$Q$2271=I$1),('Diário 7º PA'!$F$5:$F$2271))
+SUMPRODUCT(-('Diário 8º PA'!$E$5:$E$2488='Analítico Cp.'!$B144),-('Diário 8º PA'!$Q$5:$Q$2488=I$1),('Diário 8º PA'!$F$5:$F$2488))
+SUMPRODUCT(-('Comp.'!$D$5:$D$313='Analítico Cp.'!$B144),-('Comp.'!$R$5:$R$313=I$1),('Comp.'!$E$5:$E$313))</f>
        <v>0</v>
      </c>
      <c r="J144" s="185">
        <f>SUMPRODUCT(-('Diário 5º PA'!$E$5:$E$2634='Analítico Cp.'!$B144),-('Diário 5º PA'!$Q$5:$Q$2634=J$1),('Diário 5º PA'!$F$5:$F$2634))
+SUMPRODUCT(-('Diário 6º PA'!$E$5:$E$2246='Analítico Cp.'!$B144),-('Diário 6º PA'!$Q$5:$Q$2246=J$1),('Diário 6º PA'!$F$5:$F$2246))
+SUMPRODUCT(-('Diário 7º PA'!$E$5:$E$2271='Analítico Cp.'!$B144),-('Diário 7º PA'!$Q$5:$Q$2271=J$1),('Diário 7º PA'!$F$5:$F$2271))
+SUMPRODUCT(-('Diário 8º PA'!$E$5:$E$2488='Analítico Cp.'!$B144),-('Diário 8º PA'!$Q$5:$Q$2488=J$1),('Diário 8º PA'!$F$5:$F$2488))
+SUMPRODUCT(-('Comp.'!$D$5:$D$313='Analítico Cp.'!$B144),-('Comp.'!$R$5:$R$313=J$1),('Comp.'!$E$5:$E$313))</f>
        <v>0</v>
      </c>
      <c r="K144" s="185">
        <f>SUMPRODUCT(-('Diário 5º PA'!$E$5:$E$2634='Analítico Cp.'!$B144),-('Diário 5º PA'!$Q$5:$Q$2634=K$1),('Diário 5º PA'!$F$5:$F$2634))
+SUMPRODUCT(-('Diário 6º PA'!$E$5:$E$2246='Analítico Cp.'!$B144),-('Diário 6º PA'!$Q$5:$Q$2246=K$1),('Diário 6º PA'!$F$5:$F$2246))
+SUMPRODUCT(-('Diário 7º PA'!$E$5:$E$2271='Analítico Cp.'!$B144),-('Diário 7º PA'!$Q$5:$Q$2271=K$1),('Diário 7º PA'!$F$5:$F$2271))
+SUMPRODUCT(-('Diário 8º PA'!$E$5:$E$2488='Analítico Cp.'!$B144),-('Diário 8º PA'!$Q$5:$Q$2488=K$1),('Diário 8º PA'!$F$5:$F$2488))
+SUMPRODUCT(-('Comp.'!$D$5:$D$313='Analítico Cp.'!$B144),-('Comp.'!$R$5:$R$313=K$1),('Comp.'!$E$5:$E$313))</f>
        <v>0</v>
      </c>
      <c r="L144" s="185">
        <f>SUMPRODUCT(-('Diário 5º PA'!$E$5:$E$2634='Analítico Cp.'!$B144),-('Diário 5º PA'!$Q$5:$Q$2634=L$1),('Diário 5º PA'!$F$5:$F$2634))
+SUMPRODUCT(-('Diário 6º PA'!$E$5:$E$2246='Analítico Cp.'!$B144),-('Diário 6º PA'!$Q$5:$Q$2246=L$1),('Diário 6º PA'!$F$5:$F$2246))
+SUMPRODUCT(-('Diário 7º PA'!$E$5:$E$2271='Analítico Cp.'!$B144),-('Diário 7º PA'!$Q$5:$Q$2271=L$1),('Diário 7º PA'!$F$5:$F$2271))
+SUMPRODUCT(-('Diário 8º PA'!$E$5:$E$2488='Analítico Cp.'!$B144),-('Diário 8º PA'!$Q$5:$Q$2488=L$1),('Diário 8º PA'!$F$5:$F$2488))
+SUMPRODUCT(-('Comp.'!$D$5:$D$313='Analítico Cp.'!$B144),-('Comp.'!$R$5:$R$313=L$1),('Comp.'!$E$5:$E$313))</f>
        <v>0</v>
      </c>
      <c r="M144" s="185">
        <f>SUMPRODUCT(-('Diário 5º PA'!$E$5:$E$2634='Analítico Cp.'!$B144),-('Diário 5º PA'!$Q$5:$Q$2634=M$1),('Diário 5º PA'!$F$5:$F$2634))
+SUMPRODUCT(-('Diário 6º PA'!$E$5:$E$2246='Analítico Cp.'!$B144),-('Diário 6º PA'!$Q$5:$Q$2246=M$1),('Diário 6º PA'!$F$5:$F$2246))
+SUMPRODUCT(-('Diário 7º PA'!$E$5:$E$2271='Analítico Cp.'!$B144),-('Diário 7º PA'!$Q$5:$Q$2271=M$1),('Diário 7º PA'!$F$5:$F$2271))
+SUMPRODUCT(-('Diário 8º PA'!$E$5:$E$2488='Analítico Cp.'!$B144),-('Diário 8º PA'!$Q$5:$Q$2488=M$1),('Diário 8º PA'!$F$5:$F$2488))
+SUMPRODUCT(-('Comp.'!$D$5:$D$313='Analítico Cp.'!$B144),-('Comp.'!$R$5:$R$313=M$1),('Comp.'!$E$5:$E$313))</f>
        <v>0</v>
      </c>
      <c r="N144" s="185">
        <f>SUMPRODUCT(-('Diário 5º PA'!$E$5:$E$2634='Analítico Cp.'!$B144),-('Diário 5º PA'!$Q$5:$Q$2634=N$1),('Diário 5º PA'!$F$5:$F$2634))
+SUMPRODUCT(-('Diário 6º PA'!$E$5:$E$2246='Analítico Cp.'!$B144),-('Diário 6º PA'!$Q$5:$Q$2246=N$1),('Diário 6º PA'!$F$5:$F$2246))
+SUMPRODUCT(-('Diário 7º PA'!$E$5:$E$2271='Analítico Cp.'!$B144),-('Diário 7º PA'!$Q$5:$Q$2271=N$1),('Diário 7º PA'!$F$5:$F$2271))
+SUMPRODUCT(-('Diário 8º PA'!$E$5:$E$2488='Analítico Cp.'!$B144),-('Diário 8º PA'!$Q$5:$Q$2488=N$1),('Diário 8º PA'!$F$5:$F$2488))
+SUMPRODUCT(-('Comp.'!$D$5:$D$313='Analítico Cp.'!$B144),-('Comp.'!$R$5:$R$313=N$1),('Comp.'!$E$5:$E$313))</f>
        <v>4000</v>
      </c>
      <c r="O144" s="186">
        <f t="shared" si="16"/>
        <v>19129.599999999999</v>
      </c>
      <c r="P144" s="187">
        <f t="shared" si="17"/>
        <v>1.9731447351057732E-3</v>
      </c>
      <c r="Q144" s="34"/>
      <c r="R144" s="34"/>
      <c r="S144" s="34"/>
      <c r="T144" s="34"/>
      <c r="U144" s="34"/>
      <c r="V144" s="34"/>
      <c r="W144" s="34"/>
      <c r="X144" s="34"/>
      <c r="Y144" s="34"/>
      <c r="Z144" s="34"/>
    </row>
    <row r="145" spans="1:26" ht="23.25" customHeight="1" x14ac:dyDescent="0.2">
      <c r="A145" s="223"/>
      <c r="B145" s="224" t="s">
        <v>387</v>
      </c>
      <c r="C145" s="191">
        <f t="shared" ref="C145:O145" si="18">SUBTOTAL(109,C55:C144)</f>
        <v>167571.92999999996</v>
      </c>
      <c r="D145" s="191">
        <f t="shared" si="18"/>
        <v>165826.86000000002</v>
      </c>
      <c r="E145" s="191">
        <f t="shared" si="18"/>
        <v>155470.86900000001</v>
      </c>
      <c r="F145" s="191">
        <f t="shared" si="18"/>
        <v>256655.88</v>
      </c>
      <c r="G145" s="191">
        <f t="shared" si="18"/>
        <v>282232.11999999994</v>
      </c>
      <c r="H145" s="191">
        <f t="shared" si="18"/>
        <v>397692.97000000003</v>
      </c>
      <c r="I145" s="191">
        <f t="shared" si="18"/>
        <v>286842.91000000003</v>
      </c>
      <c r="J145" s="191">
        <f t="shared" si="18"/>
        <v>346431.08</v>
      </c>
      <c r="K145" s="191">
        <f t="shared" si="18"/>
        <v>171699.64</v>
      </c>
      <c r="L145" s="191">
        <f t="shared" si="18"/>
        <v>281585.82</v>
      </c>
      <c r="M145" s="191">
        <f t="shared" si="18"/>
        <v>228870.64</v>
      </c>
      <c r="N145" s="191">
        <f t="shared" si="18"/>
        <v>178579.34000000003</v>
      </c>
      <c r="O145" s="191">
        <f t="shared" si="18"/>
        <v>2919460.0589999999</v>
      </c>
      <c r="P145" s="225">
        <f t="shared" si="17"/>
        <v>0.30113108715119186</v>
      </c>
      <c r="Q145" s="34"/>
      <c r="R145" s="34"/>
      <c r="S145" s="34"/>
      <c r="T145" s="34"/>
      <c r="U145" s="34"/>
      <c r="V145" s="34"/>
      <c r="W145" s="34"/>
      <c r="X145" s="34"/>
      <c r="Y145" s="34"/>
      <c r="Z145" s="34"/>
    </row>
    <row r="146" spans="1:26" ht="23.25" customHeight="1" x14ac:dyDescent="0.2">
      <c r="A146" s="226" t="s">
        <v>100</v>
      </c>
      <c r="B146" s="85" t="s">
        <v>101</v>
      </c>
      <c r="C146" s="222"/>
      <c r="D146" s="222"/>
      <c r="E146" s="222"/>
      <c r="F146" s="222"/>
      <c r="G146" s="222"/>
      <c r="H146" s="222"/>
      <c r="I146" s="222"/>
      <c r="J146" s="222"/>
      <c r="K146" s="222"/>
      <c r="L146" s="222"/>
      <c r="M146" s="222"/>
      <c r="N146" s="222"/>
      <c r="O146" s="222"/>
      <c r="P146" s="180"/>
      <c r="Q146" s="34"/>
      <c r="R146" s="34"/>
      <c r="S146" s="34"/>
      <c r="T146" s="34"/>
      <c r="U146" s="34"/>
      <c r="V146" s="34"/>
      <c r="W146" s="34"/>
      <c r="X146" s="34"/>
      <c r="Y146" s="34"/>
      <c r="Z146" s="34"/>
    </row>
    <row r="147" spans="1:26" ht="23.25" customHeight="1" x14ac:dyDescent="0.2">
      <c r="A147" s="203" t="s">
        <v>388</v>
      </c>
      <c r="B147" s="204" t="s">
        <v>389</v>
      </c>
      <c r="C147" s="185">
        <f>SUMPRODUCT(-('Diário 5º PA'!$E$5:$E$2634='Analítico Cp.'!$B147),-('Diário 5º PA'!$Q$5:$Q$2634=C$1),('Diário 5º PA'!$F$5:$F$2634))
+SUMPRODUCT(-('Diário 6º PA'!$E$5:$E$2246='Analítico Cp.'!$B147),-('Diário 6º PA'!$Q$5:$Q$2246=C$1),('Diário 6º PA'!$F$5:$F$2246))
+SUMPRODUCT(-('Diário 7º PA'!$E$5:$E$2271='Analítico Cp.'!$B147),-('Diário 7º PA'!$Q$5:$Q$2271=C$1),('Diário 7º PA'!$F$5:$F$2271))
+SUMPRODUCT(-('Diário 8º PA'!$E$5:$E$2488='Analítico Cp.'!$B147),-('Diário 8º PA'!$Q$5:$Q$2488=C$1),('Diário 8º PA'!$F$5:$F$2488))
+SUMPRODUCT(-('Comp.'!$D$5:$D$313='Analítico Cp.'!$B147),-('Comp.'!$R$5:$R$313=C$1),('Comp.'!$E$5:$E$313))</f>
        <v>0</v>
      </c>
      <c r="D147" s="185">
        <f>SUMPRODUCT(-('Diário 5º PA'!$E$5:$E$2634='Analítico Cp.'!$B147),-('Diário 5º PA'!$Q$5:$Q$2634=D$1),('Diário 5º PA'!$F$5:$F$2634))
+SUMPRODUCT(-('Diário 6º PA'!$E$5:$E$2246='Analítico Cp.'!$B147),-('Diário 6º PA'!$Q$5:$Q$2246=D$1),('Diário 6º PA'!$F$5:$F$2246))
+SUMPRODUCT(-('Diário 7º PA'!$E$5:$E$2271='Analítico Cp.'!$B147),-('Diário 7º PA'!$Q$5:$Q$2271=D$1),('Diário 7º PA'!$F$5:$F$2271))
+SUMPRODUCT(-('Diário 8º PA'!$E$5:$E$2488='Analítico Cp.'!$B147),-('Diário 8º PA'!$Q$5:$Q$2488=D$1),('Diário 8º PA'!$F$5:$F$2488))
+SUMPRODUCT(-('Comp.'!$D$5:$D$313='Analítico Cp.'!$B147),-('Comp.'!$R$5:$R$313=D$1),('Comp.'!$E$5:$E$313))</f>
        <v>0</v>
      </c>
      <c r="E147" s="185">
        <f>SUMPRODUCT(-('Diário 5º PA'!$E$5:$E$2634='Analítico Cp.'!$B147),-('Diário 5º PA'!$Q$5:$Q$2634=E$1),('Diário 5º PA'!$F$5:$F$2634))
+SUMPRODUCT(-('Diário 6º PA'!$E$5:$E$2246='Analítico Cp.'!$B147),-('Diário 6º PA'!$Q$5:$Q$2246=E$1),('Diário 6º PA'!$F$5:$F$2246))
+SUMPRODUCT(-('Diário 7º PA'!$E$5:$E$2271='Analítico Cp.'!$B147),-('Diário 7º PA'!$Q$5:$Q$2271=E$1),('Diário 7º PA'!$F$5:$F$2271))
+SUMPRODUCT(-('Diário 8º PA'!$E$5:$E$2488='Analítico Cp.'!$B147),-('Diário 8º PA'!$Q$5:$Q$2488=E$1),('Diário 8º PA'!$F$5:$F$2488))
+SUMPRODUCT(-('Comp.'!$D$5:$D$313='Analítico Cp.'!$B147),-('Comp.'!$R$5:$R$313=E$1),('Comp.'!$E$5:$E$313))</f>
        <v>0</v>
      </c>
      <c r="F147" s="185">
        <f>SUMPRODUCT(-('Diário 5º PA'!$E$5:$E$2634='Analítico Cp.'!$B147),-('Diário 5º PA'!$Q$5:$Q$2634=F$1),('Diário 5º PA'!$F$5:$F$2634))
+SUMPRODUCT(-('Diário 6º PA'!$E$5:$E$2246='Analítico Cp.'!$B147),-('Diário 6º PA'!$Q$5:$Q$2246=F$1),('Diário 6º PA'!$F$5:$F$2246))
+SUMPRODUCT(-('Diário 7º PA'!$E$5:$E$2271='Analítico Cp.'!$B147),-('Diário 7º PA'!$Q$5:$Q$2271=F$1),('Diário 7º PA'!$F$5:$F$2271))
+SUMPRODUCT(-('Diário 8º PA'!$E$5:$E$2488='Analítico Cp.'!$B147),-('Diário 8º PA'!$Q$5:$Q$2488=F$1),('Diário 8º PA'!$F$5:$F$2488))
+SUMPRODUCT(-('Comp.'!$D$5:$D$313='Analítico Cp.'!$B147),-('Comp.'!$R$5:$R$313=F$1),('Comp.'!$E$5:$E$313))</f>
        <v>0</v>
      </c>
      <c r="G147" s="185">
        <f>SUMPRODUCT(-('Diário 5º PA'!$E$5:$E$2634='Analítico Cp.'!$B147),-('Diário 5º PA'!$Q$5:$Q$2634=G$1),('Diário 5º PA'!$F$5:$F$2634))
+SUMPRODUCT(-('Diário 6º PA'!$E$5:$E$2246='Analítico Cp.'!$B147),-('Diário 6º PA'!$Q$5:$Q$2246=G$1),('Diário 6º PA'!$F$5:$F$2246))
+SUMPRODUCT(-('Diário 7º PA'!$E$5:$E$2271='Analítico Cp.'!$B147),-('Diário 7º PA'!$Q$5:$Q$2271=G$1),('Diário 7º PA'!$F$5:$F$2271))
+SUMPRODUCT(-('Diário 8º PA'!$E$5:$E$2488='Analítico Cp.'!$B147),-('Diário 8º PA'!$Q$5:$Q$2488=G$1),('Diário 8º PA'!$F$5:$F$2488))
+SUMPRODUCT(-('Comp.'!$D$5:$D$313='Analítico Cp.'!$B147),-('Comp.'!$R$5:$R$313=G$1),('Comp.'!$E$5:$E$313))</f>
        <v>0</v>
      </c>
      <c r="H147" s="185">
        <f>SUMPRODUCT(-('Diário 5º PA'!$E$5:$E$2634='Analítico Cp.'!$B147),-('Diário 5º PA'!$Q$5:$Q$2634=H$1),('Diário 5º PA'!$F$5:$F$2634))
+SUMPRODUCT(-('Diário 6º PA'!$E$5:$E$2246='Analítico Cp.'!$B147),-('Diário 6º PA'!$Q$5:$Q$2246=H$1),('Diário 6º PA'!$F$5:$F$2246))
+SUMPRODUCT(-('Diário 7º PA'!$E$5:$E$2271='Analítico Cp.'!$B147),-('Diário 7º PA'!$Q$5:$Q$2271=H$1),('Diário 7º PA'!$F$5:$F$2271))
+SUMPRODUCT(-('Diário 8º PA'!$E$5:$E$2488='Analítico Cp.'!$B147),-('Diário 8º PA'!$Q$5:$Q$2488=H$1),('Diário 8º PA'!$F$5:$F$2488))
+SUMPRODUCT(-('Comp.'!$D$5:$D$313='Analítico Cp.'!$B147),-('Comp.'!$R$5:$R$313=H$1),('Comp.'!$E$5:$E$313))</f>
        <v>0</v>
      </c>
      <c r="I147" s="185">
        <f>SUMPRODUCT(-('Diário 5º PA'!$E$5:$E$2634='Analítico Cp.'!$B147),-('Diário 5º PA'!$Q$5:$Q$2634=I$1),('Diário 5º PA'!$F$5:$F$2634))
+SUMPRODUCT(-('Diário 6º PA'!$E$5:$E$2246='Analítico Cp.'!$B147),-('Diário 6º PA'!$Q$5:$Q$2246=I$1),('Diário 6º PA'!$F$5:$F$2246))
+SUMPRODUCT(-('Diário 7º PA'!$E$5:$E$2271='Analítico Cp.'!$B147),-('Diário 7º PA'!$Q$5:$Q$2271=I$1),('Diário 7º PA'!$F$5:$F$2271))
+SUMPRODUCT(-('Diário 8º PA'!$E$5:$E$2488='Analítico Cp.'!$B147),-('Diário 8º PA'!$Q$5:$Q$2488=I$1),('Diário 8º PA'!$F$5:$F$2488))
+SUMPRODUCT(-('Comp.'!$D$5:$D$313='Analítico Cp.'!$B147),-('Comp.'!$R$5:$R$313=I$1),('Comp.'!$E$5:$E$313))</f>
        <v>0</v>
      </c>
      <c r="J147" s="185">
        <f>SUMPRODUCT(-('Diário 5º PA'!$E$5:$E$2634='Analítico Cp.'!$B147),-('Diário 5º PA'!$Q$5:$Q$2634=J$1),('Diário 5º PA'!$F$5:$F$2634))
+SUMPRODUCT(-('Diário 6º PA'!$E$5:$E$2246='Analítico Cp.'!$B147),-('Diário 6º PA'!$Q$5:$Q$2246=J$1),('Diário 6º PA'!$F$5:$F$2246))
+SUMPRODUCT(-('Diário 7º PA'!$E$5:$E$2271='Analítico Cp.'!$B147),-('Diário 7º PA'!$Q$5:$Q$2271=J$1),('Diário 7º PA'!$F$5:$F$2271))
+SUMPRODUCT(-('Diário 8º PA'!$E$5:$E$2488='Analítico Cp.'!$B147),-('Diário 8º PA'!$Q$5:$Q$2488=J$1),('Diário 8º PA'!$F$5:$F$2488))
+SUMPRODUCT(-('Comp.'!$D$5:$D$313='Analítico Cp.'!$B147),-('Comp.'!$R$5:$R$313=J$1),('Comp.'!$E$5:$E$313))</f>
        <v>0</v>
      </c>
      <c r="K147" s="185">
        <f>SUMPRODUCT(-('Diário 5º PA'!$E$5:$E$2634='Analítico Cp.'!$B147),-('Diário 5º PA'!$Q$5:$Q$2634=K$1),('Diário 5º PA'!$F$5:$F$2634))
+SUMPRODUCT(-('Diário 6º PA'!$E$5:$E$2246='Analítico Cp.'!$B147),-('Diário 6º PA'!$Q$5:$Q$2246=K$1),('Diário 6º PA'!$F$5:$F$2246))
+SUMPRODUCT(-('Diário 7º PA'!$E$5:$E$2271='Analítico Cp.'!$B147),-('Diário 7º PA'!$Q$5:$Q$2271=K$1),('Diário 7º PA'!$F$5:$F$2271))
+SUMPRODUCT(-('Diário 8º PA'!$E$5:$E$2488='Analítico Cp.'!$B147),-('Diário 8º PA'!$Q$5:$Q$2488=K$1),('Diário 8º PA'!$F$5:$F$2488))
+SUMPRODUCT(-('Comp.'!$D$5:$D$313='Analítico Cp.'!$B147),-('Comp.'!$R$5:$R$313=K$1),('Comp.'!$E$5:$E$313))</f>
        <v>0</v>
      </c>
      <c r="L147" s="185">
        <f>SUMPRODUCT(-('Diário 5º PA'!$E$5:$E$2634='Analítico Cp.'!$B147),-('Diário 5º PA'!$Q$5:$Q$2634=L$1),('Diário 5º PA'!$F$5:$F$2634))
+SUMPRODUCT(-('Diário 6º PA'!$E$5:$E$2246='Analítico Cp.'!$B147),-('Diário 6º PA'!$Q$5:$Q$2246=L$1),('Diário 6º PA'!$F$5:$F$2246))
+SUMPRODUCT(-('Diário 7º PA'!$E$5:$E$2271='Analítico Cp.'!$B147),-('Diário 7º PA'!$Q$5:$Q$2271=L$1),('Diário 7º PA'!$F$5:$F$2271))
+SUMPRODUCT(-('Diário 8º PA'!$E$5:$E$2488='Analítico Cp.'!$B147),-('Diário 8º PA'!$Q$5:$Q$2488=L$1),('Diário 8º PA'!$F$5:$F$2488))
+SUMPRODUCT(-('Comp.'!$D$5:$D$313='Analítico Cp.'!$B147),-('Comp.'!$R$5:$R$313=L$1),('Comp.'!$E$5:$E$313))</f>
        <v>0</v>
      </c>
      <c r="M147" s="185">
        <f>SUMPRODUCT(-('Diário 5º PA'!$E$5:$E$2634='Analítico Cp.'!$B147),-('Diário 5º PA'!$Q$5:$Q$2634=M$1),('Diário 5º PA'!$F$5:$F$2634))
+SUMPRODUCT(-('Diário 6º PA'!$E$5:$E$2246='Analítico Cp.'!$B147),-('Diário 6º PA'!$Q$5:$Q$2246=M$1),('Diário 6º PA'!$F$5:$F$2246))
+SUMPRODUCT(-('Diário 7º PA'!$E$5:$E$2271='Analítico Cp.'!$B147),-('Diário 7º PA'!$Q$5:$Q$2271=M$1),('Diário 7º PA'!$F$5:$F$2271))
+SUMPRODUCT(-('Diário 8º PA'!$E$5:$E$2488='Analítico Cp.'!$B147),-('Diário 8º PA'!$Q$5:$Q$2488=M$1),('Diário 8º PA'!$F$5:$F$2488))
+SUMPRODUCT(-('Comp.'!$D$5:$D$313='Analítico Cp.'!$B147),-('Comp.'!$R$5:$R$313=M$1),('Comp.'!$E$5:$E$313))</f>
        <v>0</v>
      </c>
      <c r="N147" s="185">
        <f>SUMPRODUCT(-('Diário 5º PA'!$E$5:$E$2634='Analítico Cp.'!$B147),-('Diário 5º PA'!$Q$5:$Q$2634=N$1),('Diário 5º PA'!$F$5:$F$2634))
+SUMPRODUCT(-('Diário 6º PA'!$E$5:$E$2246='Analítico Cp.'!$B147),-('Diário 6º PA'!$Q$5:$Q$2246=N$1),('Diário 6º PA'!$F$5:$F$2246))
+SUMPRODUCT(-('Diário 7º PA'!$E$5:$E$2271='Analítico Cp.'!$B147),-('Diário 7º PA'!$Q$5:$Q$2271=N$1),('Diário 7º PA'!$F$5:$F$2271))
+SUMPRODUCT(-('Diário 8º PA'!$E$5:$E$2488='Analítico Cp.'!$B147),-('Diário 8º PA'!$Q$5:$Q$2488=N$1),('Diário 8º PA'!$F$5:$F$2488))
+SUMPRODUCT(-('Comp.'!$D$5:$D$313='Analítico Cp.'!$B147),-('Comp.'!$R$5:$R$313=N$1),('Comp.'!$E$5:$E$313))</f>
        <v>0</v>
      </c>
      <c r="O147" s="186">
        <f t="shared" ref="O147:O159" si="19">SUM(C147:N147)</f>
        <v>0</v>
      </c>
      <c r="P147" s="187">
        <f t="shared" ref="P147:P163" si="20">IF($O$163=0,0,O147/$O$163)</f>
        <v>0</v>
      </c>
      <c r="Q147" s="34"/>
      <c r="R147" s="34"/>
      <c r="S147" s="34"/>
      <c r="T147" s="34"/>
      <c r="U147" s="34"/>
      <c r="V147" s="34"/>
      <c r="W147" s="34"/>
      <c r="X147" s="34"/>
      <c r="Y147" s="34"/>
      <c r="Z147" s="34"/>
    </row>
    <row r="148" spans="1:26" ht="23.25" customHeight="1" x14ac:dyDescent="0.2">
      <c r="A148" s="203" t="s">
        <v>390</v>
      </c>
      <c r="B148" s="204" t="s">
        <v>391</v>
      </c>
      <c r="C148" s="185">
        <f>SUMPRODUCT(-('Diário 5º PA'!$E$5:$E$2634='Analítico Cp.'!$B148),-('Diário 5º PA'!$Q$5:$Q$2634=C$1),('Diário 5º PA'!$F$5:$F$2634))
+SUMPRODUCT(-('Diário 6º PA'!$E$5:$E$2246='Analítico Cp.'!$B148),-('Diário 6º PA'!$Q$5:$Q$2246=C$1),('Diário 6º PA'!$F$5:$F$2246))
+SUMPRODUCT(-('Diário 7º PA'!$E$5:$E$2271='Analítico Cp.'!$B148),-('Diário 7º PA'!$Q$5:$Q$2271=C$1),('Diário 7º PA'!$F$5:$F$2271))
+SUMPRODUCT(-('Diário 8º PA'!$E$5:$E$2488='Analítico Cp.'!$B148),-('Diário 8º PA'!$Q$5:$Q$2488=C$1),('Diário 8º PA'!$F$5:$F$2488))
+SUMPRODUCT(-('Comp.'!$D$5:$D$313='Analítico Cp.'!$B148),-('Comp.'!$R$5:$R$313=C$1),('Comp.'!$E$5:$E$313))</f>
        <v>2178</v>
      </c>
      <c r="D148" s="185">
        <f>SUMPRODUCT(-('Diário 5º PA'!$E$5:$E$2634='Analítico Cp.'!$B148),-('Diário 5º PA'!$Q$5:$Q$2634=D$1),('Diário 5º PA'!$F$5:$F$2634))
+SUMPRODUCT(-('Diário 6º PA'!$E$5:$E$2246='Analítico Cp.'!$B148),-('Diário 6º PA'!$Q$5:$Q$2246=D$1),('Diário 6º PA'!$F$5:$F$2246))
+SUMPRODUCT(-('Diário 7º PA'!$E$5:$E$2271='Analítico Cp.'!$B148),-('Diário 7º PA'!$Q$5:$Q$2271=D$1),('Diário 7º PA'!$F$5:$F$2271))
+SUMPRODUCT(-('Diário 8º PA'!$E$5:$E$2488='Analítico Cp.'!$B148),-('Diário 8º PA'!$Q$5:$Q$2488=D$1),('Diário 8º PA'!$F$5:$F$2488))
+SUMPRODUCT(-('Comp.'!$D$5:$D$313='Analítico Cp.'!$B148),-('Comp.'!$R$5:$R$313=D$1),('Comp.'!$E$5:$E$313))</f>
        <v>0</v>
      </c>
      <c r="E148" s="185">
        <f>SUMPRODUCT(-('Diário 5º PA'!$E$5:$E$2634='Analítico Cp.'!$B148),-('Diário 5º PA'!$Q$5:$Q$2634=E$1),('Diário 5º PA'!$F$5:$F$2634))
+SUMPRODUCT(-('Diário 6º PA'!$E$5:$E$2246='Analítico Cp.'!$B148),-('Diário 6º PA'!$Q$5:$Q$2246=E$1),('Diário 6º PA'!$F$5:$F$2246))
+SUMPRODUCT(-('Diário 7º PA'!$E$5:$E$2271='Analítico Cp.'!$B148),-('Diário 7º PA'!$Q$5:$Q$2271=E$1),('Diário 7º PA'!$F$5:$F$2271))
+SUMPRODUCT(-('Diário 8º PA'!$E$5:$E$2488='Analítico Cp.'!$B148),-('Diário 8º PA'!$Q$5:$Q$2488=E$1),('Diário 8º PA'!$F$5:$F$2488))
+SUMPRODUCT(-('Comp.'!$D$5:$D$313='Analítico Cp.'!$B148),-('Comp.'!$R$5:$R$313=E$1),('Comp.'!$E$5:$E$313))</f>
        <v>0</v>
      </c>
      <c r="F148" s="185">
        <f>SUMPRODUCT(-('Diário 5º PA'!$E$5:$E$2634='Analítico Cp.'!$B148),-('Diário 5º PA'!$Q$5:$Q$2634=F$1),('Diário 5º PA'!$F$5:$F$2634))
+SUMPRODUCT(-('Diário 6º PA'!$E$5:$E$2246='Analítico Cp.'!$B148),-('Diário 6º PA'!$Q$5:$Q$2246=F$1),('Diário 6º PA'!$F$5:$F$2246))
+SUMPRODUCT(-('Diário 7º PA'!$E$5:$E$2271='Analítico Cp.'!$B148),-('Diário 7º PA'!$Q$5:$Q$2271=F$1),('Diário 7º PA'!$F$5:$F$2271))
+SUMPRODUCT(-('Diário 8º PA'!$E$5:$E$2488='Analítico Cp.'!$B148),-('Diário 8º PA'!$Q$5:$Q$2488=F$1),('Diário 8º PA'!$F$5:$F$2488))
+SUMPRODUCT(-('Comp.'!$D$5:$D$313='Analítico Cp.'!$B148),-('Comp.'!$R$5:$R$313=F$1),('Comp.'!$E$5:$E$313))</f>
        <v>0</v>
      </c>
      <c r="G148" s="185">
        <f>SUMPRODUCT(-('Diário 5º PA'!$E$5:$E$2634='Analítico Cp.'!$B148),-('Diário 5º PA'!$Q$5:$Q$2634=G$1),('Diário 5º PA'!$F$5:$F$2634))
+SUMPRODUCT(-('Diário 6º PA'!$E$5:$E$2246='Analítico Cp.'!$B148),-('Diário 6º PA'!$Q$5:$Q$2246=G$1),('Diário 6º PA'!$F$5:$F$2246))
+SUMPRODUCT(-('Diário 7º PA'!$E$5:$E$2271='Analítico Cp.'!$B148),-('Diário 7º PA'!$Q$5:$Q$2271=G$1),('Diário 7º PA'!$F$5:$F$2271))
+SUMPRODUCT(-('Diário 8º PA'!$E$5:$E$2488='Analítico Cp.'!$B148),-('Diário 8º PA'!$Q$5:$Q$2488=G$1),('Diário 8º PA'!$F$5:$F$2488))
+SUMPRODUCT(-('Comp.'!$D$5:$D$313='Analítico Cp.'!$B148),-('Comp.'!$R$5:$R$313=G$1),('Comp.'!$E$5:$E$313))</f>
        <v>0</v>
      </c>
      <c r="H148" s="185">
        <f>SUMPRODUCT(-('Diário 5º PA'!$E$5:$E$2634='Analítico Cp.'!$B148),-('Diário 5º PA'!$Q$5:$Q$2634=H$1),('Diário 5º PA'!$F$5:$F$2634))
+SUMPRODUCT(-('Diário 6º PA'!$E$5:$E$2246='Analítico Cp.'!$B148),-('Diário 6º PA'!$Q$5:$Q$2246=H$1),('Diário 6º PA'!$F$5:$F$2246))
+SUMPRODUCT(-('Diário 7º PA'!$E$5:$E$2271='Analítico Cp.'!$B148),-('Diário 7º PA'!$Q$5:$Q$2271=H$1),('Diário 7º PA'!$F$5:$F$2271))
+SUMPRODUCT(-('Diário 8º PA'!$E$5:$E$2488='Analítico Cp.'!$B148),-('Diário 8º PA'!$Q$5:$Q$2488=H$1),('Diário 8º PA'!$F$5:$F$2488))
+SUMPRODUCT(-('Comp.'!$D$5:$D$313='Analítico Cp.'!$B148),-('Comp.'!$R$5:$R$313=H$1),('Comp.'!$E$5:$E$313))</f>
        <v>0</v>
      </c>
      <c r="I148" s="185">
        <f>SUMPRODUCT(-('Diário 5º PA'!$E$5:$E$2634='Analítico Cp.'!$B148),-('Diário 5º PA'!$Q$5:$Q$2634=I$1),('Diário 5º PA'!$F$5:$F$2634))
+SUMPRODUCT(-('Diário 6º PA'!$E$5:$E$2246='Analítico Cp.'!$B148),-('Diário 6º PA'!$Q$5:$Q$2246=I$1),('Diário 6º PA'!$F$5:$F$2246))
+SUMPRODUCT(-('Diário 7º PA'!$E$5:$E$2271='Analítico Cp.'!$B148),-('Diário 7º PA'!$Q$5:$Q$2271=I$1),('Diário 7º PA'!$F$5:$F$2271))
+SUMPRODUCT(-('Diário 8º PA'!$E$5:$E$2488='Analítico Cp.'!$B148),-('Diário 8º PA'!$Q$5:$Q$2488=I$1),('Diário 8º PA'!$F$5:$F$2488))
+SUMPRODUCT(-('Comp.'!$D$5:$D$313='Analítico Cp.'!$B148),-('Comp.'!$R$5:$R$313=I$1),('Comp.'!$E$5:$E$313))</f>
        <v>0</v>
      </c>
      <c r="J148" s="185">
        <f>SUMPRODUCT(-('Diário 5º PA'!$E$5:$E$2634='Analítico Cp.'!$B148),-('Diário 5º PA'!$Q$5:$Q$2634=J$1),('Diário 5º PA'!$F$5:$F$2634))
+SUMPRODUCT(-('Diário 6º PA'!$E$5:$E$2246='Analítico Cp.'!$B148),-('Diário 6º PA'!$Q$5:$Q$2246=J$1),('Diário 6º PA'!$F$5:$F$2246))
+SUMPRODUCT(-('Diário 7º PA'!$E$5:$E$2271='Analítico Cp.'!$B148),-('Diário 7º PA'!$Q$5:$Q$2271=J$1),('Diário 7º PA'!$F$5:$F$2271))
+SUMPRODUCT(-('Diário 8º PA'!$E$5:$E$2488='Analítico Cp.'!$B148),-('Diário 8º PA'!$Q$5:$Q$2488=J$1),('Diário 8º PA'!$F$5:$F$2488))
+SUMPRODUCT(-('Comp.'!$D$5:$D$313='Analítico Cp.'!$B148),-('Comp.'!$R$5:$R$313=J$1),('Comp.'!$E$5:$E$313))</f>
        <v>0</v>
      </c>
      <c r="K148" s="185">
        <f>SUMPRODUCT(-('Diário 5º PA'!$E$5:$E$2634='Analítico Cp.'!$B148),-('Diário 5º PA'!$Q$5:$Q$2634=K$1),('Diário 5º PA'!$F$5:$F$2634))
+SUMPRODUCT(-('Diário 6º PA'!$E$5:$E$2246='Analítico Cp.'!$B148),-('Diário 6º PA'!$Q$5:$Q$2246=K$1),('Diário 6º PA'!$F$5:$F$2246))
+SUMPRODUCT(-('Diário 7º PA'!$E$5:$E$2271='Analítico Cp.'!$B148),-('Diário 7º PA'!$Q$5:$Q$2271=K$1),('Diário 7º PA'!$F$5:$F$2271))
+SUMPRODUCT(-('Diário 8º PA'!$E$5:$E$2488='Analítico Cp.'!$B148),-('Diário 8º PA'!$Q$5:$Q$2488=K$1),('Diário 8º PA'!$F$5:$F$2488))
+SUMPRODUCT(-('Comp.'!$D$5:$D$313='Analítico Cp.'!$B148),-('Comp.'!$R$5:$R$313=K$1),('Comp.'!$E$5:$E$313))</f>
        <v>0</v>
      </c>
      <c r="L148" s="185">
        <f>SUMPRODUCT(-('Diário 5º PA'!$E$5:$E$2634='Analítico Cp.'!$B148),-('Diário 5º PA'!$Q$5:$Q$2634=L$1),('Diário 5º PA'!$F$5:$F$2634))
+SUMPRODUCT(-('Diário 6º PA'!$E$5:$E$2246='Analítico Cp.'!$B148),-('Diário 6º PA'!$Q$5:$Q$2246=L$1),('Diário 6º PA'!$F$5:$F$2246))
+SUMPRODUCT(-('Diário 7º PA'!$E$5:$E$2271='Analítico Cp.'!$B148),-('Diário 7º PA'!$Q$5:$Q$2271=L$1),('Diário 7º PA'!$F$5:$F$2271))
+SUMPRODUCT(-('Diário 8º PA'!$E$5:$E$2488='Analítico Cp.'!$B148),-('Diário 8º PA'!$Q$5:$Q$2488=L$1),('Diário 8º PA'!$F$5:$F$2488))
+SUMPRODUCT(-('Comp.'!$D$5:$D$313='Analítico Cp.'!$B148),-('Comp.'!$R$5:$R$313=L$1),('Comp.'!$E$5:$E$313))</f>
        <v>0</v>
      </c>
      <c r="M148" s="185">
        <f>SUMPRODUCT(-('Diário 5º PA'!$E$5:$E$2634='Analítico Cp.'!$B148),-('Diário 5º PA'!$Q$5:$Q$2634=M$1),('Diário 5º PA'!$F$5:$F$2634))
+SUMPRODUCT(-('Diário 6º PA'!$E$5:$E$2246='Analítico Cp.'!$B148),-('Diário 6º PA'!$Q$5:$Q$2246=M$1),('Diário 6º PA'!$F$5:$F$2246))
+SUMPRODUCT(-('Diário 7º PA'!$E$5:$E$2271='Analítico Cp.'!$B148),-('Diário 7º PA'!$Q$5:$Q$2271=M$1),('Diário 7º PA'!$F$5:$F$2271))
+SUMPRODUCT(-('Diário 8º PA'!$E$5:$E$2488='Analítico Cp.'!$B148),-('Diário 8º PA'!$Q$5:$Q$2488=M$1),('Diário 8º PA'!$F$5:$F$2488))
+SUMPRODUCT(-('Comp.'!$D$5:$D$313='Analítico Cp.'!$B148),-('Comp.'!$R$5:$R$313=M$1),('Comp.'!$E$5:$E$313))</f>
        <v>0</v>
      </c>
      <c r="N148" s="185">
        <f>SUMPRODUCT(-('Diário 5º PA'!$E$5:$E$2634='Analítico Cp.'!$B148),-('Diário 5º PA'!$Q$5:$Q$2634=N$1),('Diário 5º PA'!$F$5:$F$2634))
+SUMPRODUCT(-('Diário 6º PA'!$E$5:$E$2246='Analítico Cp.'!$B148),-('Diário 6º PA'!$Q$5:$Q$2246=N$1),('Diário 6º PA'!$F$5:$F$2246))
+SUMPRODUCT(-('Diário 7º PA'!$E$5:$E$2271='Analítico Cp.'!$B148),-('Diário 7º PA'!$Q$5:$Q$2271=N$1),('Diário 7º PA'!$F$5:$F$2271))
+SUMPRODUCT(-('Diário 8º PA'!$E$5:$E$2488='Analítico Cp.'!$B148),-('Diário 8º PA'!$Q$5:$Q$2488=N$1),('Diário 8º PA'!$F$5:$F$2488))
+SUMPRODUCT(-('Comp.'!$D$5:$D$313='Analítico Cp.'!$B148),-('Comp.'!$R$5:$R$313=N$1),('Comp.'!$E$5:$E$313))</f>
        <v>0</v>
      </c>
      <c r="O148" s="186">
        <f t="shared" si="19"/>
        <v>2178</v>
      </c>
      <c r="P148" s="187">
        <f t="shared" si="20"/>
        <v>2.2465233110260401E-4</v>
      </c>
      <c r="Q148" s="34"/>
      <c r="R148" s="34"/>
      <c r="S148" s="34"/>
      <c r="T148" s="34"/>
      <c r="U148" s="34"/>
      <c r="V148" s="34"/>
      <c r="W148" s="34"/>
      <c r="X148" s="34"/>
      <c r="Y148" s="34"/>
      <c r="Z148" s="34"/>
    </row>
    <row r="149" spans="1:26" ht="23.25" customHeight="1" x14ac:dyDescent="0.2">
      <c r="A149" s="203" t="s">
        <v>392</v>
      </c>
      <c r="B149" s="204" t="s">
        <v>393</v>
      </c>
      <c r="C149" s="185">
        <f>SUMPRODUCT(-('Diário 5º PA'!$E$5:$E$2634='Analítico Cp.'!$B149),-('Diário 5º PA'!$Q$5:$Q$2634=C$1),('Diário 5º PA'!$F$5:$F$2634))
+SUMPRODUCT(-('Diário 6º PA'!$E$5:$E$2246='Analítico Cp.'!$B149),-('Diário 6º PA'!$Q$5:$Q$2246=C$1),('Diário 6º PA'!$F$5:$F$2246))
+SUMPRODUCT(-('Diário 7º PA'!$E$5:$E$2271='Analítico Cp.'!$B149),-('Diário 7º PA'!$Q$5:$Q$2271=C$1),('Diário 7º PA'!$F$5:$F$2271))
+SUMPRODUCT(-('Diário 8º PA'!$E$5:$E$2488='Analítico Cp.'!$B149),-('Diário 8º PA'!$Q$5:$Q$2488=C$1),('Diário 8º PA'!$F$5:$F$2488))
+SUMPRODUCT(-('Comp.'!$D$5:$D$313='Analítico Cp.'!$B149),-('Comp.'!$R$5:$R$313=C$1),('Comp.'!$E$5:$E$313))</f>
        <v>4199</v>
      </c>
      <c r="D149" s="185">
        <f>SUMPRODUCT(-('Diário 5º PA'!$E$5:$E$2634='Analítico Cp.'!$B149),-('Diário 5º PA'!$Q$5:$Q$2634=D$1),('Diário 5º PA'!$F$5:$F$2634))
+SUMPRODUCT(-('Diário 6º PA'!$E$5:$E$2246='Analítico Cp.'!$B149),-('Diário 6º PA'!$Q$5:$Q$2246=D$1),('Diário 6º PA'!$F$5:$F$2246))
+SUMPRODUCT(-('Diário 7º PA'!$E$5:$E$2271='Analítico Cp.'!$B149),-('Diário 7º PA'!$Q$5:$Q$2271=D$1),('Diário 7º PA'!$F$5:$F$2271))
+SUMPRODUCT(-('Diário 8º PA'!$E$5:$E$2488='Analítico Cp.'!$B149),-('Diário 8º PA'!$Q$5:$Q$2488=D$1),('Diário 8º PA'!$F$5:$F$2488))
+SUMPRODUCT(-('Comp.'!$D$5:$D$313='Analítico Cp.'!$B149),-('Comp.'!$R$5:$R$313=D$1),('Comp.'!$E$5:$E$313))</f>
        <v>0</v>
      </c>
      <c r="E149" s="185">
        <f>SUMPRODUCT(-('Diário 5º PA'!$E$5:$E$2634='Analítico Cp.'!$B149),-('Diário 5º PA'!$Q$5:$Q$2634=E$1),('Diário 5º PA'!$F$5:$F$2634))
+SUMPRODUCT(-('Diário 6º PA'!$E$5:$E$2246='Analítico Cp.'!$B149),-('Diário 6º PA'!$Q$5:$Q$2246=E$1),('Diário 6º PA'!$F$5:$F$2246))
+SUMPRODUCT(-('Diário 7º PA'!$E$5:$E$2271='Analítico Cp.'!$B149),-('Diário 7º PA'!$Q$5:$Q$2271=E$1),('Diário 7º PA'!$F$5:$F$2271))
+SUMPRODUCT(-('Diário 8º PA'!$E$5:$E$2488='Analítico Cp.'!$B149),-('Diário 8º PA'!$Q$5:$Q$2488=E$1),('Diário 8º PA'!$F$5:$F$2488))
+SUMPRODUCT(-('Comp.'!$D$5:$D$313='Analítico Cp.'!$B149),-('Comp.'!$R$5:$R$313=E$1),('Comp.'!$E$5:$E$313))</f>
        <v>0</v>
      </c>
      <c r="F149" s="185">
        <f>SUMPRODUCT(-('Diário 5º PA'!$E$5:$E$2634='Analítico Cp.'!$B149),-('Diário 5º PA'!$Q$5:$Q$2634=F$1),('Diário 5º PA'!$F$5:$F$2634))
+SUMPRODUCT(-('Diário 6º PA'!$E$5:$E$2246='Analítico Cp.'!$B149),-('Diário 6º PA'!$Q$5:$Q$2246=F$1),('Diário 6º PA'!$F$5:$F$2246))
+SUMPRODUCT(-('Diário 7º PA'!$E$5:$E$2271='Analítico Cp.'!$B149),-('Diário 7º PA'!$Q$5:$Q$2271=F$1),('Diário 7º PA'!$F$5:$F$2271))
+SUMPRODUCT(-('Diário 8º PA'!$E$5:$E$2488='Analítico Cp.'!$B149),-('Diário 8º PA'!$Q$5:$Q$2488=F$1),('Diário 8º PA'!$F$5:$F$2488))
+SUMPRODUCT(-('Comp.'!$D$5:$D$313='Analítico Cp.'!$B149),-('Comp.'!$R$5:$R$313=F$1),('Comp.'!$E$5:$E$313))</f>
        <v>0</v>
      </c>
      <c r="G149" s="185">
        <f>SUMPRODUCT(-('Diário 5º PA'!$E$5:$E$2634='Analítico Cp.'!$B149),-('Diário 5º PA'!$Q$5:$Q$2634=G$1),('Diário 5º PA'!$F$5:$F$2634))
+SUMPRODUCT(-('Diário 6º PA'!$E$5:$E$2246='Analítico Cp.'!$B149),-('Diário 6º PA'!$Q$5:$Q$2246=G$1),('Diário 6º PA'!$F$5:$F$2246))
+SUMPRODUCT(-('Diário 7º PA'!$E$5:$E$2271='Analítico Cp.'!$B149),-('Diário 7º PA'!$Q$5:$Q$2271=G$1),('Diário 7º PA'!$F$5:$F$2271))
+SUMPRODUCT(-('Diário 8º PA'!$E$5:$E$2488='Analítico Cp.'!$B149),-('Diário 8º PA'!$Q$5:$Q$2488=G$1),('Diário 8º PA'!$F$5:$F$2488))
+SUMPRODUCT(-('Comp.'!$D$5:$D$313='Analítico Cp.'!$B149),-('Comp.'!$R$5:$R$313=G$1),('Comp.'!$E$5:$E$313))</f>
        <v>0</v>
      </c>
      <c r="H149" s="185">
        <f>SUMPRODUCT(-('Diário 5º PA'!$E$5:$E$2634='Analítico Cp.'!$B149),-('Diário 5º PA'!$Q$5:$Q$2634=H$1),('Diário 5º PA'!$F$5:$F$2634))
+SUMPRODUCT(-('Diário 6º PA'!$E$5:$E$2246='Analítico Cp.'!$B149),-('Diário 6º PA'!$Q$5:$Q$2246=H$1),('Diário 6º PA'!$F$5:$F$2246))
+SUMPRODUCT(-('Diário 7º PA'!$E$5:$E$2271='Analítico Cp.'!$B149),-('Diário 7º PA'!$Q$5:$Q$2271=H$1),('Diário 7º PA'!$F$5:$F$2271))
+SUMPRODUCT(-('Diário 8º PA'!$E$5:$E$2488='Analítico Cp.'!$B149),-('Diário 8º PA'!$Q$5:$Q$2488=H$1),('Diário 8º PA'!$F$5:$F$2488))
+SUMPRODUCT(-('Comp.'!$D$5:$D$313='Analítico Cp.'!$B149),-('Comp.'!$R$5:$R$313=H$1),('Comp.'!$E$5:$E$313))</f>
        <v>0</v>
      </c>
      <c r="I149" s="185">
        <f>SUMPRODUCT(-('Diário 5º PA'!$E$5:$E$2634='Analítico Cp.'!$B149),-('Diário 5º PA'!$Q$5:$Q$2634=I$1),('Diário 5º PA'!$F$5:$F$2634))
+SUMPRODUCT(-('Diário 6º PA'!$E$5:$E$2246='Analítico Cp.'!$B149),-('Diário 6º PA'!$Q$5:$Q$2246=I$1),('Diário 6º PA'!$F$5:$F$2246))
+SUMPRODUCT(-('Diário 7º PA'!$E$5:$E$2271='Analítico Cp.'!$B149),-('Diário 7º PA'!$Q$5:$Q$2271=I$1),('Diário 7º PA'!$F$5:$F$2271))
+SUMPRODUCT(-('Diário 8º PA'!$E$5:$E$2488='Analítico Cp.'!$B149),-('Diário 8º PA'!$Q$5:$Q$2488=I$1),('Diário 8º PA'!$F$5:$F$2488))
+SUMPRODUCT(-('Comp.'!$D$5:$D$313='Analítico Cp.'!$B149),-('Comp.'!$R$5:$R$313=I$1),('Comp.'!$E$5:$E$313))</f>
        <v>0</v>
      </c>
      <c r="J149" s="185">
        <f>SUMPRODUCT(-('Diário 5º PA'!$E$5:$E$2634='Analítico Cp.'!$B149),-('Diário 5º PA'!$Q$5:$Q$2634=J$1),('Diário 5º PA'!$F$5:$F$2634))
+SUMPRODUCT(-('Diário 6º PA'!$E$5:$E$2246='Analítico Cp.'!$B149),-('Diário 6º PA'!$Q$5:$Q$2246=J$1),('Diário 6º PA'!$F$5:$F$2246))
+SUMPRODUCT(-('Diário 7º PA'!$E$5:$E$2271='Analítico Cp.'!$B149),-('Diário 7º PA'!$Q$5:$Q$2271=J$1),('Diário 7º PA'!$F$5:$F$2271))
+SUMPRODUCT(-('Diário 8º PA'!$E$5:$E$2488='Analítico Cp.'!$B149),-('Diário 8º PA'!$Q$5:$Q$2488=J$1),('Diário 8º PA'!$F$5:$F$2488))
+SUMPRODUCT(-('Comp.'!$D$5:$D$313='Analítico Cp.'!$B149),-('Comp.'!$R$5:$R$313=J$1),('Comp.'!$E$5:$E$313))</f>
        <v>0</v>
      </c>
      <c r="K149" s="185">
        <f>SUMPRODUCT(-('Diário 5º PA'!$E$5:$E$2634='Analítico Cp.'!$B149),-('Diário 5º PA'!$Q$5:$Q$2634=K$1),('Diário 5º PA'!$F$5:$F$2634))
+SUMPRODUCT(-('Diário 6º PA'!$E$5:$E$2246='Analítico Cp.'!$B149),-('Diário 6º PA'!$Q$5:$Q$2246=K$1),('Diário 6º PA'!$F$5:$F$2246))
+SUMPRODUCT(-('Diário 7º PA'!$E$5:$E$2271='Analítico Cp.'!$B149),-('Diário 7º PA'!$Q$5:$Q$2271=K$1),('Diário 7º PA'!$F$5:$F$2271))
+SUMPRODUCT(-('Diário 8º PA'!$E$5:$E$2488='Analítico Cp.'!$B149),-('Diário 8º PA'!$Q$5:$Q$2488=K$1),('Diário 8º PA'!$F$5:$F$2488))
+SUMPRODUCT(-('Comp.'!$D$5:$D$313='Analítico Cp.'!$B149),-('Comp.'!$R$5:$R$313=K$1),('Comp.'!$E$5:$E$313))</f>
        <v>0</v>
      </c>
      <c r="L149" s="185">
        <f>SUMPRODUCT(-('Diário 5º PA'!$E$5:$E$2634='Analítico Cp.'!$B149),-('Diário 5º PA'!$Q$5:$Q$2634=L$1),('Diário 5º PA'!$F$5:$F$2634))
+SUMPRODUCT(-('Diário 6º PA'!$E$5:$E$2246='Analítico Cp.'!$B149),-('Diário 6º PA'!$Q$5:$Q$2246=L$1),('Diário 6º PA'!$F$5:$F$2246))
+SUMPRODUCT(-('Diário 7º PA'!$E$5:$E$2271='Analítico Cp.'!$B149),-('Diário 7º PA'!$Q$5:$Q$2271=L$1),('Diário 7º PA'!$F$5:$F$2271))
+SUMPRODUCT(-('Diário 8º PA'!$E$5:$E$2488='Analítico Cp.'!$B149),-('Diário 8º PA'!$Q$5:$Q$2488=L$1),('Diário 8º PA'!$F$5:$F$2488))
+SUMPRODUCT(-('Comp.'!$D$5:$D$313='Analítico Cp.'!$B149),-('Comp.'!$R$5:$R$313=L$1),('Comp.'!$E$5:$E$313))</f>
        <v>0</v>
      </c>
      <c r="M149" s="185">
        <f>SUMPRODUCT(-('Diário 5º PA'!$E$5:$E$2634='Analítico Cp.'!$B149),-('Diário 5º PA'!$Q$5:$Q$2634=M$1),('Diário 5º PA'!$F$5:$F$2634))
+SUMPRODUCT(-('Diário 6º PA'!$E$5:$E$2246='Analítico Cp.'!$B149),-('Diário 6º PA'!$Q$5:$Q$2246=M$1),('Diário 6º PA'!$F$5:$F$2246))
+SUMPRODUCT(-('Diário 7º PA'!$E$5:$E$2271='Analítico Cp.'!$B149),-('Diário 7º PA'!$Q$5:$Q$2271=M$1),('Diário 7º PA'!$F$5:$F$2271))
+SUMPRODUCT(-('Diário 8º PA'!$E$5:$E$2488='Analítico Cp.'!$B149),-('Diário 8º PA'!$Q$5:$Q$2488=M$1),('Diário 8º PA'!$F$5:$F$2488))
+SUMPRODUCT(-('Comp.'!$D$5:$D$313='Analítico Cp.'!$B149),-('Comp.'!$R$5:$R$313=M$1),('Comp.'!$E$5:$E$313))</f>
        <v>0</v>
      </c>
      <c r="N149" s="185">
        <f>SUMPRODUCT(-('Diário 5º PA'!$E$5:$E$2634='Analítico Cp.'!$B149),-('Diário 5º PA'!$Q$5:$Q$2634=N$1),('Diário 5º PA'!$F$5:$F$2634))
+SUMPRODUCT(-('Diário 6º PA'!$E$5:$E$2246='Analítico Cp.'!$B149),-('Diário 6º PA'!$Q$5:$Q$2246=N$1),('Diário 6º PA'!$F$5:$F$2246))
+SUMPRODUCT(-('Diário 7º PA'!$E$5:$E$2271='Analítico Cp.'!$B149),-('Diário 7º PA'!$Q$5:$Q$2271=N$1),('Diário 7º PA'!$F$5:$F$2271))
+SUMPRODUCT(-('Diário 8º PA'!$E$5:$E$2488='Analítico Cp.'!$B149),-('Diário 8º PA'!$Q$5:$Q$2488=N$1),('Diário 8º PA'!$F$5:$F$2488))
+SUMPRODUCT(-('Comp.'!$D$5:$D$313='Analítico Cp.'!$B149),-('Comp.'!$R$5:$R$313=N$1),('Comp.'!$E$5:$E$313))</f>
        <v>0</v>
      </c>
      <c r="O149" s="186">
        <f t="shared" si="19"/>
        <v>4199</v>
      </c>
      <c r="P149" s="187">
        <f t="shared" si="20"/>
        <v>4.3311071547283485E-4</v>
      </c>
      <c r="Q149" s="34"/>
      <c r="R149" s="34"/>
      <c r="S149" s="34"/>
      <c r="T149" s="34"/>
      <c r="U149" s="34"/>
      <c r="V149" s="34"/>
      <c r="W149" s="34"/>
      <c r="X149" s="34"/>
      <c r="Y149" s="34"/>
      <c r="Z149" s="34"/>
    </row>
    <row r="150" spans="1:26" ht="23.25" customHeight="1" x14ac:dyDescent="0.2">
      <c r="A150" s="203" t="s">
        <v>394</v>
      </c>
      <c r="B150" s="204" t="s">
        <v>395</v>
      </c>
      <c r="C150" s="185">
        <f>SUMPRODUCT(-('Diário 5º PA'!$E$5:$E$2634='Analítico Cp.'!$B150),-('Diário 5º PA'!$Q$5:$Q$2634=C$1),('Diário 5º PA'!$F$5:$F$2634))
+SUMPRODUCT(-('Diário 6º PA'!$E$5:$E$2246='Analítico Cp.'!$B150),-('Diário 6º PA'!$Q$5:$Q$2246=C$1),('Diário 6º PA'!$F$5:$F$2246))
+SUMPRODUCT(-('Diário 7º PA'!$E$5:$E$2271='Analítico Cp.'!$B150),-('Diário 7º PA'!$Q$5:$Q$2271=C$1),('Diário 7º PA'!$F$5:$F$2271))
+SUMPRODUCT(-('Diário 8º PA'!$E$5:$E$2488='Analítico Cp.'!$B150),-('Diário 8º PA'!$Q$5:$Q$2488=C$1),('Diário 8º PA'!$F$5:$F$2488))
+SUMPRODUCT(-('Comp.'!$D$5:$D$313='Analítico Cp.'!$B150),-('Comp.'!$R$5:$R$313=C$1),('Comp.'!$E$5:$E$313))</f>
        <v>0</v>
      </c>
      <c r="D150" s="185">
        <f>SUMPRODUCT(-('Diário 5º PA'!$E$5:$E$2634='Analítico Cp.'!$B150),-('Diário 5º PA'!$Q$5:$Q$2634=D$1),('Diário 5º PA'!$F$5:$F$2634))
+SUMPRODUCT(-('Diário 6º PA'!$E$5:$E$2246='Analítico Cp.'!$B150),-('Diário 6º PA'!$Q$5:$Q$2246=D$1),('Diário 6º PA'!$F$5:$F$2246))
+SUMPRODUCT(-('Diário 7º PA'!$E$5:$E$2271='Analítico Cp.'!$B150),-('Diário 7º PA'!$Q$5:$Q$2271=D$1),('Diário 7º PA'!$F$5:$F$2271))
+SUMPRODUCT(-('Diário 8º PA'!$E$5:$E$2488='Analítico Cp.'!$B150),-('Diário 8º PA'!$Q$5:$Q$2488=D$1),('Diário 8º PA'!$F$5:$F$2488))
+SUMPRODUCT(-('Comp.'!$D$5:$D$313='Analítico Cp.'!$B150),-('Comp.'!$R$5:$R$313=D$1),('Comp.'!$E$5:$E$313))</f>
        <v>0</v>
      </c>
      <c r="E150" s="185">
        <f>SUMPRODUCT(-('Diário 5º PA'!$E$5:$E$2634='Analítico Cp.'!$B150),-('Diário 5º PA'!$Q$5:$Q$2634=E$1),('Diário 5º PA'!$F$5:$F$2634))
+SUMPRODUCT(-('Diário 6º PA'!$E$5:$E$2246='Analítico Cp.'!$B150),-('Diário 6º PA'!$Q$5:$Q$2246=E$1),('Diário 6º PA'!$F$5:$F$2246))
+SUMPRODUCT(-('Diário 7º PA'!$E$5:$E$2271='Analítico Cp.'!$B150),-('Diário 7º PA'!$Q$5:$Q$2271=E$1),('Diário 7º PA'!$F$5:$F$2271))
+SUMPRODUCT(-('Diário 8º PA'!$E$5:$E$2488='Analítico Cp.'!$B150),-('Diário 8º PA'!$Q$5:$Q$2488=E$1),('Diário 8º PA'!$F$5:$F$2488))
+SUMPRODUCT(-('Comp.'!$D$5:$D$313='Analítico Cp.'!$B150),-('Comp.'!$R$5:$R$313=E$1),('Comp.'!$E$5:$E$313))</f>
        <v>0</v>
      </c>
      <c r="F150" s="185">
        <f>SUMPRODUCT(-('Diário 5º PA'!$E$5:$E$2634='Analítico Cp.'!$B150),-('Diário 5º PA'!$Q$5:$Q$2634=F$1),('Diário 5º PA'!$F$5:$F$2634))
+SUMPRODUCT(-('Diário 6º PA'!$E$5:$E$2246='Analítico Cp.'!$B150),-('Diário 6º PA'!$Q$5:$Q$2246=F$1),('Diário 6º PA'!$F$5:$F$2246))
+SUMPRODUCT(-('Diário 7º PA'!$E$5:$E$2271='Analítico Cp.'!$B150),-('Diário 7º PA'!$Q$5:$Q$2271=F$1),('Diário 7º PA'!$F$5:$F$2271))
+SUMPRODUCT(-('Diário 8º PA'!$E$5:$E$2488='Analítico Cp.'!$B150),-('Diário 8º PA'!$Q$5:$Q$2488=F$1),('Diário 8º PA'!$F$5:$F$2488))
+SUMPRODUCT(-('Comp.'!$D$5:$D$313='Analítico Cp.'!$B150),-('Comp.'!$R$5:$R$313=F$1),('Comp.'!$E$5:$E$313))</f>
        <v>0</v>
      </c>
      <c r="G150" s="185">
        <f>SUMPRODUCT(-('Diário 5º PA'!$E$5:$E$2634='Analítico Cp.'!$B150),-('Diário 5º PA'!$Q$5:$Q$2634=G$1),('Diário 5º PA'!$F$5:$F$2634))
+SUMPRODUCT(-('Diário 6º PA'!$E$5:$E$2246='Analítico Cp.'!$B150),-('Diário 6º PA'!$Q$5:$Q$2246=G$1),('Diário 6º PA'!$F$5:$F$2246))
+SUMPRODUCT(-('Diário 7º PA'!$E$5:$E$2271='Analítico Cp.'!$B150),-('Diário 7º PA'!$Q$5:$Q$2271=G$1),('Diário 7º PA'!$F$5:$F$2271))
+SUMPRODUCT(-('Diário 8º PA'!$E$5:$E$2488='Analítico Cp.'!$B150),-('Diário 8º PA'!$Q$5:$Q$2488=G$1),('Diário 8º PA'!$F$5:$F$2488))
+SUMPRODUCT(-('Comp.'!$D$5:$D$313='Analítico Cp.'!$B150),-('Comp.'!$R$5:$R$313=G$1),('Comp.'!$E$5:$E$313))</f>
        <v>0</v>
      </c>
      <c r="H150" s="185">
        <f>SUMPRODUCT(-('Diário 5º PA'!$E$5:$E$2634='Analítico Cp.'!$B150),-('Diário 5º PA'!$Q$5:$Q$2634=H$1),('Diário 5º PA'!$F$5:$F$2634))
+SUMPRODUCT(-('Diário 6º PA'!$E$5:$E$2246='Analítico Cp.'!$B150),-('Diário 6º PA'!$Q$5:$Q$2246=H$1),('Diário 6º PA'!$F$5:$F$2246))
+SUMPRODUCT(-('Diário 7º PA'!$E$5:$E$2271='Analítico Cp.'!$B150),-('Diário 7º PA'!$Q$5:$Q$2271=H$1),('Diário 7º PA'!$F$5:$F$2271))
+SUMPRODUCT(-('Diário 8º PA'!$E$5:$E$2488='Analítico Cp.'!$B150),-('Diário 8º PA'!$Q$5:$Q$2488=H$1),('Diário 8º PA'!$F$5:$F$2488))
+SUMPRODUCT(-('Comp.'!$D$5:$D$313='Analítico Cp.'!$B150),-('Comp.'!$R$5:$R$313=H$1),('Comp.'!$E$5:$E$313))</f>
        <v>0</v>
      </c>
      <c r="I150" s="185">
        <f>SUMPRODUCT(-('Diário 5º PA'!$E$5:$E$2634='Analítico Cp.'!$B150),-('Diário 5º PA'!$Q$5:$Q$2634=I$1),('Diário 5º PA'!$F$5:$F$2634))
+SUMPRODUCT(-('Diário 6º PA'!$E$5:$E$2246='Analítico Cp.'!$B150),-('Diário 6º PA'!$Q$5:$Q$2246=I$1),('Diário 6º PA'!$F$5:$F$2246))
+SUMPRODUCT(-('Diário 7º PA'!$E$5:$E$2271='Analítico Cp.'!$B150),-('Diário 7º PA'!$Q$5:$Q$2271=I$1),('Diário 7º PA'!$F$5:$F$2271))
+SUMPRODUCT(-('Diário 8º PA'!$E$5:$E$2488='Analítico Cp.'!$B150),-('Diário 8º PA'!$Q$5:$Q$2488=I$1),('Diário 8º PA'!$F$5:$F$2488))
+SUMPRODUCT(-('Comp.'!$D$5:$D$313='Analítico Cp.'!$B150),-('Comp.'!$R$5:$R$313=I$1),('Comp.'!$E$5:$E$313))</f>
        <v>0</v>
      </c>
      <c r="J150" s="185">
        <f>SUMPRODUCT(-('Diário 5º PA'!$E$5:$E$2634='Analítico Cp.'!$B150),-('Diário 5º PA'!$Q$5:$Q$2634=J$1),('Diário 5º PA'!$F$5:$F$2634))
+SUMPRODUCT(-('Diário 6º PA'!$E$5:$E$2246='Analítico Cp.'!$B150),-('Diário 6º PA'!$Q$5:$Q$2246=J$1),('Diário 6º PA'!$F$5:$F$2246))
+SUMPRODUCT(-('Diário 7º PA'!$E$5:$E$2271='Analítico Cp.'!$B150),-('Diário 7º PA'!$Q$5:$Q$2271=J$1),('Diário 7º PA'!$F$5:$F$2271))
+SUMPRODUCT(-('Diário 8º PA'!$E$5:$E$2488='Analítico Cp.'!$B150),-('Diário 8º PA'!$Q$5:$Q$2488=J$1),('Diário 8º PA'!$F$5:$F$2488))
+SUMPRODUCT(-('Comp.'!$D$5:$D$313='Analítico Cp.'!$B150),-('Comp.'!$R$5:$R$313=J$1),('Comp.'!$E$5:$E$313))</f>
        <v>0</v>
      </c>
      <c r="K150" s="185">
        <f>SUMPRODUCT(-('Diário 5º PA'!$E$5:$E$2634='Analítico Cp.'!$B150),-('Diário 5º PA'!$Q$5:$Q$2634=K$1),('Diário 5º PA'!$F$5:$F$2634))
+SUMPRODUCT(-('Diário 6º PA'!$E$5:$E$2246='Analítico Cp.'!$B150),-('Diário 6º PA'!$Q$5:$Q$2246=K$1),('Diário 6º PA'!$F$5:$F$2246))
+SUMPRODUCT(-('Diário 7º PA'!$E$5:$E$2271='Analítico Cp.'!$B150),-('Diário 7º PA'!$Q$5:$Q$2271=K$1),('Diário 7º PA'!$F$5:$F$2271))
+SUMPRODUCT(-('Diário 8º PA'!$E$5:$E$2488='Analítico Cp.'!$B150),-('Diário 8º PA'!$Q$5:$Q$2488=K$1),('Diário 8º PA'!$F$5:$F$2488))
+SUMPRODUCT(-('Comp.'!$D$5:$D$313='Analítico Cp.'!$B150),-('Comp.'!$R$5:$R$313=K$1),('Comp.'!$E$5:$E$313))</f>
        <v>0</v>
      </c>
      <c r="L150" s="185">
        <f>SUMPRODUCT(-('Diário 5º PA'!$E$5:$E$2634='Analítico Cp.'!$B150),-('Diário 5º PA'!$Q$5:$Q$2634=L$1),('Diário 5º PA'!$F$5:$F$2634))
+SUMPRODUCT(-('Diário 6º PA'!$E$5:$E$2246='Analítico Cp.'!$B150),-('Diário 6º PA'!$Q$5:$Q$2246=L$1),('Diário 6º PA'!$F$5:$F$2246))
+SUMPRODUCT(-('Diário 7º PA'!$E$5:$E$2271='Analítico Cp.'!$B150),-('Diário 7º PA'!$Q$5:$Q$2271=L$1),('Diário 7º PA'!$F$5:$F$2271))
+SUMPRODUCT(-('Diário 8º PA'!$E$5:$E$2488='Analítico Cp.'!$B150),-('Diário 8º PA'!$Q$5:$Q$2488=L$1),('Diário 8º PA'!$F$5:$F$2488))
+SUMPRODUCT(-('Comp.'!$D$5:$D$313='Analítico Cp.'!$B150),-('Comp.'!$R$5:$R$313=L$1),('Comp.'!$E$5:$E$313))</f>
        <v>0</v>
      </c>
      <c r="M150" s="185">
        <f>SUMPRODUCT(-('Diário 5º PA'!$E$5:$E$2634='Analítico Cp.'!$B150),-('Diário 5º PA'!$Q$5:$Q$2634=M$1),('Diário 5º PA'!$F$5:$F$2634))
+SUMPRODUCT(-('Diário 6º PA'!$E$5:$E$2246='Analítico Cp.'!$B150),-('Diário 6º PA'!$Q$5:$Q$2246=M$1),('Diário 6º PA'!$F$5:$F$2246))
+SUMPRODUCT(-('Diário 7º PA'!$E$5:$E$2271='Analítico Cp.'!$B150),-('Diário 7º PA'!$Q$5:$Q$2271=M$1),('Diário 7º PA'!$F$5:$F$2271))
+SUMPRODUCT(-('Diário 8º PA'!$E$5:$E$2488='Analítico Cp.'!$B150),-('Diário 8º PA'!$Q$5:$Q$2488=M$1),('Diário 8º PA'!$F$5:$F$2488))
+SUMPRODUCT(-('Comp.'!$D$5:$D$313='Analítico Cp.'!$B150),-('Comp.'!$R$5:$R$313=M$1),('Comp.'!$E$5:$E$313))</f>
        <v>0</v>
      </c>
      <c r="N150" s="185">
        <f>SUMPRODUCT(-('Diário 5º PA'!$E$5:$E$2634='Analítico Cp.'!$B150),-('Diário 5º PA'!$Q$5:$Q$2634=N$1),('Diário 5º PA'!$F$5:$F$2634))
+SUMPRODUCT(-('Diário 6º PA'!$E$5:$E$2246='Analítico Cp.'!$B150),-('Diário 6º PA'!$Q$5:$Q$2246=N$1),('Diário 6º PA'!$F$5:$F$2246))
+SUMPRODUCT(-('Diário 7º PA'!$E$5:$E$2271='Analítico Cp.'!$B150),-('Diário 7º PA'!$Q$5:$Q$2271=N$1),('Diário 7º PA'!$F$5:$F$2271))
+SUMPRODUCT(-('Diário 8º PA'!$E$5:$E$2488='Analítico Cp.'!$B150),-('Diário 8º PA'!$Q$5:$Q$2488=N$1),('Diário 8º PA'!$F$5:$F$2488))
+SUMPRODUCT(-('Comp.'!$D$5:$D$313='Analítico Cp.'!$B150),-('Comp.'!$R$5:$R$313=N$1),('Comp.'!$E$5:$E$313))</f>
        <v>0</v>
      </c>
      <c r="O150" s="186">
        <f t="shared" si="19"/>
        <v>0</v>
      </c>
      <c r="P150" s="187">
        <f t="shared" si="20"/>
        <v>0</v>
      </c>
      <c r="Q150" s="34"/>
      <c r="R150" s="34"/>
      <c r="S150" s="34"/>
      <c r="T150" s="34"/>
      <c r="U150" s="34"/>
      <c r="V150" s="34"/>
      <c r="W150" s="34"/>
      <c r="X150" s="34"/>
      <c r="Y150" s="34"/>
      <c r="Z150" s="34"/>
    </row>
    <row r="151" spans="1:26" ht="23.25" customHeight="1" x14ac:dyDescent="0.2">
      <c r="A151" s="203" t="s">
        <v>396</v>
      </c>
      <c r="B151" s="204" t="s">
        <v>397</v>
      </c>
      <c r="C151" s="185">
        <f>SUMPRODUCT(-('Diário 5º PA'!$E$5:$E$2634='Analítico Cp.'!$B151),-('Diário 5º PA'!$Q$5:$Q$2634=C$1),('Diário 5º PA'!$F$5:$F$2634))
+SUMPRODUCT(-('Diário 6º PA'!$E$5:$E$2246='Analítico Cp.'!$B151),-('Diário 6º PA'!$Q$5:$Q$2246=C$1),('Diário 6º PA'!$F$5:$F$2246))
+SUMPRODUCT(-('Diário 7º PA'!$E$5:$E$2271='Analítico Cp.'!$B151),-('Diário 7º PA'!$Q$5:$Q$2271=C$1),('Diário 7º PA'!$F$5:$F$2271))
+SUMPRODUCT(-('Diário 8º PA'!$E$5:$E$2488='Analítico Cp.'!$B151),-('Diário 8º PA'!$Q$5:$Q$2488=C$1),('Diário 8º PA'!$F$5:$F$2488))
+SUMPRODUCT(-('Comp.'!$D$5:$D$313='Analítico Cp.'!$B151),-('Comp.'!$R$5:$R$313=C$1),('Comp.'!$E$5:$E$313))</f>
        <v>0</v>
      </c>
      <c r="D151" s="185">
        <f>SUMPRODUCT(-('Diário 5º PA'!$E$5:$E$2634='Analítico Cp.'!$B151),-('Diário 5º PA'!$Q$5:$Q$2634=D$1),('Diário 5º PA'!$F$5:$F$2634))
+SUMPRODUCT(-('Diário 6º PA'!$E$5:$E$2246='Analítico Cp.'!$B151),-('Diário 6º PA'!$Q$5:$Q$2246=D$1),('Diário 6º PA'!$F$5:$F$2246))
+SUMPRODUCT(-('Diário 7º PA'!$E$5:$E$2271='Analítico Cp.'!$B151),-('Diário 7º PA'!$Q$5:$Q$2271=D$1),('Diário 7º PA'!$F$5:$F$2271))
+SUMPRODUCT(-('Diário 8º PA'!$E$5:$E$2488='Analítico Cp.'!$B151),-('Diário 8º PA'!$Q$5:$Q$2488=D$1),('Diário 8º PA'!$F$5:$F$2488))
+SUMPRODUCT(-('Comp.'!$D$5:$D$313='Analítico Cp.'!$B151),-('Comp.'!$R$5:$R$313=D$1),('Comp.'!$E$5:$E$313))</f>
        <v>0</v>
      </c>
      <c r="E151" s="185">
        <f>SUMPRODUCT(-('Diário 5º PA'!$E$5:$E$2634='Analítico Cp.'!$B151),-('Diário 5º PA'!$Q$5:$Q$2634=E$1),('Diário 5º PA'!$F$5:$F$2634))
+SUMPRODUCT(-('Diário 6º PA'!$E$5:$E$2246='Analítico Cp.'!$B151),-('Diário 6º PA'!$Q$5:$Q$2246=E$1),('Diário 6º PA'!$F$5:$F$2246))
+SUMPRODUCT(-('Diário 7º PA'!$E$5:$E$2271='Analítico Cp.'!$B151),-('Diário 7º PA'!$Q$5:$Q$2271=E$1),('Diário 7º PA'!$F$5:$F$2271))
+SUMPRODUCT(-('Diário 8º PA'!$E$5:$E$2488='Analítico Cp.'!$B151),-('Diário 8º PA'!$Q$5:$Q$2488=E$1),('Diário 8º PA'!$F$5:$F$2488))
+SUMPRODUCT(-('Comp.'!$D$5:$D$313='Analítico Cp.'!$B151),-('Comp.'!$R$5:$R$313=E$1),('Comp.'!$E$5:$E$313))</f>
        <v>0</v>
      </c>
      <c r="F151" s="185">
        <f>SUMPRODUCT(-('Diário 5º PA'!$E$5:$E$2634='Analítico Cp.'!$B151),-('Diário 5º PA'!$Q$5:$Q$2634=F$1),('Diário 5º PA'!$F$5:$F$2634))
+SUMPRODUCT(-('Diário 6º PA'!$E$5:$E$2246='Analítico Cp.'!$B151),-('Diário 6º PA'!$Q$5:$Q$2246=F$1),('Diário 6º PA'!$F$5:$F$2246))
+SUMPRODUCT(-('Diário 7º PA'!$E$5:$E$2271='Analítico Cp.'!$B151),-('Diário 7º PA'!$Q$5:$Q$2271=F$1),('Diário 7º PA'!$F$5:$F$2271))
+SUMPRODUCT(-('Diário 8º PA'!$E$5:$E$2488='Analítico Cp.'!$B151),-('Diário 8º PA'!$Q$5:$Q$2488=F$1),('Diário 8º PA'!$F$5:$F$2488))
+SUMPRODUCT(-('Comp.'!$D$5:$D$313='Analítico Cp.'!$B151),-('Comp.'!$R$5:$R$313=F$1),('Comp.'!$E$5:$E$313))</f>
        <v>0</v>
      </c>
      <c r="G151" s="185">
        <f>SUMPRODUCT(-('Diário 5º PA'!$E$5:$E$2634='Analítico Cp.'!$B151),-('Diário 5º PA'!$Q$5:$Q$2634=G$1),('Diário 5º PA'!$F$5:$F$2634))
+SUMPRODUCT(-('Diário 6º PA'!$E$5:$E$2246='Analítico Cp.'!$B151),-('Diário 6º PA'!$Q$5:$Q$2246=G$1),('Diário 6º PA'!$F$5:$F$2246))
+SUMPRODUCT(-('Diário 7º PA'!$E$5:$E$2271='Analítico Cp.'!$B151),-('Diário 7º PA'!$Q$5:$Q$2271=G$1),('Diário 7º PA'!$F$5:$F$2271))
+SUMPRODUCT(-('Diário 8º PA'!$E$5:$E$2488='Analítico Cp.'!$B151),-('Diário 8º PA'!$Q$5:$Q$2488=G$1),('Diário 8º PA'!$F$5:$F$2488))
+SUMPRODUCT(-('Comp.'!$D$5:$D$313='Analítico Cp.'!$B151),-('Comp.'!$R$5:$R$313=G$1),('Comp.'!$E$5:$E$313))</f>
        <v>0</v>
      </c>
      <c r="H151" s="185">
        <f>SUMPRODUCT(-('Diário 5º PA'!$E$5:$E$2634='Analítico Cp.'!$B151),-('Diário 5º PA'!$Q$5:$Q$2634=H$1),('Diário 5º PA'!$F$5:$F$2634))
+SUMPRODUCT(-('Diário 6º PA'!$E$5:$E$2246='Analítico Cp.'!$B151),-('Diário 6º PA'!$Q$5:$Q$2246=H$1),('Diário 6º PA'!$F$5:$F$2246))
+SUMPRODUCT(-('Diário 7º PA'!$E$5:$E$2271='Analítico Cp.'!$B151),-('Diário 7º PA'!$Q$5:$Q$2271=H$1),('Diário 7º PA'!$F$5:$F$2271))
+SUMPRODUCT(-('Diário 8º PA'!$E$5:$E$2488='Analítico Cp.'!$B151),-('Diário 8º PA'!$Q$5:$Q$2488=H$1),('Diário 8º PA'!$F$5:$F$2488))
+SUMPRODUCT(-('Comp.'!$D$5:$D$313='Analítico Cp.'!$B151),-('Comp.'!$R$5:$R$313=H$1),('Comp.'!$E$5:$E$313))</f>
        <v>0</v>
      </c>
      <c r="I151" s="185">
        <f>SUMPRODUCT(-('Diário 5º PA'!$E$5:$E$2634='Analítico Cp.'!$B151),-('Diário 5º PA'!$Q$5:$Q$2634=I$1),('Diário 5º PA'!$F$5:$F$2634))
+SUMPRODUCT(-('Diário 6º PA'!$E$5:$E$2246='Analítico Cp.'!$B151),-('Diário 6º PA'!$Q$5:$Q$2246=I$1),('Diário 6º PA'!$F$5:$F$2246))
+SUMPRODUCT(-('Diário 7º PA'!$E$5:$E$2271='Analítico Cp.'!$B151),-('Diário 7º PA'!$Q$5:$Q$2271=I$1),('Diário 7º PA'!$F$5:$F$2271))
+SUMPRODUCT(-('Diário 8º PA'!$E$5:$E$2488='Analítico Cp.'!$B151),-('Diário 8º PA'!$Q$5:$Q$2488=I$1),('Diário 8º PA'!$F$5:$F$2488))
+SUMPRODUCT(-('Comp.'!$D$5:$D$313='Analítico Cp.'!$B151),-('Comp.'!$R$5:$R$313=I$1),('Comp.'!$E$5:$E$313))</f>
        <v>0</v>
      </c>
      <c r="J151" s="185">
        <f>SUMPRODUCT(-('Diário 5º PA'!$E$5:$E$2634='Analítico Cp.'!$B151),-('Diário 5º PA'!$Q$5:$Q$2634=J$1),('Diário 5º PA'!$F$5:$F$2634))
+SUMPRODUCT(-('Diário 6º PA'!$E$5:$E$2246='Analítico Cp.'!$B151),-('Diário 6º PA'!$Q$5:$Q$2246=J$1),('Diário 6º PA'!$F$5:$F$2246))
+SUMPRODUCT(-('Diário 7º PA'!$E$5:$E$2271='Analítico Cp.'!$B151),-('Diário 7º PA'!$Q$5:$Q$2271=J$1),('Diário 7º PA'!$F$5:$F$2271))
+SUMPRODUCT(-('Diário 8º PA'!$E$5:$E$2488='Analítico Cp.'!$B151),-('Diário 8º PA'!$Q$5:$Q$2488=J$1),('Diário 8º PA'!$F$5:$F$2488))
+SUMPRODUCT(-('Comp.'!$D$5:$D$313='Analítico Cp.'!$B151),-('Comp.'!$R$5:$R$313=J$1),('Comp.'!$E$5:$E$313))</f>
        <v>0</v>
      </c>
      <c r="K151" s="185">
        <f>SUMPRODUCT(-('Diário 5º PA'!$E$5:$E$2634='Analítico Cp.'!$B151),-('Diário 5º PA'!$Q$5:$Q$2634=K$1),('Diário 5º PA'!$F$5:$F$2634))
+SUMPRODUCT(-('Diário 6º PA'!$E$5:$E$2246='Analítico Cp.'!$B151),-('Diário 6º PA'!$Q$5:$Q$2246=K$1),('Diário 6º PA'!$F$5:$F$2246))
+SUMPRODUCT(-('Diário 7º PA'!$E$5:$E$2271='Analítico Cp.'!$B151),-('Diário 7º PA'!$Q$5:$Q$2271=K$1),('Diário 7º PA'!$F$5:$F$2271))
+SUMPRODUCT(-('Diário 8º PA'!$E$5:$E$2488='Analítico Cp.'!$B151),-('Diário 8º PA'!$Q$5:$Q$2488=K$1),('Diário 8º PA'!$F$5:$F$2488))
+SUMPRODUCT(-('Comp.'!$D$5:$D$313='Analítico Cp.'!$B151),-('Comp.'!$R$5:$R$313=K$1),('Comp.'!$E$5:$E$313))</f>
        <v>0</v>
      </c>
      <c r="L151" s="185">
        <f>SUMPRODUCT(-('Diário 5º PA'!$E$5:$E$2634='Analítico Cp.'!$B151),-('Diário 5º PA'!$Q$5:$Q$2634=L$1),('Diário 5º PA'!$F$5:$F$2634))
+SUMPRODUCT(-('Diário 6º PA'!$E$5:$E$2246='Analítico Cp.'!$B151),-('Diário 6º PA'!$Q$5:$Q$2246=L$1),('Diário 6º PA'!$F$5:$F$2246))
+SUMPRODUCT(-('Diário 7º PA'!$E$5:$E$2271='Analítico Cp.'!$B151),-('Diário 7º PA'!$Q$5:$Q$2271=L$1),('Diário 7º PA'!$F$5:$F$2271))
+SUMPRODUCT(-('Diário 8º PA'!$E$5:$E$2488='Analítico Cp.'!$B151),-('Diário 8º PA'!$Q$5:$Q$2488=L$1),('Diário 8º PA'!$F$5:$F$2488))
+SUMPRODUCT(-('Comp.'!$D$5:$D$313='Analítico Cp.'!$B151),-('Comp.'!$R$5:$R$313=L$1),('Comp.'!$E$5:$E$313))</f>
        <v>0</v>
      </c>
      <c r="M151" s="185">
        <f>SUMPRODUCT(-('Diário 5º PA'!$E$5:$E$2634='Analítico Cp.'!$B151),-('Diário 5º PA'!$Q$5:$Q$2634=M$1),('Diário 5º PA'!$F$5:$F$2634))
+SUMPRODUCT(-('Diário 6º PA'!$E$5:$E$2246='Analítico Cp.'!$B151),-('Diário 6º PA'!$Q$5:$Q$2246=M$1),('Diário 6º PA'!$F$5:$F$2246))
+SUMPRODUCT(-('Diário 7º PA'!$E$5:$E$2271='Analítico Cp.'!$B151),-('Diário 7º PA'!$Q$5:$Q$2271=M$1),('Diário 7º PA'!$F$5:$F$2271))
+SUMPRODUCT(-('Diário 8º PA'!$E$5:$E$2488='Analítico Cp.'!$B151),-('Diário 8º PA'!$Q$5:$Q$2488=M$1),('Diário 8º PA'!$F$5:$F$2488))
+SUMPRODUCT(-('Comp.'!$D$5:$D$313='Analítico Cp.'!$B151),-('Comp.'!$R$5:$R$313=M$1),('Comp.'!$E$5:$E$313))</f>
        <v>0</v>
      </c>
      <c r="N151" s="185">
        <f>SUMPRODUCT(-('Diário 5º PA'!$E$5:$E$2634='Analítico Cp.'!$B151),-('Diário 5º PA'!$Q$5:$Q$2634=N$1),('Diário 5º PA'!$F$5:$F$2634))
+SUMPRODUCT(-('Diário 6º PA'!$E$5:$E$2246='Analítico Cp.'!$B151),-('Diário 6º PA'!$Q$5:$Q$2246=N$1),('Diário 6º PA'!$F$5:$F$2246))
+SUMPRODUCT(-('Diário 7º PA'!$E$5:$E$2271='Analítico Cp.'!$B151),-('Diário 7º PA'!$Q$5:$Q$2271=N$1),('Diário 7º PA'!$F$5:$F$2271))
+SUMPRODUCT(-('Diário 8º PA'!$E$5:$E$2488='Analítico Cp.'!$B151),-('Diário 8º PA'!$Q$5:$Q$2488=N$1),('Diário 8º PA'!$F$5:$F$2488))
+SUMPRODUCT(-('Comp.'!$D$5:$D$313='Analítico Cp.'!$B151),-('Comp.'!$R$5:$R$313=N$1),('Comp.'!$E$5:$E$313))</f>
        <v>0</v>
      </c>
      <c r="O151" s="186">
        <f t="shared" si="19"/>
        <v>0</v>
      </c>
      <c r="P151" s="187">
        <f t="shared" si="20"/>
        <v>0</v>
      </c>
      <c r="Q151" s="34"/>
      <c r="R151" s="34"/>
      <c r="S151" s="34"/>
      <c r="T151" s="34"/>
      <c r="U151" s="34"/>
      <c r="V151" s="34"/>
      <c r="W151" s="34"/>
      <c r="X151" s="34"/>
      <c r="Y151" s="34"/>
      <c r="Z151" s="34"/>
    </row>
    <row r="152" spans="1:26" ht="23.25" customHeight="1" x14ac:dyDescent="0.2">
      <c r="A152" s="203" t="s">
        <v>398</v>
      </c>
      <c r="B152" s="204" t="s">
        <v>399</v>
      </c>
      <c r="C152" s="185">
        <f>SUMPRODUCT(-('Diário 5º PA'!$E$5:$E$2634='Analítico Cp.'!$B152),-('Diário 5º PA'!$Q$5:$Q$2634=C$1),('Diário 5º PA'!$F$5:$F$2634))
+SUMPRODUCT(-('Diário 6º PA'!$E$5:$E$2246='Analítico Cp.'!$B152),-('Diário 6º PA'!$Q$5:$Q$2246=C$1),('Diário 6º PA'!$F$5:$F$2246))
+SUMPRODUCT(-('Diário 7º PA'!$E$5:$E$2271='Analítico Cp.'!$B152),-('Diário 7º PA'!$Q$5:$Q$2271=C$1),('Diário 7º PA'!$F$5:$F$2271))
+SUMPRODUCT(-('Diário 8º PA'!$E$5:$E$2488='Analítico Cp.'!$B152),-('Diário 8º PA'!$Q$5:$Q$2488=C$1),('Diário 8º PA'!$F$5:$F$2488))
+SUMPRODUCT(-('Comp.'!$D$5:$D$313='Analítico Cp.'!$B152),-('Comp.'!$R$5:$R$313=C$1),('Comp.'!$E$5:$E$313))</f>
        <v>0</v>
      </c>
      <c r="D152" s="185">
        <f>SUMPRODUCT(-('Diário 5º PA'!$E$5:$E$2634='Analítico Cp.'!$B152),-('Diário 5º PA'!$Q$5:$Q$2634=D$1),('Diário 5º PA'!$F$5:$F$2634))
+SUMPRODUCT(-('Diário 6º PA'!$E$5:$E$2246='Analítico Cp.'!$B152),-('Diário 6º PA'!$Q$5:$Q$2246=D$1),('Diário 6º PA'!$F$5:$F$2246))
+SUMPRODUCT(-('Diário 7º PA'!$E$5:$E$2271='Analítico Cp.'!$B152),-('Diário 7º PA'!$Q$5:$Q$2271=D$1),('Diário 7º PA'!$F$5:$F$2271))
+SUMPRODUCT(-('Diário 8º PA'!$E$5:$E$2488='Analítico Cp.'!$B152),-('Diário 8º PA'!$Q$5:$Q$2488=D$1),('Diário 8º PA'!$F$5:$F$2488))
+SUMPRODUCT(-('Comp.'!$D$5:$D$313='Analítico Cp.'!$B152),-('Comp.'!$R$5:$R$313=D$1),('Comp.'!$E$5:$E$313))</f>
        <v>0</v>
      </c>
      <c r="E152" s="185">
        <f>SUMPRODUCT(-('Diário 5º PA'!$E$5:$E$2634='Analítico Cp.'!$B152),-('Diário 5º PA'!$Q$5:$Q$2634=E$1),('Diário 5º PA'!$F$5:$F$2634))
+SUMPRODUCT(-('Diário 6º PA'!$E$5:$E$2246='Analítico Cp.'!$B152),-('Diário 6º PA'!$Q$5:$Q$2246=E$1),('Diário 6º PA'!$F$5:$F$2246))
+SUMPRODUCT(-('Diário 7º PA'!$E$5:$E$2271='Analítico Cp.'!$B152),-('Diário 7º PA'!$Q$5:$Q$2271=E$1),('Diário 7º PA'!$F$5:$F$2271))
+SUMPRODUCT(-('Diário 8º PA'!$E$5:$E$2488='Analítico Cp.'!$B152),-('Diário 8º PA'!$Q$5:$Q$2488=E$1),('Diário 8º PA'!$F$5:$F$2488))
+SUMPRODUCT(-('Comp.'!$D$5:$D$313='Analítico Cp.'!$B152),-('Comp.'!$R$5:$R$313=E$1),('Comp.'!$E$5:$E$313))</f>
        <v>0</v>
      </c>
      <c r="F152" s="185">
        <f>SUMPRODUCT(-('Diário 5º PA'!$E$5:$E$2634='Analítico Cp.'!$B152),-('Diário 5º PA'!$Q$5:$Q$2634=F$1),('Diário 5º PA'!$F$5:$F$2634))
+SUMPRODUCT(-('Diário 6º PA'!$E$5:$E$2246='Analítico Cp.'!$B152),-('Diário 6º PA'!$Q$5:$Q$2246=F$1),('Diário 6º PA'!$F$5:$F$2246))
+SUMPRODUCT(-('Diário 7º PA'!$E$5:$E$2271='Analítico Cp.'!$B152),-('Diário 7º PA'!$Q$5:$Q$2271=F$1),('Diário 7º PA'!$F$5:$F$2271))
+SUMPRODUCT(-('Diário 8º PA'!$E$5:$E$2488='Analítico Cp.'!$B152),-('Diário 8º PA'!$Q$5:$Q$2488=F$1),('Diário 8º PA'!$F$5:$F$2488))
+SUMPRODUCT(-('Comp.'!$D$5:$D$313='Analítico Cp.'!$B152),-('Comp.'!$R$5:$R$313=F$1),('Comp.'!$E$5:$E$313))</f>
        <v>0</v>
      </c>
      <c r="G152" s="185">
        <f>SUMPRODUCT(-('Diário 5º PA'!$E$5:$E$2634='Analítico Cp.'!$B152),-('Diário 5º PA'!$Q$5:$Q$2634=G$1),('Diário 5º PA'!$F$5:$F$2634))
+SUMPRODUCT(-('Diário 6º PA'!$E$5:$E$2246='Analítico Cp.'!$B152),-('Diário 6º PA'!$Q$5:$Q$2246=G$1),('Diário 6º PA'!$F$5:$F$2246))
+SUMPRODUCT(-('Diário 7º PA'!$E$5:$E$2271='Analítico Cp.'!$B152),-('Diário 7º PA'!$Q$5:$Q$2271=G$1),('Diário 7º PA'!$F$5:$F$2271))
+SUMPRODUCT(-('Diário 8º PA'!$E$5:$E$2488='Analítico Cp.'!$B152),-('Diário 8º PA'!$Q$5:$Q$2488=G$1),('Diário 8º PA'!$F$5:$F$2488))
+SUMPRODUCT(-('Comp.'!$D$5:$D$313='Analítico Cp.'!$B152),-('Comp.'!$R$5:$R$313=G$1),('Comp.'!$E$5:$E$313))</f>
        <v>0</v>
      </c>
      <c r="H152" s="185">
        <f>SUMPRODUCT(-('Diário 5º PA'!$E$5:$E$2634='Analítico Cp.'!$B152),-('Diário 5º PA'!$Q$5:$Q$2634=H$1),('Diário 5º PA'!$F$5:$F$2634))
+SUMPRODUCT(-('Diário 6º PA'!$E$5:$E$2246='Analítico Cp.'!$B152),-('Diário 6º PA'!$Q$5:$Q$2246=H$1),('Diário 6º PA'!$F$5:$F$2246))
+SUMPRODUCT(-('Diário 7º PA'!$E$5:$E$2271='Analítico Cp.'!$B152),-('Diário 7º PA'!$Q$5:$Q$2271=H$1),('Diário 7º PA'!$F$5:$F$2271))
+SUMPRODUCT(-('Diário 8º PA'!$E$5:$E$2488='Analítico Cp.'!$B152),-('Diário 8º PA'!$Q$5:$Q$2488=H$1),('Diário 8º PA'!$F$5:$F$2488))
+SUMPRODUCT(-('Comp.'!$D$5:$D$313='Analítico Cp.'!$B152),-('Comp.'!$R$5:$R$313=H$1),('Comp.'!$E$5:$E$313))</f>
        <v>0</v>
      </c>
      <c r="I152" s="185">
        <f>SUMPRODUCT(-('Diário 5º PA'!$E$5:$E$2634='Analítico Cp.'!$B152),-('Diário 5º PA'!$Q$5:$Q$2634=I$1),('Diário 5º PA'!$F$5:$F$2634))
+SUMPRODUCT(-('Diário 6º PA'!$E$5:$E$2246='Analítico Cp.'!$B152),-('Diário 6º PA'!$Q$5:$Q$2246=I$1),('Diário 6º PA'!$F$5:$F$2246))
+SUMPRODUCT(-('Diário 7º PA'!$E$5:$E$2271='Analítico Cp.'!$B152),-('Diário 7º PA'!$Q$5:$Q$2271=I$1),('Diário 7º PA'!$F$5:$F$2271))
+SUMPRODUCT(-('Diário 8º PA'!$E$5:$E$2488='Analítico Cp.'!$B152),-('Diário 8º PA'!$Q$5:$Q$2488=I$1),('Diário 8º PA'!$F$5:$F$2488))
+SUMPRODUCT(-('Comp.'!$D$5:$D$313='Analítico Cp.'!$B152),-('Comp.'!$R$5:$R$313=I$1),('Comp.'!$E$5:$E$313))</f>
        <v>0</v>
      </c>
      <c r="J152" s="185">
        <f>SUMPRODUCT(-('Diário 5º PA'!$E$5:$E$2634='Analítico Cp.'!$B152),-('Diário 5º PA'!$Q$5:$Q$2634=J$1),('Diário 5º PA'!$F$5:$F$2634))
+SUMPRODUCT(-('Diário 6º PA'!$E$5:$E$2246='Analítico Cp.'!$B152),-('Diário 6º PA'!$Q$5:$Q$2246=J$1),('Diário 6º PA'!$F$5:$F$2246))
+SUMPRODUCT(-('Diário 7º PA'!$E$5:$E$2271='Analítico Cp.'!$B152),-('Diário 7º PA'!$Q$5:$Q$2271=J$1),('Diário 7º PA'!$F$5:$F$2271))
+SUMPRODUCT(-('Diário 8º PA'!$E$5:$E$2488='Analítico Cp.'!$B152),-('Diário 8º PA'!$Q$5:$Q$2488=J$1),('Diário 8º PA'!$F$5:$F$2488))
+SUMPRODUCT(-('Comp.'!$D$5:$D$313='Analítico Cp.'!$B152),-('Comp.'!$R$5:$R$313=J$1),('Comp.'!$E$5:$E$313))</f>
        <v>0</v>
      </c>
      <c r="K152" s="185">
        <f>SUMPRODUCT(-('Diário 5º PA'!$E$5:$E$2634='Analítico Cp.'!$B152),-('Diário 5º PA'!$Q$5:$Q$2634=K$1),('Diário 5º PA'!$F$5:$F$2634))
+SUMPRODUCT(-('Diário 6º PA'!$E$5:$E$2246='Analítico Cp.'!$B152),-('Diário 6º PA'!$Q$5:$Q$2246=K$1),('Diário 6º PA'!$F$5:$F$2246))
+SUMPRODUCT(-('Diário 7º PA'!$E$5:$E$2271='Analítico Cp.'!$B152),-('Diário 7º PA'!$Q$5:$Q$2271=K$1),('Diário 7º PA'!$F$5:$F$2271))
+SUMPRODUCT(-('Diário 8º PA'!$E$5:$E$2488='Analítico Cp.'!$B152),-('Diário 8º PA'!$Q$5:$Q$2488=K$1),('Diário 8º PA'!$F$5:$F$2488))
+SUMPRODUCT(-('Comp.'!$D$5:$D$313='Analítico Cp.'!$B152),-('Comp.'!$R$5:$R$313=K$1),('Comp.'!$E$5:$E$313))</f>
        <v>0</v>
      </c>
      <c r="L152" s="185">
        <f>SUMPRODUCT(-('Diário 5º PA'!$E$5:$E$2634='Analítico Cp.'!$B152),-('Diário 5º PA'!$Q$5:$Q$2634=L$1),('Diário 5º PA'!$F$5:$F$2634))
+SUMPRODUCT(-('Diário 6º PA'!$E$5:$E$2246='Analítico Cp.'!$B152),-('Diário 6º PA'!$Q$5:$Q$2246=L$1),('Diário 6º PA'!$F$5:$F$2246))
+SUMPRODUCT(-('Diário 7º PA'!$E$5:$E$2271='Analítico Cp.'!$B152),-('Diário 7º PA'!$Q$5:$Q$2271=L$1),('Diário 7º PA'!$F$5:$F$2271))
+SUMPRODUCT(-('Diário 8º PA'!$E$5:$E$2488='Analítico Cp.'!$B152),-('Diário 8º PA'!$Q$5:$Q$2488=L$1),('Diário 8º PA'!$F$5:$F$2488))
+SUMPRODUCT(-('Comp.'!$D$5:$D$313='Analítico Cp.'!$B152),-('Comp.'!$R$5:$R$313=L$1),('Comp.'!$E$5:$E$313))</f>
        <v>0</v>
      </c>
      <c r="M152" s="185">
        <f>SUMPRODUCT(-('Diário 5º PA'!$E$5:$E$2634='Analítico Cp.'!$B152),-('Diário 5º PA'!$Q$5:$Q$2634=M$1),('Diário 5º PA'!$F$5:$F$2634))
+SUMPRODUCT(-('Diário 6º PA'!$E$5:$E$2246='Analítico Cp.'!$B152),-('Diário 6º PA'!$Q$5:$Q$2246=M$1),('Diário 6º PA'!$F$5:$F$2246))
+SUMPRODUCT(-('Diário 7º PA'!$E$5:$E$2271='Analítico Cp.'!$B152),-('Diário 7º PA'!$Q$5:$Q$2271=M$1),('Diário 7º PA'!$F$5:$F$2271))
+SUMPRODUCT(-('Diário 8º PA'!$E$5:$E$2488='Analítico Cp.'!$B152),-('Diário 8º PA'!$Q$5:$Q$2488=M$1),('Diário 8º PA'!$F$5:$F$2488))
+SUMPRODUCT(-('Comp.'!$D$5:$D$313='Analítico Cp.'!$B152),-('Comp.'!$R$5:$R$313=M$1),('Comp.'!$E$5:$E$313))</f>
        <v>0</v>
      </c>
      <c r="N152" s="185">
        <f>SUMPRODUCT(-('Diário 5º PA'!$E$5:$E$2634='Analítico Cp.'!$B152),-('Diário 5º PA'!$Q$5:$Q$2634=N$1),('Diário 5º PA'!$F$5:$F$2634))
+SUMPRODUCT(-('Diário 6º PA'!$E$5:$E$2246='Analítico Cp.'!$B152),-('Diário 6º PA'!$Q$5:$Q$2246=N$1),('Diário 6º PA'!$F$5:$F$2246))
+SUMPRODUCT(-('Diário 7º PA'!$E$5:$E$2271='Analítico Cp.'!$B152),-('Diário 7º PA'!$Q$5:$Q$2271=N$1),('Diário 7º PA'!$F$5:$F$2271))
+SUMPRODUCT(-('Diário 8º PA'!$E$5:$E$2488='Analítico Cp.'!$B152),-('Diário 8º PA'!$Q$5:$Q$2488=N$1),('Diário 8º PA'!$F$5:$F$2488))
+SUMPRODUCT(-('Comp.'!$D$5:$D$313='Analítico Cp.'!$B152),-('Comp.'!$R$5:$R$313=N$1),('Comp.'!$E$5:$E$313))</f>
        <v>0</v>
      </c>
      <c r="O152" s="186">
        <f t="shared" si="19"/>
        <v>0</v>
      </c>
      <c r="P152" s="187">
        <f t="shared" si="20"/>
        <v>0</v>
      </c>
      <c r="Q152" s="34"/>
      <c r="R152" s="34"/>
      <c r="S152" s="34"/>
      <c r="T152" s="34"/>
      <c r="U152" s="34"/>
      <c r="V152" s="34"/>
      <c r="W152" s="34"/>
      <c r="X152" s="34"/>
      <c r="Y152" s="34"/>
      <c r="Z152" s="34"/>
    </row>
    <row r="153" spans="1:26" ht="23.25" customHeight="1" x14ac:dyDescent="0.2">
      <c r="A153" s="203" t="s">
        <v>400</v>
      </c>
      <c r="B153" s="204" t="s">
        <v>401</v>
      </c>
      <c r="C153" s="185">
        <f>SUMPRODUCT(-('Diário 5º PA'!$E$5:$E$2634='Analítico Cp.'!$B153),-('Diário 5º PA'!$Q$5:$Q$2634=C$1),('Diário 5º PA'!$F$5:$F$2634))
+SUMPRODUCT(-('Diário 6º PA'!$E$5:$E$2246='Analítico Cp.'!$B153),-('Diário 6º PA'!$Q$5:$Q$2246=C$1),('Diário 6º PA'!$F$5:$F$2246))
+SUMPRODUCT(-('Diário 7º PA'!$E$5:$E$2271='Analítico Cp.'!$B153),-('Diário 7º PA'!$Q$5:$Q$2271=C$1),('Diário 7º PA'!$F$5:$F$2271))
+SUMPRODUCT(-('Diário 8º PA'!$E$5:$E$2488='Analítico Cp.'!$B153),-('Diário 8º PA'!$Q$5:$Q$2488=C$1),('Diário 8º PA'!$F$5:$F$2488))
+SUMPRODUCT(-('Comp.'!$D$5:$D$313='Analítico Cp.'!$B153),-('Comp.'!$R$5:$R$313=C$1),('Comp.'!$E$5:$E$313))</f>
        <v>0</v>
      </c>
      <c r="D153" s="185">
        <f>SUMPRODUCT(-('Diário 5º PA'!$E$5:$E$2634='Analítico Cp.'!$B153),-('Diário 5º PA'!$Q$5:$Q$2634=D$1),('Diário 5º PA'!$F$5:$F$2634))
+SUMPRODUCT(-('Diário 6º PA'!$E$5:$E$2246='Analítico Cp.'!$B153),-('Diário 6º PA'!$Q$5:$Q$2246=D$1),('Diário 6º PA'!$F$5:$F$2246))
+SUMPRODUCT(-('Diário 7º PA'!$E$5:$E$2271='Analítico Cp.'!$B153),-('Diário 7º PA'!$Q$5:$Q$2271=D$1),('Diário 7º PA'!$F$5:$F$2271))
+SUMPRODUCT(-('Diário 8º PA'!$E$5:$E$2488='Analítico Cp.'!$B153),-('Diário 8º PA'!$Q$5:$Q$2488=D$1),('Diário 8º PA'!$F$5:$F$2488))
+SUMPRODUCT(-('Comp.'!$D$5:$D$313='Analítico Cp.'!$B153),-('Comp.'!$R$5:$R$313=D$1),('Comp.'!$E$5:$E$313))</f>
        <v>0</v>
      </c>
      <c r="E153" s="185">
        <f>SUMPRODUCT(-('Diário 5º PA'!$E$5:$E$2634='Analítico Cp.'!$B153),-('Diário 5º PA'!$Q$5:$Q$2634=E$1),('Diário 5º PA'!$F$5:$F$2634))
+SUMPRODUCT(-('Diário 6º PA'!$E$5:$E$2246='Analítico Cp.'!$B153),-('Diário 6º PA'!$Q$5:$Q$2246=E$1),('Diário 6º PA'!$F$5:$F$2246))
+SUMPRODUCT(-('Diário 7º PA'!$E$5:$E$2271='Analítico Cp.'!$B153),-('Diário 7º PA'!$Q$5:$Q$2271=E$1),('Diário 7º PA'!$F$5:$F$2271))
+SUMPRODUCT(-('Diário 8º PA'!$E$5:$E$2488='Analítico Cp.'!$B153),-('Diário 8º PA'!$Q$5:$Q$2488=E$1),('Diário 8º PA'!$F$5:$F$2488))
+SUMPRODUCT(-('Comp.'!$D$5:$D$313='Analítico Cp.'!$B153),-('Comp.'!$R$5:$R$313=E$1),('Comp.'!$E$5:$E$313))</f>
        <v>0</v>
      </c>
      <c r="F153" s="185">
        <f>SUMPRODUCT(-('Diário 5º PA'!$E$5:$E$2634='Analítico Cp.'!$B153),-('Diário 5º PA'!$Q$5:$Q$2634=F$1),('Diário 5º PA'!$F$5:$F$2634))
+SUMPRODUCT(-('Diário 6º PA'!$E$5:$E$2246='Analítico Cp.'!$B153),-('Diário 6º PA'!$Q$5:$Q$2246=F$1),('Diário 6º PA'!$F$5:$F$2246))
+SUMPRODUCT(-('Diário 7º PA'!$E$5:$E$2271='Analítico Cp.'!$B153),-('Diário 7º PA'!$Q$5:$Q$2271=F$1),('Diário 7º PA'!$F$5:$F$2271))
+SUMPRODUCT(-('Diário 8º PA'!$E$5:$E$2488='Analítico Cp.'!$B153),-('Diário 8º PA'!$Q$5:$Q$2488=F$1),('Diário 8º PA'!$F$5:$F$2488))
+SUMPRODUCT(-('Comp.'!$D$5:$D$313='Analítico Cp.'!$B153),-('Comp.'!$R$5:$R$313=F$1),('Comp.'!$E$5:$E$313))</f>
        <v>0</v>
      </c>
      <c r="G153" s="185">
        <f>SUMPRODUCT(-('Diário 5º PA'!$E$5:$E$2634='Analítico Cp.'!$B153),-('Diário 5º PA'!$Q$5:$Q$2634=G$1),('Diário 5º PA'!$F$5:$F$2634))
+SUMPRODUCT(-('Diário 6º PA'!$E$5:$E$2246='Analítico Cp.'!$B153),-('Diário 6º PA'!$Q$5:$Q$2246=G$1),('Diário 6º PA'!$F$5:$F$2246))
+SUMPRODUCT(-('Diário 7º PA'!$E$5:$E$2271='Analítico Cp.'!$B153),-('Diário 7º PA'!$Q$5:$Q$2271=G$1),('Diário 7º PA'!$F$5:$F$2271))
+SUMPRODUCT(-('Diário 8º PA'!$E$5:$E$2488='Analítico Cp.'!$B153),-('Diário 8º PA'!$Q$5:$Q$2488=G$1),('Diário 8º PA'!$F$5:$F$2488))
+SUMPRODUCT(-('Comp.'!$D$5:$D$313='Analítico Cp.'!$B153),-('Comp.'!$R$5:$R$313=G$1),('Comp.'!$E$5:$E$313))</f>
        <v>0</v>
      </c>
      <c r="H153" s="185">
        <f>SUMPRODUCT(-('Diário 5º PA'!$E$5:$E$2634='Analítico Cp.'!$B153),-('Diário 5º PA'!$Q$5:$Q$2634=H$1),('Diário 5º PA'!$F$5:$F$2634))
+SUMPRODUCT(-('Diário 6º PA'!$E$5:$E$2246='Analítico Cp.'!$B153),-('Diário 6º PA'!$Q$5:$Q$2246=H$1),('Diário 6º PA'!$F$5:$F$2246))
+SUMPRODUCT(-('Diário 7º PA'!$E$5:$E$2271='Analítico Cp.'!$B153),-('Diário 7º PA'!$Q$5:$Q$2271=H$1),('Diário 7º PA'!$F$5:$F$2271))
+SUMPRODUCT(-('Diário 8º PA'!$E$5:$E$2488='Analítico Cp.'!$B153),-('Diário 8º PA'!$Q$5:$Q$2488=H$1),('Diário 8º PA'!$F$5:$F$2488))
+SUMPRODUCT(-('Comp.'!$D$5:$D$313='Analítico Cp.'!$B153),-('Comp.'!$R$5:$R$313=H$1),('Comp.'!$E$5:$E$313))</f>
        <v>0</v>
      </c>
      <c r="I153" s="185">
        <f>SUMPRODUCT(-('Diário 5º PA'!$E$5:$E$2634='Analítico Cp.'!$B153),-('Diário 5º PA'!$Q$5:$Q$2634=I$1),('Diário 5º PA'!$F$5:$F$2634))
+SUMPRODUCT(-('Diário 6º PA'!$E$5:$E$2246='Analítico Cp.'!$B153),-('Diário 6º PA'!$Q$5:$Q$2246=I$1),('Diário 6º PA'!$F$5:$F$2246))
+SUMPRODUCT(-('Diário 7º PA'!$E$5:$E$2271='Analítico Cp.'!$B153),-('Diário 7º PA'!$Q$5:$Q$2271=I$1),('Diário 7º PA'!$F$5:$F$2271))
+SUMPRODUCT(-('Diário 8º PA'!$E$5:$E$2488='Analítico Cp.'!$B153),-('Diário 8º PA'!$Q$5:$Q$2488=I$1),('Diário 8º PA'!$F$5:$F$2488))
+SUMPRODUCT(-('Comp.'!$D$5:$D$313='Analítico Cp.'!$B153),-('Comp.'!$R$5:$R$313=I$1),('Comp.'!$E$5:$E$313))</f>
        <v>0</v>
      </c>
      <c r="J153" s="185">
        <f>SUMPRODUCT(-('Diário 5º PA'!$E$5:$E$2634='Analítico Cp.'!$B153),-('Diário 5º PA'!$Q$5:$Q$2634=J$1),('Diário 5º PA'!$F$5:$F$2634))
+SUMPRODUCT(-('Diário 6º PA'!$E$5:$E$2246='Analítico Cp.'!$B153),-('Diário 6º PA'!$Q$5:$Q$2246=J$1),('Diário 6º PA'!$F$5:$F$2246))
+SUMPRODUCT(-('Diário 7º PA'!$E$5:$E$2271='Analítico Cp.'!$B153),-('Diário 7º PA'!$Q$5:$Q$2271=J$1),('Diário 7º PA'!$F$5:$F$2271))
+SUMPRODUCT(-('Diário 8º PA'!$E$5:$E$2488='Analítico Cp.'!$B153),-('Diário 8º PA'!$Q$5:$Q$2488=J$1),('Diário 8º PA'!$F$5:$F$2488))
+SUMPRODUCT(-('Comp.'!$D$5:$D$313='Analítico Cp.'!$B153),-('Comp.'!$R$5:$R$313=J$1),('Comp.'!$E$5:$E$313))</f>
        <v>0</v>
      </c>
      <c r="K153" s="185">
        <f>SUMPRODUCT(-('Diário 5º PA'!$E$5:$E$2634='Analítico Cp.'!$B153),-('Diário 5º PA'!$Q$5:$Q$2634=K$1),('Diário 5º PA'!$F$5:$F$2634))
+SUMPRODUCT(-('Diário 6º PA'!$E$5:$E$2246='Analítico Cp.'!$B153),-('Diário 6º PA'!$Q$5:$Q$2246=K$1),('Diário 6º PA'!$F$5:$F$2246))
+SUMPRODUCT(-('Diário 7º PA'!$E$5:$E$2271='Analítico Cp.'!$B153),-('Diário 7º PA'!$Q$5:$Q$2271=K$1),('Diário 7º PA'!$F$5:$F$2271))
+SUMPRODUCT(-('Diário 8º PA'!$E$5:$E$2488='Analítico Cp.'!$B153),-('Diário 8º PA'!$Q$5:$Q$2488=K$1),('Diário 8º PA'!$F$5:$F$2488))
+SUMPRODUCT(-('Comp.'!$D$5:$D$313='Analítico Cp.'!$B153),-('Comp.'!$R$5:$R$313=K$1),('Comp.'!$E$5:$E$313))</f>
        <v>0</v>
      </c>
      <c r="L153" s="185">
        <f>SUMPRODUCT(-('Diário 5º PA'!$E$5:$E$2634='Analítico Cp.'!$B153),-('Diário 5º PA'!$Q$5:$Q$2634=L$1),('Diário 5º PA'!$F$5:$F$2634))
+SUMPRODUCT(-('Diário 6º PA'!$E$5:$E$2246='Analítico Cp.'!$B153),-('Diário 6º PA'!$Q$5:$Q$2246=L$1),('Diário 6º PA'!$F$5:$F$2246))
+SUMPRODUCT(-('Diário 7º PA'!$E$5:$E$2271='Analítico Cp.'!$B153),-('Diário 7º PA'!$Q$5:$Q$2271=L$1),('Diário 7º PA'!$F$5:$F$2271))
+SUMPRODUCT(-('Diário 8º PA'!$E$5:$E$2488='Analítico Cp.'!$B153),-('Diário 8º PA'!$Q$5:$Q$2488=L$1),('Diário 8º PA'!$F$5:$F$2488))
+SUMPRODUCT(-('Comp.'!$D$5:$D$313='Analítico Cp.'!$B153),-('Comp.'!$R$5:$R$313=L$1),('Comp.'!$E$5:$E$313))</f>
        <v>0</v>
      </c>
      <c r="M153" s="185">
        <f>SUMPRODUCT(-('Diário 5º PA'!$E$5:$E$2634='Analítico Cp.'!$B153),-('Diário 5º PA'!$Q$5:$Q$2634=M$1),('Diário 5º PA'!$F$5:$F$2634))
+SUMPRODUCT(-('Diário 6º PA'!$E$5:$E$2246='Analítico Cp.'!$B153),-('Diário 6º PA'!$Q$5:$Q$2246=M$1),('Diário 6º PA'!$F$5:$F$2246))
+SUMPRODUCT(-('Diário 7º PA'!$E$5:$E$2271='Analítico Cp.'!$B153),-('Diário 7º PA'!$Q$5:$Q$2271=M$1),('Diário 7º PA'!$F$5:$F$2271))
+SUMPRODUCT(-('Diário 8º PA'!$E$5:$E$2488='Analítico Cp.'!$B153),-('Diário 8º PA'!$Q$5:$Q$2488=M$1),('Diário 8º PA'!$F$5:$F$2488))
+SUMPRODUCT(-('Comp.'!$D$5:$D$313='Analítico Cp.'!$B153),-('Comp.'!$R$5:$R$313=M$1),('Comp.'!$E$5:$E$313))</f>
        <v>0</v>
      </c>
      <c r="N153" s="185">
        <f>SUMPRODUCT(-('Diário 5º PA'!$E$5:$E$2634='Analítico Cp.'!$B153),-('Diário 5º PA'!$Q$5:$Q$2634=N$1),('Diário 5º PA'!$F$5:$F$2634))
+SUMPRODUCT(-('Diário 6º PA'!$E$5:$E$2246='Analítico Cp.'!$B153),-('Diário 6º PA'!$Q$5:$Q$2246=N$1),('Diário 6º PA'!$F$5:$F$2246))
+SUMPRODUCT(-('Diário 7º PA'!$E$5:$E$2271='Analítico Cp.'!$B153),-('Diário 7º PA'!$Q$5:$Q$2271=N$1),('Diário 7º PA'!$F$5:$F$2271))
+SUMPRODUCT(-('Diário 8º PA'!$E$5:$E$2488='Analítico Cp.'!$B153),-('Diário 8º PA'!$Q$5:$Q$2488=N$1),('Diário 8º PA'!$F$5:$F$2488))
+SUMPRODUCT(-('Comp.'!$D$5:$D$313='Analítico Cp.'!$B153),-('Comp.'!$R$5:$R$313=N$1),('Comp.'!$E$5:$E$313))</f>
        <v>0</v>
      </c>
      <c r="O153" s="186">
        <f t="shared" si="19"/>
        <v>0</v>
      </c>
      <c r="P153" s="187">
        <f t="shared" si="20"/>
        <v>0</v>
      </c>
      <c r="Q153" s="34"/>
      <c r="R153" s="34"/>
      <c r="S153" s="34"/>
      <c r="T153" s="34"/>
      <c r="U153" s="34"/>
      <c r="V153" s="34"/>
      <c r="W153" s="34"/>
      <c r="X153" s="34"/>
      <c r="Y153" s="34"/>
      <c r="Z153" s="34"/>
    </row>
    <row r="154" spans="1:26" ht="23.25" customHeight="1" x14ac:dyDescent="0.2">
      <c r="A154" s="203" t="s">
        <v>402</v>
      </c>
      <c r="B154" s="204" t="s">
        <v>403</v>
      </c>
      <c r="C154" s="185">
        <f>SUMPRODUCT(-('Diário 5º PA'!$E$5:$E$2634='Analítico Cp.'!$B154),-('Diário 5º PA'!$Q$5:$Q$2634=C$1),('Diário 5º PA'!$F$5:$F$2634))
+SUMPRODUCT(-('Diário 6º PA'!$E$5:$E$2246='Analítico Cp.'!$B154),-('Diário 6º PA'!$Q$5:$Q$2246=C$1),('Diário 6º PA'!$F$5:$F$2246))
+SUMPRODUCT(-('Diário 7º PA'!$E$5:$E$2271='Analítico Cp.'!$B154),-('Diário 7º PA'!$Q$5:$Q$2271=C$1),('Diário 7º PA'!$F$5:$F$2271))
+SUMPRODUCT(-('Diário 8º PA'!$E$5:$E$2488='Analítico Cp.'!$B154),-('Diário 8º PA'!$Q$5:$Q$2488=C$1),('Diário 8º PA'!$F$5:$F$2488))
+SUMPRODUCT(-('Comp.'!$D$5:$D$313='Analítico Cp.'!$B154),-('Comp.'!$R$5:$R$313=C$1),('Comp.'!$E$5:$E$313))</f>
        <v>0</v>
      </c>
      <c r="D154" s="185">
        <f>SUMPRODUCT(-('Diário 5º PA'!$E$5:$E$2634='Analítico Cp.'!$B154),-('Diário 5º PA'!$Q$5:$Q$2634=D$1),('Diário 5º PA'!$F$5:$F$2634))
+SUMPRODUCT(-('Diário 6º PA'!$E$5:$E$2246='Analítico Cp.'!$B154),-('Diário 6º PA'!$Q$5:$Q$2246=D$1),('Diário 6º PA'!$F$5:$F$2246))
+SUMPRODUCT(-('Diário 7º PA'!$E$5:$E$2271='Analítico Cp.'!$B154),-('Diário 7º PA'!$Q$5:$Q$2271=D$1),('Diário 7º PA'!$F$5:$F$2271))
+SUMPRODUCT(-('Diário 8º PA'!$E$5:$E$2488='Analítico Cp.'!$B154),-('Diário 8º PA'!$Q$5:$Q$2488=D$1),('Diário 8º PA'!$F$5:$F$2488))
+SUMPRODUCT(-('Comp.'!$D$5:$D$313='Analítico Cp.'!$B154),-('Comp.'!$R$5:$R$313=D$1),('Comp.'!$E$5:$E$313))</f>
        <v>0</v>
      </c>
      <c r="E154" s="185">
        <f>SUMPRODUCT(-('Diário 5º PA'!$E$5:$E$2634='Analítico Cp.'!$B154),-('Diário 5º PA'!$Q$5:$Q$2634=E$1),('Diário 5º PA'!$F$5:$F$2634))
+SUMPRODUCT(-('Diário 6º PA'!$E$5:$E$2246='Analítico Cp.'!$B154),-('Diário 6º PA'!$Q$5:$Q$2246=E$1),('Diário 6º PA'!$F$5:$F$2246))
+SUMPRODUCT(-('Diário 7º PA'!$E$5:$E$2271='Analítico Cp.'!$B154),-('Diário 7º PA'!$Q$5:$Q$2271=E$1),('Diário 7º PA'!$F$5:$F$2271))
+SUMPRODUCT(-('Diário 8º PA'!$E$5:$E$2488='Analítico Cp.'!$B154),-('Diário 8º PA'!$Q$5:$Q$2488=E$1),('Diário 8º PA'!$F$5:$F$2488))
+SUMPRODUCT(-('Comp.'!$D$5:$D$313='Analítico Cp.'!$B154),-('Comp.'!$R$5:$R$313=E$1),('Comp.'!$E$5:$E$313))</f>
        <v>0</v>
      </c>
      <c r="F154" s="185">
        <f>SUMPRODUCT(-('Diário 5º PA'!$E$5:$E$2634='Analítico Cp.'!$B154),-('Diário 5º PA'!$Q$5:$Q$2634=F$1),('Diário 5º PA'!$F$5:$F$2634))
+SUMPRODUCT(-('Diário 6º PA'!$E$5:$E$2246='Analítico Cp.'!$B154),-('Diário 6º PA'!$Q$5:$Q$2246=F$1),('Diário 6º PA'!$F$5:$F$2246))
+SUMPRODUCT(-('Diário 7º PA'!$E$5:$E$2271='Analítico Cp.'!$B154),-('Diário 7º PA'!$Q$5:$Q$2271=F$1),('Diário 7º PA'!$F$5:$F$2271))
+SUMPRODUCT(-('Diário 8º PA'!$E$5:$E$2488='Analítico Cp.'!$B154),-('Diário 8º PA'!$Q$5:$Q$2488=F$1),('Diário 8º PA'!$F$5:$F$2488))
+SUMPRODUCT(-('Comp.'!$D$5:$D$313='Analítico Cp.'!$B154),-('Comp.'!$R$5:$R$313=F$1),('Comp.'!$E$5:$E$313))</f>
        <v>0</v>
      </c>
      <c r="G154" s="185">
        <f>SUMPRODUCT(-('Diário 5º PA'!$E$5:$E$2634='Analítico Cp.'!$B154),-('Diário 5º PA'!$Q$5:$Q$2634=G$1),('Diário 5º PA'!$F$5:$F$2634))
+SUMPRODUCT(-('Diário 6º PA'!$E$5:$E$2246='Analítico Cp.'!$B154),-('Diário 6º PA'!$Q$5:$Q$2246=G$1),('Diário 6º PA'!$F$5:$F$2246))
+SUMPRODUCT(-('Diário 7º PA'!$E$5:$E$2271='Analítico Cp.'!$B154),-('Diário 7º PA'!$Q$5:$Q$2271=G$1),('Diário 7º PA'!$F$5:$F$2271))
+SUMPRODUCT(-('Diário 8º PA'!$E$5:$E$2488='Analítico Cp.'!$B154),-('Diário 8º PA'!$Q$5:$Q$2488=G$1),('Diário 8º PA'!$F$5:$F$2488))
+SUMPRODUCT(-('Comp.'!$D$5:$D$313='Analítico Cp.'!$B154),-('Comp.'!$R$5:$R$313=G$1),('Comp.'!$E$5:$E$313))</f>
        <v>0</v>
      </c>
      <c r="H154" s="185">
        <f>SUMPRODUCT(-('Diário 5º PA'!$E$5:$E$2634='Analítico Cp.'!$B154),-('Diário 5º PA'!$Q$5:$Q$2634=H$1),('Diário 5º PA'!$F$5:$F$2634))
+SUMPRODUCT(-('Diário 6º PA'!$E$5:$E$2246='Analítico Cp.'!$B154),-('Diário 6º PA'!$Q$5:$Q$2246=H$1),('Diário 6º PA'!$F$5:$F$2246))
+SUMPRODUCT(-('Diário 7º PA'!$E$5:$E$2271='Analítico Cp.'!$B154),-('Diário 7º PA'!$Q$5:$Q$2271=H$1),('Diário 7º PA'!$F$5:$F$2271))
+SUMPRODUCT(-('Diário 8º PA'!$E$5:$E$2488='Analítico Cp.'!$B154),-('Diário 8º PA'!$Q$5:$Q$2488=H$1),('Diário 8º PA'!$F$5:$F$2488))
+SUMPRODUCT(-('Comp.'!$D$5:$D$313='Analítico Cp.'!$B154),-('Comp.'!$R$5:$R$313=H$1),('Comp.'!$E$5:$E$313))</f>
        <v>0</v>
      </c>
      <c r="I154" s="185">
        <f>SUMPRODUCT(-('Diário 5º PA'!$E$5:$E$2634='Analítico Cp.'!$B154),-('Diário 5º PA'!$Q$5:$Q$2634=I$1),('Diário 5º PA'!$F$5:$F$2634))
+SUMPRODUCT(-('Diário 6º PA'!$E$5:$E$2246='Analítico Cp.'!$B154),-('Diário 6º PA'!$Q$5:$Q$2246=I$1),('Diário 6º PA'!$F$5:$F$2246))
+SUMPRODUCT(-('Diário 7º PA'!$E$5:$E$2271='Analítico Cp.'!$B154),-('Diário 7º PA'!$Q$5:$Q$2271=I$1),('Diário 7º PA'!$F$5:$F$2271))
+SUMPRODUCT(-('Diário 8º PA'!$E$5:$E$2488='Analítico Cp.'!$B154),-('Diário 8º PA'!$Q$5:$Q$2488=I$1),('Diário 8º PA'!$F$5:$F$2488))
+SUMPRODUCT(-('Comp.'!$D$5:$D$313='Analítico Cp.'!$B154),-('Comp.'!$R$5:$R$313=I$1),('Comp.'!$E$5:$E$313))</f>
        <v>0</v>
      </c>
      <c r="J154" s="185">
        <f>SUMPRODUCT(-('Diário 5º PA'!$E$5:$E$2634='Analítico Cp.'!$B154),-('Diário 5º PA'!$Q$5:$Q$2634=J$1),('Diário 5º PA'!$F$5:$F$2634))
+SUMPRODUCT(-('Diário 6º PA'!$E$5:$E$2246='Analítico Cp.'!$B154),-('Diário 6º PA'!$Q$5:$Q$2246=J$1),('Diário 6º PA'!$F$5:$F$2246))
+SUMPRODUCT(-('Diário 7º PA'!$E$5:$E$2271='Analítico Cp.'!$B154),-('Diário 7º PA'!$Q$5:$Q$2271=J$1),('Diário 7º PA'!$F$5:$F$2271))
+SUMPRODUCT(-('Diário 8º PA'!$E$5:$E$2488='Analítico Cp.'!$B154),-('Diário 8º PA'!$Q$5:$Q$2488=J$1),('Diário 8º PA'!$F$5:$F$2488))
+SUMPRODUCT(-('Comp.'!$D$5:$D$313='Analítico Cp.'!$B154),-('Comp.'!$R$5:$R$313=J$1),('Comp.'!$E$5:$E$313))</f>
        <v>0</v>
      </c>
      <c r="K154" s="185">
        <f>SUMPRODUCT(-('Diário 5º PA'!$E$5:$E$2634='Analítico Cp.'!$B154),-('Diário 5º PA'!$Q$5:$Q$2634=K$1),('Diário 5º PA'!$F$5:$F$2634))
+SUMPRODUCT(-('Diário 6º PA'!$E$5:$E$2246='Analítico Cp.'!$B154),-('Diário 6º PA'!$Q$5:$Q$2246=K$1),('Diário 6º PA'!$F$5:$F$2246))
+SUMPRODUCT(-('Diário 7º PA'!$E$5:$E$2271='Analítico Cp.'!$B154),-('Diário 7º PA'!$Q$5:$Q$2271=K$1),('Diário 7º PA'!$F$5:$F$2271))
+SUMPRODUCT(-('Diário 8º PA'!$E$5:$E$2488='Analítico Cp.'!$B154),-('Diário 8º PA'!$Q$5:$Q$2488=K$1),('Diário 8º PA'!$F$5:$F$2488))
+SUMPRODUCT(-('Comp.'!$D$5:$D$313='Analítico Cp.'!$B154),-('Comp.'!$R$5:$R$313=K$1),('Comp.'!$E$5:$E$313))</f>
        <v>0</v>
      </c>
      <c r="L154" s="185">
        <f>SUMPRODUCT(-('Diário 5º PA'!$E$5:$E$2634='Analítico Cp.'!$B154),-('Diário 5º PA'!$Q$5:$Q$2634=L$1),('Diário 5º PA'!$F$5:$F$2634))
+SUMPRODUCT(-('Diário 6º PA'!$E$5:$E$2246='Analítico Cp.'!$B154),-('Diário 6º PA'!$Q$5:$Q$2246=L$1),('Diário 6º PA'!$F$5:$F$2246))
+SUMPRODUCT(-('Diário 7º PA'!$E$5:$E$2271='Analítico Cp.'!$B154),-('Diário 7º PA'!$Q$5:$Q$2271=L$1),('Diário 7º PA'!$F$5:$F$2271))
+SUMPRODUCT(-('Diário 8º PA'!$E$5:$E$2488='Analítico Cp.'!$B154),-('Diário 8º PA'!$Q$5:$Q$2488=L$1),('Diário 8º PA'!$F$5:$F$2488))
+SUMPRODUCT(-('Comp.'!$D$5:$D$313='Analítico Cp.'!$B154),-('Comp.'!$R$5:$R$313=L$1),('Comp.'!$E$5:$E$313))</f>
        <v>0</v>
      </c>
      <c r="M154" s="185">
        <f>SUMPRODUCT(-('Diário 5º PA'!$E$5:$E$2634='Analítico Cp.'!$B154),-('Diário 5º PA'!$Q$5:$Q$2634=M$1),('Diário 5º PA'!$F$5:$F$2634))
+SUMPRODUCT(-('Diário 6º PA'!$E$5:$E$2246='Analítico Cp.'!$B154),-('Diário 6º PA'!$Q$5:$Q$2246=M$1),('Diário 6º PA'!$F$5:$F$2246))
+SUMPRODUCT(-('Diário 7º PA'!$E$5:$E$2271='Analítico Cp.'!$B154),-('Diário 7º PA'!$Q$5:$Q$2271=M$1),('Diário 7º PA'!$F$5:$F$2271))
+SUMPRODUCT(-('Diário 8º PA'!$E$5:$E$2488='Analítico Cp.'!$B154),-('Diário 8º PA'!$Q$5:$Q$2488=M$1),('Diário 8º PA'!$F$5:$F$2488))
+SUMPRODUCT(-('Comp.'!$D$5:$D$313='Analítico Cp.'!$B154),-('Comp.'!$R$5:$R$313=M$1),('Comp.'!$E$5:$E$313))</f>
        <v>0</v>
      </c>
      <c r="N154" s="185">
        <f>SUMPRODUCT(-('Diário 5º PA'!$E$5:$E$2634='Analítico Cp.'!$B154),-('Diário 5º PA'!$Q$5:$Q$2634=N$1),('Diário 5º PA'!$F$5:$F$2634))
+SUMPRODUCT(-('Diário 6º PA'!$E$5:$E$2246='Analítico Cp.'!$B154),-('Diário 6º PA'!$Q$5:$Q$2246=N$1),('Diário 6º PA'!$F$5:$F$2246))
+SUMPRODUCT(-('Diário 7º PA'!$E$5:$E$2271='Analítico Cp.'!$B154),-('Diário 7º PA'!$Q$5:$Q$2271=N$1),('Diário 7º PA'!$F$5:$F$2271))
+SUMPRODUCT(-('Diário 8º PA'!$E$5:$E$2488='Analítico Cp.'!$B154),-('Diário 8º PA'!$Q$5:$Q$2488=N$1),('Diário 8º PA'!$F$5:$F$2488))
+SUMPRODUCT(-('Comp.'!$D$5:$D$313='Analítico Cp.'!$B154),-('Comp.'!$R$5:$R$313=N$1),('Comp.'!$E$5:$E$313))</f>
        <v>0</v>
      </c>
      <c r="O154" s="186">
        <f t="shared" si="19"/>
        <v>0</v>
      </c>
      <c r="P154" s="187">
        <f t="shared" si="20"/>
        <v>0</v>
      </c>
      <c r="Q154" s="34"/>
      <c r="R154" s="34"/>
      <c r="S154" s="34"/>
      <c r="T154" s="34"/>
      <c r="U154" s="34"/>
      <c r="V154" s="34"/>
      <c r="W154" s="34"/>
      <c r="X154" s="34"/>
      <c r="Y154" s="34"/>
      <c r="Z154" s="34"/>
    </row>
    <row r="155" spans="1:26" ht="23.25" customHeight="1" x14ac:dyDescent="0.2">
      <c r="A155" s="203" t="s">
        <v>404</v>
      </c>
      <c r="B155" s="204" t="s">
        <v>405</v>
      </c>
      <c r="C155" s="185">
        <f>SUMPRODUCT(-('Diário 5º PA'!$E$5:$E$2634='Analítico Cp.'!$B155),-('Diário 5º PA'!$Q$5:$Q$2634=C$1),('Diário 5º PA'!$F$5:$F$2634))
+SUMPRODUCT(-('Diário 6º PA'!$E$5:$E$2246='Analítico Cp.'!$B155),-('Diário 6º PA'!$Q$5:$Q$2246=C$1),('Diário 6º PA'!$F$5:$F$2246))
+SUMPRODUCT(-('Diário 7º PA'!$E$5:$E$2271='Analítico Cp.'!$B155),-('Diário 7º PA'!$Q$5:$Q$2271=C$1),('Diário 7º PA'!$F$5:$F$2271))
+SUMPRODUCT(-('Diário 8º PA'!$E$5:$E$2488='Analítico Cp.'!$B155),-('Diário 8º PA'!$Q$5:$Q$2488=C$1),('Diário 8º PA'!$F$5:$F$2488))
+SUMPRODUCT(-('Comp.'!$D$5:$D$313='Analítico Cp.'!$B155),-('Comp.'!$R$5:$R$313=C$1),('Comp.'!$E$5:$E$313))</f>
        <v>0</v>
      </c>
      <c r="D155" s="185">
        <f>SUMPRODUCT(-('Diário 5º PA'!$E$5:$E$2634='Analítico Cp.'!$B155),-('Diário 5º PA'!$Q$5:$Q$2634=D$1),('Diário 5º PA'!$F$5:$F$2634))
+SUMPRODUCT(-('Diário 6º PA'!$E$5:$E$2246='Analítico Cp.'!$B155),-('Diário 6º PA'!$Q$5:$Q$2246=D$1),('Diário 6º PA'!$F$5:$F$2246))
+SUMPRODUCT(-('Diário 7º PA'!$E$5:$E$2271='Analítico Cp.'!$B155),-('Diário 7º PA'!$Q$5:$Q$2271=D$1),('Diário 7º PA'!$F$5:$F$2271))
+SUMPRODUCT(-('Diário 8º PA'!$E$5:$E$2488='Analítico Cp.'!$B155),-('Diário 8º PA'!$Q$5:$Q$2488=D$1),('Diário 8º PA'!$F$5:$F$2488))
+SUMPRODUCT(-('Comp.'!$D$5:$D$313='Analítico Cp.'!$B155),-('Comp.'!$R$5:$R$313=D$1),('Comp.'!$E$5:$E$313))</f>
        <v>0</v>
      </c>
      <c r="E155" s="185">
        <f>SUMPRODUCT(-('Diário 5º PA'!$E$5:$E$2634='Analítico Cp.'!$B155),-('Diário 5º PA'!$Q$5:$Q$2634=E$1),('Diário 5º PA'!$F$5:$F$2634))
+SUMPRODUCT(-('Diário 6º PA'!$E$5:$E$2246='Analítico Cp.'!$B155),-('Diário 6º PA'!$Q$5:$Q$2246=E$1),('Diário 6º PA'!$F$5:$F$2246))
+SUMPRODUCT(-('Diário 7º PA'!$E$5:$E$2271='Analítico Cp.'!$B155),-('Diário 7º PA'!$Q$5:$Q$2271=E$1),('Diário 7º PA'!$F$5:$F$2271))
+SUMPRODUCT(-('Diário 8º PA'!$E$5:$E$2488='Analítico Cp.'!$B155),-('Diário 8º PA'!$Q$5:$Q$2488=E$1),('Diário 8º PA'!$F$5:$F$2488))
+SUMPRODUCT(-('Comp.'!$D$5:$D$313='Analítico Cp.'!$B155),-('Comp.'!$R$5:$R$313=E$1),('Comp.'!$E$5:$E$313))</f>
        <v>0</v>
      </c>
      <c r="F155" s="185">
        <f>SUMPRODUCT(-('Diário 5º PA'!$E$5:$E$2634='Analítico Cp.'!$B155),-('Diário 5º PA'!$Q$5:$Q$2634=F$1),('Diário 5º PA'!$F$5:$F$2634))
+SUMPRODUCT(-('Diário 6º PA'!$E$5:$E$2246='Analítico Cp.'!$B155),-('Diário 6º PA'!$Q$5:$Q$2246=F$1),('Diário 6º PA'!$F$5:$F$2246))
+SUMPRODUCT(-('Diário 7º PA'!$E$5:$E$2271='Analítico Cp.'!$B155),-('Diário 7º PA'!$Q$5:$Q$2271=F$1),('Diário 7º PA'!$F$5:$F$2271))
+SUMPRODUCT(-('Diário 8º PA'!$E$5:$E$2488='Analítico Cp.'!$B155),-('Diário 8º PA'!$Q$5:$Q$2488=F$1),('Diário 8º PA'!$F$5:$F$2488))
+SUMPRODUCT(-('Comp.'!$D$5:$D$313='Analítico Cp.'!$B155),-('Comp.'!$R$5:$R$313=F$1),('Comp.'!$E$5:$E$313))</f>
        <v>0</v>
      </c>
      <c r="G155" s="185">
        <f>SUMPRODUCT(-('Diário 5º PA'!$E$5:$E$2634='Analítico Cp.'!$B155),-('Diário 5º PA'!$Q$5:$Q$2634=G$1),('Diário 5º PA'!$F$5:$F$2634))
+SUMPRODUCT(-('Diário 6º PA'!$E$5:$E$2246='Analítico Cp.'!$B155),-('Diário 6º PA'!$Q$5:$Q$2246=G$1),('Diário 6º PA'!$F$5:$F$2246))
+SUMPRODUCT(-('Diário 7º PA'!$E$5:$E$2271='Analítico Cp.'!$B155),-('Diário 7º PA'!$Q$5:$Q$2271=G$1),('Diário 7º PA'!$F$5:$F$2271))
+SUMPRODUCT(-('Diário 8º PA'!$E$5:$E$2488='Analítico Cp.'!$B155),-('Diário 8º PA'!$Q$5:$Q$2488=G$1),('Diário 8º PA'!$F$5:$F$2488))
+SUMPRODUCT(-('Comp.'!$D$5:$D$313='Analítico Cp.'!$B155),-('Comp.'!$R$5:$R$313=G$1),('Comp.'!$E$5:$E$313))</f>
        <v>0</v>
      </c>
      <c r="H155" s="185">
        <f>SUMPRODUCT(-('Diário 5º PA'!$E$5:$E$2634='Analítico Cp.'!$B155),-('Diário 5º PA'!$Q$5:$Q$2634=H$1),('Diário 5º PA'!$F$5:$F$2634))
+SUMPRODUCT(-('Diário 6º PA'!$E$5:$E$2246='Analítico Cp.'!$B155),-('Diário 6º PA'!$Q$5:$Q$2246=H$1),('Diário 6º PA'!$F$5:$F$2246))
+SUMPRODUCT(-('Diário 7º PA'!$E$5:$E$2271='Analítico Cp.'!$B155),-('Diário 7º PA'!$Q$5:$Q$2271=H$1),('Diário 7º PA'!$F$5:$F$2271))
+SUMPRODUCT(-('Diário 8º PA'!$E$5:$E$2488='Analítico Cp.'!$B155),-('Diário 8º PA'!$Q$5:$Q$2488=H$1),('Diário 8º PA'!$F$5:$F$2488))
+SUMPRODUCT(-('Comp.'!$D$5:$D$313='Analítico Cp.'!$B155),-('Comp.'!$R$5:$R$313=H$1),('Comp.'!$E$5:$E$313))</f>
        <v>0</v>
      </c>
      <c r="I155" s="185">
        <f>SUMPRODUCT(-('Diário 5º PA'!$E$5:$E$2634='Analítico Cp.'!$B155),-('Diário 5º PA'!$Q$5:$Q$2634=I$1),('Diário 5º PA'!$F$5:$F$2634))
+SUMPRODUCT(-('Diário 6º PA'!$E$5:$E$2246='Analítico Cp.'!$B155),-('Diário 6º PA'!$Q$5:$Q$2246=I$1),('Diário 6º PA'!$F$5:$F$2246))
+SUMPRODUCT(-('Diário 7º PA'!$E$5:$E$2271='Analítico Cp.'!$B155),-('Diário 7º PA'!$Q$5:$Q$2271=I$1),('Diário 7º PA'!$F$5:$F$2271))
+SUMPRODUCT(-('Diário 8º PA'!$E$5:$E$2488='Analítico Cp.'!$B155),-('Diário 8º PA'!$Q$5:$Q$2488=I$1),('Diário 8º PA'!$F$5:$F$2488))
+SUMPRODUCT(-('Comp.'!$D$5:$D$313='Analítico Cp.'!$B155),-('Comp.'!$R$5:$R$313=I$1),('Comp.'!$E$5:$E$313))</f>
        <v>0</v>
      </c>
      <c r="J155" s="185">
        <f>SUMPRODUCT(-('Diário 5º PA'!$E$5:$E$2634='Analítico Cp.'!$B155),-('Diário 5º PA'!$Q$5:$Q$2634=J$1),('Diário 5º PA'!$F$5:$F$2634))
+SUMPRODUCT(-('Diário 6º PA'!$E$5:$E$2246='Analítico Cp.'!$B155),-('Diário 6º PA'!$Q$5:$Q$2246=J$1),('Diário 6º PA'!$F$5:$F$2246))
+SUMPRODUCT(-('Diário 7º PA'!$E$5:$E$2271='Analítico Cp.'!$B155),-('Diário 7º PA'!$Q$5:$Q$2271=J$1),('Diário 7º PA'!$F$5:$F$2271))
+SUMPRODUCT(-('Diário 8º PA'!$E$5:$E$2488='Analítico Cp.'!$B155),-('Diário 8º PA'!$Q$5:$Q$2488=J$1),('Diário 8º PA'!$F$5:$F$2488))
+SUMPRODUCT(-('Comp.'!$D$5:$D$313='Analítico Cp.'!$B155),-('Comp.'!$R$5:$R$313=J$1),('Comp.'!$E$5:$E$313))</f>
        <v>0</v>
      </c>
      <c r="K155" s="185">
        <f>SUMPRODUCT(-('Diário 5º PA'!$E$5:$E$2634='Analítico Cp.'!$B155),-('Diário 5º PA'!$Q$5:$Q$2634=K$1),('Diário 5º PA'!$F$5:$F$2634))
+SUMPRODUCT(-('Diário 6º PA'!$E$5:$E$2246='Analítico Cp.'!$B155),-('Diário 6º PA'!$Q$5:$Q$2246=K$1),('Diário 6º PA'!$F$5:$F$2246))
+SUMPRODUCT(-('Diário 7º PA'!$E$5:$E$2271='Analítico Cp.'!$B155),-('Diário 7º PA'!$Q$5:$Q$2271=K$1),('Diário 7º PA'!$F$5:$F$2271))
+SUMPRODUCT(-('Diário 8º PA'!$E$5:$E$2488='Analítico Cp.'!$B155),-('Diário 8º PA'!$Q$5:$Q$2488=K$1),('Diário 8º PA'!$F$5:$F$2488))
+SUMPRODUCT(-('Comp.'!$D$5:$D$313='Analítico Cp.'!$B155),-('Comp.'!$R$5:$R$313=K$1),('Comp.'!$E$5:$E$313))</f>
        <v>0</v>
      </c>
      <c r="L155" s="185">
        <f>SUMPRODUCT(-('Diário 5º PA'!$E$5:$E$2634='Analítico Cp.'!$B155),-('Diário 5º PA'!$Q$5:$Q$2634=L$1),('Diário 5º PA'!$F$5:$F$2634))
+SUMPRODUCT(-('Diário 6º PA'!$E$5:$E$2246='Analítico Cp.'!$B155),-('Diário 6º PA'!$Q$5:$Q$2246=L$1),('Diário 6º PA'!$F$5:$F$2246))
+SUMPRODUCT(-('Diário 7º PA'!$E$5:$E$2271='Analítico Cp.'!$B155),-('Diário 7º PA'!$Q$5:$Q$2271=L$1),('Diário 7º PA'!$F$5:$F$2271))
+SUMPRODUCT(-('Diário 8º PA'!$E$5:$E$2488='Analítico Cp.'!$B155),-('Diário 8º PA'!$Q$5:$Q$2488=L$1),('Diário 8º PA'!$F$5:$F$2488))
+SUMPRODUCT(-('Comp.'!$D$5:$D$313='Analítico Cp.'!$B155),-('Comp.'!$R$5:$R$313=L$1),('Comp.'!$E$5:$E$313))</f>
        <v>0</v>
      </c>
      <c r="M155" s="185">
        <f>SUMPRODUCT(-('Diário 5º PA'!$E$5:$E$2634='Analítico Cp.'!$B155),-('Diário 5º PA'!$Q$5:$Q$2634=M$1),('Diário 5º PA'!$F$5:$F$2634))
+SUMPRODUCT(-('Diário 6º PA'!$E$5:$E$2246='Analítico Cp.'!$B155),-('Diário 6º PA'!$Q$5:$Q$2246=M$1),('Diário 6º PA'!$F$5:$F$2246))
+SUMPRODUCT(-('Diário 7º PA'!$E$5:$E$2271='Analítico Cp.'!$B155),-('Diário 7º PA'!$Q$5:$Q$2271=M$1),('Diário 7º PA'!$F$5:$F$2271))
+SUMPRODUCT(-('Diário 8º PA'!$E$5:$E$2488='Analítico Cp.'!$B155),-('Diário 8º PA'!$Q$5:$Q$2488=M$1),('Diário 8º PA'!$F$5:$F$2488))
+SUMPRODUCT(-('Comp.'!$D$5:$D$313='Analítico Cp.'!$B155),-('Comp.'!$R$5:$R$313=M$1),('Comp.'!$E$5:$E$313))</f>
        <v>0</v>
      </c>
      <c r="N155" s="185">
        <f>SUMPRODUCT(-('Diário 5º PA'!$E$5:$E$2634='Analítico Cp.'!$B155),-('Diário 5º PA'!$Q$5:$Q$2634=N$1),('Diário 5º PA'!$F$5:$F$2634))
+SUMPRODUCT(-('Diário 6º PA'!$E$5:$E$2246='Analítico Cp.'!$B155),-('Diário 6º PA'!$Q$5:$Q$2246=N$1),('Diário 6º PA'!$F$5:$F$2246))
+SUMPRODUCT(-('Diário 7º PA'!$E$5:$E$2271='Analítico Cp.'!$B155),-('Diário 7º PA'!$Q$5:$Q$2271=N$1),('Diário 7º PA'!$F$5:$F$2271))
+SUMPRODUCT(-('Diário 8º PA'!$E$5:$E$2488='Analítico Cp.'!$B155),-('Diário 8º PA'!$Q$5:$Q$2488=N$1),('Diário 8º PA'!$F$5:$F$2488))
+SUMPRODUCT(-('Comp.'!$D$5:$D$313='Analítico Cp.'!$B155),-('Comp.'!$R$5:$R$313=N$1),('Comp.'!$E$5:$E$313))</f>
        <v>0</v>
      </c>
      <c r="O155" s="186">
        <f t="shared" si="19"/>
        <v>0</v>
      </c>
      <c r="P155" s="187">
        <f t="shared" si="20"/>
        <v>0</v>
      </c>
      <c r="Q155" s="34"/>
      <c r="R155" s="34"/>
      <c r="S155" s="34"/>
      <c r="T155" s="34"/>
      <c r="U155" s="34"/>
      <c r="V155" s="34"/>
      <c r="W155" s="34"/>
      <c r="X155" s="34"/>
      <c r="Y155" s="34"/>
      <c r="Z155" s="34"/>
    </row>
    <row r="156" spans="1:26" ht="23.25" customHeight="1" x14ac:dyDescent="0.2">
      <c r="A156" s="203" t="s">
        <v>406</v>
      </c>
      <c r="B156" s="204" t="s">
        <v>407</v>
      </c>
      <c r="C156" s="185">
        <f>SUMPRODUCT(-('Diário 5º PA'!$E$5:$E$2634='Analítico Cp.'!$B156),-('Diário 5º PA'!$Q$5:$Q$2634=C$1),('Diário 5º PA'!$F$5:$F$2634))
+SUMPRODUCT(-('Diário 6º PA'!$E$5:$E$2246='Analítico Cp.'!$B156),-('Diário 6º PA'!$Q$5:$Q$2246=C$1),('Diário 6º PA'!$F$5:$F$2246))
+SUMPRODUCT(-('Diário 7º PA'!$E$5:$E$2271='Analítico Cp.'!$B156),-('Diário 7º PA'!$Q$5:$Q$2271=C$1),('Diário 7º PA'!$F$5:$F$2271))
+SUMPRODUCT(-('Diário 8º PA'!$E$5:$E$2488='Analítico Cp.'!$B156),-('Diário 8º PA'!$Q$5:$Q$2488=C$1),('Diário 8º PA'!$F$5:$F$2488))
+SUMPRODUCT(-('Comp.'!$D$5:$D$313='Analítico Cp.'!$B156),-('Comp.'!$R$5:$R$313=C$1),('Comp.'!$E$5:$E$313))</f>
        <v>0</v>
      </c>
      <c r="D156" s="185">
        <f>SUMPRODUCT(-('Diário 5º PA'!$E$5:$E$2634='Analítico Cp.'!$B156),-('Diário 5º PA'!$Q$5:$Q$2634=D$1),('Diário 5º PA'!$F$5:$F$2634))
+SUMPRODUCT(-('Diário 6º PA'!$E$5:$E$2246='Analítico Cp.'!$B156),-('Diário 6º PA'!$Q$5:$Q$2246=D$1),('Diário 6º PA'!$F$5:$F$2246))
+SUMPRODUCT(-('Diário 7º PA'!$E$5:$E$2271='Analítico Cp.'!$B156),-('Diário 7º PA'!$Q$5:$Q$2271=D$1),('Diário 7º PA'!$F$5:$F$2271))
+SUMPRODUCT(-('Diário 8º PA'!$E$5:$E$2488='Analítico Cp.'!$B156),-('Diário 8º PA'!$Q$5:$Q$2488=D$1),('Diário 8º PA'!$F$5:$F$2488))
+SUMPRODUCT(-('Comp.'!$D$5:$D$313='Analítico Cp.'!$B156),-('Comp.'!$R$5:$R$313=D$1),('Comp.'!$E$5:$E$313))</f>
        <v>0</v>
      </c>
      <c r="E156" s="185">
        <f>SUMPRODUCT(-('Diário 5º PA'!$E$5:$E$2634='Analítico Cp.'!$B156),-('Diário 5º PA'!$Q$5:$Q$2634=E$1),('Diário 5º PA'!$F$5:$F$2634))
+SUMPRODUCT(-('Diário 6º PA'!$E$5:$E$2246='Analítico Cp.'!$B156),-('Diário 6º PA'!$Q$5:$Q$2246=E$1),('Diário 6º PA'!$F$5:$F$2246))
+SUMPRODUCT(-('Diário 7º PA'!$E$5:$E$2271='Analítico Cp.'!$B156),-('Diário 7º PA'!$Q$5:$Q$2271=E$1),('Diário 7º PA'!$F$5:$F$2271))
+SUMPRODUCT(-('Diário 8º PA'!$E$5:$E$2488='Analítico Cp.'!$B156),-('Diário 8º PA'!$Q$5:$Q$2488=E$1),('Diário 8º PA'!$F$5:$F$2488))
+SUMPRODUCT(-('Comp.'!$D$5:$D$313='Analítico Cp.'!$B156),-('Comp.'!$R$5:$R$313=E$1),('Comp.'!$E$5:$E$313))</f>
        <v>0</v>
      </c>
      <c r="F156" s="185">
        <f>SUMPRODUCT(-('Diário 5º PA'!$E$5:$E$2634='Analítico Cp.'!$B156),-('Diário 5º PA'!$Q$5:$Q$2634=F$1),('Diário 5º PA'!$F$5:$F$2634))
+SUMPRODUCT(-('Diário 6º PA'!$E$5:$E$2246='Analítico Cp.'!$B156),-('Diário 6º PA'!$Q$5:$Q$2246=F$1),('Diário 6º PA'!$F$5:$F$2246))
+SUMPRODUCT(-('Diário 7º PA'!$E$5:$E$2271='Analítico Cp.'!$B156),-('Diário 7º PA'!$Q$5:$Q$2271=F$1),('Diário 7º PA'!$F$5:$F$2271))
+SUMPRODUCT(-('Diário 8º PA'!$E$5:$E$2488='Analítico Cp.'!$B156),-('Diário 8º PA'!$Q$5:$Q$2488=F$1),('Diário 8º PA'!$F$5:$F$2488))
+SUMPRODUCT(-('Comp.'!$D$5:$D$313='Analítico Cp.'!$B156),-('Comp.'!$R$5:$R$313=F$1),('Comp.'!$E$5:$E$313))</f>
        <v>0</v>
      </c>
      <c r="G156" s="185">
        <f>SUMPRODUCT(-('Diário 5º PA'!$E$5:$E$2634='Analítico Cp.'!$B156),-('Diário 5º PA'!$Q$5:$Q$2634=G$1),('Diário 5º PA'!$F$5:$F$2634))
+SUMPRODUCT(-('Diário 6º PA'!$E$5:$E$2246='Analítico Cp.'!$B156),-('Diário 6º PA'!$Q$5:$Q$2246=G$1),('Diário 6º PA'!$F$5:$F$2246))
+SUMPRODUCT(-('Diário 7º PA'!$E$5:$E$2271='Analítico Cp.'!$B156),-('Diário 7º PA'!$Q$5:$Q$2271=G$1),('Diário 7º PA'!$F$5:$F$2271))
+SUMPRODUCT(-('Diário 8º PA'!$E$5:$E$2488='Analítico Cp.'!$B156),-('Diário 8º PA'!$Q$5:$Q$2488=G$1),('Diário 8º PA'!$F$5:$F$2488))
+SUMPRODUCT(-('Comp.'!$D$5:$D$313='Analítico Cp.'!$B156),-('Comp.'!$R$5:$R$313=G$1),('Comp.'!$E$5:$E$313))</f>
        <v>0</v>
      </c>
      <c r="H156" s="185">
        <f>SUMPRODUCT(-('Diário 5º PA'!$E$5:$E$2634='Analítico Cp.'!$B156),-('Diário 5º PA'!$Q$5:$Q$2634=H$1),('Diário 5º PA'!$F$5:$F$2634))
+SUMPRODUCT(-('Diário 6º PA'!$E$5:$E$2246='Analítico Cp.'!$B156),-('Diário 6º PA'!$Q$5:$Q$2246=H$1),('Diário 6º PA'!$F$5:$F$2246))
+SUMPRODUCT(-('Diário 7º PA'!$E$5:$E$2271='Analítico Cp.'!$B156),-('Diário 7º PA'!$Q$5:$Q$2271=H$1),('Diário 7º PA'!$F$5:$F$2271))
+SUMPRODUCT(-('Diário 8º PA'!$E$5:$E$2488='Analítico Cp.'!$B156),-('Diário 8º PA'!$Q$5:$Q$2488=H$1),('Diário 8º PA'!$F$5:$F$2488))
+SUMPRODUCT(-('Comp.'!$D$5:$D$313='Analítico Cp.'!$B156),-('Comp.'!$R$5:$R$313=H$1),('Comp.'!$E$5:$E$313))</f>
        <v>0</v>
      </c>
      <c r="I156" s="185">
        <f>SUMPRODUCT(-('Diário 5º PA'!$E$5:$E$2634='Analítico Cp.'!$B156),-('Diário 5º PA'!$Q$5:$Q$2634=I$1),('Diário 5º PA'!$F$5:$F$2634))
+SUMPRODUCT(-('Diário 6º PA'!$E$5:$E$2246='Analítico Cp.'!$B156),-('Diário 6º PA'!$Q$5:$Q$2246=I$1),('Diário 6º PA'!$F$5:$F$2246))
+SUMPRODUCT(-('Diário 7º PA'!$E$5:$E$2271='Analítico Cp.'!$B156),-('Diário 7º PA'!$Q$5:$Q$2271=I$1),('Diário 7º PA'!$F$5:$F$2271))
+SUMPRODUCT(-('Diário 8º PA'!$E$5:$E$2488='Analítico Cp.'!$B156),-('Diário 8º PA'!$Q$5:$Q$2488=I$1),('Diário 8º PA'!$F$5:$F$2488))
+SUMPRODUCT(-('Comp.'!$D$5:$D$313='Analítico Cp.'!$B156),-('Comp.'!$R$5:$R$313=I$1),('Comp.'!$E$5:$E$313))</f>
        <v>0</v>
      </c>
      <c r="J156" s="185">
        <f>SUMPRODUCT(-('Diário 5º PA'!$E$5:$E$2634='Analítico Cp.'!$B156),-('Diário 5º PA'!$Q$5:$Q$2634=J$1),('Diário 5º PA'!$F$5:$F$2634))
+SUMPRODUCT(-('Diário 6º PA'!$E$5:$E$2246='Analítico Cp.'!$B156),-('Diário 6º PA'!$Q$5:$Q$2246=J$1),('Diário 6º PA'!$F$5:$F$2246))
+SUMPRODUCT(-('Diário 7º PA'!$E$5:$E$2271='Analítico Cp.'!$B156),-('Diário 7º PA'!$Q$5:$Q$2271=J$1),('Diário 7º PA'!$F$5:$F$2271))
+SUMPRODUCT(-('Diário 8º PA'!$E$5:$E$2488='Analítico Cp.'!$B156),-('Diário 8º PA'!$Q$5:$Q$2488=J$1),('Diário 8º PA'!$F$5:$F$2488))
+SUMPRODUCT(-('Comp.'!$D$5:$D$313='Analítico Cp.'!$B156),-('Comp.'!$R$5:$R$313=J$1),('Comp.'!$E$5:$E$313))</f>
        <v>0</v>
      </c>
      <c r="K156" s="185">
        <f>SUMPRODUCT(-('Diário 5º PA'!$E$5:$E$2634='Analítico Cp.'!$B156),-('Diário 5º PA'!$Q$5:$Q$2634=K$1),('Diário 5º PA'!$F$5:$F$2634))
+SUMPRODUCT(-('Diário 6º PA'!$E$5:$E$2246='Analítico Cp.'!$B156),-('Diário 6º PA'!$Q$5:$Q$2246=K$1),('Diário 6º PA'!$F$5:$F$2246))
+SUMPRODUCT(-('Diário 7º PA'!$E$5:$E$2271='Analítico Cp.'!$B156),-('Diário 7º PA'!$Q$5:$Q$2271=K$1),('Diário 7º PA'!$F$5:$F$2271))
+SUMPRODUCT(-('Diário 8º PA'!$E$5:$E$2488='Analítico Cp.'!$B156),-('Diário 8º PA'!$Q$5:$Q$2488=K$1),('Diário 8º PA'!$F$5:$F$2488))
+SUMPRODUCT(-('Comp.'!$D$5:$D$313='Analítico Cp.'!$B156),-('Comp.'!$R$5:$R$313=K$1),('Comp.'!$E$5:$E$313))</f>
        <v>0</v>
      </c>
      <c r="L156" s="185">
        <f>SUMPRODUCT(-('Diário 5º PA'!$E$5:$E$2634='Analítico Cp.'!$B156),-('Diário 5º PA'!$Q$5:$Q$2634=L$1),('Diário 5º PA'!$F$5:$F$2634))
+SUMPRODUCT(-('Diário 6º PA'!$E$5:$E$2246='Analítico Cp.'!$B156),-('Diário 6º PA'!$Q$5:$Q$2246=L$1),('Diário 6º PA'!$F$5:$F$2246))
+SUMPRODUCT(-('Diário 7º PA'!$E$5:$E$2271='Analítico Cp.'!$B156),-('Diário 7º PA'!$Q$5:$Q$2271=L$1),('Diário 7º PA'!$F$5:$F$2271))
+SUMPRODUCT(-('Diário 8º PA'!$E$5:$E$2488='Analítico Cp.'!$B156),-('Diário 8º PA'!$Q$5:$Q$2488=L$1),('Diário 8º PA'!$F$5:$F$2488))
+SUMPRODUCT(-('Comp.'!$D$5:$D$313='Analítico Cp.'!$B156),-('Comp.'!$R$5:$R$313=L$1),('Comp.'!$E$5:$E$313))</f>
        <v>0</v>
      </c>
      <c r="M156" s="185">
        <f>SUMPRODUCT(-('Diário 5º PA'!$E$5:$E$2634='Analítico Cp.'!$B156),-('Diário 5º PA'!$Q$5:$Q$2634=M$1),('Diário 5º PA'!$F$5:$F$2634))
+SUMPRODUCT(-('Diário 6º PA'!$E$5:$E$2246='Analítico Cp.'!$B156),-('Diário 6º PA'!$Q$5:$Q$2246=M$1),('Diário 6º PA'!$F$5:$F$2246))
+SUMPRODUCT(-('Diário 7º PA'!$E$5:$E$2271='Analítico Cp.'!$B156),-('Diário 7º PA'!$Q$5:$Q$2271=M$1),('Diário 7º PA'!$F$5:$F$2271))
+SUMPRODUCT(-('Diário 8º PA'!$E$5:$E$2488='Analítico Cp.'!$B156),-('Diário 8º PA'!$Q$5:$Q$2488=M$1),('Diário 8º PA'!$F$5:$F$2488))
+SUMPRODUCT(-('Comp.'!$D$5:$D$313='Analítico Cp.'!$B156),-('Comp.'!$R$5:$R$313=M$1),('Comp.'!$E$5:$E$313))</f>
        <v>0</v>
      </c>
      <c r="N156" s="185">
        <f>SUMPRODUCT(-('Diário 5º PA'!$E$5:$E$2634='Analítico Cp.'!$B156),-('Diário 5º PA'!$Q$5:$Q$2634=N$1),('Diário 5º PA'!$F$5:$F$2634))
+SUMPRODUCT(-('Diário 6º PA'!$E$5:$E$2246='Analítico Cp.'!$B156),-('Diário 6º PA'!$Q$5:$Q$2246=N$1),('Diário 6º PA'!$F$5:$F$2246))
+SUMPRODUCT(-('Diário 7º PA'!$E$5:$E$2271='Analítico Cp.'!$B156),-('Diário 7º PA'!$Q$5:$Q$2271=N$1),('Diário 7º PA'!$F$5:$F$2271))
+SUMPRODUCT(-('Diário 8º PA'!$E$5:$E$2488='Analítico Cp.'!$B156),-('Diário 8º PA'!$Q$5:$Q$2488=N$1),('Diário 8º PA'!$F$5:$F$2488))
+SUMPRODUCT(-('Comp.'!$D$5:$D$313='Analítico Cp.'!$B156),-('Comp.'!$R$5:$R$313=N$1),('Comp.'!$E$5:$E$313))</f>
        <v>0</v>
      </c>
      <c r="O156" s="186">
        <f t="shared" si="19"/>
        <v>0</v>
      </c>
      <c r="P156" s="187">
        <f t="shared" si="20"/>
        <v>0</v>
      </c>
      <c r="Q156" s="34"/>
      <c r="R156" s="34"/>
      <c r="S156" s="34"/>
      <c r="T156" s="34"/>
      <c r="U156" s="34"/>
      <c r="V156" s="34"/>
      <c r="W156" s="34"/>
      <c r="X156" s="34"/>
      <c r="Y156" s="34"/>
      <c r="Z156" s="34"/>
    </row>
    <row r="157" spans="1:26" ht="23.25" customHeight="1" x14ac:dyDescent="0.2">
      <c r="A157" s="203" t="s">
        <v>408</v>
      </c>
      <c r="B157" s="204" t="s">
        <v>409</v>
      </c>
      <c r="C157" s="185">
        <f>SUMPRODUCT(-('Diário 5º PA'!$E$5:$E$2634='Analítico Cp.'!$B157),-('Diário 5º PA'!$Q$5:$Q$2634=C$1),('Diário 5º PA'!$F$5:$F$2634))
+SUMPRODUCT(-('Diário 6º PA'!$E$5:$E$2246='Analítico Cp.'!$B157),-('Diário 6º PA'!$Q$5:$Q$2246=C$1),('Diário 6º PA'!$F$5:$F$2246))
+SUMPRODUCT(-('Diário 7º PA'!$E$5:$E$2271='Analítico Cp.'!$B157),-('Diário 7º PA'!$Q$5:$Q$2271=C$1),('Diário 7º PA'!$F$5:$F$2271))
+SUMPRODUCT(-('Diário 8º PA'!$E$5:$E$2488='Analítico Cp.'!$B157),-('Diário 8º PA'!$Q$5:$Q$2488=C$1),('Diário 8º PA'!$F$5:$F$2488))
+SUMPRODUCT(-('Comp.'!$D$5:$D$313='Analítico Cp.'!$B157),-('Comp.'!$R$5:$R$313=C$1),('Comp.'!$E$5:$E$313))</f>
        <v>0</v>
      </c>
      <c r="D157" s="185">
        <f>SUMPRODUCT(-('Diário 5º PA'!$E$5:$E$2634='Analítico Cp.'!$B157),-('Diário 5º PA'!$Q$5:$Q$2634=D$1),('Diário 5º PA'!$F$5:$F$2634))
+SUMPRODUCT(-('Diário 6º PA'!$E$5:$E$2246='Analítico Cp.'!$B157),-('Diário 6º PA'!$Q$5:$Q$2246=D$1),('Diário 6º PA'!$F$5:$F$2246))
+SUMPRODUCT(-('Diário 7º PA'!$E$5:$E$2271='Analítico Cp.'!$B157),-('Diário 7º PA'!$Q$5:$Q$2271=D$1),('Diário 7º PA'!$F$5:$F$2271))
+SUMPRODUCT(-('Diário 8º PA'!$E$5:$E$2488='Analítico Cp.'!$B157),-('Diário 8º PA'!$Q$5:$Q$2488=D$1),('Diário 8º PA'!$F$5:$F$2488))
+SUMPRODUCT(-('Comp.'!$D$5:$D$313='Analítico Cp.'!$B157),-('Comp.'!$R$5:$R$313=D$1),('Comp.'!$E$5:$E$313))</f>
        <v>0</v>
      </c>
      <c r="E157" s="185">
        <f>SUMPRODUCT(-('Diário 5º PA'!$E$5:$E$2634='Analítico Cp.'!$B157),-('Diário 5º PA'!$Q$5:$Q$2634=E$1),('Diário 5º PA'!$F$5:$F$2634))
+SUMPRODUCT(-('Diário 6º PA'!$E$5:$E$2246='Analítico Cp.'!$B157),-('Diário 6º PA'!$Q$5:$Q$2246=E$1),('Diário 6º PA'!$F$5:$F$2246))
+SUMPRODUCT(-('Diário 7º PA'!$E$5:$E$2271='Analítico Cp.'!$B157),-('Diário 7º PA'!$Q$5:$Q$2271=E$1),('Diário 7º PA'!$F$5:$F$2271))
+SUMPRODUCT(-('Diário 8º PA'!$E$5:$E$2488='Analítico Cp.'!$B157),-('Diário 8º PA'!$Q$5:$Q$2488=E$1),('Diário 8º PA'!$F$5:$F$2488))
+SUMPRODUCT(-('Comp.'!$D$5:$D$313='Analítico Cp.'!$B157),-('Comp.'!$R$5:$R$313=E$1),('Comp.'!$E$5:$E$313))</f>
        <v>0</v>
      </c>
      <c r="F157" s="185">
        <f>SUMPRODUCT(-('Diário 5º PA'!$E$5:$E$2634='Analítico Cp.'!$B157),-('Diário 5º PA'!$Q$5:$Q$2634=F$1),('Diário 5º PA'!$F$5:$F$2634))
+SUMPRODUCT(-('Diário 6º PA'!$E$5:$E$2246='Analítico Cp.'!$B157),-('Diário 6º PA'!$Q$5:$Q$2246=F$1),('Diário 6º PA'!$F$5:$F$2246))
+SUMPRODUCT(-('Diário 7º PA'!$E$5:$E$2271='Analítico Cp.'!$B157),-('Diário 7º PA'!$Q$5:$Q$2271=F$1),('Diário 7º PA'!$F$5:$F$2271))
+SUMPRODUCT(-('Diário 8º PA'!$E$5:$E$2488='Analítico Cp.'!$B157),-('Diário 8º PA'!$Q$5:$Q$2488=F$1),('Diário 8º PA'!$F$5:$F$2488))
+SUMPRODUCT(-('Comp.'!$D$5:$D$313='Analítico Cp.'!$B157),-('Comp.'!$R$5:$R$313=F$1),('Comp.'!$E$5:$E$313))</f>
        <v>0</v>
      </c>
      <c r="G157" s="185">
        <f>SUMPRODUCT(-('Diário 5º PA'!$E$5:$E$2634='Analítico Cp.'!$B157),-('Diário 5º PA'!$Q$5:$Q$2634=G$1),('Diário 5º PA'!$F$5:$F$2634))
+SUMPRODUCT(-('Diário 6º PA'!$E$5:$E$2246='Analítico Cp.'!$B157),-('Diário 6º PA'!$Q$5:$Q$2246=G$1),('Diário 6º PA'!$F$5:$F$2246))
+SUMPRODUCT(-('Diário 7º PA'!$E$5:$E$2271='Analítico Cp.'!$B157),-('Diário 7º PA'!$Q$5:$Q$2271=G$1),('Diário 7º PA'!$F$5:$F$2271))
+SUMPRODUCT(-('Diário 8º PA'!$E$5:$E$2488='Analítico Cp.'!$B157),-('Diário 8º PA'!$Q$5:$Q$2488=G$1),('Diário 8º PA'!$F$5:$F$2488))
+SUMPRODUCT(-('Comp.'!$D$5:$D$313='Analítico Cp.'!$B157),-('Comp.'!$R$5:$R$313=G$1),('Comp.'!$E$5:$E$313))</f>
        <v>0</v>
      </c>
      <c r="H157" s="185">
        <f>SUMPRODUCT(-('Diário 5º PA'!$E$5:$E$2634='Analítico Cp.'!$B157),-('Diário 5º PA'!$Q$5:$Q$2634=H$1),('Diário 5º PA'!$F$5:$F$2634))
+SUMPRODUCT(-('Diário 6º PA'!$E$5:$E$2246='Analítico Cp.'!$B157),-('Diário 6º PA'!$Q$5:$Q$2246=H$1),('Diário 6º PA'!$F$5:$F$2246))
+SUMPRODUCT(-('Diário 7º PA'!$E$5:$E$2271='Analítico Cp.'!$B157),-('Diário 7º PA'!$Q$5:$Q$2271=H$1),('Diário 7º PA'!$F$5:$F$2271))
+SUMPRODUCT(-('Diário 8º PA'!$E$5:$E$2488='Analítico Cp.'!$B157),-('Diário 8º PA'!$Q$5:$Q$2488=H$1),('Diário 8º PA'!$F$5:$F$2488))
+SUMPRODUCT(-('Comp.'!$D$5:$D$313='Analítico Cp.'!$B157),-('Comp.'!$R$5:$R$313=H$1),('Comp.'!$E$5:$E$313))</f>
        <v>0</v>
      </c>
      <c r="I157" s="185">
        <f>SUMPRODUCT(-('Diário 5º PA'!$E$5:$E$2634='Analítico Cp.'!$B157),-('Diário 5º PA'!$Q$5:$Q$2634=I$1),('Diário 5º PA'!$F$5:$F$2634))
+SUMPRODUCT(-('Diário 6º PA'!$E$5:$E$2246='Analítico Cp.'!$B157),-('Diário 6º PA'!$Q$5:$Q$2246=I$1),('Diário 6º PA'!$F$5:$F$2246))
+SUMPRODUCT(-('Diário 7º PA'!$E$5:$E$2271='Analítico Cp.'!$B157),-('Diário 7º PA'!$Q$5:$Q$2271=I$1),('Diário 7º PA'!$F$5:$F$2271))
+SUMPRODUCT(-('Diário 8º PA'!$E$5:$E$2488='Analítico Cp.'!$B157),-('Diário 8º PA'!$Q$5:$Q$2488=I$1),('Diário 8º PA'!$F$5:$F$2488))
+SUMPRODUCT(-('Comp.'!$D$5:$D$313='Analítico Cp.'!$B157),-('Comp.'!$R$5:$R$313=I$1),('Comp.'!$E$5:$E$313))</f>
        <v>0</v>
      </c>
      <c r="J157" s="185">
        <f>SUMPRODUCT(-('Diário 5º PA'!$E$5:$E$2634='Analítico Cp.'!$B157),-('Diário 5º PA'!$Q$5:$Q$2634=J$1),('Diário 5º PA'!$F$5:$F$2634))
+SUMPRODUCT(-('Diário 6º PA'!$E$5:$E$2246='Analítico Cp.'!$B157),-('Diário 6º PA'!$Q$5:$Q$2246=J$1),('Diário 6º PA'!$F$5:$F$2246))
+SUMPRODUCT(-('Diário 7º PA'!$E$5:$E$2271='Analítico Cp.'!$B157),-('Diário 7º PA'!$Q$5:$Q$2271=J$1),('Diário 7º PA'!$F$5:$F$2271))
+SUMPRODUCT(-('Diário 8º PA'!$E$5:$E$2488='Analítico Cp.'!$B157),-('Diário 8º PA'!$Q$5:$Q$2488=J$1),('Diário 8º PA'!$F$5:$F$2488))
+SUMPRODUCT(-('Comp.'!$D$5:$D$313='Analítico Cp.'!$B157),-('Comp.'!$R$5:$R$313=J$1),('Comp.'!$E$5:$E$313))</f>
        <v>0</v>
      </c>
      <c r="K157" s="185">
        <f>SUMPRODUCT(-('Diário 5º PA'!$E$5:$E$2634='Analítico Cp.'!$B157),-('Diário 5º PA'!$Q$5:$Q$2634=K$1),('Diário 5º PA'!$F$5:$F$2634))
+SUMPRODUCT(-('Diário 6º PA'!$E$5:$E$2246='Analítico Cp.'!$B157),-('Diário 6º PA'!$Q$5:$Q$2246=K$1),('Diário 6º PA'!$F$5:$F$2246))
+SUMPRODUCT(-('Diário 7º PA'!$E$5:$E$2271='Analítico Cp.'!$B157),-('Diário 7º PA'!$Q$5:$Q$2271=K$1),('Diário 7º PA'!$F$5:$F$2271))
+SUMPRODUCT(-('Diário 8º PA'!$E$5:$E$2488='Analítico Cp.'!$B157),-('Diário 8º PA'!$Q$5:$Q$2488=K$1),('Diário 8º PA'!$F$5:$F$2488))
+SUMPRODUCT(-('Comp.'!$D$5:$D$313='Analítico Cp.'!$B157),-('Comp.'!$R$5:$R$313=K$1),('Comp.'!$E$5:$E$313))</f>
        <v>0</v>
      </c>
      <c r="L157" s="185">
        <f>SUMPRODUCT(-('Diário 5º PA'!$E$5:$E$2634='Analítico Cp.'!$B157),-('Diário 5º PA'!$Q$5:$Q$2634=L$1),('Diário 5º PA'!$F$5:$F$2634))
+SUMPRODUCT(-('Diário 6º PA'!$E$5:$E$2246='Analítico Cp.'!$B157),-('Diário 6º PA'!$Q$5:$Q$2246=L$1),('Diário 6º PA'!$F$5:$F$2246))
+SUMPRODUCT(-('Diário 7º PA'!$E$5:$E$2271='Analítico Cp.'!$B157),-('Diário 7º PA'!$Q$5:$Q$2271=L$1),('Diário 7º PA'!$F$5:$F$2271))
+SUMPRODUCT(-('Diário 8º PA'!$E$5:$E$2488='Analítico Cp.'!$B157),-('Diário 8º PA'!$Q$5:$Q$2488=L$1),('Diário 8º PA'!$F$5:$F$2488))
+SUMPRODUCT(-('Comp.'!$D$5:$D$313='Analítico Cp.'!$B157),-('Comp.'!$R$5:$R$313=L$1),('Comp.'!$E$5:$E$313))</f>
        <v>0</v>
      </c>
      <c r="M157" s="185">
        <f>SUMPRODUCT(-('Diário 5º PA'!$E$5:$E$2634='Analítico Cp.'!$B157),-('Diário 5º PA'!$Q$5:$Q$2634=M$1),('Diário 5º PA'!$F$5:$F$2634))
+SUMPRODUCT(-('Diário 6º PA'!$E$5:$E$2246='Analítico Cp.'!$B157),-('Diário 6º PA'!$Q$5:$Q$2246=M$1),('Diário 6º PA'!$F$5:$F$2246))
+SUMPRODUCT(-('Diário 7º PA'!$E$5:$E$2271='Analítico Cp.'!$B157),-('Diário 7º PA'!$Q$5:$Q$2271=M$1),('Diário 7º PA'!$F$5:$F$2271))
+SUMPRODUCT(-('Diário 8º PA'!$E$5:$E$2488='Analítico Cp.'!$B157),-('Diário 8º PA'!$Q$5:$Q$2488=M$1),('Diário 8º PA'!$F$5:$F$2488))
+SUMPRODUCT(-('Comp.'!$D$5:$D$313='Analítico Cp.'!$B157),-('Comp.'!$R$5:$R$313=M$1),('Comp.'!$E$5:$E$313))</f>
        <v>0</v>
      </c>
      <c r="N157" s="185">
        <f>SUMPRODUCT(-('Diário 5º PA'!$E$5:$E$2634='Analítico Cp.'!$B157),-('Diário 5º PA'!$Q$5:$Q$2634=N$1),('Diário 5º PA'!$F$5:$F$2634))
+SUMPRODUCT(-('Diário 6º PA'!$E$5:$E$2246='Analítico Cp.'!$B157),-('Diário 6º PA'!$Q$5:$Q$2246=N$1),('Diário 6º PA'!$F$5:$F$2246))
+SUMPRODUCT(-('Diário 7º PA'!$E$5:$E$2271='Analítico Cp.'!$B157),-('Diário 7º PA'!$Q$5:$Q$2271=N$1),('Diário 7º PA'!$F$5:$F$2271))
+SUMPRODUCT(-('Diário 8º PA'!$E$5:$E$2488='Analítico Cp.'!$B157),-('Diário 8º PA'!$Q$5:$Q$2488=N$1),('Diário 8º PA'!$F$5:$F$2488))
+SUMPRODUCT(-('Comp.'!$D$5:$D$313='Analítico Cp.'!$B157),-('Comp.'!$R$5:$R$313=N$1),('Comp.'!$E$5:$E$313))</f>
        <v>0</v>
      </c>
      <c r="O157" s="186">
        <f t="shared" si="19"/>
        <v>0</v>
      </c>
      <c r="P157" s="187">
        <f t="shared" si="20"/>
        <v>0</v>
      </c>
      <c r="Q157" s="34"/>
      <c r="R157" s="34"/>
      <c r="S157" s="34"/>
      <c r="T157" s="34"/>
      <c r="U157" s="34"/>
      <c r="V157" s="34"/>
      <c r="W157" s="34"/>
      <c r="X157" s="34"/>
      <c r="Y157" s="34"/>
      <c r="Z157" s="34"/>
    </row>
    <row r="158" spans="1:26" ht="23.25" customHeight="1" x14ac:dyDescent="0.2">
      <c r="A158" s="203" t="s">
        <v>410</v>
      </c>
      <c r="B158" s="204" t="s">
        <v>411</v>
      </c>
      <c r="C158" s="185">
        <f>SUMPRODUCT(-('Diário 5º PA'!$E$5:$E$2634='Analítico Cp.'!$B158),-('Diário 5º PA'!$Q$5:$Q$2634=C$1),('Diário 5º PA'!$F$5:$F$2634))
+SUMPRODUCT(-('Diário 6º PA'!$E$5:$E$2246='Analítico Cp.'!$B158),-('Diário 6º PA'!$Q$5:$Q$2246=C$1),('Diário 6º PA'!$F$5:$F$2246))
+SUMPRODUCT(-('Diário 7º PA'!$E$5:$E$2271='Analítico Cp.'!$B158),-('Diário 7º PA'!$Q$5:$Q$2271=C$1),('Diário 7º PA'!$F$5:$F$2271))
+SUMPRODUCT(-('Diário 8º PA'!$E$5:$E$2488='Analítico Cp.'!$B158),-('Diário 8º PA'!$Q$5:$Q$2488=C$1),('Diário 8º PA'!$F$5:$F$2488))
+SUMPRODUCT(-('Comp.'!$D$5:$D$313='Analítico Cp.'!$B158),-('Comp.'!$R$5:$R$313=C$1),('Comp.'!$E$5:$E$313))</f>
        <v>0</v>
      </c>
      <c r="D158" s="185">
        <f>SUMPRODUCT(-('Diário 5º PA'!$E$5:$E$2634='Analítico Cp.'!$B158),-('Diário 5º PA'!$Q$5:$Q$2634=D$1),('Diário 5º PA'!$F$5:$F$2634))
+SUMPRODUCT(-('Diário 6º PA'!$E$5:$E$2246='Analítico Cp.'!$B158),-('Diário 6º PA'!$Q$5:$Q$2246=D$1),('Diário 6º PA'!$F$5:$F$2246))
+SUMPRODUCT(-('Diário 7º PA'!$E$5:$E$2271='Analítico Cp.'!$B158),-('Diário 7º PA'!$Q$5:$Q$2271=D$1),('Diário 7º PA'!$F$5:$F$2271))
+SUMPRODUCT(-('Diário 8º PA'!$E$5:$E$2488='Analítico Cp.'!$B158),-('Diário 8º PA'!$Q$5:$Q$2488=D$1),('Diário 8º PA'!$F$5:$F$2488))
+SUMPRODUCT(-('Comp.'!$D$5:$D$313='Analítico Cp.'!$B158),-('Comp.'!$R$5:$R$313=D$1),('Comp.'!$E$5:$E$313))</f>
        <v>0</v>
      </c>
      <c r="E158" s="185">
        <f>SUMPRODUCT(-('Diário 5º PA'!$E$5:$E$2634='Analítico Cp.'!$B158),-('Diário 5º PA'!$Q$5:$Q$2634=E$1),('Diário 5º PA'!$F$5:$F$2634))
+SUMPRODUCT(-('Diário 6º PA'!$E$5:$E$2246='Analítico Cp.'!$B158),-('Diário 6º PA'!$Q$5:$Q$2246=E$1),('Diário 6º PA'!$F$5:$F$2246))
+SUMPRODUCT(-('Diário 7º PA'!$E$5:$E$2271='Analítico Cp.'!$B158),-('Diário 7º PA'!$Q$5:$Q$2271=E$1),('Diário 7º PA'!$F$5:$F$2271))
+SUMPRODUCT(-('Diário 8º PA'!$E$5:$E$2488='Analítico Cp.'!$B158),-('Diário 8º PA'!$Q$5:$Q$2488=E$1),('Diário 8º PA'!$F$5:$F$2488))
+SUMPRODUCT(-('Comp.'!$D$5:$D$313='Analítico Cp.'!$B158),-('Comp.'!$R$5:$R$313=E$1),('Comp.'!$E$5:$E$313))</f>
        <v>0</v>
      </c>
      <c r="F158" s="185">
        <f>SUMPRODUCT(-('Diário 5º PA'!$E$5:$E$2634='Analítico Cp.'!$B158),-('Diário 5º PA'!$Q$5:$Q$2634=F$1),('Diário 5º PA'!$F$5:$F$2634))
+SUMPRODUCT(-('Diário 6º PA'!$E$5:$E$2246='Analítico Cp.'!$B158),-('Diário 6º PA'!$Q$5:$Q$2246=F$1),('Diário 6º PA'!$F$5:$F$2246))
+SUMPRODUCT(-('Diário 7º PA'!$E$5:$E$2271='Analítico Cp.'!$B158),-('Diário 7º PA'!$Q$5:$Q$2271=F$1),('Diário 7º PA'!$F$5:$F$2271))
+SUMPRODUCT(-('Diário 8º PA'!$E$5:$E$2488='Analítico Cp.'!$B158),-('Diário 8º PA'!$Q$5:$Q$2488=F$1),('Diário 8º PA'!$F$5:$F$2488))
+SUMPRODUCT(-('Comp.'!$D$5:$D$313='Analítico Cp.'!$B158),-('Comp.'!$R$5:$R$313=F$1),('Comp.'!$E$5:$E$313))</f>
        <v>0</v>
      </c>
      <c r="G158" s="185">
        <f>SUMPRODUCT(-('Diário 5º PA'!$E$5:$E$2634='Analítico Cp.'!$B158),-('Diário 5º PA'!$Q$5:$Q$2634=G$1),('Diário 5º PA'!$F$5:$F$2634))
+SUMPRODUCT(-('Diário 6º PA'!$E$5:$E$2246='Analítico Cp.'!$B158),-('Diário 6º PA'!$Q$5:$Q$2246=G$1),('Diário 6º PA'!$F$5:$F$2246))
+SUMPRODUCT(-('Diário 7º PA'!$E$5:$E$2271='Analítico Cp.'!$B158),-('Diário 7º PA'!$Q$5:$Q$2271=G$1),('Diário 7º PA'!$F$5:$F$2271))
+SUMPRODUCT(-('Diário 8º PA'!$E$5:$E$2488='Analítico Cp.'!$B158),-('Diário 8º PA'!$Q$5:$Q$2488=G$1),('Diário 8º PA'!$F$5:$F$2488))
+SUMPRODUCT(-('Comp.'!$D$5:$D$313='Analítico Cp.'!$B158),-('Comp.'!$R$5:$R$313=G$1),('Comp.'!$E$5:$E$313))</f>
        <v>0</v>
      </c>
      <c r="H158" s="185">
        <f>SUMPRODUCT(-('Diário 5º PA'!$E$5:$E$2634='Analítico Cp.'!$B158),-('Diário 5º PA'!$Q$5:$Q$2634=H$1),('Diário 5º PA'!$F$5:$F$2634))
+SUMPRODUCT(-('Diário 6º PA'!$E$5:$E$2246='Analítico Cp.'!$B158),-('Diário 6º PA'!$Q$5:$Q$2246=H$1),('Diário 6º PA'!$F$5:$F$2246))
+SUMPRODUCT(-('Diário 7º PA'!$E$5:$E$2271='Analítico Cp.'!$B158),-('Diário 7º PA'!$Q$5:$Q$2271=H$1),('Diário 7º PA'!$F$5:$F$2271))
+SUMPRODUCT(-('Diário 8º PA'!$E$5:$E$2488='Analítico Cp.'!$B158),-('Diário 8º PA'!$Q$5:$Q$2488=H$1),('Diário 8º PA'!$F$5:$F$2488))
+SUMPRODUCT(-('Comp.'!$D$5:$D$313='Analítico Cp.'!$B158),-('Comp.'!$R$5:$R$313=H$1),('Comp.'!$E$5:$E$313))</f>
        <v>0</v>
      </c>
      <c r="I158" s="185">
        <f>SUMPRODUCT(-('Diário 5º PA'!$E$5:$E$2634='Analítico Cp.'!$B158),-('Diário 5º PA'!$Q$5:$Q$2634=I$1),('Diário 5º PA'!$F$5:$F$2634))
+SUMPRODUCT(-('Diário 6º PA'!$E$5:$E$2246='Analítico Cp.'!$B158),-('Diário 6º PA'!$Q$5:$Q$2246=I$1),('Diário 6º PA'!$F$5:$F$2246))
+SUMPRODUCT(-('Diário 7º PA'!$E$5:$E$2271='Analítico Cp.'!$B158),-('Diário 7º PA'!$Q$5:$Q$2271=I$1),('Diário 7º PA'!$F$5:$F$2271))
+SUMPRODUCT(-('Diário 8º PA'!$E$5:$E$2488='Analítico Cp.'!$B158),-('Diário 8º PA'!$Q$5:$Q$2488=I$1),('Diário 8º PA'!$F$5:$F$2488))
+SUMPRODUCT(-('Comp.'!$D$5:$D$313='Analítico Cp.'!$B158),-('Comp.'!$R$5:$R$313=I$1),('Comp.'!$E$5:$E$313))</f>
        <v>0</v>
      </c>
      <c r="J158" s="185">
        <f>SUMPRODUCT(-('Diário 5º PA'!$E$5:$E$2634='Analítico Cp.'!$B158),-('Diário 5º PA'!$Q$5:$Q$2634=J$1),('Diário 5º PA'!$F$5:$F$2634))
+SUMPRODUCT(-('Diário 6º PA'!$E$5:$E$2246='Analítico Cp.'!$B158),-('Diário 6º PA'!$Q$5:$Q$2246=J$1),('Diário 6º PA'!$F$5:$F$2246))
+SUMPRODUCT(-('Diário 7º PA'!$E$5:$E$2271='Analítico Cp.'!$B158),-('Diário 7º PA'!$Q$5:$Q$2271=J$1),('Diário 7º PA'!$F$5:$F$2271))
+SUMPRODUCT(-('Diário 8º PA'!$E$5:$E$2488='Analítico Cp.'!$B158),-('Diário 8º PA'!$Q$5:$Q$2488=J$1),('Diário 8º PA'!$F$5:$F$2488))
+SUMPRODUCT(-('Comp.'!$D$5:$D$313='Analítico Cp.'!$B158),-('Comp.'!$R$5:$R$313=J$1),('Comp.'!$E$5:$E$313))</f>
        <v>0</v>
      </c>
      <c r="K158" s="185">
        <f>SUMPRODUCT(-('Diário 5º PA'!$E$5:$E$2634='Analítico Cp.'!$B158),-('Diário 5º PA'!$Q$5:$Q$2634=K$1),('Diário 5º PA'!$F$5:$F$2634))
+SUMPRODUCT(-('Diário 6º PA'!$E$5:$E$2246='Analítico Cp.'!$B158),-('Diário 6º PA'!$Q$5:$Q$2246=K$1),('Diário 6º PA'!$F$5:$F$2246))
+SUMPRODUCT(-('Diário 7º PA'!$E$5:$E$2271='Analítico Cp.'!$B158),-('Diário 7º PA'!$Q$5:$Q$2271=K$1),('Diário 7º PA'!$F$5:$F$2271))
+SUMPRODUCT(-('Diário 8º PA'!$E$5:$E$2488='Analítico Cp.'!$B158),-('Diário 8º PA'!$Q$5:$Q$2488=K$1),('Diário 8º PA'!$F$5:$F$2488))
+SUMPRODUCT(-('Comp.'!$D$5:$D$313='Analítico Cp.'!$B158),-('Comp.'!$R$5:$R$313=K$1),('Comp.'!$E$5:$E$313))</f>
        <v>0</v>
      </c>
      <c r="L158" s="185">
        <f>SUMPRODUCT(-('Diário 5º PA'!$E$5:$E$2634='Analítico Cp.'!$B158),-('Diário 5º PA'!$Q$5:$Q$2634=L$1),('Diário 5º PA'!$F$5:$F$2634))
+SUMPRODUCT(-('Diário 6º PA'!$E$5:$E$2246='Analítico Cp.'!$B158),-('Diário 6º PA'!$Q$5:$Q$2246=L$1),('Diário 6º PA'!$F$5:$F$2246))
+SUMPRODUCT(-('Diário 7º PA'!$E$5:$E$2271='Analítico Cp.'!$B158),-('Diário 7º PA'!$Q$5:$Q$2271=L$1),('Diário 7º PA'!$F$5:$F$2271))
+SUMPRODUCT(-('Diário 8º PA'!$E$5:$E$2488='Analítico Cp.'!$B158),-('Diário 8º PA'!$Q$5:$Q$2488=L$1),('Diário 8º PA'!$F$5:$F$2488))
+SUMPRODUCT(-('Comp.'!$D$5:$D$313='Analítico Cp.'!$B158),-('Comp.'!$R$5:$R$313=L$1),('Comp.'!$E$5:$E$313))</f>
        <v>0</v>
      </c>
      <c r="M158" s="185">
        <f>SUMPRODUCT(-('Diário 5º PA'!$E$5:$E$2634='Analítico Cp.'!$B158),-('Diário 5º PA'!$Q$5:$Q$2634=M$1),('Diário 5º PA'!$F$5:$F$2634))
+SUMPRODUCT(-('Diário 6º PA'!$E$5:$E$2246='Analítico Cp.'!$B158),-('Diário 6º PA'!$Q$5:$Q$2246=M$1),('Diário 6º PA'!$F$5:$F$2246))
+SUMPRODUCT(-('Diário 7º PA'!$E$5:$E$2271='Analítico Cp.'!$B158),-('Diário 7º PA'!$Q$5:$Q$2271=M$1),('Diário 7º PA'!$F$5:$F$2271))
+SUMPRODUCT(-('Diário 8º PA'!$E$5:$E$2488='Analítico Cp.'!$B158),-('Diário 8º PA'!$Q$5:$Q$2488=M$1),('Diário 8º PA'!$F$5:$F$2488))
+SUMPRODUCT(-('Comp.'!$D$5:$D$313='Analítico Cp.'!$B158),-('Comp.'!$R$5:$R$313=M$1),('Comp.'!$E$5:$E$313))</f>
        <v>0</v>
      </c>
      <c r="N158" s="185">
        <f>SUMPRODUCT(-('Diário 5º PA'!$E$5:$E$2634='Analítico Cp.'!$B158),-('Diário 5º PA'!$Q$5:$Q$2634=N$1),('Diário 5º PA'!$F$5:$F$2634))
+SUMPRODUCT(-('Diário 6º PA'!$E$5:$E$2246='Analítico Cp.'!$B158),-('Diário 6º PA'!$Q$5:$Q$2246=N$1),('Diário 6º PA'!$F$5:$F$2246))
+SUMPRODUCT(-('Diário 7º PA'!$E$5:$E$2271='Analítico Cp.'!$B158),-('Diário 7º PA'!$Q$5:$Q$2271=N$1),('Diário 7º PA'!$F$5:$F$2271))
+SUMPRODUCT(-('Diário 8º PA'!$E$5:$E$2488='Analítico Cp.'!$B158),-('Diário 8º PA'!$Q$5:$Q$2488=N$1),('Diário 8º PA'!$F$5:$F$2488))
+SUMPRODUCT(-('Comp.'!$D$5:$D$313='Analítico Cp.'!$B158),-('Comp.'!$R$5:$R$313=N$1),('Comp.'!$E$5:$E$313))</f>
        <v>0</v>
      </c>
      <c r="O158" s="186">
        <f t="shared" si="19"/>
        <v>0</v>
      </c>
      <c r="P158" s="187">
        <f t="shared" si="20"/>
        <v>0</v>
      </c>
      <c r="Q158" s="34"/>
      <c r="R158" s="34"/>
      <c r="S158" s="34"/>
      <c r="T158" s="34"/>
      <c r="U158" s="34"/>
      <c r="V158" s="34"/>
      <c r="W158" s="34"/>
      <c r="X158" s="34"/>
      <c r="Y158" s="34"/>
      <c r="Z158" s="34"/>
    </row>
    <row r="159" spans="1:26" ht="23.25" customHeight="1" x14ac:dyDescent="0.2">
      <c r="A159" s="203" t="s">
        <v>412</v>
      </c>
      <c r="B159" s="204" t="s">
        <v>413</v>
      </c>
      <c r="C159" s="185">
        <f>SUMPRODUCT(-('Diário 5º PA'!$E$5:$E$2634='Analítico Cp.'!$B159),-('Diário 5º PA'!$Q$5:$Q$2634=C$1),('Diário 5º PA'!$F$5:$F$2634))
+SUMPRODUCT(-('Diário 6º PA'!$E$5:$E$2246='Analítico Cp.'!$B159),-('Diário 6º PA'!$Q$5:$Q$2246=C$1),('Diário 6º PA'!$F$5:$F$2246))
+SUMPRODUCT(-('Diário 7º PA'!$E$5:$E$2271='Analítico Cp.'!$B159),-('Diário 7º PA'!$Q$5:$Q$2271=C$1),('Diário 7º PA'!$F$5:$F$2271))
+SUMPRODUCT(-('Diário 8º PA'!$E$5:$E$2488='Analítico Cp.'!$B159),-('Diário 8º PA'!$Q$5:$Q$2488=C$1),('Diário 8º PA'!$F$5:$F$2488))
+SUMPRODUCT(-('Comp.'!$D$5:$D$313='Analítico Cp.'!$B159),-('Comp.'!$R$5:$R$313=C$1),('Comp.'!$E$5:$E$313))</f>
        <v>4811.8200000000006</v>
      </c>
      <c r="D159" s="185">
        <f>SUMPRODUCT(-('Diário 5º PA'!$E$5:$E$2634='Analítico Cp.'!$B159),-('Diário 5º PA'!$Q$5:$Q$2634=D$1),('Diário 5º PA'!$F$5:$F$2634))
+SUMPRODUCT(-('Diário 6º PA'!$E$5:$E$2246='Analítico Cp.'!$B159),-('Diário 6º PA'!$Q$5:$Q$2246=D$1),('Diário 6º PA'!$F$5:$F$2246))
+SUMPRODUCT(-('Diário 7º PA'!$E$5:$E$2271='Analítico Cp.'!$B159),-('Diário 7º PA'!$Q$5:$Q$2271=D$1),('Diário 7º PA'!$F$5:$F$2271))
+SUMPRODUCT(-('Diário 8º PA'!$E$5:$E$2488='Analítico Cp.'!$B159),-('Diário 8º PA'!$Q$5:$Q$2488=D$1),('Diário 8º PA'!$F$5:$F$2488))
+SUMPRODUCT(-('Comp.'!$D$5:$D$313='Analítico Cp.'!$B159),-('Comp.'!$R$5:$R$313=D$1),('Comp.'!$E$5:$E$313))</f>
        <v>1462.8</v>
      </c>
      <c r="E159" s="185">
        <f>SUMPRODUCT(-('Diário 5º PA'!$E$5:$E$2634='Analítico Cp.'!$B159),-('Diário 5º PA'!$Q$5:$Q$2634=E$1),('Diário 5º PA'!$F$5:$F$2634))
+SUMPRODUCT(-('Diário 6º PA'!$E$5:$E$2246='Analítico Cp.'!$B159),-('Diário 6º PA'!$Q$5:$Q$2246=E$1),('Diário 6º PA'!$F$5:$F$2246))
+SUMPRODUCT(-('Diário 7º PA'!$E$5:$E$2271='Analítico Cp.'!$B159),-('Diário 7º PA'!$Q$5:$Q$2271=E$1),('Diário 7º PA'!$F$5:$F$2271))
+SUMPRODUCT(-('Diário 8º PA'!$E$5:$E$2488='Analítico Cp.'!$B159),-('Diário 8º PA'!$Q$5:$Q$2488=E$1),('Diário 8º PA'!$F$5:$F$2488))
+SUMPRODUCT(-('Comp.'!$D$5:$D$313='Analítico Cp.'!$B159),-('Comp.'!$R$5:$R$313=E$1),('Comp.'!$E$5:$E$313))</f>
        <v>0</v>
      </c>
      <c r="F159" s="185">
        <f>SUMPRODUCT(-('Diário 5º PA'!$E$5:$E$2634='Analítico Cp.'!$B159),-('Diário 5º PA'!$Q$5:$Q$2634=F$1),('Diário 5º PA'!$F$5:$F$2634))
+SUMPRODUCT(-('Diário 6º PA'!$E$5:$E$2246='Analítico Cp.'!$B159),-('Diário 6º PA'!$Q$5:$Q$2246=F$1),('Diário 6º PA'!$F$5:$F$2246))
+SUMPRODUCT(-('Diário 7º PA'!$E$5:$E$2271='Analítico Cp.'!$B159),-('Diário 7º PA'!$Q$5:$Q$2271=F$1),('Diário 7º PA'!$F$5:$F$2271))
+SUMPRODUCT(-('Diário 8º PA'!$E$5:$E$2488='Analítico Cp.'!$B159),-('Diário 8º PA'!$Q$5:$Q$2488=F$1),('Diário 8º PA'!$F$5:$F$2488))
+SUMPRODUCT(-('Comp.'!$D$5:$D$313='Analítico Cp.'!$B159),-('Comp.'!$R$5:$R$313=F$1),('Comp.'!$E$5:$E$313))</f>
        <v>0</v>
      </c>
      <c r="G159" s="185">
        <f>SUMPRODUCT(-('Diário 5º PA'!$E$5:$E$2634='Analítico Cp.'!$B159),-('Diário 5º PA'!$Q$5:$Q$2634=G$1),('Diário 5º PA'!$F$5:$F$2634))
+SUMPRODUCT(-('Diário 6º PA'!$E$5:$E$2246='Analítico Cp.'!$B159),-('Diário 6º PA'!$Q$5:$Q$2246=G$1),('Diário 6º PA'!$F$5:$F$2246))
+SUMPRODUCT(-('Diário 7º PA'!$E$5:$E$2271='Analítico Cp.'!$B159),-('Diário 7º PA'!$Q$5:$Q$2271=G$1),('Diário 7º PA'!$F$5:$F$2271))
+SUMPRODUCT(-('Diário 8º PA'!$E$5:$E$2488='Analítico Cp.'!$B159),-('Diário 8º PA'!$Q$5:$Q$2488=G$1),('Diário 8º PA'!$F$5:$F$2488))
+SUMPRODUCT(-('Comp.'!$D$5:$D$313='Analítico Cp.'!$B159),-('Comp.'!$R$5:$R$313=G$1),('Comp.'!$E$5:$E$313))</f>
        <v>0</v>
      </c>
      <c r="H159" s="185">
        <f>SUMPRODUCT(-('Diário 5º PA'!$E$5:$E$2634='Analítico Cp.'!$B159),-('Diário 5º PA'!$Q$5:$Q$2634=H$1),('Diário 5º PA'!$F$5:$F$2634))
+SUMPRODUCT(-('Diário 6º PA'!$E$5:$E$2246='Analítico Cp.'!$B159),-('Diário 6º PA'!$Q$5:$Q$2246=H$1),('Diário 6º PA'!$F$5:$F$2246))
+SUMPRODUCT(-('Diário 7º PA'!$E$5:$E$2271='Analítico Cp.'!$B159),-('Diário 7º PA'!$Q$5:$Q$2271=H$1),('Diário 7º PA'!$F$5:$F$2271))
+SUMPRODUCT(-('Diário 8º PA'!$E$5:$E$2488='Analítico Cp.'!$B159),-('Diário 8º PA'!$Q$5:$Q$2488=H$1),('Diário 8º PA'!$F$5:$F$2488))
+SUMPRODUCT(-('Comp.'!$D$5:$D$313='Analítico Cp.'!$B159),-('Comp.'!$R$5:$R$313=H$1),('Comp.'!$E$5:$E$313))</f>
        <v>0</v>
      </c>
      <c r="I159" s="185">
        <f>SUMPRODUCT(-('Diário 5º PA'!$E$5:$E$2634='Analítico Cp.'!$B159),-('Diário 5º PA'!$Q$5:$Q$2634=I$1),('Diário 5º PA'!$F$5:$F$2634))
+SUMPRODUCT(-('Diário 6º PA'!$E$5:$E$2246='Analítico Cp.'!$B159),-('Diário 6º PA'!$Q$5:$Q$2246=I$1),('Diário 6º PA'!$F$5:$F$2246))
+SUMPRODUCT(-('Diário 7º PA'!$E$5:$E$2271='Analítico Cp.'!$B159),-('Diário 7º PA'!$Q$5:$Q$2271=I$1),('Diário 7º PA'!$F$5:$F$2271))
+SUMPRODUCT(-('Diário 8º PA'!$E$5:$E$2488='Analítico Cp.'!$B159),-('Diário 8º PA'!$Q$5:$Q$2488=I$1),('Diário 8º PA'!$F$5:$F$2488))
+SUMPRODUCT(-('Comp.'!$D$5:$D$313='Analítico Cp.'!$B159),-('Comp.'!$R$5:$R$313=I$1),('Comp.'!$E$5:$E$313))</f>
        <v>0</v>
      </c>
      <c r="J159" s="185">
        <f>SUMPRODUCT(-('Diário 5º PA'!$E$5:$E$2634='Analítico Cp.'!$B159),-('Diário 5º PA'!$Q$5:$Q$2634=J$1),('Diário 5º PA'!$F$5:$F$2634))
+SUMPRODUCT(-('Diário 6º PA'!$E$5:$E$2246='Analítico Cp.'!$B159),-('Diário 6º PA'!$Q$5:$Q$2246=J$1),('Diário 6º PA'!$F$5:$F$2246))
+SUMPRODUCT(-('Diário 7º PA'!$E$5:$E$2271='Analítico Cp.'!$B159),-('Diário 7º PA'!$Q$5:$Q$2271=J$1),('Diário 7º PA'!$F$5:$F$2271))
+SUMPRODUCT(-('Diário 8º PA'!$E$5:$E$2488='Analítico Cp.'!$B159),-('Diário 8º PA'!$Q$5:$Q$2488=J$1),('Diário 8º PA'!$F$5:$F$2488))
+SUMPRODUCT(-('Comp.'!$D$5:$D$313='Analítico Cp.'!$B159),-('Comp.'!$R$5:$R$313=J$1),('Comp.'!$E$5:$E$313))</f>
        <v>0</v>
      </c>
      <c r="K159" s="185">
        <f>SUMPRODUCT(-('Diário 5º PA'!$E$5:$E$2634='Analítico Cp.'!$B159),-('Diário 5º PA'!$Q$5:$Q$2634=K$1),('Diário 5º PA'!$F$5:$F$2634))
+SUMPRODUCT(-('Diário 6º PA'!$E$5:$E$2246='Analítico Cp.'!$B159),-('Diário 6º PA'!$Q$5:$Q$2246=K$1),('Diário 6º PA'!$F$5:$F$2246))
+SUMPRODUCT(-('Diário 7º PA'!$E$5:$E$2271='Analítico Cp.'!$B159),-('Diário 7º PA'!$Q$5:$Q$2271=K$1),('Diário 7º PA'!$F$5:$F$2271))
+SUMPRODUCT(-('Diário 8º PA'!$E$5:$E$2488='Analítico Cp.'!$B159),-('Diário 8º PA'!$Q$5:$Q$2488=K$1),('Diário 8º PA'!$F$5:$F$2488))
+SUMPRODUCT(-('Comp.'!$D$5:$D$313='Analítico Cp.'!$B159),-('Comp.'!$R$5:$R$313=K$1),('Comp.'!$E$5:$E$313))</f>
        <v>0</v>
      </c>
      <c r="L159" s="185">
        <f>SUMPRODUCT(-('Diário 5º PA'!$E$5:$E$2634='Analítico Cp.'!$B159),-('Diário 5º PA'!$Q$5:$Q$2634=L$1),('Diário 5º PA'!$F$5:$F$2634))
+SUMPRODUCT(-('Diário 6º PA'!$E$5:$E$2246='Analítico Cp.'!$B159),-('Diário 6º PA'!$Q$5:$Q$2246=L$1),('Diário 6º PA'!$F$5:$F$2246))
+SUMPRODUCT(-('Diário 7º PA'!$E$5:$E$2271='Analítico Cp.'!$B159),-('Diário 7º PA'!$Q$5:$Q$2271=L$1),('Diário 7º PA'!$F$5:$F$2271))
+SUMPRODUCT(-('Diário 8º PA'!$E$5:$E$2488='Analítico Cp.'!$B159),-('Diário 8º PA'!$Q$5:$Q$2488=L$1),('Diário 8º PA'!$F$5:$F$2488))
+SUMPRODUCT(-('Comp.'!$D$5:$D$313='Analítico Cp.'!$B159),-('Comp.'!$R$5:$R$313=L$1),('Comp.'!$E$5:$E$313))</f>
        <v>0</v>
      </c>
      <c r="M159" s="185">
        <f>SUMPRODUCT(-('Diário 5º PA'!$E$5:$E$2634='Analítico Cp.'!$B159),-('Diário 5º PA'!$Q$5:$Q$2634=M$1),('Diário 5º PA'!$F$5:$F$2634))
+SUMPRODUCT(-('Diário 6º PA'!$E$5:$E$2246='Analítico Cp.'!$B159),-('Diário 6º PA'!$Q$5:$Q$2246=M$1),('Diário 6º PA'!$F$5:$F$2246))
+SUMPRODUCT(-('Diário 7º PA'!$E$5:$E$2271='Analítico Cp.'!$B159),-('Diário 7º PA'!$Q$5:$Q$2271=M$1),('Diário 7º PA'!$F$5:$F$2271))
+SUMPRODUCT(-('Diário 8º PA'!$E$5:$E$2488='Analítico Cp.'!$B159),-('Diário 8º PA'!$Q$5:$Q$2488=M$1),('Diário 8º PA'!$F$5:$F$2488))
+SUMPRODUCT(-('Comp.'!$D$5:$D$313='Analítico Cp.'!$B159),-('Comp.'!$R$5:$R$313=M$1),('Comp.'!$E$5:$E$313))</f>
        <v>0</v>
      </c>
      <c r="N159" s="185">
        <f>SUMPRODUCT(-('Diário 5º PA'!$E$5:$E$2634='Analítico Cp.'!$B159),-('Diário 5º PA'!$Q$5:$Q$2634=N$1),('Diário 5º PA'!$F$5:$F$2634))
+SUMPRODUCT(-('Diário 6º PA'!$E$5:$E$2246='Analítico Cp.'!$B159),-('Diário 6º PA'!$Q$5:$Q$2246=N$1),('Diário 6º PA'!$F$5:$F$2246))
+SUMPRODUCT(-('Diário 7º PA'!$E$5:$E$2271='Analítico Cp.'!$B159),-('Diário 7º PA'!$Q$5:$Q$2271=N$1),('Diário 7º PA'!$F$5:$F$2271))
+SUMPRODUCT(-('Diário 8º PA'!$E$5:$E$2488='Analítico Cp.'!$B159),-('Diário 8º PA'!$Q$5:$Q$2488=N$1),('Diário 8º PA'!$F$5:$F$2488))
+SUMPRODUCT(-('Comp.'!$D$5:$D$313='Analítico Cp.'!$B159),-('Comp.'!$R$5:$R$313=N$1),('Comp.'!$E$5:$E$313))</f>
        <v>0</v>
      </c>
      <c r="O159" s="186">
        <f t="shared" si="19"/>
        <v>6274.6200000000008</v>
      </c>
      <c r="P159" s="187">
        <f t="shared" si="20"/>
        <v>6.4720294296741112E-4</v>
      </c>
      <c r="Q159" s="34"/>
      <c r="R159" s="34"/>
      <c r="S159" s="34"/>
      <c r="T159" s="34"/>
      <c r="U159" s="34"/>
      <c r="V159" s="34"/>
      <c r="W159" s="34"/>
      <c r="X159" s="34"/>
      <c r="Y159" s="34"/>
      <c r="Z159" s="34"/>
    </row>
    <row r="160" spans="1:26" ht="23.25" customHeight="1" x14ac:dyDescent="0.2">
      <c r="A160" s="223"/>
      <c r="B160" s="224" t="s">
        <v>387</v>
      </c>
      <c r="C160" s="191">
        <f t="shared" ref="C160:O160" si="21">SUBTOTAL(109,C147:C159)</f>
        <v>11188.82</v>
      </c>
      <c r="D160" s="191">
        <f t="shared" si="21"/>
        <v>1462.8</v>
      </c>
      <c r="E160" s="191">
        <f t="shared" si="21"/>
        <v>0</v>
      </c>
      <c r="F160" s="191">
        <f t="shared" si="21"/>
        <v>0</v>
      </c>
      <c r="G160" s="191">
        <f t="shared" si="21"/>
        <v>0</v>
      </c>
      <c r="H160" s="191">
        <f t="shared" si="21"/>
        <v>0</v>
      </c>
      <c r="I160" s="191">
        <f t="shared" si="21"/>
        <v>0</v>
      </c>
      <c r="J160" s="191">
        <f t="shared" si="21"/>
        <v>0</v>
      </c>
      <c r="K160" s="191">
        <f t="shared" si="21"/>
        <v>0</v>
      </c>
      <c r="L160" s="191">
        <f t="shared" si="21"/>
        <v>0</v>
      </c>
      <c r="M160" s="191">
        <f t="shared" si="21"/>
        <v>0</v>
      </c>
      <c r="N160" s="191">
        <f t="shared" si="21"/>
        <v>0</v>
      </c>
      <c r="O160" s="191">
        <f t="shared" si="21"/>
        <v>12651.62</v>
      </c>
      <c r="P160" s="225">
        <f t="shared" si="20"/>
        <v>1.3049659895428499E-3</v>
      </c>
      <c r="Q160" s="34"/>
      <c r="R160" s="34"/>
      <c r="S160" s="34"/>
      <c r="T160" s="34"/>
      <c r="U160" s="34"/>
      <c r="V160" s="34"/>
      <c r="W160" s="34"/>
      <c r="X160" s="34"/>
      <c r="Y160" s="34"/>
      <c r="Z160" s="34"/>
    </row>
    <row r="161" spans="1:26" ht="23.25" customHeight="1" x14ac:dyDescent="0.2">
      <c r="A161" s="226" t="s">
        <v>102</v>
      </c>
      <c r="B161" s="85" t="s">
        <v>57</v>
      </c>
      <c r="C161" s="232">
        <f>SUMPRODUCT(-('Diário 5º PA'!$E$5:$E$2634='Analítico Cp.'!$B161),-('Diário 5º PA'!$Q$5:$Q$2634=C$1),('Diário 5º PA'!$F$5:$F$2634))
+SUMPRODUCT(-('Diário 6º PA'!$E$5:$E$2246='Analítico Cp.'!$B161),-('Diário 6º PA'!$Q$5:$Q$2246=C$1),('Diário 6º PA'!$F$5:$F$2246))
+SUMPRODUCT(-('Diário 7º PA'!$E$5:$E$2271='Analítico Cp.'!$B161),-('Diário 7º PA'!$Q$5:$Q$2271=C$1),('Diário 7º PA'!$F$5:$F$2271))
+SUMPRODUCT(-('Diário 8º PA'!$E$5:$E$2488='Analítico Cp.'!$B161),-('Diário 8º PA'!$Q$5:$Q$2488=C$1),('Diário 8º PA'!$F$5:$F$2488))
+SUMPRODUCT(-('Comp.'!$D$5:$D$313='Analítico Cp.'!$B161),-('Comp.'!$R$5:$R$313=C$1),('Comp.'!$E$5:$E$313))</f>
        <v>415.84</v>
      </c>
      <c r="D161" s="232">
        <f>SUMPRODUCT(-('Diário 5º PA'!$E$5:$E$2634='Analítico Cp.'!$B161),-('Diário 5º PA'!$Q$5:$Q$2634=D$1),('Diário 5º PA'!$F$5:$F$2634))
+SUMPRODUCT(-('Diário 6º PA'!$E$5:$E$2246='Analítico Cp.'!$B161),-('Diário 6º PA'!$Q$5:$Q$2246=D$1),('Diário 6º PA'!$F$5:$F$2246))
+SUMPRODUCT(-('Diário 7º PA'!$E$5:$E$2271='Analítico Cp.'!$B161),-('Diário 7º PA'!$Q$5:$Q$2271=D$1),('Diário 7º PA'!$F$5:$F$2271))
+SUMPRODUCT(-('Diário 8º PA'!$E$5:$E$2488='Analítico Cp.'!$B161),-('Diário 8º PA'!$Q$5:$Q$2488=D$1),('Diário 8º PA'!$F$5:$F$2488))
+SUMPRODUCT(-('Comp.'!$D$5:$D$313='Analítico Cp.'!$B161),-('Comp.'!$R$5:$R$313=D$1),('Comp.'!$E$5:$E$313))</f>
        <v>217.01</v>
      </c>
      <c r="E161" s="232">
        <f>SUMPRODUCT(-('Diário 5º PA'!$E$5:$E$2634='Analítico Cp.'!$B161),-('Diário 5º PA'!$Q$5:$Q$2634=E$1),('Diário 5º PA'!$F$5:$F$2634))
+SUMPRODUCT(-('Diário 6º PA'!$E$5:$E$2246='Analítico Cp.'!$B161),-('Diário 6º PA'!$Q$5:$Q$2246=E$1),('Diário 6º PA'!$F$5:$F$2246))
+SUMPRODUCT(-('Diário 7º PA'!$E$5:$E$2271='Analítico Cp.'!$B161),-('Diário 7º PA'!$Q$5:$Q$2271=E$1),('Diário 7º PA'!$F$5:$F$2271))
+SUMPRODUCT(-('Diário 8º PA'!$E$5:$E$2488='Analítico Cp.'!$B161),-('Diário 8º PA'!$Q$5:$Q$2488=E$1),('Diário 8º PA'!$F$5:$F$2488))
+SUMPRODUCT(-('Comp.'!$D$5:$D$313='Analítico Cp.'!$B161),-('Comp.'!$R$5:$R$313=E$1),('Comp.'!$E$5:$E$313))</f>
        <v>283.61</v>
      </c>
      <c r="F161" s="232">
        <f>SUMPRODUCT(-('Diário 5º PA'!$E$5:$E$2634='Analítico Cp.'!$B161),-('Diário 5º PA'!$Q$5:$Q$2634=F$1),('Diário 5º PA'!$F$5:$F$2634))
+SUMPRODUCT(-('Diário 6º PA'!$E$5:$E$2246='Analítico Cp.'!$B161),-('Diário 6º PA'!$Q$5:$Q$2246=F$1),('Diário 6º PA'!$F$5:$F$2246))
+SUMPRODUCT(-('Diário 7º PA'!$E$5:$E$2271='Analítico Cp.'!$B161),-('Diário 7º PA'!$Q$5:$Q$2271=F$1),('Diário 7º PA'!$F$5:$F$2271))
+SUMPRODUCT(-('Diário 8º PA'!$E$5:$E$2488='Analítico Cp.'!$B161),-('Diário 8º PA'!$Q$5:$Q$2488=F$1),('Diário 8º PA'!$F$5:$F$2488))
+SUMPRODUCT(-('Comp.'!$D$5:$D$313='Analítico Cp.'!$B161),-('Comp.'!$R$5:$R$313=F$1),('Comp.'!$E$5:$E$313))</f>
        <v>1729.05</v>
      </c>
      <c r="G161" s="232">
        <f>SUMPRODUCT(-('Diário 5º PA'!$E$5:$E$2634='Analítico Cp.'!$B161),-('Diário 5º PA'!$Q$5:$Q$2634=G$1),('Diário 5º PA'!$F$5:$F$2634))
+SUMPRODUCT(-('Diário 6º PA'!$E$5:$E$2246='Analítico Cp.'!$B161),-('Diário 6º PA'!$Q$5:$Q$2246=G$1),('Diário 6º PA'!$F$5:$F$2246))
+SUMPRODUCT(-('Diário 7º PA'!$E$5:$E$2271='Analítico Cp.'!$B161),-('Diário 7º PA'!$Q$5:$Q$2271=G$1),('Diário 7º PA'!$F$5:$F$2271))
+SUMPRODUCT(-('Diário 8º PA'!$E$5:$E$2488='Analítico Cp.'!$B161),-('Diário 8º PA'!$Q$5:$Q$2488=G$1),('Diário 8º PA'!$F$5:$F$2488))
+SUMPRODUCT(-('Comp.'!$D$5:$D$313='Analítico Cp.'!$B161),-('Comp.'!$R$5:$R$313=G$1),('Comp.'!$E$5:$E$313))</f>
        <v>2066.9699999999998</v>
      </c>
      <c r="H161" s="232">
        <f>SUMPRODUCT(-('Diário 5º PA'!$E$5:$E$2634='Analítico Cp.'!$B161),-('Diário 5º PA'!$Q$5:$Q$2634=H$1),('Diário 5º PA'!$F$5:$F$2634))
+SUMPRODUCT(-('Diário 6º PA'!$E$5:$E$2246='Analítico Cp.'!$B161),-('Diário 6º PA'!$Q$5:$Q$2246=H$1),('Diário 6º PA'!$F$5:$F$2246))
+SUMPRODUCT(-('Diário 7º PA'!$E$5:$E$2271='Analítico Cp.'!$B161),-('Diário 7º PA'!$Q$5:$Q$2271=H$1),('Diário 7º PA'!$F$5:$F$2271))
+SUMPRODUCT(-('Diário 8º PA'!$E$5:$E$2488='Analítico Cp.'!$B161),-('Diário 8º PA'!$Q$5:$Q$2488=H$1),('Diário 8º PA'!$F$5:$F$2488))
+SUMPRODUCT(-('Comp.'!$D$5:$D$313='Analítico Cp.'!$B161),-('Comp.'!$R$5:$R$313=H$1),('Comp.'!$E$5:$E$313))</f>
        <v>4805.9399999999996</v>
      </c>
      <c r="I161" s="232">
        <f>SUMPRODUCT(-('Diário 5º PA'!$E$5:$E$2634='Analítico Cp.'!$B161),-('Diário 5º PA'!$Q$5:$Q$2634=I$1),('Diário 5º PA'!$F$5:$F$2634))
+SUMPRODUCT(-('Diário 6º PA'!$E$5:$E$2246='Analítico Cp.'!$B161),-('Diário 6º PA'!$Q$5:$Q$2246=I$1),('Diário 6º PA'!$F$5:$F$2246))
+SUMPRODUCT(-('Diário 7º PA'!$E$5:$E$2271='Analítico Cp.'!$B161),-('Diário 7º PA'!$Q$5:$Q$2271=I$1),('Diário 7º PA'!$F$5:$F$2271))
+SUMPRODUCT(-('Diário 8º PA'!$E$5:$E$2488='Analítico Cp.'!$B161),-('Diário 8º PA'!$Q$5:$Q$2488=I$1),('Diário 8º PA'!$F$5:$F$2488))
+SUMPRODUCT(-('Comp.'!$D$5:$D$313='Analítico Cp.'!$B161),-('Comp.'!$R$5:$R$313=I$1),('Comp.'!$E$5:$E$313))</f>
        <v>5188.67</v>
      </c>
      <c r="J161" s="232">
        <f>SUMPRODUCT(-('Diário 5º PA'!$E$5:$E$2634='Analítico Cp.'!$B161),-('Diário 5º PA'!$Q$5:$Q$2634=J$1),('Diário 5º PA'!$F$5:$F$2634))
+SUMPRODUCT(-('Diário 6º PA'!$E$5:$E$2246='Analítico Cp.'!$B161),-('Diário 6º PA'!$Q$5:$Q$2246=J$1),('Diário 6º PA'!$F$5:$F$2246))
+SUMPRODUCT(-('Diário 7º PA'!$E$5:$E$2271='Analítico Cp.'!$B161),-('Diário 7º PA'!$Q$5:$Q$2271=J$1),('Diário 7º PA'!$F$5:$F$2271))
+SUMPRODUCT(-('Diário 8º PA'!$E$5:$E$2488='Analítico Cp.'!$B161),-('Diário 8º PA'!$Q$5:$Q$2488=J$1),('Diário 8º PA'!$F$5:$F$2488))
+SUMPRODUCT(-('Comp.'!$D$5:$D$313='Analítico Cp.'!$B161),-('Comp.'!$R$5:$R$313=J$1),('Comp.'!$E$5:$E$313))</f>
        <v>6051.96</v>
      </c>
      <c r="K161" s="232">
        <f>SUMPRODUCT(-('Diário 5º PA'!$E$5:$E$2634='Analítico Cp.'!$B161),-('Diário 5º PA'!$Q$5:$Q$2634=K$1),('Diário 5º PA'!$F$5:$F$2634))
+SUMPRODUCT(-('Diário 6º PA'!$E$5:$E$2246='Analítico Cp.'!$B161),-('Diário 6º PA'!$Q$5:$Q$2246=K$1),('Diário 6º PA'!$F$5:$F$2246))
+SUMPRODUCT(-('Diário 7º PA'!$E$5:$E$2271='Analítico Cp.'!$B161),-('Diário 7º PA'!$Q$5:$Q$2271=K$1),('Diário 7º PA'!$F$5:$F$2271))
+SUMPRODUCT(-('Diário 8º PA'!$E$5:$E$2488='Analítico Cp.'!$B161),-('Diário 8º PA'!$Q$5:$Q$2488=K$1),('Diário 8º PA'!$F$5:$F$2488))
+SUMPRODUCT(-('Comp.'!$D$5:$D$313='Analítico Cp.'!$B161),-('Comp.'!$R$5:$R$313=K$1),('Comp.'!$E$5:$E$313))</f>
        <v>6839.26</v>
      </c>
      <c r="L161" s="232">
        <f>SUMPRODUCT(-('Diário 5º PA'!$E$5:$E$2634='Analítico Cp.'!$B161),-('Diário 5º PA'!$Q$5:$Q$2634=L$1),('Diário 5º PA'!$F$5:$F$2634))
+SUMPRODUCT(-('Diário 6º PA'!$E$5:$E$2246='Analítico Cp.'!$B161),-('Diário 6º PA'!$Q$5:$Q$2246=L$1),('Diário 6º PA'!$F$5:$F$2246))
+SUMPRODUCT(-('Diário 7º PA'!$E$5:$E$2271='Analítico Cp.'!$B161),-('Diário 7º PA'!$Q$5:$Q$2271=L$1),('Diário 7º PA'!$F$5:$F$2271))
+SUMPRODUCT(-('Diário 8º PA'!$E$5:$E$2488='Analítico Cp.'!$B161),-('Diário 8º PA'!$Q$5:$Q$2488=L$1),('Diário 8º PA'!$F$5:$F$2488))
+SUMPRODUCT(-('Comp.'!$D$5:$D$313='Analítico Cp.'!$B161),-('Comp.'!$R$5:$R$313=L$1),('Comp.'!$E$5:$E$313))</f>
        <v>5851.24</v>
      </c>
      <c r="M161" s="232">
        <f>SUMPRODUCT(-('Diário 5º PA'!$E$5:$E$2634='Analítico Cp.'!$B161),-('Diário 5º PA'!$Q$5:$Q$2634=M$1),('Diário 5º PA'!$F$5:$F$2634))
+SUMPRODUCT(-('Diário 6º PA'!$E$5:$E$2246='Analítico Cp.'!$B161),-('Diário 6º PA'!$Q$5:$Q$2246=M$1),('Diário 6º PA'!$F$5:$F$2246))
+SUMPRODUCT(-('Diário 7º PA'!$E$5:$E$2271='Analítico Cp.'!$B161),-('Diário 7º PA'!$Q$5:$Q$2271=M$1),('Diário 7º PA'!$F$5:$F$2271))
+SUMPRODUCT(-('Diário 8º PA'!$E$5:$E$2488='Analítico Cp.'!$B161),-('Diário 8º PA'!$Q$5:$Q$2488=M$1),('Diário 8º PA'!$F$5:$F$2488))
+SUMPRODUCT(-('Comp.'!$D$5:$D$313='Analítico Cp.'!$B161),-('Comp.'!$R$5:$R$313=M$1),('Comp.'!$E$5:$E$313))</f>
        <v>4728.8900000000003</v>
      </c>
      <c r="N161" s="232">
        <f>SUMPRODUCT(-('Diário 5º PA'!$E$5:$E$2634='Analítico Cp.'!$B161),-('Diário 5º PA'!$Q$5:$Q$2634=N$1),('Diário 5º PA'!$F$5:$F$2634))
+SUMPRODUCT(-('Diário 6º PA'!$E$5:$E$2246='Analítico Cp.'!$B161),-('Diário 6º PA'!$Q$5:$Q$2246=N$1),('Diário 6º PA'!$F$5:$F$2246))
+SUMPRODUCT(-('Diário 7º PA'!$E$5:$E$2271='Analítico Cp.'!$B161),-('Diário 7º PA'!$Q$5:$Q$2271=N$1),('Diário 7º PA'!$F$5:$F$2271))
+SUMPRODUCT(-('Diário 8º PA'!$E$5:$E$2488='Analítico Cp.'!$B161),-('Diário 8º PA'!$Q$5:$Q$2488=N$1),('Diário 8º PA'!$F$5:$F$2488))
+SUMPRODUCT(-('Comp.'!$D$5:$D$313='Analítico Cp.'!$B161),-('Comp.'!$R$5:$R$313=N$1),('Comp.'!$E$5:$E$313))</f>
        <v>9479.66</v>
      </c>
      <c r="O161" s="218">
        <f t="shared" ref="O161:O162" si="22">SUM(C161:N161)</f>
        <v>47658.099999999991</v>
      </c>
      <c r="P161" s="219">
        <f t="shared" si="20"/>
        <v>4.9157498902300326E-3</v>
      </c>
      <c r="Q161" s="34"/>
      <c r="R161" s="34"/>
      <c r="S161" s="34"/>
      <c r="T161" s="34"/>
      <c r="U161" s="34"/>
      <c r="V161" s="34"/>
      <c r="W161" s="34"/>
      <c r="X161" s="34"/>
      <c r="Y161" s="34"/>
      <c r="Z161" s="34"/>
    </row>
    <row r="162" spans="1:26" ht="23.25" customHeight="1" x14ac:dyDescent="0.2">
      <c r="A162" s="226" t="s">
        <v>103</v>
      </c>
      <c r="B162" s="229" t="s">
        <v>104</v>
      </c>
      <c r="C162" s="218">
        <f>SUMPRODUCT(-('Diário 5º PA'!$E$5:$E$2634='Analítico Cp.'!$B162),-('Diário 5º PA'!$Q$5:$Q$2634=C$1),('Diário 5º PA'!$F$5:$F$2634))
+SUMPRODUCT(-('Diário 6º PA'!$E$5:$E$2246='Analítico Cp.'!$B162),-('Diário 6º PA'!$Q$5:$Q$2246=C$1),('Diário 6º PA'!$F$5:$F$2246))
+SUMPRODUCT(-('Diário 7º PA'!$E$5:$E$2271='Analítico Cp.'!$B162),-('Diário 7º PA'!$Q$5:$Q$2271=C$1),('Diário 7º PA'!$F$5:$F$2271))
+SUMPRODUCT(-('Diário 8º PA'!$E$5:$E$2488='Analítico Cp.'!$B162),-('Diário 8º PA'!$Q$5:$Q$2488=C$1),('Diário 8º PA'!$F$5:$F$2488))
+SUMPRODUCT(-('Comp.'!$D$5:$D$313='Analítico Cp.'!$B162),-('Comp.'!$R$5:$R$313=C$1),('Comp.'!$E$5:$E$313))</f>
        <v>62146.950000000004</v>
      </c>
      <c r="D162" s="218">
        <f>SUMPRODUCT(-('Diário 5º PA'!$E$5:$E$2634='Analítico Cp.'!$B162),-('Diário 5º PA'!$Q$5:$Q$2634=D$1),('Diário 5º PA'!$F$5:$F$2634))
+SUMPRODUCT(-('Diário 6º PA'!$E$5:$E$2246='Analítico Cp.'!$B162),-('Diário 6º PA'!$Q$5:$Q$2246=D$1),('Diário 6º PA'!$F$5:$F$2246))
+SUMPRODUCT(-('Diário 7º PA'!$E$5:$E$2271='Analítico Cp.'!$B162),-('Diário 7º PA'!$Q$5:$Q$2271=D$1),('Diário 7º PA'!$F$5:$F$2271))
+SUMPRODUCT(-('Diário 8º PA'!$E$5:$E$2488='Analítico Cp.'!$B162),-('Diário 8º PA'!$Q$5:$Q$2488=D$1),('Diário 8º PA'!$F$5:$F$2488))
+SUMPRODUCT(-('Comp.'!$D$5:$D$313='Analítico Cp.'!$B162),-('Comp.'!$R$5:$R$313=D$1),('Comp.'!$E$5:$E$313))</f>
        <v>233574.92000000004</v>
      </c>
      <c r="E162" s="218">
        <f>SUMPRODUCT(-('Diário 5º PA'!$E$5:$E$2634='Analítico Cp.'!$B162),-('Diário 5º PA'!$Q$5:$Q$2634=E$1),('Diário 5º PA'!$F$5:$F$2634))
+SUMPRODUCT(-('Diário 6º PA'!$E$5:$E$2246='Analítico Cp.'!$B162),-('Diário 6º PA'!$Q$5:$Q$2246=E$1),('Diário 6º PA'!$F$5:$F$2246))
+SUMPRODUCT(-('Diário 7º PA'!$E$5:$E$2271='Analítico Cp.'!$B162),-('Diário 7º PA'!$Q$5:$Q$2271=E$1),('Diário 7º PA'!$F$5:$F$2271))
+SUMPRODUCT(-('Diário 8º PA'!$E$5:$E$2488='Analítico Cp.'!$B162),-('Diário 8º PA'!$Q$5:$Q$2488=E$1),('Diário 8º PA'!$F$5:$F$2488))
+SUMPRODUCT(-('Comp.'!$D$5:$D$313='Analítico Cp.'!$B162),-('Comp.'!$R$5:$R$313=E$1),('Comp.'!$E$5:$E$313))</f>
        <v>220764.69999999998</v>
      </c>
      <c r="F162" s="218">
        <f>SUMPRODUCT(-('Diário 5º PA'!$E$5:$E$2634='Analítico Cp.'!$B162),-('Diário 5º PA'!$Q$5:$Q$2634=F$1),('Diário 5º PA'!$F$5:$F$2634))
+SUMPRODUCT(-('Diário 6º PA'!$E$5:$E$2246='Analítico Cp.'!$B162),-('Diário 6º PA'!$Q$5:$Q$2246=F$1),('Diário 6º PA'!$F$5:$F$2246))
+SUMPRODUCT(-('Diário 7º PA'!$E$5:$E$2271='Analítico Cp.'!$B162),-('Diário 7º PA'!$Q$5:$Q$2271=F$1),('Diário 7º PA'!$F$5:$F$2271))
+SUMPRODUCT(-('Diário 8º PA'!$E$5:$E$2488='Analítico Cp.'!$B162),-('Diário 8º PA'!$Q$5:$Q$2488=F$1),('Diário 8º PA'!$F$5:$F$2488))
+SUMPRODUCT(-('Comp.'!$D$5:$D$313='Analítico Cp.'!$B162),-('Comp.'!$R$5:$R$313=F$1),('Comp.'!$E$5:$E$313))</f>
        <v>208318.5199999999</v>
      </c>
      <c r="G162" s="218">
        <f>SUMPRODUCT(-('Diário 5º PA'!$E$5:$E$2634='Analítico Cp.'!$B162),-('Diário 5º PA'!$Q$5:$Q$2634=G$1),('Diário 5º PA'!$F$5:$F$2634))
+SUMPRODUCT(-('Diário 6º PA'!$E$5:$E$2246='Analítico Cp.'!$B162),-('Diário 6º PA'!$Q$5:$Q$2246=G$1),('Diário 6º PA'!$F$5:$F$2246))
+SUMPRODUCT(-('Diário 7º PA'!$E$5:$E$2271='Analítico Cp.'!$B162),-('Diário 7º PA'!$Q$5:$Q$2271=G$1),('Diário 7º PA'!$F$5:$F$2271))
+SUMPRODUCT(-('Diário 8º PA'!$E$5:$E$2488='Analítico Cp.'!$B162),-('Diário 8º PA'!$Q$5:$Q$2488=G$1),('Diário 8º PA'!$F$5:$F$2488))
+SUMPRODUCT(-('Comp.'!$D$5:$D$313='Analítico Cp.'!$B162),-('Comp.'!$R$5:$R$313=G$1),('Comp.'!$E$5:$E$313))</f>
        <v>89821.36</v>
      </c>
      <c r="H162" s="218">
        <f>SUMPRODUCT(-('Diário 5º PA'!$E$5:$E$2634='Analítico Cp.'!$B162),-('Diário 5º PA'!$Q$5:$Q$2634=H$1),('Diário 5º PA'!$F$5:$F$2634))
+SUMPRODUCT(-('Diário 6º PA'!$E$5:$E$2246='Analítico Cp.'!$B162),-('Diário 6º PA'!$Q$5:$Q$2246=H$1),('Diário 6º PA'!$F$5:$F$2246))
+SUMPRODUCT(-('Diário 7º PA'!$E$5:$E$2271='Analítico Cp.'!$B162),-('Diário 7º PA'!$Q$5:$Q$2271=H$1),('Diário 7º PA'!$F$5:$F$2271))
+SUMPRODUCT(-('Diário 8º PA'!$E$5:$E$2488='Analítico Cp.'!$B162),-('Diário 8º PA'!$Q$5:$Q$2488=H$1),('Diário 8º PA'!$F$5:$F$2488))
+SUMPRODUCT(-('Comp.'!$D$5:$D$313='Analítico Cp.'!$B162),-('Comp.'!$R$5:$R$313=H$1),('Comp.'!$E$5:$E$313))</f>
        <v>48271.810000000012</v>
      </c>
      <c r="I162" s="218">
        <f>SUMPRODUCT(-('Diário 5º PA'!$E$5:$E$2634='Analítico Cp.'!$B162),-('Diário 5º PA'!$Q$5:$Q$2634=I$1),('Diário 5º PA'!$F$5:$F$2634))
+SUMPRODUCT(-('Diário 6º PA'!$E$5:$E$2246='Analítico Cp.'!$B162),-('Diário 6º PA'!$Q$5:$Q$2246=I$1),('Diário 6º PA'!$F$5:$F$2246))
+SUMPRODUCT(-('Diário 7º PA'!$E$5:$E$2271='Analítico Cp.'!$B162),-('Diário 7º PA'!$Q$5:$Q$2271=I$1),('Diário 7º PA'!$F$5:$F$2271))
+SUMPRODUCT(-('Diário 8º PA'!$E$5:$E$2488='Analítico Cp.'!$B162),-('Diário 8º PA'!$Q$5:$Q$2488=I$1),('Diário 8º PA'!$F$5:$F$2488))
+SUMPRODUCT(-('Comp.'!$D$5:$D$313='Analítico Cp.'!$B162),-('Comp.'!$R$5:$R$313=I$1),('Comp.'!$E$5:$E$313))</f>
        <v>238889.64999999991</v>
      </c>
      <c r="J162" s="218">
        <f>SUMPRODUCT(-('Diário 5º PA'!$E$5:$E$2634='Analítico Cp.'!$B162),-('Diário 5º PA'!$Q$5:$Q$2634=J$1),('Diário 5º PA'!$F$5:$F$2634))
+SUMPRODUCT(-('Diário 6º PA'!$E$5:$E$2246='Analítico Cp.'!$B162),-('Diário 6º PA'!$Q$5:$Q$2246=J$1),('Diário 6º PA'!$F$5:$F$2246))
+SUMPRODUCT(-('Diário 7º PA'!$E$5:$E$2271='Analítico Cp.'!$B162),-('Diário 7º PA'!$Q$5:$Q$2271=J$1),('Diário 7º PA'!$F$5:$F$2271))
+SUMPRODUCT(-('Diário 8º PA'!$E$5:$E$2488='Analítico Cp.'!$B162),-('Diário 8º PA'!$Q$5:$Q$2488=J$1),('Diário 8º PA'!$F$5:$F$2488))
+SUMPRODUCT(-('Comp.'!$D$5:$D$313='Analítico Cp.'!$B162),-('Comp.'!$R$5:$R$313=J$1),('Comp.'!$E$5:$E$313))</f>
        <v>452317.05000000005</v>
      </c>
      <c r="K162" s="218">
        <f>SUMPRODUCT(-('Diário 5º PA'!$E$5:$E$2634='Analítico Cp.'!$B162),-('Diário 5º PA'!$Q$5:$Q$2634=K$1),('Diário 5º PA'!$F$5:$F$2634))
+SUMPRODUCT(-('Diário 6º PA'!$E$5:$E$2246='Analítico Cp.'!$B162),-('Diário 6º PA'!$Q$5:$Q$2246=K$1),('Diário 6º PA'!$F$5:$F$2246))
+SUMPRODUCT(-('Diário 7º PA'!$E$5:$E$2271='Analítico Cp.'!$B162),-('Diário 7º PA'!$Q$5:$Q$2271=K$1),('Diário 7º PA'!$F$5:$F$2271))
+SUMPRODUCT(-('Diário 8º PA'!$E$5:$E$2488='Analítico Cp.'!$B162),-('Diário 8º PA'!$Q$5:$Q$2488=K$1),('Diário 8º PA'!$F$5:$F$2488))
+SUMPRODUCT(-('Comp.'!$D$5:$D$313='Analítico Cp.'!$B162),-('Comp.'!$R$5:$R$313=K$1),('Comp.'!$E$5:$E$313))</f>
        <v>1672804.7099999993</v>
      </c>
      <c r="L162" s="218">
        <f>SUMPRODUCT(-('Diário 5º PA'!$E$5:$E$2634='Analítico Cp.'!$B162),-('Diário 5º PA'!$Q$5:$Q$2634=L$1),('Diário 5º PA'!$F$5:$F$2634))
+SUMPRODUCT(-('Diário 6º PA'!$E$5:$E$2246='Analítico Cp.'!$B162),-('Diário 6º PA'!$Q$5:$Q$2246=L$1),('Diário 6º PA'!$F$5:$F$2246))
+SUMPRODUCT(-('Diário 7º PA'!$E$5:$E$2271='Analítico Cp.'!$B162),-('Diário 7º PA'!$Q$5:$Q$2271=L$1),('Diário 7º PA'!$F$5:$F$2271))
+SUMPRODUCT(-('Diário 8º PA'!$E$5:$E$2488='Analítico Cp.'!$B162),-('Diário 8º PA'!$Q$5:$Q$2488=L$1),('Diário 8º PA'!$F$5:$F$2488))
+SUMPRODUCT(-('Comp.'!$D$5:$D$313='Analítico Cp.'!$B162),-('Comp.'!$R$5:$R$313=L$1),('Comp.'!$E$5:$E$313))</f>
        <v>262946.81</v>
      </c>
      <c r="M162" s="218">
        <f>SUMPRODUCT(-('Diário 5º PA'!$E$5:$E$2634='Analítico Cp.'!$B162),-('Diário 5º PA'!$Q$5:$Q$2634=M$1),('Diário 5º PA'!$F$5:$F$2634))
+SUMPRODUCT(-('Diário 6º PA'!$E$5:$E$2246='Analítico Cp.'!$B162),-('Diário 6º PA'!$Q$5:$Q$2246=M$1),('Diário 6º PA'!$F$5:$F$2246))
+SUMPRODUCT(-('Diário 7º PA'!$E$5:$E$2271='Analítico Cp.'!$B162),-('Diário 7º PA'!$Q$5:$Q$2271=M$1),('Diário 7º PA'!$F$5:$F$2271))
+SUMPRODUCT(-('Diário 8º PA'!$E$5:$E$2488='Analítico Cp.'!$B162),-('Diário 8º PA'!$Q$5:$Q$2488=M$1),('Diário 8º PA'!$F$5:$F$2488))
+SUMPRODUCT(-('Comp.'!$D$5:$D$313='Analítico Cp.'!$B162),-('Comp.'!$R$5:$R$313=M$1),('Comp.'!$E$5:$E$313))</f>
        <v>138992.13999999998</v>
      </c>
      <c r="N162" s="218">
        <f>SUMPRODUCT(-('Diário 5º PA'!$E$5:$E$2634='Analítico Cp.'!$B162),-('Diário 5º PA'!$Q$5:$Q$2634=N$1),('Diário 5º PA'!$F$5:$F$2634))
+SUMPRODUCT(-('Diário 6º PA'!$E$5:$E$2246='Analítico Cp.'!$B162),-('Diário 6º PA'!$Q$5:$Q$2246=N$1),('Diário 6º PA'!$F$5:$F$2246))
+SUMPRODUCT(-('Diário 7º PA'!$E$5:$E$2271='Analítico Cp.'!$B162),-('Diário 7º PA'!$Q$5:$Q$2271=N$1),('Diário 7º PA'!$F$5:$F$2271))
+SUMPRODUCT(-('Diário 8º PA'!$E$5:$E$2488='Analítico Cp.'!$B162),-('Diário 8º PA'!$Q$5:$Q$2488=N$1),('Diário 8º PA'!$F$5:$F$2488))
+SUMPRODUCT(-('Comp.'!$D$5:$D$313='Analítico Cp.'!$B162),-('Comp.'!$R$5:$R$313=N$1),('Comp.'!$E$5:$E$313))</f>
        <v>229517.96</v>
      </c>
      <c r="O162" s="218">
        <f t="shared" si="22"/>
        <v>3858366.5799999991</v>
      </c>
      <c r="P162" s="219">
        <f t="shared" si="20"/>
        <v>0.39797568707317804</v>
      </c>
      <c r="Q162" s="34"/>
      <c r="R162" s="34"/>
      <c r="S162" s="34"/>
      <c r="T162" s="34"/>
      <c r="U162" s="34"/>
      <c r="V162" s="34"/>
      <c r="W162" s="34"/>
      <c r="X162" s="34"/>
      <c r="Y162" s="34"/>
      <c r="Z162" s="34"/>
    </row>
    <row r="163" spans="1:26" ht="23.25" customHeight="1" x14ac:dyDescent="0.2">
      <c r="A163" s="228" t="s">
        <v>414</v>
      </c>
      <c r="B163" s="221"/>
      <c r="C163" s="218">
        <f t="shared" ref="C163:O163" si="23">SUBTOTAL(109,C20:C162)</f>
        <v>371616.13326180051</v>
      </c>
      <c r="D163" s="218">
        <f t="shared" si="23"/>
        <v>558368.40194226382</v>
      </c>
      <c r="E163" s="218">
        <f t="shared" si="23"/>
        <v>523650.88870084588</v>
      </c>
      <c r="F163" s="218">
        <f t="shared" si="23"/>
        <v>613006.85743417905</v>
      </c>
      <c r="G163" s="218">
        <f t="shared" si="23"/>
        <v>525898.56265146437</v>
      </c>
      <c r="H163" s="218">
        <f t="shared" si="23"/>
        <v>612941.65048750001</v>
      </c>
      <c r="I163" s="218">
        <f t="shared" si="23"/>
        <v>759668.57590798009</v>
      </c>
      <c r="J163" s="218">
        <f t="shared" si="23"/>
        <v>1098759.508451716</v>
      </c>
      <c r="K163" s="218">
        <f t="shared" si="23"/>
        <v>2156810.4075697339</v>
      </c>
      <c r="L163" s="218">
        <f t="shared" si="23"/>
        <v>919519.33541686786</v>
      </c>
      <c r="M163" s="218">
        <f t="shared" si="23"/>
        <v>760589.68857000547</v>
      </c>
      <c r="N163" s="218">
        <f t="shared" si="23"/>
        <v>794150.6261753845</v>
      </c>
      <c r="O163" s="218">
        <f t="shared" si="23"/>
        <v>9694980.6365697403</v>
      </c>
      <c r="P163" s="219">
        <f t="shared" si="20"/>
        <v>1</v>
      </c>
      <c r="Q163" s="34"/>
      <c r="R163" s="34"/>
      <c r="S163" s="34"/>
      <c r="T163" s="34"/>
      <c r="U163" s="34"/>
      <c r="V163" s="34"/>
      <c r="W163" s="34"/>
      <c r="X163" s="34"/>
      <c r="Y163" s="34"/>
      <c r="Z163" s="34"/>
    </row>
    <row r="164" spans="1:26" ht="12.75" customHeight="1"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2.75" customHeight="1"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2.75" customHeight="1"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2.75" customHeight="1"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2.75" customHeight="1"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2.75" customHeight="1"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2.75" customHeight="1"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2.75" customHeight="1"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2.75" customHeight="1"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2.75" customHeight="1"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2.75" customHeight="1"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2.75" customHeight="1"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2.75" customHeight="1"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2.75" customHeight="1"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2.75" customHeight="1"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2.75" customHeight="1"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2.75" customHeight="1"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2.75" customHeight="1"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2.75" customHeight="1"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2.75" customHeight="1"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2.75" customHeight="1"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2.75" customHeight="1"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2.75" customHeight="1"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2.75" customHeight="1"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2.75" customHeight="1"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2.75" customHeight="1"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2.75" customHeight="1"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2.75" customHeight="1"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2.75" customHeight="1"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2.75" customHeight="1"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2.75" customHeight="1"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2.75" customHeight="1"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2.75" customHeight="1"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2.75" customHeight="1"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2.75" customHeight="1"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2.75" customHeight="1"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2.75" customHeight="1"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2.75" customHeight="1"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2.75" customHeight="1"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2.75" customHeight="1"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2.75" customHeight="1"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2.75" customHeight="1"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2.75" customHeight="1"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2.75" customHeight="1"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2.75" customHeight="1"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2.75" customHeight="1"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2.75" customHeight="1"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2.75" customHeight="1"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2.75" customHeight="1"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2.75" customHeight="1"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2.75" customHeight="1"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2.75" customHeight="1"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2.75" customHeight="1"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2.75" customHeight="1"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2.75" customHeight="1"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2.75" customHeight="1"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2.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2.75" customHeight="1"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2.75" customHeight="1"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customHeight="1" x14ac:dyDescent="0.2"/>
    <row r="365" spans="1:26" ht="15.75" customHeight="1" x14ac:dyDescent="0.2"/>
    <row r="366" spans="1:26" ht="15.75" customHeight="1" x14ac:dyDescent="0.2"/>
    <row r="367" spans="1:26" ht="15.75" customHeight="1" x14ac:dyDescent="0.2"/>
    <row r="368" spans="1:26"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2:P2"/>
    <mergeCell ref="A3:P3"/>
    <mergeCell ref="A4:P4"/>
    <mergeCell ref="O5:O8"/>
    <mergeCell ref="P5:P8"/>
  </mergeCells>
  <pageMargins left="0.19685039370078741" right="0.19685039370078741" top="0.59055118110236227" bottom="0.59055118110236227" header="0" footer="0"/>
  <pageSetup paperSize="9" scale="71" fitToHeight="0" pageOrder="overThenDown"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4"/>
  <sheetViews>
    <sheetView showGridLines="0" workbookViewId="0">
      <pane ySplit="5" topLeftCell="A55" activePane="bottomLeft" state="frozen"/>
      <selection pane="bottomLeft" activeCell="F68" sqref="F68"/>
    </sheetView>
  </sheetViews>
  <sheetFormatPr defaultColWidth="14.42578125" defaultRowHeight="15" customHeight="1" x14ac:dyDescent="0.2"/>
  <cols>
    <col min="1" max="1" width="4" customWidth="1"/>
    <col min="2" max="2" width="29.85546875" customWidth="1"/>
    <col min="3" max="3" width="36.7109375" customWidth="1"/>
    <col min="4" max="4" width="13.7109375" customWidth="1"/>
    <col min="5" max="5" width="11" customWidth="1"/>
    <col min="6" max="6" width="15.5703125" customWidth="1"/>
    <col min="7" max="7" width="13.7109375" customWidth="1"/>
    <col min="8" max="8" width="10.5703125" customWidth="1"/>
    <col min="9" max="9" width="19.7109375" customWidth="1"/>
    <col min="10" max="11" width="11.28515625" customWidth="1"/>
    <col min="12" max="13" width="9.140625" customWidth="1"/>
    <col min="14" max="15" width="9.140625" hidden="1" customWidth="1"/>
    <col min="16" max="26" width="9.140625" customWidth="1"/>
  </cols>
  <sheetData>
    <row r="1" spans="1:26" ht="18" customHeight="1" x14ac:dyDescent="0.2">
      <c r="A1" s="734" t="s">
        <v>5107</v>
      </c>
      <c r="B1" s="695"/>
      <c r="C1" s="695"/>
      <c r="D1" s="695"/>
      <c r="E1" s="695"/>
      <c r="F1" s="695"/>
      <c r="G1" s="695"/>
      <c r="H1" s="695"/>
      <c r="I1" s="695"/>
      <c r="J1" s="695"/>
      <c r="K1" s="696"/>
    </row>
    <row r="2" spans="1:26" ht="15" customHeight="1" x14ac:dyDescent="0.25">
      <c r="A2" s="735" t="str">
        <f>Capa!A1</f>
        <v>Contrato de Gestão nº. 05/20 celebrado entre a Fundação Clóvis Salgado e a Associação Pró-Cultura e Promoção das Artes</v>
      </c>
      <c r="B2" s="695"/>
      <c r="C2" s="695"/>
      <c r="D2" s="695"/>
      <c r="E2" s="695"/>
      <c r="F2" s="695"/>
      <c r="G2" s="695"/>
      <c r="H2" s="695"/>
      <c r="I2" s="695"/>
      <c r="J2" s="695"/>
      <c r="K2" s="696"/>
      <c r="L2" s="413"/>
      <c r="M2" s="413"/>
      <c r="N2" s="413"/>
      <c r="O2" s="413"/>
      <c r="P2" s="413"/>
      <c r="Q2" s="414"/>
      <c r="R2" s="414"/>
      <c r="S2" s="414"/>
      <c r="T2" s="414"/>
      <c r="U2" s="414"/>
      <c r="V2" s="414"/>
      <c r="W2" s="414"/>
      <c r="X2" s="414"/>
      <c r="Y2" s="414"/>
      <c r="Z2" s="414"/>
    </row>
    <row r="3" spans="1:26" ht="15" customHeight="1" x14ac:dyDescent="0.25">
      <c r="A3" s="735" t="str">
        <f>Capa!A3</f>
        <v>8º Relatório Gerencial Financeiro</v>
      </c>
      <c r="B3" s="695"/>
      <c r="C3" s="695"/>
      <c r="D3" s="695"/>
      <c r="E3" s="695"/>
      <c r="F3" s="695"/>
      <c r="G3" s="695"/>
      <c r="H3" s="695"/>
      <c r="I3" s="695"/>
      <c r="J3" s="695"/>
      <c r="K3" s="696"/>
      <c r="L3" s="413"/>
      <c r="M3" s="413"/>
      <c r="N3" s="413"/>
      <c r="O3" s="413"/>
      <c r="P3" s="413"/>
      <c r="Q3" s="414"/>
      <c r="R3" s="414"/>
      <c r="S3" s="414"/>
      <c r="T3" s="414"/>
      <c r="U3" s="414"/>
      <c r="V3" s="414"/>
      <c r="W3" s="414"/>
      <c r="X3" s="414"/>
      <c r="Y3" s="414"/>
      <c r="Z3" s="414"/>
    </row>
    <row r="4" spans="1:26" ht="25.5" customHeight="1" x14ac:dyDescent="0.25">
      <c r="A4" s="736" t="s">
        <v>5108</v>
      </c>
      <c r="B4" s="695"/>
      <c r="C4" s="695"/>
      <c r="D4" s="695"/>
      <c r="E4" s="695"/>
      <c r="F4" s="695"/>
      <c r="G4" s="695"/>
      <c r="H4" s="695"/>
      <c r="I4" s="695"/>
      <c r="J4" s="695"/>
      <c r="K4" s="696"/>
      <c r="L4" s="414"/>
      <c r="M4" s="414"/>
      <c r="N4" s="415" t="s">
        <v>5109</v>
      </c>
      <c r="O4" s="415" t="s">
        <v>5110</v>
      </c>
      <c r="P4" s="414"/>
      <c r="Q4" s="414"/>
      <c r="R4" s="414"/>
      <c r="S4" s="414"/>
      <c r="T4" s="414"/>
      <c r="U4" s="414"/>
      <c r="V4" s="414"/>
      <c r="W4" s="414"/>
      <c r="X4" s="414"/>
      <c r="Y4" s="414"/>
      <c r="Z4" s="414"/>
    </row>
    <row r="5" spans="1:26" ht="46.5" customHeight="1" x14ac:dyDescent="0.25">
      <c r="A5" s="416" t="s">
        <v>110</v>
      </c>
      <c r="B5" s="417" t="s">
        <v>5111</v>
      </c>
      <c r="C5" s="418" t="s">
        <v>5112</v>
      </c>
      <c r="D5" s="419" t="s">
        <v>5113</v>
      </c>
      <c r="E5" s="416" t="s">
        <v>5114</v>
      </c>
      <c r="F5" s="416" t="s">
        <v>5115</v>
      </c>
      <c r="G5" s="416" t="s">
        <v>5116</v>
      </c>
      <c r="H5" s="416" t="s">
        <v>5117</v>
      </c>
      <c r="I5" s="420" t="s">
        <v>5118</v>
      </c>
      <c r="J5" s="420" t="s">
        <v>5119</v>
      </c>
      <c r="K5" s="420" t="s">
        <v>5120</v>
      </c>
      <c r="L5" s="414"/>
      <c r="M5" s="414"/>
      <c r="N5" s="414"/>
      <c r="O5" s="414"/>
      <c r="P5" s="414"/>
      <c r="Q5" s="414"/>
      <c r="R5" s="414"/>
      <c r="S5" s="414"/>
      <c r="T5" s="414"/>
      <c r="U5" s="414"/>
      <c r="V5" s="414"/>
      <c r="W5" s="414"/>
      <c r="X5" s="414"/>
      <c r="Y5" s="414"/>
      <c r="Z5" s="414"/>
    </row>
    <row r="6" spans="1:26" ht="39.75" customHeight="1" x14ac:dyDescent="0.25">
      <c r="A6" s="465">
        <v>1</v>
      </c>
      <c r="B6" s="363" t="s">
        <v>5121</v>
      </c>
      <c r="C6" s="363" t="s">
        <v>1229</v>
      </c>
      <c r="D6" s="363" t="s">
        <v>1230</v>
      </c>
      <c r="E6" s="250" t="s">
        <v>5109</v>
      </c>
      <c r="F6" s="421">
        <v>17074.14</v>
      </c>
      <c r="G6" s="421">
        <v>17074.14</v>
      </c>
      <c r="H6" s="422" t="s">
        <v>5122</v>
      </c>
      <c r="I6" s="250" t="s">
        <v>5123</v>
      </c>
      <c r="J6" s="423">
        <v>43252</v>
      </c>
      <c r="K6" s="423"/>
      <c r="L6" s="414"/>
      <c r="M6" s="414"/>
      <c r="N6" s="414"/>
      <c r="O6" s="414"/>
      <c r="P6" s="414"/>
      <c r="Q6" s="414"/>
      <c r="R6" s="414"/>
      <c r="S6" s="414"/>
      <c r="T6" s="414"/>
      <c r="U6" s="414"/>
      <c r="V6" s="414"/>
      <c r="W6" s="414"/>
      <c r="X6" s="414"/>
      <c r="Y6" s="414"/>
      <c r="Z6" s="414"/>
    </row>
    <row r="7" spans="1:26" ht="39.75" customHeight="1" x14ac:dyDescent="0.25">
      <c r="A7" s="466">
        <v>2</v>
      </c>
      <c r="B7" s="250" t="s">
        <v>5124</v>
      </c>
      <c r="C7" s="250" t="s">
        <v>1197</v>
      </c>
      <c r="D7" s="250" t="s">
        <v>1198</v>
      </c>
      <c r="E7" s="250" t="s">
        <v>5109</v>
      </c>
      <c r="F7" s="425">
        <v>14273.74</v>
      </c>
      <c r="G7" s="425">
        <v>14273.74</v>
      </c>
      <c r="H7" s="422" t="s">
        <v>5122</v>
      </c>
      <c r="I7" s="250" t="s">
        <v>5123</v>
      </c>
      <c r="J7" s="423">
        <v>42564</v>
      </c>
      <c r="K7" s="426"/>
      <c r="L7" s="414"/>
      <c r="M7" s="414"/>
      <c r="N7" s="414"/>
      <c r="O7" s="414"/>
      <c r="P7" s="414"/>
      <c r="Q7" s="414"/>
      <c r="R7" s="414"/>
      <c r="S7" s="414"/>
      <c r="T7" s="414"/>
      <c r="U7" s="414"/>
      <c r="V7" s="414"/>
      <c r="W7" s="414"/>
      <c r="X7" s="414"/>
      <c r="Y7" s="414"/>
      <c r="Z7" s="414"/>
    </row>
    <row r="8" spans="1:26" ht="39.75" customHeight="1" x14ac:dyDescent="0.25">
      <c r="A8" s="466">
        <v>3</v>
      </c>
      <c r="B8" s="250" t="s">
        <v>5125</v>
      </c>
      <c r="C8" s="250" t="s">
        <v>1181</v>
      </c>
      <c r="D8" s="250" t="s">
        <v>1182</v>
      </c>
      <c r="E8" s="250" t="s">
        <v>5109</v>
      </c>
      <c r="F8" s="425">
        <v>14406.53</v>
      </c>
      <c r="G8" s="425">
        <v>14406.53</v>
      </c>
      <c r="H8" s="422" t="s">
        <v>5122</v>
      </c>
      <c r="I8" s="250" t="s">
        <v>5123</v>
      </c>
      <c r="J8" s="423">
        <v>36923</v>
      </c>
      <c r="K8" s="426"/>
      <c r="L8" s="414"/>
      <c r="M8" s="414"/>
      <c r="N8" s="414"/>
      <c r="O8" s="414"/>
      <c r="P8" s="414"/>
      <c r="Q8" s="414"/>
      <c r="R8" s="414"/>
      <c r="S8" s="414"/>
      <c r="T8" s="414"/>
      <c r="U8" s="414"/>
      <c r="V8" s="414"/>
      <c r="W8" s="414"/>
      <c r="X8" s="414"/>
      <c r="Y8" s="414"/>
      <c r="Z8" s="414"/>
    </row>
    <row r="9" spans="1:26" ht="39.75" customHeight="1" x14ac:dyDescent="0.25">
      <c r="A9" s="466">
        <v>4</v>
      </c>
      <c r="B9" s="250" t="s">
        <v>5126</v>
      </c>
      <c r="C9" s="250" t="s">
        <v>1232</v>
      </c>
      <c r="D9" s="250" t="s">
        <v>1233</v>
      </c>
      <c r="E9" s="250" t="s">
        <v>5109</v>
      </c>
      <c r="F9" s="425">
        <v>3325.92</v>
      </c>
      <c r="G9" s="425">
        <v>3325.92</v>
      </c>
      <c r="H9" s="422" t="s">
        <v>5122</v>
      </c>
      <c r="I9" s="250" t="s">
        <v>5123</v>
      </c>
      <c r="J9" s="423">
        <v>36923</v>
      </c>
      <c r="K9" s="426"/>
      <c r="L9" s="414"/>
      <c r="M9" s="414"/>
      <c r="N9" s="414"/>
      <c r="O9" s="414"/>
      <c r="P9" s="414"/>
      <c r="Q9" s="414"/>
      <c r="R9" s="414"/>
      <c r="S9" s="414"/>
      <c r="T9" s="414"/>
      <c r="U9" s="414"/>
      <c r="V9" s="414"/>
      <c r="W9" s="414"/>
      <c r="X9" s="414"/>
      <c r="Y9" s="414"/>
      <c r="Z9" s="414"/>
    </row>
    <row r="10" spans="1:26" ht="39.75" customHeight="1" x14ac:dyDescent="0.25">
      <c r="A10" s="466">
        <v>5</v>
      </c>
      <c r="B10" s="250" t="s">
        <v>5127</v>
      </c>
      <c r="C10" s="250" t="s">
        <v>1191</v>
      </c>
      <c r="D10" s="250" t="s">
        <v>1192</v>
      </c>
      <c r="E10" s="250" t="s">
        <v>5109</v>
      </c>
      <c r="F10" s="425">
        <v>4365.92</v>
      </c>
      <c r="G10" s="425">
        <v>4365.92</v>
      </c>
      <c r="H10" s="422" t="s">
        <v>5122</v>
      </c>
      <c r="I10" s="250" t="s">
        <v>5123</v>
      </c>
      <c r="J10" s="423">
        <v>43133</v>
      </c>
      <c r="K10" s="426">
        <v>44508</v>
      </c>
      <c r="L10" s="414"/>
      <c r="M10" s="414"/>
      <c r="N10" s="414"/>
      <c r="O10" s="414"/>
      <c r="P10" s="414"/>
      <c r="Q10" s="414"/>
      <c r="R10" s="414"/>
      <c r="S10" s="414"/>
      <c r="T10" s="414"/>
      <c r="U10" s="414"/>
      <c r="V10" s="414"/>
      <c r="W10" s="414"/>
      <c r="X10" s="414"/>
      <c r="Y10" s="414"/>
      <c r="Z10" s="414"/>
    </row>
    <row r="11" spans="1:26" ht="39.75" customHeight="1" x14ac:dyDescent="0.25">
      <c r="A11" s="466">
        <v>6</v>
      </c>
      <c r="B11" s="250" t="s">
        <v>5128</v>
      </c>
      <c r="C11" s="250" t="s">
        <v>1185</v>
      </c>
      <c r="D11" s="250" t="s">
        <v>1186</v>
      </c>
      <c r="E11" s="250" t="s">
        <v>5109</v>
      </c>
      <c r="F11" s="425">
        <v>3536</v>
      </c>
      <c r="G11" s="425">
        <v>3536</v>
      </c>
      <c r="H11" s="422" t="s">
        <v>5122</v>
      </c>
      <c r="I11" s="250" t="s">
        <v>5123</v>
      </c>
      <c r="J11" s="423">
        <v>42564</v>
      </c>
      <c r="K11" s="426"/>
      <c r="L11" s="414"/>
      <c r="M11" s="414"/>
      <c r="N11" s="414"/>
      <c r="O11" s="414"/>
      <c r="P11" s="414"/>
      <c r="Q11" s="414"/>
      <c r="R11" s="414"/>
      <c r="S11" s="414"/>
      <c r="T11" s="414"/>
      <c r="U11" s="414"/>
      <c r="V11" s="414"/>
      <c r="W11" s="414"/>
      <c r="X11" s="414"/>
      <c r="Y11" s="414"/>
      <c r="Z11" s="414"/>
    </row>
    <row r="12" spans="1:26" ht="39.75" customHeight="1" x14ac:dyDescent="0.25">
      <c r="A12" s="466">
        <v>7</v>
      </c>
      <c r="B12" s="250" t="s">
        <v>5129</v>
      </c>
      <c r="C12" s="250" t="s">
        <v>1203</v>
      </c>
      <c r="D12" s="250" t="s">
        <v>1204</v>
      </c>
      <c r="E12" s="250" t="s">
        <v>5109</v>
      </c>
      <c r="F12" s="425">
        <v>1177</v>
      </c>
      <c r="G12" s="425">
        <v>1177</v>
      </c>
      <c r="H12" s="422" t="s">
        <v>5122</v>
      </c>
      <c r="I12" s="250" t="s">
        <v>5123</v>
      </c>
      <c r="J12" s="423">
        <v>43133</v>
      </c>
      <c r="K12" s="426"/>
      <c r="L12" s="414"/>
      <c r="M12" s="414"/>
      <c r="N12" s="414"/>
      <c r="O12" s="414"/>
      <c r="P12" s="414"/>
      <c r="Q12" s="414"/>
      <c r="R12" s="414"/>
      <c r="S12" s="414"/>
      <c r="T12" s="414"/>
      <c r="U12" s="414"/>
      <c r="V12" s="414"/>
      <c r="W12" s="414"/>
      <c r="X12" s="414"/>
      <c r="Y12" s="414"/>
      <c r="Z12" s="414"/>
    </row>
    <row r="13" spans="1:26" ht="39.75" customHeight="1" x14ac:dyDescent="0.25">
      <c r="A13" s="466">
        <v>8</v>
      </c>
      <c r="B13" s="250" t="s">
        <v>5130</v>
      </c>
      <c r="C13" s="250" t="s">
        <v>2756</v>
      </c>
      <c r="D13" s="250" t="s">
        <v>2757</v>
      </c>
      <c r="E13" s="250" t="s">
        <v>5109</v>
      </c>
      <c r="F13" s="425">
        <v>5511.72</v>
      </c>
      <c r="G13" s="425">
        <v>5511.72</v>
      </c>
      <c r="H13" s="422" t="s">
        <v>5122</v>
      </c>
      <c r="I13" s="250" t="s">
        <v>5123</v>
      </c>
      <c r="J13" s="423">
        <v>43879</v>
      </c>
      <c r="K13" s="426">
        <v>44353</v>
      </c>
      <c r="L13" s="414"/>
      <c r="M13" s="414"/>
      <c r="N13" s="414"/>
      <c r="O13" s="414"/>
      <c r="P13" s="414"/>
      <c r="Q13" s="414"/>
      <c r="R13" s="414"/>
      <c r="S13" s="414"/>
      <c r="T13" s="414"/>
      <c r="U13" s="414"/>
      <c r="V13" s="414"/>
      <c r="W13" s="414"/>
      <c r="X13" s="414"/>
      <c r="Y13" s="414"/>
      <c r="Z13" s="414"/>
    </row>
    <row r="14" spans="1:26" ht="39.75" customHeight="1" x14ac:dyDescent="0.25">
      <c r="A14" s="466">
        <v>9</v>
      </c>
      <c r="B14" s="250" t="s">
        <v>5131</v>
      </c>
      <c r="C14" s="250" t="s">
        <v>1200</v>
      </c>
      <c r="D14" s="250" t="s">
        <v>1201</v>
      </c>
      <c r="E14" s="250" t="s">
        <v>5109</v>
      </c>
      <c r="F14" s="425">
        <v>3224</v>
      </c>
      <c r="G14" s="425">
        <v>3224</v>
      </c>
      <c r="H14" s="422" t="s">
        <v>5122</v>
      </c>
      <c r="I14" s="250" t="s">
        <v>5123</v>
      </c>
      <c r="J14" s="423">
        <v>42564</v>
      </c>
      <c r="K14" s="426"/>
      <c r="L14" s="414"/>
      <c r="M14" s="414"/>
      <c r="N14" s="414"/>
      <c r="O14" s="414"/>
      <c r="P14" s="414"/>
      <c r="Q14" s="414"/>
      <c r="R14" s="414"/>
      <c r="S14" s="414"/>
      <c r="T14" s="414"/>
      <c r="U14" s="414"/>
      <c r="V14" s="414"/>
      <c r="W14" s="414"/>
      <c r="X14" s="414"/>
      <c r="Y14" s="414"/>
      <c r="Z14" s="414"/>
    </row>
    <row r="15" spans="1:26" ht="39.75" customHeight="1" x14ac:dyDescent="0.25">
      <c r="A15" s="466">
        <v>10</v>
      </c>
      <c r="B15" s="250" t="s">
        <v>5132</v>
      </c>
      <c r="C15" s="250" t="s">
        <v>1226</v>
      </c>
      <c r="D15" s="250" t="s">
        <v>1227</v>
      </c>
      <c r="E15" s="250" t="s">
        <v>5109</v>
      </c>
      <c r="F15" s="425">
        <v>1712.85</v>
      </c>
      <c r="G15" s="425">
        <v>1712.85</v>
      </c>
      <c r="H15" s="422" t="s">
        <v>5122</v>
      </c>
      <c r="I15" s="250" t="s">
        <v>5133</v>
      </c>
      <c r="J15" s="423">
        <v>42618</v>
      </c>
      <c r="K15" s="426"/>
      <c r="L15" s="414"/>
      <c r="M15" s="414"/>
      <c r="N15" s="414"/>
      <c r="O15" s="414"/>
      <c r="P15" s="414"/>
      <c r="Q15" s="414"/>
      <c r="R15" s="414"/>
      <c r="S15" s="414"/>
      <c r="T15" s="414"/>
      <c r="U15" s="414"/>
      <c r="V15" s="414"/>
      <c r="W15" s="414"/>
      <c r="X15" s="414"/>
      <c r="Y15" s="414"/>
      <c r="Z15" s="414"/>
    </row>
    <row r="16" spans="1:26" ht="39.75" customHeight="1" x14ac:dyDescent="0.25">
      <c r="A16" s="466">
        <v>11</v>
      </c>
      <c r="B16" s="250" t="s">
        <v>5132</v>
      </c>
      <c r="C16" s="250" t="s">
        <v>1188</v>
      </c>
      <c r="D16" s="250" t="s">
        <v>1189</v>
      </c>
      <c r="E16" s="250" t="s">
        <v>5109</v>
      </c>
      <c r="F16" s="425">
        <v>1712.85</v>
      </c>
      <c r="G16" s="425">
        <v>1712.85</v>
      </c>
      <c r="H16" s="422" t="s">
        <v>5122</v>
      </c>
      <c r="I16" s="250" t="s">
        <v>5133</v>
      </c>
      <c r="J16" s="423">
        <v>42618</v>
      </c>
      <c r="K16" s="426"/>
      <c r="L16" s="414"/>
      <c r="M16" s="414"/>
      <c r="N16" s="414"/>
      <c r="O16" s="414"/>
      <c r="P16" s="414"/>
      <c r="Q16" s="414"/>
      <c r="R16" s="414"/>
      <c r="S16" s="414"/>
      <c r="T16" s="414"/>
      <c r="U16" s="414"/>
      <c r="V16" s="414"/>
      <c r="W16" s="414"/>
      <c r="X16" s="414"/>
      <c r="Y16" s="414"/>
      <c r="Z16" s="414"/>
    </row>
    <row r="17" spans="1:26" ht="39.75" customHeight="1" x14ac:dyDescent="0.25">
      <c r="A17" s="466">
        <v>12</v>
      </c>
      <c r="B17" s="250" t="s">
        <v>5134</v>
      </c>
      <c r="C17" s="250" t="s">
        <v>2760</v>
      </c>
      <c r="D17" s="250" t="s">
        <v>2761</v>
      </c>
      <c r="E17" s="250" t="s">
        <v>5109</v>
      </c>
      <c r="F17" s="425">
        <v>5511.72</v>
      </c>
      <c r="G17" s="425">
        <v>5511.72</v>
      </c>
      <c r="H17" s="422" t="s">
        <v>5122</v>
      </c>
      <c r="I17" s="250" t="s">
        <v>5123</v>
      </c>
      <c r="J17" s="426">
        <v>43879</v>
      </c>
      <c r="K17" s="426">
        <v>44251</v>
      </c>
      <c r="L17" s="414"/>
      <c r="M17" s="414"/>
      <c r="N17" s="414"/>
      <c r="O17" s="414"/>
      <c r="P17" s="414"/>
      <c r="Q17" s="414"/>
      <c r="R17" s="414"/>
      <c r="S17" s="414"/>
      <c r="T17" s="414"/>
      <c r="U17" s="414"/>
      <c r="V17" s="414"/>
      <c r="W17" s="414"/>
      <c r="X17" s="414"/>
      <c r="Y17" s="414"/>
      <c r="Z17" s="414"/>
    </row>
    <row r="18" spans="1:26" ht="39.75" customHeight="1" x14ac:dyDescent="0.25">
      <c r="A18" s="466">
        <v>13</v>
      </c>
      <c r="B18" s="250" t="s">
        <v>5135</v>
      </c>
      <c r="C18" s="250" t="s">
        <v>1224</v>
      </c>
      <c r="D18" s="250" t="s">
        <v>1225</v>
      </c>
      <c r="E18" s="250" t="s">
        <v>5109</v>
      </c>
      <c r="F18" s="425">
        <v>5732.19</v>
      </c>
      <c r="G18" s="425">
        <v>5732.19</v>
      </c>
      <c r="H18" s="422" t="s">
        <v>5122</v>
      </c>
      <c r="I18" s="250" t="s">
        <v>5123</v>
      </c>
      <c r="J18" s="426">
        <v>44062</v>
      </c>
      <c r="K18" s="426"/>
      <c r="L18" s="414"/>
      <c r="M18" s="414"/>
      <c r="N18" s="414"/>
      <c r="O18" s="414"/>
      <c r="P18" s="414"/>
      <c r="Q18" s="414"/>
      <c r="R18" s="414"/>
      <c r="S18" s="414"/>
      <c r="T18" s="414"/>
      <c r="U18" s="414"/>
      <c r="V18" s="414"/>
      <c r="W18" s="414"/>
      <c r="X18" s="414"/>
      <c r="Y18" s="414"/>
      <c r="Z18" s="414"/>
    </row>
    <row r="19" spans="1:26" ht="39.75" customHeight="1" x14ac:dyDescent="0.25">
      <c r="A19" s="466">
        <v>14</v>
      </c>
      <c r="B19" s="250" t="s">
        <v>5136</v>
      </c>
      <c r="C19" s="250" t="s">
        <v>1206</v>
      </c>
      <c r="D19" s="250" t="s">
        <v>1207</v>
      </c>
      <c r="E19" s="250" t="s">
        <v>5109</v>
      </c>
      <c r="F19" s="425">
        <v>1712.85</v>
      </c>
      <c r="G19" s="425">
        <v>1712.85</v>
      </c>
      <c r="H19" s="422" t="s">
        <v>5122</v>
      </c>
      <c r="I19" s="250" t="s">
        <v>5133</v>
      </c>
      <c r="J19" s="426">
        <v>44139</v>
      </c>
      <c r="K19" s="426"/>
      <c r="L19" s="414"/>
      <c r="M19" s="414"/>
      <c r="N19" s="414"/>
      <c r="O19" s="414"/>
      <c r="P19" s="414"/>
      <c r="Q19" s="414"/>
      <c r="R19" s="414"/>
      <c r="S19" s="414"/>
      <c r="T19" s="414"/>
      <c r="U19" s="414"/>
      <c r="V19" s="414"/>
      <c r="W19" s="414"/>
      <c r="X19" s="414"/>
      <c r="Y19" s="414"/>
      <c r="Z19" s="414"/>
    </row>
    <row r="20" spans="1:26" ht="39.75" customHeight="1" x14ac:dyDescent="0.25">
      <c r="A20" s="466">
        <v>15</v>
      </c>
      <c r="B20" s="250" t="s">
        <v>5137</v>
      </c>
      <c r="C20" s="250" t="s">
        <v>1194</v>
      </c>
      <c r="D20" s="250" t="s">
        <v>1195</v>
      </c>
      <c r="E20" s="250" t="s">
        <v>5109</v>
      </c>
      <c r="F20" s="425">
        <v>5511.72</v>
      </c>
      <c r="G20" s="425">
        <v>5511.72</v>
      </c>
      <c r="H20" s="422" t="s">
        <v>5122</v>
      </c>
      <c r="I20" s="250" t="s">
        <v>5123</v>
      </c>
      <c r="J20" s="426">
        <v>44095</v>
      </c>
      <c r="K20" s="426"/>
      <c r="L20" s="414"/>
      <c r="M20" s="414"/>
      <c r="N20" s="414"/>
      <c r="O20" s="414"/>
      <c r="P20" s="414"/>
      <c r="Q20" s="414"/>
      <c r="R20" s="414"/>
      <c r="S20" s="414"/>
      <c r="T20" s="414"/>
      <c r="U20" s="414"/>
      <c r="V20" s="414"/>
      <c r="W20" s="414"/>
      <c r="X20" s="414"/>
      <c r="Y20" s="414"/>
      <c r="Z20" s="414"/>
    </row>
    <row r="21" spans="1:26" ht="39.75" customHeight="1" x14ac:dyDescent="0.25">
      <c r="A21" s="466">
        <v>16</v>
      </c>
      <c r="B21" s="250" t="s">
        <v>5138</v>
      </c>
      <c r="C21" s="250" t="s">
        <v>1221</v>
      </c>
      <c r="D21" s="250" t="s">
        <v>1222</v>
      </c>
      <c r="E21" s="250" t="s">
        <v>5109</v>
      </c>
      <c r="F21" s="425">
        <v>5732.19</v>
      </c>
      <c r="G21" s="425">
        <v>5732.19</v>
      </c>
      <c r="H21" s="422" t="s">
        <v>5122</v>
      </c>
      <c r="I21" s="250" t="s">
        <v>5123</v>
      </c>
      <c r="J21" s="423">
        <v>43024</v>
      </c>
      <c r="K21" s="426"/>
      <c r="L21" s="414"/>
      <c r="M21" s="414"/>
      <c r="N21" s="414"/>
      <c r="O21" s="414"/>
      <c r="P21" s="414"/>
      <c r="Q21" s="414"/>
      <c r="R21" s="414"/>
      <c r="S21" s="414"/>
      <c r="T21" s="414"/>
      <c r="U21" s="414"/>
      <c r="V21" s="414"/>
      <c r="W21" s="414"/>
      <c r="X21" s="414"/>
      <c r="Y21" s="414"/>
      <c r="Z21" s="414"/>
    </row>
    <row r="22" spans="1:26" ht="44.25" customHeight="1" x14ac:dyDescent="0.25">
      <c r="A22" s="466">
        <v>17</v>
      </c>
      <c r="B22" s="250" t="s">
        <v>5134</v>
      </c>
      <c r="C22" s="250" t="s">
        <v>1235</v>
      </c>
      <c r="D22" s="250" t="s">
        <v>5139</v>
      </c>
      <c r="E22" s="250" t="s">
        <v>5109</v>
      </c>
      <c r="F22" s="425">
        <v>5732.19</v>
      </c>
      <c r="G22" s="425">
        <v>5732.19</v>
      </c>
      <c r="H22" s="422" t="s">
        <v>5122</v>
      </c>
      <c r="I22" s="250" t="s">
        <v>5123</v>
      </c>
      <c r="J22" s="426">
        <v>44245</v>
      </c>
      <c r="K22" s="426"/>
      <c r="L22" s="414"/>
      <c r="M22" s="414"/>
      <c r="N22" s="414"/>
      <c r="O22" s="414"/>
      <c r="P22" s="414"/>
      <c r="Q22" s="414"/>
      <c r="R22" s="414"/>
      <c r="S22" s="414"/>
      <c r="T22" s="414"/>
      <c r="U22" s="414"/>
      <c r="V22" s="414"/>
      <c r="W22" s="414"/>
      <c r="X22" s="414"/>
      <c r="Y22" s="414"/>
      <c r="Z22" s="414"/>
    </row>
    <row r="23" spans="1:26" ht="31.5" customHeight="1" x14ac:dyDescent="0.25">
      <c r="A23" s="466">
        <v>18</v>
      </c>
      <c r="B23" s="250" t="s">
        <v>5135</v>
      </c>
      <c r="C23" s="250" t="s">
        <v>1208</v>
      </c>
      <c r="D23" s="250" t="s">
        <v>1209</v>
      </c>
      <c r="E23" s="250" t="s">
        <v>5109</v>
      </c>
      <c r="F23" s="425">
        <v>3100</v>
      </c>
      <c r="G23" s="425">
        <v>3100</v>
      </c>
      <c r="H23" s="422" t="s">
        <v>5122</v>
      </c>
      <c r="I23" s="250" t="s">
        <v>5123</v>
      </c>
      <c r="J23" s="426">
        <v>44354</v>
      </c>
      <c r="K23" s="426"/>
      <c r="L23" s="414"/>
      <c r="M23" s="414"/>
      <c r="N23" s="414"/>
      <c r="O23" s="414"/>
      <c r="P23" s="414"/>
      <c r="Q23" s="414"/>
      <c r="R23" s="414"/>
      <c r="S23" s="414"/>
      <c r="T23" s="414"/>
      <c r="U23" s="414"/>
      <c r="V23" s="414"/>
      <c r="W23" s="414"/>
      <c r="X23" s="414"/>
      <c r="Y23" s="414"/>
      <c r="Z23" s="414"/>
    </row>
    <row r="24" spans="1:26" ht="15.75" customHeight="1" x14ac:dyDescent="0.25">
      <c r="A24" s="466">
        <v>19</v>
      </c>
      <c r="B24" s="250" t="s">
        <v>5140</v>
      </c>
      <c r="C24" s="250" t="s">
        <v>1810</v>
      </c>
      <c r="D24" s="250" t="s">
        <v>1811</v>
      </c>
      <c r="E24" s="250" t="s">
        <v>5109</v>
      </c>
      <c r="F24" s="425">
        <v>2300</v>
      </c>
      <c r="G24" s="425">
        <v>2300</v>
      </c>
      <c r="H24" s="346" t="s">
        <v>5141</v>
      </c>
      <c r="I24" s="250" t="s">
        <v>5123</v>
      </c>
      <c r="J24" s="426">
        <v>44384</v>
      </c>
      <c r="K24" s="426"/>
      <c r="L24" s="414"/>
      <c r="M24" s="414"/>
      <c r="N24" s="414"/>
      <c r="O24" s="414"/>
      <c r="P24" s="414"/>
      <c r="Q24" s="414"/>
      <c r="R24" s="414"/>
      <c r="S24" s="414"/>
      <c r="T24" s="414"/>
      <c r="U24" s="414"/>
      <c r="V24" s="414"/>
      <c r="W24" s="414"/>
      <c r="X24" s="414"/>
      <c r="Y24" s="414"/>
      <c r="Z24" s="414"/>
    </row>
    <row r="25" spans="1:26" ht="15.75" customHeight="1" x14ac:dyDescent="0.25">
      <c r="A25" s="466">
        <v>20</v>
      </c>
      <c r="B25" s="250" t="s">
        <v>5140</v>
      </c>
      <c r="C25" s="250" t="s">
        <v>1808</v>
      </c>
      <c r="D25" s="250" t="s">
        <v>1028</v>
      </c>
      <c r="E25" s="250" t="s">
        <v>5109</v>
      </c>
      <c r="F25" s="425">
        <v>2300</v>
      </c>
      <c r="G25" s="425">
        <v>2300</v>
      </c>
      <c r="H25" s="346" t="s">
        <v>5141</v>
      </c>
      <c r="I25" s="250" t="s">
        <v>5123</v>
      </c>
      <c r="J25" s="426">
        <v>44384</v>
      </c>
      <c r="K25" s="426"/>
      <c r="L25" s="414"/>
      <c r="M25" s="414"/>
      <c r="N25" s="414"/>
      <c r="O25" s="414"/>
      <c r="P25" s="414"/>
      <c r="Q25" s="414"/>
      <c r="R25" s="414"/>
      <c r="S25" s="414"/>
      <c r="T25" s="414"/>
      <c r="U25" s="414"/>
      <c r="V25" s="414"/>
      <c r="W25" s="414"/>
      <c r="X25" s="414"/>
      <c r="Y25" s="414"/>
      <c r="Z25" s="414"/>
    </row>
    <row r="26" spans="1:26" ht="15.75" customHeight="1" x14ac:dyDescent="0.25">
      <c r="A26" s="466">
        <v>21</v>
      </c>
      <c r="B26" s="250" t="s">
        <v>5140</v>
      </c>
      <c r="C26" s="250" t="s">
        <v>1757</v>
      </c>
      <c r="D26" s="250" t="s">
        <v>1758</v>
      </c>
      <c r="E26" s="250" t="s">
        <v>5109</v>
      </c>
      <c r="F26" s="425">
        <v>2300</v>
      </c>
      <c r="G26" s="425">
        <v>2300</v>
      </c>
      <c r="H26" s="346" t="s">
        <v>5141</v>
      </c>
      <c r="I26" s="250" t="s">
        <v>5123</v>
      </c>
      <c r="J26" s="426">
        <v>44384</v>
      </c>
      <c r="K26" s="426"/>
      <c r="L26" s="414"/>
      <c r="M26" s="414"/>
      <c r="N26" s="414"/>
      <c r="O26" s="414"/>
      <c r="P26" s="414"/>
      <c r="Q26" s="414"/>
      <c r="R26" s="414"/>
      <c r="S26" s="414"/>
      <c r="T26" s="414"/>
      <c r="U26" s="414"/>
      <c r="V26" s="414"/>
      <c r="W26" s="414"/>
      <c r="X26" s="414"/>
      <c r="Y26" s="414"/>
      <c r="Z26" s="414"/>
    </row>
    <row r="27" spans="1:26" ht="15.75" customHeight="1" x14ac:dyDescent="0.25">
      <c r="A27" s="466">
        <v>22</v>
      </c>
      <c r="B27" s="250" t="s">
        <v>5142</v>
      </c>
      <c r="C27" s="250" t="s">
        <v>1760</v>
      </c>
      <c r="D27" s="250" t="s">
        <v>1761</v>
      </c>
      <c r="E27" s="250" t="s">
        <v>5109</v>
      </c>
      <c r="F27" s="425">
        <v>2500</v>
      </c>
      <c r="G27" s="425">
        <v>2500</v>
      </c>
      <c r="H27" s="346" t="s">
        <v>5143</v>
      </c>
      <c r="I27" s="250" t="s">
        <v>5123</v>
      </c>
      <c r="J27" s="426">
        <v>44390</v>
      </c>
      <c r="K27" s="426"/>
      <c r="L27" s="414"/>
      <c r="M27" s="414"/>
      <c r="N27" s="414"/>
      <c r="O27" s="414"/>
      <c r="P27" s="414"/>
      <c r="Q27" s="414"/>
      <c r="R27" s="414"/>
      <c r="S27" s="414"/>
      <c r="T27" s="414"/>
      <c r="U27" s="414"/>
      <c r="V27" s="414"/>
      <c r="W27" s="414"/>
      <c r="X27" s="414"/>
      <c r="Y27" s="414"/>
      <c r="Z27" s="414"/>
    </row>
    <row r="28" spans="1:26" ht="15.75" customHeight="1" x14ac:dyDescent="0.25">
      <c r="A28" s="466">
        <v>23</v>
      </c>
      <c r="B28" s="250" t="s">
        <v>5140</v>
      </c>
      <c r="C28" s="250" t="s">
        <v>1763</v>
      </c>
      <c r="D28" s="250" t="s">
        <v>1764</v>
      </c>
      <c r="E28" s="250" t="s">
        <v>5109</v>
      </c>
      <c r="F28" s="425">
        <v>2300</v>
      </c>
      <c r="G28" s="425">
        <v>2300</v>
      </c>
      <c r="H28" s="346" t="s">
        <v>5141</v>
      </c>
      <c r="I28" s="250" t="s">
        <v>5123</v>
      </c>
      <c r="J28" s="426">
        <v>44384</v>
      </c>
      <c r="K28" s="426"/>
      <c r="L28" s="414"/>
      <c r="M28" s="414"/>
      <c r="N28" s="414"/>
      <c r="O28" s="414"/>
      <c r="P28" s="414"/>
      <c r="Q28" s="414"/>
      <c r="R28" s="414"/>
      <c r="S28" s="414"/>
      <c r="T28" s="414"/>
      <c r="U28" s="414"/>
      <c r="V28" s="414"/>
      <c r="W28" s="414"/>
      <c r="X28" s="414"/>
      <c r="Y28" s="414"/>
      <c r="Z28" s="414"/>
    </row>
    <row r="29" spans="1:26" ht="15.75" customHeight="1" x14ac:dyDescent="0.25">
      <c r="A29" s="466">
        <v>24</v>
      </c>
      <c r="B29" s="250" t="s">
        <v>5144</v>
      </c>
      <c r="C29" s="250" t="s">
        <v>1797</v>
      </c>
      <c r="D29" s="250" t="s">
        <v>1798</v>
      </c>
      <c r="E29" s="250" t="s">
        <v>5109</v>
      </c>
      <c r="F29" s="425">
        <v>2500</v>
      </c>
      <c r="G29" s="425">
        <v>2500</v>
      </c>
      <c r="H29" s="346" t="s">
        <v>5143</v>
      </c>
      <c r="I29" s="250" t="s">
        <v>5123</v>
      </c>
      <c r="J29" s="426">
        <v>44390</v>
      </c>
      <c r="K29" s="426"/>
      <c r="L29" s="414"/>
      <c r="M29" s="414"/>
      <c r="N29" s="414"/>
      <c r="O29" s="414"/>
      <c r="P29" s="414"/>
      <c r="Q29" s="414"/>
      <c r="R29" s="414"/>
      <c r="S29" s="414"/>
      <c r="T29" s="414"/>
      <c r="U29" s="414"/>
      <c r="V29" s="414"/>
      <c r="W29" s="414"/>
      <c r="X29" s="414"/>
      <c r="Y29" s="414"/>
      <c r="Z29" s="414"/>
    </row>
    <row r="30" spans="1:26" ht="15.75" customHeight="1" x14ac:dyDescent="0.25">
      <c r="A30" s="466">
        <v>25</v>
      </c>
      <c r="B30" s="250" t="s">
        <v>5140</v>
      </c>
      <c r="C30" s="250" t="s">
        <v>1765</v>
      </c>
      <c r="D30" s="250" t="s">
        <v>1766</v>
      </c>
      <c r="E30" s="250" t="s">
        <v>5109</v>
      </c>
      <c r="F30" s="425">
        <v>2300</v>
      </c>
      <c r="G30" s="425">
        <v>2300</v>
      </c>
      <c r="H30" s="346" t="s">
        <v>5141</v>
      </c>
      <c r="I30" s="250" t="s">
        <v>5123</v>
      </c>
      <c r="J30" s="426">
        <v>44384</v>
      </c>
      <c r="K30" s="426"/>
      <c r="L30" s="414"/>
      <c r="M30" s="414"/>
      <c r="N30" s="414"/>
      <c r="O30" s="414"/>
      <c r="P30" s="414"/>
      <c r="Q30" s="414"/>
      <c r="R30" s="414"/>
      <c r="S30" s="414"/>
      <c r="T30" s="414"/>
      <c r="U30" s="414"/>
      <c r="V30" s="414"/>
      <c r="W30" s="414"/>
      <c r="X30" s="414"/>
      <c r="Y30" s="414"/>
      <c r="Z30" s="414"/>
    </row>
    <row r="31" spans="1:26" ht="15.75" customHeight="1" x14ac:dyDescent="0.25">
      <c r="A31" s="466">
        <v>26</v>
      </c>
      <c r="B31" s="250" t="s">
        <v>5140</v>
      </c>
      <c r="C31" s="250" t="s">
        <v>1806</v>
      </c>
      <c r="D31" s="250" t="s">
        <v>1807</v>
      </c>
      <c r="E31" s="250" t="s">
        <v>5109</v>
      </c>
      <c r="F31" s="425">
        <v>2300</v>
      </c>
      <c r="G31" s="425">
        <v>2300</v>
      </c>
      <c r="H31" s="346" t="s">
        <v>5141</v>
      </c>
      <c r="I31" s="250" t="s">
        <v>5123</v>
      </c>
      <c r="J31" s="426">
        <v>44384</v>
      </c>
      <c r="K31" s="426"/>
      <c r="L31" s="414"/>
      <c r="M31" s="414"/>
      <c r="N31" s="414"/>
      <c r="O31" s="414"/>
      <c r="P31" s="414"/>
      <c r="Q31" s="414"/>
      <c r="R31" s="414"/>
      <c r="S31" s="414"/>
      <c r="T31" s="414"/>
      <c r="U31" s="414"/>
      <c r="V31" s="414"/>
      <c r="W31" s="414"/>
      <c r="X31" s="414"/>
      <c r="Y31" s="414"/>
      <c r="Z31" s="414"/>
    </row>
    <row r="32" spans="1:26" ht="15.75" customHeight="1" x14ac:dyDescent="0.25">
      <c r="A32" s="466">
        <v>27</v>
      </c>
      <c r="B32" s="250" t="s">
        <v>5140</v>
      </c>
      <c r="C32" s="250" t="s">
        <v>1767</v>
      </c>
      <c r="D32" s="250" t="s">
        <v>1768</v>
      </c>
      <c r="E32" s="250" t="s">
        <v>5109</v>
      </c>
      <c r="F32" s="425">
        <v>2300</v>
      </c>
      <c r="G32" s="425">
        <v>2300</v>
      </c>
      <c r="H32" s="346" t="s">
        <v>5141</v>
      </c>
      <c r="I32" s="250" t="s">
        <v>5123</v>
      </c>
      <c r="J32" s="426">
        <v>44384</v>
      </c>
      <c r="K32" s="426"/>
      <c r="L32" s="414"/>
      <c r="M32" s="414"/>
      <c r="N32" s="414"/>
      <c r="O32" s="414"/>
      <c r="P32" s="414"/>
      <c r="Q32" s="414"/>
      <c r="R32" s="414"/>
      <c r="S32" s="414"/>
      <c r="T32" s="414"/>
      <c r="U32" s="414"/>
      <c r="V32" s="414"/>
      <c r="W32" s="414"/>
      <c r="X32" s="414"/>
      <c r="Y32" s="414"/>
      <c r="Z32" s="414"/>
    </row>
    <row r="33" spans="1:26" ht="15.75" customHeight="1" x14ac:dyDescent="0.25">
      <c r="A33" s="466">
        <v>28</v>
      </c>
      <c r="B33" s="250" t="s">
        <v>5140</v>
      </c>
      <c r="C33" s="250" t="s">
        <v>1769</v>
      </c>
      <c r="D33" s="250" t="s">
        <v>1770</v>
      </c>
      <c r="E33" s="250" t="s">
        <v>5109</v>
      </c>
      <c r="F33" s="425">
        <v>2300</v>
      </c>
      <c r="G33" s="425">
        <v>2300</v>
      </c>
      <c r="H33" s="346" t="s">
        <v>5141</v>
      </c>
      <c r="I33" s="250" t="s">
        <v>5123</v>
      </c>
      <c r="J33" s="426">
        <v>44384</v>
      </c>
      <c r="K33" s="426"/>
      <c r="L33" s="414"/>
      <c r="M33" s="414"/>
      <c r="N33" s="414"/>
      <c r="O33" s="414"/>
      <c r="P33" s="414"/>
      <c r="Q33" s="414"/>
      <c r="R33" s="414"/>
      <c r="S33" s="414"/>
      <c r="T33" s="414"/>
      <c r="U33" s="414"/>
      <c r="V33" s="414"/>
      <c r="W33" s="414"/>
      <c r="X33" s="414"/>
      <c r="Y33" s="414"/>
      <c r="Z33" s="414"/>
    </row>
    <row r="34" spans="1:26" ht="22.5" customHeight="1" x14ac:dyDescent="0.25">
      <c r="A34" s="466">
        <v>29</v>
      </c>
      <c r="B34" s="250" t="s">
        <v>5140</v>
      </c>
      <c r="C34" s="250" t="s">
        <v>1771</v>
      </c>
      <c r="D34" s="250" t="s">
        <v>1772</v>
      </c>
      <c r="E34" s="250" t="s">
        <v>5109</v>
      </c>
      <c r="F34" s="425">
        <v>2300</v>
      </c>
      <c r="G34" s="425">
        <v>2300</v>
      </c>
      <c r="H34" s="346" t="s">
        <v>5141</v>
      </c>
      <c r="I34" s="250" t="s">
        <v>5123</v>
      </c>
      <c r="J34" s="426">
        <v>44384</v>
      </c>
      <c r="K34" s="426"/>
      <c r="L34" s="414"/>
      <c r="M34" s="414"/>
      <c r="N34" s="414"/>
      <c r="O34" s="414"/>
      <c r="P34" s="414"/>
      <c r="Q34" s="414"/>
      <c r="R34" s="414"/>
      <c r="S34" s="414"/>
      <c r="T34" s="414"/>
      <c r="U34" s="414"/>
      <c r="V34" s="414"/>
      <c r="W34" s="414"/>
      <c r="X34" s="414"/>
      <c r="Y34" s="414"/>
      <c r="Z34" s="414"/>
    </row>
    <row r="35" spans="1:26" ht="15.75" customHeight="1" x14ac:dyDescent="0.25">
      <c r="A35" s="466">
        <v>30</v>
      </c>
      <c r="B35" s="250" t="s">
        <v>5140</v>
      </c>
      <c r="C35" s="250" t="s">
        <v>1784</v>
      </c>
      <c r="D35" s="250" t="s">
        <v>1785</v>
      </c>
      <c r="E35" s="250" t="s">
        <v>5109</v>
      </c>
      <c r="F35" s="425">
        <v>2300</v>
      </c>
      <c r="G35" s="425">
        <v>2300</v>
      </c>
      <c r="H35" s="346" t="s">
        <v>5141</v>
      </c>
      <c r="I35" s="250" t="s">
        <v>5123</v>
      </c>
      <c r="J35" s="426">
        <v>44384</v>
      </c>
      <c r="K35" s="426"/>
      <c r="L35" s="414"/>
      <c r="M35" s="414"/>
      <c r="N35" s="414"/>
      <c r="O35" s="414"/>
      <c r="P35" s="414"/>
      <c r="Q35" s="414"/>
      <c r="R35" s="414"/>
      <c r="S35" s="414"/>
      <c r="T35" s="414"/>
      <c r="U35" s="414"/>
      <c r="V35" s="414"/>
      <c r="W35" s="414"/>
      <c r="X35" s="414"/>
      <c r="Y35" s="414"/>
      <c r="Z35" s="414"/>
    </row>
    <row r="36" spans="1:26" ht="15.75" customHeight="1" x14ac:dyDescent="0.25">
      <c r="A36" s="466">
        <v>31</v>
      </c>
      <c r="B36" s="250" t="s">
        <v>5140</v>
      </c>
      <c r="C36" s="250" t="s">
        <v>1799</v>
      </c>
      <c r="D36" s="250" t="s">
        <v>1800</v>
      </c>
      <c r="E36" s="250" t="s">
        <v>5109</v>
      </c>
      <c r="F36" s="425">
        <v>2300</v>
      </c>
      <c r="G36" s="425">
        <v>2300</v>
      </c>
      <c r="H36" s="346" t="s">
        <v>5141</v>
      </c>
      <c r="I36" s="250" t="s">
        <v>5123</v>
      </c>
      <c r="J36" s="426">
        <v>44384</v>
      </c>
      <c r="K36" s="426"/>
      <c r="L36" s="414"/>
      <c r="M36" s="414"/>
      <c r="N36" s="414"/>
      <c r="O36" s="414"/>
      <c r="P36" s="414"/>
      <c r="Q36" s="414"/>
      <c r="R36" s="414"/>
      <c r="S36" s="414"/>
      <c r="T36" s="414"/>
      <c r="U36" s="414"/>
      <c r="V36" s="414"/>
      <c r="W36" s="414"/>
      <c r="X36" s="414"/>
      <c r="Y36" s="414"/>
      <c r="Z36" s="414"/>
    </row>
    <row r="37" spans="1:26" ht="15.75" customHeight="1" x14ac:dyDescent="0.25">
      <c r="A37" s="466">
        <v>32</v>
      </c>
      <c r="B37" s="250" t="s">
        <v>5140</v>
      </c>
      <c r="C37" s="250" t="s">
        <v>1801</v>
      </c>
      <c r="D37" s="250" t="s">
        <v>1802</v>
      </c>
      <c r="E37" s="250" t="s">
        <v>5109</v>
      </c>
      <c r="F37" s="425">
        <v>2300</v>
      </c>
      <c r="G37" s="425">
        <v>2300</v>
      </c>
      <c r="H37" s="346" t="s">
        <v>5141</v>
      </c>
      <c r="I37" s="250" t="s">
        <v>5123</v>
      </c>
      <c r="J37" s="426">
        <v>44384</v>
      </c>
      <c r="K37" s="426"/>
      <c r="L37" s="414"/>
      <c r="M37" s="414"/>
      <c r="N37" s="414"/>
      <c r="O37" s="414"/>
      <c r="P37" s="414"/>
      <c r="Q37" s="414"/>
      <c r="R37" s="414"/>
      <c r="S37" s="414"/>
      <c r="T37" s="414"/>
      <c r="U37" s="414"/>
      <c r="V37" s="414"/>
      <c r="W37" s="414"/>
      <c r="X37" s="414"/>
      <c r="Y37" s="414"/>
      <c r="Z37" s="414"/>
    </row>
    <row r="38" spans="1:26" ht="15.75" customHeight="1" x14ac:dyDescent="0.25">
      <c r="A38" s="466">
        <v>33</v>
      </c>
      <c r="B38" s="250" t="s">
        <v>5140</v>
      </c>
      <c r="C38" s="250" t="s">
        <v>1773</v>
      </c>
      <c r="D38" s="250" t="s">
        <v>1774</v>
      </c>
      <c r="E38" s="250" t="s">
        <v>5109</v>
      </c>
      <c r="F38" s="425">
        <v>2300</v>
      </c>
      <c r="G38" s="425">
        <v>2300</v>
      </c>
      <c r="H38" s="346" t="s">
        <v>5141</v>
      </c>
      <c r="I38" s="250" t="s">
        <v>5123</v>
      </c>
      <c r="J38" s="426">
        <v>44384</v>
      </c>
      <c r="K38" s="426"/>
      <c r="L38" s="414"/>
      <c r="M38" s="414"/>
      <c r="N38" s="414"/>
      <c r="O38" s="414"/>
      <c r="P38" s="414"/>
      <c r="Q38" s="414"/>
      <c r="R38" s="414"/>
      <c r="S38" s="414"/>
      <c r="T38" s="414"/>
      <c r="U38" s="414"/>
      <c r="V38" s="414"/>
      <c r="W38" s="414"/>
      <c r="X38" s="414"/>
      <c r="Y38" s="414"/>
      <c r="Z38" s="414"/>
    </row>
    <row r="39" spans="1:26" ht="15.75" customHeight="1" x14ac:dyDescent="0.25">
      <c r="A39" s="466">
        <v>34</v>
      </c>
      <c r="B39" s="250" t="s">
        <v>5140</v>
      </c>
      <c r="C39" s="250" t="s">
        <v>1803</v>
      </c>
      <c r="D39" s="250" t="s">
        <v>1804</v>
      </c>
      <c r="E39" s="250" t="s">
        <v>5109</v>
      </c>
      <c r="F39" s="425">
        <v>2300</v>
      </c>
      <c r="G39" s="425">
        <v>2300</v>
      </c>
      <c r="H39" s="346" t="s">
        <v>5141</v>
      </c>
      <c r="I39" s="250" t="s">
        <v>5123</v>
      </c>
      <c r="J39" s="426">
        <v>44384</v>
      </c>
      <c r="K39" s="426"/>
      <c r="L39" s="414"/>
      <c r="M39" s="414"/>
      <c r="N39" s="414"/>
      <c r="O39" s="414"/>
      <c r="P39" s="414"/>
      <c r="Q39" s="414"/>
      <c r="R39" s="414"/>
      <c r="S39" s="414"/>
      <c r="T39" s="414"/>
      <c r="U39" s="414"/>
      <c r="V39" s="414"/>
      <c r="W39" s="414"/>
      <c r="X39" s="414"/>
      <c r="Y39" s="414"/>
      <c r="Z39" s="414"/>
    </row>
    <row r="40" spans="1:26" ht="15.75" customHeight="1" x14ac:dyDescent="0.25">
      <c r="A40" s="466">
        <v>35</v>
      </c>
      <c r="B40" s="250" t="s">
        <v>5145</v>
      </c>
      <c r="C40" s="250" t="s">
        <v>1776</v>
      </c>
      <c r="D40" s="250" t="s">
        <v>1777</v>
      </c>
      <c r="E40" s="250" t="s">
        <v>5109</v>
      </c>
      <c r="F40" s="425">
        <v>1800</v>
      </c>
      <c r="G40" s="425">
        <v>1800</v>
      </c>
      <c r="H40" s="346" t="s">
        <v>5141</v>
      </c>
      <c r="I40" s="250" t="s">
        <v>5123</v>
      </c>
      <c r="J40" s="426">
        <v>44390</v>
      </c>
      <c r="K40" s="426"/>
      <c r="L40" s="414"/>
      <c r="M40" s="414"/>
      <c r="N40" s="414"/>
      <c r="O40" s="414"/>
      <c r="P40" s="414"/>
      <c r="Q40" s="414"/>
      <c r="R40" s="414"/>
      <c r="S40" s="414"/>
      <c r="T40" s="414"/>
      <c r="U40" s="414"/>
      <c r="V40" s="414"/>
      <c r="W40" s="414"/>
      <c r="X40" s="414"/>
      <c r="Y40" s="414"/>
      <c r="Z40" s="414"/>
    </row>
    <row r="41" spans="1:26" ht="15.75" customHeight="1" x14ac:dyDescent="0.25">
      <c r="A41" s="466">
        <v>36</v>
      </c>
      <c r="B41" s="250" t="s">
        <v>5140</v>
      </c>
      <c r="C41" s="250" t="s">
        <v>1778</v>
      </c>
      <c r="D41" s="250" t="s">
        <v>1779</v>
      </c>
      <c r="E41" s="250" t="s">
        <v>5109</v>
      </c>
      <c r="F41" s="425">
        <v>2300</v>
      </c>
      <c r="G41" s="425">
        <v>2300</v>
      </c>
      <c r="H41" s="346" t="s">
        <v>5141</v>
      </c>
      <c r="I41" s="250" t="s">
        <v>5123</v>
      </c>
      <c r="J41" s="426">
        <v>44384</v>
      </c>
      <c r="K41" s="426"/>
      <c r="L41" s="414"/>
      <c r="M41" s="414"/>
      <c r="N41" s="414"/>
      <c r="O41" s="414"/>
      <c r="P41" s="414"/>
      <c r="Q41" s="414"/>
      <c r="R41" s="414"/>
      <c r="S41" s="414"/>
      <c r="T41" s="414"/>
      <c r="U41" s="414"/>
      <c r="V41" s="414"/>
      <c r="W41" s="414"/>
      <c r="X41" s="414"/>
      <c r="Y41" s="414"/>
      <c r="Z41" s="414"/>
    </row>
    <row r="42" spans="1:26" ht="29.25" customHeight="1" x14ac:dyDescent="0.25">
      <c r="A42" s="466">
        <v>37</v>
      </c>
      <c r="B42" s="250" t="s">
        <v>5140</v>
      </c>
      <c r="C42" s="250" t="s">
        <v>1780</v>
      </c>
      <c r="D42" s="250" t="s">
        <v>1781</v>
      </c>
      <c r="E42" s="250" t="s">
        <v>5109</v>
      </c>
      <c r="F42" s="425">
        <v>2300</v>
      </c>
      <c r="G42" s="425">
        <v>2300</v>
      </c>
      <c r="H42" s="346" t="s">
        <v>5141</v>
      </c>
      <c r="I42" s="250" t="s">
        <v>5123</v>
      </c>
      <c r="J42" s="426">
        <v>44384</v>
      </c>
      <c r="K42" s="426"/>
      <c r="L42" s="414"/>
      <c r="M42" s="414"/>
      <c r="N42" s="414"/>
      <c r="O42" s="414"/>
      <c r="P42" s="414"/>
      <c r="Q42" s="414"/>
      <c r="R42" s="414"/>
      <c r="S42" s="414"/>
      <c r="T42" s="414"/>
      <c r="U42" s="414"/>
      <c r="V42" s="414"/>
      <c r="W42" s="414"/>
      <c r="X42" s="414"/>
      <c r="Y42" s="414"/>
      <c r="Z42" s="414"/>
    </row>
    <row r="43" spans="1:26" ht="15.75" customHeight="1" x14ac:dyDescent="0.25">
      <c r="A43" s="466">
        <v>38</v>
      </c>
      <c r="B43" s="250" t="s">
        <v>5140</v>
      </c>
      <c r="C43" s="250" t="s">
        <v>1782</v>
      </c>
      <c r="D43" s="250" t="s">
        <v>1783</v>
      </c>
      <c r="E43" s="250" t="s">
        <v>5109</v>
      </c>
      <c r="F43" s="425">
        <v>2300</v>
      </c>
      <c r="G43" s="425">
        <v>2300</v>
      </c>
      <c r="H43" s="346" t="s">
        <v>5141</v>
      </c>
      <c r="I43" s="250" t="s">
        <v>5123</v>
      </c>
      <c r="J43" s="426">
        <v>44384</v>
      </c>
      <c r="K43" s="426"/>
      <c r="L43" s="414"/>
      <c r="M43" s="414"/>
      <c r="N43" s="414"/>
      <c r="O43" s="414"/>
      <c r="P43" s="414"/>
      <c r="Q43" s="414"/>
      <c r="R43" s="414"/>
      <c r="S43" s="414"/>
      <c r="T43" s="414"/>
      <c r="U43" s="414"/>
      <c r="V43" s="414"/>
      <c r="W43" s="414"/>
      <c r="X43" s="414"/>
      <c r="Y43" s="414"/>
      <c r="Z43" s="414"/>
    </row>
    <row r="44" spans="1:26" ht="15.75" customHeight="1" x14ac:dyDescent="0.25">
      <c r="A44" s="466">
        <v>39</v>
      </c>
      <c r="B44" s="250" t="s">
        <v>5140</v>
      </c>
      <c r="C44" s="250" t="s">
        <v>1794</v>
      </c>
      <c r="D44" s="250" t="s">
        <v>1795</v>
      </c>
      <c r="E44" s="250" t="s">
        <v>5109</v>
      </c>
      <c r="F44" s="425">
        <v>2300</v>
      </c>
      <c r="G44" s="425">
        <v>2300</v>
      </c>
      <c r="H44" s="346" t="s">
        <v>5141</v>
      </c>
      <c r="I44" s="250" t="s">
        <v>5123</v>
      </c>
      <c r="J44" s="426">
        <v>44384</v>
      </c>
      <c r="K44" s="426"/>
      <c r="L44" s="414"/>
      <c r="M44" s="414"/>
      <c r="N44" s="414"/>
      <c r="O44" s="414"/>
      <c r="P44" s="414"/>
      <c r="Q44" s="414"/>
      <c r="R44" s="414"/>
      <c r="S44" s="414"/>
      <c r="T44" s="414"/>
      <c r="U44" s="414"/>
      <c r="V44" s="414"/>
      <c r="W44" s="414"/>
      <c r="X44" s="414"/>
      <c r="Y44" s="414"/>
      <c r="Z44" s="414"/>
    </row>
    <row r="45" spans="1:26" ht="32.25" customHeight="1" x14ac:dyDescent="0.25">
      <c r="A45" s="466">
        <v>40</v>
      </c>
      <c r="B45" s="250" t="s">
        <v>5138</v>
      </c>
      <c r="C45" s="250" t="s">
        <v>2258</v>
      </c>
      <c r="D45" s="250" t="s">
        <v>2259</v>
      </c>
      <c r="E45" s="250" t="s">
        <v>5109</v>
      </c>
      <c r="F45" s="425">
        <v>3100</v>
      </c>
      <c r="G45" s="425">
        <v>3100</v>
      </c>
      <c r="H45" s="422" t="s">
        <v>5122</v>
      </c>
      <c r="I45" s="250" t="s">
        <v>5123</v>
      </c>
      <c r="J45" s="426">
        <v>44410</v>
      </c>
      <c r="K45" s="426"/>
      <c r="L45" s="414"/>
      <c r="M45" s="414"/>
      <c r="N45" s="414"/>
      <c r="O45" s="414"/>
      <c r="P45" s="414"/>
      <c r="Q45" s="414"/>
      <c r="R45" s="414"/>
      <c r="S45" s="414"/>
      <c r="T45" s="414"/>
      <c r="U45" s="414"/>
      <c r="V45" s="414"/>
      <c r="W45" s="414"/>
      <c r="X45" s="414"/>
      <c r="Y45" s="414"/>
      <c r="Z45" s="414"/>
    </row>
    <row r="46" spans="1:26" ht="15.75" customHeight="1" x14ac:dyDescent="0.25">
      <c r="A46" s="466">
        <v>41</v>
      </c>
      <c r="B46" s="250" t="s">
        <v>5288</v>
      </c>
      <c r="C46" s="250" t="s">
        <v>5289</v>
      </c>
      <c r="D46" s="250" t="s">
        <v>2223</v>
      </c>
      <c r="E46" s="250" t="s">
        <v>5109</v>
      </c>
      <c r="F46" s="425">
        <v>2300</v>
      </c>
      <c r="G46" s="425">
        <v>2300</v>
      </c>
      <c r="H46" s="346" t="s">
        <v>5141</v>
      </c>
      <c r="I46" s="250" t="s">
        <v>5123</v>
      </c>
      <c r="J46" s="426">
        <v>44411</v>
      </c>
      <c r="K46" s="426"/>
      <c r="L46" s="414"/>
      <c r="M46" s="414"/>
      <c r="N46" s="414"/>
      <c r="O46" s="414"/>
      <c r="P46" s="414"/>
      <c r="Q46" s="414"/>
      <c r="R46" s="414"/>
      <c r="S46" s="414"/>
      <c r="T46" s="414"/>
      <c r="U46" s="414"/>
      <c r="V46" s="414"/>
      <c r="W46" s="414"/>
      <c r="X46" s="414"/>
      <c r="Y46" s="414"/>
      <c r="Z46" s="414"/>
    </row>
    <row r="47" spans="1:26" ht="15.75" customHeight="1" x14ac:dyDescent="0.25">
      <c r="A47" s="466">
        <v>42</v>
      </c>
      <c r="B47" s="250" t="s">
        <v>5288</v>
      </c>
      <c r="C47" s="250" t="s">
        <v>5290</v>
      </c>
      <c r="D47" s="250" t="s">
        <v>2229</v>
      </c>
      <c r="E47" s="250" t="s">
        <v>5109</v>
      </c>
      <c r="F47" s="425">
        <v>2300</v>
      </c>
      <c r="G47" s="425">
        <v>2300</v>
      </c>
      <c r="H47" s="346" t="s">
        <v>5141</v>
      </c>
      <c r="I47" s="250" t="s">
        <v>5123</v>
      </c>
      <c r="J47" s="426">
        <v>44411</v>
      </c>
      <c r="K47" s="426"/>
      <c r="L47" s="414"/>
      <c r="M47" s="414"/>
      <c r="N47" s="414"/>
      <c r="O47" s="414"/>
      <c r="P47" s="414"/>
      <c r="Q47" s="414"/>
      <c r="R47" s="414"/>
      <c r="S47" s="414"/>
      <c r="T47" s="414"/>
      <c r="U47" s="414"/>
      <c r="V47" s="414"/>
      <c r="W47" s="414"/>
      <c r="X47" s="414"/>
      <c r="Y47" s="414"/>
      <c r="Z47" s="414"/>
    </row>
    <row r="48" spans="1:26" ht="15.75" customHeight="1" x14ac:dyDescent="0.25">
      <c r="A48" s="466">
        <v>43</v>
      </c>
      <c r="B48" s="250" t="s">
        <v>5288</v>
      </c>
      <c r="C48" s="250" t="s">
        <v>2232</v>
      </c>
      <c r="D48" s="250" t="s">
        <v>5291</v>
      </c>
      <c r="E48" s="250" t="s">
        <v>5109</v>
      </c>
      <c r="F48" s="425">
        <v>2300</v>
      </c>
      <c r="G48" s="425">
        <v>2300</v>
      </c>
      <c r="H48" s="346" t="s">
        <v>5141</v>
      </c>
      <c r="I48" s="250" t="s">
        <v>5123</v>
      </c>
      <c r="J48" s="426">
        <v>44411</v>
      </c>
      <c r="K48" s="426"/>
      <c r="L48" s="414"/>
      <c r="M48" s="414"/>
      <c r="N48" s="414"/>
      <c r="O48" s="414"/>
      <c r="P48" s="414"/>
      <c r="Q48" s="414"/>
      <c r="R48" s="414"/>
      <c r="S48" s="414"/>
      <c r="T48" s="414"/>
      <c r="U48" s="414"/>
      <c r="V48" s="414"/>
      <c r="W48" s="414"/>
      <c r="X48" s="414"/>
      <c r="Y48" s="414"/>
      <c r="Z48" s="414"/>
    </row>
    <row r="49" spans="1:26" ht="15.75" customHeight="1" x14ac:dyDescent="0.25">
      <c r="A49" s="466">
        <v>44</v>
      </c>
      <c r="B49" s="250" t="s">
        <v>5288</v>
      </c>
      <c r="C49" s="250" t="s">
        <v>5292</v>
      </c>
      <c r="D49" s="250" t="s">
        <v>2236</v>
      </c>
      <c r="E49" s="250" t="s">
        <v>5109</v>
      </c>
      <c r="F49" s="425">
        <v>2300</v>
      </c>
      <c r="G49" s="425">
        <v>2300</v>
      </c>
      <c r="H49" s="346" t="s">
        <v>5141</v>
      </c>
      <c r="I49" s="250" t="s">
        <v>5123</v>
      </c>
      <c r="J49" s="426">
        <v>44411</v>
      </c>
      <c r="K49" s="426"/>
      <c r="L49" s="414"/>
      <c r="M49" s="414"/>
      <c r="N49" s="414"/>
      <c r="O49" s="414"/>
      <c r="P49" s="414"/>
      <c r="Q49" s="414"/>
      <c r="R49" s="414"/>
      <c r="S49" s="414"/>
      <c r="T49" s="414"/>
      <c r="U49" s="414"/>
      <c r="V49" s="414"/>
      <c r="W49" s="414"/>
      <c r="X49" s="414"/>
      <c r="Y49" s="414"/>
      <c r="Z49" s="414"/>
    </row>
    <row r="50" spans="1:26" ht="15.75" customHeight="1" x14ac:dyDescent="0.25">
      <c r="A50" s="466">
        <v>45</v>
      </c>
      <c r="B50" s="250" t="s">
        <v>5288</v>
      </c>
      <c r="C50" s="250" t="s">
        <v>5293</v>
      </c>
      <c r="D50" s="250" t="s">
        <v>2239</v>
      </c>
      <c r="E50" s="250" t="s">
        <v>5109</v>
      </c>
      <c r="F50" s="425">
        <v>2300</v>
      </c>
      <c r="G50" s="425">
        <v>2300</v>
      </c>
      <c r="H50" s="346" t="s">
        <v>5141</v>
      </c>
      <c r="I50" s="250" t="s">
        <v>5123</v>
      </c>
      <c r="J50" s="426">
        <v>44411</v>
      </c>
      <c r="K50" s="426"/>
      <c r="L50" s="414"/>
      <c r="M50" s="414"/>
      <c r="N50" s="414"/>
      <c r="O50" s="414"/>
      <c r="P50" s="414"/>
      <c r="Q50" s="414"/>
      <c r="R50" s="414"/>
      <c r="S50" s="414"/>
      <c r="T50" s="414"/>
      <c r="U50" s="414"/>
      <c r="V50" s="414"/>
      <c r="W50" s="414"/>
      <c r="X50" s="414"/>
      <c r="Y50" s="414"/>
      <c r="Z50" s="414"/>
    </row>
    <row r="51" spans="1:26" ht="15.75" customHeight="1" x14ac:dyDescent="0.25">
      <c r="A51" s="466">
        <v>46</v>
      </c>
      <c r="B51" s="250" t="s">
        <v>5288</v>
      </c>
      <c r="C51" s="250" t="s">
        <v>5294</v>
      </c>
      <c r="D51" s="250" t="s">
        <v>2243</v>
      </c>
      <c r="E51" s="250" t="s">
        <v>5109</v>
      </c>
      <c r="F51" s="425">
        <v>2300</v>
      </c>
      <c r="G51" s="425">
        <v>2300</v>
      </c>
      <c r="H51" s="346" t="s">
        <v>5141</v>
      </c>
      <c r="I51" s="250" t="s">
        <v>5123</v>
      </c>
      <c r="J51" s="426">
        <v>44411</v>
      </c>
      <c r="K51" s="426"/>
      <c r="L51" s="414"/>
      <c r="M51" s="414"/>
      <c r="N51" s="414"/>
      <c r="O51" s="414"/>
      <c r="P51" s="414"/>
      <c r="Q51" s="414"/>
      <c r="R51" s="414"/>
      <c r="S51" s="414"/>
      <c r="T51" s="414"/>
      <c r="U51" s="414"/>
      <c r="V51" s="414"/>
      <c r="W51" s="414"/>
      <c r="X51" s="414"/>
      <c r="Y51" s="414"/>
      <c r="Z51" s="414"/>
    </row>
    <row r="52" spans="1:26" ht="15.75" customHeight="1" x14ac:dyDescent="0.25">
      <c r="A52" s="466">
        <v>47</v>
      </c>
      <c r="B52" s="250" t="s">
        <v>5288</v>
      </c>
      <c r="C52" s="250" t="s">
        <v>2260</v>
      </c>
      <c r="D52" s="250" t="s">
        <v>2261</v>
      </c>
      <c r="E52" s="250" t="s">
        <v>5109</v>
      </c>
      <c r="F52" s="425">
        <v>2300</v>
      </c>
      <c r="G52" s="425">
        <v>2300</v>
      </c>
      <c r="H52" s="346" t="s">
        <v>5141</v>
      </c>
      <c r="I52" s="250" t="s">
        <v>5123</v>
      </c>
      <c r="J52" s="426">
        <v>44411</v>
      </c>
      <c r="K52" s="426"/>
      <c r="L52" s="414"/>
      <c r="M52" s="414"/>
      <c r="N52" s="414"/>
      <c r="O52" s="414"/>
      <c r="P52" s="414"/>
      <c r="Q52" s="414"/>
      <c r="R52" s="414"/>
      <c r="S52" s="414"/>
      <c r="T52" s="414"/>
      <c r="U52" s="414"/>
      <c r="V52" s="414"/>
      <c r="W52" s="414"/>
      <c r="X52" s="414"/>
      <c r="Y52" s="414"/>
      <c r="Z52" s="414"/>
    </row>
    <row r="53" spans="1:26" ht="15.75" customHeight="1" x14ac:dyDescent="0.25">
      <c r="A53" s="466">
        <v>48</v>
      </c>
      <c r="B53" s="250" t="s">
        <v>5288</v>
      </c>
      <c r="C53" s="250" t="s">
        <v>5295</v>
      </c>
      <c r="D53" s="250" t="s">
        <v>2245</v>
      </c>
      <c r="E53" s="250" t="s">
        <v>5109</v>
      </c>
      <c r="F53" s="425">
        <v>2300</v>
      </c>
      <c r="G53" s="425">
        <v>2300</v>
      </c>
      <c r="H53" s="346" t="s">
        <v>5141</v>
      </c>
      <c r="I53" s="250" t="s">
        <v>5123</v>
      </c>
      <c r="J53" s="426">
        <v>44411</v>
      </c>
      <c r="K53" s="426"/>
      <c r="L53" s="414"/>
      <c r="M53" s="414"/>
      <c r="N53" s="414"/>
      <c r="O53" s="414"/>
      <c r="P53" s="414"/>
      <c r="Q53" s="414"/>
      <c r="R53" s="414"/>
      <c r="S53" s="414"/>
      <c r="T53" s="414"/>
      <c r="U53" s="414"/>
      <c r="V53" s="414"/>
      <c r="W53" s="414"/>
      <c r="X53" s="414"/>
      <c r="Y53" s="414"/>
      <c r="Z53" s="414"/>
    </row>
    <row r="54" spans="1:26" ht="15.75" customHeight="1" x14ac:dyDescent="0.25">
      <c r="A54" s="466">
        <v>49</v>
      </c>
      <c r="B54" s="250" t="s">
        <v>5288</v>
      </c>
      <c r="C54" s="250" t="s">
        <v>5296</v>
      </c>
      <c r="D54" s="250" t="s">
        <v>2267</v>
      </c>
      <c r="E54" s="250" t="s">
        <v>5109</v>
      </c>
      <c r="F54" s="425">
        <v>2300</v>
      </c>
      <c r="G54" s="425">
        <v>2300</v>
      </c>
      <c r="H54" s="346" t="s">
        <v>5141</v>
      </c>
      <c r="I54" s="250" t="s">
        <v>5123</v>
      </c>
      <c r="J54" s="426">
        <v>44411</v>
      </c>
      <c r="K54" s="426"/>
      <c r="L54" s="414"/>
      <c r="M54" s="414"/>
      <c r="N54" s="414"/>
      <c r="O54" s="414"/>
      <c r="P54" s="414"/>
      <c r="Q54" s="414"/>
      <c r="R54" s="414"/>
      <c r="S54" s="414"/>
      <c r="T54" s="414"/>
      <c r="U54" s="414"/>
      <c r="V54" s="414"/>
      <c r="W54" s="414"/>
      <c r="X54" s="414"/>
      <c r="Y54" s="414"/>
      <c r="Z54" s="414"/>
    </row>
    <row r="55" spans="1:26" ht="15.75" customHeight="1" x14ac:dyDescent="0.25">
      <c r="A55" s="466">
        <v>50</v>
      </c>
      <c r="B55" s="250" t="s">
        <v>5288</v>
      </c>
      <c r="C55" s="250" t="s">
        <v>5297</v>
      </c>
      <c r="D55" s="250" t="s">
        <v>2252</v>
      </c>
      <c r="E55" s="250" t="s">
        <v>5109</v>
      </c>
      <c r="F55" s="425">
        <v>2300</v>
      </c>
      <c r="G55" s="425">
        <v>2300</v>
      </c>
      <c r="H55" s="346" t="s">
        <v>5141</v>
      </c>
      <c r="I55" s="250" t="s">
        <v>5123</v>
      </c>
      <c r="J55" s="426">
        <v>44411</v>
      </c>
      <c r="K55" s="426"/>
      <c r="L55" s="414"/>
      <c r="M55" s="414"/>
      <c r="N55" s="414"/>
      <c r="O55" s="414"/>
      <c r="P55" s="414"/>
      <c r="Q55" s="414"/>
      <c r="R55" s="414"/>
      <c r="S55" s="414"/>
      <c r="T55" s="414"/>
      <c r="U55" s="414"/>
      <c r="V55" s="414"/>
      <c r="W55" s="414"/>
      <c r="X55" s="414"/>
      <c r="Y55" s="414"/>
      <c r="Z55" s="414"/>
    </row>
    <row r="56" spans="1:26" ht="15.75" customHeight="1" x14ac:dyDescent="0.25">
      <c r="A56" s="466">
        <v>51</v>
      </c>
      <c r="B56" s="250" t="s">
        <v>5288</v>
      </c>
      <c r="C56" s="250" t="s">
        <v>2250</v>
      </c>
      <c r="D56" s="250" t="s">
        <v>2251</v>
      </c>
      <c r="E56" s="250" t="s">
        <v>5109</v>
      </c>
      <c r="F56" s="425">
        <v>2300</v>
      </c>
      <c r="G56" s="425">
        <v>2300</v>
      </c>
      <c r="H56" s="346" t="s">
        <v>5141</v>
      </c>
      <c r="I56" s="250" t="s">
        <v>5123</v>
      </c>
      <c r="J56" s="426">
        <v>44411</v>
      </c>
      <c r="K56" s="426"/>
      <c r="L56" s="414"/>
      <c r="M56" s="414"/>
      <c r="N56" s="414"/>
      <c r="O56" s="414"/>
      <c r="P56" s="414"/>
      <c r="Q56" s="414"/>
      <c r="R56" s="414"/>
      <c r="S56" s="414"/>
      <c r="T56" s="414"/>
      <c r="U56" s="414"/>
      <c r="V56" s="414"/>
      <c r="W56" s="414"/>
      <c r="X56" s="414"/>
      <c r="Y56" s="414"/>
      <c r="Z56" s="414"/>
    </row>
    <row r="57" spans="1:26" ht="15.75" customHeight="1" x14ac:dyDescent="0.25">
      <c r="A57" s="466">
        <v>52</v>
      </c>
      <c r="B57" s="250" t="s">
        <v>5298</v>
      </c>
      <c r="C57" s="250" t="s">
        <v>2225</v>
      </c>
      <c r="D57" s="250" t="s">
        <v>2226</v>
      </c>
      <c r="E57" s="250" t="s">
        <v>5109</v>
      </c>
      <c r="F57" s="425">
        <v>3400</v>
      </c>
      <c r="G57" s="425">
        <v>3400</v>
      </c>
      <c r="H57" s="422" t="s">
        <v>5122</v>
      </c>
      <c r="I57" s="250" t="s">
        <v>5123</v>
      </c>
      <c r="J57" s="426">
        <v>44420</v>
      </c>
      <c r="K57" s="426"/>
      <c r="L57" s="414"/>
      <c r="M57" s="414"/>
      <c r="N57" s="414"/>
      <c r="O57" s="414"/>
      <c r="P57" s="414"/>
      <c r="Q57" s="414"/>
      <c r="R57" s="414"/>
      <c r="S57" s="414"/>
      <c r="T57" s="414"/>
      <c r="U57" s="414"/>
      <c r="V57" s="414"/>
      <c r="W57" s="414"/>
      <c r="X57" s="414"/>
      <c r="Y57" s="414"/>
      <c r="Z57" s="414"/>
    </row>
    <row r="58" spans="1:26" ht="15.75" customHeight="1" x14ac:dyDescent="0.25">
      <c r="A58" s="466">
        <v>53</v>
      </c>
      <c r="B58" s="250" t="s">
        <v>7320</v>
      </c>
      <c r="C58" s="250" t="s">
        <v>6024</v>
      </c>
      <c r="D58" s="250" t="s">
        <v>6025</v>
      </c>
      <c r="E58" s="250" t="s">
        <v>5109</v>
      </c>
      <c r="F58" s="425">
        <v>3300</v>
      </c>
      <c r="G58" s="425">
        <v>3300</v>
      </c>
      <c r="H58" s="346" t="s">
        <v>5141</v>
      </c>
      <c r="I58" s="250" t="s">
        <v>5123</v>
      </c>
      <c r="J58" s="426">
        <v>44476</v>
      </c>
      <c r="K58" s="426"/>
      <c r="L58" s="414"/>
      <c r="M58" s="414"/>
      <c r="N58" s="414"/>
      <c r="O58" s="414"/>
      <c r="P58" s="414"/>
      <c r="Q58" s="414"/>
      <c r="R58" s="414"/>
      <c r="S58" s="414"/>
      <c r="T58" s="414"/>
      <c r="U58" s="414"/>
      <c r="V58" s="414"/>
      <c r="W58" s="414"/>
      <c r="X58" s="414"/>
      <c r="Y58" s="414"/>
      <c r="Z58" s="414"/>
    </row>
    <row r="59" spans="1:26" ht="15.75" customHeight="1" x14ac:dyDescent="0.25">
      <c r="A59" s="466">
        <v>54</v>
      </c>
      <c r="B59" s="250" t="s">
        <v>7320</v>
      </c>
      <c r="C59" s="250" t="s">
        <v>7321</v>
      </c>
      <c r="D59" s="250" t="s">
        <v>6027</v>
      </c>
      <c r="E59" s="250" t="s">
        <v>5109</v>
      </c>
      <c r="F59" s="425">
        <v>3300</v>
      </c>
      <c r="G59" s="425">
        <v>3300</v>
      </c>
      <c r="H59" s="346" t="s">
        <v>5141</v>
      </c>
      <c r="I59" s="250" t="s">
        <v>5123</v>
      </c>
      <c r="J59" s="426">
        <v>44476</v>
      </c>
      <c r="K59" s="426"/>
      <c r="L59" s="414"/>
      <c r="M59" s="414"/>
      <c r="N59" s="414"/>
      <c r="O59" s="414"/>
      <c r="P59" s="414"/>
      <c r="Q59" s="414"/>
      <c r="R59" s="414"/>
      <c r="S59" s="414"/>
      <c r="T59" s="414"/>
      <c r="U59" s="414"/>
      <c r="V59" s="414"/>
      <c r="W59" s="414"/>
      <c r="X59" s="414"/>
      <c r="Y59" s="414"/>
      <c r="Z59" s="414"/>
    </row>
    <row r="60" spans="1:26" ht="15.75" customHeight="1" x14ac:dyDescent="0.25">
      <c r="A60" s="466">
        <v>55</v>
      </c>
      <c r="B60" s="250" t="s">
        <v>7322</v>
      </c>
      <c r="C60" s="250" t="s">
        <v>6036</v>
      </c>
      <c r="D60" s="250" t="s">
        <v>6037</v>
      </c>
      <c r="E60" s="250" t="s">
        <v>5109</v>
      </c>
      <c r="F60" s="425">
        <v>3300</v>
      </c>
      <c r="G60" s="425">
        <v>3300</v>
      </c>
      <c r="H60" s="346" t="s">
        <v>5141</v>
      </c>
      <c r="I60" s="250" t="s">
        <v>5123</v>
      </c>
      <c r="J60" s="426">
        <v>44476</v>
      </c>
      <c r="K60" s="426"/>
      <c r="L60" s="414"/>
      <c r="M60" s="414"/>
      <c r="N60" s="414"/>
      <c r="O60" s="414"/>
      <c r="P60" s="414"/>
      <c r="Q60" s="414"/>
      <c r="R60" s="414"/>
      <c r="S60" s="414"/>
      <c r="T60" s="414"/>
      <c r="U60" s="414"/>
      <c r="V60" s="414"/>
      <c r="W60" s="414"/>
      <c r="X60" s="414"/>
      <c r="Y60" s="414"/>
      <c r="Z60" s="414"/>
    </row>
    <row r="61" spans="1:26" ht="15.75" customHeight="1" x14ac:dyDescent="0.25">
      <c r="A61" s="466">
        <v>56</v>
      </c>
      <c r="B61" s="250" t="s">
        <v>7320</v>
      </c>
      <c r="C61" s="250" t="s">
        <v>7323</v>
      </c>
      <c r="D61" s="250" t="s">
        <v>6070</v>
      </c>
      <c r="E61" s="250" t="s">
        <v>5109</v>
      </c>
      <c r="F61" s="425">
        <v>3300</v>
      </c>
      <c r="G61" s="425">
        <v>3300</v>
      </c>
      <c r="H61" s="346" t="s">
        <v>5141</v>
      </c>
      <c r="I61" s="250" t="s">
        <v>5123</v>
      </c>
      <c r="J61" s="426">
        <v>44476</v>
      </c>
      <c r="K61" s="426"/>
      <c r="L61" s="414"/>
      <c r="M61" s="414"/>
      <c r="N61" s="414"/>
      <c r="O61" s="414"/>
      <c r="P61" s="414"/>
      <c r="Q61" s="414"/>
      <c r="R61" s="414"/>
      <c r="S61" s="414"/>
      <c r="T61" s="414"/>
      <c r="U61" s="414"/>
      <c r="V61" s="414"/>
      <c r="W61" s="414"/>
      <c r="X61" s="414"/>
      <c r="Y61" s="414"/>
      <c r="Z61" s="414"/>
    </row>
    <row r="62" spans="1:26" ht="15.75" customHeight="1" x14ac:dyDescent="0.25">
      <c r="A62" s="466">
        <v>57</v>
      </c>
      <c r="B62" s="250" t="s">
        <v>7320</v>
      </c>
      <c r="C62" s="250" t="s">
        <v>6042</v>
      </c>
      <c r="D62" s="353" t="s">
        <v>6043</v>
      </c>
      <c r="E62" s="250" t="s">
        <v>5109</v>
      </c>
      <c r="F62" s="425">
        <v>3300</v>
      </c>
      <c r="G62" s="425">
        <v>3300</v>
      </c>
      <c r="H62" s="422" t="s">
        <v>5122</v>
      </c>
      <c r="I62" s="250" t="s">
        <v>5123</v>
      </c>
      <c r="J62" s="426">
        <v>44494</v>
      </c>
      <c r="K62" s="426"/>
      <c r="L62" s="414"/>
      <c r="M62" s="414"/>
      <c r="N62" s="414"/>
      <c r="O62" s="414"/>
      <c r="P62" s="414"/>
      <c r="Q62" s="414"/>
      <c r="R62" s="414"/>
      <c r="S62" s="414"/>
      <c r="T62" s="414"/>
      <c r="U62" s="414"/>
      <c r="V62" s="414"/>
      <c r="W62" s="414"/>
      <c r="X62" s="414"/>
      <c r="Y62" s="414"/>
      <c r="Z62" s="414"/>
    </row>
    <row r="63" spans="1:26" ht="15.75" customHeight="1" x14ac:dyDescent="0.25">
      <c r="A63" s="466">
        <v>58</v>
      </c>
      <c r="B63" s="250" t="s">
        <v>7324</v>
      </c>
      <c r="C63" s="250" t="s">
        <v>6047</v>
      </c>
      <c r="D63" s="353" t="s">
        <v>6048</v>
      </c>
      <c r="E63" s="250" t="s">
        <v>5109</v>
      </c>
      <c r="F63" s="425">
        <v>3224</v>
      </c>
      <c r="G63" s="425">
        <v>3224</v>
      </c>
      <c r="H63" s="422" t="s">
        <v>5122</v>
      </c>
      <c r="I63" s="250" t="s">
        <v>5123</v>
      </c>
      <c r="J63" s="426">
        <v>44494</v>
      </c>
      <c r="K63" s="426"/>
      <c r="L63" s="414"/>
      <c r="M63" s="414"/>
      <c r="N63" s="414"/>
      <c r="O63" s="414"/>
      <c r="P63" s="414"/>
      <c r="Q63" s="414"/>
      <c r="R63" s="414"/>
      <c r="S63" s="414"/>
      <c r="T63" s="414"/>
      <c r="U63" s="414"/>
      <c r="V63" s="414"/>
      <c r="W63" s="414"/>
      <c r="X63" s="414"/>
      <c r="Y63" s="414"/>
      <c r="Z63" s="414"/>
    </row>
    <row r="64" spans="1:26" ht="15.75" customHeight="1" x14ac:dyDescent="0.25">
      <c r="A64" s="466">
        <v>59</v>
      </c>
      <c r="B64" s="250" t="s">
        <v>7320</v>
      </c>
      <c r="C64" s="250" t="s">
        <v>7325</v>
      </c>
      <c r="D64" s="250" t="s">
        <v>7326</v>
      </c>
      <c r="E64" s="250" t="s">
        <v>5109</v>
      </c>
      <c r="F64" s="425">
        <v>3300</v>
      </c>
      <c r="G64" s="425">
        <v>3300</v>
      </c>
      <c r="H64" s="346" t="s">
        <v>5141</v>
      </c>
      <c r="I64" s="250" t="s">
        <v>5123</v>
      </c>
      <c r="J64" s="426">
        <v>44476</v>
      </c>
      <c r="K64" s="426"/>
      <c r="L64" s="414"/>
      <c r="M64" s="414"/>
      <c r="N64" s="414"/>
      <c r="O64" s="414"/>
      <c r="P64" s="414"/>
      <c r="Q64" s="414"/>
      <c r="R64" s="414"/>
      <c r="S64" s="414"/>
      <c r="T64" s="414"/>
      <c r="U64" s="414"/>
      <c r="V64" s="414"/>
      <c r="W64" s="414"/>
      <c r="X64" s="414"/>
      <c r="Y64" s="414"/>
      <c r="Z64" s="414"/>
    </row>
    <row r="65" spans="1:26" ht="15.75" customHeight="1" x14ac:dyDescent="0.25">
      <c r="A65" s="466">
        <v>60</v>
      </c>
      <c r="B65" s="250" t="s">
        <v>7322</v>
      </c>
      <c r="C65" s="250" t="s">
        <v>6049</v>
      </c>
      <c r="D65" s="250" t="s">
        <v>6050</v>
      </c>
      <c r="E65" s="250" t="s">
        <v>5109</v>
      </c>
      <c r="F65" s="425">
        <v>3300</v>
      </c>
      <c r="G65" s="425">
        <v>3300</v>
      </c>
      <c r="H65" s="346" t="s">
        <v>5141</v>
      </c>
      <c r="I65" s="250" t="s">
        <v>5123</v>
      </c>
      <c r="J65" s="426">
        <v>44476</v>
      </c>
      <c r="K65" s="426"/>
      <c r="L65" s="414"/>
      <c r="M65" s="414"/>
      <c r="N65" s="414"/>
      <c r="O65" s="414"/>
      <c r="P65" s="414"/>
      <c r="Q65" s="414"/>
      <c r="R65" s="414"/>
      <c r="S65" s="414"/>
      <c r="T65" s="414"/>
      <c r="U65" s="414"/>
      <c r="V65" s="414"/>
      <c r="W65" s="414"/>
      <c r="X65" s="414"/>
      <c r="Y65" s="414"/>
      <c r="Z65" s="414"/>
    </row>
    <row r="66" spans="1:26" ht="15.75" customHeight="1" x14ac:dyDescent="0.25">
      <c r="A66" s="466">
        <v>61</v>
      </c>
      <c r="B66" s="250" t="s">
        <v>7322</v>
      </c>
      <c r="C66" s="250" t="s">
        <v>6051</v>
      </c>
      <c r="D66" s="250" t="s">
        <v>6052</v>
      </c>
      <c r="E66" s="250" t="s">
        <v>5109</v>
      </c>
      <c r="F66" s="425">
        <v>3300</v>
      </c>
      <c r="G66" s="425">
        <v>3300</v>
      </c>
      <c r="H66" s="346" t="s">
        <v>5141</v>
      </c>
      <c r="I66" s="250" t="s">
        <v>5123</v>
      </c>
      <c r="J66" s="426">
        <v>44476</v>
      </c>
      <c r="K66" s="426"/>
      <c r="L66" s="414"/>
      <c r="M66" s="414"/>
      <c r="N66" s="414"/>
      <c r="O66" s="414"/>
      <c r="P66" s="414"/>
      <c r="Q66" s="414"/>
      <c r="R66" s="414"/>
      <c r="S66" s="414"/>
      <c r="T66" s="414"/>
      <c r="U66" s="414"/>
      <c r="V66" s="414"/>
      <c r="W66" s="414"/>
      <c r="X66" s="414"/>
      <c r="Y66" s="414"/>
      <c r="Z66" s="414"/>
    </row>
    <row r="67" spans="1:26" ht="15.75" customHeight="1" x14ac:dyDescent="0.25">
      <c r="A67" s="466">
        <v>62</v>
      </c>
      <c r="B67" s="250" t="s">
        <v>7322</v>
      </c>
      <c r="C67" s="250" t="s">
        <v>6053</v>
      </c>
      <c r="D67" s="250" t="s">
        <v>6054</v>
      </c>
      <c r="E67" s="250" t="s">
        <v>5109</v>
      </c>
      <c r="F67" s="425">
        <v>3300</v>
      </c>
      <c r="G67" s="425">
        <v>3300</v>
      </c>
      <c r="H67" s="346" t="s">
        <v>5141</v>
      </c>
      <c r="I67" s="250" t="s">
        <v>5123</v>
      </c>
      <c r="J67" s="426">
        <v>44476</v>
      </c>
      <c r="K67" s="426"/>
      <c r="L67" s="414"/>
      <c r="M67" s="414"/>
      <c r="N67" s="414"/>
      <c r="O67" s="414"/>
      <c r="P67" s="414"/>
      <c r="Q67" s="414"/>
      <c r="R67" s="414"/>
      <c r="S67" s="414"/>
      <c r="T67" s="414"/>
      <c r="U67" s="414"/>
      <c r="V67" s="414"/>
      <c r="W67" s="414"/>
      <c r="X67" s="414"/>
      <c r="Y67" s="414"/>
      <c r="Z67" s="414"/>
    </row>
    <row r="68" spans="1:26" ht="15.75" customHeight="1" x14ac:dyDescent="0.25">
      <c r="A68" s="466">
        <v>63</v>
      </c>
      <c r="B68" s="250" t="s">
        <v>7322</v>
      </c>
      <c r="C68" s="250" t="s">
        <v>6055</v>
      </c>
      <c r="D68" s="250" t="s">
        <v>6056</v>
      </c>
      <c r="E68" s="250" t="s">
        <v>5109</v>
      </c>
      <c r="F68" s="425">
        <v>3300</v>
      </c>
      <c r="G68" s="425">
        <v>3300</v>
      </c>
      <c r="H68" s="346" t="s">
        <v>5141</v>
      </c>
      <c r="I68" s="250" t="s">
        <v>5123</v>
      </c>
      <c r="J68" s="426">
        <v>44476</v>
      </c>
      <c r="K68" s="426"/>
      <c r="L68" s="414"/>
      <c r="M68" s="414"/>
      <c r="N68" s="414"/>
      <c r="O68" s="414"/>
      <c r="P68" s="414"/>
      <c r="Q68" s="414"/>
      <c r="R68" s="414"/>
      <c r="S68" s="414"/>
      <c r="T68" s="414"/>
      <c r="U68" s="414"/>
      <c r="V68" s="414"/>
      <c r="W68" s="414"/>
      <c r="X68" s="414"/>
      <c r="Y68" s="414"/>
      <c r="Z68" s="414"/>
    </row>
    <row r="69" spans="1:26" ht="15.75" customHeight="1" x14ac:dyDescent="0.25">
      <c r="A69" s="466">
        <v>64</v>
      </c>
      <c r="B69" s="250"/>
      <c r="C69" s="250"/>
      <c r="D69" s="250"/>
      <c r="E69" s="250"/>
      <c r="F69" s="425"/>
      <c r="G69" s="425"/>
      <c r="H69" s="346"/>
      <c r="I69" s="250"/>
      <c r="J69" s="426"/>
      <c r="K69" s="426"/>
      <c r="L69" s="414"/>
      <c r="M69" s="414"/>
      <c r="N69" s="414"/>
      <c r="O69" s="414"/>
      <c r="P69" s="414"/>
      <c r="Q69" s="414"/>
      <c r="R69" s="414"/>
      <c r="S69" s="414"/>
      <c r="T69" s="414"/>
      <c r="U69" s="414"/>
      <c r="V69" s="414"/>
      <c r="W69" s="414"/>
      <c r="X69" s="414"/>
      <c r="Y69" s="414"/>
      <c r="Z69" s="414"/>
    </row>
    <row r="70" spans="1:26" ht="15.75" customHeight="1" x14ac:dyDescent="0.25">
      <c r="A70" s="466">
        <v>65</v>
      </c>
      <c r="B70" s="250"/>
      <c r="C70" s="250"/>
      <c r="D70" s="250"/>
      <c r="E70" s="250"/>
      <c r="F70" s="425"/>
      <c r="G70" s="425"/>
      <c r="H70" s="346"/>
      <c r="I70" s="250"/>
      <c r="J70" s="426"/>
      <c r="K70" s="426"/>
      <c r="L70" s="414"/>
      <c r="M70" s="414"/>
      <c r="N70" s="414"/>
      <c r="O70" s="414"/>
      <c r="P70" s="414"/>
      <c r="Q70" s="414"/>
      <c r="R70" s="414"/>
      <c r="S70" s="414"/>
      <c r="T70" s="414"/>
      <c r="U70" s="414"/>
      <c r="V70" s="414"/>
      <c r="W70" s="414"/>
      <c r="X70" s="414"/>
      <c r="Y70" s="414"/>
      <c r="Z70" s="414"/>
    </row>
    <row r="71" spans="1:26" ht="15.75" customHeight="1" x14ac:dyDescent="0.25">
      <c r="A71" s="466">
        <v>66</v>
      </c>
      <c r="B71" s="250"/>
      <c r="C71" s="250"/>
      <c r="D71" s="250"/>
      <c r="E71" s="250"/>
      <c r="F71" s="425"/>
      <c r="G71" s="425"/>
      <c r="H71" s="346"/>
      <c r="I71" s="250"/>
      <c r="J71" s="426"/>
      <c r="K71" s="426"/>
      <c r="L71" s="414"/>
      <c r="M71" s="414"/>
      <c r="N71" s="414"/>
      <c r="O71" s="414"/>
      <c r="P71" s="414"/>
      <c r="Q71" s="414"/>
      <c r="R71" s="414"/>
      <c r="S71" s="414"/>
      <c r="T71" s="414"/>
      <c r="U71" s="414"/>
      <c r="V71" s="414"/>
      <c r="W71" s="414"/>
      <c r="X71" s="414"/>
      <c r="Y71" s="414"/>
      <c r="Z71" s="414"/>
    </row>
    <row r="72" spans="1:26" ht="15.75" customHeight="1" x14ac:dyDescent="0.25">
      <c r="A72" s="466">
        <v>67</v>
      </c>
      <c r="B72" s="250"/>
      <c r="C72" s="250"/>
      <c r="D72" s="250"/>
      <c r="E72" s="250"/>
      <c r="F72" s="425"/>
      <c r="G72" s="425"/>
      <c r="H72" s="346"/>
      <c r="I72" s="250"/>
      <c r="J72" s="426"/>
      <c r="K72" s="426"/>
      <c r="L72" s="414"/>
      <c r="M72" s="414"/>
      <c r="N72" s="414"/>
      <c r="O72" s="414"/>
      <c r="P72" s="414"/>
      <c r="Q72" s="414"/>
      <c r="R72" s="414"/>
      <c r="S72" s="414"/>
      <c r="T72" s="414"/>
      <c r="U72" s="414"/>
      <c r="V72" s="414"/>
      <c r="W72" s="414"/>
      <c r="X72" s="414"/>
      <c r="Y72" s="414"/>
      <c r="Z72" s="414"/>
    </row>
    <row r="73" spans="1:26" ht="15.75" customHeight="1" x14ac:dyDescent="0.25">
      <c r="A73" s="466">
        <v>68</v>
      </c>
      <c r="B73" s="250"/>
      <c r="C73" s="250"/>
      <c r="D73" s="250"/>
      <c r="E73" s="250"/>
      <c r="F73" s="425"/>
      <c r="G73" s="425"/>
      <c r="H73" s="346"/>
      <c r="I73" s="250"/>
      <c r="J73" s="426"/>
      <c r="K73" s="426"/>
      <c r="L73" s="414"/>
      <c r="M73" s="414"/>
      <c r="N73" s="414"/>
      <c r="O73" s="414"/>
      <c r="P73" s="414"/>
      <c r="Q73" s="414"/>
      <c r="R73" s="414"/>
      <c r="S73" s="414"/>
      <c r="T73" s="414"/>
      <c r="U73" s="414"/>
      <c r="V73" s="414"/>
      <c r="W73" s="414"/>
      <c r="X73" s="414"/>
      <c r="Y73" s="414"/>
      <c r="Z73" s="414"/>
    </row>
    <row r="74" spans="1:26" ht="15.75" customHeight="1" x14ac:dyDescent="0.25">
      <c r="A74" s="466">
        <v>69</v>
      </c>
      <c r="B74" s="250"/>
      <c r="C74" s="250"/>
      <c r="D74" s="250"/>
      <c r="E74" s="250"/>
      <c r="F74" s="425"/>
      <c r="G74" s="425"/>
      <c r="H74" s="346"/>
      <c r="I74" s="250"/>
      <c r="J74" s="426"/>
      <c r="K74" s="426"/>
      <c r="L74" s="414"/>
      <c r="M74" s="414"/>
      <c r="N74" s="414"/>
      <c r="O74" s="414"/>
      <c r="P74" s="414"/>
      <c r="Q74" s="414"/>
      <c r="R74" s="414"/>
      <c r="S74" s="414"/>
      <c r="T74" s="414"/>
      <c r="U74" s="414"/>
      <c r="V74" s="414"/>
      <c r="W74" s="414"/>
      <c r="X74" s="414"/>
      <c r="Y74" s="414"/>
      <c r="Z74" s="414"/>
    </row>
    <row r="75" spans="1:26" ht="15.75" customHeight="1" x14ac:dyDescent="0.25">
      <c r="A75" s="466">
        <v>70</v>
      </c>
      <c r="B75" s="250"/>
      <c r="C75" s="250"/>
      <c r="D75" s="250"/>
      <c r="E75" s="250"/>
      <c r="F75" s="425"/>
      <c r="G75" s="425"/>
      <c r="H75" s="346"/>
      <c r="I75" s="250"/>
      <c r="J75" s="426"/>
      <c r="K75" s="426"/>
      <c r="L75" s="414"/>
      <c r="M75" s="414"/>
      <c r="N75" s="414"/>
      <c r="O75" s="414"/>
      <c r="P75" s="414"/>
      <c r="Q75" s="414"/>
      <c r="R75" s="414"/>
      <c r="S75" s="414"/>
      <c r="T75" s="414"/>
      <c r="U75" s="414"/>
      <c r="V75" s="414"/>
      <c r="W75" s="414"/>
      <c r="X75" s="414"/>
      <c r="Y75" s="414"/>
      <c r="Z75" s="414"/>
    </row>
    <row r="76" spans="1:26" ht="15.75" customHeight="1" x14ac:dyDescent="0.25">
      <c r="A76" s="466">
        <v>71</v>
      </c>
      <c r="B76" s="250"/>
      <c r="C76" s="250"/>
      <c r="D76" s="250"/>
      <c r="E76" s="250"/>
      <c r="F76" s="425"/>
      <c r="G76" s="425"/>
      <c r="H76" s="346"/>
      <c r="I76" s="250"/>
      <c r="J76" s="426"/>
      <c r="K76" s="426"/>
      <c r="L76" s="414"/>
      <c r="M76" s="414"/>
      <c r="N76" s="414"/>
      <c r="O76" s="414"/>
      <c r="P76" s="414"/>
      <c r="Q76" s="414"/>
      <c r="R76" s="414"/>
      <c r="S76" s="414"/>
      <c r="T76" s="414"/>
      <c r="U76" s="414"/>
      <c r="V76" s="414"/>
      <c r="W76" s="414"/>
      <c r="X76" s="414"/>
      <c r="Y76" s="414"/>
      <c r="Z76" s="414"/>
    </row>
    <row r="77" spans="1:26" ht="15.75" customHeight="1" x14ac:dyDescent="0.25">
      <c r="A77" s="466">
        <v>72</v>
      </c>
      <c r="B77" s="250"/>
      <c r="C77" s="250"/>
      <c r="D77" s="250"/>
      <c r="E77" s="250"/>
      <c r="F77" s="425"/>
      <c r="G77" s="425"/>
      <c r="H77" s="346"/>
      <c r="I77" s="250"/>
      <c r="J77" s="426"/>
      <c r="K77" s="426"/>
      <c r="L77" s="414"/>
      <c r="M77" s="414"/>
      <c r="N77" s="414"/>
      <c r="O77" s="414"/>
      <c r="P77" s="414"/>
      <c r="Q77" s="414"/>
      <c r="R77" s="414"/>
      <c r="S77" s="414"/>
      <c r="T77" s="414"/>
      <c r="U77" s="414"/>
      <c r="V77" s="414"/>
      <c r="W77" s="414"/>
      <c r="X77" s="414"/>
      <c r="Y77" s="414"/>
      <c r="Z77" s="414"/>
    </row>
    <row r="78" spans="1:26" ht="15.75" customHeight="1" x14ac:dyDescent="0.25">
      <c r="A78" s="466">
        <v>73</v>
      </c>
      <c r="B78" s="250"/>
      <c r="C78" s="250"/>
      <c r="D78" s="250"/>
      <c r="E78" s="250"/>
      <c r="F78" s="425"/>
      <c r="G78" s="425"/>
      <c r="H78" s="346"/>
      <c r="I78" s="250"/>
      <c r="J78" s="426"/>
      <c r="K78" s="426"/>
      <c r="L78" s="414"/>
      <c r="M78" s="414"/>
      <c r="N78" s="414"/>
      <c r="O78" s="414"/>
      <c r="P78" s="414"/>
      <c r="Q78" s="414"/>
      <c r="R78" s="414"/>
      <c r="S78" s="414"/>
      <c r="T78" s="414"/>
      <c r="U78" s="414"/>
      <c r="V78" s="414"/>
      <c r="W78" s="414"/>
      <c r="X78" s="414"/>
      <c r="Y78" s="414"/>
      <c r="Z78" s="414"/>
    </row>
    <row r="79" spans="1:26" ht="15.75" customHeight="1" x14ac:dyDescent="0.25">
      <c r="A79" s="466">
        <v>74</v>
      </c>
      <c r="B79" s="250"/>
      <c r="C79" s="250"/>
      <c r="D79" s="250"/>
      <c r="E79" s="250"/>
      <c r="F79" s="425"/>
      <c r="G79" s="425"/>
      <c r="H79" s="346"/>
      <c r="I79" s="250"/>
      <c r="J79" s="426"/>
      <c r="K79" s="426"/>
      <c r="L79" s="414"/>
      <c r="M79" s="414"/>
      <c r="N79" s="414"/>
      <c r="O79" s="414"/>
      <c r="P79" s="414"/>
      <c r="Q79" s="414"/>
      <c r="R79" s="414"/>
      <c r="S79" s="414"/>
      <c r="T79" s="414"/>
      <c r="U79" s="414"/>
      <c r="V79" s="414"/>
      <c r="W79" s="414"/>
      <c r="X79" s="414"/>
      <c r="Y79" s="414"/>
      <c r="Z79" s="414"/>
    </row>
    <row r="80" spans="1:26" ht="15.75" customHeight="1" x14ac:dyDescent="0.25">
      <c r="A80" s="466">
        <v>75</v>
      </c>
      <c r="B80" s="250"/>
      <c r="C80" s="250"/>
      <c r="D80" s="250"/>
      <c r="E80" s="250"/>
      <c r="F80" s="425"/>
      <c r="G80" s="425"/>
      <c r="H80" s="346"/>
      <c r="I80" s="250"/>
      <c r="J80" s="426"/>
      <c r="K80" s="426"/>
      <c r="L80" s="414"/>
      <c r="M80" s="414"/>
      <c r="N80" s="414"/>
      <c r="O80" s="414"/>
      <c r="P80" s="414"/>
      <c r="Q80" s="414"/>
      <c r="R80" s="414"/>
      <c r="S80" s="414"/>
      <c r="T80" s="414"/>
      <c r="U80" s="414"/>
      <c r="V80" s="414"/>
      <c r="W80" s="414"/>
      <c r="X80" s="414"/>
      <c r="Y80" s="414"/>
      <c r="Z80" s="414"/>
    </row>
    <row r="81" spans="1:26" ht="15.75" customHeight="1" x14ac:dyDescent="0.25">
      <c r="A81" s="466">
        <v>76</v>
      </c>
      <c r="B81" s="250"/>
      <c r="C81" s="250"/>
      <c r="D81" s="250"/>
      <c r="E81" s="250"/>
      <c r="F81" s="425"/>
      <c r="G81" s="425"/>
      <c r="H81" s="346"/>
      <c r="I81" s="250"/>
      <c r="J81" s="426"/>
      <c r="K81" s="426"/>
      <c r="L81" s="414"/>
      <c r="M81" s="414"/>
      <c r="N81" s="414"/>
      <c r="O81" s="414"/>
      <c r="P81" s="414"/>
      <c r="Q81" s="414"/>
      <c r="R81" s="414"/>
      <c r="S81" s="414"/>
      <c r="T81" s="414"/>
      <c r="U81" s="414"/>
      <c r="V81" s="414"/>
      <c r="W81" s="414"/>
      <c r="X81" s="414"/>
      <c r="Y81" s="414"/>
      <c r="Z81" s="414"/>
    </row>
    <row r="82" spans="1:26" ht="15.75" customHeight="1" x14ac:dyDescent="0.25">
      <c r="A82" s="466">
        <v>77</v>
      </c>
      <c r="B82" s="250"/>
      <c r="C82" s="250"/>
      <c r="D82" s="250"/>
      <c r="E82" s="250"/>
      <c r="F82" s="425"/>
      <c r="G82" s="425"/>
      <c r="H82" s="346"/>
      <c r="I82" s="250"/>
      <c r="J82" s="426"/>
      <c r="K82" s="426"/>
      <c r="L82" s="414"/>
      <c r="M82" s="414"/>
      <c r="N82" s="414"/>
      <c r="O82" s="414"/>
      <c r="P82" s="414"/>
      <c r="Q82" s="414"/>
      <c r="R82" s="414"/>
      <c r="S82" s="414"/>
      <c r="T82" s="414"/>
      <c r="U82" s="414"/>
      <c r="V82" s="414"/>
      <c r="W82" s="414"/>
      <c r="X82" s="414"/>
      <c r="Y82" s="414"/>
      <c r="Z82" s="414"/>
    </row>
    <row r="83" spans="1:26" ht="15.75" customHeight="1" x14ac:dyDescent="0.25">
      <c r="A83" s="466">
        <v>78</v>
      </c>
      <c r="B83" s="250"/>
      <c r="C83" s="250"/>
      <c r="D83" s="250"/>
      <c r="E83" s="250"/>
      <c r="F83" s="425"/>
      <c r="G83" s="425"/>
      <c r="H83" s="346"/>
      <c r="I83" s="250"/>
      <c r="J83" s="426"/>
      <c r="K83" s="426"/>
      <c r="L83" s="414"/>
      <c r="M83" s="414"/>
      <c r="N83" s="414"/>
      <c r="O83" s="414"/>
      <c r="P83" s="414"/>
      <c r="Q83" s="414"/>
      <c r="R83" s="414"/>
      <c r="S83" s="414"/>
      <c r="T83" s="414"/>
      <c r="U83" s="414"/>
      <c r="V83" s="414"/>
      <c r="W83" s="414"/>
      <c r="X83" s="414"/>
      <c r="Y83" s="414"/>
      <c r="Z83" s="414"/>
    </row>
    <row r="84" spans="1:26" ht="15.75" customHeight="1" x14ac:dyDescent="0.25">
      <c r="A84" s="466">
        <v>79</v>
      </c>
      <c r="B84" s="250"/>
      <c r="C84" s="250"/>
      <c r="D84" s="250"/>
      <c r="E84" s="250"/>
      <c r="F84" s="425"/>
      <c r="G84" s="425"/>
      <c r="H84" s="346"/>
      <c r="I84" s="250"/>
      <c r="J84" s="426"/>
      <c r="K84" s="426"/>
      <c r="L84" s="414"/>
      <c r="M84" s="414"/>
      <c r="N84" s="414"/>
      <c r="O84" s="414"/>
      <c r="P84" s="414"/>
      <c r="Q84" s="414"/>
      <c r="R84" s="414"/>
      <c r="S84" s="414"/>
      <c r="T84" s="414"/>
      <c r="U84" s="414"/>
      <c r="V84" s="414"/>
      <c r="W84" s="414"/>
      <c r="X84" s="414"/>
      <c r="Y84" s="414"/>
      <c r="Z84" s="414"/>
    </row>
    <row r="85" spans="1:26" ht="15.75" customHeight="1" x14ac:dyDescent="0.25">
      <c r="A85" s="466">
        <v>80</v>
      </c>
      <c r="B85" s="250"/>
      <c r="C85" s="250"/>
      <c r="D85" s="250"/>
      <c r="E85" s="250"/>
      <c r="F85" s="425"/>
      <c r="G85" s="425"/>
      <c r="H85" s="346"/>
      <c r="I85" s="250"/>
      <c r="J85" s="426"/>
      <c r="K85" s="426"/>
      <c r="L85" s="414"/>
      <c r="M85" s="414"/>
      <c r="N85" s="414"/>
      <c r="O85" s="414"/>
      <c r="P85" s="414"/>
      <c r="Q85" s="414"/>
      <c r="R85" s="414"/>
      <c r="S85" s="414"/>
      <c r="T85" s="414"/>
      <c r="U85" s="414"/>
      <c r="V85" s="414"/>
      <c r="W85" s="414"/>
      <c r="X85" s="414"/>
      <c r="Y85" s="414"/>
      <c r="Z85" s="414"/>
    </row>
    <row r="86" spans="1:26" ht="15.75" customHeight="1" x14ac:dyDescent="0.25">
      <c r="A86" s="466">
        <v>81</v>
      </c>
      <c r="B86" s="250"/>
      <c r="C86" s="250"/>
      <c r="D86" s="250"/>
      <c r="E86" s="250"/>
      <c r="F86" s="425"/>
      <c r="G86" s="425"/>
      <c r="H86" s="346"/>
      <c r="I86" s="250"/>
      <c r="J86" s="426"/>
      <c r="K86" s="426"/>
      <c r="L86" s="414"/>
      <c r="M86" s="414"/>
      <c r="N86" s="414"/>
      <c r="O86" s="414"/>
      <c r="P86" s="414"/>
      <c r="Q86" s="414"/>
      <c r="R86" s="414"/>
      <c r="S86" s="414"/>
      <c r="T86" s="414"/>
      <c r="U86" s="414"/>
      <c r="V86" s="414"/>
      <c r="W86" s="414"/>
      <c r="X86" s="414"/>
      <c r="Y86" s="414"/>
      <c r="Z86" s="414"/>
    </row>
    <row r="87" spans="1:26" ht="15.75" customHeight="1" x14ac:dyDescent="0.25">
      <c r="A87" s="466">
        <v>82</v>
      </c>
      <c r="B87" s="250"/>
      <c r="C87" s="250"/>
      <c r="D87" s="250"/>
      <c r="E87" s="250"/>
      <c r="F87" s="425"/>
      <c r="G87" s="425"/>
      <c r="H87" s="346"/>
      <c r="I87" s="250"/>
      <c r="J87" s="426"/>
      <c r="K87" s="426"/>
      <c r="L87" s="414"/>
      <c r="M87" s="414"/>
      <c r="N87" s="414"/>
      <c r="O87" s="414"/>
      <c r="P87" s="414"/>
      <c r="Q87" s="414"/>
      <c r="R87" s="414"/>
      <c r="S87" s="414"/>
      <c r="T87" s="414"/>
      <c r="U87" s="414"/>
      <c r="V87" s="414"/>
      <c r="W87" s="414"/>
      <c r="X87" s="414"/>
      <c r="Y87" s="414"/>
      <c r="Z87" s="414"/>
    </row>
    <row r="88" spans="1:26" ht="15.75" customHeight="1" x14ac:dyDescent="0.25">
      <c r="A88" s="466">
        <v>83</v>
      </c>
      <c r="B88" s="250"/>
      <c r="C88" s="250"/>
      <c r="D88" s="250"/>
      <c r="E88" s="250"/>
      <c r="F88" s="425"/>
      <c r="G88" s="425"/>
      <c r="H88" s="346"/>
      <c r="I88" s="250"/>
      <c r="J88" s="426"/>
      <c r="K88" s="426"/>
      <c r="L88" s="414"/>
      <c r="M88" s="414"/>
      <c r="N88" s="414"/>
      <c r="O88" s="414"/>
      <c r="P88" s="414"/>
      <c r="Q88" s="414"/>
      <c r="R88" s="414"/>
      <c r="S88" s="414"/>
      <c r="T88" s="414"/>
      <c r="U88" s="414"/>
      <c r="V88" s="414"/>
      <c r="W88" s="414"/>
      <c r="X88" s="414"/>
      <c r="Y88" s="414"/>
      <c r="Z88" s="414"/>
    </row>
    <row r="89" spans="1:26" ht="15.75" customHeight="1" x14ac:dyDescent="0.25">
      <c r="A89" s="466">
        <v>84</v>
      </c>
      <c r="B89" s="250"/>
      <c r="C89" s="250"/>
      <c r="D89" s="250"/>
      <c r="E89" s="250"/>
      <c r="F89" s="425"/>
      <c r="G89" s="425"/>
      <c r="H89" s="346"/>
      <c r="I89" s="250"/>
      <c r="J89" s="426"/>
      <c r="K89" s="426"/>
      <c r="L89" s="414"/>
      <c r="M89" s="414"/>
      <c r="N89" s="414"/>
      <c r="O89" s="414"/>
      <c r="P89" s="414"/>
      <c r="Q89" s="414"/>
      <c r="R89" s="414"/>
      <c r="S89" s="414"/>
      <c r="T89" s="414"/>
      <c r="U89" s="414"/>
      <c r="V89" s="414"/>
      <c r="W89" s="414"/>
      <c r="X89" s="414"/>
      <c r="Y89" s="414"/>
      <c r="Z89" s="414"/>
    </row>
    <row r="90" spans="1:26" ht="15.75" customHeight="1" x14ac:dyDescent="0.25">
      <c r="A90" s="466">
        <v>85</v>
      </c>
      <c r="B90" s="250"/>
      <c r="C90" s="250"/>
      <c r="D90" s="250"/>
      <c r="E90" s="250"/>
      <c r="F90" s="425"/>
      <c r="G90" s="425"/>
      <c r="H90" s="346"/>
      <c r="I90" s="250"/>
      <c r="J90" s="426"/>
      <c r="K90" s="426"/>
      <c r="L90" s="414"/>
      <c r="M90" s="414"/>
      <c r="N90" s="414"/>
      <c r="O90" s="414"/>
      <c r="P90" s="414"/>
      <c r="Q90" s="414"/>
      <c r="R90" s="414"/>
      <c r="S90" s="414"/>
      <c r="T90" s="414"/>
      <c r="U90" s="414"/>
      <c r="V90" s="414"/>
      <c r="W90" s="414"/>
      <c r="X90" s="414"/>
      <c r="Y90" s="414"/>
      <c r="Z90" s="414"/>
    </row>
    <row r="91" spans="1:26" ht="15.75" customHeight="1" x14ac:dyDescent="0.25">
      <c r="A91" s="466">
        <v>86</v>
      </c>
      <c r="B91" s="250"/>
      <c r="C91" s="250"/>
      <c r="D91" s="250"/>
      <c r="E91" s="250"/>
      <c r="F91" s="425"/>
      <c r="G91" s="425"/>
      <c r="H91" s="346"/>
      <c r="I91" s="250"/>
      <c r="J91" s="426"/>
      <c r="K91" s="426"/>
      <c r="L91" s="414"/>
      <c r="M91" s="414"/>
      <c r="N91" s="414"/>
      <c r="O91" s="414"/>
      <c r="P91" s="414"/>
      <c r="Q91" s="414"/>
      <c r="R91" s="414"/>
      <c r="S91" s="414"/>
      <c r="T91" s="414"/>
      <c r="U91" s="414"/>
      <c r="V91" s="414"/>
      <c r="W91" s="414"/>
      <c r="X91" s="414"/>
      <c r="Y91" s="414"/>
      <c r="Z91" s="414"/>
    </row>
    <row r="92" spans="1:26" ht="15.75" customHeight="1" x14ac:dyDescent="0.25">
      <c r="A92" s="466">
        <v>87</v>
      </c>
      <c r="B92" s="250"/>
      <c r="C92" s="250"/>
      <c r="D92" s="250"/>
      <c r="E92" s="250"/>
      <c r="F92" s="425"/>
      <c r="G92" s="425"/>
      <c r="H92" s="346"/>
      <c r="I92" s="250"/>
      <c r="J92" s="426"/>
      <c r="K92" s="426"/>
      <c r="L92" s="414"/>
      <c r="M92" s="414"/>
      <c r="N92" s="414"/>
      <c r="O92" s="414"/>
      <c r="P92" s="414"/>
      <c r="Q92" s="414"/>
      <c r="R92" s="414"/>
      <c r="S92" s="414"/>
      <c r="T92" s="414"/>
      <c r="U92" s="414"/>
      <c r="V92" s="414"/>
      <c r="W92" s="414"/>
      <c r="X92" s="414"/>
      <c r="Y92" s="414"/>
      <c r="Z92" s="414"/>
    </row>
    <row r="93" spans="1:26" ht="15.75" customHeight="1" x14ac:dyDescent="0.25">
      <c r="A93" s="466">
        <v>88</v>
      </c>
      <c r="B93" s="250"/>
      <c r="C93" s="250"/>
      <c r="D93" s="250"/>
      <c r="E93" s="250"/>
      <c r="F93" s="425"/>
      <c r="G93" s="425"/>
      <c r="H93" s="346"/>
      <c r="I93" s="250"/>
      <c r="J93" s="426"/>
      <c r="K93" s="426"/>
      <c r="L93" s="414"/>
      <c r="M93" s="414"/>
      <c r="N93" s="414"/>
      <c r="O93" s="414"/>
      <c r="P93" s="414"/>
      <c r="Q93" s="414"/>
      <c r="R93" s="414"/>
      <c r="S93" s="414"/>
      <c r="T93" s="414"/>
      <c r="U93" s="414"/>
      <c r="V93" s="414"/>
      <c r="W93" s="414"/>
      <c r="X93" s="414"/>
      <c r="Y93" s="414"/>
      <c r="Z93" s="414"/>
    </row>
    <row r="94" spans="1:26" ht="15.75" customHeight="1" x14ac:dyDescent="0.25">
      <c r="A94" s="466">
        <v>89</v>
      </c>
      <c r="B94" s="250"/>
      <c r="C94" s="250"/>
      <c r="D94" s="250"/>
      <c r="E94" s="250"/>
      <c r="F94" s="425"/>
      <c r="G94" s="425"/>
      <c r="H94" s="346"/>
      <c r="I94" s="250"/>
      <c r="J94" s="426"/>
      <c r="K94" s="426"/>
      <c r="L94" s="414"/>
      <c r="M94" s="414"/>
      <c r="N94" s="414"/>
      <c r="O94" s="414"/>
      <c r="P94" s="414"/>
      <c r="Q94" s="414"/>
      <c r="R94" s="414"/>
      <c r="S94" s="414"/>
      <c r="T94" s="414"/>
      <c r="U94" s="414"/>
      <c r="V94" s="414"/>
      <c r="W94" s="414"/>
      <c r="X94" s="414"/>
      <c r="Y94" s="414"/>
      <c r="Z94" s="414"/>
    </row>
    <row r="95" spans="1:26" ht="15.75" customHeight="1" x14ac:dyDescent="0.25">
      <c r="A95" s="466">
        <v>90</v>
      </c>
      <c r="B95" s="250"/>
      <c r="C95" s="250"/>
      <c r="D95" s="250"/>
      <c r="E95" s="250"/>
      <c r="F95" s="425"/>
      <c r="G95" s="425"/>
      <c r="H95" s="346"/>
      <c r="I95" s="250"/>
      <c r="J95" s="426"/>
      <c r="K95" s="426"/>
      <c r="L95" s="414"/>
      <c r="M95" s="414"/>
      <c r="N95" s="414"/>
      <c r="O95" s="414"/>
      <c r="P95" s="414"/>
      <c r="Q95" s="414"/>
      <c r="R95" s="414"/>
      <c r="S95" s="414"/>
      <c r="T95" s="414"/>
      <c r="U95" s="414"/>
      <c r="V95" s="414"/>
      <c r="W95" s="414"/>
      <c r="X95" s="414"/>
      <c r="Y95" s="414"/>
      <c r="Z95" s="414"/>
    </row>
    <row r="96" spans="1:26" ht="15.75" customHeight="1" x14ac:dyDescent="0.25">
      <c r="A96" s="466">
        <v>91</v>
      </c>
      <c r="B96" s="250"/>
      <c r="C96" s="250"/>
      <c r="D96" s="250"/>
      <c r="E96" s="250"/>
      <c r="F96" s="425"/>
      <c r="G96" s="425"/>
      <c r="H96" s="346"/>
      <c r="I96" s="250"/>
      <c r="J96" s="426"/>
      <c r="K96" s="426"/>
      <c r="L96" s="414"/>
      <c r="M96" s="414"/>
      <c r="N96" s="414"/>
      <c r="O96" s="414"/>
      <c r="P96" s="414"/>
      <c r="Q96" s="414"/>
      <c r="R96" s="414"/>
      <c r="S96" s="414"/>
      <c r="T96" s="414"/>
      <c r="U96" s="414"/>
      <c r="V96" s="414"/>
      <c r="W96" s="414"/>
      <c r="X96" s="414"/>
      <c r="Y96" s="414"/>
      <c r="Z96" s="414"/>
    </row>
    <row r="97" spans="1:26" ht="15.75" customHeight="1" x14ac:dyDescent="0.25">
      <c r="A97" s="466">
        <v>92</v>
      </c>
      <c r="B97" s="250"/>
      <c r="C97" s="250"/>
      <c r="D97" s="250"/>
      <c r="E97" s="250"/>
      <c r="F97" s="425"/>
      <c r="G97" s="425"/>
      <c r="H97" s="346"/>
      <c r="I97" s="250"/>
      <c r="J97" s="426"/>
      <c r="K97" s="426"/>
      <c r="L97" s="414"/>
      <c r="M97" s="414"/>
      <c r="N97" s="414"/>
      <c r="O97" s="414"/>
      <c r="P97" s="414"/>
      <c r="Q97" s="414"/>
      <c r="R97" s="414"/>
      <c r="S97" s="414"/>
      <c r="T97" s="414"/>
      <c r="U97" s="414"/>
      <c r="V97" s="414"/>
      <c r="W97" s="414"/>
      <c r="X97" s="414"/>
      <c r="Y97" s="414"/>
      <c r="Z97" s="414"/>
    </row>
    <row r="98" spans="1:26" ht="15.75" customHeight="1" x14ac:dyDescent="0.25">
      <c r="A98" s="466">
        <v>93</v>
      </c>
      <c r="B98" s="250"/>
      <c r="C98" s="250"/>
      <c r="D98" s="250"/>
      <c r="E98" s="250"/>
      <c r="F98" s="425"/>
      <c r="G98" s="425"/>
      <c r="H98" s="346"/>
      <c r="I98" s="250"/>
      <c r="J98" s="426"/>
      <c r="K98" s="426"/>
      <c r="L98" s="414"/>
      <c r="M98" s="414"/>
      <c r="N98" s="414"/>
      <c r="O98" s="414"/>
      <c r="P98" s="414"/>
      <c r="Q98" s="414"/>
      <c r="R98" s="414"/>
      <c r="S98" s="414"/>
      <c r="T98" s="414"/>
      <c r="U98" s="414"/>
      <c r="V98" s="414"/>
      <c r="W98" s="414"/>
      <c r="X98" s="414"/>
      <c r="Y98" s="414"/>
      <c r="Z98" s="414"/>
    </row>
    <row r="99" spans="1:26" ht="15.75" customHeight="1" x14ac:dyDescent="0.25">
      <c r="A99" s="466">
        <v>94</v>
      </c>
      <c r="B99" s="250"/>
      <c r="C99" s="250"/>
      <c r="D99" s="250"/>
      <c r="E99" s="250"/>
      <c r="F99" s="425"/>
      <c r="G99" s="425"/>
      <c r="H99" s="346"/>
      <c r="I99" s="250"/>
      <c r="J99" s="426"/>
      <c r="K99" s="426"/>
      <c r="L99" s="414"/>
      <c r="M99" s="414"/>
      <c r="N99" s="414"/>
      <c r="O99" s="414"/>
      <c r="P99" s="414"/>
      <c r="Q99" s="414"/>
      <c r="R99" s="414"/>
      <c r="S99" s="414"/>
      <c r="T99" s="414"/>
      <c r="U99" s="414"/>
      <c r="V99" s="414"/>
      <c r="W99" s="414"/>
      <c r="X99" s="414"/>
      <c r="Y99" s="414"/>
      <c r="Z99" s="414"/>
    </row>
    <row r="100" spans="1:26" ht="15.75" customHeight="1" x14ac:dyDescent="0.25">
      <c r="A100" s="466">
        <v>95</v>
      </c>
      <c r="B100" s="250"/>
      <c r="C100" s="250"/>
      <c r="D100" s="250"/>
      <c r="E100" s="250"/>
      <c r="F100" s="425"/>
      <c r="G100" s="425"/>
      <c r="H100" s="346"/>
      <c r="I100" s="250"/>
      <c r="J100" s="426"/>
      <c r="K100" s="426"/>
      <c r="L100" s="414"/>
      <c r="M100" s="414"/>
      <c r="N100" s="414"/>
      <c r="O100" s="414"/>
      <c r="P100" s="414"/>
      <c r="Q100" s="414"/>
      <c r="R100" s="414"/>
      <c r="S100" s="414"/>
      <c r="T100" s="414"/>
      <c r="U100" s="414"/>
      <c r="V100" s="414"/>
      <c r="W100" s="414"/>
      <c r="X100" s="414"/>
      <c r="Y100" s="414"/>
      <c r="Z100" s="414"/>
    </row>
    <row r="101" spans="1:26" ht="15.75" customHeight="1" x14ac:dyDescent="0.25">
      <c r="A101" s="466">
        <v>96</v>
      </c>
      <c r="B101" s="250"/>
      <c r="C101" s="250"/>
      <c r="D101" s="250"/>
      <c r="E101" s="250"/>
      <c r="F101" s="425"/>
      <c r="G101" s="425"/>
      <c r="H101" s="346"/>
      <c r="I101" s="250"/>
      <c r="J101" s="426"/>
      <c r="K101" s="426"/>
      <c r="L101" s="414"/>
      <c r="M101" s="414"/>
      <c r="N101" s="414"/>
      <c r="O101" s="414"/>
      <c r="P101" s="414"/>
      <c r="Q101" s="414"/>
      <c r="R101" s="414"/>
      <c r="S101" s="414"/>
      <c r="T101" s="414"/>
      <c r="U101" s="414"/>
      <c r="V101" s="414"/>
      <c r="W101" s="414"/>
      <c r="X101" s="414"/>
      <c r="Y101" s="414"/>
      <c r="Z101" s="414"/>
    </row>
    <row r="102" spans="1:26" ht="15.75" customHeight="1" x14ac:dyDescent="0.25">
      <c r="A102" s="466">
        <v>97</v>
      </c>
      <c r="B102" s="250"/>
      <c r="C102" s="250"/>
      <c r="D102" s="250"/>
      <c r="E102" s="250"/>
      <c r="F102" s="425"/>
      <c r="G102" s="425"/>
      <c r="H102" s="346"/>
      <c r="I102" s="250"/>
      <c r="J102" s="426"/>
      <c r="K102" s="426"/>
      <c r="L102" s="414"/>
      <c r="M102" s="414"/>
      <c r="N102" s="414"/>
      <c r="O102" s="414"/>
      <c r="P102" s="414"/>
      <c r="Q102" s="414"/>
      <c r="R102" s="414"/>
      <c r="S102" s="414"/>
      <c r="T102" s="414"/>
      <c r="U102" s="414"/>
      <c r="V102" s="414"/>
      <c r="W102" s="414"/>
      <c r="X102" s="414"/>
      <c r="Y102" s="414"/>
      <c r="Z102" s="414"/>
    </row>
    <row r="103" spans="1:26" ht="15.75" customHeight="1" x14ac:dyDescent="0.25">
      <c r="A103" s="466">
        <v>98</v>
      </c>
      <c r="B103" s="250"/>
      <c r="C103" s="250"/>
      <c r="D103" s="250"/>
      <c r="E103" s="250"/>
      <c r="F103" s="425"/>
      <c r="G103" s="425"/>
      <c r="H103" s="346"/>
      <c r="I103" s="250"/>
      <c r="J103" s="426"/>
      <c r="K103" s="426"/>
      <c r="L103" s="414"/>
      <c r="M103" s="414"/>
      <c r="N103" s="414"/>
      <c r="O103" s="414"/>
      <c r="P103" s="414"/>
      <c r="Q103" s="414"/>
      <c r="R103" s="414"/>
      <c r="S103" s="414"/>
      <c r="T103" s="414"/>
      <c r="U103" s="414"/>
      <c r="V103" s="414"/>
      <c r="W103" s="414"/>
      <c r="X103" s="414"/>
      <c r="Y103" s="414"/>
      <c r="Z103" s="414"/>
    </row>
    <row r="104" spans="1:26" ht="15.75" customHeight="1" x14ac:dyDescent="0.25">
      <c r="A104" s="466">
        <v>99</v>
      </c>
      <c r="B104" s="250"/>
      <c r="C104" s="250"/>
      <c r="D104" s="250"/>
      <c r="E104" s="250"/>
      <c r="F104" s="425"/>
      <c r="G104" s="425"/>
      <c r="H104" s="346"/>
      <c r="I104" s="250"/>
      <c r="J104" s="426"/>
      <c r="K104" s="426"/>
      <c r="L104" s="414"/>
      <c r="M104" s="414"/>
      <c r="N104" s="414"/>
      <c r="O104" s="414"/>
      <c r="P104" s="414"/>
      <c r="Q104" s="414"/>
      <c r="R104" s="414"/>
      <c r="S104" s="414"/>
      <c r="T104" s="414"/>
      <c r="U104" s="414"/>
      <c r="V104" s="414"/>
      <c r="W104" s="414"/>
      <c r="X104" s="414"/>
      <c r="Y104" s="414"/>
      <c r="Z104" s="414"/>
    </row>
    <row r="105" spans="1:26" ht="15.75" customHeight="1" x14ac:dyDescent="0.25">
      <c r="A105" s="466">
        <v>100</v>
      </c>
      <c r="B105" s="250"/>
      <c r="C105" s="250"/>
      <c r="D105" s="250"/>
      <c r="E105" s="250"/>
      <c r="F105" s="425"/>
      <c r="G105" s="425"/>
      <c r="H105" s="346"/>
      <c r="I105" s="250"/>
      <c r="J105" s="426"/>
      <c r="K105" s="426"/>
      <c r="L105" s="414"/>
      <c r="M105" s="414"/>
      <c r="N105" s="414"/>
      <c r="O105" s="414"/>
      <c r="P105" s="414"/>
      <c r="Q105" s="414"/>
      <c r="R105" s="414"/>
      <c r="S105" s="414"/>
      <c r="T105" s="414"/>
      <c r="U105" s="414"/>
      <c r="V105" s="414"/>
      <c r="W105" s="414"/>
      <c r="X105" s="414"/>
      <c r="Y105" s="414"/>
      <c r="Z105" s="414"/>
    </row>
    <row r="106" spans="1:26" ht="15.75" customHeight="1" x14ac:dyDescent="0.25">
      <c r="A106" s="466">
        <v>101</v>
      </c>
      <c r="B106" s="250"/>
      <c r="C106" s="250"/>
      <c r="D106" s="250"/>
      <c r="E106" s="250"/>
      <c r="F106" s="425"/>
      <c r="G106" s="425"/>
      <c r="H106" s="346"/>
      <c r="I106" s="250"/>
      <c r="J106" s="426"/>
      <c r="K106" s="426"/>
      <c r="L106" s="414"/>
      <c r="M106" s="414"/>
      <c r="N106" s="414"/>
      <c r="O106" s="414"/>
      <c r="P106" s="414"/>
      <c r="Q106" s="414"/>
      <c r="R106" s="414"/>
      <c r="S106" s="414"/>
      <c r="T106" s="414"/>
      <c r="U106" s="414"/>
      <c r="V106" s="414"/>
      <c r="W106" s="414"/>
      <c r="X106" s="414"/>
      <c r="Y106" s="414"/>
      <c r="Z106" s="414"/>
    </row>
    <row r="107" spans="1:26" ht="15.75" customHeight="1" x14ac:dyDescent="0.25">
      <c r="A107" s="466">
        <v>102</v>
      </c>
      <c r="B107" s="250"/>
      <c r="C107" s="250"/>
      <c r="D107" s="250"/>
      <c r="E107" s="250"/>
      <c r="F107" s="425"/>
      <c r="G107" s="425"/>
      <c r="H107" s="346"/>
      <c r="I107" s="250"/>
      <c r="J107" s="426"/>
      <c r="K107" s="426"/>
      <c r="L107" s="414"/>
      <c r="M107" s="414"/>
      <c r="N107" s="414"/>
      <c r="O107" s="414"/>
      <c r="P107" s="414"/>
      <c r="Q107" s="414"/>
      <c r="R107" s="414"/>
      <c r="S107" s="414"/>
      <c r="T107" s="414"/>
      <c r="U107" s="414"/>
      <c r="V107" s="414"/>
      <c r="W107" s="414"/>
      <c r="X107" s="414"/>
      <c r="Y107" s="414"/>
      <c r="Z107" s="414"/>
    </row>
    <row r="108" spans="1:26" ht="15.75" customHeight="1" x14ac:dyDescent="0.25">
      <c r="A108" s="466">
        <v>103</v>
      </c>
      <c r="B108" s="250"/>
      <c r="C108" s="250"/>
      <c r="D108" s="250"/>
      <c r="E108" s="250"/>
      <c r="F108" s="425"/>
      <c r="G108" s="425"/>
      <c r="H108" s="346"/>
      <c r="I108" s="250"/>
      <c r="J108" s="426"/>
      <c r="K108" s="426"/>
      <c r="L108" s="414"/>
      <c r="M108" s="414"/>
      <c r="N108" s="414"/>
      <c r="O108" s="414"/>
      <c r="P108" s="414"/>
      <c r="Q108" s="414"/>
      <c r="R108" s="414"/>
      <c r="S108" s="414"/>
      <c r="T108" s="414"/>
      <c r="U108" s="414"/>
      <c r="V108" s="414"/>
      <c r="W108" s="414"/>
      <c r="X108" s="414"/>
      <c r="Y108" s="414"/>
      <c r="Z108" s="414"/>
    </row>
    <row r="109" spans="1:26" ht="15.75" customHeight="1" x14ac:dyDescent="0.25">
      <c r="A109" s="466">
        <v>104</v>
      </c>
      <c r="B109" s="250"/>
      <c r="C109" s="250"/>
      <c r="D109" s="250"/>
      <c r="E109" s="250"/>
      <c r="F109" s="425"/>
      <c r="G109" s="425"/>
      <c r="H109" s="346"/>
      <c r="I109" s="250"/>
      <c r="J109" s="426"/>
      <c r="K109" s="426"/>
      <c r="L109" s="414"/>
      <c r="M109" s="414"/>
      <c r="N109" s="414"/>
      <c r="O109" s="414"/>
      <c r="P109" s="414"/>
      <c r="Q109" s="414"/>
      <c r="R109" s="414"/>
      <c r="S109" s="414"/>
      <c r="T109" s="414"/>
      <c r="U109" s="414"/>
      <c r="V109" s="414"/>
      <c r="W109" s="414"/>
      <c r="X109" s="414"/>
      <c r="Y109" s="414"/>
      <c r="Z109" s="414"/>
    </row>
    <row r="110" spans="1:26" ht="15.75" customHeight="1" x14ac:dyDescent="0.25">
      <c r="A110" s="466">
        <v>105</v>
      </c>
      <c r="B110" s="250"/>
      <c r="C110" s="250"/>
      <c r="D110" s="250"/>
      <c r="E110" s="250"/>
      <c r="F110" s="425"/>
      <c r="G110" s="425"/>
      <c r="H110" s="346"/>
      <c r="I110" s="250"/>
      <c r="J110" s="426"/>
      <c r="K110" s="426"/>
      <c r="L110" s="414"/>
      <c r="M110" s="414"/>
      <c r="N110" s="414"/>
      <c r="O110" s="414"/>
      <c r="P110" s="414"/>
      <c r="Q110" s="414"/>
      <c r="R110" s="414"/>
      <c r="S110" s="414"/>
      <c r="T110" s="414"/>
      <c r="U110" s="414"/>
      <c r="V110" s="414"/>
      <c r="W110" s="414"/>
      <c r="X110" s="414"/>
      <c r="Y110" s="414"/>
      <c r="Z110" s="414"/>
    </row>
    <row r="111" spans="1:26" ht="15.75" customHeight="1" x14ac:dyDescent="0.25">
      <c r="A111" s="466">
        <v>106</v>
      </c>
      <c r="B111" s="250"/>
      <c r="C111" s="250"/>
      <c r="D111" s="250"/>
      <c r="E111" s="250"/>
      <c r="F111" s="425"/>
      <c r="G111" s="425"/>
      <c r="H111" s="346"/>
      <c r="I111" s="250"/>
      <c r="J111" s="426"/>
      <c r="K111" s="426"/>
      <c r="L111" s="414"/>
      <c r="M111" s="414"/>
      <c r="N111" s="414"/>
      <c r="O111" s="414"/>
      <c r="P111" s="414"/>
      <c r="Q111" s="414"/>
      <c r="R111" s="414"/>
      <c r="S111" s="414"/>
      <c r="T111" s="414"/>
      <c r="U111" s="414"/>
      <c r="V111" s="414"/>
      <c r="W111" s="414"/>
      <c r="X111" s="414"/>
      <c r="Y111" s="414"/>
      <c r="Z111" s="414"/>
    </row>
    <row r="112" spans="1:26" ht="15.75" customHeight="1" x14ac:dyDescent="0.25">
      <c r="A112" s="466">
        <v>107</v>
      </c>
      <c r="B112" s="250"/>
      <c r="C112" s="250"/>
      <c r="D112" s="250"/>
      <c r="E112" s="250"/>
      <c r="F112" s="425"/>
      <c r="G112" s="425"/>
      <c r="H112" s="346"/>
      <c r="I112" s="250"/>
      <c r="J112" s="426"/>
      <c r="K112" s="426"/>
      <c r="L112" s="414"/>
      <c r="M112" s="414"/>
      <c r="N112" s="414"/>
      <c r="O112" s="414"/>
      <c r="P112" s="414"/>
      <c r="Q112" s="414"/>
      <c r="R112" s="414"/>
      <c r="S112" s="414"/>
      <c r="T112" s="414"/>
      <c r="U112" s="414"/>
      <c r="V112" s="414"/>
      <c r="W112" s="414"/>
      <c r="X112" s="414"/>
      <c r="Y112" s="414"/>
      <c r="Z112" s="414"/>
    </row>
    <row r="113" spans="1:26" ht="15.75" customHeight="1" x14ac:dyDescent="0.25">
      <c r="A113" s="466">
        <v>108</v>
      </c>
      <c r="B113" s="250"/>
      <c r="C113" s="250"/>
      <c r="D113" s="250"/>
      <c r="E113" s="250"/>
      <c r="F113" s="425"/>
      <c r="G113" s="425"/>
      <c r="H113" s="346"/>
      <c r="I113" s="250"/>
      <c r="J113" s="426"/>
      <c r="K113" s="426"/>
      <c r="L113" s="414"/>
      <c r="M113" s="414"/>
      <c r="N113" s="414"/>
      <c r="O113" s="414"/>
      <c r="P113" s="414"/>
      <c r="Q113" s="414"/>
      <c r="R113" s="414"/>
      <c r="S113" s="414"/>
      <c r="T113" s="414"/>
      <c r="U113" s="414"/>
      <c r="V113" s="414"/>
      <c r="W113" s="414"/>
      <c r="X113" s="414"/>
      <c r="Y113" s="414"/>
      <c r="Z113" s="414"/>
    </row>
    <row r="114" spans="1:26" ht="15.75" customHeight="1" x14ac:dyDescent="0.25">
      <c r="A114" s="466">
        <v>109</v>
      </c>
      <c r="B114" s="250"/>
      <c r="C114" s="250"/>
      <c r="D114" s="250"/>
      <c r="E114" s="250"/>
      <c r="F114" s="425"/>
      <c r="G114" s="425"/>
      <c r="H114" s="346"/>
      <c r="I114" s="250"/>
      <c r="J114" s="426"/>
      <c r="K114" s="426"/>
      <c r="L114" s="414"/>
      <c r="M114" s="414"/>
      <c r="N114" s="414"/>
      <c r="O114" s="414"/>
      <c r="P114" s="414"/>
      <c r="Q114" s="414"/>
      <c r="R114" s="414"/>
      <c r="S114" s="414"/>
      <c r="T114" s="414"/>
      <c r="U114" s="414"/>
      <c r="V114" s="414"/>
      <c r="W114" s="414"/>
      <c r="X114" s="414"/>
      <c r="Y114" s="414"/>
      <c r="Z114" s="414"/>
    </row>
    <row r="115" spans="1:26" ht="15.75" customHeight="1" x14ac:dyDescent="0.25">
      <c r="A115" s="466">
        <v>110</v>
      </c>
      <c r="B115" s="250"/>
      <c r="C115" s="250"/>
      <c r="D115" s="250"/>
      <c r="E115" s="250"/>
      <c r="F115" s="425"/>
      <c r="G115" s="425"/>
      <c r="H115" s="346"/>
      <c r="I115" s="250"/>
      <c r="J115" s="426"/>
      <c r="K115" s="426"/>
      <c r="L115" s="414"/>
      <c r="M115" s="414"/>
      <c r="N115" s="414"/>
      <c r="O115" s="414"/>
      <c r="P115" s="414"/>
      <c r="Q115" s="414"/>
      <c r="R115" s="414"/>
      <c r="S115" s="414"/>
      <c r="T115" s="414"/>
      <c r="U115" s="414"/>
      <c r="V115" s="414"/>
      <c r="W115" s="414"/>
      <c r="X115" s="414"/>
      <c r="Y115" s="414"/>
      <c r="Z115" s="414"/>
    </row>
    <row r="116" spans="1:26" ht="15.75" customHeight="1" x14ac:dyDescent="0.25">
      <c r="A116" s="466">
        <v>111</v>
      </c>
      <c r="B116" s="250"/>
      <c r="C116" s="250"/>
      <c r="D116" s="250"/>
      <c r="E116" s="250"/>
      <c r="F116" s="425"/>
      <c r="G116" s="425"/>
      <c r="H116" s="346"/>
      <c r="I116" s="250"/>
      <c r="J116" s="426"/>
      <c r="K116" s="426"/>
      <c r="L116" s="414"/>
      <c r="M116" s="414"/>
      <c r="N116" s="414"/>
      <c r="O116" s="414"/>
      <c r="P116" s="414"/>
      <c r="Q116" s="414"/>
      <c r="R116" s="414"/>
      <c r="S116" s="414"/>
      <c r="T116" s="414"/>
      <c r="U116" s="414"/>
      <c r="V116" s="414"/>
      <c r="W116" s="414"/>
      <c r="X116" s="414"/>
      <c r="Y116" s="414"/>
      <c r="Z116" s="414"/>
    </row>
    <row r="117" spans="1:26" ht="15.75" customHeight="1" x14ac:dyDescent="0.25">
      <c r="A117" s="466">
        <v>112</v>
      </c>
      <c r="B117" s="250"/>
      <c r="C117" s="250"/>
      <c r="D117" s="250"/>
      <c r="E117" s="250"/>
      <c r="F117" s="425"/>
      <c r="G117" s="425"/>
      <c r="H117" s="346"/>
      <c r="I117" s="250"/>
      <c r="J117" s="426"/>
      <c r="K117" s="426"/>
      <c r="L117" s="414"/>
      <c r="M117" s="414"/>
      <c r="N117" s="414"/>
      <c r="O117" s="414"/>
      <c r="P117" s="414"/>
      <c r="Q117" s="414"/>
      <c r="R117" s="414"/>
      <c r="S117" s="414"/>
      <c r="T117" s="414"/>
      <c r="U117" s="414"/>
      <c r="V117" s="414"/>
      <c r="W117" s="414"/>
      <c r="X117" s="414"/>
      <c r="Y117" s="414"/>
      <c r="Z117" s="414"/>
    </row>
    <row r="118" spans="1:26" ht="15.75" customHeight="1" x14ac:dyDescent="0.25">
      <c r="A118" s="466">
        <v>113</v>
      </c>
      <c r="B118" s="250"/>
      <c r="C118" s="250"/>
      <c r="D118" s="250"/>
      <c r="E118" s="250"/>
      <c r="F118" s="425"/>
      <c r="G118" s="425"/>
      <c r="H118" s="346"/>
      <c r="I118" s="250"/>
      <c r="J118" s="426"/>
      <c r="K118" s="426"/>
      <c r="L118" s="414"/>
      <c r="M118" s="414"/>
      <c r="N118" s="414"/>
      <c r="O118" s="414"/>
      <c r="P118" s="414"/>
      <c r="Q118" s="414"/>
      <c r="R118" s="414"/>
      <c r="S118" s="414"/>
      <c r="T118" s="414"/>
      <c r="U118" s="414"/>
      <c r="V118" s="414"/>
      <c r="W118" s="414"/>
      <c r="X118" s="414"/>
      <c r="Y118" s="414"/>
      <c r="Z118" s="414"/>
    </row>
    <row r="119" spans="1:26" ht="15.75" customHeight="1" x14ac:dyDescent="0.25">
      <c r="A119" s="466">
        <v>114</v>
      </c>
      <c r="B119" s="250"/>
      <c r="C119" s="250"/>
      <c r="D119" s="250"/>
      <c r="E119" s="250"/>
      <c r="F119" s="425"/>
      <c r="G119" s="425"/>
      <c r="H119" s="346"/>
      <c r="I119" s="250"/>
      <c r="J119" s="426"/>
      <c r="K119" s="426"/>
      <c r="L119" s="414"/>
      <c r="M119" s="414"/>
      <c r="N119" s="414"/>
      <c r="O119" s="414"/>
      <c r="P119" s="414"/>
      <c r="Q119" s="414"/>
      <c r="R119" s="414"/>
      <c r="S119" s="414"/>
      <c r="T119" s="414"/>
      <c r="U119" s="414"/>
      <c r="V119" s="414"/>
      <c r="W119" s="414"/>
      <c r="X119" s="414"/>
      <c r="Y119" s="414"/>
      <c r="Z119" s="414"/>
    </row>
    <row r="120" spans="1:26" ht="15.75" customHeight="1" x14ac:dyDescent="0.25">
      <c r="A120" s="466">
        <v>115</v>
      </c>
      <c r="B120" s="250"/>
      <c r="C120" s="250"/>
      <c r="D120" s="250"/>
      <c r="E120" s="250"/>
      <c r="F120" s="425"/>
      <c r="G120" s="425"/>
      <c r="H120" s="346"/>
      <c r="I120" s="250"/>
      <c r="J120" s="426"/>
      <c r="K120" s="426"/>
      <c r="L120" s="414"/>
      <c r="M120" s="414"/>
      <c r="N120" s="414"/>
      <c r="O120" s="414"/>
      <c r="P120" s="414"/>
      <c r="Q120" s="414"/>
      <c r="R120" s="414"/>
      <c r="S120" s="414"/>
      <c r="T120" s="414"/>
      <c r="U120" s="414"/>
      <c r="V120" s="414"/>
      <c r="W120" s="414"/>
      <c r="X120" s="414"/>
      <c r="Y120" s="414"/>
      <c r="Z120" s="414"/>
    </row>
    <row r="121" spans="1:26" ht="15.75" customHeight="1" x14ac:dyDescent="0.25">
      <c r="A121" s="466">
        <v>116</v>
      </c>
      <c r="B121" s="250"/>
      <c r="C121" s="250"/>
      <c r="D121" s="250"/>
      <c r="E121" s="250"/>
      <c r="F121" s="425"/>
      <c r="G121" s="425"/>
      <c r="H121" s="346"/>
      <c r="I121" s="250"/>
      <c r="J121" s="426"/>
      <c r="K121" s="426"/>
      <c r="L121" s="414"/>
      <c r="M121" s="414"/>
      <c r="N121" s="414"/>
      <c r="O121" s="414"/>
      <c r="P121" s="414"/>
      <c r="Q121" s="414"/>
      <c r="R121" s="414"/>
      <c r="S121" s="414"/>
      <c r="T121" s="414"/>
      <c r="U121" s="414"/>
      <c r="V121" s="414"/>
      <c r="W121" s="414"/>
      <c r="X121" s="414"/>
      <c r="Y121" s="414"/>
      <c r="Z121" s="414"/>
    </row>
    <row r="122" spans="1:26" ht="15.75" customHeight="1" x14ac:dyDescent="0.25">
      <c r="A122" s="466">
        <v>117</v>
      </c>
      <c r="B122" s="250"/>
      <c r="C122" s="250"/>
      <c r="D122" s="250"/>
      <c r="E122" s="250"/>
      <c r="F122" s="425"/>
      <c r="G122" s="425"/>
      <c r="H122" s="346"/>
      <c r="I122" s="250"/>
      <c r="J122" s="426"/>
      <c r="K122" s="426"/>
      <c r="L122" s="414"/>
      <c r="M122" s="414"/>
      <c r="N122" s="414"/>
      <c r="O122" s="414"/>
      <c r="P122" s="414"/>
      <c r="Q122" s="414"/>
      <c r="R122" s="414"/>
      <c r="S122" s="414"/>
      <c r="T122" s="414"/>
      <c r="U122" s="414"/>
      <c r="V122" s="414"/>
      <c r="W122" s="414"/>
      <c r="X122" s="414"/>
      <c r="Y122" s="414"/>
      <c r="Z122" s="414"/>
    </row>
    <row r="123" spans="1:26" ht="15.75" customHeight="1" x14ac:dyDescent="0.25">
      <c r="A123" s="466">
        <v>118</v>
      </c>
      <c r="B123" s="250"/>
      <c r="C123" s="250"/>
      <c r="D123" s="250"/>
      <c r="E123" s="250"/>
      <c r="F123" s="425"/>
      <c r="G123" s="425"/>
      <c r="H123" s="346"/>
      <c r="I123" s="250"/>
      <c r="J123" s="426"/>
      <c r="K123" s="426"/>
      <c r="L123" s="414"/>
      <c r="M123" s="414"/>
      <c r="N123" s="414"/>
      <c r="O123" s="414"/>
      <c r="P123" s="414"/>
      <c r="Q123" s="414"/>
      <c r="R123" s="414"/>
      <c r="S123" s="414"/>
      <c r="T123" s="414"/>
      <c r="U123" s="414"/>
      <c r="V123" s="414"/>
      <c r="W123" s="414"/>
      <c r="X123" s="414"/>
      <c r="Y123" s="414"/>
      <c r="Z123" s="414"/>
    </row>
    <row r="124" spans="1:26" ht="15.75" customHeight="1" x14ac:dyDescent="0.25">
      <c r="A124" s="466">
        <v>119</v>
      </c>
      <c r="B124" s="250"/>
      <c r="C124" s="250"/>
      <c r="D124" s="250"/>
      <c r="E124" s="250"/>
      <c r="F124" s="425"/>
      <c r="G124" s="425"/>
      <c r="H124" s="346"/>
      <c r="I124" s="250"/>
      <c r="J124" s="426"/>
      <c r="K124" s="426"/>
      <c r="L124" s="414"/>
      <c r="M124" s="414"/>
      <c r="N124" s="414"/>
      <c r="O124" s="414"/>
      <c r="P124" s="414"/>
      <c r="Q124" s="414"/>
      <c r="R124" s="414"/>
      <c r="S124" s="414"/>
      <c r="T124" s="414"/>
      <c r="U124" s="414"/>
      <c r="V124" s="414"/>
      <c r="W124" s="414"/>
      <c r="X124" s="414"/>
      <c r="Y124" s="414"/>
      <c r="Z124" s="414"/>
    </row>
    <row r="125" spans="1:26" ht="15.75" customHeight="1" x14ac:dyDescent="0.25">
      <c r="A125" s="466">
        <v>120</v>
      </c>
      <c r="B125" s="250"/>
      <c r="C125" s="250"/>
      <c r="D125" s="250"/>
      <c r="E125" s="250"/>
      <c r="F125" s="425"/>
      <c r="G125" s="425"/>
      <c r="H125" s="346"/>
      <c r="I125" s="250"/>
      <c r="J125" s="426"/>
      <c r="K125" s="426"/>
      <c r="L125" s="414"/>
      <c r="M125" s="414"/>
      <c r="N125" s="414"/>
      <c r="O125" s="414"/>
      <c r="P125" s="414"/>
      <c r="Q125" s="414"/>
      <c r="R125" s="414"/>
      <c r="S125" s="414"/>
      <c r="T125" s="414"/>
      <c r="U125" s="414"/>
      <c r="V125" s="414"/>
      <c r="W125" s="414"/>
      <c r="X125" s="414"/>
      <c r="Y125" s="414"/>
      <c r="Z125" s="414"/>
    </row>
    <row r="126" spans="1:26" ht="15.75" customHeight="1" x14ac:dyDescent="0.25">
      <c r="A126" s="466">
        <v>121</v>
      </c>
      <c r="B126" s="250"/>
      <c r="C126" s="250"/>
      <c r="D126" s="250"/>
      <c r="E126" s="250"/>
      <c r="F126" s="425"/>
      <c r="G126" s="425"/>
      <c r="H126" s="346"/>
      <c r="I126" s="250"/>
      <c r="J126" s="426"/>
      <c r="K126" s="426"/>
      <c r="L126" s="414"/>
      <c r="M126" s="414"/>
      <c r="N126" s="414"/>
      <c r="O126" s="414"/>
      <c r="P126" s="414"/>
      <c r="Q126" s="414"/>
      <c r="R126" s="414"/>
      <c r="S126" s="414"/>
      <c r="T126" s="414"/>
      <c r="U126" s="414"/>
      <c r="V126" s="414"/>
      <c r="W126" s="414"/>
      <c r="X126" s="414"/>
      <c r="Y126" s="414"/>
      <c r="Z126" s="414"/>
    </row>
    <row r="127" spans="1:26" ht="15.75" customHeight="1" x14ac:dyDescent="0.25">
      <c r="A127" s="466">
        <v>122</v>
      </c>
      <c r="B127" s="250"/>
      <c r="C127" s="250"/>
      <c r="D127" s="250"/>
      <c r="E127" s="250"/>
      <c r="F127" s="425"/>
      <c r="G127" s="425"/>
      <c r="H127" s="346"/>
      <c r="I127" s="250"/>
      <c r="J127" s="426"/>
      <c r="K127" s="426"/>
      <c r="L127" s="414"/>
      <c r="M127" s="414"/>
      <c r="N127" s="414"/>
      <c r="O127" s="414"/>
      <c r="P127" s="414"/>
      <c r="Q127" s="414"/>
      <c r="R127" s="414"/>
      <c r="S127" s="414"/>
      <c r="T127" s="414"/>
      <c r="U127" s="414"/>
      <c r="V127" s="414"/>
      <c r="W127" s="414"/>
      <c r="X127" s="414"/>
      <c r="Y127" s="414"/>
      <c r="Z127" s="414"/>
    </row>
    <row r="128" spans="1:26" ht="15.75" customHeight="1" x14ac:dyDescent="0.25">
      <c r="A128" s="466">
        <v>123</v>
      </c>
      <c r="B128" s="250"/>
      <c r="C128" s="250"/>
      <c r="D128" s="250"/>
      <c r="E128" s="250"/>
      <c r="F128" s="425"/>
      <c r="G128" s="425"/>
      <c r="H128" s="346"/>
      <c r="I128" s="250"/>
      <c r="J128" s="426"/>
      <c r="K128" s="426"/>
      <c r="L128" s="414"/>
      <c r="M128" s="414"/>
      <c r="N128" s="414"/>
      <c r="O128" s="414"/>
      <c r="P128" s="414"/>
      <c r="Q128" s="414"/>
      <c r="R128" s="414"/>
      <c r="S128" s="414"/>
      <c r="T128" s="414"/>
      <c r="U128" s="414"/>
      <c r="V128" s="414"/>
      <c r="W128" s="414"/>
      <c r="X128" s="414"/>
      <c r="Y128" s="414"/>
      <c r="Z128" s="414"/>
    </row>
    <row r="129" spans="1:26" ht="15.75" customHeight="1" x14ac:dyDescent="0.25">
      <c r="A129" s="466">
        <v>124</v>
      </c>
      <c r="B129" s="250"/>
      <c r="C129" s="250"/>
      <c r="D129" s="250"/>
      <c r="E129" s="250"/>
      <c r="F129" s="425"/>
      <c r="G129" s="425"/>
      <c r="H129" s="346"/>
      <c r="I129" s="250"/>
      <c r="J129" s="426"/>
      <c r="K129" s="426"/>
      <c r="L129" s="414"/>
      <c r="M129" s="414"/>
      <c r="N129" s="414"/>
      <c r="O129" s="414"/>
      <c r="P129" s="414"/>
      <c r="Q129" s="414"/>
      <c r="R129" s="414"/>
      <c r="S129" s="414"/>
      <c r="T129" s="414"/>
      <c r="U129" s="414"/>
      <c r="V129" s="414"/>
      <c r="W129" s="414"/>
      <c r="X129" s="414"/>
      <c r="Y129" s="414"/>
      <c r="Z129" s="414"/>
    </row>
    <row r="130" spans="1:26" ht="15.75" customHeight="1" x14ac:dyDescent="0.25">
      <c r="A130" s="466">
        <v>125</v>
      </c>
      <c r="B130" s="250"/>
      <c r="C130" s="250"/>
      <c r="D130" s="250"/>
      <c r="E130" s="250"/>
      <c r="F130" s="425"/>
      <c r="G130" s="425"/>
      <c r="H130" s="346"/>
      <c r="I130" s="250"/>
      <c r="J130" s="426"/>
      <c r="K130" s="426"/>
      <c r="L130" s="414"/>
      <c r="M130" s="414"/>
      <c r="N130" s="414"/>
      <c r="O130" s="414"/>
      <c r="P130" s="414"/>
      <c r="Q130" s="414"/>
      <c r="R130" s="414"/>
      <c r="S130" s="414"/>
      <c r="T130" s="414"/>
      <c r="U130" s="414"/>
      <c r="V130" s="414"/>
      <c r="W130" s="414"/>
      <c r="X130" s="414"/>
      <c r="Y130" s="414"/>
      <c r="Z130" s="414"/>
    </row>
    <row r="131" spans="1:26" ht="15.75" customHeight="1" x14ac:dyDescent="0.25">
      <c r="A131" s="466">
        <v>126</v>
      </c>
      <c r="B131" s="250"/>
      <c r="C131" s="250"/>
      <c r="D131" s="250"/>
      <c r="E131" s="250"/>
      <c r="F131" s="425"/>
      <c r="G131" s="425"/>
      <c r="H131" s="346"/>
      <c r="I131" s="250"/>
      <c r="J131" s="426"/>
      <c r="K131" s="426"/>
      <c r="L131" s="414"/>
      <c r="M131" s="414"/>
      <c r="N131" s="414"/>
      <c r="O131" s="414"/>
      <c r="P131" s="414"/>
      <c r="Q131" s="414"/>
      <c r="R131" s="414"/>
      <c r="S131" s="414"/>
      <c r="T131" s="414"/>
      <c r="U131" s="414"/>
      <c r="V131" s="414"/>
      <c r="W131" s="414"/>
      <c r="X131" s="414"/>
      <c r="Y131" s="414"/>
      <c r="Z131" s="414"/>
    </row>
    <row r="132" spans="1:26" ht="15.75" customHeight="1" x14ac:dyDescent="0.25">
      <c r="A132" s="466">
        <v>127</v>
      </c>
      <c r="B132" s="250"/>
      <c r="C132" s="250"/>
      <c r="D132" s="250"/>
      <c r="E132" s="250"/>
      <c r="F132" s="425"/>
      <c r="G132" s="425"/>
      <c r="H132" s="346"/>
      <c r="I132" s="250"/>
      <c r="J132" s="426"/>
      <c r="K132" s="426"/>
      <c r="L132" s="414"/>
      <c r="M132" s="414"/>
      <c r="N132" s="414"/>
      <c r="O132" s="414"/>
      <c r="P132" s="414"/>
      <c r="Q132" s="414"/>
      <c r="R132" s="414"/>
      <c r="S132" s="414"/>
      <c r="T132" s="414"/>
      <c r="U132" s="414"/>
      <c r="V132" s="414"/>
      <c r="W132" s="414"/>
      <c r="X132" s="414"/>
      <c r="Y132" s="414"/>
      <c r="Z132" s="414"/>
    </row>
    <row r="133" spans="1:26" ht="15.75" customHeight="1" x14ac:dyDescent="0.25">
      <c r="A133" s="466">
        <v>128</v>
      </c>
      <c r="B133" s="250"/>
      <c r="C133" s="250"/>
      <c r="D133" s="250"/>
      <c r="E133" s="250"/>
      <c r="F133" s="425"/>
      <c r="G133" s="425"/>
      <c r="H133" s="346"/>
      <c r="I133" s="250"/>
      <c r="J133" s="426"/>
      <c r="K133" s="426"/>
      <c r="L133" s="414"/>
      <c r="M133" s="414"/>
      <c r="N133" s="414"/>
      <c r="O133" s="414"/>
      <c r="P133" s="414"/>
      <c r="Q133" s="414"/>
      <c r="R133" s="414"/>
      <c r="S133" s="414"/>
      <c r="T133" s="414"/>
      <c r="U133" s="414"/>
      <c r="V133" s="414"/>
      <c r="W133" s="414"/>
      <c r="X133" s="414"/>
      <c r="Y133" s="414"/>
      <c r="Z133" s="414"/>
    </row>
    <row r="134" spans="1:26" ht="15.75" customHeight="1" x14ac:dyDescent="0.25">
      <c r="A134" s="466">
        <v>129</v>
      </c>
      <c r="B134" s="250"/>
      <c r="C134" s="250"/>
      <c r="D134" s="250"/>
      <c r="E134" s="250"/>
      <c r="F134" s="425"/>
      <c r="G134" s="425"/>
      <c r="H134" s="346"/>
      <c r="I134" s="250"/>
      <c r="J134" s="426"/>
      <c r="K134" s="426"/>
      <c r="L134" s="414"/>
      <c r="M134" s="414"/>
      <c r="N134" s="414"/>
      <c r="O134" s="414"/>
      <c r="P134" s="414"/>
      <c r="Q134" s="414"/>
      <c r="R134" s="414"/>
      <c r="S134" s="414"/>
      <c r="T134" s="414"/>
      <c r="U134" s="414"/>
      <c r="V134" s="414"/>
      <c r="W134" s="414"/>
      <c r="X134" s="414"/>
      <c r="Y134" s="414"/>
      <c r="Z134" s="414"/>
    </row>
    <row r="135" spans="1:26" ht="15.75" customHeight="1" x14ac:dyDescent="0.25">
      <c r="A135" s="466">
        <v>130</v>
      </c>
      <c r="B135" s="250"/>
      <c r="C135" s="250"/>
      <c r="D135" s="250"/>
      <c r="E135" s="250"/>
      <c r="F135" s="425"/>
      <c r="G135" s="425"/>
      <c r="H135" s="346"/>
      <c r="I135" s="250"/>
      <c r="J135" s="426"/>
      <c r="K135" s="426"/>
      <c r="L135" s="414"/>
      <c r="M135" s="414"/>
      <c r="N135" s="414"/>
      <c r="O135" s="414"/>
      <c r="P135" s="414"/>
      <c r="Q135" s="414"/>
      <c r="R135" s="414"/>
      <c r="S135" s="414"/>
      <c r="T135" s="414"/>
      <c r="U135" s="414"/>
      <c r="V135" s="414"/>
      <c r="W135" s="414"/>
      <c r="X135" s="414"/>
      <c r="Y135" s="414"/>
      <c r="Z135" s="414"/>
    </row>
    <row r="136" spans="1:26" ht="15.75" customHeight="1" x14ac:dyDescent="0.25">
      <c r="A136" s="466">
        <v>131</v>
      </c>
      <c r="B136" s="250"/>
      <c r="C136" s="250"/>
      <c r="D136" s="250"/>
      <c r="E136" s="250"/>
      <c r="F136" s="425"/>
      <c r="G136" s="425"/>
      <c r="H136" s="346"/>
      <c r="I136" s="250"/>
      <c r="J136" s="426"/>
      <c r="K136" s="426"/>
      <c r="L136" s="414"/>
      <c r="M136" s="414"/>
      <c r="N136" s="414"/>
      <c r="O136" s="414"/>
      <c r="P136" s="414"/>
      <c r="Q136" s="414"/>
      <c r="R136" s="414"/>
      <c r="S136" s="414"/>
      <c r="T136" s="414"/>
      <c r="U136" s="414"/>
      <c r="V136" s="414"/>
      <c r="W136" s="414"/>
      <c r="X136" s="414"/>
      <c r="Y136" s="414"/>
      <c r="Z136" s="414"/>
    </row>
    <row r="137" spans="1:26" ht="15.75" customHeight="1" x14ac:dyDescent="0.25">
      <c r="A137" s="466">
        <v>132</v>
      </c>
      <c r="B137" s="250"/>
      <c r="C137" s="250"/>
      <c r="D137" s="250"/>
      <c r="E137" s="250"/>
      <c r="F137" s="425"/>
      <c r="G137" s="425"/>
      <c r="H137" s="346"/>
      <c r="I137" s="250"/>
      <c r="J137" s="426"/>
      <c r="K137" s="426"/>
      <c r="L137" s="414"/>
      <c r="M137" s="414"/>
      <c r="N137" s="414"/>
      <c r="O137" s="414"/>
      <c r="P137" s="414"/>
      <c r="Q137" s="414"/>
      <c r="R137" s="414"/>
      <c r="S137" s="414"/>
      <c r="T137" s="414"/>
      <c r="U137" s="414"/>
      <c r="V137" s="414"/>
      <c r="W137" s="414"/>
      <c r="X137" s="414"/>
      <c r="Y137" s="414"/>
      <c r="Z137" s="414"/>
    </row>
    <row r="138" spans="1:26" ht="15.75" customHeight="1" x14ac:dyDescent="0.25">
      <c r="A138" s="466">
        <v>133</v>
      </c>
      <c r="B138" s="250"/>
      <c r="C138" s="250"/>
      <c r="D138" s="250"/>
      <c r="E138" s="250"/>
      <c r="F138" s="425"/>
      <c r="G138" s="425"/>
      <c r="H138" s="346"/>
      <c r="I138" s="250"/>
      <c r="J138" s="426"/>
      <c r="K138" s="426"/>
      <c r="L138" s="414"/>
      <c r="M138" s="414"/>
      <c r="N138" s="414"/>
      <c r="O138" s="414"/>
      <c r="P138" s="414"/>
      <c r="Q138" s="414"/>
      <c r="R138" s="414"/>
      <c r="S138" s="414"/>
      <c r="T138" s="414"/>
      <c r="U138" s="414"/>
      <c r="V138" s="414"/>
      <c r="W138" s="414"/>
      <c r="X138" s="414"/>
      <c r="Y138" s="414"/>
      <c r="Z138" s="414"/>
    </row>
    <row r="139" spans="1:26" ht="15.75" customHeight="1" x14ac:dyDescent="0.25">
      <c r="A139" s="466">
        <v>134</v>
      </c>
      <c r="B139" s="250"/>
      <c r="C139" s="250"/>
      <c r="D139" s="250"/>
      <c r="E139" s="250"/>
      <c r="F139" s="425"/>
      <c r="G139" s="425"/>
      <c r="H139" s="346"/>
      <c r="I139" s="250"/>
      <c r="J139" s="426"/>
      <c r="K139" s="426"/>
      <c r="L139" s="414"/>
      <c r="M139" s="414"/>
      <c r="N139" s="414"/>
      <c r="O139" s="414"/>
      <c r="P139" s="414"/>
      <c r="Q139" s="414"/>
      <c r="R139" s="414"/>
      <c r="S139" s="414"/>
      <c r="T139" s="414"/>
      <c r="U139" s="414"/>
      <c r="V139" s="414"/>
      <c r="W139" s="414"/>
      <c r="X139" s="414"/>
      <c r="Y139" s="414"/>
      <c r="Z139" s="414"/>
    </row>
    <row r="140" spans="1:26" ht="15.75" customHeight="1" x14ac:dyDescent="0.25">
      <c r="A140" s="466">
        <v>135</v>
      </c>
      <c r="B140" s="250"/>
      <c r="C140" s="250"/>
      <c r="D140" s="250"/>
      <c r="E140" s="250"/>
      <c r="F140" s="425"/>
      <c r="G140" s="425"/>
      <c r="H140" s="346"/>
      <c r="I140" s="250"/>
      <c r="J140" s="426"/>
      <c r="K140" s="426"/>
      <c r="L140" s="414"/>
      <c r="M140" s="414"/>
      <c r="N140" s="414"/>
      <c r="O140" s="414"/>
      <c r="P140" s="414"/>
      <c r="Q140" s="414"/>
      <c r="R140" s="414"/>
      <c r="S140" s="414"/>
      <c r="T140" s="414"/>
      <c r="U140" s="414"/>
      <c r="V140" s="414"/>
      <c r="W140" s="414"/>
      <c r="X140" s="414"/>
      <c r="Y140" s="414"/>
      <c r="Z140" s="414"/>
    </row>
    <row r="141" spans="1:26" ht="15.75" customHeight="1" x14ac:dyDescent="0.25">
      <c r="A141" s="466">
        <v>136</v>
      </c>
      <c r="B141" s="250"/>
      <c r="C141" s="250"/>
      <c r="D141" s="250"/>
      <c r="E141" s="250"/>
      <c r="F141" s="425"/>
      <c r="G141" s="425"/>
      <c r="H141" s="346"/>
      <c r="I141" s="250"/>
      <c r="J141" s="426"/>
      <c r="K141" s="426"/>
      <c r="L141" s="414"/>
      <c r="M141" s="414"/>
      <c r="N141" s="414"/>
      <c r="O141" s="414"/>
      <c r="P141" s="414"/>
      <c r="Q141" s="414"/>
      <c r="R141" s="414"/>
      <c r="S141" s="414"/>
      <c r="T141" s="414"/>
      <c r="U141" s="414"/>
      <c r="V141" s="414"/>
      <c r="W141" s="414"/>
      <c r="X141" s="414"/>
      <c r="Y141" s="414"/>
      <c r="Z141" s="414"/>
    </row>
    <row r="142" spans="1:26" ht="15.75" customHeight="1" x14ac:dyDescent="0.25">
      <c r="A142" s="466">
        <v>137</v>
      </c>
      <c r="B142" s="250"/>
      <c r="C142" s="250"/>
      <c r="D142" s="250"/>
      <c r="E142" s="250"/>
      <c r="F142" s="425"/>
      <c r="G142" s="425"/>
      <c r="H142" s="346"/>
      <c r="I142" s="250"/>
      <c r="J142" s="426"/>
      <c r="K142" s="426"/>
      <c r="L142" s="414"/>
      <c r="M142" s="414"/>
      <c r="N142" s="414"/>
      <c r="O142" s="414"/>
      <c r="P142" s="414"/>
      <c r="Q142" s="414"/>
      <c r="R142" s="414"/>
      <c r="S142" s="414"/>
      <c r="T142" s="414"/>
      <c r="U142" s="414"/>
      <c r="V142" s="414"/>
      <c r="W142" s="414"/>
      <c r="X142" s="414"/>
      <c r="Y142" s="414"/>
      <c r="Z142" s="414"/>
    </row>
    <row r="143" spans="1:26" ht="15.75" customHeight="1" x14ac:dyDescent="0.25">
      <c r="A143" s="466">
        <v>138</v>
      </c>
      <c r="B143" s="250"/>
      <c r="C143" s="250"/>
      <c r="D143" s="250"/>
      <c r="E143" s="250"/>
      <c r="F143" s="425"/>
      <c r="G143" s="425"/>
      <c r="H143" s="346"/>
      <c r="I143" s="250"/>
      <c r="J143" s="426"/>
      <c r="K143" s="426"/>
      <c r="L143" s="414"/>
      <c r="M143" s="414"/>
      <c r="N143" s="414"/>
      <c r="O143" s="414"/>
      <c r="P143" s="414"/>
      <c r="Q143" s="414"/>
      <c r="R143" s="414"/>
      <c r="S143" s="414"/>
      <c r="T143" s="414"/>
      <c r="U143" s="414"/>
      <c r="V143" s="414"/>
      <c r="W143" s="414"/>
      <c r="X143" s="414"/>
      <c r="Y143" s="414"/>
      <c r="Z143" s="414"/>
    </row>
    <row r="144" spans="1:26" ht="15.75" customHeight="1" x14ac:dyDescent="0.25">
      <c r="A144" s="466">
        <v>139</v>
      </c>
      <c r="B144" s="250"/>
      <c r="C144" s="250"/>
      <c r="D144" s="250"/>
      <c r="E144" s="250"/>
      <c r="F144" s="425"/>
      <c r="G144" s="425"/>
      <c r="H144" s="346"/>
      <c r="I144" s="250"/>
      <c r="J144" s="426"/>
      <c r="K144" s="426"/>
      <c r="L144" s="414"/>
      <c r="M144" s="414"/>
      <c r="N144" s="414"/>
      <c r="O144" s="414"/>
      <c r="P144" s="414"/>
      <c r="Q144" s="414"/>
      <c r="R144" s="414"/>
      <c r="S144" s="414"/>
      <c r="T144" s="414"/>
      <c r="U144" s="414"/>
      <c r="V144" s="414"/>
      <c r="W144" s="414"/>
      <c r="X144" s="414"/>
      <c r="Y144" s="414"/>
      <c r="Z144" s="414"/>
    </row>
    <row r="145" spans="1:26" ht="15.75" customHeight="1" x14ac:dyDescent="0.25">
      <c r="A145" s="466">
        <v>140</v>
      </c>
      <c r="B145" s="250"/>
      <c r="C145" s="250"/>
      <c r="D145" s="250"/>
      <c r="E145" s="250"/>
      <c r="F145" s="425"/>
      <c r="G145" s="425"/>
      <c r="H145" s="346"/>
      <c r="I145" s="250"/>
      <c r="J145" s="426"/>
      <c r="K145" s="426"/>
      <c r="L145" s="414"/>
      <c r="M145" s="414"/>
      <c r="N145" s="414"/>
      <c r="O145" s="414"/>
      <c r="P145" s="414"/>
      <c r="Q145" s="414"/>
      <c r="R145" s="414"/>
      <c r="S145" s="414"/>
      <c r="T145" s="414"/>
      <c r="U145" s="414"/>
      <c r="V145" s="414"/>
      <c r="W145" s="414"/>
      <c r="X145" s="414"/>
      <c r="Y145" s="414"/>
      <c r="Z145" s="414"/>
    </row>
    <row r="146" spans="1:26" ht="15.75" customHeight="1" x14ac:dyDescent="0.25">
      <c r="A146" s="466">
        <v>141</v>
      </c>
      <c r="B146" s="250"/>
      <c r="C146" s="250"/>
      <c r="D146" s="250"/>
      <c r="E146" s="250"/>
      <c r="F146" s="425"/>
      <c r="G146" s="425"/>
      <c r="H146" s="346"/>
      <c r="I146" s="250"/>
      <c r="J146" s="426"/>
      <c r="K146" s="426"/>
      <c r="L146" s="414"/>
      <c r="M146" s="414"/>
      <c r="N146" s="414"/>
      <c r="O146" s="414"/>
      <c r="P146" s="414"/>
      <c r="Q146" s="414"/>
      <c r="R146" s="414"/>
      <c r="S146" s="414"/>
      <c r="T146" s="414"/>
      <c r="U146" s="414"/>
      <c r="V146" s="414"/>
      <c r="W146" s="414"/>
      <c r="X146" s="414"/>
      <c r="Y146" s="414"/>
      <c r="Z146" s="414"/>
    </row>
    <row r="147" spans="1:26" ht="15.75" customHeight="1" x14ac:dyDescent="0.25">
      <c r="A147" s="466">
        <v>142</v>
      </c>
      <c r="B147" s="250"/>
      <c r="C147" s="250"/>
      <c r="D147" s="250"/>
      <c r="E147" s="250"/>
      <c r="F147" s="425"/>
      <c r="G147" s="425"/>
      <c r="H147" s="346"/>
      <c r="I147" s="250"/>
      <c r="J147" s="426"/>
      <c r="K147" s="426"/>
      <c r="L147" s="414"/>
      <c r="M147" s="414"/>
      <c r="N147" s="414"/>
      <c r="O147" s="414"/>
      <c r="P147" s="414"/>
      <c r="Q147" s="414"/>
      <c r="R147" s="414"/>
      <c r="S147" s="414"/>
      <c r="T147" s="414"/>
      <c r="U147" s="414"/>
      <c r="V147" s="414"/>
      <c r="W147" s="414"/>
      <c r="X147" s="414"/>
      <c r="Y147" s="414"/>
      <c r="Z147" s="414"/>
    </row>
    <row r="148" spans="1:26" ht="15.75" customHeight="1" x14ac:dyDescent="0.25">
      <c r="A148" s="466">
        <v>143</v>
      </c>
      <c r="B148" s="250"/>
      <c r="C148" s="250"/>
      <c r="D148" s="250"/>
      <c r="E148" s="250"/>
      <c r="F148" s="425"/>
      <c r="G148" s="425"/>
      <c r="H148" s="346"/>
      <c r="I148" s="250"/>
      <c r="J148" s="426"/>
      <c r="K148" s="426"/>
      <c r="L148" s="414"/>
      <c r="M148" s="414"/>
      <c r="N148" s="414"/>
      <c r="O148" s="414"/>
      <c r="P148" s="414"/>
      <c r="Q148" s="414"/>
      <c r="R148" s="414"/>
      <c r="S148" s="414"/>
      <c r="T148" s="414"/>
      <c r="U148" s="414"/>
      <c r="V148" s="414"/>
      <c r="W148" s="414"/>
      <c r="X148" s="414"/>
      <c r="Y148" s="414"/>
      <c r="Z148" s="414"/>
    </row>
    <row r="149" spans="1:26" ht="15.75" customHeight="1" x14ac:dyDescent="0.25">
      <c r="A149" s="466">
        <v>144</v>
      </c>
      <c r="B149" s="250"/>
      <c r="C149" s="250"/>
      <c r="D149" s="250"/>
      <c r="E149" s="250"/>
      <c r="F149" s="425"/>
      <c r="G149" s="425"/>
      <c r="H149" s="346"/>
      <c r="I149" s="250"/>
      <c r="J149" s="426"/>
      <c r="K149" s="426"/>
      <c r="L149" s="414"/>
      <c r="M149" s="414"/>
      <c r="N149" s="414"/>
      <c r="O149" s="414"/>
      <c r="P149" s="414"/>
      <c r="Q149" s="414"/>
      <c r="R149" s="414"/>
      <c r="S149" s="414"/>
      <c r="T149" s="414"/>
      <c r="U149" s="414"/>
      <c r="V149" s="414"/>
      <c r="W149" s="414"/>
      <c r="X149" s="414"/>
      <c r="Y149" s="414"/>
      <c r="Z149" s="414"/>
    </row>
    <row r="150" spans="1:26" ht="15.75" customHeight="1" x14ac:dyDescent="0.25">
      <c r="A150" s="466">
        <v>145</v>
      </c>
      <c r="B150" s="250"/>
      <c r="C150" s="250"/>
      <c r="D150" s="250"/>
      <c r="E150" s="250"/>
      <c r="F150" s="425"/>
      <c r="G150" s="425"/>
      <c r="H150" s="346"/>
      <c r="I150" s="250"/>
      <c r="J150" s="426"/>
      <c r="K150" s="426"/>
      <c r="L150" s="414"/>
      <c r="M150" s="414"/>
      <c r="N150" s="414"/>
      <c r="O150" s="414"/>
      <c r="P150" s="414"/>
      <c r="Q150" s="414"/>
      <c r="R150" s="414"/>
      <c r="S150" s="414"/>
      <c r="T150" s="414"/>
      <c r="U150" s="414"/>
      <c r="V150" s="414"/>
      <c r="W150" s="414"/>
      <c r="X150" s="414"/>
      <c r="Y150" s="414"/>
      <c r="Z150" s="414"/>
    </row>
    <row r="151" spans="1:26" ht="15.75" customHeight="1" x14ac:dyDescent="0.25">
      <c r="A151" s="466">
        <v>146</v>
      </c>
      <c r="B151" s="250"/>
      <c r="C151" s="250"/>
      <c r="D151" s="250"/>
      <c r="E151" s="250"/>
      <c r="F151" s="425"/>
      <c r="G151" s="425"/>
      <c r="H151" s="346"/>
      <c r="I151" s="250"/>
      <c r="J151" s="426"/>
      <c r="K151" s="426"/>
      <c r="L151" s="414"/>
      <c r="M151" s="414"/>
      <c r="N151" s="414"/>
      <c r="O151" s="414"/>
      <c r="P151" s="414"/>
      <c r="Q151" s="414"/>
      <c r="R151" s="414"/>
      <c r="S151" s="414"/>
      <c r="T151" s="414"/>
      <c r="U151" s="414"/>
      <c r="V151" s="414"/>
      <c r="W151" s="414"/>
      <c r="X151" s="414"/>
      <c r="Y151" s="414"/>
      <c r="Z151" s="414"/>
    </row>
    <row r="152" spans="1:26" ht="15.75" customHeight="1" x14ac:dyDescent="0.25">
      <c r="A152" s="466">
        <v>147</v>
      </c>
      <c r="B152" s="250"/>
      <c r="C152" s="250"/>
      <c r="D152" s="250"/>
      <c r="E152" s="250"/>
      <c r="F152" s="425"/>
      <c r="G152" s="425"/>
      <c r="H152" s="346"/>
      <c r="I152" s="250"/>
      <c r="J152" s="426"/>
      <c r="K152" s="426"/>
      <c r="L152" s="414"/>
      <c r="M152" s="414"/>
      <c r="N152" s="414"/>
      <c r="O152" s="414"/>
      <c r="P152" s="414"/>
      <c r="Q152" s="414"/>
      <c r="R152" s="414"/>
      <c r="S152" s="414"/>
      <c r="T152" s="414"/>
      <c r="U152" s="414"/>
      <c r="V152" s="414"/>
      <c r="W152" s="414"/>
      <c r="X152" s="414"/>
      <c r="Y152" s="414"/>
      <c r="Z152" s="414"/>
    </row>
    <row r="153" spans="1:26" ht="15.75" customHeight="1" x14ac:dyDescent="0.25">
      <c r="A153" s="466">
        <v>148</v>
      </c>
      <c r="B153" s="250"/>
      <c r="C153" s="250"/>
      <c r="D153" s="250"/>
      <c r="E153" s="250"/>
      <c r="F153" s="425"/>
      <c r="G153" s="425"/>
      <c r="H153" s="346"/>
      <c r="I153" s="250"/>
      <c r="J153" s="426"/>
      <c r="K153" s="426"/>
      <c r="L153" s="414"/>
      <c r="M153" s="414"/>
      <c r="N153" s="414"/>
      <c r="O153" s="414"/>
      <c r="P153" s="414"/>
      <c r="Q153" s="414"/>
      <c r="R153" s="414"/>
      <c r="S153" s="414"/>
      <c r="T153" s="414"/>
      <c r="U153" s="414"/>
      <c r="V153" s="414"/>
      <c r="W153" s="414"/>
      <c r="X153" s="414"/>
      <c r="Y153" s="414"/>
      <c r="Z153" s="414"/>
    </row>
    <row r="154" spans="1:26" ht="15.75" customHeight="1" x14ac:dyDescent="0.25">
      <c r="A154" s="466">
        <v>149</v>
      </c>
      <c r="B154" s="250"/>
      <c r="C154" s="250"/>
      <c r="D154" s="250"/>
      <c r="E154" s="250"/>
      <c r="F154" s="425"/>
      <c r="G154" s="425"/>
      <c r="H154" s="346"/>
      <c r="I154" s="250"/>
      <c r="J154" s="426"/>
      <c r="K154" s="426"/>
      <c r="L154" s="414"/>
      <c r="M154" s="414"/>
      <c r="N154" s="414"/>
      <c r="O154" s="414"/>
      <c r="P154" s="414"/>
      <c r="Q154" s="414"/>
      <c r="R154" s="414"/>
      <c r="S154" s="414"/>
      <c r="T154" s="414"/>
      <c r="U154" s="414"/>
      <c r="V154" s="414"/>
      <c r="W154" s="414"/>
      <c r="X154" s="414"/>
      <c r="Y154" s="414"/>
      <c r="Z154" s="414"/>
    </row>
    <row r="155" spans="1:26" ht="15.75" customHeight="1" x14ac:dyDescent="0.25">
      <c r="A155" s="466">
        <v>150</v>
      </c>
      <c r="B155" s="250"/>
      <c r="C155" s="250"/>
      <c r="D155" s="250"/>
      <c r="E155" s="250"/>
      <c r="F155" s="425"/>
      <c r="G155" s="425"/>
      <c r="H155" s="346"/>
      <c r="I155" s="250"/>
      <c r="J155" s="426"/>
      <c r="K155" s="426"/>
      <c r="L155" s="414"/>
      <c r="M155" s="414"/>
      <c r="N155" s="414"/>
      <c r="O155" s="414"/>
      <c r="P155" s="414"/>
      <c r="Q155" s="414"/>
      <c r="R155" s="414"/>
      <c r="S155" s="414"/>
      <c r="T155" s="414"/>
      <c r="U155" s="414"/>
      <c r="V155" s="414"/>
      <c r="W155" s="414"/>
      <c r="X155" s="414"/>
      <c r="Y155" s="414"/>
      <c r="Z155" s="414"/>
    </row>
    <row r="156" spans="1:26" ht="15.75" customHeight="1" x14ac:dyDescent="0.25">
      <c r="A156" s="466">
        <v>151</v>
      </c>
      <c r="B156" s="250"/>
      <c r="C156" s="250"/>
      <c r="D156" s="250"/>
      <c r="E156" s="250"/>
      <c r="F156" s="425"/>
      <c r="G156" s="425"/>
      <c r="H156" s="346"/>
      <c r="I156" s="250"/>
      <c r="J156" s="426"/>
      <c r="K156" s="426"/>
      <c r="L156" s="414"/>
      <c r="M156" s="414"/>
      <c r="N156" s="414"/>
      <c r="O156" s="414"/>
      <c r="P156" s="414"/>
      <c r="Q156" s="414"/>
      <c r="R156" s="414"/>
      <c r="S156" s="414"/>
      <c r="T156" s="414"/>
      <c r="U156" s="414"/>
      <c r="V156" s="414"/>
      <c r="W156" s="414"/>
      <c r="X156" s="414"/>
      <c r="Y156" s="414"/>
      <c r="Z156" s="414"/>
    </row>
    <row r="157" spans="1:26" ht="15.75" customHeight="1" x14ac:dyDescent="0.25">
      <c r="A157" s="466">
        <v>152</v>
      </c>
      <c r="B157" s="250"/>
      <c r="C157" s="250"/>
      <c r="D157" s="250"/>
      <c r="E157" s="250"/>
      <c r="F157" s="425"/>
      <c r="G157" s="425"/>
      <c r="H157" s="346"/>
      <c r="I157" s="250"/>
      <c r="J157" s="426"/>
      <c r="K157" s="426"/>
      <c r="L157" s="414"/>
      <c r="M157" s="414"/>
      <c r="N157" s="414"/>
      <c r="O157" s="414"/>
      <c r="P157" s="414"/>
      <c r="Q157" s="414"/>
      <c r="R157" s="414"/>
      <c r="S157" s="414"/>
      <c r="T157" s="414"/>
      <c r="U157" s="414"/>
      <c r="V157" s="414"/>
      <c r="W157" s="414"/>
      <c r="X157" s="414"/>
      <c r="Y157" s="414"/>
      <c r="Z157" s="414"/>
    </row>
    <row r="158" spans="1:26" ht="15.75" customHeight="1" x14ac:dyDescent="0.25">
      <c r="A158" s="466">
        <v>153</v>
      </c>
      <c r="B158" s="250"/>
      <c r="C158" s="250"/>
      <c r="D158" s="250"/>
      <c r="E158" s="250"/>
      <c r="F158" s="425"/>
      <c r="G158" s="425"/>
      <c r="H158" s="346"/>
      <c r="I158" s="250"/>
      <c r="J158" s="426"/>
      <c r="K158" s="426"/>
      <c r="L158" s="414"/>
      <c r="M158" s="414"/>
      <c r="N158" s="414"/>
      <c r="O158" s="414"/>
      <c r="P158" s="414"/>
      <c r="Q158" s="414"/>
      <c r="R158" s="414"/>
      <c r="S158" s="414"/>
      <c r="T158" s="414"/>
      <c r="U158" s="414"/>
      <c r="V158" s="414"/>
      <c r="W158" s="414"/>
      <c r="X158" s="414"/>
      <c r="Y158" s="414"/>
      <c r="Z158" s="414"/>
    </row>
    <row r="159" spans="1:26" ht="15.75" customHeight="1" x14ac:dyDescent="0.25">
      <c r="A159" s="466">
        <v>154</v>
      </c>
      <c r="B159" s="250"/>
      <c r="C159" s="250"/>
      <c r="D159" s="250"/>
      <c r="E159" s="250"/>
      <c r="F159" s="425"/>
      <c r="G159" s="425"/>
      <c r="H159" s="346"/>
      <c r="I159" s="250"/>
      <c r="J159" s="426"/>
      <c r="K159" s="426"/>
      <c r="L159" s="414"/>
      <c r="M159" s="414"/>
      <c r="N159" s="414"/>
      <c r="O159" s="414"/>
      <c r="P159" s="414"/>
      <c r="Q159" s="414"/>
      <c r="R159" s="414"/>
      <c r="S159" s="414"/>
      <c r="T159" s="414"/>
      <c r="U159" s="414"/>
      <c r="V159" s="414"/>
      <c r="W159" s="414"/>
      <c r="X159" s="414"/>
      <c r="Y159" s="414"/>
      <c r="Z159" s="414"/>
    </row>
    <row r="160" spans="1:26" ht="15.75" customHeight="1" x14ac:dyDescent="0.25">
      <c r="A160" s="466">
        <v>155</v>
      </c>
      <c r="B160" s="250"/>
      <c r="C160" s="250"/>
      <c r="D160" s="250"/>
      <c r="E160" s="250"/>
      <c r="F160" s="425"/>
      <c r="G160" s="425"/>
      <c r="H160" s="346"/>
      <c r="I160" s="250"/>
      <c r="J160" s="426"/>
      <c r="K160" s="426"/>
      <c r="L160" s="414"/>
      <c r="M160" s="414"/>
      <c r="N160" s="414"/>
      <c r="O160" s="414"/>
      <c r="P160" s="414"/>
      <c r="Q160" s="414"/>
      <c r="R160" s="414"/>
      <c r="S160" s="414"/>
      <c r="T160" s="414"/>
      <c r="U160" s="414"/>
      <c r="V160" s="414"/>
      <c r="W160" s="414"/>
      <c r="X160" s="414"/>
      <c r="Y160" s="414"/>
      <c r="Z160" s="414"/>
    </row>
    <row r="161" spans="1:26" ht="15.75" customHeight="1" x14ac:dyDescent="0.25">
      <c r="A161" s="466">
        <v>156</v>
      </c>
      <c r="B161" s="250"/>
      <c r="C161" s="250"/>
      <c r="D161" s="250"/>
      <c r="E161" s="250"/>
      <c r="F161" s="425"/>
      <c r="G161" s="425"/>
      <c r="H161" s="346"/>
      <c r="I161" s="250"/>
      <c r="J161" s="426"/>
      <c r="K161" s="426"/>
      <c r="L161" s="414"/>
      <c r="M161" s="414"/>
      <c r="N161" s="414"/>
      <c r="O161" s="414"/>
      <c r="P161" s="414"/>
      <c r="Q161" s="414"/>
      <c r="R161" s="414"/>
      <c r="S161" s="414"/>
      <c r="T161" s="414"/>
      <c r="U161" s="414"/>
      <c r="V161" s="414"/>
      <c r="W161" s="414"/>
      <c r="X161" s="414"/>
      <c r="Y161" s="414"/>
      <c r="Z161" s="414"/>
    </row>
    <row r="162" spans="1:26" ht="15.75" customHeight="1" x14ac:dyDescent="0.25">
      <c r="A162" s="466">
        <v>157</v>
      </c>
      <c r="B162" s="250"/>
      <c r="C162" s="250"/>
      <c r="D162" s="250"/>
      <c r="E162" s="250"/>
      <c r="F162" s="425"/>
      <c r="G162" s="425"/>
      <c r="H162" s="346"/>
      <c r="I162" s="250"/>
      <c r="J162" s="426"/>
      <c r="K162" s="426"/>
      <c r="L162" s="414"/>
      <c r="M162" s="414"/>
      <c r="N162" s="414"/>
      <c r="O162" s="414"/>
      <c r="P162" s="414"/>
      <c r="Q162" s="414"/>
      <c r="R162" s="414"/>
      <c r="S162" s="414"/>
      <c r="T162" s="414"/>
      <c r="U162" s="414"/>
      <c r="V162" s="414"/>
      <c r="W162" s="414"/>
      <c r="X162" s="414"/>
      <c r="Y162" s="414"/>
      <c r="Z162" s="414"/>
    </row>
    <row r="163" spans="1:26" ht="15.75" customHeight="1" x14ac:dyDescent="0.25">
      <c r="A163" s="466">
        <v>158</v>
      </c>
      <c r="B163" s="250"/>
      <c r="C163" s="250"/>
      <c r="D163" s="250"/>
      <c r="E163" s="250"/>
      <c r="F163" s="425"/>
      <c r="G163" s="425"/>
      <c r="H163" s="346"/>
      <c r="I163" s="250"/>
      <c r="J163" s="426"/>
      <c r="K163" s="426"/>
      <c r="L163" s="414"/>
      <c r="M163" s="414"/>
      <c r="N163" s="414"/>
      <c r="O163" s="414"/>
      <c r="P163" s="414"/>
      <c r="Q163" s="414"/>
      <c r="R163" s="414"/>
      <c r="S163" s="414"/>
      <c r="T163" s="414"/>
      <c r="U163" s="414"/>
      <c r="V163" s="414"/>
      <c r="W163" s="414"/>
      <c r="X163" s="414"/>
      <c r="Y163" s="414"/>
      <c r="Z163" s="414"/>
    </row>
    <row r="164" spans="1:26" ht="15.75" customHeight="1" x14ac:dyDescent="0.25">
      <c r="A164" s="466">
        <v>159</v>
      </c>
      <c r="B164" s="250"/>
      <c r="C164" s="250"/>
      <c r="D164" s="250"/>
      <c r="E164" s="250"/>
      <c r="F164" s="425"/>
      <c r="G164" s="425"/>
      <c r="H164" s="346"/>
      <c r="I164" s="250"/>
      <c r="J164" s="426"/>
      <c r="K164" s="426"/>
      <c r="L164" s="414"/>
      <c r="M164" s="414"/>
      <c r="N164" s="414"/>
      <c r="O164" s="414"/>
      <c r="P164" s="414"/>
      <c r="Q164" s="414"/>
      <c r="R164" s="414"/>
      <c r="S164" s="414"/>
      <c r="T164" s="414"/>
      <c r="U164" s="414"/>
      <c r="V164" s="414"/>
      <c r="W164" s="414"/>
      <c r="X164" s="414"/>
      <c r="Y164" s="414"/>
      <c r="Z164" s="414"/>
    </row>
    <row r="165" spans="1:26" ht="15.75" customHeight="1" x14ac:dyDescent="0.25">
      <c r="A165" s="466">
        <v>160</v>
      </c>
      <c r="B165" s="250"/>
      <c r="C165" s="250"/>
      <c r="D165" s="250"/>
      <c r="E165" s="250"/>
      <c r="F165" s="425"/>
      <c r="G165" s="425"/>
      <c r="H165" s="346"/>
      <c r="I165" s="250"/>
      <c r="J165" s="426"/>
      <c r="K165" s="426"/>
      <c r="L165" s="414"/>
      <c r="M165" s="414"/>
      <c r="N165" s="414"/>
      <c r="O165" s="414"/>
      <c r="P165" s="414"/>
      <c r="Q165" s="414"/>
      <c r="R165" s="414"/>
      <c r="S165" s="414"/>
      <c r="T165" s="414"/>
      <c r="U165" s="414"/>
      <c r="V165" s="414"/>
      <c r="W165" s="414"/>
      <c r="X165" s="414"/>
      <c r="Y165" s="414"/>
      <c r="Z165" s="414"/>
    </row>
    <row r="166" spans="1:26" ht="15.75" customHeight="1" x14ac:dyDescent="0.25">
      <c r="A166" s="466">
        <v>161</v>
      </c>
      <c r="B166" s="250"/>
      <c r="C166" s="250"/>
      <c r="D166" s="250"/>
      <c r="E166" s="250"/>
      <c r="F166" s="425"/>
      <c r="G166" s="425"/>
      <c r="H166" s="346"/>
      <c r="I166" s="250"/>
      <c r="J166" s="426"/>
      <c r="K166" s="426"/>
      <c r="L166" s="414"/>
      <c r="M166" s="414"/>
      <c r="N166" s="414"/>
      <c r="O166" s="414"/>
      <c r="P166" s="414"/>
      <c r="Q166" s="414"/>
      <c r="R166" s="414"/>
      <c r="S166" s="414"/>
      <c r="T166" s="414"/>
      <c r="U166" s="414"/>
      <c r="V166" s="414"/>
      <c r="W166" s="414"/>
      <c r="X166" s="414"/>
      <c r="Y166" s="414"/>
      <c r="Z166" s="414"/>
    </row>
    <row r="167" spans="1:26" ht="15.75" customHeight="1" x14ac:dyDescent="0.25">
      <c r="A167" s="466">
        <v>162</v>
      </c>
      <c r="B167" s="250"/>
      <c r="C167" s="250"/>
      <c r="D167" s="250"/>
      <c r="E167" s="250"/>
      <c r="F167" s="425"/>
      <c r="G167" s="425"/>
      <c r="H167" s="346"/>
      <c r="I167" s="250"/>
      <c r="J167" s="426"/>
      <c r="K167" s="426"/>
      <c r="L167" s="414"/>
      <c r="M167" s="414"/>
      <c r="N167" s="414"/>
      <c r="O167" s="414"/>
      <c r="P167" s="414"/>
      <c r="Q167" s="414"/>
      <c r="R167" s="414"/>
      <c r="S167" s="414"/>
      <c r="T167" s="414"/>
      <c r="U167" s="414"/>
      <c r="V167" s="414"/>
      <c r="W167" s="414"/>
      <c r="X167" s="414"/>
      <c r="Y167" s="414"/>
      <c r="Z167" s="414"/>
    </row>
    <row r="168" spans="1:26" ht="15.75" customHeight="1" x14ac:dyDescent="0.25">
      <c r="A168" s="466">
        <v>163</v>
      </c>
      <c r="B168" s="250"/>
      <c r="C168" s="250"/>
      <c r="D168" s="250"/>
      <c r="E168" s="250"/>
      <c r="F168" s="425"/>
      <c r="G168" s="425"/>
      <c r="H168" s="346"/>
      <c r="I168" s="250"/>
      <c r="J168" s="426"/>
      <c r="K168" s="426"/>
      <c r="L168" s="414"/>
      <c r="M168" s="414"/>
      <c r="N168" s="414"/>
      <c r="O168" s="414"/>
      <c r="P168" s="414"/>
      <c r="Q168" s="414"/>
      <c r="R168" s="414"/>
      <c r="S168" s="414"/>
      <c r="T168" s="414"/>
      <c r="U168" s="414"/>
      <c r="V168" s="414"/>
      <c r="W168" s="414"/>
      <c r="X168" s="414"/>
      <c r="Y168" s="414"/>
      <c r="Z168" s="414"/>
    </row>
    <row r="169" spans="1:26" ht="15.75" customHeight="1" x14ac:dyDescent="0.25">
      <c r="A169" s="466">
        <v>164</v>
      </c>
      <c r="B169" s="250"/>
      <c r="C169" s="250"/>
      <c r="D169" s="250"/>
      <c r="E169" s="250"/>
      <c r="F169" s="425"/>
      <c r="G169" s="425"/>
      <c r="H169" s="346"/>
      <c r="I169" s="250"/>
      <c r="J169" s="426"/>
      <c r="K169" s="426"/>
      <c r="L169" s="414"/>
      <c r="M169" s="414"/>
      <c r="N169" s="414"/>
      <c r="O169" s="414"/>
      <c r="P169" s="414"/>
      <c r="Q169" s="414"/>
      <c r="R169" s="414"/>
      <c r="S169" s="414"/>
      <c r="T169" s="414"/>
      <c r="U169" s="414"/>
      <c r="V169" s="414"/>
      <c r="W169" s="414"/>
      <c r="X169" s="414"/>
      <c r="Y169" s="414"/>
      <c r="Z169" s="414"/>
    </row>
    <row r="170" spans="1:26" ht="15.75" customHeight="1" x14ac:dyDescent="0.25">
      <c r="A170" s="466">
        <v>165</v>
      </c>
      <c r="B170" s="250"/>
      <c r="C170" s="250"/>
      <c r="D170" s="250"/>
      <c r="E170" s="250"/>
      <c r="F170" s="425"/>
      <c r="G170" s="425"/>
      <c r="H170" s="346"/>
      <c r="I170" s="250"/>
      <c r="J170" s="426"/>
      <c r="K170" s="426"/>
      <c r="L170" s="414"/>
      <c r="M170" s="414"/>
      <c r="N170" s="414"/>
      <c r="O170" s="414"/>
      <c r="P170" s="414"/>
      <c r="Q170" s="414"/>
      <c r="R170" s="414"/>
      <c r="S170" s="414"/>
      <c r="T170" s="414"/>
      <c r="U170" s="414"/>
      <c r="V170" s="414"/>
      <c r="W170" s="414"/>
      <c r="X170" s="414"/>
      <c r="Y170" s="414"/>
      <c r="Z170" s="414"/>
    </row>
    <row r="171" spans="1:26" ht="15.75" customHeight="1" x14ac:dyDescent="0.25">
      <c r="A171" s="466">
        <v>166</v>
      </c>
      <c r="B171" s="250"/>
      <c r="C171" s="250"/>
      <c r="D171" s="250"/>
      <c r="E171" s="250"/>
      <c r="F171" s="425"/>
      <c r="G171" s="425"/>
      <c r="H171" s="346"/>
      <c r="I171" s="250"/>
      <c r="J171" s="426"/>
      <c r="K171" s="426"/>
      <c r="L171" s="414"/>
      <c r="M171" s="414"/>
      <c r="N171" s="414"/>
      <c r="O171" s="414"/>
      <c r="P171" s="414"/>
      <c r="Q171" s="414"/>
      <c r="R171" s="414"/>
      <c r="S171" s="414"/>
      <c r="T171" s="414"/>
      <c r="U171" s="414"/>
      <c r="V171" s="414"/>
      <c r="W171" s="414"/>
      <c r="X171" s="414"/>
      <c r="Y171" s="414"/>
      <c r="Z171" s="414"/>
    </row>
    <row r="172" spans="1:26" ht="15.75" customHeight="1" x14ac:dyDescent="0.25">
      <c r="A172" s="466">
        <v>167</v>
      </c>
      <c r="B172" s="250"/>
      <c r="C172" s="250"/>
      <c r="D172" s="250"/>
      <c r="E172" s="250"/>
      <c r="F172" s="425"/>
      <c r="G172" s="425"/>
      <c r="H172" s="346"/>
      <c r="I172" s="250"/>
      <c r="J172" s="426"/>
      <c r="K172" s="426"/>
      <c r="L172" s="414"/>
      <c r="M172" s="414"/>
      <c r="N172" s="414"/>
      <c r="O172" s="414"/>
      <c r="P172" s="414"/>
      <c r="Q172" s="414"/>
      <c r="R172" s="414"/>
      <c r="S172" s="414"/>
      <c r="T172" s="414"/>
      <c r="U172" s="414"/>
      <c r="V172" s="414"/>
      <c r="W172" s="414"/>
      <c r="X172" s="414"/>
      <c r="Y172" s="414"/>
      <c r="Z172" s="414"/>
    </row>
    <row r="173" spans="1:26" ht="15.75" customHeight="1" x14ac:dyDescent="0.25">
      <c r="A173" s="466">
        <v>168</v>
      </c>
      <c r="B173" s="250"/>
      <c r="C173" s="250"/>
      <c r="D173" s="250"/>
      <c r="E173" s="250"/>
      <c r="F173" s="425"/>
      <c r="G173" s="425"/>
      <c r="H173" s="346"/>
      <c r="I173" s="250"/>
      <c r="J173" s="426"/>
      <c r="K173" s="426"/>
      <c r="L173" s="414"/>
      <c r="M173" s="414"/>
      <c r="N173" s="414"/>
      <c r="O173" s="414"/>
      <c r="P173" s="414"/>
      <c r="Q173" s="414"/>
      <c r="R173" s="414"/>
      <c r="S173" s="414"/>
      <c r="T173" s="414"/>
      <c r="U173" s="414"/>
      <c r="V173" s="414"/>
      <c r="W173" s="414"/>
      <c r="X173" s="414"/>
      <c r="Y173" s="414"/>
      <c r="Z173" s="414"/>
    </row>
    <row r="174" spans="1:26" ht="15.75" customHeight="1" x14ac:dyDescent="0.25">
      <c r="A174" s="424">
        <v>169</v>
      </c>
      <c r="B174" s="250"/>
      <c r="C174" s="250"/>
      <c r="D174" s="250"/>
      <c r="E174" s="250"/>
      <c r="F174" s="425"/>
      <c r="G174" s="425"/>
      <c r="H174" s="346"/>
      <c r="I174" s="250"/>
      <c r="J174" s="426"/>
      <c r="K174" s="426"/>
      <c r="L174" s="414"/>
      <c r="M174" s="414"/>
      <c r="N174" s="414"/>
      <c r="O174" s="414"/>
      <c r="P174" s="414"/>
      <c r="Q174" s="414"/>
      <c r="R174" s="414"/>
      <c r="S174" s="414"/>
      <c r="T174" s="414"/>
      <c r="U174" s="414"/>
      <c r="V174" s="414"/>
      <c r="W174" s="414"/>
      <c r="X174" s="414"/>
      <c r="Y174" s="414"/>
      <c r="Z174" s="414"/>
    </row>
    <row r="175" spans="1:26" ht="15.75" customHeight="1" x14ac:dyDescent="0.25">
      <c r="A175" s="424">
        <v>170</v>
      </c>
      <c r="B175" s="250"/>
      <c r="C175" s="250"/>
      <c r="D175" s="250"/>
      <c r="E175" s="250"/>
      <c r="F175" s="425"/>
      <c r="G175" s="425"/>
      <c r="H175" s="346"/>
      <c r="I175" s="250"/>
      <c r="J175" s="426"/>
      <c r="K175" s="426"/>
      <c r="L175" s="414"/>
      <c r="M175" s="414"/>
      <c r="N175" s="414"/>
      <c r="O175" s="414"/>
      <c r="P175" s="414"/>
      <c r="Q175" s="414"/>
      <c r="R175" s="414"/>
      <c r="S175" s="414"/>
      <c r="T175" s="414"/>
      <c r="U175" s="414"/>
      <c r="V175" s="414"/>
      <c r="W175" s="414"/>
      <c r="X175" s="414"/>
      <c r="Y175" s="414"/>
      <c r="Z175" s="414"/>
    </row>
    <row r="176" spans="1:26" ht="15.75" customHeight="1" x14ac:dyDescent="0.25">
      <c r="A176" s="424">
        <v>171</v>
      </c>
      <c r="B176" s="250"/>
      <c r="C176" s="250"/>
      <c r="D176" s="250"/>
      <c r="E176" s="250"/>
      <c r="F176" s="425"/>
      <c r="G176" s="425"/>
      <c r="H176" s="346"/>
      <c r="I176" s="250"/>
      <c r="J176" s="426"/>
      <c r="K176" s="426"/>
      <c r="L176" s="414"/>
      <c r="M176" s="414"/>
      <c r="N176" s="414"/>
      <c r="O176" s="414"/>
      <c r="P176" s="414"/>
      <c r="Q176" s="414"/>
      <c r="R176" s="414"/>
      <c r="S176" s="414"/>
      <c r="T176" s="414"/>
      <c r="U176" s="414"/>
      <c r="V176" s="414"/>
      <c r="W176" s="414"/>
      <c r="X176" s="414"/>
      <c r="Y176" s="414"/>
      <c r="Z176" s="414"/>
    </row>
    <row r="177" spans="1:26" ht="15.75" customHeight="1" x14ac:dyDescent="0.25">
      <c r="A177" s="424">
        <v>172</v>
      </c>
      <c r="B177" s="250"/>
      <c r="C177" s="250"/>
      <c r="D177" s="250"/>
      <c r="E177" s="250"/>
      <c r="F177" s="425"/>
      <c r="G177" s="425"/>
      <c r="H177" s="346"/>
      <c r="I177" s="250"/>
      <c r="J177" s="426"/>
      <c r="K177" s="426"/>
      <c r="L177" s="414"/>
      <c r="M177" s="414"/>
      <c r="N177" s="414"/>
      <c r="O177" s="414"/>
      <c r="P177" s="414"/>
      <c r="Q177" s="414"/>
      <c r="R177" s="414"/>
      <c r="S177" s="414"/>
      <c r="T177" s="414"/>
      <c r="U177" s="414"/>
      <c r="V177" s="414"/>
      <c r="W177" s="414"/>
      <c r="X177" s="414"/>
      <c r="Y177" s="414"/>
      <c r="Z177" s="414"/>
    </row>
    <row r="178" spans="1:26" ht="15.75" customHeight="1" x14ac:dyDescent="0.25">
      <c r="A178" s="424">
        <v>173</v>
      </c>
      <c r="B178" s="250"/>
      <c r="C178" s="250"/>
      <c r="D178" s="250"/>
      <c r="E178" s="250"/>
      <c r="F178" s="425"/>
      <c r="G178" s="425"/>
      <c r="H178" s="346"/>
      <c r="I178" s="250"/>
      <c r="J178" s="426"/>
      <c r="K178" s="426"/>
      <c r="L178" s="414"/>
      <c r="M178" s="414"/>
      <c r="N178" s="414"/>
      <c r="O178" s="414"/>
      <c r="P178" s="414"/>
      <c r="Q178" s="414"/>
      <c r="R178" s="414"/>
      <c r="S178" s="414"/>
      <c r="T178" s="414"/>
      <c r="U178" s="414"/>
      <c r="V178" s="414"/>
      <c r="W178" s="414"/>
      <c r="X178" s="414"/>
      <c r="Y178" s="414"/>
      <c r="Z178" s="414"/>
    </row>
    <row r="179" spans="1:26" ht="15.75" customHeight="1" x14ac:dyDescent="0.25">
      <c r="A179" s="424">
        <v>174</v>
      </c>
      <c r="B179" s="250"/>
      <c r="C179" s="250"/>
      <c r="D179" s="250"/>
      <c r="E179" s="250"/>
      <c r="F179" s="425"/>
      <c r="G179" s="425"/>
      <c r="H179" s="346"/>
      <c r="I179" s="250"/>
      <c r="J179" s="426"/>
      <c r="K179" s="426"/>
      <c r="L179" s="414"/>
      <c r="M179" s="414"/>
      <c r="N179" s="414"/>
      <c r="O179" s="414"/>
      <c r="P179" s="414"/>
      <c r="Q179" s="414"/>
      <c r="R179" s="414"/>
      <c r="S179" s="414"/>
      <c r="T179" s="414"/>
      <c r="U179" s="414"/>
      <c r="V179" s="414"/>
      <c r="W179" s="414"/>
      <c r="X179" s="414"/>
      <c r="Y179" s="414"/>
      <c r="Z179" s="414"/>
    </row>
    <row r="180" spans="1:26" ht="15.75" customHeight="1" x14ac:dyDescent="0.25">
      <c r="A180" s="424">
        <v>175</v>
      </c>
      <c r="B180" s="250"/>
      <c r="C180" s="250"/>
      <c r="D180" s="250"/>
      <c r="E180" s="250"/>
      <c r="F180" s="425"/>
      <c r="G180" s="425"/>
      <c r="H180" s="346"/>
      <c r="I180" s="250"/>
      <c r="J180" s="426"/>
      <c r="K180" s="426"/>
      <c r="L180" s="414"/>
      <c r="M180" s="414"/>
      <c r="N180" s="414"/>
      <c r="O180" s="414"/>
      <c r="P180" s="414"/>
      <c r="Q180" s="414"/>
      <c r="R180" s="414"/>
      <c r="S180" s="414"/>
      <c r="T180" s="414"/>
      <c r="U180" s="414"/>
      <c r="V180" s="414"/>
      <c r="W180" s="414"/>
      <c r="X180" s="414"/>
      <c r="Y180" s="414"/>
      <c r="Z180" s="414"/>
    </row>
    <row r="181" spans="1:26" ht="15.75" customHeight="1" x14ac:dyDescent="0.25">
      <c r="A181" s="424">
        <v>176</v>
      </c>
      <c r="B181" s="250"/>
      <c r="C181" s="250"/>
      <c r="D181" s="250"/>
      <c r="E181" s="250"/>
      <c r="F181" s="425"/>
      <c r="G181" s="425"/>
      <c r="H181" s="346"/>
      <c r="I181" s="250"/>
      <c r="J181" s="426"/>
      <c r="K181" s="426"/>
      <c r="L181" s="414"/>
      <c r="M181" s="414"/>
      <c r="N181" s="414"/>
      <c r="O181" s="414"/>
      <c r="P181" s="414"/>
      <c r="Q181" s="414"/>
      <c r="R181" s="414"/>
      <c r="S181" s="414"/>
      <c r="T181" s="414"/>
      <c r="U181" s="414"/>
      <c r="V181" s="414"/>
      <c r="W181" s="414"/>
      <c r="X181" s="414"/>
      <c r="Y181" s="414"/>
      <c r="Z181" s="414"/>
    </row>
    <row r="182" spans="1:26" ht="15.75" customHeight="1" x14ac:dyDescent="0.25">
      <c r="A182" s="424">
        <v>177</v>
      </c>
      <c r="B182" s="250"/>
      <c r="C182" s="250"/>
      <c r="D182" s="250"/>
      <c r="E182" s="250"/>
      <c r="F182" s="425"/>
      <c r="G182" s="425"/>
      <c r="H182" s="346"/>
      <c r="I182" s="250"/>
      <c r="J182" s="426"/>
      <c r="K182" s="426"/>
      <c r="L182" s="414"/>
      <c r="M182" s="414"/>
      <c r="N182" s="414"/>
      <c r="O182" s="414"/>
      <c r="P182" s="414"/>
      <c r="Q182" s="414"/>
      <c r="R182" s="414"/>
      <c r="S182" s="414"/>
      <c r="T182" s="414"/>
      <c r="U182" s="414"/>
      <c r="V182" s="414"/>
      <c r="W182" s="414"/>
      <c r="X182" s="414"/>
      <c r="Y182" s="414"/>
      <c r="Z182" s="414"/>
    </row>
    <row r="183" spans="1:26" ht="15.75" customHeight="1" x14ac:dyDescent="0.25">
      <c r="A183" s="424">
        <v>178</v>
      </c>
      <c r="B183" s="250"/>
      <c r="C183" s="250"/>
      <c r="D183" s="250"/>
      <c r="E183" s="250"/>
      <c r="F183" s="425"/>
      <c r="G183" s="425"/>
      <c r="H183" s="346"/>
      <c r="I183" s="250"/>
      <c r="J183" s="426"/>
      <c r="K183" s="426"/>
      <c r="L183" s="414"/>
      <c r="M183" s="414"/>
      <c r="N183" s="414"/>
      <c r="O183" s="414"/>
      <c r="P183" s="414"/>
      <c r="Q183" s="414"/>
      <c r="R183" s="414"/>
      <c r="S183" s="414"/>
      <c r="T183" s="414"/>
      <c r="U183" s="414"/>
      <c r="V183" s="414"/>
      <c r="W183" s="414"/>
      <c r="X183" s="414"/>
      <c r="Y183" s="414"/>
      <c r="Z183" s="414"/>
    </row>
    <row r="184" spans="1:26" ht="15.75" customHeight="1" x14ac:dyDescent="0.25">
      <c r="A184" s="424">
        <v>179</v>
      </c>
      <c r="B184" s="250"/>
      <c r="C184" s="250"/>
      <c r="D184" s="250"/>
      <c r="E184" s="250"/>
      <c r="F184" s="425"/>
      <c r="G184" s="425"/>
      <c r="H184" s="346"/>
      <c r="I184" s="250"/>
      <c r="J184" s="426"/>
      <c r="K184" s="426"/>
      <c r="L184" s="414"/>
      <c r="M184" s="414"/>
      <c r="N184" s="414"/>
      <c r="O184" s="414"/>
      <c r="P184" s="414"/>
      <c r="Q184" s="414"/>
      <c r="R184" s="414"/>
      <c r="S184" s="414"/>
      <c r="T184" s="414"/>
      <c r="U184" s="414"/>
      <c r="V184" s="414"/>
      <c r="W184" s="414"/>
      <c r="X184" s="414"/>
      <c r="Y184" s="414"/>
      <c r="Z184" s="414"/>
    </row>
    <row r="185" spans="1:26" ht="15.75" customHeight="1" x14ac:dyDescent="0.25">
      <c r="A185" s="424">
        <v>180</v>
      </c>
      <c r="B185" s="250"/>
      <c r="C185" s="250"/>
      <c r="D185" s="250"/>
      <c r="E185" s="250"/>
      <c r="F185" s="425"/>
      <c r="G185" s="425"/>
      <c r="H185" s="346"/>
      <c r="I185" s="250"/>
      <c r="J185" s="426"/>
      <c r="K185" s="426"/>
      <c r="L185" s="414"/>
      <c r="M185" s="414"/>
      <c r="N185" s="414"/>
      <c r="O185" s="414"/>
      <c r="P185" s="414"/>
      <c r="Q185" s="414"/>
      <c r="R185" s="414"/>
      <c r="S185" s="414"/>
      <c r="T185" s="414"/>
      <c r="U185" s="414"/>
      <c r="V185" s="414"/>
      <c r="W185" s="414"/>
      <c r="X185" s="414"/>
      <c r="Y185" s="414"/>
      <c r="Z185" s="414"/>
    </row>
    <row r="186" spans="1:26" ht="15.75" customHeight="1" x14ac:dyDescent="0.25">
      <c r="A186" s="424">
        <v>181</v>
      </c>
      <c r="B186" s="250"/>
      <c r="C186" s="250"/>
      <c r="D186" s="250"/>
      <c r="E186" s="250"/>
      <c r="F186" s="425"/>
      <c r="G186" s="425"/>
      <c r="H186" s="346"/>
      <c r="I186" s="250"/>
      <c r="J186" s="426"/>
      <c r="K186" s="426"/>
      <c r="L186" s="414"/>
      <c r="M186" s="414"/>
      <c r="N186" s="414"/>
      <c r="O186" s="414"/>
      <c r="P186" s="414"/>
      <c r="Q186" s="414"/>
      <c r="R186" s="414"/>
      <c r="S186" s="414"/>
      <c r="T186" s="414"/>
      <c r="U186" s="414"/>
      <c r="V186" s="414"/>
      <c r="W186" s="414"/>
      <c r="X186" s="414"/>
      <c r="Y186" s="414"/>
      <c r="Z186" s="414"/>
    </row>
    <row r="187" spans="1:26" ht="15.75" customHeight="1" x14ac:dyDescent="0.25">
      <c r="A187" s="424">
        <v>182</v>
      </c>
      <c r="B187" s="250"/>
      <c r="C187" s="250"/>
      <c r="D187" s="250"/>
      <c r="E187" s="250"/>
      <c r="F187" s="425"/>
      <c r="G187" s="425"/>
      <c r="H187" s="346"/>
      <c r="I187" s="250"/>
      <c r="J187" s="426"/>
      <c r="K187" s="426"/>
      <c r="L187" s="414"/>
      <c r="M187" s="414"/>
      <c r="N187" s="414"/>
      <c r="O187" s="414"/>
      <c r="P187" s="414"/>
      <c r="Q187" s="414"/>
      <c r="R187" s="414"/>
      <c r="S187" s="414"/>
      <c r="T187" s="414"/>
      <c r="U187" s="414"/>
      <c r="V187" s="414"/>
      <c r="W187" s="414"/>
      <c r="X187" s="414"/>
      <c r="Y187" s="414"/>
      <c r="Z187" s="414"/>
    </row>
    <row r="188" spans="1:26" ht="15.75" customHeight="1" x14ac:dyDescent="0.25">
      <c r="A188" s="424">
        <v>183</v>
      </c>
      <c r="B188" s="250"/>
      <c r="C188" s="250"/>
      <c r="D188" s="250"/>
      <c r="E188" s="250"/>
      <c r="F188" s="425"/>
      <c r="G188" s="425"/>
      <c r="H188" s="346"/>
      <c r="I188" s="250"/>
      <c r="J188" s="426"/>
      <c r="K188" s="426"/>
      <c r="L188" s="414"/>
      <c r="M188" s="414"/>
      <c r="N188" s="414"/>
      <c r="O188" s="414"/>
      <c r="P188" s="414"/>
      <c r="Q188" s="414"/>
      <c r="R188" s="414"/>
      <c r="S188" s="414"/>
      <c r="T188" s="414"/>
      <c r="U188" s="414"/>
      <c r="V188" s="414"/>
      <c r="W188" s="414"/>
      <c r="X188" s="414"/>
      <c r="Y188" s="414"/>
      <c r="Z188" s="414"/>
    </row>
    <row r="189" spans="1:26" ht="15.75" customHeight="1" x14ac:dyDescent="0.25">
      <c r="A189" s="424">
        <v>184</v>
      </c>
      <c r="B189" s="250"/>
      <c r="C189" s="250"/>
      <c r="D189" s="250"/>
      <c r="E189" s="250"/>
      <c r="F189" s="425"/>
      <c r="G189" s="425"/>
      <c r="H189" s="346"/>
      <c r="I189" s="250"/>
      <c r="J189" s="426"/>
      <c r="K189" s="426"/>
      <c r="L189" s="414"/>
      <c r="M189" s="414"/>
      <c r="N189" s="414"/>
      <c r="O189" s="414"/>
      <c r="P189" s="414"/>
      <c r="Q189" s="414"/>
      <c r="R189" s="414"/>
      <c r="S189" s="414"/>
      <c r="T189" s="414"/>
      <c r="U189" s="414"/>
      <c r="V189" s="414"/>
      <c r="W189" s="414"/>
      <c r="X189" s="414"/>
      <c r="Y189" s="414"/>
      <c r="Z189" s="414"/>
    </row>
    <row r="190" spans="1:26" ht="15.75" customHeight="1" x14ac:dyDescent="0.25">
      <c r="A190" s="424">
        <v>185</v>
      </c>
      <c r="B190" s="250"/>
      <c r="C190" s="250"/>
      <c r="D190" s="250"/>
      <c r="E190" s="250"/>
      <c r="F190" s="425"/>
      <c r="G190" s="425"/>
      <c r="H190" s="346"/>
      <c r="I190" s="250"/>
      <c r="J190" s="426"/>
      <c r="K190" s="426"/>
      <c r="L190" s="414"/>
      <c r="M190" s="414"/>
      <c r="N190" s="414"/>
      <c r="O190" s="414"/>
      <c r="P190" s="414"/>
      <c r="Q190" s="414"/>
      <c r="R190" s="414"/>
      <c r="S190" s="414"/>
      <c r="T190" s="414"/>
      <c r="U190" s="414"/>
      <c r="V190" s="414"/>
      <c r="W190" s="414"/>
      <c r="X190" s="414"/>
      <c r="Y190" s="414"/>
      <c r="Z190" s="414"/>
    </row>
    <row r="191" spans="1:26" ht="15.75" customHeight="1" x14ac:dyDescent="0.25">
      <c r="A191" s="424">
        <v>186</v>
      </c>
      <c r="B191" s="250"/>
      <c r="C191" s="250"/>
      <c r="D191" s="250"/>
      <c r="E191" s="250"/>
      <c r="F191" s="425"/>
      <c r="G191" s="425"/>
      <c r="H191" s="346"/>
      <c r="I191" s="250"/>
      <c r="J191" s="426"/>
      <c r="K191" s="426"/>
      <c r="L191" s="414"/>
      <c r="M191" s="414"/>
      <c r="N191" s="414"/>
      <c r="O191" s="414"/>
      <c r="P191" s="414"/>
      <c r="Q191" s="414"/>
      <c r="R191" s="414"/>
      <c r="S191" s="414"/>
      <c r="T191" s="414"/>
      <c r="U191" s="414"/>
      <c r="V191" s="414"/>
      <c r="W191" s="414"/>
      <c r="X191" s="414"/>
      <c r="Y191" s="414"/>
      <c r="Z191" s="414"/>
    </row>
    <row r="192" spans="1:26" ht="15.75" customHeight="1" x14ac:dyDescent="0.25">
      <c r="A192" s="424">
        <v>187</v>
      </c>
      <c r="B192" s="250"/>
      <c r="C192" s="250"/>
      <c r="D192" s="250"/>
      <c r="E192" s="250"/>
      <c r="F192" s="425"/>
      <c r="G192" s="425"/>
      <c r="H192" s="346"/>
      <c r="I192" s="250"/>
      <c r="J192" s="426"/>
      <c r="K192" s="426"/>
      <c r="L192" s="414"/>
      <c r="M192" s="414"/>
      <c r="N192" s="414"/>
      <c r="O192" s="414"/>
      <c r="P192" s="414"/>
      <c r="Q192" s="414"/>
      <c r="R192" s="414"/>
      <c r="S192" s="414"/>
      <c r="T192" s="414"/>
      <c r="U192" s="414"/>
      <c r="V192" s="414"/>
      <c r="W192" s="414"/>
      <c r="X192" s="414"/>
      <c r="Y192" s="414"/>
      <c r="Z192" s="414"/>
    </row>
    <row r="193" spans="1:26" ht="15.75" customHeight="1" x14ac:dyDescent="0.25">
      <c r="A193" s="424">
        <v>188</v>
      </c>
      <c r="B193" s="250"/>
      <c r="C193" s="250"/>
      <c r="D193" s="250"/>
      <c r="E193" s="250"/>
      <c r="F193" s="425"/>
      <c r="G193" s="425"/>
      <c r="H193" s="346"/>
      <c r="I193" s="250"/>
      <c r="J193" s="426"/>
      <c r="K193" s="426"/>
      <c r="L193" s="414"/>
      <c r="M193" s="414"/>
      <c r="N193" s="414"/>
      <c r="O193" s="414"/>
      <c r="P193" s="414"/>
      <c r="Q193" s="414"/>
      <c r="R193" s="414"/>
      <c r="S193" s="414"/>
      <c r="T193" s="414"/>
      <c r="U193" s="414"/>
      <c r="V193" s="414"/>
      <c r="W193" s="414"/>
      <c r="X193" s="414"/>
      <c r="Y193" s="414"/>
      <c r="Z193" s="414"/>
    </row>
    <row r="194" spans="1:26" ht="15.75" customHeight="1" x14ac:dyDescent="0.25">
      <c r="A194" s="424">
        <v>189</v>
      </c>
      <c r="B194" s="250"/>
      <c r="C194" s="250"/>
      <c r="D194" s="250"/>
      <c r="E194" s="250"/>
      <c r="F194" s="425"/>
      <c r="G194" s="425"/>
      <c r="H194" s="346"/>
      <c r="I194" s="250"/>
      <c r="J194" s="426"/>
      <c r="K194" s="426"/>
      <c r="L194" s="414"/>
      <c r="M194" s="414"/>
      <c r="N194" s="414"/>
      <c r="O194" s="414"/>
      <c r="P194" s="414"/>
      <c r="Q194" s="414"/>
      <c r="R194" s="414"/>
      <c r="S194" s="414"/>
      <c r="T194" s="414"/>
      <c r="U194" s="414"/>
      <c r="V194" s="414"/>
      <c r="W194" s="414"/>
      <c r="X194" s="414"/>
      <c r="Y194" s="414"/>
      <c r="Z194" s="414"/>
    </row>
    <row r="195" spans="1:26" ht="15.75" customHeight="1" x14ac:dyDescent="0.25">
      <c r="A195" s="424">
        <v>190</v>
      </c>
      <c r="B195" s="250"/>
      <c r="C195" s="250"/>
      <c r="D195" s="250"/>
      <c r="E195" s="250"/>
      <c r="F195" s="425"/>
      <c r="G195" s="425"/>
      <c r="H195" s="346"/>
      <c r="I195" s="250"/>
      <c r="J195" s="426"/>
      <c r="K195" s="426"/>
      <c r="L195" s="414"/>
      <c r="M195" s="414"/>
      <c r="N195" s="414"/>
      <c r="O195" s="414"/>
      <c r="P195" s="414"/>
      <c r="Q195" s="414"/>
      <c r="R195" s="414"/>
      <c r="S195" s="414"/>
      <c r="T195" s="414"/>
      <c r="U195" s="414"/>
      <c r="V195" s="414"/>
      <c r="W195" s="414"/>
      <c r="X195" s="414"/>
      <c r="Y195" s="414"/>
      <c r="Z195" s="414"/>
    </row>
    <row r="196" spans="1:26" ht="15.75" customHeight="1" x14ac:dyDescent="0.25">
      <c r="A196" s="424">
        <v>191</v>
      </c>
      <c r="B196" s="250"/>
      <c r="C196" s="250"/>
      <c r="D196" s="250"/>
      <c r="E196" s="250"/>
      <c r="F196" s="425"/>
      <c r="G196" s="425"/>
      <c r="H196" s="346"/>
      <c r="I196" s="250"/>
      <c r="J196" s="426"/>
      <c r="K196" s="426"/>
      <c r="L196" s="414"/>
      <c r="M196" s="414"/>
      <c r="N196" s="414"/>
      <c r="O196" s="414"/>
      <c r="P196" s="414"/>
      <c r="Q196" s="414"/>
      <c r="R196" s="414"/>
      <c r="S196" s="414"/>
      <c r="T196" s="414"/>
      <c r="U196" s="414"/>
      <c r="V196" s="414"/>
      <c r="W196" s="414"/>
      <c r="X196" s="414"/>
      <c r="Y196" s="414"/>
      <c r="Z196" s="414"/>
    </row>
    <row r="197" spans="1:26" ht="15.75" customHeight="1" x14ac:dyDescent="0.25">
      <c r="A197" s="424">
        <v>192</v>
      </c>
      <c r="B197" s="250"/>
      <c r="C197" s="250"/>
      <c r="D197" s="250"/>
      <c r="E197" s="250"/>
      <c r="F197" s="425"/>
      <c r="G197" s="425"/>
      <c r="H197" s="346"/>
      <c r="I197" s="250"/>
      <c r="J197" s="426"/>
      <c r="K197" s="426"/>
      <c r="L197" s="414"/>
      <c r="M197" s="414"/>
      <c r="N197" s="414"/>
      <c r="O197" s="414"/>
      <c r="P197" s="414"/>
      <c r="Q197" s="414"/>
      <c r="R197" s="414"/>
      <c r="S197" s="414"/>
      <c r="T197" s="414"/>
      <c r="U197" s="414"/>
      <c r="V197" s="414"/>
      <c r="W197" s="414"/>
      <c r="X197" s="414"/>
      <c r="Y197" s="414"/>
      <c r="Z197" s="414"/>
    </row>
    <row r="198" spans="1:26" ht="15.75" customHeight="1" x14ac:dyDescent="0.25">
      <c r="A198" s="424">
        <v>193</v>
      </c>
      <c r="B198" s="250"/>
      <c r="C198" s="250"/>
      <c r="D198" s="250"/>
      <c r="E198" s="250"/>
      <c r="F198" s="425"/>
      <c r="G198" s="425"/>
      <c r="H198" s="346"/>
      <c r="I198" s="250"/>
      <c r="J198" s="426"/>
      <c r="K198" s="426"/>
      <c r="L198" s="414"/>
      <c r="M198" s="414"/>
      <c r="N198" s="414"/>
      <c r="O198" s="414"/>
      <c r="P198" s="414"/>
      <c r="Q198" s="414"/>
      <c r="R198" s="414"/>
      <c r="S198" s="414"/>
      <c r="T198" s="414"/>
      <c r="U198" s="414"/>
      <c r="V198" s="414"/>
      <c r="W198" s="414"/>
      <c r="X198" s="414"/>
      <c r="Y198" s="414"/>
      <c r="Z198" s="414"/>
    </row>
    <row r="199" spans="1:26" ht="15.75" customHeight="1" x14ac:dyDescent="0.25">
      <c r="A199" s="424">
        <v>194</v>
      </c>
      <c r="B199" s="250"/>
      <c r="C199" s="250"/>
      <c r="D199" s="250"/>
      <c r="E199" s="250"/>
      <c r="F199" s="425"/>
      <c r="G199" s="425"/>
      <c r="H199" s="346"/>
      <c r="I199" s="250"/>
      <c r="J199" s="426"/>
      <c r="K199" s="426"/>
      <c r="L199" s="414"/>
      <c r="M199" s="414"/>
      <c r="N199" s="414"/>
      <c r="O199" s="414"/>
      <c r="P199" s="414"/>
      <c r="Q199" s="414"/>
      <c r="R199" s="414"/>
      <c r="S199" s="414"/>
      <c r="T199" s="414"/>
      <c r="U199" s="414"/>
      <c r="V199" s="414"/>
      <c r="W199" s="414"/>
      <c r="X199" s="414"/>
      <c r="Y199" s="414"/>
      <c r="Z199" s="414"/>
    </row>
    <row r="200" spans="1:26" ht="15.75" customHeight="1" x14ac:dyDescent="0.25">
      <c r="A200" s="424">
        <v>195</v>
      </c>
      <c r="B200" s="250"/>
      <c r="C200" s="250"/>
      <c r="D200" s="250"/>
      <c r="E200" s="250"/>
      <c r="F200" s="425"/>
      <c r="G200" s="425"/>
      <c r="H200" s="346"/>
      <c r="I200" s="250"/>
      <c r="J200" s="426"/>
      <c r="K200" s="426"/>
      <c r="L200" s="414"/>
      <c r="M200" s="414"/>
      <c r="N200" s="414"/>
      <c r="O200" s="414"/>
      <c r="P200" s="414"/>
      <c r="Q200" s="414"/>
      <c r="R200" s="414"/>
      <c r="S200" s="414"/>
      <c r="T200" s="414"/>
      <c r="U200" s="414"/>
      <c r="V200" s="414"/>
      <c r="W200" s="414"/>
      <c r="X200" s="414"/>
      <c r="Y200" s="414"/>
      <c r="Z200" s="414"/>
    </row>
    <row r="201" spans="1:26" ht="15.75" customHeight="1" x14ac:dyDescent="0.25">
      <c r="A201" s="424">
        <v>196</v>
      </c>
      <c r="B201" s="250"/>
      <c r="C201" s="250"/>
      <c r="D201" s="250"/>
      <c r="E201" s="250"/>
      <c r="F201" s="425"/>
      <c r="G201" s="425"/>
      <c r="H201" s="346"/>
      <c r="I201" s="250"/>
      <c r="J201" s="426"/>
      <c r="K201" s="426"/>
      <c r="L201" s="414"/>
      <c r="M201" s="414"/>
      <c r="N201" s="414"/>
      <c r="O201" s="414"/>
      <c r="P201" s="414"/>
      <c r="Q201" s="414"/>
      <c r="R201" s="414"/>
      <c r="S201" s="414"/>
      <c r="T201" s="414"/>
      <c r="U201" s="414"/>
      <c r="V201" s="414"/>
      <c r="W201" s="414"/>
      <c r="X201" s="414"/>
      <c r="Y201" s="414"/>
      <c r="Z201" s="414"/>
    </row>
    <row r="202" spans="1:26" ht="15.75" customHeight="1" x14ac:dyDescent="0.25">
      <c r="A202" s="424">
        <v>197</v>
      </c>
      <c r="B202" s="250"/>
      <c r="C202" s="250"/>
      <c r="D202" s="250"/>
      <c r="E202" s="250"/>
      <c r="F202" s="425"/>
      <c r="G202" s="425"/>
      <c r="H202" s="346"/>
      <c r="I202" s="250"/>
      <c r="J202" s="426"/>
      <c r="K202" s="426"/>
      <c r="L202" s="414"/>
      <c r="M202" s="414"/>
      <c r="N202" s="414"/>
      <c r="O202" s="414"/>
      <c r="P202" s="414"/>
      <c r="Q202" s="414"/>
      <c r="R202" s="414"/>
      <c r="S202" s="414"/>
      <c r="T202" s="414"/>
      <c r="U202" s="414"/>
      <c r="V202" s="414"/>
      <c r="W202" s="414"/>
      <c r="X202" s="414"/>
      <c r="Y202" s="414"/>
      <c r="Z202" s="414"/>
    </row>
    <row r="203" spans="1:26" ht="15.75" customHeight="1" x14ac:dyDescent="0.25">
      <c r="A203" s="424">
        <v>198</v>
      </c>
      <c r="B203" s="250"/>
      <c r="C203" s="250"/>
      <c r="D203" s="250"/>
      <c r="E203" s="250"/>
      <c r="F203" s="425"/>
      <c r="G203" s="425"/>
      <c r="H203" s="346"/>
      <c r="I203" s="250"/>
      <c r="J203" s="426"/>
      <c r="K203" s="426"/>
      <c r="L203" s="414"/>
      <c r="M203" s="414"/>
      <c r="N203" s="414"/>
      <c r="O203" s="414"/>
      <c r="P203" s="414"/>
      <c r="Q203" s="414"/>
      <c r="R203" s="414"/>
      <c r="S203" s="414"/>
      <c r="T203" s="414"/>
      <c r="U203" s="414"/>
      <c r="V203" s="414"/>
      <c r="W203" s="414"/>
      <c r="X203" s="414"/>
      <c r="Y203" s="414"/>
      <c r="Z203" s="414"/>
    </row>
    <row r="204" spans="1:26" ht="15.75" customHeight="1" x14ac:dyDescent="0.25">
      <c r="A204" s="424">
        <v>199</v>
      </c>
      <c r="B204" s="250"/>
      <c r="C204" s="250"/>
      <c r="D204" s="250"/>
      <c r="E204" s="250"/>
      <c r="F204" s="425"/>
      <c r="G204" s="425"/>
      <c r="H204" s="346"/>
      <c r="I204" s="250"/>
      <c r="J204" s="426"/>
      <c r="K204" s="426"/>
      <c r="L204" s="414"/>
      <c r="M204" s="414"/>
      <c r="N204" s="414"/>
      <c r="O204" s="414"/>
      <c r="P204" s="414"/>
      <c r="Q204" s="414"/>
      <c r="R204" s="414"/>
      <c r="S204" s="414"/>
      <c r="T204" s="414"/>
      <c r="U204" s="414"/>
      <c r="V204" s="414"/>
      <c r="W204" s="414"/>
      <c r="X204" s="414"/>
      <c r="Y204" s="414"/>
      <c r="Z204" s="414"/>
    </row>
    <row r="205" spans="1:26" ht="15.75" customHeight="1" x14ac:dyDescent="0.25">
      <c r="A205" s="424">
        <v>200</v>
      </c>
      <c r="B205" s="250"/>
      <c r="C205" s="250"/>
      <c r="D205" s="250"/>
      <c r="E205" s="250"/>
      <c r="F205" s="425"/>
      <c r="G205" s="425"/>
      <c r="H205" s="346"/>
      <c r="I205" s="250"/>
      <c r="J205" s="426"/>
      <c r="K205" s="426"/>
      <c r="L205" s="414"/>
      <c r="M205" s="414"/>
      <c r="N205" s="414"/>
      <c r="O205" s="414"/>
      <c r="P205" s="414"/>
      <c r="Q205" s="414"/>
      <c r="R205" s="414"/>
      <c r="S205" s="414"/>
      <c r="T205" s="414"/>
      <c r="U205" s="414"/>
      <c r="V205" s="414"/>
      <c r="W205" s="414"/>
      <c r="X205" s="414"/>
      <c r="Y205" s="414"/>
      <c r="Z205" s="414"/>
    </row>
    <row r="206" spans="1:26" ht="15.75" customHeight="1" x14ac:dyDescent="0.25">
      <c r="A206" s="424">
        <v>201</v>
      </c>
      <c r="B206" s="250"/>
      <c r="C206" s="250"/>
      <c r="D206" s="250"/>
      <c r="E206" s="250"/>
      <c r="F206" s="425"/>
      <c r="G206" s="425"/>
      <c r="H206" s="346"/>
      <c r="I206" s="250"/>
      <c r="J206" s="426"/>
      <c r="K206" s="426"/>
      <c r="L206" s="414"/>
      <c r="M206" s="414"/>
      <c r="N206" s="414"/>
      <c r="O206" s="414"/>
      <c r="P206" s="414"/>
      <c r="Q206" s="414"/>
      <c r="R206" s="414"/>
      <c r="S206" s="414"/>
      <c r="T206" s="414"/>
      <c r="U206" s="414"/>
      <c r="V206" s="414"/>
      <c r="W206" s="414"/>
      <c r="X206" s="414"/>
      <c r="Y206" s="414"/>
      <c r="Z206" s="414"/>
    </row>
    <row r="207" spans="1:26" ht="15.75" customHeight="1" x14ac:dyDescent="0.25">
      <c r="A207" s="424">
        <v>202</v>
      </c>
      <c r="B207" s="250"/>
      <c r="C207" s="250"/>
      <c r="D207" s="250"/>
      <c r="E207" s="250"/>
      <c r="F207" s="425"/>
      <c r="G207" s="425"/>
      <c r="H207" s="346"/>
      <c r="I207" s="250"/>
      <c r="J207" s="426"/>
      <c r="K207" s="426"/>
      <c r="L207" s="414"/>
      <c r="M207" s="414"/>
      <c r="N207" s="414"/>
      <c r="O207" s="414"/>
      <c r="P207" s="414"/>
      <c r="Q207" s="414"/>
      <c r="R207" s="414"/>
      <c r="S207" s="414"/>
      <c r="T207" s="414"/>
      <c r="U207" s="414"/>
      <c r="V207" s="414"/>
      <c r="W207" s="414"/>
      <c r="X207" s="414"/>
      <c r="Y207" s="414"/>
      <c r="Z207" s="414"/>
    </row>
    <row r="208" spans="1:26" ht="15.75" customHeight="1" x14ac:dyDescent="0.25">
      <c r="A208" s="424">
        <v>203</v>
      </c>
      <c r="B208" s="250"/>
      <c r="C208" s="250"/>
      <c r="D208" s="250"/>
      <c r="E208" s="250"/>
      <c r="F208" s="425"/>
      <c r="G208" s="425"/>
      <c r="H208" s="346"/>
      <c r="I208" s="250"/>
      <c r="J208" s="426"/>
      <c r="K208" s="426"/>
      <c r="L208" s="414"/>
      <c r="M208" s="414"/>
      <c r="N208" s="414"/>
      <c r="O208" s="414"/>
      <c r="P208" s="414"/>
      <c r="Q208" s="414"/>
      <c r="R208" s="414"/>
      <c r="S208" s="414"/>
      <c r="T208" s="414"/>
      <c r="U208" s="414"/>
      <c r="V208" s="414"/>
      <c r="W208" s="414"/>
      <c r="X208" s="414"/>
      <c r="Y208" s="414"/>
      <c r="Z208" s="414"/>
    </row>
    <row r="209" spans="1:26" ht="15.75" customHeight="1" x14ac:dyDescent="0.25">
      <c r="A209" s="424">
        <v>204</v>
      </c>
      <c r="B209" s="250"/>
      <c r="C209" s="250"/>
      <c r="D209" s="250"/>
      <c r="E209" s="250"/>
      <c r="F209" s="425"/>
      <c r="G209" s="425"/>
      <c r="H209" s="346"/>
      <c r="I209" s="250"/>
      <c r="J209" s="426"/>
      <c r="K209" s="426"/>
      <c r="L209" s="414"/>
      <c r="M209" s="414"/>
      <c r="N209" s="414"/>
      <c r="O209" s="414"/>
      <c r="P209" s="414"/>
      <c r="Q209" s="414"/>
      <c r="R209" s="414"/>
      <c r="S209" s="414"/>
      <c r="T209" s="414"/>
      <c r="U209" s="414"/>
      <c r="V209" s="414"/>
      <c r="W209" s="414"/>
      <c r="X209" s="414"/>
      <c r="Y209" s="414"/>
      <c r="Z209" s="414"/>
    </row>
    <row r="210" spans="1:26" ht="15.75" customHeight="1" x14ac:dyDescent="0.25">
      <c r="A210" s="424">
        <v>205</v>
      </c>
      <c r="B210" s="250"/>
      <c r="C210" s="250"/>
      <c r="D210" s="250"/>
      <c r="E210" s="250"/>
      <c r="F210" s="425"/>
      <c r="G210" s="425"/>
      <c r="H210" s="346"/>
      <c r="I210" s="250"/>
      <c r="J210" s="426"/>
      <c r="K210" s="426"/>
      <c r="L210" s="414"/>
      <c r="M210" s="414"/>
      <c r="N210" s="414"/>
      <c r="O210" s="414"/>
      <c r="P210" s="414"/>
      <c r="Q210" s="414"/>
      <c r="R210" s="414"/>
      <c r="S210" s="414"/>
      <c r="T210" s="414"/>
      <c r="U210" s="414"/>
      <c r="V210" s="414"/>
      <c r="W210" s="414"/>
      <c r="X210" s="414"/>
      <c r="Y210" s="414"/>
      <c r="Z210" s="414"/>
    </row>
    <row r="211" spans="1:26" ht="15.75" customHeight="1" x14ac:dyDescent="0.25">
      <c r="A211" s="424">
        <v>206</v>
      </c>
      <c r="B211" s="250"/>
      <c r="C211" s="250"/>
      <c r="D211" s="250"/>
      <c r="E211" s="250"/>
      <c r="F211" s="425"/>
      <c r="G211" s="425"/>
      <c r="H211" s="346"/>
      <c r="I211" s="250"/>
      <c r="J211" s="426"/>
      <c r="K211" s="426"/>
      <c r="L211" s="414"/>
      <c r="M211" s="414"/>
      <c r="N211" s="414"/>
      <c r="O211" s="414"/>
      <c r="P211" s="414"/>
      <c r="Q211" s="414"/>
      <c r="R211" s="414"/>
      <c r="S211" s="414"/>
      <c r="T211" s="414"/>
      <c r="U211" s="414"/>
      <c r="V211" s="414"/>
      <c r="W211" s="414"/>
      <c r="X211" s="414"/>
      <c r="Y211" s="414"/>
      <c r="Z211" s="414"/>
    </row>
    <row r="212" spans="1:26" ht="15.75" customHeight="1" x14ac:dyDescent="0.25">
      <c r="A212" s="424">
        <v>207</v>
      </c>
      <c r="B212" s="250"/>
      <c r="C212" s="250"/>
      <c r="D212" s="250"/>
      <c r="E212" s="250"/>
      <c r="F212" s="425"/>
      <c r="G212" s="425"/>
      <c r="H212" s="346"/>
      <c r="I212" s="250"/>
      <c r="J212" s="426"/>
      <c r="K212" s="426"/>
      <c r="L212" s="414"/>
      <c r="M212" s="414"/>
      <c r="N212" s="414"/>
      <c r="O212" s="414"/>
      <c r="P212" s="414"/>
      <c r="Q212" s="414"/>
      <c r="R212" s="414"/>
      <c r="S212" s="414"/>
      <c r="T212" s="414"/>
      <c r="U212" s="414"/>
      <c r="V212" s="414"/>
      <c r="W212" s="414"/>
      <c r="X212" s="414"/>
      <c r="Y212" s="414"/>
      <c r="Z212" s="414"/>
    </row>
    <row r="213" spans="1:26" ht="15.75" customHeight="1" x14ac:dyDescent="0.25">
      <c r="A213" s="424">
        <v>208</v>
      </c>
      <c r="B213" s="250"/>
      <c r="C213" s="250"/>
      <c r="D213" s="250"/>
      <c r="E213" s="250"/>
      <c r="F213" s="425"/>
      <c r="G213" s="425"/>
      <c r="H213" s="346"/>
      <c r="I213" s="250"/>
      <c r="J213" s="426"/>
      <c r="K213" s="426"/>
      <c r="L213" s="414"/>
      <c r="M213" s="414"/>
      <c r="N213" s="414"/>
      <c r="O213" s="414"/>
      <c r="P213" s="414"/>
      <c r="Q213" s="414"/>
      <c r="R213" s="414"/>
      <c r="S213" s="414"/>
      <c r="T213" s="414"/>
      <c r="U213" s="414"/>
      <c r="V213" s="414"/>
      <c r="W213" s="414"/>
      <c r="X213" s="414"/>
      <c r="Y213" s="414"/>
      <c r="Z213" s="414"/>
    </row>
    <row r="214" spans="1:26" ht="15.75" customHeight="1" x14ac:dyDescent="0.25">
      <c r="A214" s="424">
        <v>209</v>
      </c>
      <c r="B214" s="250"/>
      <c r="C214" s="250"/>
      <c r="D214" s="250"/>
      <c r="E214" s="250"/>
      <c r="F214" s="425"/>
      <c r="G214" s="425"/>
      <c r="H214" s="346"/>
      <c r="I214" s="250"/>
      <c r="J214" s="426"/>
      <c r="K214" s="426"/>
      <c r="L214" s="414"/>
      <c r="M214" s="414"/>
      <c r="N214" s="414"/>
      <c r="O214" s="414"/>
      <c r="P214" s="414"/>
      <c r="Q214" s="414"/>
      <c r="R214" s="414"/>
      <c r="S214" s="414"/>
      <c r="T214" s="414"/>
      <c r="U214" s="414"/>
      <c r="V214" s="414"/>
      <c r="W214" s="414"/>
      <c r="X214" s="414"/>
      <c r="Y214" s="414"/>
      <c r="Z214" s="414"/>
    </row>
    <row r="215" spans="1:26" ht="15.75" customHeight="1" x14ac:dyDescent="0.25">
      <c r="A215" s="424">
        <v>210</v>
      </c>
      <c r="B215" s="250"/>
      <c r="C215" s="250"/>
      <c r="D215" s="250"/>
      <c r="E215" s="250"/>
      <c r="F215" s="425"/>
      <c r="G215" s="425"/>
      <c r="H215" s="346"/>
      <c r="I215" s="250"/>
      <c r="J215" s="426"/>
      <c r="K215" s="426"/>
      <c r="L215" s="414"/>
      <c r="M215" s="414"/>
      <c r="N215" s="414"/>
      <c r="O215" s="414"/>
      <c r="P215" s="414"/>
      <c r="Q215" s="414"/>
      <c r="R215" s="414"/>
      <c r="S215" s="414"/>
      <c r="T215" s="414"/>
      <c r="U215" s="414"/>
      <c r="V215" s="414"/>
      <c r="W215" s="414"/>
      <c r="X215" s="414"/>
      <c r="Y215" s="414"/>
      <c r="Z215" s="414"/>
    </row>
    <row r="216" spans="1:26" ht="15.75" customHeight="1" x14ac:dyDescent="0.25">
      <c r="A216" s="424">
        <v>211</v>
      </c>
      <c r="B216" s="250"/>
      <c r="C216" s="250"/>
      <c r="D216" s="250"/>
      <c r="E216" s="250"/>
      <c r="F216" s="425"/>
      <c r="G216" s="425"/>
      <c r="H216" s="346"/>
      <c r="I216" s="250"/>
      <c r="J216" s="426"/>
      <c r="K216" s="426"/>
      <c r="L216" s="414"/>
      <c r="M216" s="414"/>
      <c r="N216" s="414"/>
      <c r="O216" s="414"/>
      <c r="P216" s="414"/>
      <c r="Q216" s="414"/>
      <c r="R216" s="414"/>
      <c r="S216" s="414"/>
      <c r="T216" s="414"/>
      <c r="U216" s="414"/>
      <c r="V216" s="414"/>
      <c r="W216" s="414"/>
      <c r="X216" s="414"/>
      <c r="Y216" s="414"/>
      <c r="Z216" s="414"/>
    </row>
    <row r="217" spans="1:26" ht="15.75" customHeight="1" x14ac:dyDescent="0.25">
      <c r="A217" s="424">
        <v>212</v>
      </c>
      <c r="B217" s="250"/>
      <c r="C217" s="250"/>
      <c r="D217" s="250"/>
      <c r="E217" s="250"/>
      <c r="F217" s="425"/>
      <c r="G217" s="425"/>
      <c r="H217" s="346"/>
      <c r="I217" s="250"/>
      <c r="J217" s="426"/>
      <c r="K217" s="426"/>
      <c r="L217" s="414"/>
      <c r="M217" s="414"/>
      <c r="N217" s="414"/>
      <c r="O217" s="414"/>
      <c r="P217" s="414"/>
      <c r="Q217" s="414"/>
      <c r="R217" s="414"/>
      <c r="S217" s="414"/>
      <c r="T217" s="414"/>
      <c r="U217" s="414"/>
      <c r="V217" s="414"/>
      <c r="W217" s="414"/>
      <c r="X217" s="414"/>
      <c r="Y217" s="414"/>
      <c r="Z217" s="414"/>
    </row>
    <row r="218" spans="1:26" ht="15.75" customHeight="1" x14ac:dyDescent="0.25">
      <c r="A218" s="424">
        <v>213</v>
      </c>
      <c r="B218" s="250"/>
      <c r="C218" s="250"/>
      <c r="D218" s="250"/>
      <c r="E218" s="250"/>
      <c r="F218" s="425"/>
      <c r="G218" s="425"/>
      <c r="H218" s="346"/>
      <c r="I218" s="250"/>
      <c r="J218" s="426"/>
      <c r="K218" s="426"/>
      <c r="L218" s="414"/>
      <c r="M218" s="414"/>
      <c r="N218" s="414"/>
      <c r="O218" s="414"/>
      <c r="P218" s="414"/>
      <c r="Q218" s="414"/>
      <c r="R218" s="414"/>
      <c r="S218" s="414"/>
      <c r="T218" s="414"/>
      <c r="U218" s="414"/>
      <c r="V218" s="414"/>
      <c r="W218" s="414"/>
      <c r="X218" s="414"/>
      <c r="Y218" s="414"/>
      <c r="Z218" s="414"/>
    </row>
    <row r="219" spans="1:26" ht="15.75" customHeight="1" x14ac:dyDescent="0.25">
      <c r="A219" s="424">
        <v>214</v>
      </c>
      <c r="B219" s="250"/>
      <c r="C219" s="250"/>
      <c r="D219" s="250"/>
      <c r="E219" s="250"/>
      <c r="F219" s="425"/>
      <c r="G219" s="425"/>
      <c r="H219" s="346"/>
      <c r="I219" s="250"/>
      <c r="J219" s="426"/>
      <c r="K219" s="426"/>
      <c r="L219" s="414"/>
      <c r="M219" s="414"/>
      <c r="N219" s="414"/>
      <c r="O219" s="414"/>
      <c r="P219" s="414"/>
      <c r="Q219" s="414"/>
      <c r="R219" s="414"/>
      <c r="S219" s="414"/>
      <c r="T219" s="414"/>
      <c r="U219" s="414"/>
      <c r="V219" s="414"/>
      <c r="W219" s="414"/>
      <c r="X219" s="414"/>
      <c r="Y219" s="414"/>
      <c r="Z219" s="414"/>
    </row>
    <row r="220" spans="1:26" ht="15.75" customHeight="1" x14ac:dyDescent="0.25">
      <c r="A220" s="424">
        <v>215</v>
      </c>
      <c r="B220" s="250"/>
      <c r="C220" s="250"/>
      <c r="D220" s="250"/>
      <c r="E220" s="250"/>
      <c r="F220" s="425"/>
      <c r="G220" s="425"/>
      <c r="H220" s="346"/>
      <c r="I220" s="250"/>
      <c r="J220" s="426"/>
      <c r="K220" s="426"/>
      <c r="L220" s="414"/>
      <c r="M220" s="414"/>
      <c r="N220" s="414"/>
      <c r="O220" s="414"/>
      <c r="P220" s="414"/>
      <c r="Q220" s="414"/>
      <c r="R220" s="414"/>
      <c r="S220" s="414"/>
      <c r="T220" s="414"/>
      <c r="U220" s="414"/>
      <c r="V220" s="414"/>
      <c r="W220" s="414"/>
      <c r="X220" s="414"/>
      <c r="Y220" s="414"/>
      <c r="Z220" s="414"/>
    </row>
    <row r="221" spans="1:26" ht="15.75" customHeight="1" x14ac:dyDescent="0.25">
      <c r="A221" s="424">
        <v>216</v>
      </c>
      <c r="B221" s="250"/>
      <c r="C221" s="250"/>
      <c r="D221" s="250"/>
      <c r="E221" s="250"/>
      <c r="F221" s="425"/>
      <c r="G221" s="425"/>
      <c r="H221" s="346"/>
      <c r="I221" s="250"/>
      <c r="J221" s="426"/>
      <c r="K221" s="426"/>
      <c r="L221" s="414"/>
      <c r="M221" s="414"/>
      <c r="N221" s="414"/>
      <c r="O221" s="414"/>
      <c r="P221" s="414"/>
      <c r="Q221" s="414"/>
      <c r="R221" s="414"/>
      <c r="S221" s="414"/>
      <c r="T221" s="414"/>
      <c r="U221" s="414"/>
      <c r="V221" s="414"/>
      <c r="W221" s="414"/>
      <c r="X221" s="414"/>
      <c r="Y221" s="414"/>
      <c r="Z221" s="414"/>
    </row>
    <row r="222" spans="1:26" ht="15.75" customHeight="1" x14ac:dyDescent="0.25">
      <c r="A222" s="424">
        <v>217</v>
      </c>
      <c r="B222" s="250"/>
      <c r="C222" s="250"/>
      <c r="D222" s="250"/>
      <c r="E222" s="250"/>
      <c r="F222" s="425"/>
      <c r="G222" s="425"/>
      <c r="H222" s="346"/>
      <c r="I222" s="250"/>
      <c r="J222" s="426"/>
      <c r="K222" s="426"/>
      <c r="L222" s="414"/>
      <c r="M222" s="414"/>
      <c r="N222" s="414"/>
      <c r="O222" s="414"/>
      <c r="P222" s="414"/>
      <c r="Q222" s="414"/>
      <c r="R222" s="414"/>
      <c r="S222" s="414"/>
      <c r="T222" s="414"/>
      <c r="U222" s="414"/>
      <c r="V222" s="414"/>
      <c r="W222" s="414"/>
      <c r="X222" s="414"/>
      <c r="Y222" s="414"/>
      <c r="Z222" s="414"/>
    </row>
    <row r="223" spans="1:26" ht="15.75" customHeight="1" x14ac:dyDescent="0.25">
      <c r="A223" s="424">
        <v>218</v>
      </c>
      <c r="B223" s="250"/>
      <c r="C223" s="250"/>
      <c r="D223" s="250"/>
      <c r="E223" s="250"/>
      <c r="F223" s="425"/>
      <c r="G223" s="425"/>
      <c r="H223" s="346"/>
      <c r="I223" s="250"/>
      <c r="J223" s="426"/>
      <c r="K223" s="426"/>
      <c r="L223" s="414"/>
      <c r="M223" s="414"/>
      <c r="N223" s="414"/>
      <c r="O223" s="414"/>
      <c r="P223" s="414"/>
      <c r="Q223" s="414"/>
      <c r="R223" s="414"/>
      <c r="S223" s="414"/>
      <c r="T223" s="414"/>
      <c r="U223" s="414"/>
      <c r="V223" s="414"/>
      <c r="W223" s="414"/>
      <c r="X223" s="414"/>
      <c r="Y223" s="414"/>
      <c r="Z223" s="414"/>
    </row>
    <row r="224" spans="1:26" ht="15.75" customHeight="1" x14ac:dyDescent="0.25">
      <c r="A224" s="424">
        <v>219</v>
      </c>
      <c r="B224" s="250"/>
      <c r="C224" s="250"/>
      <c r="D224" s="250"/>
      <c r="E224" s="250"/>
      <c r="F224" s="425"/>
      <c r="G224" s="425"/>
      <c r="H224" s="346"/>
      <c r="I224" s="250"/>
      <c r="J224" s="426"/>
      <c r="K224" s="426"/>
      <c r="L224" s="414"/>
      <c r="M224" s="414"/>
      <c r="N224" s="414"/>
      <c r="O224" s="414"/>
      <c r="P224" s="414"/>
      <c r="Q224" s="414"/>
      <c r="R224" s="414"/>
      <c r="S224" s="414"/>
      <c r="T224" s="414"/>
      <c r="U224" s="414"/>
      <c r="V224" s="414"/>
      <c r="W224" s="414"/>
      <c r="X224" s="414"/>
      <c r="Y224" s="414"/>
      <c r="Z224" s="414"/>
    </row>
    <row r="225" spans="1:26" ht="15.75" customHeight="1" x14ac:dyDescent="0.25">
      <c r="A225" s="424">
        <v>220</v>
      </c>
      <c r="B225" s="250"/>
      <c r="C225" s="250"/>
      <c r="D225" s="250"/>
      <c r="E225" s="250"/>
      <c r="F225" s="425"/>
      <c r="G225" s="425"/>
      <c r="H225" s="346"/>
      <c r="I225" s="250"/>
      <c r="J225" s="426"/>
      <c r="K225" s="426"/>
      <c r="L225" s="414"/>
      <c r="M225" s="414"/>
      <c r="N225" s="414"/>
      <c r="O225" s="414"/>
      <c r="P225" s="414"/>
      <c r="Q225" s="414"/>
      <c r="R225" s="414"/>
      <c r="S225" s="414"/>
      <c r="T225" s="414"/>
      <c r="U225" s="414"/>
      <c r="V225" s="414"/>
      <c r="W225" s="414"/>
      <c r="X225" s="414"/>
      <c r="Y225" s="414"/>
      <c r="Z225" s="414"/>
    </row>
    <row r="226" spans="1:26" ht="15.75" customHeight="1" x14ac:dyDescent="0.25">
      <c r="A226" s="424">
        <v>221</v>
      </c>
      <c r="B226" s="250"/>
      <c r="C226" s="250"/>
      <c r="D226" s="250"/>
      <c r="E226" s="250"/>
      <c r="F226" s="425"/>
      <c r="G226" s="425"/>
      <c r="H226" s="346"/>
      <c r="I226" s="250"/>
      <c r="J226" s="426"/>
      <c r="K226" s="426"/>
      <c r="L226" s="414"/>
      <c r="M226" s="414"/>
      <c r="N226" s="414"/>
      <c r="O226" s="414"/>
      <c r="P226" s="414"/>
      <c r="Q226" s="414"/>
      <c r="R226" s="414"/>
      <c r="S226" s="414"/>
      <c r="T226" s="414"/>
      <c r="U226" s="414"/>
      <c r="V226" s="414"/>
      <c r="W226" s="414"/>
      <c r="X226" s="414"/>
      <c r="Y226" s="414"/>
      <c r="Z226" s="414"/>
    </row>
    <row r="227" spans="1:26" ht="15.75" customHeight="1" x14ac:dyDescent="0.25">
      <c r="A227" s="424">
        <v>222</v>
      </c>
      <c r="B227" s="250"/>
      <c r="C227" s="250"/>
      <c r="D227" s="250"/>
      <c r="E227" s="250"/>
      <c r="F227" s="425"/>
      <c r="G227" s="425"/>
      <c r="H227" s="346"/>
      <c r="I227" s="250"/>
      <c r="J227" s="426"/>
      <c r="K227" s="426"/>
      <c r="L227" s="414"/>
      <c r="M227" s="414"/>
      <c r="N227" s="414"/>
      <c r="O227" s="414"/>
      <c r="P227" s="414"/>
      <c r="Q227" s="414"/>
      <c r="R227" s="414"/>
      <c r="S227" s="414"/>
      <c r="T227" s="414"/>
      <c r="U227" s="414"/>
      <c r="V227" s="414"/>
      <c r="W227" s="414"/>
      <c r="X227" s="414"/>
      <c r="Y227" s="414"/>
      <c r="Z227" s="414"/>
    </row>
    <row r="228" spans="1:26" ht="15.75" customHeight="1" x14ac:dyDescent="0.25">
      <c r="A228" s="424">
        <v>223</v>
      </c>
      <c r="B228" s="250"/>
      <c r="C228" s="250"/>
      <c r="D228" s="250"/>
      <c r="E228" s="250"/>
      <c r="F228" s="425"/>
      <c r="G228" s="425"/>
      <c r="H228" s="346"/>
      <c r="I228" s="250"/>
      <c r="J228" s="426"/>
      <c r="K228" s="426"/>
      <c r="L228" s="414"/>
      <c r="M228" s="414"/>
      <c r="N228" s="414"/>
      <c r="O228" s="414"/>
      <c r="P228" s="414"/>
      <c r="Q228" s="414"/>
      <c r="R228" s="414"/>
      <c r="S228" s="414"/>
      <c r="T228" s="414"/>
      <c r="U228" s="414"/>
      <c r="V228" s="414"/>
      <c r="W228" s="414"/>
      <c r="X228" s="414"/>
      <c r="Y228" s="414"/>
      <c r="Z228" s="414"/>
    </row>
    <row r="229" spans="1:26" ht="15.75" customHeight="1" x14ac:dyDescent="0.25">
      <c r="A229" s="424">
        <v>224</v>
      </c>
      <c r="B229" s="250"/>
      <c r="C229" s="250"/>
      <c r="D229" s="250"/>
      <c r="E229" s="250"/>
      <c r="F229" s="425"/>
      <c r="G229" s="425"/>
      <c r="H229" s="346"/>
      <c r="I229" s="250"/>
      <c r="J229" s="426"/>
      <c r="K229" s="426"/>
      <c r="L229" s="414"/>
      <c r="M229" s="414"/>
      <c r="N229" s="414"/>
      <c r="O229" s="414"/>
      <c r="P229" s="414"/>
      <c r="Q229" s="414"/>
      <c r="R229" s="414"/>
      <c r="S229" s="414"/>
      <c r="T229" s="414"/>
      <c r="U229" s="414"/>
      <c r="V229" s="414"/>
      <c r="W229" s="414"/>
      <c r="X229" s="414"/>
      <c r="Y229" s="414"/>
      <c r="Z229" s="414"/>
    </row>
    <row r="230" spans="1:26" ht="15.75" customHeight="1" x14ac:dyDescent="0.25">
      <c r="A230" s="424">
        <v>225</v>
      </c>
      <c r="B230" s="250"/>
      <c r="C230" s="250"/>
      <c r="D230" s="250"/>
      <c r="E230" s="250"/>
      <c r="F230" s="425"/>
      <c r="G230" s="425"/>
      <c r="H230" s="346"/>
      <c r="I230" s="250"/>
      <c r="J230" s="426"/>
      <c r="K230" s="426"/>
      <c r="L230" s="414"/>
      <c r="M230" s="414"/>
      <c r="N230" s="414"/>
      <c r="O230" s="414"/>
      <c r="P230" s="414"/>
      <c r="Q230" s="414"/>
      <c r="R230" s="414"/>
      <c r="S230" s="414"/>
      <c r="T230" s="414"/>
      <c r="U230" s="414"/>
      <c r="V230" s="414"/>
      <c r="W230" s="414"/>
      <c r="X230" s="414"/>
      <c r="Y230" s="414"/>
      <c r="Z230" s="414"/>
    </row>
    <row r="231" spans="1:26" ht="15.75" customHeight="1" x14ac:dyDescent="0.25">
      <c r="A231" s="424">
        <v>226</v>
      </c>
      <c r="B231" s="250"/>
      <c r="C231" s="250"/>
      <c r="D231" s="250"/>
      <c r="E231" s="250"/>
      <c r="F231" s="425"/>
      <c r="G231" s="425"/>
      <c r="H231" s="346"/>
      <c r="I231" s="250"/>
      <c r="J231" s="426"/>
      <c r="K231" s="426"/>
      <c r="L231" s="414"/>
      <c r="M231" s="414"/>
      <c r="N231" s="414"/>
      <c r="O231" s="414"/>
      <c r="P231" s="414"/>
      <c r="Q231" s="414"/>
      <c r="R231" s="414"/>
      <c r="S231" s="414"/>
      <c r="T231" s="414"/>
      <c r="U231" s="414"/>
      <c r="V231" s="414"/>
      <c r="W231" s="414"/>
      <c r="X231" s="414"/>
      <c r="Y231" s="414"/>
      <c r="Z231" s="414"/>
    </row>
    <row r="232" spans="1:26" ht="15.75" customHeight="1" x14ac:dyDescent="0.25">
      <c r="A232" s="424">
        <v>227</v>
      </c>
      <c r="B232" s="250"/>
      <c r="C232" s="250"/>
      <c r="D232" s="250"/>
      <c r="E232" s="250"/>
      <c r="F232" s="425"/>
      <c r="G232" s="425"/>
      <c r="H232" s="346"/>
      <c r="I232" s="250"/>
      <c r="J232" s="426"/>
      <c r="K232" s="426"/>
      <c r="L232" s="414"/>
      <c r="M232" s="414"/>
      <c r="N232" s="414"/>
      <c r="O232" s="414"/>
      <c r="P232" s="414"/>
      <c r="Q232" s="414"/>
      <c r="R232" s="414"/>
      <c r="S232" s="414"/>
      <c r="T232" s="414"/>
      <c r="U232" s="414"/>
      <c r="V232" s="414"/>
      <c r="W232" s="414"/>
      <c r="X232" s="414"/>
      <c r="Y232" s="414"/>
      <c r="Z232" s="414"/>
    </row>
    <row r="233" spans="1:26" ht="15.75" customHeight="1" x14ac:dyDescent="0.25">
      <c r="A233" s="424">
        <v>228</v>
      </c>
      <c r="B233" s="250"/>
      <c r="C233" s="250"/>
      <c r="D233" s="250"/>
      <c r="E233" s="250"/>
      <c r="F233" s="425"/>
      <c r="G233" s="425"/>
      <c r="H233" s="346"/>
      <c r="I233" s="250"/>
      <c r="J233" s="426"/>
      <c r="K233" s="426"/>
      <c r="L233" s="414"/>
      <c r="M233" s="414"/>
      <c r="N233" s="414"/>
      <c r="O233" s="414"/>
      <c r="P233" s="414"/>
      <c r="Q233" s="414"/>
      <c r="R233" s="414"/>
      <c r="S233" s="414"/>
      <c r="T233" s="414"/>
      <c r="U233" s="414"/>
      <c r="V233" s="414"/>
      <c r="W233" s="414"/>
      <c r="X233" s="414"/>
      <c r="Y233" s="414"/>
      <c r="Z233" s="414"/>
    </row>
    <row r="234" spans="1:26" ht="15.75" customHeight="1" x14ac:dyDescent="0.25">
      <c r="A234" s="424">
        <v>229</v>
      </c>
      <c r="B234" s="250"/>
      <c r="C234" s="250"/>
      <c r="D234" s="250"/>
      <c r="E234" s="250"/>
      <c r="F234" s="425"/>
      <c r="G234" s="425"/>
      <c r="H234" s="346"/>
      <c r="I234" s="250"/>
      <c r="J234" s="426"/>
      <c r="K234" s="426"/>
      <c r="L234" s="414"/>
      <c r="M234" s="414"/>
      <c r="N234" s="414"/>
      <c r="O234" s="414"/>
      <c r="P234" s="414"/>
      <c r="Q234" s="414"/>
      <c r="R234" s="414"/>
      <c r="S234" s="414"/>
      <c r="T234" s="414"/>
      <c r="U234" s="414"/>
      <c r="V234" s="414"/>
      <c r="W234" s="414"/>
      <c r="X234" s="414"/>
      <c r="Y234" s="414"/>
      <c r="Z234" s="414"/>
    </row>
    <row r="235" spans="1:26" ht="15.75" customHeight="1" x14ac:dyDescent="0.25">
      <c r="A235" s="424">
        <v>230</v>
      </c>
      <c r="B235" s="250"/>
      <c r="C235" s="250"/>
      <c r="D235" s="250"/>
      <c r="E235" s="250"/>
      <c r="F235" s="425"/>
      <c r="G235" s="425"/>
      <c r="H235" s="346"/>
      <c r="I235" s="250"/>
      <c r="J235" s="426"/>
      <c r="K235" s="426"/>
      <c r="L235" s="414"/>
      <c r="M235" s="414"/>
      <c r="N235" s="414"/>
      <c r="O235" s="414"/>
      <c r="P235" s="414"/>
      <c r="Q235" s="414"/>
      <c r="R235" s="414"/>
      <c r="S235" s="414"/>
      <c r="T235" s="414"/>
      <c r="U235" s="414"/>
      <c r="V235" s="414"/>
      <c r="W235" s="414"/>
      <c r="X235" s="414"/>
      <c r="Y235" s="414"/>
      <c r="Z235" s="414"/>
    </row>
    <row r="236" spans="1:26" ht="15.75" customHeight="1" x14ac:dyDescent="0.25">
      <c r="A236" s="424">
        <v>231</v>
      </c>
      <c r="B236" s="250"/>
      <c r="C236" s="250"/>
      <c r="D236" s="250"/>
      <c r="E236" s="250"/>
      <c r="F236" s="425"/>
      <c r="G236" s="425"/>
      <c r="H236" s="346"/>
      <c r="I236" s="250"/>
      <c r="J236" s="426"/>
      <c r="K236" s="426"/>
      <c r="L236" s="414"/>
      <c r="M236" s="414"/>
      <c r="N236" s="414"/>
      <c r="O236" s="414"/>
      <c r="P236" s="414"/>
      <c r="Q236" s="414"/>
      <c r="R236" s="414"/>
      <c r="S236" s="414"/>
      <c r="T236" s="414"/>
      <c r="U236" s="414"/>
      <c r="V236" s="414"/>
      <c r="W236" s="414"/>
      <c r="X236" s="414"/>
      <c r="Y236" s="414"/>
      <c r="Z236" s="414"/>
    </row>
    <row r="237" spans="1:26" ht="15.75" customHeight="1" x14ac:dyDescent="0.25">
      <c r="A237" s="424">
        <v>232</v>
      </c>
      <c r="B237" s="250"/>
      <c r="C237" s="250"/>
      <c r="D237" s="250"/>
      <c r="E237" s="250"/>
      <c r="F237" s="425"/>
      <c r="G237" s="425"/>
      <c r="H237" s="346"/>
      <c r="I237" s="250"/>
      <c r="J237" s="426"/>
      <c r="K237" s="426"/>
      <c r="L237" s="414"/>
      <c r="M237" s="414"/>
      <c r="N237" s="414"/>
      <c r="O237" s="414"/>
      <c r="P237" s="414"/>
      <c r="Q237" s="414"/>
      <c r="R237" s="414"/>
      <c r="S237" s="414"/>
      <c r="T237" s="414"/>
      <c r="U237" s="414"/>
      <c r="V237" s="414"/>
      <c r="W237" s="414"/>
      <c r="X237" s="414"/>
      <c r="Y237" s="414"/>
      <c r="Z237" s="414"/>
    </row>
    <row r="238" spans="1:26" ht="15.75" customHeight="1" x14ac:dyDescent="0.25">
      <c r="A238" s="424">
        <v>233</v>
      </c>
      <c r="B238" s="250"/>
      <c r="C238" s="250"/>
      <c r="D238" s="250"/>
      <c r="E238" s="250"/>
      <c r="F238" s="425"/>
      <c r="G238" s="425"/>
      <c r="H238" s="346"/>
      <c r="I238" s="250"/>
      <c r="J238" s="426"/>
      <c r="K238" s="426"/>
      <c r="L238" s="414"/>
      <c r="M238" s="414"/>
      <c r="N238" s="414"/>
      <c r="O238" s="414"/>
      <c r="P238" s="414"/>
      <c r="Q238" s="414"/>
      <c r="R238" s="414"/>
      <c r="S238" s="414"/>
      <c r="T238" s="414"/>
      <c r="U238" s="414"/>
      <c r="V238" s="414"/>
      <c r="W238" s="414"/>
      <c r="X238" s="414"/>
      <c r="Y238" s="414"/>
      <c r="Z238" s="414"/>
    </row>
    <row r="239" spans="1:26" ht="15.75" customHeight="1" x14ac:dyDescent="0.25">
      <c r="A239" s="424">
        <v>234</v>
      </c>
      <c r="B239" s="250"/>
      <c r="C239" s="250"/>
      <c r="D239" s="250"/>
      <c r="E239" s="250"/>
      <c r="F239" s="425"/>
      <c r="G239" s="425"/>
      <c r="H239" s="346"/>
      <c r="I239" s="250"/>
      <c r="J239" s="426"/>
      <c r="K239" s="426"/>
      <c r="L239" s="414"/>
      <c r="M239" s="414"/>
      <c r="N239" s="414"/>
      <c r="O239" s="414"/>
      <c r="P239" s="414"/>
      <c r="Q239" s="414"/>
      <c r="R239" s="414"/>
      <c r="S239" s="414"/>
      <c r="T239" s="414"/>
      <c r="U239" s="414"/>
      <c r="V239" s="414"/>
      <c r="W239" s="414"/>
      <c r="X239" s="414"/>
      <c r="Y239" s="414"/>
      <c r="Z239" s="414"/>
    </row>
    <row r="240" spans="1:26" ht="15.75" customHeight="1" x14ac:dyDescent="0.25">
      <c r="A240" s="424">
        <v>235</v>
      </c>
      <c r="B240" s="250"/>
      <c r="C240" s="250"/>
      <c r="D240" s="250"/>
      <c r="E240" s="250"/>
      <c r="F240" s="425"/>
      <c r="G240" s="425"/>
      <c r="H240" s="346"/>
      <c r="I240" s="250"/>
      <c r="J240" s="426"/>
      <c r="K240" s="426"/>
      <c r="L240" s="414"/>
      <c r="M240" s="414"/>
      <c r="N240" s="414"/>
      <c r="O240" s="414"/>
      <c r="P240" s="414"/>
      <c r="Q240" s="414"/>
      <c r="R240" s="414"/>
      <c r="S240" s="414"/>
      <c r="T240" s="414"/>
      <c r="U240" s="414"/>
      <c r="V240" s="414"/>
      <c r="W240" s="414"/>
      <c r="X240" s="414"/>
      <c r="Y240" s="414"/>
      <c r="Z240" s="414"/>
    </row>
    <row r="241" spans="1:26" ht="15.75" customHeight="1" x14ac:dyDescent="0.25">
      <c r="A241" s="424">
        <v>236</v>
      </c>
      <c r="B241" s="250"/>
      <c r="C241" s="250"/>
      <c r="D241" s="250"/>
      <c r="E241" s="250"/>
      <c r="F241" s="425"/>
      <c r="G241" s="425"/>
      <c r="H241" s="346"/>
      <c r="I241" s="250"/>
      <c r="J241" s="426"/>
      <c r="K241" s="426"/>
      <c r="L241" s="414"/>
      <c r="M241" s="414"/>
      <c r="N241" s="414"/>
      <c r="O241" s="414"/>
      <c r="P241" s="414"/>
      <c r="Q241" s="414"/>
      <c r="R241" s="414"/>
      <c r="S241" s="414"/>
      <c r="T241" s="414"/>
      <c r="U241" s="414"/>
      <c r="V241" s="414"/>
      <c r="W241" s="414"/>
      <c r="X241" s="414"/>
      <c r="Y241" s="414"/>
      <c r="Z241" s="414"/>
    </row>
    <row r="242" spans="1:26" ht="15.75" customHeight="1" x14ac:dyDescent="0.25">
      <c r="A242" s="424">
        <v>237</v>
      </c>
      <c r="B242" s="250"/>
      <c r="C242" s="250"/>
      <c r="D242" s="250"/>
      <c r="E242" s="250"/>
      <c r="F242" s="425"/>
      <c r="G242" s="425"/>
      <c r="H242" s="346"/>
      <c r="I242" s="250"/>
      <c r="J242" s="426"/>
      <c r="K242" s="426"/>
      <c r="L242" s="414"/>
      <c r="M242" s="414"/>
      <c r="N242" s="414"/>
      <c r="O242" s="414"/>
      <c r="P242" s="414"/>
      <c r="Q242" s="414"/>
      <c r="R242" s="414"/>
      <c r="S242" s="414"/>
      <c r="T242" s="414"/>
      <c r="U242" s="414"/>
      <c r="V242" s="414"/>
      <c r="W242" s="414"/>
      <c r="X242" s="414"/>
      <c r="Y242" s="414"/>
      <c r="Z242" s="414"/>
    </row>
    <row r="243" spans="1:26" ht="15.75" customHeight="1" x14ac:dyDescent="0.25">
      <c r="A243" s="424">
        <v>238</v>
      </c>
      <c r="B243" s="250"/>
      <c r="C243" s="250"/>
      <c r="D243" s="250"/>
      <c r="E243" s="250"/>
      <c r="F243" s="425"/>
      <c r="G243" s="425"/>
      <c r="H243" s="346"/>
      <c r="I243" s="250"/>
      <c r="J243" s="426"/>
      <c r="K243" s="426"/>
      <c r="L243" s="414"/>
      <c r="M243" s="414"/>
      <c r="N243" s="414"/>
      <c r="O243" s="414"/>
      <c r="P243" s="414"/>
      <c r="Q243" s="414"/>
      <c r="R243" s="414"/>
      <c r="S243" s="414"/>
      <c r="T243" s="414"/>
      <c r="U243" s="414"/>
      <c r="V243" s="414"/>
      <c r="W243" s="414"/>
      <c r="X243" s="414"/>
      <c r="Y243" s="414"/>
      <c r="Z243" s="414"/>
    </row>
    <row r="244" spans="1:26" ht="15.75" customHeight="1" x14ac:dyDescent="0.25">
      <c r="A244" s="424">
        <v>239</v>
      </c>
      <c r="B244" s="250"/>
      <c r="C244" s="250"/>
      <c r="D244" s="250"/>
      <c r="E244" s="250"/>
      <c r="F244" s="425"/>
      <c r="G244" s="425"/>
      <c r="H244" s="346"/>
      <c r="I244" s="250"/>
      <c r="J244" s="426"/>
      <c r="K244" s="426"/>
      <c r="L244" s="414"/>
      <c r="M244" s="414"/>
      <c r="N244" s="414"/>
      <c r="O244" s="414"/>
      <c r="P244" s="414"/>
      <c r="Q244" s="414"/>
      <c r="R244" s="414"/>
      <c r="S244" s="414"/>
      <c r="T244" s="414"/>
      <c r="U244" s="414"/>
      <c r="V244" s="414"/>
      <c r="W244" s="414"/>
      <c r="X244" s="414"/>
      <c r="Y244" s="414"/>
      <c r="Z244" s="414"/>
    </row>
    <row r="245" spans="1:26" ht="15.75" customHeight="1" x14ac:dyDescent="0.25">
      <c r="A245" s="424">
        <v>240</v>
      </c>
      <c r="B245" s="250"/>
      <c r="C245" s="250"/>
      <c r="D245" s="250"/>
      <c r="E245" s="250"/>
      <c r="F245" s="425"/>
      <c r="G245" s="425"/>
      <c r="H245" s="346"/>
      <c r="I245" s="250"/>
      <c r="J245" s="426"/>
      <c r="K245" s="426"/>
      <c r="L245" s="414"/>
      <c r="M245" s="414"/>
      <c r="N245" s="414"/>
      <c r="O245" s="414"/>
      <c r="P245" s="414"/>
      <c r="Q245" s="414"/>
      <c r="R245" s="414"/>
      <c r="S245" s="414"/>
      <c r="T245" s="414"/>
      <c r="U245" s="414"/>
      <c r="V245" s="414"/>
      <c r="W245" s="414"/>
      <c r="X245" s="414"/>
      <c r="Y245" s="414"/>
      <c r="Z245" s="414"/>
    </row>
    <row r="246" spans="1:26" ht="15.75" customHeight="1" x14ac:dyDescent="0.25">
      <c r="A246" s="424">
        <v>241</v>
      </c>
      <c r="B246" s="250"/>
      <c r="C246" s="250"/>
      <c r="D246" s="250"/>
      <c r="E246" s="250"/>
      <c r="F246" s="425"/>
      <c r="G246" s="425"/>
      <c r="H246" s="346"/>
      <c r="I246" s="250"/>
      <c r="J246" s="426"/>
      <c r="K246" s="426"/>
      <c r="L246" s="414"/>
      <c r="M246" s="414"/>
      <c r="N246" s="414"/>
      <c r="O246" s="414"/>
      <c r="P246" s="414"/>
      <c r="Q246" s="414"/>
      <c r="R246" s="414"/>
      <c r="S246" s="414"/>
      <c r="T246" s="414"/>
      <c r="U246" s="414"/>
      <c r="V246" s="414"/>
      <c r="W246" s="414"/>
      <c r="X246" s="414"/>
      <c r="Y246" s="414"/>
      <c r="Z246" s="414"/>
    </row>
    <row r="247" spans="1:26" ht="15.75" customHeight="1" x14ac:dyDescent="0.25">
      <c r="A247" s="424">
        <v>242</v>
      </c>
      <c r="B247" s="250"/>
      <c r="C247" s="250"/>
      <c r="D247" s="250"/>
      <c r="E247" s="250"/>
      <c r="F247" s="425"/>
      <c r="G247" s="425"/>
      <c r="H247" s="346"/>
      <c r="I247" s="250"/>
      <c r="J247" s="426"/>
      <c r="K247" s="426"/>
      <c r="L247" s="414"/>
      <c r="M247" s="414"/>
      <c r="N247" s="414"/>
      <c r="O247" s="414"/>
      <c r="P247" s="414"/>
      <c r="Q247" s="414"/>
      <c r="R247" s="414"/>
      <c r="S247" s="414"/>
      <c r="T247" s="414"/>
      <c r="U247" s="414"/>
      <c r="V247" s="414"/>
      <c r="W247" s="414"/>
      <c r="X247" s="414"/>
      <c r="Y247" s="414"/>
      <c r="Z247" s="414"/>
    </row>
    <row r="248" spans="1:26" ht="15.75" customHeight="1" x14ac:dyDescent="0.25">
      <c r="A248" s="424">
        <v>243</v>
      </c>
      <c r="B248" s="250"/>
      <c r="C248" s="250"/>
      <c r="D248" s="250"/>
      <c r="E248" s="250"/>
      <c r="F248" s="425"/>
      <c r="G248" s="425"/>
      <c r="H248" s="346"/>
      <c r="I248" s="250"/>
      <c r="J248" s="426"/>
      <c r="K248" s="426"/>
      <c r="L248" s="414"/>
      <c r="M248" s="414"/>
      <c r="N248" s="414"/>
      <c r="O248" s="414"/>
      <c r="P248" s="414"/>
      <c r="Q248" s="414"/>
      <c r="R248" s="414"/>
      <c r="S248" s="414"/>
      <c r="T248" s="414"/>
      <c r="U248" s="414"/>
      <c r="V248" s="414"/>
      <c r="W248" s="414"/>
      <c r="X248" s="414"/>
      <c r="Y248" s="414"/>
      <c r="Z248" s="414"/>
    </row>
    <row r="249" spans="1:26" ht="15.75" customHeight="1" x14ac:dyDescent="0.25">
      <c r="A249" s="424">
        <v>244</v>
      </c>
      <c r="B249" s="250"/>
      <c r="C249" s="250"/>
      <c r="D249" s="250"/>
      <c r="E249" s="250"/>
      <c r="F249" s="425"/>
      <c r="G249" s="425"/>
      <c r="H249" s="346"/>
      <c r="I249" s="250"/>
      <c r="J249" s="426"/>
      <c r="K249" s="426"/>
      <c r="L249" s="414"/>
      <c r="M249" s="414"/>
      <c r="N249" s="414"/>
      <c r="O249" s="414"/>
      <c r="P249" s="414"/>
      <c r="Q249" s="414"/>
      <c r="R249" s="414"/>
      <c r="S249" s="414"/>
      <c r="T249" s="414"/>
      <c r="U249" s="414"/>
      <c r="V249" s="414"/>
      <c r="W249" s="414"/>
      <c r="X249" s="414"/>
      <c r="Y249" s="414"/>
      <c r="Z249" s="414"/>
    </row>
    <row r="250" spans="1:26" ht="15.75" customHeight="1" x14ac:dyDescent="0.25">
      <c r="A250" s="424">
        <v>245</v>
      </c>
      <c r="B250" s="250"/>
      <c r="C250" s="250"/>
      <c r="D250" s="250"/>
      <c r="E250" s="250"/>
      <c r="F250" s="425"/>
      <c r="G250" s="425"/>
      <c r="H250" s="346"/>
      <c r="I250" s="250"/>
      <c r="J250" s="426"/>
      <c r="K250" s="426"/>
      <c r="L250" s="414"/>
      <c r="M250" s="414"/>
      <c r="N250" s="414"/>
      <c r="O250" s="414"/>
      <c r="P250" s="414"/>
      <c r="Q250" s="414"/>
      <c r="R250" s="414"/>
      <c r="S250" s="414"/>
      <c r="T250" s="414"/>
      <c r="U250" s="414"/>
      <c r="V250" s="414"/>
      <c r="W250" s="414"/>
      <c r="X250" s="414"/>
      <c r="Y250" s="414"/>
      <c r="Z250" s="414"/>
    </row>
    <row r="251" spans="1:26" ht="15.75" customHeight="1" x14ac:dyDescent="0.25">
      <c r="A251" s="424">
        <v>246</v>
      </c>
      <c r="B251" s="250"/>
      <c r="C251" s="250"/>
      <c r="D251" s="250"/>
      <c r="E251" s="250"/>
      <c r="F251" s="425"/>
      <c r="G251" s="425"/>
      <c r="H251" s="346"/>
      <c r="I251" s="250"/>
      <c r="J251" s="426"/>
      <c r="K251" s="426"/>
      <c r="L251" s="414"/>
      <c r="M251" s="414"/>
      <c r="N251" s="414"/>
      <c r="O251" s="414"/>
      <c r="P251" s="414"/>
      <c r="Q251" s="414"/>
      <c r="R251" s="414"/>
      <c r="S251" s="414"/>
      <c r="T251" s="414"/>
      <c r="U251" s="414"/>
      <c r="V251" s="414"/>
      <c r="W251" s="414"/>
      <c r="X251" s="414"/>
      <c r="Y251" s="414"/>
      <c r="Z251" s="414"/>
    </row>
    <row r="252" spans="1:26" ht="15.75" customHeight="1" x14ac:dyDescent="0.25">
      <c r="A252" s="424">
        <v>247</v>
      </c>
      <c r="B252" s="250"/>
      <c r="C252" s="250"/>
      <c r="D252" s="250"/>
      <c r="E252" s="250"/>
      <c r="F252" s="425"/>
      <c r="G252" s="425"/>
      <c r="H252" s="346"/>
      <c r="I252" s="250"/>
      <c r="J252" s="426"/>
      <c r="K252" s="426"/>
      <c r="L252" s="414"/>
      <c r="M252" s="414"/>
      <c r="N252" s="414"/>
      <c r="O252" s="414"/>
      <c r="P252" s="414"/>
      <c r="Q252" s="414"/>
      <c r="R252" s="414"/>
      <c r="S252" s="414"/>
      <c r="T252" s="414"/>
      <c r="U252" s="414"/>
      <c r="V252" s="414"/>
      <c r="W252" s="414"/>
      <c r="X252" s="414"/>
      <c r="Y252" s="414"/>
      <c r="Z252" s="414"/>
    </row>
    <row r="253" spans="1:26" ht="15.75" customHeight="1" x14ac:dyDescent="0.25">
      <c r="A253" s="424">
        <v>248</v>
      </c>
      <c r="B253" s="250"/>
      <c r="C253" s="250"/>
      <c r="D253" s="250"/>
      <c r="E253" s="250"/>
      <c r="F253" s="425"/>
      <c r="G253" s="425"/>
      <c r="H253" s="346"/>
      <c r="I253" s="250"/>
      <c r="J253" s="426"/>
      <c r="K253" s="426"/>
      <c r="L253" s="414"/>
      <c r="M253" s="414"/>
      <c r="N253" s="414"/>
      <c r="O253" s="414"/>
      <c r="P253" s="414"/>
      <c r="Q253" s="414"/>
      <c r="R253" s="414"/>
      <c r="S253" s="414"/>
      <c r="T253" s="414"/>
      <c r="U253" s="414"/>
      <c r="V253" s="414"/>
      <c r="W253" s="414"/>
      <c r="X253" s="414"/>
      <c r="Y253" s="414"/>
      <c r="Z253" s="414"/>
    </row>
    <row r="254" spans="1:26" ht="15.75" customHeight="1" x14ac:dyDescent="0.25">
      <c r="A254" s="424">
        <v>249</v>
      </c>
      <c r="B254" s="250"/>
      <c r="C254" s="250"/>
      <c r="D254" s="250"/>
      <c r="E254" s="250"/>
      <c r="F254" s="425"/>
      <c r="G254" s="425"/>
      <c r="H254" s="346"/>
      <c r="I254" s="250"/>
      <c r="J254" s="426"/>
      <c r="K254" s="426"/>
      <c r="L254" s="414"/>
      <c r="M254" s="414"/>
      <c r="N254" s="414"/>
      <c r="O254" s="414"/>
      <c r="P254" s="414"/>
      <c r="Q254" s="414"/>
      <c r="R254" s="414"/>
      <c r="S254" s="414"/>
      <c r="T254" s="414"/>
      <c r="U254" s="414"/>
      <c r="V254" s="414"/>
      <c r="W254" s="414"/>
      <c r="X254" s="414"/>
      <c r="Y254" s="414"/>
      <c r="Z254" s="414"/>
    </row>
    <row r="255" spans="1:26" ht="15.75" customHeight="1" x14ac:dyDescent="0.25">
      <c r="A255" s="424">
        <v>250</v>
      </c>
      <c r="B255" s="250"/>
      <c r="C255" s="250"/>
      <c r="D255" s="250"/>
      <c r="E255" s="250"/>
      <c r="F255" s="425"/>
      <c r="G255" s="425"/>
      <c r="H255" s="346"/>
      <c r="I255" s="250"/>
      <c r="J255" s="426"/>
      <c r="K255" s="426"/>
      <c r="L255" s="414"/>
      <c r="M255" s="414"/>
      <c r="N255" s="414"/>
      <c r="O255" s="414"/>
      <c r="P255" s="414"/>
      <c r="Q255" s="414"/>
      <c r="R255" s="414"/>
      <c r="S255" s="414"/>
      <c r="T255" s="414"/>
      <c r="U255" s="414"/>
      <c r="V255" s="414"/>
      <c r="W255" s="414"/>
      <c r="X255" s="414"/>
      <c r="Y255" s="414"/>
      <c r="Z255" s="414"/>
    </row>
    <row r="256" spans="1:26" ht="15.75" customHeight="1" x14ac:dyDescent="0.25">
      <c r="A256" s="424">
        <v>251</v>
      </c>
      <c r="B256" s="250"/>
      <c r="C256" s="250"/>
      <c r="D256" s="250"/>
      <c r="E256" s="250"/>
      <c r="F256" s="425"/>
      <c r="G256" s="425"/>
      <c r="H256" s="346"/>
      <c r="I256" s="250"/>
      <c r="J256" s="426"/>
      <c r="K256" s="426"/>
      <c r="L256" s="414"/>
      <c r="M256" s="414"/>
      <c r="N256" s="414"/>
      <c r="O256" s="414"/>
      <c r="P256" s="414"/>
      <c r="Q256" s="414"/>
      <c r="R256" s="414"/>
      <c r="S256" s="414"/>
      <c r="T256" s="414"/>
      <c r="U256" s="414"/>
      <c r="V256" s="414"/>
      <c r="W256" s="414"/>
      <c r="X256" s="414"/>
      <c r="Y256" s="414"/>
      <c r="Z256" s="414"/>
    </row>
    <row r="257" spans="1:26" ht="15.75" customHeight="1" x14ac:dyDescent="0.25">
      <c r="A257" s="424">
        <v>252</v>
      </c>
      <c r="B257" s="250"/>
      <c r="C257" s="250"/>
      <c r="D257" s="250"/>
      <c r="E257" s="250"/>
      <c r="F257" s="425"/>
      <c r="G257" s="425"/>
      <c r="H257" s="346"/>
      <c r="I257" s="250"/>
      <c r="J257" s="426"/>
      <c r="K257" s="426"/>
      <c r="L257" s="414"/>
      <c r="M257" s="414"/>
      <c r="N257" s="414"/>
      <c r="O257" s="414"/>
      <c r="P257" s="414"/>
      <c r="Q257" s="414"/>
      <c r="R257" s="414"/>
      <c r="S257" s="414"/>
      <c r="T257" s="414"/>
      <c r="U257" s="414"/>
      <c r="V257" s="414"/>
      <c r="W257" s="414"/>
      <c r="X257" s="414"/>
      <c r="Y257" s="414"/>
      <c r="Z257" s="414"/>
    </row>
    <row r="258" spans="1:26" ht="15.75" customHeight="1" x14ac:dyDescent="0.25">
      <c r="A258" s="424">
        <v>253</v>
      </c>
      <c r="B258" s="250"/>
      <c r="C258" s="250"/>
      <c r="D258" s="250"/>
      <c r="E258" s="250"/>
      <c r="F258" s="425"/>
      <c r="G258" s="425"/>
      <c r="H258" s="346"/>
      <c r="I258" s="250"/>
      <c r="J258" s="426"/>
      <c r="K258" s="426"/>
      <c r="L258" s="414"/>
      <c r="M258" s="414"/>
      <c r="N258" s="414"/>
      <c r="O258" s="414"/>
      <c r="P258" s="414"/>
      <c r="Q258" s="414"/>
      <c r="R258" s="414"/>
      <c r="S258" s="414"/>
      <c r="T258" s="414"/>
      <c r="U258" s="414"/>
      <c r="V258" s="414"/>
      <c r="W258" s="414"/>
      <c r="X258" s="414"/>
      <c r="Y258" s="414"/>
      <c r="Z258" s="414"/>
    </row>
    <row r="259" spans="1:26" ht="15.75" customHeight="1" x14ac:dyDescent="0.25">
      <c r="A259" s="424">
        <v>254</v>
      </c>
      <c r="B259" s="250"/>
      <c r="C259" s="250"/>
      <c r="D259" s="250"/>
      <c r="E259" s="250"/>
      <c r="F259" s="425"/>
      <c r="G259" s="425"/>
      <c r="H259" s="346"/>
      <c r="I259" s="250"/>
      <c r="J259" s="426"/>
      <c r="K259" s="426"/>
      <c r="L259" s="414"/>
      <c r="M259" s="414"/>
      <c r="N259" s="414"/>
      <c r="O259" s="414"/>
      <c r="P259" s="414"/>
      <c r="Q259" s="414"/>
      <c r="R259" s="414"/>
      <c r="S259" s="414"/>
      <c r="T259" s="414"/>
      <c r="U259" s="414"/>
      <c r="V259" s="414"/>
      <c r="W259" s="414"/>
      <c r="X259" s="414"/>
      <c r="Y259" s="414"/>
      <c r="Z259" s="414"/>
    </row>
    <row r="260" spans="1:26" ht="15.75" customHeight="1" x14ac:dyDescent="0.25">
      <c r="A260" s="424">
        <v>255</v>
      </c>
      <c r="B260" s="250"/>
      <c r="C260" s="250"/>
      <c r="D260" s="250"/>
      <c r="E260" s="250"/>
      <c r="F260" s="425"/>
      <c r="G260" s="425"/>
      <c r="H260" s="346"/>
      <c r="I260" s="250"/>
      <c r="J260" s="426"/>
      <c r="K260" s="426"/>
      <c r="L260" s="414"/>
      <c r="M260" s="414"/>
      <c r="N260" s="414"/>
      <c r="O260" s="414"/>
      <c r="P260" s="414"/>
      <c r="Q260" s="414"/>
      <c r="R260" s="414"/>
      <c r="S260" s="414"/>
      <c r="T260" s="414"/>
      <c r="U260" s="414"/>
      <c r="V260" s="414"/>
      <c r="W260" s="414"/>
      <c r="X260" s="414"/>
      <c r="Y260" s="414"/>
      <c r="Z260" s="414"/>
    </row>
    <row r="261" spans="1:26" ht="15.75" customHeight="1" x14ac:dyDescent="0.25">
      <c r="A261" s="424">
        <v>256</v>
      </c>
      <c r="B261" s="250"/>
      <c r="C261" s="250"/>
      <c r="D261" s="250"/>
      <c r="E261" s="250"/>
      <c r="F261" s="425"/>
      <c r="G261" s="425"/>
      <c r="H261" s="346"/>
      <c r="I261" s="250"/>
      <c r="J261" s="426"/>
      <c r="K261" s="426"/>
      <c r="L261" s="414"/>
      <c r="M261" s="414"/>
      <c r="N261" s="414"/>
      <c r="O261" s="414"/>
      <c r="P261" s="414"/>
      <c r="Q261" s="414"/>
      <c r="R261" s="414"/>
      <c r="S261" s="414"/>
      <c r="T261" s="414"/>
      <c r="U261" s="414"/>
      <c r="V261" s="414"/>
      <c r="W261" s="414"/>
      <c r="X261" s="414"/>
      <c r="Y261" s="414"/>
      <c r="Z261" s="414"/>
    </row>
    <row r="262" spans="1:26" ht="15.75" customHeight="1" x14ac:dyDescent="0.25">
      <c r="A262" s="424">
        <v>257</v>
      </c>
      <c r="B262" s="250"/>
      <c r="C262" s="250"/>
      <c r="D262" s="250"/>
      <c r="E262" s="250"/>
      <c r="F262" s="425"/>
      <c r="G262" s="425"/>
      <c r="H262" s="346"/>
      <c r="I262" s="250"/>
      <c r="J262" s="426"/>
      <c r="K262" s="426"/>
      <c r="L262" s="414"/>
      <c r="M262" s="414"/>
      <c r="N262" s="414"/>
      <c r="O262" s="414"/>
      <c r="P262" s="414"/>
      <c r="Q262" s="414"/>
      <c r="R262" s="414"/>
      <c r="S262" s="414"/>
      <c r="T262" s="414"/>
      <c r="U262" s="414"/>
      <c r="V262" s="414"/>
      <c r="W262" s="414"/>
      <c r="X262" s="414"/>
      <c r="Y262" s="414"/>
      <c r="Z262" s="414"/>
    </row>
    <row r="263" spans="1:26" ht="15.75" customHeight="1" x14ac:dyDescent="0.25">
      <c r="A263" s="424">
        <v>258</v>
      </c>
      <c r="B263" s="250"/>
      <c r="C263" s="250"/>
      <c r="D263" s="250"/>
      <c r="E263" s="250"/>
      <c r="F263" s="425"/>
      <c r="G263" s="425"/>
      <c r="H263" s="346"/>
      <c r="I263" s="250"/>
      <c r="J263" s="426"/>
      <c r="K263" s="426"/>
      <c r="L263" s="414"/>
      <c r="M263" s="414"/>
      <c r="N263" s="414"/>
      <c r="O263" s="414"/>
      <c r="P263" s="414"/>
      <c r="Q263" s="414"/>
      <c r="R263" s="414"/>
      <c r="S263" s="414"/>
      <c r="T263" s="414"/>
      <c r="U263" s="414"/>
      <c r="V263" s="414"/>
      <c r="W263" s="414"/>
      <c r="X263" s="414"/>
      <c r="Y263" s="414"/>
      <c r="Z263" s="414"/>
    </row>
    <row r="264" spans="1:26" ht="15.75" customHeight="1" x14ac:dyDescent="0.25">
      <c r="A264" s="424">
        <v>259</v>
      </c>
      <c r="B264" s="250"/>
      <c r="C264" s="250"/>
      <c r="D264" s="250"/>
      <c r="E264" s="250"/>
      <c r="F264" s="425"/>
      <c r="G264" s="425"/>
      <c r="H264" s="346"/>
      <c r="I264" s="250"/>
      <c r="J264" s="426"/>
      <c r="K264" s="426"/>
      <c r="L264" s="414"/>
      <c r="M264" s="414"/>
      <c r="N264" s="414"/>
      <c r="O264" s="414"/>
      <c r="P264" s="414"/>
      <c r="Q264" s="414"/>
      <c r="R264" s="414"/>
      <c r="S264" s="414"/>
      <c r="T264" s="414"/>
      <c r="U264" s="414"/>
      <c r="V264" s="414"/>
      <c r="W264" s="414"/>
      <c r="X264" s="414"/>
      <c r="Y264" s="414"/>
      <c r="Z264" s="414"/>
    </row>
    <row r="265" spans="1:26" ht="15.75" customHeight="1" x14ac:dyDescent="0.25">
      <c r="A265" s="424">
        <v>260</v>
      </c>
      <c r="B265" s="250"/>
      <c r="C265" s="250"/>
      <c r="D265" s="250"/>
      <c r="E265" s="250"/>
      <c r="F265" s="425"/>
      <c r="G265" s="425"/>
      <c r="H265" s="346"/>
      <c r="I265" s="250"/>
      <c r="J265" s="426"/>
      <c r="K265" s="426"/>
      <c r="L265" s="414"/>
      <c r="M265" s="414"/>
      <c r="N265" s="414"/>
      <c r="O265" s="414"/>
      <c r="P265" s="414"/>
      <c r="Q265" s="414"/>
      <c r="R265" s="414"/>
      <c r="S265" s="414"/>
      <c r="T265" s="414"/>
      <c r="U265" s="414"/>
      <c r="V265" s="414"/>
      <c r="W265" s="414"/>
      <c r="X265" s="414"/>
      <c r="Y265" s="414"/>
      <c r="Z265" s="414"/>
    </row>
    <row r="266" spans="1:26" ht="15.75" customHeight="1" x14ac:dyDescent="0.25">
      <c r="A266" s="424">
        <v>261</v>
      </c>
      <c r="B266" s="250"/>
      <c r="C266" s="250"/>
      <c r="D266" s="250"/>
      <c r="E266" s="250"/>
      <c r="F266" s="425"/>
      <c r="G266" s="425"/>
      <c r="H266" s="346"/>
      <c r="I266" s="250"/>
      <c r="J266" s="426"/>
      <c r="K266" s="426"/>
      <c r="L266" s="414"/>
      <c r="M266" s="414"/>
      <c r="N266" s="414"/>
      <c r="O266" s="414"/>
      <c r="P266" s="414"/>
      <c r="Q266" s="414"/>
      <c r="R266" s="414"/>
      <c r="S266" s="414"/>
      <c r="T266" s="414"/>
      <c r="U266" s="414"/>
      <c r="V266" s="414"/>
      <c r="W266" s="414"/>
      <c r="X266" s="414"/>
      <c r="Y266" s="414"/>
      <c r="Z266" s="414"/>
    </row>
    <row r="267" spans="1:26" ht="15.75" customHeight="1" x14ac:dyDescent="0.25">
      <c r="A267" s="424">
        <v>262</v>
      </c>
      <c r="B267" s="250"/>
      <c r="C267" s="250"/>
      <c r="D267" s="250"/>
      <c r="E267" s="250"/>
      <c r="F267" s="425"/>
      <c r="G267" s="425"/>
      <c r="H267" s="346"/>
      <c r="I267" s="250"/>
      <c r="J267" s="426"/>
      <c r="K267" s="426"/>
      <c r="L267" s="414"/>
      <c r="M267" s="414"/>
      <c r="N267" s="414"/>
      <c r="O267" s="414"/>
      <c r="P267" s="414"/>
      <c r="Q267" s="414"/>
      <c r="R267" s="414"/>
      <c r="S267" s="414"/>
      <c r="T267" s="414"/>
      <c r="U267" s="414"/>
      <c r="V267" s="414"/>
      <c r="W267" s="414"/>
      <c r="X267" s="414"/>
      <c r="Y267" s="414"/>
      <c r="Z267" s="414"/>
    </row>
    <row r="268" spans="1:26" ht="15.75" customHeight="1" x14ac:dyDescent="0.25">
      <c r="A268" s="424">
        <v>263</v>
      </c>
      <c r="B268" s="250"/>
      <c r="C268" s="250"/>
      <c r="D268" s="250"/>
      <c r="E268" s="250"/>
      <c r="F268" s="425"/>
      <c r="G268" s="425"/>
      <c r="H268" s="346"/>
      <c r="I268" s="250"/>
      <c r="J268" s="426"/>
      <c r="K268" s="426"/>
      <c r="L268" s="414"/>
      <c r="M268" s="414"/>
      <c r="N268" s="414"/>
      <c r="O268" s="414"/>
      <c r="P268" s="414"/>
      <c r="Q268" s="414"/>
      <c r="R268" s="414"/>
      <c r="S268" s="414"/>
      <c r="T268" s="414"/>
      <c r="U268" s="414"/>
      <c r="V268" s="414"/>
      <c r="W268" s="414"/>
      <c r="X268" s="414"/>
      <c r="Y268" s="414"/>
      <c r="Z268" s="414"/>
    </row>
    <row r="269" spans="1:26" ht="15.75" customHeight="1" x14ac:dyDescent="0.25">
      <c r="A269" s="424">
        <v>264</v>
      </c>
      <c r="B269" s="250"/>
      <c r="C269" s="250"/>
      <c r="D269" s="250"/>
      <c r="E269" s="250"/>
      <c r="F269" s="425"/>
      <c r="G269" s="425"/>
      <c r="H269" s="346"/>
      <c r="I269" s="250"/>
      <c r="J269" s="426"/>
      <c r="K269" s="426"/>
      <c r="L269" s="414"/>
      <c r="M269" s="414"/>
      <c r="N269" s="414"/>
      <c r="O269" s="414"/>
      <c r="P269" s="414"/>
      <c r="Q269" s="414"/>
      <c r="R269" s="414"/>
      <c r="S269" s="414"/>
      <c r="T269" s="414"/>
      <c r="U269" s="414"/>
      <c r="V269" s="414"/>
      <c r="W269" s="414"/>
      <c r="X269" s="414"/>
      <c r="Y269" s="414"/>
      <c r="Z269" s="414"/>
    </row>
    <row r="270" spans="1:26" ht="15.75" customHeight="1" x14ac:dyDescent="0.25">
      <c r="A270" s="424">
        <v>265</v>
      </c>
      <c r="B270" s="250"/>
      <c r="C270" s="250"/>
      <c r="D270" s="250"/>
      <c r="E270" s="250"/>
      <c r="F270" s="425"/>
      <c r="G270" s="425"/>
      <c r="H270" s="346"/>
      <c r="I270" s="250"/>
      <c r="J270" s="426"/>
      <c r="K270" s="426"/>
      <c r="L270" s="414"/>
      <c r="M270" s="414"/>
      <c r="N270" s="414"/>
      <c r="O270" s="414"/>
      <c r="P270" s="414"/>
      <c r="Q270" s="414"/>
      <c r="R270" s="414"/>
      <c r="S270" s="414"/>
      <c r="T270" s="414"/>
      <c r="U270" s="414"/>
      <c r="V270" s="414"/>
      <c r="W270" s="414"/>
      <c r="X270" s="414"/>
      <c r="Y270" s="414"/>
      <c r="Z270" s="414"/>
    </row>
    <row r="271" spans="1:26" ht="15.75" customHeight="1" x14ac:dyDescent="0.25">
      <c r="A271" s="424">
        <v>266</v>
      </c>
      <c r="B271" s="250"/>
      <c r="C271" s="250"/>
      <c r="D271" s="250"/>
      <c r="E271" s="250"/>
      <c r="F271" s="425"/>
      <c r="G271" s="425"/>
      <c r="H271" s="346"/>
      <c r="I271" s="250"/>
      <c r="J271" s="426"/>
      <c r="K271" s="426"/>
      <c r="L271" s="414"/>
      <c r="M271" s="414"/>
      <c r="N271" s="414"/>
      <c r="O271" s="414"/>
      <c r="P271" s="414"/>
      <c r="Q271" s="414"/>
      <c r="R271" s="414"/>
      <c r="S271" s="414"/>
      <c r="T271" s="414"/>
      <c r="U271" s="414"/>
      <c r="V271" s="414"/>
      <c r="W271" s="414"/>
      <c r="X271" s="414"/>
      <c r="Y271" s="414"/>
      <c r="Z271" s="414"/>
    </row>
    <row r="272" spans="1:26" ht="15.75" customHeight="1" x14ac:dyDescent="0.25">
      <c r="A272" s="424">
        <v>267</v>
      </c>
      <c r="B272" s="250"/>
      <c r="C272" s="250"/>
      <c r="D272" s="250"/>
      <c r="E272" s="250"/>
      <c r="F272" s="425"/>
      <c r="G272" s="425"/>
      <c r="H272" s="346"/>
      <c r="I272" s="250"/>
      <c r="J272" s="426"/>
      <c r="K272" s="426"/>
      <c r="L272" s="414"/>
      <c r="M272" s="414"/>
      <c r="N272" s="414"/>
      <c r="O272" s="414"/>
      <c r="P272" s="414"/>
      <c r="Q272" s="414"/>
      <c r="R272" s="414"/>
      <c r="S272" s="414"/>
      <c r="T272" s="414"/>
      <c r="U272" s="414"/>
      <c r="V272" s="414"/>
      <c r="W272" s="414"/>
      <c r="X272" s="414"/>
      <c r="Y272" s="414"/>
      <c r="Z272" s="414"/>
    </row>
    <row r="273" spans="1:26" ht="15.75" customHeight="1" x14ac:dyDescent="0.25">
      <c r="A273" s="424">
        <v>268</v>
      </c>
      <c r="B273" s="250"/>
      <c r="C273" s="250"/>
      <c r="D273" s="250"/>
      <c r="E273" s="250"/>
      <c r="F273" s="425"/>
      <c r="G273" s="425"/>
      <c r="H273" s="346"/>
      <c r="I273" s="250"/>
      <c r="J273" s="426"/>
      <c r="K273" s="426"/>
      <c r="L273" s="414"/>
      <c r="M273" s="414"/>
      <c r="N273" s="414"/>
      <c r="O273" s="414"/>
      <c r="P273" s="414"/>
      <c r="Q273" s="414"/>
      <c r="R273" s="414"/>
      <c r="S273" s="414"/>
      <c r="T273" s="414"/>
      <c r="U273" s="414"/>
      <c r="V273" s="414"/>
      <c r="W273" s="414"/>
      <c r="X273" s="414"/>
      <c r="Y273" s="414"/>
      <c r="Z273" s="414"/>
    </row>
    <row r="274" spans="1:26" ht="15.75" customHeight="1" x14ac:dyDescent="0.25">
      <c r="A274" s="424">
        <v>269</v>
      </c>
      <c r="B274" s="250"/>
      <c r="C274" s="250"/>
      <c r="D274" s="250"/>
      <c r="E274" s="250"/>
      <c r="F274" s="425"/>
      <c r="G274" s="425"/>
      <c r="H274" s="346"/>
      <c r="I274" s="250"/>
      <c r="J274" s="426"/>
      <c r="K274" s="426"/>
      <c r="L274" s="414"/>
      <c r="M274" s="414"/>
      <c r="N274" s="414"/>
      <c r="O274" s="414"/>
      <c r="P274" s="414"/>
      <c r="Q274" s="414"/>
      <c r="R274" s="414"/>
      <c r="S274" s="414"/>
      <c r="T274" s="414"/>
      <c r="U274" s="414"/>
      <c r="V274" s="414"/>
      <c r="W274" s="414"/>
      <c r="X274" s="414"/>
      <c r="Y274" s="414"/>
      <c r="Z274" s="414"/>
    </row>
    <row r="275" spans="1:26" ht="15.75" customHeight="1" x14ac:dyDescent="0.25">
      <c r="A275" s="424">
        <v>270</v>
      </c>
      <c r="B275" s="250"/>
      <c r="C275" s="250"/>
      <c r="D275" s="250"/>
      <c r="E275" s="250"/>
      <c r="F275" s="425"/>
      <c r="G275" s="425"/>
      <c r="H275" s="346"/>
      <c r="I275" s="250"/>
      <c r="J275" s="426"/>
      <c r="K275" s="426"/>
      <c r="L275" s="414"/>
      <c r="M275" s="414"/>
      <c r="N275" s="414"/>
      <c r="O275" s="414"/>
      <c r="P275" s="414"/>
      <c r="Q275" s="414"/>
      <c r="R275" s="414"/>
      <c r="S275" s="414"/>
      <c r="T275" s="414"/>
      <c r="U275" s="414"/>
      <c r="V275" s="414"/>
      <c r="W275" s="414"/>
      <c r="X275" s="414"/>
      <c r="Y275" s="414"/>
      <c r="Z275" s="414"/>
    </row>
    <row r="276" spans="1:26" ht="15.75" customHeight="1" x14ac:dyDescent="0.25">
      <c r="A276" s="424">
        <v>271</v>
      </c>
      <c r="B276" s="250"/>
      <c r="C276" s="250"/>
      <c r="D276" s="250"/>
      <c r="E276" s="250"/>
      <c r="F276" s="425"/>
      <c r="G276" s="425"/>
      <c r="H276" s="346"/>
      <c r="I276" s="250"/>
      <c r="J276" s="426"/>
      <c r="K276" s="426"/>
      <c r="L276" s="414"/>
      <c r="M276" s="414"/>
      <c r="N276" s="414"/>
      <c r="O276" s="414"/>
      <c r="P276" s="414"/>
      <c r="Q276" s="414"/>
      <c r="R276" s="414"/>
      <c r="S276" s="414"/>
      <c r="T276" s="414"/>
      <c r="U276" s="414"/>
      <c r="V276" s="414"/>
      <c r="W276" s="414"/>
      <c r="X276" s="414"/>
      <c r="Y276" s="414"/>
      <c r="Z276" s="414"/>
    </row>
    <row r="277" spans="1:26" ht="15.75" customHeight="1" x14ac:dyDescent="0.25">
      <c r="A277" s="424">
        <v>272</v>
      </c>
      <c r="B277" s="250"/>
      <c r="C277" s="250"/>
      <c r="D277" s="250"/>
      <c r="E277" s="250"/>
      <c r="F277" s="425"/>
      <c r="G277" s="425"/>
      <c r="H277" s="346"/>
      <c r="I277" s="250"/>
      <c r="J277" s="426"/>
      <c r="K277" s="426"/>
      <c r="L277" s="414"/>
      <c r="M277" s="414"/>
      <c r="N277" s="414"/>
      <c r="O277" s="414"/>
      <c r="P277" s="414"/>
      <c r="Q277" s="414"/>
      <c r="R277" s="414"/>
      <c r="S277" s="414"/>
      <c r="T277" s="414"/>
      <c r="U277" s="414"/>
      <c r="V277" s="414"/>
      <c r="W277" s="414"/>
      <c r="X277" s="414"/>
      <c r="Y277" s="414"/>
      <c r="Z277" s="414"/>
    </row>
    <row r="278" spans="1:26" ht="15.75" customHeight="1" x14ac:dyDescent="0.25">
      <c r="A278" s="424">
        <v>273</v>
      </c>
      <c r="B278" s="250"/>
      <c r="C278" s="250"/>
      <c r="D278" s="250"/>
      <c r="E278" s="250"/>
      <c r="F278" s="425"/>
      <c r="G278" s="425"/>
      <c r="H278" s="346"/>
      <c r="I278" s="250"/>
      <c r="J278" s="426"/>
      <c r="K278" s="426"/>
      <c r="L278" s="414"/>
      <c r="M278" s="414"/>
      <c r="N278" s="414"/>
      <c r="O278" s="414"/>
      <c r="P278" s="414"/>
      <c r="Q278" s="414"/>
      <c r="R278" s="414"/>
      <c r="S278" s="414"/>
      <c r="T278" s="414"/>
      <c r="U278" s="414"/>
      <c r="V278" s="414"/>
      <c r="W278" s="414"/>
      <c r="X278" s="414"/>
      <c r="Y278" s="414"/>
      <c r="Z278" s="414"/>
    </row>
    <row r="279" spans="1:26" ht="15.75" customHeight="1" x14ac:dyDescent="0.25">
      <c r="A279" s="424">
        <v>274</v>
      </c>
      <c r="B279" s="250"/>
      <c r="C279" s="250"/>
      <c r="D279" s="250"/>
      <c r="E279" s="250"/>
      <c r="F279" s="425"/>
      <c r="G279" s="425"/>
      <c r="H279" s="346"/>
      <c r="I279" s="250"/>
      <c r="J279" s="426"/>
      <c r="K279" s="426"/>
      <c r="L279" s="414"/>
      <c r="M279" s="414"/>
      <c r="N279" s="414"/>
      <c r="O279" s="414"/>
      <c r="P279" s="414"/>
      <c r="Q279" s="414"/>
      <c r="R279" s="414"/>
      <c r="S279" s="414"/>
      <c r="T279" s="414"/>
      <c r="U279" s="414"/>
      <c r="V279" s="414"/>
      <c r="W279" s="414"/>
      <c r="X279" s="414"/>
      <c r="Y279" s="414"/>
      <c r="Z279" s="414"/>
    </row>
    <row r="280" spans="1:26" ht="15.75" customHeight="1" x14ac:dyDescent="0.25">
      <c r="A280" s="424">
        <v>275</v>
      </c>
      <c r="B280" s="250"/>
      <c r="C280" s="250"/>
      <c r="D280" s="250"/>
      <c r="E280" s="250"/>
      <c r="F280" s="425"/>
      <c r="G280" s="425"/>
      <c r="H280" s="346"/>
      <c r="I280" s="250"/>
      <c r="J280" s="426"/>
      <c r="K280" s="426"/>
      <c r="L280" s="414"/>
      <c r="M280" s="414"/>
      <c r="N280" s="414"/>
      <c r="O280" s="414"/>
      <c r="P280" s="414"/>
      <c r="Q280" s="414"/>
      <c r="R280" s="414"/>
      <c r="S280" s="414"/>
      <c r="T280" s="414"/>
      <c r="U280" s="414"/>
      <c r="V280" s="414"/>
      <c r="W280" s="414"/>
      <c r="X280" s="414"/>
      <c r="Y280" s="414"/>
      <c r="Z280" s="414"/>
    </row>
    <row r="281" spans="1:26" ht="15.75" customHeight="1" x14ac:dyDescent="0.25">
      <c r="A281" s="424">
        <v>276</v>
      </c>
      <c r="B281" s="250"/>
      <c r="C281" s="250"/>
      <c r="D281" s="250"/>
      <c r="E281" s="250"/>
      <c r="F281" s="425"/>
      <c r="G281" s="425"/>
      <c r="H281" s="346"/>
      <c r="I281" s="250"/>
      <c r="J281" s="426"/>
      <c r="K281" s="426"/>
      <c r="L281" s="414"/>
      <c r="M281" s="414"/>
      <c r="N281" s="414"/>
      <c r="O281" s="414"/>
      <c r="P281" s="414"/>
      <c r="Q281" s="414"/>
      <c r="R281" s="414"/>
      <c r="S281" s="414"/>
      <c r="T281" s="414"/>
      <c r="U281" s="414"/>
      <c r="V281" s="414"/>
      <c r="W281" s="414"/>
      <c r="X281" s="414"/>
      <c r="Y281" s="414"/>
      <c r="Z281" s="414"/>
    </row>
    <row r="282" spans="1:26" ht="15.75" customHeight="1" x14ac:dyDescent="0.25">
      <c r="A282" s="424">
        <v>277</v>
      </c>
      <c r="B282" s="250"/>
      <c r="C282" s="250"/>
      <c r="D282" s="250"/>
      <c r="E282" s="250"/>
      <c r="F282" s="425"/>
      <c r="G282" s="425"/>
      <c r="H282" s="346"/>
      <c r="I282" s="250"/>
      <c r="J282" s="426"/>
      <c r="K282" s="426"/>
      <c r="L282" s="414"/>
      <c r="M282" s="414"/>
      <c r="N282" s="414"/>
      <c r="O282" s="414"/>
      <c r="P282" s="414"/>
      <c r="Q282" s="414"/>
      <c r="R282" s="414"/>
      <c r="S282" s="414"/>
      <c r="T282" s="414"/>
      <c r="U282" s="414"/>
      <c r="V282" s="414"/>
      <c r="W282" s="414"/>
      <c r="X282" s="414"/>
      <c r="Y282" s="414"/>
      <c r="Z282" s="414"/>
    </row>
    <row r="283" spans="1:26" ht="15.75" customHeight="1" x14ac:dyDescent="0.25">
      <c r="A283" s="424">
        <v>278</v>
      </c>
      <c r="B283" s="250"/>
      <c r="C283" s="250"/>
      <c r="D283" s="250"/>
      <c r="E283" s="250"/>
      <c r="F283" s="425"/>
      <c r="G283" s="425"/>
      <c r="H283" s="346"/>
      <c r="I283" s="250"/>
      <c r="J283" s="426"/>
      <c r="K283" s="426"/>
      <c r="L283" s="414"/>
      <c r="M283" s="414"/>
      <c r="N283" s="414"/>
      <c r="O283" s="414"/>
      <c r="P283" s="414"/>
      <c r="Q283" s="414"/>
      <c r="R283" s="414"/>
      <c r="S283" s="414"/>
      <c r="T283" s="414"/>
      <c r="U283" s="414"/>
      <c r="V283" s="414"/>
      <c r="W283" s="414"/>
      <c r="X283" s="414"/>
      <c r="Y283" s="414"/>
      <c r="Z283" s="414"/>
    </row>
    <row r="284" spans="1:26" ht="15.75" customHeight="1" x14ac:dyDescent="0.25">
      <c r="A284" s="424">
        <v>279</v>
      </c>
      <c r="B284" s="250"/>
      <c r="C284" s="250"/>
      <c r="D284" s="250"/>
      <c r="E284" s="250"/>
      <c r="F284" s="425"/>
      <c r="G284" s="425"/>
      <c r="H284" s="346"/>
      <c r="I284" s="250"/>
      <c r="J284" s="426"/>
      <c r="K284" s="426"/>
      <c r="L284" s="414"/>
      <c r="M284" s="414"/>
      <c r="N284" s="414"/>
      <c r="O284" s="414"/>
      <c r="P284" s="414"/>
      <c r="Q284" s="414"/>
      <c r="R284" s="414"/>
      <c r="S284" s="414"/>
      <c r="T284" s="414"/>
      <c r="U284" s="414"/>
      <c r="V284" s="414"/>
      <c r="W284" s="414"/>
      <c r="X284" s="414"/>
      <c r="Y284" s="414"/>
      <c r="Z284" s="414"/>
    </row>
    <row r="285" spans="1:26" ht="15.75" customHeight="1" x14ac:dyDescent="0.25">
      <c r="A285" s="424">
        <v>280</v>
      </c>
      <c r="B285" s="250"/>
      <c r="C285" s="250"/>
      <c r="D285" s="250"/>
      <c r="E285" s="250"/>
      <c r="F285" s="425"/>
      <c r="G285" s="425"/>
      <c r="H285" s="346"/>
      <c r="I285" s="250"/>
      <c r="J285" s="426"/>
      <c r="K285" s="426"/>
      <c r="L285" s="414"/>
      <c r="M285" s="414"/>
      <c r="N285" s="414"/>
      <c r="O285" s="414"/>
      <c r="P285" s="414"/>
      <c r="Q285" s="414"/>
      <c r="R285" s="414"/>
      <c r="S285" s="414"/>
      <c r="T285" s="414"/>
      <c r="U285" s="414"/>
      <c r="V285" s="414"/>
      <c r="W285" s="414"/>
      <c r="X285" s="414"/>
      <c r="Y285" s="414"/>
      <c r="Z285" s="414"/>
    </row>
    <row r="286" spans="1:26" ht="15.75" customHeight="1" x14ac:dyDescent="0.25">
      <c r="A286" s="424">
        <v>281</v>
      </c>
      <c r="B286" s="250"/>
      <c r="C286" s="250"/>
      <c r="D286" s="250"/>
      <c r="E286" s="250"/>
      <c r="F286" s="425"/>
      <c r="G286" s="425"/>
      <c r="H286" s="346"/>
      <c r="I286" s="250"/>
      <c r="J286" s="426"/>
      <c r="K286" s="426"/>
      <c r="L286" s="414"/>
      <c r="M286" s="414"/>
      <c r="N286" s="414"/>
      <c r="O286" s="414"/>
      <c r="P286" s="414"/>
      <c r="Q286" s="414"/>
      <c r="R286" s="414"/>
      <c r="S286" s="414"/>
      <c r="T286" s="414"/>
      <c r="U286" s="414"/>
      <c r="V286" s="414"/>
      <c r="W286" s="414"/>
      <c r="X286" s="414"/>
      <c r="Y286" s="414"/>
      <c r="Z286" s="414"/>
    </row>
    <row r="287" spans="1:26" ht="15.75" customHeight="1" x14ac:dyDescent="0.25">
      <c r="A287" s="424">
        <v>282</v>
      </c>
      <c r="B287" s="250"/>
      <c r="C287" s="250"/>
      <c r="D287" s="250"/>
      <c r="E287" s="250"/>
      <c r="F287" s="425"/>
      <c r="G287" s="425"/>
      <c r="H287" s="346"/>
      <c r="I287" s="250"/>
      <c r="J287" s="426"/>
      <c r="K287" s="426"/>
      <c r="L287" s="414"/>
      <c r="M287" s="414"/>
      <c r="N287" s="414"/>
      <c r="O287" s="414"/>
      <c r="P287" s="414"/>
      <c r="Q287" s="414"/>
      <c r="R287" s="414"/>
      <c r="S287" s="414"/>
      <c r="T287" s="414"/>
      <c r="U287" s="414"/>
      <c r="V287" s="414"/>
      <c r="W287" s="414"/>
      <c r="X287" s="414"/>
      <c r="Y287" s="414"/>
      <c r="Z287" s="414"/>
    </row>
    <row r="288" spans="1:26" ht="15.75" customHeight="1" x14ac:dyDescent="0.25">
      <c r="A288" s="424">
        <v>283</v>
      </c>
      <c r="B288" s="250"/>
      <c r="C288" s="250"/>
      <c r="D288" s="250"/>
      <c r="E288" s="250"/>
      <c r="F288" s="425"/>
      <c r="G288" s="425"/>
      <c r="H288" s="346"/>
      <c r="I288" s="250"/>
      <c r="J288" s="426"/>
      <c r="K288" s="426"/>
      <c r="L288" s="414"/>
      <c r="M288" s="414"/>
      <c r="N288" s="414"/>
      <c r="O288" s="414"/>
      <c r="P288" s="414"/>
      <c r="Q288" s="414"/>
      <c r="R288" s="414"/>
      <c r="S288" s="414"/>
      <c r="T288" s="414"/>
      <c r="U288" s="414"/>
      <c r="V288" s="414"/>
      <c r="W288" s="414"/>
      <c r="X288" s="414"/>
      <c r="Y288" s="414"/>
      <c r="Z288" s="414"/>
    </row>
    <row r="289" spans="1:26" ht="15.75" customHeight="1" x14ac:dyDescent="0.25">
      <c r="A289" s="424">
        <v>284</v>
      </c>
      <c r="B289" s="250"/>
      <c r="C289" s="250"/>
      <c r="D289" s="250"/>
      <c r="E289" s="250"/>
      <c r="F289" s="425"/>
      <c r="G289" s="425"/>
      <c r="H289" s="346"/>
      <c r="I289" s="250"/>
      <c r="J289" s="426"/>
      <c r="K289" s="426"/>
      <c r="L289" s="414"/>
      <c r="M289" s="414"/>
      <c r="N289" s="414"/>
      <c r="O289" s="414"/>
      <c r="P289" s="414"/>
      <c r="Q289" s="414"/>
      <c r="R289" s="414"/>
      <c r="S289" s="414"/>
      <c r="T289" s="414"/>
      <c r="U289" s="414"/>
      <c r="V289" s="414"/>
      <c r="W289" s="414"/>
      <c r="X289" s="414"/>
      <c r="Y289" s="414"/>
      <c r="Z289" s="414"/>
    </row>
    <row r="290" spans="1:26" ht="15.75" customHeight="1" x14ac:dyDescent="0.25">
      <c r="A290" s="424">
        <v>285</v>
      </c>
      <c r="B290" s="250"/>
      <c r="C290" s="250"/>
      <c r="D290" s="250"/>
      <c r="E290" s="250"/>
      <c r="F290" s="425"/>
      <c r="G290" s="425"/>
      <c r="H290" s="346"/>
      <c r="I290" s="250"/>
      <c r="J290" s="426"/>
      <c r="K290" s="426"/>
      <c r="L290" s="414"/>
      <c r="M290" s="414"/>
      <c r="N290" s="414"/>
      <c r="O290" s="414"/>
      <c r="P290" s="414"/>
      <c r="Q290" s="414"/>
      <c r="R290" s="414"/>
      <c r="S290" s="414"/>
      <c r="T290" s="414"/>
      <c r="U290" s="414"/>
      <c r="V290" s="414"/>
      <c r="W290" s="414"/>
      <c r="X290" s="414"/>
      <c r="Y290" s="414"/>
      <c r="Z290" s="414"/>
    </row>
    <row r="291" spans="1:26" ht="15.75" customHeight="1" x14ac:dyDescent="0.25">
      <c r="A291" s="424">
        <v>286</v>
      </c>
      <c r="B291" s="250"/>
      <c r="C291" s="250"/>
      <c r="D291" s="250"/>
      <c r="E291" s="250"/>
      <c r="F291" s="425"/>
      <c r="G291" s="425"/>
      <c r="H291" s="346"/>
      <c r="I291" s="250"/>
      <c r="J291" s="426"/>
      <c r="K291" s="426"/>
      <c r="L291" s="414"/>
      <c r="M291" s="414"/>
      <c r="N291" s="414"/>
      <c r="O291" s="414"/>
      <c r="P291" s="414"/>
      <c r="Q291" s="414"/>
      <c r="R291" s="414"/>
      <c r="S291" s="414"/>
      <c r="T291" s="414"/>
      <c r="U291" s="414"/>
      <c r="V291" s="414"/>
      <c r="W291" s="414"/>
      <c r="X291" s="414"/>
      <c r="Y291" s="414"/>
      <c r="Z291" s="414"/>
    </row>
    <row r="292" spans="1:26" ht="15.75" customHeight="1" x14ac:dyDescent="0.25">
      <c r="A292" s="424">
        <v>287</v>
      </c>
      <c r="B292" s="250"/>
      <c r="C292" s="250"/>
      <c r="D292" s="250"/>
      <c r="E292" s="250"/>
      <c r="F292" s="425"/>
      <c r="G292" s="425"/>
      <c r="H292" s="346"/>
      <c r="I292" s="250"/>
      <c r="J292" s="426"/>
      <c r="K292" s="426"/>
      <c r="L292" s="414"/>
      <c r="M292" s="414"/>
      <c r="N292" s="414"/>
      <c r="O292" s="414"/>
      <c r="P292" s="414"/>
      <c r="Q292" s="414"/>
      <c r="R292" s="414"/>
      <c r="S292" s="414"/>
      <c r="T292" s="414"/>
      <c r="U292" s="414"/>
      <c r="V292" s="414"/>
      <c r="W292" s="414"/>
      <c r="X292" s="414"/>
      <c r="Y292" s="414"/>
      <c r="Z292" s="414"/>
    </row>
    <row r="293" spans="1:26" ht="15.75" customHeight="1" x14ac:dyDescent="0.25">
      <c r="A293" s="424">
        <v>288</v>
      </c>
      <c r="B293" s="250"/>
      <c r="C293" s="250"/>
      <c r="D293" s="250"/>
      <c r="E293" s="250"/>
      <c r="F293" s="425"/>
      <c r="G293" s="425"/>
      <c r="H293" s="346"/>
      <c r="I293" s="250"/>
      <c r="J293" s="426"/>
      <c r="K293" s="426"/>
      <c r="L293" s="414"/>
      <c r="M293" s="414"/>
      <c r="N293" s="414"/>
      <c r="O293" s="414"/>
      <c r="P293" s="414"/>
      <c r="Q293" s="414"/>
      <c r="R293" s="414"/>
      <c r="S293" s="414"/>
      <c r="T293" s="414"/>
      <c r="U293" s="414"/>
      <c r="V293" s="414"/>
      <c r="W293" s="414"/>
      <c r="X293" s="414"/>
      <c r="Y293" s="414"/>
      <c r="Z293" s="414"/>
    </row>
    <row r="294" spans="1:26" ht="15.75" customHeight="1" x14ac:dyDescent="0.25">
      <c r="A294" s="424">
        <v>289</v>
      </c>
      <c r="B294" s="250"/>
      <c r="C294" s="250"/>
      <c r="D294" s="250"/>
      <c r="E294" s="250"/>
      <c r="F294" s="425"/>
      <c r="G294" s="425"/>
      <c r="H294" s="346"/>
      <c r="I294" s="250"/>
      <c r="J294" s="426"/>
      <c r="K294" s="426"/>
      <c r="L294" s="414"/>
      <c r="M294" s="414"/>
      <c r="N294" s="414"/>
      <c r="O294" s="414"/>
      <c r="P294" s="414"/>
      <c r="Q294" s="414"/>
      <c r="R294" s="414"/>
      <c r="S294" s="414"/>
      <c r="T294" s="414"/>
      <c r="U294" s="414"/>
      <c r="V294" s="414"/>
      <c r="W294" s="414"/>
      <c r="X294" s="414"/>
      <c r="Y294" s="414"/>
      <c r="Z294" s="414"/>
    </row>
    <row r="295" spans="1:26" ht="15.75" customHeight="1" x14ac:dyDescent="0.25">
      <c r="A295" s="424">
        <v>290</v>
      </c>
      <c r="B295" s="250"/>
      <c r="C295" s="250"/>
      <c r="D295" s="250"/>
      <c r="E295" s="250"/>
      <c r="F295" s="425"/>
      <c r="G295" s="425"/>
      <c r="H295" s="346"/>
      <c r="I295" s="250"/>
      <c r="J295" s="426"/>
      <c r="K295" s="426"/>
      <c r="L295" s="414"/>
      <c r="M295" s="414"/>
      <c r="N295" s="414"/>
      <c r="O295" s="414"/>
      <c r="P295" s="414"/>
      <c r="Q295" s="414"/>
      <c r="R295" s="414"/>
      <c r="S295" s="414"/>
      <c r="T295" s="414"/>
      <c r="U295" s="414"/>
      <c r="V295" s="414"/>
      <c r="W295" s="414"/>
      <c r="X295" s="414"/>
      <c r="Y295" s="414"/>
      <c r="Z295" s="414"/>
    </row>
    <row r="296" spans="1:26" ht="15.75" customHeight="1" x14ac:dyDescent="0.25">
      <c r="A296" s="424">
        <v>291</v>
      </c>
      <c r="B296" s="250"/>
      <c r="C296" s="250"/>
      <c r="D296" s="250"/>
      <c r="E296" s="250"/>
      <c r="F296" s="425"/>
      <c r="G296" s="425"/>
      <c r="H296" s="346"/>
      <c r="I296" s="250"/>
      <c r="J296" s="426"/>
      <c r="K296" s="426"/>
      <c r="L296" s="414"/>
      <c r="M296" s="414"/>
      <c r="N296" s="414"/>
      <c r="O296" s="414"/>
      <c r="P296" s="414"/>
      <c r="Q296" s="414"/>
      <c r="R296" s="414"/>
      <c r="S296" s="414"/>
      <c r="T296" s="414"/>
      <c r="U296" s="414"/>
      <c r="V296" s="414"/>
      <c r="W296" s="414"/>
      <c r="X296" s="414"/>
      <c r="Y296" s="414"/>
      <c r="Z296" s="414"/>
    </row>
    <row r="297" spans="1:26" ht="15.75" customHeight="1" x14ac:dyDescent="0.25">
      <c r="A297" s="424">
        <v>292</v>
      </c>
      <c r="B297" s="250"/>
      <c r="C297" s="250"/>
      <c r="D297" s="250"/>
      <c r="E297" s="250"/>
      <c r="F297" s="425"/>
      <c r="G297" s="425"/>
      <c r="H297" s="346"/>
      <c r="I297" s="250"/>
      <c r="J297" s="426"/>
      <c r="K297" s="426"/>
      <c r="L297" s="414"/>
      <c r="M297" s="414"/>
      <c r="N297" s="414"/>
      <c r="O297" s="414"/>
      <c r="P297" s="414"/>
      <c r="Q297" s="414"/>
      <c r="R297" s="414"/>
      <c r="S297" s="414"/>
      <c r="T297" s="414"/>
      <c r="U297" s="414"/>
      <c r="V297" s="414"/>
      <c r="W297" s="414"/>
      <c r="X297" s="414"/>
      <c r="Y297" s="414"/>
      <c r="Z297" s="414"/>
    </row>
    <row r="298" spans="1:26" ht="15.75" customHeight="1" x14ac:dyDescent="0.25">
      <c r="A298" s="424">
        <v>293</v>
      </c>
      <c r="B298" s="250"/>
      <c r="C298" s="250"/>
      <c r="D298" s="250"/>
      <c r="E298" s="250"/>
      <c r="F298" s="425"/>
      <c r="G298" s="425"/>
      <c r="H298" s="346"/>
      <c r="I298" s="250"/>
      <c r="J298" s="426"/>
      <c r="K298" s="426"/>
      <c r="L298" s="414"/>
      <c r="M298" s="414"/>
      <c r="N298" s="414"/>
      <c r="O298" s="414"/>
      <c r="P298" s="414"/>
      <c r="Q298" s="414"/>
      <c r="R298" s="414"/>
      <c r="S298" s="414"/>
      <c r="T298" s="414"/>
      <c r="U298" s="414"/>
      <c r="V298" s="414"/>
      <c r="W298" s="414"/>
      <c r="X298" s="414"/>
      <c r="Y298" s="414"/>
      <c r="Z298" s="414"/>
    </row>
    <row r="299" spans="1:26" ht="15.75" customHeight="1" x14ac:dyDescent="0.25">
      <c r="A299" s="424">
        <v>294</v>
      </c>
      <c r="B299" s="250"/>
      <c r="C299" s="250"/>
      <c r="D299" s="250"/>
      <c r="E299" s="250"/>
      <c r="F299" s="425"/>
      <c r="G299" s="425"/>
      <c r="H299" s="346"/>
      <c r="I299" s="250"/>
      <c r="J299" s="426"/>
      <c r="K299" s="426"/>
      <c r="L299" s="414"/>
      <c r="M299" s="414"/>
      <c r="N299" s="414"/>
      <c r="O299" s="414"/>
      <c r="P299" s="414"/>
      <c r="Q299" s="414"/>
      <c r="R299" s="414"/>
      <c r="S299" s="414"/>
      <c r="T299" s="414"/>
      <c r="U299" s="414"/>
      <c r="V299" s="414"/>
      <c r="W299" s="414"/>
      <c r="X299" s="414"/>
      <c r="Y299" s="414"/>
      <c r="Z299" s="414"/>
    </row>
    <row r="300" spans="1:26" ht="15.75" customHeight="1" x14ac:dyDescent="0.25">
      <c r="A300" s="424">
        <v>295</v>
      </c>
      <c r="B300" s="250"/>
      <c r="C300" s="250"/>
      <c r="D300" s="250"/>
      <c r="E300" s="250"/>
      <c r="F300" s="425"/>
      <c r="G300" s="425"/>
      <c r="H300" s="346"/>
      <c r="I300" s="250"/>
      <c r="J300" s="426"/>
      <c r="K300" s="426"/>
      <c r="L300" s="414"/>
      <c r="M300" s="414"/>
      <c r="N300" s="414"/>
      <c r="O300" s="414"/>
      <c r="P300" s="414"/>
      <c r="Q300" s="414"/>
      <c r="R300" s="414"/>
      <c r="S300" s="414"/>
      <c r="T300" s="414"/>
      <c r="U300" s="414"/>
      <c r="V300" s="414"/>
      <c r="W300" s="414"/>
      <c r="X300" s="414"/>
      <c r="Y300" s="414"/>
      <c r="Z300" s="414"/>
    </row>
    <row r="301" spans="1:26" ht="15.75" customHeight="1" x14ac:dyDescent="0.25">
      <c r="A301" s="424">
        <v>296</v>
      </c>
      <c r="B301" s="250"/>
      <c r="C301" s="250"/>
      <c r="D301" s="250"/>
      <c r="E301" s="250"/>
      <c r="F301" s="425"/>
      <c r="G301" s="425"/>
      <c r="H301" s="346"/>
      <c r="I301" s="250"/>
      <c r="J301" s="426"/>
      <c r="K301" s="426"/>
      <c r="L301" s="414"/>
      <c r="M301" s="414"/>
      <c r="N301" s="414"/>
      <c r="O301" s="414"/>
      <c r="P301" s="414"/>
      <c r="Q301" s="414"/>
      <c r="R301" s="414"/>
      <c r="S301" s="414"/>
      <c r="T301" s="414"/>
      <c r="U301" s="414"/>
      <c r="V301" s="414"/>
      <c r="W301" s="414"/>
      <c r="X301" s="414"/>
      <c r="Y301" s="414"/>
      <c r="Z301" s="414"/>
    </row>
    <row r="302" spans="1:26" ht="15.75" customHeight="1" x14ac:dyDescent="0.25">
      <c r="A302" s="424">
        <v>297</v>
      </c>
      <c r="B302" s="250"/>
      <c r="C302" s="250"/>
      <c r="D302" s="250"/>
      <c r="E302" s="250"/>
      <c r="F302" s="425"/>
      <c r="G302" s="425"/>
      <c r="H302" s="346"/>
      <c r="I302" s="250"/>
      <c r="J302" s="426"/>
      <c r="K302" s="426"/>
      <c r="L302" s="414"/>
      <c r="M302" s="414"/>
      <c r="N302" s="414"/>
      <c r="O302" s="414"/>
      <c r="P302" s="414"/>
      <c r="Q302" s="414"/>
      <c r="R302" s="414"/>
      <c r="S302" s="414"/>
      <c r="T302" s="414"/>
      <c r="U302" s="414"/>
      <c r="V302" s="414"/>
      <c r="W302" s="414"/>
      <c r="X302" s="414"/>
      <c r="Y302" s="414"/>
      <c r="Z302" s="414"/>
    </row>
    <row r="303" spans="1:26" ht="15.75" customHeight="1" x14ac:dyDescent="0.25">
      <c r="A303" s="424">
        <v>298</v>
      </c>
      <c r="B303" s="250"/>
      <c r="C303" s="250"/>
      <c r="D303" s="250"/>
      <c r="E303" s="250"/>
      <c r="F303" s="425"/>
      <c r="G303" s="425"/>
      <c r="H303" s="346"/>
      <c r="I303" s="250"/>
      <c r="J303" s="426"/>
      <c r="K303" s="426"/>
      <c r="L303" s="414"/>
      <c r="M303" s="414"/>
      <c r="N303" s="414"/>
      <c r="O303" s="414"/>
      <c r="P303" s="414"/>
      <c r="Q303" s="414"/>
      <c r="R303" s="414"/>
      <c r="S303" s="414"/>
      <c r="T303" s="414"/>
      <c r="U303" s="414"/>
      <c r="V303" s="414"/>
      <c r="W303" s="414"/>
      <c r="X303" s="414"/>
      <c r="Y303" s="414"/>
      <c r="Z303" s="414"/>
    </row>
    <row r="304" spans="1:26" ht="15.75" customHeight="1" x14ac:dyDescent="0.25">
      <c r="A304" s="424">
        <v>299</v>
      </c>
      <c r="B304" s="250"/>
      <c r="C304" s="250"/>
      <c r="D304" s="250"/>
      <c r="E304" s="250"/>
      <c r="F304" s="425"/>
      <c r="G304" s="425"/>
      <c r="H304" s="346"/>
      <c r="I304" s="250"/>
      <c r="J304" s="426"/>
      <c r="K304" s="426"/>
      <c r="L304" s="414"/>
      <c r="M304" s="414"/>
      <c r="N304" s="414"/>
      <c r="O304" s="414"/>
      <c r="P304" s="414"/>
      <c r="Q304" s="414"/>
      <c r="R304" s="414"/>
      <c r="S304" s="414"/>
      <c r="T304" s="414"/>
      <c r="U304" s="414"/>
      <c r="V304" s="414"/>
      <c r="W304" s="414"/>
      <c r="X304" s="414"/>
      <c r="Y304" s="414"/>
      <c r="Z304" s="414"/>
    </row>
    <row r="305" spans="1:26" ht="15.75" customHeight="1" x14ac:dyDescent="0.25">
      <c r="A305" s="424">
        <v>300</v>
      </c>
      <c r="B305" s="250"/>
      <c r="C305" s="250"/>
      <c r="D305" s="250"/>
      <c r="E305" s="250"/>
      <c r="F305" s="425"/>
      <c r="G305" s="425"/>
      <c r="H305" s="346"/>
      <c r="I305" s="250"/>
      <c r="J305" s="426"/>
      <c r="K305" s="426"/>
      <c r="L305" s="414"/>
      <c r="M305" s="414"/>
      <c r="N305" s="414"/>
      <c r="O305" s="414"/>
      <c r="P305" s="414"/>
      <c r="Q305" s="414"/>
      <c r="R305" s="414"/>
      <c r="S305" s="414"/>
      <c r="T305" s="414"/>
      <c r="U305" s="414"/>
      <c r="V305" s="414"/>
      <c r="W305" s="414"/>
      <c r="X305" s="414"/>
      <c r="Y305" s="414"/>
      <c r="Z305" s="414"/>
    </row>
    <row r="306" spans="1:26" ht="15.75" customHeight="1" x14ac:dyDescent="0.25">
      <c r="A306" s="424">
        <v>301</v>
      </c>
      <c r="B306" s="250"/>
      <c r="C306" s="250"/>
      <c r="D306" s="250"/>
      <c r="E306" s="250"/>
      <c r="F306" s="425"/>
      <c r="G306" s="425"/>
      <c r="H306" s="346"/>
      <c r="I306" s="250"/>
      <c r="J306" s="426"/>
      <c r="K306" s="426"/>
      <c r="L306" s="414"/>
      <c r="M306" s="414"/>
      <c r="N306" s="414"/>
      <c r="O306" s="414"/>
      <c r="P306" s="414"/>
      <c r="Q306" s="414"/>
      <c r="R306" s="414"/>
      <c r="S306" s="414"/>
      <c r="T306" s="414"/>
      <c r="U306" s="414"/>
      <c r="V306" s="414"/>
      <c r="W306" s="414"/>
      <c r="X306" s="414"/>
      <c r="Y306" s="414"/>
      <c r="Z306" s="414"/>
    </row>
    <row r="307" spans="1:26" ht="15.75" customHeight="1" x14ac:dyDescent="0.25">
      <c r="A307" s="424">
        <v>302</v>
      </c>
      <c r="B307" s="250"/>
      <c r="C307" s="250"/>
      <c r="D307" s="250"/>
      <c r="E307" s="250"/>
      <c r="F307" s="425"/>
      <c r="G307" s="425"/>
      <c r="H307" s="346"/>
      <c r="I307" s="250"/>
      <c r="J307" s="426"/>
      <c r="K307" s="426"/>
      <c r="L307" s="414"/>
      <c r="M307" s="414"/>
      <c r="N307" s="414"/>
      <c r="O307" s="414"/>
      <c r="P307" s="414"/>
      <c r="Q307" s="414"/>
      <c r="R307" s="414"/>
      <c r="S307" s="414"/>
      <c r="T307" s="414"/>
      <c r="U307" s="414"/>
      <c r="V307" s="414"/>
      <c r="W307" s="414"/>
      <c r="X307" s="414"/>
      <c r="Y307" s="414"/>
      <c r="Z307" s="414"/>
    </row>
    <row r="308" spans="1:26" ht="15.75" customHeight="1" x14ac:dyDescent="0.25">
      <c r="A308" s="424">
        <v>303</v>
      </c>
      <c r="B308" s="250"/>
      <c r="C308" s="250"/>
      <c r="D308" s="250"/>
      <c r="E308" s="250"/>
      <c r="F308" s="425"/>
      <c r="G308" s="425"/>
      <c r="H308" s="346"/>
      <c r="I308" s="250"/>
      <c r="J308" s="426"/>
      <c r="K308" s="426"/>
      <c r="L308" s="414"/>
      <c r="M308" s="414"/>
      <c r="N308" s="414"/>
      <c r="O308" s="414"/>
      <c r="P308" s="414"/>
      <c r="Q308" s="414"/>
      <c r="R308" s="414"/>
      <c r="S308" s="414"/>
      <c r="T308" s="414"/>
      <c r="U308" s="414"/>
      <c r="V308" s="414"/>
      <c r="W308" s="414"/>
      <c r="X308" s="414"/>
      <c r="Y308" s="414"/>
      <c r="Z308" s="414"/>
    </row>
    <row r="309" spans="1:26" ht="15.75" customHeight="1" x14ac:dyDescent="0.25">
      <c r="A309" s="424">
        <v>304</v>
      </c>
      <c r="B309" s="250"/>
      <c r="C309" s="250"/>
      <c r="D309" s="250"/>
      <c r="E309" s="250"/>
      <c r="F309" s="425"/>
      <c r="G309" s="425"/>
      <c r="H309" s="346"/>
      <c r="I309" s="250"/>
      <c r="J309" s="426"/>
      <c r="K309" s="426"/>
      <c r="L309" s="414"/>
      <c r="M309" s="414"/>
      <c r="N309" s="414"/>
      <c r="O309" s="414"/>
      <c r="P309" s="414"/>
      <c r="Q309" s="414"/>
      <c r="R309" s="414"/>
      <c r="S309" s="414"/>
      <c r="T309" s="414"/>
      <c r="U309" s="414"/>
      <c r="V309" s="414"/>
      <c r="W309" s="414"/>
      <c r="X309" s="414"/>
      <c r="Y309" s="414"/>
      <c r="Z309" s="414"/>
    </row>
    <row r="310" spans="1:26" ht="15.75" customHeight="1" x14ac:dyDescent="0.25">
      <c r="A310" s="424">
        <v>305</v>
      </c>
      <c r="B310" s="250"/>
      <c r="C310" s="250"/>
      <c r="D310" s="250"/>
      <c r="E310" s="250"/>
      <c r="F310" s="425"/>
      <c r="G310" s="425"/>
      <c r="H310" s="346"/>
      <c r="I310" s="250"/>
      <c r="J310" s="426"/>
      <c r="K310" s="426"/>
      <c r="L310" s="414"/>
      <c r="M310" s="414"/>
      <c r="N310" s="414"/>
      <c r="O310" s="414"/>
      <c r="P310" s="414"/>
      <c r="Q310" s="414"/>
      <c r="R310" s="414"/>
      <c r="S310" s="414"/>
      <c r="T310" s="414"/>
      <c r="U310" s="414"/>
      <c r="V310" s="414"/>
      <c r="W310" s="414"/>
      <c r="X310" s="414"/>
      <c r="Y310" s="414"/>
      <c r="Z310" s="414"/>
    </row>
    <row r="311" spans="1:26" ht="15.75" customHeight="1" x14ac:dyDescent="0.25">
      <c r="A311" s="424">
        <v>306</v>
      </c>
      <c r="B311" s="250"/>
      <c r="C311" s="250"/>
      <c r="D311" s="250"/>
      <c r="E311" s="250"/>
      <c r="F311" s="425"/>
      <c r="G311" s="425"/>
      <c r="H311" s="346"/>
      <c r="I311" s="250"/>
      <c r="J311" s="426"/>
      <c r="K311" s="426"/>
      <c r="L311" s="414"/>
      <c r="M311" s="414"/>
      <c r="N311" s="414"/>
      <c r="O311" s="414"/>
      <c r="P311" s="414"/>
      <c r="Q311" s="414"/>
      <c r="R311" s="414"/>
      <c r="S311" s="414"/>
      <c r="T311" s="414"/>
      <c r="U311" s="414"/>
      <c r="V311" s="414"/>
      <c r="W311" s="414"/>
      <c r="X311" s="414"/>
      <c r="Y311" s="414"/>
      <c r="Z311" s="414"/>
    </row>
    <row r="312" spans="1:26" ht="15.75" customHeight="1" x14ac:dyDescent="0.25">
      <c r="A312" s="424">
        <v>307</v>
      </c>
      <c r="B312" s="250"/>
      <c r="C312" s="250"/>
      <c r="D312" s="250"/>
      <c r="E312" s="250"/>
      <c r="F312" s="425"/>
      <c r="G312" s="425"/>
      <c r="H312" s="346"/>
      <c r="I312" s="250"/>
      <c r="J312" s="426"/>
      <c r="K312" s="426"/>
      <c r="L312" s="414"/>
      <c r="M312" s="414"/>
      <c r="N312" s="414"/>
      <c r="O312" s="414"/>
      <c r="P312" s="414"/>
      <c r="Q312" s="414"/>
      <c r="R312" s="414"/>
      <c r="S312" s="414"/>
      <c r="T312" s="414"/>
      <c r="U312" s="414"/>
      <c r="V312" s="414"/>
      <c r="W312" s="414"/>
      <c r="X312" s="414"/>
      <c r="Y312" s="414"/>
      <c r="Z312" s="414"/>
    </row>
    <row r="313" spans="1:26" ht="15.75" customHeight="1" x14ac:dyDescent="0.25">
      <c r="A313" s="424">
        <v>308</v>
      </c>
      <c r="B313" s="250"/>
      <c r="C313" s="250"/>
      <c r="D313" s="250"/>
      <c r="E313" s="250"/>
      <c r="F313" s="425"/>
      <c r="G313" s="425"/>
      <c r="H313" s="346"/>
      <c r="I313" s="250"/>
      <c r="J313" s="426"/>
      <c r="K313" s="426"/>
      <c r="L313" s="414"/>
      <c r="M313" s="414"/>
      <c r="N313" s="414"/>
      <c r="O313" s="414"/>
      <c r="P313" s="414"/>
      <c r="Q313" s="414"/>
      <c r="R313" s="414"/>
      <c r="S313" s="414"/>
      <c r="T313" s="414"/>
      <c r="U313" s="414"/>
      <c r="V313" s="414"/>
      <c r="W313" s="414"/>
      <c r="X313" s="414"/>
      <c r="Y313" s="414"/>
      <c r="Z313" s="414"/>
    </row>
    <row r="314" spans="1:26" ht="15.75" customHeight="1" x14ac:dyDescent="0.25">
      <c r="A314" s="424">
        <v>309</v>
      </c>
      <c r="B314" s="250"/>
      <c r="C314" s="250"/>
      <c r="D314" s="250"/>
      <c r="E314" s="250"/>
      <c r="F314" s="425"/>
      <c r="G314" s="425"/>
      <c r="H314" s="346"/>
      <c r="I314" s="250"/>
      <c r="J314" s="426"/>
      <c r="K314" s="426"/>
      <c r="L314" s="414"/>
      <c r="M314" s="414"/>
      <c r="N314" s="414"/>
      <c r="O314" s="414"/>
      <c r="P314" s="414"/>
      <c r="Q314" s="414"/>
      <c r="R314" s="414"/>
      <c r="S314" s="414"/>
      <c r="T314" s="414"/>
      <c r="U314" s="414"/>
      <c r="V314" s="414"/>
      <c r="W314" s="414"/>
      <c r="X314" s="414"/>
      <c r="Y314" s="414"/>
      <c r="Z314" s="414"/>
    </row>
    <row r="315" spans="1:26" ht="15.75" customHeight="1" x14ac:dyDescent="0.25">
      <c r="A315" s="424">
        <v>310</v>
      </c>
      <c r="B315" s="250"/>
      <c r="C315" s="250"/>
      <c r="D315" s="250"/>
      <c r="E315" s="250"/>
      <c r="F315" s="425"/>
      <c r="G315" s="425"/>
      <c r="H315" s="346"/>
      <c r="I315" s="250"/>
      <c r="J315" s="426"/>
      <c r="K315" s="426"/>
      <c r="L315" s="414"/>
      <c r="M315" s="414"/>
      <c r="N315" s="414"/>
      <c r="O315" s="414"/>
      <c r="P315" s="414"/>
      <c r="Q315" s="414"/>
      <c r="R315" s="414"/>
      <c r="S315" s="414"/>
      <c r="T315" s="414"/>
      <c r="U315" s="414"/>
      <c r="V315" s="414"/>
      <c r="W315" s="414"/>
      <c r="X315" s="414"/>
      <c r="Y315" s="414"/>
      <c r="Z315" s="414"/>
    </row>
    <row r="316" spans="1:26" ht="15.75" customHeight="1" x14ac:dyDescent="0.25">
      <c r="A316" s="424">
        <v>311</v>
      </c>
      <c r="B316" s="250"/>
      <c r="C316" s="250"/>
      <c r="D316" s="250"/>
      <c r="E316" s="250"/>
      <c r="F316" s="425"/>
      <c r="G316" s="425"/>
      <c r="H316" s="346"/>
      <c r="I316" s="250"/>
      <c r="J316" s="426"/>
      <c r="K316" s="426"/>
      <c r="L316" s="414"/>
      <c r="M316" s="414"/>
      <c r="N316" s="414"/>
      <c r="O316" s="414"/>
      <c r="P316" s="414"/>
      <c r="Q316" s="414"/>
      <c r="R316" s="414"/>
      <c r="S316" s="414"/>
      <c r="T316" s="414"/>
      <c r="U316" s="414"/>
      <c r="V316" s="414"/>
      <c r="W316" s="414"/>
      <c r="X316" s="414"/>
      <c r="Y316" s="414"/>
      <c r="Z316" s="414"/>
    </row>
    <row r="317" spans="1:26" ht="15.75" customHeight="1" x14ac:dyDescent="0.25">
      <c r="A317" s="424">
        <v>312</v>
      </c>
      <c r="B317" s="250"/>
      <c r="C317" s="250"/>
      <c r="D317" s="250"/>
      <c r="E317" s="250"/>
      <c r="F317" s="425"/>
      <c r="G317" s="425"/>
      <c r="H317" s="346"/>
      <c r="I317" s="250"/>
      <c r="J317" s="426"/>
      <c r="K317" s="426"/>
      <c r="L317" s="414"/>
      <c r="M317" s="414"/>
      <c r="N317" s="414"/>
      <c r="O317" s="414"/>
      <c r="P317" s="414"/>
      <c r="Q317" s="414"/>
      <c r="R317" s="414"/>
      <c r="S317" s="414"/>
      <c r="T317" s="414"/>
      <c r="U317" s="414"/>
      <c r="V317" s="414"/>
      <c r="W317" s="414"/>
      <c r="X317" s="414"/>
      <c r="Y317" s="414"/>
      <c r="Z317" s="414"/>
    </row>
    <row r="318" spans="1:26" ht="15.75" customHeight="1" x14ac:dyDescent="0.25">
      <c r="A318" s="424">
        <v>313</v>
      </c>
      <c r="B318" s="250"/>
      <c r="C318" s="250"/>
      <c r="D318" s="250"/>
      <c r="E318" s="250"/>
      <c r="F318" s="425"/>
      <c r="G318" s="425"/>
      <c r="H318" s="346"/>
      <c r="I318" s="250"/>
      <c r="J318" s="426"/>
      <c r="K318" s="426"/>
      <c r="L318" s="414"/>
      <c r="M318" s="414"/>
      <c r="N318" s="414"/>
      <c r="O318" s="414"/>
      <c r="P318" s="414"/>
      <c r="Q318" s="414"/>
      <c r="R318" s="414"/>
      <c r="S318" s="414"/>
      <c r="T318" s="414"/>
      <c r="U318" s="414"/>
      <c r="V318" s="414"/>
      <c r="W318" s="414"/>
      <c r="X318" s="414"/>
      <c r="Y318" s="414"/>
      <c r="Z318" s="414"/>
    </row>
    <row r="319" spans="1:26" ht="15.75" customHeight="1" x14ac:dyDescent="0.25">
      <c r="A319" s="424">
        <v>314</v>
      </c>
      <c r="B319" s="250"/>
      <c r="C319" s="250"/>
      <c r="D319" s="250"/>
      <c r="E319" s="250"/>
      <c r="F319" s="425"/>
      <c r="G319" s="425"/>
      <c r="H319" s="346"/>
      <c r="I319" s="250"/>
      <c r="J319" s="426"/>
      <c r="K319" s="426"/>
      <c r="L319" s="414"/>
      <c r="M319" s="414"/>
      <c r="N319" s="414"/>
      <c r="O319" s="414"/>
      <c r="P319" s="414"/>
      <c r="Q319" s="414"/>
      <c r="R319" s="414"/>
      <c r="S319" s="414"/>
      <c r="T319" s="414"/>
      <c r="U319" s="414"/>
      <c r="V319" s="414"/>
      <c r="W319" s="414"/>
      <c r="X319" s="414"/>
      <c r="Y319" s="414"/>
      <c r="Z319" s="414"/>
    </row>
    <row r="320" spans="1:26" ht="15.75" customHeight="1" x14ac:dyDescent="0.25">
      <c r="A320" s="424">
        <v>315</v>
      </c>
      <c r="B320" s="250"/>
      <c r="C320" s="250"/>
      <c r="D320" s="250"/>
      <c r="E320" s="250"/>
      <c r="F320" s="425"/>
      <c r="G320" s="425"/>
      <c r="H320" s="346"/>
      <c r="I320" s="250"/>
      <c r="J320" s="426"/>
      <c r="K320" s="426"/>
      <c r="L320" s="414"/>
      <c r="M320" s="414"/>
      <c r="N320" s="414"/>
      <c r="O320" s="414"/>
      <c r="P320" s="414"/>
      <c r="Q320" s="414"/>
      <c r="R320" s="414"/>
      <c r="S320" s="414"/>
      <c r="T320" s="414"/>
      <c r="U320" s="414"/>
      <c r="V320" s="414"/>
      <c r="W320" s="414"/>
      <c r="X320" s="414"/>
      <c r="Y320" s="414"/>
      <c r="Z320" s="414"/>
    </row>
    <row r="321" spans="1:26" ht="15.75" customHeight="1" x14ac:dyDescent="0.25">
      <c r="A321" s="424">
        <v>316</v>
      </c>
      <c r="B321" s="250"/>
      <c r="C321" s="250"/>
      <c r="D321" s="250"/>
      <c r="E321" s="250"/>
      <c r="F321" s="425"/>
      <c r="G321" s="425"/>
      <c r="H321" s="346"/>
      <c r="I321" s="250"/>
      <c r="J321" s="426"/>
      <c r="K321" s="426"/>
      <c r="L321" s="414"/>
      <c r="M321" s="414"/>
      <c r="N321" s="414"/>
      <c r="O321" s="414"/>
      <c r="P321" s="414"/>
      <c r="Q321" s="414"/>
      <c r="R321" s="414"/>
      <c r="S321" s="414"/>
      <c r="T321" s="414"/>
      <c r="U321" s="414"/>
      <c r="V321" s="414"/>
      <c r="W321" s="414"/>
      <c r="X321" s="414"/>
      <c r="Y321" s="414"/>
      <c r="Z321" s="414"/>
    </row>
    <row r="322" spans="1:26" ht="15.75" customHeight="1" x14ac:dyDescent="0.25">
      <c r="A322" s="424">
        <v>317</v>
      </c>
      <c r="B322" s="250"/>
      <c r="C322" s="250"/>
      <c r="D322" s="250"/>
      <c r="E322" s="250"/>
      <c r="F322" s="425"/>
      <c r="G322" s="425"/>
      <c r="H322" s="346"/>
      <c r="I322" s="250"/>
      <c r="J322" s="426"/>
      <c r="K322" s="426"/>
      <c r="L322" s="414"/>
      <c r="M322" s="414"/>
      <c r="N322" s="414"/>
      <c r="O322" s="414"/>
      <c r="P322" s="414"/>
      <c r="Q322" s="414"/>
      <c r="R322" s="414"/>
      <c r="S322" s="414"/>
      <c r="T322" s="414"/>
      <c r="U322" s="414"/>
      <c r="V322" s="414"/>
      <c r="W322" s="414"/>
      <c r="X322" s="414"/>
      <c r="Y322" s="414"/>
      <c r="Z322" s="414"/>
    </row>
    <row r="323" spans="1:26" ht="15.75" customHeight="1" x14ac:dyDescent="0.25">
      <c r="A323" s="424">
        <v>318</v>
      </c>
      <c r="B323" s="250"/>
      <c r="C323" s="250"/>
      <c r="D323" s="250"/>
      <c r="E323" s="250"/>
      <c r="F323" s="425"/>
      <c r="G323" s="425"/>
      <c r="H323" s="346"/>
      <c r="I323" s="250"/>
      <c r="J323" s="426"/>
      <c r="K323" s="426"/>
      <c r="L323" s="414"/>
      <c r="M323" s="414"/>
      <c r="N323" s="414"/>
      <c r="O323" s="414"/>
      <c r="P323" s="414"/>
      <c r="Q323" s="414"/>
      <c r="R323" s="414"/>
      <c r="S323" s="414"/>
      <c r="T323" s="414"/>
      <c r="U323" s="414"/>
      <c r="V323" s="414"/>
      <c r="W323" s="414"/>
      <c r="X323" s="414"/>
      <c r="Y323" s="414"/>
      <c r="Z323" s="414"/>
    </row>
    <row r="324" spans="1:26" ht="15.75" customHeight="1" x14ac:dyDescent="0.25">
      <c r="A324" s="424">
        <v>319</v>
      </c>
      <c r="B324" s="250"/>
      <c r="C324" s="250"/>
      <c r="D324" s="250"/>
      <c r="E324" s="250"/>
      <c r="F324" s="425"/>
      <c r="G324" s="425"/>
      <c r="H324" s="346"/>
      <c r="I324" s="250"/>
      <c r="J324" s="426"/>
      <c r="K324" s="426"/>
      <c r="L324" s="414"/>
      <c r="M324" s="414"/>
      <c r="N324" s="414"/>
      <c r="O324" s="414"/>
      <c r="P324" s="414"/>
      <c r="Q324" s="414"/>
      <c r="R324" s="414"/>
      <c r="S324" s="414"/>
      <c r="T324" s="414"/>
      <c r="U324" s="414"/>
      <c r="V324" s="414"/>
      <c r="W324" s="414"/>
      <c r="X324" s="414"/>
      <c r="Y324" s="414"/>
      <c r="Z324" s="414"/>
    </row>
    <row r="325" spans="1:26" ht="15.75" customHeight="1" x14ac:dyDescent="0.25">
      <c r="A325" s="424">
        <v>320</v>
      </c>
      <c r="B325" s="250"/>
      <c r="C325" s="250"/>
      <c r="D325" s="250"/>
      <c r="E325" s="250"/>
      <c r="F325" s="425"/>
      <c r="G325" s="425"/>
      <c r="H325" s="346"/>
      <c r="I325" s="250"/>
      <c r="J325" s="426"/>
      <c r="K325" s="426"/>
      <c r="L325" s="414"/>
      <c r="M325" s="414"/>
      <c r="N325" s="414"/>
      <c r="O325" s="414"/>
      <c r="P325" s="414"/>
      <c r="Q325" s="414"/>
      <c r="R325" s="414"/>
      <c r="S325" s="414"/>
      <c r="T325" s="414"/>
      <c r="U325" s="414"/>
      <c r="V325" s="414"/>
      <c r="W325" s="414"/>
      <c r="X325" s="414"/>
      <c r="Y325" s="414"/>
      <c r="Z325" s="414"/>
    </row>
    <row r="326" spans="1:26" ht="15.75" customHeight="1" x14ac:dyDescent="0.25">
      <c r="A326" s="424">
        <v>321</v>
      </c>
      <c r="B326" s="250"/>
      <c r="C326" s="250"/>
      <c r="D326" s="250"/>
      <c r="E326" s="250"/>
      <c r="F326" s="425"/>
      <c r="G326" s="425"/>
      <c r="H326" s="346"/>
      <c r="I326" s="250"/>
      <c r="J326" s="426"/>
      <c r="K326" s="426"/>
      <c r="L326" s="414"/>
      <c r="M326" s="414"/>
      <c r="N326" s="414"/>
      <c r="O326" s="414"/>
      <c r="P326" s="414"/>
      <c r="Q326" s="414"/>
      <c r="R326" s="414"/>
      <c r="S326" s="414"/>
      <c r="T326" s="414"/>
      <c r="U326" s="414"/>
      <c r="V326" s="414"/>
      <c r="W326" s="414"/>
      <c r="X326" s="414"/>
      <c r="Y326" s="414"/>
      <c r="Z326" s="414"/>
    </row>
    <row r="327" spans="1:26" ht="15.75" customHeight="1" x14ac:dyDescent="0.25">
      <c r="A327" s="424">
        <v>322</v>
      </c>
      <c r="B327" s="250"/>
      <c r="C327" s="250"/>
      <c r="D327" s="250"/>
      <c r="E327" s="250"/>
      <c r="F327" s="425"/>
      <c r="G327" s="425"/>
      <c r="H327" s="346"/>
      <c r="I327" s="250"/>
      <c r="J327" s="426"/>
      <c r="K327" s="426"/>
      <c r="L327" s="414"/>
      <c r="M327" s="414"/>
      <c r="N327" s="414"/>
      <c r="O327" s="414"/>
      <c r="P327" s="414"/>
      <c r="Q327" s="414"/>
      <c r="R327" s="414"/>
      <c r="S327" s="414"/>
      <c r="T327" s="414"/>
      <c r="U327" s="414"/>
      <c r="V327" s="414"/>
      <c r="W327" s="414"/>
      <c r="X327" s="414"/>
      <c r="Y327" s="414"/>
      <c r="Z327" s="414"/>
    </row>
    <row r="328" spans="1:26" ht="15.75" customHeight="1" x14ac:dyDescent="0.25">
      <c r="A328" s="424">
        <v>323</v>
      </c>
      <c r="B328" s="250"/>
      <c r="C328" s="250"/>
      <c r="D328" s="250"/>
      <c r="E328" s="250"/>
      <c r="F328" s="425"/>
      <c r="G328" s="425"/>
      <c r="H328" s="346"/>
      <c r="I328" s="250"/>
      <c r="J328" s="426"/>
      <c r="K328" s="426"/>
      <c r="L328" s="414"/>
      <c r="M328" s="414"/>
      <c r="N328" s="414"/>
      <c r="O328" s="414"/>
      <c r="P328" s="414"/>
      <c r="Q328" s="414"/>
      <c r="R328" s="414"/>
      <c r="S328" s="414"/>
      <c r="T328" s="414"/>
      <c r="U328" s="414"/>
      <c r="V328" s="414"/>
      <c r="W328" s="414"/>
      <c r="X328" s="414"/>
      <c r="Y328" s="414"/>
      <c r="Z328" s="414"/>
    </row>
    <row r="329" spans="1:26" ht="15.75" customHeight="1" x14ac:dyDescent="0.25">
      <c r="A329" s="424">
        <v>324</v>
      </c>
      <c r="B329" s="250"/>
      <c r="C329" s="250"/>
      <c r="D329" s="250"/>
      <c r="E329" s="250"/>
      <c r="F329" s="425"/>
      <c r="G329" s="425"/>
      <c r="H329" s="346"/>
      <c r="I329" s="250"/>
      <c r="J329" s="426"/>
      <c r="K329" s="426"/>
      <c r="L329" s="414"/>
      <c r="M329" s="414"/>
      <c r="N329" s="414"/>
      <c r="O329" s="414"/>
      <c r="P329" s="414"/>
      <c r="Q329" s="414"/>
      <c r="R329" s="414"/>
      <c r="S329" s="414"/>
      <c r="T329" s="414"/>
      <c r="U329" s="414"/>
      <c r="V329" s="414"/>
      <c r="W329" s="414"/>
      <c r="X329" s="414"/>
      <c r="Y329" s="414"/>
      <c r="Z329" s="414"/>
    </row>
    <row r="330" spans="1:26" ht="15.75" customHeight="1" x14ac:dyDescent="0.25">
      <c r="A330" s="424">
        <v>325</v>
      </c>
      <c r="B330" s="250"/>
      <c r="C330" s="250"/>
      <c r="D330" s="250"/>
      <c r="E330" s="250"/>
      <c r="F330" s="425"/>
      <c r="G330" s="425"/>
      <c r="H330" s="346"/>
      <c r="I330" s="250"/>
      <c r="J330" s="426"/>
      <c r="K330" s="426"/>
      <c r="L330" s="414"/>
      <c r="M330" s="414"/>
      <c r="N330" s="414"/>
      <c r="O330" s="414"/>
      <c r="P330" s="414"/>
      <c r="Q330" s="414"/>
      <c r="R330" s="414"/>
      <c r="S330" s="414"/>
      <c r="T330" s="414"/>
      <c r="U330" s="414"/>
      <c r="V330" s="414"/>
      <c r="W330" s="414"/>
      <c r="X330" s="414"/>
      <c r="Y330" s="414"/>
      <c r="Z330" s="414"/>
    </row>
    <row r="331" spans="1:26" ht="15.75" customHeight="1" x14ac:dyDescent="0.25">
      <c r="A331" s="424">
        <v>326</v>
      </c>
      <c r="B331" s="250"/>
      <c r="C331" s="250"/>
      <c r="D331" s="250"/>
      <c r="E331" s="250"/>
      <c r="F331" s="425"/>
      <c r="G331" s="425"/>
      <c r="H331" s="346"/>
      <c r="I331" s="250"/>
      <c r="J331" s="426"/>
      <c r="K331" s="426"/>
      <c r="L331" s="414"/>
      <c r="M331" s="414"/>
      <c r="N331" s="414"/>
      <c r="O331" s="414"/>
      <c r="P331" s="414"/>
      <c r="Q331" s="414"/>
      <c r="R331" s="414"/>
      <c r="S331" s="414"/>
      <c r="T331" s="414"/>
      <c r="U331" s="414"/>
      <c r="V331" s="414"/>
      <c r="W331" s="414"/>
      <c r="X331" s="414"/>
      <c r="Y331" s="414"/>
      <c r="Z331" s="414"/>
    </row>
    <row r="332" spans="1:26" ht="15.75" customHeight="1" x14ac:dyDescent="0.25">
      <c r="A332" s="424">
        <v>327</v>
      </c>
      <c r="B332" s="250"/>
      <c r="C332" s="250"/>
      <c r="D332" s="250"/>
      <c r="E332" s="250"/>
      <c r="F332" s="425"/>
      <c r="G332" s="425"/>
      <c r="H332" s="346"/>
      <c r="I332" s="250"/>
      <c r="J332" s="426"/>
      <c r="K332" s="426"/>
      <c r="L332" s="414"/>
      <c r="M332" s="414"/>
      <c r="N332" s="414"/>
      <c r="O332" s="414"/>
      <c r="P332" s="414"/>
      <c r="Q332" s="414"/>
      <c r="R332" s="414"/>
      <c r="S332" s="414"/>
      <c r="T332" s="414"/>
      <c r="U332" s="414"/>
      <c r="V332" s="414"/>
      <c r="W332" s="414"/>
      <c r="X332" s="414"/>
      <c r="Y332" s="414"/>
      <c r="Z332" s="414"/>
    </row>
    <row r="333" spans="1:26" ht="15.75" customHeight="1" x14ac:dyDescent="0.25">
      <c r="A333" s="424">
        <v>328</v>
      </c>
      <c r="B333" s="250"/>
      <c r="C333" s="250"/>
      <c r="D333" s="250"/>
      <c r="E333" s="250"/>
      <c r="F333" s="425"/>
      <c r="G333" s="425"/>
      <c r="H333" s="346"/>
      <c r="I333" s="250"/>
      <c r="J333" s="426"/>
      <c r="K333" s="426"/>
      <c r="L333" s="414"/>
      <c r="M333" s="414"/>
      <c r="N333" s="414"/>
      <c r="O333" s="414"/>
      <c r="P333" s="414"/>
      <c r="Q333" s="414"/>
      <c r="R333" s="414"/>
      <c r="S333" s="414"/>
      <c r="T333" s="414"/>
      <c r="U333" s="414"/>
      <c r="V333" s="414"/>
      <c r="W333" s="414"/>
      <c r="X333" s="414"/>
      <c r="Y333" s="414"/>
      <c r="Z333" s="414"/>
    </row>
    <row r="334" spans="1:26" ht="15.75" customHeight="1" x14ac:dyDescent="0.25">
      <c r="A334" s="424">
        <v>329</v>
      </c>
      <c r="B334" s="250"/>
      <c r="C334" s="250"/>
      <c r="D334" s="250"/>
      <c r="E334" s="250"/>
      <c r="F334" s="425"/>
      <c r="G334" s="425"/>
      <c r="H334" s="346"/>
      <c r="I334" s="250"/>
      <c r="J334" s="426"/>
      <c r="K334" s="426"/>
      <c r="L334" s="414"/>
      <c r="M334" s="414"/>
      <c r="N334" s="414"/>
      <c r="O334" s="414"/>
      <c r="P334" s="414"/>
      <c r="Q334" s="414"/>
      <c r="R334" s="414"/>
      <c r="S334" s="414"/>
      <c r="T334" s="414"/>
      <c r="U334" s="414"/>
      <c r="V334" s="414"/>
      <c r="W334" s="414"/>
      <c r="X334" s="414"/>
      <c r="Y334" s="414"/>
      <c r="Z334" s="414"/>
    </row>
    <row r="335" spans="1:26" ht="15.75" customHeight="1" x14ac:dyDescent="0.25">
      <c r="A335" s="424">
        <v>330</v>
      </c>
      <c r="B335" s="250"/>
      <c r="C335" s="250"/>
      <c r="D335" s="250"/>
      <c r="E335" s="250"/>
      <c r="F335" s="425"/>
      <c r="G335" s="425"/>
      <c r="H335" s="346"/>
      <c r="I335" s="250"/>
      <c r="J335" s="426"/>
      <c r="K335" s="426"/>
      <c r="L335" s="414"/>
      <c r="M335" s="414"/>
      <c r="N335" s="414"/>
      <c r="O335" s="414"/>
      <c r="P335" s="414"/>
      <c r="Q335" s="414"/>
      <c r="R335" s="414"/>
      <c r="S335" s="414"/>
      <c r="T335" s="414"/>
      <c r="U335" s="414"/>
      <c r="V335" s="414"/>
      <c r="W335" s="414"/>
      <c r="X335" s="414"/>
      <c r="Y335" s="414"/>
      <c r="Z335" s="414"/>
    </row>
    <row r="336" spans="1:26" ht="15.75" customHeight="1" x14ac:dyDescent="0.25">
      <c r="A336" s="424">
        <v>331</v>
      </c>
      <c r="B336" s="250"/>
      <c r="C336" s="250"/>
      <c r="D336" s="250"/>
      <c r="E336" s="250"/>
      <c r="F336" s="425"/>
      <c r="G336" s="425"/>
      <c r="H336" s="346"/>
      <c r="I336" s="250"/>
      <c r="J336" s="426"/>
      <c r="K336" s="426"/>
      <c r="L336" s="414"/>
      <c r="M336" s="414"/>
      <c r="N336" s="414"/>
      <c r="O336" s="414"/>
      <c r="P336" s="414"/>
      <c r="Q336" s="414"/>
      <c r="R336" s="414"/>
      <c r="S336" s="414"/>
      <c r="T336" s="414"/>
      <c r="U336" s="414"/>
      <c r="V336" s="414"/>
      <c r="W336" s="414"/>
      <c r="X336" s="414"/>
      <c r="Y336" s="414"/>
      <c r="Z336" s="414"/>
    </row>
    <row r="337" spans="1:26" ht="15.75" customHeight="1" x14ac:dyDescent="0.25">
      <c r="A337" s="424">
        <v>332</v>
      </c>
      <c r="B337" s="250"/>
      <c r="C337" s="250"/>
      <c r="D337" s="250"/>
      <c r="E337" s="250"/>
      <c r="F337" s="425"/>
      <c r="G337" s="425"/>
      <c r="H337" s="346"/>
      <c r="I337" s="250"/>
      <c r="J337" s="426"/>
      <c r="K337" s="426"/>
      <c r="L337" s="414"/>
      <c r="M337" s="414"/>
      <c r="N337" s="414"/>
      <c r="O337" s="414"/>
      <c r="P337" s="414"/>
      <c r="Q337" s="414"/>
      <c r="R337" s="414"/>
      <c r="S337" s="414"/>
      <c r="T337" s="414"/>
      <c r="U337" s="414"/>
      <c r="V337" s="414"/>
      <c r="W337" s="414"/>
      <c r="X337" s="414"/>
      <c r="Y337" s="414"/>
      <c r="Z337" s="414"/>
    </row>
    <row r="338" spans="1:26" ht="15.75" customHeight="1" x14ac:dyDescent="0.25">
      <c r="A338" s="424">
        <v>333</v>
      </c>
      <c r="B338" s="250"/>
      <c r="C338" s="250"/>
      <c r="D338" s="250"/>
      <c r="E338" s="250"/>
      <c r="F338" s="425"/>
      <c r="G338" s="425"/>
      <c r="H338" s="346"/>
      <c r="I338" s="250"/>
      <c r="J338" s="426"/>
      <c r="K338" s="426"/>
      <c r="L338" s="414"/>
      <c r="M338" s="414"/>
      <c r="N338" s="414"/>
      <c r="O338" s="414"/>
      <c r="P338" s="414"/>
      <c r="Q338" s="414"/>
      <c r="R338" s="414"/>
      <c r="S338" s="414"/>
      <c r="T338" s="414"/>
      <c r="U338" s="414"/>
      <c r="V338" s="414"/>
      <c r="W338" s="414"/>
      <c r="X338" s="414"/>
      <c r="Y338" s="414"/>
      <c r="Z338" s="414"/>
    </row>
    <row r="339" spans="1:26" ht="15.75" customHeight="1" x14ac:dyDescent="0.25">
      <c r="A339" s="424">
        <v>334</v>
      </c>
      <c r="B339" s="250"/>
      <c r="C339" s="250"/>
      <c r="D339" s="250"/>
      <c r="E339" s="250"/>
      <c r="F339" s="425"/>
      <c r="G339" s="425"/>
      <c r="H339" s="346"/>
      <c r="I339" s="250"/>
      <c r="J339" s="426"/>
      <c r="K339" s="426"/>
      <c r="L339" s="414"/>
      <c r="M339" s="414"/>
      <c r="N339" s="414"/>
      <c r="O339" s="414"/>
      <c r="P339" s="414"/>
      <c r="Q339" s="414"/>
      <c r="R339" s="414"/>
      <c r="S339" s="414"/>
      <c r="T339" s="414"/>
      <c r="U339" s="414"/>
      <c r="V339" s="414"/>
      <c r="W339" s="414"/>
      <c r="X339" s="414"/>
      <c r="Y339" s="414"/>
      <c r="Z339" s="414"/>
    </row>
    <row r="340" spans="1:26" ht="15.75" customHeight="1" x14ac:dyDescent="0.25">
      <c r="A340" s="424">
        <v>335</v>
      </c>
      <c r="B340" s="250"/>
      <c r="C340" s="250"/>
      <c r="D340" s="250"/>
      <c r="E340" s="250"/>
      <c r="F340" s="425"/>
      <c r="G340" s="425"/>
      <c r="H340" s="346"/>
      <c r="I340" s="250"/>
      <c r="J340" s="426"/>
      <c r="K340" s="426"/>
      <c r="L340" s="414"/>
      <c r="M340" s="414"/>
      <c r="N340" s="414"/>
      <c r="O340" s="414"/>
      <c r="P340" s="414"/>
      <c r="Q340" s="414"/>
      <c r="R340" s="414"/>
      <c r="S340" s="414"/>
      <c r="T340" s="414"/>
      <c r="U340" s="414"/>
      <c r="V340" s="414"/>
      <c r="W340" s="414"/>
      <c r="X340" s="414"/>
      <c r="Y340" s="414"/>
      <c r="Z340" s="414"/>
    </row>
    <row r="341" spans="1:26" ht="15.75" customHeight="1" x14ac:dyDescent="0.25">
      <c r="A341" s="424">
        <v>336</v>
      </c>
      <c r="B341" s="250"/>
      <c r="C341" s="250"/>
      <c r="D341" s="250"/>
      <c r="E341" s="250"/>
      <c r="F341" s="425"/>
      <c r="G341" s="425"/>
      <c r="H341" s="346"/>
      <c r="I341" s="250"/>
      <c r="J341" s="426"/>
      <c r="K341" s="426"/>
      <c r="L341" s="414"/>
      <c r="M341" s="414"/>
      <c r="N341" s="414"/>
      <c r="O341" s="414"/>
      <c r="P341" s="414"/>
      <c r="Q341" s="414"/>
      <c r="R341" s="414"/>
      <c r="S341" s="414"/>
      <c r="T341" s="414"/>
      <c r="U341" s="414"/>
      <c r="V341" s="414"/>
      <c r="W341" s="414"/>
      <c r="X341" s="414"/>
      <c r="Y341" s="414"/>
      <c r="Z341" s="414"/>
    </row>
    <row r="342" spans="1:26" ht="15.75" customHeight="1" x14ac:dyDescent="0.25">
      <c r="A342" s="424">
        <v>337</v>
      </c>
      <c r="B342" s="250"/>
      <c r="C342" s="250"/>
      <c r="D342" s="250"/>
      <c r="E342" s="250"/>
      <c r="F342" s="425"/>
      <c r="G342" s="425"/>
      <c r="H342" s="346"/>
      <c r="I342" s="250"/>
      <c r="J342" s="426"/>
      <c r="K342" s="426"/>
      <c r="L342" s="414"/>
      <c r="M342" s="414"/>
      <c r="N342" s="414"/>
      <c r="O342" s="414"/>
      <c r="P342" s="414"/>
      <c r="Q342" s="414"/>
      <c r="R342" s="414"/>
      <c r="S342" s="414"/>
      <c r="T342" s="414"/>
      <c r="U342" s="414"/>
      <c r="V342" s="414"/>
      <c r="W342" s="414"/>
      <c r="X342" s="414"/>
      <c r="Y342" s="414"/>
      <c r="Z342" s="414"/>
    </row>
    <row r="343" spans="1:26" ht="15.75" customHeight="1" x14ac:dyDescent="0.25">
      <c r="A343" s="424">
        <v>338</v>
      </c>
      <c r="B343" s="250"/>
      <c r="C343" s="250"/>
      <c r="D343" s="250"/>
      <c r="E343" s="250"/>
      <c r="F343" s="425"/>
      <c r="G343" s="425"/>
      <c r="H343" s="346"/>
      <c r="I343" s="250"/>
      <c r="J343" s="426"/>
      <c r="K343" s="426"/>
      <c r="L343" s="414"/>
      <c r="M343" s="414"/>
      <c r="N343" s="414"/>
      <c r="O343" s="414"/>
      <c r="P343" s="414"/>
      <c r="Q343" s="414"/>
      <c r="R343" s="414"/>
      <c r="S343" s="414"/>
      <c r="T343" s="414"/>
      <c r="U343" s="414"/>
      <c r="V343" s="414"/>
      <c r="W343" s="414"/>
      <c r="X343" s="414"/>
      <c r="Y343" s="414"/>
      <c r="Z343" s="414"/>
    </row>
    <row r="344" spans="1:26" ht="15.75" customHeight="1" x14ac:dyDescent="0.25">
      <c r="A344" s="424">
        <v>339</v>
      </c>
      <c r="B344" s="250"/>
      <c r="C344" s="250"/>
      <c r="D344" s="250"/>
      <c r="E344" s="250"/>
      <c r="F344" s="425"/>
      <c r="G344" s="425"/>
      <c r="H344" s="346"/>
      <c r="I344" s="250"/>
      <c r="J344" s="426"/>
      <c r="K344" s="426"/>
      <c r="L344" s="414"/>
      <c r="M344" s="414"/>
      <c r="N344" s="414"/>
      <c r="O344" s="414"/>
      <c r="P344" s="414"/>
      <c r="Q344" s="414"/>
      <c r="R344" s="414"/>
      <c r="S344" s="414"/>
      <c r="T344" s="414"/>
      <c r="U344" s="414"/>
      <c r="V344" s="414"/>
      <c r="W344" s="414"/>
      <c r="X344" s="414"/>
      <c r="Y344" s="414"/>
      <c r="Z344" s="414"/>
    </row>
    <row r="345" spans="1:26" ht="15.75" customHeight="1" x14ac:dyDescent="0.25">
      <c r="A345" s="424">
        <v>340</v>
      </c>
      <c r="B345" s="250"/>
      <c r="C345" s="250"/>
      <c r="D345" s="250"/>
      <c r="E345" s="250"/>
      <c r="F345" s="425"/>
      <c r="G345" s="425"/>
      <c r="H345" s="346"/>
      <c r="I345" s="250"/>
      <c r="J345" s="426"/>
      <c r="K345" s="426"/>
      <c r="L345" s="414"/>
      <c r="M345" s="414"/>
      <c r="N345" s="414"/>
      <c r="O345" s="414"/>
      <c r="P345" s="414"/>
      <c r="Q345" s="414"/>
      <c r="R345" s="414"/>
      <c r="S345" s="414"/>
      <c r="T345" s="414"/>
      <c r="U345" s="414"/>
      <c r="V345" s="414"/>
      <c r="W345" s="414"/>
      <c r="X345" s="414"/>
      <c r="Y345" s="414"/>
      <c r="Z345" s="414"/>
    </row>
    <row r="346" spans="1:26" ht="15.75" customHeight="1" x14ac:dyDescent="0.25">
      <c r="A346" s="424">
        <v>341</v>
      </c>
      <c r="B346" s="250"/>
      <c r="C346" s="250"/>
      <c r="D346" s="250"/>
      <c r="E346" s="250"/>
      <c r="F346" s="425"/>
      <c r="G346" s="425"/>
      <c r="H346" s="346"/>
      <c r="I346" s="250"/>
      <c r="J346" s="426"/>
      <c r="K346" s="426"/>
      <c r="L346" s="414"/>
      <c r="M346" s="414"/>
      <c r="N346" s="414"/>
      <c r="O346" s="414"/>
      <c r="P346" s="414"/>
      <c r="Q346" s="414"/>
      <c r="R346" s="414"/>
      <c r="S346" s="414"/>
      <c r="T346" s="414"/>
      <c r="U346" s="414"/>
      <c r="V346" s="414"/>
      <c r="W346" s="414"/>
      <c r="X346" s="414"/>
      <c r="Y346" s="414"/>
      <c r="Z346" s="414"/>
    </row>
    <row r="347" spans="1:26" ht="15.75" customHeight="1" x14ac:dyDescent="0.25">
      <c r="A347" s="424">
        <v>342</v>
      </c>
      <c r="B347" s="250"/>
      <c r="C347" s="250"/>
      <c r="D347" s="250"/>
      <c r="E347" s="250"/>
      <c r="F347" s="425"/>
      <c r="G347" s="425"/>
      <c r="H347" s="346"/>
      <c r="I347" s="250"/>
      <c r="J347" s="426"/>
      <c r="K347" s="426"/>
      <c r="L347" s="414"/>
      <c r="M347" s="414"/>
      <c r="N347" s="414"/>
      <c r="O347" s="414"/>
      <c r="P347" s="414"/>
      <c r="Q347" s="414"/>
      <c r="R347" s="414"/>
      <c r="S347" s="414"/>
      <c r="T347" s="414"/>
      <c r="U347" s="414"/>
      <c r="V347" s="414"/>
      <c r="W347" s="414"/>
      <c r="X347" s="414"/>
      <c r="Y347" s="414"/>
      <c r="Z347" s="414"/>
    </row>
    <row r="348" spans="1:26" ht="15.75" customHeight="1" x14ac:dyDescent="0.25">
      <c r="A348" s="424">
        <v>343</v>
      </c>
      <c r="B348" s="250"/>
      <c r="C348" s="250"/>
      <c r="D348" s="250"/>
      <c r="E348" s="250"/>
      <c r="F348" s="425"/>
      <c r="G348" s="425"/>
      <c r="H348" s="346"/>
      <c r="I348" s="250"/>
      <c r="J348" s="426"/>
      <c r="K348" s="426"/>
      <c r="L348" s="414"/>
      <c r="M348" s="414"/>
      <c r="N348" s="414"/>
      <c r="O348" s="414"/>
      <c r="P348" s="414"/>
      <c r="Q348" s="414"/>
      <c r="R348" s="414"/>
      <c r="S348" s="414"/>
      <c r="T348" s="414"/>
      <c r="U348" s="414"/>
      <c r="V348" s="414"/>
      <c r="W348" s="414"/>
      <c r="X348" s="414"/>
      <c r="Y348" s="414"/>
      <c r="Z348" s="414"/>
    </row>
    <row r="349" spans="1:26" ht="15.75" customHeight="1" x14ac:dyDescent="0.25">
      <c r="A349" s="424">
        <v>344</v>
      </c>
      <c r="B349" s="250"/>
      <c r="C349" s="250"/>
      <c r="D349" s="250"/>
      <c r="E349" s="250"/>
      <c r="F349" s="425"/>
      <c r="G349" s="425"/>
      <c r="H349" s="346"/>
      <c r="I349" s="250"/>
      <c r="J349" s="426"/>
      <c r="K349" s="426"/>
      <c r="L349" s="414"/>
      <c r="M349" s="414"/>
      <c r="N349" s="414"/>
      <c r="O349" s="414"/>
      <c r="P349" s="414"/>
      <c r="Q349" s="414"/>
      <c r="R349" s="414"/>
      <c r="S349" s="414"/>
      <c r="T349" s="414"/>
      <c r="U349" s="414"/>
      <c r="V349" s="414"/>
      <c r="W349" s="414"/>
      <c r="X349" s="414"/>
      <c r="Y349" s="414"/>
      <c r="Z349" s="414"/>
    </row>
    <row r="350" spans="1:26" ht="15.75" customHeight="1" x14ac:dyDescent="0.25">
      <c r="A350" s="424">
        <v>345</v>
      </c>
      <c r="B350" s="250"/>
      <c r="C350" s="250"/>
      <c r="D350" s="250"/>
      <c r="E350" s="250"/>
      <c r="F350" s="425"/>
      <c r="G350" s="425"/>
      <c r="H350" s="346"/>
      <c r="I350" s="250"/>
      <c r="J350" s="426"/>
      <c r="K350" s="426"/>
      <c r="L350" s="414"/>
      <c r="M350" s="414"/>
      <c r="N350" s="414"/>
      <c r="O350" s="414"/>
      <c r="P350" s="414"/>
      <c r="Q350" s="414"/>
      <c r="R350" s="414"/>
      <c r="S350" s="414"/>
      <c r="T350" s="414"/>
      <c r="U350" s="414"/>
      <c r="V350" s="414"/>
      <c r="W350" s="414"/>
      <c r="X350" s="414"/>
      <c r="Y350" s="414"/>
      <c r="Z350" s="414"/>
    </row>
    <row r="351" spans="1:26" ht="15.75" customHeight="1" x14ac:dyDescent="0.25">
      <c r="A351" s="424">
        <v>346</v>
      </c>
      <c r="B351" s="250"/>
      <c r="C351" s="250"/>
      <c r="D351" s="250"/>
      <c r="E351" s="250"/>
      <c r="F351" s="425"/>
      <c r="G351" s="425"/>
      <c r="H351" s="346"/>
      <c r="I351" s="250"/>
      <c r="J351" s="426"/>
      <c r="K351" s="426"/>
      <c r="L351" s="414"/>
      <c r="M351" s="414"/>
      <c r="N351" s="414"/>
      <c r="O351" s="414"/>
      <c r="P351" s="414"/>
      <c r="Q351" s="414"/>
      <c r="R351" s="414"/>
      <c r="S351" s="414"/>
      <c r="T351" s="414"/>
      <c r="U351" s="414"/>
      <c r="V351" s="414"/>
      <c r="W351" s="414"/>
      <c r="X351" s="414"/>
      <c r="Y351" s="414"/>
      <c r="Z351" s="414"/>
    </row>
    <row r="352" spans="1:26" ht="15.75" customHeight="1" x14ac:dyDescent="0.25">
      <c r="A352" s="424">
        <v>347</v>
      </c>
      <c r="B352" s="250"/>
      <c r="C352" s="250"/>
      <c r="D352" s="250"/>
      <c r="E352" s="250"/>
      <c r="F352" s="425"/>
      <c r="G352" s="425"/>
      <c r="H352" s="346"/>
      <c r="I352" s="250"/>
      <c r="J352" s="426"/>
      <c r="K352" s="426"/>
      <c r="L352" s="414"/>
      <c r="M352" s="414"/>
      <c r="N352" s="414"/>
      <c r="O352" s="414"/>
      <c r="P352" s="414"/>
      <c r="Q352" s="414"/>
      <c r="R352" s="414"/>
      <c r="S352" s="414"/>
      <c r="T352" s="414"/>
      <c r="U352" s="414"/>
      <c r="V352" s="414"/>
      <c r="W352" s="414"/>
      <c r="X352" s="414"/>
      <c r="Y352" s="414"/>
      <c r="Z352" s="414"/>
    </row>
    <row r="353" spans="1:26" ht="15.75" customHeight="1" x14ac:dyDescent="0.25">
      <c r="A353" s="424">
        <v>348</v>
      </c>
      <c r="B353" s="250"/>
      <c r="C353" s="250"/>
      <c r="D353" s="250"/>
      <c r="E353" s="250"/>
      <c r="F353" s="425"/>
      <c r="G353" s="425"/>
      <c r="H353" s="346"/>
      <c r="I353" s="250"/>
      <c r="J353" s="426"/>
      <c r="K353" s="426"/>
      <c r="L353" s="414"/>
      <c r="M353" s="414"/>
      <c r="N353" s="414"/>
      <c r="O353" s="414"/>
      <c r="P353" s="414"/>
      <c r="Q353" s="414"/>
      <c r="R353" s="414"/>
      <c r="S353" s="414"/>
      <c r="T353" s="414"/>
      <c r="U353" s="414"/>
      <c r="V353" s="414"/>
      <c r="W353" s="414"/>
      <c r="X353" s="414"/>
      <c r="Y353" s="414"/>
      <c r="Z353" s="414"/>
    </row>
    <row r="354" spans="1:26" ht="15.75" customHeight="1" x14ac:dyDescent="0.25">
      <c r="A354" s="424">
        <v>349</v>
      </c>
      <c r="B354" s="250"/>
      <c r="C354" s="250"/>
      <c r="D354" s="250"/>
      <c r="E354" s="250"/>
      <c r="F354" s="425"/>
      <c r="G354" s="425"/>
      <c r="H354" s="346"/>
      <c r="I354" s="250"/>
      <c r="J354" s="426"/>
      <c r="K354" s="426"/>
      <c r="L354" s="414"/>
      <c r="M354" s="414"/>
      <c r="N354" s="414"/>
      <c r="O354" s="414"/>
      <c r="P354" s="414"/>
      <c r="Q354" s="414"/>
      <c r="R354" s="414"/>
      <c r="S354" s="414"/>
      <c r="T354" s="414"/>
      <c r="U354" s="414"/>
      <c r="V354" s="414"/>
      <c r="W354" s="414"/>
      <c r="X354" s="414"/>
      <c r="Y354" s="414"/>
      <c r="Z354" s="414"/>
    </row>
    <row r="355" spans="1:26" ht="15.75" customHeight="1" x14ac:dyDescent="0.25">
      <c r="A355" s="424">
        <v>350</v>
      </c>
      <c r="B355" s="250"/>
      <c r="C355" s="250"/>
      <c r="D355" s="250"/>
      <c r="E355" s="250"/>
      <c r="F355" s="425"/>
      <c r="G355" s="425"/>
      <c r="H355" s="346"/>
      <c r="I355" s="250"/>
      <c r="J355" s="426"/>
      <c r="K355" s="426"/>
      <c r="L355" s="414"/>
      <c r="M355" s="414"/>
      <c r="N355" s="414"/>
      <c r="O355" s="414"/>
      <c r="P355" s="414"/>
      <c r="Q355" s="414"/>
      <c r="R355" s="414"/>
      <c r="S355" s="414"/>
      <c r="T355" s="414"/>
      <c r="U355" s="414"/>
      <c r="V355" s="414"/>
      <c r="W355" s="414"/>
      <c r="X355" s="414"/>
      <c r="Y355" s="414"/>
      <c r="Z355" s="414"/>
    </row>
    <row r="356" spans="1:26" ht="15.75" customHeight="1" x14ac:dyDescent="0.25">
      <c r="A356" s="424">
        <v>351</v>
      </c>
      <c r="B356" s="250"/>
      <c r="C356" s="250"/>
      <c r="D356" s="250"/>
      <c r="E356" s="250"/>
      <c r="F356" s="425"/>
      <c r="G356" s="425"/>
      <c r="H356" s="346"/>
      <c r="I356" s="250"/>
      <c r="J356" s="426"/>
      <c r="K356" s="426"/>
      <c r="L356" s="414"/>
      <c r="M356" s="414"/>
      <c r="N356" s="414"/>
      <c r="O356" s="414"/>
      <c r="P356" s="414"/>
      <c r="Q356" s="414"/>
      <c r="R356" s="414"/>
      <c r="S356" s="414"/>
      <c r="T356" s="414"/>
      <c r="U356" s="414"/>
      <c r="V356" s="414"/>
      <c r="W356" s="414"/>
      <c r="X356" s="414"/>
      <c r="Y356" s="414"/>
      <c r="Z356" s="414"/>
    </row>
    <row r="357" spans="1:26" ht="15.75" customHeight="1" x14ac:dyDescent="0.25">
      <c r="A357" s="424">
        <v>352</v>
      </c>
      <c r="B357" s="250"/>
      <c r="C357" s="250"/>
      <c r="D357" s="250"/>
      <c r="E357" s="250"/>
      <c r="F357" s="425"/>
      <c r="G357" s="425"/>
      <c r="H357" s="346"/>
      <c r="I357" s="250"/>
      <c r="J357" s="426"/>
      <c r="K357" s="426"/>
      <c r="L357" s="414"/>
      <c r="M357" s="414"/>
      <c r="N357" s="414"/>
      <c r="O357" s="414"/>
      <c r="P357" s="414"/>
      <c r="Q357" s="414"/>
      <c r="R357" s="414"/>
      <c r="S357" s="414"/>
      <c r="T357" s="414"/>
      <c r="U357" s="414"/>
      <c r="V357" s="414"/>
      <c r="W357" s="414"/>
      <c r="X357" s="414"/>
      <c r="Y357" s="414"/>
      <c r="Z357" s="414"/>
    </row>
    <row r="358" spans="1:26" ht="15.75" customHeight="1" x14ac:dyDescent="0.25">
      <c r="A358" s="424">
        <v>353</v>
      </c>
      <c r="B358" s="250"/>
      <c r="C358" s="250"/>
      <c r="D358" s="250"/>
      <c r="E358" s="250"/>
      <c r="F358" s="425"/>
      <c r="G358" s="425"/>
      <c r="H358" s="346"/>
      <c r="I358" s="250"/>
      <c r="J358" s="426"/>
      <c r="K358" s="426"/>
      <c r="L358" s="414"/>
      <c r="M358" s="414"/>
      <c r="N358" s="414"/>
      <c r="O358" s="414"/>
      <c r="P358" s="414"/>
      <c r="Q358" s="414"/>
      <c r="R358" s="414"/>
      <c r="S358" s="414"/>
      <c r="T358" s="414"/>
      <c r="U358" s="414"/>
      <c r="V358" s="414"/>
      <c r="W358" s="414"/>
      <c r="X358" s="414"/>
      <c r="Y358" s="414"/>
      <c r="Z358" s="414"/>
    </row>
    <row r="359" spans="1:26" ht="15.75" customHeight="1" x14ac:dyDescent="0.25">
      <c r="A359" s="424">
        <v>354</v>
      </c>
      <c r="B359" s="250"/>
      <c r="C359" s="250"/>
      <c r="D359" s="250"/>
      <c r="E359" s="250"/>
      <c r="F359" s="425"/>
      <c r="G359" s="425"/>
      <c r="H359" s="346"/>
      <c r="I359" s="250"/>
      <c r="J359" s="426"/>
      <c r="K359" s="426"/>
      <c r="L359" s="414"/>
      <c r="M359" s="414"/>
      <c r="N359" s="414"/>
      <c r="O359" s="414"/>
      <c r="P359" s="414"/>
      <c r="Q359" s="414"/>
      <c r="R359" s="414"/>
      <c r="S359" s="414"/>
      <c r="T359" s="414"/>
      <c r="U359" s="414"/>
      <c r="V359" s="414"/>
      <c r="W359" s="414"/>
      <c r="X359" s="414"/>
      <c r="Y359" s="414"/>
      <c r="Z359" s="414"/>
    </row>
    <row r="360" spans="1:26" ht="15.75" customHeight="1" x14ac:dyDescent="0.25">
      <c r="A360" s="424">
        <v>355</v>
      </c>
      <c r="B360" s="250"/>
      <c r="C360" s="250"/>
      <c r="D360" s="250"/>
      <c r="E360" s="250"/>
      <c r="F360" s="425"/>
      <c r="G360" s="425"/>
      <c r="H360" s="346"/>
      <c r="I360" s="250"/>
      <c r="J360" s="426"/>
      <c r="K360" s="426"/>
      <c r="L360" s="414"/>
      <c r="M360" s="414"/>
      <c r="N360" s="414"/>
      <c r="O360" s="414"/>
      <c r="P360" s="414"/>
      <c r="Q360" s="414"/>
      <c r="R360" s="414"/>
      <c r="S360" s="414"/>
      <c r="T360" s="414"/>
      <c r="U360" s="414"/>
      <c r="V360" s="414"/>
      <c r="W360" s="414"/>
      <c r="X360" s="414"/>
      <c r="Y360" s="414"/>
      <c r="Z360" s="414"/>
    </row>
    <row r="361" spans="1:26" ht="15.75" customHeight="1" x14ac:dyDescent="0.25">
      <c r="A361" s="424">
        <v>356</v>
      </c>
      <c r="B361" s="250"/>
      <c r="C361" s="250"/>
      <c r="D361" s="250"/>
      <c r="E361" s="250"/>
      <c r="F361" s="425"/>
      <c r="G361" s="425"/>
      <c r="H361" s="346"/>
      <c r="I361" s="250"/>
      <c r="J361" s="426"/>
      <c r="K361" s="426"/>
      <c r="L361" s="414"/>
      <c r="M361" s="414"/>
      <c r="N361" s="414"/>
      <c r="O361" s="414"/>
      <c r="P361" s="414"/>
      <c r="Q361" s="414"/>
      <c r="R361" s="414"/>
      <c r="S361" s="414"/>
      <c r="T361" s="414"/>
      <c r="U361" s="414"/>
      <c r="V361" s="414"/>
      <c r="W361" s="414"/>
      <c r="X361" s="414"/>
      <c r="Y361" s="414"/>
      <c r="Z361" s="414"/>
    </row>
    <row r="362" spans="1:26" ht="15.75" customHeight="1" x14ac:dyDescent="0.25">
      <c r="A362" s="424">
        <v>357</v>
      </c>
      <c r="B362" s="250"/>
      <c r="C362" s="250"/>
      <c r="D362" s="250"/>
      <c r="E362" s="250"/>
      <c r="F362" s="425"/>
      <c r="G362" s="425"/>
      <c r="H362" s="346"/>
      <c r="I362" s="250"/>
      <c r="J362" s="426"/>
      <c r="K362" s="426"/>
      <c r="L362" s="414"/>
      <c r="M362" s="414"/>
      <c r="N362" s="414"/>
      <c r="O362" s="414"/>
      <c r="P362" s="414"/>
      <c r="Q362" s="414"/>
      <c r="R362" s="414"/>
      <c r="S362" s="414"/>
      <c r="T362" s="414"/>
      <c r="U362" s="414"/>
      <c r="V362" s="414"/>
      <c r="W362" s="414"/>
      <c r="X362" s="414"/>
      <c r="Y362" s="414"/>
      <c r="Z362" s="414"/>
    </row>
    <row r="363" spans="1:26" ht="15.75" customHeight="1" x14ac:dyDescent="0.25">
      <c r="A363" s="424">
        <v>358</v>
      </c>
      <c r="B363" s="250"/>
      <c r="C363" s="250"/>
      <c r="D363" s="250"/>
      <c r="E363" s="250"/>
      <c r="F363" s="425"/>
      <c r="G363" s="425"/>
      <c r="H363" s="346"/>
      <c r="I363" s="250"/>
      <c r="J363" s="426"/>
      <c r="K363" s="426"/>
      <c r="L363" s="414"/>
      <c r="M363" s="414"/>
      <c r="N363" s="414"/>
      <c r="O363" s="414"/>
      <c r="P363" s="414"/>
      <c r="Q363" s="414"/>
      <c r="R363" s="414"/>
      <c r="S363" s="414"/>
      <c r="T363" s="414"/>
      <c r="U363" s="414"/>
      <c r="V363" s="414"/>
      <c r="W363" s="414"/>
      <c r="X363" s="414"/>
      <c r="Y363" s="414"/>
      <c r="Z363" s="414"/>
    </row>
    <row r="364" spans="1:26" ht="15.75" customHeight="1" x14ac:dyDescent="0.25">
      <c r="A364" s="424">
        <v>359</v>
      </c>
      <c r="B364" s="250"/>
      <c r="C364" s="250"/>
      <c r="D364" s="250"/>
      <c r="E364" s="250"/>
      <c r="F364" s="425"/>
      <c r="G364" s="425"/>
      <c r="H364" s="346"/>
      <c r="I364" s="250"/>
      <c r="J364" s="426"/>
      <c r="K364" s="426"/>
      <c r="L364" s="414"/>
      <c r="M364" s="414"/>
      <c r="N364" s="414"/>
      <c r="O364" s="414"/>
      <c r="P364" s="414"/>
      <c r="Q364" s="414"/>
      <c r="R364" s="414"/>
      <c r="S364" s="414"/>
      <c r="T364" s="414"/>
      <c r="U364" s="414"/>
      <c r="V364" s="414"/>
      <c r="W364" s="414"/>
      <c r="X364" s="414"/>
      <c r="Y364" s="414"/>
      <c r="Z364" s="414"/>
    </row>
    <row r="365" spans="1:26" ht="15.75" customHeight="1" x14ac:dyDescent="0.25">
      <c r="A365" s="424">
        <v>360</v>
      </c>
      <c r="B365" s="250"/>
      <c r="C365" s="250"/>
      <c r="D365" s="250"/>
      <c r="E365" s="250"/>
      <c r="F365" s="425"/>
      <c r="G365" s="425"/>
      <c r="H365" s="346"/>
      <c r="I365" s="250"/>
      <c r="J365" s="426"/>
      <c r="K365" s="426"/>
      <c r="L365" s="414"/>
      <c r="M365" s="414"/>
      <c r="N365" s="414"/>
      <c r="O365" s="414"/>
      <c r="P365" s="414"/>
      <c r="Q365" s="414"/>
      <c r="R365" s="414"/>
      <c r="S365" s="414"/>
      <c r="T365" s="414"/>
      <c r="U365" s="414"/>
      <c r="V365" s="414"/>
      <c r="W365" s="414"/>
      <c r="X365" s="414"/>
      <c r="Y365" s="414"/>
      <c r="Z365" s="414"/>
    </row>
    <row r="366" spans="1:26" ht="15.75" customHeight="1" x14ac:dyDescent="0.25">
      <c r="A366" s="424">
        <v>361</v>
      </c>
      <c r="B366" s="250"/>
      <c r="C366" s="250"/>
      <c r="D366" s="250"/>
      <c r="E366" s="250"/>
      <c r="F366" s="425"/>
      <c r="G366" s="425"/>
      <c r="H366" s="346"/>
      <c r="I366" s="250"/>
      <c r="J366" s="426"/>
      <c r="K366" s="426"/>
      <c r="L366" s="414"/>
      <c r="M366" s="414"/>
      <c r="N366" s="414"/>
      <c r="O366" s="414"/>
      <c r="P366" s="414"/>
      <c r="Q366" s="414"/>
      <c r="R366" s="414"/>
      <c r="S366" s="414"/>
      <c r="T366" s="414"/>
      <c r="U366" s="414"/>
      <c r="V366" s="414"/>
      <c r="W366" s="414"/>
      <c r="X366" s="414"/>
      <c r="Y366" s="414"/>
      <c r="Z366" s="414"/>
    </row>
    <row r="367" spans="1:26" ht="15.75" customHeight="1" x14ac:dyDescent="0.25">
      <c r="A367" s="424">
        <v>362</v>
      </c>
      <c r="B367" s="250"/>
      <c r="C367" s="250"/>
      <c r="D367" s="250"/>
      <c r="E367" s="250"/>
      <c r="F367" s="425"/>
      <c r="G367" s="425"/>
      <c r="H367" s="346"/>
      <c r="I367" s="250"/>
      <c r="J367" s="426"/>
      <c r="K367" s="426"/>
      <c r="L367" s="414"/>
      <c r="M367" s="414"/>
      <c r="N367" s="414"/>
      <c r="O367" s="414"/>
      <c r="P367" s="414"/>
      <c r="Q367" s="414"/>
      <c r="R367" s="414"/>
      <c r="S367" s="414"/>
      <c r="T367" s="414"/>
      <c r="U367" s="414"/>
      <c r="V367" s="414"/>
      <c r="W367" s="414"/>
      <c r="X367" s="414"/>
      <c r="Y367" s="414"/>
      <c r="Z367" s="414"/>
    </row>
    <row r="368" spans="1:26" ht="15.75" customHeight="1" x14ac:dyDescent="0.25">
      <c r="A368" s="424">
        <v>363</v>
      </c>
      <c r="B368" s="250"/>
      <c r="C368" s="250"/>
      <c r="D368" s="250"/>
      <c r="E368" s="250"/>
      <c r="F368" s="425"/>
      <c r="G368" s="425"/>
      <c r="H368" s="346"/>
      <c r="I368" s="250"/>
      <c r="J368" s="426"/>
      <c r="K368" s="426"/>
      <c r="L368" s="414"/>
      <c r="M368" s="414"/>
      <c r="N368" s="414"/>
      <c r="O368" s="414"/>
      <c r="P368" s="414"/>
      <c r="Q368" s="414"/>
      <c r="R368" s="414"/>
      <c r="S368" s="414"/>
      <c r="T368" s="414"/>
      <c r="U368" s="414"/>
      <c r="V368" s="414"/>
      <c r="W368" s="414"/>
      <c r="X368" s="414"/>
      <c r="Y368" s="414"/>
      <c r="Z368" s="414"/>
    </row>
    <row r="369" spans="1:26" ht="15.75" customHeight="1" x14ac:dyDescent="0.25">
      <c r="A369" s="424">
        <v>364</v>
      </c>
      <c r="B369" s="250"/>
      <c r="C369" s="250"/>
      <c r="D369" s="250"/>
      <c r="E369" s="250"/>
      <c r="F369" s="425"/>
      <c r="G369" s="425"/>
      <c r="H369" s="346"/>
      <c r="I369" s="250"/>
      <c r="J369" s="426"/>
      <c r="K369" s="426"/>
      <c r="L369" s="414"/>
      <c r="M369" s="414"/>
      <c r="N369" s="414"/>
      <c r="O369" s="414"/>
      <c r="P369" s="414"/>
      <c r="Q369" s="414"/>
      <c r="R369" s="414"/>
      <c r="S369" s="414"/>
      <c r="T369" s="414"/>
      <c r="U369" s="414"/>
      <c r="V369" s="414"/>
      <c r="W369" s="414"/>
      <c r="X369" s="414"/>
      <c r="Y369" s="414"/>
      <c r="Z369" s="414"/>
    </row>
    <row r="370" spans="1:26" ht="15.75" customHeight="1" x14ac:dyDescent="0.25">
      <c r="A370" s="424">
        <v>365</v>
      </c>
      <c r="B370" s="250"/>
      <c r="C370" s="250"/>
      <c r="D370" s="250"/>
      <c r="E370" s="250"/>
      <c r="F370" s="425"/>
      <c r="G370" s="425"/>
      <c r="H370" s="346"/>
      <c r="I370" s="250"/>
      <c r="J370" s="426"/>
      <c r="K370" s="426"/>
      <c r="L370" s="414"/>
      <c r="M370" s="414"/>
      <c r="N370" s="414"/>
      <c r="O370" s="414"/>
      <c r="P370" s="414"/>
      <c r="Q370" s="414"/>
      <c r="R370" s="414"/>
      <c r="S370" s="414"/>
      <c r="T370" s="414"/>
      <c r="U370" s="414"/>
      <c r="V370" s="414"/>
      <c r="W370" s="414"/>
      <c r="X370" s="414"/>
      <c r="Y370" s="414"/>
      <c r="Z370" s="414"/>
    </row>
    <row r="371" spans="1:26" ht="15.75" customHeight="1" x14ac:dyDescent="0.25">
      <c r="A371" s="424">
        <v>366</v>
      </c>
      <c r="B371" s="250"/>
      <c r="C371" s="250"/>
      <c r="D371" s="250"/>
      <c r="E371" s="250"/>
      <c r="F371" s="425"/>
      <c r="G371" s="425"/>
      <c r="H371" s="346"/>
      <c r="I371" s="250"/>
      <c r="J371" s="426"/>
      <c r="K371" s="426"/>
      <c r="L371" s="414"/>
      <c r="M371" s="414"/>
      <c r="N371" s="414"/>
      <c r="O371" s="414"/>
      <c r="P371" s="414"/>
      <c r="Q371" s="414"/>
      <c r="R371" s="414"/>
      <c r="S371" s="414"/>
      <c r="T371" s="414"/>
      <c r="U371" s="414"/>
      <c r="V371" s="414"/>
      <c r="W371" s="414"/>
      <c r="X371" s="414"/>
      <c r="Y371" s="414"/>
      <c r="Z371" s="414"/>
    </row>
    <row r="372" spans="1:26" ht="15.75" customHeight="1" x14ac:dyDescent="0.25">
      <c r="A372" s="424">
        <v>367</v>
      </c>
      <c r="B372" s="250"/>
      <c r="C372" s="250"/>
      <c r="D372" s="250"/>
      <c r="E372" s="250"/>
      <c r="F372" s="425"/>
      <c r="G372" s="425"/>
      <c r="H372" s="346"/>
      <c r="I372" s="250"/>
      <c r="J372" s="426"/>
      <c r="K372" s="426"/>
      <c r="L372" s="414"/>
      <c r="M372" s="414"/>
      <c r="N372" s="414"/>
      <c r="O372" s="414"/>
      <c r="P372" s="414"/>
      <c r="Q372" s="414"/>
      <c r="R372" s="414"/>
      <c r="S372" s="414"/>
      <c r="T372" s="414"/>
      <c r="U372" s="414"/>
      <c r="V372" s="414"/>
      <c r="W372" s="414"/>
      <c r="X372" s="414"/>
      <c r="Y372" s="414"/>
      <c r="Z372" s="414"/>
    </row>
    <row r="373" spans="1:26" ht="15.75" customHeight="1" x14ac:dyDescent="0.25">
      <c r="A373" s="424">
        <v>368</v>
      </c>
      <c r="B373" s="250"/>
      <c r="C373" s="250"/>
      <c r="D373" s="250"/>
      <c r="E373" s="250"/>
      <c r="F373" s="425"/>
      <c r="G373" s="425"/>
      <c r="H373" s="346"/>
      <c r="I373" s="250"/>
      <c r="J373" s="426"/>
      <c r="K373" s="426"/>
      <c r="L373" s="414"/>
      <c r="M373" s="414"/>
      <c r="N373" s="414"/>
      <c r="O373" s="414"/>
      <c r="P373" s="414"/>
      <c r="Q373" s="414"/>
      <c r="R373" s="414"/>
      <c r="S373" s="414"/>
      <c r="T373" s="414"/>
      <c r="U373" s="414"/>
      <c r="V373" s="414"/>
      <c r="W373" s="414"/>
      <c r="X373" s="414"/>
      <c r="Y373" s="414"/>
      <c r="Z373" s="414"/>
    </row>
    <row r="374" spans="1:26" ht="15.75" customHeight="1" x14ac:dyDescent="0.25">
      <c r="A374" s="424">
        <v>369</v>
      </c>
      <c r="B374" s="250"/>
      <c r="C374" s="250"/>
      <c r="D374" s="250"/>
      <c r="E374" s="250"/>
      <c r="F374" s="425"/>
      <c r="G374" s="425"/>
      <c r="H374" s="346"/>
      <c r="I374" s="250"/>
      <c r="J374" s="426"/>
      <c r="K374" s="426"/>
      <c r="L374" s="414"/>
      <c r="M374" s="414"/>
      <c r="N374" s="414"/>
      <c r="O374" s="414"/>
      <c r="P374" s="414"/>
      <c r="Q374" s="414"/>
      <c r="R374" s="414"/>
      <c r="S374" s="414"/>
      <c r="T374" s="414"/>
      <c r="U374" s="414"/>
      <c r="V374" s="414"/>
      <c r="W374" s="414"/>
      <c r="X374" s="414"/>
      <c r="Y374" s="414"/>
      <c r="Z374" s="414"/>
    </row>
    <row r="375" spans="1:26" ht="15.75" customHeight="1" x14ac:dyDescent="0.25">
      <c r="A375" s="424">
        <v>370</v>
      </c>
      <c r="B375" s="250"/>
      <c r="C375" s="250"/>
      <c r="D375" s="250"/>
      <c r="E375" s="250"/>
      <c r="F375" s="425"/>
      <c r="G375" s="425"/>
      <c r="H375" s="346"/>
      <c r="I375" s="250"/>
      <c r="J375" s="426"/>
      <c r="K375" s="426"/>
      <c r="L375" s="414"/>
      <c r="M375" s="414"/>
      <c r="N375" s="414"/>
      <c r="O375" s="414"/>
      <c r="P375" s="414"/>
      <c r="Q375" s="414"/>
      <c r="R375" s="414"/>
      <c r="S375" s="414"/>
      <c r="T375" s="414"/>
      <c r="U375" s="414"/>
      <c r="V375" s="414"/>
      <c r="W375" s="414"/>
      <c r="X375" s="414"/>
      <c r="Y375" s="414"/>
      <c r="Z375" s="414"/>
    </row>
    <row r="376" spans="1:26" ht="15.75" customHeight="1" x14ac:dyDescent="0.25">
      <c r="A376" s="424">
        <v>371</v>
      </c>
      <c r="B376" s="250"/>
      <c r="C376" s="250"/>
      <c r="D376" s="250"/>
      <c r="E376" s="250"/>
      <c r="F376" s="425"/>
      <c r="G376" s="425"/>
      <c r="H376" s="346"/>
      <c r="I376" s="250"/>
      <c r="J376" s="426"/>
      <c r="K376" s="426"/>
      <c r="L376" s="414"/>
      <c r="M376" s="414"/>
      <c r="N376" s="414"/>
      <c r="O376" s="414"/>
      <c r="P376" s="414"/>
      <c r="Q376" s="414"/>
      <c r="R376" s="414"/>
      <c r="S376" s="414"/>
      <c r="T376" s="414"/>
      <c r="U376" s="414"/>
      <c r="V376" s="414"/>
      <c r="W376" s="414"/>
      <c r="X376" s="414"/>
      <c r="Y376" s="414"/>
      <c r="Z376" s="414"/>
    </row>
    <row r="377" spans="1:26" ht="15.75" customHeight="1" x14ac:dyDescent="0.25">
      <c r="A377" s="424">
        <v>372</v>
      </c>
      <c r="B377" s="250"/>
      <c r="C377" s="250"/>
      <c r="D377" s="250"/>
      <c r="E377" s="250"/>
      <c r="F377" s="425"/>
      <c r="G377" s="425"/>
      <c r="H377" s="346"/>
      <c r="I377" s="250"/>
      <c r="J377" s="426"/>
      <c r="K377" s="426"/>
      <c r="L377" s="414"/>
      <c r="M377" s="414"/>
      <c r="N377" s="414"/>
      <c r="O377" s="414"/>
      <c r="P377" s="414"/>
      <c r="Q377" s="414"/>
      <c r="R377" s="414"/>
      <c r="S377" s="414"/>
      <c r="T377" s="414"/>
      <c r="U377" s="414"/>
      <c r="V377" s="414"/>
      <c r="W377" s="414"/>
      <c r="X377" s="414"/>
      <c r="Y377" s="414"/>
      <c r="Z377" s="414"/>
    </row>
    <row r="378" spans="1:26" ht="15.75" customHeight="1" x14ac:dyDescent="0.25">
      <c r="A378" s="424">
        <v>373</v>
      </c>
      <c r="B378" s="250"/>
      <c r="C378" s="250"/>
      <c r="D378" s="250"/>
      <c r="E378" s="250"/>
      <c r="F378" s="425"/>
      <c r="G378" s="425"/>
      <c r="H378" s="346"/>
      <c r="I378" s="250"/>
      <c r="J378" s="426"/>
      <c r="K378" s="426"/>
      <c r="L378" s="414"/>
      <c r="M378" s="414"/>
      <c r="N378" s="414"/>
      <c r="O378" s="414"/>
      <c r="P378" s="414"/>
      <c r="Q378" s="414"/>
      <c r="R378" s="414"/>
      <c r="S378" s="414"/>
      <c r="T378" s="414"/>
      <c r="U378" s="414"/>
      <c r="V378" s="414"/>
      <c r="W378" s="414"/>
      <c r="X378" s="414"/>
      <c r="Y378" s="414"/>
      <c r="Z378" s="414"/>
    </row>
    <row r="379" spans="1:26" ht="15.75" customHeight="1" x14ac:dyDescent="0.25">
      <c r="A379" s="424">
        <v>374</v>
      </c>
      <c r="B379" s="250"/>
      <c r="C379" s="250"/>
      <c r="D379" s="250"/>
      <c r="E379" s="250"/>
      <c r="F379" s="425"/>
      <c r="G379" s="425"/>
      <c r="H379" s="346"/>
      <c r="I379" s="250"/>
      <c r="J379" s="426"/>
      <c r="K379" s="426"/>
      <c r="L379" s="414"/>
      <c r="M379" s="414"/>
      <c r="N379" s="414"/>
      <c r="O379" s="414"/>
      <c r="P379" s="414"/>
      <c r="Q379" s="414"/>
      <c r="R379" s="414"/>
      <c r="S379" s="414"/>
      <c r="T379" s="414"/>
      <c r="U379" s="414"/>
      <c r="V379" s="414"/>
      <c r="W379" s="414"/>
      <c r="X379" s="414"/>
      <c r="Y379" s="414"/>
      <c r="Z379" s="414"/>
    </row>
    <row r="380" spans="1:26" ht="15.75" customHeight="1" x14ac:dyDescent="0.25">
      <c r="A380" s="424">
        <v>375</v>
      </c>
      <c r="B380" s="250"/>
      <c r="C380" s="250"/>
      <c r="D380" s="250"/>
      <c r="E380" s="250"/>
      <c r="F380" s="425"/>
      <c r="G380" s="425"/>
      <c r="H380" s="346"/>
      <c r="I380" s="250"/>
      <c r="J380" s="426"/>
      <c r="K380" s="426"/>
      <c r="L380" s="414"/>
      <c r="M380" s="414"/>
      <c r="N380" s="414"/>
      <c r="O380" s="414"/>
      <c r="P380" s="414"/>
      <c r="Q380" s="414"/>
      <c r="R380" s="414"/>
      <c r="S380" s="414"/>
      <c r="T380" s="414"/>
      <c r="U380" s="414"/>
      <c r="V380" s="414"/>
      <c r="W380" s="414"/>
      <c r="X380" s="414"/>
      <c r="Y380" s="414"/>
      <c r="Z380" s="414"/>
    </row>
    <row r="381" spans="1:26" ht="15.75" customHeight="1" x14ac:dyDescent="0.25">
      <c r="A381" s="424">
        <v>376</v>
      </c>
      <c r="B381" s="250"/>
      <c r="C381" s="250"/>
      <c r="D381" s="250"/>
      <c r="E381" s="250"/>
      <c r="F381" s="425"/>
      <c r="G381" s="425"/>
      <c r="H381" s="346"/>
      <c r="I381" s="250"/>
      <c r="J381" s="426"/>
      <c r="K381" s="426"/>
      <c r="L381" s="414"/>
      <c r="M381" s="414"/>
      <c r="N381" s="414"/>
      <c r="O381" s="414"/>
      <c r="P381" s="414"/>
      <c r="Q381" s="414"/>
      <c r="R381" s="414"/>
      <c r="S381" s="414"/>
      <c r="T381" s="414"/>
      <c r="U381" s="414"/>
      <c r="V381" s="414"/>
      <c r="W381" s="414"/>
      <c r="X381" s="414"/>
      <c r="Y381" s="414"/>
      <c r="Z381" s="414"/>
    </row>
    <row r="382" spans="1:26" ht="15.75" customHeight="1" x14ac:dyDescent="0.25">
      <c r="A382" s="424">
        <v>377</v>
      </c>
      <c r="B382" s="250"/>
      <c r="C382" s="250"/>
      <c r="D382" s="250"/>
      <c r="E382" s="250"/>
      <c r="F382" s="425"/>
      <c r="G382" s="425"/>
      <c r="H382" s="346"/>
      <c r="I382" s="250"/>
      <c r="J382" s="426"/>
      <c r="K382" s="426"/>
      <c r="L382" s="414"/>
      <c r="M382" s="414"/>
      <c r="N382" s="414"/>
      <c r="O382" s="414"/>
      <c r="P382" s="414"/>
      <c r="Q382" s="414"/>
      <c r="R382" s="414"/>
      <c r="S382" s="414"/>
      <c r="T382" s="414"/>
      <c r="U382" s="414"/>
      <c r="V382" s="414"/>
      <c r="W382" s="414"/>
      <c r="X382" s="414"/>
      <c r="Y382" s="414"/>
      <c r="Z382" s="414"/>
    </row>
    <row r="383" spans="1:26" ht="15.75" customHeight="1" x14ac:dyDescent="0.25">
      <c r="A383" s="424">
        <v>378</v>
      </c>
      <c r="B383" s="250"/>
      <c r="C383" s="250"/>
      <c r="D383" s="250"/>
      <c r="E383" s="250"/>
      <c r="F383" s="425"/>
      <c r="G383" s="425"/>
      <c r="H383" s="346"/>
      <c r="I383" s="250"/>
      <c r="J383" s="426"/>
      <c r="K383" s="426"/>
      <c r="L383" s="414"/>
      <c r="M383" s="414"/>
      <c r="N383" s="414"/>
      <c r="O383" s="414"/>
      <c r="P383" s="414"/>
      <c r="Q383" s="414"/>
      <c r="R383" s="414"/>
      <c r="S383" s="414"/>
      <c r="T383" s="414"/>
      <c r="U383" s="414"/>
      <c r="V383" s="414"/>
      <c r="W383" s="414"/>
      <c r="X383" s="414"/>
      <c r="Y383" s="414"/>
      <c r="Z383" s="414"/>
    </row>
    <row r="384" spans="1:26" ht="15.75" customHeight="1" x14ac:dyDescent="0.25">
      <c r="A384" s="424">
        <v>379</v>
      </c>
      <c r="B384" s="250"/>
      <c r="C384" s="250"/>
      <c r="D384" s="250"/>
      <c r="E384" s="250"/>
      <c r="F384" s="425"/>
      <c r="G384" s="425"/>
      <c r="H384" s="346"/>
      <c r="I384" s="250"/>
      <c r="J384" s="426"/>
      <c r="K384" s="426"/>
      <c r="L384" s="414"/>
      <c r="M384" s="414"/>
      <c r="N384" s="414"/>
      <c r="O384" s="414"/>
      <c r="P384" s="414"/>
      <c r="Q384" s="414"/>
      <c r="R384" s="414"/>
      <c r="S384" s="414"/>
      <c r="T384" s="414"/>
      <c r="U384" s="414"/>
      <c r="V384" s="414"/>
      <c r="W384" s="414"/>
      <c r="X384" s="414"/>
      <c r="Y384" s="414"/>
      <c r="Z384" s="414"/>
    </row>
    <row r="385" spans="1:26" ht="15.75" customHeight="1" x14ac:dyDescent="0.25">
      <c r="A385" s="424">
        <v>380</v>
      </c>
      <c r="B385" s="250"/>
      <c r="C385" s="250"/>
      <c r="D385" s="250"/>
      <c r="E385" s="250"/>
      <c r="F385" s="425"/>
      <c r="G385" s="425"/>
      <c r="H385" s="346"/>
      <c r="I385" s="250"/>
      <c r="J385" s="426"/>
      <c r="K385" s="426"/>
      <c r="L385" s="414"/>
      <c r="M385" s="414"/>
      <c r="N385" s="414"/>
      <c r="O385" s="414"/>
      <c r="P385" s="414"/>
      <c r="Q385" s="414"/>
      <c r="R385" s="414"/>
      <c r="S385" s="414"/>
      <c r="T385" s="414"/>
      <c r="U385" s="414"/>
      <c r="V385" s="414"/>
      <c r="W385" s="414"/>
      <c r="X385" s="414"/>
      <c r="Y385" s="414"/>
      <c r="Z385" s="414"/>
    </row>
    <row r="386" spans="1:26" ht="15.75" customHeight="1" x14ac:dyDescent="0.25">
      <c r="A386" s="424">
        <v>381</v>
      </c>
      <c r="B386" s="250"/>
      <c r="C386" s="250"/>
      <c r="D386" s="250"/>
      <c r="E386" s="250"/>
      <c r="F386" s="425"/>
      <c r="G386" s="425"/>
      <c r="H386" s="346"/>
      <c r="I386" s="250"/>
      <c r="J386" s="426"/>
      <c r="K386" s="426"/>
      <c r="L386" s="414"/>
      <c r="M386" s="414"/>
      <c r="N386" s="414"/>
      <c r="O386" s="414"/>
      <c r="P386" s="414"/>
      <c r="Q386" s="414"/>
      <c r="R386" s="414"/>
      <c r="S386" s="414"/>
      <c r="T386" s="414"/>
      <c r="U386" s="414"/>
      <c r="V386" s="414"/>
      <c r="W386" s="414"/>
      <c r="X386" s="414"/>
      <c r="Y386" s="414"/>
      <c r="Z386" s="414"/>
    </row>
    <row r="387" spans="1:26" ht="15.75" customHeight="1" x14ac:dyDescent="0.25">
      <c r="A387" s="424">
        <v>382</v>
      </c>
      <c r="B387" s="250"/>
      <c r="C387" s="250"/>
      <c r="D387" s="250"/>
      <c r="E387" s="250"/>
      <c r="F387" s="425"/>
      <c r="G387" s="425"/>
      <c r="H387" s="346"/>
      <c r="I387" s="250"/>
      <c r="J387" s="426"/>
      <c r="K387" s="426"/>
      <c r="L387" s="414"/>
      <c r="M387" s="414"/>
      <c r="N387" s="414"/>
      <c r="O387" s="414"/>
      <c r="P387" s="414"/>
      <c r="Q387" s="414"/>
      <c r="R387" s="414"/>
      <c r="S387" s="414"/>
      <c r="T387" s="414"/>
      <c r="U387" s="414"/>
      <c r="V387" s="414"/>
      <c r="W387" s="414"/>
      <c r="X387" s="414"/>
      <c r="Y387" s="414"/>
      <c r="Z387" s="414"/>
    </row>
    <row r="388" spans="1:26" ht="15.75" customHeight="1" x14ac:dyDescent="0.25">
      <c r="A388" s="424">
        <v>383</v>
      </c>
      <c r="B388" s="250"/>
      <c r="C388" s="250"/>
      <c r="D388" s="250"/>
      <c r="E388" s="250"/>
      <c r="F388" s="425"/>
      <c r="G388" s="425"/>
      <c r="H388" s="346"/>
      <c r="I388" s="250"/>
      <c r="J388" s="426"/>
      <c r="K388" s="426"/>
      <c r="L388" s="414"/>
      <c r="M388" s="414"/>
      <c r="N388" s="414"/>
      <c r="O388" s="414"/>
      <c r="P388" s="414"/>
      <c r="Q388" s="414"/>
      <c r="R388" s="414"/>
      <c r="S388" s="414"/>
      <c r="T388" s="414"/>
      <c r="U388" s="414"/>
      <c r="V388" s="414"/>
      <c r="W388" s="414"/>
      <c r="X388" s="414"/>
      <c r="Y388" s="414"/>
      <c r="Z388" s="414"/>
    </row>
    <row r="389" spans="1:26" ht="15.75" customHeight="1" x14ac:dyDescent="0.25">
      <c r="A389" s="424">
        <v>384</v>
      </c>
      <c r="B389" s="250"/>
      <c r="C389" s="250"/>
      <c r="D389" s="250"/>
      <c r="E389" s="250"/>
      <c r="F389" s="425"/>
      <c r="G389" s="425"/>
      <c r="H389" s="346"/>
      <c r="I389" s="250"/>
      <c r="J389" s="426"/>
      <c r="K389" s="426"/>
      <c r="L389" s="414"/>
      <c r="M389" s="414"/>
      <c r="N389" s="414"/>
      <c r="O389" s="414"/>
      <c r="P389" s="414"/>
      <c r="Q389" s="414"/>
      <c r="R389" s="414"/>
      <c r="S389" s="414"/>
      <c r="T389" s="414"/>
      <c r="U389" s="414"/>
      <c r="V389" s="414"/>
      <c r="W389" s="414"/>
      <c r="X389" s="414"/>
      <c r="Y389" s="414"/>
      <c r="Z389" s="414"/>
    </row>
    <row r="390" spans="1:26" ht="15.75" customHeight="1" x14ac:dyDescent="0.25">
      <c r="A390" s="424">
        <v>385</v>
      </c>
      <c r="B390" s="250"/>
      <c r="C390" s="250"/>
      <c r="D390" s="250"/>
      <c r="E390" s="250"/>
      <c r="F390" s="425"/>
      <c r="G390" s="425"/>
      <c r="H390" s="346"/>
      <c r="I390" s="250"/>
      <c r="J390" s="426"/>
      <c r="K390" s="426"/>
      <c r="L390" s="414"/>
      <c r="M390" s="414"/>
      <c r="N390" s="414"/>
      <c r="O390" s="414"/>
      <c r="P390" s="414"/>
      <c r="Q390" s="414"/>
      <c r="R390" s="414"/>
      <c r="S390" s="414"/>
      <c r="T390" s="414"/>
      <c r="U390" s="414"/>
      <c r="V390" s="414"/>
      <c r="W390" s="414"/>
      <c r="X390" s="414"/>
      <c r="Y390" s="414"/>
      <c r="Z390" s="414"/>
    </row>
    <row r="391" spans="1:26" ht="15.75" customHeight="1" x14ac:dyDescent="0.25">
      <c r="A391" s="424">
        <v>386</v>
      </c>
      <c r="B391" s="250"/>
      <c r="C391" s="250"/>
      <c r="D391" s="250"/>
      <c r="E391" s="250"/>
      <c r="F391" s="425"/>
      <c r="G391" s="425"/>
      <c r="H391" s="346"/>
      <c r="I391" s="250"/>
      <c r="J391" s="426"/>
      <c r="K391" s="426"/>
      <c r="L391" s="414"/>
      <c r="M391" s="414"/>
      <c r="N391" s="414"/>
      <c r="O391" s="414"/>
      <c r="P391" s="414"/>
      <c r="Q391" s="414"/>
      <c r="R391" s="414"/>
      <c r="S391" s="414"/>
      <c r="T391" s="414"/>
      <c r="U391" s="414"/>
      <c r="V391" s="414"/>
      <c r="W391" s="414"/>
      <c r="X391" s="414"/>
      <c r="Y391" s="414"/>
      <c r="Z391" s="414"/>
    </row>
    <row r="392" spans="1:26" ht="15.75" customHeight="1" x14ac:dyDescent="0.25">
      <c r="A392" s="424">
        <v>387</v>
      </c>
      <c r="B392" s="250"/>
      <c r="C392" s="250"/>
      <c r="D392" s="250"/>
      <c r="E392" s="250"/>
      <c r="F392" s="425"/>
      <c r="G392" s="425"/>
      <c r="H392" s="346"/>
      <c r="I392" s="250"/>
      <c r="J392" s="426"/>
      <c r="K392" s="426"/>
      <c r="L392" s="414"/>
      <c r="M392" s="414"/>
      <c r="N392" s="414"/>
      <c r="O392" s="414"/>
      <c r="P392" s="414"/>
      <c r="Q392" s="414"/>
      <c r="R392" s="414"/>
      <c r="S392" s="414"/>
      <c r="T392" s="414"/>
      <c r="U392" s="414"/>
      <c r="V392" s="414"/>
      <c r="W392" s="414"/>
      <c r="X392" s="414"/>
      <c r="Y392" s="414"/>
      <c r="Z392" s="414"/>
    </row>
    <row r="393" spans="1:26" ht="15.75" customHeight="1" x14ac:dyDescent="0.25">
      <c r="A393" s="424">
        <v>388</v>
      </c>
      <c r="B393" s="250"/>
      <c r="C393" s="250"/>
      <c r="D393" s="250"/>
      <c r="E393" s="250"/>
      <c r="F393" s="425"/>
      <c r="G393" s="425"/>
      <c r="H393" s="346"/>
      <c r="I393" s="250"/>
      <c r="J393" s="426"/>
      <c r="K393" s="426"/>
      <c r="L393" s="414"/>
      <c r="M393" s="414"/>
      <c r="N393" s="414"/>
      <c r="O393" s="414"/>
      <c r="P393" s="414"/>
      <c r="Q393" s="414"/>
      <c r="R393" s="414"/>
      <c r="S393" s="414"/>
      <c r="T393" s="414"/>
      <c r="U393" s="414"/>
      <c r="V393" s="414"/>
      <c r="W393" s="414"/>
      <c r="X393" s="414"/>
      <c r="Y393" s="414"/>
      <c r="Z393" s="414"/>
    </row>
    <row r="394" spans="1:26" ht="15.75" customHeight="1" x14ac:dyDescent="0.25">
      <c r="A394" s="424">
        <v>389</v>
      </c>
      <c r="B394" s="250"/>
      <c r="C394" s="250"/>
      <c r="D394" s="250"/>
      <c r="E394" s="250"/>
      <c r="F394" s="425"/>
      <c r="G394" s="425"/>
      <c r="H394" s="346"/>
      <c r="I394" s="250"/>
      <c r="J394" s="426"/>
      <c r="K394" s="426"/>
      <c r="L394" s="414"/>
      <c r="M394" s="414"/>
      <c r="N394" s="414"/>
      <c r="O394" s="414"/>
      <c r="P394" s="414"/>
      <c r="Q394" s="414"/>
      <c r="R394" s="414"/>
      <c r="S394" s="414"/>
      <c r="T394" s="414"/>
      <c r="U394" s="414"/>
      <c r="V394" s="414"/>
      <c r="W394" s="414"/>
      <c r="X394" s="414"/>
      <c r="Y394" s="414"/>
      <c r="Z394" s="414"/>
    </row>
    <row r="395" spans="1:26" ht="15.75" customHeight="1" x14ac:dyDescent="0.25">
      <c r="A395" s="424">
        <v>390</v>
      </c>
      <c r="B395" s="250"/>
      <c r="C395" s="250"/>
      <c r="D395" s="250"/>
      <c r="E395" s="250"/>
      <c r="F395" s="425"/>
      <c r="G395" s="425"/>
      <c r="H395" s="346"/>
      <c r="I395" s="250"/>
      <c r="J395" s="426"/>
      <c r="K395" s="426"/>
      <c r="L395" s="414"/>
      <c r="M395" s="414"/>
      <c r="N395" s="414"/>
      <c r="O395" s="414"/>
      <c r="P395" s="414"/>
      <c r="Q395" s="414"/>
      <c r="R395" s="414"/>
      <c r="S395" s="414"/>
      <c r="T395" s="414"/>
      <c r="U395" s="414"/>
      <c r="V395" s="414"/>
      <c r="W395" s="414"/>
      <c r="X395" s="414"/>
      <c r="Y395" s="414"/>
      <c r="Z395" s="414"/>
    </row>
    <row r="396" spans="1:26" ht="15.75" customHeight="1" x14ac:dyDescent="0.25">
      <c r="A396" s="424">
        <v>391</v>
      </c>
      <c r="B396" s="250"/>
      <c r="C396" s="250"/>
      <c r="D396" s="250"/>
      <c r="E396" s="250"/>
      <c r="F396" s="425"/>
      <c r="G396" s="425"/>
      <c r="H396" s="346"/>
      <c r="I396" s="250"/>
      <c r="J396" s="426"/>
      <c r="K396" s="426"/>
      <c r="L396" s="414"/>
      <c r="M396" s="414"/>
      <c r="N396" s="414"/>
      <c r="O396" s="414"/>
      <c r="P396" s="414"/>
      <c r="Q396" s="414"/>
      <c r="R396" s="414"/>
      <c r="S396" s="414"/>
      <c r="T396" s="414"/>
      <c r="U396" s="414"/>
      <c r="V396" s="414"/>
      <c r="W396" s="414"/>
      <c r="X396" s="414"/>
      <c r="Y396" s="414"/>
      <c r="Z396" s="414"/>
    </row>
    <row r="397" spans="1:26" ht="15.75" customHeight="1" x14ac:dyDescent="0.25">
      <c r="A397" s="424">
        <v>392</v>
      </c>
      <c r="B397" s="250"/>
      <c r="C397" s="250"/>
      <c r="D397" s="250"/>
      <c r="E397" s="250"/>
      <c r="F397" s="425"/>
      <c r="G397" s="425"/>
      <c r="H397" s="346"/>
      <c r="I397" s="250"/>
      <c r="J397" s="426"/>
      <c r="K397" s="426"/>
      <c r="L397" s="414"/>
      <c r="M397" s="414"/>
      <c r="N397" s="414"/>
      <c r="O397" s="414"/>
      <c r="P397" s="414"/>
      <c r="Q397" s="414"/>
      <c r="R397" s="414"/>
      <c r="S397" s="414"/>
      <c r="T397" s="414"/>
      <c r="U397" s="414"/>
      <c r="V397" s="414"/>
      <c r="W397" s="414"/>
      <c r="X397" s="414"/>
      <c r="Y397" s="414"/>
      <c r="Z397" s="414"/>
    </row>
    <row r="398" spans="1:26" ht="15.75" customHeight="1" x14ac:dyDescent="0.25">
      <c r="A398" s="424">
        <v>393</v>
      </c>
      <c r="B398" s="250"/>
      <c r="C398" s="250"/>
      <c r="D398" s="250"/>
      <c r="E398" s="250"/>
      <c r="F398" s="425"/>
      <c r="G398" s="425"/>
      <c r="H398" s="346"/>
      <c r="I398" s="250"/>
      <c r="J398" s="426"/>
      <c r="K398" s="426"/>
      <c r="L398" s="414"/>
      <c r="M398" s="414"/>
      <c r="N398" s="414"/>
      <c r="O398" s="414"/>
      <c r="P398" s="414"/>
      <c r="Q398" s="414"/>
      <c r="R398" s="414"/>
      <c r="S398" s="414"/>
      <c r="T398" s="414"/>
      <c r="U398" s="414"/>
      <c r="V398" s="414"/>
      <c r="W398" s="414"/>
      <c r="X398" s="414"/>
      <c r="Y398" s="414"/>
      <c r="Z398" s="414"/>
    </row>
    <row r="399" spans="1:26" ht="15.75" customHeight="1" x14ac:dyDescent="0.25">
      <c r="A399" s="424">
        <v>394</v>
      </c>
      <c r="B399" s="250"/>
      <c r="C399" s="250"/>
      <c r="D399" s="250"/>
      <c r="E399" s="250"/>
      <c r="F399" s="425"/>
      <c r="G399" s="425"/>
      <c r="H399" s="346"/>
      <c r="I399" s="250"/>
      <c r="J399" s="426"/>
      <c r="K399" s="426"/>
      <c r="L399" s="414"/>
      <c r="M399" s="414"/>
      <c r="N399" s="414"/>
      <c r="O399" s="414"/>
      <c r="P399" s="414"/>
      <c r="Q399" s="414"/>
      <c r="R399" s="414"/>
      <c r="S399" s="414"/>
      <c r="T399" s="414"/>
      <c r="U399" s="414"/>
      <c r="V399" s="414"/>
      <c r="W399" s="414"/>
      <c r="X399" s="414"/>
      <c r="Y399" s="414"/>
      <c r="Z399" s="414"/>
    </row>
    <row r="400" spans="1:26" ht="15.75" customHeight="1" x14ac:dyDescent="0.25">
      <c r="A400" s="424">
        <v>395</v>
      </c>
      <c r="B400" s="250"/>
      <c r="C400" s="250"/>
      <c r="D400" s="250"/>
      <c r="E400" s="250"/>
      <c r="F400" s="425"/>
      <c r="G400" s="425"/>
      <c r="H400" s="346"/>
      <c r="I400" s="250"/>
      <c r="J400" s="426"/>
      <c r="K400" s="426"/>
      <c r="L400" s="414"/>
      <c r="M400" s="414"/>
      <c r="N400" s="414"/>
      <c r="O400" s="414"/>
      <c r="P400" s="414"/>
      <c r="Q400" s="414"/>
      <c r="R400" s="414"/>
      <c r="S400" s="414"/>
      <c r="T400" s="414"/>
      <c r="U400" s="414"/>
      <c r="V400" s="414"/>
      <c r="W400" s="414"/>
      <c r="X400" s="414"/>
      <c r="Y400" s="414"/>
      <c r="Z400" s="414"/>
    </row>
    <row r="401" spans="1:26" ht="15.75" customHeight="1" x14ac:dyDescent="0.25">
      <c r="A401" s="424">
        <v>396</v>
      </c>
      <c r="B401" s="250"/>
      <c r="C401" s="250"/>
      <c r="D401" s="250"/>
      <c r="E401" s="250"/>
      <c r="F401" s="425"/>
      <c r="G401" s="425"/>
      <c r="H401" s="346"/>
      <c r="I401" s="250"/>
      <c r="J401" s="426"/>
      <c r="K401" s="426"/>
      <c r="L401" s="414"/>
      <c r="M401" s="414"/>
      <c r="N401" s="414"/>
      <c r="O401" s="414"/>
      <c r="P401" s="414"/>
      <c r="Q401" s="414"/>
      <c r="R401" s="414"/>
      <c r="S401" s="414"/>
      <c r="T401" s="414"/>
      <c r="U401" s="414"/>
      <c r="V401" s="414"/>
      <c r="W401" s="414"/>
      <c r="X401" s="414"/>
      <c r="Y401" s="414"/>
      <c r="Z401" s="414"/>
    </row>
    <row r="402" spans="1:26" ht="15.75" customHeight="1" x14ac:dyDescent="0.25">
      <c r="A402" s="424">
        <v>397</v>
      </c>
      <c r="B402" s="250"/>
      <c r="C402" s="250"/>
      <c r="D402" s="250"/>
      <c r="E402" s="250"/>
      <c r="F402" s="425"/>
      <c r="G402" s="425"/>
      <c r="H402" s="346"/>
      <c r="I402" s="250"/>
      <c r="J402" s="426"/>
      <c r="K402" s="426"/>
      <c r="L402" s="414"/>
      <c r="M402" s="414"/>
      <c r="N402" s="414"/>
      <c r="O402" s="414"/>
      <c r="P402" s="414"/>
      <c r="Q402" s="414"/>
      <c r="R402" s="414"/>
      <c r="S402" s="414"/>
      <c r="T402" s="414"/>
      <c r="U402" s="414"/>
      <c r="V402" s="414"/>
      <c r="W402" s="414"/>
      <c r="X402" s="414"/>
      <c r="Y402" s="414"/>
      <c r="Z402" s="414"/>
    </row>
    <row r="403" spans="1:26" ht="15.75" customHeight="1" x14ac:dyDescent="0.25">
      <c r="A403" s="424">
        <v>398</v>
      </c>
      <c r="B403" s="250"/>
      <c r="C403" s="250"/>
      <c r="D403" s="250"/>
      <c r="E403" s="250"/>
      <c r="F403" s="425"/>
      <c r="G403" s="425"/>
      <c r="H403" s="346"/>
      <c r="I403" s="250"/>
      <c r="J403" s="426"/>
      <c r="K403" s="426"/>
      <c r="L403" s="414"/>
      <c r="M403" s="414"/>
      <c r="N403" s="414"/>
      <c r="O403" s="414"/>
      <c r="P403" s="414"/>
      <c r="Q403" s="414"/>
      <c r="R403" s="414"/>
      <c r="S403" s="414"/>
      <c r="T403" s="414"/>
      <c r="U403" s="414"/>
      <c r="V403" s="414"/>
      <c r="W403" s="414"/>
      <c r="X403" s="414"/>
      <c r="Y403" s="414"/>
      <c r="Z403" s="414"/>
    </row>
    <row r="404" spans="1:26" ht="15.75" customHeight="1" x14ac:dyDescent="0.25">
      <c r="A404" s="424">
        <v>399</v>
      </c>
      <c r="B404" s="250"/>
      <c r="C404" s="250"/>
      <c r="D404" s="250"/>
      <c r="E404" s="250"/>
      <c r="F404" s="425"/>
      <c r="G404" s="425"/>
      <c r="H404" s="346"/>
      <c r="I404" s="250"/>
      <c r="J404" s="426"/>
      <c r="K404" s="426"/>
      <c r="L404" s="414"/>
      <c r="M404" s="414"/>
      <c r="N404" s="414"/>
      <c r="O404" s="414"/>
      <c r="P404" s="414"/>
      <c r="Q404" s="414"/>
      <c r="R404" s="414"/>
      <c r="S404" s="414"/>
      <c r="T404" s="414"/>
      <c r="U404" s="414"/>
      <c r="V404" s="414"/>
      <c r="W404" s="414"/>
      <c r="X404" s="414"/>
      <c r="Y404" s="414"/>
      <c r="Z404" s="414"/>
    </row>
    <row r="405" spans="1:26" ht="15.75" customHeight="1" x14ac:dyDescent="0.25">
      <c r="A405" s="424">
        <v>400</v>
      </c>
      <c r="B405" s="250"/>
      <c r="C405" s="250"/>
      <c r="D405" s="250"/>
      <c r="E405" s="250"/>
      <c r="F405" s="425"/>
      <c r="G405" s="425"/>
      <c r="H405" s="346"/>
      <c r="I405" s="250"/>
      <c r="J405" s="426"/>
      <c r="K405" s="426"/>
      <c r="L405" s="414"/>
      <c r="M405" s="414"/>
      <c r="N405" s="414"/>
      <c r="O405" s="414"/>
      <c r="P405" s="414"/>
      <c r="Q405" s="414"/>
      <c r="R405" s="414"/>
      <c r="S405" s="414"/>
      <c r="T405" s="414"/>
      <c r="U405" s="414"/>
      <c r="V405" s="414"/>
      <c r="W405" s="414"/>
      <c r="X405" s="414"/>
      <c r="Y405" s="414"/>
      <c r="Z405" s="414"/>
    </row>
    <row r="406" spans="1:26" ht="15.75" customHeight="1" x14ac:dyDescent="0.25">
      <c r="A406" s="424">
        <v>401</v>
      </c>
      <c r="B406" s="250"/>
      <c r="C406" s="250"/>
      <c r="D406" s="250"/>
      <c r="E406" s="250"/>
      <c r="F406" s="425"/>
      <c r="G406" s="425"/>
      <c r="H406" s="346"/>
      <c r="I406" s="250"/>
      <c r="J406" s="426"/>
      <c r="K406" s="426"/>
      <c r="L406" s="414"/>
      <c r="M406" s="414"/>
      <c r="N406" s="414"/>
      <c r="O406" s="414"/>
      <c r="P406" s="414"/>
      <c r="Q406" s="414"/>
      <c r="R406" s="414"/>
      <c r="S406" s="414"/>
      <c r="T406" s="414"/>
      <c r="U406" s="414"/>
      <c r="V406" s="414"/>
      <c r="W406" s="414"/>
      <c r="X406" s="414"/>
      <c r="Y406" s="414"/>
      <c r="Z406" s="414"/>
    </row>
    <row r="407" spans="1:26" ht="15.75" customHeight="1" x14ac:dyDescent="0.25">
      <c r="A407" s="424">
        <v>402</v>
      </c>
      <c r="B407" s="250"/>
      <c r="C407" s="250"/>
      <c r="D407" s="250"/>
      <c r="E407" s="250"/>
      <c r="F407" s="425"/>
      <c r="G407" s="425"/>
      <c r="H407" s="346"/>
      <c r="I407" s="250"/>
      <c r="J407" s="426"/>
      <c r="K407" s="426"/>
      <c r="L407" s="414"/>
      <c r="M407" s="414"/>
      <c r="N407" s="414"/>
      <c r="O407" s="414"/>
      <c r="P407" s="414"/>
      <c r="Q407" s="414"/>
      <c r="R407" s="414"/>
      <c r="S407" s="414"/>
      <c r="T407" s="414"/>
      <c r="U407" s="414"/>
      <c r="V407" s="414"/>
      <c r="W407" s="414"/>
      <c r="X407" s="414"/>
      <c r="Y407" s="414"/>
      <c r="Z407" s="414"/>
    </row>
    <row r="408" spans="1:26" ht="15.75" customHeight="1" x14ac:dyDescent="0.25">
      <c r="A408" s="424">
        <v>403</v>
      </c>
      <c r="B408" s="250"/>
      <c r="C408" s="250"/>
      <c r="D408" s="250"/>
      <c r="E408" s="250"/>
      <c r="F408" s="425"/>
      <c r="G408" s="425"/>
      <c r="H408" s="346"/>
      <c r="I408" s="250"/>
      <c r="J408" s="426"/>
      <c r="K408" s="426"/>
      <c r="L408" s="414"/>
      <c r="M408" s="414"/>
      <c r="N408" s="414"/>
      <c r="O408" s="414"/>
      <c r="P408" s="414"/>
      <c r="Q408" s="414"/>
      <c r="R408" s="414"/>
      <c r="S408" s="414"/>
      <c r="T408" s="414"/>
      <c r="U408" s="414"/>
      <c r="V408" s="414"/>
      <c r="W408" s="414"/>
      <c r="X408" s="414"/>
      <c r="Y408" s="414"/>
      <c r="Z408" s="414"/>
    </row>
    <row r="409" spans="1:26" ht="15.75" customHeight="1" x14ac:dyDescent="0.25">
      <c r="A409" s="424">
        <v>404</v>
      </c>
      <c r="B409" s="250"/>
      <c r="C409" s="250"/>
      <c r="D409" s="250"/>
      <c r="E409" s="250"/>
      <c r="F409" s="425"/>
      <c r="G409" s="425"/>
      <c r="H409" s="346"/>
      <c r="I409" s="250"/>
      <c r="J409" s="426"/>
      <c r="K409" s="426"/>
      <c r="L409" s="414"/>
      <c r="M409" s="414"/>
      <c r="N409" s="414"/>
      <c r="O409" s="414"/>
      <c r="P409" s="414"/>
      <c r="Q409" s="414"/>
      <c r="R409" s="414"/>
      <c r="S409" s="414"/>
      <c r="T409" s="414"/>
      <c r="U409" s="414"/>
      <c r="V409" s="414"/>
      <c r="W409" s="414"/>
      <c r="X409" s="414"/>
      <c r="Y409" s="414"/>
      <c r="Z409" s="414"/>
    </row>
    <row r="410" spans="1:26" ht="15.75" customHeight="1" x14ac:dyDescent="0.25">
      <c r="A410" s="424">
        <v>405</v>
      </c>
      <c r="B410" s="250"/>
      <c r="C410" s="250"/>
      <c r="D410" s="250"/>
      <c r="E410" s="250"/>
      <c r="F410" s="425"/>
      <c r="G410" s="425"/>
      <c r="H410" s="346"/>
      <c r="I410" s="250"/>
      <c r="J410" s="426"/>
      <c r="K410" s="426"/>
      <c r="L410" s="414"/>
      <c r="M410" s="414"/>
      <c r="N410" s="414"/>
      <c r="O410" s="414"/>
      <c r="P410" s="414"/>
      <c r="Q410" s="414"/>
      <c r="R410" s="414"/>
      <c r="S410" s="414"/>
      <c r="T410" s="414"/>
      <c r="U410" s="414"/>
      <c r="V410" s="414"/>
      <c r="W410" s="414"/>
      <c r="X410" s="414"/>
      <c r="Y410" s="414"/>
      <c r="Z410" s="414"/>
    </row>
    <row r="411" spans="1:26" ht="15.75" customHeight="1" x14ac:dyDescent="0.25">
      <c r="A411" s="424">
        <v>406</v>
      </c>
      <c r="B411" s="250"/>
      <c r="C411" s="250"/>
      <c r="D411" s="250"/>
      <c r="E411" s="250"/>
      <c r="F411" s="425"/>
      <c r="G411" s="425"/>
      <c r="H411" s="346"/>
      <c r="I411" s="250"/>
      <c r="J411" s="426"/>
      <c r="K411" s="426"/>
      <c r="L411" s="414"/>
      <c r="M411" s="414"/>
      <c r="N411" s="414"/>
      <c r="O411" s="414"/>
      <c r="P411" s="414"/>
      <c r="Q411" s="414"/>
      <c r="R411" s="414"/>
      <c r="S411" s="414"/>
      <c r="T411" s="414"/>
      <c r="U411" s="414"/>
      <c r="V411" s="414"/>
      <c r="W411" s="414"/>
      <c r="X411" s="414"/>
      <c r="Y411" s="414"/>
      <c r="Z411" s="414"/>
    </row>
    <row r="412" spans="1:26" ht="15.75" customHeight="1" x14ac:dyDescent="0.25">
      <c r="A412" s="424">
        <v>407</v>
      </c>
      <c r="B412" s="250"/>
      <c r="C412" s="250"/>
      <c r="D412" s="250"/>
      <c r="E412" s="250"/>
      <c r="F412" s="425"/>
      <c r="G412" s="425"/>
      <c r="H412" s="346"/>
      <c r="I412" s="250"/>
      <c r="J412" s="426"/>
      <c r="K412" s="426"/>
      <c r="L412" s="414"/>
      <c r="M412" s="414"/>
      <c r="N412" s="414"/>
      <c r="O412" s="414"/>
      <c r="P412" s="414"/>
      <c r="Q412" s="414"/>
      <c r="R412" s="414"/>
      <c r="S412" s="414"/>
      <c r="T412" s="414"/>
      <c r="U412" s="414"/>
      <c r="V412" s="414"/>
      <c r="W412" s="414"/>
      <c r="X412" s="414"/>
      <c r="Y412" s="414"/>
      <c r="Z412" s="414"/>
    </row>
    <row r="413" spans="1:26" ht="15.75" customHeight="1" x14ac:dyDescent="0.25">
      <c r="A413" s="424">
        <v>408</v>
      </c>
      <c r="B413" s="250"/>
      <c r="C413" s="250"/>
      <c r="D413" s="250"/>
      <c r="E413" s="250"/>
      <c r="F413" s="425"/>
      <c r="G413" s="425"/>
      <c r="H413" s="346"/>
      <c r="I413" s="250"/>
      <c r="J413" s="426"/>
      <c r="K413" s="426"/>
      <c r="L413" s="414"/>
      <c r="M413" s="414"/>
      <c r="N413" s="414"/>
      <c r="O413" s="414"/>
      <c r="P413" s="414"/>
      <c r="Q413" s="414"/>
      <c r="R413" s="414"/>
      <c r="S413" s="414"/>
      <c r="T413" s="414"/>
      <c r="U413" s="414"/>
      <c r="V413" s="414"/>
      <c r="W413" s="414"/>
      <c r="X413" s="414"/>
      <c r="Y413" s="414"/>
      <c r="Z413" s="414"/>
    </row>
    <row r="414" spans="1:26" ht="15.75" customHeight="1" x14ac:dyDescent="0.25">
      <c r="A414" s="424">
        <v>409</v>
      </c>
      <c r="B414" s="250"/>
      <c r="C414" s="250"/>
      <c r="D414" s="250"/>
      <c r="E414" s="250"/>
      <c r="F414" s="425"/>
      <c r="G414" s="425"/>
      <c r="H414" s="346"/>
      <c r="I414" s="250"/>
      <c r="J414" s="426"/>
      <c r="K414" s="426"/>
      <c r="L414" s="414"/>
      <c r="M414" s="414"/>
      <c r="N414" s="414"/>
      <c r="O414" s="414"/>
      <c r="P414" s="414"/>
      <c r="Q414" s="414"/>
      <c r="R414" s="414"/>
      <c r="S414" s="414"/>
      <c r="T414" s="414"/>
      <c r="U414" s="414"/>
      <c r="V414" s="414"/>
      <c r="W414" s="414"/>
      <c r="X414" s="414"/>
      <c r="Y414" s="414"/>
      <c r="Z414" s="414"/>
    </row>
    <row r="415" spans="1:26" ht="15.75" customHeight="1" x14ac:dyDescent="0.25">
      <c r="A415" s="424">
        <v>410</v>
      </c>
      <c r="B415" s="250"/>
      <c r="C415" s="250"/>
      <c r="D415" s="250"/>
      <c r="E415" s="250"/>
      <c r="F415" s="425"/>
      <c r="G415" s="425"/>
      <c r="H415" s="346"/>
      <c r="I415" s="250"/>
      <c r="J415" s="426"/>
      <c r="K415" s="426"/>
      <c r="L415" s="414"/>
      <c r="M415" s="414"/>
      <c r="N415" s="414"/>
      <c r="O415" s="414"/>
      <c r="P415" s="414"/>
      <c r="Q415" s="414"/>
      <c r="R415" s="414"/>
      <c r="S415" s="414"/>
      <c r="T415" s="414"/>
      <c r="U415" s="414"/>
      <c r="V415" s="414"/>
      <c r="W415" s="414"/>
      <c r="X415" s="414"/>
      <c r="Y415" s="414"/>
      <c r="Z415" s="414"/>
    </row>
    <row r="416" spans="1:26" ht="15.75" customHeight="1" x14ac:dyDescent="0.25">
      <c r="A416" s="424">
        <v>411</v>
      </c>
      <c r="B416" s="250"/>
      <c r="C416" s="250"/>
      <c r="D416" s="250"/>
      <c r="E416" s="250"/>
      <c r="F416" s="425"/>
      <c r="G416" s="425"/>
      <c r="H416" s="346"/>
      <c r="I416" s="250"/>
      <c r="J416" s="426"/>
      <c r="K416" s="426"/>
      <c r="L416" s="414"/>
      <c r="M416" s="414"/>
      <c r="N416" s="414"/>
      <c r="O416" s="414"/>
      <c r="P416" s="414"/>
      <c r="Q416" s="414"/>
      <c r="R416" s="414"/>
      <c r="S416" s="414"/>
      <c r="T416" s="414"/>
      <c r="U416" s="414"/>
      <c r="V416" s="414"/>
      <c r="W416" s="414"/>
      <c r="X416" s="414"/>
      <c r="Y416" s="414"/>
      <c r="Z416" s="414"/>
    </row>
    <row r="417" spans="1:26" ht="15.75" customHeight="1" x14ac:dyDescent="0.25">
      <c r="A417" s="424">
        <v>412</v>
      </c>
      <c r="B417" s="250"/>
      <c r="C417" s="250"/>
      <c r="D417" s="250"/>
      <c r="E417" s="250"/>
      <c r="F417" s="425"/>
      <c r="G417" s="425"/>
      <c r="H417" s="346"/>
      <c r="I417" s="250"/>
      <c r="J417" s="426"/>
      <c r="K417" s="426"/>
      <c r="L417" s="414"/>
      <c r="M417" s="414"/>
      <c r="N417" s="414"/>
      <c r="O417" s="414"/>
      <c r="P417" s="414"/>
      <c r="Q417" s="414"/>
      <c r="R417" s="414"/>
      <c r="S417" s="414"/>
      <c r="T417" s="414"/>
      <c r="U417" s="414"/>
      <c r="V417" s="414"/>
      <c r="W417" s="414"/>
      <c r="X417" s="414"/>
      <c r="Y417" s="414"/>
      <c r="Z417" s="414"/>
    </row>
    <row r="418" spans="1:26" ht="15.75" customHeight="1" x14ac:dyDescent="0.25">
      <c r="A418" s="424">
        <v>413</v>
      </c>
      <c r="B418" s="250"/>
      <c r="C418" s="250"/>
      <c r="D418" s="250"/>
      <c r="E418" s="250"/>
      <c r="F418" s="425"/>
      <c r="G418" s="425"/>
      <c r="H418" s="346"/>
      <c r="I418" s="250"/>
      <c r="J418" s="426"/>
      <c r="K418" s="426"/>
      <c r="L418" s="414"/>
      <c r="M418" s="414"/>
      <c r="N418" s="414"/>
      <c r="O418" s="414"/>
      <c r="P418" s="414"/>
      <c r="Q418" s="414"/>
      <c r="R418" s="414"/>
      <c r="S418" s="414"/>
      <c r="T418" s="414"/>
      <c r="U418" s="414"/>
      <c r="V418" s="414"/>
      <c r="W418" s="414"/>
      <c r="X418" s="414"/>
      <c r="Y418" s="414"/>
      <c r="Z418" s="414"/>
    </row>
    <row r="419" spans="1:26" ht="15.75" customHeight="1" x14ac:dyDescent="0.25">
      <c r="A419" s="424">
        <v>414</v>
      </c>
      <c r="B419" s="250"/>
      <c r="C419" s="250"/>
      <c r="D419" s="250"/>
      <c r="E419" s="250"/>
      <c r="F419" s="425"/>
      <c r="G419" s="425"/>
      <c r="H419" s="346"/>
      <c r="I419" s="250"/>
      <c r="J419" s="426"/>
      <c r="K419" s="426"/>
      <c r="L419" s="414"/>
      <c r="M419" s="414"/>
      <c r="N419" s="414"/>
      <c r="O419" s="414"/>
      <c r="P419" s="414"/>
      <c r="Q419" s="414"/>
      <c r="R419" s="414"/>
      <c r="S419" s="414"/>
      <c r="T419" s="414"/>
      <c r="U419" s="414"/>
      <c r="V419" s="414"/>
      <c r="W419" s="414"/>
      <c r="X419" s="414"/>
      <c r="Y419" s="414"/>
      <c r="Z419" s="414"/>
    </row>
    <row r="420" spans="1:26" ht="15.75" customHeight="1" x14ac:dyDescent="0.25">
      <c r="A420" s="424">
        <v>415</v>
      </c>
      <c r="B420" s="250"/>
      <c r="C420" s="250"/>
      <c r="D420" s="250"/>
      <c r="E420" s="250"/>
      <c r="F420" s="425"/>
      <c r="G420" s="425"/>
      <c r="H420" s="346"/>
      <c r="I420" s="250"/>
      <c r="J420" s="426"/>
      <c r="K420" s="426"/>
      <c r="L420" s="414"/>
      <c r="M420" s="414"/>
      <c r="N420" s="414"/>
      <c r="O420" s="414"/>
      <c r="P420" s="414"/>
      <c r="Q420" s="414"/>
      <c r="R420" s="414"/>
      <c r="S420" s="414"/>
      <c r="T420" s="414"/>
      <c r="U420" s="414"/>
      <c r="V420" s="414"/>
      <c r="W420" s="414"/>
      <c r="X420" s="414"/>
      <c r="Y420" s="414"/>
      <c r="Z420" s="414"/>
    </row>
    <row r="421" spans="1:26" ht="15.75" customHeight="1" x14ac:dyDescent="0.25">
      <c r="A421" s="424">
        <v>416</v>
      </c>
      <c r="B421" s="250"/>
      <c r="C421" s="250"/>
      <c r="D421" s="250"/>
      <c r="E421" s="250"/>
      <c r="F421" s="425"/>
      <c r="G421" s="425"/>
      <c r="H421" s="346"/>
      <c r="I421" s="250"/>
      <c r="J421" s="426"/>
      <c r="K421" s="426"/>
      <c r="L421" s="414"/>
      <c r="M421" s="414"/>
      <c r="N421" s="414"/>
      <c r="O421" s="414"/>
      <c r="P421" s="414"/>
      <c r="Q421" s="414"/>
      <c r="R421" s="414"/>
      <c r="S421" s="414"/>
      <c r="T421" s="414"/>
      <c r="U421" s="414"/>
      <c r="V421" s="414"/>
      <c r="W421" s="414"/>
      <c r="X421" s="414"/>
      <c r="Y421" s="414"/>
      <c r="Z421" s="414"/>
    </row>
    <row r="422" spans="1:26" ht="15.75" customHeight="1" x14ac:dyDescent="0.25">
      <c r="A422" s="424">
        <v>417</v>
      </c>
      <c r="B422" s="250"/>
      <c r="C422" s="250"/>
      <c r="D422" s="250"/>
      <c r="E422" s="250"/>
      <c r="F422" s="425"/>
      <c r="G422" s="425"/>
      <c r="H422" s="346"/>
      <c r="I422" s="250"/>
      <c r="J422" s="426"/>
      <c r="K422" s="426"/>
      <c r="L422" s="414"/>
      <c r="M422" s="414"/>
      <c r="N422" s="414"/>
      <c r="O422" s="414"/>
      <c r="P422" s="414"/>
      <c r="Q422" s="414"/>
      <c r="R422" s="414"/>
      <c r="S422" s="414"/>
      <c r="T422" s="414"/>
      <c r="U422" s="414"/>
      <c r="V422" s="414"/>
      <c r="W422" s="414"/>
      <c r="X422" s="414"/>
      <c r="Y422" s="414"/>
      <c r="Z422" s="414"/>
    </row>
    <row r="423" spans="1:26" ht="15.75" customHeight="1" x14ac:dyDescent="0.25">
      <c r="A423" s="424">
        <v>418</v>
      </c>
      <c r="B423" s="250"/>
      <c r="C423" s="250"/>
      <c r="D423" s="250"/>
      <c r="E423" s="250"/>
      <c r="F423" s="425"/>
      <c r="G423" s="425"/>
      <c r="H423" s="346"/>
      <c r="I423" s="250"/>
      <c r="J423" s="426"/>
      <c r="K423" s="426"/>
      <c r="L423" s="414"/>
      <c r="M423" s="414"/>
      <c r="N423" s="414"/>
      <c r="O423" s="414"/>
      <c r="P423" s="414"/>
      <c r="Q423" s="414"/>
      <c r="R423" s="414"/>
      <c r="S423" s="414"/>
      <c r="T423" s="414"/>
      <c r="U423" s="414"/>
      <c r="V423" s="414"/>
      <c r="W423" s="414"/>
      <c r="X423" s="414"/>
      <c r="Y423" s="414"/>
      <c r="Z423" s="414"/>
    </row>
    <row r="424" spans="1:26" ht="15.75" customHeight="1" x14ac:dyDescent="0.25">
      <c r="A424" s="424">
        <v>419</v>
      </c>
      <c r="B424" s="250"/>
      <c r="C424" s="250"/>
      <c r="D424" s="250"/>
      <c r="E424" s="250"/>
      <c r="F424" s="425"/>
      <c r="G424" s="425"/>
      <c r="H424" s="346"/>
      <c r="I424" s="250"/>
      <c r="J424" s="426"/>
      <c r="K424" s="426"/>
      <c r="L424" s="414"/>
      <c r="M424" s="414"/>
      <c r="N424" s="414"/>
      <c r="O424" s="414"/>
      <c r="P424" s="414"/>
      <c r="Q424" s="414"/>
      <c r="R424" s="414"/>
      <c r="S424" s="414"/>
      <c r="T424" s="414"/>
      <c r="U424" s="414"/>
      <c r="V424" s="414"/>
      <c r="W424" s="414"/>
      <c r="X424" s="414"/>
      <c r="Y424" s="414"/>
      <c r="Z424" s="414"/>
    </row>
    <row r="425" spans="1:26" ht="15.75" customHeight="1" x14ac:dyDescent="0.25">
      <c r="A425" s="424">
        <v>420</v>
      </c>
      <c r="B425" s="250"/>
      <c r="C425" s="250"/>
      <c r="D425" s="250"/>
      <c r="E425" s="250"/>
      <c r="F425" s="425"/>
      <c r="G425" s="425"/>
      <c r="H425" s="346"/>
      <c r="I425" s="250"/>
      <c r="J425" s="426"/>
      <c r="K425" s="426"/>
      <c r="L425" s="414"/>
      <c r="M425" s="414"/>
      <c r="N425" s="414"/>
      <c r="O425" s="414"/>
      <c r="P425" s="414"/>
      <c r="Q425" s="414"/>
      <c r="R425" s="414"/>
      <c r="S425" s="414"/>
      <c r="T425" s="414"/>
      <c r="U425" s="414"/>
      <c r="V425" s="414"/>
      <c r="W425" s="414"/>
      <c r="X425" s="414"/>
      <c r="Y425" s="414"/>
      <c r="Z425" s="414"/>
    </row>
    <row r="426" spans="1:26" ht="15.75" customHeight="1" x14ac:dyDescent="0.25">
      <c r="A426" s="424">
        <v>421</v>
      </c>
      <c r="B426" s="250"/>
      <c r="C426" s="250"/>
      <c r="D426" s="250"/>
      <c r="E426" s="250"/>
      <c r="F426" s="425"/>
      <c r="G426" s="425"/>
      <c r="H426" s="346"/>
      <c r="I426" s="250"/>
      <c r="J426" s="426"/>
      <c r="K426" s="426"/>
      <c r="L426" s="414"/>
      <c r="M426" s="414"/>
      <c r="N426" s="414"/>
      <c r="O426" s="414"/>
      <c r="P426" s="414"/>
      <c r="Q426" s="414"/>
      <c r="R426" s="414"/>
      <c r="S426" s="414"/>
      <c r="T426" s="414"/>
      <c r="U426" s="414"/>
      <c r="V426" s="414"/>
      <c r="W426" s="414"/>
      <c r="X426" s="414"/>
      <c r="Y426" s="414"/>
      <c r="Z426" s="414"/>
    </row>
    <row r="427" spans="1:26" ht="15.75" customHeight="1" x14ac:dyDescent="0.25">
      <c r="A427" s="424">
        <v>422</v>
      </c>
      <c r="B427" s="250"/>
      <c r="C427" s="250"/>
      <c r="D427" s="250"/>
      <c r="E427" s="250"/>
      <c r="F427" s="425"/>
      <c r="G427" s="425"/>
      <c r="H427" s="346"/>
      <c r="I427" s="250"/>
      <c r="J427" s="426"/>
      <c r="K427" s="426"/>
      <c r="L427" s="414"/>
      <c r="M427" s="414"/>
      <c r="N427" s="414"/>
      <c r="O427" s="414"/>
      <c r="P427" s="414"/>
      <c r="Q427" s="414"/>
      <c r="R427" s="414"/>
      <c r="S427" s="414"/>
      <c r="T427" s="414"/>
      <c r="U427" s="414"/>
      <c r="V427" s="414"/>
      <c r="W427" s="414"/>
      <c r="X427" s="414"/>
      <c r="Y427" s="414"/>
      <c r="Z427" s="414"/>
    </row>
    <row r="428" spans="1:26" ht="15.75" customHeight="1" x14ac:dyDescent="0.25">
      <c r="A428" s="424">
        <v>423</v>
      </c>
      <c r="B428" s="250"/>
      <c r="C428" s="250"/>
      <c r="D428" s="250"/>
      <c r="E428" s="250"/>
      <c r="F428" s="425"/>
      <c r="G428" s="425"/>
      <c r="H428" s="346"/>
      <c r="I428" s="250"/>
      <c r="J428" s="426"/>
      <c r="K428" s="426"/>
      <c r="L428" s="414"/>
      <c r="M428" s="414"/>
      <c r="N428" s="414"/>
      <c r="O428" s="414"/>
      <c r="P428" s="414"/>
      <c r="Q428" s="414"/>
      <c r="R428" s="414"/>
      <c r="S428" s="414"/>
      <c r="T428" s="414"/>
      <c r="U428" s="414"/>
      <c r="V428" s="414"/>
      <c r="W428" s="414"/>
      <c r="X428" s="414"/>
      <c r="Y428" s="414"/>
      <c r="Z428" s="414"/>
    </row>
    <row r="429" spans="1:26" ht="15.75" customHeight="1" x14ac:dyDescent="0.25">
      <c r="A429" s="424">
        <v>424</v>
      </c>
      <c r="B429" s="250"/>
      <c r="C429" s="250"/>
      <c r="D429" s="250"/>
      <c r="E429" s="250"/>
      <c r="F429" s="425"/>
      <c r="G429" s="425"/>
      <c r="H429" s="346"/>
      <c r="I429" s="250"/>
      <c r="J429" s="426"/>
      <c r="K429" s="426"/>
      <c r="L429" s="414"/>
      <c r="M429" s="414"/>
      <c r="N429" s="414"/>
      <c r="O429" s="414"/>
      <c r="P429" s="414"/>
      <c r="Q429" s="414"/>
      <c r="R429" s="414"/>
      <c r="S429" s="414"/>
      <c r="T429" s="414"/>
      <c r="U429" s="414"/>
      <c r="V429" s="414"/>
      <c r="W429" s="414"/>
      <c r="X429" s="414"/>
      <c r="Y429" s="414"/>
      <c r="Z429" s="414"/>
    </row>
    <row r="430" spans="1:26" ht="15.75" customHeight="1" x14ac:dyDescent="0.25">
      <c r="A430" s="424">
        <v>425</v>
      </c>
      <c r="B430" s="250"/>
      <c r="C430" s="250"/>
      <c r="D430" s="250"/>
      <c r="E430" s="250"/>
      <c r="F430" s="425"/>
      <c r="G430" s="425"/>
      <c r="H430" s="346"/>
      <c r="I430" s="250"/>
      <c r="J430" s="426"/>
      <c r="K430" s="426"/>
      <c r="L430" s="414"/>
      <c r="M430" s="414"/>
      <c r="N430" s="414"/>
      <c r="O430" s="414"/>
      <c r="P430" s="414"/>
      <c r="Q430" s="414"/>
      <c r="R430" s="414"/>
      <c r="S430" s="414"/>
      <c r="T430" s="414"/>
      <c r="U430" s="414"/>
      <c r="V430" s="414"/>
      <c r="W430" s="414"/>
      <c r="X430" s="414"/>
      <c r="Y430" s="414"/>
      <c r="Z430" s="414"/>
    </row>
    <row r="431" spans="1:26" ht="15.75" customHeight="1" x14ac:dyDescent="0.25">
      <c r="A431" s="424">
        <v>426</v>
      </c>
      <c r="B431" s="250"/>
      <c r="C431" s="250"/>
      <c r="D431" s="250"/>
      <c r="E431" s="250"/>
      <c r="F431" s="425"/>
      <c r="G431" s="425"/>
      <c r="H431" s="346"/>
      <c r="I431" s="250"/>
      <c r="J431" s="426"/>
      <c r="K431" s="426"/>
      <c r="L431" s="414"/>
      <c r="M431" s="414"/>
      <c r="N431" s="414"/>
      <c r="O431" s="414"/>
      <c r="P431" s="414"/>
      <c r="Q431" s="414"/>
      <c r="R431" s="414"/>
      <c r="S431" s="414"/>
      <c r="T431" s="414"/>
      <c r="U431" s="414"/>
      <c r="V431" s="414"/>
      <c r="W431" s="414"/>
      <c r="X431" s="414"/>
      <c r="Y431" s="414"/>
      <c r="Z431" s="414"/>
    </row>
    <row r="432" spans="1:26" ht="15.75" customHeight="1" x14ac:dyDescent="0.25">
      <c r="A432" s="424">
        <v>427</v>
      </c>
      <c r="B432" s="250"/>
      <c r="C432" s="250"/>
      <c r="D432" s="250"/>
      <c r="E432" s="250"/>
      <c r="F432" s="425"/>
      <c r="G432" s="425"/>
      <c r="H432" s="346"/>
      <c r="I432" s="250"/>
      <c r="J432" s="426"/>
      <c r="K432" s="426"/>
      <c r="L432" s="414"/>
      <c r="M432" s="414"/>
      <c r="N432" s="414"/>
      <c r="O432" s="414"/>
      <c r="P432" s="414"/>
      <c r="Q432" s="414"/>
      <c r="R432" s="414"/>
      <c r="S432" s="414"/>
      <c r="T432" s="414"/>
      <c r="U432" s="414"/>
      <c r="V432" s="414"/>
      <c r="W432" s="414"/>
      <c r="X432" s="414"/>
      <c r="Y432" s="414"/>
      <c r="Z432" s="414"/>
    </row>
    <row r="433" spans="1:26" ht="15.75" customHeight="1" x14ac:dyDescent="0.25">
      <c r="A433" s="424">
        <v>428</v>
      </c>
      <c r="B433" s="250"/>
      <c r="C433" s="250"/>
      <c r="D433" s="250"/>
      <c r="E433" s="250"/>
      <c r="F433" s="425"/>
      <c r="G433" s="425"/>
      <c r="H433" s="346"/>
      <c r="I433" s="250"/>
      <c r="J433" s="426"/>
      <c r="K433" s="426"/>
      <c r="L433" s="414"/>
      <c r="M433" s="414"/>
      <c r="N433" s="414"/>
      <c r="O433" s="414"/>
      <c r="P433" s="414"/>
      <c r="Q433" s="414"/>
      <c r="R433" s="414"/>
      <c r="S433" s="414"/>
      <c r="T433" s="414"/>
      <c r="U433" s="414"/>
      <c r="V433" s="414"/>
      <c r="W433" s="414"/>
      <c r="X433" s="414"/>
      <c r="Y433" s="414"/>
      <c r="Z433" s="414"/>
    </row>
    <row r="434" spans="1:26" ht="15.75" customHeight="1" x14ac:dyDescent="0.25">
      <c r="A434" s="424">
        <v>429</v>
      </c>
      <c r="B434" s="250"/>
      <c r="C434" s="250"/>
      <c r="D434" s="250"/>
      <c r="E434" s="250"/>
      <c r="F434" s="425"/>
      <c r="G434" s="425"/>
      <c r="H434" s="346"/>
      <c r="I434" s="250"/>
      <c r="J434" s="426"/>
      <c r="K434" s="426"/>
      <c r="L434" s="414"/>
      <c r="M434" s="414"/>
      <c r="N434" s="414"/>
      <c r="O434" s="414"/>
      <c r="P434" s="414"/>
      <c r="Q434" s="414"/>
      <c r="R434" s="414"/>
      <c r="S434" s="414"/>
      <c r="T434" s="414"/>
      <c r="U434" s="414"/>
      <c r="V434" s="414"/>
      <c r="W434" s="414"/>
      <c r="X434" s="414"/>
      <c r="Y434" s="414"/>
      <c r="Z434" s="414"/>
    </row>
    <row r="435" spans="1:26" ht="15.75" customHeight="1" x14ac:dyDescent="0.25">
      <c r="A435" s="424">
        <v>430</v>
      </c>
      <c r="B435" s="250"/>
      <c r="C435" s="250"/>
      <c r="D435" s="250"/>
      <c r="E435" s="250"/>
      <c r="F435" s="425"/>
      <c r="G435" s="425"/>
      <c r="H435" s="346"/>
      <c r="I435" s="250"/>
      <c r="J435" s="426"/>
      <c r="K435" s="426"/>
      <c r="L435" s="414"/>
      <c r="M435" s="414"/>
      <c r="N435" s="414"/>
      <c r="O435" s="414"/>
      <c r="P435" s="414"/>
      <c r="Q435" s="414"/>
      <c r="R435" s="414"/>
      <c r="S435" s="414"/>
      <c r="T435" s="414"/>
      <c r="U435" s="414"/>
      <c r="V435" s="414"/>
      <c r="W435" s="414"/>
      <c r="X435" s="414"/>
      <c r="Y435" s="414"/>
      <c r="Z435" s="414"/>
    </row>
    <row r="436" spans="1:26" ht="15.75" customHeight="1" x14ac:dyDescent="0.25">
      <c r="A436" s="424">
        <v>431</v>
      </c>
      <c r="B436" s="250"/>
      <c r="C436" s="250"/>
      <c r="D436" s="250"/>
      <c r="E436" s="250"/>
      <c r="F436" s="425"/>
      <c r="G436" s="425"/>
      <c r="H436" s="346"/>
      <c r="I436" s="250"/>
      <c r="J436" s="426"/>
      <c r="K436" s="426"/>
      <c r="L436" s="414"/>
      <c r="M436" s="414"/>
      <c r="N436" s="414"/>
      <c r="O436" s="414"/>
      <c r="P436" s="414"/>
      <c r="Q436" s="414"/>
      <c r="R436" s="414"/>
      <c r="S436" s="414"/>
      <c r="T436" s="414"/>
      <c r="U436" s="414"/>
      <c r="V436" s="414"/>
      <c r="W436" s="414"/>
      <c r="X436" s="414"/>
      <c r="Y436" s="414"/>
      <c r="Z436" s="414"/>
    </row>
    <row r="437" spans="1:26" ht="15.75" customHeight="1" x14ac:dyDescent="0.25">
      <c r="A437" s="424">
        <v>432</v>
      </c>
      <c r="B437" s="250"/>
      <c r="C437" s="250"/>
      <c r="D437" s="250"/>
      <c r="E437" s="250"/>
      <c r="F437" s="425"/>
      <c r="G437" s="425"/>
      <c r="H437" s="346"/>
      <c r="I437" s="250"/>
      <c r="J437" s="426"/>
      <c r="K437" s="426"/>
      <c r="L437" s="414"/>
      <c r="M437" s="414"/>
      <c r="N437" s="414"/>
      <c r="O437" s="414"/>
      <c r="P437" s="414"/>
      <c r="Q437" s="414"/>
      <c r="R437" s="414"/>
      <c r="S437" s="414"/>
      <c r="T437" s="414"/>
      <c r="U437" s="414"/>
      <c r="V437" s="414"/>
      <c r="W437" s="414"/>
      <c r="X437" s="414"/>
      <c r="Y437" s="414"/>
      <c r="Z437" s="414"/>
    </row>
    <row r="438" spans="1:26" ht="15.75" customHeight="1" x14ac:dyDescent="0.25">
      <c r="A438" s="424">
        <v>433</v>
      </c>
      <c r="B438" s="250"/>
      <c r="C438" s="250"/>
      <c r="D438" s="250"/>
      <c r="E438" s="250"/>
      <c r="F438" s="425"/>
      <c r="G438" s="425"/>
      <c r="H438" s="346"/>
      <c r="I438" s="250"/>
      <c r="J438" s="426"/>
      <c r="K438" s="426"/>
      <c r="L438" s="414"/>
      <c r="M438" s="414"/>
      <c r="N438" s="414"/>
      <c r="O438" s="414"/>
      <c r="P438" s="414"/>
      <c r="Q438" s="414"/>
      <c r="R438" s="414"/>
      <c r="S438" s="414"/>
      <c r="T438" s="414"/>
      <c r="U438" s="414"/>
      <c r="V438" s="414"/>
      <c r="W438" s="414"/>
      <c r="X438" s="414"/>
      <c r="Y438" s="414"/>
      <c r="Z438" s="414"/>
    </row>
    <row r="439" spans="1:26" ht="15.75" customHeight="1" x14ac:dyDescent="0.25">
      <c r="A439" s="424">
        <v>434</v>
      </c>
      <c r="B439" s="250"/>
      <c r="C439" s="250"/>
      <c r="D439" s="250"/>
      <c r="E439" s="250"/>
      <c r="F439" s="425"/>
      <c r="G439" s="425"/>
      <c r="H439" s="346"/>
      <c r="I439" s="250"/>
      <c r="J439" s="426"/>
      <c r="K439" s="426"/>
      <c r="L439" s="414"/>
      <c r="M439" s="414"/>
      <c r="N439" s="414"/>
      <c r="O439" s="414"/>
      <c r="P439" s="414"/>
      <c r="Q439" s="414"/>
      <c r="R439" s="414"/>
      <c r="S439" s="414"/>
      <c r="T439" s="414"/>
      <c r="U439" s="414"/>
      <c r="V439" s="414"/>
      <c r="W439" s="414"/>
      <c r="X439" s="414"/>
      <c r="Y439" s="414"/>
      <c r="Z439" s="414"/>
    </row>
    <row r="440" spans="1:26" ht="15.75" customHeight="1" x14ac:dyDescent="0.25">
      <c r="A440" s="424">
        <v>435</v>
      </c>
      <c r="B440" s="250"/>
      <c r="C440" s="250"/>
      <c r="D440" s="250"/>
      <c r="E440" s="250"/>
      <c r="F440" s="425"/>
      <c r="G440" s="425"/>
      <c r="H440" s="346"/>
      <c r="I440" s="250"/>
      <c r="J440" s="426"/>
      <c r="K440" s="426"/>
      <c r="L440" s="414"/>
      <c r="M440" s="414"/>
      <c r="N440" s="414"/>
      <c r="O440" s="414"/>
      <c r="P440" s="414"/>
      <c r="Q440" s="414"/>
      <c r="R440" s="414"/>
      <c r="S440" s="414"/>
      <c r="T440" s="414"/>
      <c r="U440" s="414"/>
      <c r="V440" s="414"/>
      <c r="W440" s="414"/>
      <c r="X440" s="414"/>
      <c r="Y440" s="414"/>
      <c r="Z440" s="414"/>
    </row>
    <row r="441" spans="1:26" ht="15.75" customHeight="1" x14ac:dyDescent="0.25">
      <c r="A441" s="424">
        <v>436</v>
      </c>
      <c r="B441" s="250"/>
      <c r="C441" s="250"/>
      <c r="D441" s="250"/>
      <c r="E441" s="250"/>
      <c r="F441" s="425"/>
      <c r="G441" s="425"/>
      <c r="H441" s="346"/>
      <c r="I441" s="250"/>
      <c r="J441" s="426"/>
      <c r="K441" s="426"/>
      <c r="L441" s="414"/>
      <c r="M441" s="414"/>
      <c r="N441" s="414"/>
      <c r="O441" s="414"/>
      <c r="P441" s="414"/>
      <c r="Q441" s="414"/>
      <c r="R441" s="414"/>
      <c r="S441" s="414"/>
      <c r="T441" s="414"/>
      <c r="U441" s="414"/>
      <c r="V441" s="414"/>
      <c r="W441" s="414"/>
      <c r="X441" s="414"/>
      <c r="Y441" s="414"/>
      <c r="Z441" s="414"/>
    </row>
    <row r="442" spans="1:26" ht="15.75" customHeight="1" x14ac:dyDescent="0.25">
      <c r="A442" s="424">
        <v>437</v>
      </c>
      <c r="B442" s="250"/>
      <c r="C442" s="250"/>
      <c r="D442" s="250"/>
      <c r="E442" s="250"/>
      <c r="F442" s="425"/>
      <c r="G442" s="425"/>
      <c r="H442" s="346"/>
      <c r="I442" s="250"/>
      <c r="J442" s="426"/>
      <c r="K442" s="426"/>
      <c r="L442" s="414"/>
      <c r="M442" s="414"/>
      <c r="N442" s="414"/>
      <c r="O442" s="414"/>
      <c r="P442" s="414"/>
      <c r="Q442" s="414"/>
      <c r="R442" s="414"/>
      <c r="S442" s="414"/>
      <c r="T442" s="414"/>
      <c r="U442" s="414"/>
      <c r="V442" s="414"/>
      <c r="W442" s="414"/>
      <c r="X442" s="414"/>
      <c r="Y442" s="414"/>
      <c r="Z442" s="414"/>
    </row>
    <row r="443" spans="1:26" ht="15.75" customHeight="1" x14ac:dyDescent="0.25">
      <c r="A443" s="424">
        <v>438</v>
      </c>
      <c r="B443" s="250"/>
      <c r="C443" s="250"/>
      <c r="D443" s="250"/>
      <c r="E443" s="250"/>
      <c r="F443" s="425"/>
      <c r="G443" s="425"/>
      <c r="H443" s="346"/>
      <c r="I443" s="250"/>
      <c r="J443" s="426"/>
      <c r="K443" s="426"/>
      <c r="L443" s="414"/>
      <c r="M443" s="414"/>
      <c r="N443" s="414"/>
      <c r="O443" s="414"/>
      <c r="P443" s="414"/>
      <c r="Q443" s="414"/>
      <c r="R443" s="414"/>
      <c r="S443" s="414"/>
      <c r="T443" s="414"/>
      <c r="U443" s="414"/>
      <c r="V443" s="414"/>
      <c r="W443" s="414"/>
      <c r="X443" s="414"/>
      <c r="Y443" s="414"/>
      <c r="Z443" s="414"/>
    </row>
    <row r="444" spans="1:26" ht="15.75" customHeight="1" x14ac:dyDescent="0.25">
      <c r="A444" s="424">
        <v>439</v>
      </c>
      <c r="B444" s="250"/>
      <c r="C444" s="250"/>
      <c r="D444" s="250"/>
      <c r="E444" s="250"/>
      <c r="F444" s="425"/>
      <c r="G444" s="425"/>
      <c r="H444" s="346"/>
      <c r="I444" s="250"/>
      <c r="J444" s="426"/>
      <c r="K444" s="426"/>
      <c r="L444" s="414"/>
      <c r="M444" s="414"/>
      <c r="N444" s="414"/>
      <c r="O444" s="414"/>
      <c r="P444" s="414"/>
      <c r="Q444" s="414"/>
      <c r="R444" s="414"/>
      <c r="S444" s="414"/>
      <c r="T444" s="414"/>
      <c r="U444" s="414"/>
      <c r="V444" s="414"/>
      <c r="W444" s="414"/>
      <c r="X444" s="414"/>
      <c r="Y444" s="414"/>
      <c r="Z444" s="414"/>
    </row>
    <row r="445" spans="1:26" ht="15.75" customHeight="1" x14ac:dyDescent="0.25">
      <c r="A445" s="424">
        <v>440</v>
      </c>
      <c r="B445" s="250"/>
      <c r="C445" s="250"/>
      <c r="D445" s="250"/>
      <c r="E445" s="250"/>
      <c r="F445" s="425"/>
      <c r="G445" s="425"/>
      <c r="H445" s="346"/>
      <c r="I445" s="250"/>
      <c r="J445" s="426"/>
      <c r="K445" s="426"/>
      <c r="L445" s="414"/>
      <c r="M445" s="414"/>
      <c r="N445" s="414"/>
      <c r="O445" s="414"/>
      <c r="P445" s="414"/>
      <c r="Q445" s="414"/>
      <c r="R445" s="414"/>
      <c r="S445" s="414"/>
      <c r="T445" s="414"/>
      <c r="U445" s="414"/>
      <c r="V445" s="414"/>
      <c r="W445" s="414"/>
      <c r="X445" s="414"/>
      <c r="Y445" s="414"/>
      <c r="Z445" s="414"/>
    </row>
    <row r="446" spans="1:26" ht="15.75" customHeight="1" x14ac:dyDescent="0.25">
      <c r="A446" s="424">
        <v>441</v>
      </c>
      <c r="B446" s="250"/>
      <c r="C446" s="250"/>
      <c r="D446" s="250"/>
      <c r="E446" s="250"/>
      <c r="F446" s="425"/>
      <c r="G446" s="425"/>
      <c r="H446" s="346"/>
      <c r="I446" s="250"/>
      <c r="J446" s="426"/>
      <c r="K446" s="426"/>
      <c r="L446" s="414"/>
      <c r="M446" s="414"/>
      <c r="N446" s="414"/>
      <c r="O446" s="414"/>
      <c r="P446" s="414"/>
      <c r="Q446" s="414"/>
      <c r="R446" s="414"/>
      <c r="S446" s="414"/>
      <c r="T446" s="414"/>
      <c r="U446" s="414"/>
      <c r="V446" s="414"/>
      <c r="W446" s="414"/>
      <c r="X446" s="414"/>
      <c r="Y446" s="414"/>
      <c r="Z446" s="414"/>
    </row>
    <row r="447" spans="1:26" ht="15.75" customHeight="1" x14ac:dyDescent="0.25">
      <c r="A447" s="424">
        <v>442</v>
      </c>
      <c r="B447" s="250"/>
      <c r="C447" s="250"/>
      <c r="D447" s="250"/>
      <c r="E447" s="250"/>
      <c r="F447" s="425"/>
      <c r="G447" s="425"/>
      <c r="H447" s="346"/>
      <c r="I447" s="250"/>
      <c r="J447" s="426"/>
      <c r="K447" s="426"/>
      <c r="L447" s="414"/>
      <c r="M447" s="414"/>
      <c r="N447" s="414"/>
      <c r="O447" s="414"/>
      <c r="P447" s="414"/>
      <c r="Q447" s="414"/>
      <c r="R447" s="414"/>
      <c r="S447" s="414"/>
      <c r="T447" s="414"/>
      <c r="U447" s="414"/>
      <c r="V447" s="414"/>
      <c r="W447" s="414"/>
      <c r="X447" s="414"/>
      <c r="Y447" s="414"/>
      <c r="Z447" s="414"/>
    </row>
    <row r="448" spans="1:26" ht="15.75" customHeight="1" x14ac:dyDescent="0.25">
      <c r="A448" s="424">
        <v>443</v>
      </c>
      <c r="B448" s="250"/>
      <c r="C448" s="250"/>
      <c r="D448" s="250"/>
      <c r="E448" s="250"/>
      <c r="F448" s="425"/>
      <c r="G448" s="425"/>
      <c r="H448" s="346"/>
      <c r="I448" s="250"/>
      <c r="J448" s="426"/>
      <c r="K448" s="426"/>
      <c r="L448" s="414"/>
      <c r="M448" s="414"/>
      <c r="N448" s="414"/>
      <c r="O448" s="414"/>
      <c r="P448" s="414"/>
      <c r="Q448" s="414"/>
      <c r="R448" s="414"/>
      <c r="S448" s="414"/>
      <c r="T448" s="414"/>
      <c r="U448" s="414"/>
      <c r="V448" s="414"/>
      <c r="W448" s="414"/>
      <c r="X448" s="414"/>
      <c r="Y448" s="414"/>
      <c r="Z448" s="414"/>
    </row>
    <row r="449" spans="1:26" ht="15.75" customHeight="1" x14ac:dyDescent="0.25">
      <c r="A449" s="424">
        <v>444</v>
      </c>
      <c r="B449" s="250"/>
      <c r="C449" s="250"/>
      <c r="D449" s="250"/>
      <c r="E449" s="250"/>
      <c r="F449" s="425"/>
      <c r="G449" s="425"/>
      <c r="H449" s="346"/>
      <c r="I449" s="250"/>
      <c r="J449" s="426"/>
      <c r="K449" s="426"/>
      <c r="L449" s="414"/>
      <c r="M449" s="414"/>
      <c r="N449" s="414"/>
      <c r="O449" s="414"/>
      <c r="P449" s="414"/>
      <c r="Q449" s="414"/>
      <c r="R449" s="414"/>
      <c r="S449" s="414"/>
      <c r="T449" s="414"/>
      <c r="U449" s="414"/>
      <c r="V449" s="414"/>
      <c r="W449" s="414"/>
      <c r="X449" s="414"/>
      <c r="Y449" s="414"/>
      <c r="Z449" s="414"/>
    </row>
    <row r="450" spans="1:26" ht="15.75" customHeight="1" x14ac:dyDescent="0.25">
      <c r="A450" s="424">
        <v>445</v>
      </c>
      <c r="B450" s="250"/>
      <c r="C450" s="250"/>
      <c r="D450" s="250"/>
      <c r="E450" s="250"/>
      <c r="F450" s="425"/>
      <c r="G450" s="425"/>
      <c r="H450" s="346"/>
      <c r="I450" s="250"/>
      <c r="J450" s="426"/>
      <c r="K450" s="426"/>
      <c r="L450" s="414"/>
      <c r="M450" s="414"/>
      <c r="N450" s="414"/>
      <c r="O450" s="414"/>
      <c r="P450" s="414"/>
      <c r="Q450" s="414"/>
      <c r="R450" s="414"/>
      <c r="S450" s="414"/>
      <c r="T450" s="414"/>
      <c r="U450" s="414"/>
      <c r="V450" s="414"/>
      <c r="W450" s="414"/>
      <c r="X450" s="414"/>
      <c r="Y450" s="414"/>
      <c r="Z450" s="414"/>
    </row>
    <row r="451" spans="1:26" ht="15.75" customHeight="1" x14ac:dyDescent="0.25">
      <c r="A451" s="424">
        <v>446</v>
      </c>
      <c r="B451" s="250"/>
      <c r="C451" s="250"/>
      <c r="D451" s="250"/>
      <c r="E451" s="250"/>
      <c r="F451" s="425"/>
      <c r="G451" s="425"/>
      <c r="H451" s="346"/>
      <c r="I451" s="250"/>
      <c r="J451" s="426"/>
      <c r="K451" s="426"/>
      <c r="L451" s="414"/>
      <c r="M451" s="414"/>
      <c r="N451" s="414"/>
      <c r="O451" s="414"/>
      <c r="P451" s="414"/>
      <c r="Q451" s="414"/>
      <c r="R451" s="414"/>
      <c r="S451" s="414"/>
      <c r="T451" s="414"/>
      <c r="U451" s="414"/>
      <c r="V451" s="414"/>
      <c r="W451" s="414"/>
      <c r="X451" s="414"/>
      <c r="Y451" s="414"/>
      <c r="Z451" s="414"/>
    </row>
    <row r="452" spans="1:26" ht="15.75" customHeight="1" x14ac:dyDescent="0.25">
      <c r="A452" s="424">
        <v>447</v>
      </c>
      <c r="B452" s="250"/>
      <c r="C452" s="250"/>
      <c r="D452" s="250"/>
      <c r="E452" s="250"/>
      <c r="F452" s="425"/>
      <c r="G452" s="425"/>
      <c r="H452" s="346"/>
      <c r="I452" s="250"/>
      <c r="J452" s="426"/>
      <c r="K452" s="426"/>
      <c r="L452" s="414"/>
      <c r="M452" s="414"/>
      <c r="N452" s="414"/>
      <c r="O452" s="414"/>
      <c r="P452" s="414"/>
      <c r="Q452" s="414"/>
      <c r="R452" s="414"/>
      <c r="S452" s="414"/>
      <c r="T452" s="414"/>
      <c r="U452" s="414"/>
      <c r="V452" s="414"/>
      <c r="W452" s="414"/>
      <c r="X452" s="414"/>
      <c r="Y452" s="414"/>
      <c r="Z452" s="414"/>
    </row>
    <row r="453" spans="1:26" ht="15.75" customHeight="1" x14ac:dyDescent="0.25">
      <c r="A453" s="424">
        <v>448</v>
      </c>
      <c r="B453" s="250"/>
      <c r="C453" s="250"/>
      <c r="D453" s="250"/>
      <c r="E453" s="250"/>
      <c r="F453" s="425"/>
      <c r="G453" s="425"/>
      <c r="H453" s="346"/>
      <c r="I453" s="250"/>
      <c r="J453" s="426"/>
      <c r="K453" s="426"/>
      <c r="L453" s="414"/>
      <c r="M453" s="414"/>
      <c r="N453" s="414"/>
      <c r="O453" s="414"/>
      <c r="P453" s="414"/>
      <c r="Q453" s="414"/>
      <c r="R453" s="414"/>
      <c r="S453" s="414"/>
      <c r="T453" s="414"/>
      <c r="U453" s="414"/>
      <c r="V453" s="414"/>
      <c r="W453" s="414"/>
      <c r="X453" s="414"/>
      <c r="Y453" s="414"/>
      <c r="Z453" s="414"/>
    </row>
    <row r="454" spans="1:26" ht="15.75" customHeight="1" x14ac:dyDescent="0.25">
      <c r="A454" s="424">
        <v>449</v>
      </c>
      <c r="B454" s="250"/>
      <c r="C454" s="250"/>
      <c r="D454" s="250"/>
      <c r="E454" s="250"/>
      <c r="F454" s="425"/>
      <c r="G454" s="425"/>
      <c r="H454" s="346"/>
      <c r="I454" s="250"/>
      <c r="J454" s="426"/>
      <c r="K454" s="426"/>
      <c r="L454" s="414"/>
      <c r="M454" s="414"/>
      <c r="N454" s="414"/>
      <c r="O454" s="414"/>
      <c r="P454" s="414"/>
      <c r="Q454" s="414"/>
      <c r="R454" s="414"/>
      <c r="S454" s="414"/>
      <c r="T454" s="414"/>
      <c r="U454" s="414"/>
      <c r="V454" s="414"/>
      <c r="W454" s="414"/>
      <c r="X454" s="414"/>
      <c r="Y454" s="414"/>
      <c r="Z454" s="414"/>
    </row>
    <row r="455" spans="1:26" ht="15.75" customHeight="1" x14ac:dyDescent="0.25">
      <c r="A455" s="424">
        <v>450</v>
      </c>
      <c r="B455" s="250"/>
      <c r="C455" s="250"/>
      <c r="D455" s="250"/>
      <c r="E455" s="250"/>
      <c r="F455" s="425"/>
      <c r="G455" s="425"/>
      <c r="H455" s="346"/>
      <c r="I455" s="250"/>
      <c r="J455" s="426"/>
      <c r="K455" s="426"/>
      <c r="L455" s="414"/>
      <c r="M455" s="414"/>
      <c r="N455" s="414"/>
      <c r="O455" s="414"/>
      <c r="P455" s="414"/>
      <c r="Q455" s="414"/>
      <c r="R455" s="414"/>
      <c r="S455" s="414"/>
      <c r="T455" s="414"/>
      <c r="U455" s="414"/>
      <c r="V455" s="414"/>
      <c r="W455" s="414"/>
      <c r="X455" s="414"/>
      <c r="Y455" s="414"/>
      <c r="Z455" s="414"/>
    </row>
    <row r="456" spans="1:26" ht="15.75" customHeight="1" x14ac:dyDescent="0.25">
      <c r="A456" s="424">
        <v>451</v>
      </c>
      <c r="B456" s="250"/>
      <c r="C456" s="250"/>
      <c r="D456" s="250"/>
      <c r="E456" s="250"/>
      <c r="F456" s="425"/>
      <c r="G456" s="425"/>
      <c r="H456" s="346"/>
      <c r="I456" s="250"/>
      <c r="J456" s="426"/>
      <c r="K456" s="426"/>
      <c r="L456" s="414"/>
      <c r="M456" s="414"/>
      <c r="N456" s="414"/>
      <c r="O456" s="414"/>
      <c r="P456" s="414"/>
      <c r="Q456" s="414"/>
      <c r="R456" s="414"/>
      <c r="S456" s="414"/>
      <c r="T456" s="414"/>
      <c r="U456" s="414"/>
      <c r="V456" s="414"/>
      <c r="W456" s="414"/>
      <c r="X456" s="414"/>
      <c r="Y456" s="414"/>
      <c r="Z456" s="414"/>
    </row>
    <row r="457" spans="1:26" ht="15.75" customHeight="1" x14ac:dyDescent="0.25">
      <c r="A457" s="424">
        <v>452</v>
      </c>
      <c r="B457" s="250"/>
      <c r="C457" s="250"/>
      <c r="D457" s="250"/>
      <c r="E457" s="250"/>
      <c r="F457" s="425"/>
      <c r="G457" s="425"/>
      <c r="H457" s="346"/>
      <c r="I457" s="250"/>
      <c r="J457" s="426"/>
      <c r="K457" s="426"/>
      <c r="L457" s="414"/>
      <c r="M457" s="414"/>
      <c r="N457" s="414"/>
      <c r="O457" s="414"/>
      <c r="P457" s="414"/>
      <c r="Q457" s="414"/>
      <c r="R457" s="414"/>
      <c r="S457" s="414"/>
      <c r="T457" s="414"/>
      <c r="U457" s="414"/>
      <c r="V457" s="414"/>
      <c r="W457" s="414"/>
      <c r="X457" s="414"/>
      <c r="Y457" s="414"/>
      <c r="Z457" s="414"/>
    </row>
    <row r="458" spans="1:26" ht="15.75" customHeight="1" x14ac:dyDescent="0.25">
      <c r="A458" s="424">
        <v>453</v>
      </c>
      <c r="B458" s="250"/>
      <c r="C458" s="250"/>
      <c r="D458" s="250"/>
      <c r="E458" s="250"/>
      <c r="F458" s="425"/>
      <c r="G458" s="425"/>
      <c r="H458" s="346"/>
      <c r="I458" s="250"/>
      <c r="J458" s="426"/>
      <c r="K458" s="426"/>
      <c r="L458" s="414"/>
      <c r="M458" s="414"/>
      <c r="N458" s="414"/>
      <c r="O458" s="414"/>
      <c r="P458" s="414"/>
      <c r="Q458" s="414"/>
      <c r="R458" s="414"/>
      <c r="S458" s="414"/>
      <c r="T458" s="414"/>
      <c r="U458" s="414"/>
      <c r="V458" s="414"/>
      <c r="W458" s="414"/>
      <c r="X458" s="414"/>
      <c r="Y458" s="414"/>
      <c r="Z458" s="414"/>
    </row>
    <row r="459" spans="1:26" ht="15.75" customHeight="1" x14ac:dyDescent="0.25">
      <c r="A459" s="424">
        <v>454</v>
      </c>
      <c r="B459" s="250"/>
      <c r="C459" s="250"/>
      <c r="D459" s="250"/>
      <c r="E459" s="250"/>
      <c r="F459" s="425"/>
      <c r="G459" s="425"/>
      <c r="H459" s="346"/>
      <c r="I459" s="250"/>
      <c r="J459" s="426"/>
      <c r="K459" s="426"/>
      <c r="L459" s="414"/>
      <c r="M459" s="414"/>
      <c r="N459" s="414"/>
      <c r="O459" s="414"/>
      <c r="P459" s="414"/>
      <c r="Q459" s="414"/>
      <c r="R459" s="414"/>
      <c r="S459" s="414"/>
      <c r="T459" s="414"/>
      <c r="U459" s="414"/>
      <c r="V459" s="414"/>
      <c r="W459" s="414"/>
      <c r="X459" s="414"/>
      <c r="Y459" s="414"/>
      <c r="Z459" s="414"/>
    </row>
    <row r="460" spans="1:26" ht="15.75" customHeight="1" x14ac:dyDescent="0.25">
      <c r="A460" s="424">
        <v>455</v>
      </c>
      <c r="B460" s="250"/>
      <c r="C460" s="250"/>
      <c r="D460" s="250"/>
      <c r="E460" s="250"/>
      <c r="F460" s="425"/>
      <c r="G460" s="425"/>
      <c r="H460" s="346"/>
      <c r="I460" s="250"/>
      <c r="J460" s="426"/>
      <c r="K460" s="426"/>
      <c r="L460" s="414"/>
      <c r="M460" s="414"/>
      <c r="N460" s="414"/>
      <c r="O460" s="414"/>
      <c r="P460" s="414"/>
      <c r="Q460" s="414"/>
      <c r="R460" s="414"/>
      <c r="S460" s="414"/>
      <c r="T460" s="414"/>
      <c r="U460" s="414"/>
      <c r="V460" s="414"/>
      <c r="W460" s="414"/>
      <c r="X460" s="414"/>
      <c r="Y460" s="414"/>
      <c r="Z460" s="414"/>
    </row>
    <row r="461" spans="1:26" ht="15.75" customHeight="1" x14ac:dyDescent="0.25">
      <c r="A461" s="424">
        <v>456</v>
      </c>
      <c r="B461" s="250"/>
      <c r="C461" s="250"/>
      <c r="D461" s="250"/>
      <c r="E461" s="250"/>
      <c r="F461" s="425"/>
      <c r="G461" s="425"/>
      <c r="H461" s="346"/>
      <c r="I461" s="250"/>
      <c r="J461" s="426"/>
      <c r="K461" s="426"/>
      <c r="L461" s="414"/>
      <c r="M461" s="414"/>
      <c r="N461" s="414"/>
      <c r="O461" s="414"/>
      <c r="P461" s="414"/>
      <c r="Q461" s="414"/>
      <c r="R461" s="414"/>
      <c r="S461" s="414"/>
      <c r="T461" s="414"/>
      <c r="U461" s="414"/>
      <c r="V461" s="414"/>
      <c r="W461" s="414"/>
      <c r="X461" s="414"/>
      <c r="Y461" s="414"/>
      <c r="Z461" s="414"/>
    </row>
    <row r="462" spans="1:26" ht="15.75" customHeight="1" x14ac:dyDescent="0.25">
      <c r="A462" s="424">
        <v>457</v>
      </c>
      <c r="B462" s="250"/>
      <c r="C462" s="250"/>
      <c r="D462" s="250"/>
      <c r="E462" s="250"/>
      <c r="F462" s="425"/>
      <c r="G462" s="425"/>
      <c r="H462" s="346"/>
      <c r="I462" s="250"/>
      <c r="J462" s="426"/>
      <c r="K462" s="426"/>
      <c r="L462" s="414"/>
      <c r="M462" s="414"/>
      <c r="N462" s="414"/>
      <c r="O462" s="414"/>
      <c r="P462" s="414"/>
      <c r="Q462" s="414"/>
      <c r="R462" s="414"/>
      <c r="S462" s="414"/>
      <c r="T462" s="414"/>
      <c r="U462" s="414"/>
      <c r="V462" s="414"/>
      <c r="W462" s="414"/>
      <c r="X462" s="414"/>
      <c r="Y462" s="414"/>
      <c r="Z462" s="414"/>
    </row>
    <row r="463" spans="1:26" ht="15.75" customHeight="1" x14ac:dyDescent="0.25">
      <c r="A463" s="424">
        <v>458</v>
      </c>
      <c r="B463" s="250"/>
      <c r="C463" s="250"/>
      <c r="D463" s="250"/>
      <c r="E463" s="250"/>
      <c r="F463" s="425"/>
      <c r="G463" s="425"/>
      <c r="H463" s="346"/>
      <c r="I463" s="250"/>
      <c r="J463" s="426"/>
      <c r="K463" s="426"/>
      <c r="L463" s="414"/>
      <c r="M463" s="414"/>
      <c r="N463" s="414"/>
      <c r="O463" s="414"/>
      <c r="P463" s="414"/>
      <c r="Q463" s="414"/>
      <c r="R463" s="414"/>
      <c r="S463" s="414"/>
      <c r="T463" s="414"/>
      <c r="U463" s="414"/>
      <c r="V463" s="414"/>
      <c r="W463" s="414"/>
      <c r="X463" s="414"/>
      <c r="Y463" s="414"/>
      <c r="Z463" s="414"/>
    </row>
    <row r="464" spans="1:26" ht="15.75" customHeight="1" x14ac:dyDescent="0.25">
      <c r="A464" s="424">
        <v>459</v>
      </c>
      <c r="B464" s="250"/>
      <c r="C464" s="250"/>
      <c r="D464" s="250"/>
      <c r="E464" s="250"/>
      <c r="F464" s="425"/>
      <c r="G464" s="425"/>
      <c r="H464" s="346"/>
      <c r="I464" s="250"/>
      <c r="J464" s="426"/>
      <c r="K464" s="426"/>
      <c r="L464" s="414"/>
      <c r="M464" s="414"/>
      <c r="N464" s="414"/>
      <c r="O464" s="414"/>
      <c r="P464" s="414"/>
      <c r="Q464" s="414"/>
      <c r="R464" s="414"/>
      <c r="S464" s="414"/>
      <c r="T464" s="414"/>
      <c r="U464" s="414"/>
      <c r="V464" s="414"/>
      <c r="W464" s="414"/>
      <c r="X464" s="414"/>
      <c r="Y464" s="414"/>
      <c r="Z464" s="414"/>
    </row>
    <row r="465" spans="1:26" ht="15.75" customHeight="1" x14ac:dyDescent="0.25">
      <c r="A465" s="424">
        <v>460</v>
      </c>
      <c r="B465" s="250"/>
      <c r="C465" s="250"/>
      <c r="D465" s="250"/>
      <c r="E465" s="250"/>
      <c r="F465" s="425"/>
      <c r="G465" s="425"/>
      <c r="H465" s="346"/>
      <c r="I465" s="250"/>
      <c r="J465" s="426"/>
      <c r="K465" s="426"/>
      <c r="L465" s="414"/>
      <c r="M465" s="414"/>
      <c r="N465" s="414"/>
      <c r="O465" s="414"/>
      <c r="P465" s="414"/>
      <c r="Q465" s="414"/>
      <c r="R465" s="414"/>
      <c r="S465" s="414"/>
      <c r="T465" s="414"/>
      <c r="U465" s="414"/>
      <c r="V465" s="414"/>
      <c r="W465" s="414"/>
      <c r="X465" s="414"/>
      <c r="Y465" s="414"/>
      <c r="Z465" s="414"/>
    </row>
    <row r="466" spans="1:26" ht="15.75" customHeight="1" x14ac:dyDescent="0.25">
      <c r="A466" s="424">
        <v>461</v>
      </c>
      <c r="B466" s="250"/>
      <c r="C466" s="250"/>
      <c r="D466" s="250"/>
      <c r="E466" s="250"/>
      <c r="F466" s="425"/>
      <c r="G466" s="425"/>
      <c r="H466" s="346"/>
      <c r="I466" s="250"/>
      <c r="J466" s="426"/>
      <c r="K466" s="426"/>
      <c r="L466" s="414"/>
      <c r="M466" s="414"/>
      <c r="N466" s="414"/>
      <c r="O466" s="414"/>
      <c r="P466" s="414"/>
      <c r="Q466" s="414"/>
      <c r="R466" s="414"/>
      <c r="S466" s="414"/>
      <c r="T466" s="414"/>
      <c r="U466" s="414"/>
      <c r="V466" s="414"/>
      <c r="W466" s="414"/>
      <c r="X466" s="414"/>
      <c r="Y466" s="414"/>
      <c r="Z466" s="414"/>
    </row>
    <row r="467" spans="1:26" ht="15.75" customHeight="1" x14ac:dyDescent="0.25">
      <c r="A467" s="424">
        <v>462</v>
      </c>
      <c r="B467" s="250"/>
      <c r="C467" s="250"/>
      <c r="D467" s="250"/>
      <c r="E467" s="250"/>
      <c r="F467" s="425"/>
      <c r="G467" s="425"/>
      <c r="H467" s="346"/>
      <c r="I467" s="250"/>
      <c r="J467" s="426"/>
      <c r="K467" s="426"/>
      <c r="L467" s="414"/>
      <c r="M467" s="414"/>
      <c r="N467" s="414"/>
      <c r="O467" s="414"/>
      <c r="P467" s="414"/>
      <c r="Q467" s="414"/>
      <c r="R467" s="414"/>
      <c r="S467" s="414"/>
      <c r="T467" s="414"/>
      <c r="U467" s="414"/>
      <c r="V467" s="414"/>
      <c r="W467" s="414"/>
      <c r="X467" s="414"/>
      <c r="Y467" s="414"/>
      <c r="Z467" s="414"/>
    </row>
    <row r="468" spans="1:26" ht="15.75" customHeight="1" x14ac:dyDescent="0.25">
      <c r="A468" s="424">
        <v>463</v>
      </c>
      <c r="B468" s="250"/>
      <c r="C468" s="250"/>
      <c r="D468" s="250"/>
      <c r="E468" s="250"/>
      <c r="F468" s="425"/>
      <c r="G468" s="425"/>
      <c r="H468" s="346"/>
      <c r="I468" s="250"/>
      <c r="J468" s="426"/>
      <c r="K468" s="426"/>
      <c r="L468" s="414"/>
      <c r="M468" s="414"/>
      <c r="N468" s="414"/>
      <c r="O468" s="414"/>
      <c r="P468" s="414"/>
      <c r="Q468" s="414"/>
      <c r="R468" s="414"/>
      <c r="S468" s="414"/>
      <c r="T468" s="414"/>
      <c r="U468" s="414"/>
      <c r="V468" s="414"/>
      <c r="W468" s="414"/>
      <c r="X468" s="414"/>
      <c r="Y468" s="414"/>
      <c r="Z468" s="414"/>
    </row>
    <row r="469" spans="1:26" ht="15.75" customHeight="1" x14ac:dyDescent="0.25">
      <c r="A469" s="424">
        <v>464</v>
      </c>
      <c r="B469" s="250"/>
      <c r="C469" s="250"/>
      <c r="D469" s="250"/>
      <c r="E469" s="250"/>
      <c r="F469" s="425"/>
      <c r="G469" s="425"/>
      <c r="H469" s="346"/>
      <c r="I469" s="250"/>
      <c r="J469" s="426"/>
      <c r="K469" s="426"/>
      <c r="L469" s="414"/>
      <c r="M469" s="414"/>
      <c r="N469" s="414"/>
      <c r="O469" s="414"/>
      <c r="P469" s="414"/>
      <c r="Q469" s="414"/>
      <c r="R469" s="414"/>
      <c r="S469" s="414"/>
      <c r="T469" s="414"/>
      <c r="U469" s="414"/>
      <c r="V469" s="414"/>
      <c r="W469" s="414"/>
      <c r="X469" s="414"/>
      <c r="Y469" s="414"/>
      <c r="Z469" s="414"/>
    </row>
    <row r="470" spans="1:26" ht="15.75" customHeight="1" x14ac:dyDescent="0.25">
      <c r="A470" s="424">
        <v>465</v>
      </c>
      <c r="B470" s="250"/>
      <c r="C470" s="250"/>
      <c r="D470" s="250"/>
      <c r="E470" s="250"/>
      <c r="F470" s="425"/>
      <c r="G470" s="425"/>
      <c r="H470" s="346"/>
      <c r="I470" s="250"/>
      <c r="J470" s="426"/>
      <c r="K470" s="426"/>
      <c r="L470" s="414"/>
      <c r="M470" s="414"/>
      <c r="N470" s="414"/>
      <c r="O470" s="414"/>
      <c r="P470" s="414"/>
      <c r="Q470" s="414"/>
      <c r="R470" s="414"/>
      <c r="S470" s="414"/>
      <c r="T470" s="414"/>
      <c r="U470" s="414"/>
      <c r="V470" s="414"/>
      <c r="W470" s="414"/>
      <c r="X470" s="414"/>
      <c r="Y470" s="414"/>
      <c r="Z470" s="414"/>
    </row>
    <row r="471" spans="1:26" ht="15.75" customHeight="1" x14ac:dyDescent="0.25">
      <c r="A471" s="424">
        <v>466</v>
      </c>
      <c r="B471" s="250"/>
      <c r="C471" s="250"/>
      <c r="D471" s="250"/>
      <c r="E471" s="250"/>
      <c r="F471" s="425"/>
      <c r="G471" s="425"/>
      <c r="H471" s="346"/>
      <c r="I471" s="250"/>
      <c r="J471" s="426"/>
      <c r="K471" s="426"/>
      <c r="L471" s="414"/>
      <c r="M471" s="414"/>
      <c r="N471" s="414"/>
      <c r="O471" s="414"/>
      <c r="P471" s="414"/>
      <c r="Q471" s="414"/>
      <c r="R471" s="414"/>
      <c r="S471" s="414"/>
      <c r="T471" s="414"/>
      <c r="U471" s="414"/>
      <c r="V471" s="414"/>
      <c r="W471" s="414"/>
      <c r="X471" s="414"/>
      <c r="Y471" s="414"/>
      <c r="Z471" s="414"/>
    </row>
    <row r="472" spans="1:26" ht="15.75" customHeight="1" x14ac:dyDescent="0.25">
      <c r="A472" s="424">
        <v>467</v>
      </c>
      <c r="B472" s="250"/>
      <c r="C472" s="250"/>
      <c r="D472" s="250"/>
      <c r="E472" s="250"/>
      <c r="F472" s="425"/>
      <c r="G472" s="425"/>
      <c r="H472" s="346"/>
      <c r="I472" s="250"/>
      <c r="J472" s="426"/>
      <c r="K472" s="426"/>
      <c r="L472" s="414"/>
      <c r="M472" s="414"/>
      <c r="N472" s="414"/>
      <c r="O472" s="414"/>
      <c r="P472" s="414"/>
      <c r="Q472" s="414"/>
      <c r="R472" s="414"/>
      <c r="S472" s="414"/>
      <c r="T472" s="414"/>
      <c r="U472" s="414"/>
      <c r="V472" s="414"/>
      <c r="W472" s="414"/>
      <c r="X472" s="414"/>
      <c r="Y472" s="414"/>
      <c r="Z472" s="414"/>
    </row>
    <row r="473" spans="1:26" ht="15.75" customHeight="1" x14ac:dyDescent="0.25">
      <c r="A473" s="424">
        <v>468</v>
      </c>
      <c r="B473" s="250"/>
      <c r="C473" s="250"/>
      <c r="D473" s="250"/>
      <c r="E473" s="250"/>
      <c r="F473" s="425"/>
      <c r="G473" s="425"/>
      <c r="H473" s="346"/>
      <c r="I473" s="250"/>
      <c r="J473" s="426"/>
      <c r="K473" s="426"/>
      <c r="L473" s="414"/>
      <c r="M473" s="414"/>
      <c r="N473" s="414"/>
      <c r="O473" s="414"/>
      <c r="P473" s="414"/>
      <c r="Q473" s="414"/>
      <c r="R473" s="414"/>
      <c r="S473" s="414"/>
      <c r="T473" s="414"/>
      <c r="U473" s="414"/>
      <c r="V473" s="414"/>
      <c r="W473" s="414"/>
      <c r="X473" s="414"/>
      <c r="Y473" s="414"/>
      <c r="Z473" s="414"/>
    </row>
    <row r="474" spans="1:26" ht="15.75" customHeight="1" x14ac:dyDescent="0.25">
      <c r="A474" s="424">
        <v>469</v>
      </c>
      <c r="B474" s="250"/>
      <c r="C474" s="250"/>
      <c r="D474" s="250"/>
      <c r="E474" s="250"/>
      <c r="F474" s="425"/>
      <c r="G474" s="425"/>
      <c r="H474" s="346"/>
      <c r="I474" s="250"/>
      <c r="J474" s="426"/>
      <c r="K474" s="426"/>
      <c r="L474" s="414"/>
      <c r="M474" s="414"/>
      <c r="N474" s="414"/>
      <c r="O474" s="414"/>
      <c r="P474" s="414"/>
      <c r="Q474" s="414"/>
      <c r="R474" s="414"/>
      <c r="S474" s="414"/>
      <c r="T474" s="414"/>
      <c r="U474" s="414"/>
      <c r="V474" s="414"/>
      <c r="W474" s="414"/>
      <c r="X474" s="414"/>
      <c r="Y474" s="414"/>
      <c r="Z474" s="414"/>
    </row>
    <row r="475" spans="1:26" ht="15.75" customHeight="1" x14ac:dyDescent="0.25">
      <c r="A475" s="424">
        <v>470</v>
      </c>
      <c r="B475" s="250"/>
      <c r="C475" s="250"/>
      <c r="D475" s="250"/>
      <c r="E475" s="250"/>
      <c r="F475" s="425"/>
      <c r="G475" s="425"/>
      <c r="H475" s="346"/>
      <c r="I475" s="250"/>
      <c r="J475" s="426"/>
      <c r="K475" s="426"/>
      <c r="L475" s="414"/>
      <c r="M475" s="414"/>
      <c r="N475" s="414"/>
      <c r="O475" s="414"/>
      <c r="P475" s="414"/>
      <c r="Q475" s="414"/>
      <c r="R475" s="414"/>
      <c r="S475" s="414"/>
      <c r="T475" s="414"/>
      <c r="U475" s="414"/>
      <c r="V475" s="414"/>
      <c r="W475" s="414"/>
      <c r="X475" s="414"/>
      <c r="Y475" s="414"/>
      <c r="Z475" s="414"/>
    </row>
    <row r="476" spans="1:26" ht="15.75" customHeight="1" x14ac:dyDescent="0.25">
      <c r="A476" s="424">
        <v>471</v>
      </c>
      <c r="B476" s="250"/>
      <c r="C476" s="250"/>
      <c r="D476" s="250"/>
      <c r="E476" s="250"/>
      <c r="F476" s="425"/>
      <c r="G476" s="425"/>
      <c r="H476" s="346"/>
      <c r="I476" s="250"/>
      <c r="J476" s="426"/>
      <c r="K476" s="426"/>
      <c r="L476" s="414"/>
      <c r="M476" s="414"/>
      <c r="N476" s="414"/>
      <c r="O476" s="414"/>
      <c r="P476" s="414"/>
      <c r="Q476" s="414"/>
      <c r="R476" s="414"/>
      <c r="S476" s="414"/>
      <c r="T476" s="414"/>
      <c r="U476" s="414"/>
      <c r="V476" s="414"/>
      <c r="W476" s="414"/>
      <c r="X476" s="414"/>
      <c r="Y476" s="414"/>
      <c r="Z476" s="414"/>
    </row>
    <row r="477" spans="1:26" ht="15.75" customHeight="1" x14ac:dyDescent="0.25">
      <c r="A477" s="424">
        <v>472</v>
      </c>
      <c r="B477" s="250"/>
      <c r="C477" s="250"/>
      <c r="D477" s="250"/>
      <c r="E477" s="250"/>
      <c r="F477" s="425"/>
      <c r="G477" s="425"/>
      <c r="H477" s="346"/>
      <c r="I477" s="250"/>
      <c r="J477" s="426"/>
      <c r="K477" s="426"/>
      <c r="L477" s="414"/>
      <c r="M477" s="414"/>
      <c r="N477" s="414"/>
      <c r="O477" s="414"/>
      <c r="P477" s="414"/>
      <c r="Q477" s="414"/>
      <c r="R477" s="414"/>
      <c r="S477" s="414"/>
      <c r="T477" s="414"/>
      <c r="U477" s="414"/>
      <c r="V477" s="414"/>
      <c r="W477" s="414"/>
      <c r="X477" s="414"/>
      <c r="Y477" s="414"/>
      <c r="Z477" s="414"/>
    </row>
    <row r="478" spans="1:26" ht="15.75" customHeight="1" x14ac:dyDescent="0.25">
      <c r="A478" s="424">
        <v>473</v>
      </c>
      <c r="B478" s="250"/>
      <c r="C478" s="250"/>
      <c r="D478" s="250"/>
      <c r="E478" s="250"/>
      <c r="F478" s="425"/>
      <c r="G478" s="425"/>
      <c r="H478" s="346"/>
      <c r="I478" s="250"/>
      <c r="J478" s="426"/>
      <c r="K478" s="426"/>
      <c r="L478" s="414"/>
      <c r="M478" s="414"/>
      <c r="N478" s="414"/>
      <c r="O478" s="414"/>
      <c r="P478" s="414"/>
      <c r="Q478" s="414"/>
      <c r="R478" s="414"/>
      <c r="S478" s="414"/>
      <c r="T478" s="414"/>
      <c r="U478" s="414"/>
      <c r="V478" s="414"/>
      <c r="W478" s="414"/>
      <c r="X478" s="414"/>
      <c r="Y478" s="414"/>
      <c r="Z478" s="414"/>
    </row>
    <row r="479" spans="1:26" ht="15.75" customHeight="1" x14ac:dyDescent="0.25">
      <c r="A479" s="424">
        <v>474</v>
      </c>
      <c r="B479" s="250"/>
      <c r="C479" s="250"/>
      <c r="D479" s="250"/>
      <c r="E479" s="250"/>
      <c r="F479" s="425"/>
      <c r="G479" s="425"/>
      <c r="H479" s="346"/>
      <c r="I479" s="250"/>
      <c r="J479" s="426"/>
      <c r="K479" s="426"/>
      <c r="L479" s="414"/>
      <c r="M479" s="414"/>
      <c r="N479" s="414"/>
      <c r="O479" s="414"/>
      <c r="P479" s="414"/>
      <c r="Q479" s="414"/>
      <c r="R479" s="414"/>
      <c r="S479" s="414"/>
      <c r="T479" s="414"/>
      <c r="U479" s="414"/>
      <c r="V479" s="414"/>
      <c r="W479" s="414"/>
      <c r="X479" s="414"/>
      <c r="Y479" s="414"/>
      <c r="Z479" s="414"/>
    </row>
    <row r="480" spans="1:26" ht="15.75" customHeight="1" x14ac:dyDescent="0.25">
      <c r="A480" s="424">
        <v>475</v>
      </c>
      <c r="B480" s="250"/>
      <c r="C480" s="250"/>
      <c r="D480" s="250"/>
      <c r="E480" s="250"/>
      <c r="F480" s="425"/>
      <c r="G480" s="425"/>
      <c r="H480" s="346"/>
      <c r="I480" s="250"/>
      <c r="J480" s="426"/>
      <c r="K480" s="426"/>
      <c r="L480" s="414"/>
      <c r="M480" s="414"/>
      <c r="N480" s="414"/>
      <c r="O480" s="414"/>
      <c r="P480" s="414"/>
      <c r="Q480" s="414"/>
      <c r="R480" s="414"/>
      <c r="S480" s="414"/>
      <c r="T480" s="414"/>
      <c r="U480" s="414"/>
      <c r="V480" s="414"/>
      <c r="W480" s="414"/>
      <c r="X480" s="414"/>
      <c r="Y480" s="414"/>
      <c r="Z480" s="414"/>
    </row>
    <row r="481" spans="1:26" ht="15.75" customHeight="1" x14ac:dyDescent="0.25">
      <c r="A481" s="424">
        <v>476</v>
      </c>
      <c r="B481" s="250"/>
      <c r="C481" s="250"/>
      <c r="D481" s="250"/>
      <c r="E481" s="250"/>
      <c r="F481" s="425"/>
      <c r="G481" s="425"/>
      <c r="H481" s="346"/>
      <c r="I481" s="250"/>
      <c r="J481" s="426"/>
      <c r="K481" s="426"/>
      <c r="L481" s="414"/>
      <c r="M481" s="414"/>
      <c r="N481" s="414"/>
      <c r="O481" s="414"/>
      <c r="P481" s="414"/>
      <c r="Q481" s="414"/>
      <c r="R481" s="414"/>
      <c r="S481" s="414"/>
      <c r="T481" s="414"/>
      <c r="U481" s="414"/>
      <c r="V481" s="414"/>
      <c r="W481" s="414"/>
      <c r="X481" s="414"/>
      <c r="Y481" s="414"/>
      <c r="Z481" s="414"/>
    </row>
    <row r="482" spans="1:26" ht="15.75" customHeight="1" x14ac:dyDescent="0.25">
      <c r="A482" s="424">
        <v>477</v>
      </c>
      <c r="B482" s="250"/>
      <c r="C482" s="250"/>
      <c r="D482" s="250"/>
      <c r="E482" s="250"/>
      <c r="F482" s="425"/>
      <c r="G482" s="425"/>
      <c r="H482" s="346"/>
      <c r="I482" s="250"/>
      <c r="J482" s="426"/>
      <c r="K482" s="426"/>
      <c r="L482" s="414"/>
      <c r="M482" s="414"/>
      <c r="N482" s="414"/>
      <c r="O482" s="414"/>
      <c r="P482" s="414"/>
      <c r="Q482" s="414"/>
      <c r="R482" s="414"/>
      <c r="S482" s="414"/>
      <c r="T482" s="414"/>
      <c r="U482" s="414"/>
      <c r="V482" s="414"/>
      <c r="W482" s="414"/>
      <c r="X482" s="414"/>
      <c r="Y482" s="414"/>
      <c r="Z482" s="414"/>
    </row>
    <row r="483" spans="1:26" ht="15.75" customHeight="1" x14ac:dyDescent="0.25">
      <c r="A483" s="424">
        <v>478</v>
      </c>
      <c r="B483" s="250"/>
      <c r="C483" s="250"/>
      <c r="D483" s="250"/>
      <c r="E483" s="250"/>
      <c r="F483" s="425"/>
      <c r="G483" s="425"/>
      <c r="H483" s="346"/>
      <c r="I483" s="250"/>
      <c r="J483" s="426"/>
      <c r="K483" s="426"/>
      <c r="L483" s="414"/>
      <c r="M483" s="414"/>
      <c r="N483" s="414"/>
      <c r="O483" s="414"/>
      <c r="P483" s="414"/>
      <c r="Q483" s="414"/>
      <c r="R483" s="414"/>
      <c r="S483" s="414"/>
      <c r="T483" s="414"/>
      <c r="U483" s="414"/>
      <c r="V483" s="414"/>
      <c r="W483" s="414"/>
      <c r="X483" s="414"/>
      <c r="Y483" s="414"/>
      <c r="Z483" s="414"/>
    </row>
    <row r="484" spans="1:26" ht="15.75" customHeight="1" x14ac:dyDescent="0.25">
      <c r="A484" s="424">
        <v>479</v>
      </c>
      <c r="B484" s="250"/>
      <c r="C484" s="250"/>
      <c r="D484" s="250"/>
      <c r="E484" s="250"/>
      <c r="F484" s="425"/>
      <c r="G484" s="425"/>
      <c r="H484" s="346"/>
      <c r="I484" s="250"/>
      <c r="J484" s="426"/>
      <c r="K484" s="426"/>
      <c r="L484" s="414"/>
      <c r="M484" s="414"/>
      <c r="N484" s="414"/>
      <c r="O484" s="414"/>
      <c r="P484" s="414"/>
      <c r="Q484" s="414"/>
      <c r="R484" s="414"/>
      <c r="S484" s="414"/>
      <c r="T484" s="414"/>
      <c r="U484" s="414"/>
      <c r="V484" s="414"/>
      <c r="W484" s="414"/>
      <c r="X484" s="414"/>
      <c r="Y484" s="414"/>
      <c r="Z484" s="414"/>
    </row>
    <row r="485" spans="1:26" ht="15.75" customHeight="1" x14ac:dyDescent="0.25">
      <c r="A485" s="424">
        <v>480</v>
      </c>
      <c r="B485" s="250"/>
      <c r="C485" s="250"/>
      <c r="D485" s="250"/>
      <c r="E485" s="250"/>
      <c r="F485" s="425"/>
      <c r="G485" s="425"/>
      <c r="H485" s="346"/>
      <c r="I485" s="250"/>
      <c r="J485" s="426"/>
      <c r="K485" s="426"/>
      <c r="L485" s="414"/>
      <c r="M485" s="414"/>
      <c r="N485" s="414"/>
      <c r="O485" s="414"/>
      <c r="P485" s="414"/>
      <c r="Q485" s="414"/>
      <c r="R485" s="414"/>
      <c r="S485" s="414"/>
      <c r="T485" s="414"/>
      <c r="U485" s="414"/>
      <c r="V485" s="414"/>
      <c r="W485" s="414"/>
      <c r="X485" s="414"/>
      <c r="Y485" s="414"/>
      <c r="Z485" s="414"/>
    </row>
    <row r="486" spans="1:26" ht="15.75" customHeight="1" x14ac:dyDescent="0.25">
      <c r="A486" s="424">
        <v>481</v>
      </c>
      <c r="B486" s="250"/>
      <c r="C486" s="250"/>
      <c r="D486" s="250"/>
      <c r="E486" s="250"/>
      <c r="F486" s="425"/>
      <c r="G486" s="425"/>
      <c r="H486" s="346"/>
      <c r="I486" s="250"/>
      <c r="J486" s="426"/>
      <c r="K486" s="426"/>
      <c r="L486" s="414"/>
      <c r="M486" s="414"/>
      <c r="N486" s="414"/>
      <c r="O486" s="414"/>
      <c r="P486" s="414"/>
      <c r="Q486" s="414"/>
      <c r="R486" s="414"/>
      <c r="S486" s="414"/>
      <c r="T486" s="414"/>
      <c r="U486" s="414"/>
      <c r="V486" s="414"/>
      <c r="W486" s="414"/>
      <c r="X486" s="414"/>
      <c r="Y486" s="414"/>
      <c r="Z486" s="414"/>
    </row>
    <row r="487" spans="1:26" ht="15.75" customHeight="1" x14ac:dyDescent="0.25">
      <c r="A487" s="424">
        <v>482</v>
      </c>
      <c r="B487" s="250"/>
      <c r="C487" s="250"/>
      <c r="D487" s="250"/>
      <c r="E487" s="250"/>
      <c r="F487" s="425"/>
      <c r="G487" s="425"/>
      <c r="H487" s="346"/>
      <c r="I487" s="250"/>
      <c r="J487" s="426"/>
      <c r="K487" s="426"/>
      <c r="L487" s="414"/>
      <c r="M487" s="414"/>
      <c r="N487" s="414"/>
      <c r="O487" s="414"/>
      <c r="P487" s="414"/>
      <c r="Q487" s="414"/>
      <c r="R487" s="414"/>
      <c r="S487" s="414"/>
      <c r="T487" s="414"/>
      <c r="U487" s="414"/>
      <c r="V487" s="414"/>
      <c r="W487" s="414"/>
      <c r="X487" s="414"/>
      <c r="Y487" s="414"/>
      <c r="Z487" s="414"/>
    </row>
    <row r="488" spans="1:26" ht="15.75" customHeight="1" x14ac:dyDescent="0.25">
      <c r="A488" s="424">
        <v>483</v>
      </c>
      <c r="B488" s="250"/>
      <c r="C488" s="250"/>
      <c r="D488" s="250"/>
      <c r="E488" s="250"/>
      <c r="F488" s="425"/>
      <c r="G488" s="425"/>
      <c r="H488" s="346"/>
      <c r="I488" s="250"/>
      <c r="J488" s="426"/>
      <c r="K488" s="426"/>
      <c r="L488" s="414"/>
      <c r="M488" s="414"/>
      <c r="N488" s="414"/>
      <c r="O488" s="414"/>
      <c r="P488" s="414"/>
      <c r="Q488" s="414"/>
      <c r="R488" s="414"/>
      <c r="S488" s="414"/>
      <c r="T488" s="414"/>
      <c r="U488" s="414"/>
      <c r="V488" s="414"/>
      <c r="W488" s="414"/>
      <c r="X488" s="414"/>
      <c r="Y488" s="414"/>
      <c r="Z488" s="414"/>
    </row>
    <row r="489" spans="1:26" ht="15.75" customHeight="1" x14ac:dyDescent="0.25">
      <c r="A489" s="424">
        <v>484</v>
      </c>
      <c r="B489" s="250"/>
      <c r="C489" s="250"/>
      <c r="D489" s="250"/>
      <c r="E489" s="250"/>
      <c r="F489" s="425"/>
      <c r="G489" s="425"/>
      <c r="H489" s="346"/>
      <c r="I489" s="250"/>
      <c r="J489" s="426"/>
      <c r="K489" s="426"/>
      <c r="L489" s="414"/>
      <c r="M489" s="414"/>
      <c r="N489" s="414"/>
      <c r="O489" s="414"/>
      <c r="P489" s="414"/>
      <c r="Q489" s="414"/>
      <c r="R489" s="414"/>
      <c r="S489" s="414"/>
      <c r="T489" s="414"/>
      <c r="U489" s="414"/>
      <c r="V489" s="414"/>
      <c r="W489" s="414"/>
      <c r="X489" s="414"/>
      <c r="Y489" s="414"/>
      <c r="Z489" s="414"/>
    </row>
    <row r="490" spans="1:26" ht="15.75" customHeight="1" x14ac:dyDescent="0.25">
      <c r="A490" s="424">
        <v>485</v>
      </c>
      <c r="B490" s="250"/>
      <c r="C490" s="250"/>
      <c r="D490" s="250"/>
      <c r="E490" s="250"/>
      <c r="F490" s="425"/>
      <c r="G490" s="425"/>
      <c r="H490" s="346"/>
      <c r="I490" s="250"/>
      <c r="J490" s="426"/>
      <c r="K490" s="426"/>
      <c r="L490" s="414"/>
      <c r="M490" s="414"/>
      <c r="N490" s="414"/>
      <c r="O490" s="414"/>
      <c r="P490" s="414"/>
      <c r="Q490" s="414"/>
      <c r="R490" s="414"/>
      <c r="S490" s="414"/>
      <c r="T490" s="414"/>
      <c r="U490" s="414"/>
      <c r="V490" s="414"/>
      <c r="W490" s="414"/>
      <c r="X490" s="414"/>
      <c r="Y490" s="414"/>
      <c r="Z490" s="414"/>
    </row>
    <row r="491" spans="1:26" ht="15.75" customHeight="1" x14ac:dyDescent="0.25">
      <c r="A491" s="424">
        <v>486</v>
      </c>
      <c r="B491" s="250"/>
      <c r="C491" s="250"/>
      <c r="D491" s="250"/>
      <c r="E491" s="250"/>
      <c r="F491" s="425"/>
      <c r="G491" s="425"/>
      <c r="H491" s="346"/>
      <c r="I491" s="250"/>
      <c r="J491" s="426"/>
      <c r="K491" s="426"/>
      <c r="L491" s="414"/>
      <c r="M491" s="414"/>
      <c r="N491" s="414"/>
      <c r="O491" s="414"/>
      <c r="P491" s="414"/>
      <c r="Q491" s="414"/>
      <c r="R491" s="414"/>
      <c r="S491" s="414"/>
      <c r="T491" s="414"/>
      <c r="U491" s="414"/>
      <c r="V491" s="414"/>
      <c r="W491" s="414"/>
      <c r="X491" s="414"/>
      <c r="Y491" s="414"/>
      <c r="Z491" s="414"/>
    </row>
    <row r="492" spans="1:26" ht="15.75" customHeight="1" x14ac:dyDescent="0.25">
      <c r="A492" s="424">
        <v>487</v>
      </c>
      <c r="B492" s="250"/>
      <c r="C492" s="250"/>
      <c r="D492" s="250"/>
      <c r="E492" s="250"/>
      <c r="F492" s="425"/>
      <c r="G492" s="425"/>
      <c r="H492" s="346"/>
      <c r="I492" s="250"/>
      <c r="J492" s="426"/>
      <c r="K492" s="426"/>
      <c r="L492" s="414"/>
      <c r="M492" s="414"/>
      <c r="N492" s="414"/>
      <c r="O492" s="414"/>
      <c r="P492" s="414"/>
      <c r="Q492" s="414"/>
      <c r="R492" s="414"/>
      <c r="S492" s="414"/>
      <c r="T492" s="414"/>
      <c r="U492" s="414"/>
      <c r="V492" s="414"/>
      <c r="W492" s="414"/>
      <c r="X492" s="414"/>
      <c r="Y492" s="414"/>
      <c r="Z492" s="414"/>
    </row>
    <row r="493" spans="1:26" ht="15.75" customHeight="1" x14ac:dyDescent="0.25">
      <c r="A493" s="424">
        <v>488</v>
      </c>
      <c r="B493" s="250"/>
      <c r="C493" s="250"/>
      <c r="D493" s="250"/>
      <c r="E493" s="250"/>
      <c r="F493" s="425"/>
      <c r="G493" s="425"/>
      <c r="H493" s="346"/>
      <c r="I493" s="250"/>
      <c r="J493" s="426"/>
      <c r="K493" s="426"/>
      <c r="L493" s="414"/>
      <c r="M493" s="414"/>
      <c r="N493" s="414"/>
      <c r="O493" s="414"/>
      <c r="P493" s="414"/>
      <c r="Q493" s="414"/>
      <c r="R493" s="414"/>
      <c r="S493" s="414"/>
      <c r="T493" s="414"/>
      <c r="U493" s="414"/>
      <c r="V493" s="414"/>
      <c r="W493" s="414"/>
      <c r="X493" s="414"/>
      <c r="Y493" s="414"/>
      <c r="Z493" s="414"/>
    </row>
    <row r="494" spans="1:26" ht="15.75" customHeight="1" x14ac:dyDescent="0.25">
      <c r="A494" s="424">
        <v>489</v>
      </c>
      <c r="B494" s="250"/>
      <c r="C494" s="250"/>
      <c r="D494" s="250"/>
      <c r="E494" s="250"/>
      <c r="F494" s="425"/>
      <c r="G494" s="425"/>
      <c r="H494" s="346"/>
      <c r="I494" s="250"/>
      <c r="J494" s="426"/>
      <c r="K494" s="426"/>
      <c r="L494" s="414"/>
      <c r="M494" s="414"/>
      <c r="N494" s="414"/>
      <c r="O494" s="414"/>
      <c r="P494" s="414"/>
      <c r="Q494" s="414"/>
      <c r="R494" s="414"/>
      <c r="S494" s="414"/>
      <c r="T494" s="414"/>
      <c r="U494" s="414"/>
      <c r="V494" s="414"/>
      <c r="W494" s="414"/>
      <c r="X494" s="414"/>
      <c r="Y494" s="414"/>
      <c r="Z494" s="414"/>
    </row>
    <row r="495" spans="1:26" ht="15.75" customHeight="1" x14ac:dyDescent="0.25">
      <c r="A495" s="424">
        <v>490</v>
      </c>
      <c r="B495" s="250"/>
      <c r="C495" s="250"/>
      <c r="D495" s="250"/>
      <c r="E495" s="250"/>
      <c r="F495" s="425"/>
      <c r="G495" s="425"/>
      <c r="H495" s="346"/>
      <c r="I495" s="250"/>
      <c r="J495" s="426"/>
      <c r="K495" s="426"/>
      <c r="L495" s="414"/>
      <c r="M495" s="414"/>
      <c r="N495" s="414"/>
      <c r="O495" s="414"/>
      <c r="P495" s="414"/>
      <c r="Q495" s="414"/>
      <c r="R495" s="414"/>
      <c r="S495" s="414"/>
      <c r="T495" s="414"/>
      <c r="U495" s="414"/>
      <c r="V495" s="414"/>
      <c r="W495" s="414"/>
      <c r="X495" s="414"/>
      <c r="Y495" s="414"/>
      <c r="Z495" s="414"/>
    </row>
    <row r="496" spans="1:26" ht="15.75" customHeight="1" x14ac:dyDescent="0.25">
      <c r="A496" s="424">
        <v>491</v>
      </c>
      <c r="B496" s="250"/>
      <c r="C496" s="250"/>
      <c r="D496" s="250"/>
      <c r="E496" s="250"/>
      <c r="F496" s="425"/>
      <c r="G496" s="425"/>
      <c r="H496" s="346"/>
      <c r="I496" s="250"/>
      <c r="J496" s="426"/>
      <c r="K496" s="426"/>
      <c r="L496" s="414"/>
      <c r="M496" s="414"/>
      <c r="N496" s="414"/>
      <c r="O496" s="414"/>
      <c r="P496" s="414"/>
      <c r="Q496" s="414"/>
      <c r="R496" s="414"/>
      <c r="S496" s="414"/>
      <c r="T496" s="414"/>
      <c r="U496" s="414"/>
      <c r="V496" s="414"/>
      <c r="W496" s="414"/>
      <c r="X496" s="414"/>
      <c r="Y496" s="414"/>
      <c r="Z496" s="414"/>
    </row>
    <row r="497" spans="1:26" ht="15.75" customHeight="1" x14ac:dyDescent="0.25">
      <c r="A497" s="424">
        <v>492</v>
      </c>
      <c r="B497" s="250"/>
      <c r="C497" s="250"/>
      <c r="D497" s="250"/>
      <c r="E497" s="250"/>
      <c r="F497" s="425"/>
      <c r="G497" s="425"/>
      <c r="H497" s="346"/>
      <c r="I497" s="250"/>
      <c r="J497" s="426"/>
      <c r="K497" s="426"/>
      <c r="L497" s="414"/>
      <c r="M497" s="414"/>
      <c r="N497" s="414"/>
      <c r="O497" s="414"/>
      <c r="P497" s="414"/>
      <c r="Q497" s="414"/>
      <c r="R497" s="414"/>
      <c r="S497" s="414"/>
      <c r="T497" s="414"/>
      <c r="U497" s="414"/>
      <c r="V497" s="414"/>
      <c r="W497" s="414"/>
      <c r="X497" s="414"/>
      <c r="Y497" s="414"/>
      <c r="Z497" s="414"/>
    </row>
    <row r="498" spans="1:26" ht="15.75" customHeight="1" x14ac:dyDescent="0.25">
      <c r="A498" s="424">
        <v>493</v>
      </c>
      <c r="B498" s="250"/>
      <c r="C498" s="250"/>
      <c r="D498" s="250"/>
      <c r="E498" s="250"/>
      <c r="F498" s="425"/>
      <c r="G498" s="425"/>
      <c r="H498" s="346"/>
      <c r="I498" s="250"/>
      <c r="J498" s="426"/>
      <c r="K498" s="426"/>
      <c r="L498" s="414"/>
      <c r="M498" s="414"/>
      <c r="N498" s="414"/>
      <c r="O498" s="414"/>
      <c r="P498" s="414"/>
      <c r="Q498" s="414"/>
      <c r="R498" s="414"/>
      <c r="S498" s="414"/>
      <c r="T498" s="414"/>
      <c r="U498" s="414"/>
      <c r="V498" s="414"/>
      <c r="W498" s="414"/>
      <c r="X498" s="414"/>
      <c r="Y498" s="414"/>
      <c r="Z498" s="414"/>
    </row>
    <row r="499" spans="1:26" ht="15.75" customHeight="1" x14ac:dyDescent="0.25">
      <c r="A499" s="424">
        <v>494</v>
      </c>
      <c r="B499" s="250"/>
      <c r="C499" s="250"/>
      <c r="D499" s="250"/>
      <c r="E499" s="250"/>
      <c r="F499" s="425"/>
      <c r="G499" s="425"/>
      <c r="H499" s="346"/>
      <c r="I499" s="250"/>
      <c r="J499" s="426"/>
      <c r="K499" s="426"/>
      <c r="L499" s="414"/>
      <c r="M499" s="414"/>
      <c r="N499" s="414"/>
      <c r="O499" s="414"/>
      <c r="P499" s="414"/>
      <c r="Q499" s="414"/>
      <c r="R499" s="414"/>
      <c r="S499" s="414"/>
      <c r="T499" s="414"/>
      <c r="U499" s="414"/>
      <c r="V499" s="414"/>
      <c r="W499" s="414"/>
      <c r="X499" s="414"/>
      <c r="Y499" s="414"/>
      <c r="Z499" s="414"/>
    </row>
    <row r="500" spans="1:26" ht="15.75" customHeight="1" x14ac:dyDescent="0.25">
      <c r="A500" s="424">
        <v>495</v>
      </c>
      <c r="B500" s="250"/>
      <c r="C500" s="250"/>
      <c r="D500" s="250"/>
      <c r="E500" s="250"/>
      <c r="F500" s="425"/>
      <c r="G500" s="425"/>
      <c r="H500" s="346"/>
      <c r="I500" s="250"/>
      <c r="J500" s="426"/>
      <c r="K500" s="426"/>
      <c r="L500" s="414"/>
      <c r="M500" s="414"/>
      <c r="N500" s="414"/>
      <c r="O500" s="414"/>
      <c r="P500" s="414"/>
      <c r="Q500" s="414"/>
      <c r="R500" s="414"/>
      <c r="S500" s="414"/>
      <c r="T500" s="414"/>
      <c r="U500" s="414"/>
      <c r="V500" s="414"/>
      <c r="W500" s="414"/>
      <c r="X500" s="414"/>
      <c r="Y500" s="414"/>
      <c r="Z500" s="414"/>
    </row>
    <row r="501" spans="1:26" ht="15.75" customHeight="1" x14ac:dyDescent="0.25">
      <c r="A501" s="424">
        <v>496</v>
      </c>
      <c r="B501" s="250"/>
      <c r="C501" s="250"/>
      <c r="D501" s="250"/>
      <c r="E501" s="250"/>
      <c r="F501" s="425"/>
      <c r="G501" s="425"/>
      <c r="H501" s="346"/>
      <c r="I501" s="250"/>
      <c r="J501" s="426"/>
      <c r="K501" s="426"/>
      <c r="L501" s="414"/>
      <c r="M501" s="414"/>
      <c r="N501" s="414"/>
      <c r="O501" s="414"/>
      <c r="P501" s="414"/>
      <c r="Q501" s="414"/>
      <c r="R501" s="414"/>
      <c r="S501" s="414"/>
      <c r="T501" s="414"/>
      <c r="U501" s="414"/>
      <c r="V501" s="414"/>
      <c r="W501" s="414"/>
      <c r="X501" s="414"/>
      <c r="Y501" s="414"/>
      <c r="Z501" s="414"/>
    </row>
    <row r="502" spans="1:26" ht="15.75" customHeight="1" x14ac:dyDescent="0.25">
      <c r="A502" s="424">
        <v>497</v>
      </c>
      <c r="B502" s="250"/>
      <c r="C502" s="250"/>
      <c r="D502" s="250"/>
      <c r="E502" s="250"/>
      <c r="F502" s="425"/>
      <c r="G502" s="425"/>
      <c r="H502" s="346"/>
      <c r="I502" s="250"/>
      <c r="J502" s="426"/>
      <c r="K502" s="426"/>
      <c r="L502" s="414"/>
      <c r="M502" s="414"/>
      <c r="N502" s="414"/>
      <c r="O502" s="414"/>
      <c r="P502" s="414"/>
      <c r="Q502" s="414"/>
      <c r="R502" s="414"/>
      <c r="S502" s="414"/>
      <c r="T502" s="414"/>
      <c r="U502" s="414"/>
      <c r="V502" s="414"/>
      <c r="W502" s="414"/>
      <c r="X502" s="414"/>
      <c r="Y502" s="414"/>
      <c r="Z502" s="414"/>
    </row>
    <row r="503" spans="1:26" ht="15.75" customHeight="1" x14ac:dyDescent="0.25">
      <c r="A503" s="424">
        <v>498</v>
      </c>
      <c r="B503" s="250"/>
      <c r="C503" s="250"/>
      <c r="D503" s="250"/>
      <c r="E503" s="250"/>
      <c r="F503" s="425"/>
      <c r="G503" s="425"/>
      <c r="H503" s="346"/>
      <c r="I503" s="250"/>
      <c r="J503" s="426"/>
      <c r="K503" s="426"/>
      <c r="L503" s="414"/>
      <c r="M503" s="414"/>
      <c r="N503" s="414"/>
      <c r="O503" s="414"/>
      <c r="P503" s="414"/>
      <c r="Q503" s="414"/>
      <c r="R503" s="414"/>
      <c r="S503" s="414"/>
      <c r="T503" s="414"/>
      <c r="U503" s="414"/>
      <c r="V503" s="414"/>
      <c r="W503" s="414"/>
      <c r="X503" s="414"/>
      <c r="Y503" s="414"/>
      <c r="Z503" s="414"/>
    </row>
    <row r="504" spans="1:26" ht="15.75" customHeight="1" x14ac:dyDescent="0.25">
      <c r="A504" s="424">
        <v>499</v>
      </c>
      <c r="B504" s="250"/>
      <c r="C504" s="250"/>
      <c r="D504" s="250"/>
      <c r="E504" s="250"/>
      <c r="F504" s="425"/>
      <c r="G504" s="425"/>
      <c r="H504" s="346"/>
      <c r="I504" s="250"/>
      <c r="J504" s="426"/>
      <c r="K504" s="426"/>
      <c r="L504" s="414"/>
      <c r="M504" s="414"/>
      <c r="N504" s="414"/>
      <c r="O504" s="414"/>
      <c r="P504" s="414"/>
      <c r="Q504" s="414"/>
      <c r="R504" s="414"/>
      <c r="S504" s="414"/>
      <c r="T504" s="414"/>
      <c r="U504" s="414"/>
      <c r="V504" s="414"/>
      <c r="W504" s="414"/>
      <c r="X504" s="414"/>
      <c r="Y504" s="414"/>
      <c r="Z504" s="414"/>
    </row>
    <row r="505" spans="1:26" ht="15.75" customHeight="1" x14ac:dyDescent="0.25">
      <c r="A505" s="424">
        <v>500</v>
      </c>
      <c r="B505" s="250"/>
      <c r="C505" s="250"/>
      <c r="D505" s="250"/>
      <c r="E505" s="250"/>
      <c r="F505" s="425"/>
      <c r="G505" s="425"/>
      <c r="H505" s="346"/>
      <c r="I505" s="250"/>
      <c r="J505" s="426"/>
      <c r="K505" s="426"/>
      <c r="L505" s="414"/>
      <c r="M505" s="414"/>
      <c r="N505" s="414"/>
      <c r="O505" s="414"/>
      <c r="P505" s="414"/>
      <c r="Q505" s="414"/>
      <c r="R505" s="414"/>
      <c r="S505" s="414"/>
      <c r="T505" s="414"/>
      <c r="U505" s="414"/>
      <c r="V505" s="414"/>
      <c r="W505" s="414"/>
      <c r="X505" s="414"/>
      <c r="Y505" s="414"/>
      <c r="Z505" s="414"/>
    </row>
    <row r="506" spans="1:26" ht="15.75" customHeight="1" x14ac:dyDescent="0.25">
      <c r="A506" s="424">
        <v>501</v>
      </c>
      <c r="B506" s="250"/>
      <c r="C506" s="250"/>
      <c r="D506" s="250"/>
      <c r="E506" s="250"/>
      <c r="F506" s="425"/>
      <c r="G506" s="425"/>
      <c r="H506" s="346"/>
      <c r="I506" s="250"/>
      <c r="J506" s="426"/>
      <c r="K506" s="426"/>
      <c r="L506" s="414"/>
      <c r="M506" s="414"/>
      <c r="N506" s="414"/>
      <c r="O506" s="414"/>
      <c r="P506" s="414"/>
      <c r="Q506" s="414"/>
      <c r="R506" s="414"/>
      <c r="S506" s="414"/>
      <c r="T506" s="414"/>
      <c r="U506" s="414"/>
      <c r="V506" s="414"/>
      <c r="W506" s="414"/>
      <c r="X506" s="414"/>
      <c r="Y506" s="414"/>
      <c r="Z506" s="414"/>
    </row>
    <row r="507" spans="1:26" ht="15.75" customHeight="1" x14ac:dyDescent="0.25">
      <c r="A507" s="424">
        <v>502</v>
      </c>
      <c r="B507" s="250"/>
      <c r="C507" s="250"/>
      <c r="D507" s="250"/>
      <c r="E507" s="250"/>
      <c r="F507" s="425"/>
      <c r="G507" s="425"/>
      <c r="H507" s="346"/>
      <c r="I507" s="250"/>
      <c r="J507" s="426"/>
      <c r="K507" s="426"/>
      <c r="L507" s="414"/>
      <c r="M507" s="414"/>
      <c r="N507" s="414"/>
      <c r="O507" s="414"/>
      <c r="P507" s="414"/>
      <c r="Q507" s="414"/>
      <c r="R507" s="414"/>
      <c r="S507" s="414"/>
      <c r="T507" s="414"/>
      <c r="U507" s="414"/>
      <c r="V507" s="414"/>
      <c r="W507" s="414"/>
      <c r="X507" s="414"/>
      <c r="Y507" s="414"/>
      <c r="Z507" s="414"/>
    </row>
    <row r="508" spans="1:26" ht="15.75" customHeight="1" x14ac:dyDescent="0.25">
      <c r="A508" s="424">
        <v>503</v>
      </c>
      <c r="B508" s="250"/>
      <c r="C508" s="250"/>
      <c r="D508" s="250"/>
      <c r="E508" s="250"/>
      <c r="F508" s="425"/>
      <c r="G508" s="425"/>
      <c r="H508" s="346"/>
      <c r="I508" s="250"/>
      <c r="J508" s="426"/>
      <c r="K508" s="426"/>
      <c r="L508" s="414"/>
      <c r="M508" s="414"/>
      <c r="N508" s="414"/>
      <c r="O508" s="414"/>
      <c r="P508" s="414"/>
      <c r="Q508" s="414"/>
      <c r="R508" s="414"/>
      <c r="S508" s="414"/>
      <c r="T508" s="414"/>
      <c r="U508" s="414"/>
      <c r="V508" s="414"/>
      <c r="W508" s="414"/>
      <c r="X508" s="414"/>
      <c r="Y508" s="414"/>
      <c r="Z508" s="414"/>
    </row>
    <row r="509" spans="1:26" ht="15.75" customHeight="1" x14ac:dyDescent="0.25">
      <c r="A509" s="424">
        <v>504</v>
      </c>
      <c r="B509" s="250"/>
      <c r="C509" s="250"/>
      <c r="D509" s="250"/>
      <c r="E509" s="250"/>
      <c r="F509" s="425"/>
      <c r="G509" s="425"/>
      <c r="H509" s="346"/>
      <c r="I509" s="250"/>
      <c r="J509" s="426"/>
      <c r="K509" s="426"/>
      <c r="L509" s="414"/>
      <c r="M509" s="414"/>
      <c r="N509" s="414"/>
      <c r="O509" s="414"/>
      <c r="P509" s="414"/>
      <c r="Q509" s="414"/>
      <c r="R509" s="414"/>
      <c r="S509" s="414"/>
      <c r="T509" s="414"/>
      <c r="U509" s="414"/>
      <c r="V509" s="414"/>
      <c r="W509" s="414"/>
      <c r="X509" s="414"/>
      <c r="Y509" s="414"/>
      <c r="Z509" s="414"/>
    </row>
    <row r="510" spans="1:26" ht="15.75" customHeight="1" x14ac:dyDescent="0.25">
      <c r="A510" s="424">
        <v>505</v>
      </c>
      <c r="B510" s="250"/>
      <c r="C510" s="250"/>
      <c r="D510" s="250"/>
      <c r="E510" s="250"/>
      <c r="F510" s="425"/>
      <c r="G510" s="425"/>
      <c r="H510" s="346"/>
      <c r="I510" s="250"/>
      <c r="J510" s="426"/>
      <c r="K510" s="426"/>
      <c r="L510" s="414"/>
      <c r="M510" s="414"/>
      <c r="N510" s="414"/>
      <c r="O510" s="414"/>
      <c r="P510" s="414"/>
      <c r="Q510" s="414"/>
      <c r="R510" s="414"/>
      <c r="S510" s="414"/>
      <c r="T510" s="414"/>
      <c r="U510" s="414"/>
      <c r="V510" s="414"/>
      <c r="W510" s="414"/>
      <c r="X510" s="414"/>
      <c r="Y510" s="414"/>
      <c r="Z510" s="414"/>
    </row>
    <row r="511" spans="1:26" ht="15.75" customHeight="1" x14ac:dyDescent="0.25">
      <c r="A511" s="424">
        <v>506</v>
      </c>
      <c r="B511" s="250"/>
      <c r="C511" s="250"/>
      <c r="D511" s="250"/>
      <c r="E511" s="250"/>
      <c r="F511" s="425"/>
      <c r="G511" s="425"/>
      <c r="H511" s="346"/>
      <c r="I511" s="250"/>
      <c r="J511" s="426"/>
      <c r="K511" s="426"/>
      <c r="L511" s="414"/>
      <c r="M511" s="414"/>
      <c r="N511" s="414"/>
      <c r="O511" s="414"/>
      <c r="P511" s="414"/>
      <c r="Q511" s="414"/>
      <c r="R511" s="414"/>
      <c r="S511" s="414"/>
      <c r="T511" s="414"/>
      <c r="U511" s="414"/>
      <c r="V511" s="414"/>
      <c r="W511" s="414"/>
      <c r="X511" s="414"/>
      <c r="Y511" s="414"/>
      <c r="Z511" s="414"/>
    </row>
    <row r="512" spans="1:26" ht="15.75" customHeight="1" x14ac:dyDescent="0.25">
      <c r="A512" s="424">
        <v>507</v>
      </c>
      <c r="B512" s="250"/>
      <c r="C512" s="250"/>
      <c r="D512" s="250"/>
      <c r="E512" s="250"/>
      <c r="F512" s="425"/>
      <c r="G512" s="425"/>
      <c r="H512" s="346"/>
      <c r="I512" s="250"/>
      <c r="J512" s="426"/>
      <c r="K512" s="426"/>
      <c r="L512" s="414"/>
      <c r="M512" s="414"/>
      <c r="N512" s="414"/>
      <c r="O512" s="414"/>
      <c r="P512" s="414"/>
      <c r="Q512" s="414"/>
      <c r="R512" s="414"/>
      <c r="S512" s="414"/>
      <c r="T512" s="414"/>
      <c r="U512" s="414"/>
      <c r="V512" s="414"/>
      <c r="W512" s="414"/>
      <c r="X512" s="414"/>
      <c r="Y512" s="414"/>
      <c r="Z512" s="414"/>
    </row>
    <row r="513" spans="1:26" ht="15.75" customHeight="1" x14ac:dyDescent="0.25">
      <c r="A513" s="424">
        <v>508</v>
      </c>
      <c r="B513" s="250"/>
      <c r="C513" s="250"/>
      <c r="D513" s="250"/>
      <c r="E513" s="250"/>
      <c r="F513" s="425"/>
      <c r="G513" s="425"/>
      <c r="H513" s="346"/>
      <c r="I513" s="250"/>
      <c r="J513" s="426"/>
      <c r="K513" s="426"/>
      <c r="L513" s="414"/>
      <c r="M513" s="414"/>
      <c r="N513" s="414"/>
      <c r="O513" s="414"/>
      <c r="P513" s="414"/>
      <c r="Q513" s="414"/>
      <c r="R513" s="414"/>
      <c r="S513" s="414"/>
      <c r="T513" s="414"/>
      <c r="U513" s="414"/>
      <c r="V513" s="414"/>
      <c r="W513" s="414"/>
      <c r="X513" s="414"/>
      <c r="Y513" s="414"/>
      <c r="Z513" s="414"/>
    </row>
    <row r="514" spans="1:26" ht="15.75" customHeight="1" x14ac:dyDescent="0.25">
      <c r="A514" s="424">
        <v>509</v>
      </c>
      <c r="B514" s="250"/>
      <c r="C514" s="250"/>
      <c r="D514" s="250"/>
      <c r="E514" s="250"/>
      <c r="F514" s="425"/>
      <c r="G514" s="425"/>
      <c r="H514" s="346"/>
      <c r="I514" s="250"/>
      <c r="J514" s="426"/>
      <c r="K514" s="426"/>
      <c r="L514" s="414"/>
      <c r="M514" s="414"/>
      <c r="N514" s="414"/>
      <c r="O514" s="414"/>
      <c r="P514" s="414"/>
      <c r="Q514" s="414"/>
      <c r="R514" s="414"/>
      <c r="S514" s="414"/>
      <c r="T514" s="414"/>
      <c r="U514" s="414"/>
      <c r="V514" s="414"/>
      <c r="W514" s="414"/>
      <c r="X514" s="414"/>
      <c r="Y514" s="414"/>
      <c r="Z514" s="414"/>
    </row>
    <row r="515" spans="1:26" ht="15.75" customHeight="1" x14ac:dyDescent="0.25">
      <c r="A515" s="424">
        <v>510</v>
      </c>
      <c r="B515" s="250"/>
      <c r="C515" s="250"/>
      <c r="D515" s="250"/>
      <c r="E515" s="250"/>
      <c r="F515" s="425"/>
      <c r="G515" s="425"/>
      <c r="H515" s="346"/>
      <c r="I515" s="250"/>
      <c r="J515" s="426"/>
      <c r="K515" s="426"/>
      <c r="L515" s="414"/>
      <c r="M515" s="414"/>
      <c r="N515" s="414"/>
      <c r="O515" s="414"/>
      <c r="P515" s="414"/>
      <c r="Q515" s="414"/>
      <c r="R515" s="414"/>
      <c r="S515" s="414"/>
      <c r="T515" s="414"/>
      <c r="U515" s="414"/>
      <c r="V515" s="414"/>
      <c r="W515" s="414"/>
      <c r="X515" s="414"/>
      <c r="Y515" s="414"/>
      <c r="Z515" s="414"/>
    </row>
    <row r="516" spans="1:26" ht="15.75" customHeight="1" x14ac:dyDescent="0.25">
      <c r="A516" s="424">
        <v>511</v>
      </c>
      <c r="B516" s="250"/>
      <c r="C516" s="250"/>
      <c r="D516" s="250"/>
      <c r="E516" s="250"/>
      <c r="F516" s="425"/>
      <c r="G516" s="425"/>
      <c r="H516" s="346"/>
      <c r="I516" s="250"/>
      <c r="J516" s="426"/>
      <c r="K516" s="426"/>
      <c r="L516" s="414"/>
      <c r="M516" s="414"/>
      <c r="N516" s="414"/>
      <c r="O516" s="414"/>
      <c r="P516" s="414"/>
      <c r="Q516" s="414"/>
      <c r="R516" s="414"/>
      <c r="S516" s="414"/>
      <c r="T516" s="414"/>
      <c r="U516" s="414"/>
      <c r="V516" s="414"/>
      <c r="W516" s="414"/>
      <c r="X516" s="414"/>
      <c r="Y516" s="414"/>
      <c r="Z516" s="414"/>
    </row>
    <row r="517" spans="1:26" ht="15.75" customHeight="1" x14ac:dyDescent="0.25">
      <c r="A517" s="424">
        <v>512</v>
      </c>
      <c r="B517" s="250"/>
      <c r="C517" s="250"/>
      <c r="D517" s="250"/>
      <c r="E517" s="250"/>
      <c r="F517" s="425"/>
      <c r="G517" s="425"/>
      <c r="H517" s="346"/>
      <c r="I517" s="250"/>
      <c r="J517" s="426"/>
      <c r="K517" s="426"/>
      <c r="L517" s="414"/>
      <c r="M517" s="414"/>
      <c r="N517" s="414"/>
      <c r="O517" s="414"/>
      <c r="P517" s="414"/>
      <c r="Q517" s="414"/>
      <c r="R517" s="414"/>
      <c r="S517" s="414"/>
      <c r="T517" s="414"/>
      <c r="U517" s="414"/>
      <c r="V517" s="414"/>
      <c r="W517" s="414"/>
      <c r="X517" s="414"/>
      <c r="Y517" s="414"/>
      <c r="Z517" s="414"/>
    </row>
    <row r="518" spans="1:26" ht="15.75" customHeight="1" x14ac:dyDescent="0.25">
      <c r="A518" s="424">
        <v>513</v>
      </c>
      <c r="B518" s="250"/>
      <c r="C518" s="250"/>
      <c r="D518" s="250"/>
      <c r="E518" s="250"/>
      <c r="F518" s="425"/>
      <c r="G518" s="425"/>
      <c r="H518" s="346"/>
      <c r="I518" s="250"/>
      <c r="J518" s="426"/>
      <c r="K518" s="426"/>
      <c r="L518" s="414"/>
      <c r="M518" s="414"/>
      <c r="N518" s="414"/>
      <c r="O518" s="414"/>
      <c r="P518" s="414"/>
      <c r="Q518" s="414"/>
      <c r="R518" s="414"/>
      <c r="S518" s="414"/>
      <c r="T518" s="414"/>
      <c r="U518" s="414"/>
      <c r="V518" s="414"/>
      <c r="W518" s="414"/>
      <c r="X518" s="414"/>
      <c r="Y518" s="414"/>
      <c r="Z518" s="414"/>
    </row>
    <row r="519" spans="1:26" ht="15.75" customHeight="1" x14ac:dyDescent="0.25">
      <c r="A519" s="424">
        <v>514</v>
      </c>
      <c r="B519" s="250"/>
      <c r="C519" s="250"/>
      <c r="D519" s="250"/>
      <c r="E519" s="250"/>
      <c r="F519" s="425"/>
      <c r="G519" s="425"/>
      <c r="H519" s="346"/>
      <c r="I519" s="250"/>
      <c r="J519" s="426"/>
      <c r="K519" s="426"/>
      <c r="L519" s="414"/>
      <c r="M519" s="414"/>
      <c r="N519" s="414"/>
      <c r="O519" s="414"/>
      <c r="P519" s="414"/>
      <c r="Q519" s="414"/>
      <c r="R519" s="414"/>
      <c r="S519" s="414"/>
      <c r="T519" s="414"/>
      <c r="U519" s="414"/>
      <c r="V519" s="414"/>
      <c r="W519" s="414"/>
      <c r="X519" s="414"/>
      <c r="Y519" s="414"/>
      <c r="Z519" s="414"/>
    </row>
    <row r="520" spans="1:26" ht="15.75" customHeight="1" x14ac:dyDescent="0.25">
      <c r="A520" s="424">
        <v>515</v>
      </c>
      <c r="B520" s="250"/>
      <c r="C520" s="250"/>
      <c r="D520" s="250"/>
      <c r="E520" s="250"/>
      <c r="F520" s="425"/>
      <c r="G520" s="425"/>
      <c r="H520" s="346"/>
      <c r="I520" s="250"/>
      <c r="J520" s="426"/>
      <c r="K520" s="426"/>
      <c r="L520" s="414"/>
      <c r="M520" s="414"/>
      <c r="N520" s="414"/>
      <c r="O520" s="414"/>
      <c r="P520" s="414"/>
      <c r="Q520" s="414"/>
      <c r="R520" s="414"/>
      <c r="S520" s="414"/>
      <c r="T520" s="414"/>
      <c r="U520" s="414"/>
      <c r="V520" s="414"/>
      <c r="W520" s="414"/>
      <c r="X520" s="414"/>
      <c r="Y520" s="414"/>
      <c r="Z520" s="414"/>
    </row>
    <row r="521" spans="1:26" ht="15.75" customHeight="1" x14ac:dyDescent="0.25">
      <c r="A521" s="424">
        <v>516</v>
      </c>
      <c r="B521" s="250"/>
      <c r="C521" s="250"/>
      <c r="D521" s="250"/>
      <c r="E521" s="250"/>
      <c r="F521" s="425"/>
      <c r="G521" s="425"/>
      <c r="H521" s="346"/>
      <c r="I521" s="250"/>
      <c r="J521" s="426"/>
      <c r="K521" s="426"/>
      <c r="L521" s="414"/>
      <c r="M521" s="414"/>
      <c r="N521" s="414"/>
      <c r="O521" s="414"/>
      <c r="P521" s="414"/>
      <c r="Q521" s="414"/>
      <c r="R521" s="414"/>
      <c r="S521" s="414"/>
      <c r="T521" s="414"/>
      <c r="U521" s="414"/>
      <c r="V521" s="414"/>
      <c r="W521" s="414"/>
      <c r="X521" s="414"/>
      <c r="Y521" s="414"/>
      <c r="Z521" s="414"/>
    </row>
    <row r="522" spans="1:26" ht="15.75" customHeight="1" x14ac:dyDescent="0.25">
      <c r="A522" s="424">
        <v>517</v>
      </c>
      <c r="B522" s="250"/>
      <c r="C522" s="250"/>
      <c r="D522" s="250"/>
      <c r="E522" s="250"/>
      <c r="F522" s="425"/>
      <c r="G522" s="425"/>
      <c r="H522" s="346"/>
      <c r="I522" s="250"/>
      <c r="J522" s="426"/>
      <c r="K522" s="426"/>
      <c r="L522" s="414"/>
      <c r="M522" s="414"/>
      <c r="N522" s="414"/>
      <c r="O522" s="414"/>
      <c r="P522" s="414"/>
      <c r="Q522" s="414"/>
      <c r="R522" s="414"/>
      <c r="S522" s="414"/>
      <c r="T522" s="414"/>
      <c r="U522" s="414"/>
      <c r="V522" s="414"/>
      <c r="W522" s="414"/>
      <c r="X522" s="414"/>
      <c r="Y522" s="414"/>
      <c r="Z522" s="414"/>
    </row>
    <row r="523" spans="1:26" ht="15.75" customHeight="1" x14ac:dyDescent="0.25">
      <c r="A523" s="424">
        <v>518</v>
      </c>
      <c r="B523" s="250"/>
      <c r="C523" s="250"/>
      <c r="D523" s="250"/>
      <c r="E523" s="250"/>
      <c r="F523" s="425"/>
      <c r="G523" s="425"/>
      <c r="H523" s="346"/>
      <c r="I523" s="250"/>
      <c r="J523" s="426"/>
      <c r="K523" s="426"/>
      <c r="L523" s="414"/>
      <c r="M523" s="414"/>
      <c r="N523" s="414"/>
      <c r="O523" s="414"/>
      <c r="P523" s="414"/>
      <c r="Q523" s="414"/>
      <c r="R523" s="414"/>
      <c r="S523" s="414"/>
      <c r="T523" s="414"/>
      <c r="U523" s="414"/>
      <c r="V523" s="414"/>
      <c r="W523" s="414"/>
      <c r="X523" s="414"/>
      <c r="Y523" s="414"/>
      <c r="Z523" s="414"/>
    </row>
    <row r="524" spans="1:26" ht="15.75" customHeight="1" x14ac:dyDescent="0.25">
      <c r="A524" s="424">
        <v>519</v>
      </c>
      <c r="B524" s="250"/>
      <c r="C524" s="250"/>
      <c r="D524" s="250"/>
      <c r="E524" s="250"/>
      <c r="F524" s="425"/>
      <c r="G524" s="425"/>
      <c r="H524" s="346"/>
      <c r="I524" s="250"/>
      <c r="J524" s="426"/>
      <c r="K524" s="426"/>
      <c r="L524" s="414"/>
      <c r="M524" s="414"/>
      <c r="N524" s="414"/>
      <c r="O524" s="414"/>
      <c r="P524" s="414"/>
      <c r="Q524" s="414"/>
      <c r="R524" s="414"/>
      <c r="S524" s="414"/>
      <c r="T524" s="414"/>
      <c r="U524" s="414"/>
      <c r="V524" s="414"/>
      <c r="W524" s="414"/>
      <c r="X524" s="414"/>
      <c r="Y524" s="414"/>
      <c r="Z524" s="414"/>
    </row>
    <row r="525" spans="1:26" ht="15.75" customHeight="1" x14ac:dyDescent="0.25">
      <c r="A525" s="424">
        <v>520</v>
      </c>
      <c r="B525" s="250"/>
      <c r="C525" s="250"/>
      <c r="D525" s="250"/>
      <c r="E525" s="250"/>
      <c r="F525" s="425"/>
      <c r="G525" s="425"/>
      <c r="H525" s="346"/>
      <c r="I525" s="250"/>
      <c r="J525" s="426"/>
      <c r="K525" s="426"/>
      <c r="L525" s="414"/>
      <c r="M525" s="414"/>
      <c r="N525" s="414"/>
      <c r="O525" s="414"/>
      <c r="P525" s="414"/>
      <c r="Q525" s="414"/>
      <c r="R525" s="414"/>
      <c r="S525" s="414"/>
      <c r="T525" s="414"/>
      <c r="U525" s="414"/>
      <c r="V525" s="414"/>
      <c r="W525" s="414"/>
      <c r="X525" s="414"/>
      <c r="Y525" s="414"/>
      <c r="Z525" s="414"/>
    </row>
    <row r="526" spans="1:26" ht="15.75" customHeight="1" x14ac:dyDescent="0.25">
      <c r="A526" s="424">
        <v>521</v>
      </c>
      <c r="B526" s="250"/>
      <c r="C526" s="250"/>
      <c r="D526" s="250"/>
      <c r="E526" s="250"/>
      <c r="F526" s="425"/>
      <c r="G526" s="425"/>
      <c r="H526" s="346"/>
      <c r="I526" s="250"/>
      <c r="J526" s="426"/>
      <c r="K526" s="426"/>
      <c r="L526" s="414"/>
      <c r="M526" s="414"/>
      <c r="N526" s="414"/>
      <c r="O526" s="414"/>
      <c r="P526" s="414"/>
      <c r="Q526" s="414"/>
      <c r="R526" s="414"/>
      <c r="S526" s="414"/>
      <c r="T526" s="414"/>
      <c r="U526" s="414"/>
      <c r="V526" s="414"/>
      <c r="W526" s="414"/>
      <c r="X526" s="414"/>
      <c r="Y526" s="414"/>
      <c r="Z526" s="414"/>
    </row>
    <row r="527" spans="1:26" ht="15.75" customHeight="1" x14ac:dyDescent="0.25">
      <c r="A527" s="424">
        <v>522</v>
      </c>
      <c r="B527" s="250"/>
      <c r="C527" s="250"/>
      <c r="D527" s="250"/>
      <c r="E527" s="250"/>
      <c r="F527" s="425"/>
      <c r="G527" s="425"/>
      <c r="H527" s="346"/>
      <c r="I527" s="250"/>
      <c r="J527" s="426"/>
      <c r="K527" s="426"/>
      <c r="L527" s="414"/>
      <c r="M527" s="414"/>
      <c r="N527" s="414"/>
      <c r="O527" s="414"/>
      <c r="P527" s="414"/>
      <c r="Q527" s="414"/>
      <c r="R527" s="414"/>
      <c r="S527" s="414"/>
      <c r="T527" s="414"/>
      <c r="U527" s="414"/>
      <c r="V527" s="414"/>
      <c r="W527" s="414"/>
      <c r="X527" s="414"/>
      <c r="Y527" s="414"/>
      <c r="Z527" s="414"/>
    </row>
    <row r="528" spans="1:26" ht="15.75" customHeight="1" x14ac:dyDescent="0.25">
      <c r="A528" s="424">
        <v>523</v>
      </c>
      <c r="B528" s="250"/>
      <c r="C528" s="250"/>
      <c r="D528" s="250"/>
      <c r="E528" s="250"/>
      <c r="F528" s="425"/>
      <c r="G528" s="425"/>
      <c r="H528" s="346"/>
      <c r="I528" s="250"/>
      <c r="J528" s="426"/>
      <c r="K528" s="426"/>
      <c r="L528" s="414"/>
      <c r="M528" s="414"/>
      <c r="N528" s="414"/>
      <c r="O528" s="414"/>
      <c r="P528" s="414"/>
      <c r="Q528" s="414"/>
      <c r="R528" s="414"/>
      <c r="S528" s="414"/>
      <c r="T528" s="414"/>
      <c r="U528" s="414"/>
      <c r="V528" s="414"/>
      <c r="W528" s="414"/>
      <c r="X528" s="414"/>
      <c r="Y528" s="414"/>
      <c r="Z528" s="414"/>
    </row>
    <row r="529" spans="1:26" ht="15.75" customHeight="1" x14ac:dyDescent="0.25">
      <c r="A529" s="424">
        <v>524</v>
      </c>
      <c r="B529" s="250"/>
      <c r="C529" s="250"/>
      <c r="D529" s="250"/>
      <c r="E529" s="250"/>
      <c r="F529" s="425"/>
      <c r="G529" s="425"/>
      <c r="H529" s="346"/>
      <c r="I529" s="250"/>
      <c r="J529" s="426"/>
      <c r="K529" s="426"/>
      <c r="L529" s="414"/>
      <c r="M529" s="414"/>
      <c r="N529" s="414"/>
      <c r="O529" s="414"/>
      <c r="P529" s="414"/>
      <c r="Q529" s="414"/>
      <c r="R529" s="414"/>
      <c r="S529" s="414"/>
      <c r="T529" s="414"/>
      <c r="U529" s="414"/>
      <c r="V529" s="414"/>
      <c r="W529" s="414"/>
      <c r="X529" s="414"/>
      <c r="Y529" s="414"/>
      <c r="Z529" s="414"/>
    </row>
    <row r="530" spans="1:26" ht="15.75" customHeight="1" x14ac:dyDescent="0.25">
      <c r="A530" s="424">
        <v>525</v>
      </c>
      <c r="B530" s="250"/>
      <c r="C530" s="250"/>
      <c r="D530" s="250"/>
      <c r="E530" s="250"/>
      <c r="F530" s="425"/>
      <c r="G530" s="425"/>
      <c r="H530" s="346"/>
      <c r="I530" s="250"/>
      <c r="J530" s="426"/>
      <c r="K530" s="426"/>
      <c r="L530" s="414"/>
      <c r="M530" s="414"/>
      <c r="N530" s="414"/>
      <c r="O530" s="414"/>
      <c r="P530" s="414"/>
      <c r="Q530" s="414"/>
      <c r="R530" s="414"/>
      <c r="S530" s="414"/>
      <c r="T530" s="414"/>
      <c r="U530" s="414"/>
      <c r="V530" s="414"/>
      <c r="W530" s="414"/>
      <c r="X530" s="414"/>
      <c r="Y530" s="414"/>
      <c r="Z530" s="414"/>
    </row>
    <row r="531" spans="1:26" ht="15.75" customHeight="1" x14ac:dyDescent="0.25">
      <c r="A531" s="424">
        <v>526</v>
      </c>
      <c r="B531" s="250"/>
      <c r="C531" s="250"/>
      <c r="D531" s="250"/>
      <c r="E531" s="250"/>
      <c r="F531" s="425"/>
      <c r="G531" s="425"/>
      <c r="H531" s="346"/>
      <c r="I531" s="250"/>
      <c r="J531" s="426"/>
      <c r="K531" s="426"/>
      <c r="L531" s="414"/>
      <c r="M531" s="414"/>
      <c r="N531" s="414"/>
      <c r="O531" s="414"/>
      <c r="P531" s="414"/>
      <c r="Q531" s="414"/>
      <c r="R531" s="414"/>
      <c r="S531" s="414"/>
      <c r="T531" s="414"/>
      <c r="U531" s="414"/>
      <c r="V531" s="414"/>
      <c r="W531" s="414"/>
      <c r="X531" s="414"/>
      <c r="Y531" s="414"/>
      <c r="Z531" s="414"/>
    </row>
    <row r="532" spans="1:26" ht="15.75" customHeight="1" x14ac:dyDescent="0.25">
      <c r="A532" s="424">
        <v>527</v>
      </c>
      <c r="B532" s="250"/>
      <c r="C532" s="250"/>
      <c r="D532" s="250"/>
      <c r="E532" s="250"/>
      <c r="F532" s="425"/>
      <c r="G532" s="425"/>
      <c r="H532" s="346"/>
      <c r="I532" s="250"/>
      <c r="J532" s="426"/>
      <c r="K532" s="426"/>
      <c r="L532" s="414"/>
      <c r="M532" s="414"/>
      <c r="N532" s="414"/>
      <c r="O532" s="414"/>
      <c r="P532" s="414"/>
      <c r="Q532" s="414"/>
      <c r="R532" s="414"/>
      <c r="S532" s="414"/>
      <c r="T532" s="414"/>
      <c r="U532" s="414"/>
      <c r="V532" s="414"/>
      <c r="W532" s="414"/>
      <c r="X532" s="414"/>
      <c r="Y532" s="414"/>
      <c r="Z532" s="414"/>
    </row>
    <row r="533" spans="1:26" ht="15.75" customHeight="1" x14ac:dyDescent="0.25">
      <c r="A533" s="424">
        <v>528</v>
      </c>
      <c r="B533" s="250"/>
      <c r="C533" s="250"/>
      <c r="D533" s="250"/>
      <c r="E533" s="250"/>
      <c r="F533" s="425"/>
      <c r="G533" s="425"/>
      <c r="H533" s="346"/>
      <c r="I533" s="250"/>
      <c r="J533" s="426"/>
      <c r="K533" s="426"/>
      <c r="L533" s="414"/>
      <c r="M533" s="414"/>
      <c r="N533" s="414"/>
      <c r="O533" s="414"/>
      <c r="P533" s="414"/>
      <c r="Q533" s="414"/>
      <c r="R533" s="414"/>
      <c r="S533" s="414"/>
      <c r="T533" s="414"/>
      <c r="U533" s="414"/>
      <c r="V533" s="414"/>
      <c r="W533" s="414"/>
      <c r="X533" s="414"/>
      <c r="Y533" s="414"/>
      <c r="Z533" s="414"/>
    </row>
    <row r="534" spans="1:26" ht="15.75" customHeight="1" x14ac:dyDescent="0.25">
      <c r="A534" s="424">
        <v>529</v>
      </c>
      <c r="B534" s="250"/>
      <c r="C534" s="250"/>
      <c r="D534" s="250"/>
      <c r="E534" s="250"/>
      <c r="F534" s="425"/>
      <c r="G534" s="425"/>
      <c r="H534" s="346"/>
      <c r="I534" s="250"/>
      <c r="J534" s="426"/>
      <c r="K534" s="426"/>
      <c r="L534" s="414"/>
      <c r="M534" s="414"/>
      <c r="N534" s="414"/>
      <c r="O534" s="414"/>
      <c r="P534" s="414"/>
      <c r="Q534" s="414"/>
      <c r="R534" s="414"/>
      <c r="S534" s="414"/>
      <c r="T534" s="414"/>
      <c r="U534" s="414"/>
      <c r="V534" s="414"/>
      <c r="W534" s="414"/>
      <c r="X534" s="414"/>
      <c r="Y534" s="414"/>
      <c r="Z534" s="414"/>
    </row>
    <row r="535" spans="1:26" ht="15.75" customHeight="1" x14ac:dyDescent="0.25">
      <c r="A535" s="424">
        <v>530</v>
      </c>
      <c r="B535" s="250"/>
      <c r="C535" s="250"/>
      <c r="D535" s="250"/>
      <c r="E535" s="250"/>
      <c r="F535" s="425"/>
      <c r="G535" s="425"/>
      <c r="H535" s="346"/>
      <c r="I535" s="250"/>
      <c r="J535" s="426"/>
      <c r="K535" s="426"/>
      <c r="L535" s="414"/>
      <c r="M535" s="414"/>
      <c r="N535" s="414"/>
      <c r="O535" s="414"/>
      <c r="P535" s="414"/>
      <c r="Q535" s="414"/>
      <c r="R535" s="414"/>
      <c r="S535" s="414"/>
      <c r="T535" s="414"/>
      <c r="U535" s="414"/>
      <c r="V535" s="414"/>
      <c r="W535" s="414"/>
      <c r="X535" s="414"/>
      <c r="Y535" s="414"/>
      <c r="Z535" s="414"/>
    </row>
    <row r="536" spans="1:26" ht="15.75" customHeight="1" x14ac:dyDescent="0.25">
      <c r="A536" s="424">
        <v>531</v>
      </c>
      <c r="B536" s="250"/>
      <c r="C536" s="250"/>
      <c r="D536" s="250"/>
      <c r="E536" s="250"/>
      <c r="F536" s="425"/>
      <c r="G536" s="425"/>
      <c r="H536" s="346"/>
      <c r="I536" s="250"/>
      <c r="J536" s="426"/>
      <c r="K536" s="426"/>
      <c r="L536" s="414"/>
      <c r="M536" s="414"/>
      <c r="N536" s="414"/>
      <c r="O536" s="414"/>
      <c r="P536" s="414"/>
      <c r="Q536" s="414"/>
      <c r="R536" s="414"/>
      <c r="S536" s="414"/>
      <c r="T536" s="414"/>
      <c r="U536" s="414"/>
      <c r="V536" s="414"/>
      <c r="W536" s="414"/>
      <c r="X536" s="414"/>
      <c r="Y536" s="414"/>
      <c r="Z536" s="414"/>
    </row>
    <row r="537" spans="1:26" ht="15.75" customHeight="1" x14ac:dyDescent="0.25">
      <c r="A537" s="424">
        <v>532</v>
      </c>
      <c r="B537" s="250"/>
      <c r="C537" s="250"/>
      <c r="D537" s="250"/>
      <c r="E537" s="250"/>
      <c r="F537" s="425"/>
      <c r="G537" s="425"/>
      <c r="H537" s="346"/>
      <c r="I537" s="250"/>
      <c r="J537" s="426"/>
      <c r="K537" s="426"/>
      <c r="L537" s="414"/>
      <c r="M537" s="414"/>
      <c r="N537" s="414"/>
      <c r="O537" s="414"/>
      <c r="P537" s="414"/>
      <c r="Q537" s="414"/>
      <c r="R537" s="414"/>
      <c r="S537" s="414"/>
      <c r="T537" s="414"/>
      <c r="U537" s="414"/>
      <c r="V537" s="414"/>
      <c r="W537" s="414"/>
      <c r="X537" s="414"/>
      <c r="Y537" s="414"/>
      <c r="Z537" s="414"/>
    </row>
    <row r="538" spans="1:26" ht="15.75" customHeight="1" x14ac:dyDescent="0.25">
      <c r="A538" s="424">
        <v>533</v>
      </c>
      <c r="B538" s="250"/>
      <c r="C538" s="250"/>
      <c r="D538" s="250"/>
      <c r="E538" s="250"/>
      <c r="F538" s="425"/>
      <c r="G538" s="425"/>
      <c r="H538" s="346"/>
      <c r="I538" s="250"/>
      <c r="J538" s="426"/>
      <c r="K538" s="426"/>
      <c r="L538" s="414"/>
      <c r="M538" s="414"/>
      <c r="N538" s="414"/>
      <c r="O538" s="414"/>
      <c r="P538" s="414"/>
      <c r="Q538" s="414"/>
      <c r="R538" s="414"/>
      <c r="S538" s="414"/>
      <c r="T538" s="414"/>
      <c r="U538" s="414"/>
      <c r="V538" s="414"/>
      <c r="W538" s="414"/>
      <c r="X538" s="414"/>
      <c r="Y538" s="414"/>
      <c r="Z538" s="414"/>
    </row>
    <row r="539" spans="1:26" ht="15.75" customHeight="1" x14ac:dyDescent="0.25">
      <c r="A539" s="424">
        <v>534</v>
      </c>
      <c r="B539" s="250"/>
      <c r="C539" s="250"/>
      <c r="D539" s="250"/>
      <c r="E539" s="250"/>
      <c r="F539" s="425"/>
      <c r="G539" s="425"/>
      <c r="H539" s="346"/>
      <c r="I539" s="250"/>
      <c r="J539" s="426"/>
      <c r="K539" s="426"/>
      <c r="L539" s="414"/>
      <c r="M539" s="414"/>
      <c r="N539" s="414"/>
      <c r="O539" s="414"/>
      <c r="P539" s="414"/>
      <c r="Q539" s="414"/>
      <c r="R539" s="414"/>
      <c r="S539" s="414"/>
      <c r="T539" s="414"/>
      <c r="U539" s="414"/>
      <c r="V539" s="414"/>
      <c r="W539" s="414"/>
      <c r="X539" s="414"/>
      <c r="Y539" s="414"/>
      <c r="Z539" s="414"/>
    </row>
    <row r="540" spans="1:26" ht="15.75" customHeight="1" x14ac:dyDescent="0.25">
      <c r="A540" s="424">
        <v>535</v>
      </c>
      <c r="B540" s="250"/>
      <c r="C540" s="250"/>
      <c r="D540" s="250"/>
      <c r="E540" s="250"/>
      <c r="F540" s="425"/>
      <c r="G540" s="425"/>
      <c r="H540" s="346"/>
      <c r="I540" s="250"/>
      <c r="J540" s="426"/>
      <c r="K540" s="426"/>
      <c r="L540" s="414"/>
      <c r="M540" s="414"/>
      <c r="N540" s="414"/>
      <c r="O540" s="414"/>
      <c r="P540" s="414"/>
      <c r="Q540" s="414"/>
      <c r="R540" s="414"/>
      <c r="S540" s="414"/>
      <c r="T540" s="414"/>
      <c r="U540" s="414"/>
      <c r="V540" s="414"/>
      <c r="W540" s="414"/>
      <c r="X540" s="414"/>
      <c r="Y540" s="414"/>
      <c r="Z540" s="414"/>
    </row>
    <row r="541" spans="1:26" ht="15.75" customHeight="1" x14ac:dyDescent="0.25">
      <c r="A541" s="424">
        <v>536</v>
      </c>
      <c r="B541" s="250"/>
      <c r="C541" s="250"/>
      <c r="D541" s="250"/>
      <c r="E541" s="250"/>
      <c r="F541" s="425"/>
      <c r="G541" s="425"/>
      <c r="H541" s="346"/>
      <c r="I541" s="250"/>
      <c r="J541" s="426"/>
      <c r="K541" s="426"/>
      <c r="L541" s="414"/>
      <c r="M541" s="414"/>
      <c r="N541" s="414"/>
      <c r="O541" s="414"/>
      <c r="P541" s="414"/>
      <c r="Q541" s="414"/>
      <c r="R541" s="414"/>
      <c r="S541" s="414"/>
      <c r="T541" s="414"/>
      <c r="U541" s="414"/>
      <c r="V541" s="414"/>
      <c r="W541" s="414"/>
      <c r="X541" s="414"/>
      <c r="Y541" s="414"/>
      <c r="Z541" s="414"/>
    </row>
    <row r="542" spans="1:26" ht="15.75" customHeight="1" x14ac:dyDescent="0.25">
      <c r="A542" s="424">
        <v>537</v>
      </c>
      <c r="B542" s="250"/>
      <c r="C542" s="250"/>
      <c r="D542" s="250"/>
      <c r="E542" s="250"/>
      <c r="F542" s="425"/>
      <c r="G542" s="425"/>
      <c r="H542" s="346"/>
      <c r="I542" s="250"/>
      <c r="J542" s="426"/>
      <c r="K542" s="426"/>
      <c r="L542" s="414"/>
      <c r="M542" s="414"/>
      <c r="N542" s="414"/>
      <c r="O542" s="414"/>
      <c r="P542" s="414"/>
      <c r="Q542" s="414"/>
      <c r="R542" s="414"/>
      <c r="S542" s="414"/>
      <c r="T542" s="414"/>
      <c r="U542" s="414"/>
      <c r="V542" s="414"/>
      <c r="W542" s="414"/>
      <c r="X542" s="414"/>
      <c r="Y542" s="414"/>
      <c r="Z542" s="414"/>
    </row>
    <row r="543" spans="1:26" ht="15.75" customHeight="1" x14ac:dyDescent="0.25">
      <c r="A543" s="424">
        <v>538</v>
      </c>
      <c r="B543" s="250"/>
      <c r="C543" s="250"/>
      <c r="D543" s="250"/>
      <c r="E543" s="250"/>
      <c r="F543" s="425"/>
      <c r="G543" s="425"/>
      <c r="H543" s="346"/>
      <c r="I543" s="250"/>
      <c r="J543" s="426"/>
      <c r="K543" s="426"/>
      <c r="L543" s="414"/>
      <c r="M543" s="414"/>
      <c r="N543" s="414"/>
      <c r="O543" s="414"/>
      <c r="P543" s="414"/>
      <c r="Q543" s="414"/>
      <c r="R543" s="414"/>
      <c r="S543" s="414"/>
      <c r="T543" s="414"/>
      <c r="U543" s="414"/>
      <c r="V543" s="414"/>
      <c r="W543" s="414"/>
      <c r="X543" s="414"/>
      <c r="Y543" s="414"/>
      <c r="Z543" s="414"/>
    </row>
    <row r="544" spans="1:26" ht="15.75" customHeight="1" x14ac:dyDescent="0.25">
      <c r="A544" s="424">
        <v>539</v>
      </c>
      <c r="B544" s="250"/>
      <c r="C544" s="250"/>
      <c r="D544" s="250"/>
      <c r="E544" s="250"/>
      <c r="F544" s="425"/>
      <c r="G544" s="425"/>
      <c r="H544" s="346"/>
      <c r="I544" s="250"/>
      <c r="J544" s="426"/>
      <c r="K544" s="426"/>
      <c r="L544" s="414"/>
      <c r="M544" s="414"/>
      <c r="N544" s="414"/>
      <c r="O544" s="414"/>
      <c r="P544" s="414"/>
      <c r="Q544" s="414"/>
      <c r="R544" s="414"/>
      <c r="S544" s="414"/>
      <c r="T544" s="414"/>
      <c r="U544" s="414"/>
      <c r="V544" s="414"/>
      <c r="W544" s="414"/>
      <c r="X544" s="414"/>
      <c r="Y544" s="414"/>
      <c r="Z544" s="414"/>
    </row>
    <row r="545" spans="1:26" ht="15.75" customHeight="1" x14ac:dyDescent="0.25">
      <c r="A545" s="424">
        <v>540</v>
      </c>
      <c r="B545" s="250"/>
      <c r="C545" s="250"/>
      <c r="D545" s="250"/>
      <c r="E545" s="250"/>
      <c r="F545" s="425"/>
      <c r="G545" s="425"/>
      <c r="H545" s="346"/>
      <c r="I545" s="250"/>
      <c r="J545" s="426"/>
      <c r="K545" s="426"/>
      <c r="L545" s="414"/>
      <c r="M545" s="414"/>
      <c r="N545" s="414"/>
      <c r="O545" s="414"/>
      <c r="P545" s="414"/>
      <c r="Q545" s="414"/>
      <c r="R545" s="414"/>
      <c r="S545" s="414"/>
      <c r="T545" s="414"/>
      <c r="U545" s="414"/>
      <c r="V545" s="414"/>
      <c r="W545" s="414"/>
      <c r="X545" s="414"/>
      <c r="Y545" s="414"/>
      <c r="Z545" s="414"/>
    </row>
    <row r="546" spans="1:26" ht="15.75" customHeight="1" x14ac:dyDescent="0.25">
      <c r="A546" s="424">
        <v>541</v>
      </c>
      <c r="B546" s="250"/>
      <c r="C546" s="250"/>
      <c r="D546" s="250"/>
      <c r="E546" s="250"/>
      <c r="F546" s="425"/>
      <c r="G546" s="425"/>
      <c r="H546" s="346"/>
      <c r="I546" s="250"/>
      <c r="J546" s="426"/>
      <c r="K546" s="426"/>
      <c r="L546" s="414"/>
      <c r="M546" s="414"/>
      <c r="N546" s="414"/>
      <c r="O546" s="414"/>
      <c r="P546" s="414"/>
      <c r="Q546" s="414"/>
      <c r="R546" s="414"/>
      <c r="S546" s="414"/>
      <c r="T546" s="414"/>
      <c r="U546" s="414"/>
      <c r="V546" s="414"/>
      <c r="W546" s="414"/>
      <c r="X546" s="414"/>
      <c r="Y546" s="414"/>
      <c r="Z546" s="414"/>
    </row>
    <row r="547" spans="1:26" ht="15.75" customHeight="1" x14ac:dyDescent="0.25">
      <c r="A547" s="424">
        <v>542</v>
      </c>
      <c r="B547" s="250"/>
      <c r="C547" s="250"/>
      <c r="D547" s="250"/>
      <c r="E547" s="250"/>
      <c r="F547" s="425"/>
      <c r="G547" s="425"/>
      <c r="H547" s="346"/>
      <c r="I547" s="250"/>
      <c r="J547" s="426"/>
      <c r="K547" s="426"/>
      <c r="L547" s="414"/>
      <c r="M547" s="414"/>
      <c r="N547" s="414"/>
      <c r="O547" s="414"/>
      <c r="P547" s="414"/>
      <c r="Q547" s="414"/>
      <c r="R547" s="414"/>
      <c r="S547" s="414"/>
      <c r="T547" s="414"/>
      <c r="U547" s="414"/>
      <c r="V547" s="414"/>
      <c r="W547" s="414"/>
      <c r="X547" s="414"/>
      <c r="Y547" s="414"/>
      <c r="Z547" s="414"/>
    </row>
    <row r="548" spans="1:26" ht="15.75" customHeight="1" x14ac:dyDescent="0.25">
      <c r="A548" s="424">
        <v>543</v>
      </c>
      <c r="B548" s="250"/>
      <c r="C548" s="250"/>
      <c r="D548" s="250"/>
      <c r="E548" s="250"/>
      <c r="F548" s="425"/>
      <c r="G548" s="425"/>
      <c r="H548" s="346"/>
      <c r="I548" s="250"/>
      <c r="J548" s="426"/>
      <c r="K548" s="426"/>
      <c r="L548" s="414"/>
      <c r="M548" s="414"/>
      <c r="N548" s="414"/>
      <c r="O548" s="414"/>
      <c r="P548" s="414"/>
      <c r="Q548" s="414"/>
      <c r="R548" s="414"/>
      <c r="S548" s="414"/>
      <c r="T548" s="414"/>
      <c r="U548" s="414"/>
      <c r="V548" s="414"/>
      <c r="W548" s="414"/>
      <c r="X548" s="414"/>
      <c r="Y548" s="414"/>
      <c r="Z548" s="414"/>
    </row>
    <row r="549" spans="1:26" ht="15.75" customHeight="1" x14ac:dyDescent="0.25">
      <c r="A549" s="424">
        <v>544</v>
      </c>
      <c r="B549" s="250"/>
      <c r="C549" s="250"/>
      <c r="D549" s="250"/>
      <c r="E549" s="250"/>
      <c r="F549" s="425"/>
      <c r="G549" s="425"/>
      <c r="H549" s="346"/>
      <c r="I549" s="250"/>
      <c r="J549" s="426"/>
      <c r="K549" s="426"/>
      <c r="L549" s="414"/>
      <c r="M549" s="414"/>
      <c r="N549" s="414"/>
      <c r="O549" s="414"/>
      <c r="P549" s="414"/>
      <c r="Q549" s="414"/>
      <c r="R549" s="414"/>
      <c r="S549" s="414"/>
      <c r="T549" s="414"/>
      <c r="U549" s="414"/>
      <c r="V549" s="414"/>
      <c r="W549" s="414"/>
      <c r="X549" s="414"/>
      <c r="Y549" s="414"/>
      <c r="Z549" s="414"/>
    </row>
    <row r="550" spans="1:26" ht="15.75" customHeight="1" x14ac:dyDescent="0.25">
      <c r="A550" s="424">
        <v>545</v>
      </c>
      <c r="B550" s="250"/>
      <c r="C550" s="250"/>
      <c r="D550" s="250"/>
      <c r="E550" s="250"/>
      <c r="F550" s="425"/>
      <c r="G550" s="425"/>
      <c r="H550" s="346"/>
      <c r="I550" s="250"/>
      <c r="J550" s="426"/>
      <c r="K550" s="426"/>
      <c r="L550" s="414"/>
      <c r="M550" s="414"/>
      <c r="N550" s="414"/>
      <c r="O550" s="414"/>
      <c r="P550" s="414"/>
      <c r="Q550" s="414"/>
      <c r="R550" s="414"/>
      <c r="S550" s="414"/>
      <c r="T550" s="414"/>
      <c r="U550" s="414"/>
      <c r="V550" s="414"/>
      <c r="W550" s="414"/>
      <c r="X550" s="414"/>
      <c r="Y550" s="414"/>
      <c r="Z550" s="414"/>
    </row>
    <row r="551" spans="1:26" ht="15.75" customHeight="1" x14ac:dyDescent="0.25">
      <c r="A551" s="424">
        <v>546</v>
      </c>
      <c r="B551" s="250"/>
      <c r="C551" s="250"/>
      <c r="D551" s="250"/>
      <c r="E551" s="250"/>
      <c r="F551" s="425"/>
      <c r="G551" s="425"/>
      <c r="H551" s="346"/>
      <c r="I551" s="250"/>
      <c r="J551" s="426"/>
      <c r="K551" s="426"/>
      <c r="L551" s="414"/>
      <c r="M551" s="414"/>
      <c r="N551" s="414"/>
      <c r="O551" s="414"/>
      <c r="P551" s="414"/>
      <c r="Q551" s="414"/>
      <c r="R551" s="414"/>
      <c r="S551" s="414"/>
      <c r="T551" s="414"/>
      <c r="U551" s="414"/>
      <c r="V551" s="414"/>
      <c r="W551" s="414"/>
      <c r="X551" s="414"/>
      <c r="Y551" s="414"/>
      <c r="Z551" s="414"/>
    </row>
    <row r="552" spans="1:26" ht="15.75" customHeight="1" x14ac:dyDescent="0.25">
      <c r="A552" s="424">
        <v>547</v>
      </c>
      <c r="B552" s="250"/>
      <c r="C552" s="250"/>
      <c r="D552" s="250"/>
      <c r="E552" s="250"/>
      <c r="F552" s="425"/>
      <c r="G552" s="425"/>
      <c r="H552" s="346"/>
      <c r="I552" s="250"/>
      <c r="J552" s="426"/>
      <c r="K552" s="426"/>
      <c r="L552" s="414"/>
      <c r="M552" s="414"/>
      <c r="N552" s="414"/>
      <c r="O552" s="414"/>
      <c r="P552" s="414"/>
      <c r="Q552" s="414"/>
      <c r="R552" s="414"/>
      <c r="S552" s="414"/>
      <c r="T552" s="414"/>
      <c r="U552" s="414"/>
      <c r="V552" s="414"/>
      <c r="W552" s="414"/>
      <c r="X552" s="414"/>
      <c r="Y552" s="414"/>
      <c r="Z552" s="414"/>
    </row>
    <row r="553" spans="1:26" ht="15.75" customHeight="1" x14ac:dyDescent="0.25">
      <c r="A553" s="424">
        <v>548</v>
      </c>
      <c r="B553" s="250"/>
      <c r="C553" s="250"/>
      <c r="D553" s="250"/>
      <c r="E553" s="250"/>
      <c r="F553" s="425"/>
      <c r="G553" s="425"/>
      <c r="H553" s="346"/>
      <c r="I553" s="250"/>
      <c r="J553" s="426"/>
      <c r="K553" s="426"/>
      <c r="L553" s="414"/>
      <c r="M553" s="414"/>
      <c r="N553" s="414"/>
      <c r="O553" s="414"/>
      <c r="P553" s="414"/>
      <c r="Q553" s="414"/>
      <c r="R553" s="414"/>
      <c r="S553" s="414"/>
      <c r="T553" s="414"/>
      <c r="U553" s="414"/>
      <c r="V553" s="414"/>
      <c r="W553" s="414"/>
      <c r="X553" s="414"/>
      <c r="Y553" s="414"/>
      <c r="Z553" s="414"/>
    </row>
    <row r="554" spans="1:26" ht="15.75" customHeight="1" x14ac:dyDescent="0.25">
      <c r="A554" s="424">
        <v>549</v>
      </c>
      <c r="B554" s="250"/>
      <c r="C554" s="250"/>
      <c r="D554" s="250"/>
      <c r="E554" s="250"/>
      <c r="F554" s="425"/>
      <c r="G554" s="425"/>
      <c r="H554" s="346"/>
      <c r="I554" s="250"/>
      <c r="J554" s="426"/>
      <c r="K554" s="426"/>
      <c r="L554" s="414"/>
      <c r="M554" s="414"/>
      <c r="N554" s="414"/>
      <c r="O554" s="414"/>
      <c r="P554" s="414"/>
      <c r="Q554" s="414"/>
      <c r="R554" s="414"/>
      <c r="S554" s="414"/>
      <c r="T554" s="414"/>
      <c r="U554" s="414"/>
      <c r="V554" s="414"/>
      <c r="W554" s="414"/>
      <c r="X554" s="414"/>
      <c r="Y554" s="414"/>
      <c r="Z554" s="414"/>
    </row>
    <row r="555" spans="1:26" ht="15.75" customHeight="1" x14ac:dyDescent="0.25">
      <c r="A555" s="424">
        <v>550</v>
      </c>
      <c r="B555" s="250"/>
      <c r="C555" s="250"/>
      <c r="D555" s="250"/>
      <c r="E555" s="250"/>
      <c r="F555" s="425"/>
      <c r="G555" s="425"/>
      <c r="H555" s="346"/>
      <c r="I555" s="250"/>
      <c r="J555" s="426"/>
      <c r="K555" s="426"/>
      <c r="L555" s="414"/>
      <c r="M555" s="414"/>
      <c r="N555" s="414"/>
      <c r="O555" s="414"/>
      <c r="P555" s="414"/>
      <c r="Q555" s="414"/>
      <c r="R555" s="414"/>
      <c r="S555" s="414"/>
      <c r="T555" s="414"/>
      <c r="U555" s="414"/>
      <c r="V555" s="414"/>
      <c r="W555" s="414"/>
      <c r="X555" s="414"/>
      <c r="Y555" s="414"/>
      <c r="Z555" s="414"/>
    </row>
    <row r="556" spans="1:26" ht="15.75" customHeight="1" x14ac:dyDescent="0.25">
      <c r="A556" s="424">
        <v>551</v>
      </c>
      <c r="B556" s="250"/>
      <c r="C556" s="250"/>
      <c r="D556" s="250"/>
      <c r="E556" s="250"/>
      <c r="F556" s="425"/>
      <c r="G556" s="425"/>
      <c r="H556" s="346"/>
      <c r="I556" s="250"/>
      <c r="J556" s="426"/>
      <c r="K556" s="426"/>
      <c r="L556" s="414"/>
      <c r="M556" s="414"/>
      <c r="N556" s="414"/>
      <c r="O556" s="414"/>
      <c r="P556" s="414"/>
      <c r="Q556" s="414"/>
      <c r="R556" s="414"/>
      <c r="S556" s="414"/>
      <c r="T556" s="414"/>
      <c r="U556" s="414"/>
      <c r="V556" s="414"/>
      <c r="W556" s="414"/>
      <c r="X556" s="414"/>
      <c r="Y556" s="414"/>
      <c r="Z556" s="414"/>
    </row>
    <row r="557" spans="1:26" ht="15.75" customHeight="1" x14ac:dyDescent="0.25">
      <c r="A557" s="424">
        <v>552</v>
      </c>
      <c r="B557" s="250"/>
      <c r="C557" s="250"/>
      <c r="D557" s="250"/>
      <c r="E557" s="250"/>
      <c r="F557" s="425"/>
      <c r="G557" s="425"/>
      <c r="H557" s="346"/>
      <c r="I557" s="250"/>
      <c r="J557" s="426"/>
      <c r="K557" s="426"/>
      <c r="L557" s="414"/>
      <c r="M557" s="414"/>
      <c r="N557" s="414"/>
      <c r="O557" s="414"/>
      <c r="P557" s="414"/>
      <c r="Q557" s="414"/>
      <c r="R557" s="414"/>
      <c r="S557" s="414"/>
      <c r="T557" s="414"/>
      <c r="U557" s="414"/>
      <c r="V557" s="414"/>
      <c r="W557" s="414"/>
      <c r="X557" s="414"/>
      <c r="Y557" s="414"/>
      <c r="Z557" s="414"/>
    </row>
    <row r="558" spans="1:26" ht="15.75" customHeight="1" x14ac:dyDescent="0.25">
      <c r="A558" s="424">
        <v>553</v>
      </c>
      <c r="B558" s="250"/>
      <c r="C558" s="250"/>
      <c r="D558" s="250"/>
      <c r="E558" s="250"/>
      <c r="F558" s="425"/>
      <c r="G558" s="425"/>
      <c r="H558" s="346"/>
      <c r="I558" s="250"/>
      <c r="J558" s="426"/>
      <c r="K558" s="426"/>
      <c r="L558" s="414"/>
      <c r="M558" s="414"/>
      <c r="N558" s="414"/>
      <c r="O558" s="414"/>
      <c r="P558" s="414"/>
      <c r="Q558" s="414"/>
      <c r="R558" s="414"/>
      <c r="S558" s="414"/>
      <c r="T558" s="414"/>
      <c r="U558" s="414"/>
      <c r="V558" s="414"/>
      <c r="W558" s="414"/>
      <c r="X558" s="414"/>
      <c r="Y558" s="414"/>
      <c r="Z558" s="414"/>
    </row>
    <row r="559" spans="1:26" ht="15.75" customHeight="1" x14ac:dyDescent="0.25">
      <c r="A559" s="424">
        <v>554</v>
      </c>
      <c r="B559" s="250"/>
      <c r="C559" s="250"/>
      <c r="D559" s="250"/>
      <c r="E559" s="250"/>
      <c r="F559" s="425"/>
      <c r="G559" s="425"/>
      <c r="H559" s="346"/>
      <c r="I559" s="250"/>
      <c r="J559" s="426"/>
      <c r="K559" s="426"/>
      <c r="L559" s="414"/>
      <c r="M559" s="414"/>
      <c r="N559" s="414"/>
      <c r="O559" s="414"/>
      <c r="P559" s="414"/>
      <c r="Q559" s="414"/>
      <c r="R559" s="414"/>
      <c r="S559" s="414"/>
      <c r="T559" s="414"/>
      <c r="U559" s="414"/>
      <c r="V559" s="414"/>
      <c r="W559" s="414"/>
      <c r="X559" s="414"/>
      <c r="Y559" s="414"/>
      <c r="Z559" s="414"/>
    </row>
    <row r="560" spans="1:26" ht="15.75" customHeight="1" x14ac:dyDescent="0.25">
      <c r="A560" s="424">
        <v>555</v>
      </c>
      <c r="B560" s="250"/>
      <c r="C560" s="250"/>
      <c r="D560" s="250"/>
      <c r="E560" s="250"/>
      <c r="F560" s="425"/>
      <c r="G560" s="425"/>
      <c r="H560" s="346"/>
      <c r="I560" s="250"/>
      <c r="J560" s="426"/>
      <c r="K560" s="426"/>
      <c r="L560" s="414"/>
      <c r="M560" s="414"/>
      <c r="N560" s="414"/>
      <c r="O560" s="414"/>
      <c r="P560" s="414"/>
      <c r="Q560" s="414"/>
      <c r="R560" s="414"/>
      <c r="S560" s="414"/>
      <c r="T560" s="414"/>
      <c r="U560" s="414"/>
      <c r="V560" s="414"/>
      <c r="W560" s="414"/>
      <c r="X560" s="414"/>
      <c r="Y560" s="414"/>
      <c r="Z560" s="414"/>
    </row>
    <row r="561" spans="1:26" ht="15.75" customHeight="1" x14ac:dyDescent="0.25">
      <c r="A561" s="424">
        <v>556</v>
      </c>
      <c r="B561" s="250"/>
      <c r="C561" s="250"/>
      <c r="D561" s="250"/>
      <c r="E561" s="250"/>
      <c r="F561" s="425"/>
      <c r="G561" s="425"/>
      <c r="H561" s="346"/>
      <c r="I561" s="250"/>
      <c r="J561" s="426"/>
      <c r="K561" s="426"/>
      <c r="L561" s="414"/>
      <c r="M561" s="414"/>
      <c r="N561" s="414"/>
      <c r="O561" s="414"/>
      <c r="P561" s="414"/>
      <c r="Q561" s="414"/>
      <c r="R561" s="414"/>
      <c r="S561" s="414"/>
      <c r="T561" s="414"/>
      <c r="U561" s="414"/>
      <c r="V561" s="414"/>
      <c r="W561" s="414"/>
      <c r="X561" s="414"/>
      <c r="Y561" s="414"/>
      <c r="Z561" s="414"/>
    </row>
    <row r="562" spans="1:26" ht="15.75" customHeight="1" x14ac:dyDescent="0.25">
      <c r="A562" s="424">
        <v>557</v>
      </c>
      <c r="B562" s="250"/>
      <c r="C562" s="250"/>
      <c r="D562" s="250"/>
      <c r="E562" s="250"/>
      <c r="F562" s="425"/>
      <c r="G562" s="425"/>
      <c r="H562" s="346"/>
      <c r="I562" s="250"/>
      <c r="J562" s="426"/>
      <c r="K562" s="426"/>
      <c r="L562" s="414"/>
      <c r="M562" s="414"/>
      <c r="N562" s="414"/>
      <c r="O562" s="414"/>
      <c r="P562" s="414"/>
      <c r="Q562" s="414"/>
      <c r="R562" s="414"/>
      <c r="S562" s="414"/>
      <c r="T562" s="414"/>
      <c r="U562" s="414"/>
      <c r="V562" s="414"/>
      <c r="W562" s="414"/>
      <c r="X562" s="414"/>
      <c r="Y562" s="414"/>
      <c r="Z562" s="414"/>
    </row>
    <row r="563" spans="1:26" ht="15.75" customHeight="1" x14ac:dyDescent="0.25">
      <c r="A563" s="424">
        <v>558</v>
      </c>
      <c r="B563" s="250"/>
      <c r="C563" s="250"/>
      <c r="D563" s="250"/>
      <c r="E563" s="250"/>
      <c r="F563" s="425"/>
      <c r="G563" s="425"/>
      <c r="H563" s="346"/>
      <c r="I563" s="250"/>
      <c r="J563" s="426"/>
      <c r="K563" s="426"/>
      <c r="L563" s="414"/>
      <c r="M563" s="414"/>
      <c r="N563" s="414"/>
      <c r="O563" s="414"/>
      <c r="P563" s="414"/>
      <c r="Q563" s="414"/>
      <c r="R563" s="414"/>
      <c r="S563" s="414"/>
      <c r="T563" s="414"/>
      <c r="U563" s="414"/>
      <c r="V563" s="414"/>
      <c r="W563" s="414"/>
      <c r="X563" s="414"/>
      <c r="Y563" s="414"/>
      <c r="Z563" s="414"/>
    </row>
    <row r="564" spans="1:26" ht="15.75" customHeight="1" x14ac:dyDescent="0.25">
      <c r="A564" s="424">
        <v>559</v>
      </c>
      <c r="B564" s="250"/>
      <c r="C564" s="250"/>
      <c r="D564" s="250"/>
      <c r="E564" s="250"/>
      <c r="F564" s="425"/>
      <c r="G564" s="425"/>
      <c r="H564" s="346"/>
      <c r="I564" s="250"/>
      <c r="J564" s="426"/>
      <c r="K564" s="426"/>
      <c r="L564" s="414"/>
      <c r="M564" s="414"/>
      <c r="N564" s="414"/>
      <c r="O564" s="414"/>
      <c r="P564" s="414"/>
      <c r="Q564" s="414"/>
      <c r="R564" s="414"/>
      <c r="S564" s="414"/>
      <c r="T564" s="414"/>
      <c r="U564" s="414"/>
      <c r="V564" s="414"/>
      <c r="W564" s="414"/>
      <c r="X564" s="414"/>
      <c r="Y564" s="414"/>
      <c r="Z564" s="414"/>
    </row>
    <row r="565" spans="1:26" ht="15.75" customHeight="1" x14ac:dyDescent="0.25">
      <c r="A565" s="424">
        <v>560</v>
      </c>
      <c r="B565" s="250"/>
      <c r="C565" s="250"/>
      <c r="D565" s="250"/>
      <c r="E565" s="250"/>
      <c r="F565" s="425"/>
      <c r="G565" s="425"/>
      <c r="H565" s="346"/>
      <c r="I565" s="250"/>
      <c r="J565" s="426"/>
      <c r="K565" s="426"/>
      <c r="L565" s="414"/>
      <c r="M565" s="414"/>
      <c r="N565" s="414"/>
      <c r="O565" s="414"/>
      <c r="P565" s="414"/>
      <c r="Q565" s="414"/>
      <c r="R565" s="414"/>
      <c r="S565" s="414"/>
      <c r="T565" s="414"/>
      <c r="U565" s="414"/>
      <c r="V565" s="414"/>
      <c r="W565" s="414"/>
      <c r="X565" s="414"/>
      <c r="Y565" s="414"/>
      <c r="Z565" s="414"/>
    </row>
    <row r="566" spans="1:26" ht="15.75" customHeight="1" x14ac:dyDescent="0.25">
      <c r="A566" s="424">
        <v>561</v>
      </c>
      <c r="B566" s="250"/>
      <c r="C566" s="250"/>
      <c r="D566" s="250"/>
      <c r="E566" s="250"/>
      <c r="F566" s="425"/>
      <c r="G566" s="425"/>
      <c r="H566" s="346"/>
      <c r="I566" s="250"/>
      <c r="J566" s="426"/>
      <c r="K566" s="426"/>
      <c r="L566" s="414"/>
      <c r="M566" s="414"/>
      <c r="N566" s="414"/>
      <c r="O566" s="414"/>
      <c r="P566" s="414"/>
      <c r="Q566" s="414"/>
      <c r="R566" s="414"/>
      <c r="S566" s="414"/>
      <c r="T566" s="414"/>
      <c r="U566" s="414"/>
      <c r="V566" s="414"/>
      <c r="W566" s="414"/>
      <c r="X566" s="414"/>
      <c r="Y566" s="414"/>
      <c r="Z566" s="414"/>
    </row>
    <row r="567" spans="1:26" ht="15.75" customHeight="1" x14ac:dyDescent="0.25">
      <c r="A567" s="424">
        <v>562</v>
      </c>
      <c r="B567" s="250"/>
      <c r="C567" s="250"/>
      <c r="D567" s="250"/>
      <c r="E567" s="250"/>
      <c r="F567" s="425"/>
      <c r="G567" s="425"/>
      <c r="H567" s="346"/>
      <c r="I567" s="250"/>
      <c r="J567" s="426"/>
      <c r="K567" s="426"/>
      <c r="L567" s="414"/>
      <c r="M567" s="414"/>
      <c r="N567" s="414"/>
      <c r="O567" s="414"/>
      <c r="P567" s="414"/>
      <c r="Q567" s="414"/>
      <c r="R567" s="414"/>
      <c r="S567" s="414"/>
      <c r="T567" s="414"/>
      <c r="U567" s="414"/>
      <c r="V567" s="414"/>
      <c r="W567" s="414"/>
      <c r="X567" s="414"/>
      <c r="Y567" s="414"/>
      <c r="Z567" s="414"/>
    </row>
    <row r="568" spans="1:26" ht="15.75" customHeight="1" x14ac:dyDescent="0.25">
      <c r="A568" s="424">
        <v>563</v>
      </c>
      <c r="B568" s="250"/>
      <c r="C568" s="250"/>
      <c r="D568" s="250"/>
      <c r="E568" s="250"/>
      <c r="F568" s="425"/>
      <c r="G568" s="425"/>
      <c r="H568" s="346"/>
      <c r="I568" s="250"/>
      <c r="J568" s="426"/>
      <c r="K568" s="426"/>
      <c r="L568" s="414"/>
      <c r="M568" s="414"/>
      <c r="N568" s="414"/>
      <c r="O568" s="414"/>
      <c r="P568" s="414"/>
      <c r="Q568" s="414"/>
      <c r="R568" s="414"/>
      <c r="S568" s="414"/>
      <c r="T568" s="414"/>
      <c r="U568" s="414"/>
      <c r="V568" s="414"/>
      <c r="W568" s="414"/>
      <c r="X568" s="414"/>
      <c r="Y568" s="414"/>
      <c r="Z568" s="414"/>
    </row>
    <row r="569" spans="1:26" ht="15.75" customHeight="1" x14ac:dyDescent="0.25">
      <c r="A569" s="424">
        <v>564</v>
      </c>
      <c r="B569" s="250"/>
      <c r="C569" s="250"/>
      <c r="D569" s="250"/>
      <c r="E569" s="250"/>
      <c r="F569" s="425"/>
      <c r="G569" s="425"/>
      <c r="H569" s="346"/>
      <c r="I569" s="250"/>
      <c r="J569" s="426"/>
      <c r="K569" s="426"/>
      <c r="L569" s="414"/>
      <c r="M569" s="414"/>
      <c r="N569" s="414"/>
      <c r="O569" s="414"/>
      <c r="P569" s="414"/>
      <c r="Q569" s="414"/>
      <c r="R569" s="414"/>
      <c r="S569" s="414"/>
      <c r="T569" s="414"/>
      <c r="U569" s="414"/>
      <c r="V569" s="414"/>
      <c r="W569" s="414"/>
      <c r="X569" s="414"/>
      <c r="Y569" s="414"/>
      <c r="Z569" s="414"/>
    </row>
    <row r="570" spans="1:26" ht="15.75" customHeight="1" x14ac:dyDescent="0.25">
      <c r="A570" s="424">
        <v>565</v>
      </c>
      <c r="B570" s="250"/>
      <c r="C570" s="250"/>
      <c r="D570" s="250"/>
      <c r="E570" s="250"/>
      <c r="F570" s="425"/>
      <c r="G570" s="425"/>
      <c r="H570" s="346"/>
      <c r="I570" s="250"/>
      <c r="J570" s="426"/>
      <c r="K570" s="426"/>
      <c r="L570" s="414"/>
      <c r="M570" s="414"/>
      <c r="N570" s="414"/>
      <c r="O570" s="414"/>
      <c r="P570" s="414"/>
      <c r="Q570" s="414"/>
      <c r="R570" s="414"/>
      <c r="S570" s="414"/>
      <c r="T570" s="414"/>
      <c r="U570" s="414"/>
      <c r="V570" s="414"/>
      <c r="W570" s="414"/>
      <c r="X570" s="414"/>
      <c r="Y570" s="414"/>
      <c r="Z570" s="414"/>
    </row>
    <row r="571" spans="1:26" ht="15.75" customHeight="1" x14ac:dyDescent="0.25">
      <c r="A571" s="424">
        <v>566</v>
      </c>
      <c r="B571" s="250"/>
      <c r="C571" s="250"/>
      <c r="D571" s="250"/>
      <c r="E571" s="250"/>
      <c r="F571" s="425"/>
      <c r="G571" s="425"/>
      <c r="H571" s="346"/>
      <c r="I571" s="250"/>
      <c r="J571" s="426"/>
      <c r="K571" s="426"/>
      <c r="L571" s="414"/>
      <c r="M571" s="414"/>
      <c r="N571" s="414"/>
      <c r="O571" s="414"/>
      <c r="P571" s="414"/>
      <c r="Q571" s="414"/>
      <c r="R571" s="414"/>
      <c r="S571" s="414"/>
      <c r="T571" s="414"/>
      <c r="U571" s="414"/>
      <c r="V571" s="414"/>
      <c r="W571" s="414"/>
      <c r="X571" s="414"/>
      <c r="Y571" s="414"/>
      <c r="Z571" s="414"/>
    </row>
    <row r="572" spans="1:26" ht="15.75" customHeight="1" x14ac:dyDescent="0.25">
      <c r="A572" s="424">
        <v>567</v>
      </c>
      <c r="B572" s="250"/>
      <c r="C572" s="250"/>
      <c r="D572" s="250"/>
      <c r="E572" s="250"/>
      <c r="F572" s="425"/>
      <c r="G572" s="425"/>
      <c r="H572" s="346"/>
      <c r="I572" s="250"/>
      <c r="J572" s="426"/>
      <c r="K572" s="426"/>
      <c r="L572" s="414"/>
      <c r="M572" s="414"/>
      <c r="N572" s="414"/>
      <c r="O572" s="414"/>
      <c r="P572" s="414"/>
      <c r="Q572" s="414"/>
      <c r="R572" s="414"/>
      <c r="S572" s="414"/>
      <c r="T572" s="414"/>
      <c r="U572" s="414"/>
      <c r="V572" s="414"/>
      <c r="W572" s="414"/>
      <c r="X572" s="414"/>
      <c r="Y572" s="414"/>
      <c r="Z572" s="414"/>
    </row>
    <row r="573" spans="1:26" ht="15.75" customHeight="1" x14ac:dyDescent="0.25">
      <c r="A573" s="424">
        <v>568</v>
      </c>
      <c r="B573" s="250"/>
      <c r="C573" s="250"/>
      <c r="D573" s="250"/>
      <c r="E573" s="250"/>
      <c r="F573" s="425"/>
      <c r="G573" s="425"/>
      <c r="H573" s="346"/>
      <c r="I573" s="250"/>
      <c r="J573" s="426"/>
      <c r="K573" s="426"/>
      <c r="L573" s="414"/>
      <c r="M573" s="414"/>
      <c r="N573" s="414"/>
      <c r="O573" s="414"/>
      <c r="P573" s="414"/>
      <c r="Q573" s="414"/>
      <c r="R573" s="414"/>
      <c r="S573" s="414"/>
      <c r="T573" s="414"/>
      <c r="U573" s="414"/>
      <c r="V573" s="414"/>
      <c r="W573" s="414"/>
      <c r="X573" s="414"/>
      <c r="Y573" s="414"/>
      <c r="Z573" s="414"/>
    </row>
    <row r="574" spans="1:26" ht="15.75" customHeight="1" x14ac:dyDescent="0.25">
      <c r="A574" s="424">
        <v>569</v>
      </c>
      <c r="B574" s="250"/>
      <c r="C574" s="250"/>
      <c r="D574" s="250"/>
      <c r="E574" s="250"/>
      <c r="F574" s="425"/>
      <c r="G574" s="425"/>
      <c r="H574" s="346"/>
      <c r="I574" s="250"/>
      <c r="J574" s="426"/>
      <c r="K574" s="426"/>
      <c r="L574" s="414"/>
      <c r="M574" s="414"/>
      <c r="N574" s="414"/>
      <c r="O574" s="414"/>
      <c r="P574" s="414"/>
      <c r="Q574" s="414"/>
      <c r="R574" s="414"/>
      <c r="S574" s="414"/>
      <c r="T574" s="414"/>
      <c r="U574" s="414"/>
      <c r="V574" s="414"/>
      <c r="W574" s="414"/>
      <c r="X574" s="414"/>
      <c r="Y574" s="414"/>
      <c r="Z574" s="414"/>
    </row>
    <row r="575" spans="1:26" ht="15.75" customHeight="1" x14ac:dyDescent="0.25">
      <c r="A575" s="424">
        <v>570</v>
      </c>
      <c r="B575" s="250"/>
      <c r="C575" s="250"/>
      <c r="D575" s="250"/>
      <c r="E575" s="250"/>
      <c r="F575" s="425"/>
      <c r="G575" s="425"/>
      <c r="H575" s="346"/>
      <c r="I575" s="250"/>
      <c r="J575" s="426"/>
      <c r="K575" s="426"/>
      <c r="L575" s="414"/>
      <c r="M575" s="414"/>
      <c r="N575" s="414"/>
      <c r="O575" s="414"/>
      <c r="P575" s="414"/>
      <c r="Q575" s="414"/>
      <c r="R575" s="414"/>
      <c r="S575" s="414"/>
      <c r="T575" s="414"/>
      <c r="U575" s="414"/>
      <c r="V575" s="414"/>
      <c r="W575" s="414"/>
      <c r="X575" s="414"/>
      <c r="Y575" s="414"/>
      <c r="Z575" s="414"/>
    </row>
    <row r="576" spans="1:26" ht="15.75" customHeight="1" x14ac:dyDescent="0.25">
      <c r="A576" s="424">
        <v>571</v>
      </c>
      <c r="B576" s="250"/>
      <c r="C576" s="250"/>
      <c r="D576" s="250"/>
      <c r="E576" s="250"/>
      <c r="F576" s="425"/>
      <c r="G576" s="425"/>
      <c r="H576" s="346"/>
      <c r="I576" s="250"/>
      <c r="J576" s="426"/>
      <c r="K576" s="426"/>
      <c r="L576" s="414"/>
      <c r="M576" s="414"/>
      <c r="N576" s="414"/>
      <c r="O576" s="414"/>
      <c r="P576" s="414"/>
      <c r="Q576" s="414"/>
      <c r="R576" s="414"/>
      <c r="S576" s="414"/>
      <c r="T576" s="414"/>
      <c r="U576" s="414"/>
      <c r="V576" s="414"/>
      <c r="W576" s="414"/>
      <c r="X576" s="414"/>
      <c r="Y576" s="414"/>
      <c r="Z576" s="414"/>
    </row>
    <row r="577" spans="1:26" ht="15.75" customHeight="1" x14ac:dyDescent="0.25">
      <c r="A577" s="424">
        <v>572</v>
      </c>
      <c r="B577" s="250"/>
      <c r="C577" s="250"/>
      <c r="D577" s="250"/>
      <c r="E577" s="250"/>
      <c r="F577" s="425"/>
      <c r="G577" s="425"/>
      <c r="H577" s="346"/>
      <c r="I577" s="250"/>
      <c r="J577" s="426"/>
      <c r="K577" s="426"/>
      <c r="L577" s="414"/>
      <c r="M577" s="414"/>
      <c r="N577" s="414"/>
      <c r="O577" s="414"/>
      <c r="P577" s="414"/>
      <c r="Q577" s="414"/>
      <c r="R577" s="414"/>
      <c r="S577" s="414"/>
      <c r="T577" s="414"/>
      <c r="U577" s="414"/>
      <c r="V577" s="414"/>
      <c r="W577" s="414"/>
      <c r="X577" s="414"/>
      <c r="Y577" s="414"/>
      <c r="Z577" s="414"/>
    </row>
    <row r="578" spans="1:26" ht="15.75" customHeight="1" x14ac:dyDescent="0.25">
      <c r="A578" s="424">
        <v>573</v>
      </c>
      <c r="B578" s="250"/>
      <c r="C578" s="250"/>
      <c r="D578" s="250"/>
      <c r="E578" s="250"/>
      <c r="F578" s="425"/>
      <c r="G578" s="425"/>
      <c r="H578" s="346"/>
      <c r="I578" s="250"/>
      <c r="J578" s="426"/>
      <c r="K578" s="426"/>
      <c r="L578" s="414"/>
      <c r="M578" s="414"/>
      <c r="N578" s="414"/>
      <c r="O578" s="414"/>
      <c r="P578" s="414"/>
      <c r="Q578" s="414"/>
      <c r="R578" s="414"/>
      <c r="S578" s="414"/>
      <c r="T578" s="414"/>
      <c r="U578" s="414"/>
      <c r="V578" s="414"/>
      <c r="W578" s="414"/>
      <c r="X578" s="414"/>
      <c r="Y578" s="414"/>
      <c r="Z578" s="414"/>
    </row>
    <row r="579" spans="1:26" ht="15.75" customHeight="1" x14ac:dyDescent="0.25">
      <c r="A579" s="424">
        <v>574</v>
      </c>
      <c r="B579" s="250"/>
      <c r="C579" s="250"/>
      <c r="D579" s="250"/>
      <c r="E579" s="250"/>
      <c r="F579" s="425"/>
      <c r="G579" s="425"/>
      <c r="H579" s="346"/>
      <c r="I579" s="250"/>
      <c r="J579" s="426"/>
      <c r="K579" s="426"/>
      <c r="L579" s="414"/>
      <c r="M579" s="414"/>
      <c r="N579" s="414"/>
      <c r="O579" s="414"/>
      <c r="P579" s="414"/>
      <c r="Q579" s="414"/>
      <c r="R579" s="414"/>
      <c r="S579" s="414"/>
      <c r="T579" s="414"/>
      <c r="U579" s="414"/>
      <c r="V579" s="414"/>
      <c r="W579" s="414"/>
      <c r="X579" s="414"/>
      <c r="Y579" s="414"/>
      <c r="Z579" s="414"/>
    </row>
    <row r="580" spans="1:26" ht="15.75" customHeight="1" x14ac:dyDescent="0.25">
      <c r="A580" s="424">
        <v>575</v>
      </c>
      <c r="B580" s="250"/>
      <c r="C580" s="250"/>
      <c r="D580" s="250"/>
      <c r="E580" s="250"/>
      <c r="F580" s="425"/>
      <c r="G580" s="425"/>
      <c r="H580" s="346"/>
      <c r="I580" s="250"/>
      <c r="J580" s="426"/>
      <c r="K580" s="426"/>
      <c r="L580" s="414"/>
      <c r="M580" s="414"/>
      <c r="N580" s="414"/>
      <c r="O580" s="414"/>
      <c r="P580" s="414"/>
      <c r="Q580" s="414"/>
      <c r="R580" s="414"/>
      <c r="S580" s="414"/>
      <c r="T580" s="414"/>
      <c r="U580" s="414"/>
      <c r="V580" s="414"/>
      <c r="W580" s="414"/>
      <c r="X580" s="414"/>
      <c r="Y580" s="414"/>
      <c r="Z580" s="414"/>
    </row>
    <row r="581" spans="1:26" ht="15.75" customHeight="1" x14ac:dyDescent="0.25">
      <c r="A581" s="424">
        <v>576</v>
      </c>
      <c r="B581" s="250"/>
      <c r="C581" s="250"/>
      <c r="D581" s="250"/>
      <c r="E581" s="250"/>
      <c r="F581" s="425"/>
      <c r="G581" s="425"/>
      <c r="H581" s="346"/>
      <c r="I581" s="250"/>
      <c r="J581" s="426"/>
      <c r="K581" s="426"/>
      <c r="L581" s="414"/>
      <c r="M581" s="414"/>
      <c r="N581" s="414"/>
      <c r="O581" s="414"/>
      <c r="P581" s="414"/>
      <c r="Q581" s="414"/>
      <c r="R581" s="414"/>
      <c r="S581" s="414"/>
      <c r="T581" s="414"/>
      <c r="U581" s="414"/>
      <c r="V581" s="414"/>
      <c r="W581" s="414"/>
      <c r="X581" s="414"/>
      <c r="Y581" s="414"/>
      <c r="Z581" s="414"/>
    </row>
    <row r="582" spans="1:26" ht="15.75" customHeight="1" x14ac:dyDescent="0.25">
      <c r="A582" s="424">
        <v>577</v>
      </c>
      <c r="B582" s="250"/>
      <c r="C582" s="250"/>
      <c r="D582" s="250"/>
      <c r="E582" s="250"/>
      <c r="F582" s="425"/>
      <c r="G582" s="425"/>
      <c r="H582" s="346"/>
      <c r="I582" s="250"/>
      <c r="J582" s="426"/>
      <c r="K582" s="426"/>
      <c r="L582" s="414"/>
      <c r="M582" s="414"/>
      <c r="N582" s="414"/>
      <c r="O582" s="414"/>
      <c r="P582" s="414"/>
      <c r="Q582" s="414"/>
      <c r="R582" s="414"/>
      <c r="S582" s="414"/>
      <c r="T582" s="414"/>
      <c r="U582" s="414"/>
      <c r="V582" s="414"/>
      <c r="W582" s="414"/>
      <c r="X582" s="414"/>
      <c r="Y582" s="414"/>
      <c r="Z582" s="414"/>
    </row>
    <row r="583" spans="1:26" ht="15.75" customHeight="1" x14ac:dyDescent="0.25">
      <c r="A583" s="424">
        <v>578</v>
      </c>
      <c r="B583" s="250"/>
      <c r="C583" s="250"/>
      <c r="D583" s="250"/>
      <c r="E583" s="250"/>
      <c r="F583" s="425"/>
      <c r="G583" s="425"/>
      <c r="H583" s="346"/>
      <c r="I583" s="250"/>
      <c r="J583" s="426"/>
      <c r="K583" s="426"/>
      <c r="L583" s="414"/>
      <c r="M583" s="414"/>
      <c r="N583" s="414"/>
      <c r="O583" s="414"/>
      <c r="P583" s="414"/>
      <c r="Q583" s="414"/>
      <c r="R583" s="414"/>
      <c r="S583" s="414"/>
      <c r="T583" s="414"/>
      <c r="U583" s="414"/>
      <c r="V583" s="414"/>
      <c r="W583" s="414"/>
      <c r="X583" s="414"/>
      <c r="Y583" s="414"/>
      <c r="Z583" s="414"/>
    </row>
    <row r="584" spans="1:26" ht="15.75" customHeight="1" x14ac:dyDescent="0.25">
      <c r="A584" s="424">
        <v>579</v>
      </c>
      <c r="B584" s="250"/>
      <c r="C584" s="250"/>
      <c r="D584" s="250"/>
      <c r="E584" s="250"/>
      <c r="F584" s="425"/>
      <c r="G584" s="425"/>
      <c r="H584" s="346"/>
      <c r="I584" s="250"/>
      <c r="J584" s="426"/>
      <c r="K584" s="426"/>
      <c r="L584" s="414"/>
      <c r="M584" s="414"/>
      <c r="N584" s="414"/>
      <c r="O584" s="414"/>
      <c r="P584" s="414"/>
      <c r="Q584" s="414"/>
      <c r="R584" s="414"/>
      <c r="S584" s="414"/>
      <c r="T584" s="414"/>
      <c r="U584" s="414"/>
      <c r="V584" s="414"/>
      <c r="W584" s="414"/>
      <c r="X584" s="414"/>
      <c r="Y584" s="414"/>
      <c r="Z584" s="414"/>
    </row>
    <row r="585" spans="1:26" ht="15.75" customHeight="1" x14ac:dyDescent="0.25">
      <c r="A585" s="424">
        <v>580</v>
      </c>
      <c r="B585" s="250"/>
      <c r="C585" s="250"/>
      <c r="D585" s="250"/>
      <c r="E585" s="250"/>
      <c r="F585" s="425"/>
      <c r="G585" s="425"/>
      <c r="H585" s="346"/>
      <c r="I585" s="250"/>
      <c r="J585" s="426"/>
      <c r="K585" s="426"/>
      <c r="L585" s="414"/>
      <c r="M585" s="414"/>
      <c r="N585" s="414"/>
      <c r="O585" s="414"/>
      <c r="P585" s="414"/>
      <c r="Q585" s="414"/>
      <c r="R585" s="414"/>
      <c r="S585" s="414"/>
      <c r="T585" s="414"/>
      <c r="U585" s="414"/>
      <c r="V585" s="414"/>
      <c r="W585" s="414"/>
      <c r="X585" s="414"/>
      <c r="Y585" s="414"/>
      <c r="Z585" s="414"/>
    </row>
    <row r="586" spans="1:26" ht="15.75" customHeight="1" x14ac:dyDescent="0.25">
      <c r="A586" s="424">
        <v>581</v>
      </c>
      <c r="B586" s="250"/>
      <c r="C586" s="250"/>
      <c r="D586" s="250"/>
      <c r="E586" s="250"/>
      <c r="F586" s="425"/>
      <c r="G586" s="425"/>
      <c r="H586" s="346"/>
      <c r="I586" s="250"/>
      <c r="J586" s="426"/>
      <c r="K586" s="426"/>
      <c r="L586" s="414"/>
      <c r="M586" s="414"/>
      <c r="N586" s="414"/>
      <c r="O586" s="414"/>
      <c r="P586" s="414"/>
      <c r="Q586" s="414"/>
      <c r="R586" s="414"/>
      <c r="S586" s="414"/>
      <c r="T586" s="414"/>
      <c r="U586" s="414"/>
      <c r="V586" s="414"/>
      <c r="W586" s="414"/>
      <c r="X586" s="414"/>
      <c r="Y586" s="414"/>
      <c r="Z586" s="414"/>
    </row>
    <row r="587" spans="1:26" ht="15.75" customHeight="1" x14ac:dyDescent="0.25">
      <c r="A587" s="424">
        <v>582</v>
      </c>
      <c r="B587" s="250"/>
      <c r="C587" s="250"/>
      <c r="D587" s="250"/>
      <c r="E587" s="250"/>
      <c r="F587" s="425"/>
      <c r="G587" s="425"/>
      <c r="H587" s="346"/>
      <c r="I587" s="250"/>
      <c r="J587" s="426"/>
      <c r="K587" s="426"/>
      <c r="L587" s="414"/>
      <c r="M587" s="414"/>
      <c r="N587" s="414"/>
      <c r="O587" s="414"/>
      <c r="P587" s="414"/>
      <c r="Q587" s="414"/>
      <c r="R587" s="414"/>
      <c r="S587" s="414"/>
      <c r="T587" s="414"/>
      <c r="U587" s="414"/>
      <c r="V587" s="414"/>
      <c r="W587" s="414"/>
      <c r="X587" s="414"/>
      <c r="Y587" s="414"/>
      <c r="Z587" s="414"/>
    </row>
    <row r="588" spans="1:26" ht="15.75" customHeight="1" x14ac:dyDescent="0.25">
      <c r="A588" s="424">
        <v>583</v>
      </c>
      <c r="B588" s="250"/>
      <c r="C588" s="250"/>
      <c r="D588" s="250"/>
      <c r="E588" s="250"/>
      <c r="F588" s="425"/>
      <c r="G588" s="425"/>
      <c r="H588" s="346"/>
      <c r="I588" s="250"/>
      <c r="J588" s="426"/>
      <c r="K588" s="426"/>
      <c r="L588" s="414"/>
      <c r="M588" s="414"/>
      <c r="N588" s="414"/>
      <c r="O588" s="414"/>
      <c r="P588" s="414"/>
      <c r="Q588" s="414"/>
      <c r="R588" s="414"/>
      <c r="S588" s="414"/>
      <c r="T588" s="414"/>
      <c r="U588" s="414"/>
      <c r="V588" s="414"/>
      <c r="W588" s="414"/>
      <c r="X588" s="414"/>
      <c r="Y588" s="414"/>
      <c r="Z588" s="414"/>
    </row>
    <row r="589" spans="1:26" ht="15.75" customHeight="1" x14ac:dyDescent="0.25">
      <c r="A589" s="424">
        <v>584</v>
      </c>
      <c r="B589" s="250"/>
      <c r="C589" s="250"/>
      <c r="D589" s="250"/>
      <c r="E589" s="250"/>
      <c r="F589" s="425"/>
      <c r="G589" s="425"/>
      <c r="H589" s="346"/>
      <c r="I589" s="250"/>
      <c r="J589" s="426"/>
      <c r="K589" s="426"/>
      <c r="L589" s="414"/>
      <c r="M589" s="414"/>
      <c r="N589" s="414"/>
      <c r="O589" s="414"/>
      <c r="P589" s="414"/>
      <c r="Q589" s="414"/>
      <c r="R589" s="414"/>
      <c r="S589" s="414"/>
      <c r="T589" s="414"/>
      <c r="U589" s="414"/>
      <c r="V589" s="414"/>
      <c r="W589" s="414"/>
      <c r="X589" s="414"/>
      <c r="Y589" s="414"/>
      <c r="Z589" s="414"/>
    </row>
    <row r="590" spans="1:26" ht="15.75" customHeight="1" x14ac:dyDescent="0.25">
      <c r="A590" s="424">
        <v>585</v>
      </c>
      <c r="B590" s="250"/>
      <c r="C590" s="250"/>
      <c r="D590" s="250"/>
      <c r="E590" s="250"/>
      <c r="F590" s="425"/>
      <c r="G590" s="425"/>
      <c r="H590" s="346"/>
      <c r="I590" s="250"/>
      <c r="J590" s="426"/>
      <c r="K590" s="426"/>
      <c r="L590" s="414"/>
      <c r="M590" s="414"/>
      <c r="N590" s="414"/>
      <c r="O590" s="414"/>
      <c r="P590" s="414"/>
      <c r="Q590" s="414"/>
      <c r="R590" s="414"/>
      <c r="S590" s="414"/>
      <c r="T590" s="414"/>
      <c r="U590" s="414"/>
      <c r="V590" s="414"/>
      <c r="W590" s="414"/>
      <c r="X590" s="414"/>
      <c r="Y590" s="414"/>
      <c r="Z590" s="414"/>
    </row>
    <row r="591" spans="1:26" ht="15.75" customHeight="1" x14ac:dyDescent="0.25">
      <c r="A591" s="424">
        <v>586</v>
      </c>
      <c r="B591" s="250"/>
      <c r="C591" s="250"/>
      <c r="D591" s="250"/>
      <c r="E591" s="250"/>
      <c r="F591" s="425"/>
      <c r="G591" s="425"/>
      <c r="H591" s="346"/>
      <c r="I591" s="250"/>
      <c r="J591" s="426"/>
      <c r="K591" s="426"/>
      <c r="L591" s="414"/>
      <c r="M591" s="414"/>
      <c r="N591" s="414"/>
      <c r="O591" s="414"/>
      <c r="P591" s="414"/>
      <c r="Q591" s="414"/>
      <c r="R591" s="414"/>
      <c r="S591" s="414"/>
      <c r="T591" s="414"/>
      <c r="U591" s="414"/>
      <c r="V591" s="414"/>
      <c r="W591" s="414"/>
      <c r="X591" s="414"/>
      <c r="Y591" s="414"/>
      <c r="Z591" s="414"/>
    </row>
    <row r="592" spans="1:26" ht="15.75" customHeight="1" x14ac:dyDescent="0.25">
      <c r="A592" s="424">
        <v>587</v>
      </c>
      <c r="B592" s="250"/>
      <c r="C592" s="250"/>
      <c r="D592" s="250"/>
      <c r="E592" s="250"/>
      <c r="F592" s="425"/>
      <c r="G592" s="425"/>
      <c r="H592" s="346"/>
      <c r="I592" s="250"/>
      <c r="J592" s="426"/>
      <c r="K592" s="426"/>
      <c r="L592" s="414"/>
      <c r="M592" s="414"/>
      <c r="N592" s="414"/>
      <c r="O592" s="414"/>
      <c r="P592" s="414"/>
      <c r="Q592" s="414"/>
      <c r="R592" s="414"/>
      <c r="S592" s="414"/>
      <c r="T592" s="414"/>
      <c r="U592" s="414"/>
      <c r="V592" s="414"/>
      <c r="W592" s="414"/>
      <c r="X592" s="414"/>
      <c r="Y592" s="414"/>
      <c r="Z592" s="414"/>
    </row>
    <row r="593" spans="1:26" ht="15.75" customHeight="1" x14ac:dyDescent="0.25">
      <c r="A593" s="424">
        <v>588</v>
      </c>
      <c r="B593" s="250"/>
      <c r="C593" s="250"/>
      <c r="D593" s="250"/>
      <c r="E593" s="250"/>
      <c r="F593" s="425"/>
      <c r="G593" s="425"/>
      <c r="H593" s="346"/>
      <c r="I593" s="250"/>
      <c r="J593" s="426"/>
      <c r="K593" s="426"/>
      <c r="L593" s="414"/>
      <c r="M593" s="414"/>
      <c r="N593" s="414"/>
      <c r="O593" s="414"/>
      <c r="P593" s="414"/>
      <c r="Q593" s="414"/>
      <c r="R593" s="414"/>
      <c r="S593" s="414"/>
      <c r="T593" s="414"/>
      <c r="U593" s="414"/>
      <c r="V593" s="414"/>
      <c r="W593" s="414"/>
      <c r="X593" s="414"/>
      <c r="Y593" s="414"/>
      <c r="Z593" s="414"/>
    </row>
    <row r="594" spans="1:26" ht="15.75" customHeight="1" x14ac:dyDescent="0.25">
      <c r="A594" s="424">
        <v>589</v>
      </c>
      <c r="B594" s="250"/>
      <c r="C594" s="250"/>
      <c r="D594" s="250"/>
      <c r="E594" s="250"/>
      <c r="F594" s="425"/>
      <c r="G594" s="425"/>
      <c r="H594" s="346"/>
      <c r="I594" s="250"/>
      <c r="J594" s="426"/>
      <c r="K594" s="426"/>
      <c r="L594" s="414"/>
      <c r="M594" s="414"/>
      <c r="N594" s="414"/>
      <c r="O594" s="414"/>
      <c r="P594" s="414"/>
      <c r="Q594" s="414"/>
      <c r="R594" s="414"/>
      <c r="S594" s="414"/>
      <c r="T594" s="414"/>
      <c r="U594" s="414"/>
      <c r="V594" s="414"/>
      <c r="W594" s="414"/>
      <c r="X594" s="414"/>
      <c r="Y594" s="414"/>
      <c r="Z594" s="414"/>
    </row>
    <row r="595" spans="1:26" ht="15.75" customHeight="1" x14ac:dyDescent="0.25">
      <c r="A595" s="424">
        <v>590</v>
      </c>
      <c r="B595" s="250"/>
      <c r="C595" s="250"/>
      <c r="D595" s="250"/>
      <c r="E595" s="250"/>
      <c r="F595" s="425"/>
      <c r="G595" s="425"/>
      <c r="H595" s="346"/>
      <c r="I595" s="250"/>
      <c r="J595" s="426"/>
      <c r="K595" s="426"/>
      <c r="L595" s="414"/>
      <c r="M595" s="414"/>
      <c r="N595" s="414"/>
      <c r="O595" s="414"/>
      <c r="P595" s="414"/>
      <c r="Q595" s="414"/>
      <c r="R595" s="414"/>
      <c r="S595" s="414"/>
      <c r="T595" s="414"/>
      <c r="U595" s="414"/>
      <c r="V595" s="414"/>
      <c r="W595" s="414"/>
      <c r="X595" s="414"/>
      <c r="Y595" s="414"/>
      <c r="Z595" s="414"/>
    </row>
    <row r="596" spans="1:26" ht="15.75" customHeight="1" x14ac:dyDescent="0.25">
      <c r="A596" s="424">
        <v>591</v>
      </c>
      <c r="B596" s="250"/>
      <c r="C596" s="250"/>
      <c r="D596" s="250"/>
      <c r="E596" s="250"/>
      <c r="F596" s="425"/>
      <c r="G596" s="425"/>
      <c r="H596" s="346"/>
      <c r="I596" s="250"/>
      <c r="J596" s="426"/>
      <c r="K596" s="426"/>
      <c r="L596" s="414"/>
      <c r="M596" s="414"/>
      <c r="N596" s="414"/>
      <c r="O596" s="414"/>
      <c r="P596" s="414"/>
      <c r="Q596" s="414"/>
      <c r="R596" s="414"/>
      <c r="S596" s="414"/>
      <c r="T596" s="414"/>
      <c r="U596" s="414"/>
      <c r="V596" s="414"/>
      <c r="W596" s="414"/>
      <c r="X596" s="414"/>
      <c r="Y596" s="414"/>
      <c r="Z596" s="414"/>
    </row>
    <row r="597" spans="1:26" ht="15.75" customHeight="1" x14ac:dyDescent="0.25">
      <c r="A597" s="424">
        <v>592</v>
      </c>
      <c r="B597" s="250"/>
      <c r="C597" s="250"/>
      <c r="D597" s="250"/>
      <c r="E597" s="250"/>
      <c r="F597" s="425"/>
      <c r="G597" s="425"/>
      <c r="H597" s="346"/>
      <c r="I597" s="250"/>
      <c r="J597" s="426"/>
      <c r="K597" s="426"/>
      <c r="L597" s="414"/>
      <c r="M597" s="414"/>
      <c r="N597" s="414"/>
      <c r="O597" s="414"/>
      <c r="P597" s="414"/>
      <c r="Q597" s="414"/>
      <c r="R597" s="414"/>
      <c r="S597" s="414"/>
      <c r="T597" s="414"/>
      <c r="U597" s="414"/>
      <c r="V597" s="414"/>
      <c r="W597" s="414"/>
      <c r="X597" s="414"/>
      <c r="Y597" s="414"/>
      <c r="Z597" s="414"/>
    </row>
    <row r="598" spans="1:26" ht="15.75" customHeight="1" x14ac:dyDescent="0.25">
      <c r="A598" s="424">
        <v>593</v>
      </c>
      <c r="B598" s="250"/>
      <c r="C598" s="250"/>
      <c r="D598" s="250"/>
      <c r="E598" s="250"/>
      <c r="F598" s="425"/>
      <c r="G598" s="425"/>
      <c r="H598" s="346"/>
      <c r="I598" s="250"/>
      <c r="J598" s="426"/>
      <c r="K598" s="426"/>
      <c r="L598" s="414"/>
      <c r="M598" s="414"/>
      <c r="N598" s="414"/>
      <c r="O598" s="414"/>
      <c r="P598" s="414"/>
      <c r="Q598" s="414"/>
      <c r="R598" s="414"/>
      <c r="S598" s="414"/>
      <c r="T598" s="414"/>
      <c r="U598" s="414"/>
      <c r="V598" s="414"/>
      <c r="W598" s="414"/>
      <c r="X598" s="414"/>
      <c r="Y598" s="414"/>
      <c r="Z598" s="414"/>
    </row>
    <row r="599" spans="1:26" ht="15.75" customHeight="1" x14ac:dyDescent="0.25">
      <c r="A599" s="424">
        <v>594</v>
      </c>
      <c r="B599" s="250"/>
      <c r="C599" s="250"/>
      <c r="D599" s="250"/>
      <c r="E599" s="250"/>
      <c r="F599" s="425"/>
      <c r="G599" s="425"/>
      <c r="H599" s="346"/>
      <c r="I599" s="250"/>
      <c r="J599" s="426"/>
      <c r="K599" s="426"/>
      <c r="L599" s="414"/>
      <c r="M599" s="414"/>
      <c r="N599" s="414"/>
      <c r="O599" s="414"/>
      <c r="P599" s="414"/>
      <c r="Q599" s="414"/>
      <c r="R599" s="414"/>
      <c r="S599" s="414"/>
      <c r="T599" s="414"/>
      <c r="U599" s="414"/>
      <c r="V599" s="414"/>
      <c r="W599" s="414"/>
      <c r="X599" s="414"/>
      <c r="Y599" s="414"/>
      <c r="Z599" s="414"/>
    </row>
    <row r="600" spans="1:26" ht="15.75" customHeight="1" x14ac:dyDescent="0.25">
      <c r="A600" s="424">
        <v>595</v>
      </c>
      <c r="B600" s="250"/>
      <c r="C600" s="250"/>
      <c r="D600" s="250"/>
      <c r="E600" s="250"/>
      <c r="F600" s="425"/>
      <c r="G600" s="425"/>
      <c r="H600" s="346"/>
      <c r="I600" s="250"/>
      <c r="J600" s="426"/>
      <c r="K600" s="426"/>
      <c r="L600" s="414"/>
      <c r="M600" s="414"/>
      <c r="N600" s="414"/>
      <c r="O600" s="414"/>
      <c r="P600" s="414"/>
      <c r="Q600" s="414"/>
      <c r="R600" s="414"/>
      <c r="S600" s="414"/>
      <c r="T600" s="414"/>
      <c r="U600" s="414"/>
      <c r="V600" s="414"/>
      <c r="W600" s="414"/>
      <c r="X600" s="414"/>
      <c r="Y600" s="414"/>
      <c r="Z600" s="414"/>
    </row>
    <row r="601" spans="1:26" ht="15.75" customHeight="1" x14ac:dyDescent="0.25">
      <c r="A601" s="424">
        <v>596</v>
      </c>
      <c r="B601" s="250"/>
      <c r="C601" s="250"/>
      <c r="D601" s="250"/>
      <c r="E601" s="250"/>
      <c r="F601" s="425"/>
      <c r="G601" s="425"/>
      <c r="H601" s="346"/>
      <c r="I601" s="250"/>
      <c r="J601" s="426"/>
      <c r="K601" s="426"/>
      <c r="L601" s="414"/>
      <c r="M601" s="414"/>
      <c r="N601" s="414"/>
      <c r="O601" s="414"/>
      <c r="P601" s="414"/>
      <c r="Q601" s="414"/>
      <c r="R601" s="414"/>
      <c r="S601" s="414"/>
      <c r="T601" s="414"/>
      <c r="U601" s="414"/>
      <c r="V601" s="414"/>
      <c r="W601" s="414"/>
      <c r="X601" s="414"/>
      <c r="Y601" s="414"/>
      <c r="Z601" s="414"/>
    </row>
    <row r="602" spans="1:26" ht="15.75" customHeight="1" x14ac:dyDescent="0.25">
      <c r="A602" s="424">
        <v>597</v>
      </c>
      <c r="B602" s="250"/>
      <c r="C602" s="250"/>
      <c r="D602" s="250"/>
      <c r="E602" s="250"/>
      <c r="F602" s="425"/>
      <c r="G602" s="425"/>
      <c r="H602" s="346"/>
      <c r="I602" s="250"/>
      <c r="J602" s="426"/>
      <c r="K602" s="426"/>
      <c r="L602" s="414"/>
      <c r="M602" s="414"/>
      <c r="N602" s="414"/>
      <c r="O602" s="414"/>
      <c r="P602" s="414"/>
      <c r="Q602" s="414"/>
      <c r="R602" s="414"/>
      <c r="S602" s="414"/>
      <c r="T602" s="414"/>
      <c r="U602" s="414"/>
      <c r="V602" s="414"/>
      <c r="W602" s="414"/>
      <c r="X602" s="414"/>
      <c r="Y602" s="414"/>
      <c r="Z602" s="414"/>
    </row>
    <row r="603" spans="1:26" ht="15.75" customHeight="1" x14ac:dyDescent="0.25">
      <c r="A603" s="424">
        <v>598</v>
      </c>
      <c r="B603" s="250"/>
      <c r="C603" s="250"/>
      <c r="D603" s="250"/>
      <c r="E603" s="250"/>
      <c r="F603" s="425"/>
      <c r="G603" s="425"/>
      <c r="H603" s="346"/>
      <c r="I603" s="250"/>
      <c r="J603" s="426"/>
      <c r="K603" s="426"/>
      <c r="L603" s="414"/>
      <c r="M603" s="414"/>
      <c r="N603" s="414"/>
      <c r="O603" s="414"/>
      <c r="P603" s="414"/>
      <c r="Q603" s="414"/>
      <c r="R603" s="414"/>
      <c r="S603" s="414"/>
      <c r="T603" s="414"/>
      <c r="U603" s="414"/>
      <c r="V603" s="414"/>
      <c r="W603" s="414"/>
      <c r="X603" s="414"/>
      <c r="Y603" s="414"/>
      <c r="Z603" s="414"/>
    </row>
    <row r="604" spans="1:26" ht="15.75" customHeight="1" x14ac:dyDescent="0.25">
      <c r="A604" s="424">
        <v>599</v>
      </c>
      <c r="B604" s="250"/>
      <c r="C604" s="250"/>
      <c r="D604" s="250"/>
      <c r="E604" s="250"/>
      <c r="F604" s="425"/>
      <c r="G604" s="425"/>
      <c r="H604" s="346"/>
      <c r="I604" s="250"/>
      <c r="J604" s="426"/>
      <c r="K604" s="426"/>
      <c r="L604" s="414"/>
      <c r="M604" s="414"/>
      <c r="N604" s="414"/>
      <c r="O604" s="414"/>
      <c r="P604" s="414"/>
      <c r="Q604" s="414"/>
      <c r="R604" s="414"/>
      <c r="S604" s="414"/>
      <c r="T604" s="414"/>
      <c r="U604" s="414"/>
      <c r="V604" s="414"/>
      <c r="W604" s="414"/>
      <c r="X604" s="414"/>
      <c r="Y604" s="414"/>
      <c r="Z604" s="414"/>
    </row>
    <row r="605" spans="1:26" ht="15.75" customHeight="1" x14ac:dyDescent="0.25">
      <c r="A605" s="424">
        <v>600</v>
      </c>
      <c r="B605" s="250"/>
      <c r="C605" s="250"/>
      <c r="D605" s="250"/>
      <c r="E605" s="250"/>
      <c r="F605" s="425"/>
      <c r="G605" s="425"/>
      <c r="H605" s="346"/>
      <c r="I605" s="250"/>
      <c r="J605" s="426"/>
      <c r="K605" s="426"/>
      <c r="L605" s="414"/>
      <c r="M605" s="414"/>
      <c r="N605" s="414"/>
      <c r="O605" s="414"/>
      <c r="P605" s="414"/>
      <c r="Q605" s="414"/>
      <c r="R605" s="414"/>
      <c r="S605" s="414"/>
      <c r="T605" s="414"/>
      <c r="U605" s="414"/>
      <c r="V605" s="414"/>
      <c r="W605" s="414"/>
      <c r="X605" s="414"/>
      <c r="Y605" s="414"/>
      <c r="Z605" s="414"/>
    </row>
    <row r="606" spans="1:26" ht="15.75" customHeight="1" x14ac:dyDescent="0.25">
      <c r="A606" s="424">
        <v>601</v>
      </c>
      <c r="B606" s="250"/>
      <c r="C606" s="250"/>
      <c r="D606" s="250"/>
      <c r="E606" s="250"/>
      <c r="F606" s="425"/>
      <c r="G606" s="425"/>
      <c r="H606" s="346"/>
      <c r="I606" s="250"/>
      <c r="J606" s="426"/>
      <c r="K606" s="426"/>
      <c r="L606" s="414"/>
      <c r="M606" s="414"/>
      <c r="N606" s="414"/>
      <c r="O606" s="414"/>
      <c r="P606" s="414"/>
      <c r="Q606" s="414"/>
      <c r="R606" s="414"/>
      <c r="S606" s="414"/>
      <c r="T606" s="414"/>
      <c r="U606" s="414"/>
      <c r="V606" s="414"/>
      <c r="W606" s="414"/>
      <c r="X606" s="414"/>
      <c r="Y606" s="414"/>
      <c r="Z606" s="414"/>
    </row>
    <row r="607" spans="1:26" ht="15.75" customHeight="1" x14ac:dyDescent="0.25">
      <c r="A607" s="424">
        <v>602</v>
      </c>
      <c r="B607" s="250"/>
      <c r="C607" s="250"/>
      <c r="D607" s="250"/>
      <c r="E607" s="250"/>
      <c r="F607" s="425"/>
      <c r="G607" s="425"/>
      <c r="H607" s="346"/>
      <c r="I607" s="250"/>
      <c r="J607" s="426"/>
      <c r="K607" s="426"/>
      <c r="L607" s="414"/>
      <c r="M607" s="414"/>
      <c r="N607" s="414"/>
      <c r="O607" s="414"/>
      <c r="P607" s="414"/>
      <c r="Q607" s="414"/>
      <c r="R607" s="414"/>
      <c r="S607" s="414"/>
      <c r="T607" s="414"/>
      <c r="U607" s="414"/>
      <c r="V607" s="414"/>
      <c r="W607" s="414"/>
      <c r="X607" s="414"/>
      <c r="Y607" s="414"/>
      <c r="Z607" s="414"/>
    </row>
    <row r="608" spans="1:26" ht="15.75" customHeight="1" x14ac:dyDescent="0.25">
      <c r="A608" s="424">
        <v>603</v>
      </c>
      <c r="B608" s="250"/>
      <c r="C608" s="250"/>
      <c r="D608" s="250"/>
      <c r="E608" s="250"/>
      <c r="F608" s="425"/>
      <c r="G608" s="425"/>
      <c r="H608" s="346"/>
      <c r="I608" s="250"/>
      <c r="J608" s="426"/>
      <c r="K608" s="426"/>
      <c r="L608" s="414"/>
      <c r="M608" s="414"/>
      <c r="N608" s="414"/>
      <c r="O608" s="414"/>
      <c r="P608" s="414"/>
      <c r="Q608" s="414"/>
      <c r="R608" s="414"/>
      <c r="S608" s="414"/>
      <c r="T608" s="414"/>
      <c r="U608" s="414"/>
      <c r="V608" s="414"/>
      <c r="W608" s="414"/>
      <c r="X608" s="414"/>
      <c r="Y608" s="414"/>
      <c r="Z608" s="414"/>
    </row>
    <row r="609" spans="1:26" ht="15.75" customHeight="1" x14ac:dyDescent="0.25">
      <c r="A609" s="424">
        <v>604</v>
      </c>
      <c r="B609" s="250"/>
      <c r="C609" s="250"/>
      <c r="D609" s="250"/>
      <c r="E609" s="250"/>
      <c r="F609" s="425"/>
      <c r="G609" s="425"/>
      <c r="H609" s="346"/>
      <c r="I609" s="250"/>
      <c r="J609" s="426"/>
      <c r="K609" s="426"/>
      <c r="L609" s="414"/>
      <c r="M609" s="414"/>
      <c r="N609" s="414"/>
      <c r="O609" s="414"/>
      <c r="P609" s="414"/>
      <c r="Q609" s="414"/>
      <c r="R609" s="414"/>
      <c r="S609" s="414"/>
      <c r="T609" s="414"/>
      <c r="U609" s="414"/>
      <c r="V609" s="414"/>
      <c r="W609" s="414"/>
      <c r="X609" s="414"/>
      <c r="Y609" s="414"/>
      <c r="Z609" s="414"/>
    </row>
    <row r="610" spans="1:26" ht="15.75" customHeight="1" x14ac:dyDescent="0.25">
      <c r="A610" s="424">
        <v>605</v>
      </c>
      <c r="B610" s="250"/>
      <c r="C610" s="250"/>
      <c r="D610" s="250"/>
      <c r="E610" s="250"/>
      <c r="F610" s="425"/>
      <c r="G610" s="425"/>
      <c r="H610" s="346"/>
      <c r="I610" s="250"/>
      <c r="J610" s="426"/>
      <c r="K610" s="426"/>
      <c r="L610" s="414"/>
      <c r="M610" s="414"/>
      <c r="N610" s="414"/>
      <c r="O610" s="414"/>
      <c r="P610" s="414"/>
      <c r="Q610" s="414"/>
      <c r="R610" s="414"/>
      <c r="S610" s="414"/>
      <c r="T610" s="414"/>
      <c r="U610" s="414"/>
      <c r="V610" s="414"/>
      <c r="W610" s="414"/>
      <c r="X610" s="414"/>
      <c r="Y610" s="414"/>
      <c r="Z610" s="414"/>
    </row>
    <row r="611" spans="1:26" ht="15.75" customHeight="1" x14ac:dyDescent="0.25">
      <c r="A611" s="424">
        <v>606</v>
      </c>
      <c r="B611" s="250"/>
      <c r="C611" s="250"/>
      <c r="D611" s="250"/>
      <c r="E611" s="250"/>
      <c r="F611" s="425"/>
      <c r="G611" s="425"/>
      <c r="H611" s="346"/>
      <c r="I611" s="250"/>
      <c r="J611" s="426"/>
      <c r="K611" s="426"/>
      <c r="L611" s="414"/>
      <c r="M611" s="414"/>
      <c r="N611" s="414"/>
      <c r="O611" s="414"/>
      <c r="P611" s="414"/>
      <c r="Q611" s="414"/>
      <c r="R611" s="414"/>
      <c r="S611" s="414"/>
      <c r="T611" s="414"/>
      <c r="U611" s="414"/>
      <c r="V611" s="414"/>
      <c r="W611" s="414"/>
      <c r="X611" s="414"/>
      <c r="Y611" s="414"/>
      <c r="Z611" s="414"/>
    </row>
    <row r="612" spans="1:26" ht="15.75" customHeight="1" x14ac:dyDescent="0.25">
      <c r="A612" s="424">
        <v>607</v>
      </c>
      <c r="B612" s="250"/>
      <c r="C612" s="250"/>
      <c r="D612" s="250"/>
      <c r="E612" s="250"/>
      <c r="F612" s="425"/>
      <c r="G612" s="425"/>
      <c r="H612" s="346"/>
      <c r="I612" s="250"/>
      <c r="J612" s="426"/>
      <c r="K612" s="426"/>
      <c r="L612" s="414"/>
      <c r="M612" s="414"/>
      <c r="N612" s="414"/>
      <c r="O612" s="414"/>
      <c r="P612" s="414"/>
      <c r="Q612" s="414"/>
      <c r="R612" s="414"/>
      <c r="S612" s="414"/>
      <c r="T612" s="414"/>
      <c r="U612" s="414"/>
      <c r="V612" s="414"/>
      <c r="W612" s="414"/>
      <c r="X612" s="414"/>
      <c r="Y612" s="414"/>
      <c r="Z612" s="414"/>
    </row>
    <row r="613" spans="1:26" ht="15.75" customHeight="1" x14ac:dyDescent="0.25">
      <c r="A613" s="424">
        <v>608</v>
      </c>
      <c r="B613" s="250"/>
      <c r="C613" s="250"/>
      <c r="D613" s="250"/>
      <c r="E613" s="250"/>
      <c r="F613" s="425"/>
      <c r="G613" s="425"/>
      <c r="H613" s="346"/>
      <c r="I613" s="250"/>
      <c r="J613" s="426"/>
      <c r="K613" s="426"/>
      <c r="L613" s="414"/>
      <c r="M613" s="414"/>
      <c r="N613" s="414"/>
      <c r="O613" s="414"/>
      <c r="P613" s="414"/>
      <c r="Q613" s="414"/>
      <c r="R613" s="414"/>
      <c r="S613" s="414"/>
      <c r="T613" s="414"/>
      <c r="U613" s="414"/>
      <c r="V613" s="414"/>
      <c r="W613" s="414"/>
      <c r="X613" s="414"/>
      <c r="Y613" s="414"/>
      <c r="Z613" s="414"/>
    </row>
    <row r="614" spans="1:26" ht="15.75" customHeight="1" x14ac:dyDescent="0.25">
      <c r="A614" s="424">
        <v>609</v>
      </c>
      <c r="B614" s="250"/>
      <c r="C614" s="250"/>
      <c r="D614" s="250"/>
      <c r="E614" s="250"/>
      <c r="F614" s="425"/>
      <c r="G614" s="425"/>
      <c r="H614" s="346"/>
      <c r="I614" s="250"/>
      <c r="J614" s="426"/>
      <c r="K614" s="426"/>
      <c r="L614" s="414"/>
      <c r="M614" s="414"/>
      <c r="N614" s="414"/>
      <c r="O614" s="414"/>
      <c r="P614" s="414"/>
      <c r="Q614" s="414"/>
      <c r="R614" s="414"/>
      <c r="S614" s="414"/>
      <c r="T614" s="414"/>
      <c r="U614" s="414"/>
      <c r="V614" s="414"/>
      <c r="W614" s="414"/>
      <c r="X614" s="414"/>
      <c r="Y614" s="414"/>
      <c r="Z614" s="414"/>
    </row>
    <row r="615" spans="1:26" ht="15.75" customHeight="1" x14ac:dyDescent="0.25">
      <c r="A615" s="424">
        <v>610</v>
      </c>
      <c r="B615" s="250"/>
      <c r="C615" s="250"/>
      <c r="D615" s="250"/>
      <c r="E615" s="250"/>
      <c r="F615" s="425"/>
      <c r="G615" s="425"/>
      <c r="H615" s="346"/>
      <c r="I615" s="250"/>
      <c r="J615" s="426"/>
      <c r="K615" s="426"/>
      <c r="L615" s="414"/>
      <c r="M615" s="414"/>
      <c r="N615" s="414"/>
      <c r="O615" s="414"/>
      <c r="P615" s="414"/>
      <c r="Q615" s="414"/>
      <c r="R615" s="414"/>
      <c r="S615" s="414"/>
      <c r="T615" s="414"/>
      <c r="U615" s="414"/>
      <c r="V615" s="414"/>
      <c r="W615" s="414"/>
      <c r="X615" s="414"/>
      <c r="Y615" s="414"/>
      <c r="Z615" s="414"/>
    </row>
    <row r="616" spans="1:26" ht="15.75" customHeight="1" x14ac:dyDescent="0.25">
      <c r="A616" s="424">
        <v>611</v>
      </c>
      <c r="B616" s="250"/>
      <c r="C616" s="250"/>
      <c r="D616" s="250"/>
      <c r="E616" s="250"/>
      <c r="F616" s="425"/>
      <c r="G616" s="425"/>
      <c r="H616" s="346"/>
      <c r="I616" s="250"/>
      <c r="J616" s="426"/>
      <c r="K616" s="426"/>
      <c r="L616" s="414"/>
      <c r="M616" s="414"/>
      <c r="N616" s="414"/>
      <c r="O616" s="414"/>
      <c r="P616" s="414"/>
      <c r="Q616" s="414"/>
      <c r="R616" s="414"/>
      <c r="S616" s="414"/>
      <c r="T616" s="414"/>
      <c r="U616" s="414"/>
      <c r="V616" s="414"/>
      <c r="W616" s="414"/>
      <c r="X616" s="414"/>
      <c r="Y616" s="414"/>
      <c r="Z616" s="414"/>
    </row>
    <row r="617" spans="1:26" ht="15.75" customHeight="1" x14ac:dyDescent="0.25">
      <c r="A617" s="424">
        <v>612</v>
      </c>
      <c r="B617" s="250"/>
      <c r="C617" s="250"/>
      <c r="D617" s="250"/>
      <c r="E617" s="250"/>
      <c r="F617" s="425"/>
      <c r="G617" s="425"/>
      <c r="H617" s="346"/>
      <c r="I617" s="250"/>
      <c r="J617" s="426"/>
      <c r="K617" s="426"/>
      <c r="L617" s="414"/>
      <c r="M617" s="414"/>
      <c r="N617" s="414"/>
      <c r="O617" s="414"/>
      <c r="P617" s="414"/>
      <c r="Q617" s="414"/>
      <c r="R617" s="414"/>
      <c r="S617" s="414"/>
      <c r="T617" s="414"/>
      <c r="U617" s="414"/>
      <c r="V617" s="414"/>
      <c r="W617" s="414"/>
      <c r="X617" s="414"/>
      <c r="Y617" s="414"/>
      <c r="Z617" s="414"/>
    </row>
    <row r="618" spans="1:26" ht="15.75" customHeight="1" x14ac:dyDescent="0.25">
      <c r="A618" s="424">
        <v>613</v>
      </c>
      <c r="B618" s="250"/>
      <c r="C618" s="250"/>
      <c r="D618" s="250"/>
      <c r="E618" s="250"/>
      <c r="F618" s="425"/>
      <c r="G618" s="425"/>
      <c r="H618" s="346"/>
      <c r="I618" s="250"/>
      <c r="J618" s="426"/>
      <c r="K618" s="426"/>
      <c r="L618" s="414"/>
      <c r="M618" s="414"/>
      <c r="N618" s="414"/>
      <c r="O618" s="414"/>
      <c r="P618" s="414"/>
      <c r="Q618" s="414"/>
      <c r="R618" s="414"/>
      <c r="S618" s="414"/>
      <c r="T618" s="414"/>
      <c r="U618" s="414"/>
      <c r="V618" s="414"/>
      <c r="W618" s="414"/>
      <c r="X618" s="414"/>
      <c r="Y618" s="414"/>
      <c r="Z618" s="414"/>
    </row>
    <row r="619" spans="1:26" ht="15.75" customHeight="1" x14ac:dyDescent="0.25">
      <c r="A619" s="424">
        <v>614</v>
      </c>
      <c r="B619" s="250"/>
      <c r="C619" s="250"/>
      <c r="D619" s="250"/>
      <c r="E619" s="250"/>
      <c r="F619" s="425"/>
      <c r="G619" s="425"/>
      <c r="H619" s="346"/>
      <c r="I619" s="250"/>
      <c r="J619" s="426"/>
      <c r="K619" s="426"/>
      <c r="L619" s="414"/>
      <c r="M619" s="414"/>
      <c r="N619" s="414"/>
      <c r="O619" s="414"/>
      <c r="P619" s="414"/>
      <c r="Q619" s="414"/>
      <c r="R619" s="414"/>
      <c r="S619" s="414"/>
      <c r="T619" s="414"/>
      <c r="U619" s="414"/>
      <c r="V619" s="414"/>
      <c r="W619" s="414"/>
      <c r="X619" s="414"/>
      <c r="Y619" s="414"/>
      <c r="Z619" s="414"/>
    </row>
    <row r="620" spans="1:26" ht="15.75" customHeight="1" x14ac:dyDescent="0.25">
      <c r="A620" s="424">
        <v>615</v>
      </c>
      <c r="B620" s="250"/>
      <c r="C620" s="250"/>
      <c r="D620" s="250"/>
      <c r="E620" s="250"/>
      <c r="F620" s="425"/>
      <c r="G620" s="425"/>
      <c r="H620" s="346"/>
      <c r="I620" s="250"/>
      <c r="J620" s="426"/>
      <c r="K620" s="426"/>
      <c r="L620" s="414"/>
      <c r="M620" s="414"/>
      <c r="N620" s="414"/>
      <c r="O620" s="414"/>
      <c r="P620" s="414"/>
      <c r="Q620" s="414"/>
      <c r="R620" s="414"/>
      <c r="S620" s="414"/>
      <c r="T620" s="414"/>
      <c r="U620" s="414"/>
      <c r="V620" s="414"/>
      <c r="W620" s="414"/>
      <c r="X620" s="414"/>
      <c r="Y620" s="414"/>
      <c r="Z620" s="414"/>
    </row>
    <row r="621" spans="1:26" ht="15.75" customHeight="1" x14ac:dyDescent="0.25">
      <c r="A621" s="424">
        <v>616</v>
      </c>
      <c r="B621" s="250"/>
      <c r="C621" s="250"/>
      <c r="D621" s="250"/>
      <c r="E621" s="250"/>
      <c r="F621" s="425"/>
      <c r="G621" s="425"/>
      <c r="H621" s="346"/>
      <c r="I621" s="250"/>
      <c r="J621" s="426"/>
      <c r="K621" s="426"/>
      <c r="L621" s="414"/>
      <c r="M621" s="414"/>
      <c r="N621" s="414"/>
      <c r="O621" s="414"/>
      <c r="P621" s="414"/>
      <c r="Q621" s="414"/>
      <c r="R621" s="414"/>
      <c r="S621" s="414"/>
      <c r="T621" s="414"/>
      <c r="U621" s="414"/>
      <c r="V621" s="414"/>
      <c r="W621" s="414"/>
      <c r="X621" s="414"/>
      <c r="Y621" s="414"/>
      <c r="Z621" s="414"/>
    </row>
    <row r="622" spans="1:26" ht="15.75" customHeight="1" x14ac:dyDescent="0.25">
      <c r="A622" s="424">
        <v>617</v>
      </c>
      <c r="B622" s="250"/>
      <c r="C622" s="250"/>
      <c r="D622" s="250"/>
      <c r="E622" s="250"/>
      <c r="F622" s="425"/>
      <c r="G622" s="425"/>
      <c r="H622" s="346"/>
      <c r="I622" s="250"/>
      <c r="J622" s="426"/>
      <c r="K622" s="426"/>
      <c r="L622" s="414"/>
      <c r="M622" s="414"/>
      <c r="N622" s="414"/>
      <c r="O622" s="414"/>
      <c r="P622" s="414"/>
      <c r="Q622" s="414"/>
      <c r="R622" s="414"/>
      <c r="S622" s="414"/>
      <c r="T622" s="414"/>
      <c r="U622" s="414"/>
      <c r="V622" s="414"/>
      <c r="W622" s="414"/>
      <c r="X622" s="414"/>
      <c r="Y622" s="414"/>
      <c r="Z622" s="414"/>
    </row>
    <row r="623" spans="1:26" ht="15.75" customHeight="1" x14ac:dyDescent="0.25">
      <c r="A623" s="424">
        <v>618</v>
      </c>
      <c r="B623" s="250"/>
      <c r="C623" s="250"/>
      <c r="D623" s="250"/>
      <c r="E623" s="250"/>
      <c r="F623" s="425"/>
      <c r="G623" s="425"/>
      <c r="H623" s="346"/>
      <c r="I623" s="250"/>
      <c r="J623" s="426"/>
      <c r="K623" s="426"/>
      <c r="L623" s="414"/>
      <c r="M623" s="414"/>
      <c r="N623" s="414"/>
      <c r="O623" s="414"/>
      <c r="P623" s="414"/>
      <c r="Q623" s="414"/>
      <c r="R623" s="414"/>
      <c r="S623" s="414"/>
      <c r="T623" s="414"/>
      <c r="U623" s="414"/>
      <c r="V623" s="414"/>
      <c r="W623" s="414"/>
      <c r="X623" s="414"/>
      <c r="Y623" s="414"/>
      <c r="Z623" s="414"/>
    </row>
    <row r="624" spans="1:26" ht="15.75" customHeight="1" x14ac:dyDescent="0.25">
      <c r="A624" s="424">
        <v>619</v>
      </c>
      <c r="B624" s="250"/>
      <c r="C624" s="250"/>
      <c r="D624" s="250"/>
      <c r="E624" s="250"/>
      <c r="F624" s="425"/>
      <c r="G624" s="425"/>
      <c r="H624" s="346"/>
      <c r="I624" s="250"/>
      <c r="J624" s="426"/>
      <c r="K624" s="426"/>
      <c r="L624" s="414"/>
      <c r="M624" s="414"/>
      <c r="N624" s="414"/>
      <c r="O624" s="414"/>
      <c r="P624" s="414"/>
      <c r="Q624" s="414"/>
      <c r="R624" s="414"/>
      <c r="S624" s="414"/>
      <c r="T624" s="414"/>
      <c r="U624" s="414"/>
      <c r="V624" s="414"/>
      <c r="W624" s="414"/>
      <c r="X624" s="414"/>
      <c r="Y624" s="414"/>
      <c r="Z624" s="414"/>
    </row>
    <row r="625" spans="1:26" ht="15.75" customHeight="1" x14ac:dyDescent="0.25">
      <c r="A625" s="424">
        <v>620</v>
      </c>
      <c r="B625" s="250"/>
      <c r="C625" s="250"/>
      <c r="D625" s="250"/>
      <c r="E625" s="250"/>
      <c r="F625" s="425"/>
      <c r="G625" s="425"/>
      <c r="H625" s="346"/>
      <c r="I625" s="250"/>
      <c r="J625" s="426"/>
      <c r="K625" s="426"/>
      <c r="L625" s="414"/>
      <c r="M625" s="414"/>
      <c r="N625" s="414"/>
      <c r="O625" s="414"/>
      <c r="P625" s="414"/>
      <c r="Q625" s="414"/>
      <c r="R625" s="414"/>
      <c r="S625" s="414"/>
      <c r="T625" s="414"/>
      <c r="U625" s="414"/>
      <c r="V625" s="414"/>
      <c r="W625" s="414"/>
      <c r="X625" s="414"/>
      <c r="Y625" s="414"/>
      <c r="Z625" s="414"/>
    </row>
    <row r="626" spans="1:26" ht="15.75" customHeight="1" x14ac:dyDescent="0.25">
      <c r="A626" s="424">
        <v>621</v>
      </c>
      <c r="B626" s="250"/>
      <c r="C626" s="250"/>
      <c r="D626" s="250"/>
      <c r="E626" s="250"/>
      <c r="F626" s="425"/>
      <c r="G626" s="425"/>
      <c r="H626" s="346"/>
      <c r="I626" s="250"/>
      <c r="J626" s="426"/>
      <c r="K626" s="426"/>
      <c r="L626" s="414"/>
      <c r="M626" s="414"/>
      <c r="N626" s="414"/>
      <c r="O626" s="414"/>
      <c r="P626" s="414"/>
      <c r="Q626" s="414"/>
      <c r="R626" s="414"/>
      <c r="S626" s="414"/>
      <c r="T626" s="414"/>
      <c r="U626" s="414"/>
      <c r="V626" s="414"/>
      <c r="W626" s="414"/>
      <c r="X626" s="414"/>
      <c r="Y626" s="414"/>
      <c r="Z626" s="414"/>
    </row>
    <row r="627" spans="1:26" ht="15.75" customHeight="1" x14ac:dyDescent="0.25">
      <c r="A627" s="424">
        <v>622</v>
      </c>
      <c r="B627" s="250"/>
      <c r="C627" s="250"/>
      <c r="D627" s="250"/>
      <c r="E627" s="250"/>
      <c r="F627" s="425"/>
      <c r="G627" s="425"/>
      <c r="H627" s="346"/>
      <c r="I627" s="250"/>
      <c r="J627" s="426"/>
      <c r="K627" s="426"/>
      <c r="L627" s="414"/>
      <c r="M627" s="414"/>
      <c r="N627" s="414"/>
      <c r="O627" s="414"/>
      <c r="P627" s="414"/>
      <c r="Q627" s="414"/>
      <c r="R627" s="414"/>
      <c r="S627" s="414"/>
      <c r="T627" s="414"/>
      <c r="U627" s="414"/>
      <c r="V627" s="414"/>
      <c r="W627" s="414"/>
      <c r="X627" s="414"/>
      <c r="Y627" s="414"/>
      <c r="Z627" s="414"/>
    </row>
    <row r="628" spans="1:26" ht="15.75" customHeight="1" x14ac:dyDescent="0.25">
      <c r="A628" s="424">
        <v>623</v>
      </c>
      <c r="B628" s="250"/>
      <c r="C628" s="250"/>
      <c r="D628" s="250"/>
      <c r="E628" s="250"/>
      <c r="F628" s="425"/>
      <c r="G628" s="425"/>
      <c r="H628" s="346"/>
      <c r="I628" s="250"/>
      <c r="J628" s="426"/>
      <c r="K628" s="426"/>
      <c r="L628" s="414"/>
      <c r="M628" s="414"/>
      <c r="N628" s="414"/>
      <c r="O628" s="414"/>
      <c r="P628" s="414"/>
      <c r="Q628" s="414"/>
      <c r="R628" s="414"/>
      <c r="S628" s="414"/>
      <c r="T628" s="414"/>
      <c r="U628" s="414"/>
      <c r="V628" s="414"/>
      <c r="W628" s="414"/>
      <c r="X628" s="414"/>
      <c r="Y628" s="414"/>
      <c r="Z628" s="414"/>
    </row>
    <row r="629" spans="1:26" ht="15.75" customHeight="1" x14ac:dyDescent="0.25">
      <c r="A629" s="424">
        <v>624</v>
      </c>
      <c r="B629" s="250"/>
      <c r="C629" s="250"/>
      <c r="D629" s="250"/>
      <c r="E629" s="250"/>
      <c r="F629" s="425"/>
      <c r="G629" s="425"/>
      <c r="H629" s="346"/>
      <c r="I629" s="250"/>
      <c r="J629" s="426"/>
      <c r="K629" s="426"/>
      <c r="L629" s="414"/>
      <c r="M629" s="414"/>
      <c r="N629" s="414"/>
      <c r="O629" s="414"/>
      <c r="P629" s="414"/>
      <c r="Q629" s="414"/>
      <c r="R629" s="414"/>
      <c r="S629" s="414"/>
      <c r="T629" s="414"/>
      <c r="U629" s="414"/>
      <c r="V629" s="414"/>
      <c r="W629" s="414"/>
      <c r="X629" s="414"/>
      <c r="Y629" s="414"/>
      <c r="Z629" s="414"/>
    </row>
    <row r="630" spans="1:26" ht="15.75" customHeight="1" x14ac:dyDescent="0.25">
      <c r="A630" s="424">
        <v>625</v>
      </c>
      <c r="B630" s="250"/>
      <c r="C630" s="250"/>
      <c r="D630" s="250"/>
      <c r="E630" s="250"/>
      <c r="F630" s="425"/>
      <c r="G630" s="425"/>
      <c r="H630" s="346"/>
      <c r="I630" s="250"/>
      <c r="J630" s="426"/>
      <c r="K630" s="426"/>
      <c r="L630" s="414"/>
      <c r="M630" s="414"/>
      <c r="N630" s="414"/>
      <c r="O630" s="414"/>
      <c r="P630" s="414"/>
      <c r="Q630" s="414"/>
      <c r="R630" s="414"/>
      <c r="S630" s="414"/>
      <c r="T630" s="414"/>
      <c r="U630" s="414"/>
      <c r="V630" s="414"/>
      <c r="W630" s="414"/>
      <c r="X630" s="414"/>
      <c r="Y630" s="414"/>
      <c r="Z630" s="414"/>
    </row>
    <row r="631" spans="1:26" ht="15.75" customHeight="1" x14ac:dyDescent="0.25">
      <c r="A631" s="424">
        <v>626</v>
      </c>
      <c r="B631" s="250"/>
      <c r="C631" s="250"/>
      <c r="D631" s="250"/>
      <c r="E631" s="250"/>
      <c r="F631" s="425"/>
      <c r="G631" s="425"/>
      <c r="H631" s="346"/>
      <c r="I631" s="250"/>
      <c r="J631" s="426"/>
      <c r="K631" s="426"/>
      <c r="L631" s="414"/>
      <c r="M631" s="414"/>
      <c r="N631" s="414"/>
      <c r="O631" s="414"/>
      <c r="P631" s="414"/>
      <c r="Q631" s="414"/>
      <c r="R631" s="414"/>
      <c r="S631" s="414"/>
      <c r="T631" s="414"/>
      <c r="U631" s="414"/>
      <c r="V631" s="414"/>
      <c r="W631" s="414"/>
      <c r="X631" s="414"/>
      <c r="Y631" s="414"/>
      <c r="Z631" s="414"/>
    </row>
    <row r="632" spans="1:26" ht="15.75" customHeight="1" x14ac:dyDescent="0.25">
      <c r="A632" s="424">
        <v>627</v>
      </c>
      <c r="B632" s="250"/>
      <c r="C632" s="250"/>
      <c r="D632" s="250"/>
      <c r="E632" s="250"/>
      <c r="F632" s="425"/>
      <c r="G632" s="425"/>
      <c r="H632" s="346"/>
      <c r="I632" s="250"/>
      <c r="J632" s="426"/>
      <c r="K632" s="426"/>
      <c r="L632" s="414"/>
      <c r="M632" s="414"/>
      <c r="N632" s="414"/>
      <c r="O632" s="414"/>
      <c r="P632" s="414"/>
      <c r="Q632" s="414"/>
      <c r="R632" s="414"/>
      <c r="S632" s="414"/>
      <c r="T632" s="414"/>
      <c r="U632" s="414"/>
      <c r="V632" s="414"/>
      <c r="W632" s="414"/>
      <c r="X632" s="414"/>
      <c r="Y632" s="414"/>
      <c r="Z632" s="414"/>
    </row>
    <row r="633" spans="1:26" ht="15.75" customHeight="1" x14ac:dyDescent="0.25">
      <c r="A633" s="424">
        <v>628</v>
      </c>
      <c r="B633" s="250"/>
      <c r="C633" s="250"/>
      <c r="D633" s="250"/>
      <c r="E633" s="250"/>
      <c r="F633" s="425"/>
      <c r="G633" s="425"/>
      <c r="H633" s="346"/>
      <c r="I633" s="250"/>
      <c r="J633" s="426"/>
      <c r="K633" s="426"/>
      <c r="L633" s="414"/>
      <c r="M633" s="414"/>
      <c r="N633" s="414"/>
      <c r="O633" s="414"/>
      <c r="P633" s="414"/>
      <c r="Q633" s="414"/>
      <c r="R633" s="414"/>
      <c r="S633" s="414"/>
      <c r="T633" s="414"/>
      <c r="U633" s="414"/>
      <c r="V633" s="414"/>
      <c r="W633" s="414"/>
      <c r="X633" s="414"/>
      <c r="Y633" s="414"/>
      <c r="Z633" s="414"/>
    </row>
    <row r="634" spans="1:26" ht="15.75" customHeight="1" x14ac:dyDescent="0.25">
      <c r="A634" s="424">
        <v>629</v>
      </c>
      <c r="B634" s="250"/>
      <c r="C634" s="250"/>
      <c r="D634" s="250"/>
      <c r="E634" s="250"/>
      <c r="F634" s="425"/>
      <c r="G634" s="425"/>
      <c r="H634" s="346"/>
      <c r="I634" s="250"/>
      <c r="J634" s="426"/>
      <c r="K634" s="426"/>
      <c r="L634" s="414"/>
      <c r="M634" s="414"/>
      <c r="N634" s="414"/>
      <c r="O634" s="414"/>
      <c r="P634" s="414"/>
      <c r="Q634" s="414"/>
      <c r="R634" s="414"/>
      <c r="S634" s="414"/>
      <c r="T634" s="414"/>
      <c r="U634" s="414"/>
      <c r="V634" s="414"/>
      <c r="W634" s="414"/>
      <c r="X634" s="414"/>
      <c r="Y634" s="414"/>
      <c r="Z634" s="414"/>
    </row>
    <row r="635" spans="1:26" ht="15.75" customHeight="1" x14ac:dyDescent="0.25">
      <c r="A635" s="424">
        <v>630</v>
      </c>
      <c r="B635" s="250"/>
      <c r="C635" s="250"/>
      <c r="D635" s="250"/>
      <c r="E635" s="250"/>
      <c r="F635" s="425"/>
      <c r="G635" s="425"/>
      <c r="H635" s="346"/>
      <c r="I635" s="250"/>
      <c r="J635" s="426"/>
      <c r="K635" s="426"/>
      <c r="L635" s="414"/>
      <c r="M635" s="414"/>
      <c r="N635" s="414"/>
      <c r="O635" s="414"/>
      <c r="P635" s="414"/>
      <c r="Q635" s="414"/>
      <c r="R635" s="414"/>
      <c r="S635" s="414"/>
      <c r="T635" s="414"/>
      <c r="U635" s="414"/>
      <c r="V635" s="414"/>
      <c r="W635" s="414"/>
      <c r="X635" s="414"/>
      <c r="Y635" s="414"/>
      <c r="Z635" s="414"/>
    </row>
    <row r="636" spans="1:26" ht="15.75" customHeight="1" x14ac:dyDescent="0.25">
      <c r="A636" s="424">
        <v>631</v>
      </c>
      <c r="B636" s="250"/>
      <c r="C636" s="250"/>
      <c r="D636" s="250"/>
      <c r="E636" s="250"/>
      <c r="F636" s="425"/>
      <c r="G636" s="425"/>
      <c r="H636" s="346"/>
      <c r="I636" s="250"/>
      <c r="J636" s="426"/>
      <c r="K636" s="426"/>
      <c r="L636" s="414"/>
      <c r="M636" s="414"/>
      <c r="N636" s="414"/>
      <c r="O636" s="414"/>
      <c r="P636" s="414"/>
      <c r="Q636" s="414"/>
      <c r="R636" s="414"/>
      <c r="S636" s="414"/>
      <c r="T636" s="414"/>
      <c r="U636" s="414"/>
      <c r="V636" s="414"/>
      <c r="W636" s="414"/>
      <c r="X636" s="414"/>
      <c r="Y636" s="414"/>
      <c r="Z636" s="414"/>
    </row>
    <row r="637" spans="1:26" ht="15.75" customHeight="1" x14ac:dyDescent="0.25">
      <c r="A637" s="424">
        <v>632</v>
      </c>
      <c r="B637" s="250"/>
      <c r="C637" s="250"/>
      <c r="D637" s="250"/>
      <c r="E637" s="250"/>
      <c r="F637" s="425"/>
      <c r="G637" s="425"/>
      <c r="H637" s="346"/>
      <c r="I637" s="250"/>
      <c r="J637" s="426"/>
      <c r="K637" s="426"/>
      <c r="L637" s="414"/>
      <c r="M637" s="414"/>
      <c r="N637" s="414"/>
      <c r="O637" s="414"/>
      <c r="P637" s="414"/>
      <c r="Q637" s="414"/>
      <c r="R637" s="414"/>
      <c r="S637" s="414"/>
      <c r="T637" s="414"/>
      <c r="U637" s="414"/>
      <c r="V637" s="414"/>
      <c r="W637" s="414"/>
      <c r="X637" s="414"/>
      <c r="Y637" s="414"/>
      <c r="Z637" s="414"/>
    </row>
    <row r="638" spans="1:26" ht="15.75" customHeight="1" x14ac:dyDescent="0.25">
      <c r="A638" s="424">
        <v>633</v>
      </c>
      <c r="B638" s="250"/>
      <c r="C638" s="250"/>
      <c r="D638" s="250"/>
      <c r="E638" s="250"/>
      <c r="F638" s="425"/>
      <c r="G638" s="425"/>
      <c r="H638" s="346"/>
      <c r="I638" s="250"/>
      <c r="J638" s="426"/>
      <c r="K638" s="426"/>
      <c r="L638" s="414"/>
      <c r="M638" s="414"/>
      <c r="N638" s="414"/>
      <c r="O638" s="414"/>
      <c r="P638" s="414"/>
      <c r="Q638" s="414"/>
      <c r="R638" s="414"/>
      <c r="S638" s="414"/>
      <c r="T638" s="414"/>
      <c r="U638" s="414"/>
      <c r="V638" s="414"/>
      <c r="W638" s="414"/>
      <c r="X638" s="414"/>
      <c r="Y638" s="414"/>
      <c r="Z638" s="414"/>
    </row>
    <row r="639" spans="1:26" ht="15.75" customHeight="1" x14ac:dyDescent="0.25">
      <c r="A639" s="424">
        <v>634</v>
      </c>
      <c r="B639" s="250"/>
      <c r="C639" s="250"/>
      <c r="D639" s="250"/>
      <c r="E639" s="250"/>
      <c r="F639" s="425"/>
      <c r="G639" s="425"/>
      <c r="H639" s="346"/>
      <c r="I639" s="250"/>
      <c r="J639" s="426"/>
      <c r="K639" s="426"/>
      <c r="L639" s="414"/>
      <c r="M639" s="414"/>
      <c r="N639" s="414"/>
      <c r="O639" s="414"/>
      <c r="P639" s="414"/>
      <c r="Q639" s="414"/>
      <c r="R639" s="414"/>
      <c r="S639" s="414"/>
      <c r="T639" s="414"/>
      <c r="U639" s="414"/>
      <c r="V639" s="414"/>
      <c r="W639" s="414"/>
      <c r="X639" s="414"/>
      <c r="Y639" s="414"/>
      <c r="Z639" s="414"/>
    </row>
    <row r="640" spans="1:26" ht="15.75" customHeight="1" x14ac:dyDescent="0.25">
      <c r="A640" s="424">
        <v>635</v>
      </c>
      <c r="B640" s="250"/>
      <c r="C640" s="250"/>
      <c r="D640" s="250"/>
      <c r="E640" s="250"/>
      <c r="F640" s="425"/>
      <c r="G640" s="425"/>
      <c r="H640" s="346"/>
      <c r="I640" s="250"/>
      <c r="J640" s="426"/>
      <c r="K640" s="426"/>
      <c r="L640" s="414"/>
      <c r="M640" s="414"/>
      <c r="N640" s="414"/>
      <c r="O640" s="414"/>
      <c r="P640" s="414"/>
      <c r="Q640" s="414"/>
      <c r="R640" s="414"/>
      <c r="S640" s="414"/>
      <c r="T640" s="414"/>
      <c r="U640" s="414"/>
      <c r="V640" s="414"/>
      <c r="W640" s="414"/>
      <c r="X640" s="414"/>
      <c r="Y640" s="414"/>
      <c r="Z640" s="414"/>
    </row>
    <row r="641" spans="1:26" ht="15.75" customHeight="1" x14ac:dyDescent="0.25">
      <c r="A641" s="424">
        <v>636</v>
      </c>
      <c r="B641" s="250"/>
      <c r="C641" s="250"/>
      <c r="D641" s="250"/>
      <c r="E641" s="250"/>
      <c r="F641" s="425"/>
      <c r="G641" s="425"/>
      <c r="H641" s="346"/>
      <c r="I641" s="250"/>
      <c r="J641" s="426"/>
      <c r="K641" s="426"/>
      <c r="L641" s="414"/>
      <c r="M641" s="414"/>
      <c r="N641" s="414"/>
      <c r="O641" s="414"/>
      <c r="P641" s="414"/>
      <c r="Q641" s="414"/>
      <c r="R641" s="414"/>
      <c r="S641" s="414"/>
      <c r="T641" s="414"/>
      <c r="U641" s="414"/>
      <c r="V641" s="414"/>
      <c r="W641" s="414"/>
      <c r="X641" s="414"/>
      <c r="Y641" s="414"/>
      <c r="Z641" s="414"/>
    </row>
    <row r="642" spans="1:26" ht="15.75" customHeight="1" x14ac:dyDescent="0.25">
      <c r="A642" s="424">
        <v>637</v>
      </c>
      <c r="B642" s="250"/>
      <c r="C642" s="250"/>
      <c r="D642" s="250"/>
      <c r="E642" s="250"/>
      <c r="F642" s="425"/>
      <c r="G642" s="425"/>
      <c r="H642" s="346"/>
      <c r="I642" s="250"/>
      <c r="J642" s="426"/>
      <c r="K642" s="426"/>
      <c r="L642" s="414"/>
      <c r="M642" s="414"/>
      <c r="N642" s="414"/>
      <c r="O642" s="414"/>
      <c r="P642" s="414"/>
      <c r="Q642" s="414"/>
      <c r="R642" s="414"/>
      <c r="S642" s="414"/>
      <c r="T642" s="414"/>
      <c r="U642" s="414"/>
      <c r="V642" s="414"/>
      <c r="W642" s="414"/>
      <c r="X642" s="414"/>
      <c r="Y642" s="414"/>
      <c r="Z642" s="414"/>
    </row>
    <row r="643" spans="1:26" ht="15.75" customHeight="1" x14ac:dyDescent="0.25">
      <c r="A643" s="424">
        <v>638</v>
      </c>
      <c r="B643" s="250"/>
      <c r="C643" s="250"/>
      <c r="D643" s="250"/>
      <c r="E643" s="250"/>
      <c r="F643" s="425"/>
      <c r="G643" s="425"/>
      <c r="H643" s="346"/>
      <c r="I643" s="250"/>
      <c r="J643" s="426"/>
      <c r="K643" s="426"/>
      <c r="L643" s="414"/>
      <c r="M643" s="414"/>
      <c r="N643" s="414"/>
      <c r="O643" s="414"/>
      <c r="P643" s="414"/>
      <c r="Q643" s="414"/>
      <c r="R643" s="414"/>
      <c r="S643" s="414"/>
      <c r="T643" s="414"/>
      <c r="U643" s="414"/>
      <c r="V643" s="414"/>
      <c r="W643" s="414"/>
      <c r="X643" s="414"/>
      <c r="Y643" s="414"/>
      <c r="Z643" s="414"/>
    </row>
    <row r="644" spans="1:26" ht="15.75" customHeight="1" x14ac:dyDescent="0.25">
      <c r="A644" s="424">
        <v>639</v>
      </c>
      <c r="B644" s="250"/>
      <c r="C644" s="250"/>
      <c r="D644" s="250"/>
      <c r="E644" s="250"/>
      <c r="F644" s="425"/>
      <c r="G644" s="425"/>
      <c r="H644" s="346"/>
      <c r="I644" s="250"/>
      <c r="J644" s="426"/>
      <c r="K644" s="426"/>
      <c r="L644" s="414"/>
      <c r="M644" s="414"/>
      <c r="N644" s="414"/>
      <c r="O644" s="414"/>
      <c r="P644" s="414"/>
      <c r="Q644" s="414"/>
      <c r="R644" s="414"/>
      <c r="S644" s="414"/>
      <c r="T644" s="414"/>
      <c r="U644" s="414"/>
      <c r="V644" s="414"/>
      <c r="W644" s="414"/>
      <c r="X644" s="414"/>
      <c r="Y644" s="414"/>
      <c r="Z644" s="414"/>
    </row>
    <row r="645" spans="1:26" ht="15.75" customHeight="1" x14ac:dyDescent="0.25">
      <c r="A645" s="424">
        <v>640</v>
      </c>
      <c r="B645" s="250"/>
      <c r="C645" s="250"/>
      <c r="D645" s="250"/>
      <c r="E645" s="250"/>
      <c r="F645" s="425"/>
      <c r="G645" s="425"/>
      <c r="H645" s="346"/>
      <c r="I645" s="250"/>
      <c r="J645" s="426"/>
      <c r="K645" s="426"/>
      <c r="L645" s="414"/>
      <c r="M645" s="414"/>
      <c r="N645" s="414"/>
      <c r="O645" s="414"/>
      <c r="P645" s="414"/>
      <c r="Q645" s="414"/>
      <c r="R645" s="414"/>
      <c r="S645" s="414"/>
      <c r="T645" s="414"/>
      <c r="U645" s="414"/>
      <c r="V645" s="414"/>
      <c r="W645" s="414"/>
      <c r="X645" s="414"/>
      <c r="Y645" s="414"/>
      <c r="Z645" s="414"/>
    </row>
    <row r="646" spans="1:26" ht="15.75" customHeight="1" x14ac:dyDescent="0.25">
      <c r="A646" s="424">
        <v>641</v>
      </c>
      <c r="B646" s="250"/>
      <c r="C646" s="250"/>
      <c r="D646" s="250"/>
      <c r="E646" s="250"/>
      <c r="F646" s="425"/>
      <c r="G646" s="425"/>
      <c r="H646" s="346"/>
      <c r="I646" s="250"/>
      <c r="J646" s="426"/>
      <c r="K646" s="426"/>
      <c r="L646" s="414"/>
      <c r="M646" s="414"/>
      <c r="N646" s="414"/>
      <c r="O646" s="414"/>
      <c r="P646" s="414"/>
      <c r="Q646" s="414"/>
      <c r="R646" s="414"/>
      <c r="S646" s="414"/>
      <c r="T646" s="414"/>
      <c r="U646" s="414"/>
      <c r="V646" s="414"/>
      <c r="W646" s="414"/>
      <c r="X646" s="414"/>
      <c r="Y646" s="414"/>
      <c r="Z646" s="414"/>
    </row>
    <row r="647" spans="1:26" ht="15.75" customHeight="1" x14ac:dyDescent="0.25">
      <c r="A647" s="424">
        <v>642</v>
      </c>
      <c r="B647" s="250"/>
      <c r="C647" s="250"/>
      <c r="D647" s="250"/>
      <c r="E647" s="250"/>
      <c r="F647" s="425"/>
      <c r="G647" s="425"/>
      <c r="H647" s="346"/>
      <c r="I647" s="250"/>
      <c r="J647" s="426"/>
      <c r="K647" s="426"/>
      <c r="L647" s="414"/>
      <c r="M647" s="414"/>
      <c r="N647" s="414"/>
      <c r="O647" s="414"/>
      <c r="P647" s="414"/>
      <c r="Q647" s="414"/>
      <c r="R647" s="414"/>
      <c r="S647" s="414"/>
      <c r="T647" s="414"/>
      <c r="U647" s="414"/>
      <c r="V647" s="414"/>
      <c r="W647" s="414"/>
      <c r="X647" s="414"/>
      <c r="Y647" s="414"/>
      <c r="Z647" s="414"/>
    </row>
    <row r="648" spans="1:26" ht="15.75" customHeight="1" x14ac:dyDescent="0.25">
      <c r="A648" s="424">
        <v>643</v>
      </c>
      <c r="B648" s="250"/>
      <c r="C648" s="250"/>
      <c r="D648" s="250"/>
      <c r="E648" s="250"/>
      <c r="F648" s="425"/>
      <c r="G648" s="425"/>
      <c r="H648" s="346"/>
      <c r="I648" s="250"/>
      <c r="J648" s="426"/>
      <c r="K648" s="426"/>
      <c r="L648" s="414"/>
      <c r="M648" s="414"/>
      <c r="N648" s="414"/>
      <c r="O648" s="414"/>
      <c r="P648" s="414"/>
      <c r="Q648" s="414"/>
      <c r="R648" s="414"/>
      <c r="S648" s="414"/>
      <c r="T648" s="414"/>
      <c r="U648" s="414"/>
      <c r="V648" s="414"/>
      <c r="W648" s="414"/>
      <c r="X648" s="414"/>
      <c r="Y648" s="414"/>
      <c r="Z648" s="414"/>
    </row>
    <row r="649" spans="1:26" ht="15.75" customHeight="1" x14ac:dyDescent="0.25">
      <c r="A649" s="424">
        <v>644</v>
      </c>
      <c r="B649" s="250"/>
      <c r="C649" s="250"/>
      <c r="D649" s="250"/>
      <c r="E649" s="250"/>
      <c r="F649" s="425"/>
      <c r="G649" s="425"/>
      <c r="H649" s="346"/>
      <c r="I649" s="250"/>
      <c r="J649" s="426"/>
      <c r="K649" s="426"/>
      <c r="L649" s="414"/>
      <c r="M649" s="414"/>
      <c r="N649" s="414"/>
      <c r="O649" s="414"/>
      <c r="P649" s="414"/>
      <c r="Q649" s="414"/>
      <c r="R649" s="414"/>
      <c r="S649" s="414"/>
      <c r="T649" s="414"/>
      <c r="U649" s="414"/>
      <c r="V649" s="414"/>
      <c r="W649" s="414"/>
      <c r="X649" s="414"/>
      <c r="Y649" s="414"/>
      <c r="Z649" s="414"/>
    </row>
    <row r="650" spans="1:26" ht="15.75" customHeight="1" x14ac:dyDescent="0.25">
      <c r="A650" s="424">
        <v>645</v>
      </c>
      <c r="B650" s="250"/>
      <c r="C650" s="250"/>
      <c r="D650" s="250"/>
      <c r="E650" s="250"/>
      <c r="F650" s="425"/>
      <c r="G650" s="425"/>
      <c r="H650" s="346"/>
      <c r="I650" s="250"/>
      <c r="J650" s="426"/>
      <c r="K650" s="426"/>
      <c r="L650" s="414"/>
      <c r="M650" s="414"/>
      <c r="N650" s="414"/>
      <c r="O650" s="414"/>
      <c r="P650" s="414"/>
      <c r="Q650" s="414"/>
      <c r="R650" s="414"/>
      <c r="S650" s="414"/>
      <c r="T650" s="414"/>
      <c r="U650" s="414"/>
      <c r="V650" s="414"/>
      <c r="W650" s="414"/>
      <c r="X650" s="414"/>
      <c r="Y650" s="414"/>
      <c r="Z650" s="414"/>
    </row>
    <row r="651" spans="1:26" ht="15.75" customHeight="1" x14ac:dyDescent="0.25">
      <c r="A651" s="424">
        <v>646</v>
      </c>
      <c r="B651" s="250"/>
      <c r="C651" s="250"/>
      <c r="D651" s="250"/>
      <c r="E651" s="250"/>
      <c r="F651" s="425"/>
      <c r="G651" s="425"/>
      <c r="H651" s="346"/>
      <c r="I651" s="250"/>
      <c r="J651" s="426"/>
      <c r="K651" s="426"/>
      <c r="L651" s="414"/>
      <c r="M651" s="414"/>
      <c r="N651" s="414"/>
      <c r="O651" s="414"/>
      <c r="P651" s="414"/>
      <c r="Q651" s="414"/>
      <c r="R651" s="414"/>
      <c r="S651" s="414"/>
      <c r="T651" s="414"/>
      <c r="U651" s="414"/>
      <c r="V651" s="414"/>
      <c r="W651" s="414"/>
      <c r="X651" s="414"/>
      <c r="Y651" s="414"/>
      <c r="Z651" s="414"/>
    </row>
    <row r="652" spans="1:26" ht="15.75" customHeight="1" x14ac:dyDescent="0.25">
      <c r="A652" s="424">
        <v>647</v>
      </c>
      <c r="B652" s="250"/>
      <c r="C652" s="250"/>
      <c r="D652" s="250"/>
      <c r="E652" s="250"/>
      <c r="F652" s="425"/>
      <c r="G652" s="425"/>
      <c r="H652" s="346"/>
      <c r="I652" s="250"/>
      <c r="J652" s="426"/>
      <c r="K652" s="426"/>
      <c r="L652" s="414"/>
      <c r="M652" s="414"/>
      <c r="N652" s="414"/>
      <c r="O652" s="414"/>
      <c r="P652" s="414"/>
      <c r="Q652" s="414"/>
      <c r="R652" s="414"/>
      <c r="S652" s="414"/>
      <c r="T652" s="414"/>
      <c r="U652" s="414"/>
      <c r="V652" s="414"/>
      <c r="W652" s="414"/>
      <c r="X652" s="414"/>
      <c r="Y652" s="414"/>
      <c r="Z652" s="414"/>
    </row>
    <row r="653" spans="1:26" ht="15.75" customHeight="1" x14ac:dyDescent="0.25">
      <c r="A653" s="424">
        <v>648</v>
      </c>
      <c r="B653" s="250"/>
      <c r="C653" s="250"/>
      <c r="D653" s="250"/>
      <c r="E653" s="250"/>
      <c r="F653" s="425"/>
      <c r="G653" s="425"/>
      <c r="H653" s="346"/>
      <c r="I653" s="250"/>
      <c r="J653" s="426"/>
      <c r="K653" s="426"/>
      <c r="L653" s="414"/>
      <c r="M653" s="414"/>
      <c r="N653" s="414"/>
      <c r="O653" s="414"/>
      <c r="P653" s="414"/>
      <c r="Q653" s="414"/>
      <c r="R653" s="414"/>
      <c r="S653" s="414"/>
      <c r="T653" s="414"/>
      <c r="U653" s="414"/>
      <c r="V653" s="414"/>
      <c r="W653" s="414"/>
      <c r="X653" s="414"/>
      <c r="Y653" s="414"/>
      <c r="Z653" s="414"/>
    </row>
    <row r="654" spans="1:26" ht="15.75" customHeight="1" x14ac:dyDescent="0.25">
      <c r="A654" s="424">
        <v>649</v>
      </c>
      <c r="B654" s="250"/>
      <c r="C654" s="250"/>
      <c r="D654" s="250"/>
      <c r="E654" s="250"/>
      <c r="F654" s="425"/>
      <c r="G654" s="425"/>
      <c r="H654" s="346"/>
      <c r="I654" s="250"/>
      <c r="J654" s="426"/>
      <c r="K654" s="426"/>
      <c r="L654" s="414"/>
      <c r="M654" s="414"/>
      <c r="N654" s="414"/>
      <c r="O654" s="414"/>
      <c r="P654" s="414"/>
      <c r="Q654" s="414"/>
      <c r="R654" s="414"/>
      <c r="S654" s="414"/>
      <c r="T654" s="414"/>
      <c r="U654" s="414"/>
      <c r="V654" s="414"/>
      <c r="W654" s="414"/>
      <c r="X654" s="414"/>
      <c r="Y654" s="414"/>
      <c r="Z654" s="414"/>
    </row>
    <row r="655" spans="1:26" ht="15.75" customHeight="1" x14ac:dyDescent="0.25">
      <c r="A655" s="424">
        <v>650</v>
      </c>
      <c r="B655" s="250"/>
      <c r="C655" s="250"/>
      <c r="D655" s="250"/>
      <c r="E655" s="250"/>
      <c r="F655" s="425"/>
      <c r="G655" s="425"/>
      <c r="H655" s="346"/>
      <c r="I655" s="250"/>
      <c r="J655" s="426"/>
      <c r="K655" s="426"/>
      <c r="L655" s="414"/>
      <c r="M655" s="414"/>
      <c r="N655" s="414"/>
      <c r="O655" s="414"/>
      <c r="P655" s="414"/>
      <c r="Q655" s="414"/>
      <c r="R655" s="414"/>
      <c r="S655" s="414"/>
      <c r="T655" s="414"/>
      <c r="U655" s="414"/>
      <c r="V655" s="414"/>
      <c r="W655" s="414"/>
      <c r="X655" s="414"/>
      <c r="Y655" s="414"/>
      <c r="Z655" s="414"/>
    </row>
    <row r="656" spans="1:26" ht="15.75" customHeight="1" x14ac:dyDescent="0.25">
      <c r="A656" s="424">
        <v>651</v>
      </c>
      <c r="B656" s="250"/>
      <c r="C656" s="250"/>
      <c r="D656" s="250"/>
      <c r="E656" s="250"/>
      <c r="F656" s="425"/>
      <c r="G656" s="425"/>
      <c r="H656" s="346"/>
      <c r="I656" s="250"/>
      <c r="J656" s="426"/>
      <c r="K656" s="426"/>
      <c r="L656" s="414"/>
      <c r="M656" s="414"/>
      <c r="N656" s="414"/>
      <c r="O656" s="414"/>
      <c r="P656" s="414"/>
      <c r="Q656" s="414"/>
      <c r="R656" s="414"/>
      <c r="S656" s="414"/>
      <c r="T656" s="414"/>
      <c r="U656" s="414"/>
      <c r="V656" s="414"/>
      <c r="W656" s="414"/>
      <c r="X656" s="414"/>
      <c r="Y656" s="414"/>
      <c r="Z656" s="414"/>
    </row>
    <row r="657" spans="1:26" ht="15.75" customHeight="1" x14ac:dyDescent="0.25">
      <c r="A657" s="424">
        <v>652</v>
      </c>
      <c r="B657" s="250"/>
      <c r="C657" s="250"/>
      <c r="D657" s="250"/>
      <c r="E657" s="250"/>
      <c r="F657" s="425"/>
      <c r="G657" s="425"/>
      <c r="H657" s="346"/>
      <c r="I657" s="250"/>
      <c r="J657" s="426"/>
      <c r="K657" s="426"/>
      <c r="L657" s="414"/>
      <c r="M657" s="414"/>
      <c r="N657" s="414"/>
      <c r="O657" s="414"/>
      <c r="P657" s="414"/>
      <c r="Q657" s="414"/>
      <c r="R657" s="414"/>
      <c r="S657" s="414"/>
      <c r="T657" s="414"/>
      <c r="U657" s="414"/>
      <c r="V657" s="414"/>
      <c r="W657" s="414"/>
      <c r="X657" s="414"/>
      <c r="Y657" s="414"/>
      <c r="Z657" s="414"/>
    </row>
    <row r="658" spans="1:26" ht="15.75" customHeight="1" x14ac:dyDescent="0.25">
      <c r="A658" s="424">
        <v>653</v>
      </c>
      <c r="B658" s="250"/>
      <c r="C658" s="250"/>
      <c r="D658" s="250"/>
      <c r="E658" s="250"/>
      <c r="F658" s="425"/>
      <c r="G658" s="425"/>
      <c r="H658" s="346"/>
      <c r="I658" s="250"/>
      <c r="J658" s="426"/>
      <c r="K658" s="426"/>
      <c r="L658" s="414"/>
      <c r="M658" s="414"/>
      <c r="N658" s="414"/>
      <c r="O658" s="414"/>
      <c r="P658" s="414"/>
      <c r="Q658" s="414"/>
      <c r="R658" s="414"/>
      <c r="S658" s="414"/>
      <c r="T658" s="414"/>
      <c r="U658" s="414"/>
      <c r="V658" s="414"/>
      <c r="W658" s="414"/>
      <c r="X658" s="414"/>
      <c r="Y658" s="414"/>
      <c r="Z658" s="414"/>
    </row>
    <row r="659" spans="1:26" ht="15.75" customHeight="1" x14ac:dyDescent="0.25">
      <c r="A659" s="424">
        <v>654</v>
      </c>
      <c r="B659" s="250"/>
      <c r="C659" s="250"/>
      <c r="D659" s="250"/>
      <c r="E659" s="250"/>
      <c r="F659" s="425"/>
      <c r="G659" s="425"/>
      <c r="H659" s="346"/>
      <c r="I659" s="250"/>
      <c r="J659" s="426"/>
      <c r="K659" s="426"/>
      <c r="L659" s="414"/>
      <c r="M659" s="414"/>
      <c r="N659" s="414"/>
      <c r="O659" s="414"/>
      <c r="P659" s="414"/>
      <c r="Q659" s="414"/>
      <c r="R659" s="414"/>
      <c r="S659" s="414"/>
      <c r="T659" s="414"/>
      <c r="U659" s="414"/>
      <c r="V659" s="414"/>
      <c r="W659" s="414"/>
      <c r="X659" s="414"/>
      <c r="Y659" s="414"/>
      <c r="Z659" s="414"/>
    </row>
    <row r="660" spans="1:26" ht="15.75" customHeight="1" x14ac:dyDescent="0.25">
      <c r="A660" s="424">
        <v>655</v>
      </c>
      <c r="B660" s="250"/>
      <c r="C660" s="250"/>
      <c r="D660" s="250"/>
      <c r="E660" s="250"/>
      <c r="F660" s="425"/>
      <c r="G660" s="425"/>
      <c r="H660" s="346"/>
      <c r="I660" s="250"/>
      <c r="J660" s="426"/>
      <c r="K660" s="426"/>
      <c r="L660" s="414"/>
      <c r="M660" s="414"/>
      <c r="N660" s="414"/>
      <c r="O660" s="414"/>
      <c r="P660" s="414"/>
      <c r="Q660" s="414"/>
      <c r="R660" s="414"/>
      <c r="S660" s="414"/>
      <c r="T660" s="414"/>
      <c r="U660" s="414"/>
      <c r="V660" s="414"/>
      <c r="W660" s="414"/>
      <c r="X660" s="414"/>
      <c r="Y660" s="414"/>
      <c r="Z660" s="414"/>
    </row>
    <row r="661" spans="1:26" ht="15.75" customHeight="1" x14ac:dyDescent="0.25">
      <c r="A661" s="424">
        <v>656</v>
      </c>
      <c r="B661" s="250"/>
      <c r="C661" s="250"/>
      <c r="D661" s="250"/>
      <c r="E661" s="250"/>
      <c r="F661" s="425"/>
      <c r="G661" s="425"/>
      <c r="H661" s="346"/>
      <c r="I661" s="250"/>
      <c r="J661" s="426"/>
      <c r="K661" s="426"/>
      <c r="L661" s="414"/>
      <c r="M661" s="414"/>
      <c r="N661" s="414"/>
      <c r="O661" s="414"/>
      <c r="P661" s="414"/>
      <c r="Q661" s="414"/>
      <c r="R661" s="414"/>
      <c r="S661" s="414"/>
      <c r="T661" s="414"/>
      <c r="U661" s="414"/>
      <c r="V661" s="414"/>
      <c r="W661" s="414"/>
      <c r="X661" s="414"/>
      <c r="Y661" s="414"/>
      <c r="Z661" s="414"/>
    </row>
    <row r="662" spans="1:26" ht="15.75" customHeight="1" x14ac:dyDescent="0.25">
      <c r="A662" s="424">
        <v>657</v>
      </c>
      <c r="B662" s="250"/>
      <c r="C662" s="250"/>
      <c r="D662" s="250"/>
      <c r="E662" s="250"/>
      <c r="F662" s="425"/>
      <c r="G662" s="425"/>
      <c r="H662" s="346"/>
      <c r="I662" s="250"/>
      <c r="J662" s="426"/>
      <c r="K662" s="426"/>
      <c r="L662" s="414"/>
      <c r="M662" s="414"/>
      <c r="N662" s="414"/>
      <c r="O662" s="414"/>
      <c r="P662" s="414"/>
      <c r="Q662" s="414"/>
      <c r="R662" s="414"/>
      <c r="S662" s="414"/>
      <c r="T662" s="414"/>
      <c r="U662" s="414"/>
      <c r="V662" s="414"/>
      <c r="W662" s="414"/>
      <c r="X662" s="414"/>
      <c r="Y662" s="414"/>
      <c r="Z662" s="414"/>
    </row>
    <row r="663" spans="1:26" ht="15.75" customHeight="1" x14ac:dyDescent="0.25">
      <c r="A663" s="424">
        <v>658</v>
      </c>
      <c r="B663" s="250"/>
      <c r="C663" s="250"/>
      <c r="D663" s="250"/>
      <c r="E663" s="250"/>
      <c r="F663" s="425"/>
      <c r="G663" s="425"/>
      <c r="H663" s="346"/>
      <c r="I663" s="250"/>
      <c r="J663" s="426"/>
      <c r="K663" s="426"/>
      <c r="L663" s="414"/>
      <c r="M663" s="414"/>
      <c r="N663" s="414"/>
      <c r="O663" s="414"/>
      <c r="P663" s="414"/>
      <c r="Q663" s="414"/>
      <c r="R663" s="414"/>
      <c r="S663" s="414"/>
      <c r="T663" s="414"/>
      <c r="U663" s="414"/>
      <c r="V663" s="414"/>
      <c r="W663" s="414"/>
      <c r="X663" s="414"/>
      <c r="Y663" s="414"/>
      <c r="Z663" s="414"/>
    </row>
    <row r="664" spans="1:26" ht="15.75" customHeight="1" x14ac:dyDescent="0.25">
      <c r="A664" s="424">
        <v>659</v>
      </c>
      <c r="B664" s="250"/>
      <c r="C664" s="250"/>
      <c r="D664" s="250"/>
      <c r="E664" s="250"/>
      <c r="F664" s="425"/>
      <c r="G664" s="425"/>
      <c r="H664" s="346"/>
      <c r="I664" s="250"/>
      <c r="J664" s="426"/>
      <c r="K664" s="426"/>
      <c r="L664" s="414"/>
      <c r="M664" s="414"/>
      <c r="N664" s="414"/>
      <c r="O664" s="414"/>
      <c r="P664" s="414"/>
      <c r="Q664" s="414"/>
      <c r="R664" s="414"/>
      <c r="S664" s="414"/>
      <c r="T664" s="414"/>
      <c r="U664" s="414"/>
      <c r="V664" s="414"/>
      <c r="W664" s="414"/>
      <c r="X664" s="414"/>
      <c r="Y664" s="414"/>
      <c r="Z664" s="414"/>
    </row>
    <row r="665" spans="1:26" ht="15.75" customHeight="1" x14ac:dyDescent="0.25">
      <c r="A665" s="424">
        <v>660</v>
      </c>
      <c r="B665" s="250"/>
      <c r="C665" s="250"/>
      <c r="D665" s="250"/>
      <c r="E665" s="250"/>
      <c r="F665" s="425"/>
      <c r="G665" s="425"/>
      <c r="H665" s="346"/>
      <c r="I665" s="250"/>
      <c r="J665" s="426"/>
      <c r="K665" s="426"/>
      <c r="L665" s="414"/>
      <c r="M665" s="414"/>
      <c r="N665" s="414"/>
      <c r="O665" s="414"/>
      <c r="P665" s="414"/>
      <c r="Q665" s="414"/>
      <c r="R665" s="414"/>
      <c r="S665" s="414"/>
      <c r="T665" s="414"/>
      <c r="U665" s="414"/>
      <c r="V665" s="414"/>
      <c r="W665" s="414"/>
      <c r="X665" s="414"/>
      <c r="Y665" s="414"/>
      <c r="Z665" s="414"/>
    </row>
    <row r="666" spans="1:26" ht="15.75" customHeight="1" x14ac:dyDescent="0.25">
      <c r="A666" s="424">
        <v>661</v>
      </c>
      <c r="B666" s="250"/>
      <c r="C666" s="250"/>
      <c r="D666" s="250"/>
      <c r="E666" s="250"/>
      <c r="F666" s="425"/>
      <c r="G666" s="425"/>
      <c r="H666" s="346"/>
      <c r="I666" s="250"/>
      <c r="J666" s="426"/>
      <c r="K666" s="426"/>
      <c r="L666" s="414"/>
      <c r="M666" s="414"/>
      <c r="N666" s="414"/>
      <c r="O666" s="414"/>
      <c r="P666" s="414"/>
      <c r="Q666" s="414"/>
      <c r="R666" s="414"/>
      <c r="S666" s="414"/>
      <c r="T666" s="414"/>
      <c r="U666" s="414"/>
      <c r="V666" s="414"/>
      <c r="W666" s="414"/>
      <c r="X666" s="414"/>
      <c r="Y666" s="414"/>
      <c r="Z666" s="414"/>
    </row>
    <row r="667" spans="1:26" ht="15.75" customHeight="1" x14ac:dyDescent="0.25">
      <c r="A667" s="424">
        <v>662</v>
      </c>
      <c r="B667" s="250"/>
      <c r="C667" s="250"/>
      <c r="D667" s="250"/>
      <c r="E667" s="250"/>
      <c r="F667" s="425"/>
      <c r="G667" s="425"/>
      <c r="H667" s="346"/>
      <c r="I667" s="250"/>
      <c r="J667" s="426"/>
      <c r="K667" s="426"/>
      <c r="L667" s="414"/>
      <c r="M667" s="414"/>
      <c r="N667" s="414"/>
      <c r="O667" s="414"/>
      <c r="P667" s="414"/>
      <c r="Q667" s="414"/>
      <c r="R667" s="414"/>
      <c r="S667" s="414"/>
      <c r="T667" s="414"/>
      <c r="U667" s="414"/>
      <c r="V667" s="414"/>
      <c r="W667" s="414"/>
      <c r="X667" s="414"/>
      <c r="Y667" s="414"/>
      <c r="Z667" s="414"/>
    </row>
    <row r="668" spans="1:26" ht="15.75" customHeight="1" x14ac:dyDescent="0.25">
      <c r="A668" s="424">
        <v>663</v>
      </c>
      <c r="B668" s="250"/>
      <c r="C668" s="250"/>
      <c r="D668" s="250"/>
      <c r="E668" s="250"/>
      <c r="F668" s="425"/>
      <c r="G668" s="425"/>
      <c r="H668" s="346"/>
      <c r="I668" s="250"/>
      <c r="J668" s="426"/>
      <c r="K668" s="426"/>
      <c r="L668" s="414"/>
      <c r="M668" s="414"/>
      <c r="N668" s="414"/>
      <c r="O668" s="414"/>
      <c r="P668" s="414"/>
      <c r="Q668" s="414"/>
      <c r="R668" s="414"/>
      <c r="S668" s="414"/>
      <c r="T668" s="414"/>
      <c r="U668" s="414"/>
      <c r="V668" s="414"/>
      <c r="W668" s="414"/>
      <c r="X668" s="414"/>
      <c r="Y668" s="414"/>
      <c r="Z668" s="414"/>
    </row>
    <row r="669" spans="1:26" ht="15.75" customHeight="1" x14ac:dyDescent="0.25">
      <c r="A669" s="424">
        <v>664</v>
      </c>
      <c r="B669" s="250"/>
      <c r="C669" s="250"/>
      <c r="D669" s="250"/>
      <c r="E669" s="250"/>
      <c r="F669" s="425"/>
      <c r="G669" s="425"/>
      <c r="H669" s="346"/>
      <c r="I669" s="250"/>
      <c r="J669" s="426"/>
      <c r="K669" s="426"/>
      <c r="L669" s="414"/>
      <c r="M669" s="414"/>
      <c r="N669" s="414"/>
      <c r="O669" s="414"/>
      <c r="P669" s="414"/>
      <c r="Q669" s="414"/>
      <c r="R669" s="414"/>
      <c r="S669" s="414"/>
      <c r="T669" s="414"/>
      <c r="U669" s="414"/>
      <c r="V669" s="414"/>
      <c r="W669" s="414"/>
      <c r="X669" s="414"/>
      <c r="Y669" s="414"/>
      <c r="Z669" s="414"/>
    </row>
    <row r="670" spans="1:26" ht="15.75" customHeight="1" x14ac:dyDescent="0.25">
      <c r="A670" s="424">
        <v>665</v>
      </c>
      <c r="B670" s="250"/>
      <c r="C670" s="250"/>
      <c r="D670" s="250"/>
      <c r="E670" s="250"/>
      <c r="F670" s="425"/>
      <c r="G670" s="425"/>
      <c r="H670" s="346"/>
      <c r="I670" s="250"/>
      <c r="J670" s="426"/>
      <c r="K670" s="426"/>
      <c r="L670" s="414"/>
      <c r="M670" s="414"/>
      <c r="N670" s="414"/>
      <c r="O670" s="414"/>
      <c r="P670" s="414"/>
      <c r="Q670" s="414"/>
      <c r="R670" s="414"/>
      <c r="S670" s="414"/>
      <c r="T670" s="414"/>
      <c r="U670" s="414"/>
      <c r="V670" s="414"/>
      <c r="W670" s="414"/>
      <c r="X670" s="414"/>
      <c r="Y670" s="414"/>
      <c r="Z670" s="414"/>
    </row>
    <row r="671" spans="1:26" ht="15.75" customHeight="1" x14ac:dyDescent="0.25">
      <c r="A671" s="424">
        <v>666</v>
      </c>
      <c r="B671" s="250"/>
      <c r="C671" s="250"/>
      <c r="D671" s="250"/>
      <c r="E671" s="250"/>
      <c r="F671" s="425"/>
      <c r="G671" s="425"/>
      <c r="H671" s="346"/>
      <c r="I671" s="250"/>
      <c r="J671" s="426"/>
      <c r="K671" s="426"/>
      <c r="L671" s="414"/>
      <c r="M671" s="414"/>
      <c r="N671" s="414"/>
      <c r="O671" s="414"/>
      <c r="P671" s="414"/>
      <c r="Q671" s="414"/>
      <c r="R671" s="414"/>
      <c r="S671" s="414"/>
      <c r="T671" s="414"/>
      <c r="U671" s="414"/>
      <c r="V671" s="414"/>
      <c r="W671" s="414"/>
      <c r="X671" s="414"/>
      <c r="Y671" s="414"/>
      <c r="Z671" s="414"/>
    </row>
    <row r="672" spans="1:26" ht="15.75" customHeight="1" x14ac:dyDescent="0.25">
      <c r="A672" s="424">
        <v>667</v>
      </c>
      <c r="B672" s="250"/>
      <c r="C672" s="250"/>
      <c r="D672" s="250"/>
      <c r="E672" s="250"/>
      <c r="F672" s="425"/>
      <c r="G672" s="425"/>
      <c r="H672" s="346"/>
      <c r="I672" s="250"/>
      <c r="J672" s="426"/>
      <c r="K672" s="426"/>
      <c r="L672" s="414"/>
      <c r="M672" s="414"/>
      <c r="N672" s="414"/>
      <c r="O672" s="414"/>
      <c r="P672" s="414"/>
      <c r="Q672" s="414"/>
      <c r="R672" s="414"/>
      <c r="S672" s="414"/>
      <c r="T672" s="414"/>
      <c r="U672" s="414"/>
      <c r="V672" s="414"/>
      <c r="W672" s="414"/>
      <c r="X672" s="414"/>
      <c r="Y672" s="414"/>
      <c r="Z672" s="414"/>
    </row>
    <row r="673" spans="1:26" ht="15.75" customHeight="1" x14ac:dyDescent="0.25">
      <c r="A673" s="424">
        <v>668</v>
      </c>
      <c r="B673" s="250"/>
      <c r="C673" s="250"/>
      <c r="D673" s="250"/>
      <c r="E673" s="250"/>
      <c r="F673" s="425"/>
      <c r="G673" s="425"/>
      <c r="H673" s="346"/>
      <c r="I673" s="250"/>
      <c r="J673" s="426"/>
      <c r="K673" s="426"/>
      <c r="L673" s="414"/>
      <c r="M673" s="414"/>
      <c r="N673" s="414"/>
      <c r="O673" s="414"/>
      <c r="P673" s="414"/>
      <c r="Q673" s="414"/>
      <c r="R673" s="414"/>
      <c r="S673" s="414"/>
      <c r="T673" s="414"/>
      <c r="U673" s="414"/>
      <c r="V673" s="414"/>
      <c r="W673" s="414"/>
      <c r="X673" s="414"/>
      <c r="Y673" s="414"/>
      <c r="Z673" s="414"/>
    </row>
    <row r="674" spans="1:26" ht="15.75" customHeight="1" x14ac:dyDescent="0.25">
      <c r="A674" s="424">
        <v>669</v>
      </c>
      <c r="B674" s="250"/>
      <c r="C674" s="250"/>
      <c r="D674" s="250"/>
      <c r="E674" s="250"/>
      <c r="F674" s="425"/>
      <c r="G674" s="425"/>
      <c r="H674" s="346"/>
      <c r="I674" s="250"/>
      <c r="J674" s="426"/>
      <c r="K674" s="426"/>
      <c r="L674" s="414"/>
      <c r="M674" s="414"/>
      <c r="N674" s="414"/>
      <c r="O674" s="414"/>
      <c r="P674" s="414"/>
      <c r="Q674" s="414"/>
      <c r="R674" s="414"/>
      <c r="S674" s="414"/>
      <c r="T674" s="414"/>
      <c r="U674" s="414"/>
      <c r="V674" s="414"/>
      <c r="W674" s="414"/>
      <c r="X674" s="414"/>
      <c r="Y674" s="414"/>
      <c r="Z674" s="414"/>
    </row>
    <row r="675" spans="1:26" ht="15.75" customHeight="1" x14ac:dyDescent="0.25">
      <c r="A675" s="424">
        <v>670</v>
      </c>
      <c r="B675" s="250"/>
      <c r="C675" s="250"/>
      <c r="D675" s="250"/>
      <c r="E675" s="250"/>
      <c r="F675" s="425"/>
      <c r="G675" s="425"/>
      <c r="H675" s="346"/>
      <c r="I675" s="250"/>
      <c r="J675" s="426"/>
      <c r="K675" s="426"/>
      <c r="L675" s="414"/>
      <c r="M675" s="414"/>
      <c r="N675" s="414"/>
      <c r="O675" s="414"/>
      <c r="P675" s="414"/>
      <c r="Q675" s="414"/>
      <c r="R675" s="414"/>
      <c r="S675" s="414"/>
      <c r="T675" s="414"/>
      <c r="U675" s="414"/>
      <c r="V675" s="414"/>
      <c r="W675" s="414"/>
      <c r="X675" s="414"/>
      <c r="Y675" s="414"/>
      <c r="Z675" s="414"/>
    </row>
    <row r="676" spans="1:26" ht="15.75" customHeight="1" x14ac:dyDescent="0.25">
      <c r="A676" s="424">
        <v>671</v>
      </c>
      <c r="B676" s="250"/>
      <c r="C676" s="250"/>
      <c r="D676" s="250"/>
      <c r="E676" s="250"/>
      <c r="F676" s="425"/>
      <c r="G676" s="425"/>
      <c r="H676" s="346"/>
      <c r="I676" s="250"/>
      <c r="J676" s="426"/>
      <c r="K676" s="426"/>
      <c r="L676" s="414"/>
      <c r="M676" s="414"/>
      <c r="N676" s="414"/>
      <c r="O676" s="414"/>
      <c r="P676" s="414"/>
      <c r="Q676" s="414"/>
      <c r="R676" s="414"/>
      <c r="S676" s="414"/>
      <c r="T676" s="414"/>
      <c r="U676" s="414"/>
      <c r="V676" s="414"/>
      <c r="W676" s="414"/>
      <c r="X676" s="414"/>
      <c r="Y676" s="414"/>
      <c r="Z676" s="414"/>
    </row>
    <row r="677" spans="1:26" ht="15.75" customHeight="1" x14ac:dyDescent="0.25">
      <c r="A677" s="424">
        <v>672</v>
      </c>
      <c r="B677" s="250"/>
      <c r="C677" s="250"/>
      <c r="D677" s="250"/>
      <c r="E677" s="250"/>
      <c r="F677" s="425"/>
      <c r="G677" s="425"/>
      <c r="H677" s="346"/>
      <c r="I677" s="250"/>
      <c r="J677" s="426"/>
      <c r="K677" s="426"/>
      <c r="L677" s="414"/>
      <c r="M677" s="414"/>
      <c r="N677" s="414"/>
      <c r="O677" s="414"/>
      <c r="P677" s="414"/>
      <c r="Q677" s="414"/>
      <c r="R677" s="414"/>
      <c r="S677" s="414"/>
      <c r="T677" s="414"/>
      <c r="U677" s="414"/>
      <c r="V677" s="414"/>
      <c r="W677" s="414"/>
      <c r="X677" s="414"/>
      <c r="Y677" s="414"/>
      <c r="Z677" s="414"/>
    </row>
    <row r="678" spans="1:26" ht="15.75" customHeight="1" x14ac:dyDescent="0.25">
      <c r="A678" s="424">
        <v>673</v>
      </c>
      <c r="B678" s="250"/>
      <c r="C678" s="250"/>
      <c r="D678" s="250"/>
      <c r="E678" s="250"/>
      <c r="F678" s="425"/>
      <c r="G678" s="425"/>
      <c r="H678" s="346"/>
      <c r="I678" s="250"/>
      <c r="J678" s="426"/>
      <c r="K678" s="426"/>
      <c r="L678" s="414"/>
      <c r="M678" s="414"/>
      <c r="N678" s="414"/>
      <c r="O678" s="414"/>
      <c r="P678" s="414"/>
      <c r="Q678" s="414"/>
      <c r="R678" s="414"/>
      <c r="S678" s="414"/>
      <c r="T678" s="414"/>
      <c r="U678" s="414"/>
      <c r="V678" s="414"/>
      <c r="W678" s="414"/>
      <c r="X678" s="414"/>
      <c r="Y678" s="414"/>
      <c r="Z678" s="414"/>
    </row>
    <row r="679" spans="1:26" ht="15.75" customHeight="1" x14ac:dyDescent="0.25">
      <c r="A679" s="424">
        <v>674</v>
      </c>
      <c r="B679" s="250"/>
      <c r="C679" s="250"/>
      <c r="D679" s="250"/>
      <c r="E679" s="250"/>
      <c r="F679" s="425"/>
      <c r="G679" s="425"/>
      <c r="H679" s="346"/>
      <c r="I679" s="250"/>
      <c r="J679" s="426"/>
      <c r="K679" s="426"/>
      <c r="L679" s="414"/>
      <c r="M679" s="414"/>
      <c r="N679" s="414"/>
      <c r="O679" s="414"/>
      <c r="P679" s="414"/>
      <c r="Q679" s="414"/>
      <c r="R679" s="414"/>
      <c r="S679" s="414"/>
      <c r="T679" s="414"/>
      <c r="U679" s="414"/>
      <c r="V679" s="414"/>
      <c r="W679" s="414"/>
      <c r="X679" s="414"/>
      <c r="Y679" s="414"/>
      <c r="Z679" s="414"/>
    </row>
    <row r="680" spans="1:26" ht="15.75" customHeight="1" x14ac:dyDescent="0.25">
      <c r="A680" s="424">
        <v>675</v>
      </c>
      <c r="B680" s="250"/>
      <c r="C680" s="250"/>
      <c r="D680" s="250"/>
      <c r="E680" s="250"/>
      <c r="F680" s="425"/>
      <c r="G680" s="425"/>
      <c r="H680" s="346"/>
      <c r="I680" s="250"/>
      <c r="J680" s="426"/>
      <c r="K680" s="426"/>
      <c r="L680" s="414"/>
      <c r="M680" s="414"/>
      <c r="N680" s="414"/>
      <c r="O680" s="414"/>
      <c r="P680" s="414"/>
      <c r="Q680" s="414"/>
      <c r="R680" s="414"/>
      <c r="S680" s="414"/>
      <c r="T680" s="414"/>
      <c r="U680" s="414"/>
      <c r="V680" s="414"/>
      <c r="W680" s="414"/>
      <c r="X680" s="414"/>
      <c r="Y680" s="414"/>
      <c r="Z680" s="414"/>
    </row>
    <row r="681" spans="1:26" ht="15.75" customHeight="1" x14ac:dyDescent="0.25">
      <c r="A681" s="424">
        <v>676</v>
      </c>
      <c r="B681" s="250"/>
      <c r="C681" s="250"/>
      <c r="D681" s="250"/>
      <c r="E681" s="250"/>
      <c r="F681" s="425"/>
      <c r="G681" s="425"/>
      <c r="H681" s="346"/>
      <c r="I681" s="250"/>
      <c r="J681" s="426"/>
      <c r="K681" s="426"/>
      <c r="L681" s="414"/>
      <c r="M681" s="414"/>
      <c r="N681" s="414"/>
      <c r="O681" s="414"/>
      <c r="P681" s="414"/>
      <c r="Q681" s="414"/>
      <c r="R681" s="414"/>
      <c r="S681" s="414"/>
      <c r="T681" s="414"/>
      <c r="U681" s="414"/>
      <c r="V681" s="414"/>
      <c r="W681" s="414"/>
      <c r="X681" s="414"/>
      <c r="Y681" s="414"/>
      <c r="Z681" s="414"/>
    </row>
    <row r="682" spans="1:26" ht="15.75" customHeight="1" x14ac:dyDescent="0.25">
      <c r="A682" s="424">
        <v>677</v>
      </c>
      <c r="B682" s="250"/>
      <c r="C682" s="250"/>
      <c r="D682" s="250"/>
      <c r="E682" s="250"/>
      <c r="F682" s="425"/>
      <c r="G682" s="425"/>
      <c r="H682" s="346"/>
      <c r="I682" s="250"/>
      <c r="J682" s="426"/>
      <c r="K682" s="426"/>
      <c r="L682" s="414"/>
      <c r="M682" s="414"/>
      <c r="N682" s="414"/>
      <c r="O682" s="414"/>
      <c r="P682" s="414"/>
      <c r="Q682" s="414"/>
      <c r="R682" s="414"/>
      <c r="S682" s="414"/>
      <c r="T682" s="414"/>
      <c r="U682" s="414"/>
      <c r="V682" s="414"/>
      <c r="W682" s="414"/>
      <c r="X682" s="414"/>
      <c r="Y682" s="414"/>
      <c r="Z682" s="414"/>
    </row>
    <row r="683" spans="1:26" ht="15.75" customHeight="1" x14ac:dyDescent="0.25">
      <c r="A683" s="424">
        <v>678</v>
      </c>
      <c r="B683" s="250"/>
      <c r="C683" s="250"/>
      <c r="D683" s="250"/>
      <c r="E683" s="250"/>
      <c r="F683" s="425"/>
      <c r="G683" s="425"/>
      <c r="H683" s="346"/>
      <c r="I683" s="250"/>
      <c r="J683" s="426"/>
      <c r="K683" s="426"/>
      <c r="L683" s="414"/>
      <c r="M683" s="414"/>
      <c r="N683" s="414"/>
      <c r="O683" s="414"/>
      <c r="P683" s="414"/>
      <c r="Q683" s="414"/>
      <c r="R683" s="414"/>
      <c r="S683" s="414"/>
      <c r="T683" s="414"/>
      <c r="U683" s="414"/>
      <c r="V683" s="414"/>
      <c r="W683" s="414"/>
      <c r="X683" s="414"/>
      <c r="Y683" s="414"/>
      <c r="Z683" s="414"/>
    </row>
    <row r="684" spans="1:26" ht="15.75" customHeight="1" x14ac:dyDescent="0.25">
      <c r="A684" s="424">
        <v>679</v>
      </c>
      <c r="B684" s="250"/>
      <c r="C684" s="250"/>
      <c r="D684" s="250"/>
      <c r="E684" s="250"/>
      <c r="F684" s="425"/>
      <c r="G684" s="425"/>
      <c r="H684" s="346"/>
      <c r="I684" s="250"/>
      <c r="J684" s="426"/>
      <c r="K684" s="426"/>
      <c r="L684" s="414"/>
      <c r="M684" s="414"/>
      <c r="N684" s="414"/>
      <c r="O684" s="414"/>
      <c r="P684" s="414"/>
      <c r="Q684" s="414"/>
      <c r="R684" s="414"/>
      <c r="S684" s="414"/>
      <c r="T684" s="414"/>
      <c r="U684" s="414"/>
      <c r="V684" s="414"/>
      <c r="W684" s="414"/>
      <c r="X684" s="414"/>
      <c r="Y684" s="414"/>
      <c r="Z684" s="414"/>
    </row>
    <row r="685" spans="1:26" ht="15.75" customHeight="1" x14ac:dyDescent="0.25">
      <c r="A685" s="424">
        <v>680</v>
      </c>
      <c r="B685" s="250"/>
      <c r="C685" s="250"/>
      <c r="D685" s="250"/>
      <c r="E685" s="250"/>
      <c r="F685" s="425"/>
      <c r="G685" s="425"/>
      <c r="H685" s="346"/>
      <c r="I685" s="250"/>
      <c r="J685" s="426"/>
      <c r="K685" s="426"/>
      <c r="L685" s="414"/>
      <c r="M685" s="414"/>
      <c r="N685" s="414"/>
      <c r="O685" s="414"/>
      <c r="P685" s="414"/>
      <c r="Q685" s="414"/>
      <c r="R685" s="414"/>
      <c r="S685" s="414"/>
      <c r="T685" s="414"/>
      <c r="U685" s="414"/>
      <c r="V685" s="414"/>
      <c r="W685" s="414"/>
      <c r="X685" s="414"/>
      <c r="Y685" s="414"/>
      <c r="Z685" s="414"/>
    </row>
    <row r="686" spans="1:26" ht="15.75" customHeight="1" x14ac:dyDescent="0.25">
      <c r="A686" s="424">
        <v>681</v>
      </c>
      <c r="B686" s="250"/>
      <c r="C686" s="250"/>
      <c r="D686" s="250"/>
      <c r="E686" s="250"/>
      <c r="F686" s="425"/>
      <c r="G686" s="425"/>
      <c r="H686" s="346"/>
      <c r="I686" s="250"/>
      <c r="J686" s="426"/>
      <c r="K686" s="426"/>
      <c r="L686" s="414"/>
      <c r="M686" s="414"/>
      <c r="N686" s="414"/>
      <c r="O686" s="414"/>
      <c r="P686" s="414"/>
      <c r="Q686" s="414"/>
      <c r="R686" s="414"/>
      <c r="S686" s="414"/>
      <c r="T686" s="414"/>
      <c r="U686" s="414"/>
      <c r="V686" s="414"/>
      <c r="W686" s="414"/>
      <c r="X686" s="414"/>
      <c r="Y686" s="414"/>
      <c r="Z686" s="414"/>
    </row>
    <row r="687" spans="1:26" ht="15.75" customHeight="1" x14ac:dyDescent="0.25">
      <c r="A687" s="424">
        <v>682</v>
      </c>
      <c r="B687" s="250"/>
      <c r="C687" s="250"/>
      <c r="D687" s="250"/>
      <c r="E687" s="250"/>
      <c r="F687" s="425"/>
      <c r="G687" s="425"/>
      <c r="H687" s="346"/>
      <c r="I687" s="250"/>
      <c r="J687" s="426"/>
      <c r="K687" s="426"/>
      <c r="L687" s="414"/>
      <c r="M687" s="414"/>
      <c r="N687" s="414"/>
      <c r="O687" s="414"/>
      <c r="P687" s="414"/>
      <c r="Q687" s="414"/>
      <c r="R687" s="414"/>
      <c r="S687" s="414"/>
      <c r="T687" s="414"/>
      <c r="U687" s="414"/>
      <c r="V687" s="414"/>
      <c r="W687" s="414"/>
      <c r="X687" s="414"/>
      <c r="Y687" s="414"/>
      <c r="Z687" s="414"/>
    </row>
    <row r="688" spans="1:26" ht="15.75" customHeight="1" x14ac:dyDescent="0.25">
      <c r="A688" s="424">
        <v>683</v>
      </c>
      <c r="B688" s="250"/>
      <c r="C688" s="250"/>
      <c r="D688" s="250"/>
      <c r="E688" s="250"/>
      <c r="F688" s="425"/>
      <c r="G688" s="425"/>
      <c r="H688" s="346"/>
      <c r="I688" s="250"/>
      <c r="J688" s="426"/>
      <c r="K688" s="426"/>
      <c r="L688" s="414"/>
      <c r="M688" s="414"/>
      <c r="N688" s="414"/>
      <c r="O688" s="414"/>
      <c r="P688" s="414"/>
      <c r="Q688" s="414"/>
      <c r="R688" s="414"/>
      <c r="S688" s="414"/>
      <c r="T688" s="414"/>
      <c r="U688" s="414"/>
      <c r="V688" s="414"/>
      <c r="W688" s="414"/>
      <c r="X688" s="414"/>
      <c r="Y688" s="414"/>
      <c r="Z688" s="414"/>
    </row>
    <row r="689" spans="1:26" ht="15.75" customHeight="1" x14ac:dyDescent="0.25">
      <c r="A689" s="424">
        <v>684</v>
      </c>
      <c r="B689" s="250"/>
      <c r="C689" s="250"/>
      <c r="D689" s="250"/>
      <c r="E689" s="250"/>
      <c r="F689" s="425"/>
      <c r="G689" s="425"/>
      <c r="H689" s="346"/>
      <c r="I689" s="250"/>
      <c r="J689" s="426"/>
      <c r="K689" s="426"/>
      <c r="L689" s="414"/>
      <c r="M689" s="414"/>
      <c r="N689" s="414"/>
      <c r="O689" s="414"/>
      <c r="P689" s="414"/>
      <c r="Q689" s="414"/>
      <c r="R689" s="414"/>
      <c r="S689" s="414"/>
      <c r="T689" s="414"/>
      <c r="U689" s="414"/>
      <c r="V689" s="414"/>
      <c r="W689" s="414"/>
      <c r="X689" s="414"/>
      <c r="Y689" s="414"/>
      <c r="Z689" s="414"/>
    </row>
    <row r="690" spans="1:26" ht="15.75" customHeight="1" x14ac:dyDescent="0.25">
      <c r="A690" s="424">
        <v>685</v>
      </c>
      <c r="B690" s="250"/>
      <c r="C690" s="250"/>
      <c r="D690" s="250"/>
      <c r="E690" s="250"/>
      <c r="F690" s="425"/>
      <c r="G690" s="425"/>
      <c r="H690" s="346"/>
      <c r="I690" s="250"/>
      <c r="J690" s="426"/>
      <c r="K690" s="426"/>
      <c r="L690" s="414"/>
      <c r="M690" s="414"/>
      <c r="N690" s="414"/>
      <c r="O690" s="414"/>
      <c r="P690" s="414"/>
      <c r="Q690" s="414"/>
      <c r="R690" s="414"/>
      <c r="S690" s="414"/>
      <c r="T690" s="414"/>
      <c r="U690" s="414"/>
      <c r="V690" s="414"/>
      <c r="W690" s="414"/>
      <c r="X690" s="414"/>
      <c r="Y690" s="414"/>
      <c r="Z690" s="414"/>
    </row>
    <row r="691" spans="1:26" ht="15.75" customHeight="1" x14ac:dyDescent="0.25">
      <c r="A691" s="424">
        <v>686</v>
      </c>
      <c r="B691" s="250"/>
      <c r="C691" s="250"/>
      <c r="D691" s="250"/>
      <c r="E691" s="250"/>
      <c r="F691" s="425"/>
      <c r="G691" s="425"/>
      <c r="H691" s="346"/>
      <c r="I691" s="250"/>
      <c r="J691" s="426"/>
      <c r="K691" s="426"/>
      <c r="L691" s="414"/>
      <c r="M691" s="414"/>
      <c r="N691" s="414"/>
      <c r="O691" s="414"/>
      <c r="P691" s="414"/>
      <c r="Q691" s="414"/>
      <c r="R691" s="414"/>
      <c r="S691" s="414"/>
      <c r="T691" s="414"/>
      <c r="U691" s="414"/>
      <c r="V691" s="414"/>
      <c r="W691" s="414"/>
      <c r="X691" s="414"/>
      <c r="Y691" s="414"/>
      <c r="Z691" s="414"/>
    </row>
    <row r="692" spans="1:26" ht="15.75" customHeight="1" x14ac:dyDescent="0.25">
      <c r="A692" s="424">
        <v>687</v>
      </c>
      <c r="B692" s="250"/>
      <c r="C692" s="250"/>
      <c r="D692" s="250"/>
      <c r="E692" s="250"/>
      <c r="F692" s="425"/>
      <c r="G692" s="425"/>
      <c r="H692" s="346"/>
      <c r="I692" s="250"/>
      <c r="J692" s="426"/>
      <c r="K692" s="426"/>
      <c r="L692" s="414"/>
      <c r="M692" s="414"/>
      <c r="N692" s="414"/>
      <c r="O692" s="414"/>
      <c r="P692" s="414"/>
      <c r="Q692" s="414"/>
      <c r="R692" s="414"/>
      <c r="S692" s="414"/>
      <c r="T692" s="414"/>
      <c r="U692" s="414"/>
      <c r="V692" s="414"/>
      <c r="W692" s="414"/>
      <c r="X692" s="414"/>
      <c r="Y692" s="414"/>
      <c r="Z692" s="414"/>
    </row>
    <row r="693" spans="1:26" ht="15.75" customHeight="1" x14ac:dyDescent="0.25">
      <c r="A693" s="424">
        <v>688</v>
      </c>
      <c r="B693" s="250"/>
      <c r="C693" s="250"/>
      <c r="D693" s="250"/>
      <c r="E693" s="250"/>
      <c r="F693" s="425"/>
      <c r="G693" s="425"/>
      <c r="H693" s="346"/>
      <c r="I693" s="250"/>
      <c r="J693" s="426"/>
      <c r="K693" s="426"/>
      <c r="L693" s="414"/>
      <c r="M693" s="414"/>
      <c r="N693" s="414"/>
      <c r="O693" s="414"/>
      <c r="P693" s="414"/>
      <c r="Q693" s="414"/>
      <c r="R693" s="414"/>
      <c r="S693" s="414"/>
      <c r="T693" s="414"/>
      <c r="U693" s="414"/>
      <c r="V693" s="414"/>
      <c r="W693" s="414"/>
      <c r="X693" s="414"/>
      <c r="Y693" s="414"/>
      <c r="Z693" s="414"/>
    </row>
    <row r="694" spans="1:26" ht="15.75" customHeight="1" x14ac:dyDescent="0.25">
      <c r="A694" s="424">
        <v>689</v>
      </c>
      <c r="B694" s="250"/>
      <c r="C694" s="250"/>
      <c r="D694" s="250"/>
      <c r="E694" s="250"/>
      <c r="F694" s="425"/>
      <c r="G694" s="425"/>
      <c r="H694" s="346"/>
      <c r="I694" s="250"/>
      <c r="J694" s="426"/>
      <c r="K694" s="426"/>
      <c r="L694" s="414"/>
      <c r="M694" s="414"/>
      <c r="N694" s="414"/>
      <c r="O694" s="414"/>
      <c r="P694" s="414"/>
      <c r="Q694" s="414"/>
      <c r="R694" s="414"/>
      <c r="S694" s="414"/>
      <c r="T694" s="414"/>
      <c r="U694" s="414"/>
      <c r="V694" s="414"/>
      <c r="W694" s="414"/>
      <c r="X694" s="414"/>
      <c r="Y694" s="414"/>
      <c r="Z694" s="414"/>
    </row>
    <row r="695" spans="1:26" ht="15.75" customHeight="1" x14ac:dyDescent="0.25">
      <c r="A695" s="424">
        <v>690</v>
      </c>
      <c r="B695" s="250"/>
      <c r="C695" s="250"/>
      <c r="D695" s="250"/>
      <c r="E695" s="250"/>
      <c r="F695" s="425"/>
      <c r="G695" s="425"/>
      <c r="H695" s="346"/>
      <c r="I695" s="250"/>
      <c r="J695" s="426"/>
      <c r="K695" s="426"/>
      <c r="L695" s="414"/>
      <c r="M695" s="414"/>
      <c r="N695" s="414"/>
      <c r="O695" s="414"/>
      <c r="P695" s="414"/>
      <c r="Q695" s="414"/>
      <c r="R695" s="414"/>
      <c r="S695" s="414"/>
      <c r="T695" s="414"/>
      <c r="U695" s="414"/>
      <c r="V695" s="414"/>
      <c r="W695" s="414"/>
      <c r="X695" s="414"/>
      <c r="Y695" s="414"/>
      <c r="Z695" s="414"/>
    </row>
    <row r="696" spans="1:26" ht="15.75" customHeight="1" x14ac:dyDescent="0.25">
      <c r="A696" s="424">
        <v>691</v>
      </c>
      <c r="B696" s="250"/>
      <c r="C696" s="250"/>
      <c r="D696" s="250"/>
      <c r="E696" s="250"/>
      <c r="F696" s="425"/>
      <c r="G696" s="425"/>
      <c r="H696" s="346"/>
      <c r="I696" s="250"/>
      <c r="J696" s="426"/>
      <c r="K696" s="426"/>
      <c r="L696" s="414"/>
      <c r="M696" s="414"/>
      <c r="N696" s="414"/>
      <c r="O696" s="414"/>
      <c r="P696" s="414"/>
      <c r="Q696" s="414"/>
      <c r="R696" s="414"/>
      <c r="S696" s="414"/>
      <c r="T696" s="414"/>
      <c r="U696" s="414"/>
      <c r="V696" s="414"/>
      <c r="W696" s="414"/>
      <c r="X696" s="414"/>
      <c r="Y696" s="414"/>
      <c r="Z696" s="414"/>
    </row>
    <row r="697" spans="1:26" ht="15.75" customHeight="1" x14ac:dyDescent="0.25">
      <c r="A697" s="424">
        <v>692</v>
      </c>
      <c r="B697" s="250"/>
      <c r="C697" s="250"/>
      <c r="D697" s="250"/>
      <c r="E697" s="250"/>
      <c r="F697" s="425"/>
      <c r="G697" s="425"/>
      <c r="H697" s="346"/>
      <c r="I697" s="250"/>
      <c r="J697" s="426"/>
      <c r="K697" s="426"/>
      <c r="L697" s="414"/>
      <c r="M697" s="414"/>
      <c r="N697" s="414"/>
      <c r="O697" s="414"/>
      <c r="P697" s="414"/>
      <c r="Q697" s="414"/>
      <c r="R697" s="414"/>
      <c r="S697" s="414"/>
      <c r="T697" s="414"/>
      <c r="U697" s="414"/>
      <c r="V697" s="414"/>
      <c r="W697" s="414"/>
      <c r="X697" s="414"/>
      <c r="Y697" s="414"/>
      <c r="Z697" s="414"/>
    </row>
    <row r="698" spans="1:26" ht="15.75" customHeight="1" x14ac:dyDescent="0.25">
      <c r="A698" s="424">
        <v>693</v>
      </c>
      <c r="B698" s="250"/>
      <c r="C698" s="250"/>
      <c r="D698" s="250"/>
      <c r="E698" s="250"/>
      <c r="F698" s="425"/>
      <c r="G698" s="425"/>
      <c r="H698" s="346"/>
      <c r="I698" s="250"/>
      <c r="J698" s="426"/>
      <c r="K698" s="426"/>
      <c r="L698" s="414"/>
      <c r="M698" s="414"/>
      <c r="N698" s="414"/>
      <c r="O698" s="414"/>
      <c r="P698" s="414"/>
      <c r="Q698" s="414"/>
      <c r="R698" s="414"/>
      <c r="S698" s="414"/>
      <c r="T698" s="414"/>
      <c r="U698" s="414"/>
      <c r="V698" s="414"/>
      <c r="W698" s="414"/>
      <c r="X698" s="414"/>
      <c r="Y698" s="414"/>
      <c r="Z698" s="414"/>
    </row>
    <row r="699" spans="1:26" ht="15.75" customHeight="1" x14ac:dyDescent="0.25">
      <c r="A699" s="424">
        <v>694</v>
      </c>
      <c r="B699" s="250"/>
      <c r="C699" s="250"/>
      <c r="D699" s="250"/>
      <c r="E699" s="250"/>
      <c r="F699" s="425"/>
      <c r="G699" s="425"/>
      <c r="H699" s="346"/>
      <c r="I699" s="250"/>
      <c r="J699" s="426"/>
      <c r="K699" s="426"/>
      <c r="L699" s="414"/>
      <c r="M699" s="414"/>
      <c r="N699" s="414"/>
      <c r="O699" s="414"/>
      <c r="P699" s="414"/>
      <c r="Q699" s="414"/>
      <c r="R699" s="414"/>
      <c r="S699" s="414"/>
      <c r="T699" s="414"/>
      <c r="U699" s="414"/>
      <c r="V699" s="414"/>
      <c r="W699" s="414"/>
      <c r="X699" s="414"/>
      <c r="Y699" s="414"/>
      <c r="Z699" s="414"/>
    </row>
    <row r="700" spans="1:26" ht="15.75" customHeight="1" x14ac:dyDescent="0.25">
      <c r="A700" s="424">
        <v>695</v>
      </c>
      <c r="B700" s="250"/>
      <c r="C700" s="250"/>
      <c r="D700" s="250"/>
      <c r="E700" s="250"/>
      <c r="F700" s="425"/>
      <c r="G700" s="425"/>
      <c r="H700" s="346"/>
      <c r="I700" s="250"/>
      <c r="J700" s="426"/>
      <c r="K700" s="426"/>
      <c r="L700" s="414"/>
      <c r="M700" s="414"/>
      <c r="N700" s="414"/>
      <c r="O700" s="414"/>
      <c r="P700" s="414"/>
      <c r="Q700" s="414"/>
      <c r="R700" s="414"/>
      <c r="S700" s="414"/>
      <c r="T700" s="414"/>
      <c r="U700" s="414"/>
      <c r="V700" s="414"/>
      <c r="W700" s="414"/>
      <c r="X700" s="414"/>
      <c r="Y700" s="414"/>
      <c r="Z700" s="414"/>
    </row>
    <row r="701" spans="1:26" ht="15.75" customHeight="1" x14ac:dyDescent="0.25">
      <c r="A701" s="424">
        <v>696</v>
      </c>
      <c r="B701" s="250"/>
      <c r="C701" s="250"/>
      <c r="D701" s="250"/>
      <c r="E701" s="250"/>
      <c r="F701" s="425"/>
      <c r="G701" s="425"/>
      <c r="H701" s="346"/>
      <c r="I701" s="250"/>
      <c r="J701" s="426"/>
      <c r="K701" s="426"/>
      <c r="L701" s="414"/>
      <c r="M701" s="414"/>
      <c r="N701" s="414"/>
      <c r="O701" s="414"/>
      <c r="P701" s="414"/>
      <c r="Q701" s="414"/>
      <c r="R701" s="414"/>
      <c r="S701" s="414"/>
      <c r="T701" s="414"/>
      <c r="U701" s="414"/>
      <c r="V701" s="414"/>
      <c r="W701" s="414"/>
      <c r="X701" s="414"/>
      <c r="Y701" s="414"/>
      <c r="Z701" s="414"/>
    </row>
    <row r="702" spans="1:26" ht="15.75" customHeight="1" x14ac:dyDescent="0.25">
      <c r="A702" s="424">
        <v>697</v>
      </c>
      <c r="B702" s="250"/>
      <c r="C702" s="250"/>
      <c r="D702" s="250"/>
      <c r="E702" s="250"/>
      <c r="F702" s="425"/>
      <c r="G702" s="425"/>
      <c r="H702" s="346"/>
      <c r="I702" s="250"/>
      <c r="J702" s="426"/>
      <c r="K702" s="426"/>
      <c r="L702" s="414"/>
      <c r="M702" s="414"/>
      <c r="N702" s="414"/>
      <c r="O702" s="414"/>
      <c r="P702" s="414"/>
      <c r="Q702" s="414"/>
      <c r="R702" s="414"/>
      <c r="S702" s="414"/>
      <c r="T702" s="414"/>
      <c r="U702" s="414"/>
      <c r="V702" s="414"/>
      <c r="W702" s="414"/>
      <c r="X702" s="414"/>
      <c r="Y702" s="414"/>
      <c r="Z702" s="414"/>
    </row>
    <row r="703" spans="1:26" ht="15.75" customHeight="1" x14ac:dyDescent="0.25">
      <c r="A703" s="424">
        <v>698</v>
      </c>
      <c r="B703" s="250"/>
      <c r="C703" s="250"/>
      <c r="D703" s="250"/>
      <c r="E703" s="250"/>
      <c r="F703" s="425"/>
      <c r="G703" s="425"/>
      <c r="H703" s="346"/>
      <c r="I703" s="250"/>
      <c r="J703" s="426"/>
      <c r="K703" s="426"/>
      <c r="L703" s="414"/>
      <c r="M703" s="414"/>
      <c r="N703" s="414"/>
      <c r="O703" s="414"/>
      <c r="P703" s="414"/>
      <c r="Q703" s="414"/>
      <c r="R703" s="414"/>
      <c r="S703" s="414"/>
      <c r="T703" s="414"/>
      <c r="U703" s="414"/>
      <c r="V703" s="414"/>
      <c r="W703" s="414"/>
      <c r="X703" s="414"/>
      <c r="Y703" s="414"/>
      <c r="Z703" s="414"/>
    </row>
    <row r="704" spans="1:26" ht="15.75" customHeight="1" x14ac:dyDescent="0.25">
      <c r="A704" s="424">
        <v>699</v>
      </c>
      <c r="B704" s="250"/>
      <c r="C704" s="250"/>
      <c r="D704" s="250"/>
      <c r="E704" s="250"/>
      <c r="F704" s="425"/>
      <c r="G704" s="425"/>
      <c r="H704" s="346"/>
      <c r="I704" s="250"/>
      <c r="J704" s="426"/>
      <c r="K704" s="426"/>
      <c r="L704" s="414"/>
      <c r="M704" s="414"/>
      <c r="N704" s="414"/>
      <c r="O704" s="414"/>
      <c r="P704" s="414"/>
      <c r="Q704" s="414"/>
      <c r="R704" s="414"/>
      <c r="S704" s="414"/>
      <c r="T704" s="414"/>
      <c r="U704" s="414"/>
      <c r="V704" s="414"/>
      <c r="W704" s="414"/>
      <c r="X704" s="414"/>
      <c r="Y704" s="414"/>
      <c r="Z704" s="414"/>
    </row>
    <row r="705" spans="1:26" ht="15.75" customHeight="1" x14ac:dyDescent="0.25">
      <c r="A705" s="424">
        <v>700</v>
      </c>
      <c r="B705" s="250"/>
      <c r="C705" s="250"/>
      <c r="D705" s="250"/>
      <c r="E705" s="250"/>
      <c r="F705" s="425"/>
      <c r="G705" s="425"/>
      <c r="H705" s="346"/>
      <c r="I705" s="250"/>
      <c r="J705" s="426"/>
      <c r="K705" s="426"/>
      <c r="L705" s="414"/>
      <c r="M705" s="414"/>
      <c r="N705" s="414"/>
      <c r="O705" s="414"/>
      <c r="P705" s="414"/>
      <c r="Q705" s="414"/>
      <c r="R705" s="414"/>
      <c r="S705" s="414"/>
      <c r="T705" s="414"/>
      <c r="U705" s="414"/>
      <c r="V705" s="414"/>
      <c r="W705" s="414"/>
      <c r="X705" s="414"/>
      <c r="Y705" s="414"/>
      <c r="Z705" s="414"/>
    </row>
    <row r="706" spans="1:26" ht="15.75" customHeight="1" x14ac:dyDescent="0.25">
      <c r="A706" s="424">
        <v>701</v>
      </c>
      <c r="B706" s="250"/>
      <c r="C706" s="250"/>
      <c r="D706" s="250"/>
      <c r="E706" s="250"/>
      <c r="F706" s="425"/>
      <c r="G706" s="425"/>
      <c r="H706" s="346"/>
      <c r="I706" s="250"/>
      <c r="J706" s="426"/>
      <c r="K706" s="426"/>
      <c r="L706" s="414"/>
      <c r="M706" s="414"/>
      <c r="N706" s="414"/>
      <c r="O706" s="414"/>
      <c r="P706" s="414"/>
      <c r="Q706" s="414"/>
      <c r="R706" s="414"/>
      <c r="S706" s="414"/>
      <c r="T706" s="414"/>
      <c r="U706" s="414"/>
      <c r="V706" s="414"/>
      <c r="W706" s="414"/>
      <c r="X706" s="414"/>
      <c r="Y706" s="414"/>
      <c r="Z706" s="414"/>
    </row>
    <row r="707" spans="1:26" ht="15.75" customHeight="1" x14ac:dyDescent="0.25">
      <c r="A707" s="424">
        <v>702</v>
      </c>
      <c r="B707" s="250"/>
      <c r="C707" s="250"/>
      <c r="D707" s="250"/>
      <c r="E707" s="250"/>
      <c r="F707" s="425"/>
      <c r="G707" s="425"/>
      <c r="H707" s="346"/>
      <c r="I707" s="250"/>
      <c r="J707" s="426"/>
      <c r="K707" s="426"/>
      <c r="L707" s="414"/>
      <c r="M707" s="414"/>
      <c r="N707" s="414"/>
      <c r="O707" s="414"/>
      <c r="P707" s="414"/>
      <c r="Q707" s="414"/>
      <c r="R707" s="414"/>
      <c r="S707" s="414"/>
      <c r="T707" s="414"/>
      <c r="U707" s="414"/>
      <c r="V707" s="414"/>
      <c r="W707" s="414"/>
      <c r="X707" s="414"/>
      <c r="Y707" s="414"/>
      <c r="Z707" s="414"/>
    </row>
    <row r="708" spans="1:26" ht="15.75" customHeight="1" x14ac:dyDescent="0.25">
      <c r="A708" s="424">
        <v>703</v>
      </c>
      <c r="B708" s="250"/>
      <c r="C708" s="250"/>
      <c r="D708" s="250"/>
      <c r="E708" s="250"/>
      <c r="F708" s="425"/>
      <c r="G708" s="425"/>
      <c r="H708" s="346"/>
      <c r="I708" s="250"/>
      <c r="J708" s="426"/>
      <c r="K708" s="426"/>
      <c r="L708" s="414"/>
      <c r="M708" s="414"/>
      <c r="N708" s="414"/>
      <c r="O708" s="414"/>
      <c r="P708" s="414"/>
      <c r="Q708" s="414"/>
      <c r="R708" s="414"/>
      <c r="S708" s="414"/>
      <c r="T708" s="414"/>
      <c r="U708" s="414"/>
      <c r="V708" s="414"/>
      <c r="W708" s="414"/>
      <c r="X708" s="414"/>
      <c r="Y708" s="414"/>
      <c r="Z708" s="414"/>
    </row>
    <row r="709" spans="1:26" ht="15.75" customHeight="1" x14ac:dyDescent="0.25">
      <c r="A709" s="424">
        <v>704</v>
      </c>
      <c r="B709" s="250"/>
      <c r="C709" s="250"/>
      <c r="D709" s="250"/>
      <c r="E709" s="250"/>
      <c r="F709" s="425"/>
      <c r="G709" s="425"/>
      <c r="H709" s="346"/>
      <c r="I709" s="250"/>
      <c r="J709" s="426"/>
      <c r="K709" s="426"/>
      <c r="L709" s="414"/>
      <c r="M709" s="414"/>
      <c r="N709" s="414"/>
      <c r="O709" s="414"/>
      <c r="P709" s="414"/>
      <c r="Q709" s="414"/>
      <c r="R709" s="414"/>
      <c r="S709" s="414"/>
      <c r="T709" s="414"/>
      <c r="U709" s="414"/>
      <c r="V709" s="414"/>
      <c r="W709" s="414"/>
      <c r="X709" s="414"/>
      <c r="Y709" s="414"/>
      <c r="Z709" s="414"/>
    </row>
    <row r="710" spans="1:26" ht="15.75" customHeight="1" x14ac:dyDescent="0.25">
      <c r="A710" s="424">
        <v>705</v>
      </c>
      <c r="B710" s="250"/>
      <c r="C710" s="250"/>
      <c r="D710" s="250"/>
      <c r="E710" s="250"/>
      <c r="F710" s="425"/>
      <c r="G710" s="425"/>
      <c r="H710" s="346"/>
      <c r="I710" s="250"/>
      <c r="J710" s="426"/>
      <c r="K710" s="426"/>
      <c r="L710" s="414"/>
      <c r="M710" s="414"/>
      <c r="N710" s="414"/>
      <c r="O710" s="414"/>
      <c r="P710" s="414"/>
      <c r="Q710" s="414"/>
      <c r="R710" s="414"/>
      <c r="S710" s="414"/>
      <c r="T710" s="414"/>
      <c r="U710" s="414"/>
      <c r="V710" s="414"/>
      <c r="W710" s="414"/>
      <c r="X710" s="414"/>
      <c r="Y710" s="414"/>
      <c r="Z710" s="414"/>
    </row>
    <row r="711" spans="1:26" ht="15.75" customHeight="1" x14ac:dyDescent="0.25">
      <c r="A711" s="424">
        <v>706</v>
      </c>
      <c r="B711" s="250"/>
      <c r="C711" s="250"/>
      <c r="D711" s="250"/>
      <c r="E711" s="250"/>
      <c r="F711" s="425"/>
      <c r="G711" s="425"/>
      <c r="H711" s="346"/>
      <c r="I711" s="250"/>
      <c r="J711" s="426"/>
      <c r="K711" s="426"/>
      <c r="L711" s="414"/>
      <c r="M711" s="414"/>
      <c r="N711" s="414"/>
      <c r="O711" s="414"/>
      <c r="P711" s="414"/>
      <c r="Q711" s="414"/>
      <c r="R711" s="414"/>
      <c r="S711" s="414"/>
      <c r="T711" s="414"/>
      <c r="U711" s="414"/>
      <c r="V711" s="414"/>
      <c r="W711" s="414"/>
      <c r="X711" s="414"/>
      <c r="Y711" s="414"/>
      <c r="Z711" s="414"/>
    </row>
    <row r="712" spans="1:26" ht="15.75" customHeight="1" x14ac:dyDescent="0.25">
      <c r="A712" s="424">
        <v>707</v>
      </c>
      <c r="B712" s="250"/>
      <c r="C712" s="250"/>
      <c r="D712" s="250"/>
      <c r="E712" s="250"/>
      <c r="F712" s="425"/>
      <c r="G712" s="425"/>
      <c r="H712" s="346"/>
      <c r="I712" s="250"/>
      <c r="J712" s="426"/>
      <c r="K712" s="426"/>
      <c r="L712" s="414"/>
      <c r="M712" s="414"/>
      <c r="N712" s="414"/>
      <c r="O712" s="414"/>
      <c r="P712" s="414"/>
      <c r="Q712" s="414"/>
      <c r="R712" s="414"/>
      <c r="S712" s="414"/>
      <c r="T712" s="414"/>
      <c r="U712" s="414"/>
      <c r="V712" s="414"/>
      <c r="W712" s="414"/>
      <c r="X712" s="414"/>
      <c r="Y712" s="414"/>
      <c r="Z712" s="414"/>
    </row>
    <row r="713" spans="1:26" ht="15.75" customHeight="1" x14ac:dyDescent="0.25">
      <c r="A713" s="424">
        <v>708</v>
      </c>
      <c r="B713" s="250"/>
      <c r="C713" s="250"/>
      <c r="D713" s="250"/>
      <c r="E713" s="250"/>
      <c r="F713" s="425"/>
      <c r="G713" s="425"/>
      <c r="H713" s="346"/>
      <c r="I713" s="250"/>
      <c r="J713" s="426"/>
      <c r="K713" s="426"/>
      <c r="L713" s="414"/>
      <c r="M713" s="414"/>
      <c r="N713" s="414"/>
      <c r="O713" s="414"/>
      <c r="P713" s="414"/>
      <c r="Q713" s="414"/>
      <c r="R713" s="414"/>
      <c r="S713" s="414"/>
      <c r="T713" s="414"/>
      <c r="U713" s="414"/>
      <c r="V713" s="414"/>
      <c r="W713" s="414"/>
      <c r="X713" s="414"/>
      <c r="Y713" s="414"/>
      <c r="Z713" s="414"/>
    </row>
    <row r="714" spans="1:26" ht="15.75" customHeight="1" x14ac:dyDescent="0.25">
      <c r="A714" s="424">
        <v>709</v>
      </c>
      <c r="B714" s="250"/>
      <c r="C714" s="250"/>
      <c r="D714" s="250"/>
      <c r="E714" s="250"/>
      <c r="F714" s="425"/>
      <c r="G714" s="425"/>
      <c r="H714" s="346"/>
      <c r="I714" s="250"/>
      <c r="J714" s="426"/>
      <c r="K714" s="426"/>
      <c r="L714" s="414"/>
      <c r="M714" s="414"/>
      <c r="N714" s="414"/>
      <c r="O714" s="414"/>
      <c r="P714" s="414"/>
      <c r="Q714" s="414"/>
      <c r="R714" s="414"/>
      <c r="S714" s="414"/>
      <c r="T714" s="414"/>
      <c r="U714" s="414"/>
      <c r="V714" s="414"/>
      <c r="W714" s="414"/>
      <c r="X714" s="414"/>
      <c r="Y714" s="414"/>
      <c r="Z714" s="414"/>
    </row>
    <row r="715" spans="1:26" ht="15.75" customHeight="1" x14ac:dyDescent="0.25">
      <c r="A715" s="424">
        <v>710</v>
      </c>
      <c r="B715" s="250"/>
      <c r="C715" s="250"/>
      <c r="D715" s="250"/>
      <c r="E715" s="250"/>
      <c r="F715" s="425"/>
      <c r="G715" s="425"/>
      <c r="H715" s="346"/>
      <c r="I715" s="250"/>
      <c r="J715" s="426"/>
      <c r="K715" s="426"/>
      <c r="L715" s="414"/>
      <c r="M715" s="414"/>
      <c r="N715" s="414"/>
      <c r="O715" s="414"/>
      <c r="P715" s="414"/>
      <c r="Q715" s="414"/>
      <c r="R715" s="414"/>
      <c r="S715" s="414"/>
      <c r="T715" s="414"/>
      <c r="U715" s="414"/>
      <c r="V715" s="414"/>
      <c r="W715" s="414"/>
      <c r="X715" s="414"/>
      <c r="Y715" s="414"/>
      <c r="Z715" s="414"/>
    </row>
    <row r="716" spans="1:26" ht="15.75" customHeight="1" x14ac:dyDescent="0.25">
      <c r="A716" s="424">
        <v>711</v>
      </c>
      <c r="B716" s="250"/>
      <c r="C716" s="250"/>
      <c r="D716" s="250"/>
      <c r="E716" s="250"/>
      <c r="F716" s="425"/>
      <c r="G716" s="425"/>
      <c r="H716" s="346"/>
      <c r="I716" s="250"/>
      <c r="J716" s="426"/>
      <c r="K716" s="426"/>
      <c r="L716" s="414"/>
      <c r="M716" s="414"/>
      <c r="N716" s="414"/>
      <c r="O716" s="414"/>
      <c r="P716" s="414"/>
      <c r="Q716" s="414"/>
      <c r="R716" s="414"/>
      <c r="S716" s="414"/>
      <c r="T716" s="414"/>
      <c r="U716" s="414"/>
      <c r="V716" s="414"/>
      <c r="W716" s="414"/>
      <c r="X716" s="414"/>
      <c r="Y716" s="414"/>
      <c r="Z716" s="414"/>
    </row>
    <row r="717" spans="1:26" ht="15.75" customHeight="1" x14ac:dyDescent="0.25">
      <c r="A717" s="424">
        <v>712</v>
      </c>
      <c r="B717" s="250"/>
      <c r="C717" s="250"/>
      <c r="D717" s="250"/>
      <c r="E717" s="250"/>
      <c r="F717" s="425"/>
      <c r="G717" s="425"/>
      <c r="H717" s="346"/>
      <c r="I717" s="250"/>
      <c r="J717" s="426"/>
      <c r="K717" s="426"/>
      <c r="L717" s="414"/>
      <c r="M717" s="414"/>
      <c r="N717" s="414"/>
      <c r="O717" s="414"/>
      <c r="P717" s="414"/>
      <c r="Q717" s="414"/>
      <c r="R717" s="414"/>
      <c r="S717" s="414"/>
      <c r="T717" s="414"/>
      <c r="U717" s="414"/>
      <c r="V717" s="414"/>
      <c r="W717" s="414"/>
      <c r="X717" s="414"/>
      <c r="Y717" s="414"/>
      <c r="Z717" s="414"/>
    </row>
    <row r="718" spans="1:26" ht="15.75" customHeight="1" x14ac:dyDescent="0.25">
      <c r="A718" s="424">
        <v>713</v>
      </c>
      <c r="B718" s="250"/>
      <c r="C718" s="250"/>
      <c r="D718" s="250"/>
      <c r="E718" s="250"/>
      <c r="F718" s="425"/>
      <c r="G718" s="425"/>
      <c r="H718" s="346"/>
      <c r="I718" s="250"/>
      <c r="J718" s="426"/>
      <c r="K718" s="426"/>
      <c r="L718" s="414"/>
      <c r="M718" s="414"/>
      <c r="N718" s="414"/>
      <c r="O718" s="414"/>
      <c r="P718" s="414"/>
      <c r="Q718" s="414"/>
      <c r="R718" s="414"/>
      <c r="S718" s="414"/>
      <c r="T718" s="414"/>
      <c r="U718" s="414"/>
      <c r="V718" s="414"/>
      <c r="W718" s="414"/>
      <c r="X718" s="414"/>
      <c r="Y718" s="414"/>
      <c r="Z718" s="414"/>
    </row>
    <row r="719" spans="1:26" ht="15.75" customHeight="1" x14ac:dyDescent="0.25">
      <c r="A719" s="424">
        <v>714</v>
      </c>
      <c r="B719" s="250"/>
      <c r="C719" s="250"/>
      <c r="D719" s="250"/>
      <c r="E719" s="250"/>
      <c r="F719" s="425"/>
      <c r="G719" s="425"/>
      <c r="H719" s="346"/>
      <c r="I719" s="250"/>
      <c r="J719" s="426"/>
      <c r="K719" s="426"/>
      <c r="L719" s="414"/>
      <c r="M719" s="414"/>
      <c r="N719" s="414"/>
      <c r="O719" s="414"/>
      <c r="P719" s="414"/>
      <c r="Q719" s="414"/>
      <c r="R719" s="414"/>
      <c r="S719" s="414"/>
      <c r="T719" s="414"/>
      <c r="U719" s="414"/>
      <c r="V719" s="414"/>
      <c r="W719" s="414"/>
      <c r="X719" s="414"/>
      <c r="Y719" s="414"/>
      <c r="Z719" s="414"/>
    </row>
    <row r="720" spans="1:26" ht="15.75" customHeight="1" x14ac:dyDescent="0.25">
      <c r="A720" s="424">
        <v>715</v>
      </c>
      <c r="B720" s="250"/>
      <c r="C720" s="250"/>
      <c r="D720" s="250"/>
      <c r="E720" s="250"/>
      <c r="F720" s="425"/>
      <c r="G720" s="425"/>
      <c r="H720" s="346"/>
      <c r="I720" s="250"/>
      <c r="J720" s="426"/>
      <c r="K720" s="426"/>
      <c r="L720" s="414"/>
      <c r="M720" s="414"/>
      <c r="N720" s="414"/>
      <c r="O720" s="414"/>
      <c r="P720" s="414"/>
      <c r="Q720" s="414"/>
      <c r="R720" s="414"/>
      <c r="S720" s="414"/>
      <c r="T720" s="414"/>
      <c r="U720" s="414"/>
      <c r="V720" s="414"/>
      <c r="W720" s="414"/>
      <c r="X720" s="414"/>
      <c r="Y720" s="414"/>
      <c r="Z720" s="414"/>
    </row>
    <row r="721" spans="1:26" ht="15.75" customHeight="1" x14ac:dyDescent="0.25">
      <c r="A721" s="424">
        <v>716</v>
      </c>
      <c r="B721" s="250"/>
      <c r="C721" s="250"/>
      <c r="D721" s="250"/>
      <c r="E721" s="250"/>
      <c r="F721" s="425"/>
      <c r="G721" s="425"/>
      <c r="H721" s="346"/>
      <c r="I721" s="250"/>
      <c r="J721" s="426"/>
      <c r="K721" s="426"/>
      <c r="L721" s="414"/>
      <c r="M721" s="414"/>
      <c r="N721" s="414"/>
      <c r="O721" s="414"/>
      <c r="P721" s="414"/>
      <c r="Q721" s="414"/>
      <c r="R721" s="414"/>
      <c r="S721" s="414"/>
      <c r="T721" s="414"/>
      <c r="U721" s="414"/>
      <c r="V721" s="414"/>
      <c r="W721" s="414"/>
      <c r="X721" s="414"/>
      <c r="Y721" s="414"/>
      <c r="Z721" s="414"/>
    </row>
    <row r="722" spans="1:26" ht="15.75" customHeight="1" x14ac:dyDescent="0.25">
      <c r="A722" s="424">
        <v>717</v>
      </c>
      <c r="B722" s="250"/>
      <c r="C722" s="250"/>
      <c r="D722" s="250"/>
      <c r="E722" s="250"/>
      <c r="F722" s="425"/>
      <c r="G722" s="425"/>
      <c r="H722" s="346"/>
      <c r="I722" s="250"/>
      <c r="J722" s="426"/>
      <c r="K722" s="426"/>
      <c r="L722" s="414"/>
      <c r="M722" s="414"/>
      <c r="N722" s="414"/>
      <c r="O722" s="414"/>
      <c r="P722" s="414"/>
      <c r="Q722" s="414"/>
      <c r="R722" s="414"/>
      <c r="S722" s="414"/>
      <c r="T722" s="414"/>
      <c r="U722" s="414"/>
      <c r="V722" s="414"/>
      <c r="W722" s="414"/>
      <c r="X722" s="414"/>
      <c r="Y722" s="414"/>
      <c r="Z722" s="414"/>
    </row>
    <row r="723" spans="1:26" ht="15.75" customHeight="1" x14ac:dyDescent="0.25">
      <c r="A723" s="424">
        <v>718</v>
      </c>
      <c r="B723" s="250"/>
      <c r="C723" s="250"/>
      <c r="D723" s="250"/>
      <c r="E723" s="250"/>
      <c r="F723" s="425"/>
      <c r="G723" s="425"/>
      <c r="H723" s="346"/>
      <c r="I723" s="250"/>
      <c r="J723" s="426"/>
      <c r="K723" s="426"/>
      <c r="L723" s="414"/>
      <c r="M723" s="414"/>
      <c r="N723" s="414"/>
      <c r="O723" s="414"/>
      <c r="P723" s="414"/>
      <c r="Q723" s="414"/>
      <c r="R723" s="414"/>
      <c r="S723" s="414"/>
      <c r="T723" s="414"/>
      <c r="U723" s="414"/>
      <c r="V723" s="414"/>
      <c r="W723" s="414"/>
      <c r="X723" s="414"/>
      <c r="Y723" s="414"/>
      <c r="Z723" s="414"/>
    </row>
    <row r="724" spans="1:26" ht="15.75" customHeight="1" x14ac:dyDescent="0.25">
      <c r="A724" s="424">
        <v>719</v>
      </c>
      <c r="B724" s="250"/>
      <c r="C724" s="250"/>
      <c r="D724" s="250"/>
      <c r="E724" s="250"/>
      <c r="F724" s="425"/>
      <c r="G724" s="425"/>
      <c r="H724" s="346"/>
      <c r="I724" s="250"/>
      <c r="J724" s="426"/>
      <c r="K724" s="426"/>
      <c r="L724" s="414"/>
      <c r="M724" s="414"/>
      <c r="N724" s="414"/>
      <c r="O724" s="414"/>
      <c r="P724" s="414"/>
      <c r="Q724" s="414"/>
      <c r="R724" s="414"/>
      <c r="S724" s="414"/>
      <c r="T724" s="414"/>
      <c r="U724" s="414"/>
      <c r="V724" s="414"/>
      <c r="W724" s="414"/>
      <c r="X724" s="414"/>
      <c r="Y724" s="414"/>
      <c r="Z724" s="414"/>
    </row>
    <row r="725" spans="1:26" ht="15.75" customHeight="1" x14ac:dyDescent="0.25">
      <c r="A725" s="424">
        <v>720</v>
      </c>
      <c r="B725" s="250"/>
      <c r="C725" s="250"/>
      <c r="D725" s="250"/>
      <c r="E725" s="250"/>
      <c r="F725" s="425"/>
      <c r="G725" s="425"/>
      <c r="H725" s="346"/>
      <c r="I725" s="250"/>
      <c r="J725" s="426"/>
      <c r="K725" s="426"/>
      <c r="L725" s="414"/>
      <c r="M725" s="414"/>
      <c r="N725" s="414"/>
      <c r="O725" s="414"/>
      <c r="P725" s="414"/>
      <c r="Q725" s="414"/>
      <c r="R725" s="414"/>
      <c r="S725" s="414"/>
      <c r="T725" s="414"/>
      <c r="U725" s="414"/>
      <c r="V725" s="414"/>
      <c r="W725" s="414"/>
      <c r="X725" s="414"/>
      <c r="Y725" s="414"/>
      <c r="Z725" s="414"/>
    </row>
    <row r="726" spans="1:26" ht="15.75" customHeight="1" x14ac:dyDescent="0.25">
      <c r="A726" s="424">
        <v>721</v>
      </c>
      <c r="B726" s="250"/>
      <c r="C726" s="250"/>
      <c r="D726" s="250"/>
      <c r="E726" s="250"/>
      <c r="F726" s="425"/>
      <c r="G726" s="425"/>
      <c r="H726" s="346"/>
      <c r="I726" s="250"/>
      <c r="J726" s="426"/>
      <c r="K726" s="426"/>
      <c r="L726" s="414"/>
      <c r="M726" s="414"/>
      <c r="N726" s="414"/>
      <c r="O726" s="414"/>
      <c r="P726" s="414"/>
      <c r="Q726" s="414"/>
      <c r="R726" s="414"/>
      <c r="S726" s="414"/>
      <c r="T726" s="414"/>
      <c r="U726" s="414"/>
      <c r="V726" s="414"/>
      <c r="W726" s="414"/>
      <c r="X726" s="414"/>
      <c r="Y726" s="414"/>
      <c r="Z726" s="414"/>
    </row>
    <row r="727" spans="1:26" ht="15.75" customHeight="1" x14ac:dyDescent="0.25">
      <c r="A727" s="424">
        <v>722</v>
      </c>
      <c r="B727" s="250"/>
      <c r="C727" s="250"/>
      <c r="D727" s="250"/>
      <c r="E727" s="250"/>
      <c r="F727" s="425"/>
      <c r="G727" s="425"/>
      <c r="H727" s="346"/>
      <c r="I727" s="250"/>
      <c r="J727" s="426"/>
      <c r="K727" s="426"/>
      <c r="L727" s="414"/>
      <c r="M727" s="414"/>
      <c r="N727" s="414"/>
      <c r="O727" s="414"/>
      <c r="P727" s="414"/>
      <c r="Q727" s="414"/>
      <c r="R727" s="414"/>
      <c r="S727" s="414"/>
      <c r="T727" s="414"/>
      <c r="U727" s="414"/>
      <c r="V727" s="414"/>
      <c r="W727" s="414"/>
      <c r="X727" s="414"/>
      <c r="Y727" s="414"/>
      <c r="Z727" s="414"/>
    </row>
    <row r="728" spans="1:26" ht="15.75" customHeight="1" x14ac:dyDescent="0.25">
      <c r="A728" s="424">
        <v>723</v>
      </c>
      <c r="B728" s="250"/>
      <c r="C728" s="250"/>
      <c r="D728" s="250"/>
      <c r="E728" s="250"/>
      <c r="F728" s="425"/>
      <c r="G728" s="425"/>
      <c r="H728" s="346"/>
      <c r="I728" s="250"/>
      <c r="J728" s="426"/>
      <c r="K728" s="426"/>
      <c r="L728" s="414"/>
      <c r="M728" s="414"/>
      <c r="N728" s="414"/>
      <c r="O728" s="414"/>
      <c r="P728" s="414"/>
      <c r="Q728" s="414"/>
      <c r="R728" s="414"/>
      <c r="S728" s="414"/>
      <c r="T728" s="414"/>
      <c r="U728" s="414"/>
      <c r="V728" s="414"/>
      <c r="W728" s="414"/>
      <c r="X728" s="414"/>
      <c r="Y728" s="414"/>
      <c r="Z728" s="414"/>
    </row>
    <row r="729" spans="1:26" ht="15.75" customHeight="1" x14ac:dyDescent="0.25">
      <c r="A729" s="424">
        <v>724</v>
      </c>
      <c r="B729" s="250"/>
      <c r="C729" s="250"/>
      <c r="D729" s="250"/>
      <c r="E729" s="250"/>
      <c r="F729" s="425"/>
      <c r="G729" s="425"/>
      <c r="H729" s="346"/>
      <c r="I729" s="250"/>
      <c r="J729" s="426"/>
      <c r="K729" s="426"/>
      <c r="L729" s="414"/>
      <c r="M729" s="414"/>
      <c r="N729" s="414"/>
      <c r="O729" s="414"/>
      <c r="P729" s="414"/>
      <c r="Q729" s="414"/>
      <c r="R729" s="414"/>
      <c r="S729" s="414"/>
      <c r="T729" s="414"/>
      <c r="U729" s="414"/>
      <c r="V729" s="414"/>
      <c r="W729" s="414"/>
      <c r="X729" s="414"/>
      <c r="Y729" s="414"/>
      <c r="Z729" s="414"/>
    </row>
    <row r="730" spans="1:26" ht="15.75" customHeight="1" x14ac:dyDescent="0.25">
      <c r="A730" s="424">
        <v>725</v>
      </c>
      <c r="B730" s="250"/>
      <c r="C730" s="250"/>
      <c r="D730" s="250"/>
      <c r="E730" s="250"/>
      <c r="F730" s="425"/>
      <c r="G730" s="425"/>
      <c r="H730" s="346"/>
      <c r="I730" s="250"/>
      <c r="J730" s="426"/>
      <c r="K730" s="426"/>
      <c r="L730" s="414"/>
      <c r="M730" s="414"/>
      <c r="N730" s="414"/>
      <c r="O730" s="414"/>
      <c r="P730" s="414"/>
      <c r="Q730" s="414"/>
      <c r="R730" s="414"/>
      <c r="S730" s="414"/>
      <c r="T730" s="414"/>
      <c r="U730" s="414"/>
      <c r="V730" s="414"/>
      <c r="W730" s="414"/>
      <c r="X730" s="414"/>
      <c r="Y730" s="414"/>
      <c r="Z730" s="414"/>
    </row>
    <row r="731" spans="1:26" ht="15.75" customHeight="1" x14ac:dyDescent="0.25">
      <c r="A731" s="424">
        <v>726</v>
      </c>
      <c r="B731" s="250"/>
      <c r="C731" s="250"/>
      <c r="D731" s="250"/>
      <c r="E731" s="250"/>
      <c r="F731" s="425"/>
      <c r="G731" s="425"/>
      <c r="H731" s="346"/>
      <c r="I731" s="250"/>
      <c r="J731" s="426"/>
      <c r="K731" s="426"/>
      <c r="L731" s="414"/>
      <c r="M731" s="414"/>
      <c r="N731" s="414"/>
      <c r="O731" s="414"/>
      <c r="P731" s="414"/>
      <c r="Q731" s="414"/>
      <c r="R731" s="414"/>
      <c r="S731" s="414"/>
      <c r="T731" s="414"/>
      <c r="U731" s="414"/>
      <c r="V731" s="414"/>
      <c r="W731" s="414"/>
      <c r="X731" s="414"/>
      <c r="Y731" s="414"/>
      <c r="Z731" s="414"/>
    </row>
    <row r="732" spans="1:26" ht="15.75" customHeight="1" x14ac:dyDescent="0.25">
      <c r="A732" s="424">
        <v>727</v>
      </c>
      <c r="B732" s="250"/>
      <c r="C732" s="250"/>
      <c r="D732" s="250"/>
      <c r="E732" s="250"/>
      <c r="F732" s="425"/>
      <c r="G732" s="425"/>
      <c r="H732" s="346"/>
      <c r="I732" s="250"/>
      <c r="J732" s="426"/>
      <c r="K732" s="426"/>
      <c r="L732" s="414"/>
      <c r="M732" s="414"/>
      <c r="N732" s="414"/>
      <c r="O732" s="414"/>
      <c r="P732" s="414"/>
      <c r="Q732" s="414"/>
      <c r="R732" s="414"/>
      <c r="S732" s="414"/>
      <c r="T732" s="414"/>
      <c r="U732" s="414"/>
      <c r="V732" s="414"/>
      <c r="W732" s="414"/>
      <c r="X732" s="414"/>
      <c r="Y732" s="414"/>
      <c r="Z732" s="414"/>
    </row>
    <row r="733" spans="1:26" ht="15.75" customHeight="1" x14ac:dyDescent="0.25">
      <c r="A733" s="424">
        <v>728</v>
      </c>
      <c r="B733" s="250"/>
      <c r="C733" s="250"/>
      <c r="D733" s="250"/>
      <c r="E733" s="250"/>
      <c r="F733" s="425"/>
      <c r="G733" s="425"/>
      <c r="H733" s="346"/>
      <c r="I733" s="250"/>
      <c r="J733" s="426"/>
      <c r="K733" s="426"/>
      <c r="L733" s="414"/>
      <c r="M733" s="414"/>
      <c r="N733" s="414"/>
      <c r="O733" s="414"/>
      <c r="P733" s="414"/>
      <c r="Q733" s="414"/>
      <c r="R733" s="414"/>
      <c r="S733" s="414"/>
      <c r="T733" s="414"/>
      <c r="U733" s="414"/>
      <c r="V733" s="414"/>
      <c r="W733" s="414"/>
      <c r="X733" s="414"/>
      <c r="Y733" s="414"/>
      <c r="Z733" s="414"/>
    </row>
    <row r="734" spans="1:26" ht="15.75" customHeight="1" x14ac:dyDescent="0.25">
      <c r="A734" s="424">
        <v>729</v>
      </c>
      <c r="B734" s="250"/>
      <c r="C734" s="250"/>
      <c r="D734" s="250"/>
      <c r="E734" s="250"/>
      <c r="F734" s="425"/>
      <c r="G734" s="425"/>
      <c r="H734" s="346"/>
      <c r="I734" s="250"/>
      <c r="J734" s="426"/>
      <c r="K734" s="426"/>
      <c r="L734" s="414"/>
      <c r="M734" s="414"/>
      <c r="N734" s="414"/>
      <c r="O734" s="414"/>
      <c r="P734" s="414"/>
      <c r="Q734" s="414"/>
      <c r="R734" s="414"/>
      <c r="S734" s="414"/>
      <c r="T734" s="414"/>
      <c r="U734" s="414"/>
      <c r="V734" s="414"/>
      <c r="W734" s="414"/>
      <c r="X734" s="414"/>
      <c r="Y734" s="414"/>
      <c r="Z734" s="414"/>
    </row>
    <row r="735" spans="1:26" ht="15.75" customHeight="1" x14ac:dyDescent="0.25">
      <c r="A735" s="424">
        <v>730</v>
      </c>
      <c r="B735" s="250"/>
      <c r="C735" s="250"/>
      <c r="D735" s="250"/>
      <c r="E735" s="250"/>
      <c r="F735" s="425"/>
      <c r="G735" s="425"/>
      <c r="H735" s="346"/>
      <c r="I735" s="250"/>
      <c r="J735" s="426"/>
      <c r="K735" s="426"/>
      <c r="L735" s="414"/>
      <c r="M735" s="414"/>
      <c r="N735" s="414"/>
      <c r="O735" s="414"/>
      <c r="P735" s="414"/>
      <c r="Q735" s="414"/>
      <c r="R735" s="414"/>
      <c r="S735" s="414"/>
      <c r="T735" s="414"/>
      <c r="U735" s="414"/>
      <c r="V735" s="414"/>
      <c r="W735" s="414"/>
      <c r="X735" s="414"/>
      <c r="Y735" s="414"/>
      <c r="Z735" s="414"/>
    </row>
    <row r="736" spans="1:26" ht="15.75" customHeight="1" x14ac:dyDescent="0.25">
      <c r="A736" s="424">
        <v>731</v>
      </c>
      <c r="B736" s="250"/>
      <c r="C736" s="250"/>
      <c r="D736" s="250"/>
      <c r="E736" s="250"/>
      <c r="F736" s="425"/>
      <c r="G736" s="425"/>
      <c r="H736" s="346"/>
      <c r="I736" s="250"/>
      <c r="J736" s="426"/>
      <c r="K736" s="426"/>
      <c r="L736" s="414"/>
      <c r="M736" s="414"/>
      <c r="N736" s="414"/>
      <c r="O736" s="414"/>
      <c r="P736" s="414"/>
      <c r="Q736" s="414"/>
      <c r="R736" s="414"/>
      <c r="S736" s="414"/>
      <c r="T736" s="414"/>
      <c r="U736" s="414"/>
      <c r="V736" s="414"/>
      <c r="W736" s="414"/>
      <c r="X736" s="414"/>
      <c r="Y736" s="414"/>
      <c r="Z736" s="414"/>
    </row>
    <row r="737" spans="1:26" ht="15.75" customHeight="1" x14ac:dyDescent="0.25">
      <c r="A737" s="424">
        <v>732</v>
      </c>
      <c r="B737" s="250"/>
      <c r="C737" s="250"/>
      <c r="D737" s="250"/>
      <c r="E737" s="250"/>
      <c r="F737" s="425"/>
      <c r="G737" s="425"/>
      <c r="H737" s="346"/>
      <c r="I737" s="250"/>
      <c r="J737" s="426"/>
      <c r="K737" s="426"/>
      <c r="L737" s="414"/>
      <c r="M737" s="414"/>
      <c r="N737" s="414"/>
      <c r="O737" s="414"/>
      <c r="P737" s="414"/>
      <c r="Q737" s="414"/>
      <c r="R737" s="414"/>
      <c r="S737" s="414"/>
      <c r="T737" s="414"/>
      <c r="U737" s="414"/>
      <c r="V737" s="414"/>
      <c r="W737" s="414"/>
      <c r="X737" s="414"/>
      <c r="Y737" s="414"/>
      <c r="Z737" s="414"/>
    </row>
    <row r="738" spans="1:26" ht="15.75" customHeight="1" x14ac:dyDescent="0.25">
      <c r="A738" s="424">
        <v>733</v>
      </c>
      <c r="B738" s="250"/>
      <c r="C738" s="250"/>
      <c r="D738" s="250"/>
      <c r="E738" s="250"/>
      <c r="F738" s="425"/>
      <c r="G738" s="425"/>
      <c r="H738" s="346"/>
      <c r="I738" s="250"/>
      <c r="J738" s="426"/>
      <c r="K738" s="426"/>
      <c r="L738" s="414"/>
      <c r="M738" s="414"/>
      <c r="N738" s="414"/>
      <c r="O738" s="414"/>
      <c r="P738" s="414"/>
      <c r="Q738" s="414"/>
      <c r="R738" s="414"/>
      <c r="S738" s="414"/>
      <c r="T738" s="414"/>
      <c r="U738" s="414"/>
      <c r="V738" s="414"/>
      <c r="W738" s="414"/>
      <c r="X738" s="414"/>
      <c r="Y738" s="414"/>
      <c r="Z738" s="414"/>
    </row>
    <row r="739" spans="1:26" ht="15.75" customHeight="1" x14ac:dyDescent="0.25">
      <c r="A739" s="424">
        <v>734</v>
      </c>
      <c r="B739" s="250"/>
      <c r="C739" s="250"/>
      <c r="D739" s="250"/>
      <c r="E739" s="250"/>
      <c r="F739" s="425"/>
      <c r="G739" s="425"/>
      <c r="H739" s="346"/>
      <c r="I739" s="250"/>
      <c r="J739" s="426"/>
      <c r="K739" s="426"/>
      <c r="L739" s="414"/>
      <c r="M739" s="414"/>
      <c r="N739" s="414"/>
      <c r="O739" s="414"/>
      <c r="P739" s="414"/>
      <c r="Q739" s="414"/>
      <c r="R739" s="414"/>
      <c r="S739" s="414"/>
      <c r="T739" s="414"/>
      <c r="U739" s="414"/>
      <c r="V739" s="414"/>
      <c r="W739" s="414"/>
      <c r="X739" s="414"/>
      <c r="Y739" s="414"/>
      <c r="Z739" s="414"/>
    </row>
    <row r="740" spans="1:26" ht="15.75" customHeight="1" x14ac:dyDescent="0.25">
      <c r="A740" s="424">
        <v>735</v>
      </c>
      <c r="B740" s="250"/>
      <c r="C740" s="250"/>
      <c r="D740" s="250"/>
      <c r="E740" s="250"/>
      <c r="F740" s="425"/>
      <c r="G740" s="425"/>
      <c r="H740" s="346"/>
      <c r="I740" s="250"/>
      <c r="J740" s="426"/>
      <c r="K740" s="426"/>
      <c r="L740" s="414"/>
      <c r="M740" s="414"/>
      <c r="N740" s="414"/>
      <c r="O740" s="414"/>
      <c r="P740" s="414"/>
      <c r="Q740" s="414"/>
      <c r="R740" s="414"/>
      <c r="S740" s="414"/>
      <c r="T740" s="414"/>
      <c r="U740" s="414"/>
      <c r="V740" s="414"/>
      <c r="W740" s="414"/>
      <c r="X740" s="414"/>
      <c r="Y740" s="414"/>
      <c r="Z740" s="414"/>
    </row>
    <row r="741" spans="1:26" ht="15.75" customHeight="1" x14ac:dyDescent="0.25">
      <c r="A741" s="424">
        <v>736</v>
      </c>
      <c r="B741" s="250"/>
      <c r="C741" s="250"/>
      <c r="D741" s="250"/>
      <c r="E741" s="250"/>
      <c r="F741" s="425"/>
      <c r="G741" s="425"/>
      <c r="H741" s="346"/>
      <c r="I741" s="250"/>
      <c r="J741" s="426"/>
      <c r="K741" s="426"/>
      <c r="L741" s="414"/>
      <c r="M741" s="414"/>
      <c r="N741" s="414"/>
      <c r="O741" s="414"/>
      <c r="P741" s="414"/>
      <c r="Q741" s="414"/>
      <c r="R741" s="414"/>
      <c r="S741" s="414"/>
      <c r="T741" s="414"/>
      <c r="U741" s="414"/>
      <c r="V741" s="414"/>
      <c r="W741" s="414"/>
      <c r="X741" s="414"/>
      <c r="Y741" s="414"/>
      <c r="Z741" s="414"/>
    </row>
    <row r="742" spans="1:26" ht="15.75" customHeight="1" x14ac:dyDescent="0.25">
      <c r="A742" s="424">
        <v>737</v>
      </c>
      <c r="B742" s="250"/>
      <c r="C742" s="250"/>
      <c r="D742" s="250"/>
      <c r="E742" s="250"/>
      <c r="F742" s="425"/>
      <c r="G742" s="425"/>
      <c r="H742" s="346"/>
      <c r="I742" s="250"/>
      <c r="J742" s="426"/>
      <c r="K742" s="426"/>
      <c r="L742" s="414"/>
      <c r="M742" s="414"/>
      <c r="N742" s="414"/>
      <c r="O742" s="414"/>
      <c r="P742" s="414"/>
      <c r="Q742" s="414"/>
      <c r="R742" s="414"/>
      <c r="S742" s="414"/>
      <c r="T742" s="414"/>
      <c r="U742" s="414"/>
      <c r="V742" s="414"/>
      <c r="W742" s="414"/>
      <c r="X742" s="414"/>
      <c r="Y742" s="414"/>
      <c r="Z742" s="414"/>
    </row>
    <row r="743" spans="1:26" ht="15.75" customHeight="1" x14ac:dyDescent="0.25">
      <c r="A743" s="424">
        <v>738</v>
      </c>
      <c r="B743" s="250"/>
      <c r="C743" s="250"/>
      <c r="D743" s="250"/>
      <c r="E743" s="250"/>
      <c r="F743" s="425"/>
      <c r="G743" s="425"/>
      <c r="H743" s="346"/>
      <c r="I743" s="250"/>
      <c r="J743" s="426"/>
      <c r="K743" s="426"/>
      <c r="L743" s="414"/>
      <c r="M743" s="414"/>
      <c r="N743" s="414"/>
      <c r="O743" s="414"/>
      <c r="P743" s="414"/>
      <c r="Q743" s="414"/>
      <c r="R743" s="414"/>
      <c r="S743" s="414"/>
      <c r="T743" s="414"/>
      <c r="U743" s="414"/>
      <c r="V743" s="414"/>
      <c r="W743" s="414"/>
      <c r="X743" s="414"/>
      <c r="Y743" s="414"/>
      <c r="Z743" s="414"/>
    </row>
    <row r="744" spans="1:26" ht="15.75" customHeight="1" x14ac:dyDescent="0.25">
      <c r="A744" s="424">
        <v>739</v>
      </c>
      <c r="B744" s="250"/>
      <c r="C744" s="250"/>
      <c r="D744" s="250"/>
      <c r="E744" s="250"/>
      <c r="F744" s="425"/>
      <c r="G744" s="425"/>
      <c r="H744" s="346"/>
      <c r="I744" s="250"/>
      <c r="J744" s="426"/>
      <c r="K744" s="426"/>
      <c r="L744" s="414"/>
      <c r="M744" s="414"/>
      <c r="N744" s="414"/>
      <c r="O744" s="414"/>
      <c r="P744" s="414"/>
      <c r="Q744" s="414"/>
      <c r="R744" s="414"/>
      <c r="S744" s="414"/>
      <c r="T744" s="414"/>
      <c r="U744" s="414"/>
      <c r="V744" s="414"/>
      <c r="W744" s="414"/>
      <c r="X744" s="414"/>
      <c r="Y744" s="414"/>
      <c r="Z744" s="414"/>
    </row>
    <row r="745" spans="1:26" ht="15.75" customHeight="1" x14ac:dyDescent="0.25">
      <c r="A745" s="424">
        <v>740</v>
      </c>
      <c r="B745" s="250"/>
      <c r="C745" s="250"/>
      <c r="D745" s="250"/>
      <c r="E745" s="250"/>
      <c r="F745" s="425"/>
      <c r="G745" s="425"/>
      <c r="H745" s="346"/>
      <c r="I745" s="250"/>
      <c r="J745" s="426"/>
      <c r="K745" s="426"/>
      <c r="L745" s="414"/>
      <c r="M745" s="414"/>
      <c r="N745" s="414"/>
      <c r="O745" s="414"/>
      <c r="P745" s="414"/>
      <c r="Q745" s="414"/>
      <c r="R745" s="414"/>
      <c r="S745" s="414"/>
      <c r="T745" s="414"/>
      <c r="U745" s="414"/>
      <c r="V745" s="414"/>
      <c r="W745" s="414"/>
      <c r="X745" s="414"/>
      <c r="Y745" s="414"/>
      <c r="Z745" s="414"/>
    </row>
    <row r="746" spans="1:26" ht="15.75" customHeight="1" x14ac:dyDescent="0.25">
      <c r="A746" s="424">
        <v>741</v>
      </c>
      <c r="B746" s="250"/>
      <c r="C746" s="250"/>
      <c r="D746" s="250"/>
      <c r="E746" s="250"/>
      <c r="F746" s="425"/>
      <c r="G746" s="425"/>
      <c r="H746" s="346"/>
      <c r="I746" s="250"/>
      <c r="J746" s="426"/>
      <c r="K746" s="426"/>
      <c r="L746" s="414"/>
      <c r="M746" s="414"/>
      <c r="N746" s="414"/>
      <c r="O746" s="414"/>
      <c r="P746" s="414"/>
      <c r="Q746" s="414"/>
      <c r="R746" s="414"/>
      <c r="S746" s="414"/>
      <c r="T746" s="414"/>
      <c r="U746" s="414"/>
      <c r="V746" s="414"/>
      <c r="W746" s="414"/>
      <c r="X746" s="414"/>
      <c r="Y746" s="414"/>
      <c r="Z746" s="414"/>
    </row>
    <row r="747" spans="1:26" ht="15.75" customHeight="1" x14ac:dyDescent="0.25">
      <c r="A747" s="424">
        <v>742</v>
      </c>
      <c r="B747" s="250"/>
      <c r="C747" s="250"/>
      <c r="D747" s="250"/>
      <c r="E747" s="250"/>
      <c r="F747" s="425"/>
      <c r="G747" s="425"/>
      <c r="H747" s="346"/>
      <c r="I747" s="250"/>
      <c r="J747" s="426"/>
      <c r="K747" s="426"/>
      <c r="L747" s="414"/>
      <c r="M747" s="414"/>
      <c r="N747" s="414"/>
      <c r="O747" s="414"/>
      <c r="P747" s="414"/>
      <c r="Q747" s="414"/>
      <c r="R747" s="414"/>
      <c r="S747" s="414"/>
      <c r="T747" s="414"/>
      <c r="U747" s="414"/>
      <c r="V747" s="414"/>
      <c r="W747" s="414"/>
      <c r="X747" s="414"/>
      <c r="Y747" s="414"/>
      <c r="Z747" s="414"/>
    </row>
    <row r="748" spans="1:26" ht="15.75" customHeight="1" x14ac:dyDescent="0.25">
      <c r="A748" s="424">
        <v>743</v>
      </c>
      <c r="B748" s="250"/>
      <c r="C748" s="250"/>
      <c r="D748" s="250"/>
      <c r="E748" s="250"/>
      <c r="F748" s="425"/>
      <c r="G748" s="425"/>
      <c r="H748" s="346"/>
      <c r="I748" s="250"/>
      <c r="J748" s="426"/>
      <c r="K748" s="426"/>
      <c r="L748" s="414"/>
      <c r="M748" s="414"/>
      <c r="N748" s="414"/>
      <c r="O748" s="414"/>
      <c r="P748" s="414"/>
      <c r="Q748" s="414"/>
      <c r="R748" s="414"/>
      <c r="S748" s="414"/>
      <c r="T748" s="414"/>
      <c r="U748" s="414"/>
      <c r="V748" s="414"/>
      <c r="W748" s="414"/>
      <c r="X748" s="414"/>
      <c r="Y748" s="414"/>
      <c r="Z748" s="414"/>
    </row>
    <row r="749" spans="1:26" ht="15.75" customHeight="1" x14ac:dyDescent="0.25">
      <c r="A749" s="424">
        <v>744</v>
      </c>
      <c r="B749" s="250"/>
      <c r="C749" s="250"/>
      <c r="D749" s="250"/>
      <c r="E749" s="250"/>
      <c r="F749" s="425"/>
      <c r="G749" s="425"/>
      <c r="H749" s="346"/>
      <c r="I749" s="250"/>
      <c r="J749" s="426"/>
      <c r="K749" s="426"/>
      <c r="L749" s="414"/>
      <c r="M749" s="414"/>
      <c r="N749" s="414"/>
      <c r="O749" s="414"/>
      <c r="P749" s="414"/>
      <c r="Q749" s="414"/>
      <c r="R749" s="414"/>
      <c r="S749" s="414"/>
      <c r="T749" s="414"/>
      <c r="U749" s="414"/>
      <c r="V749" s="414"/>
      <c r="W749" s="414"/>
      <c r="X749" s="414"/>
      <c r="Y749" s="414"/>
      <c r="Z749" s="414"/>
    </row>
    <row r="750" spans="1:26" ht="15.75" customHeight="1" x14ac:dyDescent="0.25">
      <c r="A750" s="424">
        <v>745</v>
      </c>
      <c r="B750" s="250"/>
      <c r="C750" s="250"/>
      <c r="D750" s="250"/>
      <c r="E750" s="250"/>
      <c r="F750" s="425"/>
      <c r="G750" s="425"/>
      <c r="H750" s="346"/>
      <c r="I750" s="250"/>
      <c r="J750" s="426"/>
      <c r="K750" s="426"/>
      <c r="L750" s="414"/>
      <c r="M750" s="414"/>
      <c r="N750" s="414"/>
      <c r="O750" s="414"/>
      <c r="P750" s="414"/>
      <c r="Q750" s="414"/>
      <c r="R750" s="414"/>
      <c r="S750" s="414"/>
      <c r="T750" s="414"/>
      <c r="U750" s="414"/>
      <c r="V750" s="414"/>
      <c r="W750" s="414"/>
      <c r="X750" s="414"/>
      <c r="Y750" s="414"/>
      <c r="Z750" s="414"/>
    </row>
    <row r="751" spans="1:26" ht="15.75" customHeight="1" x14ac:dyDescent="0.25">
      <c r="A751" s="424">
        <v>746</v>
      </c>
      <c r="B751" s="250"/>
      <c r="C751" s="250"/>
      <c r="D751" s="250"/>
      <c r="E751" s="250"/>
      <c r="F751" s="425"/>
      <c r="G751" s="425"/>
      <c r="H751" s="346"/>
      <c r="I751" s="250"/>
      <c r="J751" s="426"/>
      <c r="K751" s="426"/>
      <c r="L751" s="414"/>
      <c r="M751" s="414"/>
      <c r="N751" s="414"/>
      <c r="O751" s="414"/>
      <c r="P751" s="414"/>
      <c r="Q751" s="414"/>
      <c r="R751" s="414"/>
      <c r="S751" s="414"/>
      <c r="T751" s="414"/>
      <c r="U751" s="414"/>
      <c r="V751" s="414"/>
      <c r="W751" s="414"/>
      <c r="X751" s="414"/>
      <c r="Y751" s="414"/>
      <c r="Z751" s="414"/>
    </row>
    <row r="752" spans="1:26" ht="15.75" customHeight="1" x14ac:dyDescent="0.25">
      <c r="A752" s="424">
        <v>747</v>
      </c>
      <c r="B752" s="250"/>
      <c r="C752" s="250"/>
      <c r="D752" s="250"/>
      <c r="E752" s="250"/>
      <c r="F752" s="425"/>
      <c r="G752" s="425"/>
      <c r="H752" s="346"/>
      <c r="I752" s="250"/>
      <c r="J752" s="426"/>
      <c r="K752" s="426"/>
      <c r="L752" s="414"/>
      <c r="M752" s="414"/>
      <c r="N752" s="414"/>
      <c r="O752" s="414"/>
      <c r="P752" s="414"/>
      <c r="Q752" s="414"/>
      <c r="R752" s="414"/>
      <c r="S752" s="414"/>
      <c r="T752" s="414"/>
      <c r="U752" s="414"/>
      <c r="V752" s="414"/>
      <c r="W752" s="414"/>
      <c r="X752" s="414"/>
      <c r="Y752" s="414"/>
      <c r="Z752" s="414"/>
    </row>
    <row r="753" spans="1:26" ht="15.75" customHeight="1" x14ac:dyDescent="0.25">
      <c r="A753" s="424">
        <v>748</v>
      </c>
      <c r="B753" s="250"/>
      <c r="C753" s="250"/>
      <c r="D753" s="250"/>
      <c r="E753" s="250"/>
      <c r="F753" s="425"/>
      <c r="G753" s="425"/>
      <c r="H753" s="346"/>
      <c r="I753" s="250"/>
      <c r="J753" s="426"/>
      <c r="K753" s="426"/>
      <c r="L753" s="414"/>
      <c r="M753" s="414"/>
      <c r="N753" s="414"/>
      <c r="O753" s="414"/>
      <c r="P753" s="414"/>
      <c r="Q753" s="414"/>
      <c r="R753" s="414"/>
      <c r="S753" s="414"/>
      <c r="T753" s="414"/>
      <c r="U753" s="414"/>
      <c r="V753" s="414"/>
      <c r="W753" s="414"/>
      <c r="X753" s="414"/>
      <c r="Y753" s="414"/>
      <c r="Z753" s="414"/>
    </row>
    <row r="754" spans="1:26" ht="15.75" customHeight="1" x14ac:dyDescent="0.25">
      <c r="A754" s="424">
        <v>749</v>
      </c>
      <c r="B754" s="250"/>
      <c r="C754" s="250"/>
      <c r="D754" s="250"/>
      <c r="E754" s="250"/>
      <c r="F754" s="425"/>
      <c r="G754" s="425"/>
      <c r="H754" s="346"/>
      <c r="I754" s="250"/>
      <c r="J754" s="426"/>
      <c r="K754" s="426"/>
      <c r="L754" s="414"/>
      <c r="M754" s="414"/>
      <c r="N754" s="414"/>
      <c r="O754" s="414"/>
      <c r="P754" s="414"/>
      <c r="Q754" s="414"/>
      <c r="R754" s="414"/>
      <c r="S754" s="414"/>
      <c r="T754" s="414"/>
      <c r="U754" s="414"/>
      <c r="V754" s="414"/>
      <c r="W754" s="414"/>
      <c r="X754" s="414"/>
      <c r="Y754" s="414"/>
      <c r="Z754" s="414"/>
    </row>
    <row r="755" spans="1:26" ht="15.75" customHeight="1" x14ac:dyDescent="0.25">
      <c r="A755" s="424">
        <v>750</v>
      </c>
      <c r="B755" s="250"/>
      <c r="C755" s="250"/>
      <c r="D755" s="250"/>
      <c r="E755" s="250"/>
      <c r="F755" s="425"/>
      <c r="G755" s="425"/>
      <c r="H755" s="346"/>
      <c r="I755" s="250"/>
      <c r="J755" s="426"/>
      <c r="K755" s="426"/>
      <c r="L755" s="414"/>
      <c r="M755" s="414"/>
      <c r="N755" s="414"/>
      <c r="O755" s="414"/>
      <c r="P755" s="414"/>
      <c r="Q755" s="414"/>
      <c r="R755" s="414"/>
      <c r="S755" s="414"/>
      <c r="T755" s="414"/>
      <c r="U755" s="414"/>
      <c r="V755" s="414"/>
      <c r="W755" s="414"/>
      <c r="X755" s="414"/>
      <c r="Y755" s="414"/>
      <c r="Z755" s="414"/>
    </row>
    <row r="756" spans="1:26" ht="15.75" customHeight="1" x14ac:dyDescent="0.25">
      <c r="A756" s="424">
        <v>751</v>
      </c>
      <c r="B756" s="250"/>
      <c r="C756" s="250"/>
      <c r="D756" s="250"/>
      <c r="E756" s="250"/>
      <c r="F756" s="425"/>
      <c r="G756" s="425"/>
      <c r="H756" s="346"/>
      <c r="I756" s="250"/>
      <c r="J756" s="426"/>
      <c r="K756" s="426"/>
      <c r="L756" s="414"/>
      <c r="M756" s="414"/>
      <c r="N756" s="414"/>
      <c r="O756" s="414"/>
      <c r="P756" s="414"/>
      <c r="Q756" s="414"/>
      <c r="R756" s="414"/>
      <c r="S756" s="414"/>
      <c r="T756" s="414"/>
      <c r="U756" s="414"/>
      <c r="V756" s="414"/>
      <c r="W756" s="414"/>
      <c r="X756" s="414"/>
      <c r="Y756" s="414"/>
      <c r="Z756" s="414"/>
    </row>
    <row r="757" spans="1:26" ht="15.75" customHeight="1" x14ac:dyDescent="0.25">
      <c r="A757" s="424">
        <v>752</v>
      </c>
      <c r="B757" s="250"/>
      <c r="C757" s="250"/>
      <c r="D757" s="250"/>
      <c r="E757" s="250"/>
      <c r="F757" s="425"/>
      <c r="G757" s="425"/>
      <c r="H757" s="346"/>
      <c r="I757" s="250"/>
      <c r="J757" s="426"/>
      <c r="K757" s="426"/>
      <c r="L757" s="414"/>
      <c r="M757" s="414"/>
      <c r="N757" s="414"/>
      <c r="O757" s="414"/>
      <c r="P757" s="414"/>
      <c r="Q757" s="414"/>
      <c r="R757" s="414"/>
      <c r="S757" s="414"/>
      <c r="T757" s="414"/>
      <c r="U757" s="414"/>
      <c r="V757" s="414"/>
      <c r="W757" s="414"/>
      <c r="X757" s="414"/>
      <c r="Y757" s="414"/>
      <c r="Z757" s="414"/>
    </row>
    <row r="758" spans="1:26" ht="15.75" customHeight="1" x14ac:dyDescent="0.25">
      <c r="A758" s="424">
        <v>753</v>
      </c>
      <c r="B758" s="250"/>
      <c r="C758" s="250"/>
      <c r="D758" s="250"/>
      <c r="E758" s="250"/>
      <c r="F758" s="425"/>
      <c r="G758" s="425"/>
      <c r="H758" s="346"/>
      <c r="I758" s="250"/>
      <c r="J758" s="426"/>
      <c r="K758" s="426"/>
      <c r="L758" s="414"/>
      <c r="M758" s="414"/>
      <c r="N758" s="414"/>
      <c r="O758" s="414"/>
      <c r="P758" s="414"/>
      <c r="Q758" s="414"/>
      <c r="R758" s="414"/>
      <c r="S758" s="414"/>
      <c r="T758" s="414"/>
      <c r="U758" s="414"/>
      <c r="V758" s="414"/>
      <c r="W758" s="414"/>
      <c r="X758" s="414"/>
      <c r="Y758" s="414"/>
      <c r="Z758" s="414"/>
    </row>
    <row r="759" spans="1:26" ht="15.75" customHeight="1" x14ac:dyDescent="0.25">
      <c r="A759" s="424">
        <v>754</v>
      </c>
      <c r="B759" s="250"/>
      <c r="C759" s="250"/>
      <c r="D759" s="250"/>
      <c r="E759" s="250"/>
      <c r="F759" s="425"/>
      <c r="G759" s="425"/>
      <c r="H759" s="346"/>
      <c r="I759" s="250"/>
      <c r="J759" s="426"/>
      <c r="K759" s="426"/>
      <c r="L759" s="414"/>
      <c r="M759" s="414"/>
      <c r="N759" s="414"/>
      <c r="O759" s="414"/>
      <c r="P759" s="414"/>
      <c r="Q759" s="414"/>
      <c r="R759" s="414"/>
      <c r="S759" s="414"/>
      <c r="T759" s="414"/>
      <c r="U759" s="414"/>
      <c r="V759" s="414"/>
      <c r="W759" s="414"/>
      <c r="X759" s="414"/>
      <c r="Y759" s="414"/>
      <c r="Z759" s="414"/>
    </row>
    <row r="760" spans="1:26" ht="15.75" customHeight="1" x14ac:dyDescent="0.25">
      <c r="A760" s="424">
        <v>755</v>
      </c>
      <c r="B760" s="250"/>
      <c r="C760" s="250"/>
      <c r="D760" s="250"/>
      <c r="E760" s="250"/>
      <c r="F760" s="425"/>
      <c r="G760" s="425"/>
      <c r="H760" s="346"/>
      <c r="I760" s="250"/>
      <c r="J760" s="426"/>
      <c r="K760" s="426"/>
      <c r="L760" s="414"/>
      <c r="M760" s="414"/>
      <c r="N760" s="414"/>
      <c r="O760" s="414"/>
      <c r="P760" s="414"/>
      <c r="Q760" s="414"/>
      <c r="R760" s="414"/>
      <c r="S760" s="414"/>
      <c r="T760" s="414"/>
      <c r="U760" s="414"/>
      <c r="V760" s="414"/>
      <c r="W760" s="414"/>
      <c r="X760" s="414"/>
      <c r="Y760" s="414"/>
      <c r="Z760" s="414"/>
    </row>
    <row r="761" spans="1:26" ht="15.75" customHeight="1" x14ac:dyDescent="0.25">
      <c r="A761" s="424">
        <v>756</v>
      </c>
      <c r="B761" s="250"/>
      <c r="C761" s="250"/>
      <c r="D761" s="250"/>
      <c r="E761" s="250"/>
      <c r="F761" s="425"/>
      <c r="G761" s="425"/>
      <c r="H761" s="346"/>
      <c r="I761" s="250"/>
      <c r="J761" s="426"/>
      <c r="K761" s="426"/>
      <c r="L761" s="414"/>
      <c r="M761" s="414"/>
      <c r="N761" s="414"/>
      <c r="O761" s="414"/>
      <c r="P761" s="414"/>
      <c r="Q761" s="414"/>
      <c r="R761" s="414"/>
      <c r="S761" s="414"/>
      <c r="T761" s="414"/>
      <c r="U761" s="414"/>
      <c r="V761" s="414"/>
      <c r="W761" s="414"/>
      <c r="X761" s="414"/>
      <c r="Y761" s="414"/>
      <c r="Z761" s="414"/>
    </row>
    <row r="762" spans="1:26" ht="15.75" customHeight="1" x14ac:dyDescent="0.25">
      <c r="A762" s="424">
        <v>757</v>
      </c>
      <c r="B762" s="250"/>
      <c r="C762" s="250"/>
      <c r="D762" s="250"/>
      <c r="E762" s="250"/>
      <c r="F762" s="425"/>
      <c r="G762" s="425"/>
      <c r="H762" s="346"/>
      <c r="I762" s="250"/>
      <c r="J762" s="426"/>
      <c r="K762" s="426"/>
      <c r="L762" s="414"/>
      <c r="M762" s="414"/>
      <c r="N762" s="414"/>
      <c r="O762" s="414"/>
      <c r="P762" s="414"/>
      <c r="Q762" s="414"/>
      <c r="R762" s="414"/>
      <c r="S762" s="414"/>
      <c r="T762" s="414"/>
      <c r="U762" s="414"/>
      <c r="V762" s="414"/>
      <c r="W762" s="414"/>
      <c r="X762" s="414"/>
      <c r="Y762" s="414"/>
      <c r="Z762" s="414"/>
    </row>
    <row r="763" spans="1:26" ht="15.75" customHeight="1" x14ac:dyDescent="0.25">
      <c r="A763" s="424">
        <v>758</v>
      </c>
      <c r="B763" s="250"/>
      <c r="C763" s="250"/>
      <c r="D763" s="250"/>
      <c r="E763" s="250"/>
      <c r="F763" s="425"/>
      <c r="G763" s="425"/>
      <c r="H763" s="346"/>
      <c r="I763" s="250"/>
      <c r="J763" s="426"/>
      <c r="K763" s="426"/>
      <c r="L763" s="414"/>
      <c r="M763" s="414"/>
      <c r="N763" s="414"/>
      <c r="O763" s="414"/>
      <c r="P763" s="414"/>
      <c r="Q763" s="414"/>
      <c r="R763" s="414"/>
      <c r="S763" s="414"/>
      <c r="T763" s="414"/>
      <c r="U763" s="414"/>
      <c r="V763" s="414"/>
      <c r="W763" s="414"/>
      <c r="X763" s="414"/>
      <c r="Y763" s="414"/>
      <c r="Z763" s="414"/>
    </row>
    <row r="764" spans="1:26" ht="15.75" customHeight="1" x14ac:dyDescent="0.25">
      <c r="A764" s="424">
        <v>759</v>
      </c>
      <c r="B764" s="250"/>
      <c r="C764" s="250"/>
      <c r="D764" s="250"/>
      <c r="E764" s="250"/>
      <c r="F764" s="425"/>
      <c r="G764" s="425"/>
      <c r="H764" s="346"/>
      <c r="I764" s="250"/>
      <c r="J764" s="426"/>
      <c r="K764" s="426"/>
      <c r="L764" s="414"/>
      <c r="M764" s="414"/>
      <c r="N764" s="414"/>
      <c r="O764" s="414"/>
      <c r="P764" s="414"/>
      <c r="Q764" s="414"/>
      <c r="R764" s="414"/>
      <c r="S764" s="414"/>
      <c r="T764" s="414"/>
      <c r="U764" s="414"/>
      <c r="V764" s="414"/>
      <c r="W764" s="414"/>
      <c r="X764" s="414"/>
      <c r="Y764" s="414"/>
      <c r="Z764" s="414"/>
    </row>
    <row r="765" spans="1:26" ht="15.75" customHeight="1" x14ac:dyDescent="0.25">
      <c r="A765" s="424">
        <v>760</v>
      </c>
      <c r="B765" s="250"/>
      <c r="C765" s="250"/>
      <c r="D765" s="250"/>
      <c r="E765" s="250"/>
      <c r="F765" s="425"/>
      <c r="G765" s="425"/>
      <c r="H765" s="346"/>
      <c r="I765" s="250"/>
      <c r="J765" s="426"/>
      <c r="K765" s="426"/>
      <c r="L765" s="414"/>
      <c r="M765" s="414"/>
      <c r="N765" s="414"/>
      <c r="O765" s="414"/>
      <c r="P765" s="414"/>
      <c r="Q765" s="414"/>
      <c r="R765" s="414"/>
      <c r="S765" s="414"/>
      <c r="T765" s="414"/>
      <c r="U765" s="414"/>
      <c r="V765" s="414"/>
      <c r="W765" s="414"/>
      <c r="X765" s="414"/>
      <c r="Y765" s="414"/>
      <c r="Z765" s="414"/>
    </row>
    <row r="766" spans="1:26" ht="15.75" customHeight="1" x14ac:dyDescent="0.25">
      <c r="A766" s="424">
        <v>761</v>
      </c>
      <c r="B766" s="250"/>
      <c r="C766" s="250"/>
      <c r="D766" s="250"/>
      <c r="E766" s="250"/>
      <c r="F766" s="425"/>
      <c r="G766" s="425"/>
      <c r="H766" s="346"/>
      <c r="I766" s="250"/>
      <c r="J766" s="426"/>
      <c r="K766" s="426"/>
      <c r="L766" s="414"/>
      <c r="M766" s="414"/>
      <c r="N766" s="414"/>
      <c r="O766" s="414"/>
      <c r="P766" s="414"/>
      <c r="Q766" s="414"/>
      <c r="R766" s="414"/>
      <c r="S766" s="414"/>
      <c r="T766" s="414"/>
      <c r="U766" s="414"/>
      <c r="V766" s="414"/>
      <c r="W766" s="414"/>
      <c r="X766" s="414"/>
      <c r="Y766" s="414"/>
      <c r="Z766" s="414"/>
    </row>
    <row r="767" spans="1:26" ht="15.75" customHeight="1" x14ac:dyDescent="0.25">
      <c r="A767" s="424">
        <v>762</v>
      </c>
      <c r="B767" s="250"/>
      <c r="C767" s="250"/>
      <c r="D767" s="250"/>
      <c r="E767" s="250"/>
      <c r="F767" s="425"/>
      <c r="G767" s="425"/>
      <c r="H767" s="346"/>
      <c r="I767" s="250"/>
      <c r="J767" s="426"/>
      <c r="K767" s="426"/>
      <c r="L767" s="414"/>
      <c r="M767" s="414"/>
      <c r="N767" s="414"/>
      <c r="O767" s="414"/>
      <c r="P767" s="414"/>
      <c r="Q767" s="414"/>
      <c r="R767" s="414"/>
      <c r="S767" s="414"/>
      <c r="T767" s="414"/>
      <c r="U767" s="414"/>
      <c r="V767" s="414"/>
      <c r="W767" s="414"/>
      <c r="X767" s="414"/>
      <c r="Y767" s="414"/>
      <c r="Z767" s="414"/>
    </row>
    <row r="768" spans="1:26" ht="15.75" customHeight="1" x14ac:dyDescent="0.25">
      <c r="A768" s="424">
        <v>763</v>
      </c>
      <c r="B768" s="250"/>
      <c r="C768" s="250"/>
      <c r="D768" s="250"/>
      <c r="E768" s="250"/>
      <c r="F768" s="425"/>
      <c r="G768" s="425"/>
      <c r="H768" s="346"/>
      <c r="I768" s="250"/>
      <c r="J768" s="426"/>
      <c r="K768" s="426"/>
      <c r="L768" s="414"/>
      <c r="M768" s="414"/>
      <c r="N768" s="414"/>
      <c r="O768" s="414"/>
      <c r="P768" s="414"/>
      <c r="Q768" s="414"/>
      <c r="R768" s="414"/>
      <c r="S768" s="414"/>
      <c r="T768" s="414"/>
      <c r="U768" s="414"/>
      <c r="V768" s="414"/>
      <c r="W768" s="414"/>
      <c r="X768" s="414"/>
      <c r="Y768" s="414"/>
      <c r="Z768" s="414"/>
    </row>
    <row r="769" spans="1:26" ht="15.75" customHeight="1" x14ac:dyDescent="0.25">
      <c r="A769" s="424">
        <v>764</v>
      </c>
      <c r="B769" s="250"/>
      <c r="C769" s="250"/>
      <c r="D769" s="250"/>
      <c r="E769" s="250"/>
      <c r="F769" s="425"/>
      <c r="G769" s="425"/>
      <c r="H769" s="346"/>
      <c r="I769" s="250"/>
      <c r="J769" s="426"/>
      <c r="K769" s="426"/>
      <c r="L769" s="414"/>
      <c r="M769" s="414"/>
      <c r="N769" s="414"/>
      <c r="O769" s="414"/>
      <c r="P769" s="414"/>
      <c r="Q769" s="414"/>
      <c r="R769" s="414"/>
      <c r="S769" s="414"/>
      <c r="T769" s="414"/>
      <c r="U769" s="414"/>
      <c r="V769" s="414"/>
      <c r="W769" s="414"/>
      <c r="X769" s="414"/>
      <c r="Y769" s="414"/>
      <c r="Z769" s="414"/>
    </row>
    <row r="770" spans="1:26" ht="15.75" customHeight="1" x14ac:dyDescent="0.25">
      <c r="A770" s="424">
        <v>765</v>
      </c>
      <c r="B770" s="250"/>
      <c r="C770" s="250"/>
      <c r="D770" s="250"/>
      <c r="E770" s="250"/>
      <c r="F770" s="425"/>
      <c r="G770" s="425"/>
      <c r="H770" s="346"/>
      <c r="I770" s="250"/>
      <c r="J770" s="426"/>
      <c r="K770" s="426"/>
      <c r="L770" s="414"/>
      <c r="M770" s="414"/>
      <c r="N770" s="414"/>
      <c r="O770" s="414"/>
      <c r="P770" s="414"/>
      <c r="Q770" s="414"/>
      <c r="R770" s="414"/>
      <c r="S770" s="414"/>
      <c r="T770" s="414"/>
      <c r="U770" s="414"/>
      <c r="V770" s="414"/>
      <c r="W770" s="414"/>
      <c r="X770" s="414"/>
      <c r="Y770" s="414"/>
      <c r="Z770" s="414"/>
    </row>
    <row r="771" spans="1:26" ht="15.75" customHeight="1" x14ac:dyDescent="0.25">
      <c r="A771" s="424">
        <v>766</v>
      </c>
      <c r="B771" s="250"/>
      <c r="C771" s="250"/>
      <c r="D771" s="250"/>
      <c r="E771" s="250"/>
      <c r="F771" s="425"/>
      <c r="G771" s="425"/>
      <c r="H771" s="346"/>
      <c r="I771" s="250"/>
      <c r="J771" s="426"/>
      <c r="K771" s="426"/>
      <c r="L771" s="414"/>
      <c r="M771" s="414"/>
      <c r="N771" s="414"/>
      <c r="O771" s="414"/>
      <c r="P771" s="414"/>
      <c r="Q771" s="414"/>
      <c r="R771" s="414"/>
      <c r="S771" s="414"/>
      <c r="T771" s="414"/>
      <c r="U771" s="414"/>
      <c r="V771" s="414"/>
      <c r="W771" s="414"/>
      <c r="X771" s="414"/>
      <c r="Y771" s="414"/>
      <c r="Z771" s="414"/>
    </row>
    <row r="772" spans="1:26" ht="15.75" customHeight="1" x14ac:dyDescent="0.25">
      <c r="A772" s="424">
        <v>767</v>
      </c>
      <c r="B772" s="250"/>
      <c r="C772" s="250"/>
      <c r="D772" s="250"/>
      <c r="E772" s="250"/>
      <c r="F772" s="425"/>
      <c r="G772" s="425"/>
      <c r="H772" s="346"/>
      <c r="I772" s="250"/>
      <c r="J772" s="426"/>
      <c r="K772" s="426"/>
      <c r="L772" s="414"/>
      <c r="M772" s="414"/>
      <c r="N772" s="414"/>
      <c r="O772" s="414"/>
      <c r="P772" s="414"/>
      <c r="Q772" s="414"/>
      <c r="R772" s="414"/>
      <c r="S772" s="414"/>
      <c r="T772" s="414"/>
      <c r="U772" s="414"/>
      <c r="V772" s="414"/>
      <c r="W772" s="414"/>
      <c r="X772" s="414"/>
      <c r="Y772" s="414"/>
      <c r="Z772" s="414"/>
    </row>
    <row r="773" spans="1:26" ht="15.75" customHeight="1" x14ac:dyDescent="0.25">
      <c r="A773" s="424">
        <v>768</v>
      </c>
      <c r="B773" s="250"/>
      <c r="C773" s="250"/>
      <c r="D773" s="250"/>
      <c r="E773" s="250"/>
      <c r="F773" s="425"/>
      <c r="G773" s="425"/>
      <c r="H773" s="346"/>
      <c r="I773" s="250"/>
      <c r="J773" s="426"/>
      <c r="K773" s="426"/>
      <c r="L773" s="414"/>
      <c r="M773" s="414"/>
      <c r="N773" s="414"/>
      <c r="O773" s="414"/>
      <c r="P773" s="414"/>
      <c r="Q773" s="414"/>
      <c r="R773" s="414"/>
      <c r="S773" s="414"/>
      <c r="T773" s="414"/>
      <c r="U773" s="414"/>
      <c r="V773" s="414"/>
      <c r="W773" s="414"/>
      <c r="X773" s="414"/>
      <c r="Y773" s="414"/>
      <c r="Z773" s="414"/>
    </row>
    <row r="774" spans="1:26" ht="15.75" customHeight="1" x14ac:dyDescent="0.25">
      <c r="A774" s="424">
        <v>769</v>
      </c>
      <c r="B774" s="250"/>
      <c r="C774" s="250"/>
      <c r="D774" s="250"/>
      <c r="E774" s="250"/>
      <c r="F774" s="425"/>
      <c r="G774" s="425"/>
      <c r="H774" s="346"/>
      <c r="I774" s="250"/>
      <c r="J774" s="426"/>
      <c r="K774" s="426"/>
      <c r="L774" s="414"/>
      <c r="M774" s="414"/>
      <c r="N774" s="414"/>
      <c r="O774" s="414"/>
      <c r="P774" s="414"/>
      <c r="Q774" s="414"/>
      <c r="R774" s="414"/>
      <c r="S774" s="414"/>
      <c r="T774" s="414"/>
      <c r="U774" s="414"/>
      <c r="V774" s="414"/>
      <c r="W774" s="414"/>
      <c r="X774" s="414"/>
      <c r="Y774" s="414"/>
      <c r="Z774" s="414"/>
    </row>
    <row r="775" spans="1:26" ht="15.75" customHeight="1" x14ac:dyDescent="0.25">
      <c r="A775" s="424">
        <v>770</v>
      </c>
      <c r="B775" s="250"/>
      <c r="C775" s="250"/>
      <c r="D775" s="250"/>
      <c r="E775" s="250"/>
      <c r="F775" s="425"/>
      <c r="G775" s="425"/>
      <c r="H775" s="346"/>
      <c r="I775" s="250"/>
      <c r="J775" s="426"/>
      <c r="K775" s="426"/>
      <c r="L775" s="414"/>
      <c r="M775" s="414"/>
      <c r="N775" s="414"/>
      <c r="O775" s="414"/>
      <c r="P775" s="414"/>
      <c r="Q775" s="414"/>
      <c r="R775" s="414"/>
      <c r="S775" s="414"/>
      <c r="T775" s="414"/>
      <c r="U775" s="414"/>
      <c r="V775" s="414"/>
      <c r="W775" s="414"/>
      <c r="X775" s="414"/>
      <c r="Y775" s="414"/>
      <c r="Z775" s="414"/>
    </row>
    <row r="776" spans="1:26" ht="15.75" customHeight="1" x14ac:dyDescent="0.25">
      <c r="A776" s="424">
        <v>771</v>
      </c>
      <c r="B776" s="250"/>
      <c r="C776" s="250"/>
      <c r="D776" s="250"/>
      <c r="E776" s="250"/>
      <c r="F776" s="425"/>
      <c r="G776" s="425"/>
      <c r="H776" s="346"/>
      <c r="I776" s="250"/>
      <c r="J776" s="426"/>
      <c r="K776" s="426"/>
      <c r="L776" s="414"/>
      <c r="M776" s="414"/>
      <c r="N776" s="414"/>
      <c r="O776" s="414"/>
      <c r="P776" s="414"/>
      <c r="Q776" s="414"/>
      <c r="R776" s="414"/>
      <c r="S776" s="414"/>
      <c r="T776" s="414"/>
      <c r="U776" s="414"/>
      <c r="V776" s="414"/>
      <c r="W776" s="414"/>
      <c r="X776" s="414"/>
      <c r="Y776" s="414"/>
      <c r="Z776" s="414"/>
    </row>
    <row r="777" spans="1:26" ht="15.75" customHeight="1" x14ac:dyDescent="0.25">
      <c r="A777" s="424">
        <v>772</v>
      </c>
      <c r="B777" s="250"/>
      <c r="C777" s="250"/>
      <c r="D777" s="250"/>
      <c r="E777" s="250"/>
      <c r="F777" s="425"/>
      <c r="G777" s="425"/>
      <c r="H777" s="346"/>
      <c r="I777" s="250"/>
      <c r="J777" s="426"/>
      <c r="K777" s="426"/>
      <c r="L777" s="414"/>
      <c r="M777" s="414"/>
      <c r="N777" s="414"/>
      <c r="O777" s="414"/>
      <c r="P777" s="414"/>
      <c r="Q777" s="414"/>
      <c r="R777" s="414"/>
      <c r="S777" s="414"/>
      <c r="T777" s="414"/>
      <c r="U777" s="414"/>
      <c r="V777" s="414"/>
      <c r="W777" s="414"/>
      <c r="X777" s="414"/>
      <c r="Y777" s="414"/>
      <c r="Z777" s="414"/>
    </row>
    <row r="778" spans="1:26" ht="15.75" customHeight="1" x14ac:dyDescent="0.25">
      <c r="A778" s="424">
        <v>773</v>
      </c>
      <c r="B778" s="250"/>
      <c r="C778" s="250"/>
      <c r="D778" s="250"/>
      <c r="E778" s="250"/>
      <c r="F778" s="425"/>
      <c r="G778" s="425"/>
      <c r="H778" s="346"/>
      <c r="I778" s="250"/>
      <c r="J778" s="426"/>
      <c r="K778" s="426"/>
      <c r="L778" s="414"/>
      <c r="M778" s="414"/>
      <c r="N778" s="414"/>
      <c r="O778" s="414"/>
      <c r="P778" s="414"/>
      <c r="Q778" s="414"/>
      <c r="R778" s="414"/>
      <c r="S778" s="414"/>
      <c r="T778" s="414"/>
      <c r="U778" s="414"/>
      <c r="V778" s="414"/>
      <c r="W778" s="414"/>
      <c r="X778" s="414"/>
      <c r="Y778" s="414"/>
      <c r="Z778" s="414"/>
    </row>
    <row r="779" spans="1:26" ht="15.75" customHeight="1" x14ac:dyDescent="0.25">
      <c r="A779" s="424">
        <v>774</v>
      </c>
      <c r="B779" s="250"/>
      <c r="C779" s="250"/>
      <c r="D779" s="250"/>
      <c r="E779" s="250"/>
      <c r="F779" s="425"/>
      <c r="G779" s="425"/>
      <c r="H779" s="346"/>
      <c r="I779" s="250"/>
      <c r="J779" s="426"/>
      <c r="K779" s="426"/>
      <c r="L779" s="414"/>
      <c r="M779" s="414"/>
      <c r="N779" s="414"/>
      <c r="O779" s="414"/>
      <c r="P779" s="414"/>
      <c r="Q779" s="414"/>
      <c r="R779" s="414"/>
      <c r="S779" s="414"/>
      <c r="T779" s="414"/>
      <c r="U779" s="414"/>
      <c r="V779" s="414"/>
      <c r="W779" s="414"/>
      <c r="X779" s="414"/>
      <c r="Y779" s="414"/>
      <c r="Z779" s="414"/>
    </row>
    <row r="780" spans="1:26" ht="15.75" customHeight="1" x14ac:dyDescent="0.25">
      <c r="A780" s="424">
        <v>775</v>
      </c>
      <c r="B780" s="250"/>
      <c r="C780" s="250"/>
      <c r="D780" s="250"/>
      <c r="E780" s="250"/>
      <c r="F780" s="425"/>
      <c r="G780" s="425"/>
      <c r="H780" s="346"/>
      <c r="I780" s="250"/>
      <c r="J780" s="426"/>
      <c r="K780" s="426"/>
      <c r="L780" s="414"/>
      <c r="M780" s="414"/>
      <c r="N780" s="414"/>
      <c r="O780" s="414"/>
      <c r="P780" s="414"/>
      <c r="Q780" s="414"/>
      <c r="R780" s="414"/>
      <c r="S780" s="414"/>
      <c r="T780" s="414"/>
      <c r="U780" s="414"/>
      <c r="V780" s="414"/>
      <c r="W780" s="414"/>
      <c r="X780" s="414"/>
      <c r="Y780" s="414"/>
      <c r="Z780" s="414"/>
    </row>
    <row r="781" spans="1:26" ht="15.75" customHeight="1" x14ac:dyDescent="0.25">
      <c r="A781" s="424">
        <v>776</v>
      </c>
      <c r="B781" s="250"/>
      <c r="C781" s="250"/>
      <c r="D781" s="250"/>
      <c r="E781" s="250"/>
      <c r="F781" s="425"/>
      <c r="G781" s="425"/>
      <c r="H781" s="346"/>
      <c r="I781" s="250"/>
      <c r="J781" s="426"/>
      <c r="K781" s="426"/>
      <c r="L781" s="414"/>
      <c r="M781" s="414"/>
      <c r="N781" s="414"/>
      <c r="O781" s="414"/>
      <c r="P781" s="414"/>
      <c r="Q781" s="414"/>
      <c r="R781" s="414"/>
      <c r="S781" s="414"/>
      <c r="T781" s="414"/>
      <c r="U781" s="414"/>
      <c r="V781" s="414"/>
      <c r="W781" s="414"/>
      <c r="X781" s="414"/>
      <c r="Y781" s="414"/>
      <c r="Z781" s="414"/>
    </row>
    <row r="782" spans="1:26" ht="15.75" customHeight="1" x14ac:dyDescent="0.25">
      <c r="A782" s="424">
        <v>777</v>
      </c>
      <c r="B782" s="250"/>
      <c r="C782" s="250"/>
      <c r="D782" s="250"/>
      <c r="E782" s="250"/>
      <c r="F782" s="425"/>
      <c r="G782" s="425"/>
      <c r="H782" s="346"/>
      <c r="I782" s="250"/>
      <c r="J782" s="426"/>
      <c r="K782" s="426"/>
      <c r="L782" s="414"/>
      <c r="M782" s="414"/>
      <c r="N782" s="414"/>
      <c r="O782" s="414"/>
      <c r="P782" s="414"/>
      <c r="Q782" s="414"/>
      <c r="R782" s="414"/>
      <c r="S782" s="414"/>
      <c r="T782" s="414"/>
      <c r="U782" s="414"/>
      <c r="V782" s="414"/>
      <c r="W782" s="414"/>
      <c r="X782" s="414"/>
      <c r="Y782" s="414"/>
      <c r="Z782" s="414"/>
    </row>
    <row r="783" spans="1:26" ht="15.75" customHeight="1" x14ac:dyDescent="0.25">
      <c r="A783" s="424">
        <v>778</v>
      </c>
      <c r="B783" s="250"/>
      <c r="C783" s="250"/>
      <c r="D783" s="250"/>
      <c r="E783" s="250"/>
      <c r="F783" s="425"/>
      <c r="G783" s="425"/>
      <c r="H783" s="346"/>
      <c r="I783" s="250"/>
      <c r="J783" s="426"/>
      <c r="K783" s="426"/>
      <c r="L783" s="414"/>
      <c r="M783" s="414"/>
      <c r="N783" s="414"/>
      <c r="O783" s="414"/>
      <c r="P783" s="414"/>
      <c r="Q783" s="414"/>
      <c r="R783" s="414"/>
      <c r="S783" s="414"/>
      <c r="T783" s="414"/>
      <c r="U783" s="414"/>
      <c r="V783" s="414"/>
      <c r="W783" s="414"/>
      <c r="X783" s="414"/>
      <c r="Y783" s="414"/>
      <c r="Z783" s="414"/>
    </row>
    <row r="784" spans="1:26" ht="15.75" customHeight="1" x14ac:dyDescent="0.25">
      <c r="A784" s="424">
        <v>779</v>
      </c>
      <c r="B784" s="250"/>
      <c r="C784" s="250"/>
      <c r="D784" s="250"/>
      <c r="E784" s="250"/>
      <c r="F784" s="425"/>
      <c r="G784" s="425"/>
      <c r="H784" s="346"/>
      <c r="I784" s="250"/>
      <c r="J784" s="426"/>
      <c r="K784" s="426"/>
      <c r="L784" s="414"/>
      <c r="M784" s="414"/>
      <c r="N784" s="414"/>
      <c r="O784" s="414"/>
      <c r="P784" s="414"/>
      <c r="Q784" s="414"/>
      <c r="R784" s="414"/>
      <c r="S784" s="414"/>
      <c r="T784" s="414"/>
      <c r="U784" s="414"/>
      <c r="V784" s="414"/>
      <c r="W784" s="414"/>
      <c r="X784" s="414"/>
      <c r="Y784" s="414"/>
      <c r="Z784" s="414"/>
    </row>
    <row r="785" spans="1:26" ht="15.75" customHeight="1" x14ac:dyDescent="0.25">
      <c r="A785" s="424">
        <v>780</v>
      </c>
      <c r="B785" s="250"/>
      <c r="C785" s="250"/>
      <c r="D785" s="250"/>
      <c r="E785" s="250"/>
      <c r="F785" s="425"/>
      <c r="G785" s="425"/>
      <c r="H785" s="346"/>
      <c r="I785" s="250"/>
      <c r="J785" s="426"/>
      <c r="K785" s="426"/>
      <c r="L785" s="414"/>
      <c r="M785" s="414"/>
      <c r="N785" s="414"/>
      <c r="O785" s="414"/>
      <c r="P785" s="414"/>
      <c r="Q785" s="414"/>
      <c r="R785" s="414"/>
      <c r="S785" s="414"/>
      <c r="T785" s="414"/>
      <c r="U785" s="414"/>
      <c r="V785" s="414"/>
      <c r="W785" s="414"/>
      <c r="X785" s="414"/>
      <c r="Y785" s="414"/>
      <c r="Z785" s="414"/>
    </row>
    <row r="786" spans="1:26" ht="15.75" customHeight="1" x14ac:dyDescent="0.25">
      <c r="A786" s="424">
        <v>781</v>
      </c>
      <c r="B786" s="250"/>
      <c r="C786" s="250"/>
      <c r="D786" s="250"/>
      <c r="E786" s="250"/>
      <c r="F786" s="425"/>
      <c r="G786" s="425"/>
      <c r="H786" s="346"/>
      <c r="I786" s="250"/>
      <c r="J786" s="426"/>
      <c r="K786" s="426"/>
      <c r="L786" s="414"/>
      <c r="M786" s="414"/>
      <c r="N786" s="414"/>
      <c r="O786" s="414"/>
      <c r="P786" s="414"/>
      <c r="Q786" s="414"/>
      <c r="R786" s="414"/>
      <c r="S786" s="414"/>
      <c r="T786" s="414"/>
      <c r="U786" s="414"/>
      <c r="V786" s="414"/>
      <c r="W786" s="414"/>
      <c r="X786" s="414"/>
      <c r="Y786" s="414"/>
      <c r="Z786" s="414"/>
    </row>
    <row r="787" spans="1:26" ht="15.75" customHeight="1" x14ac:dyDescent="0.25">
      <c r="A787" s="424">
        <v>782</v>
      </c>
      <c r="B787" s="250"/>
      <c r="C787" s="250"/>
      <c r="D787" s="250"/>
      <c r="E787" s="250"/>
      <c r="F787" s="425"/>
      <c r="G787" s="425"/>
      <c r="H787" s="346"/>
      <c r="I787" s="250"/>
      <c r="J787" s="426"/>
      <c r="K787" s="426"/>
      <c r="L787" s="414"/>
      <c r="M787" s="414"/>
      <c r="N787" s="414"/>
      <c r="O787" s="414"/>
      <c r="P787" s="414"/>
      <c r="Q787" s="414"/>
      <c r="R787" s="414"/>
      <c r="S787" s="414"/>
      <c r="T787" s="414"/>
      <c r="U787" s="414"/>
      <c r="V787" s="414"/>
      <c r="W787" s="414"/>
      <c r="X787" s="414"/>
      <c r="Y787" s="414"/>
      <c r="Z787" s="414"/>
    </row>
    <row r="788" spans="1:26" ht="15.75" customHeight="1" x14ac:dyDescent="0.25">
      <c r="A788" s="424">
        <v>783</v>
      </c>
      <c r="B788" s="250"/>
      <c r="C788" s="250"/>
      <c r="D788" s="250"/>
      <c r="E788" s="250"/>
      <c r="F788" s="425"/>
      <c r="G788" s="425"/>
      <c r="H788" s="346"/>
      <c r="I788" s="250"/>
      <c r="J788" s="426"/>
      <c r="K788" s="426"/>
      <c r="L788" s="414"/>
      <c r="M788" s="414"/>
      <c r="N788" s="414"/>
      <c r="O788" s="414"/>
      <c r="P788" s="414"/>
      <c r="Q788" s="414"/>
      <c r="R788" s="414"/>
      <c r="S788" s="414"/>
      <c r="T788" s="414"/>
      <c r="U788" s="414"/>
      <c r="V788" s="414"/>
      <c r="W788" s="414"/>
      <c r="X788" s="414"/>
      <c r="Y788" s="414"/>
      <c r="Z788" s="414"/>
    </row>
    <row r="789" spans="1:26" ht="15.75" customHeight="1" x14ac:dyDescent="0.25">
      <c r="A789" s="424">
        <v>784</v>
      </c>
      <c r="B789" s="250"/>
      <c r="C789" s="250"/>
      <c r="D789" s="250"/>
      <c r="E789" s="250"/>
      <c r="F789" s="425"/>
      <c r="G789" s="425"/>
      <c r="H789" s="346"/>
      <c r="I789" s="250"/>
      <c r="J789" s="426"/>
      <c r="K789" s="426"/>
      <c r="L789" s="414"/>
      <c r="M789" s="414"/>
      <c r="N789" s="414"/>
      <c r="O789" s="414"/>
      <c r="P789" s="414"/>
      <c r="Q789" s="414"/>
      <c r="R789" s="414"/>
      <c r="S789" s="414"/>
      <c r="T789" s="414"/>
      <c r="U789" s="414"/>
      <c r="V789" s="414"/>
      <c r="W789" s="414"/>
      <c r="X789" s="414"/>
      <c r="Y789" s="414"/>
      <c r="Z789" s="414"/>
    </row>
    <row r="790" spans="1:26" ht="15.75" customHeight="1" x14ac:dyDescent="0.25">
      <c r="A790" s="424">
        <v>785</v>
      </c>
      <c r="B790" s="250"/>
      <c r="C790" s="250"/>
      <c r="D790" s="250"/>
      <c r="E790" s="250"/>
      <c r="F790" s="425"/>
      <c r="G790" s="425"/>
      <c r="H790" s="346"/>
      <c r="I790" s="250"/>
      <c r="J790" s="426"/>
      <c r="K790" s="426"/>
      <c r="L790" s="414"/>
      <c r="M790" s="414"/>
      <c r="N790" s="414"/>
      <c r="O790" s="414"/>
      <c r="P790" s="414"/>
      <c r="Q790" s="414"/>
      <c r="R790" s="414"/>
      <c r="S790" s="414"/>
      <c r="T790" s="414"/>
      <c r="U790" s="414"/>
      <c r="V790" s="414"/>
      <c r="W790" s="414"/>
      <c r="X790" s="414"/>
      <c r="Y790" s="414"/>
      <c r="Z790" s="414"/>
    </row>
    <row r="791" spans="1:26" ht="15.75" customHeight="1" x14ac:dyDescent="0.25">
      <c r="A791" s="424">
        <v>786</v>
      </c>
      <c r="B791" s="250"/>
      <c r="C791" s="250"/>
      <c r="D791" s="250"/>
      <c r="E791" s="250"/>
      <c r="F791" s="425"/>
      <c r="G791" s="425"/>
      <c r="H791" s="346"/>
      <c r="I791" s="250"/>
      <c r="J791" s="426"/>
      <c r="K791" s="426"/>
      <c r="L791" s="414"/>
      <c r="M791" s="414"/>
      <c r="N791" s="414"/>
      <c r="O791" s="414"/>
      <c r="P791" s="414"/>
      <c r="Q791" s="414"/>
      <c r="R791" s="414"/>
      <c r="S791" s="414"/>
      <c r="T791" s="414"/>
      <c r="U791" s="414"/>
      <c r="V791" s="414"/>
      <c r="W791" s="414"/>
      <c r="X791" s="414"/>
      <c r="Y791" s="414"/>
      <c r="Z791" s="414"/>
    </row>
    <row r="792" spans="1:26" ht="15.75" customHeight="1" x14ac:dyDescent="0.25">
      <c r="A792" s="424">
        <v>787</v>
      </c>
      <c r="B792" s="250"/>
      <c r="C792" s="250"/>
      <c r="D792" s="250"/>
      <c r="E792" s="250"/>
      <c r="F792" s="425"/>
      <c r="G792" s="425"/>
      <c r="H792" s="346"/>
      <c r="I792" s="250"/>
      <c r="J792" s="426"/>
      <c r="K792" s="426"/>
      <c r="L792" s="414"/>
      <c r="M792" s="414"/>
      <c r="N792" s="414"/>
      <c r="O792" s="414"/>
      <c r="P792" s="414"/>
      <c r="Q792" s="414"/>
      <c r="R792" s="414"/>
      <c r="S792" s="414"/>
      <c r="T792" s="414"/>
      <c r="U792" s="414"/>
      <c r="V792" s="414"/>
      <c r="W792" s="414"/>
      <c r="X792" s="414"/>
      <c r="Y792" s="414"/>
      <c r="Z792" s="414"/>
    </row>
    <row r="793" spans="1:26" ht="15.75" customHeight="1" x14ac:dyDescent="0.25">
      <c r="A793" s="424">
        <v>788</v>
      </c>
      <c r="B793" s="250"/>
      <c r="C793" s="250"/>
      <c r="D793" s="250"/>
      <c r="E793" s="250"/>
      <c r="F793" s="425"/>
      <c r="G793" s="425"/>
      <c r="H793" s="346"/>
      <c r="I793" s="250"/>
      <c r="J793" s="426"/>
      <c r="K793" s="426"/>
      <c r="L793" s="414"/>
      <c r="M793" s="414"/>
      <c r="N793" s="414"/>
      <c r="O793" s="414"/>
      <c r="P793" s="414"/>
      <c r="Q793" s="414"/>
      <c r="R793" s="414"/>
      <c r="S793" s="414"/>
      <c r="T793" s="414"/>
      <c r="U793" s="414"/>
      <c r="V793" s="414"/>
      <c r="W793" s="414"/>
      <c r="X793" s="414"/>
      <c r="Y793" s="414"/>
      <c r="Z793" s="414"/>
    </row>
    <row r="794" spans="1:26" ht="15.75" customHeight="1" x14ac:dyDescent="0.25">
      <c r="A794" s="424">
        <v>789</v>
      </c>
      <c r="B794" s="250"/>
      <c r="C794" s="250"/>
      <c r="D794" s="250"/>
      <c r="E794" s="250"/>
      <c r="F794" s="425"/>
      <c r="G794" s="425"/>
      <c r="H794" s="346"/>
      <c r="I794" s="250"/>
      <c r="J794" s="426"/>
      <c r="K794" s="426"/>
      <c r="L794" s="414"/>
      <c r="M794" s="414"/>
      <c r="N794" s="414"/>
      <c r="O794" s="414"/>
      <c r="P794" s="414"/>
      <c r="Q794" s="414"/>
      <c r="R794" s="414"/>
      <c r="S794" s="414"/>
      <c r="T794" s="414"/>
      <c r="U794" s="414"/>
      <c r="V794" s="414"/>
      <c r="W794" s="414"/>
      <c r="X794" s="414"/>
      <c r="Y794" s="414"/>
      <c r="Z794" s="414"/>
    </row>
    <row r="795" spans="1:26" ht="15.75" customHeight="1" x14ac:dyDescent="0.25">
      <c r="A795" s="424">
        <v>790</v>
      </c>
      <c r="B795" s="250"/>
      <c r="C795" s="250"/>
      <c r="D795" s="250"/>
      <c r="E795" s="250"/>
      <c r="F795" s="425"/>
      <c r="G795" s="425"/>
      <c r="H795" s="346"/>
      <c r="I795" s="250"/>
      <c r="J795" s="426"/>
      <c r="K795" s="426"/>
      <c r="L795" s="414"/>
      <c r="M795" s="414"/>
      <c r="N795" s="414"/>
      <c r="O795" s="414"/>
      <c r="P795" s="414"/>
      <c r="Q795" s="414"/>
      <c r="R795" s="414"/>
      <c r="S795" s="414"/>
      <c r="T795" s="414"/>
      <c r="U795" s="414"/>
      <c r="V795" s="414"/>
      <c r="W795" s="414"/>
      <c r="X795" s="414"/>
      <c r="Y795" s="414"/>
      <c r="Z795" s="414"/>
    </row>
    <row r="796" spans="1:26" ht="15.75" customHeight="1" x14ac:dyDescent="0.25">
      <c r="A796" s="424">
        <v>791</v>
      </c>
      <c r="B796" s="250"/>
      <c r="C796" s="250"/>
      <c r="D796" s="250"/>
      <c r="E796" s="250"/>
      <c r="F796" s="425"/>
      <c r="G796" s="425"/>
      <c r="H796" s="346"/>
      <c r="I796" s="250"/>
      <c r="J796" s="426"/>
      <c r="K796" s="426"/>
      <c r="L796" s="414"/>
      <c r="M796" s="414"/>
      <c r="N796" s="414"/>
      <c r="O796" s="414"/>
      <c r="P796" s="414"/>
      <c r="Q796" s="414"/>
      <c r="R796" s="414"/>
      <c r="S796" s="414"/>
      <c r="T796" s="414"/>
      <c r="U796" s="414"/>
      <c r="V796" s="414"/>
      <c r="W796" s="414"/>
      <c r="X796" s="414"/>
      <c r="Y796" s="414"/>
      <c r="Z796" s="414"/>
    </row>
    <row r="797" spans="1:26" ht="15.75" customHeight="1" x14ac:dyDescent="0.25">
      <c r="A797" s="424">
        <v>792</v>
      </c>
      <c r="B797" s="250"/>
      <c r="C797" s="250"/>
      <c r="D797" s="250"/>
      <c r="E797" s="250"/>
      <c r="F797" s="425"/>
      <c r="G797" s="425"/>
      <c r="H797" s="346"/>
      <c r="I797" s="250"/>
      <c r="J797" s="426"/>
      <c r="K797" s="426"/>
      <c r="L797" s="414"/>
      <c r="M797" s="414"/>
      <c r="N797" s="414"/>
      <c r="O797" s="414"/>
      <c r="P797" s="414"/>
      <c r="Q797" s="414"/>
      <c r="R797" s="414"/>
      <c r="S797" s="414"/>
      <c r="T797" s="414"/>
      <c r="U797" s="414"/>
      <c r="V797" s="414"/>
      <c r="W797" s="414"/>
      <c r="X797" s="414"/>
      <c r="Y797" s="414"/>
      <c r="Z797" s="414"/>
    </row>
    <row r="798" spans="1:26" ht="15.75" customHeight="1" x14ac:dyDescent="0.25">
      <c r="A798" s="424">
        <v>793</v>
      </c>
      <c r="B798" s="250"/>
      <c r="C798" s="250"/>
      <c r="D798" s="250"/>
      <c r="E798" s="250"/>
      <c r="F798" s="425"/>
      <c r="G798" s="425"/>
      <c r="H798" s="346"/>
      <c r="I798" s="250"/>
      <c r="J798" s="426"/>
      <c r="K798" s="426"/>
      <c r="L798" s="414"/>
      <c r="M798" s="414"/>
      <c r="N798" s="414"/>
      <c r="O798" s="414"/>
      <c r="P798" s="414"/>
      <c r="Q798" s="414"/>
      <c r="R798" s="414"/>
      <c r="S798" s="414"/>
      <c r="T798" s="414"/>
      <c r="U798" s="414"/>
      <c r="V798" s="414"/>
      <c r="W798" s="414"/>
      <c r="X798" s="414"/>
      <c r="Y798" s="414"/>
      <c r="Z798" s="414"/>
    </row>
    <row r="799" spans="1:26" ht="15.75" customHeight="1" x14ac:dyDescent="0.25">
      <c r="A799" s="424">
        <v>794</v>
      </c>
      <c r="B799" s="250"/>
      <c r="C799" s="250"/>
      <c r="D799" s="250"/>
      <c r="E799" s="250"/>
      <c r="F799" s="425"/>
      <c r="G799" s="425"/>
      <c r="H799" s="346"/>
      <c r="I799" s="250"/>
      <c r="J799" s="426"/>
      <c r="K799" s="426"/>
      <c r="L799" s="414"/>
      <c r="M799" s="414"/>
      <c r="N799" s="414"/>
      <c r="O799" s="414"/>
      <c r="P799" s="414"/>
      <c r="Q799" s="414"/>
      <c r="R799" s="414"/>
      <c r="S799" s="414"/>
      <c r="T799" s="414"/>
      <c r="U799" s="414"/>
      <c r="V799" s="414"/>
      <c r="W799" s="414"/>
      <c r="X799" s="414"/>
      <c r="Y799" s="414"/>
      <c r="Z799" s="414"/>
    </row>
    <row r="800" spans="1:26" ht="15.75" customHeight="1" x14ac:dyDescent="0.25">
      <c r="A800" s="424">
        <v>795</v>
      </c>
      <c r="B800" s="250"/>
      <c r="C800" s="250"/>
      <c r="D800" s="250"/>
      <c r="E800" s="250"/>
      <c r="F800" s="425"/>
      <c r="G800" s="425"/>
      <c r="H800" s="346"/>
      <c r="I800" s="250"/>
      <c r="J800" s="426"/>
      <c r="K800" s="426"/>
      <c r="L800" s="414"/>
      <c r="M800" s="414"/>
      <c r="N800" s="414"/>
      <c r="O800" s="414"/>
      <c r="P800" s="414"/>
      <c r="Q800" s="414"/>
      <c r="R800" s="414"/>
      <c r="S800" s="414"/>
      <c r="T800" s="414"/>
      <c r="U800" s="414"/>
      <c r="V800" s="414"/>
      <c r="W800" s="414"/>
      <c r="X800" s="414"/>
      <c r="Y800" s="414"/>
      <c r="Z800" s="414"/>
    </row>
    <row r="801" spans="1:26" ht="15.75" customHeight="1" x14ac:dyDescent="0.25">
      <c r="A801" s="424">
        <v>796</v>
      </c>
      <c r="B801" s="250"/>
      <c r="C801" s="250"/>
      <c r="D801" s="250"/>
      <c r="E801" s="250"/>
      <c r="F801" s="425"/>
      <c r="G801" s="425"/>
      <c r="H801" s="346"/>
      <c r="I801" s="250"/>
      <c r="J801" s="426"/>
      <c r="K801" s="426"/>
      <c r="L801" s="414"/>
      <c r="M801" s="414"/>
      <c r="N801" s="414"/>
      <c r="O801" s="414"/>
      <c r="P801" s="414"/>
      <c r="Q801" s="414"/>
      <c r="R801" s="414"/>
      <c r="S801" s="414"/>
      <c r="T801" s="414"/>
      <c r="U801" s="414"/>
      <c r="V801" s="414"/>
      <c r="W801" s="414"/>
      <c r="X801" s="414"/>
      <c r="Y801" s="414"/>
      <c r="Z801" s="414"/>
    </row>
    <row r="802" spans="1:26" ht="15.75" customHeight="1" x14ac:dyDescent="0.25">
      <c r="A802" s="424">
        <v>797</v>
      </c>
      <c r="B802" s="250"/>
      <c r="C802" s="250"/>
      <c r="D802" s="250"/>
      <c r="E802" s="250"/>
      <c r="F802" s="425"/>
      <c r="G802" s="425"/>
      <c r="H802" s="346"/>
      <c r="I802" s="250"/>
      <c r="J802" s="426"/>
      <c r="K802" s="426"/>
      <c r="L802" s="414"/>
      <c r="M802" s="414"/>
      <c r="N802" s="414"/>
      <c r="O802" s="414"/>
      <c r="P802" s="414"/>
      <c r="Q802" s="414"/>
      <c r="R802" s="414"/>
      <c r="S802" s="414"/>
      <c r="T802" s="414"/>
      <c r="U802" s="414"/>
      <c r="V802" s="414"/>
      <c r="W802" s="414"/>
      <c r="X802" s="414"/>
      <c r="Y802" s="414"/>
      <c r="Z802" s="414"/>
    </row>
    <row r="803" spans="1:26" ht="15.75" customHeight="1" x14ac:dyDescent="0.25">
      <c r="A803" s="424">
        <v>798</v>
      </c>
      <c r="B803" s="250"/>
      <c r="C803" s="250"/>
      <c r="D803" s="250"/>
      <c r="E803" s="250"/>
      <c r="F803" s="425"/>
      <c r="G803" s="425"/>
      <c r="H803" s="346"/>
      <c r="I803" s="250"/>
      <c r="J803" s="426"/>
      <c r="K803" s="426"/>
      <c r="L803" s="414"/>
      <c r="M803" s="414"/>
      <c r="N803" s="414"/>
      <c r="O803" s="414"/>
      <c r="P803" s="414"/>
      <c r="Q803" s="414"/>
      <c r="R803" s="414"/>
      <c r="S803" s="414"/>
      <c r="T803" s="414"/>
      <c r="U803" s="414"/>
      <c r="V803" s="414"/>
      <c r="W803" s="414"/>
      <c r="X803" s="414"/>
      <c r="Y803" s="414"/>
      <c r="Z803" s="414"/>
    </row>
    <row r="804" spans="1:26" ht="15.75" customHeight="1" x14ac:dyDescent="0.25">
      <c r="A804" s="424">
        <v>799</v>
      </c>
      <c r="B804" s="250"/>
      <c r="C804" s="250"/>
      <c r="D804" s="250"/>
      <c r="E804" s="250"/>
      <c r="F804" s="425"/>
      <c r="G804" s="425"/>
      <c r="H804" s="346"/>
      <c r="I804" s="250"/>
      <c r="J804" s="426"/>
      <c r="K804" s="426"/>
      <c r="L804" s="414"/>
      <c r="M804" s="414"/>
      <c r="N804" s="414"/>
      <c r="O804" s="414"/>
      <c r="P804" s="414"/>
      <c r="Q804" s="414"/>
      <c r="R804" s="414"/>
      <c r="S804" s="414"/>
      <c r="T804" s="414"/>
      <c r="U804" s="414"/>
      <c r="V804" s="414"/>
      <c r="W804" s="414"/>
      <c r="X804" s="414"/>
      <c r="Y804" s="414"/>
      <c r="Z804" s="414"/>
    </row>
    <row r="805" spans="1:26" ht="15.75" customHeight="1" x14ac:dyDescent="0.25">
      <c r="A805" s="424">
        <v>800</v>
      </c>
      <c r="B805" s="250"/>
      <c r="C805" s="250"/>
      <c r="D805" s="250"/>
      <c r="E805" s="250"/>
      <c r="F805" s="425"/>
      <c r="G805" s="425"/>
      <c r="H805" s="346"/>
      <c r="I805" s="250"/>
      <c r="J805" s="426"/>
      <c r="K805" s="426"/>
      <c r="L805" s="414"/>
      <c r="M805" s="414"/>
      <c r="N805" s="414"/>
      <c r="O805" s="414"/>
      <c r="P805" s="414"/>
      <c r="Q805" s="414"/>
      <c r="R805" s="414"/>
      <c r="S805" s="414"/>
      <c r="T805" s="414"/>
      <c r="U805" s="414"/>
      <c r="V805" s="414"/>
      <c r="W805" s="414"/>
      <c r="X805" s="414"/>
      <c r="Y805" s="414"/>
      <c r="Z805" s="414"/>
    </row>
    <row r="806" spans="1:26" ht="15.75" customHeight="1" x14ac:dyDescent="0.25">
      <c r="A806" s="424">
        <v>801</v>
      </c>
      <c r="B806" s="250"/>
      <c r="C806" s="250"/>
      <c r="D806" s="250"/>
      <c r="E806" s="250"/>
      <c r="F806" s="425"/>
      <c r="G806" s="425"/>
      <c r="H806" s="346"/>
      <c r="I806" s="250"/>
      <c r="J806" s="426"/>
      <c r="K806" s="426"/>
      <c r="L806" s="414"/>
      <c r="M806" s="414"/>
      <c r="N806" s="414"/>
      <c r="O806" s="414"/>
      <c r="P806" s="414"/>
      <c r="Q806" s="414"/>
      <c r="R806" s="414"/>
      <c r="S806" s="414"/>
      <c r="T806" s="414"/>
      <c r="U806" s="414"/>
      <c r="V806" s="414"/>
      <c r="W806" s="414"/>
      <c r="X806" s="414"/>
      <c r="Y806" s="414"/>
      <c r="Z806" s="414"/>
    </row>
    <row r="807" spans="1:26" ht="15.75" customHeight="1" x14ac:dyDescent="0.25">
      <c r="A807" s="424">
        <v>802</v>
      </c>
      <c r="B807" s="250"/>
      <c r="C807" s="250"/>
      <c r="D807" s="250"/>
      <c r="E807" s="250"/>
      <c r="F807" s="425"/>
      <c r="G807" s="425"/>
      <c r="H807" s="346"/>
      <c r="I807" s="250"/>
      <c r="J807" s="426"/>
      <c r="K807" s="426"/>
      <c r="L807" s="414"/>
      <c r="M807" s="414"/>
      <c r="N807" s="414"/>
      <c r="O807" s="414"/>
      <c r="P807" s="414"/>
      <c r="Q807" s="414"/>
      <c r="R807" s="414"/>
      <c r="S807" s="414"/>
      <c r="T807" s="414"/>
      <c r="U807" s="414"/>
      <c r="V807" s="414"/>
      <c r="W807" s="414"/>
      <c r="X807" s="414"/>
      <c r="Y807" s="414"/>
      <c r="Z807" s="414"/>
    </row>
    <row r="808" spans="1:26" ht="15.75" customHeight="1" x14ac:dyDescent="0.25">
      <c r="A808" s="424">
        <v>803</v>
      </c>
      <c r="B808" s="250"/>
      <c r="C808" s="250"/>
      <c r="D808" s="250"/>
      <c r="E808" s="250"/>
      <c r="F808" s="425"/>
      <c r="G808" s="425"/>
      <c r="H808" s="346"/>
      <c r="I808" s="250"/>
      <c r="J808" s="426"/>
      <c r="K808" s="426"/>
      <c r="L808" s="414"/>
      <c r="M808" s="414"/>
      <c r="N808" s="414"/>
      <c r="O808" s="414"/>
      <c r="P808" s="414"/>
      <c r="Q808" s="414"/>
      <c r="R808" s="414"/>
      <c r="S808" s="414"/>
      <c r="T808" s="414"/>
      <c r="U808" s="414"/>
      <c r="V808" s="414"/>
      <c r="W808" s="414"/>
      <c r="X808" s="414"/>
      <c r="Y808" s="414"/>
      <c r="Z808" s="414"/>
    </row>
    <row r="809" spans="1:26" ht="15.75" customHeight="1" x14ac:dyDescent="0.25">
      <c r="A809" s="424">
        <v>804</v>
      </c>
      <c r="B809" s="250"/>
      <c r="C809" s="250"/>
      <c r="D809" s="250"/>
      <c r="E809" s="250"/>
      <c r="F809" s="425"/>
      <c r="G809" s="425"/>
      <c r="H809" s="346"/>
      <c r="I809" s="250"/>
      <c r="J809" s="426"/>
      <c r="K809" s="426"/>
      <c r="L809" s="414"/>
      <c r="M809" s="414"/>
      <c r="N809" s="414"/>
      <c r="O809" s="414"/>
      <c r="P809" s="414"/>
      <c r="Q809" s="414"/>
      <c r="R809" s="414"/>
      <c r="S809" s="414"/>
      <c r="T809" s="414"/>
      <c r="U809" s="414"/>
      <c r="V809" s="414"/>
      <c r="W809" s="414"/>
      <c r="X809" s="414"/>
      <c r="Y809" s="414"/>
      <c r="Z809" s="414"/>
    </row>
    <row r="810" spans="1:26" ht="15.75" customHeight="1" x14ac:dyDescent="0.25">
      <c r="A810" s="424">
        <v>805</v>
      </c>
      <c r="B810" s="250"/>
      <c r="C810" s="250"/>
      <c r="D810" s="250"/>
      <c r="E810" s="250"/>
      <c r="F810" s="425"/>
      <c r="G810" s="425"/>
      <c r="H810" s="346"/>
      <c r="I810" s="250"/>
      <c r="J810" s="426"/>
      <c r="K810" s="426"/>
      <c r="L810" s="414"/>
      <c r="M810" s="414"/>
      <c r="N810" s="414"/>
      <c r="O810" s="414"/>
      <c r="P810" s="414"/>
      <c r="Q810" s="414"/>
      <c r="R810" s="414"/>
      <c r="S810" s="414"/>
      <c r="T810" s="414"/>
      <c r="U810" s="414"/>
      <c r="V810" s="414"/>
      <c r="W810" s="414"/>
      <c r="X810" s="414"/>
      <c r="Y810" s="414"/>
      <c r="Z810" s="414"/>
    </row>
    <row r="811" spans="1:26" ht="15.75" customHeight="1" x14ac:dyDescent="0.25">
      <c r="A811" s="424">
        <v>806</v>
      </c>
      <c r="B811" s="250"/>
      <c r="C811" s="250"/>
      <c r="D811" s="250"/>
      <c r="E811" s="250"/>
      <c r="F811" s="425"/>
      <c r="G811" s="425"/>
      <c r="H811" s="346"/>
      <c r="I811" s="250"/>
      <c r="J811" s="426"/>
      <c r="K811" s="426"/>
      <c r="L811" s="414"/>
      <c r="M811" s="414"/>
      <c r="N811" s="414"/>
      <c r="O811" s="414"/>
      <c r="P811" s="414"/>
      <c r="Q811" s="414"/>
      <c r="R811" s="414"/>
      <c r="S811" s="414"/>
      <c r="T811" s="414"/>
      <c r="U811" s="414"/>
      <c r="V811" s="414"/>
      <c r="W811" s="414"/>
      <c r="X811" s="414"/>
      <c r="Y811" s="414"/>
      <c r="Z811" s="414"/>
    </row>
    <row r="812" spans="1:26" ht="15.75" customHeight="1" x14ac:dyDescent="0.25">
      <c r="A812" s="424">
        <v>807</v>
      </c>
      <c r="B812" s="250"/>
      <c r="C812" s="250"/>
      <c r="D812" s="250"/>
      <c r="E812" s="250"/>
      <c r="F812" s="425"/>
      <c r="G812" s="425"/>
      <c r="H812" s="346"/>
      <c r="I812" s="250"/>
      <c r="J812" s="426"/>
      <c r="K812" s="426"/>
      <c r="L812" s="414"/>
      <c r="M812" s="414"/>
      <c r="N812" s="414"/>
      <c r="O812" s="414"/>
      <c r="P812" s="414"/>
      <c r="Q812" s="414"/>
      <c r="R812" s="414"/>
      <c r="S812" s="414"/>
      <c r="T812" s="414"/>
      <c r="U812" s="414"/>
      <c r="V812" s="414"/>
      <c r="W812" s="414"/>
      <c r="X812" s="414"/>
      <c r="Y812" s="414"/>
      <c r="Z812" s="414"/>
    </row>
    <row r="813" spans="1:26" ht="15.75" customHeight="1" x14ac:dyDescent="0.25">
      <c r="A813" s="424">
        <v>808</v>
      </c>
      <c r="B813" s="250"/>
      <c r="C813" s="250"/>
      <c r="D813" s="250"/>
      <c r="E813" s="250"/>
      <c r="F813" s="425"/>
      <c r="G813" s="425"/>
      <c r="H813" s="346"/>
      <c r="I813" s="250"/>
      <c r="J813" s="426"/>
      <c r="K813" s="426"/>
      <c r="L813" s="414"/>
      <c r="M813" s="414"/>
      <c r="N813" s="414"/>
      <c r="O813" s="414"/>
      <c r="P813" s="414"/>
      <c r="Q813" s="414"/>
      <c r="R813" s="414"/>
      <c r="S813" s="414"/>
      <c r="T813" s="414"/>
      <c r="U813" s="414"/>
      <c r="V813" s="414"/>
      <c r="W813" s="414"/>
      <c r="X813" s="414"/>
      <c r="Y813" s="414"/>
      <c r="Z813" s="414"/>
    </row>
    <row r="814" spans="1:26" ht="15.75" customHeight="1" x14ac:dyDescent="0.25">
      <c r="A814" s="424">
        <v>809</v>
      </c>
      <c r="B814" s="250"/>
      <c r="C814" s="250"/>
      <c r="D814" s="250"/>
      <c r="E814" s="250"/>
      <c r="F814" s="425"/>
      <c r="G814" s="425"/>
      <c r="H814" s="346"/>
      <c r="I814" s="250"/>
      <c r="J814" s="426"/>
      <c r="K814" s="426"/>
      <c r="L814" s="414"/>
      <c r="M814" s="414"/>
      <c r="N814" s="414"/>
      <c r="O814" s="414"/>
      <c r="P814" s="414"/>
      <c r="Q814" s="414"/>
      <c r="R814" s="414"/>
      <c r="S814" s="414"/>
      <c r="T814" s="414"/>
      <c r="U814" s="414"/>
      <c r="V814" s="414"/>
      <c r="W814" s="414"/>
      <c r="X814" s="414"/>
      <c r="Y814" s="414"/>
      <c r="Z814" s="414"/>
    </row>
    <row r="815" spans="1:26" ht="15.75" customHeight="1" x14ac:dyDescent="0.25">
      <c r="A815" s="424">
        <v>810</v>
      </c>
      <c r="B815" s="250"/>
      <c r="C815" s="250"/>
      <c r="D815" s="250"/>
      <c r="E815" s="250"/>
      <c r="F815" s="425"/>
      <c r="G815" s="425"/>
      <c r="H815" s="346"/>
      <c r="I815" s="250"/>
      <c r="J815" s="426"/>
      <c r="K815" s="426"/>
      <c r="L815" s="414"/>
      <c r="M815" s="414"/>
      <c r="N815" s="414"/>
      <c r="O815" s="414"/>
      <c r="P815" s="414"/>
      <c r="Q815" s="414"/>
      <c r="R815" s="414"/>
      <c r="S815" s="414"/>
      <c r="T815" s="414"/>
      <c r="U815" s="414"/>
      <c r="V815" s="414"/>
      <c r="W815" s="414"/>
      <c r="X815" s="414"/>
      <c r="Y815" s="414"/>
      <c r="Z815" s="414"/>
    </row>
    <row r="816" spans="1:26" ht="15.75" customHeight="1" x14ac:dyDescent="0.25">
      <c r="A816" s="424">
        <v>811</v>
      </c>
      <c r="B816" s="250"/>
      <c r="C816" s="250"/>
      <c r="D816" s="250"/>
      <c r="E816" s="250"/>
      <c r="F816" s="425"/>
      <c r="G816" s="425"/>
      <c r="H816" s="346"/>
      <c r="I816" s="250"/>
      <c r="J816" s="426"/>
      <c r="K816" s="426"/>
      <c r="L816" s="414"/>
      <c r="M816" s="414"/>
      <c r="N816" s="414"/>
      <c r="O816" s="414"/>
      <c r="P816" s="414"/>
      <c r="Q816" s="414"/>
      <c r="R816" s="414"/>
      <c r="S816" s="414"/>
      <c r="T816" s="414"/>
      <c r="U816" s="414"/>
      <c r="V816" s="414"/>
      <c r="W816" s="414"/>
      <c r="X816" s="414"/>
      <c r="Y816" s="414"/>
      <c r="Z816" s="414"/>
    </row>
    <row r="817" spans="1:26" ht="15.75" customHeight="1" x14ac:dyDescent="0.25">
      <c r="A817" s="424">
        <v>812</v>
      </c>
      <c r="B817" s="250"/>
      <c r="C817" s="250"/>
      <c r="D817" s="250"/>
      <c r="E817" s="250"/>
      <c r="F817" s="425"/>
      <c r="G817" s="425"/>
      <c r="H817" s="346"/>
      <c r="I817" s="250"/>
      <c r="J817" s="426"/>
      <c r="K817" s="426"/>
      <c r="L817" s="414"/>
      <c r="M817" s="414"/>
      <c r="N817" s="414"/>
      <c r="O817" s="414"/>
      <c r="P817" s="414"/>
      <c r="Q817" s="414"/>
      <c r="R817" s="414"/>
      <c r="S817" s="414"/>
      <c r="T817" s="414"/>
      <c r="U817" s="414"/>
      <c r="V817" s="414"/>
      <c r="W817" s="414"/>
      <c r="X817" s="414"/>
      <c r="Y817" s="414"/>
      <c r="Z817" s="414"/>
    </row>
    <row r="818" spans="1:26" ht="15.75" customHeight="1" x14ac:dyDescent="0.25">
      <c r="A818" s="424">
        <v>813</v>
      </c>
      <c r="B818" s="250"/>
      <c r="C818" s="250"/>
      <c r="D818" s="250"/>
      <c r="E818" s="250"/>
      <c r="F818" s="425"/>
      <c r="G818" s="425"/>
      <c r="H818" s="346"/>
      <c r="I818" s="250"/>
      <c r="J818" s="426"/>
      <c r="K818" s="426"/>
      <c r="L818" s="414"/>
      <c r="M818" s="414"/>
      <c r="N818" s="414"/>
      <c r="O818" s="414"/>
      <c r="P818" s="414"/>
      <c r="Q818" s="414"/>
      <c r="R818" s="414"/>
      <c r="S818" s="414"/>
      <c r="T818" s="414"/>
      <c r="U818" s="414"/>
      <c r="V818" s="414"/>
      <c r="W818" s="414"/>
      <c r="X818" s="414"/>
      <c r="Y818" s="414"/>
      <c r="Z818" s="414"/>
    </row>
    <row r="819" spans="1:26" ht="15.75" customHeight="1" x14ac:dyDescent="0.25">
      <c r="A819" s="424">
        <v>814</v>
      </c>
      <c r="B819" s="250"/>
      <c r="C819" s="250"/>
      <c r="D819" s="250"/>
      <c r="E819" s="250"/>
      <c r="F819" s="425"/>
      <c r="G819" s="425"/>
      <c r="H819" s="346"/>
      <c r="I819" s="250"/>
      <c r="J819" s="426"/>
      <c r="K819" s="426"/>
      <c r="L819" s="414"/>
      <c r="M819" s="414"/>
      <c r="N819" s="414"/>
      <c r="O819" s="414"/>
      <c r="P819" s="414"/>
      <c r="Q819" s="414"/>
      <c r="R819" s="414"/>
      <c r="S819" s="414"/>
      <c r="T819" s="414"/>
      <c r="U819" s="414"/>
      <c r="V819" s="414"/>
      <c r="W819" s="414"/>
      <c r="X819" s="414"/>
      <c r="Y819" s="414"/>
      <c r="Z819" s="414"/>
    </row>
    <row r="820" spans="1:26" ht="15.75" customHeight="1" x14ac:dyDescent="0.25">
      <c r="A820" s="424">
        <v>815</v>
      </c>
      <c r="B820" s="250"/>
      <c r="C820" s="250"/>
      <c r="D820" s="250"/>
      <c r="E820" s="250"/>
      <c r="F820" s="425"/>
      <c r="G820" s="425"/>
      <c r="H820" s="346"/>
      <c r="I820" s="250"/>
      <c r="J820" s="426"/>
      <c r="K820" s="426"/>
      <c r="L820" s="414"/>
      <c r="M820" s="414"/>
      <c r="N820" s="414"/>
      <c r="O820" s="414"/>
      <c r="P820" s="414"/>
      <c r="Q820" s="414"/>
      <c r="R820" s="414"/>
      <c r="S820" s="414"/>
      <c r="T820" s="414"/>
      <c r="U820" s="414"/>
      <c r="V820" s="414"/>
      <c r="W820" s="414"/>
      <c r="X820" s="414"/>
      <c r="Y820" s="414"/>
      <c r="Z820" s="414"/>
    </row>
    <row r="821" spans="1:26" ht="15.75" customHeight="1" x14ac:dyDescent="0.25">
      <c r="A821" s="424">
        <v>816</v>
      </c>
      <c r="B821" s="250"/>
      <c r="C821" s="250"/>
      <c r="D821" s="250"/>
      <c r="E821" s="250"/>
      <c r="F821" s="425"/>
      <c r="G821" s="425"/>
      <c r="H821" s="346"/>
      <c r="I821" s="250"/>
      <c r="J821" s="426"/>
      <c r="K821" s="426"/>
      <c r="L821" s="414"/>
      <c r="M821" s="414"/>
      <c r="N821" s="414"/>
      <c r="O821" s="414"/>
      <c r="P821" s="414"/>
      <c r="Q821" s="414"/>
      <c r="R821" s="414"/>
      <c r="S821" s="414"/>
      <c r="T821" s="414"/>
      <c r="U821" s="414"/>
      <c r="V821" s="414"/>
      <c r="W821" s="414"/>
      <c r="X821" s="414"/>
      <c r="Y821" s="414"/>
      <c r="Z821" s="414"/>
    </row>
    <row r="822" spans="1:26" ht="15.75" customHeight="1" x14ac:dyDescent="0.25">
      <c r="A822" s="424">
        <v>817</v>
      </c>
      <c r="B822" s="250"/>
      <c r="C822" s="250"/>
      <c r="D822" s="250"/>
      <c r="E822" s="250"/>
      <c r="F822" s="425"/>
      <c r="G822" s="425"/>
      <c r="H822" s="346"/>
      <c r="I822" s="250"/>
      <c r="J822" s="426"/>
      <c r="K822" s="426"/>
      <c r="L822" s="414"/>
      <c r="M822" s="414"/>
      <c r="N822" s="414"/>
      <c r="O822" s="414"/>
      <c r="P822" s="414"/>
      <c r="Q822" s="414"/>
      <c r="R822" s="414"/>
      <c r="S822" s="414"/>
      <c r="T822" s="414"/>
      <c r="U822" s="414"/>
      <c r="V822" s="414"/>
      <c r="W822" s="414"/>
      <c r="X822" s="414"/>
      <c r="Y822" s="414"/>
      <c r="Z822" s="414"/>
    </row>
    <row r="823" spans="1:26" ht="15.75" customHeight="1" x14ac:dyDescent="0.25">
      <c r="A823" s="424">
        <v>818</v>
      </c>
      <c r="B823" s="250"/>
      <c r="C823" s="250"/>
      <c r="D823" s="250"/>
      <c r="E823" s="250"/>
      <c r="F823" s="425"/>
      <c r="G823" s="425"/>
      <c r="H823" s="346"/>
      <c r="I823" s="250"/>
      <c r="J823" s="426"/>
      <c r="K823" s="426"/>
      <c r="L823" s="414"/>
      <c r="M823" s="414"/>
      <c r="N823" s="414"/>
      <c r="O823" s="414"/>
      <c r="P823" s="414"/>
      <c r="Q823" s="414"/>
      <c r="R823" s="414"/>
      <c r="S823" s="414"/>
      <c r="T823" s="414"/>
      <c r="U823" s="414"/>
      <c r="V823" s="414"/>
      <c r="W823" s="414"/>
      <c r="X823" s="414"/>
      <c r="Y823" s="414"/>
      <c r="Z823" s="414"/>
    </row>
    <row r="824" spans="1:26" ht="15.75" customHeight="1" x14ac:dyDescent="0.25">
      <c r="A824" s="424">
        <v>819</v>
      </c>
      <c r="B824" s="250"/>
      <c r="C824" s="250"/>
      <c r="D824" s="250"/>
      <c r="E824" s="250"/>
      <c r="F824" s="425"/>
      <c r="G824" s="425"/>
      <c r="H824" s="346"/>
      <c r="I824" s="250"/>
      <c r="J824" s="426"/>
      <c r="K824" s="426"/>
      <c r="L824" s="414"/>
      <c r="M824" s="414"/>
      <c r="N824" s="414"/>
      <c r="O824" s="414"/>
      <c r="P824" s="414"/>
      <c r="Q824" s="414"/>
      <c r="R824" s="414"/>
      <c r="S824" s="414"/>
      <c r="T824" s="414"/>
      <c r="U824" s="414"/>
      <c r="V824" s="414"/>
      <c r="W824" s="414"/>
      <c r="X824" s="414"/>
      <c r="Y824" s="414"/>
      <c r="Z824" s="414"/>
    </row>
    <row r="825" spans="1:26" ht="15.75" customHeight="1" x14ac:dyDescent="0.25">
      <c r="A825" s="424">
        <v>820</v>
      </c>
      <c r="B825" s="250"/>
      <c r="C825" s="250"/>
      <c r="D825" s="250"/>
      <c r="E825" s="250"/>
      <c r="F825" s="425"/>
      <c r="G825" s="425"/>
      <c r="H825" s="346"/>
      <c r="I825" s="250"/>
      <c r="J825" s="426"/>
      <c r="K825" s="426"/>
      <c r="L825" s="414"/>
      <c r="M825" s="414"/>
      <c r="N825" s="414"/>
      <c r="O825" s="414"/>
      <c r="P825" s="414"/>
      <c r="Q825" s="414"/>
      <c r="R825" s="414"/>
      <c r="S825" s="414"/>
      <c r="T825" s="414"/>
      <c r="U825" s="414"/>
      <c r="V825" s="414"/>
      <c r="W825" s="414"/>
      <c r="X825" s="414"/>
      <c r="Y825" s="414"/>
      <c r="Z825" s="414"/>
    </row>
    <row r="826" spans="1:26" ht="15.75" customHeight="1" x14ac:dyDescent="0.25">
      <c r="A826" s="424">
        <v>821</v>
      </c>
      <c r="B826" s="250"/>
      <c r="C826" s="250"/>
      <c r="D826" s="250"/>
      <c r="E826" s="250"/>
      <c r="F826" s="425"/>
      <c r="G826" s="425"/>
      <c r="H826" s="346"/>
      <c r="I826" s="250"/>
      <c r="J826" s="426"/>
      <c r="K826" s="426"/>
      <c r="L826" s="414"/>
      <c r="M826" s="414"/>
      <c r="N826" s="414"/>
      <c r="O826" s="414"/>
      <c r="P826" s="414"/>
      <c r="Q826" s="414"/>
      <c r="R826" s="414"/>
      <c r="S826" s="414"/>
      <c r="T826" s="414"/>
      <c r="U826" s="414"/>
      <c r="V826" s="414"/>
      <c r="W826" s="414"/>
      <c r="X826" s="414"/>
      <c r="Y826" s="414"/>
      <c r="Z826" s="414"/>
    </row>
    <row r="827" spans="1:26" ht="15.75" customHeight="1" x14ac:dyDescent="0.25">
      <c r="A827" s="424">
        <v>822</v>
      </c>
      <c r="B827" s="250"/>
      <c r="C827" s="250"/>
      <c r="D827" s="250"/>
      <c r="E827" s="250"/>
      <c r="F827" s="425"/>
      <c r="G827" s="425"/>
      <c r="H827" s="346"/>
      <c r="I827" s="250"/>
      <c r="J827" s="426"/>
      <c r="K827" s="426"/>
      <c r="L827" s="414"/>
      <c r="M827" s="414"/>
      <c r="N827" s="414"/>
      <c r="O827" s="414"/>
      <c r="P827" s="414"/>
      <c r="Q827" s="414"/>
      <c r="R827" s="414"/>
      <c r="S827" s="414"/>
      <c r="T827" s="414"/>
      <c r="U827" s="414"/>
      <c r="V827" s="414"/>
      <c r="W827" s="414"/>
      <c r="X827" s="414"/>
      <c r="Y827" s="414"/>
      <c r="Z827" s="414"/>
    </row>
    <row r="828" spans="1:26" ht="15.75" customHeight="1" x14ac:dyDescent="0.25">
      <c r="A828" s="424">
        <v>823</v>
      </c>
      <c r="B828" s="250"/>
      <c r="C828" s="250"/>
      <c r="D828" s="250"/>
      <c r="E828" s="250"/>
      <c r="F828" s="425"/>
      <c r="G828" s="425"/>
      <c r="H828" s="346"/>
      <c r="I828" s="250"/>
      <c r="J828" s="426"/>
      <c r="K828" s="426"/>
      <c r="L828" s="414"/>
      <c r="M828" s="414"/>
      <c r="N828" s="414"/>
      <c r="O828" s="414"/>
      <c r="P828" s="414"/>
      <c r="Q828" s="414"/>
      <c r="R828" s="414"/>
      <c r="S828" s="414"/>
      <c r="T828" s="414"/>
      <c r="U828" s="414"/>
      <c r="V828" s="414"/>
      <c r="W828" s="414"/>
      <c r="X828" s="414"/>
      <c r="Y828" s="414"/>
      <c r="Z828" s="414"/>
    </row>
    <row r="829" spans="1:26" ht="15.75" customHeight="1" x14ac:dyDescent="0.25">
      <c r="A829" s="424">
        <v>824</v>
      </c>
      <c r="B829" s="250"/>
      <c r="C829" s="250"/>
      <c r="D829" s="250"/>
      <c r="E829" s="250"/>
      <c r="F829" s="425"/>
      <c r="G829" s="425"/>
      <c r="H829" s="346"/>
      <c r="I829" s="250"/>
      <c r="J829" s="426"/>
      <c r="K829" s="426"/>
      <c r="L829" s="414"/>
      <c r="M829" s="414"/>
      <c r="N829" s="414"/>
      <c r="O829" s="414"/>
      <c r="P829" s="414"/>
      <c r="Q829" s="414"/>
      <c r="R829" s="414"/>
      <c r="S829" s="414"/>
      <c r="T829" s="414"/>
      <c r="U829" s="414"/>
      <c r="V829" s="414"/>
      <c r="W829" s="414"/>
      <c r="X829" s="414"/>
      <c r="Y829" s="414"/>
      <c r="Z829" s="414"/>
    </row>
    <row r="830" spans="1:26" ht="15.75" customHeight="1" x14ac:dyDescent="0.25">
      <c r="A830" s="424">
        <v>825</v>
      </c>
      <c r="B830" s="250"/>
      <c r="C830" s="250"/>
      <c r="D830" s="250"/>
      <c r="E830" s="250"/>
      <c r="F830" s="425"/>
      <c r="G830" s="425"/>
      <c r="H830" s="346"/>
      <c r="I830" s="250"/>
      <c r="J830" s="426"/>
      <c r="K830" s="426"/>
      <c r="L830" s="414"/>
      <c r="M830" s="414"/>
      <c r="N830" s="414"/>
      <c r="O830" s="414"/>
      <c r="P830" s="414"/>
      <c r="Q830" s="414"/>
      <c r="R830" s="414"/>
      <c r="S830" s="414"/>
      <c r="T830" s="414"/>
      <c r="U830" s="414"/>
      <c r="V830" s="414"/>
      <c r="W830" s="414"/>
      <c r="X830" s="414"/>
      <c r="Y830" s="414"/>
      <c r="Z830" s="414"/>
    </row>
    <row r="831" spans="1:26" ht="15.75" customHeight="1" x14ac:dyDescent="0.25">
      <c r="A831" s="424">
        <v>826</v>
      </c>
      <c r="B831" s="250"/>
      <c r="C831" s="250"/>
      <c r="D831" s="250"/>
      <c r="E831" s="250"/>
      <c r="F831" s="425"/>
      <c r="G831" s="425"/>
      <c r="H831" s="346"/>
      <c r="I831" s="250"/>
      <c r="J831" s="426"/>
      <c r="K831" s="426"/>
      <c r="L831" s="414"/>
      <c r="M831" s="414"/>
      <c r="N831" s="414"/>
      <c r="O831" s="414"/>
      <c r="P831" s="414"/>
      <c r="Q831" s="414"/>
      <c r="R831" s="414"/>
      <c r="S831" s="414"/>
      <c r="T831" s="414"/>
      <c r="U831" s="414"/>
      <c r="V831" s="414"/>
      <c r="W831" s="414"/>
      <c r="X831" s="414"/>
      <c r="Y831" s="414"/>
      <c r="Z831" s="414"/>
    </row>
    <row r="832" spans="1:26" ht="15.75" customHeight="1" x14ac:dyDescent="0.25">
      <c r="A832" s="424">
        <v>827</v>
      </c>
      <c r="B832" s="250"/>
      <c r="C832" s="250"/>
      <c r="D832" s="250"/>
      <c r="E832" s="250"/>
      <c r="F832" s="425"/>
      <c r="G832" s="425"/>
      <c r="H832" s="346"/>
      <c r="I832" s="250"/>
      <c r="J832" s="426"/>
      <c r="K832" s="426"/>
      <c r="L832" s="414"/>
      <c r="M832" s="414"/>
      <c r="N832" s="414"/>
      <c r="O832" s="414"/>
      <c r="P832" s="414"/>
      <c r="Q832" s="414"/>
      <c r="R832" s="414"/>
      <c r="S832" s="414"/>
      <c r="T832" s="414"/>
      <c r="U832" s="414"/>
      <c r="V832" s="414"/>
      <c r="W832" s="414"/>
      <c r="X832" s="414"/>
      <c r="Y832" s="414"/>
      <c r="Z832" s="414"/>
    </row>
    <row r="833" spans="1:26" ht="15.75" customHeight="1" x14ac:dyDescent="0.25">
      <c r="A833" s="424">
        <v>828</v>
      </c>
      <c r="B833" s="250"/>
      <c r="C833" s="250"/>
      <c r="D833" s="250"/>
      <c r="E833" s="250"/>
      <c r="F833" s="425"/>
      <c r="G833" s="425"/>
      <c r="H833" s="346"/>
      <c r="I833" s="250"/>
      <c r="J833" s="426"/>
      <c r="K833" s="426"/>
      <c r="L833" s="414"/>
      <c r="M833" s="414"/>
      <c r="N833" s="414"/>
      <c r="O833" s="414"/>
      <c r="P833" s="414"/>
      <c r="Q833" s="414"/>
      <c r="R833" s="414"/>
      <c r="S833" s="414"/>
      <c r="T833" s="414"/>
      <c r="U833" s="414"/>
      <c r="V833" s="414"/>
      <c r="W833" s="414"/>
      <c r="X833" s="414"/>
      <c r="Y833" s="414"/>
      <c r="Z833" s="414"/>
    </row>
    <row r="834" spans="1:26" ht="15.75" customHeight="1" x14ac:dyDescent="0.25">
      <c r="A834" s="424">
        <v>829</v>
      </c>
      <c r="B834" s="250"/>
      <c r="C834" s="250"/>
      <c r="D834" s="250"/>
      <c r="E834" s="250"/>
      <c r="F834" s="425"/>
      <c r="G834" s="425"/>
      <c r="H834" s="346"/>
      <c r="I834" s="250"/>
      <c r="J834" s="426"/>
      <c r="K834" s="426"/>
      <c r="L834" s="414"/>
      <c r="M834" s="414"/>
      <c r="N834" s="414"/>
      <c r="O834" s="414"/>
      <c r="P834" s="414"/>
      <c r="Q834" s="414"/>
      <c r="R834" s="414"/>
      <c r="S834" s="414"/>
      <c r="T834" s="414"/>
      <c r="U834" s="414"/>
      <c r="V834" s="414"/>
      <c r="W834" s="414"/>
      <c r="X834" s="414"/>
      <c r="Y834" s="414"/>
      <c r="Z834" s="414"/>
    </row>
    <row r="835" spans="1:26" ht="15.75" customHeight="1" x14ac:dyDescent="0.25">
      <c r="A835" s="424">
        <v>830</v>
      </c>
      <c r="B835" s="250"/>
      <c r="C835" s="250"/>
      <c r="D835" s="250"/>
      <c r="E835" s="250"/>
      <c r="F835" s="425"/>
      <c r="G835" s="425"/>
      <c r="H835" s="346"/>
      <c r="I835" s="250"/>
      <c r="J835" s="426"/>
      <c r="K835" s="426"/>
      <c r="L835" s="414"/>
      <c r="M835" s="414"/>
      <c r="N835" s="414"/>
      <c r="O835" s="414"/>
      <c r="P835" s="414"/>
      <c r="Q835" s="414"/>
      <c r="R835" s="414"/>
      <c r="S835" s="414"/>
      <c r="T835" s="414"/>
      <c r="U835" s="414"/>
      <c r="V835" s="414"/>
      <c r="W835" s="414"/>
      <c r="X835" s="414"/>
      <c r="Y835" s="414"/>
      <c r="Z835" s="414"/>
    </row>
    <row r="836" spans="1:26" ht="15.75" customHeight="1" x14ac:dyDescent="0.25">
      <c r="A836" s="424">
        <v>831</v>
      </c>
      <c r="B836" s="250"/>
      <c r="C836" s="250"/>
      <c r="D836" s="250"/>
      <c r="E836" s="250"/>
      <c r="F836" s="425"/>
      <c r="G836" s="425"/>
      <c r="H836" s="346"/>
      <c r="I836" s="250"/>
      <c r="J836" s="426"/>
      <c r="K836" s="426"/>
      <c r="L836" s="414"/>
      <c r="M836" s="414"/>
      <c r="N836" s="414"/>
      <c r="O836" s="414"/>
      <c r="P836" s="414"/>
      <c r="Q836" s="414"/>
      <c r="R836" s="414"/>
      <c r="S836" s="414"/>
      <c r="T836" s="414"/>
      <c r="U836" s="414"/>
      <c r="V836" s="414"/>
      <c r="W836" s="414"/>
      <c r="X836" s="414"/>
      <c r="Y836" s="414"/>
      <c r="Z836" s="414"/>
    </row>
    <row r="837" spans="1:26" ht="15.75" customHeight="1" x14ac:dyDescent="0.25">
      <c r="A837" s="424">
        <v>832</v>
      </c>
      <c r="B837" s="250"/>
      <c r="C837" s="250"/>
      <c r="D837" s="250"/>
      <c r="E837" s="250"/>
      <c r="F837" s="425"/>
      <c r="G837" s="425"/>
      <c r="H837" s="346"/>
      <c r="I837" s="250"/>
      <c r="J837" s="426"/>
      <c r="K837" s="426"/>
      <c r="L837" s="414"/>
      <c r="M837" s="414"/>
      <c r="N837" s="414"/>
      <c r="O837" s="414"/>
      <c r="P837" s="414"/>
      <c r="Q837" s="414"/>
      <c r="R837" s="414"/>
      <c r="S837" s="414"/>
      <c r="T837" s="414"/>
      <c r="U837" s="414"/>
      <c r="V837" s="414"/>
      <c r="W837" s="414"/>
      <c r="X837" s="414"/>
      <c r="Y837" s="414"/>
      <c r="Z837" s="414"/>
    </row>
    <row r="838" spans="1:26" ht="15.75" customHeight="1" x14ac:dyDescent="0.25">
      <c r="A838" s="424">
        <v>833</v>
      </c>
      <c r="B838" s="250"/>
      <c r="C838" s="250"/>
      <c r="D838" s="250"/>
      <c r="E838" s="250"/>
      <c r="F838" s="425"/>
      <c r="G838" s="425"/>
      <c r="H838" s="346"/>
      <c r="I838" s="250"/>
      <c r="J838" s="426"/>
      <c r="K838" s="426"/>
      <c r="L838" s="414"/>
      <c r="M838" s="414"/>
      <c r="N838" s="414"/>
      <c r="O838" s="414"/>
      <c r="P838" s="414"/>
      <c r="Q838" s="414"/>
      <c r="R838" s="414"/>
      <c r="S838" s="414"/>
      <c r="T838" s="414"/>
      <c r="U838" s="414"/>
      <c r="V838" s="414"/>
      <c r="W838" s="414"/>
      <c r="X838" s="414"/>
      <c r="Y838" s="414"/>
      <c r="Z838" s="414"/>
    </row>
    <row r="839" spans="1:26" ht="15.75" customHeight="1" x14ac:dyDescent="0.25">
      <c r="A839" s="424">
        <v>834</v>
      </c>
      <c r="B839" s="250"/>
      <c r="C839" s="250"/>
      <c r="D839" s="250"/>
      <c r="E839" s="250"/>
      <c r="F839" s="425"/>
      <c r="G839" s="425"/>
      <c r="H839" s="346"/>
      <c r="I839" s="250"/>
      <c r="J839" s="426"/>
      <c r="K839" s="426"/>
      <c r="L839" s="414"/>
      <c r="M839" s="414"/>
      <c r="N839" s="414"/>
      <c r="O839" s="414"/>
      <c r="P839" s="414"/>
      <c r="Q839" s="414"/>
      <c r="R839" s="414"/>
      <c r="S839" s="414"/>
      <c r="T839" s="414"/>
      <c r="U839" s="414"/>
      <c r="V839" s="414"/>
      <c r="W839" s="414"/>
      <c r="X839" s="414"/>
      <c r="Y839" s="414"/>
      <c r="Z839" s="414"/>
    </row>
    <row r="840" spans="1:26" ht="15.75" customHeight="1" x14ac:dyDescent="0.25">
      <c r="A840" s="424">
        <v>835</v>
      </c>
      <c r="B840" s="250"/>
      <c r="C840" s="250"/>
      <c r="D840" s="250"/>
      <c r="E840" s="250"/>
      <c r="F840" s="425"/>
      <c r="G840" s="425"/>
      <c r="H840" s="346"/>
      <c r="I840" s="250"/>
      <c r="J840" s="426"/>
      <c r="K840" s="426"/>
      <c r="L840" s="414"/>
      <c r="M840" s="414"/>
      <c r="N840" s="414"/>
      <c r="O840" s="414"/>
      <c r="P840" s="414"/>
      <c r="Q840" s="414"/>
      <c r="R840" s="414"/>
      <c r="S840" s="414"/>
      <c r="T840" s="414"/>
      <c r="U840" s="414"/>
      <c r="V840" s="414"/>
      <c r="W840" s="414"/>
      <c r="X840" s="414"/>
      <c r="Y840" s="414"/>
      <c r="Z840" s="414"/>
    </row>
    <row r="841" spans="1:26" ht="15.75" customHeight="1" x14ac:dyDescent="0.25">
      <c r="A841" s="424">
        <v>836</v>
      </c>
      <c r="B841" s="250"/>
      <c r="C841" s="250"/>
      <c r="D841" s="250"/>
      <c r="E841" s="250"/>
      <c r="F841" s="425"/>
      <c r="G841" s="425"/>
      <c r="H841" s="346"/>
      <c r="I841" s="250"/>
      <c r="J841" s="426"/>
      <c r="K841" s="426"/>
      <c r="L841" s="414"/>
      <c r="M841" s="414"/>
      <c r="N841" s="414"/>
      <c r="O841" s="414"/>
      <c r="P841" s="414"/>
      <c r="Q841" s="414"/>
      <c r="R841" s="414"/>
      <c r="S841" s="414"/>
      <c r="T841" s="414"/>
      <c r="U841" s="414"/>
      <c r="V841" s="414"/>
      <c r="W841" s="414"/>
      <c r="X841" s="414"/>
      <c r="Y841" s="414"/>
      <c r="Z841" s="414"/>
    </row>
    <row r="842" spans="1:26" ht="15.75" customHeight="1" x14ac:dyDescent="0.25">
      <c r="A842" s="424">
        <v>837</v>
      </c>
      <c r="B842" s="250"/>
      <c r="C842" s="250"/>
      <c r="D842" s="250"/>
      <c r="E842" s="250"/>
      <c r="F842" s="425"/>
      <c r="G842" s="425"/>
      <c r="H842" s="346"/>
      <c r="I842" s="250"/>
      <c r="J842" s="426"/>
      <c r="K842" s="426"/>
      <c r="L842" s="414"/>
      <c r="M842" s="414"/>
      <c r="N842" s="414"/>
      <c r="O842" s="414"/>
      <c r="P842" s="414"/>
      <c r="Q842" s="414"/>
      <c r="R842" s="414"/>
      <c r="S842" s="414"/>
      <c r="T842" s="414"/>
      <c r="U842" s="414"/>
      <c r="V842" s="414"/>
      <c r="W842" s="414"/>
      <c r="X842" s="414"/>
      <c r="Y842" s="414"/>
      <c r="Z842" s="414"/>
    </row>
    <row r="843" spans="1:26" ht="15.75" customHeight="1" x14ac:dyDescent="0.25">
      <c r="A843" s="424">
        <v>838</v>
      </c>
      <c r="B843" s="250"/>
      <c r="C843" s="250"/>
      <c r="D843" s="250"/>
      <c r="E843" s="250"/>
      <c r="F843" s="425"/>
      <c r="G843" s="425"/>
      <c r="H843" s="346"/>
      <c r="I843" s="250"/>
      <c r="J843" s="426"/>
      <c r="K843" s="426"/>
      <c r="L843" s="414"/>
      <c r="M843" s="414"/>
      <c r="N843" s="414"/>
      <c r="O843" s="414"/>
      <c r="P843" s="414"/>
      <c r="Q843" s="414"/>
      <c r="R843" s="414"/>
      <c r="S843" s="414"/>
      <c r="T843" s="414"/>
      <c r="U843" s="414"/>
      <c r="V843" s="414"/>
      <c r="W843" s="414"/>
      <c r="X843" s="414"/>
      <c r="Y843" s="414"/>
      <c r="Z843" s="414"/>
    </row>
    <row r="844" spans="1:26" ht="15.75" customHeight="1" x14ac:dyDescent="0.25">
      <c r="A844" s="424">
        <v>839</v>
      </c>
      <c r="B844" s="250"/>
      <c r="C844" s="250"/>
      <c r="D844" s="250"/>
      <c r="E844" s="250"/>
      <c r="F844" s="425"/>
      <c r="G844" s="425"/>
      <c r="H844" s="346"/>
      <c r="I844" s="250"/>
      <c r="J844" s="426"/>
      <c r="K844" s="426"/>
      <c r="L844" s="414"/>
      <c r="M844" s="414"/>
      <c r="N844" s="414"/>
      <c r="O844" s="414"/>
      <c r="P844" s="414"/>
      <c r="Q844" s="414"/>
      <c r="R844" s="414"/>
      <c r="S844" s="414"/>
      <c r="T844" s="414"/>
      <c r="U844" s="414"/>
      <c r="V844" s="414"/>
      <c r="W844" s="414"/>
      <c r="X844" s="414"/>
      <c r="Y844" s="414"/>
      <c r="Z844" s="414"/>
    </row>
    <row r="845" spans="1:26" ht="15.75" customHeight="1" x14ac:dyDescent="0.25">
      <c r="A845" s="424">
        <v>840</v>
      </c>
      <c r="B845" s="250"/>
      <c r="C845" s="250"/>
      <c r="D845" s="250"/>
      <c r="E845" s="250"/>
      <c r="F845" s="425"/>
      <c r="G845" s="425"/>
      <c r="H845" s="346"/>
      <c r="I845" s="250"/>
      <c r="J845" s="426"/>
      <c r="K845" s="426"/>
      <c r="L845" s="414"/>
      <c r="M845" s="414"/>
      <c r="N845" s="414"/>
      <c r="O845" s="414"/>
      <c r="P845" s="414"/>
      <c r="Q845" s="414"/>
      <c r="R845" s="414"/>
      <c r="S845" s="414"/>
      <c r="T845" s="414"/>
      <c r="U845" s="414"/>
      <c r="V845" s="414"/>
      <c r="W845" s="414"/>
      <c r="X845" s="414"/>
      <c r="Y845" s="414"/>
      <c r="Z845" s="414"/>
    </row>
    <row r="846" spans="1:26" ht="15.75" customHeight="1" x14ac:dyDescent="0.25">
      <c r="A846" s="424">
        <v>841</v>
      </c>
      <c r="B846" s="250"/>
      <c r="C846" s="250"/>
      <c r="D846" s="250"/>
      <c r="E846" s="250"/>
      <c r="F846" s="425"/>
      <c r="G846" s="425"/>
      <c r="H846" s="346"/>
      <c r="I846" s="250"/>
      <c r="J846" s="426"/>
      <c r="K846" s="426"/>
      <c r="L846" s="414"/>
      <c r="M846" s="414"/>
      <c r="N846" s="414"/>
      <c r="O846" s="414"/>
      <c r="P846" s="414"/>
      <c r="Q846" s="414"/>
      <c r="R846" s="414"/>
      <c r="S846" s="414"/>
      <c r="T846" s="414"/>
      <c r="U846" s="414"/>
      <c r="V846" s="414"/>
      <c r="W846" s="414"/>
      <c r="X846" s="414"/>
      <c r="Y846" s="414"/>
      <c r="Z846" s="414"/>
    </row>
    <row r="847" spans="1:26" ht="15.75" customHeight="1" x14ac:dyDescent="0.25">
      <c r="A847" s="424">
        <v>842</v>
      </c>
      <c r="B847" s="250"/>
      <c r="C847" s="250"/>
      <c r="D847" s="250"/>
      <c r="E847" s="250"/>
      <c r="F847" s="425"/>
      <c r="G847" s="425"/>
      <c r="H847" s="346"/>
      <c r="I847" s="250"/>
      <c r="J847" s="426"/>
      <c r="K847" s="426"/>
      <c r="L847" s="414"/>
      <c r="M847" s="414"/>
      <c r="N847" s="414"/>
      <c r="O847" s="414"/>
      <c r="P847" s="414"/>
      <c r="Q847" s="414"/>
      <c r="R847" s="414"/>
      <c r="S847" s="414"/>
      <c r="T847" s="414"/>
      <c r="U847" s="414"/>
      <c r="V847" s="414"/>
      <c r="W847" s="414"/>
      <c r="X847" s="414"/>
      <c r="Y847" s="414"/>
      <c r="Z847" s="414"/>
    </row>
    <row r="848" spans="1:26" ht="15.75" customHeight="1" x14ac:dyDescent="0.25">
      <c r="A848" s="424">
        <v>843</v>
      </c>
      <c r="B848" s="250"/>
      <c r="C848" s="250"/>
      <c r="D848" s="250"/>
      <c r="E848" s="250"/>
      <c r="F848" s="425"/>
      <c r="G848" s="425"/>
      <c r="H848" s="346"/>
      <c r="I848" s="250"/>
      <c r="J848" s="426"/>
      <c r="K848" s="426"/>
      <c r="L848" s="414"/>
      <c r="M848" s="414"/>
      <c r="N848" s="414"/>
      <c r="O848" s="414"/>
      <c r="P848" s="414"/>
      <c r="Q848" s="414"/>
      <c r="R848" s="414"/>
      <c r="S848" s="414"/>
      <c r="T848" s="414"/>
      <c r="U848" s="414"/>
      <c r="V848" s="414"/>
      <c r="W848" s="414"/>
      <c r="X848" s="414"/>
      <c r="Y848" s="414"/>
      <c r="Z848" s="414"/>
    </row>
    <row r="849" spans="1:26" ht="15.75" customHeight="1" x14ac:dyDescent="0.25">
      <c r="A849" s="424">
        <v>844</v>
      </c>
      <c r="B849" s="250"/>
      <c r="C849" s="250"/>
      <c r="D849" s="250"/>
      <c r="E849" s="250"/>
      <c r="F849" s="425"/>
      <c r="G849" s="425"/>
      <c r="H849" s="346"/>
      <c r="I849" s="250"/>
      <c r="J849" s="426"/>
      <c r="K849" s="426"/>
      <c r="L849" s="414"/>
      <c r="M849" s="414"/>
      <c r="N849" s="414"/>
      <c r="O849" s="414"/>
      <c r="P849" s="414"/>
      <c r="Q849" s="414"/>
      <c r="R849" s="414"/>
      <c r="S849" s="414"/>
      <c r="T849" s="414"/>
      <c r="U849" s="414"/>
      <c r="V849" s="414"/>
      <c r="W849" s="414"/>
      <c r="X849" s="414"/>
      <c r="Y849" s="414"/>
      <c r="Z849" s="414"/>
    </row>
    <row r="850" spans="1:26" ht="15.75" customHeight="1" x14ac:dyDescent="0.25">
      <c r="A850" s="424">
        <v>845</v>
      </c>
      <c r="B850" s="250"/>
      <c r="C850" s="250"/>
      <c r="D850" s="250"/>
      <c r="E850" s="250"/>
      <c r="F850" s="425"/>
      <c r="G850" s="425"/>
      <c r="H850" s="346"/>
      <c r="I850" s="250"/>
      <c r="J850" s="426"/>
      <c r="K850" s="426"/>
      <c r="L850" s="414"/>
      <c r="M850" s="414"/>
      <c r="N850" s="414"/>
      <c r="O850" s="414"/>
      <c r="P850" s="414"/>
      <c r="Q850" s="414"/>
      <c r="R850" s="414"/>
      <c r="S850" s="414"/>
      <c r="T850" s="414"/>
      <c r="U850" s="414"/>
      <c r="V850" s="414"/>
      <c r="W850" s="414"/>
      <c r="X850" s="414"/>
      <c r="Y850" s="414"/>
      <c r="Z850" s="414"/>
    </row>
    <row r="851" spans="1:26" ht="15.75" customHeight="1" x14ac:dyDescent="0.25">
      <c r="A851" s="424">
        <v>846</v>
      </c>
      <c r="B851" s="250"/>
      <c r="C851" s="250"/>
      <c r="D851" s="250"/>
      <c r="E851" s="250"/>
      <c r="F851" s="425"/>
      <c r="G851" s="425"/>
      <c r="H851" s="346"/>
      <c r="I851" s="250"/>
      <c r="J851" s="426"/>
      <c r="K851" s="426"/>
      <c r="L851" s="414"/>
      <c r="M851" s="414"/>
      <c r="N851" s="414"/>
      <c r="O851" s="414"/>
      <c r="P851" s="414"/>
      <c r="Q851" s="414"/>
      <c r="R851" s="414"/>
      <c r="S851" s="414"/>
      <c r="T851" s="414"/>
      <c r="U851" s="414"/>
      <c r="V851" s="414"/>
      <c r="W851" s="414"/>
      <c r="X851" s="414"/>
      <c r="Y851" s="414"/>
      <c r="Z851" s="414"/>
    </row>
    <row r="852" spans="1:26" ht="15.75" customHeight="1" x14ac:dyDescent="0.25">
      <c r="A852" s="424">
        <v>847</v>
      </c>
      <c r="B852" s="250"/>
      <c r="C852" s="250"/>
      <c r="D852" s="250"/>
      <c r="E852" s="250"/>
      <c r="F852" s="425"/>
      <c r="G852" s="425"/>
      <c r="H852" s="346"/>
      <c r="I852" s="250"/>
      <c r="J852" s="426"/>
      <c r="K852" s="426"/>
      <c r="L852" s="414"/>
      <c r="M852" s="414"/>
      <c r="N852" s="414"/>
      <c r="O852" s="414"/>
      <c r="P852" s="414"/>
      <c r="Q852" s="414"/>
      <c r="R852" s="414"/>
      <c r="S852" s="414"/>
      <c r="T852" s="414"/>
      <c r="U852" s="414"/>
      <c r="V852" s="414"/>
      <c r="W852" s="414"/>
      <c r="X852" s="414"/>
      <c r="Y852" s="414"/>
      <c r="Z852" s="414"/>
    </row>
    <row r="853" spans="1:26" ht="15.75" customHeight="1" x14ac:dyDescent="0.25">
      <c r="A853" s="424">
        <v>848</v>
      </c>
      <c r="B853" s="250"/>
      <c r="C853" s="250"/>
      <c r="D853" s="250"/>
      <c r="E853" s="250"/>
      <c r="F853" s="425"/>
      <c r="G853" s="425"/>
      <c r="H853" s="346"/>
      <c r="I853" s="250"/>
      <c r="J853" s="426"/>
      <c r="K853" s="426"/>
      <c r="L853" s="414"/>
      <c r="M853" s="414"/>
      <c r="N853" s="414"/>
      <c r="O853" s="414"/>
      <c r="P853" s="414"/>
      <c r="Q853" s="414"/>
      <c r="R853" s="414"/>
      <c r="S853" s="414"/>
      <c r="T853" s="414"/>
      <c r="U853" s="414"/>
      <c r="V853" s="414"/>
      <c r="W853" s="414"/>
      <c r="X853" s="414"/>
      <c r="Y853" s="414"/>
      <c r="Z853" s="414"/>
    </row>
    <row r="854" spans="1:26" ht="15.75" customHeight="1" x14ac:dyDescent="0.25">
      <c r="A854" s="424">
        <v>849</v>
      </c>
      <c r="B854" s="250"/>
      <c r="C854" s="250"/>
      <c r="D854" s="250"/>
      <c r="E854" s="250"/>
      <c r="F854" s="425"/>
      <c r="G854" s="425"/>
      <c r="H854" s="346"/>
      <c r="I854" s="250"/>
      <c r="J854" s="426"/>
      <c r="K854" s="426"/>
      <c r="L854" s="414"/>
      <c r="M854" s="414"/>
      <c r="N854" s="414"/>
      <c r="O854" s="414"/>
      <c r="P854" s="414"/>
      <c r="Q854" s="414"/>
      <c r="R854" s="414"/>
      <c r="S854" s="414"/>
      <c r="T854" s="414"/>
      <c r="U854" s="414"/>
      <c r="V854" s="414"/>
      <c r="W854" s="414"/>
      <c r="X854" s="414"/>
      <c r="Y854" s="414"/>
      <c r="Z854" s="414"/>
    </row>
    <row r="855" spans="1:26" ht="15.75" customHeight="1" x14ac:dyDescent="0.25">
      <c r="A855" s="424">
        <v>850</v>
      </c>
      <c r="B855" s="250"/>
      <c r="C855" s="250"/>
      <c r="D855" s="250"/>
      <c r="E855" s="250"/>
      <c r="F855" s="425"/>
      <c r="G855" s="425"/>
      <c r="H855" s="346"/>
      <c r="I855" s="250"/>
      <c r="J855" s="426"/>
      <c r="K855" s="426"/>
      <c r="L855" s="414"/>
      <c r="M855" s="414"/>
      <c r="N855" s="414"/>
      <c r="O855" s="414"/>
      <c r="P855" s="414"/>
      <c r="Q855" s="414"/>
      <c r="R855" s="414"/>
      <c r="S855" s="414"/>
      <c r="T855" s="414"/>
      <c r="U855" s="414"/>
      <c r="V855" s="414"/>
      <c r="W855" s="414"/>
      <c r="X855" s="414"/>
      <c r="Y855" s="414"/>
      <c r="Z855" s="414"/>
    </row>
    <row r="856" spans="1:26" ht="15.75" customHeight="1" x14ac:dyDescent="0.25">
      <c r="A856" s="424">
        <v>851</v>
      </c>
      <c r="B856" s="250"/>
      <c r="C856" s="250"/>
      <c r="D856" s="250"/>
      <c r="E856" s="250"/>
      <c r="F856" s="425"/>
      <c r="G856" s="425"/>
      <c r="H856" s="346"/>
      <c r="I856" s="250"/>
      <c r="J856" s="426"/>
      <c r="K856" s="426"/>
      <c r="L856" s="414"/>
      <c r="M856" s="414"/>
      <c r="N856" s="414"/>
      <c r="O856" s="414"/>
      <c r="P856" s="414"/>
      <c r="Q856" s="414"/>
      <c r="R856" s="414"/>
      <c r="S856" s="414"/>
      <c r="T856" s="414"/>
      <c r="U856" s="414"/>
      <c r="V856" s="414"/>
      <c r="W856" s="414"/>
      <c r="X856" s="414"/>
      <c r="Y856" s="414"/>
      <c r="Z856" s="414"/>
    </row>
    <row r="857" spans="1:26" ht="15.75" customHeight="1" x14ac:dyDescent="0.25">
      <c r="A857" s="424">
        <v>852</v>
      </c>
      <c r="B857" s="250"/>
      <c r="C857" s="250"/>
      <c r="D857" s="250"/>
      <c r="E857" s="250"/>
      <c r="F857" s="425"/>
      <c r="G857" s="425"/>
      <c r="H857" s="346"/>
      <c r="I857" s="250"/>
      <c r="J857" s="426"/>
      <c r="K857" s="426"/>
      <c r="L857" s="414"/>
      <c r="M857" s="414"/>
      <c r="N857" s="414"/>
      <c r="O857" s="414"/>
      <c r="P857" s="414"/>
      <c r="Q857" s="414"/>
      <c r="R857" s="414"/>
      <c r="S857" s="414"/>
      <c r="T857" s="414"/>
      <c r="U857" s="414"/>
      <c r="V857" s="414"/>
      <c r="W857" s="414"/>
      <c r="X857" s="414"/>
      <c r="Y857" s="414"/>
      <c r="Z857" s="414"/>
    </row>
    <row r="858" spans="1:26" ht="15.75" customHeight="1" x14ac:dyDescent="0.25">
      <c r="A858" s="424">
        <v>853</v>
      </c>
      <c r="B858" s="250"/>
      <c r="C858" s="250"/>
      <c r="D858" s="250"/>
      <c r="E858" s="250"/>
      <c r="F858" s="425"/>
      <c r="G858" s="425"/>
      <c r="H858" s="346"/>
      <c r="I858" s="250"/>
      <c r="J858" s="426"/>
      <c r="K858" s="426"/>
      <c r="L858" s="414"/>
      <c r="M858" s="414"/>
      <c r="N858" s="414"/>
      <c r="O858" s="414"/>
      <c r="P858" s="414"/>
      <c r="Q858" s="414"/>
      <c r="R858" s="414"/>
      <c r="S858" s="414"/>
      <c r="T858" s="414"/>
      <c r="U858" s="414"/>
      <c r="V858" s="414"/>
      <c r="W858" s="414"/>
      <c r="X858" s="414"/>
      <c r="Y858" s="414"/>
      <c r="Z858" s="414"/>
    </row>
    <row r="859" spans="1:26" ht="15.75" customHeight="1" x14ac:dyDescent="0.25">
      <c r="A859" s="424">
        <v>854</v>
      </c>
      <c r="B859" s="250"/>
      <c r="C859" s="250"/>
      <c r="D859" s="250"/>
      <c r="E859" s="250"/>
      <c r="F859" s="425"/>
      <c r="G859" s="425"/>
      <c r="H859" s="346"/>
      <c r="I859" s="250"/>
      <c r="J859" s="426"/>
      <c r="K859" s="426"/>
      <c r="L859" s="414"/>
      <c r="M859" s="414"/>
      <c r="N859" s="414"/>
      <c r="O859" s="414"/>
      <c r="P859" s="414"/>
      <c r="Q859" s="414"/>
      <c r="R859" s="414"/>
      <c r="S859" s="414"/>
      <c r="T859" s="414"/>
      <c r="U859" s="414"/>
      <c r="V859" s="414"/>
      <c r="W859" s="414"/>
      <c r="X859" s="414"/>
      <c r="Y859" s="414"/>
      <c r="Z859" s="414"/>
    </row>
    <row r="860" spans="1:26" ht="15.75" customHeight="1" x14ac:dyDescent="0.25">
      <c r="A860" s="424">
        <v>855</v>
      </c>
      <c r="B860" s="250"/>
      <c r="C860" s="250"/>
      <c r="D860" s="250"/>
      <c r="E860" s="250"/>
      <c r="F860" s="425"/>
      <c r="G860" s="425"/>
      <c r="H860" s="346"/>
      <c r="I860" s="250"/>
      <c r="J860" s="426"/>
      <c r="K860" s="426"/>
      <c r="L860" s="414"/>
      <c r="M860" s="414"/>
      <c r="N860" s="414"/>
      <c r="O860" s="414"/>
      <c r="P860" s="414"/>
      <c r="Q860" s="414"/>
      <c r="R860" s="414"/>
      <c r="S860" s="414"/>
      <c r="T860" s="414"/>
      <c r="U860" s="414"/>
      <c r="V860" s="414"/>
      <c r="W860" s="414"/>
      <c r="X860" s="414"/>
      <c r="Y860" s="414"/>
      <c r="Z860" s="414"/>
    </row>
    <row r="861" spans="1:26" ht="15.75" customHeight="1" x14ac:dyDescent="0.25">
      <c r="A861" s="424">
        <v>856</v>
      </c>
      <c r="B861" s="250"/>
      <c r="C861" s="250"/>
      <c r="D861" s="250"/>
      <c r="E861" s="250"/>
      <c r="F861" s="425"/>
      <c r="G861" s="425"/>
      <c r="H861" s="346"/>
      <c r="I861" s="250"/>
      <c r="J861" s="426"/>
      <c r="K861" s="426"/>
      <c r="L861" s="414"/>
      <c r="M861" s="414"/>
      <c r="N861" s="414"/>
      <c r="O861" s="414"/>
      <c r="P861" s="414"/>
      <c r="Q861" s="414"/>
      <c r="R861" s="414"/>
      <c r="S861" s="414"/>
      <c r="T861" s="414"/>
      <c r="U861" s="414"/>
      <c r="V861" s="414"/>
      <c r="W861" s="414"/>
      <c r="X861" s="414"/>
      <c r="Y861" s="414"/>
      <c r="Z861" s="414"/>
    </row>
    <row r="862" spans="1:26" ht="15.75" customHeight="1" x14ac:dyDescent="0.25">
      <c r="A862" s="424">
        <v>857</v>
      </c>
      <c r="B862" s="250"/>
      <c r="C862" s="250"/>
      <c r="D862" s="250"/>
      <c r="E862" s="250"/>
      <c r="F862" s="425"/>
      <c r="G862" s="425"/>
      <c r="H862" s="346"/>
      <c r="I862" s="250"/>
      <c r="J862" s="426"/>
      <c r="K862" s="426"/>
      <c r="L862" s="414"/>
      <c r="M862" s="414"/>
      <c r="N862" s="414"/>
      <c r="O862" s="414"/>
      <c r="P862" s="414"/>
      <c r="Q862" s="414"/>
      <c r="R862" s="414"/>
      <c r="S862" s="414"/>
      <c r="T862" s="414"/>
      <c r="U862" s="414"/>
      <c r="V862" s="414"/>
      <c r="W862" s="414"/>
      <c r="X862" s="414"/>
      <c r="Y862" s="414"/>
      <c r="Z862" s="414"/>
    </row>
    <row r="863" spans="1:26" ht="15.75" customHeight="1" x14ac:dyDescent="0.25">
      <c r="A863" s="424">
        <v>858</v>
      </c>
      <c r="B863" s="250"/>
      <c r="C863" s="250"/>
      <c r="D863" s="250"/>
      <c r="E863" s="250"/>
      <c r="F863" s="425"/>
      <c r="G863" s="425"/>
      <c r="H863" s="346"/>
      <c r="I863" s="250"/>
      <c r="J863" s="426"/>
      <c r="K863" s="426"/>
      <c r="L863" s="414"/>
      <c r="M863" s="414"/>
      <c r="N863" s="414"/>
      <c r="O863" s="414"/>
      <c r="P863" s="414"/>
      <c r="Q863" s="414"/>
      <c r="R863" s="414"/>
      <c r="S863" s="414"/>
      <c r="T863" s="414"/>
      <c r="U863" s="414"/>
      <c r="V863" s="414"/>
      <c r="W863" s="414"/>
      <c r="X863" s="414"/>
      <c r="Y863" s="414"/>
      <c r="Z863" s="414"/>
    </row>
    <row r="864" spans="1:26" ht="15.75" customHeight="1" x14ac:dyDescent="0.25">
      <c r="A864" s="424">
        <v>859</v>
      </c>
      <c r="B864" s="250"/>
      <c r="C864" s="250"/>
      <c r="D864" s="250"/>
      <c r="E864" s="250"/>
      <c r="F864" s="425"/>
      <c r="G864" s="425"/>
      <c r="H864" s="346"/>
      <c r="I864" s="250"/>
      <c r="J864" s="426"/>
      <c r="K864" s="426"/>
      <c r="L864" s="414"/>
      <c r="M864" s="414"/>
      <c r="N864" s="414"/>
      <c r="O864" s="414"/>
      <c r="P864" s="414"/>
      <c r="Q864" s="414"/>
      <c r="R864" s="414"/>
      <c r="S864" s="414"/>
      <c r="T864" s="414"/>
      <c r="U864" s="414"/>
      <c r="V864" s="414"/>
      <c r="W864" s="414"/>
      <c r="X864" s="414"/>
      <c r="Y864" s="414"/>
      <c r="Z864" s="414"/>
    </row>
    <row r="865" spans="1:26" ht="15.75" customHeight="1" x14ac:dyDescent="0.25">
      <c r="A865" s="424">
        <v>860</v>
      </c>
      <c r="B865" s="250"/>
      <c r="C865" s="250"/>
      <c r="D865" s="250"/>
      <c r="E865" s="250"/>
      <c r="F865" s="425"/>
      <c r="G865" s="425"/>
      <c r="H865" s="346"/>
      <c r="I865" s="250"/>
      <c r="J865" s="426"/>
      <c r="K865" s="426"/>
      <c r="L865" s="414"/>
      <c r="M865" s="414"/>
      <c r="N865" s="414"/>
      <c r="O865" s="414"/>
      <c r="P865" s="414"/>
      <c r="Q865" s="414"/>
      <c r="R865" s="414"/>
      <c r="S865" s="414"/>
      <c r="T865" s="414"/>
      <c r="U865" s="414"/>
      <c r="V865" s="414"/>
      <c r="W865" s="414"/>
      <c r="X865" s="414"/>
      <c r="Y865" s="414"/>
      <c r="Z865" s="414"/>
    </row>
    <row r="866" spans="1:26" ht="15.75" customHeight="1" x14ac:dyDescent="0.25">
      <c r="A866" s="424">
        <v>861</v>
      </c>
      <c r="B866" s="250"/>
      <c r="C866" s="250"/>
      <c r="D866" s="250"/>
      <c r="E866" s="250"/>
      <c r="F866" s="425"/>
      <c r="G866" s="425"/>
      <c r="H866" s="346"/>
      <c r="I866" s="250"/>
      <c r="J866" s="426"/>
      <c r="K866" s="426"/>
      <c r="L866" s="414"/>
      <c r="M866" s="414"/>
      <c r="N866" s="414"/>
      <c r="O866" s="414"/>
      <c r="P866" s="414"/>
      <c r="Q866" s="414"/>
      <c r="R866" s="414"/>
      <c r="S866" s="414"/>
      <c r="T866" s="414"/>
      <c r="U866" s="414"/>
      <c r="V866" s="414"/>
      <c r="W866" s="414"/>
      <c r="X866" s="414"/>
      <c r="Y866" s="414"/>
      <c r="Z866" s="414"/>
    </row>
    <row r="867" spans="1:26" ht="15.75" customHeight="1" x14ac:dyDescent="0.25">
      <c r="A867" s="424">
        <v>862</v>
      </c>
      <c r="B867" s="250"/>
      <c r="C867" s="250"/>
      <c r="D867" s="250"/>
      <c r="E867" s="250"/>
      <c r="F867" s="425"/>
      <c r="G867" s="425"/>
      <c r="H867" s="346"/>
      <c r="I867" s="250"/>
      <c r="J867" s="426"/>
      <c r="K867" s="426"/>
      <c r="L867" s="414"/>
      <c r="M867" s="414"/>
      <c r="N867" s="414"/>
      <c r="O867" s="414"/>
      <c r="P867" s="414"/>
      <c r="Q867" s="414"/>
      <c r="R867" s="414"/>
      <c r="S867" s="414"/>
      <c r="T867" s="414"/>
      <c r="U867" s="414"/>
      <c r="V867" s="414"/>
      <c r="W867" s="414"/>
      <c r="X867" s="414"/>
      <c r="Y867" s="414"/>
      <c r="Z867" s="414"/>
    </row>
    <row r="868" spans="1:26" ht="15.75" customHeight="1" x14ac:dyDescent="0.25">
      <c r="A868" s="424">
        <v>863</v>
      </c>
      <c r="B868" s="250"/>
      <c r="C868" s="250"/>
      <c r="D868" s="250"/>
      <c r="E868" s="250"/>
      <c r="F868" s="425"/>
      <c r="G868" s="425"/>
      <c r="H868" s="346"/>
      <c r="I868" s="250"/>
      <c r="J868" s="426"/>
      <c r="K868" s="426"/>
      <c r="L868" s="414"/>
      <c r="M868" s="414"/>
      <c r="N868" s="414"/>
      <c r="O868" s="414"/>
      <c r="P868" s="414"/>
      <c r="Q868" s="414"/>
      <c r="R868" s="414"/>
      <c r="S868" s="414"/>
      <c r="T868" s="414"/>
      <c r="U868" s="414"/>
      <c r="V868" s="414"/>
      <c r="W868" s="414"/>
      <c r="X868" s="414"/>
      <c r="Y868" s="414"/>
      <c r="Z868" s="414"/>
    </row>
    <row r="869" spans="1:26" ht="15.75" customHeight="1" x14ac:dyDescent="0.25">
      <c r="A869" s="424">
        <v>864</v>
      </c>
      <c r="B869" s="250"/>
      <c r="C869" s="250"/>
      <c r="D869" s="250"/>
      <c r="E869" s="250"/>
      <c r="F869" s="425"/>
      <c r="G869" s="425"/>
      <c r="H869" s="346"/>
      <c r="I869" s="250"/>
      <c r="J869" s="426"/>
      <c r="K869" s="426"/>
      <c r="L869" s="414"/>
      <c r="M869" s="414"/>
      <c r="N869" s="414"/>
      <c r="O869" s="414"/>
      <c r="P869" s="414"/>
      <c r="Q869" s="414"/>
      <c r="R869" s="414"/>
      <c r="S869" s="414"/>
      <c r="T869" s="414"/>
      <c r="U869" s="414"/>
      <c r="V869" s="414"/>
      <c r="W869" s="414"/>
      <c r="X869" s="414"/>
      <c r="Y869" s="414"/>
      <c r="Z869" s="414"/>
    </row>
    <row r="870" spans="1:26" ht="15.75" customHeight="1" x14ac:dyDescent="0.25">
      <c r="A870" s="424">
        <v>865</v>
      </c>
      <c r="B870" s="250"/>
      <c r="C870" s="250"/>
      <c r="D870" s="250"/>
      <c r="E870" s="250"/>
      <c r="F870" s="425"/>
      <c r="G870" s="425"/>
      <c r="H870" s="346"/>
      <c r="I870" s="250"/>
      <c r="J870" s="426"/>
      <c r="K870" s="426"/>
      <c r="L870" s="414"/>
      <c r="M870" s="414"/>
      <c r="N870" s="414"/>
      <c r="O870" s="414"/>
      <c r="P870" s="414"/>
      <c r="Q870" s="414"/>
      <c r="R870" s="414"/>
      <c r="S870" s="414"/>
      <c r="T870" s="414"/>
      <c r="U870" s="414"/>
      <c r="V870" s="414"/>
      <c r="W870" s="414"/>
      <c r="X870" s="414"/>
      <c r="Y870" s="414"/>
      <c r="Z870" s="414"/>
    </row>
    <row r="871" spans="1:26" ht="15.75" customHeight="1" x14ac:dyDescent="0.25">
      <c r="A871" s="424">
        <v>866</v>
      </c>
      <c r="B871" s="250"/>
      <c r="C871" s="250"/>
      <c r="D871" s="250"/>
      <c r="E871" s="250"/>
      <c r="F871" s="425"/>
      <c r="G871" s="425"/>
      <c r="H871" s="346"/>
      <c r="I871" s="250"/>
      <c r="J871" s="426"/>
      <c r="K871" s="426"/>
      <c r="L871" s="414"/>
      <c r="M871" s="414"/>
      <c r="N871" s="414"/>
      <c r="O871" s="414"/>
      <c r="P871" s="414"/>
      <c r="Q871" s="414"/>
      <c r="R871" s="414"/>
      <c r="S871" s="414"/>
      <c r="T871" s="414"/>
      <c r="U871" s="414"/>
      <c r="V871" s="414"/>
      <c r="W871" s="414"/>
      <c r="X871" s="414"/>
      <c r="Y871" s="414"/>
      <c r="Z871" s="414"/>
    </row>
    <row r="872" spans="1:26" ht="15.75" customHeight="1" x14ac:dyDescent="0.25">
      <c r="A872" s="424">
        <v>867</v>
      </c>
      <c r="B872" s="250"/>
      <c r="C872" s="250"/>
      <c r="D872" s="250"/>
      <c r="E872" s="250"/>
      <c r="F872" s="425"/>
      <c r="G872" s="425"/>
      <c r="H872" s="346"/>
      <c r="I872" s="250"/>
      <c r="J872" s="426"/>
      <c r="K872" s="426"/>
      <c r="L872" s="414"/>
      <c r="M872" s="414"/>
      <c r="N872" s="414"/>
      <c r="O872" s="414"/>
      <c r="P872" s="414"/>
      <c r="Q872" s="414"/>
      <c r="R872" s="414"/>
      <c r="S872" s="414"/>
      <c r="T872" s="414"/>
      <c r="U872" s="414"/>
      <c r="V872" s="414"/>
      <c r="W872" s="414"/>
      <c r="X872" s="414"/>
      <c r="Y872" s="414"/>
      <c r="Z872" s="414"/>
    </row>
    <row r="873" spans="1:26" ht="15.75" customHeight="1" x14ac:dyDescent="0.25">
      <c r="A873" s="424">
        <v>868</v>
      </c>
      <c r="B873" s="250"/>
      <c r="C873" s="250"/>
      <c r="D873" s="250"/>
      <c r="E873" s="250"/>
      <c r="F873" s="425"/>
      <c r="G873" s="425"/>
      <c r="H873" s="346"/>
      <c r="I873" s="250"/>
      <c r="J873" s="426"/>
      <c r="K873" s="426"/>
      <c r="L873" s="414"/>
      <c r="M873" s="414"/>
      <c r="N873" s="414"/>
      <c r="O873" s="414"/>
      <c r="P873" s="414"/>
      <c r="Q873" s="414"/>
      <c r="R873" s="414"/>
      <c r="S873" s="414"/>
      <c r="T873" s="414"/>
      <c r="U873" s="414"/>
      <c r="V873" s="414"/>
      <c r="W873" s="414"/>
      <c r="X873" s="414"/>
      <c r="Y873" s="414"/>
      <c r="Z873" s="414"/>
    </row>
    <row r="874" spans="1:26" ht="15.75" customHeight="1" x14ac:dyDescent="0.25">
      <c r="A874" s="424">
        <v>869</v>
      </c>
      <c r="B874" s="250"/>
      <c r="C874" s="250"/>
      <c r="D874" s="250"/>
      <c r="E874" s="250"/>
      <c r="F874" s="425"/>
      <c r="G874" s="425"/>
      <c r="H874" s="346"/>
      <c r="I874" s="250"/>
      <c r="J874" s="426"/>
      <c r="K874" s="426"/>
      <c r="L874" s="414"/>
      <c r="M874" s="414"/>
      <c r="N874" s="414"/>
      <c r="O874" s="414"/>
      <c r="P874" s="414"/>
      <c r="Q874" s="414"/>
      <c r="R874" s="414"/>
      <c r="S874" s="414"/>
      <c r="T874" s="414"/>
      <c r="U874" s="414"/>
      <c r="V874" s="414"/>
      <c r="W874" s="414"/>
      <c r="X874" s="414"/>
      <c r="Y874" s="414"/>
      <c r="Z874" s="414"/>
    </row>
    <row r="875" spans="1:26" ht="15.75" customHeight="1" x14ac:dyDescent="0.25">
      <c r="A875" s="424">
        <v>870</v>
      </c>
      <c r="B875" s="250"/>
      <c r="C875" s="250"/>
      <c r="D875" s="250"/>
      <c r="E875" s="250"/>
      <c r="F875" s="425"/>
      <c r="G875" s="425"/>
      <c r="H875" s="346"/>
      <c r="I875" s="250"/>
      <c r="J875" s="426"/>
      <c r="K875" s="426"/>
      <c r="L875" s="414"/>
      <c r="M875" s="414"/>
      <c r="N875" s="414"/>
      <c r="O875" s="414"/>
      <c r="P875" s="414"/>
      <c r="Q875" s="414"/>
      <c r="R875" s="414"/>
      <c r="S875" s="414"/>
      <c r="T875" s="414"/>
      <c r="U875" s="414"/>
      <c r="V875" s="414"/>
      <c r="W875" s="414"/>
      <c r="X875" s="414"/>
      <c r="Y875" s="414"/>
      <c r="Z875" s="414"/>
    </row>
    <row r="876" spans="1:26" ht="15.75" customHeight="1" x14ac:dyDescent="0.25">
      <c r="A876" s="424">
        <v>871</v>
      </c>
      <c r="B876" s="250"/>
      <c r="C876" s="250"/>
      <c r="D876" s="250"/>
      <c r="E876" s="250"/>
      <c r="F876" s="425"/>
      <c r="G876" s="425"/>
      <c r="H876" s="346"/>
      <c r="I876" s="250"/>
      <c r="J876" s="426"/>
      <c r="K876" s="426"/>
      <c r="L876" s="414"/>
      <c r="M876" s="414"/>
      <c r="N876" s="414"/>
      <c r="O876" s="414"/>
      <c r="P876" s="414"/>
      <c r="Q876" s="414"/>
      <c r="R876" s="414"/>
      <c r="S876" s="414"/>
      <c r="T876" s="414"/>
      <c r="U876" s="414"/>
      <c r="V876" s="414"/>
      <c r="W876" s="414"/>
      <c r="X876" s="414"/>
      <c r="Y876" s="414"/>
      <c r="Z876" s="414"/>
    </row>
    <row r="877" spans="1:26" ht="15.75" customHeight="1" x14ac:dyDescent="0.25">
      <c r="A877" s="424">
        <v>872</v>
      </c>
      <c r="B877" s="250"/>
      <c r="C877" s="250"/>
      <c r="D877" s="250"/>
      <c r="E877" s="250"/>
      <c r="F877" s="425"/>
      <c r="G877" s="425"/>
      <c r="H877" s="346"/>
      <c r="I877" s="250"/>
      <c r="J877" s="426"/>
      <c r="K877" s="426"/>
      <c r="L877" s="414"/>
      <c r="M877" s="414"/>
      <c r="N877" s="414"/>
      <c r="O877" s="414"/>
      <c r="P877" s="414"/>
      <c r="Q877" s="414"/>
      <c r="R877" s="414"/>
      <c r="S877" s="414"/>
      <c r="T877" s="414"/>
      <c r="U877" s="414"/>
      <c r="V877" s="414"/>
      <c r="W877" s="414"/>
      <c r="X877" s="414"/>
      <c r="Y877" s="414"/>
      <c r="Z877" s="414"/>
    </row>
    <row r="878" spans="1:26" ht="15.75" customHeight="1" x14ac:dyDescent="0.25">
      <c r="A878" s="424">
        <v>873</v>
      </c>
      <c r="B878" s="250"/>
      <c r="C878" s="250"/>
      <c r="D878" s="250"/>
      <c r="E878" s="250"/>
      <c r="F878" s="425"/>
      <c r="G878" s="425"/>
      <c r="H878" s="346"/>
      <c r="I878" s="250"/>
      <c r="J878" s="426"/>
      <c r="K878" s="426"/>
      <c r="L878" s="414"/>
      <c r="M878" s="414"/>
      <c r="N878" s="414"/>
      <c r="O878" s="414"/>
      <c r="P878" s="414"/>
      <c r="Q878" s="414"/>
      <c r="R878" s="414"/>
      <c r="S878" s="414"/>
      <c r="T878" s="414"/>
      <c r="U878" s="414"/>
      <c r="V878" s="414"/>
      <c r="W878" s="414"/>
      <c r="X878" s="414"/>
      <c r="Y878" s="414"/>
      <c r="Z878" s="414"/>
    </row>
    <row r="879" spans="1:26" ht="15.75" customHeight="1" x14ac:dyDescent="0.25">
      <c r="A879" s="424">
        <v>874</v>
      </c>
      <c r="B879" s="250"/>
      <c r="C879" s="250"/>
      <c r="D879" s="250"/>
      <c r="E879" s="250"/>
      <c r="F879" s="425"/>
      <c r="G879" s="425"/>
      <c r="H879" s="346"/>
      <c r="I879" s="250"/>
      <c r="J879" s="426"/>
      <c r="K879" s="426"/>
      <c r="L879" s="414"/>
      <c r="M879" s="414"/>
      <c r="N879" s="414"/>
      <c r="O879" s="414"/>
      <c r="P879" s="414"/>
      <c r="Q879" s="414"/>
      <c r="R879" s="414"/>
      <c r="S879" s="414"/>
      <c r="T879" s="414"/>
      <c r="U879" s="414"/>
      <c r="V879" s="414"/>
      <c r="W879" s="414"/>
      <c r="X879" s="414"/>
      <c r="Y879" s="414"/>
      <c r="Z879" s="414"/>
    </row>
    <row r="880" spans="1:26" ht="15.75" customHeight="1" x14ac:dyDescent="0.25">
      <c r="A880" s="424">
        <v>875</v>
      </c>
      <c r="B880" s="250"/>
      <c r="C880" s="250"/>
      <c r="D880" s="250"/>
      <c r="E880" s="250"/>
      <c r="F880" s="425"/>
      <c r="G880" s="425"/>
      <c r="H880" s="346"/>
      <c r="I880" s="250"/>
      <c r="J880" s="426"/>
      <c r="K880" s="426"/>
      <c r="L880" s="414"/>
      <c r="M880" s="414"/>
      <c r="N880" s="414"/>
      <c r="O880" s="414"/>
      <c r="P880" s="414"/>
      <c r="Q880" s="414"/>
      <c r="R880" s="414"/>
      <c r="S880" s="414"/>
      <c r="T880" s="414"/>
      <c r="U880" s="414"/>
      <c r="V880" s="414"/>
      <c r="W880" s="414"/>
      <c r="X880" s="414"/>
      <c r="Y880" s="414"/>
      <c r="Z880" s="414"/>
    </row>
    <row r="881" spans="1:26" ht="15.75" customHeight="1" x14ac:dyDescent="0.25">
      <c r="A881" s="424">
        <v>876</v>
      </c>
      <c r="B881" s="250"/>
      <c r="C881" s="250"/>
      <c r="D881" s="250"/>
      <c r="E881" s="250"/>
      <c r="F881" s="425"/>
      <c r="G881" s="425"/>
      <c r="H881" s="346"/>
      <c r="I881" s="250"/>
      <c r="J881" s="426"/>
      <c r="K881" s="426"/>
      <c r="L881" s="414"/>
      <c r="M881" s="414"/>
      <c r="N881" s="414"/>
      <c r="O881" s="414"/>
      <c r="P881" s="414"/>
      <c r="Q881" s="414"/>
      <c r="R881" s="414"/>
      <c r="S881" s="414"/>
      <c r="T881" s="414"/>
      <c r="U881" s="414"/>
      <c r="V881" s="414"/>
      <c r="W881" s="414"/>
      <c r="X881" s="414"/>
      <c r="Y881" s="414"/>
      <c r="Z881" s="414"/>
    </row>
    <row r="882" spans="1:26" ht="15.75" customHeight="1" x14ac:dyDescent="0.25">
      <c r="A882" s="424">
        <v>877</v>
      </c>
      <c r="B882" s="250"/>
      <c r="C882" s="250"/>
      <c r="D882" s="250"/>
      <c r="E882" s="250"/>
      <c r="F882" s="425"/>
      <c r="G882" s="425"/>
      <c r="H882" s="346"/>
      <c r="I882" s="250"/>
      <c r="J882" s="426"/>
      <c r="K882" s="426"/>
      <c r="L882" s="414"/>
      <c r="M882" s="414"/>
      <c r="N882" s="414"/>
      <c r="O882" s="414"/>
      <c r="P882" s="414"/>
      <c r="Q882" s="414"/>
      <c r="R882" s="414"/>
      <c r="S882" s="414"/>
      <c r="T882" s="414"/>
      <c r="U882" s="414"/>
      <c r="V882" s="414"/>
      <c r="W882" s="414"/>
      <c r="X882" s="414"/>
      <c r="Y882" s="414"/>
      <c r="Z882" s="414"/>
    </row>
    <row r="883" spans="1:26" ht="15.75" customHeight="1" x14ac:dyDescent="0.25">
      <c r="A883" s="424">
        <v>878</v>
      </c>
      <c r="B883" s="250"/>
      <c r="C883" s="250"/>
      <c r="D883" s="250"/>
      <c r="E883" s="250"/>
      <c r="F883" s="425"/>
      <c r="G883" s="425"/>
      <c r="H883" s="346"/>
      <c r="I883" s="250"/>
      <c r="J883" s="426"/>
      <c r="K883" s="426"/>
      <c r="L883" s="414"/>
      <c r="M883" s="414"/>
      <c r="N883" s="414"/>
      <c r="O883" s="414"/>
      <c r="P883" s="414"/>
      <c r="Q883" s="414"/>
      <c r="R883" s="414"/>
      <c r="S883" s="414"/>
      <c r="T883" s="414"/>
      <c r="U883" s="414"/>
      <c r="V883" s="414"/>
      <c r="W883" s="414"/>
      <c r="X883" s="414"/>
      <c r="Y883" s="414"/>
      <c r="Z883" s="414"/>
    </row>
    <row r="884" spans="1:26" ht="15.75" customHeight="1" x14ac:dyDescent="0.25">
      <c r="A884" s="424">
        <v>879</v>
      </c>
      <c r="B884" s="250"/>
      <c r="C884" s="250"/>
      <c r="D884" s="250"/>
      <c r="E884" s="250"/>
      <c r="F884" s="425"/>
      <c r="G884" s="425"/>
      <c r="H884" s="346"/>
      <c r="I884" s="250"/>
      <c r="J884" s="426"/>
      <c r="K884" s="426"/>
      <c r="L884" s="414"/>
      <c r="M884" s="414"/>
      <c r="N884" s="414"/>
      <c r="O884" s="414"/>
      <c r="P884" s="414"/>
      <c r="Q884" s="414"/>
      <c r="R884" s="414"/>
      <c r="S884" s="414"/>
      <c r="T884" s="414"/>
      <c r="U884" s="414"/>
      <c r="V884" s="414"/>
      <c r="W884" s="414"/>
      <c r="X884" s="414"/>
      <c r="Y884" s="414"/>
      <c r="Z884" s="414"/>
    </row>
    <row r="885" spans="1:26" ht="15.75" customHeight="1" x14ac:dyDescent="0.25">
      <c r="A885" s="424">
        <v>880</v>
      </c>
      <c r="B885" s="250"/>
      <c r="C885" s="250"/>
      <c r="D885" s="250"/>
      <c r="E885" s="250"/>
      <c r="F885" s="425"/>
      <c r="G885" s="425"/>
      <c r="H885" s="346"/>
      <c r="I885" s="250"/>
      <c r="J885" s="426"/>
      <c r="K885" s="426"/>
      <c r="L885" s="414"/>
      <c r="M885" s="414"/>
      <c r="N885" s="414"/>
      <c r="O885" s="414"/>
      <c r="P885" s="414"/>
      <c r="Q885" s="414"/>
      <c r="R885" s="414"/>
      <c r="S885" s="414"/>
      <c r="T885" s="414"/>
      <c r="U885" s="414"/>
      <c r="V885" s="414"/>
      <c r="W885" s="414"/>
      <c r="X885" s="414"/>
      <c r="Y885" s="414"/>
      <c r="Z885" s="414"/>
    </row>
    <row r="886" spans="1:26" ht="15.75" customHeight="1" x14ac:dyDescent="0.25">
      <c r="A886" s="424">
        <v>881</v>
      </c>
      <c r="B886" s="250"/>
      <c r="C886" s="250"/>
      <c r="D886" s="250"/>
      <c r="E886" s="250"/>
      <c r="F886" s="425"/>
      <c r="G886" s="425"/>
      <c r="H886" s="346"/>
      <c r="I886" s="250"/>
      <c r="J886" s="426"/>
      <c r="K886" s="426"/>
      <c r="L886" s="414"/>
      <c r="M886" s="414"/>
      <c r="N886" s="414"/>
      <c r="O886" s="414"/>
      <c r="P886" s="414"/>
      <c r="Q886" s="414"/>
      <c r="R886" s="414"/>
      <c r="S886" s="414"/>
      <c r="T886" s="414"/>
      <c r="U886" s="414"/>
      <c r="V886" s="414"/>
      <c r="W886" s="414"/>
      <c r="X886" s="414"/>
      <c r="Y886" s="414"/>
      <c r="Z886" s="414"/>
    </row>
    <row r="887" spans="1:26" ht="15.75" customHeight="1" x14ac:dyDescent="0.25">
      <c r="A887" s="424">
        <v>882</v>
      </c>
      <c r="B887" s="250"/>
      <c r="C887" s="250"/>
      <c r="D887" s="250"/>
      <c r="E887" s="250"/>
      <c r="F887" s="425"/>
      <c r="G887" s="425"/>
      <c r="H887" s="346"/>
      <c r="I887" s="250"/>
      <c r="J887" s="426"/>
      <c r="K887" s="426"/>
      <c r="L887" s="414"/>
      <c r="M887" s="414"/>
      <c r="N887" s="414"/>
      <c r="O887" s="414"/>
      <c r="P887" s="414"/>
      <c r="Q887" s="414"/>
      <c r="R887" s="414"/>
      <c r="S887" s="414"/>
      <c r="T887" s="414"/>
      <c r="U887" s="414"/>
      <c r="V887" s="414"/>
      <c r="W887" s="414"/>
      <c r="X887" s="414"/>
      <c r="Y887" s="414"/>
      <c r="Z887" s="414"/>
    </row>
    <row r="888" spans="1:26" ht="15.75" customHeight="1" x14ac:dyDescent="0.25">
      <c r="A888" s="424">
        <v>883</v>
      </c>
      <c r="B888" s="250"/>
      <c r="C888" s="250"/>
      <c r="D888" s="250"/>
      <c r="E888" s="250"/>
      <c r="F888" s="425"/>
      <c r="G888" s="425"/>
      <c r="H888" s="346"/>
      <c r="I888" s="250"/>
      <c r="J888" s="426"/>
      <c r="K888" s="426"/>
      <c r="L888" s="414"/>
      <c r="M888" s="414"/>
      <c r="N888" s="414"/>
      <c r="O888" s="414"/>
      <c r="P888" s="414"/>
      <c r="Q888" s="414"/>
      <c r="R888" s="414"/>
      <c r="S888" s="414"/>
      <c r="T888" s="414"/>
      <c r="U888" s="414"/>
      <c r="V888" s="414"/>
      <c r="W888" s="414"/>
      <c r="X888" s="414"/>
      <c r="Y888" s="414"/>
      <c r="Z888" s="414"/>
    </row>
    <row r="889" spans="1:26" ht="15.75" customHeight="1" x14ac:dyDescent="0.25">
      <c r="A889" s="424">
        <v>884</v>
      </c>
      <c r="B889" s="250"/>
      <c r="C889" s="250"/>
      <c r="D889" s="250"/>
      <c r="E889" s="250"/>
      <c r="F889" s="425"/>
      <c r="G889" s="425"/>
      <c r="H889" s="346"/>
      <c r="I889" s="250"/>
      <c r="J889" s="426"/>
      <c r="K889" s="426"/>
      <c r="L889" s="414"/>
      <c r="M889" s="414"/>
      <c r="N889" s="414"/>
      <c r="O889" s="414"/>
      <c r="P889" s="414"/>
      <c r="Q889" s="414"/>
      <c r="R889" s="414"/>
      <c r="S889" s="414"/>
      <c r="T889" s="414"/>
      <c r="U889" s="414"/>
      <c r="V889" s="414"/>
      <c r="W889" s="414"/>
      <c r="X889" s="414"/>
      <c r="Y889" s="414"/>
      <c r="Z889" s="414"/>
    </row>
    <row r="890" spans="1:26" ht="15.75" customHeight="1" x14ac:dyDescent="0.25">
      <c r="A890" s="424">
        <v>885</v>
      </c>
      <c r="B890" s="250"/>
      <c r="C890" s="250"/>
      <c r="D890" s="250"/>
      <c r="E890" s="250"/>
      <c r="F890" s="425"/>
      <c r="G890" s="425"/>
      <c r="H890" s="346"/>
      <c r="I890" s="250"/>
      <c r="J890" s="426"/>
      <c r="K890" s="426"/>
      <c r="L890" s="414"/>
      <c r="M890" s="414"/>
      <c r="N890" s="414"/>
      <c r="O890" s="414"/>
      <c r="P890" s="414"/>
      <c r="Q890" s="414"/>
      <c r="R890" s="414"/>
      <c r="S890" s="414"/>
      <c r="T890" s="414"/>
      <c r="U890" s="414"/>
      <c r="V890" s="414"/>
      <c r="W890" s="414"/>
      <c r="X890" s="414"/>
      <c r="Y890" s="414"/>
      <c r="Z890" s="414"/>
    </row>
    <row r="891" spans="1:26" ht="15.75" customHeight="1" x14ac:dyDescent="0.25">
      <c r="A891" s="424">
        <v>886</v>
      </c>
      <c r="B891" s="250"/>
      <c r="C891" s="250"/>
      <c r="D891" s="250"/>
      <c r="E891" s="250"/>
      <c r="F891" s="425"/>
      <c r="G891" s="425"/>
      <c r="H891" s="346"/>
      <c r="I891" s="250"/>
      <c r="J891" s="426"/>
      <c r="K891" s="426"/>
      <c r="L891" s="414"/>
      <c r="M891" s="414"/>
      <c r="N891" s="414"/>
      <c r="O891" s="414"/>
      <c r="P891" s="414"/>
      <c r="Q891" s="414"/>
      <c r="R891" s="414"/>
      <c r="S891" s="414"/>
      <c r="T891" s="414"/>
      <c r="U891" s="414"/>
      <c r="V891" s="414"/>
      <c r="W891" s="414"/>
      <c r="X891" s="414"/>
      <c r="Y891" s="414"/>
      <c r="Z891" s="414"/>
    </row>
    <row r="892" spans="1:26" ht="15.75" customHeight="1" x14ac:dyDescent="0.25">
      <c r="A892" s="424">
        <v>887</v>
      </c>
      <c r="B892" s="250"/>
      <c r="C892" s="250"/>
      <c r="D892" s="250"/>
      <c r="E892" s="250"/>
      <c r="F892" s="425"/>
      <c r="G892" s="425"/>
      <c r="H892" s="346"/>
      <c r="I892" s="250"/>
      <c r="J892" s="426"/>
      <c r="K892" s="426"/>
      <c r="L892" s="414"/>
      <c r="M892" s="414"/>
      <c r="N892" s="414"/>
      <c r="O892" s="414"/>
      <c r="P892" s="414"/>
      <c r="Q892" s="414"/>
      <c r="R892" s="414"/>
      <c r="S892" s="414"/>
      <c r="T892" s="414"/>
      <c r="U892" s="414"/>
      <c r="V892" s="414"/>
      <c r="W892" s="414"/>
      <c r="X892" s="414"/>
      <c r="Y892" s="414"/>
      <c r="Z892" s="414"/>
    </row>
    <row r="893" spans="1:26" ht="15.75" customHeight="1" x14ac:dyDescent="0.25">
      <c r="A893" s="424">
        <v>888</v>
      </c>
      <c r="B893" s="250"/>
      <c r="C893" s="250"/>
      <c r="D893" s="250"/>
      <c r="E893" s="250"/>
      <c r="F893" s="425"/>
      <c r="G893" s="425"/>
      <c r="H893" s="346"/>
      <c r="I893" s="250"/>
      <c r="J893" s="426"/>
      <c r="K893" s="426"/>
      <c r="L893" s="414"/>
      <c r="M893" s="414"/>
      <c r="N893" s="414"/>
      <c r="O893" s="414"/>
      <c r="P893" s="414"/>
      <c r="Q893" s="414"/>
      <c r="R893" s="414"/>
      <c r="S893" s="414"/>
      <c r="T893" s="414"/>
      <c r="U893" s="414"/>
      <c r="V893" s="414"/>
      <c r="W893" s="414"/>
      <c r="X893" s="414"/>
      <c r="Y893" s="414"/>
      <c r="Z893" s="414"/>
    </row>
    <row r="894" spans="1:26" ht="15.75" customHeight="1" x14ac:dyDescent="0.25">
      <c r="A894" s="424">
        <v>889</v>
      </c>
      <c r="B894" s="250"/>
      <c r="C894" s="250"/>
      <c r="D894" s="250"/>
      <c r="E894" s="250"/>
      <c r="F894" s="425"/>
      <c r="G894" s="425"/>
      <c r="H894" s="346"/>
      <c r="I894" s="250"/>
      <c r="J894" s="426"/>
      <c r="K894" s="426"/>
      <c r="L894" s="414"/>
      <c r="M894" s="414"/>
      <c r="N894" s="414"/>
      <c r="O894" s="414"/>
      <c r="P894" s="414"/>
      <c r="Q894" s="414"/>
      <c r="R894" s="414"/>
      <c r="S894" s="414"/>
      <c r="T894" s="414"/>
      <c r="U894" s="414"/>
      <c r="V894" s="414"/>
      <c r="W894" s="414"/>
      <c r="X894" s="414"/>
      <c r="Y894" s="414"/>
      <c r="Z894" s="414"/>
    </row>
    <row r="895" spans="1:26" ht="15.75" customHeight="1" x14ac:dyDescent="0.25">
      <c r="A895" s="424">
        <v>890</v>
      </c>
      <c r="B895" s="250"/>
      <c r="C895" s="250"/>
      <c r="D895" s="250"/>
      <c r="E895" s="250"/>
      <c r="F895" s="425"/>
      <c r="G895" s="425"/>
      <c r="H895" s="346"/>
      <c r="I895" s="250"/>
      <c r="J895" s="426"/>
      <c r="K895" s="426"/>
      <c r="L895" s="414"/>
      <c r="M895" s="414"/>
      <c r="N895" s="414"/>
      <c r="O895" s="414"/>
      <c r="P895" s="414"/>
      <c r="Q895" s="414"/>
      <c r="R895" s="414"/>
      <c r="S895" s="414"/>
      <c r="T895" s="414"/>
      <c r="U895" s="414"/>
      <c r="V895" s="414"/>
      <c r="W895" s="414"/>
      <c r="X895" s="414"/>
      <c r="Y895" s="414"/>
      <c r="Z895" s="414"/>
    </row>
    <row r="896" spans="1:26" ht="15.75" customHeight="1" x14ac:dyDescent="0.25">
      <c r="A896" s="424">
        <v>891</v>
      </c>
      <c r="B896" s="250"/>
      <c r="C896" s="250"/>
      <c r="D896" s="250"/>
      <c r="E896" s="250"/>
      <c r="F896" s="425"/>
      <c r="G896" s="425"/>
      <c r="H896" s="346"/>
      <c r="I896" s="250"/>
      <c r="J896" s="426"/>
      <c r="K896" s="426"/>
      <c r="L896" s="414"/>
      <c r="M896" s="414"/>
      <c r="N896" s="414"/>
      <c r="O896" s="414"/>
      <c r="P896" s="414"/>
      <c r="Q896" s="414"/>
      <c r="R896" s="414"/>
      <c r="S896" s="414"/>
      <c r="T896" s="414"/>
      <c r="U896" s="414"/>
      <c r="V896" s="414"/>
      <c r="W896" s="414"/>
      <c r="X896" s="414"/>
      <c r="Y896" s="414"/>
      <c r="Z896" s="414"/>
    </row>
    <row r="897" spans="1:26" ht="15.75" customHeight="1" x14ac:dyDescent="0.25">
      <c r="A897" s="424">
        <v>892</v>
      </c>
      <c r="B897" s="250"/>
      <c r="C897" s="250"/>
      <c r="D897" s="250"/>
      <c r="E897" s="250"/>
      <c r="F897" s="425"/>
      <c r="G897" s="425"/>
      <c r="H897" s="346"/>
      <c r="I897" s="250"/>
      <c r="J897" s="426"/>
      <c r="K897" s="426"/>
      <c r="L897" s="414"/>
      <c r="M897" s="414"/>
      <c r="N897" s="414"/>
      <c r="O897" s="414"/>
      <c r="P897" s="414"/>
      <c r="Q897" s="414"/>
      <c r="R897" s="414"/>
      <c r="S897" s="414"/>
      <c r="T897" s="414"/>
      <c r="U897" s="414"/>
      <c r="V897" s="414"/>
      <c r="W897" s="414"/>
      <c r="X897" s="414"/>
      <c r="Y897" s="414"/>
      <c r="Z897" s="414"/>
    </row>
    <row r="898" spans="1:26" ht="15.75" customHeight="1" x14ac:dyDescent="0.25">
      <c r="A898" s="424">
        <v>893</v>
      </c>
      <c r="B898" s="250"/>
      <c r="C898" s="250"/>
      <c r="D898" s="250"/>
      <c r="E898" s="250"/>
      <c r="F898" s="425"/>
      <c r="G898" s="425"/>
      <c r="H898" s="346"/>
      <c r="I898" s="250"/>
      <c r="J898" s="426"/>
      <c r="K898" s="426"/>
      <c r="L898" s="414"/>
      <c r="M898" s="414"/>
      <c r="N898" s="414"/>
      <c r="O898" s="414"/>
      <c r="P898" s="414"/>
      <c r="Q898" s="414"/>
      <c r="R898" s="414"/>
      <c r="S898" s="414"/>
      <c r="T898" s="414"/>
      <c r="U898" s="414"/>
      <c r="V898" s="414"/>
      <c r="W898" s="414"/>
      <c r="X898" s="414"/>
      <c r="Y898" s="414"/>
      <c r="Z898" s="414"/>
    </row>
    <row r="899" spans="1:26" ht="15.75" customHeight="1" x14ac:dyDescent="0.25">
      <c r="A899" s="424">
        <v>894</v>
      </c>
      <c r="B899" s="250"/>
      <c r="C899" s="250"/>
      <c r="D899" s="250"/>
      <c r="E899" s="250"/>
      <c r="F899" s="425"/>
      <c r="G899" s="425"/>
      <c r="H899" s="346"/>
      <c r="I899" s="250"/>
      <c r="J899" s="426"/>
      <c r="K899" s="426"/>
      <c r="L899" s="414"/>
      <c r="M899" s="414"/>
      <c r="N899" s="414"/>
      <c r="O899" s="414"/>
      <c r="P899" s="414"/>
      <c r="Q899" s="414"/>
      <c r="R899" s="414"/>
      <c r="S899" s="414"/>
      <c r="T899" s="414"/>
      <c r="U899" s="414"/>
      <c r="V899" s="414"/>
      <c r="W899" s="414"/>
      <c r="X899" s="414"/>
      <c r="Y899" s="414"/>
      <c r="Z899" s="414"/>
    </row>
    <row r="900" spans="1:26" ht="15.75" customHeight="1" x14ac:dyDescent="0.25">
      <c r="A900" s="424">
        <v>895</v>
      </c>
      <c r="B900" s="250"/>
      <c r="C900" s="250"/>
      <c r="D900" s="250"/>
      <c r="E900" s="250"/>
      <c r="F900" s="425"/>
      <c r="G900" s="425"/>
      <c r="H900" s="346"/>
      <c r="I900" s="250"/>
      <c r="J900" s="426"/>
      <c r="K900" s="426"/>
      <c r="L900" s="414"/>
      <c r="M900" s="414"/>
      <c r="N900" s="414"/>
      <c r="O900" s="414"/>
      <c r="P900" s="414"/>
      <c r="Q900" s="414"/>
      <c r="R900" s="414"/>
      <c r="S900" s="414"/>
      <c r="T900" s="414"/>
      <c r="U900" s="414"/>
      <c r="V900" s="414"/>
      <c r="W900" s="414"/>
      <c r="X900" s="414"/>
      <c r="Y900" s="414"/>
      <c r="Z900" s="414"/>
    </row>
    <row r="901" spans="1:26" ht="15.75" customHeight="1" x14ac:dyDescent="0.25">
      <c r="A901" s="424">
        <v>896</v>
      </c>
      <c r="B901" s="250"/>
      <c r="C901" s="250"/>
      <c r="D901" s="250"/>
      <c r="E901" s="250"/>
      <c r="F901" s="425"/>
      <c r="G901" s="425"/>
      <c r="H901" s="346"/>
      <c r="I901" s="250"/>
      <c r="J901" s="426"/>
      <c r="K901" s="426"/>
      <c r="L901" s="414"/>
      <c r="M901" s="414"/>
      <c r="N901" s="414"/>
      <c r="O901" s="414"/>
      <c r="P901" s="414"/>
      <c r="Q901" s="414"/>
      <c r="R901" s="414"/>
      <c r="S901" s="414"/>
      <c r="T901" s="414"/>
      <c r="U901" s="414"/>
      <c r="V901" s="414"/>
      <c r="W901" s="414"/>
      <c r="X901" s="414"/>
      <c r="Y901" s="414"/>
      <c r="Z901" s="414"/>
    </row>
    <row r="902" spans="1:26" ht="15.75" customHeight="1" x14ac:dyDescent="0.25">
      <c r="A902" s="424">
        <v>897</v>
      </c>
      <c r="B902" s="250"/>
      <c r="C902" s="250"/>
      <c r="D902" s="250"/>
      <c r="E902" s="250"/>
      <c r="F902" s="425"/>
      <c r="G902" s="425"/>
      <c r="H902" s="346"/>
      <c r="I902" s="250"/>
      <c r="J902" s="426"/>
      <c r="K902" s="426"/>
      <c r="L902" s="414"/>
      <c r="M902" s="414"/>
      <c r="N902" s="414"/>
      <c r="O902" s="414"/>
      <c r="P902" s="414"/>
      <c r="Q902" s="414"/>
      <c r="R902" s="414"/>
      <c r="S902" s="414"/>
      <c r="T902" s="414"/>
      <c r="U902" s="414"/>
      <c r="V902" s="414"/>
      <c r="W902" s="414"/>
      <c r="X902" s="414"/>
      <c r="Y902" s="414"/>
      <c r="Z902" s="414"/>
    </row>
    <row r="903" spans="1:26" ht="15.75" customHeight="1" x14ac:dyDescent="0.25">
      <c r="A903" s="424">
        <v>898</v>
      </c>
      <c r="B903" s="250"/>
      <c r="C903" s="250"/>
      <c r="D903" s="250"/>
      <c r="E903" s="250"/>
      <c r="F903" s="425"/>
      <c r="G903" s="425"/>
      <c r="H903" s="346"/>
      <c r="I903" s="250"/>
      <c r="J903" s="426"/>
      <c r="K903" s="426"/>
      <c r="L903" s="414"/>
      <c r="M903" s="414"/>
      <c r="N903" s="414"/>
      <c r="O903" s="414"/>
      <c r="P903" s="414"/>
      <c r="Q903" s="414"/>
      <c r="R903" s="414"/>
      <c r="S903" s="414"/>
      <c r="T903" s="414"/>
      <c r="U903" s="414"/>
      <c r="V903" s="414"/>
      <c r="W903" s="414"/>
      <c r="X903" s="414"/>
      <c r="Y903" s="414"/>
      <c r="Z903" s="414"/>
    </row>
    <row r="904" spans="1:26" ht="15.75" customHeight="1" x14ac:dyDescent="0.25">
      <c r="A904" s="424">
        <v>899</v>
      </c>
      <c r="B904" s="250"/>
      <c r="C904" s="250"/>
      <c r="D904" s="250"/>
      <c r="E904" s="250"/>
      <c r="F904" s="425"/>
      <c r="G904" s="425"/>
      <c r="H904" s="346"/>
      <c r="I904" s="250"/>
      <c r="J904" s="426"/>
      <c r="K904" s="426"/>
      <c r="L904" s="414"/>
      <c r="M904" s="414"/>
      <c r="N904" s="414"/>
      <c r="O904" s="414"/>
      <c r="P904" s="414"/>
      <c r="Q904" s="414"/>
      <c r="R904" s="414"/>
      <c r="S904" s="414"/>
      <c r="T904" s="414"/>
      <c r="U904" s="414"/>
      <c r="V904" s="414"/>
      <c r="W904" s="414"/>
      <c r="X904" s="414"/>
      <c r="Y904" s="414"/>
      <c r="Z904" s="414"/>
    </row>
    <row r="905" spans="1:26" ht="15.75" customHeight="1" x14ac:dyDescent="0.25">
      <c r="A905" s="424">
        <v>900</v>
      </c>
      <c r="B905" s="250"/>
      <c r="C905" s="250"/>
      <c r="D905" s="250"/>
      <c r="E905" s="250"/>
      <c r="F905" s="425"/>
      <c r="G905" s="425"/>
      <c r="H905" s="346"/>
      <c r="I905" s="250"/>
      <c r="J905" s="426"/>
      <c r="K905" s="426"/>
      <c r="L905" s="414"/>
      <c r="M905" s="414"/>
      <c r="N905" s="414"/>
      <c r="O905" s="414"/>
      <c r="P905" s="414"/>
      <c r="Q905" s="414"/>
      <c r="R905" s="414"/>
      <c r="S905" s="414"/>
      <c r="T905" s="414"/>
      <c r="U905" s="414"/>
      <c r="V905" s="414"/>
      <c r="W905" s="414"/>
      <c r="X905" s="414"/>
      <c r="Y905" s="414"/>
      <c r="Z905" s="414"/>
    </row>
    <row r="906" spans="1:26" ht="15.75" customHeight="1" x14ac:dyDescent="0.25">
      <c r="A906" s="424">
        <v>901</v>
      </c>
      <c r="B906" s="250"/>
      <c r="C906" s="250"/>
      <c r="D906" s="250"/>
      <c r="E906" s="250"/>
      <c r="F906" s="425"/>
      <c r="G906" s="425"/>
      <c r="H906" s="346"/>
      <c r="I906" s="250"/>
      <c r="J906" s="426"/>
      <c r="K906" s="426"/>
      <c r="L906" s="414"/>
      <c r="M906" s="414"/>
      <c r="N906" s="414"/>
      <c r="O906" s="414"/>
      <c r="P906" s="414"/>
      <c r="Q906" s="414"/>
      <c r="R906" s="414"/>
      <c r="S906" s="414"/>
      <c r="T906" s="414"/>
      <c r="U906" s="414"/>
      <c r="V906" s="414"/>
      <c r="W906" s="414"/>
      <c r="X906" s="414"/>
      <c r="Y906" s="414"/>
      <c r="Z906" s="414"/>
    </row>
    <row r="907" spans="1:26" ht="15.75" customHeight="1" x14ac:dyDescent="0.25">
      <c r="A907" s="424">
        <v>902</v>
      </c>
      <c r="B907" s="250"/>
      <c r="C907" s="250"/>
      <c r="D907" s="250"/>
      <c r="E907" s="250"/>
      <c r="F907" s="425"/>
      <c r="G907" s="425"/>
      <c r="H907" s="346"/>
      <c r="I907" s="250"/>
      <c r="J907" s="426"/>
      <c r="K907" s="426"/>
      <c r="L907" s="414"/>
      <c r="M907" s="414"/>
      <c r="N907" s="414"/>
      <c r="O907" s="414"/>
      <c r="P907" s="414"/>
      <c r="Q907" s="414"/>
      <c r="R907" s="414"/>
      <c r="S907" s="414"/>
      <c r="T907" s="414"/>
      <c r="U907" s="414"/>
      <c r="V907" s="414"/>
      <c r="W907" s="414"/>
      <c r="X907" s="414"/>
      <c r="Y907" s="414"/>
      <c r="Z907" s="414"/>
    </row>
    <row r="908" spans="1:26" ht="15.75" customHeight="1" x14ac:dyDescent="0.25">
      <c r="A908" s="424">
        <v>903</v>
      </c>
      <c r="B908" s="250"/>
      <c r="C908" s="250"/>
      <c r="D908" s="250"/>
      <c r="E908" s="250"/>
      <c r="F908" s="425"/>
      <c r="G908" s="425"/>
      <c r="H908" s="346"/>
      <c r="I908" s="250"/>
      <c r="J908" s="426"/>
      <c r="K908" s="426"/>
      <c r="L908" s="414"/>
      <c r="M908" s="414"/>
      <c r="N908" s="414"/>
      <c r="O908" s="414"/>
      <c r="P908" s="414"/>
      <c r="Q908" s="414"/>
      <c r="R908" s="414"/>
      <c r="S908" s="414"/>
      <c r="T908" s="414"/>
      <c r="U908" s="414"/>
      <c r="V908" s="414"/>
      <c r="W908" s="414"/>
      <c r="X908" s="414"/>
      <c r="Y908" s="414"/>
      <c r="Z908" s="414"/>
    </row>
    <row r="909" spans="1:26" ht="15.75" customHeight="1" x14ac:dyDescent="0.25">
      <c r="A909" s="424">
        <v>904</v>
      </c>
      <c r="B909" s="250"/>
      <c r="C909" s="250"/>
      <c r="D909" s="250"/>
      <c r="E909" s="250"/>
      <c r="F909" s="425"/>
      <c r="G909" s="425"/>
      <c r="H909" s="346"/>
      <c r="I909" s="250"/>
      <c r="J909" s="426"/>
      <c r="K909" s="426"/>
      <c r="L909" s="414"/>
      <c r="M909" s="414"/>
      <c r="N909" s="414"/>
      <c r="O909" s="414"/>
      <c r="P909" s="414"/>
      <c r="Q909" s="414"/>
      <c r="R909" s="414"/>
      <c r="S909" s="414"/>
      <c r="T909" s="414"/>
      <c r="U909" s="414"/>
      <c r="V909" s="414"/>
      <c r="W909" s="414"/>
      <c r="X909" s="414"/>
      <c r="Y909" s="414"/>
      <c r="Z909" s="414"/>
    </row>
    <row r="910" spans="1:26" ht="15.75" customHeight="1" x14ac:dyDescent="0.25">
      <c r="A910" s="424">
        <v>905</v>
      </c>
      <c r="B910" s="250"/>
      <c r="C910" s="250"/>
      <c r="D910" s="250"/>
      <c r="E910" s="250"/>
      <c r="F910" s="425"/>
      <c r="G910" s="425"/>
      <c r="H910" s="346"/>
      <c r="I910" s="250"/>
      <c r="J910" s="426"/>
      <c r="K910" s="426"/>
      <c r="L910" s="414"/>
      <c r="M910" s="414"/>
      <c r="N910" s="414"/>
      <c r="O910" s="414"/>
      <c r="P910" s="414"/>
      <c r="Q910" s="414"/>
      <c r="R910" s="414"/>
      <c r="S910" s="414"/>
      <c r="T910" s="414"/>
      <c r="U910" s="414"/>
      <c r="V910" s="414"/>
      <c r="W910" s="414"/>
      <c r="X910" s="414"/>
      <c r="Y910" s="414"/>
      <c r="Z910" s="414"/>
    </row>
    <row r="911" spans="1:26" ht="15.75" customHeight="1" x14ac:dyDescent="0.25">
      <c r="A911" s="424">
        <v>906</v>
      </c>
      <c r="B911" s="250"/>
      <c r="C911" s="250"/>
      <c r="D911" s="250"/>
      <c r="E911" s="250"/>
      <c r="F911" s="425"/>
      <c r="G911" s="425"/>
      <c r="H911" s="346"/>
      <c r="I911" s="250"/>
      <c r="J911" s="426"/>
      <c r="K911" s="426"/>
      <c r="L911" s="414"/>
      <c r="M911" s="414"/>
      <c r="N911" s="414"/>
      <c r="O911" s="414"/>
      <c r="P911" s="414"/>
      <c r="Q911" s="414"/>
      <c r="R911" s="414"/>
      <c r="S911" s="414"/>
      <c r="T911" s="414"/>
      <c r="U911" s="414"/>
      <c r="V911" s="414"/>
      <c r="W911" s="414"/>
      <c r="X911" s="414"/>
      <c r="Y911" s="414"/>
      <c r="Z911" s="414"/>
    </row>
    <row r="912" spans="1:26" ht="15.75" customHeight="1" x14ac:dyDescent="0.25">
      <c r="A912" s="424">
        <v>907</v>
      </c>
      <c r="B912" s="250"/>
      <c r="C912" s="250"/>
      <c r="D912" s="250"/>
      <c r="E912" s="250"/>
      <c r="F912" s="425"/>
      <c r="G912" s="425"/>
      <c r="H912" s="346"/>
      <c r="I912" s="250"/>
      <c r="J912" s="426"/>
      <c r="K912" s="426"/>
      <c r="L912" s="414"/>
      <c r="M912" s="414"/>
      <c r="N912" s="414"/>
      <c r="O912" s="414"/>
      <c r="P912" s="414"/>
      <c r="Q912" s="414"/>
      <c r="R912" s="414"/>
      <c r="S912" s="414"/>
      <c r="T912" s="414"/>
      <c r="U912" s="414"/>
      <c r="V912" s="414"/>
      <c r="W912" s="414"/>
      <c r="X912" s="414"/>
      <c r="Y912" s="414"/>
      <c r="Z912" s="414"/>
    </row>
    <row r="913" spans="1:26" ht="15.75" customHeight="1" x14ac:dyDescent="0.25">
      <c r="A913" s="424">
        <v>908</v>
      </c>
      <c r="B913" s="250"/>
      <c r="C913" s="250"/>
      <c r="D913" s="250"/>
      <c r="E913" s="250"/>
      <c r="F913" s="425"/>
      <c r="G913" s="425"/>
      <c r="H913" s="346"/>
      <c r="I913" s="250"/>
      <c r="J913" s="426"/>
      <c r="K913" s="426"/>
      <c r="L913" s="414"/>
      <c r="M913" s="414"/>
      <c r="N913" s="414"/>
      <c r="O913" s="414"/>
      <c r="P913" s="414"/>
      <c r="Q913" s="414"/>
      <c r="R913" s="414"/>
      <c r="S913" s="414"/>
      <c r="T913" s="414"/>
      <c r="U913" s="414"/>
      <c r="V913" s="414"/>
      <c r="W913" s="414"/>
      <c r="X913" s="414"/>
      <c r="Y913" s="414"/>
      <c r="Z913" s="414"/>
    </row>
    <row r="914" spans="1:26" ht="15.75" customHeight="1" x14ac:dyDescent="0.25">
      <c r="A914" s="424">
        <v>909</v>
      </c>
      <c r="B914" s="250"/>
      <c r="C914" s="250"/>
      <c r="D914" s="250"/>
      <c r="E914" s="250"/>
      <c r="F914" s="425"/>
      <c r="G914" s="425"/>
      <c r="H914" s="346"/>
      <c r="I914" s="250"/>
      <c r="J914" s="426"/>
      <c r="K914" s="426"/>
      <c r="L914" s="414"/>
      <c r="M914" s="414"/>
      <c r="N914" s="414"/>
      <c r="O914" s="414"/>
      <c r="P914" s="414"/>
      <c r="Q914" s="414"/>
      <c r="R914" s="414"/>
      <c r="S914" s="414"/>
      <c r="T914" s="414"/>
      <c r="U914" s="414"/>
      <c r="V914" s="414"/>
      <c r="W914" s="414"/>
      <c r="X914" s="414"/>
      <c r="Y914" s="414"/>
      <c r="Z914" s="414"/>
    </row>
    <row r="915" spans="1:26" ht="15.75" customHeight="1" x14ac:dyDescent="0.25">
      <c r="A915" s="424">
        <v>910</v>
      </c>
      <c r="B915" s="250"/>
      <c r="C915" s="250"/>
      <c r="D915" s="250"/>
      <c r="E915" s="250"/>
      <c r="F915" s="425"/>
      <c r="G915" s="425"/>
      <c r="H915" s="346"/>
      <c r="I915" s="250"/>
      <c r="J915" s="426"/>
      <c r="K915" s="426"/>
      <c r="L915" s="414"/>
      <c r="M915" s="414"/>
      <c r="N915" s="414"/>
      <c r="O915" s="414"/>
      <c r="P915" s="414"/>
      <c r="Q915" s="414"/>
      <c r="R915" s="414"/>
      <c r="S915" s="414"/>
      <c r="T915" s="414"/>
      <c r="U915" s="414"/>
      <c r="V915" s="414"/>
      <c r="W915" s="414"/>
      <c r="X915" s="414"/>
      <c r="Y915" s="414"/>
      <c r="Z915" s="414"/>
    </row>
    <row r="916" spans="1:26" ht="15.75" customHeight="1" x14ac:dyDescent="0.25">
      <c r="A916" s="424">
        <v>911</v>
      </c>
      <c r="B916" s="250"/>
      <c r="C916" s="250"/>
      <c r="D916" s="250"/>
      <c r="E916" s="250"/>
      <c r="F916" s="425"/>
      <c r="G916" s="425"/>
      <c r="H916" s="346"/>
      <c r="I916" s="250"/>
      <c r="J916" s="426"/>
      <c r="K916" s="426"/>
      <c r="L916" s="414"/>
      <c r="M916" s="414"/>
      <c r="N916" s="414"/>
      <c r="O916" s="414"/>
      <c r="P916" s="414"/>
      <c r="Q916" s="414"/>
      <c r="R916" s="414"/>
      <c r="S916" s="414"/>
      <c r="T916" s="414"/>
      <c r="U916" s="414"/>
      <c r="V916" s="414"/>
      <c r="W916" s="414"/>
      <c r="X916" s="414"/>
      <c r="Y916" s="414"/>
      <c r="Z916" s="414"/>
    </row>
    <row r="917" spans="1:26" ht="15.75" customHeight="1" x14ac:dyDescent="0.25">
      <c r="A917" s="424">
        <v>912</v>
      </c>
      <c r="B917" s="250"/>
      <c r="C917" s="250"/>
      <c r="D917" s="250"/>
      <c r="E917" s="250"/>
      <c r="F917" s="425"/>
      <c r="G917" s="425"/>
      <c r="H917" s="346"/>
      <c r="I917" s="250"/>
      <c r="J917" s="426"/>
      <c r="K917" s="426"/>
      <c r="L917" s="414"/>
      <c r="M917" s="414"/>
      <c r="N917" s="414"/>
      <c r="O917" s="414"/>
      <c r="P917" s="414"/>
      <c r="Q917" s="414"/>
      <c r="R917" s="414"/>
      <c r="S917" s="414"/>
      <c r="T917" s="414"/>
      <c r="U917" s="414"/>
      <c r="V917" s="414"/>
      <c r="W917" s="414"/>
      <c r="X917" s="414"/>
      <c r="Y917" s="414"/>
      <c r="Z917" s="414"/>
    </row>
    <row r="918" spans="1:26" ht="15.75" customHeight="1" x14ac:dyDescent="0.25">
      <c r="A918" s="424">
        <v>913</v>
      </c>
      <c r="B918" s="250"/>
      <c r="C918" s="250"/>
      <c r="D918" s="250"/>
      <c r="E918" s="250"/>
      <c r="F918" s="425"/>
      <c r="G918" s="425"/>
      <c r="H918" s="346"/>
      <c r="I918" s="250"/>
      <c r="J918" s="426"/>
      <c r="K918" s="426"/>
      <c r="L918" s="414"/>
      <c r="M918" s="414"/>
      <c r="N918" s="414"/>
      <c r="O918" s="414"/>
      <c r="P918" s="414"/>
      <c r="Q918" s="414"/>
      <c r="R918" s="414"/>
      <c r="S918" s="414"/>
      <c r="T918" s="414"/>
      <c r="U918" s="414"/>
      <c r="V918" s="414"/>
      <c r="W918" s="414"/>
      <c r="X918" s="414"/>
      <c r="Y918" s="414"/>
      <c r="Z918" s="414"/>
    </row>
    <row r="919" spans="1:26" ht="15.75" customHeight="1" x14ac:dyDescent="0.25">
      <c r="A919" s="424">
        <v>914</v>
      </c>
      <c r="B919" s="250"/>
      <c r="C919" s="250"/>
      <c r="D919" s="250"/>
      <c r="E919" s="250"/>
      <c r="F919" s="425"/>
      <c r="G919" s="425"/>
      <c r="H919" s="346"/>
      <c r="I919" s="250"/>
      <c r="J919" s="426"/>
      <c r="K919" s="426"/>
      <c r="L919" s="414"/>
      <c r="M919" s="414"/>
      <c r="N919" s="414"/>
      <c r="O919" s="414"/>
      <c r="P919" s="414"/>
      <c r="Q919" s="414"/>
      <c r="R919" s="414"/>
      <c r="S919" s="414"/>
      <c r="T919" s="414"/>
      <c r="U919" s="414"/>
      <c r="V919" s="414"/>
      <c r="W919" s="414"/>
      <c r="X919" s="414"/>
      <c r="Y919" s="414"/>
      <c r="Z919" s="414"/>
    </row>
    <row r="920" spans="1:26" ht="15.75" customHeight="1" x14ac:dyDescent="0.25">
      <c r="A920" s="424">
        <v>915</v>
      </c>
      <c r="B920" s="250"/>
      <c r="C920" s="250"/>
      <c r="D920" s="250"/>
      <c r="E920" s="250"/>
      <c r="F920" s="425"/>
      <c r="G920" s="425"/>
      <c r="H920" s="346"/>
      <c r="I920" s="250"/>
      <c r="J920" s="426"/>
      <c r="K920" s="426"/>
      <c r="L920" s="414"/>
      <c r="M920" s="414"/>
      <c r="N920" s="414"/>
      <c r="O920" s="414"/>
      <c r="P920" s="414"/>
      <c r="Q920" s="414"/>
      <c r="R920" s="414"/>
      <c r="S920" s="414"/>
      <c r="T920" s="414"/>
      <c r="U920" s="414"/>
      <c r="V920" s="414"/>
      <c r="W920" s="414"/>
      <c r="X920" s="414"/>
      <c r="Y920" s="414"/>
      <c r="Z920" s="414"/>
    </row>
    <row r="921" spans="1:26" ht="15.75" customHeight="1" x14ac:dyDescent="0.25">
      <c r="A921" s="424">
        <v>916</v>
      </c>
      <c r="B921" s="250"/>
      <c r="C921" s="250"/>
      <c r="D921" s="250"/>
      <c r="E921" s="250"/>
      <c r="F921" s="425"/>
      <c r="G921" s="425"/>
      <c r="H921" s="346"/>
      <c r="I921" s="250"/>
      <c r="J921" s="426"/>
      <c r="K921" s="426"/>
      <c r="L921" s="414"/>
      <c r="M921" s="414"/>
      <c r="N921" s="414"/>
      <c r="O921" s="414"/>
      <c r="P921" s="414"/>
      <c r="Q921" s="414"/>
      <c r="R921" s="414"/>
      <c r="S921" s="414"/>
      <c r="T921" s="414"/>
      <c r="U921" s="414"/>
      <c r="V921" s="414"/>
      <c r="W921" s="414"/>
      <c r="X921" s="414"/>
      <c r="Y921" s="414"/>
      <c r="Z921" s="414"/>
    </row>
    <row r="922" spans="1:26" ht="15.75" customHeight="1" x14ac:dyDescent="0.25">
      <c r="A922" s="424">
        <v>917</v>
      </c>
      <c r="B922" s="250"/>
      <c r="C922" s="250"/>
      <c r="D922" s="250"/>
      <c r="E922" s="250"/>
      <c r="F922" s="425"/>
      <c r="G922" s="425"/>
      <c r="H922" s="346"/>
      <c r="I922" s="250"/>
      <c r="J922" s="426"/>
      <c r="K922" s="426"/>
      <c r="L922" s="414"/>
      <c r="M922" s="414"/>
      <c r="N922" s="414"/>
      <c r="O922" s="414"/>
      <c r="P922" s="414"/>
      <c r="Q922" s="414"/>
      <c r="R922" s="414"/>
      <c r="S922" s="414"/>
      <c r="T922" s="414"/>
      <c r="U922" s="414"/>
      <c r="V922" s="414"/>
      <c r="W922" s="414"/>
      <c r="X922" s="414"/>
      <c r="Y922" s="414"/>
      <c r="Z922" s="414"/>
    </row>
    <row r="923" spans="1:26" ht="15.75" customHeight="1" x14ac:dyDescent="0.25">
      <c r="A923" s="424">
        <v>918</v>
      </c>
      <c r="B923" s="250"/>
      <c r="C923" s="250"/>
      <c r="D923" s="250"/>
      <c r="E923" s="250"/>
      <c r="F923" s="425"/>
      <c r="G923" s="425"/>
      <c r="H923" s="346"/>
      <c r="I923" s="250"/>
      <c r="J923" s="426"/>
      <c r="K923" s="426"/>
      <c r="L923" s="414"/>
      <c r="M923" s="414"/>
      <c r="N923" s="414"/>
      <c r="O923" s="414"/>
      <c r="P923" s="414"/>
      <c r="Q923" s="414"/>
      <c r="R923" s="414"/>
      <c r="S923" s="414"/>
      <c r="T923" s="414"/>
      <c r="U923" s="414"/>
      <c r="V923" s="414"/>
      <c r="W923" s="414"/>
      <c r="X923" s="414"/>
      <c r="Y923" s="414"/>
      <c r="Z923" s="414"/>
    </row>
    <row r="924" spans="1:26" ht="15.75" customHeight="1" x14ac:dyDescent="0.25">
      <c r="A924" s="424">
        <v>919</v>
      </c>
      <c r="B924" s="250"/>
      <c r="C924" s="250"/>
      <c r="D924" s="250"/>
      <c r="E924" s="250"/>
      <c r="F924" s="425"/>
      <c r="G924" s="425"/>
      <c r="H924" s="346"/>
      <c r="I924" s="250"/>
      <c r="J924" s="426"/>
      <c r="K924" s="426"/>
      <c r="L924" s="414"/>
      <c r="M924" s="414"/>
      <c r="N924" s="414"/>
      <c r="O924" s="414"/>
      <c r="P924" s="414"/>
      <c r="Q924" s="414"/>
      <c r="R924" s="414"/>
      <c r="S924" s="414"/>
      <c r="T924" s="414"/>
      <c r="U924" s="414"/>
      <c r="V924" s="414"/>
      <c r="W924" s="414"/>
      <c r="X924" s="414"/>
      <c r="Y924" s="414"/>
      <c r="Z924" s="414"/>
    </row>
    <row r="925" spans="1:26" ht="15.75" customHeight="1" x14ac:dyDescent="0.25">
      <c r="A925" s="424">
        <v>920</v>
      </c>
      <c r="B925" s="250"/>
      <c r="C925" s="250"/>
      <c r="D925" s="250"/>
      <c r="E925" s="250"/>
      <c r="F925" s="425"/>
      <c r="G925" s="425"/>
      <c r="H925" s="346"/>
      <c r="I925" s="250"/>
      <c r="J925" s="426"/>
      <c r="K925" s="426"/>
      <c r="L925" s="414"/>
      <c r="M925" s="414"/>
      <c r="N925" s="414"/>
      <c r="O925" s="414"/>
      <c r="P925" s="414"/>
      <c r="Q925" s="414"/>
      <c r="R925" s="414"/>
      <c r="S925" s="414"/>
      <c r="T925" s="414"/>
      <c r="U925" s="414"/>
      <c r="V925" s="414"/>
      <c r="W925" s="414"/>
      <c r="X925" s="414"/>
      <c r="Y925" s="414"/>
      <c r="Z925" s="414"/>
    </row>
    <row r="926" spans="1:26" ht="15.75" customHeight="1" x14ac:dyDescent="0.25">
      <c r="A926" s="424">
        <v>921</v>
      </c>
      <c r="B926" s="250"/>
      <c r="C926" s="250"/>
      <c r="D926" s="250"/>
      <c r="E926" s="250"/>
      <c r="F926" s="425"/>
      <c r="G926" s="425"/>
      <c r="H926" s="346"/>
      <c r="I926" s="250"/>
      <c r="J926" s="426"/>
      <c r="K926" s="426"/>
      <c r="L926" s="414"/>
      <c r="M926" s="414"/>
      <c r="N926" s="414"/>
      <c r="O926" s="414"/>
      <c r="P926" s="414"/>
      <c r="Q926" s="414"/>
      <c r="R926" s="414"/>
      <c r="S926" s="414"/>
      <c r="T926" s="414"/>
      <c r="U926" s="414"/>
      <c r="V926" s="414"/>
      <c r="W926" s="414"/>
      <c r="X926" s="414"/>
      <c r="Y926" s="414"/>
      <c r="Z926" s="414"/>
    </row>
    <row r="927" spans="1:26" ht="15.75" customHeight="1" x14ac:dyDescent="0.25">
      <c r="A927" s="424">
        <v>922</v>
      </c>
      <c r="B927" s="250"/>
      <c r="C927" s="250"/>
      <c r="D927" s="250"/>
      <c r="E927" s="250"/>
      <c r="F927" s="425"/>
      <c r="G927" s="425"/>
      <c r="H927" s="346"/>
      <c r="I927" s="250"/>
      <c r="J927" s="426"/>
      <c r="K927" s="426"/>
      <c r="L927" s="414"/>
      <c r="M927" s="414"/>
      <c r="N927" s="414"/>
      <c r="O927" s="414"/>
      <c r="P927" s="414"/>
      <c r="Q927" s="414"/>
      <c r="R927" s="414"/>
      <c r="S927" s="414"/>
      <c r="T927" s="414"/>
      <c r="U927" s="414"/>
      <c r="V927" s="414"/>
      <c r="W927" s="414"/>
      <c r="X927" s="414"/>
      <c r="Y927" s="414"/>
      <c r="Z927" s="414"/>
    </row>
    <row r="928" spans="1:26" ht="15.75" customHeight="1" x14ac:dyDescent="0.25">
      <c r="A928" s="424">
        <v>923</v>
      </c>
      <c r="B928" s="250"/>
      <c r="C928" s="250"/>
      <c r="D928" s="250"/>
      <c r="E928" s="250"/>
      <c r="F928" s="425"/>
      <c r="G928" s="425"/>
      <c r="H928" s="346"/>
      <c r="I928" s="250"/>
      <c r="J928" s="426"/>
      <c r="K928" s="426"/>
      <c r="L928" s="414"/>
      <c r="M928" s="414"/>
      <c r="N928" s="414"/>
      <c r="O928" s="414"/>
      <c r="P928" s="414"/>
      <c r="Q928" s="414"/>
      <c r="R928" s="414"/>
      <c r="S928" s="414"/>
      <c r="T928" s="414"/>
      <c r="U928" s="414"/>
      <c r="V928" s="414"/>
      <c r="W928" s="414"/>
      <c r="X928" s="414"/>
      <c r="Y928" s="414"/>
      <c r="Z928" s="414"/>
    </row>
    <row r="929" spans="1:26" ht="15.75" customHeight="1" x14ac:dyDescent="0.25">
      <c r="A929" s="424">
        <v>924</v>
      </c>
      <c r="B929" s="250"/>
      <c r="C929" s="250"/>
      <c r="D929" s="250"/>
      <c r="E929" s="250"/>
      <c r="F929" s="425"/>
      <c r="G929" s="425"/>
      <c r="H929" s="346"/>
      <c r="I929" s="250"/>
      <c r="J929" s="426"/>
      <c r="K929" s="426"/>
      <c r="L929" s="414"/>
      <c r="M929" s="414"/>
      <c r="N929" s="414"/>
      <c r="O929" s="414"/>
      <c r="P929" s="414"/>
      <c r="Q929" s="414"/>
      <c r="R929" s="414"/>
      <c r="S929" s="414"/>
      <c r="T929" s="414"/>
      <c r="U929" s="414"/>
      <c r="V929" s="414"/>
      <c r="W929" s="414"/>
      <c r="X929" s="414"/>
      <c r="Y929" s="414"/>
      <c r="Z929" s="414"/>
    </row>
    <row r="930" spans="1:26" ht="15.75" customHeight="1" x14ac:dyDescent="0.25">
      <c r="A930" s="424">
        <v>925</v>
      </c>
      <c r="B930" s="250"/>
      <c r="C930" s="250"/>
      <c r="D930" s="250"/>
      <c r="E930" s="250"/>
      <c r="F930" s="425"/>
      <c r="G930" s="425"/>
      <c r="H930" s="346"/>
      <c r="I930" s="250"/>
      <c r="J930" s="426"/>
      <c r="K930" s="426"/>
      <c r="L930" s="414"/>
      <c r="M930" s="414"/>
      <c r="N930" s="414"/>
      <c r="O930" s="414"/>
      <c r="P930" s="414"/>
      <c r="Q930" s="414"/>
      <c r="R930" s="414"/>
      <c r="S930" s="414"/>
      <c r="T930" s="414"/>
      <c r="U930" s="414"/>
      <c r="V930" s="414"/>
      <c r="W930" s="414"/>
      <c r="X930" s="414"/>
      <c r="Y930" s="414"/>
      <c r="Z930" s="414"/>
    </row>
    <row r="931" spans="1:26" ht="15.75" customHeight="1" x14ac:dyDescent="0.25">
      <c r="A931" s="424">
        <v>926</v>
      </c>
      <c r="B931" s="250"/>
      <c r="C931" s="250"/>
      <c r="D931" s="250"/>
      <c r="E931" s="250"/>
      <c r="F931" s="425"/>
      <c r="G931" s="425"/>
      <c r="H931" s="346"/>
      <c r="I931" s="250"/>
      <c r="J931" s="426"/>
      <c r="K931" s="426"/>
      <c r="L931" s="414"/>
      <c r="M931" s="414"/>
      <c r="N931" s="414"/>
      <c r="O931" s="414"/>
      <c r="P931" s="414"/>
      <c r="Q931" s="414"/>
      <c r="R931" s="414"/>
      <c r="S931" s="414"/>
      <c r="T931" s="414"/>
      <c r="U931" s="414"/>
      <c r="V931" s="414"/>
      <c r="W931" s="414"/>
      <c r="X931" s="414"/>
      <c r="Y931" s="414"/>
      <c r="Z931" s="414"/>
    </row>
    <row r="932" spans="1:26" ht="15.75" customHeight="1" x14ac:dyDescent="0.25">
      <c r="A932" s="424">
        <v>927</v>
      </c>
      <c r="B932" s="250"/>
      <c r="C932" s="250"/>
      <c r="D932" s="250"/>
      <c r="E932" s="250"/>
      <c r="F932" s="425"/>
      <c r="G932" s="425"/>
      <c r="H932" s="346"/>
      <c r="I932" s="250"/>
      <c r="J932" s="426"/>
      <c r="K932" s="426"/>
      <c r="L932" s="414"/>
      <c r="M932" s="414"/>
      <c r="N932" s="414"/>
      <c r="O932" s="414"/>
      <c r="P932" s="414"/>
      <c r="Q932" s="414"/>
      <c r="R932" s="414"/>
      <c r="S932" s="414"/>
      <c r="T932" s="414"/>
      <c r="U932" s="414"/>
      <c r="V932" s="414"/>
      <c r="W932" s="414"/>
      <c r="X932" s="414"/>
      <c r="Y932" s="414"/>
      <c r="Z932" s="414"/>
    </row>
    <row r="933" spans="1:26" ht="15.75" customHeight="1" x14ac:dyDescent="0.25">
      <c r="A933" s="424">
        <v>928</v>
      </c>
      <c r="B933" s="250"/>
      <c r="C933" s="250"/>
      <c r="D933" s="250"/>
      <c r="E933" s="250"/>
      <c r="F933" s="425"/>
      <c r="G933" s="425"/>
      <c r="H933" s="346"/>
      <c r="I933" s="250"/>
      <c r="J933" s="426"/>
      <c r="K933" s="426"/>
      <c r="L933" s="414"/>
      <c r="M933" s="414"/>
      <c r="N933" s="414"/>
      <c r="O933" s="414"/>
      <c r="P933" s="414"/>
      <c r="Q933" s="414"/>
      <c r="R933" s="414"/>
      <c r="S933" s="414"/>
      <c r="T933" s="414"/>
      <c r="U933" s="414"/>
      <c r="V933" s="414"/>
      <c r="W933" s="414"/>
      <c r="X933" s="414"/>
      <c r="Y933" s="414"/>
      <c r="Z933" s="414"/>
    </row>
    <row r="934" spans="1:26" ht="15.75" customHeight="1" x14ac:dyDescent="0.25">
      <c r="A934" s="424">
        <v>929</v>
      </c>
      <c r="B934" s="250"/>
      <c r="C934" s="250"/>
      <c r="D934" s="250"/>
      <c r="E934" s="250"/>
      <c r="F934" s="425"/>
      <c r="G934" s="425"/>
      <c r="H934" s="346"/>
      <c r="I934" s="250"/>
      <c r="J934" s="426"/>
      <c r="K934" s="426"/>
      <c r="L934" s="414"/>
      <c r="M934" s="414"/>
      <c r="N934" s="414"/>
      <c r="O934" s="414"/>
      <c r="P934" s="414"/>
      <c r="Q934" s="414"/>
      <c r="R934" s="414"/>
      <c r="S934" s="414"/>
      <c r="T934" s="414"/>
      <c r="U934" s="414"/>
      <c r="V934" s="414"/>
      <c r="W934" s="414"/>
      <c r="X934" s="414"/>
      <c r="Y934" s="414"/>
      <c r="Z934" s="414"/>
    </row>
    <row r="935" spans="1:26" ht="15.75" customHeight="1" x14ac:dyDescent="0.25">
      <c r="A935" s="424">
        <v>930</v>
      </c>
      <c r="B935" s="250"/>
      <c r="C935" s="250"/>
      <c r="D935" s="250"/>
      <c r="E935" s="250"/>
      <c r="F935" s="425"/>
      <c r="G935" s="425"/>
      <c r="H935" s="346"/>
      <c r="I935" s="250"/>
      <c r="J935" s="426"/>
      <c r="K935" s="426"/>
      <c r="L935" s="414"/>
      <c r="M935" s="414"/>
      <c r="N935" s="414"/>
      <c r="O935" s="414"/>
      <c r="P935" s="414"/>
      <c r="Q935" s="414"/>
      <c r="R935" s="414"/>
      <c r="S935" s="414"/>
      <c r="T935" s="414"/>
      <c r="U935" s="414"/>
      <c r="V935" s="414"/>
      <c r="W935" s="414"/>
      <c r="X935" s="414"/>
      <c r="Y935" s="414"/>
      <c r="Z935" s="414"/>
    </row>
    <row r="936" spans="1:26" ht="15.75" customHeight="1" x14ac:dyDescent="0.25">
      <c r="A936" s="424">
        <v>931</v>
      </c>
      <c r="B936" s="250"/>
      <c r="C936" s="250"/>
      <c r="D936" s="250"/>
      <c r="E936" s="250"/>
      <c r="F936" s="425"/>
      <c r="G936" s="425"/>
      <c r="H936" s="346"/>
      <c r="I936" s="250"/>
      <c r="J936" s="426"/>
      <c r="K936" s="426"/>
      <c r="L936" s="414"/>
      <c r="M936" s="414"/>
      <c r="N936" s="414"/>
      <c r="O936" s="414"/>
      <c r="P936" s="414"/>
      <c r="Q936" s="414"/>
      <c r="R936" s="414"/>
      <c r="S936" s="414"/>
      <c r="T936" s="414"/>
      <c r="U936" s="414"/>
      <c r="V936" s="414"/>
      <c r="W936" s="414"/>
      <c r="X936" s="414"/>
      <c r="Y936" s="414"/>
      <c r="Z936" s="414"/>
    </row>
    <row r="937" spans="1:26" ht="15.75" customHeight="1" x14ac:dyDescent="0.25">
      <c r="A937" s="424">
        <v>932</v>
      </c>
      <c r="B937" s="250"/>
      <c r="C937" s="250"/>
      <c r="D937" s="250"/>
      <c r="E937" s="250"/>
      <c r="F937" s="425"/>
      <c r="G937" s="425"/>
      <c r="H937" s="346"/>
      <c r="I937" s="250"/>
      <c r="J937" s="426"/>
      <c r="K937" s="426"/>
      <c r="L937" s="414"/>
      <c r="M937" s="414"/>
      <c r="N937" s="414"/>
      <c r="O937" s="414"/>
      <c r="P937" s="414"/>
      <c r="Q937" s="414"/>
      <c r="R937" s="414"/>
      <c r="S937" s="414"/>
      <c r="T937" s="414"/>
      <c r="U937" s="414"/>
      <c r="V937" s="414"/>
      <c r="W937" s="414"/>
      <c r="X937" s="414"/>
      <c r="Y937" s="414"/>
      <c r="Z937" s="414"/>
    </row>
    <row r="938" spans="1:26" ht="15.75" customHeight="1" x14ac:dyDescent="0.25">
      <c r="A938" s="424">
        <v>933</v>
      </c>
      <c r="B938" s="250"/>
      <c r="C938" s="250"/>
      <c r="D938" s="250"/>
      <c r="E938" s="250"/>
      <c r="F938" s="425"/>
      <c r="G938" s="425"/>
      <c r="H938" s="346"/>
      <c r="I938" s="250"/>
      <c r="J938" s="426"/>
      <c r="K938" s="426"/>
      <c r="L938" s="414"/>
      <c r="M938" s="414"/>
      <c r="N938" s="414"/>
      <c r="O938" s="414"/>
      <c r="P938" s="414"/>
      <c r="Q938" s="414"/>
      <c r="R938" s="414"/>
      <c r="S938" s="414"/>
      <c r="T938" s="414"/>
      <c r="U938" s="414"/>
      <c r="V938" s="414"/>
      <c r="W938" s="414"/>
      <c r="X938" s="414"/>
      <c r="Y938" s="414"/>
      <c r="Z938" s="414"/>
    </row>
    <row r="939" spans="1:26" ht="15.75" customHeight="1" x14ac:dyDescent="0.25">
      <c r="A939" s="424">
        <v>934</v>
      </c>
      <c r="B939" s="250"/>
      <c r="C939" s="250"/>
      <c r="D939" s="250"/>
      <c r="E939" s="250"/>
      <c r="F939" s="425"/>
      <c r="G939" s="425"/>
      <c r="H939" s="346"/>
      <c r="I939" s="250"/>
      <c r="J939" s="426"/>
      <c r="K939" s="426"/>
      <c r="L939" s="414"/>
      <c r="M939" s="414"/>
      <c r="N939" s="414"/>
      <c r="O939" s="414"/>
      <c r="P939" s="414"/>
      <c r="Q939" s="414"/>
      <c r="R939" s="414"/>
      <c r="S939" s="414"/>
      <c r="T939" s="414"/>
      <c r="U939" s="414"/>
      <c r="V939" s="414"/>
      <c r="W939" s="414"/>
      <c r="X939" s="414"/>
      <c r="Y939" s="414"/>
      <c r="Z939" s="414"/>
    </row>
    <row r="940" spans="1:26" ht="15.75" customHeight="1" x14ac:dyDescent="0.25">
      <c r="A940" s="424">
        <v>935</v>
      </c>
      <c r="B940" s="250"/>
      <c r="C940" s="250"/>
      <c r="D940" s="250"/>
      <c r="E940" s="250"/>
      <c r="F940" s="425"/>
      <c r="G940" s="425"/>
      <c r="H940" s="346"/>
      <c r="I940" s="250"/>
      <c r="J940" s="426"/>
      <c r="K940" s="426"/>
      <c r="L940" s="414"/>
      <c r="M940" s="414"/>
      <c r="N940" s="414"/>
      <c r="O940" s="414"/>
      <c r="P940" s="414"/>
      <c r="Q940" s="414"/>
      <c r="R940" s="414"/>
      <c r="S940" s="414"/>
      <c r="T940" s="414"/>
      <c r="U940" s="414"/>
      <c r="V940" s="414"/>
      <c r="W940" s="414"/>
      <c r="X940" s="414"/>
      <c r="Y940" s="414"/>
      <c r="Z940" s="414"/>
    </row>
    <row r="941" spans="1:26" ht="15.75" customHeight="1" x14ac:dyDescent="0.25">
      <c r="A941" s="424">
        <v>936</v>
      </c>
      <c r="B941" s="250"/>
      <c r="C941" s="250"/>
      <c r="D941" s="250"/>
      <c r="E941" s="250"/>
      <c r="F941" s="425"/>
      <c r="G941" s="425"/>
      <c r="H941" s="346"/>
      <c r="I941" s="250"/>
      <c r="J941" s="426"/>
      <c r="K941" s="426"/>
      <c r="L941" s="414"/>
      <c r="M941" s="414"/>
      <c r="N941" s="414"/>
      <c r="O941" s="414"/>
      <c r="P941" s="414"/>
      <c r="Q941" s="414"/>
      <c r="R941" s="414"/>
      <c r="S941" s="414"/>
      <c r="T941" s="414"/>
      <c r="U941" s="414"/>
      <c r="V941" s="414"/>
      <c r="W941" s="414"/>
      <c r="X941" s="414"/>
      <c r="Y941" s="414"/>
      <c r="Z941" s="414"/>
    </row>
    <row r="942" spans="1:26" ht="15.75" customHeight="1" x14ac:dyDescent="0.25">
      <c r="A942" s="424">
        <v>937</v>
      </c>
      <c r="B942" s="250"/>
      <c r="C942" s="250"/>
      <c r="D942" s="250"/>
      <c r="E942" s="250"/>
      <c r="F942" s="425"/>
      <c r="G942" s="425"/>
      <c r="H942" s="346"/>
      <c r="I942" s="250"/>
      <c r="J942" s="426"/>
      <c r="K942" s="426"/>
      <c r="L942" s="414"/>
      <c r="M942" s="414"/>
      <c r="N942" s="414"/>
      <c r="O942" s="414"/>
      <c r="P942" s="414"/>
      <c r="Q942" s="414"/>
      <c r="R942" s="414"/>
      <c r="S942" s="414"/>
      <c r="T942" s="414"/>
      <c r="U942" s="414"/>
      <c r="V942" s="414"/>
      <c r="W942" s="414"/>
      <c r="X942" s="414"/>
      <c r="Y942" s="414"/>
      <c r="Z942" s="414"/>
    </row>
    <row r="943" spans="1:26" ht="15.75" customHeight="1" x14ac:dyDescent="0.25">
      <c r="A943" s="424">
        <v>938</v>
      </c>
      <c r="B943" s="250"/>
      <c r="C943" s="250"/>
      <c r="D943" s="250"/>
      <c r="E943" s="250"/>
      <c r="F943" s="425"/>
      <c r="G943" s="425"/>
      <c r="H943" s="346"/>
      <c r="I943" s="250"/>
      <c r="J943" s="426"/>
      <c r="K943" s="426"/>
      <c r="L943" s="414"/>
      <c r="M943" s="414"/>
      <c r="N943" s="414"/>
      <c r="O943" s="414"/>
      <c r="P943" s="414"/>
      <c r="Q943" s="414"/>
      <c r="R943" s="414"/>
      <c r="S943" s="414"/>
      <c r="T943" s="414"/>
      <c r="U943" s="414"/>
      <c r="V943" s="414"/>
      <c r="W943" s="414"/>
      <c r="X943" s="414"/>
      <c r="Y943" s="414"/>
      <c r="Z943" s="414"/>
    </row>
    <row r="944" spans="1:26" ht="15.75" customHeight="1" x14ac:dyDescent="0.25">
      <c r="A944" s="424">
        <v>939</v>
      </c>
      <c r="B944" s="250"/>
      <c r="C944" s="250"/>
      <c r="D944" s="250"/>
      <c r="E944" s="250"/>
      <c r="F944" s="425"/>
      <c r="G944" s="425"/>
      <c r="H944" s="346"/>
      <c r="I944" s="250"/>
      <c r="J944" s="426"/>
      <c r="K944" s="426"/>
      <c r="L944" s="414"/>
      <c r="M944" s="414"/>
      <c r="N944" s="414"/>
      <c r="O944" s="414"/>
      <c r="P944" s="414"/>
      <c r="Q944" s="414"/>
      <c r="R944" s="414"/>
      <c r="S944" s="414"/>
      <c r="T944" s="414"/>
      <c r="U944" s="414"/>
      <c r="V944" s="414"/>
      <c r="W944" s="414"/>
      <c r="X944" s="414"/>
      <c r="Y944" s="414"/>
      <c r="Z944" s="414"/>
    </row>
    <row r="945" spans="1:26" ht="15.75" customHeight="1" x14ac:dyDescent="0.25">
      <c r="A945" s="424">
        <v>940</v>
      </c>
      <c r="B945" s="250"/>
      <c r="C945" s="250"/>
      <c r="D945" s="250"/>
      <c r="E945" s="250"/>
      <c r="F945" s="425"/>
      <c r="G945" s="425"/>
      <c r="H945" s="346"/>
      <c r="I945" s="250"/>
      <c r="J945" s="426"/>
      <c r="K945" s="426"/>
      <c r="L945" s="414"/>
      <c r="M945" s="414"/>
      <c r="N945" s="414"/>
      <c r="O945" s="414"/>
      <c r="P945" s="414"/>
      <c r="Q945" s="414"/>
      <c r="R945" s="414"/>
      <c r="S945" s="414"/>
      <c r="T945" s="414"/>
      <c r="U945" s="414"/>
      <c r="V945" s="414"/>
      <c r="W945" s="414"/>
      <c r="X945" s="414"/>
      <c r="Y945" s="414"/>
      <c r="Z945" s="414"/>
    </row>
    <row r="946" spans="1:26" ht="15.75" customHeight="1" x14ac:dyDescent="0.25">
      <c r="A946" s="424">
        <v>941</v>
      </c>
      <c r="B946" s="250"/>
      <c r="C946" s="250"/>
      <c r="D946" s="250"/>
      <c r="E946" s="250"/>
      <c r="F946" s="425"/>
      <c r="G946" s="425"/>
      <c r="H946" s="346"/>
      <c r="I946" s="250"/>
      <c r="J946" s="426"/>
      <c r="K946" s="426"/>
      <c r="L946" s="414"/>
      <c r="M946" s="414"/>
      <c r="N946" s="414"/>
      <c r="O946" s="414"/>
      <c r="P946" s="414"/>
      <c r="Q946" s="414"/>
      <c r="R946" s="414"/>
      <c r="S946" s="414"/>
      <c r="T946" s="414"/>
      <c r="U946" s="414"/>
      <c r="V946" s="414"/>
      <c r="W946" s="414"/>
      <c r="X946" s="414"/>
      <c r="Y946" s="414"/>
      <c r="Z946" s="414"/>
    </row>
    <row r="947" spans="1:26" ht="15.75" customHeight="1" x14ac:dyDescent="0.25">
      <c r="A947" s="424">
        <v>942</v>
      </c>
      <c r="B947" s="250"/>
      <c r="C947" s="250"/>
      <c r="D947" s="250"/>
      <c r="E947" s="250"/>
      <c r="F947" s="425"/>
      <c r="G947" s="425"/>
      <c r="H947" s="346"/>
      <c r="I947" s="250"/>
      <c r="J947" s="426"/>
      <c r="K947" s="426"/>
      <c r="L947" s="414"/>
      <c r="M947" s="414"/>
      <c r="N947" s="414"/>
      <c r="O947" s="414"/>
      <c r="P947" s="414"/>
      <c r="Q947" s="414"/>
      <c r="R947" s="414"/>
      <c r="S947" s="414"/>
      <c r="T947" s="414"/>
      <c r="U947" s="414"/>
      <c r="V947" s="414"/>
      <c r="W947" s="414"/>
      <c r="X947" s="414"/>
      <c r="Y947" s="414"/>
      <c r="Z947" s="414"/>
    </row>
    <row r="948" spans="1:26" ht="15.75" customHeight="1" x14ac:dyDescent="0.25">
      <c r="A948" s="424">
        <v>943</v>
      </c>
      <c r="B948" s="250"/>
      <c r="C948" s="250"/>
      <c r="D948" s="250"/>
      <c r="E948" s="250"/>
      <c r="F948" s="425"/>
      <c r="G948" s="425"/>
      <c r="H948" s="346"/>
      <c r="I948" s="250"/>
      <c r="J948" s="426"/>
      <c r="K948" s="426"/>
      <c r="L948" s="414"/>
      <c r="M948" s="414"/>
      <c r="N948" s="414"/>
      <c r="O948" s="414"/>
      <c r="P948" s="414"/>
      <c r="Q948" s="414"/>
      <c r="R948" s="414"/>
      <c r="S948" s="414"/>
      <c r="T948" s="414"/>
      <c r="U948" s="414"/>
      <c r="V948" s="414"/>
      <c r="W948" s="414"/>
      <c r="X948" s="414"/>
      <c r="Y948" s="414"/>
      <c r="Z948" s="414"/>
    </row>
    <row r="949" spans="1:26" ht="15.75" customHeight="1" x14ac:dyDescent="0.25">
      <c r="A949" s="424">
        <v>944</v>
      </c>
      <c r="B949" s="250"/>
      <c r="C949" s="250"/>
      <c r="D949" s="250"/>
      <c r="E949" s="250"/>
      <c r="F949" s="425"/>
      <c r="G949" s="425"/>
      <c r="H949" s="346"/>
      <c r="I949" s="250"/>
      <c r="J949" s="426"/>
      <c r="K949" s="426"/>
      <c r="L949" s="414"/>
      <c r="M949" s="414"/>
      <c r="N949" s="414"/>
      <c r="O949" s="414"/>
      <c r="P949" s="414"/>
      <c r="Q949" s="414"/>
      <c r="R949" s="414"/>
      <c r="S949" s="414"/>
      <c r="T949" s="414"/>
      <c r="U949" s="414"/>
      <c r="V949" s="414"/>
      <c r="W949" s="414"/>
      <c r="X949" s="414"/>
      <c r="Y949" s="414"/>
      <c r="Z949" s="414"/>
    </row>
    <row r="950" spans="1:26" ht="15.75" customHeight="1" x14ac:dyDescent="0.25">
      <c r="A950" s="424">
        <v>945</v>
      </c>
      <c r="B950" s="250"/>
      <c r="C950" s="250"/>
      <c r="D950" s="250"/>
      <c r="E950" s="250"/>
      <c r="F950" s="425"/>
      <c r="G950" s="425"/>
      <c r="H950" s="346"/>
      <c r="I950" s="250"/>
      <c r="J950" s="426"/>
      <c r="K950" s="426"/>
      <c r="L950" s="414"/>
      <c r="M950" s="414"/>
      <c r="N950" s="414"/>
      <c r="O950" s="414"/>
      <c r="P950" s="414"/>
      <c r="Q950" s="414"/>
      <c r="R950" s="414"/>
      <c r="S950" s="414"/>
      <c r="T950" s="414"/>
      <c r="U950" s="414"/>
      <c r="V950" s="414"/>
      <c r="W950" s="414"/>
      <c r="X950" s="414"/>
      <c r="Y950" s="414"/>
      <c r="Z950" s="414"/>
    </row>
    <row r="951" spans="1:26" ht="15.75" customHeight="1" x14ac:dyDescent="0.25">
      <c r="A951" s="424">
        <v>946</v>
      </c>
      <c r="B951" s="250"/>
      <c r="C951" s="250"/>
      <c r="D951" s="250"/>
      <c r="E951" s="250"/>
      <c r="F951" s="425"/>
      <c r="G951" s="425"/>
      <c r="H951" s="346"/>
      <c r="I951" s="250"/>
      <c r="J951" s="426"/>
      <c r="K951" s="426"/>
      <c r="L951" s="414"/>
      <c r="M951" s="414"/>
      <c r="N951" s="414"/>
      <c r="O951" s="414"/>
      <c r="P951" s="414"/>
      <c r="Q951" s="414"/>
      <c r="R951" s="414"/>
      <c r="S951" s="414"/>
      <c r="T951" s="414"/>
      <c r="U951" s="414"/>
      <c r="V951" s="414"/>
      <c r="W951" s="414"/>
      <c r="X951" s="414"/>
      <c r="Y951" s="414"/>
      <c r="Z951" s="414"/>
    </row>
    <row r="952" spans="1:26" ht="15.75" customHeight="1" x14ac:dyDescent="0.25">
      <c r="A952" s="424">
        <v>947</v>
      </c>
      <c r="B952" s="250"/>
      <c r="C952" s="250"/>
      <c r="D952" s="250"/>
      <c r="E952" s="250"/>
      <c r="F952" s="425"/>
      <c r="G952" s="425"/>
      <c r="H952" s="346"/>
      <c r="I952" s="250"/>
      <c r="J952" s="426"/>
      <c r="K952" s="426"/>
      <c r="L952" s="414"/>
      <c r="M952" s="414"/>
      <c r="N952" s="414"/>
      <c r="O952" s="414"/>
      <c r="P952" s="414"/>
      <c r="Q952" s="414"/>
      <c r="R952" s="414"/>
      <c r="S952" s="414"/>
      <c r="T952" s="414"/>
      <c r="U952" s="414"/>
      <c r="V952" s="414"/>
      <c r="W952" s="414"/>
      <c r="X952" s="414"/>
      <c r="Y952" s="414"/>
      <c r="Z952" s="414"/>
    </row>
    <row r="953" spans="1:26" ht="15.75" customHeight="1" x14ac:dyDescent="0.25">
      <c r="A953" s="424">
        <v>948</v>
      </c>
      <c r="B953" s="250"/>
      <c r="C953" s="250"/>
      <c r="D953" s="250"/>
      <c r="E953" s="250"/>
      <c r="F953" s="425"/>
      <c r="G953" s="425"/>
      <c r="H953" s="346"/>
      <c r="I953" s="250"/>
      <c r="J953" s="426"/>
      <c r="K953" s="426"/>
      <c r="L953" s="414"/>
      <c r="M953" s="414"/>
      <c r="N953" s="414"/>
      <c r="O953" s="414"/>
      <c r="P953" s="414"/>
      <c r="Q953" s="414"/>
      <c r="R953" s="414"/>
      <c r="S953" s="414"/>
      <c r="T953" s="414"/>
      <c r="U953" s="414"/>
      <c r="V953" s="414"/>
      <c r="W953" s="414"/>
      <c r="X953" s="414"/>
      <c r="Y953" s="414"/>
      <c r="Z953" s="414"/>
    </row>
    <row r="954" spans="1:26" ht="15.75" customHeight="1" x14ac:dyDescent="0.25">
      <c r="A954" s="424">
        <v>949</v>
      </c>
      <c r="B954" s="250"/>
      <c r="C954" s="250"/>
      <c r="D954" s="250"/>
      <c r="E954" s="250"/>
      <c r="F954" s="425"/>
      <c r="G954" s="425"/>
      <c r="H954" s="346"/>
      <c r="I954" s="250"/>
      <c r="J954" s="426"/>
      <c r="K954" s="426"/>
      <c r="L954" s="414"/>
      <c r="M954" s="414"/>
      <c r="N954" s="414"/>
      <c r="O954" s="414"/>
      <c r="P954" s="414"/>
      <c r="Q954" s="414"/>
      <c r="R954" s="414"/>
      <c r="S954" s="414"/>
      <c r="T954" s="414"/>
      <c r="U954" s="414"/>
      <c r="V954" s="414"/>
      <c r="W954" s="414"/>
      <c r="X954" s="414"/>
      <c r="Y954" s="414"/>
      <c r="Z954" s="414"/>
    </row>
    <row r="955" spans="1:26" ht="15.75" customHeight="1" x14ac:dyDescent="0.25">
      <c r="A955" s="424">
        <v>950</v>
      </c>
      <c r="B955" s="250"/>
      <c r="C955" s="250"/>
      <c r="D955" s="250"/>
      <c r="E955" s="250"/>
      <c r="F955" s="425"/>
      <c r="G955" s="425"/>
      <c r="H955" s="346"/>
      <c r="I955" s="250"/>
      <c r="J955" s="426"/>
      <c r="K955" s="426"/>
      <c r="L955" s="414"/>
      <c r="M955" s="414"/>
      <c r="N955" s="414"/>
      <c r="O955" s="414"/>
      <c r="P955" s="414"/>
      <c r="Q955" s="414"/>
      <c r="R955" s="414"/>
      <c r="S955" s="414"/>
      <c r="T955" s="414"/>
      <c r="U955" s="414"/>
      <c r="V955" s="414"/>
      <c r="W955" s="414"/>
      <c r="X955" s="414"/>
      <c r="Y955" s="414"/>
      <c r="Z955" s="414"/>
    </row>
    <row r="956" spans="1:26" ht="15.75" customHeight="1" x14ac:dyDescent="0.25">
      <c r="A956" s="424">
        <v>951</v>
      </c>
      <c r="B956" s="250"/>
      <c r="C956" s="250"/>
      <c r="D956" s="250"/>
      <c r="E956" s="250"/>
      <c r="F956" s="425"/>
      <c r="G956" s="425"/>
      <c r="H956" s="346"/>
      <c r="I956" s="250"/>
      <c r="J956" s="426"/>
      <c r="K956" s="426"/>
      <c r="L956" s="414"/>
      <c r="M956" s="414"/>
      <c r="N956" s="414"/>
      <c r="O956" s="414"/>
      <c r="P956" s="414"/>
      <c r="Q956" s="414"/>
      <c r="R956" s="414"/>
      <c r="S956" s="414"/>
      <c r="T956" s="414"/>
      <c r="U956" s="414"/>
      <c r="V956" s="414"/>
      <c r="W956" s="414"/>
      <c r="X956" s="414"/>
      <c r="Y956" s="414"/>
      <c r="Z956" s="414"/>
    </row>
    <row r="957" spans="1:26" ht="15.75" customHeight="1" x14ac:dyDescent="0.25">
      <c r="A957" s="424">
        <v>952</v>
      </c>
      <c r="B957" s="250"/>
      <c r="C957" s="250"/>
      <c r="D957" s="250"/>
      <c r="E957" s="250"/>
      <c r="F957" s="425"/>
      <c r="G957" s="425"/>
      <c r="H957" s="346"/>
      <c r="I957" s="250"/>
      <c r="J957" s="426"/>
      <c r="K957" s="426"/>
      <c r="L957" s="414"/>
      <c r="M957" s="414"/>
      <c r="N957" s="414"/>
      <c r="O957" s="414"/>
      <c r="P957" s="414"/>
      <c r="Q957" s="414"/>
      <c r="R957" s="414"/>
      <c r="S957" s="414"/>
      <c r="T957" s="414"/>
      <c r="U957" s="414"/>
      <c r="V957" s="414"/>
      <c r="W957" s="414"/>
      <c r="X957" s="414"/>
      <c r="Y957" s="414"/>
      <c r="Z957" s="414"/>
    </row>
    <row r="958" spans="1:26" ht="15.75" customHeight="1" x14ac:dyDescent="0.25">
      <c r="A958" s="424">
        <v>953</v>
      </c>
      <c r="B958" s="250"/>
      <c r="C958" s="250"/>
      <c r="D958" s="250"/>
      <c r="E958" s="250"/>
      <c r="F958" s="425"/>
      <c r="G958" s="425"/>
      <c r="H958" s="346"/>
      <c r="I958" s="250"/>
      <c r="J958" s="426"/>
      <c r="K958" s="426"/>
      <c r="L958" s="414"/>
      <c r="M958" s="414"/>
      <c r="N958" s="414"/>
      <c r="O958" s="414"/>
      <c r="P958" s="414"/>
      <c r="Q958" s="414"/>
      <c r="R958" s="414"/>
      <c r="S958" s="414"/>
      <c r="T958" s="414"/>
      <c r="U958" s="414"/>
      <c r="V958" s="414"/>
      <c r="W958" s="414"/>
      <c r="X958" s="414"/>
      <c r="Y958" s="414"/>
      <c r="Z958" s="414"/>
    </row>
    <row r="959" spans="1:26" ht="15.75" customHeight="1" x14ac:dyDescent="0.25">
      <c r="A959" s="424">
        <v>954</v>
      </c>
      <c r="B959" s="250"/>
      <c r="C959" s="250"/>
      <c r="D959" s="250"/>
      <c r="E959" s="250"/>
      <c r="F959" s="425"/>
      <c r="G959" s="425"/>
      <c r="H959" s="346"/>
      <c r="I959" s="250"/>
      <c r="J959" s="426"/>
      <c r="K959" s="426"/>
      <c r="L959" s="414"/>
      <c r="M959" s="414"/>
      <c r="N959" s="414"/>
      <c r="O959" s="414"/>
      <c r="P959" s="414"/>
      <c r="Q959" s="414"/>
      <c r="R959" s="414"/>
      <c r="S959" s="414"/>
      <c r="T959" s="414"/>
      <c r="U959" s="414"/>
      <c r="V959" s="414"/>
      <c r="W959" s="414"/>
      <c r="X959" s="414"/>
      <c r="Y959" s="414"/>
      <c r="Z959" s="414"/>
    </row>
    <row r="960" spans="1:26" ht="15.75" customHeight="1" x14ac:dyDescent="0.25">
      <c r="A960" s="424">
        <v>955</v>
      </c>
      <c r="B960" s="250"/>
      <c r="C960" s="250"/>
      <c r="D960" s="250"/>
      <c r="E960" s="250"/>
      <c r="F960" s="425"/>
      <c r="G960" s="425"/>
      <c r="H960" s="346"/>
      <c r="I960" s="250"/>
      <c r="J960" s="426"/>
      <c r="K960" s="426"/>
      <c r="L960" s="414"/>
      <c r="M960" s="414"/>
      <c r="N960" s="414"/>
      <c r="O960" s="414"/>
      <c r="P960" s="414"/>
      <c r="Q960" s="414"/>
      <c r="R960" s="414"/>
      <c r="S960" s="414"/>
      <c r="T960" s="414"/>
      <c r="U960" s="414"/>
      <c r="V960" s="414"/>
      <c r="W960" s="414"/>
      <c r="X960" s="414"/>
      <c r="Y960" s="414"/>
      <c r="Z960" s="414"/>
    </row>
    <row r="961" spans="1:26" ht="15.75" customHeight="1" x14ac:dyDescent="0.25">
      <c r="A961" s="424">
        <v>956</v>
      </c>
      <c r="B961" s="250"/>
      <c r="C961" s="250"/>
      <c r="D961" s="250"/>
      <c r="E961" s="250"/>
      <c r="F961" s="425"/>
      <c r="G961" s="425"/>
      <c r="H961" s="346"/>
      <c r="I961" s="250"/>
      <c r="J961" s="426"/>
      <c r="K961" s="426"/>
      <c r="L961" s="414"/>
      <c r="M961" s="414"/>
      <c r="N961" s="414"/>
      <c r="O961" s="414"/>
      <c r="P961" s="414"/>
      <c r="Q961" s="414"/>
      <c r="R961" s="414"/>
      <c r="S961" s="414"/>
      <c r="T961" s="414"/>
      <c r="U961" s="414"/>
      <c r="V961" s="414"/>
      <c r="W961" s="414"/>
      <c r="X961" s="414"/>
      <c r="Y961" s="414"/>
      <c r="Z961" s="414"/>
    </row>
    <row r="962" spans="1:26" ht="15.75" customHeight="1" x14ac:dyDescent="0.25">
      <c r="A962" s="424">
        <v>957</v>
      </c>
      <c r="B962" s="250"/>
      <c r="C962" s="250"/>
      <c r="D962" s="250"/>
      <c r="E962" s="250"/>
      <c r="F962" s="425"/>
      <c r="G962" s="425"/>
      <c r="H962" s="346"/>
      <c r="I962" s="250"/>
      <c r="J962" s="426"/>
      <c r="K962" s="426"/>
      <c r="L962" s="414"/>
      <c r="M962" s="414"/>
      <c r="N962" s="414"/>
      <c r="O962" s="414"/>
      <c r="P962" s="414"/>
      <c r="Q962" s="414"/>
      <c r="R962" s="414"/>
      <c r="S962" s="414"/>
      <c r="T962" s="414"/>
      <c r="U962" s="414"/>
      <c r="V962" s="414"/>
      <c r="W962" s="414"/>
      <c r="X962" s="414"/>
      <c r="Y962" s="414"/>
      <c r="Z962" s="414"/>
    </row>
    <row r="963" spans="1:26" ht="15.75" customHeight="1" x14ac:dyDescent="0.25">
      <c r="A963" s="424">
        <v>958</v>
      </c>
      <c r="B963" s="250"/>
      <c r="C963" s="250"/>
      <c r="D963" s="250"/>
      <c r="E963" s="250"/>
      <c r="F963" s="425"/>
      <c r="G963" s="425"/>
      <c r="H963" s="346"/>
      <c r="I963" s="250"/>
      <c r="J963" s="426"/>
      <c r="K963" s="426"/>
      <c r="L963" s="414"/>
      <c r="M963" s="414"/>
      <c r="N963" s="414"/>
      <c r="O963" s="414"/>
      <c r="P963" s="414"/>
      <c r="Q963" s="414"/>
      <c r="R963" s="414"/>
      <c r="S963" s="414"/>
      <c r="T963" s="414"/>
      <c r="U963" s="414"/>
      <c r="V963" s="414"/>
      <c r="W963" s="414"/>
      <c r="X963" s="414"/>
      <c r="Y963" s="414"/>
      <c r="Z963" s="414"/>
    </row>
    <row r="964" spans="1:26" ht="15.75" customHeight="1" x14ac:dyDescent="0.25">
      <c r="A964" s="424">
        <v>959</v>
      </c>
      <c r="B964" s="250"/>
      <c r="C964" s="250"/>
      <c r="D964" s="250"/>
      <c r="E964" s="250"/>
      <c r="F964" s="425"/>
      <c r="G964" s="425"/>
      <c r="H964" s="346"/>
      <c r="I964" s="250"/>
      <c r="J964" s="426"/>
      <c r="K964" s="426"/>
      <c r="L964" s="414"/>
      <c r="M964" s="414"/>
      <c r="N964" s="414"/>
      <c r="O964" s="414"/>
      <c r="P964" s="414"/>
      <c r="Q964" s="414"/>
      <c r="R964" s="414"/>
      <c r="S964" s="414"/>
      <c r="T964" s="414"/>
      <c r="U964" s="414"/>
      <c r="V964" s="414"/>
      <c r="W964" s="414"/>
      <c r="X964" s="414"/>
      <c r="Y964" s="414"/>
      <c r="Z964" s="414"/>
    </row>
    <row r="965" spans="1:26" ht="15.75" customHeight="1" x14ac:dyDescent="0.25">
      <c r="A965" s="424">
        <v>960</v>
      </c>
      <c r="B965" s="250"/>
      <c r="C965" s="250"/>
      <c r="D965" s="250"/>
      <c r="E965" s="250"/>
      <c r="F965" s="425"/>
      <c r="G965" s="425"/>
      <c r="H965" s="346"/>
      <c r="I965" s="250"/>
      <c r="J965" s="426"/>
      <c r="K965" s="426"/>
      <c r="L965" s="414"/>
      <c r="M965" s="414"/>
      <c r="N965" s="414"/>
      <c r="O965" s="414"/>
      <c r="P965" s="414"/>
      <c r="Q965" s="414"/>
      <c r="R965" s="414"/>
      <c r="S965" s="414"/>
      <c r="T965" s="414"/>
      <c r="U965" s="414"/>
      <c r="V965" s="414"/>
      <c r="W965" s="414"/>
      <c r="X965" s="414"/>
      <c r="Y965" s="414"/>
      <c r="Z965" s="414"/>
    </row>
    <row r="966" spans="1:26" ht="15.75" customHeight="1" x14ac:dyDescent="0.25">
      <c r="A966" s="424">
        <v>961</v>
      </c>
      <c r="B966" s="250"/>
      <c r="C966" s="250"/>
      <c r="D966" s="250"/>
      <c r="E966" s="250"/>
      <c r="F966" s="425"/>
      <c r="G966" s="425"/>
      <c r="H966" s="346"/>
      <c r="I966" s="250"/>
      <c r="J966" s="426"/>
      <c r="K966" s="426"/>
      <c r="L966" s="414"/>
      <c r="M966" s="414"/>
      <c r="N966" s="414"/>
      <c r="O966" s="414"/>
      <c r="P966" s="414"/>
      <c r="Q966" s="414"/>
      <c r="R966" s="414"/>
      <c r="S966" s="414"/>
      <c r="T966" s="414"/>
      <c r="U966" s="414"/>
      <c r="V966" s="414"/>
      <c r="W966" s="414"/>
      <c r="X966" s="414"/>
      <c r="Y966" s="414"/>
      <c r="Z966" s="414"/>
    </row>
    <row r="967" spans="1:26" ht="15.75" customHeight="1" x14ac:dyDescent="0.25">
      <c r="A967" s="424">
        <v>962</v>
      </c>
      <c r="B967" s="250"/>
      <c r="C967" s="250"/>
      <c r="D967" s="250"/>
      <c r="E967" s="250"/>
      <c r="F967" s="425"/>
      <c r="G967" s="425"/>
      <c r="H967" s="346"/>
      <c r="I967" s="250"/>
      <c r="J967" s="426"/>
      <c r="K967" s="426"/>
      <c r="L967" s="414"/>
      <c r="M967" s="414"/>
      <c r="N967" s="414"/>
      <c r="O967" s="414"/>
      <c r="P967" s="414"/>
      <c r="Q967" s="414"/>
      <c r="R967" s="414"/>
      <c r="S967" s="414"/>
      <c r="T967" s="414"/>
      <c r="U967" s="414"/>
      <c r="V967" s="414"/>
      <c r="W967" s="414"/>
      <c r="X967" s="414"/>
      <c r="Y967" s="414"/>
      <c r="Z967" s="414"/>
    </row>
    <row r="968" spans="1:26" ht="15.75" customHeight="1" x14ac:dyDescent="0.25">
      <c r="A968" s="424">
        <v>963</v>
      </c>
      <c r="B968" s="250"/>
      <c r="C968" s="250"/>
      <c r="D968" s="250"/>
      <c r="E968" s="250"/>
      <c r="F968" s="425"/>
      <c r="G968" s="425"/>
      <c r="H968" s="346"/>
      <c r="I968" s="250"/>
      <c r="J968" s="426"/>
      <c r="K968" s="426"/>
      <c r="L968" s="414"/>
      <c r="M968" s="414"/>
      <c r="N968" s="414"/>
      <c r="O968" s="414"/>
      <c r="P968" s="414"/>
      <c r="Q968" s="414"/>
      <c r="R968" s="414"/>
      <c r="S968" s="414"/>
      <c r="T968" s="414"/>
      <c r="U968" s="414"/>
      <c r="V968" s="414"/>
      <c r="W968" s="414"/>
      <c r="X968" s="414"/>
      <c r="Y968" s="414"/>
      <c r="Z968" s="414"/>
    </row>
    <row r="969" spans="1:26" ht="15.75" customHeight="1" x14ac:dyDescent="0.25">
      <c r="A969" s="424">
        <v>964</v>
      </c>
      <c r="B969" s="250"/>
      <c r="C969" s="250"/>
      <c r="D969" s="250"/>
      <c r="E969" s="250"/>
      <c r="F969" s="425"/>
      <c r="G969" s="425"/>
      <c r="H969" s="346"/>
      <c r="I969" s="250"/>
      <c r="J969" s="426"/>
      <c r="K969" s="426"/>
      <c r="L969" s="414"/>
      <c r="M969" s="414"/>
      <c r="N969" s="414"/>
      <c r="O969" s="414"/>
      <c r="P969" s="414"/>
      <c r="Q969" s="414"/>
      <c r="R969" s="414"/>
      <c r="S969" s="414"/>
      <c r="T969" s="414"/>
      <c r="U969" s="414"/>
      <c r="V969" s="414"/>
      <c r="W969" s="414"/>
      <c r="X969" s="414"/>
      <c r="Y969" s="414"/>
      <c r="Z969" s="414"/>
    </row>
    <row r="970" spans="1:26" ht="15.75" customHeight="1" x14ac:dyDescent="0.25">
      <c r="A970" s="424">
        <v>965</v>
      </c>
      <c r="B970" s="250"/>
      <c r="C970" s="250"/>
      <c r="D970" s="250"/>
      <c r="E970" s="250"/>
      <c r="F970" s="425"/>
      <c r="G970" s="425"/>
      <c r="H970" s="346"/>
      <c r="I970" s="250"/>
      <c r="J970" s="426"/>
      <c r="K970" s="426"/>
      <c r="L970" s="414"/>
      <c r="M970" s="414"/>
      <c r="N970" s="414"/>
      <c r="O970" s="414"/>
      <c r="P970" s="414"/>
      <c r="Q970" s="414"/>
      <c r="R970" s="414"/>
      <c r="S970" s="414"/>
      <c r="T970" s="414"/>
      <c r="U970" s="414"/>
      <c r="V970" s="414"/>
      <c r="W970" s="414"/>
      <c r="X970" s="414"/>
      <c r="Y970" s="414"/>
      <c r="Z970" s="414"/>
    </row>
    <row r="971" spans="1:26" ht="15.75" customHeight="1" x14ac:dyDescent="0.25">
      <c r="A971" s="424">
        <v>966</v>
      </c>
      <c r="B971" s="250"/>
      <c r="C971" s="250"/>
      <c r="D971" s="250"/>
      <c r="E971" s="250"/>
      <c r="F971" s="425"/>
      <c r="G971" s="425"/>
      <c r="H971" s="346"/>
      <c r="I971" s="250"/>
      <c r="J971" s="426"/>
      <c r="K971" s="426"/>
      <c r="L971" s="414"/>
      <c r="M971" s="414"/>
      <c r="N971" s="414"/>
      <c r="O971" s="414"/>
      <c r="P971" s="414"/>
      <c r="Q971" s="414"/>
      <c r="R971" s="414"/>
      <c r="S971" s="414"/>
      <c r="T971" s="414"/>
      <c r="U971" s="414"/>
      <c r="V971" s="414"/>
      <c r="W971" s="414"/>
      <c r="X971" s="414"/>
      <c r="Y971" s="414"/>
      <c r="Z971" s="414"/>
    </row>
    <row r="972" spans="1:26" ht="15.75" customHeight="1" x14ac:dyDescent="0.25">
      <c r="A972" s="424">
        <v>967</v>
      </c>
      <c r="B972" s="250"/>
      <c r="C972" s="250"/>
      <c r="D972" s="250"/>
      <c r="E972" s="250"/>
      <c r="F972" s="425"/>
      <c r="G972" s="425"/>
      <c r="H972" s="346"/>
      <c r="I972" s="250"/>
      <c r="J972" s="426"/>
      <c r="K972" s="426"/>
      <c r="L972" s="414"/>
      <c r="M972" s="414"/>
      <c r="N972" s="414"/>
      <c r="O972" s="414"/>
      <c r="P972" s="414"/>
      <c r="Q972" s="414"/>
      <c r="R972" s="414"/>
      <c r="S972" s="414"/>
      <c r="T972" s="414"/>
      <c r="U972" s="414"/>
      <c r="V972" s="414"/>
      <c r="W972" s="414"/>
      <c r="X972" s="414"/>
      <c r="Y972" s="414"/>
      <c r="Z972" s="414"/>
    </row>
    <row r="973" spans="1:26" ht="15.75" customHeight="1" x14ac:dyDescent="0.25">
      <c r="A973" s="424">
        <v>968</v>
      </c>
      <c r="B973" s="250"/>
      <c r="C973" s="250"/>
      <c r="D973" s="250"/>
      <c r="E973" s="250"/>
      <c r="F973" s="425"/>
      <c r="G973" s="425"/>
      <c r="H973" s="346"/>
      <c r="I973" s="250"/>
      <c r="J973" s="426"/>
      <c r="K973" s="426"/>
      <c r="L973" s="414"/>
      <c r="M973" s="414"/>
      <c r="N973" s="414"/>
      <c r="O973" s="414"/>
      <c r="P973" s="414"/>
      <c r="Q973" s="414"/>
      <c r="R973" s="414"/>
      <c r="S973" s="414"/>
      <c r="T973" s="414"/>
      <c r="U973" s="414"/>
      <c r="V973" s="414"/>
      <c r="W973" s="414"/>
      <c r="X973" s="414"/>
      <c r="Y973" s="414"/>
      <c r="Z973" s="414"/>
    </row>
    <row r="974" spans="1:26" ht="15.75" customHeight="1" x14ac:dyDescent="0.25">
      <c r="A974" s="424">
        <v>969</v>
      </c>
      <c r="B974" s="250"/>
      <c r="C974" s="250"/>
      <c r="D974" s="250"/>
      <c r="E974" s="250"/>
      <c r="F974" s="425"/>
      <c r="G974" s="425"/>
      <c r="H974" s="346"/>
      <c r="I974" s="250"/>
      <c r="J974" s="426"/>
      <c r="K974" s="426"/>
      <c r="L974" s="414"/>
      <c r="M974" s="414"/>
      <c r="N974" s="414"/>
      <c r="O974" s="414"/>
      <c r="P974" s="414"/>
      <c r="Q974" s="414"/>
      <c r="R974" s="414"/>
      <c r="S974" s="414"/>
      <c r="T974" s="414"/>
      <c r="U974" s="414"/>
      <c r="V974" s="414"/>
      <c r="W974" s="414"/>
      <c r="X974" s="414"/>
      <c r="Y974" s="414"/>
      <c r="Z974" s="414"/>
    </row>
    <row r="975" spans="1:26" ht="15.75" customHeight="1" x14ac:dyDescent="0.25">
      <c r="A975" s="424">
        <v>970</v>
      </c>
      <c r="B975" s="250"/>
      <c r="C975" s="250"/>
      <c r="D975" s="250"/>
      <c r="E975" s="250"/>
      <c r="F975" s="425"/>
      <c r="G975" s="425"/>
      <c r="H975" s="346"/>
      <c r="I975" s="250"/>
      <c r="J975" s="426"/>
      <c r="K975" s="426"/>
      <c r="L975" s="414"/>
      <c r="M975" s="414"/>
      <c r="N975" s="414"/>
      <c r="O975" s="414"/>
      <c r="P975" s="414"/>
      <c r="Q975" s="414"/>
      <c r="R975" s="414"/>
      <c r="S975" s="414"/>
      <c r="T975" s="414"/>
      <c r="U975" s="414"/>
      <c r="V975" s="414"/>
      <c r="W975" s="414"/>
      <c r="X975" s="414"/>
      <c r="Y975" s="414"/>
      <c r="Z975" s="414"/>
    </row>
    <row r="976" spans="1:26" ht="15.75" customHeight="1" x14ac:dyDescent="0.25">
      <c r="A976" s="424">
        <v>971</v>
      </c>
      <c r="B976" s="250"/>
      <c r="C976" s="250"/>
      <c r="D976" s="250"/>
      <c r="E976" s="250"/>
      <c r="F976" s="425"/>
      <c r="G976" s="425"/>
      <c r="H976" s="346"/>
      <c r="I976" s="250"/>
      <c r="J976" s="426"/>
      <c r="K976" s="426"/>
      <c r="L976" s="414"/>
      <c r="M976" s="414"/>
      <c r="N976" s="414"/>
      <c r="O976" s="414"/>
      <c r="P976" s="414"/>
      <c r="Q976" s="414"/>
      <c r="R976" s="414"/>
      <c r="S976" s="414"/>
      <c r="T976" s="414"/>
      <c r="U976" s="414"/>
      <c r="V976" s="414"/>
      <c r="W976" s="414"/>
      <c r="X976" s="414"/>
      <c r="Y976" s="414"/>
      <c r="Z976" s="414"/>
    </row>
    <row r="977" spans="1:26" ht="15.75" customHeight="1" x14ac:dyDescent="0.25">
      <c r="A977" s="424">
        <v>972</v>
      </c>
      <c r="B977" s="250"/>
      <c r="C977" s="250"/>
      <c r="D977" s="250"/>
      <c r="E977" s="250"/>
      <c r="F977" s="425"/>
      <c r="G977" s="425"/>
      <c r="H977" s="346"/>
      <c r="I977" s="250"/>
      <c r="J977" s="426"/>
      <c r="K977" s="426"/>
      <c r="L977" s="414"/>
      <c r="M977" s="414"/>
      <c r="N977" s="414"/>
      <c r="O977" s="414"/>
      <c r="P977" s="414"/>
      <c r="Q977" s="414"/>
      <c r="R977" s="414"/>
      <c r="S977" s="414"/>
      <c r="T977" s="414"/>
      <c r="U977" s="414"/>
      <c r="V977" s="414"/>
      <c r="W977" s="414"/>
      <c r="X977" s="414"/>
      <c r="Y977" s="414"/>
      <c r="Z977" s="414"/>
    </row>
    <row r="978" spans="1:26" ht="15.75" customHeight="1" x14ac:dyDescent="0.25">
      <c r="A978" s="424">
        <v>973</v>
      </c>
      <c r="B978" s="250"/>
      <c r="C978" s="250"/>
      <c r="D978" s="250"/>
      <c r="E978" s="250"/>
      <c r="F978" s="425"/>
      <c r="G978" s="425"/>
      <c r="H978" s="346"/>
      <c r="I978" s="250"/>
      <c r="J978" s="426"/>
      <c r="K978" s="426"/>
      <c r="L978" s="414"/>
      <c r="M978" s="414"/>
      <c r="N978" s="414"/>
      <c r="O978" s="414"/>
      <c r="P978" s="414"/>
      <c r="Q978" s="414"/>
      <c r="R978" s="414"/>
      <c r="S978" s="414"/>
      <c r="T978" s="414"/>
      <c r="U978" s="414"/>
      <c r="V978" s="414"/>
      <c r="W978" s="414"/>
      <c r="X978" s="414"/>
      <c r="Y978" s="414"/>
      <c r="Z978" s="414"/>
    </row>
    <row r="979" spans="1:26" ht="15.75" customHeight="1" x14ac:dyDescent="0.25">
      <c r="A979" s="424">
        <v>974</v>
      </c>
      <c r="B979" s="250"/>
      <c r="C979" s="250"/>
      <c r="D979" s="250"/>
      <c r="E979" s="250"/>
      <c r="F979" s="425"/>
      <c r="G979" s="425"/>
      <c r="H979" s="346"/>
      <c r="I979" s="250"/>
      <c r="J979" s="426"/>
      <c r="K979" s="426"/>
      <c r="L979" s="414"/>
      <c r="M979" s="414"/>
      <c r="N979" s="414"/>
      <c r="O979" s="414"/>
      <c r="P979" s="414"/>
      <c r="Q979" s="414"/>
      <c r="R979" s="414"/>
      <c r="S979" s="414"/>
      <c r="T979" s="414"/>
      <c r="U979" s="414"/>
      <c r="V979" s="414"/>
      <c r="W979" s="414"/>
      <c r="X979" s="414"/>
      <c r="Y979" s="414"/>
      <c r="Z979" s="414"/>
    </row>
    <row r="980" spans="1:26" ht="15.75" customHeight="1" x14ac:dyDescent="0.25">
      <c r="A980" s="424">
        <v>975</v>
      </c>
      <c r="B980" s="250"/>
      <c r="C980" s="250"/>
      <c r="D980" s="250"/>
      <c r="E980" s="250"/>
      <c r="F980" s="425"/>
      <c r="G980" s="425"/>
      <c r="H980" s="346"/>
      <c r="I980" s="250"/>
      <c r="J980" s="426"/>
      <c r="K980" s="426"/>
      <c r="L980" s="414"/>
      <c r="M980" s="414"/>
      <c r="N980" s="414"/>
      <c r="O980" s="414"/>
      <c r="P980" s="414"/>
      <c r="Q980" s="414"/>
      <c r="R980" s="414"/>
      <c r="S980" s="414"/>
      <c r="T980" s="414"/>
      <c r="U980" s="414"/>
      <c r="V980" s="414"/>
      <c r="W980" s="414"/>
      <c r="X980" s="414"/>
      <c r="Y980" s="414"/>
      <c r="Z980" s="414"/>
    </row>
    <row r="981" spans="1:26" ht="15.75" customHeight="1" x14ac:dyDescent="0.25">
      <c r="A981" s="424">
        <v>976</v>
      </c>
      <c r="B981" s="250"/>
      <c r="C981" s="250"/>
      <c r="D981" s="250"/>
      <c r="E981" s="250"/>
      <c r="F981" s="425"/>
      <c r="G981" s="425"/>
      <c r="H981" s="346"/>
      <c r="I981" s="250"/>
      <c r="J981" s="426"/>
      <c r="K981" s="426"/>
      <c r="L981" s="414"/>
      <c r="M981" s="414"/>
      <c r="N981" s="414"/>
      <c r="O981" s="414"/>
      <c r="P981" s="414"/>
      <c r="Q981" s="414"/>
      <c r="R981" s="414"/>
      <c r="S981" s="414"/>
      <c r="T981" s="414"/>
      <c r="U981" s="414"/>
      <c r="V981" s="414"/>
      <c r="W981" s="414"/>
      <c r="X981" s="414"/>
      <c r="Y981" s="414"/>
      <c r="Z981" s="414"/>
    </row>
    <row r="982" spans="1:26" ht="15.75" customHeight="1" x14ac:dyDescent="0.25">
      <c r="A982" s="424">
        <v>977</v>
      </c>
      <c r="B982" s="250"/>
      <c r="C982" s="250"/>
      <c r="D982" s="250"/>
      <c r="E982" s="250"/>
      <c r="F982" s="425"/>
      <c r="G982" s="425"/>
      <c r="H982" s="346"/>
      <c r="I982" s="250"/>
      <c r="J982" s="426"/>
      <c r="K982" s="426"/>
      <c r="L982" s="414"/>
      <c r="M982" s="414"/>
      <c r="N982" s="414"/>
      <c r="O982" s="414"/>
      <c r="P982" s="414"/>
      <c r="Q982" s="414"/>
      <c r="R982" s="414"/>
      <c r="S982" s="414"/>
      <c r="T982" s="414"/>
      <c r="U982" s="414"/>
      <c r="V982" s="414"/>
      <c r="W982" s="414"/>
      <c r="X982" s="414"/>
      <c r="Y982" s="414"/>
      <c r="Z982" s="414"/>
    </row>
    <row r="983" spans="1:26" ht="15.75" customHeight="1" x14ac:dyDescent="0.25">
      <c r="A983" s="424">
        <v>978</v>
      </c>
      <c r="B983" s="250"/>
      <c r="C983" s="250"/>
      <c r="D983" s="250"/>
      <c r="E983" s="250"/>
      <c r="F983" s="425"/>
      <c r="G983" s="425"/>
      <c r="H983" s="346"/>
      <c r="I983" s="250"/>
      <c r="J983" s="426"/>
      <c r="K983" s="426"/>
      <c r="L983" s="414"/>
      <c r="M983" s="414"/>
      <c r="N983" s="414"/>
      <c r="O983" s="414"/>
      <c r="P983" s="414"/>
      <c r="Q983" s="414"/>
      <c r="R983" s="414"/>
      <c r="S983" s="414"/>
      <c r="T983" s="414"/>
      <c r="U983" s="414"/>
      <c r="V983" s="414"/>
      <c r="W983" s="414"/>
      <c r="X983" s="414"/>
      <c r="Y983" s="414"/>
      <c r="Z983" s="414"/>
    </row>
    <row r="984" spans="1:26" ht="15.75" customHeight="1" x14ac:dyDescent="0.25">
      <c r="A984" s="424">
        <v>979</v>
      </c>
      <c r="B984" s="250"/>
      <c r="C984" s="250"/>
      <c r="D984" s="250"/>
      <c r="E984" s="250"/>
      <c r="F984" s="425"/>
      <c r="G984" s="425"/>
      <c r="H984" s="346"/>
      <c r="I984" s="250"/>
      <c r="J984" s="426"/>
      <c r="K984" s="426"/>
      <c r="L984" s="414"/>
      <c r="M984" s="414"/>
      <c r="N984" s="414"/>
      <c r="O984" s="414"/>
      <c r="P984" s="414"/>
      <c r="Q984" s="414"/>
      <c r="R984" s="414"/>
      <c r="S984" s="414"/>
      <c r="T984" s="414"/>
      <c r="U984" s="414"/>
      <c r="V984" s="414"/>
      <c r="W984" s="414"/>
      <c r="X984" s="414"/>
      <c r="Y984" s="414"/>
      <c r="Z984" s="414"/>
    </row>
    <row r="985" spans="1:26" ht="15.75" customHeight="1" x14ac:dyDescent="0.25">
      <c r="A985" s="424">
        <v>980</v>
      </c>
      <c r="B985" s="250"/>
      <c r="C985" s="250"/>
      <c r="D985" s="250"/>
      <c r="E985" s="250"/>
      <c r="F985" s="425"/>
      <c r="G985" s="425"/>
      <c r="H985" s="346"/>
      <c r="I985" s="250"/>
      <c r="J985" s="426"/>
      <c r="K985" s="426"/>
      <c r="L985" s="414"/>
      <c r="M985" s="414"/>
      <c r="N985" s="414"/>
      <c r="O985" s="414"/>
      <c r="P985" s="414"/>
      <c r="Q985" s="414"/>
      <c r="R985" s="414"/>
      <c r="S985" s="414"/>
      <c r="T985" s="414"/>
      <c r="U985" s="414"/>
      <c r="V985" s="414"/>
      <c r="W985" s="414"/>
      <c r="X985" s="414"/>
      <c r="Y985" s="414"/>
      <c r="Z985" s="414"/>
    </row>
    <row r="986" spans="1:26" ht="15.75" customHeight="1" x14ac:dyDescent="0.25">
      <c r="A986" s="424">
        <v>981</v>
      </c>
      <c r="B986" s="250"/>
      <c r="C986" s="250"/>
      <c r="D986" s="250"/>
      <c r="E986" s="250"/>
      <c r="F986" s="425"/>
      <c r="G986" s="425"/>
      <c r="H986" s="346"/>
      <c r="I986" s="250"/>
      <c r="J986" s="426"/>
      <c r="K986" s="426"/>
      <c r="L986" s="414"/>
      <c r="M986" s="414"/>
      <c r="N986" s="414"/>
      <c r="O986" s="414"/>
      <c r="P986" s="414"/>
      <c r="Q986" s="414"/>
      <c r="R986" s="414"/>
      <c r="S986" s="414"/>
      <c r="T986" s="414"/>
      <c r="U986" s="414"/>
      <c r="V986" s="414"/>
      <c r="W986" s="414"/>
      <c r="X986" s="414"/>
      <c r="Y986" s="414"/>
      <c r="Z986" s="414"/>
    </row>
    <row r="987" spans="1:26" ht="15.75" customHeight="1" x14ac:dyDescent="0.25">
      <c r="A987" s="424">
        <v>982</v>
      </c>
      <c r="B987" s="250"/>
      <c r="C987" s="250"/>
      <c r="D987" s="250"/>
      <c r="E987" s="250"/>
      <c r="F987" s="425"/>
      <c r="G987" s="425"/>
      <c r="H987" s="346"/>
      <c r="I987" s="250"/>
      <c r="J987" s="426"/>
      <c r="K987" s="426"/>
      <c r="L987" s="414"/>
      <c r="M987" s="414"/>
      <c r="N987" s="414"/>
      <c r="O987" s="414"/>
      <c r="P987" s="414"/>
      <c r="Q987" s="414"/>
      <c r="R987" s="414"/>
      <c r="S987" s="414"/>
      <c r="T987" s="414"/>
      <c r="U987" s="414"/>
      <c r="V987" s="414"/>
      <c r="W987" s="414"/>
      <c r="X987" s="414"/>
      <c r="Y987" s="414"/>
      <c r="Z987" s="414"/>
    </row>
    <row r="988" spans="1:26" ht="15.75" customHeight="1" x14ac:dyDescent="0.25">
      <c r="A988" s="424">
        <v>983</v>
      </c>
      <c r="B988" s="250"/>
      <c r="C988" s="250"/>
      <c r="D988" s="250"/>
      <c r="E988" s="250"/>
      <c r="F988" s="425"/>
      <c r="G988" s="425"/>
      <c r="H988" s="346"/>
      <c r="I988" s="250"/>
      <c r="J988" s="426"/>
      <c r="K988" s="426"/>
      <c r="L988" s="414"/>
      <c r="M988" s="414"/>
      <c r="N988" s="414"/>
      <c r="O988" s="414"/>
      <c r="P988" s="414"/>
      <c r="Q988" s="414"/>
      <c r="R988" s="414"/>
      <c r="S988" s="414"/>
      <c r="T988" s="414"/>
      <c r="U988" s="414"/>
      <c r="V988" s="414"/>
      <c r="W988" s="414"/>
      <c r="X988" s="414"/>
      <c r="Y988" s="414"/>
      <c r="Z988" s="414"/>
    </row>
    <row r="989" spans="1:26" ht="15.75" customHeight="1" x14ac:dyDescent="0.25">
      <c r="A989" s="424">
        <v>984</v>
      </c>
      <c r="B989" s="250"/>
      <c r="C989" s="250"/>
      <c r="D989" s="250"/>
      <c r="E989" s="250"/>
      <c r="F989" s="425"/>
      <c r="G989" s="425"/>
      <c r="H989" s="346"/>
      <c r="I989" s="250"/>
      <c r="J989" s="426"/>
      <c r="K989" s="426"/>
      <c r="L989" s="414"/>
      <c r="M989" s="414"/>
      <c r="N989" s="414"/>
      <c r="O989" s="414"/>
      <c r="P989" s="414"/>
      <c r="Q989" s="414"/>
      <c r="R989" s="414"/>
      <c r="S989" s="414"/>
      <c r="T989" s="414"/>
      <c r="U989" s="414"/>
      <c r="V989" s="414"/>
      <c r="W989" s="414"/>
      <c r="X989" s="414"/>
      <c r="Y989" s="414"/>
      <c r="Z989" s="414"/>
    </row>
    <row r="990" spans="1:26" ht="15.75" customHeight="1" x14ac:dyDescent="0.25">
      <c r="A990" s="424">
        <v>985</v>
      </c>
      <c r="B990" s="250"/>
      <c r="C990" s="250"/>
      <c r="D990" s="250"/>
      <c r="E990" s="250"/>
      <c r="F990" s="425"/>
      <c r="G990" s="425"/>
      <c r="H990" s="346"/>
      <c r="I990" s="250"/>
      <c r="J990" s="426"/>
      <c r="K990" s="426"/>
      <c r="L990" s="414"/>
      <c r="M990" s="414"/>
      <c r="N990" s="414"/>
      <c r="O990" s="414"/>
      <c r="P990" s="414"/>
      <c r="Q990" s="414"/>
      <c r="R990" s="414"/>
      <c r="S990" s="414"/>
      <c r="T990" s="414"/>
      <c r="U990" s="414"/>
      <c r="V990" s="414"/>
      <c r="W990" s="414"/>
      <c r="X990" s="414"/>
      <c r="Y990" s="414"/>
      <c r="Z990" s="414"/>
    </row>
    <row r="991" spans="1:26" ht="15.75" customHeight="1" x14ac:dyDescent="0.25">
      <c r="A991" s="424">
        <v>986</v>
      </c>
      <c r="B991" s="250"/>
      <c r="C991" s="250"/>
      <c r="D991" s="250"/>
      <c r="E991" s="250"/>
      <c r="F991" s="425"/>
      <c r="G991" s="425"/>
      <c r="H991" s="346"/>
      <c r="I991" s="250"/>
      <c r="J991" s="426"/>
      <c r="K991" s="426"/>
      <c r="L991" s="414"/>
      <c r="M991" s="414"/>
      <c r="N991" s="414"/>
      <c r="O991" s="414"/>
      <c r="P991" s="414"/>
      <c r="Q991" s="414"/>
      <c r="R991" s="414"/>
      <c r="S991" s="414"/>
      <c r="T991" s="414"/>
      <c r="U991" s="414"/>
      <c r="V991" s="414"/>
      <c r="W991" s="414"/>
      <c r="X991" s="414"/>
      <c r="Y991" s="414"/>
      <c r="Z991" s="414"/>
    </row>
    <row r="992" spans="1:26" ht="15.75" customHeight="1" x14ac:dyDescent="0.25">
      <c r="A992" s="424">
        <v>987</v>
      </c>
      <c r="B992" s="250"/>
      <c r="C992" s="250"/>
      <c r="D992" s="250"/>
      <c r="E992" s="250"/>
      <c r="F992" s="425"/>
      <c r="G992" s="425"/>
      <c r="H992" s="346"/>
      <c r="I992" s="250"/>
      <c r="J992" s="426"/>
      <c r="K992" s="426"/>
      <c r="L992" s="414"/>
      <c r="M992" s="414"/>
      <c r="N992" s="414"/>
      <c r="O992" s="414"/>
      <c r="P992" s="414"/>
      <c r="Q992" s="414"/>
      <c r="R992" s="414"/>
      <c r="S992" s="414"/>
      <c r="T992" s="414"/>
      <c r="U992" s="414"/>
      <c r="V992" s="414"/>
      <c r="W992" s="414"/>
      <c r="X992" s="414"/>
      <c r="Y992" s="414"/>
      <c r="Z992" s="414"/>
    </row>
    <row r="993" spans="1:26" ht="15.75" customHeight="1" x14ac:dyDescent="0.25">
      <c r="A993" s="424">
        <v>988</v>
      </c>
      <c r="B993" s="250"/>
      <c r="C993" s="250"/>
      <c r="D993" s="250"/>
      <c r="E993" s="250"/>
      <c r="F993" s="425"/>
      <c r="G993" s="425"/>
      <c r="H993" s="346"/>
      <c r="I993" s="250"/>
      <c r="J993" s="426"/>
      <c r="K993" s="426"/>
      <c r="L993" s="414"/>
      <c r="M993" s="414"/>
      <c r="N993" s="414"/>
      <c r="O993" s="414"/>
      <c r="P993" s="414"/>
      <c r="Q993" s="414"/>
      <c r="R993" s="414"/>
      <c r="S993" s="414"/>
      <c r="T993" s="414"/>
      <c r="U993" s="414"/>
      <c r="V993" s="414"/>
      <c r="W993" s="414"/>
      <c r="X993" s="414"/>
      <c r="Y993" s="414"/>
      <c r="Z993" s="414"/>
    </row>
    <row r="994" spans="1:26" ht="15.75" customHeight="1" x14ac:dyDescent="0.25">
      <c r="A994" s="424">
        <v>989</v>
      </c>
      <c r="B994" s="250"/>
      <c r="C994" s="250"/>
      <c r="D994" s="250"/>
      <c r="E994" s="250"/>
      <c r="F994" s="425"/>
      <c r="G994" s="425"/>
      <c r="H994" s="346"/>
      <c r="I994" s="250"/>
      <c r="J994" s="426"/>
      <c r="K994" s="426"/>
      <c r="L994" s="414"/>
      <c r="M994" s="414"/>
      <c r="N994" s="414"/>
      <c r="O994" s="414"/>
      <c r="P994" s="414"/>
      <c r="Q994" s="414"/>
      <c r="R994" s="414"/>
      <c r="S994" s="414"/>
      <c r="T994" s="414"/>
      <c r="U994" s="414"/>
      <c r="V994" s="414"/>
      <c r="W994" s="414"/>
      <c r="X994" s="414"/>
      <c r="Y994" s="414"/>
      <c r="Z994" s="414"/>
    </row>
    <row r="995" spans="1:26" ht="15.75" customHeight="1" x14ac:dyDescent="0.25">
      <c r="A995" s="424">
        <v>990</v>
      </c>
      <c r="B995" s="250"/>
      <c r="C995" s="250"/>
      <c r="D995" s="250"/>
      <c r="E995" s="250"/>
      <c r="F995" s="425"/>
      <c r="G995" s="425"/>
      <c r="H995" s="346"/>
      <c r="I995" s="250"/>
      <c r="J995" s="426"/>
      <c r="K995" s="426"/>
      <c r="L995" s="414"/>
      <c r="M995" s="414"/>
      <c r="N995" s="414"/>
      <c r="O995" s="414"/>
      <c r="P995" s="414"/>
      <c r="Q995" s="414"/>
      <c r="R995" s="414"/>
      <c r="S995" s="414"/>
      <c r="T995" s="414"/>
      <c r="U995" s="414"/>
      <c r="V995" s="414"/>
      <c r="W995" s="414"/>
      <c r="X995" s="414"/>
      <c r="Y995" s="414"/>
      <c r="Z995" s="414"/>
    </row>
    <row r="996" spans="1:26" ht="15.75" customHeight="1" x14ac:dyDescent="0.25">
      <c r="A996" s="424">
        <v>991</v>
      </c>
      <c r="B996" s="250"/>
      <c r="C996" s="250"/>
      <c r="D996" s="250"/>
      <c r="E996" s="250"/>
      <c r="F996" s="425"/>
      <c r="G996" s="425"/>
      <c r="H996" s="346"/>
      <c r="I996" s="250"/>
      <c r="J996" s="426"/>
      <c r="K996" s="426"/>
      <c r="L996" s="414"/>
      <c r="M996" s="414"/>
      <c r="N996" s="414"/>
      <c r="O996" s="414"/>
      <c r="P996" s="414"/>
      <c r="Q996" s="414"/>
      <c r="R996" s="414"/>
      <c r="S996" s="414"/>
      <c r="T996" s="414"/>
      <c r="U996" s="414"/>
      <c r="V996" s="414"/>
      <c r="W996" s="414"/>
      <c r="X996" s="414"/>
      <c r="Y996" s="414"/>
      <c r="Z996" s="414"/>
    </row>
    <row r="997" spans="1:26" ht="15.75" customHeight="1" x14ac:dyDescent="0.25">
      <c r="A997" s="424">
        <v>992</v>
      </c>
      <c r="B997" s="250"/>
      <c r="C997" s="250"/>
      <c r="D997" s="250"/>
      <c r="E997" s="250"/>
      <c r="F997" s="425"/>
      <c r="G997" s="425"/>
      <c r="H997" s="346"/>
      <c r="I997" s="250"/>
      <c r="J997" s="426"/>
      <c r="K997" s="426"/>
      <c r="L997" s="414"/>
      <c r="M997" s="414"/>
      <c r="N997" s="414"/>
      <c r="O997" s="414"/>
      <c r="P997" s="414"/>
      <c r="Q997" s="414"/>
      <c r="R997" s="414"/>
      <c r="S997" s="414"/>
      <c r="T997" s="414"/>
      <c r="U997" s="414"/>
      <c r="V997" s="414"/>
      <c r="W997" s="414"/>
      <c r="X997" s="414"/>
      <c r="Y997" s="414"/>
      <c r="Z997" s="414"/>
    </row>
    <row r="998" spans="1:26" ht="15.75" customHeight="1" x14ac:dyDescent="0.25">
      <c r="A998" s="424">
        <v>993</v>
      </c>
      <c r="B998" s="250"/>
      <c r="C998" s="250"/>
      <c r="D998" s="250"/>
      <c r="E998" s="250"/>
      <c r="F998" s="425"/>
      <c r="G998" s="425"/>
      <c r="H998" s="346"/>
      <c r="I998" s="250"/>
      <c r="J998" s="426"/>
      <c r="K998" s="426"/>
      <c r="L998" s="414"/>
      <c r="M998" s="414"/>
      <c r="N998" s="414"/>
      <c r="O998" s="414"/>
      <c r="P998" s="414"/>
      <c r="Q998" s="414"/>
      <c r="R998" s="414"/>
      <c r="S998" s="414"/>
      <c r="T998" s="414"/>
      <c r="U998" s="414"/>
      <c r="V998" s="414"/>
      <c r="W998" s="414"/>
      <c r="X998" s="414"/>
      <c r="Y998" s="414"/>
      <c r="Z998" s="414"/>
    </row>
    <row r="999" spans="1:26" ht="15.75" customHeight="1" x14ac:dyDescent="0.25">
      <c r="A999" s="424">
        <v>994</v>
      </c>
      <c r="B999" s="250"/>
      <c r="C999" s="250"/>
      <c r="D999" s="250"/>
      <c r="E999" s="250"/>
      <c r="F999" s="425"/>
      <c r="G999" s="425"/>
      <c r="H999" s="346"/>
      <c r="I999" s="250"/>
      <c r="J999" s="426"/>
      <c r="K999" s="426"/>
      <c r="L999" s="414"/>
      <c r="M999" s="414"/>
      <c r="N999" s="414"/>
      <c r="O999" s="414"/>
      <c r="P999" s="414"/>
      <c r="Q999" s="414"/>
      <c r="R999" s="414"/>
      <c r="S999" s="414"/>
      <c r="T999" s="414"/>
      <c r="U999" s="414"/>
      <c r="V999" s="414"/>
      <c r="W999" s="414"/>
      <c r="X999" s="414"/>
      <c r="Y999" s="414"/>
      <c r="Z999" s="414"/>
    </row>
    <row r="1000" spans="1:26" ht="15.75" customHeight="1" x14ac:dyDescent="0.25">
      <c r="A1000" s="424">
        <v>995</v>
      </c>
      <c r="B1000" s="250"/>
      <c r="C1000" s="250"/>
      <c r="D1000" s="250"/>
      <c r="E1000" s="250"/>
      <c r="F1000" s="425"/>
      <c r="G1000" s="425"/>
      <c r="H1000" s="346"/>
      <c r="I1000" s="250"/>
      <c r="J1000" s="426"/>
      <c r="K1000" s="426"/>
      <c r="L1000" s="414"/>
      <c r="M1000" s="414"/>
      <c r="N1000" s="414"/>
      <c r="O1000" s="414"/>
      <c r="P1000" s="414"/>
      <c r="Q1000" s="414"/>
      <c r="R1000" s="414"/>
      <c r="S1000" s="414"/>
      <c r="T1000" s="414"/>
      <c r="U1000" s="414"/>
      <c r="V1000" s="414"/>
      <c r="W1000" s="414"/>
      <c r="X1000" s="414"/>
      <c r="Y1000" s="414"/>
      <c r="Z1000" s="414"/>
    </row>
    <row r="1001" spans="1:26" ht="15.75" customHeight="1" x14ac:dyDescent="0.25">
      <c r="A1001" s="424">
        <v>996</v>
      </c>
      <c r="B1001" s="250"/>
      <c r="C1001" s="250"/>
      <c r="D1001" s="250"/>
      <c r="E1001" s="250"/>
      <c r="F1001" s="425"/>
      <c r="G1001" s="425"/>
      <c r="H1001" s="346"/>
      <c r="I1001" s="250"/>
      <c r="J1001" s="426"/>
      <c r="K1001" s="426"/>
      <c r="L1001" s="414"/>
      <c r="M1001" s="414"/>
      <c r="N1001" s="414"/>
      <c r="O1001" s="414"/>
      <c r="P1001" s="414"/>
      <c r="Q1001" s="414"/>
      <c r="R1001" s="414"/>
      <c r="S1001" s="414"/>
      <c r="T1001" s="414"/>
      <c r="U1001" s="414"/>
      <c r="V1001" s="414"/>
      <c r="W1001" s="414"/>
      <c r="X1001" s="414"/>
      <c r="Y1001" s="414"/>
      <c r="Z1001" s="414"/>
    </row>
    <row r="1002" spans="1:26" ht="15.75" customHeight="1" x14ac:dyDescent="0.25">
      <c r="A1002" s="424">
        <v>997</v>
      </c>
      <c r="B1002" s="250"/>
      <c r="C1002" s="250"/>
      <c r="D1002" s="250"/>
      <c r="E1002" s="250"/>
      <c r="F1002" s="425"/>
      <c r="G1002" s="425"/>
      <c r="H1002" s="346"/>
      <c r="I1002" s="250"/>
      <c r="J1002" s="426"/>
      <c r="K1002" s="426"/>
      <c r="L1002" s="414"/>
      <c r="M1002" s="414"/>
      <c r="N1002" s="414"/>
      <c r="O1002" s="414"/>
      <c r="P1002" s="414"/>
      <c r="Q1002" s="414"/>
      <c r="R1002" s="414"/>
      <c r="S1002" s="414"/>
      <c r="T1002" s="414"/>
      <c r="U1002" s="414"/>
      <c r="V1002" s="414"/>
      <c r="W1002" s="414"/>
      <c r="X1002" s="414"/>
      <c r="Y1002" s="414"/>
      <c r="Z1002" s="414"/>
    </row>
    <row r="1003" spans="1:26" ht="15.75" customHeight="1" x14ac:dyDescent="0.25">
      <c r="A1003" s="424">
        <v>998</v>
      </c>
      <c r="B1003" s="250"/>
      <c r="C1003" s="250"/>
      <c r="D1003" s="250"/>
      <c r="E1003" s="250"/>
      <c r="F1003" s="425"/>
      <c r="G1003" s="425"/>
      <c r="H1003" s="346"/>
      <c r="I1003" s="250"/>
      <c r="J1003" s="426"/>
      <c r="K1003" s="426"/>
      <c r="L1003" s="414"/>
      <c r="M1003" s="414"/>
      <c r="N1003" s="414"/>
      <c r="O1003" s="414"/>
      <c r="P1003" s="414"/>
      <c r="Q1003" s="414"/>
      <c r="R1003" s="414"/>
      <c r="S1003" s="414"/>
      <c r="T1003" s="414"/>
      <c r="U1003" s="414"/>
      <c r="V1003" s="414"/>
      <c r="W1003" s="414"/>
      <c r="X1003" s="414"/>
      <c r="Y1003" s="414"/>
      <c r="Z1003" s="414"/>
    </row>
    <row r="1004" spans="1:26" ht="15.75" customHeight="1" x14ac:dyDescent="0.25">
      <c r="A1004" s="424">
        <v>999</v>
      </c>
      <c r="B1004" s="250"/>
      <c r="C1004" s="250"/>
      <c r="D1004" s="250"/>
      <c r="E1004" s="250"/>
      <c r="F1004" s="425"/>
      <c r="G1004" s="425"/>
      <c r="H1004" s="346"/>
      <c r="I1004" s="250"/>
      <c r="J1004" s="426"/>
      <c r="K1004" s="426"/>
      <c r="L1004" s="414"/>
      <c r="M1004" s="414"/>
      <c r="N1004" s="414"/>
      <c r="O1004" s="414"/>
      <c r="P1004" s="414"/>
      <c r="Q1004" s="414"/>
      <c r="R1004" s="414"/>
      <c r="S1004" s="414"/>
      <c r="T1004" s="414"/>
      <c r="U1004" s="414"/>
      <c r="V1004" s="414"/>
      <c r="W1004" s="414"/>
      <c r="X1004" s="414"/>
      <c r="Y1004" s="414"/>
      <c r="Z1004" s="414"/>
    </row>
  </sheetData>
  <mergeCells count="4">
    <mergeCell ref="A1:K1"/>
    <mergeCell ref="A2:K2"/>
    <mergeCell ref="A3:K3"/>
    <mergeCell ref="A4:K4"/>
  </mergeCells>
  <dataValidations count="1">
    <dataValidation type="list" allowBlank="1" showErrorMessage="1" sqref="E6:E1004">
      <formula1>$N$4:$O$4</formula1>
    </dataValidation>
  </dataValidations>
  <pageMargins left="0.511811024" right="0.511811024" top="0.78740157499999996" bottom="0.78740157499999996"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2" ySplit="7" topLeftCell="E28" activePane="bottomRight" state="frozen"/>
      <selection pane="topRight" activeCell="C1" sqref="C1"/>
      <selection pane="bottomLeft" activeCell="A8" sqref="A8"/>
      <selection pane="bottomRight" sqref="A1:O40"/>
    </sheetView>
  </sheetViews>
  <sheetFormatPr defaultColWidth="14.42578125" defaultRowHeight="15" customHeight="1" x14ac:dyDescent="0.2"/>
  <cols>
    <col min="1" max="1" width="6.28515625" customWidth="1"/>
    <col min="2" max="2" width="42.140625" customWidth="1"/>
    <col min="3" max="15" width="12.85546875" customWidth="1"/>
    <col min="16" max="26" width="9.140625" customWidth="1"/>
  </cols>
  <sheetData>
    <row r="1" spans="1:26" ht="32.25" customHeight="1" x14ac:dyDescent="0.25">
      <c r="A1" s="709" t="str">
        <f>Capa!A1</f>
        <v>Contrato de Gestão nº. 05/20 celebrado entre a Fundação Clóvis Salgado e a Associação Pró-Cultura e Promoção das Artes</v>
      </c>
      <c r="B1" s="695"/>
      <c r="C1" s="695"/>
      <c r="D1" s="695"/>
      <c r="E1" s="695"/>
      <c r="F1" s="695"/>
      <c r="G1" s="695"/>
      <c r="H1" s="695"/>
      <c r="I1" s="695"/>
      <c r="J1" s="695"/>
      <c r="K1" s="695"/>
      <c r="L1" s="695"/>
      <c r="M1" s="695"/>
      <c r="N1" s="695"/>
      <c r="O1" s="696"/>
      <c r="P1" s="299"/>
      <c r="Q1" s="299"/>
      <c r="R1" s="299"/>
      <c r="S1" s="299"/>
      <c r="T1" s="299"/>
      <c r="U1" s="299"/>
      <c r="V1" s="13"/>
      <c r="W1" s="13"/>
      <c r="X1" s="13"/>
      <c r="Y1" s="13"/>
      <c r="Z1" s="13"/>
    </row>
    <row r="2" spans="1:26" ht="19.5" customHeight="1" x14ac:dyDescent="0.25">
      <c r="A2" s="709" t="str">
        <f>Capa!A3</f>
        <v>8º Relatório Gerencial Financeiro</v>
      </c>
      <c r="B2" s="695"/>
      <c r="C2" s="695"/>
      <c r="D2" s="695"/>
      <c r="E2" s="695"/>
      <c r="F2" s="695"/>
      <c r="G2" s="695"/>
      <c r="H2" s="695"/>
      <c r="I2" s="695"/>
      <c r="J2" s="695"/>
      <c r="K2" s="695"/>
      <c r="L2" s="695"/>
      <c r="M2" s="695"/>
      <c r="N2" s="695"/>
      <c r="O2" s="696"/>
      <c r="P2" s="299"/>
      <c r="Q2" s="299"/>
      <c r="R2" s="299"/>
      <c r="S2" s="299"/>
      <c r="T2" s="299"/>
      <c r="U2" s="299"/>
      <c r="V2" s="13"/>
      <c r="W2" s="13"/>
      <c r="X2" s="13"/>
      <c r="Y2" s="13"/>
      <c r="Z2" s="13"/>
    </row>
    <row r="3" spans="1:26" ht="19.5" customHeight="1" x14ac:dyDescent="0.25">
      <c r="A3" s="701" t="s">
        <v>967</v>
      </c>
      <c r="B3" s="695"/>
      <c r="C3" s="695"/>
      <c r="D3" s="695"/>
      <c r="E3" s="695"/>
      <c r="F3" s="695"/>
      <c r="G3" s="695"/>
      <c r="H3" s="695"/>
      <c r="I3" s="695"/>
      <c r="J3" s="695"/>
      <c r="K3" s="695"/>
      <c r="L3" s="695"/>
      <c r="M3" s="695"/>
      <c r="N3" s="695"/>
      <c r="O3" s="696"/>
      <c r="P3" s="300"/>
      <c r="Q3" s="300"/>
      <c r="R3" s="300"/>
      <c r="S3" s="300"/>
      <c r="T3" s="300"/>
      <c r="U3" s="300"/>
      <c r="V3" s="13"/>
      <c r="W3" s="13"/>
      <c r="X3" s="13"/>
      <c r="Y3" s="13"/>
      <c r="Z3" s="13"/>
    </row>
    <row r="4" spans="1:26" ht="12.75" customHeight="1" x14ac:dyDescent="0.2">
      <c r="A4" s="301"/>
      <c r="B4" s="302"/>
      <c r="C4" s="303" t="str">
        <f>Resumo!C4</f>
        <v>Mês 1</v>
      </c>
      <c r="D4" s="303" t="str">
        <f>Resumo!D4</f>
        <v>Mês 2</v>
      </c>
      <c r="E4" s="303" t="str">
        <f>Resumo!E4</f>
        <v>Mês 3</v>
      </c>
      <c r="F4" s="303" t="str">
        <f>Resumo!F4</f>
        <v>Mês 4</v>
      </c>
      <c r="G4" s="303" t="str">
        <f>Resumo!G4</f>
        <v>Mês 5</v>
      </c>
      <c r="H4" s="303" t="str">
        <f>Resumo!H4</f>
        <v>Mês 6</v>
      </c>
      <c r="I4" s="303" t="str">
        <f>Resumo!I4</f>
        <v>Mês 7</v>
      </c>
      <c r="J4" s="303" t="str">
        <f>Resumo!J4</f>
        <v>Mês 8</v>
      </c>
      <c r="K4" s="303" t="str">
        <f>Resumo!K4</f>
        <v>Mês 9</v>
      </c>
      <c r="L4" s="303" t="str">
        <f>Resumo!L4</f>
        <v>Mês 10</v>
      </c>
      <c r="M4" s="303" t="str">
        <f>Resumo!M4</f>
        <v>Mês 11</v>
      </c>
      <c r="N4" s="303" t="str">
        <f>Resumo!N4</f>
        <v>Mês 12</v>
      </c>
      <c r="O4" s="739" t="s">
        <v>66</v>
      </c>
      <c r="P4" s="13"/>
      <c r="Q4" s="13"/>
      <c r="R4" s="13"/>
      <c r="S4" s="13"/>
      <c r="T4" s="13"/>
      <c r="U4" s="13"/>
      <c r="V4" s="13"/>
      <c r="W4" s="13"/>
      <c r="X4" s="13"/>
      <c r="Y4" s="13"/>
      <c r="Z4" s="13"/>
    </row>
    <row r="5" spans="1:26" ht="12.75" customHeight="1" x14ac:dyDescent="0.2">
      <c r="A5" s="32"/>
      <c r="B5" s="304"/>
      <c r="C5" s="305">
        <f>Resumo!C5</f>
        <v>44197</v>
      </c>
      <c r="D5" s="305">
        <f>Resumo!D5</f>
        <v>44228</v>
      </c>
      <c r="E5" s="305">
        <f>Resumo!E5</f>
        <v>44256</v>
      </c>
      <c r="F5" s="305">
        <f>Resumo!F5</f>
        <v>44287</v>
      </c>
      <c r="G5" s="305">
        <f>Resumo!G5</f>
        <v>44317</v>
      </c>
      <c r="H5" s="305">
        <f>Resumo!H5</f>
        <v>44348</v>
      </c>
      <c r="I5" s="305">
        <f>Resumo!I5</f>
        <v>44378</v>
      </c>
      <c r="J5" s="305">
        <f>Resumo!J5</f>
        <v>44409</v>
      </c>
      <c r="K5" s="305">
        <f>Resumo!K5</f>
        <v>44440</v>
      </c>
      <c r="L5" s="305">
        <f>Resumo!L5</f>
        <v>44470</v>
      </c>
      <c r="M5" s="305">
        <f>Resumo!M5</f>
        <v>44501</v>
      </c>
      <c r="N5" s="305">
        <f>Resumo!N5</f>
        <v>44531</v>
      </c>
      <c r="O5" s="703"/>
      <c r="P5" s="13"/>
      <c r="Q5" s="13"/>
      <c r="R5" s="13"/>
      <c r="S5" s="13"/>
      <c r="T5" s="13"/>
      <c r="U5" s="13"/>
      <c r="V5" s="13"/>
      <c r="W5" s="13"/>
      <c r="X5" s="13"/>
      <c r="Y5" s="13"/>
      <c r="Z5" s="13"/>
    </row>
    <row r="6" spans="1:26" ht="12.75" customHeight="1" x14ac:dyDescent="0.2">
      <c r="A6" s="32"/>
      <c r="B6" s="304"/>
      <c r="C6" s="306" t="str">
        <f>Resumo!C6</f>
        <v>a</v>
      </c>
      <c r="D6" s="306" t="str">
        <f>Resumo!D6</f>
        <v>a</v>
      </c>
      <c r="E6" s="306" t="str">
        <f>Resumo!E6</f>
        <v>a</v>
      </c>
      <c r="F6" s="306" t="str">
        <f>Resumo!F6</f>
        <v>a</v>
      </c>
      <c r="G6" s="306" t="str">
        <f>Resumo!G6</f>
        <v>a</v>
      </c>
      <c r="H6" s="306" t="str">
        <f>Resumo!H6</f>
        <v>a</v>
      </c>
      <c r="I6" s="306" t="str">
        <f>Resumo!I6</f>
        <v>a</v>
      </c>
      <c r="J6" s="306" t="str">
        <f>Resumo!J6</f>
        <v>a</v>
      </c>
      <c r="K6" s="306" t="str">
        <f>Resumo!K6</f>
        <v>a</v>
      </c>
      <c r="L6" s="306" t="str">
        <f>Resumo!L6</f>
        <v>a</v>
      </c>
      <c r="M6" s="306" t="str">
        <f>Resumo!M6</f>
        <v>a</v>
      </c>
      <c r="N6" s="306" t="str">
        <f>Resumo!N6</f>
        <v>a</v>
      </c>
      <c r="O6" s="703"/>
      <c r="P6" s="13"/>
      <c r="Q6" s="13"/>
      <c r="R6" s="13"/>
      <c r="S6" s="13"/>
      <c r="T6" s="13"/>
      <c r="U6" s="13"/>
      <c r="V6" s="13"/>
      <c r="W6" s="13"/>
      <c r="X6" s="13"/>
      <c r="Y6" s="13"/>
      <c r="Z6" s="13"/>
    </row>
    <row r="7" spans="1:26" ht="12.75" customHeight="1" x14ac:dyDescent="0.2">
      <c r="A7" s="307"/>
      <c r="B7" s="308"/>
      <c r="C7" s="309">
        <f>Resumo!C7</f>
        <v>44227</v>
      </c>
      <c r="D7" s="309">
        <f>Resumo!D7</f>
        <v>44255</v>
      </c>
      <c r="E7" s="309">
        <f>Resumo!E7</f>
        <v>44286</v>
      </c>
      <c r="F7" s="309">
        <f>Resumo!F7</f>
        <v>44316</v>
      </c>
      <c r="G7" s="309">
        <f>Resumo!G7</f>
        <v>44347</v>
      </c>
      <c r="H7" s="309">
        <f>Resumo!H7</f>
        <v>44377</v>
      </c>
      <c r="I7" s="309">
        <f>Resumo!I7</f>
        <v>44408</v>
      </c>
      <c r="J7" s="309">
        <f>Resumo!J7</f>
        <v>44439</v>
      </c>
      <c r="K7" s="309">
        <f>Resumo!K7</f>
        <v>44469</v>
      </c>
      <c r="L7" s="309">
        <f>Resumo!L7</f>
        <v>44500</v>
      </c>
      <c r="M7" s="309">
        <f>Resumo!M7</f>
        <v>44530</v>
      </c>
      <c r="N7" s="309">
        <f>Resumo!N7</f>
        <v>44561</v>
      </c>
      <c r="O7" s="716"/>
      <c r="P7" s="13"/>
      <c r="Q7" s="13"/>
      <c r="R7" s="13"/>
      <c r="S7" s="13"/>
      <c r="T7" s="13"/>
      <c r="U7" s="13"/>
      <c r="V7" s="13"/>
      <c r="W7" s="13"/>
      <c r="X7" s="13"/>
      <c r="Y7" s="13"/>
      <c r="Z7" s="13"/>
    </row>
    <row r="8" spans="1:26" ht="24.75" customHeight="1" x14ac:dyDescent="0.2">
      <c r="A8" s="310" t="s">
        <v>968</v>
      </c>
      <c r="B8" s="311"/>
      <c r="C8" s="312">
        <v>310238.83</v>
      </c>
      <c r="D8" s="312">
        <f t="shared" ref="D8:N8" si="0">C39</f>
        <v>305985.70326180046</v>
      </c>
      <c r="E8" s="312">
        <f t="shared" si="0"/>
        <v>311970.6452040642</v>
      </c>
      <c r="F8" s="312">
        <f t="shared" si="0"/>
        <v>328223.98490491003</v>
      </c>
      <c r="G8" s="312">
        <f t="shared" si="0"/>
        <v>342672.65233908914</v>
      </c>
      <c r="H8" s="312">
        <f t="shared" si="0"/>
        <v>360632.92499055353</v>
      </c>
      <c r="I8" s="312">
        <f t="shared" si="0"/>
        <v>378064.60547805356</v>
      </c>
      <c r="J8" s="312">
        <f t="shared" si="0"/>
        <v>410849.79138603352</v>
      </c>
      <c r="K8" s="312">
        <f t="shared" si="0"/>
        <v>470676.43983774976</v>
      </c>
      <c r="L8" s="312">
        <f t="shared" si="0"/>
        <v>513727.29740748438</v>
      </c>
      <c r="M8" s="312">
        <f t="shared" si="0"/>
        <v>582846.60282435233</v>
      </c>
      <c r="N8" s="312">
        <f t="shared" si="0"/>
        <v>550873.95139435772</v>
      </c>
      <c r="O8" s="313"/>
      <c r="P8" s="13"/>
      <c r="Q8" s="13"/>
      <c r="R8" s="13"/>
      <c r="S8" s="13"/>
      <c r="T8" s="13"/>
      <c r="U8" s="13"/>
      <c r="V8" s="13"/>
      <c r="W8" s="13"/>
      <c r="X8" s="13"/>
      <c r="Y8" s="13"/>
      <c r="Z8" s="13"/>
    </row>
    <row r="9" spans="1:26" ht="21" customHeight="1" x14ac:dyDescent="0.2">
      <c r="A9" s="314" t="s">
        <v>969</v>
      </c>
      <c r="B9" s="314"/>
      <c r="C9" s="161"/>
      <c r="D9" s="161"/>
      <c r="E9" s="161"/>
      <c r="F9" s="161"/>
      <c r="G9" s="161"/>
      <c r="H9" s="161"/>
      <c r="I9" s="161"/>
      <c r="J9" s="161"/>
      <c r="K9" s="161"/>
      <c r="L9" s="161"/>
      <c r="M9" s="161"/>
      <c r="N9" s="161"/>
      <c r="O9" s="161"/>
      <c r="P9" s="13"/>
      <c r="Q9" s="13"/>
      <c r="R9" s="13"/>
      <c r="S9" s="13"/>
      <c r="T9" s="13"/>
      <c r="U9" s="13"/>
      <c r="V9" s="13"/>
      <c r="W9" s="13"/>
      <c r="X9" s="13"/>
      <c r="Y9" s="13"/>
      <c r="Z9" s="13"/>
    </row>
    <row r="10" spans="1:26" ht="13.5" customHeight="1" x14ac:dyDescent="0.2">
      <c r="A10" s="315" t="s">
        <v>166</v>
      </c>
      <c r="B10" s="316" t="s">
        <v>167</v>
      </c>
      <c r="C10" s="317">
        <v>24059.07</v>
      </c>
      <c r="D10" s="317">
        <v>22863.152599999998</v>
      </c>
      <c r="E10" s="317">
        <v>22598.71</v>
      </c>
      <c r="F10" s="317">
        <v>22690.79</v>
      </c>
      <c r="G10" s="317">
        <v>22459.73</v>
      </c>
      <c r="H10" s="317">
        <v>22763.200000000001</v>
      </c>
      <c r="I10" s="317">
        <v>31633.410749999985</v>
      </c>
      <c r="J10" s="486">
        <v>41129.050000000003</v>
      </c>
      <c r="K10" s="317">
        <v>41994.244350000001</v>
      </c>
      <c r="L10" s="317">
        <v>48754.239999999998</v>
      </c>
      <c r="M10" s="317">
        <v>55980.629399999998</v>
      </c>
      <c r="N10" s="317">
        <v>49914.727949999993</v>
      </c>
      <c r="O10" s="317">
        <f t="shared" ref="O10:O18" si="1">SUM(C10:N10)</f>
        <v>406840.95504999993</v>
      </c>
      <c r="P10" s="13"/>
      <c r="Q10" s="13"/>
      <c r="R10" s="13"/>
      <c r="S10" s="13"/>
      <c r="T10" s="13"/>
      <c r="U10" s="13"/>
      <c r="V10" s="13"/>
      <c r="W10" s="13"/>
      <c r="X10" s="13"/>
      <c r="Y10" s="13"/>
      <c r="Z10" s="13"/>
    </row>
    <row r="11" spans="1:26" ht="13.5" customHeight="1" x14ac:dyDescent="0.2">
      <c r="A11" s="315" t="s">
        <v>168</v>
      </c>
      <c r="B11" s="316" t="s">
        <v>169</v>
      </c>
      <c r="C11" s="317">
        <v>945.50419999999997</v>
      </c>
      <c r="D11" s="317">
        <v>898.60520000000008</v>
      </c>
      <c r="E11" s="317">
        <v>888.23520000000008</v>
      </c>
      <c r="F11" s="317">
        <v>891.83830000000012</v>
      </c>
      <c r="G11" s="317">
        <v>882.78470000000016</v>
      </c>
      <c r="H11" s="317">
        <v>894.68580000000009</v>
      </c>
      <c r="I11" s="317">
        <v>1242.5364999999999</v>
      </c>
      <c r="J11" s="486">
        <v>1614.91</v>
      </c>
      <c r="K11" s="317">
        <v>1648.8436999999999</v>
      </c>
      <c r="L11" s="317">
        <v>1913.9426000000003</v>
      </c>
      <c r="M11" s="317">
        <v>2195.3188</v>
      </c>
      <c r="N11" s="317">
        <v>1959.4508999999996</v>
      </c>
      <c r="O11" s="317">
        <f t="shared" si="1"/>
        <v>15976.655900000002</v>
      </c>
      <c r="P11" s="13"/>
      <c r="Q11" s="13"/>
      <c r="R11" s="13"/>
      <c r="S11" s="13"/>
      <c r="T11" s="13"/>
      <c r="U11" s="13"/>
      <c r="V11" s="13"/>
      <c r="W11" s="13"/>
      <c r="X11" s="13"/>
      <c r="Y11" s="13"/>
      <c r="Z11" s="13"/>
    </row>
    <row r="12" spans="1:26" ht="13.5" customHeight="1" x14ac:dyDescent="0.2">
      <c r="A12" s="315" t="s">
        <v>170</v>
      </c>
      <c r="B12" s="316" t="s">
        <v>171</v>
      </c>
      <c r="C12" s="317">
        <v>7564.0335999999998</v>
      </c>
      <c r="D12" s="317">
        <v>6737.405600000001</v>
      </c>
      <c r="E12" s="317">
        <v>7105.8816000000006</v>
      </c>
      <c r="F12" s="317">
        <v>7134.72</v>
      </c>
      <c r="G12" s="317">
        <v>7062.2776000000013</v>
      </c>
      <c r="H12" s="317">
        <v>6885.5752000000002</v>
      </c>
      <c r="I12" s="317">
        <v>9691.3759999999984</v>
      </c>
      <c r="J12" s="486">
        <v>12919.32</v>
      </c>
      <c r="K12" s="317">
        <v>13190.749599999999</v>
      </c>
      <c r="L12" s="317">
        <v>15311.540800000002</v>
      </c>
      <c r="M12" s="317">
        <v>17097.747199999998</v>
      </c>
      <c r="N12" s="317">
        <v>15675.607199999997</v>
      </c>
      <c r="O12" s="317">
        <f t="shared" si="1"/>
        <v>126376.2344</v>
      </c>
      <c r="P12" s="13"/>
      <c r="Q12" s="13"/>
      <c r="R12" s="13"/>
      <c r="S12" s="13"/>
      <c r="T12" s="13"/>
      <c r="U12" s="13"/>
      <c r="V12" s="13"/>
      <c r="W12" s="13"/>
      <c r="X12" s="13"/>
      <c r="Y12" s="13"/>
      <c r="Z12" s="13"/>
    </row>
    <row r="13" spans="1:26" ht="13.5" customHeight="1" x14ac:dyDescent="0.2">
      <c r="A13" s="315" t="s">
        <v>172</v>
      </c>
      <c r="B13" s="316" t="s">
        <v>173</v>
      </c>
      <c r="C13" s="317">
        <v>643.5684298559936</v>
      </c>
      <c r="D13" s="317">
        <v>881.31107143040572</v>
      </c>
      <c r="E13" s="317">
        <v>3071.1729855680023</v>
      </c>
      <c r="F13" s="317">
        <v>3071.1729855680023</v>
      </c>
      <c r="G13" s="317">
        <v>3055.5285195199831</v>
      </c>
      <c r="H13" s="317">
        <v>1066.24</v>
      </c>
      <c r="I13" s="317">
        <v>1638.5099204799626</v>
      </c>
      <c r="J13" s="486">
        <v>5268.1142850496299</v>
      </c>
      <c r="K13" s="317">
        <v>5795.5246655679657</v>
      </c>
      <c r="L13" s="317">
        <v>7071.257257145633</v>
      </c>
      <c r="M13" s="317">
        <v>5356.5411152832094</v>
      </c>
      <c r="N13" s="317">
        <v>6937.1599934399565</v>
      </c>
      <c r="O13" s="317">
        <f t="shared" si="1"/>
        <v>43856.101228908745</v>
      </c>
      <c r="P13" s="13"/>
      <c r="Q13" s="13"/>
      <c r="R13" s="13"/>
      <c r="S13" s="13"/>
      <c r="T13" s="13"/>
      <c r="U13" s="13"/>
      <c r="V13" s="13"/>
      <c r="W13" s="13"/>
      <c r="X13" s="13"/>
      <c r="Y13" s="13"/>
      <c r="Z13" s="13"/>
    </row>
    <row r="14" spans="1:26" ht="13.5" customHeight="1" x14ac:dyDescent="0.2">
      <c r="A14" s="315" t="s">
        <v>174</v>
      </c>
      <c r="B14" s="316" t="s">
        <v>175</v>
      </c>
      <c r="C14" s="317">
        <v>9716.4694208333331</v>
      </c>
      <c r="D14" s="317">
        <v>9098.697470833331</v>
      </c>
      <c r="E14" s="317">
        <v>9716.4694208333349</v>
      </c>
      <c r="F14" s="317">
        <v>9716.4694208333312</v>
      </c>
      <c r="G14" s="317">
        <v>9098.6974708333364</v>
      </c>
      <c r="H14" s="317">
        <v>11068.037504166663</v>
      </c>
      <c r="I14" s="317">
        <v>7705.6226874999847</v>
      </c>
      <c r="J14" s="486">
        <v>20227.87</v>
      </c>
      <c r="K14" s="317">
        <v>18335.677754166638</v>
      </c>
      <c r="L14" s="317">
        <v>22034.427754166711</v>
      </c>
      <c r="M14" s="317">
        <v>18845.591912499964</v>
      </c>
      <c r="N14" s="317">
        <v>21934.758770833316</v>
      </c>
      <c r="O14" s="317">
        <f t="shared" si="1"/>
        <v>167498.78958749992</v>
      </c>
      <c r="P14" s="13"/>
      <c r="Q14" s="13"/>
      <c r="R14" s="13"/>
      <c r="S14" s="13"/>
      <c r="T14" s="13"/>
      <c r="U14" s="13"/>
      <c r="V14" s="13"/>
      <c r="W14" s="13"/>
      <c r="X14" s="13"/>
      <c r="Y14" s="13"/>
      <c r="Z14" s="13"/>
    </row>
    <row r="15" spans="1:26" ht="13.5" customHeight="1" x14ac:dyDescent="0.2">
      <c r="A15" s="315" t="s">
        <v>176</v>
      </c>
      <c r="B15" s="316" t="s">
        <v>177</v>
      </c>
      <c r="C15" s="317">
        <v>4443.3183333333436</v>
      </c>
      <c r="D15" s="317">
        <v>0</v>
      </c>
      <c r="E15" s="317">
        <v>3974.1408333333384</v>
      </c>
      <c r="F15" s="317">
        <v>361.76583333330927</v>
      </c>
      <c r="G15" s="317">
        <v>3109.970833333311</v>
      </c>
      <c r="H15" s="317">
        <v>9693.217500000057</v>
      </c>
      <c r="I15" s="317">
        <v>9693.217500000057</v>
      </c>
      <c r="J15" s="486">
        <v>11024.7641666666</v>
      </c>
      <c r="K15" s="317">
        <v>9289.1375000000116</v>
      </c>
      <c r="L15" s="317">
        <v>16382.474166666754</v>
      </c>
      <c r="M15" s="317">
        <v>11464.586666666582</v>
      </c>
      <c r="N15" s="317">
        <v>16896.870833333378</v>
      </c>
      <c r="O15" s="317">
        <f t="shared" si="1"/>
        <v>96333.464166666745</v>
      </c>
      <c r="P15" s="13"/>
      <c r="Q15" s="13"/>
      <c r="R15" s="13"/>
      <c r="S15" s="13"/>
      <c r="T15" s="13"/>
      <c r="U15" s="13"/>
      <c r="V15" s="13"/>
      <c r="W15" s="13"/>
      <c r="X15" s="13"/>
      <c r="Y15" s="13"/>
      <c r="Z15" s="13"/>
    </row>
    <row r="16" spans="1:26" ht="12.75" customHeight="1" x14ac:dyDescent="0.2">
      <c r="A16" s="315" t="s">
        <v>178</v>
      </c>
      <c r="B16" s="316" t="s">
        <v>179</v>
      </c>
      <c r="C16" s="317">
        <v>3525.0325444444534</v>
      </c>
      <c r="D16" s="317">
        <v>0</v>
      </c>
      <c r="E16" s="317">
        <v>3152.8183944444536</v>
      </c>
      <c r="F16" s="317">
        <v>287.00089444444166</v>
      </c>
      <c r="G16" s="317">
        <v>2467.243527777784</v>
      </c>
      <c r="H16" s="317">
        <v>7689.9525499999872</v>
      </c>
      <c r="I16" s="317">
        <v>7689.9525499999872</v>
      </c>
      <c r="J16" s="486">
        <v>8746.32</v>
      </c>
      <c r="K16" s="317">
        <v>9369.3799999999992</v>
      </c>
      <c r="L16" s="317">
        <v>12996.762838888797</v>
      </c>
      <c r="M16" s="317">
        <v>9095.2387555556488</v>
      </c>
      <c r="N16" s="317">
        <v>13404.850861111132</v>
      </c>
      <c r="O16" s="317">
        <f t="shared" si="1"/>
        <v>78424.552916666682</v>
      </c>
      <c r="P16" s="13"/>
      <c r="Q16" s="13"/>
      <c r="R16" s="13"/>
      <c r="S16" s="13"/>
      <c r="T16" s="13"/>
      <c r="U16" s="13"/>
      <c r="V16" s="13"/>
      <c r="W16" s="13"/>
      <c r="X16" s="13"/>
      <c r="Y16" s="13"/>
      <c r="Z16" s="13"/>
    </row>
    <row r="17" spans="1:26" ht="24" x14ac:dyDescent="0.2">
      <c r="A17" s="315" t="s">
        <v>180</v>
      </c>
      <c r="B17" s="316" t="s">
        <v>181</v>
      </c>
      <c r="C17" s="317">
        <f>2209.21673333333-1719.79</f>
        <v>489.42673333333005</v>
      </c>
      <c r="D17" s="317">
        <v>21233.05</v>
      </c>
      <c r="E17" s="317">
        <f>577.931266666666-139.73</f>
        <v>438.20126666666602</v>
      </c>
      <c r="F17" s="317">
        <v>7949.83</v>
      </c>
      <c r="G17" s="317">
        <v>6848.92</v>
      </c>
      <c r="H17" s="317">
        <v>658.32193333333635</v>
      </c>
      <c r="I17" s="317">
        <v>11882.68</v>
      </c>
      <c r="J17" s="486">
        <v>1463.62</v>
      </c>
      <c r="K17" s="317">
        <v>3649.27</v>
      </c>
      <c r="L17" s="317">
        <v>3278.85</v>
      </c>
      <c r="M17" s="317">
        <v>974.29471999999805</v>
      </c>
      <c r="N17" s="317">
        <v>1304.6696666666685</v>
      </c>
      <c r="O17" s="317">
        <f t="shared" si="1"/>
        <v>60171.13431999999</v>
      </c>
      <c r="P17" s="13"/>
      <c r="Q17" s="13"/>
      <c r="R17" s="13"/>
      <c r="S17" s="13"/>
      <c r="T17" s="13"/>
      <c r="U17" s="13"/>
      <c r="V17" s="13"/>
      <c r="W17" s="13"/>
      <c r="X17" s="13"/>
      <c r="Y17" s="13"/>
      <c r="Z17" s="13"/>
    </row>
    <row r="18" spans="1:26" ht="24.75" customHeight="1" x14ac:dyDescent="0.2">
      <c r="A18" s="318" t="s">
        <v>970</v>
      </c>
      <c r="B18" s="319"/>
      <c r="C18" s="320">
        <f t="shared" ref="C18:N18" si="2">SUBTOTAL(109,C10:C17)</f>
        <v>51386.423261800446</v>
      </c>
      <c r="D18" s="320">
        <f t="shared" si="2"/>
        <v>61712.221942263743</v>
      </c>
      <c r="E18" s="320">
        <f t="shared" si="2"/>
        <v>50945.629700845791</v>
      </c>
      <c r="F18" s="320">
        <f t="shared" si="2"/>
        <v>52103.587434179084</v>
      </c>
      <c r="G18" s="320">
        <f t="shared" si="2"/>
        <v>54985.152651464414</v>
      </c>
      <c r="H18" s="320">
        <f t="shared" si="2"/>
        <v>60719.230487500041</v>
      </c>
      <c r="I18" s="320">
        <f t="shared" si="2"/>
        <v>81177.305907979957</v>
      </c>
      <c r="J18" s="320">
        <f t="shared" si="2"/>
        <v>102393.96845171624</v>
      </c>
      <c r="K18" s="320">
        <f t="shared" si="2"/>
        <v>103272.82756973463</v>
      </c>
      <c r="L18" s="320">
        <f t="shared" si="2"/>
        <v>127743.49541686791</v>
      </c>
      <c r="M18" s="320">
        <f t="shared" si="2"/>
        <v>121009.94857000539</v>
      </c>
      <c r="N18" s="320">
        <f t="shared" si="2"/>
        <v>128028.09617538443</v>
      </c>
      <c r="O18" s="320">
        <f t="shared" si="1"/>
        <v>995477.88756974204</v>
      </c>
      <c r="P18" s="13"/>
      <c r="Q18" s="13"/>
      <c r="R18" s="13"/>
      <c r="S18" s="13"/>
      <c r="T18" s="13"/>
      <c r="U18" s="13"/>
      <c r="V18" s="13"/>
      <c r="W18" s="13"/>
      <c r="X18" s="13"/>
      <c r="Y18" s="13"/>
      <c r="Z18" s="13"/>
    </row>
    <row r="19" spans="1:26" ht="21" customHeight="1" x14ac:dyDescent="0.2">
      <c r="A19" s="737" t="s">
        <v>971</v>
      </c>
      <c r="B19" s="696"/>
      <c r="C19" s="321"/>
      <c r="D19" s="316"/>
      <c r="E19" s="316"/>
      <c r="F19" s="316"/>
      <c r="G19" s="316"/>
      <c r="H19" s="316"/>
      <c r="I19" s="316"/>
      <c r="J19" s="316"/>
      <c r="K19" s="316"/>
      <c r="L19" s="316"/>
      <c r="M19" s="316"/>
      <c r="N19" s="316"/>
      <c r="O19" s="317"/>
      <c r="P19" s="13"/>
      <c r="Q19" s="13"/>
      <c r="R19" s="13"/>
      <c r="S19" s="13"/>
      <c r="T19" s="13"/>
      <c r="U19" s="13"/>
      <c r="V19" s="13"/>
      <c r="W19" s="13"/>
      <c r="X19" s="13"/>
      <c r="Y19" s="13"/>
      <c r="Z19" s="13"/>
    </row>
    <row r="20" spans="1:26" ht="13.5" customHeight="1" x14ac:dyDescent="0.2">
      <c r="A20" s="315" t="s">
        <v>166</v>
      </c>
      <c r="B20" s="316" t="s">
        <v>167</v>
      </c>
      <c r="C20" s="317">
        <v>0</v>
      </c>
      <c r="D20" s="317">
        <v>0</v>
      </c>
      <c r="E20" s="317">
        <v>0</v>
      </c>
      <c r="F20" s="317">
        <v>0</v>
      </c>
      <c r="G20" s="317">
        <v>0</v>
      </c>
      <c r="H20" s="317">
        <v>0</v>
      </c>
      <c r="I20" s="317">
        <v>0</v>
      </c>
      <c r="J20" s="317">
        <v>0</v>
      </c>
      <c r="K20" s="317">
        <v>0</v>
      </c>
      <c r="L20" s="317">
        <v>0</v>
      </c>
      <c r="M20" s="317">
        <v>0</v>
      </c>
      <c r="N20" s="317">
        <v>0</v>
      </c>
      <c r="O20" s="317">
        <f t="shared" ref="O20:O28" si="3">SUM(C20:N20)</f>
        <v>0</v>
      </c>
      <c r="P20" s="13"/>
      <c r="Q20" s="13"/>
      <c r="R20" s="13"/>
      <c r="S20" s="13"/>
      <c r="T20" s="13"/>
      <c r="U20" s="13"/>
      <c r="V20" s="13"/>
      <c r="W20" s="13"/>
      <c r="X20" s="13"/>
      <c r="Y20" s="13"/>
      <c r="Z20" s="13"/>
    </row>
    <row r="21" spans="1:26" ht="13.5" customHeight="1" x14ac:dyDescent="0.2">
      <c r="A21" s="315" t="s">
        <v>168</v>
      </c>
      <c r="B21" s="316" t="s">
        <v>169</v>
      </c>
      <c r="C21" s="317">
        <v>0</v>
      </c>
      <c r="D21" s="317">
        <v>0</v>
      </c>
      <c r="E21" s="317">
        <v>0</v>
      </c>
      <c r="F21" s="317">
        <v>0</v>
      </c>
      <c r="G21" s="317">
        <v>0</v>
      </c>
      <c r="H21" s="317">
        <v>0</v>
      </c>
      <c r="I21" s="317">
        <v>0</v>
      </c>
      <c r="J21" s="317">
        <v>0</v>
      </c>
      <c r="K21" s="317">
        <v>0</v>
      </c>
      <c r="L21" s="317">
        <v>0</v>
      </c>
      <c r="M21" s="317">
        <v>0</v>
      </c>
      <c r="N21" s="317">
        <v>0</v>
      </c>
      <c r="O21" s="317">
        <f t="shared" si="3"/>
        <v>0</v>
      </c>
      <c r="P21" s="13"/>
      <c r="Q21" s="13"/>
      <c r="R21" s="13"/>
      <c r="S21" s="13"/>
      <c r="T21" s="13"/>
      <c r="U21" s="13"/>
      <c r="V21" s="13"/>
      <c r="W21" s="13"/>
      <c r="X21" s="13"/>
      <c r="Y21" s="13"/>
      <c r="Z21" s="13"/>
    </row>
    <row r="22" spans="1:26" ht="13.5" customHeight="1" x14ac:dyDescent="0.2">
      <c r="A22" s="315" t="s">
        <v>170</v>
      </c>
      <c r="B22" s="316" t="s">
        <v>171</v>
      </c>
      <c r="C22" s="317">
        <v>0</v>
      </c>
      <c r="D22" s="317">
        <v>0</v>
      </c>
      <c r="E22" s="317">
        <v>0</v>
      </c>
      <c r="F22" s="317">
        <v>0</v>
      </c>
      <c r="G22" s="317">
        <v>0</v>
      </c>
      <c r="H22" s="317">
        <v>0</v>
      </c>
      <c r="I22" s="317">
        <v>0</v>
      </c>
      <c r="J22" s="317">
        <v>0</v>
      </c>
      <c r="K22" s="317">
        <v>0</v>
      </c>
      <c r="L22" s="317">
        <v>0</v>
      </c>
      <c r="M22" s="317">
        <v>0</v>
      </c>
      <c r="N22" s="317">
        <v>0</v>
      </c>
      <c r="O22" s="317">
        <f t="shared" si="3"/>
        <v>0</v>
      </c>
      <c r="P22" s="13"/>
      <c r="Q22" s="13"/>
      <c r="R22" s="13"/>
      <c r="S22" s="13"/>
      <c r="T22" s="13"/>
      <c r="U22" s="13"/>
      <c r="V22" s="13"/>
      <c r="W22" s="13"/>
      <c r="X22" s="13"/>
      <c r="Y22" s="13"/>
      <c r="Z22" s="13"/>
    </row>
    <row r="23" spans="1:26" ht="13.5" customHeight="1" x14ac:dyDescent="0.2">
      <c r="A23" s="315" t="s">
        <v>172</v>
      </c>
      <c r="B23" s="316" t="s">
        <v>173</v>
      </c>
      <c r="C23" s="317">
        <v>0</v>
      </c>
      <c r="D23" s="317">
        <v>0</v>
      </c>
      <c r="E23" s="317">
        <v>0</v>
      </c>
      <c r="F23" s="317">
        <v>0</v>
      </c>
      <c r="G23" s="317">
        <v>0</v>
      </c>
      <c r="H23" s="317">
        <v>0</v>
      </c>
      <c r="I23" s="317">
        <v>0</v>
      </c>
      <c r="J23" s="317">
        <v>0</v>
      </c>
      <c r="K23" s="317">
        <v>0</v>
      </c>
      <c r="L23" s="317">
        <v>0</v>
      </c>
      <c r="M23" s="317">
        <v>0</v>
      </c>
      <c r="N23" s="317">
        <v>0</v>
      </c>
      <c r="O23" s="317">
        <f t="shared" si="3"/>
        <v>0</v>
      </c>
      <c r="P23" s="13"/>
      <c r="Q23" s="13"/>
      <c r="R23" s="13"/>
      <c r="S23" s="13"/>
      <c r="T23" s="13"/>
      <c r="U23" s="13"/>
      <c r="V23" s="13"/>
      <c r="W23" s="13"/>
      <c r="X23" s="13"/>
      <c r="Y23" s="13"/>
      <c r="Z23" s="13"/>
    </row>
    <row r="24" spans="1:26" ht="13.5" customHeight="1" x14ac:dyDescent="0.2">
      <c r="A24" s="315" t="s">
        <v>174</v>
      </c>
      <c r="B24" s="316" t="s">
        <v>175</v>
      </c>
      <c r="C24" s="317">
        <v>0</v>
      </c>
      <c r="D24" s="317">
        <v>0</v>
      </c>
      <c r="E24" s="317">
        <v>0</v>
      </c>
      <c r="F24" s="317">
        <v>0</v>
      </c>
      <c r="G24" s="317">
        <v>0</v>
      </c>
      <c r="H24" s="317">
        <v>0</v>
      </c>
      <c r="I24" s="317">
        <v>0</v>
      </c>
      <c r="J24" s="317">
        <v>0</v>
      </c>
      <c r="K24" s="317">
        <v>0</v>
      </c>
      <c r="L24" s="317">
        <v>0</v>
      </c>
      <c r="M24" s="317">
        <v>0</v>
      </c>
      <c r="N24" s="317">
        <v>0</v>
      </c>
      <c r="O24" s="317">
        <f t="shared" si="3"/>
        <v>0</v>
      </c>
      <c r="P24" s="13"/>
      <c r="Q24" s="13"/>
      <c r="R24" s="13"/>
      <c r="S24" s="13"/>
      <c r="T24" s="13"/>
      <c r="U24" s="13"/>
      <c r="V24" s="13"/>
      <c r="W24" s="13"/>
      <c r="X24" s="13"/>
      <c r="Y24" s="13"/>
      <c r="Z24" s="13"/>
    </row>
    <row r="25" spans="1:26" ht="13.5" customHeight="1" x14ac:dyDescent="0.2">
      <c r="A25" s="315" t="s">
        <v>176</v>
      </c>
      <c r="B25" s="316" t="s">
        <v>177</v>
      </c>
      <c r="C25" s="317">
        <v>0</v>
      </c>
      <c r="D25" s="317">
        <v>0</v>
      </c>
      <c r="E25" s="317">
        <v>0</v>
      </c>
      <c r="F25" s="317">
        <v>0</v>
      </c>
      <c r="G25" s="317">
        <v>0</v>
      </c>
      <c r="H25" s="317">
        <v>0</v>
      </c>
      <c r="I25" s="317">
        <v>0</v>
      </c>
      <c r="J25" s="317">
        <v>0</v>
      </c>
      <c r="K25" s="317">
        <v>0</v>
      </c>
      <c r="L25" s="317">
        <v>0</v>
      </c>
      <c r="M25" s="317">
        <v>0</v>
      </c>
      <c r="N25" s="317">
        <v>0</v>
      </c>
      <c r="O25" s="317">
        <f t="shared" si="3"/>
        <v>0</v>
      </c>
      <c r="P25" s="13"/>
      <c r="Q25" s="13"/>
      <c r="R25" s="13"/>
      <c r="S25" s="13"/>
      <c r="T25" s="13"/>
      <c r="U25" s="13"/>
      <c r="V25" s="13"/>
      <c r="W25" s="13"/>
      <c r="X25" s="13"/>
      <c r="Y25" s="13"/>
      <c r="Z25" s="13"/>
    </row>
    <row r="26" spans="1:26" ht="13.5" customHeight="1" x14ac:dyDescent="0.2">
      <c r="A26" s="315" t="s">
        <v>178</v>
      </c>
      <c r="B26" s="316" t="s">
        <v>179</v>
      </c>
      <c r="C26" s="317">
        <v>0</v>
      </c>
      <c r="D26" s="317">
        <v>0</v>
      </c>
      <c r="E26" s="317">
        <v>0</v>
      </c>
      <c r="F26" s="317">
        <v>0</v>
      </c>
      <c r="G26" s="317">
        <v>0</v>
      </c>
      <c r="H26" s="317">
        <v>0</v>
      </c>
      <c r="I26" s="317">
        <v>0</v>
      </c>
      <c r="J26" s="317">
        <v>0</v>
      </c>
      <c r="K26" s="317">
        <v>0</v>
      </c>
      <c r="L26" s="317">
        <v>0</v>
      </c>
      <c r="M26" s="317">
        <v>0</v>
      </c>
      <c r="N26" s="317">
        <v>0</v>
      </c>
      <c r="O26" s="317">
        <f t="shared" si="3"/>
        <v>0</v>
      </c>
      <c r="P26" s="13"/>
      <c r="Q26" s="13"/>
      <c r="R26" s="13"/>
      <c r="S26" s="13"/>
      <c r="T26" s="13"/>
      <c r="U26" s="13"/>
      <c r="V26" s="13"/>
      <c r="W26" s="13"/>
      <c r="X26" s="13"/>
      <c r="Y26" s="13"/>
      <c r="Z26" s="13"/>
    </row>
    <row r="27" spans="1:26" ht="29.25" customHeight="1" x14ac:dyDescent="0.2">
      <c r="A27" s="315" t="s">
        <v>180</v>
      </c>
      <c r="B27" s="316" t="s">
        <v>181</v>
      </c>
      <c r="C27" s="317">
        <v>0</v>
      </c>
      <c r="D27" s="317">
        <v>0</v>
      </c>
      <c r="E27" s="317">
        <v>0</v>
      </c>
      <c r="F27" s="317">
        <v>0</v>
      </c>
      <c r="G27" s="317">
        <v>0</v>
      </c>
      <c r="H27" s="317">
        <v>0</v>
      </c>
      <c r="I27" s="317">
        <v>0</v>
      </c>
      <c r="J27" s="317">
        <v>0</v>
      </c>
      <c r="K27" s="317">
        <v>0</v>
      </c>
      <c r="L27" s="317">
        <v>0</v>
      </c>
      <c r="M27" s="317">
        <v>0</v>
      </c>
      <c r="N27" s="317">
        <v>0</v>
      </c>
      <c r="O27" s="317">
        <f t="shared" si="3"/>
        <v>0</v>
      </c>
      <c r="P27" s="13"/>
      <c r="Q27" s="13"/>
      <c r="R27" s="13"/>
      <c r="S27" s="13"/>
      <c r="T27" s="13"/>
      <c r="U27" s="13"/>
      <c r="V27" s="13"/>
      <c r="W27" s="13"/>
      <c r="X27" s="13"/>
      <c r="Y27" s="13"/>
      <c r="Z27" s="13"/>
    </row>
    <row r="28" spans="1:26" ht="24.75" customHeight="1" x14ac:dyDescent="0.2">
      <c r="A28" s="318" t="s">
        <v>972</v>
      </c>
      <c r="B28" s="319"/>
      <c r="C28" s="320">
        <f t="shared" ref="C28:N28" si="4">SUBTOTAL(109,C20:C27)</f>
        <v>0</v>
      </c>
      <c r="D28" s="320">
        <f t="shared" si="4"/>
        <v>0</v>
      </c>
      <c r="E28" s="320">
        <f t="shared" si="4"/>
        <v>0</v>
      </c>
      <c r="F28" s="320">
        <f t="shared" si="4"/>
        <v>0</v>
      </c>
      <c r="G28" s="320">
        <f t="shared" si="4"/>
        <v>0</v>
      </c>
      <c r="H28" s="320">
        <f t="shared" si="4"/>
        <v>0</v>
      </c>
      <c r="I28" s="320">
        <f t="shared" si="4"/>
        <v>0</v>
      </c>
      <c r="J28" s="320">
        <f t="shared" si="4"/>
        <v>0</v>
      </c>
      <c r="K28" s="320">
        <f t="shared" si="4"/>
        <v>0</v>
      </c>
      <c r="L28" s="320">
        <f t="shared" si="4"/>
        <v>0</v>
      </c>
      <c r="M28" s="320">
        <f t="shared" si="4"/>
        <v>0</v>
      </c>
      <c r="N28" s="320">
        <f t="shared" si="4"/>
        <v>0</v>
      </c>
      <c r="O28" s="320">
        <f t="shared" si="3"/>
        <v>0</v>
      </c>
      <c r="P28" s="13"/>
      <c r="Q28" s="13"/>
      <c r="R28" s="13"/>
      <c r="S28" s="13"/>
      <c r="T28" s="13"/>
      <c r="U28" s="13"/>
      <c r="V28" s="13"/>
      <c r="W28" s="13"/>
      <c r="X28" s="13"/>
      <c r="Y28" s="13"/>
      <c r="Z28" s="13"/>
    </row>
    <row r="29" spans="1:26" ht="21" customHeight="1" x14ac:dyDescent="0.2">
      <c r="A29" s="737" t="s">
        <v>973</v>
      </c>
      <c r="B29" s="696"/>
      <c r="C29" s="321"/>
      <c r="D29" s="316"/>
      <c r="E29" s="316"/>
      <c r="F29" s="316"/>
      <c r="G29" s="316"/>
      <c r="H29" s="316"/>
      <c r="I29" s="316"/>
      <c r="J29" s="316"/>
      <c r="K29" s="316"/>
      <c r="L29" s="316"/>
      <c r="M29" s="316"/>
      <c r="N29" s="316"/>
      <c r="O29" s="317"/>
      <c r="P29" s="13"/>
      <c r="Q29" s="13"/>
      <c r="R29" s="13"/>
      <c r="S29" s="13"/>
      <c r="T29" s="13"/>
      <c r="U29" s="13"/>
      <c r="V29" s="13"/>
      <c r="W29" s="13"/>
      <c r="X29" s="13"/>
      <c r="Y29" s="13"/>
      <c r="Z29" s="13"/>
    </row>
    <row r="30" spans="1:26" ht="13.5" customHeight="1" x14ac:dyDescent="0.2">
      <c r="A30" s="315" t="s">
        <v>166</v>
      </c>
      <c r="B30" s="316" t="s">
        <v>167</v>
      </c>
      <c r="C30" s="317">
        <f>'Analítico Cx.'!C34</f>
        <v>22440.22</v>
      </c>
      <c r="D30" s="317">
        <f>'Analítico Cx.'!D34</f>
        <v>24059.07</v>
      </c>
      <c r="E30" s="317">
        <f>'Analítico Cx.'!E34</f>
        <v>22863.15</v>
      </c>
      <c r="F30" s="317">
        <f>'Analítico Cx.'!F34</f>
        <v>22598.71</v>
      </c>
      <c r="G30" s="317">
        <f>'Analítico Cx.'!G34</f>
        <v>22670.79</v>
      </c>
      <c r="H30" s="317">
        <f>'Analítico Cx.'!H34</f>
        <v>22459.73</v>
      </c>
      <c r="I30" s="317">
        <f>'Analítico Cx.'!I34</f>
        <v>22763.200000000001</v>
      </c>
      <c r="J30" s="317">
        <f>'Analítico Cx.'!J34</f>
        <v>31633.4</v>
      </c>
      <c r="K30" s="317">
        <f>'Analítico Cx.'!K34</f>
        <v>41129.050000000003</v>
      </c>
      <c r="L30" s="317">
        <f>'Analítico Cx.'!L34</f>
        <v>41994.239999999998</v>
      </c>
      <c r="M30" s="317">
        <f>'Analítico Cx.'!M34</f>
        <v>48754.239999999998</v>
      </c>
      <c r="N30" s="317">
        <f>'Analítico Cx.'!N34</f>
        <v>55980.63</v>
      </c>
      <c r="O30" s="317">
        <f t="shared" ref="O30:O38" si="5">SUM(C30:N30)</f>
        <v>379346.43</v>
      </c>
      <c r="P30" s="13"/>
      <c r="Q30" s="13"/>
      <c r="R30" s="13"/>
      <c r="S30" s="13"/>
      <c r="T30" s="13"/>
      <c r="U30" s="13"/>
      <c r="V30" s="13"/>
      <c r="W30" s="13"/>
      <c r="X30" s="13"/>
      <c r="Y30" s="13"/>
      <c r="Z30" s="13"/>
    </row>
    <row r="31" spans="1:26" ht="13.5" customHeight="1" x14ac:dyDescent="0.2">
      <c r="A31" s="315" t="s">
        <v>168</v>
      </c>
      <c r="B31" s="316" t="s">
        <v>169</v>
      </c>
      <c r="C31" s="317">
        <f>'Analítico Cx.'!C35</f>
        <v>881.92</v>
      </c>
      <c r="D31" s="317">
        <f>'Analítico Cx.'!D35</f>
        <v>945.5</v>
      </c>
      <c r="E31" s="317">
        <f>'Analítico Cx.'!E35</f>
        <v>898.61</v>
      </c>
      <c r="F31" s="317">
        <f>'Analítico Cx.'!F35</f>
        <v>888.24</v>
      </c>
      <c r="G31" s="317">
        <f>'Analítico Cx.'!G35</f>
        <v>891.84</v>
      </c>
      <c r="H31" s="317">
        <f>'Analítico Cx.'!H35</f>
        <v>882.78</v>
      </c>
      <c r="I31" s="317">
        <f>'Analítico Cx.'!I35</f>
        <v>894.69</v>
      </c>
      <c r="J31" s="317">
        <f>'Analítico Cx.'!J35</f>
        <v>1242.54</v>
      </c>
      <c r="K31" s="317">
        <f>'Analítico Cx.'!K35</f>
        <v>1614.92</v>
      </c>
      <c r="L31" s="317">
        <f>'Analítico Cx.'!L35</f>
        <v>3297.68</v>
      </c>
      <c r="M31" s="317">
        <f>'Analítico Cx.'!M35</f>
        <v>248.61</v>
      </c>
      <c r="N31" s="317">
        <f>'Analítico Cx.'!N35</f>
        <v>2195.3200000000002</v>
      </c>
      <c r="O31" s="317">
        <f t="shared" si="5"/>
        <v>14882.650000000001</v>
      </c>
      <c r="P31" s="13"/>
      <c r="Q31" s="13"/>
      <c r="R31" s="13"/>
      <c r="S31" s="13"/>
      <c r="T31" s="13"/>
      <c r="U31" s="13"/>
      <c r="V31" s="13"/>
      <c r="W31" s="13"/>
      <c r="X31" s="13"/>
      <c r="Y31" s="13"/>
      <c r="Z31" s="13"/>
    </row>
    <row r="32" spans="1:26" ht="13.5" customHeight="1" x14ac:dyDescent="0.2">
      <c r="A32" s="315" t="s">
        <v>170</v>
      </c>
      <c r="B32" s="316" t="s">
        <v>171</v>
      </c>
      <c r="C32" s="317">
        <f>'Analítico Cx.'!C36</f>
        <v>7055.33</v>
      </c>
      <c r="D32" s="317">
        <f>'Analítico Cx.'!D36</f>
        <v>7564.0300000000007</v>
      </c>
      <c r="E32" s="317">
        <f>'Analítico Cx.'!E36</f>
        <v>6737.43</v>
      </c>
      <c r="F32" s="317">
        <f>'Analítico Cx.'!F36</f>
        <v>7105.880000000001</v>
      </c>
      <c r="G32" s="317">
        <f>'Analítico Cx.'!G36</f>
        <v>7134.72</v>
      </c>
      <c r="H32" s="317">
        <f>'Analítico Cx.'!H36</f>
        <v>7062.2799999999988</v>
      </c>
      <c r="I32" s="317">
        <f>'Analítico Cx.'!I36</f>
        <v>6885.5800000000008</v>
      </c>
      <c r="J32" s="317">
        <f>'Analítico Cx.'!J36</f>
        <v>9691.3799999999992</v>
      </c>
      <c r="K32" s="317">
        <f>'Analítico Cx.'!K36</f>
        <v>12919.32</v>
      </c>
      <c r="L32" s="317">
        <f>'Analítico Cx.'!L36</f>
        <v>13190.75</v>
      </c>
      <c r="M32" s="317">
        <f>'Analítico Cx.'!M36</f>
        <v>15311.54</v>
      </c>
      <c r="N32" s="317">
        <f>'Analítico Cx.'!N36</f>
        <v>17097.75</v>
      </c>
      <c r="O32" s="317">
        <f t="shared" si="5"/>
        <v>117755.98999999999</v>
      </c>
      <c r="P32" s="13"/>
      <c r="Q32" s="13"/>
      <c r="R32" s="13"/>
      <c r="S32" s="13"/>
      <c r="T32" s="13"/>
      <c r="U32" s="13"/>
      <c r="V32" s="13"/>
      <c r="W32" s="13"/>
      <c r="X32" s="13"/>
      <c r="Y32" s="13"/>
      <c r="Z32" s="13"/>
    </row>
    <row r="33" spans="1:26" ht="13.5" customHeight="1" x14ac:dyDescent="0.2">
      <c r="A33" s="315" t="s">
        <v>172</v>
      </c>
      <c r="B33" s="316" t="s">
        <v>173</v>
      </c>
      <c r="C33" s="317">
        <f>'Analítico Cx.'!C37</f>
        <v>0</v>
      </c>
      <c r="D33" s="317">
        <f>'Analítico Cx.'!D37</f>
        <v>2805.96</v>
      </c>
      <c r="E33" s="317">
        <f>'Analítico Cx.'!E37</f>
        <v>0</v>
      </c>
      <c r="F33" s="317">
        <f>'Analítico Cx.'!F37</f>
        <v>0</v>
      </c>
      <c r="G33" s="317">
        <f>'Analítico Cx.'!G37</f>
        <v>0</v>
      </c>
      <c r="H33" s="317">
        <f>'Analítico Cx.'!H37</f>
        <v>3308.4</v>
      </c>
      <c r="I33" s="317">
        <f>'Analítico Cx.'!I37</f>
        <v>2052.6999999999998</v>
      </c>
      <c r="J33" s="317">
        <f>'Analítico Cx.'!J37</f>
        <v>0</v>
      </c>
      <c r="K33" s="317">
        <f>'Analítico Cx.'!K37</f>
        <v>0</v>
      </c>
      <c r="L33" s="317">
        <f>'Analítico Cx.'!L37</f>
        <v>0</v>
      </c>
      <c r="M33" s="317">
        <f>'Analítico Cx.'!M37</f>
        <v>6592.44</v>
      </c>
      <c r="N33" s="317">
        <f>'Analítico Cx.'!N37</f>
        <v>0</v>
      </c>
      <c r="O33" s="317">
        <f t="shared" si="5"/>
        <v>14759.5</v>
      </c>
      <c r="P33" s="13"/>
      <c r="Q33" s="13"/>
      <c r="R33" s="13"/>
      <c r="S33" s="13"/>
      <c r="T33" s="13"/>
      <c r="U33" s="13"/>
      <c r="V33" s="13"/>
      <c r="W33" s="13"/>
      <c r="X33" s="13"/>
      <c r="Y33" s="13"/>
      <c r="Z33" s="13"/>
    </row>
    <row r="34" spans="1:26" ht="13.5" customHeight="1" x14ac:dyDescent="0.2">
      <c r="A34" s="315" t="s">
        <v>174</v>
      </c>
      <c r="B34" s="316" t="s">
        <v>175</v>
      </c>
      <c r="C34" s="317">
        <f>'Analítico Cx.'!C38</f>
        <v>13634.51</v>
      </c>
      <c r="D34" s="317">
        <f>'Analítico Cx.'!D38</f>
        <v>0</v>
      </c>
      <c r="E34" s="317">
        <f>'Analítico Cx.'!E38</f>
        <v>0</v>
      </c>
      <c r="F34" s="317">
        <f>'Analítico Cx.'!F38</f>
        <v>0</v>
      </c>
      <c r="G34" s="317">
        <f>'Analítico Cx.'!G38</f>
        <v>0</v>
      </c>
      <c r="H34" s="317">
        <f>'Analítico Cx.'!H38</f>
        <v>0</v>
      </c>
      <c r="I34" s="317">
        <f>'Analítico Cx.'!I38</f>
        <v>0</v>
      </c>
      <c r="J34" s="317">
        <f>'Analítico Cx.'!J38</f>
        <v>0</v>
      </c>
      <c r="K34" s="317">
        <f>'Analítico Cx.'!K38</f>
        <v>0</v>
      </c>
      <c r="L34" s="317">
        <f>'Analítico Cx.'!L38</f>
        <v>0</v>
      </c>
      <c r="M34" s="317">
        <f>'Analítico Cx.'!M38</f>
        <v>62267.299999999988</v>
      </c>
      <c r="N34" s="317">
        <f>'Analítico Cx.'!N38</f>
        <v>88292.96</v>
      </c>
      <c r="O34" s="317">
        <f t="shared" si="5"/>
        <v>164194.76999999999</v>
      </c>
      <c r="P34" s="13"/>
      <c r="Q34" s="13"/>
      <c r="R34" s="13"/>
      <c r="S34" s="13"/>
      <c r="T34" s="13"/>
      <c r="U34" s="13"/>
      <c r="V34" s="13"/>
      <c r="W34" s="13"/>
      <c r="X34" s="13"/>
      <c r="Y34" s="13"/>
      <c r="Z34" s="13"/>
    </row>
    <row r="35" spans="1:26" ht="13.5" customHeight="1" x14ac:dyDescent="0.2">
      <c r="A35" s="315" t="s">
        <v>176</v>
      </c>
      <c r="B35" s="316" t="s">
        <v>177</v>
      </c>
      <c r="C35" s="317">
        <f>'Analítico Cx.'!C39</f>
        <v>11627.57</v>
      </c>
      <c r="D35" s="317">
        <f>'Analítico Cx.'!D39</f>
        <v>8347.9500000000007</v>
      </c>
      <c r="E35" s="317">
        <f>'Analítico Cx.'!E39</f>
        <v>4124.21</v>
      </c>
      <c r="F35" s="317">
        <f>'Analítico Cx.'!F39</f>
        <v>7062.09</v>
      </c>
      <c r="G35" s="317">
        <f>'Analítico Cx.'!G39</f>
        <v>6327.53</v>
      </c>
      <c r="H35" s="317">
        <f>'Analítico Cx.'!H39</f>
        <v>622.39</v>
      </c>
      <c r="I35" s="317">
        <f>'Analítico Cx.'!I39</f>
        <v>7081.9000000000005</v>
      </c>
      <c r="J35" s="317">
        <v>0</v>
      </c>
      <c r="K35" s="317">
        <f>'Analítico Cx.'!K39</f>
        <v>4558.68</v>
      </c>
      <c r="L35" s="317">
        <f>'Analítico Cx.'!L39</f>
        <v>141.52000000000001</v>
      </c>
      <c r="M35" s="317">
        <f>'Analítico Cx.'!M39</f>
        <v>0</v>
      </c>
      <c r="N35" s="317">
        <f>'Analítico Cx.'!N39</f>
        <v>15657.47</v>
      </c>
      <c r="O35" s="317">
        <f t="shared" si="5"/>
        <v>65551.31</v>
      </c>
      <c r="P35" s="13"/>
      <c r="Q35" s="13"/>
      <c r="R35" s="13"/>
      <c r="S35" s="13"/>
      <c r="T35" s="13"/>
      <c r="U35" s="13"/>
      <c r="V35" s="13"/>
      <c r="W35" s="13"/>
      <c r="X35" s="13"/>
      <c r="Y35" s="13"/>
      <c r="Z35" s="13"/>
    </row>
    <row r="36" spans="1:26" ht="13.5" customHeight="1" x14ac:dyDescent="0.2">
      <c r="A36" s="315" t="s">
        <v>178</v>
      </c>
      <c r="B36" s="316" t="s">
        <v>179</v>
      </c>
      <c r="C36" s="317">
        <f>'Analítico Cx.'!C40</f>
        <v>0</v>
      </c>
      <c r="D36" s="317">
        <f>'Analítico Cx.'!D40</f>
        <v>0</v>
      </c>
      <c r="E36" s="317">
        <f>'Analítico Cx.'!E40</f>
        <v>0</v>
      </c>
      <c r="F36" s="317">
        <f>'Analítico Cx.'!F40</f>
        <v>0</v>
      </c>
      <c r="G36" s="317">
        <f>'Analítico Cx.'!G40</f>
        <v>0</v>
      </c>
      <c r="H36" s="317">
        <f>'Analítico Cx.'!H40</f>
        <v>0</v>
      </c>
      <c r="I36" s="317">
        <f>'Analítico Cx.'!I40</f>
        <v>0</v>
      </c>
      <c r="J36" s="317">
        <f>'Analítico Cx.'!J40</f>
        <v>0</v>
      </c>
      <c r="K36" s="317">
        <f>'Analítico Cx.'!K40</f>
        <v>0</v>
      </c>
      <c r="L36" s="317">
        <f>'Analítico Cx.'!L40</f>
        <v>0</v>
      </c>
      <c r="M36" s="317">
        <f>'Analítico Cx.'!M40</f>
        <v>0</v>
      </c>
      <c r="N36" s="317">
        <f>'Analítico Cx.'!N40</f>
        <v>0</v>
      </c>
      <c r="O36" s="317">
        <f t="shared" si="5"/>
        <v>0</v>
      </c>
      <c r="P36" s="13"/>
      <c r="Q36" s="13"/>
      <c r="R36" s="13"/>
      <c r="S36" s="13"/>
      <c r="T36" s="13"/>
      <c r="U36" s="13"/>
      <c r="V36" s="13"/>
      <c r="W36" s="13"/>
      <c r="X36" s="13"/>
      <c r="Y36" s="13"/>
      <c r="Z36" s="13"/>
    </row>
    <row r="37" spans="1:26" ht="20.25" customHeight="1" x14ac:dyDescent="0.2">
      <c r="A37" s="315" t="s">
        <v>180</v>
      </c>
      <c r="B37" s="316" t="s">
        <v>181</v>
      </c>
      <c r="C37" s="317">
        <f>'Analítico Cx.'!C41</f>
        <v>0</v>
      </c>
      <c r="D37" s="317">
        <f>'Analítico Cx.'!D41</f>
        <v>12004.77</v>
      </c>
      <c r="E37" s="317">
        <f>'Analítico Cx.'!E41</f>
        <v>68.89</v>
      </c>
      <c r="F37" s="317">
        <f>'Analítico Cx.'!F41</f>
        <v>0</v>
      </c>
      <c r="G37" s="317">
        <f>'Analítico Cx.'!G41</f>
        <v>0</v>
      </c>
      <c r="H37" s="317">
        <f>'Analítico Cx.'!H41</f>
        <v>8951.9699999999993</v>
      </c>
      <c r="I37" s="317">
        <f>'Analítico Cx.'!I41</f>
        <v>8714.0500000000011</v>
      </c>
      <c r="J37" s="317">
        <v>0</v>
      </c>
      <c r="K37" s="317">
        <f>'Analítico Cx.'!K41</f>
        <v>0</v>
      </c>
      <c r="L37" s="317">
        <f>'Analítico Cx.'!L41</f>
        <v>0</v>
      </c>
      <c r="M37" s="317">
        <f>'Analítico Cx.'!M41</f>
        <v>19808.47</v>
      </c>
      <c r="N37" s="317">
        <f>'Analítico Cx.'!N41</f>
        <v>502.74</v>
      </c>
      <c r="O37" s="317">
        <f t="shared" si="5"/>
        <v>50050.89</v>
      </c>
      <c r="P37" s="13"/>
      <c r="Q37" s="13"/>
      <c r="R37" s="13"/>
      <c r="S37" s="13"/>
      <c r="T37" s="13"/>
      <c r="U37" s="13"/>
      <c r="V37" s="13"/>
      <c r="W37" s="13"/>
      <c r="X37" s="13"/>
      <c r="Y37" s="13"/>
      <c r="Z37" s="13"/>
    </row>
    <row r="38" spans="1:26" ht="24.75" customHeight="1" x14ac:dyDescent="0.2">
      <c r="A38" s="318" t="s">
        <v>974</v>
      </c>
      <c r="B38" s="319"/>
      <c r="C38" s="320">
        <f t="shared" ref="C38:N38" si="6">SUBTOTAL(109,C30:C37)</f>
        <v>55639.55</v>
      </c>
      <c r="D38" s="320">
        <f t="shared" si="6"/>
        <v>55727.28</v>
      </c>
      <c r="E38" s="320">
        <f t="shared" si="6"/>
        <v>34692.29</v>
      </c>
      <c r="F38" s="320">
        <f t="shared" si="6"/>
        <v>37654.92</v>
      </c>
      <c r="G38" s="320">
        <f t="shared" si="6"/>
        <v>37024.880000000005</v>
      </c>
      <c r="H38" s="320">
        <f t="shared" si="6"/>
        <v>43287.549999999996</v>
      </c>
      <c r="I38" s="320">
        <f t="shared" si="6"/>
        <v>48392.12</v>
      </c>
      <c r="J38" s="320">
        <f t="shared" si="6"/>
        <v>42567.32</v>
      </c>
      <c r="K38" s="320">
        <f t="shared" si="6"/>
        <v>60221.97</v>
      </c>
      <c r="L38" s="320">
        <f t="shared" si="6"/>
        <v>58624.189999999995</v>
      </c>
      <c r="M38" s="320">
        <f t="shared" si="6"/>
        <v>152982.6</v>
      </c>
      <c r="N38" s="320">
        <f t="shared" si="6"/>
        <v>179726.87</v>
      </c>
      <c r="O38" s="320">
        <f t="shared" si="5"/>
        <v>806541.54</v>
      </c>
      <c r="P38" s="13"/>
      <c r="Q38" s="13"/>
      <c r="R38" s="13"/>
      <c r="S38" s="13"/>
      <c r="T38" s="13"/>
      <c r="U38" s="13"/>
      <c r="V38" s="13"/>
      <c r="W38" s="13"/>
      <c r="X38" s="13"/>
      <c r="Y38" s="13"/>
      <c r="Z38" s="13"/>
    </row>
    <row r="39" spans="1:26" ht="24.75" customHeight="1" x14ac:dyDescent="0.2">
      <c r="A39" s="738" t="s">
        <v>975</v>
      </c>
      <c r="B39" s="706"/>
      <c r="C39" s="312">
        <f t="shared" ref="C39:N39" si="7">C8+C18-C38-C28</f>
        <v>305985.70326180046</v>
      </c>
      <c r="D39" s="312">
        <f t="shared" si="7"/>
        <v>311970.6452040642</v>
      </c>
      <c r="E39" s="312">
        <f t="shared" si="7"/>
        <v>328223.98490491003</v>
      </c>
      <c r="F39" s="312">
        <f t="shared" si="7"/>
        <v>342672.65233908914</v>
      </c>
      <c r="G39" s="312">
        <f t="shared" si="7"/>
        <v>360632.92499055353</v>
      </c>
      <c r="H39" s="312">
        <f t="shared" si="7"/>
        <v>378064.60547805356</v>
      </c>
      <c r="I39" s="312">
        <f t="shared" si="7"/>
        <v>410849.79138603352</v>
      </c>
      <c r="J39" s="312">
        <f t="shared" si="7"/>
        <v>470676.43983774976</v>
      </c>
      <c r="K39" s="312">
        <f t="shared" si="7"/>
        <v>513727.29740748438</v>
      </c>
      <c r="L39" s="312">
        <f t="shared" si="7"/>
        <v>582846.60282435233</v>
      </c>
      <c r="M39" s="312">
        <f t="shared" si="7"/>
        <v>550873.95139435772</v>
      </c>
      <c r="N39" s="312">
        <f t="shared" si="7"/>
        <v>499175.1775697422</v>
      </c>
      <c r="O39" s="322"/>
      <c r="P39" s="13"/>
      <c r="Q39" s="13"/>
      <c r="R39" s="13"/>
      <c r="S39" s="13"/>
      <c r="T39" s="13"/>
      <c r="U39" s="13"/>
      <c r="V39" s="13"/>
      <c r="W39" s="13"/>
      <c r="X39" s="13"/>
      <c r="Y39" s="13"/>
      <c r="Z39" s="13"/>
    </row>
    <row r="40" spans="1:26" ht="12.75" customHeight="1" x14ac:dyDescent="0.2">
      <c r="A40" s="13"/>
      <c r="B40" s="323"/>
      <c r="C40" s="323"/>
      <c r="D40" s="323"/>
      <c r="E40" s="323"/>
      <c r="F40" s="323"/>
      <c r="G40" s="323"/>
      <c r="H40" s="323"/>
      <c r="I40" s="323"/>
      <c r="J40" s="323"/>
      <c r="K40" s="323"/>
      <c r="L40" s="323"/>
      <c r="M40" s="323"/>
      <c r="N40" s="323"/>
      <c r="O40" s="38"/>
      <c r="P40" s="13"/>
      <c r="Q40" s="13"/>
      <c r="R40" s="13"/>
      <c r="S40" s="13"/>
      <c r="T40" s="13"/>
      <c r="U40" s="13"/>
      <c r="V40" s="13"/>
      <c r="W40" s="13"/>
      <c r="X40" s="13"/>
      <c r="Y40" s="13"/>
      <c r="Z40" s="13"/>
    </row>
    <row r="41" spans="1:26" ht="12.75" customHeight="1" x14ac:dyDescent="0.2">
      <c r="A41" s="13"/>
      <c r="B41" s="323"/>
      <c r="C41" s="323"/>
      <c r="D41" s="323"/>
      <c r="E41" s="323"/>
      <c r="F41" s="323"/>
      <c r="G41" s="323"/>
      <c r="H41" s="323"/>
      <c r="I41" s="323"/>
      <c r="J41" s="323"/>
      <c r="K41" s="323"/>
      <c r="L41" s="323"/>
      <c r="M41" s="323"/>
      <c r="N41" s="323"/>
      <c r="O41" s="38"/>
      <c r="P41" s="13"/>
      <c r="Q41" s="13"/>
      <c r="R41" s="13"/>
      <c r="S41" s="13"/>
      <c r="T41" s="13"/>
      <c r="U41" s="13"/>
      <c r="V41" s="13"/>
      <c r="W41" s="13"/>
      <c r="X41" s="13"/>
      <c r="Y41" s="13"/>
      <c r="Z41" s="13"/>
    </row>
    <row r="42" spans="1:26" ht="12.75" customHeight="1" x14ac:dyDescent="0.2">
      <c r="A42" s="13"/>
      <c r="B42" s="323"/>
      <c r="C42" s="323"/>
      <c r="D42" s="323"/>
      <c r="E42" s="323"/>
      <c r="F42" s="323"/>
      <c r="G42" s="323"/>
      <c r="H42" s="323"/>
      <c r="I42" s="323"/>
      <c r="J42" s="323"/>
      <c r="K42" s="323"/>
      <c r="L42" s="323"/>
      <c r="M42" s="323"/>
      <c r="N42" s="323"/>
      <c r="O42" s="38"/>
      <c r="P42" s="13"/>
      <c r="Q42" s="13"/>
      <c r="R42" s="13"/>
      <c r="S42" s="13"/>
      <c r="T42" s="13"/>
      <c r="U42" s="13"/>
      <c r="V42" s="13"/>
      <c r="W42" s="13"/>
      <c r="X42" s="13"/>
      <c r="Y42" s="13"/>
      <c r="Z42" s="13"/>
    </row>
    <row r="43" spans="1:26" ht="12.75" customHeight="1" x14ac:dyDescent="0.2">
      <c r="A43" s="13"/>
      <c r="B43" s="323"/>
      <c r="C43" s="323"/>
      <c r="D43" s="323"/>
      <c r="E43" s="323"/>
      <c r="F43" s="323"/>
      <c r="G43" s="323"/>
      <c r="H43" s="323"/>
      <c r="I43" s="323"/>
      <c r="J43" s="323"/>
      <c r="K43" s="323"/>
      <c r="L43" s="323"/>
      <c r="M43" s="323"/>
      <c r="N43" s="323"/>
      <c r="O43" s="38"/>
      <c r="P43" s="13"/>
      <c r="Q43" s="13"/>
      <c r="R43" s="13"/>
      <c r="S43" s="13"/>
      <c r="T43" s="13"/>
      <c r="U43" s="13"/>
      <c r="V43" s="13"/>
      <c r="W43" s="13"/>
      <c r="X43" s="13"/>
      <c r="Y43" s="13"/>
      <c r="Z43" s="13"/>
    </row>
    <row r="44" spans="1:26" ht="12.75" customHeight="1" x14ac:dyDescent="0.2">
      <c r="A44" s="13"/>
      <c r="B44" s="323"/>
      <c r="C44" s="323"/>
      <c r="D44" s="323"/>
      <c r="E44" s="323"/>
      <c r="F44" s="323"/>
      <c r="G44" s="323"/>
      <c r="H44" s="323"/>
      <c r="I44" s="323"/>
      <c r="J44" s="323"/>
      <c r="K44" s="323"/>
      <c r="L44" s="323"/>
      <c r="M44" s="323"/>
      <c r="N44" s="323"/>
      <c r="O44" s="38"/>
      <c r="P44" s="13"/>
      <c r="Q44" s="13"/>
      <c r="R44" s="13"/>
      <c r="S44" s="13"/>
      <c r="T44" s="13"/>
      <c r="U44" s="13"/>
      <c r="V44" s="13"/>
      <c r="W44" s="13"/>
      <c r="X44" s="13"/>
      <c r="Y44" s="13"/>
      <c r="Z44" s="13"/>
    </row>
    <row r="45" spans="1:26" ht="12.75" customHeight="1" x14ac:dyDescent="0.2">
      <c r="A45" s="13"/>
      <c r="B45" s="323"/>
      <c r="C45" s="323"/>
      <c r="D45" s="323"/>
      <c r="E45" s="323"/>
      <c r="F45" s="323"/>
      <c r="G45" s="323"/>
      <c r="H45" s="323"/>
      <c r="I45" s="323"/>
      <c r="J45" s="323"/>
      <c r="K45" s="323"/>
      <c r="L45" s="323"/>
      <c r="M45" s="323"/>
      <c r="N45" s="323"/>
      <c r="O45" s="38"/>
      <c r="P45" s="13"/>
      <c r="Q45" s="13"/>
      <c r="R45" s="13"/>
      <c r="S45" s="13"/>
      <c r="T45" s="13"/>
      <c r="U45" s="13"/>
      <c r="V45" s="13"/>
      <c r="W45" s="13"/>
      <c r="X45" s="13"/>
      <c r="Y45" s="13"/>
      <c r="Z45" s="13"/>
    </row>
    <row r="46" spans="1:26" ht="12.75" customHeight="1" x14ac:dyDescent="0.2">
      <c r="A46" s="13"/>
      <c r="B46" s="323"/>
      <c r="C46" s="323"/>
      <c r="D46" s="323"/>
      <c r="E46" s="323"/>
      <c r="F46" s="323"/>
      <c r="G46" s="323"/>
      <c r="H46" s="323"/>
      <c r="I46" s="323"/>
      <c r="J46" s="323"/>
      <c r="K46" s="323"/>
      <c r="L46" s="323"/>
      <c r="M46" s="323"/>
      <c r="N46" s="323"/>
      <c r="O46" s="38"/>
      <c r="P46" s="13"/>
      <c r="Q46" s="13"/>
      <c r="R46" s="13"/>
      <c r="S46" s="13"/>
      <c r="T46" s="13"/>
      <c r="U46" s="13"/>
      <c r="V46" s="13"/>
      <c r="W46" s="13"/>
      <c r="X46" s="13"/>
      <c r="Y46" s="13"/>
      <c r="Z46" s="13"/>
    </row>
    <row r="47" spans="1:26" ht="12.75" customHeight="1" x14ac:dyDescent="0.2">
      <c r="A47" s="13"/>
      <c r="B47" s="323"/>
      <c r="C47" s="323"/>
      <c r="D47" s="323"/>
      <c r="E47" s="323"/>
      <c r="F47" s="323"/>
      <c r="G47" s="323"/>
      <c r="H47" s="323"/>
      <c r="I47" s="323"/>
      <c r="J47" s="323"/>
      <c r="K47" s="323"/>
      <c r="L47" s="323"/>
      <c r="M47" s="323"/>
      <c r="N47" s="323"/>
      <c r="O47" s="38"/>
      <c r="P47" s="13"/>
      <c r="Q47" s="13"/>
      <c r="R47" s="13"/>
      <c r="S47" s="13"/>
      <c r="T47" s="13"/>
      <c r="U47" s="13"/>
      <c r="V47" s="13"/>
      <c r="W47" s="13"/>
      <c r="X47" s="13"/>
      <c r="Y47" s="13"/>
      <c r="Z47" s="13"/>
    </row>
    <row r="48" spans="1:26" ht="12.75" customHeight="1" x14ac:dyDescent="0.2">
      <c r="A48" s="13"/>
      <c r="B48" s="323"/>
      <c r="C48" s="323"/>
      <c r="D48" s="323"/>
      <c r="E48" s="323"/>
      <c r="F48" s="323"/>
      <c r="G48" s="323"/>
      <c r="H48" s="323"/>
      <c r="I48" s="323"/>
      <c r="J48" s="323"/>
      <c r="K48" s="323"/>
      <c r="L48" s="323"/>
      <c r="M48" s="323"/>
      <c r="N48" s="323"/>
      <c r="O48" s="38"/>
      <c r="P48" s="13"/>
      <c r="Q48" s="13"/>
      <c r="R48" s="13"/>
      <c r="S48" s="13"/>
      <c r="T48" s="13"/>
      <c r="U48" s="13"/>
      <c r="V48" s="13"/>
      <c r="W48" s="13"/>
      <c r="X48" s="13"/>
      <c r="Y48" s="13"/>
      <c r="Z48" s="13"/>
    </row>
    <row r="49" spans="1:26" ht="12.75" customHeight="1" x14ac:dyDescent="0.2">
      <c r="A49" s="13"/>
      <c r="B49" s="323"/>
      <c r="C49" s="323"/>
      <c r="D49" s="323"/>
      <c r="E49" s="323"/>
      <c r="F49" s="323"/>
      <c r="G49" s="323"/>
      <c r="H49" s="323"/>
      <c r="I49" s="323"/>
      <c r="J49" s="323"/>
      <c r="K49" s="323"/>
      <c r="L49" s="323"/>
      <c r="M49" s="323"/>
      <c r="N49" s="323"/>
      <c r="O49" s="38"/>
      <c r="P49" s="13"/>
      <c r="Q49" s="13"/>
      <c r="R49" s="13"/>
      <c r="S49" s="13"/>
      <c r="T49" s="13"/>
      <c r="U49" s="13"/>
      <c r="V49" s="13"/>
      <c r="W49" s="13"/>
      <c r="X49" s="13"/>
      <c r="Y49" s="13"/>
      <c r="Z49" s="13"/>
    </row>
    <row r="50" spans="1:26" ht="12.75" customHeight="1" x14ac:dyDescent="0.2">
      <c r="A50" s="13"/>
      <c r="B50" s="323"/>
      <c r="C50" s="323"/>
      <c r="D50" s="323"/>
      <c r="E50" s="323"/>
      <c r="F50" s="323"/>
      <c r="G50" s="323"/>
      <c r="H50" s="323"/>
      <c r="I50" s="323"/>
      <c r="J50" s="323"/>
      <c r="K50" s="323"/>
      <c r="L50" s="323"/>
      <c r="M50" s="323"/>
      <c r="N50" s="323"/>
      <c r="O50" s="38"/>
      <c r="P50" s="13"/>
      <c r="Q50" s="13"/>
      <c r="R50" s="13"/>
      <c r="S50" s="13"/>
      <c r="T50" s="13"/>
      <c r="U50" s="13"/>
      <c r="V50" s="13"/>
      <c r="W50" s="13"/>
      <c r="X50" s="13"/>
      <c r="Y50" s="13"/>
      <c r="Z50" s="13"/>
    </row>
    <row r="51" spans="1:26" ht="12.75" customHeight="1" x14ac:dyDescent="0.2">
      <c r="A51" s="13"/>
      <c r="B51" s="323"/>
      <c r="C51" s="323"/>
      <c r="D51" s="323"/>
      <c r="E51" s="323"/>
      <c r="F51" s="323"/>
      <c r="G51" s="323"/>
      <c r="H51" s="323"/>
      <c r="I51" s="323"/>
      <c r="J51" s="323"/>
      <c r="K51" s="323"/>
      <c r="L51" s="323"/>
      <c r="M51" s="323"/>
      <c r="N51" s="323"/>
      <c r="O51" s="38"/>
      <c r="P51" s="13"/>
      <c r="Q51" s="13"/>
      <c r="R51" s="13"/>
      <c r="S51" s="13"/>
      <c r="T51" s="13"/>
      <c r="U51" s="13"/>
      <c r="V51" s="13"/>
      <c r="W51" s="13"/>
      <c r="X51" s="13"/>
      <c r="Y51" s="13"/>
      <c r="Z51" s="13"/>
    </row>
    <row r="52" spans="1:26" ht="12.75" customHeight="1" x14ac:dyDescent="0.2">
      <c r="A52" s="13"/>
      <c r="B52" s="323"/>
      <c r="C52" s="323"/>
      <c r="D52" s="323"/>
      <c r="E52" s="323"/>
      <c r="F52" s="323"/>
      <c r="G52" s="323"/>
      <c r="H52" s="323"/>
      <c r="I52" s="323"/>
      <c r="J52" s="323"/>
      <c r="K52" s="323"/>
      <c r="L52" s="323"/>
      <c r="M52" s="323"/>
      <c r="N52" s="323"/>
      <c r="O52" s="38"/>
      <c r="P52" s="13"/>
      <c r="Q52" s="13"/>
      <c r="R52" s="13"/>
      <c r="S52" s="13"/>
      <c r="T52" s="13"/>
      <c r="U52" s="13"/>
      <c r="V52" s="13"/>
      <c r="W52" s="13"/>
      <c r="X52" s="13"/>
      <c r="Y52" s="13"/>
      <c r="Z52" s="13"/>
    </row>
    <row r="53" spans="1:26" ht="12.75" customHeight="1" x14ac:dyDescent="0.2">
      <c r="A53" s="13"/>
      <c r="B53" s="323"/>
      <c r="C53" s="323"/>
      <c r="D53" s="323"/>
      <c r="E53" s="323"/>
      <c r="F53" s="323"/>
      <c r="G53" s="323"/>
      <c r="H53" s="323"/>
      <c r="I53" s="323"/>
      <c r="J53" s="323"/>
      <c r="K53" s="323"/>
      <c r="L53" s="323"/>
      <c r="M53" s="323"/>
      <c r="N53" s="323"/>
      <c r="O53" s="38"/>
      <c r="P53" s="13"/>
      <c r="Q53" s="13"/>
      <c r="R53" s="13"/>
      <c r="S53" s="13"/>
      <c r="T53" s="13"/>
      <c r="U53" s="13"/>
      <c r="V53" s="13"/>
      <c r="W53" s="13"/>
      <c r="X53" s="13"/>
      <c r="Y53" s="13"/>
      <c r="Z53" s="13"/>
    </row>
    <row r="54" spans="1:26" ht="12.75" customHeight="1" x14ac:dyDescent="0.2">
      <c r="A54" s="13"/>
      <c r="B54" s="323"/>
      <c r="C54" s="323"/>
      <c r="D54" s="323"/>
      <c r="E54" s="323"/>
      <c r="F54" s="323"/>
      <c r="G54" s="323"/>
      <c r="H54" s="323"/>
      <c r="I54" s="323"/>
      <c r="J54" s="323"/>
      <c r="K54" s="323"/>
      <c r="L54" s="323"/>
      <c r="M54" s="323"/>
      <c r="N54" s="323"/>
      <c r="O54" s="38"/>
      <c r="P54" s="13"/>
      <c r="Q54" s="13"/>
      <c r="R54" s="13"/>
      <c r="S54" s="13"/>
      <c r="T54" s="13"/>
      <c r="U54" s="13"/>
      <c r="V54" s="13"/>
      <c r="W54" s="13"/>
      <c r="X54" s="13"/>
      <c r="Y54" s="13"/>
      <c r="Z54" s="13"/>
    </row>
    <row r="55" spans="1:26" ht="12.75" customHeight="1" x14ac:dyDescent="0.2">
      <c r="A55" s="13"/>
      <c r="B55" s="323"/>
      <c r="C55" s="323"/>
      <c r="D55" s="323"/>
      <c r="E55" s="323"/>
      <c r="F55" s="323"/>
      <c r="G55" s="323"/>
      <c r="H55" s="323"/>
      <c r="I55" s="323"/>
      <c r="J55" s="323"/>
      <c r="K55" s="323"/>
      <c r="L55" s="323"/>
      <c r="M55" s="323"/>
      <c r="N55" s="323"/>
      <c r="O55" s="38"/>
      <c r="P55" s="13"/>
      <c r="Q55" s="13"/>
      <c r="R55" s="13"/>
      <c r="S55" s="13"/>
      <c r="T55" s="13"/>
      <c r="U55" s="13"/>
      <c r="V55" s="13"/>
      <c r="W55" s="13"/>
      <c r="X55" s="13"/>
      <c r="Y55" s="13"/>
      <c r="Z55" s="13"/>
    </row>
    <row r="56" spans="1:26" ht="12.75" customHeight="1" x14ac:dyDescent="0.2">
      <c r="A56" s="13"/>
      <c r="B56" s="323"/>
      <c r="C56" s="323"/>
      <c r="D56" s="323"/>
      <c r="E56" s="323"/>
      <c r="F56" s="323"/>
      <c r="G56" s="323"/>
      <c r="H56" s="323"/>
      <c r="I56" s="323"/>
      <c r="J56" s="323"/>
      <c r="K56" s="323"/>
      <c r="L56" s="323"/>
      <c r="M56" s="323"/>
      <c r="N56" s="323"/>
      <c r="O56" s="38"/>
      <c r="P56" s="13"/>
      <c r="Q56" s="13"/>
      <c r="R56" s="13"/>
      <c r="S56" s="13"/>
      <c r="T56" s="13"/>
      <c r="U56" s="13"/>
      <c r="V56" s="13"/>
      <c r="W56" s="13"/>
      <c r="X56" s="13"/>
      <c r="Y56" s="13"/>
      <c r="Z56" s="13"/>
    </row>
    <row r="57" spans="1:26" ht="12.75" customHeight="1" x14ac:dyDescent="0.2">
      <c r="A57" s="13"/>
      <c r="B57" s="323"/>
      <c r="C57" s="323"/>
      <c r="D57" s="323"/>
      <c r="E57" s="323"/>
      <c r="F57" s="323"/>
      <c r="G57" s="323"/>
      <c r="H57" s="323"/>
      <c r="I57" s="323"/>
      <c r="J57" s="323"/>
      <c r="K57" s="323"/>
      <c r="L57" s="323"/>
      <c r="M57" s="323"/>
      <c r="N57" s="323"/>
      <c r="O57" s="38"/>
      <c r="P57" s="13"/>
      <c r="Q57" s="13"/>
      <c r="R57" s="13"/>
      <c r="S57" s="13"/>
      <c r="T57" s="13"/>
      <c r="U57" s="13"/>
      <c r="V57" s="13"/>
      <c r="W57" s="13"/>
      <c r="X57" s="13"/>
      <c r="Y57" s="13"/>
      <c r="Z57" s="13"/>
    </row>
    <row r="58" spans="1:26" ht="12.75" customHeight="1" x14ac:dyDescent="0.2">
      <c r="A58" s="13"/>
      <c r="B58" s="323"/>
      <c r="C58" s="323"/>
      <c r="D58" s="323"/>
      <c r="E58" s="323"/>
      <c r="F58" s="323"/>
      <c r="G58" s="323"/>
      <c r="H58" s="323"/>
      <c r="I58" s="323"/>
      <c r="J58" s="323"/>
      <c r="K58" s="323"/>
      <c r="L58" s="323"/>
      <c r="M58" s="323"/>
      <c r="N58" s="323"/>
      <c r="O58" s="38"/>
      <c r="P58" s="13"/>
      <c r="Q58" s="13"/>
      <c r="R58" s="13"/>
      <c r="S58" s="13"/>
      <c r="T58" s="13"/>
      <c r="U58" s="13"/>
      <c r="V58" s="13"/>
      <c r="W58" s="13"/>
      <c r="X58" s="13"/>
      <c r="Y58" s="13"/>
      <c r="Z58" s="13"/>
    </row>
    <row r="59" spans="1:26" ht="12.75" customHeight="1" x14ac:dyDescent="0.2">
      <c r="A59" s="13"/>
      <c r="B59" s="323"/>
      <c r="C59" s="323"/>
      <c r="D59" s="323"/>
      <c r="E59" s="323"/>
      <c r="F59" s="323"/>
      <c r="G59" s="323"/>
      <c r="H59" s="323"/>
      <c r="I59" s="323"/>
      <c r="J59" s="323"/>
      <c r="K59" s="323"/>
      <c r="L59" s="323"/>
      <c r="M59" s="323"/>
      <c r="N59" s="323"/>
      <c r="O59" s="38"/>
      <c r="P59" s="13"/>
      <c r="Q59" s="13"/>
      <c r="R59" s="13"/>
      <c r="S59" s="13"/>
      <c r="T59" s="13"/>
      <c r="U59" s="13"/>
      <c r="V59" s="13"/>
      <c r="W59" s="13"/>
      <c r="X59" s="13"/>
      <c r="Y59" s="13"/>
      <c r="Z59" s="13"/>
    </row>
    <row r="60" spans="1:26" ht="12.75" customHeight="1" x14ac:dyDescent="0.2">
      <c r="A60" s="13"/>
      <c r="B60" s="323"/>
      <c r="C60" s="323"/>
      <c r="D60" s="323"/>
      <c r="E60" s="323"/>
      <c r="F60" s="323"/>
      <c r="G60" s="323"/>
      <c r="H60" s="323"/>
      <c r="I60" s="323"/>
      <c r="J60" s="323"/>
      <c r="K60" s="323"/>
      <c r="L60" s="323"/>
      <c r="M60" s="323"/>
      <c r="N60" s="323"/>
      <c r="O60" s="38"/>
      <c r="P60" s="13"/>
      <c r="Q60" s="13"/>
      <c r="R60" s="13"/>
      <c r="S60" s="13"/>
      <c r="T60" s="13"/>
      <c r="U60" s="13"/>
      <c r="V60" s="13"/>
      <c r="W60" s="13"/>
      <c r="X60" s="13"/>
      <c r="Y60" s="13"/>
      <c r="Z60" s="13"/>
    </row>
    <row r="61" spans="1:26" ht="12.75" customHeight="1" x14ac:dyDescent="0.2">
      <c r="A61" s="13"/>
      <c r="B61" s="323"/>
      <c r="C61" s="323"/>
      <c r="D61" s="323"/>
      <c r="E61" s="323"/>
      <c r="F61" s="323"/>
      <c r="G61" s="323"/>
      <c r="H61" s="323"/>
      <c r="I61" s="323"/>
      <c r="J61" s="323"/>
      <c r="K61" s="323"/>
      <c r="L61" s="323"/>
      <c r="M61" s="323"/>
      <c r="N61" s="323"/>
      <c r="O61" s="38"/>
      <c r="P61" s="13"/>
      <c r="Q61" s="13"/>
      <c r="R61" s="13"/>
      <c r="S61" s="13"/>
      <c r="T61" s="13"/>
      <c r="U61" s="13"/>
      <c r="V61" s="13"/>
      <c r="W61" s="13"/>
      <c r="X61" s="13"/>
      <c r="Y61" s="13"/>
      <c r="Z61" s="13"/>
    </row>
    <row r="62" spans="1:26" ht="12.75" customHeight="1" x14ac:dyDescent="0.2">
      <c r="A62" s="13"/>
      <c r="B62" s="323"/>
      <c r="C62" s="323"/>
      <c r="D62" s="323"/>
      <c r="E62" s="323"/>
      <c r="F62" s="323"/>
      <c r="G62" s="323"/>
      <c r="H62" s="323"/>
      <c r="I62" s="323"/>
      <c r="J62" s="323"/>
      <c r="K62" s="323"/>
      <c r="L62" s="323"/>
      <c r="M62" s="323"/>
      <c r="N62" s="323"/>
      <c r="O62" s="38"/>
      <c r="P62" s="13"/>
      <c r="Q62" s="13"/>
      <c r="R62" s="13"/>
      <c r="S62" s="13"/>
      <c r="T62" s="13"/>
      <c r="U62" s="13"/>
      <c r="V62" s="13"/>
      <c r="W62" s="13"/>
      <c r="X62" s="13"/>
      <c r="Y62" s="13"/>
      <c r="Z62" s="13"/>
    </row>
    <row r="63" spans="1:26" ht="12.75" customHeight="1" x14ac:dyDescent="0.2">
      <c r="A63" s="13"/>
      <c r="B63" s="323"/>
      <c r="C63" s="323"/>
      <c r="D63" s="323"/>
      <c r="E63" s="323"/>
      <c r="F63" s="323"/>
      <c r="G63" s="323"/>
      <c r="H63" s="323"/>
      <c r="I63" s="323"/>
      <c r="J63" s="323"/>
      <c r="K63" s="323"/>
      <c r="L63" s="323"/>
      <c r="M63" s="323"/>
      <c r="N63" s="323"/>
      <c r="O63" s="38"/>
      <c r="P63" s="13"/>
      <c r="Q63" s="13"/>
      <c r="R63" s="13"/>
      <c r="S63" s="13"/>
      <c r="T63" s="13"/>
      <c r="U63" s="13"/>
      <c r="V63" s="13"/>
      <c r="W63" s="13"/>
      <c r="X63" s="13"/>
      <c r="Y63" s="13"/>
      <c r="Z63" s="13"/>
    </row>
    <row r="64" spans="1:26" ht="12.75" customHeight="1" x14ac:dyDescent="0.2">
      <c r="A64" s="13"/>
      <c r="B64" s="323"/>
      <c r="C64" s="323"/>
      <c r="D64" s="323"/>
      <c r="E64" s="323"/>
      <c r="F64" s="323"/>
      <c r="G64" s="323"/>
      <c r="H64" s="323"/>
      <c r="I64" s="323"/>
      <c r="J64" s="323"/>
      <c r="K64" s="323"/>
      <c r="L64" s="323"/>
      <c r="M64" s="323"/>
      <c r="N64" s="323"/>
      <c r="O64" s="38"/>
      <c r="P64" s="13"/>
      <c r="Q64" s="13"/>
      <c r="R64" s="13"/>
      <c r="S64" s="13"/>
      <c r="T64" s="13"/>
      <c r="U64" s="13"/>
      <c r="V64" s="13"/>
      <c r="W64" s="13"/>
      <c r="X64" s="13"/>
      <c r="Y64" s="13"/>
      <c r="Z64" s="13"/>
    </row>
    <row r="65" spans="1:26" ht="12.75" customHeight="1" x14ac:dyDescent="0.2">
      <c r="A65" s="13"/>
      <c r="B65" s="323"/>
      <c r="C65" s="323"/>
      <c r="D65" s="323"/>
      <c r="E65" s="323"/>
      <c r="F65" s="323"/>
      <c r="G65" s="323"/>
      <c r="H65" s="323"/>
      <c r="I65" s="323"/>
      <c r="J65" s="323"/>
      <c r="K65" s="323"/>
      <c r="L65" s="323"/>
      <c r="M65" s="323"/>
      <c r="N65" s="323"/>
      <c r="O65" s="38"/>
      <c r="P65" s="13"/>
      <c r="Q65" s="13"/>
      <c r="R65" s="13"/>
      <c r="S65" s="13"/>
      <c r="T65" s="13"/>
      <c r="U65" s="13"/>
      <c r="V65" s="13"/>
      <c r="W65" s="13"/>
      <c r="X65" s="13"/>
      <c r="Y65" s="13"/>
      <c r="Z65" s="13"/>
    </row>
    <row r="66" spans="1:26" ht="12.75" customHeight="1" x14ac:dyDescent="0.2">
      <c r="A66" s="13"/>
      <c r="B66" s="323"/>
      <c r="C66" s="323"/>
      <c r="D66" s="323"/>
      <c r="E66" s="323"/>
      <c r="F66" s="323"/>
      <c r="G66" s="323"/>
      <c r="H66" s="323"/>
      <c r="I66" s="323"/>
      <c r="J66" s="323"/>
      <c r="K66" s="323"/>
      <c r="L66" s="323"/>
      <c r="M66" s="323"/>
      <c r="N66" s="323"/>
      <c r="O66" s="38"/>
      <c r="P66" s="13"/>
      <c r="Q66" s="13"/>
      <c r="R66" s="13"/>
      <c r="S66" s="13"/>
      <c r="T66" s="13"/>
      <c r="U66" s="13"/>
      <c r="V66" s="13"/>
      <c r="W66" s="13"/>
      <c r="X66" s="13"/>
      <c r="Y66" s="13"/>
      <c r="Z66" s="13"/>
    </row>
    <row r="67" spans="1:26" ht="12.75" customHeight="1" x14ac:dyDescent="0.2">
      <c r="A67" s="13"/>
      <c r="B67" s="323"/>
      <c r="C67" s="323"/>
      <c r="D67" s="323"/>
      <c r="E67" s="323"/>
      <c r="F67" s="323"/>
      <c r="G67" s="323"/>
      <c r="H67" s="323"/>
      <c r="I67" s="323"/>
      <c r="J67" s="323"/>
      <c r="K67" s="323"/>
      <c r="L67" s="323"/>
      <c r="M67" s="323"/>
      <c r="N67" s="323"/>
      <c r="O67" s="38"/>
      <c r="P67" s="13"/>
      <c r="Q67" s="13"/>
      <c r="R67" s="13"/>
      <c r="S67" s="13"/>
      <c r="T67" s="13"/>
      <c r="U67" s="13"/>
      <c r="V67" s="13"/>
      <c r="W67" s="13"/>
      <c r="X67" s="13"/>
      <c r="Y67" s="13"/>
      <c r="Z67" s="13"/>
    </row>
    <row r="68" spans="1:26" ht="12.75" customHeight="1" x14ac:dyDescent="0.2">
      <c r="A68" s="13"/>
      <c r="B68" s="323"/>
      <c r="C68" s="323"/>
      <c r="D68" s="323"/>
      <c r="E68" s="323"/>
      <c r="F68" s="323"/>
      <c r="G68" s="323"/>
      <c r="H68" s="323"/>
      <c r="I68" s="323"/>
      <c r="J68" s="323"/>
      <c r="K68" s="323"/>
      <c r="L68" s="323"/>
      <c r="M68" s="323"/>
      <c r="N68" s="323"/>
      <c r="O68" s="38"/>
      <c r="P68" s="13"/>
      <c r="Q68" s="13"/>
      <c r="R68" s="13"/>
      <c r="S68" s="13"/>
      <c r="T68" s="13"/>
      <c r="U68" s="13"/>
      <c r="V68" s="13"/>
      <c r="W68" s="13"/>
      <c r="X68" s="13"/>
      <c r="Y68" s="13"/>
      <c r="Z68" s="13"/>
    </row>
    <row r="69" spans="1:26" ht="12.75" customHeight="1" x14ac:dyDescent="0.2">
      <c r="A69" s="13"/>
      <c r="B69" s="323"/>
      <c r="C69" s="323"/>
      <c r="D69" s="323"/>
      <c r="E69" s="323"/>
      <c r="F69" s="323"/>
      <c r="G69" s="323"/>
      <c r="H69" s="323"/>
      <c r="I69" s="323"/>
      <c r="J69" s="323"/>
      <c r="K69" s="323"/>
      <c r="L69" s="323"/>
      <c r="M69" s="323"/>
      <c r="N69" s="323"/>
      <c r="O69" s="38"/>
      <c r="P69" s="13"/>
      <c r="Q69" s="13"/>
      <c r="R69" s="13"/>
      <c r="S69" s="13"/>
      <c r="T69" s="13"/>
      <c r="U69" s="13"/>
      <c r="V69" s="13"/>
      <c r="W69" s="13"/>
      <c r="X69" s="13"/>
      <c r="Y69" s="13"/>
      <c r="Z69" s="13"/>
    </row>
    <row r="70" spans="1:26" ht="12.75" customHeight="1" x14ac:dyDescent="0.2">
      <c r="A70" s="13"/>
      <c r="B70" s="323"/>
      <c r="C70" s="323"/>
      <c r="D70" s="323"/>
      <c r="E70" s="323"/>
      <c r="F70" s="323"/>
      <c r="G70" s="323"/>
      <c r="H70" s="323"/>
      <c r="I70" s="323"/>
      <c r="J70" s="323"/>
      <c r="K70" s="323"/>
      <c r="L70" s="323"/>
      <c r="M70" s="323"/>
      <c r="N70" s="323"/>
      <c r="O70" s="38"/>
      <c r="P70" s="13"/>
      <c r="Q70" s="13"/>
      <c r="R70" s="13"/>
      <c r="S70" s="13"/>
      <c r="T70" s="13"/>
      <c r="U70" s="13"/>
      <c r="V70" s="13"/>
      <c r="W70" s="13"/>
      <c r="X70" s="13"/>
      <c r="Y70" s="13"/>
      <c r="Z70" s="13"/>
    </row>
    <row r="71" spans="1:26" ht="12.75" customHeight="1" x14ac:dyDescent="0.2">
      <c r="A71" s="13"/>
      <c r="B71" s="323"/>
      <c r="C71" s="323"/>
      <c r="D71" s="323"/>
      <c r="E71" s="323"/>
      <c r="F71" s="323"/>
      <c r="G71" s="323"/>
      <c r="H71" s="323"/>
      <c r="I71" s="323"/>
      <c r="J71" s="323"/>
      <c r="K71" s="323"/>
      <c r="L71" s="323"/>
      <c r="M71" s="323"/>
      <c r="N71" s="323"/>
      <c r="O71" s="38"/>
      <c r="P71" s="13"/>
      <c r="Q71" s="13"/>
      <c r="R71" s="13"/>
      <c r="S71" s="13"/>
      <c r="T71" s="13"/>
      <c r="U71" s="13"/>
      <c r="V71" s="13"/>
      <c r="W71" s="13"/>
      <c r="X71" s="13"/>
      <c r="Y71" s="13"/>
      <c r="Z71" s="13"/>
    </row>
    <row r="72" spans="1:26" ht="12.75" customHeight="1" x14ac:dyDescent="0.2">
      <c r="A72" s="13"/>
      <c r="B72" s="323"/>
      <c r="C72" s="323"/>
      <c r="D72" s="323"/>
      <c r="E72" s="323"/>
      <c r="F72" s="323"/>
      <c r="G72" s="323"/>
      <c r="H72" s="323"/>
      <c r="I72" s="323"/>
      <c r="J72" s="323"/>
      <c r="K72" s="323"/>
      <c r="L72" s="323"/>
      <c r="M72" s="323"/>
      <c r="N72" s="323"/>
      <c r="O72" s="38"/>
      <c r="P72" s="13"/>
      <c r="Q72" s="13"/>
      <c r="R72" s="13"/>
      <c r="S72" s="13"/>
      <c r="T72" s="13"/>
      <c r="U72" s="13"/>
      <c r="V72" s="13"/>
      <c r="W72" s="13"/>
      <c r="X72" s="13"/>
      <c r="Y72" s="13"/>
      <c r="Z72" s="13"/>
    </row>
    <row r="73" spans="1:26" ht="12.75" customHeight="1" x14ac:dyDescent="0.2">
      <c r="A73" s="13"/>
      <c r="B73" s="323"/>
      <c r="C73" s="323"/>
      <c r="D73" s="323"/>
      <c r="E73" s="323"/>
      <c r="F73" s="323"/>
      <c r="G73" s="323"/>
      <c r="H73" s="323"/>
      <c r="I73" s="323"/>
      <c r="J73" s="323"/>
      <c r="K73" s="323"/>
      <c r="L73" s="323"/>
      <c r="M73" s="323"/>
      <c r="N73" s="323"/>
      <c r="O73" s="38"/>
      <c r="P73" s="13"/>
      <c r="Q73" s="13"/>
      <c r="R73" s="13"/>
      <c r="S73" s="13"/>
      <c r="T73" s="13"/>
      <c r="U73" s="13"/>
      <c r="V73" s="13"/>
      <c r="W73" s="13"/>
      <c r="X73" s="13"/>
      <c r="Y73" s="13"/>
      <c r="Z73" s="13"/>
    </row>
    <row r="74" spans="1:26" ht="12.75" customHeight="1" x14ac:dyDescent="0.2">
      <c r="A74" s="13"/>
      <c r="B74" s="323"/>
      <c r="C74" s="323"/>
      <c r="D74" s="323"/>
      <c r="E74" s="323"/>
      <c r="F74" s="323"/>
      <c r="G74" s="323"/>
      <c r="H74" s="323"/>
      <c r="I74" s="323"/>
      <c r="J74" s="323"/>
      <c r="K74" s="323"/>
      <c r="L74" s="323"/>
      <c r="M74" s="323"/>
      <c r="N74" s="323"/>
      <c r="O74" s="38"/>
      <c r="P74" s="13"/>
      <c r="Q74" s="13"/>
      <c r="R74" s="13"/>
      <c r="S74" s="13"/>
      <c r="T74" s="13"/>
      <c r="U74" s="13"/>
      <c r="V74" s="13"/>
      <c r="W74" s="13"/>
      <c r="X74" s="13"/>
      <c r="Y74" s="13"/>
      <c r="Z74" s="13"/>
    </row>
    <row r="75" spans="1:26" ht="12.75" customHeight="1" x14ac:dyDescent="0.2">
      <c r="A75" s="13"/>
      <c r="B75" s="323"/>
      <c r="C75" s="323"/>
      <c r="D75" s="323"/>
      <c r="E75" s="323"/>
      <c r="F75" s="323"/>
      <c r="G75" s="323"/>
      <c r="H75" s="323"/>
      <c r="I75" s="323"/>
      <c r="J75" s="323"/>
      <c r="K75" s="323"/>
      <c r="L75" s="323"/>
      <c r="M75" s="323"/>
      <c r="N75" s="323"/>
      <c r="O75" s="38"/>
      <c r="P75" s="13"/>
      <c r="Q75" s="13"/>
      <c r="R75" s="13"/>
      <c r="S75" s="13"/>
      <c r="T75" s="13"/>
      <c r="U75" s="13"/>
      <c r="V75" s="13"/>
      <c r="W75" s="13"/>
      <c r="X75" s="13"/>
      <c r="Y75" s="13"/>
      <c r="Z75" s="13"/>
    </row>
    <row r="76" spans="1:26" ht="12.75" customHeight="1" x14ac:dyDescent="0.2">
      <c r="A76" s="13"/>
      <c r="B76" s="323"/>
      <c r="C76" s="323"/>
      <c r="D76" s="323"/>
      <c r="E76" s="323"/>
      <c r="F76" s="323"/>
      <c r="G76" s="323"/>
      <c r="H76" s="323"/>
      <c r="I76" s="323"/>
      <c r="J76" s="323"/>
      <c r="K76" s="323"/>
      <c r="L76" s="323"/>
      <c r="M76" s="323"/>
      <c r="N76" s="323"/>
      <c r="O76" s="38"/>
      <c r="P76" s="13"/>
      <c r="Q76" s="13"/>
      <c r="R76" s="13"/>
      <c r="S76" s="13"/>
      <c r="T76" s="13"/>
      <c r="U76" s="13"/>
      <c r="V76" s="13"/>
      <c r="W76" s="13"/>
      <c r="X76" s="13"/>
      <c r="Y76" s="13"/>
      <c r="Z76" s="13"/>
    </row>
    <row r="77" spans="1:26" ht="12.75" customHeight="1" x14ac:dyDescent="0.2">
      <c r="A77" s="13"/>
      <c r="B77" s="323"/>
      <c r="C77" s="323"/>
      <c r="D77" s="323"/>
      <c r="E77" s="323"/>
      <c r="F77" s="323"/>
      <c r="G77" s="323"/>
      <c r="H77" s="323"/>
      <c r="I77" s="323"/>
      <c r="J77" s="323"/>
      <c r="K77" s="323"/>
      <c r="L77" s="323"/>
      <c r="M77" s="323"/>
      <c r="N77" s="323"/>
      <c r="O77" s="38"/>
      <c r="P77" s="13"/>
      <c r="Q77" s="13"/>
      <c r="R77" s="13"/>
      <c r="S77" s="13"/>
      <c r="T77" s="13"/>
      <c r="U77" s="13"/>
      <c r="V77" s="13"/>
      <c r="W77" s="13"/>
      <c r="X77" s="13"/>
      <c r="Y77" s="13"/>
      <c r="Z77" s="13"/>
    </row>
    <row r="78" spans="1:26" ht="12.75" customHeight="1" x14ac:dyDescent="0.2">
      <c r="A78" s="13"/>
      <c r="B78" s="323"/>
      <c r="C78" s="323"/>
      <c r="D78" s="323"/>
      <c r="E78" s="323"/>
      <c r="F78" s="323"/>
      <c r="G78" s="323"/>
      <c r="H78" s="323"/>
      <c r="I78" s="323"/>
      <c r="J78" s="323"/>
      <c r="K78" s="323"/>
      <c r="L78" s="323"/>
      <c r="M78" s="323"/>
      <c r="N78" s="323"/>
      <c r="O78" s="38"/>
      <c r="P78" s="13"/>
      <c r="Q78" s="13"/>
      <c r="R78" s="13"/>
      <c r="S78" s="13"/>
      <c r="T78" s="13"/>
      <c r="U78" s="13"/>
      <c r="V78" s="13"/>
      <c r="W78" s="13"/>
      <c r="X78" s="13"/>
      <c r="Y78" s="13"/>
      <c r="Z78" s="13"/>
    </row>
    <row r="79" spans="1:26" ht="12.75" customHeight="1" x14ac:dyDescent="0.2">
      <c r="A79" s="13"/>
      <c r="B79" s="323"/>
      <c r="C79" s="323"/>
      <c r="D79" s="323"/>
      <c r="E79" s="323"/>
      <c r="F79" s="323"/>
      <c r="G79" s="323"/>
      <c r="H79" s="323"/>
      <c r="I79" s="323"/>
      <c r="J79" s="323"/>
      <c r="K79" s="323"/>
      <c r="L79" s="323"/>
      <c r="M79" s="323"/>
      <c r="N79" s="323"/>
      <c r="O79" s="38"/>
      <c r="P79" s="13"/>
      <c r="Q79" s="13"/>
      <c r="R79" s="13"/>
      <c r="S79" s="13"/>
      <c r="T79" s="13"/>
      <c r="U79" s="13"/>
      <c r="V79" s="13"/>
      <c r="W79" s="13"/>
      <c r="X79" s="13"/>
      <c r="Y79" s="13"/>
      <c r="Z79" s="13"/>
    </row>
    <row r="80" spans="1:26" ht="12.75" customHeight="1" x14ac:dyDescent="0.2">
      <c r="A80" s="13"/>
      <c r="B80" s="323"/>
      <c r="C80" s="323"/>
      <c r="D80" s="323"/>
      <c r="E80" s="323"/>
      <c r="F80" s="323"/>
      <c r="G80" s="323"/>
      <c r="H80" s="323"/>
      <c r="I80" s="323"/>
      <c r="J80" s="323"/>
      <c r="K80" s="323"/>
      <c r="L80" s="323"/>
      <c r="M80" s="323"/>
      <c r="N80" s="323"/>
      <c r="O80" s="38"/>
      <c r="P80" s="13"/>
      <c r="Q80" s="13"/>
      <c r="R80" s="13"/>
      <c r="S80" s="13"/>
      <c r="T80" s="13"/>
      <c r="U80" s="13"/>
      <c r="V80" s="13"/>
      <c r="W80" s="13"/>
      <c r="X80" s="13"/>
      <c r="Y80" s="13"/>
      <c r="Z80" s="13"/>
    </row>
    <row r="81" spans="1:26" ht="12.75" customHeight="1" x14ac:dyDescent="0.2">
      <c r="A81" s="13"/>
      <c r="B81" s="323"/>
      <c r="C81" s="323"/>
      <c r="D81" s="323"/>
      <c r="E81" s="323"/>
      <c r="F81" s="323"/>
      <c r="G81" s="323"/>
      <c r="H81" s="323"/>
      <c r="I81" s="323"/>
      <c r="J81" s="323"/>
      <c r="K81" s="323"/>
      <c r="L81" s="323"/>
      <c r="M81" s="323"/>
      <c r="N81" s="323"/>
      <c r="O81" s="38"/>
      <c r="P81" s="13"/>
      <c r="Q81" s="13"/>
      <c r="R81" s="13"/>
      <c r="S81" s="13"/>
      <c r="T81" s="13"/>
      <c r="U81" s="13"/>
      <c r="V81" s="13"/>
      <c r="W81" s="13"/>
      <c r="X81" s="13"/>
      <c r="Y81" s="13"/>
      <c r="Z81" s="13"/>
    </row>
    <row r="82" spans="1:26" ht="12.75" customHeight="1" x14ac:dyDescent="0.2">
      <c r="A82" s="13"/>
      <c r="B82" s="323"/>
      <c r="C82" s="323"/>
      <c r="D82" s="323"/>
      <c r="E82" s="323"/>
      <c r="F82" s="323"/>
      <c r="G82" s="323"/>
      <c r="H82" s="323"/>
      <c r="I82" s="323"/>
      <c r="J82" s="323"/>
      <c r="K82" s="323"/>
      <c r="L82" s="323"/>
      <c r="M82" s="323"/>
      <c r="N82" s="323"/>
      <c r="O82" s="38"/>
      <c r="P82" s="13"/>
      <c r="Q82" s="13"/>
      <c r="R82" s="13"/>
      <c r="S82" s="13"/>
      <c r="T82" s="13"/>
      <c r="U82" s="13"/>
      <c r="V82" s="13"/>
      <c r="W82" s="13"/>
      <c r="X82" s="13"/>
      <c r="Y82" s="13"/>
      <c r="Z82" s="13"/>
    </row>
    <row r="83" spans="1:26" ht="12.75" customHeight="1" x14ac:dyDescent="0.2">
      <c r="A83" s="13"/>
      <c r="B83" s="323"/>
      <c r="C83" s="323"/>
      <c r="D83" s="323"/>
      <c r="E83" s="323"/>
      <c r="F83" s="323"/>
      <c r="G83" s="323"/>
      <c r="H83" s="323"/>
      <c r="I83" s="323"/>
      <c r="J83" s="323"/>
      <c r="K83" s="323"/>
      <c r="L83" s="323"/>
      <c r="M83" s="323"/>
      <c r="N83" s="323"/>
      <c r="O83" s="38"/>
      <c r="P83" s="13"/>
      <c r="Q83" s="13"/>
      <c r="R83" s="13"/>
      <c r="S83" s="13"/>
      <c r="T83" s="13"/>
      <c r="U83" s="13"/>
      <c r="V83" s="13"/>
      <c r="W83" s="13"/>
      <c r="X83" s="13"/>
      <c r="Y83" s="13"/>
      <c r="Z83" s="13"/>
    </row>
    <row r="84" spans="1:26" ht="12.75" customHeight="1" x14ac:dyDescent="0.2">
      <c r="A84" s="13"/>
      <c r="B84" s="323"/>
      <c r="C84" s="323"/>
      <c r="D84" s="323"/>
      <c r="E84" s="323"/>
      <c r="F84" s="323"/>
      <c r="G84" s="323"/>
      <c r="H84" s="323"/>
      <c r="I84" s="323"/>
      <c r="J84" s="323"/>
      <c r="K84" s="323"/>
      <c r="L84" s="323"/>
      <c r="M84" s="323"/>
      <c r="N84" s="323"/>
      <c r="O84" s="38"/>
      <c r="P84" s="13"/>
      <c r="Q84" s="13"/>
      <c r="R84" s="13"/>
      <c r="S84" s="13"/>
      <c r="T84" s="13"/>
      <c r="U84" s="13"/>
      <c r="V84" s="13"/>
      <c r="W84" s="13"/>
      <c r="X84" s="13"/>
      <c r="Y84" s="13"/>
      <c r="Z84" s="13"/>
    </row>
    <row r="85" spans="1:26" ht="12.75" customHeight="1" x14ac:dyDescent="0.2">
      <c r="A85" s="13"/>
      <c r="B85" s="323"/>
      <c r="C85" s="323"/>
      <c r="D85" s="323"/>
      <c r="E85" s="323"/>
      <c r="F85" s="323"/>
      <c r="G85" s="323"/>
      <c r="H85" s="323"/>
      <c r="I85" s="323"/>
      <c r="J85" s="323"/>
      <c r="K85" s="323"/>
      <c r="L85" s="323"/>
      <c r="M85" s="323"/>
      <c r="N85" s="323"/>
      <c r="O85" s="38"/>
      <c r="P85" s="13"/>
      <c r="Q85" s="13"/>
      <c r="R85" s="13"/>
      <c r="S85" s="13"/>
      <c r="T85" s="13"/>
      <c r="U85" s="13"/>
      <c r="V85" s="13"/>
      <c r="W85" s="13"/>
      <c r="X85" s="13"/>
      <c r="Y85" s="13"/>
      <c r="Z85" s="13"/>
    </row>
    <row r="86" spans="1:26" ht="12.75" customHeight="1" x14ac:dyDescent="0.2">
      <c r="A86" s="13"/>
      <c r="B86" s="323"/>
      <c r="C86" s="323"/>
      <c r="D86" s="323"/>
      <c r="E86" s="323"/>
      <c r="F86" s="323"/>
      <c r="G86" s="323"/>
      <c r="H86" s="323"/>
      <c r="I86" s="323"/>
      <c r="J86" s="323"/>
      <c r="K86" s="323"/>
      <c r="L86" s="323"/>
      <c r="M86" s="323"/>
      <c r="N86" s="323"/>
      <c r="O86" s="38"/>
      <c r="P86" s="13"/>
      <c r="Q86" s="13"/>
      <c r="R86" s="13"/>
      <c r="S86" s="13"/>
      <c r="T86" s="13"/>
      <c r="U86" s="13"/>
      <c r="V86" s="13"/>
      <c r="W86" s="13"/>
      <c r="X86" s="13"/>
      <c r="Y86" s="13"/>
      <c r="Z86" s="13"/>
    </row>
    <row r="87" spans="1:26" ht="12.75" customHeight="1" x14ac:dyDescent="0.2">
      <c r="A87" s="13"/>
      <c r="B87" s="323"/>
      <c r="C87" s="323"/>
      <c r="D87" s="323"/>
      <c r="E87" s="323"/>
      <c r="F87" s="323"/>
      <c r="G87" s="323"/>
      <c r="H87" s="323"/>
      <c r="I87" s="323"/>
      <c r="J87" s="323"/>
      <c r="K87" s="323"/>
      <c r="L87" s="323"/>
      <c r="M87" s="323"/>
      <c r="N87" s="323"/>
      <c r="O87" s="38"/>
      <c r="P87" s="13"/>
      <c r="Q87" s="13"/>
      <c r="R87" s="13"/>
      <c r="S87" s="13"/>
      <c r="T87" s="13"/>
      <c r="U87" s="13"/>
      <c r="V87" s="13"/>
      <c r="W87" s="13"/>
      <c r="X87" s="13"/>
      <c r="Y87" s="13"/>
      <c r="Z87" s="13"/>
    </row>
    <row r="88" spans="1:26" ht="12.75" customHeight="1" x14ac:dyDescent="0.2">
      <c r="A88" s="13"/>
      <c r="B88" s="323"/>
      <c r="C88" s="323"/>
      <c r="D88" s="323"/>
      <c r="E88" s="323"/>
      <c r="F88" s="323"/>
      <c r="G88" s="323"/>
      <c r="H88" s="323"/>
      <c r="I88" s="323"/>
      <c r="J88" s="323"/>
      <c r="K88" s="323"/>
      <c r="L88" s="323"/>
      <c r="M88" s="323"/>
      <c r="N88" s="323"/>
      <c r="O88" s="38"/>
      <c r="P88" s="13"/>
      <c r="Q88" s="13"/>
      <c r="R88" s="13"/>
      <c r="S88" s="13"/>
      <c r="T88" s="13"/>
      <c r="U88" s="13"/>
      <c r="V88" s="13"/>
      <c r="W88" s="13"/>
      <c r="X88" s="13"/>
      <c r="Y88" s="13"/>
      <c r="Z88" s="13"/>
    </row>
    <row r="89" spans="1:26" ht="12.75" customHeight="1" x14ac:dyDescent="0.2">
      <c r="A89" s="13"/>
      <c r="B89" s="323"/>
      <c r="C89" s="323"/>
      <c r="D89" s="323"/>
      <c r="E89" s="323"/>
      <c r="F89" s="323"/>
      <c r="G89" s="323"/>
      <c r="H89" s="323"/>
      <c r="I89" s="323"/>
      <c r="J89" s="323"/>
      <c r="K89" s="323"/>
      <c r="L89" s="323"/>
      <c r="M89" s="323"/>
      <c r="N89" s="323"/>
      <c r="O89" s="38"/>
      <c r="P89" s="13"/>
      <c r="Q89" s="13"/>
      <c r="R89" s="13"/>
      <c r="S89" s="13"/>
      <c r="T89" s="13"/>
      <c r="U89" s="13"/>
      <c r="V89" s="13"/>
      <c r="W89" s="13"/>
      <c r="X89" s="13"/>
      <c r="Y89" s="13"/>
      <c r="Z89" s="13"/>
    </row>
    <row r="90" spans="1:26" ht="12.75" customHeight="1" x14ac:dyDescent="0.2">
      <c r="A90" s="13"/>
      <c r="B90" s="323"/>
      <c r="C90" s="323"/>
      <c r="D90" s="323"/>
      <c r="E90" s="323"/>
      <c r="F90" s="323"/>
      <c r="G90" s="323"/>
      <c r="H90" s="323"/>
      <c r="I90" s="323"/>
      <c r="J90" s="323"/>
      <c r="K90" s="323"/>
      <c r="L90" s="323"/>
      <c r="M90" s="323"/>
      <c r="N90" s="323"/>
      <c r="O90" s="38"/>
      <c r="P90" s="13"/>
      <c r="Q90" s="13"/>
      <c r="R90" s="13"/>
      <c r="S90" s="13"/>
      <c r="T90" s="13"/>
      <c r="U90" s="13"/>
      <c r="V90" s="13"/>
      <c r="W90" s="13"/>
      <c r="X90" s="13"/>
      <c r="Y90" s="13"/>
      <c r="Z90" s="13"/>
    </row>
    <row r="91" spans="1:26" ht="12.75" customHeight="1" x14ac:dyDescent="0.2">
      <c r="A91" s="13"/>
      <c r="B91" s="323"/>
      <c r="C91" s="323"/>
      <c r="D91" s="323"/>
      <c r="E91" s="323"/>
      <c r="F91" s="323"/>
      <c r="G91" s="323"/>
      <c r="H91" s="323"/>
      <c r="I91" s="323"/>
      <c r="J91" s="323"/>
      <c r="K91" s="323"/>
      <c r="L91" s="323"/>
      <c r="M91" s="323"/>
      <c r="N91" s="323"/>
      <c r="O91" s="38"/>
      <c r="P91" s="13"/>
      <c r="Q91" s="13"/>
      <c r="R91" s="13"/>
      <c r="S91" s="13"/>
      <c r="T91" s="13"/>
      <c r="U91" s="13"/>
      <c r="V91" s="13"/>
      <c r="W91" s="13"/>
      <c r="X91" s="13"/>
      <c r="Y91" s="13"/>
      <c r="Z91" s="13"/>
    </row>
    <row r="92" spans="1:26" ht="12.75" customHeight="1" x14ac:dyDescent="0.2">
      <c r="A92" s="13"/>
      <c r="B92" s="323"/>
      <c r="C92" s="323"/>
      <c r="D92" s="323"/>
      <c r="E92" s="323"/>
      <c r="F92" s="323"/>
      <c r="G92" s="323"/>
      <c r="H92" s="323"/>
      <c r="I92" s="323"/>
      <c r="J92" s="323"/>
      <c r="K92" s="323"/>
      <c r="L92" s="323"/>
      <c r="M92" s="323"/>
      <c r="N92" s="323"/>
      <c r="O92" s="38"/>
      <c r="P92" s="13"/>
      <c r="Q92" s="13"/>
      <c r="R92" s="13"/>
      <c r="S92" s="13"/>
      <c r="T92" s="13"/>
      <c r="U92" s="13"/>
      <c r="V92" s="13"/>
      <c r="W92" s="13"/>
      <c r="X92" s="13"/>
      <c r="Y92" s="13"/>
      <c r="Z92" s="13"/>
    </row>
    <row r="93" spans="1:26" ht="12.75" customHeight="1" x14ac:dyDescent="0.2">
      <c r="A93" s="13"/>
      <c r="B93" s="323"/>
      <c r="C93" s="323"/>
      <c r="D93" s="323"/>
      <c r="E93" s="323"/>
      <c r="F93" s="323"/>
      <c r="G93" s="323"/>
      <c r="H93" s="323"/>
      <c r="I93" s="323"/>
      <c r="J93" s="323"/>
      <c r="K93" s="323"/>
      <c r="L93" s="323"/>
      <c r="M93" s="323"/>
      <c r="N93" s="323"/>
      <c r="O93" s="38"/>
      <c r="P93" s="13"/>
      <c r="Q93" s="13"/>
      <c r="R93" s="13"/>
      <c r="S93" s="13"/>
      <c r="T93" s="13"/>
      <c r="U93" s="13"/>
      <c r="V93" s="13"/>
      <c r="W93" s="13"/>
      <c r="X93" s="13"/>
      <c r="Y93" s="13"/>
      <c r="Z93" s="13"/>
    </row>
    <row r="94" spans="1:26" ht="12.75" customHeight="1" x14ac:dyDescent="0.2">
      <c r="A94" s="13"/>
      <c r="B94" s="323"/>
      <c r="C94" s="323"/>
      <c r="D94" s="323"/>
      <c r="E94" s="323"/>
      <c r="F94" s="323"/>
      <c r="G94" s="323"/>
      <c r="H94" s="323"/>
      <c r="I94" s="323"/>
      <c r="J94" s="323"/>
      <c r="K94" s="323"/>
      <c r="L94" s="323"/>
      <c r="M94" s="323"/>
      <c r="N94" s="323"/>
      <c r="O94" s="38"/>
      <c r="P94" s="13"/>
      <c r="Q94" s="13"/>
      <c r="R94" s="13"/>
      <c r="S94" s="13"/>
      <c r="T94" s="13"/>
      <c r="U94" s="13"/>
      <c r="V94" s="13"/>
      <c r="W94" s="13"/>
      <c r="X94" s="13"/>
      <c r="Y94" s="13"/>
      <c r="Z94" s="13"/>
    </row>
    <row r="95" spans="1:26" ht="12.75" customHeight="1" x14ac:dyDescent="0.2">
      <c r="A95" s="13"/>
      <c r="B95" s="323"/>
      <c r="C95" s="323"/>
      <c r="D95" s="323"/>
      <c r="E95" s="323"/>
      <c r="F95" s="323"/>
      <c r="G95" s="323"/>
      <c r="H95" s="323"/>
      <c r="I95" s="323"/>
      <c r="J95" s="323"/>
      <c r="K95" s="323"/>
      <c r="L95" s="323"/>
      <c r="M95" s="323"/>
      <c r="N95" s="323"/>
      <c r="O95" s="38"/>
      <c r="P95" s="13"/>
      <c r="Q95" s="13"/>
      <c r="R95" s="13"/>
      <c r="S95" s="13"/>
      <c r="T95" s="13"/>
      <c r="U95" s="13"/>
      <c r="V95" s="13"/>
      <c r="W95" s="13"/>
      <c r="X95" s="13"/>
      <c r="Y95" s="13"/>
      <c r="Z95" s="13"/>
    </row>
    <row r="96" spans="1:26" ht="12.75" customHeight="1" x14ac:dyDescent="0.2">
      <c r="A96" s="13"/>
      <c r="B96" s="323"/>
      <c r="C96" s="323"/>
      <c r="D96" s="323"/>
      <c r="E96" s="323"/>
      <c r="F96" s="323"/>
      <c r="G96" s="323"/>
      <c r="H96" s="323"/>
      <c r="I96" s="323"/>
      <c r="J96" s="323"/>
      <c r="K96" s="323"/>
      <c r="L96" s="323"/>
      <c r="M96" s="323"/>
      <c r="N96" s="323"/>
      <c r="O96" s="38"/>
      <c r="P96" s="13"/>
      <c r="Q96" s="13"/>
      <c r="R96" s="13"/>
      <c r="S96" s="13"/>
      <c r="T96" s="13"/>
      <c r="U96" s="13"/>
      <c r="V96" s="13"/>
      <c r="W96" s="13"/>
      <c r="X96" s="13"/>
      <c r="Y96" s="13"/>
      <c r="Z96" s="13"/>
    </row>
    <row r="97" spans="1:26" ht="12.75" customHeight="1" x14ac:dyDescent="0.2">
      <c r="A97" s="13"/>
      <c r="B97" s="323"/>
      <c r="C97" s="323"/>
      <c r="D97" s="323"/>
      <c r="E97" s="323"/>
      <c r="F97" s="323"/>
      <c r="G97" s="323"/>
      <c r="H97" s="323"/>
      <c r="I97" s="323"/>
      <c r="J97" s="323"/>
      <c r="K97" s="323"/>
      <c r="L97" s="323"/>
      <c r="M97" s="323"/>
      <c r="N97" s="323"/>
      <c r="O97" s="38"/>
      <c r="P97" s="13"/>
      <c r="Q97" s="13"/>
      <c r="R97" s="13"/>
      <c r="S97" s="13"/>
      <c r="T97" s="13"/>
      <c r="U97" s="13"/>
      <c r="V97" s="13"/>
      <c r="W97" s="13"/>
      <c r="X97" s="13"/>
      <c r="Y97" s="13"/>
      <c r="Z97" s="13"/>
    </row>
    <row r="98" spans="1:26" ht="12.75" customHeight="1" x14ac:dyDescent="0.2">
      <c r="A98" s="13"/>
      <c r="B98" s="323"/>
      <c r="C98" s="323"/>
      <c r="D98" s="323"/>
      <c r="E98" s="323"/>
      <c r="F98" s="323"/>
      <c r="G98" s="323"/>
      <c r="H98" s="323"/>
      <c r="I98" s="323"/>
      <c r="J98" s="323"/>
      <c r="K98" s="323"/>
      <c r="L98" s="323"/>
      <c r="M98" s="323"/>
      <c r="N98" s="323"/>
      <c r="O98" s="38"/>
      <c r="P98" s="13"/>
      <c r="Q98" s="13"/>
      <c r="R98" s="13"/>
      <c r="S98" s="13"/>
      <c r="T98" s="13"/>
      <c r="U98" s="13"/>
      <c r="V98" s="13"/>
      <c r="W98" s="13"/>
      <c r="X98" s="13"/>
      <c r="Y98" s="13"/>
      <c r="Z98" s="13"/>
    </row>
    <row r="99" spans="1:26" ht="12.75" customHeight="1" x14ac:dyDescent="0.2">
      <c r="A99" s="13"/>
      <c r="B99" s="323"/>
      <c r="C99" s="323"/>
      <c r="D99" s="323"/>
      <c r="E99" s="323"/>
      <c r="F99" s="323"/>
      <c r="G99" s="323"/>
      <c r="H99" s="323"/>
      <c r="I99" s="323"/>
      <c r="J99" s="323"/>
      <c r="K99" s="323"/>
      <c r="L99" s="323"/>
      <c r="M99" s="323"/>
      <c r="N99" s="323"/>
      <c r="O99" s="38"/>
      <c r="P99" s="13"/>
      <c r="Q99" s="13"/>
      <c r="R99" s="13"/>
      <c r="S99" s="13"/>
      <c r="T99" s="13"/>
      <c r="U99" s="13"/>
      <c r="V99" s="13"/>
      <c r="W99" s="13"/>
      <c r="X99" s="13"/>
      <c r="Y99" s="13"/>
      <c r="Z99" s="13"/>
    </row>
    <row r="100" spans="1:26" ht="12.75" customHeight="1" x14ac:dyDescent="0.2">
      <c r="A100" s="13"/>
      <c r="B100" s="323"/>
      <c r="C100" s="323"/>
      <c r="D100" s="323"/>
      <c r="E100" s="323"/>
      <c r="F100" s="323"/>
      <c r="G100" s="323"/>
      <c r="H100" s="323"/>
      <c r="I100" s="323"/>
      <c r="J100" s="323"/>
      <c r="K100" s="323"/>
      <c r="L100" s="323"/>
      <c r="M100" s="323"/>
      <c r="N100" s="323"/>
      <c r="O100" s="38"/>
      <c r="P100" s="13"/>
      <c r="Q100" s="13"/>
      <c r="R100" s="13"/>
      <c r="S100" s="13"/>
      <c r="T100" s="13"/>
      <c r="U100" s="13"/>
      <c r="V100" s="13"/>
      <c r="W100" s="13"/>
      <c r="X100" s="13"/>
      <c r="Y100" s="13"/>
      <c r="Z100" s="13"/>
    </row>
    <row r="101" spans="1:26" ht="12.75" customHeight="1" x14ac:dyDescent="0.2">
      <c r="A101" s="13"/>
      <c r="B101" s="323"/>
      <c r="C101" s="323"/>
      <c r="D101" s="323"/>
      <c r="E101" s="323"/>
      <c r="F101" s="323"/>
      <c r="G101" s="323"/>
      <c r="H101" s="323"/>
      <c r="I101" s="323"/>
      <c r="J101" s="323"/>
      <c r="K101" s="323"/>
      <c r="L101" s="323"/>
      <c r="M101" s="323"/>
      <c r="N101" s="323"/>
      <c r="O101" s="38"/>
      <c r="P101" s="13"/>
      <c r="Q101" s="13"/>
      <c r="R101" s="13"/>
      <c r="S101" s="13"/>
      <c r="T101" s="13"/>
      <c r="U101" s="13"/>
      <c r="V101" s="13"/>
      <c r="W101" s="13"/>
      <c r="X101" s="13"/>
      <c r="Y101" s="13"/>
      <c r="Z101" s="13"/>
    </row>
    <row r="102" spans="1:26" ht="12.75" customHeight="1" x14ac:dyDescent="0.2">
      <c r="A102" s="13"/>
      <c r="B102" s="323"/>
      <c r="C102" s="323"/>
      <c r="D102" s="323"/>
      <c r="E102" s="323"/>
      <c r="F102" s="323"/>
      <c r="G102" s="323"/>
      <c r="H102" s="323"/>
      <c r="I102" s="323"/>
      <c r="J102" s="323"/>
      <c r="K102" s="323"/>
      <c r="L102" s="323"/>
      <c r="M102" s="323"/>
      <c r="N102" s="323"/>
      <c r="O102" s="38"/>
      <c r="P102" s="13"/>
      <c r="Q102" s="13"/>
      <c r="R102" s="13"/>
      <c r="S102" s="13"/>
      <c r="T102" s="13"/>
      <c r="U102" s="13"/>
      <c r="V102" s="13"/>
      <c r="W102" s="13"/>
      <c r="X102" s="13"/>
      <c r="Y102" s="13"/>
      <c r="Z102" s="13"/>
    </row>
    <row r="103" spans="1:26" ht="12.75" customHeight="1" x14ac:dyDescent="0.2">
      <c r="A103" s="13"/>
      <c r="B103" s="323"/>
      <c r="C103" s="323"/>
      <c r="D103" s="323"/>
      <c r="E103" s="323"/>
      <c r="F103" s="323"/>
      <c r="G103" s="323"/>
      <c r="H103" s="323"/>
      <c r="I103" s="323"/>
      <c r="J103" s="323"/>
      <c r="K103" s="323"/>
      <c r="L103" s="323"/>
      <c r="M103" s="323"/>
      <c r="N103" s="323"/>
      <c r="O103" s="38"/>
      <c r="P103" s="13"/>
      <c r="Q103" s="13"/>
      <c r="R103" s="13"/>
      <c r="S103" s="13"/>
      <c r="T103" s="13"/>
      <c r="U103" s="13"/>
      <c r="V103" s="13"/>
      <c r="W103" s="13"/>
      <c r="X103" s="13"/>
      <c r="Y103" s="13"/>
      <c r="Z103" s="13"/>
    </row>
    <row r="104" spans="1:26" ht="12.75" customHeight="1" x14ac:dyDescent="0.2">
      <c r="A104" s="13"/>
      <c r="B104" s="323"/>
      <c r="C104" s="323"/>
      <c r="D104" s="323"/>
      <c r="E104" s="323"/>
      <c r="F104" s="323"/>
      <c r="G104" s="323"/>
      <c r="H104" s="323"/>
      <c r="I104" s="323"/>
      <c r="J104" s="323"/>
      <c r="K104" s="323"/>
      <c r="L104" s="323"/>
      <c r="M104" s="323"/>
      <c r="N104" s="323"/>
      <c r="O104" s="38"/>
      <c r="P104" s="13"/>
      <c r="Q104" s="13"/>
      <c r="R104" s="13"/>
      <c r="S104" s="13"/>
      <c r="T104" s="13"/>
      <c r="U104" s="13"/>
      <c r="V104" s="13"/>
      <c r="W104" s="13"/>
      <c r="X104" s="13"/>
      <c r="Y104" s="13"/>
      <c r="Z104" s="13"/>
    </row>
    <row r="105" spans="1:26" ht="12.75" customHeight="1" x14ac:dyDescent="0.2">
      <c r="A105" s="13"/>
      <c r="B105" s="323"/>
      <c r="C105" s="323"/>
      <c r="D105" s="323"/>
      <c r="E105" s="323"/>
      <c r="F105" s="323"/>
      <c r="G105" s="323"/>
      <c r="H105" s="323"/>
      <c r="I105" s="323"/>
      <c r="J105" s="323"/>
      <c r="K105" s="323"/>
      <c r="L105" s="323"/>
      <c r="M105" s="323"/>
      <c r="N105" s="323"/>
      <c r="O105" s="38"/>
      <c r="P105" s="13"/>
      <c r="Q105" s="13"/>
      <c r="R105" s="13"/>
      <c r="S105" s="13"/>
      <c r="T105" s="13"/>
      <c r="U105" s="13"/>
      <c r="V105" s="13"/>
      <c r="W105" s="13"/>
      <c r="X105" s="13"/>
      <c r="Y105" s="13"/>
      <c r="Z105" s="13"/>
    </row>
    <row r="106" spans="1:26" ht="12.75" customHeight="1" x14ac:dyDescent="0.2">
      <c r="A106" s="13"/>
      <c r="B106" s="323"/>
      <c r="C106" s="323"/>
      <c r="D106" s="323"/>
      <c r="E106" s="323"/>
      <c r="F106" s="323"/>
      <c r="G106" s="323"/>
      <c r="H106" s="323"/>
      <c r="I106" s="323"/>
      <c r="J106" s="323"/>
      <c r="K106" s="323"/>
      <c r="L106" s="323"/>
      <c r="M106" s="323"/>
      <c r="N106" s="323"/>
      <c r="O106" s="38"/>
      <c r="P106" s="13"/>
      <c r="Q106" s="13"/>
      <c r="R106" s="13"/>
      <c r="S106" s="13"/>
      <c r="T106" s="13"/>
      <c r="U106" s="13"/>
      <c r="V106" s="13"/>
      <c r="W106" s="13"/>
      <c r="X106" s="13"/>
      <c r="Y106" s="13"/>
      <c r="Z106" s="13"/>
    </row>
    <row r="107" spans="1:26" ht="12.75" customHeight="1" x14ac:dyDescent="0.2">
      <c r="A107" s="13"/>
      <c r="B107" s="323"/>
      <c r="C107" s="323"/>
      <c r="D107" s="323"/>
      <c r="E107" s="323"/>
      <c r="F107" s="323"/>
      <c r="G107" s="323"/>
      <c r="H107" s="323"/>
      <c r="I107" s="323"/>
      <c r="J107" s="323"/>
      <c r="K107" s="323"/>
      <c r="L107" s="323"/>
      <c r="M107" s="323"/>
      <c r="N107" s="323"/>
      <c r="O107" s="38"/>
      <c r="P107" s="13"/>
      <c r="Q107" s="13"/>
      <c r="R107" s="13"/>
      <c r="S107" s="13"/>
      <c r="T107" s="13"/>
      <c r="U107" s="13"/>
      <c r="V107" s="13"/>
      <c r="W107" s="13"/>
      <c r="X107" s="13"/>
      <c r="Y107" s="13"/>
      <c r="Z107" s="13"/>
    </row>
    <row r="108" spans="1:26" ht="12.75" customHeight="1" x14ac:dyDescent="0.2">
      <c r="A108" s="13"/>
      <c r="B108" s="323"/>
      <c r="C108" s="323"/>
      <c r="D108" s="323"/>
      <c r="E108" s="323"/>
      <c r="F108" s="323"/>
      <c r="G108" s="323"/>
      <c r="H108" s="323"/>
      <c r="I108" s="323"/>
      <c r="J108" s="323"/>
      <c r="K108" s="323"/>
      <c r="L108" s="323"/>
      <c r="M108" s="323"/>
      <c r="N108" s="323"/>
      <c r="O108" s="38"/>
      <c r="P108" s="13"/>
      <c r="Q108" s="13"/>
      <c r="R108" s="13"/>
      <c r="S108" s="13"/>
      <c r="T108" s="13"/>
      <c r="U108" s="13"/>
      <c r="V108" s="13"/>
      <c r="W108" s="13"/>
      <c r="X108" s="13"/>
      <c r="Y108" s="13"/>
      <c r="Z108" s="13"/>
    </row>
    <row r="109" spans="1:26" ht="12.75" customHeight="1" x14ac:dyDescent="0.2">
      <c r="A109" s="13"/>
      <c r="B109" s="323"/>
      <c r="C109" s="323"/>
      <c r="D109" s="323"/>
      <c r="E109" s="323"/>
      <c r="F109" s="323"/>
      <c r="G109" s="323"/>
      <c r="H109" s="323"/>
      <c r="I109" s="323"/>
      <c r="J109" s="323"/>
      <c r="K109" s="323"/>
      <c r="L109" s="323"/>
      <c r="M109" s="323"/>
      <c r="N109" s="323"/>
      <c r="O109" s="38"/>
      <c r="P109" s="13"/>
      <c r="Q109" s="13"/>
      <c r="R109" s="13"/>
      <c r="S109" s="13"/>
      <c r="T109" s="13"/>
      <c r="U109" s="13"/>
      <c r="V109" s="13"/>
      <c r="W109" s="13"/>
      <c r="X109" s="13"/>
      <c r="Y109" s="13"/>
      <c r="Z109" s="13"/>
    </row>
    <row r="110" spans="1:26" ht="12.75" customHeight="1" x14ac:dyDescent="0.2">
      <c r="A110" s="13"/>
      <c r="B110" s="323"/>
      <c r="C110" s="323"/>
      <c r="D110" s="323"/>
      <c r="E110" s="323"/>
      <c r="F110" s="323"/>
      <c r="G110" s="323"/>
      <c r="H110" s="323"/>
      <c r="I110" s="323"/>
      <c r="J110" s="323"/>
      <c r="K110" s="323"/>
      <c r="L110" s="323"/>
      <c r="M110" s="323"/>
      <c r="N110" s="323"/>
      <c r="O110" s="38"/>
      <c r="P110" s="13"/>
      <c r="Q110" s="13"/>
      <c r="R110" s="13"/>
      <c r="S110" s="13"/>
      <c r="T110" s="13"/>
      <c r="U110" s="13"/>
      <c r="V110" s="13"/>
      <c r="W110" s="13"/>
      <c r="X110" s="13"/>
      <c r="Y110" s="13"/>
      <c r="Z110" s="13"/>
    </row>
    <row r="111" spans="1:26" ht="12.75" customHeight="1" x14ac:dyDescent="0.2">
      <c r="A111" s="13"/>
      <c r="B111" s="323"/>
      <c r="C111" s="323"/>
      <c r="D111" s="323"/>
      <c r="E111" s="323"/>
      <c r="F111" s="323"/>
      <c r="G111" s="323"/>
      <c r="H111" s="323"/>
      <c r="I111" s="323"/>
      <c r="J111" s="323"/>
      <c r="K111" s="323"/>
      <c r="L111" s="323"/>
      <c r="M111" s="323"/>
      <c r="N111" s="323"/>
      <c r="O111" s="38"/>
      <c r="P111" s="13"/>
      <c r="Q111" s="13"/>
      <c r="R111" s="13"/>
      <c r="S111" s="13"/>
      <c r="T111" s="13"/>
      <c r="U111" s="13"/>
      <c r="V111" s="13"/>
      <c r="W111" s="13"/>
      <c r="X111" s="13"/>
      <c r="Y111" s="13"/>
      <c r="Z111" s="13"/>
    </row>
    <row r="112" spans="1:26" ht="12.75" customHeight="1" x14ac:dyDescent="0.2">
      <c r="A112" s="13"/>
      <c r="B112" s="323"/>
      <c r="C112" s="323"/>
      <c r="D112" s="323"/>
      <c r="E112" s="323"/>
      <c r="F112" s="323"/>
      <c r="G112" s="323"/>
      <c r="H112" s="323"/>
      <c r="I112" s="323"/>
      <c r="J112" s="323"/>
      <c r="K112" s="323"/>
      <c r="L112" s="323"/>
      <c r="M112" s="323"/>
      <c r="N112" s="323"/>
      <c r="O112" s="38"/>
      <c r="P112" s="13"/>
      <c r="Q112" s="13"/>
      <c r="R112" s="13"/>
      <c r="S112" s="13"/>
      <c r="T112" s="13"/>
      <c r="U112" s="13"/>
      <c r="V112" s="13"/>
      <c r="W112" s="13"/>
      <c r="X112" s="13"/>
      <c r="Y112" s="13"/>
      <c r="Z112" s="13"/>
    </row>
    <row r="113" spans="1:26" ht="12.75" customHeight="1" x14ac:dyDescent="0.2">
      <c r="A113" s="13"/>
      <c r="B113" s="323"/>
      <c r="C113" s="323"/>
      <c r="D113" s="323"/>
      <c r="E113" s="323"/>
      <c r="F113" s="323"/>
      <c r="G113" s="323"/>
      <c r="H113" s="323"/>
      <c r="I113" s="323"/>
      <c r="J113" s="323"/>
      <c r="K113" s="323"/>
      <c r="L113" s="323"/>
      <c r="M113" s="323"/>
      <c r="N113" s="323"/>
      <c r="O113" s="38"/>
      <c r="P113" s="13"/>
      <c r="Q113" s="13"/>
      <c r="R113" s="13"/>
      <c r="S113" s="13"/>
      <c r="T113" s="13"/>
      <c r="U113" s="13"/>
      <c r="V113" s="13"/>
      <c r="W113" s="13"/>
      <c r="X113" s="13"/>
      <c r="Y113" s="13"/>
      <c r="Z113" s="13"/>
    </row>
    <row r="114" spans="1:26" ht="12.75" customHeight="1" x14ac:dyDescent="0.2">
      <c r="A114" s="13"/>
      <c r="B114" s="323"/>
      <c r="C114" s="323"/>
      <c r="D114" s="323"/>
      <c r="E114" s="323"/>
      <c r="F114" s="323"/>
      <c r="G114" s="323"/>
      <c r="H114" s="323"/>
      <c r="I114" s="323"/>
      <c r="J114" s="323"/>
      <c r="K114" s="323"/>
      <c r="L114" s="323"/>
      <c r="M114" s="323"/>
      <c r="N114" s="323"/>
      <c r="O114" s="38"/>
      <c r="P114" s="13"/>
      <c r="Q114" s="13"/>
      <c r="R114" s="13"/>
      <c r="S114" s="13"/>
      <c r="T114" s="13"/>
      <c r="U114" s="13"/>
      <c r="V114" s="13"/>
      <c r="W114" s="13"/>
      <c r="X114" s="13"/>
      <c r="Y114" s="13"/>
      <c r="Z114" s="13"/>
    </row>
    <row r="115" spans="1:26" ht="12.75" customHeight="1" x14ac:dyDescent="0.2">
      <c r="A115" s="13"/>
      <c r="B115" s="323"/>
      <c r="C115" s="323"/>
      <c r="D115" s="323"/>
      <c r="E115" s="323"/>
      <c r="F115" s="323"/>
      <c r="G115" s="323"/>
      <c r="H115" s="323"/>
      <c r="I115" s="323"/>
      <c r="J115" s="323"/>
      <c r="K115" s="323"/>
      <c r="L115" s="323"/>
      <c r="M115" s="323"/>
      <c r="N115" s="323"/>
      <c r="O115" s="38"/>
      <c r="P115" s="13"/>
      <c r="Q115" s="13"/>
      <c r="R115" s="13"/>
      <c r="S115" s="13"/>
      <c r="T115" s="13"/>
      <c r="U115" s="13"/>
      <c r="V115" s="13"/>
      <c r="W115" s="13"/>
      <c r="X115" s="13"/>
      <c r="Y115" s="13"/>
      <c r="Z115" s="13"/>
    </row>
    <row r="116" spans="1:26" ht="12.75" customHeight="1" x14ac:dyDescent="0.2">
      <c r="A116" s="13"/>
      <c r="B116" s="323"/>
      <c r="C116" s="323"/>
      <c r="D116" s="323"/>
      <c r="E116" s="323"/>
      <c r="F116" s="323"/>
      <c r="G116" s="323"/>
      <c r="H116" s="323"/>
      <c r="I116" s="323"/>
      <c r="J116" s="323"/>
      <c r="K116" s="323"/>
      <c r="L116" s="323"/>
      <c r="M116" s="323"/>
      <c r="N116" s="323"/>
      <c r="O116" s="38"/>
      <c r="P116" s="13"/>
      <c r="Q116" s="13"/>
      <c r="R116" s="13"/>
      <c r="S116" s="13"/>
      <c r="T116" s="13"/>
      <c r="U116" s="13"/>
      <c r="V116" s="13"/>
      <c r="W116" s="13"/>
      <c r="X116" s="13"/>
      <c r="Y116" s="13"/>
      <c r="Z116" s="13"/>
    </row>
    <row r="117" spans="1:26" ht="12.75" customHeight="1" x14ac:dyDescent="0.2">
      <c r="A117" s="13"/>
      <c r="B117" s="323"/>
      <c r="C117" s="323"/>
      <c r="D117" s="323"/>
      <c r="E117" s="323"/>
      <c r="F117" s="323"/>
      <c r="G117" s="323"/>
      <c r="H117" s="323"/>
      <c r="I117" s="323"/>
      <c r="J117" s="323"/>
      <c r="K117" s="323"/>
      <c r="L117" s="323"/>
      <c r="M117" s="323"/>
      <c r="N117" s="323"/>
      <c r="O117" s="38"/>
      <c r="P117" s="13"/>
      <c r="Q117" s="13"/>
      <c r="R117" s="13"/>
      <c r="S117" s="13"/>
      <c r="T117" s="13"/>
      <c r="U117" s="13"/>
      <c r="V117" s="13"/>
      <c r="W117" s="13"/>
      <c r="X117" s="13"/>
      <c r="Y117" s="13"/>
      <c r="Z117" s="13"/>
    </row>
    <row r="118" spans="1:26" ht="12.75" customHeight="1" x14ac:dyDescent="0.2">
      <c r="A118" s="13"/>
      <c r="B118" s="323"/>
      <c r="C118" s="323"/>
      <c r="D118" s="323"/>
      <c r="E118" s="323"/>
      <c r="F118" s="323"/>
      <c r="G118" s="323"/>
      <c r="H118" s="323"/>
      <c r="I118" s="323"/>
      <c r="J118" s="323"/>
      <c r="K118" s="323"/>
      <c r="L118" s="323"/>
      <c r="M118" s="323"/>
      <c r="N118" s="323"/>
      <c r="O118" s="38"/>
      <c r="P118" s="13"/>
      <c r="Q118" s="13"/>
      <c r="R118" s="13"/>
      <c r="S118" s="13"/>
      <c r="T118" s="13"/>
      <c r="U118" s="13"/>
      <c r="V118" s="13"/>
      <c r="W118" s="13"/>
      <c r="X118" s="13"/>
      <c r="Y118" s="13"/>
      <c r="Z118" s="13"/>
    </row>
    <row r="119" spans="1:26" ht="12.75" customHeight="1" x14ac:dyDescent="0.2">
      <c r="A119" s="13"/>
      <c r="B119" s="323"/>
      <c r="C119" s="323"/>
      <c r="D119" s="323"/>
      <c r="E119" s="323"/>
      <c r="F119" s="323"/>
      <c r="G119" s="323"/>
      <c r="H119" s="323"/>
      <c r="I119" s="323"/>
      <c r="J119" s="323"/>
      <c r="K119" s="323"/>
      <c r="L119" s="323"/>
      <c r="M119" s="323"/>
      <c r="N119" s="323"/>
      <c r="O119" s="38"/>
      <c r="P119" s="13"/>
      <c r="Q119" s="13"/>
      <c r="R119" s="13"/>
      <c r="S119" s="13"/>
      <c r="T119" s="13"/>
      <c r="U119" s="13"/>
      <c r="V119" s="13"/>
      <c r="W119" s="13"/>
      <c r="X119" s="13"/>
      <c r="Y119" s="13"/>
      <c r="Z119" s="13"/>
    </row>
    <row r="120" spans="1:26" ht="12.75" customHeight="1" x14ac:dyDescent="0.2">
      <c r="A120" s="13"/>
      <c r="B120" s="323"/>
      <c r="C120" s="323"/>
      <c r="D120" s="323"/>
      <c r="E120" s="323"/>
      <c r="F120" s="323"/>
      <c r="G120" s="323"/>
      <c r="H120" s="323"/>
      <c r="I120" s="323"/>
      <c r="J120" s="323"/>
      <c r="K120" s="323"/>
      <c r="L120" s="323"/>
      <c r="M120" s="323"/>
      <c r="N120" s="323"/>
      <c r="O120" s="38"/>
      <c r="P120" s="13"/>
      <c r="Q120" s="13"/>
      <c r="R120" s="13"/>
      <c r="S120" s="13"/>
      <c r="T120" s="13"/>
      <c r="U120" s="13"/>
      <c r="V120" s="13"/>
      <c r="W120" s="13"/>
      <c r="X120" s="13"/>
      <c r="Y120" s="13"/>
      <c r="Z120" s="13"/>
    </row>
    <row r="121" spans="1:26" ht="12.75" customHeight="1" x14ac:dyDescent="0.2">
      <c r="A121" s="13"/>
      <c r="B121" s="323"/>
      <c r="C121" s="323"/>
      <c r="D121" s="323"/>
      <c r="E121" s="323"/>
      <c r="F121" s="323"/>
      <c r="G121" s="323"/>
      <c r="H121" s="323"/>
      <c r="I121" s="323"/>
      <c r="J121" s="323"/>
      <c r="K121" s="323"/>
      <c r="L121" s="323"/>
      <c r="M121" s="323"/>
      <c r="N121" s="323"/>
      <c r="O121" s="38"/>
      <c r="P121" s="13"/>
      <c r="Q121" s="13"/>
      <c r="R121" s="13"/>
      <c r="S121" s="13"/>
      <c r="T121" s="13"/>
      <c r="U121" s="13"/>
      <c r="V121" s="13"/>
      <c r="W121" s="13"/>
      <c r="X121" s="13"/>
      <c r="Y121" s="13"/>
      <c r="Z121" s="13"/>
    </row>
    <row r="122" spans="1:26" ht="12.75" customHeight="1" x14ac:dyDescent="0.2">
      <c r="A122" s="13"/>
      <c r="B122" s="323"/>
      <c r="C122" s="323"/>
      <c r="D122" s="323"/>
      <c r="E122" s="323"/>
      <c r="F122" s="323"/>
      <c r="G122" s="323"/>
      <c r="H122" s="323"/>
      <c r="I122" s="323"/>
      <c r="J122" s="323"/>
      <c r="K122" s="323"/>
      <c r="L122" s="323"/>
      <c r="M122" s="323"/>
      <c r="N122" s="323"/>
      <c r="O122" s="38"/>
      <c r="P122" s="13"/>
      <c r="Q122" s="13"/>
      <c r="R122" s="13"/>
      <c r="S122" s="13"/>
      <c r="T122" s="13"/>
      <c r="U122" s="13"/>
      <c r="V122" s="13"/>
      <c r="W122" s="13"/>
      <c r="X122" s="13"/>
      <c r="Y122" s="13"/>
      <c r="Z122" s="13"/>
    </row>
    <row r="123" spans="1:26" ht="12.75" customHeight="1" x14ac:dyDescent="0.2">
      <c r="A123" s="13"/>
      <c r="B123" s="323"/>
      <c r="C123" s="323"/>
      <c r="D123" s="323"/>
      <c r="E123" s="323"/>
      <c r="F123" s="323"/>
      <c r="G123" s="323"/>
      <c r="H123" s="323"/>
      <c r="I123" s="323"/>
      <c r="J123" s="323"/>
      <c r="K123" s="323"/>
      <c r="L123" s="323"/>
      <c r="M123" s="323"/>
      <c r="N123" s="323"/>
      <c r="O123" s="38"/>
      <c r="P123" s="13"/>
      <c r="Q123" s="13"/>
      <c r="R123" s="13"/>
      <c r="S123" s="13"/>
      <c r="T123" s="13"/>
      <c r="U123" s="13"/>
      <c r="V123" s="13"/>
      <c r="W123" s="13"/>
      <c r="X123" s="13"/>
      <c r="Y123" s="13"/>
      <c r="Z123" s="13"/>
    </row>
    <row r="124" spans="1:26" ht="12.75" customHeight="1" x14ac:dyDescent="0.2">
      <c r="A124" s="13"/>
      <c r="B124" s="323"/>
      <c r="C124" s="323"/>
      <c r="D124" s="323"/>
      <c r="E124" s="323"/>
      <c r="F124" s="323"/>
      <c r="G124" s="323"/>
      <c r="H124" s="323"/>
      <c r="I124" s="323"/>
      <c r="J124" s="323"/>
      <c r="K124" s="323"/>
      <c r="L124" s="323"/>
      <c r="M124" s="323"/>
      <c r="N124" s="323"/>
      <c r="O124" s="38"/>
      <c r="P124" s="13"/>
      <c r="Q124" s="13"/>
      <c r="R124" s="13"/>
      <c r="S124" s="13"/>
      <c r="T124" s="13"/>
      <c r="U124" s="13"/>
      <c r="V124" s="13"/>
      <c r="W124" s="13"/>
      <c r="X124" s="13"/>
      <c r="Y124" s="13"/>
      <c r="Z124" s="13"/>
    </row>
    <row r="125" spans="1:26" ht="12.75" customHeight="1" x14ac:dyDescent="0.2">
      <c r="A125" s="13"/>
      <c r="B125" s="323"/>
      <c r="C125" s="323"/>
      <c r="D125" s="323"/>
      <c r="E125" s="323"/>
      <c r="F125" s="323"/>
      <c r="G125" s="323"/>
      <c r="H125" s="323"/>
      <c r="I125" s="323"/>
      <c r="J125" s="323"/>
      <c r="K125" s="323"/>
      <c r="L125" s="323"/>
      <c r="M125" s="323"/>
      <c r="N125" s="323"/>
      <c r="O125" s="38"/>
      <c r="P125" s="13"/>
      <c r="Q125" s="13"/>
      <c r="R125" s="13"/>
      <c r="S125" s="13"/>
      <c r="T125" s="13"/>
      <c r="U125" s="13"/>
      <c r="V125" s="13"/>
      <c r="W125" s="13"/>
      <c r="X125" s="13"/>
      <c r="Y125" s="13"/>
      <c r="Z125" s="13"/>
    </row>
    <row r="126" spans="1:26" ht="12.75" customHeight="1" x14ac:dyDescent="0.2">
      <c r="A126" s="13"/>
      <c r="B126" s="323"/>
      <c r="C126" s="323"/>
      <c r="D126" s="323"/>
      <c r="E126" s="323"/>
      <c r="F126" s="323"/>
      <c r="G126" s="323"/>
      <c r="H126" s="323"/>
      <c r="I126" s="323"/>
      <c r="J126" s="323"/>
      <c r="K126" s="323"/>
      <c r="L126" s="323"/>
      <c r="M126" s="323"/>
      <c r="N126" s="323"/>
      <c r="O126" s="38"/>
      <c r="P126" s="13"/>
      <c r="Q126" s="13"/>
      <c r="R126" s="13"/>
      <c r="S126" s="13"/>
      <c r="T126" s="13"/>
      <c r="U126" s="13"/>
      <c r="V126" s="13"/>
      <c r="W126" s="13"/>
      <c r="X126" s="13"/>
      <c r="Y126" s="13"/>
      <c r="Z126" s="13"/>
    </row>
    <row r="127" spans="1:26" ht="12.75" customHeight="1" x14ac:dyDescent="0.2">
      <c r="A127" s="13"/>
      <c r="B127" s="323"/>
      <c r="C127" s="323"/>
      <c r="D127" s="323"/>
      <c r="E127" s="323"/>
      <c r="F127" s="323"/>
      <c r="G127" s="323"/>
      <c r="H127" s="323"/>
      <c r="I127" s="323"/>
      <c r="J127" s="323"/>
      <c r="K127" s="323"/>
      <c r="L127" s="323"/>
      <c r="M127" s="323"/>
      <c r="N127" s="323"/>
      <c r="O127" s="38"/>
      <c r="P127" s="13"/>
      <c r="Q127" s="13"/>
      <c r="R127" s="13"/>
      <c r="S127" s="13"/>
      <c r="T127" s="13"/>
      <c r="U127" s="13"/>
      <c r="V127" s="13"/>
      <c r="W127" s="13"/>
      <c r="X127" s="13"/>
      <c r="Y127" s="13"/>
      <c r="Z127" s="13"/>
    </row>
    <row r="128" spans="1:26" ht="12.75" customHeight="1" x14ac:dyDescent="0.2">
      <c r="A128" s="13"/>
      <c r="B128" s="323"/>
      <c r="C128" s="323"/>
      <c r="D128" s="323"/>
      <c r="E128" s="323"/>
      <c r="F128" s="323"/>
      <c r="G128" s="323"/>
      <c r="H128" s="323"/>
      <c r="I128" s="323"/>
      <c r="J128" s="323"/>
      <c r="K128" s="323"/>
      <c r="L128" s="323"/>
      <c r="M128" s="323"/>
      <c r="N128" s="323"/>
      <c r="O128" s="38"/>
      <c r="P128" s="13"/>
      <c r="Q128" s="13"/>
      <c r="R128" s="13"/>
      <c r="S128" s="13"/>
      <c r="T128" s="13"/>
      <c r="U128" s="13"/>
      <c r="V128" s="13"/>
      <c r="W128" s="13"/>
      <c r="X128" s="13"/>
      <c r="Y128" s="13"/>
      <c r="Z128" s="13"/>
    </row>
    <row r="129" spans="1:26" ht="12.75" customHeight="1" x14ac:dyDescent="0.2">
      <c r="A129" s="13"/>
      <c r="B129" s="323"/>
      <c r="C129" s="323"/>
      <c r="D129" s="323"/>
      <c r="E129" s="323"/>
      <c r="F129" s="323"/>
      <c r="G129" s="323"/>
      <c r="H129" s="323"/>
      <c r="I129" s="323"/>
      <c r="J129" s="323"/>
      <c r="K129" s="323"/>
      <c r="L129" s="323"/>
      <c r="M129" s="323"/>
      <c r="N129" s="323"/>
      <c r="O129" s="38"/>
      <c r="P129" s="13"/>
      <c r="Q129" s="13"/>
      <c r="R129" s="13"/>
      <c r="S129" s="13"/>
      <c r="T129" s="13"/>
      <c r="U129" s="13"/>
      <c r="V129" s="13"/>
      <c r="W129" s="13"/>
      <c r="X129" s="13"/>
      <c r="Y129" s="13"/>
      <c r="Z129" s="13"/>
    </row>
    <row r="130" spans="1:26" ht="12.75" customHeight="1" x14ac:dyDescent="0.2">
      <c r="A130" s="13"/>
      <c r="B130" s="323"/>
      <c r="C130" s="323"/>
      <c r="D130" s="323"/>
      <c r="E130" s="323"/>
      <c r="F130" s="323"/>
      <c r="G130" s="323"/>
      <c r="H130" s="323"/>
      <c r="I130" s="323"/>
      <c r="J130" s="323"/>
      <c r="K130" s="323"/>
      <c r="L130" s="323"/>
      <c r="M130" s="323"/>
      <c r="N130" s="323"/>
      <c r="O130" s="38"/>
      <c r="P130" s="13"/>
      <c r="Q130" s="13"/>
      <c r="R130" s="13"/>
      <c r="S130" s="13"/>
      <c r="T130" s="13"/>
      <c r="U130" s="13"/>
      <c r="V130" s="13"/>
      <c r="W130" s="13"/>
      <c r="X130" s="13"/>
      <c r="Y130" s="13"/>
      <c r="Z130" s="13"/>
    </row>
    <row r="131" spans="1:26" ht="12.75" customHeight="1" x14ac:dyDescent="0.2">
      <c r="A131" s="13"/>
      <c r="B131" s="323"/>
      <c r="C131" s="323"/>
      <c r="D131" s="323"/>
      <c r="E131" s="323"/>
      <c r="F131" s="323"/>
      <c r="G131" s="323"/>
      <c r="H131" s="323"/>
      <c r="I131" s="323"/>
      <c r="J131" s="323"/>
      <c r="K131" s="323"/>
      <c r="L131" s="323"/>
      <c r="M131" s="323"/>
      <c r="N131" s="323"/>
      <c r="O131" s="38"/>
      <c r="P131" s="13"/>
      <c r="Q131" s="13"/>
      <c r="R131" s="13"/>
      <c r="S131" s="13"/>
      <c r="T131" s="13"/>
      <c r="U131" s="13"/>
      <c r="V131" s="13"/>
      <c r="W131" s="13"/>
      <c r="X131" s="13"/>
      <c r="Y131" s="13"/>
      <c r="Z131" s="13"/>
    </row>
    <row r="132" spans="1:26" ht="12.75" customHeight="1" x14ac:dyDescent="0.2">
      <c r="A132" s="13"/>
      <c r="B132" s="323"/>
      <c r="C132" s="323"/>
      <c r="D132" s="323"/>
      <c r="E132" s="323"/>
      <c r="F132" s="323"/>
      <c r="G132" s="323"/>
      <c r="H132" s="323"/>
      <c r="I132" s="323"/>
      <c r="J132" s="323"/>
      <c r="K132" s="323"/>
      <c r="L132" s="323"/>
      <c r="M132" s="323"/>
      <c r="N132" s="323"/>
      <c r="O132" s="38"/>
      <c r="P132" s="13"/>
      <c r="Q132" s="13"/>
      <c r="R132" s="13"/>
      <c r="S132" s="13"/>
      <c r="T132" s="13"/>
      <c r="U132" s="13"/>
      <c r="V132" s="13"/>
      <c r="W132" s="13"/>
      <c r="X132" s="13"/>
      <c r="Y132" s="13"/>
      <c r="Z132" s="13"/>
    </row>
    <row r="133" spans="1:26" ht="12.75" customHeight="1" x14ac:dyDescent="0.2">
      <c r="A133" s="13"/>
      <c r="B133" s="323"/>
      <c r="C133" s="323"/>
      <c r="D133" s="323"/>
      <c r="E133" s="323"/>
      <c r="F133" s="323"/>
      <c r="G133" s="323"/>
      <c r="H133" s="323"/>
      <c r="I133" s="323"/>
      <c r="J133" s="323"/>
      <c r="K133" s="323"/>
      <c r="L133" s="323"/>
      <c r="M133" s="323"/>
      <c r="N133" s="323"/>
      <c r="O133" s="38"/>
      <c r="P133" s="13"/>
      <c r="Q133" s="13"/>
      <c r="R133" s="13"/>
      <c r="S133" s="13"/>
      <c r="T133" s="13"/>
      <c r="U133" s="13"/>
      <c r="V133" s="13"/>
      <c r="W133" s="13"/>
      <c r="X133" s="13"/>
      <c r="Y133" s="13"/>
      <c r="Z133" s="13"/>
    </row>
    <row r="134" spans="1:26" ht="12.75" customHeight="1" x14ac:dyDescent="0.2">
      <c r="A134" s="13"/>
      <c r="B134" s="323"/>
      <c r="C134" s="323"/>
      <c r="D134" s="323"/>
      <c r="E134" s="323"/>
      <c r="F134" s="323"/>
      <c r="G134" s="323"/>
      <c r="H134" s="323"/>
      <c r="I134" s="323"/>
      <c r="J134" s="323"/>
      <c r="K134" s="323"/>
      <c r="L134" s="323"/>
      <c r="M134" s="323"/>
      <c r="N134" s="323"/>
      <c r="O134" s="38"/>
      <c r="P134" s="13"/>
      <c r="Q134" s="13"/>
      <c r="R134" s="13"/>
      <c r="S134" s="13"/>
      <c r="T134" s="13"/>
      <c r="U134" s="13"/>
      <c r="V134" s="13"/>
      <c r="W134" s="13"/>
      <c r="X134" s="13"/>
      <c r="Y134" s="13"/>
      <c r="Z134" s="13"/>
    </row>
    <row r="135" spans="1:26" ht="12.75" customHeight="1" x14ac:dyDescent="0.2">
      <c r="A135" s="13"/>
      <c r="B135" s="323"/>
      <c r="C135" s="323"/>
      <c r="D135" s="323"/>
      <c r="E135" s="323"/>
      <c r="F135" s="323"/>
      <c r="G135" s="323"/>
      <c r="H135" s="323"/>
      <c r="I135" s="323"/>
      <c r="J135" s="323"/>
      <c r="K135" s="323"/>
      <c r="L135" s="323"/>
      <c r="M135" s="323"/>
      <c r="N135" s="323"/>
      <c r="O135" s="38"/>
      <c r="P135" s="13"/>
      <c r="Q135" s="13"/>
      <c r="R135" s="13"/>
      <c r="S135" s="13"/>
      <c r="T135" s="13"/>
      <c r="U135" s="13"/>
      <c r="V135" s="13"/>
      <c r="W135" s="13"/>
      <c r="X135" s="13"/>
      <c r="Y135" s="13"/>
      <c r="Z135" s="13"/>
    </row>
    <row r="136" spans="1:26" ht="12.75" customHeight="1" x14ac:dyDescent="0.2">
      <c r="A136" s="13"/>
      <c r="B136" s="323"/>
      <c r="C136" s="323"/>
      <c r="D136" s="323"/>
      <c r="E136" s="323"/>
      <c r="F136" s="323"/>
      <c r="G136" s="323"/>
      <c r="H136" s="323"/>
      <c r="I136" s="323"/>
      <c r="J136" s="323"/>
      <c r="K136" s="323"/>
      <c r="L136" s="323"/>
      <c r="M136" s="323"/>
      <c r="N136" s="323"/>
      <c r="O136" s="38"/>
      <c r="P136" s="13"/>
      <c r="Q136" s="13"/>
      <c r="R136" s="13"/>
      <c r="S136" s="13"/>
      <c r="T136" s="13"/>
      <c r="U136" s="13"/>
      <c r="V136" s="13"/>
      <c r="W136" s="13"/>
      <c r="X136" s="13"/>
      <c r="Y136" s="13"/>
      <c r="Z136" s="13"/>
    </row>
    <row r="137" spans="1:26" ht="12.75" customHeight="1" x14ac:dyDescent="0.2">
      <c r="A137" s="13"/>
      <c r="B137" s="323"/>
      <c r="C137" s="323"/>
      <c r="D137" s="323"/>
      <c r="E137" s="323"/>
      <c r="F137" s="323"/>
      <c r="G137" s="323"/>
      <c r="H137" s="323"/>
      <c r="I137" s="323"/>
      <c r="J137" s="323"/>
      <c r="K137" s="323"/>
      <c r="L137" s="323"/>
      <c r="M137" s="323"/>
      <c r="N137" s="323"/>
      <c r="O137" s="38"/>
      <c r="P137" s="13"/>
      <c r="Q137" s="13"/>
      <c r="R137" s="13"/>
      <c r="S137" s="13"/>
      <c r="T137" s="13"/>
      <c r="U137" s="13"/>
      <c r="V137" s="13"/>
      <c r="W137" s="13"/>
      <c r="X137" s="13"/>
      <c r="Y137" s="13"/>
      <c r="Z137" s="13"/>
    </row>
    <row r="138" spans="1:26" ht="12.75" customHeight="1" x14ac:dyDescent="0.2">
      <c r="A138" s="13"/>
      <c r="B138" s="323"/>
      <c r="C138" s="323"/>
      <c r="D138" s="323"/>
      <c r="E138" s="323"/>
      <c r="F138" s="323"/>
      <c r="G138" s="323"/>
      <c r="H138" s="323"/>
      <c r="I138" s="323"/>
      <c r="J138" s="323"/>
      <c r="K138" s="323"/>
      <c r="L138" s="323"/>
      <c r="M138" s="323"/>
      <c r="N138" s="323"/>
      <c r="O138" s="38"/>
      <c r="P138" s="13"/>
      <c r="Q138" s="13"/>
      <c r="R138" s="13"/>
      <c r="S138" s="13"/>
      <c r="T138" s="13"/>
      <c r="U138" s="13"/>
      <c r="V138" s="13"/>
      <c r="W138" s="13"/>
      <c r="X138" s="13"/>
      <c r="Y138" s="13"/>
      <c r="Z138" s="13"/>
    </row>
    <row r="139" spans="1:26" ht="12.75" customHeight="1" x14ac:dyDescent="0.2">
      <c r="A139" s="13"/>
      <c r="B139" s="323"/>
      <c r="C139" s="323"/>
      <c r="D139" s="323"/>
      <c r="E139" s="323"/>
      <c r="F139" s="323"/>
      <c r="G139" s="323"/>
      <c r="H139" s="323"/>
      <c r="I139" s="323"/>
      <c r="J139" s="323"/>
      <c r="K139" s="323"/>
      <c r="L139" s="323"/>
      <c r="M139" s="323"/>
      <c r="N139" s="323"/>
      <c r="O139" s="38"/>
      <c r="P139" s="13"/>
      <c r="Q139" s="13"/>
      <c r="R139" s="13"/>
      <c r="S139" s="13"/>
      <c r="T139" s="13"/>
      <c r="U139" s="13"/>
      <c r="V139" s="13"/>
      <c r="W139" s="13"/>
      <c r="X139" s="13"/>
      <c r="Y139" s="13"/>
      <c r="Z139" s="13"/>
    </row>
    <row r="140" spans="1:26" ht="12.75" customHeight="1" x14ac:dyDescent="0.2">
      <c r="A140" s="13"/>
      <c r="B140" s="323"/>
      <c r="C140" s="323"/>
      <c r="D140" s="323"/>
      <c r="E140" s="323"/>
      <c r="F140" s="323"/>
      <c r="G140" s="323"/>
      <c r="H140" s="323"/>
      <c r="I140" s="323"/>
      <c r="J140" s="323"/>
      <c r="K140" s="323"/>
      <c r="L140" s="323"/>
      <c r="M140" s="323"/>
      <c r="N140" s="323"/>
      <c r="O140" s="38"/>
      <c r="P140" s="13"/>
      <c r="Q140" s="13"/>
      <c r="R140" s="13"/>
      <c r="S140" s="13"/>
      <c r="T140" s="13"/>
      <c r="U140" s="13"/>
      <c r="V140" s="13"/>
      <c r="W140" s="13"/>
      <c r="X140" s="13"/>
      <c r="Y140" s="13"/>
      <c r="Z140" s="13"/>
    </row>
    <row r="141" spans="1:26" ht="12.75" customHeight="1" x14ac:dyDescent="0.2">
      <c r="A141" s="13"/>
      <c r="B141" s="323"/>
      <c r="C141" s="323"/>
      <c r="D141" s="323"/>
      <c r="E141" s="323"/>
      <c r="F141" s="323"/>
      <c r="G141" s="323"/>
      <c r="H141" s="323"/>
      <c r="I141" s="323"/>
      <c r="J141" s="323"/>
      <c r="K141" s="323"/>
      <c r="L141" s="323"/>
      <c r="M141" s="323"/>
      <c r="N141" s="323"/>
      <c r="O141" s="38"/>
      <c r="P141" s="13"/>
      <c r="Q141" s="13"/>
      <c r="R141" s="13"/>
      <c r="S141" s="13"/>
      <c r="T141" s="13"/>
      <c r="U141" s="13"/>
      <c r="V141" s="13"/>
      <c r="W141" s="13"/>
      <c r="X141" s="13"/>
      <c r="Y141" s="13"/>
      <c r="Z141" s="13"/>
    </row>
    <row r="142" spans="1:26" ht="12.75" customHeight="1" x14ac:dyDescent="0.2">
      <c r="A142" s="13"/>
      <c r="B142" s="323"/>
      <c r="C142" s="323"/>
      <c r="D142" s="323"/>
      <c r="E142" s="323"/>
      <c r="F142" s="323"/>
      <c r="G142" s="323"/>
      <c r="H142" s="323"/>
      <c r="I142" s="323"/>
      <c r="J142" s="323"/>
      <c r="K142" s="323"/>
      <c r="L142" s="323"/>
      <c r="M142" s="323"/>
      <c r="N142" s="323"/>
      <c r="O142" s="38"/>
      <c r="P142" s="13"/>
      <c r="Q142" s="13"/>
      <c r="R142" s="13"/>
      <c r="S142" s="13"/>
      <c r="T142" s="13"/>
      <c r="U142" s="13"/>
      <c r="V142" s="13"/>
      <c r="W142" s="13"/>
      <c r="X142" s="13"/>
      <c r="Y142" s="13"/>
      <c r="Z142" s="13"/>
    </row>
    <row r="143" spans="1:26" ht="12.75" customHeight="1" x14ac:dyDescent="0.2">
      <c r="A143" s="13"/>
      <c r="B143" s="323"/>
      <c r="C143" s="323"/>
      <c r="D143" s="323"/>
      <c r="E143" s="323"/>
      <c r="F143" s="323"/>
      <c r="G143" s="323"/>
      <c r="H143" s="323"/>
      <c r="I143" s="323"/>
      <c r="J143" s="323"/>
      <c r="K143" s="323"/>
      <c r="L143" s="323"/>
      <c r="M143" s="323"/>
      <c r="N143" s="323"/>
      <c r="O143" s="38"/>
      <c r="P143" s="13"/>
      <c r="Q143" s="13"/>
      <c r="R143" s="13"/>
      <c r="S143" s="13"/>
      <c r="T143" s="13"/>
      <c r="U143" s="13"/>
      <c r="V143" s="13"/>
      <c r="W143" s="13"/>
      <c r="X143" s="13"/>
      <c r="Y143" s="13"/>
      <c r="Z143" s="13"/>
    </row>
    <row r="144" spans="1:26" ht="12.75" customHeight="1" x14ac:dyDescent="0.2">
      <c r="A144" s="13"/>
      <c r="B144" s="323"/>
      <c r="C144" s="323"/>
      <c r="D144" s="323"/>
      <c r="E144" s="323"/>
      <c r="F144" s="323"/>
      <c r="G144" s="323"/>
      <c r="H144" s="323"/>
      <c r="I144" s="323"/>
      <c r="J144" s="323"/>
      <c r="K144" s="323"/>
      <c r="L144" s="323"/>
      <c r="M144" s="323"/>
      <c r="N144" s="323"/>
      <c r="O144" s="38"/>
      <c r="P144" s="13"/>
      <c r="Q144" s="13"/>
      <c r="R144" s="13"/>
      <c r="S144" s="13"/>
      <c r="T144" s="13"/>
      <c r="U144" s="13"/>
      <c r="V144" s="13"/>
      <c r="W144" s="13"/>
      <c r="X144" s="13"/>
      <c r="Y144" s="13"/>
      <c r="Z144" s="13"/>
    </row>
    <row r="145" spans="1:26" ht="12.75" customHeight="1" x14ac:dyDescent="0.2">
      <c r="A145" s="13"/>
      <c r="B145" s="323"/>
      <c r="C145" s="323"/>
      <c r="D145" s="323"/>
      <c r="E145" s="323"/>
      <c r="F145" s="323"/>
      <c r="G145" s="323"/>
      <c r="H145" s="323"/>
      <c r="I145" s="323"/>
      <c r="J145" s="323"/>
      <c r="K145" s="323"/>
      <c r="L145" s="323"/>
      <c r="M145" s="323"/>
      <c r="N145" s="323"/>
      <c r="O145" s="38"/>
      <c r="P145" s="13"/>
      <c r="Q145" s="13"/>
      <c r="R145" s="13"/>
      <c r="S145" s="13"/>
      <c r="T145" s="13"/>
      <c r="U145" s="13"/>
      <c r="V145" s="13"/>
      <c r="W145" s="13"/>
      <c r="X145" s="13"/>
      <c r="Y145" s="13"/>
      <c r="Z145" s="13"/>
    </row>
    <row r="146" spans="1:26" ht="12.75" customHeight="1" x14ac:dyDescent="0.2">
      <c r="A146" s="13"/>
      <c r="B146" s="323"/>
      <c r="C146" s="323"/>
      <c r="D146" s="323"/>
      <c r="E146" s="323"/>
      <c r="F146" s="323"/>
      <c r="G146" s="323"/>
      <c r="H146" s="323"/>
      <c r="I146" s="323"/>
      <c r="J146" s="323"/>
      <c r="K146" s="323"/>
      <c r="L146" s="323"/>
      <c r="M146" s="323"/>
      <c r="N146" s="323"/>
      <c r="O146" s="38"/>
      <c r="P146" s="13"/>
      <c r="Q146" s="13"/>
      <c r="R146" s="13"/>
      <c r="S146" s="13"/>
      <c r="T146" s="13"/>
      <c r="U146" s="13"/>
      <c r="V146" s="13"/>
      <c r="W146" s="13"/>
      <c r="X146" s="13"/>
      <c r="Y146" s="13"/>
      <c r="Z146" s="13"/>
    </row>
    <row r="147" spans="1:26" ht="12.75" customHeight="1" x14ac:dyDescent="0.2">
      <c r="A147" s="13"/>
      <c r="B147" s="323"/>
      <c r="C147" s="323"/>
      <c r="D147" s="323"/>
      <c r="E147" s="323"/>
      <c r="F147" s="323"/>
      <c r="G147" s="323"/>
      <c r="H147" s="323"/>
      <c r="I147" s="323"/>
      <c r="J147" s="323"/>
      <c r="K147" s="323"/>
      <c r="L147" s="323"/>
      <c r="M147" s="323"/>
      <c r="N147" s="323"/>
      <c r="O147" s="38"/>
      <c r="P147" s="13"/>
      <c r="Q147" s="13"/>
      <c r="R147" s="13"/>
      <c r="S147" s="13"/>
      <c r="T147" s="13"/>
      <c r="U147" s="13"/>
      <c r="V147" s="13"/>
      <c r="W147" s="13"/>
      <c r="X147" s="13"/>
      <c r="Y147" s="13"/>
      <c r="Z147" s="13"/>
    </row>
    <row r="148" spans="1:26" ht="12.75" customHeight="1" x14ac:dyDescent="0.2">
      <c r="A148" s="13"/>
      <c r="B148" s="323"/>
      <c r="C148" s="323"/>
      <c r="D148" s="323"/>
      <c r="E148" s="323"/>
      <c r="F148" s="323"/>
      <c r="G148" s="323"/>
      <c r="H148" s="323"/>
      <c r="I148" s="323"/>
      <c r="J148" s="323"/>
      <c r="K148" s="323"/>
      <c r="L148" s="323"/>
      <c r="M148" s="323"/>
      <c r="N148" s="323"/>
      <c r="O148" s="38"/>
      <c r="P148" s="13"/>
      <c r="Q148" s="13"/>
      <c r="R148" s="13"/>
      <c r="S148" s="13"/>
      <c r="T148" s="13"/>
      <c r="U148" s="13"/>
      <c r="V148" s="13"/>
      <c r="W148" s="13"/>
      <c r="X148" s="13"/>
      <c r="Y148" s="13"/>
      <c r="Z148" s="13"/>
    </row>
    <row r="149" spans="1:26" ht="12.75" customHeight="1" x14ac:dyDescent="0.2">
      <c r="A149" s="13"/>
      <c r="B149" s="323"/>
      <c r="C149" s="323"/>
      <c r="D149" s="323"/>
      <c r="E149" s="323"/>
      <c r="F149" s="323"/>
      <c r="G149" s="323"/>
      <c r="H149" s="323"/>
      <c r="I149" s="323"/>
      <c r="J149" s="323"/>
      <c r="K149" s="323"/>
      <c r="L149" s="323"/>
      <c r="M149" s="323"/>
      <c r="N149" s="323"/>
      <c r="O149" s="38"/>
      <c r="P149" s="13"/>
      <c r="Q149" s="13"/>
      <c r="R149" s="13"/>
      <c r="S149" s="13"/>
      <c r="T149" s="13"/>
      <c r="U149" s="13"/>
      <c r="V149" s="13"/>
      <c r="W149" s="13"/>
      <c r="X149" s="13"/>
      <c r="Y149" s="13"/>
      <c r="Z149" s="13"/>
    </row>
    <row r="150" spans="1:26" ht="12.75" customHeight="1" x14ac:dyDescent="0.2">
      <c r="A150" s="13"/>
      <c r="B150" s="323"/>
      <c r="C150" s="323"/>
      <c r="D150" s="323"/>
      <c r="E150" s="323"/>
      <c r="F150" s="323"/>
      <c r="G150" s="323"/>
      <c r="H150" s="323"/>
      <c r="I150" s="323"/>
      <c r="J150" s="323"/>
      <c r="K150" s="323"/>
      <c r="L150" s="323"/>
      <c r="M150" s="323"/>
      <c r="N150" s="323"/>
      <c r="O150" s="38"/>
      <c r="P150" s="13"/>
      <c r="Q150" s="13"/>
      <c r="R150" s="13"/>
      <c r="S150" s="13"/>
      <c r="T150" s="13"/>
      <c r="U150" s="13"/>
      <c r="V150" s="13"/>
      <c r="W150" s="13"/>
      <c r="X150" s="13"/>
      <c r="Y150" s="13"/>
      <c r="Z150" s="13"/>
    </row>
    <row r="151" spans="1:26" ht="12.75" customHeight="1" x14ac:dyDescent="0.2">
      <c r="A151" s="13"/>
      <c r="B151" s="323"/>
      <c r="C151" s="323"/>
      <c r="D151" s="323"/>
      <c r="E151" s="323"/>
      <c r="F151" s="323"/>
      <c r="G151" s="323"/>
      <c r="H151" s="323"/>
      <c r="I151" s="323"/>
      <c r="J151" s="323"/>
      <c r="K151" s="323"/>
      <c r="L151" s="323"/>
      <c r="M151" s="323"/>
      <c r="N151" s="323"/>
      <c r="O151" s="38"/>
      <c r="P151" s="13"/>
      <c r="Q151" s="13"/>
      <c r="R151" s="13"/>
      <c r="S151" s="13"/>
      <c r="T151" s="13"/>
      <c r="U151" s="13"/>
      <c r="V151" s="13"/>
      <c r="W151" s="13"/>
      <c r="X151" s="13"/>
      <c r="Y151" s="13"/>
      <c r="Z151" s="13"/>
    </row>
    <row r="152" spans="1:26" ht="12.75" customHeight="1" x14ac:dyDescent="0.2">
      <c r="A152" s="13"/>
      <c r="B152" s="323"/>
      <c r="C152" s="323"/>
      <c r="D152" s="323"/>
      <c r="E152" s="323"/>
      <c r="F152" s="323"/>
      <c r="G152" s="323"/>
      <c r="H152" s="323"/>
      <c r="I152" s="323"/>
      <c r="J152" s="323"/>
      <c r="K152" s="323"/>
      <c r="L152" s="323"/>
      <c r="M152" s="323"/>
      <c r="N152" s="323"/>
      <c r="O152" s="38"/>
      <c r="P152" s="13"/>
      <c r="Q152" s="13"/>
      <c r="R152" s="13"/>
      <c r="S152" s="13"/>
      <c r="T152" s="13"/>
      <c r="U152" s="13"/>
      <c r="V152" s="13"/>
      <c r="W152" s="13"/>
      <c r="X152" s="13"/>
      <c r="Y152" s="13"/>
      <c r="Z152" s="13"/>
    </row>
    <row r="153" spans="1:26" ht="12.75" customHeight="1" x14ac:dyDescent="0.2">
      <c r="A153" s="13"/>
      <c r="B153" s="323"/>
      <c r="C153" s="323"/>
      <c r="D153" s="323"/>
      <c r="E153" s="323"/>
      <c r="F153" s="323"/>
      <c r="G153" s="323"/>
      <c r="H153" s="323"/>
      <c r="I153" s="323"/>
      <c r="J153" s="323"/>
      <c r="K153" s="323"/>
      <c r="L153" s="323"/>
      <c r="M153" s="323"/>
      <c r="N153" s="323"/>
      <c r="O153" s="38"/>
      <c r="P153" s="13"/>
      <c r="Q153" s="13"/>
      <c r="R153" s="13"/>
      <c r="S153" s="13"/>
      <c r="T153" s="13"/>
      <c r="U153" s="13"/>
      <c r="V153" s="13"/>
      <c r="W153" s="13"/>
      <c r="X153" s="13"/>
      <c r="Y153" s="13"/>
      <c r="Z153" s="13"/>
    </row>
    <row r="154" spans="1:26" ht="12.75" customHeight="1" x14ac:dyDescent="0.2">
      <c r="A154" s="13"/>
      <c r="B154" s="323"/>
      <c r="C154" s="323"/>
      <c r="D154" s="323"/>
      <c r="E154" s="323"/>
      <c r="F154" s="323"/>
      <c r="G154" s="323"/>
      <c r="H154" s="323"/>
      <c r="I154" s="323"/>
      <c r="J154" s="323"/>
      <c r="K154" s="323"/>
      <c r="L154" s="323"/>
      <c r="M154" s="323"/>
      <c r="N154" s="323"/>
      <c r="O154" s="38"/>
      <c r="P154" s="13"/>
      <c r="Q154" s="13"/>
      <c r="R154" s="13"/>
      <c r="S154" s="13"/>
      <c r="T154" s="13"/>
      <c r="U154" s="13"/>
      <c r="V154" s="13"/>
      <c r="W154" s="13"/>
      <c r="X154" s="13"/>
      <c r="Y154" s="13"/>
      <c r="Z154" s="13"/>
    </row>
    <row r="155" spans="1:26" ht="12.75" customHeight="1" x14ac:dyDescent="0.2">
      <c r="A155" s="13"/>
      <c r="B155" s="323"/>
      <c r="C155" s="323"/>
      <c r="D155" s="323"/>
      <c r="E155" s="323"/>
      <c r="F155" s="323"/>
      <c r="G155" s="323"/>
      <c r="H155" s="323"/>
      <c r="I155" s="323"/>
      <c r="J155" s="323"/>
      <c r="K155" s="323"/>
      <c r="L155" s="323"/>
      <c r="M155" s="323"/>
      <c r="N155" s="323"/>
      <c r="O155" s="38"/>
      <c r="P155" s="13"/>
      <c r="Q155" s="13"/>
      <c r="R155" s="13"/>
      <c r="S155" s="13"/>
      <c r="T155" s="13"/>
      <c r="U155" s="13"/>
      <c r="V155" s="13"/>
      <c r="W155" s="13"/>
      <c r="X155" s="13"/>
      <c r="Y155" s="13"/>
      <c r="Z155" s="13"/>
    </row>
    <row r="156" spans="1:26" ht="12.75" customHeight="1" x14ac:dyDescent="0.2">
      <c r="A156" s="13"/>
      <c r="B156" s="323"/>
      <c r="C156" s="323"/>
      <c r="D156" s="323"/>
      <c r="E156" s="323"/>
      <c r="F156" s="323"/>
      <c r="G156" s="323"/>
      <c r="H156" s="323"/>
      <c r="I156" s="323"/>
      <c r="J156" s="323"/>
      <c r="K156" s="323"/>
      <c r="L156" s="323"/>
      <c r="M156" s="323"/>
      <c r="N156" s="323"/>
      <c r="O156" s="38"/>
      <c r="P156" s="13"/>
      <c r="Q156" s="13"/>
      <c r="R156" s="13"/>
      <c r="S156" s="13"/>
      <c r="T156" s="13"/>
      <c r="U156" s="13"/>
      <c r="V156" s="13"/>
      <c r="W156" s="13"/>
      <c r="X156" s="13"/>
      <c r="Y156" s="13"/>
      <c r="Z156" s="13"/>
    </row>
    <row r="157" spans="1:26" ht="12.75" customHeight="1" x14ac:dyDescent="0.2">
      <c r="A157" s="13"/>
      <c r="B157" s="323"/>
      <c r="C157" s="323"/>
      <c r="D157" s="323"/>
      <c r="E157" s="323"/>
      <c r="F157" s="323"/>
      <c r="G157" s="323"/>
      <c r="H157" s="323"/>
      <c r="I157" s="323"/>
      <c r="J157" s="323"/>
      <c r="K157" s="323"/>
      <c r="L157" s="323"/>
      <c r="M157" s="323"/>
      <c r="N157" s="323"/>
      <c r="O157" s="38"/>
      <c r="P157" s="13"/>
      <c r="Q157" s="13"/>
      <c r="R157" s="13"/>
      <c r="S157" s="13"/>
      <c r="T157" s="13"/>
      <c r="U157" s="13"/>
      <c r="V157" s="13"/>
      <c r="W157" s="13"/>
      <c r="X157" s="13"/>
      <c r="Y157" s="13"/>
      <c r="Z157" s="13"/>
    </row>
    <row r="158" spans="1:26" ht="12.75" customHeight="1" x14ac:dyDescent="0.2">
      <c r="A158" s="13"/>
      <c r="B158" s="323"/>
      <c r="C158" s="323"/>
      <c r="D158" s="323"/>
      <c r="E158" s="323"/>
      <c r="F158" s="323"/>
      <c r="G158" s="323"/>
      <c r="H158" s="323"/>
      <c r="I158" s="323"/>
      <c r="J158" s="323"/>
      <c r="K158" s="323"/>
      <c r="L158" s="323"/>
      <c r="M158" s="323"/>
      <c r="N158" s="323"/>
      <c r="O158" s="38"/>
      <c r="P158" s="13"/>
      <c r="Q158" s="13"/>
      <c r="R158" s="13"/>
      <c r="S158" s="13"/>
      <c r="T158" s="13"/>
      <c r="U158" s="13"/>
      <c r="V158" s="13"/>
      <c r="W158" s="13"/>
      <c r="X158" s="13"/>
      <c r="Y158" s="13"/>
      <c r="Z158" s="13"/>
    </row>
    <row r="159" spans="1:26" ht="12.75" customHeight="1" x14ac:dyDescent="0.2">
      <c r="A159" s="13"/>
      <c r="B159" s="323"/>
      <c r="C159" s="323"/>
      <c r="D159" s="323"/>
      <c r="E159" s="323"/>
      <c r="F159" s="323"/>
      <c r="G159" s="323"/>
      <c r="H159" s="323"/>
      <c r="I159" s="323"/>
      <c r="J159" s="323"/>
      <c r="K159" s="323"/>
      <c r="L159" s="323"/>
      <c r="M159" s="323"/>
      <c r="N159" s="323"/>
      <c r="O159" s="38"/>
      <c r="P159" s="13"/>
      <c r="Q159" s="13"/>
      <c r="R159" s="13"/>
      <c r="S159" s="13"/>
      <c r="T159" s="13"/>
      <c r="U159" s="13"/>
      <c r="V159" s="13"/>
      <c r="W159" s="13"/>
      <c r="X159" s="13"/>
      <c r="Y159" s="13"/>
      <c r="Z159" s="13"/>
    </row>
    <row r="160" spans="1:26" ht="12.75" customHeight="1" x14ac:dyDescent="0.2">
      <c r="A160" s="13"/>
      <c r="B160" s="323"/>
      <c r="C160" s="323"/>
      <c r="D160" s="323"/>
      <c r="E160" s="323"/>
      <c r="F160" s="323"/>
      <c r="G160" s="323"/>
      <c r="H160" s="323"/>
      <c r="I160" s="323"/>
      <c r="J160" s="323"/>
      <c r="K160" s="323"/>
      <c r="L160" s="323"/>
      <c r="M160" s="323"/>
      <c r="N160" s="323"/>
      <c r="O160" s="38"/>
      <c r="P160" s="13"/>
      <c r="Q160" s="13"/>
      <c r="R160" s="13"/>
      <c r="S160" s="13"/>
      <c r="T160" s="13"/>
      <c r="U160" s="13"/>
      <c r="V160" s="13"/>
      <c r="W160" s="13"/>
      <c r="X160" s="13"/>
      <c r="Y160" s="13"/>
      <c r="Z160" s="13"/>
    </row>
    <row r="161" spans="1:26" ht="12.75" customHeight="1" x14ac:dyDescent="0.2">
      <c r="A161" s="13"/>
      <c r="B161" s="323"/>
      <c r="C161" s="323"/>
      <c r="D161" s="323"/>
      <c r="E161" s="323"/>
      <c r="F161" s="323"/>
      <c r="G161" s="323"/>
      <c r="H161" s="323"/>
      <c r="I161" s="323"/>
      <c r="J161" s="323"/>
      <c r="K161" s="323"/>
      <c r="L161" s="323"/>
      <c r="M161" s="323"/>
      <c r="N161" s="323"/>
      <c r="O161" s="38"/>
      <c r="P161" s="13"/>
      <c r="Q161" s="13"/>
      <c r="R161" s="13"/>
      <c r="S161" s="13"/>
      <c r="T161" s="13"/>
      <c r="U161" s="13"/>
      <c r="V161" s="13"/>
      <c r="W161" s="13"/>
      <c r="X161" s="13"/>
      <c r="Y161" s="13"/>
      <c r="Z161" s="13"/>
    </row>
    <row r="162" spans="1:26" ht="12.75" customHeight="1" x14ac:dyDescent="0.2">
      <c r="A162" s="13"/>
      <c r="B162" s="323"/>
      <c r="C162" s="323"/>
      <c r="D162" s="323"/>
      <c r="E162" s="323"/>
      <c r="F162" s="323"/>
      <c r="G162" s="323"/>
      <c r="H162" s="323"/>
      <c r="I162" s="323"/>
      <c r="J162" s="323"/>
      <c r="K162" s="323"/>
      <c r="L162" s="323"/>
      <c r="M162" s="323"/>
      <c r="N162" s="323"/>
      <c r="O162" s="38"/>
      <c r="P162" s="13"/>
      <c r="Q162" s="13"/>
      <c r="R162" s="13"/>
      <c r="S162" s="13"/>
      <c r="T162" s="13"/>
      <c r="U162" s="13"/>
      <c r="V162" s="13"/>
      <c r="W162" s="13"/>
      <c r="X162" s="13"/>
      <c r="Y162" s="13"/>
      <c r="Z162" s="13"/>
    </row>
    <row r="163" spans="1:26" ht="12.75" customHeight="1" x14ac:dyDescent="0.2">
      <c r="A163" s="13"/>
      <c r="B163" s="323"/>
      <c r="C163" s="323"/>
      <c r="D163" s="323"/>
      <c r="E163" s="323"/>
      <c r="F163" s="323"/>
      <c r="G163" s="323"/>
      <c r="H163" s="323"/>
      <c r="I163" s="323"/>
      <c r="J163" s="323"/>
      <c r="K163" s="323"/>
      <c r="L163" s="323"/>
      <c r="M163" s="323"/>
      <c r="N163" s="323"/>
      <c r="O163" s="38"/>
      <c r="P163" s="13"/>
      <c r="Q163" s="13"/>
      <c r="R163" s="13"/>
      <c r="S163" s="13"/>
      <c r="T163" s="13"/>
      <c r="U163" s="13"/>
      <c r="V163" s="13"/>
      <c r="W163" s="13"/>
      <c r="X163" s="13"/>
      <c r="Y163" s="13"/>
      <c r="Z163" s="13"/>
    </row>
    <row r="164" spans="1:26" ht="12.75" customHeight="1" x14ac:dyDescent="0.2">
      <c r="A164" s="13"/>
      <c r="B164" s="323"/>
      <c r="C164" s="323"/>
      <c r="D164" s="323"/>
      <c r="E164" s="323"/>
      <c r="F164" s="323"/>
      <c r="G164" s="323"/>
      <c r="H164" s="323"/>
      <c r="I164" s="323"/>
      <c r="J164" s="323"/>
      <c r="K164" s="323"/>
      <c r="L164" s="323"/>
      <c r="M164" s="323"/>
      <c r="N164" s="323"/>
      <c r="O164" s="38"/>
      <c r="P164" s="13"/>
      <c r="Q164" s="13"/>
      <c r="R164" s="13"/>
      <c r="S164" s="13"/>
      <c r="T164" s="13"/>
      <c r="U164" s="13"/>
      <c r="V164" s="13"/>
      <c r="W164" s="13"/>
      <c r="X164" s="13"/>
      <c r="Y164" s="13"/>
      <c r="Z164" s="13"/>
    </row>
    <row r="165" spans="1:26" ht="12.75" customHeight="1" x14ac:dyDescent="0.2">
      <c r="A165" s="13"/>
      <c r="B165" s="323"/>
      <c r="C165" s="323"/>
      <c r="D165" s="323"/>
      <c r="E165" s="323"/>
      <c r="F165" s="323"/>
      <c r="G165" s="323"/>
      <c r="H165" s="323"/>
      <c r="I165" s="323"/>
      <c r="J165" s="323"/>
      <c r="K165" s="323"/>
      <c r="L165" s="323"/>
      <c r="M165" s="323"/>
      <c r="N165" s="323"/>
      <c r="O165" s="38"/>
      <c r="P165" s="13"/>
      <c r="Q165" s="13"/>
      <c r="R165" s="13"/>
      <c r="S165" s="13"/>
      <c r="T165" s="13"/>
      <c r="U165" s="13"/>
      <c r="V165" s="13"/>
      <c r="W165" s="13"/>
      <c r="X165" s="13"/>
      <c r="Y165" s="13"/>
      <c r="Z165" s="13"/>
    </row>
    <row r="166" spans="1:26" ht="12.75" customHeight="1" x14ac:dyDescent="0.2">
      <c r="A166" s="13"/>
      <c r="B166" s="323"/>
      <c r="C166" s="323"/>
      <c r="D166" s="323"/>
      <c r="E166" s="323"/>
      <c r="F166" s="323"/>
      <c r="G166" s="323"/>
      <c r="H166" s="323"/>
      <c r="I166" s="323"/>
      <c r="J166" s="323"/>
      <c r="K166" s="323"/>
      <c r="L166" s="323"/>
      <c r="M166" s="323"/>
      <c r="N166" s="323"/>
      <c r="O166" s="38"/>
      <c r="P166" s="13"/>
      <c r="Q166" s="13"/>
      <c r="R166" s="13"/>
      <c r="S166" s="13"/>
      <c r="T166" s="13"/>
      <c r="U166" s="13"/>
      <c r="V166" s="13"/>
      <c r="W166" s="13"/>
      <c r="X166" s="13"/>
      <c r="Y166" s="13"/>
      <c r="Z166" s="13"/>
    </row>
    <row r="167" spans="1:26" ht="12.75" customHeight="1" x14ac:dyDescent="0.2">
      <c r="A167" s="13"/>
      <c r="B167" s="323"/>
      <c r="C167" s="323"/>
      <c r="D167" s="323"/>
      <c r="E167" s="323"/>
      <c r="F167" s="323"/>
      <c r="G167" s="323"/>
      <c r="H167" s="323"/>
      <c r="I167" s="323"/>
      <c r="J167" s="323"/>
      <c r="K167" s="323"/>
      <c r="L167" s="323"/>
      <c r="M167" s="323"/>
      <c r="N167" s="323"/>
      <c r="O167" s="38"/>
      <c r="P167" s="13"/>
      <c r="Q167" s="13"/>
      <c r="R167" s="13"/>
      <c r="S167" s="13"/>
      <c r="T167" s="13"/>
      <c r="U167" s="13"/>
      <c r="V167" s="13"/>
      <c r="W167" s="13"/>
      <c r="X167" s="13"/>
      <c r="Y167" s="13"/>
      <c r="Z167" s="13"/>
    </row>
    <row r="168" spans="1:26" ht="12.75" customHeight="1" x14ac:dyDescent="0.2">
      <c r="A168" s="13"/>
      <c r="B168" s="323"/>
      <c r="C168" s="323"/>
      <c r="D168" s="323"/>
      <c r="E168" s="323"/>
      <c r="F168" s="323"/>
      <c r="G168" s="323"/>
      <c r="H168" s="323"/>
      <c r="I168" s="323"/>
      <c r="J168" s="323"/>
      <c r="K168" s="323"/>
      <c r="L168" s="323"/>
      <c r="M168" s="323"/>
      <c r="N168" s="323"/>
      <c r="O168" s="38"/>
      <c r="P168" s="13"/>
      <c r="Q168" s="13"/>
      <c r="R168" s="13"/>
      <c r="S168" s="13"/>
      <c r="T168" s="13"/>
      <c r="U168" s="13"/>
      <c r="V168" s="13"/>
      <c r="W168" s="13"/>
      <c r="X168" s="13"/>
      <c r="Y168" s="13"/>
      <c r="Z168" s="13"/>
    </row>
    <row r="169" spans="1:26" ht="12.75" customHeight="1" x14ac:dyDescent="0.2">
      <c r="A169" s="13"/>
      <c r="B169" s="323"/>
      <c r="C169" s="323"/>
      <c r="D169" s="323"/>
      <c r="E169" s="323"/>
      <c r="F169" s="323"/>
      <c r="G169" s="323"/>
      <c r="H169" s="323"/>
      <c r="I169" s="323"/>
      <c r="J169" s="323"/>
      <c r="K169" s="323"/>
      <c r="L169" s="323"/>
      <c r="M169" s="323"/>
      <c r="N169" s="323"/>
      <c r="O169" s="38"/>
      <c r="P169" s="13"/>
      <c r="Q169" s="13"/>
      <c r="R169" s="13"/>
      <c r="S169" s="13"/>
      <c r="T169" s="13"/>
      <c r="U169" s="13"/>
      <c r="V169" s="13"/>
      <c r="W169" s="13"/>
      <c r="X169" s="13"/>
      <c r="Y169" s="13"/>
      <c r="Z169" s="13"/>
    </row>
    <row r="170" spans="1:26" ht="12.75" customHeight="1" x14ac:dyDescent="0.2">
      <c r="A170" s="13"/>
      <c r="B170" s="323"/>
      <c r="C170" s="323"/>
      <c r="D170" s="323"/>
      <c r="E170" s="323"/>
      <c r="F170" s="323"/>
      <c r="G170" s="323"/>
      <c r="H170" s="323"/>
      <c r="I170" s="323"/>
      <c r="J170" s="323"/>
      <c r="K170" s="323"/>
      <c r="L170" s="323"/>
      <c r="M170" s="323"/>
      <c r="N170" s="323"/>
      <c r="O170" s="38"/>
      <c r="P170" s="13"/>
      <c r="Q170" s="13"/>
      <c r="R170" s="13"/>
      <c r="S170" s="13"/>
      <c r="T170" s="13"/>
      <c r="U170" s="13"/>
      <c r="V170" s="13"/>
      <c r="W170" s="13"/>
      <c r="X170" s="13"/>
      <c r="Y170" s="13"/>
      <c r="Z170" s="13"/>
    </row>
    <row r="171" spans="1:26" ht="12.75" customHeight="1" x14ac:dyDescent="0.2">
      <c r="A171" s="13"/>
      <c r="B171" s="323"/>
      <c r="C171" s="323"/>
      <c r="D171" s="323"/>
      <c r="E171" s="323"/>
      <c r="F171" s="323"/>
      <c r="G171" s="323"/>
      <c r="H171" s="323"/>
      <c r="I171" s="323"/>
      <c r="J171" s="323"/>
      <c r="K171" s="323"/>
      <c r="L171" s="323"/>
      <c r="M171" s="323"/>
      <c r="N171" s="323"/>
      <c r="O171" s="38"/>
      <c r="P171" s="13"/>
      <c r="Q171" s="13"/>
      <c r="R171" s="13"/>
      <c r="S171" s="13"/>
      <c r="T171" s="13"/>
      <c r="U171" s="13"/>
      <c r="V171" s="13"/>
      <c r="W171" s="13"/>
      <c r="X171" s="13"/>
      <c r="Y171" s="13"/>
      <c r="Z171" s="13"/>
    </row>
    <row r="172" spans="1:26" ht="12.75" customHeight="1" x14ac:dyDescent="0.2">
      <c r="A172" s="13"/>
      <c r="B172" s="323"/>
      <c r="C172" s="323"/>
      <c r="D172" s="323"/>
      <c r="E172" s="323"/>
      <c r="F172" s="323"/>
      <c r="G172" s="323"/>
      <c r="H172" s="323"/>
      <c r="I172" s="323"/>
      <c r="J172" s="323"/>
      <c r="K172" s="323"/>
      <c r="L172" s="323"/>
      <c r="M172" s="323"/>
      <c r="N172" s="323"/>
      <c r="O172" s="38"/>
      <c r="P172" s="13"/>
      <c r="Q172" s="13"/>
      <c r="R172" s="13"/>
      <c r="S172" s="13"/>
      <c r="T172" s="13"/>
      <c r="U172" s="13"/>
      <c r="V172" s="13"/>
      <c r="W172" s="13"/>
      <c r="X172" s="13"/>
      <c r="Y172" s="13"/>
      <c r="Z172" s="13"/>
    </row>
    <row r="173" spans="1:26" ht="12.75" customHeight="1" x14ac:dyDescent="0.2">
      <c r="A173" s="13"/>
      <c r="B173" s="323"/>
      <c r="C173" s="323"/>
      <c r="D173" s="323"/>
      <c r="E173" s="323"/>
      <c r="F173" s="323"/>
      <c r="G173" s="323"/>
      <c r="H173" s="323"/>
      <c r="I173" s="323"/>
      <c r="J173" s="323"/>
      <c r="K173" s="323"/>
      <c r="L173" s="323"/>
      <c r="M173" s="323"/>
      <c r="N173" s="323"/>
      <c r="O173" s="38"/>
      <c r="P173" s="13"/>
      <c r="Q173" s="13"/>
      <c r="R173" s="13"/>
      <c r="S173" s="13"/>
      <c r="T173" s="13"/>
      <c r="U173" s="13"/>
      <c r="V173" s="13"/>
      <c r="W173" s="13"/>
      <c r="X173" s="13"/>
      <c r="Y173" s="13"/>
      <c r="Z173" s="13"/>
    </row>
    <row r="174" spans="1:26" ht="12.75" customHeight="1" x14ac:dyDescent="0.2">
      <c r="A174" s="13"/>
      <c r="B174" s="323"/>
      <c r="C174" s="323"/>
      <c r="D174" s="323"/>
      <c r="E174" s="323"/>
      <c r="F174" s="323"/>
      <c r="G174" s="323"/>
      <c r="H174" s="323"/>
      <c r="I174" s="323"/>
      <c r="J174" s="323"/>
      <c r="K174" s="323"/>
      <c r="L174" s="323"/>
      <c r="M174" s="323"/>
      <c r="N174" s="323"/>
      <c r="O174" s="38"/>
      <c r="P174" s="13"/>
      <c r="Q174" s="13"/>
      <c r="R174" s="13"/>
      <c r="S174" s="13"/>
      <c r="T174" s="13"/>
      <c r="U174" s="13"/>
      <c r="V174" s="13"/>
      <c r="W174" s="13"/>
      <c r="X174" s="13"/>
      <c r="Y174" s="13"/>
      <c r="Z174" s="13"/>
    </row>
    <row r="175" spans="1:26" ht="12.75" customHeight="1" x14ac:dyDescent="0.2">
      <c r="A175" s="13"/>
      <c r="B175" s="323"/>
      <c r="C175" s="323"/>
      <c r="D175" s="323"/>
      <c r="E175" s="323"/>
      <c r="F175" s="323"/>
      <c r="G175" s="323"/>
      <c r="H175" s="323"/>
      <c r="I175" s="323"/>
      <c r="J175" s="323"/>
      <c r="K175" s="323"/>
      <c r="L175" s="323"/>
      <c r="M175" s="323"/>
      <c r="N175" s="323"/>
      <c r="O175" s="38"/>
      <c r="P175" s="13"/>
      <c r="Q175" s="13"/>
      <c r="R175" s="13"/>
      <c r="S175" s="13"/>
      <c r="T175" s="13"/>
      <c r="U175" s="13"/>
      <c r="V175" s="13"/>
      <c r="W175" s="13"/>
      <c r="X175" s="13"/>
      <c r="Y175" s="13"/>
      <c r="Z175" s="13"/>
    </row>
    <row r="176" spans="1:26" ht="12.75" customHeight="1" x14ac:dyDescent="0.2">
      <c r="A176" s="13"/>
      <c r="B176" s="323"/>
      <c r="C176" s="323"/>
      <c r="D176" s="323"/>
      <c r="E176" s="323"/>
      <c r="F176" s="323"/>
      <c r="G176" s="323"/>
      <c r="H176" s="323"/>
      <c r="I176" s="323"/>
      <c r="J176" s="323"/>
      <c r="K176" s="323"/>
      <c r="L176" s="323"/>
      <c r="M176" s="323"/>
      <c r="N176" s="323"/>
      <c r="O176" s="38"/>
      <c r="P176" s="13"/>
      <c r="Q176" s="13"/>
      <c r="R176" s="13"/>
      <c r="S176" s="13"/>
      <c r="T176" s="13"/>
      <c r="U176" s="13"/>
      <c r="V176" s="13"/>
      <c r="W176" s="13"/>
      <c r="X176" s="13"/>
      <c r="Y176" s="13"/>
      <c r="Z176" s="13"/>
    </row>
    <row r="177" spans="1:26" ht="12.75" customHeight="1" x14ac:dyDescent="0.2">
      <c r="A177" s="13"/>
      <c r="B177" s="323"/>
      <c r="C177" s="323"/>
      <c r="D177" s="323"/>
      <c r="E177" s="323"/>
      <c r="F177" s="323"/>
      <c r="G177" s="323"/>
      <c r="H177" s="323"/>
      <c r="I177" s="323"/>
      <c r="J177" s="323"/>
      <c r="K177" s="323"/>
      <c r="L177" s="323"/>
      <c r="M177" s="323"/>
      <c r="N177" s="323"/>
      <c r="O177" s="38"/>
      <c r="P177" s="13"/>
      <c r="Q177" s="13"/>
      <c r="R177" s="13"/>
      <c r="S177" s="13"/>
      <c r="T177" s="13"/>
      <c r="U177" s="13"/>
      <c r="V177" s="13"/>
      <c r="W177" s="13"/>
      <c r="X177" s="13"/>
      <c r="Y177" s="13"/>
      <c r="Z177" s="13"/>
    </row>
    <row r="178" spans="1:26" ht="12.75" customHeight="1" x14ac:dyDescent="0.2">
      <c r="A178" s="13"/>
      <c r="B178" s="323"/>
      <c r="C178" s="323"/>
      <c r="D178" s="323"/>
      <c r="E178" s="323"/>
      <c r="F178" s="323"/>
      <c r="G178" s="323"/>
      <c r="H178" s="323"/>
      <c r="I178" s="323"/>
      <c r="J178" s="323"/>
      <c r="K178" s="323"/>
      <c r="L178" s="323"/>
      <c r="M178" s="323"/>
      <c r="N178" s="323"/>
      <c r="O178" s="38"/>
      <c r="P178" s="13"/>
      <c r="Q178" s="13"/>
      <c r="R178" s="13"/>
      <c r="S178" s="13"/>
      <c r="T178" s="13"/>
      <c r="U178" s="13"/>
      <c r="V178" s="13"/>
      <c r="W178" s="13"/>
      <c r="X178" s="13"/>
      <c r="Y178" s="13"/>
      <c r="Z178" s="13"/>
    </row>
    <row r="179" spans="1:26" ht="12.75" customHeight="1" x14ac:dyDescent="0.2">
      <c r="A179" s="13"/>
      <c r="B179" s="323"/>
      <c r="C179" s="323"/>
      <c r="D179" s="323"/>
      <c r="E179" s="323"/>
      <c r="F179" s="323"/>
      <c r="G179" s="323"/>
      <c r="H179" s="323"/>
      <c r="I179" s="323"/>
      <c r="J179" s="323"/>
      <c r="K179" s="323"/>
      <c r="L179" s="323"/>
      <c r="M179" s="323"/>
      <c r="N179" s="323"/>
      <c r="O179" s="38"/>
      <c r="P179" s="13"/>
      <c r="Q179" s="13"/>
      <c r="R179" s="13"/>
      <c r="S179" s="13"/>
      <c r="T179" s="13"/>
      <c r="U179" s="13"/>
      <c r="V179" s="13"/>
      <c r="W179" s="13"/>
      <c r="X179" s="13"/>
      <c r="Y179" s="13"/>
      <c r="Z179" s="13"/>
    </row>
    <row r="180" spans="1:26" ht="12.75" customHeight="1" x14ac:dyDescent="0.2">
      <c r="A180" s="13"/>
      <c r="B180" s="323"/>
      <c r="C180" s="323"/>
      <c r="D180" s="323"/>
      <c r="E180" s="323"/>
      <c r="F180" s="323"/>
      <c r="G180" s="323"/>
      <c r="H180" s="323"/>
      <c r="I180" s="323"/>
      <c r="J180" s="323"/>
      <c r="K180" s="323"/>
      <c r="L180" s="323"/>
      <c r="M180" s="323"/>
      <c r="N180" s="323"/>
      <c r="O180" s="38"/>
      <c r="P180" s="13"/>
      <c r="Q180" s="13"/>
      <c r="R180" s="13"/>
      <c r="S180" s="13"/>
      <c r="T180" s="13"/>
      <c r="U180" s="13"/>
      <c r="V180" s="13"/>
      <c r="W180" s="13"/>
      <c r="X180" s="13"/>
      <c r="Y180" s="13"/>
      <c r="Z180" s="13"/>
    </row>
    <row r="181" spans="1:26" ht="12.75" customHeight="1" x14ac:dyDescent="0.2">
      <c r="A181" s="13"/>
      <c r="B181" s="323"/>
      <c r="C181" s="323"/>
      <c r="D181" s="323"/>
      <c r="E181" s="323"/>
      <c r="F181" s="323"/>
      <c r="G181" s="323"/>
      <c r="H181" s="323"/>
      <c r="I181" s="323"/>
      <c r="J181" s="323"/>
      <c r="K181" s="323"/>
      <c r="L181" s="323"/>
      <c r="M181" s="323"/>
      <c r="N181" s="323"/>
      <c r="O181" s="38"/>
      <c r="P181" s="13"/>
      <c r="Q181" s="13"/>
      <c r="R181" s="13"/>
      <c r="S181" s="13"/>
      <c r="T181" s="13"/>
      <c r="U181" s="13"/>
      <c r="V181" s="13"/>
      <c r="W181" s="13"/>
      <c r="X181" s="13"/>
      <c r="Y181" s="13"/>
      <c r="Z181" s="13"/>
    </row>
    <row r="182" spans="1:26" ht="12.75" customHeight="1" x14ac:dyDescent="0.2">
      <c r="A182" s="13"/>
      <c r="B182" s="323"/>
      <c r="C182" s="323"/>
      <c r="D182" s="323"/>
      <c r="E182" s="323"/>
      <c r="F182" s="323"/>
      <c r="G182" s="323"/>
      <c r="H182" s="323"/>
      <c r="I182" s="323"/>
      <c r="J182" s="323"/>
      <c r="K182" s="323"/>
      <c r="L182" s="323"/>
      <c r="M182" s="323"/>
      <c r="N182" s="323"/>
      <c r="O182" s="38"/>
      <c r="P182" s="13"/>
      <c r="Q182" s="13"/>
      <c r="R182" s="13"/>
      <c r="S182" s="13"/>
      <c r="T182" s="13"/>
      <c r="U182" s="13"/>
      <c r="V182" s="13"/>
      <c r="W182" s="13"/>
      <c r="X182" s="13"/>
      <c r="Y182" s="13"/>
      <c r="Z182" s="13"/>
    </row>
    <row r="183" spans="1:26" ht="12.75" customHeight="1" x14ac:dyDescent="0.2">
      <c r="A183" s="13"/>
      <c r="B183" s="323"/>
      <c r="C183" s="323"/>
      <c r="D183" s="323"/>
      <c r="E183" s="323"/>
      <c r="F183" s="323"/>
      <c r="G183" s="323"/>
      <c r="H183" s="323"/>
      <c r="I183" s="323"/>
      <c r="J183" s="323"/>
      <c r="K183" s="323"/>
      <c r="L183" s="323"/>
      <c r="M183" s="323"/>
      <c r="N183" s="323"/>
      <c r="O183" s="38"/>
      <c r="P183" s="13"/>
      <c r="Q183" s="13"/>
      <c r="R183" s="13"/>
      <c r="S183" s="13"/>
      <c r="T183" s="13"/>
      <c r="U183" s="13"/>
      <c r="V183" s="13"/>
      <c r="W183" s="13"/>
      <c r="X183" s="13"/>
      <c r="Y183" s="13"/>
      <c r="Z183" s="13"/>
    </row>
    <row r="184" spans="1:26" ht="12.75" customHeight="1" x14ac:dyDescent="0.2">
      <c r="A184" s="13"/>
      <c r="B184" s="323"/>
      <c r="C184" s="323"/>
      <c r="D184" s="323"/>
      <c r="E184" s="323"/>
      <c r="F184" s="323"/>
      <c r="G184" s="323"/>
      <c r="H184" s="323"/>
      <c r="I184" s="323"/>
      <c r="J184" s="323"/>
      <c r="K184" s="323"/>
      <c r="L184" s="323"/>
      <c r="M184" s="323"/>
      <c r="N184" s="323"/>
      <c r="O184" s="38"/>
      <c r="P184" s="13"/>
      <c r="Q184" s="13"/>
      <c r="R184" s="13"/>
      <c r="S184" s="13"/>
      <c r="T184" s="13"/>
      <c r="U184" s="13"/>
      <c r="V184" s="13"/>
      <c r="W184" s="13"/>
      <c r="X184" s="13"/>
      <c r="Y184" s="13"/>
      <c r="Z184" s="13"/>
    </row>
    <row r="185" spans="1:26" ht="12.75" customHeight="1" x14ac:dyDescent="0.2">
      <c r="A185" s="13"/>
      <c r="B185" s="323"/>
      <c r="C185" s="323"/>
      <c r="D185" s="323"/>
      <c r="E185" s="323"/>
      <c r="F185" s="323"/>
      <c r="G185" s="323"/>
      <c r="H185" s="323"/>
      <c r="I185" s="323"/>
      <c r="J185" s="323"/>
      <c r="K185" s="323"/>
      <c r="L185" s="323"/>
      <c r="M185" s="323"/>
      <c r="N185" s="323"/>
      <c r="O185" s="38"/>
      <c r="P185" s="13"/>
      <c r="Q185" s="13"/>
      <c r="R185" s="13"/>
      <c r="S185" s="13"/>
      <c r="T185" s="13"/>
      <c r="U185" s="13"/>
      <c r="V185" s="13"/>
      <c r="W185" s="13"/>
      <c r="X185" s="13"/>
      <c r="Y185" s="13"/>
      <c r="Z185" s="13"/>
    </row>
    <row r="186" spans="1:26" ht="12.75" customHeight="1" x14ac:dyDescent="0.2">
      <c r="A186" s="13"/>
      <c r="B186" s="323"/>
      <c r="C186" s="323"/>
      <c r="D186" s="323"/>
      <c r="E186" s="323"/>
      <c r="F186" s="323"/>
      <c r="G186" s="323"/>
      <c r="H186" s="323"/>
      <c r="I186" s="323"/>
      <c r="J186" s="323"/>
      <c r="K186" s="323"/>
      <c r="L186" s="323"/>
      <c r="M186" s="323"/>
      <c r="N186" s="323"/>
      <c r="O186" s="38"/>
      <c r="P186" s="13"/>
      <c r="Q186" s="13"/>
      <c r="R186" s="13"/>
      <c r="S186" s="13"/>
      <c r="T186" s="13"/>
      <c r="U186" s="13"/>
      <c r="V186" s="13"/>
      <c r="W186" s="13"/>
      <c r="X186" s="13"/>
      <c r="Y186" s="13"/>
      <c r="Z186" s="13"/>
    </row>
    <row r="187" spans="1:26" ht="12.75" customHeight="1" x14ac:dyDescent="0.2">
      <c r="A187" s="13"/>
      <c r="B187" s="323"/>
      <c r="C187" s="323"/>
      <c r="D187" s="323"/>
      <c r="E187" s="323"/>
      <c r="F187" s="323"/>
      <c r="G187" s="323"/>
      <c r="H187" s="323"/>
      <c r="I187" s="323"/>
      <c r="J187" s="323"/>
      <c r="K187" s="323"/>
      <c r="L187" s="323"/>
      <c r="M187" s="323"/>
      <c r="N187" s="323"/>
      <c r="O187" s="38"/>
      <c r="P187" s="13"/>
      <c r="Q187" s="13"/>
      <c r="R187" s="13"/>
      <c r="S187" s="13"/>
      <c r="T187" s="13"/>
      <c r="U187" s="13"/>
      <c r="V187" s="13"/>
      <c r="W187" s="13"/>
      <c r="X187" s="13"/>
      <c r="Y187" s="13"/>
      <c r="Z187" s="13"/>
    </row>
    <row r="188" spans="1:26" ht="12.75" customHeight="1" x14ac:dyDescent="0.2">
      <c r="A188" s="13"/>
      <c r="B188" s="323"/>
      <c r="C188" s="323"/>
      <c r="D188" s="323"/>
      <c r="E188" s="323"/>
      <c r="F188" s="323"/>
      <c r="G188" s="323"/>
      <c r="H188" s="323"/>
      <c r="I188" s="323"/>
      <c r="J188" s="323"/>
      <c r="K188" s="323"/>
      <c r="L188" s="323"/>
      <c r="M188" s="323"/>
      <c r="N188" s="323"/>
      <c r="O188" s="38"/>
      <c r="P188" s="13"/>
      <c r="Q188" s="13"/>
      <c r="R188" s="13"/>
      <c r="S188" s="13"/>
      <c r="T188" s="13"/>
      <c r="U188" s="13"/>
      <c r="V188" s="13"/>
      <c r="W188" s="13"/>
      <c r="X188" s="13"/>
      <c r="Y188" s="13"/>
      <c r="Z188" s="13"/>
    </row>
    <row r="189" spans="1:26" ht="12.75" customHeight="1" x14ac:dyDescent="0.2">
      <c r="A189" s="13"/>
      <c r="B189" s="323"/>
      <c r="C189" s="323"/>
      <c r="D189" s="323"/>
      <c r="E189" s="323"/>
      <c r="F189" s="323"/>
      <c r="G189" s="323"/>
      <c r="H189" s="323"/>
      <c r="I189" s="323"/>
      <c r="J189" s="323"/>
      <c r="K189" s="323"/>
      <c r="L189" s="323"/>
      <c r="M189" s="323"/>
      <c r="N189" s="323"/>
      <c r="O189" s="38"/>
      <c r="P189" s="13"/>
      <c r="Q189" s="13"/>
      <c r="R189" s="13"/>
      <c r="S189" s="13"/>
      <c r="T189" s="13"/>
      <c r="U189" s="13"/>
      <c r="V189" s="13"/>
      <c r="W189" s="13"/>
      <c r="X189" s="13"/>
      <c r="Y189" s="13"/>
      <c r="Z189" s="13"/>
    </row>
    <row r="190" spans="1:26" ht="12.75" customHeight="1" x14ac:dyDescent="0.2">
      <c r="A190" s="13"/>
      <c r="B190" s="323"/>
      <c r="C190" s="323"/>
      <c r="D190" s="323"/>
      <c r="E190" s="323"/>
      <c r="F190" s="323"/>
      <c r="G190" s="323"/>
      <c r="H190" s="323"/>
      <c r="I190" s="323"/>
      <c r="J190" s="323"/>
      <c r="K190" s="323"/>
      <c r="L190" s="323"/>
      <c r="M190" s="323"/>
      <c r="N190" s="323"/>
      <c r="O190" s="38"/>
      <c r="P190" s="13"/>
      <c r="Q190" s="13"/>
      <c r="R190" s="13"/>
      <c r="S190" s="13"/>
      <c r="T190" s="13"/>
      <c r="U190" s="13"/>
      <c r="V190" s="13"/>
      <c r="W190" s="13"/>
      <c r="X190" s="13"/>
      <c r="Y190" s="13"/>
      <c r="Z190" s="13"/>
    </row>
    <row r="191" spans="1:26" ht="12.75" customHeight="1" x14ac:dyDescent="0.2">
      <c r="A191" s="13"/>
      <c r="B191" s="323"/>
      <c r="C191" s="323"/>
      <c r="D191" s="323"/>
      <c r="E191" s="323"/>
      <c r="F191" s="323"/>
      <c r="G191" s="323"/>
      <c r="H191" s="323"/>
      <c r="I191" s="323"/>
      <c r="J191" s="323"/>
      <c r="K191" s="323"/>
      <c r="L191" s="323"/>
      <c r="M191" s="323"/>
      <c r="N191" s="323"/>
      <c r="O191" s="38"/>
      <c r="P191" s="13"/>
      <c r="Q191" s="13"/>
      <c r="R191" s="13"/>
      <c r="S191" s="13"/>
      <c r="T191" s="13"/>
      <c r="U191" s="13"/>
      <c r="V191" s="13"/>
      <c r="W191" s="13"/>
      <c r="X191" s="13"/>
      <c r="Y191" s="13"/>
      <c r="Z191" s="13"/>
    </row>
    <row r="192" spans="1:26" ht="12.75" customHeight="1" x14ac:dyDescent="0.2">
      <c r="A192" s="13"/>
      <c r="B192" s="323"/>
      <c r="C192" s="323"/>
      <c r="D192" s="323"/>
      <c r="E192" s="323"/>
      <c r="F192" s="323"/>
      <c r="G192" s="323"/>
      <c r="H192" s="323"/>
      <c r="I192" s="323"/>
      <c r="J192" s="323"/>
      <c r="K192" s="323"/>
      <c r="L192" s="323"/>
      <c r="M192" s="323"/>
      <c r="N192" s="323"/>
      <c r="O192" s="38"/>
      <c r="P192" s="13"/>
      <c r="Q192" s="13"/>
      <c r="R192" s="13"/>
      <c r="S192" s="13"/>
      <c r="T192" s="13"/>
      <c r="U192" s="13"/>
      <c r="V192" s="13"/>
      <c r="W192" s="13"/>
      <c r="X192" s="13"/>
      <c r="Y192" s="13"/>
      <c r="Z192" s="13"/>
    </row>
    <row r="193" spans="1:26" ht="12.75" customHeight="1" x14ac:dyDescent="0.2">
      <c r="A193" s="13"/>
      <c r="B193" s="323"/>
      <c r="C193" s="323"/>
      <c r="D193" s="323"/>
      <c r="E193" s="323"/>
      <c r="F193" s="323"/>
      <c r="G193" s="323"/>
      <c r="H193" s="323"/>
      <c r="I193" s="323"/>
      <c r="J193" s="323"/>
      <c r="K193" s="323"/>
      <c r="L193" s="323"/>
      <c r="M193" s="323"/>
      <c r="N193" s="323"/>
      <c r="O193" s="38"/>
      <c r="P193" s="13"/>
      <c r="Q193" s="13"/>
      <c r="R193" s="13"/>
      <c r="S193" s="13"/>
      <c r="T193" s="13"/>
      <c r="U193" s="13"/>
      <c r="V193" s="13"/>
      <c r="W193" s="13"/>
      <c r="X193" s="13"/>
      <c r="Y193" s="13"/>
      <c r="Z193" s="13"/>
    </row>
    <row r="194" spans="1:26" ht="12.75" customHeight="1" x14ac:dyDescent="0.2">
      <c r="A194" s="13"/>
      <c r="B194" s="323"/>
      <c r="C194" s="323"/>
      <c r="D194" s="323"/>
      <c r="E194" s="323"/>
      <c r="F194" s="323"/>
      <c r="G194" s="323"/>
      <c r="H194" s="323"/>
      <c r="I194" s="323"/>
      <c r="J194" s="323"/>
      <c r="K194" s="323"/>
      <c r="L194" s="323"/>
      <c r="M194" s="323"/>
      <c r="N194" s="323"/>
      <c r="O194" s="38"/>
      <c r="P194" s="13"/>
      <c r="Q194" s="13"/>
      <c r="R194" s="13"/>
      <c r="S194" s="13"/>
      <c r="T194" s="13"/>
      <c r="U194" s="13"/>
      <c r="V194" s="13"/>
      <c r="W194" s="13"/>
      <c r="X194" s="13"/>
      <c r="Y194" s="13"/>
      <c r="Z194" s="13"/>
    </row>
    <row r="195" spans="1:26" ht="12.75" customHeight="1" x14ac:dyDescent="0.2">
      <c r="A195" s="13"/>
      <c r="B195" s="323"/>
      <c r="C195" s="323"/>
      <c r="D195" s="323"/>
      <c r="E195" s="323"/>
      <c r="F195" s="323"/>
      <c r="G195" s="323"/>
      <c r="H195" s="323"/>
      <c r="I195" s="323"/>
      <c r="J195" s="323"/>
      <c r="K195" s="323"/>
      <c r="L195" s="323"/>
      <c r="M195" s="323"/>
      <c r="N195" s="323"/>
      <c r="O195" s="38"/>
      <c r="P195" s="13"/>
      <c r="Q195" s="13"/>
      <c r="R195" s="13"/>
      <c r="S195" s="13"/>
      <c r="T195" s="13"/>
      <c r="U195" s="13"/>
      <c r="V195" s="13"/>
      <c r="W195" s="13"/>
      <c r="X195" s="13"/>
      <c r="Y195" s="13"/>
      <c r="Z195" s="13"/>
    </row>
    <row r="196" spans="1:26" ht="12.75" customHeight="1" x14ac:dyDescent="0.2">
      <c r="A196" s="13"/>
      <c r="B196" s="323"/>
      <c r="C196" s="323"/>
      <c r="D196" s="323"/>
      <c r="E196" s="323"/>
      <c r="F196" s="323"/>
      <c r="G196" s="323"/>
      <c r="H196" s="323"/>
      <c r="I196" s="323"/>
      <c r="J196" s="323"/>
      <c r="K196" s="323"/>
      <c r="L196" s="323"/>
      <c r="M196" s="323"/>
      <c r="N196" s="323"/>
      <c r="O196" s="38"/>
      <c r="P196" s="13"/>
      <c r="Q196" s="13"/>
      <c r="R196" s="13"/>
      <c r="S196" s="13"/>
      <c r="T196" s="13"/>
      <c r="U196" s="13"/>
      <c r="V196" s="13"/>
      <c r="W196" s="13"/>
      <c r="X196" s="13"/>
      <c r="Y196" s="13"/>
      <c r="Z196" s="13"/>
    </row>
    <row r="197" spans="1:26" ht="12.75" customHeight="1" x14ac:dyDescent="0.2">
      <c r="A197" s="13"/>
      <c r="B197" s="323"/>
      <c r="C197" s="323"/>
      <c r="D197" s="323"/>
      <c r="E197" s="323"/>
      <c r="F197" s="323"/>
      <c r="G197" s="323"/>
      <c r="H197" s="323"/>
      <c r="I197" s="323"/>
      <c r="J197" s="323"/>
      <c r="K197" s="323"/>
      <c r="L197" s="323"/>
      <c r="M197" s="323"/>
      <c r="N197" s="323"/>
      <c r="O197" s="38"/>
      <c r="P197" s="13"/>
      <c r="Q197" s="13"/>
      <c r="R197" s="13"/>
      <c r="S197" s="13"/>
      <c r="T197" s="13"/>
      <c r="U197" s="13"/>
      <c r="V197" s="13"/>
      <c r="W197" s="13"/>
      <c r="X197" s="13"/>
      <c r="Y197" s="13"/>
      <c r="Z197" s="13"/>
    </row>
    <row r="198" spans="1:26" ht="12.75" customHeight="1" x14ac:dyDescent="0.2">
      <c r="A198" s="13"/>
      <c r="B198" s="323"/>
      <c r="C198" s="323"/>
      <c r="D198" s="323"/>
      <c r="E198" s="323"/>
      <c r="F198" s="323"/>
      <c r="G198" s="323"/>
      <c r="H198" s="323"/>
      <c r="I198" s="323"/>
      <c r="J198" s="323"/>
      <c r="K198" s="323"/>
      <c r="L198" s="323"/>
      <c r="M198" s="323"/>
      <c r="N198" s="323"/>
      <c r="O198" s="38"/>
      <c r="P198" s="13"/>
      <c r="Q198" s="13"/>
      <c r="R198" s="13"/>
      <c r="S198" s="13"/>
      <c r="T198" s="13"/>
      <c r="U198" s="13"/>
      <c r="V198" s="13"/>
      <c r="W198" s="13"/>
      <c r="X198" s="13"/>
      <c r="Y198" s="13"/>
      <c r="Z198" s="13"/>
    </row>
    <row r="199" spans="1:26" ht="12.75" customHeight="1" x14ac:dyDescent="0.2">
      <c r="A199" s="13"/>
      <c r="B199" s="323"/>
      <c r="C199" s="323"/>
      <c r="D199" s="323"/>
      <c r="E199" s="323"/>
      <c r="F199" s="323"/>
      <c r="G199" s="323"/>
      <c r="H199" s="323"/>
      <c r="I199" s="323"/>
      <c r="J199" s="323"/>
      <c r="K199" s="323"/>
      <c r="L199" s="323"/>
      <c r="M199" s="323"/>
      <c r="N199" s="323"/>
      <c r="O199" s="38"/>
      <c r="P199" s="13"/>
      <c r="Q199" s="13"/>
      <c r="R199" s="13"/>
      <c r="S199" s="13"/>
      <c r="T199" s="13"/>
      <c r="U199" s="13"/>
      <c r="V199" s="13"/>
      <c r="W199" s="13"/>
      <c r="X199" s="13"/>
      <c r="Y199" s="13"/>
      <c r="Z199" s="13"/>
    </row>
    <row r="200" spans="1:26" ht="12.75" customHeight="1" x14ac:dyDescent="0.2">
      <c r="A200" s="13"/>
      <c r="B200" s="323"/>
      <c r="C200" s="323"/>
      <c r="D200" s="323"/>
      <c r="E200" s="323"/>
      <c r="F200" s="323"/>
      <c r="G200" s="323"/>
      <c r="H200" s="323"/>
      <c r="I200" s="323"/>
      <c r="J200" s="323"/>
      <c r="K200" s="323"/>
      <c r="L200" s="323"/>
      <c r="M200" s="323"/>
      <c r="N200" s="323"/>
      <c r="O200" s="38"/>
      <c r="P200" s="13"/>
      <c r="Q200" s="13"/>
      <c r="R200" s="13"/>
      <c r="S200" s="13"/>
      <c r="T200" s="13"/>
      <c r="U200" s="13"/>
      <c r="V200" s="13"/>
      <c r="W200" s="13"/>
      <c r="X200" s="13"/>
      <c r="Y200" s="13"/>
      <c r="Z200" s="13"/>
    </row>
    <row r="201" spans="1:26" ht="12.75" customHeight="1" x14ac:dyDescent="0.2">
      <c r="A201" s="13"/>
      <c r="B201" s="323"/>
      <c r="C201" s="323"/>
      <c r="D201" s="323"/>
      <c r="E201" s="323"/>
      <c r="F201" s="323"/>
      <c r="G201" s="323"/>
      <c r="H201" s="323"/>
      <c r="I201" s="323"/>
      <c r="J201" s="323"/>
      <c r="K201" s="323"/>
      <c r="L201" s="323"/>
      <c r="M201" s="323"/>
      <c r="N201" s="323"/>
      <c r="O201" s="38"/>
      <c r="P201" s="13"/>
      <c r="Q201" s="13"/>
      <c r="R201" s="13"/>
      <c r="S201" s="13"/>
      <c r="T201" s="13"/>
      <c r="U201" s="13"/>
      <c r="V201" s="13"/>
      <c r="W201" s="13"/>
      <c r="X201" s="13"/>
      <c r="Y201" s="13"/>
      <c r="Z201" s="13"/>
    </row>
    <row r="202" spans="1:26" ht="12.75" customHeight="1" x14ac:dyDescent="0.2">
      <c r="A202" s="13"/>
      <c r="B202" s="323"/>
      <c r="C202" s="323"/>
      <c r="D202" s="323"/>
      <c r="E202" s="323"/>
      <c r="F202" s="323"/>
      <c r="G202" s="323"/>
      <c r="H202" s="323"/>
      <c r="I202" s="323"/>
      <c r="J202" s="323"/>
      <c r="K202" s="323"/>
      <c r="L202" s="323"/>
      <c r="M202" s="323"/>
      <c r="N202" s="323"/>
      <c r="O202" s="38"/>
      <c r="P202" s="13"/>
      <c r="Q202" s="13"/>
      <c r="R202" s="13"/>
      <c r="S202" s="13"/>
      <c r="T202" s="13"/>
      <c r="U202" s="13"/>
      <c r="V202" s="13"/>
      <c r="W202" s="13"/>
      <c r="X202" s="13"/>
      <c r="Y202" s="13"/>
      <c r="Z202" s="13"/>
    </row>
    <row r="203" spans="1:26" ht="12.75" customHeight="1" x14ac:dyDescent="0.2">
      <c r="A203" s="13"/>
      <c r="B203" s="323"/>
      <c r="C203" s="323"/>
      <c r="D203" s="323"/>
      <c r="E203" s="323"/>
      <c r="F203" s="323"/>
      <c r="G203" s="323"/>
      <c r="H203" s="323"/>
      <c r="I203" s="323"/>
      <c r="J203" s="323"/>
      <c r="K203" s="323"/>
      <c r="L203" s="323"/>
      <c r="M203" s="323"/>
      <c r="N203" s="323"/>
      <c r="O203" s="38"/>
      <c r="P203" s="13"/>
      <c r="Q203" s="13"/>
      <c r="R203" s="13"/>
      <c r="S203" s="13"/>
      <c r="T203" s="13"/>
      <c r="U203" s="13"/>
      <c r="V203" s="13"/>
      <c r="W203" s="13"/>
      <c r="X203" s="13"/>
      <c r="Y203" s="13"/>
      <c r="Z203" s="13"/>
    </row>
    <row r="204" spans="1:26" ht="12.75" customHeight="1" x14ac:dyDescent="0.2">
      <c r="A204" s="13"/>
      <c r="B204" s="323"/>
      <c r="C204" s="323"/>
      <c r="D204" s="323"/>
      <c r="E204" s="323"/>
      <c r="F204" s="323"/>
      <c r="G204" s="323"/>
      <c r="H204" s="323"/>
      <c r="I204" s="323"/>
      <c r="J204" s="323"/>
      <c r="K204" s="323"/>
      <c r="L204" s="323"/>
      <c r="M204" s="323"/>
      <c r="N204" s="323"/>
      <c r="O204" s="38"/>
      <c r="P204" s="13"/>
      <c r="Q204" s="13"/>
      <c r="R204" s="13"/>
      <c r="S204" s="13"/>
      <c r="T204" s="13"/>
      <c r="U204" s="13"/>
      <c r="V204" s="13"/>
      <c r="W204" s="13"/>
      <c r="X204" s="13"/>
      <c r="Y204" s="13"/>
      <c r="Z204" s="13"/>
    </row>
    <row r="205" spans="1:26" ht="12.75" customHeight="1" x14ac:dyDescent="0.2">
      <c r="A205" s="13"/>
      <c r="B205" s="323"/>
      <c r="C205" s="323"/>
      <c r="D205" s="323"/>
      <c r="E205" s="323"/>
      <c r="F205" s="323"/>
      <c r="G205" s="323"/>
      <c r="H205" s="323"/>
      <c r="I205" s="323"/>
      <c r="J205" s="323"/>
      <c r="K205" s="323"/>
      <c r="L205" s="323"/>
      <c r="M205" s="323"/>
      <c r="N205" s="323"/>
      <c r="O205" s="38"/>
      <c r="P205" s="13"/>
      <c r="Q205" s="13"/>
      <c r="R205" s="13"/>
      <c r="S205" s="13"/>
      <c r="T205" s="13"/>
      <c r="U205" s="13"/>
      <c r="V205" s="13"/>
      <c r="W205" s="13"/>
      <c r="X205" s="13"/>
      <c r="Y205" s="13"/>
      <c r="Z205" s="13"/>
    </row>
    <row r="206" spans="1:26" ht="12.75" customHeight="1" x14ac:dyDescent="0.2">
      <c r="A206" s="13"/>
      <c r="B206" s="323"/>
      <c r="C206" s="323"/>
      <c r="D206" s="323"/>
      <c r="E206" s="323"/>
      <c r="F206" s="323"/>
      <c r="G206" s="323"/>
      <c r="H206" s="323"/>
      <c r="I206" s="323"/>
      <c r="J206" s="323"/>
      <c r="K206" s="323"/>
      <c r="L206" s="323"/>
      <c r="M206" s="323"/>
      <c r="N206" s="323"/>
      <c r="O206" s="38"/>
      <c r="P206" s="13"/>
      <c r="Q206" s="13"/>
      <c r="R206" s="13"/>
      <c r="S206" s="13"/>
      <c r="T206" s="13"/>
      <c r="U206" s="13"/>
      <c r="V206" s="13"/>
      <c r="W206" s="13"/>
      <c r="X206" s="13"/>
      <c r="Y206" s="13"/>
      <c r="Z206" s="13"/>
    </row>
    <row r="207" spans="1:26" ht="12.75" customHeight="1" x14ac:dyDescent="0.2">
      <c r="A207" s="13"/>
      <c r="B207" s="323"/>
      <c r="C207" s="323"/>
      <c r="D207" s="323"/>
      <c r="E207" s="323"/>
      <c r="F207" s="323"/>
      <c r="G207" s="323"/>
      <c r="H207" s="323"/>
      <c r="I207" s="323"/>
      <c r="J207" s="323"/>
      <c r="K207" s="323"/>
      <c r="L207" s="323"/>
      <c r="M207" s="323"/>
      <c r="N207" s="323"/>
      <c r="O207" s="38"/>
      <c r="P207" s="13"/>
      <c r="Q207" s="13"/>
      <c r="R207" s="13"/>
      <c r="S207" s="13"/>
      <c r="T207" s="13"/>
      <c r="U207" s="13"/>
      <c r="V207" s="13"/>
      <c r="W207" s="13"/>
      <c r="X207" s="13"/>
      <c r="Y207" s="13"/>
      <c r="Z207" s="13"/>
    </row>
    <row r="208" spans="1:26" ht="12.75" customHeight="1" x14ac:dyDescent="0.2">
      <c r="A208" s="13"/>
      <c r="B208" s="323"/>
      <c r="C208" s="323"/>
      <c r="D208" s="323"/>
      <c r="E208" s="323"/>
      <c r="F208" s="323"/>
      <c r="G208" s="323"/>
      <c r="H208" s="323"/>
      <c r="I208" s="323"/>
      <c r="J208" s="323"/>
      <c r="K208" s="323"/>
      <c r="L208" s="323"/>
      <c r="M208" s="323"/>
      <c r="N208" s="323"/>
      <c r="O208" s="38"/>
      <c r="P208" s="13"/>
      <c r="Q208" s="13"/>
      <c r="R208" s="13"/>
      <c r="S208" s="13"/>
      <c r="T208" s="13"/>
      <c r="U208" s="13"/>
      <c r="V208" s="13"/>
      <c r="W208" s="13"/>
      <c r="X208" s="13"/>
      <c r="Y208" s="13"/>
      <c r="Z208" s="13"/>
    </row>
    <row r="209" spans="1:26" ht="12.75" customHeight="1" x14ac:dyDescent="0.2">
      <c r="A209" s="13"/>
      <c r="B209" s="323"/>
      <c r="C209" s="323"/>
      <c r="D209" s="323"/>
      <c r="E209" s="323"/>
      <c r="F209" s="323"/>
      <c r="G209" s="323"/>
      <c r="H209" s="323"/>
      <c r="I209" s="323"/>
      <c r="J209" s="323"/>
      <c r="K209" s="323"/>
      <c r="L209" s="323"/>
      <c r="M209" s="323"/>
      <c r="N209" s="323"/>
      <c r="O209" s="38"/>
      <c r="P209" s="13"/>
      <c r="Q209" s="13"/>
      <c r="R209" s="13"/>
      <c r="S209" s="13"/>
      <c r="T209" s="13"/>
      <c r="U209" s="13"/>
      <c r="V209" s="13"/>
      <c r="W209" s="13"/>
      <c r="X209" s="13"/>
      <c r="Y209" s="13"/>
      <c r="Z209" s="13"/>
    </row>
    <row r="210" spans="1:26" ht="12.75" customHeight="1" x14ac:dyDescent="0.2">
      <c r="A210" s="13"/>
      <c r="B210" s="323"/>
      <c r="C210" s="323"/>
      <c r="D210" s="323"/>
      <c r="E210" s="323"/>
      <c r="F210" s="323"/>
      <c r="G210" s="323"/>
      <c r="H210" s="323"/>
      <c r="I210" s="323"/>
      <c r="J210" s="323"/>
      <c r="K210" s="323"/>
      <c r="L210" s="323"/>
      <c r="M210" s="323"/>
      <c r="N210" s="323"/>
      <c r="O210" s="38"/>
      <c r="P210" s="13"/>
      <c r="Q210" s="13"/>
      <c r="R210" s="13"/>
      <c r="S210" s="13"/>
      <c r="T210" s="13"/>
      <c r="U210" s="13"/>
      <c r="V210" s="13"/>
      <c r="W210" s="13"/>
      <c r="X210" s="13"/>
      <c r="Y210" s="13"/>
      <c r="Z210" s="13"/>
    </row>
    <row r="211" spans="1:26" ht="12.75" customHeight="1" x14ac:dyDescent="0.2">
      <c r="A211" s="13"/>
      <c r="B211" s="323"/>
      <c r="C211" s="323"/>
      <c r="D211" s="323"/>
      <c r="E211" s="323"/>
      <c r="F211" s="323"/>
      <c r="G211" s="323"/>
      <c r="H211" s="323"/>
      <c r="I211" s="323"/>
      <c r="J211" s="323"/>
      <c r="K211" s="323"/>
      <c r="L211" s="323"/>
      <c r="M211" s="323"/>
      <c r="N211" s="323"/>
      <c r="O211" s="38"/>
      <c r="P211" s="13"/>
      <c r="Q211" s="13"/>
      <c r="R211" s="13"/>
      <c r="S211" s="13"/>
      <c r="T211" s="13"/>
      <c r="U211" s="13"/>
      <c r="V211" s="13"/>
      <c r="W211" s="13"/>
      <c r="X211" s="13"/>
      <c r="Y211" s="13"/>
      <c r="Z211" s="13"/>
    </row>
    <row r="212" spans="1:26" ht="12.75" customHeight="1" x14ac:dyDescent="0.2">
      <c r="A212" s="13"/>
      <c r="B212" s="323"/>
      <c r="C212" s="323"/>
      <c r="D212" s="323"/>
      <c r="E212" s="323"/>
      <c r="F212" s="323"/>
      <c r="G212" s="323"/>
      <c r="H212" s="323"/>
      <c r="I212" s="323"/>
      <c r="J212" s="323"/>
      <c r="K212" s="323"/>
      <c r="L212" s="323"/>
      <c r="M212" s="323"/>
      <c r="N212" s="323"/>
      <c r="O212" s="38"/>
      <c r="P212" s="13"/>
      <c r="Q212" s="13"/>
      <c r="R212" s="13"/>
      <c r="S212" s="13"/>
      <c r="T212" s="13"/>
      <c r="U212" s="13"/>
      <c r="V212" s="13"/>
      <c r="W212" s="13"/>
      <c r="X212" s="13"/>
      <c r="Y212" s="13"/>
      <c r="Z212" s="13"/>
    </row>
    <row r="213" spans="1:26" ht="12.75" customHeight="1" x14ac:dyDescent="0.2">
      <c r="A213" s="13"/>
      <c r="B213" s="323"/>
      <c r="C213" s="323"/>
      <c r="D213" s="323"/>
      <c r="E213" s="323"/>
      <c r="F213" s="323"/>
      <c r="G213" s="323"/>
      <c r="H213" s="323"/>
      <c r="I213" s="323"/>
      <c r="J213" s="323"/>
      <c r="K213" s="323"/>
      <c r="L213" s="323"/>
      <c r="M213" s="323"/>
      <c r="N213" s="323"/>
      <c r="O213" s="38"/>
      <c r="P213" s="13"/>
      <c r="Q213" s="13"/>
      <c r="R213" s="13"/>
      <c r="S213" s="13"/>
      <c r="T213" s="13"/>
      <c r="U213" s="13"/>
      <c r="V213" s="13"/>
      <c r="W213" s="13"/>
      <c r="X213" s="13"/>
      <c r="Y213" s="13"/>
      <c r="Z213" s="13"/>
    </row>
    <row r="214" spans="1:26" ht="12.75" customHeight="1" x14ac:dyDescent="0.2">
      <c r="A214" s="13"/>
      <c r="B214" s="323"/>
      <c r="C214" s="323"/>
      <c r="D214" s="323"/>
      <c r="E214" s="323"/>
      <c r="F214" s="323"/>
      <c r="G214" s="323"/>
      <c r="H214" s="323"/>
      <c r="I214" s="323"/>
      <c r="J214" s="323"/>
      <c r="K214" s="323"/>
      <c r="L214" s="323"/>
      <c r="M214" s="323"/>
      <c r="N214" s="323"/>
      <c r="O214" s="38"/>
      <c r="P214" s="13"/>
      <c r="Q214" s="13"/>
      <c r="R214" s="13"/>
      <c r="S214" s="13"/>
      <c r="T214" s="13"/>
      <c r="U214" s="13"/>
      <c r="V214" s="13"/>
      <c r="W214" s="13"/>
      <c r="X214" s="13"/>
      <c r="Y214" s="13"/>
      <c r="Z214" s="13"/>
    </row>
    <row r="215" spans="1:26" ht="12.75" customHeight="1" x14ac:dyDescent="0.2">
      <c r="A215" s="13"/>
      <c r="B215" s="323"/>
      <c r="C215" s="323"/>
      <c r="D215" s="323"/>
      <c r="E215" s="323"/>
      <c r="F215" s="323"/>
      <c r="G215" s="323"/>
      <c r="H215" s="323"/>
      <c r="I215" s="323"/>
      <c r="J215" s="323"/>
      <c r="K215" s="323"/>
      <c r="L215" s="323"/>
      <c r="M215" s="323"/>
      <c r="N215" s="323"/>
      <c r="O215" s="38"/>
      <c r="P215" s="13"/>
      <c r="Q215" s="13"/>
      <c r="R215" s="13"/>
      <c r="S215" s="13"/>
      <c r="T215" s="13"/>
      <c r="U215" s="13"/>
      <c r="V215" s="13"/>
      <c r="W215" s="13"/>
      <c r="X215" s="13"/>
      <c r="Y215" s="13"/>
      <c r="Z215" s="13"/>
    </row>
    <row r="216" spans="1:26" ht="12.75" customHeight="1" x14ac:dyDescent="0.2">
      <c r="A216" s="13"/>
      <c r="B216" s="323"/>
      <c r="C216" s="323"/>
      <c r="D216" s="323"/>
      <c r="E216" s="323"/>
      <c r="F216" s="323"/>
      <c r="G216" s="323"/>
      <c r="H216" s="323"/>
      <c r="I216" s="323"/>
      <c r="J216" s="323"/>
      <c r="K216" s="323"/>
      <c r="L216" s="323"/>
      <c r="M216" s="323"/>
      <c r="N216" s="323"/>
      <c r="O216" s="38"/>
      <c r="P216" s="13"/>
      <c r="Q216" s="13"/>
      <c r="R216" s="13"/>
      <c r="S216" s="13"/>
      <c r="T216" s="13"/>
      <c r="U216" s="13"/>
      <c r="V216" s="13"/>
      <c r="W216" s="13"/>
      <c r="X216" s="13"/>
      <c r="Y216" s="13"/>
      <c r="Z216" s="13"/>
    </row>
    <row r="217" spans="1:26" ht="12.75" customHeight="1" x14ac:dyDescent="0.2">
      <c r="A217" s="13"/>
      <c r="B217" s="323"/>
      <c r="C217" s="323"/>
      <c r="D217" s="323"/>
      <c r="E217" s="323"/>
      <c r="F217" s="323"/>
      <c r="G217" s="323"/>
      <c r="H217" s="323"/>
      <c r="I217" s="323"/>
      <c r="J217" s="323"/>
      <c r="K217" s="323"/>
      <c r="L217" s="323"/>
      <c r="M217" s="323"/>
      <c r="N217" s="323"/>
      <c r="O217" s="38"/>
      <c r="P217" s="13"/>
      <c r="Q217" s="13"/>
      <c r="R217" s="13"/>
      <c r="S217" s="13"/>
      <c r="T217" s="13"/>
      <c r="U217" s="13"/>
      <c r="V217" s="13"/>
      <c r="W217" s="13"/>
      <c r="X217" s="13"/>
      <c r="Y217" s="13"/>
      <c r="Z217" s="13"/>
    </row>
    <row r="218" spans="1:26" ht="12.75" customHeight="1" x14ac:dyDescent="0.2">
      <c r="A218" s="13"/>
      <c r="B218" s="323"/>
      <c r="C218" s="323"/>
      <c r="D218" s="323"/>
      <c r="E218" s="323"/>
      <c r="F218" s="323"/>
      <c r="G218" s="323"/>
      <c r="H218" s="323"/>
      <c r="I218" s="323"/>
      <c r="J218" s="323"/>
      <c r="K218" s="323"/>
      <c r="L218" s="323"/>
      <c r="M218" s="323"/>
      <c r="N218" s="323"/>
      <c r="O218" s="38"/>
      <c r="P218" s="13"/>
      <c r="Q218" s="13"/>
      <c r="R218" s="13"/>
      <c r="S218" s="13"/>
      <c r="T218" s="13"/>
      <c r="U218" s="13"/>
      <c r="V218" s="13"/>
      <c r="W218" s="13"/>
      <c r="X218" s="13"/>
      <c r="Y218" s="13"/>
      <c r="Z218" s="13"/>
    </row>
    <row r="219" spans="1:26" ht="12.75" customHeight="1" x14ac:dyDescent="0.2">
      <c r="A219" s="13"/>
      <c r="B219" s="323"/>
      <c r="C219" s="323"/>
      <c r="D219" s="323"/>
      <c r="E219" s="323"/>
      <c r="F219" s="323"/>
      <c r="G219" s="323"/>
      <c r="H219" s="323"/>
      <c r="I219" s="323"/>
      <c r="J219" s="323"/>
      <c r="K219" s="323"/>
      <c r="L219" s="323"/>
      <c r="M219" s="323"/>
      <c r="N219" s="323"/>
      <c r="O219" s="38"/>
      <c r="P219" s="13"/>
      <c r="Q219" s="13"/>
      <c r="R219" s="13"/>
      <c r="S219" s="13"/>
      <c r="T219" s="13"/>
      <c r="U219" s="13"/>
      <c r="V219" s="13"/>
      <c r="W219" s="13"/>
      <c r="X219" s="13"/>
      <c r="Y219" s="13"/>
      <c r="Z219" s="13"/>
    </row>
    <row r="220" spans="1:26" ht="12.75" customHeight="1" x14ac:dyDescent="0.2">
      <c r="A220" s="13"/>
      <c r="B220" s="323"/>
      <c r="C220" s="323"/>
      <c r="D220" s="323"/>
      <c r="E220" s="323"/>
      <c r="F220" s="323"/>
      <c r="G220" s="323"/>
      <c r="H220" s="323"/>
      <c r="I220" s="323"/>
      <c r="J220" s="323"/>
      <c r="K220" s="323"/>
      <c r="L220" s="323"/>
      <c r="M220" s="323"/>
      <c r="N220" s="323"/>
      <c r="O220" s="38"/>
      <c r="P220" s="13"/>
      <c r="Q220" s="13"/>
      <c r="R220" s="13"/>
      <c r="S220" s="13"/>
      <c r="T220" s="13"/>
      <c r="U220" s="13"/>
      <c r="V220" s="13"/>
      <c r="W220" s="13"/>
      <c r="X220" s="13"/>
      <c r="Y220" s="13"/>
      <c r="Z220" s="13"/>
    </row>
    <row r="221" spans="1:26" ht="12.75" customHeight="1" x14ac:dyDescent="0.2">
      <c r="A221" s="13"/>
      <c r="B221" s="323"/>
      <c r="C221" s="323"/>
      <c r="D221" s="323"/>
      <c r="E221" s="323"/>
      <c r="F221" s="323"/>
      <c r="G221" s="323"/>
      <c r="H221" s="323"/>
      <c r="I221" s="323"/>
      <c r="J221" s="323"/>
      <c r="K221" s="323"/>
      <c r="L221" s="323"/>
      <c r="M221" s="323"/>
      <c r="N221" s="323"/>
      <c r="O221" s="38"/>
      <c r="P221" s="13"/>
      <c r="Q221" s="13"/>
      <c r="R221" s="13"/>
      <c r="S221" s="13"/>
      <c r="T221" s="13"/>
      <c r="U221" s="13"/>
      <c r="V221" s="13"/>
      <c r="W221" s="13"/>
      <c r="X221" s="13"/>
      <c r="Y221" s="13"/>
      <c r="Z221" s="13"/>
    </row>
    <row r="222" spans="1:26" ht="12.75" customHeight="1" x14ac:dyDescent="0.2">
      <c r="A222" s="13"/>
      <c r="B222" s="323"/>
      <c r="C222" s="323"/>
      <c r="D222" s="323"/>
      <c r="E222" s="323"/>
      <c r="F222" s="323"/>
      <c r="G222" s="323"/>
      <c r="H222" s="323"/>
      <c r="I222" s="323"/>
      <c r="J222" s="323"/>
      <c r="K222" s="323"/>
      <c r="L222" s="323"/>
      <c r="M222" s="323"/>
      <c r="N222" s="323"/>
      <c r="O222" s="38"/>
      <c r="P222" s="13"/>
      <c r="Q222" s="13"/>
      <c r="R222" s="13"/>
      <c r="S222" s="13"/>
      <c r="T222" s="13"/>
      <c r="U222" s="13"/>
      <c r="V222" s="13"/>
      <c r="W222" s="13"/>
      <c r="X222" s="13"/>
      <c r="Y222" s="13"/>
      <c r="Z222" s="13"/>
    </row>
    <row r="223" spans="1:26" ht="12.75" customHeight="1" x14ac:dyDescent="0.2">
      <c r="A223" s="13"/>
      <c r="B223" s="323"/>
      <c r="C223" s="323"/>
      <c r="D223" s="323"/>
      <c r="E223" s="323"/>
      <c r="F223" s="323"/>
      <c r="G223" s="323"/>
      <c r="H223" s="323"/>
      <c r="I223" s="323"/>
      <c r="J223" s="323"/>
      <c r="K223" s="323"/>
      <c r="L223" s="323"/>
      <c r="M223" s="323"/>
      <c r="N223" s="323"/>
      <c r="O223" s="38"/>
      <c r="P223" s="13"/>
      <c r="Q223" s="13"/>
      <c r="R223" s="13"/>
      <c r="S223" s="13"/>
      <c r="T223" s="13"/>
      <c r="U223" s="13"/>
      <c r="V223" s="13"/>
      <c r="W223" s="13"/>
      <c r="X223" s="13"/>
      <c r="Y223" s="13"/>
      <c r="Z223" s="13"/>
    </row>
    <row r="224" spans="1:26" ht="12.75" customHeight="1" x14ac:dyDescent="0.2">
      <c r="A224" s="13"/>
      <c r="B224" s="323"/>
      <c r="C224" s="323"/>
      <c r="D224" s="323"/>
      <c r="E224" s="323"/>
      <c r="F224" s="323"/>
      <c r="G224" s="323"/>
      <c r="H224" s="323"/>
      <c r="I224" s="323"/>
      <c r="J224" s="323"/>
      <c r="K224" s="323"/>
      <c r="L224" s="323"/>
      <c r="M224" s="323"/>
      <c r="N224" s="323"/>
      <c r="O224" s="38"/>
      <c r="P224" s="13"/>
      <c r="Q224" s="13"/>
      <c r="R224" s="13"/>
      <c r="S224" s="13"/>
      <c r="T224" s="13"/>
      <c r="U224" s="13"/>
      <c r="V224" s="13"/>
      <c r="W224" s="13"/>
      <c r="X224" s="13"/>
      <c r="Y224" s="13"/>
      <c r="Z224" s="13"/>
    </row>
    <row r="225" spans="1:26" ht="12.75" customHeight="1" x14ac:dyDescent="0.2">
      <c r="A225" s="13"/>
      <c r="B225" s="323"/>
      <c r="C225" s="323"/>
      <c r="D225" s="323"/>
      <c r="E225" s="323"/>
      <c r="F225" s="323"/>
      <c r="G225" s="323"/>
      <c r="H225" s="323"/>
      <c r="I225" s="323"/>
      <c r="J225" s="323"/>
      <c r="K225" s="323"/>
      <c r="L225" s="323"/>
      <c r="M225" s="323"/>
      <c r="N225" s="323"/>
      <c r="O225" s="38"/>
      <c r="P225" s="13"/>
      <c r="Q225" s="13"/>
      <c r="R225" s="13"/>
      <c r="S225" s="13"/>
      <c r="T225" s="13"/>
      <c r="U225" s="13"/>
      <c r="V225" s="13"/>
      <c r="W225" s="13"/>
      <c r="X225" s="13"/>
      <c r="Y225" s="13"/>
      <c r="Z225" s="13"/>
    </row>
    <row r="226" spans="1:26" ht="12.75" customHeight="1" x14ac:dyDescent="0.2">
      <c r="A226" s="13"/>
      <c r="B226" s="323"/>
      <c r="C226" s="323"/>
      <c r="D226" s="323"/>
      <c r="E226" s="323"/>
      <c r="F226" s="323"/>
      <c r="G226" s="323"/>
      <c r="H226" s="323"/>
      <c r="I226" s="323"/>
      <c r="J226" s="323"/>
      <c r="K226" s="323"/>
      <c r="L226" s="323"/>
      <c r="M226" s="323"/>
      <c r="N226" s="323"/>
      <c r="O226" s="38"/>
      <c r="P226" s="13"/>
      <c r="Q226" s="13"/>
      <c r="R226" s="13"/>
      <c r="S226" s="13"/>
      <c r="T226" s="13"/>
      <c r="U226" s="13"/>
      <c r="V226" s="13"/>
      <c r="W226" s="13"/>
      <c r="X226" s="13"/>
      <c r="Y226" s="13"/>
      <c r="Z226" s="13"/>
    </row>
    <row r="227" spans="1:26" ht="12.75" customHeight="1" x14ac:dyDescent="0.2">
      <c r="A227" s="13"/>
      <c r="B227" s="323"/>
      <c r="C227" s="323"/>
      <c r="D227" s="323"/>
      <c r="E227" s="323"/>
      <c r="F227" s="323"/>
      <c r="G227" s="323"/>
      <c r="H227" s="323"/>
      <c r="I227" s="323"/>
      <c r="J227" s="323"/>
      <c r="K227" s="323"/>
      <c r="L227" s="323"/>
      <c r="M227" s="323"/>
      <c r="N227" s="323"/>
      <c r="O227" s="38"/>
      <c r="P227" s="13"/>
      <c r="Q227" s="13"/>
      <c r="R227" s="13"/>
      <c r="S227" s="13"/>
      <c r="T227" s="13"/>
      <c r="U227" s="13"/>
      <c r="V227" s="13"/>
      <c r="W227" s="13"/>
      <c r="X227" s="13"/>
      <c r="Y227" s="13"/>
      <c r="Z227" s="13"/>
    </row>
    <row r="228" spans="1:26" ht="12.75" customHeight="1" x14ac:dyDescent="0.2">
      <c r="A228" s="13"/>
      <c r="B228" s="323"/>
      <c r="C228" s="323"/>
      <c r="D228" s="323"/>
      <c r="E228" s="323"/>
      <c r="F228" s="323"/>
      <c r="G228" s="323"/>
      <c r="H228" s="323"/>
      <c r="I228" s="323"/>
      <c r="J228" s="323"/>
      <c r="K228" s="323"/>
      <c r="L228" s="323"/>
      <c r="M228" s="323"/>
      <c r="N228" s="323"/>
      <c r="O228" s="38"/>
      <c r="P228" s="13"/>
      <c r="Q228" s="13"/>
      <c r="R228" s="13"/>
      <c r="S228" s="13"/>
      <c r="T228" s="13"/>
      <c r="U228" s="13"/>
      <c r="V228" s="13"/>
      <c r="W228" s="13"/>
      <c r="X228" s="13"/>
      <c r="Y228" s="13"/>
      <c r="Z228" s="13"/>
    </row>
    <row r="229" spans="1:26" ht="12.75" customHeight="1" x14ac:dyDescent="0.2">
      <c r="A229" s="13"/>
      <c r="B229" s="323"/>
      <c r="C229" s="323"/>
      <c r="D229" s="323"/>
      <c r="E229" s="323"/>
      <c r="F229" s="323"/>
      <c r="G229" s="323"/>
      <c r="H229" s="323"/>
      <c r="I229" s="323"/>
      <c r="J229" s="323"/>
      <c r="K229" s="323"/>
      <c r="L229" s="323"/>
      <c r="M229" s="323"/>
      <c r="N229" s="323"/>
      <c r="O229" s="38"/>
      <c r="P229" s="13"/>
      <c r="Q229" s="13"/>
      <c r="R229" s="13"/>
      <c r="S229" s="13"/>
      <c r="T229" s="13"/>
      <c r="U229" s="13"/>
      <c r="V229" s="13"/>
      <c r="W229" s="13"/>
      <c r="X229" s="13"/>
      <c r="Y229" s="13"/>
      <c r="Z229" s="13"/>
    </row>
    <row r="230" spans="1:26" ht="12.75" customHeight="1" x14ac:dyDescent="0.2">
      <c r="A230" s="13"/>
      <c r="B230" s="323"/>
      <c r="C230" s="323"/>
      <c r="D230" s="323"/>
      <c r="E230" s="323"/>
      <c r="F230" s="323"/>
      <c r="G230" s="323"/>
      <c r="H230" s="323"/>
      <c r="I230" s="323"/>
      <c r="J230" s="323"/>
      <c r="K230" s="323"/>
      <c r="L230" s="323"/>
      <c r="M230" s="323"/>
      <c r="N230" s="323"/>
      <c r="O230" s="38"/>
      <c r="P230" s="13"/>
      <c r="Q230" s="13"/>
      <c r="R230" s="13"/>
      <c r="S230" s="13"/>
      <c r="T230" s="13"/>
      <c r="U230" s="13"/>
      <c r="V230" s="13"/>
      <c r="W230" s="13"/>
      <c r="X230" s="13"/>
      <c r="Y230" s="13"/>
      <c r="Z230" s="13"/>
    </row>
    <row r="231" spans="1:26" ht="12.75" customHeight="1" x14ac:dyDescent="0.2">
      <c r="A231" s="13"/>
      <c r="B231" s="323"/>
      <c r="C231" s="323"/>
      <c r="D231" s="323"/>
      <c r="E231" s="323"/>
      <c r="F231" s="323"/>
      <c r="G231" s="323"/>
      <c r="H231" s="323"/>
      <c r="I231" s="323"/>
      <c r="J231" s="323"/>
      <c r="K231" s="323"/>
      <c r="L231" s="323"/>
      <c r="M231" s="323"/>
      <c r="N231" s="323"/>
      <c r="O231" s="38"/>
      <c r="P231" s="13"/>
      <c r="Q231" s="13"/>
      <c r="R231" s="13"/>
      <c r="S231" s="13"/>
      <c r="T231" s="13"/>
      <c r="U231" s="13"/>
      <c r="V231" s="13"/>
      <c r="W231" s="13"/>
      <c r="X231" s="13"/>
      <c r="Y231" s="13"/>
      <c r="Z231" s="13"/>
    </row>
    <row r="232" spans="1:26" ht="12.75" customHeight="1" x14ac:dyDescent="0.2">
      <c r="A232" s="13"/>
      <c r="B232" s="323"/>
      <c r="C232" s="323"/>
      <c r="D232" s="323"/>
      <c r="E232" s="323"/>
      <c r="F232" s="323"/>
      <c r="G232" s="323"/>
      <c r="H232" s="323"/>
      <c r="I232" s="323"/>
      <c r="J232" s="323"/>
      <c r="K232" s="323"/>
      <c r="L232" s="323"/>
      <c r="M232" s="323"/>
      <c r="N232" s="323"/>
      <c r="O232" s="38"/>
      <c r="P232" s="13"/>
      <c r="Q232" s="13"/>
      <c r="R232" s="13"/>
      <c r="S232" s="13"/>
      <c r="T232" s="13"/>
      <c r="U232" s="13"/>
      <c r="V232" s="13"/>
      <c r="W232" s="13"/>
      <c r="X232" s="13"/>
      <c r="Y232" s="13"/>
      <c r="Z232" s="13"/>
    </row>
    <row r="233" spans="1:26" ht="12.75" customHeight="1" x14ac:dyDescent="0.2">
      <c r="A233" s="13"/>
      <c r="B233" s="323"/>
      <c r="C233" s="323"/>
      <c r="D233" s="323"/>
      <c r="E233" s="323"/>
      <c r="F233" s="323"/>
      <c r="G233" s="323"/>
      <c r="H233" s="323"/>
      <c r="I233" s="323"/>
      <c r="J233" s="323"/>
      <c r="K233" s="323"/>
      <c r="L233" s="323"/>
      <c r="M233" s="323"/>
      <c r="N233" s="323"/>
      <c r="O233" s="38"/>
      <c r="P233" s="13"/>
      <c r="Q233" s="13"/>
      <c r="R233" s="13"/>
      <c r="S233" s="13"/>
      <c r="T233" s="13"/>
      <c r="U233" s="13"/>
      <c r="V233" s="13"/>
      <c r="W233" s="13"/>
      <c r="X233" s="13"/>
      <c r="Y233" s="13"/>
      <c r="Z233" s="13"/>
    </row>
    <row r="234" spans="1:26" ht="12.75" customHeight="1" x14ac:dyDescent="0.2">
      <c r="A234" s="13"/>
      <c r="B234" s="323"/>
      <c r="C234" s="323"/>
      <c r="D234" s="323"/>
      <c r="E234" s="323"/>
      <c r="F234" s="323"/>
      <c r="G234" s="323"/>
      <c r="H234" s="323"/>
      <c r="I234" s="323"/>
      <c r="J234" s="323"/>
      <c r="K234" s="323"/>
      <c r="L234" s="323"/>
      <c r="M234" s="323"/>
      <c r="N234" s="323"/>
      <c r="O234" s="38"/>
      <c r="P234" s="13"/>
      <c r="Q234" s="13"/>
      <c r="R234" s="13"/>
      <c r="S234" s="13"/>
      <c r="T234" s="13"/>
      <c r="U234" s="13"/>
      <c r="V234" s="13"/>
      <c r="W234" s="13"/>
      <c r="X234" s="13"/>
      <c r="Y234" s="13"/>
      <c r="Z234" s="13"/>
    </row>
    <row r="235" spans="1:26" ht="12.75" customHeight="1" x14ac:dyDescent="0.2">
      <c r="A235" s="13"/>
      <c r="B235" s="323"/>
      <c r="C235" s="323"/>
      <c r="D235" s="323"/>
      <c r="E235" s="323"/>
      <c r="F235" s="323"/>
      <c r="G235" s="323"/>
      <c r="H235" s="323"/>
      <c r="I235" s="323"/>
      <c r="J235" s="323"/>
      <c r="K235" s="323"/>
      <c r="L235" s="323"/>
      <c r="M235" s="323"/>
      <c r="N235" s="323"/>
      <c r="O235" s="38"/>
      <c r="P235" s="13"/>
      <c r="Q235" s="13"/>
      <c r="R235" s="13"/>
      <c r="S235" s="13"/>
      <c r="T235" s="13"/>
      <c r="U235" s="13"/>
      <c r="V235" s="13"/>
      <c r="W235" s="13"/>
      <c r="X235" s="13"/>
      <c r="Y235" s="13"/>
      <c r="Z235" s="13"/>
    </row>
    <row r="236" spans="1:26" ht="12.75" customHeight="1" x14ac:dyDescent="0.2">
      <c r="A236" s="13"/>
      <c r="B236" s="323"/>
      <c r="C236" s="323"/>
      <c r="D236" s="323"/>
      <c r="E236" s="323"/>
      <c r="F236" s="323"/>
      <c r="G236" s="323"/>
      <c r="H236" s="323"/>
      <c r="I236" s="323"/>
      <c r="J236" s="323"/>
      <c r="K236" s="323"/>
      <c r="L236" s="323"/>
      <c r="M236" s="323"/>
      <c r="N236" s="323"/>
      <c r="O236" s="38"/>
      <c r="P236" s="13"/>
      <c r="Q236" s="13"/>
      <c r="R236" s="13"/>
      <c r="S236" s="13"/>
      <c r="T236" s="13"/>
      <c r="U236" s="13"/>
      <c r="V236" s="13"/>
      <c r="W236" s="13"/>
      <c r="X236" s="13"/>
      <c r="Y236" s="13"/>
      <c r="Z236" s="13"/>
    </row>
    <row r="237" spans="1:26" ht="12.75" customHeight="1" x14ac:dyDescent="0.2">
      <c r="A237" s="13"/>
      <c r="B237" s="323"/>
      <c r="C237" s="323"/>
      <c r="D237" s="323"/>
      <c r="E237" s="323"/>
      <c r="F237" s="323"/>
      <c r="G237" s="323"/>
      <c r="H237" s="323"/>
      <c r="I237" s="323"/>
      <c r="J237" s="323"/>
      <c r="K237" s="323"/>
      <c r="L237" s="323"/>
      <c r="M237" s="323"/>
      <c r="N237" s="323"/>
      <c r="O237" s="38"/>
      <c r="P237" s="13"/>
      <c r="Q237" s="13"/>
      <c r="R237" s="13"/>
      <c r="S237" s="13"/>
      <c r="T237" s="13"/>
      <c r="U237" s="13"/>
      <c r="V237" s="13"/>
      <c r="W237" s="13"/>
      <c r="X237" s="13"/>
      <c r="Y237" s="13"/>
      <c r="Z237" s="13"/>
    </row>
    <row r="238" spans="1:26" ht="12.75" customHeight="1" x14ac:dyDescent="0.2">
      <c r="A238" s="13"/>
      <c r="B238" s="323"/>
      <c r="C238" s="323"/>
      <c r="D238" s="323"/>
      <c r="E238" s="323"/>
      <c r="F238" s="323"/>
      <c r="G238" s="323"/>
      <c r="H238" s="323"/>
      <c r="I238" s="323"/>
      <c r="J238" s="323"/>
      <c r="K238" s="323"/>
      <c r="L238" s="323"/>
      <c r="M238" s="323"/>
      <c r="N238" s="323"/>
      <c r="O238" s="38"/>
      <c r="P238" s="13"/>
      <c r="Q238" s="13"/>
      <c r="R238" s="13"/>
      <c r="S238" s="13"/>
      <c r="T238" s="13"/>
      <c r="U238" s="13"/>
      <c r="V238" s="13"/>
      <c r="W238" s="13"/>
      <c r="X238" s="13"/>
      <c r="Y238" s="13"/>
      <c r="Z238" s="13"/>
    </row>
    <row r="239" spans="1:26" ht="12.75" customHeight="1" x14ac:dyDescent="0.2">
      <c r="A239" s="13"/>
      <c r="B239" s="323"/>
      <c r="C239" s="323"/>
      <c r="D239" s="323"/>
      <c r="E239" s="323"/>
      <c r="F239" s="323"/>
      <c r="G239" s="323"/>
      <c r="H239" s="323"/>
      <c r="I239" s="323"/>
      <c r="J239" s="323"/>
      <c r="K239" s="323"/>
      <c r="L239" s="323"/>
      <c r="M239" s="323"/>
      <c r="N239" s="323"/>
      <c r="O239" s="38"/>
      <c r="P239" s="13"/>
      <c r="Q239" s="13"/>
      <c r="R239" s="13"/>
      <c r="S239" s="13"/>
      <c r="T239" s="13"/>
      <c r="U239" s="13"/>
      <c r="V239" s="13"/>
      <c r="W239" s="13"/>
      <c r="X239" s="13"/>
      <c r="Y239" s="13"/>
      <c r="Z239" s="13"/>
    </row>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A29:B29"/>
    <mergeCell ref="A39:B39"/>
    <mergeCell ref="A1:O1"/>
    <mergeCell ref="A2:O2"/>
    <mergeCell ref="A3:O3"/>
    <mergeCell ref="O4:O7"/>
    <mergeCell ref="A19:B19"/>
  </mergeCells>
  <pageMargins left="0.19685039370078741" right="0.19685039370078741" top="0.59055118110236227" bottom="0.59055118110236227" header="0" footer="0"/>
  <pageSetup paperSize="9" scale="68" pageOrder="overThenDown"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29</vt:i4>
      </vt:variant>
    </vt:vector>
  </HeadingPairs>
  <TitlesOfParts>
    <vt:vector size="48" baseType="lpstr">
      <vt:lpstr>Capa</vt:lpstr>
      <vt:lpstr>Análise</vt:lpstr>
      <vt:lpstr>Resumo</vt:lpstr>
      <vt:lpstr>Comparativo</vt:lpstr>
      <vt:lpstr>Gasto das Atividades</vt:lpstr>
      <vt:lpstr>Analítico Cx.</vt:lpstr>
      <vt:lpstr>Analítico Cp.</vt:lpstr>
      <vt:lpstr>Lista de Pessoal</vt:lpstr>
      <vt:lpstr>Prov. Pessoal</vt:lpstr>
      <vt:lpstr>Bens</vt:lpstr>
      <vt:lpstr>Comp.</vt:lpstr>
      <vt:lpstr>Diário 5º PA</vt:lpstr>
      <vt:lpstr>Diário 6º PA</vt:lpstr>
      <vt:lpstr>Diário 7º PA</vt:lpstr>
      <vt:lpstr>Diário 8º PA</vt:lpstr>
      <vt:lpstr>Reserva</vt:lpstr>
      <vt:lpstr>Saldo Contas</vt:lpstr>
      <vt:lpstr>Dec Dir.</vt:lpstr>
      <vt:lpstr>Plano</vt:lpstr>
      <vt:lpstr>Aquisição_de_Bens_Permanentes</vt:lpstr>
      <vt:lpstr>Análise!Area_de_impressao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8º PA'!Area_de_impressao</vt:lpstr>
      <vt:lpstr>'Gasto das Atividades'!Area_de_impressao</vt:lpstr>
      <vt:lpstr>'Prov. Pessoal'!Area_de_impressao</vt:lpstr>
      <vt:lpstr>Reserva!Area_de_impressao</vt:lpstr>
      <vt:lpstr>Resumo!Area_de_impressao</vt:lpstr>
      <vt:lpstr>área_destinada</vt:lpstr>
      <vt:lpstr>'Lista de Pessoal'!Categorias</vt:lpstr>
      <vt:lpstr>Categorias</vt:lpstr>
      <vt:lpstr>'Lista de Pessoal'!Contas</vt:lpstr>
      <vt:lpstr>Contas</vt:lpstr>
      <vt:lpstr>Entradas</vt:lpstr>
      <vt:lpstr>Gastos_com_Pessoal</vt:lpstr>
      <vt:lpstr>Gastos_custeados_por_captação</vt:lpstr>
      <vt:lpstr>Gastos_Gerais</vt:lpstr>
      <vt:lpstr>Ocorrência</vt:lpstr>
      <vt:lpstr>Receitas</vt:lpstr>
      <vt:lpstr>Rendimentos_de_Aplicações_Fin.</vt:lpstr>
      <vt:lpstr>'Lista de Pessoal'!Reserva</vt:lpstr>
      <vt:lpstr>Reserva</vt:lpstr>
      <vt:lpstr>Transferência_para_Reserva_de_Recursos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Andreia Santos</cp:lastModifiedBy>
  <cp:lastPrinted>2022-01-11T17:16:06Z</cp:lastPrinted>
  <dcterms:created xsi:type="dcterms:W3CDTF">2007-03-19T18:09:20Z</dcterms:created>
  <dcterms:modified xsi:type="dcterms:W3CDTF">2022-01-25T10:25:01Z</dcterms:modified>
</cp:coreProperties>
</file>